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6F961309-9A32-4586-8CBB-2B053CCEEEA3}" xr6:coauthVersionLast="47" xr6:coauthVersionMax="47" xr10:uidLastSave="{00000000-0000-0000-0000-000000000000}"/>
  <bookViews>
    <workbookView xWindow="-120" yWindow="-120" windowWidth="29040" windowHeight="15720" firstSheet="1" activeTab="5" xr2:uid="{A6633EA0-78F4-4949-B36B-4D3D7FDC024B}"/>
  </bookViews>
  <sheets>
    <sheet name="Notice.utilisateur" sheetId="78" r:id="rId1"/>
    <sheet name="Répertoire.A" sheetId="68" r:id="rId2"/>
    <sheet name="Allergènes" sheetId="83" r:id="rId3"/>
    <sheet name="Recette .Exemple" sheetId="80" r:id="rId4"/>
    <sheet name="Fiche.préformatée" sheetId="79" r:id="rId5"/>
    <sheet name="Differents.postits.FR.EN.ES" sheetId="81" r:id="rId6"/>
    <sheet name="Identité" sheetId="65" r:id="rId7"/>
    <sheet name="traduction_FR-EN-ES" sheetId="62" r:id="rId8"/>
    <sheet name="Formules Excel" sheetId="48" r:id="rId9"/>
    <sheet name="Fiche.cadre.6.a modifier" sheetId="82" r:id="rId10"/>
    <sheet name="Nota.du.31.Mars.2025" sheetId="19" r:id="rId11"/>
    <sheet name="Exemple.de.Répertoire.simple.1" sheetId="38" r:id="rId12"/>
    <sheet name="Transmission.des.savoirs.2025" sheetId="6" r:id="rId13"/>
    <sheet name="Aide.Traduction.Trilingue" sheetId="4" r:id="rId14"/>
    <sheet name="Qu'est-ce" sheetId="3" r:id="rId15"/>
    <sheet name="Répertoire.2.postits" sheetId="27" r:id="rId16"/>
    <sheet name="2.Postits.quant.et.progression" sheetId="8" r:id="rId17"/>
    <sheet name="1.Postit.quant.avec.progression" sheetId="21" r:id="rId18"/>
    <sheet name="Texte.pour.cellules.Postits" sheetId="32" r:id="rId19"/>
    <sheet name="Texte.pour.cellules" sheetId="10" r:id="rId20"/>
    <sheet name="Vocabulaire" sheetId="11" r:id="rId21"/>
    <sheet name="peser.sans.balance.31.01.2025" sheetId="12" r:id="rId22"/>
    <sheet name="aides cuisine" sheetId="13" r:id="rId23"/>
    <sheet name="pourcentages" sheetId="14" r:id="rId24"/>
    <sheet name="Couleurs" sheetId="15" r:id="rId25"/>
    <sheet name="ChatGPT" sheetId="16" r:id="rId26"/>
    <sheet name="Excel" sheetId="17" r:id="rId27"/>
    <sheet name="Nethèque" sheetId="18" r:id="rId28"/>
  </sheets>
  <externalReferences>
    <externalReference r:id="rId29"/>
    <externalReference r:id="rId30"/>
    <externalReference r:id="rId31"/>
  </externalReferences>
  <definedNames>
    <definedName name="_xlnm._FilterDatabase" localSheetId="24" hidden="1">Couleurs!#REF!</definedName>
    <definedName name="_xlnm._FilterDatabase" localSheetId="9" hidden="1">'Fiche.cadre.6.a modifier'!$AW$5:$AX$332</definedName>
    <definedName name="_xlnm._FilterDatabase" localSheetId="0" hidden="1">Notice.utilisateur!#REF!</definedName>
    <definedName name="_xlnm._FilterDatabase" localSheetId="21" hidden="1">'peser.sans.balance.31.01.2025'!#REF!</definedName>
    <definedName name="_xlnm._FilterDatabase" localSheetId="14" hidden="1">'Qu''est-ce'!#REF!</definedName>
    <definedName name="_xlnm._FilterDatabase" localSheetId="19" hidden="1">'Texte.pour.cellules'!#REF!</definedName>
    <definedName name="_xlnm._FilterDatabase" localSheetId="18" hidden="1">'Texte.pour.cellules.Postits'!#REF!</definedName>
    <definedName name="Bananes" localSheetId="2">#REF!</definedName>
    <definedName name="Bananes">[1]!tbl_TypeFruit6[Bananes]</definedName>
    <definedName name="CatCodes" localSheetId="2">#REF!</definedName>
    <definedName name="CatCodes">[2]Listes!$A$2:$A$7</definedName>
    <definedName name="Citrons" localSheetId="2">#REF!</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 localSheetId="2">#REF!</definedName>
    <definedName name="lst_TypeFruit">[1]!tbl_TypeFruit[Pommes]</definedName>
    <definedName name="matriceFeuilles">"lire.classeur(1)"</definedName>
    <definedName name="mois">#REF!</definedName>
    <definedName name="Oranges" localSheetId="2">#REF!</definedName>
    <definedName name="Oranges">[1]!tbl_TypeFruit4[Oranges]</definedName>
    <definedName name="Pommes" localSheetId="2">#REF!</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9">'Fiche.cadre.6.a modifier'!$B$6:$AS$331</definedName>
    <definedName name="_xlnm.Print_Area" localSheetId="4">Fiche.préformatée!$AF$5:$BE$550</definedName>
    <definedName name="_xlnm.Print_Area" localSheetId="3">'Recette .Exemple'!$AF$5:$BE$550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 i="83" l="1"/>
  <c r="X2" i="83"/>
  <c r="W2" i="83"/>
  <c r="V2" i="83"/>
  <c r="U2" i="83"/>
  <c r="T2" i="83"/>
  <c r="S2" i="83"/>
  <c r="R2" i="83"/>
  <c r="Q2" i="83"/>
  <c r="P2" i="83"/>
  <c r="O2" i="83"/>
  <c r="N2" i="83"/>
  <c r="M2" i="83"/>
  <c r="L2" i="83"/>
  <c r="K2" i="83"/>
  <c r="J2" i="83"/>
  <c r="I2" i="83"/>
  <c r="H2" i="83"/>
  <c r="G2" i="83"/>
  <c r="F2" i="83"/>
  <c r="E2" i="83"/>
  <c r="D2" i="83"/>
  <c r="C2" i="83"/>
  <c r="B2" i="83"/>
  <c r="Y1" i="83"/>
  <c r="X1" i="83"/>
  <c r="W1" i="83"/>
  <c r="V1" i="83"/>
  <c r="U1" i="83"/>
  <c r="T1" i="83"/>
  <c r="S1" i="83"/>
  <c r="R1" i="83"/>
  <c r="Q1" i="83"/>
  <c r="P1" i="83"/>
  <c r="O1" i="83"/>
  <c r="N1" i="83"/>
  <c r="M1" i="83"/>
  <c r="L1" i="83"/>
  <c r="K1" i="83"/>
  <c r="J1" i="83"/>
  <c r="I1" i="83"/>
  <c r="H1" i="83"/>
  <c r="G1" i="83"/>
  <c r="F1" i="83"/>
  <c r="E1" i="83"/>
  <c r="D1" i="83"/>
  <c r="C1" i="83"/>
  <c r="B1" i="83"/>
  <c r="BV2" i="82" l="1"/>
  <c r="BU2" i="82"/>
  <c r="BT2" i="82"/>
  <c r="BR2" i="82"/>
  <c r="BQ2" i="82"/>
  <c r="BP2" i="82"/>
  <c r="BO2" i="82"/>
  <c r="BN2" i="82"/>
  <c r="BM2" i="82"/>
  <c r="BL2" i="82"/>
  <c r="BJ2" i="82"/>
  <c r="BI2" i="82"/>
  <c r="BH2" i="82"/>
  <c r="BG2" i="82"/>
  <c r="BF2" i="82"/>
  <c r="BE2" i="82"/>
  <c r="BD2" i="82"/>
  <c r="BB2" i="82"/>
  <c r="BA2" i="82"/>
  <c r="AZ2" i="82"/>
  <c r="AY2" i="82"/>
  <c r="AX2" i="82"/>
  <c r="AW2" i="82"/>
  <c r="AS2" i="82"/>
  <c r="AR2" i="82"/>
  <c r="AQ2" i="82"/>
  <c r="AP2" i="82"/>
  <c r="AO2" i="82"/>
  <c r="AN2" i="82"/>
  <c r="AM2" i="82"/>
  <c r="AL2" i="82"/>
  <c r="AK2" i="82"/>
  <c r="AJ2" i="82"/>
  <c r="AI2" i="82"/>
  <c r="AH2" i="82"/>
  <c r="AG2" i="82"/>
  <c r="AF2" i="82"/>
  <c r="AE2" i="82"/>
  <c r="AD2" i="82"/>
  <c r="AC2" i="82"/>
  <c r="AB2" i="82"/>
  <c r="AA2" i="82"/>
  <c r="Z2" i="82"/>
  <c r="Y2" i="82"/>
  <c r="X2" i="82"/>
  <c r="W2" i="82"/>
  <c r="V2" i="82"/>
  <c r="U2" i="82"/>
  <c r="T2" i="82"/>
  <c r="S2" i="82"/>
  <c r="R2" i="82"/>
  <c r="Q2" i="82"/>
  <c r="P2" i="82"/>
  <c r="O2" i="82"/>
  <c r="N2" i="82"/>
  <c r="M2" i="82"/>
  <c r="L2" i="82"/>
  <c r="K2" i="82"/>
  <c r="J2" i="82"/>
  <c r="I2" i="82"/>
  <c r="H2" i="82"/>
  <c r="G2" i="82"/>
  <c r="F2" i="82"/>
  <c r="E2" i="82"/>
  <c r="D2" i="82"/>
  <c r="C2" i="82"/>
  <c r="B2" i="82"/>
  <c r="AN305" i="82"/>
  <c r="AN304" i="82"/>
  <c r="AN303" i="82"/>
  <c r="AN302" i="82"/>
  <c r="AN301" i="82"/>
  <c r="AN300" i="82"/>
  <c r="AN299" i="82"/>
  <c r="AN298" i="82"/>
  <c r="AN297" i="82"/>
  <c r="AN296" i="82"/>
  <c r="AN295" i="82"/>
  <c r="AN294" i="82"/>
  <c r="AN293" i="82"/>
  <c r="AN292" i="82"/>
  <c r="AN256" i="82"/>
  <c r="AN255" i="82"/>
  <c r="AN254" i="82"/>
  <c r="AN253" i="82"/>
  <c r="AN252" i="82"/>
  <c r="AN251" i="82"/>
  <c r="AN250" i="82"/>
  <c r="AN249" i="82"/>
  <c r="AN248" i="82"/>
  <c r="AN247" i="82"/>
  <c r="AN246" i="82"/>
  <c r="AN245" i="82"/>
  <c r="AN244" i="82"/>
  <c r="AN243" i="82"/>
  <c r="AN207" i="82"/>
  <c r="AN206" i="82"/>
  <c r="AN205" i="82"/>
  <c r="AN204" i="82"/>
  <c r="AN203" i="82"/>
  <c r="AN202" i="82"/>
  <c r="AN201" i="82"/>
  <c r="AN200" i="82"/>
  <c r="AN199" i="82"/>
  <c r="AN198" i="82"/>
  <c r="AN197" i="82"/>
  <c r="AN196" i="82"/>
  <c r="AN195" i="82"/>
  <c r="AN194" i="82"/>
  <c r="AN158" i="82"/>
  <c r="AN157" i="82"/>
  <c r="AN156" i="82"/>
  <c r="AN155" i="82"/>
  <c r="AN154" i="82"/>
  <c r="AN153" i="82"/>
  <c r="AN152" i="82"/>
  <c r="AN151" i="82"/>
  <c r="AN150" i="82"/>
  <c r="AN149" i="82"/>
  <c r="AN148" i="82"/>
  <c r="AN147" i="82"/>
  <c r="AN146" i="82"/>
  <c r="AN145" i="82"/>
  <c r="AN109" i="82"/>
  <c r="AN108" i="82"/>
  <c r="AN107" i="82"/>
  <c r="AN106" i="82"/>
  <c r="AN105" i="82"/>
  <c r="AN104" i="82"/>
  <c r="AN103" i="82"/>
  <c r="AN102" i="82"/>
  <c r="AN101" i="82"/>
  <c r="AN100" i="82"/>
  <c r="AN99" i="82"/>
  <c r="AN98" i="82"/>
  <c r="AN97" i="82"/>
  <c r="AN96" i="82"/>
  <c r="AN60" i="82"/>
  <c r="AN59" i="82"/>
  <c r="AN58" i="82"/>
  <c r="AN57" i="82"/>
  <c r="AN56" i="82"/>
  <c r="AN55" i="82"/>
  <c r="AN54" i="82"/>
  <c r="AN53" i="82"/>
  <c r="AN52" i="82"/>
  <c r="AN51" i="82"/>
  <c r="AN50" i="82"/>
  <c r="AN49" i="82"/>
  <c r="AN48" i="82"/>
  <c r="AN47" i="82"/>
  <c r="BZ583" i="82"/>
  <c r="BX583" i="82"/>
  <c r="BH3" i="82" s="1"/>
  <c r="V572" i="82"/>
  <c r="V571" i="82"/>
  <c r="T570" i="82"/>
  <c r="T571" i="82" s="1"/>
  <c r="V567" i="82"/>
  <c r="V568" i="82" s="1"/>
  <c r="T567" i="82"/>
  <c r="T568" i="82" s="1"/>
  <c r="V549" i="82"/>
  <c r="Q551" i="82" s="1"/>
  <c r="V548" i="82"/>
  <c r="Q550" i="82" s="1"/>
  <c r="V532" i="82"/>
  <c r="U532" i="82"/>
  <c r="T532" i="82"/>
  <c r="R532" i="82"/>
  <c r="Q532" i="82"/>
  <c r="Q530" i="82"/>
  <c r="V529" i="82"/>
  <c r="U529" i="82"/>
  <c r="T529" i="82"/>
  <c r="R529" i="82"/>
  <c r="Q529" i="82"/>
  <c r="Q527" i="82"/>
  <c r="T518" i="82"/>
  <c r="T517" i="82"/>
  <c r="T516" i="82"/>
  <c r="T515" i="82"/>
  <c r="T514" i="82"/>
  <c r="T513" i="82"/>
  <c r="T512" i="82"/>
  <c r="T511" i="82"/>
  <c r="T510" i="82"/>
  <c r="U509" i="82"/>
  <c r="R500" i="82"/>
  <c r="S455" i="82"/>
  <c r="V455" i="82" s="1"/>
  <c r="S454" i="82"/>
  <c r="V454" i="82" s="1"/>
  <c r="S453" i="82"/>
  <c r="V453" i="82" s="1"/>
  <c r="S452" i="82"/>
  <c r="V452" i="82" s="1"/>
  <c r="Q434" i="82"/>
  <c r="R417" i="82"/>
  <c r="U401" i="82"/>
  <c r="T401" i="82"/>
  <c r="R401" i="82"/>
  <c r="Q401" i="82"/>
  <c r="U400" i="82"/>
  <c r="T400" i="82"/>
  <c r="R400" i="82"/>
  <c r="Q400" i="82"/>
  <c r="Q383" i="82"/>
  <c r="Q382" i="82"/>
  <c r="B332" i="82"/>
  <c r="AW331" i="82"/>
  <c r="AS331" i="82"/>
  <c r="AR331" i="82"/>
  <c r="AQ331" i="82"/>
  <c r="AP331" i="82"/>
  <c r="AO331" i="82"/>
  <c r="AM331" i="82"/>
  <c r="AL331" i="82"/>
  <c r="AK331" i="82"/>
  <c r="AJ331" i="82"/>
  <c r="AI331" i="82"/>
  <c r="AH331" i="82"/>
  <c r="AG331" i="82"/>
  <c r="AF331" i="82"/>
  <c r="AE331" i="82"/>
  <c r="AD331" i="82"/>
  <c r="AB331" i="82"/>
  <c r="AA331" i="82"/>
  <c r="Z331" i="82"/>
  <c r="Y331" i="82"/>
  <c r="W331" i="82"/>
  <c r="V331" i="82"/>
  <c r="U331" i="82"/>
  <c r="T331" i="82"/>
  <c r="S331" i="82"/>
  <c r="R331" i="82"/>
  <c r="Q331" i="82"/>
  <c r="P331" i="82"/>
  <c r="O331" i="82"/>
  <c r="N331" i="82"/>
  <c r="M331" i="82"/>
  <c r="L331" i="82"/>
  <c r="B331" i="82" s="1"/>
  <c r="J331" i="82"/>
  <c r="I331" i="82"/>
  <c r="H331" i="82"/>
  <c r="G331" i="82"/>
  <c r="F331" i="82"/>
  <c r="E331" i="82"/>
  <c r="D331" i="82"/>
  <c r="C331" i="82"/>
  <c r="BB330" i="82"/>
  <c r="BA330" i="82"/>
  <c r="AZ330" i="82"/>
  <c r="AY330" i="82"/>
  <c r="AX330" i="82"/>
  <c r="AW330" i="82"/>
  <c r="AW329" i="82"/>
  <c r="R329" i="82"/>
  <c r="C329" i="82" a="1"/>
  <c r="C329" i="82" s="1"/>
  <c r="B329" i="82"/>
  <c r="AP328" i="82"/>
  <c r="AG328" i="82"/>
  <c r="AC328" i="82"/>
  <c r="AW328" i="82" s="1"/>
  <c r="C328" i="82" a="1"/>
  <c r="C328" i="82" s="1"/>
  <c r="B328" i="82"/>
  <c r="AP327" i="82"/>
  <c r="AG327" i="82"/>
  <c r="AC327" i="82"/>
  <c r="AW327" i="82" s="1"/>
  <c r="C327" i="82" a="1"/>
  <c r="C327" i="82" s="1"/>
  <c r="B327" i="82"/>
  <c r="AP326" i="82"/>
  <c r="AG326" i="82"/>
  <c r="AC326" i="82"/>
  <c r="AW326" i="82" s="1"/>
  <c r="Z326" i="82"/>
  <c r="C326" i="82" a="1"/>
  <c r="C326" i="82" s="1"/>
  <c r="B326" i="82"/>
  <c r="AP325" i="82"/>
  <c r="AG325" i="82"/>
  <c r="AC325" i="82"/>
  <c r="AW325" i="82" s="1"/>
  <c r="AB325" i="82"/>
  <c r="Y327" i="82" s="1"/>
  <c r="C325" i="82" a="1"/>
  <c r="C325" i="82" s="1"/>
  <c r="B325" i="82"/>
  <c r="AP324" i="82"/>
  <c r="AG324" i="82"/>
  <c r="AC324" i="82"/>
  <c r="AW324" i="82" s="1"/>
  <c r="C324" i="82" a="1"/>
  <c r="C324" i="82" s="1"/>
  <c r="B324" i="82"/>
  <c r="AC323" i="82"/>
  <c r="AW323" i="82" s="1"/>
  <c r="L323" i="82"/>
  <c r="B323" i="82" s="1"/>
  <c r="C323" i="82" a="1"/>
  <c r="C323" i="82" s="1"/>
  <c r="AS322" i="82"/>
  <c r="AP322" i="82"/>
  <c r="AP323" i="82" s="1"/>
  <c r="AG322" i="82"/>
  <c r="AG323" i="82" s="1"/>
  <c r="AC322" i="82"/>
  <c r="AW322" i="82" s="1"/>
  <c r="Z322" i="82"/>
  <c r="L322" i="82"/>
  <c r="B322" i="82" s="1"/>
  <c r="C322" i="82" a="1"/>
  <c r="C322" i="82" s="1"/>
  <c r="AW321" i="82"/>
  <c r="AB321" i="82"/>
  <c r="Y323" i="82" s="1"/>
  <c r="L321" i="82"/>
  <c r="B321" i="82" s="1"/>
  <c r="C321" i="82" a="1"/>
  <c r="C321" i="82" s="1"/>
  <c r="AC320" i="82"/>
  <c r="AW320" i="82" s="1"/>
  <c r="L320" i="82"/>
  <c r="B320" i="82" s="1"/>
  <c r="C320" i="82" a="1"/>
  <c r="C320" i="82" s="1"/>
  <c r="AC319" i="82"/>
  <c r="AW319" i="82" s="1"/>
  <c r="L319" i="82"/>
  <c r="B319" i="82" s="1"/>
  <c r="C319" i="82" a="1"/>
  <c r="C319" i="82" s="1"/>
  <c r="AC318" i="82"/>
  <c r="AW318" i="82" s="1"/>
  <c r="L318" i="82"/>
  <c r="B318" i="82" s="1"/>
  <c r="C318" i="82" a="1"/>
  <c r="C318" i="82" s="1"/>
  <c r="AC317" i="82"/>
  <c r="AW317" i="82" s="1"/>
  <c r="L317" i="82"/>
  <c r="B317" i="82" s="1"/>
  <c r="C317" i="82" a="1"/>
  <c r="C317" i="82" s="1"/>
  <c r="AC316" i="82"/>
  <c r="AW316" i="82" s="1"/>
  <c r="AB316" i="82"/>
  <c r="L316" i="82"/>
  <c r="B316" i="82" s="1"/>
  <c r="C316" i="82" a="1"/>
  <c r="C316" i="82" s="1"/>
  <c r="AC315" i="82"/>
  <c r="AW315" i="82" s="1"/>
  <c r="L315" i="82"/>
  <c r="B315" i="82" s="1"/>
  <c r="C315" i="82" a="1"/>
  <c r="C315" i="82" s="1"/>
  <c r="AC314" i="82"/>
  <c r="AW314" i="82" s="1"/>
  <c r="L314" i="82"/>
  <c r="B314" i="82" s="1"/>
  <c r="C314" i="82" a="1"/>
  <c r="C314" i="82" s="1"/>
  <c r="AC313" i="82"/>
  <c r="AW313" i="82" s="1"/>
  <c r="L313" i="82"/>
  <c r="B313" i="82" s="1"/>
  <c r="C313" i="82" a="1"/>
  <c r="C313" i="82" s="1"/>
  <c r="AC312" i="82"/>
  <c r="AW312" i="82" s="1"/>
  <c r="C312" i="82" a="1"/>
  <c r="C312" i="82" s="1"/>
  <c r="B312" i="82"/>
  <c r="AC311" i="82"/>
  <c r="AW311" i="82" s="1"/>
  <c r="C311" i="82" a="1"/>
  <c r="C311" i="82" s="1"/>
  <c r="B311" i="82"/>
  <c r="AC310" i="82"/>
  <c r="AW310" i="82" s="1"/>
  <c r="C310" i="82" a="1"/>
  <c r="C310" i="82" s="1"/>
  <c r="B310" i="82"/>
  <c r="AC309" i="82"/>
  <c r="AW309" i="82" s="1"/>
  <c r="C309" i="82" a="1"/>
  <c r="C309" i="82" s="1"/>
  <c r="B309" i="82"/>
  <c r="AC308" i="82"/>
  <c r="AW308" i="82" s="1"/>
  <c r="C308" i="82" a="1"/>
  <c r="C308" i="82" s="1"/>
  <c r="B308" i="82"/>
  <c r="AC307" i="82"/>
  <c r="AW307" i="82" s="1"/>
  <c r="C307" i="82" a="1"/>
  <c r="C307" i="82" s="1"/>
  <c r="B307" i="82"/>
  <c r="C306" i="82" a="1"/>
  <c r="C306" i="82" s="1"/>
  <c r="B306" i="82"/>
  <c r="AR305" i="82"/>
  <c r="AQ305" i="82"/>
  <c r="AM305" i="82"/>
  <c r="AJ305" i="82"/>
  <c r="AE305" i="82"/>
  <c r="AB305" i="82"/>
  <c r="Z305" i="82"/>
  <c r="Y305" i="82"/>
  <c r="S305" i="82"/>
  <c r="L305" i="82"/>
  <c r="B305" i="82" s="1"/>
  <c r="C305" i="82" a="1"/>
  <c r="C305" i="82" s="1"/>
  <c r="AR304" i="82"/>
  <c r="AQ304" i="82"/>
  <c r="AM304" i="82"/>
  <c r="AJ304" i="82"/>
  <c r="AE304" i="82"/>
  <c r="AB304" i="82"/>
  <c r="Z304" i="82"/>
  <c r="Y304" i="82"/>
  <c r="S304" i="82"/>
  <c r="L304" i="82"/>
  <c r="B304" i="82" s="1"/>
  <c r="C304" i="82" a="1"/>
  <c r="C304" i="82" s="1"/>
  <c r="AR303" i="82"/>
  <c r="AQ303" i="82"/>
  <c r="AM303" i="82"/>
  <c r="AJ303" i="82"/>
  <c r="AE303" i="82"/>
  <c r="AB303" i="82"/>
  <c r="Z303" i="82"/>
  <c r="Y303" i="82"/>
  <c r="AP303" i="82" s="1"/>
  <c r="S303" i="82"/>
  <c r="L303" i="82"/>
  <c r="B303" i="82" s="1"/>
  <c r="C303" i="82" a="1"/>
  <c r="C303" i="82" s="1"/>
  <c r="AR302" i="82"/>
  <c r="AQ302" i="82"/>
  <c r="AM302" i="82"/>
  <c r="AJ302" i="82"/>
  <c r="AE302" i="82"/>
  <c r="AB302" i="82"/>
  <c r="Z302" i="82"/>
  <c r="Y302" i="82"/>
  <c r="AA302" i="82" s="1"/>
  <c r="S302" i="82"/>
  <c r="L302" i="82"/>
  <c r="B302" i="82" s="1"/>
  <c r="C302" i="82" a="1"/>
  <c r="C302" i="82" s="1"/>
  <c r="AR301" i="82"/>
  <c r="AQ301" i="82"/>
  <c r="AM301" i="82"/>
  <c r="AJ301" i="82"/>
  <c r="AE301" i="82"/>
  <c r="AB301" i="82"/>
  <c r="Z301" i="82"/>
  <c r="Y301" i="82"/>
  <c r="AA301" i="82" s="1"/>
  <c r="S301" i="82"/>
  <c r="L301" i="82"/>
  <c r="B301" i="82" s="1"/>
  <c r="C301" i="82" a="1"/>
  <c r="C301" i="82" s="1"/>
  <c r="AR300" i="82"/>
  <c r="AQ300" i="82"/>
  <c r="AM300" i="82"/>
  <c r="AJ300" i="82"/>
  <c r="AE300" i="82"/>
  <c r="AB300" i="82"/>
  <c r="Z300" i="82"/>
  <c r="Y300" i="82"/>
  <c r="S300" i="82"/>
  <c r="L300" i="82"/>
  <c r="B300" i="82" s="1"/>
  <c r="C300" i="82" a="1"/>
  <c r="C300" i="82" s="1"/>
  <c r="AR299" i="82"/>
  <c r="AQ299" i="82"/>
  <c r="AM299" i="82"/>
  <c r="AJ299" i="82"/>
  <c r="AE299" i="82"/>
  <c r="AB299" i="82"/>
  <c r="Z299" i="82"/>
  <c r="Y299" i="82"/>
  <c r="AA299" i="82" s="1"/>
  <c r="S299" i="82"/>
  <c r="L299" i="82"/>
  <c r="B299" i="82" s="1"/>
  <c r="C299" i="82" a="1"/>
  <c r="C299" i="82" s="1"/>
  <c r="AR298" i="82"/>
  <c r="AQ298" i="82"/>
  <c r="AM298" i="82"/>
  <c r="AJ298" i="82"/>
  <c r="AE298" i="82"/>
  <c r="AB298" i="82"/>
  <c r="Z298" i="82"/>
  <c r="Y298" i="82"/>
  <c r="AA298" i="82" s="1"/>
  <c r="S298" i="82"/>
  <c r="L298" i="82"/>
  <c r="B298" i="82" s="1"/>
  <c r="C298" i="82" a="1"/>
  <c r="C298" i="82" s="1"/>
  <c r="AR297" i="82"/>
  <c r="AQ297" i="82"/>
  <c r="AM297" i="82"/>
  <c r="AJ297" i="82"/>
  <c r="AE297" i="82"/>
  <c r="AB297" i="82"/>
  <c r="Z297" i="82"/>
  <c r="Y297" i="82"/>
  <c r="S297" i="82"/>
  <c r="L297" i="82"/>
  <c r="B297" i="82" s="1"/>
  <c r="C297" i="82" a="1"/>
  <c r="C297" i="82" s="1"/>
  <c r="AR296" i="82"/>
  <c r="AQ296" i="82"/>
  <c r="AM296" i="82"/>
  <c r="AJ296" i="82"/>
  <c r="AE296" i="82"/>
  <c r="AB296" i="82"/>
  <c r="Z296" i="82"/>
  <c r="Y296" i="82"/>
  <c r="AP296" i="82" s="1"/>
  <c r="S296" i="82"/>
  <c r="L296" i="82"/>
  <c r="B296" i="82" s="1"/>
  <c r="C296" i="82" a="1"/>
  <c r="C296" i="82" s="1"/>
  <c r="AR295" i="82"/>
  <c r="AQ295" i="82"/>
  <c r="AM295" i="82"/>
  <c r="AJ295" i="82"/>
  <c r="AE295" i="82"/>
  <c r="AB295" i="82"/>
  <c r="Z295" i="82"/>
  <c r="Y295" i="82"/>
  <c r="AA295" i="82" s="1"/>
  <c r="S295" i="82"/>
  <c r="L295" i="82"/>
  <c r="B295" i="82" s="1"/>
  <c r="C295" i="82" a="1"/>
  <c r="C295" i="82" s="1"/>
  <c r="AR294" i="82"/>
  <c r="AQ294" i="82"/>
  <c r="AM294" i="82"/>
  <c r="AJ294" i="82"/>
  <c r="AE294" i="82"/>
  <c r="AB294" i="82"/>
  <c r="Z294" i="82"/>
  <c r="Y294" i="82"/>
  <c r="AA294" i="82" s="1"/>
  <c r="S294" i="82"/>
  <c r="L294" i="82"/>
  <c r="B294" i="82" s="1"/>
  <c r="C294" i="82" a="1"/>
  <c r="C294" i="82" s="1"/>
  <c r="AR293" i="82"/>
  <c r="AQ293" i="82"/>
  <c r="AM293" i="82"/>
  <c r="AJ293" i="82"/>
  <c r="AE293" i="82"/>
  <c r="AB293" i="82"/>
  <c r="Z293" i="82"/>
  <c r="Y293" i="82"/>
  <c r="AA293" i="82" s="1"/>
  <c r="S293" i="82"/>
  <c r="L293" i="82"/>
  <c r="B293" i="82" s="1"/>
  <c r="C293" i="82" a="1"/>
  <c r="C293" i="82" s="1"/>
  <c r="AR292" i="82"/>
  <c r="AQ292" i="82"/>
  <c r="AM292" i="82"/>
  <c r="AJ292" i="82"/>
  <c r="AE292" i="82"/>
  <c r="AB292" i="82"/>
  <c r="Z292" i="82"/>
  <c r="Y292" i="82"/>
  <c r="AP292" i="82" s="1"/>
  <c r="S292" i="82"/>
  <c r="C292" i="82" a="1"/>
  <c r="C292" i="82" s="1"/>
  <c r="B292" i="82"/>
  <c r="AW291" i="82"/>
  <c r="C291" i="82" a="1"/>
  <c r="C291" i="82" s="1"/>
  <c r="B291" i="82"/>
  <c r="AW290" i="82"/>
  <c r="C290" i="82" a="1"/>
  <c r="C290" i="82" s="1"/>
  <c r="B290" i="82"/>
  <c r="AW289" i="82"/>
  <c r="AF289" i="82"/>
  <c r="C289" i="82" a="1"/>
  <c r="C289" i="82" s="1"/>
  <c r="B289" i="82"/>
  <c r="AW288" i="82"/>
  <c r="Q288" i="82"/>
  <c r="U285" i="82" s="1"/>
  <c r="P288" i="82"/>
  <c r="P326" i="82" s="1"/>
  <c r="O288" i="82"/>
  <c r="O319" i="82" s="1"/>
  <c r="N288" i="82"/>
  <c r="N320" i="82" s="1"/>
  <c r="C288" i="82" a="1"/>
  <c r="C288" i="82" s="1"/>
  <c r="B288" i="82"/>
  <c r="AW287" i="82"/>
  <c r="C287" i="82" a="1"/>
  <c r="C287" i="82" s="1"/>
  <c r="B287" i="82"/>
  <c r="AW286" i="82"/>
  <c r="AP286" i="82"/>
  <c r="AO286" i="82"/>
  <c r="C286" i="82" a="1"/>
  <c r="C286" i="82" s="1"/>
  <c r="B286" i="82"/>
  <c r="AW285" i="82"/>
  <c r="AK285" i="82"/>
  <c r="AB285" i="82"/>
  <c r="C285" i="82" a="1"/>
  <c r="C285" i="82" s="1"/>
  <c r="B285" i="82"/>
  <c r="AW284" i="82"/>
  <c r="C284" i="82" a="1"/>
  <c r="C284" i="82" s="1"/>
  <c r="B284" i="82"/>
  <c r="AW283" i="82"/>
  <c r="C283" i="82" a="1"/>
  <c r="C283" i="82" s="1"/>
  <c r="B283" i="82"/>
  <c r="AW282" i="82"/>
  <c r="AD282" i="82"/>
  <c r="AB282" i="82"/>
  <c r="C282" i="82" a="1"/>
  <c r="C282" i="82" s="1"/>
  <c r="B282" i="82"/>
  <c r="AW281" i="82"/>
  <c r="C281" i="82" a="1"/>
  <c r="C281" i="82" s="1"/>
  <c r="B281" i="82"/>
  <c r="AW280" i="82"/>
  <c r="R280" i="82"/>
  <c r="C280" i="82" a="1"/>
  <c r="C280" i="82" s="1"/>
  <c r="B280" i="82"/>
  <c r="AP279" i="82"/>
  <c r="AG279" i="82"/>
  <c r="AC279" i="82"/>
  <c r="AW279" i="82" s="1"/>
  <c r="C279" i="82" a="1"/>
  <c r="C279" i="82" s="1"/>
  <c r="B279" i="82"/>
  <c r="AP278" i="82"/>
  <c r="AG278" i="82"/>
  <c r="AC278" i="82"/>
  <c r="AW278" i="82" s="1"/>
  <c r="C278" i="82" a="1"/>
  <c r="C278" i="82" s="1"/>
  <c r="B278" i="82"/>
  <c r="AP277" i="82"/>
  <c r="AG277" i="82"/>
  <c r="AC277" i="82"/>
  <c r="AW277" i="82" s="1"/>
  <c r="Z277" i="82"/>
  <c r="C277" i="82" a="1"/>
  <c r="C277" i="82" s="1"/>
  <c r="B277" i="82"/>
  <c r="AP276" i="82"/>
  <c r="AG276" i="82"/>
  <c r="AC276" i="82"/>
  <c r="AW276" i="82" s="1"/>
  <c r="AB276" i="82"/>
  <c r="Y278" i="82" s="1"/>
  <c r="C276" i="82" a="1"/>
  <c r="C276" i="82" s="1"/>
  <c r="B276" i="82"/>
  <c r="AP275" i="82"/>
  <c r="AG275" i="82"/>
  <c r="AC275" i="82"/>
  <c r="AW275" i="82" s="1"/>
  <c r="C275" i="82" a="1"/>
  <c r="C275" i="82" s="1"/>
  <c r="B275" i="82"/>
  <c r="AC274" i="82"/>
  <c r="AW274" i="82" s="1"/>
  <c r="L274" i="82"/>
  <c r="B274" i="82" s="1"/>
  <c r="C274" i="82" a="1"/>
  <c r="C274" i="82" s="1"/>
  <c r="AP273" i="82"/>
  <c r="AP274" i="82" s="1"/>
  <c r="AG273" i="82"/>
  <c r="AG274" i="82" s="1"/>
  <c r="AC273" i="82"/>
  <c r="AW273" i="82" s="1"/>
  <c r="Z273" i="82"/>
  <c r="L273" i="82"/>
  <c r="B273" i="82" s="1"/>
  <c r="C273" i="82" a="1"/>
  <c r="C273" i="82" s="1"/>
  <c r="AW272" i="82"/>
  <c r="AB272" i="82"/>
  <c r="Y274" i="82" s="1"/>
  <c r="L272" i="82"/>
  <c r="B272" i="82" s="1"/>
  <c r="C272" i="82" a="1"/>
  <c r="C272" i="82" s="1"/>
  <c r="AC271" i="82"/>
  <c r="AW271" i="82" s="1"/>
  <c r="L271" i="82"/>
  <c r="B271" i="82" s="1"/>
  <c r="C271" i="82" a="1"/>
  <c r="C271" i="82" s="1"/>
  <c r="AC270" i="82"/>
  <c r="AW270" i="82" s="1"/>
  <c r="L270" i="82"/>
  <c r="B270" i="82" s="1"/>
  <c r="C270" i="82" a="1"/>
  <c r="C270" i="82" s="1"/>
  <c r="AC269" i="82"/>
  <c r="AW269" i="82" s="1"/>
  <c r="L269" i="82"/>
  <c r="B269" i="82" s="1"/>
  <c r="C269" i="82" a="1"/>
  <c r="C269" i="82" s="1"/>
  <c r="AC268" i="82"/>
  <c r="AW268" i="82" s="1"/>
  <c r="L268" i="82"/>
  <c r="B268" i="82" s="1"/>
  <c r="C268" i="82" a="1"/>
  <c r="C268" i="82" s="1"/>
  <c r="AC267" i="82"/>
  <c r="AW267" i="82" s="1"/>
  <c r="AB267" i="82"/>
  <c r="L267" i="82"/>
  <c r="B267" i="82" s="1"/>
  <c r="C267" i="82" a="1"/>
  <c r="C267" i="82" s="1"/>
  <c r="AC266" i="82"/>
  <c r="AW266" i="82" s="1"/>
  <c r="L266" i="82"/>
  <c r="B266" i="82" s="1"/>
  <c r="C266" i="82" a="1"/>
  <c r="C266" i="82" s="1"/>
  <c r="AC265" i="82"/>
  <c r="AW265" i="82" s="1"/>
  <c r="L265" i="82"/>
  <c r="B265" i="82" s="1"/>
  <c r="C265" i="82" a="1"/>
  <c r="C265" i="82" s="1"/>
  <c r="AC264" i="82"/>
  <c r="AW264" i="82" s="1"/>
  <c r="L264" i="82"/>
  <c r="B264" i="82" s="1"/>
  <c r="C264" i="82" a="1"/>
  <c r="C264" i="82" s="1"/>
  <c r="AC263" i="82"/>
  <c r="AW263" i="82" s="1"/>
  <c r="C263" i="82" a="1"/>
  <c r="C263" i="82" s="1"/>
  <c r="B263" i="82"/>
  <c r="AC262" i="82"/>
  <c r="AW262" i="82" s="1"/>
  <c r="C262" i="82" a="1"/>
  <c r="C262" i="82" s="1"/>
  <c r="B262" i="82"/>
  <c r="AC261" i="82"/>
  <c r="AW261" i="82" s="1"/>
  <c r="C261" i="82" a="1"/>
  <c r="C261" i="82" s="1"/>
  <c r="B261" i="82"/>
  <c r="AC260" i="82"/>
  <c r="AW260" i="82" s="1"/>
  <c r="C260" i="82" a="1"/>
  <c r="C260" i="82" s="1"/>
  <c r="B260" i="82"/>
  <c r="AC259" i="82"/>
  <c r="AW259" i="82" s="1"/>
  <c r="C259" i="82" a="1"/>
  <c r="C259" i="82" s="1"/>
  <c r="B259" i="82"/>
  <c r="AC258" i="82"/>
  <c r="AW258" i="82" s="1"/>
  <c r="C258" i="82" a="1"/>
  <c r="C258" i="82" s="1"/>
  <c r="B258" i="82"/>
  <c r="C257" i="82" a="1"/>
  <c r="C257" i="82" s="1"/>
  <c r="B257" i="82"/>
  <c r="AR256" i="82"/>
  <c r="AQ256" i="82"/>
  <c r="AM256" i="82"/>
  <c r="AJ256" i="82"/>
  <c r="AE256" i="82"/>
  <c r="AB256" i="82"/>
  <c r="Z256" i="82"/>
  <c r="Y256" i="82"/>
  <c r="AP256" i="82" s="1"/>
  <c r="S256" i="82"/>
  <c r="L256" i="82"/>
  <c r="B256" i="82" s="1"/>
  <c r="C256" i="82" a="1"/>
  <c r="C256" i="82" s="1"/>
  <c r="AR255" i="82"/>
  <c r="AQ255" i="82"/>
  <c r="AM255" i="82"/>
  <c r="AJ255" i="82"/>
  <c r="AE255" i="82"/>
  <c r="AB255" i="82"/>
  <c r="Z255" i="82"/>
  <c r="Y255" i="82"/>
  <c r="AP255" i="82" s="1"/>
  <c r="S255" i="82"/>
  <c r="L255" i="82"/>
  <c r="B255" i="82" s="1"/>
  <c r="C255" i="82" a="1"/>
  <c r="C255" i="82" s="1"/>
  <c r="AR254" i="82"/>
  <c r="AQ254" i="82"/>
  <c r="AM254" i="82"/>
  <c r="AJ254" i="82"/>
  <c r="AE254" i="82"/>
  <c r="AB254" i="82"/>
  <c r="Z254" i="82"/>
  <c r="Y254" i="82"/>
  <c r="AA254" i="82" s="1"/>
  <c r="S254" i="82"/>
  <c r="L254" i="82"/>
  <c r="B254" i="82" s="1"/>
  <c r="C254" i="82" a="1"/>
  <c r="C254" i="82" s="1"/>
  <c r="AR253" i="82"/>
  <c r="AQ253" i="82"/>
  <c r="AM253" i="82"/>
  <c r="AJ253" i="82"/>
  <c r="AE253" i="82"/>
  <c r="AB253" i="82"/>
  <c r="Z253" i="82"/>
  <c r="Y253" i="82"/>
  <c r="AA253" i="82" s="1"/>
  <c r="S253" i="82"/>
  <c r="L253" i="82"/>
  <c r="B253" i="82" s="1"/>
  <c r="C253" i="82" a="1"/>
  <c r="C253" i="82" s="1"/>
  <c r="AR252" i="82"/>
  <c r="AQ252" i="82"/>
  <c r="AM252" i="82"/>
  <c r="AJ252" i="82"/>
  <c r="AE252" i="82"/>
  <c r="AB252" i="82"/>
  <c r="Z252" i="82"/>
  <c r="Y252" i="82"/>
  <c r="AP252" i="82" s="1"/>
  <c r="S252" i="82"/>
  <c r="L252" i="82"/>
  <c r="B252" i="82" s="1"/>
  <c r="C252" i="82" a="1"/>
  <c r="C252" i="82" s="1"/>
  <c r="AR251" i="82"/>
  <c r="AQ251" i="82"/>
  <c r="AM251" i="82"/>
  <c r="AJ251" i="82"/>
  <c r="AE251" i="82"/>
  <c r="AB251" i="82"/>
  <c r="Z251" i="82"/>
  <c r="Y251" i="82"/>
  <c r="AP251" i="82" s="1"/>
  <c r="S251" i="82"/>
  <c r="L251" i="82"/>
  <c r="B251" i="82" s="1"/>
  <c r="C251" i="82" a="1"/>
  <c r="C251" i="82" s="1"/>
  <c r="AR250" i="82"/>
  <c r="AQ250" i="82"/>
  <c r="AM250" i="82"/>
  <c r="AJ250" i="82"/>
  <c r="AE250" i="82"/>
  <c r="AB250" i="82"/>
  <c r="Z250" i="82"/>
  <c r="Y250" i="82"/>
  <c r="S250" i="82"/>
  <c r="L250" i="82"/>
  <c r="B250" i="82" s="1"/>
  <c r="C250" i="82" a="1"/>
  <c r="C250" i="82" s="1"/>
  <c r="AR249" i="82"/>
  <c r="AQ249" i="82"/>
  <c r="AM249" i="82"/>
  <c r="AJ249" i="82"/>
  <c r="AE249" i="82"/>
  <c r="AB249" i="82"/>
  <c r="Z249" i="82"/>
  <c r="Y249" i="82"/>
  <c r="AP249" i="82" s="1"/>
  <c r="S249" i="82"/>
  <c r="L249" i="82"/>
  <c r="B249" i="82" s="1"/>
  <c r="C249" i="82" a="1"/>
  <c r="C249" i="82" s="1"/>
  <c r="AR248" i="82"/>
  <c r="AQ248" i="82"/>
  <c r="AM248" i="82"/>
  <c r="AJ248" i="82"/>
  <c r="AE248" i="82"/>
  <c r="AB248" i="82"/>
  <c r="Z248" i="82"/>
  <c r="Y248" i="82"/>
  <c r="AP248" i="82" s="1"/>
  <c r="S248" i="82"/>
  <c r="L248" i="82"/>
  <c r="B248" i="82" s="1"/>
  <c r="C248" i="82" a="1"/>
  <c r="C248" i="82" s="1"/>
  <c r="AR247" i="82"/>
  <c r="AQ247" i="82"/>
  <c r="AM247" i="82"/>
  <c r="AJ247" i="82"/>
  <c r="AE247" i="82"/>
  <c r="AB247" i="82"/>
  <c r="Z247" i="82"/>
  <c r="Y247" i="82"/>
  <c r="AA247" i="82" s="1"/>
  <c r="S247" i="82"/>
  <c r="L247" i="82"/>
  <c r="B247" i="82" s="1"/>
  <c r="C247" i="82" a="1"/>
  <c r="C247" i="82" s="1"/>
  <c r="AR246" i="82"/>
  <c r="AQ246" i="82"/>
  <c r="AM246" i="82"/>
  <c r="AJ246" i="82"/>
  <c r="AE246" i="82"/>
  <c r="AB246" i="82"/>
  <c r="Z246" i="82"/>
  <c r="Y246" i="82"/>
  <c r="AP246" i="82" s="1"/>
  <c r="S246" i="82"/>
  <c r="L246" i="82"/>
  <c r="B246" i="82" s="1"/>
  <c r="C246" i="82" a="1"/>
  <c r="C246" i="82" s="1"/>
  <c r="AR245" i="82"/>
  <c r="AQ245" i="82"/>
  <c r="AM245" i="82"/>
  <c r="AJ245" i="82"/>
  <c r="AE245" i="82"/>
  <c r="AB245" i="82"/>
  <c r="Z245" i="82"/>
  <c r="Y245" i="82"/>
  <c r="AP245" i="82" s="1"/>
  <c r="S245" i="82"/>
  <c r="L245" i="82"/>
  <c r="B245" i="82" s="1"/>
  <c r="C245" i="82" a="1"/>
  <c r="C245" i="82" s="1"/>
  <c r="AR244" i="82"/>
  <c r="AQ244" i="82"/>
  <c r="AM244" i="82"/>
  <c r="AJ244" i="82"/>
  <c r="AE244" i="82"/>
  <c r="AB244" i="82"/>
  <c r="Z244" i="82"/>
  <c r="Y244" i="82"/>
  <c r="AA244" i="82" s="1"/>
  <c r="S244" i="82"/>
  <c r="L244" i="82"/>
  <c r="B244" i="82" s="1"/>
  <c r="C244" i="82" a="1"/>
  <c r="C244" i="82" s="1"/>
  <c r="AR243" i="82"/>
  <c r="AQ243" i="82"/>
  <c r="AM243" i="82"/>
  <c r="AJ243" i="82"/>
  <c r="AE243" i="82"/>
  <c r="AB243" i="82"/>
  <c r="Z243" i="82"/>
  <c r="Y243" i="82"/>
  <c r="S243" i="82"/>
  <c r="C243" i="82" a="1"/>
  <c r="C243" i="82" s="1"/>
  <c r="B243" i="82"/>
  <c r="AW242" i="82"/>
  <c r="C242" i="82" a="1"/>
  <c r="C242" i="82" s="1"/>
  <c r="B242" i="82"/>
  <c r="AW241" i="82"/>
  <c r="C241" i="82" a="1"/>
  <c r="C241" i="82" s="1"/>
  <c r="B241" i="82"/>
  <c r="AW240" i="82"/>
  <c r="AF240" i="82"/>
  <c r="C240" i="82" a="1"/>
  <c r="C240" i="82" s="1"/>
  <c r="B240" i="82"/>
  <c r="BR239" i="82"/>
  <c r="BQ239" i="82"/>
  <c r="BP239" i="82"/>
  <c r="BO239" i="82"/>
  <c r="BN239" i="82"/>
  <c r="BM239" i="82"/>
  <c r="BL239" i="82"/>
  <c r="AW239" i="82"/>
  <c r="Q239" i="82"/>
  <c r="P239" i="82"/>
  <c r="P270" i="82" s="1"/>
  <c r="O239" i="82"/>
  <c r="O276" i="82" s="1"/>
  <c r="N239" i="82"/>
  <c r="N252" i="82" s="1"/>
  <c r="C239" i="82" a="1"/>
  <c r="C239" i="82" s="1"/>
  <c r="B239" i="82"/>
  <c r="AW238" i="82"/>
  <c r="C238" i="82" a="1"/>
  <c r="C238" i="82" s="1"/>
  <c r="B238" i="82"/>
  <c r="AW237" i="82"/>
  <c r="AP237" i="82"/>
  <c r="AO237" i="82"/>
  <c r="C237" i="82" a="1"/>
  <c r="C237" i="82" s="1"/>
  <c r="B237" i="82"/>
  <c r="AW236" i="82"/>
  <c r="AK236" i="82"/>
  <c r="AB236" i="82"/>
  <c r="C236" i="82" a="1"/>
  <c r="C236" i="82" s="1"/>
  <c r="B236" i="82"/>
  <c r="AW235" i="82"/>
  <c r="C235" i="82" a="1"/>
  <c r="C235" i="82" s="1"/>
  <c r="B235" i="82"/>
  <c r="AW234" i="82"/>
  <c r="C234" i="82" a="1"/>
  <c r="C234" i="82" s="1"/>
  <c r="B234" i="82"/>
  <c r="AW233" i="82"/>
  <c r="AD233" i="82"/>
  <c r="AB233" i="82"/>
  <c r="C233" i="82" a="1"/>
  <c r="C233" i="82" s="1"/>
  <c r="B233" i="82"/>
  <c r="AW232" i="82"/>
  <c r="C232" i="82" a="1"/>
  <c r="C232" i="82" s="1"/>
  <c r="B232" i="82"/>
  <c r="AW231" i="82"/>
  <c r="R231" i="82"/>
  <c r="C231" i="82" a="1"/>
  <c r="C231" i="82" s="1"/>
  <c r="B231" i="82"/>
  <c r="BP230" i="82"/>
  <c r="BO230" i="82"/>
  <c r="BM230" i="82"/>
  <c r="BL230" i="82"/>
  <c r="AP230" i="82"/>
  <c r="AG230" i="82"/>
  <c r="AC230" i="82"/>
  <c r="AW230" i="82" s="1"/>
  <c r="C230" i="82" a="1"/>
  <c r="C230" i="82" s="1"/>
  <c r="B230" i="82"/>
  <c r="BP229" i="82"/>
  <c r="BO229" i="82"/>
  <c r="BM229" i="82"/>
  <c r="BL229" i="82"/>
  <c r="AP229" i="82"/>
  <c r="AG229" i="82"/>
  <c r="AC229" i="82"/>
  <c r="AW229" i="82" s="1"/>
  <c r="C229" i="82" a="1"/>
  <c r="C229" i="82" s="1"/>
  <c r="B229" i="82"/>
  <c r="AP228" i="82"/>
  <c r="AG228" i="82"/>
  <c r="AC228" i="82"/>
  <c r="AW228" i="82" s="1"/>
  <c r="Z228" i="82"/>
  <c r="C228" i="82" a="1"/>
  <c r="C228" i="82" s="1"/>
  <c r="B228" i="82"/>
  <c r="AP227" i="82"/>
  <c r="AG227" i="82"/>
  <c r="AC227" i="82"/>
  <c r="AW227" i="82" s="1"/>
  <c r="AB227" i="82"/>
  <c r="Y229" i="82" s="1"/>
  <c r="C227" i="82" a="1"/>
  <c r="C227" i="82" s="1"/>
  <c r="B227" i="82"/>
  <c r="AP226" i="82"/>
  <c r="AG226" i="82"/>
  <c r="AC226" i="82"/>
  <c r="AW226" i="82" s="1"/>
  <c r="C226" i="82" a="1"/>
  <c r="C226" i="82" s="1"/>
  <c r="B226" i="82"/>
  <c r="AC225" i="82"/>
  <c r="AW225" i="82" s="1"/>
  <c r="L225" i="82"/>
  <c r="B225" i="82" s="1"/>
  <c r="C225" i="82" a="1"/>
  <c r="C225" i="82" s="1"/>
  <c r="AP224" i="82"/>
  <c r="AP225" i="82" s="1"/>
  <c r="AG224" i="82"/>
  <c r="AG225" i="82" s="1"/>
  <c r="AC224" i="82"/>
  <c r="AW224" i="82" s="1"/>
  <c r="Z224" i="82"/>
  <c r="L224" i="82"/>
  <c r="B224" i="82" s="1"/>
  <c r="C224" i="82" a="1"/>
  <c r="C224" i="82" s="1"/>
  <c r="AW223" i="82"/>
  <c r="AB223" i="82"/>
  <c r="Y225" i="82" s="1"/>
  <c r="L223" i="82"/>
  <c r="B223" i="82" s="1"/>
  <c r="C223" i="82" a="1"/>
  <c r="C223" i="82" s="1"/>
  <c r="AC222" i="82"/>
  <c r="AW222" i="82" s="1"/>
  <c r="L222" i="82"/>
  <c r="B222" i="82" s="1"/>
  <c r="C222" i="82" a="1"/>
  <c r="C222" i="82" s="1"/>
  <c r="AC221" i="82"/>
  <c r="AW221" i="82" s="1"/>
  <c r="L221" i="82"/>
  <c r="B221" i="82" s="1"/>
  <c r="C221" i="82" a="1"/>
  <c r="C221" i="82" s="1"/>
  <c r="AC220" i="82"/>
  <c r="AW220" i="82" s="1"/>
  <c r="L220" i="82"/>
  <c r="B220" i="82" s="1"/>
  <c r="C220" i="82" a="1"/>
  <c r="C220" i="82" s="1"/>
  <c r="AC219" i="82"/>
  <c r="AW219" i="82" s="1"/>
  <c r="L219" i="82"/>
  <c r="B219" i="82" s="1"/>
  <c r="C219" i="82" a="1"/>
  <c r="C219" i="82" s="1"/>
  <c r="BL218" i="82"/>
  <c r="AC218" i="82"/>
  <c r="AW218" i="82" s="1"/>
  <c r="AB218" i="82"/>
  <c r="L218" i="82"/>
  <c r="B218" i="82" s="1"/>
  <c r="C218" i="82" a="1"/>
  <c r="C218" i="82" s="1"/>
  <c r="BL217" i="82"/>
  <c r="AC217" i="82"/>
  <c r="AW217" i="82" s="1"/>
  <c r="L217" i="82"/>
  <c r="B217" i="82" s="1"/>
  <c r="C217" i="82" a="1"/>
  <c r="C217" i="82" s="1"/>
  <c r="AC216" i="82"/>
  <c r="AW216" i="82" s="1"/>
  <c r="L216" i="82"/>
  <c r="B216" i="82" s="1"/>
  <c r="C216" i="82" a="1"/>
  <c r="C216" i="82" s="1"/>
  <c r="AC215" i="82"/>
  <c r="AW215" i="82" s="1"/>
  <c r="L215" i="82"/>
  <c r="B215" i="82" s="1"/>
  <c r="C215" i="82" a="1"/>
  <c r="C215" i="82" s="1"/>
  <c r="AC214" i="82"/>
  <c r="AW214" i="82" s="1"/>
  <c r="C214" i="82" a="1"/>
  <c r="C214" i="82" s="1"/>
  <c r="B214" i="82"/>
  <c r="AC213" i="82"/>
  <c r="AW213" i="82" s="1"/>
  <c r="C213" i="82" a="1"/>
  <c r="C213" i="82" s="1"/>
  <c r="B213" i="82"/>
  <c r="AC212" i="82"/>
  <c r="AW212" i="82" s="1"/>
  <c r="C212" i="82" a="1"/>
  <c r="C212" i="82" s="1"/>
  <c r="B212" i="82"/>
  <c r="AC211" i="82"/>
  <c r="AW211" i="82" s="1"/>
  <c r="C211" i="82" a="1"/>
  <c r="C211" i="82" s="1"/>
  <c r="B211" i="82"/>
  <c r="AC210" i="82"/>
  <c r="AW210" i="82" s="1"/>
  <c r="C210" i="82" a="1"/>
  <c r="C210" i="82" s="1"/>
  <c r="B210" i="82"/>
  <c r="AC209" i="82"/>
  <c r="AW209" i="82" s="1"/>
  <c r="C209" i="82" a="1"/>
  <c r="C209" i="82" s="1"/>
  <c r="B209" i="82"/>
  <c r="C208" i="82" a="1"/>
  <c r="C208" i="82" s="1"/>
  <c r="B208" i="82"/>
  <c r="AR207" i="82"/>
  <c r="AQ207" i="82"/>
  <c r="AM207" i="82"/>
  <c r="AJ207" i="82"/>
  <c r="AE207" i="82"/>
  <c r="AB207" i="82"/>
  <c r="Z207" i="82"/>
  <c r="Y207" i="82"/>
  <c r="AA207" i="82" s="1"/>
  <c r="S207" i="82"/>
  <c r="L207" i="82"/>
  <c r="B207" i="82" s="1"/>
  <c r="C207" i="82" a="1"/>
  <c r="C207" i="82" s="1"/>
  <c r="AR206" i="82"/>
  <c r="AQ206" i="82"/>
  <c r="AM206" i="82"/>
  <c r="AJ206" i="82"/>
  <c r="AE206" i="82"/>
  <c r="AB206" i="82"/>
  <c r="Z206" i="82"/>
  <c r="Y206" i="82"/>
  <c r="AP206" i="82" s="1"/>
  <c r="S206" i="82"/>
  <c r="L206" i="82"/>
  <c r="B206" i="82" s="1"/>
  <c r="C206" i="82" a="1"/>
  <c r="C206" i="82" s="1"/>
  <c r="AR205" i="82"/>
  <c r="AQ205" i="82"/>
  <c r="AM205" i="82"/>
  <c r="AJ205" i="82"/>
  <c r="AE205" i="82"/>
  <c r="AB205" i="82"/>
  <c r="Z205" i="82"/>
  <c r="Y205" i="82"/>
  <c r="S205" i="82"/>
  <c r="L205" i="82"/>
  <c r="B205" i="82" s="1"/>
  <c r="C205" i="82" a="1"/>
  <c r="C205" i="82" s="1"/>
  <c r="AR204" i="82"/>
  <c r="AQ204" i="82"/>
  <c r="AM204" i="82"/>
  <c r="AJ204" i="82"/>
  <c r="AE204" i="82"/>
  <c r="AB204" i="82"/>
  <c r="Z204" i="82"/>
  <c r="Y204" i="82"/>
  <c r="S204" i="82"/>
  <c r="L204" i="82"/>
  <c r="B204" i="82" s="1"/>
  <c r="C204" i="82" a="1"/>
  <c r="C204" i="82" s="1"/>
  <c r="AR203" i="82"/>
  <c r="AQ203" i="82"/>
  <c r="AM203" i="82"/>
  <c r="AJ203" i="82"/>
  <c r="AE203" i="82"/>
  <c r="AB203" i="82"/>
  <c r="Z203" i="82"/>
  <c r="Y203" i="82"/>
  <c r="AP203" i="82" s="1"/>
  <c r="S203" i="82"/>
  <c r="L203" i="82"/>
  <c r="B203" i="82" s="1"/>
  <c r="C203" i="82" a="1"/>
  <c r="C203" i="82" s="1"/>
  <c r="AR202" i="82"/>
  <c r="AQ202" i="82"/>
  <c r="AM202" i="82"/>
  <c r="AJ202" i="82"/>
  <c r="AE202" i="82"/>
  <c r="AB202" i="82"/>
  <c r="Z202" i="82"/>
  <c r="Y202" i="82"/>
  <c r="AA202" i="82" s="1"/>
  <c r="S202" i="82"/>
  <c r="L202" i="82"/>
  <c r="B202" i="82" s="1"/>
  <c r="C202" i="82" a="1"/>
  <c r="C202" i="82" s="1"/>
  <c r="AR201" i="82"/>
  <c r="AQ201" i="82"/>
  <c r="AM201" i="82"/>
  <c r="AJ201" i="82"/>
  <c r="AE201" i="82"/>
  <c r="AB201" i="82"/>
  <c r="Z201" i="82"/>
  <c r="Y201" i="82"/>
  <c r="AP201" i="82" s="1"/>
  <c r="S201" i="82"/>
  <c r="L201" i="82"/>
  <c r="B201" i="82" s="1"/>
  <c r="C201" i="82" a="1"/>
  <c r="C201" i="82" s="1"/>
  <c r="AR200" i="82"/>
  <c r="AQ200" i="82"/>
  <c r="AM200" i="82"/>
  <c r="AJ200" i="82"/>
  <c r="AE200" i="82"/>
  <c r="AB200" i="82"/>
  <c r="Z200" i="82"/>
  <c r="Y200" i="82"/>
  <c r="AP200" i="82" s="1"/>
  <c r="S200" i="82"/>
  <c r="L200" i="82"/>
  <c r="B200" i="82" s="1"/>
  <c r="C200" i="82" a="1"/>
  <c r="C200" i="82" s="1"/>
  <c r="AR199" i="82"/>
  <c r="AQ199" i="82"/>
  <c r="AM199" i="82"/>
  <c r="AJ199" i="82"/>
  <c r="AE199" i="82"/>
  <c r="AB199" i="82"/>
  <c r="Z199" i="82"/>
  <c r="Y199" i="82"/>
  <c r="S199" i="82"/>
  <c r="L199" i="82"/>
  <c r="B199" i="82" s="1"/>
  <c r="C199" i="82" a="1"/>
  <c r="C199" i="82" s="1"/>
  <c r="AR198" i="82"/>
  <c r="AQ198" i="82"/>
  <c r="AM198" i="82"/>
  <c r="AJ198" i="82"/>
  <c r="AE198" i="82"/>
  <c r="AB198" i="82"/>
  <c r="Z198" i="82"/>
  <c r="Y198" i="82"/>
  <c r="AP198" i="82" s="1"/>
  <c r="S198" i="82"/>
  <c r="L198" i="82"/>
  <c r="B198" i="82" s="1"/>
  <c r="C198" i="82" a="1"/>
  <c r="C198" i="82" s="1"/>
  <c r="AR197" i="82"/>
  <c r="AQ197" i="82"/>
  <c r="AM197" i="82"/>
  <c r="AJ197" i="82"/>
  <c r="AE197" i="82"/>
  <c r="AB197" i="82"/>
  <c r="Z197" i="82"/>
  <c r="Y197" i="82"/>
  <c r="AA197" i="82" s="1"/>
  <c r="S197" i="82"/>
  <c r="L197" i="82"/>
  <c r="B197" i="82" s="1"/>
  <c r="C197" i="82" a="1"/>
  <c r="C197" i="82" s="1"/>
  <c r="AR196" i="82"/>
  <c r="AM196" i="82"/>
  <c r="AJ196" i="82"/>
  <c r="AE196" i="82"/>
  <c r="Z196" i="82"/>
  <c r="Y196" i="82"/>
  <c r="AA196" i="82" s="1"/>
  <c r="AB196" i="82" s="1"/>
  <c r="S196" i="82"/>
  <c r="L196" i="82"/>
  <c r="B196" i="82" s="1"/>
  <c r="C196" i="82" a="1"/>
  <c r="C196" i="82" s="1"/>
  <c r="AR195" i="82"/>
  <c r="AM195" i="82"/>
  <c r="AJ195" i="82"/>
  <c r="AE195" i="82"/>
  <c r="Z195" i="82"/>
  <c r="Y195" i="82"/>
  <c r="S195" i="82"/>
  <c r="L195" i="82"/>
  <c r="B195" i="82" s="1"/>
  <c r="C195" i="82" a="1"/>
  <c r="C195" i="82" s="1"/>
  <c r="AR194" i="82"/>
  <c r="AM194" i="82"/>
  <c r="AJ194" i="82"/>
  <c r="AE194" i="82"/>
  <c r="Z194" i="82"/>
  <c r="Y194" i="82"/>
  <c r="AA194" i="82" s="1"/>
  <c r="AB194" i="82" s="1"/>
  <c r="S194" i="82"/>
  <c r="C194" i="82" a="1"/>
  <c r="C194" i="82" s="1"/>
  <c r="B194" i="82"/>
  <c r="AW193" i="82"/>
  <c r="C193" i="82" a="1"/>
  <c r="C193" i="82" s="1"/>
  <c r="B193" i="82"/>
  <c r="AW192" i="82"/>
  <c r="C192" i="82" a="1"/>
  <c r="C192" i="82" s="1"/>
  <c r="B192" i="82"/>
  <c r="AW191" i="82"/>
  <c r="AF191" i="82"/>
  <c r="AM191" i="82" s="1"/>
  <c r="C191" i="82" a="1"/>
  <c r="C191" i="82" s="1"/>
  <c r="B191" i="82"/>
  <c r="AW190" i="82"/>
  <c r="Q190" i="82"/>
  <c r="P190" i="82"/>
  <c r="O190" i="82"/>
  <c r="O220" i="82" s="1"/>
  <c r="N190" i="82"/>
  <c r="N227" i="82" s="1"/>
  <c r="C190" i="82" a="1"/>
  <c r="C190" i="82" s="1"/>
  <c r="B190" i="82"/>
  <c r="AW189" i="82"/>
  <c r="C189" i="82" a="1"/>
  <c r="C189" i="82" s="1"/>
  <c r="B189" i="82"/>
  <c r="AW188" i="82"/>
  <c r="AP188" i="82"/>
  <c r="AO188" i="82"/>
  <c r="C188" i="82" a="1"/>
  <c r="C188" i="82" s="1"/>
  <c r="B188" i="82"/>
  <c r="AW187" i="82"/>
  <c r="AK187" i="82"/>
  <c r="AB187" i="82"/>
  <c r="C187" i="82" a="1"/>
  <c r="C187" i="82" s="1"/>
  <c r="B187" i="82"/>
  <c r="AW186" i="82"/>
  <c r="C186" i="82" a="1"/>
  <c r="C186" i="82" s="1"/>
  <c r="B186" i="82"/>
  <c r="AW185" i="82"/>
  <c r="C185" i="82" a="1"/>
  <c r="C185" i="82" s="1"/>
  <c r="B185" i="82"/>
  <c r="AW184" i="82"/>
  <c r="AD184" i="82"/>
  <c r="AB184" i="82"/>
  <c r="C184" i="82" a="1"/>
  <c r="C184" i="82" s="1"/>
  <c r="B184" i="82"/>
  <c r="AW183" i="82"/>
  <c r="C183" i="82" a="1"/>
  <c r="C183" i="82" s="1"/>
  <c r="B183" i="82"/>
  <c r="AW182" i="82"/>
  <c r="R182" i="82"/>
  <c r="C182" i="82" a="1"/>
  <c r="C182" i="82" s="1"/>
  <c r="B182" i="82"/>
  <c r="AP181" i="82"/>
  <c r="AG181" i="82"/>
  <c r="AC181" i="82"/>
  <c r="AW181" i="82" s="1"/>
  <c r="C181" i="82" a="1"/>
  <c r="C181" i="82" s="1"/>
  <c r="B181" i="82"/>
  <c r="AP180" i="82"/>
  <c r="AG180" i="82"/>
  <c r="AC180" i="82"/>
  <c r="AW180" i="82" s="1"/>
  <c r="C180" i="82" a="1"/>
  <c r="C180" i="82" s="1"/>
  <c r="B180" i="82"/>
  <c r="BN179" i="82"/>
  <c r="AP179" i="82"/>
  <c r="AG179" i="82"/>
  <c r="AC179" i="82"/>
  <c r="AW179" i="82" s="1"/>
  <c r="Z179" i="82"/>
  <c r="C179" i="82" a="1"/>
  <c r="C179" i="82" s="1"/>
  <c r="B179" i="82"/>
  <c r="BP178" i="82"/>
  <c r="BM180" i="82" s="1"/>
  <c r="AP178" i="82"/>
  <c r="AG178" i="82"/>
  <c r="AC178" i="82"/>
  <c r="AW178" i="82" s="1"/>
  <c r="AB178" i="82"/>
  <c r="Y180" i="82" s="1"/>
  <c r="C178" i="82" a="1"/>
  <c r="C178" i="82" s="1"/>
  <c r="B178" i="82"/>
  <c r="AP177" i="82"/>
  <c r="AG177" i="82"/>
  <c r="AC177" i="82"/>
  <c r="AW177" i="82" s="1"/>
  <c r="C177" i="82" a="1"/>
  <c r="C177" i="82" s="1"/>
  <c r="B177" i="82"/>
  <c r="AC176" i="82"/>
  <c r="AW176" i="82" s="1"/>
  <c r="L176" i="82"/>
  <c r="B176" i="82" s="1"/>
  <c r="C176" i="82" a="1"/>
  <c r="C176" i="82" s="1"/>
  <c r="BN175" i="82"/>
  <c r="AP175" i="82"/>
  <c r="AP176" i="82" s="1"/>
  <c r="AG175" i="82"/>
  <c r="AG176" i="82" s="1"/>
  <c r="AC175" i="82"/>
  <c r="AW175" i="82" s="1"/>
  <c r="Z175" i="82"/>
  <c r="L175" i="82"/>
  <c r="B175" i="82" s="1"/>
  <c r="C175" i="82" a="1"/>
  <c r="C175" i="82" s="1"/>
  <c r="BP174" i="82"/>
  <c r="BM176" i="82" s="1"/>
  <c r="AW174" i="82"/>
  <c r="AB174" i="82"/>
  <c r="Y176" i="82" s="1"/>
  <c r="L174" i="82"/>
  <c r="B174" i="82" s="1"/>
  <c r="C174" i="82" a="1"/>
  <c r="C174" i="82" s="1"/>
  <c r="AC173" i="82"/>
  <c r="AW173" i="82" s="1"/>
  <c r="L173" i="82"/>
  <c r="B173" i="82" s="1"/>
  <c r="C173" i="82" a="1"/>
  <c r="C173" i="82" s="1"/>
  <c r="AC172" i="82"/>
  <c r="AW172" i="82" s="1"/>
  <c r="L172" i="82"/>
  <c r="B172" i="82" s="1"/>
  <c r="C172" i="82" a="1"/>
  <c r="C172" i="82" s="1"/>
  <c r="AC171" i="82"/>
  <c r="AW171" i="82" s="1"/>
  <c r="L171" i="82"/>
  <c r="B171" i="82" s="1"/>
  <c r="C171" i="82" a="1"/>
  <c r="C171" i="82" s="1"/>
  <c r="AC170" i="82"/>
  <c r="AW170" i="82" s="1"/>
  <c r="L170" i="82"/>
  <c r="B170" i="82" s="1"/>
  <c r="C170" i="82" a="1"/>
  <c r="C170" i="82" s="1"/>
  <c r="BP169" i="82"/>
  <c r="AC169" i="82"/>
  <c r="AW169" i="82" s="1"/>
  <c r="AB169" i="82"/>
  <c r="L169" i="82"/>
  <c r="B169" i="82" s="1"/>
  <c r="C169" i="82" a="1"/>
  <c r="C169" i="82" s="1"/>
  <c r="AC168" i="82"/>
  <c r="AW168" i="82" s="1"/>
  <c r="L168" i="82"/>
  <c r="B168" i="82" s="1"/>
  <c r="C168" i="82" a="1"/>
  <c r="C168" i="82" s="1"/>
  <c r="AC167" i="82"/>
  <c r="AW167" i="82" s="1"/>
  <c r="L167" i="82"/>
  <c r="B167" i="82" s="1"/>
  <c r="C167" i="82" a="1"/>
  <c r="C167" i="82" s="1"/>
  <c r="AC166" i="82"/>
  <c r="AW166" i="82" s="1"/>
  <c r="L166" i="82"/>
  <c r="B166" i="82" s="1"/>
  <c r="C166" i="82" a="1"/>
  <c r="C166" i="82" s="1"/>
  <c r="AC165" i="82"/>
  <c r="AW165" i="82" s="1"/>
  <c r="C165" i="82" a="1"/>
  <c r="C165" i="82" s="1"/>
  <c r="B165" i="82"/>
  <c r="AC164" i="82"/>
  <c r="AW164" i="82" s="1"/>
  <c r="C164" i="82" a="1"/>
  <c r="C164" i="82" s="1"/>
  <c r="B164" i="82"/>
  <c r="AC163" i="82"/>
  <c r="AW163" i="82" s="1"/>
  <c r="C163" i="82" a="1"/>
  <c r="C163" i="82" s="1"/>
  <c r="B163" i="82"/>
  <c r="AC162" i="82"/>
  <c r="AW162" i="82" s="1"/>
  <c r="C162" i="82" a="1"/>
  <c r="C162" i="82" s="1"/>
  <c r="B162" i="82"/>
  <c r="AC161" i="82"/>
  <c r="AW161" i="82" s="1"/>
  <c r="C161" i="82" a="1"/>
  <c r="C161" i="82" s="1"/>
  <c r="B161" i="82"/>
  <c r="AC160" i="82"/>
  <c r="AW160" i="82" s="1"/>
  <c r="C160" i="82" a="1"/>
  <c r="C160" i="82" s="1"/>
  <c r="B160" i="82"/>
  <c r="C159" i="82" a="1"/>
  <c r="C159" i="82" s="1"/>
  <c r="B159" i="82"/>
  <c r="AR158" i="82"/>
  <c r="AQ158" i="82"/>
  <c r="AM158" i="82"/>
  <c r="AJ158" i="82"/>
  <c r="AE158" i="82"/>
  <c r="AB158" i="82"/>
  <c r="Z158" i="82"/>
  <c r="Y158" i="82"/>
  <c r="AP158" i="82" s="1"/>
  <c r="S158" i="82"/>
  <c r="L158" i="82"/>
  <c r="B158" i="82" s="1"/>
  <c r="C158" i="82" a="1"/>
  <c r="C158" i="82" s="1"/>
  <c r="AR157" i="82"/>
  <c r="AQ157" i="82"/>
  <c r="AM157" i="82"/>
  <c r="AJ157" i="82"/>
  <c r="AE157" i="82"/>
  <c r="AB157" i="82"/>
  <c r="Z157" i="82"/>
  <c r="Y157" i="82"/>
  <c r="AA157" i="82" s="1"/>
  <c r="S157" i="82"/>
  <c r="L157" i="82"/>
  <c r="B157" i="82" s="1"/>
  <c r="C157" i="82" a="1"/>
  <c r="C157" i="82" s="1"/>
  <c r="AR156" i="82"/>
  <c r="AQ156" i="82"/>
  <c r="AM156" i="82"/>
  <c r="AJ156" i="82"/>
  <c r="AE156" i="82"/>
  <c r="AB156" i="82"/>
  <c r="Z156" i="82"/>
  <c r="Y156" i="82"/>
  <c r="AP156" i="82" s="1"/>
  <c r="S156" i="82"/>
  <c r="L156" i="82"/>
  <c r="B156" i="82" s="1"/>
  <c r="C156" i="82" a="1"/>
  <c r="C156" i="82" s="1"/>
  <c r="AR155" i="82"/>
  <c r="AQ155" i="82"/>
  <c r="AM155" i="82"/>
  <c r="AJ155" i="82"/>
  <c r="AE155" i="82"/>
  <c r="AB155" i="82"/>
  <c r="Z155" i="82"/>
  <c r="Y155" i="82"/>
  <c r="S155" i="82"/>
  <c r="L155" i="82"/>
  <c r="B155" i="82" s="1"/>
  <c r="C155" i="82" a="1"/>
  <c r="C155" i="82" s="1"/>
  <c r="AR154" i="82"/>
  <c r="AQ154" i="82"/>
  <c r="AM154" i="82"/>
  <c r="AJ154" i="82"/>
  <c r="AE154" i="82"/>
  <c r="AB154" i="82"/>
  <c r="Z154" i="82"/>
  <c r="Y154" i="82"/>
  <c r="AA154" i="82" s="1"/>
  <c r="S154" i="82"/>
  <c r="L154" i="82"/>
  <c r="B154" i="82" s="1"/>
  <c r="C154" i="82" a="1"/>
  <c r="C154" i="82" s="1"/>
  <c r="AR153" i="82"/>
  <c r="AQ153" i="82"/>
  <c r="AM153" i="82"/>
  <c r="AJ153" i="82"/>
  <c r="AE153" i="82"/>
  <c r="AB153" i="82"/>
  <c r="Z153" i="82"/>
  <c r="Y153" i="82"/>
  <c r="AA153" i="82" s="1"/>
  <c r="S153" i="82"/>
  <c r="L153" i="82"/>
  <c r="B153" i="82" s="1"/>
  <c r="C153" i="82" a="1"/>
  <c r="C153" i="82" s="1"/>
  <c r="AR152" i="82"/>
  <c r="AQ152" i="82"/>
  <c r="AM152" i="82"/>
  <c r="AJ152" i="82"/>
  <c r="AE152" i="82"/>
  <c r="AB152" i="82"/>
  <c r="Z152" i="82"/>
  <c r="Y152" i="82"/>
  <c r="AA152" i="82" s="1"/>
  <c r="S152" i="82"/>
  <c r="L152" i="82"/>
  <c r="B152" i="82" s="1"/>
  <c r="C152" i="82" a="1"/>
  <c r="C152" i="82" s="1"/>
  <c r="AR151" i="82"/>
  <c r="AQ151" i="82"/>
  <c r="AM151" i="82"/>
  <c r="AJ151" i="82"/>
  <c r="AE151" i="82"/>
  <c r="AB151" i="82"/>
  <c r="Z151" i="82"/>
  <c r="Y151" i="82"/>
  <c r="AP151" i="82" s="1"/>
  <c r="S151" i="82"/>
  <c r="L151" i="82"/>
  <c r="B151" i="82" s="1"/>
  <c r="C151" i="82" a="1"/>
  <c r="C151" i="82" s="1"/>
  <c r="AR150" i="82"/>
  <c r="AQ150" i="82"/>
  <c r="AM150" i="82"/>
  <c r="AJ150" i="82"/>
  <c r="AE150" i="82"/>
  <c r="AB150" i="82"/>
  <c r="Z150" i="82"/>
  <c r="Y150" i="82"/>
  <c r="AA150" i="82" s="1"/>
  <c r="S150" i="82"/>
  <c r="L150" i="82"/>
  <c r="B150" i="82" s="1"/>
  <c r="C150" i="82" a="1"/>
  <c r="C150" i="82" s="1"/>
  <c r="AR149" i="82"/>
  <c r="AQ149" i="82"/>
  <c r="AM149" i="82"/>
  <c r="AJ149" i="82"/>
  <c r="AE149" i="82"/>
  <c r="AB149" i="82"/>
  <c r="Z149" i="82"/>
  <c r="Y149" i="82"/>
  <c r="AP149" i="82" s="1"/>
  <c r="S149" i="82"/>
  <c r="L149" i="82"/>
  <c r="B149" i="82" s="1"/>
  <c r="C149" i="82" a="1"/>
  <c r="C149" i="82" s="1"/>
  <c r="AR148" i="82"/>
  <c r="AQ148" i="82"/>
  <c r="AM148" i="82"/>
  <c r="AJ148" i="82"/>
  <c r="AE148" i="82"/>
  <c r="AB148" i="82"/>
  <c r="Z148" i="82"/>
  <c r="Y148" i="82"/>
  <c r="AP148" i="82" s="1"/>
  <c r="S148" i="82"/>
  <c r="L148" i="82"/>
  <c r="B148" i="82" s="1"/>
  <c r="C148" i="82" a="1"/>
  <c r="C148" i="82" s="1"/>
  <c r="AR147" i="82"/>
  <c r="AM147" i="82"/>
  <c r="AJ147" i="82"/>
  <c r="AE147" i="82"/>
  <c r="Z147" i="82"/>
  <c r="Y147" i="82"/>
  <c r="AA147" i="82" s="1"/>
  <c r="AB147" i="82" s="1"/>
  <c r="S147" i="82"/>
  <c r="L147" i="82"/>
  <c r="B147" i="82" s="1"/>
  <c r="C147" i="82" a="1"/>
  <c r="C147" i="82" s="1"/>
  <c r="AR146" i="82"/>
  <c r="AM146" i="82"/>
  <c r="AJ146" i="82"/>
  <c r="AE146" i="82"/>
  <c r="Z146" i="82"/>
  <c r="Y146" i="82"/>
  <c r="S146" i="82"/>
  <c r="L146" i="82"/>
  <c r="B146" i="82" s="1"/>
  <c r="C146" i="82" a="1"/>
  <c r="C146" i="82" s="1"/>
  <c r="AR145" i="82"/>
  <c r="AM145" i="82"/>
  <c r="AJ145" i="82"/>
  <c r="AE145" i="82"/>
  <c r="Z145" i="82"/>
  <c r="Y145" i="82"/>
  <c r="AA145" i="82" s="1"/>
  <c r="AB145" i="82" s="1"/>
  <c r="S145" i="82"/>
  <c r="C145" i="82" a="1"/>
  <c r="C145" i="82" s="1"/>
  <c r="B145" i="82"/>
  <c r="AW144" i="82"/>
  <c r="C144" i="82" a="1"/>
  <c r="C144" i="82" s="1"/>
  <c r="B144" i="82"/>
  <c r="AW143" i="82"/>
  <c r="C143" i="82" a="1"/>
  <c r="C143" i="82" s="1"/>
  <c r="B143" i="82"/>
  <c r="AW142" i="82"/>
  <c r="AF142" i="82"/>
  <c r="C142" i="82" a="1"/>
  <c r="C142" i="82" s="1"/>
  <c r="B142" i="82"/>
  <c r="AW141" i="82"/>
  <c r="Q141" i="82"/>
  <c r="U138" i="82" s="1"/>
  <c r="P141" i="82"/>
  <c r="P177" i="82" s="1"/>
  <c r="O141" i="82"/>
  <c r="N141" i="82"/>
  <c r="N173" i="82" s="1"/>
  <c r="C141" i="82" a="1"/>
  <c r="C141" i="82" s="1"/>
  <c r="B141" i="82"/>
  <c r="AW140" i="82"/>
  <c r="C140" i="82" a="1"/>
  <c r="C140" i="82" s="1"/>
  <c r="B140" i="82"/>
  <c r="AW139" i="82"/>
  <c r="AP139" i="82"/>
  <c r="AO139" i="82"/>
  <c r="C139" i="82" a="1"/>
  <c r="C139" i="82" s="1"/>
  <c r="B139" i="82"/>
  <c r="AW138" i="82"/>
  <c r="AK138" i="82"/>
  <c r="AB138" i="82"/>
  <c r="C138" i="82" a="1"/>
  <c r="C138" i="82" s="1"/>
  <c r="B138" i="82"/>
  <c r="AW137" i="82"/>
  <c r="C137" i="82" a="1"/>
  <c r="C137" i="82" s="1"/>
  <c r="B137" i="82"/>
  <c r="AW136" i="82"/>
  <c r="C136" i="82" a="1"/>
  <c r="C136" i="82" s="1"/>
  <c r="B136" i="82"/>
  <c r="AW135" i="82"/>
  <c r="AD135" i="82"/>
  <c r="AB135" i="82"/>
  <c r="C135" i="82" a="1"/>
  <c r="C135" i="82" s="1"/>
  <c r="B135" i="82"/>
  <c r="AW134" i="82"/>
  <c r="C134" i="82" a="1"/>
  <c r="C134" i="82" s="1"/>
  <c r="B134" i="82"/>
  <c r="AW133" i="82"/>
  <c r="R133" i="82"/>
  <c r="C133" i="82" a="1"/>
  <c r="C133" i="82" s="1"/>
  <c r="B133" i="82"/>
  <c r="AP132" i="82"/>
  <c r="AG132" i="82"/>
  <c r="AC132" i="82"/>
  <c r="AW132" i="82" s="1"/>
  <c r="C132" i="82" a="1"/>
  <c r="C132" i="82" s="1"/>
  <c r="B132" i="82"/>
  <c r="AP131" i="82"/>
  <c r="AG131" i="82"/>
  <c r="AC131" i="82"/>
  <c r="AW131" i="82" s="1"/>
  <c r="C131" i="82" a="1"/>
  <c r="C131" i="82" s="1"/>
  <c r="B131" i="82"/>
  <c r="AP130" i="82"/>
  <c r="AG130" i="82"/>
  <c r="AC130" i="82"/>
  <c r="AW130" i="82" s="1"/>
  <c r="Z130" i="82"/>
  <c r="C130" i="82" a="1"/>
  <c r="C130" i="82" s="1"/>
  <c r="B130" i="82"/>
  <c r="AP129" i="82"/>
  <c r="AG129" i="82"/>
  <c r="AC129" i="82"/>
  <c r="AW129" i="82" s="1"/>
  <c r="AB129" i="82"/>
  <c r="Y131" i="82" s="1"/>
  <c r="B129" i="82"/>
  <c r="AP128" i="82"/>
  <c r="AG128" i="82"/>
  <c r="AC128" i="82"/>
  <c r="AW128" i="82" s="1"/>
  <c r="C128" i="82" a="1"/>
  <c r="C128" i="82" s="1"/>
  <c r="B128" i="82"/>
  <c r="AC127" i="82"/>
  <c r="AW127" i="82" s="1"/>
  <c r="L127" i="82"/>
  <c r="B127" i="82" s="1"/>
  <c r="C127" i="82" a="1"/>
  <c r="C127" i="82" s="1"/>
  <c r="AP126" i="82"/>
  <c r="AP127" i="82" s="1"/>
  <c r="AG126" i="82"/>
  <c r="AG127" i="82" s="1"/>
  <c r="AC126" i="82"/>
  <c r="AW126" i="82" s="1"/>
  <c r="Z126" i="82"/>
  <c r="L126" i="82"/>
  <c r="B126" i="82" s="1"/>
  <c r="C126" i="82" a="1"/>
  <c r="C126" i="82" s="1"/>
  <c r="AW125" i="82"/>
  <c r="AB125" i="82"/>
  <c r="Y127" i="82" s="1"/>
  <c r="L125" i="82"/>
  <c r="B125" i="82" s="1"/>
  <c r="C125" i="82" a="1"/>
  <c r="C125" i="82" s="1"/>
  <c r="AC124" i="82"/>
  <c r="AW124" i="82" s="1"/>
  <c r="L124" i="82"/>
  <c r="B124" i="82" s="1"/>
  <c r="C124" i="82" a="1"/>
  <c r="C124" i="82" s="1"/>
  <c r="AC123" i="82"/>
  <c r="AW123" i="82" s="1"/>
  <c r="L123" i="82"/>
  <c r="B123" i="82" s="1"/>
  <c r="C123" i="82" a="1"/>
  <c r="C123" i="82" s="1"/>
  <c r="AC122" i="82"/>
  <c r="AW122" i="82" s="1"/>
  <c r="L122" i="82"/>
  <c r="B122" i="82" s="1"/>
  <c r="C122" i="82" a="1"/>
  <c r="C122" i="82" s="1"/>
  <c r="AC121" i="82"/>
  <c r="AW121" i="82" s="1"/>
  <c r="L121" i="82"/>
  <c r="B121" i="82" s="1"/>
  <c r="C121" i="82" a="1"/>
  <c r="C121" i="82" s="1"/>
  <c r="AC120" i="82"/>
  <c r="AW120" i="82" s="1"/>
  <c r="AB120" i="82"/>
  <c r="L120" i="82"/>
  <c r="B120" i="82" s="1"/>
  <c r="C120" i="82" a="1"/>
  <c r="C120" i="82" s="1"/>
  <c r="AC119" i="82"/>
  <c r="AW119" i="82" s="1"/>
  <c r="L119" i="82"/>
  <c r="B119" i="82" s="1"/>
  <c r="C119" i="82" a="1"/>
  <c r="C119" i="82" s="1"/>
  <c r="AC118" i="82"/>
  <c r="AW118" i="82" s="1"/>
  <c r="L118" i="82"/>
  <c r="B118" i="82" s="1"/>
  <c r="C118" i="82" a="1"/>
  <c r="C118" i="82" s="1"/>
  <c r="AC117" i="82"/>
  <c r="AW117" i="82" s="1"/>
  <c r="L117" i="82"/>
  <c r="B117" i="82" s="1"/>
  <c r="C117" i="82" a="1"/>
  <c r="C117" i="82" s="1"/>
  <c r="AC116" i="82"/>
  <c r="AW116" i="82" s="1"/>
  <c r="C116" i="82" a="1"/>
  <c r="C116" i="82" s="1"/>
  <c r="B116" i="82"/>
  <c r="AC115" i="82"/>
  <c r="AW115" i="82" s="1"/>
  <c r="C115" i="82" a="1"/>
  <c r="C115" i="82" s="1"/>
  <c r="B115" i="82"/>
  <c r="AC114" i="82"/>
  <c r="AW114" i="82" s="1"/>
  <c r="C114" i="82" a="1"/>
  <c r="C114" i="82" s="1"/>
  <c r="B114" i="82"/>
  <c r="AC113" i="82"/>
  <c r="AW113" i="82" s="1"/>
  <c r="C113" i="82" a="1"/>
  <c r="C113" i="82" s="1"/>
  <c r="B113" i="82"/>
  <c r="AC112" i="82"/>
  <c r="AW112" i="82" s="1"/>
  <c r="C112" i="82" a="1"/>
  <c r="C112" i="82" s="1"/>
  <c r="B112" i="82"/>
  <c r="AC111" i="82"/>
  <c r="AW111" i="82" s="1"/>
  <c r="C111" i="82" a="1"/>
  <c r="C111" i="82" s="1"/>
  <c r="B111" i="82"/>
  <c r="C110" i="82" a="1"/>
  <c r="C110" i="82" s="1"/>
  <c r="B110" i="82"/>
  <c r="AR109" i="82"/>
  <c r="AQ109" i="82"/>
  <c r="AM109" i="82"/>
  <c r="AJ109" i="82"/>
  <c r="AE109" i="82"/>
  <c r="AB109" i="82"/>
  <c r="Z109" i="82"/>
  <c r="Y109" i="82"/>
  <c r="AA109" i="82" s="1"/>
  <c r="S109" i="82"/>
  <c r="L109" i="82"/>
  <c r="B109" i="82" s="1"/>
  <c r="C109" i="82" a="1"/>
  <c r="C109" i="82" s="1"/>
  <c r="AR108" i="82"/>
  <c r="AQ108" i="82"/>
  <c r="AM108" i="82"/>
  <c r="AJ108" i="82"/>
  <c r="AE108" i="82"/>
  <c r="AB108" i="82"/>
  <c r="Z108" i="82"/>
  <c r="Y108" i="82"/>
  <c r="AA108" i="82" s="1"/>
  <c r="S108" i="82"/>
  <c r="L108" i="82"/>
  <c r="B108" i="82" s="1"/>
  <c r="C108" i="82" a="1"/>
  <c r="C108" i="82" s="1"/>
  <c r="AR107" i="82"/>
  <c r="AQ107" i="82"/>
  <c r="AM107" i="82"/>
  <c r="AJ107" i="82"/>
  <c r="AE107" i="82"/>
  <c r="AB107" i="82"/>
  <c r="Z107" i="82"/>
  <c r="Y107" i="82"/>
  <c r="AP107" i="82" s="1"/>
  <c r="S107" i="82"/>
  <c r="L107" i="82"/>
  <c r="B107" i="82" s="1"/>
  <c r="C107" i="82" a="1"/>
  <c r="C107" i="82" s="1"/>
  <c r="AR106" i="82"/>
  <c r="AQ106" i="82"/>
  <c r="AM106" i="82"/>
  <c r="AJ106" i="82"/>
  <c r="AE106" i="82"/>
  <c r="AB106" i="82"/>
  <c r="Z106" i="82"/>
  <c r="Y106" i="82"/>
  <c r="AA106" i="82" s="1"/>
  <c r="S106" i="82"/>
  <c r="L106" i="82"/>
  <c r="B106" i="82" s="1"/>
  <c r="C106" i="82" a="1"/>
  <c r="C106" i="82" s="1"/>
  <c r="AR105" i="82"/>
  <c r="AQ105" i="82"/>
  <c r="AM105" i="82"/>
  <c r="AJ105" i="82"/>
  <c r="AE105" i="82"/>
  <c r="AB105" i="82"/>
  <c r="Z105" i="82"/>
  <c r="Y105" i="82"/>
  <c r="AP105" i="82" s="1"/>
  <c r="S105" i="82"/>
  <c r="L105" i="82"/>
  <c r="B105" i="82" s="1"/>
  <c r="C105" i="82" a="1"/>
  <c r="C105" i="82" s="1"/>
  <c r="AR104" i="82"/>
  <c r="AQ104" i="82"/>
  <c r="AM104" i="82"/>
  <c r="AJ104" i="82"/>
  <c r="AE104" i="82"/>
  <c r="AB104" i="82"/>
  <c r="Z104" i="82"/>
  <c r="Y104" i="82"/>
  <c r="AA104" i="82" s="1"/>
  <c r="S104" i="82"/>
  <c r="L104" i="82"/>
  <c r="B104" i="82" s="1"/>
  <c r="C104" i="82" a="1"/>
  <c r="C104" i="82" s="1"/>
  <c r="AR103" i="82"/>
  <c r="AQ103" i="82"/>
  <c r="AM103" i="82"/>
  <c r="AJ103" i="82"/>
  <c r="AE103" i="82"/>
  <c r="AB103" i="82"/>
  <c r="Z103" i="82"/>
  <c r="Y103" i="82"/>
  <c r="AA103" i="82" s="1"/>
  <c r="S103" i="82"/>
  <c r="L103" i="82"/>
  <c r="B103" i="82" s="1"/>
  <c r="C103" i="82" a="1"/>
  <c r="C103" i="82" s="1"/>
  <c r="AR102" i="82"/>
  <c r="AQ102" i="82"/>
  <c r="AM102" i="82"/>
  <c r="AJ102" i="82"/>
  <c r="AE102" i="82"/>
  <c r="AB102" i="82"/>
  <c r="Z102" i="82"/>
  <c r="Y102" i="82"/>
  <c r="AP102" i="82" s="1"/>
  <c r="S102" i="82"/>
  <c r="L102" i="82"/>
  <c r="B102" i="82" s="1"/>
  <c r="C102" i="82" a="1"/>
  <c r="C102" i="82" s="1"/>
  <c r="AR101" i="82"/>
  <c r="AQ101" i="82"/>
  <c r="AM101" i="82"/>
  <c r="AJ101" i="82"/>
  <c r="AE101" i="82"/>
  <c r="AB101" i="82"/>
  <c r="Z101" i="82"/>
  <c r="Y101" i="82"/>
  <c r="AP101" i="82" s="1"/>
  <c r="S101" i="82"/>
  <c r="L101" i="82"/>
  <c r="B101" i="82" s="1"/>
  <c r="C101" i="82" a="1"/>
  <c r="C101" i="82" s="1"/>
  <c r="AR100" i="82"/>
  <c r="AQ100" i="82"/>
  <c r="AM100" i="82"/>
  <c r="AJ100" i="82"/>
  <c r="AE100" i="82"/>
  <c r="AB100" i="82"/>
  <c r="Z100" i="82"/>
  <c r="Y100" i="82"/>
  <c r="AP100" i="82" s="1"/>
  <c r="S100" i="82"/>
  <c r="L100" i="82"/>
  <c r="B100" i="82" s="1"/>
  <c r="C100" i="82" a="1"/>
  <c r="C100" i="82" s="1"/>
  <c r="AR99" i="82"/>
  <c r="AM99" i="82"/>
  <c r="AJ99" i="82"/>
  <c r="AE99" i="82"/>
  <c r="Z99" i="82"/>
  <c r="Y99" i="82"/>
  <c r="AA99" i="82" s="1"/>
  <c r="AB99" i="82" s="1"/>
  <c r="S99" i="82"/>
  <c r="L99" i="82"/>
  <c r="B99" i="82" s="1"/>
  <c r="C99" i="82" a="1"/>
  <c r="C99" i="82" s="1"/>
  <c r="AR98" i="82"/>
  <c r="AM98" i="82"/>
  <c r="AJ98" i="82"/>
  <c r="AE98" i="82"/>
  <c r="Z98" i="82"/>
  <c r="Y98" i="82"/>
  <c r="AA98" i="82" s="1"/>
  <c r="AB98" i="82" s="1"/>
  <c r="S98" i="82"/>
  <c r="L98" i="82"/>
  <c r="B98" i="82" s="1"/>
  <c r="C98" i="82" a="1"/>
  <c r="C98" i="82" s="1"/>
  <c r="AR97" i="82"/>
  <c r="AM97" i="82"/>
  <c r="AJ97" i="82"/>
  <c r="AE97" i="82"/>
  <c r="Z97" i="82"/>
  <c r="Y97" i="82"/>
  <c r="S97" i="82"/>
  <c r="L97" i="82"/>
  <c r="B97" i="82" s="1"/>
  <c r="C97" i="82" a="1"/>
  <c r="C97" i="82" s="1"/>
  <c r="AR96" i="82"/>
  <c r="AM96" i="82"/>
  <c r="AJ96" i="82"/>
  <c r="AE96" i="82"/>
  <c r="Z96" i="82"/>
  <c r="Y96" i="82"/>
  <c r="S96" i="82"/>
  <c r="C96" i="82" a="1"/>
  <c r="C96" i="82" s="1"/>
  <c r="B96" i="82"/>
  <c r="AW95" i="82"/>
  <c r="C95" i="82" a="1"/>
  <c r="C95" i="82" s="1"/>
  <c r="B95" i="82"/>
  <c r="AW94" i="82"/>
  <c r="C94" i="82" a="1"/>
  <c r="C94" i="82" s="1"/>
  <c r="B94" i="82"/>
  <c r="AW93" i="82"/>
  <c r="AF93" i="82"/>
  <c r="C93" i="82" a="1"/>
  <c r="C93" i="82" s="1"/>
  <c r="B93" i="82"/>
  <c r="AW92" i="82"/>
  <c r="Q92" i="82"/>
  <c r="U89" i="82" s="1"/>
  <c r="P92" i="82"/>
  <c r="P128" i="82" s="1"/>
  <c r="O92" i="82"/>
  <c r="O111" i="82" s="1"/>
  <c r="N92" i="82"/>
  <c r="N129" i="82" s="1"/>
  <c r="C92" i="82" a="1"/>
  <c r="C92" i="82" s="1"/>
  <c r="B92" i="82"/>
  <c r="AW91" i="82"/>
  <c r="C91" i="82" a="1"/>
  <c r="C91" i="82" s="1"/>
  <c r="B91" i="82"/>
  <c r="AW90" i="82"/>
  <c r="AP90" i="82"/>
  <c r="AO90" i="82"/>
  <c r="C90" i="82" a="1"/>
  <c r="C90" i="82" s="1"/>
  <c r="B90" i="82"/>
  <c r="AW89" i="82"/>
  <c r="AK89" i="82"/>
  <c r="AB89" i="82"/>
  <c r="C89" i="82" a="1"/>
  <c r="C89" i="82" s="1"/>
  <c r="B89" i="82"/>
  <c r="AW88" i="82"/>
  <c r="C88" i="82" a="1"/>
  <c r="C88" i="82" s="1"/>
  <c r="B88" i="82"/>
  <c r="AW87" i="82"/>
  <c r="C87" i="82" a="1"/>
  <c r="C87" i="82" s="1"/>
  <c r="B87" i="82"/>
  <c r="AW86" i="82"/>
  <c r="AS86" i="82"/>
  <c r="AD86" i="82"/>
  <c r="AB86" i="82"/>
  <c r="C86" i="82" a="1"/>
  <c r="C86" i="82" s="1"/>
  <c r="B86" i="82"/>
  <c r="BV85" i="82"/>
  <c r="BU85" i="82"/>
  <c r="BT85" i="82"/>
  <c r="AW85" i="82"/>
  <c r="C85" i="82" a="1"/>
  <c r="C85" i="82" s="1"/>
  <c r="B85" i="82"/>
  <c r="AW84" i="82"/>
  <c r="R84" i="82"/>
  <c r="C84" i="82" a="1"/>
  <c r="C84" i="82" s="1"/>
  <c r="B84" i="82"/>
  <c r="AP83" i="82"/>
  <c r="AG83" i="82"/>
  <c r="AC83" i="82"/>
  <c r="AW83" i="82" s="1"/>
  <c r="C83" i="82" a="1"/>
  <c r="C83" i="82" s="1"/>
  <c r="B83" i="82"/>
  <c r="BU82" i="82"/>
  <c r="AP82" i="82"/>
  <c r="AG82" i="82"/>
  <c r="AC82" i="82"/>
  <c r="AW82" i="82" s="1"/>
  <c r="C82" i="82" a="1"/>
  <c r="C82" i="82" s="1"/>
  <c r="B82" i="82"/>
  <c r="BU81" i="82"/>
  <c r="AP81" i="82"/>
  <c r="AG81" i="82"/>
  <c r="AC81" i="82"/>
  <c r="AW81" i="82" s="1"/>
  <c r="Z81" i="82"/>
  <c r="C81" i="82" a="1"/>
  <c r="C81" i="82" s="1"/>
  <c r="B81" i="82"/>
  <c r="BU80" i="82"/>
  <c r="AP80" i="82"/>
  <c r="AG80" i="82"/>
  <c r="AC80" i="82"/>
  <c r="AW80" i="82" s="1"/>
  <c r="AB80" i="82"/>
  <c r="Y82" i="82" s="1"/>
  <c r="C80" i="82" a="1"/>
  <c r="C80" i="82" s="1"/>
  <c r="B80" i="82"/>
  <c r="BU79" i="82"/>
  <c r="AP79" i="82"/>
  <c r="AG79" i="82"/>
  <c r="AC79" i="82"/>
  <c r="AW79" i="82" s="1"/>
  <c r="C79" i="82" a="1"/>
  <c r="C79" i="82" s="1"/>
  <c r="B79" i="82"/>
  <c r="BU78" i="82"/>
  <c r="AC78" i="82"/>
  <c r="AW78" i="82" s="1"/>
  <c r="L78" i="82"/>
  <c r="B78" i="82" s="1"/>
  <c r="C78" i="82" a="1"/>
  <c r="C78" i="82" s="1"/>
  <c r="BU77" i="82"/>
  <c r="AP77" i="82"/>
  <c r="AP78" i="82" s="1"/>
  <c r="AG77" i="82"/>
  <c r="AG78" i="82" s="1"/>
  <c r="AC77" i="82"/>
  <c r="AW77" i="82" s="1"/>
  <c r="Z77" i="82"/>
  <c r="L77" i="82"/>
  <c r="B77" i="82" s="1"/>
  <c r="C77" i="82" a="1"/>
  <c r="C77" i="82" s="1"/>
  <c r="BU76" i="82"/>
  <c r="AW76" i="82"/>
  <c r="AB76" i="82"/>
  <c r="Y78" i="82" s="1"/>
  <c r="L76" i="82"/>
  <c r="B76" i="82" s="1"/>
  <c r="C76" i="82" a="1"/>
  <c r="C76" i="82" s="1"/>
  <c r="BU75" i="82"/>
  <c r="BJ75" i="82"/>
  <c r="BI75" i="82"/>
  <c r="BH75" i="82"/>
  <c r="BG75" i="82"/>
  <c r="BF75" i="82"/>
  <c r="BE75" i="82"/>
  <c r="BD75" i="82"/>
  <c r="AC75" i="82"/>
  <c r="AW75" i="82" s="1"/>
  <c r="L75" i="82"/>
  <c r="B75" i="82" s="1"/>
  <c r="C75" i="82" a="1"/>
  <c r="C75" i="82" s="1"/>
  <c r="BU74" i="82"/>
  <c r="AC74" i="82"/>
  <c r="AW74" i="82" s="1"/>
  <c r="L74" i="82"/>
  <c r="B74" i="82" s="1"/>
  <c r="C74" i="82" a="1"/>
  <c r="C74" i="82" s="1"/>
  <c r="BU73" i="82"/>
  <c r="AC73" i="82"/>
  <c r="AW73" i="82" s="1"/>
  <c r="L73" i="82"/>
  <c r="B73" i="82" s="1"/>
  <c r="C73" i="82" a="1"/>
  <c r="C73" i="82" s="1"/>
  <c r="BU72" i="82"/>
  <c r="AC72" i="82"/>
  <c r="AW72" i="82" s="1"/>
  <c r="L72" i="82"/>
  <c r="B72" i="82" s="1"/>
  <c r="C72" i="82" a="1"/>
  <c r="C72" i="82" s="1"/>
  <c r="BU71" i="82"/>
  <c r="AC71" i="82"/>
  <c r="AW71" i="82" s="1"/>
  <c r="AB71" i="82"/>
  <c r="L71" i="82"/>
  <c r="B71" i="82" s="1"/>
  <c r="C71" i="82" a="1"/>
  <c r="C71" i="82" s="1"/>
  <c r="BU70" i="82"/>
  <c r="AC70" i="82"/>
  <c r="AW70" i="82" s="1"/>
  <c r="L70" i="82"/>
  <c r="B70" i="82" s="1"/>
  <c r="C70" i="82" a="1"/>
  <c r="C70" i="82" s="1"/>
  <c r="BU69" i="82"/>
  <c r="AC69" i="82"/>
  <c r="AW69" i="82" s="1"/>
  <c r="L69" i="82"/>
  <c r="B69" i="82" s="1"/>
  <c r="C69" i="82" a="1"/>
  <c r="C69" i="82" s="1"/>
  <c r="BU68" i="82"/>
  <c r="AC68" i="82"/>
  <c r="AW68" i="82" s="1"/>
  <c r="L68" i="82"/>
  <c r="B68" i="82" s="1"/>
  <c r="C68" i="82" a="1"/>
  <c r="C68" i="82" s="1"/>
  <c r="BU67" i="82"/>
  <c r="AC67" i="82"/>
  <c r="AW67" i="82" s="1"/>
  <c r="C67" i="82" a="1"/>
  <c r="C67" i="82" s="1"/>
  <c r="B67" i="82"/>
  <c r="BU66" i="82"/>
  <c r="AC66" i="82"/>
  <c r="AW66" i="82" s="1"/>
  <c r="C66" i="82" a="1"/>
  <c r="C66" i="82" s="1"/>
  <c r="B66" i="82"/>
  <c r="BU65" i="82"/>
  <c r="AC65" i="82"/>
  <c r="AW65" i="82" s="1"/>
  <c r="C65" i="82" a="1"/>
  <c r="C65" i="82" s="1"/>
  <c r="B65" i="82"/>
  <c r="BU64" i="82"/>
  <c r="AC64" i="82"/>
  <c r="AW64" i="82" s="1"/>
  <c r="C64" i="82" a="1"/>
  <c r="C64" i="82" s="1"/>
  <c r="B64" i="82"/>
  <c r="BU63" i="82"/>
  <c r="AC63" i="82"/>
  <c r="AW63" i="82" s="1"/>
  <c r="C63" i="82" a="1"/>
  <c r="C63" i="82" s="1"/>
  <c r="B63" i="82"/>
  <c r="BU62" i="82"/>
  <c r="AC62" i="82"/>
  <c r="AW62" i="82" s="1"/>
  <c r="C62" i="82" a="1"/>
  <c r="C62" i="82" s="1"/>
  <c r="B62" i="82"/>
  <c r="BU61" i="82"/>
  <c r="C61" i="82" a="1"/>
  <c r="C61" i="82" s="1"/>
  <c r="B61" i="82"/>
  <c r="BU60" i="82"/>
  <c r="AR60" i="82"/>
  <c r="AQ60" i="82"/>
  <c r="AM60" i="82"/>
  <c r="AJ60" i="82"/>
  <c r="AE60" i="82"/>
  <c r="AB60" i="82"/>
  <c r="Z60" i="82"/>
  <c r="Y60" i="82"/>
  <c r="S60" i="82"/>
  <c r="L60" i="82"/>
  <c r="B60" i="82" s="1"/>
  <c r="C60" i="82" a="1"/>
  <c r="C60" i="82" s="1"/>
  <c r="BU59" i="82"/>
  <c r="AR59" i="82"/>
  <c r="AQ59" i="82"/>
  <c r="AM59" i="82"/>
  <c r="AJ59" i="82"/>
  <c r="AE59" i="82"/>
  <c r="AB59" i="82"/>
  <c r="Z59" i="82"/>
  <c r="Y59" i="82"/>
  <c r="S59" i="82"/>
  <c r="L59" i="82"/>
  <c r="B59" i="82" s="1"/>
  <c r="C59" i="82" a="1"/>
  <c r="C59" i="82" s="1"/>
  <c r="BU58" i="82"/>
  <c r="AR58" i="82"/>
  <c r="AQ58" i="82"/>
  <c r="AM58" i="82"/>
  <c r="AJ58" i="82"/>
  <c r="AE58" i="82"/>
  <c r="AB58" i="82"/>
  <c r="Z58" i="82"/>
  <c r="Y58" i="82"/>
  <c r="AP58" i="82" s="1"/>
  <c r="S58" i="82"/>
  <c r="L58" i="82"/>
  <c r="B58" i="82" s="1"/>
  <c r="C58" i="82" a="1"/>
  <c r="C58" i="82" s="1"/>
  <c r="BU57" i="82"/>
  <c r="AR57" i="82"/>
  <c r="AQ57" i="82"/>
  <c r="AM57" i="82"/>
  <c r="AJ57" i="82"/>
  <c r="AE57" i="82"/>
  <c r="AB57" i="82"/>
  <c r="Z57" i="82"/>
  <c r="Y57" i="82"/>
  <c r="AA57" i="82" s="1"/>
  <c r="S57" i="82"/>
  <c r="L57" i="82"/>
  <c r="B57" i="82" s="1"/>
  <c r="C57" i="82" a="1"/>
  <c r="C57" i="82" s="1"/>
  <c r="BU56" i="82"/>
  <c r="AR56" i="82"/>
  <c r="AQ56" i="82"/>
  <c r="AM56" i="82"/>
  <c r="AJ56" i="82"/>
  <c r="AE56" i="82"/>
  <c r="AB56" i="82"/>
  <c r="Z56" i="82"/>
  <c r="Y56" i="82"/>
  <c r="AP56" i="82" s="1"/>
  <c r="S56" i="82"/>
  <c r="L56" i="82"/>
  <c r="B56" i="82" s="1"/>
  <c r="C56" i="82" a="1"/>
  <c r="C56" i="82" s="1"/>
  <c r="BU55" i="82"/>
  <c r="AR55" i="82"/>
  <c r="AQ55" i="82"/>
  <c r="AM55" i="82"/>
  <c r="AJ55" i="82"/>
  <c r="AE55" i="82"/>
  <c r="AB55" i="82"/>
  <c r="Z55" i="82"/>
  <c r="Y55" i="82"/>
  <c r="AA55" i="82" s="1"/>
  <c r="S55" i="82"/>
  <c r="L55" i="82"/>
  <c r="B55" i="82" s="1"/>
  <c r="C55" i="82" a="1"/>
  <c r="C55" i="82" s="1"/>
  <c r="BU54" i="82"/>
  <c r="AR54" i="82"/>
  <c r="AM54" i="82"/>
  <c r="AJ54" i="82"/>
  <c r="AE54" i="82"/>
  <c r="Z54" i="82"/>
  <c r="Y54" i="82"/>
  <c r="S54" i="82"/>
  <c r="L54" i="82"/>
  <c r="B54" i="82" s="1"/>
  <c r="C54" i="82" a="1"/>
  <c r="C54" i="82" s="1"/>
  <c r="BU53" i="82"/>
  <c r="AR53" i="82"/>
  <c r="AM53" i="82"/>
  <c r="AJ53" i="82"/>
  <c r="AE53" i="82"/>
  <c r="Z53" i="82"/>
  <c r="Y53" i="82"/>
  <c r="S53" i="82"/>
  <c r="L53" i="82"/>
  <c r="B53" i="82" s="1"/>
  <c r="C53" i="82" a="1"/>
  <c r="C53" i="82" s="1"/>
  <c r="BU52" i="82"/>
  <c r="AR52" i="82"/>
  <c r="AM52" i="82"/>
  <c r="AJ52" i="82"/>
  <c r="AE52" i="82"/>
  <c r="Z52" i="82"/>
  <c r="Y52" i="82"/>
  <c r="S52" i="82"/>
  <c r="L52" i="82"/>
  <c r="B52" i="82" s="1"/>
  <c r="C52" i="82" a="1"/>
  <c r="C52" i="82" s="1"/>
  <c r="BU51" i="82"/>
  <c r="AR51" i="82"/>
  <c r="AM51" i="82"/>
  <c r="AJ51" i="82"/>
  <c r="AE51" i="82"/>
  <c r="Z51" i="82"/>
  <c r="Y51" i="82"/>
  <c r="AA51" i="82" s="1"/>
  <c r="AB51" i="82" s="1"/>
  <c r="S51" i="82"/>
  <c r="L51" i="82"/>
  <c r="B51" i="82" s="1"/>
  <c r="C51" i="82" a="1"/>
  <c r="C51" i="82" s="1"/>
  <c r="BU50" i="82"/>
  <c r="AR50" i="82"/>
  <c r="AM50" i="82"/>
  <c r="AJ50" i="82"/>
  <c r="AE50" i="82"/>
  <c r="Z50" i="82"/>
  <c r="Y50" i="82"/>
  <c r="AA50" i="82" s="1"/>
  <c r="AB50" i="82" s="1"/>
  <c r="S50" i="82"/>
  <c r="L50" i="82"/>
  <c r="B50" i="82" s="1"/>
  <c r="C50" i="82" a="1"/>
  <c r="C50" i="82" s="1"/>
  <c r="BU49" i="82"/>
  <c r="AR49" i="82"/>
  <c r="AM49" i="82"/>
  <c r="AJ49" i="82"/>
  <c r="AE49" i="82"/>
  <c r="Z49" i="82"/>
  <c r="Y49" i="82"/>
  <c r="AA49" i="82" s="1"/>
  <c r="AB49" i="82" s="1"/>
  <c r="S49" i="82"/>
  <c r="L49" i="82"/>
  <c r="B49" i="82" s="1"/>
  <c r="C49" i="82" a="1"/>
  <c r="C49" i="82" s="1"/>
  <c r="BU48" i="82"/>
  <c r="AR48" i="82"/>
  <c r="AM48" i="82"/>
  <c r="AJ48" i="82"/>
  <c r="AE48" i="82"/>
  <c r="Z48" i="82"/>
  <c r="Y48" i="82"/>
  <c r="S48" i="82"/>
  <c r="L48" i="82"/>
  <c r="B48" i="82" s="1"/>
  <c r="C48" i="82" a="1"/>
  <c r="C48" i="82" s="1"/>
  <c r="BU47" i="82"/>
  <c r="AR47" i="82"/>
  <c r="AM47" i="82"/>
  <c r="AJ47" i="82"/>
  <c r="AE47" i="82"/>
  <c r="Z47" i="82"/>
  <c r="Y47" i="82"/>
  <c r="S47" i="82"/>
  <c r="C47" i="82" a="1"/>
  <c r="C47" i="82" s="1"/>
  <c r="B47" i="82"/>
  <c r="BU46" i="82"/>
  <c r="AW46" i="82"/>
  <c r="C46" i="82" a="1"/>
  <c r="C46" i="82" s="1"/>
  <c r="B46" i="82"/>
  <c r="BU45" i="82"/>
  <c r="AW45" i="82"/>
  <c r="C45" i="82" a="1"/>
  <c r="C45" i="82" s="1"/>
  <c r="B45" i="82"/>
  <c r="BU44" i="82"/>
  <c r="AW44" i="82"/>
  <c r="AF44" i="82"/>
  <c r="C44" i="82" a="1"/>
  <c r="C44" i="82" s="1"/>
  <c r="B44" i="82"/>
  <c r="BU43" i="82"/>
  <c r="AW43" i="82"/>
  <c r="Q43" i="82"/>
  <c r="U40" i="82" s="1"/>
  <c r="P43" i="82"/>
  <c r="P83" i="82" s="1"/>
  <c r="O43" i="82"/>
  <c r="O48" i="82" s="1"/>
  <c r="N43" i="82"/>
  <c r="N82" i="82" s="1"/>
  <c r="C43" i="82" a="1"/>
  <c r="C43" i="82" s="1"/>
  <c r="B43" i="82"/>
  <c r="BU42" i="82"/>
  <c r="AW42" i="82"/>
  <c r="C42" i="82" a="1"/>
  <c r="C42" i="82" s="1"/>
  <c r="B42" i="82"/>
  <c r="BU41" i="82"/>
  <c r="AW41" i="82"/>
  <c r="AP41" i="82"/>
  <c r="AO41" i="82"/>
  <c r="C41" i="82" a="1"/>
  <c r="C41" i="82" s="1"/>
  <c r="B41" i="82"/>
  <c r="BU40" i="82"/>
  <c r="AW40" i="82"/>
  <c r="AK40" i="82"/>
  <c r="AB40" i="82"/>
  <c r="C40" i="82" a="1"/>
  <c r="C40" i="82" s="1"/>
  <c r="B40" i="82"/>
  <c r="BU39" i="82"/>
  <c r="AW39" i="82"/>
  <c r="C39" i="82" a="1"/>
  <c r="C39" i="82" s="1"/>
  <c r="B39" i="82"/>
  <c r="BU38" i="82"/>
  <c r="AW38" i="82"/>
  <c r="B38" i="82"/>
  <c r="BU37" i="82"/>
  <c r="AW37" i="82"/>
  <c r="AS37" i="82"/>
  <c r="AD37" i="82"/>
  <c r="AB37" i="82"/>
  <c r="B37" i="82"/>
  <c r="BU36" i="82"/>
  <c r="B36" i="82"/>
  <c r="BU35" i="82"/>
  <c r="J35" i="82"/>
  <c r="I35" i="82"/>
  <c r="H35" i="82"/>
  <c r="G35" i="82"/>
  <c r="F35" i="82"/>
  <c r="E35" i="82"/>
  <c r="D35" i="82"/>
  <c r="C35" i="82"/>
  <c r="B35" i="82"/>
  <c r="BU34" i="82"/>
  <c r="B34" i="82"/>
  <c r="BU33" i="82"/>
  <c r="B33" i="82"/>
  <c r="BU32" i="82"/>
  <c r="B32" i="82"/>
  <c r="BU31" i="82"/>
  <c r="B31" i="82"/>
  <c r="BU30" i="82"/>
  <c r="B30" i="82"/>
  <c r="BU29" i="82"/>
  <c r="AN29" i="82"/>
  <c r="AJ29" i="82"/>
  <c r="AE29" i="82"/>
  <c r="R29" i="82"/>
  <c r="Z29" i="82" s="1"/>
  <c r="Q29" i="82"/>
  <c r="B29" i="82"/>
  <c r="BU28" i="82"/>
  <c r="B28" i="82"/>
  <c r="BU27" i="82"/>
  <c r="AN27" i="82"/>
  <c r="AJ27" i="82"/>
  <c r="AE27" i="82"/>
  <c r="R27" i="82"/>
  <c r="Z27" i="82" s="1"/>
  <c r="Q27" i="82"/>
  <c r="B27" i="82"/>
  <c r="BU26" i="82"/>
  <c r="B26" i="82"/>
  <c r="BU25" i="82"/>
  <c r="AN25" i="82"/>
  <c r="AJ25" i="82"/>
  <c r="AE25" i="82"/>
  <c r="R25" i="82"/>
  <c r="Z25" i="82" s="1"/>
  <c r="Q25" i="82"/>
  <c r="B25" i="82"/>
  <c r="BU24" i="82"/>
  <c r="B24" i="82"/>
  <c r="BU23" i="82"/>
  <c r="AN23" i="82"/>
  <c r="AJ23" i="82"/>
  <c r="AE23" i="82"/>
  <c r="R23" i="82"/>
  <c r="Z23" i="82" s="1"/>
  <c r="Q23" i="82"/>
  <c r="B23" i="82"/>
  <c r="BU22" i="82"/>
  <c r="B22" i="82"/>
  <c r="BU21" i="82"/>
  <c r="AN21" i="82"/>
  <c r="AJ21" i="82"/>
  <c r="AE21" i="82"/>
  <c r="R21" i="82"/>
  <c r="Z21" i="82" s="1"/>
  <c r="Q21" i="82"/>
  <c r="B21" i="82"/>
  <c r="BU20" i="82"/>
  <c r="B20" i="82"/>
  <c r="BU19" i="82"/>
  <c r="AN19" i="82"/>
  <c r="AJ19" i="82"/>
  <c r="AE19" i="82"/>
  <c r="R19" i="82"/>
  <c r="Z19" i="82" s="1"/>
  <c r="Q19" i="82"/>
  <c r="B19" i="82"/>
  <c r="BU18" i="82"/>
  <c r="B18" i="82"/>
  <c r="BU17" i="82"/>
  <c r="AD17" i="82"/>
  <c r="B17" i="82"/>
  <c r="BU16" i="82"/>
  <c r="AS16" i="82"/>
  <c r="AS45" i="82" s="1"/>
  <c r="B16" i="82"/>
  <c r="B15" i="82"/>
  <c r="B14" i="82"/>
  <c r="B13" i="82"/>
  <c r="BT12" i="82"/>
  <c r="B12" i="82"/>
  <c r="B11" i="82"/>
  <c r="B10" i="82"/>
  <c r="B9" i="82"/>
  <c r="B8" i="82"/>
  <c r="BY7" i="82"/>
  <c r="B7" i="82"/>
  <c r="BY6" i="82"/>
  <c r="AR6" i="82"/>
  <c r="B6" i="82"/>
  <c r="B5" i="82"/>
  <c r="BJ3" i="82"/>
  <c r="BZ1" i="82"/>
  <c r="BY1" i="82"/>
  <c r="BV1" i="82"/>
  <c r="BU1" i="82"/>
  <c r="BT1" i="82"/>
  <c r="BR1" i="82"/>
  <c r="BQ1" i="82"/>
  <c r="BP1" i="82"/>
  <c r="BO1" i="82"/>
  <c r="BN1" i="82"/>
  <c r="BM1" i="82"/>
  <c r="BL1" i="82"/>
  <c r="BJ1" i="82"/>
  <c r="BI1" i="82"/>
  <c r="BH1" i="82"/>
  <c r="BG1" i="82"/>
  <c r="BF1" i="82"/>
  <c r="BE1" i="82"/>
  <c r="BD1" i="82"/>
  <c r="BB1" i="82"/>
  <c r="BA1" i="82"/>
  <c r="AZ1" i="82"/>
  <c r="AY1" i="82"/>
  <c r="AX1" i="82"/>
  <c r="AW1" i="82"/>
  <c r="AS1" i="82"/>
  <c r="AR1" i="82"/>
  <c r="AQ1" i="82"/>
  <c r="AP1" i="82"/>
  <c r="AO1" i="82"/>
  <c r="AM1" i="82"/>
  <c r="AL1" i="82"/>
  <c r="AK1" i="82"/>
  <c r="AJ1" i="82"/>
  <c r="AI1" i="82"/>
  <c r="AH1" i="82"/>
  <c r="AG1" i="82"/>
  <c r="AF1" i="82"/>
  <c r="AE1" i="82"/>
  <c r="AD1" i="82"/>
  <c r="AC1" i="82"/>
  <c r="AB1" i="82"/>
  <c r="AA1" i="82"/>
  <c r="Z1" i="82"/>
  <c r="Y1" i="82"/>
  <c r="W1" i="82"/>
  <c r="V1" i="82"/>
  <c r="U1" i="82"/>
  <c r="T1" i="82"/>
  <c r="S1" i="82"/>
  <c r="R1" i="82"/>
  <c r="Q1" i="82"/>
  <c r="P1" i="82"/>
  <c r="O1" i="82"/>
  <c r="N1" i="82"/>
  <c r="M1" i="82"/>
  <c r="L1" i="82"/>
  <c r="K1" i="82"/>
  <c r="J1" i="82"/>
  <c r="I1" i="82"/>
  <c r="H1" i="82"/>
  <c r="G1" i="82"/>
  <c r="F1" i="82"/>
  <c r="E1" i="82"/>
  <c r="D1" i="82"/>
  <c r="C1" i="82"/>
  <c r="B1" i="82"/>
  <c r="A1" i="82"/>
  <c r="BO64" i="81"/>
  <c r="BM64" i="81"/>
  <c r="AS64" i="81"/>
  <c r="AQ64" i="81"/>
  <c r="U64" i="81"/>
  <c r="AP2" i="81"/>
  <c r="AO2" i="81"/>
  <c r="AN2" i="81"/>
  <c r="AM2" i="81"/>
  <c r="AL2" i="81"/>
  <c r="AK2" i="81"/>
  <c r="AJ2" i="81"/>
  <c r="AI2" i="81"/>
  <c r="AH2" i="81"/>
  <c r="AG2" i="81"/>
  <c r="AF2" i="81"/>
  <c r="AE2" i="81"/>
  <c r="AD2" i="81"/>
  <c r="AC2" i="81"/>
  <c r="AB2" i="81"/>
  <c r="AA2" i="81"/>
  <c r="Z2" i="81"/>
  <c r="Y2" i="81"/>
  <c r="X2" i="81"/>
  <c r="T2" i="81"/>
  <c r="S2" i="81"/>
  <c r="R2" i="81"/>
  <c r="Q2" i="81"/>
  <c r="P2" i="81"/>
  <c r="O2" i="81"/>
  <c r="N2" i="81"/>
  <c r="M2" i="81"/>
  <c r="L2" i="81"/>
  <c r="K2" i="81"/>
  <c r="J2" i="81"/>
  <c r="I2" i="81"/>
  <c r="H2" i="81"/>
  <c r="G2" i="81"/>
  <c r="F2" i="81"/>
  <c r="E2" i="81"/>
  <c r="D2" i="81"/>
  <c r="C2" i="81"/>
  <c r="B2" i="81"/>
  <c r="CL2" i="81"/>
  <c r="CK2" i="81"/>
  <c r="CJ2" i="81"/>
  <c r="CI2" i="81"/>
  <c r="CH2" i="81"/>
  <c r="CG2" i="81"/>
  <c r="CF2" i="81"/>
  <c r="CD2" i="81"/>
  <c r="CC2" i="81"/>
  <c r="CB2" i="81"/>
  <c r="CA2" i="81"/>
  <c r="BZ2" i="81"/>
  <c r="BY2" i="81"/>
  <c r="BX2" i="81"/>
  <c r="BV2" i="81"/>
  <c r="BU2" i="81"/>
  <c r="BT2" i="81"/>
  <c r="BS2" i="81"/>
  <c r="BR2" i="81"/>
  <c r="BQ2" i="81"/>
  <c r="BP2" i="81"/>
  <c r="BL2" i="81"/>
  <c r="BK2" i="81"/>
  <c r="BJ2" i="81"/>
  <c r="BI2" i="81"/>
  <c r="BH2" i="81"/>
  <c r="BG2" i="81"/>
  <c r="BF2" i="81"/>
  <c r="BE2" i="81"/>
  <c r="BD2" i="81"/>
  <c r="BC2" i="81"/>
  <c r="BB2" i="81"/>
  <c r="BA2" i="81"/>
  <c r="AZ2" i="81"/>
  <c r="AY2" i="81"/>
  <c r="AX2" i="81"/>
  <c r="AW2" i="81"/>
  <c r="AV2" i="81"/>
  <c r="AU2" i="81"/>
  <c r="AT2" i="81"/>
  <c r="CP414" i="81"/>
  <c r="CN414" i="81"/>
  <c r="BD404" i="81"/>
  <c r="AH404" i="81"/>
  <c r="L404" i="81"/>
  <c r="BD403" i="81"/>
  <c r="AH403" i="81"/>
  <c r="L403" i="81"/>
  <c r="BB402" i="81"/>
  <c r="BB403" i="81" s="1"/>
  <c r="AF402" i="81"/>
  <c r="AF403" i="81" s="1"/>
  <c r="J402" i="81"/>
  <c r="J403" i="81" s="1"/>
  <c r="BD399" i="81"/>
  <c r="BD400" i="81" s="1"/>
  <c r="BB399" i="81"/>
  <c r="BB400" i="81" s="1"/>
  <c r="AH399" i="81"/>
  <c r="AH400" i="81" s="1"/>
  <c r="AF399" i="81"/>
  <c r="AF400" i="81" s="1"/>
  <c r="L399" i="81"/>
  <c r="L400" i="81" s="1"/>
  <c r="J399" i="81"/>
  <c r="J400" i="81" s="1"/>
  <c r="BD381" i="81"/>
  <c r="AY383" i="81" s="1"/>
  <c r="AH381" i="81"/>
  <c r="AC383" i="81" s="1"/>
  <c r="L381" i="81"/>
  <c r="G383" i="81" s="1"/>
  <c r="BD380" i="81"/>
  <c r="AY382" i="81" s="1"/>
  <c r="AH380" i="81"/>
  <c r="AC382" i="81" s="1"/>
  <c r="L380" i="81"/>
  <c r="G382" i="81" s="1"/>
  <c r="BD364" i="81"/>
  <c r="BC364" i="81"/>
  <c r="BB364" i="81"/>
  <c r="AZ364" i="81"/>
  <c r="AY364" i="81"/>
  <c r="AH364" i="81"/>
  <c r="AG364" i="81"/>
  <c r="AF364" i="81"/>
  <c r="AD364" i="81"/>
  <c r="AC364" i="81"/>
  <c r="L364" i="81"/>
  <c r="K364" i="81"/>
  <c r="J364" i="81"/>
  <c r="H364" i="81"/>
  <c r="G364" i="81"/>
  <c r="AY362" i="81"/>
  <c r="AC362" i="81"/>
  <c r="G362" i="81"/>
  <c r="BD361" i="81"/>
  <c r="BC361" i="81"/>
  <c r="BB361" i="81"/>
  <c r="AZ361" i="81"/>
  <c r="AY361" i="81"/>
  <c r="AH361" i="81"/>
  <c r="AG361" i="81"/>
  <c r="AF361" i="81"/>
  <c r="AD361" i="81"/>
  <c r="AC361" i="81"/>
  <c r="L361" i="81"/>
  <c r="K361" i="81"/>
  <c r="J361" i="81"/>
  <c r="H361" i="81"/>
  <c r="G361" i="81"/>
  <c r="AY359" i="81"/>
  <c r="AC359" i="81"/>
  <c r="G359" i="81"/>
  <c r="BB351" i="81"/>
  <c r="AF351" i="81"/>
  <c r="J351" i="81"/>
  <c r="BB350" i="81"/>
  <c r="AF350" i="81"/>
  <c r="J350" i="81"/>
  <c r="BB349" i="81"/>
  <c r="AF349" i="81"/>
  <c r="J349" i="81"/>
  <c r="BB348" i="81"/>
  <c r="AF348" i="81"/>
  <c r="J348" i="81"/>
  <c r="BB347" i="81"/>
  <c r="AF347" i="81"/>
  <c r="J347" i="81"/>
  <c r="BB346" i="81"/>
  <c r="AF346" i="81"/>
  <c r="J346" i="81"/>
  <c r="BB345" i="81"/>
  <c r="AF345" i="81"/>
  <c r="J345" i="81"/>
  <c r="BB344" i="81"/>
  <c r="AF344" i="81"/>
  <c r="J344" i="81"/>
  <c r="BB343" i="81"/>
  <c r="AF343" i="81"/>
  <c r="J343" i="81"/>
  <c r="BC342" i="81"/>
  <c r="AG342" i="81"/>
  <c r="K342" i="81"/>
  <c r="CL341" i="81"/>
  <c r="CK341" i="81"/>
  <c r="CJ341" i="81"/>
  <c r="CI341" i="81"/>
  <c r="CH341" i="81"/>
  <c r="CG341" i="81"/>
  <c r="CF341" i="81"/>
  <c r="CD341" i="81"/>
  <c r="CC341" i="81"/>
  <c r="CB341" i="81"/>
  <c r="CA341" i="81"/>
  <c r="BZ341" i="81"/>
  <c r="BY341" i="81"/>
  <c r="BX341" i="81"/>
  <c r="BV341" i="81"/>
  <c r="BU341" i="81"/>
  <c r="BT341" i="81"/>
  <c r="BS341" i="81"/>
  <c r="BR341" i="81"/>
  <c r="BQ341" i="81"/>
  <c r="BP341" i="81"/>
  <c r="AZ333" i="81"/>
  <c r="AD333" i="81"/>
  <c r="H333" i="81"/>
  <c r="CJ332" i="81"/>
  <c r="CI332" i="81"/>
  <c r="CG332" i="81"/>
  <c r="CF332" i="81"/>
  <c r="CB332" i="81"/>
  <c r="CA332" i="81"/>
  <c r="BY332" i="81"/>
  <c r="BX332" i="81"/>
  <c r="BT332" i="81"/>
  <c r="BS332" i="81"/>
  <c r="BQ332" i="81"/>
  <c r="BP332" i="81"/>
  <c r="CJ331" i="81"/>
  <c r="CI331" i="81"/>
  <c r="CG331" i="81"/>
  <c r="CF331" i="81"/>
  <c r="CB331" i="81"/>
  <c r="CA331" i="81"/>
  <c r="BY331" i="81"/>
  <c r="BX331" i="81"/>
  <c r="BT331" i="81"/>
  <c r="BS331" i="81"/>
  <c r="BQ331" i="81"/>
  <c r="BP331" i="81"/>
  <c r="CF320" i="81"/>
  <c r="BX320" i="81"/>
  <c r="BP320" i="81"/>
  <c r="CF319" i="81"/>
  <c r="BX319" i="81"/>
  <c r="BP319" i="81"/>
  <c r="BA288" i="81"/>
  <c r="BD288" i="81" s="1"/>
  <c r="AE288" i="81"/>
  <c r="AH288" i="81" s="1"/>
  <c r="I288" i="81"/>
  <c r="L288" i="81" s="1"/>
  <c r="BA287" i="81"/>
  <c r="BD287" i="81" s="1"/>
  <c r="AE287" i="81"/>
  <c r="AH287" i="81" s="1"/>
  <c r="I287" i="81"/>
  <c r="L287" i="81" s="1"/>
  <c r="BA286" i="81"/>
  <c r="BD286" i="81" s="1"/>
  <c r="AE286" i="81"/>
  <c r="AH286" i="81" s="1"/>
  <c r="I286" i="81"/>
  <c r="L286" i="81" s="1"/>
  <c r="BA285" i="81"/>
  <c r="BD285" i="81" s="1"/>
  <c r="AE285" i="81"/>
  <c r="AH285" i="81" s="1"/>
  <c r="I285" i="81"/>
  <c r="L285" i="81" s="1"/>
  <c r="CH275" i="81"/>
  <c r="BZ275" i="81"/>
  <c r="BR275" i="81"/>
  <c r="CJ274" i="81"/>
  <c r="CG276" i="81" s="1"/>
  <c r="CB274" i="81"/>
  <c r="BY276" i="81" s="1"/>
  <c r="BT274" i="81"/>
  <c r="BQ276" i="81" s="1"/>
  <c r="CH271" i="81"/>
  <c r="BZ271" i="81"/>
  <c r="BR271" i="81"/>
  <c r="CJ270" i="81"/>
  <c r="CG272" i="81" s="1"/>
  <c r="CB270" i="81"/>
  <c r="BY272" i="81" s="1"/>
  <c r="BR270" i="81"/>
  <c r="BT267" i="81"/>
  <c r="BQ272" i="81" s="1"/>
  <c r="AY267" i="81"/>
  <c r="AC267" i="81"/>
  <c r="G267" i="81"/>
  <c r="CJ265" i="81"/>
  <c r="CB265" i="81"/>
  <c r="BT265" i="81"/>
  <c r="AZ250" i="81"/>
  <c r="AD250" i="81"/>
  <c r="H250" i="81"/>
  <c r="BC234" i="81"/>
  <c r="BB234" i="81"/>
  <c r="AZ234" i="81"/>
  <c r="AY234" i="81"/>
  <c r="AG234" i="81"/>
  <c r="AF234" i="81"/>
  <c r="AD234" i="81"/>
  <c r="AC234" i="81"/>
  <c r="K234" i="81"/>
  <c r="J234" i="81"/>
  <c r="H234" i="81"/>
  <c r="G234" i="81"/>
  <c r="BC233" i="81"/>
  <c r="BB233" i="81"/>
  <c r="AZ233" i="81"/>
  <c r="AY233" i="81"/>
  <c r="AG233" i="81"/>
  <c r="AF233" i="81"/>
  <c r="AD233" i="81"/>
  <c r="AC233" i="81"/>
  <c r="K233" i="81"/>
  <c r="J233" i="81"/>
  <c r="H233" i="81"/>
  <c r="G233" i="81"/>
  <c r="AY216" i="81"/>
  <c r="AC216" i="81"/>
  <c r="G216" i="81"/>
  <c r="AY215" i="81"/>
  <c r="AC215" i="81"/>
  <c r="G215" i="81"/>
  <c r="AZ165" i="81"/>
  <c r="AD165" i="81"/>
  <c r="H165" i="81"/>
  <c r="AT162" i="81"/>
  <c r="X162" i="81"/>
  <c r="B162" i="81"/>
  <c r="AT161" i="81"/>
  <c r="X161" i="81"/>
  <c r="B161" i="81"/>
  <c r="AT160" i="81"/>
  <c r="X160" i="81"/>
  <c r="B160" i="81"/>
  <c r="AT159" i="81"/>
  <c r="X159" i="81"/>
  <c r="B159" i="81"/>
  <c r="BJ158" i="81"/>
  <c r="AT158" i="81"/>
  <c r="AN158" i="81"/>
  <c r="X158" i="81"/>
  <c r="R158" i="81"/>
  <c r="B158" i="81"/>
  <c r="BL157" i="81"/>
  <c r="BI159" i="81" s="1"/>
  <c r="AT157" i="81"/>
  <c r="AP157" i="81"/>
  <c r="AM159" i="81" s="1"/>
  <c r="X157" i="81"/>
  <c r="T157" i="81"/>
  <c r="Q159" i="81" s="1"/>
  <c r="B157" i="81"/>
  <c r="AT156" i="81"/>
  <c r="X156" i="81"/>
  <c r="B156" i="81"/>
  <c r="AT155" i="81"/>
  <c r="X155" i="81"/>
  <c r="B155" i="81"/>
  <c r="BJ154" i="81"/>
  <c r="AT154" i="81"/>
  <c r="AN154" i="81"/>
  <c r="X154" i="81"/>
  <c r="R154" i="81"/>
  <c r="B154" i="81"/>
  <c r="BJ153" i="81"/>
  <c r="AT153" i="81"/>
  <c r="AN153" i="81"/>
  <c r="X153" i="81"/>
  <c r="R153" i="81"/>
  <c r="B153" i="81"/>
  <c r="AT152" i="81"/>
  <c r="X152" i="81"/>
  <c r="B152" i="81"/>
  <c r="AT151" i="81"/>
  <c r="X151" i="81"/>
  <c r="B151" i="81"/>
  <c r="BL150" i="81"/>
  <c r="BI155" i="81" s="1"/>
  <c r="AT150" i="81"/>
  <c r="AP150" i="81"/>
  <c r="AM155" i="81" s="1"/>
  <c r="X150" i="81"/>
  <c r="T150" i="81"/>
  <c r="Q155" i="81" s="1"/>
  <c r="B150" i="81"/>
  <c r="AT149" i="81"/>
  <c r="X149" i="81"/>
  <c r="B149" i="81"/>
  <c r="BL148" i="81"/>
  <c r="AT148" i="81"/>
  <c r="AP148" i="81"/>
  <c r="X148" i="81"/>
  <c r="T148" i="81"/>
  <c r="B148" i="81"/>
  <c r="AT147" i="81"/>
  <c r="X147" i="81"/>
  <c r="B147" i="81"/>
  <c r="AT146" i="81"/>
  <c r="X146" i="81"/>
  <c r="B146" i="81"/>
  <c r="AT145" i="81"/>
  <c r="X145" i="81"/>
  <c r="B145" i="81"/>
  <c r="AT144" i="81"/>
  <c r="X144" i="81"/>
  <c r="B144" i="81"/>
  <c r="AT143" i="81"/>
  <c r="X143" i="81"/>
  <c r="B143" i="81"/>
  <c r="BD142" i="81"/>
  <c r="BC142" i="81"/>
  <c r="BB142" i="81"/>
  <c r="BA142" i="81"/>
  <c r="AZ142" i="81"/>
  <c r="AY142" i="81"/>
  <c r="AH142" i="81"/>
  <c r="AG142" i="81"/>
  <c r="AF142" i="81"/>
  <c r="AE142" i="81"/>
  <c r="AD142" i="81"/>
  <c r="AC142" i="81"/>
  <c r="L142" i="81"/>
  <c r="K142" i="81"/>
  <c r="J142" i="81"/>
  <c r="I142" i="81"/>
  <c r="H142" i="81"/>
  <c r="G142" i="81"/>
  <c r="BK137" i="81"/>
  <c r="AO137" i="81"/>
  <c r="S137" i="81"/>
  <c r="BJ136" i="81"/>
  <c r="BI136" i="81"/>
  <c r="BK136" i="81" s="1"/>
  <c r="BL136" i="81" s="1"/>
  <c r="BA136" i="81"/>
  <c r="AT136" i="81"/>
  <c r="AN136" i="81"/>
  <c r="AM136" i="81"/>
  <c r="AO136" i="81" s="1"/>
  <c r="AP136" i="81" s="1"/>
  <c r="AE136" i="81"/>
  <c r="X136" i="81"/>
  <c r="R136" i="81"/>
  <c r="Q136" i="81"/>
  <c r="S136" i="81" s="1"/>
  <c r="T136" i="81" s="1"/>
  <c r="I136" i="81"/>
  <c r="B136" i="81"/>
  <c r="BJ135" i="81"/>
  <c r="BI135" i="81"/>
  <c r="BK135" i="81" s="1"/>
  <c r="BL135" i="81" s="1"/>
  <c r="BA135" i="81"/>
  <c r="AT135" i="81"/>
  <c r="AN135" i="81"/>
  <c r="AM135" i="81"/>
  <c r="AO135" i="81" s="1"/>
  <c r="AP135" i="81" s="1"/>
  <c r="AE135" i="81"/>
  <c r="X135" i="81"/>
  <c r="R135" i="81"/>
  <c r="Q135" i="81"/>
  <c r="S135" i="81" s="1"/>
  <c r="T135" i="81" s="1"/>
  <c r="I135" i="81"/>
  <c r="B135" i="81"/>
  <c r="BJ134" i="81"/>
  <c r="BI134" i="81"/>
  <c r="BK134" i="81" s="1"/>
  <c r="BL134" i="81" s="1"/>
  <c r="BA134" i="81"/>
  <c r="AT134" i="81"/>
  <c r="AN134" i="81"/>
  <c r="AM134" i="81"/>
  <c r="AO134" i="81" s="1"/>
  <c r="AP134" i="81" s="1"/>
  <c r="AE134" i="81"/>
  <c r="X134" i="81"/>
  <c r="R134" i="81"/>
  <c r="Q134" i="81"/>
  <c r="S134" i="81" s="1"/>
  <c r="T134" i="81" s="1"/>
  <c r="I134" i="81"/>
  <c r="B134" i="81"/>
  <c r="BJ133" i="81"/>
  <c r="BI133" i="81"/>
  <c r="BK133" i="81" s="1"/>
  <c r="BL133" i="81" s="1"/>
  <c r="BA133" i="81"/>
  <c r="AT133" i="81"/>
  <c r="AN133" i="81"/>
  <c r="AM133" i="81"/>
  <c r="AO133" i="81" s="1"/>
  <c r="AP133" i="81" s="1"/>
  <c r="AE133" i="81"/>
  <c r="X133" i="81"/>
  <c r="R133" i="81"/>
  <c r="Q133" i="81"/>
  <c r="S133" i="81" s="1"/>
  <c r="T133" i="81" s="1"/>
  <c r="I133" i="81"/>
  <c r="B133" i="81"/>
  <c r="BJ132" i="81"/>
  <c r="BI132" i="81"/>
  <c r="BK132" i="81" s="1"/>
  <c r="BL132" i="81" s="1"/>
  <c r="BA132" i="81"/>
  <c r="AT132" i="81"/>
  <c r="AN132" i="81"/>
  <c r="AM132" i="81"/>
  <c r="AO132" i="81" s="1"/>
  <c r="AP132" i="81" s="1"/>
  <c r="AE132" i="81"/>
  <c r="X132" i="81"/>
  <c r="R132" i="81"/>
  <c r="Q132" i="81"/>
  <c r="S132" i="81" s="1"/>
  <c r="T132" i="81" s="1"/>
  <c r="I132" i="81"/>
  <c r="B132" i="81"/>
  <c r="BJ131" i="81"/>
  <c r="BI131" i="81"/>
  <c r="BK131" i="81" s="1"/>
  <c r="BL131" i="81" s="1"/>
  <c r="BA131" i="81"/>
  <c r="AT131" i="81"/>
  <c r="AN131" i="81"/>
  <c r="AM131" i="81"/>
  <c r="AO131" i="81" s="1"/>
  <c r="AP131" i="81" s="1"/>
  <c r="AE131" i="81"/>
  <c r="X131" i="81"/>
  <c r="R131" i="81"/>
  <c r="Q131" i="81"/>
  <c r="S131" i="81" s="1"/>
  <c r="T131" i="81" s="1"/>
  <c r="I131" i="81"/>
  <c r="B131" i="81"/>
  <c r="BJ130" i="81"/>
  <c r="BI130" i="81"/>
  <c r="BK130" i="81" s="1"/>
  <c r="BL130" i="81" s="1"/>
  <c r="BA130" i="81"/>
  <c r="AT130" i="81"/>
  <c r="AN130" i="81"/>
  <c r="AM130" i="81"/>
  <c r="AO130" i="81" s="1"/>
  <c r="AP130" i="81" s="1"/>
  <c r="AE130" i="81"/>
  <c r="X130" i="81"/>
  <c r="R130" i="81"/>
  <c r="Q130" i="81"/>
  <c r="S130" i="81" s="1"/>
  <c r="T130" i="81" s="1"/>
  <c r="I130" i="81"/>
  <c r="B130" i="81"/>
  <c r="BJ129" i="81"/>
  <c r="BI129" i="81"/>
  <c r="BK129" i="81" s="1"/>
  <c r="BL129" i="81" s="1"/>
  <c r="BA129" i="81"/>
  <c r="AT129" i="81"/>
  <c r="AN129" i="81"/>
  <c r="AM129" i="81"/>
  <c r="AO129" i="81" s="1"/>
  <c r="AP129" i="81" s="1"/>
  <c r="AE129" i="81"/>
  <c r="X129" i="81"/>
  <c r="R129" i="81"/>
  <c r="Q129" i="81"/>
  <c r="S129" i="81" s="1"/>
  <c r="T129" i="81" s="1"/>
  <c r="I129" i="81"/>
  <c r="B129" i="81"/>
  <c r="BJ128" i="81"/>
  <c r="BI128" i="81"/>
  <c r="BK128" i="81" s="1"/>
  <c r="BL128" i="81" s="1"/>
  <c r="BA128" i="81"/>
  <c r="AT128" i="81"/>
  <c r="AN128" i="81"/>
  <c r="AM128" i="81"/>
  <c r="AO128" i="81" s="1"/>
  <c r="AP128" i="81" s="1"/>
  <c r="AE128" i="81"/>
  <c r="X128" i="81"/>
  <c r="R128" i="81"/>
  <c r="Q128" i="81"/>
  <c r="S128" i="81" s="1"/>
  <c r="T128" i="81" s="1"/>
  <c r="I128" i="81"/>
  <c r="B128" i="81"/>
  <c r="BJ127" i="81"/>
  <c r="BI127" i="81"/>
  <c r="BK127" i="81" s="1"/>
  <c r="BL127" i="81" s="1"/>
  <c r="BA127" i="81"/>
  <c r="AT127" i="81"/>
  <c r="AN127" i="81"/>
  <c r="AM127" i="81"/>
  <c r="AO127" i="81" s="1"/>
  <c r="AP127" i="81" s="1"/>
  <c r="AE127" i="81"/>
  <c r="X127" i="81"/>
  <c r="R127" i="81"/>
  <c r="Q127" i="81"/>
  <c r="S127" i="81" s="1"/>
  <c r="T127" i="81" s="1"/>
  <c r="I127" i="81"/>
  <c r="B127" i="81"/>
  <c r="BJ126" i="81"/>
  <c r="BI126" i="81"/>
  <c r="BK126" i="81" s="1"/>
  <c r="BL126" i="81" s="1"/>
  <c r="BA126" i="81"/>
  <c r="AT126" i="81"/>
  <c r="AN126" i="81"/>
  <c r="AM126" i="81"/>
  <c r="AO126" i="81" s="1"/>
  <c r="AP126" i="81" s="1"/>
  <c r="AE126" i="81"/>
  <c r="X126" i="81"/>
  <c r="R126" i="81"/>
  <c r="Q126" i="81"/>
  <c r="S126" i="81" s="1"/>
  <c r="T126" i="81" s="1"/>
  <c r="I126" i="81"/>
  <c r="B126" i="81"/>
  <c r="BJ125" i="81"/>
  <c r="BI125" i="81"/>
  <c r="BK125" i="81" s="1"/>
  <c r="BL125" i="81" s="1"/>
  <c r="BA125" i="81"/>
  <c r="AT125" i="81"/>
  <c r="AN125" i="81"/>
  <c r="AM125" i="81"/>
  <c r="AO125" i="81" s="1"/>
  <c r="AP125" i="81" s="1"/>
  <c r="AE125" i="81"/>
  <c r="X125" i="81"/>
  <c r="R125" i="81"/>
  <c r="Q125" i="81"/>
  <c r="S125" i="81" s="1"/>
  <c r="T125" i="81" s="1"/>
  <c r="I125" i="81"/>
  <c r="B125" i="81"/>
  <c r="BJ124" i="81"/>
  <c r="BI124" i="81"/>
  <c r="BK124" i="81" s="1"/>
  <c r="BL124" i="81" s="1"/>
  <c r="BA124" i="81"/>
  <c r="AT124" i="81"/>
  <c r="AN124" i="81"/>
  <c r="AM124" i="81"/>
  <c r="AO124" i="81" s="1"/>
  <c r="AP124" i="81" s="1"/>
  <c r="AE124" i="81"/>
  <c r="X124" i="81"/>
  <c r="R124" i="81"/>
  <c r="Q124" i="81"/>
  <c r="S124" i="81" s="1"/>
  <c r="T124" i="81" s="1"/>
  <c r="I124" i="81"/>
  <c r="B124" i="81"/>
  <c r="BJ123" i="81"/>
  <c r="BI123" i="81"/>
  <c r="BK123" i="81" s="1"/>
  <c r="BL123" i="81" s="1"/>
  <c r="BA123" i="81"/>
  <c r="AT123" i="81"/>
  <c r="AN123" i="81"/>
  <c r="AM123" i="81"/>
  <c r="AO123" i="81" s="1"/>
  <c r="AP123" i="81" s="1"/>
  <c r="AE123" i="81"/>
  <c r="X123" i="81"/>
  <c r="R123" i="81"/>
  <c r="Q123" i="81"/>
  <c r="S123" i="81" s="1"/>
  <c r="T123" i="81" s="1"/>
  <c r="I123" i="81"/>
  <c r="B123" i="81"/>
  <c r="BJ122" i="81"/>
  <c r="BI122" i="81"/>
  <c r="BK122" i="81" s="1"/>
  <c r="BL122" i="81" s="1"/>
  <c r="BA122" i="81"/>
  <c r="AT122" i="81"/>
  <c r="AN122" i="81"/>
  <c r="AM122" i="81"/>
  <c r="AO122" i="81" s="1"/>
  <c r="AP122" i="81" s="1"/>
  <c r="AE122" i="81"/>
  <c r="X122" i="81"/>
  <c r="R122" i="81"/>
  <c r="Q122" i="81"/>
  <c r="S122" i="81" s="1"/>
  <c r="T122" i="81" s="1"/>
  <c r="I122" i="81"/>
  <c r="B122" i="81"/>
  <c r="BJ121" i="81"/>
  <c r="BI121" i="81"/>
  <c r="BK121" i="81" s="1"/>
  <c r="BL121" i="81" s="1"/>
  <c r="BA121" i="81"/>
  <c r="AT121" i="81"/>
  <c r="AN121" i="81"/>
  <c r="AM121" i="81"/>
  <c r="AO121" i="81" s="1"/>
  <c r="AP121" i="81" s="1"/>
  <c r="AE121" i="81"/>
  <c r="X121" i="81"/>
  <c r="R121" i="81"/>
  <c r="Q121" i="81"/>
  <c r="S121" i="81" s="1"/>
  <c r="T121" i="81" s="1"/>
  <c r="I121" i="81"/>
  <c r="B121" i="81"/>
  <c r="BJ120" i="81"/>
  <c r="BI120" i="81"/>
  <c r="BK120" i="81" s="1"/>
  <c r="BL120" i="81" s="1"/>
  <c r="BA120" i="81"/>
  <c r="AT120" i="81"/>
  <c r="AN120" i="81"/>
  <c r="AM120" i="81"/>
  <c r="AO120" i="81" s="1"/>
  <c r="AP120" i="81" s="1"/>
  <c r="AE120" i="81"/>
  <c r="X120" i="81"/>
  <c r="R120" i="81"/>
  <c r="Q120" i="81"/>
  <c r="S120" i="81" s="1"/>
  <c r="T120" i="81" s="1"/>
  <c r="I120" i="81"/>
  <c r="B120" i="81"/>
  <c r="BJ119" i="81"/>
  <c r="BI119" i="81"/>
  <c r="BK119" i="81" s="1"/>
  <c r="BL119" i="81" s="1"/>
  <c r="BA119" i="81"/>
  <c r="AT119" i="81"/>
  <c r="AN119" i="81"/>
  <c r="AM119" i="81"/>
  <c r="AO119" i="81" s="1"/>
  <c r="AP119" i="81" s="1"/>
  <c r="AE119" i="81"/>
  <c r="X119" i="81"/>
  <c r="R119" i="81"/>
  <c r="Q119" i="81"/>
  <c r="S119" i="81" s="1"/>
  <c r="T119" i="81" s="1"/>
  <c r="I119" i="81"/>
  <c r="B119" i="81"/>
  <c r="BJ118" i="81"/>
  <c r="BI118" i="81"/>
  <c r="BK118" i="81" s="1"/>
  <c r="BL118" i="81" s="1"/>
  <c r="BA118" i="81"/>
  <c r="AT118" i="81"/>
  <c r="AN118" i="81"/>
  <c r="AM118" i="81"/>
  <c r="AO118" i="81" s="1"/>
  <c r="AP118" i="81" s="1"/>
  <c r="AE118" i="81"/>
  <c r="X118" i="81"/>
  <c r="R118" i="81"/>
  <c r="Q118" i="81"/>
  <c r="S118" i="81" s="1"/>
  <c r="T118" i="81" s="1"/>
  <c r="I118" i="81"/>
  <c r="B118" i="81"/>
  <c r="BJ117" i="81"/>
  <c r="BI117" i="81"/>
  <c r="BK117" i="81" s="1"/>
  <c r="BL117" i="81" s="1"/>
  <c r="BA117" i="81"/>
  <c r="AT117" i="81"/>
  <c r="AN117" i="81"/>
  <c r="AM117" i="81"/>
  <c r="AO117" i="81" s="1"/>
  <c r="AP117" i="81" s="1"/>
  <c r="AE117" i="81"/>
  <c r="X117" i="81"/>
  <c r="R117" i="81"/>
  <c r="Q117" i="81"/>
  <c r="S117" i="81" s="1"/>
  <c r="T117" i="81" s="1"/>
  <c r="I117" i="81"/>
  <c r="B117" i="81"/>
  <c r="BJ116" i="81"/>
  <c r="BI116" i="81"/>
  <c r="BK116" i="81" s="1"/>
  <c r="BL116" i="81" s="1"/>
  <c r="BA116" i="81"/>
  <c r="AT116" i="81"/>
  <c r="AN116" i="81"/>
  <c r="AM116" i="81"/>
  <c r="AO116" i="81" s="1"/>
  <c r="AP116" i="81" s="1"/>
  <c r="AE116" i="81"/>
  <c r="X116" i="81"/>
  <c r="R116" i="81"/>
  <c r="Q116" i="81"/>
  <c r="S116" i="81" s="1"/>
  <c r="T116" i="81" s="1"/>
  <c r="I116" i="81"/>
  <c r="B116" i="81"/>
  <c r="BJ115" i="81"/>
  <c r="BI115" i="81"/>
  <c r="BK115" i="81" s="1"/>
  <c r="BL115" i="81" s="1"/>
  <c r="BA115" i="81"/>
  <c r="AT115" i="81"/>
  <c r="AN115" i="81"/>
  <c r="AM115" i="81"/>
  <c r="AO115" i="81" s="1"/>
  <c r="AP115" i="81" s="1"/>
  <c r="AE115" i="81"/>
  <c r="X115" i="81"/>
  <c r="R115" i="81"/>
  <c r="Q115" i="81"/>
  <c r="S115" i="81" s="1"/>
  <c r="T115" i="81" s="1"/>
  <c r="I115" i="81"/>
  <c r="B115" i="81"/>
  <c r="BJ114" i="81"/>
  <c r="BI114" i="81"/>
  <c r="BK114" i="81" s="1"/>
  <c r="BL114" i="81" s="1"/>
  <c r="BA114" i="81"/>
  <c r="AT114" i="81"/>
  <c r="AN114" i="81"/>
  <c r="AM114" i="81"/>
  <c r="AO114" i="81" s="1"/>
  <c r="AP114" i="81" s="1"/>
  <c r="AE114" i="81"/>
  <c r="X114" i="81"/>
  <c r="R114" i="81"/>
  <c r="Q114" i="81"/>
  <c r="S114" i="81" s="1"/>
  <c r="T114" i="81" s="1"/>
  <c r="I114" i="81"/>
  <c r="B114" i="81"/>
  <c r="BJ113" i="81"/>
  <c r="BI113" i="81"/>
  <c r="BK113" i="81" s="1"/>
  <c r="BL113" i="81" s="1"/>
  <c r="BA113" i="81"/>
  <c r="AT113" i="81"/>
  <c r="AN113" i="81"/>
  <c r="AM113" i="81"/>
  <c r="AO113" i="81" s="1"/>
  <c r="AP113" i="81" s="1"/>
  <c r="AE113" i="81"/>
  <c r="X113" i="81"/>
  <c r="R113" i="81"/>
  <c r="Q113" i="81"/>
  <c r="S113" i="81" s="1"/>
  <c r="T113" i="81" s="1"/>
  <c r="I113" i="81"/>
  <c r="B113" i="81"/>
  <c r="BJ112" i="81"/>
  <c r="BI112" i="81"/>
  <c r="BK112" i="81" s="1"/>
  <c r="BL112" i="81" s="1"/>
  <c r="BA112" i="81"/>
  <c r="AT112" i="81"/>
  <c r="AN112" i="81"/>
  <c r="AM112" i="81"/>
  <c r="AO112" i="81" s="1"/>
  <c r="AP112" i="81" s="1"/>
  <c r="AE112" i="81"/>
  <c r="X112" i="81"/>
  <c r="R112" i="81"/>
  <c r="Q112" i="81"/>
  <c r="S112" i="81" s="1"/>
  <c r="T112" i="81" s="1"/>
  <c r="I112" i="81"/>
  <c r="B112" i="81"/>
  <c r="BJ111" i="81"/>
  <c r="BI111" i="81"/>
  <c r="BK111" i="81" s="1"/>
  <c r="BL111" i="81" s="1"/>
  <c r="BA111" i="81"/>
  <c r="AT111" i="81"/>
  <c r="AN111" i="81"/>
  <c r="AM111" i="81"/>
  <c r="AO111" i="81" s="1"/>
  <c r="AP111" i="81" s="1"/>
  <c r="AE111" i="81"/>
  <c r="X111" i="81"/>
  <c r="R111" i="81"/>
  <c r="Q111" i="81"/>
  <c r="S111" i="81" s="1"/>
  <c r="T111" i="81" s="1"/>
  <c r="I111" i="81"/>
  <c r="B111" i="81"/>
  <c r="BJ110" i="81"/>
  <c r="BI110" i="81"/>
  <c r="BK110" i="81" s="1"/>
  <c r="BL110" i="81" s="1"/>
  <c r="BA110" i="81"/>
  <c r="AT110" i="81"/>
  <c r="AN110" i="81"/>
  <c r="AM110" i="81"/>
  <c r="AO110" i="81" s="1"/>
  <c r="AP110" i="81" s="1"/>
  <c r="AE110" i="81"/>
  <c r="X110" i="81"/>
  <c r="R110" i="81"/>
  <c r="Q110" i="81"/>
  <c r="S110" i="81" s="1"/>
  <c r="T110" i="81" s="1"/>
  <c r="I110" i="81"/>
  <c r="B110" i="81"/>
  <c r="BJ109" i="81"/>
  <c r="BI109" i="81"/>
  <c r="BK109" i="81" s="1"/>
  <c r="BL109" i="81" s="1"/>
  <c r="BA109" i="81"/>
  <c r="AT109" i="81"/>
  <c r="AN109" i="81"/>
  <c r="AM109" i="81"/>
  <c r="AO109" i="81" s="1"/>
  <c r="AP109" i="81" s="1"/>
  <c r="AE109" i="81"/>
  <c r="X109" i="81"/>
  <c r="R109" i="81"/>
  <c r="Q109" i="81"/>
  <c r="S109" i="81" s="1"/>
  <c r="T109" i="81" s="1"/>
  <c r="I109" i="81"/>
  <c r="B109" i="81"/>
  <c r="BJ108" i="81"/>
  <c r="BI108" i="81"/>
  <c r="BK108" i="81" s="1"/>
  <c r="BL108" i="81" s="1"/>
  <c r="BA108" i="81"/>
  <c r="AT108" i="81"/>
  <c r="AN108" i="81"/>
  <c r="AM108" i="81"/>
  <c r="AO108" i="81" s="1"/>
  <c r="AP108" i="81" s="1"/>
  <c r="AE108" i="81"/>
  <c r="X108" i="81"/>
  <c r="R108" i="81"/>
  <c r="Q108" i="81"/>
  <c r="S108" i="81" s="1"/>
  <c r="T108" i="81" s="1"/>
  <c r="I108" i="81"/>
  <c r="B108" i="81"/>
  <c r="BJ107" i="81"/>
  <c r="BI107" i="81"/>
  <c r="BA107" i="81"/>
  <c r="AN107" i="81"/>
  <c r="AM107" i="81"/>
  <c r="AO107" i="81" s="1"/>
  <c r="AP107" i="81" s="1"/>
  <c r="AE107" i="81"/>
  <c r="R107" i="81"/>
  <c r="Q107" i="81"/>
  <c r="S107" i="81" s="1"/>
  <c r="T107" i="81" s="1"/>
  <c r="I107" i="81"/>
  <c r="AY103" i="81"/>
  <c r="AU103" i="81" s="1"/>
  <c r="AX103" i="81"/>
  <c r="AX122" i="81" s="1"/>
  <c r="AW103" i="81"/>
  <c r="AW149" i="81" s="1"/>
  <c r="AV103" i="81"/>
  <c r="AV140" i="81" s="1"/>
  <c r="AH103" i="81"/>
  <c r="AB103" i="81" s="1"/>
  <c r="AB116" i="81" s="1"/>
  <c r="AC103" i="81"/>
  <c r="Y103" i="81" s="1"/>
  <c r="Y138" i="81" s="1"/>
  <c r="AA103" i="81"/>
  <c r="AA113" i="81" s="1"/>
  <c r="Z103" i="81"/>
  <c r="Z162" i="81" s="1"/>
  <c r="L103" i="81"/>
  <c r="F103" i="81" s="1"/>
  <c r="F127" i="81" s="1"/>
  <c r="G103" i="81"/>
  <c r="C103" i="81" s="1"/>
  <c r="C141" i="81" s="1"/>
  <c r="E103" i="81"/>
  <c r="E141" i="81" s="1"/>
  <c r="D103" i="81"/>
  <c r="D119" i="81" s="1"/>
  <c r="BD102" i="81"/>
  <c r="AH102" i="81"/>
  <c r="L102" i="81"/>
  <c r="BL100" i="81"/>
  <c r="BC100" i="81" s="1"/>
  <c r="AP100" i="81"/>
  <c r="T100" i="81"/>
  <c r="BL97" i="81"/>
  <c r="AP97" i="81"/>
  <c r="T97" i="81"/>
  <c r="AZ95" i="81"/>
  <c r="AD95" i="81"/>
  <c r="H95" i="81"/>
  <c r="BJ92" i="81"/>
  <c r="AN92" i="81"/>
  <c r="R92" i="81"/>
  <c r="BL91" i="81"/>
  <c r="BI93" i="81" s="1"/>
  <c r="AP91" i="81"/>
  <c r="AM93" i="81" s="1"/>
  <c r="T91" i="81"/>
  <c r="Q93" i="81" s="1"/>
  <c r="AT89" i="81"/>
  <c r="X89" i="81"/>
  <c r="B89" i="81"/>
  <c r="BJ88" i="81"/>
  <c r="AT88" i="81"/>
  <c r="AN88" i="81"/>
  <c r="X88" i="81"/>
  <c r="R88" i="81"/>
  <c r="B88" i="81"/>
  <c r="BJ87" i="81"/>
  <c r="AT87" i="81"/>
  <c r="AN87" i="81"/>
  <c r="X87" i="81"/>
  <c r="R87" i="81"/>
  <c r="B87" i="81"/>
  <c r="AT86" i="81"/>
  <c r="X86" i="81"/>
  <c r="B86" i="81"/>
  <c r="AT85" i="81"/>
  <c r="X85" i="81"/>
  <c r="B85" i="81"/>
  <c r="BL84" i="81"/>
  <c r="BI89" i="81" s="1"/>
  <c r="AT84" i="81"/>
  <c r="AP84" i="81"/>
  <c r="AM89" i="81" s="1"/>
  <c r="X84" i="81"/>
  <c r="T84" i="81"/>
  <c r="Q89" i="81" s="1"/>
  <c r="B84" i="81"/>
  <c r="AT83" i="81"/>
  <c r="X83" i="81"/>
  <c r="B83" i="81"/>
  <c r="BL82" i="81"/>
  <c r="AT82" i="81"/>
  <c r="AP82" i="81"/>
  <c r="X82" i="81"/>
  <c r="T82" i="81"/>
  <c r="B82" i="81"/>
  <c r="AT81" i="81"/>
  <c r="X81" i="81"/>
  <c r="B81" i="81"/>
  <c r="AT80" i="81"/>
  <c r="X80" i="81"/>
  <c r="B80" i="81"/>
  <c r="AT79" i="81"/>
  <c r="X79" i="81"/>
  <c r="B79" i="81"/>
  <c r="BD77" i="81"/>
  <c r="BC77" i="81"/>
  <c r="BB77" i="81"/>
  <c r="BA77" i="81"/>
  <c r="AZ77" i="81"/>
  <c r="AY77" i="81"/>
  <c r="AH77" i="81"/>
  <c r="AG77" i="81"/>
  <c r="AF77" i="81"/>
  <c r="AE77" i="81"/>
  <c r="AD77" i="81"/>
  <c r="AC77" i="81"/>
  <c r="L77" i="81"/>
  <c r="K77" i="81"/>
  <c r="J77" i="81"/>
  <c r="I77" i="81"/>
  <c r="H77" i="81"/>
  <c r="G77" i="81"/>
  <c r="BK72" i="81"/>
  <c r="AO72" i="81"/>
  <c r="S72" i="81"/>
  <c r="BJ71" i="81"/>
  <c r="BI71" i="81"/>
  <c r="BK71" i="81" s="1"/>
  <c r="BL71" i="81" s="1"/>
  <c r="BA71" i="81"/>
  <c r="AT71" i="81"/>
  <c r="AN71" i="81"/>
  <c r="AM71" i="81"/>
  <c r="AO71" i="81" s="1"/>
  <c r="AP71" i="81" s="1"/>
  <c r="AE71" i="81"/>
  <c r="X71" i="81"/>
  <c r="R71" i="81"/>
  <c r="Q71" i="81"/>
  <c r="S71" i="81" s="1"/>
  <c r="T71" i="81" s="1"/>
  <c r="I71" i="81"/>
  <c r="B71" i="81"/>
  <c r="BJ70" i="81"/>
  <c r="BI70" i="81"/>
  <c r="BK70" i="81" s="1"/>
  <c r="BL70" i="81" s="1"/>
  <c r="BA70" i="81"/>
  <c r="AT70" i="81"/>
  <c r="AN70" i="81"/>
  <c r="AM70" i="81"/>
  <c r="AO70" i="81" s="1"/>
  <c r="AP70" i="81" s="1"/>
  <c r="AE70" i="81"/>
  <c r="X70" i="81"/>
  <c r="R70" i="81"/>
  <c r="Q70" i="81"/>
  <c r="S70" i="81" s="1"/>
  <c r="T70" i="81" s="1"/>
  <c r="I70" i="81"/>
  <c r="B70" i="81"/>
  <c r="BJ69" i="81"/>
  <c r="BI69" i="81"/>
  <c r="BK69" i="81" s="1"/>
  <c r="BL69" i="81" s="1"/>
  <c r="BA69" i="81"/>
  <c r="AT69" i="81"/>
  <c r="AN69" i="81"/>
  <c r="AM69" i="81"/>
  <c r="AO69" i="81" s="1"/>
  <c r="AP69" i="81" s="1"/>
  <c r="AE69" i="81"/>
  <c r="X69" i="81"/>
  <c r="R69" i="81"/>
  <c r="Q69" i="81"/>
  <c r="S69" i="81" s="1"/>
  <c r="T69" i="81" s="1"/>
  <c r="I69" i="81"/>
  <c r="B69" i="81"/>
  <c r="BJ68" i="81"/>
  <c r="BI68" i="81"/>
  <c r="BK68" i="81" s="1"/>
  <c r="BL68" i="81" s="1"/>
  <c r="BA68" i="81"/>
  <c r="AT68" i="81"/>
  <c r="AN68" i="81"/>
  <c r="AM68" i="81"/>
  <c r="AO68" i="81" s="1"/>
  <c r="AP68" i="81" s="1"/>
  <c r="AE68" i="81"/>
  <c r="X68" i="81"/>
  <c r="R68" i="81"/>
  <c r="Q68" i="81"/>
  <c r="S68" i="81" s="1"/>
  <c r="T68" i="81" s="1"/>
  <c r="I68" i="81"/>
  <c r="B68" i="81"/>
  <c r="BJ67" i="81"/>
  <c r="BI67" i="81"/>
  <c r="BK67" i="81" s="1"/>
  <c r="BL67" i="81" s="1"/>
  <c r="BA67" i="81"/>
  <c r="AT67" i="81"/>
  <c r="AN67" i="81"/>
  <c r="AM67" i="81"/>
  <c r="AO67" i="81" s="1"/>
  <c r="AP67" i="81" s="1"/>
  <c r="AE67" i="81"/>
  <c r="X67" i="81"/>
  <c r="R67" i="81"/>
  <c r="Q67" i="81"/>
  <c r="S67" i="81" s="1"/>
  <c r="T67" i="81" s="1"/>
  <c r="I67" i="81"/>
  <c r="B67" i="81"/>
  <c r="BJ66" i="81"/>
  <c r="BI66" i="81"/>
  <c r="BK66" i="81" s="1"/>
  <c r="BL66" i="81" s="1"/>
  <c r="BA66" i="81"/>
  <c r="AT66" i="81"/>
  <c r="AN66" i="81"/>
  <c r="AM66" i="81"/>
  <c r="AO66" i="81" s="1"/>
  <c r="AP66" i="81" s="1"/>
  <c r="AE66" i="81"/>
  <c r="X66" i="81"/>
  <c r="R66" i="81"/>
  <c r="Q66" i="81"/>
  <c r="S66" i="81" s="1"/>
  <c r="T66" i="81" s="1"/>
  <c r="I66" i="81"/>
  <c r="B66" i="81"/>
  <c r="BJ65" i="81"/>
  <c r="BI65" i="81"/>
  <c r="BK65" i="81" s="1"/>
  <c r="BL65" i="81" s="1"/>
  <c r="BA65" i="81"/>
  <c r="AT65" i="81"/>
  <c r="AN65" i="81"/>
  <c r="AM65" i="81"/>
  <c r="AO65" i="81" s="1"/>
  <c r="AP65" i="81" s="1"/>
  <c r="AE65" i="81"/>
  <c r="X65" i="81"/>
  <c r="R65" i="81"/>
  <c r="Q65" i="81"/>
  <c r="S65" i="81" s="1"/>
  <c r="T65" i="81" s="1"/>
  <c r="I65" i="81"/>
  <c r="B65" i="81"/>
  <c r="BJ64" i="81"/>
  <c r="BI64" i="81"/>
  <c r="BK64" i="81" s="1"/>
  <c r="BL64" i="81" s="1"/>
  <c r="BA64" i="81"/>
  <c r="AT64" i="81"/>
  <c r="AN64" i="81"/>
  <c r="AM64" i="81"/>
  <c r="AO64" i="81" s="1"/>
  <c r="AP64" i="81" s="1"/>
  <c r="AE64" i="81"/>
  <c r="X64" i="81"/>
  <c r="W64" i="81"/>
  <c r="R64" i="81"/>
  <c r="Q64" i="81"/>
  <c r="S64" i="81" s="1"/>
  <c r="T64" i="81" s="1"/>
  <c r="I64" i="81"/>
  <c r="B64" i="81"/>
  <c r="BJ63" i="81"/>
  <c r="BI63" i="81"/>
  <c r="BK63" i="81" s="1"/>
  <c r="BL63" i="81" s="1"/>
  <c r="BA63" i="81"/>
  <c r="AT63" i="81"/>
  <c r="AN63" i="81"/>
  <c r="AM63" i="81"/>
  <c r="AO63" i="81" s="1"/>
  <c r="AP63" i="81" s="1"/>
  <c r="AE63" i="81"/>
  <c r="X63" i="81"/>
  <c r="R63" i="81"/>
  <c r="Q63" i="81"/>
  <c r="S63" i="81" s="1"/>
  <c r="T63" i="81" s="1"/>
  <c r="I63" i="81"/>
  <c r="B63" i="81"/>
  <c r="BJ62" i="81"/>
  <c r="BI62" i="81"/>
  <c r="BK62" i="81" s="1"/>
  <c r="BL62" i="81" s="1"/>
  <c r="BA62" i="81"/>
  <c r="AT62" i="81"/>
  <c r="AN62" i="81"/>
  <c r="AM62" i="81"/>
  <c r="AO62" i="81" s="1"/>
  <c r="AP62" i="81" s="1"/>
  <c r="AE62" i="81"/>
  <c r="X62" i="81"/>
  <c r="R62" i="81"/>
  <c r="Q62" i="81"/>
  <c r="S62" i="81" s="1"/>
  <c r="T62" i="81" s="1"/>
  <c r="I62" i="81"/>
  <c r="B62" i="81"/>
  <c r="BJ61" i="81"/>
  <c r="BI61" i="81"/>
  <c r="BK61" i="81" s="1"/>
  <c r="BL61" i="81" s="1"/>
  <c r="BA61" i="81"/>
  <c r="AT61" i="81"/>
  <c r="AN61" i="81"/>
  <c r="AM61" i="81"/>
  <c r="AO61" i="81" s="1"/>
  <c r="AP61" i="81" s="1"/>
  <c r="AE61" i="81"/>
  <c r="X61" i="81"/>
  <c r="R61" i="81"/>
  <c r="Q61" i="81"/>
  <c r="S61" i="81" s="1"/>
  <c r="T61" i="81" s="1"/>
  <c r="I61" i="81"/>
  <c r="B61" i="81"/>
  <c r="BJ60" i="81"/>
  <c r="BI60" i="81"/>
  <c r="BK60" i="81" s="1"/>
  <c r="BL60" i="81" s="1"/>
  <c r="BA60" i="81"/>
  <c r="AT60" i="81"/>
  <c r="AN60" i="81"/>
  <c r="AM60" i="81"/>
  <c r="AO60" i="81" s="1"/>
  <c r="AP60" i="81" s="1"/>
  <c r="AE60" i="81"/>
  <c r="X60" i="81"/>
  <c r="R60" i="81"/>
  <c r="Q60" i="81"/>
  <c r="S60" i="81" s="1"/>
  <c r="T60" i="81" s="1"/>
  <c r="I60" i="81"/>
  <c r="B60" i="81"/>
  <c r="BJ59" i="81"/>
  <c r="BI59" i="81"/>
  <c r="BK59" i="81" s="1"/>
  <c r="BL59" i="81" s="1"/>
  <c r="BA59" i="81"/>
  <c r="AT59" i="81"/>
  <c r="AN59" i="81"/>
  <c r="AM59" i="81"/>
  <c r="AO59" i="81" s="1"/>
  <c r="AP59" i="81" s="1"/>
  <c r="AE59" i="81"/>
  <c r="X59" i="81"/>
  <c r="R59" i="81"/>
  <c r="Q59" i="81"/>
  <c r="S59" i="81" s="1"/>
  <c r="T59" i="81" s="1"/>
  <c r="I59" i="81"/>
  <c r="B59" i="81"/>
  <c r="BJ58" i="81"/>
  <c r="BI58" i="81"/>
  <c r="BK58" i="81" s="1"/>
  <c r="BL58" i="81" s="1"/>
  <c r="BA58" i="81"/>
  <c r="AN58" i="81"/>
  <c r="AM58" i="81"/>
  <c r="AE58" i="81"/>
  <c r="R58" i="81"/>
  <c r="Q58" i="81"/>
  <c r="I58" i="81"/>
  <c r="AY54" i="81"/>
  <c r="AU54" i="81" s="1"/>
  <c r="AU80" i="81" s="1"/>
  <c r="AX54" i="81"/>
  <c r="AX78" i="81" s="1"/>
  <c r="AW54" i="81"/>
  <c r="AW48" i="81" s="1"/>
  <c r="AV54" i="81"/>
  <c r="AV87" i="81" s="1"/>
  <c r="AH54" i="81"/>
  <c r="AB54" i="81" s="1"/>
  <c r="AC54" i="81"/>
  <c r="Y54" i="81" s="1"/>
  <c r="AA54" i="81"/>
  <c r="Z54" i="81"/>
  <c r="L54" i="81"/>
  <c r="F54" i="81" s="1"/>
  <c r="F80" i="81" s="1"/>
  <c r="G54" i="81"/>
  <c r="C54" i="81" s="1"/>
  <c r="E54" i="81"/>
  <c r="E63" i="81" s="1"/>
  <c r="D54" i="81"/>
  <c r="D68" i="81" s="1"/>
  <c r="BD53" i="81"/>
  <c r="AH53" i="81"/>
  <c r="L53" i="81"/>
  <c r="BL51" i="81"/>
  <c r="BC51" i="81" s="1"/>
  <c r="AP51" i="81"/>
  <c r="T51" i="81"/>
  <c r="BL48" i="81"/>
  <c r="AP48" i="81"/>
  <c r="T48" i="81"/>
  <c r="AZ46" i="81"/>
  <c r="AD46" i="81"/>
  <c r="H46" i="81"/>
  <c r="BJ43" i="81"/>
  <c r="AN43" i="81"/>
  <c r="R43" i="81"/>
  <c r="BL42" i="81"/>
  <c r="BI44" i="81" s="1"/>
  <c r="AP42" i="81"/>
  <c r="AM44" i="81" s="1"/>
  <c r="T42" i="81"/>
  <c r="Q44" i="81" s="1"/>
  <c r="AT40" i="81"/>
  <c r="X40" i="81"/>
  <c r="B40" i="81"/>
  <c r="BJ39" i="81"/>
  <c r="AT39" i="81"/>
  <c r="AN39" i="81"/>
  <c r="X39" i="81"/>
  <c r="R39" i="81"/>
  <c r="B39" i="81"/>
  <c r="BJ38" i="81"/>
  <c r="AT38" i="81"/>
  <c r="AN38" i="81"/>
  <c r="X38" i="81"/>
  <c r="R38" i="81"/>
  <c r="B38" i="81"/>
  <c r="AT37" i="81"/>
  <c r="X37" i="81"/>
  <c r="B37" i="81"/>
  <c r="AT36" i="81"/>
  <c r="X36" i="81"/>
  <c r="B36" i="81"/>
  <c r="BL35" i="81"/>
  <c r="BI40" i="81" s="1"/>
  <c r="AT35" i="81"/>
  <c r="AP35" i="81"/>
  <c r="AM40" i="81" s="1"/>
  <c r="X35" i="81"/>
  <c r="T35" i="81"/>
  <c r="Q40" i="81" s="1"/>
  <c r="B35" i="81"/>
  <c r="AT34" i="81"/>
  <c r="X34" i="81"/>
  <c r="B34" i="81"/>
  <c r="BL33" i="81"/>
  <c r="AT33" i="81"/>
  <c r="AP33" i="81"/>
  <c r="X33" i="81"/>
  <c r="T33" i="81"/>
  <c r="B33" i="81"/>
  <c r="AT32" i="81"/>
  <c r="X32" i="81"/>
  <c r="B32" i="81"/>
  <c r="AT31" i="81"/>
  <c r="X31" i="81"/>
  <c r="B31" i="81"/>
  <c r="AT30" i="81"/>
  <c r="X30" i="81"/>
  <c r="B30" i="81"/>
  <c r="BD28" i="81"/>
  <c r="BC28" i="81"/>
  <c r="BB28" i="81"/>
  <c r="BA28" i="81"/>
  <c r="AZ28" i="81"/>
  <c r="AY28" i="81"/>
  <c r="AH28" i="81"/>
  <c r="AG28" i="81"/>
  <c r="AF28" i="81"/>
  <c r="AE28" i="81"/>
  <c r="AD28" i="81"/>
  <c r="AC28" i="81"/>
  <c r="L28" i="81"/>
  <c r="K28" i="81"/>
  <c r="J28" i="81"/>
  <c r="I28" i="81"/>
  <c r="H28" i="81"/>
  <c r="G28" i="81"/>
  <c r="BK23" i="81"/>
  <c r="AO23" i="81"/>
  <c r="S23" i="81"/>
  <c r="BR22" i="81"/>
  <c r="BJ22" i="81"/>
  <c r="BI22" i="81"/>
  <c r="BK22" i="81" s="1"/>
  <c r="BL22" i="81" s="1"/>
  <c r="BA22" i="81"/>
  <c r="AT22" i="81"/>
  <c r="AN22" i="81"/>
  <c r="AM22" i="81"/>
  <c r="AO22" i="81" s="1"/>
  <c r="AP22" i="81" s="1"/>
  <c r="AE22" i="81"/>
  <c r="X22" i="81"/>
  <c r="R22" i="81"/>
  <c r="Q22" i="81"/>
  <c r="S22" i="81" s="1"/>
  <c r="T22" i="81" s="1"/>
  <c r="I22" i="81"/>
  <c r="B22" i="81"/>
  <c r="BJ21" i="81"/>
  <c r="BI21" i="81"/>
  <c r="BK21" i="81" s="1"/>
  <c r="BL21" i="81" s="1"/>
  <c r="BA21" i="81"/>
  <c r="AT21" i="81"/>
  <c r="AN21" i="81"/>
  <c r="AM21" i="81"/>
  <c r="AE21" i="81"/>
  <c r="X21" i="81"/>
  <c r="R21" i="81"/>
  <c r="Q21" i="81"/>
  <c r="S21" i="81" s="1"/>
  <c r="T21" i="81" s="1"/>
  <c r="I21" i="81"/>
  <c r="B21" i="81"/>
  <c r="BJ20" i="81"/>
  <c r="BI20" i="81"/>
  <c r="BK20" i="81" s="1"/>
  <c r="BL20" i="81" s="1"/>
  <c r="BA20" i="81"/>
  <c r="AT20" i="81"/>
  <c r="AN20" i="81"/>
  <c r="AM20" i="81"/>
  <c r="AO20" i="81" s="1"/>
  <c r="AP20" i="81" s="1"/>
  <c r="AE20" i="81"/>
  <c r="X20" i="81"/>
  <c r="R20" i="81"/>
  <c r="Q20" i="81"/>
  <c r="S20" i="81" s="1"/>
  <c r="T20" i="81" s="1"/>
  <c r="I20" i="81"/>
  <c r="B20" i="81"/>
  <c r="BJ19" i="81"/>
  <c r="BI19" i="81"/>
  <c r="BK19" i="81" s="1"/>
  <c r="BL19" i="81" s="1"/>
  <c r="BA19" i="81"/>
  <c r="AT19" i="81"/>
  <c r="AN19" i="81"/>
  <c r="AM19" i="81"/>
  <c r="AO19" i="81" s="1"/>
  <c r="AP19" i="81" s="1"/>
  <c r="AE19" i="81"/>
  <c r="X19" i="81"/>
  <c r="R19" i="81"/>
  <c r="Q19" i="81"/>
  <c r="S19" i="81" s="1"/>
  <c r="T19" i="81" s="1"/>
  <c r="I19" i="81"/>
  <c r="B19" i="81"/>
  <c r="BJ18" i="81"/>
  <c r="BI18" i="81"/>
  <c r="BK18" i="81" s="1"/>
  <c r="BA18" i="81"/>
  <c r="AN18" i="81"/>
  <c r="AM18" i="81"/>
  <c r="AO18" i="81" s="1"/>
  <c r="AP18" i="81" s="1"/>
  <c r="AE18" i="81"/>
  <c r="R18" i="81"/>
  <c r="Q18" i="81"/>
  <c r="I18" i="81"/>
  <c r="AY14" i="81"/>
  <c r="AU14" i="81" s="1"/>
  <c r="AX14" i="81"/>
  <c r="AX21" i="81" s="1"/>
  <c r="AW14" i="81"/>
  <c r="AW12" i="81" s="1"/>
  <c r="AV14" i="81"/>
  <c r="AV33" i="81" s="1"/>
  <c r="AH14" i="81"/>
  <c r="AB14" i="81" s="1"/>
  <c r="AB17" i="81" s="1"/>
  <c r="AC14" i="81"/>
  <c r="Y14" i="81" s="1"/>
  <c r="AA14" i="81"/>
  <c r="AA22" i="81" s="1"/>
  <c r="Z14" i="81"/>
  <c r="Z37" i="81" s="1"/>
  <c r="L14" i="81"/>
  <c r="G14" i="81"/>
  <c r="C14" i="81" s="1"/>
  <c r="C42" i="81" s="1"/>
  <c r="E14" i="81"/>
  <c r="E23" i="81" s="1"/>
  <c r="D14" i="81"/>
  <c r="D34" i="81" s="1"/>
  <c r="BD13" i="81"/>
  <c r="AH13" i="81"/>
  <c r="L13" i="81"/>
  <c r="BL11" i="81"/>
  <c r="BC11" i="81" s="1"/>
  <c r="AP11" i="81"/>
  <c r="T11" i="81"/>
  <c r="BL8" i="81"/>
  <c r="AP8" i="81"/>
  <c r="T8" i="81"/>
  <c r="CO7" i="81"/>
  <c r="CO6" i="81"/>
  <c r="CJ3" i="81"/>
  <c r="CP1" i="81"/>
  <c r="CO1" i="81"/>
  <c r="CL1" i="81"/>
  <c r="CK1" i="81"/>
  <c r="CJ1" i="81"/>
  <c r="CI1" i="81"/>
  <c r="CH1" i="81"/>
  <c r="CG1" i="81"/>
  <c r="CF1" i="81"/>
  <c r="CD1" i="81"/>
  <c r="CC1" i="81"/>
  <c r="CB1" i="81"/>
  <c r="CA1" i="81"/>
  <c r="BZ1" i="81"/>
  <c r="BY1" i="81"/>
  <c r="BX1" i="81"/>
  <c r="BV1" i="81"/>
  <c r="BU1" i="81"/>
  <c r="BT1" i="81"/>
  <c r="BS1" i="81"/>
  <c r="BR1" i="81"/>
  <c r="BQ1" i="81"/>
  <c r="BP1" i="81"/>
  <c r="BL1" i="81"/>
  <c r="BK1" i="81"/>
  <c r="BJ1" i="81"/>
  <c r="BI1" i="81"/>
  <c r="BH1" i="81"/>
  <c r="BG1" i="81"/>
  <c r="BE1" i="81"/>
  <c r="BD1" i="81"/>
  <c r="BC1" i="81"/>
  <c r="BB1" i="81"/>
  <c r="BA1" i="81"/>
  <c r="AZ1" i="81"/>
  <c r="AY1" i="81"/>
  <c r="AX1" i="81"/>
  <c r="AW1" i="81"/>
  <c r="AV1" i="81"/>
  <c r="AU1" i="81"/>
  <c r="AT1" i="81"/>
  <c r="AP1" i="81"/>
  <c r="AO1" i="81"/>
  <c r="AN1" i="81"/>
  <c r="AM1" i="81"/>
  <c r="AL1" i="81"/>
  <c r="AK1" i="81"/>
  <c r="AI1" i="81"/>
  <c r="AH1" i="81"/>
  <c r="AG1" i="81"/>
  <c r="AF1" i="81"/>
  <c r="AE1" i="81"/>
  <c r="AD1" i="81"/>
  <c r="AC1" i="81"/>
  <c r="AB1" i="81"/>
  <c r="AA1" i="81"/>
  <c r="Z1" i="81"/>
  <c r="Y1" i="81"/>
  <c r="X1" i="81"/>
  <c r="T1" i="81"/>
  <c r="S1" i="81"/>
  <c r="R1" i="81"/>
  <c r="Q1" i="81"/>
  <c r="P1" i="81"/>
  <c r="O1" i="81"/>
  <c r="M1" i="81"/>
  <c r="L1" i="81"/>
  <c r="K1" i="81"/>
  <c r="J1" i="81"/>
  <c r="I1" i="81"/>
  <c r="H1" i="81"/>
  <c r="G1" i="81"/>
  <c r="F1" i="81"/>
  <c r="E1" i="81"/>
  <c r="D1" i="81"/>
  <c r="C1" i="81"/>
  <c r="B1" i="81"/>
  <c r="A1" i="81"/>
  <c r="AD2" i="79"/>
  <c r="AC2" i="79"/>
  <c r="AB2" i="79"/>
  <c r="AA2" i="79"/>
  <c r="Z2" i="79"/>
  <c r="Y2" i="79"/>
  <c r="X2" i="79"/>
  <c r="W2" i="79"/>
  <c r="V2" i="79"/>
  <c r="U2" i="79"/>
  <c r="T2" i="79"/>
  <c r="S2" i="79"/>
  <c r="R2" i="79"/>
  <c r="Q2" i="79"/>
  <c r="P2" i="79"/>
  <c r="O2" i="79"/>
  <c r="N2" i="79"/>
  <c r="M2" i="79"/>
  <c r="L2" i="79"/>
  <c r="X1" i="80"/>
  <c r="DA2" i="80"/>
  <c r="CZ2" i="80"/>
  <c r="CY2" i="80"/>
  <c r="CX2" i="80"/>
  <c r="CW2" i="80"/>
  <c r="CV2" i="80"/>
  <c r="CU2" i="80"/>
  <c r="CS2" i="80"/>
  <c r="CR2" i="80"/>
  <c r="CQ2" i="80"/>
  <c r="CP2" i="80"/>
  <c r="CO2" i="80"/>
  <c r="CN2" i="80"/>
  <c r="CM2" i="80"/>
  <c r="CK2" i="80"/>
  <c r="CJ2" i="80"/>
  <c r="CI2" i="80"/>
  <c r="CH2" i="80"/>
  <c r="CG2" i="80"/>
  <c r="CF2" i="80"/>
  <c r="CE2" i="80"/>
  <c r="CC2" i="80"/>
  <c r="CB2" i="80"/>
  <c r="CA2" i="80"/>
  <c r="BZ2" i="80"/>
  <c r="BY2" i="80"/>
  <c r="BX2" i="80"/>
  <c r="BQ2" i="80"/>
  <c r="BP2" i="80"/>
  <c r="BO2" i="80"/>
  <c r="BN2" i="80"/>
  <c r="BM2" i="80"/>
  <c r="BL2" i="80"/>
  <c r="BK2" i="80"/>
  <c r="BJ2" i="80"/>
  <c r="BI2" i="80"/>
  <c r="BH2" i="80"/>
  <c r="BE2" i="80"/>
  <c r="BD2" i="80"/>
  <c r="BC2" i="80"/>
  <c r="BB2" i="80"/>
  <c r="BA2" i="80"/>
  <c r="AZ2" i="80"/>
  <c r="AY2" i="80"/>
  <c r="AX2" i="80"/>
  <c r="AW2" i="80"/>
  <c r="AV2" i="80"/>
  <c r="AU2" i="80"/>
  <c r="AT2" i="80"/>
  <c r="AS2" i="80"/>
  <c r="AR2" i="80"/>
  <c r="AQ2" i="80"/>
  <c r="AP2" i="80"/>
  <c r="AO2" i="80"/>
  <c r="AN2" i="80"/>
  <c r="AM2" i="80"/>
  <c r="AL2" i="80"/>
  <c r="AK2" i="80"/>
  <c r="AJ2" i="80"/>
  <c r="AI2" i="80"/>
  <c r="AH2" i="80"/>
  <c r="AG2" i="80"/>
  <c r="AF2" i="80"/>
  <c r="AD2" i="80"/>
  <c r="AC2" i="80"/>
  <c r="AB2" i="80"/>
  <c r="AA2" i="80"/>
  <c r="Z2" i="80"/>
  <c r="Y2" i="80"/>
  <c r="X2" i="80"/>
  <c r="W2" i="80"/>
  <c r="V2" i="80"/>
  <c r="U2" i="80"/>
  <c r="T2" i="80"/>
  <c r="S2" i="80"/>
  <c r="R2" i="80"/>
  <c r="Q2" i="80"/>
  <c r="P2" i="80"/>
  <c r="O2" i="80"/>
  <c r="N2" i="80"/>
  <c r="M2" i="80"/>
  <c r="L2" i="80"/>
  <c r="K2" i="80"/>
  <c r="J2" i="80"/>
  <c r="I2" i="80"/>
  <c r="H2" i="80"/>
  <c r="G2" i="80"/>
  <c r="F2" i="80"/>
  <c r="E2" i="80"/>
  <c r="D2" i="80"/>
  <c r="C2" i="80"/>
  <c r="B2" i="80"/>
  <c r="P315" i="82" l="1"/>
  <c r="O204" i="82"/>
  <c r="M288" i="82"/>
  <c r="M327" i="82" s="1"/>
  <c r="N186" i="82"/>
  <c r="O186" i="82"/>
  <c r="P88" i="82"/>
  <c r="P58" i="82"/>
  <c r="AP247" i="82"/>
  <c r="P80" i="82"/>
  <c r="N45" i="82"/>
  <c r="O208" i="82"/>
  <c r="N229" i="82"/>
  <c r="M43" i="82"/>
  <c r="M50" i="82" s="1"/>
  <c r="O201" i="82"/>
  <c r="O224" i="82"/>
  <c r="P236" i="82"/>
  <c r="P66" i="82"/>
  <c r="N41" i="82"/>
  <c r="N216" i="82"/>
  <c r="P294" i="82"/>
  <c r="P174" i="82"/>
  <c r="O199" i="82"/>
  <c r="P41" i="82"/>
  <c r="O122" i="82"/>
  <c r="AP207" i="82"/>
  <c r="N299" i="82"/>
  <c r="N307" i="82"/>
  <c r="O307" i="82"/>
  <c r="O188" i="82"/>
  <c r="N212" i="82"/>
  <c r="N325" i="82"/>
  <c r="P39" i="82"/>
  <c r="O56" i="82"/>
  <c r="O57" i="82"/>
  <c r="N75" i="82"/>
  <c r="AA151" i="82"/>
  <c r="N46" i="82"/>
  <c r="P56" i="82"/>
  <c r="P57" i="82"/>
  <c r="O75" i="82"/>
  <c r="AA101" i="82"/>
  <c r="AP152" i="82"/>
  <c r="N292" i="82"/>
  <c r="AA198" i="82"/>
  <c r="P311" i="82"/>
  <c r="N63" i="82"/>
  <c r="N304" i="82"/>
  <c r="N328" i="82" s="1"/>
  <c r="N308" i="82"/>
  <c r="P72" i="82"/>
  <c r="O76" i="82"/>
  <c r="O293" i="82"/>
  <c r="N316" i="82"/>
  <c r="P46" i="82"/>
  <c r="N55" i="82"/>
  <c r="O70" i="82"/>
  <c r="N79" i="82"/>
  <c r="N81" i="82"/>
  <c r="O292" i="82"/>
  <c r="AP299" i="82"/>
  <c r="P320" i="82"/>
  <c r="N126" i="82"/>
  <c r="N298" i="82"/>
  <c r="O311" i="82"/>
  <c r="P64" i="82"/>
  <c r="P79" i="82"/>
  <c r="P81" i="82"/>
  <c r="P289" i="82"/>
  <c r="P292" i="82"/>
  <c r="AP298" i="82"/>
  <c r="N302" i="82"/>
  <c r="N303" i="82"/>
  <c r="N309" i="82"/>
  <c r="N323" i="82"/>
  <c r="N37" i="82"/>
  <c r="N196" i="82"/>
  <c r="AP202" i="82"/>
  <c r="N204" i="82"/>
  <c r="N287" i="82"/>
  <c r="N301" i="82"/>
  <c r="O302" i="82"/>
  <c r="P327" i="82"/>
  <c r="O37" i="82"/>
  <c r="N40" i="82"/>
  <c r="N42" i="82"/>
  <c r="N51" i="82"/>
  <c r="P61" i="82"/>
  <c r="AA100" i="82"/>
  <c r="O287" i="82"/>
  <c r="O301" i="82"/>
  <c r="P302" i="82"/>
  <c r="N327" i="82"/>
  <c r="O325" i="82"/>
  <c r="AM15" i="82"/>
  <c r="P40" i="82"/>
  <c r="O42" i="82"/>
  <c r="P44" i="82"/>
  <c r="O51" i="82"/>
  <c r="N73" i="82"/>
  <c r="P77" i="82"/>
  <c r="AP108" i="82"/>
  <c r="N188" i="82"/>
  <c r="N199" i="82"/>
  <c r="N285" i="82"/>
  <c r="P287" i="82"/>
  <c r="P301" i="82"/>
  <c r="N317" i="82"/>
  <c r="N326" i="82"/>
  <c r="P55" i="82"/>
  <c r="P42" i="82"/>
  <c r="AO44" i="82"/>
  <c r="N47" i="82"/>
  <c r="P51" i="82"/>
  <c r="P54" i="82"/>
  <c r="O60" i="82"/>
  <c r="N68" i="82"/>
  <c r="P285" i="82"/>
  <c r="N306" i="82"/>
  <c r="P317" i="82"/>
  <c r="N311" i="82"/>
  <c r="N322" i="82"/>
  <c r="N57" i="82"/>
  <c r="N76" i="82"/>
  <c r="P47" i="82"/>
  <c r="O50" i="82"/>
  <c r="P60" i="82"/>
  <c r="N65" i="82"/>
  <c r="O68" i="82"/>
  <c r="N71" i="82"/>
  <c r="AP104" i="82"/>
  <c r="AO191" i="82"/>
  <c r="N226" i="82"/>
  <c r="N282" i="82"/>
  <c r="N300" i="82"/>
  <c r="N324" i="82"/>
  <c r="P48" i="82"/>
  <c r="P70" i="82"/>
  <c r="P50" i="82"/>
  <c r="P62" i="82"/>
  <c r="O65" i="82"/>
  <c r="P68" i="82"/>
  <c r="P71" i="82"/>
  <c r="O88" i="82"/>
  <c r="O129" i="82"/>
  <c r="AP157" i="82"/>
  <c r="O226" i="82"/>
  <c r="O282" i="82"/>
  <c r="N290" i="82"/>
  <c r="N146" i="82"/>
  <c r="P165" i="82"/>
  <c r="AA107" i="82"/>
  <c r="AP254" i="82"/>
  <c r="AP103" i="82"/>
  <c r="O120" i="82"/>
  <c r="P145" i="82"/>
  <c r="N163" i="82"/>
  <c r="P256" i="82"/>
  <c r="AP295" i="82"/>
  <c r="P120" i="82"/>
  <c r="O124" i="82"/>
  <c r="P142" i="82"/>
  <c r="P148" i="82"/>
  <c r="AA149" i="82"/>
  <c r="P158" i="82"/>
  <c r="P163" i="82"/>
  <c r="P178" i="82"/>
  <c r="N180" i="82"/>
  <c r="O290" i="82"/>
  <c r="AP294" i="82"/>
  <c r="N61" i="82"/>
  <c r="N64" i="82"/>
  <c r="AO142" i="82"/>
  <c r="N153" i="82"/>
  <c r="P180" i="82"/>
  <c r="AP253" i="82"/>
  <c r="P267" i="82"/>
  <c r="N297" i="82"/>
  <c r="P298" i="82"/>
  <c r="P299" i="82"/>
  <c r="N261" i="82"/>
  <c r="P144" i="82"/>
  <c r="P146" i="82"/>
  <c r="P159" i="82"/>
  <c r="N169" i="82"/>
  <c r="P139" i="82"/>
  <c r="P251" i="82"/>
  <c r="P90" i="82"/>
  <c r="N165" i="82"/>
  <c r="P149" i="82"/>
  <c r="N115" i="82"/>
  <c r="N139" i="82"/>
  <c r="O242" i="82"/>
  <c r="AK15" i="82"/>
  <c r="P243" i="82"/>
  <c r="N271" i="82"/>
  <c r="O309" i="82"/>
  <c r="P170" i="82"/>
  <c r="P238" i="82"/>
  <c r="O306" i="82"/>
  <c r="N39" i="82"/>
  <c r="N49" i="82"/>
  <c r="N59" i="82"/>
  <c r="N83" i="82" s="1"/>
  <c r="O67" i="82"/>
  <c r="P74" i="82"/>
  <c r="N143" i="82"/>
  <c r="N156" i="82"/>
  <c r="N167" i="82"/>
  <c r="O184" i="82"/>
  <c r="N194" i="82"/>
  <c r="O218" i="82"/>
  <c r="N222" i="82"/>
  <c r="P235" i="82"/>
  <c r="P250" i="82"/>
  <c r="P260" i="82"/>
  <c r="AP301" i="82"/>
  <c r="AP302" i="82"/>
  <c r="P306" i="82"/>
  <c r="N313" i="82"/>
  <c r="P261" i="82"/>
  <c r="P110" i="82"/>
  <c r="N145" i="82"/>
  <c r="P169" i="82"/>
  <c r="O90" i="82"/>
  <c r="O247" i="82"/>
  <c r="O297" i="82"/>
  <c r="N207" i="82"/>
  <c r="O322" i="82"/>
  <c r="N74" i="82"/>
  <c r="P161" i="82"/>
  <c r="P173" i="82"/>
  <c r="N184" i="82"/>
  <c r="N197" i="82"/>
  <c r="P322" i="82"/>
  <c r="P49" i="82"/>
  <c r="P53" i="82"/>
  <c r="P59" i="82"/>
  <c r="N62" i="82"/>
  <c r="P67" i="82"/>
  <c r="N72" i="82"/>
  <c r="N138" i="82"/>
  <c r="P143" i="82"/>
  <c r="N147" i="82"/>
  <c r="P156" i="82"/>
  <c r="N176" i="82"/>
  <c r="O194" i="82"/>
  <c r="N210" i="82"/>
  <c r="O222" i="82"/>
  <c r="P240" i="82"/>
  <c r="P275" i="82"/>
  <c r="O295" i="82"/>
  <c r="O305" i="82"/>
  <c r="O313" i="82"/>
  <c r="N162" i="82"/>
  <c r="O261" i="82"/>
  <c r="P258" i="82"/>
  <c r="P137" i="82"/>
  <c r="N152" i="82"/>
  <c r="P153" i="82"/>
  <c r="N157" i="82"/>
  <c r="N181" i="82" s="1"/>
  <c r="AP106" i="82"/>
  <c r="O326" i="82"/>
  <c r="N70" i="82"/>
  <c r="O72" i="82"/>
  <c r="O80" i="82"/>
  <c r="P138" i="82"/>
  <c r="M141" i="82"/>
  <c r="M177" i="82" s="1"/>
  <c r="N201" i="82"/>
  <c r="N206" i="82"/>
  <c r="N230" i="82" s="1"/>
  <c r="AO240" i="82"/>
  <c r="O284" i="82"/>
  <c r="O294" i="82"/>
  <c r="P295" i="82"/>
  <c r="P305" i="82"/>
  <c r="O94" i="82"/>
  <c r="N110" i="82"/>
  <c r="O115" i="82"/>
  <c r="P124" i="82"/>
  <c r="O126" i="82"/>
  <c r="P129" i="82"/>
  <c r="N88" i="82"/>
  <c r="N90" i="82"/>
  <c r="M92" i="82"/>
  <c r="M98" i="82" s="1"/>
  <c r="P94" i="82"/>
  <c r="O110" i="82"/>
  <c r="P115" i="82"/>
  <c r="N120" i="82"/>
  <c r="N122" i="82"/>
  <c r="P126" i="82"/>
  <c r="P244" i="82"/>
  <c r="AA252" i="82"/>
  <c r="P257" i="82"/>
  <c r="P264" i="82"/>
  <c r="P273" i="82"/>
  <c r="P277" i="82"/>
  <c r="N291" i="82"/>
  <c r="AP293" i="82"/>
  <c r="O315" i="82"/>
  <c r="O317" i="82"/>
  <c r="O327" i="82"/>
  <c r="N101" i="82"/>
  <c r="P100" i="82"/>
  <c r="N128" i="82"/>
  <c r="O86" i="82"/>
  <c r="N95" i="82"/>
  <c r="N98" i="82"/>
  <c r="O99" i="82"/>
  <c r="P104" i="82"/>
  <c r="N105" i="82"/>
  <c r="O106" i="82"/>
  <c r="N125" i="82"/>
  <c r="P249" i="82"/>
  <c r="P265" i="82"/>
  <c r="P268" i="82"/>
  <c r="P271" i="82"/>
  <c r="AO15" i="82"/>
  <c r="O47" i="82"/>
  <c r="N53" i="82"/>
  <c r="N67" i="82"/>
  <c r="P69" i="82"/>
  <c r="P75" i="82"/>
  <c r="P76" i="82"/>
  <c r="N78" i="82"/>
  <c r="N80" i="82"/>
  <c r="O95" i="82"/>
  <c r="O98" i="82"/>
  <c r="P99" i="82"/>
  <c r="O105" i="82"/>
  <c r="P106" i="82"/>
  <c r="N111" i="82"/>
  <c r="O125" i="82"/>
  <c r="P157" i="82"/>
  <c r="P176" i="82"/>
  <c r="AA203" i="82"/>
  <c r="O207" i="82"/>
  <c r="O212" i="82"/>
  <c r="N293" i="82"/>
  <c r="N295" i="82"/>
  <c r="N296" i="82"/>
  <c r="P297" i="82"/>
  <c r="O299" i="82"/>
  <c r="P303" i="82"/>
  <c r="P309" i="82"/>
  <c r="O324" i="82"/>
  <c r="N102" i="82"/>
  <c r="O108" i="82"/>
  <c r="O132" i="82" s="1"/>
  <c r="P101" i="82"/>
  <c r="O102" i="82"/>
  <c r="O104" i="82"/>
  <c r="P116" i="82"/>
  <c r="P105" i="82"/>
  <c r="P111" i="82"/>
  <c r="O123" i="82"/>
  <c r="P89" i="82"/>
  <c r="N97" i="82"/>
  <c r="AP109" i="82"/>
  <c r="N114" i="82"/>
  <c r="P123" i="82"/>
  <c r="N130" i="82"/>
  <c r="P241" i="82"/>
  <c r="AP244" i="82"/>
  <c r="N247" i="82"/>
  <c r="P248" i="82"/>
  <c r="P278" i="82"/>
  <c r="N113" i="82"/>
  <c r="O118" i="82"/>
  <c r="AP57" i="82"/>
  <c r="P93" i="82"/>
  <c r="O97" i="82"/>
  <c r="N119" i="82"/>
  <c r="N121" i="82"/>
  <c r="N127" i="82"/>
  <c r="O130" i="82"/>
  <c r="AP197" i="82"/>
  <c r="P254" i="82"/>
  <c r="P259" i="82"/>
  <c r="P274" i="82"/>
  <c r="P307" i="82"/>
  <c r="N314" i="82"/>
  <c r="N103" i="82"/>
  <c r="N104" i="82"/>
  <c r="P118" i="82"/>
  <c r="N106" i="82"/>
  <c r="O39" i="82"/>
  <c r="O41" i="82"/>
  <c r="P45" i="82"/>
  <c r="P52" i="82"/>
  <c r="O63" i="82"/>
  <c r="P65" i="82"/>
  <c r="P82" i="82"/>
  <c r="N91" i="82"/>
  <c r="AO93" i="82"/>
  <c r="P97" i="82"/>
  <c r="N117" i="82"/>
  <c r="P121" i="82"/>
  <c r="O127" i="82"/>
  <c r="P130" i="82"/>
  <c r="AP150" i="82"/>
  <c r="N164" i="82"/>
  <c r="O229" i="82"/>
  <c r="P237" i="82"/>
  <c r="P247" i="82"/>
  <c r="P266" i="82"/>
  <c r="P272" i="82"/>
  <c r="P290" i="82"/>
  <c r="AA296" i="82"/>
  <c r="AA303" i="82"/>
  <c r="O310" i="82"/>
  <c r="N312" i="82"/>
  <c r="O314" i="82"/>
  <c r="N321" i="82"/>
  <c r="N118" i="82"/>
  <c r="O101" i="82"/>
  <c r="O103" i="82"/>
  <c r="P131" i="82"/>
  <c r="AA58" i="82"/>
  <c r="N86" i="82"/>
  <c r="P108" i="82"/>
  <c r="P98" i="82"/>
  <c r="P276" i="82"/>
  <c r="AP55" i="82"/>
  <c r="P63" i="82"/>
  <c r="O91" i="82"/>
  <c r="O112" i="82"/>
  <c r="O117" i="82"/>
  <c r="P127" i="82"/>
  <c r="H129" i="82"/>
  <c r="C129" i="82" s="1" a="1"/>
  <c r="C129" i="82" s="1"/>
  <c r="P155" i="82"/>
  <c r="P172" i="82"/>
  <c r="AA201" i="82"/>
  <c r="P246" i="82"/>
  <c r="P253" i="82"/>
  <c r="P263" i="82"/>
  <c r="N284" i="82"/>
  <c r="N286" i="82"/>
  <c r="AA292" i="82"/>
  <c r="P310" i="82"/>
  <c r="P312" i="82"/>
  <c r="P314" i="82"/>
  <c r="N319" i="82"/>
  <c r="N131" i="82"/>
  <c r="O113" i="82"/>
  <c r="P113" i="82"/>
  <c r="AP153" i="82"/>
  <c r="P91" i="82"/>
  <c r="P96" i="82"/>
  <c r="P112" i="82"/>
  <c r="P117" i="82"/>
  <c r="O210" i="82"/>
  <c r="P252" i="82"/>
  <c r="P269" i="82"/>
  <c r="O131" i="82"/>
  <c r="N99" i="82"/>
  <c r="P103" i="82"/>
  <c r="P107" i="82"/>
  <c r="AP154" i="82"/>
  <c r="P95" i="82"/>
  <c r="P125" i="82"/>
  <c r="P167" i="82"/>
  <c r="P242" i="82"/>
  <c r="P245" i="82"/>
  <c r="P284" i="82"/>
  <c r="P319" i="82"/>
  <c r="O165" i="82"/>
  <c r="O156" i="82"/>
  <c r="O168" i="82"/>
  <c r="O161" i="82"/>
  <c r="O137" i="82"/>
  <c r="O171" i="82"/>
  <c r="O150" i="82"/>
  <c r="O140" i="82"/>
  <c r="O158" i="82"/>
  <c r="O148" i="82"/>
  <c r="O175" i="82"/>
  <c r="O166" i="82"/>
  <c r="O160" i="82"/>
  <c r="O179" i="82"/>
  <c r="O164" i="82"/>
  <c r="O162" i="82"/>
  <c r="O155" i="82"/>
  <c r="O170" i="82"/>
  <c r="O177" i="82"/>
  <c r="O174" i="82"/>
  <c r="O172" i="82"/>
  <c r="O159" i="82"/>
  <c r="O154" i="82"/>
  <c r="O149" i="82"/>
  <c r="O144" i="82"/>
  <c r="O173" i="82"/>
  <c r="O143" i="82"/>
  <c r="O147" i="82"/>
  <c r="O146" i="82"/>
  <c r="O180" i="82"/>
  <c r="O145" i="82"/>
  <c r="O138" i="82"/>
  <c r="O176" i="82"/>
  <c r="O163" i="82"/>
  <c r="O152" i="82"/>
  <c r="O135" i="82"/>
  <c r="O178" i="82"/>
  <c r="O167" i="82"/>
  <c r="O169" i="82"/>
  <c r="O157" i="82"/>
  <c r="O181" i="82" s="1"/>
  <c r="O153" i="82"/>
  <c r="O151" i="82"/>
  <c r="O139" i="82"/>
  <c r="AA53" i="82"/>
  <c r="AB53" i="82" s="1"/>
  <c r="AP155" i="82"/>
  <c r="AA155" i="82"/>
  <c r="P226" i="82"/>
  <c r="P214" i="82"/>
  <c r="P205" i="82"/>
  <c r="P187" i="82"/>
  <c r="P223" i="82"/>
  <c r="P221" i="82"/>
  <c r="P209" i="82"/>
  <c r="P216" i="82"/>
  <c r="P202" i="82"/>
  <c r="P227" i="82"/>
  <c r="P206" i="82"/>
  <c r="P198" i="82"/>
  <c r="P224" i="82"/>
  <c r="P222" i="82"/>
  <c r="P220" i="82"/>
  <c r="P192" i="82"/>
  <c r="P217" i="82"/>
  <c r="P215" i="82"/>
  <c r="P213" i="82"/>
  <c r="P193" i="82"/>
  <c r="P228" i="82"/>
  <c r="P203" i="82"/>
  <c r="P191" i="82"/>
  <c r="P189" i="82"/>
  <c r="P197" i="82"/>
  <c r="P210" i="82"/>
  <c r="P211" i="82"/>
  <c r="P208" i="82"/>
  <c r="P207" i="82"/>
  <c r="P201" i="82"/>
  <c r="P194" i="82"/>
  <c r="P195" i="82"/>
  <c r="P200" i="82"/>
  <c r="P196" i="82"/>
  <c r="P225" i="82"/>
  <c r="P199" i="82"/>
  <c r="P212" i="82"/>
  <c r="P188" i="82"/>
  <c r="P204" i="82"/>
  <c r="P229" i="82"/>
  <c r="P218" i="82"/>
  <c r="P186" i="82"/>
  <c r="U187" i="82"/>
  <c r="M190" i="82"/>
  <c r="AA48" i="82"/>
  <c r="AB48" i="82" s="1"/>
  <c r="P219" i="82"/>
  <c r="AA97" i="82"/>
  <c r="AB97" i="82" s="1"/>
  <c r="Y110" i="82"/>
  <c r="AA54" i="82"/>
  <c r="AB54" i="82" s="1"/>
  <c r="AR14" i="82"/>
  <c r="AD4" i="82" s="1"/>
  <c r="N276" i="82"/>
  <c r="N253" i="82"/>
  <c r="N236" i="82"/>
  <c r="N248" i="82"/>
  <c r="N277" i="82"/>
  <c r="N273" i="82"/>
  <c r="N260" i="82"/>
  <c r="N270" i="82"/>
  <c r="N263" i="82"/>
  <c r="N254" i="82"/>
  <c r="N251" i="82"/>
  <c r="N245" i="82"/>
  <c r="N238" i="82"/>
  <c r="N275" i="82"/>
  <c r="N266" i="82"/>
  <c r="N241" i="82"/>
  <c r="N264" i="82"/>
  <c r="N243" i="82"/>
  <c r="N255" i="82"/>
  <c r="N279" i="82" s="1"/>
  <c r="N246" i="82"/>
  <c r="N269" i="82"/>
  <c r="N258" i="82"/>
  <c r="N278" i="82"/>
  <c r="N265" i="82"/>
  <c r="N244" i="82"/>
  <c r="N237" i="82"/>
  <c r="O237" i="82"/>
  <c r="AM93" i="82"/>
  <c r="N259" i="82"/>
  <c r="N262" i="82"/>
  <c r="N256" i="82"/>
  <c r="N272" i="82"/>
  <c r="AA102" i="82"/>
  <c r="AA199" i="82"/>
  <c r="AP199" i="82"/>
  <c r="O256" i="82"/>
  <c r="O272" i="82"/>
  <c r="Y208" i="82"/>
  <c r="AA195" i="82"/>
  <c r="O233" i="82"/>
  <c r="N257" i="82"/>
  <c r="AA206" i="82"/>
  <c r="N274" i="82"/>
  <c r="AA297" i="82"/>
  <c r="AP297" i="82"/>
  <c r="AP60" i="82"/>
  <c r="AA60" i="82"/>
  <c r="AA105" i="82"/>
  <c r="AA156" i="82"/>
  <c r="N249" i="82"/>
  <c r="N250" i="82"/>
  <c r="N267" i="82"/>
  <c r="AA304" i="82"/>
  <c r="AP304" i="82"/>
  <c r="AA245" i="82"/>
  <c r="AA246" i="82"/>
  <c r="AA248" i="82"/>
  <c r="O262" i="82"/>
  <c r="AP305" i="82"/>
  <c r="AA305" i="82"/>
  <c r="O77" i="82"/>
  <c r="O69" i="82"/>
  <c r="O66" i="82"/>
  <c r="O46" i="82"/>
  <c r="O78" i="82"/>
  <c r="O40" i="82"/>
  <c r="O81" i="82"/>
  <c r="O45" i="82"/>
  <c r="O71" i="82"/>
  <c r="O52" i="82"/>
  <c r="O74" i="82"/>
  <c r="O64" i="82"/>
  <c r="O61" i="82"/>
  <c r="O55" i="82"/>
  <c r="O49" i="82"/>
  <c r="O58" i="82"/>
  <c r="AA255" i="82"/>
  <c r="N268" i="82"/>
  <c r="AA47" i="82"/>
  <c r="Y61" i="82"/>
  <c r="O53" i="82"/>
  <c r="O54" i="82"/>
  <c r="O62" i="82"/>
  <c r="O73" i="82"/>
  <c r="O79" i="82"/>
  <c r="O82" i="82"/>
  <c r="N203" i="82"/>
  <c r="N220" i="82"/>
  <c r="N218" i="82"/>
  <c r="N211" i="82"/>
  <c r="N208" i="82"/>
  <c r="N195" i="82"/>
  <c r="N189" i="82"/>
  <c r="N205" i="82"/>
  <c r="N200" i="82"/>
  <c r="N221" i="82"/>
  <c r="N209" i="82"/>
  <c r="N213" i="82"/>
  <c r="N187" i="82"/>
  <c r="N202" i="82"/>
  <c r="N198" i="82"/>
  <c r="N228" i="82"/>
  <c r="N225" i="82"/>
  <c r="N219" i="82"/>
  <c r="N217" i="82"/>
  <c r="N223" i="82"/>
  <c r="N215" i="82"/>
  <c r="N193" i="82"/>
  <c r="N192" i="82"/>
  <c r="N214" i="82"/>
  <c r="O274" i="82"/>
  <c r="AA59" i="82"/>
  <c r="AP59" i="82"/>
  <c r="BZ3" i="82"/>
  <c r="N235" i="82"/>
  <c r="O267" i="82"/>
  <c r="O246" i="82"/>
  <c r="O277" i="82"/>
  <c r="O273" i="82"/>
  <c r="O260" i="82"/>
  <c r="O265" i="82"/>
  <c r="O257" i="82"/>
  <c r="O250" i="82"/>
  <c r="O254" i="82"/>
  <c r="O251" i="82"/>
  <c r="O248" i="82"/>
  <c r="O245" i="82"/>
  <c r="O268" i="82"/>
  <c r="O275" i="82"/>
  <c r="O266" i="82"/>
  <c r="O241" i="82"/>
  <c r="O264" i="82"/>
  <c r="O253" i="82"/>
  <c r="O243" i="82"/>
  <c r="O278" i="82"/>
  <c r="O259" i="82"/>
  <c r="O252" i="82"/>
  <c r="O263" i="82"/>
  <c r="O258" i="82"/>
  <c r="O236" i="82"/>
  <c r="O244" i="82"/>
  <c r="O269" i="82"/>
  <c r="O271" i="82"/>
  <c r="AM240" i="82"/>
  <c r="O249" i="82"/>
  <c r="AM44" i="82"/>
  <c r="AA56" i="82"/>
  <c r="O235" i="82"/>
  <c r="O255" i="82"/>
  <c r="O279" i="82" s="1"/>
  <c r="N233" i="82"/>
  <c r="O270" i="82"/>
  <c r="AA200" i="82"/>
  <c r="AA205" i="82"/>
  <c r="AP205" i="82"/>
  <c r="AA52" i="82"/>
  <c r="AB52" i="82" s="1"/>
  <c r="O59" i="82"/>
  <c r="O83" i="82" s="1"/>
  <c r="AA96" i="82"/>
  <c r="N177" i="82"/>
  <c r="N155" i="82"/>
  <c r="N148" i="82"/>
  <c r="N135" i="82"/>
  <c r="N168" i="82"/>
  <c r="N161" i="82"/>
  <c r="N137" i="82"/>
  <c r="N171" i="82"/>
  <c r="N150" i="82"/>
  <c r="N140" i="82"/>
  <c r="N178" i="82"/>
  <c r="N170" i="82"/>
  <c r="N158" i="82"/>
  <c r="N175" i="82"/>
  <c r="N166" i="82"/>
  <c r="N160" i="82"/>
  <c r="N151" i="82"/>
  <c r="N174" i="82"/>
  <c r="N159" i="82"/>
  <c r="N179" i="82"/>
  <c r="N154" i="82"/>
  <c r="N149" i="82"/>
  <c r="N144" i="82"/>
  <c r="N172" i="82"/>
  <c r="Y159" i="82"/>
  <c r="AA146" i="82"/>
  <c r="O196" i="82"/>
  <c r="O217" i="82"/>
  <c r="O205" i="82"/>
  <c r="O200" i="82"/>
  <c r="O221" i="82"/>
  <c r="O209" i="82"/>
  <c r="O216" i="82"/>
  <c r="O195" i="82"/>
  <c r="O187" i="82"/>
  <c r="O202" i="82"/>
  <c r="O227" i="82"/>
  <c r="O206" i="82"/>
  <c r="O230" i="82" s="1"/>
  <c r="O198" i="82"/>
  <c r="O225" i="82"/>
  <c r="O219" i="82"/>
  <c r="O211" i="82"/>
  <c r="O197" i="82"/>
  <c r="O215" i="82"/>
  <c r="O213" i="82"/>
  <c r="O193" i="82"/>
  <c r="O228" i="82"/>
  <c r="O223" i="82"/>
  <c r="O203" i="82"/>
  <c r="O189" i="82"/>
  <c r="O192" i="82"/>
  <c r="AA204" i="82"/>
  <c r="AP204" i="82"/>
  <c r="O214" i="82"/>
  <c r="N224" i="82"/>
  <c r="O238" i="82"/>
  <c r="N242" i="82"/>
  <c r="AA256" i="82"/>
  <c r="M239" i="82"/>
  <c r="U236" i="82"/>
  <c r="AA300" i="82"/>
  <c r="AP300" i="82"/>
  <c r="AA250" i="82"/>
  <c r="AP250" i="82"/>
  <c r="Y306" i="82"/>
  <c r="AA243" i="82"/>
  <c r="AP243" i="82"/>
  <c r="Y257" i="82"/>
  <c r="AA249" i="82"/>
  <c r="AA251" i="82"/>
  <c r="N124" i="82"/>
  <c r="N116" i="82"/>
  <c r="N107" i="82"/>
  <c r="N89" i="82"/>
  <c r="N100" i="82"/>
  <c r="N123" i="82"/>
  <c r="N112" i="82"/>
  <c r="N108" i="82"/>
  <c r="N132" i="82" s="1"/>
  <c r="N96" i="82"/>
  <c r="N94" i="82"/>
  <c r="O96" i="82"/>
  <c r="AM142" i="82"/>
  <c r="AA158" i="82"/>
  <c r="AA148" i="82"/>
  <c r="O116" i="82"/>
  <c r="O107" i="82"/>
  <c r="O100" i="82"/>
  <c r="O128" i="82"/>
  <c r="O119" i="82"/>
  <c r="O114" i="82"/>
  <c r="O109" i="82"/>
  <c r="O121" i="82"/>
  <c r="O89" i="82"/>
  <c r="N109" i="82"/>
  <c r="AO289" i="82"/>
  <c r="AM289" i="82"/>
  <c r="P73" i="82"/>
  <c r="P171" i="82"/>
  <c r="P150" i="82"/>
  <c r="P140" i="82"/>
  <c r="P166" i="82"/>
  <c r="P152" i="82"/>
  <c r="P147" i="82"/>
  <c r="P151" i="82"/>
  <c r="P154" i="82"/>
  <c r="N66" i="82"/>
  <c r="N69" i="82"/>
  <c r="N77" i="82"/>
  <c r="P78" i="82"/>
  <c r="P162" i="82"/>
  <c r="P164" i="82"/>
  <c r="P168" i="82"/>
  <c r="P179" i="82"/>
  <c r="N48" i="82"/>
  <c r="N50" i="82"/>
  <c r="N52" i="82"/>
  <c r="N54" i="82"/>
  <c r="N56" i="82"/>
  <c r="N58" i="82"/>
  <c r="N60" i="82"/>
  <c r="P160" i="82"/>
  <c r="P175" i="82"/>
  <c r="P102" i="82"/>
  <c r="P122" i="82"/>
  <c r="O312" i="82"/>
  <c r="O303" i="82"/>
  <c r="O285" i="82"/>
  <c r="O318" i="82"/>
  <c r="O298" i="82"/>
  <c r="O308" i="82"/>
  <c r="O321" i="82"/>
  <c r="O300" i="82"/>
  <c r="O291" i="82"/>
  <c r="O286" i="82"/>
  <c r="O296" i="82"/>
  <c r="O316" i="82"/>
  <c r="P109" i="82"/>
  <c r="P114" i="82"/>
  <c r="P119" i="82"/>
  <c r="P324" i="82"/>
  <c r="P296" i="82"/>
  <c r="P308" i="82"/>
  <c r="P321" i="82"/>
  <c r="P300" i="82"/>
  <c r="P291" i="82"/>
  <c r="P286" i="82"/>
  <c r="P325" i="82"/>
  <c r="P313" i="82"/>
  <c r="P293" i="82"/>
  <c r="O304" i="82"/>
  <c r="O328" i="82" s="1"/>
  <c r="P316" i="82"/>
  <c r="O323" i="82"/>
  <c r="P304" i="82"/>
  <c r="P318" i="82"/>
  <c r="O320" i="82"/>
  <c r="P323" i="82"/>
  <c r="N318" i="82"/>
  <c r="N305" i="82"/>
  <c r="N310" i="82"/>
  <c r="N315" i="82"/>
  <c r="P255" i="82"/>
  <c r="P262" i="82"/>
  <c r="N294" i="82"/>
  <c r="AA141" i="81"/>
  <c r="AB141" i="81"/>
  <c r="AA140" i="81"/>
  <c r="E16" i="81"/>
  <c r="E43" i="81"/>
  <c r="Z140" i="81"/>
  <c r="AA139" i="81"/>
  <c r="CP3" i="81"/>
  <c r="Z139" i="81"/>
  <c r="Z141" i="81"/>
  <c r="AA138" i="81"/>
  <c r="Y141" i="81"/>
  <c r="AB140" i="81"/>
  <c r="Y140" i="81"/>
  <c r="AB139" i="81"/>
  <c r="Y139" i="81"/>
  <c r="Z138" i="81"/>
  <c r="AB138" i="81"/>
  <c r="D13" i="81"/>
  <c r="E26" i="81"/>
  <c r="D58" i="81"/>
  <c r="E13" i="81"/>
  <c r="D16" i="81"/>
  <c r="Z114" i="81"/>
  <c r="Z99" i="81"/>
  <c r="Z150" i="81"/>
  <c r="C104" i="81"/>
  <c r="F63" i="81"/>
  <c r="F104" i="81"/>
  <c r="Z112" i="81"/>
  <c r="C156" i="81"/>
  <c r="Z153" i="81"/>
  <c r="Z104" i="81"/>
  <c r="AX49" i="81"/>
  <c r="AU92" i="81"/>
  <c r="AW86" i="81"/>
  <c r="E32" i="81"/>
  <c r="AV58" i="81"/>
  <c r="F123" i="81"/>
  <c r="C39" i="81"/>
  <c r="AW58" i="81"/>
  <c r="C131" i="81"/>
  <c r="AW83" i="81"/>
  <c r="D27" i="81"/>
  <c r="AV19" i="81"/>
  <c r="E27" i="81"/>
  <c r="E33" i="81"/>
  <c r="Z154" i="81"/>
  <c r="AG11" i="81"/>
  <c r="AV52" i="81"/>
  <c r="AW52" i="81"/>
  <c r="AX52" i="81"/>
  <c r="AX84" i="81"/>
  <c r="D8" i="81"/>
  <c r="D28" i="81"/>
  <c r="AV48" i="81"/>
  <c r="AV141" i="81"/>
  <c r="D142" i="81"/>
  <c r="E8" i="81"/>
  <c r="E28" i="81"/>
  <c r="AW74" i="81"/>
  <c r="AX92" i="81"/>
  <c r="D131" i="81"/>
  <c r="AV18" i="81"/>
  <c r="AV49" i="81"/>
  <c r="D71" i="81"/>
  <c r="F76" i="81"/>
  <c r="D118" i="81"/>
  <c r="AW101" i="81"/>
  <c r="AW56" i="81"/>
  <c r="AW128" i="81"/>
  <c r="AW49" i="81"/>
  <c r="E118" i="81"/>
  <c r="AU17" i="81"/>
  <c r="AU19" i="81"/>
  <c r="AB85" i="81"/>
  <c r="AB48" i="81"/>
  <c r="AB59" i="81"/>
  <c r="AB65" i="81"/>
  <c r="Y133" i="81"/>
  <c r="Y112" i="81"/>
  <c r="Y121" i="81"/>
  <c r="Y136" i="81"/>
  <c r="Y104" i="81"/>
  <c r="AA156" i="81"/>
  <c r="AA99" i="81"/>
  <c r="AA153" i="81"/>
  <c r="D44" i="81"/>
  <c r="D86" i="81"/>
  <c r="D93" i="81"/>
  <c r="AA112" i="81"/>
  <c r="AA121" i="81"/>
  <c r="AA132" i="81"/>
  <c r="D37" i="81"/>
  <c r="E44" i="81"/>
  <c r="AV51" i="81"/>
  <c r="AV88" i="81"/>
  <c r="D104" i="81"/>
  <c r="Z142" i="81"/>
  <c r="C151" i="81"/>
  <c r="D88" i="81"/>
  <c r="D77" i="81"/>
  <c r="C9" i="81"/>
  <c r="D9" i="81"/>
  <c r="AV86" i="81"/>
  <c r="AA107" i="81"/>
  <c r="D50" i="81"/>
  <c r="AA115" i="81"/>
  <c r="E39" i="81"/>
  <c r="AA160" i="81"/>
  <c r="AX18" i="81"/>
  <c r="C22" i="81"/>
  <c r="F48" i="81"/>
  <c r="AV62" i="81"/>
  <c r="D66" i="81"/>
  <c r="AA97" i="81"/>
  <c r="AA104" i="81"/>
  <c r="AV121" i="81"/>
  <c r="Z128" i="81"/>
  <c r="AA114" i="81"/>
  <c r="AA11" i="81"/>
  <c r="D21" i="81"/>
  <c r="D22" i="81"/>
  <c r="AV34" i="81"/>
  <c r="D38" i="81"/>
  <c r="AW80" i="81"/>
  <c r="F91" i="81"/>
  <c r="Z106" i="81"/>
  <c r="Z109" i="81"/>
  <c r="AW121" i="81"/>
  <c r="AA128" i="81"/>
  <c r="AW132" i="81"/>
  <c r="C145" i="81"/>
  <c r="D70" i="81"/>
  <c r="D92" i="81"/>
  <c r="AA147" i="81"/>
  <c r="AA102" i="81"/>
  <c r="E10" i="81"/>
  <c r="D31" i="81"/>
  <c r="E21" i="81"/>
  <c r="E22" i="81"/>
  <c r="E38" i="81"/>
  <c r="D72" i="81"/>
  <c r="AA106" i="81"/>
  <c r="Z108" i="81"/>
  <c r="AW119" i="81"/>
  <c r="AW135" i="81"/>
  <c r="AB24" i="81"/>
  <c r="D32" i="81"/>
  <c r="E41" i="81"/>
  <c r="D81" i="81"/>
  <c r="AA108" i="81"/>
  <c r="AW118" i="81"/>
  <c r="AV142" i="81"/>
  <c r="C78" i="81"/>
  <c r="C86" i="81"/>
  <c r="C64" i="81"/>
  <c r="C90" i="81"/>
  <c r="C59" i="81"/>
  <c r="C72" i="81"/>
  <c r="C50" i="81"/>
  <c r="Y45" i="81"/>
  <c r="Y30" i="81"/>
  <c r="AA26" i="81"/>
  <c r="AV124" i="81"/>
  <c r="AV97" i="81"/>
  <c r="AA39" i="81"/>
  <c r="AA37" i="81"/>
  <c r="F84" i="81"/>
  <c r="AW148" i="81"/>
  <c r="AB13" i="81"/>
  <c r="AV161" i="81"/>
  <c r="D151" i="81"/>
  <c r="AV13" i="81"/>
  <c r="AB69" i="81"/>
  <c r="AB108" i="81"/>
  <c r="AB117" i="81"/>
  <c r="D45" i="81"/>
  <c r="AV99" i="81"/>
  <c r="AB115" i="81"/>
  <c r="AB131" i="81"/>
  <c r="AB10" i="81"/>
  <c r="AA16" i="81"/>
  <c r="AA23" i="81"/>
  <c r="E30" i="81"/>
  <c r="AV53" i="81"/>
  <c r="E73" i="81"/>
  <c r="E80" i="81"/>
  <c r="AU89" i="81"/>
  <c r="K100" i="81"/>
  <c r="AB104" i="81"/>
  <c r="AB122" i="81"/>
  <c r="AA123" i="81"/>
  <c r="AB124" i="81"/>
  <c r="AA133" i="81"/>
  <c r="AB134" i="81"/>
  <c r="Z136" i="81"/>
  <c r="AV143" i="81"/>
  <c r="AB147" i="81"/>
  <c r="Z149" i="81"/>
  <c r="AA154" i="81"/>
  <c r="AB159" i="81"/>
  <c r="AV162" i="81"/>
  <c r="AB150" i="81"/>
  <c r="AW136" i="81"/>
  <c r="E66" i="81"/>
  <c r="E68" i="81"/>
  <c r="AW106" i="81"/>
  <c r="E52" i="81"/>
  <c r="F49" i="81"/>
  <c r="F72" i="81"/>
  <c r="E82" i="81"/>
  <c r="AV98" i="81"/>
  <c r="AV158" i="81"/>
  <c r="AG51" i="81"/>
  <c r="E149" i="81"/>
  <c r="AB143" i="81"/>
  <c r="F149" i="81"/>
  <c r="AV63" i="81"/>
  <c r="AB114" i="81"/>
  <c r="AU10" i="81"/>
  <c r="D17" i="81"/>
  <c r="AA46" i="81"/>
  <c r="AW164" i="81"/>
  <c r="AV10" i="81"/>
  <c r="AA20" i="81"/>
  <c r="C36" i="81"/>
  <c r="AW50" i="81"/>
  <c r="D55" i="81"/>
  <c r="D60" i="81"/>
  <c r="D61" i="81"/>
  <c r="E62" i="81"/>
  <c r="AV68" i="81"/>
  <c r="E74" i="81"/>
  <c r="AV82" i="81"/>
  <c r="AX87" i="81"/>
  <c r="AW89" i="81"/>
  <c r="AV100" i="81"/>
  <c r="AW104" i="81"/>
  <c r="AW108" i="81"/>
  <c r="AV147" i="81"/>
  <c r="AW159" i="81"/>
  <c r="AB97" i="81"/>
  <c r="AB106" i="81"/>
  <c r="AV123" i="81"/>
  <c r="AV106" i="81"/>
  <c r="AB153" i="81"/>
  <c r="F66" i="81"/>
  <c r="AA27" i="81"/>
  <c r="F52" i="81"/>
  <c r="F70" i="81"/>
  <c r="AB146" i="81"/>
  <c r="F82" i="81"/>
  <c r="AW158" i="81"/>
  <c r="AB130" i="81"/>
  <c r="AB142" i="81"/>
  <c r="AV50" i="81"/>
  <c r="AW53" i="81"/>
  <c r="AW73" i="81"/>
  <c r="AB125" i="81"/>
  <c r="AW138" i="81"/>
  <c r="AW143" i="81"/>
  <c r="AB152" i="81"/>
  <c r="AB154" i="81"/>
  <c r="E11" i="81"/>
  <c r="D24" i="81"/>
  <c r="AA30" i="81"/>
  <c r="E36" i="81"/>
  <c r="D42" i="81"/>
  <c r="AX50" i="81"/>
  <c r="AV55" i="81"/>
  <c r="E60" i="81"/>
  <c r="F61" i="81"/>
  <c r="F62" i="81"/>
  <c r="D63" i="81"/>
  <c r="F74" i="81"/>
  <c r="AW82" i="81"/>
  <c r="AV105" i="81"/>
  <c r="AV109" i="81"/>
  <c r="AW110" i="81"/>
  <c r="AV112" i="81"/>
  <c r="AV116" i="81"/>
  <c r="AW117" i="81"/>
  <c r="AW147" i="81"/>
  <c r="AV157" i="81"/>
  <c r="AA42" i="81"/>
  <c r="AB101" i="81"/>
  <c r="AV136" i="81"/>
  <c r="F86" i="81"/>
  <c r="AW124" i="81"/>
  <c r="AW160" i="81"/>
  <c r="E70" i="81"/>
  <c r="AW97" i="81"/>
  <c r="AB102" i="81"/>
  <c r="AV148" i="81"/>
  <c r="AA8" i="81"/>
  <c r="AA43" i="81"/>
  <c r="E72" i="81"/>
  <c r="E78" i="81"/>
  <c r="AA35" i="81"/>
  <c r="AB107" i="81"/>
  <c r="AB109" i="81"/>
  <c r="AB137" i="81"/>
  <c r="D162" i="81"/>
  <c r="AV72" i="81"/>
  <c r="AB99" i="81"/>
  <c r="AV137" i="81"/>
  <c r="AV65" i="81"/>
  <c r="AU82" i="81"/>
  <c r="AW87" i="81"/>
  <c r="AV89" i="81"/>
  <c r="AG100" i="81"/>
  <c r="AV104" i="81"/>
  <c r="AW107" i="81"/>
  <c r="E24" i="81"/>
  <c r="E48" i="81"/>
  <c r="AW55" i="81"/>
  <c r="D59" i="81"/>
  <c r="AV66" i="81"/>
  <c r="AV74" i="81"/>
  <c r="AV90" i="81"/>
  <c r="AW109" i="81"/>
  <c r="AW112" i="81"/>
  <c r="AV119" i="81"/>
  <c r="AV120" i="81"/>
  <c r="AV127" i="81"/>
  <c r="AV132" i="81"/>
  <c r="AV135" i="81"/>
  <c r="AV154" i="81"/>
  <c r="AW157" i="81"/>
  <c r="AX107" i="81"/>
  <c r="AU98" i="81"/>
  <c r="AU153" i="81"/>
  <c r="AU139" i="81"/>
  <c r="AU164" i="81"/>
  <c r="AU146" i="81"/>
  <c r="AU134" i="81"/>
  <c r="AU133" i="81"/>
  <c r="AU149" i="81"/>
  <c r="AU120" i="81"/>
  <c r="AU117" i="81"/>
  <c r="AU108" i="81"/>
  <c r="AU114" i="81"/>
  <c r="AU111" i="81"/>
  <c r="AU130" i="81"/>
  <c r="AX118" i="81"/>
  <c r="AU159" i="81"/>
  <c r="AX102" i="81"/>
  <c r="AX15" i="81"/>
  <c r="AW16" i="81"/>
  <c r="AW19" i="81"/>
  <c r="AU75" i="81"/>
  <c r="AU87" i="81"/>
  <c r="AU77" i="81"/>
  <c r="AU91" i="81"/>
  <c r="AU81" i="81"/>
  <c r="AU53" i="81"/>
  <c r="AU72" i="81"/>
  <c r="AU48" i="81"/>
  <c r="E109" i="81"/>
  <c r="AX109" i="81"/>
  <c r="AU110" i="81"/>
  <c r="D115" i="81"/>
  <c r="D138" i="81"/>
  <c r="AX147" i="81"/>
  <c r="Z31" i="81"/>
  <c r="Z15" i="81"/>
  <c r="Z21" i="81"/>
  <c r="Z40" i="81"/>
  <c r="AW33" i="81"/>
  <c r="AX83" i="81"/>
  <c r="F99" i="81"/>
  <c r="Y101" i="81"/>
  <c r="AU129" i="81"/>
  <c r="C69" i="81"/>
  <c r="C65" i="81"/>
  <c r="C57" i="81"/>
  <c r="C79" i="81"/>
  <c r="C51" i="81"/>
  <c r="AU55" i="81"/>
  <c r="C73" i="81"/>
  <c r="C91" i="81"/>
  <c r="Y108" i="81"/>
  <c r="AX129" i="81"/>
  <c r="E134" i="81"/>
  <c r="D146" i="81"/>
  <c r="AU122" i="81"/>
  <c r="AU136" i="81"/>
  <c r="D143" i="81"/>
  <c r="E146" i="81"/>
  <c r="E153" i="81"/>
  <c r="E77" i="81"/>
  <c r="E76" i="81"/>
  <c r="E51" i="81"/>
  <c r="E65" i="81"/>
  <c r="E69" i="81"/>
  <c r="E57" i="81"/>
  <c r="E83" i="81"/>
  <c r="E94" i="81"/>
  <c r="E64" i="81"/>
  <c r="AU86" i="81"/>
  <c r="D97" i="81"/>
  <c r="E106" i="81"/>
  <c r="C116" i="81"/>
  <c r="C135" i="81"/>
  <c r="F146" i="81"/>
  <c r="AU161" i="81"/>
  <c r="AX159" i="81"/>
  <c r="AX155" i="81"/>
  <c r="AX138" i="81"/>
  <c r="AX144" i="81"/>
  <c r="AX139" i="81"/>
  <c r="AX123" i="81"/>
  <c r="AX120" i="81"/>
  <c r="AX105" i="81"/>
  <c r="AX111" i="81"/>
  <c r="AX108" i="81"/>
  <c r="AX158" i="81"/>
  <c r="AX136" i="81"/>
  <c r="AX101" i="81"/>
  <c r="AX97" i="81"/>
  <c r="AX160" i="81"/>
  <c r="AX142" i="81"/>
  <c r="AX133" i="81"/>
  <c r="AX130" i="81"/>
  <c r="AX36" i="81"/>
  <c r="AX31" i="81"/>
  <c r="AX25" i="81"/>
  <c r="AX9" i="81"/>
  <c r="AX34" i="81"/>
  <c r="AX19" i="81"/>
  <c r="AX17" i="81"/>
  <c r="AX42" i="81"/>
  <c r="AX20" i="81"/>
  <c r="AX11" i="81"/>
  <c r="AX24" i="81"/>
  <c r="AU102" i="81"/>
  <c r="AU106" i="81"/>
  <c r="AX10" i="81"/>
  <c r="AW26" i="81"/>
  <c r="AX26" i="81"/>
  <c r="AX98" i="81"/>
  <c r="D101" i="81"/>
  <c r="AX115" i="81"/>
  <c r="AX134" i="81"/>
  <c r="E156" i="81"/>
  <c r="AX94" i="81"/>
  <c r="AX91" i="81"/>
  <c r="AX79" i="81"/>
  <c r="AX77" i="81"/>
  <c r="AX70" i="81"/>
  <c r="AX69" i="81"/>
  <c r="AX75" i="81"/>
  <c r="AX72" i="81"/>
  <c r="AX88" i="81"/>
  <c r="AX48" i="81"/>
  <c r="AX59" i="81"/>
  <c r="AX58" i="81"/>
  <c r="AX74" i="81"/>
  <c r="AX56" i="81"/>
  <c r="C164" i="81"/>
  <c r="C127" i="81"/>
  <c r="C123" i="81"/>
  <c r="C102" i="81"/>
  <c r="C120" i="81"/>
  <c r="C98" i="81"/>
  <c r="C108" i="81"/>
  <c r="C155" i="81"/>
  <c r="C136" i="81"/>
  <c r="Y143" i="81"/>
  <c r="Y150" i="81"/>
  <c r="Y142" i="81"/>
  <c r="Y164" i="81"/>
  <c r="Y107" i="81"/>
  <c r="Y144" i="81"/>
  <c r="Y132" i="81"/>
  <c r="Y124" i="81"/>
  <c r="Y146" i="81"/>
  <c r="D134" i="81"/>
  <c r="AX135" i="81"/>
  <c r="AX12" i="81"/>
  <c r="AX110" i="81"/>
  <c r="D84" i="81"/>
  <c r="D91" i="81"/>
  <c r="AX121" i="81"/>
  <c r="Y24" i="81"/>
  <c r="AX55" i="81"/>
  <c r="C68" i="81"/>
  <c r="Y106" i="81"/>
  <c r="E116" i="81"/>
  <c r="D129" i="81"/>
  <c r="D135" i="81"/>
  <c r="D141" i="81"/>
  <c r="AW44" i="81"/>
  <c r="AW45" i="81"/>
  <c r="AW29" i="81"/>
  <c r="AW42" i="81"/>
  <c r="AW36" i="81"/>
  <c r="AW20" i="81"/>
  <c r="AW13" i="81"/>
  <c r="AW25" i="81"/>
  <c r="AW9" i="81"/>
  <c r="AW34" i="81"/>
  <c r="AX45" i="81"/>
  <c r="AX132" i="81"/>
  <c r="AU100" i="81"/>
  <c r="AX124" i="81"/>
  <c r="AU142" i="81"/>
  <c r="D107" i="81"/>
  <c r="D113" i="81"/>
  <c r="AX119" i="81"/>
  <c r="AW18" i="81"/>
  <c r="Q72" i="81"/>
  <c r="P71" i="81" s="1"/>
  <c r="AU109" i="81"/>
  <c r="AU147" i="81"/>
  <c r="D156" i="81"/>
  <c r="F140" i="81"/>
  <c r="F100" i="81"/>
  <c r="F120" i="81"/>
  <c r="F148" i="81"/>
  <c r="F114" i="81"/>
  <c r="D145" i="81"/>
  <c r="AX28" i="81"/>
  <c r="E127" i="81"/>
  <c r="C138" i="81"/>
  <c r="F156" i="81"/>
  <c r="AW35" i="81"/>
  <c r="AX53" i="81"/>
  <c r="E99" i="81"/>
  <c r="AU116" i="81"/>
  <c r="AU121" i="81"/>
  <c r="AU138" i="81"/>
  <c r="Y156" i="81"/>
  <c r="AU158" i="81"/>
  <c r="AA44" i="81"/>
  <c r="AA18" i="81"/>
  <c r="AA12" i="81"/>
  <c r="AA38" i="81"/>
  <c r="AA25" i="81"/>
  <c r="AA9" i="81"/>
  <c r="AA36" i="81"/>
  <c r="AA29" i="81"/>
  <c r="AA45" i="81"/>
  <c r="AA40" i="81"/>
  <c r="AA15" i="81"/>
  <c r="AA33" i="81"/>
  <c r="AA31" i="81"/>
  <c r="AA21" i="81"/>
  <c r="AA17" i="81"/>
  <c r="AX33" i="81"/>
  <c r="AW43" i="81"/>
  <c r="AB33" i="81"/>
  <c r="AB40" i="81"/>
  <c r="AW21" i="81"/>
  <c r="AX43" i="81"/>
  <c r="AU101" i="81"/>
  <c r="AA41" i="81"/>
  <c r="C52" i="81"/>
  <c r="AX73" i="81"/>
  <c r="Z13" i="81"/>
  <c r="AU44" i="81"/>
  <c r="AU33" i="81"/>
  <c r="AU24" i="81"/>
  <c r="AU15" i="81"/>
  <c r="AU31" i="81"/>
  <c r="AU36" i="81"/>
  <c r="AU42" i="81"/>
  <c r="Z24" i="81"/>
  <c r="AX29" i="81"/>
  <c r="AA32" i="81"/>
  <c r="AA34" i="81"/>
  <c r="AW41" i="81"/>
  <c r="D52" i="81"/>
  <c r="F85" i="81"/>
  <c r="F64" i="81"/>
  <c r="F57" i="81"/>
  <c r="F94" i="81"/>
  <c r="F83" i="81"/>
  <c r="F51" i="81"/>
  <c r="F68" i="81"/>
  <c r="C56" i="81"/>
  <c r="D67" i="81"/>
  <c r="C74" i="81"/>
  <c r="AU88" i="81"/>
  <c r="AU99" i="81"/>
  <c r="AU107" i="81"/>
  <c r="AU113" i="81"/>
  <c r="E129" i="81"/>
  <c r="AX131" i="81"/>
  <c r="AU132" i="81"/>
  <c r="AU148" i="81"/>
  <c r="AX161" i="81"/>
  <c r="AW22" i="81"/>
  <c r="AW32" i="81"/>
  <c r="AX22" i="81"/>
  <c r="AX32" i="81"/>
  <c r="AU97" i="81"/>
  <c r="AU126" i="81"/>
  <c r="D159" i="81"/>
  <c r="D152" i="81"/>
  <c r="D127" i="81"/>
  <c r="D123" i="81"/>
  <c r="D111" i="81"/>
  <c r="D106" i="81"/>
  <c r="D144" i="81"/>
  <c r="D117" i="81"/>
  <c r="D98" i="81"/>
  <c r="D155" i="81"/>
  <c r="D130" i="81"/>
  <c r="D126" i="81"/>
  <c r="D108" i="81"/>
  <c r="D161" i="81"/>
  <c r="D157" i="81"/>
  <c r="D133" i="81"/>
  <c r="D105" i="81"/>
  <c r="D100" i="81"/>
  <c r="D164" i="81"/>
  <c r="D148" i="81"/>
  <c r="D139" i="81"/>
  <c r="D125" i="81"/>
  <c r="D114" i="81"/>
  <c r="D110" i="81"/>
  <c r="D160" i="81"/>
  <c r="D163" i="81"/>
  <c r="AX30" i="81"/>
  <c r="AW46" i="81"/>
  <c r="E152" i="81"/>
  <c r="E161" i="81"/>
  <c r="E164" i="81"/>
  <c r="D154" i="81"/>
  <c r="AW28" i="81"/>
  <c r="AX37" i="81"/>
  <c r="D99" i="81"/>
  <c r="E101" i="81"/>
  <c r="C115" i="81"/>
  <c r="AX93" i="81"/>
  <c r="F101" i="81"/>
  <c r="AW8" i="81"/>
  <c r="Z17" i="81"/>
  <c r="AX35" i="81"/>
  <c r="AX8" i="81"/>
  <c r="Y99" i="81"/>
  <c r="AX116" i="81"/>
  <c r="D49" i="81"/>
  <c r="D57" i="81"/>
  <c r="D64" i="81"/>
  <c r="D83" i="81"/>
  <c r="D79" i="81"/>
  <c r="D75" i="81"/>
  <c r="D51" i="81"/>
  <c r="D94" i="81"/>
  <c r="D53" i="81"/>
  <c r="AA10" i="81"/>
  <c r="AA13" i="81"/>
  <c r="AV27" i="81"/>
  <c r="AV15" i="81"/>
  <c r="AV45" i="81"/>
  <c r="AV36" i="81"/>
  <c r="AV42" i="81"/>
  <c r="AA19" i="81"/>
  <c r="AV22" i="81"/>
  <c r="AA24" i="81"/>
  <c r="AX41" i="81"/>
  <c r="AX44" i="81"/>
  <c r="AU49" i="81"/>
  <c r="D56" i="81"/>
  <c r="C60" i="81"/>
  <c r="D74" i="81"/>
  <c r="D80" i="81"/>
  <c r="AX86" i="81"/>
  <c r="AU118" i="81"/>
  <c r="Y120" i="81"/>
  <c r="Y128" i="81"/>
  <c r="F141" i="81"/>
  <c r="AX150" i="81"/>
  <c r="Z118" i="81"/>
  <c r="Z146" i="81"/>
  <c r="Z151" i="81"/>
  <c r="E9" i="81"/>
  <c r="E15" i="81"/>
  <c r="E18" i="81"/>
  <c r="E19" i="81"/>
  <c r="E45" i="81"/>
  <c r="AW88" i="81"/>
  <c r="AV111" i="81"/>
  <c r="AB112" i="81"/>
  <c r="Z124" i="81"/>
  <c r="AB128" i="81"/>
  <c r="AA146" i="81"/>
  <c r="AB151" i="81"/>
  <c r="D12" i="81"/>
  <c r="E29" i="81"/>
  <c r="E35" i="81"/>
  <c r="AW72" i="81"/>
  <c r="AV75" i="81"/>
  <c r="AB79" i="81"/>
  <c r="AV81" i="81"/>
  <c r="AV91" i="81"/>
  <c r="AV94" i="81"/>
  <c r="AW105" i="81"/>
  <c r="Z116" i="81"/>
  <c r="AW120" i="81"/>
  <c r="AW123" i="81"/>
  <c r="AV139" i="81"/>
  <c r="AW144" i="81"/>
  <c r="AV151" i="81"/>
  <c r="AV153" i="81"/>
  <c r="AB164" i="81"/>
  <c r="E12" i="81"/>
  <c r="K51" i="81"/>
  <c r="AV61" i="81"/>
  <c r="AW81" i="81"/>
  <c r="AW91" i="81"/>
  <c r="AW94" i="81"/>
  <c r="AB100" i="81"/>
  <c r="Z107" i="81"/>
  <c r="AB113" i="81"/>
  <c r="AA116" i="81"/>
  <c r="AB129" i="81"/>
  <c r="AB148" i="81"/>
  <c r="D35" i="81"/>
  <c r="D10" i="81"/>
  <c r="D26" i="81"/>
  <c r="D43" i="81"/>
  <c r="AV57" i="81"/>
  <c r="Z122" i="81"/>
  <c r="AW131" i="81"/>
  <c r="AW134" i="81"/>
  <c r="AV146" i="81"/>
  <c r="AV164" i="81"/>
  <c r="BL72" i="81"/>
  <c r="Z92" i="81"/>
  <c r="Z82" i="81"/>
  <c r="Z81" i="81"/>
  <c r="Z94" i="81"/>
  <c r="Z63" i="81"/>
  <c r="Z59" i="81"/>
  <c r="Z72" i="81"/>
  <c r="Z50" i="81"/>
  <c r="Z91" i="81"/>
  <c r="Z74" i="81"/>
  <c r="Z70" i="81"/>
  <c r="Z66" i="81"/>
  <c r="Z58" i="81"/>
  <c r="Z53" i="81"/>
  <c r="Z52" i="81"/>
  <c r="Z51" i="81"/>
  <c r="Z89" i="81"/>
  <c r="Z78" i="81"/>
  <c r="Z56" i="81"/>
  <c r="Z93" i="81"/>
  <c r="Z73" i="81"/>
  <c r="Z85" i="81"/>
  <c r="Z79" i="81"/>
  <c r="Z57" i="81"/>
  <c r="Z60" i="81"/>
  <c r="Z76" i="81"/>
  <c r="Z61" i="81"/>
  <c r="Z69" i="81"/>
  <c r="Z62" i="81"/>
  <c r="Z55" i="81"/>
  <c r="Z83" i="81"/>
  <c r="Z80" i="81"/>
  <c r="Z86" i="81"/>
  <c r="Z90" i="81"/>
  <c r="Z87" i="81"/>
  <c r="Z84" i="81"/>
  <c r="Z49" i="81"/>
  <c r="Z67" i="81"/>
  <c r="Z77" i="81"/>
  <c r="Z64" i="81"/>
  <c r="Z71" i="81"/>
  <c r="Z68" i="81"/>
  <c r="AM137" i="81"/>
  <c r="C20" i="81"/>
  <c r="C41" i="81"/>
  <c r="C25" i="81"/>
  <c r="C13" i="81"/>
  <c r="C45" i="81"/>
  <c r="C32" i="81"/>
  <c r="C21" i="81"/>
  <c r="C19" i="81"/>
  <c r="C11" i="81"/>
  <c r="C18" i="81"/>
  <c r="C15" i="81"/>
  <c r="C12" i="81"/>
  <c r="C28" i="81"/>
  <c r="C34" i="81"/>
  <c r="C33" i="81"/>
  <c r="C30" i="81"/>
  <c r="C23" i="81"/>
  <c r="C40" i="81"/>
  <c r="C8" i="81"/>
  <c r="C29" i="81"/>
  <c r="C44" i="81"/>
  <c r="C35" i="81"/>
  <c r="C26" i="81"/>
  <c r="C10" i="81"/>
  <c r="C31" i="81"/>
  <c r="C27" i="81"/>
  <c r="C43" i="81"/>
  <c r="C37" i="81"/>
  <c r="C24" i="81"/>
  <c r="C17" i="81"/>
  <c r="C38" i="81"/>
  <c r="C16" i="81"/>
  <c r="BI137" i="81"/>
  <c r="Y91" i="81"/>
  <c r="Y87" i="81"/>
  <c r="Y86" i="81"/>
  <c r="Y84" i="81"/>
  <c r="Y83" i="81"/>
  <c r="Y80" i="81"/>
  <c r="Y73" i="81"/>
  <c r="Y71" i="81"/>
  <c r="Y67" i="81"/>
  <c r="Y63" i="81"/>
  <c r="Y59" i="81"/>
  <c r="Y56" i="81"/>
  <c r="Y92" i="81"/>
  <c r="Y88" i="81"/>
  <c r="Y75" i="81"/>
  <c r="Y89" i="81"/>
  <c r="Y72" i="81"/>
  <c r="Y50" i="81"/>
  <c r="Y82" i="81"/>
  <c r="Y78" i="81"/>
  <c r="Y65" i="81"/>
  <c r="Y69" i="81"/>
  <c r="Y58" i="81"/>
  <c r="Y52" i="81"/>
  <c r="Y85" i="81"/>
  <c r="Y79" i="81"/>
  <c r="Y51" i="81"/>
  <c r="Y62" i="81"/>
  <c r="Y74" i="81"/>
  <c r="Y70" i="81"/>
  <c r="Y60" i="81"/>
  <c r="Y76" i="81"/>
  <c r="Y94" i="81"/>
  <c r="Y90" i="81"/>
  <c r="Y64" i="81"/>
  <c r="Y57" i="81"/>
  <c r="Y55" i="81"/>
  <c r="Y49" i="81"/>
  <c r="Y66" i="81"/>
  <c r="Y77" i="81"/>
  <c r="Y61" i="81"/>
  <c r="AA93" i="81"/>
  <c r="AA72" i="81"/>
  <c r="AA50" i="81"/>
  <c r="AA56" i="81"/>
  <c r="AA78" i="81"/>
  <c r="AA62" i="81"/>
  <c r="AA82" i="81"/>
  <c r="AA73" i="81"/>
  <c r="AA83" i="81"/>
  <c r="AA69" i="81"/>
  <c r="AA51" i="81"/>
  <c r="AA91" i="81"/>
  <c r="AA49" i="81"/>
  <c r="AA70" i="81"/>
  <c r="AA60" i="81"/>
  <c r="AA52" i="81"/>
  <c r="AA90" i="81"/>
  <c r="AA87" i="81"/>
  <c r="AA68" i="81"/>
  <c r="AA57" i="81"/>
  <c r="AA55" i="81"/>
  <c r="AA89" i="81"/>
  <c r="AA80" i="81"/>
  <c r="AA86" i="81"/>
  <c r="AA76" i="81"/>
  <c r="AA94" i="81"/>
  <c r="AA92" i="81"/>
  <c r="AA77" i="81"/>
  <c r="AA64" i="81"/>
  <c r="AA61" i="81"/>
  <c r="AA81" i="81"/>
  <c r="AA74" i="81"/>
  <c r="AA66" i="81"/>
  <c r="AA58" i="81"/>
  <c r="AA63" i="81"/>
  <c r="AA67" i="81"/>
  <c r="AA84" i="81"/>
  <c r="AA71" i="81"/>
  <c r="Z65" i="81"/>
  <c r="Y68" i="81"/>
  <c r="Z75" i="81"/>
  <c r="Z88" i="81"/>
  <c r="AA53" i="81"/>
  <c r="Y81" i="81"/>
  <c r="AA79" i="81"/>
  <c r="AP137" i="81"/>
  <c r="AA85" i="81"/>
  <c r="F14" i="81"/>
  <c r="K11" i="81"/>
  <c r="Y53" i="81"/>
  <c r="AA65" i="81"/>
  <c r="AA75" i="81"/>
  <c r="AA88" i="81"/>
  <c r="BL23" i="81"/>
  <c r="BL18" i="81"/>
  <c r="Y93" i="81"/>
  <c r="Y42" i="81"/>
  <c r="Y38" i="81"/>
  <c r="Y37" i="81"/>
  <c r="Y35" i="81"/>
  <c r="Y34" i="81"/>
  <c r="Y31" i="81"/>
  <c r="Y21" i="81"/>
  <c r="Y43" i="81"/>
  <c r="Y33" i="81"/>
  <c r="Y32" i="81"/>
  <c r="Y26" i="81"/>
  <c r="Y8" i="81"/>
  <c r="Y13" i="81"/>
  <c r="Y29" i="81"/>
  <c r="Y16" i="81"/>
  <c r="Y36" i="81"/>
  <c r="Y22" i="81"/>
  <c r="Y9" i="81"/>
  <c r="Y17" i="81"/>
  <c r="Y15" i="81"/>
  <c r="Y44" i="81"/>
  <c r="Y41" i="81"/>
  <c r="Y19" i="81"/>
  <c r="Y46" i="81"/>
  <c r="Y10" i="81"/>
  <c r="Y27" i="81"/>
  <c r="Y11" i="81"/>
  <c r="Y12" i="81"/>
  <c r="Y23" i="81"/>
  <c r="Y20" i="81"/>
  <c r="Y18" i="81"/>
  <c r="Y25" i="81"/>
  <c r="Y39" i="81"/>
  <c r="Y28" i="81"/>
  <c r="AM23" i="81"/>
  <c r="Y48" i="81"/>
  <c r="Y40" i="81"/>
  <c r="Z48" i="81"/>
  <c r="AA48" i="81"/>
  <c r="AA59" i="81"/>
  <c r="AB75" i="81"/>
  <c r="AB56" i="81"/>
  <c r="AB70" i="81"/>
  <c r="AB66" i="81"/>
  <c r="AB91" i="81"/>
  <c r="AB74" i="81"/>
  <c r="AB58" i="81"/>
  <c r="AB53" i="81"/>
  <c r="AB52" i="81"/>
  <c r="AB51" i="81"/>
  <c r="AB82" i="81"/>
  <c r="AB78" i="81"/>
  <c r="AB72" i="81"/>
  <c r="AB50" i="81"/>
  <c r="AB73" i="81"/>
  <c r="AB93" i="81"/>
  <c r="AB83" i="81"/>
  <c r="AB90" i="81"/>
  <c r="AB88" i="81"/>
  <c r="AB26" i="81"/>
  <c r="AB8" i="81"/>
  <c r="AB45" i="81"/>
  <c r="AB15" i="81"/>
  <c r="AB35" i="81"/>
  <c r="AB29" i="81"/>
  <c r="AB16" i="81"/>
  <c r="AB36" i="81"/>
  <c r="AB22" i="81"/>
  <c r="AB9" i="81"/>
  <c r="AB46" i="81"/>
  <c r="AB43" i="81"/>
  <c r="AB21" i="81"/>
  <c r="AB37" i="81"/>
  <c r="AB30" i="81"/>
  <c r="AB20" i="81"/>
  <c r="AB19" i="81"/>
  <c r="Z23" i="81"/>
  <c r="Z28" i="81"/>
  <c r="Z39" i="81"/>
  <c r="AB61" i="81"/>
  <c r="AB77" i="81"/>
  <c r="AB67" i="81"/>
  <c r="AB63" i="81"/>
  <c r="AV16" i="81"/>
  <c r="F160" i="81"/>
  <c r="F159" i="81"/>
  <c r="F158" i="81"/>
  <c r="F157" i="81"/>
  <c r="F134" i="81"/>
  <c r="F118" i="81"/>
  <c r="F106" i="81"/>
  <c r="F164" i="81"/>
  <c r="F132" i="81"/>
  <c r="F131" i="81"/>
  <c r="F116" i="81"/>
  <c r="F115" i="81"/>
  <c r="F143" i="81"/>
  <c r="F135" i="81"/>
  <c r="F111" i="81"/>
  <c r="F108" i="81"/>
  <c r="F97" i="81"/>
  <c r="F147" i="81"/>
  <c r="F136" i="81"/>
  <c r="F110" i="81"/>
  <c r="F109" i="81"/>
  <c r="F154" i="81"/>
  <c r="F153" i="81"/>
  <c r="F137" i="81"/>
  <c r="F126" i="81"/>
  <c r="F125" i="81"/>
  <c r="F124" i="81"/>
  <c r="F112" i="81"/>
  <c r="F102" i="81"/>
  <c r="F150" i="81"/>
  <c r="F144" i="81"/>
  <c r="F151" i="81"/>
  <c r="F117" i="81"/>
  <c r="F105" i="81"/>
  <c r="F128" i="81"/>
  <c r="F121" i="81"/>
  <c r="F107" i="81"/>
  <c r="F163" i="81"/>
  <c r="F155" i="81"/>
  <c r="F138" i="81"/>
  <c r="F122" i="81"/>
  <c r="F113" i="81"/>
  <c r="F161" i="81"/>
  <c r="F129" i="81"/>
  <c r="AB11" i="81"/>
  <c r="AB27" i="81"/>
  <c r="C94" i="81"/>
  <c r="C83" i="81"/>
  <c r="C70" i="81"/>
  <c r="C66" i="81"/>
  <c r="C89" i="81"/>
  <c r="C85" i="81"/>
  <c r="C82" i="81"/>
  <c r="C76" i="81"/>
  <c r="C62" i="81"/>
  <c r="C48" i="81"/>
  <c r="C88" i="81"/>
  <c r="C55" i="81"/>
  <c r="C80" i="81"/>
  <c r="C49" i="81"/>
  <c r="C77" i="81"/>
  <c r="C87" i="81"/>
  <c r="C92" i="81"/>
  <c r="C81" i="81"/>
  <c r="C75" i="81"/>
  <c r="C58" i="81"/>
  <c r="C53" i="81"/>
  <c r="AB60" i="81"/>
  <c r="C61" i="81"/>
  <c r="C71" i="81"/>
  <c r="E79" i="81"/>
  <c r="AB80" i="81"/>
  <c r="E85" i="81"/>
  <c r="F98" i="81"/>
  <c r="E102" i="81"/>
  <c r="C152" i="81"/>
  <c r="C149" i="81"/>
  <c r="C146" i="81"/>
  <c r="C139" i="81"/>
  <c r="C133" i="81"/>
  <c r="C129" i="81"/>
  <c r="C125" i="81"/>
  <c r="C121" i="81"/>
  <c r="C117" i="81"/>
  <c r="C113" i="81"/>
  <c r="C153" i="81"/>
  <c r="C150" i="81"/>
  <c r="C101" i="81"/>
  <c r="C160" i="81"/>
  <c r="C159" i="81"/>
  <c r="C158" i="81"/>
  <c r="C157" i="81"/>
  <c r="C148" i="81"/>
  <c r="C134" i="81"/>
  <c r="C118" i="81"/>
  <c r="C106" i="81"/>
  <c r="C162" i="81"/>
  <c r="C100" i="81"/>
  <c r="C140" i="81"/>
  <c r="C122" i="81"/>
  <c r="C143" i="81"/>
  <c r="C111" i="81"/>
  <c r="C109" i="81"/>
  <c r="C97" i="81"/>
  <c r="C99" i="81"/>
  <c r="C137" i="81"/>
  <c r="C132" i="81"/>
  <c r="C112" i="81"/>
  <c r="C154" i="81"/>
  <c r="C147" i="81"/>
  <c r="C144" i="81"/>
  <c r="C128" i="81"/>
  <c r="C107" i="81"/>
  <c r="Q137" i="81"/>
  <c r="Y113" i="81"/>
  <c r="C119" i="81"/>
  <c r="E145" i="81"/>
  <c r="AU20" i="81"/>
  <c r="AU35" i="81"/>
  <c r="AB38" i="81"/>
  <c r="AB41" i="81"/>
  <c r="C67" i="81"/>
  <c r="F79" i="81"/>
  <c r="C93" i="81"/>
  <c r="C110" i="81"/>
  <c r="Z123" i="81"/>
  <c r="C124" i="81"/>
  <c r="C130" i="81"/>
  <c r="Z143" i="81"/>
  <c r="F145" i="81"/>
  <c r="F152" i="81"/>
  <c r="Z43" i="81"/>
  <c r="Z33" i="81"/>
  <c r="Z32" i="81"/>
  <c r="Z44" i="81"/>
  <c r="Z45" i="81"/>
  <c r="Z20" i="81"/>
  <c r="Z34" i="81"/>
  <c r="Z8" i="81"/>
  <c r="Z35" i="81"/>
  <c r="Z29" i="81"/>
  <c r="Z16" i="81"/>
  <c r="Z42" i="81"/>
  <c r="Z36" i="81"/>
  <c r="Z26" i="81"/>
  <c r="Z22" i="81"/>
  <c r="Z9" i="81"/>
  <c r="AO21" i="81"/>
  <c r="AP21" i="81" s="1"/>
  <c r="AB68" i="81"/>
  <c r="AB71" i="81"/>
  <c r="AB84" i="81"/>
  <c r="AB87" i="81"/>
  <c r="BK107" i="81"/>
  <c r="Z12" i="81"/>
  <c r="Z25" i="81"/>
  <c r="AB28" i="81"/>
  <c r="AB32" i="81"/>
  <c r="AB92" i="81"/>
  <c r="AU45" i="81"/>
  <c r="AU22" i="81"/>
  <c r="AU18" i="81"/>
  <c r="AU27" i="81"/>
  <c r="AU13" i="81"/>
  <c r="AU28" i="81"/>
  <c r="AU9" i="81"/>
  <c r="AU37" i="81"/>
  <c r="AU30" i="81"/>
  <c r="AU23" i="81"/>
  <c r="AU46" i="81"/>
  <c r="AU43" i="81"/>
  <c r="AU26" i="81"/>
  <c r="AU40" i="81"/>
  <c r="AU39" i="81"/>
  <c r="AU38" i="81"/>
  <c r="Z46" i="81"/>
  <c r="AV9" i="81"/>
  <c r="AV21" i="81"/>
  <c r="AV46" i="81"/>
  <c r="AV43" i="81"/>
  <c r="AV26" i="81"/>
  <c r="AV40" i="81"/>
  <c r="AV39" i="81"/>
  <c r="AV38" i="81"/>
  <c r="AV37" i="81"/>
  <c r="AV30" i="81"/>
  <c r="AV23" i="81"/>
  <c r="AV31" i="81"/>
  <c r="AV44" i="81"/>
  <c r="AV24" i="81"/>
  <c r="AV17" i="81"/>
  <c r="AB25" i="81"/>
  <c r="E148" i="81"/>
  <c r="E147" i="81"/>
  <c r="E137" i="81"/>
  <c r="E136" i="81"/>
  <c r="E135" i="81"/>
  <c r="E120" i="81"/>
  <c r="E119" i="81"/>
  <c r="E100" i="81"/>
  <c r="E160" i="81"/>
  <c r="E159" i="81"/>
  <c r="E158" i="81"/>
  <c r="E157" i="81"/>
  <c r="E142" i="81"/>
  <c r="E139" i="81"/>
  <c r="E133" i="81"/>
  <c r="E117" i="81"/>
  <c r="E108" i="81"/>
  <c r="E140" i="81"/>
  <c r="E123" i="81"/>
  <c r="E107" i="81"/>
  <c r="E104" i="81"/>
  <c r="E111" i="81"/>
  <c r="E143" i="81"/>
  <c r="E97" i="81"/>
  <c r="E138" i="81"/>
  <c r="E98" i="81"/>
  <c r="E112" i="81"/>
  <c r="E154" i="81"/>
  <c r="E150" i="81"/>
  <c r="E144" i="81"/>
  <c r="E132" i="81"/>
  <c r="E128" i="81"/>
  <c r="E125" i="81"/>
  <c r="E121" i="81"/>
  <c r="E163" i="81"/>
  <c r="E151" i="81"/>
  <c r="E105" i="81"/>
  <c r="E155" i="81"/>
  <c r="E122" i="81"/>
  <c r="E113" i="81"/>
  <c r="E131" i="81"/>
  <c r="AU25" i="81"/>
  <c r="AV32" i="81"/>
  <c r="AB44" i="81"/>
  <c r="AB86" i="81"/>
  <c r="AV12" i="81"/>
  <c r="AV29" i="81"/>
  <c r="AV20" i="81"/>
  <c r="AU41" i="81"/>
  <c r="E89" i="81"/>
  <c r="E91" i="81"/>
  <c r="E86" i="81"/>
  <c r="E84" i="81"/>
  <c r="E49" i="81"/>
  <c r="E90" i="81"/>
  <c r="E88" i="81"/>
  <c r="E55" i="81"/>
  <c r="E61" i="81"/>
  <c r="E87" i="81"/>
  <c r="E92" i="81"/>
  <c r="E81" i="81"/>
  <c r="E75" i="81"/>
  <c r="E58" i="81"/>
  <c r="E53" i="81"/>
  <c r="E50" i="81"/>
  <c r="E59" i="81"/>
  <c r="E56" i="81"/>
  <c r="E71" i="81"/>
  <c r="Y134" i="81"/>
  <c r="Y130" i="81"/>
  <c r="Y126" i="81"/>
  <c r="Y122" i="81"/>
  <c r="Y118" i="81"/>
  <c r="Y114" i="81"/>
  <c r="Y160" i="81"/>
  <c r="Y162" i="81"/>
  <c r="Y111" i="81"/>
  <c r="Y123" i="81"/>
  <c r="Y159" i="81"/>
  <c r="Y154" i="81"/>
  <c r="Y153" i="81"/>
  <c r="Y116" i="81"/>
  <c r="Y155" i="81"/>
  <c r="Y148" i="81"/>
  <c r="Y129" i="81"/>
  <c r="Y117" i="81"/>
  <c r="Y98" i="81"/>
  <c r="Y149" i="81"/>
  <c r="Y151" i="81"/>
  <c r="Y109" i="81"/>
  <c r="Y97" i="81"/>
  <c r="Y110" i="81"/>
  <c r="Y100" i="81"/>
  <c r="Y163" i="81"/>
  <c r="Y147" i="81"/>
  <c r="Y115" i="81"/>
  <c r="Y105" i="81"/>
  <c r="Y161" i="81"/>
  <c r="Y158" i="81"/>
  <c r="Y131" i="81"/>
  <c r="Y119" i="81"/>
  <c r="Y145" i="81"/>
  <c r="Y135" i="81"/>
  <c r="C126" i="81"/>
  <c r="Y127" i="81"/>
  <c r="F139" i="81"/>
  <c r="C142" i="81"/>
  <c r="AU8" i="81"/>
  <c r="AU11" i="81"/>
  <c r="AV28" i="81"/>
  <c r="AB31" i="81"/>
  <c r="AV41" i="81"/>
  <c r="AB49" i="81"/>
  <c r="AM72" i="81"/>
  <c r="C63" i="81"/>
  <c r="E67" i="81"/>
  <c r="C84" i="81"/>
  <c r="AB89" i="81"/>
  <c r="E93" i="81"/>
  <c r="Y102" i="81"/>
  <c r="Z160" i="81"/>
  <c r="Z161" i="81"/>
  <c r="Z159" i="81"/>
  <c r="Z158" i="81"/>
  <c r="Z133" i="81"/>
  <c r="Z129" i="81"/>
  <c r="Z125" i="81"/>
  <c r="Z121" i="81"/>
  <c r="Z117" i="81"/>
  <c r="Z113" i="81"/>
  <c r="Z126" i="81"/>
  <c r="Z164" i="81"/>
  <c r="Z97" i="81"/>
  <c r="Z155" i="81"/>
  <c r="Z148" i="81"/>
  <c r="Z98" i="81"/>
  <c r="Z144" i="81"/>
  <c r="Z131" i="81"/>
  <c r="Z130" i="81"/>
  <c r="Z163" i="81"/>
  <c r="Z156" i="81"/>
  <c r="Z132" i="81"/>
  <c r="Z120" i="81"/>
  <c r="Z119" i="81"/>
  <c r="Z105" i="81"/>
  <c r="Z147" i="81"/>
  <c r="Z115" i="81"/>
  <c r="Z134" i="81"/>
  <c r="Z110" i="81"/>
  <c r="Z100" i="81"/>
  <c r="Z145" i="81"/>
  <c r="Z135" i="81"/>
  <c r="Z101" i="81"/>
  <c r="E110" i="81"/>
  <c r="Z111" i="81"/>
  <c r="Z127" i="81"/>
  <c r="E130" i="81"/>
  <c r="Z137" i="81"/>
  <c r="Y152" i="81"/>
  <c r="Z157" i="81"/>
  <c r="Z30" i="81"/>
  <c r="T137" i="81"/>
  <c r="AB81" i="81"/>
  <c r="AB42" i="81"/>
  <c r="AB64" i="81"/>
  <c r="AB23" i="81"/>
  <c r="S58" i="81"/>
  <c r="Q23" i="81"/>
  <c r="AU21" i="81"/>
  <c r="AB39" i="81"/>
  <c r="AB94" i="81"/>
  <c r="Z11" i="81"/>
  <c r="AB12" i="81"/>
  <c r="AU16" i="81"/>
  <c r="Z19" i="81"/>
  <c r="Z27" i="81"/>
  <c r="AU32" i="81"/>
  <c r="E162" i="81"/>
  <c r="AU12" i="81"/>
  <c r="S18" i="81"/>
  <c r="BI23" i="81"/>
  <c r="AU29" i="81"/>
  <c r="Z38" i="81"/>
  <c r="Z41" i="81"/>
  <c r="AB76" i="81"/>
  <c r="E115" i="81"/>
  <c r="F133" i="81"/>
  <c r="F162" i="81"/>
  <c r="AV25" i="81"/>
  <c r="Z18" i="81"/>
  <c r="AB34" i="81"/>
  <c r="AV35" i="81"/>
  <c r="C114" i="81"/>
  <c r="F119" i="81"/>
  <c r="E124" i="81"/>
  <c r="Y125" i="81"/>
  <c r="Y137" i="81"/>
  <c r="Y157" i="81"/>
  <c r="AV8" i="81"/>
  <c r="Z10" i="81"/>
  <c r="AV11" i="81"/>
  <c r="AB18" i="81"/>
  <c r="AU34" i="81"/>
  <c r="F92" i="81"/>
  <c r="F90" i="81"/>
  <c r="F88" i="81"/>
  <c r="F55" i="81"/>
  <c r="F87" i="81"/>
  <c r="F73" i="81"/>
  <c r="F69" i="81"/>
  <c r="F65" i="81"/>
  <c r="F77" i="81"/>
  <c r="F50" i="81"/>
  <c r="F81" i="81"/>
  <c r="F75" i="81"/>
  <c r="F58" i="81"/>
  <c r="F53" i="81"/>
  <c r="F59" i="81"/>
  <c r="F56" i="81"/>
  <c r="F89" i="81"/>
  <c r="F78" i="81"/>
  <c r="F71" i="81"/>
  <c r="F60" i="81"/>
  <c r="AB55" i="81"/>
  <c r="AB57" i="81"/>
  <c r="AB62" i="81"/>
  <c r="F67" i="81"/>
  <c r="BI72" i="81"/>
  <c r="F93" i="81"/>
  <c r="Z102" i="81"/>
  <c r="AA161" i="81"/>
  <c r="AA159" i="81"/>
  <c r="AA142" i="81"/>
  <c r="AA162" i="81"/>
  <c r="AA164" i="81"/>
  <c r="AA151" i="81"/>
  <c r="AA150" i="81"/>
  <c r="AA143" i="81"/>
  <c r="AA125" i="81"/>
  <c r="AA124" i="81"/>
  <c r="AA110" i="81"/>
  <c r="AA152" i="81"/>
  <c r="AA144" i="81"/>
  <c r="AA122" i="81"/>
  <c r="AA109" i="81"/>
  <c r="AA131" i="81"/>
  <c r="AA130" i="81"/>
  <c r="AA129" i="81"/>
  <c r="AA117" i="81"/>
  <c r="AA149" i="81"/>
  <c r="AA118" i="81"/>
  <c r="AA163" i="81"/>
  <c r="AA134" i="81"/>
  <c r="AA105" i="81"/>
  <c r="AA100" i="81"/>
  <c r="AA145" i="81"/>
  <c r="AA119" i="81"/>
  <c r="AA155" i="81"/>
  <c r="AA126" i="81"/>
  <c r="AA158" i="81"/>
  <c r="AA135" i="81"/>
  <c r="AA148" i="81"/>
  <c r="AA101" i="81"/>
  <c r="AA136" i="81"/>
  <c r="AA127" i="81"/>
  <c r="AA120" i="81"/>
  <c r="AA111" i="81"/>
  <c r="AA98" i="81"/>
  <c r="C105" i="81"/>
  <c r="E114" i="81"/>
  <c r="E126" i="81"/>
  <c r="F130" i="81"/>
  <c r="AA137" i="81"/>
  <c r="F142" i="81"/>
  <c r="Z152" i="81"/>
  <c r="AA157" i="81"/>
  <c r="C161" i="81"/>
  <c r="C163" i="81"/>
  <c r="AW27" i="81"/>
  <c r="AU94" i="81"/>
  <c r="AU74" i="81"/>
  <c r="AU68" i="81"/>
  <c r="AU64" i="81"/>
  <c r="AU52" i="81"/>
  <c r="AU78" i="81"/>
  <c r="AU60" i="81"/>
  <c r="AU57" i="81"/>
  <c r="AU76" i="81"/>
  <c r="AU85" i="81"/>
  <c r="AV133" i="81"/>
  <c r="AV149" i="81"/>
  <c r="AX27" i="81"/>
  <c r="AX13" i="81"/>
  <c r="AX46" i="81"/>
  <c r="AX40" i="81"/>
  <c r="AX23" i="81"/>
  <c r="AX16" i="81"/>
  <c r="AW17" i="81"/>
  <c r="AW24" i="81"/>
  <c r="AW31" i="81"/>
  <c r="D33" i="81"/>
  <c r="AU51" i="81"/>
  <c r="AV78" i="81"/>
  <c r="AV60" i="81"/>
  <c r="AV92" i="81"/>
  <c r="AV79" i="81"/>
  <c r="AV77" i="81"/>
  <c r="AV80" i="81"/>
  <c r="AV71" i="81"/>
  <c r="AV67" i="81"/>
  <c r="AU61" i="81"/>
  <c r="AU62" i="81"/>
  <c r="AU63" i="81"/>
  <c r="AV64" i="81"/>
  <c r="AU65" i="81"/>
  <c r="AU66" i="81"/>
  <c r="AV76" i="81"/>
  <c r="AU79" i="81"/>
  <c r="AV85" i="81"/>
  <c r="AU90" i="81"/>
  <c r="AB162" i="81"/>
  <c r="AB158" i="81"/>
  <c r="AB163" i="81"/>
  <c r="AB157" i="81"/>
  <c r="AB156" i="81"/>
  <c r="AB123" i="81"/>
  <c r="AB161" i="81"/>
  <c r="AB136" i="81"/>
  <c r="AB121" i="81"/>
  <c r="AB120" i="81"/>
  <c r="AB98" i="81"/>
  <c r="AB149" i="81"/>
  <c r="AB144" i="81"/>
  <c r="AB118" i="81"/>
  <c r="AB132" i="81"/>
  <c r="AB119" i="81"/>
  <c r="AB105" i="81"/>
  <c r="AB160" i="81"/>
  <c r="AB145" i="81"/>
  <c r="AB133" i="81"/>
  <c r="AV108" i="81"/>
  <c r="AB111" i="81"/>
  <c r="AW122" i="81"/>
  <c r="AB127" i="81"/>
  <c r="AV129" i="81"/>
  <c r="AW133" i="81"/>
  <c r="AX156" i="81"/>
  <c r="AV159" i="81"/>
  <c r="AW15" i="81"/>
  <c r="AW11" i="81"/>
  <c r="AW10" i="81"/>
  <c r="AW92" i="81"/>
  <c r="AW79" i="81"/>
  <c r="AW77" i="81"/>
  <c r="AW57" i="81"/>
  <c r="AW93" i="81"/>
  <c r="AW75" i="81"/>
  <c r="AW63" i="81"/>
  <c r="AW59" i="81"/>
  <c r="AO58" i="81"/>
  <c r="AW64" i="81"/>
  <c r="AU67" i="81"/>
  <c r="AU69" i="81"/>
  <c r="AU70" i="81"/>
  <c r="AW76" i="81"/>
  <c r="AU84" i="81"/>
  <c r="AW85" i="81"/>
  <c r="AV125" i="81"/>
  <c r="AV152" i="81"/>
  <c r="D41" i="81"/>
  <c r="D29" i="81"/>
  <c r="D11" i="81"/>
  <c r="D40" i="81"/>
  <c r="D39" i="81"/>
  <c r="D36" i="81"/>
  <c r="D30" i="81"/>
  <c r="D23" i="81"/>
  <c r="D19" i="81"/>
  <c r="D20" i="81"/>
  <c r="D25" i="81"/>
  <c r="AW38" i="81"/>
  <c r="AW39" i="81"/>
  <c r="AW40" i="81"/>
  <c r="AW51" i="81"/>
  <c r="AX76" i="81"/>
  <c r="AX89" i="81"/>
  <c r="AX57" i="81"/>
  <c r="AX67" i="81"/>
  <c r="AX80" i="81"/>
  <c r="AX71" i="81"/>
  <c r="AX82" i="81"/>
  <c r="AX81" i="81"/>
  <c r="AU56" i="81"/>
  <c r="AU59" i="81"/>
  <c r="AW66" i="81"/>
  <c r="AW67" i="81"/>
  <c r="AW68" i="81"/>
  <c r="AV69" i="81"/>
  <c r="AV70" i="81"/>
  <c r="AU71" i="81"/>
  <c r="AU73" i="81"/>
  <c r="AU83" i="81"/>
  <c r="AV84" i="81"/>
  <c r="AX85" i="81"/>
  <c r="AW90" i="81"/>
  <c r="AU93" i="81"/>
  <c r="AW163" i="81"/>
  <c r="AW154" i="81"/>
  <c r="AW153" i="81"/>
  <c r="AW151" i="81"/>
  <c r="AW150" i="81"/>
  <c r="AW145" i="81"/>
  <c r="AW142" i="81"/>
  <c r="AW130" i="81"/>
  <c r="AW129" i="81"/>
  <c r="AW114" i="81"/>
  <c r="AW113" i="81"/>
  <c r="AW98" i="81"/>
  <c r="AW162" i="81"/>
  <c r="AW155" i="81"/>
  <c r="AW146" i="81"/>
  <c r="AW137" i="81"/>
  <c r="AW127" i="81"/>
  <c r="AW111" i="81"/>
  <c r="AW156" i="81"/>
  <c r="AW126" i="81"/>
  <c r="AW141" i="81"/>
  <c r="AW99" i="81"/>
  <c r="AW161" i="81"/>
  <c r="AW139" i="81"/>
  <c r="AW116" i="81"/>
  <c r="AW115" i="81"/>
  <c r="AW100" i="81"/>
  <c r="AW125" i="81"/>
  <c r="AB135" i="81"/>
  <c r="AW152" i="81"/>
  <c r="AV156" i="81"/>
  <c r="AV155" i="81"/>
  <c r="AV163" i="81"/>
  <c r="AV144" i="81"/>
  <c r="AV138" i="81"/>
  <c r="AV134" i="81"/>
  <c r="AV130" i="81"/>
  <c r="AV126" i="81"/>
  <c r="AV122" i="81"/>
  <c r="AV118" i="81"/>
  <c r="AV114" i="81"/>
  <c r="AV110" i="81"/>
  <c r="AV131" i="81"/>
  <c r="AV115" i="81"/>
  <c r="AV107" i="81"/>
  <c r="AV102" i="81"/>
  <c r="AV160" i="81"/>
  <c r="AV150" i="81"/>
  <c r="AV145" i="81"/>
  <c r="AV113" i="81"/>
  <c r="AV128" i="81"/>
  <c r="AW60" i="81"/>
  <c r="AW61" i="81"/>
  <c r="AW62" i="81"/>
  <c r="AX63" i="81"/>
  <c r="AX64" i="81"/>
  <c r="AW65" i="81"/>
  <c r="E40" i="81"/>
  <c r="E17" i="81"/>
  <c r="E42" i="81"/>
  <c r="E37" i="81"/>
  <c r="E34" i="81"/>
  <c r="E31" i="81"/>
  <c r="D15" i="81"/>
  <c r="D18" i="81"/>
  <c r="E20" i="81"/>
  <c r="AW23" i="81"/>
  <c r="E25" i="81"/>
  <c r="AW30" i="81"/>
  <c r="AW37" i="81"/>
  <c r="AX38" i="81"/>
  <c r="AX39" i="81"/>
  <c r="AU50" i="81"/>
  <c r="AX51" i="81"/>
  <c r="AV56" i="81"/>
  <c r="AU58" i="81"/>
  <c r="AV59" i="81"/>
  <c r="AX60" i="81"/>
  <c r="AX61" i="81"/>
  <c r="AX62" i="81"/>
  <c r="AX65" i="81"/>
  <c r="AX66" i="81"/>
  <c r="AX68" i="81"/>
  <c r="AW69" i="81"/>
  <c r="AW70" i="81"/>
  <c r="AW71" i="81"/>
  <c r="AV73" i="81"/>
  <c r="AW78" i="81"/>
  <c r="AV83" i="81"/>
  <c r="AW84" i="81"/>
  <c r="AX90" i="81"/>
  <c r="AV93" i="81"/>
  <c r="AV101" i="81"/>
  <c r="AW102" i="81"/>
  <c r="AX154" i="81"/>
  <c r="AX143" i="81"/>
  <c r="AX137" i="81"/>
  <c r="AX164" i="81"/>
  <c r="AX152" i="81"/>
  <c r="AX149" i="81"/>
  <c r="AX148" i="81"/>
  <c r="AX146" i="81"/>
  <c r="AX162" i="81"/>
  <c r="AX153" i="81"/>
  <c r="AX145" i="81"/>
  <c r="AX140" i="81"/>
  <c r="AX128" i="81"/>
  <c r="AX112" i="81"/>
  <c r="AX104" i="81"/>
  <c r="AX126" i="81"/>
  <c r="AX125" i="81"/>
  <c r="AX100" i="81"/>
  <c r="AX99" i="81"/>
  <c r="AX163" i="81"/>
  <c r="AX141" i="81"/>
  <c r="AX113" i="81"/>
  <c r="AX151" i="81"/>
  <c r="AX127" i="81"/>
  <c r="AX114" i="81"/>
  <c r="AX157" i="81"/>
  <c r="AX117" i="81"/>
  <c r="AX106" i="81"/>
  <c r="AB110" i="81"/>
  <c r="AV117" i="81"/>
  <c r="AB126" i="81"/>
  <c r="AW140" i="81"/>
  <c r="AB155" i="81"/>
  <c r="AA28" i="81"/>
  <c r="D90" i="81"/>
  <c r="D78" i="81"/>
  <c r="D65" i="81"/>
  <c r="D69" i="81"/>
  <c r="D73" i="81"/>
  <c r="D87" i="81"/>
  <c r="AU157" i="81"/>
  <c r="AU141" i="81"/>
  <c r="AU135" i="81"/>
  <c r="AU131" i="81"/>
  <c r="AU127" i="81"/>
  <c r="AU123" i="81"/>
  <c r="AU119" i="81"/>
  <c r="AU115" i="81"/>
  <c r="AU156" i="81"/>
  <c r="AU155" i="81"/>
  <c r="AU154" i="81"/>
  <c r="AU143" i="81"/>
  <c r="AU137" i="81"/>
  <c r="AU152" i="81"/>
  <c r="AU144" i="81"/>
  <c r="AU162" i="81"/>
  <c r="AU140" i="81"/>
  <c r="AU128" i="81"/>
  <c r="AU112" i="81"/>
  <c r="AU104" i="81"/>
  <c r="AU151" i="81"/>
  <c r="AU145" i="81"/>
  <c r="AU150" i="81"/>
  <c r="AU160" i="81"/>
  <c r="AU163" i="81"/>
  <c r="D48" i="81"/>
  <c r="D62" i="81"/>
  <c r="D76" i="81"/>
  <c r="D82" i="81"/>
  <c r="D85" i="81"/>
  <c r="D89" i="81"/>
  <c r="D153" i="81"/>
  <c r="D150" i="81"/>
  <c r="D147" i="81"/>
  <c r="D137" i="81"/>
  <c r="D140" i="81"/>
  <c r="D136" i="81"/>
  <c r="D132" i="81"/>
  <c r="D128" i="81"/>
  <c r="D124" i="81"/>
  <c r="D120" i="81"/>
  <c r="D116" i="81"/>
  <c r="D112" i="81"/>
  <c r="D121" i="81"/>
  <c r="D109" i="81"/>
  <c r="D149" i="81"/>
  <c r="D102" i="81"/>
  <c r="AU105" i="81"/>
  <c r="D122" i="81"/>
  <c r="AU124" i="81"/>
  <c r="AU125" i="81"/>
  <c r="D158" i="81"/>
  <c r="DE551" i="80"/>
  <c r="DC551" i="80"/>
  <c r="DD6" i="80" s="1"/>
  <c r="AK549" i="80"/>
  <c r="AK548" i="80"/>
  <c r="AK547" i="80"/>
  <c r="AP547" i="80" s="1"/>
  <c r="AK546" i="80"/>
  <c r="AV546" i="80" s="1"/>
  <c r="AK545" i="80"/>
  <c r="AO545" i="80" s="1"/>
  <c r="AQ545" i="80" s="1"/>
  <c r="AK544" i="80"/>
  <c r="AW544" i="80" s="1" a="1"/>
  <c r="AW544" i="80" s="1"/>
  <c r="AK543" i="80"/>
  <c r="AK542" i="80"/>
  <c r="AK541" i="80"/>
  <c r="BB541" i="80" s="1"/>
  <c r="AK540" i="80"/>
  <c r="BB540" i="80" s="1"/>
  <c r="AK539" i="80"/>
  <c r="AK538" i="80"/>
  <c r="AW538" i="80" s="1" a="1"/>
  <c r="AW538" i="80" s="1"/>
  <c r="AK537" i="80"/>
  <c r="AO537" i="80" s="1"/>
  <c r="AK536" i="80"/>
  <c r="AW536" i="80" s="1" a="1"/>
  <c r="AW536" i="80" s="1"/>
  <c r="AK535" i="80"/>
  <c r="AK534" i="80"/>
  <c r="AK533" i="80"/>
  <c r="AW533" i="80" s="1" a="1"/>
  <c r="AW533" i="80" s="1"/>
  <c r="AK532" i="80"/>
  <c r="BB532" i="80" s="1"/>
  <c r="AK531" i="80"/>
  <c r="AP531" i="80" s="1"/>
  <c r="AK530" i="80"/>
  <c r="AK529" i="80"/>
  <c r="AO529" i="80" s="1"/>
  <c r="AK528" i="80"/>
  <c r="AK527" i="80"/>
  <c r="AK526" i="80"/>
  <c r="BB526" i="80" s="1"/>
  <c r="AK525" i="80"/>
  <c r="AK524" i="80"/>
  <c r="AW524" i="80" s="1" a="1"/>
  <c r="AW524" i="80" s="1"/>
  <c r="AK523" i="80"/>
  <c r="AW523" i="80" s="1" a="1"/>
  <c r="AW523" i="80" s="1"/>
  <c r="AK522" i="80"/>
  <c r="BB522" i="80" s="1"/>
  <c r="AK521" i="80"/>
  <c r="AV521" i="80" s="1"/>
  <c r="AK520" i="80"/>
  <c r="AW520" i="80" s="1" a="1"/>
  <c r="AW520" i="80" s="1"/>
  <c r="AK519" i="80"/>
  <c r="AP519" i="80" s="1"/>
  <c r="AK518" i="80"/>
  <c r="AZ518" i="80" s="1"/>
  <c r="AK517" i="80"/>
  <c r="AK516" i="80"/>
  <c r="AK515" i="80"/>
  <c r="AO515" i="80" s="1"/>
  <c r="AK514" i="80"/>
  <c r="AZ514" i="80" s="1"/>
  <c r="AK513" i="80"/>
  <c r="AP513" i="80" s="1"/>
  <c r="AK512" i="80"/>
  <c r="AP512" i="80" s="1"/>
  <c r="AK511" i="80"/>
  <c r="AV511" i="80" s="1"/>
  <c r="AK510" i="80"/>
  <c r="BB510" i="80" s="1"/>
  <c r="AK509" i="80"/>
  <c r="BB509" i="80" s="1"/>
  <c r="AK508" i="80"/>
  <c r="AZ508" i="80" s="1"/>
  <c r="AK507" i="80"/>
  <c r="AK506" i="80"/>
  <c r="AW506" i="80" s="1" a="1"/>
  <c r="AW506" i="80" s="1"/>
  <c r="AK505" i="80"/>
  <c r="BB505" i="80" s="1"/>
  <c r="AK504" i="80"/>
  <c r="BB504" i="80" s="1"/>
  <c r="AK503" i="80"/>
  <c r="AM503" i="80" s="1"/>
  <c r="AU503" i="80" s="1"/>
  <c r="AK502" i="80"/>
  <c r="AK501" i="80"/>
  <c r="AP501" i="80" s="1"/>
  <c r="AK500" i="80"/>
  <c r="AP500" i="80" s="1"/>
  <c r="AK499" i="80"/>
  <c r="AV499" i="80" s="1"/>
  <c r="AK498" i="80"/>
  <c r="AW498" i="80" s="1" a="1"/>
  <c r="AW498" i="80" s="1"/>
  <c r="AK497" i="80"/>
  <c r="AK496" i="80"/>
  <c r="BB496" i="80" s="1"/>
  <c r="AK495" i="80"/>
  <c r="AM495" i="80" s="1"/>
  <c r="AU495" i="80" s="1"/>
  <c r="AK494" i="80"/>
  <c r="BB494" i="80" s="1"/>
  <c r="AK493" i="80"/>
  <c r="BB493" i="80" s="1"/>
  <c r="AK492" i="80"/>
  <c r="AK491" i="80"/>
  <c r="AO491" i="80" s="1"/>
  <c r="AK490" i="80"/>
  <c r="BB490" i="80" s="1"/>
  <c r="AK489" i="80"/>
  <c r="BB489" i="80" s="1"/>
  <c r="AK488" i="80"/>
  <c r="AK487" i="80"/>
  <c r="BB487" i="80" s="1"/>
  <c r="AK486" i="80"/>
  <c r="AK485" i="80"/>
  <c r="BB485" i="80" s="1"/>
  <c r="AK484" i="80"/>
  <c r="AW484" i="80" s="1" a="1"/>
  <c r="AW484" i="80" s="1"/>
  <c r="AK483" i="80"/>
  <c r="AV483" i="80" s="1"/>
  <c r="AK482" i="80"/>
  <c r="AO482" i="80" s="1"/>
  <c r="AK481" i="80"/>
  <c r="AK480" i="80"/>
  <c r="AO480" i="80" s="1"/>
  <c r="AQ480" i="80" s="1"/>
  <c r="AK479" i="80"/>
  <c r="AZ479" i="80" s="1"/>
  <c r="AK478" i="80"/>
  <c r="BB478" i="80" s="1"/>
  <c r="AK477" i="80"/>
  <c r="BB477" i="80" s="1"/>
  <c r="AK476" i="80"/>
  <c r="AK475" i="80"/>
  <c r="AK474" i="80"/>
  <c r="AK473" i="80"/>
  <c r="AW473" i="80" s="1" a="1"/>
  <c r="AW473" i="80" s="1"/>
  <c r="AK472" i="80"/>
  <c r="AO472" i="80" s="1"/>
  <c r="AK471" i="80"/>
  <c r="AK470" i="80"/>
  <c r="AW470" i="80" s="1" a="1"/>
  <c r="AW470" i="80" s="1"/>
  <c r="AK469" i="80"/>
  <c r="AK468" i="80"/>
  <c r="AO468" i="80" s="1"/>
  <c r="AK467" i="80"/>
  <c r="AK466" i="80"/>
  <c r="AP466" i="80" s="1"/>
  <c r="AK465" i="80"/>
  <c r="AW465" i="80" s="1" a="1"/>
  <c r="AW465" i="80" s="1"/>
  <c r="AK464" i="80"/>
  <c r="AP464" i="80" s="1"/>
  <c r="AK463" i="80"/>
  <c r="AP463" i="80" s="1"/>
  <c r="AK462" i="80"/>
  <c r="AP462" i="80" s="1"/>
  <c r="AK461" i="80"/>
  <c r="BB461" i="80" s="1"/>
  <c r="AK460" i="80"/>
  <c r="AV460" i="80" s="1"/>
  <c r="AK459" i="80"/>
  <c r="AK458" i="80"/>
  <c r="AO458" i="80" s="1"/>
  <c r="AK457" i="80"/>
  <c r="AP457" i="80" s="1"/>
  <c r="AK456" i="80"/>
  <c r="AW456" i="80" s="1" a="1"/>
  <c r="AW456" i="80" s="1"/>
  <c r="AK455" i="80"/>
  <c r="BB455" i="80" s="1"/>
  <c r="AK454" i="80"/>
  <c r="AZ454" i="80" s="1"/>
  <c r="AK453" i="80"/>
  <c r="AK452" i="80"/>
  <c r="AM452" i="80" s="1"/>
  <c r="AU452" i="80" s="1"/>
  <c r="AK451" i="80"/>
  <c r="BB451" i="80" s="1"/>
  <c r="AK450" i="80"/>
  <c r="AM450" i="80" s="1"/>
  <c r="AU450" i="80" s="1"/>
  <c r="AK449" i="80"/>
  <c r="AW449" i="80" s="1" a="1"/>
  <c r="AW449" i="80" s="1"/>
  <c r="AK448" i="80"/>
  <c r="AM448" i="80" s="1"/>
  <c r="AU448" i="80" s="1"/>
  <c r="AK447" i="80"/>
  <c r="AK446" i="80"/>
  <c r="AK445" i="80"/>
  <c r="AV445" i="80" s="1"/>
  <c r="AK444" i="80"/>
  <c r="AK443" i="80"/>
  <c r="AM443" i="80" s="1"/>
  <c r="AU443" i="80" s="1"/>
  <c r="AK442" i="80"/>
  <c r="AP442" i="80" s="1"/>
  <c r="AK441" i="80"/>
  <c r="AK440" i="80"/>
  <c r="AO440" i="80" s="1"/>
  <c r="AK439" i="80"/>
  <c r="AW439" i="80" s="1" a="1"/>
  <c r="AW439" i="80" s="1"/>
  <c r="AK438" i="80"/>
  <c r="AK437" i="80"/>
  <c r="AP437" i="80" s="1"/>
  <c r="AK436" i="80"/>
  <c r="AK435" i="80"/>
  <c r="AW435" i="80" s="1" a="1"/>
  <c r="AW435" i="80" s="1"/>
  <c r="AK434" i="80"/>
  <c r="AK433" i="80"/>
  <c r="AK432" i="80"/>
  <c r="AK431" i="80"/>
  <c r="AO431" i="80" s="1"/>
  <c r="AQ431" i="80" s="1"/>
  <c r="AK430" i="80"/>
  <c r="AK429" i="80"/>
  <c r="AW429" i="80" s="1" a="1"/>
  <c r="AW429" i="80" s="1"/>
  <c r="AK428" i="80"/>
  <c r="AP428" i="80" s="1"/>
  <c r="AK427" i="80"/>
  <c r="AM427" i="80" s="1"/>
  <c r="AU427" i="80" s="1"/>
  <c r="AK426" i="80"/>
  <c r="BB426" i="80" s="1"/>
  <c r="AK425" i="80"/>
  <c r="AZ425" i="80" s="1"/>
  <c r="AK424" i="80"/>
  <c r="AK423" i="80"/>
  <c r="AV423" i="80" s="1"/>
  <c r="AK422" i="80"/>
  <c r="AP422" i="80" s="1"/>
  <c r="AK421" i="80"/>
  <c r="AK420" i="80"/>
  <c r="AK419" i="80"/>
  <c r="AP419" i="80" s="1"/>
  <c r="AK418" i="80"/>
  <c r="AW418" i="80" s="1" a="1"/>
  <c r="AW418" i="80" s="1"/>
  <c r="AK417" i="80"/>
  <c r="AZ417" i="80" s="1"/>
  <c r="AK416" i="80"/>
  <c r="AO416" i="80" s="1"/>
  <c r="AK415" i="80"/>
  <c r="AW415" i="80" s="1" a="1"/>
  <c r="AW415" i="80" s="1"/>
  <c r="AK414" i="80"/>
  <c r="AO414" i="80" s="1"/>
  <c r="AG414" i="80" s="1"/>
  <c r="AK413" i="80"/>
  <c r="AK412" i="80"/>
  <c r="AV412" i="80" s="1"/>
  <c r="AK411" i="80"/>
  <c r="AM411" i="80" s="1"/>
  <c r="AU411" i="80" s="1"/>
  <c r="AK410" i="80"/>
  <c r="AM410" i="80" s="1"/>
  <c r="AU410" i="80" s="1"/>
  <c r="AK409" i="80"/>
  <c r="BB409" i="80" s="1"/>
  <c r="AK408" i="80"/>
  <c r="AO408" i="80" s="1"/>
  <c r="AK407" i="80"/>
  <c r="AP407" i="80" s="1"/>
  <c r="AK406" i="80"/>
  <c r="AK405" i="80"/>
  <c r="AK404" i="80"/>
  <c r="AK403" i="80"/>
  <c r="AK402" i="80"/>
  <c r="AV402" i="80" s="1"/>
  <c r="AK401" i="80"/>
  <c r="AZ401" i="80" s="1"/>
  <c r="AK400" i="80"/>
  <c r="AK399" i="80"/>
  <c r="BB399" i="80" s="1"/>
  <c r="AK398" i="80"/>
  <c r="AZ398" i="80" s="1"/>
  <c r="AK397" i="80"/>
  <c r="AV397" i="80" s="1"/>
  <c r="AK396" i="80"/>
  <c r="AZ396" i="80" s="1"/>
  <c r="AK395" i="80"/>
  <c r="AV395" i="80" s="1"/>
  <c r="AK394" i="80"/>
  <c r="BB394" i="80" s="1"/>
  <c r="AK393" i="80"/>
  <c r="AM393" i="80" s="1"/>
  <c r="AU393" i="80" s="1"/>
  <c r="AK392" i="80"/>
  <c r="AK391" i="80"/>
  <c r="AK390" i="80"/>
  <c r="BB390" i="80" s="1"/>
  <c r="AK389" i="80"/>
  <c r="BB389" i="80" s="1"/>
  <c r="AK388" i="80"/>
  <c r="BB388" i="80" s="1"/>
  <c r="AK387" i="80"/>
  <c r="AK386" i="80"/>
  <c r="AK385" i="80"/>
  <c r="BB385" i="80" s="1"/>
  <c r="AK384" i="80"/>
  <c r="BB384" i="80" s="1"/>
  <c r="AK383" i="80"/>
  <c r="AP383" i="80" s="1"/>
  <c r="AK382" i="80"/>
  <c r="AV382" i="80" s="1"/>
  <c r="AK381" i="80"/>
  <c r="AK380" i="80"/>
  <c r="AZ380" i="80" s="1"/>
  <c r="AK379" i="80"/>
  <c r="AK378" i="80"/>
  <c r="AV378" i="80" s="1"/>
  <c r="AK377" i="80"/>
  <c r="AZ377" i="80" s="1"/>
  <c r="AK376" i="80"/>
  <c r="AK375" i="80"/>
  <c r="AW375" i="80" s="1" a="1"/>
  <c r="AW375" i="80" s="1"/>
  <c r="AK374" i="80"/>
  <c r="AW374" i="80" s="1" a="1"/>
  <c r="AW374" i="80" s="1"/>
  <c r="AK373" i="80"/>
  <c r="BB373" i="80" s="1"/>
  <c r="AK372" i="80"/>
  <c r="BB372" i="80" s="1"/>
  <c r="AK371" i="80"/>
  <c r="AK370" i="80"/>
  <c r="AP370" i="80" s="1"/>
  <c r="AK369" i="80"/>
  <c r="BB369" i="80" s="1"/>
  <c r="AK368" i="80"/>
  <c r="AP368" i="80" s="1"/>
  <c r="AK367" i="80"/>
  <c r="BB367" i="80" s="1"/>
  <c r="AK366" i="80"/>
  <c r="AP366" i="80" s="1"/>
  <c r="AK365" i="80"/>
  <c r="AZ365" i="80" s="1"/>
  <c r="AK364" i="80"/>
  <c r="AK363" i="80"/>
  <c r="AK362" i="80"/>
  <c r="AV362" i="80" s="1"/>
  <c r="AK361" i="80"/>
  <c r="AZ361" i="80" s="1"/>
  <c r="AK360" i="80"/>
  <c r="AK359" i="80"/>
  <c r="BB359" i="80" s="1"/>
  <c r="AK358" i="80"/>
  <c r="AW358" i="80" s="1" a="1"/>
  <c r="AW358" i="80" s="1"/>
  <c r="AK357" i="80"/>
  <c r="AK356" i="80"/>
  <c r="AM356" i="80" s="1"/>
  <c r="AU356" i="80" s="1"/>
  <c r="AK355" i="80"/>
  <c r="AK354" i="80"/>
  <c r="AK353" i="80"/>
  <c r="AK352" i="80"/>
  <c r="AP352" i="80" s="1"/>
  <c r="AK351" i="80"/>
  <c r="AW351" i="80" s="1" a="1"/>
  <c r="AW351" i="80" s="1"/>
  <c r="AK350" i="80"/>
  <c r="AV350" i="80" s="1"/>
  <c r="AK349" i="80"/>
  <c r="AP349" i="80" s="1"/>
  <c r="AK348" i="80"/>
  <c r="AO348" i="80" s="1"/>
  <c r="AK347" i="80"/>
  <c r="AK346" i="80"/>
  <c r="AM346" i="80" s="1"/>
  <c r="AU346" i="80" s="1"/>
  <c r="AK345" i="80"/>
  <c r="AM345" i="80" s="1"/>
  <c r="AU345" i="80" s="1"/>
  <c r="AK344" i="80"/>
  <c r="AW344" i="80" s="1" a="1"/>
  <c r="AW344" i="80" s="1"/>
  <c r="AK343" i="80"/>
  <c r="AK342" i="80"/>
  <c r="AK341" i="80"/>
  <c r="BB341" i="80" s="1"/>
  <c r="AK340" i="80"/>
  <c r="AW340" i="80" s="1" a="1"/>
  <c r="AW340" i="80" s="1"/>
  <c r="AK339" i="80"/>
  <c r="AO339" i="80" s="1"/>
  <c r="AK338" i="80"/>
  <c r="BB338" i="80" s="1"/>
  <c r="AK337" i="80"/>
  <c r="AW337" i="80" s="1" a="1"/>
  <c r="AW337" i="80" s="1"/>
  <c r="AK336" i="80"/>
  <c r="BB336" i="80" s="1"/>
  <c r="AK335" i="80"/>
  <c r="BB335" i="80" s="1"/>
  <c r="AK334" i="80"/>
  <c r="AK333" i="80"/>
  <c r="AK332" i="80"/>
  <c r="AO332" i="80" s="1"/>
  <c r="AK331" i="80"/>
  <c r="AP331" i="80" s="1"/>
  <c r="AK330" i="80"/>
  <c r="AW330" i="80" s="1" a="1"/>
  <c r="AW330" i="80" s="1"/>
  <c r="AK329" i="80"/>
  <c r="AK328" i="80"/>
  <c r="AK327" i="80"/>
  <c r="AK326" i="80"/>
  <c r="AV326" i="80" s="1"/>
  <c r="AK325" i="80"/>
  <c r="AK324" i="80"/>
  <c r="AZ324" i="80" s="1"/>
  <c r="AK323" i="80"/>
  <c r="AK322" i="80"/>
  <c r="AK321" i="80"/>
  <c r="AW321" i="80" s="1" a="1"/>
  <c r="AW321" i="80" s="1"/>
  <c r="AK320" i="80"/>
  <c r="AZ320" i="80" s="1"/>
  <c r="AK319" i="80"/>
  <c r="AM319" i="80" s="1"/>
  <c r="AU319" i="80" s="1"/>
  <c r="AK318" i="80"/>
  <c r="AK317" i="80"/>
  <c r="BB317" i="80" s="1"/>
  <c r="AK316" i="80"/>
  <c r="AP316" i="80" s="1"/>
  <c r="AK315" i="80"/>
  <c r="AK314" i="80"/>
  <c r="AZ314" i="80" s="1"/>
  <c r="AK313" i="80"/>
  <c r="AK312" i="80"/>
  <c r="AK311" i="80"/>
  <c r="AO311" i="80" s="1"/>
  <c r="AK310" i="80"/>
  <c r="AO310" i="80" s="1"/>
  <c r="AK309" i="80"/>
  <c r="BB309" i="80" s="1"/>
  <c r="AK308" i="80"/>
  <c r="BB308" i="80" s="1"/>
  <c r="AK307" i="80"/>
  <c r="B307" i="80"/>
  <c r="AK306" i="80"/>
  <c r="AW306" i="80" s="1" a="1"/>
  <c r="AW306" i="80" s="1"/>
  <c r="J306" i="80"/>
  <c r="I306" i="80"/>
  <c r="H306" i="80"/>
  <c r="G306" i="80"/>
  <c r="F306" i="80"/>
  <c r="E306" i="80"/>
  <c r="D306" i="80"/>
  <c r="C306" i="80"/>
  <c r="B306" i="80"/>
  <c r="AK305" i="80"/>
  <c r="AK304" i="80"/>
  <c r="AZ304" i="80" s="1"/>
  <c r="C304" i="80" a="1"/>
  <c r="C304" i="80" s="1"/>
  <c r="B304" i="80"/>
  <c r="AK303" i="80"/>
  <c r="BB303" i="80" s="1"/>
  <c r="C303" i="80" a="1"/>
  <c r="C303" i="80" s="1"/>
  <c r="B303" i="80"/>
  <c r="AK302" i="80"/>
  <c r="AW302" i="80" s="1" a="1"/>
  <c r="AW302" i="80" s="1"/>
  <c r="C302" i="80" a="1"/>
  <c r="C302" i="80" s="1"/>
  <c r="B302" i="80"/>
  <c r="AK301" i="80"/>
  <c r="AO301" i="80" s="1"/>
  <c r="AG301" i="80" s="1"/>
  <c r="C301" i="80" a="1"/>
  <c r="C301" i="80" s="1"/>
  <c r="B301" i="80"/>
  <c r="AK300" i="80"/>
  <c r="AP300" i="80" s="1"/>
  <c r="C300" i="80" a="1"/>
  <c r="C300" i="80" s="1"/>
  <c r="B300" i="80"/>
  <c r="AK299" i="80"/>
  <c r="AO299" i="80" s="1"/>
  <c r="AQ299" i="80" s="1"/>
  <c r="BG299" i="80" s="1"/>
  <c r="BA299" i="80" s="1"/>
  <c r="C299" i="80" a="1"/>
  <c r="C299" i="80" s="1"/>
  <c r="B299" i="80"/>
  <c r="AK298" i="80"/>
  <c r="AZ298" i="80" s="1"/>
  <c r="C298" i="80" a="1"/>
  <c r="C298" i="80" s="1"/>
  <c r="B298" i="80"/>
  <c r="AK297" i="80"/>
  <c r="C297" i="80" a="1"/>
  <c r="C297" i="80" s="1"/>
  <c r="B297" i="80"/>
  <c r="AK296" i="80"/>
  <c r="C296" i="80" a="1"/>
  <c r="C296" i="80" s="1"/>
  <c r="B296" i="80"/>
  <c r="AK295" i="80"/>
  <c r="AO295" i="80" s="1"/>
  <c r="C295" i="80" a="1"/>
  <c r="C295" i="80" s="1"/>
  <c r="B295" i="80"/>
  <c r="AK294" i="80"/>
  <c r="C294" i="80" a="1"/>
  <c r="C294" i="80" s="1"/>
  <c r="B294" i="80"/>
  <c r="AK293" i="80"/>
  <c r="AZ293" i="80" s="1"/>
  <c r="C293" i="80" a="1"/>
  <c r="C293" i="80" s="1"/>
  <c r="B293" i="80"/>
  <c r="AK292" i="80"/>
  <c r="C292" i="80" a="1"/>
  <c r="C292" i="80" s="1"/>
  <c r="B292" i="80"/>
  <c r="AK291" i="80"/>
  <c r="C291" i="80" a="1"/>
  <c r="C291" i="80" s="1"/>
  <c r="B291" i="80"/>
  <c r="AK290" i="80"/>
  <c r="AP290" i="80" s="1"/>
  <c r="C290" i="80" a="1"/>
  <c r="C290" i="80" s="1"/>
  <c r="B290" i="80"/>
  <c r="AK289" i="80"/>
  <c r="BB289" i="80" s="1"/>
  <c r="C289" i="80" a="1"/>
  <c r="C289" i="80" s="1"/>
  <c r="B289" i="80"/>
  <c r="AK288" i="80"/>
  <c r="AV288" i="80" s="1"/>
  <c r="C288" i="80" a="1"/>
  <c r="C288" i="80" s="1"/>
  <c r="B288" i="80"/>
  <c r="AK287" i="80"/>
  <c r="AM287" i="80" s="1"/>
  <c r="AU287" i="80" s="1"/>
  <c r="C287" i="80" a="1"/>
  <c r="C287" i="80" s="1"/>
  <c r="B287" i="80"/>
  <c r="AK286" i="80"/>
  <c r="C286" i="80" a="1"/>
  <c r="C286" i="80" s="1"/>
  <c r="B286" i="80"/>
  <c r="AK285" i="80"/>
  <c r="BB285" i="80" s="1"/>
  <c r="C285" i="80" a="1"/>
  <c r="C285" i="80" s="1"/>
  <c r="B285" i="80"/>
  <c r="AK284" i="80"/>
  <c r="AV284" i="80" s="1"/>
  <c r="C284" i="80" a="1"/>
  <c r="C284" i="80" s="1"/>
  <c r="B284" i="80"/>
  <c r="AK283" i="80"/>
  <c r="C283" i="80" a="1"/>
  <c r="C283" i="80" s="1"/>
  <c r="B283" i="80"/>
  <c r="AK282" i="80"/>
  <c r="AP282" i="80" s="1"/>
  <c r="C282" i="80" a="1"/>
  <c r="C282" i="80" s="1"/>
  <c r="B282" i="80"/>
  <c r="AK281" i="80"/>
  <c r="BB281" i="80" s="1"/>
  <c r="C281" i="80" a="1"/>
  <c r="C281" i="80" s="1"/>
  <c r="B281" i="80"/>
  <c r="AK280" i="80"/>
  <c r="C280" i="80" a="1"/>
  <c r="C280" i="80" s="1"/>
  <c r="B280" i="80"/>
  <c r="AK279" i="80"/>
  <c r="AW279" i="80" s="1" a="1"/>
  <c r="AW279" i="80" s="1"/>
  <c r="C279" i="80" a="1"/>
  <c r="C279" i="80" s="1"/>
  <c r="B279" i="80"/>
  <c r="AK278" i="80"/>
  <c r="BB278" i="80" s="1"/>
  <c r="C278" i="80" a="1"/>
  <c r="C278" i="80" s="1"/>
  <c r="B278" i="80"/>
  <c r="AK277" i="80"/>
  <c r="AM277" i="80" s="1"/>
  <c r="AU277" i="80" s="1"/>
  <c r="C277" i="80" a="1"/>
  <c r="C277" i="80" s="1"/>
  <c r="B277" i="80"/>
  <c r="AK276" i="80"/>
  <c r="BB276" i="80" s="1"/>
  <c r="C276" i="80" a="1"/>
  <c r="C276" i="80" s="1"/>
  <c r="B276" i="80"/>
  <c r="AK275" i="80"/>
  <c r="C275" i="80" a="1"/>
  <c r="C275" i="80" s="1"/>
  <c r="B275" i="80"/>
  <c r="AK274" i="80"/>
  <c r="AV274" i="80" s="1"/>
  <c r="C274" i="80" a="1"/>
  <c r="C274" i="80" s="1"/>
  <c r="B274" i="80"/>
  <c r="AK273" i="80"/>
  <c r="C273" i="80" a="1"/>
  <c r="C273" i="80" s="1"/>
  <c r="B273" i="80"/>
  <c r="AK272" i="80"/>
  <c r="AM272" i="80" s="1"/>
  <c r="AU272" i="80" s="1"/>
  <c r="C272" i="80" a="1"/>
  <c r="C272" i="80" s="1"/>
  <c r="B272" i="80"/>
  <c r="AK271" i="80"/>
  <c r="AO271" i="80" s="1"/>
  <c r="C271" i="80" a="1"/>
  <c r="C271" i="80" s="1"/>
  <c r="B271" i="80"/>
  <c r="AK270" i="80"/>
  <c r="C270" i="80" a="1"/>
  <c r="C270" i="80" s="1"/>
  <c r="B270" i="80"/>
  <c r="AK269" i="80"/>
  <c r="AV269" i="80" s="1"/>
  <c r="C269" i="80" a="1"/>
  <c r="C269" i="80" s="1"/>
  <c r="B269" i="80"/>
  <c r="AK268" i="80"/>
  <c r="AW268" i="80" s="1" a="1"/>
  <c r="AW268" i="80" s="1"/>
  <c r="C268" i="80" a="1"/>
  <c r="C268" i="80" s="1"/>
  <c r="B268" i="80"/>
  <c r="AK267" i="80"/>
  <c r="AM267" i="80" s="1"/>
  <c r="AU267" i="80" s="1"/>
  <c r="C267" i="80" a="1"/>
  <c r="C267" i="80" s="1"/>
  <c r="B267" i="80"/>
  <c r="AK266" i="80"/>
  <c r="C266" i="80" a="1"/>
  <c r="C266" i="80" s="1"/>
  <c r="B266" i="80"/>
  <c r="AK265" i="80"/>
  <c r="AO265" i="80" s="1"/>
  <c r="C265" i="80" a="1"/>
  <c r="C265" i="80" s="1"/>
  <c r="B265" i="80"/>
  <c r="AK264" i="80"/>
  <c r="AP264" i="80" s="1"/>
  <c r="C264" i="80" a="1"/>
  <c r="C264" i="80" s="1"/>
  <c r="B264" i="80"/>
  <c r="AK263" i="80"/>
  <c r="AP263" i="80" s="1"/>
  <c r="J263" i="80"/>
  <c r="C263" i="80" s="1" a="1"/>
  <c r="C263" i="80" s="1"/>
  <c r="B263" i="80"/>
  <c r="AK262" i="80"/>
  <c r="AP262" i="80" s="1"/>
  <c r="C262" i="80" a="1"/>
  <c r="C262" i="80" s="1"/>
  <c r="B262" i="80"/>
  <c r="AK261" i="80"/>
  <c r="BB261" i="80" s="1"/>
  <c r="C261" i="80" a="1"/>
  <c r="C261" i="80" s="1"/>
  <c r="B261" i="80"/>
  <c r="AK260" i="80"/>
  <c r="AZ260" i="80" s="1"/>
  <c r="C260" i="80" a="1"/>
  <c r="C260" i="80" s="1"/>
  <c r="B260" i="80"/>
  <c r="AK259" i="80"/>
  <c r="AV259" i="80" s="1"/>
  <c r="C259" i="80" a="1"/>
  <c r="C259" i="80" s="1"/>
  <c r="B259" i="80"/>
  <c r="AK258" i="80"/>
  <c r="C258" i="80" a="1"/>
  <c r="C258" i="80" s="1"/>
  <c r="B258" i="80"/>
  <c r="AK257" i="80"/>
  <c r="AW257" i="80" s="1" a="1"/>
  <c r="AW257" i="80" s="1"/>
  <c r="C257" i="80" a="1"/>
  <c r="C257" i="80" s="1"/>
  <c r="B257" i="80"/>
  <c r="AK256" i="80"/>
  <c r="C256" i="80" a="1"/>
  <c r="C256" i="80" s="1"/>
  <c r="B256" i="80"/>
  <c r="AK255" i="80"/>
  <c r="AW255" i="80" s="1" a="1"/>
  <c r="AW255" i="80" s="1"/>
  <c r="C255" i="80" a="1"/>
  <c r="C255" i="80" s="1"/>
  <c r="B255" i="80"/>
  <c r="AK254" i="80"/>
  <c r="C254" i="80" a="1"/>
  <c r="C254" i="80" s="1"/>
  <c r="B254" i="80"/>
  <c r="AK253" i="80"/>
  <c r="AM253" i="80" s="1"/>
  <c r="AU253" i="80" s="1"/>
  <c r="C253" i="80" a="1"/>
  <c r="C253" i="80" s="1"/>
  <c r="B253" i="80"/>
  <c r="AK252" i="80"/>
  <c r="C252" i="80" a="1"/>
  <c r="C252" i="80" s="1"/>
  <c r="B252" i="80"/>
  <c r="AK251" i="80"/>
  <c r="AO251" i="80" s="1"/>
  <c r="C251" i="80" a="1"/>
  <c r="C251" i="80" s="1"/>
  <c r="B251" i="80"/>
  <c r="AK250" i="80"/>
  <c r="AV250" i="80" s="1"/>
  <c r="C250" i="80" a="1"/>
  <c r="C250" i="80" s="1"/>
  <c r="B250" i="80"/>
  <c r="AK249" i="80"/>
  <c r="AO249" i="80" s="1"/>
  <c r="C249" i="80" a="1"/>
  <c r="C249" i="80" s="1"/>
  <c r="B249" i="80"/>
  <c r="AK248" i="80"/>
  <c r="C248" i="80" a="1"/>
  <c r="C248" i="80" s="1"/>
  <c r="B248" i="80"/>
  <c r="AK247" i="80"/>
  <c r="AP247" i="80" s="1"/>
  <c r="C247" i="80" a="1"/>
  <c r="C247" i="80" s="1"/>
  <c r="B247" i="80"/>
  <c r="AK246" i="80"/>
  <c r="AW246" i="80" s="1" a="1"/>
  <c r="AW246" i="80" s="1"/>
  <c r="C246" i="80" a="1"/>
  <c r="C246" i="80" s="1"/>
  <c r="B246" i="80"/>
  <c r="AK245" i="80"/>
  <c r="C245" i="80" a="1"/>
  <c r="C245" i="80" s="1"/>
  <c r="B245" i="80"/>
  <c r="AK244" i="80"/>
  <c r="AZ244" i="80" s="1"/>
  <c r="C244" i="80" a="1"/>
  <c r="C244" i="80" s="1"/>
  <c r="B244" i="80"/>
  <c r="AK243" i="80"/>
  <c r="C243" i="80" a="1"/>
  <c r="C243" i="80" s="1"/>
  <c r="B243" i="80"/>
  <c r="AK242" i="80"/>
  <c r="AM242" i="80" s="1"/>
  <c r="AU242" i="80" s="1"/>
  <c r="C242" i="80" a="1"/>
  <c r="C242" i="80" s="1"/>
  <c r="B242" i="80"/>
  <c r="AK241" i="80"/>
  <c r="C241" i="80" a="1"/>
  <c r="C241" i="80" s="1"/>
  <c r="B241" i="80"/>
  <c r="AK240" i="80"/>
  <c r="AP240" i="80" s="1"/>
  <c r="C240" i="80" a="1"/>
  <c r="C240" i="80" s="1"/>
  <c r="B240" i="80"/>
  <c r="AK239" i="80"/>
  <c r="C239" i="80" a="1"/>
  <c r="C239" i="80" s="1"/>
  <c r="B239" i="80"/>
  <c r="AK238" i="80"/>
  <c r="C238" i="80" a="1"/>
  <c r="C238" i="80" s="1"/>
  <c r="B238" i="80"/>
  <c r="AK237" i="80"/>
  <c r="AP237" i="80" s="1"/>
  <c r="C237" i="80" a="1"/>
  <c r="C237" i="80" s="1"/>
  <c r="B237" i="80"/>
  <c r="AK236" i="80"/>
  <c r="AV236" i="80" s="1"/>
  <c r="C236" i="80" a="1"/>
  <c r="C236" i="80" s="1"/>
  <c r="B236" i="80"/>
  <c r="AK235" i="80"/>
  <c r="AO235" i="80" s="1"/>
  <c r="C235" i="80" a="1"/>
  <c r="C235" i="80" s="1"/>
  <c r="B235" i="80"/>
  <c r="AK234" i="80"/>
  <c r="C234" i="80" a="1"/>
  <c r="C234" i="80" s="1"/>
  <c r="B234" i="80"/>
  <c r="AK233" i="80"/>
  <c r="C233" i="80" a="1"/>
  <c r="C233" i="80" s="1"/>
  <c r="B233" i="80"/>
  <c r="AK232" i="80"/>
  <c r="BB232" i="80" s="1"/>
  <c r="C232" i="80" a="1"/>
  <c r="C232" i="80" s="1"/>
  <c r="B232" i="80"/>
  <c r="AK231" i="80"/>
  <c r="AP231" i="80" s="1"/>
  <c r="C231" i="80" a="1"/>
  <c r="C231" i="80" s="1"/>
  <c r="B231" i="80"/>
  <c r="AK230" i="80"/>
  <c r="C230" i="80" a="1"/>
  <c r="C230" i="80" s="1"/>
  <c r="B230" i="80"/>
  <c r="AK229" i="80"/>
  <c r="C229" i="80" a="1"/>
  <c r="C229" i="80" s="1"/>
  <c r="B229" i="80"/>
  <c r="AK228" i="80"/>
  <c r="AP228" i="80" s="1"/>
  <c r="C228" i="80" a="1"/>
  <c r="C228" i="80" s="1"/>
  <c r="B228" i="80"/>
  <c r="AK227" i="80"/>
  <c r="C227" i="80" a="1"/>
  <c r="C227" i="80" s="1"/>
  <c r="B227" i="80"/>
  <c r="AK226" i="80"/>
  <c r="C226" i="80" a="1"/>
  <c r="C226" i="80" s="1"/>
  <c r="B226" i="80"/>
  <c r="AK225" i="80"/>
  <c r="BB225" i="80" s="1"/>
  <c r="C225" i="80" a="1"/>
  <c r="C225" i="80" s="1"/>
  <c r="B225" i="80"/>
  <c r="AK224" i="80"/>
  <c r="C224" i="80" a="1"/>
  <c r="C224" i="80" s="1"/>
  <c r="B224" i="80"/>
  <c r="AK223" i="80"/>
  <c r="C223" i="80" a="1"/>
  <c r="C223" i="80" s="1"/>
  <c r="B223" i="80"/>
  <c r="AK222" i="80"/>
  <c r="AP222" i="80" s="1"/>
  <c r="C222" i="80" a="1"/>
  <c r="C222" i="80" s="1"/>
  <c r="B222" i="80"/>
  <c r="AK221" i="80"/>
  <c r="C221" i="80" a="1"/>
  <c r="C221" i="80" s="1"/>
  <c r="B221" i="80"/>
  <c r="AK220" i="80"/>
  <c r="C220" i="80" a="1"/>
  <c r="C220" i="80" s="1"/>
  <c r="B220" i="80"/>
  <c r="AK219" i="80"/>
  <c r="AO219" i="80" s="1"/>
  <c r="C219" i="80" a="1"/>
  <c r="C219" i="80" s="1"/>
  <c r="B219" i="80"/>
  <c r="AK218" i="80"/>
  <c r="AW218" i="80" s="1" a="1"/>
  <c r="AW218" i="80" s="1"/>
  <c r="C218" i="80" a="1"/>
  <c r="C218" i="80" s="1"/>
  <c r="B218" i="80"/>
  <c r="AK217" i="80"/>
  <c r="C217" i="80" a="1"/>
  <c r="C217" i="80" s="1"/>
  <c r="B217" i="80"/>
  <c r="AK216" i="80"/>
  <c r="AW216" i="80" s="1" a="1"/>
  <c r="AW216" i="80" s="1"/>
  <c r="C216" i="80" a="1"/>
  <c r="C216" i="80" s="1"/>
  <c r="B216" i="80"/>
  <c r="AK215" i="80"/>
  <c r="AO215" i="80" s="1"/>
  <c r="C215" i="80" a="1"/>
  <c r="C215" i="80" s="1"/>
  <c r="B215" i="80"/>
  <c r="AK214" i="80"/>
  <c r="AP214" i="80" s="1"/>
  <c r="J214" i="80"/>
  <c r="C214" i="80" s="1" a="1"/>
  <c r="C214" i="80" s="1"/>
  <c r="B214" i="80"/>
  <c r="AK213" i="80"/>
  <c r="AZ213" i="80" s="1"/>
  <c r="C213" i="80" a="1"/>
  <c r="C213" i="80" s="1"/>
  <c r="B213" i="80"/>
  <c r="AK212" i="80"/>
  <c r="BB212" i="80" s="1"/>
  <c r="C212" i="80" a="1"/>
  <c r="C212" i="80" s="1"/>
  <c r="B212" i="80"/>
  <c r="AK211" i="80"/>
  <c r="BB211" i="80" s="1"/>
  <c r="C211" i="80" a="1"/>
  <c r="C211" i="80" s="1"/>
  <c r="B211" i="80"/>
  <c r="AK210" i="80"/>
  <c r="C210" i="80" a="1"/>
  <c r="C210" i="80" s="1"/>
  <c r="B210" i="80"/>
  <c r="AK209" i="80"/>
  <c r="AZ209" i="80" s="1"/>
  <c r="C209" i="80" a="1"/>
  <c r="C209" i="80" s="1"/>
  <c r="B209" i="80"/>
  <c r="AK208" i="80"/>
  <c r="C208" i="80" a="1"/>
  <c r="C208" i="80" s="1"/>
  <c r="B208" i="80"/>
  <c r="AK207" i="80"/>
  <c r="BB207" i="80" s="1"/>
  <c r="C207" i="80" a="1"/>
  <c r="C207" i="80" s="1"/>
  <c r="B207" i="80"/>
  <c r="AK206" i="80"/>
  <c r="AP206" i="80" s="1"/>
  <c r="C206" i="80" a="1"/>
  <c r="C206" i="80" s="1"/>
  <c r="B206" i="80"/>
  <c r="AK205" i="80"/>
  <c r="AO205" i="80" s="1"/>
  <c r="C205" i="80" a="1"/>
  <c r="C205" i="80" s="1"/>
  <c r="B205" i="80"/>
  <c r="AK204" i="80"/>
  <c r="BB204" i="80" s="1"/>
  <c r="C204" i="80" a="1"/>
  <c r="C204" i="80" s="1"/>
  <c r="B204" i="80"/>
  <c r="AK203" i="80"/>
  <c r="AO203" i="80" s="1"/>
  <c r="AG203" i="80" s="1"/>
  <c r="C203" i="80" a="1"/>
  <c r="C203" i="80" s="1"/>
  <c r="B203" i="80"/>
  <c r="AK202" i="80"/>
  <c r="BB202" i="80" s="1"/>
  <c r="C202" i="80" a="1"/>
  <c r="C202" i="80" s="1"/>
  <c r="B202" i="80"/>
  <c r="AK201" i="80"/>
  <c r="AM201" i="80" s="1"/>
  <c r="AU201" i="80" s="1"/>
  <c r="C201" i="80" a="1"/>
  <c r="C201" i="80" s="1"/>
  <c r="B201" i="80"/>
  <c r="AK200" i="80"/>
  <c r="AM200" i="80" s="1"/>
  <c r="AU200" i="80" s="1"/>
  <c r="C200" i="80" a="1"/>
  <c r="C200" i="80" s="1"/>
  <c r="B200" i="80"/>
  <c r="AK199" i="80"/>
  <c r="AP199" i="80" s="1"/>
  <c r="C199" i="80" a="1"/>
  <c r="C199" i="80" s="1"/>
  <c r="B199" i="80"/>
  <c r="AK198" i="80"/>
  <c r="AW198" i="80" s="1" a="1"/>
  <c r="AW198" i="80" s="1"/>
  <c r="C198" i="80" a="1"/>
  <c r="C198" i="80" s="1"/>
  <c r="B198" i="80"/>
  <c r="AK197" i="80"/>
  <c r="BB197" i="80" s="1"/>
  <c r="C197" i="80" a="1"/>
  <c r="C197" i="80" s="1"/>
  <c r="B197" i="80"/>
  <c r="AK196" i="80"/>
  <c r="BB196" i="80" s="1"/>
  <c r="C196" i="80" a="1"/>
  <c r="C196" i="80" s="1"/>
  <c r="B196" i="80"/>
  <c r="AK195" i="80"/>
  <c r="C195" i="80" a="1"/>
  <c r="C195" i="80" s="1"/>
  <c r="B195" i="80"/>
  <c r="AK194" i="80"/>
  <c r="AZ194" i="80" s="1"/>
  <c r="C194" i="80" a="1"/>
  <c r="C194" i="80" s="1"/>
  <c r="B194" i="80"/>
  <c r="AK193" i="80"/>
  <c r="AM193" i="80" s="1"/>
  <c r="AU193" i="80" s="1"/>
  <c r="C193" i="80" a="1"/>
  <c r="C193" i="80" s="1"/>
  <c r="B193" i="80"/>
  <c r="AK192" i="80"/>
  <c r="AW192" i="80" s="1" a="1"/>
  <c r="AW192" i="80" s="1"/>
  <c r="C192" i="80" a="1"/>
  <c r="C192" i="80" s="1"/>
  <c r="B192" i="80"/>
  <c r="AK191" i="80"/>
  <c r="AM191" i="80" s="1"/>
  <c r="AU191" i="80" s="1"/>
  <c r="C191" i="80" a="1"/>
  <c r="C191" i="80" s="1"/>
  <c r="B191" i="80"/>
  <c r="AK190" i="80"/>
  <c r="C190" i="80" a="1"/>
  <c r="C190" i="80" s="1"/>
  <c r="B190" i="80"/>
  <c r="AK189" i="80"/>
  <c r="C189" i="80" a="1"/>
  <c r="C189" i="80" s="1"/>
  <c r="B189" i="80"/>
  <c r="AK188" i="80"/>
  <c r="C188" i="80" a="1"/>
  <c r="C188" i="80" s="1"/>
  <c r="B188" i="80"/>
  <c r="AK187" i="80"/>
  <c r="C187" i="80" a="1"/>
  <c r="C187" i="80" s="1"/>
  <c r="B187" i="80"/>
  <c r="AK186" i="80"/>
  <c r="BB186" i="80" s="1"/>
  <c r="C186" i="80" a="1"/>
  <c r="C186" i="80" s="1"/>
  <c r="B186" i="80"/>
  <c r="AK185" i="80"/>
  <c r="BB185" i="80" s="1"/>
  <c r="C185" i="80" a="1"/>
  <c r="C185" i="80" s="1"/>
  <c r="B185" i="80"/>
  <c r="AK184" i="80"/>
  <c r="C184" i="80" a="1"/>
  <c r="C184" i="80" s="1"/>
  <c r="B184" i="80"/>
  <c r="AK183" i="80"/>
  <c r="AV183" i="80" s="1"/>
  <c r="C183" i="80" a="1"/>
  <c r="C183" i="80" s="1"/>
  <c r="B183" i="80"/>
  <c r="AK182" i="80"/>
  <c r="AW182" i="80" s="1" a="1"/>
  <c r="AW182" i="80" s="1"/>
  <c r="C182" i="80" a="1"/>
  <c r="C182" i="80" s="1"/>
  <c r="B182" i="80"/>
  <c r="AK181" i="80"/>
  <c r="AV181" i="80" s="1"/>
  <c r="C181" i="80" a="1"/>
  <c r="C181" i="80" s="1"/>
  <c r="B181" i="80"/>
  <c r="AK180" i="80"/>
  <c r="C180" i="80" a="1"/>
  <c r="C180" i="80" s="1"/>
  <c r="B180" i="80"/>
  <c r="AK179" i="80"/>
  <c r="AM179" i="80" s="1"/>
  <c r="AU179" i="80" s="1"/>
  <c r="C179" i="80" a="1"/>
  <c r="C179" i="80" s="1"/>
  <c r="B179" i="80"/>
  <c r="AK178" i="80"/>
  <c r="AP178" i="80" s="1"/>
  <c r="C178" i="80" a="1"/>
  <c r="C178" i="80" s="1"/>
  <c r="B178" i="80"/>
  <c r="AK177" i="80"/>
  <c r="AM177" i="80" s="1"/>
  <c r="AU177" i="80" s="1"/>
  <c r="C177" i="80" a="1"/>
  <c r="C177" i="80" s="1"/>
  <c r="B177" i="80"/>
  <c r="AK176" i="80"/>
  <c r="C176" i="80" a="1"/>
  <c r="C176" i="80" s="1"/>
  <c r="B176" i="80"/>
  <c r="AK175" i="80"/>
  <c r="AZ175" i="80" s="1"/>
  <c r="C175" i="80" a="1"/>
  <c r="C175" i="80" s="1"/>
  <c r="B175" i="80"/>
  <c r="AK174" i="80"/>
  <c r="C174" i="80" a="1"/>
  <c r="C174" i="80" s="1"/>
  <c r="B174" i="80"/>
  <c r="AK173" i="80"/>
  <c r="AZ173" i="80" s="1"/>
  <c r="C173" i="80" a="1"/>
  <c r="C173" i="80" s="1"/>
  <c r="B173" i="80"/>
  <c r="AK172" i="80"/>
  <c r="BB172" i="80" s="1"/>
  <c r="C172" i="80" a="1"/>
  <c r="C172" i="80" s="1"/>
  <c r="B172" i="80"/>
  <c r="AK171" i="80"/>
  <c r="C171" i="80" a="1"/>
  <c r="C171" i="80" s="1"/>
  <c r="B171" i="80"/>
  <c r="AK170" i="80"/>
  <c r="AM170" i="80" s="1"/>
  <c r="AU170" i="80" s="1"/>
  <c r="C170" i="80" a="1"/>
  <c r="C170" i="80" s="1"/>
  <c r="B170" i="80"/>
  <c r="AK169" i="80"/>
  <c r="AO169" i="80" s="1"/>
  <c r="C169" i="80" a="1"/>
  <c r="C169" i="80" s="1"/>
  <c r="B169" i="80"/>
  <c r="AK168" i="80"/>
  <c r="AZ168" i="80" s="1"/>
  <c r="C168" i="80" a="1"/>
  <c r="C168" i="80" s="1"/>
  <c r="B168" i="80"/>
  <c r="AK167" i="80"/>
  <c r="C167" i="80" a="1"/>
  <c r="C167" i="80" s="1"/>
  <c r="B167" i="80"/>
  <c r="AK166" i="80"/>
  <c r="AV166" i="80" s="1"/>
  <c r="C166" i="80" a="1"/>
  <c r="C166" i="80" s="1"/>
  <c r="B166" i="80"/>
  <c r="AK165" i="80"/>
  <c r="AZ165" i="80" s="1"/>
  <c r="C165" i="80" a="1"/>
  <c r="C165" i="80" s="1"/>
  <c r="B165" i="80"/>
  <c r="AK164" i="80"/>
  <c r="AM164" i="80" s="1"/>
  <c r="AU164" i="80" s="1"/>
  <c r="C164" i="80" a="1"/>
  <c r="C164" i="80" s="1"/>
  <c r="B164" i="80"/>
  <c r="AK163" i="80"/>
  <c r="AO163" i="80" s="1"/>
  <c r="C163" i="80" a="1"/>
  <c r="C163" i="80" s="1"/>
  <c r="B163" i="80"/>
  <c r="AK162" i="80"/>
  <c r="C162" i="80" a="1"/>
  <c r="C162" i="80" s="1"/>
  <c r="B162" i="80"/>
  <c r="AK161" i="80"/>
  <c r="BB161" i="80" s="1"/>
  <c r="C161" i="80" a="1"/>
  <c r="C161" i="80" s="1"/>
  <c r="B161" i="80"/>
  <c r="AK160" i="80"/>
  <c r="AM160" i="80" s="1"/>
  <c r="AU160" i="80" s="1"/>
  <c r="C160" i="80" a="1"/>
  <c r="C160" i="80" s="1"/>
  <c r="B160" i="80"/>
  <c r="AK159" i="80"/>
  <c r="C159" i="80" a="1"/>
  <c r="C159" i="80" s="1"/>
  <c r="B159" i="80"/>
  <c r="AK158" i="80"/>
  <c r="C158" i="80" a="1"/>
  <c r="C158" i="80" s="1"/>
  <c r="B158" i="80"/>
  <c r="BE157" i="80"/>
  <c r="AK157" i="80"/>
  <c r="AO157" i="80" s="1"/>
  <c r="AQ157" i="80" s="1"/>
  <c r="AG157" i="80"/>
  <c r="AY157" i="80" s="1"/>
  <c r="R157" i="80"/>
  <c r="C157" i="80" a="1"/>
  <c r="C157" i="80" s="1"/>
  <c r="B157" i="80"/>
  <c r="AK156" i="80"/>
  <c r="C156" i="80" a="1"/>
  <c r="C156" i="80" s="1"/>
  <c r="B156" i="80"/>
  <c r="AK155" i="80"/>
  <c r="BB155" i="80" s="1"/>
  <c r="C155" i="80" a="1"/>
  <c r="C155" i="80" s="1"/>
  <c r="B155" i="80"/>
  <c r="AK154" i="80"/>
  <c r="AB154" i="80"/>
  <c r="C154" i="80" a="1"/>
  <c r="C154" i="80" s="1"/>
  <c r="B154" i="80"/>
  <c r="AK153" i="80"/>
  <c r="AD153" i="80"/>
  <c r="AA155" i="80" s="1"/>
  <c r="C153" i="80" a="1"/>
  <c r="C153" i="80" s="1"/>
  <c r="B153" i="80"/>
  <c r="AK152" i="80"/>
  <c r="C152" i="80" a="1"/>
  <c r="C152" i="80" s="1"/>
  <c r="B152" i="80"/>
  <c r="L151" i="80"/>
  <c r="AK151" i="80" s="1"/>
  <c r="BB151" i="80" s="1"/>
  <c r="C151" i="80" a="1"/>
  <c r="C151" i="80" s="1"/>
  <c r="AB150" i="80"/>
  <c r="L150" i="80"/>
  <c r="AK150" i="80" s="1"/>
  <c r="C150" i="80" a="1"/>
  <c r="C150" i="80" s="1"/>
  <c r="AB149" i="80"/>
  <c r="L149" i="80"/>
  <c r="C149" i="80" a="1"/>
  <c r="C149" i="80" s="1"/>
  <c r="L148" i="80"/>
  <c r="C148" i="80" a="1"/>
  <c r="C148" i="80" s="1"/>
  <c r="L147" i="80"/>
  <c r="AK147" i="80" s="1"/>
  <c r="AZ147" i="80" s="1"/>
  <c r="C147" i="80" a="1"/>
  <c r="C147" i="80" s="1"/>
  <c r="AD146" i="80"/>
  <c r="AA151" i="80" s="1"/>
  <c r="L146" i="80"/>
  <c r="C146" i="80" a="1"/>
  <c r="C146" i="80" s="1"/>
  <c r="L145" i="80"/>
  <c r="C145" i="80" a="1"/>
  <c r="C145" i="80" s="1"/>
  <c r="AD144" i="80"/>
  <c r="L144" i="80"/>
  <c r="C144" i="80" a="1"/>
  <c r="C144" i="80" s="1"/>
  <c r="L143" i="80"/>
  <c r="C143" i="80" a="1"/>
  <c r="C143" i="80" s="1"/>
  <c r="L142" i="80"/>
  <c r="AK142" i="80" s="1"/>
  <c r="C142" i="80" a="1"/>
  <c r="C142" i="80" s="1"/>
  <c r="L141" i="80"/>
  <c r="B141" i="80" s="1"/>
  <c r="C141" i="80" a="1"/>
  <c r="C141" i="80" s="1"/>
  <c r="AK140" i="80"/>
  <c r="AO140" i="80" s="1"/>
  <c r="AQ140" i="80" s="1"/>
  <c r="C140" i="80" a="1"/>
  <c r="C140" i="80" s="1"/>
  <c r="B140" i="80"/>
  <c r="V139" i="80"/>
  <c r="U139" i="80"/>
  <c r="AK139" i="80" s="1"/>
  <c r="T139" i="80"/>
  <c r="S139" i="80"/>
  <c r="R139" i="80"/>
  <c r="Q139" i="80"/>
  <c r="C139" i="80" a="1"/>
  <c r="C139" i="80" s="1"/>
  <c r="B139" i="80"/>
  <c r="AK138" i="80"/>
  <c r="BB138" i="80" s="1"/>
  <c r="C138" i="80" a="1"/>
  <c r="C138" i="80" s="1"/>
  <c r="B138" i="80"/>
  <c r="AK137" i="80"/>
  <c r="C137" i="80" a="1"/>
  <c r="C137" i="80" s="1"/>
  <c r="B137" i="80"/>
  <c r="AK136" i="80"/>
  <c r="BB136" i="80" s="1"/>
  <c r="C136" i="80" a="1"/>
  <c r="C136" i="80" s="1"/>
  <c r="B136" i="80"/>
  <c r="AK135" i="80"/>
  <c r="BB135" i="80" s="1"/>
  <c r="C135" i="80" a="1"/>
  <c r="C135" i="80" s="1"/>
  <c r="B135" i="80"/>
  <c r="AK134" i="80"/>
  <c r="BB134" i="80" s="1"/>
  <c r="AC134" i="80"/>
  <c r="C134" i="80" a="1"/>
  <c r="C134" i="80" s="1"/>
  <c r="B134" i="80"/>
  <c r="AB133" i="80"/>
  <c r="AA133" i="80"/>
  <c r="AC133" i="80" s="1"/>
  <c r="AD133" i="80" s="1"/>
  <c r="S133" i="80"/>
  <c r="L133" i="80"/>
  <c r="C133" i="80" a="1"/>
  <c r="C133" i="80" s="1"/>
  <c r="AB132" i="80"/>
  <c r="AA132" i="80"/>
  <c r="AC132" i="80" s="1"/>
  <c r="AD132" i="80" s="1"/>
  <c r="S132" i="80"/>
  <c r="L132" i="80"/>
  <c r="AK132" i="80" s="1"/>
  <c r="C132" i="80" a="1"/>
  <c r="C132" i="80" s="1"/>
  <c r="AB131" i="80"/>
  <c r="AA131" i="80"/>
  <c r="AC131" i="80" s="1"/>
  <c r="AD131" i="80" s="1"/>
  <c r="S131" i="80"/>
  <c r="L131" i="80"/>
  <c r="B131" i="80" s="1"/>
  <c r="C131" i="80" a="1"/>
  <c r="C131" i="80" s="1"/>
  <c r="AB130" i="80"/>
  <c r="AA130" i="80"/>
  <c r="AC130" i="80" s="1"/>
  <c r="AD130" i="80" s="1"/>
  <c r="S130" i="80"/>
  <c r="L130" i="80"/>
  <c r="B130" i="80" s="1"/>
  <c r="C130" i="80" a="1"/>
  <c r="C130" i="80" s="1"/>
  <c r="AB129" i="80"/>
  <c r="AA129" i="80"/>
  <c r="AC129" i="80" s="1"/>
  <c r="AD129" i="80" s="1"/>
  <c r="S129" i="80"/>
  <c r="L129" i="80"/>
  <c r="C129" i="80" a="1"/>
  <c r="C129" i="80" s="1"/>
  <c r="AB128" i="80"/>
  <c r="AA128" i="80"/>
  <c r="AC128" i="80" s="1"/>
  <c r="AD128" i="80" s="1"/>
  <c r="S128" i="80"/>
  <c r="L128" i="80"/>
  <c r="AK128" i="80" s="1"/>
  <c r="C128" i="80" a="1"/>
  <c r="C128" i="80" s="1"/>
  <c r="AB127" i="80"/>
  <c r="AA127" i="80"/>
  <c r="AC127" i="80" s="1"/>
  <c r="AD127" i="80" s="1"/>
  <c r="S127" i="80"/>
  <c r="L127" i="80"/>
  <c r="C127" i="80" a="1"/>
  <c r="C127" i="80" s="1"/>
  <c r="AB126" i="80"/>
  <c r="AA126" i="80"/>
  <c r="AC126" i="80" s="1"/>
  <c r="AD126" i="80" s="1"/>
  <c r="S126" i="80"/>
  <c r="L126" i="80"/>
  <c r="AK126" i="80" s="1"/>
  <c r="C126" i="80" a="1"/>
  <c r="C126" i="80" s="1"/>
  <c r="AB125" i="80"/>
  <c r="AA125" i="80"/>
  <c r="AC125" i="80" s="1"/>
  <c r="AD125" i="80" s="1"/>
  <c r="S125" i="80"/>
  <c r="L125" i="80"/>
  <c r="AK125" i="80" s="1"/>
  <c r="C125" i="80" a="1"/>
  <c r="C125" i="80" s="1"/>
  <c r="AB124" i="80"/>
  <c r="AA124" i="80"/>
  <c r="AC124" i="80" s="1"/>
  <c r="AD124" i="80" s="1"/>
  <c r="S124" i="80"/>
  <c r="L124" i="80"/>
  <c r="AK124" i="80" s="1"/>
  <c r="C124" i="80" a="1"/>
  <c r="C124" i="80" s="1"/>
  <c r="AB123" i="80"/>
  <c r="AA123" i="80"/>
  <c r="AC123" i="80" s="1"/>
  <c r="AD123" i="80" s="1"/>
  <c r="S123" i="80"/>
  <c r="L123" i="80"/>
  <c r="C123" i="80" a="1"/>
  <c r="C123" i="80" s="1"/>
  <c r="AB122" i="80"/>
  <c r="AA122" i="80"/>
  <c r="AC122" i="80" s="1"/>
  <c r="AD122" i="80" s="1"/>
  <c r="S122" i="80"/>
  <c r="L122" i="80"/>
  <c r="AK122" i="80" s="1"/>
  <c r="C122" i="80" a="1"/>
  <c r="C122" i="80" s="1"/>
  <c r="AB121" i="80"/>
  <c r="AA121" i="80"/>
  <c r="AC121" i="80" s="1"/>
  <c r="AD121" i="80" s="1"/>
  <c r="S121" i="80"/>
  <c r="L121" i="80"/>
  <c r="B121" i="80" s="1"/>
  <c r="C121" i="80" a="1"/>
  <c r="C121" i="80" s="1"/>
  <c r="AK120" i="80"/>
  <c r="AB120" i="80"/>
  <c r="AA120" i="80"/>
  <c r="AC120" i="80" s="1"/>
  <c r="AD120" i="80" s="1"/>
  <c r="S120" i="80"/>
  <c r="C120" i="80" a="1"/>
  <c r="C120" i="80" s="1"/>
  <c r="B120" i="80"/>
  <c r="AK119" i="80"/>
  <c r="BB119" i="80" s="1"/>
  <c r="C119" i="80" a="1"/>
  <c r="C119" i="80" s="1"/>
  <c r="B119" i="80"/>
  <c r="AK118" i="80"/>
  <c r="C118" i="80" a="1"/>
  <c r="C118" i="80" s="1"/>
  <c r="B118" i="80"/>
  <c r="AK117" i="80"/>
  <c r="BB117" i="80" s="1"/>
  <c r="C117" i="80" a="1"/>
  <c r="C117" i="80" s="1"/>
  <c r="B117" i="80"/>
  <c r="AK116" i="80"/>
  <c r="Q116" i="80"/>
  <c r="P116" i="80"/>
  <c r="P132" i="80" s="1"/>
  <c r="O116" i="80"/>
  <c r="O132" i="80" s="1"/>
  <c r="N116" i="80"/>
  <c r="N144" i="80" s="1"/>
  <c r="C116" i="80" a="1"/>
  <c r="C116" i="80" s="1"/>
  <c r="B116" i="80"/>
  <c r="V115" i="80"/>
  <c r="C115" i="80" a="1"/>
  <c r="C115" i="80" s="1"/>
  <c r="B115" i="80"/>
  <c r="AK114" i="80"/>
  <c r="AP114" i="80" s="1"/>
  <c r="C114" i="80" a="1"/>
  <c r="C114" i="80" s="1"/>
  <c r="B114" i="80"/>
  <c r="AD113" i="80"/>
  <c r="U113" i="80" s="1"/>
  <c r="AK113" i="80" s="1"/>
  <c r="AW113" i="80" s="1" a="1"/>
  <c r="AW113" i="80" s="1"/>
  <c r="C113" i="80" a="1"/>
  <c r="C113" i="80" s="1"/>
  <c r="B113" i="80"/>
  <c r="AK112" i="80"/>
  <c r="BB112" i="80" s="1"/>
  <c r="C112" i="80" a="1"/>
  <c r="C112" i="80" s="1"/>
  <c r="B112" i="80"/>
  <c r="AK111" i="80"/>
  <c r="BB111" i="80" s="1"/>
  <c r="C111" i="80" a="1"/>
  <c r="C111" i="80" s="1"/>
  <c r="B111" i="80"/>
  <c r="AK110" i="80"/>
  <c r="AD110" i="80"/>
  <c r="C110" i="80" a="1"/>
  <c r="C110" i="80" s="1"/>
  <c r="B110" i="80"/>
  <c r="AK109" i="80"/>
  <c r="BB109" i="80" s="1"/>
  <c r="C109" i="80" a="1"/>
  <c r="C109" i="80" s="1"/>
  <c r="B109" i="80"/>
  <c r="BE108" i="80"/>
  <c r="AK108" i="80"/>
  <c r="AW108" i="80" s="1" a="1"/>
  <c r="AW108" i="80" s="1"/>
  <c r="AG108" i="80"/>
  <c r="AR108" i="80" s="1"/>
  <c r="R108" i="80"/>
  <c r="C108" i="80" a="1"/>
  <c r="C108" i="80" s="1"/>
  <c r="B108" i="80"/>
  <c r="AK107" i="80"/>
  <c r="AM107" i="80" s="1"/>
  <c r="AU107" i="80" s="1"/>
  <c r="C107" i="80" a="1"/>
  <c r="C107" i="80" s="1"/>
  <c r="B107" i="80"/>
  <c r="AK106" i="80"/>
  <c r="BB106" i="80" s="1"/>
  <c r="C106" i="80" a="1"/>
  <c r="C106" i="80" s="1"/>
  <c r="B106" i="80"/>
  <c r="AK105" i="80"/>
  <c r="AZ105" i="80" s="1"/>
  <c r="AB105" i="80"/>
  <c r="C105" i="80" a="1"/>
  <c r="C105" i="80" s="1"/>
  <c r="B105" i="80"/>
  <c r="AK104" i="80"/>
  <c r="AM104" i="80" s="1"/>
  <c r="AU104" i="80" s="1"/>
  <c r="AD104" i="80"/>
  <c r="AA106" i="80" s="1"/>
  <c r="C104" i="80" a="1"/>
  <c r="C104" i="80" s="1"/>
  <c r="B104" i="80"/>
  <c r="AK103" i="80"/>
  <c r="AO103" i="80" s="1"/>
  <c r="C103" i="80" a="1"/>
  <c r="C103" i="80" s="1"/>
  <c r="B103" i="80"/>
  <c r="L102" i="80"/>
  <c r="AK102" i="80" s="1"/>
  <c r="C102" i="80" a="1"/>
  <c r="C102" i="80" s="1"/>
  <c r="AB101" i="80"/>
  <c r="L101" i="80"/>
  <c r="C101" i="80" a="1"/>
  <c r="C101" i="80" s="1"/>
  <c r="AB100" i="80"/>
  <c r="L100" i="80"/>
  <c r="C100" i="80" a="1"/>
  <c r="C100" i="80" s="1"/>
  <c r="L99" i="80"/>
  <c r="C99" i="80" a="1"/>
  <c r="C99" i="80" s="1"/>
  <c r="L98" i="80"/>
  <c r="B98" i="80" s="1"/>
  <c r="C98" i="80" a="1"/>
  <c r="C98" i="80" s="1"/>
  <c r="AD97" i="80"/>
  <c r="AA102" i="80" s="1"/>
  <c r="L97" i="80"/>
  <c r="B97" i="80" s="1"/>
  <c r="C97" i="80" a="1"/>
  <c r="C97" i="80" s="1"/>
  <c r="L96" i="80"/>
  <c r="C96" i="80" a="1"/>
  <c r="C96" i="80" s="1"/>
  <c r="AD95" i="80"/>
  <c r="L95" i="80"/>
  <c r="C95" i="80" a="1"/>
  <c r="C95" i="80" s="1"/>
  <c r="L94" i="80"/>
  <c r="C94" i="80" a="1"/>
  <c r="C94" i="80" s="1"/>
  <c r="L93" i="80"/>
  <c r="C93" i="80" a="1"/>
  <c r="C93" i="80" s="1"/>
  <c r="L92" i="80"/>
  <c r="C92" i="80" a="1"/>
  <c r="C92" i="80" s="1"/>
  <c r="AK91" i="80"/>
  <c r="AM91" i="80" s="1"/>
  <c r="AU91" i="80" s="1"/>
  <c r="C91" i="80" a="1"/>
  <c r="C91" i="80" s="1"/>
  <c r="B91" i="80"/>
  <c r="V90" i="80"/>
  <c r="U90" i="80"/>
  <c r="AK90" i="80" s="1"/>
  <c r="AV90" i="80" s="1"/>
  <c r="T90" i="80"/>
  <c r="S90" i="80"/>
  <c r="R90" i="80"/>
  <c r="Q90" i="80"/>
  <c r="C90" i="80" a="1"/>
  <c r="C90" i="80" s="1"/>
  <c r="B90" i="80"/>
  <c r="AK89" i="80"/>
  <c r="C89" i="80" a="1"/>
  <c r="C89" i="80" s="1"/>
  <c r="B89" i="80"/>
  <c r="AK88" i="80"/>
  <c r="AZ88" i="80" s="1"/>
  <c r="C88" i="80" a="1"/>
  <c r="C88" i="80" s="1"/>
  <c r="B88" i="80"/>
  <c r="AK87" i="80"/>
  <c r="AZ87" i="80" s="1"/>
  <c r="C87" i="80" a="1"/>
  <c r="C87" i="80" s="1"/>
  <c r="B87" i="80"/>
  <c r="AK86" i="80"/>
  <c r="AP86" i="80" s="1"/>
  <c r="C86" i="80" a="1"/>
  <c r="C86" i="80" s="1"/>
  <c r="B86" i="80"/>
  <c r="AK85" i="80"/>
  <c r="AC85" i="80"/>
  <c r="C85" i="80" a="1"/>
  <c r="C85" i="80" s="1"/>
  <c r="B85" i="80"/>
  <c r="AB84" i="80"/>
  <c r="AA84" i="80"/>
  <c r="AC84" i="80" s="1"/>
  <c r="AD84" i="80" s="1"/>
  <c r="S84" i="80"/>
  <c r="L84" i="80"/>
  <c r="C84" i="80" a="1"/>
  <c r="C84" i="80" s="1"/>
  <c r="AB83" i="80"/>
  <c r="AA83" i="80"/>
  <c r="AC83" i="80" s="1"/>
  <c r="AD83" i="80" s="1"/>
  <c r="S83" i="80"/>
  <c r="L83" i="80"/>
  <c r="B83" i="80" s="1"/>
  <c r="C83" i="80" a="1"/>
  <c r="C83" i="80" s="1"/>
  <c r="AB82" i="80"/>
  <c r="AA82" i="80"/>
  <c r="AC82" i="80" s="1"/>
  <c r="AD82" i="80" s="1"/>
  <c r="S82" i="80"/>
  <c r="L82" i="80"/>
  <c r="C82" i="80" a="1"/>
  <c r="C82" i="80" s="1"/>
  <c r="AB81" i="80"/>
  <c r="AA81" i="80"/>
  <c r="AC81" i="80" s="1"/>
  <c r="AD81" i="80" s="1"/>
  <c r="S81" i="80"/>
  <c r="L81" i="80"/>
  <c r="B81" i="80" s="1"/>
  <c r="C81" i="80" a="1"/>
  <c r="C81" i="80" s="1"/>
  <c r="AB80" i="80"/>
  <c r="AA80" i="80"/>
  <c r="AC80" i="80" s="1"/>
  <c r="AD80" i="80" s="1"/>
  <c r="S80" i="80"/>
  <c r="L80" i="80"/>
  <c r="AK80" i="80" s="1"/>
  <c r="C80" i="80" a="1"/>
  <c r="C80" i="80" s="1"/>
  <c r="AB79" i="80"/>
  <c r="AA79" i="80"/>
  <c r="AC79" i="80" s="1"/>
  <c r="AD79" i="80" s="1"/>
  <c r="S79" i="80"/>
  <c r="L79" i="80"/>
  <c r="B79" i="80" s="1"/>
  <c r="C79" i="80" a="1"/>
  <c r="C79" i="80" s="1"/>
  <c r="AB78" i="80"/>
  <c r="AA78" i="80"/>
  <c r="AC78" i="80" s="1"/>
  <c r="AD78" i="80" s="1"/>
  <c r="S78" i="80"/>
  <c r="L78" i="80"/>
  <c r="AK78" i="80" s="1"/>
  <c r="C78" i="80" a="1"/>
  <c r="C78" i="80" s="1"/>
  <c r="AB77" i="80"/>
  <c r="AA77" i="80"/>
  <c r="AC77" i="80" s="1"/>
  <c r="AD77" i="80" s="1"/>
  <c r="S77" i="80"/>
  <c r="L77" i="80"/>
  <c r="C77" i="80" a="1"/>
  <c r="C77" i="80" s="1"/>
  <c r="AB76" i="80"/>
  <c r="AA76" i="80"/>
  <c r="AC76" i="80" s="1"/>
  <c r="AD76" i="80" s="1"/>
  <c r="S76" i="80"/>
  <c r="L76" i="80"/>
  <c r="C76" i="80" a="1"/>
  <c r="C76" i="80" s="1"/>
  <c r="AB75" i="80"/>
  <c r="AA75" i="80"/>
  <c r="AC75" i="80" s="1"/>
  <c r="AD75" i="80" s="1"/>
  <c r="S75" i="80"/>
  <c r="L75" i="80"/>
  <c r="B75" i="80" s="1"/>
  <c r="C75" i="80" a="1"/>
  <c r="C75" i="80" s="1"/>
  <c r="AB74" i="80"/>
  <c r="AA74" i="80"/>
  <c r="AC74" i="80" s="1"/>
  <c r="AD74" i="80" s="1"/>
  <c r="S74" i="80"/>
  <c r="L74" i="80"/>
  <c r="C74" i="80" a="1"/>
  <c r="C74" i="80" s="1"/>
  <c r="AB73" i="80"/>
  <c r="AA73" i="80"/>
  <c r="AC73" i="80" s="1"/>
  <c r="AD73" i="80" s="1"/>
  <c r="S73" i="80"/>
  <c r="L73" i="80"/>
  <c r="B73" i="80" s="1"/>
  <c r="C73" i="80" a="1"/>
  <c r="C73" i="80" s="1"/>
  <c r="AB72" i="80"/>
  <c r="AA72" i="80"/>
  <c r="AC72" i="80" s="1"/>
  <c r="AD72" i="80" s="1"/>
  <c r="S72" i="80"/>
  <c r="L72" i="80"/>
  <c r="C72" i="80" a="1"/>
  <c r="C72" i="80" s="1"/>
  <c r="AK71" i="80"/>
  <c r="AB71" i="80"/>
  <c r="AA71" i="80"/>
  <c r="AC71" i="80" s="1"/>
  <c r="S71" i="80"/>
  <c r="C71" i="80" a="1"/>
  <c r="C71" i="80" s="1"/>
  <c r="B71" i="80"/>
  <c r="AK70" i="80"/>
  <c r="BB70" i="80" s="1"/>
  <c r="C70" i="80" a="1"/>
  <c r="C70" i="80" s="1"/>
  <c r="B70" i="80"/>
  <c r="AK69" i="80"/>
  <c r="AW69" i="80" s="1" a="1"/>
  <c r="AW69" i="80" s="1"/>
  <c r="C69" i="80" a="1"/>
  <c r="C69" i="80" s="1"/>
  <c r="B69" i="80"/>
  <c r="AK68" i="80"/>
  <c r="AW68" i="80" s="1" a="1"/>
  <c r="AW68" i="80" s="1"/>
  <c r="C68" i="80" a="1"/>
  <c r="C68" i="80" s="1"/>
  <c r="B68" i="80"/>
  <c r="DA67" i="80"/>
  <c r="CZ67" i="80"/>
  <c r="CY67" i="80"/>
  <c r="CX67" i="80"/>
  <c r="CW67" i="80"/>
  <c r="CV67" i="80"/>
  <c r="CU67" i="80"/>
  <c r="AK67" i="80"/>
  <c r="AZ67" i="80" s="1"/>
  <c r="V67" i="80"/>
  <c r="Q67" i="80"/>
  <c r="M67" i="80" s="1"/>
  <c r="O67" i="80"/>
  <c r="O91" i="80" s="1"/>
  <c r="N67" i="80"/>
  <c r="N94" i="80" s="1"/>
  <c r="C67" i="80" a="1"/>
  <c r="C67" i="80" s="1"/>
  <c r="B67" i="80"/>
  <c r="CS66" i="80"/>
  <c r="CR66" i="80"/>
  <c r="CQ66" i="80"/>
  <c r="CP66" i="80"/>
  <c r="CO66" i="80"/>
  <c r="CN66" i="80"/>
  <c r="CM66" i="80"/>
  <c r="CK66" i="80"/>
  <c r="CJ66" i="80"/>
  <c r="CI66" i="80"/>
  <c r="CH66" i="80"/>
  <c r="CG66" i="80"/>
  <c r="CF66" i="80"/>
  <c r="CE66" i="80"/>
  <c r="V66" i="80"/>
  <c r="C66" i="80" a="1"/>
  <c r="C66" i="80" s="1"/>
  <c r="B66" i="80"/>
  <c r="AK65" i="80"/>
  <c r="AV65" i="80" s="1"/>
  <c r="C65" i="80" a="1"/>
  <c r="C65" i="80" s="1"/>
  <c r="B65" i="80"/>
  <c r="AD64" i="80"/>
  <c r="C64" i="80" a="1"/>
  <c r="C64" i="80" s="1"/>
  <c r="B64" i="80"/>
  <c r="AK63" i="80"/>
  <c r="C63" i="80" a="1"/>
  <c r="C63" i="80" s="1"/>
  <c r="B63" i="80"/>
  <c r="BM62" i="80"/>
  <c r="BP62" i="80" s="1"/>
  <c r="AK62" i="80"/>
  <c r="C62" i="80" a="1"/>
  <c r="C62" i="80" s="1"/>
  <c r="B62" i="80"/>
  <c r="BM61" i="80"/>
  <c r="BP61" i="80" s="1"/>
  <c r="AK61" i="80"/>
  <c r="AZ61" i="80" s="1"/>
  <c r="AD61" i="80"/>
  <c r="C61" i="80" a="1"/>
  <c r="C61" i="80" s="1"/>
  <c r="B61" i="80"/>
  <c r="BM60" i="80"/>
  <c r="BP60" i="80" s="1"/>
  <c r="AK60" i="80"/>
  <c r="AW60" i="80" s="1" a="1"/>
  <c r="AW60" i="80" s="1"/>
  <c r="C60" i="80" a="1"/>
  <c r="C60" i="80" s="1"/>
  <c r="B60" i="80"/>
  <c r="BM59" i="80"/>
  <c r="BP59" i="80" s="1"/>
  <c r="BE59" i="80"/>
  <c r="AK59" i="80"/>
  <c r="AM59" i="80" s="1"/>
  <c r="AU59" i="80" s="1"/>
  <c r="AG59" i="80"/>
  <c r="AY59" i="80" s="1"/>
  <c r="R59" i="80"/>
  <c r="C59" i="80" a="1"/>
  <c r="C59" i="80" s="1"/>
  <c r="B59" i="80"/>
  <c r="BM58" i="80"/>
  <c r="BP58" i="80" s="1"/>
  <c r="AK58" i="80"/>
  <c r="BB58" i="80" s="1"/>
  <c r="C58" i="80" a="1"/>
  <c r="C58" i="80" s="1"/>
  <c r="B58" i="80"/>
  <c r="BM57" i="80"/>
  <c r="BP57" i="80" s="1"/>
  <c r="AK57" i="80"/>
  <c r="C57" i="80" a="1"/>
  <c r="C57" i="80" s="1"/>
  <c r="B57" i="80"/>
  <c r="BM56" i="80"/>
  <c r="BP56" i="80" s="1"/>
  <c r="AK56" i="80"/>
  <c r="AM56" i="80" s="1"/>
  <c r="AU56" i="80" s="1"/>
  <c r="AB56" i="80"/>
  <c r="C56" i="80" a="1"/>
  <c r="C56" i="80" s="1"/>
  <c r="B56" i="80"/>
  <c r="BM55" i="80"/>
  <c r="BP55" i="80" s="1"/>
  <c r="AK55" i="80"/>
  <c r="AZ55" i="80" s="1"/>
  <c r="AD55" i="80"/>
  <c r="AA57" i="80" s="1"/>
  <c r="C55" i="80" a="1"/>
  <c r="C55" i="80" s="1"/>
  <c r="B55" i="80"/>
  <c r="BM54" i="80"/>
  <c r="BP54" i="80" s="1"/>
  <c r="AK54" i="80"/>
  <c r="AW54" i="80" s="1" a="1"/>
  <c r="AW54" i="80" s="1"/>
  <c r="C54" i="80" a="1"/>
  <c r="C54" i="80" s="1"/>
  <c r="B54" i="80"/>
  <c r="BM53" i="80"/>
  <c r="BP53" i="80" s="1"/>
  <c r="L53" i="80"/>
  <c r="C53" i="80" a="1"/>
  <c r="C53" i="80" s="1"/>
  <c r="BM52" i="80"/>
  <c r="BP52" i="80" s="1"/>
  <c r="AB52" i="80"/>
  <c r="L52" i="80"/>
  <c r="C52" i="80" a="1"/>
  <c r="C52" i="80" s="1"/>
  <c r="BM51" i="80"/>
  <c r="BP51" i="80" s="1"/>
  <c r="AB51" i="80"/>
  <c r="L51" i="80"/>
  <c r="C51" i="80" a="1"/>
  <c r="C51" i="80" s="1"/>
  <c r="BM50" i="80"/>
  <c r="BP50" i="80" s="1"/>
  <c r="L50" i="80"/>
  <c r="AK50" i="80" s="1"/>
  <c r="C50" i="80" a="1"/>
  <c r="C50" i="80" s="1"/>
  <c r="BM49" i="80"/>
  <c r="BP49" i="80" s="1"/>
  <c r="L49" i="80"/>
  <c r="C49" i="80" a="1"/>
  <c r="C49" i="80" s="1"/>
  <c r="BM48" i="80"/>
  <c r="BP48" i="80" s="1"/>
  <c r="AD48" i="80"/>
  <c r="AA53" i="80" s="1"/>
  <c r="L48" i="80"/>
  <c r="AK48" i="80" s="1"/>
  <c r="AP48" i="80" s="1"/>
  <c r="C48" i="80" a="1"/>
  <c r="C48" i="80" s="1"/>
  <c r="BM47" i="80"/>
  <c r="BP47" i="80" s="1"/>
  <c r="L47" i="80"/>
  <c r="C47" i="80" a="1"/>
  <c r="C47" i="80" s="1"/>
  <c r="BM46" i="80"/>
  <c r="BP46" i="80" s="1"/>
  <c r="AD46" i="80"/>
  <c r="L46" i="80"/>
  <c r="AK46" i="80" s="1"/>
  <c r="AV46" i="80" s="1"/>
  <c r="C46" i="80" a="1"/>
  <c r="C46" i="80" s="1"/>
  <c r="BM45" i="80"/>
  <c r="BP45" i="80" s="1"/>
  <c r="L45" i="80"/>
  <c r="C45" i="80" a="1"/>
  <c r="C45" i="80" s="1"/>
  <c r="BM44" i="80"/>
  <c r="BP44" i="80" s="1"/>
  <c r="L44" i="80"/>
  <c r="AK44" i="80" s="1"/>
  <c r="AO44" i="80" s="1"/>
  <c r="C44" i="80" a="1"/>
  <c r="C44" i="80" s="1"/>
  <c r="BM43" i="80"/>
  <c r="BP43" i="80" s="1"/>
  <c r="L43" i="80"/>
  <c r="B43" i="80" s="1"/>
  <c r="C43" i="80" a="1"/>
  <c r="C43" i="80" s="1"/>
  <c r="BM42" i="80"/>
  <c r="BP42" i="80" s="1"/>
  <c r="AK42" i="80"/>
  <c r="AM42" i="80" s="1"/>
  <c r="AU42" i="80" s="1"/>
  <c r="C42" i="80" a="1"/>
  <c r="C42" i="80" s="1"/>
  <c r="B42" i="80"/>
  <c r="BM41" i="80"/>
  <c r="BP41" i="80" s="1"/>
  <c r="V41" i="80"/>
  <c r="U41" i="80"/>
  <c r="AK41" i="80" s="1"/>
  <c r="BB41" i="80" s="1"/>
  <c r="T41" i="80"/>
  <c r="S41" i="80"/>
  <c r="R41" i="80"/>
  <c r="Q41" i="80"/>
  <c r="C41" i="80" a="1"/>
  <c r="C41" i="80" s="1"/>
  <c r="B41" i="80"/>
  <c r="BM40" i="80"/>
  <c r="BP40" i="80" s="1"/>
  <c r="AK40" i="80"/>
  <c r="C40" i="80" a="1"/>
  <c r="C40" i="80" s="1"/>
  <c r="B40" i="80"/>
  <c r="BM39" i="80"/>
  <c r="BP39" i="80" s="1"/>
  <c r="AK39" i="80"/>
  <c r="C39" i="80" a="1"/>
  <c r="C39" i="80" s="1"/>
  <c r="B39" i="80"/>
  <c r="BM38" i="80"/>
  <c r="BP38" i="80" s="1"/>
  <c r="AK38" i="80"/>
  <c r="BB38" i="80" s="1"/>
  <c r="C38" i="80" a="1"/>
  <c r="C38" i="80" s="1"/>
  <c r="B38" i="80"/>
  <c r="BM37" i="80"/>
  <c r="BP37" i="80" s="1"/>
  <c r="AK37" i="80"/>
  <c r="AO37" i="80" s="1"/>
  <c r="C37" i="80" a="1"/>
  <c r="C37" i="80" s="1"/>
  <c r="B37" i="80"/>
  <c r="BM36" i="80"/>
  <c r="BP36" i="80" s="1"/>
  <c r="AK36" i="80"/>
  <c r="AW36" i="80" s="1" a="1"/>
  <c r="AW36" i="80" s="1"/>
  <c r="AC36" i="80"/>
  <c r="C36" i="80" a="1"/>
  <c r="C36" i="80" s="1"/>
  <c r="B36" i="80"/>
  <c r="BM35" i="80"/>
  <c r="BP35" i="80" s="1"/>
  <c r="AB35" i="80"/>
  <c r="AA35" i="80"/>
  <c r="AC35" i="80" s="1"/>
  <c r="AD35" i="80" s="1"/>
  <c r="S35" i="80"/>
  <c r="L35" i="80"/>
  <c r="B35" i="80" s="1"/>
  <c r="C35" i="80" a="1"/>
  <c r="C35" i="80" s="1"/>
  <c r="BM34" i="80"/>
  <c r="BP34" i="80" s="1"/>
  <c r="AB34" i="80"/>
  <c r="AA34" i="80"/>
  <c r="AC34" i="80" s="1"/>
  <c r="AD34" i="80" s="1"/>
  <c r="S34" i="80"/>
  <c r="L34" i="80"/>
  <c r="B34" i="80" s="1"/>
  <c r="C34" i="80" a="1"/>
  <c r="C34" i="80" s="1"/>
  <c r="BM33" i="80"/>
  <c r="BP33" i="80" s="1"/>
  <c r="AB33" i="80"/>
  <c r="AA33" i="80"/>
  <c r="AC33" i="80" s="1"/>
  <c r="AD33" i="80" s="1"/>
  <c r="S33" i="80"/>
  <c r="L33" i="80"/>
  <c r="C33" i="80" a="1"/>
  <c r="C33" i="80" s="1"/>
  <c r="BM32" i="80"/>
  <c r="BP32" i="80" s="1"/>
  <c r="AB32" i="80"/>
  <c r="AA32" i="80"/>
  <c r="AC32" i="80" s="1"/>
  <c r="AD32" i="80" s="1"/>
  <c r="S32" i="80"/>
  <c r="L32" i="80"/>
  <c r="AK32" i="80" s="1"/>
  <c r="BB32" i="80" s="1"/>
  <c r="C32" i="80" a="1"/>
  <c r="C32" i="80" s="1"/>
  <c r="BM31" i="80"/>
  <c r="BP31" i="80" s="1"/>
  <c r="AB31" i="80"/>
  <c r="AA31" i="80"/>
  <c r="AC31" i="80" s="1"/>
  <c r="AD31" i="80" s="1"/>
  <c r="S31" i="80"/>
  <c r="L31" i="80"/>
  <c r="B31" i="80" s="1"/>
  <c r="C31" i="80" a="1"/>
  <c r="C31" i="80" s="1"/>
  <c r="BM30" i="80"/>
  <c r="BP30" i="80" s="1"/>
  <c r="AB30" i="80"/>
  <c r="AA30" i="80"/>
  <c r="AC30" i="80" s="1"/>
  <c r="AD30" i="80" s="1"/>
  <c r="S30" i="80"/>
  <c r="L30" i="80"/>
  <c r="C30" i="80" a="1"/>
  <c r="C30" i="80" s="1"/>
  <c r="BM29" i="80"/>
  <c r="BP29" i="80" s="1"/>
  <c r="AB29" i="80"/>
  <c r="AA29" i="80"/>
  <c r="AC29" i="80" s="1"/>
  <c r="AD29" i="80" s="1"/>
  <c r="S29" i="80"/>
  <c r="L29" i="80"/>
  <c r="C29" i="80" a="1"/>
  <c r="C29" i="80" s="1"/>
  <c r="BM28" i="80"/>
  <c r="BP28" i="80" s="1"/>
  <c r="AB28" i="80"/>
  <c r="AA28" i="80"/>
  <c r="AC28" i="80" s="1"/>
  <c r="AD28" i="80" s="1"/>
  <c r="S28" i="80"/>
  <c r="L28" i="80"/>
  <c r="C28" i="80" a="1"/>
  <c r="C28" i="80" s="1"/>
  <c r="BM27" i="80"/>
  <c r="BP27" i="80" s="1"/>
  <c r="AB27" i="80"/>
  <c r="AA27" i="80"/>
  <c r="AC27" i="80" s="1"/>
  <c r="AD27" i="80" s="1"/>
  <c r="S27" i="80"/>
  <c r="L27" i="80"/>
  <c r="AK27" i="80" s="1"/>
  <c r="C27" i="80" a="1"/>
  <c r="C27" i="80" s="1"/>
  <c r="BP26" i="80"/>
  <c r="AB26" i="80"/>
  <c r="AA26" i="80"/>
  <c r="AC26" i="80" s="1"/>
  <c r="AD26" i="80" s="1"/>
  <c r="S26" i="80"/>
  <c r="L26" i="80"/>
  <c r="C26" i="80" a="1"/>
  <c r="C26" i="80" s="1"/>
  <c r="AB25" i="80"/>
  <c r="AA25" i="80"/>
  <c r="AC25" i="80" s="1"/>
  <c r="AD25" i="80" s="1"/>
  <c r="S25" i="80"/>
  <c r="L25" i="80"/>
  <c r="AK25" i="80" s="1"/>
  <c r="C25" i="80" a="1"/>
  <c r="C25" i="80" s="1"/>
  <c r="BP24" i="80"/>
  <c r="AB24" i="80"/>
  <c r="AA24" i="80"/>
  <c r="AC24" i="80" s="1"/>
  <c r="AD24" i="80" s="1"/>
  <c r="S24" i="80"/>
  <c r="L24" i="80"/>
  <c r="B24" i="80" s="1"/>
  <c r="C24" i="80" a="1"/>
  <c r="C24" i="80" s="1"/>
  <c r="BP23" i="80"/>
  <c r="AB23" i="80"/>
  <c r="AA23" i="80"/>
  <c r="AC23" i="80" s="1"/>
  <c r="AD23" i="80" s="1"/>
  <c r="S23" i="80"/>
  <c r="L23" i="80"/>
  <c r="C23" i="80" a="1"/>
  <c r="C23" i="80" s="1"/>
  <c r="BM22" i="80"/>
  <c r="BP22" i="80" s="1"/>
  <c r="AK22" i="80"/>
  <c r="AB22" i="80"/>
  <c r="AA22" i="80"/>
  <c r="S22" i="80"/>
  <c r="C22" i="80" a="1"/>
  <c r="C22" i="80" s="1"/>
  <c r="B22" i="80"/>
  <c r="BX21" i="80"/>
  <c r="BM21" i="80"/>
  <c r="BP21" i="80" s="1"/>
  <c r="BH21" i="80"/>
  <c r="BG21" i="80"/>
  <c r="C21" i="80" a="1"/>
  <c r="C21" i="80" s="1"/>
  <c r="B21" i="80"/>
  <c r="BX20" i="80"/>
  <c r="BM20" i="80"/>
  <c r="BP20" i="80" s="1"/>
  <c r="BH20" i="80"/>
  <c r="BG20" i="80" s="1"/>
  <c r="C20" i="80" a="1"/>
  <c r="C20" i="80" s="1"/>
  <c r="B20" i="80"/>
  <c r="BX19" i="80"/>
  <c r="BM19" i="80"/>
  <c r="BP19" i="80" s="1"/>
  <c r="C19" i="80" a="1"/>
  <c r="C19" i="80" s="1"/>
  <c r="B19" i="80"/>
  <c r="BX18" i="80"/>
  <c r="BM18" i="80"/>
  <c r="BP18" i="80" s="1"/>
  <c r="BH18" i="80"/>
  <c r="BG18" i="80"/>
  <c r="BE18" i="80"/>
  <c r="BD18" i="80"/>
  <c r="BC18" i="80"/>
  <c r="BB18" i="80"/>
  <c r="BA18" i="80"/>
  <c r="AZ18" i="80"/>
  <c r="AY18" i="80"/>
  <c r="AX18" i="80"/>
  <c r="AW18" i="80"/>
  <c r="AV18" i="80"/>
  <c r="AU18" i="80"/>
  <c r="AT18" i="80"/>
  <c r="AS18" i="80"/>
  <c r="AR18" i="80"/>
  <c r="AQ18" i="80"/>
  <c r="AP18" i="80"/>
  <c r="AO18" i="80"/>
  <c r="AN18" i="80"/>
  <c r="AM18" i="80"/>
  <c r="AL18" i="80"/>
  <c r="AK18" i="80"/>
  <c r="AJ18" i="80"/>
  <c r="AI18" i="80"/>
  <c r="AH18" i="80"/>
  <c r="AG18" i="80"/>
  <c r="V18" i="80"/>
  <c r="Q18" i="80"/>
  <c r="M18" i="80" s="1"/>
  <c r="M49" i="80" s="1"/>
  <c r="O18" i="80"/>
  <c r="O57" i="80" s="1"/>
  <c r="N18" i="80"/>
  <c r="N57" i="80" s="1"/>
  <c r="C18" i="80" a="1"/>
  <c r="C18" i="80" s="1"/>
  <c r="B18" i="80"/>
  <c r="BX17" i="80"/>
  <c r="BP17" i="80"/>
  <c r="V17" i="80"/>
  <c r="C17" i="80" a="1"/>
  <c r="C17" i="80" s="1"/>
  <c r="B17" i="80"/>
  <c r="BX16" i="80"/>
  <c r="BP16" i="80"/>
  <c r="C16" i="80" a="1"/>
  <c r="C16" i="80" s="1"/>
  <c r="B16" i="80"/>
  <c r="BX15" i="80"/>
  <c r="BP15" i="80"/>
  <c r="AD15" i="80"/>
  <c r="C15" i="80" a="1"/>
  <c r="C15" i="80" s="1"/>
  <c r="B15" i="80"/>
  <c r="BX14" i="80"/>
  <c r="BQ14" i="80"/>
  <c r="BP14" i="80"/>
  <c r="BO14" i="80"/>
  <c r="BN14" i="80"/>
  <c r="BM14" i="80"/>
  <c r="BL14" i="80"/>
  <c r="BK14" i="80"/>
  <c r="BJ14" i="80"/>
  <c r="C14" i="80" a="1"/>
  <c r="C14" i="80" s="1"/>
  <c r="B14" i="80"/>
  <c r="BX13" i="80"/>
  <c r="B13" i="80"/>
  <c r="BX12" i="80"/>
  <c r="AD12" i="80"/>
  <c r="B12" i="80"/>
  <c r="BX11" i="80"/>
  <c r="B11" i="80"/>
  <c r="BX10" i="80"/>
  <c r="J10" i="80"/>
  <c r="I10" i="80"/>
  <c r="H10" i="80"/>
  <c r="G10" i="80"/>
  <c r="F10" i="80"/>
  <c r="E10" i="80"/>
  <c r="D10" i="80"/>
  <c r="C10" i="80"/>
  <c r="B10" i="80"/>
  <c r="BX9" i="80"/>
  <c r="B9" i="80"/>
  <c r="BX8" i="80"/>
  <c r="B8" i="80"/>
  <c r="BX7" i="80"/>
  <c r="B7" i="80"/>
  <c r="BX6" i="80"/>
  <c r="B6" i="80"/>
  <c r="CA5" i="80"/>
  <c r="BX5" i="80"/>
  <c r="BD5" i="80"/>
  <c r="B5" i="80"/>
  <c r="B4" i="80"/>
  <c r="DA3" i="80"/>
  <c r="DE1" i="80"/>
  <c r="DD1" i="80"/>
  <c r="DA1" i="80"/>
  <c r="CZ1" i="80"/>
  <c r="CY1" i="80"/>
  <c r="CX1" i="80"/>
  <c r="CW1" i="80"/>
  <c r="CV1" i="80"/>
  <c r="CU1" i="80"/>
  <c r="CS1" i="80"/>
  <c r="CR1" i="80"/>
  <c r="CQ1" i="80"/>
  <c r="CP1" i="80"/>
  <c r="CO1" i="80"/>
  <c r="CN1" i="80"/>
  <c r="CM1" i="80"/>
  <c r="CK1" i="80"/>
  <c r="CJ1" i="80"/>
  <c r="CI1" i="80"/>
  <c r="CH1" i="80"/>
  <c r="CG1" i="80"/>
  <c r="CF1" i="80"/>
  <c r="CE1" i="80"/>
  <c r="CC1" i="80"/>
  <c r="CB1" i="80"/>
  <c r="CA1" i="80"/>
  <c r="BZ1" i="80"/>
  <c r="BY1" i="80"/>
  <c r="BX1" i="80"/>
  <c r="BQ1" i="80"/>
  <c r="BP1" i="80"/>
  <c r="BO1" i="80"/>
  <c r="BN1" i="80"/>
  <c r="BM1" i="80"/>
  <c r="BJ1" i="80"/>
  <c r="BI1" i="80"/>
  <c r="BH1" i="80"/>
  <c r="BE1" i="80"/>
  <c r="BD1" i="80"/>
  <c r="BC1" i="80"/>
  <c r="BB1" i="80"/>
  <c r="BA1" i="80"/>
  <c r="AZ1" i="80"/>
  <c r="AY1" i="80"/>
  <c r="AX1" i="80"/>
  <c r="AW1" i="80"/>
  <c r="AV1" i="80"/>
  <c r="AU1" i="80"/>
  <c r="AT1" i="80"/>
  <c r="AS1" i="80"/>
  <c r="AR1" i="80"/>
  <c r="AQ1" i="80"/>
  <c r="AP1" i="80"/>
  <c r="AO1" i="80"/>
  <c r="AN1" i="80"/>
  <c r="AM1" i="80"/>
  <c r="AL1" i="80"/>
  <c r="AK1" i="80"/>
  <c r="AJ1" i="80"/>
  <c r="AI1" i="80"/>
  <c r="AH1" i="80"/>
  <c r="AG1" i="80"/>
  <c r="AF1" i="80"/>
  <c r="AD1" i="80"/>
  <c r="AC1" i="80"/>
  <c r="AB1" i="80"/>
  <c r="AA1" i="80"/>
  <c r="Z1" i="80"/>
  <c r="Y1" i="80"/>
  <c r="W1" i="80"/>
  <c r="V1" i="80"/>
  <c r="U1" i="80"/>
  <c r="T1" i="80"/>
  <c r="S1" i="80"/>
  <c r="R1" i="80"/>
  <c r="Q1" i="80"/>
  <c r="P1" i="80"/>
  <c r="O1" i="80"/>
  <c r="N1" i="80"/>
  <c r="M1" i="80"/>
  <c r="L1" i="80"/>
  <c r="K1" i="80"/>
  <c r="J1" i="80"/>
  <c r="I1" i="80"/>
  <c r="H1" i="80"/>
  <c r="G1" i="80"/>
  <c r="F1" i="80"/>
  <c r="E1" i="80"/>
  <c r="D1" i="80"/>
  <c r="C1" i="80"/>
  <c r="B1" i="80"/>
  <c r="A1" i="80"/>
  <c r="DE551" i="79"/>
  <c r="DC551" i="79"/>
  <c r="AK549" i="79"/>
  <c r="AK548" i="79"/>
  <c r="BB548" i="79" s="1"/>
  <c r="AK547" i="79"/>
  <c r="AK546" i="79"/>
  <c r="AM546" i="79" s="1"/>
  <c r="AU546" i="79" s="1"/>
  <c r="AK545" i="79"/>
  <c r="AP545" i="79" s="1"/>
  <c r="AK544" i="79"/>
  <c r="BB544" i="79" s="1"/>
  <c r="AK543" i="79"/>
  <c r="AO543" i="79" s="1"/>
  <c r="AK542" i="79"/>
  <c r="AK541" i="79"/>
  <c r="AK540" i="79"/>
  <c r="AZ540" i="79" s="1"/>
  <c r="AK539" i="79"/>
  <c r="AW539" i="79" s="1" a="1"/>
  <c r="AW539" i="79" s="1"/>
  <c r="AK538" i="79"/>
  <c r="BB538" i="79" s="1"/>
  <c r="AK537" i="79"/>
  <c r="BB537" i="79" s="1"/>
  <c r="AK536" i="79"/>
  <c r="AW536" i="79" s="1" a="1"/>
  <c r="AW536" i="79" s="1"/>
  <c r="AK535" i="79"/>
  <c r="AO535" i="79" s="1"/>
  <c r="AG535" i="79" s="1"/>
  <c r="AK534" i="79"/>
  <c r="AO534" i="79" s="1"/>
  <c r="AK533" i="79"/>
  <c r="AZ533" i="79" s="1"/>
  <c r="AK532" i="79"/>
  <c r="AP532" i="79" s="1"/>
  <c r="AK531" i="79"/>
  <c r="AW531" i="79" s="1" a="1"/>
  <c r="AW531" i="79" s="1"/>
  <c r="AK530" i="79"/>
  <c r="AK529" i="79"/>
  <c r="AP529" i="79" s="1"/>
  <c r="AK528" i="79"/>
  <c r="AK527" i="79"/>
  <c r="AK526" i="79"/>
  <c r="AM526" i="79" s="1"/>
  <c r="AU526" i="79" s="1"/>
  <c r="AK525" i="79"/>
  <c r="AO525" i="79" s="1"/>
  <c r="AK524" i="79"/>
  <c r="AM524" i="79" s="1"/>
  <c r="AU524" i="79" s="1"/>
  <c r="AK523" i="79"/>
  <c r="BB523" i="79" s="1"/>
  <c r="AK522" i="79"/>
  <c r="BB522" i="79" s="1"/>
  <c r="AK521" i="79"/>
  <c r="AK520" i="79"/>
  <c r="AM520" i="79" s="1"/>
  <c r="AU520" i="79" s="1"/>
  <c r="AK519" i="79"/>
  <c r="AV519" i="79" s="1"/>
  <c r="AK518" i="79"/>
  <c r="AP518" i="79" s="1"/>
  <c r="AK517" i="79"/>
  <c r="AZ517" i="79" s="1"/>
  <c r="AK516" i="79"/>
  <c r="BB516" i="79" s="1"/>
  <c r="AK515" i="79"/>
  <c r="AV515" i="79" s="1"/>
  <c r="AK514" i="79"/>
  <c r="AV514" i="79" s="1"/>
  <c r="AK513" i="79"/>
  <c r="AW513" i="79" s="1" a="1"/>
  <c r="AW513" i="79" s="1"/>
  <c r="AK512" i="79"/>
  <c r="AV512" i="79" s="1"/>
  <c r="AK511" i="79"/>
  <c r="AO511" i="79" s="1"/>
  <c r="AK510" i="79"/>
  <c r="AK509" i="79"/>
  <c r="AK508" i="79"/>
  <c r="AV508" i="79" s="1"/>
  <c r="AK507" i="79"/>
  <c r="AK506" i="79"/>
  <c r="BB506" i="79" s="1"/>
  <c r="AK505" i="79"/>
  <c r="AK504" i="79"/>
  <c r="AZ504" i="79" s="1"/>
  <c r="AK503" i="79"/>
  <c r="AM503" i="79" s="1"/>
  <c r="AU503" i="79" s="1"/>
  <c r="AK502" i="79"/>
  <c r="AZ502" i="79" s="1"/>
  <c r="AK501" i="79"/>
  <c r="BB501" i="79" s="1"/>
  <c r="AK500" i="79"/>
  <c r="AK499" i="79"/>
  <c r="AM499" i="79" s="1"/>
  <c r="AU499" i="79" s="1"/>
  <c r="AK498" i="79"/>
  <c r="AK497" i="79"/>
  <c r="AP497" i="79" s="1"/>
  <c r="AK496" i="79"/>
  <c r="AK495" i="79"/>
  <c r="AM495" i="79" s="1"/>
  <c r="AU495" i="79" s="1"/>
  <c r="AK494" i="79"/>
  <c r="AK493" i="79"/>
  <c r="AP493" i="79" s="1"/>
  <c r="AK492" i="79"/>
  <c r="BB492" i="79" s="1"/>
  <c r="AK491" i="79"/>
  <c r="AM491" i="79" s="1"/>
  <c r="AU491" i="79" s="1"/>
  <c r="AK490" i="79"/>
  <c r="AW490" i="79" s="1" a="1"/>
  <c r="AW490" i="79" s="1"/>
  <c r="AK489" i="79"/>
  <c r="AK488" i="79"/>
  <c r="AV488" i="79" s="1"/>
  <c r="AK487" i="79"/>
  <c r="AW487" i="79" s="1" a="1"/>
  <c r="AW487" i="79" s="1"/>
  <c r="AK486" i="79"/>
  <c r="AW486" i="79" s="1" a="1"/>
  <c r="AW486" i="79" s="1"/>
  <c r="AK485" i="79"/>
  <c r="AK484" i="79"/>
  <c r="AP484" i="79" s="1"/>
  <c r="AK483" i="79"/>
  <c r="AP483" i="79" s="1"/>
  <c r="AK482" i="79"/>
  <c r="AZ482" i="79" s="1"/>
  <c r="AK481" i="79"/>
  <c r="AV481" i="79" s="1"/>
  <c r="AK480" i="79"/>
  <c r="AK479" i="79"/>
  <c r="AO479" i="79" s="1"/>
  <c r="AQ479" i="79" s="1"/>
  <c r="AK478" i="79"/>
  <c r="AP478" i="79" s="1"/>
  <c r="AK477" i="79"/>
  <c r="AZ477" i="79" s="1"/>
  <c r="AK476" i="79"/>
  <c r="BB476" i="79" s="1"/>
  <c r="AK475" i="79"/>
  <c r="BB475" i="79" s="1"/>
  <c r="AK474" i="79"/>
  <c r="AM474" i="79" s="1"/>
  <c r="AU474" i="79" s="1"/>
  <c r="AK473" i="79"/>
  <c r="BB473" i="79" s="1"/>
  <c r="AK472" i="79"/>
  <c r="AK471" i="79"/>
  <c r="AZ471" i="79" s="1"/>
  <c r="AK470" i="79"/>
  <c r="AM470" i="79" s="1"/>
  <c r="AU470" i="79" s="1"/>
  <c r="AK469" i="79"/>
  <c r="AK468" i="79"/>
  <c r="BB468" i="79" s="1"/>
  <c r="AK467" i="79"/>
  <c r="AO467" i="79" s="1"/>
  <c r="AK466" i="79"/>
  <c r="AP466" i="79" s="1"/>
  <c r="AK465" i="79"/>
  <c r="AK464" i="79"/>
  <c r="AK463" i="79"/>
  <c r="AM463" i="79" s="1"/>
  <c r="AU463" i="79" s="1"/>
  <c r="AK462" i="79"/>
  <c r="AK461" i="79"/>
  <c r="AZ461" i="79" s="1"/>
  <c r="AK460" i="79"/>
  <c r="BB460" i="79" s="1"/>
  <c r="AK459" i="79"/>
  <c r="AK458" i="79"/>
  <c r="AK457" i="79"/>
  <c r="AP457" i="79" s="1"/>
  <c r="AK456" i="79"/>
  <c r="AK455" i="79"/>
  <c r="BB455" i="79" s="1"/>
  <c r="AK454" i="79"/>
  <c r="AO454" i="79" s="1"/>
  <c r="AK453" i="79"/>
  <c r="AK452" i="79"/>
  <c r="AV452" i="79" s="1"/>
  <c r="AK451" i="79"/>
  <c r="AM451" i="79" s="1"/>
  <c r="AU451" i="79" s="1"/>
  <c r="AK450" i="79"/>
  <c r="AK449" i="79"/>
  <c r="AW449" i="79" s="1" a="1"/>
  <c r="AW449" i="79" s="1"/>
  <c r="AK448" i="79"/>
  <c r="BB448" i="79" s="1"/>
  <c r="AK447" i="79"/>
  <c r="AK446" i="79"/>
  <c r="AZ446" i="79" s="1"/>
  <c r="AK445" i="79"/>
  <c r="AK444" i="79"/>
  <c r="AK443" i="79"/>
  <c r="AV443" i="79" s="1"/>
  <c r="AK442" i="79"/>
  <c r="AZ442" i="79" s="1"/>
  <c r="AK441" i="79"/>
  <c r="AM441" i="79" s="1"/>
  <c r="AU441" i="79" s="1"/>
  <c r="AK440" i="79"/>
  <c r="AK439" i="79"/>
  <c r="AZ439" i="79" s="1"/>
  <c r="AK438" i="79"/>
  <c r="AK437" i="79"/>
  <c r="AP437" i="79" s="1"/>
  <c r="AK436" i="79"/>
  <c r="AO436" i="79" s="1"/>
  <c r="AG436" i="79" s="1"/>
  <c r="AK435" i="79"/>
  <c r="AK434" i="79"/>
  <c r="AK433" i="79"/>
  <c r="AO433" i="79" s="1"/>
  <c r="AK432" i="79"/>
  <c r="AM432" i="79" s="1"/>
  <c r="AU432" i="79" s="1"/>
  <c r="AK431" i="79"/>
  <c r="AK430" i="79"/>
  <c r="AK429" i="79"/>
  <c r="AM429" i="79" s="1"/>
  <c r="AU429" i="79" s="1"/>
  <c r="AK428" i="79"/>
  <c r="AK427" i="79"/>
  <c r="BB427" i="79" s="1"/>
  <c r="AK426" i="79"/>
  <c r="BB426" i="79" s="1"/>
  <c r="AK425" i="79"/>
  <c r="AM425" i="79" s="1"/>
  <c r="AU425" i="79" s="1"/>
  <c r="AK424" i="79"/>
  <c r="AW424" i="79" s="1" a="1"/>
  <c r="AW424" i="79" s="1"/>
  <c r="AK423" i="79"/>
  <c r="AK422" i="79"/>
  <c r="AW422" i="79" s="1" a="1"/>
  <c r="AW422" i="79" s="1"/>
  <c r="AK421" i="79"/>
  <c r="AZ421" i="79" s="1"/>
  <c r="AK420" i="79"/>
  <c r="AO420" i="79" s="1"/>
  <c r="AK419" i="79"/>
  <c r="AK418" i="79"/>
  <c r="AK417" i="79"/>
  <c r="AK416" i="79"/>
  <c r="AK415" i="79"/>
  <c r="BB415" i="79" s="1"/>
  <c r="AK414" i="79"/>
  <c r="AM414" i="79" s="1"/>
  <c r="AU414" i="79" s="1"/>
  <c r="AK413" i="79"/>
  <c r="AM413" i="79" s="1"/>
  <c r="AU413" i="79" s="1"/>
  <c r="AK412" i="79"/>
  <c r="AO412" i="79" s="1"/>
  <c r="AG412" i="79" s="1"/>
  <c r="AK411" i="79"/>
  <c r="AK410" i="79"/>
  <c r="AK409" i="79"/>
  <c r="AO409" i="79" s="1"/>
  <c r="AQ409" i="79" s="1"/>
  <c r="AK408" i="79"/>
  <c r="AK407" i="79"/>
  <c r="AK406" i="79"/>
  <c r="BB406" i="79" s="1"/>
  <c r="AK405" i="79"/>
  <c r="AP405" i="79" s="1"/>
  <c r="AK404" i="79"/>
  <c r="AZ404" i="79" s="1"/>
  <c r="AK403" i="79"/>
  <c r="AV403" i="79" s="1"/>
  <c r="AK402" i="79"/>
  <c r="AM402" i="79" s="1"/>
  <c r="AU402" i="79" s="1"/>
  <c r="AK401" i="79"/>
  <c r="AP401" i="79" s="1"/>
  <c r="AK400" i="79"/>
  <c r="AP400" i="79" s="1"/>
  <c r="AK399" i="79"/>
  <c r="AP399" i="79" s="1"/>
  <c r="AK398" i="79"/>
  <c r="AZ398" i="79" s="1"/>
  <c r="AK397" i="79"/>
  <c r="AO397" i="79" s="1"/>
  <c r="AK396" i="79"/>
  <c r="AK395" i="79"/>
  <c r="AW395" i="79" s="1" a="1"/>
  <c r="AW395" i="79" s="1"/>
  <c r="AK394" i="79"/>
  <c r="AV394" i="79" s="1"/>
  <c r="AK393" i="79"/>
  <c r="AV393" i="79" s="1"/>
  <c r="AK392" i="79"/>
  <c r="AW392" i="79" s="1" a="1"/>
  <c r="AW392" i="79" s="1"/>
  <c r="AK391" i="79"/>
  <c r="AK390" i="79"/>
  <c r="BB390" i="79" s="1"/>
  <c r="AK389" i="79"/>
  <c r="AM389" i="79" s="1"/>
  <c r="AU389" i="79" s="1"/>
  <c r="AK388" i="79"/>
  <c r="AK387" i="79"/>
  <c r="AK386" i="79"/>
  <c r="BB386" i="79" s="1"/>
  <c r="AK385" i="79"/>
  <c r="AK384" i="79"/>
  <c r="AM384" i="79" s="1"/>
  <c r="AU384" i="79" s="1"/>
  <c r="AK383" i="79"/>
  <c r="AM383" i="79" s="1"/>
  <c r="AU383" i="79" s="1"/>
  <c r="AK382" i="79"/>
  <c r="BB382" i="79" s="1"/>
  <c r="AK381" i="79"/>
  <c r="BB381" i="79" s="1"/>
  <c r="AK380" i="79"/>
  <c r="AP380" i="79" s="1"/>
  <c r="AK379" i="79"/>
  <c r="AV379" i="79" s="1"/>
  <c r="AK378" i="79"/>
  <c r="BB378" i="79" s="1"/>
  <c r="AK377" i="79"/>
  <c r="AK376" i="79"/>
  <c r="AK375" i="79"/>
  <c r="AZ375" i="79" s="1"/>
  <c r="AK374" i="79"/>
  <c r="AO374" i="79" s="1"/>
  <c r="AK373" i="79"/>
  <c r="AK372" i="79"/>
  <c r="AW372" i="79" s="1" a="1"/>
  <c r="AW372" i="79" s="1"/>
  <c r="AK371" i="79"/>
  <c r="AO371" i="79" s="1"/>
  <c r="AK370" i="79"/>
  <c r="BB370" i="79" s="1"/>
  <c r="AK369" i="79"/>
  <c r="BB369" i="79" s="1"/>
  <c r="AK368" i="79"/>
  <c r="BB368" i="79" s="1"/>
  <c r="AK367" i="79"/>
  <c r="AK366" i="79"/>
  <c r="AK365" i="79"/>
  <c r="AP365" i="79" s="1"/>
  <c r="AK364" i="79"/>
  <c r="AK363" i="79"/>
  <c r="BB363" i="79" s="1"/>
  <c r="AK362" i="79"/>
  <c r="AK361" i="79"/>
  <c r="AM361" i="79" s="1"/>
  <c r="AU361" i="79" s="1"/>
  <c r="AK360" i="79"/>
  <c r="AK359" i="79"/>
  <c r="AK358" i="79"/>
  <c r="BB358" i="79" s="1"/>
  <c r="AK357" i="79"/>
  <c r="AO357" i="79" s="1"/>
  <c r="AG357" i="79" s="1"/>
  <c r="AK356" i="79"/>
  <c r="AK355" i="79"/>
  <c r="AM355" i="79" s="1"/>
  <c r="AU355" i="79" s="1"/>
  <c r="AK354" i="79"/>
  <c r="AW354" i="79" s="1" a="1"/>
  <c r="AW354" i="79" s="1"/>
  <c r="AK353" i="79"/>
  <c r="AK352" i="79"/>
  <c r="BB352" i="79" s="1"/>
  <c r="AK351" i="79"/>
  <c r="AP351" i="79" s="1"/>
  <c r="AK350" i="79"/>
  <c r="BB350" i="79" s="1"/>
  <c r="AK349" i="79"/>
  <c r="AW349" i="79" s="1" a="1"/>
  <c r="AW349" i="79" s="1"/>
  <c r="AK348" i="79"/>
  <c r="AV348" i="79" s="1"/>
  <c r="AK347" i="79"/>
  <c r="AK346" i="79"/>
  <c r="AO346" i="79" s="1"/>
  <c r="AK345" i="79"/>
  <c r="AK344" i="79"/>
  <c r="AP344" i="79" s="1"/>
  <c r="AK343" i="79"/>
  <c r="AK342" i="79"/>
  <c r="AP342" i="79" s="1"/>
  <c r="AK341" i="79"/>
  <c r="AK340" i="79"/>
  <c r="AW340" i="79" s="1" a="1"/>
  <c r="AW340" i="79" s="1"/>
  <c r="AK339" i="79"/>
  <c r="AK338" i="79"/>
  <c r="AM338" i="79" s="1"/>
  <c r="AU338" i="79" s="1"/>
  <c r="AK337" i="79"/>
  <c r="AK336" i="79"/>
  <c r="AP336" i="79" s="1"/>
  <c r="AK335" i="79"/>
  <c r="AZ335" i="79" s="1"/>
  <c r="AK334" i="79"/>
  <c r="AV334" i="79" s="1"/>
  <c r="AK333" i="79"/>
  <c r="AM333" i="79" s="1"/>
  <c r="AU333" i="79" s="1"/>
  <c r="AK332" i="79"/>
  <c r="AM332" i="79" s="1"/>
  <c r="AU332" i="79" s="1"/>
  <c r="AK331" i="79"/>
  <c r="AK330" i="79"/>
  <c r="BB330" i="79" s="1"/>
  <c r="AK329" i="79"/>
  <c r="AW329" i="79" s="1" a="1"/>
  <c r="AW329" i="79" s="1"/>
  <c r="AK328" i="79"/>
  <c r="BB328" i="79" s="1"/>
  <c r="AK327" i="79"/>
  <c r="AZ327" i="79" s="1"/>
  <c r="AK326" i="79"/>
  <c r="BB326" i="79" s="1"/>
  <c r="AK325" i="79"/>
  <c r="AK324" i="79"/>
  <c r="AK323" i="79"/>
  <c r="AK322" i="79"/>
  <c r="BB322" i="79" s="1"/>
  <c r="AK321" i="79"/>
  <c r="AK320" i="79"/>
  <c r="AW320" i="79" s="1" a="1"/>
  <c r="AW320" i="79" s="1"/>
  <c r="AK319" i="79"/>
  <c r="BB319" i="79" s="1"/>
  <c r="AK318" i="79"/>
  <c r="AM318" i="79" s="1"/>
  <c r="AU318" i="79" s="1"/>
  <c r="AK317" i="79"/>
  <c r="AM317" i="79" s="1"/>
  <c r="AU317" i="79" s="1"/>
  <c r="AK316" i="79"/>
  <c r="BB316" i="79" s="1"/>
  <c r="AK315" i="79"/>
  <c r="AO315" i="79" s="1"/>
  <c r="AG315" i="79" s="1"/>
  <c r="AK314" i="79"/>
  <c r="AV314" i="79" s="1"/>
  <c r="AK313" i="79"/>
  <c r="AM313" i="79" s="1"/>
  <c r="AU313" i="79" s="1"/>
  <c r="AK312" i="79"/>
  <c r="AM312" i="79" s="1"/>
  <c r="AU312" i="79" s="1"/>
  <c r="AK311" i="79"/>
  <c r="AZ311" i="79" s="1"/>
  <c r="AK310" i="79"/>
  <c r="AK309" i="79"/>
  <c r="AZ309" i="79" s="1"/>
  <c r="AK308" i="79"/>
  <c r="AZ308" i="79" s="1"/>
  <c r="AK307" i="79"/>
  <c r="B307" i="79"/>
  <c r="AK306" i="79"/>
  <c r="AM306" i="79" s="1"/>
  <c r="AU306" i="79" s="1"/>
  <c r="J306" i="79"/>
  <c r="I306" i="79"/>
  <c r="H306" i="79"/>
  <c r="G306" i="79"/>
  <c r="F306" i="79"/>
  <c r="E306" i="79"/>
  <c r="D306" i="79"/>
  <c r="C306" i="79"/>
  <c r="B306" i="79"/>
  <c r="AK305" i="79"/>
  <c r="AK304" i="79"/>
  <c r="AM304" i="79" s="1"/>
  <c r="AU304" i="79" s="1"/>
  <c r="C304" i="79" a="1"/>
  <c r="C304" i="79" s="1"/>
  <c r="B304" i="79"/>
  <c r="AK303" i="79"/>
  <c r="BB303" i="79" s="1"/>
  <c r="C303" i="79" a="1"/>
  <c r="C303" i="79" s="1"/>
  <c r="B303" i="79"/>
  <c r="AK302" i="79"/>
  <c r="AM302" i="79" s="1"/>
  <c r="AU302" i="79" s="1"/>
  <c r="C302" i="79" a="1"/>
  <c r="C302" i="79" s="1"/>
  <c r="B302" i="79"/>
  <c r="AK301" i="79"/>
  <c r="AW301" i="79" s="1" a="1"/>
  <c r="AW301" i="79" s="1"/>
  <c r="C301" i="79" a="1"/>
  <c r="C301" i="79" s="1"/>
  <c r="B301" i="79"/>
  <c r="AK300" i="79"/>
  <c r="AM300" i="79" s="1"/>
  <c r="AU300" i="79" s="1"/>
  <c r="C300" i="79" a="1"/>
  <c r="C300" i="79" s="1"/>
  <c r="B300" i="79"/>
  <c r="AK299" i="79"/>
  <c r="C299" i="79" a="1"/>
  <c r="C299" i="79" s="1"/>
  <c r="B299" i="79"/>
  <c r="AK298" i="79"/>
  <c r="AZ298" i="79" s="1"/>
  <c r="C298" i="79" a="1"/>
  <c r="C298" i="79" s="1"/>
  <c r="B298" i="79"/>
  <c r="AK297" i="79"/>
  <c r="C297" i="79" a="1"/>
  <c r="C297" i="79" s="1"/>
  <c r="B297" i="79"/>
  <c r="AK296" i="79"/>
  <c r="C296" i="79" a="1"/>
  <c r="C296" i="79" s="1"/>
  <c r="B296" i="79"/>
  <c r="AK295" i="79"/>
  <c r="AP295" i="79" s="1"/>
  <c r="C295" i="79" a="1"/>
  <c r="C295" i="79" s="1"/>
  <c r="B295" i="79"/>
  <c r="AK294" i="79"/>
  <c r="AV294" i="79" s="1"/>
  <c r="C294" i="79" a="1"/>
  <c r="C294" i="79" s="1"/>
  <c r="B294" i="79"/>
  <c r="AK293" i="79"/>
  <c r="C293" i="79" a="1"/>
  <c r="C293" i="79" s="1"/>
  <c r="B293" i="79"/>
  <c r="AK292" i="79"/>
  <c r="C292" i="79" a="1"/>
  <c r="C292" i="79" s="1"/>
  <c r="B292" i="79"/>
  <c r="AK291" i="79"/>
  <c r="C291" i="79" a="1"/>
  <c r="C291" i="79" s="1"/>
  <c r="B291" i="79"/>
  <c r="AK290" i="79"/>
  <c r="C290" i="79" a="1"/>
  <c r="C290" i="79" s="1"/>
  <c r="B290" i="79"/>
  <c r="AK289" i="79"/>
  <c r="AV289" i="79" s="1"/>
  <c r="C289" i="79" a="1"/>
  <c r="C289" i="79" s="1"/>
  <c r="B289" i="79"/>
  <c r="AK288" i="79"/>
  <c r="C288" i="79" a="1"/>
  <c r="C288" i="79" s="1"/>
  <c r="B288" i="79"/>
  <c r="AK287" i="79"/>
  <c r="C287" i="79" a="1"/>
  <c r="C287" i="79" s="1"/>
  <c r="B287" i="79"/>
  <c r="AK286" i="79"/>
  <c r="AW286" i="79" s="1" a="1"/>
  <c r="AW286" i="79" s="1"/>
  <c r="C286" i="79" a="1"/>
  <c r="C286" i="79" s="1"/>
  <c r="B286" i="79"/>
  <c r="AK285" i="79"/>
  <c r="BB285" i="79" s="1"/>
  <c r="C285" i="79" a="1"/>
  <c r="C285" i="79" s="1"/>
  <c r="B285" i="79"/>
  <c r="AK284" i="79"/>
  <c r="BB284" i="79" s="1"/>
  <c r="C284" i="79" a="1"/>
  <c r="C284" i="79" s="1"/>
  <c r="B284" i="79"/>
  <c r="AK283" i="79"/>
  <c r="BB283" i="79" s="1"/>
  <c r="C283" i="79" a="1"/>
  <c r="C283" i="79" s="1"/>
  <c r="B283" i="79"/>
  <c r="AK282" i="79"/>
  <c r="AM282" i="79" s="1"/>
  <c r="AU282" i="79" s="1"/>
  <c r="C282" i="79" a="1"/>
  <c r="C282" i="79" s="1"/>
  <c r="B282" i="79"/>
  <c r="AK281" i="79"/>
  <c r="C281" i="79" a="1"/>
  <c r="C281" i="79" s="1"/>
  <c r="B281" i="79"/>
  <c r="AK280" i="79"/>
  <c r="C280" i="79" a="1"/>
  <c r="C280" i="79" s="1"/>
  <c r="B280" i="79"/>
  <c r="AK279" i="79"/>
  <c r="BB279" i="79" s="1"/>
  <c r="C279" i="79" a="1"/>
  <c r="C279" i="79" s="1"/>
  <c r="B279" i="79"/>
  <c r="AK278" i="79"/>
  <c r="AZ278" i="79" s="1"/>
  <c r="C278" i="79" a="1"/>
  <c r="C278" i="79" s="1"/>
  <c r="B278" i="79"/>
  <c r="AK277" i="79"/>
  <c r="AZ277" i="79" s="1"/>
  <c r="C277" i="79" a="1"/>
  <c r="C277" i="79" s="1"/>
  <c r="B277" i="79"/>
  <c r="AK276" i="79"/>
  <c r="AW276" i="79" s="1" a="1"/>
  <c r="AW276" i="79" s="1"/>
  <c r="C276" i="79" a="1"/>
  <c r="C276" i="79" s="1"/>
  <c r="B276" i="79"/>
  <c r="AK275" i="79"/>
  <c r="AO275" i="79" s="1"/>
  <c r="AQ275" i="79" s="1"/>
  <c r="C275" i="79" a="1"/>
  <c r="C275" i="79" s="1"/>
  <c r="B275" i="79"/>
  <c r="AK274" i="79"/>
  <c r="AW274" i="79" s="1" a="1"/>
  <c r="AW274" i="79" s="1"/>
  <c r="C274" i="79" a="1"/>
  <c r="C274" i="79" s="1"/>
  <c r="B274" i="79"/>
  <c r="AK273" i="79"/>
  <c r="AV273" i="79" s="1"/>
  <c r="C273" i="79" a="1"/>
  <c r="C273" i="79" s="1"/>
  <c r="B273" i="79"/>
  <c r="AK272" i="79"/>
  <c r="AZ272" i="79" s="1"/>
  <c r="C272" i="79" a="1"/>
  <c r="C272" i="79" s="1"/>
  <c r="B272" i="79"/>
  <c r="AK271" i="79"/>
  <c r="AW271" i="79" s="1" a="1"/>
  <c r="AW271" i="79" s="1"/>
  <c r="C271" i="79" a="1"/>
  <c r="C271" i="79" s="1"/>
  <c r="B271" i="79"/>
  <c r="AK270" i="79"/>
  <c r="AV270" i="79" s="1"/>
  <c r="C270" i="79" a="1"/>
  <c r="C270" i="79" s="1"/>
  <c r="B270" i="79"/>
  <c r="AK269" i="79"/>
  <c r="C269" i="79" a="1"/>
  <c r="C269" i="79" s="1"/>
  <c r="B269" i="79"/>
  <c r="AK268" i="79"/>
  <c r="AV268" i="79" s="1"/>
  <c r="C268" i="79" a="1"/>
  <c r="C268" i="79" s="1"/>
  <c r="B268" i="79"/>
  <c r="AK267" i="79"/>
  <c r="C267" i="79" a="1"/>
  <c r="C267" i="79" s="1"/>
  <c r="B267" i="79"/>
  <c r="AK266" i="79"/>
  <c r="AW266" i="79" s="1" a="1"/>
  <c r="AW266" i="79" s="1"/>
  <c r="C266" i="79" a="1"/>
  <c r="C266" i="79" s="1"/>
  <c r="B266" i="79"/>
  <c r="AK265" i="79"/>
  <c r="AO265" i="79" s="1"/>
  <c r="C265" i="79" a="1"/>
  <c r="C265" i="79" s="1"/>
  <c r="B265" i="79"/>
  <c r="AK264" i="79"/>
  <c r="AM264" i="79" s="1"/>
  <c r="AU264" i="79" s="1"/>
  <c r="C264" i="79" a="1"/>
  <c r="C264" i="79" s="1"/>
  <c r="B264" i="79"/>
  <c r="AK263" i="79"/>
  <c r="AV263" i="79" s="1"/>
  <c r="J263" i="79"/>
  <c r="C263" i="79" s="1" a="1"/>
  <c r="C263" i="79" s="1"/>
  <c r="B263" i="79"/>
  <c r="AK262" i="79"/>
  <c r="C262" i="79" a="1"/>
  <c r="C262" i="79" s="1"/>
  <c r="B262" i="79"/>
  <c r="AK261" i="79"/>
  <c r="AZ261" i="79" s="1"/>
  <c r="C261" i="79" a="1"/>
  <c r="C261" i="79" s="1"/>
  <c r="B261" i="79"/>
  <c r="AK260" i="79"/>
  <c r="C260" i="79" a="1"/>
  <c r="C260" i="79" s="1"/>
  <c r="B260" i="79"/>
  <c r="AK259" i="79"/>
  <c r="C259" i="79" a="1"/>
  <c r="C259" i="79" s="1"/>
  <c r="B259" i="79"/>
  <c r="AK258" i="79"/>
  <c r="AV258" i="79" s="1"/>
  <c r="C258" i="79" a="1"/>
  <c r="C258" i="79" s="1"/>
  <c r="B258" i="79"/>
  <c r="AK257" i="79"/>
  <c r="BB257" i="79" s="1"/>
  <c r="C257" i="79" a="1"/>
  <c r="C257" i="79" s="1"/>
  <c r="B257" i="79"/>
  <c r="AK256" i="79"/>
  <c r="AP256" i="79" s="1"/>
  <c r="C256" i="79" a="1"/>
  <c r="C256" i="79" s="1"/>
  <c r="B256" i="79"/>
  <c r="AK255" i="79"/>
  <c r="BB255" i="79" s="1"/>
  <c r="C255" i="79" a="1"/>
  <c r="C255" i="79" s="1"/>
  <c r="B255" i="79"/>
  <c r="AK254" i="79"/>
  <c r="C254" i="79" a="1"/>
  <c r="C254" i="79" s="1"/>
  <c r="B254" i="79"/>
  <c r="AK253" i="79"/>
  <c r="C253" i="79" a="1"/>
  <c r="C253" i="79" s="1"/>
  <c r="B253" i="79"/>
  <c r="AK252" i="79"/>
  <c r="AO252" i="79" s="1"/>
  <c r="C252" i="79" a="1"/>
  <c r="C252" i="79" s="1"/>
  <c r="B252" i="79"/>
  <c r="AK251" i="79"/>
  <c r="C251" i="79" a="1"/>
  <c r="C251" i="79" s="1"/>
  <c r="B251" i="79"/>
  <c r="AK250" i="79"/>
  <c r="AV250" i="79" s="1"/>
  <c r="C250" i="79" a="1"/>
  <c r="C250" i="79" s="1"/>
  <c r="B250" i="79"/>
  <c r="AK249" i="79"/>
  <c r="C249" i="79" a="1"/>
  <c r="C249" i="79" s="1"/>
  <c r="B249" i="79"/>
  <c r="AK248" i="79"/>
  <c r="AV248" i="79" s="1"/>
  <c r="C248" i="79" a="1"/>
  <c r="C248" i="79" s="1"/>
  <c r="B248" i="79"/>
  <c r="AK247" i="79"/>
  <c r="AO247" i="79" s="1"/>
  <c r="C247" i="79" a="1"/>
  <c r="C247" i="79" s="1"/>
  <c r="B247" i="79"/>
  <c r="AK246" i="79"/>
  <c r="AZ246" i="79" s="1"/>
  <c r="C246" i="79" a="1"/>
  <c r="C246" i="79" s="1"/>
  <c r="B246" i="79"/>
  <c r="AK245" i="79"/>
  <c r="BB245" i="79" s="1"/>
  <c r="C245" i="79" a="1"/>
  <c r="C245" i="79" s="1"/>
  <c r="B245" i="79"/>
  <c r="AK244" i="79"/>
  <c r="AM244" i="79" s="1"/>
  <c r="AU244" i="79" s="1"/>
  <c r="C244" i="79" a="1"/>
  <c r="C244" i="79" s="1"/>
  <c r="B244" i="79"/>
  <c r="AK243" i="79"/>
  <c r="AV243" i="79" s="1"/>
  <c r="C243" i="79" a="1"/>
  <c r="C243" i="79" s="1"/>
  <c r="B243" i="79"/>
  <c r="AK242" i="79"/>
  <c r="C242" i="79" a="1"/>
  <c r="C242" i="79" s="1"/>
  <c r="B242" i="79"/>
  <c r="AK241" i="79"/>
  <c r="BB241" i="79" s="1"/>
  <c r="C241" i="79" a="1"/>
  <c r="C241" i="79" s="1"/>
  <c r="B241" i="79"/>
  <c r="AK240" i="79"/>
  <c r="AM240" i="79" s="1"/>
  <c r="AU240" i="79" s="1"/>
  <c r="C240" i="79" a="1"/>
  <c r="C240" i="79" s="1"/>
  <c r="B240" i="79"/>
  <c r="AK239" i="79"/>
  <c r="AZ239" i="79" s="1"/>
  <c r="C239" i="79" a="1"/>
  <c r="C239" i="79" s="1"/>
  <c r="B239" i="79"/>
  <c r="AK238" i="79"/>
  <c r="AO238" i="79" s="1"/>
  <c r="C238" i="79" a="1"/>
  <c r="C238" i="79" s="1"/>
  <c r="B238" i="79"/>
  <c r="AK237" i="79"/>
  <c r="BB237" i="79" s="1"/>
  <c r="C237" i="79" a="1"/>
  <c r="C237" i="79" s="1"/>
  <c r="B237" i="79"/>
  <c r="AK236" i="79"/>
  <c r="C236" i="79" a="1"/>
  <c r="C236" i="79" s="1"/>
  <c r="B236" i="79"/>
  <c r="AK235" i="79"/>
  <c r="AZ235" i="79" s="1"/>
  <c r="C235" i="79" a="1"/>
  <c r="C235" i="79" s="1"/>
  <c r="B235" i="79"/>
  <c r="AK234" i="79"/>
  <c r="AV234" i="79" s="1"/>
  <c r="C234" i="79" a="1"/>
  <c r="C234" i="79" s="1"/>
  <c r="B234" i="79"/>
  <c r="AK233" i="79"/>
  <c r="AW233" i="79" s="1" a="1"/>
  <c r="AW233" i="79" s="1"/>
  <c r="C233" i="79" a="1"/>
  <c r="C233" i="79" s="1"/>
  <c r="B233" i="79"/>
  <c r="AK232" i="79"/>
  <c r="AV232" i="79" s="1"/>
  <c r="C232" i="79" a="1"/>
  <c r="C232" i="79" s="1"/>
  <c r="B232" i="79"/>
  <c r="AK231" i="79"/>
  <c r="AM231" i="79" s="1"/>
  <c r="AU231" i="79" s="1"/>
  <c r="C231" i="79" a="1"/>
  <c r="C231" i="79" s="1"/>
  <c r="B231" i="79"/>
  <c r="AK230" i="79"/>
  <c r="AZ230" i="79" s="1"/>
  <c r="C230" i="79" a="1"/>
  <c r="C230" i="79" s="1"/>
  <c r="B230" i="79"/>
  <c r="AK229" i="79"/>
  <c r="AP229" i="79" s="1"/>
  <c r="C229" i="79" a="1"/>
  <c r="C229" i="79" s="1"/>
  <c r="B229" i="79"/>
  <c r="AK228" i="79"/>
  <c r="BB228" i="79" s="1"/>
  <c r="C228" i="79" a="1"/>
  <c r="C228" i="79" s="1"/>
  <c r="B228" i="79"/>
  <c r="AK227" i="79"/>
  <c r="AO227" i="79" s="1"/>
  <c r="AQ227" i="79" s="1"/>
  <c r="BG227" i="79" s="1"/>
  <c r="BA227" i="79" s="1"/>
  <c r="C227" i="79" a="1"/>
  <c r="C227" i="79" s="1"/>
  <c r="B227" i="79"/>
  <c r="AK226" i="79"/>
  <c r="C226" i="79" a="1"/>
  <c r="C226" i="79" s="1"/>
  <c r="B226" i="79"/>
  <c r="AK225" i="79"/>
  <c r="BB225" i="79" s="1"/>
  <c r="C225" i="79" a="1"/>
  <c r="C225" i="79" s="1"/>
  <c r="B225" i="79"/>
  <c r="AK224" i="79"/>
  <c r="C224" i="79" a="1"/>
  <c r="C224" i="79" s="1"/>
  <c r="B224" i="79"/>
  <c r="AK223" i="79"/>
  <c r="BB223" i="79" s="1"/>
  <c r="C223" i="79" a="1"/>
  <c r="C223" i="79" s="1"/>
  <c r="B223" i="79"/>
  <c r="AK222" i="79"/>
  <c r="C222" i="79" a="1"/>
  <c r="C222" i="79" s="1"/>
  <c r="B222" i="79"/>
  <c r="AK221" i="79"/>
  <c r="AM221" i="79" s="1"/>
  <c r="AU221" i="79" s="1"/>
  <c r="C221" i="79" a="1"/>
  <c r="C221" i="79" s="1"/>
  <c r="B221" i="79"/>
  <c r="AK220" i="79"/>
  <c r="AP220" i="79" s="1"/>
  <c r="C220" i="79" a="1"/>
  <c r="C220" i="79" s="1"/>
  <c r="B220" i="79"/>
  <c r="AK219" i="79"/>
  <c r="C219" i="79" a="1"/>
  <c r="C219" i="79" s="1"/>
  <c r="B219" i="79"/>
  <c r="AK218" i="79"/>
  <c r="AO218" i="79" s="1"/>
  <c r="C218" i="79" a="1"/>
  <c r="C218" i="79" s="1"/>
  <c r="B218" i="79"/>
  <c r="AK217" i="79"/>
  <c r="AZ217" i="79" s="1"/>
  <c r="C217" i="79" a="1"/>
  <c r="C217" i="79" s="1"/>
  <c r="B217" i="79"/>
  <c r="AK216" i="79"/>
  <c r="BB216" i="79" s="1"/>
  <c r="C216" i="79" a="1"/>
  <c r="C216" i="79" s="1"/>
  <c r="B216" i="79"/>
  <c r="AK215" i="79"/>
  <c r="C215" i="79" a="1"/>
  <c r="C215" i="79" s="1"/>
  <c r="B215" i="79"/>
  <c r="AK214" i="79"/>
  <c r="J214" i="79"/>
  <c r="C214" i="79" s="1" a="1"/>
  <c r="C214" i="79" s="1"/>
  <c r="B214" i="79"/>
  <c r="AK213" i="79"/>
  <c r="AM213" i="79" s="1"/>
  <c r="AU213" i="79" s="1"/>
  <c r="C213" i="79" a="1"/>
  <c r="C213" i="79" s="1"/>
  <c r="B213" i="79"/>
  <c r="AK212" i="79"/>
  <c r="AV212" i="79" s="1"/>
  <c r="C212" i="79" a="1"/>
  <c r="C212" i="79" s="1"/>
  <c r="B212" i="79"/>
  <c r="AK211" i="79"/>
  <c r="AZ211" i="79" s="1"/>
  <c r="C211" i="79" a="1"/>
  <c r="C211" i="79" s="1"/>
  <c r="B211" i="79"/>
  <c r="AK210" i="79"/>
  <c r="AP210" i="79" s="1"/>
  <c r="C210" i="79" a="1"/>
  <c r="C210" i="79" s="1"/>
  <c r="B210" i="79"/>
  <c r="AK209" i="79"/>
  <c r="AZ209" i="79" s="1"/>
  <c r="C209" i="79" a="1"/>
  <c r="C209" i="79" s="1"/>
  <c r="B209" i="79"/>
  <c r="AK208" i="79"/>
  <c r="BB208" i="79" s="1"/>
  <c r="C208" i="79" a="1"/>
  <c r="C208" i="79" s="1"/>
  <c r="B208" i="79"/>
  <c r="AK207" i="79"/>
  <c r="AZ207" i="79" s="1"/>
  <c r="C207" i="79" a="1"/>
  <c r="C207" i="79" s="1"/>
  <c r="B207" i="79"/>
  <c r="AK206" i="79"/>
  <c r="C206" i="79" a="1"/>
  <c r="C206" i="79" s="1"/>
  <c r="B206" i="79"/>
  <c r="AK205" i="79"/>
  <c r="C205" i="79" a="1"/>
  <c r="C205" i="79" s="1"/>
  <c r="B205" i="79"/>
  <c r="AK204" i="79"/>
  <c r="C204" i="79" a="1"/>
  <c r="C204" i="79" s="1"/>
  <c r="B204" i="79"/>
  <c r="AK203" i="79"/>
  <c r="BB203" i="79" s="1"/>
  <c r="C203" i="79" a="1"/>
  <c r="C203" i="79" s="1"/>
  <c r="B203" i="79"/>
  <c r="AK202" i="79"/>
  <c r="AM202" i="79" s="1"/>
  <c r="AU202" i="79" s="1"/>
  <c r="C202" i="79" a="1"/>
  <c r="C202" i="79" s="1"/>
  <c r="B202" i="79"/>
  <c r="AK201" i="79"/>
  <c r="C201" i="79" a="1"/>
  <c r="C201" i="79" s="1"/>
  <c r="B201" i="79"/>
  <c r="AK200" i="79"/>
  <c r="AZ200" i="79" s="1"/>
  <c r="C200" i="79" a="1"/>
  <c r="C200" i="79" s="1"/>
  <c r="B200" i="79"/>
  <c r="AK199" i="79"/>
  <c r="AO199" i="79" s="1"/>
  <c r="AQ199" i="79" s="1"/>
  <c r="C199" i="79" a="1"/>
  <c r="C199" i="79" s="1"/>
  <c r="B199" i="79"/>
  <c r="AK198" i="79"/>
  <c r="AM198" i="79" s="1"/>
  <c r="AU198" i="79" s="1"/>
  <c r="C198" i="79" a="1"/>
  <c r="C198" i="79" s="1"/>
  <c r="B198" i="79"/>
  <c r="AK197" i="79"/>
  <c r="AM197" i="79" s="1"/>
  <c r="AU197" i="79" s="1"/>
  <c r="C197" i="79" a="1"/>
  <c r="C197" i="79" s="1"/>
  <c r="B197" i="79"/>
  <c r="AK196" i="79"/>
  <c r="AZ196" i="79" s="1"/>
  <c r="C196" i="79" a="1"/>
  <c r="C196" i="79" s="1"/>
  <c r="B196" i="79"/>
  <c r="AK195" i="79"/>
  <c r="AM195" i="79" s="1"/>
  <c r="AU195" i="79" s="1"/>
  <c r="C195" i="79" a="1"/>
  <c r="C195" i="79" s="1"/>
  <c r="B195" i="79"/>
  <c r="AK194" i="79"/>
  <c r="BB194" i="79" s="1"/>
  <c r="C194" i="79" a="1"/>
  <c r="C194" i="79" s="1"/>
  <c r="B194" i="79"/>
  <c r="AK193" i="79"/>
  <c r="C193" i="79" a="1"/>
  <c r="C193" i="79" s="1"/>
  <c r="B193" i="79"/>
  <c r="AK192" i="79"/>
  <c r="AP192" i="79" s="1"/>
  <c r="C192" i="79" a="1"/>
  <c r="C192" i="79" s="1"/>
  <c r="B192" i="79"/>
  <c r="AK191" i="79"/>
  <c r="C191" i="79" a="1"/>
  <c r="C191" i="79" s="1"/>
  <c r="B191" i="79"/>
  <c r="AK190" i="79"/>
  <c r="C190" i="79" a="1"/>
  <c r="C190" i="79" s="1"/>
  <c r="B190" i="79"/>
  <c r="AK189" i="79"/>
  <c r="BB189" i="79" s="1"/>
  <c r="C189" i="79" a="1"/>
  <c r="C189" i="79" s="1"/>
  <c r="B189" i="79"/>
  <c r="AK188" i="79"/>
  <c r="BB188" i="79" s="1"/>
  <c r="C188" i="79" a="1"/>
  <c r="C188" i="79" s="1"/>
  <c r="B188" i="79"/>
  <c r="AK187" i="79"/>
  <c r="C187" i="79" a="1"/>
  <c r="C187" i="79" s="1"/>
  <c r="B187" i="79"/>
  <c r="AK186" i="79"/>
  <c r="C186" i="79" a="1"/>
  <c r="C186" i="79" s="1"/>
  <c r="B186" i="79"/>
  <c r="AK185" i="79"/>
  <c r="C185" i="79" a="1"/>
  <c r="C185" i="79" s="1"/>
  <c r="B185" i="79"/>
  <c r="AK184" i="79"/>
  <c r="C184" i="79" a="1"/>
  <c r="C184" i="79" s="1"/>
  <c r="B184" i="79"/>
  <c r="AK183" i="79"/>
  <c r="BB183" i="79" s="1"/>
  <c r="C183" i="79" a="1"/>
  <c r="C183" i="79" s="1"/>
  <c r="B183" i="79"/>
  <c r="AK182" i="79"/>
  <c r="C182" i="79" a="1"/>
  <c r="C182" i="79" s="1"/>
  <c r="B182" i="79"/>
  <c r="AK181" i="79"/>
  <c r="C181" i="79" a="1"/>
  <c r="C181" i="79" s="1"/>
  <c r="B181" i="79"/>
  <c r="AK180" i="79"/>
  <c r="AM180" i="79" s="1"/>
  <c r="AU180" i="79" s="1"/>
  <c r="C180" i="79" a="1"/>
  <c r="C180" i="79" s="1"/>
  <c r="B180" i="79"/>
  <c r="AK179" i="79"/>
  <c r="C179" i="79" a="1"/>
  <c r="C179" i="79" s="1"/>
  <c r="B179" i="79"/>
  <c r="AK178" i="79"/>
  <c r="C178" i="79" a="1"/>
  <c r="C178" i="79" s="1"/>
  <c r="B178" i="79"/>
  <c r="AK177" i="79"/>
  <c r="C177" i="79" a="1"/>
  <c r="C177" i="79" s="1"/>
  <c r="B177" i="79"/>
  <c r="AK176" i="79"/>
  <c r="C176" i="79" a="1"/>
  <c r="C176" i="79" s="1"/>
  <c r="B176" i="79"/>
  <c r="AK175" i="79"/>
  <c r="AW175" i="79" s="1" a="1"/>
  <c r="AW175" i="79" s="1"/>
  <c r="C175" i="79" a="1"/>
  <c r="C175" i="79" s="1"/>
  <c r="B175" i="79"/>
  <c r="AK174" i="79"/>
  <c r="C174" i="79" a="1"/>
  <c r="C174" i="79" s="1"/>
  <c r="B174" i="79"/>
  <c r="AK173" i="79"/>
  <c r="C173" i="79" a="1"/>
  <c r="C173" i="79" s="1"/>
  <c r="B173" i="79"/>
  <c r="AK172" i="79"/>
  <c r="AZ172" i="79" s="1"/>
  <c r="C172" i="79" a="1"/>
  <c r="C172" i="79" s="1"/>
  <c r="B172" i="79"/>
  <c r="AK171" i="79"/>
  <c r="AZ171" i="79" s="1"/>
  <c r="C171" i="79" a="1"/>
  <c r="C171" i="79" s="1"/>
  <c r="B171" i="79"/>
  <c r="AK170" i="79"/>
  <c r="C170" i="79" a="1"/>
  <c r="C170" i="79" s="1"/>
  <c r="B170" i="79"/>
  <c r="AK169" i="79"/>
  <c r="AM169" i="79" s="1"/>
  <c r="AU169" i="79" s="1"/>
  <c r="C169" i="79" a="1"/>
  <c r="C169" i="79" s="1"/>
  <c r="B169" i="79"/>
  <c r="AK168" i="79"/>
  <c r="C168" i="79" a="1"/>
  <c r="C168" i="79" s="1"/>
  <c r="B168" i="79"/>
  <c r="AK167" i="79"/>
  <c r="C167" i="79" a="1"/>
  <c r="C167" i="79" s="1"/>
  <c r="B167" i="79"/>
  <c r="AK166" i="79"/>
  <c r="BB166" i="79" s="1"/>
  <c r="C166" i="79" a="1"/>
  <c r="C166" i="79" s="1"/>
  <c r="B166" i="79"/>
  <c r="AK165" i="79"/>
  <c r="C165" i="79" a="1"/>
  <c r="C165" i="79" s="1"/>
  <c r="B165" i="79"/>
  <c r="AK164" i="79"/>
  <c r="AW164" i="79" s="1" a="1"/>
  <c r="AW164" i="79" s="1"/>
  <c r="C164" i="79" a="1"/>
  <c r="C164" i="79" s="1"/>
  <c r="B164" i="79"/>
  <c r="AK163" i="79"/>
  <c r="C163" i="79" a="1"/>
  <c r="C163" i="79" s="1"/>
  <c r="B163" i="79"/>
  <c r="AK162" i="79"/>
  <c r="C162" i="79" a="1"/>
  <c r="C162" i="79" s="1"/>
  <c r="B162" i="79"/>
  <c r="AK161" i="79"/>
  <c r="C161" i="79" a="1"/>
  <c r="C161" i="79" s="1"/>
  <c r="B161" i="79"/>
  <c r="AK160" i="79"/>
  <c r="C160" i="79" a="1"/>
  <c r="C160" i="79" s="1"/>
  <c r="B160" i="79"/>
  <c r="AK159" i="79"/>
  <c r="C159" i="79" a="1"/>
  <c r="C159" i="79" s="1"/>
  <c r="B159" i="79"/>
  <c r="AK158" i="79"/>
  <c r="C158" i="79" a="1"/>
  <c r="C158" i="79" s="1"/>
  <c r="B158" i="79"/>
  <c r="AK157" i="79"/>
  <c r="BB157" i="79" s="1"/>
  <c r="C157" i="79" a="1"/>
  <c r="C157" i="79" s="1"/>
  <c r="B157" i="79"/>
  <c r="AK156" i="79"/>
  <c r="AM156" i="79" s="1"/>
  <c r="AU156" i="79" s="1"/>
  <c r="C156" i="79" a="1"/>
  <c r="C156" i="79" s="1"/>
  <c r="B156" i="79"/>
  <c r="AK155" i="79"/>
  <c r="C155" i="79" a="1"/>
  <c r="C155" i="79" s="1"/>
  <c r="B155" i="79"/>
  <c r="AK154" i="79"/>
  <c r="BB154" i="79" s="1"/>
  <c r="C154" i="79" a="1"/>
  <c r="C154" i="79" s="1"/>
  <c r="B154" i="79"/>
  <c r="AK153" i="79"/>
  <c r="AM153" i="79" s="1"/>
  <c r="AU153" i="79" s="1"/>
  <c r="C153" i="79" a="1"/>
  <c r="C153" i="79" s="1"/>
  <c r="B153" i="79"/>
  <c r="AK152" i="79"/>
  <c r="C152" i="79" a="1"/>
  <c r="C152" i="79" s="1"/>
  <c r="B152" i="79"/>
  <c r="AK151" i="79"/>
  <c r="BB151" i="79" s="1"/>
  <c r="C151" i="79" a="1"/>
  <c r="C151" i="79" s="1"/>
  <c r="B151" i="79"/>
  <c r="AK150" i="79"/>
  <c r="AO150" i="79" s="1"/>
  <c r="AG150" i="79" s="1"/>
  <c r="C150" i="79" a="1"/>
  <c r="C150" i="79" s="1"/>
  <c r="B150" i="79"/>
  <c r="AK149" i="79"/>
  <c r="AZ149" i="79" s="1"/>
  <c r="C149" i="79" a="1"/>
  <c r="C149" i="79" s="1"/>
  <c r="B149" i="79"/>
  <c r="AK148" i="79"/>
  <c r="B148" i="79"/>
  <c r="C148" i="79" a="1"/>
  <c r="C148" i="79" s="1"/>
  <c r="AK147" i="79"/>
  <c r="AZ147" i="79" s="1"/>
  <c r="C147" i="79" a="1"/>
  <c r="C147" i="79" s="1"/>
  <c r="B147" i="79"/>
  <c r="AK146" i="79"/>
  <c r="AW146" i="79" s="1" a="1"/>
  <c r="AW146" i="79" s="1"/>
  <c r="C146" i="79" a="1"/>
  <c r="C146" i="79" s="1"/>
  <c r="B146" i="79"/>
  <c r="AK145" i="79"/>
  <c r="C145" i="79" a="1"/>
  <c r="C145" i="79" s="1"/>
  <c r="B145" i="79"/>
  <c r="AK144" i="79"/>
  <c r="AW144" i="79" s="1" a="1"/>
  <c r="AW144" i="79" s="1"/>
  <c r="C144" i="79" a="1"/>
  <c r="C144" i="79" s="1"/>
  <c r="B144" i="79"/>
  <c r="C143" i="79" a="1"/>
  <c r="C143" i="79" s="1"/>
  <c r="AK142" i="79"/>
  <c r="C142" i="79" a="1"/>
  <c r="C142" i="79" s="1"/>
  <c r="B142" i="79"/>
  <c r="C141" i="79" a="1"/>
  <c r="C141" i="79" s="1"/>
  <c r="AK140" i="79"/>
  <c r="AP140" i="79" s="1"/>
  <c r="C140" i="79" a="1"/>
  <c r="C140" i="79" s="1"/>
  <c r="B140" i="79"/>
  <c r="AK139" i="79"/>
  <c r="AV139" i="79" s="1"/>
  <c r="C139" i="79" a="1"/>
  <c r="C139" i="79" s="1"/>
  <c r="B139" i="79"/>
  <c r="AK138" i="79"/>
  <c r="AV138" i="79" s="1"/>
  <c r="C138" i="79" a="1"/>
  <c r="C138" i="79" s="1"/>
  <c r="B138" i="79"/>
  <c r="AK137" i="79"/>
  <c r="AM137" i="79" s="1"/>
  <c r="AU137" i="79" s="1"/>
  <c r="C137" i="79" a="1"/>
  <c r="C137" i="79" s="1"/>
  <c r="B137" i="79"/>
  <c r="AK136" i="79"/>
  <c r="BB136" i="79" s="1"/>
  <c r="C136" i="79" a="1"/>
  <c r="C136" i="79" s="1"/>
  <c r="B136" i="79"/>
  <c r="AK135" i="79"/>
  <c r="C135" i="79" a="1"/>
  <c r="C135" i="79" s="1"/>
  <c r="B135" i="79"/>
  <c r="AK134" i="79"/>
  <c r="AP134" i="79" s="1"/>
  <c r="C134" i="79" a="1"/>
  <c r="C134" i="79" s="1"/>
  <c r="B134" i="79"/>
  <c r="AK133" i="79"/>
  <c r="C133" i="79" a="1"/>
  <c r="C133" i="79" s="1"/>
  <c r="B133" i="79"/>
  <c r="AK132" i="79"/>
  <c r="C132" i="79" a="1"/>
  <c r="C132" i="79" s="1"/>
  <c r="B132" i="79"/>
  <c r="AK131" i="79"/>
  <c r="C131" i="79" a="1"/>
  <c r="C131" i="79" s="1"/>
  <c r="B131" i="79"/>
  <c r="AK130" i="79"/>
  <c r="C130" i="79" a="1"/>
  <c r="C130" i="79" s="1"/>
  <c r="B130" i="79"/>
  <c r="AK129" i="79"/>
  <c r="B129" i="79"/>
  <c r="C129" i="79" a="1"/>
  <c r="C129" i="79" s="1"/>
  <c r="C128" i="79" a="1"/>
  <c r="C128" i="79" s="1"/>
  <c r="AK127" i="79"/>
  <c r="C127" i="79" a="1"/>
  <c r="C127" i="79" s="1"/>
  <c r="B127" i="79"/>
  <c r="C126" i="79" a="1"/>
  <c r="C126" i="79" s="1"/>
  <c r="C125" i="79" a="1"/>
  <c r="C125" i="79" s="1"/>
  <c r="AK124" i="79"/>
  <c r="C124" i="79" a="1"/>
  <c r="C124" i="79" s="1"/>
  <c r="B124" i="79"/>
  <c r="C123" i="79" a="1"/>
  <c r="C123" i="79" s="1"/>
  <c r="AK122" i="79"/>
  <c r="C122" i="79" a="1"/>
  <c r="C122" i="79" s="1"/>
  <c r="B122" i="79"/>
  <c r="C121" i="79" a="1"/>
  <c r="C121" i="79" s="1"/>
  <c r="AK120" i="79"/>
  <c r="C120" i="79" a="1"/>
  <c r="C120" i="79" s="1"/>
  <c r="B120" i="79"/>
  <c r="AK119" i="79"/>
  <c r="AZ119" i="79" s="1"/>
  <c r="C119" i="79" a="1"/>
  <c r="C119" i="79" s="1"/>
  <c r="B119" i="79"/>
  <c r="AK118" i="79"/>
  <c r="C118" i="79" a="1"/>
  <c r="C118" i="79" s="1"/>
  <c r="B118" i="79"/>
  <c r="AK117" i="79"/>
  <c r="AW117" i="79" s="1" a="1"/>
  <c r="AW117" i="79" s="1"/>
  <c r="C117" i="79" a="1"/>
  <c r="C117" i="79" s="1"/>
  <c r="B117" i="79"/>
  <c r="AK116" i="79"/>
  <c r="AM116" i="79" s="1"/>
  <c r="AU116" i="79" s="1"/>
  <c r="C116" i="79" a="1"/>
  <c r="C116" i="79" s="1"/>
  <c r="B116" i="79"/>
  <c r="C115" i="79" a="1"/>
  <c r="C115" i="79" s="1"/>
  <c r="B115" i="79"/>
  <c r="AK114" i="79"/>
  <c r="AP114" i="79" s="1"/>
  <c r="C114" i="79" a="1"/>
  <c r="C114" i="79" s="1"/>
  <c r="B114" i="79"/>
  <c r="AK113" i="79"/>
  <c r="C113" i="79" a="1"/>
  <c r="C113" i="79" s="1"/>
  <c r="B113" i="79"/>
  <c r="AK112" i="79"/>
  <c r="AZ112" i="79" s="1"/>
  <c r="C112" i="79" a="1"/>
  <c r="C112" i="79" s="1"/>
  <c r="B112" i="79"/>
  <c r="AK111" i="79"/>
  <c r="AV111" i="79" s="1"/>
  <c r="C111" i="79" a="1"/>
  <c r="C111" i="79" s="1"/>
  <c r="B111" i="79"/>
  <c r="AK110" i="79"/>
  <c r="C110" i="79" a="1"/>
  <c r="C110" i="79" s="1"/>
  <c r="B110" i="79"/>
  <c r="AK109" i="79"/>
  <c r="C109" i="79" a="1"/>
  <c r="C109" i="79" s="1"/>
  <c r="B109" i="79"/>
  <c r="AK108" i="79"/>
  <c r="AV108" i="79" s="1"/>
  <c r="C108" i="79" a="1"/>
  <c r="C108" i="79" s="1"/>
  <c r="B108" i="79"/>
  <c r="AK107" i="79"/>
  <c r="C107" i="79" a="1"/>
  <c r="C107" i="79" s="1"/>
  <c r="B107" i="79"/>
  <c r="AK106" i="79"/>
  <c r="AM106" i="79" s="1"/>
  <c r="AU106" i="79" s="1"/>
  <c r="C106" i="79" a="1"/>
  <c r="C106" i="79" s="1"/>
  <c r="B106" i="79"/>
  <c r="AK105" i="79"/>
  <c r="C105" i="79" a="1"/>
  <c r="C105" i="79" s="1"/>
  <c r="B105" i="79"/>
  <c r="AK104" i="79"/>
  <c r="AW104" i="79" s="1" a="1"/>
  <c r="AW104" i="79" s="1"/>
  <c r="C104" i="79" a="1"/>
  <c r="C104" i="79" s="1"/>
  <c r="B104" i="79"/>
  <c r="AK103" i="79"/>
  <c r="BB103" i="79" s="1"/>
  <c r="C103" i="79" a="1"/>
  <c r="C103" i="79" s="1"/>
  <c r="B103" i="79"/>
  <c r="AK102" i="79"/>
  <c r="C102" i="79" a="1"/>
  <c r="C102" i="79" s="1"/>
  <c r="B102" i="79"/>
  <c r="AK101" i="79"/>
  <c r="B101" i="79"/>
  <c r="C101" i="79" a="1"/>
  <c r="C101" i="79" s="1"/>
  <c r="C100" i="79" a="1"/>
  <c r="C100" i="79" s="1"/>
  <c r="AK99" i="79"/>
  <c r="AV99" i="79" s="1"/>
  <c r="C99" i="79" a="1"/>
  <c r="C99" i="79" s="1"/>
  <c r="B99" i="79"/>
  <c r="C98" i="79" a="1"/>
  <c r="C98" i="79" s="1"/>
  <c r="AK97" i="79"/>
  <c r="AZ97" i="79" s="1"/>
  <c r="C97" i="79" a="1"/>
  <c r="C97" i="79" s="1"/>
  <c r="B97" i="79"/>
  <c r="C96" i="79" a="1"/>
  <c r="C96" i="79" s="1"/>
  <c r="AK95" i="79"/>
  <c r="C95" i="79" a="1"/>
  <c r="C95" i="79" s="1"/>
  <c r="B95" i="79"/>
  <c r="AK94" i="79"/>
  <c r="AZ94" i="79" s="1"/>
  <c r="B94" i="79"/>
  <c r="C94" i="79" a="1"/>
  <c r="C94" i="79" s="1"/>
  <c r="C93" i="79" a="1"/>
  <c r="C93" i="79" s="1"/>
  <c r="AK92" i="79"/>
  <c r="AP92" i="79" s="1"/>
  <c r="C92" i="79" a="1"/>
  <c r="C92" i="79" s="1"/>
  <c r="B92" i="79"/>
  <c r="AK91" i="79"/>
  <c r="BB91" i="79" s="1"/>
  <c r="C91" i="79" a="1"/>
  <c r="C91" i="79" s="1"/>
  <c r="B91" i="79"/>
  <c r="AK90" i="79"/>
  <c r="BB90" i="79" s="1"/>
  <c r="C90" i="79" a="1"/>
  <c r="C90" i="79" s="1"/>
  <c r="B90" i="79"/>
  <c r="AK89" i="79"/>
  <c r="C89" i="79" a="1"/>
  <c r="C89" i="79" s="1"/>
  <c r="B89" i="79"/>
  <c r="AK88" i="79"/>
  <c r="C88" i="79" a="1"/>
  <c r="C88" i="79" s="1"/>
  <c r="B88" i="79"/>
  <c r="AK87" i="79"/>
  <c r="BB87" i="79" s="1"/>
  <c r="C87" i="79" a="1"/>
  <c r="C87" i="79" s="1"/>
  <c r="B87" i="79"/>
  <c r="AK86" i="79"/>
  <c r="AP86" i="79" s="1"/>
  <c r="C86" i="79" a="1"/>
  <c r="C86" i="79" s="1"/>
  <c r="B86" i="79"/>
  <c r="AK85" i="79"/>
  <c r="C85" i="79" a="1"/>
  <c r="C85" i="79" s="1"/>
  <c r="B85" i="79"/>
  <c r="AK84" i="79"/>
  <c r="C84" i="79" a="1"/>
  <c r="C84" i="79" s="1"/>
  <c r="B84" i="79"/>
  <c r="AK83" i="79"/>
  <c r="B83" i="79"/>
  <c r="C83" i="79" a="1"/>
  <c r="C83" i="79" s="1"/>
  <c r="AK82" i="79"/>
  <c r="B82" i="79"/>
  <c r="C82" i="79" a="1"/>
  <c r="C82" i="79" s="1"/>
  <c r="AK81" i="79"/>
  <c r="C81" i="79" a="1"/>
  <c r="C81" i="79" s="1"/>
  <c r="B81" i="79"/>
  <c r="C80" i="79" a="1"/>
  <c r="C80" i="79" s="1"/>
  <c r="B79" i="79"/>
  <c r="C79" i="79" a="1"/>
  <c r="C79" i="79" s="1"/>
  <c r="C78" i="79" a="1"/>
  <c r="C78" i="79" s="1"/>
  <c r="AK77" i="79"/>
  <c r="C77" i="79" a="1"/>
  <c r="C77" i="79" s="1"/>
  <c r="B77" i="79"/>
  <c r="AK76" i="79"/>
  <c r="C76" i="79" a="1"/>
  <c r="C76" i="79" s="1"/>
  <c r="B76" i="79"/>
  <c r="AK75" i="79"/>
  <c r="B75" i="79"/>
  <c r="C75" i="79" a="1"/>
  <c r="C75" i="79" s="1"/>
  <c r="AK74" i="79"/>
  <c r="C74" i="79" a="1"/>
  <c r="C74" i="79" s="1"/>
  <c r="B74" i="79"/>
  <c r="AK73" i="79"/>
  <c r="C73" i="79" a="1"/>
  <c r="C73" i="79" s="1"/>
  <c r="B73" i="79"/>
  <c r="AK72" i="79"/>
  <c r="B72" i="79"/>
  <c r="C72" i="79" a="1"/>
  <c r="C72" i="79" s="1"/>
  <c r="AK71" i="79"/>
  <c r="C71" i="79" a="1"/>
  <c r="C71" i="79" s="1"/>
  <c r="B71" i="79"/>
  <c r="AK70" i="79"/>
  <c r="AM70" i="79" s="1"/>
  <c r="AU70" i="79" s="1"/>
  <c r="C70" i="79" a="1"/>
  <c r="C70" i="79" s="1"/>
  <c r="B70" i="79"/>
  <c r="AK69" i="79"/>
  <c r="AW69" i="79" s="1" a="1"/>
  <c r="AW69" i="79" s="1"/>
  <c r="C69" i="79" a="1"/>
  <c r="C69" i="79" s="1"/>
  <c r="B69" i="79"/>
  <c r="AK68" i="79"/>
  <c r="C68" i="79" a="1"/>
  <c r="C68" i="79" s="1"/>
  <c r="B68" i="79"/>
  <c r="DA67" i="79"/>
  <c r="CZ67" i="79"/>
  <c r="CY67" i="79"/>
  <c r="CX67" i="79"/>
  <c r="CW67" i="79"/>
  <c r="CV67" i="79"/>
  <c r="CU67" i="79"/>
  <c r="AK67" i="79"/>
  <c r="AP67" i="79" s="1"/>
  <c r="C67" i="79" a="1"/>
  <c r="C67" i="79" s="1"/>
  <c r="B67" i="79"/>
  <c r="CS66" i="79"/>
  <c r="CR66" i="79"/>
  <c r="CQ66" i="79"/>
  <c r="CP66" i="79"/>
  <c r="CO66" i="79"/>
  <c r="CN66" i="79"/>
  <c r="CM66" i="79"/>
  <c r="CK66" i="79"/>
  <c r="CJ66" i="79"/>
  <c r="CI66" i="79"/>
  <c r="CH66" i="79"/>
  <c r="CG66" i="79"/>
  <c r="CF66" i="79"/>
  <c r="CE66" i="79"/>
  <c r="C66" i="79" a="1"/>
  <c r="C66" i="79" s="1"/>
  <c r="B66" i="79"/>
  <c r="AK65" i="79"/>
  <c r="BB65" i="79" s="1"/>
  <c r="C65" i="79" a="1"/>
  <c r="C65" i="79" s="1"/>
  <c r="B65" i="79"/>
  <c r="AK64" i="79"/>
  <c r="AZ64" i="79" s="1"/>
  <c r="C64" i="79" a="1"/>
  <c r="C64" i="79" s="1"/>
  <c r="B64" i="79"/>
  <c r="AK63" i="79"/>
  <c r="C63" i="79" a="1"/>
  <c r="C63" i="79" s="1"/>
  <c r="B63" i="79"/>
  <c r="BM62" i="79"/>
  <c r="BP62" i="79" s="1"/>
  <c r="AK62" i="79"/>
  <c r="AW62" i="79" s="1" a="1"/>
  <c r="AW62" i="79" s="1"/>
  <c r="C62" i="79" a="1"/>
  <c r="C62" i="79" s="1"/>
  <c r="B62" i="79"/>
  <c r="BM61" i="79"/>
  <c r="BP61" i="79" s="1"/>
  <c r="AK61" i="79"/>
  <c r="C61" i="79" a="1"/>
  <c r="C61" i="79" s="1"/>
  <c r="B61" i="79"/>
  <c r="BM60" i="79"/>
  <c r="BP60" i="79" s="1"/>
  <c r="AK60" i="79"/>
  <c r="AO60" i="79" s="1"/>
  <c r="AQ60" i="79" s="1"/>
  <c r="C60" i="79" a="1"/>
  <c r="C60" i="79" s="1"/>
  <c r="B60" i="79"/>
  <c r="BM59" i="79"/>
  <c r="BP59" i="79" s="1"/>
  <c r="AK59" i="79"/>
  <c r="C59" i="79" a="1"/>
  <c r="C59" i="79" s="1"/>
  <c r="B59" i="79"/>
  <c r="BM58" i="79"/>
  <c r="BP58" i="79" s="1"/>
  <c r="AK58" i="79"/>
  <c r="C58" i="79" a="1"/>
  <c r="C58" i="79" s="1"/>
  <c r="B58" i="79"/>
  <c r="BM57" i="79"/>
  <c r="BP57" i="79" s="1"/>
  <c r="AK57" i="79"/>
  <c r="C57" i="79" a="1"/>
  <c r="C57" i="79" s="1"/>
  <c r="B57" i="79"/>
  <c r="BM56" i="79"/>
  <c r="BP56" i="79" s="1"/>
  <c r="AK56" i="79"/>
  <c r="C56" i="79" a="1"/>
  <c r="C56" i="79" s="1"/>
  <c r="B56" i="79"/>
  <c r="BM55" i="79"/>
  <c r="BP55" i="79" s="1"/>
  <c r="AK55" i="79"/>
  <c r="C55" i="79" a="1"/>
  <c r="C55" i="79" s="1"/>
  <c r="B55" i="79"/>
  <c r="BM54" i="79"/>
  <c r="BP54" i="79" s="1"/>
  <c r="AK54" i="79"/>
  <c r="AM54" i="79" s="1"/>
  <c r="AU54" i="79" s="1"/>
  <c r="C54" i="79" a="1"/>
  <c r="C54" i="79" s="1"/>
  <c r="B54" i="79"/>
  <c r="BM53" i="79"/>
  <c r="BP53" i="79" s="1"/>
  <c r="AK53" i="79"/>
  <c r="C53" i="79" a="1"/>
  <c r="C53" i="79" s="1"/>
  <c r="B53" i="79"/>
  <c r="BM52" i="79"/>
  <c r="BP52" i="79" s="1"/>
  <c r="C52" i="79" a="1"/>
  <c r="C52" i="79" s="1"/>
  <c r="BM51" i="79"/>
  <c r="BP51" i="79" s="1"/>
  <c r="C51" i="79" a="1"/>
  <c r="C51" i="79" s="1"/>
  <c r="BM50" i="79"/>
  <c r="BP50" i="79" s="1"/>
  <c r="AK50" i="79"/>
  <c r="AP50" i="79" s="1"/>
  <c r="B50" i="79"/>
  <c r="C50" i="79" a="1"/>
  <c r="C50" i="79" s="1"/>
  <c r="BM49" i="79"/>
  <c r="BP49" i="79" s="1"/>
  <c r="AK49" i="79"/>
  <c r="B49" i="79"/>
  <c r="C49" i="79" a="1"/>
  <c r="C49" i="79" s="1"/>
  <c r="BM48" i="79"/>
  <c r="BP48" i="79" s="1"/>
  <c r="AK48" i="79"/>
  <c r="B48" i="79"/>
  <c r="C48" i="79" a="1"/>
  <c r="C48" i="79" s="1"/>
  <c r="BM47" i="79"/>
  <c r="BP47" i="79" s="1"/>
  <c r="AK47" i="79"/>
  <c r="C47" i="79" a="1"/>
  <c r="C47" i="79" s="1"/>
  <c r="B47" i="79"/>
  <c r="BM46" i="79"/>
  <c r="BP46" i="79" s="1"/>
  <c r="AK46" i="79"/>
  <c r="AP46" i="79" s="1"/>
  <c r="C46" i="79" a="1"/>
  <c r="C46" i="79" s="1"/>
  <c r="B46" i="79"/>
  <c r="BM45" i="79"/>
  <c r="BP45" i="79" s="1"/>
  <c r="AK45" i="79"/>
  <c r="AM45" i="79" s="1"/>
  <c r="AU45" i="79" s="1"/>
  <c r="B45" i="79"/>
  <c r="C45" i="79" a="1"/>
  <c r="C45" i="79" s="1"/>
  <c r="BM44" i="79"/>
  <c r="BP44" i="79" s="1"/>
  <c r="AK44" i="79"/>
  <c r="AO44" i="79" s="1"/>
  <c r="AQ44" i="79" s="1"/>
  <c r="C44" i="79" a="1"/>
  <c r="C44" i="79" s="1"/>
  <c r="B44" i="79"/>
  <c r="BM43" i="79"/>
  <c r="BP43" i="79" s="1"/>
  <c r="B43" i="79"/>
  <c r="C43" i="79" a="1"/>
  <c r="C43" i="79" s="1"/>
  <c r="BM42" i="79"/>
  <c r="BP42" i="79" s="1"/>
  <c r="AK42" i="79"/>
  <c r="AV42" i="79" s="1"/>
  <c r="C42" i="79" a="1"/>
  <c r="C42" i="79" s="1"/>
  <c r="B42" i="79"/>
  <c r="BM41" i="79"/>
  <c r="BP41" i="79" s="1"/>
  <c r="AK41" i="79"/>
  <c r="AP41" i="79" s="1"/>
  <c r="C41" i="79" a="1"/>
  <c r="C41" i="79" s="1"/>
  <c r="B41" i="79"/>
  <c r="BM40" i="79"/>
  <c r="BP40" i="79" s="1"/>
  <c r="AK40" i="79"/>
  <c r="AZ40" i="79" s="1"/>
  <c r="C40" i="79" a="1"/>
  <c r="C40" i="79" s="1"/>
  <c r="B40" i="79"/>
  <c r="BM39" i="79"/>
  <c r="BP39" i="79" s="1"/>
  <c r="AK39" i="79"/>
  <c r="C39" i="79" a="1"/>
  <c r="C39" i="79" s="1"/>
  <c r="B39" i="79"/>
  <c r="BM38" i="79"/>
  <c r="BP38" i="79" s="1"/>
  <c r="AK38" i="79"/>
  <c r="C38" i="79" a="1"/>
  <c r="C38" i="79" s="1"/>
  <c r="B38" i="79"/>
  <c r="BM37" i="79"/>
  <c r="BP37" i="79" s="1"/>
  <c r="AK37" i="79"/>
  <c r="C37" i="79" a="1"/>
  <c r="C37" i="79" s="1"/>
  <c r="B37" i="79"/>
  <c r="BM36" i="79"/>
  <c r="BP36" i="79" s="1"/>
  <c r="AK36" i="79"/>
  <c r="C36" i="79" a="1"/>
  <c r="C36" i="79" s="1"/>
  <c r="B36" i="79"/>
  <c r="BM35" i="79"/>
  <c r="BP35" i="79" s="1"/>
  <c r="AK35" i="79"/>
  <c r="C35" i="79" a="1"/>
  <c r="C35" i="79" s="1"/>
  <c r="B35" i="79"/>
  <c r="BM34" i="79"/>
  <c r="BP34" i="79" s="1"/>
  <c r="AK34" i="79"/>
  <c r="C34" i="79" a="1"/>
  <c r="C34" i="79" s="1"/>
  <c r="B34" i="79"/>
  <c r="BM33" i="79"/>
  <c r="BP33" i="79" s="1"/>
  <c r="AK33" i="79"/>
  <c r="C33" i="79" a="1"/>
  <c r="C33" i="79" s="1"/>
  <c r="B33" i="79"/>
  <c r="BM32" i="79"/>
  <c r="BP32" i="79" s="1"/>
  <c r="C32" i="79" a="1"/>
  <c r="C32" i="79" s="1"/>
  <c r="BM31" i="79"/>
  <c r="BP31" i="79" s="1"/>
  <c r="AK31" i="79"/>
  <c r="AV31" i="79" s="1"/>
  <c r="C31" i="79" a="1"/>
  <c r="C31" i="79" s="1"/>
  <c r="B31" i="79"/>
  <c r="BM30" i="79"/>
  <c r="BP30" i="79" s="1"/>
  <c r="AK30" i="79"/>
  <c r="BB30" i="79" s="1"/>
  <c r="B30" i="79"/>
  <c r="C30" i="79" a="1"/>
  <c r="C30" i="79" s="1"/>
  <c r="BM29" i="79"/>
  <c r="BP29" i="79" s="1"/>
  <c r="AK29" i="79"/>
  <c r="C29" i="79" a="1"/>
  <c r="C29" i="79" s="1"/>
  <c r="B29" i="79"/>
  <c r="BM28" i="79"/>
  <c r="BP28" i="79" s="1"/>
  <c r="AK28" i="79"/>
  <c r="C28" i="79" a="1"/>
  <c r="C28" i="79" s="1"/>
  <c r="B28" i="79"/>
  <c r="BM27" i="79"/>
  <c r="BP27" i="79" s="1"/>
  <c r="B27" i="79"/>
  <c r="C27" i="79" a="1"/>
  <c r="C27" i="79" s="1"/>
  <c r="BP26" i="79"/>
  <c r="AK26" i="79"/>
  <c r="B26" i="79"/>
  <c r="C26" i="79" a="1"/>
  <c r="C26" i="79" s="1"/>
  <c r="AK25" i="79"/>
  <c r="B25" i="79"/>
  <c r="C25" i="79" a="1"/>
  <c r="C25" i="79" s="1"/>
  <c r="BP24" i="79"/>
  <c r="AK24" i="79"/>
  <c r="C24" i="79" a="1"/>
  <c r="C24" i="79" s="1"/>
  <c r="B24" i="79"/>
  <c r="BP23" i="79"/>
  <c r="AK23" i="79"/>
  <c r="C23" i="79" a="1"/>
  <c r="C23" i="79" s="1"/>
  <c r="BM22" i="79"/>
  <c r="BP22" i="79" s="1"/>
  <c r="AK22" i="79"/>
  <c r="C22" i="79" a="1"/>
  <c r="C22" i="79" s="1"/>
  <c r="B22" i="79"/>
  <c r="BX21" i="79"/>
  <c r="BM21" i="79"/>
  <c r="BP21" i="79" s="1"/>
  <c r="BH21" i="79"/>
  <c r="BG21" i="79"/>
  <c r="C21" i="79" a="1"/>
  <c r="C21" i="79" s="1"/>
  <c r="B21" i="79"/>
  <c r="BX20" i="79"/>
  <c r="BM20" i="79"/>
  <c r="BP20" i="79" s="1"/>
  <c r="BH20" i="79"/>
  <c r="BG20" i="79" s="1"/>
  <c r="C20" i="79" a="1"/>
  <c r="C20" i="79" s="1"/>
  <c r="B20" i="79"/>
  <c r="BX19" i="79"/>
  <c r="BM19" i="79"/>
  <c r="BP19" i="79" s="1"/>
  <c r="C19" i="79" a="1"/>
  <c r="C19" i="79" s="1"/>
  <c r="B19" i="79"/>
  <c r="BX18" i="79"/>
  <c r="BM18" i="79"/>
  <c r="BP18" i="79" s="1"/>
  <c r="BH18" i="79"/>
  <c r="BG18" i="79"/>
  <c r="BE18" i="79"/>
  <c r="BD18" i="79"/>
  <c r="BC18" i="79"/>
  <c r="BB18" i="79"/>
  <c r="BA18" i="79"/>
  <c r="AZ18" i="79"/>
  <c r="AY18" i="79"/>
  <c r="AX18" i="79"/>
  <c r="AW18" i="79"/>
  <c r="AV18" i="79"/>
  <c r="AU18" i="79"/>
  <c r="AT18" i="79"/>
  <c r="AS18" i="79"/>
  <c r="AR18" i="79"/>
  <c r="AQ18" i="79"/>
  <c r="AP18" i="79"/>
  <c r="AO18" i="79"/>
  <c r="AN18" i="79"/>
  <c r="AM18" i="79"/>
  <c r="AL18" i="79"/>
  <c r="AK18" i="79"/>
  <c r="AJ18" i="79"/>
  <c r="AI18" i="79"/>
  <c r="AH18" i="79"/>
  <c r="AG18" i="79"/>
  <c r="C18" i="79" a="1"/>
  <c r="C18" i="79" s="1"/>
  <c r="B18" i="79"/>
  <c r="BX17" i="79"/>
  <c r="BP17" i="79"/>
  <c r="C17" i="79" a="1"/>
  <c r="C17" i="79" s="1"/>
  <c r="B17" i="79"/>
  <c r="BX16" i="79"/>
  <c r="BP16" i="79"/>
  <c r="C16" i="79" a="1"/>
  <c r="C16" i="79" s="1"/>
  <c r="B16" i="79"/>
  <c r="BX15" i="79"/>
  <c r="BP15" i="79"/>
  <c r="C15" i="79" a="1"/>
  <c r="C15" i="79" s="1"/>
  <c r="B15" i="79"/>
  <c r="BX14" i="79"/>
  <c r="BQ14" i="79"/>
  <c r="BP14" i="79"/>
  <c r="BO14" i="79"/>
  <c r="BN14" i="79"/>
  <c r="BM14" i="79"/>
  <c r="BL14" i="79"/>
  <c r="BK14" i="79"/>
  <c r="BJ14" i="79"/>
  <c r="C14" i="79" a="1"/>
  <c r="C14" i="79" s="1"/>
  <c r="B14" i="79"/>
  <c r="BX13" i="79"/>
  <c r="B13" i="79"/>
  <c r="BX12" i="79"/>
  <c r="B12" i="79"/>
  <c r="BX11" i="79"/>
  <c r="B11" i="79"/>
  <c r="BX10" i="79"/>
  <c r="J10" i="79"/>
  <c r="I10" i="79"/>
  <c r="H10" i="79"/>
  <c r="G10" i="79"/>
  <c r="F10" i="79"/>
  <c r="E10" i="79"/>
  <c r="D10" i="79"/>
  <c r="C10" i="79"/>
  <c r="B10" i="79"/>
  <c r="BX9" i="79"/>
  <c r="B9" i="79"/>
  <c r="BX8" i="79"/>
  <c r="B8" i="79"/>
  <c r="BX7" i="79"/>
  <c r="B7" i="79"/>
  <c r="BX6" i="79"/>
  <c r="B6" i="79"/>
  <c r="CA5" i="79"/>
  <c r="BX5" i="79"/>
  <c r="BD5" i="79"/>
  <c r="B5" i="79"/>
  <c r="B4" i="79"/>
  <c r="DA3" i="79"/>
  <c r="DA2" i="79"/>
  <c r="CZ2" i="79"/>
  <c r="CY2" i="79"/>
  <c r="CX2" i="79"/>
  <c r="CW2" i="79"/>
  <c r="CV2" i="79"/>
  <c r="CU2" i="79"/>
  <c r="CS2" i="79"/>
  <c r="CR2" i="79"/>
  <c r="CQ2" i="79"/>
  <c r="CP2" i="79"/>
  <c r="CO2" i="79"/>
  <c r="CN2" i="79"/>
  <c r="CM2" i="79"/>
  <c r="CK2" i="79"/>
  <c r="CJ2" i="79"/>
  <c r="CI2" i="79"/>
  <c r="CH2" i="79"/>
  <c r="CG2" i="79"/>
  <c r="CF2" i="79"/>
  <c r="CE2" i="79"/>
  <c r="CC2" i="79"/>
  <c r="CB2" i="79"/>
  <c r="CA2" i="79"/>
  <c r="BZ2" i="79"/>
  <c r="BY2" i="79"/>
  <c r="BX2" i="79"/>
  <c r="BQ2" i="79"/>
  <c r="BP2" i="79"/>
  <c r="BO2" i="79"/>
  <c r="BN2" i="79"/>
  <c r="BM2" i="79"/>
  <c r="BJ2" i="79"/>
  <c r="BI2" i="79"/>
  <c r="BH2" i="79"/>
  <c r="BE2" i="79"/>
  <c r="BD2" i="79"/>
  <c r="BC2" i="79"/>
  <c r="BB2" i="79"/>
  <c r="BA2" i="79"/>
  <c r="AZ2" i="79"/>
  <c r="AY2" i="79"/>
  <c r="AX2" i="79"/>
  <c r="AW2" i="79"/>
  <c r="AV2" i="79"/>
  <c r="AU2" i="79"/>
  <c r="AT2" i="79"/>
  <c r="AS2" i="79"/>
  <c r="AR2" i="79"/>
  <c r="AQ2" i="79"/>
  <c r="AP2" i="79"/>
  <c r="AO2" i="79"/>
  <c r="AN2" i="79"/>
  <c r="AM2" i="79"/>
  <c r="AL2" i="79"/>
  <c r="AK2" i="79"/>
  <c r="AJ2" i="79"/>
  <c r="AI2" i="79"/>
  <c r="AH2" i="79"/>
  <c r="AG2" i="79"/>
  <c r="AF2" i="79"/>
  <c r="K2" i="79"/>
  <c r="J2" i="79"/>
  <c r="I2" i="79"/>
  <c r="H2" i="79"/>
  <c r="G2" i="79"/>
  <c r="F2" i="79"/>
  <c r="E2" i="79"/>
  <c r="D2" i="79"/>
  <c r="C2" i="79"/>
  <c r="B2" i="79"/>
  <c r="DE1" i="79"/>
  <c r="DD1" i="79"/>
  <c r="DA1" i="79"/>
  <c r="CZ1" i="79"/>
  <c r="CY1" i="79"/>
  <c r="CX1" i="79"/>
  <c r="CW1" i="79"/>
  <c r="CV1" i="79"/>
  <c r="CU1" i="79"/>
  <c r="CS1" i="79"/>
  <c r="CR1" i="79"/>
  <c r="CQ1" i="79"/>
  <c r="CP1" i="79"/>
  <c r="CO1" i="79"/>
  <c r="CN1" i="79"/>
  <c r="CM1" i="79"/>
  <c r="CK1" i="79"/>
  <c r="CJ1" i="79"/>
  <c r="CI1" i="79"/>
  <c r="CH1" i="79"/>
  <c r="CG1" i="79"/>
  <c r="CF1" i="79"/>
  <c r="CE1" i="79"/>
  <c r="CC1" i="79"/>
  <c r="CB1" i="79"/>
  <c r="CA1" i="79"/>
  <c r="BZ1" i="79"/>
  <c r="BY1" i="79"/>
  <c r="BX1" i="79"/>
  <c r="BQ1" i="79"/>
  <c r="BP1" i="79"/>
  <c r="BO1" i="79"/>
  <c r="BN1" i="79"/>
  <c r="BM1" i="79"/>
  <c r="BJ1" i="79"/>
  <c r="BI1" i="79"/>
  <c r="BH1" i="79"/>
  <c r="BE1" i="79"/>
  <c r="BD1" i="79"/>
  <c r="BC1" i="79"/>
  <c r="BB1" i="79"/>
  <c r="BA1" i="79"/>
  <c r="AZ1" i="79"/>
  <c r="AY1" i="79"/>
  <c r="AX1" i="79"/>
  <c r="AW1" i="79"/>
  <c r="AV1" i="79"/>
  <c r="AU1" i="79"/>
  <c r="AT1" i="79"/>
  <c r="AS1" i="79"/>
  <c r="AR1" i="79"/>
  <c r="AQ1" i="79"/>
  <c r="AP1" i="79"/>
  <c r="AO1" i="79"/>
  <c r="AN1" i="79"/>
  <c r="AM1" i="79"/>
  <c r="AL1" i="79"/>
  <c r="AK1" i="79"/>
  <c r="AJ1" i="79"/>
  <c r="AI1" i="79"/>
  <c r="AH1" i="79"/>
  <c r="AG1" i="79"/>
  <c r="AF1" i="79"/>
  <c r="AD1" i="79"/>
  <c r="AC1" i="79"/>
  <c r="AB1" i="79"/>
  <c r="AA1" i="79"/>
  <c r="Z1" i="79"/>
  <c r="Y1" i="79"/>
  <c r="W1" i="79"/>
  <c r="V1" i="79"/>
  <c r="U1" i="79"/>
  <c r="T1" i="79"/>
  <c r="S1" i="79"/>
  <c r="R1" i="79"/>
  <c r="Q1" i="79"/>
  <c r="P1" i="79"/>
  <c r="O1" i="79"/>
  <c r="N1" i="79"/>
  <c r="M1" i="79"/>
  <c r="L1" i="79"/>
  <c r="K1" i="79"/>
  <c r="J1" i="79"/>
  <c r="I1" i="79"/>
  <c r="H1" i="79"/>
  <c r="G1" i="79"/>
  <c r="F1" i="79"/>
  <c r="E1" i="79"/>
  <c r="D1" i="79"/>
  <c r="C1" i="79"/>
  <c r="B1" i="79"/>
  <c r="A1" i="79"/>
  <c r="AG150" i="78"/>
  <c r="AE150" i="78"/>
  <c r="AC3" i="78" s="1"/>
  <c r="AF7" i="78"/>
  <c r="AF6" i="78"/>
  <c r="P3" i="78"/>
  <c r="AD2" i="78"/>
  <c r="AC2" i="78"/>
  <c r="AB2" i="78"/>
  <c r="AA2" i="78"/>
  <c r="Z2" i="78"/>
  <c r="Y2" i="78"/>
  <c r="X2" i="78"/>
  <c r="W2" i="78"/>
  <c r="V2" i="78"/>
  <c r="U2" i="78"/>
  <c r="T2" i="78"/>
  <c r="S2" i="78"/>
  <c r="R2" i="78"/>
  <c r="Q2" i="78"/>
  <c r="P2" i="78"/>
  <c r="O2" i="78"/>
  <c r="N2" i="78"/>
  <c r="L2" i="78"/>
  <c r="K2" i="78"/>
  <c r="J2" i="78"/>
  <c r="H2" i="78"/>
  <c r="G2" i="78"/>
  <c r="F2" i="78"/>
  <c r="D2" i="78"/>
  <c r="C2" i="78"/>
  <c r="B2" i="78"/>
  <c r="AG1" i="78"/>
  <c r="AF1" i="78"/>
  <c r="AD1" i="78"/>
  <c r="AC1" i="78"/>
  <c r="AB1" i="78"/>
  <c r="AA1" i="78"/>
  <c r="Z1" i="78"/>
  <c r="Y1" i="78"/>
  <c r="X1" i="78"/>
  <c r="W1" i="78"/>
  <c r="V1" i="78"/>
  <c r="U1" i="78"/>
  <c r="T1" i="78"/>
  <c r="S1" i="78"/>
  <c r="R1" i="78"/>
  <c r="Q1" i="78"/>
  <c r="P1" i="78"/>
  <c r="O1" i="78"/>
  <c r="N1" i="78"/>
  <c r="L1" i="78"/>
  <c r="K1" i="78"/>
  <c r="J1" i="78"/>
  <c r="H1" i="78"/>
  <c r="G1" i="78"/>
  <c r="F1" i="78"/>
  <c r="D1" i="78"/>
  <c r="C1" i="78"/>
  <c r="B1" i="78"/>
  <c r="A1" i="78"/>
  <c r="M322" i="82" l="1"/>
  <c r="M299" i="82"/>
  <c r="M290" i="82"/>
  <c r="M300" i="82"/>
  <c r="M316" i="82"/>
  <c r="M303" i="82"/>
  <c r="M286" i="82"/>
  <c r="M285" i="82"/>
  <c r="M289" i="82"/>
  <c r="M304" i="82" s="1"/>
  <c r="M328" i="82" s="1"/>
  <c r="M323" i="82"/>
  <c r="M296" i="82"/>
  <c r="M310" i="82"/>
  <c r="M305" i="82"/>
  <c r="M293" i="82"/>
  <c r="M302" i="82"/>
  <c r="M308" i="82"/>
  <c r="M318" i="82"/>
  <c r="M319" i="82"/>
  <c r="M315" i="82"/>
  <c r="M283" i="82"/>
  <c r="M326" i="82"/>
  <c r="M313" i="82"/>
  <c r="M311" i="82"/>
  <c r="M301" i="82"/>
  <c r="M314" i="82"/>
  <c r="M282" i="82"/>
  <c r="M325" i="82"/>
  <c r="M284" i="82"/>
  <c r="M312" i="82"/>
  <c r="M324" i="82"/>
  <c r="M287" i="82"/>
  <c r="M307" i="82"/>
  <c r="M306" i="82"/>
  <c r="M294" i="82"/>
  <c r="M295" i="82"/>
  <c r="M297" i="82"/>
  <c r="M291" i="82"/>
  <c r="M292" i="82"/>
  <c r="M321" i="82"/>
  <c r="M320" i="82"/>
  <c r="M309" i="82"/>
  <c r="M298" i="82"/>
  <c r="M317" i="82"/>
  <c r="M80" i="82"/>
  <c r="M57" i="82"/>
  <c r="M70" i="82"/>
  <c r="M61" i="82"/>
  <c r="M78" i="82"/>
  <c r="M65" i="82"/>
  <c r="M66" i="82"/>
  <c r="M69" i="82"/>
  <c r="M54" i="82"/>
  <c r="M39" i="82"/>
  <c r="M42" i="82"/>
  <c r="M79" i="82"/>
  <c r="M73" i="82"/>
  <c r="M56" i="82"/>
  <c r="M58" i="82"/>
  <c r="M82" i="82"/>
  <c r="M72" i="82"/>
  <c r="M74" i="82"/>
  <c r="M41" i="82"/>
  <c r="M60" i="82"/>
  <c r="M49" i="82"/>
  <c r="M53" i="82"/>
  <c r="M52" i="82"/>
  <c r="M167" i="82"/>
  <c r="M71" i="82"/>
  <c r="M48" i="82"/>
  <c r="M45" i="82"/>
  <c r="M76" i="82"/>
  <c r="M40" i="82"/>
  <c r="M38" i="82"/>
  <c r="M77" i="82"/>
  <c r="M112" i="82"/>
  <c r="M102" i="82"/>
  <c r="M37" i="82"/>
  <c r="M63" i="82"/>
  <c r="M114" i="82"/>
  <c r="M44" i="82"/>
  <c r="M59" i="82" s="1"/>
  <c r="M83" i="82" s="1"/>
  <c r="M101" i="82"/>
  <c r="M64" i="82"/>
  <c r="M62" i="82"/>
  <c r="M47" i="82"/>
  <c r="M51" i="82"/>
  <c r="M55" i="82"/>
  <c r="M81" i="82"/>
  <c r="M67" i="82"/>
  <c r="M94" i="82"/>
  <c r="M75" i="82"/>
  <c r="M68" i="82"/>
  <c r="M46" i="82"/>
  <c r="M96" i="82"/>
  <c r="M123" i="82"/>
  <c r="M118" i="82"/>
  <c r="M107" i="82"/>
  <c r="M176" i="82"/>
  <c r="M173" i="82"/>
  <c r="M153" i="82"/>
  <c r="M162" i="82"/>
  <c r="M171" i="82"/>
  <c r="M165" i="82"/>
  <c r="M146" i="82"/>
  <c r="M160" i="82"/>
  <c r="M180" i="82"/>
  <c r="M169" i="82"/>
  <c r="M178" i="82"/>
  <c r="M172" i="82"/>
  <c r="M137" i="82"/>
  <c r="M175" i="82"/>
  <c r="M161" i="82"/>
  <c r="M168" i="82"/>
  <c r="M151" i="82"/>
  <c r="M135" i="82"/>
  <c r="M158" i="82"/>
  <c r="M170" i="82"/>
  <c r="M138" i="82"/>
  <c r="M149" i="82"/>
  <c r="M179" i="82"/>
  <c r="M150" i="82"/>
  <c r="M166" i="82"/>
  <c r="M148" i="82"/>
  <c r="M152" i="82"/>
  <c r="M140" i="82"/>
  <c r="M155" i="82"/>
  <c r="M139" i="82"/>
  <c r="M144" i="82"/>
  <c r="M143" i="82"/>
  <c r="M159" i="82"/>
  <c r="M156" i="82"/>
  <c r="M142" i="82"/>
  <c r="M157" i="82" s="1"/>
  <c r="M181" i="82" s="1"/>
  <c r="M163" i="82"/>
  <c r="M145" i="82"/>
  <c r="M174" i="82"/>
  <c r="M136" i="82"/>
  <c r="M147" i="82"/>
  <c r="M164" i="82"/>
  <c r="M154" i="82"/>
  <c r="M109" i="82"/>
  <c r="M126" i="82"/>
  <c r="M115" i="82"/>
  <c r="M95" i="82"/>
  <c r="M106" i="82"/>
  <c r="M129" i="82"/>
  <c r="R85" i="82"/>
  <c r="M128" i="82"/>
  <c r="M89" i="82"/>
  <c r="M99" i="82"/>
  <c r="M86" i="82"/>
  <c r="M97" i="82"/>
  <c r="M103" i="82"/>
  <c r="M117" i="82"/>
  <c r="M91" i="82"/>
  <c r="M105" i="82"/>
  <c r="M104" i="82"/>
  <c r="M100" i="82"/>
  <c r="M121" i="82"/>
  <c r="M119" i="82"/>
  <c r="M93" i="82"/>
  <c r="M108" i="82" s="1"/>
  <c r="M132" i="82" s="1"/>
  <c r="M130" i="82"/>
  <c r="M111" i="82"/>
  <c r="M125" i="82"/>
  <c r="M113" i="82"/>
  <c r="M122" i="82"/>
  <c r="M120" i="82"/>
  <c r="M90" i="82"/>
  <c r="M88" i="82"/>
  <c r="M110" i="82"/>
  <c r="M116" i="82"/>
  <c r="AP306" i="82"/>
  <c r="AA306" i="82"/>
  <c r="M124" i="82"/>
  <c r="M127" i="82"/>
  <c r="M131" i="82"/>
  <c r="AP257" i="82"/>
  <c r="M87" i="82"/>
  <c r="AD204" i="82"/>
  <c r="AC204" i="82" s="1"/>
  <c r="AW204" i="82" s="1"/>
  <c r="AD201" i="82"/>
  <c r="AC201" i="82" s="1"/>
  <c r="AW201" i="82" s="1"/>
  <c r="AD196" i="82"/>
  <c r="AC196" i="82" s="1"/>
  <c r="AW196" i="82" s="1"/>
  <c r="AD197" i="82"/>
  <c r="AC197" i="82" s="1"/>
  <c r="AW197" i="82" s="1"/>
  <c r="W208" i="82"/>
  <c r="AD200" i="82"/>
  <c r="AC200" i="82" s="1"/>
  <c r="AW200" i="82" s="1"/>
  <c r="AD207" i="82"/>
  <c r="AC207" i="82" s="1"/>
  <c r="AW207" i="82" s="1"/>
  <c r="AD195" i="82"/>
  <c r="AC195" i="82" s="1"/>
  <c r="AW195" i="82" s="1"/>
  <c r="AD206" i="82"/>
  <c r="AC206" i="82" s="1"/>
  <c r="AW206" i="82" s="1"/>
  <c r="AD194" i="82"/>
  <c r="AD205" i="82"/>
  <c r="AC205" i="82" s="1"/>
  <c r="AW205" i="82" s="1"/>
  <c r="AD198" i="82"/>
  <c r="AC198" i="82" s="1"/>
  <c r="AW198" i="82" s="1"/>
  <c r="AD199" i="82"/>
  <c r="AC199" i="82" s="1"/>
  <c r="AW199" i="82" s="1"/>
  <c r="V25" i="82"/>
  <c r="AD203" i="82"/>
  <c r="AC203" i="82" s="1"/>
  <c r="AW203" i="82" s="1"/>
  <c r="AD202" i="82"/>
  <c r="AC202" i="82" s="1"/>
  <c r="AW202" i="82" s="1"/>
  <c r="M229" i="82"/>
  <c r="M222" i="82"/>
  <c r="M209" i="82"/>
  <c r="M194" i="82"/>
  <c r="M192" i="82"/>
  <c r="M226" i="82"/>
  <c r="M223" i="82"/>
  <c r="M213" i="82"/>
  <c r="M218" i="82"/>
  <c r="M211" i="82"/>
  <c r="M208" i="82"/>
  <c r="M195" i="82"/>
  <c r="M189" i="82"/>
  <c r="M205" i="82"/>
  <c r="M200" i="82"/>
  <c r="M215" i="82"/>
  <c r="M185" i="82"/>
  <c r="M187" i="82"/>
  <c r="M204" i="82"/>
  <c r="M199" i="82"/>
  <c r="M228" i="82"/>
  <c r="M225" i="82"/>
  <c r="M221" i="82"/>
  <c r="M219" i="82"/>
  <c r="M203" i="82"/>
  <c r="M193" i="82"/>
  <c r="M217" i="82"/>
  <c r="M198" i="82"/>
  <c r="M191" i="82"/>
  <c r="M206" i="82" s="1"/>
  <c r="M230" i="82" s="1"/>
  <c r="M188" i="82"/>
  <c r="M216" i="82"/>
  <c r="M202" i="82"/>
  <c r="M201" i="82"/>
  <c r="M196" i="82"/>
  <c r="M224" i="82"/>
  <c r="M227" i="82"/>
  <c r="M207" i="82"/>
  <c r="M220" i="82"/>
  <c r="M214" i="82"/>
  <c r="M210" i="82"/>
  <c r="M197" i="82"/>
  <c r="M184" i="82"/>
  <c r="M212" i="82"/>
  <c r="M186" i="82"/>
  <c r="M264" i="82"/>
  <c r="M244" i="82"/>
  <c r="M240" i="82"/>
  <c r="M255" i="82" s="1"/>
  <c r="M279" i="82" s="1"/>
  <c r="M270" i="82"/>
  <c r="M262" i="82"/>
  <c r="M278" i="82"/>
  <c r="M275" i="82"/>
  <c r="M261" i="82"/>
  <c r="M263" i="82"/>
  <c r="M254" i="82"/>
  <c r="M248" i="82"/>
  <c r="M234" i="82"/>
  <c r="M268" i="82"/>
  <c r="M238" i="82"/>
  <c r="M266" i="82"/>
  <c r="M253" i="82"/>
  <c r="M241" i="82"/>
  <c r="M247" i="82"/>
  <c r="M273" i="82"/>
  <c r="M246" i="82"/>
  <c r="M260" i="82"/>
  <c r="M245" i="82"/>
  <c r="M236" i="82"/>
  <c r="M243" i="82"/>
  <c r="M258" i="82"/>
  <c r="M265" i="82"/>
  <c r="M274" i="82"/>
  <c r="M257" i="82"/>
  <c r="M272" i="82"/>
  <c r="M259" i="82"/>
  <c r="M242" i="82"/>
  <c r="M233" i="82"/>
  <c r="M256" i="82"/>
  <c r="M237" i="82"/>
  <c r="M235" i="82"/>
  <c r="M269" i="82"/>
  <c r="M250" i="82"/>
  <c r="M271" i="82"/>
  <c r="M276" i="82"/>
  <c r="M277" i="82"/>
  <c r="M267" i="82"/>
  <c r="M251" i="82"/>
  <c r="M249" i="82"/>
  <c r="M252" i="82"/>
  <c r="AD149" i="82"/>
  <c r="AC149" i="82" s="1"/>
  <c r="AW149" i="82" s="1"/>
  <c r="AD156" i="82"/>
  <c r="AC156" i="82" s="1"/>
  <c r="AW156" i="82" s="1"/>
  <c r="AD151" i="82"/>
  <c r="AC151" i="82" s="1"/>
  <c r="AW151" i="82" s="1"/>
  <c r="AD153" i="82"/>
  <c r="AC153" i="82" s="1"/>
  <c r="AW153" i="82" s="1"/>
  <c r="AD150" i="82"/>
  <c r="AC150" i="82" s="1"/>
  <c r="AW150" i="82" s="1"/>
  <c r="AD146" i="82"/>
  <c r="AC146" i="82" s="1"/>
  <c r="AW146" i="82" s="1"/>
  <c r="AD152" i="82"/>
  <c r="AC152" i="82" s="1"/>
  <c r="AW152" i="82" s="1"/>
  <c r="W159" i="82"/>
  <c r="AD157" i="82"/>
  <c r="AC157" i="82" s="1"/>
  <c r="AW157" i="82" s="1"/>
  <c r="AD147" i="82"/>
  <c r="AC147" i="82" s="1"/>
  <c r="AW147" i="82" s="1"/>
  <c r="AD145" i="82"/>
  <c r="V23" i="82"/>
  <c r="AD158" i="82"/>
  <c r="AC158" i="82" s="1"/>
  <c r="AW158" i="82" s="1"/>
  <c r="AD154" i="82"/>
  <c r="AC154" i="82" s="1"/>
  <c r="AW154" i="82" s="1"/>
  <c r="AD155" i="82"/>
  <c r="AC155" i="82" s="1"/>
  <c r="AW155" i="82" s="1"/>
  <c r="AD148" i="82"/>
  <c r="AC148" i="82" s="1"/>
  <c r="AW148" i="82" s="1"/>
  <c r="AD254" i="82"/>
  <c r="AC254" i="82" s="1"/>
  <c r="AW254" i="82" s="1"/>
  <c r="AK249" i="82"/>
  <c r="AD249" i="82"/>
  <c r="AC249" i="82" s="1"/>
  <c r="AW249" i="82" s="1"/>
  <c r="AK244" i="82"/>
  <c r="AK253" i="82"/>
  <c r="AK252" i="82"/>
  <c r="AD256" i="82"/>
  <c r="AC256" i="82" s="1"/>
  <c r="AW256" i="82" s="1"/>
  <c r="AK246" i="82"/>
  <c r="W257" i="82"/>
  <c r="AK255" i="82"/>
  <c r="AK243" i="82"/>
  <c r="AK256" i="82"/>
  <c r="AD246" i="82"/>
  <c r="AC246" i="82" s="1"/>
  <c r="AW246" i="82" s="1"/>
  <c r="AD251" i="82"/>
  <c r="AC251" i="82" s="1"/>
  <c r="AW251" i="82" s="1"/>
  <c r="AK250" i="82"/>
  <c r="AK245" i="82"/>
  <c r="V27" i="82"/>
  <c r="AK247" i="82"/>
  <c r="AD250" i="82"/>
  <c r="AC250" i="82" s="1"/>
  <c r="AW250" i="82" s="1"/>
  <c r="AK248" i="82"/>
  <c r="AD248" i="82"/>
  <c r="AC248" i="82" s="1"/>
  <c r="AW248" i="82" s="1"/>
  <c r="AD255" i="82"/>
  <c r="AC255" i="82" s="1"/>
  <c r="AW255" i="82" s="1"/>
  <c r="AK254" i="82"/>
  <c r="AD252" i="82"/>
  <c r="AC252" i="82" s="1"/>
  <c r="AW252" i="82" s="1"/>
  <c r="AD243" i="82"/>
  <c r="AK251" i="82"/>
  <c r="AD244" i="82"/>
  <c r="AC244" i="82" s="1"/>
  <c r="AW244" i="82" s="1"/>
  <c r="AD253" i="82"/>
  <c r="AC253" i="82" s="1"/>
  <c r="AW253" i="82" s="1"/>
  <c r="AD245" i="82"/>
  <c r="AC245" i="82" s="1"/>
  <c r="AW245" i="82" s="1"/>
  <c r="AD247" i="82"/>
  <c r="AC247" i="82" s="1"/>
  <c r="AW247" i="82" s="1"/>
  <c r="AR235" i="82"/>
  <c r="AD295" i="82"/>
  <c r="AC295" i="82" s="1"/>
  <c r="AW295" i="82" s="1"/>
  <c r="AK301" i="82"/>
  <c r="AD299" i="82"/>
  <c r="AC299" i="82" s="1"/>
  <c r="AW299" i="82" s="1"/>
  <c r="AK294" i="82"/>
  <c r="AK303" i="82"/>
  <c r="AD292" i="82"/>
  <c r="AR284" i="82"/>
  <c r="AK305" i="82"/>
  <c r="AD302" i="82"/>
  <c r="AC302" i="82" s="1"/>
  <c r="AW302" i="82" s="1"/>
  <c r="AD298" i="82"/>
  <c r="AC298" i="82" s="1"/>
  <c r="AW298" i="82" s="1"/>
  <c r="AK296" i="82"/>
  <c r="AD297" i="82"/>
  <c r="AC297" i="82" s="1"/>
  <c r="AW297" i="82" s="1"/>
  <c r="AK299" i="82"/>
  <c r="AK293" i="82"/>
  <c r="AD300" i="82"/>
  <c r="AC300" i="82" s="1"/>
  <c r="AW300" i="82" s="1"/>
  <c r="AK298" i="82"/>
  <c r="V29" i="82"/>
  <c r="AD305" i="82"/>
  <c r="AC305" i="82" s="1"/>
  <c r="AW305" i="82" s="1"/>
  <c r="AK304" i="82"/>
  <c r="AD293" i="82"/>
  <c r="AC293" i="82" s="1"/>
  <c r="AW293" i="82" s="1"/>
  <c r="AK292" i="82"/>
  <c r="W306" i="82"/>
  <c r="AD294" i="82"/>
  <c r="AC294" i="82" s="1"/>
  <c r="AW294" i="82" s="1"/>
  <c r="AK300" i="82"/>
  <c r="AD304" i="82"/>
  <c r="AC304" i="82" s="1"/>
  <c r="AW304" i="82" s="1"/>
  <c r="AD303" i="82"/>
  <c r="AC303" i="82" s="1"/>
  <c r="AW303" i="82" s="1"/>
  <c r="AK302" i="82"/>
  <c r="AK295" i="82"/>
  <c r="AD301" i="82"/>
  <c r="AC301" i="82" s="1"/>
  <c r="AW301" i="82" s="1"/>
  <c r="AK297" i="82"/>
  <c r="AD296" i="82"/>
  <c r="AC296" i="82" s="1"/>
  <c r="AW296" i="82" s="1"/>
  <c r="AA110" i="82"/>
  <c r="AB96" i="82"/>
  <c r="W61" i="82"/>
  <c r="AD60" i="82"/>
  <c r="AC60" i="82" s="1"/>
  <c r="AW60" i="82" s="1"/>
  <c r="AD54" i="82"/>
  <c r="AC54" i="82" s="1"/>
  <c r="AW54" i="82" s="1"/>
  <c r="AD51" i="82"/>
  <c r="AC51" i="82" s="1"/>
  <c r="AW51" i="82" s="1"/>
  <c r="AD57" i="82"/>
  <c r="AC57" i="82" s="1"/>
  <c r="AW57" i="82" s="1"/>
  <c r="AD48" i="82"/>
  <c r="AC48" i="82" s="1"/>
  <c r="AW48" i="82" s="1"/>
  <c r="AD56" i="82"/>
  <c r="AC56" i="82" s="1"/>
  <c r="AW56" i="82" s="1"/>
  <c r="AD49" i="82"/>
  <c r="AC49" i="82" s="1"/>
  <c r="AW49" i="82" s="1"/>
  <c r="AD53" i="82"/>
  <c r="AC53" i="82" s="1"/>
  <c r="AW53" i="82" s="1"/>
  <c r="AD50" i="82"/>
  <c r="AC50" i="82" s="1"/>
  <c r="AW50" i="82" s="1"/>
  <c r="AD59" i="82"/>
  <c r="AC59" i="82" s="1"/>
  <c r="AW59" i="82" s="1"/>
  <c r="AD55" i="82"/>
  <c r="AC55" i="82" s="1"/>
  <c r="AW55" i="82" s="1"/>
  <c r="AD52" i="82"/>
  <c r="AC52" i="82" s="1"/>
  <c r="AW52" i="82" s="1"/>
  <c r="AD47" i="82"/>
  <c r="V19" i="82"/>
  <c r="AD58" i="82"/>
  <c r="AC58" i="82" s="1"/>
  <c r="AW58" i="82" s="1"/>
  <c r="AA257" i="82"/>
  <c r="AB146" i="82"/>
  <c r="AA159" i="82"/>
  <c r="AA61" i="82"/>
  <c r="AB47" i="82"/>
  <c r="AA208" i="82"/>
  <c r="AB195" i="82"/>
  <c r="AD108" i="82"/>
  <c r="AC108" i="82" s="1"/>
  <c r="AW108" i="82" s="1"/>
  <c r="AD101" i="82"/>
  <c r="AC101" i="82" s="1"/>
  <c r="AW101" i="82" s="1"/>
  <c r="AD106" i="82"/>
  <c r="AC106" i="82" s="1"/>
  <c r="AW106" i="82" s="1"/>
  <c r="AD103" i="82"/>
  <c r="AC103" i="82" s="1"/>
  <c r="AW103" i="82" s="1"/>
  <c r="AD97" i="82"/>
  <c r="AC97" i="82" s="1"/>
  <c r="AW97" i="82" s="1"/>
  <c r="AD100" i="82"/>
  <c r="AC100" i="82" s="1"/>
  <c r="AW100" i="82" s="1"/>
  <c r="AD98" i="82"/>
  <c r="AC98" i="82" s="1"/>
  <c r="AW98" i="82" s="1"/>
  <c r="AD105" i="82"/>
  <c r="AC105" i="82" s="1"/>
  <c r="AW105" i="82" s="1"/>
  <c r="AD102" i="82"/>
  <c r="AC102" i="82" s="1"/>
  <c r="AW102" i="82" s="1"/>
  <c r="V21" i="82"/>
  <c r="AD107" i="82"/>
  <c r="AC107" i="82" s="1"/>
  <c r="AW107" i="82" s="1"/>
  <c r="W110" i="82"/>
  <c r="AD99" i="82"/>
  <c r="AC99" i="82" s="1"/>
  <c r="AW99" i="82" s="1"/>
  <c r="AD109" i="82"/>
  <c r="AC109" i="82" s="1"/>
  <c r="AW109" i="82" s="1"/>
  <c r="AD96" i="82"/>
  <c r="AD104" i="82"/>
  <c r="AC104" i="82" s="1"/>
  <c r="AW104" i="82" s="1"/>
  <c r="AP23" i="81"/>
  <c r="O63" i="81"/>
  <c r="O62" i="81"/>
  <c r="P63" i="81"/>
  <c r="P66" i="81"/>
  <c r="O67" i="81"/>
  <c r="O60" i="81"/>
  <c r="P67" i="81"/>
  <c r="P70" i="81"/>
  <c r="O71" i="81"/>
  <c r="O68" i="81"/>
  <c r="P69" i="81"/>
  <c r="O61" i="81"/>
  <c r="P68" i="81"/>
  <c r="O70" i="81"/>
  <c r="O65" i="81"/>
  <c r="O64" i="81"/>
  <c r="P58" i="81"/>
  <c r="O58" i="81"/>
  <c r="P65" i="81"/>
  <c r="O59" i="81"/>
  <c r="O66" i="81"/>
  <c r="O69" i="81"/>
  <c r="P59" i="81"/>
  <c r="I53" i="81"/>
  <c r="K53" i="81" s="1" a="1"/>
  <c r="K53" i="81" s="1"/>
  <c r="P61" i="81"/>
  <c r="P60" i="81"/>
  <c r="P62" i="81"/>
  <c r="P64" i="81"/>
  <c r="BG133" i="81"/>
  <c r="BG129" i="81"/>
  <c r="BG125" i="81"/>
  <c r="BG121" i="81"/>
  <c r="BG117" i="81"/>
  <c r="BG113" i="81"/>
  <c r="BG127" i="81"/>
  <c r="BH126" i="81"/>
  <c r="BG111" i="81"/>
  <c r="BA102" i="81"/>
  <c r="BC102" i="81" s="1" a="1"/>
  <c r="BC102" i="81" s="1"/>
  <c r="BH123" i="81"/>
  <c r="BH109" i="81"/>
  <c r="BG128" i="81"/>
  <c r="BG116" i="81"/>
  <c r="BG115" i="81"/>
  <c r="BH117" i="81"/>
  <c r="BH132" i="81"/>
  <c r="BH131" i="81"/>
  <c r="BG130" i="81"/>
  <c r="BH133" i="81"/>
  <c r="BH129" i="81"/>
  <c r="BG122" i="81"/>
  <c r="BG114" i="81"/>
  <c r="BH110" i="81"/>
  <c r="BH114" i="81"/>
  <c r="BG109" i="81"/>
  <c r="BH134" i="81"/>
  <c r="BH130" i="81"/>
  <c r="BG123" i="81"/>
  <c r="BH118" i="81"/>
  <c r="BG110" i="81"/>
  <c r="BG134" i="81"/>
  <c r="BG118" i="81"/>
  <c r="BH115" i="81"/>
  <c r="BH128" i="81"/>
  <c r="BG126" i="81"/>
  <c r="BG119" i="81"/>
  <c r="BG112" i="81"/>
  <c r="BH122" i="81"/>
  <c r="BH121" i="81"/>
  <c r="BH120" i="81"/>
  <c r="BH108" i="81"/>
  <c r="BH127" i="81"/>
  <c r="BH135" i="81"/>
  <c r="BG120" i="81"/>
  <c r="BG108" i="81"/>
  <c r="BG135" i="81"/>
  <c r="BG131" i="81"/>
  <c r="BH136" i="81"/>
  <c r="BH111" i="81"/>
  <c r="BG136" i="81"/>
  <c r="BH125" i="81"/>
  <c r="BH113" i="81"/>
  <c r="BH116" i="81"/>
  <c r="BG132" i="81"/>
  <c r="BH124" i="81"/>
  <c r="BH119" i="81"/>
  <c r="BG124" i="81"/>
  <c r="BH107" i="81"/>
  <c r="BG107" i="81"/>
  <c r="BH112" i="81"/>
  <c r="O135" i="81"/>
  <c r="O131" i="81"/>
  <c r="O127" i="81"/>
  <c r="O123" i="81"/>
  <c r="O119" i="81"/>
  <c r="O115" i="81"/>
  <c r="O111" i="81"/>
  <c r="O133" i="81"/>
  <c r="P132" i="81"/>
  <c r="O117" i="81"/>
  <c r="P116" i="81"/>
  <c r="O108" i="81"/>
  <c r="I102" i="81"/>
  <c r="K102" i="81" s="1" a="1"/>
  <c r="K102" i="81" s="1"/>
  <c r="P129" i="81"/>
  <c r="P113" i="81"/>
  <c r="P126" i="81"/>
  <c r="P125" i="81"/>
  <c r="P124" i="81"/>
  <c r="P112" i="81"/>
  <c r="O126" i="81"/>
  <c r="O125" i="81"/>
  <c r="O124" i="81"/>
  <c r="O112" i="81"/>
  <c r="P127" i="81"/>
  <c r="O114" i="81"/>
  <c r="P122" i="81"/>
  <c r="P117" i="81"/>
  <c r="P108" i="81"/>
  <c r="O122" i="81"/>
  <c r="O113" i="81"/>
  <c r="O129" i="81"/>
  <c r="P133" i="81"/>
  <c r="P130" i="81"/>
  <c r="P118" i="81"/>
  <c r="P114" i="81"/>
  <c r="P119" i="81"/>
  <c r="O107" i="81"/>
  <c r="O128" i="81"/>
  <c r="P120" i="81"/>
  <c r="O120" i="81"/>
  <c r="P109" i="81"/>
  <c r="P136" i="81"/>
  <c r="O109" i="81"/>
  <c r="O136" i="81"/>
  <c r="O121" i="81"/>
  <c r="P128" i="81"/>
  <c r="P111" i="81"/>
  <c r="P123" i="81"/>
  <c r="O118" i="81"/>
  <c r="O116" i="81"/>
  <c r="O134" i="81"/>
  <c r="P115" i="81"/>
  <c r="P135" i="81"/>
  <c r="P131" i="81"/>
  <c r="P134" i="81"/>
  <c r="P121" i="81"/>
  <c r="P110" i="81"/>
  <c r="O110" i="81"/>
  <c r="P107" i="81"/>
  <c r="O130" i="81"/>
  <c r="O132" i="81"/>
  <c r="BL137" i="81"/>
  <c r="BL107" i="81"/>
  <c r="BG20" i="81"/>
  <c r="BH22" i="81"/>
  <c r="BH21" i="81"/>
  <c r="BG19" i="81"/>
  <c r="BH19" i="81"/>
  <c r="BG21" i="81"/>
  <c r="BH18" i="81"/>
  <c r="BA13" i="81"/>
  <c r="BC13" i="81" s="1" a="1"/>
  <c r="BC13" i="81" s="1"/>
  <c r="BG22" i="81"/>
  <c r="BG18" i="81"/>
  <c r="BH20" i="81"/>
  <c r="BG63" i="81"/>
  <c r="BG59" i="81"/>
  <c r="BG70" i="81"/>
  <c r="BG66" i="81"/>
  <c r="BH62" i="81"/>
  <c r="BH58" i="81"/>
  <c r="BA53" i="81"/>
  <c r="BC53" i="81" s="1" a="1"/>
  <c r="BC53" i="81" s="1"/>
  <c r="BH71" i="81"/>
  <c r="BG68" i="81"/>
  <c r="BG64" i="81"/>
  <c r="BG61" i="81"/>
  <c r="BH65" i="81"/>
  <c r="BG69" i="81"/>
  <c r="BH59" i="81"/>
  <c r="BG60" i="81"/>
  <c r="BG58" i="81"/>
  <c r="BG71" i="81"/>
  <c r="BH60" i="81"/>
  <c r="BG65" i="81"/>
  <c r="BH69" i="81"/>
  <c r="BG62" i="81"/>
  <c r="BH66" i="81"/>
  <c r="BH70" i="81"/>
  <c r="BH63" i="81"/>
  <c r="BH64" i="81"/>
  <c r="BH67" i="81"/>
  <c r="BH68" i="81"/>
  <c r="BH61" i="81"/>
  <c r="BG67" i="81"/>
  <c r="CY3" i="80"/>
  <c r="AK19" i="81"/>
  <c r="AL21" i="81"/>
  <c r="AK20" i="81"/>
  <c r="AL18" i="81"/>
  <c r="AK21" i="81"/>
  <c r="AL20" i="81"/>
  <c r="AL19" i="81"/>
  <c r="AK18" i="81"/>
  <c r="AK22" i="81"/>
  <c r="AE13" i="81"/>
  <c r="AG13" i="81" s="1" a="1"/>
  <c r="AG13" i="81" s="1"/>
  <c r="AL22" i="81"/>
  <c r="F25" i="81"/>
  <c r="F13" i="81"/>
  <c r="F39" i="81"/>
  <c r="F36" i="81"/>
  <c r="F30" i="81"/>
  <c r="F43" i="81"/>
  <c r="F38" i="81"/>
  <c r="F35" i="81"/>
  <c r="F32" i="81"/>
  <c r="F18" i="81"/>
  <c r="F28" i="81"/>
  <c r="F19" i="81"/>
  <c r="F11" i="81"/>
  <c r="F34" i="81"/>
  <c r="F8" i="81"/>
  <c r="F29" i="81"/>
  <c r="F16" i="81"/>
  <c r="F33" i="81"/>
  <c r="F42" i="81"/>
  <c r="F26" i="81"/>
  <c r="F24" i="81"/>
  <c r="F44" i="81"/>
  <c r="F41" i="81"/>
  <c r="F21" i="81"/>
  <c r="F27" i="81"/>
  <c r="F40" i="81"/>
  <c r="F37" i="81"/>
  <c r="F17" i="81"/>
  <c r="F15" i="81"/>
  <c r="F10" i="81"/>
  <c r="F20" i="81"/>
  <c r="F9" i="81"/>
  <c r="F31" i="81"/>
  <c r="F22" i="81"/>
  <c r="F12" i="81"/>
  <c r="F45" i="81"/>
  <c r="F23" i="81"/>
  <c r="P18" i="81"/>
  <c r="O22" i="81"/>
  <c r="I13" i="81"/>
  <c r="K13" i="81" s="1" a="1"/>
  <c r="K13" i="81" s="1"/>
  <c r="O20" i="81"/>
  <c r="P21" i="81"/>
  <c r="O21" i="81"/>
  <c r="P20" i="81"/>
  <c r="O18" i="81"/>
  <c r="P22" i="81"/>
  <c r="O19" i="81"/>
  <c r="P19" i="81"/>
  <c r="T72" i="81"/>
  <c r="T58" i="81"/>
  <c r="AK136" i="81"/>
  <c r="AK132" i="81"/>
  <c r="AK128" i="81"/>
  <c r="AK124" i="81"/>
  <c r="AK120" i="81"/>
  <c r="AK116" i="81"/>
  <c r="AK112" i="81"/>
  <c r="AK122" i="81"/>
  <c r="AL121" i="81"/>
  <c r="AK109" i="81"/>
  <c r="AL134" i="81"/>
  <c r="AL118" i="81"/>
  <c r="AL108" i="81"/>
  <c r="AL133" i="81"/>
  <c r="AL120" i="81"/>
  <c r="AK133" i="81"/>
  <c r="AL107" i="81"/>
  <c r="AK135" i="81"/>
  <c r="AL123" i="81"/>
  <c r="AL122" i="81"/>
  <c r="AK108" i="81"/>
  <c r="AK131" i="81"/>
  <c r="AL127" i="81"/>
  <c r="AK119" i="81"/>
  <c r="AL111" i="81"/>
  <c r="AL116" i="81"/>
  <c r="AK127" i="81"/>
  <c r="AK111" i="81"/>
  <c r="AL136" i="81"/>
  <c r="AL124" i="81"/>
  <c r="AL128" i="81"/>
  <c r="AL112" i="81"/>
  <c r="AK107" i="81"/>
  <c r="AK123" i="81"/>
  <c r="AK113" i="81"/>
  <c r="AK129" i="81"/>
  <c r="AK121" i="81"/>
  <c r="AK118" i="81"/>
  <c r="AL109" i="81"/>
  <c r="AK114" i="81"/>
  <c r="AL115" i="81"/>
  <c r="AK115" i="81"/>
  <c r="AL131" i="81"/>
  <c r="AL129" i="81"/>
  <c r="AL110" i="81"/>
  <c r="AL119" i="81"/>
  <c r="AK134" i="81"/>
  <c r="AL114" i="81"/>
  <c r="AL132" i="81"/>
  <c r="AL130" i="81"/>
  <c r="AK130" i="81"/>
  <c r="AL126" i="81"/>
  <c r="AK110" i="81"/>
  <c r="AK126" i="81"/>
  <c r="AL117" i="81"/>
  <c r="AK117" i="81"/>
  <c r="AL125" i="81"/>
  <c r="AE102" i="81"/>
  <c r="AG102" i="81" s="1" a="1"/>
  <c r="AG102" i="81" s="1"/>
  <c r="AK125" i="81"/>
  <c r="AL113" i="81"/>
  <c r="AL135" i="81"/>
  <c r="DD7" i="80"/>
  <c r="AK62" i="81"/>
  <c r="AE53" i="81"/>
  <c r="AG53" i="81" s="1" a="1"/>
  <c r="AG53" i="81" s="1"/>
  <c r="AK69" i="81"/>
  <c r="AK65" i="81"/>
  <c r="AL61" i="81"/>
  <c r="AL70" i="81"/>
  <c r="AK63" i="81"/>
  <c r="AK67" i="81"/>
  <c r="AL68" i="81"/>
  <c r="AL65" i="81"/>
  <c r="AL66" i="81"/>
  <c r="AL60" i="81"/>
  <c r="AK66" i="81"/>
  <c r="AK60" i="81"/>
  <c r="AL58" i="81"/>
  <c r="AL67" i="81"/>
  <c r="AK71" i="81"/>
  <c r="AL59" i="81"/>
  <c r="AK70" i="81"/>
  <c r="AK58" i="81"/>
  <c r="AL63" i="81"/>
  <c r="AL64" i="81"/>
  <c r="AL71" i="81"/>
  <c r="AK64" i="81"/>
  <c r="AK61" i="81"/>
  <c r="AK68" i="81"/>
  <c r="AK59" i="81"/>
  <c r="AL69" i="81"/>
  <c r="AL62" i="81"/>
  <c r="T18" i="81"/>
  <c r="T23" i="81"/>
  <c r="AP58" i="81"/>
  <c r="AP72" i="81"/>
  <c r="N15" i="80"/>
  <c r="N17" i="80"/>
  <c r="AO105" i="80"/>
  <c r="AQ105" i="80" s="1"/>
  <c r="B122" i="80"/>
  <c r="BB368" i="80"/>
  <c r="AZ177" i="80"/>
  <c r="AV435" i="80"/>
  <c r="AZ435" i="80"/>
  <c r="AW177" i="80" a="1"/>
  <c r="AW177" i="80" s="1"/>
  <c r="AP177" i="80"/>
  <c r="AV177" i="80"/>
  <c r="AZ68" i="80"/>
  <c r="AW368" i="80" a="1"/>
  <c r="AW368" i="80" s="1"/>
  <c r="AM429" i="80"/>
  <c r="AU429" i="80" s="1"/>
  <c r="O115" i="80"/>
  <c r="AZ368" i="80"/>
  <c r="AP119" i="80"/>
  <c r="AW48" i="80" a="1"/>
  <c r="AW48" i="80" s="1"/>
  <c r="N12" i="80"/>
  <c r="AK34" i="80"/>
  <c r="AM34" i="80" s="1"/>
  <c r="AU34" i="80" s="1"/>
  <c r="AO119" i="80"/>
  <c r="AG119" i="80" s="1"/>
  <c r="AK73" i="80"/>
  <c r="AM232" i="80"/>
  <c r="AU232" i="80" s="1"/>
  <c r="AO232" i="80"/>
  <c r="AQ232" i="80" s="1"/>
  <c r="BG232" i="80" s="1"/>
  <c r="BA232" i="80" s="1"/>
  <c r="BD232" i="80" s="1"/>
  <c r="B46" i="80"/>
  <c r="AZ197" i="80"/>
  <c r="AZ218" i="80"/>
  <c r="AV68" i="80"/>
  <c r="BB177" i="80"/>
  <c r="AV260" i="80"/>
  <c r="BB352" i="80"/>
  <c r="P121" i="80"/>
  <c r="AV368" i="80"/>
  <c r="BB298" i="80"/>
  <c r="B128" i="80"/>
  <c r="AM460" i="80"/>
  <c r="AU460" i="80" s="1"/>
  <c r="AK97" i="80"/>
  <c r="BB97" i="80" s="1"/>
  <c r="BB206" i="80"/>
  <c r="AP277" i="80"/>
  <c r="AZ351" i="80"/>
  <c r="AZ374" i="80"/>
  <c r="AP414" i="80"/>
  <c r="AO485" i="80"/>
  <c r="AG485" i="80" s="1"/>
  <c r="AF485" i="80" s="1"/>
  <c r="AZ36" i="80"/>
  <c r="BB374" i="80"/>
  <c r="AV414" i="80"/>
  <c r="AP485" i="80"/>
  <c r="BB36" i="80"/>
  <c r="O133" i="80"/>
  <c r="N140" i="80"/>
  <c r="AW414" i="80" a="1"/>
  <c r="AW414" i="80" s="1"/>
  <c r="AV485" i="80"/>
  <c r="B27" i="80"/>
  <c r="N43" i="80"/>
  <c r="AZ532" i="80"/>
  <c r="O43" i="80"/>
  <c r="O89" i="80"/>
  <c r="AK130" i="80"/>
  <c r="AZ431" i="80"/>
  <c r="N27" i="80"/>
  <c r="AO27" i="80" s="1"/>
  <c r="AQ27" i="80" s="1"/>
  <c r="BG27" i="80" s="1"/>
  <c r="BA27" i="80" s="1"/>
  <c r="N120" i="80"/>
  <c r="AO120" i="80" s="1"/>
  <c r="O138" i="80"/>
  <c r="BB431" i="80"/>
  <c r="AP374" i="80"/>
  <c r="O14" i="80"/>
  <c r="O94" i="80"/>
  <c r="O120" i="80"/>
  <c r="AP120" i="80" s="1"/>
  <c r="AM259" i="80"/>
  <c r="AU259" i="80" s="1"/>
  <c r="AO395" i="80"/>
  <c r="AQ395" i="80" s="1"/>
  <c r="AM105" i="80"/>
  <c r="AU105" i="80" s="1"/>
  <c r="N113" i="80"/>
  <c r="AZ289" i="80"/>
  <c r="AP395" i="80"/>
  <c r="AP281" i="80"/>
  <c r="O30" i="80"/>
  <c r="AW395" i="80" a="1"/>
  <c r="AW395" i="80" s="1"/>
  <c r="O20" i="80"/>
  <c r="AP105" i="80"/>
  <c r="B132" i="80"/>
  <c r="AM134" i="80"/>
  <c r="AU134" i="80" s="1"/>
  <c r="AV219" i="80"/>
  <c r="AV255" i="80"/>
  <c r="AZ395" i="80"/>
  <c r="AO374" i="80"/>
  <c r="AQ374" i="80" s="1"/>
  <c r="AZ397" i="80"/>
  <c r="N45" i="80"/>
  <c r="B80" i="80"/>
  <c r="AV105" i="80"/>
  <c r="O129" i="80"/>
  <c r="AO38" i="80"/>
  <c r="AG38" i="80" s="1"/>
  <c r="AW46" i="80" a="1"/>
  <c r="AW46" i="80" s="1"/>
  <c r="AP408" i="80"/>
  <c r="AO427" i="80"/>
  <c r="AG427" i="80" s="1"/>
  <c r="AY427" i="80" s="1"/>
  <c r="BE427" i="80" s="1"/>
  <c r="AV44" i="80"/>
  <c r="AW155" i="80" a="1"/>
  <c r="AW155" i="80" s="1"/>
  <c r="AV163" i="80"/>
  <c r="AO261" i="80"/>
  <c r="AQ261" i="80" s="1"/>
  <c r="BG261" i="80" s="1"/>
  <c r="BA261" i="80" s="1"/>
  <c r="BD261" i="80" s="1"/>
  <c r="AZ367" i="80"/>
  <c r="AP427" i="80"/>
  <c r="AO484" i="80"/>
  <c r="AG484" i="80" s="1"/>
  <c r="AO503" i="80"/>
  <c r="AQ503" i="80" s="1"/>
  <c r="BG503" i="80" s="1"/>
  <c r="BA503" i="80" s="1"/>
  <c r="BD503" i="80" s="1"/>
  <c r="BB531" i="79"/>
  <c r="B32" i="80"/>
  <c r="AW44" i="80" a="1"/>
  <c r="AW44" i="80" s="1"/>
  <c r="P111" i="80"/>
  <c r="B126" i="80"/>
  <c r="AP151" i="80"/>
  <c r="AZ155" i="80"/>
  <c r="AV231" i="80"/>
  <c r="AW250" i="80" a="1"/>
  <c r="AW250" i="80" s="1"/>
  <c r="AP261" i="80"/>
  <c r="BB279" i="80"/>
  <c r="AW287" i="80" a="1"/>
  <c r="AW287" i="80" s="1"/>
  <c r="AP388" i="80"/>
  <c r="AV427" i="80"/>
  <c r="AP448" i="80"/>
  <c r="AW503" i="80" a="1"/>
  <c r="AW503" i="80" s="1"/>
  <c r="AV515" i="80"/>
  <c r="AM310" i="80"/>
  <c r="AU310" i="80" s="1"/>
  <c r="M20" i="80"/>
  <c r="B25" i="80"/>
  <c r="AZ250" i="80"/>
  <c r="AV261" i="80"/>
  <c r="AZ287" i="80"/>
  <c r="AW427" i="80" a="1"/>
  <c r="AW427" i="80" s="1"/>
  <c r="AV448" i="80"/>
  <c r="AM261" i="80"/>
  <c r="AU261" i="80" s="1"/>
  <c r="AK24" i="80"/>
  <c r="AZ107" i="80"/>
  <c r="BB250" i="80"/>
  <c r="AW261" i="80" a="1"/>
  <c r="AW261" i="80" s="1"/>
  <c r="AZ427" i="80"/>
  <c r="AW448" i="80" a="1"/>
  <c r="AW448" i="80" s="1"/>
  <c r="AP181" i="80"/>
  <c r="BB253" i="80"/>
  <c r="B102" i="80"/>
  <c r="P140" i="80"/>
  <c r="B147" i="80"/>
  <c r="AV214" i="80"/>
  <c r="AP314" i="80"/>
  <c r="AM338" i="80"/>
  <c r="AU338" i="80" s="1"/>
  <c r="AV358" i="80"/>
  <c r="AZ390" i="80"/>
  <c r="BB427" i="80"/>
  <c r="AM505" i="80"/>
  <c r="AU505" i="80" s="1"/>
  <c r="AV531" i="80"/>
  <c r="AM538" i="80"/>
  <c r="AU538" i="80" s="1"/>
  <c r="AP38" i="80"/>
  <c r="M45" i="80"/>
  <c r="AW214" i="80" a="1"/>
  <c r="AW214" i="80" s="1"/>
  <c r="BB218" i="80"/>
  <c r="AW338" i="80" a="1"/>
  <c r="AW338" i="80" s="1"/>
  <c r="AW378" i="80" a="1"/>
  <c r="AW378" i="80" s="1"/>
  <c r="AO411" i="80"/>
  <c r="AG411" i="80" s="1"/>
  <c r="AY411" i="80" s="1"/>
  <c r="BE411" i="80" s="1"/>
  <c r="AM477" i="80"/>
  <c r="AU477" i="80" s="1"/>
  <c r="AO505" i="80"/>
  <c r="AG505" i="80" s="1"/>
  <c r="AF505" i="80" s="1"/>
  <c r="AZ531" i="80"/>
  <c r="AO538" i="80"/>
  <c r="AQ538" i="80" s="1"/>
  <c r="AW70" i="80" a="1"/>
  <c r="AW70" i="80" s="1"/>
  <c r="AZ278" i="80"/>
  <c r="AW457" i="80" a="1"/>
  <c r="AW457" i="80" s="1"/>
  <c r="P129" i="80"/>
  <c r="AV207" i="80"/>
  <c r="AM211" i="80"/>
  <c r="AU211" i="80" s="1"/>
  <c r="AZ214" i="80"/>
  <c r="AO236" i="80"/>
  <c r="AG236" i="80" s="1"/>
  <c r="AZ338" i="80"/>
  <c r="AP411" i="80"/>
  <c r="AM428" i="80"/>
  <c r="AU428" i="80" s="1"/>
  <c r="AO463" i="80"/>
  <c r="AG463" i="80" s="1"/>
  <c r="AO477" i="80"/>
  <c r="AQ477" i="80" s="1"/>
  <c r="BG477" i="80" s="1"/>
  <c r="BA477" i="80" s="1"/>
  <c r="BD477" i="80" s="1"/>
  <c r="AP505" i="80"/>
  <c r="AP538" i="80"/>
  <c r="AO191" i="80"/>
  <c r="AG191" i="80" s="1"/>
  <c r="AF191" i="80" s="1"/>
  <c r="AP191" i="80"/>
  <c r="AW191" i="80" a="1"/>
  <c r="AW191" i="80" s="1"/>
  <c r="BB209" i="80"/>
  <c r="AW269" i="80" a="1"/>
  <c r="AW269" i="80" s="1"/>
  <c r="AM321" i="80"/>
  <c r="AU321" i="80" s="1"/>
  <c r="N37" i="80"/>
  <c r="AZ48" i="80"/>
  <c r="U64" i="80"/>
  <c r="AK64" i="80" s="1"/>
  <c r="AP64" i="80" s="1"/>
  <c r="AW105" i="80" a="1"/>
  <c r="AW105" i="80" s="1"/>
  <c r="AV119" i="80"/>
  <c r="N124" i="80"/>
  <c r="AO124" i="80" s="1"/>
  <c r="AO134" i="80"/>
  <c r="AQ134" i="80" s="1"/>
  <c r="BG134" i="80" s="1"/>
  <c r="BA134" i="80" s="1"/>
  <c r="BD134" i="80" s="1"/>
  <c r="P138" i="80"/>
  <c r="AV161" i="80"/>
  <c r="AW207" i="80" a="1"/>
  <c r="AW207" i="80" s="1"/>
  <c r="AO211" i="80"/>
  <c r="AG211" i="80" s="1"/>
  <c r="AF211" i="80" s="1"/>
  <c r="BB214" i="80"/>
  <c r="AP232" i="80"/>
  <c r="AO262" i="80"/>
  <c r="AQ262" i="80" s="1"/>
  <c r="BG262" i="80" s="1"/>
  <c r="BA262" i="80" s="1"/>
  <c r="BD262" i="80" s="1"/>
  <c r="AV285" i="80"/>
  <c r="AV303" i="80"/>
  <c r="AO316" i="80"/>
  <c r="AQ316" i="80" s="1"/>
  <c r="BG316" i="80" s="1"/>
  <c r="BA316" i="80" s="1"/>
  <c r="BD316" i="80" s="1"/>
  <c r="AV359" i="80"/>
  <c r="AO422" i="80"/>
  <c r="AG422" i="80" s="1"/>
  <c r="AF422" i="80" s="1"/>
  <c r="AH422" i="80" s="1"/>
  <c r="AP477" i="80"/>
  <c r="AM487" i="80"/>
  <c r="AU487" i="80" s="1"/>
  <c r="AM532" i="80"/>
  <c r="AU532" i="80" s="1"/>
  <c r="AV538" i="80"/>
  <c r="AV332" i="80"/>
  <c r="AR59" i="80"/>
  <c r="N69" i="80"/>
  <c r="N91" i="80"/>
  <c r="BB105" i="80"/>
  <c r="AW119" i="80" a="1"/>
  <c r="AW119" i="80" s="1"/>
  <c r="AK121" i="80"/>
  <c r="AP134" i="80"/>
  <c r="AW161" i="80" a="1"/>
  <c r="AW161" i="80" s="1"/>
  <c r="AZ207" i="80"/>
  <c r="AV211" i="80"/>
  <c r="AV232" i="80"/>
  <c r="AP260" i="80"/>
  <c r="AV262" i="80"/>
  <c r="AW285" i="80" a="1"/>
  <c r="AW285" i="80" s="1"/>
  <c r="AZ303" i="80"/>
  <c r="AP380" i="80"/>
  <c r="AV422" i="80"/>
  <c r="AV477" i="80"/>
  <c r="AW487" i="80" a="1"/>
  <c r="AW487" i="80" s="1"/>
  <c r="AO532" i="80"/>
  <c r="AG532" i="80" s="1"/>
  <c r="AF532" i="80" s="1"/>
  <c r="AZ253" i="80"/>
  <c r="AP44" i="80"/>
  <c r="AV134" i="80"/>
  <c r="AZ161" i="80"/>
  <c r="AW232" i="80" a="1"/>
  <c r="AW232" i="80" s="1"/>
  <c r="AZ285" i="80"/>
  <c r="AP532" i="80"/>
  <c r="AV333" i="79"/>
  <c r="O15" i="80"/>
  <c r="N33" i="80"/>
  <c r="O41" i="80"/>
  <c r="N53" i="80"/>
  <c r="AK81" i="80"/>
  <c r="AZ109" i="80"/>
  <c r="O113" i="80"/>
  <c r="AW134" i="80" a="1"/>
  <c r="AW134" i="80" s="1"/>
  <c r="AW219" i="80" a="1"/>
  <c r="AW219" i="80" s="1"/>
  <c r="AW260" i="80" a="1"/>
  <c r="AW260" i="80" s="1"/>
  <c r="AZ331" i="80"/>
  <c r="AV340" i="80"/>
  <c r="AM414" i="80"/>
  <c r="AU414" i="80" s="1"/>
  <c r="AY414" i="80" s="1"/>
  <c r="BE414" i="80" s="1"/>
  <c r="AZ500" i="80"/>
  <c r="AZ522" i="80"/>
  <c r="AV532" i="80"/>
  <c r="AZ46" i="80"/>
  <c r="O33" i="80"/>
  <c r="B44" i="80"/>
  <c r="N89" i="80"/>
  <c r="O106" i="80"/>
  <c r="P113" i="80"/>
  <c r="B125" i="80"/>
  <c r="AZ219" i="80"/>
  <c r="BB260" i="80"/>
  <c r="AZ308" i="80"/>
  <c r="BB331" i="80"/>
  <c r="AZ352" i="80"/>
  <c r="BB500" i="80"/>
  <c r="AW532" i="80" a="1"/>
  <c r="AW532" i="80" s="1"/>
  <c r="BB88" i="80"/>
  <c r="AZ102" i="80"/>
  <c r="BB102" i="80"/>
  <c r="BB118" i="80"/>
  <c r="AZ118" i="80"/>
  <c r="AW118" i="80" a="1"/>
  <c r="AW118" i="80" s="1"/>
  <c r="AV118" i="80"/>
  <c r="AP118" i="80"/>
  <c r="AO118" i="80"/>
  <c r="AG118" i="80" s="1"/>
  <c r="AM118" i="80"/>
  <c r="AU118" i="80" s="1"/>
  <c r="AW175" i="80" a="1"/>
  <c r="AW175" i="80" s="1"/>
  <c r="AW213" i="80" a="1"/>
  <c r="AW213" i="80" s="1"/>
  <c r="AW501" i="80" a="1"/>
  <c r="AW501" i="80" s="1"/>
  <c r="AZ520" i="80"/>
  <c r="AV547" i="80"/>
  <c r="BB159" i="80"/>
  <c r="AZ159" i="80"/>
  <c r="AW159" i="80" a="1"/>
  <c r="AW159" i="80" s="1"/>
  <c r="AV159" i="80"/>
  <c r="AP159" i="80"/>
  <c r="AZ138" i="80"/>
  <c r="AM324" i="80"/>
  <c r="AU324" i="80" s="1"/>
  <c r="AM196" i="80"/>
  <c r="AU196" i="80" s="1"/>
  <c r="AO247" i="80"/>
  <c r="AQ247" i="80" s="1"/>
  <c r="BG247" i="80" s="1"/>
  <c r="BA247" i="80" s="1"/>
  <c r="BD247" i="80" s="1"/>
  <c r="AZ295" i="80"/>
  <c r="AP401" i="80"/>
  <c r="BB60" i="80"/>
  <c r="AO114" i="80"/>
  <c r="AQ114" i="80" s="1"/>
  <c r="AW42" i="80" a="1"/>
  <c r="AW42" i="80" s="1"/>
  <c r="BB55" i="80"/>
  <c r="BB108" i="80"/>
  <c r="BB213" i="80"/>
  <c r="AO511" i="80"/>
  <c r="AQ511" i="80" s="1"/>
  <c r="BG511" i="80" s="1"/>
  <c r="BA511" i="80" s="1"/>
  <c r="BD511" i="80" s="1"/>
  <c r="BB520" i="80"/>
  <c r="DD7" i="79"/>
  <c r="CY3" i="79"/>
  <c r="DD6" i="79"/>
  <c r="AP443" i="80"/>
  <c r="BB454" i="80"/>
  <c r="AP42" i="80"/>
  <c r="AK149" i="80"/>
  <c r="BB149" i="80" s="1"/>
  <c r="B149" i="80"/>
  <c r="BB301" i="80"/>
  <c r="AZ301" i="80"/>
  <c r="AW301" i="80" a="1"/>
  <c r="AW301" i="80" s="1"/>
  <c r="AV301" i="80"/>
  <c r="AP511" i="80"/>
  <c r="AO42" i="80"/>
  <c r="AQ42" i="80" s="1"/>
  <c r="B33" i="80"/>
  <c r="AK33" i="80"/>
  <c r="AP33" i="80" s="1"/>
  <c r="AF301" i="80"/>
  <c r="AI301" i="80" s="1"/>
  <c r="AZ299" i="80"/>
  <c r="AV299" i="80"/>
  <c r="AP299" i="80"/>
  <c r="AO324" i="80"/>
  <c r="AG324" i="80" s="1"/>
  <c r="AZ60" i="80"/>
  <c r="BB67" i="80"/>
  <c r="AO443" i="80"/>
  <c r="AQ443" i="80" s="1"/>
  <c r="BG443" i="80" s="1"/>
  <c r="BA443" i="80" s="1"/>
  <c r="BD443" i="80" s="1"/>
  <c r="AO454" i="80"/>
  <c r="AQ454" i="80" s="1"/>
  <c r="AM462" i="80"/>
  <c r="AU462" i="80" s="1"/>
  <c r="AW547" i="80" a="1"/>
  <c r="AW547" i="80" s="1"/>
  <c r="BB547" i="80"/>
  <c r="AZ547" i="80"/>
  <c r="AK79" i="80"/>
  <c r="B150" i="80"/>
  <c r="AV189" i="80"/>
  <c r="AP189" i="80"/>
  <c r="AO189" i="80"/>
  <c r="AG189" i="80" s="1"/>
  <c r="AF189" i="80" s="1"/>
  <c r="BB257" i="80"/>
  <c r="AP301" i="80"/>
  <c r="AZ359" i="80"/>
  <c r="BB458" i="80"/>
  <c r="AZ458" i="80"/>
  <c r="AV175" i="80"/>
  <c r="BB175" i="80"/>
  <c r="BB85" i="80"/>
  <c r="AW85" i="80" a="1"/>
  <c r="AW85" i="80" s="1"/>
  <c r="AV85" i="80"/>
  <c r="AM85" i="80"/>
  <c r="AU85" i="80" s="1"/>
  <c r="B124" i="80"/>
  <c r="AK145" i="80"/>
  <c r="AZ145" i="80" s="1"/>
  <c r="B145" i="80"/>
  <c r="AQ301" i="80"/>
  <c r="BG301" i="80" s="1"/>
  <c r="BA301" i="80" s="1"/>
  <c r="BD301" i="80" s="1"/>
  <c r="BB437" i="80"/>
  <c r="AM458" i="80"/>
  <c r="AU458" i="80" s="1"/>
  <c r="AZ539" i="80"/>
  <c r="AW539" i="80" a="1"/>
  <c r="AW539" i="80" s="1"/>
  <c r="AM482" i="80"/>
  <c r="AU482" i="80" s="1"/>
  <c r="BB482" i="80"/>
  <c r="AW482" i="80" a="1"/>
  <c r="AW482" i="80" s="1"/>
  <c r="B129" i="80"/>
  <c r="AK129" i="80"/>
  <c r="BB424" i="80"/>
  <c r="AZ424" i="80"/>
  <c r="AW424" i="80" a="1"/>
  <c r="AW424" i="80" s="1"/>
  <c r="AV424" i="80"/>
  <c r="AZ486" i="80"/>
  <c r="AW486" i="80" a="1"/>
  <c r="AW486" i="80" s="1"/>
  <c r="AZ355" i="80"/>
  <c r="AM355" i="80"/>
  <c r="AU355" i="80" s="1"/>
  <c r="AZ418" i="80"/>
  <c r="AP67" i="80"/>
  <c r="AZ284" i="80"/>
  <c r="BB284" i="80"/>
  <c r="AW284" i="80" a="1"/>
  <c r="AW284" i="80" s="1"/>
  <c r="AP295" i="80"/>
  <c r="BB462" i="80"/>
  <c r="AV462" i="80"/>
  <c r="BB432" i="80"/>
  <c r="AZ432" i="80"/>
  <c r="AW432" i="80" a="1"/>
  <c r="AW432" i="80" s="1"/>
  <c r="AV432" i="80"/>
  <c r="AO432" i="80"/>
  <c r="AQ432" i="80" s="1"/>
  <c r="AV454" i="80"/>
  <c r="AO462" i="80"/>
  <c r="AZ111" i="80"/>
  <c r="AK29" i="80"/>
  <c r="B29" i="80"/>
  <c r="BB104" i="80"/>
  <c r="AZ104" i="80"/>
  <c r="AW104" i="80" a="1"/>
  <c r="AW104" i="80" s="1"/>
  <c r="AV104" i="80"/>
  <c r="AP104" i="80"/>
  <c r="AP132" i="80"/>
  <c r="BB203" i="80"/>
  <c r="AZ203" i="80"/>
  <c r="AW203" i="80" a="1"/>
  <c r="AW203" i="80" s="1"/>
  <c r="AV203" i="80"/>
  <c r="AP203" i="80"/>
  <c r="AM311" i="80"/>
  <c r="AU311" i="80" s="1"/>
  <c r="AM424" i="80"/>
  <c r="AU424" i="80" s="1"/>
  <c r="AP458" i="80"/>
  <c r="AO466" i="80"/>
  <c r="AQ466" i="80" s="1"/>
  <c r="AV486" i="80"/>
  <c r="BB523" i="80"/>
  <c r="BB156" i="80"/>
  <c r="AO156" i="80"/>
  <c r="AQ156" i="80" s="1"/>
  <c r="BG156" i="80" s="1"/>
  <c r="BA156" i="80" s="1"/>
  <c r="BD156" i="80" s="1"/>
  <c r="AM156" i="80"/>
  <c r="AU156" i="80" s="1"/>
  <c r="AV501" i="80"/>
  <c r="BB181" i="80"/>
  <c r="AZ181" i="80"/>
  <c r="AW181" i="80" a="1"/>
  <c r="AW181" i="80" s="1"/>
  <c r="AO424" i="80"/>
  <c r="AQ424" i="80" s="1"/>
  <c r="AO366" i="80"/>
  <c r="BB366" i="80"/>
  <c r="AZ366" i="80"/>
  <c r="AW366" i="80" a="1"/>
  <c r="AW366" i="80" s="1"/>
  <c r="AO401" i="80"/>
  <c r="BB418" i="80"/>
  <c r="AO284" i="80"/>
  <c r="AG284" i="80" s="1"/>
  <c r="AM366" i="80"/>
  <c r="AU366" i="80" s="1"/>
  <c r="AP284" i="80"/>
  <c r="P67" i="80"/>
  <c r="P66" i="80" s="1"/>
  <c r="AK31" i="80"/>
  <c r="BB31" i="80" s="1"/>
  <c r="AO104" i="80"/>
  <c r="AQ104" i="80" s="1"/>
  <c r="BG104" i="80" s="1"/>
  <c r="BA104" i="80" s="1"/>
  <c r="AO181" i="80"/>
  <c r="AQ181" i="80" s="1"/>
  <c r="BG181" i="80" s="1"/>
  <c r="BA181" i="80" s="1"/>
  <c r="BD181" i="80" s="1"/>
  <c r="AW254" i="80" a="1"/>
  <c r="AW254" i="80" s="1"/>
  <c r="AV254" i="80"/>
  <c r="AW332" i="80" a="1"/>
  <c r="AW332" i="80" s="1"/>
  <c r="AO380" i="80"/>
  <c r="AQ380" i="80" s="1"/>
  <c r="AZ410" i="80"/>
  <c r="AO410" i="80"/>
  <c r="AQ410" i="80" s="1"/>
  <c r="AP424" i="80"/>
  <c r="BB467" i="80"/>
  <c r="AW467" i="80" a="1"/>
  <c r="AW467" i="80" s="1"/>
  <c r="AW525" i="80" a="1"/>
  <c r="AW525" i="80" s="1"/>
  <c r="AV525" i="80"/>
  <c r="N25" i="80"/>
  <c r="AO25" i="80" s="1"/>
  <c r="AQ25" i="80" s="1"/>
  <c r="BG25" i="80" s="1"/>
  <c r="BA25" i="80" s="1"/>
  <c r="N47" i="80"/>
  <c r="N49" i="80"/>
  <c r="N56" i="80"/>
  <c r="O69" i="80"/>
  <c r="N129" i="80"/>
  <c r="N131" i="80"/>
  <c r="N133" i="80"/>
  <c r="B142" i="80"/>
  <c r="AM251" i="80"/>
  <c r="AU251" i="80" s="1"/>
  <c r="AZ263" i="80"/>
  <c r="AP274" i="80"/>
  <c r="AM304" i="80"/>
  <c r="AU304" i="80" s="1"/>
  <c r="AV319" i="80"/>
  <c r="AM326" i="80"/>
  <c r="AU326" i="80" s="1"/>
  <c r="AM370" i="80"/>
  <c r="AU370" i="80" s="1"/>
  <c r="AM375" i="80"/>
  <c r="AU375" i="80" s="1"/>
  <c r="BB395" i="80"/>
  <c r="AM439" i="80"/>
  <c r="AU439" i="80" s="1"/>
  <c r="AM445" i="80"/>
  <c r="AU445" i="80" s="1"/>
  <c r="AM455" i="80"/>
  <c r="AU455" i="80" s="1"/>
  <c r="AW508" i="80" a="1"/>
  <c r="AW508" i="80" s="1"/>
  <c r="AW513" i="80" a="1"/>
  <c r="AW513" i="80" s="1"/>
  <c r="AO521" i="80"/>
  <c r="BB263" i="80"/>
  <c r="AW319" i="80" a="1"/>
  <c r="AW319" i="80" s="1"/>
  <c r="AO326" i="80"/>
  <c r="AQ326" i="80" s="1"/>
  <c r="AO370" i="80"/>
  <c r="AQ370" i="80" s="1"/>
  <c r="BG370" i="80" s="1"/>
  <c r="BA370" i="80" s="1"/>
  <c r="BD370" i="80" s="1"/>
  <c r="AO375" i="80"/>
  <c r="AG375" i="80" s="1"/>
  <c r="AF375" i="80" s="1"/>
  <c r="AO439" i="80"/>
  <c r="AG439" i="80" s="1"/>
  <c r="AO445" i="80"/>
  <c r="AQ445" i="80" s="1"/>
  <c r="AP455" i="80"/>
  <c r="AP521" i="80"/>
  <c r="B48" i="80"/>
  <c r="B50" i="80"/>
  <c r="AV61" i="80"/>
  <c r="B78" i="80"/>
  <c r="AW135" i="80" a="1"/>
  <c r="AW135" i="80" s="1"/>
  <c r="AM186" i="80"/>
  <c r="AU186" i="80" s="1"/>
  <c r="AO225" i="80"/>
  <c r="AQ225" i="80" s="1"/>
  <c r="BG225" i="80" s="1"/>
  <c r="BA225" i="80" s="1"/>
  <c r="BD225" i="80" s="1"/>
  <c r="AO278" i="80"/>
  <c r="AQ278" i="80" s="1"/>
  <c r="AM289" i="80"/>
  <c r="AU289" i="80" s="1"/>
  <c r="BB304" i="80"/>
  <c r="AV308" i="80"/>
  <c r="AM314" i="80"/>
  <c r="AU314" i="80" s="1"/>
  <c r="AP326" i="80"/>
  <c r="AO356" i="80"/>
  <c r="AG356" i="80" s="1"/>
  <c r="AP375" i="80"/>
  <c r="AP382" i="80"/>
  <c r="AW402" i="80" a="1"/>
  <c r="AW402" i="80" s="1"/>
  <c r="AP439" i="80"/>
  <c r="AP445" i="80"/>
  <c r="AO452" i="80"/>
  <c r="AG452" i="80" s="1"/>
  <c r="AZ455" i="80"/>
  <c r="AO509" i="80"/>
  <c r="AG509" i="80" s="1"/>
  <c r="AW514" i="80" a="1"/>
  <c r="AW514" i="80" s="1"/>
  <c r="AW61" i="80" a="1"/>
  <c r="AW61" i="80" s="1"/>
  <c r="AO151" i="80"/>
  <c r="AG151" i="80" s="1"/>
  <c r="AO186" i="80"/>
  <c r="AG186" i="80" s="1"/>
  <c r="AF186" i="80" s="1"/>
  <c r="AP225" i="80"/>
  <c r="AP278" i="80"/>
  <c r="AV289" i="80"/>
  <c r="AW308" i="80" a="1"/>
  <c r="AW308" i="80" s="1"/>
  <c r="AO314" i="80"/>
  <c r="AG314" i="80" s="1"/>
  <c r="BB326" i="80"/>
  <c r="AP356" i="80"/>
  <c r="AP367" i="80"/>
  <c r="AV375" i="80"/>
  <c r="BB402" i="80"/>
  <c r="AZ439" i="80"/>
  <c r="AW445" i="80" a="1"/>
  <c r="AW445" i="80" s="1"/>
  <c r="AP452" i="80"/>
  <c r="AM484" i="80"/>
  <c r="AU484" i="80" s="1"/>
  <c r="AZ509" i="80"/>
  <c r="AZ521" i="80"/>
  <c r="AP186" i="80"/>
  <c r="AV225" i="80"/>
  <c r="BB439" i="80"/>
  <c r="AZ445" i="80"/>
  <c r="N36" i="80"/>
  <c r="AV38" i="80"/>
  <c r="N48" i="80"/>
  <c r="AK75" i="80"/>
  <c r="AZ151" i="80"/>
  <c r="AZ186" i="80"/>
  <c r="AZ225" i="80"/>
  <c r="AP236" i="80"/>
  <c r="AW249" i="80" a="1"/>
  <c r="AW249" i="80" s="1"/>
  <c r="AP272" i="80"/>
  <c r="AV314" i="80"/>
  <c r="AO321" i="80"/>
  <c r="AQ321" i="80" s="1"/>
  <c r="BG321" i="80" s="1"/>
  <c r="BA321" i="80" s="1"/>
  <c r="BD321" i="80" s="1"/>
  <c r="AM337" i="80"/>
  <c r="AU337" i="80" s="1"/>
  <c r="AV356" i="80"/>
  <c r="AV365" i="80"/>
  <c r="AZ372" i="80"/>
  <c r="AZ411" i="80"/>
  <c r="AM417" i="80"/>
  <c r="AU417" i="80" s="1"/>
  <c r="AW422" i="80" a="1"/>
  <c r="AW422" i="80" s="1"/>
  <c r="AP426" i="80"/>
  <c r="AO429" i="80"/>
  <c r="AQ429" i="80" s="1"/>
  <c r="BB445" i="80"/>
  <c r="AV452" i="80"/>
  <c r="AO456" i="80"/>
  <c r="AG456" i="80" s="1"/>
  <c r="AO460" i="80"/>
  <c r="AQ460" i="80" s="1"/>
  <c r="AO470" i="80"/>
  <c r="AQ470" i="80" s="1"/>
  <c r="BG470" i="80" s="1"/>
  <c r="BA470" i="80" s="1"/>
  <c r="BD470" i="80" s="1"/>
  <c r="AW477" i="80" a="1"/>
  <c r="AW477" i="80" s="1"/>
  <c r="AP484" i="80"/>
  <c r="AM504" i="80"/>
  <c r="AU504" i="80" s="1"/>
  <c r="AP510" i="80"/>
  <c r="AM522" i="80"/>
  <c r="AU522" i="80" s="1"/>
  <c r="DE3" i="79"/>
  <c r="N14" i="80"/>
  <c r="N34" i="80"/>
  <c r="AW38" i="80" a="1"/>
  <c r="AW38" i="80" s="1"/>
  <c r="AM155" i="80"/>
  <c r="AU155" i="80" s="1"/>
  <c r="AW173" i="80" a="1"/>
  <c r="AW173" i="80" s="1"/>
  <c r="AM198" i="80"/>
  <c r="AU198" i="80" s="1"/>
  <c r="AZ232" i="80"/>
  <c r="AW236" i="80" a="1"/>
  <c r="AW236" i="80" s="1"/>
  <c r="AZ261" i="80"/>
  <c r="AM269" i="80"/>
  <c r="AU269" i="80" s="1"/>
  <c r="AV272" i="80"/>
  <c r="AM285" i="80"/>
  <c r="AU285" i="80" s="1"/>
  <c r="AO287" i="80"/>
  <c r="AG287" i="80" s="1"/>
  <c r="AF287" i="80" s="1"/>
  <c r="AL287" i="80" s="1" a="1"/>
  <c r="AL287" i="80" s="1"/>
  <c r="AP309" i="80"/>
  <c r="AW314" i="80" a="1"/>
  <c r="AW314" i="80" s="1"/>
  <c r="AV321" i="80"/>
  <c r="AO337" i="80"/>
  <c r="AQ337" i="80" s="1"/>
  <c r="AM352" i="80"/>
  <c r="AU352" i="80" s="1"/>
  <c r="AW356" i="80" a="1"/>
  <c r="AW356" i="80" s="1"/>
  <c r="AW365" i="80" a="1"/>
  <c r="AW365" i="80" s="1"/>
  <c r="AW384" i="80" a="1"/>
  <c r="AW384" i="80" s="1"/>
  <c r="BB411" i="80"/>
  <c r="AO417" i="80"/>
  <c r="AQ417" i="80" s="1"/>
  <c r="BG417" i="80" s="1"/>
  <c r="BA417" i="80" s="1"/>
  <c r="BD417" i="80" s="1"/>
  <c r="AZ422" i="80"/>
  <c r="AZ426" i="80"/>
  <c r="AP429" i="80"/>
  <c r="AM440" i="80"/>
  <c r="AU440" i="80" s="1"/>
  <c r="AW452" i="80" a="1"/>
  <c r="AW452" i="80" s="1"/>
  <c r="AV456" i="80"/>
  <c r="AP460" i="80"/>
  <c r="AV470" i="80"/>
  <c r="AZ477" i="80"/>
  <c r="AZ484" i="80"/>
  <c r="AV489" i="80"/>
  <c r="AV504" i="80"/>
  <c r="AV510" i="80"/>
  <c r="AO522" i="80"/>
  <c r="AQ522" i="80" s="1"/>
  <c r="BG522" i="80" s="1"/>
  <c r="BA522" i="80" s="1"/>
  <c r="BD522" i="80" s="1"/>
  <c r="AZ536" i="80"/>
  <c r="AO544" i="80"/>
  <c r="AQ544" i="80" s="1"/>
  <c r="BB389" i="79"/>
  <c r="AV531" i="79"/>
  <c r="N19" i="80"/>
  <c r="AM48" i="80"/>
  <c r="AU48" i="80" s="1"/>
  <c r="P134" i="80"/>
  <c r="AO155" i="80"/>
  <c r="AQ155" i="80" s="1"/>
  <c r="BG155" i="80" s="1"/>
  <c r="BA155" i="80" s="1"/>
  <c r="BD155" i="80" s="1"/>
  <c r="AO198" i="80"/>
  <c r="AG198" i="80" s="1"/>
  <c r="AM202" i="80"/>
  <c r="AU202" i="80" s="1"/>
  <c r="AO269" i="80"/>
  <c r="AG269" i="80" s="1"/>
  <c r="AW272" i="80" a="1"/>
  <c r="AW272" i="80" s="1"/>
  <c r="AO285" i="80"/>
  <c r="AP287" i="80"/>
  <c r="AV309" i="80"/>
  <c r="BB314" i="80"/>
  <c r="AV337" i="80"/>
  <c r="AV344" i="80"/>
  <c r="AO352" i="80"/>
  <c r="AG352" i="80" s="1"/>
  <c r="AF352" i="80" s="1"/>
  <c r="AZ356" i="80"/>
  <c r="AM368" i="80"/>
  <c r="AU368" i="80" s="1"/>
  <c r="AZ384" i="80"/>
  <c r="AZ399" i="80"/>
  <c r="AP417" i="80"/>
  <c r="BB422" i="80"/>
  <c r="AV429" i="80"/>
  <c r="AZ452" i="80"/>
  <c r="AZ470" i="80"/>
  <c r="BB484" i="80"/>
  <c r="AW489" i="80" a="1"/>
  <c r="AW489" i="80" s="1"/>
  <c r="AW504" i="80" a="1"/>
  <c r="AW504" i="80" s="1"/>
  <c r="AW510" i="80" a="1"/>
  <c r="AW510" i="80" s="1"/>
  <c r="AP522" i="80"/>
  <c r="AV544" i="80"/>
  <c r="AZ531" i="79"/>
  <c r="N46" i="80"/>
  <c r="AO48" i="80"/>
  <c r="AG48" i="80" s="1"/>
  <c r="AF48" i="80" s="1"/>
  <c r="N51" i="80"/>
  <c r="AP155" i="80"/>
  <c r="AO202" i="80"/>
  <c r="AQ202" i="80" s="1"/>
  <c r="BG202" i="80" s="1"/>
  <c r="BA202" i="80" s="1"/>
  <c r="BD202" i="80" s="1"/>
  <c r="AM219" i="80"/>
  <c r="AU219" i="80" s="1"/>
  <c r="AZ236" i="80"/>
  <c r="AM246" i="80"/>
  <c r="AU246" i="80" s="1"/>
  <c r="AM260" i="80"/>
  <c r="AU260" i="80" s="1"/>
  <c r="AP269" i="80"/>
  <c r="BB272" i="80"/>
  <c r="AO276" i="80"/>
  <c r="AQ276" i="80" s="1"/>
  <c r="BG276" i="80" s="1"/>
  <c r="BA276" i="80" s="1"/>
  <c r="BD276" i="80" s="1"/>
  <c r="AP285" i="80"/>
  <c r="AM298" i="80"/>
  <c r="AU298" i="80" s="1"/>
  <c r="AW309" i="80" a="1"/>
  <c r="AW309" i="80" s="1"/>
  <c r="AO368" i="80"/>
  <c r="AG368" i="80" s="1"/>
  <c r="AO378" i="80"/>
  <c r="AQ378" i="80" s="1"/>
  <c r="BG378" i="80" s="1"/>
  <c r="BA378" i="80" s="1"/>
  <c r="BD378" i="80" s="1"/>
  <c r="AW417" i="80" a="1"/>
  <c r="AW417" i="80" s="1"/>
  <c r="BB452" i="80"/>
  <c r="BB470" i="80"/>
  <c r="AZ478" i="80"/>
  <c r="AZ489" i="80"/>
  <c r="AO500" i="80"/>
  <c r="AG500" i="80" s="1"/>
  <c r="AF500" i="80" s="1"/>
  <c r="AZ510" i="80"/>
  <c r="AV522" i="80"/>
  <c r="N44" i="80"/>
  <c r="N55" i="80"/>
  <c r="BB107" i="80"/>
  <c r="AM119" i="80"/>
  <c r="AU119" i="80" s="1"/>
  <c r="P128" i="80"/>
  <c r="AV155" i="80"/>
  <c r="AO177" i="80"/>
  <c r="AQ177" i="80" s="1"/>
  <c r="AV202" i="80"/>
  <c r="BB205" i="80"/>
  <c r="BB236" i="80"/>
  <c r="AO260" i="80"/>
  <c r="AQ260" i="80" s="1"/>
  <c r="BG260" i="80" s="1"/>
  <c r="BA260" i="80" s="1"/>
  <c r="BD260" i="80" s="1"/>
  <c r="AV287" i="80"/>
  <c r="AO298" i="80"/>
  <c r="AG298" i="80" s="1"/>
  <c r="AM374" i="80"/>
  <c r="AU374" i="80" s="1"/>
  <c r="AM395" i="80"/>
  <c r="AU395" i="80" s="1"/>
  <c r="AM485" i="80"/>
  <c r="AU485" i="80" s="1"/>
  <c r="AW522" i="80" a="1"/>
  <c r="AW522" i="80" s="1"/>
  <c r="M77" i="80"/>
  <c r="M87" i="80"/>
  <c r="M69" i="80"/>
  <c r="M100" i="80"/>
  <c r="M106" i="80"/>
  <c r="M83" i="80"/>
  <c r="M74" i="80"/>
  <c r="M61" i="80"/>
  <c r="M94" i="80"/>
  <c r="M95" i="80"/>
  <c r="M72" i="80"/>
  <c r="M66" i="80"/>
  <c r="AZ266" i="80"/>
  <c r="AW266" i="80" a="1"/>
  <c r="AW266" i="80" s="1"/>
  <c r="AM266" i="80"/>
  <c r="AU266" i="80" s="1"/>
  <c r="BB483" i="80"/>
  <c r="BB391" i="80"/>
  <c r="AV391" i="80"/>
  <c r="AZ391" i="80"/>
  <c r="AW391" i="80" a="1"/>
  <c r="AW391" i="80" s="1"/>
  <c r="AO391" i="80"/>
  <c r="AP391" i="80"/>
  <c r="AW226" i="80" a="1"/>
  <c r="AW226" i="80" s="1"/>
  <c r="AV226" i="80"/>
  <c r="AM226" i="80"/>
  <c r="AU226" i="80" s="1"/>
  <c r="AO240" i="80"/>
  <c r="AQ240" i="80" s="1"/>
  <c r="BG240" i="80" s="1"/>
  <c r="BA240" i="80" s="1"/>
  <c r="AO376" i="80"/>
  <c r="AW376" i="80" a="1"/>
  <c r="AW376" i="80" s="1"/>
  <c r="AV376" i="80"/>
  <c r="AP376" i="80"/>
  <c r="BB376" i="80"/>
  <c r="AZ376" i="80"/>
  <c r="AM376" i="80"/>
  <c r="AU376" i="80" s="1"/>
  <c r="AZ154" i="80"/>
  <c r="BB154" i="80"/>
  <c r="BB234" i="80"/>
  <c r="AZ234" i="80"/>
  <c r="AZ373" i="80"/>
  <c r="O47" i="80"/>
  <c r="O44" i="80"/>
  <c r="O53" i="80"/>
  <c r="O38" i="80"/>
  <c r="O29" i="80"/>
  <c r="O24" i="80"/>
  <c r="O46" i="80"/>
  <c r="O49" i="80"/>
  <c r="O40" i="80"/>
  <c r="O27" i="80"/>
  <c r="AP27" i="80" s="1"/>
  <c r="O13" i="80"/>
  <c r="O55" i="80"/>
  <c r="BB504" i="79"/>
  <c r="AW154" i="80" a="1"/>
  <c r="AW154" i="80" s="1"/>
  <c r="AW172" i="80" a="1"/>
  <c r="AW172" i="80" s="1"/>
  <c r="AM361" i="80"/>
  <c r="AU361" i="80" s="1"/>
  <c r="AW474" i="80" a="1"/>
  <c r="AW474" i="80" s="1"/>
  <c r="AZ474" i="80"/>
  <c r="AV474" i="80"/>
  <c r="AM474" i="80"/>
  <c r="AU474" i="80" s="1"/>
  <c r="BB474" i="80"/>
  <c r="AP474" i="80"/>
  <c r="O19" i="80"/>
  <c r="O56" i="80"/>
  <c r="AK127" i="80"/>
  <c r="B127" i="80"/>
  <c r="AM192" i="80"/>
  <c r="AU192" i="80" s="1"/>
  <c r="BB199" i="80"/>
  <c r="AZ199" i="80"/>
  <c r="AW199" i="80" a="1"/>
  <c r="AW199" i="80" s="1"/>
  <c r="AM199" i="80"/>
  <c r="AU199" i="80" s="1"/>
  <c r="AV199" i="80"/>
  <c r="AV361" i="80"/>
  <c r="AZ403" i="80"/>
  <c r="AW403" i="80" a="1"/>
  <c r="AW403" i="80" s="1"/>
  <c r="AP403" i="80"/>
  <c r="BB468" i="80"/>
  <c r="AP468" i="80"/>
  <c r="AZ468" i="80"/>
  <c r="AW468" i="80" a="1"/>
  <c r="AW468" i="80" s="1"/>
  <c r="AO474" i="80"/>
  <c r="AV415" i="79"/>
  <c r="O31" i="80"/>
  <c r="O37" i="80"/>
  <c r="O50" i="80"/>
  <c r="AK84" i="80"/>
  <c r="B84" i="80"/>
  <c r="B148" i="80"/>
  <c r="AK148" i="80"/>
  <c r="AP148" i="80" s="1"/>
  <c r="AO192" i="80"/>
  <c r="AQ192" i="80" s="1"/>
  <c r="BG192" i="80" s="1"/>
  <c r="BA192" i="80" s="1"/>
  <c r="BD192" i="80" s="1"/>
  <c r="AO199" i="80"/>
  <c r="AG199" i="80" s="1"/>
  <c r="AG310" i="80"/>
  <c r="AQ310" i="80"/>
  <c r="BG310" i="80" s="1"/>
  <c r="BA310" i="80" s="1"/>
  <c r="BD310" i="80" s="1"/>
  <c r="BB403" i="80"/>
  <c r="AM468" i="80"/>
  <c r="AU468" i="80" s="1"/>
  <c r="AM312" i="80"/>
  <c r="AU312" i="80" s="1"/>
  <c r="BB312" i="80"/>
  <c r="AZ312" i="80"/>
  <c r="AW312" i="80" a="1"/>
  <c r="AW312" i="80" s="1"/>
  <c r="AV312" i="80"/>
  <c r="AO435" i="79"/>
  <c r="AZ435" i="79"/>
  <c r="AV435" i="79"/>
  <c r="AP435" i="79"/>
  <c r="BB223" i="80"/>
  <c r="AW223" i="80" a="1"/>
  <c r="AW223" i="80" s="1"/>
  <c r="AV223" i="80"/>
  <c r="AO223" i="80"/>
  <c r="AP223" i="80"/>
  <c r="AO312" i="80"/>
  <c r="AQ312" i="80" s="1"/>
  <c r="AM157" i="80"/>
  <c r="AU157" i="80" s="1"/>
  <c r="AM223" i="80"/>
  <c r="AU223" i="80" s="1"/>
  <c r="AM391" i="80"/>
  <c r="AU391" i="80" s="1"/>
  <c r="B143" i="80"/>
  <c r="AK143" i="80"/>
  <c r="AK43" i="80"/>
  <c r="AO43" i="80" s="1"/>
  <c r="AK100" i="80"/>
  <c r="AZ100" i="80" s="1"/>
  <c r="B100" i="80"/>
  <c r="M48" i="80"/>
  <c r="M26" i="80"/>
  <c r="M12" i="80"/>
  <c r="M50" i="80"/>
  <c r="M36" i="80"/>
  <c r="M46" i="80"/>
  <c r="AW165" i="80" a="1"/>
  <c r="AW165" i="80" s="1"/>
  <c r="AW234" i="80" a="1"/>
  <c r="AW234" i="80" s="1"/>
  <c r="AP361" i="80"/>
  <c r="AO361" i="80"/>
  <c r="AW361" i="80" a="1"/>
  <c r="AW361" i="80" s="1"/>
  <c r="O16" i="80"/>
  <c r="M37" i="80"/>
  <c r="AZ140" i="80"/>
  <c r="BB140" i="80"/>
  <c r="AP140" i="80"/>
  <c r="AK35" i="80"/>
  <c r="AO35" i="80" s="1"/>
  <c r="AZ329" i="80"/>
  <c r="AW329" i="80" a="1"/>
  <c r="AW329" i="80" s="1"/>
  <c r="BB361" i="80"/>
  <c r="AM517" i="80"/>
  <c r="AU517" i="80" s="1"/>
  <c r="BB517" i="80"/>
  <c r="BB535" i="80"/>
  <c r="AV535" i="80"/>
  <c r="AP535" i="80"/>
  <c r="AO535" i="80"/>
  <c r="AZ535" i="80"/>
  <c r="AW535" i="80" a="1"/>
  <c r="AW535" i="80" s="1"/>
  <c r="AZ415" i="79"/>
  <c r="BB463" i="79"/>
  <c r="AW463" i="79" a="1"/>
  <c r="AW463" i="79" s="1"/>
  <c r="AV463" i="79"/>
  <c r="AP463" i="79"/>
  <c r="AO463" i="79"/>
  <c r="BD13" i="80"/>
  <c r="BB56" i="80"/>
  <c r="AW56" i="80" a="1"/>
  <c r="AW56" i="80" s="1"/>
  <c r="AV56" i="80"/>
  <c r="AP56" i="80"/>
  <c r="AO56" i="80"/>
  <c r="B101" i="80"/>
  <c r="AK101" i="80"/>
  <c r="AV101" i="80" s="1"/>
  <c r="AK123" i="80"/>
  <c r="B123" i="80"/>
  <c r="AW140" i="80" a="1"/>
  <c r="AW140" i="80" s="1"/>
  <c r="AV192" i="80"/>
  <c r="AM329" i="80"/>
  <c r="AU329" i="80" s="1"/>
  <c r="BB405" i="80"/>
  <c r="AW405" i="80" a="1"/>
  <c r="AW405" i="80" s="1"/>
  <c r="AV468" i="80"/>
  <c r="BB492" i="80"/>
  <c r="AZ492" i="80"/>
  <c r="AW492" i="80" a="1"/>
  <c r="AW492" i="80" s="1"/>
  <c r="AV492" i="80"/>
  <c r="AP492" i="80"/>
  <c r="AM535" i="80"/>
  <c r="AU535" i="80" s="1"/>
  <c r="AV216" i="80"/>
  <c r="AP216" i="80"/>
  <c r="AO216" i="80"/>
  <c r="AQ216" i="80" s="1"/>
  <c r="AM216" i="80"/>
  <c r="AU216" i="80" s="1"/>
  <c r="BB210" i="80"/>
  <c r="AZ210" i="80"/>
  <c r="AO210" i="80"/>
  <c r="AG210" i="80" s="1"/>
  <c r="AM210" i="80"/>
  <c r="AU210" i="80" s="1"/>
  <c r="BB240" i="80"/>
  <c r="AW240" i="80" a="1"/>
  <c r="AW240" i="80" s="1"/>
  <c r="AZ240" i="80"/>
  <c r="AW300" i="80" a="1"/>
  <c r="AW300" i="80" s="1"/>
  <c r="AP312" i="80"/>
  <c r="AK98" i="80"/>
  <c r="AP98" i="80" s="1"/>
  <c r="AM240" i="80"/>
  <c r="AU240" i="80" s="1"/>
  <c r="BB318" i="80"/>
  <c r="AV318" i="80"/>
  <c r="AP318" i="80"/>
  <c r="AO318" i="80"/>
  <c r="AZ318" i="80"/>
  <c r="AW318" i="80" a="1"/>
  <c r="AW318" i="80" s="1"/>
  <c r="AM318" i="80"/>
  <c r="AU318" i="80" s="1"/>
  <c r="B23" i="80"/>
  <c r="AK23" i="80"/>
  <c r="AK144" i="80"/>
  <c r="B144" i="80"/>
  <c r="AO154" i="80"/>
  <c r="AQ154" i="80" s="1"/>
  <c r="AV240" i="80"/>
  <c r="AP154" i="80"/>
  <c r="P18" i="80"/>
  <c r="P12" i="80" s="1"/>
  <c r="U15" i="80"/>
  <c r="AW415" i="79" a="1"/>
  <c r="AW415" i="79" s="1"/>
  <c r="AV140" i="80"/>
  <c r="BB162" i="80"/>
  <c r="AZ162" i="80"/>
  <c r="AM162" i="80"/>
  <c r="AU162" i="80" s="1"/>
  <c r="BB170" i="80"/>
  <c r="AZ170" i="80"/>
  <c r="AP192" i="80"/>
  <c r="O22" i="80"/>
  <c r="AP22" i="80" s="1"/>
  <c r="M24" i="80"/>
  <c r="O34" i="80"/>
  <c r="N70" i="80"/>
  <c r="N102" i="80"/>
  <c r="N95" i="80"/>
  <c r="N77" i="80"/>
  <c r="N101" i="80"/>
  <c r="N99" i="80"/>
  <c r="N96" i="80"/>
  <c r="N66" i="80"/>
  <c r="N106" i="80"/>
  <c r="N83" i="80"/>
  <c r="N100" i="80"/>
  <c r="N72" i="80"/>
  <c r="N62" i="80"/>
  <c r="AV87" i="80"/>
  <c r="BB87" i="80"/>
  <c r="AP87" i="80"/>
  <c r="AW87" i="80" a="1"/>
  <c r="AW87" i="80" s="1"/>
  <c r="AO87" i="80"/>
  <c r="AQ87" i="80" s="1"/>
  <c r="BG87" i="80" s="1"/>
  <c r="BA87" i="80" s="1"/>
  <c r="BD87" i="80" s="1"/>
  <c r="AK93" i="80"/>
  <c r="BB93" i="80" s="1"/>
  <c r="B93" i="80"/>
  <c r="AO170" i="80"/>
  <c r="AG170" i="80" s="1"/>
  <c r="AY170" i="80" s="1"/>
  <c r="BE170" i="80" s="1"/>
  <c r="AZ316" i="80"/>
  <c r="AW316" i="80" a="1"/>
  <c r="AW316" i="80" s="1"/>
  <c r="AM316" i="80"/>
  <c r="AU316" i="80" s="1"/>
  <c r="BB316" i="80"/>
  <c r="AV316" i="80"/>
  <c r="AQ440" i="80"/>
  <c r="BG440" i="80" s="1"/>
  <c r="BA440" i="80" s="1"/>
  <c r="BD440" i="80" s="1"/>
  <c r="AG440" i="80"/>
  <c r="AM492" i="80"/>
  <c r="AU492" i="80" s="1"/>
  <c r="BB381" i="80"/>
  <c r="AZ381" i="80"/>
  <c r="AP381" i="80"/>
  <c r="AW381" i="80" a="1"/>
  <c r="AW381" i="80" s="1"/>
  <c r="AV381" i="80"/>
  <c r="AO381" i="80"/>
  <c r="AM381" i="80"/>
  <c r="AU381" i="80" s="1"/>
  <c r="BB157" i="80"/>
  <c r="AP157" i="80"/>
  <c r="AZ157" i="80"/>
  <c r="BB174" i="80"/>
  <c r="AW174" i="80" a="1"/>
  <c r="AW174" i="80" s="1"/>
  <c r="AV174" i="80"/>
  <c r="AM57" i="80"/>
  <c r="AU57" i="80" s="1"/>
  <c r="BB57" i="80"/>
  <c r="AZ57" i="80"/>
  <c r="AR157" i="80"/>
  <c r="AZ172" i="80"/>
  <c r="AO172" i="80"/>
  <c r="AQ172" i="80" s="1"/>
  <c r="AP172" i="80"/>
  <c r="AM172" i="80"/>
  <c r="AU172" i="80" s="1"/>
  <c r="AV444" i="80"/>
  <c r="BB444" i="80"/>
  <c r="AZ444" i="80"/>
  <c r="AW444" i="80" a="1"/>
  <c r="AW444" i="80" s="1"/>
  <c r="AP444" i="80"/>
  <c r="AO444" i="80"/>
  <c r="AM444" i="80"/>
  <c r="AU444" i="80" s="1"/>
  <c r="BB165" i="80"/>
  <c r="AV165" i="80"/>
  <c r="AP165" i="80"/>
  <c r="AO165" i="80"/>
  <c r="AG165" i="80" s="1"/>
  <c r="AF165" i="80" s="1"/>
  <c r="AM165" i="80"/>
  <c r="AU165" i="80" s="1"/>
  <c r="AZ204" i="80"/>
  <c r="AV234" i="80"/>
  <c r="BB398" i="80"/>
  <c r="AW398" i="80" a="1"/>
  <c r="AW398" i="80" s="1"/>
  <c r="AV398" i="80"/>
  <c r="AM398" i="80"/>
  <c r="AU398" i="80" s="1"/>
  <c r="AP398" i="80"/>
  <c r="AO398" i="80"/>
  <c r="AG398" i="80" s="1"/>
  <c r="AF398" i="80" s="1"/>
  <c r="AV172" i="80"/>
  <c r="AZ271" i="80"/>
  <c r="M13" i="80"/>
  <c r="O17" i="80"/>
  <c r="M28" i="80"/>
  <c r="AK30" i="80"/>
  <c r="B30" i="80"/>
  <c r="AP46" i="80"/>
  <c r="M51" i="80"/>
  <c r="BB61" i="80"/>
  <c r="AP61" i="80"/>
  <c r="AO61" i="80"/>
  <c r="AM61" i="80"/>
  <c r="AU61" i="80" s="1"/>
  <c r="O102" i="80"/>
  <c r="O95" i="80"/>
  <c r="O100" i="80"/>
  <c r="O73" i="80"/>
  <c r="O77" i="80"/>
  <c r="O99" i="80"/>
  <c r="O96" i="80"/>
  <c r="O81" i="80"/>
  <c r="O93" i="80"/>
  <c r="O88" i="80"/>
  <c r="O66" i="80"/>
  <c r="O105" i="80"/>
  <c r="O85" i="80"/>
  <c r="O72" i="80"/>
  <c r="O62" i="80"/>
  <c r="AZ70" i="80"/>
  <c r="AV70" i="80"/>
  <c r="AO70" i="80"/>
  <c r="AQ70" i="80" s="1"/>
  <c r="AP70" i="80"/>
  <c r="B82" i="80"/>
  <c r="AK82" i="80"/>
  <c r="AM87" i="80"/>
  <c r="AU87" i="80" s="1"/>
  <c r="AK131" i="80"/>
  <c r="AP170" i="80"/>
  <c r="BB239" i="80"/>
  <c r="AW239" i="80" a="1"/>
  <c r="AW239" i="80" s="1"/>
  <c r="AP239" i="80"/>
  <c r="AO239" i="80"/>
  <c r="AM239" i="80"/>
  <c r="AU239" i="80" s="1"/>
  <c r="AV239" i="80"/>
  <c r="AO492" i="80"/>
  <c r="AQ492" i="80" s="1"/>
  <c r="BG492" i="80" s="1"/>
  <c r="BA492" i="80" s="1"/>
  <c r="BD492" i="80" s="1"/>
  <c r="BB400" i="80"/>
  <c r="AZ400" i="80"/>
  <c r="AO400" i="80"/>
  <c r="AP400" i="80"/>
  <c r="AM400" i="80"/>
  <c r="AU400" i="80" s="1"/>
  <c r="AW502" i="80" a="1"/>
  <c r="AW502" i="80" s="1"/>
  <c r="AO502" i="80"/>
  <c r="AG502" i="80" s="1"/>
  <c r="AM502" i="80"/>
  <c r="AU502" i="80" s="1"/>
  <c r="BB502" i="80"/>
  <c r="AZ502" i="80"/>
  <c r="N128" i="80"/>
  <c r="AO128" i="80" s="1"/>
  <c r="N118" i="80"/>
  <c r="N132" i="80"/>
  <c r="AO132" i="80" s="1"/>
  <c r="AQ132" i="80" s="1"/>
  <c r="N147" i="80"/>
  <c r="N145" i="80"/>
  <c r="N153" i="80"/>
  <c r="N135" i="80"/>
  <c r="BB229" i="80"/>
  <c r="AZ229" i="80"/>
  <c r="AP229" i="80"/>
  <c r="AO229" i="80"/>
  <c r="AG229" i="80" s="1"/>
  <c r="AM449" i="80"/>
  <c r="AU449" i="80" s="1"/>
  <c r="AZ469" i="80"/>
  <c r="AV469" i="80"/>
  <c r="AK92" i="80"/>
  <c r="AP92" i="80" s="1"/>
  <c r="B92" i="80"/>
  <c r="AV212" i="80"/>
  <c r="AW212" i="80" a="1"/>
  <c r="AW212" i="80" s="1"/>
  <c r="AP212" i="80"/>
  <c r="AO212" i="80"/>
  <c r="AG212" i="80" s="1"/>
  <c r="AF212" i="80" s="1"/>
  <c r="AM218" i="80"/>
  <c r="AU218" i="80" s="1"/>
  <c r="AM229" i="80"/>
  <c r="AU229" i="80" s="1"/>
  <c r="AM386" i="80"/>
  <c r="AU386" i="80" s="1"/>
  <c r="AW386" i="80" a="1"/>
  <c r="AW386" i="80" s="1"/>
  <c r="BB386" i="80"/>
  <c r="AZ386" i="80"/>
  <c r="AO469" i="80"/>
  <c r="AV496" i="80"/>
  <c r="AO531" i="79"/>
  <c r="AW102" i="80" a="1"/>
  <c r="AW102" i="80" s="1"/>
  <c r="AM108" i="80"/>
  <c r="AU108" i="80" s="1"/>
  <c r="N114" i="80"/>
  <c r="P142" i="80"/>
  <c r="P148" i="80"/>
  <c r="P131" i="80"/>
  <c r="P124" i="80"/>
  <c r="P114" i="80"/>
  <c r="P115" i="80"/>
  <c r="P135" i="80"/>
  <c r="P120" i="80"/>
  <c r="P117" i="80"/>
  <c r="P145" i="80"/>
  <c r="P119" i="80"/>
  <c r="P147" i="80"/>
  <c r="P156" i="80"/>
  <c r="BB178" i="80"/>
  <c r="AZ178" i="80"/>
  <c r="AM212" i="80"/>
  <c r="AU212" i="80" s="1"/>
  <c r="AP218" i="80"/>
  <c r="BB255" i="80"/>
  <c r="AM255" i="80"/>
  <c r="AU255" i="80" s="1"/>
  <c r="AP255" i="80"/>
  <c r="AO255" i="80"/>
  <c r="BB293" i="80"/>
  <c r="AW293" i="80" a="1"/>
  <c r="AW293" i="80" s="1"/>
  <c r="AV293" i="80"/>
  <c r="AM293" i="80"/>
  <c r="AU293" i="80" s="1"/>
  <c r="AO386" i="80"/>
  <c r="BB434" i="80"/>
  <c r="AZ434" i="80"/>
  <c r="AW434" i="80" a="1"/>
  <c r="AW434" i="80" s="1"/>
  <c r="AO434" i="80"/>
  <c r="AV434" i="80"/>
  <c r="BB449" i="80"/>
  <c r="AP469" i="80"/>
  <c r="AW496" i="80" a="1"/>
  <c r="AW496" i="80" s="1"/>
  <c r="BB548" i="80"/>
  <c r="AV548" i="80"/>
  <c r="AZ548" i="80"/>
  <c r="AO548" i="80"/>
  <c r="AG548" i="80" s="1"/>
  <c r="AW548" i="80" a="1"/>
  <c r="AW548" i="80" s="1"/>
  <c r="AW479" i="80" a="1"/>
  <c r="AW479" i="80" s="1"/>
  <c r="AO479" i="80"/>
  <c r="AZ188" i="80"/>
  <c r="AP188" i="80"/>
  <c r="AO188" i="80"/>
  <c r="BB188" i="80"/>
  <c r="AW188" i="80" a="1"/>
  <c r="AW188" i="80" s="1"/>
  <c r="AM188" i="80"/>
  <c r="AU188" i="80" s="1"/>
  <c r="AZ238" i="80"/>
  <c r="AP238" i="80"/>
  <c r="AO238" i="80"/>
  <c r="AQ238" i="80" s="1"/>
  <c r="AM238" i="80"/>
  <c r="AU238" i="80" s="1"/>
  <c r="AW238" i="80" a="1"/>
  <c r="AW238" i="80" s="1"/>
  <c r="BB238" i="80"/>
  <c r="B96" i="80"/>
  <c r="AK96" i="80"/>
  <c r="AM96" i="80" s="1"/>
  <c r="AU96" i="80" s="1"/>
  <c r="AV102" i="80"/>
  <c r="O128" i="80"/>
  <c r="AP128" i="80" s="1"/>
  <c r="O148" i="80"/>
  <c r="O131" i="80"/>
  <c r="O124" i="80"/>
  <c r="AP124" i="80" s="1"/>
  <c r="O114" i="80"/>
  <c r="O145" i="80"/>
  <c r="O135" i="80"/>
  <c r="O147" i="80"/>
  <c r="AP139" i="80"/>
  <c r="AO139" i="80"/>
  <c r="AQ139" i="80" s="1"/>
  <c r="AW139" i="80" a="1"/>
  <c r="AW139" i="80" s="1"/>
  <c r="AV139" i="80"/>
  <c r="AZ185" i="80"/>
  <c r="AW185" i="80" a="1"/>
  <c r="AW185" i="80" s="1"/>
  <c r="AV185" i="80"/>
  <c r="AP185" i="80"/>
  <c r="AM185" i="80"/>
  <c r="AU185" i="80" s="1"/>
  <c r="AO185" i="80"/>
  <c r="AV238" i="80"/>
  <c r="AW480" i="80" a="1"/>
  <c r="AW480" i="80" s="1"/>
  <c r="AV480" i="80"/>
  <c r="AM480" i="80"/>
  <c r="AU480" i="80" s="1"/>
  <c r="AP531" i="79"/>
  <c r="AV48" i="80"/>
  <c r="BB48" i="80"/>
  <c r="BB62" i="80"/>
  <c r="AZ62" i="80"/>
  <c r="AV62" i="80"/>
  <c r="AY108" i="80"/>
  <c r="BB114" i="80"/>
  <c r="AW114" i="80" a="1"/>
  <c r="AW114" i="80" s="1"/>
  <c r="AV114" i="80"/>
  <c r="AM139" i="80"/>
  <c r="AU139" i="80" s="1"/>
  <c r="N152" i="80"/>
  <c r="AO178" i="80"/>
  <c r="AQ178" i="80" s="1"/>
  <c r="BG178" i="80" s="1"/>
  <c r="BA178" i="80" s="1"/>
  <c r="BD178" i="80" s="1"/>
  <c r="AV188" i="80"/>
  <c r="BB191" i="80"/>
  <c r="AV191" i="80"/>
  <c r="AZ191" i="80"/>
  <c r="AZ212" i="80"/>
  <c r="BB283" i="80"/>
  <c r="AM283" i="80"/>
  <c r="AU283" i="80" s="1"/>
  <c r="AZ283" i="80"/>
  <c r="AO283" i="80"/>
  <c r="AG283" i="80" s="1"/>
  <c r="AO293" i="80"/>
  <c r="BB296" i="80"/>
  <c r="AZ296" i="80"/>
  <c r="AW296" i="80" a="1"/>
  <c r="AW296" i="80" s="1"/>
  <c r="AV296" i="80"/>
  <c r="AZ339" i="80"/>
  <c r="BB339" i="80"/>
  <c r="AP339" i="80"/>
  <c r="AP386" i="80"/>
  <c r="AM434" i="80"/>
  <c r="AU434" i="80" s="1"/>
  <c r="AP480" i="80"/>
  <c r="BB543" i="80"/>
  <c r="AZ543" i="80"/>
  <c r="AM548" i="80"/>
  <c r="AU548" i="80" s="1"/>
  <c r="AV270" i="80"/>
  <c r="AW270" i="80" a="1"/>
  <c r="AW270" i="80" s="1"/>
  <c r="BB270" i="80"/>
  <c r="AZ270" i="80"/>
  <c r="BB277" i="80"/>
  <c r="AW277" i="80" a="1"/>
  <c r="AW277" i="80" s="1"/>
  <c r="AO277" i="80"/>
  <c r="AV277" i="80"/>
  <c r="AP283" i="80"/>
  <c r="AP293" i="80"/>
  <c r="AM296" i="80"/>
  <c r="AU296" i="80" s="1"/>
  <c r="BB321" i="80"/>
  <c r="AZ321" i="80"/>
  <c r="AP321" i="80"/>
  <c r="BB334" i="80"/>
  <c r="AV334" i="80"/>
  <c r="AP334" i="80"/>
  <c r="AZ334" i="80"/>
  <c r="AW334" i="80" a="1"/>
  <c r="AW334" i="80" s="1"/>
  <c r="AO334" i="80"/>
  <c r="AM334" i="80"/>
  <c r="AU334" i="80" s="1"/>
  <c r="AM339" i="80"/>
  <c r="AU339" i="80" s="1"/>
  <c r="AV386" i="80"/>
  <c r="AW410" i="80" a="1"/>
  <c r="AW410" i="80" s="1"/>
  <c r="BB410" i="80"/>
  <c r="AV410" i="80"/>
  <c r="AP410" i="80"/>
  <c r="AP434" i="80"/>
  <c r="AV514" i="80"/>
  <c r="AO543" i="80"/>
  <c r="AQ543" i="80" s="1"/>
  <c r="BG543" i="80" s="1"/>
  <c r="BA543" i="80" s="1"/>
  <c r="BD543" i="80" s="1"/>
  <c r="AP548" i="80"/>
  <c r="AW50" i="80" a="1"/>
  <c r="AW50" i="80" s="1"/>
  <c r="AV50" i="80"/>
  <c r="AV150" i="80"/>
  <c r="BB150" i="80"/>
  <c r="AW150" i="80" a="1"/>
  <c r="AW150" i="80" s="1"/>
  <c r="BB189" i="80"/>
  <c r="AZ189" i="80"/>
  <c r="AW189" i="80" a="1"/>
  <c r="AW189" i="80" s="1"/>
  <c r="BB224" i="80"/>
  <c r="AZ224" i="80"/>
  <c r="AP224" i="80"/>
  <c r="AO224" i="80"/>
  <c r="AV224" i="80"/>
  <c r="AW224" i="80" a="1"/>
  <c r="AW224" i="80" s="1"/>
  <c r="BB247" i="80"/>
  <c r="AW247" i="80" a="1"/>
  <c r="AW247" i="80" s="1"/>
  <c r="AV247" i="80"/>
  <c r="AZ290" i="80"/>
  <c r="AO290" i="80"/>
  <c r="AW290" i="80" a="1"/>
  <c r="AW290" i="80" s="1"/>
  <c r="BB340" i="80"/>
  <c r="AP340" i="80"/>
  <c r="AO340" i="80"/>
  <c r="AG340" i="80" s="1"/>
  <c r="AM340" i="80"/>
  <c r="AU340" i="80" s="1"/>
  <c r="AZ340" i="80"/>
  <c r="AM372" i="80"/>
  <c r="AU372" i="80" s="1"/>
  <c r="AP372" i="80"/>
  <c r="AO372" i="80"/>
  <c r="AW372" i="80" a="1"/>
  <c r="AW372" i="80" s="1"/>
  <c r="AV372" i="80"/>
  <c r="BB415" i="80"/>
  <c r="AZ415" i="80"/>
  <c r="BB419" i="80"/>
  <c r="AV419" i="80"/>
  <c r="AO419" i="80"/>
  <c r="AQ419" i="80" s="1"/>
  <c r="BG419" i="80" s="1"/>
  <c r="BA419" i="80" s="1"/>
  <c r="BD419" i="80" s="1"/>
  <c r="O140" i="80"/>
  <c r="N146" i="80"/>
  <c r="N150" i="80"/>
  <c r="AW179" i="80" a="1"/>
  <c r="AW179" i="80" s="1"/>
  <c r="BB179" i="80"/>
  <c r="AO179" i="80"/>
  <c r="AG179" i="80" s="1"/>
  <c r="AZ179" i="80"/>
  <c r="AV179" i="80"/>
  <c r="AP179" i="80"/>
  <c r="AM189" i="80"/>
  <c r="AU189" i="80" s="1"/>
  <c r="AM224" i="80"/>
  <c r="AU224" i="80" s="1"/>
  <c r="AM247" i="80"/>
  <c r="AU247" i="80" s="1"/>
  <c r="AM290" i="80"/>
  <c r="AU290" i="80" s="1"/>
  <c r="AM415" i="80"/>
  <c r="AU415" i="80" s="1"/>
  <c r="AM419" i="80"/>
  <c r="AU419" i="80" s="1"/>
  <c r="BB69" i="80"/>
  <c r="AP69" i="80"/>
  <c r="AW194" i="80" a="1"/>
  <c r="AW194" i="80" s="1"/>
  <c r="AM206" i="80"/>
  <c r="AU206" i="80" s="1"/>
  <c r="AW208" i="80" a="1"/>
  <c r="AW208" i="80" s="1"/>
  <c r="AV208" i="80"/>
  <c r="AP208" i="80"/>
  <c r="BB208" i="80"/>
  <c r="AM208" i="80"/>
  <c r="AU208" i="80" s="1"/>
  <c r="BB245" i="80"/>
  <c r="AZ245" i="80"/>
  <c r="AP245" i="80"/>
  <c r="AO245" i="80"/>
  <c r="AM245" i="80"/>
  <c r="AU245" i="80" s="1"/>
  <c r="BB248" i="80"/>
  <c r="AZ248" i="80"/>
  <c r="AW248" i="80" a="1"/>
  <c r="AW248" i="80" s="1"/>
  <c r="AV248" i="80"/>
  <c r="BB273" i="80"/>
  <c r="AV273" i="80"/>
  <c r="AW273" i="80" a="1"/>
  <c r="AW273" i="80" s="1"/>
  <c r="AP273" i="80"/>
  <c r="AO273" i="80"/>
  <c r="AQ273" i="80" s="1"/>
  <c r="BG273" i="80" s="1"/>
  <c r="BA273" i="80" s="1"/>
  <c r="AW297" i="80" a="1"/>
  <c r="AW297" i="80" s="1"/>
  <c r="AV297" i="80"/>
  <c r="AP297" i="80"/>
  <c r="BB350" i="80"/>
  <c r="AZ350" i="80"/>
  <c r="AW350" i="80" a="1"/>
  <c r="AW350" i="80" s="1"/>
  <c r="AO350" i="80"/>
  <c r="AQ350" i="80" s="1"/>
  <c r="BG350" i="80" s="1"/>
  <c r="BA350" i="80" s="1"/>
  <c r="BB353" i="80"/>
  <c r="AZ353" i="80"/>
  <c r="AW353" i="80" a="1"/>
  <c r="AW353" i="80" s="1"/>
  <c r="AV353" i="80"/>
  <c r="AP353" i="80"/>
  <c r="AM412" i="80"/>
  <c r="AU412" i="80" s="1"/>
  <c r="AZ446" i="80"/>
  <c r="BB446" i="80"/>
  <c r="AO446" i="80"/>
  <c r="AW446" i="80" a="1"/>
  <c r="AW446" i="80" s="1"/>
  <c r="AV446" i="80"/>
  <c r="AP446" i="80"/>
  <c r="AW497" i="80" a="1"/>
  <c r="AW497" i="80" s="1"/>
  <c r="BB497" i="80"/>
  <c r="AZ497" i="80"/>
  <c r="AV497" i="80"/>
  <c r="AM497" i="80"/>
  <c r="AU497" i="80" s="1"/>
  <c r="AP396" i="80"/>
  <c r="AW396" i="80" a="1"/>
  <c r="AW396" i="80" s="1"/>
  <c r="AV396" i="80"/>
  <c r="AO396" i="80"/>
  <c r="AQ396" i="80" s="1"/>
  <c r="BG396" i="80" s="1"/>
  <c r="BA396" i="80" s="1"/>
  <c r="BD396" i="80" s="1"/>
  <c r="AM396" i="80"/>
  <c r="AU396" i="80" s="1"/>
  <c r="BB396" i="80"/>
  <c r="BB506" i="80"/>
  <c r="AP506" i="80"/>
  <c r="AO506" i="80"/>
  <c r="AV506" i="80"/>
  <c r="AM506" i="80"/>
  <c r="AU506" i="80" s="1"/>
  <c r="AV55" i="80"/>
  <c r="AZ58" i="80"/>
  <c r="AM60" i="80"/>
  <c r="AU60" i="80" s="1"/>
  <c r="BB68" i="80"/>
  <c r="AP68" i="80"/>
  <c r="AM69" i="80"/>
  <c r="AU69" i="80" s="1"/>
  <c r="AP138" i="80"/>
  <c r="AV138" i="80"/>
  <c r="AO138" i="80"/>
  <c r="AQ138" i="80" s="1"/>
  <c r="BG138" i="80" s="1"/>
  <c r="BA138" i="80" s="1"/>
  <c r="BD138" i="80" s="1"/>
  <c r="AM161" i="80"/>
  <c r="AU161" i="80" s="1"/>
  <c r="BB173" i="80"/>
  <c r="AV173" i="80"/>
  <c r="AP173" i="80"/>
  <c r="AO173" i="80"/>
  <c r="AO206" i="80"/>
  <c r="AO208" i="80"/>
  <c r="AG208" i="80" s="1"/>
  <c r="BB231" i="80"/>
  <c r="AW231" i="80" a="1"/>
  <c r="AW231" i="80" s="1"/>
  <c r="AW233" i="80" a="1"/>
  <c r="AW233" i="80" s="1"/>
  <c r="AV233" i="80"/>
  <c r="AM248" i="80"/>
  <c r="AU248" i="80" s="1"/>
  <c r="AM273" i="80"/>
  <c r="AU273" i="80" s="1"/>
  <c r="BB294" i="80"/>
  <c r="AW294" i="80" a="1"/>
  <c r="AW294" i="80" s="1"/>
  <c r="AV294" i="80"/>
  <c r="AM294" i="80"/>
  <c r="AU294" i="80" s="1"/>
  <c r="AZ297" i="80"/>
  <c r="AP306" i="80"/>
  <c r="BB306" i="80"/>
  <c r="AV306" i="80"/>
  <c r="AZ306" i="80"/>
  <c r="AO306" i="80"/>
  <c r="AQ306" i="80" s="1"/>
  <c r="AM350" i="80"/>
  <c r="AU350" i="80" s="1"/>
  <c r="AM353" i="80"/>
  <c r="AU353" i="80" s="1"/>
  <c r="AV367" i="80"/>
  <c r="AW367" i="80" a="1"/>
  <c r="AW367" i="80" s="1"/>
  <c r="AM369" i="80"/>
  <c r="AU369" i="80" s="1"/>
  <c r="BB401" i="80"/>
  <c r="AW401" i="80" a="1"/>
  <c r="AW401" i="80" s="1"/>
  <c r="AV401" i="80"/>
  <c r="AM446" i="80"/>
  <c r="AU446" i="80" s="1"/>
  <c r="AO497" i="80"/>
  <c r="AZ506" i="80"/>
  <c r="AW526" i="80" a="1"/>
  <c r="AW526" i="80" s="1"/>
  <c r="AO333" i="79"/>
  <c r="AG333" i="79" s="1"/>
  <c r="AY333" i="79" s="1"/>
  <c r="BE333" i="79" s="1"/>
  <c r="BE12" i="80"/>
  <c r="AV36" i="80"/>
  <c r="AW55" i="80" a="1"/>
  <c r="AW55" i="80" s="1"/>
  <c r="AV60" i="80"/>
  <c r="AM67" i="80"/>
  <c r="AU67" i="80" s="1"/>
  <c r="AM68" i="80"/>
  <c r="AU68" i="80" s="1"/>
  <c r="AO69" i="80"/>
  <c r="AQ69" i="80" s="1"/>
  <c r="AM138" i="80"/>
  <c r="AU138" i="80" s="1"/>
  <c r="AO161" i="80"/>
  <c r="AM173" i="80"/>
  <c r="AU173" i="80" s="1"/>
  <c r="AV182" i="80"/>
  <c r="AV198" i="80"/>
  <c r="AP198" i="80"/>
  <c r="AM231" i="80"/>
  <c r="AU231" i="80" s="1"/>
  <c r="AO233" i="80"/>
  <c r="AG233" i="80" s="1"/>
  <c r="AO248" i="80"/>
  <c r="AV257" i="80"/>
  <c r="AZ294" i="80"/>
  <c r="BB297" i="80"/>
  <c r="AM306" i="80"/>
  <c r="AU306" i="80" s="1"/>
  <c r="AV310" i="80"/>
  <c r="BB310" i="80"/>
  <c r="AW310" i="80" a="1"/>
  <c r="AW310" i="80" s="1"/>
  <c r="AZ310" i="80"/>
  <c r="AP310" i="80"/>
  <c r="AM332" i="80"/>
  <c r="AU332" i="80" s="1"/>
  <c r="AP350" i="80"/>
  <c r="AO353" i="80"/>
  <c r="AM367" i="80"/>
  <c r="AU367" i="80" s="1"/>
  <c r="AZ369" i="80"/>
  <c r="BB382" i="80"/>
  <c r="AZ382" i="80"/>
  <c r="AW382" i="80" a="1"/>
  <c r="AW382" i="80" s="1"/>
  <c r="AM401" i="80"/>
  <c r="AU401" i="80" s="1"/>
  <c r="AP497" i="80"/>
  <c r="BB518" i="80"/>
  <c r="AZ526" i="80"/>
  <c r="AP194" i="80"/>
  <c r="AV194" i="80"/>
  <c r="AO194" i="80"/>
  <c r="AM194" i="80"/>
  <c r="AU194" i="80" s="1"/>
  <c r="AP412" i="80"/>
  <c r="BB412" i="80"/>
  <c r="AZ412" i="80"/>
  <c r="AO412" i="80"/>
  <c r="AQ412" i="80" s="1"/>
  <c r="AP319" i="79"/>
  <c r="AP333" i="79"/>
  <c r="N26" i="80"/>
  <c r="AM38" i="80"/>
  <c r="AU38" i="80" s="1"/>
  <c r="AO67" i="80"/>
  <c r="AG67" i="80" s="1"/>
  <c r="AO68" i="80"/>
  <c r="AV69" i="80"/>
  <c r="AV135" i="80"/>
  <c r="AW138" i="80" a="1"/>
  <c r="AW138" i="80" s="1"/>
  <c r="AP161" i="80"/>
  <c r="AZ208" i="80"/>
  <c r="AM225" i="80"/>
  <c r="AU225" i="80" s="1"/>
  <c r="AW225" i="80" a="1"/>
  <c r="AW225" i="80" s="1"/>
  <c r="AO231" i="80"/>
  <c r="AG231" i="80" s="1"/>
  <c r="AP233" i="80"/>
  <c r="AP248" i="80"/>
  <c r="AZ257" i="80"/>
  <c r="AZ273" i="80"/>
  <c r="AO367" i="80"/>
  <c r="AG367" i="80" s="1"/>
  <c r="BB370" i="80"/>
  <c r="AZ370" i="80"/>
  <c r="AW370" i="80" a="1"/>
  <c r="AW370" i="80" s="1"/>
  <c r="AV370" i="80"/>
  <c r="AW412" i="80" a="1"/>
  <c r="AW412" i="80" s="1"/>
  <c r="BB428" i="80"/>
  <c r="AZ428" i="80"/>
  <c r="AO428" i="80"/>
  <c r="AQ428" i="80" s="1"/>
  <c r="BG428" i="80" s="1"/>
  <c r="BA428" i="80" s="1"/>
  <c r="BD428" i="80" s="1"/>
  <c r="AW428" i="80" a="1"/>
  <c r="AW428" i="80" s="1"/>
  <c r="AV428" i="80"/>
  <c r="AV471" i="80"/>
  <c r="AM471" i="80"/>
  <c r="AU471" i="80" s="1"/>
  <c r="AW519" i="80" a="1"/>
  <c r="AW519" i="80" s="1"/>
  <c r="AV519" i="80"/>
  <c r="BB545" i="80"/>
  <c r="AV545" i="80"/>
  <c r="AZ268" i="80"/>
  <c r="BB268" i="80"/>
  <c r="AP268" i="80"/>
  <c r="AV268" i="80"/>
  <c r="AO268" i="80"/>
  <c r="AQ268" i="80" s="1"/>
  <c r="AM268" i="80"/>
  <c r="AU268" i="80" s="1"/>
  <c r="AM344" i="80"/>
  <c r="AU344" i="80" s="1"/>
  <c r="AP344" i="80"/>
  <c r="AO344" i="80"/>
  <c r="AQ344" i="80" s="1"/>
  <c r="AM378" i="80"/>
  <c r="AU378" i="80" s="1"/>
  <c r="BB378" i="80"/>
  <c r="AP378" i="80"/>
  <c r="AG458" i="80"/>
  <c r="BB503" i="80"/>
  <c r="AZ503" i="80"/>
  <c r="B151" i="80"/>
  <c r="AW202" i="80" a="1"/>
  <c r="AW202" i="80" s="1"/>
  <c r="AW211" i="80" a="1"/>
  <c r="AW211" i="80" s="1"/>
  <c r="AZ276" i="80"/>
  <c r="AP276" i="80"/>
  <c r="AZ344" i="80"/>
  <c r="AZ358" i="80"/>
  <c r="AP358" i="80"/>
  <c r="AO358" i="80"/>
  <c r="AQ358" i="80" s="1"/>
  <c r="AM358" i="80"/>
  <c r="AU358" i="80" s="1"/>
  <c r="BB358" i="80"/>
  <c r="BB375" i="80"/>
  <c r="AZ375" i="80"/>
  <c r="AZ378" i="80"/>
  <c r="AW466" i="80" a="1"/>
  <c r="AW466" i="80" s="1"/>
  <c r="AV466" i="80"/>
  <c r="AM466" i="80"/>
  <c r="AU466" i="80" s="1"/>
  <c r="BB466" i="80"/>
  <c r="AZ466" i="80"/>
  <c r="AP503" i="80"/>
  <c r="AZ258" i="80"/>
  <c r="AP258" i="80"/>
  <c r="AO258" i="80"/>
  <c r="AQ258" i="80" s="1"/>
  <c r="BG258" i="80" s="1"/>
  <c r="BA258" i="80" s="1"/>
  <c r="BD258" i="80" s="1"/>
  <c r="AM258" i="80"/>
  <c r="AU258" i="80" s="1"/>
  <c r="AM276" i="80"/>
  <c r="AU276" i="80" s="1"/>
  <c r="AM278" i="80"/>
  <c r="AU278" i="80" s="1"/>
  <c r="AV278" i="80"/>
  <c r="AW278" i="80" a="1"/>
  <c r="AW278" i="80" s="1"/>
  <c r="AM284" i="80"/>
  <c r="AU284" i="80" s="1"/>
  <c r="BB344" i="80"/>
  <c r="BB456" i="80"/>
  <c r="AZ456" i="80"/>
  <c r="AP456" i="80"/>
  <c r="AZ511" i="80"/>
  <c r="AW511" i="80" a="1"/>
  <c r="AW511" i="80" s="1"/>
  <c r="BB511" i="80"/>
  <c r="BB269" i="80"/>
  <c r="AZ269" i="80"/>
  <c r="AW311" i="80" a="1"/>
  <c r="AW311" i="80" s="1"/>
  <c r="AV311" i="80"/>
  <c r="AP311" i="80"/>
  <c r="BB324" i="80"/>
  <c r="AW324" i="80" a="1"/>
  <c r="AW324" i="80" s="1"/>
  <c r="AV324" i="80"/>
  <c r="AP324" i="80"/>
  <c r="AM331" i="80"/>
  <c r="AU331" i="80" s="1"/>
  <c r="AW331" i="80" a="1"/>
  <c r="AW331" i="80" s="1"/>
  <c r="AV331" i="80"/>
  <c r="BB337" i="80"/>
  <c r="AZ337" i="80"/>
  <c r="AP337" i="80"/>
  <c r="BB351" i="80"/>
  <c r="AM351" i="80"/>
  <c r="AU351" i="80" s="1"/>
  <c r="AV364" i="80"/>
  <c r="BB364" i="80"/>
  <c r="AZ364" i="80"/>
  <c r="AM364" i="80"/>
  <c r="AU364" i="80" s="1"/>
  <c r="AP413" i="80"/>
  <c r="AO413" i="80"/>
  <c r="AM413" i="80"/>
  <c r="AU413" i="80" s="1"/>
  <c r="AZ413" i="80"/>
  <c r="AV413" i="80"/>
  <c r="BB440" i="80"/>
  <c r="AZ440" i="80"/>
  <c r="AW440" i="80" a="1"/>
  <c r="AW440" i="80" s="1"/>
  <c r="AV440" i="80"/>
  <c r="AP440" i="80"/>
  <c r="AM456" i="80"/>
  <c r="AU456" i="80" s="1"/>
  <c r="BB460" i="80"/>
  <c r="AZ460" i="80"/>
  <c r="AW460" i="80" a="1"/>
  <c r="AW460" i="80" s="1"/>
  <c r="AV503" i="80"/>
  <c r="AM511" i="80"/>
  <c r="AU511" i="80" s="1"/>
  <c r="BB516" i="80"/>
  <c r="AP516" i="80"/>
  <c r="AO516" i="80"/>
  <c r="AM516" i="80"/>
  <c r="AU516" i="80" s="1"/>
  <c r="AZ516" i="80"/>
  <c r="AW516" i="80" a="1"/>
  <c r="AW516" i="80" s="1"/>
  <c r="AV516" i="80"/>
  <c r="AP525" i="80"/>
  <c r="AO525" i="80"/>
  <c r="AG525" i="80" s="1"/>
  <c r="AM525" i="80"/>
  <c r="AU525" i="80" s="1"/>
  <c r="AW423" i="80" a="1"/>
  <c r="AW423" i="80" s="1"/>
  <c r="BB423" i="80"/>
  <c r="AZ423" i="80"/>
  <c r="AP423" i="80"/>
  <c r="AO478" i="80"/>
  <c r="AW478" i="80" a="1"/>
  <c r="AW478" i="80" s="1"/>
  <c r="AV478" i="80"/>
  <c r="AM478" i="80"/>
  <c r="AU478" i="80" s="1"/>
  <c r="AP534" i="80"/>
  <c r="AO534" i="80"/>
  <c r="AG534" i="80" s="1"/>
  <c r="AF534" i="80" s="1"/>
  <c r="AM534" i="80"/>
  <c r="AU534" i="80" s="1"/>
  <c r="AM207" i="80"/>
  <c r="AU207" i="80" s="1"/>
  <c r="AM214" i="80"/>
  <c r="AU214" i="80" s="1"/>
  <c r="AZ281" i="80"/>
  <c r="AW281" i="80" a="1"/>
  <c r="AW281" i="80" s="1"/>
  <c r="AV281" i="80"/>
  <c r="AM281" i="80"/>
  <c r="AU281" i="80" s="1"/>
  <c r="AM308" i="80"/>
  <c r="AU308" i="80" s="1"/>
  <c r="BB313" i="80"/>
  <c r="AZ313" i="80"/>
  <c r="AM320" i="80"/>
  <c r="AU320" i="80" s="1"/>
  <c r="AW341" i="80" a="1"/>
  <c r="AW341" i="80" s="1"/>
  <c r="BB417" i="80"/>
  <c r="AV417" i="80"/>
  <c r="AM423" i="80"/>
  <c r="AU423" i="80" s="1"/>
  <c r="AM463" i="80"/>
  <c r="AU463" i="80" s="1"/>
  <c r="AZ463" i="80"/>
  <c r="AW463" i="80" a="1"/>
  <c r="AW463" i="80" s="1"/>
  <c r="AV463" i="80"/>
  <c r="AM489" i="80"/>
  <c r="AU489" i="80" s="1"/>
  <c r="AV541" i="80"/>
  <c r="AW546" i="80" a="1"/>
  <c r="AW546" i="80" s="1"/>
  <c r="AM181" i="80"/>
  <c r="AU181" i="80" s="1"/>
  <c r="AM203" i="80"/>
  <c r="AU203" i="80" s="1"/>
  <c r="AY203" i="80" s="1"/>
  <c r="BE203" i="80" s="1"/>
  <c r="AO207" i="80"/>
  <c r="AQ207" i="80" s="1"/>
  <c r="AO214" i="80"/>
  <c r="AG214" i="80" s="1"/>
  <c r="AF214" i="80" s="1"/>
  <c r="AM236" i="80"/>
  <c r="AU236" i="80" s="1"/>
  <c r="AO281" i="80"/>
  <c r="AQ281" i="80" s="1"/>
  <c r="BG281" i="80" s="1"/>
  <c r="BA281" i="80" s="1"/>
  <c r="BD281" i="80" s="1"/>
  <c r="AO308" i="80"/>
  <c r="AO313" i="80"/>
  <c r="AP330" i="80"/>
  <c r="BB349" i="80"/>
  <c r="AZ349" i="80"/>
  <c r="AV349" i="80"/>
  <c r="AP359" i="80"/>
  <c r="AO423" i="80"/>
  <c r="AQ423" i="80" s="1"/>
  <c r="AV458" i="80"/>
  <c r="AW458" i="80" a="1"/>
  <c r="AW458" i="80" s="1"/>
  <c r="AP478" i="80"/>
  <c r="AO489" i="80"/>
  <c r="AM521" i="80"/>
  <c r="AU521" i="80" s="1"/>
  <c r="AV523" i="80"/>
  <c r="AZ534" i="80"/>
  <c r="AW541" i="80" a="1"/>
  <c r="AW541" i="80" s="1"/>
  <c r="AZ546" i="80"/>
  <c r="AP207" i="80"/>
  <c r="AP308" i="80"/>
  <c r="AP313" i="80"/>
  <c r="BB330" i="80"/>
  <c r="AZ341" i="80"/>
  <c r="BB365" i="80"/>
  <c r="AP365" i="80"/>
  <c r="AO365" i="80"/>
  <c r="AG365" i="80" s="1"/>
  <c r="AF365" i="80" s="1"/>
  <c r="AM365" i="80"/>
  <c r="AU365" i="80" s="1"/>
  <c r="BB414" i="80"/>
  <c r="AZ414" i="80"/>
  <c r="AP489" i="80"/>
  <c r="AP498" i="80"/>
  <c r="AO498" i="80"/>
  <c r="AG498" i="80" s="1"/>
  <c r="AM498" i="80"/>
  <c r="AU498" i="80" s="1"/>
  <c r="BB534" i="80"/>
  <c r="BB538" i="80"/>
  <c r="AZ538" i="80"/>
  <c r="BB546" i="80"/>
  <c r="AZ309" i="80"/>
  <c r="AV439" i="80"/>
  <c r="AW454" i="80" a="1"/>
  <c r="AW454" i="80" s="1"/>
  <c r="AM301" i="80"/>
  <c r="AU301" i="80" s="1"/>
  <c r="AY301" i="80" s="1"/>
  <c r="BE301" i="80" s="1"/>
  <c r="AW326" i="80" a="1"/>
  <c r="AW326" i="80" s="1"/>
  <c r="AM422" i="80"/>
  <c r="AU422" i="80" s="1"/>
  <c r="AV484" i="80"/>
  <c r="AO513" i="80"/>
  <c r="AQ513" i="80" s="1"/>
  <c r="BG513" i="80" s="1"/>
  <c r="BA513" i="80" s="1"/>
  <c r="BD513" i="80" s="1"/>
  <c r="AO531" i="80"/>
  <c r="AQ531" i="80" s="1"/>
  <c r="BG531" i="80" s="1"/>
  <c r="BA531" i="80" s="1"/>
  <c r="BD531" i="80" s="1"/>
  <c r="AV536" i="80"/>
  <c r="AM547" i="80"/>
  <c r="AU547" i="80" s="1"/>
  <c r="AZ326" i="80"/>
  <c r="AV366" i="80"/>
  <c r="AV374" i="80"/>
  <c r="AO547" i="80"/>
  <c r="AQ547" i="80" s="1"/>
  <c r="AQ37" i="80"/>
  <c r="BG37" i="80" s="1"/>
  <c r="BA37" i="80" s="1"/>
  <c r="BD37" i="80" s="1"/>
  <c r="AG37" i="80"/>
  <c r="AF37" i="80" s="1"/>
  <c r="AG103" i="80"/>
  <c r="AF103" i="80" s="1"/>
  <c r="AQ103" i="80"/>
  <c r="BG103" i="80" s="1"/>
  <c r="BA103" i="80" s="1"/>
  <c r="BD103" i="80" s="1"/>
  <c r="AV110" i="80"/>
  <c r="AP110" i="80"/>
  <c r="AO110" i="80"/>
  <c r="BB110" i="80"/>
  <c r="AM110" i="80"/>
  <c r="AU110" i="80" s="1"/>
  <c r="AW110" i="80" a="1"/>
  <c r="AW110" i="80" s="1"/>
  <c r="AZ110" i="80"/>
  <c r="AQ235" i="80"/>
  <c r="BG235" i="80" s="1"/>
  <c r="BA235" i="80" s="1"/>
  <c r="BD235" i="80" s="1"/>
  <c r="AG235" i="80"/>
  <c r="AF235" i="80" s="1"/>
  <c r="AD85" i="80"/>
  <c r="AD71" i="80"/>
  <c r="AP89" i="80"/>
  <c r="AO89" i="80"/>
  <c r="AM89" i="80"/>
  <c r="AU89" i="80" s="1"/>
  <c r="AZ89" i="80"/>
  <c r="AW89" i="80" a="1"/>
  <c r="AW89" i="80" s="1"/>
  <c r="BB89" i="80"/>
  <c r="AV89" i="80"/>
  <c r="B146" i="80"/>
  <c r="AK146" i="80"/>
  <c r="AG163" i="80"/>
  <c r="AF163" i="80" s="1"/>
  <c r="AQ163" i="80"/>
  <c r="BG163" i="80" s="1"/>
  <c r="BA163" i="80" s="1"/>
  <c r="BD163" i="80" s="1"/>
  <c r="AK26" i="80"/>
  <c r="B26" i="80"/>
  <c r="AW221" i="80" a="1"/>
  <c r="AW221" i="80" s="1"/>
  <c r="AV221" i="80"/>
  <c r="AZ221" i="80"/>
  <c r="AM221" i="80"/>
  <c r="AU221" i="80" s="1"/>
  <c r="BB221" i="80"/>
  <c r="AP221" i="80"/>
  <c r="AO221" i="80"/>
  <c r="B74" i="80"/>
  <c r="AK74" i="80"/>
  <c r="AM485" i="79"/>
  <c r="AU485" i="79" s="1"/>
  <c r="BB485" i="79"/>
  <c r="AZ485" i="79"/>
  <c r="AV485" i="79"/>
  <c r="AW485" i="79" a="1"/>
  <c r="AW485" i="79" s="1"/>
  <c r="AW305" i="80" a="1"/>
  <c r="AW305" i="80" s="1"/>
  <c r="AV305" i="80"/>
  <c r="AM305" i="80"/>
  <c r="AU305" i="80" s="1"/>
  <c r="BB305" i="80"/>
  <c r="AO305" i="80"/>
  <c r="AZ305" i="80"/>
  <c r="AP305" i="80"/>
  <c r="AP227" i="80"/>
  <c r="AO227" i="80"/>
  <c r="AM227" i="80"/>
  <c r="AU227" i="80" s="1"/>
  <c r="AW227" i="80" a="1"/>
  <c r="AW227" i="80" s="1"/>
  <c r="AV227" i="80"/>
  <c r="AZ227" i="80"/>
  <c r="BB227" i="80"/>
  <c r="AQ249" i="80"/>
  <c r="BG249" i="80" s="1"/>
  <c r="BA249" i="80" s="1"/>
  <c r="BD249" i="80" s="1"/>
  <c r="AG249" i="80"/>
  <c r="AF249" i="80" s="1"/>
  <c r="AK45" i="80"/>
  <c r="B45" i="80"/>
  <c r="AK72" i="80"/>
  <c r="B72" i="80"/>
  <c r="AZ230" i="80"/>
  <c r="AV230" i="80"/>
  <c r="AP230" i="80"/>
  <c r="AO230" i="80"/>
  <c r="BB230" i="80"/>
  <c r="AW230" i="80" a="1"/>
  <c r="AW230" i="80" s="1"/>
  <c r="AM230" i="80"/>
  <c r="AU230" i="80" s="1"/>
  <c r="AQ348" i="80"/>
  <c r="BG348" i="80" s="1"/>
  <c r="BA348" i="80" s="1"/>
  <c r="BD348" i="80" s="1"/>
  <c r="AG348" i="80"/>
  <c r="AF348" i="80" s="1"/>
  <c r="B49" i="80"/>
  <c r="AK49" i="80"/>
  <c r="AM103" i="80"/>
  <c r="AU103" i="80" s="1"/>
  <c r="AW103" i="80" a="1"/>
  <c r="AW103" i="80" s="1"/>
  <c r="AV103" i="80"/>
  <c r="BB103" i="80"/>
  <c r="AZ103" i="80"/>
  <c r="AP103" i="80"/>
  <c r="M116" i="80"/>
  <c r="DE3" i="80"/>
  <c r="B77" i="80"/>
  <c r="AK77" i="80"/>
  <c r="AP116" i="80"/>
  <c r="AO116" i="80"/>
  <c r="AG116" i="80" s="1"/>
  <c r="AM116" i="80"/>
  <c r="AU116" i="80" s="1"/>
  <c r="AZ116" i="80"/>
  <c r="AW116" i="80" a="1"/>
  <c r="AW116" i="80" s="1"/>
  <c r="AV116" i="80"/>
  <c r="BB116" i="80"/>
  <c r="AG44" i="80"/>
  <c r="AQ44" i="80"/>
  <c r="BG44" i="80" s="1"/>
  <c r="BA44" i="80" s="1"/>
  <c r="BD44" i="80" s="1"/>
  <c r="AW187" i="80" a="1"/>
  <c r="AW187" i="80" s="1"/>
  <c r="AV187" i="80"/>
  <c r="AP187" i="80"/>
  <c r="AZ187" i="80"/>
  <c r="AO187" i="80"/>
  <c r="BB187" i="80"/>
  <c r="AM187" i="80"/>
  <c r="AU187" i="80" s="1"/>
  <c r="AW171" i="80" a="1"/>
  <c r="AW171" i="80" s="1"/>
  <c r="AP171" i="80"/>
  <c r="AM171" i="80"/>
  <c r="AU171" i="80" s="1"/>
  <c r="AO171" i="80"/>
  <c r="BB171" i="80"/>
  <c r="AZ171" i="80"/>
  <c r="AV171" i="80"/>
  <c r="AM37" i="80"/>
  <c r="AU37" i="80" s="1"/>
  <c r="AP37" i="80"/>
  <c r="AW37" i="80" a="1"/>
  <c r="AW37" i="80" s="1"/>
  <c r="AV37" i="80"/>
  <c r="BB37" i="80"/>
  <c r="AZ37" i="80"/>
  <c r="AG416" i="80"/>
  <c r="AF416" i="80" s="1"/>
  <c r="AQ416" i="80"/>
  <c r="BG416" i="80" s="1"/>
  <c r="BA416" i="80" s="1"/>
  <c r="BD416" i="80" s="1"/>
  <c r="AO495" i="79"/>
  <c r="AG495" i="79" s="1"/>
  <c r="AO167" i="80"/>
  <c r="AM167" i="80"/>
  <c r="AU167" i="80" s="1"/>
  <c r="AZ167" i="80"/>
  <c r="BB167" i="80"/>
  <c r="AV167" i="80"/>
  <c r="AW167" i="80" a="1"/>
  <c r="AW167" i="80" s="1"/>
  <c r="AP167" i="80"/>
  <c r="AQ215" i="80"/>
  <c r="BG215" i="80" s="1"/>
  <c r="BA215" i="80" s="1"/>
  <c r="BD215" i="80" s="1"/>
  <c r="AG215" i="80"/>
  <c r="AF215" i="80" s="1"/>
  <c r="AP357" i="80"/>
  <c r="AO357" i="80"/>
  <c r="AM357" i="80"/>
  <c r="AU357" i="80" s="1"/>
  <c r="AZ357" i="80"/>
  <c r="BB357" i="80"/>
  <c r="AV357" i="80"/>
  <c r="AW357" i="80" a="1"/>
  <c r="AW357" i="80" s="1"/>
  <c r="AM195" i="80"/>
  <c r="AU195" i="80" s="1"/>
  <c r="AP195" i="80"/>
  <c r="BB195" i="80"/>
  <c r="AZ195" i="80"/>
  <c r="AV195" i="80"/>
  <c r="AO195" i="80"/>
  <c r="AW195" i="80" a="1"/>
  <c r="AW195" i="80" s="1"/>
  <c r="BB406" i="80"/>
  <c r="AZ406" i="80"/>
  <c r="AM406" i="80"/>
  <c r="AU406" i="80" s="1"/>
  <c r="AW406" i="80" a="1"/>
  <c r="AW406" i="80" s="1"/>
  <c r="AV406" i="80"/>
  <c r="AP406" i="80"/>
  <c r="AO406" i="80"/>
  <c r="AQ169" i="80"/>
  <c r="BG169" i="80" s="1"/>
  <c r="BA169" i="80" s="1"/>
  <c r="BD169" i="80" s="1"/>
  <c r="AG169" i="80"/>
  <c r="AO425" i="80"/>
  <c r="AM425" i="80"/>
  <c r="AU425" i="80" s="1"/>
  <c r="AP425" i="80"/>
  <c r="AW425" i="80" a="1"/>
  <c r="AW425" i="80" s="1"/>
  <c r="AV425" i="80"/>
  <c r="BB425" i="80"/>
  <c r="AA85" i="80"/>
  <c r="AW39" i="80" a="1"/>
  <c r="AW39" i="80" s="1"/>
  <c r="AV39" i="80"/>
  <c r="AZ39" i="80"/>
  <c r="BB39" i="80"/>
  <c r="AP39" i="80"/>
  <c r="AM39" i="80"/>
  <c r="AU39" i="80" s="1"/>
  <c r="AO39" i="80"/>
  <c r="AQ265" i="80"/>
  <c r="BG265" i="80" s="1"/>
  <c r="BA265" i="80" s="1"/>
  <c r="BD265" i="80" s="1"/>
  <c r="AG265" i="80"/>
  <c r="AF265" i="80" s="1"/>
  <c r="AM217" i="80"/>
  <c r="AU217" i="80" s="1"/>
  <c r="AW217" i="80" a="1"/>
  <c r="AW217" i="80" s="1"/>
  <c r="AV217" i="80"/>
  <c r="AO217" i="80"/>
  <c r="BB217" i="80"/>
  <c r="AZ217" i="80"/>
  <c r="AP40" i="80"/>
  <c r="BB40" i="80"/>
  <c r="AZ40" i="80"/>
  <c r="AM40" i="80"/>
  <c r="AU40" i="80" s="1"/>
  <c r="B95" i="80"/>
  <c r="AK95" i="80"/>
  <c r="AV137" i="80"/>
  <c r="BB137" i="80"/>
  <c r="AZ137" i="80"/>
  <c r="AW137" i="80" a="1"/>
  <c r="AW137" i="80" s="1"/>
  <c r="AP137" i="80"/>
  <c r="AZ180" i="80"/>
  <c r="AV180" i="80"/>
  <c r="BB180" i="80"/>
  <c r="AW180" i="80" a="1"/>
  <c r="AW180" i="80" s="1"/>
  <c r="AM542" i="80"/>
  <c r="AU542" i="80" s="1"/>
  <c r="BB542" i="80"/>
  <c r="AZ542" i="80"/>
  <c r="AP542" i="80"/>
  <c r="AW542" i="80" a="1"/>
  <c r="AW542" i="80" s="1"/>
  <c r="AO542" i="80"/>
  <c r="AZ292" i="80"/>
  <c r="AW292" i="80" a="1"/>
  <c r="AW292" i="80" s="1"/>
  <c r="AV292" i="80"/>
  <c r="AM292" i="80"/>
  <c r="AU292" i="80" s="1"/>
  <c r="AO292" i="80"/>
  <c r="AP112" i="80"/>
  <c r="B133" i="80"/>
  <c r="AK133" i="80"/>
  <c r="AZ150" i="80"/>
  <c r="AM150" i="80"/>
  <c r="AU150" i="80" s="1"/>
  <c r="AV63" i="80"/>
  <c r="AP63" i="80"/>
  <c r="AO63" i="80"/>
  <c r="BB63" i="80"/>
  <c r="AZ63" i="80"/>
  <c r="AZ158" i="80"/>
  <c r="AV158" i="80"/>
  <c r="AP158" i="80"/>
  <c r="AZ371" i="80"/>
  <c r="AP371" i="80"/>
  <c r="AO371" i="80"/>
  <c r="AV371" i="80"/>
  <c r="AM371" i="80"/>
  <c r="AU371" i="80" s="1"/>
  <c r="BB371" i="80"/>
  <c r="AW371" i="80" a="1"/>
  <c r="AW371" i="80" s="1"/>
  <c r="AZ379" i="79"/>
  <c r="AV32" i="80"/>
  <c r="AW40" i="80" a="1"/>
  <c r="AW40" i="80" s="1"/>
  <c r="AP184" i="80"/>
  <c r="AO184" i="80"/>
  <c r="AM184" i="80"/>
  <c r="AU184" i="80" s="1"/>
  <c r="AZ184" i="80"/>
  <c r="AW184" i="80" a="1"/>
  <c r="AW184" i="80" s="1"/>
  <c r="AV184" i="80"/>
  <c r="AM235" i="80"/>
  <c r="AU235" i="80" s="1"/>
  <c r="BB379" i="79"/>
  <c r="M47" i="80"/>
  <c r="AO136" i="80"/>
  <c r="AO183" i="80"/>
  <c r="AM183" i="80"/>
  <c r="AU183" i="80" s="1"/>
  <c r="BB183" i="80"/>
  <c r="AZ183" i="80"/>
  <c r="AW183" i="80" a="1"/>
  <c r="AW183" i="80" s="1"/>
  <c r="AP322" i="80"/>
  <c r="AO322" i="80"/>
  <c r="AW322" i="80" a="1"/>
  <c r="AW322" i="80" s="1"/>
  <c r="BB322" i="80"/>
  <c r="AZ322" i="80"/>
  <c r="AV322" i="80"/>
  <c r="AM322" i="80"/>
  <c r="AU322" i="80" s="1"/>
  <c r="AP88" i="80"/>
  <c r="AM88" i="80"/>
  <c r="AU88" i="80" s="1"/>
  <c r="AV112" i="80"/>
  <c r="AO113" i="80"/>
  <c r="AP153" i="80"/>
  <c r="AW153" i="80" a="1"/>
  <c r="AW153" i="80" s="1"/>
  <c r="AV153" i="80"/>
  <c r="BB153" i="80"/>
  <c r="AZ153" i="80"/>
  <c r="AO153" i="80"/>
  <c r="AM153" i="80"/>
  <c r="AU153" i="80" s="1"/>
  <c r="AP169" i="80"/>
  <c r="AW215" i="80" a="1"/>
  <c r="AW215" i="80" s="1"/>
  <c r="AV215" i="80"/>
  <c r="AP215" i="80"/>
  <c r="BB215" i="80"/>
  <c r="AZ215" i="80"/>
  <c r="AW240" i="79" a="1"/>
  <c r="AW240" i="79" s="1"/>
  <c r="M25" i="80"/>
  <c r="AW63" i="80" a="1"/>
  <c r="AW63" i="80" s="1"/>
  <c r="N82" i="80"/>
  <c r="AO88" i="80"/>
  <c r="N104" i="80"/>
  <c r="AW106" i="80" a="1"/>
  <c r="AW106" i="80" s="1"/>
  <c r="AV106" i="80"/>
  <c r="AM106" i="80"/>
  <c r="AU106" i="80" s="1"/>
  <c r="AP106" i="80"/>
  <c r="AO106" i="80"/>
  <c r="AV113" i="80"/>
  <c r="AZ136" i="80"/>
  <c r="AO150" i="80"/>
  <c r="AO158" i="80"/>
  <c r="AV220" i="80"/>
  <c r="AM220" i="80"/>
  <c r="AU220" i="80" s="1"/>
  <c r="AW220" i="80" a="1"/>
  <c r="AW220" i="80" s="1"/>
  <c r="AZ220" i="80"/>
  <c r="AO220" i="80"/>
  <c r="AP220" i="80"/>
  <c r="BB220" i="80"/>
  <c r="AW317" i="80" a="1"/>
  <c r="AW317" i="80" s="1"/>
  <c r="AZ317" i="80"/>
  <c r="AV317" i="80"/>
  <c r="AO317" i="80"/>
  <c r="AM317" i="80"/>
  <c r="AU317" i="80" s="1"/>
  <c r="AP379" i="80"/>
  <c r="AW379" i="80" a="1"/>
  <c r="AW379" i="80" s="1"/>
  <c r="AV379" i="80"/>
  <c r="BB379" i="80"/>
  <c r="AZ379" i="80"/>
  <c r="AO379" i="80"/>
  <c r="AM379" i="80"/>
  <c r="AU379" i="80" s="1"/>
  <c r="BB299" i="79"/>
  <c r="AZ299" i="79"/>
  <c r="M17" i="80"/>
  <c r="B52" i="80"/>
  <c r="AK52" i="80"/>
  <c r="O107" i="80"/>
  <c r="O97" i="80"/>
  <c r="O92" i="80"/>
  <c r="O63" i="80"/>
  <c r="O87" i="80"/>
  <c r="O84" i="80"/>
  <c r="O76" i="80"/>
  <c r="O101" i="80"/>
  <c r="O103" i="80"/>
  <c r="O90" i="80"/>
  <c r="O86" i="80"/>
  <c r="O64" i="80"/>
  <c r="O98" i="80"/>
  <c r="O83" i="80"/>
  <c r="O78" i="80"/>
  <c r="AP78" i="80" s="1"/>
  <c r="O68" i="80"/>
  <c r="O74" i="80"/>
  <c r="O65" i="80"/>
  <c r="O71" i="80"/>
  <c r="AP71" i="80" s="1"/>
  <c r="O75" i="80"/>
  <c r="O61" i="80"/>
  <c r="O79" i="80"/>
  <c r="O80" i="80"/>
  <c r="AP80" i="80" s="1"/>
  <c r="AK76" i="80"/>
  <c r="B76" i="80"/>
  <c r="O82" i="80"/>
  <c r="AP102" i="80"/>
  <c r="AO102" i="80"/>
  <c r="AM102" i="80"/>
  <c r="AU102" i="80" s="1"/>
  <c r="O104" i="80"/>
  <c r="AV108" i="80"/>
  <c r="AZ108" i="80"/>
  <c r="AP108" i="80"/>
  <c r="AO108" i="80"/>
  <c r="N142" i="80"/>
  <c r="N138" i="80"/>
  <c r="N127" i="80"/>
  <c r="N155" i="80"/>
  <c r="N154" i="80"/>
  <c r="N137" i="80"/>
  <c r="N130" i="80"/>
  <c r="N122" i="80"/>
  <c r="AO122" i="80" s="1"/>
  <c r="N110" i="80"/>
  <c r="N148" i="80"/>
  <c r="N117" i="80"/>
  <c r="N112" i="80"/>
  <c r="N156" i="80"/>
  <c r="N111" i="80"/>
  <c r="N149" i="80"/>
  <c r="N143" i="80"/>
  <c r="N123" i="80"/>
  <c r="N121" i="80"/>
  <c r="N115" i="80"/>
  <c r="N151" i="80"/>
  <c r="N134" i="80"/>
  <c r="N119" i="80"/>
  <c r="N136" i="80"/>
  <c r="N139" i="80"/>
  <c r="N126" i="80"/>
  <c r="AO126" i="80" s="1"/>
  <c r="N125" i="80"/>
  <c r="AO125" i="80" s="1"/>
  <c r="AA134" i="80"/>
  <c r="AP150" i="80"/>
  <c r="AW158" i="80" a="1"/>
  <c r="AW158" i="80" s="1"/>
  <c r="AP168" i="80"/>
  <c r="AO168" i="80"/>
  <c r="AM168" i="80"/>
  <c r="AU168" i="80" s="1"/>
  <c r="AW168" i="80" a="1"/>
  <c r="AW168" i="80" s="1"/>
  <c r="AV168" i="80"/>
  <c r="BB168" i="80"/>
  <c r="AZ169" i="80"/>
  <c r="AM182" i="80"/>
  <c r="AU182" i="80" s="1"/>
  <c r="AP182" i="80"/>
  <c r="BB182" i="80"/>
  <c r="AZ182" i="80"/>
  <c r="AP183" i="80"/>
  <c r="AW201" i="80" a="1"/>
  <c r="AW201" i="80" s="1"/>
  <c r="AV204" i="80"/>
  <c r="AM204" i="80"/>
  <c r="AU204" i="80" s="1"/>
  <c r="AW204" i="80" a="1"/>
  <c r="AW204" i="80" s="1"/>
  <c r="AP204" i="80"/>
  <c r="AV244" i="80"/>
  <c r="AW244" i="80" a="1"/>
  <c r="AW244" i="80" s="1"/>
  <c r="AP244" i="80"/>
  <c r="BB244" i="80"/>
  <c r="AM244" i="80"/>
  <c r="AU244" i="80" s="1"/>
  <c r="AQ271" i="80"/>
  <c r="BG271" i="80" s="1"/>
  <c r="BA271" i="80" s="1"/>
  <c r="BD271" i="80" s="1"/>
  <c r="AG271" i="80"/>
  <c r="AF271" i="80" s="1"/>
  <c r="AW291" i="80" a="1"/>
  <c r="AW291" i="80" s="1"/>
  <c r="AO291" i="80"/>
  <c r="AM291" i="80"/>
  <c r="AU291" i="80" s="1"/>
  <c r="AZ291" i="80"/>
  <c r="BB291" i="80"/>
  <c r="AV291" i="80"/>
  <c r="AW323" i="80" a="1"/>
  <c r="AW323" i="80" s="1"/>
  <c r="AV323" i="80"/>
  <c r="AO323" i="80"/>
  <c r="AM323" i="80"/>
  <c r="AU323" i="80" s="1"/>
  <c r="AP323" i="80"/>
  <c r="BB323" i="80"/>
  <c r="AZ323" i="80"/>
  <c r="AQ472" i="80"/>
  <c r="BG472" i="80" s="1"/>
  <c r="BA472" i="80" s="1"/>
  <c r="BD472" i="80" s="1"/>
  <c r="AG472" i="80"/>
  <c r="AF472" i="80" s="1"/>
  <c r="AM166" i="80"/>
  <c r="AU166" i="80" s="1"/>
  <c r="AP166" i="80"/>
  <c r="AO166" i="80"/>
  <c r="BB166" i="80"/>
  <c r="AZ166" i="80"/>
  <c r="AW193" i="80" a="1"/>
  <c r="AW193" i="80" s="1"/>
  <c r="AP193" i="80"/>
  <c r="AO193" i="80"/>
  <c r="AZ193" i="80"/>
  <c r="AP243" i="80"/>
  <c r="AM243" i="80"/>
  <c r="AU243" i="80" s="1"/>
  <c r="AW243" i="80" a="1"/>
  <c r="AW243" i="80" s="1"/>
  <c r="AV243" i="80"/>
  <c r="BB243" i="80"/>
  <c r="AZ243" i="80"/>
  <c r="AW476" i="80" a="1"/>
  <c r="AW476" i="80" s="1"/>
  <c r="BB476" i="80"/>
  <c r="AZ476" i="80"/>
  <c r="AM476" i="80"/>
  <c r="AU476" i="80" s="1"/>
  <c r="AV476" i="80"/>
  <c r="AO476" i="80"/>
  <c r="AP476" i="80"/>
  <c r="AP59" i="80"/>
  <c r="AO59" i="80"/>
  <c r="AZ59" i="80"/>
  <c r="BB59" i="80"/>
  <c r="B94" i="80"/>
  <c r="AK94" i="80"/>
  <c r="AP142" i="80"/>
  <c r="AW142" i="80" a="1"/>
  <c r="AW142" i="80" s="1"/>
  <c r="AO142" i="80"/>
  <c r="AV142" i="80"/>
  <c r="BB142" i="80"/>
  <c r="AZ142" i="80"/>
  <c r="AQ251" i="80"/>
  <c r="BG251" i="80" s="1"/>
  <c r="BA251" i="80" s="1"/>
  <c r="BD251" i="80" s="1"/>
  <c r="AF414" i="80"/>
  <c r="B28" i="80"/>
  <c r="AK28" i="80"/>
  <c r="BB113" i="80"/>
  <c r="AZ113" i="80"/>
  <c r="AP113" i="80"/>
  <c r="AP160" i="80"/>
  <c r="AO160" i="80"/>
  <c r="AW160" i="80" a="1"/>
  <c r="AW160" i="80" s="1"/>
  <c r="AZ160" i="80"/>
  <c r="BB160" i="80"/>
  <c r="AV160" i="80"/>
  <c r="AO237" i="80"/>
  <c r="AM241" i="80"/>
  <c r="AU241" i="80" s="1"/>
  <c r="AP241" i="80"/>
  <c r="AO241" i="80"/>
  <c r="BB241" i="80"/>
  <c r="AZ241" i="80"/>
  <c r="AV241" i="80"/>
  <c r="AW241" i="80" a="1"/>
  <c r="AW241" i="80" s="1"/>
  <c r="AO243" i="80"/>
  <c r="AM265" i="80"/>
  <c r="AU265" i="80" s="1"/>
  <c r="AP265" i="80"/>
  <c r="BB265" i="80"/>
  <c r="AZ265" i="80"/>
  <c r="AW265" i="80" a="1"/>
  <c r="AW265" i="80" s="1"/>
  <c r="AZ430" i="80"/>
  <c r="AP430" i="80"/>
  <c r="AO430" i="80"/>
  <c r="AV430" i="80"/>
  <c r="AW430" i="80" a="1"/>
  <c r="AW430" i="80" s="1"/>
  <c r="BB430" i="80"/>
  <c r="AM430" i="80"/>
  <c r="AU430" i="80" s="1"/>
  <c r="AZ453" i="80"/>
  <c r="AM453" i="80"/>
  <c r="AU453" i="80" s="1"/>
  <c r="BB453" i="80"/>
  <c r="AP433" i="79"/>
  <c r="BB50" i="80"/>
  <c r="AZ50" i="80"/>
  <c r="AM50" i="80"/>
  <c r="AU50" i="80" s="1"/>
  <c r="AW86" i="80" a="1"/>
  <c r="AW86" i="80" s="1"/>
  <c r="AV86" i="80"/>
  <c r="AZ86" i="80"/>
  <c r="AW91" i="80" a="1"/>
  <c r="AW91" i="80" s="1"/>
  <c r="AV91" i="80"/>
  <c r="BB91" i="80"/>
  <c r="AZ91" i="80"/>
  <c r="AP91" i="80"/>
  <c r="AP235" i="80"/>
  <c r="AZ235" i="80"/>
  <c r="BB235" i="80"/>
  <c r="AW235" i="80" a="1"/>
  <c r="AW235" i="80" s="1"/>
  <c r="AV235" i="80"/>
  <c r="AV282" i="80"/>
  <c r="AO282" i="80"/>
  <c r="AM282" i="80"/>
  <c r="AU282" i="80" s="1"/>
  <c r="AW282" i="80" a="1"/>
  <c r="AW282" i="80" s="1"/>
  <c r="AZ282" i="80"/>
  <c r="BB282" i="80"/>
  <c r="AP438" i="80"/>
  <c r="AW438" i="80" a="1"/>
  <c r="AW438" i="80" s="1"/>
  <c r="AV438" i="80"/>
  <c r="BB438" i="80"/>
  <c r="AZ438" i="80"/>
  <c r="AO438" i="80"/>
  <c r="AO453" i="80"/>
  <c r="AM142" i="80"/>
  <c r="AU142" i="80" s="1"/>
  <c r="AP147" i="80"/>
  <c r="AO147" i="80"/>
  <c r="AM147" i="80"/>
  <c r="AU147" i="80" s="1"/>
  <c r="AP176" i="80"/>
  <c r="AO176" i="80"/>
  <c r="AZ176" i="80"/>
  <c r="BB176" i="80"/>
  <c r="AV342" i="80"/>
  <c r="BB342" i="80"/>
  <c r="AO342" i="80"/>
  <c r="AM342" i="80"/>
  <c r="AU342" i="80" s="1"/>
  <c r="AP342" i="80"/>
  <c r="AZ342" i="80"/>
  <c r="AP453" i="80"/>
  <c r="AM136" i="80"/>
  <c r="AU136" i="80" s="1"/>
  <c r="AM180" i="80"/>
  <c r="AU180" i="80" s="1"/>
  <c r="AG205" i="80"/>
  <c r="AF205" i="80" s="1"/>
  <c r="AQ205" i="80"/>
  <c r="BG205" i="80" s="1"/>
  <c r="BA205" i="80" s="1"/>
  <c r="BD205" i="80" s="1"/>
  <c r="AV265" i="80"/>
  <c r="AP348" i="80"/>
  <c r="AW348" i="80" a="1"/>
  <c r="AW348" i="80" s="1"/>
  <c r="AZ348" i="80"/>
  <c r="AV348" i="80"/>
  <c r="AV453" i="80"/>
  <c r="AV147" i="80"/>
  <c r="AM190" i="80"/>
  <c r="AU190" i="80" s="1"/>
  <c r="BB190" i="80"/>
  <c r="AW190" i="80" a="1"/>
  <c r="AW190" i="80" s="1"/>
  <c r="AZ190" i="80"/>
  <c r="AV193" i="80"/>
  <c r="BB292" i="80"/>
  <c r="AW453" i="80" a="1"/>
  <c r="AW453" i="80" s="1"/>
  <c r="AV459" i="80"/>
  <c r="AW459" i="80" a="1"/>
  <c r="AW459" i="80" s="1"/>
  <c r="AP459" i="80"/>
  <c r="AZ459" i="80"/>
  <c r="AM459" i="80"/>
  <c r="AU459" i="80" s="1"/>
  <c r="BB459" i="80"/>
  <c r="AO459" i="80"/>
  <c r="AW107" i="80" a="1"/>
  <c r="AW107" i="80" s="1"/>
  <c r="AV107" i="80"/>
  <c r="AO107" i="80"/>
  <c r="AP107" i="80"/>
  <c r="AW147" i="80" a="1"/>
  <c r="AW147" i="80" s="1"/>
  <c r="AM158" i="80"/>
  <c r="AU158" i="80" s="1"/>
  <c r="AP242" i="80"/>
  <c r="AO242" i="80"/>
  <c r="AZ242" i="80"/>
  <c r="BB242" i="80"/>
  <c r="AV242" i="80"/>
  <c r="AW242" i="80" a="1"/>
  <c r="AW242" i="80" s="1"/>
  <c r="AM328" i="80"/>
  <c r="AU328" i="80" s="1"/>
  <c r="AP328" i="80"/>
  <c r="AO328" i="80"/>
  <c r="AW328" i="80" a="1"/>
  <c r="AW328" i="80" s="1"/>
  <c r="AV328" i="80"/>
  <c r="AO352" i="79"/>
  <c r="AQ352" i="79" s="1"/>
  <c r="M43" i="80"/>
  <c r="AO50" i="80"/>
  <c r="AM54" i="80"/>
  <c r="AU54" i="80" s="1"/>
  <c r="AV59" i="80"/>
  <c r="M102" i="80"/>
  <c r="M64" i="80"/>
  <c r="M88" i="80"/>
  <c r="M81" i="80"/>
  <c r="M73" i="80"/>
  <c r="M107" i="80"/>
  <c r="M97" i="80"/>
  <c r="M92" i="80"/>
  <c r="M63" i="80"/>
  <c r="M91" i="80"/>
  <c r="M85" i="80"/>
  <c r="M84" i="80"/>
  <c r="M79" i="80"/>
  <c r="M75" i="80"/>
  <c r="M68" i="80"/>
  <c r="M103" i="80"/>
  <c r="M90" i="80"/>
  <c r="M86" i="80"/>
  <c r="M101" i="80"/>
  <c r="M96" i="80"/>
  <c r="M89" i="80"/>
  <c r="M71" i="80"/>
  <c r="M105" i="80"/>
  <c r="M98" i="80"/>
  <c r="M93" i="80"/>
  <c r="M65" i="80"/>
  <c r="M82" i="80"/>
  <c r="AP180" i="80"/>
  <c r="AP200" i="80"/>
  <c r="AO200" i="80"/>
  <c r="BB200" i="80"/>
  <c r="AZ200" i="80"/>
  <c r="AW200" i="80" a="1"/>
  <c r="AW200" i="80" s="1"/>
  <c r="AV200" i="80"/>
  <c r="AM249" i="80"/>
  <c r="AU249" i="80" s="1"/>
  <c r="AZ249" i="80"/>
  <c r="BB249" i="80"/>
  <c r="AM348" i="80"/>
  <c r="AU348" i="80" s="1"/>
  <c r="AV524" i="80"/>
  <c r="AP524" i="80"/>
  <c r="AO524" i="80"/>
  <c r="BB524" i="80"/>
  <c r="AM524" i="80"/>
  <c r="AU524" i="80" s="1"/>
  <c r="AZ524" i="80"/>
  <c r="M19" i="80"/>
  <c r="AW59" i="80" a="1"/>
  <c r="AW59" i="80" s="1"/>
  <c r="AM65" i="80"/>
  <c r="AU65" i="80" s="1"/>
  <c r="AZ65" i="80"/>
  <c r="AW65" i="80" a="1"/>
  <c r="AW65" i="80" s="1"/>
  <c r="BB65" i="80"/>
  <c r="N88" i="80"/>
  <c r="N81" i="80"/>
  <c r="N73" i="80"/>
  <c r="N107" i="80"/>
  <c r="N97" i="80"/>
  <c r="N92" i="80"/>
  <c r="N63" i="80"/>
  <c r="N87" i="80"/>
  <c r="N84" i="80"/>
  <c r="N76" i="80"/>
  <c r="N85" i="80"/>
  <c r="N79" i="80"/>
  <c r="N75" i="80"/>
  <c r="N74" i="80"/>
  <c r="N103" i="80"/>
  <c r="N90" i="80"/>
  <c r="N86" i="80"/>
  <c r="N64" i="80"/>
  <c r="N65" i="80"/>
  <c r="N68" i="80"/>
  <c r="N105" i="80"/>
  <c r="N98" i="80"/>
  <c r="N93" i="80"/>
  <c r="N71" i="80"/>
  <c r="AO71" i="80" s="1"/>
  <c r="N61" i="80"/>
  <c r="M70" i="80"/>
  <c r="AW152" i="80" a="1"/>
  <c r="AW152" i="80" s="1"/>
  <c r="AZ152" i="80"/>
  <c r="AV152" i="80"/>
  <c r="AP152" i="80"/>
  <c r="BB152" i="80"/>
  <c r="AO152" i="80"/>
  <c r="AW163" i="80" a="1"/>
  <c r="AW163" i="80" s="1"/>
  <c r="BB163" i="80"/>
  <c r="AZ163" i="80"/>
  <c r="AP163" i="80"/>
  <c r="AP190" i="80"/>
  <c r="AZ328" i="80"/>
  <c r="AP354" i="80"/>
  <c r="AO354" i="80"/>
  <c r="AM354" i="80"/>
  <c r="AU354" i="80" s="1"/>
  <c r="AW354" i="80" a="1"/>
  <c r="AW354" i="80" s="1"/>
  <c r="AV354" i="80"/>
  <c r="BB354" i="80"/>
  <c r="AZ354" i="80"/>
  <c r="AZ387" i="80"/>
  <c r="AW387" i="80" a="1"/>
  <c r="AW387" i="80" s="1"/>
  <c r="AV387" i="80"/>
  <c r="AP387" i="80"/>
  <c r="AO387" i="80"/>
  <c r="BB387" i="80"/>
  <c r="AM398" i="79"/>
  <c r="AU398" i="79" s="1"/>
  <c r="AV398" i="79"/>
  <c r="AP398" i="79"/>
  <c r="BB398" i="79"/>
  <c r="AW398" i="79" a="1"/>
  <c r="AW398" i="79" s="1"/>
  <c r="AO398" i="79"/>
  <c r="AQ398" i="79" s="1"/>
  <c r="BB44" i="80"/>
  <c r="AZ44" i="80"/>
  <c r="AM44" i="80"/>
  <c r="AU44" i="80" s="1"/>
  <c r="B53" i="80"/>
  <c r="AK53" i="80"/>
  <c r="AO65" i="80"/>
  <c r="O70" i="80"/>
  <c r="M76" i="80"/>
  <c r="M78" i="80"/>
  <c r="M80" i="80"/>
  <c r="AK83" i="80"/>
  <c r="AV88" i="80"/>
  <c r="AK99" i="80"/>
  <c r="B99" i="80"/>
  <c r="O152" i="80"/>
  <c r="O155" i="80"/>
  <c r="O154" i="80"/>
  <c r="O137" i="80"/>
  <c r="O130" i="80"/>
  <c r="O122" i="80"/>
  <c r="AP122" i="80" s="1"/>
  <c r="O110" i="80"/>
  <c r="O146" i="80"/>
  <c r="O141" i="80"/>
  <c r="O156" i="80"/>
  <c r="O142" i="80"/>
  <c r="O111" i="80"/>
  <c r="O123" i="80"/>
  <c r="O118" i="80"/>
  <c r="O153" i="80"/>
  <c r="O149" i="80"/>
  <c r="O143" i="80"/>
  <c r="O127" i="80"/>
  <c r="O112" i="80"/>
  <c r="O151" i="80"/>
  <c r="O134" i="80"/>
  <c r="O119" i="80"/>
  <c r="O139" i="80"/>
  <c r="O136" i="80"/>
  <c r="O126" i="80"/>
  <c r="AP126" i="80" s="1"/>
  <c r="O150" i="80"/>
  <c r="O144" i="80"/>
  <c r="O125" i="80"/>
  <c r="AP125" i="80" s="1"/>
  <c r="N141" i="80"/>
  <c r="AV176" i="80"/>
  <c r="BB184" i="80"/>
  <c r="AF203" i="80"/>
  <c r="AM215" i="80"/>
  <c r="AU215" i="80" s="1"/>
  <c r="AO244" i="80"/>
  <c r="AP249" i="80"/>
  <c r="AP266" i="80"/>
  <c r="AO266" i="80"/>
  <c r="BB266" i="80"/>
  <c r="AV266" i="80"/>
  <c r="AP291" i="80"/>
  <c r="BB328" i="80"/>
  <c r="AV377" i="80"/>
  <c r="AW377" i="80" a="1"/>
  <c r="AW377" i="80" s="1"/>
  <c r="AM377" i="80"/>
  <c r="AU377" i="80" s="1"/>
  <c r="BB377" i="80"/>
  <c r="AP377" i="80"/>
  <c r="AO377" i="80"/>
  <c r="AM447" i="80"/>
  <c r="AU447" i="80" s="1"/>
  <c r="BB447" i="80"/>
  <c r="AP447" i="80"/>
  <c r="AO447" i="80"/>
  <c r="AW447" i="80" a="1"/>
  <c r="AW447" i="80" s="1"/>
  <c r="AV447" i="80"/>
  <c r="AZ447" i="80"/>
  <c r="AG529" i="80"/>
  <c r="AF529" i="80" s="1"/>
  <c r="AQ529" i="80"/>
  <c r="BG529" i="80" s="1"/>
  <c r="BA529" i="80" s="1"/>
  <c r="BD529" i="80" s="1"/>
  <c r="AZ90" i="80"/>
  <c r="AP90" i="80"/>
  <c r="AM90" i="80"/>
  <c r="AU90" i="80" s="1"/>
  <c r="AO90" i="80"/>
  <c r="AW237" i="80" a="1"/>
  <c r="AW237" i="80" s="1"/>
  <c r="AV237" i="80"/>
  <c r="AM237" i="80"/>
  <c r="AU237" i="80" s="1"/>
  <c r="BB237" i="80"/>
  <c r="AZ237" i="80"/>
  <c r="BC13" i="80"/>
  <c r="AO112" i="80"/>
  <c r="AM112" i="80"/>
  <c r="AU112" i="80" s="1"/>
  <c r="AZ112" i="80"/>
  <c r="AW112" i="80" a="1"/>
  <c r="AW112" i="80" s="1"/>
  <c r="AP217" i="80"/>
  <c r="AO441" i="80"/>
  <c r="AZ441" i="80"/>
  <c r="AV441" i="80"/>
  <c r="BB441" i="80"/>
  <c r="AW441" i="80" a="1"/>
  <c r="AW441" i="80" s="1"/>
  <c r="AP441" i="80"/>
  <c r="AM441" i="80"/>
  <c r="AU441" i="80" s="1"/>
  <c r="AW136" i="80" a="1"/>
  <c r="AW136" i="80" s="1"/>
  <c r="AV136" i="80"/>
  <c r="AP136" i="80"/>
  <c r="AW169" i="80" a="1"/>
  <c r="AW169" i="80" s="1"/>
  <c r="AV169" i="80"/>
  <c r="BB169" i="80"/>
  <c r="BB461" i="79"/>
  <c r="AM32" i="80"/>
  <c r="AU32" i="80" s="1"/>
  <c r="AP32" i="80"/>
  <c r="AZ32" i="80"/>
  <c r="AW32" i="80" a="1"/>
  <c r="AW32" i="80" s="1"/>
  <c r="AO40" i="80"/>
  <c r="AM117" i="80"/>
  <c r="AU117" i="80" s="1"/>
  <c r="AW117" i="80" a="1"/>
  <c r="AW117" i="80" s="1"/>
  <c r="AV117" i="80"/>
  <c r="AZ117" i="80"/>
  <c r="AP256" i="80"/>
  <c r="AM256" i="80"/>
  <c r="AU256" i="80" s="1"/>
  <c r="BB256" i="80"/>
  <c r="AZ256" i="80"/>
  <c r="AO256" i="80"/>
  <c r="AW256" i="80" a="1"/>
  <c r="AW256" i="80" s="1"/>
  <c r="AV256" i="80"/>
  <c r="AP292" i="80"/>
  <c r="AW416" i="80" a="1"/>
  <c r="AW416" i="80" s="1"/>
  <c r="AV416" i="80"/>
  <c r="BB416" i="80"/>
  <c r="AM416" i="80"/>
  <c r="AU416" i="80" s="1"/>
  <c r="AZ416" i="80"/>
  <c r="AP416" i="80"/>
  <c r="AV542" i="80"/>
  <c r="AW379" i="79" a="1"/>
  <c r="AW379" i="79" s="1"/>
  <c r="AO32" i="80"/>
  <c r="AV40" i="80"/>
  <c r="AK51" i="80"/>
  <c r="B51" i="80"/>
  <c r="AV54" i="80"/>
  <c r="AP54" i="80"/>
  <c r="AO54" i="80"/>
  <c r="BB54" i="80"/>
  <c r="AO117" i="80"/>
  <c r="AM137" i="80"/>
  <c r="AU137" i="80" s="1"/>
  <c r="AZ164" i="80"/>
  <c r="AP164" i="80"/>
  <c r="AO164" i="80"/>
  <c r="BB164" i="80"/>
  <c r="AV164" i="80"/>
  <c r="AW164" i="80" a="1"/>
  <c r="AW164" i="80" s="1"/>
  <c r="AW166" i="80" a="1"/>
  <c r="AW166" i="80" s="1"/>
  <c r="AM169" i="80"/>
  <c r="AU169" i="80" s="1"/>
  <c r="AZ327" i="80"/>
  <c r="AW327" i="80" a="1"/>
  <c r="AW327" i="80" s="1"/>
  <c r="AV327" i="80"/>
  <c r="BB327" i="80"/>
  <c r="AP327" i="80"/>
  <c r="AM327" i="80"/>
  <c r="AU327" i="80" s="1"/>
  <c r="AO327" i="80"/>
  <c r="AW342" i="80" a="1"/>
  <c r="AW342" i="80" s="1"/>
  <c r="AW360" i="80" a="1"/>
  <c r="AW360" i="80" s="1"/>
  <c r="AV360" i="80"/>
  <c r="AP360" i="80"/>
  <c r="AO360" i="80"/>
  <c r="AM360" i="80"/>
  <c r="AU360" i="80" s="1"/>
  <c r="BB360" i="80"/>
  <c r="AM438" i="80"/>
  <c r="AU438" i="80" s="1"/>
  <c r="AK47" i="80"/>
  <c r="B47" i="80"/>
  <c r="AM86" i="80"/>
  <c r="AU86" i="80" s="1"/>
  <c r="AM113" i="80"/>
  <c r="AU113" i="80" s="1"/>
  <c r="AP117" i="80"/>
  <c r="AV201" i="80"/>
  <c r="AP201" i="80"/>
  <c r="AO201" i="80"/>
  <c r="AZ201" i="80"/>
  <c r="BB201" i="80"/>
  <c r="BB13" i="80"/>
  <c r="M58" i="80"/>
  <c r="M15" i="80"/>
  <c r="M14" i="80"/>
  <c r="M40" i="80"/>
  <c r="M21" i="80"/>
  <c r="M57" i="80"/>
  <c r="M56" i="80"/>
  <c r="M55" i="80"/>
  <c r="M33" i="80"/>
  <c r="M30" i="80"/>
  <c r="M35" i="80"/>
  <c r="M38" i="80"/>
  <c r="M16" i="80"/>
  <c r="M39" i="80"/>
  <c r="M23" i="80"/>
  <c r="M32" i="80"/>
  <c r="M54" i="80"/>
  <c r="M31" i="80"/>
  <c r="M29" i="80"/>
  <c r="M22" i="80"/>
  <c r="M42" i="80"/>
  <c r="M41" i="80"/>
  <c r="M52" i="80"/>
  <c r="AW57" i="80" a="1"/>
  <c r="AW57" i="80" s="1"/>
  <c r="AV57" i="80"/>
  <c r="AP57" i="80"/>
  <c r="AW90" i="80" a="1"/>
  <c r="AW90" i="80" s="1"/>
  <c r="AO137" i="80"/>
  <c r="BG157" i="80"/>
  <c r="BA157" i="80" s="1"/>
  <c r="BD157" i="80" s="1"/>
  <c r="AF157" i="80"/>
  <c r="AM176" i="80"/>
  <c r="AU176" i="80" s="1"/>
  <c r="AO180" i="80"/>
  <c r="AV252" i="80"/>
  <c r="BB252" i="80"/>
  <c r="AP252" i="80"/>
  <c r="AO252" i="80"/>
  <c r="AZ252" i="80"/>
  <c r="AW252" i="80" a="1"/>
  <c r="AW252" i="80" s="1"/>
  <c r="AM252" i="80"/>
  <c r="AU252" i="80" s="1"/>
  <c r="AM394" i="80"/>
  <c r="AU394" i="80" s="1"/>
  <c r="AP394" i="80"/>
  <c r="AW394" i="80" a="1"/>
  <c r="AW394" i="80" s="1"/>
  <c r="AV394" i="80"/>
  <c r="AZ394" i="80"/>
  <c r="AO394" i="80"/>
  <c r="BE13" i="80"/>
  <c r="M27" i="80"/>
  <c r="AM63" i="80"/>
  <c r="AU63" i="80" s="1"/>
  <c r="AO86" i="80"/>
  <c r="AO91" i="80"/>
  <c r="M104" i="80"/>
  <c r="AO190" i="80"/>
  <c r="BB193" i="80"/>
  <c r="AV228" i="80"/>
  <c r="AW228" i="80" a="1"/>
  <c r="AW228" i="80" s="1"/>
  <c r="BB228" i="80"/>
  <c r="AZ228" i="80"/>
  <c r="AO228" i="80"/>
  <c r="AM228" i="80"/>
  <c r="AU228" i="80" s="1"/>
  <c r="AZ360" i="80"/>
  <c r="AZ368" i="79"/>
  <c r="AZ41" i="80"/>
  <c r="AW41" i="80" a="1"/>
  <c r="AW41" i="80" s="1"/>
  <c r="AV41" i="80"/>
  <c r="AP41" i="80"/>
  <c r="AO41" i="80"/>
  <c r="AG41" i="80" s="1"/>
  <c r="AM41" i="80"/>
  <c r="AU41" i="80" s="1"/>
  <c r="AP50" i="80"/>
  <c r="BB90" i="80"/>
  <c r="M34" i="80"/>
  <c r="M44" i="80"/>
  <c r="M53" i="80"/>
  <c r="AZ54" i="80"/>
  <c r="AO57" i="80"/>
  <c r="M62" i="80"/>
  <c r="AP65" i="80"/>
  <c r="N78" i="80"/>
  <c r="AO78" i="80" s="1"/>
  <c r="N80" i="80"/>
  <c r="AO80" i="80" s="1"/>
  <c r="BB86" i="80"/>
  <c r="AW88" i="80" a="1"/>
  <c r="AW88" i="80" s="1"/>
  <c r="M99" i="80"/>
  <c r="AZ106" i="80"/>
  <c r="P154" i="80"/>
  <c r="P137" i="80"/>
  <c r="P130" i="80"/>
  <c r="P122" i="80"/>
  <c r="P110" i="80"/>
  <c r="P146" i="80"/>
  <c r="P141" i="80"/>
  <c r="P153" i="80"/>
  <c r="P152" i="80"/>
  <c r="P151" i="80"/>
  <c r="P136" i="80"/>
  <c r="P133" i="80"/>
  <c r="P125" i="80"/>
  <c r="P123" i="80"/>
  <c r="P149" i="80"/>
  <c r="P143" i="80"/>
  <c r="P127" i="80"/>
  <c r="P112" i="80"/>
  <c r="P126" i="80"/>
  <c r="P150" i="80"/>
  <c r="P118" i="80"/>
  <c r="P144" i="80"/>
  <c r="P155" i="80"/>
  <c r="P139" i="80"/>
  <c r="O117" i="80"/>
  <c r="O121" i="80"/>
  <c r="AD134" i="80"/>
  <c r="AK141" i="80"/>
  <c r="BB147" i="80"/>
  <c r="AM152" i="80"/>
  <c r="AU152" i="80" s="1"/>
  <c r="BB158" i="80"/>
  <c r="AM163" i="80"/>
  <c r="AU163" i="80" s="1"/>
  <c r="AM174" i="80"/>
  <c r="AU174" i="80" s="1"/>
  <c r="AZ174" i="80"/>
  <c r="AO174" i="80"/>
  <c r="AP174" i="80"/>
  <c r="AW176" i="80" a="1"/>
  <c r="AW176" i="80" s="1"/>
  <c r="AO182" i="80"/>
  <c r="AV190" i="80"/>
  <c r="AO204" i="80"/>
  <c r="AZ246" i="80"/>
  <c r="AP246" i="80"/>
  <c r="AV246" i="80"/>
  <c r="AO246" i="80"/>
  <c r="BB246" i="80"/>
  <c r="AV249" i="80"/>
  <c r="AG251" i="80"/>
  <c r="AF251" i="80" s="1"/>
  <c r="AP288" i="80"/>
  <c r="AO288" i="80"/>
  <c r="BB288" i="80"/>
  <c r="AM288" i="80"/>
  <c r="AU288" i="80" s="1"/>
  <c r="AW288" i="80" a="1"/>
  <c r="AW288" i="80" s="1"/>
  <c r="AZ288" i="80"/>
  <c r="AW307" i="80" a="1"/>
  <c r="AW307" i="80" s="1"/>
  <c r="AV307" i="80"/>
  <c r="AP307" i="80"/>
  <c r="BB307" i="80"/>
  <c r="AO307" i="80"/>
  <c r="AM307" i="80"/>
  <c r="AU307" i="80" s="1"/>
  <c r="AZ307" i="80"/>
  <c r="AP317" i="80"/>
  <c r="BB348" i="80"/>
  <c r="AW355" i="80" a="1"/>
  <c r="AW355" i="80" s="1"/>
  <c r="AV355" i="80"/>
  <c r="BB355" i="80"/>
  <c r="AP355" i="80"/>
  <c r="AO355" i="80"/>
  <c r="AP363" i="80"/>
  <c r="BB363" i="80"/>
  <c r="AZ363" i="80"/>
  <c r="AW363" i="80" a="1"/>
  <c r="AW363" i="80" s="1"/>
  <c r="AV363" i="80"/>
  <c r="AO363" i="80"/>
  <c r="AM363" i="80"/>
  <c r="AU363" i="80" s="1"/>
  <c r="AV369" i="80"/>
  <c r="AP369" i="80"/>
  <c r="AO369" i="80"/>
  <c r="AW369" i="80" a="1"/>
  <c r="AW369" i="80" s="1"/>
  <c r="AM387" i="80"/>
  <c r="AU387" i="80" s="1"/>
  <c r="BB450" i="80"/>
  <c r="AZ450" i="80"/>
  <c r="AW450" i="80" a="1"/>
  <c r="AW450" i="80" s="1"/>
  <c r="AV450" i="80"/>
  <c r="AP450" i="80"/>
  <c r="AO450" i="80"/>
  <c r="BB488" i="80"/>
  <c r="AP488" i="80"/>
  <c r="AW488" i="80" a="1"/>
  <c r="AW488" i="80" s="1"/>
  <c r="AV488" i="80"/>
  <c r="AO488" i="80"/>
  <c r="AZ488" i="80"/>
  <c r="AM488" i="80"/>
  <c r="AU488" i="80" s="1"/>
  <c r="AO325" i="80"/>
  <c r="AM325" i="80"/>
  <c r="AU325" i="80" s="1"/>
  <c r="BB325" i="80"/>
  <c r="AZ325" i="80"/>
  <c r="AW325" i="80" a="1"/>
  <c r="AW325" i="80" s="1"/>
  <c r="AV325" i="80"/>
  <c r="AO392" i="80"/>
  <c r="AM392" i="80"/>
  <c r="AU392" i="80" s="1"/>
  <c r="BB392" i="80"/>
  <c r="AZ392" i="80"/>
  <c r="AP392" i="80"/>
  <c r="AW392" i="80" a="1"/>
  <c r="AW392" i="80" s="1"/>
  <c r="AV392" i="80"/>
  <c r="AZ404" i="80"/>
  <c r="BB404" i="80"/>
  <c r="AW404" i="80" a="1"/>
  <c r="AW404" i="80" s="1"/>
  <c r="AV404" i="80"/>
  <c r="AM404" i="80"/>
  <c r="AU404" i="80" s="1"/>
  <c r="AP404" i="80"/>
  <c r="AO481" i="80"/>
  <c r="AM481" i="80"/>
  <c r="AU481" i="80" s="1"/>
  <c r="AW481" i="80" a="1"/>
  <c r="AW481" i="80" s="1"/>
  <c r="AP481" i="80"/>
  <c r="BB481" i="80"/>
  <c r="AZ481" i="80"/>
  <c r="AP530" i="80"/>
  <c r="AW530" i="80" a="1"/>
  <c r="AW530" i="80" s="1"/>
  <c r="AV530" i="80"/>
  <c r="AZ530" i="80"/>
  <c r="AO530" i="80"/>
  <c r="AM530" i="80"/>
  <c r="AU530" i="80" s="1"/>
  <c r="N13" i="80"/>
  <c r="N20" i="80"/>
  <c r="N24" i="80"/>
  <c r="N50" i="80"/>
  <c r="AP58" i="80"/>
  <c r="AO58" i="80"/>
  <c r="AW58" i="80" a="1"/>
  <c r="AW58" i="80" s="1"/>
  <c r="AV58" i="80"/>
  <c r="AP111" i="80"/>
  <c r="AO111" i="80"/>
  <c r="AW111" i="80" a="1"/>
  <c r="AW111" i="80" s="1"/>
  <c r="AV111" i="80"/>
  <c r="AZ135" i="80"/>
  <c r="AO135" i="80"/>
  <c r="AM135" i="80"/>
  <c r="AU135" i="80" s="1"/>
  <c r="AG140" i="80"/>
  <c r="BG140" i="80"/>
  <c r="BA140" i="80" s="1"/>
  <c r="BD140" i="80" s="1"/>
  <c r="AW151" i="80" a="1"/>
  <c r="AW151" i="80" s="1"/>
  <c r="AV151" i="80"/>
  <c r="AM151" i="80"/>
  <c r="AU151" i="80" s="1"/>
  <c r="AG295" i="80"/>
  <c r="AF295" i="80" s="1"/>
  <c r="AP389" i="80"/>
  <c r="AZ389" i="80"/>
  <c r="AV389" i="80"/>
  <c r="AW389" i="80" a="1"/>
  <c r="AW389" i="80" s="1"/>
  <c r="AO389" i="80"/>
  <c r="AV481" i="80"/>
  <c r="AG491" i="80"/>
  <c r="AQ491" i="80"/>
  <c r="BG491" i="80" s="1"/>
  <c r="BA491" i="80" s="1"/>
  <c r="BD491" i="80" s="1"/>
  <c r="N40" i="80"/>
  <c r="N21" i="80"/>
  <c r="N54" i="80"/>
  <c r="N42" i="80"/>
  <c r="N32" i="80"/>
  <c r="N28" i="80"/>
  <c r="N38" i="80"/>
  <c r="N16" i="80"/>
  <c r="N58" i="80"/>
  <c r="N39" i="80"/>
  <c r="N23" i="80"/>
  <c r="N35" i="80"/>
  <c r="N52" i="80"/>
  <c r="AW62" i="80" a="1"/>
  <c r="AW62" i="80" s="1"/>
  <c r="AO62" i="80"/>
  <c r="AM62" i="80"/>
  <c r="AU62" i="80" s="1"/>
  <c r="AW109" i="80" a="1"/>
  <c r="AW109" i="80" s="1"/>
  <c r="AV109" i="80"/>
  <c r="AM109" i="80"/>
  <c r="AU109" i="80" s="1"/>
  <c r="AZ222" i="80"/>
  <c r="AM222" i="80"/>
  <c r="AU222" i="80" s="1"/>
  <c r="BB222" i="80"/>
  <c r="AV222" i="80"/>
  <c r="AW222" i="80" a="1"/>
  <c r="AW222" i="80" s="1"/>
  <c r="AP251" i="80"/>
  <c r="AW251" i="80" a="1"/>
  <c r="AW251" i="80" s="1"/>
  <c r="BB251" i="80"/>
  <c r="AZ251" i="80"/>
  <c r="AV251" i="80"/>
  <c r="AO404" i="80"/>
  <c r="O21" i="80"/>
  <c r="O54" i="80"/>
  <c r="O42" i="80"/>
  <c r="O32" i="80"/>
  <c r="O28" i="80"/>
  <c r="O51" i="80"/>
  <c r="O48" i="80"/>
  <c r="O45" i="80"/>
  <c r="O36" i="80"/>
  <c r="O25" i="80"/>
  <c r="AP25" i="80" s="1"/>
  <c r="O12" i="80"/>
  <c r="O58" i="80"/>
  <c r="O39" i="80"/>
  <c r="O23" i="80"/>
  <c r="O35" i="80"/>
  <c r="O26" i="80"/>
  <c r="N30" i="80"/>
  <c r="AP36" i="80"/>
  <c r="AO36" i="80"/>
  <c r="AM36" i="80"/>
  <c r="AU36" i="80" s="1"/>
  <c r="N41" i="80"/>
  <c r="O52" i="80"/>
  <c r="AZ85" i="80"/>
  <c r="AO85" i="80"/>
  <c r="AP85" i="80"/>
  <c r="AO109" i="80"/>
  <c r="AZ114" i="80"/>
  <c r="AM114" i="80"/>
  <c r="AU114" i="80" s="1"/>
  <c r="AP135" i="80"/>
  <c r="AZ156" i="80"/>
  <c r="AP156" i="80"/>
  <c r="AV156" i="80"/>
  <c r="AW156" i="80" a="1"/>
  <c r="AW156" i="80" s="1"/>
  <c r="AV196" i="80"/>
  <c r="AP196" i="80"/>
  <c r="AO196" i="80"/>
  <c r="AZ196" i="80"/>
  <c r="AW196" i="80" a="1"/>
  <c r="AW196" i="80" s="1"/>
  <c r="AW197" i="80" a="1"/>
  <c r="AW197" i="80" s="1"/>
  <c r="AV197" i="80"/>
  <c r="AP197" i="80"/>
  <c r="AO197" i="80"/>
  <c r="AM197" i="80"/>
  <c r="AU197" i="80" s="1"/>
  <c r="AO264" i="80"/>
  <c r="BB264" i="80"/>
  <c r="AZ264" i="80"/>
  <c r="AM264" i="80"/>
  <c r="AU264" i="80" s="1"/>
  <c r="AW264" i="80" a="1"/>
  <c r="AW264" i="80" s="1"/>
  <c r="AV264" i="80"/>
  <c r="AP280" i="80"/>
  <c r="AO280" i="80"/>
  <c r="AZ280" i="80"/>
  <c r="AM280" i="80"/>
  <c r="AU280" i="80" s="1"/>
  <c r="BB280" i="80"/>
  <c r="AW280" i="80" a="1"/>
  <c r="AW280" i="80" s="1"/>
  <c r="AV280" i="80"/>
  <c r="AQ295" i="80"/>
  <c r="BG295" i="80" s="1"/>
  <c r="BA295" i="80" s="1"/>
  <c r="BD295" i="80" s="1"/>
  <c r="AP325" i="80"/>
  <c r="AM347" i="80"/>
  <c r="AU347" i="80" s="1"/>
  <c r="BB347" i="80"/>
  <c r="AW347" i="80" a="1"/>
  <c r="AW347" i="80" s="1"/>
  <c r="AZ347" i="80"/>
  <c r="AP347" i="80"/>
  <c r="AV347" i="80"/>
  <c r="AO347" i="80"/>
  <c r="AW286" i="80" a="1"/>
  <c r="AW286" i="80" s="1"/>
  <c r="AV286" i="80"/>
  <c r="AZ286" i="80"/>
  <c r="BB286" i="80"/>
  <c r="AP286" i="80"/>
  <c r="AO286" i="80"/>
  <c r="AM286" i="80"/>
  <c r="AU286" i="80" s="1"/>
  <c r="AW421" i="80" a="1"/>
  <c r="AW421" i="80" s="1"/>
  <c r="AV421" i="80"/>
  <c r="BB421" i="80"/>
  <c r="AZ421" i="80"/>
  <c r="AP421" i="80"/>
  <c r="AO421" i="80"/>
  <c r="AZ436" i="80"/>
  <c r="BB436" i="80"/>
  <c r="AW436" i="80" a="1"/>
  <c r="AW436" i="80" s="1"/>
  <c r="AP436" i="80"/>
  <c r="AO436" i="80"/>
  <c r="AM436" i="80"/>
  <c r="AU436" i="80" s="1"/>
  <c r="AV436" i="80"/>
  <c r="AP472" i="80"/>
  <c r="AM472" i="80"/>
  <c r="AU472" i="80" s="1"/>
  <c r="AV472" i="80"/>
  <c r="AW472" i="80" a="1"/>
  <c r="AW472" i="80" s="1"/>
  <c r="BB472" i="80"/>
  <c r="AZ472" i="80"/>
  <c r="BB530" i="80"/>
  <c r="N22" i="80"/>
  <c r="AO22" i="80" s="1"/>
  <c r="N29" i="80"/>
  <c r="N31" i="80"/>
  <c r="AV42" i="80"/>
  <c r="AZ42" i="80"/>
  <c r="BB42" i="80"/>
  <c r="AO46" i="80"/>
  <c r="AM46" i="80"/>
  <c r="AU46" i="80" s="1"/>
  <c r="BB46" i="80"/>
  <c r="AO55" i="80"/>
  <c r="AM55" i="80"/>
  <c r="AU55" i="80" s="1"/>
  <c r="AP55" i="80"/>
  <c r="AM58" i="80"/>
  <c r="AU58" i="80" s="1"/>
  <c r="AP62" i="80"/>
  <c r="AP109" i="80"/>
  <c r="AM111" i="80"/>
  <c r="AU111" i="80" s="1"/>
  <c r="AO222" i="80"/>
  <c r="AW267" i="80" a="1"/>
  <c r="AW267" i="80" s="1"/>
  <c r="AV267" i="80"/>
  <c r="AP267" i="80"/>
  <c r="AO267" i="80"/>
  <c r="AZ267" i="80"/>
  <c r="BB267" i="80"/>
  <c r="AW320" i="80" a="1"/>
  <c r="AW320" i="80" s="1"/>
  <c r="AV320" i="80"/>
  <c r="AP320" i="80"/>
  <c r="BB320" i="80"/>
  <c r="AO320" i="80"/>
  <c r="AP335" i="80"/>
  <c r="AO335" i="80"/>
  <c r="AW335" i="80" a="1"/>
  <c r="AW335" i="80" s="1"/>
  <c r="AZ335" i="80"/>
  <c r="AV335" i="80"/>
  <c r="AM335" i="80"/>
  <c r="AU335" i="80" s="1"/>
  <c r="AZ345" i="80"/>
  <c r="AW345" i="80" a="1"/>
  <c r="AW345" i="80" s="1"/>
  <c r="AV345" i="80"/>
  <c r="AP345" i="80"/>
  <c r="BB345" i="80"/>
  <c r="AO345" i="80"/>
  <c r="AM389" i="80"/>
  <c r="AU389" i="80" s="1"/>
  <c r="AM421" i="80"/>
  <c r="AU421" i="80" s="1"/>
  <c r="BB139" i="80"/>
  <c r="AZ139" i="80"/>
  <c r="AM315" i="80"/>
  <c r="AU315" i="80" s="1"/>
  <c r="AW315" i="80" a="1"/>
  <c r="AW315" i="80" s="1"/>
  <c r="AV315" i="80"/>
  <c r="BB315" i="80"/>
  <c r="AZ315" i="80"/>
  <c r="AO315" i="80"/>
  <c r="AP549" i="80"/>
  <c r="AO549" i="80"/>
  <c r="AM549" i="80"/>
  <c r="AU549" i="80" s="1"/>
  <c r="BB549" i="80"/>
  <c r="AZ549" i="80"/>
  <c r="AW549" i="80" a="1"/>
  <c r="AW549" i="80" s="1"/>
  <c r="AV549" i="80"/>
  <c r="AW178" i="80" a="1"/>
  <c r="AW178" i="80" s="1"/>
  <c r="AV178" i="80"/>
  <c r="AP209" i="80"/>
  <c r="AO209" i="80"/>
  <c r="AW209" i="80" a="1"/>
  <c r="AW209" i="80" s="1"/>
  <c r="AV209" i="80"/>
  <c r="BB302" i="80"/>
  <c r="AZ302" i="80"/>
  <c r="AM302" i="80"/>
  <c r="AU302" i="80" s="1"/>
  <c r="AQ311" i="80"/>
  <c r="BG311" i="80" s="1"/>
  <c r="BA311" i="80" s="1"/>
  <c r="BD311" i="80" s="1"/>
  <c r="AG311" i="80"/>
  <c r="AF311" i="80" s="1"/>
  <c r="AA36" i="80"/>
  <c r="AM154" i="80"/>
  <c r="AU154" i="80" s="1"/>
  <c r="AV154" i="80"/>
  <c r="AZ211" i="80"/>
  <c r="AP211" i="80"/>
  <c r="BB262" i="80"/>
  <c r="AZ262" i="80"/>
  <c r="AW262" i="80" a="1"/>
  <c r="AW262" i="80" s="1"/>
  <c r="AM274" i="80"/>
  <c r="AU274" i="80" s="1"/>
  <c r="BB274" i="80"/>
  <c r="AZ274" i="80"/>
  <c r="AW274" i="80" a="1"/>
  <c r="AW274" i="80" s="1"/>
  <c r="AM279" i="80"/>
  <c r="AU279" i="80" s="1"/>
  <c r="AP279" i="80"/>
  <c r="AZ279" i="80"/>
  <c r="AV279" i="80"/>
  <c r="AO279" i="80"/>
  <c r="AM295" i="80"/>
  <c r="AU295" i="80" s="1"/>
  <c r="AW295" i="80" a="1"/>
  <c r="AW295" i="80" s="1"/>
  <c r="AV295" i="80"/>
  <c r="BB295" i="80"/>
  <c r="AO302" i="80"/>
  <c r="AP461" i="80"/>
  <c r="AZ461" i="80"/>
  <c r="AO461" i="80"/>
  <c r="AM461" i="80"/>
  <c r="AU461" i="80" s="1"/>
  <c r="AW461" i="80" a="1"/>
  <c r="AW461" i="80" s="1"/>
  <c r="AV461" i="80"/>
  <c r="AP205" i="80"/>
  <c r="AW205" i="80" a="1"/>
  <c r="AW205" i="80" s="1"/>
  <c r="AV205" i="80"/>
  <c r="AZ205" i="80"/>
  <c r="AZ407" i="80"/>
  <c r="AO407" i="80"/>
  <c r="BB407" i="80"/>
  <c r="AW407" i="80" a="1"/>
  <c r="AW407" i="80" s="1"/>
  <c r="AV407" i="80"/>
  <c r="AG482" i="80"/>
  <c r="AF482" i="80" s="1"/>
  <c r="AQ482" i="80"/>
  <c r="BG482" i="80" s="1"/>
  <c r="BA482" i="80" s="1"/>
  <c r="BD482" i="80" s="1"/>
  <c r="AW491" i="80" a="1"/>
  <c r="AW491" i="80" s="1"/>
  <c r="AV491" i="80"/>
  <c r="AP491" i="80"/>
  <c r="AM491" i="80"/>
  <c r="AU491" i="80" s="1"/>
  <c r="AZ491" i="80"/>
  <c r="AW275" i="80" a="1"/>
  <c r="AW275" i="80" s="1"/>
  <c r="AP275" i="80"/>
  <c r="AV275" i="80"/>
  <c r="BB275" i="80"/>
  <c r="AZ275" i="80"/>
  <c r="AO275" i="80"/>
  <c r="AW333" i="80" a="1"/>
  <c r="AW333" i="80" s="1"/>
  <c r="AP333" i="80"/>
  <c r="AO333" i="80"/>
  <c r="AM333" i="80"/>
  <c r="AU333" i="80" s="1"/>
  <c r="BB333" i="80"/>
  <c r="AZ333" i="80"/>
  <c r="BG431" i="80"/>
  <c r="BA431" i="80" s="1"/>
  <c r="BD431" i="80" s="1"/>
  <c r="AG431" i="80"/>
  <c r="AF431" i="80" s="1"/>
  <c r="AO415" i="79"/>
  <c r="AP60" i="80"/>
  <c r="AO60" i="80"/>
  <c r="AM140" i="80"/>
  <c r="AU140" i="80" s="1"/>
  <c r="AM159" i="80"/>
  <c r="AU159" i="80" s="1"/>
  <c r="AO159" i="80"/>
  <c r="AW162" i="80" a="1"/>
  <c r="AW162" i="80" s="1"/>
  <c r="AV162" i="80"/>
  <c r="AP162" i="80"/>
  <c r="AO162" i="80"/>
  <c r="BB192" i="80"/>
  <c r="AZ192" i="80"/>
  <c r="AM205" i="80"/>
  <c r="AU205" i="80" s="1"/>
  <c r="AM209" i="80"/>
  <c r="AU209" i="80" s="1"/>
  <c r="AP270" i="80"/>
  <c r="AO270" i="80"/>
  <c r="AM270" i="80"/>
  <c r="AU270" i="80" s="1"/>
  <c r="AG299" i="80"/>
  <c r="AF299" i="80" s="1"/>
  <c r="BD299" i="80"/>
  <c r="AP302" i="80"/>
  <c r="AP315" i="80"/>
  <c r="AM407" i="80"/>
  <c r="AU407" i="80" s="1"/>
  <c r="AO409" i="80"/>
  <c r="AM409" i="80"/>
  <c r="AU409" i="80" s="1"/>
  <c r="AW409" i="80" a="1"/>
  <c r="AW409" i="80" s="1"/>
  <c r="AV409" i="80"/>
  <c r="AZ409" i="80"/>
  <c r="AP409" i="80"/>
  <c r="AO464" i="80"/>
  <c r="BB464" i="80"/>
  <c r="AW464" i="80" a="1"/>
  <c r="AW464" i="80" s="1"/>
  <c r="AZ464" i="80"/>
  <c r="AM464" i="80"/>
  <c r="AU464" i="80" s="1"/>
  <c r="AV464" i="80"/>
  <c r="BB491" i="80"/>
  <c r="AQ203" i="80"/>
  <c r="AQ219" i="80"/>
  <c r="BG219" i="80" s="1"/>
  <c r="BA219" i="80" s="1"/>
  <c r="BD219" i="80" s="1"/>
  <c r="AG219" i="80"/>
  <c r="AF219" i="80" s="1"/>
  <c r="AZ300" i="80"/>
  <c r="AO300" i="80"/>
  <c r="AM300" i="80"/>
  <c r="AU300" i="80" s="1"/>
  <c r="BB300" i="80"/>
  <c r="AV300" i="80"/>
  <c r="AM263" i="80"/>
  <c r="AU263" i="80" s="1"/>
  <c r="AW263" i="80" a="1"/>
  <c r="AW263" i="80" s="1"/>
  <c r="AV263" i="80"/>
  <c r="AO263" i="80"/>
  <c r="AP415" i="79"/>
  <c r="AC22" i="80"/>
  <c r="AW67" i="80" a="1"/>
  <c r="AW67" i="80" s="1"/>
  <c r="AV67" i="80"/>
  <c r="AM70" i="80"/>
  <c r="AU70" i="80" s="1"/>
  <c r="AW157" i="80" a="1"/>
  <c r="AW157" i="80" s="1"/>
  <c r="AV157" i="80"/>
  <c r="AO175" i="80"/>
  <c r="AM175" i="80"/>
  <c r="AU175" i="80" s="1"/>
  <c r="AP175" i="80"/>
  <c r="AM178" i="80"/>
  <c r="AU178" i="80" s="1"/>
  <c r="AZ254" i="80"/>
  <c r="BB254" i="80"/>
  <c r="AP254" i="80"/>
  <c r="AO254" i="80"/>
  <c r="AM254" i="80"/>
  <c r="AU254" i="80" s="1"/>
  <c r="AM262" i="80"/>
  <c r="AU262" i="80" s="1"/>
  <c r="AO274" i="80"/>
  <c r="AM275" i="80"/>
  <c r="AU275" i="80" s="1"/>
  <c r="AV302" i="80"/>
  <c r="AV333" i="80"/>
  <c r="AV383" i="80"/>
  <c r="AW383" i="80" a="1"/>
  <c r="AW383" i="80" s="1"/>
  <c r="BB383" i="80"/>
  <c r="AZ383" i="80"/>
  <c r="AO383" i="80"/>
  <c r="AM383" i="80"/>
  <c r="AU383" i="80" s="1"/>
  <c r="AM405" i="80"/>
  <c r="AU405" i="80" s="1"/>
  <c r="AO405" i="80"/>
  <c r="AV405" i="80"/>
  <c r="AZ405" i="80"/>
  <c r="AP405" i="80"/>
  <c r="AG480" i="80"/>
  <c r="AF480" i="80" s="1"/>
  <c r="BG480" i="80"/>
  <c r="BA480" i="80" s="1"/>
  <c r="BD480" i="80" s="1"/>
  <c r="BG545" i="80"/>
  <c r="BA545" i="80" s="1"/>
  <c r="BD545" i="80" s="1"/>
  <c r="AG545" i="80"/>
  <c r="AF545" i="80" s="1"/>
  <c r="AO213" i="80"/>
  <c r="AM213" i="80"/>
  <c r="AU213" i="80" s="1"/>
  <c r="AV213" i="80"/>
  <c r="AZ343" i="80"/>
  <c r="AM343" i="80"/>
  <c r="AU343" i="80" s="1"/>
  <c r="AW343" i="80" a="1"/>
  <c r="AW343" i="80" s="1"/>
  <c r="AV343" i="80"/>
  <c r="AP343" i="80"/>
  <c r="AO343" i="80"/>
  <c r="AM388" i="80"/>
  <c r="AU388" i="80" s="1"/>
  <c r="AO388" i="80"/>
  <c r="AZ388" i="80"/>
  <c r="AG408" i="80"/>
  <c r="AF408" i="80" s="1"/>
  <c r="AQ408" i="80"/>
  <c r="BG408" i="80" s="1"/>
  <c r="BA408" i="80" s="1"/>
  <c r="BD408" i="80" s="1"/>
  <c r="AV433" i="80"/>
  <c r="BB433" i="80"/>
  <c r="AZ433" i="80"/>
  <c r="AM433" i="80"/>
  <c r="AU433" i="80" s="1"/>
  <c r="AP433" i="80"/>
  <c r="AO433" i="80"/>
  <c r="AW433" i="80" a="1"/>
  <c r="AW433" i="80" s="1"/>
  <c r="BB471" i="80"/>
  <c r="AZ471" i="80"/>
  <c r="AW471" i="80" a="1"/>
  <c r="AW471" i="80" s="1"/>
  <c r="BB527" i="80"/>
  <c r="AW527" i="80" a="1"/>
  <c r="AW527" i="80" s="1"/>
  <c r="AP527" i="80"/>
  <c r="AV527" i="80"/>
  <c r="AO527" i="80"/>
  <c r="AM527" i="80"/>
  <c r="AU527" i="80" s="1"/>
  <c r="AZ527" i="80"/>
  <c r="AP210" i="80"/>
  <c r="AW210" i="80" a="1"/>
  <c r="AW210" i="80" s="1"/>
  <c r="AV210" i="80"/>
  <c r="AP257" i="80"/>
  <c r="AO257" i="80"/>
  <c r="AM257" i="80"/>
  <c r="AU257" i="80" s="1"/>
  <c r="AQ332" i="80"/>
  <c r="BG332" i="80" s="1"/>
  <c r="BA332" i="80" s="1"/>
  <c r="BD332" i="80" s="1"/>
  <c r="AG332" i="80"/>
  <c r="AF332" i="80" s="1"/>
  <c r="AZ346" i="80"/>
  <c r="AP346" i="80"/>
  <c r="AO346" i="80"/>
  <c r="BB346" i="80"/>
  <c r="AW346" i="80" a="1"/>
  <c r="AW346" i="80" s="1"/>
  <c r="AV346" i="80"/>
  <c r="AZ362" i="80"/>
  <c r="BB362" i="80"/>
  <c r="AW362" i="80" a="1"/>
  <c r="AW362" i="80" s="1"/>
  <c r="AP362" i="80"/>
  <c r="AO362" i="80"/>
  <c r="AM362" i="80"/>
  <c r="AU362" i="80" s="1"/>
  <c r="AW380" i="80" a="1"/>
  <c r="AW380" i="80" s="1"/>
  <c r="AM380" i="80"/>
  <c r="AU380" i="80" s="1"/>
  <c r="AV380" i="80"/>
  <c r="BB380" i="80"/>
  <c r="AV388" i="80"/>
  <c r="AP435" i="80"/>
  <c r="AO435" i="80"/>
  <c r="BB435" i="80"/>
  <c r="AM435" i="80"/>
  <c r="AU435" i="80" s="1"/>
  <c r="AO471" i="80"/>
  <c r="AZ512" i="80"/>
  <c r="AO512" i="80"/>
  <c r="AM512" i="80"/>
  <c r="AU512" i="80" s="1"/>
  <c r="BB512" i="80"/>
  <c r="AV512" i="80"/>
  <c r="AW512" i="80" a="1"/>
  <c r="AW512" i="80" s="1"/>
  <c r="AP213" i="80"/>
  <c r="AP219" i="80"/>
  <c r="BB219" i="80"/>
  <c r="AP226" i="80"/>
  <c r="AO226" i="80"/>
  <c r="BB226" i="80"/>
  <c r="AZ226" i="80"/>
  <c r="AM233" i="80"/>
  <c r="AU233" i="80" s="1"/>
  <c r="BB233" i="80"/>
  <c r="AZ233" i="80"/>
  <c r="AV258" i="80"/>
  <c r="AW258" i="80" a="1"/>
  <c r="AW258" i="80" s="1"/>
  <c r="BB258" i="80"/>
  <c r="AZ259" i="80"/>
  <c r="AP259" i="80"/>
  <c r="AO259" i="80"/>
  <c r="BB259" i="80"/>
  <c r="AW259" i="80" a="1"/>
  <c r="AW259" i="80" s="1"/>
  <c r="AM271" i="80"/>
  <c r="AU271" i="80" s="1"/>
  <c r="AV271" i="80"/>
  <c r="AW271" i="80" a="1"/>
  <c r="AW271" i="80" s="1"/>
  <c r="AP271" i="80"/>
  <c r="BB271" i="80"/>
  <c r="AP294" i="80"/>
  <c r="AO294" i="80"/>
  <c r="AW313" i="80" a="1"/>
  <c r="AW313" i="80" s="1"/>
  <c r="AV313" i="80"/>
  <c r="AM313" i="80"/>
  <c r="AU313" i="80" s="1"/>
  <c r="AP319" i="80"/>
  <c r="AO319" i="80"/>
  <c r="BB319" i="80"/>
  <c r="AZ319" i="80"/>
  <c r="AW336" i="80" a="1"/>
  <c r="AW336" i="80" s="1"/>
  <c r="AV336" i="80"/>
  <c r="AO336" i="80"/>
  <c r="AM336" i="80"/>
  <c r="AU336" i="80" s="1"/>
  <c r="AZ336" i="80"/>
  <c r="AP336" i="80"/>
  <c r="BB343" i="80"/>
  <c r="AW349" i="80" a="1"/>
  <c r="AW349" i="80" s="1"/>
  <c r="AO349" i="80"/>
  <c r="AM349" i="80"/>
  <c r="AU349" i="80" s="1"/>
  <c r="AW388" i="80" a="1"/>
  <c r="AW388" i="80" s="1"/>
  <c r="AW393" i="80" a="1"/>
  <c r="AW393" i="80" s="1"/>
  <c r="BB393" i="80"/>
  <c r="AZ393" i="80"/>
  <c r="AV393" i="80"/>
  <c r="AP393" i="80"/>
  <c r="AO393" i="80"/>
  <c r="AV442" i="80"/>
  <c r="AO442" i="80"/>
  <c r="AM442" i="80"/>
  <c r="AU442" i="80" s="1"/>
  <c r="BB442" i="80"/>
  <c r="AZ442" i="80"/>
  <c r="AW442" i="80" a="1"/>
  <c r="AW442" i="80" s="1"/>
  <c r="AP451" i="80"/>
  <c r="AV451" i="80"/>
  <c r="AZ451" i="80"/>
  <c r="AW451" i="80" a="1"/>
  <c r="AW451" i="80" s="1"/>
  <c r="AO451" i="80"/>
  <c r="AM451" i="80"/>
  <c r="AU451" i="80" s="1"/>
  <c r="AP471" i="80"/>
  <c r="AG339" i="80"/>
  <c r="AF339" i="80" s="1"/>
  <c r="AW385" i="80" a="1"/>
  <c r="AW385" i="80" s="1"/>
  <c r="AV385" i="80"/>
  <c r="AP385" i="80"/>
  <c r="AO385" i="80"/>
  <c r="AM385" i="80"/>
  <c r="AU385" i="80" s="1"/>
  <c r="AM420" i="80"/>
  <c r="AU420" i="80" s="1"/>
  <c r="AO420" i="80"/>
  <c r="BB420" i="80"/>
  <c r="AP420" i="80"/>
  <c r="AW420" i="80" a="1"/>
  <c r="AW420" i="80" s="1"/>
  <c r="AV420" i="80"/>
  <c r="AZ38" i="80"/>
  <c r="AZ56" i="80"/>
  <c r="AZ69" i="80"/>
  <c r="AZ119" i="80"/>
  <c r="AZ134" i="80"/>
  <c r="AW186" i="80" a="1"/>
  <c r="AW186" i="80" s="1"/>
  <c r="AV186" i="80"/>
  <c r="AZ206" i="80"/>
  <c r="AW206" i="80" a="1"/>
  <c r="AW206" i="80" s="1"/>
  <c r="AV206" i="80"/>
  <c r="AO218" i="80"/>
  <c r="AV218" i="80"/>
  <c r="AM303" i="80"/>
  <c r="AU303" i="80" s="1"/>
  <c r="AP303" i="80"/>
  <c r="AO303" i="80"/>
  <c r="AW303" i="80" a="1"/>
  <c r="AW303" i="80" s="1"/>
  <c r="AZ330" i="80"/>
  <c r="AV330" i="80"/>
  <c r="AO330" i="80"/>
  <c r="AM330" i="80"/>
  <c r="AU330" i="80" s="1"/>
  <c r="AP399" i="80"/>
  <c r="AO399" i="80"/>
  <c r="AW399" i="80" a="1"/>
  <c r="AW399" i="80" s="1"/>
  <c r="AV399" i="80"/>
  <c r="AM399" i="80"/>
  <c r="AU399" i="80" s="1"/>
  <c r="AP533" i="80"/>
  <c r="AO533" i="80"/>
  <c r="AV533" i="80"/>
  <c r="AZ533" i="80"/>
  <c r="AM533" i="80"/>
  <c r="AU533" i="80" s="1"/>
  <c r="BB533" i="80"/>
  <c r="BB216" i="80"/>
  <c r="AZ216" i="80"/>
  <c r="AP234" i="80"/>
  <c r="AO234" i="80"/>
  <c r="AM234" i="80"/>
  <c r="AU234" i="80" s="1"/>
  <c r="AP250" i="80"/>
  <c r="AO250" i="80"/>
  <c r="AM250" i="80"/>
  <c r="AU250" i="80" s="1"/>
  <c r="AW253" i="80" a="1"/>
  <c r="AW253" i="80" s="1"/>
  <c r="AV253" i="80"/>
  <c r="AP253" i="80"/>
  <c r="AO253" i="80"/>
  <c r="AV298" i="80"/>
  <c r="AW298" i="80" a="1"/>
  <c r="AW298" i="80" s="1"/>
  <c r="AP298" i="80"/>
  <c r="AZ311" i="80"/>
  <c r="BB311" i="80"/>
  <c r="BB329" i="80"/>
  <c r="AV329" i="80"/>
  <c r="AP329" i="80"/>
  <c r="AO329" i="80"/>
  <c r="AQ339" i="80"/>
  <c r="BG339" i="80" s="1"/>
  <c r="BA339" i="80" s="1"/>
  <c r="BD339" i="80" s="1"/>
  <c r="AO359" i="80"/>
  <c r="AM359" i="80"/>
  <c r="AU359" i="80" s="1"/>
  <c r="AW359" i="80" a="1"/>
  <c r="AW359" i="80" s="1"/>
  <c r="AW390" i="80" a="1"/>
  <c r="AW390" i="80" s="1"/>
  <c r="AO390" i="80"/>
  <c r="AM390" i="80"/>
  <c r="AU390" i="80" s="1"/>
  <c r="AP390" i="80"/>
  <c r="AV390" i="80"/>
  <c r="AW397" i="80" a="1"/>
  <c r="AW397" i="80" s="1"/>
  <c r="AO397" i="80"/>
  <c r="AM397" i="80"/>
  <c r="AU397" i="80" s="1"/>
  <c r="BB397" i="80"/>
  <c r="AP397" i="80"/>
  <c r="AQ414" i="80"/>
  <c r="BG414" i="80" s="1"/>
  <c r="BA414" i="80" s="1"/>
  <c r="BD414" i="80" s="1"/>
  <c r="AW170" i="80" a="1"/>
  <c r="AW170" i="80" s="1"/>
  <c r="AV170" i="80"/>
  <c r="AZ198" i="80"/>
  <c r="BB198" i="80"/>
  <c r="AP202" i="80"/>
  <c r="AZ202" i="80"/>
  <c r="AW289" i="80" a="1"/>
  <c r="AW289" i="80" s="1"/>
  <c r="AP289" i="80"/>
  <c r="AO289" i="80"/>
  <c r="AW299" i="80" a="1"/>
  <c r="AW299" i="80" s="1"/>
  <c r="BB299" i="80"/>
  <c r="AM299" i="80"/>
  <c r="AU299" i="80" s="1"/>
  <c r="AO309" i="80"/>
  <c r="AM309" i="80"/>
  <c r="AU309" i="80" s="1"/>
  <c r="AO341" i="80"/>
  <c r="AM341" i="80"/>
  <c r="AU341" i="80" s="1"/>
  <c r="AP341" i="80"/>
  <c r="AV341" i="80"/>
  <c r="AM384" i="80"/>
  <c r="AU384" i="80" s="1"/>
  <c r="AV384" i="80"/>
  <c r="AP384" i="80"/>
  <c r="AO384" i="80"/>
  <c r="AZ385" i="80"/>
  <c r="AM408" i="80"/>
  <c r="AU408" i="80" s="1"/>
  <c r="BB408" i="80"/>
  <c r="AZ408" i="80"/>
  <c r="AW408" i="80" a="1"/>
  <c r="AW408" i="80" s="1"/>
  <c r="AV408" i="80"/>
  <c r="AZ420" i="80"/>
  <c r="AP475" i="80"/>
  <c r="AW475" i="80" a="1"/>
  <c r="AW475" i="80" s="1"/>
  <c r="AM475" i="80"/>
  <c r="AU475" i="80" s="1"/>
  <c r="AZ475" i="80"/>
  <c r="BB475" i="80"/>
  <c r="AV475" i="80"/>
  <c r="AO475" i="80"/>
  <c r="AP490" i="80"/>
  <c r="AO490" i="80"/>
  <c r="AZ490" i="80"/>
  <c r="AV490" i="80"/>
  <c r="AW490" i="80" a="1"/>
  <c r="AW490" i="80" s="1"/>
  <c r="AM490" i="80"/>
  <c r="AU490" i="80" s="1"/>
  <c r="AO507" i="80"/>
  <c r="AM507" i="80"/>
  <c r="AU507" i="80" s="1"/>
  <c r="AW507" i="80" a="1"/>
  <c r="AW507" i="80" s="1"/>
  <c r="AV507" i="80"/>
  <c r="BB507" i="80"/>
  <c r="AP507" i="80"/>
  <c r="AZ507" i="80"/>
  <c r="AW229" i="80" a="1"/>
  <c r="AW229" i="80" s="1"/>
  <c r="AV229" i="80"/>
  <c r="AW276" i="80" a="1"/>
  <c r="AW276" i="80" s="1"/>
  <c r="AV276" i="80"/>
  <c r="AW443" i="80" a="1"/>
  <c r="AW443" i="80" s="1"/>
  <c r="AV443" i="80"/>
  <c r="AZ443" i="80"/>
  <c r="BB443" i="80"/>
  <c r="BB194" i="80"/>
  <c r="AO272" i="80"/>
  <c r="AZ272" i="80"/>
  <c r="AW283" i="80" a="1"/>
  <c r="AW283" i="80" s="1"/>
  <c r="AV283" i="80"/>
  <c r="AV290" i="80"/>
  <c r="BB290" i="80"/>
  <c r="AP304" i="80"/>
  <c r="AO304" i="80"/>
  <c r="AW304" i="80" a="1"/>
  <c r="AW304" i="80" s="1"/>
  <c r="AV304" i="80"/>
  <c r="AW413" i="80" a="1"/>
  <c r="AW413" i="80" s="1"/>
  <c r="BB413" i="80"/>
  <c r="AW245" i="80" a="1"/>
  <c r="AW245" i="80" s="1"/>
  <c r="AV245" i="80"/>
  <c r="AO297" i="80"/>
  <c r="AM297" i="80"/>
  <c r="AU297" i="80" s="1"/>
  <c r="AP332" i="80"/>
  <c r="BB332" i="80"/>
  <c r="AZ332" i="80"/>
  <c r="AP338" i="80"/>
  <c r="AO338" i="80"/>
  <c r="AV338" i="80"/>
  <c r="AP351" i="80"/>
  <c r="AO351" i="80"/>
  <c r="AV351" i="80"/>
  <c r="AP373" i="80"/>
  <c r="AW373" i="80" a="1"/>
  <c r="AW373" i="80" s="1"/>
  <c r="AV373" i="80"/>
  <c r="AO373" i="80"/>
  <c r="AM373" i="80"/>
  <c r="AU373" i="80" s="1"/>
  <c r="AO402" i="80"/>
  <c r="AZ402" i="80"/>
  <c r="AP402" i="80"/>
  <c r="AM402" i="80"/>
  <c r="AU402" i="80" s="1"/>
  <c r="AP418" i="80"/>
  <c r="AO418" i="80"/>
  <c r="AV418" i="80"/>
  <c r="AM418" i="80"/>
  <c r="AU418" i="80" s="1"/>
  <c r="AV426" i="80"/>
  <c r="AW426" i="80" a="1"/>
  <c r="AW426" i="80" s="1"/>
  <c r="AO426" i="80"/>
  <c r="AM426" i="80"/>
  <c r="AU426" i="80" s="1"/>
  <c r="AO437" i="80"/>
  <c r="AM437" i="80"/>
  <c r="AU437" i="80" s="1"/>
  <c r="AW437" i="80" a="1"/>
  <c r="AW437" i="80" s="1"/>
  <c r="AZ437" i="80"/>
  <c r="AV437" i="80"/>
  <c r="AV449" i="80"/>
  <c r="AP449" i="80"/>
  <c r="AO449" i="80"/>
  <c r="AZ449" i="80"/>
  <c r="AV465" i="80"/>
  <c r="AP465" i="80"/>
  <c r="AO465" i="80"/>
  <c r="BB465" i="80"/>
  <c r="AZ465" i="80"/>
  <c r="AM465" i="80"/>
  <c r="AU465" i="80" s="1"/>
  <c r="AZ223" i="80"/>
  <c r="AZ231" i="80"/>
  <c r="AZ239" i="80"/>
  <c r="AZ247" i="80"/>
  <c r="AZ255" i="80"/>
  <c r="AZ277" i="80"/>
  <c r="BB287" i="80"/>
  <c r="AW339" i="80" a="1"/>
  <c r="AW339" i="80" s="1"/>
  <c r="AV339" i="80"/>
  <c r="AW352" i="80" a="1"/>
  <c r="AW352" i="80" s="1"/>
  <c r="AV352" i="80"/>
  <c r="AW364" i="80" a="1"/>
  <c r="AW364" i="80" s="1"/>
  <c r="AP364" i="80"/>
  <c r="AO364" i="80"/>
  <c r="AO457" i="80"/>
  <c r="AV457" i="80"/>
  <c r="BB457" i="80"/>
  <c r="AZ457" i="80"/>
  <c r="AZ473" i="80"/>
  <c r="AV473" i="80"/>
  <c r="AP473" i="80"/>
  <c r="AO473" i="80"/>
  <c r="AM473" i="80"/>
  <c r="AU473" i="80" s="1"/>
  <c r="BB473" i="80"/>
  <c r="AM432" i="80"/>
  <c r="AU432" i="80" s="1"/>
  <c r="AP432" i="80"/>
  <c r="AV467" i="80"/>
  <c r="AZ467" i="80"/>
  <c r="AO467" i="80"/>
  <c r="AP467" i="80"/>
  <c r="AM467" i="80"/>
  <c r="AU467" i="80" s="1"/>
  <c r="AP486" i="80"/>
  <c r="AM486" i="80"/>
  <c r="AU486" i="80" s="1"/>
  <c r="BB486" i="80"/>
  <c r="AO486" i="80"/>
  <c r="AM501" i="80"/>
  <c r="AU501" i="80" s="1"/>
  <c r="BB501" i="80"/>
  <c r="AO501" i="80"/>
  <c r="AZ501" i="80"/>
  <c r="AP296" i="80"/>
  <c r="AO296" i="80"/>
  <c r="AO331" i="80"/>
  <c r="AW411" i="80" a="1"/>
  <c r="AW411" i="80" s="1"/>
  <c r="AV411" i="80"/>
  <c r="BB429" i="80"/>
  <c r="AZ429" i="80"/>
  <c r="AM431" i="80"/>
  <c r="AU431" i="80" s="1"/>
  <c r="AW431" i="80" a="1"/>
  <c r="AW431" i="80" s="1"/>
  <c r="AP431" i="80"/>
  <c r="AV431" i="80"/>
  <c r="AW455" i="80" a="1"/>
  <c r="AW455" i="80" s="1"/>
  <c r="AV455" i="80"/>
  <c r="AO455" i="80"/>
  <c r="AM457" i="80"/>
  <c r="AU457" i="80" s="1"/>
  <c r="AQ458" i="80"/>
  <c r="AZ495" i="80"/>
  <c r="BB495" i="80"/>
  <c r="AV495" i="80"/>
  <c r="AO495" i="80"/>
  <c r="AP495" i="80"/>
  <c r="AW495" i="80" a="1"/>
  <c r="AW495" i="80" s="1"/>
  <c r="AW400" i="80" a="1"/>
  <c r="AW400" i="80" s="1"/>
  <c r="AV400" i="80"/>
  <c r="AP415" i="80"/>
  <c r="AO415" i="80"/>
  <c r="AV415" i="80"/>
  <c r="AZ419" i="80"/>
  <c r="AW419" i="80" a="1"/>
  <c r="AW419" i="80" s="1"/>
  <c r="AO487" i="80"/>
  <c r="AZ487" i="80"/>
  <c r="AV487" i="80"/>
  <c r="AP487" i="80"/>
  <c r="AO493" i="80"/>
  <c r="AM493" i="80"/>
  <c r="AU493" i="80" s="1"/>
  <c r="AV493" i="80"/>
  <c r="AZ493" i="80"/>
  <c r="AW493" i="80" a="1"/>
  <c r="AW493" i="80" s="1"/>
  <c r="AP493" i="80"/>
  <c r="AV540" i="80"/>
  <c r="AW540" i="80" a="1"/>
  <c r="AW540" i="80" s="1"/>
  <c r="AO540" i="80"/>
  <c r="AM540" i="80"/>
  <c r="AU540" i="80" s="1"/>
  <c r="AP540" i="80"/>
  <c r="BB356" i="80"/>
  <c r="AO382" i="80"/>
  <c r="AM382" i="80"/>
  <c r="AU382" i="80" s="1"/>
  <c r="AM496" i="80"/>
  <c r="AU496" i="80" s="1"/>
  <c r="AO496" i="80"/>
  <c r="AP496" i="80"/>
  <c r="AZ496" i="80"/>
  <c r="AV403" i="80"/>
  <c r="AO403" i="80"/>
  <c r="AM403" i="80"/>
  <c r="AU403" i="80" s="1"/>
  <c r="AV479" i="80"/>
  <c r="AP479" i="80"/>
  <c r="AM479" i="80"/>
  <c r="AU479" i="80" s="1"/>
  <c r="BB479" i="80"/>
  <c r="AM529" i="80"/>
  <c r="AU529" i="80" s="1"/>
  <c r="BB529" i="80"/>
  <c r="AZ529" i="80"/>
  <c r="AW529" i="80" a="1"/>
  <c r="AW529" i="80" s="1"/>
  <c r="AV529" i="80"/>
  <c r="AP529" i="80"/>
  <c r="AZ540" i="80"/>
  <c r="AO448" i="80"/>
  <c r="BB448" i="80"/>
  <c r="AZ448" i="80"/>
  <c r="AP470" i="80"/>
  <c r="AM470" i="80"/>
  <c r="AU470" i="80" s="1"/>
  <c r="AP482" i="80"/>
  <c r="AZ482" i="80"/>
  <c r="AV482" i="80"/>
  <c r="AZ483" i="80"/>
  <c r="AW483" i="80" a="1"/>
  <c r="AW483" i="80" s="1"/>
  <c r="AO483" i="80"/>
  <c r="AP483" i="80"/>
  <c r="AM483" i="80"/>
  <c r="AU483" i="80" s="1"/>
  <c r="AV494" i="80"/>
  <c r="AZ494" i="80"/>
  <c r="AW494" i="80" a="1"/>
  <c r="AW494" i="80" s="1"/>
  <c r="AP494" i="80"/>
  <c r="AO494" i="80"/>
  <c r="AP499" i="80"/>
  <c r="AO499" i="80"/>
  <c r="AM499" i="80"/>
  <c r="AU499" i="80" s="1"/>
  <c r="AW499" i="80" a="1"/>
  <c r="AW499" i="80" s="1"/>
  <c r="BB499" i="80"/>
  <c r="AZ499" i="80"/>
  <c r="AP504" i="80"/>
  <c r="AO504" i="80"/>
  <c r="AZ504" i="80"/>
  <c r="AP526" i="80"/>
  <c r="AO526" i="80"/>
  <c r="AM526" i="80"/>
  <c r="AU526" i="80" s="1"/>
  <c r="BB480" i="80"/>
  <c r="AZ480" i="80"/>
  <c r="AM494" i="80"/>
  <c r="AU494" i="80" s="1"/>
  <c r="AV526" i="80"/>
  <c r="AG468" i="80"/>
  <c r="BB469" i="80"/>
  <c r="AW469" i="80" a="1"/>
  <c r="AW469" i="80" s="1"/>
  <c r="AV508" i="80"/>
  <c r="AM508" i="80"/>
  <c r="AU508" i="80" s="1"/>
  <c r="AO508" i="80"/>
  <c r="BB508" i="80"/>
  <c r="AP514" i="80"/>
  <c r="AO514" i="80"/>
  <c r="AM514" i="80"/>
  <c r="AU514" i="80" s="1"/>
  <c r="BB514" i="80"/>
  <c r="AG515" i="80"/>
  <c r="AF515" i="80" s="1"/>
  <c r="AZ528" i="80"/>
  <c r="AP528" i="80"/>
  <c r="AO528" i="80"/>
  <c r="BB528" i="80"/>
  <c r="AW528" i="80" a="1"/>
  <c r="AW528" i="80" s="1"/>
  <c r="AV528" i="80"/>
  <c r="AW505" i="80" a="1"/>
  <c r="AW505" i="80" s="1"/>
  <c r="AZ505" i="80"/>
  <c r="AV505" i="80"/>
  <c r="AQ515" i="80"/>
  <c r="BG515" i="80" s="1"/>
  <c r="BA515" i="80" s="1"/>
  <c r="BD515" i="80" s="1"/>
  <c r="AO523" i="80"/>
  <c r="AM523" i="80"/>
  <c r="AU523" i="80" s="1"/>
  <c r="AZ523" i="80"/>
  <c r="AP523" i="80"/>
  <c r="AW531" i="80" a="1"/>
  <c r="AW531" i="80" s="1"/>
  <c r="AM531" i="80"/>
  <c r="AU531" i="80" s="1"/>
  <c r="BB531" i="80"/>
  <c r="AG537" i="80"/>
  <c r="AP454" i="80"/>
  <c r="AM454" i="80"/>
  <c r="AU454" i="80" s="1"/>
  <c r="AQ468" i="80"/>
  <c r="BG468" i="80" s="1"/>
  <c r="BA468" i="80" s="1"/>
  <c r="BD468" i="80" s="1"/>
  <c r="AM469" i="80"/>
  <c r="AU469" i="80" s="1"/>
  <c r="AP508" i="80"/>
  <c r="AM513" i="80"/>
  <c r="AU513" i="80" s="1"/>
  <c r="AZ513" i="80"/>
  <c r="BB513" i="80"/>
  <c r="AV513" i="80"/>
  <c r="AM528" i="80"/>
  <c r="AU528" i="80" s="1"/>
  <c r="AQ537" i="80"/>
  <c r="BG537" i="80" s="1"/>
  <c r="BA537" i="80" s="1"/>
  <c r="BD537" i="80" s="1"/>
  <c r="BB519" i="80"/>
  <c r="AZ519" i="80"/>
  <c r="AO519" i="80"/>
  <c r="AP520" i="80"/>
  <c r="AO520" i="80"/>
  <c r="AV520" i="80"/>
  <c r="AW537" i="80" a="1"/>
  <c r="AW537" i="80" s="1"/>
  <c r="AV537" i="80"/>
  <c r="BB537" i="80"/>
  <c r="AZ537" i="80"/>
  <c r="AP537" i="80"/>
  <c r="AM537" i="80"/>
  <c r="AU537" i="80" s="1"/>
  <c r="AO539" i="80"/>
  <c r="AM539" i="80"/>
  <c r="AU539" i="80" s="1"/>
  <c r="BB539" i="80"/>
  <c r="AV539" i="80"/>
  <c r="AW485" i="80" a="1"/>
  <c r="AW485" i="80" s="1"/>
  <c r="AZ485" i="80"/>
  <c r="BB498" i="80"/>
  <c r="AZ498" i="80"/>
  <c r="AV498" i="80"/>
  <c r="AW515" i="80" a="1"/>
  <c r="AW515" i="80" s="1"/>
  <c r="BB515" i="80"/>
  <c r="AZ515" i="80"/>
  <c r="AP515" i="80"/>
  <c r="AM515" i="80"/>
  <c r="AU515" i="80" s="1"/>
  <c r="AM520" i="80"/>
  <c r="AU520" i="80" s="1"/>
  <c r="AZ462" i="80"/>
  <c r="AW462" i="80" a="1"/>
  <c r="AW462" i="80" s="1"/>
  <c r="AW500" i="80" a="1"/>
  <c r="AW500" i="80" s="1"/>
  <c r="AM500" i="80"/>
  <c r="AU500" i="80" s="1"/>
  <c r="AV500" i="80"/>
  <c r="AV502" i="80"/>
  <c r="AP502" i="80"/>
  <c r="AO517" i="80"/>
  <c r="AZ517" i="80"/>
  <c r="AW517" i="80" a="1"/>
  <c r="AW517" i="80" s="1"/>
  <c r="AV517" i="80"/>
  <c r="AP517" i="80"/>
  <c r="AV518" i="80"/>
  <c r="AP518" i="80"/>
  <c r="AO518" i="80"/>
  <c r="AW518" i="80" a="1"/>
  <c r="AW518" i="80" s="1"/>
  <c r="AM518" i="80"/>
  <c r="AU518" i="80" s="1"/>
  <c r="AM519" i="80"/>
  <c r="AU519" i="80" s="1"/>
  <c r="AP539" i="80"/>
  <c r="BB463" i="80"/>
  <c r="AW509" i="80" a="1"/>
  <c r="AW509" i="80" s="1"/>
  <c r="AV509" i="80"/>
  <c r="AP509" i="80"/>
  <c r="AP536" i="80"/>
  <c r="AO536" i="80"/>
  <c r="AM536" i="80"/>
  <c r="AU536" i="80" s="1"/>
  <c r="BB536" i="80"/>
  <c r="AW543" i="80" a="1"/>
  <c r="AW543" i="80" s="1"/>
  <c r="AV543" i="80"/>
  <c r="AP543" i="80"/>
  <c r="AZ544" i="80"/>
  <c r="AM544" i="80"/>
  <c r="AU544" i="80" s="1"/>
  <c r="BB544" i="80"/>
  <c r="AM545" i="80"/>
  <c r="AU545" i="80" s="1"/>
  <c r="AZ545" i="80"/>
  <c r="AW545" i="80" a="1"/>
  <c r="AW545" i="80" s="1"/>
  <c r="AP546" i="80"/>
  <c r="AO546" i="80"/>
  <c r="AM509" i="80"/>
  <c r="AU509" i="80" s="1"/>
  <c r="AM543" i="80"/>
  <c r="AU543" i="80" s="1"/>
  <c r="AP544" i="80"/>
  <c r="AP545" i="80"/>
  <c r="AM546" i="80"/>
  <c r="AU546" i="80" s="1"/>
  <c r="AO510" i="80"/>
  <c r="AM510" i="80"/>
  <c r="AU510" i="80" s="1"/>
  <c r="AZ541" i="80"/>
  <c r="AO541" i="80"/>
  <c r="AM541" i="80"/>
  <c r="AU541" i="80" s="1"/>
  <c r="AW521" i="80" a="1"/>
  <c r="AW521" i="80" s="1"/>
  <c r="BB521" i="80"/>
  <c r="BB525" i="80"/>
  <c r="AZ525" i="80"/>
  <c r="AP541" i="80"/>
  <c r="AW534" i="80" a="1"/>
  <c r="AW534" i="80" s="1"/>
  <c r="AV534" i="80"/>
  <c r="AP473" i="79"/>
  <c r="AV424" i="79"/>
  <c r="AM446" i="79"/>
  <c r="AU446" i="79" s="1"/>
  <c r="AW508" i="79" a="1"/>
  <c r="AW508" i="79" s="1"/>
  <c r="AW346" i="79" a="1"/>
  <c r="AW346" i="79" s="1"/>
  <c r="AM357" i="79"/>
  <c r="AU357" i="79" s="1"/>
  <c r="AY357" i="79" s="1"/>
  <c r="BE357" i="79" s="1"/>
  <c r="AO382" i="79"/>
  <c r="AG382" i="79" s="1"/>
  <c r="AZ406" i="79"/>
  <c r="AO446" i="79"/>
  <c r="AQ446" i="79" s="1"/>
  <c r="BG446" i="79" s="1"/>
  <c r="BA446" i="79" s="1"/>
  <c r="BD446" i="79" s="1"/>
  <c r="AM457" i="79"/>
  <c r="AU457" i="79" s="1"/>
  <c r="AW473" i="79" a="1"/>
  <c r="AW473" i="79" s="1"/>
  <c r="AV479" i="79"/>
  <c r="AM392" i="79"/>
  <c r="AU392" i="79" s="1"/>
  <c r="AW479" i="79" a="1"/>
  <c r="AW479" i="79" s="1"/>
  <c r="AO326" i="79"/>
  <c r="AG326" i="79" s="1"/>
  <c r="AF326" i="79" s="1"/>
  <c r="AV382" i="79"/>
  <c r="AZ392" i="79"/>
  <c r="AW427" i="79" a="1"/>
  <c r="AW427" i="79" s="1"/>
  <c r="BB446" i="79"/>
  <c r="AV474" i="79"/>
  <c r="AO229" i="79"/>
  <c r="AG229" i="79" s="1"/>
  <c r="AW474" i="79" a="1"/>
  <c r="AW474" i="79" s="1"/>
  <c r="AW544" i="79" a="1"/>
  <c r="AW544" i="79" s="1"/>
  <c r="AO239" i="79"/>
  <c r="AQ239" i="79" s="1"/>
  <c r="AW393" i="79" a="1"/>
  <c r="AW393" i="79" s="1"/>
  <c r="AW439" i="79" a="1"/>
  <c r="AW439" i="79" s="1"/>
  <c r="AM467" i="79"/>
  <c r="AU467" i="79" s="1"/>
  <c r="AZ474" i="79"/>
  <c r="AO503" i="79"/>
  <c r="AQ503" i="79" s="1"/>
  <c r="AO225" i="79"/>
  <c r="BB239" i="79"/>
  <c r="AW284" i="79" a="1"/>
  <c r="AW284" i="79" s="1"/>
  <c r="AP303" i="79"/>
  <c r="AZ393" i="79"/>
  <c r="AV401" i="79"/>
  <c r="BB439" i="79"/>
  <c r="AP503" i="79"/>
  <c r="AW216" i="79" a="1"/>
  <c r="AW216" i="79" s="1"/>
  <c r="AZ289" i="79"/>
  <c r="AM299" i="79"/>
  <c r="AU299" i="79" s="1"/>
  <c r="AV303" i="79"/>
  <c r="AO330" i="79"/>
  <c r="AQ330" i="79" s="1"/>
  <c r="BB351" i="79"/>
  <c r="AZ401" i="79"/>
  <c r="AZ216" i="79"/>
  <c r="AM235" i="79"/>
  <c r="AU235" i="79" s="1"/>
  <c r="AW299" i="79" a="1"/>
  <c r="AW299" i="79" s="1"/>
  <c r="AM421" i="79"/>
  <c r="AU421" i="79" s="1"/>
  <c r="AZ516" i="79"/>
  <c r="AP479" i="79"/>
  <c r="AV473" i="79"/>
  <c r="AW282" i="79" a="1"/>
  <c r="AW282" i="79" s="1"/>
  <c r="AW314" i="79" a="1"/>
  <c r="AW314" i="79" s="1"/>
  <c r="AZ473" i="79"/>
  <c r="AZ314" i="79"/>
  <c r="AV457" i="79"/>
  <c r="AV199" i="79"/>
  <c r="BB314" i="79"/>
  <c r="AO488" i="79"/>
  <c r="AQ488" i="79" s="1"/>
  <c r="BG488" i="79" s="1"/>
  <c r="BA488" i="79" s="1"/>
  <c r="BD488" i="79" s="1"/>
  <c r="AZ382" i="79"/>
  <c r="AZ457" i="79"/>
  <c r="BB512" i="79"/>
  <c r="AV439" i="79"/>
  <c r="AO240" i="79"/>
  <c r="AG240" i="79" s="1"/>
  <c r="AY240" i="79" s="1"/>
  <c r="BE240" i="79" s="1"/>
  <c r="AO422" i="79"/>
  <c r="AM478" i="79"/>
  <c r="AU478" i="79" s="1"/>
  <c r="BB517" i="79"/>
  <c r="AV538" i="79"/>
  <c r="AP424" i="79"/>
  <c r="AP346" i="79"/>
  <c r="AZ346" i="79"/>
  <c r="AP382" i="79"/>
  <c r="AO457" i="79"/>
  <c r="AQ457" i="79" s="1"/>
  <c r="BG457" i="79" s="1"/>
  <c r="BA457" i="79" s="1"/>
  <c r="BD457" i="79" s="1"/>
  <c r="AZ522" i="79"/>
  <c r="BB346" i="79"/>
  <c r="AZ479" i="79"/>
  <c r="AM488" i="79"/>
  <c r="AU488" i="79" s="1"/>
  <c r="AM543" i="79"/>
  <c r="AU543" i="79" s="1"/>
  <c r="AW382" i="79" a="1"/>
  <c r="AW382" i="79" s="1"/>
  <c r="BB392" i="79"/>
  <c r="AW457" i="79" a="1"/>
  <c r="AW457" i="79" s="1"/>
  <c r="BB479" i="79"/>
  <c r="AP374" i="79"/>
  <c r="AO439" i="79"/>
  <c r="AG439" i="79" s="1"/>
  <c r="AF439" i="79" s="1"/>
  <c r="AP544" i="79"/>
  <c r="AP328" i="79"/>
  <c r="BB409" i="79"/>
  <c r="BB457" i="79"/>
  <c r="AV240" i="79"/>
  <c r="AM368" i="79"/>
  <c r="AU368" i="79" s="1"/>
  <c r="AM415" i="79"/>
  <c r="AU415" i="79" s="1"/>
  <c r="AO478" i="79"/>
  <c r="AG478" i="79" s="1"/>
  <c r="AF478" i="79" s="1"/>
  <c r="AM531" i="79"/>
  <c r="AU531" i="79" s="1"/>
  <c r="AW538" i="79" a="1"/>
  <c r="AW538" i="79" s="1"/>
  <c r="AP216" i="79"/>
  <c r="AP223" i="79"/>
  <c r="AM275" i="79"/>
  <c r="AU275" i="79" s="1"/>
  <c r="AM289" i="79"/>
  <c r="AU289" i="79" s="1"/>
  <c r="AM319" i="79"/>
  <c r="AU319" i="79" s="1"/>
  <c r="AM328" i="79"/>
  <c r="AU328" i="79" s="1"/>
  <c r="AV340" i="79"/>
  <c r="AV378" i="79"/>
  <c r="AM424" i="79"/>
  <c r="AU424" i="79" s="1"/>
  <c r="AZ427" i="79"/>
  <c r="AM435" i="79"/>
  <c r="AU435" i="79" s="1"/>
  <c r="AP439" i="79"/>
  <c r="BB484" i="79"/>
  <c r="AM534" i="79"/>
  <c r="AU534" i="79" s="1"/>
  <c r="AO538" i="79"/>
  <c r="AV216" i="79"/>
  <c r="AO303" i="79"/>
  <c r="AQ303" i="79" s="1"/>
  <c r="BG303" i="79" s="1"/>
  <c r="BA303" i="79" s="1"/>
  <c r="AP314" i="79"/>
  <c r="AO319" i="79"/>
  <c r="AO328" i="79"/>
  <c r="AG328" i="79" s="1"/>
  <c r="AM352" i="79"/>
  <c r="AU352" i="79" s="1"/>
  <c r="AO424" i="79"/>
  <c r="AG424" i="79" s="1"/>
  <c r="AP538" i="79"/>
  <c r="AZ518" i="79"/>
  <c r="AM261" i="79"/>
  <c r="AU261" i="79" s="1"/>
  <c r="AZ490" i="79"/>
  <c r="AP268" i="79"/>
  <c r="AV412" i="79"/>
  <c r="AP526" i="79"/>
  <c r="AZ268" i="79"/>
  <c r="AO380" i="79"/>
  <c r="AG380" i="79" s="1"/>
  <c r="AF380" i="79" s="1"/>
  <c r="AW404" i="79" a="1"/>
  <c r="AW404" i="79" s="1"/>
  <c r="BB429" i="79"/>
  <c r="AO217" i="79"/>
  <c r="AG217" i="79" s="1"/>
  <c r="AF217" i="79" s="1"/>
  <c r="AW231" i="79" a="1"/>
  <c r="AW231" i="79" s="1"/>
  <c r="AM241" i="79"/>
  <c r="AU241" i="79" s="1"/>
  <c r="AM248" i="79"/>
  <c r="AU248" i="79" s="1"/>
  <c r="BB261" i="79"/>
  <c r="AV295" i="79"/>
  <c r="AO311" i="79"/>
  <c r="AG311" i="79" s="1"/>
  <c r="AZ315" i="79"/>
  <c r="BB329" i="79"/>
  <c r="AW344" i="79" a="1"/>
  <c r="AW344" i="79" s="1"/>
  <c r="AO355" i="79"/>
  <c r="AQ355" i="79" s="1"/>
  <c r="BG355" i="79" s="1"/>
  <c r="BA355" i="79" s="1"/>
  <c r="BD355" i="79" s="1"/>
  <c r="AM365" i="79"/>
  <c r="AU365" i="79" s="1"/>
  <c r="AV380" i="79"/>
  <c r="AO384" i="79"/>
  <c r="AQ384" i="79" s="1"/>
  <c r="BG384" i="79" s="1"/>
  <c r="BA384" i="79" s="1"/>
  <c r="BD384" i="79" s="1"/>
  <c r="AZ394" i="79"/>
  <c r="AV400" i="79"/>
  <c r="BB404" i="79"/>
  <c r="AP436" i="79"/>
  <c r="AV448" i="79"/>
  <c r="AO455" i="79"/>
  <c r="AQ455" i="79" s="1"/>
  <c r="BG455" i="79" s="1"/>
  <c r="BA455" i="79" s="1"/>
  <c r="BD455" i="79" s="1"/>
  <c r="AW471" i="79" a="1"/>
  <c r="AW471" i="79" s="1"/>
  <c r="AP476" i="79"/>
  <c r="AO515" i="79"/>
  <c r="AQ515" i="79" s="1"/>
  <c r="BG515" i="79" s="1"/>
  <c r="BA515" i="79" s="1"/>
  <c r="AW519" i="79" a="1"/>
  <c r="AW519" i="79" s="1"/>
  <c r="AM532" i="79"/>
  <c r="AU532" i="79" s="1"/>
  <c r="BB536" i="79"/>
  <c r="AO540" i="79"/>
  <c r="AQ540" i="79" s="1"/>
  <c r="AV548" i="79"/>
  <c r="AO283" i="79"/>
  <c r="AM535" i="79"/>
  <c r="AU535" i="79" s="1"/>
  <c r="AY535" i="79" s="1"/>
  <c r="BE535" i="79" s="1"/>
  <c r="AM404" i="79"/>
  <c r="AU404" i="79" s="1"/>
  <c r="AO404" i="79"/>
  <c r="AQ404" i="79" s="1"/>
  <c r="AM276" i="79"/>
  <c r="AU276" i="79" s="1"/>
  <c r="AM286" i="79"/>
  <c r="AU286" i="79" s="1"/>
  <c r="BB298" i="79"/>
  <c r="AP300" i="79"/>
  <c r="AZ424" i="79"/>
  <c r="AP471" i="79"/>
  <c r="AV536" i="79"/>
  <c r="AM217" i="79"/>
  <c r="AU217" i="79" s="1"/>
  <c r="AW526" i="79" a="1"/>
  <c r="AW526" i="79" s="1"/>
  <c r="BB138" i="79"/>
  <c r="AZ164" i="79"/>
  <c r="AG3" i="78"/>
  <c r="BB164" i="79"/>
  <c r="AP217" i="79"/>
  <c r="AV228" i="79"/>
  <c r="AZ231" i="79"/>
  <c r="AO241" i="79"/>
  <c r="AW248" i="79" a="1"/>
  <c r="AW248" i="79" s="1"/>
  <c r="AZ283" i="79"/>
  <c r="AW295" i="79" a="1"/>
  <c r="AW295" i="79" s="1"/>
  <c r="AP311" i="79"/>
  <c r="BB315" i="79"/>
  <c r="AZ344" i="79"/>
  <c r="AM350" i="79"/>
  <c r="AU350" i="79" s="1"/>
  <c r="AP355" i="79"/>
  <c r="AO365" i="79"/>
  <c r="AQ365" i="79" s="1"/>
  <c r="AW380" i="79" a="1"/>
  <c r="AW380" i="79" s="1"/>
  <c r="AZ390" i="79"/>
  <c r="BB394" i="79"/>
  <c r="AW400" i="79" a="1"/>
  <c r="AW400" i="79" s="1"/>
  <c r="AV436" i="79"/>
  <c r="AP455" i="79"/>
  <c r="AZ463" i="79"/>
  <c r="BB471" i="79"/>
  <c r="AV476" i="79"/>
  <c r="AV486" i="79"/>
  <c r="AP492" i="79"/>
  <c r="AP515" i="79"/>
  <c r="AO532" i="79"/>
  <c r="AQ532" i="79" s="1"/>
  <c r="AW548" i="79" a="1"/>
  <c r="AW548" i="79" s="1"/>
  <c r="AM227" i="79"/>
  <c r="AU227" i="79" s="1"/>
  <c r="AO390" i="79"/>
  <c r="BB518" i="79"/>
  <c r="AZ320" i="79"/>
  <c r="AM344" i="79"/>
  <c r="AU344" i="79" s="1"/>
  <c r="AW412" i="79" a="1"/>
  <c r="AW412" i="79" s="1"/>
  <c r="AP519" i="79"/>
  <c r="AW394" i="79" a="1"/>
  <c r="AW394" i="79" s="1"/>
  <c r="BB412" i="79"/>
  <c r="AO476" i="79"/>
  <c r="AG476" i="79" s="1"/>
  <c r="AF476" i="79" s="1"/>
  <c r="BB491" i="79"/>
  <c r="AW228" i="79" a="1"/>
  <c r="AW228" i="79" s="1"/>
  <c r="BB231" i="79"/>
  <c r="AP241" i="79"/>
  <c r="AZ295" i="79"/>
  <c r="AV311" i="79"/>
  <c r="BB344" i="79"/>
  <c r="BB355" i="79"/>
  <c r="AZ400" i="79"/>
  <c r="AZ436" i="79"/>
  <c r="AW476" i="79" a="1"/>
  <c r="AW476" i="79" s="1"/>
  <c r="AZ486" i="79"/>
  <c r="AV520" i="79"/>
  <c r="AM537" i="79"/>
  <c r="AU537" i="79" s="1"/>
  <c r="AP283" i="79"/>
  <c r="AZ294" i="79"/>
  <c r="AV298" i="79"/>
  <c r="AM320" i="79"/>
  <c r="AU320" i="79" s="1"/>
  <c r="AV328" i="79"/>
  <c r="AM348" i="79"/>
  <c r="AU348" i="79" s="1"/>
  <c r="AP390" i="79"/>
  <c r="AZ429" i="79"/>
  <c r="AP454" i="79"/>
  <c r="AM514" i="79"/>
  <c r="AU514" i="79" s="1"/>
  <c r="AZ538" i="79"/>
  <c r="AW261" i="79" a="1"/>
  <c r="AW261" i="79" s="1"/>
  <c r="AV283" i="79"/>
  <c r="AV390" i="79"/>
  <c r="AZ491" i="79"/>
  <c r="AO514" i="79"/>
  <c r="AG514" i="79" s="1"/>
  <c r="AF514" i="79" s="1"/>
  <c r="AO548" i="79"/>
  <c r="AG548" i="79" s="1"/>
  <c r="AW138" i="79" a="1"/>
  <c r="AW138" i="79" s="1"/>
  <c r="AV231" i="79"/>
  <c r="BB300" i="79"/>
  <c r="AV344" i="79"/>
  <c r="BB424" i="79"/>
  <c r="AP548" i="79"/>
  <c r="AP225" i="79"/>
  <c r="AW239" i="79" a="1"/>
  <c r="AW239" i="79" s="1"/>
  <c r="AO245" i="79"/>
  <c r="AQ245" i="79" s="1"/>
  <c r="AV266" i="79"/>
  <c r="AV277" i="79"/>
  <c r="AO299" i="79"/>
  <c r="AG299" i="79" s="1"/>
  <c r="AW311" i="79" a="1"/>
  <c r="AW311" i="79" s="1"/>
  <c r="AV350" i="79"/>
  <c r="BB374" i="79"/>
  <c r="BB380" i="79"/>
  <c r="BB400" i="79"/>
  <c r="AP421" i="79"/>
  <c r="AM427" i="79"/>
  <c r="AU427" i="79" s="1"/>
  <c r="AM433" i="79"/>
  <c r="AU433" i="79" s="1"/>
  <c r="AM443" i="79"/>
  <c r="AU443" i="79" s="1"/>
  <c r="AM449" i="79"/>
  <c r="AU449" i="79" s="1"/>
  <c r="AV455" i="79"/>
  <c r="AM460" i="79"/>
  <c r="AU460" i="79" s="1"/>
  <c r="BB486" i="79"/>
  <c r="AV493" i="79"/>
  <c r="AM516" i="79"/>
  <c r="AU516" i="79" s="1"/>
  <c r="BB520" i="79"/>
  <c r="AO529" i="79"/>
  <c r="AQ529" i="79" s="1"/>
  <c r="AO537" i="79"/>
  <c r="AG537" i="79" s="1"/>
  <c r="AZ548" i="79"/>
  <c r="AZ220" i="79"/>
  <c r="AM370" i="79"/>
  <c r="AU370" i="79" s="1"/>
  <c r="AW370" i="79" a="1"/>
  <c r="AW370" i="79" s="1"/>
  <c r="BB227" i="79"/>
  <c r="AW234" i="79" a="1"/>
  <c r="AW234" i="79" s="1"/>
  <c r="AM238" i="79"/>
  <c r="AU238" i="79" s="1"/>
  <c r="AV261" i="79"/>
  <c r="AO300" i="79"/>
  <c r="AG300" i="79" s="1"/>
  <c r="AM548" i="79"/>
  <c r="AU548" i="79" s="1"/>
  <c r="AO138" i="79"/>
  <c r="BB234" i="79"/>
  <c r="AW334" i="79" a="1"/>
  <c r="AW334" i="79" s="1"/>
  <c r="AV241" i="79"/>
  <c r="AP245" i="79"/>
  <c r="AW277" i="79" a="1"/>
  <c r="AW277" i="79" s="1"/>
  <c r="AP299" i="79"/>
  <c r="AW350" i="79" a="1"/>
  <c r="AW350" i="79" s="1"/>
  <c r="AO427" i="79"/>
  <c r="AO443" i="79"/>
  <c r="AG443" i="79" s="1"/>
  <c r="AF443" i="79" s="1"/>
  <c r="AO449" i="79"/>
  <c r="AQ449" i="79" s="1"/>
  <c r="BG449" i="79" s="1"/>
  <c r="BA449" i="79" s="1"/>
  <c r="BD449" i="79" s="1"/>
  <c r="AW455" i="79" a="1"/>
  <c r="AW455" i="79" s="1"/>
  <c r="AW460" i="79" a="1"/>
  <c r="AW460" i="79" s="1"/>
  <c r="AZ476" i="79"/>
  <c r="AW493" i="79" a="1"/>
  <c r="AW493" i="79" s="1"/>
  <c r="AZ508" i="79"/>
  <c r="AP516" i="79"/>
  <c r="AZ529" i="79"/>
  <c r="AP537" i="79"/>
  <c r="BB334" i="79"/>
  <c r="AW390" i="79" a="1"/>
  <c r="AW390" i="79" s="1"/>
  <c r="AM455" i="79"/>
  <c r="AU455" i="79" s="1"/>
  <c r="AV471" i="79"/>
  <c r="AW241" i="79" a="1"/>
  <c r="AW241" i="79" s="1"/>
  <c r="AP427" i="79"/>
  <c r="AP449" i="79"/>
  <c r="AZ455" i="79"/>
  <c r="AV466" i="79"/>
  <c r="AM483" i="79"/>
  <c r="AU483" i="79" s="1"/>
  <c r="AZ493" i="79"/>
  <c r="BB508" i="79"/>
  <c r="AV516" i="79"/>
  <c r="AM533" i="79"/>
  <c r="AU533" i="79" s="1"/>
  <c r="AZ537" i="79"/>
  <c r="BB220" i="79"/>
  <c r="AZ227" i="79"/>
  <c r="AM334" i="79"/>
  <c r="AU334" i="79" s="1"/>
  <c r="AM138" i="79"/>
  <c r="AU138" i="79" s="1"/>
  <c r="AW298" i="79" a="1"/>
  <c r="AW298" i="79" s="1"/>
  <c r="AM363" i="79"/>
  <c r="AU363" i="79" s="1"/>
  <c r="BB54" i="79"/>
  <c r="AM257" i="79"/>
  <c r="AU257" i="79" s="1"/>
  <c r="AP394" i="79"/>
  <c r="AM506" i="79"/>
  <c r="AU506" i="79" s="1"/>
  <c r="AW283" i="79" a="1"/>
  <c r="AW283" i="79" s="1"/>
  <c r="AP506" i="79"/>
  <c r="AM232" i="79"/>
  <c r="AU232" i="79" s="1"/>
  <c r="AZ241" i="79"/>
  <c r="AV299" i="79"/>
  <c r="AV346" i="79"/>
  <c r="AZ351" i="79"/>
  <c r="AM382" i="79"/>
  <c r="AU382" i="79" s="1"/>
  <c r="AV427" i="79"/>
  <c r="AM439" i="79"/>
  <c r="AU439" i="79" s="1"/>
  <c r="BB493" i="79"/>
  <c r="AW516" i="79" a="1"/>
  <c r="AW516" i="79" s="1"/>
  <c r="AP469" i="79"/>
  <c r="AO469" i="79"/>
  <c r="AM469" i="79"/>
  <c r="AU469" i="79" s="1"/>
  <c r="BB469" i="79"/>
  <c r="AZ469" i="79"/>
  <c r="AV469" i="79"/>
  <c r="AW469" i="79" a="1"/>
  <c r="AW469" i="79" s="1"/>
  <c r="AV323" i="79"/>
  <c r="AP323" i="79"/>
  <c r="AO323" i="79"/>
  <c r="AG323" i="79" s="1"/>
  <c r="AW323" i="79" a="1"/>
  <c r="AW323" i="79" s="1"/>
  <c r="BB323" i="79"/>
  <c r="AO152" i="79"/>
  <c r="AZ152" i="79"/>
  <c r="BB152" i="79"/>
  <c r="AP152" i="79"/>
  <c r="BB498" i="79"/>
  <c r="AO498" i="79"/>
  <c r="AQ498" i="79" s="1"/>
  <c r="BG498" i="79" s="1"/>
  <c r="BA498" i="79" s="1"/>
  <c r="BD498" i="79" s="1"/>
  <c r="AM498" i="79"/>
  <c r="AU498" i="79" s="1"/>
  <c r="AV152" i="79"/>
  <c r="BB254" i="79"/>
  <c r="AZ254" i="79"/>
  <c r="AP254" i="79"/>
  <c r="AO254" i="79"/>
  <c r="AQ254" i="79" s="1"/>
  <c r="AM254" i="79"/>
  <c r="AU254" i="79" s="1"/>
  <c r="BB317" i="79"/>
  <c r="AZ317" i="79"/>
  <c r="AW317" i="79" a="1"/>
  <c r="AW317" i="79" s="1"/>
  <c r="AP317" i="79"/>
  <c r="AO317" i="79"/>
  <c r="AG317" i="79" s="1"/>
  <c r="AV317" i="79"/>
  <c r="AM39" i="79"/>
  <c r="AU39" i="79" s="1"/>
  <c r="AZ39" i="79"/>
  <c r="BB39" i="79"/>
  <c r="AP39" i="79"/>
  <c r="AO39" i="79"/>
  <c r="BB259" i="79"/>
  <c r="AZ259" i="79"/>
  <c r="AV259" i="79"/>
  <c r="AP259" i="79"/>
  <c r="AM259" i="79"/>
  <c r="AU259" i="79" s="1"/>
  <c r="AW259" i="79" a="1"/>
  <c r="AW259" i="79" s="1"/>
  <c r="AO259" i="79"/>
  <c r="AW377" i="79" a="1"/>
  <c r="AW377" i="79" s="1"/>
  <c r="AV377" i="79"/>
  <c r="AP377" i="79"/>
  <c r="AO251" i="79"/>
  <c r="BB251" i="79"/>
  <c r="AZ251" i="79"/>
  <c r="AV251" i="79"/>
  <c r="AW251" i="79" a="1"/>
  <c r="AW251" i="79" s="1"/>
  <c r="AP251" i="79"/>
  <c r="BB215" i="79"/>
  <c r="AO215" i="79"/>
  <c r="AW152" i="79" a="1"/>
  <c r="AW152" i="79" s="1"/>
  <c r="AM251" i="79"/>
  <c r="AU251" i="79" s="1"/>
  <c r="AP155" i="79"/>
  <c r="AZ155" i="79"/>
  <c r="AP360" i="79"/>
  <c r="AO360" i="79"/>
  <c r="AQ360" i="79" s="1"/>
  <c r="BG360" i="79" s="1"/>
  <c r="BA360" i="79" s="1"/>
  <c r="AV360" i="79"/>
  <c r="AZ360" i="79"/>
  <c r="AV174" i="79"/>
  <c r="BB174" i="79"/>
  <c r="AO403" i="79"/>
  <c r="BB403" i="79"/>
  <c r="AZ403" i="79"/>
  <c r="AW403" i="79" a="1"/>
  <c r="AW403" i="79" s="1"/>
  <c r="AP403" i="79"/>
  <c r="AZ407" i="79"/>
  <c r="BB407" i="79"/>
  <c r="AW407" i="79" a="1"/>
  <c r="AW407" i="79" s="1"/>
  <c r="AV407" i="79"/>
  <c r="AP407" i="79"/>
  <c r="AO407" i="79"/>
  <c r="AG407" i="79" s="1"/>
  <c r="AM407" i="79"/>
  <c r="AU407" i="79" s="1"/>
  <c r="AP462" i="79"/>
  <c r="AO462" i="79"/>
  <c r="AQ462" i="79" s="1"/>
  <c r="AM462" i="79"/>
  <c r="AU462" i="79" s="1"/>
  <c r="AZ224" i="79"/>
  <c r="BB224" i="79"/>
  <c r="AW224" i="79" a="1"/>
  <c r="AW224" i="79" s="1"/>
  <c r="AV224" i="79"/>
  <c r="AP224" i="79"/>
  <c r="AO224" i="79"/>
  <c r="AQ224" i="79" s="1"/>
  <c r="BG224" i="79" s="1"/>
  <c r="BA224" i="79" s="1"/>
  <c r="BD224" i="79" s="1"/>
  <c r="AM224" i="79"/>
  <c r="AU224" i="79" s="1"/>
  <c r="AO321" i="79"/>
  <c r="BB321" i="79"/>
  <c r="AZ321" i="79"/>
  <c r="AW321" i="79" a="1"/>
  <c r="AW321" i="79" s="1"/>
  <c r="AV321" i="79"/>
  <c r="AP321" i="79"/>
  <c r="AM321" i="79"/>
  <c r="AU321" i="79" s="1"/>
  <c r="AZ342" i="79"/>
  <c r="BB342" i="79"/>
  <c r="AW342" i="79" a="1"/>
  <c r="AW342" i="79" s="1"/>
  <c r="AV342" i="79"/>
  <c r="AO342" i="79"/>
  <c r="AG342" i="79" s="1"/>
  <c r="AM342" i="79"/>
  <c r="AU342" i="79" s="1"/>
  <c r="AM403" i="79"/>
  <c r="AU403" i="79" s="1"/>
  <c r="AP442" i="79"/>
  <c r="AO499" i="79"/>
  <c r="AQ499" i="79" s="1"/>
  <c r="BB499" i="79"/>
  <c r="AZ499" i="79"/>
  <c r="AW499" i="79" a="1"/>
  <c r="AW499" i="79" s="1"/>
  <c r="AV499" i="79"/>
  <c r="AP499" i="79"/>
  <c r="BB434" i="79"/>
  <c r="AW434" i="79" a="1"/>
  <c r="AW434" i="79" s="1"/>
  <c r="AV434" i="79"/>
  <c r="AP434" i="79"/>
  <c r="AP236" i="79"/>
  <c r="BB236" i="79"/>
  <c r="AZ236" i="79"/>
  <c r="AW236" i="79" a="1"/>
  <c r="AW236" i="79" s="1"/>
  <c r="AV236" i="79"/>
  <c r="AO236" i="79"/>
  <c r="AQ236" i="79" s="1"/>
  <c r="BG236" i="79" s="1"/>
  <c r="BA236" i="79" s="1"/>
  <c r="BD236" i="79" s="1"/>
  <c r="AM236" i="79"/>
  <c r="AU236" i="79" s="1"/>
  <c r="AW388" i="79" a="1"/>
  <c r="AW388" i="79" s="1"/>
  <c r="AP388" i="79"/>
  <c r="AM388" i="79"/>
  <c r="AU388" i="79" s="1"/>
  <c r="AO434" i="79"/>
  <c r="AQ434" i="79" s="1"/>
  <c r="BG434" i="79" s="1"/>
  <c r="BA434" i="79" s="1"/>
  <c r="BD434" i="79" s="1"/>
  <c r="AV209" i="79"/>
  <c r="AP212" i="79"/>
  <c r="AP218" i="79"/>
  <c r="AM233" i="79"/>
  <c r="AU233" i="79" s="1"/>
  <c r="AM256" i="79"/>
  <c r="AU256" i="79" s="1"/>
  <c r="AO279" i="79"/>
  <c r="BB459" i="79"/>
  <c r="AZ459" i="79"/>
  <c r="AW459" i="79" a="1"/>
  <c r="AW459" i="79" s="1"/>
  <c r="AV459" i="79"/>
  <c r="AP459" i="79"/>
  <c r="AM459" i="79"/>
  <c r="AU459" i="79" s="1"/>
  <c r="BB527" i="79"/>
  <c r="AW527" i="79" a="1"/>
  <c r="AW527" i="79" s="1"/>
  <c r="AP527" i="79"/>
  <c r="AO527" i="79"/>
  <c r="AG527" i="79" s="1"/>
  <c r="AM527" i="79"/>
  <c r="AU527" i="79" s="1"/>
  <c r="AZ104" i="79"/>
  <c r="AV119" i="79"/>
  <c r="AW209" i="79" a="1"/>
  <c r="AW209" i="79" s="1"/>
  <c r="BB212" i="79"/>
  <c r="AO233" i="79"/>
  <c r="AO256" i="79"/>
  <c r="AQ256" i="79" s="1"/>
  <c r="AZ279" i="79"/>
  <c r="AV388" i="79"/>
  <c r="BB411" i="79"/>
  <c r="AZ411" i="79"/>
  <c r="AW411" i="79" a="1"/>
  <c r="AW411" i="79" s="1"/>
  <c r="AV411" i="79"/>
  <c r="AP411" i="79"/>
  <c r="AO411" i="79"/>
  <c r="AM411" i="79"/>
  <c r="AU411" i="79" s="1"/>
  <c r="AV450" i="79"/>
  <c r="AP450" i="79"/>
  <c r="BB528" i="79"/>
  <c r="AW528" i="79" a="1"/>
  <c r="AW528" i="79" s="1"/>
  <c r="AO528" i="79"/>
  <c r="AG528" i="79" s="1"/>
  <c r="AM528" i="79"/>
  <c r="AU528" i="79" s="1"/>
  <c r="AW119" i="79" a="1"/>
  <c r="AW119" i="79" s="1"/>
  <c r="AP233" i="79"/>
  <c r="BB249" i="79"/>
  <c r="AZ249" i="79"/>
  <c r="AW249" i="79" a="1"/>
  <c r="AW249" i="79" s="1"/>
  <c r="AP249" i="79"/>
  <c r="AO249" i="79"/>
  <c r="AG249" i="79" s="1"/>
  <c r="AO459" i="79"/>
  <c r="BB509" i="79"/>
  <c r="AV509" i="79"/>
  <c r="AP509" i="79"/>
  <c r="AO509" i="79"/>
  <c r="AQ509" i="79" s="1"/>
  <c r="BG509" i="79" s="1"/>
  <c r="BA509" i="79" s="1"/>
  <c r="BD509" i="79" s="1"/>
  <c r="AM509" i="79"/>
  <c r="AU509" i="79" s="1"/>
  <c r="BB222" i="79"/>
  <c r="AZ222" i="79"/>
  <c r="AP222" i="79"/>
  <c r="AM222" i="79"/>
  <c r="AU222" i="79" s="1"/>
  <c r="BB119" i="79"/>
  <c r="AM249" i="79"/>
  <c r="AU249" i="79" s="1"/>
  <c r="AZ263" i="79"/>
  <c r="BB417" i="79"/>
  <c r="AO417" i="79"/>
  <c r="BB456" i="79"/>
  <c r="AW456" i="79" a="1"/>
  <c r="AW456" i="79" s="1"/>
  <c r="AV528" i="79"/>
  <c r="AF535" i="79"/>
  <c r="AL535" i="79" s="1" a="1"/>
  <c r="AL535" i="79" s="1"/>
  <c r="BB40" i="79"/>
  <c r="AO54" i="79"/>
  <c r="AG54" i="79" s="1"/>
  <c r="AO223" i="79"/>
  <c r="AV249" i="79"/>
  <c r="BB263" i="79"/>
  <c r="AM456" i="79"/>
  <c r="AU456" i="79" s="1"/>
  <c r="AO119" i="79"/>
  <c r="AQ119" i="79" s="1"/>
  <c r="BG119" i="79" s="1"/>
  <c r="BA119" i="79" s="1"/>
  <c r="BD119" i="79" s="1"/>
  <c r="BB233" i="79"/>
  <c r="AZ233" i="79"/>
  <c r="AV233" i="79"/>
  <c r="AM242" i="79"/>
  <c r="AU242" i="79" s="1"/>
  <c r="AP242" i="79"/>
  <c r="AO242" i="79"/>
  <c r="AQ242" i="79" s="1"/>
  <c r="BB242" i="79"/>
  <c r="AZ242" i="79"/>
  <c r="AW242" i="79" a="1"/>
  <c r="AW242" i="79" s="1"/>
  <c r="AV242" i="79"/>
  <c r="BB345" i="79"/>
  <c r="AV345" i="79"/>
  <c r="AV453" i="79"/>
  <c r="AP453" i="79"/>
  <c r="AO453" i="79"/>
  <c r="AQ453" i="79" s="1"/>
  <c r="BB256" i="79"/>
  <c r="AZ256" i="79"/>
  <c r="AV54" i="79"/>
  <c r="AP89" i="79"/>
  <c r="AW89" i="79" a="1"/>
  <c r="AW89" i="79" s="1"/>
  <c r="AM210" i="79"/>
  <c r="AU210" i="79" s="1"/>
  <c r="AZ223" i="79"/>
  <c r="AW339" i="79" a="1"/>
  <c r="AW339" i="79" s="1"/>
  <c r="AV339" i="79"/>
  <c r="AM453" i="79"/>
  <c r="AU453" i="79" s="1"/>
  <c r="AO212" i="79"/>
  <c r="AP54" i="79"/>
  <c r="AW54" i="79" a="1"/>
  <c r="AW54" i="79" s="1"/>
  <c r="AZ271" i="79"/>
  <c r="AV271" i="79"/>
  <c r="BB430" i="79"/>
  <c r="AZ430" i="79"/>
  <c r="AV430" i="79"/>
  <c r="AO430" i="79"/>
  <c r="AG430" i="79" s="1"/>
  <c r="AM430" i="79"/>
  <c r="AU430" i="79" s="1"/>
  <c r="BB472" i="79"/>
  <c r="AZ472" i="79"/>
  <c r="AW472" i="79" a="1"/>
  <c r="AW472" i="79" s="1"/>
  <c r="AO156" i="79"/>
  <c r="AG156" i="79" s="1"/>
  <c r="BB230" i="79"/>
  <c r="AP230" i="79"/>
  <c r="AO230" i="79"/>
  <c r="AG230" i="79" s="1"/>
  <c r="AF230" i="79" s="1"/>
  <c r="AM230" i="79"/>
  <c r="AU230" i="79" s="1"/>
  <c r="AP119" i="79"/>
  <c r="AP44" i="79"/>
  <c r="AZ54" i="79"/>
  <c r="AO271" i="79"/>
  <c r="AG271" i="79" s="1"/>
  <c r="AF271" i="79" s="1"/>
  <c r="BB291" i="79"/>
  <c r="AZ291" i="79"/>
  <c r="AW291" i="79" a="1"/>
  <c r="AW291" i="79" s="1"/>
  <c r="AV291" i="79"/>
  <c r="AP291" i="79"/>
  <c r="AO291" i="79"/>
  <c r="AM291" i="79"/>
  <c r="AU291" i="79" s="1"/>
  <c r="AP441" i="79"/>
  <c r="AW441" i="79" a="1"/>
  <c r="AW441" i="79" s="1"/>
  <c r="AV441" i="79"/>
  <c r="AO441" i="79"/>
  <c r="AQ441" i="79" s="1"/>
  <c r="BB441" i="79"/>
  <c r="BB447" i="79"/>
  <c r="AZ447" i="79"/>
  <c r="AW447" i="79" a="1"/>
  <c r="AW447" i="79" s="1"/>
  <c r="AV447" i="79"/>
  <c r="AP447" i="79"/>
  <c r="AO447" i="79"/>
  <c r="AQ447" i="79" s="1"/>
  <c r="BG447" i="79" s="1"/>
  <c r="BA447" i="79" s="1"/>
  <c r="BD447" i="79" s="1"/>
  <c r="AM447" i="79"/>
  <c r="AU447" i="79" s="1"/>
  <c r="AW461" i="79" a="1"/>
  <c r="AW461" i="79" s="1"/>
  <c r="AM472" i="79"/>
  <c r="AU472" i="79" s="1"/>
  <c r="AP513" i="79"/>
  <c r="AV284" i="79"/>
  <c r="AP284" i="79"/>
  <c r="AM284" i="79"/>
  <c r="AU284" i="79" s="1"/>
  <c r="BB383" i="79"/>
  <c r="AW383" i="79" a="1"/>
  <c r="AW383" i="79" s="1"/>
  <c r="AV383" i="79"/>
  <c r="AO383" i="79"/>
  <c r="AQ383" i="79" s="1"/>
  <c r="BG383" i="79" s="1"/>
  <c r="BA383" i="79" s="1"/>
  <c r="BD383" i="79" s="1"/>
  <c r="AW406" i="79" a="1"/>
  <c r="AW406" i="79" s="1"/>
  <c r="AV406" i="79"/>
  <c r="AO406" i="79"/>
  <c r="AO483" i="79"/>
  <c r="BB483" i="79"/>
  <c r="AZ483" i="79"/>
  <c r="BB349" i="79"/>
  <c r="AV349" i="79"/>
  <c r="AP349" i="79"/>
  <c r="AO349" i="79"/>
  <c r="AM349" i="79"/>
  <c r="AU349" i="79" s="1"/>
  <c r="BB490" i="79"/>
  <c r="AV490" i="79"/>
  <c r="AP490" i="79"/>
  <c r="AO490" i="79"/>
  <c r="AQ490" i="79" s="1"/>
  <c r="AM490" i="79"/>
  <c r="AU490" i="79" s="1"/>
  <c r="BB535" i="79"/>
  <c r="AZ535" i="79"/>
  <c r="AW535" i="79" a="1"/>
  <c r="AW535" i="79" s="1"/>
  <c r="BB269" i="79"/>
  <c r="AZ269" i="79"/>
  <c r="AW269" i="79" a="1"/>
  <c r="AW269" i="79" s="1"/>
  <c r="AG275" i="79"/>
  <c r="AF275" i="79" s="1"/>
  <c r="AL275" i="79" s="1" a="1"/>
  <c r="AL275" i="79" s="1"/>
  <c r="BH275" i="79" s="1"/>
  <c r="AZ303" i="79"/>
  <c r="AP315" i="79"/>
  <c r="AW315" i="79" a="1"/>
  <c r="AW315" i="79" s="1"/>
  <c r="AV315" i="79"/>
  <c r="AZ330" i="79"/>
  <c r="AW330" i="79" a="1"/>
  <c r="AW330" i="79" s="1"/>
  <c r="AV330" i="79"/>
  <c r="AP330" i="79"/>
  <c r="AZ349" i="79"/>
  <c r="AP352" i="79"/>
  <c r="AZ370" i="79"/>
  <c r="BB391" i="79"/>
  <c r="AV391" i="79"/>
  <c r="BB532" i="79"/>
  <c r="AZ532" i="79"/>
  <c r="AW532" i="79" a="1"/>
  <c r="AW532" i="79" s="1"/>
  <c r="AV532" i="79"/>
  <c r="AP535" i="79"/>
  <c r="AM225" i="79"/>
  <c r="AU225" i="79" s="1"/>
  <c r="AG227" i="79"/>
  <c r="AR227" i="79" s="1"/>
  <c r="AM228" i="79"/>
  <c r="AU228" i="79" s="1"/>
  <c r="AM245" i="79"/>
  <c r="AU245" i="79" s="1"/>
  <c r="AV269" i="79"/>
  <c r="BB275" i="79"/>
  <c r="AZ275" i="79"/>
  <c r="AW275" i="79" a="1"/>
  <c r="AW275" i="79" s="1"/>
  <c r="AM315" i="79"/>
  <c r="AU315" i="79" s="1"/>
  <c r="AY315" i="79" s="1"/>
  <c r="BE315" i="79" s="1"/>
  <c r="AM330" i="79"/>
  <c r="AU330" i="79" s="1"/>
  <c r="AP357" i="79"/>
  <c r="BB357" i="79"/>
  <c r="AZ357" i="79"/>
  <c r="AW357" i="79" a="1"/>
  <c r="AW357" i="79" s="1"/>
  <c r="AV357" i="79"/>
  <c r="AM391" i="79"/>
  <c r="AU391" i="79" s="1"/>
  <c r="BB443" i="79"/>
  <c r="AZ443" i="79"/>
  <c r="AV483" i="79"/>
  <c r="AZ495" i="79"/>
  <c r="BB495" i="79"/>
  <c r="AW495" i="79" a="1"/>
  <c r="AW495" i="79" s="1"/>
  <c r="AV495" i="79"/>
  <c r="AO526" i="79"/>
  <c r="BB313" i="79"/>
  <c r="AZ313" i="79"/>
  <c r="AW313" i="79" a="1"/>
  <c r="AW313" i="79" s="1"/>
  <c r="AV313" i="79"/>
  <c r="AV352" i="79"/>
  <c r="BB451" i="79"/>
  <c r="AW451" i="79" a="1"/>
  <c r="AW451" i="79" s="1"/>
  <c r="AV451" i="79"/>
  <c r="AP451" i="79"/>
  <c r="AO451" i="79"/>
  <c r="AW483" i="79" a="1"/>
  <c r="AW483" i="79" s="1"/>
  <c r="AV535" i="79"/>
  <c r="AO544" i="79"/>
  <c r="AP262" i="79"/>
  <c r="BB262" i="79"/>
  <c r="BB267" i="79"/>
  <c r="AW267" i="79" a="1"/>
  <c r="AW267" i="79" s="1"/>
  <c r="AV267" i="79"/>
  <c r="AP267" i="79"/>
  <c r="AP280" i="79"/>
  <c r="AO280" i="79"/>
  <c r="AQ280" i="79" s="1"/>
  <c r="AM280" i="79"/>
  <c r="AU280" i="79" s="1"/>
  <c r="AW352" i="79" a="1"/>
  <c r="AW352" i="79" s="1"/>
  <c r="AO428" i="79"/>
  <c r="BB428" i="79"/>
  <c r="AZ428" i="79"/>
  <c r="AW428" i="79" a="1"/>
  <c r="AW428" i="79" s="1"/>
  <c r="AP227" i="79"/>
  <c r="AO232" i="79"/>
  <c r="AM262" i="79"/>
  <c r="AU262" i="79" s="1"/>
  <c r="AO264" i="79"/>
  <c r="AG264" i="79" s="1"/>
  <c r="AY264" i="79" s="1"/>
  <c r="BE264" i="79" s="1"/>
  <c r="AM267" i="79"/>
  <c r="AU267" i="79" s="1"/>
  <c r="AW280" i="79" a="1"/>
  <c r="AW280" i="79" s="1"/>
  <c r="AV301" i="79"/>
  <c r="AO313" i="79"/>
  <c r="AQ313" i="79" s="1"/>
  <c r="BG313" i="79" s="1"/>
  <c r="BA313" i="79" s="1"/>
  <c r="BD313" i="79" s="1"/>
  <c r="AV326" i="79"/>
  <c r="AW343" i="79" a="1"/>
  <c r="AW343" i="79" s="1"/>
  <c r="AV343" i="79"/>
  <c r="AP343" i="79"/>
  <c r="AO343" i="79"/>
  <c r="AG343" i="79" s="1"/>
  <c r="AO368" i="79"/>
  <c r="AW378" i="79" a="1"/>
  <c r="AW378" i="79" s="1"/>
  <c r="BB402" i="79"/>
  <c r="AZ402" i="79"/>
  <c r="AW402" i="79" a="1"/>
  <c r="AW402" i="79" s="1"/>
  <c r="AV402" i="79"/>
  <c r="AP402" i="79"/>
  <c r="AO402" i="79"/>
  <c r="AO421" i="79"/>
  <c r="AQ421" i="79" s="1"/>
  <c r="AM428" i="79"/>
  <c r="AU428" i="79" s="1"/>
  <c r="AP443" i="79"/>
  <c r="AZ451" i="79"/>
  <c r="AW470" i="79" a="1"/>
  <c r="AW470" i="79" s="1"/>
  <c r="AZ470" i="79"/>
  <c r="AV470" i="79"/>
  <c r="AP470" i="79"/>
  <c r="AP495" i="79"/>
  <c r="AM501" i="79"/>
  <c r="AU501" i="79" s="1"/>
  <c r="AO506" i="79"/>
  <c r="AQ506" i="79" s="1"/>
  <c r="BG506" i="79" s="1"/>
  <c r="BA506" i="79" s="1"/>
  <c r="BD506" i="79" s="1"/>
  <c r="AM522" i="79"/>
  <c r="AU522" i="79" s="1"/>
  <c r="AV526" i="79"/>
  <c r="AV544" i="79"/>
  <c r="AV217" i="79"/>
  <c r="AM220" i="79"/>
  <c r="AU220" i="79" s="1"/>
  <c r="AV225" i="79"/>
  <c r="AZ228" i="79"/>
  <c r="AP232" i="79"/>
  <c r="AV245" i="79"/>
  <c r="AV257" i="79"/>
  <c r="AO262" i="79"/>
  <c r="AQ262" i="79" s="1"/>
  <c r="BG262" i="79" s="1"/>
  <c r="BA262" i="79" s="1"/>
  <c r="BD262" i="79" s="1"/>
  <c r="AO267" i="79"/>
  <c r="AQ267" i="79" s="1"/>
  <c r="AP275" i="79"/>
  <c r="AO308" i="79"/>
  <c r="AG308" i="79" s="1"/>
  <c r="AF308" i="79" s="1"/>
  <c r="AP313" i="79"/>
  <c r="AZ319" i="79"/>
  <c r="AM335" i="79"/>
  <c r="AU335" i="79" s="1"/>
  <c r="AZ352" i="79"/>
  <c r="AO358" i="79"/>
  <c r="AQ358" i="79" s="1"/>
  <c r="BG358" i="79" s="1"/>
  <c r="BA358" i="79" s="1"/>
  <c r="BD358" i="79" s="1"/>
  <c r="AV363" i="79"/>
  <c r="AP368" i="79"/>
  <c r="AV372" i="79"/>
  <c r="BB395" i="79"/>
  <c r="AZ395" i="79"/>
  <c r="AP428" i="79"/>
  <c r="BB431" i="79"/>
  <c r="AW431" i="79" a="1"/>
  <c r="AW431" i="79" s="1"/>
  <c r="AV431" i="79"/>
  <c r="AP431" i="79"/>
  <c r="AO431" i="79"/>
  <c r="AG431" i="79" s="1"/>
  <c r="AM431" i="79"/>
  <c r="AU431" i="79" s="1"/>
  <c r="AO522" i="79"/>
  <c r="AQ522" i="79" s="1"/>
  <c r="BB549" i="79"/>
  <c r="AZ549" i="79"/>
  <c r="AM140" i="79"/>
  <c r="AU140" i="79" s="1"/>
  <c r="BB213" i="79"/>
  <c r="AW217" i="79" a="1"/>
  <c r="AW217" i="79" s="1"/>
  <c r="AO220" i="79"/>
  <c r="AQ220" i="79" s="1"/>
  <c r="BG220" i="79" s="1"/>
  <c r="BA220" i="79" s="1"/>
  <c r="BD220" i="79" s="1"/>
  <c r="AW225" i="79" a="1"/>
  <c r="AW225" i="79" s="1"/>
  <c r="AP239" i="79"/>
  <c r="AM239" i="79"/>
  <c r="AU239" i="79" s="1"/>
  <c r="AW245" i="79" a="1"/>
  <c r="AW245" i="79" s="1"/>
  <c r="AM255" i="79"/>
  <c r="AU255" i="79" s="1"/>
  <c r="AV262" i="79"/>
  <c r="AZ267" i="79"/>
  <c r="AO273" i="79"/>
  <c r="AG273" i="79" s="1"/>
  <c r="AM298" i="79"/>
  <c r="AU298" i="79" s="1"/>
  <c r="AP308" i="79"/>
  <c r="AM316" i="79"/>
  <c r="AU316" i="79" s="1"/>
  <c r="BB341" i="79"/>
  <c r="AZ341" i="79"/>
  <c r="AV341" i="79"/>
  <c r="AZ353" i="79"/>
  <c r="AP353" i="79"/>
  <c r="AM353" i="79"/>
  <c r="AU353" i="79" s="1"/>
  <c r="AP358" i="79"/>
  <c r="BB387" i="79"/>
  <c r="AZ387" i="79"/>
  <c r="AW387" i="79" a="1"/>
  <c r="AW387" i="79" s="1"/>
  <c r="AV387" i="79"/>
  <c r="AM395" i="79"/>
  <c r="AU395" i="79" s="1"/>
  <c r="AV421" i="79"/>
  <c r="AZ431" i="79"/>
  <c r="AW443" i="79" a="1"/>
  <c r="AW443" i="79" s="1"/>
  <c r="AM452" i="79"/>
  <c r="AU452" i="79" s="1"/>
  <c r="AM468" i="79"/>
  <c r="AU468" i="79" s="1"/>
  <c r="AO470" i="79"/>
  <c r="AG470" i="79" s="1"/>
  <c r="AF470" i="79" s="1"/>
  <c r="AV487" i="79"/>
  <c r="AW492" i="79" a="1"/>
  <c r="AW492" i="79" s="1"/>
  <c r="AV506" i="79"/>
  <c r="AP522" i="79"/>
  <c r="AV549" i="79"/>
  <c r="AO140" i="79"/>
  <c r="AQ140" i="79" s="1"/>
  <c r="AZ225" i="79"/>
  <c r="AV227" i="79"/>
  <c r="AV255" i="79"/>
  <c r="AW262" i="79" a="1"/>
  <c r="AW262" i="79" s="1"/>
  <c r="AP273" i="79"/>
  <c r="AW290" i="79" a="1"/>
  <c r="AW290" i="79" s="1"/>
  <c r="AV290" i="79"/>
  <c r="AP290" i="79"/>
  <c r="AO298" i="79"/>
  <c r="AQ298" i="79" s="1"/>
  <c r="BG298" i="79" s="1"/>
  <c r="BA298" i="79" s="1"/>
  <c r="BD298" i="79" s="1"/>
  <c r="AO316" i="79"/>
  <c r="AQ316" i="79" s="1"/>
  <c r="BG316" i="79" s="1"/>
  <c r="BA316" i="79" s="1"/>
  <c r="BD316" i="79" s="1"/>
  <c r="BB336" i="79"/>
  <c r="AZ336" i="79"/>
  <c r="AW336" i="79" a="1"/>
  <c r="AW336" i="79" s="1"/>
  <c r="AV336" i="79"/>
  <c r="AM341" i="79"/>
  <c r="AU341" i="79" s="1"/>
  <c r="AZ350" i="79"/>
  <c r="AV358" i="79"/>
  <c r="AV368" i="79"/>
  <c r="AO373" i="79"/>
  <c r="AM373" i="79"/>
  <c r="AU373" i="79" s="1"/>
  <c r="AM387" i="79"/>
  <c r="AU387" i="79" s="1"/>
  <c r="AM393" i="79"/>
  <c r="AU393" i="79" s="1"/>
  <c r="BB393" i="79"/>
  <c r="AO395" i="79"/>
  <c r="AM412" i="79"/>
  <c r="AU412" i="79" s="1"/>
  <c r="AY412" i="79" s="1"/>
  <c r="BE412" i="79" s="1"/>
  <c r="AW421" i="79" a="1"/>
  <c r="AW421" i="79" s="1"/>
  <c r="AO452" i="79"/>
  <c r="AO468" i="79"/>
  <c r="AQ468" i="79" s="1"/>
  <c r="BG468" i="79" s="1"/>
  <c r="BA468" i="79" s="1"/>
  <c r="BD468" i="79" s="1"/>
  <c r="AW506" i="79" a="1"/>
  <c r="AW506" i="79" s="1"/>
  <c r="BB519" i="79"/>
  <c r="AZ519" i="79"/>
  <c r="AV522" i="79"/>
  <c r="AZ526" i="79"/>
  <c r="AP539" i="79"/>
  <c r="AW549" i="79" a="1"/>
  <c r="AW549" i="79" s="1"/>
  <c r="AM216" i="79"/>
  <c r="AU216" i="79" s="1"/>
  <c r="BB217" i="79"/>
  <c r="AV220" i="79"/>
  <c r="AW227" i="79" a="1"/>
  <c r="AW227" i="79" s="1"/>
  <c r="AO234" i="79"/>
  <c r="AG234" i="79" s="1"/>
  <c r="AZ245" i="79"/>
  <c r="AO248" i="79"/>
  <c r="AZ262" i="79"/>
  <c r="AV275" i="79"/>
  <c r="AV286" i="79"/>
  <c r="AM295" i="79"/>
  <c r="AU295" i="79" s="1"/>
  <c r="AP298" i="79"/>
  <c r="AM314" i="79"/>
  <c r="AU314" i="79" s="1"/>
  <c r="AZ316" i="79"/>
  <c r="BB333" i="79"/>
  <c r="AZ333" i="79"/>
  <c r="AW333" i="79" a="1"/>
  <c r="AW333" i="79" s="1"/>
  <c r="AM336" i="79"/>
  <c r="AU336" i="79" s="1"/>
  <c r="AO341" i="79"/>
  <c r="AO344" i="79"/>
  <c r="AG344" i="79" s="1"/>
  <c r="AW358" i="79" a="1"/>
  <c r="AW358" i="79" s="1"/>
  <c r="BB365" i="79"/>
  <c r="AZ365" i="79"/>
  <c r="AW365" i="79" a="1"/>
  <c r="AW365" i="79" s="1"/>
  <c r="AV365" i="79"/>
  <c r="AW368" i="79" a="1"/>
  <c r="AW368" i="79" s="1"/>
  <c r="AO387" i="79"/>
  <c r="AO393" i="79"/>
  <c r="AQ393" i="79" s="1"/>
  <c r="AP395" i="79"/>
  <c r="AP412" i="79"/>
  <c r="BB421" i="79"/>
  <c r="AV428" i="79"/>
  <c r="AP452" i="79"/>
  <c r="AM471" i="79"/>
  <c r="AU471" i="79" s="1"/>
  <c r="AM482" i="79"/>
  <c r="AU482" i="79" s="1"/>
  <c r="AW482" i="79" a="1"/>
  <c r="AW482" i="79" s="1"/>
  <c r="AV482" i="79"/>
  <c r="AP482" i="79"/>
  <c r="AO482" i="79"/>
  <c r="AO485" i="79"/>
  <c r="BB503" i="79"/>
  <c r="AZ503" i="79"/>
  <c r="AW503" i="79" a="1"/>
  <c r="AW503" i="79" s="1"/>
  <c r="AV503" i="79"/>
  <c r="AZ506" i="79"/>
  <c r="AM519" i="79"/>
  <c r="AU519" i="79" s="1"/>
  <c r="AW522" i="79" a="1"/>
  <c r="AW522" i="79" s="1"/>
  <c r="BB526" i="79"/>
  <c r="AV539" i="79"/>
  <c r="AO545" i="79"/>
  <c r="AG545" i="79" s="1"/>
  <c r="AF545" i="79" s="1"/>
  <c r="AO216" i="79"/>
  <c r="AQ216" i="79" s="1"/>
  <c r="BG216" i="79" s="1"/>
  <c r="BA216" i="79" s="1"/>
  <c r="BD216" i="79" s="1"/>
  <c r="AW220" i="79" a="1"/>
  <c r="AW220" i="79" s="1"/>
  <c r="AV239" i="79"/>
  <c r="AP248" i="79"/>
  <c r="AO314" i="79"/>
  <c r="BB320" i="79"/>
  <c r="AV320" i="79"/>
  <c r="AP320" i="79"/>
  <c r="AO320" i="79"/>
  <c r="AO336" i="79"/>
  <c r="AQ336" i="79" s="1"/>
  <c r="BG336" i="79" s="1"/>
  <c r="BA336" i="79" s="1"/>
  <c r="BD336" i="79" s="1"/>
  <c r="AP387" i="79"/>
  <c r="AP393" i="79"/>
  <c r="AV395" i="79"/>
  <c r="AQ412" i="79"/>
  <c r="BG412" i="79" s="1"/>
  <c r="BA412" i="79" s="1"/>
  <c r="BD412" i="79" s="1"/>
  <c r="BB458" i="79"/>
  <c r="AZ458" i="79"/>
  <c r="AO471" i="79"/>
  <c r="AQ471" i="79" s="1"/>
  <c r="BG471" i="79" s="1"/>
  <c r="BA471" i="79" s="1"/>
  <c r="BD471" i="79" s="1"/>
  <c r="AP485" i="79"/>
  <c r="AO519" i="79"/>
  <c r="AQ519" i="79" s="1"/>
  <c r="BG519" i="79" s="1"/>
  <c r="BA519" i="79" s="1"/>
  <c r="AP274" i="79"/>
  <c r="AW278" i="79" a="1"/>
  <c r="AW278" i="79" s="1"/>
  <c r="AO351" i="79"/>
  <c r="AM400" i="79"/>
  <c r="AU400" i="79" s="1"/>
  <c r="AM409" i="79"/>
  <c r="AU409" i="79" s="1"/>
  <c r="AO466" i="79"/>
  <c r="AQ466" i="79" s="1"/>
  <c r="AM486" i="79"/>
  <c r="AU486" i="79" s="1"/>
  <c r="AM493" i="79"/>
  <c r="AU493" i="79" s="1"/>
  <c r="AM508" i="79"/>
  <c r="AU508" i="79" s="1"/>
  <c r="AM518" i="79"/>
  <c r="AU518" i="79" s="1"/>
  <c r="AM246" i="79"/>
  <c r="AU246" i="79" s="1"/>
  <c r="AV274" i="79"/>
  <c r="AZ322" i="79"/>
  <c r="AM346" i="79"/>
  <c r="AU346" i="79" s="1"/>
  <c r="AP369" i="79"/>
  <c r="AM379" i="79"/>
  <c r="AU379" i="79" s="1"/>
  <c r="AM394" i="79"/>
  <c r="AU394" i="79" s="1"/>
  <c r="AO400" i="79"/>
  <c r="AM473" i="79"/>
  <c r="AU473" i="79" s="1"/>
  <c r="AM479" i="79"/>
  <c r="AU479" i="79" s="1"/>
  <c r="AO486" i="79"/>
  <c r="AQ486" i="79" s="1"/>
  <c r="BG486" i="79" s="1"/>
  <c r="BA486" i="79" s="1"/>
  <c r="BD486" i="79" s="1"/>
  <c r="AO493" i="79"/>
  <c r="AO508" i="79"/>
  <c r="AG508" i="79" s="1"/>
  <c r="AM512" i="79"/>
  <c r="AU512" i="79" s="1"/>
  <c r="AO518" i="79"/>
  <c r="AQ518" i="79" s="1"/>
  <c r="AM283" i="79"/>
  <c r="AU283" i="79" s="1"/>
  <c r="AM390" i="79"/>
  <c r="AU390" i="79" s="1"/>
  <c r="AO394" i="79"/>
  <c r="AQ394" i="79" s="1"/>
  <c r="BB397" i="79"/>
  <c r="AO473" i="79"/>
  <c r="AQ473" i="79" s="1"/>
  <c r="AM476" i="79"/>
  <c r="AU476" i="79" s="1"/>
  <c r="AP486" i="79"/>
  <c r="AP508" i="79"/>
  <c r="AO516" i="79"/>
  <c r="AM538" i="79"/>
  <c r="AU538" i="79" s="1"/>
  <c r="AM208" i="79"/>
  <c r="AU208" i="79" s="1"/>
  <c r="AO208" i="79"/>
  <c r="AG208" i="79" s="1"/>
  <c r="AW202" i="79" a="1"/>
  <c r="AW202" i="79" s="1"/>
  <c r="AP208" i="79"/>
  <c r="AV208" i="79"/>
  <c r="AW208" i="79" a="1"/>
  <c r="AW208" i="79" s="1"/>
  <c r="AZ203" i="79"/>
  <c r="AM207" i="79"/>
  <c r="AU207" i="79" s="1"/>
  <c r="AZ208" i="79"/>
  <c r="AO207" i="79"/>
  <c r="AP207" i="79"/>
  <c r="AV207" i="79"/>
  <c r="AW207" i="79" a="1"/>
  <c r="AW207" i="79" s="1"/>
  <c r="BB207" i="79"/>
  <c r="AO97" i="79"/>
  <c r="AG97" i="79" s="1"/>
  <c r="AP154" i="79"/>
  <c r="BB171" i="79"/>
  <c r="AP150" i="79"/>
  <c r="AZ62" i="79"/>
  <c r="AV144" i="79"/>
  <c r="BB60" i="79"/>
  <c r="AV69" i="79"/>
  <c r="AM149" i="79"/>
  <c r="AU149" i="79" s="1"/>
  <c r="AW151" i="79" a="1"/>
  <c r="AW151" i="79" s="1"/>
  <c r="AV166" i="79"/>
  <c r="AW169" i="79" a="1"/>
  <c r="AW169" i="79" s="1"/>
  <c r="BB172" i="79"/>
  <c r="AM188" i="79"/>
  <c r="AU188" i="79" s="1"/>
  <c r="AV89" i="79"/>
  <c r="AO149" i="79"/>
  <c r="AZ151" i="79"/>
  <c r="AV155" i="79"/>
  <c r="AZ169" i="79"/>
  <c r="AO188" i="79"/>
  <c r="AQ188" i="79" s="1"/>
  <c r="BG188" i="79" s="1"/>
  <c r="BA188" i="79" s="1"/>
  <c r="BD188" i="79" s="1"/>
  <c r="AP199" i="79"/>
  <c r="AV97" i="79"/>
  <c r="AM150" i="79"/>
  <c r="AU150" i="79" s="1"/>
  <c r="AY150" i="79" s="1"/>
  <c r="BE150" i="79" s="1"/>
  <c r="AV154" i="79"/>
  <c r="AW154" i="79" a="1"/>
  <c r="AW154" i="79" s="1"/>
  <c r="AV175" i="79"/>
  <c r="AW60" i="79" a="1"/>
  <c r="AW60" i="79" s="1"/>
  <c r="AV169" i="79"/>
  <c r="AV149" i="79"/>
  <c r="AV153" i="79"/>
  <c r="AM164" i="79"/>
  <c r="AU164" i="79" s="1"/>
  <c r="AW31" i="79" a="1"/>
  <c r="AW31" i="79" s="1"/>
  <c r="AZ46" i="79"/>
  <c r="AM86" i="79"/>
  <c r="AU86" i="79" s="1"/>
  <c r="AW149" i="79" a="1"/>
  <c r="AW149" i="79" s="1"/>
  <c r="AW153" i="79" a="1"/>
  <c r="AW153" i="79" s="1"/>
  <c r="AO164" i="79"/>
  <c r="AG164" i="79" s="1"/>
  <c r="AW188" i="79" a="1"/>
  <c r="AW188" i="79" s="1"/>
  <c r="AO192" i="79"/>
  <c r="AQ192" i="79" s="1"/>
  <c r="BG192" i="79" s="1"/>
  <c r="BA192" i="79" s="1"/>
  <c r="BD192" i="79" s="1"/>
  <c r="AV196" i="79"/>
  <c r="AM60" i="79"/>
  <c r="AU60" i="79" s="1"/>
  <c r="AO65" i="79"/>
  <c r="AQ65" i="79" s="1"/>
  <c r="BG65" i="79" s="1"/>
  <c r="BA65" i="79" s="1"/>
  <c r="AO154" i="79"/>
  <c r="AG154" i="79" s="1"/>
  <c r="AZ111" i="79"/>
  <c r="AV62" i="79"/>
  <c r="AP116" i="79"/>
  <c r="AP175" i="79"/>
  <c r="AP188" i="79"/>
  <c r="BB89" i="79"/>
  <c r="AV188" i="79"/>
  <c r="AW199" i="79" a="1"/>
  <c r="AW199" i="79" s="1"/>
  <c r="BB31" i="79"/>
  <c r="AO86" i="79"/>
  <c r="AG86" i="79" s="1"/>
  <c r="AV114" i="79"/>
  <c r="BB149" i="79"/>
  <c r="AZ153" i="79"/>
  <c r="AP164" i="79"/>
  <c r="AZ188" i="79"/>
  <c r="AW196" i="79" a="1"/>
  <c r="AW196" i="79" s="1"/>
  <c r="AP60" i="79"/>
  <c r="AP62" i="79"/>
  <c r="AP65" i="79"/>
  <c r="AW97" i="79" a="1"/>
  <c r="AW97" i="79" s="1"/>
  <c r="AV60" i="79"/>
  <c r="BB116" i="79"/>
  <c r="AP169" i="79"/>
  <c r="AZ45" i="79"/>
  <c r="BB62" i="79"/>
  <c r="AZ60" i="79"/>
  <c r="AP149" i="79"/>
  <c r="BB169" i="79"/>
  <c r="BB155" i="79"/>
  <c r="BB114" i="79"/>
  <c r="AW134" i="79" a="1"/>
  <c r="AW134" i="79" s="1"/>
  <c r="BB153" i="79"/>
  <c r="AV164" i="79"/>
  <c r="BB196" i="79"/>
  <c r="BB134" i="79"/>
  <c r="BB168" i="79"/>
  <c r="AZ168" i="79"/>
  <c r="AZ47" i="79"/>
  <c r="AW47" i="79" a="1"/>
  <c r="AW47" i="79" s="1"/>
  <c r="AV47" i="79"/>
  <c r="AP47" i="79"/>
  <c r="AO47" i="79"/>
  <c r="AQ47" i="79" s="1"/>
  <c r="BG47" i="79" s="1"/>
  <c r="BA47" i="79" s="1"/>
  <c r="BD47" i="79" s="1"/>
  <c r="AM168" i="79"/>
  <c r="AU168" i="79" s="1"/>
  <c r="BB47" i="79"/>
  <c r="AO168" i="79"/>
  <c r="BB184" i="79"/>
  <c r="AZ184" i="79"/>
  <c r="AW184" i="79" a="1"/>
  <c r="AW184" i="79" s="1"/>
  <c r="AV184" i="79"/>
  <c r="AP184" i="79"/>
  <c r="AZ35" i="79"/>
  <c r="BB35" i="79"/>
  <c r="AW35" i="79" a="1"/>
  <c r="AW35" i="79" s="1"/>
  <c r="BB163" i="79"/>
  <c r="AW163" i="79" a="1"/>
  <c r="AW163" i="79" s="1"/>
  <c r="AV163" i="79"/>
  <c r="AP168" i="79"/>
  <c r="AM184" i="79"/>
  <c r="AU184" i="79" s="1"/>
  <c r="AO35" i="79"/>
  <c r="AQ35" i="79" s="1"/>
  <c r="BB109" i="79"/>
  <c r="AZ109" i="79"/>
  <c r="AP113" i="79"/>
  <c r="AO113" i="79"/>
  <c r="BB160" i="79"/>
  <c r="AZ160" i="79"/>
  <c r="AW160" i="79" a="1"/>
  <c r="AW160" i="79" s="1"/>
  <c r="AV160" i="79"/>
  <c r="AM163" i="79"/>
  <c r="AU163" i="79" s="1"/>
  <c r="AO184" i="79"/>
  <c r="AQ184" i="79" s="1"/>
  <c r="BG184" i="79" s="1"/>
  <c r="BA184" i="79" s="1"/>
  <c r="BD184" i="79" s="1"/>
  <c r="AP35" i="79"/>
  <c r="AZ38" i="79"/>
  <c r="AV38" i="79"/>
  <c r="AP38" i="79"/>
  <c r="BB38" i="79"/>
  <c r="AM160" i="79"/>
  <c r="AU160" i="79" s="1"/>
  <c r="AO163" i="79"/>
  <c r="AQ163" i="79" s="1"/>
  <c r="BG163" i="79" s="1"/>
  <c r="BA163" i="79" s="1"/>
  <c r="BD163" i="79" s="1"/>
  <c r="AV168" i="79"/>
  <c r="AM38" i="79"/>
  <c r="AU38" i="79" s="1"/>
  <c r="AO160" i="79"/>
  <c r="AW168" i="79" a="1"/>
  <c r="AW168" i="79" s="1"/>
  <c r="AV35" i="79"/>
  <c r="AO38" i="79"/>
  <c r="AP160" i="79"/>
  <c r="AM185" i="79"/>
  <c r="AU185" i="79" s="1"/>
  <c r="AP185" i="79"/>
  <c r="BB185" i="79"/>
  <c r="AZ185" i="79"/>
  <c r="AW185" i="79" a="1"/>
  <c r="AW185" i="79" s="1"/>
  <c r="AV185" i="79"/>
  <c r="AO185" i="79"/>
  <c r="AW38" i="79" a="1"/>
  <c r="AW38" i="79" s="1"/>
  <c r="BB110" i="79"/>
  <c r="AZ110" i="79"/>
  <c r="AW110" i="79" a="1"/>
  <c r="AW110" i="79" s="1"/>
  <c r="AV110" i="79"/>
  <c r="AM110" i="79"/>
  <c r="AU110" i="79" s="1"/>
  <c r="BB158" i="79"/>
  <c r="AZ158" i="79"/>
  <c r="AW158" i="79" a="1"/>
  <c r="AW158" i="79" s="1"/>
  <c r="AV158" i="79"/>
  <c r="AV58" i="79"/>
  <c r="AM58" i="79"/>
  <c r="AU58" i="79" s="1"/>
  <c r="AM158" i="79"/>
  <c r="AU158" i="79" s="1"/>
  <c r="AM53" i="79"/>
  <c r="AU53" i="79" s="1"/>
  <c r="AW53" i="79" a="1"/>
  <c r="AW53" i="79" s="1"/>
  <c r="AP53" i="79"/>
  <c r="AW58" i="79" a="1"/>
  <c r="AW58" i="79" s="1"/>
  <c r="AV88" i="79"/>
  <c r="AO88" i="79"/>
  <c r="AG88" i="79" s="1"/>
  <c r="AF88" i="79" s="1"/>
  <c r="AM88" i="79"/>
  <c r="AU88" i="79" s="1"/>
  <c r="AM146" i="79"/>
  <c r="AU146" i="79" s="1"/>
  <c r="AO158" i="79"/>
  <c r="AQ158" i="79" s="1"/>
  <c r="BG158" i="79" s="1"/>
  <c r="BA158" i="79" s="1"/>
  <c r="BD158" i="79" s="1"/>
  <c r="AM161" i="79"/>
  <c r="AU161" i="79" s="1"/>
  <c r="BB161" i="79"/>
  <c r="AZ161" i="79"/>
  <c r="AW161" i="79" a="1"/>
  <c r="AW161" i="79" s="1"/>
  <c r="AP161" i="79"/>
  <c r="AO161" i="79"/>
  <c r="AV161" i="79"/>
  <c r="AO53" i="79"/>
  <c r="AG53" i="79" s="1"/>
  <c r="AF53" i="79" s="1"/>
  <c r="BB58" i="79"/>
  <c r="AV146" i="79"/>
  <c r="AP158" i="79"/>
  <c r="AZ53" i="79"/>
  <c r="BB118" i="79"/>
  <c r="AZ118" i="79"/>
  <c r="AO170" i="79"/>
  <c r="AP170" i="79"/>
  <c r="BB170" i="79"/>
  <c r="AZ170" i="79"/>
  <c r="AW170" i="79" a="1"/>
  <c r="AW170" i="79" s="1"/>
  <c r="AP173" i="79"/>
  <c r="AO173" i="79"/>
  <c r="AM173" i="79"/>
  <c r="AU173" i="79" s="1"/>
  <c r="BB173" i="79"/>
  <c r="AZ173" i="79"/>
  <c r="AP63" i="79"/>
  <c r="AO63" i="79"/>
  <c r="AQ63" i="79" s="1"/>
  <c r="BG63" i="79" s="1"/>
  <c r="BA63" i="79" s="1"/>
  <c r="BD63" i="79" s="1"/>
  <c r="AZ95" i="79"/>
  <c r="BB95" i="79"/>
  <c r="AP95" i="79"/>
  <c r="AO103" i="79"/>
  <c r="AG103" i="79" s="1"/>
  <c r="AM118" i="79"/>
  <c r="AU118" i="79" s="1"/>
  <c r="AM170" i="79"/>
  <c r="AU170" i="79" s="1"/>
  <c r="AM194" i="79"/>
  <c r="AU194" i="79" s="1"/>
  <c r="BB33" i="79"/>
  <c r="AM33" i="79"/>
  <c r="AU33" i="79" s="1"/>
  <c r="BB61" i="79"/>
  <c r="AP61" i="79"/>
  <c r="AO61" i="79"/>
  <c r="AQ61" i="79" s="1"/>
  <c r="BG61" i="79" s="1"/>
  <c r="BA61" i="79" s="1"/>
  <c r="AM61" i="79"/>
  <c r="AU61" i="79" s="1"/>
  <c r="AZ61" i="79"/>
  <c r="AW61" i="79" a="1"/>
  <c r="AW61" i="79" s="1"/>
  <c r="AV61" i="79"/>
  <c r="AM63" i="79"/>
  <c r="AU63" i="79" s="1"/>
  <c r="BB68" i="79"/>
  <c r="AZ68" i="79"/>
  <c r="AW68" i="79" a="1"/>
  <c r="AW68" i="79" s="1"/>
  <c r="AV68" i="79"/>
  <c r="AV103" i="79"/>
  <c r="AM107" i="79"/>
  <c r="AU107" i="79" s="1"/>
  <c r="AV107" i="79"/>
  <c r="AP107" i="79"/>
  <c r="AO107" i="79"/>
  <c r="BB107" i="79"/>
  <c r="AZ107" i="79"/>
  <c r="AW107" i="79" a="1"/>
  <c r="AW107" i="79" s="1"/>
  <c r="AO118" i="79"/>
  <c r="AM136" i="79"/>
  <c r="AU136" i="79" s="1"/>
  <c r="AV170" i="79"/>
  <c r="BB176" i="79"/>
  <c r="AZ176" i="79"/>
  <c r="AW176" i="79" a="1"/>
  <c r="AW176" i="79" s="1"/>
  <c r="AV194" i="79"/>
  <c r="AM36" i="79"/>
  <c r="AU36" i="79" s="1"/>
  <c r="AZ36" i="79"/>
  <c r="AW36" i="79" a="1"/>
  <c r="AW36" i="79" s="1"/>
  <c r="AV36" i="79"/>
  <c r="AO36" i="79"/>
  <c r="AV63" i="79"/>
  <c r="AM68" i="79"/>
  <c r="AU68" i="79" s="1"/>
  <c r="AP118" i="79"/>
  <c r="AO136" i="79"/>
  <c r="AQ136" i="79" s="1"/>
  <c r="BB159" i="79"/>
  <c r="AO159" i="79"/>
  <c r="AG159" i="79" s="1"/>
  <c r="AM159" i="79"/>
  <c r="AU159" i="79" s="1"/>
  <c r="AW159" i="79" a="1"/>
  <c r="AW159" i="79" s="1"/>
  <c r="AV159" i="79"/>
  <c r="AZ167" i="79"/>
  <c r="BB167" i="79"/>
  <c r="AW167" i="79" a="1"/>
  <c r="AW167" i="79" s="1"/>
  <c r="AV167" i="79"/>
  <c r="AP167" i="79"/>
  <c r="AM176" i="79"/>
  <c r="AU176" i="79" s="1"/>
  <c r="AP179" i="79"/>
  <c r="AW179" i="79" a="1"/>
  <c r="AW179" i="79" s="1"/>
  <c r="AV179" i="79"/>
  <c r="AO179" i="79"/>
  <c r="AM179" i="79"/>
  <c r="AU179" i="79" s="1"/>
  <c r="AW194" i="79" a="1"/>
  <c r="AW194" i="79" s="1"/>
  <c r="BB204" i="79"/>
  <c r="AZ204" i="79"/>
  <c r="AV204" i="79"/>
  <c r="AO204" i="79"/>
  <c r="AG204" i="79" s="1"/>
  <c r="AM204" i="79"/>
  <c r="AU204" i="79" s="1"/>
  <c r="AW63" i="79" a="1"/>
  <c r="AW63" i="79" s="1"/>
  <c r="AV67" i="79"/>
  <c r="BB67" i="79"/>
  <c r="AZ67" i="79"/>
  <c r="AW67" i="79" a="1"/>
  <c r="AW67" i="79" s="1"/>
  <c r="AO68" i="79"/>
  <c r="AV87" i="79"/>
  <c r="AM95" i="79"/>
  <c r="AU95" i="79" s="1"/>
  <c r="AP136" i="79"/>
  <c r="AM167" i="79"/>
  <c r="AU167" i="79" s="1"/>
  <c r="AO176" i="79"/>
  <c r="AQ176" i="79" s="1"/>
  <c r="BG176" i="79" s="1"/>
  <c r="BA176" i="79" s="1"/>
  <c r="BD176" i="79" s="1"/>
  <c r="AZ179" i="79"/>
  <c r="AZ63" i="79"/>
  <c r="AM67" i="79"/>
  <c r="AU67" i="79" s="1"/>
  <c r="AP68" i="79"/>
  <c r="AZ87" i="79"/>
  <c r="AO95" i="79"/>
  <c r="AV118" i="79"/>
  <c r="AZ136" i="79"/>
  <c r="AO167" i="79"/>
  <c r="AM174" i="79"/>
  <c r="AU174" i="79" s="1"/>
  <c r="AP176" i="79"/>
  <c r="BB179" i="79"/>
  <c r="AV183" i="79"/>
  <c r="BB192" i="79"/>
  <c r="AZ192" i="79"/>
  <c r="AW192" i="79" a="1"/>
  <c r="AW192" i="79" s="1"/>
  <c r="AV192" i="79"/>
  <c r="BB63" i="79"/>
  <c r="AO67" i="79"/>
  <c r="AW118" i="79" a="1"/>
  <c r="AW118" i="79" s="1"/>
  <c r="AV176" i="79"/>
  <c r="AW183" i="79" a="1"/>
  <c r="AW183" i="79" s="1"/>
  <c r="AM192" i="79"/>
  <c r="AU192" i="79" s="1"/>
  <c r="AP40" i="79"/>
  <c r="AV40" i="79"/>
  <c r="AO40" i="79"/>
  <c r="AQ40" i="79" s="1"/>
  <c r="BG40" i="79" s="1"/>
  <c r="BA40" i="79" s="1"/>
  <c r="BD40" i="79" s="1"/>
  <c r="BB165" i="79"/>
  <c r="AZ165" i="79"/>
  <c r="AM40" i="79"/>
  <c r="AU40" i="79" s="1"/>
  <c r="AM165" i="79"/>
  <c r="AU165" i="79" s="1"/>
  <c r="AM196" i="79"/>
  <c r="AU196" i="79" s="1"/>
  <c r="BB34" i="79"/>
  <c r="AW34" i="79" a="1"/>
  <c r="AW34" i="79" s="1"/>
  <c r="AW40" i="79" a="1"/>
  <c r="AW40" i="79" s="1"/>
  <c r="BB104" i="79"/>
  <c r="AP104" i="79"/>
  <c r="AO104" i="79"/>
  <c r="AG104" i="79" s="1"/>
  <c r="AF104" i="79" s="1"/>
  <c r="AM104" i="79"/>
  <c r="AU104" i="79" s="1"/>
  <c r="BB117" i="79"/>
  <c r="AP117" i="79"/>
  <c r="AO117" i="79"/>
  <c r="AQ117" i="79" s="1"/>
  <c r="AO196" i="79"/>
  <c r="AQ196" i="79" s="1"/>
  <c r="BG196" i="79" s="1"/>
  <c r="BA196" i="79" s="1"/>
  <c r="AM199" i="79"/>
  <c r="AU199" i="79" s="1"/>
  <c r="BB42" i="79"/>
  <c r="AP45" i="79"/>
  <c r="BG60" i="79"/>
  <c r="BA60" i="79" s="1"/>
  <c r="BD60" i="79" s="1"/>
  <c r="AG60" i="79"/>
  <c r="AF60" i="79" s="1"/>
  <c r="AL60" i="79" s="1" a="1"/>
  <c r="AL60" i="79" s="1"/>
  <c r="BH60" i="79" s="1"/>
  <c r="AO70" i="79"/>
  <c r="BB86" i="79"/>
  <c r="AZ86" i="79"/>
  <c r="AV104" i="79"/>
  <c r="AV117" i="79"/>
  <c r="AP196" i="79"/>
  <c r="BB205" i="79"/>
  <c r="AO205" i="79"/>
  <c r="AG205" i="79" s="1"/>
  <c r="AM205" i="79"/>
  <c r="AU205" i="79" s="1"/>
  <c r="BB200" i="79"/>
  <c r="AP200" i="79"/>
  <c r="AO200" i="79"/>
  <c r="AG200" i="79" s="1"/>
  <c r="AM200" i="79"/>
  <c r="AU200" i="79" s="1"/>
  <c r="BB41" i="79"/>
  <c r="AV41" i="79"/>
  <c r="AZ175" i="79"/>
  <c r="BB175" i="79"/>
  <c r="AO203" i="79"/>
  <c r="AQ203" i="79" s="1"/>
  <c r="BG203" i="79" s="1"/>
  <c r="BA203" i="79" s="1"/>
  <c r="BD203" i="79" s="1"/>
  <c r="AM41" i="79"/>
  <c r="AU41" i="79" s="1"/>
  <c r="AP108" i="79"/>
  <c r="AM175" i="79"/>
  <c r="AU175" i="79" s="1"/>
  <c r="AV200" i="79"/>
  <c r="AV203" i="79"/>
  <c r="AO41" i="79"/>
  <c r="AG41" i="79" s="1"/>
  <c r="AF41" i="79" s="1"/>
  <c r="AM65" i="79"/>
  <c r="AU65" i="79" s="1"/>
  <c r="AZ65" i="79"/>
  <c r="AW65" i="79" a="1"/>
  <c r="AW65" i="79" s="1"/>
  <c r="AV65" i="79"/>
  <c r="AO175" i="79"/>
  <c r="AW200" i="79" a="1"/>
  <c r="AW200" i="79" s="1"/>
  <c r="AW203" i="79" a="1"/>
  <c r="AW203" i="79" s="1"/>
  <c r="AM44" i="79"/>
  <c r="AU44" i="79" s="1"/>
  <c r="AO46" i="79"/>
  <c r="AQ46" i="79" s="1"/>
  <c r="AM62" i="79"/>
  <c r="AU62" i="79" s="1"/>
  <c r="AM89" i="79"/>
  <c r="AU89" i="79" s="1"/>
  <c r="AO134" i="79"/>
  <c r="AQ134" i="79" s="1"/>
  <c r="BG134" i="79" s="1"/>
  <c r="BA134" i="79" s="1"/>
  <c r="BD134" i="79" s="1"/>
  <c r="AM144" i="79"/>
  <c r="AU144" i="79" s="1"/>
  <c r="AO153" i="79"/>
  <c r="AQ153" i="79" s="1"/>
  <c r="BG153" i="79" s="1"/>
  <c r="BA153" i="79" s="1"/>
  <c r="BD153" i="79" s="1"/>
  <c r="AM155" i="79"/>
  <c r="AU155" i="79" s="1"/>
  <c r="AP172" i="79"/>
  <c r="AO62" i="79"/>
  <c r="AG62" i="79" s="1"/>
  <c r="AM119" i="79"/>
  <c r="AU119" i="79" s="1"/>
  <c r="AO144" i="79"/>
  <c r="AQ144" i="79" s="1"/>
  <c r="BG144" i="79" s="1"/>
  <c r="BA144" i="79" s="1"/>
  <c r="BD144" i="79" s="1"/>
  <c r="AM152" i="79"/>
  <c r="AU152" i="79" s="1"/>
  <c r="AP153" i="79"/>
  <c r="AO169" i="79"/>
  <c r="AQ511" i="79"/>
  <c r="BG511" i="79" s="1"/>
  <c r="BA511" i="79" s="1"/>
  <c r="BD511" i="79" s="1"/>
  <c r="AG511" i="79"/>
  <c r="AF511" i="79" s="1"/>
  <c r="AP85" i="79"/>
  <c r="AO85" i="79"/>
  <c r="BB85" i="79"/>
  <c r="AW85" i="79" a="1"/>
  <c r="AW85" i="79" s="1"/>
  <c r="AZ85" i="79"/>
  <c r="AV85" i="79"/>
  <c r="BE12" i="79"/>
  <c r="AM85" i="79"/>
  <c r="AU85" i="79" s="1"/>
  <c r="AO102" i="79"/>
  <c r="AM102" i="79"/>
  <c r="AU102" i="79" s="1"/>
  <c r="AW102" i="79" a="1"/>
  <c r="AW102" i="79" s="1"/>
  <c r="AV102" i="79"/>
  <c r="AP102" i="79"/>
  <c r="AZ102" i="79"/>
  <c r="BB102" i="79"/>
  <c r="AV57" i="79"/>
  <c r="AZ57" i="79"/>
  <c r="BB57" i="79"/>
  <c r="AO57" i="79"/>
  <c r="AP57" i="79"/>
  <c r="AW57" i="79" a="1"/>
  <c r="AW57" i="79" s="1"/>
  <c r="AK93" i="79"/>
  <c r="B93" i="79"/>
  <c r="AM57" i="79"/>
  <c r="AU57" i="79" s="1"/>
  <c r="AV296" i="79"/>
  <c r="AM296" i="79"/>
  <c r="AU296" i="79" s="1"/>
  <c r="BB296" i="79"/>
  <c r="AZ296" i="79"/>
  <c r="AP296" i="79"/>
  <c r="AW296" i="79" a="1"/>
  <c r="AW296" i="79" s="1"/>
  <c r="AO296" i="79"/>
  <c r="B52" i="79"/>
  <c r="AK52" i="79"/>
  <c r="AP75" i="79"/>
  <c r="AO186" i="79"/>
  <c r="AW186" i="79" a="1"/>
  <c r="AW186" i="79" s="1"/>
  <c r="AV186" i="79"/>
  <c r="AZ186" i="79"/>
  <c r="AP186" i="79"/>
  <c r="AM186" i="79"/>
  <c r="AU186" i="79" s="1"/>
  <c r="BB186" i="79"/>
  <c r="B51" i="79"/>
  <c r="AK51" i="79"/>
  <c r="AO22" i="79"/>
  <c r="B32" i="79"/>
  <c r="AK32" i="79"/>
  <c r="BG275" i="79"/>
  <c r="BA275" i="79" s="1"/>
  <c r="BD275" i="79" s="1"/>
  <c r="AG247" i="79"/>
  <c r="AF247" i="79" s="1"/>
  <c r="AQ247" i="79"/>
  <c r="BG247" i="79" s="1"/>
  <c r="BA247" i="79" s="1"/>
  <c r="BD247" i="79" s="1"/>
  <c r="AM64" i="79"/>
  <c r="AU64" i="79" s="1"/>
  <c r="BB64" i="79"/>
  <c r="AW64" i="79" a="1"/>
  <c r="AW64" i="79" s="1"/>
  <c r="AV64" i="79"/>
  <c r="AP64" i="79"/>
  <c r="AO64" i="79"/>
  <c r="AP124" i="79"/>
  <c r="AO124" i="79"/>
  <c r="AM325" i="79"/>
  <c r="AU325" i="79" s="1"/>
  <c r="AW325" i="79" a="1"/>
  <c r="AW325" i="79" s="1"/>
  <c r="AV325" i="79"/>
  <c r="AZ325" i="79"/>
  <c r="AP325" i="79"/>
  <c r="BB325" i="79"/>
  <c r="AO325" i="79"/>
  <c r="BB511" i="79"/>
  <c r="AP511" i="79"/>
  <c r="AW511" i="79" a="1"/>
  <c r="AW511" i="79" s="1"/>
  <c r="AV511" i="79"/>
  <c r="AM511" i="79"/>
  <c r="AU511" i="79" s="1"/>
  <c r="AZ511" i="79"/>
  <c r="AM55" i="79"/>
  <c r="AU55" i="79" s="1"/>
  <c r="AZ55" i="79"/>
  <c r="AO55" i="79"/>
  <c r="AP55" i="79"/>
  <c r="BB55" i="79"/>
  <c r="AW55" i="79" a="1"/>
  <c r="AW55" i="79" s="1"/>
  <c r="AV55" i="79"/>
  <c r="AM253" i="79"/>
  <c r="AU253" i="79" s="1"/>
  <c r="AO253" i="79"/>
  <c r="AV253" i="79"/>
  <c r="BB253" i="79"/>
  <c r="AP253" i="79"/>
  <c r="AZ253" i="79"/>
  <c r="AW253" i="79" a="1"/>
  <c r="AW253" i="79" s="1"/>
  <c r="AO59" i="79"/>
  <c r="AG59" i="79" s="1"/>
  <c r="BB59" i="79"/>
  <c r="AV59" i="79"/>
  <c r="AP59" i="79"/>
  <c r="AZ59" i="79"/>
  <c r="AM59" i="79"/>
  <c r="AU59" i="79" s="1"/>
  <c r="AW59" i="79" a="1"/>
  <c r="AW59" i="79" s="1"/>
  <c r="AP84" i="79"/>
  <c r="AM101" i="79"/>
  <c r="AU101" i="79" s="1"/>
  <c r="AP101" i="79"/>
  <c r="AO101" i="79"/>
  <c r="AZ101" i="79"/>
  <c r="BB101" i="79"/>
  <c r="AW101" i="79" a="1"/>
  <c r="AW101" i="79" s="1"/>
  <c r="AP142" i="79"/>
  <c r="AV142" i="79"/>
  <c r="AW142" i="79" a="1"/>
  <c r="AW142" i="79" s="1"/>
  <c r="BB142" i="79"/>
  <c r="AZ142" i="79"/>
  <c r="AO142" i="79"/>
  <c r="AM142" i="79"/>
  <c r="AU142" i="79" s="1"/>
  <c r="AO162" i="79"/>
  <c r="AW162" i="79" a="1"/>
  <c r="AW162" i="79" s="1"/>
  <c r="AV162" i="79"/>
  <c r="AM162" i="79"/>
  <c r="AU162" i="79" s="1"/>
  <c r="BB162" i="79"/>
  <c r="AZ162" i="79"/>
  <c r="AP48" i="79"/>
  <c r="AO48" i="79"/>
  <c r="AM48" i="79"/>
  <c r="AU48" i="79" s="1"/>
  <c r="BB48" i="79"/>
  <c r="AW48" i="79" a="1"/>
  <c r="AW48" i="79" s="1"/>
  <c r="AZ48" i="79"/>
  <c r="AV101" i="79"/>
  <c r="AP162" i="79"/>
  <c r="AP347" i="79"/>
  <c r="AW347" i="79" a="1"/>
  <c r="AW347" i="79" s="1"/>
  <c r="AV347" i="79"/>
  <c r="BB347" i="79"/>
  <c r="AM347" i="79"/>
  <c r="AU347" i="79" s="1"/>
  <c r="AZ347" i="79"/>
  <c r="AO347" i="79"/>
  <c r="AV48" i="79"/>
  <c r="AZ56" i="79"/>
  <c r="BB56" i="79"/>
  <c r="AV56" i="79"/>
  <c r="AW56" i="79" a="1"/>
  <c r="AW56" i="79" s="1"/>
  <c r="AO56" i="79"/>
  <c r="AM56" i="79"/>
  <c r="AU56" i="79" s="1"/>
  <c r="AP56" i="79"/>
  <c r="BD13" i="79"/>
  <c r="BC13" i="79"/>
  <c r="B78" i="79"/>
  <c r="AK78" i="79"/>
  <c r="AP24" i="79"/>
  <c r="AO24" i="79"/>
  <c r="AM37" i="79"/>
  <c r="AU37" i="79" s="1"/>
  <c r="BB37" i="79"/>
  <c r="AV37" i="79"/>
  <c r="AP37" i="79"/>
  <c r="AO37" i="79"/>
  <c r="AZ37" i="79"/>
  <c r="AW37" i="79" a="1"/>
  <c r="AW37" i="79" s="1"/>
  <c r="AP73" i="79"/>
  <c r="AM148" i="79"/>
  <c r="AU148" i="79" s="1"/>
  <c r="BB148" i="79"/>
  <c r="AO148" i="79"/>
  <c r="AP148" i="79"/>
  <c r="AZ148" i="79"/>
  <c r="AP366" i="79"/>
  <c r="AO366" i="79"/>
  <c r="AZ366" i="79"/>
  <c r="BB366" i="79"/>
  <c r="AW366" i="79" a="1"/>
  <c r="AW366" i="79" s="1"/>
  <c r="AM366" i="79"/>
  <c r="AU366" i="79" s="1"/>
  <c r="AV366" i="79"/>
  <c r="AG433" i="79"/>
  <c r="AF433" i="79" s="1"/>
  <c r="AQ433" i="79"/>
  <c r="BG433" i="79" s="1"/>
  <c r="BA433" i="79" s="1"/>
  <c r="BD433" i="79" s="1"/>
  <c r="AM49" i="79"/>
  <c r="AU49" i="79" s="1"/>
  <c r="AP49" i="79"/>
  <c r="AO49" i="79"/>
  <c r="AV49" i="79"/>
  <c r="AO72" i="79"/>
  <c r="AP72" i="79"/>
  <c r="AP105" i="79"/>
  <c r="AO105" i="79"/>
  <c r="AM105" i="79"/>
  <c r="AU105" i="79" s="1"/>
  <c r="AW105" i="79" a="1"/>
  <c r="AW105" i="79" s="1"/>
  <c r="AV105" i="79"/>
  <c r="AO132" i="79"/>
  <c r="AP132" i="79"/>
  <c r="AM293" i="79"/>
  <c r="AU293" i="79" s="1"/>
  <c r="AP293" i="79"/>
  <c r="AO293" i="79"/>
  <c r="AZ293" i="79"/>
  <c r="AW293" i="79" a="1"/>
  <c r="AW293" i="79" s="1"/>
  <c r="AV293" i="79"/>
  <c r="BB293" i="79"/>
  <c r="AM356" i="79"/>
  <c r="AU356" i="79" s="1"/>
  <c r="AZ356" i="79"/>
  <c r="AO356" i="79"/>
  <c r="AP356" i="79"/>
  <c r="BB356" i="79"/>
  <c r="AW356" i="79" a="1"/>
  <c r="AW356" i="79" s="1"/>
  <c r="B80" i="79"/>
  <c r="AK80" i="79"/>
  <c r="AO82" i="79"/>
  <c r="AP135" i="79"/>
  <c r="AO135" i="79"/>
  <c r="AZ135" i="79"/>
  <c r="AV135" i="79"/>
  <c r="AV148" i="79"/>
  <c r="AW181" i="79" a="1"/>
  <c r="AW181" i="79" s="1"/>
  <c r="AV181" i="79"/>
  <c r="AZ181" i="79"/>
  <c r="AO181" i="79"/>
  <c r="BB181" i="79"/>
  <c r="AP181" i="79"/>
  <c r="AV356" i="79"/>
  <c r="AM418" i="79"/>
  <c r="AU418" i="79" s="1"/>
  <c r="BB418" i="79"/>
  <c r="AV418" i="79"/>
  <c r="AO418" i="79"/>
  <c r="AW418" i="79" a="1"/>
  <c r="AW418" i="79" s="1"/>
  <c r="AP418" i="79"/>
  <c r="AZ418" i="79"/>
  <c r="AO444" i="79"/>
  <c r="AV444" i="79"/>
  <c r="AP444" i="79"/>
  <c r="AW444" i="79" a="1"/>
  <c r="AW444" i="79" s="1"/>
  <c r="AM444" i="79"/>
  <c r="AU444" i="79" s="1"/>
  <c r="BB444" i="79"/>
  <c r="AZ444" i="79"/>
  <c r="AQ543" i="79"/>
  <c r="BG543" i="79" s="1"/>
  <c r="BA543" i="79" s="1"/>
  <c r="BD543" i="79" s="1"/>
  <c r="AG543" i="79"/>
  <c r="AF543" i="79" s="1"/>
  <c r="AW49" i="79" a="1"/>
  <c r="AW49" i="79" s="1"/>
  <c r="AM50" i="79"/>
  <c r="AU50" i="79" s="1"/>
  <c r="AZ105" i="79"/>
  <c r="AP139" i="79"/>
  <c r="BB145" i="79"/>
  <c r="AP145" i="79"/>
  <c r="AM145" i="79"/>
  <c r="AU145" i="79" s="1"/>
  <c r="AZ145" i="79"/>
  <c r="AW145" i="79" a="1"/>
  <c r="AW145" i="79" s="1"/>
  <c r="AO145" i="79"/>
  <c r="AP147" i="79"/>
  <c r="AO147" i="79"/>
  <c r="BB147" i="79"/>
  <c r="AM147" i="79"/>
  <c r="AU147" i="79" s="1"/>
  <c r="AW147" i="79" a="1"/>
  <c r="AW147" i="79" s="1"/>
  <c r="AV147" i="79"/>
  <c r="AW148" i="79" a="1"/>
  <c r="AW148" i="79" s="1"/>
  <c r="AF150" i="79"/>
  <c r="AQ150" i="79"/>
  <c r="BG150" i="79" s="1"/>
  <c r="BA150" i="79" s="1"/>
  <c r="BD150" i="79" s="1"/>
  <c r="AM193" i="79"/>
  <c r="AU193" i="79" s="1"/>
  <c r="AZ193" i="79"/>
  <c r="AW193" i="79" a="1"/>
  <c r="AW193" i="79" s="1"/>
  <c r="AP193" i="79"/>
  <c r="AV193" i="79"/>
  <c r="AO193" i="79"/>
  <c r="AM206" i="79"/>
  <c r="AU206" i="79" s="1"/>
  <c r="AZ206" i="79"/>
  <c r="AW206" i="79" a="1"/>
  <c r="AW206" i="79" s="1"/>
  <c r="AV206" i="79"/>
  <c r="AO206" i="79"/>
  <c r="AP206" i="79"/>
  <c r="BB206" i="79"/>
  <c r="AW306" i="79" a="1"/>
  <c r="AW306" i="79" s="1"/>
  <c r="AV306" i="79"/>
  <c r="AP306" i="79"/>
  <c r="BB306" i="79"/>
  <c r="AZ306" i="79"/>
  <c r="AP331" i="79"/>
  <c r="AO331" i="79"/>
  <c r="AZ331" i="79"/>
  <c r="BB331" i="79"/>
  <c r="AW331" i="79" a="1"/>
  <c r="AW331" i="79" s="1"/>
  <c r="AV331" i="79"/>
  <c r="AM331" i="79"/>
  <c r="AU331" i="79" s="1"/>
  <c r="AK27" i="79"/>
  <c r="AV34" i="79"/>
  <c r="AP34" i="79"/>
  <c r="AM34" i="79"/>
  <c r="AU34" i="79" s="1"/>
  <c r="AO34" i="79"/>
  <c r="AZ34" i="79"/>
  <c r="AP90" i="79"/>
  <c r="AM92" i="79"/>
  <c r="AU92" i="79" s="1"/>
  <c r="AM181" i="79"/>
  <c r="AU181" i="79" s="1"/>
  <c r="AP187" i="79"/>
  <c r="AZ187" i="79"/>
  <c r="AW187" i="79" a="1"/>
  <c r="AW187" i="79" s="1"/>
  <c r="AV187" i="79"/>
  <c r="AO187" i="79"/>
  <c r="AM187" i="79"/>
  <c r="AU187" i="79" s="1"/>
  <c r="BB187" i="79"/>
  <c r="AZ190" i="79"/>
  <c r="AW190" i="79" a="1"/>
  <c r="AW190" i="79" s="1"/>
  <c r="AV190" i="79"/>
  <c r="AM190" i="79"/>
  <c r="AU190" i="79" s="1"/>
  <c r="BB190" i="79"/>
  <c r="AP190" i="79"/>
  <c r="AO190" i="79"/>
  <c r="BB193" i="79"/>
  <c r="AO219" i="79"/>
  <c r="AP219" i="79"/>
  <c r="AW219" i="79" a="1"/>
  <c r="AW219" i="79" s="1"/>
  <c r="AV219" i="79"/>
  <c r="AM219" i="79"/>
  <c r="AU219" i="79" s="1"/>
  <c r="BB219" i="79"/>
  <c r="AZ219" i="79"/>
  <c r="AP252" i="79"/>
  <c r="BB252" i="79"/>
  <c r="AZ252" i="79"/>
  <c r="AV252" i="79"/>
  <c r="AW252" i="79" a="1"/>
  <c r="AW252" i="79" s="1"/>
  <c r="AW297" i="79" a="1"/>
  <c r="AW297" i="79" s="1"/>
  <c r="AV297" i="79"/>
  <c r="AO297" i="79"/>
  <c r="AP297" i="79"/>
  <c r="AZ297" i="79"/>
  <c r="AM297" i="79"/>
  <c r="AU297" i="79" s="1"/>
  <c r="BB297" i="79"/>
  <c r="AM301" i="79"/>
  <c r="AU301" i="79" s="1"/>
  <c r="BB301" i="79"/>
  <c r="AP301" i="79"/>
  <c r="AO301" i="79"/>
  <c r="AZ301" i="79"/>
  <c r="AZ305" i="79"/>
  <c r="AP305" i="79"/>
  <c r="AW305" i="79" a="1"/>
  <c r="AW305" i="79" s="1"/>
  <c r="AO305" i="79"/>
  <c r="AM305" i="79"/>
  <c r="AU305" i="79" s="1"/>
  <c r="BB305" i="79"/>
  <c r="AV305" i="79"/>
  <c r="AW364" i="79" a="1"/>
  <c r="AW364" i="79" s="1"/>
  <c r="AP364" i="79"/>
  <c r="AO364" i="79"/>
  <c r="AM364" i="79"/>
  <c r="AU364" i="79" s="1"/>
  <c r="BB364" i="79"/>
  <c r="AZ364" i="79"/>
  <c r="AV364" i="79"/>
  <c r="AZ371" i="79"/>
  <c r="BB371" i="79"/>
  <c r="AW371" i="79" a="1"/>
  <c r="AW371" i="79" s="1"/>
  <c r="AP371" i="79"/>
  <c r="AV371" i="79"/>
  <c r="AM46" i="79"/>
  <c r="AU46" i="79" s="1"/>
  <c r="BB46" i="79"/>
  <c r="AW46" i="79" a="1"/>
  <c r="AW46" i="79" s="1"/>
  <c r="AV46" i="79"/>
  <c r="AO84" i="79"/>
  <c r="AO77" i="79"/>
  <c r="AO75" i="79"/>
  <c r="AO73" i="79"/>
  <c r="AO81" i="79"/>
  <c r="AO71" i="79"/>
  <c r="BB105" i="79"/>
  <c r="AO122" i="79"/>
  <c r="AP129" i="79"/>
  <c r="AO129" i="79"/>
  <c r="AP133" i="79"/>
  <c r="AM135" i="79"/>
  <c r="AU135" i="79" s="1"/>
  <c r="AP195" i="79"/>
  <c r="AV195" i="79"/>
  <c r="BB195" i="79"/>
  <c r="AO195" i="79"/>
  <c r="AW195" i="79" a="1"/>
  <c r="AW195" i="79" s="1"/>
  <c r="AZ195" i="79"/>
  <c r="AM252" i="79"/>
  <c r="AU252" i="79" s="1"/>
  <c r="AM371" i="79"/>
  <c r="AU371" i="79" s="1"/>
  <c r="AM408" i="79"/>
  <c r="AU408" i="79" s="1"/>
  <c r="BB408" i="79"/>
  <c r="AP408" i="79"/>
  <c r="AW408" i="79" a="1"/>
  <c r="AW408" i="79" s="1"/>
  <c r="AO408" i="79"/>
  <c r="AZ408" i="79"/>
  <c r="AV408" i="79"/>
  <c r="B100" i="79"/>
  <c r="AK100" i="79"/>
  <c r="AQ252" i="79"/>
  <c r="BG252" i="79" s="1"/>
  <c r="BA252" i="79" s="1"/>
  <c r="BD252" i="79" s="1"/>
  <c r="AG252" i="79"/>
  <c r="AF252" i="79" s="1"/>
  <c r="AK43" i="79"/>
  <c r="BB49" i="79"/>
  <c r="AP83" i="79"/>
  <c r="AO83" i="79"/>
  <c r="AZ90" i="79"/>
  <c r="AO306" i="79"/>
  <c r="AP29" i="79"/>
  <c r="AO29" i="79"/>
  <c r="BB182" i="79"/>
  <c r="AW182" i="79" a="1"/>
  <c r="AW182" i="79" s="1"/>
  <c r="AZ182" i="79"/>
  <c r="AP182" i="79"/>
  <c r="AV182" i="79"/>
  <c r="AM201" i="79"/>
  <c r="AU201" i="79" s="1"/>
  <c r="AZ201" i="79"/>
  <c r="AP201" i="79"/>
  <c r="AW201" i="79" a="1"/>
  <c r="AW201" i="79" s="1"/>
  <c r="AV201" i="79"/>
  <c r="AO201" i="79"/>
  <c r="BB201" i="79"/>
  <c r="BB292" i="79"/>
  <c r="AZ292" i="79"/>
  <c r="AW292" i="79" a="1"/>
  <c r="AW292" i="79" s="1"/>
  <c r="AV292" i="79"/>
  <c r="AP292" i="79"/>
  <c r="AO292" i="79"/>
  <c r="AM359" i="79"/>
  <c r="AU359" i="79" s="1"/>
  <c r="BB359" i="79"/>
  <c r="AZ359" i="79"/>
  <c r="AP359" i="79"/>
  <c r="AV359" i="79"/>
  <c r="AO359" i="79"/>
  <c r="AO416" i="79"/>
  <c r="AW416" i="79" a="1"/>
  <c r="AW416" i="79" s="1"/>
  <c r="AV416" i="79"/>
  <c r="AM416" i="79"/>
  <c r="AU416" i="79" s="1"/>
  <c r="AZ416" i="79"/>
  <c r="BB416" i="79"/>
  <c r="BB99" i="79"/>
  <c r="AM99" i="79"/>
  <c r="AU99" i="79" s="1"/>
  <c r="AZ99" i="79"/>
  <c r="AW99" i="79" a="1"/>
  <c r="AW99" i="79" s="1"/>
  <c r="AP99" i="79"/>
  <c r="AO99" i="79"/>
  <c r="BB108" i="79"/>
  <c r="AO108" i="79"/>
  <c r="AG108" i="79" s="1"/>
  <c r="AZ108" i="79"/>
  <c r="AW108" i="79" a="1"/>
  <c r="AW108" i="79" s="1"/>
  <c r="AM108" i="79"/>
  <c r="AU108" i="79" s="1"/>
  <c r="AP111" i="79"/>
  <c r="AO111" i="79"/>
  <c r="BB111" i="79"/>
  <c r="AW111" i="79" a="1"/>
  <c r="AW111" i="79" s="1"/>
  <c r="AP127" i="79"/>
  <c r="AO127" i="79"/>
  <c r="AV145" i="79"/>
  <c r="AM182" i="79"/>
  <c r="AU182" i="79" s="1"/>
  <c r="AZ247" i="79"/>
  <c r="AW247" i="79" a="1"/>
  <c r="AW247" i="79" s="1"/>
  <c r="AM247" i="79"/>
  <c r="AU247" i="79" s="1"/>
  <c r="AP247" i="79"/>
  <c r="AV247" i="79"/>
  <c r="BB247" i="79"/>
  <c r="AM292" i="79"/>
  <c r="AU292" i="79" s="1"/>
  <c r="AZ310" i="79"/>
  <c r="AO310" i="79"/>
  <c r="AM310" i="79"/>
  <c r="AU310" i="79" s="1"/>
  <c r="BB310" i="79"/>
  <c r="AV310" i="79"/>
  <c r="AW310" i="79" a="1"/>
  <c r="AW310" i="79" s="1"/>
  <c r="AP310" i="79"/>
  <c r="AM324" i="79"/>
  <c r="AU324" i="79" s="1"/>
  <c r="AW324" i="79" a="1"/>
  <c r="AW324" i="79" s="1"/>
  <c r="BB324" i="79"/>
  <c r="AZ324" i="79"/>
  <c r="AV324" i="79"/>
  <c r="AP324" i="79"/>
  <c r="AO324" i="79"/>
  <c r="AW359" i="79" a="1"/>
  <c r="AW359" i="79" s="1"/>
  <c r="AP416" i="79"/>
  <c r="AO440" i="79"/>
  <c r="AM440" i="79"/>
  <c r="AU440" i="79" s="1"/>
  <c r="AV440" i="79"/>
  <c r="AP440" i="79"/>
  <c r="AW440" i="79" a="1"/>
  <c r="AW440" i="79" s="1"/>
  <c r="BB440" i="79"/>
  <c r="AZ440" i="79"/>
  <c r="AW521" i="79" a="1"/>
  <c r="AW521" i="79" s="1"/>
  <c r="AV521" i="79"/>
  <c r="BB521" i="79"/>
  <c r="AO521" i="79"/>
  <c r="AM521" i="79"/>
  <c r="AU521" i="79" s="1"/>
  <c r="AZ521" i="79"/>
  <c r="AZ50" i="79"/>
  <c r="AO50" i="79"/>
  <c r="AW50" i="79" a="1"/>
  <c r="AW50" i="79" s="1"/>
  <c r="AV50" i="79"/>
  <c r="BB50" i="79"/>
  <c r="BB94" i="79"/>
  <c r="AP94" i="79"/>
  <c r="AO94" i="79"/>
  <c r="AM94" i="79"/>
  <c r="AU94" i="79" s="1"/>
  <c r="AV94" i="79"/>
  <c r="AW94" i="79" a="1"/>
  <c r="AW94" i="79" s="1"/>
  <c r="AZ139" i="79"/>
  <c r="BB139" i="79"/>
  <c r="AW139" i="79" a="1"/>
  <c r="AW139" i="79" s="1"/>
  <c r="AO139" i="79"/>
  <c r="AM139" i="79"/>
  <c r="AU139" i="79" s="1"/>
  <c r="AM177" i="79"/>
  <c r="AU177" i="79" s="1"/>
  <c r="BB177" i="79"/>
  <c r="AW177" i="79" a="1"/>
  <c r="AW177" i="79" s="1"/>
  <c r="AO177" i="79"/>
  <c r="AZ177" i="79"/>
  <c r="AV177" i="79"/>
  <c r="AV90" i="79"/>
  <c r="AO90" i="79"/>
  <c r="AM90" i="79"/>
  <c r="AU90" i="79" s="1"/>
  <c r="AZ92" i="79"/>
  <c r="BB92" i="79"/>
  <c r="AW92" i="79" a="1"/>
  <c r="AW92" i="79" s="1"/>
  <c r="AV92" i="79"/>
  <c r="AW137" i="79" a="1"/>
  <c r="AW137" i="79" s="1"/>
  <c r="AV137" i="79"/>
  <c r="AO137" i="79"/>
  <c r="AZ137" i="79"/>
  <c r="AP137" i="79"/>
  <c r="BB137" i="79"/>
  <c r="AP177" i="79"/>
  <c r="AG238" i="79"/>
  <c r="AF238" i="79" s="1"/>
  <c r="AQ238" i="79"/>
  <c r="BG238" i="79" s="1"/>
  <c r="BA238" i="79" s="1"/>
  <c r="BD238" i="79" s="1"/>
  <c r="BB13" i="79"/>
  <c r="AP33" i="79"/>
  <c r="AO33" i="79"/>
  <c r="AW33" i="79" a="1"/>
  <c r="AW33" i="79" s="1"/>
  <c r="AV33" i="79"/>
  <c r="AZ33" i="79"/>
  <c r="AZ42" i="79"/>
  <c r="AO42" i="79"/>
  <c r="AM42" i="79"/>
  <c r="AU42" i="79" s="1"/>
  <c r="AW42" i="79" a="1"/>
  <c r="AW42" i="79" s="1"/>
  <c r="AV45" i="79"/>
  <c r="AW45" i="79" a="1"/>
  <c r="AW45" i="79" s="1"/>
  <c r="BB45" i="79"/>
  <c r="AZ49" i="79"/>
  <c r="AP76" i="79"/>
  <c r="AP81" i="79"/>
  <c r="AP77" i="79"/>
  <c r="AP82" i="79"/>
  <c r="AP71" i="79"/>
  <c r="AO92" i="79"/>
  <c r="AW135" i="79" a="1"/>
  <c r="AW135" i="79" s="1"/>
  <c r="AW157" i="79" a="1"/>
  <c r="AW157" i="79" s="1"/>
  <c r="AV157" i="79"/>
  <c r="AP157" i="79"/>
  <c r="AO157" i="79"/>
  <c r="AG157" i="79" s="1"/>
  <c r="AM157" i="79"/>
  <c r="AU157" i="79" s="1"/>
  <c r="AZ157" i="79"/>
  <c r="AO178" i="79"/>
  <c r="AZ178" i="79"/>
  <c r="BB178" i="79"/>
  <c r="AV178" i="79"/>
  <c r="AM178" i="79"/>
  <c r="AU178" i="79" s="1"/>
  <c r="AW178" i="79" a="1"/>
  <c r="AW178" i="79" s="1"/>
  <c r="AM226" i="79"/>
  <c r="AU226" i="79" s="1"/>
  <c r="AW226" i="79" a="1"/>
  <c r="AW226" i="79" s="1"/>
  <c r="BB226" i="79"/>
  <c r="AZ226" i="79"/>
  <c r="AP226" i="79"/>
  <c r="AO226" i="79"/>
  <c r="AV226" i="79"/>
  <c r="AW332" i="79" a="1"/>
  <c r="AW332" i="79" s="1"/>
  <c r="BB332" i="79"/>
  <c r="AV332" i="79"/>
  <c r="AP332" i="79"/>
  <c r="AZ332" i="79"/>
  <c r="AO332" i="79"/>
  <c r="AG397" i="79"/>
  <c r="AF397" i="79" s="1"/>
  <c r="AQ397" i="79"/>
  <c r="BG397" i="79" s="1"/>
  <c r="BA397" i="79" s="1"/>
  <c r="BD397" i="79" s="1"/>
  <c r="AP42" i="79"/>
  <c r="AW90" i="79" a="1"/>
  <c r="AW90" i="79" s="1"/>
  <c r="B143" i="79"/>
  <c r="AK143" i="79"/>
  <c r="AG371" i="79"/>
  <c r="AF371" i="79" s="1"/>
  <c r="AQ371" i="79"/>
  <c r="BG371" i="79" s="1"/>
  <c r="BA371" i="79" s="1"/>
  <c r="BD371" i="79" s="1"/>
  <c r="AV30" i="79"/>
  <c r="AP30" i="79"/>
  <c r="AO30" i="79"/>
  <c r="AW30" i="79" a="1"/>
  <c r="AW30" i="79" s="1"/>
  <c r="AM30" i="79"/>
  <c r="AU30" i="79" s="1"/>
  <c r="BB70" i="79"/>
  <c r="AZ70" i="79"/>
  <c r="AW70" i="79" a="1"/>
  <c r="AW70" i="79" s="1"/>
  <c r="AV70" i="79"/>
  <c r="AP70" i="79"/>
  <c r="AO76" i="79"/>
  <c r="AK79" i="79"/>
  <c r="AM112" i="79"/>
  <c r="AU112" i="79" s="1"/>
  <c r="AV112" i="79"/>
  <c r="AP112" i="79"/>
  <c r="AO112" i="79"/>
  <c r="AW112" i="79" a="1"/>
  <c r="AW112" i="79" s="1"/>
  <c r="BB135" i="79"/>
  <c r="AP244" i="79"/>
  <c r="AZ244" i="79"/>
  <c r="BB244" i="79"/>
  <c r="AW244" i="79" a="1"/>
  <c r="AW244" i="79" s="1"/>
  <c r="AV244" i="79"/>
  <c r="AO244" i="79"/>
  <c r="AZ423" i="79"/>
  <c r="AV423" i="79"/>
  <c r="AM423" i="79"/>
  <c r="AU423" i="79" s="1"/>
  <c r="AW423" i="79" a="1"/>
  <c r="AW423" i="79" s="1"/>
  <c r="AP423" i="79"/>
  <c r="AO423" i="79"/>
  <c r="BB423" i="79"/>
  <c r="AP425" i="79"/>
  <c r="AZ425" i="79"/>
  <c r="AV425" i="79"/>
  <c r="BB425" i="79"/>
  <c r="AO425" i="79"/>
  <c r="AP74" i="79"/>
  <c r="AO74" i="79"/>
  <c r="AP178" i="79"/>
  <c r="AZ30" i="79"/>
  <c r="AG44" i="79"/>
  <c r="BG44" i="79"/>
  <c r="BA44" i="79" s="1"/>
  <c r="BD44" i="79" s="1"/>
  <c r="AO45" i="79"/>
  <c r="AZ69" i="79"/>
  <c r="AP69" i="79"/>
  <c r="AO69" i="79"/>
  <c r="AM69" i="79"/>
  <c r="AU69" i="79" s="1"/>
  <c r="BB69" i="79"/>
  <c r="AK96" i="79"/>
  <c r="B96" i="79"/>
  <c r="AM111" i="79"/>
  <c r="AU111" i="79" s="1"/>
  <c r="BB112" i="79"/>
  <c r="B121" i="79"/>
  <c r="AK121" i="79"/>
  <c r="AK128" i="79"/>
  <c r="B128" i="79"/>
  <c r="B141" i="79"/>
  <c r="AK141" i="79"/>
  <c r="AO182" i="79"/>
  <c r="AW189" i="79" a="1"/>
  <c r="AW189" i="79" s="1"/>
  <c r="AV189" i="79"/>
  <c r="AP189" i="79"/>
  <c r="AZ189" i="79"/>
  <c r="AO189" i="79"/>
  <c r="AM189" i="79"/>
  <c r="AU189" i="79" s="1"/>
  <c r="AZ191" i="79"/>
  <c r="AM191" i="79"/>
  <c r="AU191" i="79" s="1"/>
  <c r="AW191" i="79" a="1"/>
  <c r="AW191" i="79" s="1"/>
  <c r="AP191" i="79"/>
  <c r="AV191" i="79"/>
  <c r="BB191" i="79"/>
  <c r="AO191" i="79"/>
  <c r="AW197" i="79" a="1"/>
  <c r="AW197" i="79" s="1"/>
  <c r="AV197" i="79"/>
  <c r="BB197" i="79"/>
  <c r="AZ197" i="79"/>
  <c r="AP197" i="79"/>
  <c r="AO197" i="79"/>
  <c r="AW214" i="79" a="1"/>
  <c r="AW214" i="79" s="1"/>
  <c r="AZ214" i="79"/>
  <c r="BB214" i="79"/>
  <c r="AV214" i="79"/>
  <c r="AO214" i="79"/>
  <c r="AM214" i="79"/>
  <c r="AU214" i="79" s="1"/>
  <c r="AP214" i="79"/>
  <c r="AQ218" i="79"/>
  <c r="BG218" i="79" s="1"/>
  <c r="BA218" i="79" s="1"/>
  <c r="BD218" i="79" s="1"/>
  <c r="AG218" i="79"/>
  <c r="AM250" i="79"/>
  <c r="AU250" i="79" s="1"/>
  <c r="BB250" i="79"/>
  <c r="AP250" i="79"/>
  <c r="AZ250" i="79"/>
  <c r="AW250" i="79" a="1"/>
  <c r="AW250" i="79" s="1"/>
  <c r="AO250" i="79"/>
  <c r="AM260" i="79"/>
  <c r="AU260" i="79" s="1"/>
  <c r="AP260" i="79"/>
  <c r="AZ260" i="79"/>
  <c r="AV260" i="79"/>
  <c r="AW260" i="79" a="1"/>
  <c r="AW260" i="79" s="1"/>
  <c r="BB260" i="79"/>
  <c r="AO260" i="79"/>
  <c r="AW281" i="79" a="1"/>
  <c r="AW281" i="79" s="1"/>
  <c r="AM281" i="79"/>
  <c r="AU281" i="79" s="1"/>
  <c r="AP281" i="79"/>
  <c r="AO281" i="79"/>
  <c r="BB281" i="79"/>
  <c r="AV281" i="79"/>
  <c r="AZ281" i="79"/>
  <c r="AW425" i="79" a="1"/>
  <c r="AW425" i="79" s="1"/>
  <c r="AP521" i="79"/>
  <c r="AQ525" i="79"/>
  <c r="BG525" i="79" s="1"/>
  <c r="BA525" i="79" s="1"/>
  <c r="BD525" i="79" s="1"/>
  <c r="AG525" i="79"/>
  <c r="AF525" i="79" s="1"/>
  <c r="AV106" i="79"/>
  <c r="AW106" i="79" a="1"/>
  <c r="AW106" i="79" s="1"/>
  <c r="BB106" i="79"/>
  <c r="AZ106" i="79"/>
  <c r="BB113" i="79"/>
  <c r="AV113" i="79"/>
  <c r="AW113" i="79" a="1"/>
  <c r="AW113" i="79" s="1"/>
  <c r="AZ113" i="79"/>
  <c r="B123" i="79"/>
  <c r="AK123" i="79"/>
  <c r="AK125" i="79"/>
  <c r="B125" i="79"/>
  <c r="AV304" i="79"/>
  <c r="BB304" i="79"/>
  <c r="AZ304" i="79"/>
  <c r="AO304" i="79"/>
  <c r="AW304" i="79" a="1"/>
  <c r="AW304" i="79" s="1"/>
  <c r="AP304" i="79"/>
  <c r="BE13" i="79"/>
  <c r="B23" i="79"/>
  <c r="AO28" i="79"/>
  <c r="AV53" i="79"/>
  <c r="BB146" i="79"/>
  <c r="AO146" i="79"/>
  <c r="AZ146" i="79"/>
  <c r="AM218" i="79"/>
  <c r="AU218" i="79" s="1"/>
  <c r="AZ218" i="79"/>
  <c r="AW218" i="79" a="1"/>
  <c r="AW218" i="79" s="1"/>
  <c r="AV218" i="79"/>
  <c r="AO237" i="79"/>
  <c r="AP237" i="79"/>
  <c r="AM237" i="79"/>
  <c r="AU237" i="79" s="1"/>
  <c r="AW237" i="79" a="1"/>
  <c r="AW237" i="79" s="1"/>
  <c r="AV237" i="79"/>
  <c r="AZ237" i="79"/>
  <c r="AV312" i="79"/>
  <c r="AZ312" i="79"/>
  <c r="BB312" i="79"/>
  <c r="AO312" i="79"/>
  <c r="AW312" i="79" a="1"/>
  <c r="AW312" i="79" s="1"/>
  <c r="AP312" i="79"/>
  <c r="AO26" i="79"/>
  <c r="AO23" i="79"/>
  <c r="AO25" i="79"/>
  <c r="AP97" i="79"/>
  <c r="AM97" i="79"/>
  <c r="AU97" i="79" s="1"/>
  <c r="BB97" i="79"/>
  <c r="AM103" i="79"/>
  <c r="AU103" i="79" s="1"/>
  <c r="AP103" i="79"/>
  <c r="AZ103" i="79"/>
  <c r="AW103" i="79" a="1"/>
  <c r="AW103" i="79" s="1"/>
  <c r="AP131" i="79"/>
  <c r="AO131" i="79"/>
  <c r="AZ134" i="79"/>
  <c r="AM134" i="79"/>
  <c r="AU134" i="79" s="1"/>
  <c r="AV134" i="79"/>
  <c r="AW150" i="79" a="1"/>
  <c r="AW150" i="79" s="1"/>
  <c r="AV150" i="79"/>
  <c r="AZ150" i="79"/>
  <c r="BB150" i="79"/>
  <c r="AV156" i="79"/>
  <c r="AP156" i="79"/>
  <c r="AW156" i="79" a="1"/>
  <c r="AW156" i="79" s="1"/>
  <c r="AZ156" i="79"/>
  <c r="BB156" i="79"/>
  <c r="BB221" i="79"/>
  <c r="AW221" i="79" a="1"/>
  <c r="AW221" i="79" s="1"/>
  <c r="AV221" i="79"/>
  <c r="AP221" i="79"/>
  <c r="AO221" i="79"/>
  <c r="AZ221" i="79"/>
  <c r="AP362" i="79"/>
  <c r="AO362" i="79"/>
  <c r="AW362" i="79" a="1"/>
  <c r="AW362" i="79" s="1"/>
  <c r="AV362" i="79"/>
  <c r="AZ362" i="79"/>
  <c r="BB362" i="79"/>
  <c r="AW386" i="79" a="1"/>
  <c r="AW386" i="79" s="1"/>
  <c r="AV386" i="79"/>
  <c r="AP386" i="79"/>
  <c r="AO386" i="79"/>
  <c r="AZ386" i="79"/>
  <c r="AW410" i="79" a="1"/>
  <c r="AW410" i="79" s="1"/>
  <c r="AP410" i="79"/>
  <c r="AO410" i="79"/>
  <c r="AM410" i="79"/>
  <c r="AU410" i="79" s="1"/>
  <c r="AV410" i="79"/>
  <c r="BB410" i="79"/>
  <c r="AZ410" i="79"/>
  <c r="AZ419" i="79"/>
  <c r="AV419" i="79"/>
  <c r="AO419" i="79"/>
  <c r="AM419" i="79"/>
  <c r="AU419" i="79" s="1"/>
  <c r="AW419" i="79" a="1"/>
  <c r="AW419" i="79" s="1"/>
  <c r="AP419" i="79"/>
  <c r="BB419" i="79"/>
  <c r="AP28" i="79"/>
  <c r="AP26" i="79"/>
  <c r="AP23" i="79"/>
  <c r="AP25" i="79"/>
  <c r="AP22" i="79"/>
  <c r="AW87" i="79" a="1"/>
  <c r="AW87" i="79" s="1"/>
  <c r="AM87" i="79"/>
  <c r="AU87" i="79" s="1"/>
  <c r="AP87" i="79"/>
  <c r="AO87" i="79"/>
  <c r="AP106" i="79"/>
  <c r="AM113" i="79"/>
  <c r="AU113" i="79" s="1"/>
  <c r="B126" i="79"/>
  <c r="AK126" i="79"/>
  <c r="AP146" i="79"/>
  <c r="AP151" i="79"/>
  <c r="AM151" i="79"/>
  <c r="AU151" i="79" s="1"/>
  <c r="AV151" i="79"/>
  <c r="AO151" i="79"/>
  <c r="BB218" i="79"/>
  <c r="BB268" i="79"/>
  <c r="AW268" i="79" a="1"/>
  <c r="AW268" i="79" s="1"/>
  <c r="AO268" i="79"/>
  <c r="AM362" i="79"/>
  <c r="AU362" i="79" s="1"/>
  <c r="AZ396" i="79"/>
  <c r="AP396" i="79"/>
  <c r="BB396" i="79"/>
  <c r="AO396" i="79"/>
  <c r="AW396" i="79" a="1"/>
  <c r="AW396" i="79" s="1"/>
  <c r="AV396" i="79"/>
  <c r="AM396" i="79"/>
  <c r="AU396" i="79" s="1"/>
  <c r="AM438" i="79"/>
  <c r="AU438" i="79" s="1"/>
  <c r="AW438" i="79" a="1"/>
  <c r="AW438" i="79" s="1"/>
  <c r="AV438" i="79"/>
  <c r="AZ438" i="79"/>
  <c r="AP438" i="79"/>
  <c r="AO438" i="79"/>
  <c r="BB438" i="79"/>
  <c r="BB53" i="79"/>
  <c r="AO106" i="79"/>
  <c r="AW109" i="79" a="1"/>
  <c r="AW109" i="79" s="1"/>
  <c r="AV109" i="79"/>
  <c r="AO109" i="79"/>
  <c r="AM109" i="79"/>
  <c r="AU109" i="79" s="1"/>
  <c r="AP109" i="79"/>
  <c r="AO116" i="79"/>
  <c r="AW116" i="79" a="1"/>
  <c r="AW116" i="79" s="1"/>
  <c r="AV116" i="79"/>
  <c r="AZ116" i="79"/>
  <c r="AZ44" i="79"/>
  <c r="AW44" i="79" a="1"/>
  <c r="AW44" i="79" s="1"/>
  <c r="AV44" i="79"/>
  <c r="BB44" i="79"/>
  <c r="AP88" i="79"/>
  <c r="AZ88" i="79"/>
  <c r="BB88" i="79"/>
  <c r="AW88" i="79" a="1"/>
  <c r="AW88" i="79" s="1"/>
  <c r="AW91" i="79" a="1"/>
  <c r="AW91" i="79" s="1"/>
  <c r="AV91" i="79"/>
  <c r="AZ91" i="79"/>
  <c r="AP91" i="79"/>
  <c r="AO91" i="79"/>
  <c r="AM91" i="79"/>
  <c r="AU91" i="79" s="1"/>
  <c r="AP120" i="79"/>
  <c r="AO120" i="79"/>
  <c r="AV140" i="79"/>
  <c r="BB140" i="79"/>
  <c r="AW140" i="79" a="1"/>
  <c r="AW140" i="79" s="1"/>
  <c r="AZ140" i="79"/>
  <c r="AP180" i="79"/>
  <c r="AO180" i="79"/>
  <c r="BB180" i="79"/>
  <c r="AV180" i="79"/>
  <c r="AZ180" i="79"/>
  <c r="AW180" i="79" a="1"/>
  <c r="AW180" i="79" s="1"/>
  <c r="AP198" i="79"/>
  <c r="AO198" i="79"/>
  <c r="AZ198" i="79"/>
  <c r="AV198" i="79"/>
  <c r="BB198" i="79"/>
  <c r="AW198" i="79" a="1"/>
  <c r="AW198" i="79" s="1"/>
  <c r="AW205" i="79" a="1"/>
  <c r="AW205" i="79" s="1"/>
  <c r="AV205" i="79"/>
  <c r="AZ205" i="79"/>
  <c r="AP205" i="79"/>
  <c r="AZ258" i="79"/>
  <c r="AW258" i="79" a="1"/>
  <c r="AW258" i="79" s="1"/>
  <c r="BB258" i="79"/>
  <c r="AM258" i="79"/>
  <c r="AU258" i="79" s="1"/>
  <c r="AO258" i="79"/>
  <c r="AP258" i="79"/>
  <c r="AG265" i="79"/>
  <c r="AF265" i="79" s="1"/>
  <c r="AQ265" i="79"/>
  <c r="BG265" i="79" s="1"/>
  <c r="BA265" i="79" s="1"/>
  <c r="BD265" i="79" s="1"/>
  <c r="AM268" i="79"/>
  <c r="AU268" i="79" s="1"/>
  <c r="AV288" i="79"/>
  <c r="AW288" i="79" a="1"/>
  <c r="AW288" i="79" s="1"/>
  <c r="BB288" i="79"/>
  <c r="AP288" i="79"/>
  <c r="AO288" i="79"/>
  <c r="AZ288" i="79"/>
  <c r="AM288" i="79"/>
  <c r="AU288" i="79" s="1"/>
  <c r="BB373" i="79"/>
  <c r="AV373" i="79"/>
  <c r="AZ373" i="79"/>
  <c r="AP373" i="79"/>
  <c r="AW373" i="79" a="1"/>
  <c r="AW373" i="79" s="1"/>
  <c r="AM375" i="79"/>
  <c r="AU375" i="79" s="1"/>
  <c r="BB375" i="79"/>
  <c r="AV375" i="79"/>
  <c r="AP375" i="79"/>
  <c r="AW375" i="79" a="1"/>
  <c r="AW375" i="79" s="1"/>
  <c r="AO375" i="79"/>
  <c r="AM386" i="79"/>
  <c r="AU386" i="79" s="1"/>
  <c r="AZ114" i="79"/>
  <c r="AW114" i="79" a="1"/>
  <c r="AW114" i="79" s="1"/>
  <c r="AO114" i="79"/>
  <c r="AP171" i="79"/>
  <c r="AM171" i="79"/>
  <c r="AU171" i="79" s="1"/>
  <c r="AO171" i="79"/>
  <c r="AO210" i="79"/>
  <c r="AV210" i="79"/>
  <c r="AZ210" i="79"/>
  <c r="AW210" i="79" a="1"/>
  <c r="AW210" i="79" s="1"/>
  <c r="BB210" i="79"/>
  <c r="AP270" i="79"/>
  <c r="AO270" i="79"/>
  <c r="AW270" i="79" a="1"/>
  <c r="AW270" i="79" s="1"/>
  <c r="AZ270" i="79"/>
  <c r="BB270" i="79"/>
  <c r="AM270" i="79"/>
  <c r="AU270" i="79" s="1"/>
  <c r="AP302" i="79"/>
  <c r="AO302" i="79"/>
  <c r="BB302" i="79"/>
  <c r="AW302" i="79" a="1"/>
  <c r="AW302" i="79" s="1"/>
  <c r="AV302" i="79"/>
  <c r="AZ302" i="79"/>
  <c r="AO329" i="79"/>
  <c r="AP329" i="79"/>
  <c r="AZ329" i="79"/>
  <c r="AV329" i="79"/>
  <c r="AZ339" i="79"/>
  <c r="AP339" i="79"/>
  <c r="AO339" i="79"/>
  <c r="BB339" i="79"/>
  <c r="AG346" i="79"/>
  <c r="AF346" i="79" s="1"/>
  <c r="AQ346" i="79"/>
  <c r="BG346" i="79" s="1"/>
  <c r="BA346" i="79" s="1"/>
  <c r="BD346" i="79" s="1"/>
  <c r="AV354" i="79"/>
  <c r="AP354" i="79"/>
  <c r="AO354" i="79"/>
  <c r="AZ354" i="79"/>
  <c r="BB354" i="79"/>
  <c r="AM354" i="79"/>
  <c r="AU354" i="79" s="1"/>
  <c r="AO507" i="79"/>
  <c r="AM507" i="79"/>
  <c r="AU507" i="79" s="1"/>
  <c r="AV507" i="79"/>
  <c r="AP507" i="79"/>
  <c r="AZ507" i="79"/>
  <c r="AW507" i="79" a="1"/>
  <c r="AW507" i="79" s="1"/>
  <c r="AZ31" i="79"/>
  <c r="AM31" i="79"/>
  <c r="AU31" i="79" s="1"/>
  <c r="AW213" i="79" a="1"/>
  <c r="AW213" i="79" s="1"/>
  <c r="AV213" i="79"/>
  <c r="AO213" i="79"/>
  <c r="AZ213" i="79"/>
  <c r="AO243" i="79"/>
  <c r="AM243" i="79"/>
  <c r="AU243" i="79" s="1"/>
  <c r="BB243" i="79"/>
  <c r="AZ243" i="79"/>
  <c r="AP480" i="79"/>
  <c r="AW480" i="79" a="1"/>
  <c r="AW480" i="79" s="1"/>
  <c r="AV480" i="79"/>
  <c r="AZ480" i="79"/>
  <c r="AO480" i="79"/>
  <c r="BB480" i="79"/>
  <c r="AM480" i="79"/>
  <c r="AU480" i="79" s="1"/>
  <c r="AZ166" i="79"/>
  <c r="AW166" i="79" a="1"/>
  <c r="AW166" i="79" s="1"/>
  <c r="AO166" i="79"/>
  <c r="AP211" i="79"/>
  <c r="BB211" i="79"/>
  <c r="AO211" i="79"/>
  <c r="AW211" i="79" a="1"/>
  <c r="AW211" i="79" s="1"/>
  <c r="AV211" i="79"/>
  <c r="AV272" i="79"/>
  <c r="AM272" i="79"/>
  <c r="AU272" i="79" s="1"/>
  <c r="BB272" i="79"/>
  <c r="AW272" i="79" a="1"/>
  <c r="AW272" i="79" s="1"/>
  <c r="AM327" i="79"/>
  <c r="AU327" i="79" s="1"/>
  <c r="AO327" i="79"/>
  <c r="BB327" i="79"/>
  <c r="AP327" i="79"/>
  <c r="AW327" i="79" a="1"/>
  <c r="AW327" i="79" s="1"/>
  <c r="AV327" i="79"/>
  <c r="AW376" i="79" a="1"/>
  <c r="AW376" i="79" s="1"/>
  <c r="AV376" i="79"/>
  <c r="AZ376" i="79"/>
  <c r="AM376" i="79"/>
  <c r="AU376" i="79" s="1"/>
  <c r="BB376" i="79"/>
  <c r="AP376" i="79"/>
  <c r="AM397" i="79"/>
  <c r="AU397" i="79" s="1"/>
  <c r="AZ397" i="79"/>
  <c r="AW397" i="79" a="1"/>
  <c r="AW397" i="79" s="1"/>
  <c r="AO464" i="79"/>
  <c r="AZ464" i="79"/>
  <c r="AW464" i="79" a="1"/>
  <c r="AW464" i="79" s="1"/>
  <c r="AP464" i="79"/>
  <c r="BB464" i="79"/>
  <c r="AM464" i="79"/>
  <c r="AU464" i="79" s="1"/>
  <c r="AV464" i="79"/>
  <c r="AP58" i="79"/>
  <c r="AO58" i="79"/>
  <c r="AZ58" i="79"/>
  <c r="AP138" i="79"/>
  <c r="AZ138" i="79"/>
  <c r="BB144" i="79"/>
  <c r="AP144" i="79"/>
  <c r="AO31" i="79"/>
  <c r="AZ41" i="79"/>
  <c r="AW41" i="79" a="1"/>
  <c r="AW41" i="79" s="1"/>
  <c r="AM47" i="79"/>
  <c r="AU47" i="79" s="1"/>
  <c r="AW86" i="79" a="1"/>
  <c r="AW86" i="79" s="1"/>
  <c r="AV86" i="79"/>
  <c r="AO89" i="79"/>
  <c r="AZ89" i="79"/>
  <c r="AV95" i="79"/>
  <c r="AM114" i="79"/>
  <c r="AU114" i="79" s="1"/>
  <c r="AZ144" i="79"/>
  <c r="AM166" i="79"/>
  <c r="AU166" i="79" s="1"/>
  <c r="AV171" i="79"/>
  <c r="AM211" i="79"/>
  <c r="AU211" i="79" s="1"/>
  <c r="AP213" i="79"/>
  <c r="AW229" i="79" a="1"/>
  <c r="AW229" i="79" s="1"/>
  <c r="AM229" i="79"/>
  <c r="AU229" i="79" s="1"/>
  <c r="AZ229" i="79"/>
  <c r="AV229" i="79"/>
  <c r="BB229" i="79"/>
  <c r="AM234" i="79"/>
  <c r="AU234" i="79" s="1"/>
  <c r="AP234" i="79"/>
  <c r="AZ234" i="79"/>
  <c r="AW243" i="79" a="1"/>
  <c r="AW243" i="79" s="1"/>
  <c r="AO263" i="79"/>
  <c r="AP263" i="79"/>
  <c r="AM263" i="79"/>
  <c r="AU263" i="79" s="1"/>
  <c r="AW263" i="79" a="1"/>
  <c r="AW263" i="79" s="1"/>
  <c r="AO272" i="79"/>
  <c r="AM285" i="79"/>
  <c r="AU285" i="79" s="1"/>
  <c r="AW285" i="79" a="1"/>
  <c r="AW285" i="79" s="1"/>
  <c r="AV285" i="79"/>
  <c r="AO285" i="79"/>
  <c r="AP285" i="79"/>
  <c r="AZ285" i="79"/>
  <c r="AM339" i="79"/>
  <c r="AU339" i="79" s="1"/>
  <c r="AW348" i="79" a="1"/>
  <c r="AW348" i="79" s="1"/>
  <c r="AP348" i="79"/>
  <c r="AO348" i="79"/>
  <c r="BB348" i="79"/>
  <c r="AZ348" i="79"/>
  <c r="AZ361" i="79"/>
  <c r="AO361" i="79"/>
  <c r="BB361" i="79"/>
  <c r="AW361" i="79" a="1"/>
  <c r="AW361" i="79" s="1"/>
  <c r="AV361" i="79"/>
  <c r="AP361" i="79"/>
  <c r="AQ374" i="79"/>
  <c r="BG374" i="79" s="1"/>
  <c r="BA374" i="79" s="1"/>
  <c r="BD374" i="79" s="1"/>
  <c r="AG374" i="79"/>
  <c r="AF374" i="79" s="1"/>
  <c r="AO376" i="79"/>
  <c r="AP397" i="79"/>
  <c r="BG409" i="79"/>
  <c r="BA409" i="79" s="1"/>
  <c r="BD409" i="79" s="1"/>
  <c r="AG409" i="79"/>
  <c r="AF409" i="79" s="1"/>
  <c r="BB507" i="79"/>
  <c r="AP36" i="79"/>
  <c r="BB36" i="79"/>
  <c r="AV264" i="79"/>
  <c r="AW264" i="79" a="1"/>
  <c r="AW264" i="79" s="1"/>
  <c r="AZ264" i="79"/>
  <c r="BB264" i="79"/>
  <c r="AP264" i="79"/>
  <c r="AO130" i="79"/>
  <c r="AO133" i="79"/>
  <c r="AW172" i="79" a="1"/>
  <c r="AW172" i="79" s="1"/>
  <c r="AV172" i="79"/>
  <c r="AO172" i="79"/>
  <c r="AP243" i="79"/>
  <c r="AZ307" i="79"/>
  <c r="BB307" i="79"/>
  <c r="AM307" i="79"/>
  <c r="AU307" i="79" s="1"/>
  <c r="AW307" i="79" a="1"/>
  <c r="AW307" i="79" s="1"/>
  <c r="AV307" i="79"/>
  <c r="AO307" i="79"/>
  <c r="AM117" i="79"/>
  <c r="AU117" i="79" s="1"/>
  <c r="AZ117" i="79"/>
  <c r="AP31" i="79"/>
  <c r="AM35" i="79"/>
  <c r="AU35" i="79" s="1"/>
  <c r="AW95" i="79" a="1"/>
  <c r="AW95" i="79" s="1"/>
  <c r="B98" i="79"/>
  <c r="AK98" i="79"/>
  <c r="AW136" i="79" a="1"/>
  <c r="AW136" i="79" s="1"/>
  <c r="AV136" i="79"/>
  <c r="AP166" i="79"/>
  <c r="AW171" i="79" a="1"/>
  <c r="AW171" i="79" s="1"/>
  <c r="AM172" i="79"/>
  <c r="AU172" i="79" s="1"/>
  <c r="AP174" i="79"/>
  <c r="AZ174" i="79"/>
  <c r="AW174" i="79" a="1"/>
  <c r="AW174" i="79" s="1"/>
  <c r="AO174" i="79"/>
  <c r="AM209" i="79"/>
  <c r="AU209" i="79" s="1"/>
  <c r="AP209" i="79"/>
  <c r="AO209" i="79"/>
  <c r="BB209" i="79"/>
  <c r="AP272" i="79"/>
  <c r="AP307" i="79"/>
  <c r="BB309" i="79"/>
  <c r="AW309" i="79" a="1"/>
  <c r="AW309" i="79" s="1"/>
  <c r="AP309" i="79"/>
  <c r="AO309" i="79"/>
  <c r="AV309" i="79"/>
  <c r="AM309" i="79"/>
  <c r="AU309" i="79" s="1"/>
  <c r="AM329" i="79"/>
  <c r="AU329" i="79" s="1"/>
  <c r="AO337" i="79"/>
  <c r="AP337" i="79"/>
  <c r="AZ337" i="79"/>
  <c r="AV337" i="79"/>
  <c r="AW337" i="79" a="1"/>
  <c r="AW337" i="79" s="1"/>
  <c r="BB337" i="79"/>
  <c r="AM337" i="79"/>
  <c r="AU337" i="79" s="1"/>
  <c r="AW367" i="79" a="1"/>
  <c r="AW367" i="79" s="1"/>
  <c r="AV367" i="79"/>
  <c r="BB367" i="79"/>
  <c r="AP367" i="79"/>
  <c r="AZ367" i="79"/>
  <c r="AM367" i="79"/>
  <c r="AU367" i="79" s="1"/>
  <c r="AO367" i="79"/>
  <c r="AP385" i="79"/>
  <c r="AM385" i="79"/>
  <c r="AU385" i="79" s="1"/>
  <c r="AW385" i="79" a="1"/>
  <c r="AW385" i="79" s="1"/>
  <c r="AV385" i="79"/>
  <c r="BB385" i="79"/>
  <c r="AO385" i="79"/>
  <c r="AZ385" i="79"/>
  <c r="AV397" i="79"/>
  <c r="AW399" i="79" a="1"/>
  <c r="AW399" i="79" s="1"/>
  <c r="AV399" i="79"/>
  <c r="AZ399" i="79"/>
  <c r="BB399" i="79"/>
  <c r="AO399" i="79"/>
  <c r="AM399" i="79"/>
  <c r="AU399" i="79" s="1"/>
  <c r="AZ465" i="79"/>
  <c r="AV465" i="79"/>
  <c r="AP465" i="79"/>
  <c r="AO465" i="79"/>
  <c r="AM465" i="79"/>
  <c r="AU465" i="79" s="1"/>
  <c r="AW465" i="79" a="1"/>
  <c r="AW465" i="79" s="1"/>
  <c r="BB465" i="79"/>
  <c r="AZ183" i="79"/>
  <c r="AP183" i="79"/>
  <c r="AM183" i="79"/>
  <c r="AU183" i="79" s="1"/>
  <c r="AO183" i="79"/>
  <c r="AO194" i="79"/>
  <c r="AP194" i="79"/>
  <c r="AZ194" i="79"/>
  <c r="AO202" i="79"/>
  <c r="AZ202" i="79"/>
  <c r="AV202" i="79"/>
  <c r="AP202" i="79"/>
  <c r="BB202" i="79"/>
  <c r="AZ215" i="79"/>
  <c r="AM215" i="79"/>
  <c r="AU215" i="79" s="1"/>
  <c r="AP215" i="79"/>
  <c r="AW215" i="79" a="1"/>
  <c r="AW215" i="79" s="1"/>
  <c r="AV215" i="79"/>
  <c r="AP278" i="79"/>
  <c r="AO278" i="79"/>
  <c r="AM278" i="79"/>
  <c r="AU278" i="79" s="1"/>
  <c r="BB278" i="79"/>
  <c r="AV278" i="79"/>
  <c r="AW319" i="79" a="1"/>
  <c r="AW319" i="79" s="1"/>
  <c r="AV319" i="79"/>
  <c r="AW426" i="79" a="1"/>
  <c r="AW426" i="79" s="1"/>
  <c r="AO426" i="79"/>
  <c r="AV426" i="79"/>
  <c r="AZ426" i="79"/>
  <c r="AM426" i="79"/>
  <c r="AU426" i="79" s="1"/>
  <c r="AP426" i="79"/>
  <c r="AW489" i="79" a="1"/>
  <c r="AW489" i="79" s="1"/>
  <c r="AP489" i="79"/>
  <c r="AO489" i="79"/>
  <c r="BB489" i="79"/>
  <c r="AV489" i="79"/>
  <c r="AM489" i="79"/>
  <c r="AU489" i="79" s="1"/>
  <c r="AZ489" i="79"/>
  <c r="AO235" i="79"/>
  <c r="AP235" i="79"/>
  <c r="BB235" i="79"/>
  <c r="AW235" i="79" a="1"/>
  <c r="AW235" i="79" s="1"/>
  <c r="AV235" i="79"/>
  <c r="AW246" i="79" a="1"/>
  <c r="AW246" i="79" s="1"/>
  <c r="AV246" i="79"/>
  <c r="AP246" i="79"/>
  <c r="AO246" i="79"/>
  <c r="BB246" i="79"/>
  <c r="AW273" i="79" a="1"/>
  <c r="AW273" i="79" s="1"/>
  <c r="AM273" i="79"/>
  <c r="AU273" i="79" s="1"/>
  <c r="AZ273" i="79"/>
  <c r="BB273" i="79"/>
  <c r="AM287" i="79"/>
  <c r="AU287" i="79" s="1"/>
  <c r="AP287" i="79"/>
  <c r="AO287" i="79"/>
  <c r="BB287" i="79"/>
  <c r="AZ287" i="79"/>
  <c r="AV287" i="79"/>
  <c r="AW287" i="79" a="1"/>
  <c r="AW287" i="79" s="1"/>
  <c r="AW335" i="79" a="1"/>
  <c r="AW335" i="79" s="1"/>
  <c r="AV335" i="79"/>
  <c r="AP335" i="79"/>
  <c r="AO335" i="79"/>
  <c r="BB335" i="79"/>
  <c r="AV338" i="79"/>
  <c r="BB338" i="79"/>
  <c r="AP338" i="79"/>
  <c r="AW338" i="79" a="1"/>
  <c r="AW338" i="79" s="1"/>
  <c r="AO338" i="79"/>
  <c r="AZ338" i="79"/>
  <c r="AQ420" i="79"/>
  <c r="BG420" i="79" s="1"/>
  <c r="BA420" i="79" s="1"/>
  <c r="BD420" i="79" s="1"/>
  <c r="AG420" i="79"/>
  <c r="AZ541" i="79"/>
  <c r="AO541" i="79"/>
  <c r="AW541" i="79" a="1"/>
  <c r="AW541" i="79" s="1"/>
  <c r="BB541" i="79"/>
  <c r="AM541" i="79"/>
  <c r="AU541" i="79" s="1"/>
  <c r="AV541" i="79"/>
  <c r="AP541" i="79"/>
  <c r="AW265" i="79" a="1"/>
  <c r="AW265" i="79" s="1"/>
  <c r="BB265" i="79"/>
  <c r="AM265" i="79"/>
  <c r="AU265" i="79" s="1"/>
  <c r="AZ265" i="79"/>
  <c r="AV265" i="79"/>
  <c r="AP265" i="79"/>
  <c r="AV276" i="79"/>
  <c r="AZ276" i="79"/>
  <c r="AP276" i="79"/>
  <c r="AO276" i="79"/>
  <c r="BB276" i="79"/>
  <c r="AZ282" i="79"/>
  <c r="AV282" i="79"/>
  <c r="BB282" i="79"/>
  <c r="AP282" i="79"/>
  <c r="AO282" i="79"/>
  <c r="AZ290" i="79"/>
  <c r="AO290" i="79"/>
  <c r="AM290" i="79"/>
  <c r="AU290" i="79" s="1"/>
  <c r="BB290" i="79"/>
  <c r="AP318" i="79"/>
  <c r="AO318" i="79"/>
  <c r="AW318" i="79" a="1"/>
  <c r="AW318" i="79" s="1"/>
  <c r="AV318" i="79"/>
  <c r="AZ318" i="79"/>
  <c r="BB318" i="79"/>
  <c r="AV322" i="79"/>
  <c r="AW322" i="79" a="1"/>
  <c r="AW322" i="79" s="1"/>
  <c r="AP322" i="79"/>
  <c r="AO322" i="79"/>
  <c r="AM322" i="79"/>
  <c r="AU322" i="79" s="1"/>
  <c r="AM345" i="79"/>
  <c r="AU345" i="79" s="1"/>
  <c r="AO345" i="79"/>
  <c r="AZ345" i="79"/>
  <c r="AW345" i="79" a="1"/>
  <c r="AW345" i="79" s="1"/>
  <c r="AP345" i="79"/>
  <c r="AM372" i="79"/>
  <c r="AU372" i="79" s="1"/>
  <c r="AZ372" i="79"/>
  <c r="BB372" i="79"/>
  <c r="AP372" i="79"/>
  <c r="AO372" i="79"/>
  <c r="AV381" i="79"/>
  <c r="AW381" i="79" a="1"/>
  <c r="AW381" i="79" s="1"/>
  <c r="AZ381" i="79"/>
  <c r="AM381" i="79"/>
  <c r="AU381" i="79" s="1"/>
  <c r="AP381" i="79"/>
  <c r="AO381" i="79"/>
  <c r="AF436" i="79"/>
  <c r="AV494" i="79"/>
  <c r="AP494" i="79"/>
  <c r="AO494" i="79"/>
  <c r="AM494" i="79"/>
  <c r="AU494" i="79" s="1"/>
  <c r="AZ494" i="79"/>
  <c r="BB494" i="79"/>
  <c r="AW494" i="79" a="1"/>
  <c r="AW494" i="79" s="1"/>
  <c r="AM542" i="79"/>
  <c r="AU542" i="79" s="1"/>
  <c r="BB542" i="79"/>
  <c r="AW542" i="79" a="1"/>
  <c r="AW542" i="79" s="1"/>
  <c r="AZ542" i="79"/>
  <c r="AV542" i="79"/>
  <c r="AO542" i="79"/>
  <c r="AP542" i="79"/>
  <c r="AG199" i="79"/>
  <c r="AF199" i="79" s="1"/>
  <c r="BG199" i="79"/>
  <c r="BA199" i="79" s="1"/>
  <c r="BD199" i="79" s="1"/>
  <c r="AP204" i="79"/>
  <c r="AW204" i="79" a="1"/>
  <c r="AW204" i="79" s="1"/>
  <c r="AZ212" i="79"/>
  <c r="AW212" i="79" a="1"/>
  <c r="AW212" i="79" s="1"/>
  <c r="AW223" i="79" a="1"/>
  <c r="AW223" i="79" s="1"/>
  <c r="AV223" i="79"/>
  <c r="BD227" i="79"/>
  <c r="AP255" i="79"/>
  <c r="AO255" i="79"/>
  <c r="AZ255" i="79"/>
  <c r="AW255" i="79" a="1"/>
  <c r="AW255" i="79" s="1"/>
  <c r="AF357" i="79"/>
  <c r="AQ357" i="79"/>
  <c r="BG357" i="79" s="1"/>
  <c r="BA357" i="79" s="1"/>
  <c r="BD357" i="79" s="1"/>
  <c r="AP363" i="79"/>
  <c r="AZ363" i="79"/>
  <c r="AO363" i="79"/>
  <c r="AW363" i="79" a="1"/>
  <c r="AW363" i="79" s="1"/>
  <c r="AW401" i="79" a="1"/>
  <c r="AW401" i="79" s="1"/>
  <c r="BB401" i="79"/>
  <c r="AM401" i="79"/>
  <c r="AU401" i="79" s="1"/>
  <c r="AZ500" i="79"/>
  <c r="AV500" i="79"/>
  <c r="AW500" i="79" a="1"/>
  <c r="AW500" i="79" s="1"/>
  <c r="AM500" i="79"/>
  <c r="AU500" i="79" s="1"/>
  <c r="AP500" i="79"/>
  <c r="AO500" i="79"/>
  <c r="BB500" i="79"/>
  <c r="AO523" i="79"/>
  <c r="AM523" i="79"/>
  <c r="AU523" i="79" s="1"/>
  <c r="AZ523" i="79"/>
  <c r="AW523" i="79" a="1"/>
  <c r="AW523" i="79" s="1"/>
  <c r="AV523" i="79"/>
  <c r="AP523" i="79"/>
  <c r="AM212" i="79"/>
  <c r="AU212" i="79" s="1"/>
  <c r="AM223" i="79"/>
  <c r="AU223" i="79" s="1"/>
  <c r="AZ232" i="79"/>
  <c r="AW232" i="79" a="1"/>
  <c r="AW232" i="79" s="1"/>
  <c r="BB232" i="79"/>
  <c r="AW238" i="79" a="1"/>
  <c r="AW238" i="79" s="1"/>
  <c r="AV238" i="79"/>
  <c r="BB238" i="79"/>
  <c r="AZ238" i="79"/>
  <c r="AP238" i="79"/>
  <c r="BB271" i="79"/>
  <c r="AM271" i="79"/>
  <c r="AU271" i="79" s="1"/>
  <c r="AP271" i="79"/>
  <c r="AZ326" i="79"/>
  <c r="AW326" i="79" a="1"/>
  <c r="AW326" i="79" s="1"/>
  <c r="AM326" i="79"/>
  <c r="AU326" i="79" s="1"/>
  <c r="AP326" i="79"/>
  <c r="AM340" i="79"/>
  <c r="AU340" i="79" s="1"/>
  <c r="BB340" i="79"/>
  <c r="AZ340" i="79"/>
  <c r="AO340" i="79"/>
  <c r="AP340" i="79"/>
  <c r="AO401" i="79"/>
  <c r="AZ405" i="79"/>
  <c r="BB405" i="79"/>
  <c r="AW405" i="79" a="1"/>
  <c r="AW405" i="79" s="1"/>
  <c r="AV405" i="79"/>
  <c r="AO405" i="79"/>
  <c r="AM405" i="79"/>
  <c r="AU405" i="79" s="1"/>
  <c r="AM420" i="79"/>
  <c r="AU420" i="79" s="1"/>
  <c r="AP420" i="79"/>
  <c r="AZ420" i="79"/>
  <c r="AW420" i="79" a="1"/>
  <c r="AW420" i="79" s="1"/>
  <c r="AV420" i="79"/>
  <c r="BB420" i="79"/>
  <c r="AQ467" i="79"/>
  <c r="BG467" i="79" s="1"/>
  <c r="BA467" i="79" s="1"/>
  <c r="BD467" i="79" s="1"/>
  <c r="AG467" i="79"/>
  <c r="AP530" i="79"/>
  <c r="AO530" i="79"/>
  <c r="AV530" i="79"/>
  <c r="AM530" i="79"/>
  <c r="AU530" i="79" s="1"/>
  <c r="AZ530" i="79"/>
  <c r="BB530" i="79"/>
  <c r="AW530" i="79" a="1"/>
  <c r="AW530" i="79" s="1"/>
  <c r="AZ274" i="79"/>
  <c r="BB274" i="79"/>
  <c r="AO274" i="79"/>
  <c r="AM274" i="79"/>
  <c r="AU274" i="79" s="1"/>
  <c r="AM308" i="79"/>
  <c r="AU308" i="79" s="1"/>
  <c r="BB308" i="79"/>
  <c r="AW308" i="79" a="1"/>
  <c r="AW308" i="79" s="1"/>
  <c r="AV308" i="79"/>
  <c r="AF412" i="79"/>
  <c r="AW414" i="79" a="1"/>
  <c r="AW414" i="79" s="1"/>
  <c r="BB414" i="79"/>
  <c r="AP414" i="79"/>
  <c r="AO414" i="79"/>
  <c r="AZ414" i="79"/>
  <c r="AV414" i="79"/>
  <c r="AP110" i="79"/>
  <c r="AO110" i="79"/>
  <c r="AP130" i="79"/>
  <c r="AP122" i="79"/>
  <c r="AW155" i="79" a="1"/>
  <c r="AW155" i="79" s="1"/>
  <c r="AO155" i="79"/>
  <c r="AP228" i="79"/>
  <c r="AO228" i="79"/>
  <c r="AO261" i="79"/>
  <c r="AP261" i="79"/>
  <c r="AZ266" i="79"/>
  <c r="AO266" i="79"/>
  <c r="BB266" i="79"/>
  <c r="AP266" i="79"/>
  <c r="AM266" i="79"/>
  <c r="AU266" i="79" s="1"/>
  <c r="AW289" i="79" a="1"/>
  <c r="AW289" i="79" s="1"/>
  <c r="BB289" i="79"/>
  <c r="AP289" i="79"/>
  <c r="AO289" i="79"/>
  <c r="AG534" i="79"/>
  <c r="AF534" i="79" s="1"/>
  <c r="AQ534" i="79"/>
  <c r="BG534" i="79" s="1"/>
  <c r="BA534" i="79" s="1"/>
  <c r="BD534" i="79" s="1"/>
  <c r="AP163" i="79"/>
  <c r="AZ163" i="79"/>
  <c r="AP231" i="79"/>
  <c r="AO231" i="79"/>
  <c r="AZ248" i="79"/>
  <c r="BB248" i="79"/>
  <c r="AP257" i="79"/>
  <c r="AO257" i="79"/>
  <c r="AZ257" i="79"/>
  <c r="AW257" i="79" a="1"/>
  <c r="AW257" i="79" s="1"/>
  <c r="AW279" i="79" a="1"/>
  <c r="AW279" i="79" s="1"/>
  <c r="AV279" i="79"/>
  <c r="AM279" i="79"/>
  <c r="AU279" i="79" s="1"/>
  <c r="AP279" i="79"/>
  <c r="AO284" i="79"/>
  <c r="AZ284" i="79"/>
  <c r="AP294" i="79"/>
  <c r="AO294" i="79"/>
  <c r="AW294" i="79" a="1"/>
  <c r="AW294" i="79" s="1"/>
  <c r="BB294" i="79"/>
  <c r="AM294" i="79"/>
  <c r="AU294" i="79" s="1"/>
  <c r="AM360" i="79"/>
  <c r="AU360" i="79" s="1"/>
  <c r="AW360" i="79" a="1"/>
  <c r="AW360" i="79" s="1"/>
  <c r="BB360" i="79"/>
  <c r="AZ374" i="79"/>
  <c r="AM374" i="79"/>
  <c r="AU374" i="79" s="1"/>
  <c r="AW374" i="79" a="1"/>
  <c r="AW374" i="79" s="1"/>
  <c r="AV374" i="79"/>
  <c r="AO391" i="79"/>
  <c r="AP391" i="79"/>
  <c r="AZ391" i="79"/>
  <c r="AW391" i="79" a="1"/>
  <c r="AW391" i="79" s="1"/>
  <c r="AV413" i="79"/>
  <c r="AP413" i="79"/>
  <c r="AW413" i="79" a="1"/>
  <c r="AW413" i="79" s="1"/>
  <c r="AO413" i="79"/>
  <c r="BB413" i="79"/>
  <c r="AZ413" i="79"/>
  <c r="AO432" i="79"/>
  <c r="AP432" i="79"/>
  <c r="AV432" i="79"/>
  <c r="BB432" i="79"/>
  <c r="AZ432" i="79"/>
  <c r="AW432" i="79" a="1"/>
  <c r="AW432" i="79" s="1"/>
  <c r="AZ437" i="79"/>
  <c r="BB437" i="79"/>
  <c r="AW437" i="79" a="1"/>
  <c r="AW437" i="79" s="1"/>
  <c r="AV437" i="79"/>
  <c r="AO437" i="79"/>
  <c r="AM437" i="79"/>
  <c r="AU437" i="79" s="1"/>
  <c r="AO448" i="79"/>
  <c r="AW448" i="79" a="1"/>
  <c r="AW448" i="79" s="1"/>
  <c r="AP448" i="79"/>
  <c r="AM448" i="79"/>
  <c r="AU448" i="79" s="1"/>
  <c r="AZ448" i="79"/>
  <c r="BG479" i="79"/>
  <c r="BA479" i="79" s="1"/>
  <c r="BD479" i="79" s="1"/>
  <c r="AG479" i="79"/>
  <c r="AP546" i="79"/>
  <c r="BB546" i="79"/>
  <c r="AW546" i="79" a="1"/>
  <c r="AW546" i="79" s="1"/>
  <c r="AV546" i="79"/>
  <c r="AO546" i="79"/>
  <c r="AZ546" i="79"/>
  <c r="AZ154" i="79"/>
  <c r="AM154" i="79"/>
  <c r="AU154" i="79" s="1"/>
  <c r="AZ159" i="79"/>
  <c r="AP159" i="79"/>
  <c r="AW165" i="79" a="1"/>
  <c r="AW165" i="79" s="1"/>
  <c r="AV165" i="79"/>
  <c r="AP165" i="79"/>
  <c r="AO165" i="79"/>
  <c r="AZ199" i="79"/>
  <c r="BB199" i="79"/>
  <c r="AP203" i="79"/>
  <c r="AM203" i="79"/>
  <c r="AU203" i="79" s="1"/>
  <c r="AZ240" i="79"/>
  <c r="AP240" i="79"/>
  <c r="BB240" i="79"/>
  <c r="AO353" i="79"/>
  <c r="AW353" i="79" a="1"/>
  <c r="AW353" i="79" s="1"/>
  <c r="AV353" i="79"/>
  <c r="BB353" i="79"/>
  <c r="AV445" i="79"/>
  <c r="AP445" i="79"/>
  <c r="AO445" i="79"/>
  <c r="AM445" i="79"/>
  <c r="AU445" i="79" s="1"/>
  <c r="AZ445" i="79"/>
  <c r="BB445" i="79"/>
  <c r="AW445" i="79" a="1"/>
  <c r="AW445" i="79" s="1"/>
  <c r="AQ454" i="79"/>
  <c r="BG454" i="79" s="1"/>
  <c r="BA454" i="79" s="1"/>
  <c r="BD454" i="79" s="1"/>
  <c r="AG454" i="79"/>
  <c r="AF454" i="79" s="1"/>
  <c r="AM510" i="79"/>
  <c r="AU510" i="79" s="1"/>
  <c r="AP510" i="79"/>
  <c r="AW510" i="79" a="1"/>
  <c r="AW510" i="79" s="1"/>
  <c r="BB510" i="79"/>
  <c r="AV510" i="79"/>
  <c r="AZ510" i="79"/>
  <c r="AO510" i="79"/>
  <c r="AO369" i="79"/>
  <c r="AZ369" i="79"/>
  <c r="AW369" i="79" a="1"/>
  <c r="AW369" i="79" s="1"/>
  <c r="AM369" i="79"/>
  <c r="AU369" i="79" s="1"/>
  <c r="AZ384" i="79"/>
  <c r="AP384" i="79"/>
  <c r="BB384" i="79"/>
  <c r="AW384" i="79" a="1"/>
  <c r="AW384" i="79" s="1"/>
  <c r="AV384" i="79"/>
  <c r="AW442" i="79" a="1"/>
  <c r="AW442" i="79" s="1"/>
  <c r="AV442" i="79"/>
  <c r="AO442" i="79"/>
  <c r="AM442" i="79"/>
  <c r="AU442" i="79" s="1"/>
  <c r="BB442" i="79"/>
  <c r="AP467" i="79"/>
  <c r="BB467" i="79"/>
  <c r="AW467" i="79" a="1"/>
  <c r="AW467" i="79" s="1"/>
  <c r="AV467" i="79"/>
  <c r="AZ467" i="79"/>
  <c r="AM343" i="79"/>
  <c r="AU343" i="79" s="1"/>
  <c r="BB343" i="79"/>
  <c r="AZ343" i="79"/>
  <c r="AZ358" i="79"/>
  <c r="AM358" i="79"/>
  <c r="AU358" i="79" s="1"/>
  <c r="AV369" i="79"/>
  <c r="AZ452" i="79"/>
  <c r="AW452" i="79" a="1"/>
  <c r="AW452" i="79" s="1"/>
  <c r="BB452" i="79"/>
  <c r="AZ377" i="79"/>
  <c r="BB377" i="79"/>
  <c r="AM377" i="79"/>
  <c r="AU377" i="79" s="1"/>
  <c r="AO377" i="79"/>
  <c r="AW505" i="79" a="1"/>
  <c r="AW505" i="79" s="1"/>
  <c r="AV505" i="79"/>
  <c r="AP505" i="79"/>
  <c r="AM505" i="79"/>
  <c r="AU505" i="79" s="1"/>
  <c r="BB505" i="79"/>
  <c r="AO505" i="79"/>
  <c r="AZ505" i="79"/>
  <c r="AZ525" i="79"/>
  <c r="AV525" i="79"/>
  <c r="AP525" i="79"/>
  <c r="AW525" i="79" a="1"/>
  <c r="AW525" i="79" s="1"/>
  <c r="AM525" i="79"/>
  <c r="AU525" i="79" s="1"/>
  <c r="BB525" i="79"/>
  <c r="AW173" i="79" a="1"/>
  <c r="AW173" i="79" s="1"/>
  <c r="AV173" i="79"/>
  <c r="AW222" i="79" a="1"/>
  <c r="AW222" i="79" s="1"/>
  <c r="AV222" i="79"/>
  <c r="AO222" i="79"/>
  <c r="AP286" i="79"/>
  <c r="AO286" i="79"/>
  <c r="BB286" i="79"/>
  <c r="AZ286" i="79"/>
  <c r="AW303" i="79" a="1"/>
  <c r="AW303" i="79" s="1"/>
  <c r="AM303" i="79"/>
  <c r="AU303" i="79" s="1"/>
  <c r="AW316" i="79" a="1"/>
  <c r="AW316" i="79" s="1"/>
  <c r="AV316" i="79"/>
  <c r="AP316" i="79"/>
  <c r="AP334" i="79"/>
  <c r="AO334" i="79"/>
  <c r="AZ334" i="79"/>
  <c r="AM378" i="79"/>
  <c r="AU378" i="79" s="1"/>
  <c r="AP378" i="79"/>
  <c r="AO378" i="79"/>
  <c r="AZ378" i="79"/>
  <c r="AM380" i="79"/>
  <c r="AU380" i="79" s="1"/>
  <c r="AZ380" i="79"/>
  <c r="AV389" i="79"/>
  <c r="AZ389" i="79"/>
  <c r="AP389" i="79"/>
  <c r="AO389" i="79"/>
  <c r="AW389" i="79" a="1"/>
  <c r="AW389" i="79" s="1"/>
  <c r="AV409" i="79"/>
  <c r="AP409" i="79"/>
  <c r="AW409" i="79" a="1"/>
  <c r="AW409" i="79" s="1"/>
  <c r="AZ409" i="79"/>
  <c r="AM422" i="79"/>
  <c r="AU422" i="79" s="1"/>
  <c r="AZ422" i="79"/>
  <c r="AP422" i="79"/>
  <c r="AV422" i="79"/>
  <c r="BB422" i="79"/>
  <c r="BB435" i="79"/>
  <c r="AW435" i="79" a="1"/>
  <c r="AW435" i="79" s="1"/>
  <c r="AQ436" i="79"/>
  <c r="AO460" i="79"/>
  <c r="AZ460" i="79"/>
  <c r="AV460" i="79"/>
  <c r="AP460" i="79"/>
  <c r="AW475" i="79" a="1"/>
  <c r="AW475" i="79" s="1"/>
  <c r="AV475" i="79"/>
  <c r="AO475" i="79"/>
  <c r="AZ475" i="79"/>
  <c r="AM475" i="79"/>
  <c r="AU475" i="79" s="1"/>
  <c r="AP475" i="79"/>
  <c r="AW478" i="79" a="1"/>
  <c r="AW478" i="79" s="1"/>
  <c r="AV478" i="79"/>
  <c r="AZ478" i="79"/>
  <c r="BB478" i="79"/>
  <c r="AZ481" i="79"/>
  <c r="AW481" i="79" a="1"/>
  <c r="AW481" i="79" s="1"/>
  <c r="AM481" i="79"/>
  <c r="AU481" i="79" s="1"/>
  <c r="AP481" i="79"/>
  <c r="AO481" i="79"/>
  <c r="BB481" i="79"/>
  <c r="AV540" i="79"/>
  <c r="AP540" i="79"/>
  <c r="BB540" i="79"/>
  <c r="AM540" i="79"/>
  <c r="AU540" i="79" s="1"/>
  <c r="AW540" i="79" a="1"/>
  <c r="AW540" i="79" s="1"/>
  <c r="AZ328" i="79"/>
  <c r="AW328" i="79" a="1"/>
  <c r="AW328" i="79" s="1"/>
  <c r="AP379" i="79"/>
  <c r="AO379" i="79"/>
  <c r="AO388" i="79"/>
  <c r="AZ388" i="79"/>
  <c r="BB388" i="79"/>
  <c r="AM450" i="79"/>
  <c r="AU450" i="79" s="1"/>
  <c r="AW450" i="79" a="1"/>
  <c r="AW450" i="79" s="1"/>
  <c r="AZ450" i="79"/>
  <c r="BB450" i="79"/>
  <c r="AW458" i="79" a="1"/>
  <c r="AW458" i="79" s="1"/>
  <c r="AV458" i="79"/>
  <c r="AM458" i="79"/>
  <c r="AU458" i="79" s="1"/>
  <c r="AO458" i="79"/>
  <c r="AW39" i="79" a="1"/>
  <c r="AW39" i="79" s="1"/>
  <c r="AV39" i="79"/>
  <c r="AM269" i="79"/>
  <c r="AU269" i="79" s="1"/>
  <c r="AP269" i="79"/>
  <c r="AO269" i="79"/>
  <c r="AM277" i="79"/>
  <c r="AU277" i="79" s="1"/>
  <c r="BB277" i="79"/>
  <c r="AP277" i="79"/>
  <c r="AO277" i="79"/>
  <c r="AV280" i="79"/>
  <c r="BB280" i="79"/>
  <c r="AZ280" i="79"/>
  <c r="BB295" i="79"/>
  <c r="AO295" i="79"/>
  <c r="AW300" i="79" a="1"/>
  <c r="AW300" i="79" s="1"/>
  <c r="AV300" i="79"/>
  <c r="AZ300" i="79"/>
  <c r="AQ315" i="79"/>
  <c r="AR315" i="79" s="1"/>
  <c r="AF315" i="79"/>
  <c r="AP341" i="79"/>
  <c r="AW341" i="79" a="1"/>
  <c r="AW341" i="79" s="1"/>
  <c r="AW351" i="79" a="1"/>
  <c r="AW351" i="79" s="1"/>
  <c r="AV351" i="79"/>
  <c r="AM351" i="79"/>
  <c r="AU351" i="79" s="1"/>
  <c r="AV370" i="79"/>
  <c r="AP370" i="79"/>
  <c r="AO370" i="79"/>
  <c r="AO450" i="79"/>
  <c r="AP458" i="79"/>
  <c r="AM487" i="79"/>
  <c r="AU487" i="79" s="1"/>
  <c r="BB487" i="79"/>
  <c r="AP487" i="79"/>
  <c r="AO487" i="79"/>
  <c r="AZ487" i="79"/>
  <c r="AW254" i="79" a="1"/>
  <c r="AW254" i="79" s="1"/>
  <c r="AV254" i="79"/>
  <c r="AZ323" i="79"/>
  <c r="AM323" i="79"/>
  <c r="AU323" i="79" s="1"/>
  <c r="AZ355" i="79"/>
  <c r="AW355" i="79" a="1"/>
  <c r="AW355" i="79" s="1"/>
  <c r="AV355" i="79"/>
  <c r="AV392" i="79"/>
  <c r="AP392" i="79"/>
  <c r="AO392" i="79"/>
  <c r="AM454" i="79"/>
  <c r="AU454" i="79" s="1"/>
  <c r="AW454" i="79" a="1"/>
  <c r="AW454" i="79" s="1"/>
  <c r="AV454" i="79"/>
  <c r="BB454" i="79"/>
  <c r="AZ454" i="79"/>
  <c r="AW534" i="79" a="1"/>
  <c r="AW534" i="79" s="1"/>
  <c r="AV534" i="79"/>
  <c r="BB534" i="79"/>
  <c r="AP534" i="79"/>
  <c r="AZ534" i="79"/>
  <c r="AW230" i="79" a="1"/>
  <c r="AW230" i="79" s="1"/>
  <c r="AV230" i="79"/>
  <c r="AM311" i="79"/>
  <c r="AU311" i="79" s="1"/>
  <c r="BB311" i="79"/>
  <c r="AP383" i="79"/>
  <c r="AZ383" i="79"/>
  <c r="AM436" i="79"/>
  <c r="AU436" i="79" s="1"/>
  <c r="AY436" i="79" s="1"/>
  <c r="BE436" i="79" s="1"/>
  <c r="BB436" i="79"/>
  <c r="AW436" i="79" a="1"/>
  <c r="AW436" i="79" s="1"/>
  <c r="AZ453" i="79"/>
  <c r="BB453" i="79"/>
  <c r="AW453" i="79" a="1"/>
  <c r="AW453" i="79" s="1"/>
  <c r="AZ456" i="79"/>
  <c r="AP456" i="79"/>
  <c r="AO456" i="79"/>
  <c r="AV456" i="79"/>
  <c r="AO477" i="79"/>
  <c r="AM477" i="79"/>
  <c r="AU477" i="79" s="1"/>
  <c r="BB477" i="79"/>
  <c r="AP477" i="79"/>
  <c r="AW477" i="79" a="1"/>
  <c r="AW477" i="79" s="1"/>
  <c r="AV477" i="79"/>
  <c r="AP350" i="79"/>
  <c r="AO350" i="79"/>
  <c r="AM497" i="79"/>
  <c r="AU497" i="79" s="1"/>
  <c r="AZ497" i="79"/>
  <c r="AO497" i="79"/>
  <c r="AV497" i="79"/>
  <c r="BB497" i="79"/>
  <c r="AW497" i="79" a="1"/>
  <c r="AW497" i="79" s="1"/>
  <c r="AV524" i="79"/>
  <c r="BB524" i="79"/>
  <c r="AW524" i="79" a="1"/>
  <c r="AW524" i="79" s="1"/>
  <c r="AP524" i="79"/>
  <c r="AO524" i="79"/>
  <c r="AZ524" i="79"/>
  <c r="AW256" i="79" a="1"/>
  <c r="AW256" i="79" s="1"/>
  <c r="AV256" i="79"/>
  <c r="AV429" i="79"/>
  <c r="AP429" i="79"/>
  <c r="AW429" i="79" a="1"/>
  <c r="AW429" i="79" s="1"/>
  <c r="AO429" i="79"/>
  <c r="AZ468" i="79"/>
  <c r="AV468" i="79"/>
  <c r="AW468" i="79" a="1"/>
  <c r="AW468" i="79" s="1"/>
  <c r="AP468" i="79"/>
  <c r="AW547" i="79" a="1"/>
  <c r="AW547" i="79" s="1"/>
  <c r="BB547" i="79"/>
  <c r="AV547" i="79"/>
  <c r="AP547" i="79"/>
  <c r="AO547" i="79"/>
  <c r="AZ547" i="79"/>
  <c r="AM547" i="79"/>
  <c r="AU547" i="79" s="1"/>
  <c r="AV461" i="79"/>
  <c r="AP461" i="79"/>
  <c r="AO461" i="79"/>
  <c r="AM461" i="79"/>
  <c r="AU461" i="79" s="1"/>
  <c r="AV472" i="79"/>
  <c r="AO472" i="79"/>
  <c r="AP472" i="79"/>
  <c r="AP474" i="79"/>
  <c r="AO474" i="79"/>
  <c r="BB474" i="79"/>
  <c r="AV484" i="79"/>
  <c r="AW484" i="79" a="1"/>
  <c r="AW484" i="79" s="1"/>
  <c r="AZ484" i="79"/>
  <c r="AO484" i="79"/>
  <c r="AP488" i="79"/>
  <c r="BB488" i="79"/>
  <c r="AZ488" i="79"/>
  <c r="AW488" i="79" a="1"/>
  <c r="AW488" i="79" s="1"/>
  <c r="AM513" i="79"/>
  <c r="AU513" i="79" s="1"/>
  <c r="BB513" i="79"/>
  <c r="AO513" i="79"/>
  <c r="AZ513" i="79"/>
  <c r="AV513" i="79"/>
  <c r="AZ417" i="79"/>
  <c r="AV417" i="79"/>
  <c r="AW417" i="79" a="1"/>
  <c r="AW417" i="79" s="1"/>
  <c r="AP417" i="79"/>
  <c r="AM417" i="79"/>
  <c r="AU417" i="79" s="1"/>
  <c r="AM434" i="79"/>
  <c r="AU434" i="79" s="1"/>
  <c r="AZ434" i="79"/>
  <c r="AM484" i="79"/>
  <c r="AU484" i="79" s="1"/>
  <c r="AV492" i="79"/>
  <c r="AM492" i="79"/>
  <c r="AU492" i="79" s="1"/>
  <c r="AO492" i="79"/>
  <c r="AZ492" i="79"/>
  <c r="AM406" i="79"/>
  <c r="AU406" i="79" s="1"/>
  <c r="AP406" i="79"/>
  <c r="AW430" i="79" a="1"/>
  <c r="AW430" i="79" s="1"/>
  <c r="AP430" i="79"/>
  <c r="AZ433" i="79"/>
  <c r="AV433" i="79"/>
  <c r="BB433" i="79"/>
  <c r="AW433" i="79" a="1"/>
  <c r="AW433" i="79" s="1"/>
  <c r="AZ496" i="79"/>
  <c r="AO496" i="79"/>
  <c r="AW496" i="79" a="1"/>
  <c r="AW496" i="79" s="1"/>
  <c r="AV496" i="79"/>
  <c r="AM496" i="79"/>
  <c r="AU496" i="79" s="1"/>
  <c r="BB496" i="79"/>
  <c r="AP496" i="79"/>
  <c r="AZ512" i="79"/>
  <c r="AO512" i="79"/>
  <c r="AW512" i="79" a="1"/>
  <c r="AW512" i="79" s="1"/>
  <c r="AP512" i="79"/>
  <c r="AV404" i="79"/>
  <c r="AP404" i="79"/>
  <c r="AW446" i="79" a="1"/>
  <c r="AW446" i="79" s="1"/>
  <c r="AV446" i="79"/>
  <c r="AP446" i="79"/>
  <c r="AZ449" i="79"/>
  <c r="AV449" i="79"/>
  <c r="BB449" i="79"/>
  <c r="AW462" i="79" a="1"/>
  <c r="AW462" i="79" s="1"/>
  <c r="BB462" i="79"/>
  <c r="AZ462" i="79"/>
  <c r="AV462" i="79"/>
  <c r="AM466" i="79"/>
  <c r="AU466" i="79" s="1"/>
  <c r="BB466" i="79"/>
  <c r="AZ466" i="79"/>
  <c r="AW466" i="79" a="1"/>
  <c r="AW466" i="79" s="1"/>
  <c r="AP504" i="79"/>
  <c r="AO504" i="79"/>
  <c r="AW504" i="79" a="1"/>
  <c r="AW504" i="79" s="1"/>
  <c r="AV504" i="79"/>
  <c r="AM504" i="79"/>
  <c r="AU504" i="79" s="1"/>
  <c r="AM529" i="79"/>
  <c r="AU529" i="79" s="1"/>
  <c r="BB529" i="79"/>
  <c r="AV529" i="79"/>
  <c r="AW529" i="79" a="1"/>
  <c r="AW529" i="79" s="1"/>
  <c r="AW543" i="79" a="1"/>
  <c r="AW543" i="79" s="1"/>
  <c r="AP543" i="79"/>
  <c r="BB543" i="79"/>
  <c r="AZ543" i="79"/>
  <c r="AV543" i="79"/>
  <c r="AZ412" i="79"/>
  <c r="AZ441" i="79"/>
  <c r="BB470" i="79"/>
  <c r="AW502" i="79" a="1"/>
  <c r="AW502" i="79" s="1"/>
  <c r="BB502" i="79"/>
  <c r="AV502" i="79"/>
  <c r="AP502" i="79"/>
  <c r="AM502" i="79"/>
  <c r="AU502" i="79" s="1"/>
  <c r="AO502" i="79"/>
  <c r="AP520" i="79"/>
  <c r="AO520" i="79"/>
  <c r="AZ520" i="79"/>
  <c r="AW520" i="79" a="1"/>
  <c r="AW520" i="79" s="1"/>
  <c r="AW515" i="79" a="1"/>
  <c r="AW515" i="79" s="1"/>
  <c r="AM515" i="79"/>
  <c r="AU515" i="79" s="1"/>
  <c r="BB515" i="79"/>
  <c r="AZ515" i="79"/>
  <c r="AP517" i="79"/>
  <c r="AO517" i="79"/>
  <c r="AW517" i="79" a="1"/>
  <c r="AW517" i="79" s="1"/>
  <c r="AV517" i="79"/>
  <c r="AM517" i="79"/>
  <c r="AU517" i="79" s="1"/>
  <c r="AM545" i="79"/>
  <c r="AU545" i="79" s="1"/>
  <c r="AZ545" i="79"/>
  <c r="AV545" i="79"/>
  <c r="BB545" i="79"/>
  <c r="AW545" i="79" a="1"/>
  <c r="AW545" i="79" s="1"/>
  <c r="AP501" i="79"/>
  <c r="AO501" i="79"/>
  <c r="AV501" i="79"/>
  <c r="AW501" i="79" a="1"/>
  <c r="AW501" i="79" s="1"/>
  <c r="AZ501" i="79"/>
  <c r="AP533" i="79"/>
  <c r="AO533" i="79"/>
  <c r="AV533" i="79"/>
  <c r="AW533" i="79" a="1"/>
  <c r="AW533" i="79" s="1"/>
  <c r="BB533" i="79"/>
  <c r="AO491" i="79"/>
  <c r="AP491" i="79"/>
  <c r="AW491" i="79" a="1"/>
  <c r="AW491" i="79" s="1"/>
  <c r="AV491" i="79"/>
  <c r="AP514" i="79"/>
  <c r="AW514" i="79" a="1"/>
  <c r="AW514" i="79" s="1"/>
  <c r="BB514" i="79"/>
  <c r="AZ514" i="79"/>
  <c r="AO539" i="79"/>
  <c r="AM539" i="79"/>
  <c r="AU539" i="79" s="1"/>
  <c r="AZ539" i="79"/>
  <c r="BB539" i="79"/>
  <c r="AP536" i="79"/>
  <c r="AO536" i="79"/>
  <c r="AM536" i="79"/>
  <c r="AU536" i="79" s="1"/>
  <c r="AZ536" i="79"/>
  <c r="AW537" i="79" a="1"/>
  <c r="AW537" i="79" s="1"/>
  <c r="AV537" i="79"/>
  <c r="AZ528" i="79"/>
  <c r="AP528" i="79"/>
  <c r="AQ535" i="79"/>
  <c r="BG535" i="79" s="1"/>
  <c r="BA535" i="79" s="1"/>
  <c r="BD535" i="79" s="1"/>
  <c r="AZ498" i="79"/>
  <c r="AV498" i="79"/>
  <c r="AW498" i="79" a="1"/>
  <c r="AW498" i="79" s="1"/>
  <c r="AP498" i="79"/>
  <c r="BB482" i="79"/>
  <c r="AZ509" i="79"/>
  <c r="AW509" i="79" a="1"/>
  <c r="AW509" i="79" s="1"/>
  <c r="AZ544" i="79"/>
  <c r="AM544" i="79"/>
  <c r="AU544" i="79" s="1"/>
  <c r="AZ527" i="79"/>
  <c r="AV527" i="79"/>
  <c r="AP549" i="79"/>
  <c r="AO549" i="79"/>
  <c r="AM549" i="79"/>
  <c r="AU549" i="79" s="1"/>
  <c r="AW518" i="79" a="1"/>
  <c r="AW518" i="79" s="1"/>
  <c r="AV518" i="79"/>
  <c r="AF4" i="78"/>
  <c r="AF3" i="78"/>
  <c r="AF5" i="78"/>
  <c r="U21" i="82" l="1"/>
  <c r="AK21" i="82" s="1"/>
  <c r="AA21" i="82"/>
  <c r="U27" i="82"/>
  <c r="AK27" i="82" s="1"/>
  <c r="AA27" i="82"/>
  <c r="U25" i="82"/>
  <c r="AK25" i="82" s="1"/>
  <c r="AA25" i="82"/>
  <c r="U19" i="82"/>
  <c r="AK19" i="82" s="1"/>
  <c r="AA19" i="82"/>
  <c r="AC47" i="82"/>
  <c r="AW47" i="82" s="1"/>
  <c r="AD61" i="82"/>
  <c r="AD306" i="82"/>
  <c r="AC292" i="82"/>
  <c r="AW292" i="82" s="1"/>
  <c r="U23" i="82"/>
  <c r="AK23" i="82" s="1"/>
  <c r="AA23" i="82"/>
  <c r="AD208" i="82"/>
  <c r="AC194" i="82"/>
  <c r="AW194" i="82" s="1"/>
  <c r="AD257" i="82"/>
  <c r="AC243" i="82"/>
  <c r="AW243" i="82" s="1"/>
  <c r="AD159" i="82"/>
  <c r="AC145" i="82"/>
  <c r="AW145" i="82" s="1"/>
  <c r="AD110" i="82"/>
  <c r="AC96" i="82"/>
  <c r="AW96" i="82" s="1"/>
  <c r="U29" i="82"/>
  <c r="AK29" i="82" s="1"/>
  <c r="AA29" i="82"/>
  <c r="AO23" i="80"/>
  <c r="AG23" i="80" s="1"/>
  <c r="CO4" i="81"/>
  <c r="CO3" i="81"/>
  <c r="CO5" i="81"/>
  <c r="BG105" i="80"/>
  <c r="BA105" i="80" s="1"/>
  <c r="BD105" i="80" s="1"/>
  <c r="AG105" i="80"/>
  <c r="AF105" i="80" s="1"/>
  <c r="AI105" i="80" s="1"/>
  <c r="AG370" i="80"/>
  <c r="AR370" i="80" s="1"/>
  <c r="AW33" i="80" a="1"/>
  <c r="AW33" i="80" s="1"/>
  <c r="AP73" i="80"/>
  <c r="AG543" i="80"/>
  <c r="AF543" i="80" s="1"/>
  <c r="AN543" i="80" s="1"/>
  <c r="AQ287" i="80"/>
  <c r="BG287" i="80" s="1"/>
  <c r="BA287" i="80" s="1"/>
  <c r="BD287" i="80" s="1"/>
  <c r="AY458" i="80"/>
  <c r="BE458" i="80" s="1"/>
  <c r="AQ67" i="80"/>
  <c r="AR67" i="80" s="1"/>
  <c r="AG321" i="80"/>
  <c r="AF321" i="80" s="1"/>
  <c r="AJ321" i="80" s="1"/>
  <c r="AQ151" i="80"/>
  <c r="BG151" i="80" s="1"/>
  <c r="BA151" i="80" s="1"/>
  <c r="BD151" i="80" s="1"/>
  <c r="AP34" i="80"/>
  <c r="AG232" i="80"/>
  <c r="AF232" i="80" s="1"/>
  <c r="AH232" i="80" s="1"/>
  <c r="AF236" i="80"/>
  <c r="AL236" i="80" s="1" a="1"/>
  <c r="AL236" i="80" s="1"/>
  <c r="AV64" i="80"/>
  <c r="AG202" i="80"/>
  <c r="AF202" i="80" s="1"/>
  <c r="AN202" i="80" s="1"/>
  <c r="AL301" i="80" a="1"/>
  <c r="AL301" i="80" s="1"/>
  <c r="BH301" i="80" s="1"/>
  <c r="AN301" i="80"/>
  <c r="AJ301" i="80"/>
  <c r="AP93" i="80"/>
  <c r="AG134" i="80"/>
  <c r="AF134" i="80" s="1"/>
  <c r="P52" i="80"/>
  <c r="P48" i="80"/>
  <c r="P25" i="80"/>
  <c r="AZ35" i="80"/>
  <c r="AP35" i="80"/>
  <c r="P36" i="80"/>
  <c r="AQ505" i="80"/>
  <c r="BG505" i="80" s="1"/>
  <c r="BA505" i="80" s="1"/>
  <c r="BD505" i="80" s="1"/>
  <c r="AG260" i="80"/>
  <c r="AF260" i="80" s="1"/>
  <c r="AH260" i="80" s="1"/>
  <c r="P28" i="80"/>
  <c r="BX301" i="80"/>
  <c r="AG155" i="80"/>
  <c r="AF155" i="80" s="1"/>
  <c r="AH155" i="80" s="1"/>
  <c r="AQ186" i="80"/>
  <c r="BG186" i="80" s="1"/>
  <c r="BA186" i="80" s="1"/>
  <c r="BD186" i="80" s="1"/>
  <c r="AQ189" i="80"/>
  <c r="BG189" i="80" s="1"/>
  <c r="BA189" i="80" s="1"/>
  <c r="BD189" i="80" s="1"/>
  <c r="P51" i="80"/>
  <c r="AR301" i="80"/>
  <c r="AO98" i="80"/>
  <c r="AQ98" i="80" s="1"/>
  <c r="BG98" i="80" s="1"/>
  <c r="BA98" i="80" s="1"/>
  <c r="BD98" i="80" s="1"/>
  <c r="AG515" i="79"/>
  <c r="AF515" i="79" s="1"/>
  <c r="AJ515" i="79" s="1"/>
  <c r="AG410" i="80"/>
  <c r="AF410" i="80" s="1"/>
  <c r="AH410" i="80" s="1"/>
  <c r="AO93" i="80"/>
  <c r="AG93" i="80" s="1"/>
  <c r="AF93" i="80" s="1"/>
  <c r="AO130" i="80"/>
  <c r="BG130" i="80" s="1"/>
  <c r="BA130" i="80" s="1"/>
  <c r="AW98" i="80" a="1"/>
  <c r="AW98" i="80" s="1"/>
  <c r="AH301" i="80"/>
  <c r="AQ375" i="80"/>
  <c r="BG375" i="80" s="1"/>
  <c r="BA375" i="80" s="1"/>
  <c r="BD375" i="80" s="1"/>
  <c r="AF298" i="80"/>
  <c r="AI298" i="80" s="1"/>
  <c r="AG240" i="80"/>
  <c r="AF240" i="80" s="1"/>
  <c r="AJ240" i="80" s="1"/>
  <c r="P20" i="80"/>
  <c r="BD240" i="80"/>
  <c r="P24" i="80"/>
  <c r="BG410" i="80"/>
  <c r="BA410" i="80" s="1"/>
  <c r="BD410" i="80" s="1"/>
  <c r="P50" i="80"/>
  <c r="AQ411" i="80"/>
  <c r="AR411" i="80" s="1"/>
  <c r="AM98" i="80"/>
  <c r="AU98" i="80" s="1"/>
  <c r="P19" i="80"/>
  <c r="AG326" i="80"/>
  <c r="AF326" i="80" s="1"/>
  <c r="BX326" i="80" s="1"/>
  <c r="AO81" i="80"/>
  <c r="AQ81" i="80" s="1"/>
  <c r="P32" i="80"/>
  <c r="AQ38" i="80"/>
  <c r="BG38" i="80" s="1"/>
  <c r="BA38" i="80" s="1"/>
  <c r="BD38" i="80" s="1"/>
  <c r="BB148" i="80"/>
  <c r="AO73" i="80"/>
  <c r="AQ73" i="80" s="1"/>
  <c r="BG326" i="80"/>
  <c r="BA326" i="80" s="1"/>
  <c r="BD326" i="80" s="1"/>
  <c r="AP29" i="80"/>
  <c r="AQ495" i="79"/>
  <c r="BG495" i="79" s="1"/>
  <c r="BA495" i="79" s="1"/>
  <c r="BD495" i="79" s="1"/>
  <c r="BG395" i="80"/>
  <c r="BA395" i="80" s="1"/>
  <c r="BD395" i="80" s="1"/>
  <c r="AQ463" i="80"/>
  <c r="BG463" i="80" s="1"/>
  <c r="BA463" i="80" s="1"/>
  <c r="BD463" i="80" s="1"/>
  <c r="AG139" i="80"/>
  <c r="AF139" i="80" s="1"/>
  <c r="AI139" i="80" s="1"/>
  <c r="AY463" i="80"/>
  <c r="BE463" i="80" s="1"/>
  <c r="AY284" i="80"/>
  <c r="BE284" i="80" s="1"/>
  <c r="AQ485" i="80"/>
  <c r="BG485" i="80" s="1"/>
  <c r="BA485" i="80" s="1"/>
  <c r="BD485" i="80" s="1"/>
  <c r="BG278" i="80"/>
  <c r="BA278" i="80" s="1"/>
  <c r="BD278" i="80" s="1"/>
  <c r="AG312" i="80"/>
  <c r="AR312" i="80" s="1"/>
  <c r="AQ439" i="80"/>
  <c r="BG439" i="80" s="1"/>
  <c r="BA439" i="80" s="1"/>
  <c r="BD439" i="80" s="1"/>
  <c r="BG312" i="80"/>
  <c r="BA312" i="80" s="1"/>
  <c r="BD312" i="80" s="1"/>
  <c r="AG172" i="80"/>
  <c r="AY172" i="80" s="1"/>
  <c r="BE172" i="80" s="1"/>
  <c r="AG477" i="80"/>
  <c r="AF477" i="80" s="1"/>
  <c r="BX477" i="80" s="1"/>
  <c r="AF411" i="80"/>
  <c r="AJ411" i="80" s="1"/>
  <c r="BG172" i="80"/>
  <c r="BA172" i="80" s="1"/>
  <c r="BD172" i="80" s="1"/>
  <c r="AP130" i="80"/>
  <c r="AO79" i="80"/>
  <c r="BG79" i="80" s="1"/>
  <c r="BA79" i="80" s="1"/>
  <c r="BB79" i="80" s="1"/>
  <c r="AQ165" i="80"/>
  <c r="BG165" i="80" s="1"/>
  <c r="BA165" i="80" s="1"/>
  <c r="BD165" i="80" s="1"/>
  <c r="AO121" i="80"/>
  <c r="AQ121" i="80" s="1"/>
  <c r="AQ179" i="80"/>
  <c r="AR179" i="80" s="1"/>
  <c r="AR458" i="80"/>
  <c r="AV92" i="80"/>
  <c r="P44" i="80"/>
  <c r="AZ148" i="80"/>
  <c r="AG247" i="80"/>
  <c r="AF247" i="80" s="1"/>
  <c r="AI247" i="80" s="1"/>
  <c r="P69" i="80"/>
  <c r="BG315" i="79"/>
  <c r="BA315" i="79" s="1"/>
  <c r="BD315" i="79" s="1"/>
  <c r="P68" i="80"/>
  <c r="AF427" i="80"/>
  <c r="AJ427" i="80" s="1"/>
  <c r="AP43" i="80"/>
  <c r="AY422" i="80"/>
  <c r="BE422" i="80" s="1"/>
  <c r="AY340" i="80"/>
  <c r="BE340" i="80" s="1"/>
  <c r="AQ534" i="80"/>
  <c r="BG534" i="80" s="1"/>
  <c r="BA534" i="80" s="1"/>
  <c r="BD534" i="80" s="1"/>
  <c r="AQ427" i="80"/>
  <c r="AR427" i="80" s="1"/>
  <c r="P102" i="80"/>
  <c r="BG490" i="79"/>
  <c r="BA490" i="79" s="1"/>
  <c r="BD490" i="79" s="1"/>
  <c r="AG216" i="80"/>
  <c r="AF216" i="80" s="1"/>
  <c r="AJ216" i="80" s="1"/>
  <c r="AP81" i="80"/>
  <c r="AF340" i="80"/>
  <c r="AJ340" i="80" s="1"/>
  <c r="AV34" i="80"/>
  <c r="AG547" i="80"/>
  <c r="AY547" i="80" s="1"/>
  <c r="BE547" i="80" s="1"/>
  <c r="AW34" i="80" a="1"/>
  <c r="AW34" i="80" s="1"/>
  <c r="AO97" i="80"/>
  <c r="AG97" i="80" s="1"/>
  <c r="BB34" i="80"/>
  <c r="AO34" i="80"/>
  <c r="AG34" i="80" s="1"/>
  <c r="AF34" i="80" s="1"/>
  <c r="AZ97" i="80"/>
  <c r="AF456" i="80"/>
  <c r="AL456" i="80" s="1" a="1"/>
  <c r="AL456" i="80" s="1"/>
  <c r="AW97" i="80" a="1"/>
  <c r="AW97" i="80" s="1"/>
  <c r="AV43" i="80"/>
  <c r="AG395" i="80"/>
  <c r="AF395" i="80" s="1"/>
  <c r="AN395" i="80" s="1"/>
  <c r="AG225" i="80"/>
  <c r="AR225" i="80" s="1"/>
  <c r="AO129" i="80"/>
  <c r="AQ129" i="80" s="1"/>
  <c r="BG330" i="79"/>
  <c r="BA330" i="79" s="1"/>
  <c r="BD330" i="79" s="1"/>
  <c r="AQ456" i="80"/>
  <c r="BG456" i="80" s="1"/>
  <c r="BA456" i="80" s="1"/>
  <c r="BD456" i="80" s="1"/>
  <c r="AV97" i="80"/>
  <c r="AW43" i="80" a="1"/>
  <c r="AW43" i="80" s="1"/>
  <c r="AG330" i="79"/>
  <c r="AF330" i="79" s="1"/>
  <c r="BX330" i="79" s="1"/>
  <c r="AP97" i="80"/>
  <c r="AQ119" i="80"/>
  <c r="BG119" i="80" s="1"/>
  <c r="BA119" i="80" s="1"/>
  <c r="BD119" i="80" s="1"/>
  <c r="AO82" i="80"/>
  <c r="AQ82" i="80" s="1"/>
  <c r="BB43" i="80"/>
  <c r="BB92" i="80"/>
  <c r="AM97" i="80"/>
  <c r="AU97" i="80" s="1"/>
  <c r="AZ43" i="80"/>
  <c r="AQ340" i="80"/>
  <c r="BG340" i="80" s="1"/>
  <c r="BA340" i="80" s="1"/>
  <c r="BD340" i="80" s="1"/>
  <c r="AQ229" i="80"/>
  <c r="AR229" i="80" s="1"/>
  <c r="AV98" i="80"/>
  <c r="AW92" i="80" a="1"/>
  <c r="AW92" i="80" s="1"/>
  <c r="AM43" i="80"/>
  <c r="AU43" i="80" s="1"/>
  <c r="AZ34" i="80"/>
  <c r="AO92" i="80"/>
  <c r="AQ92" i="80" s="1"/>
  <c r="BG92" i="80" s="1"/>
  <c r="BA92" i="80" s="1"/>
  <c r="BD92" i="80" s="1"/>
  <c r="P79" i="80"/>
  <c r="AM149" i="80"/>
  <c r="AU149" i="80" s="1"/>
  <c r="AO24" i="80"/>
  <c r="AG24" i="80" s="1"/>
  <c r="AF24" i="80" s="1"/>
  <c r="P86" i="80"/>
  <c r="AO149" i="80"/>
  <c r="AQ149" i="80" s="1"/>
  <c r="BG149" i="80" s="1"/>
  <c r="BA149" i="80" s="1"/>
  <c r="BD149" i="80" s="1"/>
  <c r="P71" i="80"/>
  <c r="P91" i="80"/>
  <c r="AP149" i="80"/>
  <c r="AG538" i="80"/>
  <c r="AF538" i="80" s="1"/>
  <c r="AN538" i="80" s="1"/>
  <c r="AG350" i="80"/>
  <c r="AF350" i="80" s="1"/>
  <c r="P96" i="80"/>
  <c r="AW149" i="80" a="1"/>
  <c r="AW149" i="80" s="1"/>
  <c r="BG538" i="80"/>
  <c r="BA538" i="80" s="1"/>
  <c r="BD538" i="80" s="1"/>
  <c r="BD350" i="80"/>
  <c r="AG423" i="80"/>
  <c r="AR423" i="80" s="1"/>
  <c r="P75" i="80"/>
  <c r="P78" i="80"/>
  <c r="P106" i="80"/>
  <c r="AV149" i="80"/>
  <c r="AQ532" i="80"/>
  <c r="BG532" i="80" s="1"/>
  <c r="BA532" i="80" s="1"/>
  <c r="BD532" i="80" s="1"/>
  <c r="BG423" i="80"/>
  <c r="BA423" i="80" s="1"/>
  <c r="BD423" i="80" s="1"/>
  <c r="P61" i="80"/>
  <c r="P83" i="80"/>
  <c r="P101" i="80"/>
  <c r="AZ149" i="80"/>
  <c r="AQ211" i="80"/>
  <c r="BG211" i="80" s="1"/>
  <c r="BA211" i="80" s="1"/>
  <c r="BD211" i="80" s="1"/>
  <c r="P98" i="80"/>
  <c r="P76" i="80"/>
  <c r="P62" i="80"/>
  <c r="P92" i="80"/>
  <c r="P84" i="80"/>
  <c r="BG337" i="80"/>
  <c r="BA337" i="80" s="1"/>
  <c r="BD337" i="80" s="1"/>
  <c r="AQ191" i="80"/>
  <c r="BG191" i="80" s="1"/>
  <c r="BA191" i="80" s="1"/>
  <c r="BD191" i="80" s="1"/>
  <c r="P80" i="80"/>
  <c r="P72" i="80"/>
  <c r="AQ118" i="80"/>
  <c r="BG118" i="80" s="1"/>
  <c r="BA118" i="80" s="1"/>
  <c r="BD118" i="80" s="1"/>
  <c r="P93" i="80"/>
  <c r="P87" i="80"/>
  <c r="AG156" i="80"/>
  <c r="AF156" i="80" s="1"/>
  <c r="AJ156" i="80" s="1"/>
  <c r="P105" i="80"/>
  <c r="P104" i="80"/>
  <c r="AG443" i="80"/>
  <c r="AF443" i="80" s="1"/>
  <c r="AG278" i="80"/>
  <c r="AR278" i="80" s="1"/>
  <c r="P99" i="80"/>
  <c r="AF463" i="80"/>
  <c r="BX463" i="80" s="1"/>
  <c r="BG404" i="79"/>
  <c r="BA404" i="79" s="1"/>
  <c r="BD404" i="79" s="1"/>
  <c r="AQ439" i="79"/>
  <c r="AR439" i="79" s="1"/>
  <c r="P65" i="80"/>
  <c r="AQ214" i="80"/>
  <c r="BG214" i="80" s="1"/>
  <c r="BA214" i="80" s="1"/>
  <c r="BD214" i="80" s="1"/>
  <c r="P82" i="80"/>
  <c r="P103" i="80"/>
  <c r="P63" i="80"/>
  <c r="AF118" i="80"/>
  <c r="AI118" i="80" s="1"/>
  <c r="P74" i="80"/>
  <c r="P70" i="80"/>
  <c r="P100" i="80"/>
  <c r="P97" i="80"/>
  <c r="AR440" i="80"/>
  <c r="P107" i="80"/>
  <c r="AQ484" i="80"/>
  <c r="AR484" i="80" s="1"/>
  <c r="BG454" i="80"/>
  <c r="BA454" i="80" s="1"/>
  <c r="BD454" i="80" s="1"/>
  <c r="BG344" i="80"/>
  <c r="BA344" i="80" s="1"/>
  <c r="BD344" i="80" s="1"/>
  <c r="AG490" i="79"/>
  <c r="AY490" i="79" s="1"/>
  <c r="BE490" i="79" s="1"/>
  <c r="AG181" i="80"/>
  <c r="AF181" i="80" s="1"/>
  <c r="BG139" i="80"/>
  <c r="BA139" i="80" s="1"/>
  <c r="BD139" i="80" s="1"/>
  <c r="AM92" i="80"/>
  <c r="AU92" i="80" s="1"/>
  <c r="AG114" i="80"/>
  <c r="AF114" i="80" s="1"/>
  <c r="AN114" i="80" s="1"/>
  <c r="BG140" i="79"/>
  <c r="BA140" i="79" s="1"/>
  <c r="BD140" i="79" s="1"/>
  <c r="AG262" i="80"/>
  <c r="AF262" i="80" s="1"/>
  <c r="AI262" i="80" s="1"/>
  <c r="AQ212" i="80"/>
  <c r="BG212" i="80" s="1"/>
  <c r="BA212" i="80" s="1"/>
  <c r="BD212" i="80" s="1"/>
  <c r="AZ92" i="80"/>
  <c r="BG358" i="80"/>
  <c r="BA358" i="80" s="1"/>
  <c r="BD358" i="80" s="1"/>
  <c r="AG258" i="80"/>
  <c r="AF258" i="80" s="1"/>
  <c r="AL258" i="80" s="1" a="1"/>
  <c r="AL258" i="80" s="1"/>
  <c r="BH258" i="80" s="1"/>
  <c r="AP24" i="80"/>
  <c r="AG429" i="80"/>
  <c r="AF429" i="80" s="1"/>
  <c r="AJ429" i="80" s="1"/>
  <c r="AG358" i="80"/>
  <c r="AF358" i="80" s="1"/>
  <c r="AH358" i="80" s="1"/>
  <c r="AG531" i="80"/>
  <c r="AF531" i="80" s="1"/>
  <c r="AH531" i="80" s="1"/>
  <c r="BG429" i="80"/>
  <c r="BA429" i="80" s="1"/>
  <c r="BD429" i="80" s="1"/>
  <c r="AG261" i="80"/>
  <c r="AF261" i="80" s="1"/>
  <c r="AJ261" i="80" s="1"/>
  <c r="AP121" i="80"/>
  <c r="BG238" i="80"/>
  <c r="BA238" i="80" s="1"/>
  <c r="BD238" i="80" s="1"/>
  <c r="AG238" i="80"/>
  <c r="AF238" i="80" s="1"/>
  <c r="AJ238" i="80" s="1"/>
  <c r="BG132" i="80"/>
  <c r="BA132" i="80" s="1"/>
  <c r="BB132" i="80" s="1"/>
  <c r="AG460" i="80"/>
  <c r="AY460" i="80" s="1"/>
  <c r="BE460" i="80" s="1"/>
  <c r="AG492" i="80"/>
  <c r="AF492" i="80" s="1"/>
  <c r="AJ492" i="80" s="1"/>
  <c r="AG316" i="80"/>
  <c r="AF316" i="80" s="1"/>
  <c r="AN316" i="80" s="1"/>
  <c r="AG522" i="80"/>
  <c r="AR522" i="80" s="1"/>
  <c r="AF440" i="80"/>
  <c r="AL440" i="80" s="1" a="1"/>
  <c r="AL440" i="80" s="1"/>
  <c r="BH440" i="80" s="1"/>
  <c r="AG344" i="80"/>
  <c r="AR344" i="80" s="1"/>
  <c r="AG374" i="80"/>
  <c r="AY374" i="80" s="1"/>
  <c r="BE374" i="80" s="1"/>
  <c r="AM31" i="80"/>
  <c r="AU31" i="80" s="1"/>
  <c r="AQ156" i="79"/>
  <c r="BG156" i="79" s="1"/>
  <c r="BA156" i="79" s="1"/>
  <c r="BD156" i="79" s="1"/>
  <c r="BG374" i="80"/>
  <c r="BA374" i="80" s="1"/>
  <c r="BD374" i="80" s="1"/>
  <c r="AP129" i="80"/>
  <c r="AY456" i="80"/>
  <c r="BE456" i="80" s="1"/>
  <c r="AY509" i="80"/>
  <c r="BE509" i="80" s="1"/>
  <c r="AQ124" i="80"/>
  <c r="BG124" i="80"/>
  <c r="BA124" i="80" s="1"/>
  <c r="BD124" i="80" s="1"/>
  <c r="AQ208" i="80"/>
  <c r="AR208" i="80" s="1"/>
  <c r="AF208" i="80"/>
  <c r="AL208" i="80" s="1" a="1"/>
  <c r="AL208" i="80" s="1"/>
  <c r="AM64" i="80"/>
  <c r="AU64" i="80" s="1"/>
  <c r="AF509" i="80"/>
  <c r="BB64" i="80"/>
  <c r="BX422" i="80"/>
  <c r="AQ478" i="79"/>
  <c r="BG478" i="79" s="1"/>
  <c r="BA478" i="79" s="1"/>
  <c r="BD478" i="79" s="1"/>
  <c r="AQ525" i="80"/>
  <c r="BG525" i="80" s="1"/>
  <c r="BA525" i="80" s="1"/>
  <c r="BD525" i="80" s="1"/>
  <c r="BG544" i="80"/>
  <c r="BA544" i="80" s="1"/>
  <c r="BD544" i="80" s="1"/>
  <c r="AI422" i="80"/>
  <c r="AG511" i="80"/>
  <c r="AF511" i="80" s="1"/>
  <c r="AO64" i="80"/>
  <c r="AQ64" i="80" s="1"/>
  <c r="BG64" i="80" s="1"/>
  <c r="BA64" i="80" s="1"/>
  <c r="BD64" i="80" s="1"/>
  <c r="AQ233" i="80"/>
  <c r="BG233" i="80" s="1"/>
  <c r="BA233" i="80" s="1"/>
  <c r="BD233" i="80" s="1"/>
  <c r="AJ422" i="80"/>
  <c r="AM145" i="80"/>
  <c r="AU145" i="80" s="1"/>
  <c r="AG470" i="80"/>
  <c r="AF470" i="80" s="1"/>
  <c r="AJ470" i="80" s="1"/>
  <c r="AO123" i="80"/>
  <c r="BG123" i="80" s="1"/>
  <c r="BA123" i="80" s="1"/>
  <c r="BB123" i="80" s="1"/>
  <c r="AG378" i="80"/>
  <c r="AY378" i="80" s="1"/>
  <c r="BE378" i="80" s="1"/>
  <c r="AG424" i="80"/>
  <c r="AF424" i="80" s="1"/>
  <c r="AN424" i="80" s="1"/>
  <c r="AG544" i="80"/>
  <c r="AY544" i="80" s="1"/>
  <c r="BE544" i="80" s="1"/>
  <c r="AG306" i="80"/>
  <c r="AF306" i="80" s="1"/>
  <c r="AH306" i="80" s="1"/>
  <c r="AP123" i="80"/>
  <c r="AV33" i="80"/>
  <c r="AG513" i="80"/>
  <c r="AF513" i="80" s="1"/>
  <c r="AL513" i="80" s="1" a="1"/>
  <c r="AL513" i="80" s="1"/>
  <c r="BH513" i="80" s="1"/>
  <c r="AG361" i="80"/>
  <c r="AY361" i="80" s="1"/>
  <c r="BE361" i="80" s="1"/>
  <c r="BG306" i="80"/>
  <c r="BA306" i="80" s="1"/>
  <c r="BD306" i="80" s="1"/>
  <c r="AM33" i="80"/>
  <c r="AU33" i="80" s="1"/>
  <c r="P89" i="80"/>
  <c r="AQ361" i="80"/>
  <c r="BG361" i="80" s="1"/>
  <c r="BA361" i="80" s="1"/>
  <c r="BD361" i="80" s="1"/>
  <c r="AY440" i="80"/>
  <c r="BE440" i="80" s="1"/>
  <c r="AZ33" i="80"/>
  <c r="AQ509" i="80"/>
  <c r="AR509" i="80" s="1"/>
  <c r="AN422" i="80"/>
  <c r="AF458" i="80"/>
  <c r="AI458" i="80" s="1"/>
  <c r="BB33" i="80"/>
  <c r="BG268" i="80"/>
  <c r="BA268" i="80" s="1"/>
  <c r="BD268" i="80" s="1"/>
  <c r="AL422" i="80" a="1"/>
  <c r="AL422" i="80" s="1"/>
  <c r="AG412" i="80"/>
  <c r="AF412" i="80" s="1"/>
  <c r="AI412" i="80" s="1"/>
  <c r="AQ352" i="80"/>
  <c r="BG352" i="80" s="1"/>
  <c r="BA352" i="80" s="1"/>
  <c r="BD352" i="80" s="1"/>
  <c r="AO145" i="80"/>
  <c r="AY310" i="80"/>
  <c r="BE310" i="80" s="1"/>
  <c r="AY269" i="80"/>
  <c r="BE269" i="80" s="1"/>
  <c r="BG424" i="80"/>
  <c r="BA424" i="80" s="1"/>
  <c r="BD424" i="80" s="1"/>
  <c r="AG355" i="79"/>
  <c r="AF355" i="79" s="1"/>
  <c r="AN355" i="79" s="1"/>
  <c r="AG488" i="79"/>
  <c r="AF488" i="79" s="1"/>
  <c r="AL488" i="79" s="1" a="1"/>
  <c r="AL488" i="79" s="1"/>
  <c r="BH488" i="79" s="1"/>
  <c r="AG268" i="80"/>
  <c r="AF268" i="80" s="1"/>
  <c r="AL268" i="80" s="1" a="1"/>
  <c r="AL268" i="80" s="1"/>
  <c r="BH268" i="80" s="1"/>
  <c r="BG412" i="80"/>
  <c r="BA412" i="80" s="1"/>
  <c r="BD412" i="80" s="1"/>
  <c r="AG428" i="80"/>
  <c r="AR428" i="80" s="1"/>
  <c r="AG503" i="80"/>
  <c r="AR503" i="80" s="1"/>
  <c r="BB145" i="80"/>
  <c r="P85" i="80"/>
  <c r="AQ435" i="79"/>
  <c r="BG435" i="79" s="1"/>
  <c r="BA435" i="79" s="1"/>
  <c r="BD435" i="79" s="1"/>
  <c r="AG163" i="79"/>
  <c r="AY163" i="79" s="1"/>
  <c r="BE163" i="79" s="1"/>
  <c r="AQ300" i="79"/>
  <c r="BG300" i="79" s="1"/>
  <c r="BA300" i="79" s="1"/>
  <c r="BD300" i="79" s="1"/>
  <c r="AQ333" i="79"/>
  <c r="BG333" i="79" s="1"/>
  <c r="BA333" i="79" s="1"/>
  <c r="BD333" i="79" s="1"/>
  <c r="AG380" i="80"/>
  <c r="AY380" i="80" s="1"/>
  <c r="BE380" i="80" s="1"/>
  <c r="AQ48" i="80"/>
  <c r="BG48" i="80" s="1"/>
  <c r="BA48" i="80" s="1"/>
  <c r="BD48" i="80" s="1"/>
  <c r="AW64" i="80" a="1"/>
  <c r="AW64" i="80" s="1"/>
  <c r="AZ64" i="80"/>
  <c r="P90" i="80"/>
  <c r="AY298" i="80"/>
  <c r="BE298" i="80" s="1"/>
  <c r="AO29" i="80"/>
  <c r="AQ29" i="80" s="1"/>
  <c r="BG29" i="80" s="1"/>
  <c r="BA29" i="80" s="1"/>
  <c r="BB29" i="80" s="1"/>
  <c r="AF333" i="79"/>
  <c r="AH333" i="79" s="1"/>
  <c r="AF525" i="80"/>
  <c r="AH525" i="80" s="1"/>
  <c r="AO33" i="80"/>
  <c r="AQ33" i="80" s="1"/>
  <c r="BG42" i="80"/>
  <c r="BA42" i="80" s="1"/>
  <c r="BD42" i="80" s="1"/>
  <c r="AY236" i="80"/>
  <c r="BE236" i="80" s="1"/>
  <c r="AF548" i="80"/>
  <c r="BX548" i="80" s="1"/>
  <c r="AF368" i="80"/>
  <c r="AI368" i="80" s="1"/>
  <c r="AY208" i="80"/>
  <c r="BE208" i="80" s="1"/>
  <c r="AG352" i="79"/>
  <c r="AF352" i="79" s="1"/>
  <c r="AN352" i="79" s="1"/>
  <c r="AG313" i="79"/>
  <c r="AY313" i="79" s="1"/>
  <c r="BE313" i="79" s="1"/>
  <c r="BG380" i="80"/>
  <c r="BA380" i="80" s="1"/>
  <c r="BD380" i="80" s="1"/>
  <c r="AG42" i="80"/>
  <c r="AF42" i="80" s="1"/>
  <c r="AI42" i="80" s="1"/>
  <c r="P64" i="80"/>
  <c r="P73" i="80"/>
  <c r="AQ356" i="80"/>
  <c r="BG356" i="80" s="1"/>
  <c r="BA356" i="80" s="1"/>
  <c r="BD356" i="80" s="1"/>
  <c r="BG352" i="79"/>
  <c r="BA352" i="79" s="1"/>
  <c r="BD352" i="79" s="1"/>
  <c r="AQ422" i="80"/>
  <c r="BG422" i="80" s="1"/>
  <c r="BA422" i="80" s="1"/>
  <c r="BD422" i="80" s="1"/>
  <c r="AY368" i="80"/>
  <c r="BE368" i="80" s="1"/>
  <c r="AP79" i="80"/>
  <c r="AQ236" i="80"/>
  <c r="AR236" i="80" s="1"/>
  <c r="AQ368" i="80"/>
  <c r="BG368" i="80" s="1"/>
  <c r="BA368" i="80" s="1"/>
  <c r="BD368" i="80" s="1"/>
  <c r="P81" i="80"/>
  <c r="BG114" i="80"/>
  <c r="BA114" i="80" s="1"/>
  <c r="BD114" i="80" s="1"/>
  <c r="AY356" i="80"/>
  <c r="BE356" i="80" s="1"/>
  <c r="AF356" i="80"/>
  <c r="AJ356" i="80" s="1"/>
  <c r="AG435" i="79"/>
  <c r="AF435" i="79" s="1"/>
  <c r="AN435" i="79" s="1"/>
  <c r="AQ548" i="80"/>
  <c r="BG548" i="80" s="1"/>
  <c r="BA548" i="80" s="1"/>
  <c r="BD548" i="80" s="1"/>
  <c r="AG337" i="80"/>
  <c r="AF337" i="80" s="1"/>
  <c r="AL337" i="80" s="1" a="1"/>
  <c r="AL337" i="80" s="1"/>
  <c r="BH337" i="80" s="1"/>
  <c r="P23" i="80"/>
  <c r="P45" i="80"/>
  <c r="AP75" i="80"/>
  <c r="BX287" i="80"/>
  <c r="AG285" i="80"/>
  <c r="AF285" i="80" s="1"/>
  <c r="AQ285" i="80"/>
  <c r="BG285" i="80" s="1"/>
  <c r="BA285" i="80" s="1"/>
  <c r="BD285" i="80" s="1"/>
  <c r="AG25" i="80"/>
  <c r="AF25" i="80" s="1"/>
  <c r="AG281" i="80"/>
  <c r="AF281" i="80" s="1"/>
  <c r="AN281" i="80" s="1"/>
  <c r="AY367" i="80"/>
  <c r="BE367" i="80" s="1"/>
  <c r="AG466" i="80"/>
  <c r="AY466" i="80" s="1"/>
  <c r="BE466" i="80" s="1"/>
  <c r="AF227" i="79"/>
  <c r="AL227" i="79" s="1" a="1"/>
  <c r="AL227" i="79" s="1"/>
  <c r="BH227" i="79" s="1"/>
  <c r="AQ500" i="80"/>
  <c r="BG500" i="80" s="1"/>
  <c r="BA500" i="80" s="1"/>
  <c r="BD500" i="80" s="1"/>
  <c r="AQ324" i="80"/>
  <c r="BG324" i="80" s="1"/>
  <c r="BA324" i="80" s="1"/>
  <c r="BD324" i="80" s="1"/>
  <c r="AF324" i="80"/>
  <c r="AI324" i="80" s="1"/>
  <c r="AW101" i="80" a="1"/>
  <c r="AW101" i="80" s="1"/>
  <c r="P56" i="80"/>
  <c r="AG192" i="80"/>
  <c r="AF192" i="80" s="1"/>
  <c r="AL192" i="80" s="1" a="1"/>
  <c r="AL192" i="80" s="1"/>
  <c r="BH192" i="80" s="1"/>
  <c r="AO84" i="80"/>
  <c r="AQ84" i="80" s="1"/>
  <c r="AP31" i="80"/>
  <c r="P29" i="80"/>
  <c r="P42" i="80"/>
  <c r="AQ298" i="80"/>
  <c r="BG298" i="80" s="1"/>
  <c r="BA298" i="80" s="1"/>
  <c r="BD298" i="80" s="1"/>
  <c r="AW148" i="80" a="1"/>
  <c r="AW148" i="80" s="1"/>
  <c r="AQ401" i="80"/>
  <c r="BG401" i="80" s="1"/>
  <c r="BA401" i="80" s="1"/>
  <c r="BD401" i="80" s="1"/>
  <c r="AG401" i="80"/>
  <c r="AQ269" i="80"/>
  <c r="AR269" i="80" s="1"/>
  <c r="AO148" i="80"/>
  <c r="AV31" i="80"/>
  <c r="P26" i="80"/>
  <c r="P54" i="80"/>
  <c r="AM148" i="80"/>
  <c r="AU148" i="80" s="1"/>
  <c r="AG276" i="80"/>
  <c r="AF276" i="80" s="1"/>
  <c r="AG462" i="80"/>
  <c r="AQ462" i="80"/>
  <c r="BG462" i="80" s="1"/>
  <c r="BA462" i="80" s="1"/>
  <c r="BD462" i="80" s="1"/>
  <c r="AF367" i="80"/>
  <c r="BX367" i="80" s="1"/>
  <c r="AF284" i="80"/>
  <c r="AI284" i="80" s="1"/>
  <c r="AW31" i="80" a="1"/>
  <c r="AW31" i="80" s="1"/>
  <c r="P13" i="80"/>
  <c r="P95" i="80"/>
  <c r="AO75" i="80"/>
  <c r="AG75" i="80" s="1"/>
  <c r="AO31" i="80"/>
  <c r="AQ31" i="80" s="1"/>
  <c r="BG31" i="80" s="1"/>
  <c r="BA31" i="80" s="1"/>
  <c r="BD31" i="80" s="1"/>
  <c r="AQ284" i="80"/>
  <c r="BG284" i="80" s="1"/>
  <c r="BA284" i="80" s="1"/>
  <c r="BD284" i="80" s="1"/>
  <c r="AZ96" i="80"/>
  <c r="AZ31" i="80"/>
  <c r="P21" i="80"/>
  <c r="BG445" i="80"/>
  <c r="BA445" i="80" s="1"/>
  <c r="BD445" i="80" s="1"/>
  <c r="P88" i="80"/>
  <c r="AG432" i="80"/>
  <c r="AR432" i="80" s="1"/>
  <c r="AW145" i="80" a="1"/>
  <c r="AW145" i="80" s="1"/>
  <c r="AV145" i="80"/>
  <c r="AP145" i="80"/>
  <c r="AQ198" i="80"/>
  <c r="BG198" i="80" s="1"/>
  <c r="BA198" i="80" s="1"/>
  <c r="BD198" i="80" s="1"/>
  <c r="AG104" i="80"/>
  <c r="AY104" i="80" s="1"/>
  <c r="BE104" i="80" s="1"/>
  <c r="BB96" i="80"/>
  <c r="P35" i="80"/>
  <c r="BG216" i="80"/>
  <c r="BA216" i="80" s="1"/>
  <c r="BD216" i="80" s="1"/>
  <c r="AG445" i="80"/>
  <c r="AF445" i="80" s="1"/>
  <c r="AI445" i="80" s="1"/>
  <c r="AQ366" i="80"/>
  <c r="BG366" i="80" s="1"/>
  <c r="BA366" i="80" s="1"/>
  <c r="BD366" i="80" s="1"/>
  <c r="AG366" i="80"/>
  <c r="AV148" i="80"/>
  <c r="AG398" i="79"/>
  <c r="AF398" i="79" s="1"/>
  <c r="AG457" i="79"/>
  <c r="AF457" i="79" s="1"/>
  <c r="AN457" i="79" s="1"/>
  <c r="AF198" i="80"/>
  <c r="AN198" i="80" s="1"/>
  <c r="BD104" i="80"/>
  <c r="AP23" i="80"/>
  <c r="AZ101" i="80"/>
  <c r="AP96" i="80"/>
  <c r="P16" i="80"/>
  <c r="AG69" i="80"/>
  <c r="AF69" i="80" s="1"/>
  <c r="AG177" i="80"/>
  <c r="AY177" i="80" s="1"/>
  <c r="BE177" i="80" s="1"/>
  <c r="AQ521" i="80"/>
  <c r="BG521" i="80" s="1"/>
  <c r="BA521" i="80" s="1"/>
  <c r="BD521" i="80" s="1"/>
  <c r="AG521" i="80"/>
  <c r="AQ314" i="80"/>
  <c r="BG314" i="80" s="1"/>
  <c r="BA314" i="80" s="1"/>
  <c r="BD314" i="80" s="1"/>
  <c r="AM101" i="80"/>
  <c r="AU101" i="80" s="1"/>
  <c r="AV96" i="80"/>
  <c r="P43" i="80"/>
  <c r="P39" i="80"/>
  <c r="AF269" i="80"/>
  <c r="AL269" i="80" s="1" a="1"/>
  <c r="AL269" i="80" s="1"/>
  <c r="AG417" i="80"/>
  <c r="AY417" i="80" s="1"/>
  <c r="BE417" i="80" s="1"/>
  <c r="BG547" i="80"/>
  <c r="BA547" i="80" s="1"/>
  <c r="BD547" i="80" s="1"/>
  <c r="AF314" i="80"/>
  <c r="AH314" i="80" s="1"/>
  <c r="AO101" i="80"/>
  <c r="AQ101" i="80" s="1"/>
  <c r="BG101" i="80" s="1"/>
  <c r="BA101" i="80" s="1"/>
  <c r="BD101" i="80" s="1"/>
  <c r="AZ93" i="80"/>
  <c r="BB98" i="80"/>
  <c r="AW96" i="80" a="1"/>
  <c r="AW96" i="80" s="1"/>
  <c r="P38" i="80"/>
  <c r="P37" i="80"/>
  <c r="P57" i="80"/>
  <c r="P77" i="80"/>
  <c r="AG27" i="80"/>
  <c r="AF27" i="80" s="1"/>
  <c r="AN27" i="80" s="1"/>
  <c r="BG398" i="79"/>
  <c r="BA398" i="79" s="1"/>
  <c r="BD398" i="79" s="1"/>
  <c r="AG454" i="80"/>
  <c r="AY454" i="80" s="1"/>
  <c r="BE454" i="80" s="1"/>
  <c r="AZ98" i="80"/>
  <c r="P27" i="80"/>
  <c r="P46" i="80"/>
  <c r="P94" i="80"/>
  <c r="AQ452" i="80"/>
  <c r="AR452" i="80" s="1"/>
  <c r="AG188" i="80"/>
  <c r="AY188" i="80" s="1"/>
  <c r="BE188" i="80" s="1"/>
  <c r="AQ188" i="80"/>
  <c r="BG458" i="80"/>
  <c r="BA458" i="80" s="1"/>
  <c r="BD458" i="80" s="1"/>
  <c r="AQ245" i="80"/>
  <c r="BG245" i="80" s="1"/>
  <c r="BA245" i="80" s="1"/>
  <c r="BD245" i="80" s="1"/>
  <c r="AG245" i="80"/>
  <c r="AY245" i="80" s="1"/>
  <c r="BE245" i="80" s="1"/>
  <c r="AG277" i="80"/>
  <c r="AF277" i="80" s="1"/>
  <c r="AQ277" i="80"/>
  <c r="BG277" i="80" s="1"/>
  <c r="BA277" i="80" s="1"/>
  <c r="BD277" i="80" s="1"/>
  <c r="AG178" i="80"/>
  <c r="AY178" i="80" s="1"/>
  <c r="BE178" i="80" s="1"/>
  <c r="AQ434" i="80"/>
  <c r="BG434" i="80" s="1"/>
  <c r="BA434" i="80" s="1"/>
  <c r="BD434" i="80" s="1"/>
  <c r="AG434" i="80"/>
  <c r="AM30" i="80"/>
  <c r="AU30" i="80" s="1"/>
  <c r="AP30" i="80"/>
  <c r="BB30" i="80"/>
  <c r="AZ30" i="80"/>
  <c r="AO30" i="80"/>
  <c r="AW30" i="80" a="1"/>
  <c r="AW30" i="80" s="1"/>
  <c r="AV30" i="80"/>
  <c r="AG463" i="79"/>
  <c r="AQ463" i="79"/>
  <c r="BG463" i="79" s="1"/>
  <c r="BA463" i="79" s="1"/>
  <c r="BD463" i="79" s="1"/>
  <c r="AQ39" i="79"/>
  <c r="BG39" i="79" s="1"/>
  <c r="BA39" i="79" s="1"/>
  <c r="BD39" i="79" s="1"/>
  <c r="AG47" i="79"/>
  <c r="AY47" i="79" s="1"/>
  <c r="BE47" i="79" s="1"/>
  <c r="AG422" i="79"/>
  <c r="AF422" i="79" s="1"/>
  <c r="AQ422" i="79"/>
  <c r="AG427" i="79"/>
  <c r="AQ498" i="80"/>
  <c r="BG498" i="80" s="1"/>
  <c r="BA498" i="80" s="1"/>
  <c r="BD498" i="80" s="1"/>
  <c r="AG185" i="80"/>
  <c r="AY185" i="80" s="1"/>
  <c r="BE185" i="80" s="1"/>
  <c r="AQ185" i="80"/>
  <c r="BG185" i="80" s="1"/>
  <c r="BA185" i="80" s="1"/>
  <c r="BD185" i="80" s="1"/>
  <c r="AP131" i="80"/>
  <c r="AO131" i="80"/>
  <c r="AG381" i="80"/>
  <c r="AF381" i="80" s="1"/>
  <c r="AQ381" i="80"/>
  <c r="BG381" i="80" s="1"/>
  <c r="BA381" i="80" s="1"/>
  <c r="BD381" i="80" s="1"/>
  <c r="AQ342" i="79"/>
  <c r="BG342" i="79" s="1"/>
  <c r="BA342" i="79" s="1"/>
  <c r="BD342" i="79" s="1"/>
  <c r="AG353" i="80"/>
  <c r="AF353" i="80" s="1"/>
  <c r="AL353" i="80" s="1" a="1"/>
  <c r="AL353" i="80" s="1"/>
  <c r="AQ353" i="80"/>
  <c r="BG353" i="80" s="1"/>
  <c r="BA353" i="80" s="1"/>
  <c r="BD353" i="80" s="1"/>
  <c r="AQ173" i="80"/>
  <c r="BG173" i="80" s="1"/>
  <c r="BA173" i="80" s="1"/>
  <c r="BD173" i="80" s="1"/>
  <c r="AG173" i="80"/>
  <c r="AF173" i="80" s="1"/>
  <c r="AN173" i="80" s="1"/>
  <c r="AQ290" i="80"/>
  <c r="BG290" i="80" s="1"/>
  <c r="BA290" i="80" s="1"/>
  <c r="BD290" i="80" s="1"/>
  <c r="AG290" i="80"/>
  <c r="AQ334" i="80"/>
  <c r="BG334" i="80" s="1"/>
  <c r="BA334" i="80" s="1"/>
  <c r="BD334" i="80" s="1"/>
  <c r="AG334" i="80"/>
  <c r="AQ531" i="79"/>
  <c r="BG531" i="79" s="1"/>
  <c r="BA531" i="79" s="1"/>
  <c r="BD531" i="79" s="1"/>
  <c r="AG531" i="79"/>
  <c r="AF531" i="79" s="1"/>
  <c r="AH531" i="79" s="1"/>
  <c r="AF502" i="80"/>
  <c r="AJ502" i="80" s="1"/>
  <c r="AQ502" i="80"/>
  <c r="BG502" i="80" s="1"/>
  <c r="BA502" i="80" s="1"/>
  <c r="BD502" i="80" s="1"/>
  <c r="AY191" i="80"/>
  <c r="BE191" i="80" s="1"/>
  <c r="AY342" i="79"/>
  <c r="BE342" i="79" s="1"/>
  <c r="AZ143" i="80"/>
  <c r="AW143" i="80" a="1"/>
  <c r="AW143" i="80" s="1"/>
  <c r="AV143" i="80"/>
  <c r="AP143" i="80"/>
  <c r="AQ314" i="79"/>
  <c r="BG314" i="79" s="1"/>
  <c r="BA314" i="79" s="1"/>
  <c r="BD314" i="79" s="1"/>
  <c r="AG314" i="79"/>
  <c r="AF314" i="79" s="1"/>
  <c r="AJ314" i="79" s="1"/>
  <c r="AF498" i="80"/>
  <c r="AJ498" i="80" s="1"/>
  <c r="AM143" i="80"/>
  <c r="AU143" i="80" s="1"/>
  <c r="AQ427" i="79"/>
  <c r="BG427" i="79" s="1"/>
  <c r="BA427" i="79" s="1"/>
  <c r="BD427" i="79" s="1"/>
  <c r="BG432" i="80"/>
  <c r="BA432" i="80" s="1"/>
  <c r="BD432" i="80" s="1"/>
  <c r="AG468" i="79"/>
  <c r="AF468" i="79" s="1"/>
  <c r="AH468" i="79" s="1"/>
  <c r="BG203" i="80"/>
  <c r="BA203" i="80" s="1"/>
  <c r="BD203" i="80" s="1"/>
  <c r="AR203" i="80"/>
  <c r="AQ206" i="80"/>
  <c r="BG206" i="80" s="1"/>
  <c r="BA206" i="80" s="1"/>
  <c r="BD206" i="80" s="1"/>
  <c r="AG206" i="80"/>
  <c r="AF206" i="80" s="1"/>
  <c r="BX206" i="80" s="1"/>
  <c r="AQ313" i="80"/>
  <c r="BG313" i="80" s="1"/>
  <c r="BA313" i="80" s="1"/>
  <c r="BD313" i="80" s="1"/>
  <c r="AG313" i="80"/>
  <c r="AF313" i="80" s="1"/>
  <c r="AG516" i="80"/>
  <c r="AF516" i="80" s="1"/>
  <c r="AQ516" i="80"/>
  <c r="BG516" i="80" s="1"/>
  <c r="BA516" i="80" s="1"/>
  <c r="BD516" i="80" s="1"/>
  <c r="AG194" i="80"/>
  <c r="AY194" i="80" s="1"/>
  <c r="BE194" i="80" s="1"/>
  <c r="AQ194" i="80"/>
  <c r="BG194" i="80" s="1"/>
  <c r="BA194" i="80" s="1"/>
  <c r="BD194" i="80" s="1"/>
  <c r="AG293" i="80"/>
  <c r="AQ293" i="80"/>
  <c r="BG293" i="80" s="1"/>
  <c r="BA293" i="80" s="1"/>
  <c r="BD293" i="80" s="1"/>
  <c r="AG386" i="80"/>
  <c r="AY386" i="80" s="1"/>
  <c r="BE386" i="80" s="1"/>
  <c r="AQ386" i="80"/>
  <c r="AL476" i="79" a="1"/>
  <c r="AL476" i="79" s="1"/>
  <c r="AI476" i="79"/>
  <c r="AH476" i="79"/>
  <c r="AJ476" i="79"/>
  <c r="AG391" i="80"/>
  <c r="AY391" i="80" s="1"/>
  <c r="BE391" i="80" s="1"/>
  <c r="AQ391" i="80"/>
  <c r="BG391" i="80" s="1"/>
  <c r="BA391" i="80" s="1"/>
  <c r="BD391" i="80" s="1"/>
  <c r="AQ474" i="80"/>
  <c r="BG474" i="80" s="1"/>
  <c r="BA474" i="80" s="1"/>
  <c r="BD474" i="80" s="1"/>
  <c r="AG474" i="80"/>
  <c r="AF474" i="80" s="1"/>
  <c r="AG383" i="79"/>
  <c r="AF383" i="79" s="1"/>
  <c r="BX383" i="79" s="1"/>
  <c r="BG177" i="80"/>
  <c r="BA177" i="80" s="1"/>
  <c r="BD177" i="80" s="1"/>
  <c r="AQ479" i="80"/>
  <c r="BG479" i="80" s="1"/>
  <c r="BA479" i="80" s="1"/>
  <c r="BD479" i="80" s="1"/>
  <c r="AG479" i="80"/>
  <c r="AF479" i="80" s="1"/>
  <c r="BX479" i="80" s="1"/>
  <c r="AG419" i="80"/>
  <c r="AR419" i="80" s="1"/>
  <c r="AG308" i="80"/>
  <c r="AF308" i="80" s="1"/>
  <c r="AI308" i="80" s="1"/>
  <c r="AQ308" i="80"/>
  <c r="BG308" i="80" s="1"/>
  <c r="BA308" i="80" s="1"/>
  <c r="BD308" i="80" s="1"/>
  <c r="AG413" i="80"/>
  <c r="AF413" i="80" s="1"/>
  <c r="AL413" i="80" s="1" a="1"/>
  <c r="AL413" i="80" s="1"/>
  <c r="AQ413" i="80"/>
  <c r="BG413" i="80" s="1"/>
  <c r="BA413" i="80" s="1"/>
  <c r="BD413" i="80" s="1"/>
  <c r="AQ506" i="80"/>
  <c r="BG506" i="80" s="1"/>
  <c r="BA506" i="80" s="1"/>
  <c r="BD506" i="80" s="1"/>
  <c r="AG506" i="80"/>
  <c r="AF506" i="80" s="1"/>
  <c r="AF229" i="80"/>
  <c r="BX229" i="80" s="1"/>
  <c r="AG319" i="79"/>
  <c r="AF319" i="79" s="1"/>
  <c r="AQ319" i="79"/>
  <c r="BG319" i="79" s="1"/>
  <c r="BA319" i="79" s="1"/>
  <c r="BD319" i="79" s="1"/>
  <c r="AY484" i="80"/>
  <c r="BE484" i="80" s="1"/>
  <c r="AF484" i="80"/>
  <c r="AJ484" i="80" s="1"/>
  <c r="AQ415" i="79"/>
  <c r="BG415" i="79" s="1"/>
  <c r="BA415" i="79" s="1"/>
  <c r="BD415" i="79" s="1"/>
  <c r="AG415" i="79"/>
  <c r="AF415" i="79" s="1"/>
  <c r="AL415" i="79" s="1" a="1"/>
  <c r="AL415" i="79" s="1"/>
  <c r="BB143" i="80"/>
  <c r="AO143" i="80"/>
  <c r="AI191" i="80"/>
  <c r="AJ191" i="80"/>
  <c r="AH191" i="80"/>
  <c r="BX191" i="80"/>
  <c r="AN191" i="80"/>
  <c r="AL191" i="80" a="1"/>
  <c r="AL191" i="80" s="1"/>
  <c r="AQ279" i="79"/>
  <c r="BG279" i="79" s="1"/>
  <c r="BA279" i="79" s="1"/>
  <c r="BD279" i="79" s="1"/>
  <c r="AO96" i="80"/>
  <c r="AG96" i="80" s="1"/>
  <c r="AG161" i="80"/>
  <c r="AQ161" i="80"/>
  <c r="BG161" i="80" s="1"/>
  <c r="BA161" i="80" s="1"/>
  <c r="BD161" i="80" s="1"/>
  <c r="AQ497" i="80"/>
  <c r="BG497" i="80" s="1"/>
  <c r="BA497" i="80" s="1"/>
  <c r="BD497" i="80" s="1"/>
  <c r="AG497" i="80"/>
  <c r="AY497" i="80" s="1"/>
  <c r="BE497" i="80" s="1"/>
  <c r="AQ446" i="80"/>
  <c r="BG446" i="80" s="1"/>
  <c r="BA446" i="80" s="1"/>
  <c r="BD446" i="80" s="1"/>
  <c r="AG446" i="80"/>
  <c r="AF446" i="80" s="1"/>
  <c r="AQ372" i="80"/>
  <c r="BG372" i="80" s="1"/>
  <c r="BA372" i="80" s="1"/>
  <c r="BD372" i="80" s="1"/>
  <c r="AG372" i="80"/>
  <c r="AQ400" i="80"/>
  <c r="BG400" i="80" s="1"/>
  <c r="BA400" i="80" s="1"/>
  <c r="BD400" i="80" s="1"/>
  <c r="AG400" i="80"/>
  <c r="AF400" i="80" s="1"/>
  <c r="AQ398" i="80"/>
  <c r="AR398" i="80" s="1"/>
  <c r="AP144" i="80"/>
  <c r="AO144" i="80"/>
  <c r="AM144" i="80"/>
  <c r="AU144" i="80" s="1"/>
  <c r="AW144" i="80" a="1"/>
  <c r="AW144" i="80" s="1"/>
  <c r="AV144" i="80"/>
  <c r="BD273" i="80"/>
  <c r="AP82" i="80"/>
  <c r="AJ287" i="80"/>
  <c r="AR310" i="80"/>
  <c r="AQ478" i="80"/>
  <c r="BG478" i="80" s="1"/>
  <c r="BA478" i="80" s="1"/>
  <c r="BD478" i="80" s="1"/>
  <c r="AG478" i="80"/>
  <c r="AF478" i="80" s="1"/>
  <c r="AG223" i="80"/>
  <c r="AF223" i="80" s="1"/>
  <c r="AQ223" i="80"/>
  <c r="BG223" i="80" s="1"/>
  <c r="BA223" i="80" s="1"/>
  <c r="BD223" i="80" s="1"/>
  <c r="BG70" i="80"/>
  <c r="BA70" i="80" s="1"/>
  <c r="BD70" i="80" s="1"/>
  <c r="AQ61" i="80"/>
  <c r="BG61" i="80" s="1"/>
  <c r="BA61" i="80" s="1"/>
  <c r="BD61" i="80" s="1"/>
  <c r="AG61" i="80"/>
  <c r="AF61" i="80" s="1"/>
  <c r="AQ514" i="79"/>
  <c r="AR514" i="79" s="1"/>
  <c r="AG207" i="80"/>
  <c r="AY207" i="80" s="1"/>
  <c r="BE207" i="80" s="1"/>
  <c r="AG70" i="80"/>
  <c r="AF70" i="80" s="1"/>
  <c r="AQ170" i="80"/>
  <c r="AR170" i="80" s="1"/>
  <c r="AQ231" i="80"/>
  <c r="BG231" i="80" s="1"/>
  <c r="BA231" i="80" s="1"/>
  <c r="BD231" i="80" s="1"/>
  <c r="AV35" i="80"/>
  <c r="AQ199" i="80"/>
  <c r="BG199" i="80" s="1"/>
  <c r="BA199" i="80" s="1"/>
  <c r="BD199" i="80" s="1"/>
  <c r="AQ283" i="80"/>
  <c r="BG283" i="80" s="1"/>
  <c r="BA283" i="80" s="1"/>
  <c r="BD283" i="80" s="1"/>
  <c r="AQ255" i="80"/>
  <c r="BG255" i="80" s="1"/>
  <c r="BA255" i="80" s="1"/>
  <c r="BD255" i="80" s="1"/>
  <c r="AG255" i="80"/>
  <c r="AG444" i="80"/>
  <c r="AY444" i="80" s="1"/>
  <c r="BE444" i="80" s="1"/>
  <c r="AY476" i="79"/>
  <c r="BE476" i="79" s="1"/>
  <c r="BG207" i="80"/>
  <c r="BA207" i="80" s="1"/>
  <c r="BD207" i="80" s="1"/>
  <c r="AF170" i="80"/>
  <c r="AI170" i="80" s="1"/>
  <c r="AZ144" i="80"/>
  <c r="AF179" i="80"/>
  <c r="AL179" i="80" s="1" a="1"/>
  <c r="AL179" i="80" s="1"/>
  <c r="BB35" i="80"/>
  <c r="AF283" i="80"/>
  <c r="AN283" i="80" s="1"/>
  <c r="AG248" i="80"/>
  <c r="AF248" i="80" s="1"/>
  <c r="AQ248" i="80"/>
  <c r="BG248" i="80" s="1"/>
  <c r="BA248" i="80" s="1"/>
  <c r="BD248" i="80" s="1"/>
  <c r="AP101" i="80"/>
  <c r="BB101" i="80"/>
  <c r="AQ535" i="80"/>
  <c r="BG535" i="80" s="1"/>
  <c r="BA535" i="80" s="1"/>
  <c r="BD535" i="80" s="1"/>
  <c r="AG535" i="80"/>
  <c r="AQ376" i="80"/>
  <c r="BG376" i="80" s="1"/>
  <c r="BA376" i="80" s="1"/>
  <c r="BD376" i="80" s="1"/>
  <c r="AG376" i="80"/>
  <c r="AG68" i="80"/>
  <c r="AF68" i="80" s="1"/>
  <c r="AQ68" i="80"/>
  <c r="BG68" i="80" s="1"/>
  <c r="BA68" i="80" s="1"/>
  <c r="BD68" i="80" s="1"/>
  <c r="AG469" i="80"/>
  <c r="AF469" i="80" s="1"/>
  <c r="AQ469" i="80"/>
  <c r="BG469" i="80" s="1"/>
  <c r="BA469" i="80" s="1"/>
  <c r="BD469" i="80" s="1"/>
  <c r="AQ367" i="80"/>
  <c r="BG367" i="80" s="1"/>
  <c r="BA367" i="80" s="1"/>
  <c r="BD367" i="80" s="1"/>
  <c r="AG273" i="80"/>
  <c r="AR273" i="80" s="1"/>
  <c r="AG396" i="80"/>
  <c r="AF396" i="80" s="1"/>
  <c r="AQ210" i="80"/>
  <c r="BG210" i="80" s="1"/>
  <c r="BA210" i="80" s="1"/>
  <c r="BD210" i="80" s="1"/>
  <c r="BB100" i="80"/>
  <c r="AW100" i="80" a="1"/>
  <c r="AW100" i="80" s="1"/>
  <c r="AO100" i="80"/>
  <c r="AP100" i="80"/>
  <c r="AV100" i="80"/>
  <c r="AP127" i="80"/>
  <c r="AH287" i="80"/>
  <c r="AQ444" i="80"/>
  <c r="BB144" i="80"/>
  <c r="AO127" i="80"/>
  <c r="BG127" i="80" s="1"/>
  <c r="BA127" i="80" s="1"/>
  <c r="BB127" i="80" s="1"/>
  <c r="AP84" i="80"/>
  <c r="BG69" i="80"/>
  <c r="BA69" i="80" s="1"/>
  <c r="BD69" i="80" s="1"/>
  <c r="AM35" i="80"/>
  <c r="AU35" i="80" s="1"/>
  <c r="AQ239" i="80"/>
  <c r="BG239" i="80" s="1"/>
  <c r="BA239" i="80" s="1"/>
  <c r="BD239" i="80" s="1"/>
  <c r="AG239" i="80"/>
  <c r="AF239" i="80" s="1"/>
  <c r="AM93" i="80"/>
  <c r="AU93" i="80" s="1"/>
  <c r="AW93" i="80" a="1"/>
  <c r="AW93" i="80" s="1"/>
  <c r="AV93" i="80"/>
  <c r="AG154" i="80"/>
  <c r="AF154" i="80" s="1"/>
  <c r="AN154" i="80" s="1"/>
  <c r="AG404" i="79"/>
  <c r="AF404" i="79" s="1"/>
  <c r="BX404" i="79" s="1"/>
  <c r="BG154" i="80"/>
  <c r="BA154" i="80" s="1"/>
  <c r="BD154" i="80" s="1"/>
  <c r="AI287" i="80"/>
  <c r="AQ489" i="80"/>
  <c r="BG489" i="80" s="1"/>
  <c r="BA489" i="80" s="1"/>
  <c r="BD489" i="80" s="1"/>
  <c r="AG489" i="80"/>
  <c r="AY489" i="80" s="1"/>
  <c r="BE489" i="80" s="1"/>
  <c r="AG138" i="80"/>
  <c r="AF138" i="80" s="1"/>
  <c r="AN287" i="80"/>
  <c r="AQ224" i="80"/>
  <c r="BG224" i="80" s="1"/>
  <c r="BA224" i="80" s="1"/>
  <c r="BD224" i="80" s="1"/>
  <c r="AG224" i="80"/>
  <c r="AQ318" i="80"/>
  <c r="BG318" i="80" s="1"/>
  <c r="BA318" i="80" s="1"/>
  <c r="BD318" i="80" s="1"/>
  <c r="AG318" i="80"/>
  <c r="AW35" i="80" a="1"/>
  <c r="AW35" i="80" s="1"/>
  <c r="AQ365" i="80"/>
  <c r="BG365" i="80" s="1"/>
  <c r="BA365" i="80" s="1"/>
  <c r="BD365" i="80" s="1"/>
  <c r="AF310" i="80"/>
  <c r="AJ310" i="80" s="1"/>
  <c r="AY287" i="80"/>
  <c r="BE287" i="80" s="1"/>
  <c r="AM100" i="80"/>
  <c r="AU100" i="80" s="1"/>
  <c r="AG87" i="80"/>
  <c r="P47" i="80"/>
  <c r="P53" i="80"/>
  <c r="P40" i="80"/>
  <c r="P14" i="80"/>
  <c r="P34" i="80"/>
  <c r="P33" i="80"/>
  <c r="P55" i="80"/>
  <c r="P49" i="80"/>
  <c r="P22" i="80"/>
  <c r="P17" i="80"/>
  <c r="P15" i="80"/>
  <c r="P30" i="80"/>
  <c r="P31" i="80"/>
  <c r="P41" i="80"/>
  <c r="P58" i="80"/>
  <c r="AQ56" i="80"/>
  <c r="BG56" i="80" s="1"/>
  <c r="BA56" i="80" s="1"/>
  <c r="BD56" i="80" s="1"/>
  <c r="AG56" i="80"/>
  <c r="AL212" i="80" a="1"/>
  <c r="AL212" i="80" s="1"/>
  <c r="AJ212" i="80"/>
  <c r="AI212" i="80"/>
  <c r="AH212" i="80"/>
  <c r="BX212" i="80"/>
  <c r="AN212" i="80"/>
  <c r="AQ78" i="80"/>
  <c r="AG78" i="80"/>
  <c r="BG78" i="80"/>
  <c r="BA78" i="80" s="1"/>
  <c r="BB78" i="80" s="1"/>
  <c r="BG122" i="80"/>
  <c r="BA122" i="80" s="1"/>
  <c r="BB122" i="80" s="1"/>
  <c r="AQ122" i="80"/>
  <c r="AJ215" i="80"/>
  <c r="BX215" i="80"/>
  <c r="AN215" i="80"/>
  <c r="AI215" i="80"/>
  <c r="AL215" i="80" a="1"/>
  <c r="AL215" i="80" s="1"/>
  <c r="BH215" i="80" s="1"/>
  <c r="AH215" i="80"/>
  <c r="AN249" i="80"/>
  <c r="AI249" i="80"/>
  <c r="AH249" i="80"/>
  <c r="BX249" i="80"/>
  <c r="AL249" i="80" a="1"/>
  <c r="AL249" i="80" s="1"/>
  <c r="BH249" i="80" s="1"/>
  <c r="AJ249" i="80"/>
  <c r="AI505" i="80"/>
  <c r="AH505" i="80"/>
  <c r="BX505" i="80"/>
  <c r="AL505" i="80" a="1"/>
  <c r="AL505" i="80" s="1"/>
  <c r="AJ505" i="80"/>
  <c r="AN505" i="80"/>
  <c r="BX339" i="80"/>
  <c r="AL339" i="80" a="1"/>
  <c r="AL339" i="80" s="1"/>
  <c r="BH339" i="80" s="1"/>
  <c r="AI339" i="80"/>
  <c r="AH339" i="80"/>
  <c r="AJ339" i="80"/>
  <c r="AN339" i="80"/>
  <c r="AH398" i="80"/>
  <c r="AN398" i="80"/>
  <c r="BX398" i="80"/>
  <c r="AJ398" i="80"/>
  <c r="AI398" i="80"/>
  <c r="AL398" i="80" a="1"/>
  <c r="AL398" i="80" s="1"/>
  <c r="BX251" i="80"/>
  <c r="AL251" i="80" a="1"/>
  <c r="AL251" i="80" s="1"/>
  <c r="BH251" i="80" s="1"/>
  <c r="AJ251" i="80"/>
  <c r="AI251" i="80"/>
  <c r="AN251" i="80"/>
  <c r="AH251" i="80"/>
  <c r="BG71" i="80"/>
  <c r="BA71" i="80" s="1"/>
  <c r="AG71" i="80"/>
  <c r="AQ71" i="80"/>
  <c r="AL189" i="80" a="1"/>
  <c r="AL189" i="80" s="1"/>
  <c r="AJ189" i="80"/>
  <c r="AI189" i="80"/>
  <c r="BX189" i="80"/>
  <c r="AH189" i="80"/>
  <c r="AN189" i="80"/>
  <c r="AY41" i="80"/>
  <c r="BE41" i="80" s="1"/>
  <c r="BB27" i="80"/>
  <c r="BG125" i="80"/>
  <c r="BA125" i="80" s="1"/>
  <c r="AQ125" i="80"/>
  <c r="BX186" i="80"/>
  <c r="AL186" i="80" a="1"/>
  <c r="AL186" i="80" s="1"/>
  <c r="AN186" i="80"/>
  <c r="AI186" i="80"/>
  <c r="AH186" i="80"/>
  <c r="AJ186" i="80"/>
  <c r="AG448" i="80"/>
  <c r="AF448" i="80" s="1"/>
  <c r="AQ448" i="80"/>
  <c r="BG448" i="80" s="1"/>
  <c r="BA448" i="80" s="1"/>
  <c r="BD448" i="80" s="1"/>
  <c r="AQ294" i="80"/>
  <c r="BG294" i="80" s="1"/>
  <c r="BA294" i="80" s="1"/>
  <c r="BD294" i="80" s="1"/>
  <c r="AG294" i="80"/>
  <c r="AF294" i="80" s="1"/>
  <c r="BG80" i="80"/>
  <c r="BA80" i="80" s="1"/>
  <c r="BB80" i="80" s="1"/>
  <c r="AG80" i="80"/>
  <c r="AF80" i="80" s="1"/>
  <c r="AQ80" i="80"/>
  <c r="AQ244" i="80"/>
  <c r="BG244" i="80" s="1"/>
  <c r="BA244" i="80" s="1"/>
  <c r="BD244" i="80" s="1"/>
  <c r="AG244" i="80"/>
  <c r="AF244" i="80" s="1"/>
  <c r="AQ438" i="80"/>
  <c r="BG438" i="80" s="1"/>
  <c r="BA438" i="80" s="1"/>
  <c r="BD438" i="80" s="1"/>
  <c r="AG438" i="80"/>
  <c r="AG475" i="80"/>
  <c r="AF475" i="80" s="1"/>
  <c r="AQ475" i="80"/>
  <c r="BG475" i="80" s="1"/>
  <c r="BA475" i="80" s="1"/>
  <c r="BD475" i="80" s="1"/>
  <c r="AQ533" i="80"/>
  <c r="BG533" i="80" s="1"/>
  <c r="BA533" i="80" s="1"/>
  <c r="BD533" i="80" s="1"/>
  <c r="AG533" i="80"/>
  <c r="AF533" i="80" s="1"/>
  <c r="AQ549" i="80"/>
  <c r="BG549" i="80" s="1"/>
  <c r="BA549" i="80" s="1"/>
  <c r="BD549" i="80" s="1"/>
  <c r="AG549" i="80"/>
  <c r="AG228" i="80"/>
  <c r="AF228" i="80" s="1"/>
  <c r="AQ228" i="80"/>
  <c r="BG228" i="80" s="1"/>
  <c r="BA228" i="80" s="1"/>
  <c r="BD228" i="80" s="1"/>
  <c r="AL416" i="80" a="1"/>
  <c r="AL416" i="80" s="1"/>
  <c r="BH416" i="80" s="1"/>
  <c r="AJ416" i="80"/>
  <c r="AH416" i="80"/>
  <c r="AN416" i="80"/>
  <c r="BX416" i="80"/>
  <c r="AI416" i="80"/>
  <c r="AQ89" i="80"/>
  <c r="BG89" i="80" s="1"/>
  <c r="BA89" i="80" s="1"/>
  <c r="BD89" i="80" s="1"/>
  <c r="AG89" i="80"/>
  <c r="AF89" i="80" s="1"/>
  <c r="AG519" i="80"/>
  <c r="AF519" i="80" s="1"/>
  <c r="AQ519" i="80"/>
  <c r="BG519" i="80" s="1"/>
  <c r="BA519" i="80" s="1"/>
  <c r="BD519" i="80" s="1"/>
  <c r="AJ480" i="80"/>
  <c r="AI480" i="80"/>
  <c r="AL480" i="80" a="1"/>
  <c r="AL480" i="80" s="1"/>
  <c r="BH480" i="80" s="1"/>
  <c r="BX480" i="80"/>
  <c r="AH480" i="80"/>
  <c r="AN480" i="80"/>
  <c r="AO133" i="80"/>
  <c r="AP133" i="80"/>
  <c r="AY179" i="80"/>
  <c r="BE179" i="80" s="1"/>
  <c r="AG136" i="80"/>
  <c r="AQ136" i="80"/>
  <c r="BG136" i="80" s="1"/>
  <c r="BA136" i="80" s="1"/>
  <c r="BD136" i="80" s="1"/>
  <c r="AG371" i="80"/>
  <c r="AF371" i="80" s="1"/>
  <c r="AQ371" i="80"/>
  <c r="BG371" i="80" s="1"/>
  <c r="BA371" i="80" s="1"/>
  <c r="BD371" i="80" s="1"/>
  <c r="AG171" i="80"/>
  <c r="AF171" i="80" s="1"/>
  <c r="AQ171" i="80"/>
  <c r="BG171" i="80" s="1"/>
  <c r="BA171" i="80" s="1"/>
  <c r="BD171" i="80" s="1"/>
  <c r="AQ110" i="80"/>
  <c r="BG110" i="80" s="1"/>
  <c r="BA110" i="80" s="1"/>
  <c r="BD110" i="80" s="1"/>
  <c r="AG110" i="80"/>
  <c r="AG510" i="80"/>
  <c r="AF510" i="80" s="1"/>
  <c r="AQ510" i="80"/>
  <c r="BG510" i="80" s="1"/>
  <c r="BA510" i="80" s="1"/>
  <c r="BD510" i="80" s="1"/>
  <c r="AQ455" i="80"/>
  <c r="BG455" i="80" s="1"/>
  <c r="BA455" i="80" s="1"/>
  <c r="BD455" i="80" s="1"/>
  <c r="AG455" i="80"/>
  <c r="AF455" i="80" s="1"/>
  <c r="AY480" i="80"/>
  <c r="BE480" i="80" s="1"/>
  <c r="AR480" i="80"/>
  <c r="AG300" i="80"/>
  <c r="AQ300" i="80"/>
  <c r="BG300" i="80" s="1"/>
  <c r="BA300" i="80" s="1"/>
  <c r="BD300" i="80" s="1"/>
  <c r="AG236" i="79"/>
  <c r="AF236" i="79" s="1"/>
  <c r="AY537" i="80"/>
  <c r="BE537" i="80" s="1"/>
  <c r="AR537" i="80"/>
  <c r="AY548" i="80"/>
  <c r="BE548" i="80" s="1"/>
  <c r="AQ257" i="80"/>
  <c r="BG257" i="80" s="1"/>
  <c r="BA257" i="80" s="1"/>
  <c r="BD257" i="80" s="1"/>
  <c r="AG257" i="80"/>
  <c r="AQ347" i="80"/>
  <c r="BG347" i="80" s="1"/>
  <c r="BA347" i="80" s="1"/>
  <c r="BD347" i="80" s="1"/>
  <c r="AG347" i="80"/>
  <c r="AF347" i="80" s="1"/>
  <c r="AG91" i="80"/>
  <c r="AF91" i="80" s="1"/>
  <c r="AQ91" i="80"/>
  <c r="BG91" i="80" s="1"/>
  <c r="BA91" i="80" s="1"/>
  <c r="BD91" i="80" s="1"/>
  <c r="AZ53" i="80"/>
  <c r="AO53" i="80"/>
  <c r="AM53" i="80"/>
  <c r="AU53" i="80" s="1"/>
  <c r="AP53" i="80"/>
  <c r="AW53" i="80" a="1"/>
  <c r="AW53" i="80" s="1"/>
  <c r="AV53" i="80"/>
  <c r="BB53" i="80"/>
  <c r="AY502" i="80"/>
  <c r="BE502" i="80" s="1"/>
  <c r="AQ160" i="80"/>
  <c r="BG160" i="80" s="1"/>
  <c r="BA160" i="80" s="1"/>
  <c r="BD160" i="80" s="1"/>
  <c r="AG160" i="80"/>
  <c r="AF160" i="80" s="1"/>
  <c r="AQ88" i="80"/>
  <c r="BG88" i="80" s="1"/>
  <c r="BA88" i="80" s="1"/>
  <c r="BD88" i="80" s="1"/>
  <c r="AG88" i="80"/>
  <c r="AF88" i="80" s="1"/>
  <c r="AQ403" i="80"/>
  <c r="BG403" i="80" s="1"/>
  <c r="BA403" i="80" s="1"/>
  <c r="BD403" i="80" s="1"/>
  <c r="AG403" i="80"/>
  <c r="AQ421" i="80"/>
  <c r="BG421" i="80" s="1"/>
  <c r="BA421" i="80" s="1"/>
  <c r="BD421" i="80" s="1"/>
  <c r="AG421" i="80"/>
  <c r="AF421" i="80" s="1"/>
  <c r="AH211" i="80"/>
  <c r="AL211" i="80" a="1"/>
  <c r="AL211" i="80" s="1"/>
  <c r="AI211" i="80"/>
  <c r="AJ211" i="80"/>
  <c r="BX211" i="80"/>
  <c r="AN211" i="80"/>
  <c r="AY529" i="80"/>
  <c r="BE529" i="80" s="1"/>
  <c r="AR529" i="80"/>
  <c r="AG459" i="80"/>
  <c r="AF459" i="80" s="1"/>
  <c r="AQ459" i="80"/>
  <c r="BG459" i="80" s="1"/>
  <c r="BA459" i="80" s="1"/>
  <c r="BD459" i="80" s="1"/>
  <c r="AG317" i="80"/>
  <c r="AF317" i="80" s="1"/>
  <c r="AQ317" i="80"/>
  <c r="BG317" i="80" s="1"/>
  <c r="BA317" i="80" s="1"/>
  <c r="BD317" i="80" s="1"/>
  <c r="AG256" i="79"/>
  <c r="AR256" i="79" s="1"/>
  <c r="AG457" i="80"/>
  <c r="AF457" i="80" s="1"/>
  <c r="AQ457" i="80"/>
  <c r="BG457" i="80" s="1"/>
  <c r="BA457" i="80" s="1"/>
  <c r="BD457" i="80" s="1"/>
  <c r="AQ384" i="80"/>
  <c r="BG384" i="80" s="1"/>
  <c r="BA384" i="80" s="1"/>
  <c r="BD384" i="80" s="1"/>
  <c r="AG384" i="80"/>
  <c r="AQ399" i="80"/>
  <c r="BG399" i="80" s="1"/>
  <c r="BA399" i="80" s="1"/>
  <c r="BD399" i="80" s="1"/>
  <c r="AG399" i="80"/>
  <c r="AF399" i="80" s="1"/>
  <c r="AI219" i="80"/>
  <c r="AH219" i="80"/>
  <c r="AJ219" i="80"/>
  <c r="AN219" i="80"/>
  <c r="AL219" i="80" a="1"/>
  <c r="AL219" i="80" s="1"/>
  <c r="BH219" i="80" s="1"/>
  <c r="BX219" i="80"/>
  <c r="AQ36" i="80"/>
  <c r="BG36" i="80" s="1"/>
  <c r="BA36" i="80" s="1"/>
  <c r="BD36" i="80" s="1"/>
  <c r="AG36" i="80"/>
  <c r="AF36" i="80" s="1"/>
  <c r="AY211" i="80"/>
  <c r="BE211" i="80" s="1"/>
  <c r="AJ203" i="80"/>
  <c r="AI203" i="80"/>
  <c r="BX203" i="80"/>
  <c r="AH203" i="80"/>
  <c r="AN203" i="80"/>
  <c r="AL203" i="80" a="1"/>
  <c r="AL203" i="80" s="1"/>
  <c r="BH203" i="80" s="1"/>
  <c r="AY151" i="80"/>
  <c r="BE151" i="80" s="1"/>
  <c r="AQ167" i="80"/>
  <c r="BG167" i="80" s="1"/>
  <c r="BA167" i="80" s="1"/>
  <c r="BD167" i="80" s="1"/>
  <c r="AG167" i="80"/>
  <c r="AF167" i="80" s="1"/>
  <c r="M153" i="80"/>
  <c r="M156" i="80"/>
  <c r="M147" i="80"/>
  <c r="M111" i="80"/>
  <c r="M142" i="80"/>
  <c r="M138" i="80"/>
  <c r="M127" i="80"/>
  <c r="M155" i="80"/>
  <c r="M132" i="80"/>
  <c r="AG132" i="80" s="1"/>
  <c r="M137" i="80"/>
  <c r="M123" i="80"/>
  <c r="M148" i="80"/>
  <c r="M117" i="80"/>
  <c r="M149" i="80"/>
  <c r="M143" i="80"/>
  <c r="M145" i="80"/>
  <c r="M125" i="80"/>
  <c r="AG125" i="80" s="1"/>
  <c r="M151" i="80"/>
  <c r="M134" i="80"/>
  <c r="M121" i="80"/>
  <c r="M115" i="80"/>
  <c r="M130" i="80"/>
  <c r="M119" i="80"/>
  <c r="M112" i="80"/>
  <c r="M110" i="80"/>
  <c r="M136" i="80"/>
  <c r="M122" i="80"/>
  <c r="AG122" i="80" s="1"/>
  <c r="M144" i="80"/>
  <c r="M129" i="80"/>
  <c r="M154" i="80"/>
  <c r="M139" i="80"/>
  <c r="M124" i="80"/>
  <c r="AG124" i="80" s="1"/>
  <c r="M114" i="80"/>
  <c r="M150" i="80"/>
  <c r="M120" i="80"/>
  <c r="AG120" i="80" s="1"/>
  <c r="AF120" i="80" s="1"/>
  <c r="M131" i="80"/>
  <c r="M126" i="80"/>
  <c r="AG126" i="80" s="1"/>
  <c r="AF126" i="80" s="1"/>
  <c r="M141" i="80"/>
  <c r="M140" i="80"/>
  <c r="M133" i="80"/>
  <c r="M152" i="80"/>
  <c r="M146" i="80"/>
  <c r="M113" i="80"/>
  <c r="M135" i="80"/>
  <c r="M118" i="80"/>
  <c r="M128" i="80"/>
  <c r="AG128" i="80" s="1"/>
  <c r="AF128" i="80" s="1"/>
  <c r="AG305" i="80"/>
  <c r="AF305" i="80" s="1"/>
  <c r="AQ305" i="80"/>
  <c r="BG305" i="80" s="1"/>
  <c r="BA305" i="80" s="1"/>
  <c r="BD305" i="80" s="1"/>
  <c r="AF328" i="79"/>
  <c r="AN328" i="79" s="1"/>
  <c r="AQ229" i="79"/>
  <c r="AJ311" i="80"/>
  <c r="AI311" i="80"/>
  <c r="AL311" i="80" a="1"/>
  <c r="AL311" i="80" s="1"/>
  <c r="BH311" i="80" s="1"/>
  <c r="AH311" i="80"/>
  <c r="BX311" i="80"/>
  <c r="AN311" i="80"/>
  <c r="AQ196" i="80"/>
  <c r="BG196" i="80" s="1"/>
  <c r="BA196" i="80" s="1"/>
  <c r="BD196" i="80" s="1"/>
  <c r="AG196" i="80"/>
  <c r="AF196" i="80" s="1"/>
  <c r="AG62" i="80"/>
  <c r="AF62" i="80" s="1"/>
  <c r="AQ62" i="80"/>
  <c r="BG62" i="80" s="1"/>
  <c r="BA62" i="80" s="1"/>
  <c r="BD62" i="80" s="1"/>
  <c r="AG152" i="80"/>
  <c r="AF152" i="80" s="1"/>
  <c r="AQ152" i="80"/>
  <c r="BG152" i="80" s="1"/>
  <c r="BA152" i="80" s="1"/>
  <c r="BD152" i="80" s="1"/>
  <c r="AQ241" i="80"/>
  <c r="BG241" i="80" s="1"/>
  <c r="BA241" i="80" s="1"/>
  <c r="BD241" i="80" s="1"/>
  <c r="AG241" i="80"/>
  <c r="AF241" i="80" s="1"/>
  <c r="AG150" i="80"/>
  <c r="AF150" i="80" s="1"/>
  <c r="AQ150" i="80"/>
  <c r="BG150" i="80" s="1"/>
  <c r="BA150" i="80" s="1"/>
  <c r="BD150" i="80" s="1"/>
  <c r="AQ41" i="79"/>
  <c r="AQ328" i="79"/>
  <c r="BG328" i="79" s="1"/>
  <c r="BA328" i="79" s="1"/>
  <c r="BD328" i="79" s="1"/>
  <c r="AG364" i="80"/>
  <c r="AQ364" i="80"/>
  <c r="BG364" i="80" s="1"/>
  <c r="BA364" i="80" s="1"/>
  <c r="BD364" i="80" s="1"/>
  <c r="AQ338" i="80"/>
  <c r="BG338" i="80" s="1"/>
  <c r="BA338" i="80" s="1"/>
  <c r="BD338" i="80" s="1"/>
  <c r="AG338" i="80"/>
  <c r="AF338" i="80" s="1"/>
  <c r="AQ142" i="80"/>
  <c r="BG142" i="80" s="1"/>
  <c r="BA142" i="80" s="1"/>
  <c r="BD142" i="80" s="1"/>
  <c r="AG142" i="80"/>
  <c r="AV146" i="80"/>
  <c r="AM146" i="80"/>
  <c r="AU146" i="80" s="1"/>
  <c r="AW146" i="80" a="1"/>
  <c r="AW146" i="80" s="1"/>
  <c r="AZ146" i="80"/>
  <c r="AO146" i="80"/>
  <c r="BB146" i="80"/>
  <c r="AP146" i="80"/>
  <c r="BG466" i="80"/>
  <c r="BA466" i="80" s="1"/>
  <c r="BD466" i="80" s="1"/>
  <c r="AQ418" i="80"/>
  <c r="BG418" i="80" s="1"/>
  <c r="BA418" i="80" s="1"/>
  <c r="BD418" i="80" s="1"/>
  <c r="AG418" i="80"/>
  <c r="AF418" i="80" s="1"/>
  <c r="AQ128" i="80"/>
  <c r="BG128" i="80"/>
  <c r="BA128" i="80" s="1"/>
  <c r="BB128" i="80" s="1"/>
  <c r="AG450" i="80"/>
  <c r="AQ450" i="80"/>
  <c r="BG450" i="80" s="1"/>
  <c r="BA450" i="80" s="1"/>
  <c r="BD450" i="80" s="1"/>
  <c r="AQ307" i="80"/>
  <c r="BG307" i="80" s="1"/>
  <c r="BA307" i="80" s="1"/>
  <c r="BD307" i="80" s="1"/>
  <c r="AG307" i="80"/>
  <c r="AG246" i="80"/>
  <c r="AQ246" i="80"/>
  <c r="BG246" i="80" s="1"/>
  <c r="BA246" i="80" s="1"/>
  <c r="BD246" i="80" s="1"/>
  <c r="AQ180" i="80"/>
  <c r="BG180" i="80" s="1"/>
  <c r="BA180" i="80" s="1"/>
  <c r="BD180" i="80" s="1"/>
  <c r="AG180" i="80"/>
  <c r="AF180" i="80" s="1"/>
  <c r="AG476" i="80"/>
  <c r="AQ476" i="80"/>
  <c r="BG476" i="80" s="1"/>
  <c r="BA476" i="80" s="1"/>
  <c r="BD476" i="80" s="1"/>
  <c r="AY119" i="80"/>
  <c r="BE119" i="80" s="1"/>
  <c r="AF119" i="80"/>
  <c r="AR348" i="80"/>
  <c r="AY348" i="80"/>
  <c r="BE348" i="80" s="1"/>
  <c r="AQ223" i="79"/>
  <c r="BG223" i="79" s="1"/>
  <c r="BA223" i="79" s="1"/>
  <c r="BD223" i="79" s="1"/>
  <c r="AG536" i="80"/>
  <c r="AF536" i="80" s="1"/>
  <c r="AQ536" i="80"/>
  <c r="BG536" i="80" s="1"/>
  <c r="BA536" i="80" s="1"/>
  <c r="BD536" i="80" s="1"/>
  <c r="AY534" i="80"/>
  <c r="BE534" i="80" s="1"/>
  <c r="AY500" i="80"/>
  <c r="BE500" i="80" s="1"/>
  <c r="AY439" i="80"/>
  <c r="BE439" i="80" s="1"/>
  <c r="AQ495" i="80"/>
  <c r="BG495" i="80" s="1"/>
  <c r="BA495" i="80" s="1"/>
  <c r="BD495" i="80" s="1"/>
  <c r="AG495" i="80"/>
  <c r="AF495" i="80" s="1"/>
  <c r="AG486" i="80"/>
  <c r="AF486" i="80" s="1"/>
  <c r="AQ486" i="80"/>
  <c r="BG486" i="80" s="1"/>
  <c r="BA486" i="80" s="1"/>
  <c r="BD486" i="80" s="1"/>
  <c r="AQ329" i="80"/>
  <c r="BG329" i="80" s="1"/>
  <c r="BA329" i="80" s="1"/>
  <c r="BD329" i="80" s="1"/>
  <c r="AG329" i="80"/>
  <c r="AF329" i="80" s="1"/>
  <c r="AQ250" i="80"/>
  <c r="BG250" i="80" s="1"/>
  <c r="BA250" i="80" s="1"/>
  <c r="BD250" i="80" s="1"/>
  <c r="AG250" i="80"/>
  <c r="AF250" i="80" s="1"/>
  <c r="AG442" i="80"/>
  <c r="AQ442" i="80"/>
  <c r="BG442" i="80" s="1"/>
  <c r="BA442" i="80" s="1"/>
  <c r="BD442" i="80" s="1"/>
  <c r="AG259" i="80"/>
  <c r="AF259" i="80" s="1"/>
  <c r="AQ259" i="80"/>
  <c r="BG259" i="80" s="1"/>
  <c r="BA259" i="80" s="1"/>
  <c r="BD259" i="80" s="1"/>
  <c r="AH332" i="80"/>
  <c r="BX332" i="80"/>
  <c r="AJ332" i="80"/>
  <c r="AI332" i="80"/>
  <c r="AN332" i="80"/>
  <c r="AL332" i="80" a="1"/>
  <c r="AL332" i="80" s="1"/>
  <c r="BH332" i="80" s="1"/>
  <c r="AQ527" i="80"/>
  <c r="BG527" i="80" s="1"/>
  <c r="BA527" i="80" s="1"/>
  <c r="BD527" i="80" s="1"/>
  <c r="AG527" i="80"/>
  <c r="AF527" i="80" s="1"/>
  <c r="AR491" i="80"/>
  <c r="AY491" i="80"/>
  <c r="BE491" i="80" s="1"/>
  <c r="AY140" i="80"/>
  <c r="BE140" i="80" s="1"/>
  <c r="AR140" i="80"/>
  <c r="AF140" i="80"/>
  <c r="AG174" i="80"/>
  <c r="AF174" i="80" s="1"/>
  <c r="AQ174" i="80"/>
  <c r="BG174" i="80" s="1"/>
  <c r="BA174" i="80" s="1"/>
  <c r="BD174" i="80" s="1"/>
  <c r="AG327" i="80"/>
  <c r="AF327" i="80" s="1"/>
  <c r="AQ327" i="80"/>
  <c r="BG327" i="80" s="1"/>
  <c r="BA327" i="80" s="1"/>
  <c r="BD327" i="80" s="1"/>
  <c r="AQ40" i="80"/>
  <c r="BG40" i="80" s="1"/>
  <c r="BA40" i="80" s="1"/>
  <c r="BD40" i="80" s="1"/>
  <c r="AG40" i="80"/>
  <c r="AF40" i="80" s="1"/>
  <c r="AG266" i="80"/>
  <c r="AF266" i="80" s="1"/>
  <c r="AQ266" i="80"/>
  <c r="BG266" i="80" s="1"/>
  <c r="BA266" i="80" s="1"/>
  <c r="BD266" i="80" s="1"/>
  <c r="AG200" i="80"/>
  <c r="AF200" i="80" s="1"/>
  <c r="AQ200" i="80"/>
  <c r="BG200" i="80" s="1"/>
  <c r="BA200" i="80" s="1"/>
  <c r="BD200" i="80" s="1"/>
  <c r="AG282" i="80"/>
  <c r="AF282" i="80" s="1"/>
  <c r="AQ282" i="80"/>
  <c r="BG282" i="80" s="1"/>
  <c r="BA282" i="80" s="1"/>
  <c r="BD282" i="80" s="1"/>
  <c r="AY67" i="80"/>
  <c r="BE67" i="80" s="1"/>
  <c r="AG237" i="80"/>
  <c r="AF237" i="80" s="1"/>
  <c r="AQ237" i="80"/>
  <c r="BG237" i="80" s="1"/>
  <c r="BA237" i="80" s="1"/>
  <c r="BD237" i="80" s="1"/>
  <c r="AR472" i="80"/>
  <c r="AY472" i="80"/>
  <c r="BE472" i="80" s="1"/>
  <c r="AQ322" i="80"/>
  <c r="BG322" i="80" s="1"/>
  <c r="BA322" i="80" s="1"/>
  <c r="BD322" i="80" s="1"/>
  <c r="AG322" i="80"/>
  <c r="AG425" i="80"/>
  <c r="AQ425" i="80"/>
  <c r="BG425" i="80" s="1"/>
  <c r="BA425" i="80" s="1"/>
  <c r="BD425" i="80" s="1"/>
  <c r="AY199" i="80"/>
  <c r="BE199" i="80" s="1"/>
  <c r="AH485" i="80"/>
  <c r="AL485" i="80" a="1"/>
  <c r="AL485" i="80" s="1"/>
  <c r="BX485" i="80"/>
  <c r="AJ485" i="80"/>
  <c r="AI485" i="80"/>
  <c r="AN485" i="80"/>
  <c r="AQ116" i="80"/>
  <c r="AF116" i="80"/>
  <c r="AY283" i="80"/>
  <c r="BE283" i="80" s="1"/>
  <c r="AR235" i="80"/>
  <c r="AY235" i="80"/>
  <c r="BE235" i="80" s="1"/>
  <c r="AN37" i="80"/>
  <c r="AI37" i="80"/>
  <c r="BX37" i="80"/>
  <c r="AH37" i="80"/>
  <c r="AL37" i="80" a="1"/>
  <c r="AL37" i="80" s="1"/>
  <c r="BH37" i="80" s="1"/>
  <c r="AJ37" i="80"/>
  <c r="AG402" i="80"/>
  <c r="AF402" i="80" s="1"/>
  <c r="AQ402" i="80"/>
  <c r="BG402" i="80" s="1"/>
  <c r="BA402" i="80" s="1"/>
  <c r="BD402" i="80" s="1"/>
  <c r="AG85" i="80"/>
  <c r="AQ85" i="80"/>
  <c r="BG85" i="80" s="1"/>
  <c r="BA85" i="80" s="1"/>
  <c r="BD85" i="80" s="1"/>
  <c r="AG137" i="80"/>
  <c r="AF137" i="80" s="1"/>
  <c r="AQ137" i="80"/>
  <c r="BG137" i="80" s="1"/>
  <c r="BA137" i="80" s="1"/>
  <c r="BD137" i="80" s="1"/>
  <c r="AQ201" i="80"/>
  <c r="BG201" i="80" s="1"/>
  <c r="BA201" i="80" s="1"/>
  <c r="BD201" i="80" s="1"/>
  <c r="AG201" i="80"/>
  <c r="AF201" i="80" s="1"/>
  <c r="AN205" i="80"/>
  <c r="AL205" i="80" a="1"/>
  <c r="AL205" i="80" s="1"/>
  <c r="BH205" i="80" s="1"/>
  <c r="AJ205" i="80"/>
  <c r="AH205" i="80"/>
  <c r="AI205" i="80"/>
  <c r="BX205" i="80"/>
  <c r="AY233" i="80"/>
  <c r="BE233" i="80" s="1"/>
  <c r="AQ217" i="80"/>
  <c r="BG217" i="80" s="1"/>
  <c r="BA217" i="80" s="1"/>
  <c r="BD217" i="80" s="1"/>
  <c r="AG217" i="80"/>
  <c r="AF217" i="80" s="1"/>
  <c r="AQ493" i="80"/>
  <c r="BG493" i="80" s="1"/>
  <c r="BA493" i="80" s="1"/>
  <c r="BD493" i="80" s="1"/>
  <c r="AG493" i="80"/>
  <c r="AF493" i="80" s="1"/>
  <c r="AH375" i="80"/>
  <c r="AJ375" i="80"/>
  <c r="BX375" i="80"/>
  <c r="AI375" i="80"/>
  <c r="AL375" i="80" a="1"/>
  <c r="AL375" i="80" s="1"/>
  <c r="AN375" i="80"/>
  <c r="AQ362" i="80"/>
  <c r="BG362" i="80" s="1"/>
  <c r="BA362" i="80" s="1"/>
  <c r="BD362" i="80" s="1"/>
  <c r="AG362" i="80"/>
  <c r="AQ409" i="80"/>
  <c r="BG409" i="80" s="1"/>
  <c r="BA409" i="80" s="1"/>
  <c r="BD409" i="80" s="1"/>
  <c r="AG409" i="80"/>
  <c r="AF409" i="80" s="1"/>
  <c r="BB25" i="80"/>
  <c r="BX352" i="80"/>
  <c r="AL352" i="80" a="1"/>
  <c r="AL352" i="80" s="1"/>
  <c r="AI352" i="80"/>
  <c r="AH352" i="80"/>
  <c r="AN352" i="80"/>
  <c r="AJ352" i="80"/>
  <c r="AQ323" i="80"/>
  <c r="BG323" i="80" s="1"/>
  <c r="BA323" i="80" s="1"/>
  <c r="BD323" i="80" s="1"/>
  <c r="AG323" i="80"/>
  <c r="AF323" i="80" s="1"/>
  <c r="AZ95" i="80"/>
  <c r="AO95" i="80"/>
  <c r="AM95" i="80"/>
  <c r="AU95" i="80" s="1"/>
  <c r="BB95" i="80"/>
  <c r="AP95" i="80"/>
  <c r="AW95" i="80" a="1"/>
  <c r="AW95" i="80" s="1"/>
  <c r="AV95" i="80"/>
  <c r="AQ126" i="80"/>
  <c r="BG126" i="80"/>
  <c r="BA126" i="80" s="1"/>
  <c r="BB126" i="80" s="1"/>
  <c r="AQ357" i="80"/>
  <c r="BG357" i="80" s="1"/>
  <c r="BA357" i="80" s="1"/>
  <c r="BD357" i="80" s="1"/>
  <c r="AG357" i="80"/>
  <c r="AF357" i="80" s="1"/>
  <c r="AY452" i="80"/>
  <c r="BE452" i="80" s="1"/>
  <c r="AF452" i="80"/>
  <c r="AQ451" i="80"/>
  <c r="BG451" i="80" s="1"/>
  <c r="BA451" i="80" s="1"/>
  <c r="BD451" i="80" s="1"/>
  <c r="AG451" i="80"/>
  <c r="AF451" i="80" s="1"/>
  <c r="AG333" i="80"/>
  <c r="AF333" i="80" s="1"/>
  <c r="AQ333" i="80"/>
  <c r="BG333" i="80" s="1"/>
  <c r="BA333" i="80" s="1"/>
  <c r="BD333" i="80" s="1"/>
  <c r="AQ393" i="80"/>
  <c r="BG393" i="80" s="1"/>
  <c r="BA393" i="80" s="1"/>
  <c r="BD393" i="80" s="1"/>
  <c r="AG393" i="80"/>
  <c r="AF393" i="80" s="1"/>
  <c r="AY165" i="80"/>
  <c r="BE165" i="80" s="1"/>
  <c r="AQ111" i="80"/>
  <c r="BG111" i="80" s="1"/>
  <c r="BA111" i="80" s="1"/>
  <c r="BD111" i="80" s="1"/>
  <c r="AG111" i="80"/>
  <c r="AQ288" i="80"/>
  <c r="BG288" i="80" s="1"/>
  <c r="BA288" i="80" s="1"/>
  <c r="BD288" i="80" s="1"/>
  <c r="AG288" i="80"/>
  <c r="AQ487" i="80"/>
  <c r="BG487" i="80" s="1"/>
  <c r="BA487" i="80" s="1"/>
  <c r="BD487" i="80" s="1"/>
  <c r="AG487" i="80"/>
  <c r="AN295" i="80"/>
  <c r="AH295" i="80"/>
  <c r="BX295" i="80"/>
  <c r="AJ295" i="80"/>
  <c r="AI295" i="80"/>
  <c r="AL295" i="80" a="1"/>
  <c r="AL295" i="80" s="1"/>
  <c r="BH295" i="80" s="1"/>
  <c r="AV51" i="80"/>
  <c r="AM51" i="80"/>
  <c r="AU51" i="80" s="1"/>
  <c r="AW51" i="80" a="1"/>
  <c r="AW51" i="80" s="1"/>
  <c r="AP51" i="80"/>
  <c r="AO51" i="80"/>
  <c r="BB51" i="80"/>
  <c r="AZ51" i="80"/>
  <c r="AL414" i="80" a="1"/>
  <c r="AL414" i="80" s="1"/>
  <c r="BH414" i="80" s="1"/>
  <c r="AI414" i="80"/>
  <c r="AJ414" i="80"/>
  <c r="AN414" i="80"/>
  <c r="BX414" i="80"/>
  <c r="AH414" i="80"/>
  <c r="BG256" i="79"/>
  <c r="BA256" i="79" s="1"/>
  <c r="BD256" i="79" s="1"/>
  <c r="AG316" i="79"/>
  <c r="AF316" i="79" s="1"/>
  <c r="AG216" i="79"/>
  <c r="AY216" i="79" s="1"/>
  <c r="BE216" i="79" s="1"/>
  <c r="AQ217" i="79"/>
  <c r="BG217" i="79" s="1"/>
  <c r="BA217" i="79" s="1"/>
  <c r="BD217" i="79" s="1"/>
  <c r="BG460" i="80"/>
  <c r="BA460" i="80" s="1"/>
  <c r="BD460" i="80" s="1"/>
  <c r="AQ449" i="80"/>
  <c r="BG449" i="80" s="1"/>
  <c r="BA449" i="80" s="1"/>
  <c r="BD449" i="80" s="1"/>
  <c r="AG449" i="80"/>
  <c r="AG336" i="80"/>
  <c r="AF336" i="80" s="1"/>
  <c r="AQ336" i="80"/>
  <c r="BG336" i="80" s="1"/>
  <c r="BA336" i="80" s="1"/>
  <c r="BD336" i="80" s="1"/>
  <c r="AM52" i="80"/>
  <c r="AU52" i="80" s="1"/>
  <c r="AO52" i="80"/>
  <c r="BB52" i="80"/>
  <c r="AZ52" i="80"/>
  <c r="AV52" i="80"/>
  <c r="AW52" i="80" a="1"/>
  <c r="AW52" i="80" s="1"/>
  <c r="AP52" i="80"/>
  <c r="Y79" i="80"/>
  <c r="Y71" i="80"/>
  <c r="Z82" i="80"/>
  <c r="Z74" i="80"/>
  <c r="Y82" i="80"/>
  <c r="Y74" i="80"/>
  <c r="Y83" i="80"/>
  <c r="Y78" i="80"/>
  <c r="Z73" i="80"/>
  <c r="Z84" i="80"/>
  <c r="Y80" i="80"/>
  <c r="Y84" i="80"/>
  <c r="Z72" i="80"/>
  <c r="Y72" i="80"/>
  <c r="Z81" i="80"/>
  <c r="Z79" i="80"/>
  <c r="Y77" i="80"/>
  <c r="Y73" i="80"/>
  <c r="S66" i="80"/>
  <c r="U66" i="80" s="1" a="1"/>
  <c r="U66" i="80" s="1"/>
  <c r="AK66" i="80" s="1"/>
  <c r="Z75" i="80"/>
  <c r="Y75" i="80"/>
  <c r="Z77" i="80"/>
  <c r="Y81" i="80"/>
  <c r="Z83" i="80"/>
  <c r="Z78" i="80"/>
  <c r="Z71" i="80"/>
  <c r="Z80" i="80"/>
  <c r="Z76" i="80"/>
  <c r="Y76" i="80"/>
  <c r="AY537" i="79"/>
  <c r="BE537" i="79" s="1"/>
  <c r="AF537" i="80"/>
  <c r="AQ504" i="80"/>
  <c r="BG504" i="80" s="1"/>
  <c r="BA504" i="80" s="1"/>
  <c r="BD504" i="80" s="1"/>
  <c r="AG504" i="80"/>
  <c r="AF504" i="80" s="1"/>
  <c r="AG253" i="80"/>
  <c r="AF253" i="80" s="1"/>
  <c r="AQ253" i="80"/>
  <c r="BG253" i="80" s="1"/>
  <c r="BA253" i="80" s="1"/>
  <c r="BD253" i="80" s="1"/>
  <c r="AY324" i="80"/>
  <c r="BE324" i="80" s="1"/>
  <c r="AY314" i="80"/>
  <c r="BE314" i="80" s="1"/>
  <c r="AG190" i="80"/>
  <c r="AF190" i="80" s="1"/>
  <c r="AQ190" i="80"/>
  <c r="BG190" i="80" s="1"/>
  <c r="BA190" i="80" s="1"/>
  <c r="BD190" i="80" s="1"/>
  <c r="AQ360" i="80"/>
  <c r="BG360" i="80" s="1"/>
  <c r="BA360" i="80" s="1"/>
  <c r="BD360" i="80" s="1"/>
  <c r="AG360" i="80"/>
  <c r="AQ32" i="80"/>
  <c r="BG32" i="80" s="1"/>
  <c r="BA32" i="80" s="1"/>
  <c r="BD32" i="80" s="1"/>
  <c r="AG32" i="80"/>
  <c r="AF32" i="80" s="1"/>
  <c r="AQ147" i="80"/>
  <c r="BG147" i="80" s="1"/>
  <c r="BA147" i="80" s="1"/>
  <c r="BD147" i="80" s="1"/>
  <c r="AG147" i="80"/>
  <c r="AF147" i="80" s="1"/>
  <c r="AR414" i="80"/>
  <c r="AQ435" i="80"/>
  <c r="BG435" i="80" s="1"/>
  <c r="BA435" i="80" s="1"/>
  <c r="BD435" i="80" s="1"/>
  <c r="AG435" i="80"/>
  <c r="AF435" i="80" s="1"/>
  <c r="AG274" i="80"/>
  <c r="AF274" i="80" s="1"/>
  <c r="AQ274" i="80"/>
  <c r="BG274" i="80" s="1"/>
  <c r="BA274" i="80" s="1"/>
  <c r="BD274" i="80" s="1"/>
  <c r="AR219" i="80"/>
  <c r="AY219" i="80"/>
  <c r="BE219" i="80" s="1"/>
  <c r="AG481" i="80"/>
  <c r="AF481" i="80" s="1"/>
  <c r="AQ481" i="80"/>
  <c r="BG481" i="80" s="1"/>
  <c r="BA481" i="80" s="1"/>
  <c r="BD481" i="80" s="1"/>
  <c r="AY38" i="80"/>
  <c r="BE38" i="80" s="1"/>
  <c r="AF151" i="80"/>
  <c r="AW45" i="80" a="1"/>
  <c r="AW45" i="80" s="1"/>
  <c r="AV45" i="80"/>
  <c r="AZ45" i="80"/>
  <c r="AO45" i="80"/>
  <c r="AM45" i="80"/>
  <c r="AU45" i="80" s="1"/>
  <c r="BB45" i="80"/>
  <c r="AP45" i="80"/>
  <c r="AH163" i="80"/>
  <c r="AJ163" i="80"/>
  <c r="AI163" i="80"/>
  <c r="BX163" i="80"/>
  <c r="AL163" i="80" a="1"/>
  <c r="AL163" i="80" s="1"/>
  <c r="BH163" i="80" s="1"/>
  <c r="AN163" i="80"/>
  <c r="AG528" i="80"/>
  <c r="AQ528" i="80"/>
  <c r="BG528" i="80" s="1"/>
  <c r="BA528" i="80" s="1"/>
  <c r="BD528" i="80" s="1"/>
  <c r="AN431" i="80"/>
  <c r="AJ431" i="80"/>
  <c r="AI431" i="80"/>
  <c r="AH431" i="80"/>
  <c r="BX431" i="80"/>
  <c r="AL431" i="80" a="1"/>
  <c r="AL431" i="80" s="1"/>
  <c r="BH431" i="80" s="1"/>
  <c r="AY118" i="80"/>
  <c r="BE118" i="80" s="1"/>
  <c r="AQ530" i="80"/>
  <c r="BG530" i="80" s="1"/>
  <c r="BA530" i="80" s="1"/>
  <c r="BD530" i="80" s="1"/>
  <c r="AG530" i="80"/>
  <c r="AF530" i="80" s="1"/>
  <c r="AQ182" i="80"/>
  <c r="BG182" i="80" s="1"/>
  <c r="BA182" i="80" s="1"/>
  <c r="BD182" i="80" s="1"/>
  <c r="AG182" i="80"/>
  <c r="AF182" i="80" s="1"/>
  <c r="AG256" i="80"/>
  <c r="AF256" i="80" s="1"/>
  <c r="AQ256" i="80"/>
  <c r="BG256" i="80" s="1"/>
  <c r="BA256" i="80" s="1"/>
  <c r="BD256" i="80" s="1"/>
  <c r="AQ354" i="80"/>
  <c r="BG354" i="80" s="1"/>
  <c r="BA354" i="80" s="1"/>
  <c r="BD354" i="80" s="1"/>
  <c r="AG354" i="80"/>
  <c r="AF354" i="80" s="1"/>
  <c r="AG291" i="80"/>
  <c r="AF291" i="80" s="1"/>
  <c r="AQ291" i="80"/>
  <c r="BG291" i="80" s="1"/>
  <c r="BA291" i="80" s="1"/>
  <c r="BD291" i="80" s="1"/>
  <c r="AH214" i="80"/>
  <c r="AJ214" i="80"/>
  <c r="AI214" i="80"/>
  <c r="AL214" i="80" a="1"/>
  <c r="AL214" i="80" s="1"/>
  <c r="BX214" i="80"/>
  <c r="AN214" i="80"/>
  <c r="AR215" i="80"/>
  <c r="AY215" i="80"/>
  <c r="BE215" i="80" s="1"/>
  <c r="AG187" i="80"/>
  <c r="AF187" i="80" s="1"/>
  <c r="AQ187" i="80"/>
  <c r="BG187" i="80" s="1"/>
  <c r="BA187" i="80" s="1"/>
  <c r="BD187" i="80" s="1"/>
  <c r="AY249" i="80"/>
  <c r="BE249" i="80" s="1"/>
  <c r="AR249" i="80"/>
  <c r="AY163" i="80"/>
  <c r="BE163" i="80" s="1"/>
  <c r="AR163" i="80"/>
  <c r="AY527" i="79"/>
  <c r="BE527" i="79" s="1"/>
  <c r="AY468" i="80"/>
  <c r="BE468" i="80" s="1"/>
  <c r="AF468" i="80"/>
  <c r="AR468" i="80"/>
  <c r="AG507" i="80"/>
  <c r="AF507" i="80" s="1"/>
  <c r="AQ507" i="80"/>
  <c r="BG507" i="80" s="1"/>
  <c r="BA507" i="80" s="1"/>
  <c r="BD507" i="80" s="1"/>
  <c r="AY498" i="80"/>
  <c r="BE498" i="80" s="1"/>
  <c r="AR408" i="80"/>
  <c r="AY408" i="80"/>
  <c r="BE408" i="80" s="1"/>
  <c r="AY431" i="80"/>
  <c r="BE431" i="80" s="1"/>
  <c r="AR431" i="80"/>
  <c r="AG43" i="80"/>
  <c r="AF43" i="80" s="1"/>
  <c r="AQ43" i="80"/>
  <c r="BG43" i="80" s="1"/>
  <c r="BA43" i="80" s="1"/>
  <c r="BD43" i="80" s="1"/>
  <c r="AG140" i="79"/>
  <c r="AR140" i="79" s="1"/>
  <c r="AJ500" i="80"/>
  <c r="AI500" i="80"/>
  <c r="AN500" i="80"/>
  <c r="AL500" i="80" a="1"/>
  <c r="AL500" i="80" s="1"/>
  <c r="BX500" i="80"/>
  <c r="AH500" i="80"/>
  <c r="AY365" i="80"/>
  <c r="BE365" i="80" s="1"/>
  <c r="AQ319" i="80"/>
  <c r="BG319" i="80" s="1"/>
  <c r="BA319" i="80" s="1"/>
  <c r="BD319" i="80" s="1"/>
  <c r="AG319" i="80"/>
  <c r="AF319" i="80" s="1"/>
  <c r="AG213" i="80"/>
  <c r="AF213" i="80" s="1"/>
  <c r="AQ213" i="80"/>
  <c r="BG213" i="80" s="1"/>
  <c r="BA213" i="80" s="1"/>
  <c r="BD213" i="80" s="1"/>
  <c r="AG254" i="80"/>
  <c r="AQ254" i="80"/>
  <c r="BG254" i="80" s="1"/>
  <c r="BA254" i="80" s="1"/>
  <c r="BD254" i="80" s="1"/>
  <c r="AJ482" i="80"/>
  <c r="AI482" i="80"/>
  <c r="AH482" i="80"/>
  <c r="AN482" i="80"/>
  <c r="AL482" i="80" a="1"/>
  <c r="AL482" i="80" s="1"/>
  <c r="BH482" i="80" s="1"/>
  <c r="BX482" i="80"/>
  <c r="AQ279" i="80"/>
  <c r="BG279" i="80" s="1"/>
  <c r="BA279" i="80" s="1"/>
  <c r="BD279" i="80" s="1"/>
  <c r="AG279" i="80"/>
  <c r="AW141" i="80" a="1"/>
  <c r="AW141" i="80" s="1"/>
  <c r="AV141" i="80"/>
  <c r="AP141" i="80"/>
  <c r="AM141" i="80"/>
  <c r="AU141" i="80" s="1"/>
  <c r="AO141" i="80"/>
  <c r="AZ141" i="80"/>
  <c r="BB141" i="80"/>
  <c r="AG193" i="80"/>
  <c r="AF193" i="80" s="1"/>
  <c r="AQ193" i="80"/>
  <c r="BG193" i="80" s="1"/>
  <c r="BA193" i="80" s="1"/>
  <c r="BD193" i="80" s="1"/>
  <c r="AG509" i="79"/>
  <c r="AF509" i="79" s="1"/>
  <c r="AQ343" i="79"/>
  <c r="BG441" i="79"/>
  <c r="BA441" i="79" s="1"/>
  <c r="BD441" i="79" s="1"/>
  <c r="BX476" i="79"/>
  <c r="BG267" i="79"/>
  <c r="BA267" i="79" s="1"/>
  <c r="BD267" i="79" s="1"/>
  <c r="AG471" i="79"/>
  <c r="AF471" i="79" s="1"/>
  <c r="AG223" i="79"/>
  <c r="AF223" i="79" s="1"/>
  <c r="AL223" i="79" s="1" a="1"/>
  <c r="AL223" i="79" s="1"/>
  <c r="AY548" i="79"/>
  <c r="BE548" i="79" s="1"/>
  <c r="AY227" i="79"/>
  <c r="BE227" i="79" s="1"/>
  <c r="AY525" i="80"/>
  <c r="BE525" i="80" s="1"/>
  <c r="AY515" i="80"/>
  <c r="BE515" i="80" s="1"/>
  <c r="AR515" i="80"/>
  <c r="AQ499" i="80"/>
  <c r="BG499" i="80" s="1"/>
  <c r="BA499" i="80" s="1"/>
  <c r="BD499" i="80" s="1"/>
  <c r="AG499" i="80"/>
  <c r="AQ437" i="80"/>
  <c r="BG437" i="80" s="1"/>
  <c r="BA437" i="80" s="1"/>
  <c r="BD437" i="80" s="1"/>
  <c r="AG437" i="80"/>
  <c r="AF437" i="80" s="1"/>
  <c r="AQ397" i="80"/>
  <c r="BG397" i="80" s="1"/>
  <c r="BA397" i="80" s="1"/>
  <c r="BD397" i="80" s="1"/>
  <c r="AG397" i="80"/>
  <c r="AQ385" i="80"/>
  <c r="BG385" i="80" s="1"/>
  <c r="BA385" i="80" s="1"/>
  <c r="BD385" i="80" s="1"/>
  <c r="AG385" i="80"/>
  <c r="AF385" i="80" s="1"/>
  <c r="AR332" i="80"/>
  <c r="AY332" i="80"/>
  <c r="BE332" i="80" s="1"/>
  <c r="AQ388" i="80"/>
  <c r="BG388" i="80" s="1"/>
  <c r="BA388" i="80" s="1"/>
  <c r="BD388" i="80" s="1"/>
  <c r="AG388" i="80"/>
  <c r="AF388" i="80" s="1"/>
  <c r="AY545" i="80"/>
  <c r="BE545" i="80" s="1"/>
  <c r="AR545" i="80"/>
  <c r="AQ60" i="80"/>
  <c r="BG60" i="80" s="1"/>
  <c r="BA60" i="80" s="1"/>
  <c r="BD60" i="80" s="1"/>
  <c r="AG60" i="80"/>
  <c r="AF60" i="80" s="1"/>
  <c r="AQ55" i="80"/>
  <c r="BG55" i="80" s="1"/>
  <c r="BA55" i="80" s="1"/>
  <c r="BD55" i="80" s="1"/>
  <c r="AG55" i="80"/>
  <c r="AF55" i="80" s="1"/>
  <c r="AQ286" i="80"/>
  <c r="BG286" i="80" s="1"/>
  <c r="BA286" i="80" s="1"/>
  <c r="BD286" i="80" s="1"/>
  <c r="AG286" i="80"/>
  <c r="AG264" i="80"/>
  <c r="AQ264" i="80"/>
  <c r="BG264" i="80" s="1"/>
  <c r="BA264" i="80" s="1"/>
  <c r="BD264" i="80" s="1"/>
  <c r="AG109" i="80"/>
  <c r="AF109" i="80" s="1"/>
  <c r="AQ109" i="80"/>
  <c r="BG109" i="80" s="1"/>
  <c r="BA109" i="80" s="1"/>
  <c r="BD109" i="80" s="1"/>
  <c r="AQ355" i="80"/>
  <c r="BG355" i="80" s="1"/>
  <c r="BA355" i="80" s="1"/>
  <c r="BD355" i="80" s="1"/>
  <c r="AG355" i="80"/>
  <c r="AG394" i="80"/>
  <c r="AF394" i="80" s="1"/>
  <c r="AQ394" i="80"/>
  <c r="BG394" i="80" s="1"/>
  <c r="BA394" i="80" s="1"/>
  <c r="BD394" i="80" s="1"/>
  <c r="AJ157" i="80"/>
  <c r="AI157" i="80"/>
  <c r="AH157" i="80"/>
  <c r="BX157" i="80"/>
  <c r="AN157" i="80"/>
  <c r="AL157" i="80" a="1"/>
  <c r="AL157" i="80" s="1"/>
  <c r="BH157" i="80" s="1"/>
  <c r="AQ164" i="80"/>
  <c r="BG164" i="80" s="1"/>
  <c r="BA164" i="80" s="1"/>
  <c r="BD164" i="80" s="1"/>
  <c r="AG164" i="80"/>
  <c r="AF164" i="80" s="1"/>
  <c r="AQ447" i="80"/>
  <c r="BG447" i="80" s="1"/>
  <c r="BA447" i="80" s="1"/>
  <c r="BD447" i="80" s="1"/>
  <c r="AG447" i="80"/>
  <c r="AG430" i="80"/>
  <c r="AF430" i="80" s="1"/>
  <c r="AQ430" i="80"/>
  <c r="BG430" i="80" s="1"/>
  <c r="BA430" i="80" s="1"/>
  <c r="BD430" i="80" s="1"/>
  <c r="AM94" i="80"/>
  <c r="AU94" i="80" s="1"/>
  <c r="BB94" i="80"/>
  <c r="AV94" i="80"/>
  <c r="AW94" i="80" a="1"/>
  <c r="AW94" i="80" s="1"/>
  <c r="AP94" i="80"/>
  <c r="AO94" i="80"/>
  <c r="AZ94" i="80"/>
  <c r="AJ271" i="80"/>
  <c r="AH271" i="80"/>
  <c r="AL271" i="80" a="1"/>
  <c r="AL271" i="80" s="1"/>
  <c r="BH271" i="80" s="1"/>
  <c r="AI271" i="80"/>
  <c r="BX271" i="80"/>
  <c r="AN271" i="80"/>
  <c r="AG379" i="80"/>
  <c r="AQ379" i="80"/>
  <c r="BG379" i="80" s="1"/>
  <c r="BA379" i="80" s="1"/>
  <c r="BD379" i="80" s="1"/>
  <c r="AG153" i="80"/>
  <c r="AQ153" i="80"/>
  <c r="BG153" i="80" s="1"/>
  <c r="BA153" i="80" s="1"/>
  <c r="BD153" i="80" s="1"/>
  <c r="AL265" i="80" a="1"/>
  <c r="AL265" i="80" s="1"/>
  <c r="BH265" i="80" s="1"/>
  <c r="AI265" i="80"/>
  <c r="AH265" i="80"/>
  <c r="BX265" i="80"/>
  <c r="AN265" i="80"/>
  <c r="AJ265" i="80"/>
  <c r="AF199" i="80"/>
  <c r="AR44" i="80"/>
  <c r="AY44" i="80"/>
  <c r="BE44" i="80" s="1"/>
  <c r="AP26" i="80"/>
  <c r="AO26" i="80"/>
  <c r="AR37" i="80"/>
  <c r="AY37" i="80"/>
  <c r="BE37" i="80" s="1"/>
  <c r="AQ520" i="80"/>
  <c r="BG520" i="80" s="1"/>
  <c r="BA520" i="80" s="1"/>
  <c r="BD520" i="80" s="1"/>
  <c r="AG520" i="80"/>
  <c r="AQ297" i="80"/>
  <c r="BG297" i="80" s="1"/>
  <c r="BA297" i="80" s="1"/>
  <c r="BD297" i="80" s="1"/>
  <c r="AG297" i="80"/>
  <c r="AF297" i="80" s="1"/>
  <c r="AG349" i="80"/>
  <c r="AF349" i="80" s="1"/>
  <c r="AQ349" i="80"/>
  <c r="BG349" i="80" s="1"/>
  <c r="BA349" i="80" s="1"/>
  <c r="BD349" i="80" s="1"/>
  <c r="AG320" i="80"/>
  <c r="AF320" i="80" s="1"/>
  <c r="AQ320" i="80"/>
  <c r="BG320" i="80" s="1"/>
  <c r="BA320" i="80" s="1"/>
  <c r="BD320" i="80" s="1"/>
  <c r="AG46" i="80"/>
  <c r="AF46" i="80" s="1"/>
  <c r="AQ46" i="80"/>
  <c r="BG46" i="80" s="1"/>
  <c r="BA46" i="80" s="1"/>
  <c r="BD46" i="80" s="1"/>
  <c r="AG389" i="80"/>
  <c r="AF389" i="80" s="1"/>
  <c r="AQ389" i="80"/>
  <c r="BG389" i="80" s="1"/>
  <c r="BA389" i="80" s="1"/>
  <c r="BD389" i="80" s="1"/>
  <c r="AQ90" i="80"/>
  <c r="BG90" i="80" s="1"/>
  <c r="BA90" i="80" s="1"/>
  <c r="BD90" i="80" s="1"/>
  <c r="AR169" i="80"/>
  <c r="AY169" i="80"/>
  <c r="BE169" i="80" s="1"/>
  <c r="AQ195" i="80"/>
  <c r="BG195" i="80" s="1"/>
  <c r="BA195" i="80" s="1"/>
  <c r="BD195" i="80" s="1"/>
  <c r="AG195" i="80"/>
  <c r="AF195" i="80" s="1"/>
  <c r="AQ526" i="80"/>
  <c r="BG526" i="80" s="1"/>
  <c r="BA526" i="80" s="1"/>
  <c r="BD526" i="80" s="1"/>
  <c r="AG526" i="80"/>
  <c r="AF526" i="80" s="1"/>
  <c r="AQ54" i="80"/>
  <c r="BG54" i="80" s="1"/>
  <c r="BA54" i="80" s="1"/>
  <c r="BD54" i="80" s="1"/>
  <c r="AG54" i="80"/>
  <c r="BB99" i="80"/>
  <c r="AV99" i="80"/>
  <c r="AZ99" i="80"/>
  <c r="AW99" i="80" a="1"/>
  <c r="AW99" i="80" s="1"/>
  <c r="AP99" i="80"/>
  <c r="AO99" i="80"/>
  <c r="AM99" i="80"/>
  <c r="AU99" i="80" s="1"/>
  <c r="AG65" i="80"/>
  <c r="AQ65" i="80"/>
  <c r="BG65" i="80" s="1"/>
  <c r="BA65" i="80" s="1"/>
  <c r="BD65" i="80" s="1"/>
  <c r="AF59" i="80"/>
  <c r="AQ59" i="80"/>
  <c r="BG59" i="80" s="1"/>
  <c r="BA59" i="80" s="1"/>
  <c r="BD59" i="80" s="1"/>
  <c r="AG406" i="80"/>
  <c r="AQ406" i="80"/>
  <c r="BG406" i="80" s="1"/>
  <c r="BA406" i="80" s="1"/>
  <c r="BD406" i="80" s="1"/>
  <c r="AQ467" i="80"/>
  <c r="BG467" i="80" s="1"/>
  <c r="BA467" i="80" s="1"/>
  <c r="BD467" i="80" s="1"/>
  <c r="AG467" i="80"/>
  <c r="AF467" i="80" s="1"/>
  <c r="AY198" i="80"/>
  <c r="BE198" i="80" s="1"/>
  <c r="AY229" i="80"/>
  <c r="BE229" i="80" s="1"/>
  <c r="AQ345" i="80"/>
  <c r="BG345" i="80" s="1"/>
  <c r="BA345" i="80" s="1"/>
  <c r="BD345" i="80" s="1"/>
  <c r="AG345" i="80"/>
  <c r="AF345" i="80" s="1"/>
  <c r="AQ58" i="80"/>
  <c r="BG58" i="80" s="1"/>
  <c r="BA58" i="80" s="1"/>
  <c r="BD58" i="80" s="1"/>
  <c r="AG58" i="80"/>
  <c r="AF58" i="80" s="1"/>
  <c r="AQ117" i="80"/>
  <c r="BG117" i="80" s="1"/>
  <c r="BA117" i="80" s="1"/>
  <c r="BD117" i="80" s="1"/>
  <c r="AG117" i="80"/>
  <c r="AF117" i="80" s="1"/>
  <c r="AG441" i="80"/>
  <c r="AF441" i="80" s="1"/>
  <c r="AQ441" i="80"/>
  <c r="BG441" i="80" s="1"/>
  <c r="BA441" i="80" s="1"/>
  <c r="BD441" i="80" s="1"/>
  <c r="AG377" i="80"/>
  <c r="AF377" i="80" s="1"/>
  <c r="AQ377" i="80"/>
  <c r="BG377" i="80" s="1"/>
  <c r="BA377" i="80" s="1"/>
  <c r="BD377" i="80" s="1"/>
  <c r="AY352" i="80"/>
  <c r="BE352" i="80" s="1"/>
  <c r="Y133" i="80"/>
  <c r="Y125" i="80"/>
  <c r="Z128" i="80"/>
  <c r="Z120" i="80"/>
  <c r="Y128" i="80"/>
  <c r="Y120" i="80"/>
  <c r="S115" i="80"/>
  <c r="U115" i="80" s="1" a="1"/>
  <c r="U115" i="80" s="1"/>
  <c r="AK115" i="80" s="1"/>
  <c r="Z126" i="80"/>
  <c r="Y121" i="80"/>
  <c r="Z131" i="80"/>
  <c r="Y126" i="80"/>
  <c r="Z122" i="80"/>
  <c r="Y131" i="80"/>
  <c r="Y122" i="80"/>
  <c r="Z121" i="80"/>
  <c r="Y130" i="80"/>
  <c r="Z132" i="80"/>
  <c r="Y132" i="80"/>
  <c r="Z129" i="80"/>
  <c r="Z123" i="80"/>
  <c r="Y124" i="80"/>
  <c r="Y129" i="80"/>
  <c r="Y123" i="80"/>
  <c r="Z133" i="80"/>
  <c r="Y127" i="80"/>
  <c r="Z127" i="80"/>
  <c r="Z124" i="80"/>
  <c r="Z130" i="80"/>
  <c r="Z125" i="80"/>
  <c r="AG183" i="80"/>
  <c r="AQ183" i="80"/>
  <c r="BG183" i="80" s="1"/>
  <c r="BA183" i="80" s="1"/>
  <c r="BD183" i="80" s="1"/>
  <c r="AQ407" i="80"/>
  <c r="BG407" i="80" s="1"/>
  <c r="BA407" i="80" s="1"/>
  <c r="BD407" i="80" s="1"/>
  <c r="AG407" i="80"/>
  <c r="AF407" i="80" s="1"/>
  <c r="AG197" i="80"/>
  <c r="AF197" i="80" s="1"/>
  <c r="AQ197" i="80"/>
  <c r="BG197" i="80" s="1"/>
  <c r="BA197" i="80" s="1"/>
  <c r="BD197" i="80" s="1"/>
  <c r="AR205" i="80"/>
  <c r="AY205" i="80"/>
  <c r="BE205" i="80" s="1"/>
  <c r="AQ227" i="80"/>
  <c r="BG227" i="80" s="1"/>
  <c r="BA227" i="80" s="1"/>
  <c r="BD227" i="80" s="1"/>
  <c r="AG227" i="80"/>
  <c r="AF227" i="80" s="1"/>
  <c r="AQ382" i="79"/>
  <c r="BG382" i="79" s="1"/>
  <c r="BA382" i="79" s="1"/>
  <c r="BD382" i="79" s="1"/>
  <c r="AY398" i="80"/>
  <c r="BE398" i="80" s="1"/>
  <c r="AQ341" i="80"/>
  <c r="BG341" i="80" s="1"/>
  <c r="BA341" i="80" s="1"/>
  <c r="BD341" i="80" s="1"/>
  <c r="AG341" i="80"/>
  <c r="AF341" i="80" s="1"/>
  <c r="AQ234" i="80"/>
  <c r="BG234" i="80" s="1"/>
  <c r="BA234" i="80" s="1"/>
  <c r="BD234" i="80" s="1"/>
  <c r="AG234" i="80"/>
  <c r="AF234" i="80" s="1"/>
  <c r="AQ243" i="80"/>
  <c r="BG243" i="80" s="1"/>
  <c r="BA243" i="80" s="1"/>
  <c r="BD243" i="80" s="1"/>
  <c r="AG243" i="80"/>
  <c r="AF243" i="80" s="1"/>
  <c r="AG508" i="80"/>
  <c r="AF508" i="80" s="1"/>
  <c r="AQ508" i="80"/>
  <c r="BG508" i="80" s="1"/>
  <c r="BA508" i="80" s="1"/>
  <c r="BD508" i="80" s="1"/>
  <c r="AQ184" i="80"/>
  <c r="BG184" i="80" s="1"/>
  <c r="BA184" i="80" s="1"/>
  <c r="BD184" i="80" s="1"/>
  <c r="AG184" i="80"/>
  <c r="AF184" i="80" s="1"/>
  <c r="AL532" i="80" a="1"/>
  <c r="AL532" i="80" s="1"/>
  <c r="AJ532" i="80"/>
  <c r="AI532" i="80"/>
  <c r="AH532" i="80"/>
  <c r="BX532" i="80"/>
  <c r="AN532" i="80"/>
  <c r="AQ309" i="80"/>
  <c r="BG309" i="80" s="1"/>
  <c r="BA309" i="80" s="1"/>
  <c r="BD309" i="80" s="1"/>
  <c r="AG309" i="80"/>
  <c r="AF309" i="80" s="1"/>
  <c r="AJ299" i="80"/>
  <c r="AI299" i="80"/>
  <c r="AH299" i="80"/>
  <c r="AN299" i="80"/>
  <c r="AL299" i="80" a="1"/>
  <c r="AL299" i="80" s="1"/>
  <c r="BH299" i="80" s="1"/>
  <c r="BX299" i="80"/>
  <c r="AQ275" i="80"/>
  <c r="BG275" i="80" s="1"/>
  <c r="BA275" i="80" s="1"/>
  <c r="BD275" i="80" s="1"/>
  <c r="AG275" i="80"/>
  <c r="AG302" i="80"/>
  <c r="AF302" i="80" s="1"/>
  <c r="AQ302" i="80"/>
  <c r="BG302" i="80" s="1"/>
  <c r="BA302" i="80" s="1"/>
  <c r="BD302" i="80" s="1"/>
  <c r="AO72" i="80"/>
  <c r="AP72" i="80"/>
  <c r="AQ548" i="79"/>
  <c r="BG548" i="79" s="1"/>
  <c r="BA548" i="79" s="1"/>
  <c r="BD548" i="79" s="1"/>
  <c r="AG86" i="80"/>
  <c r="AF86" i="80" s="1"/>
  <c r="AQ86" i="80"/>
  <c r="BG86" i="80" s="1"/>
  <c r="BA86" i="80" s="1"/>
  <c r="BD86" i="80" s="1"/>
  <c r="AR339" i="80"/>
  <c r="AY339" i="80"/>
  <c r="BE339" i="80" s="1"/>
  <c r="AR251" i="80"/>
  <c r="AY251" i="80"/>
  <c r="BE251" i="80" s="1"/>
  <c r="AY231" i="80"/>
  <c r="BE231" i="80" s="1"/>
  <c r="AF231" i="80"/>
  <c r="AG90" i="80"/>
  <c r="AF90" i="80" s="1"/>
  <c r="AN103" i="80"/>
  <c r="AJ103" i="80"/>
  <c r="AI103" i="80"/>
  <c r="AH103" i="80"/>
  <c r="BX103" i="80"/>
  <c r="AL103" i="80" a="1"/>
  <c r="AL103" i="80" s="1"/>
  <c r="BH103" i="80" s="1"/>
  <c r="AQ540" i="80"/>
  <c r="BG540" i="80" s="1"/>
  <c r="BA540" i="80" s="1"/>
  <c r="BD540" i="80" s="1"/>
  <c r="AG540" i="80"/>
  <c r="AF540" i="80" s="1"/>
  <c r="AQ501" i="80"/>
  <c r="BG501" i="80" s="1"/>
  <c r="BA501" i="80" s="1"/>
  <c r="BD501" i="80" s="1"/>
  <c r="AG501" i="80"/>
  <c r="AF501" i="80" s="1"/>
  <c r="AG359" i="80"/>
  <c r="AF359" i="80" s="1"/>
  <c r="AQ359" i="80"/>
  <c r="BG359" i="80" s="1"/>
  <c r="BA359" i="80" s="1"/>
  <c r="BD359" i="80" s="1"/>
  <c r="AG420" i="80"/>
  <c r="AF420" i="80" s="1"/>
  <c r="AQ420" i="80"/>
  <c r="BG420" i="80" s="1"/>
  <c r="BA420" i="80" s="1"/>
  <c r="BD420" i="80" s="1"/>
  <c r="AG346" i="80"/>
  <c r="AQ346" i="80"/>
  <c r="BG346" i="80" s="1"/>
  <c r="BA346" i="80" s="1"/>
  <c r="BD346" i="80" s="1"/>
  <c r="AY103" i="80"/>
  <c r="BE103" i="80" s="1"/>
  <c r="AR103" i="80"/>
  <c r="AG394" i="79"/>
  <c r="AF394" i="79" s="1"/>
  <c r="AJ394" i="79" s="1"/>
  <c r="AQ545" i="79"/>
  <c r="BG545" i="79" s="1"/>
  <c r="BA545" i="79" s="1"/>
  <c r="BD545" i="79" s="1"/>
  <c r="AR311" i="80"/>
  <c r="AY311" i="80"/>
  <c r="BE311" i="80" s="1"/>
  <c r="AQ267" i="80"/>
  <c r="BG267" i="80" s="1"/>
  <c r="BA267" i="80" s="1"/>
  <c r="BD267" i="80" s="1"/>
  <c r="AG267" i="80"/>
  <c r="AF38" i="80"/>
  <c r="AY214" i="80"/>
  <c r="BE214" i="80" s="1"/>
  <c r="BX348" i="80"/>
  <c r="AH348" i="80"/>
  <c r="AI348" i="80"/>
  <c r="AN348" i="80"/>
  <c r="AL348" i="80" a="1"/>
  <c r="AL348" i="80" s="1"/>
  <c r="BH348" i="80" s="1"/>
  <c r="AJ348" i="80"/>
  <c r="BG394" i="79"/>
  <c r="BA394" i="79" s="1"/>
  <c r="BD394" i="79" s="1"/>
  <c r="AF548" i="79"/>
  <c r="AN548" i="79" s="1"/>
  <c r="AQ405" i="80"/>
  <c r="BG405" i="80" s="1"/>
  <c r="BA405" i="80" s="1"/>
  <c r="BD405" i="80" s="1"/>
  <c r="AG405" i="80"/>
  <c r="AF405" i="80" s="1"/>
  <c r="AO83" i="80"/>
  <c r="AP83" i="80"/>
  <c r="AG524" i="80"/>
  <c r="AF524" i="80" s="1"/>
  <c r="AQ524" i="80"/>
  <c r="BG524" i="80" s="1"/>
  <c r="BA524" i="80" s="1"/>
  <c r="BD524" i="80" s="1"/>
  <c r="AL472" i="80" a="1"/>
  <c r="AL472" i="80" s="1"/>
  <c r="BH472" i="80" s="1"/>
  <c r="AJ472" i="80"/>
  <c r="AI472" i="80"/>
  <c r="AH472" i="80"/>
  <c r="AN472" i="80"/>
  <c r="BX472" i="80"/>
  <c r="AN476" i="79"/>
  <c r="AG455" i="79"/>
  <c r="AF455" i="79" s="1"/>
  <c r="AG267" i="79"/>
  <c r="AF267" i="79" s="1"/>
  <c r="AN267" i="79" s="1"/>
  <c r="AQ54" i="79"/>
  <c r="AG523" i="80"/>
  <c r="AF523" i="80" s="1"/>
  <c r="AQ523" i="80"/>
  <c r="BG523" i="80" s="1"/>
  <c r="BA523" i="80" s="1"/>
  <c r="BD523" i="80" s="1"/>
  <c r="AH515" i="80"/>
  <c r="AI515" i="80"/>
  <c r="AL515" i="80" a="1"/>
  <c r="AL515" i="80" s="1"/>
  <c r="BH515" i="80" s="1"/>
  <c r="BX515" i="80"/>
  <c r="AJ515" i="80"/>
  <c r="AN515" i="80"/>
  <c r="AQ218" i="80"/>
  <c r="BG218" i="80" s="1"/>
  <c r="BA218" i="80" s="1"/>
  <c r="BD218" i="80" s="1"/>
  <c r="AG218" i="80"/>
  <c r="AQ433" i="80"/>
  <c r="BG433" i="80" s="1"/>
  <c r="BA433" i="80" s="1"/>
  <c r="BD433" i="80" s="1"/>
  <c r="AG433" i="80"/>
  <c r="AF433" i="80" s="1"/>
  <c r="AL545" i="80" a="1"/>
  <c r="AL545" i="80" s="1"/>
  <c r="BH545" i="80" s="1"/>
  <c r="AJ545" i="80"/>
  <c r="AI545" i="80"/>
  <c r="AH545" i="80"/>
  <c r="BX545" i="80"/>
  <c r="AN545" i="80"/>
  <c r="AG383" i="80"/>
  <c r="AQ383" i="80"/>
  <c r="BG383" i="80" s="1"/>
  <c r="BA383" i="80" s="1"/>
  <c r="BD383" i="80" s="1"/>
  <c r="AR482" i="80"/>
  <c r="AY482" i="80"/>
  <c r="BE482" i="80" s="1"/>
  <c r="AQ335" i="80"/>
  <c r="BG335" i="80" s="1"/>
  <c r="BA335" i="80" s="1"/>
  <c r="BD335" i="80" s="1"/>
  <c r="AG335" i="80"/>
  <c r="AF335" i="80" s="1"/>
  <c r="AY210" i="80"/>
  <c r="BE210" i="80" s="1"/>
  <c r="AF491" i="80"/>
  <c r="AG135" i="80"/>
  <c r="AF135" i="80" s="1"/>
  <c r="AQ135" i="80"/>
  <c r="BG135" i="80" s="1"/>
  <c r="BA135" i="80" s="1"/>
  <c r="BD135" i="80" s="1"/>
  <c r="AQ325" i="80"/>
  <c r="BG325" i="80" s="1"/>
  <c r="BA325" i="80" s="1"/>
  <c r="BD325" i="80" s="1"/>
  <c r="AG325" i="80"/>
  <c r="AF325" i="80" s="1"/>
  <c r="AG50" i="80"/>
  <c r="AF50" i="80" s="1"/>
  <c r="AQ50" i="80"/>
  <c r="BG50" i="80" s="1"/>
  <c r="BA50" i="80" s="1"/>
  <c r="BD50" i="80" s="1"/>
  <c r="AQ328" i="80"/>
  <c r="BG328" i="80" s="1"/>
  <c r="BA328" i="80" s="1"/>
  <c r="BD328" i="80" s="1"/>
  <c r="AG328" i="80"/>
  <c r="AF328" i="80" s="1"/>
  <c r="AQ107" i="80"/>
  <c r="BG107" i="80" s="1"/>
  <c r="BA107" i="80" s="1"/>
  <c r="BD107" i="80" s="1"/>
  <c r="AG107" i="80"/>
  <c r="AQ453" i="80"/>
  <c r="BG453" i="80" s="1"/>
  <c r="BA453" i="80" s="1"/>
  <c r="BD453" i="80" s="1"/>
  <c r="AG453" i="80"/>
  <c r="AF453" i="80" s="1"/>
  <c r="AY212" i="80"/>
  <c r="BE212" i="80" s="1"/>
  <c r="AP28" i="80"/>
  <c r="AO28" i="80"/>
  <c r="AR271" i="80"/>
  <c r="AY271" i="80"/>
  <c r="BE271" i="80" s="1"/>
  <c r="AF108" i="80"/>
  <c r="AQ108" i="80"/>
  <c r="BG108" i="80" s="1"/>
  <c r="BA108" i="80" s="1"/>
  <c r="BD108" i="80" s="1"/>
  <c r="AG542" i="80"/>
  <c r="AF542" i="80" s="1"/>
  <c r="AQ542" i="80"/>
  <c r="BG542" i="80" s="1"/>
  <c r="BA542" i="80" s="1"/>
  <c r="BD542" i="80" s="1"/>
  <c r="AR416" i="80"/>
  <c r="AY416" i="80"/>
  <c r="BE416" i="80" s="1"/>
  <c r="AY485" i="80"/>
  <c r="BE485" i="80" s="1"/>
  <c r="AP77" i="80"/>
  <c r="AO77" i="80"/>
  <c r="AG272" i="80"/>
  <c r="AF272" i="80" s="1"/>
  <c r="AQ272" i="80"/>
  <c r="BG272" i="80" s="1"/>
  <c r="BA272" i="80" s="1"/>
  <c r="BD272" i="80" s="1"/>
  <c r="AG512" i="80"/>
  <c r="AF512" i="80" s="1"/>
  <c r="AQ512" i="80"/>
  <c r="BG512" i="80" s="1"/>
  <c r="BA512" i="80" s="1"/>
  <c r="BD512" i="80" s="1"/>
  <c r="AG166" i="80"/>
  <c r="AF166" i="80" s="1"/>
  <c r="AQ166" i="80"/>
  <c r="BG166" i="80" s="1"/>
  <c r="BA166" i="80" s="1"/>
  <c r="BD166" i="80" s="1"/>
  <c r="AG230" i="80"/>
  <c r="AF230" i="80" s="1"/>
  <c r="AQ230" i="80"/>
  <c r="BG230" i="80" s="1"/>
  <c r="BA230" i="80" s="1"/>
  <c r="BD230" i="80" s="1"/>
  <c r="AG221" i="80"/>
  <c r="AQ221" i="80"/>
  <c r="BG221" i="80" s="1"/>
  <c r="BA221" i="80" s="1"/>
  <c r="BD221" i="80" s="1"/>
  <c r="AG541" i="80"/>
  <c r="AF541" i="80" s="1"/>
  <c r="AQ541" i="80"/>
  <c r="BG541" i="80" s="1"/>
  <c r="BA541" i="80" s="1"/>
  <c r="BD541" i="80" s="1"/>
  <c r="AG514" i="80"/>
  <c r="AF514" i="80" s="1"/>
  <c r="AQ514" i="80"/>
  <c r="BG514" i="80" s="1"/>
  <c r="BA514" i="80" s="1"/>
  <c r="BD514" i="80" s="1"/>
  <c r="AG296" i="80"/>
  <c r="AF296" i="80" s="1"/>
  <c r="AQ296" i="80"/>
  <c r="BG296" i="80" s="1"/>
  <c r="BA296" i="80" s="1"/>
  <c r="BD296" i="80" s="1"/>
  <c r="AQ465" i="80"/>
  <c r="BG465" i="80" s="1"/>
  <c r="BA465" i="80" s="1"/>
  <c r="BD465" i="80" s="1"/>
  <c r="AG465" i="80"/>
  <c r="AF465" i="80" s="1"/>
  <c r="AG436" i="80"/>
  <c r="AQ436" i="80"/>
  <c r="BG436" i="80" s="1"/>
  <c r="BA436" i="80" s="1"/>
  <c r="BD436" i="80" s="1"/>
  <c r="AQ22" i="80"/>
  <c r="BG22" i="80" s="1"/>
  <c r="BA22" i="80" s="1"/>
  <c r="BB22" i="80" s="1"/>
  <c r="AG22" i="80"/>
  <c r="AQ373" i="80"/>
  <c r="BG373" i="80" s="1"/>
  <c r="BA373" i="80" s="1"/>
  <c r="BD373" i="80" s="1"/>
  <c r="AG373" i="80"/>
  <c r="AQ390" i="80"/>
  <c r="BG390" i="80" s="1"/>
  <c r="BA390" i="80" s="1"/>
  <c r="BD390" i="80" s="1"/>
  <c r="AG390" i="80"/>
  <c r="AG330" i="80"/>
  <c r="AF330" i="80" s="1"/>
  <c r="AQ330" i="80"/>
  <c r="BG330" i="80" s="1"/>
  <c r="BA330" i="80" s="1"/>
  <c r="BD330" i="80" s="1"/>
  <c r="AY375" i="80"/>
  <c r="BE375" i="80" s="1"/>
  <c r="Z22" i="80"/>
  <c r="Z33" i="80"/>
  <c r="Z29" i="80"/>
  <c r="Y22" i="80"/>
  <c r="Y33" i="80"/>
  <c r="Y29" i="80"/>
  <c r="Z32" i="80"/>
  <c r="Y26" i="80"/>
  <c r="Y32" i="80"/>
  <c r="Z25" i="80"/>
  <c r="Z31" i="80"/>
  <c r="Z34" i="80"/>
  <c r="Y34" i="80"/>
  <c r="Z35" i="80"/>
  <c r="Y25" i="80"/>
  <c r="Z23" i="80"/>
  <c r="Y30" i="80"/>
  <c r="Z24" i="80"/>
  <c r="Y23" i="80"/>
  <c r="Y35" i="80"/>
  <c r="Z28" i="80"/>
  <c r="Y28" i="80"/>
  <c r="Y24" i="80"/>
  <c r="Y31" i="80"/>
  <c r="Z26" i="80"/>
  <c r="Z30" i="80"/>
  <c r="Y27" i="80"/>
  <c r="S17" i="80"/>
  <c r="U17" i="80" s="1" a="1"/>
  <c r="U17" i="80" s="1"/>
  <c r="Z27" i="80"/>
  <c r="AQ204" i="80"/>
  <c r="BG204" i="80" s="1"/>
  <c r="BA204" i="80" s="1"/>
  <c r="BD204" i="80" s="1"/>
  <c r="AG204" i="80"/>
  <c r="AF204" i="80" s="1"/>
  <c r="AG112" i="80"/>
  <c r="AQ112" i="80"/>
  <c r="BG112" i="80" s="1"/>
  <c r="BA112" i="80" s="1"/>
  <c r="BD112" i="80" s="1"/>
  <c r="AL165" i="80" a="1"/>
  <c r="AL165" i="80" s="1"/>
  <c r="AJ165" i="80"/>
  <c r="AN165" i="80"/>
  <c r="BX165" i="80"/>
  <c r="AI165" i="80"/>
  <c r="AH165" i="80"/>
  <c r="AG315" i="80"/>
  <c r="AQ315" i="80"/>
  <c r="BG315" i="80" s="1"/>
  <c r="BA315" i="80" s="1"/>
  <c r="BD315" i="80" s="1"/>
  <c r="AQ369" i="80"/>
  <c r="BG369" i="80" s="1"/>
  <c r="BA369" i="80" s="1"/>
  <c r="BD369" i="80" s="1"/>
  <c r="AG369" i="80"/>
  <c r="AL48" i="80" a="1"/>
  <c r="AL48" i="80" s="1"/>
  <c r="AI48" i="80"/>
  <c r="AJ48" i="80"/>
  <c r="AH48" i="80"/>
  <c r="BX48" i="80"/>
  <c r="AN48" i="80"/>
  <c r="AG113" i="80"/>
  <c r="AF113" i="80" s="1"/>
  <c r="AQ113" i="80"/>
  <c r="BG113" i="80" s="1"/>
  <c r="BA113" i="80" s="1"/>
  <c r="BD113" i="80" s="1"/>
  <c r="AO49" i="80"/>
  <c r="AM49" i="80"/>
  <c r="AU49" i="80" s="1"/>
  <c r="AW49" i="80" a="1"/>
  <c r="AW49" i="80" s="1"/>
  <c r="AV49" i="80"/>
  <c r="BB49" i="80"/>
  <c r="AP49" i="80"/>
  <c r="AZ49" i="80"/>
  <c r="AY505" i="80"/>
  <c r="BE505" i="80" s="1"/>
  <c r="AQ415" i="80"/>
  <c r="BG415" i="80" s="1"/>
  <c r="BA415" i="80" s="1"/>
  <c r="BD415" i="80" s="1"/>
  <c r="AG415" i="80"/>
  <c r="AQ162" i="80"/>
  <c r="BG162" i="80" s="1"/>
  <c r="BA162" i="80" s="1"/>
  <c r="BD162" i="80" s="1"/>
  <c r="AG162" i="80"/>
  <c r="AF162" i="80" s="1"/>
  <c r="AQ461" i="80"/>
  <c r="BG461" i="80" s="1"/>
  <c r="BA461" i="80" s="1"/>
  <c r="BD461" i="80" s="1"/>
  <c r="AG461" i="80"/>
  <c r="AF461" i="80" s="1"/>
  <c r="AY189" i="80"/>
  <c r="BE189" i="80" s="1"/>
  <c r="AL529" i="80" a="1"/>
  <c r="AL529" i="80" s="1"/>
  <c r="BH529" i="80" s="1"/>
  <c r="AJ529" i="80"/>
  <c r="AI529" i="80"/>
  <c r="AH529" i="80"/>
  <c r="AN529" i="80"/>
  <c r="BX529" i="80"/>
  <c r="AQ176" i="80"/>
  <c r="BG176" i="80" s="1"/>
  <c r="BA176" i="80" s="1"/>
  <c r="BD176" i="80" s="1"/>
  <c r="AG176" i="80"/>
  <c r="AY48" i="80"/>
  <c r="BE48" i="80" s="1"/>
  <c r="AQ102" i="80"/>
  <c r="BG102" i="80" s="1"/>
  <c r="BA102" i="80" s="1"/>
  <c r="BD102" i="80" s="1"/>
  <c r="AG102" i="80"/>
  <c r="AF102" i="80" s="1"/>
  <c r="AG158" i="80"/>
  <c r="AQ158" i="80"/>
  <c r="BG158" i="80" s="1"/>
  <c r="BA158" i="80" s="1"/>
  <c r="BD158" i="80" s="1"/>
  <c r="AQ63" i="80"/>
  <c r="BG63" i="80" s="1"/>
  <c r="BA63" i="80" s="1"/>
  <c r="BD63" i="80" s="1"/>
  <c r="AG63" i="80"/>
  <c r="AF63" i="80" s="1"/>
  <c r="AY186" i="80"/>
  <c r="BE186" i="80" s="1"/>
  <c r="AG39" i="80"/>
  <c r="AQ39" i="80"/>
  <c r="BG39" i="80" s="1"/>
  <c r="BA39" i="80" s="1"/>
  <c r="BD39" i="80" s="1"/>
  <c r="AQ539" i="80"/>
  <c r="BG539" i="80" s="1"/>
  <c r="BA539" i="80" s="1"/>
  <c r="BD539" i="80" s="1"/>
  <c r="AG539" i="80"/>
  <c r="AF539" i="80" s="1"/>
  <c r="AG382" i="80"/>
  <c r="AF382" i="80" s="1"/>
  <c r="AQ382" i="80"/>
  <c r="BG382" i="80" s="1"/>
  <c r="BA382" i="80" s="1"/>
  <c r="BD382" i="80" s="1"/>
  <c r="AG471" i="80"/>
  <c r="AQ471" i="80"/>
  <c r="BG471" i="80" s="1"/>
  <c r="BA471" i="80" s="1"/>
  <c r="BD471" i="80" s="1"/>
  <c r="AQ209" i="80"/>
  <c r="BG209" i="80" s="1"/>
  <c r="BA209" i="80" s="1"/>
  <c r="BD209" i="80" s="1"/>
  <c r="AG209" i="80"/>
  <c r="AF209" i="80" s="1"/>
  <c r="AY116" i="80"/>
  <c r="BE116" i="80" s="1"/>
  <c r="AQ483" i="80"/>
  <c r="BG483" i="80" s="1"/>
  <c r="BA483" i="80" s="1"/>
  <c r="BD483" i="80" s="1"/>
  <c r="AG483" i="80"/>
  <c r="AF483" i="80" s="1"/>
  <c r="AG426" i="80"/>
  <c r="AQ426" i="80"/>
  <c r="BG426" i="80" s="1"/>
  <c r="BA426" i="80" s="1"/>
  <c r="BD426" i="80" s="1"/>
  <c r="AQ303" i="80"/>
  <c r="BG303" i="80" s="1"/>
  <c r="BA303" i="80" s="1"/>
  <c r="BD303" i="80" s="1"/>
  <c r="AG303" i="80"/>
  <c r="AF303" i="80" s="1"/>
  <c r="AQ175" i="80"/>
  <c r="BG175" i="80" s="1"/>
  <c r="BA175" i="80" s="1"/>
  <c r="BD175" i="80" s="1"/>
  <c r="AG175" i="80"/>
  <c r="AF175" i="80" s="1"/>
  <c r="AQ120" i="80"/>
  <c r="BG120" i="80"/>
  <c r="BA120" i="80" s="1"/>
  <c r="AG280" i="80"/>
  <c r="AF280" i="80" s="1"/>
  <c r="AQ280" i="80"/>
  <c r="BG280" i="80" s="1"/>
  <c r="BA280" i="80" s="1"/>
  <c r="BD280" i="80" s="1"/>
  <c r="AR295" i="80"/>
  <c r="AY295" i="80"/>
  <c r="BE295" i="80" s="1"/>
  <c r="AG488" i="80"/>
  <c r="AQ488" i="80"/>
  <c r="BG488" i="80" s="1"/>
  <c r="BA488" i="80" s="1"/>
  <c r="BD488" i="80" s="1"/>
  <c r="AQ57" i="80"/>
  <c r="BG57" i="80" s="1"/>
  <c r="BA57" i="80" s="1"/>
  <c r="BD57" i="80" s="1"/>
  <c r="AG57" i="80"/>
  <c r="AF57" i="80" s="1"/>
  <c r="AG242" i="80"/>
  <c r="AF242" i="80" s="1"/>
  <c r="AQ242" i="80"/>
  <c r="BG242" i="80" s="1"/>
  <c r="BA242" i="80" s="1"/>
  <c r="BD242" i="80" s="1"/>
  <c r="AQ168" i="80"/>
  <c r="BG168" i="80" s="1"/>
  <c r="BA168" i="80" s="1"/>
  <c r="BD168" i="80" s="1"/>
  <c r="AG168" i="80"/>
  <c r="AF168" i="80" s="1"/>
  <c r="AY532" i="80"/>
  <c r="BE532" i="80" s="1"/>
  <c r="AQ351" i="80"/>
  <c r="BG351" i="80" s="1"/>
  <c r="BA351" i="80" s="1"/>
  <c r="BD351" i="80" s="1"/>
  <c r="AG351" i="80"/>
  <c r="AF351" i="80" s="1"/>
  <c r="AG304" i="80"/>
  <c r="AF304" i="80" s="1"/>
  <c r="AQ304" i="80"/>
  <c r="BG304" i="80" s="1"/>
  <c r="BA304" i="80" s="1"/>
  <c r="BD304" i="80" s="1"/>
  <c r="AG226" i="80"/>
  <c r="AF226" i="80" s="1"/>
  <c r="AQ226" i="80"/>
  <c r="BG226" i="80" s="1"/>
  <c r="BA226" i="80" s="1"/>
  <c r="BD226" i="80" s="1"/>
  <c r="AQ263" i="80"/>
  <c r="BG263" i="80" s="1"/>
  <c r="BA263" i="80" s="1"/>
  <c r="BD263" i="80" s="1"/>
  <c r="AG263" i="80"/>
  <c r="AY299" i="80"/>
  <c r="BE299" i="80" s="1"/>
  <c r="AR299" i="80"/>
  <c r="AQ363" i="80"/>
  <c r="BG363" i="80" s="1"/>
  <c r="BA363" i="80" s="1"/>
  <c r="BD363" i="80" s="1"/>
  <c r="AG363" i="80"/>
  <c r="AF363" i="80" s="1"/>
  <c r="AQ41" i="80"/>
  <c r="AR41" i="80" s="1"/>
  <c r="AF41" i="80"/>
  <c r="AQ252" i="80"/>
  <c r="BG252" i="80" s="1"/>
  <c r="BA252" i="80" s="1"/>
  <c r="BD252" i="80" s="1"/>
  <c r="AG252" i="80"/>
  <c r="AF252" i="80" s="1"/>
  <c r="AG518" i="80"/>
  <c r="AQ518" i="80"/>
  <c r="BG518" i="80" s="1"/>
  <c r="BA518" i="80" s="1"/>
  <c r="BD518" i="80" s="1"/>
  <c r="AI408" i="80"/>
  <c r="BX408" i="80"/>
  <c r="AJ408" i="80"/>
  <c r="AH408" i="80"/>
  <c r="AL408" i="80" a="1"/>
  <c r="AL408" i="80" s="1"/>
  <c r="BH408" i="80" s="1"/>
  <c r="AN408" i="80"/>
  <c r="AQ159" i="80"/>
  <c r="BG159" i="80" s="1"/>
  <c r="BA159" i="80" s="1"/>
  <c r="BD159" i="80" s="1"/>
  <c r="AG159" i="80"/>
  <c r="AQ392" i="80"/>
  <c r="BG392" i="80" s="1"/>
  <c r="BA392" i="80" s="1"/>
  <c r="BD392" i="80" s="1"/>
  <c r="AG392" i="80"/>
  <c r="AP74" i="80"/>
  <c r="AO74" i="80"/>
  <c r="AQ154" i="79"/>
  <c r="BG154" i="79" s="1"/>
  <c r="BA154" i="79" s="1"/>
  <c r="BD154" i="79" s="1"/>
  <c r="AG462" i="79"/>
  <c r="AG270" i="80"/>
  <c r="AF270" i="80" s="1"/>
  <c r="AQ270" i="80"/>
  <c r="BG270" i="80" s="1"/>
  <c r="BA270" i="80" s="1"/>
  <c r="BD270" i="80" s="1"/>
  <c r="AI365" i="80"/>
  <c r="AH365" i="80"/>
  <c r="BX365" i="80"/>
  <c r="AL365" i="80" a="1"/>
  <c r="AL365" i="80" s="1"/>
  <c r="AN365" i="80"/>
  <c r="AJ365" i="80"/>
  <c r="AG464" i="80"/>
  <c r="AF464" i="80" s="1"/>
  <c r="AQ464" i="80"/>
  <c r="BG464" i="80" s="1"/>
  <c r="BA464" i="80" s="1"/>
  <c r="BD464" i="80" s="1"/>
  <c r="AQ528" i="79"/>
  <c r="AG453" i="79"/>
  <c r="AR453" i="79" s="1"/>
  <c r="AL534" i="80" a="1"/>
  <c r="AL534" i="80" s="1"/>
  <c r="AJ534" i="80"/>
  <c r="AN534" i="80"/>
  <c r="AI534" i="80"/>
  <c r="AH534" i="80"/>
  <c r="BX534" i="80"/>
  <c r="AQ289" i="80"/>
  <c r="BG289" i="80" s="1"/>
  <c r="BA289" i="80" s="1"/>
  <c r="BD289" i="80" s="1"/>
  <c r="AG289" i="80"/>
  <c r="AF289" i="80" s="1"/>
  <c r="AP76" i="80"/>
  <c r="AO76" i="80"/>
  <c r="AI235" i="80"/>
  <c r="AH235" i="80"/>
  <c r="AJ235" i="80"/>
  <c r="BX235" i="80"/>
  <c r="AL235" i="80" a="1"/>
  <c r="AL235" i="80" s="1"/>
  <c r="BH235" i="80" s="1"/>
  <c r="AN235" i="80"/>
  <c r="AG39" i="79"/>
  <c r="AY39" i="79" s="1"/>
  <c r="BE39" i="79" s="1"/>
  <c r="AQ546" i="80"/>
  <c r="BG546" i="80" s="1"/>
  <c r="BA546" i="80" s="1"/>
  <c r="BD546" i="80" s="1"/>
  <c r="AG546" i="80"/>
  <c r="AF546" i="80" s="1"/>
  <c r="AQ517" i="80"/>
  <c r="BG517" i="80" s="1"/>
  <c r="BA517" i="80" s="1"/>
  <c r="BD517" i="80" s="1"/>
  <c r="AG517" i="80"/>
  <c r="AF517" i="80" s="1"/>
  <c r="AQ494" i="80"/>
  <c r="BG494" i="80" s="1"/>
  <c r="BA494" i="80" s="1"/>
  <c r="BD494" i="80" s="1"/>
  <c r="AG494" i="80"/>
  <c r="AF494" i="80" s="1"/>
  <c r="AQ496" i="80"/>
  <c r="BG496" i="80" s="1"/>
  <c r="BA496" i="80" s="1"/>
  <c r="BD496" i="80" s="1"/>
  <c r="AG496" i="80"/>
  <c r="AF439" i="80"/>
  <c r="AQ331" i="80"/>
  <c r="BG331" i="80" s="1"/>
  <c r="BA331" i="80" s="1"/>
  <c r="BD331" i="80" s="1"/>
  <c r="AG331" i="80"/>
  <c r="AG473" i="80"/>
  <c r="AF473" i="80" s="1"/>
  <c r="AQ473" i="80"/>
  <c r="BG473" i="80" s="1"/>
  <c r="BA473" i="80" s="1"/>
  <c r="BD473" i="80" s="1"/>
  <c r="AQ490" i="80"/>
  <c r="BG490" i="80" s="1"/>
  <c r="BA490" i="80" s="1"/>
  <c r="BD490" i="80" s="1"/>
  <c r="AG490" i="80"/>
  <c r="AF490" i="80" s="1"/>
  <c r="AQ343" i="80"/>
  <c r="BG343" i="80" s="1"/>
  <c r="BA343" i="80" s="1"/>
  <c r="BD343" i="80" s="1"/>
  <c r="AG343" i="80"/>
  <c r="AF343" i="80" s="1"/>
  <c r="AD22" i="80"/>
  <c r="AD36" i="80"/>
  <c r="AG222" i="80"/>
  <c r="AF222" i="80" s="1"/>
  <c r="AQ222" i="80"/>
  <c r="BG222" i="80" s="1"/>
  <c r="BA222" i="80" s="1"/>
  <c r="BD222" i="80" s="1"/>
  <c r="AF210" i="80"/>
  <c r="AG404" i="80"/>
  <c r="AQ404" i="80"/>
  <c r="BG404" i="80" s="1"/>
  <c r="BA404" i="80" s="1"/>
  <c r="BD404" i="80" s="1"/>
  <c r="BB47" i="80"/>
  <c r="AZ47" i="80"/>
  <c r="AW47" i="80" a="1"/>
  <c r="AW47" i="80" s="1"/>
  <c r="AV47" i="80"/>
  <c r="AM47" i="80"/>
  <c r="AU47" i="80" s="1"/>
  <c r="AP47" i="80"/>
  <c r="AO47" i="80"/>
  <c r="AG387" i="80"/>
  <c r="AF387" i="80" s="1"/>
  <c r="AQ387" i="80"/>
  <c r="BG387" i="80" s="1"/>
  <c r="BA387" i="80" s="1"/>
  <c r="BD387" i="80" s="1"/>
  <c r="AG342" i="80"/>
  <c r="AF342" i="80" s="1"/>
  <c r="AQ342" i="80"/>
  <c r="BG342" i="80" s="1"/>
  <c r="BA342" i="80" s="1"/>
  <c r="BD342" i="80" s="1"/>
  <c r="AF67" i="80"/>
  <c r="AF233" i="80"/>
  <c r="AQ220" i="80"/>
  <c r="BG220" i="80" s="1"/>
  <c r="BA220" i="80" s="1"/>
  <c r="BD220" i="80" s="1"/>
  <c r="AG220" i="80"/>
  <c r="AQ106" i="80"/>
  <c r="BG106" i="80" s="1"/>
  <c r="BA106" i="80" s="1"/>
  <c r="BD106" i="80" s="1"/>
  <c r="AG106" i="80"/>
  <c r="AQ292" i="80"/>
  <c r="BG292" i="80" s="1"/>
  <c r="BA292" i="80" s="1"/>
  <c r="BD292" i="80" s="1"/>
  <c r="AG292" i="80"/>
  <c r="AF292" i="80" s="1"/>
  <c r="AR265" i="80"/>
  <c r="AY265" i="80"/>
  <c r="BE265" i="80" s="1"/>
  <c r="AQ35" i="80"/>
  <c r="BG35" i="80" s="1"/>
  <c r="BA35" i="80" s="1"/>
  <c r="BD35" i="80" s="1"/>
  <c r="AG35" i="80"/>
  <c r="AF35" i="80" s="1"/>
  <c r="AF169" i="80"/>
  <c r="AF44" i="80"/>
  <c r="BG393" i="79"/>
  <c r="BA393" i="79" s="1"/>
  <c r="BD393" i="79" s="1"/>
  <c r="AQ326" i="79"/>
  <c r="AG540" i="79"/>
  <c r="AR540" i="79" s="1"/>
  <c r="AQ240" i="79"/>
  <c r="AR240" i="79" s="1"/>
  <c r="AF62" i="79"/>
  <c r="AI62" i="79" s="1"/>
  <c r="AG158" i="79"/>
  <c r="AR158" i="79" s="1"/>
  <c r="AG529" i="79"/>
  <c r="AF529" i="79" s="1"/>
  <c r="BG499" i="79"/>
  <c r="BA499" i="79" s="1"/>
  <c r="BD499" i="79" s="1"/>
  <c r="BD519" i="79"/>
  <c r="AQ537" i="79"/>
  <c r="AR537" i="79" s="1"/>
  <c r="AG473" i="79"/>
  <c r="AF473" i="79" s="1"/>
  <c r="AN473" i="79" s="1"/>
  <c r="BG529" i="79"/>
  <c r="BA529" i="79" s="1"/>
  <c r="BD529" i="79" s="1"/>
  <c r="BG453" i="79"/>
  <c r="BA453" i="79" s="1"/>
  <c r="BD453" i="79" s="1"/>
  <c r="AY424" i="79"/>
  <c r="BE424" i="79" s="1"/>
  <c r="AF424" i="79"/>
  <c r="AL424" i="79" s="1" a="1"/>
  <c r="AL424" i="79" s="1"/>
  <c r="AF537" i="79"/>
  <c r="AL537" i="79" s="1" a="1"/>
  <c r="AL537" i="79" s="1"/>
  <c r="AQ249" i="79"/>
  <c r="AR249" i="79" s="1"/>
  <c r="AQ470" i="79"/>
  <c r="BG470" i="79" s="1"/>
  <c r="BA470" i="79" s="1"/>
  <c r="BD470" i="79" s="1"/>
  <c r="AG452" i="79"/>
  <c r="AY452" i="79" s="1"/>
  <c r="BE452" i="79" s="1"/>
  <c r="AG447" i="79"/>
  <c r="AF447" i="79" s="1"/>
  <c r="AH447" i="79" s="1"/>
  <c r="AG486" i="79"/>
  <c r="AF486" i="79" s="1"/>
  <c r="AH486" i="79" s="1"/>
  <c r="AF97" i="79"/>
  <c r="AL97" i="79" s="1" a="1"/>
  <c r="AL97" i="79" s="1"/>
  <c r="AG384" i="79"/>
  <c r="AF384" i="79" s="1"/>
  <c r="AH384" i="79" s="1"/>
  <c r="BG540" i="79"/>
  <c r="BA540" i="79" s="1"/>
  <c r="BD540" i="79" s="1"/>
  <c r="AQ380" i="79"/>
  <c r="BG380" i="79" s="1"/>
  <c r="BA380" i="79" s="1"/>
  <c r="BD380" i="79" s="1"/>
  <c r="BG280" i="79"/>
  <c r="BA280" i="79" s="1"/>
  <c r="BD280" i="79" s="1"/>
  <c r="AG519" i="79"/>
  <c r="AG446" i="79"/>
  <c r="AY446" i="79" s="1"/>
  <c r="BE446" i="79" s="1"/>
  <c r="AG503" i="79"/>
  <c r="AR503" i="79" s="1"/>
  <c r="AG239" i="79"/>
  <c r="AF239" i="79" s="1"/>
  <c r="AY154" i="79"/>
  <c r="BE154" i="79" s="1"/>
  <c r="AG449" i="79"/>
  <c r="AG349" i="79"/>
  <c r="AF349" i="79" s="1"/>
  <c r="AG220" i="79"/>
  <c r="AF220" i="79" s="1"/>
  <c r="AI220" i="79" s="1"/>
  <c r="AQ225" i="79"/>
  <c r="BG225" i="79" s="1"/>
  <c r="BA225" i="79" s="1"/>
  <c r="BD225" i="79" s="1"/>
  <c r="AG225" i="79"/>
  <c r="AF225" i="79" s="1"/>
  <c r="BD303" i="79"/>
  <c r="AY382" i="79"/>
  <c r="BE382" i="79" s="1"/>
  <c r="AG393" i="79"/>
  <c r="AY393" i="79" s="1"/>
  <c r="BE393" i="79" s="1"/>
  <c r="AQ349" i="79"/>
  <c r="BG349" i="79" s="1"/>
  <c r="BA349" i="79" s="1"/>
  <c r="BD349" i="79" s="1"/>
  <c r="AG303" i="79"/>
  <c r="AF303" i="79" s="1"/>
  <c r="AF240" i="79"/>
  <c r="BG421" i="79"/>
  <c r="BA421" i="79" s="1"/>
  <c r="BD421" i="79" s="1"/>
  <c r="AG421" i="79"/>
  <c r="AG280" i="79"/>
  <c r="AF280" i="79" s="1"/>
  <c r="BG239" i="79"/>
  <c r="BA239" i="79" s="1"/>
  <c r="BD239" i="79" s="1"/>
  <c r="AQ452" i="79"/>
  <c r="AG184" i="79"/>
  <c r="AF184" i="79" s="1"/>
  <c r="AH184" i="79" s="1"/>
  <c r="BG503" i="79"/>
  <c r="BA503" i="79" s="1"/>
  <c r="BD503" i="79" s="1"/>
  <c r="AQ476" i="79"/>
  <c r="BG476" i="79" s="1"/>
  <c r="BA476" i="79" s="1"/>
  <c r="BD476" i="79" s="1"/>
  <c r="AG390" i="79"/>
  <c r="AF390" i="79" s="1"/>
  <c r="AQ390" i="79"/>
  <c r="BG390" i="79" s="1"/>
  <c r="BA390" i="79" s="1"/>
  <c r="BD390" i="79" s="1"/>
  <c r="BG245" i="79"/>
  <c r="BA245" i="79" s="1"/>
  <c r="BD245" i="79" s="1"/>
  <c r="AY344" i="79"/>
  <c r="BE344" i="79" s="1"/>
  <c r="AY430" i="79"/>
  <c r="BE430" i="79" s="1"/>
  <c r="AY249" i="79"/>
  <c r="BE249" i="79" s="1"/>
  <c r="AG538" i="79"/>
  <c r="AY538" i="79" s="1"/>
  <c r="BE538" i="79" s="1"/>
  <c r="AQ538" i="79"/>
  <c r="BG538" i="79" s="1"/>
  <c r="BA538" i="79" s="1"/>
  <c r="BD538" i="79" s="1"/>
  <c r="AQ299" i="79"/>
  <c r="AR299" i="79" s="1"/>
  <c r="AG283" i="79"/>
  <c r="AY283" i="79" s="1"/>
  <c r="BE283" i="79" s="1"/>
  <c r="AQ283" i="79"/>
  <c r="BG283" i="79" s="1"/>
  <c r="BA283" i="79" s="1"/>
  <c r="BD283" i="79" s="1"/>
  <c r="AF342" i="79"/>
  <c r="AH342" i="79" s="1"/>
  <c r="AY157" i="79"/>
  <c r="BE157" i="79" s="1"/>
  <c r="AG224" i="79"/>
  <c r="AF224" i="79" s="1"/>
  <c r="BG522" i="79"/>
  <c r="BA522" i="79" s="1"/>
  <c r="BD522" i="79" s="1"/>
  <c r="AG245" i="79"/>
  <c r="AF245" i="79" s="1"/>
  <c r="AG506" i="79"/>
  <c r="AF300" i="79"/>
  <c r="AJ300" i="79" s="1"/>
  <c r="AG451" i="79"/>
  <c r="AF451" i="79" s="1"/>
  <c r="AQ431" i="79"/>
  <c r="BG431" i="79" s="1"/>
  <c r="BA431" i="79" s="1"/>
  <c r="BD431" i="79" s="1"/>
  <c r="AF164" i="79"/>
  <c r="AJ164" i="79" s="1"/>
  <c r="AG441" i="79"/>
  <c r="AR441" i="79" s="1"/>
  <c r="AG262" i="79"/>
  <c r="AY262" i="79" s="1"/>
  <c r="BE262" i="79" s="1"/>
  <c r="AQ451" i="79"/>
  <c r="BG451" i="79" s="1"/>
  <c r="BA451" i="79" s="1"/>
  <c r="BD451" i="79" s="1"/>
  <c r="AG138" i="79"/>
  <c r="AF138" i="79" s="1"/>
  <c r="AQ424" i="79"/>
  <c r="BG424" i="79" s="1"/>
  <c r="BA424" i="79" s="1"/>
  <c r="BD424" i="79" s="1"/>
  <c r="AF407" i="79"/>
  <c r="BX407" i="79" s="1"/>
  <c r="AQ443" i="79"/>
  <c r="BG443" i="79" s="1"/>
  <c r="BA443" i="79" s="1"/>
  <c r="BD443" i="79" s="1"/>
  <c r="AQ308" i="79"/>
  <c r="BG308" i="79" s="1"/>
  <c r="BA308" i="79" s="1"/>
  <c r="BD308" i="79" s="1"/>
  <c r="AQ97" i="79"/>
  <c r="AR97" i="79" s="1"/>
  <c r="AG499" i="79"/>
  <c r="AR499" i="79" s="1"/>
  <c r="BG532" i="79"/>
  <c r="BA532" i="79" s="1"/>
  <c r="BD532" i="79" s="1"/>
  <c r="AF264" i="79"/>
  <c r="AL264" i="79" s="1" a="1"/>
  <c r="AL264" i="79" s="1"/>
  <c r="AF311" i="79"/>
  <c r="AJ311" i="79" s="1"/>
  <c r="AG532" i="79"/>
  <c r="AF532" i="79" s="1"/>
  <c r="AJ532" i="79" s="1"/>
  <c r="AQ311" i="79"/>
  <c r="BG311" i="79" s="1"/>
  <c r="BA311" i="79" s="1"/>
  <c r="BD311" i="79" s="1"/>
  <c r="AF382" i="79"/>
  <c r="AG241" i="79"/>
  <c r="AQ241" i="79"/>
  <c r="BG241" i="79" s="1"/>
  <c r="BA241" i="79" s="1"/>
  <c r="BD241" i="79" s="1"/>
  <c r="AQ138" i="79"/>
  <c r="BG138" i="79" s="1"/>
  <c r="BA138" i="79" s="1"/>
  <c r="BD138" i="79" s="1"/>
  <c r="BD515" i="79"/>
  <c r="BG365" i="79"/>
  <c r="BA365" i="79" s="1"/>
  <c r="BD365" i="79" s="1"/>
  <c r="BG473" i="79"/>
  <c r="BA473" i="79" s="1"/>
  <c r="BD473" i="79" s="1"/>
  <c r="AQ230" i="79"/>
  <c r="BG230" i="79" s="1"/>
  <c r="BA230" i="79" s="1"/>
  <c r="BD230" i="79" s="1"/>
  <c r="BH535" i="79"/>
  <c r="AG365" i="79"/>
  <c r="AR365" i="79" s="1"/>
  <c r="AG336" i="79"/>
  <c r="AY336" i="79" s="1"/>
  <c r="BE336" i="79" s="1"/>
  <c r="AF299" i="79"/>
  <c r="AN299" i="79" s="1"/>
  <c r="AQ321" i="79"/>
  <c r="BG321" i="79" s="1"/>
  <c r="BA321" i="79" s="1"/>
  <c r="BD321" i="79" s="1"/>
  <c r="AG321" i="79"/>
  <c r="AJ275" i="79"/>
  <c r="AG358" i="79"/>
  <c r="AY358" i="79" s="1"/>
  <c r="BE358" i="79" s="1"/>
  <c r="AG298" i="79"/>
  <c r="AF298" i="79" s="1"/>
  <c r="AR275" i="79"/>
  <c r="AG516" i="79"/>
  <c r="AQ516" i="79"/>
  <c r="BG516" i="79" s="1"/>
  <c r="BA516" i="79" s="1"/>
  <c r="BD516" i="79" s="1"/>
  <c r="AQ400" i="79"/>
  <c r="BG400" i="79" s="1"/>
  <c r="BA400" i="79" s="1"/>
  <c r="BD400" i="79" s="1"/>
  <c r="AG400" i="79"/>
  <c r="AQ215" i="79"/>
  <c r="BG215" i="79" s="1"/>
  <c r="BA215" i="79" s="1"/>
  <c r="BD215" i="79" s="1"/>
  <c r="AG215" i="79"/>
  <c r="AR412" i="79"/>
  <c r="BD65" i="79"/>
  <c r="AQ234" i="79"/>
  <c r="AG373" i="79"/>
  <c r="AF373" i="79" s="1"/>
  <c r="AQ387" i="79"/>
  <c r="BG387" i="79" s="1"/>
  <c r="BA387" i="79" s="1"/>
  <c r="BD387" i="79" s="1"/>
  <c r="AG387" i="79"/>
  <c r="AF387" i="79" s="1"/>
  <c r="AQ233" i="79"/>
  <c r="BG233" i="79" s="1"/>
  <c r="BA233" i="79" s="1"/>
  <c r="BD233" i="79" s="1"/>
  <c r="AG233" i="79"/>
  <c r="AQ291" i="79"/>
  <c r="BG291" i="79" s="1"/>
  <c r="BA291" i="79" s="1"/>
  <c r="BD291" i="79" s="1"/>
  <c r="AG291" i="79"/>
  <c r="AF291" i="79" s="1"/>
  <c r="AG459" i="79"/>
  <c r="AF459" i="79" s="1"/>
  <c r="AQ459" i="79"/>
  <c r="BG459" i="79" s="1"/>
  <c r="BA459" i="79" s="1"/>
  <c r="BD459" i="79" s="1"/>
  <c r="AQ417" i="79"/>
  <c r="BG417" i="79" s="1"/>
  <c r="BA417" i="79" s="1"/>
  <c r="BD417" i="79" s="1"/>
  <c r="AG417" i="79"/>
  <c r="AQ483" i="79"/>
  <c r="BG483" i="79" s="1"/>
  <c r="BA483" i="79" s="1"/>
  <c r="BD483" i="79" s="1"/>
  <c r="AG483" i="79"/>
  <c r="AQ395" i="79"/>
  <c r="BG395" i="79" s="1"/>
  <c r="BA395" i="79" s="1"/>
  <c r="BD395" i="79" s="1"/>
  <c r="AH275" i="79"/>
  <c r="AG188" i="79"/>
  <c r="AF188" i="79" s="1"/>
  <c r="AQ368" i="79"/>
  <c r="BG368" i="79" s="1"/>
  <c r="BA368" i="79" s="1"/>
  <c r="BD368" i="79" s="1"/>
  <c r="AG368" i="79"/>
  <c r="AF368" i="79" s="1"/>
  <c r="AQ264" i="79"/>
  <c r="BG264" i="79" s="1"/>
  <c r="BA264" i="79" s="1"/>
  <c r="BD264" i="79" s="1"/>
  <c r="AG526" i="79"/>
  <c r="AQ402" i="79"/>
  <c r="BG402" i="79" s="1"/>
  <c r="BA402" i="79" s="1"/>
  <c r="BD402" i="79" s="1"/>
  <c r="AH535" i="79"/>
  <c r="AY299" i="79"/>
  <c r="BE299" i="79" s="1"/>
  <c r="AG402" i="79"/>
  <c r="AY402" i="79" s="1"/>
  <c r="BE402" i="79" s="1"/>
  <c r="AG119" i="79"/>
  <c r="AF119" i="79" s="1"/>
  <c r="AY97" i="79"/>
  <c r="BE97" i="79" s="1"/>
  <c r="AQ373" i="79"/>
  <c r="BG373" i="79" s="1"/>
  <c r="BA373" i="79" s="1"/>
  <c r="BD373" i="79" s="1"/>
  <c r="AG149" i="79"/>
  <c r="AY149" i="79" s="1"/>
  <c r="BE149" i="79" s="1"/>
  <c r="AY164" i="79"/>
  <c r="BE164" i="79" s="1"/>
  <c r="AG411" i="79"/>
  <c r="AY411" i="79" s="1"/>
  <c r="BE411" i="79" s="1"/>
  <c r="AQ411" i="79"/>
  <c r="BG411" i="79" s="1"/>
  <c r="BA411" i="79" s="1"/>
  <c r="BD411" i="79" s="1"/>
  <c r="AQ232" i="79"/>
  <c r="BG232" i="79" s="1"/>
  <c r="BA232" i="79" s="1"/>
  <c r="BD232" i="79" s="1"/>
  <c r="AG232" i="79"/>
  <c r="AF232" i="79" s="1"/>
  <c r="AG152" i="79"/>
  <c r="AQ152" i="79"/>
  <c r="BG152" i="79" s="1"/>
  <c r="BA152" i="79" s="1"/>
  <c r="BD152" i="79" s="1"/>
  <c r="AI275" i="79"/>
  <c r="AQ344" i="79"/>
  <c r="AR344" i="79" s="1"/>
  <c r="AQ544" i="79"/>
  <c r="BG544" i="79" s="1"/>
  <c r="BA544" i="79" s="1"/>
  <c r="BD544" i="79" s="1"/>
  <c r="AY323" i="79"/>
  <c r="BE323" i="79" s="1"/>
  <c r="AG395" i="79"/>
  <c r="AY395" i="79" s="1"/>
  <c r="BE395" i="79" s="1"/>
  <c r="AQ351" i="79"/>
  <c r="BG351" i="79" s="1"/>
  <c r="BA351" i="79" s="1"/>
  <c r="BD351" i="79" s="1"/>
  <c r="AG351" i="79"/>
  <c r="AQ271" i="79"/>
  <c r="AR271" i="79" s="1"/>
  <c r="AN60" i="79"/>
  <c r="AG493" i="79"/>
  <c r="AY493" i="79" s="1"/>
  <c r="BE493" i="79" s="1"/>
  <c r="BX535" i="79"/>
  <c r="AG242" i="79"/>
  <c r="AF242" i="79" s="1"/>
  <c r="AH60" i="79"/>
  <c r="AQ86" i="79"/>
  <c r="BG86" i="79" s="1"/>
  <c r="BA86" i="79" s="1"/>
  <c r="BD86" i="79" s="1"/>
  <c r="AQ273" i="79"/>
  <c r="BG273" i="79" s="1"/>
  <c r="BA273" i="79" s="1"/>
  <c r="BD273" i="79" s="1"/>
  <c r="AG434" i="79"/>
  <c r="AF434" i="79" s="1"/>
  <c r="AJ434" i="79" s="1"/>
  <c r="AR60" i="79"/>
  <c r="AG485" i="79"/>
  <c r="AQ485" i="79"/>
  <c r="BG485" i="79" s="1"/>
  <c r="BA485" i="79" s="1"/>
  <c r="BD485" i="79" s="1"/>
  <c r="AF344" i="79"/>
  <c r="AJ344" i="79" s="1"/>
  <c r="AG259" i="79"/>
  <c r="AY259" i="79" s="1"/>
  <c r="BE259" i="79" s="1"/>
  <c r="AQ259" i="79"/>
  <c r="BX275" i="79"/>
  <c r="AN275" i="79"/>
  <c r="AG544" i="79"/>
  <c r="AY544" i="79" s="1"/>
  <c r="BE544" i="79" s="1"/>
  <c r="AF508" i="79"/>
  <c r="AN508" i="79" s="1"/>
  <c r="AG466" i="79"/>
  <c r="AF466" i="79" s="1"/>
  <c r="AI535" i="79"/>
  <c r="AG360" i="79"/>
  <c r="AF360" i="79" s="1"/>
  <c r="AN360" i="79" s="1"/>
  <c r="AQ407" i="79"/>
  <c r="BG407" i="79" s="1"/>
  <c r="BA407" i="79" s="1"/>
  <c r="BD407" i="79" s="1"/>
  <c r="AF86" i="79"/>
  <c r="BX86" i="79" s="1"/>
  <c r="AF273" i="79"/>
  <c r="AH273" i="79" s="1"/>
  <c r="AQ317" i="79"/>
  <c r="BG317" i="79" s="1"/>
  <c r="BA317" i="79" s="1"/>
  <c r="BD317" i="79" s="1"/>
  <c r="AQ482" i="79"/>
  <c r="BG482" i="79" s="1"/>
  <c r="BA482" i="79" s="1"/>
  <c r="BD482" i="79" s="1"/>
  <c r="AG482" i="79"/>
  <c r="AY482" i="79" s="1"/>
  <c r="BE482" i="79" s="1"/>
  <c r="AG279" i="79"/>
  <c r="AG403" i="79"/>
  <c r="AF403" i="79" s="1"/>
  <c r="AQ403" i="79"/>
  <c r="BG403" i="79" s="1"/>
  <c r="BA403" i="79" s="1"/>
  <c r="BD403" i="79" s="1"/>
  <c r="AQ251" i="79"/>
  <c r="BG251" i="79" s="1"/>
  <c r="BA251" i="79" s="1"/>
  <c r="BD251" i="79" s="1"/>
  <c r="AG251" i="79"/>
  <c r="AQ493" i="79"/>
  <c r="BG493" i="79" s="1"/>
  <c r="BA493" i="79" s="1"/>
  <c r="BD493" i="79" s="1"/>
  <c r="AQ526" i="79"/>
  <c r="BG526" i="79" s="1"/>
  <c r="BA526" i="79" s="1"/>
  <c r="BD526" i="79" s="1"/>
  <c r="AF234" i="79"/>
  <c r="AH234" i="79" s="1"/>
  <c r="AN535" i="79"/>
  <c r="AQ508" i="79"/>
  <c r="BG508" i="79" s="1"/>
  <c r="BA508" i="79" s="1"/>
  <c r="BD508" i="79" s="1"/>
  <c r="BG466" i="79"/>
  <c r="BA466" i="79" s="1"/>
  <c r="BD466" i="79" s="1"/>
  <c r="AQ430" i="79"/>
  <c r="BG430" i="79" s="1"/>
  <c r="BA430" i="79" s="1"/>
  <c r="BD430" i="79" s="1"/>
  <c r="AJ535" i="79"/>
  <c r="BD360" i="79"/>
  <c r="AG254" i="79"/>
  <c r="AY254" i="79" s="1"/>
  <c r="BE254" i="79" s="1"/>
  <c r="BG242" i="79"/>
  <c r="BA242" i="79" s="1"/>
  <c r="BD242" i="79" s="1"/>
  <c r="AG522" i="79"/>
  <c r="AY522" i="79" s="1"/>
  <c r="BE522" i="79" s="1"/>
  <c r="BG462" i="79"/>
  <c r="BA462" i="79" s="1"/>
  <c r="BD462" i="79" s="1"/>
  <c r="AG192" i="79"/>
  <c r="AF192" i="79" s="1"/>
  <c r="AF317" i="79"/>
  <c r="AL317" i="79" s="1" a="1"/>
  <c r="AL317" i="79" s="1"/>
  <c r="AQ248" i="79"/>
  <c r="BG248" i="79" s="1"/>
  <c r="BA248" i="79" s="1"/>
  <c r="BD248" i="79" s="1"/>
  <c r="AG248" i="79"/>
  <c r="AQ212" i="79"/>
  <c r="BG212" i="79" s="1"/>
  <c r="BA212" i="79" s="1"/>
  <c r="BD212" i="79" s="1"/>
  <c r="AG212" i="79"/>
  <c r="AY275" i="79"/>
  <c r="BE275" i="79" s="1"/>
  <c r="AG498" i="79"/>
  <c r="AF498" i="79" s="1"/>
  <c r="AQ469" i="79"/>
  <c r="BG469" i="79" s="1"/>
  <c r="BA469" i="79" s="1"/>
  <c r="BD469" i="79" s="1"/>
  <c r="AG469" i="79"/>
  <c r="AF469" i="79" s="1"/>
  <c r="AQ341" i="79"/>
  <c r="BG341" i="79" s="1"/>
  <c r="BA341" i="79" s="1"/>
  <c r="BD341" i="79" s="1"/>
  <c r="AG341" i="79"/>
  <c r="AQ406" i="79"/>
  <c r="BG406" i="79" s="1"/>
  <c r="BA406" i="79" s="1"/>
  <c r="BD406" i="79" s="1"/>
  <c r="AG406" i="79"/>
  <c r="AY406" i="79" s="1"/>
  <c r="BE406" i="79" s="1"/>
  <c r="AQ320" i="79"/>
  <c r="BG320" i="79" s="1"/>
  <c r="BA320" i="79" s="1"/>
  <c r="BD320" i="79" s="1"/>
  <c r="AG320" i="79"/>
  <c r="AQ428" i="79"/>
  <c r="AG428" i="79"/>
  <c r="AQ323" i="79"/>
  <c r="BG323" i="79" s="1"/>
  <c r="BA323" i="79" s="1"/>
  <c r="BD323" i="79" s="1"/>
  <c r="AF249" i="79"/>
  <c r="AJ249" i="79" s="1"/>
  <c r="AF323" i="79"/>
  <c r="AN323" i="79" s="1"/>
  <c r="BG518" i="79"/>
  <c r="BA518" i="79" s="1"/>
  <c r="BD518" i="79" s="1"/>
  <c r="AF527" i="79"/>
  <c r="AL527" i="79" s="1" a="1"/>
  <c r="AL527" i="79" s="1"/>
  <c r="AQ527" i="79"/>
  <c r="BG527" i="79" s="1"/>
  <c r="BA527" i="79" s="1"/>
  <c r="BD527" i="79" s="1"/>
  <c r="AG518" i="79"/>
  <c r="AF518" i="79" s="1"/>
  <c r="AF430" i="79"/>
  <c r="AJ430" i="79" s="1"/>
  <c r="BG254" i="79"/>
  <c r="BA254" i="79" s="1"/>
  <c r="BD254" i="79" s="1"/>
  <c r="AQ159" i="79"/>
  <c r="BG159" i="79" s="1"/>
  <c r="BA159" i="79" s="1"/>
  <c r="BD159" i="79" s="1"/>
  <c r="AY204" i="79"/>
  <c r="BE204" i="79" s="1"/>
  <c r="AG203" i="79"/>
  <c r="AY203" i="79" s="1"/>
  <c r="BE203" i="79" s="1"/>
  <c r="AQ207" i="79"/>
  <c r="BG207" i="79" s="1"/>
  <c r="BA207" i="79" s="1"/>
  <c r="BD207" i="79" s="1"/>
  <c r="AG207" i="79"/>
  <c r="AF207" i="79" s="1"/>
  <c r="AQ205" i="79"/>
  <c r="BG205" i="79" s="1"/>
  <c r="BA205" i="79" s="1"/>
  <c r="BD205" i="79" s="1"/>
  <c r="AQ208" i="79"/>
  <c r="BG208" i="79" s="1"/>
  <c r="BA208" i="79" s="1"/>
  <c r="BD208" i="79" s="1"/>
  <c r="BG46" i="79"/>
  <c r="BA46" i="79" s="1"/>
  <c r="BD46" i="79" s="1"/>
  <c r="AY60" i="79"/>
  <c r="BE60" i="79" s="1"/>
  <c r="AF154" i="79"/>
  <c r="AN154" i="79" s="1"/>
  <c r="AQ164" i="79"/>
  <c r="AQ200" i="79"/>
  <c r="BG200" i="79" s="1"/>
  <c r="BA200" i="79" s="1"/>
  <c r="BD200" i="79" s="1"/>
  <c r="AG35" i="79"/>
  <c r="AR35" i="79" s="1"/>
  <c r="AG136" i="79"/>
  <c r="AF136" i="79" s="1"/>
  <c r="BX136" i="79" s="1"/>
  <c r="AG176" i="79"/>
  <c r="AF176" i="79" s="1"/>
  <c r="BX176" i="79" s="1"/>
  <c r="AQ88" i="79"/>
  <c r="BG88" i="79" s="1"/>
  <c r="BA88" i="79" s="1"/>
  <c r="BD88" i="79" s="1"/>
  <c r="AG46" i="79"/>
  <c r="AF46" i="79" s="1"/>
  <c r="AQ70" i="79"/>
  <c r="BG70" i="79" s="1"/>
  <c r="BA70" i="79" s="1"/>
  <c r="BD70" i="79" s="1"/>
  <c r="AG70" i="79"/>
  <c r="AF70" i="79" s="1"/>
  <c r="BG136" i="79"/>
  <c r="BA136" i="79" s="1"/>
  <c r="BD136" i="79" s="1"/>
  <c r="AY86" i="79"/>
  <c r="BE86" i="79" s="1"/>
  <c r="AG134" i="79"/>
  <c r="AR134" i="79" s="1"/>
  <c r="BG35" i="79"/>
  <c r="BA35" i="79" s="1"/>
  <c r="BD35" i="79" s="1"/>
  <c r="AQ149" i="79"/>
  <c r="BG149" i="79" s="1"/>
  <c r="BA149" i="79" s="1"/>
  <c r="BD149" i="79" s="1"/>
  <c r="AG65" i="79"/>
  <c r="AR65" i="79" s="1"/>
  <c r="AQ113" i="79"/>
  <c r="BG113" i="79" s="1"/>
  <c r="BA113" i="79" s="1"/>
  <c r="BD113" i="79" s="1"/>
  <c r="AG113" i="79"/>
  <c r="AY113" i="79" s="1"/>
  <c r="BE113" i="79" s="1"/>
  <c r="AG179" i="79"/>
  <c r="AF179" i="79" s="1"/>
  <c r="AN179" i="79" s="1"/>
  <c r="AQ107" i="79"/>
  <c r="BG107" i="79" s="1"/>
  <c r="BA107" i="79" s="1"/>
  <c r="BD107" i="79" s="1"/>
  <c r="AG107" i="79"/>
  <c r="AF107" i="79" s="1"/>
  <c r="BD61" i="79"/>
  <c r="AQ179" i="79"/>
  <c r="BG179" i="79" s="1"/>
  <c r="BA179" i="79" s="1"/>
  <c r="BD179" i="79" s="1"/>
  <c r="AQ160" i="79"/>
  <c r="BG160" i="79" s="1"/>
  <c r="BA160" i="79" s="1"/>
  <c r="BD160" i="79" s="1"/>
  <c r="AG160" i="79"/>
  <c r="AF160" i="79" s="1"/>
  <c r="BX160" i="79" s="1"/>
  <c r="AG169" i="79"/>
  <c r="AF169" i="79" s="1"/>
  <c r="AL169" i="79" s="1" a="1"/>
  <c r="AL169" i="79" s="1"/>
  <c r="AQ169" i="79"/>
  <c r="BG169" i="79" s="1"/>
  <c r="BA169" i="79" s="1"/>
  <c r="BD169" i="79" s="1"/>
  <c r="AY59" i="79"/>
  <c r="BE59" i="79" s="1"/>
  <c r="AG175" i="79"/>
  <c r="AY175" i="79" s="1"/>
  <c r="BE175" i="79" s="1"/>
  <c r="AQ175" i="79"/>
  <c r="BG175" i="79" s="1"/>
  <c r="BA175" i="79" s="1"/>
  <c r="BD175" i="79" s="1"/>
  <c r="AQ53" i="79"/>
  <c r="AR53" i="79" s="1"/>
  <c r="AG61" i="79"/>
  <c r="AF61" i="79" s="1"/>
  <c r="AQ36" i="79"/>
  <c r="BG36" i="79" s="1"/>
  <c r="BA36" i="79" s="1"/>
  <c r="BD36" i="79" s="1"/>
  <c r="AG36" i="79"/>
  <c r="AQ161" i="79"/>
  <c r="BG161" i="79" s="1"/>
  <c r="BA161" i="79" s="1"/>
  <c r="BD161" i="79" s="1"/>
  <c r="AG161" i="79"/>
  <c r="AF161" i="79" s="1"/>
  <c r="AQ167" i="79"/>
  <c r="BG167" i="79" s="1"/>
  <c r="BA167" i="79" s="1"/>
  <c r="BD167" i="79" s="1"/>
  <c r="AG167" i="79"/>
  <c r="AQ185" i="79"/>
  <c r="BG185" i="79" s="1"/>
  <c r="BA185" i="79" s="1"/>
  <c r="BD185" i="79" s="1"/>
  <c r="AG185" i="79"/>
  <c r="AF185" i="79" s="1"/>
  <c r="BX185" i="79" s="1"/>
  <c r="BD196" i="79"/>
  <c r="AG117" i="79"/>
  <c r="AF117" i="79" s="1"/>
  <c r="AJ117" i="79" s="1"/>
  <c r="BG117" i="79"/>
  <c r="BA117" i="79" s="1"/>
  <c r="BD117" i="79" s="1"/>
  <c r="AQ168" i="79"/>
  <c r="BG168" i="79" s="1"/>
  <c r="BA168" i="79" s="1"/>
  <c r="BD168" i="79" s="1"/>
  <c r="AR150" i="79"/>
  <c r="AG95" i="79"/>
  <c r="AY95" i="79" s="1"/>
  <c r="BE95" i="79" s="1"/>
  <c r="AQ95" i="79"/>
  <c r="AQ104" i="79"/>
  <c r="AR104" i="79" s="1"/>
  <c r="AG144" i="79"/>
  <c r="AY144" i="79" s="1"/>
  <c r="BE144" i="79" s="1"/>
  <c r="AQ103" i="79"/>
  <c r="BG103" i="79" s="1"/>
  <c r="BA103" i="79" s="1"/>
  <c r="BD103" i="79" s="1"/>
  <c r="AG67" i="79"/>
  <c r="AF67" i="79" s="1"/>
  <c r="AQ67" i="79"/>
  <c r="BG67" i="79" s="1"/>
  <c r="BA67" i="79" s="1"/>
  <c r="BD67" i="79" s="1"/>
  <c r="AQ170" i="79"/>
  <c r="BG170" i="79" s="1"/>
  <c r="BA170" i="79" s="1"/>
  <c r="BD170" i="79" s="1"/>
  <c r="AG170" i="79"/>
  <c r="AF170" i="79" s="1"/>
  <c r="AY54" i="79"/>
  <c r="BE54" i="79" s="1"/>
  <c r="AG63" i="79"/>
  <c r="AR63" i="79" s="1"/>
  <c r="AG196" i="79"/>
  <c r="AF196" i="79" s="1"/>
  <c r="AQ62" i="79"/>
  <c r="BG62" i="79" s="1"/>
  <c r="BA62" i="79" s="1"/>
  <c r="BD62" i="79" s="1"/>
  <c r="AF54" i="79"/>
  <c r="AG68" i="79"/>
  <c r="AF68" i="79" s="1"/>
  <c r="AY108" i="79"/>
  <c r="BE108" i="79" s="1"/>
  <c r="AQ118" i="79"/>
  <c r="BG118" i="79" s="1"/>
  <c r="BA118" i="79" s="1"/>
  <c r="BD118" i="79" s="1"/>
  <c r="AG118" i="79"/>
  <c r="AG40" i="79"/>
  <c r="AY40" i="79" s="1"/>
  <c r="BE40" i="79" s="1"/>
  <c r="AQ68" i="79"/>
  <c r="BG68" i="79" s="1"/>
  <c r="BA68" i="79" s="1"/>
  <c r="BD68" i="79" s="1"/>
  <c r="AQ173" i="79"/>
  <c r="BG173" i="79" s="1"/>
  <c r="BA173" i="79" s="1"/>
  <c r="BD173" i="79" s="1"/>
  <c r="AG173" i="79"/>
  <c r="AF173" i="79" s="1"/>
  <c r="AG168" i="79"/>
  <c r="AF168" i="79" s="1"/>
  <c r="BX168" i="79" s="1"/>
  <c r="AG153" i="79"/>
  <c r="AF153" i="79" s="1"/>
  <c r="AF204" i="79"/>
  <c r="AJ204" i="79" s="1"/>
  <c r="AQ38" i="79"/>
  <c r="BG38" i="79" s="1"/>
  <c r="BA38" i="79" s="1"/>
  <c r="BD38" i="79" s="1"/>
  <c r="AG38" i="79"/>
  <c r="AQ204" i="79"/>
  <c r="AR204" i="79" s="1"/>
  <c r="BX60" i="79"/>
  <c r="AJ60" i="79"/>
  <c r="AI60" i="79"/>
  <c r="AJ104" i="79"/>
  <c r="AL104" i="79" a="1"/>
  <c r="AL104" i="79" s="1"/>
  <c r="AI104" i="79"/>
  <c r="AH104" i="79"/>
  <c r="BX104" i="79"/>
  <c r="AN104" i="79"/>
  <c r="AG155" i="79"/>
  <c r="AF155" i="79" s="1"/>
  <c r="AQ155" i="79"/>
  <c r="BG155" i="79" s="1"/>
  <c r="BA155" i="79" s="1"/>
  <c r="BD155" i="79" s="1"/>
  <c r="AG75" i="79"/>
  <c r="AF75" i="79" s="1"/>
  <c r="AQ75" i="79"/>
  <c r="BG75" i="79" s="1"/>
  <c r="BA75" i="79" s="1"/>
  <c r="BB75" i="79" s="1"/>
  <c r="AG193" i="79"/>
  <c r="AF193" i="79" s="1"/>
  <c r="AQ193" i="79"/>
  <c r="BG193" i="79" s="1"/>
  <c r="BA193" i="79" s="1"/>
  <c r="BD193" i="79" s="1"/>
  <c r="AQ130" i="79"/>
  <c r="BG130" i="79" s="1"/>
  <c r="BA130" i="79" s="1"/>
  <c r="BB130" i="79" s="1"/>
  <c r="AG130" i="79"/>
  <c r="AG45" i="79"/>
  <c r="AF45" i="79" s="1"/>
  <c r="AQ45" i="79"/>
  <c r="BG45" i="79" s="1"/>
  <c r="BA45" i="79" s="1"/>
  <c r="BD45" i="79" s="1"/>
  <c r="AG510" i="79"/>
  <c r="AF510" i="79" s="1"/>
  <c r="AQ510" i="79"/>
  <c r="BG510" i="79" s="1"/>
  <c r="BA510" i="79" s="1"/>
  <c r="BD510" i="79" s="1"/>
  <c r="AG178" i="79"/>
  <c r="AF178" i="79" s="1"/>
  <c r="AQ178" i="79"/>
  <c r="BG178" i="79" s="1"/>
  <c r="BA178" i="79" s="1"/>
  <c r="BD178" i="79" s="1"/>
  <c r="AQ77" i="79"/>
  <c r="BG77" i="79" s="1"/>
  <c r="BA77" i="79" s="1"/>
  <c r="BB77" i="79" s="1"/>
  <c r="AG77" i="79"/>
  <c r="AF77" i="79" s="1"/>
  <c r="AH53" i="79"/>
  <c r="AJ53" i="79"/>
  <c r="BX53" i="79"/>
  <c r="AL53" i="79" a="1"/>
  <c r="AL53" i="79" s="1"/>
  <c r="AI53" i="79"/>
  <c r="AN53" i="79"/>
  <c r="AL545" i="79" a="1"/>
  <c r="AL545" i="79" s="1"/>
  <c r="AI545" i="79"/>
  <c r="AN545" i="79"/>
  <c r="BX545" i="79"/>
  <c r="AJ545" i="79"/>
  <c r="AH545" i="79"/>
  <c r="AQ106" i="79"/>
  <c r="BG106" i="79" s="1"/>
  <c r="BA106" i="79" s="1"/>
  <c r="BD106" i="79" s="1"/>
  <c r="AG106" i="79"/>
  <c r="AF106" i="79" s="1"/>
  <c r="AN308" i="79"/>
  <c r="AH308" i="79"/>
  <c r="AJ308" i="79"/>
  <c r="AI308" i="79"/>
  <c r="BX308" i="79"/>
  <c r="AL308" i="79" a="1"/>
  <c r="AL308" i="79" s="1"/>
  <c r="AY229" i="79"/>
  <c r="BE229" i="79" s="1"/>
  <c r="AF229" i="79"/>
  <c r="AP126" i="79"/>
  <c r="AO126" i="79"/>
  <c r="AQ432" i="79"/>
  <c r="BG432" i="79" s="1"/>
  <c r="BA432" i="79" s="1"/>
  <c r="BD432" i="79" s="1"/>
  <c r="AG432" i="79"/>
  <c r="AF432" i="79" s="1"/>
  <c r="AG289" i="79"/>
  <c r="AF289" i="79" s="1"/>
  <c r="AQ289" i="79"/>
  <c r="BG289" i="79" s="1"/>
  <c r="BA289" i="79" s="1"/>
  <c r="BD289" i="79" s="1"/>
  <c r="AG274" i="79"/>
  <c r="AF274" i="79" s="1"/>
  <c r="AQ274" i="79"/>
  <c r="BG274" i="79" s="1"/>
  <c r="BA274" i="79" s="1"/>
  <c r="BD274" i="79" s="1"/>
  <c r="AL217" i="79" a="1"/>
  <c r="AL217" i="79" s="1"/>
  <c r="AN217" i="79"/>
  <c r="AJ217" i="79"/>
  <c r="AI217" i="79"/>
  <c r="AH217" i="79"/>
  <c r="BX217" i="79"/>
  <c r="AP125" i="79"/>
  <c r="AO125" i="79"/>
  <c r="AO121" i="79"/>
  <c r="AP121" i="79"/>
  <c r="AG353" i="79"/>
  <c r="AQ353" i="79"/>
  <c r="BG353" i="79" s="1"/>
  <c r="BA353" i="79" s="1"/>
  <c r="BD353" i="79" s="1"/>
  <c r="AJ525" i="79"/>
  <c r="AI525" i="79"/>
  <c r="AH525" i="79"/>
  <c r="AN525" i="79"/>
  <c r="AL525" i="79" a="1"/>
  <c r="AL525" i="79" s="1"/>
  <c r="BH525" i="79" s="1"/>
  <c r="BX525" i="79"/>
  <c r="AI511" i="79"/>
  <c r="BX511" i="79"/>
  <c r="AH511" i="79"/>
  <c r="AL511" i="79" a="1"/>
  <c r="AL511" i="79" s="1"/>
  <c r="BH511" i="79" s="1"/>
  <c r="AN511" i="79"/>
  <c r="AJ511" i="79"/>
  <c r="AI374" i="79"/>
  <c r="AH374" i="79"/>
  <c r="AL374" i="79" a="1"/>
  <c r="AL374" i="79" s="1"/>
  <c r="BH374" i="79" s="1"/>
  <c r="AJ374" i="79"/>
  <c r="AN374" i="79"/>
  <c r="BX374" i="79"/>
  <c r="AM98" i="79"/>
  <c r="AU98" i="79" s="1"/>
  <c r="AV98" i="79"/>
  <c r="AP98" i="79"/>
  <c r="AW98" i="79" a="1"/>
  <c r="AW98" i="79" s="1"/>
  <c r="BB98" i="79"/>
  <c r="AZ98" i="79"/>
  <c r="AO98" i="79"/>
  <c r="AQ81" i="79"/>
  <c r="BG81" i="79" s="1"/>
  <c r="BA81" i="79" s="1"/>
  <c r="BB81" i="79" s="1"/>
  <c r="AG81" i="79"/>
  <c r="AF81" i="79" s="1"/>
  <c r="AQ84" i="79"/>
  <c r="BG84" i="79" s="1"/>
  <c r="BA84" i="79" s="1"/>
  <c r="BB84" i="79" s="1"/>
  <c r="AG84" i="79"/>
  <c r="AF84" i="79" s="1"/>
  <c r="AQ73" i="79"/>
  <c r="BG73" i="79" s="1"/>
  <c r="BA73" i="79" s="1"/>
  <c r="BB73" i="79" s="1"/>
  <c r="AG73" i="79"/>
  <c r="AF73" i="79" s="1"/>
  <c r="AR467" i="79"/>
  <c r="AY467" i="79"/>
  <c r="BE467" i="79" s="1"/>
  <c r="AF467" i="79"/>
  <c r="AQ133" i="79"/>
  <c r="BG133" i="79" s="1"/>
  <c r="BA133" i="79" s="1"/>
  <c r="BB133" i="79" s="1"/>
  <c r="AG133" i="79"/>
  <c r="AL454" i="79" a="1"/>
  <c r="AL454" i="79" s="1"/>
  <c r="BH454" i="79" s="1"/>
  <c r="AI454" i="79"/>
  <c r="AH454" i="79"/>
  <c r="AN454" i="79"/>
  <c r="AJ454" i="79"/>
  <c r="BX454" i="79"/>
  <c r="AH88" i="79"/>
  <c r="AJ88" i="79"/>
  <c r="AI88" i="79"/>
  <c r="AL88" i="79" a="1"/>
  <c r="AL88" i="79" s="1"/>
  <c r="BX88" i="79"/>
  <c r="AN88" i="79"/>
  <c r="AY156" i="79"/>
  <c r="BE156" i="79" s="1"/>
  <c r="AO123" i="79"/>
  <c r="AP123" i="79"/>
  <c r="AL443" i="79" a="1"/>
  <c r="AL443" i="79" s="1"/>
  <c r="AH443" i="79"/>
  <c r="AJ443" i="79"/>
  <c r="AI443" i="79"/>
  <c r="AN443" i="79"/>
  <c r="BX443" i="79"/>
  <c r="AG250" i="79"/>
  <c r="AQ250" i="79"/>
  <c r="BG250" i="79" s="1"/>
  <c r="BA250" i="79" s="1"/>
  <c r="BD250" i="79" s="1"/>
  <c r="AQ92" i="79"/>
  <c r="BG92" i="79" s="1"/>
  <c r="BA92" i="79" s="1"/>
  <c r="BD92" i="79" s="1"/>
  <c r="AG92" i="79"/>
  <c r="AF92" i="79" s="1"/>
  <c r="AQ132" i="79"/>
  <c r="BG132" i="79" s="1"/>
  <c r="BA132" i="79" s="1"/>
  <c r="BB132" i="79" s="1"/>
  <c r="AG132" i="79"/>
  <c r="AF132" i="79" s="1"/>
  <c r="AY88" i="79"/>
  <c r="BE88" i="79" s="1"/>
  <c r="AQ186" i="79"/>
  <c r="BG186" i="79" s="1"/>
  <c r="BA186" i="79" s="1"/>
  <c r="BD186" i="79" s="1"/>
  <c r="AG186" i="79"/>
  <c r="AF186" i="79" s="1"/>
  <c r="AQ362" i="79"/>
  <c r="BG362" i="79" s="1"/>
  <c r="BA362" i="79" s="1"/>
  <c r="BD362" i="79" s="1"/>
  <c r="AG362" i="79"/>
  <c r="AF362" i="79" s="1"/>
  <c r="AG418" i="79"/>
  <c r="AF418" i="79" s="1"/>
  <c r="AQ418" i="79"/>
  <c r="BG418" i="79" s="1"/>
  <c r="BA418" i="79" s="1"/>
  <c r="BD418" i="79" s="1"/>
  <c r="AY62" i="79"/>
  <c r="BE62" i="79" s="1"/>
  <c r="AG504" i="79"/>
  <c r="AF504" i="79" s="1"/>
  <c r="AQ504" i="79"/>
  <c r="BG504" i="79" s="1"/>
  <c r="BA504" i="79" s="1"/>
  <c r="BD504" i="79" s="1"/>
  <c r="AG413" i="79"/>
  <c r="AQ413" i="79"/>
  <c r="BG413" i="79" s="1"/>
  <c r="BA413" i="79" s="1"/>
  <c r="BD413" i="79" s="1"/>
  <c r="AG257" i="79"/>
  <c r="AF257" i="79" s="1"/>
  <c r="AQ257" i="79"/>
  <c r="BG257" i="79" s="1"/>
  <c r="BA257" i="79" s="1"/>
  <c r="BD257" i="79" s="1"/>
  <c r="AQ489" i="79"/>
  <c r="BG489" i="79" s="1"/>
  <c r="BA489" i="79" s="1"/>
  <c r="BD489" i="79" s="1"/>
  <c r="AG489" i="79"/>
  <c r="AI326" i="79"/>
  <c r="AH326" i="79"/>
  <c r="AN326" i="79"/>
  <c r="AJ326" i="79"/>
  <c r="AL326" i="79" a="1"/>
  <c r="AL326" i="79" s="1"/>
  <c r="BX326" i="79"/>
  <c r="AQ367" i="79"/>
  <c r="BG367" i="79" s="1"/>
  <c r="BA367" i="79" s="1"/>
  <c r="BD367" i="79" s="1"/>
  <c r="AG367" i="79"/>
  <c r="AQ268" i="79"/>
  <c r="BG268" i="79" s="1"/>
  <c r="BA268" i="79" s="1"/>
  <c r="BD268" i="79" s="1"/>
  <c r="AG268" i="79"/>
  <c r="AF268" i="79" s="1"/>
  <c r="AY273" i="79"/>
  <c r="BE273" i="79" s="1"/>
  <c r="AG42" i="79"/>
  <c r="AF42" i="79" s="1"/>
  <c r="AQ42" i="79"/>
  <c r="BG42" i="79" s="1"/>
  <c r="BA42" i="79" s="1"/>
  <c r="BD42" i="79" s="1"/>
  <c r="AQ94" i="79"/>
  <c r="BG94" i="79" s="1"/>
  <c r="BA94" i="79" s="1"/>
  <c r="BD94" i="79" s="1"/>
  <c r="AG94" i="79"/>
  <c r="AF94" i="79" s="1"/>
  <c r="AG127" i="79"/>
  <c r="AQ127" i="79"/>
  <c r="BG127" i="79" s="1"/>
  <c r="BA127" i="79" s="1"/>
  <c r="BB127" i="79" s="1"/>
  <c r="AQ286" i="79"/>
  <c r="BG286" i="79" s="1"/>
  <c r="BA286" i="79" s="1"/>
  <c r="BD286" i="79" s="1"/>
  <c r="AG286" i="79"/>
  <c r="AG448" i="79"/>
  <c r="AQ448" i="79"/>
  <c r="BG448" i="79" s="1"/>
  <c r="BA448" i="79" s="1"/>
  <c r="BD448" i="79" s="1"/>
  <c r="AY326" i="79"/>
  <c r="BE326" i="79" s="1"/>
  <c r="AQ31" i="79"/>
  <c r="BG31" i="79" s="1"/>
  <c r="BA31" i="79" s="1"/>
  <c r="BD31" i="79" s="1"/>
  <c r="AG31" i="79"/>
  <c r="AF31" i="79" s="1"/>
  <c r="AG464" i="79"/>
  <c r="AF464" i="79" s="1"/>
  <c r="AQ464" i="79"/>
  <c r="BG464" i="79" s="1"/>
  <c r="BA464" i="79" s="1"/>
  <c r="BD464" i="79" s="1"/>
  <c r="AQ270" i="79"/>
  <c r="BG270" i="79" s="1"/>
  <c r="BA270" i="79" s="1"/>
  <c r="BD270" i="79" s="1"/>
  <c r="AG270" i="79"/>
  <c r="AF270" i="79" s="1"/>
  <c r="AY200" i="79"/>
  <c r="BE200" i="79" s="1"/>
  <c r="AF200" i="79"/>
  <c r="AQ69" i="79"/>
  <c r="BG69" i="79" s="1"/>
  <c r="BA69" i="79" s="1"/>
  <c r="BD69" i="79" s="1"/>
  <c r="AG69" i="79"/>
  <c r="AF69" i="79" s="1"/>
  <c r="AQ305" i="79"/>
  <c r="BG305" i="79" s="1"/>
  <c r="BA305" i="79" s="1"/>
  <c r="BD305" i="79" s="1"/>
  <c r="AG305" i="79"/>
  <c r="AF305" i="79" s="1"/>
  <c r="AG124" i="79"/>
  <c r="AF124" i="79" s="1"/>
  <c r="AQ124" i="79"/>
  <c r="BG124" i="79" s="1"/>
  <c r="BA124" i="79" s="1"/>
  <c r="BB124" i="79" s="1"/>
  <c r="AG539" i="79"/>
  <c r="AQ539" i="79"/>
  <c r="BG539" i="79" s="1"/>
  <c r="BA539" i="79" s="1"/>
  <c r="BD539" i="79" s="1"/>
  <c r="AJ199" i="79"/>
  <c r="AI199" i="79"/>
  <c r="AH199" i="79"/>
  <c r="BX199" i="79"/>
  <c r="AL199" i="79" a="1"/>
  <c r="AL199" i="79" s="1"/>
  <c r="BH199" i="79" s="1"/>
  <c r="AN199" i="79"/>
  <c r="AG318" i="79"/>
  <c r="AF318" i="79" s="1"/>
  <c r="AQ318" i="79"/>
  <c r="BG318" i="79" s="1"/>
  <c r="BA318" i="79" s="1"/>
  <c r="BD318" i="79" s="1"/>
  <c r="AQ541" i="79"/>
  <c r="BG541" i="79" s="1"/>
  <c r="BA541" i="79" s="1"/>
  <c r="BD541" i="79" s="1"/>
  <c r="AG541" i="79"/>
  <c r="AG209" i="79"/>
  <c r="AF209" i="79" s="1"/>
  <c r="AQ209" i="79"/>
  <c r="BG209" i="79" s="1"/>
  <c r="BA209" i="79" s="1"/>
  <c r="BD209" i="79" s="1"/>
  <c r="AJ265" i="79"/>
  <c r="AI265" i="79"/>
  <c r="AN265" i="79"/>
  <c r="BX265" i="79"/>
  <c r="AL265" i="79" a="1"/>
  <c r="AL265" i="79" s="1"/>
  <c r="BH265" i="79" s="1"/>
  <c r="AH265" i="79"/>
  <c r="AQ146" i="79"/>
  <c r="BG146" i="79" s="1"/>
  <c r="BA146" i="79" s="1"/>
  <c r="BD146" i="79" s="1"/>
  <c r="AG146" i="79"/>
  <c r="AY443" i="79"/>
  <c r="BE443" i="79" s="1"/>
  <c r="AQ189" i="79"/>
  <c r="BG189" i="79" s="1"/>
  <c r="BA189" i="79" s="1"/>
  <c r="BD189" i="79" s="1"/>
  <c r="AG189" i="79"/>
  <c r="AG226" i="79"/>
  <c r="AQ226" i="79"/>
  <c r="BG226" i="79" s="1"/>
  <c r="BA226" i="79" s="1"/>
  <c r="BD226" i="79" s="1"/>
  <c r="AG324" i="79"/>
  <c r="AF324" i="79" s="1"/>
  <c r="AQ324" i="79"/>
  <c r="BG324" i="79" s="1"/>
  <c r="BA324" i="79" s="1"/>
  <c r="BD324" i="79" s="1"/>
  <c r="AN543" i="79"/>
  <c r="AJ543" i="79"/>
  <c r="AL543" i="79" a="1"/>
  <c r="AL543" i="79" s="1"/>
  <c r="BH543" i="79" s="1"/>
  <c r="AH543" i="79"/>
  <c r="BX543" i="79"/>
  <c r="AI543" i="79"/>
  <c r="AG520" i="79"/>
  <c r="AF520" i="79" s="1"/>
  <c r="AQ520" i="79"/>
  <c r="BG520" i="79" s="1"/>
  <c r="BA520" i="79" s="1"/>
  <c r="BD520" i="79" s="1"/>
  <c r="AG472" i="79"/>
  <c r="AF472" i="79" s="1"/>
  <c r="AQ472" i="79"/>
  <c r="BG472" i="79" s="1"/>
  <c r="BA472" i="79" s="1"/>
  <c r="BD472" i="79" s="1"/>
  <c r="AQ546" i="79"/>
  <c r="BG546" i="79" s="1"/>
  <c r="BA546" i="79" s="1"/>
  <c r="BD546" i="79" s="1"/>
  <c r="AG546" i="79"/>
  <c r="AF546" i="79" s="1"/>
  <c r="AG399" i="79"/>
  <c r="AF399" i="79" s="1"/>
  <c r="AQ399" i="79"/>
  <c r="BG399" i="79" s="1"/>
  <c r="BA399" i="79" s="1"/>
  <c r="BD399" i="79" s="1"/>
  <c r="AQ285" i="79"/>
  <c r="BG285" i="79" s="1"/>
  <c r="BA285" i="79" s="1"/>
  <c r="BD285" i="79" s="1"/>
  <c r="AG285" i="79"/>
  <c r="AF285" i="79" s="1"/>
  <c r="AG28" i="79"/>
  <c r="AQ28" i="79"/>
  <c r="BG28" i="79" s="1"/>
  <c r="BA28" i="79" s="1"/>
  <c r="AG129" i="79"/>
  <c r="AF129" i="79" s="1"/>
  <c r="AQ129" i="79"/>
  <c r="BG129" i="79" s="1"/>
  <c r="BA129" i="79" s="1"/>
  <c r="BB129" i="79" s="1"/>
  <c r="AQ331" i="79"/>
  <c r="BG331" i="79" s="1"/>
  <c r="BA331" i="79" s="1"/>
  <c r="BD331" i="79" s="1"/>
  <c r="AG331" i="79"/>
  <c r="AR543" i="79"/>
  <c r="AY543" i="79"/>
  <c r="BE543" i="79" s="1"/>
  <c r="AI433" i="79"/>
  <c r="AH433" i="79"/>
  <c r="BX433" i="79"/>
  <c r="AL433" i="79" a="1"/>
  <c r="AL433" i="79" s="1"/>
  <c r="BH433" i="79" s="1"/>
  <c r="AN433" i="79"/>
  <c r="AJ433" i="79"/>
  <c r="AQ148" i="79"/>
  <c r="BG148" i="79" s="1"/>
  <c r="BA148" i="79" s="1"/>
  <c r="BD148" i="79" s="1"/>
  <c r="AG148" i="79"/>
  <c r="AY271" i="79"/>
  <c r="BE271" i="79" s="1"/>
  <c r="AQ49" i="79"/>
  <c r="BG49" i="79" s="1"/>
  <c r="BA49" i="79" s="1"/>
  <c r="BD49" i="79" s="1"/>
  <c r="AG49" i="79"/>
  <c r="AF49" i="79" s="1"/>
  <c r="AQ253" i="79"/>
  <c r="BG253" i="79" s="1"/>
  <c r="BA253" i="79" s="1"/>
  <c r="BD253" i="79" s="1"/>
  <c r="AG253" i="79"/>
  <c r="AG547" i="79"/>
  <c r="AF547" i="79" s="1"/>
  <c r="AQ547" i="79"/>
  <c r="BG547" i="79" s="1"/>
  <c r="BA547" i="79" s="1"/>
  <c r="BD547" i="79" s="1"/>
  <c r="AQ377" i="79"/>
  <c r="BG377" i="79" s="1"/>
  <c r="BA377" i="79" s="1"/>
  <c r="BD377" i="79" s="1"/>
  <c r="AG377" i="79"/>
  <c r="AF377" i="79" s="1"/>
  <c r="AQ363" i="79"/>
  <c r="BG363" i="79" s="1"/>
  <c r="BA363" i="79" s="1"/>
  <c r="BD363" i="79" s="1"/>
  <c r="AG363" i="79"/>
  <c r="AF363" i="79" s="1"/>
  <c r="AQ131" i="79"/>
  <c r="BG131" i="79" s="1"/>
  <c r="BA131" i="79" s="1"/>
  <c r="BB131" i="79" s="1"/>
  <c r="AG131" i="79"/>
  <c r="AF131" i="79" s="1"/>
  <c r="AG25" i="79"/>
  <c r="AF25" i="79" s="1"/>
  <c r="AQ25" i="79"/>
  <c r="BG25" i="79" s="1"/>
  <c r="BA25" i="79" s="1"/>
  <c r="AQ304" i="79"/>
  <c r="BG304" i="79" s="1"/>
  <c r="BA304" i="79" s="1"/>
  <c r="BD304" i="79" s="1"/>
  <c r="AG304" i="79"/>
  <c r="AF304" i="79" s="1"/>
  <c r="AG440" i="79"/>
  <c r="AF440" i="79" s="1"/>
  <c r="AQ440" i="79"/>
  <c r="BG440" i="79" s="1"/>
  <c r="BA440" i="79" s="1"/>
  <c r="BD440" i="79" s="1"/>
  <c r="AQ310" i="79"/>
  <c r="BG310" i="79" s="1"/>
  <c r="BA310" i="79" s="1"/>
  <c r="BD310" i="79" s="1"/>
  <c r="AG310" i="79"/>
  <c r="AF310" i="79" s="1"/>
  <c r="AG359" i="79"/>
  <c r="AF359" i="79" s="1"/>
  <c r="AQ359" i="79"/>
  <c r="BG359" i="79" s="1"/>
  <c r="BA359" i="79" s="1"/>
  <c r="BD359" i="79" s="1"/>
  <c r="AG292" i="79"/>
  <c r="AF292" i="79" s="1"/>
  <c r="AQ292" i="79"/>
  <c r="BG292" i="79" s="1"/>
  <c r="BA292" i="79" s="1"/>
  <c r="BD292" i="79" s="1"/>
  <c r="AG492" i="79"/>
  <c r="AF492" i="79" s="1"/>
  <c r="AQ492" i="79"/>
  <c r="BG492" i="79" s="1"/>
  <c r="BA492" i="79" s="1"/>
  <c r="BD492" i="79" s="1"/>
  <c r="AG513" i="79"/>
  <c r="AQ513" i="79"/>
  <c r="BG513" i="79" s="1"/>
  <c r="BA513" i="79" s="1"/>
  <c r="BD513" i="79" s="1"/>
  <c r="AQ350" i="79"/>
  <c r="BG350" i="79" s="1"/>
  <c r="BA350" i="79" s="1"/>
  <c r="BD350" i="79" s="1"/>
  <c r="AG350" i="79"/>
  <c r="AF350" i="79" s="1"/>
  <c r="AQ477" i="79"/>
  <c r="BG477" i="79" s="1"/>
  <c r="BA477" i="79" s="1"/>
  <c r="BD477" i="79" s="1"/>
  <c r="AG477" i="79"/>
  <c r="AJ514" i="79"/>
  <c r="AH514" i="79"/>
  <c r="BX514" i="79"/>
  <c r="AI514" i="79"/>
  <c r="AL514" i="79" a="1"/>
  <c r="AL514" i="79" s="1"/>
  <c r="AN514" i="79"/>
  <c r="AQ372" i="79"/>
  <c r="BG372" i="79" s="1"/>
  <c r="BA372" i="79" s="1"/>
  <c r="BD372" i="79" s="1"/>
  <c r="AG372" i="79"/>
  <c r="AG246" i="79"/>
  <c r="AF246" i="79" s="1"/>
  <c r="AQ246" i="79"/>
  <c r="BG246" i="79" s="1"/>
  <c r="BA246" i="79" s="1"/>
  <c r="BD246" i="79" s="1"/>
  <c r="AQ337" i="79"/>
  <c r="BG337" i="79" s="1"/>
  <c r="BA337" i="79" s="1"/>
  <c r="BD337" i="79" s="1"/>
  <c r="AG337" i="79"/>
  <c r="AQ172" i="79"/>
  <c r="BG172" i="79" s="1"/>
  <c r="BA172" i="79" s="1"/>
  <c r="BD172" i="79" s="1"/>
  <c r="AG172" i="79"/>
  <c r="AF172" i="79" s="1"/>
  <c r="AY545" i="79"/>
  <c r="BE545" i="79" s="1"/>
  <c r="AQ376" i="79"/>
  <c r="BG376" i="79" s="1"/>
  <c r="BA376" i="79" s="1"/>
  <c r="BD376" i="79" s="1"/>
  <c r="AG376" i="79"/>
  <c r="AF376" i="79" s="1"/>
  <c r="AG58" i="79"/>
  <c r="AF58" i="79" s="1"/>
  <c r="AQ58" i="79"/>
  <c r="BG58" i="79" s="1"/>
  <c r="BA58" i="79" s="1"/>
  <c r="BD58" i="79" s="1"/>
  <c r="AQ211" i="79"/>
  <c r="BG211" i="79" s="1"/>
  <c r="BA211" i="79" s="1"/>
  <c r="BD211" i="79" s="1"/>
  <c r="AG211" i="79"/>
  <c r="AF211" i="79" s="1"/>
  <c r="AQ339" i="79"/>
  <c r="BG339" i="79" s="1"/>
  <c r="BA339" i="79" s="1"/>
  <c r="BD339" i="79" s="1"/>
  <c r="AG339" i="79"/>
  <c r="AG281" i="79"/>
  <c r="AF281" i="79" s="1"/>
  <c r="AQ281" i="79"/>
  <c r="BG281" i="79" s="1"/>
  <c r="BA281" i="79" s="1"/>
  <c r="BD281" i="79" s="1"/>
  <c r="AR44" i="79"/>
  <c r="AY44" i="79"/>
  <c r="BE44" i="79" s="1"/>
  <c r="AM143" i="79"/>
  <c r="AU143" i="79" s="1"/>
  <c r="BB143" i="79"/>
  <c r="AO143" i="79"/>
  <c r="AV143" i="79"/>
  <c r="AZ143" i="79"/>
  <c r="AW143" i="79" a="1"/>
  <c r="AW143" i="79" s="1"/>
  <c r="AP143" i="79"/>
  <c r="AQ99" i="79"/>
  <c r="BG99" i="79" s="1"/>
  <c r="BA99" i="79" s="1"/>
  <c r="BD99" i="79" s="1"/>
  <c r="AG99" i="79"/>
  <c r="AF99" i="79" s="1"/>
  <c r="AQ533" i="79"/>
  <c r="BG533" i="79" s="1"/>
  <c r="BA533" i="79" s="1"/>
  <c r="BD533" i="79" s="1"/>
  <c r="AG533" i="79"/>
  <c r="AF533" i="79" s="1"/>
  <c r="AY528" i="79"/>
  <c r="BE528" i="79" s="1"/>
  <c r="AF528" i="79"/>
  <c r="AQ496" i="79"/>
  <c r="BG496" i="79" s="1"/>
  <c r="BA496" i="79" s="1"/>
  <c r="BD496" i="79" s="1"/>
  <c r="AG496" i="79"/>
  <c r="AF496" i="79" s="1"/>
  <c r="AG474" i="79"/>
  <c r="AF474" i="79" s="1"/>
  <c r="AQ474" i="79"/>
  <c r="BG474" i="79" s="1"/>
  <c r="BA474" i="79" s="1"/>
  <c r="BD474" i="79" s="1"/>
  <c r="AQ524" i="79"/>
  <c r="BG524" i="79" s="1"/>
  <c r="BA524" i="79" s="1"/>
  <c r="BD524" i="79" s="1"/>
  <c r="AG524" i="79"/>
  <c r="AF524" i="79" s="1"/>
  <c r="AG487" i="79"/>
  <c r="AF487" i="79" s="1"/>
  <c r="AQ487" i="79"/>
  <c r="BG487" i="79" s="1"/>
  <c r="BA487" i="79" s="1"/>
  <c r="BD487" i="79" s="1"/>
  <c r="AQ269" i="79"/>
  <c r="BG269" i="79" s="1"/>
  <c r="BA269" i="79" s="1"/>
  <c r="BD269" i="79" s="1"/>
  <c r="AG269" i="79"/>
  <c r="AF269" i="79" s="1"/>
  <c r="AQ481" i="79"/>
  <c r="BG481" i="79" s="1"/>
  <c r="BA481" i="79" s="1"/>
  <c r="BD481" i="79" s="1"/>
  <c r="AG481" i="79"/>
  <c r="AY374" i="79"/>
  <c r="BE374" i="79" s="1"/>
  <c r="AR374" i="79"/>
  <c r="AQ438" i="79"/>
  <c r="BG438" i="79" s="1"/>
  <c r="BA438" i="79" s="1"/>
  <c r="BD438" i="79" s="1"/>
  <c r="AG438" i="79"/>
  <c r="AF438" i="79" s="1"/>
  <c r="AG423" i="79"/>
  <c r="AF423" i="79" s="1"/>
  <c r="AQ423" i="79"/>
  <c r="BG423" i="79" s="1"/>
  <c r="BA423" i="79" s="1"/>
  <c r="BD423" i="79" s="1"/>
  <c r="AQ90" i="79"/>
  <c r="BG90" i="79" s="1"/>
  <c r="BA90" i="79" s="1"/>
  <c r="BD90" i="79" s="1"/>
  <c r="AQ521" i="79"/>
  <c r="BG521" i="79" s="1"/>
  <c r="BA521" i="79" s="1"/>
  <c r="BD521" i="79" s="1"/>
  <c r="AG521" i="79"/>
  <c r="AG83" i="79"/>
  <c r="AF83" i="79" s="1"/>
  <c r="AQ83" i="79"/>
  <c r="BG83" i="79" s="1"/>
  <c r="BA83" i="79" s="1"/>
  <c r="BB83" i="79" s="1"/>
  <c r="AG71" i="79"/>
  <c r="AQ71" i="79"/>
  <c r="BG71" i="79" s="1"/>
  <c r="BA71" i="79" s="1"/>
  <c r="BB71" i="79" s="1"/>
  <c r="AQ34" i="79"/>
  <c r="BG34" i="79" s="1"/>
  <c r="BA34" i="79" s="1"/>
  <c r="BD34" i="79" s="1"/>
  <c r="AG34" i="79"/>
  <c r="AF34" i="79" s="1"/>
  <c r="AQ64" i="79"/>
  <c r="BG64" i="79" s="1"/>
  <c r="BA64" i="79" s="1"/>
  <c r="BD64" i="79" s="1"/>
  <c r="AG64" i="79"/>
  <c r="AF64" i="79" s="1"/>
  <c r="AY311" i="79"/>
  <c r="BE311" i="79" s="1"/>
  <c r="AL315" i="79" a="1"/>
  <c r="AL315" i="79" s="1"/>
  <c r="BH315" i="79" s="1"/>
  <c r="AN315" i="79"/>
  <c r="BX315" i="79"/>
  <c r="AI315" i="79"/>
  <c r="AH315" i="79"/>
  <c r="AJ315" i="79"/>
  <c r="AY514" i="79"/>
  <c r="BE514" i="79" s="1"/>
  <c r="AG414" i="79"/>
  <c r="AF414" i="79" s="1"/>
  <c r="AQ414" i="79"/>
  <c r="BG414" i="79" s="1"/>
  <c r="BA414" i="79" s="1"/>
  <c r="BD414" i="79" s="1"/>
  <c r="AQ401" i="79"/>
  <c r="BG401" i="79" s="1"/>
  <c r="BA401" i="79" s="1"/>
  <c r="BD401" i="79" s="1"/>
  <c r="AG401" i="79"/>
  <c r="AQ194" i="79"/>
  <c r="BG194" i="79" s="1"/>
  <c r="BA194" i="79" s="1"/>
  <c r="BD194" i="79" s="1"/>
  <c r="AG194" i="79"/>
  <c r="AF194" i="79" s="1"/>
  <c r="AQ87" i="79"/>
  <c r="BG87" i="79" s="1"/>
  <c r="BA87" i="79" s="1"/>
  <c r="BD87" i="79" s="1"/>
  <c r="AG87" i="79"/>
  <c r="AH252" i="79"/>
  <c r="BX252" i="79"/>
  <c r="AL252" i="79" a="1"/>
  <c r="AL252" i="79" s="1"/>
  <c r="BH252" i="79" s="1"/>
  <c r="AN252" i="79"/>
  <c r="AJ252" i="79"/>
  <c r="AI252" i="79"/>
  <c r="AG456" i="79"/>
  <c r="AF456" i="79" s="1"/>
  <c r="AQ456" i="79"/>
  <c r="BG456" i="79" s="1"/>
  <c r="BA456" i="79" s="1"/>
  <c r="BD456" i="79" s="1"/>
  <c r="AG392" i="79"/>
  <c r="AQ392" i="79"/>
  <c r="BG392" i="79" s="1"/>
  <c r="BA392" i="79" s="1"/>
  <c r="BD392" i="79" s="1"/>
  <c r="AG445" i="79"/>
  <c r="AQ445" i="79"/>
  <c r="BG445" i="79" s="1"/>
  <c r="BA445" i="79" s="1"/>
  <c r="BD445" i="79" s="1"/>
  <c r="AJ271" i="79"/>
  <c r="AI271" i="79"/>
  <c r="AH271" i="79"/>
  <c r="AN271" i="79"/>
  <c r="AL271" i="79" a="1"/>
  <c r="AL271" i="79" s="1"/>
  <c r="BX271" i="79"/>
  <c r="AQ183" i="79"/>
  <c r="BG183" i="79" s="1"/>
  <c r="BA183" i="79" s="1"/>
  <c r="BD183" i="79" s="1"/>
  <c r="AG183" i="79"/>
  <c r="AF183" i="79" s="1"/>
  <c r="AG166" i="79"/>
  <c r="AF166" i="79" s="1"/>
  <c r="AQ166" i="79"/>
  <c r="BG166" i="79" s="1"/>
  <c r="BA166" i="79" s="1"/>
  <c r="BD166" i="79" s="1"/>
  <c r="AG180" i="79"/>
  <c r="AF180" i="79" s="1"/>
  <c r="AQ180" i="79"/>
  <c r="BG180" i="79" s="1"/>
  <c r="BA180" i="79" s="1"/>
  <c r="BD180" i="79" s="1"/>
  <c r="AG30" i="79"/>
  <c r="AQ30" i="79"/>
  <c r="BG30" i="79" s="1"/>
  <c r="BA30" i="79" s="1"/>
  <c r="BD30" i="79" s="1"/>
  <c r="AR252" i="79"/>
  <c r="AY252" i="79"/>
  <c r="BE252" i="79" s="1"/>
  <c r="AG135" i="79"/>
  <c r="AF135" i="79" s="1"/>
  <c r="AQ135" i="79"/>
  <c r="BG135" i="79" s="1"/>
  <c r="BA135" i="79" s="1"/>
  <c r="BD135" i="79" s="1"/>
  <c r="AH247" i="79"/>
  <c r="AN247" i="79"/>
  <c r="AJ247" i="79"/>
  <c r="BX247" i="79"/>
  <c r="AL247" i="79" a="1"/>
  <c r="AL247" i="79" s="1"/>
  <c r="BH247" i="79" s="1"/>
  <c r="AI247" i="79"/>
  <c r="AF44" i="79"/>
  <c r="AG437" i="79"/>
  <c r="AF437" i="79" s="1"/>
  <c r="AQ437" i="79"/>
  <c r="BG437" i="79" s="1"/>
  <c r="BA437" i="79" s="1"/>
  <c r="BD437" i="79" s="1"/>
  <c r="AL357" i="79" a="1"/>
  <c r="AL357" i="79" s="1"/>
  <c r="BH357" i="79" s="1"/>
  <c r="AI357" i="79"/>
  <c r="AH357" i="79"/>
  <c r="AJ357" i="79"/>
  <c r="AN357" i="79"/>
  <c r="BX357" i="79"/>
  <c r="AY199" i="79"/>
  <c r="BE199" i="79" s="1"/>
  <c r="AR199" i="79"/>
  <c r="AY265" i="79"/>
  <c r="BE265" i="79" s="1"/>
  <c r="AR265" i="79"/>
  <c r="AG91" i="79"/>
  <c r="AQ91" i="79"/>
  <c r="BG91" i="79" s="1"/>
  <c r="BA91" i="79" s="1"/>
  <c r="BD91" i="79" s="1"/>
  <c r="AQ410" i="79"/>
  <c r="BG410" i="79" s="1"/>
  <c r="BA410" i="79" s="1"/>
  <c r="BD410" i="79" s="1"/>
  <c r="AG410" i="79"/>
  <c r="AF410" i="79" s="1"/>
  <c r="AQ29" i="79"/>
  <c r="BG29" i="79" s="1"/>
  <c r="BA29" i="79" s="1"/>
  <c r="BB29" i="79" s="1"/>
  <c r="AG29" i="79"/>
  <c r="AR357" i="79"/>
  <c r="AV32" i="79"/>
  <c r="BB32" i="79"/>
  <c r="AZ32" i="79"/>
  <c r="AW32" i="79" a="1"/>
  <c r="AW32" i="79" s="1"/>
  <c r="AO32" i="79"/>
  <c r="AM32" i="79"/>
  <c r="AU32" i="79" s="1"/>
  <c r="AP32" i="79"/>
  <c r="AG90" i="79"/>
  <c r="AO93" i="79"/>
  <c r="AZ93" i="79"/>
  <c r="BB93" i="79"/>
  <c r="AW93" i="79" a="1"/>
  <c r="AW93" i="79" s="1"/>
  <c r="AV93" i="79"/>
  <c r="AP93" i="79"/>
  <c r="AM93" i="79"/>
  <c r="AU93" i="79" s="1"/>
  <c r="AQ378" i="79"/>
  <c r="BG378" i="79" s="1"/>
  <c r="BA378" i="79" s="1"/>
  <c r="BD378" i="79" s="1"/>
  <c r="AG378" i="79"/>
  <c r="AL534" i="79" a="1"/>
  <c r="AL534" i="79" s="1"/>
  <c r="BH534" i="79" s="1"/>
  <c r="AH534" i="79"/>
  <c r="AN534" i="79"/>
  <c r="AJ534" i="79"/>
  <c r="BX534" i="79"/>
  <c r="AI534" i="79"/>
  <c r="AQ266" i="79"/>
  <c r="BG266" i="79" s="1"/>
  <c r="BA266" i="79" s="1"/>
  <c r="BD266" i="79" s="1"/>
  <c r="AG266" i="79"/>
  <c r="AF266" i="79" s="1"/>
  <c r="AQ494" i="79"/>
  <c r="BG494" i="79" s="1"/>
  <c r="BA494" i="79" s="1"/>
  <c r="BD494" i="79" s="1"/>
  <c r="AG494" i="79"/>
  <c r="AQ335" i="79"/>
  <c r="BG335" i="79" s="1"/>
  <c r="BA335" i="79" s="1"/>
  <c r="BD335" i="79" s="1"/>
  <c r="AG335" i="79"/>
  <c r="AQ287" i="79"/>
  <c r="BG287" i="79" s="1"/>
  <c r="BA287" i="79" s="1"/>
  <c r="BD287" i="79" s="1"/>
  <c r="AG287" i="79"/>
  <c r="AF287" i="79" s="1"/>
  <c r="AG307" i="79"/>
  <c r="AF307" i="79" s="1"/>
  <c r="AQ307" i="79"/>
  <c r="BG307" i="79" s="1"/>
  <c r="BA307" i="79" s="1"/>
  <c r="BD307" i="79" s="1"/>
  <c r="AG327" i="79"/>
  <c r="AF327" i="79" s="1"/>
  <c r="AQ327" i="79"/>
  <c r="BG327" i="79" s="1"/>
  <c r="BA327" i="79" s="1"/>
  <c r="BD327" i="79" s="1"/>
  <c r="AR218" i="79"/>
  <c r="AY218" i="79"/>
  <c r="BE218" i="79" s="1"/>
  <c r="AG197" i="79"/>
  <c r="AQ197" i="79"/>
  <c r="BG197" i="79" s="1"/>
  <c r="BA197" i="79" s="1"/>
  <c r="BD197" i="79" s="1"/>
  <c r="AW96" i="79" a="1"/>
  <c r="AW96" i="79" s="1"/>
  <c r="AV96" i="79"/>
  <c r="BB96" i="79"/>
  <c r="AZ96" i="79"/>
  <c r="AP96" i="79"/>
  <c r="AO96" i="79"/>
  <c r="AM96" i="79"/>
  <c r="AU96" i="79" s="1"/>
  <c r="AQ112" i="79"/>
  <c r="BG112" i="79" s="1"/>
  <c r="BA112" i="79" s="1"/>
  <c r="BD112" i="79" s="1"/>
  <c r="AG112" i="79"/>
  <c r="AF112" i="79" s="1"/>
  <c r="AF157" i="79"/>
  <c r="AQ157" i="79"/>
  <c r="BG157" i="79" s="1"/>
  <c r="BA157" i="79" s="1"/>
  <c r="BD157" i="79" s="1"/>
  <c r="AQ177" i="79"/>
  <c r="BG177" i="79" s="1"/>
  <c r="BA177" i="79" s="1"/>
  <c r="BD177" i="79" s="1"/>
  <c r="AG177" i="79"/>
  <c r="AF177" i="79" s="1"/>
  <c r="AO27" i="79"/>
  <c r="AP27" i="79"/>
  <c r="AG181" i="79"/>
  <c r="AQ181" i="79"/>
  <c r="BG181" i="79" s="1"/>
  <c r="BA181" i="79" s="1"/>
  <c r="BD181" i="79" s="1"/>
  <c r="AG105" i="79"/>
  <c r="AQ105" i="79"/>
  <c r="BG105" i="79" s="1"/>
  <c r="BA105" i="79" s="1"/>
  <c r="BD105" i="79" s="1"/>
  <c r="AY433" i="79"/>
  <c r="BE433" i="79" s="1"/>
  <c r="AR433" i="79"/>
  <c r="AQ24" i="79"/>
  <c r="BG24" i="79" s="1"/>
  <c r="BA24" i="79" s="1"/>
  <c r="BB24" i="79" s="1"/>
  <c r="AG24" i="79"/>
  <c r="AF24" i="79" s="1"/>
  <c r="AY328" i="79"/>
  <c r="BE328" i="79" s="1"/>
  <c r="AQ347" i="79"/>
  <c r="BG347" i="79" s="1"/>
  <c r="BA347" i="79" s="1"/>
  <c r="BD347" i="79" s="1"/>
  <c r="AG347" i="79"/>
  <c r="AF347" i="79" s="1"/>
  <c r="AY300" i="79"/>
  <c r="BE300" i="79" s="1"/>
  <c r="AY247" i="79"/>
  <c r="BE247" i="79" s="1"/>
  <c r="AR247" i="79"/>
  <c r="AM51" i="79"/>
  <c r="AU51" i="79" s="1"/>
  <c r="BB51" i="79"/>
  <c r="AZ51" i="79"/>
  <c r="AW51" i="79" a="1"/>
  <c r="AW51" i="79" s="1"/>
  <c r="AV51" i="79"/>
  <c r="AP51" i="79"/>
  <c r="AO51" i="79"/>
  <c r="AG502" i="79"/>
  <c r="AQ502" i="79"/>
  <c r="BG502" i="79" s="1"/>
  <c r="BA502" i="79" s="1"/>
  <c r="BD502" i="79" s="1"/>
  <c r="AY508" i="79"/>
  <c r="BE508" i="79" s="1"/>
  <c r="AQ388" i="79"/>
  <c r="BG388" i="79" s="1"/>
  <c r="BA388" i="79" s="1"/>
  <c r="BD388" i="79" s="1"/>
  <c r="AG388" i="79"/>
  <c r="AF388" i="79" s="1"/>
  <c r="AQ222" i="79"/>
  <c r="BG222" i="79" s="1"/>
  <c r="BA222" i="79" s="1"/>
  <c r="BD222" i="79" s="1"/>
  <c r="AG222" i="79"/>
  <c r="AF222" i="79" s="1"/>
  <c r="AY479" i="79"/>
  <c r="BE479" i="79" s="1"/>
  <c r="AR479" i="79"/>
  <c r="AR534" i="79"/>
  <c r="AY534" i="79"/>
  <c r="BE534" i="79" s="1"/>
  <c r="AQ530" i="79"/>
  <c r="BG530" i="79" s="1"/>
  <c r="BA530" i="79" s="1"/>
  <c r="BD530" i="79" s="1"/>
  <c r="AG530" i="79"/>
  <c r="AF530" i="79" s="1"/>
  <c r="AG542" i="79"/>
  <c r="AQ542" i="79"/>
  <c r="BG542" i="79" s="1"/>
  <c r="BA542" i="79" s="1"/>
  <c r="BD542" i="79" s="1"/>
  <c r="AG309" i="79"/>
  <c r="AF309" i="79" s="1"/>
  <c r="AQ309" i="79"/>
  <c r="BG309" i="79" s="1"/>
  <c r="BA309" i="79" s="1"/>
  <c r="BD309" i="79" s="1"/>
  <c r="AY208" i="79"/>
  <c r="BE208" i="79" s="1"/>
  <c r="AF208" i="79"/>
  <c r="AH380" i="79"/>
  <c r="AJ380" i="79"/>
  <c r="AI380" i="79"/>
  <c r="AL380" i="79" a="1"/>
  <c r="AL380" i="79" s="1"/>
  <c r="AN380" i="79"/>
  <c r="BX380" i="79"/>
  <c r="AG329" i="79"/>
  <c r="AQ329" i="79"/>
  <c r="BG329" i="79" s="1"/>
  <c r="BA329" i="79" s="1"/>
  <c r="BD329" i="79" s="1"/>
  <c r="AG258" i="79"/>
  <c r="AF258" i="79" s="1"/>
  <c r="AQ258" i="79"/>
  <c r="BG258" i="79" s="1"/>
  <c r="BA258" i="79" s="1"/>
  <c r="BD258" i="79" s="1"/>
  <c r="AG221" i="79"/>
  <c r="AQ221" i="79"/>
  <c r="BG221" i="79" s="1"/>
  <c r="BA221" i="79" s="1"/>
  <c r="BD221" i="79" s="1"/>
  <c r="AG23" i="79"/>
  <c r="AF23" i="79" s="1"/>
  <c r="AQ23" i="79"/>
  <c r="BG23" i="79" s="1"/>
  <c r="BA23" i="79" s="1"/>
  <c r="BB23" i="79" s="1"/>
  <c r="AQ33" i="79"/>
  <c r="BG33" i="79" s="1"/>
  <c r="BA33" i="79" s="1"/>
  <c r="BD33" i="79" s="1"/>
  <c r="AG33" i="79"/>
  <c r="AQ306" i="79"/>
  <c r="BG306" i="79" s="1"/>
  <c r="BA306" i="79" s="1"/>
  <c r="BD306" i="79" s="1"/>
  <c r="AG306" i="79"/>
  <c r="AF306" i="79" s="1"/>
  <c r="AY234" i="79"/>
  <c r="BE234" i="79" s="1"/>
  <c r="AG190" i="79"/>
  <c r="AF190" i="79" s="1"/>
  <c r="AQ190" i="79"/>
  <c r="BG190" i="79" s="1"/>
  <c r="BA190" i="79" s="1"/>
  <c r="BD190" i="79" s="1"/>
  <c r="AQ101" i="79"/>
  <c r="BG101" i="79" s="1"/>
  <c r="BA101" i="79" s="1"/>
  <c r="BD101" i="79" s="1"/>
  <c r="AG101" i="79"/>
  <c r="AF101" i="79" s="1"/>
  <c r="AQ59" i="79"/>
  <c r="AR59" i="79" s="1"/>
  <c r="AF59" i="79"/>
  <c r="AY103" i="79"/>
  <c r="BE103" i="79" s="1"/>
  <c r="AQ102" i="79"/>
  <c r="BG102" i="79" s="1"/>
  <c r="BA102" i="79" s="1"/>
  <c r="BD102" i="79" s="1"/>
  <c r="AG102" i="79"/>
  <c r="AF102" i="79" s="1"/>
  <c r="AG85" i="79"/>
  <c r="AQ85" i="79"/>
  <c r="BG85" i="79" s="1"/>
  <c r="BA85" i="79" s="1"/>
  <c r="BD85" i="79" s="1"/>
  <c r="AG461" i="79"/>
  <c r="AF461" i="79" s="1"/>
  <c r="AQ461" i="79"/>
  <c r="BG461" i="79" s="1"/>
  <c r="BA461" i="79" s="1"/>
  <c r="BD461" i="79" s="1"/>
  <c r="AG379" i="79"/>
  <c r="AF379" i="79" s="1"/>
  <c r="AQ379" i="79"/>
  <c r="BG379" i="79" s="1"/>
  <c r="BA379" i="79" s="1"/>
  <c r="BD379" i="79" s="1"/>
  <c r="AY470" i="79"/>
  <c r="BE470" i="79" s="1"/>
  <c r="AF479" i="79"/>
  <c r="AG294" i="79"/>
  <c r="AF294" i="79" s="1"/>
  <c r="AQ294" i="79"/>
  <c r="BG294" i="79" s="1"/>
  <c r="BA294" i="79" s="1"/>
  <c r="BD294" i="79" s="1"/>
  <c r="AG290" i="79"/>
  <c r="AF290" i="79" s="1"/>
  <c r="AQ290" i="79"/>
  <c r="BG290" i="79" s="1"/>
  <c r="BA290" i="79" s="1"/>
  <c r="BD290" i="79" s="1"/>
  <c r="AY407" i="79"/>
  <c r="BE407" i="79" s="1"/>
  <c r="AY380" i="79"/>
  <c r="BE380" i="79" s="1"/>
  <c r="AG354" i="79"/>
  <c r="AF354" i="79" s="1"/>
  <c r="AQ354" i="79"/>
  <c r="BG354" i="79" s="1"/>
  <c r="BA354" i="79" s="1"/>
  <c r="BD354" i="79" s="1"/>
  <c r="AG26" i="79"/>
  <c r="AF26" i="79" s="1"/>
  <c r="AQ26" i="79"/>
  <c r="BG26" i="79" s="1"/>
  <c r="BA26" i="79" s="1"/>
  <c r="AF218" i="79"/>
  <c r="AQ244" i="79"/>
  <c r="BG244" i="79" s="1"/>
  <c r="BA244" i="79" s="1"/>
  <c r="BD244" i="79" s="1"/>
  <c r="AG244" i="79"/>
  <c r="AF244" i="79" s="1"/>
  <c r="AQ137" i="79"/>
  <c r="BG137" i="79" s="1"/>
  <c r="BA137" i="79" s="1"/>
  <c r="BD137" i="79" s="1"/>
  <c r="AG137" i="79"/>
  <c r="AF137" i="79" s="1"/>
  <c r="AQ50" i="79"/>
  <c r="BG50" i="79" s="1"/>
  <c r="BA50" i="79" s="1"/>
  <c r="BD50" i="79" s="1"/>
  <c r="AG50" i="79"/>
  <c r="AF50" i="79" s="1"/>
  <c r="AG111" i="79"/>
  <c r="AF111" i="79" s="1"/>
  <c r="AQ111" i="79"/>
  <c r="BG111" i="79" s="1"/>
  <c r="BA111" i="79" s="1"/>
  <c r="BD111" i="79" s="1"/>
  <c r="AQ201" i="79"/>
  <c r="BG201" i="79" s="1"/>
  <c r="BA201" i="79" s="1"/>
  <c r="BD201" i="79" s="1"/>
  <c r="AG201" i="79"/>
  <c r="AF201" i="79" s="1"/>
  <c r="AQ301" i="79"/>
  <c r="BG301" i="79" s="1"/>
  <c r="BA301" i="79" s="1"/>
  <c r="BD301" i="79" s="1"/>
  <c r="AG301" i="79"/>
  <c r="AJ150" i="79"/>
  <c r="AH150" i="79"/>
  <c r="BX150" i="79"/>
  <c r="AL150" i="79" a="1"/>
  <c r="AL150" i="79" s="1"/>
  <c r="BH150" i="79" s="1"/>
  <c r="AN150" i="79"/>
  <c r="AI150" i="79"/>
  <c r="AG55" i="79"/>
  <c r="AF55" i="79" s="1"/>
  <c r="AQ55" i="79"/>
  <c r="BG55" i="79" s="1"/>
  <c r="BA55" i="79" s="1"/>
  <c r="BD55" i="79" s="1"/>
  <c r="AQ325" i="79"/>
  <c r="BG325" i="79" s="1"/>
  <c r="BA325" i="79" s="1"/>
  <c r="BD325" i="79" s="1"/>
  <c r="AG325" i="79"/>
  <c r="AF103" i="79"/>
  <c r="AG296" i="79"/>
  <c r="AF296" i="79" s="1"/>
  <c r="AQ296" i="79"/>
  <c r="BG296" i="79" s="1"/>
  <c r="BA296" i="79" s="1"/>
  <c r="BD296" i="79" s="1"/>
  <c r="AG57" i="79"/>
  <c r="AF57" i="79" s="1"/>
  <c r="AQ57" i="79"/>
  <c r="BG57" i="79" s="1"/>
  <c r="BA57" i="79" s="1"/>
  <c r="BD57" i="79" s="1"/>
  <c r="AG460" i="79"/>
  <c r="AF460" i="79" s="1"/>
  <c r="AQ460" i="79"/>
  <c r="BG460" i="79" s="1"/>
  <c r="BA460" i="79" s="1"/>
  <c r="BD460" i="79" s="1"/>
  <c r="AG165" i="79"/>
  <c r="AQ165" i="79"/>
  <c r="BG165" i="79" s="1"/>
  <c r="BA165" i="79" s="1"/>
  <c r="BD165" i="79" s="1"/>
  <c r="AG500" i="79"/>
  <c r="AF500" i="79" s="1"/>
  <c r="AQ500" i="79"/>
  <c r="BG500" i="79" s="1"/>
  <c r="BA500" i="79" s="1"/>
  <c r="BD500" i="79" s="1"/>
  <c r="AQ322" i="79"/>
  <c r="BG322" i="79" s="1"/>
  <c r="BA322" i="79" s="1"/>
  <c r="BD322" i="79" s="1"/>
  <c r="AG322" i="79"/>
  <c r="AF322" i="79" s="1"/>
  <c r="AQ385" i="79"/>
  <c r="BG385" i="79" s="1"/>
  <c r="BA385" i="79" s="1"/>
  <c r="BD385" i="79" s="1"/>
  <c r="AG385" i="79"/>
  <c r="AF385" i="79" s="1"/>
  <c r="AY409" i="79"/>
  <c r="BE409" i="79" s="1"/>
  <c r="AR409" i="79"/>
  <c r="AG272" i="79"/>
  <c r="AF272" i="79" s="1"/>
  <c r="AQ272" i="79"/>
  <c r="BG272" i="79" s="1"/>
  <c r="BA272" i="79" s="1"/>
  <c r="BD272" i="79" s="1"/>
  <c r="AQ213" i="79"/>
  <c r="BG213" i="79" s="1"/>
  <c r="BA213" i="79" s="1"/>
  <c r="BD213" i="79" s="1"/>
  <c r="AG213" i="79"/>
  <c r="AF213" i="79" s="1"/>
  <c r="AJ478" i="79"/>
  <c r="AH478" i="79"/>
  <c r="BX478" i="79"/>
  <c r="AL478" i="79" a="1"/>
  <c r="AL478" i="79" s="1"/>
  <c r="AI478" i="79"/>
  <c r="AN478" i="79"/>
  <c r="AL346" i="79" a="1"/>
  <c r="AL346" i="79" s="1"/>
  <c r="BH346" i="79" s="1"/>
  <c r="AJ346" i="79"/>
  <c r="AH346" i="79"/>
  <c r="AI346" i="79"/>
  <c r="AN346" i="79"/>
  <c r="BX346" i="79"/>
  <c r="AQ302" i="79"/>
  <c r="BG302" i="79" s="1"/>
  <c r="BA302" i="79" s="1"/>
  <c r="BD302" i="79" s="1"/>
  <c r="AG302" i="79"/>
  <c r="AF302" i="79" s="1"/>
  <c r="AG198" i="79"/>
  <c r="AF198" i="79" s="1"/>
  <c r="AQ198" i="79"/>
  <c r="BG198" i="79" s="1"/>
  <c r="BA198" i="79" s="1"/>
  <c r="BD198" i="79" s="1"/>
  <c r="AQ109" i="79"/>
  <c r="BG109" i="79" s="1"/>
  <c r="BA109" i="79" s="1"/>
  <c r="BD109" i="79" s="1"/>
  <c r="AG109" i="79"/>
  <c r="AG425" i="79"/>
  <c r="AF425" i="79" s="1"/>
  <c r="AQ425" i="79"/>
  <c r="BG425" i="79" s="1"/>
  <c r="BA425" i="79" s="1"/>
  <c r="BD425" i="79" s="1"/>
  <c r="AH41" i="79"/>
  <c r="AL41" i="79" a="1"/>
  <c r="AL41" i="79" s="1"/>
  <c r="AJ41" i="79"/>
  <c r="AI41" i="79"/>
  <c r="AN41" i="79"/>
  <c r="BX41" i="79"/>
  <c r="AY159" i="79"/>
  <c r="BE159" i="79" s="1"/>
  <c r="AP80" i="79"/>
  <c r="AO80" i="79"/>
  <c r="AK115" i="79"/>
  <c r="AQ72" i="79"/>
  <c r="BG72" i="79" s="1"/>
  <c r="BA72" i="79" s="1"/>
  <c r="BB72" i="79" s="1"/>
  <c r="AG72" i="79"/>
  <c r="AF72" i="79" s="1"/>
  <c r="AQ366" i="79"/>
  <c r="BG366" i="79" s="1"/>
  <c r="BA366" i="79" s="1"/>
  <c r="BD366" i="79" s="1"/>
  <c r="AG366" i="79"/>
  <c r="AF366" i="79" s="1"/>
  <c r="AQ22" i="79"/>
  <c r="BG22" i="79" s="1"/>
  <c r="BA22" i="79" s="1"/>
  <c r="AG22" i="79"/>
  <c r="AF22" i="79" s="1"/>
  <c r="AG536" i="79"/>
  <c r="AF536" i="79" s="1"/>
  <c r="AQ536" i="79"/>
  <c r="BG536" i="79" s="1"/>
  <c r="BA536" i="79" s="1"/>
  <c r="BD536" i="79" s="1"/>
  <c r="AQ505" i="79"/>
  <c r="BG505" i="79" s="1"/>
  <c r="BA505" i="79" s="1"/>
  <c r="BD505" i="79" s="1"/>
  <c r="AG505" i="79"/>
  <c r="AG391" i="79"/>
  <c r="AF391" i="79" s="1"/>
  <c r="AQ391" i="79"/>
  <c r="BG391" i="79" s="1"/>
  <c r="BA391" i="79" s="1"/>
  <c r="BD391" i="79" s="1"/>
  <c r="AQ110" i="79"/>
  <c r="BG110" i="79" s="1"/>
  <c r="BA110" i="79" s="1"/>
  <c r="BD110" i="79" s="1"/>
  <c r="AG110" i="79"/>
  <c r="AF110" i="79" s="1"/>
  <c r="AK66" i="79"/>
  <c r="AR346" i="79"/>
  <c r="AY346" i="79"/>
  <c r="BE346" i="79" s="1"/>
  <c r="AG214" i="79"/>
  <c r="AF214" i="79" s="1"/>
  <c r="AQ214" i="79"/>
  <c r="BG214" i="79" s="1"/>
  <c r="BA214" i="79" s="1"/>
  <c r="BD214" i="79" s="1"/>
  <c r="AG332" i="79"/>
  <c r="AF332" i="79" s="1"/>
  <c r="AQ332" i="79"/>
  <c r="BG332" i="79" s="1"/>
  <c r="BA332" i="79" s="1"/>
  <c r="BD332" i="79" s="1"/>
  <c r="AY238" i="79"/>
  <c r="BE238" i="79" s="1"/>
  <c r="AR238" i="79"/>
  <c r="AF108" i="79"/>
  <c r="AQ108" i="79"/>
  <c r="AR108" i="79" s="1"/>
  <c r="AG364" i="79"/>
  <c r="AF364" i="79" s="1"/>
  <c r="AQ364" i="79"/>
  <c r="BG364" i="79" s="1"/>
  <c r="BA364" i="79" s="1"/>
  <c r="BD364" i="79" s="1"/>
  <c r="AQ444" i="79"/>
  <c r="BG444" i="79" s="1"/>
  <c r="BA444" i="79" s="1"/>
  <c r="BD444" i="79" s="1"/>
  <c r="AG444" i="79"/>
  <c r="AF444" i="79" s="1"/>
  <c r="AQ162" i="79"/>
  <c r="BG162" i="79" s="1"/>
  <c r="BA162" i="79" s="1"/>
  <c r="BD162" i="79" s="1"/>
  <c r="AG162" i="79"/>
  <c r="AF162" i="79" s="1"/>
  <c r="AM52" i="79"/>
  <c r="AU52" i="79" s="1"/>
  <c r="BB52" i="79"/>
  <c r="AZ52" i="79"/>
  <c r="AO52" i="79"/>
  <c r="AV52" i="79"/>
  <c r="AW52" i="79" a="1"/>
  <c r="AW52" i="79" s="1"/>
  <c r="AP52" i="79"/>
  <c r="AO78" i="79"/>
  <c r="AP78" i="79"/>
  <c r="AQ442" i="79"/>
  <c r="BG442" i="79" s="1"/>
  <c r="BA442" i="79" s="1"/>
  <c r="BD442" i="79" s="1"/>
  <c r="AG442" i="79"/>
  <c r="AG276" i="79"/>
  <c r="AF276" i="79" s="1"/>
  <c r="AQ276" i="79"/>
  <c r="BG276" i="79" s="1"/>
  <c r="BA276" i="79" s="1"/>
  <c r="BD276" i="79" s="1"/>
  <c r="AQ338" i="79"/>
  <c r="BG338" i="79" s="1"/>
  <c r="BA338" i="79" s="1"/>
  <c r="BD338" i="79" s="1"/>
  <c r="AG338" i="79"/>
  <c r="AG202" i="79"/>
  <c r="AF202" i="79" s="1"/>
  <c r="AQ202" i="79"/>
  <c r="BG202" i="79" s="1"/>
  <c r="BA202" i="79" s="1"/>
  <c r="BD202" i="79" s="1"/>
  <c r="AJ230" i="79"/>
  <c r="AN230" i="79"/>
  <c r="BX230" i="79"/>
  <c r="AL230" i="79" a="1"/>
  <c r="AL230" i="79" s="1"/>
  <c r="AI230" i="79"/>
  <c r="AH230" i="79"/>
  <c r="AQ263" i="79"/>
  <c r="BG263" i="79" s="1"/>
  <c r="BA263" i="79" s="1"/>
  <c r="BD263" i="79" s="1"/>
  <c r="AG263" i="79"/>
  <c r="AF263" i="79" s="1"/>
  <c r="AQ480" i="79"/>
  <c r="BG480" i="79" s="1"/>
  <c r="BA480" i="79" s="1"/>
  <c r="BD480" i="79" s="1"/>
  <c r="AG480" i="79"/>
  <c r="AF480" i="79" s="1"/>
  <c r="AM100" i="79"/>
  <c r="AU100" i="79" s="1"/>
  <c r="AO100" i="79"/>
  <c r="AW100" i="79" a="1"/>
  <c r="AW100" i="79" s="1"/>
  <c r="AV100" i="79"/>
  <c r="BB100" i="79"/>
  <c r="AZ100" i="79"/>
  <c r="AP100" i="79"/>
  <c r="AG297" i="79"/>
  <c r="AF297" i="79" s="1"/>
  <c r="AQ297" i="79"/>
  <c r="BG297" i="79" s="1"/>
  <c r="BA297" i="79" s="1"/>
  <c r="BD297" i="79" s="1"/>
  <c r="AQ187" i="79"/>
  <c r="BG187" i="79" s="1"/>
  <c r="BA187" i="79" s="1"/>
  <c r="BD187" i="79" s="1"/>
  <c r="AG187" i="79"/>
  <c r="AF187" i="79" s="1"/>
  <c r="AY53" i="79"/>
  <c r="BE53" i="79" s="1"/>
  <c r="AG145" i="79"/>
  <c r="AF145" i="79" s="1"/>
  <c r="AQ145" i="79"/>
  <c r="BG145" i="79" s="1"/>
  <c r="BA145" i="79" s="1"/>
  <c r="BD145" i="79" s="1"/>
  <c r="AY317" i="79"/>
  <c r="BE317" i="79" s="1"/>
  <c r="AQ501" i="79"/>
  <c r="BG501" i="79" s="1"/>
  <c r="BA501" i="79" s="1"/>
  <c r="BD501" i="79" s="1"/>
  <c r="AG501" i="79"/>
  <c r="AQ450" i="79"/>
  <c r="BG450" i="79" s="1"/>
  <c r="BA450" i="79" s="1"/>
  <c r="BD450" i="79" s="1"/>
  <c r="AG450" i="79"/>
  <c r="AF450" i="79" s="1"/>
  <c r="AQ295" i="79"/>
  <c r="BG295" i="79" s="1"/>
  <c r="BA295" i="79" s="1"/>
  <c r="BD295" i="79" s="1"/>
  <c r="AG295" i="79"/>
  <c r="AF295" i="79" s="1"/>
  <c r="AQ458" i="79"/>
  <c r="BG458" i="79" s="1"/>
  <c r="BA458" i="79" s="1"/>
  <c r="BD458" i="79" s="1"/>
  <c r="AG458" i="79"/>
  <c r="AF458" i="79" s="1"/>
  <c r="AQ261" i="79"/>
  <c r="BG261" i="79" s="1"/>
  <c r="BA261" i="79" s="1"/>
  <c r="BD261" i="79" s="1"/>
  <c r="AG261" i="79"/>
  <c r="BX412" i="79"/>
  <c r="AL412" i="79" a="1"/>
  <c r="AL412" i="79" s="1"/>
  <c r="BH412" i="79" s="1"/>
  <c r="AI412" i="79"/>
  <c r="AH412" i="79"/>
  <c r="AJ412" i="79"/>
  <c r="AN412" i="79"/>
  <c r="AQ340" i="79"/>
  <c r="BG340" i="79" s="1"/>
  <c r="BA340" i="79" s="1"/>
  <c r="BD340" i="79" s="1"/>
  <c r="AG340" i="79"/>
  <c r="AH436" i="79"/>
  <c r="BX436" i="79"/>
  <c r="AL436" i="79" a="1"/>
  <c r="AL436" i="79" s="1"/>
  <c r="BH436" i="79" s="1"/>
  <c r="AJ436" i="79"/>
  <c r="AN436" i="79"/>
  <c r="AI436" i="79"/>
  <c r="AG345" i="79"/>
  <c r="AF345" i="79" s="1"/>
  <c r="AQ345" i="79"/>
  <c r="BG345" i="79" s="1"/>
  <c r="BA345" i="79" s="1"/>
  <c r="BD345" i="79" s="1"/>
  <c r="AG174" i="79"/>
  <c r="AF174" i="79" s="1"/>
  <c r="AQ174" i="79"/>
  <c r="BG174" i="79" s="1"/>
  <c r="BA174" i="79" s="1"/>
  <c r="BD174" i="79" s="1"/>
  <c r="AG361" i="79"/>
  <c r="AF361" i="79" s="1"/>
  <c r="AQ361" i="79"/>
  <c r="BG361" i="79" s="1"/>
  <c r="BA361" i="79" s="1"/>
  <c r="BD361" i="79" s="1"/>
  <c r="AG89" i="79"/>
  <c r="AF89" i="79" s="1"/>
  <c r="AQ89" i="79"/>
  <c r="BG89" i="79" s="1"/>
  <c r="BA89" i="79" s="1"/>
  <c r="BD89" i="79" s="1"/>
  <c r="AQ507" i="79"/>
  <c r="BG507" i="79" s="1"/>
  <c r="BA507" i="79" s="1"/>
  <c r="BD507" i="79" s="1"/>
  <c r="AG507" i="79"/>
  <c r="AG210" i="79"/>
  <c r="AQ210" i="79"/>
  <c r="BG210" i="79" s="1"/>
  <c r="BA210" i="79" s="1"/>
  <c r="BD210" i="79" s="1"/>
  <c r="AY217" i="79"/>
  <c r="BE217" i="79" s="1"/>
  <c r="AG116" i="79"/>
  <c r="AF116" i="79" s="1"/>
  <c r="AQ116" i="79"/>
  <c r="BG116" i="79" s="1"/>
  <c r="BA116" i="79" s="1"/>
  <c r="BD116" i="79" s="1"/>
  <c r="AQ386" i="79"/>
  <c r="BG386" i="79" s="1"/>
  <c r="BA386" i="79" s="1"/>
  <c r="BD386" i="79" s="1"/>
  <c r="AG386" i="79"/>
  <c r="AF386" i="79" s="1"/>
  <c r="AQ260" i="79"/>
  <c r="BG260" i="79" s="1"/>
  <c r="BA260" i="79" s="1"/>
  <c r="BD260" i="79" s="1"/>
  <c r="AG260" i="79"/>
  <c r="AF260" i="79" s="1"/>
  <c r="AG182" i="79"/>
  <c r="AF182" i="79" s="1"/>
  <c r="AQ182" i="79"/>
  <c r="BG182" i="79" s="1"/>
  <c r="BA182" i="79" s="1"/>
  <c r="BD182" i="79" s="1"/>
  <c r="AJ371" i="79"/>
  <c r="AI371" i="79"/>
  <c r="AH371" i="79"/>
  <c r="BX371" i="79"/>
  <c r="AL371" i="79" a="1"/>
  <c r="AL371" i="79" s="1"/>
  <c r="BH371" i="79" s="1"/>
  <c r="AN371" i="79"/>
  <c r="AH397" i="79"/>
  <c r="AL397" i="79" a="1"/>
  <c r="AL397" i="79" s="1"/>
  <c r="BH397" i="79" s="1"/>
  <c r="BX397" i="79"/>
  <c r="AJ397" i="79"/>
  <c r="AI397" i="79"/>
  <c r="AN397" i="79"/>
  <c r="AG416" i="79"/>
  <c r="AF416" i="79" s="1"/>
  <c r="AQ416" i="79"/>
  <c r="BG416" i="79" s="1"/>
  <c r="BA416" i="79" s="1"/>
  <c r="BD416" i="79" s="1"/>
  <c r="AM43" i="79"/>
  <c r="AU43" i="79" s="1"/>
  <c r="AW43" i="79" a="1"/>
  <c r="AW43" i="79" s="1"/>
  <c r="AO43" i="79"/>
  <c r="AP43" i="79"/>
  <c r="AV43" i="79"/>
  <c r="AZ43" i="79"/>
  <c r="BB43" i="79"/>
  <c r="AY431" i="79"/>
  <c r="BE431" i="79" s="1"/>
  <c r="AQ195" i="79"/>
  <c r="BG195" i="79" s="1"/>
  <c r="BA195" i="79" s="1"/>
  <c r="BD195" i="79" s="1"/>
  <c r="AG195" i="79"/>
  <c r="AF195" i="79" s="1"/>
  <c r="AQ356" i="79"/>
  <c r="BG356" i="79" s="1"/>
  <c r="BA356" i="79" s="1"/>
  <c r="BD356" i="79" s="1"/>
  <c r="AG356" i="79"/>
  <c r="AF356" i="79" s="1"/>
  <c r="AQ48" i="79"/>
  <c r="BG48" i="79" s="1"/>
  <c r="BA48" i="79" s="1"/>
  <c r="BD48" i="79" s="1"/>
  <c r="AG48" i="79"/>
  <c r="AQ142" i="79"/>
  <c r="BG142" i="79" s="1"/>
  <c r="BA142" i="79" s="1"/>
  <c r="BD142" i="79" s="1"/>
  <c r="AG142" i="79"/>
  <c r="AF142" i="79" s="1"/>
  <c r="AQ497" i="79"/>
  <c r="BG497" i="79" s="1"/>
  <c r="BA497" i="79" s="1"/>
  <c r="BD497" i="79" s="1"/>
  <c r="AG497" i="79"/>
  <c r="AF497" i="79" s="1"/>
  <c r="AG334" i="79"/>
  <c r="AF334" i="79" s="1"/>
  <c r="AQ334" i="79"/>
  <c r="BG334" i="79" s="1"/>
  <c r="BA334" i="79" s="1"/>
  <c r="BD334" i="79" s="1"/>
  <c r="BX470" i="79"/>
  <c r="AL470" i="79" a="1"/>
  <c r="AL470" i="79" s="1"/>
  <c r="AH470" i="79"/>
  <c r="AN470" i="79"/>
  <c r="AI470" i="79"/>
  <c r="AJ470" i="79"/>
  <c r="AG231" i="79"/>
  <c r="AF231" i="79" s="1"/>
  <c r="AQ231" i="79"/>
  <c r="BG231" i="79" s="1"/>
  <c r="BA231" i="79" s="1"/>
  <c r="BD231" i="79" s="1"/>
  <c r="AQ228" i="79"/>
  <c r="BG228" i="79" s="1"/>
  <c r="BA228" i="79" s="1"/>
  <c r="BD228" i="79" s="1"/>
  <c r="AG228" i="79"/>
  <c r="AF228" i="79" s="1"/>
  <c r="AG523" i="79"/>
  <c r="AF523" i="79" s="1"/>
  <c r="AQ523" i="79"/>
  <c r="BG523" i="79" s="1"/>
  <c r="BA523" i="79" s="1"/>
  <c r="BD523" i="79" s="1"/>
  <c r="AG255" i="79"/>
  <c r="AF255" i="79" s="1"/>
  <c r="AQ255" i="79"/>
  <c r="BG255" i="79" s="1"/>
  <c r="BA255" i="79" s="1"/>
  <c r="BD255" i="79" s="1"/>
  <c r="AQ282" i="79"/>
  <c r="BG282" i="79" s="1"/>
  <c r="BA282" i="79" s="1"/>
  <c r="BD282" i="79" s="1"/>
  <c r="AG282" i="79"/>
  <c r="AF282" i="79" s="1"/>
  <c r="AY420" i="79"/>
  <c r="BE420" i="79" s="1"/>
  <c r="AR420" i="79"/>
  <c r="AY343" i="79"/>
  <c r="BE343" i="79" s="1"/>
  <c r="AF343" i="79"/>
  <c r="AQ243" i="79"/>
  <c r="BG243" i="79" s="1"/>
  <c r="BA243" i="79" s="1"/>
  <c r="BD243" i="79" s="1"/>
  <c r="AG243" i="79"/>
  <c r="AQ171" i="79"/>
  <c r="BG171" i="79" s="1"/>
  <c r="BA171" i="79" s="1"/>
  <c r="BD171" i="79" s="1"/>
  <c r="AG171" i="79"/>
  <c r="AF171" i="79" s="1"/>
  <c r="AG114" i="79"/>
  <c r="AF114" i="79" s="1"/>
  <c r="AQ114" i="79"/>
  <c r="BG114" i="79" s="1"/>
  <c r="BA114" i="79" s="1"/>
  <c r="BD114" i="79" s="1"/>
  <c r="AQ151" i="79"/>
  <c r="BG151" i="79" s="1"/>
  <c r="BA151" i="79" s="1"/>
  <c r="BD151" i="79" s="1"/>
  <c r="AG151" i="79"/>
  <c r="AF151" i="79" s="1"/>
  <c r="AQ312" i="79"/>
  <c r="BG312" i="79" s="1"/>
  <c r="BA312" i="79" s="1"/>
  <c r="BD312" i="79" s="1"/>
  <c r="AG312" i="79"/>
  <c r="AQ74" i="79"/>
  <c r="BG74" i="79" s="1"/>
  <c r="BA74" i="79" s="1"/>
  <c r="BB74" i="79" s="1"/>
  <c r="AG74" i="79"/>
  <c r="AF74" i="79" s="1"/>
  <c r="AO79" i="79"/>
  <c r="AP79" i="79"/>
  <c r="AY371" i="79"/>
  <c r="BE371" i="79" s="1"/>
  <c r="AR371" i="79"/>
  <c r="AG122" i="79"/>
  <c r="AQ122" i="79"/>
  <c r="BG122" i="79" s="1"/>
  <c r="BA122" i="79" s="1"/>
  <c r="BB122" i="79" s="1"/>
  <c r="AG206" i="79"/>
  <c r="AF206" i="79" s="1"/>
  <c r="AQ206" i="79"/>
  <c r="BG206" i="79" s="1"/>
  <c r="BA206" i="79" s="1"/>
  <c r="BD206" i="79" s="1"/>
  <c r="AG82" i="79"/>
  <c r="AF82" i="79" s="1"/>
  <c r="AQ82" i="79"/>
  <c r="BG82" i="79" s="1"/>
  <c r="BA82" i="79" s="1"/>
  <c r="AY104" i="79"/>
  <c r="BE104" i="79" s="1"/>
  <c r="AQ517" i="79"/>
  <c r="BG517" i="79" s="1"/>
  <c r="BA517" i="79" s="1"/>
  <c r="BD517" i="79" s="1"/>
  <c r="AG517" i="79"/>
  <c r="AF517" i="79" s="1"/>
  <c r="AG512" i="79"/>
  <c r="AF512" i="79" s="1"/>
  <c r="AQ512" i="79"/>
  <c r="BG512" i="79" s="1"/>
  <c r="BA512" i="79" s="1"/>
  <c r="BD512" i="79" s="1"/>
  <c r="AQ484" i="79"/>
  <c r="BG484" i="79" s="1"/>
  <c r="BA484" i="79" s="1"/>
  <c r="BD484" i="79" s="1"/>
  <c r="AG484" i="79"/>
  <c r="AF484" i="79" s="1"/>
  <c r="AN439" i="79"/>
  <c r="AH439" i="79"/>
  <c r="BX439" i="79"/>
  <c r="AI439" i="79"/>
  <c r="AL439" i="79" a="1"/>
  <c r="AL439" i="79" s="1"/>
  <c r="AJ439" i="79"/>
  <c r="AQ429" i="79"/>
  <c r="BG429" i="79" s="1"/>
  <c r="BA429" i="79" s="1"/>
  <c r="BD429" i="79" s="1"/>
  <c r="AG429" i="79"/>
  <c r="AF429" i="79" s="1"/>
  <c r="AQ370" i="79"/>
  <c r="BG370" i="79" s="1"/>
  <c r="BA370" i="79" s="1"/>
  <c r="BD370" i="79" s="1"/>
  <c r="AG370" i="79"/>
  <c r="AG389" i="79"/>
  <c r="AF389" i="79" s="1"/>
  <c r="AQ389" i="79"/>
  <c r="BG389" i="79" s="1"/>
  <c r="BA389" i="79" s="1"/>
  <c r="BD389" i="79" s="1"/>
  <c r="AG369" i="79"/>
  <c r="AF369" i="79" s="1"/>
  <c r="AQ369" i="79"/>
  <c r="BG369" i="79" s="1"/>
  <c r="BA369" i="79" s="1"/>
  <c r="BD369" i="79" s="1"/>
  <c r="AY454" i="79"/>
  <c r="BE454" i="79" s="1"/>
  <c r="AR454" i="79"/>
  <c r="AG284" i="79"/>
  <c r="AF284" i="79" s="1"/>
  <c r="AQ284" i="79"/>
  <c r="BG284" i="79" s="1"/>
  <c r="BA284" i="79" s="1"/>
  <c r="BD284" i="79" s="1"/>
  <c r="AY495" i="79"/>
  <c r="BE495" i="79" s="1"/>
  <c r="AF495" i="79"/>
  <c r="AQ405" i="79"/>
  <c r="BG405" i="79" s="1"/>
  <c r="BA405" i="79" s="1"/>
  <c r="BD405" i="79" s="1"/>
  <c r="AG405" i="79"/>
  <c r="AF405" i="79" s="1"/>
  <c r="AG381" i="79"/>
  <c r="AF381" i="79" s="1"/>
  <c r="AQ381" i="79"/>
  <c r="BG381" i="79" s="1"/>
  <c r="BA381" i="79" s="1"/>
  <c r="BD381" i="79" s="1"/>
  <c r="AF420" i="79"/>
  <c r="AQ235" i="79"/>
  <c r="BG235" i="79" s="1"/>
  <c r="BA235" i="79" s="1"/>
  <c r="BD235" i="79" s="1"/>
  <c r="AG235" i="79"/>
  <c r="AJ409" i="79"/>
  <c r="AI409" i="79"/>
  <c r="BX409" i="79"/>
  <c r="AL409" i="79" a="1"/>
  <c r="AL409" i="79" s="1"/>
  <c r="BH409" i="79" s="1"/>
  <c r="AH409" i="79"/>
  <c r="AN409" i="79"/>
  <c r="AG288" i="79"/>
  <c r="AF288" i="79" s="1"/>
  <c r="AQ288" i="79"/>
  <c r="BG288" i="79" s="1"/>
  <c r="BA288" i="79" s="1"/>
  <c r="BD288" i="79" s="1"/>
  <c r="AQ396" i="79"/>
  <c r="BG396" i="79" s="1"/>
  <c r="BA396" i="79" s="1"/>
  <c r="BD396" i="79" s="1"/>
  <c r="AG396" i="79"/>
  <c r="AF396" i="79" s="1"/>
  <c r="AY525" i="79"/>
  <c r="BE525" i="79" s="1"/>
  <c r="AR525" i="79"/>
  <c r="AV141" i="79"/>
  <c r="AM141" i="79"/>
  <c r="AU141" i="79" s="1"/>
  <c r="BB141" i="79"/>
  <c r="AZ141" i="79"/>
  <c r="AW141" i="79" a="1"/>
  <c r="AW141" i="79" s="1"/>
  <c r="AP141" i="79"/>
  <c r="AO141" i="79"/>
  <c r="AQ76" i="79"/>
  <c r="BG76" i="79" s="1"/>
  <c r="BA76" i="79" s="1"/>
  <c r="BB76" i="79" s="1"/>
  <c r="AG76" i="79"/>
  <c r="AF76" i="79" s="1"/>
  <c r="AY397" i="79"/>
  <c r="BE397" i="79" s="1"/>
  <c r="AR397" i="79"/>
  <c r="AQ139" i="79"/>
  <c r="BG139" i="79" s="1"/>
  <c r="BA139" i="79" s="1"/>
  <c r="BD139" i="79" s="1"/>
  <c r="AG139" i="79"/>
  <c r="AF139" i="79" s="1"/>
  <c r="AY205" i="79"/>
  <c r="BE205" i="79" s="1"/>
  <c r="AF431" i="79"/>
  <c r="AG56" i="79"/>
  <c r="AF56" i="79" s="1"/>
  <c r="AQ56" i="79"/>
  <c r="BG56" i="79" s="1"/>
  <c r="BA56" i="79" s="1"/>
  <c r="BD56" i="79" s="1"/>
  <c r="AR511" i="79"/>
  <c r="AY511" i="79"/>
  <c r="BE511" i="79" s="1"/>
  <c r="AQ549" i="79"/>
  <c r="BG549" i="79" s="1"/>
  <c r="BA549" i="79" s="1"/>
  <c r="BD549" i="79" s="1"/>
  <c r="AG549" i="79"/>
  <c r="AQ491" i="79"/>
  <c r="BG491" i="79" s="1"/>
  <c r="BA491" i="79" s="1"/>
  <c r="BD491" i="79" s="1"/>
  <c r="AG491" i="79"/>
  <c r="AF491" i="79" s="1"/>
  <c r="AR535" i="79"/>
  <c r="AY439" i="79"/>
  <c r="BE439" i="79" s="1"/>
  <c r="AG237" i="79"/>
  <c r="AQ237" i="79"/>
  <c r="BG237" i="79" s="1"/>
  <c r="BA237" i="79" s="1"/>
  <c r="BD237" i="79" s="1"/>
  <c r="AQ191" i="79"/>
  <c r="BG191" i="79" s="1"/>
  <c r="BA191" i="79" s="1"/>
  <c r="BD191" i="79" s="1"/>
  <c r="AG191" i="79"/>
  <c r="AF205" i="79"/>
  <c r="AQ277" i="79"/>
  <c r="BG277" i="79" s="1"/>
  <c r="BA277" i="79" s="1"/>
  <c r="BD277" i="79" s="1"/>
  <c r="AG277" i="79"/>
  <c r="AQ475" i="79"/>
  <c r="BG475" i="79" s="1"/>
  <c r="BA475" i="79" s="1"/>
  <c r="BD475" i="79" s="1"/>
  <c r="AG475" i="79"/>
  <c r="AF475" i="79" s="1"/>
  <c r="BG436" i="79"/>
  <c r="BA436" i="79" s="1"/>
  <c r="BD436" i="79" s="1"/>
  <c r="AR436" i="79"/>
  <c r="AQ426" i="79"/>
  <c r="BG426" i="79" s="1"/>
  <c r="BA426" i="79" s="1"/>
  <c r="BD426" i="79" s="1"/>
  <c r="AG426" i="79"/>
  <c r="AG278" i="79"/>
  <c r="AF278" i="79" s="1"/>
  <c r="AQ278" i="79"/>
  <c r="BG278" i="79" s="1"/>
  <c r="BA278" i="79" s="1"/>
  <c r="BD278" i="79" s="1"/>
  <c r="AG465" i="79"/>
  <c r="AF465" i="79" s="1"/>
  <c r="AQ465" i="79"/>
  <c r="BG465" i="79" s="1"/>
  <c r="BA465" i="79" s="1"/>
  <c r="BD465" i="79" s="1"/>
  <c r="AY230" i="79"/>
  <c r="BE230" i="79" s="1"/>
  <c r="AG348" i="79"/>
  <c r="AF348" i="79" s="1"/>
  <c r="AQ348" i="79"/>
  <c r="BG348" i="79" s="1"/>
  <c r="BA348" i="79" s="1"/>
  <c r="BD348" i="79" s="1"/>
  <c r="AY478" i="79"/>
  <c r="BE478" i="79" s="1"/>
  <c r="AG375" i="79"/>
  <c r="AF375" i="79" s="1"/>
  <c r="AQ375" i="79"/>
  <c r="BG375" i="79" s="1"/>
  <c r="BA375" i="79" s="1"/>
  <c r="BD375" i="79" s="1"/>
  <c r="AG120" i="79"/>
  <c r="AF120" i="79" s="1"/>
  <c r="AQ120" i="79"/>
  <c r="BG120" i="79" s="1"/>
  <c r="BA120" i="79" s="1"/>
  <c r="BB120" i="79" s="1"/>
  <c r="AQ419" i="79"/>
  <c r="BG419" i="79" s="1"/>
  <c r="BA419" i="79" s="1"/>
  <c r="BD419" i="79" s="1"/>
  <c r="AG419" i="79"/>
  <c r="AF419" i="79" s="1"/>
  <c r="AP128" i="79"/>
  <c r="AO128" i="79"/>
  <c r="AJ238" i="79"/>
  <c r="AN238" i="79"/>
  <c r="AH238" i="79"/>
  <c r="BX238" i="79"/>
  <c r="AL238" i="79" a="1"/>
  <c r="AL238" i="79" s="1"/>
  <c r="BH238" i="79" s="1"/>
  <c r="AI238" i="79"/>
  <c r="AY41" i="79"/>
  <c r="BE41" i="79" s="1"/>
  <c r="AQ408" i="79"/>
  <c r="BG408" i="79" s="1"/>
  <c r="BA408" i="79" s="1"/>
  <c r="BD408" i="79" s="1"/>
  <c r="AG408" i="79"/>
  <c r="AF408" i="79" s="1"/>
  <c r="AQ219" i="79"/>
  <c r="BG219" i="79" s="1"/>
  <c r="BA219" i="79" s="1"/>
  <c r="BD219" i="79" s="1"/>
  <c r="AG219" i="79"/>
  <c r="AF219" i="79" s="1"/>
  <c r="AG147" i="79"/>
  <c r="AF147" i="79" s="1"/>
  <c r="AQ147" i="79"/>
  <c r="BG147" i="79" s="1"/>
  <c r="BA147" i="79" s="1"/>
  <c r="BD147" i="79" s="1"/>
  <c r="AF159" i="79"/>
  <c r="AQ293" i="79"/>
  <c r="BG293" i="79" s="1"/>
  <c r="BA293" i="79" s="1"/>
  <c r="BD293" i="79" s="1"/>
  <c r="AG293" i="79"/>
  <c r="AF293" i="79" s="1"/>
  <c r="AQ37" i="79"/>
  <c r="BG37" i="79" s="1"/>
  <c r="BA37" i="79" s="1"/>
  <c r="BD37" i="79" s="1"/>
  <c r="AG37" i="79"/>
  <c r="AF37" i="79" s="1"/>
  <c r="AY308" i="79"/>
  <c r="BE308" i="79" s="1"/>
  <c r="AF156" i="79"/>
  <c r="AQ23" i="80" l="1"/>
  <c r="BG23" i="80" s="1"/>
  <c r="BA23" i="80" s="1"/>
  <c r="BB23" i="80" s="1"/>
  <c r="AE208" i="82"/>
  <c r="AC208" i="82"/>
  <c r="AW208" i="82" s="1"/>
  <c r="AF141" i="82"/>
  <c r="AR135" i="82"/>
  <c r="AD23" i="82"/>
  <c r="AR282" i="82"/>
  <c r="AK286" i="82" s="1"/>
  <c r="AD29" i="82"/>
  <c r="AF288" i="82"/>
  <c r="AF43" i="82"/>
  <c r="AR37" i="82"/>
  <c r="AD19" i="82"/>
  <c r="AE110" i="82"/>
  <c r="AC110" i="82"/>
  <c r="AW110" i="82" s="1"/>
  <c r="AF190" i="82"/>
  <c r="AD25" i="82"/>
  <c r="AR184" i="82"/>
  <c r="AE306" i="82"/>
  <c r="AC306" i="82"/>
  <c r="AW306" i="82" s="1"/>
  <c r="AE61" i="82"/>
  <c r="AC61" i="82"/>
  <c r="AW61" i="82" s="1"/>
  <c r="AE159" i="82"/>
  <c r="AC159" i="82"/>
  <c r="AW159" i="82" s="1"/>
  <c r="AF239" i="82"/>
  <c r="AR233" i="82"/>
  <c r="AK237" i="82" s="1"/>
  <c r="AD27" i="82"/>
  <c r="AC257" i="82"/>
  <c r="AW257" i="82" s="1"/>
  <c r="AE257" i="82"/>
  <c r="AF92" i="82"/>
  <c r="AR86" i="82"/>
  <c r="AD21" i="82"/>
  <c r="AF370" i="80"/>
  <c r="BX370" i="80" s="1"/>
  <c r="AY105" i="80"/>
  <c r="BE105" i="80" s="1"/>
  <c r="AY370" i="80"/>
  <c r="BE370" i="80" s="1"/>
  <c r="AY543" i="80"/>
  <c r="BE543" i="80" s="1"/>
  <c r="AR543" i="80"/>
  <c r="AH543" i="80"/>
  <c r="AI543" i="80"/>
  <c r="AJ543" i="80"/>
  <c r="BX543" i="80"/>
  <c r="BX105" i="80"/>
  <c r="AJ105" i="80"/>
  <c r="AN105" i="80"/>
  <c r="AL105" i="80" a="1"/>
  <c r="AL105" i="80" s="1"/>
  <c r="BH105" i="80" s="1"/>
  <c r="AH105" i="80"/>
  <c r="AR105" i="80"/>
  <c r="AL543" i="80" a="1"/>
  <c r="AL543" i="80" s="1"/>
  <c r="BH543" i="80" s="1"/>
  <c r="BG67" i="80"/>
  <c r="BA67" i="80" s="1"/>
  <c r="BD67" i="80" s="1"/>
  <c r="BX232" i="80"/>
  <c r="AI232" i="80"/>
  <c r="AJ232" i="80"/>
  <c r="AH321" i="80"/>
  <c r="AN321" i="80"/>
  <c r="AN232" i="80"/>
  <c r="BX321" i="80"/>
  <c r="AL232" i="80" a="1"/>
  <c r="AL232" i="80" s="1"/>
  <c r="BH232" i="80" s="1"/>
  <c r="AR287" i="80"/>
  <c r="BH287" i="80"/>
  <c r="AI321" i="80"/>
  <c r="AL321" i="80" a="1"/>
  <c r="AL321" i="80" s="1"/>
  <c r="BH321" i="80" s="1"/>
  <c r="BX236" i="80"/>
  <c r="AJ236" i="80"/>
  <c r="AR260" i="80"/>
  <c r="AR151" i="80"/>
  <c r="AY240" i="80"/>
  <c r="BE240" i="80" s="1"/>
  <c r="AI240" i="80"/>
  <c r="AY232" i="80"/>
  <c r="BE232" i="80" s="1"/>
  <c r="AH202" i="80"/>
  <c r="AR232" i="80"/>
  <c r="AR321" i="80"/>
  <c r="AY321" i="80"/>
  <c r="BE321" i="80" s="1"/>
  <c r="AR202" i="80"/>
  <c r="AY202" i="80"/>
  <c r="BE202" i="80" s="1"/>
  <c r="AR186" i="80"/>
  <c r="AN155" i="80"/>
  <c r="BX240" i="80"/>
  <c r="AH236" i="80"/>
  <c r="AI236" i="80"/>
  <c r="AN236" i="80"/>
  <c r="AI155" i="80"/>
  <c r="AY134" i="80"/>
  <c r="BE134" i="80" s="1"/>
  <c r="AR134" i="80"/>
  <c r="AI202" i="80"/>
  <c r="AJ202" i="80"/>
  <c r="AR485" i="80"/>
  <c r="AL202" i="80" a="1"/>
  <c r="AL202" i="80" s="1"/>
  <c r="BH202" i="80" s="1"/>
  <c r="BX202" i="80"/>
  <c r="AN515" i="79"/>
  <c r="AH515" i="79"/>
  <c r="AQ130" i="80"/>
  <c r="AL410" i="80" a="1"/>
  <c r="AL410" i="80" s="1"/>
  <c r="BH410" i="80" s="1"/>
  <c r="AN340" i="80"/>
  <c r="AG98" i="80"/>
  <c r="AF98" i="80" s="1"/>
  <c r="AJ98" i="80" s="1"/>
  <c r="AR515" i="79"/>
  <c r="AR505" i="80"/>
  <c r="AY515" i="79"/>
  <c r="BE515" i="79" s="1"/>
  <c r="BX515" i="79"/>
  <c r="AL515" i="79" a="1"/>
  <c r="AL515" i="79" s="1"/>
  <c r="BH515" i="79" s="1"/>
  <c r="AI515" i="79"/>
  <c r="AN260" i="80"/>
  <c r="AL240" i="80" a="1"/>
  <c r="AL240" i="80" s="1"/>
  <c r="BH240" i="80" s="1"/>
  <c r="AI260" i="80"/>
  <c r="AJ260" i="80"/>
  <c r="AH240" i="80"/>
  <c r="BH505" i="80"/>
  <c r="AN240" i="80"/>
  <c r="BX260" i="80"/>
  <c r="AL260" i="80" a="1"/>
  <c r="AL260" i="80" s="1"/>
  <c r="BH260" i="80" s="1"/>
  <c r="AR375" i="80"/>
  <c r="AY313" i="80"/>
  <c r="BE313" i="80" s="1"/>
  <c r="AR240" i="80"/>
  <c r="BX155" i="80"/>
  <c r="BH189" i="80"/>
  <c r="AJ155" i="80"/>
  <c r="BH186" i="80"/>
  <c r="AR189" i="80"/>
  <c r="AR395" i="80"/>
  <c r="AY155" i="80"/>
  <c r="BE155" i="80" s="1"/>
  <c r="AR495" i="79"/>
  <c r="AR155" i="80"/>
  <c r="BG179" i="80"/>
  <c r="BA179" i="80" s="1"/>
  <c r="BD179" i="80" s="1"/>
  <c r="AY260" i="80"/>
  <c r="BE260" i="80" s="1"/>
  <c r="AL155" i="80" a="1"/>
  <c r="AL155" i="80" s="1"/>
  <c r="BH155" i="80" s="1"/>
  <c r="BG411" i="80"/>
  <c r="BA411" i="80" s="1"/>
  <c r="BD411" i="80" s="1"/>
  <c r="AN298" i="80"/>
  <c r="AG130" i="80"/>
  <c r="BX410" i="80"/>
  <c r="BG73" i="80"/>
  <c r="BA73" i="80" s="1"/>
  <c r="BB73" i="80" s="1"/>
  <c r="BX298" i="80"/>
  <c r="AN410" i="80"/>
  <c r="AG73" i="80"/>
  <c r="AR73" i="80" s="1"/>
  <c r="AH298" i="80"/>
  <c r="AJ410" i="80"/>
  <c r="AI410" i="80"/>
  <c r="AJ298" i="80"/>
  <c r="AL298" i="80" a="1"/>
  <c r="AL298" i="80" s="1"/>
  <c r="BH298" i="80" s="1"/>
  <c r="AR410" i="80"/>
  <c r="AQ93" i="80"/>
  <c r="BG93" i="80" s="1"/>
  <c r="BA93" i="80" s="1"/>
  <c r="BD93" i="80" s="1"/>
  <c r="BH375" i="80"/>
  <c r="AY410" i="80"/>
  <c r="BE410" i="80" s="1"/>
  <c r="AF490" i="79"/>
  <c r="AH490" i="79" s="1"/>
  <c r="BX247" i="80"/>
  <c r="AR247" i="80"/>
  <c r="AI330" i="79"/>
  <c r="AR300" i="79"/>
  <c r="AY247" i="80"/>
  <c r="BE247" i="80" s="1"/>
  <c r="AY42" i="80"/>
  <c r="BE42" i="80" s="1"/>
  <c r="AY181" i="80"/>
  <c r="BE181" i="80" s="1"/>
  <c r="AI326" i="80"/>
  <c r="AR490" i="79"/>
  <c r="AG64" i="80"/>
  <c r="AF64" i="80" s="1"/>
  <c r="AH64" i="80" s="1"/>
  <c r="AR326" i="80"/>
  <c r="AF547" i="80"/>
  <c r="AH547" i="80" s="1"/>
  <c r="AR139" i="80"/>
  <c r="AH330" i="79"/>
  <c r="AH326" i="80"/>
  <c r="AR330" i="79"/>
  <c r="AJ330" i="79"/>
  <c r="AH355" i="79"/>
  <c r="AR181" i="80"/>
  <c r="BX139" i="80"/>
  <c r="AJ326" i="80"/>
  <c r="AN330" i="79"/>
  <c r="AJ247" i="80"/>
  <c r="AL216" i="80" a="1"/>
  <c r="AL216" i="80" s="1"/>
  <c r="BH216" i="80" s="1"/>
  <c r="AL326" i="80" a="1"/>
  <c r="AL326" i="80" s="1"/>
  <c r="BH326" i="80" s="1"/>
  <c r="AR191" i="80"/>
  <c r="BX261" i="80"/>
  <c r="AN326" i="80"/>
  <c r="AY330" i="79"/>
  <c r="BE330" i="79" s="1"/>
  <c r="AL330" i="79" a="1"/>
  <c r="AL330" i="79" s="1"/>
  <c r="BH330" i="79" s="1"/>
  <c r="BX355" i="79"/>
  <c r="AJ268" i="80"/>
  <c r="AF312" i="80"/>
  <c r="AL312" i="80" s="1" a="1"/>
  <c r="AL312" i="80" s="1"/>
  <c r="BH312" i="80" s="1"/>
  <c r="AL261" i="80" a="1"/>
  <c r="AL261" i="80" s="1"/>
  <c r="BH261" i="80" s="1"/>
  <c r="AL355" i="79" a="1"/>
  <c r="AL355" i="79" s="1"/>
  <c r="BH355" i="79" s="1"/>
  <c r="AR531" i="80"/>
  <c r="AY312" i="80"/>
  <c r="BE312" i="80" s="1"/>
  <c r="BH214" i="80"/>
  <c r="BH485" i="80"/>
  <c r="AI261" i="80"/>
  <c r="AY326" i="80"/>
  <c r="BE326" i="80" s="1"/>
  <c r="AL247" i="80" a="1"/>
  <c r="AL247" i="80" s="1"/>
  <c r="BH247" i="80" s="1"/>
  <c r="AY531" i="80"/>
  <c r="BE531" i="80" s="1"/>
  <c r="AR214" i="80"/>
  <c r="BH191" i="80"/>
  <c r="AH261" i="80"/>
  <c r="AY139" i="80"/>
  <c r="BE139" i="80" s="1"/>
  <c r="AJ139" i="80"/>
  <c r="AF344" i="80"/>
  <c r="AN344" i="80" s="1"/>
  <c r="AH139" i="80"/>
  <c r="BH179" i="80"/>
  <c r="BH165" i="80"/>
  <c r="AN310" i="80"/>
  <c r="AL310" i="80" a="1"/>
  <c r="AL310" i="80" s="1"/>
  <c r="BH310" i="80" s="1"/>
  <c r="AR216" i="80"/>
  <c r="BX310" i="80"/>
  <c r="AY216" i="80"/>
  <c r="BE216" i="80" s="1"/>
  <c r="AN247" i="80"/>
  <c r="BG81" i="80"/>
  <c r="BA81" i="80" s="1"/>
  <c r="BB81" i="80" s="1"/>
  <c r="AR165" i="80"/>
  <c r="AH216" i="80"/>
  <c r="AL139" i="80" a="1"/>
  <c r="AL139" i="80" s="1"/>
  <c r="BH139" i="80" s="1"/>
  <c r="AN139" i="80"/>
  <c r="AN216" i="80"/>
  <c r="BX216" i="80"/>
  <c r="AR547" i="80"/>
  <c r="AI310" i="80"/>
  <c r="AH247" i="80"/>
  <c r="AG81" i="80"/>
  <c r="AF81" i="80" s="1"/>
  <c r="AL81" i="80" s="1" a="1"/>
  <c r="AL81" i="80" s="1"/>
  <c r="AI216" i="80"/>
  <c r="AH310" i="80"/>
  <c r="AF361" i="80"/>
  <c r="AI361" i="80" s="1"/>
  <c r="AR38" i="80"/>
  <c r="BX513" i="80"/>
  <c r="AN415" i="79"/>
  <c r="BG121" i="80"/>
  <c r="BA121" i="80" s="1"/>
  <c r="BB121" i="80" s="1"/>
  <c r="AR333" i="79"/>
  <c r="AI352" i="79"/>
  <c r="AR415" i="79"/>
  <c r="BX352" i="79"/>
  <c r="AH352" i="79"/>
  <c r="AL352" i="79" a="1"/>
  <c r="AL352" i="79" s="1"/>
  <c r="BH352" i="79" s="1"/>
  <c r="AR463" i="80"/>
  <c r="AG121" i="80"/>
  <c r="AF121" i="80" s="1"/>
  <c r="AL121" i="80" s="1" a="1"/>
  <c r="AL121" i="80" s="1"/>
  <c r="AN513" i="80"/>
  <c r="AQ24" i="80"/>
  <c r="BG24" i="80" s="1"/>
  <c r="BA24" i="80" s="1"/>
  <c r="BB24" i="80" s="1"/>
  <c r="AH513" i="80"/>
  <c r="AR439" i="80"/>
  <c r="AL238" i="80" a="1"/>
  <c r="AL238" i="80" s="1"/>
  <c r="BH238" i="80" s="1"/>
  <c r="AH238" i="80"/>
  <c r="AI238" i="80"/>
  <c r="AQ97" i="80"/>
  <c r="BG97" i="80" s="1"/>
  <c r="BA97" i="80" s="1"/>
  <c r="BD97" i="80" s="1"/>
  <c r="AR215" i="79"/>
  <c r="AG82" i="80"/>
  <c r="AF82" i="80" s="1"/>
  <c r="BX82" i="80" s="1"/>
  <c r="AR532" i="80"/>
  <c r="BG82" i="80"/>
  <c r="BA82" i="80" s="1"/>
  <c r="BB82" i="80" s="1"/>
  <c r="AR118" i="80"/>
  <c r="AH411" i="80"/>
  <c r="BH532" i="80"/>
  <c r="AN411" i="80"/>
  <c r="AQ123" i="80"/>
  <c r="AI411" i="80"/>
  <c r="AR477" i="80"/>
  <c r="AH456" i="80"/>
  <c r="AY477" i="80"/>
  <c r="BE477" i="80" s="1"/>
  <c r="BX411" i="80"/>
  <c r="AN261" i="80"/>
  <c r="AH118" i="80"/>
  <c r="AR261" i="80"/>
  <c r="AL411" i="80" a="1"/>
  <c r="AL411" i="80" s="1"/>
  <c r="BH411" i="80" s="1"/>
  <c r="AJ118" i="80"/>
  <c r="AN427" i="80"/>
  <c r="AY261" i="80"/>
  <c r="BE261" i="80" s="1"/>
  <c r="AL262" i="80" a="1"/>
  <c r="AL262" i="80" s="1"/>
  <c r="BH262" i="80" s="1"/>
  <c r="BX118" i="80"/>
  <c r="AR342" i="79"/>
  <c r="BH223" i="79"/>
  <c r="AG149" i="80"/>
  <c r="AF149" i="80" s="1"/>
  <c r="AH149" i="80" s="1"/>
  <c r="AI477" i="80"/>
  <c r="AY413" i="80"/>
  <c r="BE413" i="80" s="1"/>
  <c r="AJ477" i="80"/>
  <c r="AY488" i="79"/>
  <c r="BE488" i="79" s="1"/>
  <c r="AQ79" i="80"/>
  <c r="AH477" i="80"/>
  <c r="BX262" i="80"/>
  <c r="AG79" i="80"/>
  <c r="AF79" i="80" s="1"/>
  <c r="AJ79" i="80" s="1"/>
  <c r="AL477" i="80" a="1"/>
  <c r="AL477" i="80" s="1"/>
  <c r="BH477" i="80" s="1"/>
  <c r="AF172" i="80"/>
  <c r="AI172" i="80" s="1"/>
  <c r="AR172" i="80"/>
  <c r="AR119" i="80"/>
  <c r="AN477" i="80"/>
  <c r="AJ424" i="80"/>
  <c r="BD122" i="80"/>
  <c r="BX368" i="80"/>
  <c r="AR444" i="80"/>
  <c r="AH281" i="80"/>
  <c r="AL368" i="80" a="1"/>
  <c r="AL368" i="80" s="1"/>
  <c r="BH368" i="80" s="1"/>
  <c r="AI281" i="80"/>
  <c r="AY97" i="80"/>
  <c r="BE97" i="80" s="1"/>
  <c r="BG452" i="80"/>
  <c r="BA452" i="80" s="1"/>
  <c r="BD452" i="80" s="1"/>
  <c r="BX156" i="80"/>
  <c r="BX424" i="80"/>
  <c r="AN118" i="80"/>
  <c r="BX427" i="80"/>
  <c r="AH156" i="80"/>
  <c r="BH415" i="79"/>
  <c r="AR177" i="80"/>
  <c r="BX424" i="79"/>
  <c r="AY262" i="80"/>
  <c r="BE262" i="80" s="1"/>
  <c r="AL424" i="80" a="1"/>
  <c r="AL424" i="80" s="1"/>
  <c r="BH424" i="80" s="1"/>
  <c r="AL118" i="80" a="1"/>
  <c r="AL118" i="80" s="1"/>
  <c r="BH118" i="80" s="1"/>
  <c r="AH427" i="80"/>
  <c r="AY156" i="80"/>
  <c r="BE156" i="80" s="1"/>
  <c r="AI184" i="79"/>
  <c r="AR262" i="80"/>
  <c r="AH424" i="80"/>
  <c r="AN367" i="80"/>
  <c r="AI427" i="80"/>
  <c r="AJ184" i="79"/>
  <c r="AI424" i="80"/>
  <c r="AI367" i="80"/>
  <c r="AL427" i="80" a="1"/>
  <c r="AL427" i="80" s="1"/>
  <c r="BH427" i="80" s="1"/>
  <c r="AJ316" i="80"/>
  <c r="AJ367" i="80"/>
  <c r="AY316" i="80"/>
  <c r="BE316" i="80" s="1"/>
  <c r="AR25" i="80"/>
  <c r="BX316" i="80"/>
  <c r="AG101" i="80"/>
  <c r="AR101" i="80" s="1"/>
  <c r="AR316" i="80"/>
  <c r="AJ170" i="80"/>
  <c r="AH316" i="80"/>
  <c r="BX456" i="80"/>
  <c r="AH424" i="79"/>
  <c r="AI316" i="80"/>
  <c r="AY69" i="80"/>
  <c r="BE69" i="80" s="1"/>
  <c r="AI456" i="80"/>
  <c r="AR245" i="80"/>
  <c r="AL156" i="80" a="1"/>
  <c r="AL156" i="80" s="1"/>
  <c r="BH156" i="80" s="1"/>
  <c r="BH212" i="80"/>
  <c r="AL316" i="80" a="1"/>
  <c r="AL316" i="80" s="1"/>
  <c r="BH316" i="80" s="1"/>
  <c r="AN456" i="80"/>
  <c r="AR207" i="80"/>
  <c r="AR156" i="80"/>
  <c r="AR356" i="80"/>
  <c r="AQ34" i="80"/>
  <c r="BG34" i="80" s="1"/>
  <c r="BA34" i="80" s="1"/>
  <c r="BD34" i="80" s="1"/>
  <c r="AJ456" i="80"/>
  <c r="AR70" i="80"/>
  <c r="AR394" i="79"/>
  <c r="AH394" i="79"/>
  <c r="BX340" i="80"/>
  <c r="AQ127" i="80"/>
  <c r="AR156" i="79"/>
  <c r="AJ513" i="80"/>
  <c r="AY344" i="80"/>
  <c r="BE344" i="80" s="1"/>
  <c r="AL340" i="80" a="1"/>
  <c r="AL340" i="80" s="1"/>
  <c r="BH340" i="80" s="1"/>
  <c r="BG229" i="80"/>
  <c r="BA229" i="80" s="1"/>
  <c r="BD229" i="80" s="1"/>
  <c r="AI513" i="80"/>
  <c r="AI340" i="80"/>
  <c r="BG439" i="79"/>
  <c r="BA439" i="79" s="1"/>
  <c r="BD439" i="79" s="1"/>
  <c r="AY513" i="80"/>
  <c r="BE513" i="80" s="1"/>
  <c r="BG129" i="80"/>
  <c r="BA129" i="80" s="1"/>
  <c r="BB129" i="80" s="1"/>
  <c r="AR513" i="80"/>
  <c r="BX306" i="80"/>
  <c r="AI223" i="79"/>
  <c r="BX314" i="79"/>
  <c r="AN306" i="80"/>
  <c r="AR258" i="80"/>
  <c r="AY281" i="80"/>
  <c r="BE281" i="80" s="1"/>
  <c r="BG427" i="80"/>
  <c r="BA427" i="80" s="1"/>
  <c r="BD427" i="80" s="1"/>
  <c r="AY468" i="79"/>
  <c r="BE468" i="79" s="1"/>
  <c r="AJ306" i="80"/>
  <c r="AI531" i="80"/>
  <c r="AF245" i="80"/>
  <c r="AJ245" i="80" s="1"/>
  <c r="AF423" i="80"/>
  <c r="AL423" i="80" s="1" a="1"/>
  <c r="AL423" i="80" s="1"/>
  <c r="BH423" i="80" s="1"/>
  <c r="AJ531" i="80"/>
  <c r="BH439" i="79"/>
  <c r="AH227" i="79"/>
  <c r="AY223" i="79"/>
  <c r="BE223" i="79" s="1"/>
  <c r="BH534" i="80"/>
  <c r="AL531" i="80" a="1"/>
  <c r="AL531" i="80" s="1"/>
  <c r="BH531" i="80" s="1"/>
  <c r="AF207" i="80"/>
  <c r="BX207" i="80" s="1"/>
  <c r="AH340" i="80"/>
  <c r="AL314" i="79" a="1"/>
  <c r="AL314" i="79" s="1"/>
  <c r="BH314" i="79" s="1"/>
  <c r="AH223" i="79"/>
  <c r="AR163" i="79"/>
  <c r="BX415" i="79"/>
  <c r="BX531" i="80"/>
  <c r="AY423" i="80"/>
  <c r="BE423" i="80" s="1"/>
  <c r="AY70" i="80"/>
  <c r="BE70" i="80" s="1"/>
  <c r="AF163" i="79"/>
  <c r="AL163" i="79" s="1" a="1"/>
  <c r="AL163" i="79" s="1"/>
  <c r="BH163" i="79" s="1"/>
  <c r="AY314" i="79"/>
  <c r="BE314" i="79" s="1"/>
  <c r="AH415" i="79"/>
  <c r="AN531" i="80"/>
  <c r="AG92" i="80"/>
  <c r="AF92" i="80" s="1"/>
  <c r="AL92" i="80" s="1" a="1"/>
  <c r="AL92" i="80" s="1"/>
  <c r="BH92" i="80" s="1"/>
  <c r="AJ548" i="80"/>
  <c r="AN368" i="80"/>
  <c r="BH269" i="80"/>
  <c r="AJ223" i="79"/>
  <c r="AI415" i="79"/>
  <c r="AJ368" i="80"/>
  <c r="AY415" i="79"/>
  <c r="BE415" i="79" s="1"/>
  <c r="AJ415" i="79"/>
  <c r="AR534" i="80"/>
  <c r="AH458" i="80"/>
  <c r="AH368" i="80"/>
  <c r="AH538" i="80"/>
  <c r="AF374" i="80"/>
  <c r="AL374" i="80" s="1" a="1"/>
  <c r="AL374" i="80" s="1"/>
  <c r="BH374" i="80" s="1"/>
  <c r="AR350" i="80"/>
  <c r="AI258" i="80"/>
  <c r="AR398" i="79"/>
  <c r="AF225" i="80"/>
  <c r="AI225" i="80" s="1"/>
  <c r="AY419" i="80"/>
  <c r="BE419" i="80" s="1"/>
  <c r="AR443" i="80"/>
  <c r="BH211" i="80"/>
  <c r="AY350" i="80"/>
  <c r="BE350" i="80" s="1"/>
  <c r="AH548" i="80"/>
  <c r="AY443" i="80"/>
  <c r="BE443" i="80" s="1"/>
  <c r="AN358" i="80"/>
  <c r="AF177" i="80"/>
  <c r="AJ177" i="80" s="1"/>
  <c r="AY538" i="80"/>
  <c r="BE538" i="80" s="1"/>
  <c r="AL531" i="79" a="1"/>
  <c r="AL531" i="79" s="1"/>
  <c r="BH531" i="79" s="1"/>
  <c r="AR424" i="80"/>
  <c r="AR211" i="80"/>
  <c r="BX27" i="80"/>
  <c r="AL358" i="80" a="1"/>
  <c r="AL358" i="80" s="1"/>
  <c r="BH358" i="80" s="1"/>
  <c r="AR314" i="80"/>
  <c r="AY424" i="80"/>
  <c r="BE424" i="80" s="1"/>
  <c r="AG129" i="80"/>
  <c r="AR129" i="80" s="1"/>
  <c r="AH27" i="80"/>
  <c r="BX358" i="80"/>
  <c r="BX395" i="80"/>
  <c r="AF278" i="80"/>
  <c r="AL278" i="80" s="1" a="1"/>
  <c r="AL278" i="80" s="1"/>
  <c r="BH278" i="80" s="1"/>
  <c r="BH352" i="80"/>
  <c r="AY225" i="80"/>
  <c r="BE225" i="80" s="1"/>
  <c r="AJ324" i="80"/>
  <c r="AJ358" i="80"/>
  <c r="AN458" i="80"/>
  <c r="AI395" i="80"/>
  <c r="AR358" i="80"/>
  <c r="AN548" i="80"/>
  <c r="AY358" i="80"/>
  <c r="BE358" i="80" s="1"/>
  <c r="AL548" i="80" a="1"/>
  <c r="AL548" i="80" s="1"/>
  <c r="BH548" i="80" s="1"/>
  <c r="BX468" i="79"/>
  <c r="AR306" i="80"/>
  <c r="BX525" i="80"/>
  <c r="AI358" i="80"/>
  <c r="AL395" i="80" a="1"/>
  <c r="AL395" i="80" s="1"/>
  <c r="BH395" i="80" s="1"/>
  <c r="AR538" i="80"/>
  <c r="AI548" i="80"/>
  <c r="AI468" i="79"/>
  <c r="AH356" i="80"/>
  <c r="AY306" i="80"/>
  <c r="BE306" i="80" s="1"/>
  <c r="AR374" i="80"/>
  <c r="AH395" i="80"/>
  <c r="AL306" i="80" a="1"/>
  <c r="AL306" i="80" s="1"/>
  <c r="BH306" i="80" s="1"/>
  <c r="AY398" i="79"/>
  <c r="BE398" i="79" s="1"/>
  <c r="AJ531" i="79"/>
  <c r="AL468" i="79" a="1"/>
  <c r="AL468" i="79" s="1"/>
  <c r="BH468" i="79" s="1"/>
  <c r="AJ468" i="79"/>
  <c r="AL356" i="80" a="1"/>
  <c r="AL356" i="80" s="1"/>
  <c r="BH356" i="80" s="1"/>
  <c r="AY522" i="80"/>
  <c r="BE522" i="80" s="1"/>
  <c r="AJ395" i="80"/>
  <c r="AR468" i="79"/>
  <c r="AY531" i="79"/>
  <c r="BE531" i="79" s="1"/>
  <c r="AN468" i="79"/>
  <c r="BH236" i="80"/>
  <c r="AN356" i="80"/>
  <c r="AR352" i="80"/>
  <c r="AI531" i="79"/>
  <c r="AI227" i="79"/>
  <c r="AI394" i="79"/>
  <c r="AI306" i="80"/>
  <c r="AI356" i="80"/>
  <c r="AR456" i="80"/>
  <c r="BG236" i="80"/>
  <c r="BA236" i="80" s="1"/>
  <c r="BD236" i="80" s="1"/>
  <c r="BH456" i="80"/>
  <c r="AY395" i="80"/>
  <c r="BE395" i="80" s="1"/>
  <c r="AR340" i="80"/>
  <c r="AG84" i="80"/>
  <c r="AF84" i="80" s="1"/>
  <c r="AH84" i="80" s="1"/>
  <c r="BX440" i="80"/>
  <c r="AH463" i="80"/>
  <c r="AR471" i="79"/>
  <c r="AR429" i="80"/>
  <c r="AR502" i="80"/>
  <c r="BG84" i="80"/>
  <c r="BA84" i="80" s="1"/>
  <c r="BB84" i="80" s="1"/>
  <c r="AY471" i="79"/>
  <c r="BE471" i="79" s="1"/>
  <c r="BH97" i="79"/>
  <c r="AY429" i="80"/>
  <c r="BE429" i="80" s="1"/>
  <c r="AF544" i="80"/>
  <c r="AI544" i="80" s="1"/>
  <c r="AY278" i="80"/>
  <c r="BE278" i="80" s="1"/>
  <c r="AI333" i="79"/>
  <c r="AR544" i="80"/>
  <c r="AR366" i="80"/>
  <c r="AL463" i="80" a="1"/>
  <c r="AL463" i="80" s="1"/>
  <c r="BH463" i="80" s="1"/>
  <c r="AJ333" i="79"/>
  <c r="AI156" i="80"/>
  <c r="AN156" i="80"/>
  <c r="BX429" i="80"/>
  <c r="AJ440" i="80"/>
  <c r="AJ538" i="80"/>
  <c r="AI463" i="80"/>
  <c r="BG484" i="80"/>
  <c r="BA484" i="80" s="1"/>
  <c r="BD484" i="80" s="1"/>
  <c r="AL429" i="80" a="1"/>
  <c r="AL429" i="80" s="1"/>
  <c r="BH429" i="80" s="1"/>
  <c r="AH208" i="80"/>
  <c r="AN429" i="80"/>
  <c r="BX458" i="80"/>
  <c r="AI538" i="80"/>
  <c r="AY457" i="79"/>
  <c r="BE457" i="79" s="1"/>
  <c r="AN208" i="80"/>
  <c r="AH429" i="80"/>
  <c r="AJ27" i="80"/>
  <c r="BX538" i="80"/>
  <c r="AH440" i="80"/>
  <c r="AF522" i="80"/>
  <c r="AJ522" i="80" s="1"/>
  <c r="AI208" i="80"/>
  <c r="AF378" i="80"/>
  <c r="AJ378" i="80" s="1"/>
  <c r="AI429" i="80"/>
  <c r="AL538" i="80" a="1"/>
  <c r="AL538" i="80" s="1"/>
  <c r="BH538" i="80" s="1"/>
  <c r="AL502" i="80" a="1"/>
  <c r="AL502" i="80" s="1"/>
  <c r="BH502" i="80" s="1"/>
  <c r="AJ208" i="80"/>
  <c r="AR378" i="80"/>
  <c r="AG127" i="80"/>
  <c r="AL458" i="80" a="1"/>
  <c r="AL458" i="80" s="1"/>
  <c r="BH458" i="80" s="1"/>
  <c r="AN463" i="80"/>
  <c r="AL457" i="79" a="1"/>
  <c r="AL457" i="79" s="1"/>
  <c r="BH457" i="79" s="1"/>
  <c r="AN502" i="80"/>
  <c r="BX208" i="80"/>
  <c r="AI440" i="80"/>
  <c r="AJ458" i="80"/>
  <c r="AJ463" i="80"/>
  <c r="BG299" i="79"/>
  <c r="BA299" i="79" s="1"/>
  <c r="BD299" i="79" s="1"/>
  <c r="AH179" i="80"/>
  <c r="AH276" i="80"/>
  <c r="AI276" i="80"/>
  <c r="AH268" i="80"/>
  <c r="AH258" i="80"/>
  <c r="AL281" i="80" a="1"/>
  <c r="AL281" i="80" s="1"/>
  <c r="BH281" i="80" s="1"/>
  <c r="AG123" i="80"/>
  <c r="AF123" i="80" s="1"/>
  <c r="AJ123" i="80" s="1"/>
  <c r="AN488" i="79"/>
  <c r="AF313" i="79"/>
  <c r="AH313" i="79" s="1"/>
  <c r="AI470" i="80"/>
  <c r="BG208" i="80"/>
  <c r="BA208" i="80" s="1"/>
  <c r="BD208" i="80" s="1"/>
  <c r="AF489" i="80"/>
  <c r="AL489" i="80" s="1" a="1"/>
  <c r="AL489" i="80" s="1"/>
  <c r="BH489" i="80" s="1"/>
  <c r="AR427" i="79"/>
  <c r="BX470" i="80"/>
  <c r="BX488" i="79"/>
  <c r="AR313" i="79"/>
  <c r="AN470" i="80"/>
  <c r="AN492" i="80"/>
  <c r="AR422" i="79"/>
  <c r="AR460" i="80"/>
  <c r="BD132" i="80"/>
  <c r="AH470" i="80"/>
  <c r="AR48" i="80"/>
  <c r="AH492" i="80"/>
  <c r="AF178" i="80"/>
  <c r="BX178" i="80" s="1"/>
  <c r="BX114" i="80"/>
  <c r="AJ114" i="80"/>
  <c r="AL114" i="80" a="1"/>
  <c r="AL114" i="80" s="1"/>
  <c r="BH114" i="80" s="1"/>
  <c r="AI114" i="80"/>
  <c r="AH488" i="79"/>
  <c r="AN284" i="80"/>
  <c r="BX445" i="80"/>
  <c r="AQ96" i="80"/>
  <c r="BG96" i="80" s="1"/>
  <c r="BA96" i="80" s="1"/>
  <c r="BD96" i="80" s="1"/>
  <c r="AL492" i="80" a="1"/>
  <c r="AL492" i="80" s="1"/>
  <c r="BH492" i="80" s="1"/>
  <c r="AR281" i="80"/>
  <c r="BX284" i="80"/>
  <c r="AR238" i="80"/>
  <c r="AJ445" i="80"/>
  <c r="BX492" i="80"/>
  <c r="BG33" i="80"/>
  <c r="BA33" i="80" s="1"/>
  <c r="BD33" i="80" s="1"/>
  <c r="AL470" i="80" a="1"/>
  <c r="AL470" i="80" s="1"/>
  <c r="BH470" i="80" s="1"/>
  <c r="AY238" i="80"/>
  <c r="BE238" i="80" s="1"/>
  <c r="AH445" i="80"/>
  <c r="AI492" i="80"/>
  <c r="BH422" i="80"/>
  <c r="AJ258" i="80"/>
  <c r="AF460" i="80"/>
  <c r="AJ460" i="80" s="1"/>
  <c r="AN136" i="79"/>
  <c r="AR303" i="79"/>
  <c r="AH435" i="79"/>
  <c r="BH48" i="80"/>
  <c r="BX435" i="79"/>
  <c r="AL284" i="80" a="1"/>
  <c r="AL284" i="80" s="1"/>
  <c r="BH284" i="80" s="1"/>
  <c r="AR212" i="80"/>
  <c r="AL445" i="80" a="1"/>
  <c r="AL445" i="80" s="1"/>
  <c r="BH445" i="80" s="1"/>
  <c r="AR498" i="80"/>
  <c r="AR268" i="80"/>
  <c r="AF386" i="80"/>
  <c r="AL386" i="80" s="1" a="1"/>
  <c r="AL386" i="80" s="1"/>
  <c r="BH386" i="80" s="1"/>
  <c r="BB124" i="80"/>
  <c r="AH114" i="80"/>
  <c r="AR114" i="80"/>
  <c r="AI268" i="80"/>
  <c r="AI355" i="79"/>
  <c r="AI488" i="79"/>
  <c r="AR355" i="79"/>
  <c r="AJ435" i="79"/>
  <c r="AJ488" i="79"/>
  <c r="AJ284" i="80"/>
  <c r="AN314" i="79"/>
  <c r="AI435" i="79"/>
  <c r="AH284" i="80"/>
  <c r="AF97" i="80"/>
  <c r="AL97" i="80" s="1" a="1"/>
  <c r="AL97" i="80" s="1"/>
  <c r="AH262" i="80"/>
  <c r="AF380" i="80"/>
  <c r="AN380" i="80" s="1"/>
  <c r="AN445" i="80"/>
  <c r="AY268" i="80"/>
  <c r="BE268" i="80" s="1"/>
  <c r="AR470" i="80"/>
  <c r="AJ352" i="79"/>
  <c r="AJ355" i="79"/>
  <c r="AL435" i="79" a="1"/>
  <c r="AL435" i="79" s="1"/>
  <c r="BH435" i="79" s="1"/>
  <c r="AY352" i="79"/>
  <c r="BE352" i="79" s="1"/>
  <c r="AR298" i="79"/>
  <c r="BX268" i="80"/>
  <c r="AR492" i="80"/>
  <c r="AN262" i="80"/>
  <c r="BH208" i="80"/>
  <c r="AL367" i="80" a="1"/>
  <c r="AL367" i="80" s="1"/>
  <c r="BH367" i="80" s="1"/>
  <c r="AR361" i="80"/>
  <c r="AN238" i="80"/>
  <c r="AY470" i="80"/>
  <c r="BE470" i="80" s="1"/>
  <c r="AR380" i="80"/>
  <c r="AN258" i="80"/>
  <c r="AY355" i="79"/>
  <c r="BE355" i="79" s="1"/>
  <c r="AY435" i="79"/>
  <c r="BE435" i="79" s="1"/>
  <c r="AI314" i="79"/>
  <c r="AR352" i="79"/>
  <c r="AY298" i="79"/>
  <c r="BE298" i="79" s="1"/>
  <c r="AN268" i="80"/>
  <c r="AY492" i="80"/>
  <c r="BE492" i="80" s="1"/>
  <c r="AJ262" i="80"/>
  <c r="BX198" i="80"/>
  <c r="AH367" i="80"/>
  <c r="BX238" i="80"/>
  <c r="AR233" i="80"/>
  <c r="BX258" i="80"/>
  <c r="BH398" i="80"/>
  <c r="BX281" i="80"/>
  <c r="AJ281" i="80"/>
  <c r="AH314" i="79"/>
  <c r="AR531" i="79"/>
  <c r="AR488" i="79"/>
  <c r="AY258" i="80"/>
  <c r="BE258" i="80" s="1"/>
  <c r="BG509" i="80"/>
  <c r="BA509" i="80" s="1"/>
  <c r="BD509" i="80" s="1"/>
  <c r="AF454" i="80"/>
  <c r="AN454" i="80" s="1"/>
  <c r="AY114" i="80"/>
  <c r="BE114" i="80" s="1"/>
  <c r="AN440" i="80"/>
  <c r="AN511" i="80"/>
  <c r="BX511" i="80"/>
  <c r="AJ511" i="80"/>
  <c r="AH511" i="80"/>
  <c r="AL511" i="80" a="1"/>
  <c r="AL511" i="80" s="1"/>
  <c r="BH511" i="80" s="1"/>
  <c r="AI511" i="80"/>
  <c r="AN314" i="80"/>
  <c r="AL525" i="80" a="1"/>
  <c r="AL525" i="80" s="1"/>
  <c r="BH525" i="80" s="1"/>
  <c r="BX314" i="80"/>
  <c r="AN525" i="80"/>
  <c r="AR548" i="80"/>
  <c r="AY503" i="80"/>
  <c r="BE503" i="80" s="1"/>
  <c r="AF428" i="80"/>
  <c r="AF365" i="79"/>
  <c r="AH365" i="79" s="1"/>
  <c r="AJ276" i="80"/>
  <c r="AN333" i="79"/>
  <c r="AR454" i="80"/>
  <c r="AI314" i="80"/>
  <c r="AJ525" i="80"/>
  <c r="AL276" i="80" a="1"/>
  <c r="AL276" i="80" s="1"/>
  <c r="BH276" i="80" s="1"/>
  <c r="AF188" i="80"/>
  <c r="AI188" i="80" s="1"/>
  <c r="AR511" i="80"/>
  <c r="AR474" i="80"/>
  <c r="AR324" i="80"/>
  <c r="AG29" i="80"/>
  <c r="AF29" i="80" s="1"/>
  <c r="AH29" i="80" s="1"/>
  <c r="AN269" i="80"/>
  <c r="AJ509" i="80"/>
  <c r="AH509" i="80"/>
  <c r="AN509" i="80"/>
  <c r="AL509" i="80" a="1"/>
  <c r="AL509" i="80" s="1"/>
  <c r="BH509" i="80" s="1"/>
  <c r="BX509" i="80"/>
  <c r="AI509" i="80"/>
  <c r="AQ145" i="80"/>
  <c r="BG145" i="80" s="1"/>
  <c r="BA145" i="80" s="1"/>
  <c r="BD145" i="80" s="1"/>
  <c r="AG145" i="80"/>
  <c r="AR353" i="80"/>
  <c r="AI525" i="80"/>
  <c r="AY365" i="79"/>
  <c r="BE365" i="79" s="1"/>
  <c r="AR42" i="80"/>
  <c r="AY353" i="80"/>
  <c r="BE353" i="80" s="1"/>
  <c r="AJ227" i="79"/>
  <c r="AN227" i="79"/>
  <c r="BX227" i="79"/>
  <c r="AR435" i="79"/>
  <c r="AY511" i="80"/>
  <c r="BE511" i="80" s="1"/>
  <c r="AR337" i="80"/>
  <c r="AY474" i="80"/>
  <c r="BE474" i="80" s="1"/>
  <c r="AR525" i="80"/>
  <c r="BH500" i="80"/>
  <c r="AL42" i="80" a="1"/>
  <c r="AL42" i="80" s="1"/>
  <c r="BH42" i="80" s="1"/>
  <c r="AF432" i="80"/>
  <c r="AI432" i="80" s="1"/>
  <c r="AF503" i="80"/>
  <c r="AN276" i="80"/>
  <c r="BG41" i="80"/>
  <c r="BA41" i="80" s="1"/>
  <c r="BD41" i="80" s="1"/>
  <c r="AY337" i="80"/>
  <c r="BE337" i="80" s="1"/>
  <c r="AN42" i="80"/>
  <c r="AJ314" i="80"/>
  <c r="BH353" i="80"/>
  <c r="BX337" i="80"/>
  <c r="AL412" i="80" a="1"/>
  <c r="AL412" i="80" s="1"/>
  <c r="BH412" i="80" s="1"/>
  <c r="AJ42" i="80"/>
  <c r="AR422" i="80"/>
  <c r="AR200" i="79"/>
  <c r="AI337" i="80"/>
  <c r="AY412" i="80"/>
  <c r="BE412" i="80" s="1"/>
  <c r="AH412" i="80"/>
  <c r="BX42" i="80"/>
  <c r="AN353" i="80"/>
  <c r="AR254" i="79"/>
  <c r="BX333" i="79"/>
  <c r="AH62" i="79"/>
  <c r="AL184" i="79" a="1"/>
  <c r="AL184" i="79" s="1"/>
  <c r="BH184" i="79" s="1"/>
  <c r="AN337" i="80"/>
  <c r="AR412" i="80"/>
  <c r="AH283" i="80"/>
  <c r="AJ412" i="80"/>
  <c r="AH42" i="80"/>
  <c r="BX353" i="80"/>
  <c r="BH476" i="79"/>
  <c r="AF185" i="80"/>
  <c r="BX185" i="80" s="1"/>
  <c r="AH383" i="79"/>
  <c r="AR383" i="79"/>
  <c r="AL383" i="79" a="1"/>
  <c r="AL383" i="79" s="1"/>
  <c r="BH383" i="79" s="1"/>
  <c r="AY383" i="79"/>
  <c r="BE383" i="79" s="1"/>
  <c r="BH478" i="79"/>
  <c r="AL62" i="79" a="1"/>
  <c r="AL62" i="79" s="1"/>
  <c r="BH62" i="79" s="1"/>
  <c r="AF427" i="79"/>
  <c r="AH427" i="79" s="1"/>
  <c r="AL333" i="79" a="1"/>
  <c r="AL333" i="79" s="1"/>
  <c r="BH333" i="79" s="1"/>
  <c r="AG148" i="80"/>
  <c r="AF148" i="80" s="1"/>
  <c r="AH337" i="80"/>
  <c r="AJ206" i="80"/>
  <c r="AR500" i="80"/>
  <c r="AI283" i="80"/>
  <c r="BX412" i="80"/>
  <c r="AR466" i="80"/>
  <c r="AL314" i="80" a="1"/>
  <c r="AL314" i="80" s="1"/>
  <c r="BH314" i="80" s="1"/>
  <c r="AI383" i="79"/>
  <c r="AN62" i="79"/>
  <c r="AN383" i="79"/>
  <c r="AJ383" i="79"/>
  <c r="BX62" i="79"/>
  <c r="AY427" i="79"/>
  <c r="BE427" i="79" s="1"/>
  <c r="AR446" i="79"/>
  <c r="AR417" i="80"/>
  <c r="AQ148" i="80"/>
  <c r="BG148" i="80" s="1"/>
  <c r="BA148" i="80" s="1"/>
  <c r="BD148" i="80" s="1"/>
  <c r="AY428" i="80"/>
  <c r="BE428" i="80" s="1"/>
  <c r="AG33" i="80"/>
  <c r="AF33" i="80" s="1"/>
  <c r="AN33" i="80" s="1"/>
  <c r="AJ337" i="80"/>
  <c r="AN206" i="80"/>
  <c r="AJ283" i="80"/>
  <c r="AN412" i="80"/>
  <c r="AY422" i="79"/>
  <c r="BE422" i="79" s="1"/>
  <c r="AR298" i="80"/>
  <c r="AF47" i="79"/>
  <c r="AH47" i="79" s="1"/>
  <c r="AR368" i="80"/>
  <c r="AR455" i="79"/>
  <c r="AR210" i="80"/>
  <c r="AR478" i="79"/>
  <c r="AJ62" i="79"/>
  <c r="AR69" i="80"/>
  <c r="AR185" i="80"/>
  <c r="AL398" i="79" a="1"/>
  <c r="AL398" i="79" s="1"/>
  <c r="BH398" i="79" s="1"/>
  <c r="BX398" i="79"/>
  <c r="AH398" i="79"/>
  <c r="AJ398" i="79"/>
  <c r="AI398" i="79"/>
  <c r="AN398" i="79"/>
  <c r="AJ446" i="80"/>
  <c r="BX446" i="80"/>
  <c r="AL446" i="80" a="1"/>
  <c r="AL446" i="80" s="1"/>
  <c r="BH446" i="80" s="1"/>
  <c r="AI446" i="80"/>
  <c r="AH446" i="80"/>
  <c r="AN446" i="80"/>
  <c r="BX69" i="80"/>
  <c r="AI69" i="80"/>
  <c r="AJ69" i="80"/>
  <c r="AH69" i="80"/>
  <c r="AL69" i="80" a="1"/>
  <c r="AL69" i="80" s="1"/>
  <c r="BH69" i="80" s="1"/>
  <c r="AN69" i="80"/>
  <c r="BX506" i="80"/>
  <c r="AN506" i="80"/>
  <c r="AJ506" i="80"/>
  <c r="AI506" i="80"/>
  <c r="AH506" i="80"/>
  <c r="AL506" i="80" a="1"/>
  <c r="AL506" i="80" s="1"/>
  <c r="BH506" i="80" s="1"/>
  <c r="AG131" i="80"/>
  <c r="AF131" i="80" s="1"/>
  <c r="AR457" i="79"/>
  <c r="AY446" i="80"/>
  <c r="BE446" i="80" s="1"/>
  <c r="BX356" i="80"/>
  <c r="AH206" i="80"/>
  <c r="BG170" i="80"/>
  <c r="BA170" i="80" s="1"/>
  <c r="BD170" i="80" s="1"/>
  <c r="AI27" i="80"/>
  <c r="AR290" i="80"/>
  <c r="AF104" i="80"/>
  <c r="AR285" i="80"/>
  <c r="AY285" i="80"/>
  <c r="BE285" i="80" s="1"/>
  <c r="BX269" i="80"/>
  <c r="AH473" i="79"/>
  <c r="AH198" i="80"/>
  <c r="AR192" i="80"/>
  <c r="AI269" i="80"/>
  <c r="AH269" i="80"/>
  <c r="AR463" i="79"/>
  <c r="AR380" i="79"/>
  <c r="AI473" i="79"/>
  <c r="AY455" i="79"/>
  <c r="BE455" i="79" s="1"/>
  <c r="AY236" i="79"/>
  <c r="BE236" i="79" s="1"/>
  <c r="BX532" i="79"/>
  <c r="AR225" i="79"/>
  <c r="AJ457" i="79"/>
  <c r="AJ198" i="80"/>
  <c r="AR365" i="80"/>
  <c r="BX276" i="80"/>
  <c r="AR27" i="80"/>
  <c r="AY432" i="80"/>
  <c r="BE432" i="80" s="1"/>
  <c r="AF401" i="80"/>
  <c r="AR401" i="80"/>
  <c r="AR236" i="79"/>
  <c r="AI532" i="79"/>
  <c r="AR178" i="80"/>
  <c r="AG31" i="80"/>
  <c r="AF31" i="80" s="1"/>
  <c r="AI198" i="80"/>
  <c r="BX192" i="80"/>
  <c r="BG269" i="80"/>
  <c r="BA269" i="80" s="1"/>
  <c r="BD269" i="80" s="1"/>
  <c r="AR521" i="80"/>
  <c r="AF521" i="80"/>
  <c r="AL532" i="79" a="1"/>
  <c r="AL532" i="79" s="1"/>
  <c r="BH532" i="79" s="1"/>
  <c r="BH365" i="80"/>
  <c r="AN192" i="80"/>
  <c r="AN498" i="80"/>
  <c r="AR284" i="80"/>
  <c r="AR198" i="80"/>
  <c r="AJ192" i="80"/>
  <c r="AH154" i="80"/>
  <c r="BX498" i="80"/>
  <c r="AJ473" i="79"/>
  <c r="AR382" i="79"/>
  <c r="AR473" i="79"/>
  <c r="AL473" i="79" a="1"/>
  <c r="AL473" i="79" s="1"/>
  <c r="BH473" i="79" s="1"/>
  <c r="BG537" i="79"/>
  <c r="BA537" i="79" s="1"/>
  <c r="BD537" i="79" s="1"/>
  <c r="BH537" i="79"/>
  <c r="AH170" i="80"/>
  <c r="AH192" i="80"/>
  <c r="AJ154" i="80"/>
  <c r="AL498" i="80" a="1"/>
  <c r="AL498" i="80" s="1"/>
  <c r="BH498" i="80" s="1"/>
  <c r="AL324" i="80" a="1"/>
  <c r="AL324" i="80" s="1"/>
  <c r="BH324" i="80" s="1"/>
  <c r="BH413" i="80"/>
  <c r="AF391" i="80"/>
  <c r="BX391" i="80" s="1"/>
  <c r="AF366" i="80"/>
  <c r="AF466" i="80"/>
  <c r="AI344" i="79"/>
  <c r="AN170" i="80"/>
  <c r="AI192" i="80"/>
  <c r="BX154" i="80"/>
  <c r="AH498" i="80"/>
  <c r="BX324" i="80"/>
  <c r="AJ269" i="80"/>
  <c r="AR489" i="80"/>
  <c r="AR445" i="80"/>
  <c r="AY445" i="80"/>
  <c r="BE445" i="80" s="1"/>
  <c r="AY521" i="80"/>
  <c r="BE521" i="80" s="1"/>
  <c r="AH532" i="79"/>
  <c r="AY192" i="80"/>
  <c r="BE192" i="80" s="1"/>
  <c r="BX473" i="79"/>
  <c r="AY473" i="79"/>
  <c r="BE473" i="79" s="1"/>
  <c r="AI457" i="79"/>
  <c r="AL220" i="79" a="1"/>
  <c r="AL220" i="79" s="1"/>
  <c r="BH220" i="79" s="1"/>
  <c r="AN344" i="79"/>
  <c r="AL170" i="80" a="1"/>
  <c r="AL170" i="80" s="1"/>
  <c r="BH170" i="80" s="1"/>
  <c r="BD123" i="80"/>
  <c r="AI498" i="80"/>
  <c r="AN324" i="80"/>
  <c r="AR104" i="80"/>
  <c r="AQ75" i="80"/>
  <c r="AR75" i="80" s="1"/>
  <c r="AN479" i="80"/>
  <c r="AY401" i="80"/>
  <c r="BE401" i="80" s="1"/>
  <c r="BX457" i="79"/>
  <c r="AL198" i="80" a="1"/>
  <c r="AL198" i="80" s="1"/>
  <c r="BH198" i="80" s="1"/>
  <c r="BG249" i="79"/>
  <c r="BA249" i="79" s="1"/>
  <c r="BD249" i="79" s="1"/>
  <c r="BX344" i="79"/>
  <c r="AF419" i="80"/>
  <c r="AI419" i="80" s="1"/>
  <c r="BX170" i="80"/>
  <c r="AH324" i="80"/>
  <c r="BG75" i="80"/>
  <c r="BA75" i="80" s="1"/>
  <c r="BB75" i="80" s="1"/>
  <c r="AL479" i="80" a="1"/>
  <c r="AL479" i="80" s="1"/>
  <c r="BH479" i="80" s="1"/>
  <c r="AY366" i="80"/>
  <c r="BE366" i="80" s="1"/>
  <c r="AY462" i="80"/>
  <c r="BE462" i="80" s="1"/>
  <c r="AR462" i="80"/>
  <c r="AF462" i="80"/>
  <c r="AH285" i="80"/>
  <c r="AJ285" i="80"/>
  <c r="AN285" i="80"/>
  <c r="BX285" i="80"/>
  <c r="AL285" i="80" a="1"/>
  <c r="AL285" i="80" s="1"/>
  <c r="BH285" i="80" s="1"/>
  <c r="AI285" i="80"/>
  <c r="AH457" i="79"/>
  <c r="AN532" i="79"/>
  <c r="BX220" i="79"/>
  <c r="BH380" i="79"/>
  <c r="AL344" i="79" a="1"/>
  <c r="AL344" i="79" s="1"/>
  <c r="BH344" i="79" s="1"/>
  <c r="AY303" i="79"/>
  <c r="BE303" i="79" s="1"/>
  <c r="AF65" i="79"/>
  <c r="AL65" i="79" s="1" a="1"/>
  <c r="AL65" i="79" s="1"/>
  <c r="BH65" i="79" s="1"/>
  <c r="AJ479" i="80"/>
  <c r="AR188" i="80"/>
  <c r="AF417" i="80"/>
  <c r="AY276" i="80"/>
  <c r="BE276" i="80" s="1"/>
  <c r="AR276" i="80"/>
  <c r="AJ313" i="80"/>
  <c r="AL313" i="80" a="1"/>
  <c r="AL313" i="80" s="1"/>
  <c r="BH313" i="80" s="1"/>
  <c r="AH313" i="80"/>
  <c r="BX313" i="80"/>
  <c r="AI313" i="80"/>
  <c r="AN313" i="80"/>
  <c r="AL277" i="80" a="1"/>
  <c r="AL277" i="80" s="1"/>
  <c r="BH277" i="80" s="1"/>
  <c r="BX277" i="80"/>
  <c r="AN277" i="80"/>
  <c r="AJ277" i="80"/>
  <c r="AI277" i="80"/>
  <c r="AH277" i="80"/>
  <c r="AL400" i="80" a="1"/>
  <c r="AL400" i="80" s="1"/>
  <c r="BH400" i="80" s="1"/>
  <c r="AH400" i="80"/>
  <c r="BX400" i="80"/>
  <c r="AN400" i="80"/>
  <c r="AJ400" i="80"/>
  <c r="AI400" i="80"/>
  <c r="BX239" i="80"/>
  <c r="AN239" i="80"/>
  <c r="AL239" i="80" a="1"/>
  <c r="AL239" i="80" s="1"/>
  <c r="BH239" i="80" s="1"/>
  <c r="AJ239" i="80"/>
  <c r="AI239" i="80"/>
  <c r="AH239" i="80"/>
  <c r="AN471" i="79"/>
  <c r="AH471" i="79"/>
  <c r="AJ471" i="79"/>
  <c r="AI471" i="79"/>
  <c r="AH422" i="79"/>
  <c r="AN422" i="79"/>
  <c r="AJ422" i="79"/>
  <c r="AL422" i="79" a="1"/>
  <c r="AL422" i="79" s="1"/>
  <c r="BH422" i="79" s="1"/>
  <c r="AI422" i="79"/>
  <c r="BX422" i="79"/>
  <c r="AH474" i="80"/>
  <c r="AN474" i="80"/>
  <c r="AL474" i="80" a="1"/>
  <c r="AL474" i="80" s="1"/>
  <c r="BH474" i="80" s="1"/>
  <c r="BX474" i="80"/>
  <c r="AI474" i="80"/>
  <c r="AJ474" i="80"/>
  <c r="BX138" i="80"/>
  <c r="AN138" i="80"/>
  <c r="AL138" i="80" a="1"/>
  <c r="AL138" i="80" s="1"/>
  <c r="BH138" i="80" s="1"/>
  <c r="AH138" i="80"/>
  <c r="AJ138" i="80"/>
  <c r="AI138" i="80"/>
  <c r="AN61" i="80"/>
  <c r="AI61" i="80"/>
  <c r="AL61" i="80" a="1"/>
  <c r="AL61" i="80" s="1"/>
  <c r="BH61" i="80" s="1"/>
  <c r="AJ61" i="80"/>
  <c r="BX61" i="80"/>
  <c r="AH61" i="80"/>
  <c r="AY140" i="79"/>
  <c r="BE140" i="79" s="1"/>
  <c r="AH308" i="80"/>
  <c r="AL484" i="80" a="1"/>
  <c r="AL484" i="80" s="1"/>
  <c r="BH484" i="80" s="1"/>
  <c r="AR319" i="79"/>
  <c r="AR173" i="80"/>
  <c r="AY173" i="80"/>
  <c r="BE173" i="80" s="1"/>
  <c r="AJ323" i="79"/>
  <c r="AY290" i="80"/>
  <c r="BE290" i="80" s="1"/>
  <c r="BX484" i="80"/>
  <c r="AR376" i="80"/>
  <c r="AY376" i="80"/>
  <c r="BE376" i="80" s="1"/>
  <c r="AF376" i="80"/>
  <c r="AF194" i="80"/>
  <c r="AJ548" i="79"/>
  <c r="AH267" i="79"/>
  <c r="AL404" i="79" a="1"/>
  <c r="AL404" i="79" s="1"/>
  <c r="BH404" i="79" s="1"/>
  <c r="AN249" i="79"/>
  <c r="AL328" i="79" a="1"/>
  <c r="AL328" i="79" s="1"/>
  <c r="BH328" i="79" s="1"/>
  <c r="AF140" i="79"/>
  <c r="AR313" i="80"/>
  <c r="AR231" i="80"/>
  <c r="BX173" i="80"/>
  <c r="AH229" i="80"/>
  <c r="AR199" i="80"/>
  <c r="AI479" i="80"/>
  <c r="BG514" i="79"/>
  <c r="BA514" i="79" s="1"/>
  <c r="BD514" i="79" s="1"/>
  <c r="AF372" i="80"/>
  <c r="AR372" i="80"/>
  <c r="AY372" i="80"/>
  <c r="BE372" i="80" s="1"/>
  <c r="AY334" i="80"/>
  <c r="BE334" i="80" s="1"/>
  <c r="AF334" i="80"/>
  <c r="AR334" i="80"/>
  <c r="AN413" i="80"/>
  <c r="AJ413" i="80"/>
  <c r="AY293" i="80"/>
  <c r="BE293" i="80" s="1"/>
  <c r="AR293" i="80"/>
  <c r="AY381" i="80"/>
  <c r="BE381" i="80" s="1"/>
  <c r="AR381" i="80"/>
  <c r="AR545" i="79"/>
  <c r="AF497" i="80"/>
  <c r="AN497" i="80" s="1"/>
  <c r="AL308" i="80" a="1"/>
  <c r="AL308" i="80" s="1"/>
  <c r="BH308" i="80" s="1"/>
  <c r="AI154" i="80"/>
  <c r="AF56" i="80"/>
  <c r="AR56" i="80"/>
  <c r="AY56" i="80"/>
  <c r="BE56" i="80" s="1"/>
  <c r="AF318" i="80"/>
  <c r="AR318" i="80"/>
  <c r="AY318" i="80"/>
  <c r="BE318" i="80" s="1"/>
  <c r="AR434" i="80"/>
  <c r="AY434" i="80"/>
  <c r="BE434" i="80" s="1"/>
  <c r="AF434" i="80"/>
  <c r="BX308" i="80"/>
  <c r="AY273" i="80"/>
  <c r="BE273" i="80" s="1"/>
  <c r="BX413" i="80"/>
  <c r="AY478" i="80"/>
  <c r="BE478" i="80" s="1"/>
  <c r="AR478" i="80"/>
  <c r="AR206" i="80"/>
  <c r="AY206" i="80"/>
  <c r="BE206" i="80" s="1"/>
  <c r="AH484" i="80"/>
  <c r="AY87" i="80"/>
  <c r="BE87" i="80" s="1"/>
  <c r="AR87" i="80"/>
  <c r="AN486" i="79"/>
  <c r="AY319" i="79"/>
  <c r="BE319" i="79" s="1"/>
  <c r="AI206" i="80"/>
  <c r="AF87" i="80"/>
  <c r="AN68" i="80"/>
  <c r="AH68" i="80"/>
  <c r="BX68" i="80"/>
  <c r="AJ68" i="80"/>
  <c r="AL68" i="80" a="1"/>
  <c r="AL68" i="80" s="1"/>
  <c r="BH68" i="80" s="1"/>
  <c r="AI68" i="80"/>
  <c r="AF161" i="80"/>
  <c r="AR161" i="80"/>
  <c r="AY161" i="80"/>
  <c r="BE161" i="80" s="1"/>
  <c r="AH97" i="79"/>
  <c r="AQ131" i="80"/>
  <c r="AY68" i="80"/>
  <c r="BE68" i="80" s="1"/>
  <c r="AR68" i="80"/>
  <c r="AI548" i="79"/>
  <c r="AI267" i="79"/>
  <c r="AL300" i="79" a="1"/>
  <c r="AL300" i="79" s="1"/>
  <c r="BH300" i="79" s="1"/>
  <c r="BX249" i="79"/>
  <c r="AR446" i="80"/>
  <c r="AL548" i="79" a="1"/>
  <c r="AL548" i="79" s="1"/>
  <c r="BH548" i="79" s="1"/>
  <c r="AH404" i="79"/>
  <c r="AI173" i="80"/>
  <c r="AI229" i="80"/>
  <c r="AH479" i="80"/>
  <c r="AF452" i="79"/>
  <c r="AN452" i="79" s="1"/>
  <c r="AY267" i="79"/>
  <c r="BE267" i="79" s="1"/>
  <c r="AH173" i="80"/>
  <c r="AJ229" i="80"/>
  <c r="AR154" i="80"/>
  <c r="AR497" i="80"/>
  <c r="AY535" i="80"/>
  <c r="BE535" i="80" s="1"/>
  <c r="AR535" i="80"/>
  <c r="AF535" i="80"/>
  <c r="BX223" i="80"/>
  <c r="AJ223" i="80"/>
  <c r="AI223" i="80"/>
  <c r="AH223" i="80"/>
  <c r="AN223" i="80"/>
  <c r="AL223" i="80" a="1"/>
  <c r="AL223" i="80" s="1"/>
  <c r="BH223" i="80" s="1"/>
  <c r="BX531" i="79"/>
  <c r="AY404" i="79"/>
  <c r="BE404" i="79" s="1"/>
  <c r="AJ267" i="79"/>
  <c r="AN404" i="79"/>
  <c r="AJ168" i="79"/>
  <c r="BX179" i="80"/>
  <c r="AY479" i="80"/>
  <c r="BE479" i="80" s="1"/>
  <c r="AI502" i="80"/>
  <c r="AJ173" i="80"/>
  <c r="AN229" i="80"/>
  <c r="AR194" i="80"/>
  <c r="AH353" i="80"/>
  <c r="AY223" i="80"/>
  <c r="BE223" i="80" s="1"/>
  <c r="AR223" i="80"/>
  <c r="AY506" i="80"/>
  <c r="BE506" i="80" s="1"/>
  <c r="AR506" i="80"/>
  <c r="AR386" i="80"/>
  <c r="BG386" i="80"/>
  <c r="BA386" i="80" s="1"/>
  <c r="BD386" i="80" s="1"/>
  <c r="AR516" i="80"/>
  <c r="AR248" i="80"/>
  <c r="AY248" i="80"/>
  <c r="BE248" i="80" s="1"/>
  <c r="BX381" i="80"/>
  <c r="AN381" i="80"/>
  <c r="AL381" i="80" a="1"/>
  <c r="AL381" i="80" s="1"/>
  <c r="BH381" i="80" s="1"/>
  <c r="AI381" i="80"/>
  <c r="AJ381" i="80"/>
  <c r="AH381" i="80"/>
  <c r="AN394" i="79"/>
  <c r="AY394" i="79"/>
  <c r="BE394" i="79" s="1"/>
  <c r="AL283" i="80" a="1"/>
  <c r="AL283" i="80" s="1"/>
  <c r="BH283" i="80" s="1"/>
  <c r="AF134" i="79"/>
  <c r="BX134" i="79" s="1"/>
  <c r="AH413" i="80"/>
  <c r="BG398" i="80"/>
  <c r="BA398" i="80" s="1"/>
  <c r="BD398" i="80" s="1"/>
  <c r="AR217" i="79"/>
  <c r="BG271" i="79"/>
  <c r="BA271" i="79" s="1"/>
  <c r="BD271" i="79" s="1"/>
  <c r="AR391" i="80"/>
  <c r="AI413" i="80"/>
  <c r="AR47" i="79"/>
  <c r="BG444" i="80"/>
  <c r="BA444" i="80" s="1"/>
  <c r="BD444" i="80" s="1"/>
  <c r="AY349" i="79"/>
  <c r="BE349" i="79" s="1"/>
  <c r="AJ308" i="80"/>
  <c r="AY447" i="79"/>
  <c r="BE447" i="79" s="1"/>
  <c r="AR470" i="79"/>
  <c r="AI516" i="80"/>
  <c r="AL516" i="80" a="1"/>
  <c r="AL516" i="80" s="1"/>
  <c r="BH516" i="80" s="1"/>
  <c r="AN516" i="80"/>
  <c r="BX516" i="80"/>
  <c r="AH516" i="80"/>
  <c r="AJ516" i="80"/>
  <c r="AR404" i="79"/>
  <c r="AI404" i="79"/>
  <c r="AI168" i="79"/>
  <c r="AN531" i="79"/>
  <c r="BX394" i="79"/>
  <c r="AN424" i="79"/>
  <c r="AJ404" i="79"/>
  <c r="AR316" i="79"/>
  <c r="BH217" i="79"/>
  <c r="BG53" i="79"/>
  <c r="BA53" i="79" s="1"/>
  <c r="BD53" i="79" s="1"/>
  <c r="AF215" i="79"/>
  <c r="BX215" i="79" s="1"/>
  <c r="AI179" i="80"/>
  <c r="AR479" i="80"/>
  <c r="AG143" i="80"/>
  <c r="AF143" i="80" s="1"/>
  <c r="BX502" i="80"/>
  <c r="AL173" i="80" a="1"/>
  <c r="AL173" i="80" s="1"/>
  <c r="BH173" i="80" s="1"/>
  <c r="AL229" i="80" a="1"/>
  <c r="AL229" i="80" s="1"/>
  <c r="BH229" i="80" s="1"/>
  <c r="AI353" i="80"/>
  <c r="AY255" i="80"/>
  <c r="BE255" i="80" s="1"/>
  <c r="AR255" i="80"/>
  <c r="AR61" i="80"/>
  <c r="AY61" i="80"/>
  <c r="BE61" i="80" s="1"/>
  <c r="AR314" i="79"/>
  <c r="BX283" i="80"/>
  <c r="AN478" i="80"/>
  <c r="AH478" i="80"/>
  <c r="BX478" i="80"/>
  <c r="AJ478" i="80"/>
  <c r="AI478" i="80"/>
  <c r="AL478" i="80" a="1"/>
  <c r="AL478" i="80" s="1"/>
  <c r="BH478" i="80" s="1"/>
  <c r="AL206" i="80" a="1"/>
  <c r="AL206" i="80" s="1"/>
  <c r="BH206" i="80" s="1"/>
  <c r="AL154" i="80" a="1"/>
  <c r="AL154" i="80" s="1"/>
  <c r="BH154" i="80" s="1"/>
  <c r="AY469" i="80"/>
  <c r="BE469" i="80" s="1"/>
  <c r="AR469" i="80"/>
  <c r="AI486" i="79"/>
  <c r="BG131" i="80"/>
  <c r="BA131" i="80" s="1"/>
  <c r="BB131" i="80" s="1"/>
  <c r="AR224" i="80"/>
  <c r="AY224" i="80"/>
  <c r="BE224" i="80" s="1"/>
  <c r="AJ328" i="79"/>
  <c r="AR443" i="79"/>
  <c r="AF290" i="80"/>
  <c r="AJ290" i="80" s="1"/>
  <c r="AF224" i="80"/>
  <c r="AI264" i="79"/>
  <c r="AI328" i="79"/>
  <c r="AN484" i="80"/>
  <c r="AR367" i="80"/>
  <c r="AL267" i="79" a="1"/>
  <c r="AL267" i="79" s="1"/>
  <c r="BH267" i="79" s="1"/>
  <c r="AL249" i="79" a="1"/>
  <c r="AL249" i="79" s="1"/>
  <c r="BH249" i="79" s="1"/>
  <c r="AY154" i="80"/>
  <c r="BE154" i="80" s="1"/>
  <c r="AY138" i="80"/>
  <c r="BE138" i="80" s="1"/>
  <c r="AR138" i="80"/>
  <c r="AG100" i="80"/>
  <c r="AF100" i="80" s="1"/>
  <c r="AQ100" i="80"/>
  <c r="BG100" i="80" s="1"/>
  <c r="BA100" i="80" s="1"/>
  <c r="BD100" i="80" s="1"/>
  <c r="AN179" i="80"/>
  <c r="AF463" i="79"/>
  <c r="AY463" i="79"/>
  <c r="BE463" i="79" s="1"/>
  <c r="AF216" i="79"/>
  <c r="AJ216" i="79" s="1"/>
  <c r="AI424" i="79"/>
  <c r="AY316" i="79"/>
  <c r="BE316" i="79" s="1"/>
  <c r="AJ179" i="80"/>
  <c r="AQ143" i="80"/>
  <c r="BG143" i="80" s="1"/>
  <c r="BA143" i="80" s="1"/>
  <c r="BD143" i="80" s="1"/>
  <c r="AH502" i="80"/>
  <c r="AR283" i="80"/>
  <c r="AJ353" i="80"/>
  <c r="AN396" i="80"/>
  <c r="AL396" i="80" a="1"/>
  <c r="AL396" i="80" s="1"/>
  <c r="BH396" i="80" s="1"/>
  <c r="BX396" i="80"/>
  <c r="AH396" i="80"/>
  <c r="AI396" i="80"/>
  <c r="AJ396" i="80"/>
  <c r="AY516" i="80"/>
  <c r="BE516" i="80" s="1"/>
  <c r="AG30" i="80"/>
  <c r="AY30" i="80" s="1"/>
  <c r="BE30" i="80" s="1"/>
  <c r="AQ30" i="80"/>
  <c r="BX248" i="80"/>
  <c r="AI248" i="80"/>
  <c r="AH248" i="80"/>
  <c r="AJ248" i="80"/>
  <c r="AN248" i="80"/>
  <c r="AL248" i="80" a="1"/>
  <c r="AL248" i="80" s="1"/>
  <c r="BH248" i="80" s="1"/>
  <c r="AF255" i="80"/>
  <c r="BG422" i="79"/>
  <c r="BA422" i="79" s="1"/>
  <c r="BD422" i="79" s="1"/>
  <c r="AQ144" i="80"/>
  <c r="BG144" i="80" s="1"/>
  <c r="BA144" i="80" s="1"/>
  <c r="BD144" i="80" s="1"/>
  <c r="AG144" i="80"/>
  <c r="AF144" i="80" s="1"/>
  <c r="AI484" i="80"/>
  <c r="AJ469" i="80"/>
  <c r="AH469" i="80"/>
  <c r="AI469" i="80"/>
  <c r="AL469" i="80" a="1"/>
  <c r="AL469" i="80" s="1"/>
  <c r="BH469" i="80" s="1"/>
  <c r="AN469" i="80"/>
  <c r="BX469" i="80"/>
  <c r="AJ486" i="79"/>
  <c r="BH514" i="79"/>
  <c r="AH328" i="79"/>
  <c r="AY308" i="80"/>
  <c r="BE308" i="80" s="1"/>
  <c r="AR308" i="80"/>
  <c r="BX328" i="79"/>
  <c r="AN308" i="80"/>
  <c r="AF273" i="80"/>
  <c r="BX273" i="80" s="1"/>
  <c r="AR239" i="80"/>
  <c r="AY239" i="80"/>
  <c r="BE239" i="80" s="1"/>
  <c r="AY400" i="80"/>
  <c r="BE400" i="80" s="1"/>
  <c r="AR400" i="80"/>
  <c r="AL323" i="79" a="1"/>
  <c r="AL323" i="79" s="1"/>
  <c r="BH323" i="79" s="1"/>
  <c r="AY277" i="80"/>
  <c r="BE277" i="80" s="1"/>
  <c r="AR277" i="80"/>
  <c r="AR447" i="79"/>
  <c r="BX267" i="79"/>
  <c r="AL394" i="79" a="1"/>
  <c r="AL394" i="79" s="1"/>
  <c r="BH394" i="79" s="1"/>
  <c r="AR216" i="79"/>
  <c r="AJ424" i="79"/>
  <c r="AH344" i="79"/>
  <c r="AY134" i="79"/>
  <c r="BE134" i="79" s="1"/>
  <c r="AR413" i="80"/>
  <c r="AY396" i="80"/>
  <c r="BE396" i="80" s="1"/>
  <c r="AR396" i="80"/>
  <c r="AF444" i="80"/>
  <c r="AF293" i="80"/>
  <c r="BG188" i="80"/>
  <c r="BA188" i="80" s="1"/>
  <c r="BD188" i="80" s="1"/>
  <c r="BX234" i="80"/>
  <c r="AN234" i="80"/>
  <c r="AL234" i="80" a="1"/>
  <c r="AL234" i="80" s="1"/>
  <c r="BH234" i="80" s="1"/>
  <c r="AJ234" i="80"/>
  <c r="AI234" i="80"/>
  <c r="AH234" i="80"/>
  <c r="AR122" i="80"/>
  <c r="AF122" i="80"/>
  <c r="BX335" i="80"/>
  <c r="AN335" i="80"/>
  <c r="AL335" i="80" a="1"/>
  <c r="AL335" i="80" s="1"/>
  <c r="BH335" i="80" s="1"/>
  <c r="AJ335" i="80"/>
  <c r="AI335" i="80"/>
  <c r="AH335" i="80"/>
  <c r="AJ50" i="80"/>
  <c r="AI50" i="80"/>
  <c r="BX50" i="80"/>
  <c r="AN50" i="80"/>
  <c r="AL50" i="80" a="1"/>
  <c r="AL50" i="80" s="1"/>
  <c r="BH50" i="80" s="1"/>
  <c r="AH50" i="80"/>
  <c r="AL461" i="80" a="1"/>
  <c r="AL461" i="80" s="1"/>
  <c r="BH461" i="80" s="1"/>
  <c r="BX461" i="80"/>
  <c r="AJ461" i="80"/>
  <c r="AN461" i="80"/>
  <c r="AI461" i="80"/>
  <c r="AH461" i="80"/>
  <c r="BX517" i="80"/>
  <c r="AH517" i="80"/>
  <c r="AJ517" i="80"/>
  <c r="AL517" i="80" a="1"/>
  <c r="AL517" i="80" s="1"/>
  <c r="BH517" i="80" s="1"/>
  <c r="AI517" i="80"/>
  <c r="AN517" i="80"/>
  <c r="BX455" i="80"/>
  <c r="AI455" i="80"/>
  <c r="AH455" i="80"/>
  <c r="AJ455" i="80"/>
  <c r="AN455" i="80"/>
  <c r="AL455" i="80" a="1"/>
  <c r="AL455" i="80" s="1"/>
  <c r="BH455" i="80" s="1"/>
  <c r="AN43" i="80"/>
  <c r="AI43" i="80"/>
  <c r="AH43" i="80"/>
  <c r="AJ43" i="80"/>
  <c r="BX43" i="80"/>
  <c r="AL43" i="80" a="1"/>
  <c r="AL43" i="80" s="1"/>
  <c r="BH43" i="80" s="1"/>
  <c r="AH280" i="79"/>
  <c r="AL280" i="79" a="1"/>
  <c r="AL280" i="79" s="1"/>
  <c r="BH280" i="79" s="1"/>
  <c r="AY159" i="80"/>
  <c r="BE159" i="80" s="1"/>
  <c r="AR159" i="80"/>
  <c r="AY471" i="80"/>
  <c r="BE471" i="80" s="1"/>
  <c r="AR471" i="80"/>
  <c r="AF471" i="80"/>
  <c r="BX204" i="80"/>
  <c r="AN204" i="80"/>
  <c r="AJ204" i="80"/>
  <c r="AI204" i="80"/>
  <c r="AH204" i="80"/>
  <c r="AL204" i="80" a="1"/>
  <c r="AL204" i="80" s="1"/>
  <c r="BH204" i="80" s="1"/>
  <c r="AY221" i="80"/>
  <c r="BE221" i="80" s="1"/>
  <c r="AR221" i="80"/>
  <c r="AR447" i="80"/>
  <c r="AY447" i="80"/>
  <c r="BE447" i="80" s="1"/>
  <c r="AY286" i="80"/>
  <c r="BE286" i="80" s="1"/>
  <c r="AR286" i="80"/>
  <c r="BX509" i="79"/>
  <c r="AL509" i="79" a="1"/>
  <c r="AL509" i="79" s="1"/>
  <c r="BH509" i="79" s="1"/>
  <c r="AY254" i="80"/>
  <c r="BE254" i="80" s="1"/>
  <c r="AR254" i="80"/>
  <c r="BX530" i="80"/>
  <c r="AJ530" i="80"/>
  <c r="AL530" i="80" a="1"/>
  <c r="AL530" i="80" s="1"/>
  <c r="BH530" i="80" s="1"/>
  <c r="AN530" i="80"/>
  <c r="AH530" i="80"/>
  <c r="AI530" i="80"/>
  <c r="BX147" i="80"/>
  <c r="AN147" i="80"/>
  <c r="AJ147" i="80"/>
  <c r="AI147" i="80"/>
  <c r="AH147" i="80"/>
  <c r="AL147" i="80" a="1"/>
  <c r="AL147" i="80" s="1"/>
  <c r="BH147" i="80" s="1"/>
  <c r="AH126" i="80"/>
  <c r="AJ126" i="80"/>
  <c r="BX126" i="80"/>
  <c r="AL126" i="80" a="1"/>
  <c r="AL126" i="80" s="1"/>
  <c r="AI126" i="80"/>
  <c r="AN126" i="80"/>
  <c r="AY518" i="80"/>
  <c r="BE518" i="80" s="1"/>
  <c r="AR518" i="80"/>
  <c r="AF518" i="80"/>
  <c r="AI135" i="80"/>
  <c r="AH135" i="80"/>
  <c r="AN135" i="80"/>
  <c r="BX135" i="80"/>
  <c r="AL135" i="80" a="1"/>
  <c r="AL135" i="80" s="1"/>
  <c r="BH135" i="80" s="1"/>
  <c r="AJ135" i="80"/>
  <c r="AR218" i="80"/>
  <c r="AY218" i="80"/>
  <c r="BE218" i="80" s="1"/>
  <c r="AF218" i="80"/>
  <c r="AY183" i="80"/>
  <c r="BE183" i="80" s="1"/>
  <c r="AR183" i="80"/>
  <c r="BX274" i="80"/>
  <c r="AN274" i="80"/>
  <c r="AJ274" i="80"/>
  <c r="AI274" i="80"/>
  <c r="AH274" i="80"/>
  <c r="AL274" i="80" a="1"/>
  <c r="AL274" i="80" s="1"/>
  <c r="BH274" i="80" s="1"/>
  <c r="AR288" i="80"/>
  <c r="AY288" i="80"/>
  <c r="BE288" i="80" s="1"/>
  <c r="AF288" i="80"/>
  <c r="AY322" i="80"/>
  <c r="BE322" i="80" s="1"/>
  <c r="AR322" i="80"/>
  <c r="AF322" i="80"/>
  <c r="AY246" i="80"/>
  <c r="BE246" i="80" s="1"/>
  <c r="AR246" i="80"/>
  <c r="AF246" i="80"/>
  <c r="AJ152" i="80"/>
  <c r="AI152" i="80"/>
  <c r="AH152" i="80"/>
  <c r="BX152" i="80"/>
  <c r="AL152" i="80" a="1"/>
  <c r="AL152" i="80" s="1"/>
  <c r="BH152" i="80" s="1"/>
  <c r="AN152" i="80"/>
  <c r="AI371" i="80"/>
  <c r="AH371" i="80"/>
  <c r="AN371" i="80"/>
  <c r="AL371" i="80" a="1"/>
  <c r="AL371" i="80" s="1"/>
  <c r="BH371" i="80" s="1"/>
  <c r="BX371" i="80"/>
  <c r="AJ371" i="80"/>
  <c r="AI136" i="79"/>
  <c r="AF421" i="79"/>
  <c r="AJ421" i="79" s="1"/>
  <c r="AR421" i="79"/>
  <c r="AJ44" i="80"/>
  <c r="AI44" i="80"/>
  <c r="AL44" i="80" a="1"/>
  <c r="AL44" i="80" s="1"/>
  <c r="BH44" i="80" s="1"/>
  <c r="AH44" i="80"/>
  <c r="BX44" i="80"/>
  <c r="AN44" i="80"/>
  <c r="AY404" i="80"/>
  <c r="BE404" i="80" s="1"/>
  <c r="AR404" i="80"/>
  <c r="AF404" i="80"/>
  <c r="AL439" i="80" a="1"/>
  <c r="AL439" i="80" s="1"/>
  <c r="BH439" i="80" s="1"/>
  <c r="AI439" i="80"/>
  <c r="AN439" i="80"/>
  <c r="AH439" i="80"/>
  <c r="AJ439" i="80"/>
  <c r="BX439" i="80"/>
  <c r="AR270" i="80"/>
  <c r="AY270" i="80"/>
  <c r="BE270" i="80" s="1"/>
  <c r="AF462" i="79"/>
  <c r="AL462" i="79" s="1" a="1"/>
  <c r="AL462" i="79" s="1"/>
  <c r="BH462" i="79" s="1"/>
  <c r="AY462" i="79"/>
  <c r="BE462" i="79" s="1"/>
  <c r="AR263" i="80"/>
  <c r="AY263" i="80"/>
  <c r="BE263" i="80" s="1"/>
  <c r="AN63" i="80"/>
  <c r="AI63" i="80"/>
  <c r="AL63" i="80" a="1"/>
  <c r="AL63" i="80" s="1"/>
  <c r="BH63" i="80" s="1"/>
  <c r="AJ63" i="80"/>
  <c r="AH63" i="80"/>
  <c r="BX63" i="80"/>
  <c r="BX296" i="80"/>
  <c r="AJ296" i="80"/>
  <c r="AI296" i="80"/>
  <c r="AH296" i="80"/>
  <c r="AL296" i="80" a="1"/>
  <c r="AL296" i="80" s="1"/>
  <c r="BH296" i="80" s="1"/>
  <c r="AN296" i="80"/>
  <c r="AI230" i="80"/>
  <c r="AH230" i="80"/>
  <c r="AN230" i="80"/>
  <c r="BX230" i="80"/>
  <c r="AL230" i="80" a="1"/>
  <c r="AL230" i="80" s="1"/>
  <c r="BH230" i="80" s="1"/>
  <c r="AJ230" i="80"/>
  <c r="AN328" i="80"/>
  <c r="AH328" i="80"/>
  <c r="AL328" i="80" a="1"/>
  <c r="AL328" i="80" s="1"/>
  <c r="BH328" i="80" s="1"/>
  <c r="BX328" i="80"/>
  <c r="AI328" i="80"/>
  <c r="AJ328" i="80"/>
  <c r="BX341" i="80"/>
  <c r="AN341" i="80"/>
  <c r="AL341" i="80" a="1"/>
  <c r="AL341" i="80" s="1"/>
  <c r="BH341" i="80" s="1"/>
  <c r="AJ341" i="80"/>
  <c r="AI341" i="80"/>
  <c r="AH341" i="80"/>
  <c r="AG99" i="80"/>
  <c r="AF99" i="80" s="1"/>
  <c r="AQ99" i="80"/>
  <c r="BG99" i="80" s="1"/>
  <c r="BA99" i="80" s="1"/>
  <c r="BD99" i="80" s="1"/>
  <c r="AN526" i="80"/>
  <c r="BX526" i="80"/>
  <c r="AL526" i="80" a="1"/>
  <c r="AL526" i="80" s="1"/>
  <c r="BH526" i="80" s="1"/>
  <c r="AJ526" i="80"/>
  <c r="AI526" i="80"/>
  <c r="AH526" i="80"/>
  <c r="AN60" i="80"/>
  <c r="AL60" i="80" a="1"/>
  <c r="AL60" i="80" s="1"/>
  <c r="BH60" i="80" s="1"/>
  <c r="AI60" i="80"/>
  <c r="AJ60" i="80"/>
  <c r="AH60" i="80"/>
  <c r="BX60" i="80"/>
  <c r="AL253" i="80" a="1"/>
  <c r="AL253" i="80" s="1"/>
  <c r="BH253" i="80" s="1"/>
  <c r="BX253" i="80"/>
  <c r="AJ253" i="80"/>
  <c r="AN253" i="80"/>
  <c r="AH253" i="80"/>
  <c r="AI253" i="80"/>
  <c r="AY449" i="80"/>
  <c r="BE449" i="80" s="1"/>
  <c r="AR449" i="80"/>
  <c r="AF449" i="80"/>
  <c r="AN451" i="80"/>
  <c r="AI451" i="80"/>
  <c r="AH451" i="80"/>
  <c r="AL451" i="80" a="1"/>
  <c r="AL451" i="80" s="1"/>
  <c r="BH451" i="80" s="1"/>
  <c r="AJ451" i="80"/>
  <c r="BX451" i="80"/>
  <c r="AN217" i="80"/>
  <c r="BX217" i="80"/>
  <c r="AL217" i="80" a="1"/>
  <c r="AL217" i="80" s="1"/>
  <c r="BH217" i="80" s="1"/>
  <c r="AJ217" i="80"/>
  <c r="AH217" i="80"/>
  <c r="AI217" i="80"/>
  <c r="AY85" i="80"/>
  <c r="BE85" i="80" s="1"/>
  <c r="AR85" i="80"/>
  <c r="BX402" i="80"/>
  <c r="AN402" i="80"/>
  <c r="AJ402" i="80"/>
  <c r="AI402" i="80"/>
  <c r="AL402" i="80" a="1"/>
  <c r="AL402" i="80" s="1"/>
  <c r="BH402" i="80" s="1"/>
  <c r="AH402" i="80"/>
  <c r="BG116" i="80"/>
  <c r="BA116" i="80" s="1"/>
  <c r="BD116" i="80" s="1"/>
  <c r="AR116" i="80"/>
  <c r="BX128" i="80"/>
  <c r="AL128" i="80" a="1"/>
  <c r="AL128" i="80" s="1"/>
  <c r="AI128" i="80"/>
  <c r="AJ128" i="80"/>
  <c r="AN128" i="80"/>
  <c r="AH128" i="80"/>
  <c r="AY364" i="80"/>
  <c r="BE364" i="80" s="1"/>
  <c r="AR364" i="80"/>
  <c r="AY152" i="80"/>
  <c r="BE152" i="80" s="1"/>
  <c r="AR152" i="80"/>
  <c r="BX167" i="80"/>
  <c r="AN167" i="80"/>
  <c r="AJ167" i="80"/>
  <c r="AI167" i="80"/>
  <c r="AH167" i="80"/>
  <c r="AL167" i="80" a="1"/>
  <c r="AL167" i="80" s="1"/>
  <c r="BH167" i="80" s="1"/>
  <c r="AH171" i="80"/>
  <c r="AN171" i="80"/>
  <c r="BX171" i="80"/>
  <c r="AI171" i="80"/>
  <c r="AL171" i="80" a="1"/>
  <c r="AL171" i="80" s="1"/>
  <c r="BH171" i="80" s="1"/>
  <c r="AJ171" i="80"/>
  <c r="AY438" i="80"/>
  <c r="BE438" i="80" s="1"/>
  <c r="AR438" i="80"/>
  <c r="AY256" i="79"/>
  <c r="BE256" i="79" s="1"/>
  <c r="BX490" i="80"/>
  <c r="AH490" i="80"/>
  <c r="AJ490" i="80"/>
  <c r="AI490" i="80"/>
  <c r="AL490" i="80" a="1"/>
  <c r="AL490" i="80" s="1"/>
  <c r="BH490" i="80" s="1"/>
  <c r="AN490" i="80"/>
  <c r="AF159" i="80"/>
  <c r="AR63" i="80"/>
  <c r="AY63" i="80"/>
  <c r="BE63" i="80" s="1"/>
  <c r="AR315" i="80"/>
  <c r="AY315" i="80"/>
  <c r="BE315" i="80" s="1"/>
  <c r="AI330" i="80"/>
  <c r="AH330" i="80"/>
  <c r="AN330" i="80"/>
  <c r="AL330" i="80" a="1"/>
  <c r="AL330" i="80" s="1"/>
  <c r="BH330" i="80" s="1"/>
  <c r="AJ330" i="80"/>
  <c r="BX330" i="80"/>
  <c r="AR296" i="80"/>
  <c r="AY296" i="80"/>
  <c r="BE296" i="80" s="1"/>
  <c r="AR383" i="80"/>
  <c r="AY383" i="80"/>
  <c r="BE383" i="80" s="1"/>
  <c r="AF383" i="80"/>
  <c r="BX58" i="80"/>
  <c r="AL58" i="80" a="1"/>
  <c r="AL58" i="80" s="1"/>
  <c r="BH58" i="80" s="1"/>
  <c r="AJ58" i="80"/>
  <c r="AI58" i="80"/>
  <c r="AH58" i="80"/>
  <c r="AN58" i="80"/>
  <c r="AL199" i="80" a="1"/>
  <c r="AL199" i="80" s="1"/>
  <c r="BH199" i="80" s="1"/>
  <c r="AJ199" i="80"/>
  <c r="AI199" i="80"/>
  <c r="BX199" i="80"/>
  <c r="AH199" i="80"/>
  <c r="AN199" i="80"/>
  <c r="AI430" i="80"/>
  <c r="BX430" i="80"/>
  <c r="AN430" i="80"/>
  <c r="AJ430" i="80"/>
  <c r="AH430" i="80"/>
  <c r="AL430" i="80" a="1"/>
  <c r="AL430" i="80" s="1"/>
  <c r="BH430" i="80" s="1"/>
  <c r="AF447" i="80"/>
  <c r="AL394" i="80" a="1"/>
  <c r="AL394" i="80" s="1"/>
  <c r="BH394" i="80" s="1"/>
  <c r="BX394" i="80"/>
  <c r="AJ394" i="80"/>
  <c r="AN394" i="80"/>
  <c r="AI394" i="80"/>
  <c r="AH394" i="80"/>
  <c r="AY253" i="80"/>
  <c r="BE253" i="80" s="1"/>
  <c r="AR253" i="80"/>
  <c r="AJ495" i="80"/>
  <c r="AI495" i="80"/>
  <c r="AH495" i="80"/>
  <c r="AL495" i="80" a="1"/>
  <c r="AL495" i="80" s="1"/>
  <c r="BH495" i="80" s="1"/>
  <c r="BX495" i="80"/>
  <c r="AN495" i="80"/>
  <c r="AR128" i="80"/>
  <c r="AI240" i="79"/>
  <c r="AJ240" i="79"/>
  <c r="AF519" i="79"/>
  <c r="AY519" i="79"/>
  <c r="BE519" i="79" s="1"/>
  <c r="BX169" i="80"/>
  <c r="AJ169" i="80"/>
  <c r="AI169" i="80"/>
  <c r="AH169" i="80"/>
  <c r="AN169" i="80"/>
  <c r="AL169" i="80" a="1"/>
  <c r="AL169" i="80" s="1"/>
  <c r="BH169" i="80" s="1"/>
  <c r="AN546" i="80"/>
  <c r="AH546" i="80"/>
  <c r="BX546" i="80"/>
  <c r="AL546" i="80" a="1"/>
  <c r="AL546" i="80" s="1"/>
  <c r="BH546" i="80" s="1"/>
  <c r="AI546" i="80"/>
  <c r="AJ546" i="80"/>
  <c r="AR252" i="80"/>
  <c r="AY252" i="80"/>
  <c r="BE252" i="80" s="1"/>
  <c r="AF263" i="80"/>
  <c r="BX242" i="80"/>
  <c r="AN242" i="80"/>
  <c r="AH242" i="80"/>
  <c r="AL242" i="80" a="1"/>
  <c r="AL242" i="80" s="1"/>
  <c r="BH242" i="80" s="1"/>
  <c r="AI242" i="80"/>
  <c r="AJ242" i="80"/>
  <c r="AR426" i="80"/>
  <c r="AY426" i="80"/>
  <c r="BE426" i="80" s="1"/>
  <c r="AR382" i="80"/>
  <c r="AY382" i="80"/>
  <c r="BE382" i="80" s="1"/>
  <c r="AL162" i="80" a="1"/>
  <c r="AL162" i="80" s="1"/>
  <c r="BH162" i="80" s="1"/>
  <c r="BX162" i="80"/>
  <c r="AJ162" i="80"/>
  <c r="AI162" i="80"/>
  <c r="AH162" i="80"/>
  <c r="AN162" i="80"/>
  <c r="AL113" i="80" a="1"/>
  <c r="AL113" i="80" s="1"/>
  <c r="BH113" i="80" s="1"/>
  <c r="AJ113" i="80"/>
  <c r="AH113" i="80"/>
  <c r="AN113" i="80"/>
  <c r="AI113" i="80"/>
  <c r="BX113" i="80"/>
  <c r="AY330" i="80"/>
  <c r="BE330" i="80" s="1"/>
  <c r="AR330" i="80"/>
  <c r="AL166" i="80" a="1"/>
  <c r="AL166" i="80" s="1"/>
  <c r="BH166" i="80" s="1"/>
  <c r="AN166" i="80"/>
  <c r="AI166" i="80"/>
  <c r="AH166" i="80"/>
  <c r="BX166" i="80"/>
  <c r="AJ166" i="80"/>
  <c r="AY523" i="80"/>
  <c r="BE523" i="80" s="1"/>
  <c r="AR523" i="80"/>
  <c r="AJ231" i="80"/>
  <c r="AI231" i="80"/>
  <c r="AL231" i="80" a="1"/>
  <c r="AL231" i="80" s="1"/>
  <c r="BH231" i="80" s="1"/>
  <c r="AH231" i="80"/>
  <c r="AN231" i="80"/>
  <c r="BX231" i="80"/>
  <c r="AG72" i="80"/>
  <c r="AF72" i="80" s="1"/>
  <c r="BG72" i="80"/>
  <c r="BA72" i="80" s="1"/>
  <c r="BB72" i="80" s="1"/>
  <c r="AQ72" i="80"/>
  <c r="AN109" i="80"/>
  <c r="AL109" i="80" a="1"/>
  <c r="AL109" i="80" s="1"/>
  <c r="BH109" i="80" s="1"/>
  <c r="BX109" i="80"/>
  <c r="AJ109" i="80"/>
  <c r="AI109" i="80"/>
  <c r="AH109" i="80"/>
  <c r="AN55" i="80"/>
  <c r="BX55" i="80"/>
  <c r="AI55" i="80"/>
  <c r="AJ55" i="80"/>
  <c r="AH55" i="80"/>
  <c r="AL55" i="80" a="1"/>
  <c r="AL55" i="80" s="1"/>
  <c r="BH55" i="80" s="1"/>
  <c r="AL468" i="80" a="1"/>
  <c r="AL468" i="80" s="1"/>
  <c r="BH468" i="80" s="1"/>
  <c r="AN468" i="80"/>
  <c r="BX468" i="80"/>
  <c r="AI468" i="80"/>
  <c r="AH468" i="80"/>
  <c r="AJ468" i="80"/>
  <c r="BX354" i="80"/>
  <c r="AN354" i="80"/>
  <c r="AH354" i="80"/>
  <c r="AJ354" i="80"/>
  <c r="AI354" i="80"/>
  <c r="AL354" i="80" a="1"/>
  <c r="AL354" i="80" s="1"/>
  <c r="BH354" i="80" s="1"/>
  <c r="AR530" i="80"/>
  <c r="AY530" i="80"/>
  <c r="BE530" i="80" s="1"/>
  <c r="AL32" i="80" a="1"/>
  <c r="AL32" i="80" s="1"/>
  <c r="BH32" i="80" s="1"/>
  <c r="BX32" i="80"/>
  <c r="AN32" i="80"/>
  <c r="AJ32" i="80"/>
  <c r="AI32" i="80"/>
  <c r="AH32" i="80"/>
  <c r="BX399" i="80"/>
  <c r="AN399" i="80"/>
  <c r="AJ399" i="80"/>
  <c r="AI399" i="80"/>
  <c r="AH399" i="80"/>
  <c r="AL399" i="80" a="1"/>
  <c r="AL399" i="80" s="1"/>
  <c r="BH399" i="80" s="1"/>
  <c r="AF438" i="80"/>
  <c r="AR546" i="80"/>
  <c r="AY546" i="80"/>
  <c r="BE546" i="80" s="1"/>
  <c r="AY113" i="80"/>
  <c r="BE113" i="80" s="1"/>
  <c r="AR113" i="80"/>
  <c r="AR22" i="80"/>
  <c r="AR520" i="80"/>
  <c r="AY520" i="80"/>
  <c r="BE520" i="80" s="1"/>
  <c r="AR394" i="80"/>
  <c r="AY394" i="80"/>
  <c r="BE394" i="80" s="1"/>
  <c r="AR435" i="80"/>
  <c r="AY435" i="80"/>
  <c r="BE435" i="80" s="1"/>
  <c r="AJ327" i="80"/>
  <c r="AI327" i="80"/>
  <c r="AH327" i="80"/>
  <c r="BX327" i="80"/>
  <c r="AL327" i="80" a="1"/>
  <c r="AL327" i="80" s="1"/>
  <c r="BH327" i="80" s="1"/>
  <c r="AN327" i="80"/>
  <c r="BX536" i="80"/>
  <c r="AN536" i="80"/>
  <c r="AL536" i="80" a="1"/>
  <c r="AL536" i="80" s="1"/>
  <c r="BH536" i="80" s="1"/>
  <c r="AH536" i="80"/>
  <c r="AI536" i="80"/>
  <c r="AJ536" i="80"/>
  <c r="BG41" i="79"/>
  <c r="BA41" i="79" s="1"/>
  <c r="BD41" i="79" s="1"/>
  <c r="AR41" i="79"/>
  <c r="BB71" i="80"/>
  <c r="BD71" i="80"/>
  <c r="BB120" i="80"/>
  <c r="BD120" i="80"/>
  <c r="AF426" i="80"/>
  <c r="AN542" i="80"/>
  <c r="AH542" i="80"/>
  <c r="AL542" i="80" a="1"/>
  <c r="AL542" i="80" s="1"/>
  <c r="BH542" i="80" s="1"/>
  <c r="AI542" i="80"/>
  <c r="AJ542" i="80"/>
  <c r="BX542" i="80"/>
  <c r="AL195" i="80" a="1"/>
  <c r="AL195" i="80" s="1"/>
  <c r="BH195" i="80" s="1"/>
  <c r="AI195" i="80"/>
  <c r="AH195" i="80"/>
  <c r="BX195" i="80"/>
  <c r="AJ195" i="80"/>
  <c r="AN195" i="80"/>
  <c r="AR354" i="80"/>
  <c r="AY354" i="80"/>
  <c r="BE354" i="80" s="1"/>
  <c r="BX266" i="80"/>
  <c r="AN266" i="80"/>
  <c r="AI266" i="80"/>
  <c r="AH266" i="80"/>
  <c r="AL266" i="80" a="1"/>
  <c r="AL266" i="80" s="1"/>
  <c r="BH266" i="80" s="1"/>
  <c r="AJ266" i="80"/>
  <c r="BB125" i="80"/>
  <c r="BD125" i="80"/>
  <c r="AY503" i="79"/>
  <c r="BE503" i="79" s="1"/>
  <c r="BG528" i="79"/>
  <c r="BA528" i="79" s="1"/>
  <c r="BD528" i="79" s="1"/>
  <c r="AR528" i="79"/>
  <c r="AY390" i="80"/>
  <c r="BE390" i="80" s="1"/>
  <c r="AR390" i="80"/>
  <c r="AR508" i="80"/>
  <c r="AY508" i="80"/>
  <c r="BE508" i="80" s="1"/>
  <c r="AR46" i="80"/>
  <c r="AY46" i="80"/>
  <c r="BE46" i="80" s="1"/>
  <c r="BX319" i="80"/>
  <c r="AH319" i="80"/>
  <c r="AI319" i="80"/>
  <c r="AJ319" i="80"/>
  <c r="AN319" i="80"/>
  <c r="AL319" i="80" a="1"/>
  <c r="AL319" i="80" s="1"/>
  <c r="BH319" i="80" s="1"/>
  <c r="AY96" i="80"/>
  <c r="BE96" i="80" s="1"/>
  <c r="AF96" i="80"/>
  <c r="AN336" i="80"/>
  <c r="AJ336" i="80"/>
  <c r="AH336" i="80"/>
  <c r="AI336" i="80"/>
  <c r="AL336" i="80" a="1"/>
  <c r="AL336" i="80" s="1"/>
  <c r="BH336" i="80" s="1"/>
  <c r="BX336" i="80"/>
  <c r="AJ452" i="80"/>
  <c r="AI452" i="80"/>
  <c r="BX452" i="80"/>
  <c r="AL452" i="80" a="1"/>
  <c r="AL452" i="80" s="1"/>
  <c r="BH452" i="80" s="1"/>
  <c r="AH452" i="80"/>
  <c r="AN452" i="80"/>
  <c r="AR494" i="80"/>
  <c r="AY494" i="80"/>
  <c r="BE494" i="80" s="1"/>
  <c r="AY319" i="80"/>
  <c r="BE319" i="80" s="1"/>
  <c r="AR319" i="80"/>
  <c r="AI537" i="80"/>
  <c r="AH537" i="80"/>
  <c r="AL537" i="80" a="1"/>
  <c r="AL537" i="80" s="1"/>
  <c r="BH537" i="80" s="1"/>
  <c r="AN537" i="80"/>
  <c r="AJ537" i="80"/>
  <c r="BX537" i="80"/>
  <c r="AR336" i="80"/>
  <c r="AY336" i="80"/>
  <c r="BE336" i="80" s="1"/>
  <c r="AY487" i="80"/>
  <c r="BE487" i="80" s="1"/>
  <c r="AR487" i="80"/>
  <c r="AY266" i="80"/>
  <c r="BE266" i="80" s="1"/>
  <c r="AR266" i="80"/>
  <c r="AY450" i="80"/>
  <c r="BE450" i="80" s="1"/>
  <c r="AR450" i="80"/>
  <c r="AF450" i="80"/>
  <c r="AY403" i="80"/>
  <c r="BE403" i="80" s="1"/>
  <c r="AR403" i="80"/>
  <c r="AF403" i="80"/>
  <c r="AY239" i="79"/>
  <c r="BE239" i="79" s="1"/>
  <c r="AI529" i="79"/>
  <c r="AL529" i="79" a="1"/>
  <c r="AL529" i="79" s="1"/>
  <c r="BH529" i="79" s="1"/>
  <c r="AJ363" i="80"/>
  <c r="AI363" i="80"/>
  <c r="AH363" i="80"/>
  <c r="BX363" i="80"/>
  <c r="AN363" i="80"/>
  <c r="AL363" i="80" a="1"/>
  <c r="AL363" i="80" s="1"/>
  <c r="BH363" i="80" s="1"/>
  <c r="BX316" i="79"/>
  <c r="AJ316" i="79"/>
  <c r="AI316" i="79"/>
  <c r="AF487" i="80"/>
  <c r="AY347" i="80"/>
  <c r="BE347" i="80" s="1"/>
  <c r="AR347" i="80"/>
  <c r="AY35" i="79"/>
  <c r="BE35" i="79" s="1"/>
  <c r="AF506" i="79"/>
  <c r="AN506" i="79" s="1"/>
  <c r="AY506" i="79"/>
  <c r="BE506" i="79" s="1"/>
  <c r="AR392" i="80"/>
  <c r="AY392" i="80"/>
  <c r="BE392" i="80" s="1"/>
  <c r="AN467" i="80"/>
  <c r="AL467" i="80" a="1"/>
  <c r="AL467" i="80" s="1"/>
  <c r="BH467" i="80" s="1"/>
  <c r="AJ467" i="80"/>
  <c r="BX467" i="80"/>
  <c r="AI467" i="80"/>
  <c r="AH467" i="80"/>
  <c r="BX93" i="80"/>
  <c r="AN93" i="80"/>
  <c r="AH93" i="80"/>
  <c r="AJ93" i="80"/>
  <c r="AL93" i="80" a="1"/>
  <c r="AL93" i="80" s="1"/>
  <c r="AI93" i="80"/>
  <c r="AL237" i="80" a="1"/>
  <c r="AL237" i="80" s="1"/>
  <c r="BH237" i="80" s="1"/>
  <c r="AN237" i="80"/>
  <c r="BX237" i="80"/>
  <c r="AJ237" i="80"/>
  <c r="AI237" i="80"/>
  <c r="AH237" i="80"/>
  <c r="AY62" i="80"/>
  <c r="BE62" i="80" s="1"/>
  <c r="AR62" i="80"/>
  <c r="AY509" i="79"/>
  <c r="BE509" i="79" s="1"/>
  <c r="AN209" i="80"/>
  <c r="AL209" i="80" a="1"/>
  <c r="AL209" i="80" s="1"/>
  <c r="BH209" i="80" s="1"/>
  <c r="AJ209" i="80"/>
  <c r="AI209" i="80"/>
  <c r="AH209" i="80"/>
  <c r="BX209" i="80"/>
  <c r="AN108" i="80"/>
  <c r="AH108" i="80"/>
  <c r="BX108" i="80"/>
  <c r="AL108" i="80" a="1"/>
  <c r="AL108" i="80" s="1"/>
  <c r="BH108" i="80" s="1"/>
  <c r="AJ108" i="80"/>
  <c r="AI108" i="80"/>
  <c r="BX243" i="80"/>
  <c r="AL243" i="80" a="1"/>
  <c r="AL243" i="80" s="1"/>
  <c r="BH243" i="80" s="1"/>
  <c r="AI243" i="80"/>
  <c r="AH243" i="80"/>
  <c r="AN243" i="80"/>
  <c r="AJ243" i="80"/>
  <c r="AI345" i="80"/>
  <c r="AH345" i="80"/>
  <c r="BX345" i="80"/>
  <c r="AJ345" i="80"/>
  <c r="AN345" i="80"/>
  <c r="AL345" i="80" a="1"/>
  <c r="AL345" i="80" s="1"/>
  <c r="BH345" i="80" s="1"/>
  <c r="BX223" i="79"/>
  <c r="AN223" i="79"/>
  <c r="AL256" i="80" a="1"/>
  <c r="AL256" i="80" s="1"/>
  <c r="BH256" i="80" s="1"/>
  <c r="AN256" i="80"/>
  <c r="AJ256" i="80"/>
  <c r="AI256" i="80"/>
  <c r="AH256" i="80"/>
  <c r="BX256" i="80"/>
  <c r="AJ329" i="80"/>
  <c r="AI329" i="80"/>
  <c r="AH329" i="80"/>
  <c r="AL329" i="80" a="1"/>
  <c r="AL329" i="80" s="1"/>
  <c r="BH329" i="80" s="1"/>
  <c r="BX329" i="80"/>
  <c r="AN329" i="80"/>
  <c r="AR36" i="80"/>
  <c r="AY36" i="80"/>
  <c r="BE36" i="80" s="1"/>
  <c r="BX325" i="80"/>
  <c r="AN325" i="80"/>
  <c r="AH325" i="80"/>
  <c r="AL325" i="80" a="1"/>
  <c r="AL325" i="80" s="1"/>
  <c r="BH325" i="80" s="1"/>
  <c r="AI325" i="80"/>
  <c r="AJ325" i="80"/>
  <c r="AH433" i="80"/>
  <c r="AN433" i="80"/>
  <c r="AL433" i="80" a="1"/>
  <c r="AL433" i="80" s="1"/>
  <c r="BH433" i="80" s="1"/>
  <c r="BX433" i="80"/>
  <c r="AI433" i="80"/>
  <c r="AJ433" i="80"/>
  <c r="AG83" i="80"/>
  <c r="AF83" i="80" s="1"/>
  <c r="AQ83" i="80"/>
  <c r="BG83" i="80"/>
  <c r="BA83" i="80" s="1"/>
  <c r="BB83" i="80" s="1"/>
  <c r="AR275" i="80"/>
  <c r="AY275" i="80"/>
  <c r="BE275" i="80" s="1"/>
  <c r="AY300" i="80"/>
  <c r="BE300" i="80" s="1"/>
  <c r="AR300" i="80"/>
  <c r="AJ343" i="80"/>
  <c r="AI343" i="80"/>
  <c r="AH343" i="80"/>
  <c r="AL343" i="80" a="1"/>
  <c r="AL343" i="80" s="1"/>
  <c r="BH343" i="80" s="1"/>
  <c r="AN343" i="80"/>
  <c r="BX343" i="80"/>
  <c r="BX168" i="80"/>
  <c r="AL168" i="80" a="1"/>
  <c r="AL168" i="80" s="1"/>
  <c r="BH168" i="80" s="1"/>
  <c r="AN168" i="80"/>
  <c r="AJ168" i="80"/>
  <c r="AI168" i="80"/>
  <c r="AH168" i="80"/>
  <c r="AY65" i="80"/>
  <c r="BE65" i="80" s="1"/>
  <c r="AR65" i="80"/>
  <c r="AR279" i="80"/>
  <c r="AY279" i="80"/>
  <c r="BE279" i="80" s="1"/>
  <c r="AY291" i="80"/>
  <c r="BE291" i="80" s="1"/>
  <c r="AR291" i="80"/>
  <c r="AY190" i="80"/>
  <c r="BE190" i="80" s="1"/>
  <c r="AR190" i="80"/>
  <c r="AR126" i="80"/>
  <c r="AR362" i="80"/>
  <c r="AY362" i="80"/>
  <c r="BE362" i="80" s="1"/>
  <c r="AF362" i="80"/>
  <c r="BX493" i="80"/>
  <c r="AN493" i="80"/>
  <c r="AH493" i="80"/>
  <c r="AL493" i="80" a="1"/>
  <c r="AL493" i="80" s="1"/>
  <c r="BH493" i="80" s="1"/>
  <c r="AJ493" i="80"/>
  <c r="AI493" i="80"/>
  <c r="AI140" i="80"/>
  <c r="AH140" i="80"/>
  <c r="AN140" i="80"/>
  <c r="BX140" i="80"/>
  <c r="AL140" i="80" a="1"/>
  <c r="AL140" i="80" s="1"/>
  <c r="BH140" i="80" s="1"/>
  <c r="AJ140" i="80"/>
  <c r="AI259" i="80"/>
  <c r="AH259" i="80"/>
  <c r="AJ259" i="80"/>
  <c r="AN259" i="80"/>
  <c r="AL259" i="80" a="1"/>
  <c r="AL259" i="80" s="1"/>
  <c r="BH259" i="80" s="1"/>
  <c r="BX259" i="80"/>
  <c r="AR257" i="80"/>
  <c r="AY257" i="80"/>
  <c r="BE257" i="80" s="1"/>
  <c r="BX80" i="80"/>
  <c r="AJ80" i="80"/>
  <c r="AL80" i="80" a="1"/>
  <c r="AL80" i="80" s="1"/>
  <c r="AN80" i="80"/>
  <c r="AI80" i="80"/>
  <c r="AH80" i="80"/>
  <c r="AR393" i="79"/>
  <c r="AF256" i="79"/>
  <c r="AL256" i="79" s="1" a="1"/>
  <c r="AL256" i="79" s="1"/>
  <c r="BH256" i="79" s="1"/>
  <c r="AH430" i="79"/>
  <c r="AL316" i="79" a="1"/>
  <c r="AL316" i="79" s="1"/>
  <c r="BH316" i="79" s="1"/>
  <c r="AJ509" i="79"/>
  <c r="AR279" i="79"/>
  <c r="AF279" i="79"/>
  <c r="AH279" i="79" s="1"/>
  <c r="AF149" i="79"/>
  <c r="AH149" i="79" s="1"/>
  <c r="AI342" i="80"/>
  <c r="AH342" i="80"/>
  <c r="AN342" i="80"/>
  <c r="AL342" i="80" a="1"/>
  <c r="AL342" i="80" s="1"/>
  <c r="BH342" i="80" s="1"/>
  <c r="BX342" i="80"/>
  <c r="AJ342" i="80"/>
  <c r="AY331" i="80"/>
  <c r="BE331" i="80" s="1"/>
  <c r="AR331" i="80"/>
  <c r="AF331" i="80"/>
  <c r="BG76" i="80"/>
  <c r="BA76" i="80" s="1"/>
  <c r="BB76" i="80" s="1"/>
  <c r="AG76" i="80"/>
  <c r="AF76" i="80" s="1"/>
  <c r="AQ76" i="80"/>
  <c r="AJ289" i="80"/>
  <c r="AI289" i="80"/>
  <c r="AN289" i="80"/>
  <c r="AL289" i="80" a="1"/>
  <c r="AL289" i="80" s="1"/>
  <c r="BH289" i="80" s="1"/>
  <c r="BX289" i="80"/>
  <c r="AH289" i="80"/>
  <c r="AR168" i="80"/>
  <c r="AY168" i="80"/>
  <c r="BE168" i="80" s="1"/>
  <c r="AY488" i="80"/>
  <c r="BE488" i="80" s="1"/>
  <c r="AR488" i="80"/>
  <c r="AF488" i="80"/>
  <c r="AY39" i="80"/>
  <c r="BE39" i="80" s="1"/>
  <c r="AR39" i="80"/>
  <c r="AF39" i="80"/>
  <c r="AY112" i="80"/>
  <c r="BE112" i="80" s="1"/>
  <c r="AR112" i="80"/>
  <c r="AF112" i="80"/>
  <c r="AL27" i="80" a="1"/>
  <c r="AL27" i="80" s="1"/>
  <c r="AY465" i="80"/>
  <c r="BE465" i="80" s="1"/>
  <c r="AR465" i="80"/>
  <c r="AR107" i="80"/>
  <c r="AY107" i="80"/>
  <c r="BE107" i="80" s="1"/>
  <c r="AF107" i="80"/>
  <c r="AN405" i="80"/>
  <c r="AL405" i="80" a="1"/>
  <c r="AL405" i="80" s="1"/>
  <c r="BH405" i="80" s="1"/>
  <c r="AJ405" i="80"/>
  <c r="AI405" i="80"/>
  <c r="AH405" i="80"/>
  <c r="BX405" i="80"/>
  <c r="BX420" i="80"/>
  <c r="AN420" i="80"/>
  <c r="AH420" i="80"/>
  <c r="AL420" i="80" a="1"/>
  <c r="AL420" i="80" s="1"/>
  <c r="BH420" i="80" s="1"/>
  <c r="AJ420" i="80"/>
  <c r="AI420" i="80"/>
  <c r="AF275" i="80"/>
  <c r="AN227" i="80"/>
  <c r="AH227" i="80"/>
  <c r="BX227" i="80"/>
  <c r="AL227" i="80" a="1"/>
  <c r="AL227" i="80" s="1"/>
  <c r="BH227" i="80" s="1"/>
  <c r="AI227" i="80"/>
  <c r="AJ227" i="80"/>
  <c r="AN117" i="80"/>
  <c r="AH117" i="80"/>
  <c r="AL117" i="80" a="1"/>
  <c r="AL117" i="80" s="1"/>
  <c r="BH117" i="80" s="1"/>
  <c r="AJ117" i="80"/>
  <c r="AI117" i="80"/>
  <c r="BX117" i="80"/>
  <c r="AF65" i="80"/>
  <c r="AN297" i="80"/>
  <c r="BX297" i="80"/>
  <c r="AJ297" i="80"/>
  <c r="AI297" i="80"/>
  <c r="AH297" i="80"/>
  <c r="AL297" i="80" a="1"/>
  <c r="AL297" i="80" s="1"/>
  <c r="BH297" i="80" s="1"/>
  <c r="AR397" i="80"/>
  <c r="AY397" i="80"/>
  <c r="BE397" i="80" s="1"/>
  <c r="AF397" i="80"/>
  <c r="AF279" i="80"/>
  <c r="AH187" i="80"/>
  <c r="BX187" i="80"/>
  <c r="AI187" i="80"/>
  <c r="AN187" i="80"/>
  <c r="AL187" i="80" a="1"/>
  <c r="AL187" i="80" s="1"/>
  <c r="BH187" i="80" s="1"/>
  <c r="AJ187" i="80"/>
  <c r="AL182" i="80" a="1"/>
  <c r="AL182" i="80" s="1"/>
  <c r="BH182" i="80" s="1"/>
  <c r="AJ182" i="80"/>
  <c r="BX182" i="80"/>
  <c r="AI182" i="80"/>
  <c r="AH182" i="80"/>
  <c r="AN182" i="80"/>
  <c r="AR425" i="80"/>
  <c r="AY425" i="80"/>
  <c r="BE425" i="80" s="1"/>
  <c r="AF425" i="80"/>
  <c r="AY259" i="80"/>
  <c r="BE259" i="80" s="1"/>
  <c r="AR259" i="80"/>
  <c r="AR338" i="80"/>
  <c r="AY338" i="80"/>
  <c r="BE338" i="80" s="1"/>
  <c r="AR305" i="80"/>
  <c r="AY305" i="80"/>
  <c r="BE305" i="80" s="1"/>
  <c r="AL421" i="80" a="1"/>
  <c r="AL421" i="80" s="1"/>
  <c r="BH421" i="80" s="1"/>
  <c r="AJ421" i="80"/>
  <c r="AH421" i="80"/>
  <c r="AN421" i="80"/>
  <c r="BX421" i="80"/>
  <c r="AI421" i="80"/>
  <c r="AF257" i="80"/>
  <c r="AF300" i="80"/>
  <c r="BG133" i="80"/>
  <c r="BA133" i="80" s="1"/>
  <c r="BB133" i="80" s="1"/>
  <c r="AG133" i="80"/>
  <c r="AF133" i="80" s="1"/>
  <c r="AQ133" i="80"/>
  <c r="AR89" i="80"/>
  <c r="AY89" i="80"/>
  <c r="BE89" i="80" s="1"/>
  <c r="BX305" i="80"/>
  <c r="AL305" i="80" a="1"/>
  <c r="AL305" i="80" s="1"/>
  <c r="BH305" i="80" s="1"/>
  <c r="AH305" i="80"/>
  <c r="AJ305" i="80"/>
  <c r="AI305" i="80"/>
  <c r="AN305" i="80"/>
  <c r="AY242" i="80"/>
  <c r="BE242" i="80" s="1"/>
  <c r="AR242" i="80"/>
  <c r="AY280" i="80"/>
  <c r="BE280" i="80" s="1"/>
  <c r="AR280" i="80"/>
  <c r="AJ24" i="80"/>
  <c r="AI24" i="80"/>
  <c r="AH24" i="80"/>
  <c r="AL24" i="80" a="1"/>
  <c r="AL24" i="80" s="1"/>
  <c r="BX24" i="80"/>
  <c r="AN24" i="80"/>
  <c r="AR109" i="80"/>
  <c r="AY109" i="80"/>
  <c r="BE109" i="80" s="1"/>
  <c r="AR32" i="80"/>
  <c r="AY32" i="80"/>
  <c r="BE32" i="80" s="1"/>
  <c r="BX244" i="80"/>
  <c r="AJ244" i="80"/>
  <c r="AI244" i="80"/>
  <c r="AH244" i="80"/>
  <c r="AN244" i="80"/>
  <c r="AL244" i="80" a="1"/>
  <c r="AL244" i="80" s="1"/>
  <c r="BH244" i="80" s="1"/>
  <c r="AY421" i="79"/>
  <c r="BE421" i="79" s="1"/>
  <c r="AN280" i="79"/>
  <c r="AR519" i="79"/>
  <c r="AY158" i="80"/>
  <c r="BE158" i="80" s="1"/>
  <c r="AR158" i="80"/>
  <c r="AF158" i="80"/>
  <c r="AF22" i="80"/>
  <c r="BG54" i="79"/>
  <c r="BA54" i="79" s="1"/>
  <c r="BD54" i="79" s="1"/>
  <c r="AR54" i="79"/>
  <c r="AH349" i="80"/>
  <c r="AN349" i="80"/>
  <c r="BX349" i="80"/>
  <c r="AJ349" i="80"/>
  <c r="AL349" i="80" a="1"/>
  <c r="AL349" i="80" s="1"/>
  <c r="BH349" i="80" s="1"/>
  <c r="AI349" i="80"/>
  <c r="AN385" i="80"/>
  <c r="AL385" i="80" a="1"/>
  <c r="AL385" i="80" s="1"/>
  <c r="BH385" i="80" s="1"/>
  <c r="AH385" i="80"/>
  <c r="AJ385" i="80"/>
  <c r="AI385" i="80"/>
  <c r="BX385" i="80"/>
  <c r="AY327" i="80"/>
  <c r="BE327" i="80" s="1"/>
  <c r="AR327" i="80"/>
  <c r="BX250" i="80"/>
  <c r="AN250" i="80"/>
  <c r="AL250" i="80" a="1"/>
  <c r="AL250" i="80" s="1"/>
  <c r="BH250" i="80" s="1"/>
  <c r="AJ250" i="80"/>
  <c r="AI250" i="80"/>
  <c r="AH250" i="80"/>
  <c r="AY536" i="80"/>
  <c r="BE536" i="80" s="1"/>
  <c r="AR536" i="80"/>
  <c r="AR476" i="80"/>
  <c r="AY476" i="80"/>
  <c r="BE476" i="80" s="1"/>
  <c r="AR244" i="80"/>
  <c r="AY244" i="80"/>
  <c r="BE244" i="80" s="1"/>
  <c r="AR239" i="79"/>
  <c r="AR154" i="79"/>
  <c r="AR415" i="80"/>
  <c r="AY415" i="80"/>
  <c r="BE415" i="80" s="1"/>
  <c r="AY542" i="80"/>
  <c r="BE542" i="80" s="1"/>
  <c r="AR542" i="80"/>
  <c r="BX184" i="80"/>
  <c r="AN184" i="80"/>
  <c r="AL184" i="80" a="1"/>
  <c r="AL184" i="80" s="1"/>
  <c r="BH184" i="80" s="1"/>
  <c r="AJ184" i="80"/>
  <c r="AI184" i="80"/>
  <c r="AH184" i="80"/>
  <c r="AR195" i="80"/>
  <c r="AY195" i="80"/>
  <c r="BE195" i="80" s="1"/>
  <c r="AY164" i="80"/>
  <c r="BE164" i="80" s="1"/>
  <c r="AR164" i="80"/>
  <c r="AR355" i="80"/>
  <c r="AY355" i="80"/>
  <c r="BE355" i="80" s="1"/>
  <c r="AF355" i="80"/>
  <c r="AL437" i="80" a="1"/>
  <c r="AL437" i="80" s="1"/>
  <c r="BH437" i="80" s="1"/>
  <c r="BX437" i="80"/>
  <c r="AN437" i="80"/>
  <c r="AJ437" i="80"/>
  <c r="AI437" i="80"/>
  <c r="AH437" i="80"/>
  <c r="AR418" i="80"/>
  <c r="AY418" i="80"/>
  <c r="BE418" i="80" s="1"/>
  <c r="AY91" i="80"/>
  <c r="BE91" i="80" s="1"/>
  <c r="AR91" i="80"/>
  <c r="BX448" i="80"/>
  <c r="AI448" i="80"/>
  <c r="AH448" i="80"/>
  <c r="AN448" i="80"/>
  <c r="AL448" i="80" a="1"/>
  <c r="AL448" i="80" s="1"/>
  <c r="BH448" i="80" s="1"/>
  <c r="AJ448" i="80"/>
  <c r="AF453" i="79"/>
  <c r="AH453" i="79" s="1"/>
  <c r="AR548" i="79"/>
  <c r="AY222" i="80"/>
  <c r="BE222" i="80" s="1"/>
  <c r="AR222" i="80"/>
  <c r="AR120" i="80"/>
  <c r="AY272" i="80"/>
  <c r="BE272" i="80" s="1"/>
  <c r="AR272" i="80"/>
  <c r="AY335" i="80"/>
  <c r="BE335" i="80" s="1"/>
  <c r="AR335" i="80"/>
  <c r="AL501" i="80" a="1"/>
  <c r="AL501" i="80" s="1"/>
  <c r="BH501" i="80" s="1"/>
  <c r="AJ501" i="80"/>
  <c r="AI501" i="80"/>
  <c r="BX501" i="80"/>
  <c r="AN501" i="80"/>
  <c r="AH501" i="80"/>
  <c r="AR250" i="80"/>
  <c r="AY250" i="80"/>
  <c r="BE250" i="80" s="1"/>
  <c r="AF476" i="80"/>
  <c r="AY384" i="80"/>
  <c r="BE384" i="80" s="1"/>
  <c r="AR384" i="80"/>
  <c r="AF384" i="80"/>
  <c r="AL347" i="80" a="1"/>
  <c r="AL347" i="80" s="1"/>
  <c r="BH347" i="80" s="1"/>
  <c r="BX347" i="80"/>
  <c r="AJ347" i="80"/>
  <c r="AI347" i="80"/>
  <c r="AH347" i="80"/>
  <c r="AN347" i="80"/>
  <c r="BB130" i="80"/>
  <c r="BD130" i="80"/>
  <c r="AR78" i="80"/>
  <c r="BH41" i="79"/>
  <c r="AY453" i="79"/>
  <c r="BE453" i="79" s="1"/>
  <c r="AM115" i="80"/>
  <c r="AU115" i="80" s="1"/>
  <c r="AZ115" i="80"/>
  <c r="AW115" i="80" a="1"/>
  <c r="AW115" i="80" s="1"/>
  <c r="AP115" i="80"/>
  <c r="BB115" i="80"/>
  <c r="AV115" i="80"/>
  <c r="AO115" i="80"/>
  <c r="AR54" i="80"/>
  <c r="AY54" i="80"/>
  <c r="BE54" i="80" s="1"/>
  <c r="AL174" i="80" a="1"/>
  <c r="AL174" i="80" s="1"/>
  <c r="BH174" i="80" s="1"/>
  <c r="AN174" i="80"/>
  <c r="BX174" i="80"/>
  <c r="AJ174" i="80"/>
  <c r="AI174" i="80"/>
  <c r="AH174" i="80"/>
  <c r="AJ150" i="80"/>
  <c r="AH150" i="80"/>
  <c r="BX150" i="80"/>
  <c r="AL150" i="80" a="1"/>
  <c r="AL150" i="80" s="1"/>
  <c r="BH150" i="80" s="1"/>
  <c r="AI150" i="80"/>
  <c r="AN150" i="80"/>
  <c r="AY160" i="80"/>
  <c r="BE160" i="80" s="1"/>
  <c r="AR160" i="80"/>
  <c r="AL471" i="79" a="1"/>
  <c r="AL471" i="79" s="1"/>
  <c r="BH471" i="79" s="1"/>
  <c r="BX175" i="80"/>
  <c r="AN175" i="80"/>
  <c r="AH175" i="80"/>
  <c r="AJ175" i="80"/>
  <c r="AI175" i="80"/>
  <c r="AL175" i="80" a="1"/>
  <c r="AL175" i="80" s="1"/>
  <c r="BH175" i="80" s="1"/>
  <c r="AL302" i="80" a="1"/>
  <c r="AL302" i="80" s="1"/>
  <c r="BH302" i="80" s="1"/>
  <c r="AI302" i="80"/>
  <c r="AH302" i="80"/>
  <c r="AJ302" i="80"/>
  <c r="BX302" i="80"/>
  <c r="AN302" i="80"/>
  <c r="AI407" i="80"/>
  <c r="AH407" i="80"/>
  <c r="AJ407" i="80"/>
  <c r="AN407" i="80"/>
  <c r="AL407" i="80" a="1"/>
  <c r="AL407" i="80" s="1"/>
  <c r="BH407" i="80" s="1"/>
  <c r="BX407" i="80"/>
  <c r="BX357" i="80"/>
  <c r="AL357" i="80" a="1"/>
  <c r="AL357" i="80" s="1"/>
  <c r="BH357" i="80" s="1"/>
  <c r="AI357" i="80"/>
  <c r="AH357" i="80"/>
  <c r="AJ357" i="80"/>
  <c r="AN357" i="80"/>
  <c r="BX36" i="80"/>
  <c r="AN36" i="80"/>
  <c r="AL36" i="80" a="1"/>
  <c r="AL36" i="80" s="1"/>
  <c r="BH36" i="80" s="1"/>
  <c r="AJ36" i="80"/>
  <c r="AI36" i="80"/>
  <c r="AH36" i="80"/>
  <c r="AR475" i="80"/>
  <c r="AY475" i="80"/>
  <c r="BE475" i="80" s="1"/>
  <c r="BX471" i="79"/>
  <c r="AR328" i="79"/>
  <c r="AR506" i="79"/>
  <c r="AJ541" i="80"/>
  <c r="AI541" i="80"/>
  <c r="AH541" i="80"/>
  <c r="AN541" i="80"/>
  <c r="BX541" i="80"/>
  <c r="AL541" i="80" a="1"/>
  <c r="AL541" i="80" s="1"/>
  <c r="BH541" i="80" s="1"/>
  <c r="BX441" i="80"/>
  <c r="AI441" i="80"/>
  <c r="AH441" i="80"/>
  <c r="AN441" i="80"/>
  <c r="AL441" i="80" a="1"/>
  <c r="AL441" i="80" s="1"/>
  <c r="BH441" i="80" s="1"/>
  <c r="AJ441" i="80"/>
  <c r="AF54" i="80"/>
  <c r="AY93" i="80"/>
  <c r="BE93" i="80" s="1"/>
  <c r="AJ459" i="80"/>
  <c r="AL459" i="80" a="1"/>
  <c r="AL459" i="80" s="1"/>
  <c r="BH459" i="80" s="1"/>
  <c r="AN459" i="80"/>
  <c r="BX459" i="80"/>
  <c r="AI459" i="80"/>
  <c r="AH459" i="80"/>
  <c r="AH316" i="79"/>
  <c r="AY407" i="80"/>
  <c r="BE407" i="80" s="1"/>
  <c r="AR407" i="80"/>
  <c r="AY441" i="80"/>
  <c r="BE441" i="80" s="1"/>
  <c r="AR441" i="80"/>
  <c r="AH320" i="80"/>
  <c r="BX320" i="80"/>
  <c r="AN320" i="80"/>
  <c r="AI320" i="80"/>
  <c r="AJ320" i="80"/>
  <c r="AL320" i="80" a="1"/>
  <c r="AL320" i="80" s="1"/>
  <c r="BH320" i="80" s="1"/>
  <c r="AN291" i="80"/>
  <c r="BX291" i="80"/>
  <c r="AL291" i="80" a="1"/>
  <c r="AL291" i="80" s="1"/>
  <c r="BH291" i="80" s="1"/>
  <c r="AJ291" i="80"/>
  <c r="AI291" i="80"/>
  <c r="AH291" i="80"/>
  <c r="AQ51" i="80"/>
  <c r="BG51" i="80" s="1"/>
  <c r="BA51" i="80" s="1"/>
  <c r="BD51" i="80" s="1"/>
  <c r="AG51" i="80"/>
  <c r="AH393" i="80"/>
  <c r="AN393" i="80"/>
  <c r="BX393" i="80"/>
  <c r="AJ393" i="80"/>
  <c r="AL393" i="80" a="1"/>
  <c r="AL393" i="80" s="1"/>
  <c r="BH393" i="80" s="1"/>
  <c r="AI393" i="80"/>
  <c r="AN323" i="80"/>
  <c r="BX323" i="80"/>
  <c r="AJ323" i="80"/>
  <c r="AI323" i="80"/>
  <c r="AL323" i="80" a="1"/>
  <c r="AL323" i="80" s="1"/>
  <c r="BH323" i="80" s="1"/>
  <c r="AH323" i="80"/>
  <c r="AF393" i="79"/>
  <c r="BX393" i="79" s="1"/>
  <c r="AN430" i="79"/>
  <c r="AN316" i="79"/>
  <c r="AI509" i="79"/>
  <c r="AF392" i="80"/>
  <c r="AI70" i="80"/>
  <c r="AH70" i="80"/>
  <c r="BX70" i="80"/>
  <c r="AL70" i="80" a="1"/>
  <c r="AL70" i="80" s="1"/>
  <c r="BH70" i="80" s="1"/>
  <c r="AN70" i="80"/>
  <c r="AJ70" i="80"/>
  <c r="AY461" i="80"/>
  <c r="BE461" i="80" s="1"/>
  <c r="AR461" i="80"/>
  <c r="AR325" i="80"/>
  <c r="AY325" i="80"/>
  <c r="BE325" i="80" s="1"/>
  <c r="AR320" i="80"/>
  <c r="AY320" i="80"/>
  <c r="BE320" i="80" s="1"/>
  <c r="AQ146" i="80"/>
  <c r="BG146" i="80" s="1"/>
  <c r="BA146" i="80" s="1"/>
  <c r="BD146" i="80" s="1"/>
  <c r="AG146" i="80"/>
  <c r="AF146" i="80" s="1"/>
  <c r="BX338" i="80"/>
  <c r="AN338" i="80"/>
  <c r="AJ338" i="80"/>
  <c r="AI338" i="80"/>
  <c r="AL338" i="80" a="1"/>
  <c r="AL338" i="80" s="1"/>
  <c r="BH338" i="80" s="1"/>
  <c r="AH338" i="80"/>
  <c r="AR457" i="80"/>
  <c r="AY457" i="80"/>
  <c r="BE457" i="80" s="1"/>
  <c r="AF39" i="79"/>
  <c r="AI39" i="79" s="1"/>
  <c r="AN264" i="79"/>
  <c r="BX548" i="79"/>
  <c r="AF395" i="79"/>
  <c r="AJ395" i="79" s="1"/>
  <c r="AR395" i="79"/>
  <c r="BG452" i="79"/>
  <c r="BA452" i="79" s="1"/>
  <c r="BD452" i="79" s="1"/>
  <c r="AR452" i="79"/>
  <c r="AY449" i="79"/>
  <c r="BE449" i="79" s="1"/>
  <c r="AR449" i="79"/>
  <c r="AF449" i="79"/>
  <c r="AI449" i="79" s="1"/>
  <c r="BX304" i="80"/>
  <c r="AL304" i="80" a="1"/>
  <c r="AL304" i="80" s="1"/>
  <c r="BH304" i="80" s="1"/>
  <c r="AJ304" i="80"/>
  <c r="AI304" i="80"/>
  <c r="AH304" i="80"/>
  <c r="AN304" i="80"/>
  <c r="AN303" i="80"/>
  <c r="AL303" i="80" a="1"/>
  <c r="AL303" i="80" s="1"/>
  <c r="BH303" i="80" s="1"/>
  <c r="AJ303" i="80"/>
  <c r="AH303" i="80"/>
  <c r="AI303" i="80"/>
  <c r="BX303" i="80"/>
  <c r="AR204" i="80"/>
  <c r="AY204" i="80"/>
  <c r="BE204" i="80" s="1"/>
  <c r="AR405" i="80"/>
  <c r="AY405" i="80"/>
  <c r="BE405" i="80" s="1"/>
  <c r="AJ38" i="80"/>
  <c r="AI38" i="80"/>
  <c r="BX38" i="80"/>
  <c r="AL38" i="80" a="1"/>
  <c r="AL38" i="80" s="1"/>
  <c r="BH38" i="80" s="1"/>
  <c r="AH38" i="80"/>
  <c r="AN38" i="80"/>
  <c r="AJ540" i="80"/>
  <c r="AN540" i="80"/>
  <c r="BX540" i="80"/>
  <c r="AL540" i="80" a="1"/>
  <c r="AL540" i="80" s="1"/>
  <c r="BH540" i="80" s="1"/>
  <c r="AI540" i="80"/>
  <c r="AH540" i="80"/>
  <c r="AR227" i="80"/>
  <c r="AY227" i="80"/>
  <c r="BE227" i="80" s="1"/>
  <c r="AR406" i="80"/>
  <c r="AY406" i="80"/>
  <c r="BE406" i="80" s="1"/>
  <c r="AF406" i="80"/>
  <c r="AI90" i="80"/>
  <c r="AH90" i="80"/>
  <c r="AN90" i="80"/>
  <c r="AJ90" i="80"/>
  <c r="BX90" i="80"/>
  <c r="AL90" i="80" a="1"/>
  <c r="AL90" i="80" s="1"/>
  <c r="BH90" i="80" s="1"/>
  <c r="AR297" i="80"/>
  <c r="AY297" i="80"/>
  <c r="BE297" i="80" s="1"/>
  <c r="AY379" i="80"/>
  <c r="BE379" i="80" s="1"/>
  <c r="AR379" i="80"/>
  <c r="AF379" i="80"/>
  <c r="AY34" i="80"/>
  <c r="BE34" i="80" s="1"/>
  <c r="AF254" i="80"/>
  <c r="AY187" i="80"/>
  <c r="BE187" i="80" s="1"/>
  <c r="AR187" i="80"/>
  <c r="AR528" i="80"/>
  <c r="AY528" i="80"/>
  <c r="BE528" i="80" s="1"/>
  <c r="AF528" i="80"/>
  <c r="BD126" i="80"/>
  <c r="AR201" i="80"/>
  <c r="AY201" i="80"/>
  <c r="BE201" i="80" s="1"/>
  <c r="AR486" i="80"/>
  <c r="AY486" i="80"/>
  <c r="BE486" i="80" s="1"/>
  <c r="AR125" i="80"/>
  <c r="AF125" i="80"/>
  <c r="AR459" i="80"/>
  <c r="AY459" i="80"/>
  <c r="BE459" i="80" s="1"/>
  <c r="AY421" i="80"/>
  <c r="BE421" i="80" s="1"/>
  <c r="AR421" i="80"/>
  <c r="AY549" i="80"/>
  <c r="BE549" i="80" s="1"/>
  <c r="AR549" i="80"/>
  <c r="AF549" i="80"/>
  <c r="AL270" i="80" a="1"/>
  <c r="AL270" i="80" s="1"/>
  <c r="BH270" i="80" s="1"/>
  <c r="BX270" i="80"/>
  <c r="AN270" i="80"/>
  <c r="AJ270" i="80"/>
  <c r="AI270" i="80"/>
  <c r="AH270" i="80"/>
  <c r="AY176" i="80"/>
  <c r="BE176" i="80" s="1"/>
  <c r="AR176" i="80"/>
  <c r="AF176" i="80"/>
  <c r="BX116" i="80"/>
  <c r="AN116" i="80"/>
  <c r="AI116" i="80"/>
  <c r="AH116" i="80"/>
  <c r="AL116" i="80" a="1"/>
  <c r="AL116" i="80" s="1"/>
  <c r="BH116" i="80" s="1"/>
  <c r="AJ116" i="80"/>
  <c r="AY442" i="80"/>
  <c r="BE442" i="80" s="1"/>
  <c r="AR442" i="80"/>
  <c r="AF442" i="80"/>
  <c r="AR496" i="80"/>
  <c r="AY496" i="80"/>
  <c r="BE496" i="80" s="1"/>
  <c r="AF496" i="80"/>
  <c r="AJ252" i="80"/>
  <c r="AI252" i="80"/>
  <c r="AH252" i="80"/>
  <c r="AN252" i="80"/>
  <c r="BX252" i="80"/>
  <c r="AL252" i="80" a="1"/>
  <c r="AL252" i="80" s="1"/>
  <c r="BH252" i="80" s="1"/>
  <c r="BX351" i="80"/>
  <c r="AJ351" i="80"/>
  <c r="AI351" i="80"/>
  <c r="AL351" i="80" a="1"/>
  <c r="AL351" i="80" s="1"/>
  <c r="BH351" i="80" s="1"/>
  <c r="AH351" i="80"/>
  <c r="AN351" i="80"/>
  <c r="BX382" i="80"/>
  <c r="AL382" i="80" a="1"/>
  <c r="AL382" i="80" s="1"/>
  <c r="BH382" i="80" s="1"/>
  <c r="AJ382" i="80"/>
  <c r="AH382" i="80"/>
  <c r="AN382" i="80"/>
  <c r="AI382" i="80"/>
  <c r="AY328" i="80"/>
  <c r="BE328" i="80" s="1"/>
  <c r="AR328" i="80"/>
  <c r="BX523" i="80"/>
  <c r="AH523" i="80"/>
  <c r="AI523" i="80"/>
  <c r="AN523" i="80"/>
  <c r="AL523" i="80" a="1"/>
  <c r="AL523" i="80" s="1"/>
  <c r="BH523" i="80" s="1"/>
  <c r="AJ523" i="80"/>
  <c r="BX359" i="80"/>
  <c r="AN359" i="80"/>
  <c r="AL359" i="80" a="1"/>
  <c r="AL359" i="80" s="1"/>
  <c r="BH359" i="80" s="1"/>
  <c r="AJ359" i="80"/>
  <c r="AI359" i="80"/>
  <c r="AH359" i="80"/>
  <c r="AN389" i="80"/>
  <c r="AJ389" i="80"/>
  <c r="AI389" i="80"/>
  <c r="AH389" i="80"/>
  <c r="BX389" i="80"/>
  <c r="AL389" i="80" a="1"/>
  <c r="AL389" i="80" s="1"/>
  <c r="BH389" i="80" s="1"/>
  <c r="AR60" i="80"/>
  <c r="AY60" i="80"/>
  <c r="BE60" i="80" s="1"/>
  <c r="AQ141" i="80"/>
  <c r="BG141" i="80" s="1"/>
  <c r="BA141" i="80" s="1"/>
  <c r="BD141" i="80" s="1"/>
  <c r="AG141" i="80"/>
  <c r="BX435" i="80"/>
  <c r="AL435" i="80" a="1"/>
  <c r="AL435" i="80" s="1"/>
  <c r="BH435" i="80" s="1"/>
  <c r="AJ435" i="80"/>
  <c r="AN435" i="80"/>
  <c r="AH435" i="80"/>
  <c r="AI435" i="80"/>
  <c r="AR217" i="80"/>
  <c r="AY217" i="80"/>
  <c r="BE217" i="80" s="1"/>
  <c r="BD127" i="80"/>
  <c r="AR307" i="80"/>
  <c r="AY307" i="80"/>
  <c r="BE307" i="80" s="1"/>
  <c r="AF307" i="80"/>
  <c r="AF364" i="80"/>
  <c r="AN88" i="80"/>
  <c r="AL88" i="80" a="1"/>
  <c r="AL88" i="80" s="1"/>
  <c r="BH88" i="80" s="1"/>
  <c r="BX88" i="80"/>
  <c r="AJ88" i="80"/>
  <c r="AI88" i="80"/>
  <c r="AH88" i="80"/>
  <c r="AG53" i="80"/>
  <c r="AF53" i="80" s="1"/>
  <c r="AQ53" i="80"/>
  <c r="BG53" i="80" s="1"/>
  <c r="BA53" i="80" s="1"/>
  <c r="BD53" i="80" s="1"/>
  <c r="AR455" i="80"/>
  <c r="AY455" i="80"/>
  <c r="BE455" i="80" s="1"/>
  <c r="AY171" i="80"/>
  <c r="BE171" i="80" s="1"/>
  <c r="AR171" i="80"/>
  <c r="AF75" i="80"/>
  <c r="AR106" i="80"/>
  <c r="AY106" i="80"/>
  <c r="BE106" i="80" s="1"/>
  <c r="AF106" i="80"/>
  <c r="AJ210" i="80"/>
  <c r="AI210" i="80"/>
  <c r="AH210" i="80"/>
  <c r="AL210" i="80" a="1"/>
  <c r="AL210" i="80" s="1"/>
  <c r="BH210" i="80" s="1"/>
  <c r="BX210" i="80"/>
  <c r="AN210" i="80"/>
  <c r="BX280" i="80"/>
  <c r="AN280" i="80"/>
  <c r="AI280" i="80"/>
  <c r="AH280" i="80"/>
  <c r="AL280" i="80" a="1"/>
  <c r="AL280" i="80" s="1"/>
  <c r="BH280" i="80" s="1"/>
  <c r="AJ280" i="80"/>
  <c r="AF315" i="80"/>
  <c r="AH504" i="80"/>
  <c r="BX504" i="80"/>
  <c r="AI504" i="80"/>
  <c r="AL504" i="80" a="1"/>
  <c r="AL504" i="80" s="1"/>
  <c r="BH504" i="80" s="1"/>
  <c r="AN504" i="80"/>
  <c r="AJ504" i="80"/>
  <c r="AY111" i="80"/>
  <c r="BE111" i="80" s="1"/>
  <c r="AR111" i="80"/>
  <c r="AR451" i="80"/>
  <c r="AY451" i="80"/>
  <c r="BE451" i="80" s="1"/>
  <c r="AR88" i="80"/>
  <c r="AY88" i="80"/>
  <c r="BE88" i="80" s="1"/>
  <c r="AR371" i="80"/>
  <c r="AY371" i="80"/>
  <c r="BE371" i="80" s="1"/>
  <c r="AR71" i="80"/>
  <c r="AF71" i="80"/>
  <c r="AN524" i="80"/>
  <c r="AL524" i="80" a="1"/>
  <c r="AL524" i="80" s="1"/>
  <c r="BH524" i="80" s="1"/>
  <c r="AI524" i="80"/>
  <c r="AJ524" i="80"/>
  <c r="AH524" i="80"/>
  <c r="BX524" i="80"/>
  <c r="AY359" i="80"/>
  <c r="BE359" i="80" s="1"/>
  <c r="AR359" i="80"/>
  <c r="BX508" i="80"/>
  <c r="AL508" i="80" a="1"/>
  <c r="AL508" i="80" s="1"/>
  <c r="BH508" i="80" s="1"/>
  <c r="AJ508" i="80"/>
  <c r="AN508" i="80"/>
  <c r="AI508" i="80"/>
  <c r="AH508" i="80"/>
  <c r="AY58" i="80"/>
  <c r="BE58" i="80" s="1"/>
  <c r="AR58" i="80"/>
  <c r="AN193" i="80"/>
  <c r="AJ193" i="80"/>
  <c r="AI193" i="80"/>
  <c r="BX193" i="80"/>
  <c r="AH193" i="80"/>
  <c r="AL193" i="80" a="1"/>
  <c r="AL193" i="80" s="1"/>
  <c r="BH193" i="80" s="1"/>
  <c r="AN481" i="80"/>
  <c r="AL481" i="80" a="1"/>
  <c r="AL481" i="80" s="1"/>
  <c r="BH481" i="80" s="1"/>
  <c r="AI481" i="80"/>
  <c r="BX481" i="80"/>
  <c r="AJ481" i="80"/>
  <c r="AH481" i="80"/>
  <c r="AR220" i="80"/>
  <c r="AY220" i="80"/>
  <c r="BE220" i="80" s="1"/>
  <c r="AI41" i="80"/>
  <c r="AH41" i="80"/>
  <c r="AN41" i="80"/>
  <c r="BX41" i="80"/>
  <c r="AJ41" i="80"/>
  <c r="AL41" i="80" a="1"/>
  <c r="AL41" i="80" s="1"/>
  <c r="BH41" i="80" s="1"/>
  <c r="BX539" i="80"/>
  <c r="AN539" i="80"/>
  <c r="AJ539" i="80"/>
  <c r="AI539" i="80"/>
  <c r="AH539" i="80"/>
  <c r="AL539" i="80" a="1"/>
  <c r="AL539" i="80" s="1"/>
  <c r="BH539" i="80" s="1"/>
  <c r="AN514" i="80"/>
  <c r="BX514" i="80"/>
  <c r="AI514" i="80"/>
  <c r="AH514" i="80"/>
  <c r="AL514" i="80" a="1"/>
  <c r="AL514" i="80" s="1"/>
  <c r="BH514" i="80" s="1"/>
  <c r="AJ514" i="80"/>
  <c r="AF23" i="80"/>
  <c r="AL453" i="80" a="1"/>
  <c r="AL453" i="80" s="1"/>
  <c r="BH453" i="80" s="1"/>
  <c r="AI453" i="80"/>
  <c r="BX453" i="80"/>
  <c r="AJ453" i="80"/>
  <c r="AN453" i="80"/>
  <c r="AH453" i="80"/>
  <c r="BX309" i="80"/>
  <c r="AN309" i="80"/>
  <c r="AL309" i="80" a="1"/>
  <c r="AL309" i="80" s="1"/>
  <c r="BH309" i="80" s="1"/>
  <c r="AJ309" i="80"/>
  <c r="AI309" i="80"/>
  <c r="AH309" i="80"/>
  <c r="AN46" i="80"/>
  <c r="AJ46" i="80"/>
  <c r="AI46" i="80"/>
  <c r="AH46" i="80"/>
  <c r="BX46" i="80"/>
  <c r="AL46" i="80" a="1"/>
  <c r="AL46" i="80" s="1"/>
  <c r="BH46" i="80" s="1"/>
  <c r="AF520" i="80"/>
  <c r="AJ164" i="80"/>
  <c r="AI164" i="80"/>
  <c r="AH164" i="80"/>
  <c r="BX164" i="80"/>
  <c r="AN164" i="80"/>
  <c r="AL164" i="80" a="1"/>
  <c r="AL164" i="80" s="1"/>
  <c r="BH164" i="80" s="1"/>
  <c r="AR55" i="80"/>
  <c r="AY55" i="80"/>
  <c r="BE55" i="80" s="1"/>
  <c r="AR43" i="80"/>
  <c r="AY43" i="80"/>
  <c r="BE43" i="80" s="1"/>
  <c r="AF111" i="80"/>
  <c r="BX418" i="80"/>
  <c r="AL418" i="80" a="1"/>
  <c r="AL418" i="80" s="1"/>
  <c r="BH418" i="80" s="1"/>
  <c r="AJ418" i="80"/>
  <c r="AN418" i="80"/>
  <c r="AI418" i="80"/>
  <c r="AH418" i="80"/>
  <c r="AN91" i="80"/>
  <c r="AH91" i="80"/>
  <c r="AL91" i="80" a="1"/>
  <c r="AL91" i="80" s="1"/>
  <c r="BH91" i="80" s="1"/>
  <c r="AJ91" i="80"/>
  <c r="AI91" i="80"/>
  <c r="BX91" i="80"/>
  <c r="AJ280" i="79"/>
  <c r="AI222" i="80"/>
  <c r="AH222" i="80"/>
  <c r="BX222" i="80"/>
  <c r="AL222" i="80" a="1"/>
  <c r="AL222" i="80" s="1"/>
  <c r="BH222" i="80" s="1"/>
  <c r="AN222" i="80"/>
  <c r="AJ222" i="80"/>
  <c r="BX494" i="80"/>
  <c r="AJ494" i="80"/>
  <c r="AI494" i="80"/>
  <c r="AH494" i="80"/>
  <c r="AN494" i="80"/>
  <c r="AL494" i="80" a="1"/>
  <c r="AL494" i="80" s="1"/>
  <c r="BH494" i="80" s="1"/>
  <c r="BX226" i="80"/>
  <c r="AN226" i="80"/>
  <c r="AI226" i="80"/>
  <c r="AH226" i="80"/>
  <c r="AJ226" i="80"/>
  <c r="AL226" i="80" a="1"/>
  <c r="AL226" i="80" s="1"/>
  <c r="BH226" i="80" s="1"/>
  <c r="BX120" i="80"/>
  <c r="AH120" i="80"/>
  <c r="AL120" i="80" a="1"/>
  <c r="AL120" i="80" s="1"/>
  <c r="AJ120" i="80"/>
  <c r="AI120" i="80"/>
  <c r="AN120" i="80"/>
  <c r="BX272" i="80"/>
  <c r="AH272" i="80"/>
  <c r="AL272" i="80" a="1"/>
  <c r="AL272" i="80" s="1"/>
  <c r="BH272" i="80" s="1"/>
  <c r="AJ272" i="80"/>
  <c r="AN272" i="80"/>
  <c r="AI272" i="80"/>
  <c r="AR309" i="80"/>
  <c r="AY309" i="80"/>
  <c r="BE309" i="80" s="1"/>
  <c r="AY349" i="80"/>
  <c r="BE349" i="80" s="1"/>
  <c r="AR349" i="80"/>
  <c r="AY430" i="80"/>
  <c r="BE430" i="80" s="1"/>
  <c r="AR430" i="80"/>
  <c r="AY264" i="80"/>
  <c r="BE264" i="80" s="1"/>
  <c r="AR264" i="80"/>
  <c r="AF264" i="80"/>
  <c r="AG95" i="80"/>
  <c r="AF95" i="80" s="1"/>
  <c r="AQ95" i="80"/>
  <c r="BG95" i="80" s="1"/>
  <c r="BA95" i="80" s="1"/>
  <c r="BD95" i="80" s="1"/>
  <c r="BG229" i="79"/>
  <c r="BA229" i="79" s="1"/>
  <c r="BD229" i="79" s="1"/>
  <c r="AR229" i="79"/>
  <c r="AR132" i="80"/>
  <c r="AF132" i="80"/>
  <c r="BX160" i="80"/>
  <c r="AJ160" i="80"/>
  <c r="AN160" i="80"/>
  <c r="AL160" i="80" a="1"/>
  <c r="AL160" i="80" s="1"/>
  <c r="BH160" i="80" s="1"/>
  <c r="AI160" i="80"/>
  <c r="AH160" i="80"/>
  <c r="AR136" i="80"/>
  <c r="AY136" i="80"/>
  <c r="BE136" i="80" s="1"/>
  <c r="AF136" i="80"/>
  <c r="AN475" i="80"/>
  <c r="AI475" i="80"/>
  <c r="AL475" i="80" a="1"/>
  <c r="AL475" i="80" s="1"/>
  <c r="BH475" i="80" s="1"/>
  <c r="AJ475" i="80"/>
  <c r="AH475" i="80"/>
  <c r="BX475" i="80"/>
  <c r="AL350" i="80" a="1"/>
  <c r="AL350" i="80" s="1"/>
  <c r="BH350" i="80" s="1"/>
  <c r="AH350" i="80"/>
  <c r="AN350" i="80"/>
  <c r="AI350" i="80"/>
  <c r="BX350" i="80"/>
  <c r="AJ350" i="80"/>
  <c r="AF415" i="80"/>
  <c r="AR50" i="80"/>
  <c r="AY50" i="80"/>
  <c r="BE50" i="80" s="1"/>
  <c r="AR481" i="80"/>
  <c r="AY481" i="80"/>
  <c r="BE481" i="80" s="1"/>
  <c r="AF220" i="80"/>
  <c r="AH473" i="80"/>
  <c r="BX473" i="80"/>
  <c r="AL473" i="80" a="1"/>
  <c r="AL473" i="80" s="1"/>
  <c r="BH473" i="80" s="1"/>
  <c r="AN473" i="80"/>
  <c r="AJ473" i="80"/>
  <c r="AI473" i="80"/>
  <c r="BX464" i="80"/>
  <c r="AJ464" i="80"/>
  <c r="AI464" i="80"/>
  <c r="AN464" i="80"/>
  <c r="AL464" i="80" a="1"/>
  <c r="AL464" i="80" s="1"/>
  <c r="BH464" i="80" s="1"/>
  <c r="AH464" i="80"/>
  <c r="BX102" i="80"/>
  <c r="AN102" i="80"/>
  <c r="AI102" i="80"/>
  <c r="AH102" i="80"/>
  <c r="AL102" i="80" a="1"/>
  <c r="AL102" i="80" s="1"/>
  <c r="BH102" i="80" s="1"/>
  <c r="AJ102" i="80"/>
  <c r="AF390" i="80"/>
  <c r="AQ45" i="80"/>
  <c r="BG45" i="80" s="1"/>
  <c r="BA45" i="80" s="1"/>
  <c r="BD45" i="80" s="1"/>
  <c r="AG45" i="80"/>
  <c r="AF45" i="80" s="1"/>
  <c r="AH62" i="80"/>
  <c r="BX62" i="80"/>
  <c r="AN62" i="80"/>
  <c r="AL62" i="80" a="1"/>
  <c r="AL62" i="80" s="1"/>
  <c r="BH62" i="80" s="1"/>
  <c r="AJ62" i="80"/>
  <c r="AI62" i="80"/>
  <c r="AH317" i="80"/>
  <c r="AN317" i="80"/>
  <c r="BX317" i="80"/>
  <c r="AI317" i="80"/>
  <c r="AL317" i="80" a="1"/>
  <c r="AL317" i="80" s="1"/>
  <c r="BH317" i="80" s="1"/>
  <c r="AJ317" i="80"/>
  <c r="AF78" i="80"/>
  <c r="AR509" i="79"/>
  <c r="AR223" i="79"/>
  <c r="AY158" i="79"/>
  <c r="BE158" i="79" s="1"/>
  <c r="AF158" i="79"/>
  <c r="AN158" i="79" s="1"/>
  <c r="AI387" i="80"/>
  <c r="AJ387" i="80"/>
  <c r="AH387" i="80"/>
  <c r="BX387" i="80"/>
  <c r="AL387" i="80" a="1"/>
  <c r="AL387" i="80" s="1"/>
  <c r="BH387" i="80" s="1"/>
  <c r="AN387" i="80"/>
  <c r="AR363" i="80"/>
  <c r="AY363" i="80"/>
  <c r="BE363" i="80" s="1"/>
  <c r="AH57" i="80"/>
  <c r="AL57" i="80" a="1"/>
  <c r="AL57" i="80" s="1"/>
  <c r="BH57" i="80" s="1"/>
  <c r="AI57" i="80"/>
  <c r="AN57" i="80"/>
  <c r="AJ57" i="80"/>
  <c r="BX57" i="80"/>
  <c r="AY436" i="80"/>
  <c r="BE436" i="80" s="1"/>
  <c r="AR436" i="80"/>
  <c r="AF436" i="80"/>
  <c r="AY501" i="80"/>
  <c r="BE501" i="80" s="1"/>
  <c r="AR501" i="80"/>
  <c r="AH333" i="80"/>
  <c r="AI333" i="80"/>
  <c r="AN333" i="80"/>
  <c r="AL333" i="80" a="1"/>
  <c r="AL333" i="80" s="1"/>
  <c r="BH333" i="80" s="1"/>
  <c r="AJ333" i="80"/>
  <c r="BX333" i="80"/>
  <c r="AN409" i="80"/>
  <c r="BX409" i="80"/>
  <c r="AL409" i="80" a="1"/>
  <c r="AL409" i="80" s="1"/>
  <c r="BH409" i="80" s="1"/>
  <c r="AI409" i="80"/>
  <c r="AH409" i="80"/>
  <c r="AJ409" i="80"/>
  <c r="AY150" i="80"/>
  <c r="BE150" i="80" s="1"/>
  <c r="AR150" i="80"/>
  <c r="AY317" i="80"/>
  <c r="BE317" i="80" s="1"/>
  <c r="AR317" i="80"/>
  <c r="AL181" i="80" a="1"/>
  <c r="AL181" i="80" s="1"/>
  <c r="BH181" i="80" s="1"/>
  <c r="AJ181" i="80"/>
  <c r="AI181" i="80"/>
  <c r="AH181" i="80"/>
  <c r="AN181" i="80"/>
  <c r="BX181" i="80"/>
  <c r="AN509" i="79"/>
  <c r="BH317" i="79"/>
  <c r="AY387" i="80"/>
  <c r="BE387" i="80" s="1"/>
  <c r="AR387" i="80"/>
  <c r="AR302" i="80"/>
  <c r="AY302" i="80"/>
  <c r="BE302" i="80" s="1"/>
  <c r="AR234" i="80"/>
  <c r="AY234" i="80"/>
  <c r="BE234" i="80" s="1"/>
  <c r="AN59" i="80"/>
  <c r="AL59" i="80" a="1"/>
  <c r="AL59" i="80" s="1"/>
  <c r="BH59" i="80" s="1"/>
  <c r="AJ59" i="80"/>
  <c r="BX59" i="80"/>
  <c r="AH59" i="80"/>
  <c r="AI59" i="80"/>
  <c r="AR409" i="80"/>
  <c r="AY409" i="80"/>
  <c r="BE409" i="80" s="1"/>
  <c r="AN241" i="80"/>
  <c r="AH241" i="80"/>
  <c r="BX241" i="80"/>
  <c r="AL241" i="80" a="1"/>
  <c r="AL241" i="80" s="1"/>
  <c r="BH241" i="80" s="1"/>
  <c r="AI241" i="80"/>
  <c r="AJ241" i="80"/>
  <c r="BX457" i="80"/>
  <c r="AI457" i="80"/>
  <c r="AL457" i="80" a="1"/>
  <c r="AL457" i="80" s="1"/>
  <c r="BH457" i="80" s="1"/>
  <c r="AN457" i="80"/>
  <c r="AH457" i="80"/>
  <c r="AJ457" i="80"/>
  <c r="AR110" i="80"/>
  <c r="AY110" i="80"/>
  <c r="BE110" i="80" s="1"/>
  <c r="AF110" i="80"/>
  <c r="AR462" i="79"/>
  <c r="AH509" i="79"/>
  <c r="AH67" i="80"/>
  <c r="AJ67" i="80"/>
  <c r="AI67" i="80"/>
  <c r="BX67" i="80"/>
  <c r="AN67" i="80"/>
  <c r="AL67" i="80" a="1"/>
  <c r="AL67" i="80" s="1"/>
  <c r="BH67" i="80" s="1"/>
  <c r="AR209" i="80"/>
  <c r="AY209" i="80"/>
  <c r="BE209" i="80" s="1"/>
  <c r="AY541" i="80"/>
  <c r="BE541" i="80" s="1"/>
  <c r="AR541" i="80"/>
  <c r="AY346" i="80"/>
  <c r="BE346" i="80" s="1"/>
  <c r="AR346" i="80"/>
  <c r="AF346" i="80"/>
  <c r="AR243" i="80"/>
  <c r="AY243" i="80"/>
  <c r="BE243" i="80" s="1"/>
  <c r="AR345" i="80"/>
  <c r="AY345" i="80"/>
  <c r="BE345" i="80" s="1"/>
  <c r="AR153" i="80"/>
  <c r="AY153" i="80"/>
  <c r="BE153" i="80" s="1"/>
  <c r="AF153" i="80"/>
  <c r="AY499" i="80"/>
  <c r="BE499" i="80" s="1"/>
  <c r="AR499" i="80"/>
  <c r="AF499" i="80"/>
  <c r="AR256" i="80"/>
  <c r="AY256" i="80"/>
  <c r="BE256" i="80" s="1"/>
  <c r="AL190" i="80" a="1"/>
  <c r="AL190" i="80" s="1"/>
  <c r="BH190" i="80" s="1"/>
  <c r="AI190" i="80"/>
  <c r="AH190" i="80"/>
  <c r="BX190" i="80"/>
  <c r="AJ190" i="80"/>
  <c r="AN190" i="80"/>
  <c r="AQ52" i="80"/>
  <c r="BG52" i="80" s="1"/>
  <c r="BA52" i="80" s="1"/>
  <c r="BD52" i="80" s="1"/>
  <c r="AG52" i="80"/>
  <c r="AF52" i="80" s="1"/>
  <c r="BX40" i="80"/>
  <c r="AI40" i="80"/>
  <c r="AH40" i="80"/>
  <c r="AN40" i="80"/>
  <c r="AL40" i="80" a="1"/>
  <c r="AL40" i="80" s="1"/>
  <c r="BH40" i="80" s="1"/>
  <c r="AJ40" i="80"/>
  <c r="AH465" i="80"/>
  <c r="AN465" i="80"/>
  <c r="AJ465" i="80"/>
  <c r="AI465" i="80"/>
  <c r="AL465" i="80" a="1"/>
  <c r="AL465" i="80" s="1"/>
  <c r="BH465" i="80" s="1"/>
  <c r="BX465" i="80"/>
  <c r="BX89" i="80"/>
  <c r="AN89" i="80"/>
  <c r="AI89" i="80"/>
  <c r="AH89" i="80"/>
  <c r="AL89" i="80" a="1"/>
  <c r="AL89" i="80" s="1"/>
  <c r="BH89" i="80" s="1"/>
  <c r="AJ89" i="80"/>
  <c r="AH264" i="79"/>
  <c r="AH548" i="79"/>
  <c r="AR39" i="79"/>
  <c r="BG97" i="79"/>
  <c r="BA97" i="79" s="1"/>
  <c r="BD97" i="79" s="1"/>
  <c r="BG234" i="79"/>
  <c r="BA234" i="79" s="1"/>
  <c r="BD234" i="79" s="1"/>
  <c r="AR234" i="79"/>
  <c r="BG326" i="79"/>
  <c r="BA326" i="79" s="1"/>
  <c r="BD326" i="79" s="1"/>
  <c r="AR326" i="79"/>
  <c r="AI292" i="80"/>
  <c r="AH292" i="80"/>
  <c r="AN292" i="80"/>
  <c r="AL292" i="80" a="1"/>
  <c r="AL292" i="80" s="1"/>
  <c r="BH292" i="80" s="1"/>
  <c r="AJ292" i="80"/>
  <c r="BX292" i="80"/>
  <c r="AR342" i="80"/>
  <c r="AY342" i="80"/>
  <c r="BE342" i="80" s="1"/>
  <c r="AY517" i="80"/>
  <c r="BE517" i="80" s="1"/>
  <c r="AR517" i="80"/>
  <c r="AI483" i="80"/>
  <c r="AN483" i="80"/>
  <c r="AJ483" i="80"/>
  <c r="AH483" i="80"/>
  <c r="BX483" i="80"/>
  <c r="AL483" i="80" a="1"/>
  <c r="AL483" i="80" s="1"/>
  <c r="BH483" i="80" s="1"/>
  <c r="AR369" i="80"/>
  <c r="AY369" i="80"/>
  <c r="BE369" i="80" s="1"/>
  <c r="AF369" i="80"/>
  <c r="AF221" i="80"/>
  <c r="AR341" i="80"/>
  <c r="AY341" i="80"/>
  <c r="BE341" i="80" s="1"/>
  <c r="AF183" i="80"/>
  <c r="AF286" i="80"/>
  <c r="BG343" i="79"/>
  <c r="BA343" i="79" s="1"/>
  <c r="BD343" i="79" s="1"/>
  <c r="AR343" i="79"/>
  <c r="AI34" i="80"/>
  <c r="AH34" i="80"/>
  <c r="AN34" i="80"/>
  <c r="AL34" i="80" a="1"/>
  <c r="AL34" i="80" s="1"/>
  <c r="AJ34" i="80"/>
  <c r="BX34" i="80"/>
  <c r="AJ134" i="80"/>
  <c r="AI134" i="80"/>
  <c r="AL134" i="80" a="1"/>
  <c r="AL134" i="80" s="1"/>
  <c r="BH134" i="80" s="1"/>
  <c r="AH134" i="80"/>
  <c r="AN134" i="80"/>
  <c r="BX134" i="80"/>
  <c r="AY274" i="80"/>
  <c r="BE274" i="80" s="1"/>
  <c r="AR274" i="80"/>
  <c r="AN201" i="80"/>
  <c r="BX201" i="80"/>
  <c r="AJ201" i="80"/>
  <c r="AI201" i="80"/>
  <c r="AL201" i="80" a="1"/>
  <c r="AL201" i="80" s="1"/>
  <c r="BH201" i="80" s="1"/>
  <c r="AH201" i="80"/>
  <c r="AF85" i="80"/>
  <c r="AN282" i="80"/>
  <c r="BX282" i="80"/>
  <c r="AH282" i="80"/>
  <c r="AJ282" i="80"/>
  <c r="AI282" i="80"/>
  <c r="AL282" i="80" a="1"/>
  <c r="AL282" i="80" s="1"/>
  <c r="BH282" i="80" s="1"/>
  <c r="AL486" i="80" a="1"/>
  <c r="AL486" i="80" s="1"/>
  <c r="BH486" i="80" s="1"/>
  <c r="AI486" i="80"/>
  <c r="BX486" i="80"/>
  <c r="AN486" i="80"/>
  <c r="AJ486" i="80"/>
  <c r="AH486" i="80"/>
  <c r="AR124" i="80"/>
  <c r="AF124" i="80"/>
  <c r="AY167" i="80"/>
  <c r="BE167" i="80" s="1"/>
  <c r="AR167" i="80"/>
  <c r="AL519" i="80" a="1"/>
  <c r="AL519" i="80" s="1"/>
  <c r="BH519" i="80" s="1"/>
  <c r="AJ519" i="80"/>
  <c r="AH519" i="80"/>
  <c r="AN519" i="80"/>
  <c r="BX519" i="80"/>
  <c r="AI519" i="80"/>
  <c r="BX533" i="80"/>
  <c r="AN533" i="80"/>
  <c r="AH533" i="80"/>
  <c r="AL533" i="80" a="1"/>
  <c r="AL533" i="80" s="1"/>
  <c r="BH533" i="80" s="1"/>
  <c r="AJ533" i="80"/>
  <c r="AI533" i="80"/>
  <c r="AL294" i="80" a="1"/>
  <c r="AL294" i="80" s="1"/>
  <c r="BH294" i="80" s="1"/>
  <c r="AN294" i="80"/>
  <c r="AI294" i="80"/>
  <c r="AH294" i="80"/>
  <c r="AJ294" i="80"/>
  <c r="BX294" i="80"/>
  <c r="AY65" i="79"/>
  <c r="BE65" i="79" s="1"/>
  <c r="AY292" i="80"/>
  <c r="BE292" i="80" s="1"/>
  <c r="AR292" i="80"/>
  <c r="AN233" i="80"/>
  <c r="AH233" i="80"/>
  <c r="AJ233" i="80"/>
  <c r="AI233" i="80"/>
  <c r="BX233" i="80"/>
  <c r="AL233" i="80" a="1"/>
  <c r="AL233" i="80" s="1"/>
  <c r="BH233" i="80" s="1"/>
  <c r="AY490" i="80"/>
  <c r="BE490" i="80" s="1"/>
  <c r="AR490" i="80"/>
  <c r="AY226" i="80"/>
  <c r="BE226" i="80" s="1"/>
  <c r="AR226" i="80"/>
  <c r="AR57" i="80"/>
  <c r="AY57" i="80"/>
  <c r="BE57" i="80" s="1"/>
  <c r="AR102" i="80"/>
  <c r="AY102" i="80"/>
  <c r="BE102" i="80" s="1"/>
  <c r="AQ77" i="80"/>
  <c r="AG77" i="80"/>
  <c r="AF77" i="80" s="1"/>
  <c r="BG77" i="80"/>
  <c r="BA77" i="80" s="1"/>
  <c r="BB77" i="80" s="1"/>
  <c r="AR453" i="80"/>
  <c r="AY453" i="80"/>
  <c r="BE453" i="80" s="1"/>
  <c r="AY135" i="80"/>
  <c r="BE135" i="80" s="1"/>
  <c r="AR135" i="80"/>
  <c r="AR117" i="80"/>
  <c r="AY117" i="80"/>
  <c r="BE117" i="80" s="1"/>
  <c r="AR147" i="80"/>
  <c r="AY147" i="80"/>
  <c r="BE147" i="80" s="1"/>
  <c r="AR493" i="80"/>
  <c r="AY493" i="80"/>
  <c r="BE493" i="80" s="1"/>
  <c r="AR237" i="80"/>
  <c r="AY237" i="80"/>
  <c r="BE237" i="80" s="1"/>
  <c r="AR40" i="80"/>
  <c r="AY40" i="80"/>
  <c r="BE40" i="80" s="1"/>
  <c r="AY174" i="80"/>
  <c r="BE174" i="80" s="1"/>
  <c r="AR174" i="80"/>
  <c r="AY495" i="80"/>
  <c r="BE495" i="80" s="1"/>
  <c r="AR495" i="80"/>
  <c r="AY519" i="80"/>
  <c r="BE519" i="80" s="1"/>
  <c r="AR519" i="80"/>
  <c r="AR533" i="80"/>
  <c r="AY533" i="80"/>
  <c r="BE533" i="80" s="1"/>
  <c r="AR294" i="80"/>
  <c r="AY294" i="80"/>
  <c r="BE294" i="80" s="1"/>
  <c r="BH326" i="79"/>
  <c r="BH545" i="79"/>
  <c r="AN25" i="80"/>
  <c r="BX25" i="80"/>
  <c r="AJ25" i="80"/>
  <c r="AI25" i="80"/>
  <c r="AL25" i="80" a="1"/>
  <c r="AL25" i="80" s="1"/>
  <c r="AH25" i="80"/>
  <c r="AG47" i="80"/>
  <c r="AQ47" i="80"/>
  <c r="BG47" i="80" s="1"/>
  <c r="BA47" i="80" s="1"/>
  <c r="BD47" i="80" s="1"/>
  <c r="AR304" i="80"/>
  <c r="AY304" i="80"/>
  <c r="BE304" i="80" s="1"/>
  <c r="AR175" i="80"/>
  <c r="AY175" i="80"/>
  <c r="BE175" i="80" s="1"/>
  <c r="AY162" i="80"/>
  <c r="BE162" i="80" s="1"/>
  <c r="AR162" i="80"/>
  <c r="AR373" i="80"/>
  <c r="AY373" i="80"/>
  <c r="BE373" i="80" s="1"/>
  <c r="AY166" i="80"/>
  <c r="BE166" i="80" s="1"/>
  <c r="AR166" i="80"/>
  <c r="AI512" i="80"/>
  <c r="AN512" i="80"/>
  <c r="BX512" i="80"/>
  <c r="AH512" i="80"/>
  <c r="AJ512" i="80"/>
  <c r="AL512" i="80" a="1"/>
  <c r="AL512" i="80" s="1"/>
  <c r="BH512" i="80" s="1"/>
  <c r="AN491" i="80"/>
  <c r="AI491" i="80"/>
  <c r="AH491" i="80"/>
  <c r="BX491" i="80"/>
  <c r="AL491" i="80" a="1"/>
  <c r="AL491" i="80" s="1"/>
  <c r="BH491" i="80" s="1"/>
  <c r="AJ491" i="80"/>
  <c r="AY433" i="80"/>
  <c r="BE433" i="80" s="1"/>
  <c r="AR433" i="80"/>
  <c r="AR524" i="80"/>
  <c r="AY524" i="80"/>
  <c r="BE524" i="80" s="1"/>
  <c r="AR267" i="80"/>
  <c r="AY267" i="80"/>
  <c r="BE267" i="80" s="1"/>
  <c r="AY90" i="80"/>
  <c r="BE90" i="80" s="1"/>
  <c r="AR90" i="80"/>
  <c r="AR184" i="80"/>
  <c r="AY184" i="80"/>
  <c r="BE184" i="80" s="1"/>
  <c r="AN197" i="80"/>
  <c r="AL197" i="80" a="1"/>
  <c r="AL197" i="80" s="1"/>
  <c r="BH197" i="80" s="1"/>
  <c r="AJ197" i="80"/>
  <c r="AI197" i="80"/>
  <c r="BX197" i="80"/>
  <c r="AH197" i="80"/>
  <c r="AN377" i="80"/>
  <c r="AL377" i="80" a="1"/>
  <c r="AL377" i="80" s="1"/>
  <c r="BH377" i="80" s="1"/>
  <c r="AJ377" i="80"/>
  <c r="AI377" i="80"/>
  <c r="BX377" i="80"/>
  <c r="AH377" i="80"/>
  <c r="AR526" i="80"/>
  <c r="AY526" i="80"/>
  <c r="BE526" i="80" s="1"/>
  <c r="AQ26" i="80"/>
  <c r="BG26" i="80" s="1"/>
  <c r="BA26" i="80" s="1"/>
  <c r="BB26" i="80" s="1"/>
  <c r="AG26" i="80"/>
  <c r="AF26" i="80" s="1"/>
  <c r="AR385" i="80"/>
  <c r="AY385" i="80"/>
  <c r="BE385" i="80" s="1"/>
  <c r="AY507" i="80"/>
  <c r="BE507" i="80" s="1"/>
  <c r="AR507" i="80"/>
  <c r="AR182" i="80"/>
  <c r="AY182" i="80"/>
  <c r="BE182" i="80" s="1"/>
  <c r="AR504" i="80"/>
  <c r="AY504" i="80"/>
  <c r="BE504" i="80" s="1"/>
  <c r="AW66" i="80" a="1"/>
  <c r="AW66" i="80" s="1"/>
  <c r="AZ66" i="80"/>
  <c r="BB66" i="80"/>
  <c r="AP66" i="80"/>
  <c r="AO66" i="80"/>
  <c r="AM66" i="80"/>
  <c r="AU66" i="80" s="1"/>
  <c r="AV66" i="80"/>
  <c r="AY333" i="80"/>
  <c r="BE333" i="80" s="1"/>
  <c r="AR333" i="80"/>
  <c r="AR282" i="80"/>
  <c r="AY282" i="80"/>
  <c r="BE282" i="80" s="1"/>
  <c r="AR329" i="80"/>
  <c r="AY329" i="80"/>
  <c r="BE329" i="80" s="1"/>
  <c r="AY180" i="80"/>
  <c r="BE180" i="80" s="1"/>
  <c r="AR180" i="80"/>
  <c r="BD128" i="80"/>
  <c r="AR142" i="80"/>
  <c r="AY142" i="80"/>
  <c r="BE142" i="80" s="1"/>
  <c r="AY241" i="80"/>
  <c r="BE241" i="80" s="1"/>
  <c r="AR241" i="80"/>
  <c r="AY196" i="80"/>
  <c r="BE196" i="80" s="1"/>
  <c r="AR196" i="80"/>
  <c r="AR399" i="80"/>
  <c r="AY399" i="80"/>
  <c r="BE399" i="80" s="1"/>
  <c r="AI228" i="80"/>
  <c r="AH228" i="80"/>
  <c r="AL228" i="80" a="1"/>
  <c r="AL228" i="80" s="1"/>
  <c r="BH228" i="80" s="1"/>
  <c r="AN228" i="80"/>
  <c r="BX228" i="80"/>
  <c r="AJ228" i="80"/>
  <c r="AR402" i="80"/>
  <c r="AY402" i="80"/>
  <c r="BE402" i="80" s="1"/>
  <c r="AJ180" i="80"/>
  <c r="AI180" i="80"/>
  <c r="AH180" i="80"/>
  <c r="BX180" i="80"/>
  <c r="AN180" i="80"/>
  <c r="AL180" i="80" a="1"/>
  <c r="AL180" i="80" s="1"/>
  <c r="BH180" i="80" s="1"/>
  <c r="AJ196" i="80"/>
  <c r="AI196" i="80"/>
  <c r="AH196" i="80"/>
  <c r="BX196" i="80"/>
  <c r="AL196" i="80" a="1"/>
  <c r="AL196" i="80" s="1"/>
  <c r="BH196" i="80" s="1"/>
  <c r="AN196" i="80"/>
  <c r="BH230" i="79"/>
  <c r="AR267" i="79"/>
  <c r="AJ35" i="80"/>
  <c r="AI35" i="80"/>
  <c r="AH35" i="80"/>
  <c r="BX35" i="80"/>
  <c r="AN35" i="80"/>
  <c r="AL35" i="80" a="1"/>
  <c r="AL35" i="80" s="1"/>
  <c r="BH35" i="80" s="1"/>
  <c r="AY343" i="80"/>
  <c r="BE343" i="80" s="1"/>
  <c r="AR343" i="80"/>
  <c r="AR473" i="80"/>
  <c r="AY473" i="80"/>
  <c r="BE473" i="80" s="1"/>
  <c r="AR464" i="80"/>
  <c r="AY464" i="80"/>
  <c r="BE464" i="80" s="1"/>
  <c r="AQ74" i="80"/>
  <c r="AG74" i="80"/>
  <c r="AF74" i="80" s="1"/>
  <c r="BG74" i="80"/>
  <c r="BA74" i="80" s="1"/>
  <c r="BB74" i="80" s="1"/>
  <c r="AR351" i="80"/>
  <c r="AY351" i="80"/>
  <c r="BE351" i="80" s="1"/>
  <c r="AY539" i="80"/>
  <c r="BE539" i="80" s="1"/>
  <c r="AR539" i="80"/>
  <c r="AG49" i="80"/>
  <c r="AF49" i="80" s="1"/>
  <c r="AQ49" i="80"/>
  <c r="BG49" i="80" s="1"/>
  <c r="BA49" i="80" s="1"/>
  <c r="BD49" i="80" s="1"/>
  <c r="AF373" i="80"/>
  <c r="AR514" i="80"/>
  <c r="AY514" i="80"/>
  <c r="BE514" i="80" s="1"/>
  <c r="AY230" i="80"/>
  <c r="BE230" i="80" s="1"/>
  <c r="AR230" i="80"/>
  <c r="AG28" i="80"/>
  <c r="AF28" i="80" s="1"/>
  <c r="AQ28" i="80"/>
  <c r="BG28" i="80" s="1"/>
  <c r="BA28" i="80" s="1"/>
  <c r="AR420" i="80"/>
  <c r="AY420" i="80"/>
  <c r="BE420" i="80" s="1"/>
  <c r="AR540" i="80"/>
  <c r="AY540" i="80"/>
  <c r="BE540" i="80" s="1"/>
  <c r="AH86" i="80"/>
  <c r="AN86" i="80"/>
  <c r="AL86" i="80" a="1"/>
  <c r="AL86" i="80" s="1"/>
  <c r="BH86" i="80" s="1"/>
  <c r="AI86" i="80"/>
  <c r="AJ86" i="80"/>
  <c r="BX86" i="80"/>
  <c r="AR389" i="80"/>
  <c r="AY389" i="80"/>
  <c r="BE389" i="80" s="1"/>
  <c r="AQ94" i="80"/>
  <c r="BG94" i="80" s="1"/>
  <c r="BA94" i="80" s="1"/>
  <c r="BD94" i="80" s="1"/>
  <c r="AG94" i="80"/>
  <c r="AF94" i="80" s="1"/>
  <c r="AL388" i="80" a="1"/>
  <c r="AL388" i="80" s="1"/>
  <c r="BH388" i="80" s="1"/>
  <c r="AN388" i="80"/>
  <c r="BX388" i="80"/>
  <c r="AJ388" i="80"/>
  <c r="AI388" i="80"/>
  <c r="AH388" i="80"/>
  <c r="AY437" i="80"/>
  <c r="BE437" i="80" s="1"/>
  <c r="AR437" i="80"/>
  <c r="AY193" i="80"/>
  <c r="BE193" i="80" s="1"/>
  <c r="AR193" i="80"/>
  <c r="BX213" i="80"/>
  <c r="AN213" i="80"/>
  <c r="AH213" i="80"/>
  <c r="AI213" i="80"/>
  <c r="AL213" i="80" a="1"/>
  <c r="AL213" i="80" s="1"/>
  <c r="BH213" i="80" s="1"/>
  <c r="AJ213" i="80"/>
  <c r="AY323" i="80"/>
  <c r="BE323" i="80" s="1"/>
  <c r="AR323" i="80"/>
  <c r="AH137" i="80"/>
  <c r="BX137" i="80"/>
  <c r="AL137" i="80" a="1"/>
  <c r="AL137" i="80" s="1"/>
  <c r="BH137" i="80" s="1"/>
  <c r="AJ137" i="80"/>
  <c r="AN137" i="80"/>
  <c r="AI137" i="80"/>
  <c r="AJ443" i="80"/>
  <c r="AL443" i="80" a="1"/>
  <c r="AL443" i="80" s="1"/>
  <c r="BH443" i="80" s="1"/>
  <c r="AN443" i="80"/>
  <c r="AI443" i="80"/>
  <c r="BX443" i="80"/>
  <c r="AH443" i="80"/>
  <c r="AR527" i="80"/>
  <c r="AY527" i="80"/>
  <c r="BE527" i="80" s="1"/>
  <c r="AN510" i="80"/>
  <c r="BX510" i="80"/>
  <c r="AL510" i="80" a="1"/>
  <c r="AL510" i="80" s="1"/>
  <c r="BH510" i="80" s="1"/>
  <c r="AJ510" i="80"/>
  <c r="AI510" i="80"/>
  <c r="AH510" i="80"/>
  <c r="AR80" i="80"/>
  <c r="AR448" i="80"/>
  <c r="AY448" i="80"/>
  <c r="BE448" i="80" s="1"/>
  <c r="BX507" i="80"/>
  <c r="AI507" i="80"/>
  <c r="AL507" i="80" a="1"/>
  <c r="AL507" i="80" s="1"/>
  <c r="BH507" i="80" s="1"/>
  <c r="AJ507" i="80"/>
  <c r="AH507" i="80"/>
  <c r="AN507" i="80"/>
  <c r="AR360" i="80"/>
  <c r="AY360" i="80"/>
  <c r="BE360" i="80" s="1"/>
  <c r="AY393" i="80"/>
  <c r="BE393" i="80" s="1"/>
  <c r="AR393" i="80"/>
  <c r="AR357" i="80"/>
  <c r="AY357" i="80"/>
  <c r="BE357" i="80" s="1"/>
  <c r="BX200" i="80"/>
  <c r="AN200" i="80"/>
  <c r="AI200" i="80"/>
  <c r="AH200" i="80"/>
  <c r="AL200" i="80" a="1"/>
  <c r="AL200" i="80" s="1"/>
  <c r="BH200" i="80" s="1"/>
  <c r="AJ200" i="80"/>
  <c r="AJ527" i="80"/>
  <c r="AI527" i="80"/>
  <c r="AH527" i="80"/>
  <c r="BX527" i="80"/>
  <c r="AL527" i="80" a="1"/>
  <c r="AL527" i="80" s="1"/>
  <c r="BH527" i="80" s="1"/>
  <c r="AN527" i="80"/>
  <c r="AJ154" i="79"/>
  <c r="AR476" i="79"/>
  <c r="AR526" i="79"/>
  <c r="AY35" i="80"/>
  <c r="BE35" i="80" s="1"/>
  <c r="AR35" i="80"/>
  <c r="AR289" i="80"/>
  <c r="AY289" i="80"/>
  <c r="BE289" i="80" s="1"/>
  <c r="AY303" i="80"/>
  <c r="BE303" i="80" s="1"/>
  <c r="AR303" i="80"/>
  <c r="AR483" i="80"/>
  <c r="AY483" i="80"/>
  <c r="BE483" i="80" s="1"/>
  <c r="AR512" i="80"/>
  <c r="AY512" i="80"/>
  <c r="BE512" i="80" s="1"/>
  <c r="AF267" i="80"/>
  <c r="AY86" i="80"/>
  <c r="BE86" i="80" s="1"/>
  <c r="AR86" i="80"/>
  <c r="AR197" i="80"/>
  <c r="AY197" i="80"/>
  <c r="BE197" i="80" s="1"/>
  <c r="AR377" i="80"/>
  <c r="AY377" i="80"/>
  <c r="BE377" i="80" s="1"/>
  <c r="AY467" i="80"/>
  <c r="BE467" i="80" s="1"/>
  <c r="AR467" i="80"/>
  <c r="AY388" i="80"/>
  <c r="BE388" i="80" s="1"/>
  <c r="AR388" i="80"/>
  <c r="AR213" i="80"/>
  <c r="AY213" i="80"/>
  <c r="BE213" i="80" s="1"/>
  <c r="AN151" i="80"/>
  <c r="AL151" i="80" a="1"/>
  <c r="AL151" i="80" s="1"/>
  <c r="BH151" i="80" s="1"/>
  <c r="BX151" i="80"/>
  <c r="AJ151" i="80"/>
  <c r="AI151" i="80"/>
  <c r="AH151" i="80"/>
  <c r="AF360" i="80"/>
  <c r="AR137" i="80"/>
  <c r="AY137" i="80"/>
  <c r="BE137" i="80" s="1"/>
  <c r="AY200" i="80"/>
  <c r="BE200" i="80" s="1"/>
  <c r="AR200" i="80"/>
  <c r="AJ119" i="80"/>
  <c r="AI119" i="80"/>
  <c r="AL119" i="80" a="1"/>
  <c r="AL119" i="80" s="1"/>
  <c r="BH119" i="80" s="1"/>
  <c r="AH119" i="80"/>
  <c r="BX119" i="80"/>
  <c r="AN119" i="80"/>
  <c r="AF142" i="80"/>
  <c r="AR510" i="80"/>
  <c r="AY510" i="80"/>
  <c r="BE510" i="80" s="1"/>
  <c r="AR228" i="80"/>
  <c r="AY228" i="80"/>
  <c r="BE228" i="80" s="1"/>
  <c r="AL349" i="79" a="1"/>
  <c r="AL349" i="79" s="1"/>
  <c r="BH349" i="79" s="1"/>
  <c r="AJ349" i="79"/>
  <c r="AI349" i="79"/>
  <c r="BX349" i="79"/>
  <c r="AH349" i="79"/>
  <c r="AN349" i="79"/>
  <c r="AL303" i="79" a="1"/>
  <c r="AL303" i="79" s="1"/>
  <c r="BH303" i="79" s="1"/>
  <c r="BX303" i="79"/>
  <c r="AJ303" i="79"/>
  <c r="AI303" i="79"/>
  <c r="AH303" i="79"/>
  <c r="AN303" i="79"/>
  <c r="AH466" i="79"/>
  <c r="AN466" i="79"/>
  <c r="AR434" i="79"/>
  <c r="AY224" i="79"/>
  <c r="BE224" i="79" s="1"/>
  <c r="AR529" i="79"/>
  <c r="AJ97" i="79"/>
  <c r="AR138" i="79"/>
  <c r="AY529" i="79"/>
  <c r="BE529" i="79" s="1"/>
  <c r="AI97" i="79"/>
  <c r="AN97" i="79"/>
  <c r="AR544" i="79"/>
  <c r="AR486" i="79"/>
  <c r="AH299" i="79"/>
  <c r="AR349" i="79"/>
  <c r="AR273" i="79"/>
  <c r="BX342" i="79"/>
  <c r="AY441" i="79"/>
  <c r="BE441" i="79" s="1"/>
  <c r="AN342" i="79"/>
  <c r="AI280" i="79"/>
  <c r="AL508" i="79" a="1"/>
  <c r="AL508" i="79" s="1"/>
  <c r="BH508" i="79" s="1"/>
  <c r="AN311" i="79"/>
  <c r="AL447" i="79" a="1"/>
  <c r="AL447" i="79" s="1"/>
  <c r="BH447" i="79" s="1"/>
  <c r="BX164" i="79"/>
  <c r="AF503" i="79"/>
  <c r="BX503" i="79" s="1"/>
  <c r="BX537" i="79"/>
  <c r="AN240" i="79"/>
  <c r="AI508" i="79"/>
  <c r="AL311" i="79" a="1"/>
  <c r="AL311" i="79" s="1"/>
  <c r="BH311" i="79" s="1"/>
  <c r="AI342" i="79"/>
  <c r="AN447" i="79"/>
  <c r="AY279" i="79"/>
  <c r="BE279" i="79" s="1"/>
  <c r="AF544" i="79"/>
  <c r="AI544" i="79" s="1"/>
  <c r="AF262" i="79"/>
  <c r="AF540" i="79"/>
  <c r="AR184" i="79"/>
  <c r="AR230" i="79"/>
  <c r="BX529" i="79"/>
  <c r="AH164" i="79"/>
  <c r="AN220" i="79"/>
  <c r="AY499" i="79"/>
  <c r="BE499" i="79" s="1"/>
  <c r="AR86" i="79"/>
  <c r="AJ537" i="79"/>
  <c r="AL240" i="79" a="1"/>
  <c r="AL240" i="79" s="1"/>
  <c r="BH240" i="79" s="1"/>
  <c r="BX508" i="79"/>
  <c r="AH311" i="79"/>
  <c r="AF446" i="79"/>
  <c r="AJ446" i="79" s="1"/>
  <c r="AJ225" i="79"/>
  <c r="AI225" i="79"/>
  <c r="BX225" i="79"/>
  <c r="AL225" i="79" a="1"/>
  <c r="AL225" i="79" s="1"/>
  <c r="BH225" i="79" s="1"/>
  <c r="AN225" i="79"/>
  <c r="AH225" i="79"/>
  <c r="AR466" i="79"/>
  <c r="AY225" i="79"/>
  <c r="BE225" i="79" s="1"/>
  <c r="AY466" i="79"/>
  <c r="BE466" i="79" s="1"/>
  <c r="AY138" i="79"/>
  <c r="BE138" i="79" s="1"/>
  <c r="AI447" i="79"/>
  <c r="BX384" i="79"/>
  <c r="AR264" i="79"/>
  <c r="AL299" i="79" a="1"/>
  <c r="AL299" i="79" s="1"/>
  <c r="BH299" i="79" s="1"/>
  <c r="AY390" i="79"/>
  <c r="BE390" i="79" s="1"/>
  <c r="BX280" i="79"/>
  <c r="AY119" i="79"/>
  <c r="BE119" i="79" s="1"/>
  <c r="BX447" i="79"/>
  <c r="AJ360" i="79"/>
  <c r="BX299" i="79"/>
  <c r="AI164" i="79"/>
  <c r="AF254" i="79"/>
  <c r="AI254" i="79" s="1"/>
  <c r="AL164" i="79" a="1"/>
  <c r="AL164" i="79" s="1"/>
  <c r="BH164" i="79" s="1"/>
  <c r="AJ342" i="79"/>
  <c r="AL384" i="79" a="1"/>
  <c r="AL384" i="79" s="1"/>
  <c r="BH384" i="79" s="1"/>
  <c r="AY280" i="79"/>
  <c r="BE280" i="79" s="1"/>
  <c r="AY184" i="79"/>
  <c r="BE184" i="79" s="1"/>
  <c r="AH529" i="79"/>
  <c r="AN164" i="79"/>
  <c r="BX486" i="79"/>
  <c r="AR220" i="79"/>
  <c r="AH508" i="79"/>
  <c r="AN184" i="79"/>
  <c r="AF203" i="79"/>
  <c r="AL203" i="79" s="1" a="1"/>
  <c r="AL203" i="79" s="1"/>
  <c r="BH203" i="79" s="1"/>
  <c r="AJ264" i="79"/>
  <c r="AJ529" i="79"/>
  <c r="AF336" i="79"/>
  <c r="AL336" i="79" s="1" a="1"/>
  <c r="AL336" i="79" s="1"/>
  <c r="BH336" i="79" s="1"/>
  <c r="AL486" i="79" a="1"/>
  <c r="AL486" i="79" s="1"/>
  <c r="BH486" i="79" s="1"/>
  <c r="AJ220" i="79"/>
  <c r="AY220" i="79"/>
  <c r="BE220" i="79" s="1"/>
  <c r="AY540" i="79"/>
  <c r="BE540" i="79" s="1"/>
  <c r="AI537" i="79"/>
  <c r="BX240" i="79"/>
  <c r="AR532" i="79"/>
  <c r="AR527" i="79"/>
  <c r="AY360" i="79"/>
  <c r="BE360" i="79" s="1"/>
  <c r="AY518" i="79"/>
  <c r="BE518" i="79" s="1"/>
  <c r="AR203" i="79"/>
  <c r="AJ508" i="79"/>
  <c r="AR262" i="79"/>
  <c r="AI311" i="79"/>
  <c r="BX184" i="79"/>
  <c r="AI299" i="79"/>
  <c r="AY434" i="79"/>
  <c r="BE434" i="79" s="1"/>
  <c r="AR224" i="79"/>
  <c r="BX97" i="79"/>
  <c r="AN384" i="79"/>
  <c r="AY486" i="79"/>
  <c r="BE486" i="79" s="1"/>
  <c r="AR119" i="79"/>
  <c r="AJ447" i="79"/>
  <c r="AI384" i="79"/>
  <c r="AL342" i="79" a="1"/>
  <c r="AL342" i="79" s="1"/>
  <c r="BH342" i="79" s="1"/>
  <c r="AJ384" i="79"/>
  <c r="AR384" i="79"/>
  <c r="AH537" i="79"/>
  <c r="AF441" i="79"/>
  <c r="BX441" i="79" s="1"/>
  <c r="AR280" i="79"/>
  <c r="AY384" i="79"/>
  <c r="BE384" i="79" s="1"/>
  <c r="AN537" i="79"/>
  <c r="BG240" i="79"/>
  <c r="BA240" i="79" s="1"/>
  <c r="BD240" i="79" s="1"/>
  <c r="AN529" i="79"/>
  <c r="BX264" i="79"/>
  <c r="AH220" i="79"/>
  <c r="AH240" i="79"/>
  <c r="BX311" i="79"/>
  <c r="BH470" i="79"/>
  <c r="AY532" i="79"/>
  <c r="BE532" i="79" s="1"/>
  <c r="AR360" i="79"/>
  <c r="AR311" i="79"/>
  <c r="AR518" i="79"/>
  <c r="AF40" i="79"/>
  <c r="AJ40" i="79" s="1"/>
  <c r="AJ299" i="79"/>
  <c r="AN138" i="79"/>
  <c r="AJ138" i="79"/>
  <c r="AI138" i="79"/>
  <c r="BX138" i="79"/>
  <c r="AL138" i="79" a="1"/>
  <c r="AL138" i="79" s="1"/>
  <c r="BH138" i="79" s="1"/>
  <c r="AH138" i="79"/>
  <c r="AI518" i="79"/>
  <c r="AJ518" i="79"/>
  <c r="AH451" i="79"/>
  <c r="AN451" i="79"/>
  <c r="BX451" i="79"/>
  <c r="AJ451" i="79"/>
  <c r="AL451" i="79" a="1"/>
  <c r="AL451" i="79" s="1"/>
  <c r="BH451" i="79" s="1"/>
  <c r="AI451" i="79"/>
  <c r="AJ245" i="79"/>
  <c r="AN245" i="79"/>
  <c r="AL245" i="79" a="1"/>
  <c r="AL245" i="79" s="1"/>
  <c r="BH245" i="79" s="1"/>
  <c r="BX245" i="79"/>
  <c r="AH245" i="79"/>
  <c r="AI245" i="79"/>
  <c r="AN224" i="79"/>
  <c r="BX224" i="79"/>
  <c r="AH224" i="79"/>
  <c r="AJ224" i="79"/>
  <c r="AL224" i="79" a="1"/>
  <c r="AL224" i="79" s="1"/>
  <c r="BH224" i="79" s="1"/>
  <c r="AI224" i="79"/>
  <c r="AL466" i="79" a="1"/>
  <c r="AL466" i="79" s="1"/>
  <c r="BH466" i="79" s="1"/>
  <c r="AH136" i="79"/>
  <c r="AF63" i="79"/>
  <c r="AN63" i="79" s="1"/>
  <c r="AF493" i="79"/>
  <c r="AL493" i="79" s="1" a="1"/>
  <c r="AL493" i="79" s="1"/>
  <c r="BH493" i="79" s="1"/>
  <c r="AR538" i="79"/>
  <c r="AR402" i="79"/>
  <c r="AY196" i="79"/>
  <c r="BE196" i="79" s="1"/>
  <c r="BX323" i="79"/>
  <c r="AR196" i="79"/>
  <c r="AR159" i="79"/>
  <c r="AI323" i="79"/>
  <c r="AR493" i="79"/>
  <c r="AY245" i="79"/>
  <c r="BE245" i="79" s="1"/>
  <c r="AR245" i="79"/>
  <c r="BH104" i="79"/>
  <c r="AJ382" i="79"/>
  <c r="BX382" i="79"/>
  <c r="AN382" i="79"/>
  <c r="AN86" i="79"/>
  <c r="AH407" i="79"/>
  <c r="AR113" i="79"/>
  <c r="AF358" i="79"/>
  <c r="AR358" i="79"/>
  <c r="AR431" i="79"/>
  <c r="AN204" i="79"/>
  <c r="AN407" i="79"/>
  <c r="AR508" i="79"/>
  <c r="AI360" i="79"/>
  <c r="AR424" i="79"/>
  <c r="BX234" i="79"/>
  <c r="AH317" i="79"/>
  <c r="AL390" i="79" a="1"/>
  <c r="AL390" i="79" s="1"/>
  <c r="BH390" i="79" s="1"/>
  <c r="AI390" i="79"/>
  <c r="AN390" i="79"/>
  <c r="BX390" i="79"/>
  <c r="AJ390" i="79"/>
  <c r="AH390" i="79"/>
  <c r="AN317" i="79"/>
  <c r="AL360" i="79" a="1"/>
  <c r="AL360" i="79" s="1"/>
  <c r="BH360" i="79" s="1"/>
  <c r="AY63" i="79"/>
  <c r="BE63" i="79" s="1"/>
  <c r="AJ86" i="79"/>
  <c r="AL407" i="79" a="1"/>
  <c r="AL407" i="79" s="1"/>
  <c r="BH407" i="79" s="1"/>
  <c r="AF526" i="79"/>
  <c r="AN526" i="79" s="1"/>
  <c r="AI234" i="79"/>
  <c r="AJ407" i="79"/>
  <c r="AI430" i="79"/>
  <c r="BX300" i="79"/>
  <c r="AI317" i="79"/>
  <c r="AY526" i="79"/>
  <c r="BE526" i="79" s="1"/>
  <c r="AH360" i="79"/>
  <c r="AF283" i="79"/>
  <c r="AR283" i="79"/>
  <c r="AN234" i="79"/>
  <c r="AI407" i="79"/>
  <c r="AN300" i="79"/>
  <c r="AR308" i="79"/>
  <c r="AJ234" i="79"/>
  <c r="AY451" i="79"/>
  <c r="BE451" i="79" s="1"/>
  <c r="BX430" i="79"/>
  <c r="AH300" i="79"/>
  <c r="BH271" i="79"/>
  <c r="AR336" i="79"/>
  <c r="AY373" i="79"/>
  <c r="BE373" i="79" s="1"/>
  <c r="BH443" i="79"/>
  <c r="AJ317" i="79"/>
  <c r="BH53" i="79"/>
  <c r="BX360" i="79"/>
  <c r="AY215" i="79"/>
  <c r="BE215" i="79" s="1"/>
  <c r="AL382" i="79" a="1"/>
  <c r="AL382" i="79" s="1"/>
  <c r="BH382" i="79" s="1"/>
  <c r="AF538" i="79"/>
  <c r="AR390" i="79"/>
  <c r="AR241" i="79"/>
  <c r="AY241" i="79"/>
  <c r="BE241" i="79" s="1"/>
  <c r="AF241" i="79"/>
  <c r="AR317" i="79"/>
  <c r="AR144" i="79"/>
  <c r="AR451" i="79"/>
  <c r="AF499" i="79"/>
  <c r="AN499" i="79" s="1"/>
  <c r="BH424" i="79"/>
  <c r="AL430" i="79" a="1"/>
  <c r="AL430" i="79" s="1"/>
  <c r="BH430" i="79" s="1"/>
  <c r="AI300" i="79"/>
  <c r="BX317" i="79"/>
  <c r="AH382" i="79"/>
  <c r="AH86" i="79"/>
  <c r="AL234" i="79" a="1"/>
  <c r="AL234" i="79" s="1"/>
  <c r="BH234" i="79" s="1"/>
  <c r="AH168" i="79"/>
  <c r="BH308" i="79"/>
  <c r="BH527" i="79"/>
  <c r="AI382" i="79"/>
  <c r="AR417" i="79"/>
  <c r="BX119" i="79"/>
  <c r="AJ119" i="79"/>
  <c r="AN119" i="79"/>
  <c r="AI119" i="79"/>
  <c r="AL119" i="79" a="1"/>
  <c r="AL119" i="79" s="1"/>
  <c r="BH119" i="79" s="1"/>
  <c r="AH119" i="79"/>
  <c r="AI242" i="79"/>
  <c r="BX242" i="79"/>
  <c r="AH242" i="79"/>
  <c r="AL242" i="79" a="1"/>
  <c r="AL242" i="79" s="1"/>
  <c r="BH242" i="79" s="1"/>
  <c r="AN242" i="79"/>
  <c r="AJ242" i="79"/>
  <c r="BX373" i="79"/>
  <c r="AJ373" i="79"/>
  <c r="AI373" i="79"/>
  <c r="AH373" i="79"/>
  <c r="AN373" i="79"/>
  <c r="AL373" i="79" a="1"/>
  <c r="AL373" i="79" s="1"/>
  <c r="BH373" i="79" s="1"/>
  <c r="AL469" i="79" a="1"/>
  <c r="AL469" i="79" s="1"/>
  <c r="BH469" i="79" s="1"/>
  <c r="AI469" i="79"/>
  <c r="AN469" i="79"/>
  <c r="AJ469" i="79"/>
  <c r="AH469" i="79"/>
  <c r="BX469" i="79"/>
  <c r="AH232" i="79"/>
  <c r="AJ232" i="79"/>
  <c r="AL232" i="79" a="1"/>
  <c r="AL232" i="79" s="1"/>
  <c r="BH232" i="79" s="1"/>
  <c r="AI232" i="79"/>
  <c r="AN232" i="79"/>
  <c r="BX232" i="79"/>
  <c r="AL387" i="79" a="1"/>
  <c r="AL387" i="79" s="1"/>
  <c r="BH387" i="79" s="1"/>
  <c r="BX387" i="79"/>
  <c r="AH387" i="79"/>
  <c r="AJ387" i="79"/>
  <c r="AN387" i="79"/>
  <c r="AI387" i="79"/>
  <c r="AL192" i="79" a="1"/>
  <c r="AL192" i="79" s="1"/>
  <c r="BH192" i="79" s="1"/>
  <c r="AI192" i="79"/>
  <c r="AJ192" i="79"/>
  <c r="AH192" i="79"/>
  <c r="BX192" i="79"/>
  <c r="AN192" i="79"/>
  <c r="AY251" i="79"/>
  <c r="BE251" i="79" s="1"/>
  <c r="AR251" i="79"/>
  <c r="AI86" i="79"/>
  <c r="AY242" i="79"/>
  <c r="BE242" i="79" s="1"/>
  <c r="AF259" i="79"/>
  <c r="AJ466" i="79"/>
  <c r="AF428" i="79"/>
  <c r="AY428" i="79"/>
  <c r="BE428" i="79" s="1"/>
  <c r="AI273" i="79"/>
  <c r="AR70" i="79"/>
  <c r="AN117" i="79"/>
  <c r="AR428" i="79"/>
  <c r="AL498" i="79" a="1"/>
  <c r="AL498" i="79" s="1"/>
  <c r="BH498" i="79" s="1"/>
  <c r="AH498" i="79"/>
  <c r="BX498" i="79"/>
  <c r="AJ498" i="79"/>
  <c r="AI498" i="79"/>
  <c r="AN498" i="79"/>
  <c r="BH264" i="79"/>
  <c r="AI527" i="79"/>
  <c r="AJ179" i="79"/>
  <c r="AY70" i="79"/>
  <c r="BE70" i="79" s="1"/>
  <c r="AI117" i="79"/>
  <c r="AN434" i="79"/>
  <c r="AI176" i="79"/>
  <c r="AR498" i="79"/>
  <c r="AY498" i="79"/>
  <c r="BE498" i="79" s="1"/>
  <c r="AF411" i="79"/>
  <c r="AF251" i="79"/>
  <c r="AL86" i="79" a="1"/>
  <c r="AL86" i="79" s="1"/>
  <c r="BH86" i="79" s="1"/>
  <c r="BX273" i="79"/>
  <c r="AF402" i="79"/>
  <c r="AJ527" i="79"/>
  <c r="AR323" i="79"/>
  <c r="AL154" i="79" a="1"/>
  <c r="AL154" i="79" s="1"/>
  <c r="BH154" i="79" s="1"/>
  <c r="AL434" i="79" a="1"/>
  <c r="AL434" i="79" s="1"/>
  <c r="BH434" i="79" s="1"/>
  <c r="AJ176" i="79"/>
  <c r="AF320" i="79"/>
  <c r="AR320" i="79"/>
  <c r="AY320" i="79"/>
  <c r="BE320" i="79" s="1"/>
  <c r="AR351" i="79"/>
  <c r="AY351" i="79"/>
  <c r="BE351" i="79" s="1"/>
  <c r="AF351" i="79"/>
  <c r="AY387" i="79"/>
  <c r="BE387" i="79" s="1"/>
  <c r="AR387" i="79"/>
  <c r="AR242" i="79"/>
  <c r="AF152" i="79"/>
  <c r="AR152" i="79"/>
  <c r="AR232" i="79"/>
  <c r="AY232" i="79"/>
  <c r="BE232" i="79" s="1"/>
  <c r="AN527" i="79"/>
  <c r="AY192" i="79"/>
  <c r="BE192" i="79" s="1"/>
  <c r="AI154" i="79"/>
  <c r="AY107" i="79"/>
  <c r="BE107" i="79" s="1"/>
  <c r="AH434" i="79"/>
  <c r="AL176" i="79" a="1"/>
  <c r="AL176" i="79" s="1"/>
  <c r="BH176" i="79" s="1"/>
  <c r="AR167" i="79"/>
  <c r="BH169" i="79"/>
  <c r="AR212" i="79"/>
  <c r="AF212" i="79"/>
  <c r="AY212" i="79"/>
  <c r="BE212" i="79" s="1"/>
  <c r="AR411" i="79"/>
  <c r="AY516" i="79"/>
  <c r="BE516" i="79" s="1"/>
  <c r="AR516" i="79"/>
  <c r="AF516" i="79"/>
  <c r="BX518" i="79"/>
  <c r="AJ273" i="79"/>
  <c r="AN518" i="79"/>
  <c r="AR259" i="79"/>
  <c r="BG259" i="79"/>
  <c r="BA259" i="79" s="1"/>
  <c r="BD259" i="79" s="1"/>
  <c r="BX466" i="79"/>
  <c r="AY188" i="79"/>
  <c r="BE188" i="79" s="1"/>
  <c r="AR192" i="79"/>
  <c r="AR407" i="79"/>
  <c r="AR188" i="79"/>
  <c r="AH527" i="79"/>
  <c r="BX434" i="79"/>
  <c r="AF35" i="79"/>
  <c r="AN35" i="79" s="1"/>
  <c r="AR248" i="79"/>
  <c r="AF248" i="79"/>
  <c r="AY248" i="79"/>
  <c r="BE248" i="79" s="1"/>
  <c r="AN368" i="79"/>
  <c r="BX368" i="79"/>
  <c r="AI368" i="79"/>
  <c r="AJ368" i="79"/>
  <c r="AH368" i="79"/>
  <c r="AL368" i="79" a="1"/>
  <c r="AL368" i="79" s="1"/>
  <c r="BH368" i="79" s="1"/>
  <c r="AL459" i="79" a="1"/>
  <c r="AL459" i="79" s="1"/>
  <c r="BH459" i="79" s="1"/>
  <c r="AI459" i="79"/>
  <c r="AH459" i="79"/>
  <c r="BX459" i="79"/>
  <c r="AN459" i="79"/>
  <c r="AJ459" i="79"/>
  <c r="AL518" i="79" a="1"/>
  <c r="AL518" i="79" s="1"/>
  <c r="BH518" i="79" s="1"/>
  <c r="AR373" i="79"/>
  <c r="AR469" i="79"/>
  <c r="AY469" i="79"/>
  <c r="BE469" i="79" s="1"/>
  <c r="AF522" i="79"/>
  <c r="AR483" i="79"/>
  <c r="AF483" i="79"/>
  <c r="AY483" i="79"/>
  <c r="BE483" i="79" s="1"/>
  <c r="AI434" i="79"/>
  <c r="BX527" i="79"/>
  <c r="AH249" i="79"/>
  <c r="AR522" i="79"/>
  <c r="AR149" i="79"/>
  <c r="BG104" i="79"/>
  <c r="BA104" i="79" s="1"/>
  <c r="BD104" i="79" s="1"/>
  <c r="AF417" i="79"/>
  <c r="AY417" i="79"/>
  <c r="BE417" i="79" s="1"/>
  <c r="AR368" i="79"/>
  <c r="AY368" i="79"/>
  <c r="BE368" i="79" s="1"/>
  <c r="AY459" i="79"/>
  <c r="BE459" i="79" s="1"/>
  <c r="AR459" i="79"/>
  <c r="AJ403" i="79"/>
  <c r="AI403" i="79"/>
  <c r="AN403" i="79"/>
  <c r="AH403" i="79"/>
  <c r="BX403" i="79"/>
  <c r="AL403" i="79" a="1"/>
  <c r="AL403" i="79" s="1"/>
  <c r="BH403" i="79" s="1"/>
  <c r="AN273" i="79"/>
  <c r="AY403" i="79"/>
  <c r="BE403" i="79" s="1"/>
  <c r="AR403" i="79"/>
  <c r="AF233" i="79"/>
  <c r="AY233" i="79"/>
  <c r="BE233" i="79" s="1"/>
  <c r="AR233" i="79"/>
  <c r="AF400" i="79"/>
  <c r="AY400" i="79"/>
  <c r="BE400" i="79" s="1"/>
  <c r="AR400" i="79"/>
  <c r="AR406" i="79"/>
  <c r="AF406" i="79"/>
  <c r="AF482" i="79"/>
  <c r="AR482" i="79"/>
  <c r="AR430" i="79"/>
  <c r="AH518" i="79"/>
  <c r="AR61" i="79"/>
  <c r="AH323" i="79"/>
  <c r="BG59" i="79"/>
  <c r="BA59" i="79" s="1"/>
  <c r="BD59" i="79" s="1"/>
  <c r="AI249" i="79"/>
  <c r="AR62" i="79"/>
  <c r="AF341" i="79"/>
  <c r="AR341" i="79"/>
  <c r="AY341" i="79"/>
  <c r="BE341" i="79" s="1"/>
  <c r="AY152" i="79"/>
  <c r="BE152" i="79" s="1"/>
  <c r="BX291" i="79"/>
  <c r="AI291" i="79"/>
  <c r="AL291" i="79" a="1"/>
  <c r="AL291" i="79" s="1"/>
  <c r="BH291" i="79" s="1"/>
  <c r="AJ291" i="79"/>
  <c r="AN291" i="79"/>
  <c r="AH291" i="79"/>
  <c r="AR291" i="79"/>
  <c r="AY291" i="79"/>
  <c r="BE291" i="79" s="1"/>
  <c r="AF321" i="79"/>
  <c r="AR321" i="79"/>
  <c r="AY321" i="79"/>
  <c r="BE321" i="79" s="1"/>
  <c r="AI466" i="79"/>
  <c r="AL273" i="79" a="1"/>
  <c r="AL273" i="79" s="1"/>
  <c r="BH273" i="79" s="1"/>
  <c r="AR68" i="79"/>
  <c r="AR205" i="79"/>
  <c r="AR485" i="79"/>
  <c r="AF485" i="79"/>
  <c r="AY485" i="79"/>
  <c r="BE485" i="79" s="1"/>
  <c r="BG428" i="79"/>
  <c r="BA428" i="79" s="1"/>
  <c r="BD428" i="79" s="1"/>
  <c r="AF95" i="79"/>
  <c r="AI95" i="79" s="1"/>
  <c r="BG344" i="79"/>
  <c r="BA344" i="79" s="1"/>
  <c r="BD344" i="79" s="1"/>
  <c r="AH207" i="79"/>
  <c r="AI207" i="79"/>
  <c r="AL207" i="79" a="1"/>
  <c r="AL207" i="79" s="1"/>
  <c r="BH207" i="79" s="1"/>
  <c r="AN207" i="79"/>
  <c r="BX207" i="79"/>
  <c r="AJ207" i="79"/>
  <c r="BG204" i="79"/>
  <c r="BA204" i="79" s="1"/>
  <c r="BD204" i="79" s="1"/>
  <c r="AR207" i="79"/>
  <c r="AR208" i="79"/>
  <c r="AY207" i="79"/>
  <c r="BE207" i="79" s="1"/>
  <c r="BX204" i="79"/>
  <c r="AH204" i="79"/>
  <c r="AI204" i="79"/>
  <c r="AL204" i="79" a="1"/>
  <c r="AL204" i="79" s="1"/>
  <c r="BH204" i="79" s="1"/>
  <c r="AI70" i="79"/>
  <c r="AJ70" i="79"/>
  <c r="AH70" i="79"/>
  <c r="AN70" i="79"/>
  <c r="AL70" i="79" a="1"/>
  <c r="AL70" i="79" s="1"/>
  <c r="BH70" i="79" s="1"/>
  <c r="BX70" i="79"/>
  <c r="AN67" i="79"/>
  <c r="AI67" i="79"/>
  <c r="AR103" i="79"/>
  <c r="BX179" i="79"/>
  <c r="AH154" i="79"/>
  <c r="AY136" i="79"/>
  <c r="BE136" i="79" s="1"/>
  <c r="BD71" i="79"/>
  <c r="AH179" i="79"/>
  <c r="BD124" i="79"/>
  <c r="BX154" i="79"/>
  <c r="AR136" i="79"/>
  <c r="AI179" i="79"/>
  <c r="AL136" i="79" a="1"/>
  <c r="AL136" i="79" s="1"/>
  <c r="BH136" i="79" s="1"/>
  <c r="AF167" i="79"/>
  <c r="AL167" i="79" s="1" a="1"/>
  <c r="AL167" i="79" s="1"/>
  <c r="BH167" i="79" s="1"/>
  <c r="AY46" i="79"/>
  <c r="BE46" i="79" s="1"/>
  <c r="AI185" i="79"/>
  <c r="AY176" i="79"/>
  <c r="BE176" i="79" s="1"/>
  <c r="AR46" i="79"/>
  <c r="AR176" i="79"/>
  <c r="AJ136" i="79"/>
  <c r="AL185" i="79" a="1"/>
  <c r="AL185" i="79" s="1"/>
  <c r="BH185" i="79" s="1"/>
  <c r="AY68" i="79"/>
  <c r="BE68" i="79" s="1"/>
  <c r="BG164" i="79"/>
  <c r="BA164" i="79" s="1"/>
  <c r="BD164" i="79" s="1"/>
  <c r="AR164" i="79"/>
  <c r="AN185" i="79"/>
  <c r="AR107" i="79"/>
  <c r="AH185" i="79"/>
  <c r="AJ185" i="79"/>
  <c r="AY61" i="79"/>
  <c r="BE61" i="79" s="1"/>
  <c r="BH88" i="79"/>
  <c r="AY167" i="79"/>
  <c r="BE167" i="79" s="1"/>
  <c r="AN176" i="79"/>
  <c r="AR88" i="79"/>
  <c r="AH176" i="79"/>
  <c r="AR40" i="79"/>
  <c r="AN168" i="79"/>
  <c r="AR36" i="79"/>
  <c r="AF113" i="79"/>
  <c r="AL173" i="79" a="1"/>
  <c r="AL173" i="79" s="1"/>
  <c r="BH173" i="79" s="1"/>
  <c r="BX173" i="79"/>
  <c r="AH173" i="79"/>
  <c r="AI173" i="79"/>
  <c r="AN173" i="79"/>
  <c r="AJ173" i="79"/>
  <c r="AL68" i="79" a="1"/>
  <c r="AL68" i="79" s="1"/>
  <c r="BH68" i="79" s="1"/>
  <c r="AH68" i="79"/>
  <c r="BX68" i="79"/>
  <c r="AJ68" i="79"/>
  <c r="AI68" i="79"/>
  <c r="AN68" i="79"/>
  <c r="AI196" i="79"/>
  <c r="AN196" i="79"/>
  <c r="BX196" i="79"/>
  <c r="AJ196" i="79"/>
  <c r="AH196" i="79"/>
  <c r="AL196" i="79" a="1"/>
  <c r="AL196" i="79" s="1"/>
  <c r="BH196" i="79" s="1"/>
  <c r="AJ61" i="79"/>
  <c r="BX61" i="79"/>
  <c r="AI61" i="79"/>
  <c r="AH61" i="79"/>
  <c r="AL61" i="79" a="1"/>
  <c r="AL61" i="79" s="1"/>
  <c r="BH61" i="79" s="1"/>
  <c r="AN61" i="79"/>
  <c r="AY170" i="79"/>
  <c r="BE170" i="79" s="1"/>
  <c r="AR170" i="79"/>
  <c r="AH153" i="79"/>
  <c r="AJ153" i="79"/>
  <c r="AL153" i="79" a="1"/>
  <c r="AL153" i="79" s="1"/>
  <c r="BH153" i="79" s="1"/>
  <c r="AI153" i="79"/>
  <c r="BX153" i="79"/>
  <c r="AN153" i="79"/>
  <c r="AY153" i="79"/>
  <c r="BE153" i="79" s="1"/>
  <c r="AR153" i="79"/>
  <c r="AJ67" i="79"/>
  <c r="AH67" i="79"/>
  <c r="BX54" i="79"/>
  <c r="AL54" i="79" a="1"/>
  <c r="AL54" i="79" s="1"/>
  <c r="BH54" i="79" s="1"/>
  <c r="AH54" i="79"/>
  <c r="AI54" i="79"/>
  <c r="AJ54" i="79"/>
  <c r="AN54" i="79"/>
  <c r="AR160" i="79"/>
  <c r="AY160" i="79"/>
  <c r="BE160" i="79" s="1"/>
  <c r="BX67" i="79"/>
  <c r="AL168" i="79" a="1"/>
  <c r="AL168" i="79" s="1"/>
  <c r="BH168" i="79" s="1"/>
  <c r="AY179" i="79"/>
  <c r="BE179" i="79" s="1"/>
  <c r="AR179" i="79"/>
  <c r="AJ169" i="79"/>
  <c r="AL179" i="79" a="1"/>
  <c r="AL179" i="79" s="1"/>
  <c r="BH179" i="79" s="1"/>
  <c r="AR117" i="79"/>
  <c r="AL67" i="79" a="1"/>
  <c r="AL67" i="79" s="1"/>
  <c r="BH67" i="79" s="1"/>
  <c r="BG108" i="79"/>
  <c r="BA108" i="79" s="1"/>
  <c r="BD108" i="79" s="1"/>
  <c r="AH160" i="79"/>
  <c r="AN169" i="79"/>
  <c r="AY117" i="79"/>
  <c r="BE117" i="79" s="1"/>
  <c r="AF144" i="79"/>
  <c r="BX144" i="79" s="1"/>
  <c r="AH169" i="79"/>
  <c r="AJ160" i="79"/>
  <c r="AF38" i="79"/>
  <c r="AR38" i="79"/>
  <c r="AY38" i="79"/>
  <c r="BE38" i="79" s="1"/>
  <c r="AR95" i="79"/>
  <c r="BG95" i="79"/>
  <c r="BA95" i="79" s="1"/>
  <c r="BD95" i="79" s="1"/>
  <c r="AR168" i="79"/>
  <c r="AL160" i="79" a="1"/>
  <c r="AL160" i="79" s="1"/>
  <c r="BH160" i="79" s="1"/>
  <c r="AH117" i="79"/>
  <c r="AF36" i="79"/>
  <c r="AY168" i="79"/>
  <c r="BE168" i="79" s="1"/>
  <c r="BX117" i="79"/>
  <c r="AF175" i="79"/>
  <c r="AL175" i="79" s="1" a="1"/>
  <c r="AL175" i="79" s="1"/>
  <c r="BH175" i="79" s="1"/>
  <c r="AN161" i="79"/>
  <c r="AL161" i="79" a="1"/>
  <c r="AL161" i="79" s="1"/>
  <c r="BH161" i="79" s="1"/>
  <c r="BX161" i="79"/>
  <c r="AJ161" i="79"/>
  <c r="AI161" i="79"/>
  <c r="AH161" i="79"/>
  <c r="AR157" i="79"/>
  <c r="AL117" i="79" a="1"/>
  <c r="AL117" i="79" s="1"/>
  <c r="BH117" i="79" s="1"/>
  <c r="AR175" i="79"/>
  <c r="AR161" i="79"/>
  <c r="AY161" i="79"/>
  <c r="BE161" i="79" s="1"/>
  <c r="AH170" i="79"/>
  <c r="BX170" i="79"/>
  <c r="AN170" i="79"/>
  <c r="AL170" i="79" a="1"/>
  <c r="AL170" i="79" s="1"/>
  <c r="BH170" i="79" s="1"/>
  <c r="AI170" i="79"/>
  <c r="AJ170" i="79"/>
  <c r="AY36" i="79"/>
  <c r="BE36" i="79" s="1"/>
  <c r="AY169" i="79"/>
  <c r="BE169" i="79" s="1"/>
  <c r="AR169" i="79"/>
  <c r="BX169" i="79"/>
  <c r="AR173" i="79"/>
  <c r="AY173" i="79"/>
  <c r="BE173" i="79" s="1"/>
  <c r="AY67" i="79"/>
  <c r="BE67" i="79" s="1"/>
  <c r="AR67" i="79"/>
  <c r="AI169" i="79"/>
  <c r="AN160" i="79"/>
  <c r="AI160" i="79"/>
  <c r="AY185" i="79"/>
  <c r="BE185" i="79" s="1"/>
  <c r="AR185" i="79"/>
  <c r="AY118" i="79"/>
  <c r="BE118" i="79" s="1"/>
  <c r="AF118" i="79"/>
  <c r="AR118" i="79"/>
  <c r="AH429" i="79"/>
  <c r="BX429" i="79"/>
  <c r="AJ429" i="79"/>
  <c r="AI429" i="79"/>
  <c r="AL429" i="79" a="1"/>
  <c r="AL429" i="79" s="1"/>
  <c r="BH429" i="79" s="1"/>
  <c r="AN429" i="79"/>
  <c r="AJ414" i="79"/>
  <c r="AH414" i="79"/>
  <c r="AI414" i="79"/>
  <c r="AL414" i="79" a="1"/>
  <c r="AL414" i="79" s="1"/>
  <c r="BH414" i="79" s="1"/>
  <c r="BX414" i="79"/>
  <c r="AN414" i="79"/>
  <c r="BX416" i="79"/>
  <c r="AL416" i="79" a="1"/>
  <c r="AL416" i="79" s="1"/>
  <c r="BH416" i="79" s="1"/>
  <c r="AH416" i="79"/>
  <c r="AJ416" i="79"/>
  <c r="AI416" i="79"/>
  <c r="AN416" i="79"/>
  <c r="AL354" i="79" a="1"/>
  <c r="AL354" i="79" s="1"/>
  <c r="BH354" i="79" s="1"/>
  <c r="AN354" i="79"/>
  <c r="AI354" i="79"/>
  <c r="BX354" i="79"/>
  <c r="AJ354" i="79"/>
  <c r="AH354" i="79"/>
  <c r="AI266" i="79"/>
  <c r="AH266" i="79"/>
  <c r="AN266" i="79"/>
  <c r="AL266" i="79" a="1"/>
  <c r="AL266" i="79" s="1"/>
  <c r="BH266" i="79" s="1"/>
  <c r="BX266" i="79"/>
  <c r="AJ266" i="79"/>
  <c r="BX102" i="79"/>
  <c r="AN102" i="79"/>
  <c r="AI102" i="79"/>
  <c r="AH102" i="79"/>
  <c r="AL102" i="79" a="1"/>
  <c r="AL102" i="79" s="1"/>
  <c r="BH102" i="79" s="1"/>
  <c r="AJ102" i="79"/>
  <c r="AN137" i="79"/>
  <c r="BX137" i="79"/>
  <c r="AL137" i="79" a="1"/>
  <c r="AL137" i="79" s="1"/>
  <c r="BH137" i="79" s="1"/>
  <c r="AJ137" i="79"/>
  <c r="AI137" i="79"/>
  <c r="AH137" i="79"/>
  <c r="AL456" i="79" a="1"/>
  <c r="AL456" i="79" s="1"/>
  <c r="BH456" i="79" s="1"/>
  <c r="AH456" i="79"/>
  <c r="AI456" i="79"/>
  <c r="AJ456" i="79"/>
  <c r="BX456" i="79"/>
  <c r="AN456" i="79"/>
  <c r="AH359" i="79"/>
  <c r="AI359" i="79"/>
  <c r="BX359" i="79"/>
  <c r="AN359" i="79"/>
  <c r="AJ359" i="79"/>
  <c r="AL359" i="79" a="1"/>
  <c r="AL359" i="79" s="1"/>
  <c r="BH359" i="79" s="1"/>
  <c r="AH57" i="79"/>
  <c r="AJ57" i="79"/>
  <c r="AI57" i="79"/>
  <c r="AL57" i="79" a="1"/>
  <c r="AL57" i="79" s="1"/>
  <c r="BH57" i="79" s="1"/>
  <c r="BX57" i="79"/>
  <c r="AN57" i="79"/>
  <c r="AH255" i="79"/>
  <c r="AN255" i="79"/>
  <c r="AL255" i="79" a="1"/>
  <c r="AL255" i="79" s="1"/>
  <c r="BH255" i="79" s="1"/>
  <c r="AJ255" i="79"/>
  <c r="AI255" i="79"/>
  <c r="BX255" i="79"/>
  <c r="BX82" i="79"/>
  <c r="AJ82" i="79"/>
  <c r="AI82" i="79"/>
  <c r="AN82" i="79"/>
  <c r="AL82" i="79" a="1"/>
  <c r="AL82" i="79" s="1"/>
  <c r="AH82" i="79"/>
  <c r="BB22" i="79"/>
  <c r="BX294" i="79"/>
  <c r="AN294" i="79"/>
  <c r="AL294" i="79" a="1"/>
  <c r="AL294" i="79" s="1"/>
  <c r="BH294" i="79" s="1"/>
  <c r="AH294" i="79"/>
  <c r="AJ294" i="79"/>
  <c r="AI294" i="79"/>
  <c r="AI496" i="79"/>
  <c r="AL496" i="79" a="1"/>
  <c r="AL496" i="79" s="1"/>
  <c r="BH496" i="79" s="1"/>
  <c r="BX496" i="79"/>
  <c r="AH496" i="79"/>
  <c r="AJ496" i="79"/>
  <c r="AN496" i="79"/>
  <c r="BX74" i="79"/>
  <c r="AN74" i="79"/>
  <c r="AL74" i="79" a="1"/>
  <c r="AL74" i="79" s="1"/>
  <c r="AH74" i="79"/>
  <c r="AJ74" i="79"/>
  <c r="AI74" i="79"/>
  <c r="AR507" i="79"/>
  <c r="AY507" i="79"/>
  <c r="BE507" i="79" s="1"/>
  <c r="AL410" i="79" a="1"/>
  <c r="AL410" i="79" s="1"/>
  <c r="BH410" i="79" s="1"/>
  <c r="AH410" i="79"/>
  <c r="BX410" i="79"/>
  <c r="AN410" i="79"/>
  <c r="AJ410" i="79"/>
  <c r="AI410" i="79"/>
  <c r="AI298" i="79"/>
  <c r="AH298" i="79"/>
  <c r="AJ298" i="79"/>
  <c r="AL298" i="79" a="1"/>
  <c r="AL298" i="79" s="1"/>
  <c r="BH298" i="79" s="1"/>
  <c r="BX298" i="79"/>
  <c r="AN298" i="79"/>
  <c r="AN281" i="79"/>
  <c r="BX281" i="79"/>
  <c r="AJ281" i="79"/>
  <c r="AI281" i="79"/>
  <c r="AH281" i="79"/>
  <c r="AL281" i="79" a="1"/>
  <c r="AL281" i="79" s="1"/>
  <c r="BH281" i="79" s="1"/>
  <c r="AY448" i="79"/>
  <c r="BE448" i="79" s="1"/>
  <c r="AR448" i="79"/>
  <c r="BX120" i="79"/>
  <c r="AJ120" i="79"/>
  <c r="AH120" i="79"/>
  <c r="AI120" i="79"/>
  <c r="AN120" i="79"/>
  <c r="AL120" i="79" a="1"/>
  <c r="AL120" i="79" s="1"/>
  <c r="BX278" i="79"/>
  <c r="AN278" i="79"/>
  <c r="AJ278" i="79"/>
  <c r="AI278" i="79"/>
  <c r="AH278" i="79"/>
  <c r="AL278" i="79" a="1"/>
  <c r="AL278" i="79" s="1"/>
  <c r="BH278" i="79" s="1"/>
  <c r="AY277" i="79"/>
  <c r="BE277" i="79" s="1"/>
  <c r="AR277" i="79"/>
  <c r="AF277" i="79"/>
  <c r="BX491" i="79"/>
  <c r="AL491" i="79" a="1"/>
  <c r="AL491" i="79" s="1"/>
  <c r="BH491" i="79" s="1"/>
  <c r="AN491" i="79"/>
  <c r="AI491" i="79"/>
  <c r="AJ491" i="79"/>
  <c r="AH491" i="79"/>
  <c r="AI201" i="79"/>
  <c r="AH201" i="79"/>
  <c r="BX201" i="79"/>
  <c r="AN201" i="79"/>
  <c r="AJ201" i="79"/>
  <c r="AL201" i="79" a="1"/>
  <c r="AL201" i="79" s="1"/>
  <c r="BH201" i="79" s="1"/>
  <c r="AJ379" i="79"/>
  <c r="AI379" i="79"/>
  <c r="AL379" i="79" a="1"/>
  <c r="AL379" i="79" s="1"/>
  <c r="BH379" i="79" s="1"/>
  <c r="AN379" i="79"/>
  <c r="AH379" i="79"/>
  <c r="BX379" i="79"/>
  <c r="AN101" i="79"/>
  <c r="BX101" i="79"/>
  <c r="AL101" i="79" a="1"/>
  <c r="AL101" i="79" s="1"/>
  <c r="BH101" i="79" s="1"/>
  <c r="AH101" i="79"/>
  <c r="AJ101" i="79"/>
  <c r="AI101" i="79"/>
  <c r="AR281" i="79"/>
  <c r="AY281" i="79"/>
  <c r="BE281" i="79" s="1"/>
  <c r="AR120" i="79"/>
  <c r="AH495" i="79"/>
  <c r="AJ495" i="79"/>
  <c r="AI495" i="79"/>
  <c r="AL495" i="79" a="1"/>
  <c r="AL495" i="79" s="1"/>
  <c r="BH495" i="79" s="1"/>
  <c r="BX495" i="79"/>
  <c r="AN495" i="79"/>
  <c r="AR74" i="79"/>
  <c r="BX202" i="79"/>
  <c r="AN202" i="79"/>
  <c r="AH202" i="79"/>
  <c r="AJ202" i="79"/>
  <c r="AL202" i="79" a="1"/>
  <c r="AL202" i="79" s="1"/>
  <c r="BH202" i="79" s="1"/>
  <c r="AI202" i="79"/>
  <c r="AR325" i="79"/>
  <c r="AY325" i="79"/>
  <c r="BE325" i="79" s="1"/>
  <c r="AF325" i="79"/>
  <c r="BX194" i="79"/>
  <c r="AN194" i="79"/>
  <c r="AL194" i="79" a="1"/>
  <c r="AL194" i="79" s="1"/>
  <c r="BH194" i="79" s="1"/>
  <c r="AJ194" i="79"/>
  <c r="AI194" i="79"/>
  <c r="AH194" i="79"/>
  <c r="AY549" i="79"/>
  <c r="BE549" i="79" s="1"/>
  <c r="AR549" i="79"/>
  <c r="AF549" i="79"/>
  <c r="AH239" i="79"/>
  <c r="AL239" i="79" a="1"/>
  <c r="AL239" i="79" s="1"/>
  <c r="BH239" i="79" s="1"/>
  <c r="AN239" i="79"/>
  <c r="AJ239" i="79"/>
  <c r="AI239" i="79"/>
  <c r="BX239" i="79"/>
  <c r="AH190" i="79"/>
  <c r="BX190" i="79"/>
  <c r="AL190" i="79" a="1"/>
  <c r="AL190" i="79" s="1"/>
  <c r="BH190" i="79" s="1"/>
  <c r="AI190" i="79"/>
  <c r="AN190" i="79"/>
  <c r="AJ190" i="79"/>
  <c r="AY285" i="79"/>
  <c r="BE285" i="79" s="1"/>
  <c r="AR285" i="79"/>
  <c r="AI282" i="79"/>
  <c r="AH282" i="79"/>
  <c r="BX282" i="79"/>
  <c r="AN282" i="79"/>
  <c r="AJ282" i="79"/>
  <c r="AL282" i="79" a="1"/>
  <c r="AL282" i="79" s="1"/>
  <c r="BH282" i="79" s="1"/>
  <c r="AY501" i="79"/>
  <c r="BE501" i="79" s="1"/>
  <c r="AR501" i="79"/>
  <c r="AF501" i="79"/>
  <c r="AR480" i="79"/>
  <c r="AY480" i="79"/>
  <c r="BE480" i="79" s="1"/>
  <c r="AR460" i="79"/>
  <c r="AY460" i="79"/>
  <c r="BE460" i="79" s="1"/>
  <c r="AY190" i="79"/>
  <c r="BE190" i="79" s="1"/>
  <c r="AR190" i="79"/>
  <c r="AY91" i="79"/>
  <c r="BE91" i="79" s="1"/>
  <c r="AR91" i="79"/>
  <c r="AR513" i="79"/>
  <c r="AY513" i="79"/>
  <c r="BE513" i="79" s="1"/>
  <c r="AJ304" i="79"/>
  <c r="AI304" i="79"/>
  <c r="AN304" i="79"/>
  <c r="AL304" i="79" a="1"/>
  <c r="AL304" i="79" s="1"/>
  <c r="BH304" i="79" s="1"/>
  <c r="BX304" i="79"/>
  <c r="AH304" i="79"/>
  <c r="AN49" i="79"/>
  <c r="BX49" i="79"/>
  <c r="AJ49" i="79"/>
  <c r="AI49" i="79"/>
  <c r="AH49" i="79"/>
  <c r="AL49" i="79" a="1"/>
  <c r="AL49" i="79" s="1"/>
  <c r="BH49" i="79" s="1"/>
  <c r="BX464" i="79"/>
  <c r="AH464" i="79"/>
  <c r="AJ464" i="79"/>
  <c r="AL464" i="79" a="1"/>
  <c r="AL464" i="79" s="1"/>
  <c r="BH464" i="79" s="1"/>
  <c r="AI464" i="79"/>
  <c r="AN464" i="79"/>
  <c r="AR286" i="79"/>
  <c r="AY286" i="79"/>
  <c r="BE286" i="79" s="1"/>
  <c r="AF286" i="79"/>
  <c r="AR375" i="79"/>
  <c r="AY375" i="79"/>
  <c r="BE375" i="79" s="1"/>
  <c r="AI114" i="79"/>
  <c r="AH114" i="79"/>
  <c r="AN114" i="79"/>
  <c r="AL114" i="79" a="1"/>
  <c r="AL114" i="79" s="1"/>
  <c r="BH114" i="79" s="1"/>
  <c r="BX114" i="79"/>
  <c r="AJ114" i="79"/>
  <c r="AJ497" i="79"/>
  <c r="AN497" i="79"/>
  <c r="AL497" i="79" a="1"/>
  <c r="AL497" i="79" s="1"/>
  <c r="BH497" i="79" s="1"/>
  <c r="AI497" i="79"/>
  <c r="AH497" i="79"/>
  <c r="BX497" i="79"/>
  <c r="AH214" i="79"/>
  <c r="AN214" i="79"/>
  <c r="AL214" i="79" a="1"/>
  <c r="AL214" i="79" s="1"/>
  <c r="BH214" i="79" s="1"/>
  <c r="BX214" i="79"/>
  <c r="AJ214" i="79"/>
  <c r="AI214" i="79"/>
  <c r="BX536" i="79"/>
  <c r="AN536" i="79"/>
  <c r="AJ536" i="79"/>
  <c r="AL536" i="79" a="1"/>
  <c r="AL536" i="79" s="1"/>
  <c r="BH536" i="79" s="1"/>
  <c r="AI536" i="79"/>
  <c r="AH536" i="79"/>
  <c r="AJ258" i="79"/>
  <c r="AI258" i="79"/>
  <c r="BX258" i="79"/>
  <c r="AH258" i="79"/>
  <c r="AN258" i="79"/>
  <c r="AL258" i="79" a="1"/>
  <c r="AL258" i="79" s="1"/>
  <c r="BH258" i="79" s="1"/>
  <c r="AY378" i="79"/>
  <c r="BE378" i="79" s="1"/>
  <c r="AR378" i="79"/>
  <c r="AG93" i="79"/>
  <c r="AF93" i="79" s="1"/>
  <c r="AQ93" i="79"/>
  <c r="BG93" i="79" s="1"/>
  <c r="BA93" i="79" s="1"/>
  <c r="BD93" i="79" s="1"/>
  <c r="AR29" i="79"/>
  <c r="AH135" i="79"/>
  <c r="AN135" i="79"/>
  <c r="AJ135" i="79"/>
  <c r="AI135" i="79"/>
  <c r="BX135" i="79"/>
  <c r="AL135" i="79" a="1"/>
  <c r="AL135" i="79" s="1"/>
  <c r="BH135" i="79" s="1"/>
  <c r="BX474" i="79"/>
  <c r="AN474" i="79"/>
  <c r="AL474" i="79" a="1"/>
  <c r="AL474" i="79" s="1"/>
  <c r="BH474" i="79" s="1"/>
  <c r="AJ474" i="79"/>
  <c r="AI474" i="79"/>
  <c r="AH474" i="79"/>
  <c r="AF513" i="79"/>
  <c r="AY331" i="79"/>
  <c r="BE331" i="79" s="1"/>
  <c r="AR331" i="79"/>
  <c r="AN293" i="79"/>
  <c r="AJ293" i="79"/>
  <c r="AL293" i="79" a="1"/>
  <c r="AL293" i="79" s="1"/>
  <c r="BH293" i="79" s="1"/>
  <c r="AI293" i="79"/>
  <c r="BX293" i="79"/>
  <c r="AH293" i="79"/>
  <c r="AH408" i="79"/>
  <c r="AJ408" i="79"/>
  <c r="AI408" i="79"/>
  <c r="AN408" i="79"/>
  <c r="BX408" i="79"/>
  <c r="AL408" i="79" a="1"/>
  <c r="AL408" i="79" s="1"/>
  <c r="BH408" i="79" s="1"/>
  <c r="AI512" i="79"/>
  <c r="AH512" i="79"/>
  <c r="AL512" i="79" a="1"/>
  <c r="AL512" i="79" s="1"/>
  <c r="BH512" i="79" s="1"/>
  <c r="AN512" i="79"/>
  <c r="BX512" i="79"/>
  <c r="AJ512" i="79"/>
  <c r="AY497" i="79"/>
  <c r="BE497" i="79" s="1"/>
  <c r="AR497" i="79"/>
  <c r="AN195" i="79"/>
  <c r="AL195" i="79" a="1"/>
  <c r="AL195" i="79" s="1"/>
  <c r="BH195" i="79" s="1"/>
  <c r="AJ195" i="79"/>
  <c r="BX195" i="79"/>
  <c r="AI195" i="79"/>
  <c r="AH195" i="79"/>
  <c r="AR187" i="79"/>
  <c r="AY187" i="79"/>
  <c r="BE187" i="79" s="1"/>
  <c r="AY202" i="79"/>
  <c r="BE202" i="79" s="1"/>
  <c r="AR202" i="79"/>
  <c r="BX162" i="79"/>
  <c r="AN162" i="79"/>
  <c r="AJ162" i="79"/>
  <c r="AH162" i="79"/>
  <c r="AL162" i="79" a="1"/>
  <c r="AL162" i="79" s="1"/>
  <c r="BH162" i="79" s="1"/>
  <c r="AI162" i="79"/>
  <c r="AY214" i="79"/>
  <c r="BE214" i="79" s="1"/>
  <c r="AR214" i="79"/>
  <c r="AY536" i="79"/>
  <c r="BE536" i="79" s="1"/>
  <c r="AR536" i="79"/>
  <c r="AR111" i="79"/>
  <c r="AY111" i="79"/>
  <c r="BE111" i="79" s="1"/>
  <c r="BB26" i="79"/>
  <c r="AY222" i="79"/>
  <c r="BE222" i="79" s="1"/>
  <c r="AR222" i="79"/>
  <c r="BX24" i="79"/>
  <c r="AL24" i="79" a="1"/>
  <c r="AL24" i="79" s="1"/>
  <c r="AN24" i="79"/>
  <c r="AJ24" i="79"/>
  <c r="AI24" i="79"/>
  <c r="AH24" i="79"/>
  <c r="AY90" i="79"/>
  <c r="BE90" i="79" s="1"/>
  <c r="AR90" i="79"/>
  <c r="AF29" i="79"/>
  <c r="AY474" i="79"/>
  <c r="BE474" i="79" s="1"/>
  <c r="AR474" i="79"/>
  <c r="AF331" i="79"/>
  <c r="AL319" i="79" a="1"/>
  <c r="AL319" i="79" s="1"/>
  <c r="BH319" i="79" s="1"/>
  <c r="AN319" i="79"/>
  <c r="AH319" i="79"/>
  <c r="BX319" i="79"/>
  <c r="AI319" i="79"/>
  <c r="AJ319" i="79"/>
  <c r="AJ305" i="79"/>
  <c r="AI305" i="79"/>
  <c r="AN305" i="79"/>
  <c r="AL305" i="79" a="1"/>
  <c r="AL305" i="79" s="1"/>
  <c r="BH305" i="79" s="1"/>
  <c r="AH305" i="79"/>
  <c r="BX305" i="79"/>
  <c r="AR489" i="79"/>
  <c r="AY489" i="79"/>
  <c r="BE489" i="79" s="1"/>
  <c r="AY504" i="79"/>
  <c r="BE504" i="79" s="1"/>
  <c r="AR504" i="79"/>
  <c r="AG121" i="79"/>
  <c r="AF121" i="79" s="1"/>
  <c r="AQ121" i="79"/>
  <c r="BG121" i="79" s="1"/>
  <c r="BA121" i="79" s="1"/>
  <c r="BB121" i="79" s="1"/>
  <c r="AR293" i="79"/>
  <c r="AY293" i="79"/>
  <c r="BE293" i="79" s="1"/>
  <c r="AG128" i="79"/>
  <c r="AF128" i="79" s="1"/>
  <c r="AQ128" i="79"/>
  <c r="BG128" i="79" s="1"/>
  <c r="BA128" i="79" s="1"/>
  <c r="BB128" i="79" s="1"/>
  <c r="AQ141" i="79"/>
  <c r="BG141" i="79" s="1"/>
  <c r="BA141" i="79" s="1"/>
  <c r="BD141" i="79" s="1"/>
  <c r="AG141" i="79"/>
  <c r="AF141" i="79" s="1"/>
  <c r="AY235" i="79"/>
  <c r="BE235" i="79" s="1"/>
  <c r="AR235" i="79"/>
  <c r="AF235" i="79"/>
  <c r="BX171" i="79"/>
  <c r="AL171" i="79" a="1"/>
  <c r="AL171" i="79" s="1"/>
  <c r="BH171" i="79" s="1"/>
  <c r="AI171" i="79"/>
  <c r="AN171" i="79"/>
  <c r="AJ171" i="79"/>
  <c r="AH171" i="79"/>
  <c r="BX116" i="79"/>
  <c r="AN116" i="79"/>
  <c r="AL116" i="79" a="1"/>
  <c r="AL116" i="79" s="1"/>
  <c r="BH116" i="79" s="1"/>
  <c r="AJ116" i="79"/>
  <c r="AI116" i="79"/>
  <c r="AH116" i="79"/>
  <c r="AL500" i="79" a="1"/>
  <c r="AL500" i="79" s="1"/>
  <c r="BH500" i="79" s="1"/>
  <c r="AI500" i="79"/>
  <c r="AH500" i="79"/>
  <c r="BX500" i="79"/>
  <c r="AN500" i="79"/>
  <c r="AJ500" i="79"/>
  <c r="AR55" i="79"/>
  <c r="AY55" i="79"/>
  <c r="BE55" i="79" s="1"/>
  <c r="AL26" i="79" a="1"/>
  <c r="AL26" i="79" s="1"/>
  <c r="AI26" i="79"/>
  <c r="AH26" i="79"/>
  <c r="AN26" i="79"/>
  <c r="AJ26" i="79"/>
  <c r="BX26" i="79"/>
  <c r="AL461" i="79" a="1"/>
  <c r="AL461" i="79" s="1"/>
  <c r="BH461" i="79" s="1"/>
  <c r="AN461" i="79"/>
  <c r="AI461" i="79"/>
  <c r="AH461" i="79"/>
  <c r="BX461" i="79"/>
  <c r="AJ461" i="79"/>
  <c r="AY329" i="79"/>
  <c r="BE329" i="79" s="1"/>
  <c r="AR329" i="79"/>
  <c r="AF329" i="79"/>
  <c r="AR24" i="79"/>
  <c r="AN327" i="79"/>
  <c r="AH327" i="79"/>
  <c r="AL327" i="79" a="1"/>
  <c r="AL327" i="79" s="1"/>
  <c r="BH327" i="79" s="1"/>
  <c r="AJ327" i="79"/>
  <c r="AI327" i="79"/>
  <c r="BX327" i="79"/>
  <c r="AR335" i="79"/>
  <c r="AY335" i="79"/>
  <c r="BE335" i="79" s="1"/>
  <c r="AF378" i="79"/>
  <c r="AF90" i="79"/>
  <c r="AN269" i="79"/>
  <c r="AL269" i="79" a="1"/>
  <c r="AL269" i="79" s="1"/>
  <c r="BH269" i="79" s="1"/>
  <c r="AJ269" i="79"/>
  <c r="AH269" i="79"/>
  <c r="AI269" i="79"/>
  <c r="BX269" i="79"/>
  <c r="AG143" i="79"/>
  <c r="AQ143" i="79"/>
  <c r="BG143" i="79" s="1"/>
  <c r="BA143" i="79" s="1"/>
  <c r="BD143" i="79" s="1"/>
  <c r="BB25" i="79"/>
  <c r="AR148" i="79"/>
  <c r="AY148" i="79"/>
  <c r="BE148" i="79" s="1"/>
  <c r="AI124" i="79"/>
  <c r="AH124" i="79"/>
  <c r="AN124" i="79"/>
  <c r="AJ124" i="79"/>
  <c r="BX124" i="79"/>
  <c r="AL124" i="79" a="1"/>
  <c r="AL124" i="79" s="1"/>
  <c r="AR305" i="79"/>
  <c r="AY305" i="79"/>
  <c r="BE305" i="79" s="1"/>
  <c r="BD130" i="79"/>
  <c r="AY408" i="79"/>
  <c r="BE408" i="79" s="1"/>
  <c r="AR408" i="79"/>
  <c r="AI396" i="79"/>
  <c r="BX396" i="79"/>
  <c r="AL396" i="79" a="1"/>
  <c r="AL396" i="79" s="1"/>
  <c r="BH396" i="79" s="1"/>
  <c r="AJ396" i="79"/>
  <c r="AN396" i="79"/>
  <c r="AH396" i="79"/>
  <c r="BB82" i="79"/>
  <c r="AY116" i="79"/>
  <c r="BE116" i="79" s="1"/>
  <c r="AR116" i="79"/>
  <c r="AY458" i="79"/>
  <c r="BE458" i="79" s="1"/>
  <c r="AR458" i="79"/>
  <c r="AN263" i="79"/>
  <c r="AI263" i="79"/>
  <c r="BX263" i="79"/>
  <c r="AH263" i="79"/>
  <c r="AL263" i="79" a="1"/>
  <c r="AL263" i="79" s="1"/>
  <c r="BH263" i="79" s="1"/>
  <c r="AJ263" i="79"/>
  <c r="AJ108" i="79"/>
  <c r="AI108" i="79"/>
  <c r="AL108" i="79" a="1"/>
  <c r="AL108" i="79" s="1"/>
  <c r="BH108" i="79" s="1"/>
  <c r="AN108" i="79"/>
  <c r="AH108" i="79"/>
  <c r="BX108" i="79"/>
  <c r="AN425" i="79"/>
  <c r="BX425" i="79"/>
  <c r="AI425" i="79"/>
  <c r="AH425" i="79"/>
  <c r="AJ425" i="79"/>
  <c r="AL425" i="79" a="1"/>
  <c r="AL425" i="79" s="1"/>
  <c r="BH425" i="79" s="1"/>
  <c r="AR461" i="79"/>
  <c r="AY461" i="79"/>
  <c r="BE461" i="79" s="1"/>
  <c r="BX306" i="79"/>
  <c r="AJ306" i="79"/>
  <c r="AI306" i="79"/>
  <c r="AH306" i="79"/>
  <c r="AN306" i="79"/>
  <c r="AL306" i="79" a="1"/>
  <c r="AL306" i="79" s="1"/>
  <c r="BH306" i="79" s="1"/>
  <c r="AY269" i="79"/>
  <c r="BE269" i="79" s="1"/>
  <c r="AR269" i="79"/>
  <c r="AY541" i="79"/>
  <c r="BE541" i="79" s="1"/>
  <c r="AR541" i="79"/>
  <c r="BD133" i="79"/>
  <c r="AR396" i="79"/>
  <c r="AY396" i="79"/>
  <c r="BE396" i="79" s="1"/>
  <c r="BX369" i="79"/>
  <c r="AN369" i="79"/>
  <c r="AH369" i="79"/>
  <c r="AL369" i="79" a="1"/>
  <c r="AL369" i="79" s="1"/>
  <c r="BH369" i="79" s="1"/>
  <c r="AI369" i="79"/>
  <c r="AJ369" i="79"/>
  <c r="AY512" i="79"/>
  <c r="BE512" i="79" s="1"/>
  <c r="AR512" i="79"/>
  <c r="AR171" i="79"/>
  <c r="AY171" i="79"/>
  <c r="BE171" i="79" s="1"/>
  <c r="BX142" i="79"/>
  <c r="AI142" i="79"/>
  <c r="AN142" i="79"/>
  <c r="AH142" i="79"/>
  <c r="AL142" i="79" a="1"/>
  <c r="AL142" i="79" s="1"/>
  <c r="BH142" i="79" s="1"/>
  <c r="AJ142" i="79"/>
  <c r="AY444" i="79"/>
  <c r="BE444" i="79" s="1"/>
  <c r="AR444" i="79"/>
  <c r="AY500" i="79"/>
  <c r="BE500" i="79" s="1"/>
  <c r="AR500" i="79"/>
  <c r="AY327" i="79"/>
  <c r="BE327" i="79" s="1"/>
  <c r="AR327" i="79"/>
  <c r="AF335" i="79"/>
  <c r="AF148" i="79"/>
  <c r="BD129" i="79"/>
  <c r="AF541" i="79"/>
  <c r="AJ69" i="79"/>
  <c r="AI69" i="79"/>
  <c r="AN69" i="79"/>
  <c r="AH69" i="79"/>
  <c r="BX69" i="79"/>
  <c r="AL69" i="79" a="1"/>
  <c r="AL69" i="79" s="1"/>
  <c r="BH69" i="79" s="1"/>
  <c r="AF489" i="79"/>
  <c r="AR133" i="79"/>
  <c r="AF133" i="79"/>
  <c r="AR106" i="79"/>
  <c r="AY106" i="79"/>
  <c r="BE106" i="79" s="1"/>
  <c r="AL475" i="79" a="1"/>
  <c r="AL475" i="79" s="1"/>
  <c r="BH475" i="79" s="1"/>
  <c r="AN475" i="79"/>
  <c r="AJ475" i="79"/>
  <c r="BX475" i="79"/>
  <c r="AH475" i="79"/>
  <c r="AI475" i="79"/>
  <c r="AR122" i="79"/>
  <c r="AF122" i="79"/>
  <c r="AR502" i="79"/>
  <c r="AY502" i="79"/>
  <c r="BE502" i="79" s="1"/>
  <c r="AF502" i="79"/>
  <c r="AJ157" i="79"/>
  <c r="AI157" i="79"/>
  <c r="AN157" i="79"/>
  <c r="AL157" i="79" a="1"/>
  <c r="AL157" i="79" s="1"/>
  <c r="BH157" i="79" s="1"/>
  <c r="AH157" i="79"/>
  <c r="BX157" i="79"/>
  <c r="AY392" i="79"/>
  <c r="BE392" i="79" s="1"/>
  <c r="AR392" i="79"/>
  <c r="AF392" i="79"/>
  <c r="AJ81" i="79"/>
  <c r="AN81" i="79"/>
  <c r="BX81" i="79"/>
  <c r="AL81" i="79" a="1"/>
  <c r="AL81" i="79" s="1"/>
  <c r="AI81" i="79"/>
  <c r="AH81" i="79"/>
  <c r="AN285" i="79"/>
  <c r="AH285" i="79"/>
  <c r="AL285" i="79" a="1"/>
  <c r="AL285" i="79" s="1"/>
  <c r="BH285" i="79" s="1"/>
  <c r="AI285" i="79"/>
  <c r="AJ285" i="79"/>
  <c r="BX285" i="79"/>
  <c r="AY539" i="79"/>
  <c r="BE539" i="79" s="1"/>
  <c r="AR539" i="79"/>
  <c r="BX270" i="79"/>
  <c r="AL270" i="79" a="1"/>
  <c r="AL270" i="79" s="1"/>
  <c r="BH270" i="79" s="1"/>
  <c r="AI270" i="79"/>
  <c r="AJ270" i="79"/>
  <c r="AH270" i="79"/>
  <c r="AN270" i="79"/>
  <c r="AR127" i="79"/>
  <c r="AF127" i="79"/>
  <c r="AH92" i="79"/>
  <c r="BX92" i="79"/>
  <c r="AN92" i="79"/>
  <c r="AL92" i="79" a="1"/>
  <c r="AL92" i="79" s="1"/>
  <c r="BH92" i="79" s="1"/>
  <c r="AJ92" i="79"/>
  <c r="AI92" i="79"/>
  <c r="AY278" i="79"/>
  <c r="BE278" i="79" s="1"/>
  <c r="AR278" i="79"/>
  <c r="AL76" i="79" a="1"/>
  <c r="AL76" i="79" s="1"/>
  <c r="AJ76" i="79"/>
  <c r="AN76" i="79"/>
  <c r="AI76" i="79"/>
  <c r="AH76" i="79"/>
  <c r="BX76" i="79"/>
  <c r="AH484" i="79"/>
  <c r="AL484" i="79" a="1"/>
  <c r="AL484" i="79" s="1"/>
  <c r="BH484" i="79" s="1"/>
  <c r="BX484" i="79"/>
  <c r="AI484" i="79"/>
  <c r="AJ484" i="79"/>
  <c r="AN484" i="79"/>
  <c r="AR301" i="79"/>
  <c r="AY301" i="79"/>
  <c r="BE301" i="79" s="1"/>
  <c r="AY85" i="79"/>
  <c r="BE85" i="79" s="1"/>
  <c r="AR85" i="79"/>
  <c r="AF85" i="79"/>
  <c r="AY33" i="79"/>
  <c r="BE33" i="79" s="1"/>
  <c r="AR33" i="79"/>
  <c r="AY181" i="79"/>
  <c r="BE181" i="79" s="1"/>
  <c r="AR181" i="79"/>
  <c r="AY456" i="79"/>
  <c r="BE456" i="79" s="1"/>
  <c r="AR456" i="79"/>
  <c r="AR339" i="79"/>
  <c r="AY339" i="79"/>
  <c r="BE339" i="79" s="1"/>
  <c r="AY270" i="79"/>
  <c r="BE270" i="79" s="1"/>
  <c r="AR270" i="79"/>
  <c r="AR92" i="79"/>
  <c r="AY92" i="79"/>
  <c r="BE92" i="79" s="1"/>
  <c r="AR76" i="79"/>
  <c r="AY359" i="79"/>
  <c r="BE359" i="79" s="1"/>
  <c r="AR359" i="79"/>
  <c r="AH187" i="79"/>
  <c r="AN187" i="79"/>
  <c r="AL187" i="79" a="1"/>
  <c r="AL187" i="79" s="1"/>
  <c r="BH187" i="79" s="1"/>
  <c r="BX187" i="79"/>
  <c r="AJ187" i="79"/>
  <c r="AI187" i="79"/>
  <c r="AI437" i="79"/>
  <c r="AJ437" i="79"/>
  <c r="AN437" i="79"/>
  <c r="AL437" i="79" a="1"/>
  <c r="AL437" i="79" s="1"/>
  <c r="BH437" i="79" s="1"/>
  <c r="AH437" i="79"/>
  <c r="BX437" i="79"/>
  <c r="AW115" i="79" a="1"/>
  <c r="AW115" i="79" s="1"/>
  <c r="AP115" i="79"/>
  <c r="AV115" i="79"/>
  <c r="AO115" i="79"/>
  <c r="AM115" i="79"/>
  <c r="AU115" i="79" s="1"/>
  <c r="AZ115" i="79"/>
  <c r="BB115" i="79"/>
  <c r="AF33" i="79"/>
  <c r="AY266" i="79"/>
  <c r="BE266" i="79" s="1"/>
  <c r="AR266" i="79"/>
  <c r="AY437" i="79"/>
  <c r="BE437" i="79" s="1"/>
  <c r="AR437" i="79"/>
  <c r="BX517" i="79"/>
  <c r="AN517" i="79"/>
  <c r="AL517" i="79" a="1"/>
  <c r="AL517" i="79" s="1"/>
  <c r="BH517" i="79" s="1"/>
  <c r="AH517" i="79"/>
  <c r="AI517" i="79"/>
  <c r="AJ517" i="79"/>
  <c r="BX444" i="79"/>
  <c r="AL444" i="79" a="1"/>
  <c r="AL444" i="79" s="1"/>
  <c r="BH444" i="79" s="1"/>
  <c r="AN444" i="79"/>
  <c r="AJ444" i="79"/>
  <c r="AI444" i="79"/>
  <c r="AH444" i="79"/>
  <c r="AR109" i="79"/>
  <c r="AY109" i="79"/>
  <c r="BE109" i="79" s="1"/>
  <c r="AY30" i="79"/>
  <c r="BE30" i="79" s="1"/>
  <c r="AR30" i="79"/>
  <c r="AF30" i="79"/>
  <c r="AR226" i="79"/>
  <c r="AY226" i="79"/>
  <c r="BE226" i="79" s="1"/>
  <c r="AF226" i="79"/>
  <c r="AY353" i="79"/>
  <c r="BE353" i="79" s="1"/>
  <c r="AR353" i="79"/>
  <c r="AF353" i="79"/>
  <c r="AH343" i="79"/>
  <c r="AL343" i="79" a="1"/>
  <c r="AL343" i="79" s="1"/>
  <c r="BH343" i="79" s="1"/>
  <c r="BX343" i="79"/>
  <c r="AN343" i="79"/>
  <c r="AI343" i="79"/>
  <c r="AJ343" i="79"/>
  <c r="AR48" i="79"/>
  <c r="AY48" i="79"/>
  <c r="BE48" i="79" s="1"/>
  <c r="AF48" i="79"/>
  <c r="AN479" i="79"/>
  <c r="AL479" i="79" a="1"/>
  <c r="AL479" i="79" s="1"/>
  <c r="BH479" i="79" s="1"/>
  <c r="BX479" i="79"/>
  <c r="AJ479" i="79"/>
  <c r="AH479" i="79"/>
  <c r="AI479" i="79"/>
  <c r="AY475" i="79"/>
  <c r="BE475" i="79" s="1"/>
  <c r="AR475" i="79"/>
  <c r="AJ295" i="79"/>
  <c r="AI295" i="79"/>
  <c r="AN295" i="79"/>
  <c r="BX295" i="79"/>
  <c r="AH295" i="79"/>
  <c r="AL295" i="79" a="1"/>
  <c r="AL295" i="79" s="1"/>
  <c r="BH295" i="79" s="1"/>
  <c r="BX272" i="79"/>
  <c r="AH272" i="79"/>
  <c r="AL272" i="79" a="1"/>
  <c r="AL272" i="79" s="1"/>
  <c r="BH272" i="79" s="1"/>
  <c r="AJ272" i="79"/>
  <c r="AN272" i="79"/>
  <c r="AI272" i="79"/>
  <c r="AH166" i="79"/>
  <c r="AN166" i="79"/>
  <c r="AJ166" i="79"/>
  <c r="AL166" i="79" a="1"/>
  <c r="AL166" i="79" s="1"/>
  <c r="BH166" i="79" s="1"/>
  <c r="AI166" i="79"/>
  <c r="BX166" i="79"/>
  <c r="AR71" i="79"/>
  <c r="AN172" i="79"/>
  <c r="BX172" i="79"/>
  <c r="AH172" i="79"/>
  <c r="AL172" i="79" a="1"/>
  <c r="AL172" i="79" s="1"/>
  <c r="BH172" i="79" s="1"/>
  <c r="AJ172" i="79"/>
  <c r="AI172" i="79"/>
  <c r="AR131" i="79"/>
  <c r="AN467" i="79"/>
  <c r="BX467" i="79"/>
  <c r="AH467" i="79"/>
  <c r="AJ467" i="79"/>
  <c r="AL467" i="79" a="1"/>
  <c r="AL467" i="79" s="1"/>
  <c r="BH467" i="79" s="1"/>
  <c r="AI467" i="79"/>
  <c r="AH198" i="79"/>
  <c r="AI198" i="79"/>
  <c r="AJ198" i="79"/>
  <c r="BX198" i="79"/>
  <c r="AN198" i="79"/>
  <c r="AL198" i="79" a="1"/>
  <c r="AL198" i="79" s="1"/>
  <c r="BH198" i="79" s="1"/>
  <c r="AY272" i="79"/>
  <c r="BE272" i="79" s="1"/>
  <c r="AR272" i="79"/>
  <c r="AR221" i="79"/>
  <c r="AY221" i="79"/>
  <c r="BE221" i="79" s="1"/>
  <c r="AY105" i="79"/>
  <c r="BE105" i="79" s="1"/>
  <c r="AR105" i="79"/>
  <c r="AF105" i="79"/>
  <c r="AJ44" i="79"/>
  <c r="AI44" i="79"/>
  <c r="AH44" i="79"/>
  <c r="BX44" i="79"/>
  <c r="AL44" i="79" a="1"/>
  <c r="AL44" i="79" s="1"/>
  <c r="BH44" i="79" s="1"/>
  <c r="AN44" i="79"/>
  <c r="AY166" i="79"/>
  <c r="BE166" i="79" s="1"/>
  <c r="AR166" i="79"/>
  <c r="AN75" i="79"/>
  <c r="AI75" i="79"/>
  <c r="AH75" i="79"/>
  <c r="BX75" i="79"/>
  <c r="AL75" i="79" a="1"/>
  <c r="AL75" i="79" s="1"/>
  <c r="AJ75" i="79"/>
  <c r="AI389" i="79"/>
  <c r="AH389" i="79"/>
  <c r="AL389" i="79" a="1"/>
  <c r="AL389" i="79" s="1"/>
  <c r="BH389" i="79" s="1"/>
  <c r="AJ389" i="79"/>
  <c r="AN389" i="79"/>
  <c r="BX389" i="79"/>
  <c r="AJ151" i="79"/>
  <c r="AI151" i="79"/>
  <c r="AN151" i="79"/>
  <c r="BX151" i="79"/>
  <c r="AL151" i="79" a="1"/>
  <c r="AL151" i="79" s="1"/>
  <c r="BH151" i="79" s="1"/>
  <c r="AH151" i="79"/>
  <c r="AY261" i="79"/>
  <c r="BE261" i="79" s="1"/>
  <c r="AR261" i="79"/>
  <c r="AF261" i="79"/>
  <c r="AH145" i="79"/>
  <c r="AI145" i="79"/>
  <c r="AN145" i="79"/>
  <c r="AL145" i="79" a="1"/>
  <c r="AL145" i="79" s="1"/>
  <c r="BH145" i="79" s="1"/>
  <c r="AJ145" i="79"/>
  <c r="BX145" i="79"/>
  <c r="AY505" i="79"/>
  <c r="BE505" i="79" s="1"/>
  <c r="AR505" i="79"/>
  <c r="AR191" i="79"/>
  <c r="AY191" i="79"/>
  <c r="BE191" i="79" s="1"/>
  <c r="AF191" i="79"/>
  <c r="AJ405" i="79"/>
  <c r="AN405" i="79"/>
  <c r="BX405" i="79"/>
  <c r="AL405" i="79" a="1"/>
  <c r="AL405" i="79" s="1"/>
  <c r="BH405" i="79" s="1"/>
  <c r="AI405" i="79"/>
  <c r="AH405" i="79"/>
  <c r="AR151" i="79"/>
  <c r="AY151" i="79"/>
  <c r="BE151" i="79" s="1"/>
  <c r="AG100" i="79"/>
  <c r="AF100" i="79" s="1"/>
  <c r="AQ100" i="79"/>
  <c r="BG100" i="79" s="1"/>
  <c r="BA100" i="79" s="1"/>
  <c r="BD100" i="79" s="1"/>
  <c r="AL99" i="79" a="1"/>
  <c r="AL99" i="79" s="1"/>
  <c r="BH99" i="79" s="1"/>
  <c r="AN99" i="79"/>
  <c r="BX99" i="79"/>
  <c r="AH99" i="79"/>
  <c r="AJ99" i="79"/>
  <c r="AI99" i="79"/>
  <c r="BX58" i="79"/>
  <c r="AI58" i="79"/>
  <c r="AL58" i="79" a="1"/>
  <c r="AL58" i="79" s="1"/>
  <c r="BH58" i="79" s="1"/>
  <c r="AJ58" i="79"/>
  <c r="AH58" i="79"/>
  <c r="AN58" i="79"/>
  <c r="BD122" i="79"/>
  <c r="AH361" i="79"/>
  <c r="AN361" i="79"/>
  <c r="AJ361" i="79"/>
  <c r="AL361" i="79" a="1"/>
  <c r="AL361" i="79" s="1"/>
  <c r="BH361" i="79" s="1"/>
  <c r="AI361" i="79"/>
  <c r="BX361" i="79"/>
  <c r="AF505" i="79"/>
  <c r="AH244" i="79"/>
  <c r="BX244" i="79"/>
  <c r="AN244" i="79"/>
  <c r="AI244" i="79"/>
  <c r="AL244" i="79" a="1"/>
  <c r="AL244" i="79" s="1"/>
  <c r="BH244" i="79" s="1"/>
  <c r="AJ244" i="79"/>
  <c r="AN287" i="79"/>
  <c r="BX287" i="79"/>
  <c r="AI287" i="79"/>
  <c r="AL287" i="79" a="1"/>
  <c r="AL287" i="79" s="1"/>
  <c r="BH287" i="79" s="1"/>
  <c r="AJ287" i="79"/>
  <c r="AH287" i="79"/>
  <c r="AY414" i="79"/>
  <c r="BE414" i="79" s="1"/>
  <c r="AR414" i="79"/>
  <c r="AY58" i="79"/>
  <c r="BE58" i="79" s="1"/>
  <c r="AR58" i="79"/>
  <c r="AN246" i="79"/>
  <c r="AI246" i="79"/>
  <c r="AH246" i="79"/>
  <c r="AJ246" i="79"/>
  <c r="BX246" i="79"/>
  <c r="AL246" i="79" a="1"/>
  <c r="AL246" i="79" s="1"/>
  <c r="BH246" i="79" s="1"/>
  <c r="AF448" i="79"/>
  <c r="AN386" i="79"/>
  <c r="BX386" i="79"/>
  <c r="AL386" i="79" a="1"/>
  <c r="AL386" i="79" s="1"/>
  <c r="BH386" i="79" s="1"/>
  <c r="AH386" i="79"/>
  <c r="AJ386" i="79"/>
  <c r="AI386" i="79"/>
  <c r="AY361" i="79"/>
  <c r="BE361" i="79" s="1"/>
  <c r="AR361" i="79"/>
  <c r="AH480" i="79"/>
  <c r="AJ480" i="79"/>
  <c r="AI480" i="79"/>
  <c r="AN480" i="79"/>
  <c r="AL480" i="79" a="1"/>
  <c r="AL480" i="79" s="1"/>
  <c r="BH480" i="79" s="1"/>
  <c r="BX480" i="79"/>
  <c r="AR442" i="79"/>
  <c r="AY442" i="79"/>
  <c r="BE442" i="79" s="1"/>
  <c r="AF442" i="79"/>
  <c r="BX460" i="79"/>
  <c r="AL460" i="79" a="1"/>
  <c r="AL460" i="79" s="1"/>
  <c r="BH460" i="79" s="1"/>
  <c r="AN460" i="79"/>
  <c r="AH460" i="79"/>
  <c r="AJ460" i="79"/>
  <c r="AI460" i="79"/>
  <c r="AR102" i="79"/>
  <c r="AY102" i="79"/>
  <c r="BE102" i="79" s="1"/>
  <c r="AG51" i="79"/>
  <c r="AF51" i="79" s="1"/>
  <c r="AQ51" i="79"/>
  <c r="BG51" i="79" s="1"/>
  <c r="BA51" i="79" s="1"/>
  <c r="BD51" i="79" s="1"/>
  <c r="AF181" i="79"/>
  <c r="AF339" i="79"/>
  <c r="AF539" i="79"/>
  <c r="AR130" i="79"/>
  <c r="AJ375" i="79"/>
  <c r="AI375" i="79"/>
  <c r="AL375" i="79" a="1"/>
  <c r="AL375" i="79" s="1"/>
  <c r="BH375" i="79" s="1"/>
  <c r="AN375" i="79"/>
  <c r="AH375" i="79"/>
  <c r="BX375" i="79"/>
  <c r="AR426" i="79"/>
  <c r="AY426" i="79"/>
  <c r="BE426" i="79" s="1"/>
  <c r="AF426" i="79"/>
  <c r="AN55" i="79"/>
  <c r="AH55" i="79"/>
  <c r="BX55" i="79"/>
  <c r="AL55" i="79" a="1"/>
  <c r="AL55" i="79" s="1"/>
  <c r="BH55" i="79" s="1"/>
  <c r="AJ55" i="79"/>
  <c r="AI55" i="79"/>
  <c r="AF301" i="79"/>
  <c r="AI290" i="79"/>
  <c r="AH290" i="79"/>
  <c r="AN290" i="79"/>
  <c r="AJ290" i="79"/>
  <c r="BX290" i="79"/>
  <c r="AL290" i="79" a="1"/>
  <c r="AL290" i="79" s="1"/>
  <c r="BH290" i="79" s="1"/>
  <c r="AY194" i="79"/>
  <c r="BE194" i="79" s="1"/>
  <c r="AR194" i="79"/>
  <c r="AN376" i="79"/>
  <c r="AH376" i="79"/>
  <c r="BX376" i="79"/>
  <c r="AL376" i="79" a="1"/>
  <c r="AL376" i="79" s="1"/>
  <c r="BH376" i="79" s="1"/>
  <c r="AJ376" i="79"/>
  <c r="AI376" i="79"/>
  <c r="AF130" i="79"/>
  <c r="AW66" i="79" a="1"/>
  <c r="AW66" i="79" s="1"/>
  <c r="BB66" i="79"/>
  <c r="AO66" i="79"/>
  <c r="AM66" i="79"/>
  <c r="AU66" i="79" s="1"/>
  <c r="AP66" i="79"/>
  <c r="AZ66" i="79"/>
  <c r="AV66" i="79"/>
  <c r="BX366" i="79"/>
  <c r="AN366" i="79"/>
  <c r="AJ366" i="79"/>
  <c r="AI366" i="79"/>
  <c r="AH366" i="79"/>
  <c r="AL366" i="79" a="1"/>
  <c r="AL366" i="79" s="1"/>
  <c r="BH366" i="79" s="1"/>
  <c r="BX111" i="79"/>
  <c r="AN111" i="79"/>
  <c r="AJ111" i="79"/>
  <c r="AI111" i="79"/>
  <c r="AH111" i="79"/>
  <c r="AL111" i="79" a="1"/>
  <c r="AL111" i="79" s="1"/>
  <c r="BH111" i="79" s="1"/>
  <c r="AF91" i="79"/>
  <c r="BX504" i="79"/>
  <c r="AH504" i="79"/>
  <c r="AJ504" i="79"/>
  <c r="AI504" i="79"/>
  <c r="AN504" i="79"/>
  <c r="AL504" i="79" a="1"/>
  <c r="AL504" i="79" s="1"/>
  <c r="BH504" i="79" s="1"/>
  <c r="AR237" i="79"/>
  <c r="AY237" i="79"/>
  <c r="BE237" i="79" s="1"/>
  <c r="AR429" i="79"/>
  <c r="AY429" i="79"/>
  <c r="BE429" i="79" s="1"/>
  <c r="AR82" i="79"/>
  <c r="AY255" i="79"/>
  <c r="BE255" i="79" s="1"/>
  <c r="AR255" i="79"/>
  <c r="AN356" i="79"/>
  <c r="BX356" i="79"/>
  <c r="AL356" i="79" a="1"/>
  <c r="AL356" i="79" s="1"/>
  <c r="BH356" i="79" s="1"/>
  <c r="AI356" i="79"/>
  <c r="AH356" i="79"/>
  <c r="AJ356" i="79"/>
  <c r="AY416" i="79"/>
  <c r="BE416" i="79" s="1"/>
  <c r="AR416" i="79"/>
  <c r="AY57" i="79"/>
  <c r="BE57" i="79" s="1"/>
  <c r="AR57" i="79"/>
  <c r="AR294" i="79"/>
  <c r="AY294" i="79"/>
  <c r="BE294" i="79" s="1"/>
  <c r="AL23" i="79" a="1"/>
  <c r="AL23" i="79" s="1"/>
  <c r="AJ23" i="79"/>
  <c r="AH23" i="79"/>
  <c r="AI23" i="79"/>
  <c r="AN23" i="79"/>
  <c r="BX23" i="79"/>
  <c r="AN222" i="79"/>
  <c r="BX222" i="79"/>
  <c r="AL222" i="79" a="1"/>
  <c r="AL222" i="79" s="1"/>
  <c r="BH222" i="79" s="1"/>
  <c r="AH222" i="79"/>
  <c r="AI222" i="79"/>
  <c r="AJ222" i="79"/>
  <c r="AR496" i="79"/>
  <c r="AY496" i="79"/>
  <c r="BE496" i="79" s="1"/>
  <c r="BX42" i="79"/>
  <c r="AL42" i="79" a="1"/>
  <c r="AL42" i="79" s="1"/>
  <c r="BH42" i="79" s="1"/>
  <c r="AN42" i="79"/>
  <c r="AJ42" i="79"/>
  <c r="AI42" i="79"/>
  <c r="AH42" i="79"/>
  <c r="AJ159" i="79"/>
  <c r="AI159" i="79"/>
  <c r="AH159" i="79"/>
  <c r="BX159" i="79"/>
  <c r="AL159" i="79" a="1"/>
  <c r="AL159" i="79" s="1"/>
  <c r="BH159" i="79" s="1"/>
  <c r="AN159" i="79"/>
  <c r="AJ381" i="79"/>
  <c r="AI381" i="79"/>
  <c r="BX381" i="79"/>
  <c r="AH381" i="79"/>
  <c r="AN381" i="79"/>
  <c r="AL381" i="79" a="1"/>
  <c r="AL381" i="79" s="1"/>
  <c r="BH381" i="79" s="1"/>
  <c r="BX523" i="79"/>
  <c r="AN523" i="79"/>
  <c r="AI523" i="79"/>
  <c r="AH523" i="79"/>
  <c r="AL523" i="79" a="1"/>
  <c r="AL523" i="79" s="1"/>
  <c r="BH523" i="79" s="1"/>
  <c r="AJ523" i="79"/>
  <c r="AY356" i="79"/>
  <c r="BE356" i="79" s="1"/>
  <c r="AR356" i="79"/>
  <c r="AH458" i="79"/>
  <c r="AN458" i="79"/>
  <c r="AJ458" i="79"/>
  <c r="AI458" i="79"/>
  <c r="AL458" i="79" a="1"/>
  <c r="AL458" i="79" s="1"/>
  <c r="BH458" i="79" s="1"/>
  <c r="BX458" i="79"/>
  <c r="AR137" i="79"/>
  <c r="AY137" i="79"/>
  <c r="BE137" i="79" s="1"/>
  <c r="AY354" i="79"/>
  <c r="BE354" i="79" s="1"/>
  <c r="AR354" i="79"/>
  <c r="AN438" i="79"/>
  <c r="BX438" i="79"/>
  <c r="AL438" i="79" a="1"/>
  <c r="AL438" i="79" s="1"/>
  <c r="BH438" i="79" s="1"/>
  <c r="AH438" i="79"/>
  <c r="AJ438" i="79"/>
  <c r="AI438" i="79"/>
  <c r="AJ131" i="79"/>
  <c r="AL131" i="79" a="1"/>
  <c r="AL131" i="79" s="1"/>
  <c r="AI131" i="79"/>
  <c r="AH131" i="79"/>
  <c r="BX131" i="79"/>
  <c r="AN131" i="79"/>
  <c r="AR42" i="79"/>
  <c r="AY42" i="79"/>
  <c r="BE42" i="79" s="1"/>
  <c r="AL106" i="79" a="1"/>
  <c r="AL106" i="79" s="1"/>
  <c r="BH106" i="79" s="1"/>
  <c r="AH106" i="79"/>
  <c r="AN106" i="79"/>
  <c r="BX106" i="79"/>
  <c r="AJ106" i="79"/>
  <c r="AI106" i="79"/>
  <c r="AN510" i="79"/>
  <c r="BX510" i="79"/>
  <c r="AJ510" i="79"/>
  <c r="AH510" i="79"/>
  <c r="AI510" i="79"/>
  <c r="AL510" i="79" a="1"/>
  <c r="AL510" i="79" s="1"/>
  <c r="BH510" i="79" s="1"/>
  <c r="AF237" i="79"/>
  <c r="AR243" i="79"/>
  <c r="AY243" i="79"/>
  <c r="BE243" i="79" s="1"/>
  <c r="AL276" i="79" a="1"/>
  <c r="AL276" i="79" s="1"/>
  <c r="BH276" i="79" s="1"/>
  <c r="BX276" i="79"/>
  <c r="AJ276" i="79"/>
  <c r="AI276" i="79"/>
  <c r="AH276" i="79"/>
  <c r="AN276" i="79"/>
  <c r="AY438" i="79"/>
  <c r="BE438" i="79" s="1"/>
  <c r="AR438" i="79"/>
  <c r="AY367" i="79"/>
  <c r="BE367" i="79" s="1"/>
  <c r="AR367" i="79"/>
  <c r="AF367" i="79"/>
  <c r="AL84" i="79" a="1"/>
  <c r="AL84" i="79" s="1"/>
  <c r="BX84" i="79"/>
  <c r="AN84" i="79"/>
  <c r="AJ84" i="79"/>
  <c r="AI84" i="79"/>
  <c r="AH84" i="79"/>
  <c r="AI274" i="79"/>
  <c r="AH274" i="79"/>
  <c r="AJ274" i="79"/>
  <c r="AN274" i="79"/>
  <c r="BX274" i="79"/>
  <c r="AL274" i="79" a="1"/>
  <c r="AL274" i="79" s="1"/>
  <c r="BH274" i="79" s="1"/>
  <c r="BX432" i="79"/>
  <c r="AL432" i="79" a="1"/>
  <c r="AL432" i="79" s="1"/>
  <c r="BH432" i="79" s="1"/>
  <c r="AN432" i="79"/>
  <c r="AH432" i="79"/>
  <c r="AI432" i="79"/>
  <c r="AJ432" i="79"/>
  <c r="AY510" i="79"/>
  <c r="BE510" i="79" s="1"/>
  <c r="AR510" i="79"/>
  <c r="BX147" i="79"/>
  <c r="AI147" i="79"/>
  <c r="AH147" i="79"/>
  <c r="AL147" i="79" a="1"/>
  <c r="AL147" i="79" s="1"/>
  <c r="BH147" i="79" s="1"/>
  <c r="AN147" i="79"/>
  <c r="AJ147" i="79"/>
  <c r="AI465" i="79"/>
  <c r="AL465" i="79" a="1"/>
  <c r="AL465" i="79" s="1"/>
  <c r="BH465" i="79" s="1"/>
  <c r="BX465" i="79"/>
  <c r="AH465" i="79"/>
  <c r="AJ465" i="79"/>
  <c r="AN465" i="79"/>
  <c r="AH205" i="79"/>
  <c r="BX205" i="79"/>
  <c r="AL205" i="79" a="1"/>
  <c r="AL205" i="79" s="1"/>
  <c r="BH205" i="79" s="1"/>
  <c r="AI205" i="79"/>
  <c r="AJ205" i="79"/>
  <c r="AN205" i="79"/>
  <c r="AR405" i="79"/>
  <c r="AY405" i="79"/>
  <c r="BE405" i="79" s="1"/>
  <c r="AL284" i="79" a="1"/>
  <c r="AL284" i="79" s="1"/>
  <c r="BH284" i="79" s="1"/>
  <c r="AN284" i="79"/>
  <c r="AH284" i="79"/>
  <c r="AI284" i="79"/>
  <c r="AJ284" i="79"/>
  <c r="BX284" i="79"/>
  <c r="AF243" i="79"/>
  <c r="AH174" i="79"/>
  <c r="AL174" i="79" a="1"/>
  <c r="AL174" i="79" s="1"/>
  <c r="BH174" i="79" s="1"/>
  <c r="AJ174" i="79"/>
  <c r="AI174" i="79"/>
  <c r="AN174" i="79"/>
  <c r="BX174" i="79"/>
  <c r="AG78" i="79"/>
  <c r="AQ78" i="79"/>
  <c r="BG78" i="79" s="1"/>
  <c r="BA78" i="79" s="1"/>
  <c r="BB78" i="79" s="1"/>
  <c r="AF109" i="79"/>
  <c r="AR401" i="79"/>
  <c r="AY401" i="79"/>
  <c r="BE401" i="79" s="1"/>
  <c r="AF401" i="79"/>
  <c r="AF71" i="79"/>
  <c r="BD131" i="79"/>
  <c r="BX318" i="79"/>
  <c r="AJ318" i="79"/>
  <c r="AI318" i="79"/>
  <c r="AH318" i="79"/>
  <c r="AN318" i="79"/>
  <c r="AL318" i="79" a="1"/>
  <c r="AL318" i="79" s="1"/>
  <c r="BH318" i="79" s="1"/>
  <c r="AL362" i="79" a="1"/>
  <c r="AL362" i="79" s="1"/>
  <c r="BH362" i="79" s="1"/>
  <c r="AI362" i="79"/>
  <c r="AH362" i="79"/>
  <c r="AJ362" i="79"/>
  <c r="AN362" i="79"/>
  <c r="BX362" i="79"/>
  <c r="AR84" i="79"/>
  <c r="AY274" i="79"/>
  <c r="BE274" i="79" s="1"/>
  <c r="AR274" i="79"/>
  <c r="AN156" i="79"/>
  <c r="AL156" i="79" a="1"/>
  <c r="AL156" i="79" s="1"/>
  <c r="BH156" i="79" s="1"/>
  <c r="AJ156" i="79"/>
  <c r="AI156" i="79"/>
  <c r="BX156" i="79"/>
  <c r="AH156" i="79"/>
  <c r="AR295" i="79"/>
  <c r="AY295" i="79"/>
  <c r="BE295" i="79" s="1"/>
  <c r="AL208" i="79" a="1"/>
  <c r="AL208" i="79" s="1"/>
  <c r="BH208" i="79" s="1"/>
  <c r="AH208" i="79"/>
  <c r="BX208" i="79"/>
  <c r="AI208" i="79"/>
  <c r="AJ208" i="79"/>
  <c r="AN208" i="79"/>
  <c r="BX388" i="79"/>
  <c r="AL388" i="79" a="1"/>
  <c r="AL388" i="79" s="1"/>
  <c r="BH388" i="79" s="1"/>
  <c r="AN388" i="79"/>
  <c r="AJ388" i="79"/>
  <c r="AI388" i="79"/>
  <c r="AH388" i="79"/>
  <c r="AI288" i="79"/>
  <c r="AH288" i="79"/>
  <c r="AJ288" i="79"/>
  <c r="AL288" i="79" a="1"/>
  <c r="AL288" i="79" s="1"/>
  <c r="BH288" i="79" s="1"/>
  <c r="AN288" i="79"/>
  <c r="BX288" i="79"/>
  <c r="AF507" i="79"/>
  <c r="AR201" i="79"/>
  <c r="AY201" i="79"/>
  <c r="BE201" i="79" s="1"/>
  <c r="AF221" i="79"/>
  <c r="AR197" i="79"/>
  <c r="AY197" i="79"/>
  <c r="BE197" i="79" s="1"/>
  <c r="AF197" i="79"/>
  <c r="BB28" i="79"/>
  <c r="AY189" i="79"/>
  <c r="BE189" i="79" s="1"/>
  <c r="AR189" i="79"/>
  <c r="AF189" i="79"/>
  <c r="BX186" i="79"/>
  <c r="AN186" i="79"/>
  <c r="AJ186" i="79"/>
  <c r="AI186" i="79"/>
  <c r="AL186" i="79" a="1"/>
  <c r="AL186" i="79" s="1"/>
  <c r="BH186" i="79" s="1"/>
  <c r="AH186" i="79"/>
  <c r="AG126" i="79"/>
  <c r="AF126" i="79" s="1"/>
  <c r="AQ126" i="79"/>
  <c r="BG126" i="79" s="1"/>
  <c r="BA126" i="79" s="1"/>
  <c r="BX77" i="79"/>
  <c r="AL77" i="79" a="1"/>
  <c r="AL77" i="79" s="1"/>
  <c r="AJ77" i="79"/>
  <c r="AI77" i="79"/>
  <c r="AN77" i="79"/>
  <c r="AH77" i="79"/>
  <c r="AN83" i="79"/>
  <c r="AJ83" i="79"/>
  <c r="AI83" i="79"/>
  <c r="AH83" i="79"/>
  <c r="AL83" i="79" a="1"/>
  <c r="AL83" i="79" s="1"/>
  <c r="BX83" i="79"/>
  <c r="AN487" i="79"/>
  <c r="BX487" i="79"/>
  <c r="AI487" i="79"/>
  <c r="AH487" i="79"/>
  <c r="AJ487" i="79"/>
  <c r="AL487" i="79" a="1"/>
  <c r="AL487" i="79" s="1"/>
  <c r="BH487" i="79" s="1"/>
  <c r="AR376" i="79"/>
  <c r="AY376" i="79"/>
  <c r="BE376" i="79" s="1"/>
  <c r="AY477" i="79"/>
  <c r="BE477" i="79" s="1"/>
  <c r="AR477" i="79"/>
  <c r="AY304" i="79"/>
  <c r="BE304" i="79" s="1"/>
  <c r="AR304" i="79"/>
  <c r="AR124" i="79"/>
  <c r="AJ289" i="79"/>
  <c r="AI289" i="79"/>
  <c r="AL289" i="79" a="1"/>
  <c r="AL289" i="79" s="1"/>
  <c r="BH289" i="79" s="1"/>
  <c r="AN289" i="79"/>
  <c r="BX289" i="79"/>
  <c r="AH289" i="79"/>
  <c r="AH231" i="79"/>
  <c r="AN231" i="79"/>
  <c r="AL231" i="79" a="1"/>
  <c r="AL231" i="79" s="1"/>
  <c r="BH231" i="79" s="1"/>
  <c r="AI231" i="79"/>
  <c r="BX231" i="79"/>
  <c r="AJ231" i="79"/>
  <c r="AH182" i="79"/>
  <c r="AL182" i="79" a="1"/>
  <c r="AL182" i="79" s="1"/>
  <c r="BH182" i="79" s="1"/>
  <c r="AN182" i="79"/>
  <c r="BX182" i="79"/>
  <c r="AJ182" i="79"/>
  <c r="AI182" i="79"/>
  <c r="AG52" i="79"/>
  <c r="AF52" i="79" s="1"/>
  <c r="AQ52" i="79"/>
  <c r="BG52" i="79" s="1"/>
  <c r="BA52" i="79" s="1"/>
  <c r="BD52" i="79" s="1"/>
  <c r="AY244" i="79"/>
  <c r="BE244" i="79" s="1"/>
  <c r="AR244" i="79"/>
  <c r="AR253" i="79"/>
  <c r="AY253" i="79"/>
  <c r="BE253" i="79" s="1"/>
  <c r="AR129" i="79"/>
  <c r="AN419" i="79"/>
  <c r="BX419" i="79"/>
  <c r="AI419" i="79"/>
  <c r="AL419" i="79" a="1"/>
  <c r="AL419" i="79" s="1"/>
  <c r="BH419" i="79" s="1"/>
  <c r="AJ419" i="79"/>
  <c r="AH419" i="79"/>
  <c r="AR87" i="79"/>
  <c r="AY87" i="79"/>
  <c r="BE87" i="79" s="1"/>
  <c r="AR521" i="79"/>
  <c r="AY521" i="79"/>
  <c r="BE521" i="79" s="1"/>
  <c r="AY310" i="79"/>
  <c r="BE310" i="79" s="1"/>
  <c r="AR310" i="79"/>
  <c r="AR377" i="79"/>
  <c r="AY377" i="79"/>
  <c r="BE377" i="79" s="1"/>
  <c r="AI132" i="79"/>
  <c r="AH132" i="79"/>
  <c r="BX132" i="79"/>
  <c r="AN132" i="79"/>
  <c r="AL132" i="79" a="1"/>
  <c r="AL132" i="79" s="1"/>
  <c r="AJ132" i="79"/>
  <c r="AG125" i="79"/>
  <c r="AF125" i="79" s="1"/>
  <c r="AQ125" i="79"/>
  <c r="BG125" i="79" s="1"/>
  <c r="BA125" i="79" s="1"/>
  <c r="AN431" i="79"/>
  <c r="AH431" i="79"/>
  <c r="AI431" i="79"/>
  <c r="AJ431" i="79"/>
  <c r="BX431" i="79"/>
  <c r="AL431" i="79" a="1"/>
  <c r="AL431" i="79" s="1"/>
  <c r="BH431" i="79" s="1"/>
  <c r="BX334" i="79"/>
  <c r="AH334" i="79"/>
  <c r="AL334" i="79" a="1"/>
  <c r="AL334" i="79" s="1"/>
  <c r="BH334" i="79" s="1"/>
  <c r="AJ334" i="79"/>
  <c r="AI334" i="79"/>
  <c r="AN334" i="79"/>
  <c r="AJ307" i="79"/>
  <c r="AI307" i="79"/>
  <c r="AH307" i="79"/>
  <c r="AN307" i="79"/>
  <c r="BX307" i="79"/>
  <c r="AL307" i="79" a="1"/>
  <c r="AL307" i="79" s="1"/>
  <c r="BH307" i="79" s="1"/>
  <c r="AJ183" i="79"/>
  <c r="AI183" i="79"/>
  <c r="BX183" i="79"/>
  <c r="AH183" i="79"/>
  <c r="AN183" i="79"/>
  <c r="AL183" i="79" a="1"/>
  <c r="AL183" i="79" s="1"/>
  <c r="BH183" i="79" s="1"/>
  <c r="AN34" i="79"/>
  <c r="BX34" i="79"/>
  <c r="AJ34" i="79"/>
  <c r="AH34" i="79"/>
  <c r="AL34" i="79" a="1"/>
  <c r="AL34" i="79" s="1"/>
  <c r="BH34" i="79" s="1"/>
  <c r="AI34" i="79"/>
  <c r="AR146" i="79"/>
  <c r="AY146" i="79"/>
  <c r="BE146" i="79" s="1"/>
  <c r="AJ73" i="79"/>
  <c r="AI73" i="79"/>
  <c r="AH73" i="79"/>
  <c r="BX73" i="79"/>
  <c r="AL73" i="79" a="1"/>
  <c r="AL73" i="79" s="1"/>
  <c r="AN73" i="79"/>
  <c r="AR147" i="79"/>
  <c r="AY147" i="79"/>
  <c r="BE147" i="79" s="1"/>
  <c r="AR419" i="79"/>
  <c r="AY419" i="79"/>
  <c r="BE419" i="79" s="1"/>
  <c r="AY182" i="79"/>
  <c r="BE182" i="79" s="1"/>
  <c r="AR182" i="79"/>
  <c r="AN46" i="79"/>
  <c r="AI46" i="79"/>
  <c r="AJ46" i="79"/>
  <c r="AH46" i="79"/>
  <c r="AL46" i="79" a="1"/>
  <c r="AL46" i="79" s="1"/>
  <c r="BH46" i="79" s="1"/>
  <c r="BX46" i="79"/>
  <c r="AR213" i="79"/>
  <c r="AY213" i="79"/>
  <c r="BE213" i="79" s="1"/>
  <c r="AY385" i="79"/>
  <c r="BE385" i="79" s="1"/>
  <c r="AR385" i="79"/>
  <c r="AR165" i="79"/>
  <c r="AY165" i="79"/>
  <c r="BE165" i="79" s="1"/>
  <c r="AY50" i="79"/>
  <c r="BE50" i="79" s="1"/>
  <c r="AR50" i="79"/>
  <c r="AQ27" i="79"/>
  <c r="BG27" i="79" s="1"/>
  <c r="BA27" i="79" s="1"/>
  <c r="BB27" i="79" s="1"/>
  <c r="AG27" i="79"/>
  <c r="AF27" i="79" s="1"/>
  <c r="AY112" i="79"/>
  <c r="BE112" i="79" s="1"/>
  <c r="AR112" i="79"/>
  <c r="AN229" i="79"/>
  <c r="AL229" i="79" a="1"/>
  <c r="AL229" i="79" s="1"/>
  <c r="BH229" i="79" s="1"/>
  <c r="AH229" i="79"/>
  <c r="AI229" i="79"/>
  <c r="AJ229" i="79"/>
  <c r="BX229" i="79"/>
  <c r="AN59" i="79"/>
  <c r="AI59" i="79"/>
  <c r="AH59" i="79"/>
  <c r="BX59" i="79"/>
  <c r="AL59" i="79" a="1"/>
  <c r="AL59" i="79" s="1"/>
  <c r="BH59" i="79" s="1"/>
  <c r="AJ59" i="79"/>
  <c r="AR542" i="79"/>
  <c r="AY542" i="79"/>
  <c r="BE542" i="79" s="1"/>
  <c r="AR34" i="79"/>
  <c r="AY34" i="79"/>
  <c r="BE34" i="79" s="1"/>
  <c r="AR481" i="79"/>
  <c r="AY481" i="79"/>
  <c r="BE481" i="79" s="1"/>
  <c r="AH524" i="79"/>
  <c r="AL524" i="79" a="1"/>
  <c r="AL524" i="79" s="1"/>
  <c r="BH524" i="79" s="1"/>
  <c r="AI524" i="79"/>
  <c r="AJ524" i="79"/>
  <c r="AN524" i="79"/>
  <c r="BX524" i="79"/>
  <c r="AR172" i="79"/>
  <c r="AY172" i="79"/>
  <c r="BE172" i="79" s="1"/>
  <c r="AY350" i="79"/>
  <c r="BE350" i="79" s="1"/>
  <c r="AR350" i="79"/>
  <c r="AL292" i="79" a="1"/>
  <c r="AL292" i="79" s="1"/>
  <c r="BH292" i="79" s="1"/>
  <c r="AI292" i="79"/>
  <c r="AH292" i="79"/>
  <c r="AJ292" i="79"/>
  <c r="BX292" i="79"/>
  <c r="AN292" i="79"/>
  <c r="AF253" i="79"/>
  <c r="AR28" i="79"/>
  <c r="AY324" i="79"/>
  <c r="BE324" i="79" s="1"/>
  <c r="AR324" i="79"/>
  <c r="AY413" i="79"/>
  <c r="BE413" i="79" s="1"/>
  <c r="AR413" i="79"/>
  <c r="BD132" i="79"/>
  <c r="AJ45" i="79"/>
  <c r="AH45" i="79"/>
  <c r="AI45" i="79"/>
  <c r="AL45" i="79" a="1"/>
  <c r="AL45" i="79" s="1"/>
  <c r="BH45" i="79" s="1"/>
  <c r="BX45" i="79"/>
  <c r="AN45" i="79"/>
  <c r="AN492" i="79"/>
  <c r="BX492" i="79"/>
  <c r="AI492" i="79"/>
  <c r="AH492" i="79"/>
  <c r="AJ492" i="79"/>
  <c r="AL492" i="79" a="1"/>
  <c r="AL492" i="79" s="1"/>
  <c r="BH492" i="79" s="1"/>
  <c r="AQ123" i="79"/>
  <c r="BG123" i="79" s="1"/>
  <c r="BA123" i="79" s="1"/>
  <c r="AG123" i="79"/>
  <c r="AF123" i="79" s="1"/>
  <c r="BX193" i="79"/>
  <c r="AN193" i="79"/>
  <c r="AL193" i="79" a="1"/>
  <c r="AL193" i="79" s="1"/>
  <c r="BH193" i="79" s="1"/>
  <c r="AI193" i="79"/>
  <c r="AH193" i="79"/>
  <c r="AJ193" i="79"/>
  <c r="AY445" i="79"/>
  <c r="BE445" i="79" s="1"/>
  <c r="AR445" i="79"/>
  <c r="AR487" i="79"/>
  <c r="AY487" i="79"/>
  <c r="BE487" i="79" s="1"/>
  <c r="AY337" i="79"/>
  <c r="BE337" i="79" s="1"/>
  <c r="AR337" i="79"/>
  <c r="AY69" i="79"/>
  <c r="BE69" i="79" s="1"/>
  <c r="AR69" i="79"/>
  <c r="AR268" i="79"/>
  <c r="AY268" i="79"/>
  <c r="BE268" i="79" s="1"/>
  <c r="AR289" i="79"/>
  <c r="AY289" i="79"/>
  <c r="BE289" i="79" s="1"/>
  <c r="AR77" i="79"/>
  <c r="AN155" i="79"/>
  <c r="AL155" i="79" a="1"/>
  <c r="AL155" i="79" s="1"/>
  <c r="BH155" i="79" s="1"/>
  <c r="AJ155" i="79"/>
  <c r="AI155" i="79"/>
  <c r="AH155" i="79"/>
  <c r="BX155" i="79"/>
  <c r="AR491" i="79"/>
  <c r="AY491" i="79"/>
  <c r="BE491" i="79" s="1"/>
  <c r="AJ139" i="79"/>
  <c r="AI139" i="79"/>
  <c r="AH139" i="79"/>
  <c r="AL139" i="79" a="1"/>
  <c r="AL139" i="79" s="1"/>
  <c r="BH139" i="79" s="1"/>
  <c r="BX139" i="79"/>
  <c r="AN139" i="79"/>
  <c r="AR523" i="79"/>
  <c r="AY523" i="79"/>
  <c r="BE523" i="79" s="1"/>
  <c r="AJ450" i="79"/>
  <c r="AN450" i="79"/>
  <c r="BX450" i="79"/>
  <c r="AL450" i="79" a="1"/>
  <c r="AL450" i="79" s="1"/>
  <c r="BH450" i="79" s="1"/>
  <c r="AI450" i="79"/>
  <c r="AH450" i="79"/>
  <c r="AR332" i="79"/>
  <c r="AY332" i="79"/>
  <c r="BE332" i="79" s="1"/>
  <c r="BX391" i="79"/>
  <c r="AN391" i="79"/>
  <c r="AL391" i="79" a="1"/>
  <c r="AL391" i="79" s="1"/>
  <c r="BH391" i="79" s="1"/>
  <c r="AH391" i="79"/>
  <c r="AI391" i="79"/>
  <c r="AJ391" i="79"/>
  <c r="AY258" i="79"/>
  <c r="BE258" i="79" s="1"/>
  <c r="AR258" i="79"/>
  <c r="AY135" i="79"/>
  <c r="BE135" i="79" s="1"/>
  <c r="AR135" i="79"/>
  <c r="AF445" i="79"/>
  <c r="AY492" i="79"/>
  <c r="BE492" i="79" s="1"/>
  <c r="AR492" i="79"/>
  <c r="BX472" i="79"/>
  <c r="AI472" i="79"/>
  <c r="AH472" i="79"/>
  <c r="AL472" i="79" a="1"/>
  <c r="AL472" i="79" s="1"/>
  <c r="BH472" i="79" s="1"/>
  <c r="AN472" i="79"/>
  <c r="AJ472" i="79"/>
  <c r="AY464" i="79"/>
  <c r="BE464" i="79" s="1"/>
  <c r="AR464" i="79"/>
  <c r="BD127" i="79"/>
  <c r="AR517" i="79"/>
  <c r="AY517" i="79"/>
  <c r="BE517" i="79" s="1"/>
  <c r="AY210" i="79"/>
  <c r="BE210" i="79" s="1"/>
  <c r="AR210" i="79"/>
  <c r="AY450" i="79"/>
  <c r="BE450" i="79" s="1"/>
  <c r="AR450" i="79"/>
  <c r="AN297" i="79"/>
  <c r="BX297" i="79"/>
  <c r="AH297" i="79"/>
  <c r="AL297" i="79" a="1"/>
  <c r="AL297" i="79" s="1"/>
  <c r="BH297" i="79" s="1"/>
  <c r="AJ297" i="79"/>
  <c r="AI297" i="79"/>
  <c r="AN72" i="79"/>
  <c r="AI72" i="79"/>
  <c r="AL72" i="79" a="1"/>
  <c r="AL72" i="79" s="1"/>
  <c r="BX72" i="79"/>
  <c r="AJ72" i="79"/>
  <c r="AH72" i="79"/>
  <c r="BX385" i="79"/>
  <c r="AN385" i="79"/>
  <c r="AJ385" i="79"/>
  <c r="AI385" i="79"/>
  <c r="AH385" i="79"/>
  <c r="AL385" i="79" a="1"/>
  <c r="AL385" i="79" s="1"/>
  <c r="BH385" i="79" s="1"/>
  <c r="AN112" i="79"/>
  <c r="AL112" i="79" a="1"/>
  <c r="AL112" i="79" s="1"/>
  <c r="BH112" i="79" s="1"/>
  <c r="AH112" i="79"/>
  <c r="AI112" i="79"/>
  <c r="AJ112" i="79"/>
  <c r="BX112" i="79"/>
  <c r="AR372" i="79"/>
  <c r="AY372" i="79"/>
  <c r="BE372" i="79" s="1"/>
  <c r="AY399" i="79"/>
  <c r="BE399" i="79" s="1"/>
  <c r="AR399" i="79"/>
  <c r="AI31" i="79"/>
  <c r="BX31" i="79"/>
  <c r="AN31" i="79"/>
  <c r="AL31" i="79" a="1"/>
  <c r="AL31" i="79" s="1"/>
  <c r="BH31" i="79" s="1"/>
  <c r="AJ31" i="79"/>
  <c r="AH31" i="79"/>
  <c r="AL94" i="79" a="1"/>
  <c r="AL94" i="79" s="1"/>
  <c r="BH94" i="79" s="1"/>
  <c r="AI94" i="79"/>
  <c r="AH94" i="79"/>
  <c r="AN94" i="79"/>
  <c r="AJ94" i="79"/>
  <c r="BX94" i="79"/>
  <c r="AR81" i="79"/>
  <c r="AY370" i="79"/>
  <c r="BE370" i="79" s="1"/>
  <c r="AR370" i="79"/>
  <c r="AR72" i="79"/>
  <c r="BX322" i="79"/>
  <c r="AJ322" i="79"/>
  <c r="AI322" i="79"/>
  <c r="AH322" i="79"/>
  <c r="AL322" i="79" a="1"/>
  <c r="AL322" i="79" s="1"/>
  <c r="BH322" i="79" s="1"/>
  <c r="AN322" i="79"/>
  <c r="AR307" i="79"/>
  <c r="AY307" i="79"/>
  <c r="BE307" i="79" s="1"/>
  <c r="AR183" i="79"/>
  <c r="AY183" i="79"/>
  <c r="BE183" i="79" s="1"/>
  <c r="AF87" i="79"/>
  <c r="AR423" i="79"/>
  <c r="AY423" i="79"/>
  <c r="BE423" i="79" s="1"/>
  <c r="AI211" i="79"/>
  <c r="AH211" i="79"/>
  <c r="AN211" i="79"/>
  <c r="BX211" i="79"/>
  <c r="AL211" i="79" a="1"/>
  <c r="AL211" i="79" s="1"/>
  <c r="BH211" i="79" s="1"/>
  <c r="AJ211" i="79"/>
  <c r="BX350" i="79"/>
  <c r="AL350" i="79" a="1"/>
  <c r="AL350" i="79" s="1"/>
  <c r="BH350" i="79" s="1"/>
  <c r="AN350" i="79"/>
  <c r="AI350" i="79"/>
  <c r="AH350" i="79"/>
  <c r="AJ350" i="79"/>
  <c r="AN324" i="79"/>
  <c r="AH324" i="79"/>
  <c r="BX324" i="79"/>
  <c r="AJ324" i="79"/>
  <c r="AI324" i="79"/>
  <c r="AL324" i="79" a="1"/>
  <c r="AL324" i="79" s="1"/>
  <c r="BH324" i="79" s="1"/>
  <c r="AY31" i="79"/>
  <c r="BE31" i="79" s="1"/>
  <c r="AR31" i="79"/>
  <c r="AR94" i="79"/>
  <c r="AY94" i="79"/>
  <c r="BE94" i="79" s="1"/>
  <c r="AR37" i="79"/>
  <c r="AY37" i="79"/>
  <c r="BE37" i="79" s="1"/>
  <c r="AL348" i="79" a="1"/>
  <c r="AL348" i="79" s="1"/>
  <c r="BH348" i="79" s="1"/>
  <c r="AI348" i="79"/>
  <c r="BX348" i="79"/>
  <c r="AN348" i="79"/>
  <c r="AH348" i="79"/>
  <c r="AJ348" i="79"/>
  <c r="AR139" i="79"/>
  <c r="AY139" i="79"/>
  <c r="BE139" i="79" s="1"/>
  <c r="AF370" i="79"/>
  <c r="AR312" i="79"/>
  <c r="AY312" i="79"/>
  <c r="BE312" i="79" s="1"/>
  <c r="AI228" i="79"/>
  <c r="AH228" i="79"/>
  <c r="AN228" i="79"/>
  <c r="AJ228" i="79"/>
  <c r="AL228" i="79" a="1"/>
  <c r="AL228" i="79" s="1"/>
  <c r="BH228" i="79" s="1"/>
  <c r="BX228" i="79"/>
  <c r="AH110" i="79"/>
  <c r="AL110" i="79" a="1"/>
  <c r="AL110" i="79" s="1"/>
  <c r="BH110" i="79" s="1"/>
  <c r="AJ110" i="79"/>
  <c r="AI110" i="79"/>
  <c r="BX110" i="79"/>
  <c r="AN110" i="79"/>
  <c r="BX302" i="79"/>
  <c r="AN302" i="79"/>
  <c r="AH302" i="79"/>
  <c r="AL302" i="79" a="1"/>
  <c r="AL302" i="79" s="1"/>
  <c r="BH302" i="79" s="1"/>
  <c r="AJ302" i="79"/>
  <c r="AI302" i="79"/>
  <c r="AN296" i="79"/>
  <c r="BX296" i="79"/>
  <c r="AI296" i="79"/>
  <c r="AH296" i="79"/>
  <c r="AJ296" i="79"/>
  <c r="AL296" i="79" a="1"/>
  <c r="AL296" i="79" s="1"/>
  <c r="BH296" i="79" s="1"/>
  <c r="AY219" i="79"/>
  <c r="BE219" i="79" s="1"/>
  <c r="AR219" i="79"/>
  <c r="AY348" i="79"/>
  <c r="BE348" i="79" s="1"/>
  <c r="AR348" i="79"/>
  <c r="AY206" i="79"/>
  <c r="BE206" i="79" s="1"/>
  <c r="AR206" i="79"/>
  <c r="AG79" i="79"/>
  <c r="AQ79" i="79"/>
  <c r="BG79" i="79" s="1"/>
  <c r="BA79" i="79" s="1"/>
  <c r="BB79" i="79" s="1"/>
  <c r="AR228" i="79"/>
  <c r="AY228" i="79"/>
  <c r="BE228" i="79" s="1"/>
  <c r="AQ43" i="79"/>
  <c r="BG43" i="79" s="1"/>
  <c r="BA43" i="79" s="1"/>
  <c r="BD43" i="79" s="1"/>
  <c r="AG43" i="79"/>
  <c r="AF43" i="79" s="1"/>
  <c r="AY260" i="79"/>
  <c r="BE260" i="79" s="1"/>
  <c r="AR260" i="79"/>
  <c r="AY386" i="79"/>
  <c r="BE386" i="79" s="1"/>
  <c r="AR386" i="79"/>
  <c r="AF210" i="79"/>
  <c r="AR22" i="79"/>
  <c r="AG80" i="79"/>
  <c r="AQ80" i="79"/>
  <c r="BG80" i="79" s="1"/>
  <c r="BA80" i="79" s="1"/>
  <c r="BB80" i="79" s="1"/>
  <c r="AY302" i="79"/>
  <c r="BE302" i="79" s="1"/>
  <c r="AR302" i="79"/>
  <c r="AR322" i="79"/>
  <c r="AY322" i="79"/>
  <c r="BE322" i="79" s="1"/>
  <c r="AF165" i="79"/>
  <c r="AY296" i="79"/>
  <c r="BE296" i="79" s="1"/>
  <c r="AR296" i="79"/>
  <c r="AR309" i="79"/>
  <c r="AY309" i="79"/>
  <c r="BE309" i="79" s="1"/>
  <c r="AF542" i="79"/>
  <c r="AF521" i="79"/>
  <c r="AR524" i="79"/>
  <c r="AY524" i="79"/>
  <c r="BE524" i="79" s="1"/>
  <c r="BX533" i="79"/>
  <c r="AJ533" i="79"/>
  <c r="AI533" i="79"/>
  <c r="AL533" i="79" a="1"/>
  <c r="AL533" i="79" s="1"/>
  <c r="BH533" i="79" s="1"/>
  <c r="AN533" i="79"/>
  <c r="AH533" i="79"/>
  <c r="AY440" i="79"/>
  <c r="BE440" i="79" s="1"/>
  <c r="AR440" i="79"/>
  <c r="AF28" i="79"/>
  <c r="AR546" i="79"/>
  <c r="AY546" i="79"/>
  <c r="BE546" i="79" s="1"/>
  <c r="AF146" i="79"/>
  <c r="AY209" i="79"/>
  <c r="BE209" i="79" s="1"/>
  <c r="AR209" i="79"/>
  <c r="AL200" i="79" a="1"/>
  <c r="AL200" i="79" s="1"/>
  <c r="BH200" i="79" s="1"/>
  <c r="BX200" i="79"/>
  <c r="AN200" i="79"/>
  <c r="AJ200" i="79"/>
  <c r="AI200" i="79"/>
  <c r="AH200" i="79"/>
  <c r="AH107" i="79"/>
  <c r="AL107" i="79" a="1"/>
  <c r="AL107" i="79" s="1"/>
  <c r="BH107" i="79" s="1"/>
  <c r="AJ107" i="79"/>
  <c r="BX107" i="79"/>
  <c r="AI107" i="79"/>
  <c r="AN107" i="79"/>
  <c r="AF413" i="79"/>
  <c r="AR45" i="79"/>
  <c r="AY45" i="79"/>
  <c r="BE45" i="79" s="1"/>
  <c r="AR246" i="79"/>
  <c r="AY246" i="79"/>
  <c r="BE246" i="79" s="1"/>
  <c r="AI310" i="79"/>
  <c r="AH310" i="79"/>
  <c r="AN310" i="79"/>
  <c r="AL310" i="79" a="1"/>
  <c r="AL310" i="79" s="1"/>
  <c r="BH310" i="79" s="1"/>
  <c r="AJ310" i="79"/>
  <c r="BX310" i="79"/>
  <c r="AI377" i="79"/>
  <c r="AJ377" i="79"/>
  <c r="AH377" i="79"/>
  <c r="BX377" i="79"/>
  <c r="AN377" i="79"/>
  <c r="AL377" i="79" a="1"/>
  <c r="AL377" i="79" s="1"/>
  <c r="BH377" i="79" s="1"/>
  <c r="AJ129" i="79"/>
  <c r="AN129" i="79"/>
  <c r="AI129" i="79"/>
  <c r="AH129" i="79"/>
  <c r="AL129" i="79" a="1"/>
  <c r="AL129" i="79" s="1"/>
  <c r="BX129" i="79"/>
  <c r="AL236" i="79" a="1"/>
  <c r="AL236" i="79" s="1"/>
  <c r="BH236" i="79" s="1"/>
  <c r="AH236" i="79"/>
  <c r="AN236" i="79"/>
  <c r="AJ236" i="79"/>
  <c r="AI236" i="79"/>
  <c r="BX236" i="79"/>
  <c r="AL268" i="79" a="1"/>
  <c r="AL268" i="79" s="1"/>
  <c r="BH268" i="79" s="1"/>
  <c r="AI268" i="79"/>
  <c r="AH268" i="79"/>
  <c r="BX268" i="79"/>
  <c r="AN268" i="79"/>
  <c r="AJ268" i="79"/>
  <c r="AH257" i="79"/>
  <c r="AN257" i="79"/>
  <c r="AL257" i="79" a="1"/>
  <c r="AL257" i="79" s="1"/>
  <c r="BH257" i="79" s="1"/>
  <c r="BX257" i="79"/>
  <c r="AJ257" i="79"/>
  <c r="AI257" i="79"/>
  <c r="AJ56" i="79"/>
  <c r="AI56" i="79"/>
  <c r="AN56" i="79"/>
  <c r="BX56" i="79"/>
  <c r="AL56" i="79" a="1"/>
  <c r="AL56" i="79" s="1"/>
  <c r="BH56" i="79" s="1"/>
  <c r="AH56" i="79"/>
  <c r="BX89" i="79"/>
  <c r="AN89" i="79"/>
  <c r="AL89" i="79" a="1"/>
  <c r="AL89" i="79" s="1"/>
  <c r="BH89" i="79" s="1"/>
  <c r="AJ89" i="79"/>
  <c r="AI89" i="79"/>
  <c r="AH89" i="79"/>
  <c r="AR263" i="79"/>
  <c r="AY263" i="79"/>
  <c r="BE263" i="79" s="1"/>
  <c r="AI332" i="79"/>
  <c r="AH332" i="79"/>
  <c r="BX332" i="79"/>
  <c r="AN332" i="79"/>
  <c r="AL332" i="79" a="1"/>
  <c r="AL332" i="79" s="1"/>
  <c r="BH332" i="79" s="1"/>
  <c r="AJ332" i="79"/>
  <c r="AY366" i="79"/>
  <c r="BE366" i="79" s="1"/>
  <c r="AR366" i="79"/>
  <c r="AL188" i="79" a="1"/>
  <c r="AL188" i="79" s="1"/>
  <c r="BH188" i="79" s="1"/>
  <c r="AJ188" i="79"/>
  <c r="AI188" i="79"/>
  <c r="AN188" i="79"/>
  <c r="BX188" i="79"/>
  <c r="AH188" i="79"/>
  <c r="AY494" i="79"/>
  <c r="BE494" i="79" s="1"/>
  <c r="AR494" i="79"/>
  <c r="AG32" i="79"/>
  <c r="AF32" i="79" s="1"/>
  <c r="AQ32" i="79"/>
  <c r="BG32" i="79" s="1"/>
  <c r="BA32" i="79" s="1"/>
  <c r="BD32" i="79" s="1"/>
  <c r="AR83" i="79"/>
  <c r="AY193" i="79"/>
  <c r="BE193" i="79" s="1"/>
  <c r="AR193" i="79"/>
  <c r="AY56" i="79"/>
  <c r="BE56" i="79" s="1"/>
  <c r="AR56" i="79"/>
  <c r="AR389" i="79"/>
  <c r="AY389" i="79"/>
  <c r="BE389" i="79" s="1"/>
  <c r="AH206" i="79"/>
  <c r="BX206" i="79"/>
  <c r="AN206" i="79"/>
  <c r="AL206" i="79" a="1"/>
  <c r="AL206" i="79" s="1"/>
  <c r="BH206" i="79" s="1"/>
  <c r="AI206" i="79"/>
  <c r="AJ206" i="79"/>
  <c r="AY89" i="79"/>
  <c r="BE89" i="79" s="1"/>
  <c r="AR89" i="79"/>
  <c r="AH345" i="79"/>
  <c r="AN345" i="79"/>
  <c r="AL345" i="79" a="1"/>
  <c r="AL345" i="79" s="1"/>
  <c r="BH345" i="79" s="1"/>
  <c r="AJ345" i="79"/>
  <c r="AI345" i="79"/>
  <c r="BX345" i="79"/>
  <c r="AR340" i="79"/>
  <c r="AY340" i="79"/>
  <c r="BE340" i="79" s="1"/>
  <c r="AL364" i="79" a="1"/>
  <c r="AL364" i="79" s="1"/>
  <c r="BH364" i="79" s="1"/>
  <c r="AN364" i="79"/>
  <c r="AJ364" i="79"/>
  <c r="BX364" i="79"/>
  <c r="AI364" i="79"/>
  <c r="AH364" i="79"/>
  <c r="AY198" i="79"/>
  <c r="BE198" i="79" s="1"/>
  <c r="AR198" i="79"/>
  <c r="AY306" i="79"/>
  <c r="BE306" i="79" s="1"/>
  <c r="AR306" i="79"/>
  <c r="BX530" i="79"/>
  <c r="AI530" i="79"/>
  <c r="AH530" i="79"/>
  <c r="AN530" i="79"/>
  <c r="AL530" i="79" a="1"/>
  <c r="AL530" i="79" s="1"/>
  <c r="BH530" i="79" s="1"/>
  <c r="AJ530" i="79"/>
  <c r="AF494" i="79"/>
  <c r="AI528" i="79"/>
  <c r="AH528" i="79"/>
  <c r="BX528" i="79"/>
  <c r="AL528" i="79" a="1"/>
  <c r="AL528" i="79" s="1"/>
  <c r="BH528" i="79" s="1"/>
  <c r="AJ528" i="79"/>
  <c r="AN528" i="79"/>
  <c r="AF477" i="79"/>
  <c r="AH399" i="79"/>
  <c r="AN399" i="79"/>
  <c r="BX399" i="79"/>
  <c r="AJ399" i="79"/>
  <c r="AI399" i="79"/>
  <c r="AL399" i="79" a="1"/>
  <c r="AL399" i="79" s="1"/>
  <c r="BH399" i="79" s="1"/>
  <c r="AY257" i="79"/>
  <c r="BE257" i="79" s="1"/>
  <c r="AR257" i="79"/>
  <c r="AY250" i="79"/>
  <c r="BE250" i="79" s="1"/>
  <c r="AR250" i="79"/>
  <c r="AY155" i="79"/>
  <c r="BE155" i="79" s="1"/>
  <c r="AR155" i="79"/>
  <c r="AY142" i="79"/>
  <c r="BE142" i="79" s="1"/>
  <c r="AR142" i="79"/>
  <c r="AY345" i="79"/>
  <c r="BE345" i="79" s="1"/>
  <c r="AR345" i="79"/>
  <c r="AR338" i="79"/>
  <c r="AY338" i="79"/>
  <c r="BE338" i="79" s="1"/>
  <c r="AR364" i="79"/>
  <c r="AY364" i="79"/>
  <c r="BE364" i="79" s="1"/>
  <c r="AR391" i="79"/>
  <c r="AY391" i="79"/>
  <c r="BE391" i="79" s="1"/>
  <c r="AN218" i="79"/>
  <c r="BX218" i="79"/>
  <c r="AL218" i="79" a="1"/>
  <c r="AL218" i="79" s="1"/>
  <c r="BH218" i="79" s="1"/>
  <c r="AI218" i="79"/>
  <c r="AH218" i="79"/>
  <c r="AJ218" i="79"/>
  <c r="AJ309" i="79"/>
  <c r="AI309" i="79"/>
  <c r="AN309" i="79"/>
  <c r="AH309" i="79"/>
  <c r="BX309" i="79"/>
  <c r="AL309" i="79" a="1"/>
  <c r="AL309" i="79" s="1"/>
  <c r="BH309" i="79" s="1"/>
  <c r="AR530" i="79"/>
  <c r="AY530" i="79"/>
  <c r="BE530" i="79" s="1"/>
  <c r="AR388" i="79"/>
  <c r="AY388" i="79"/>
  <c r="BE388" i="79" s="1"/>
  <c r="BX423" i="79"/>
  <c r="AL423" i="79" a="1"/>
  <c r="AL423" i="79" s="1"/>
  <c r="BH423" i="79" s="1"/>
  <c r="AJ423" i="79"/>
  <c r="AH423" i="79"/>
  <c r="AI423" i="79"/>
  <c r="AN423" i="79"/>
  <c r="AF337" i="79"/>
  <c r="AJ418" i="79"/>
  <c r="BX418" i="79"/>
  <c r="AH418" i="79"/>
  <c r="AI418" i="79"/>
  <c r="AN418" i="79"/>
  <c r="AL418" i="79" a="1"/>
  <c r="AL418" i="79" s="1"/>
  <c r="BH418" i="79" s="1"/>
  <c r="AR132" i="79"/>
  <c r="AF250" i="79"/>
  <c r="AI37" i="79"/>
  <c r="AH37" i="79"/>
  <c r="BX37" i="79"/>
  <c r="AN37" i="79"/>
  <c r="AJ37" i="79"/>
  <c r="AL37" i="79" a="1"/>
  <c r="AL37" i="79" s="1"/>
  <c r="BH37" i="79" s="1"/>
  <c r="AH420" i="79"/>
  <c r="BX420" i="79"/>
  <c r="AJ420" i="79"/>
  <c r="AN420" i="79"/>
  <c r="AI420" i="79"/>
  <c r="AL420" i="79" a="1"/>
  <c r="AL420" i="79" s="1"/>
  <c r="BH420" i="79" s="1"/>
  <c r="AY231" i="79"/>
  <c r="BE231" i="79" s="1"/>
  <c r="AR231" i="79"/>
  <c r="AF340" i="79"/>
  <c r="AR297" i="79"/>
  <c r="AY297" i="79"/>
  <c r="BE297" i="79" s="1"/>
  <c r="AF338" i="79"/>
  <c r="AF372" i="79"/>
  <c r="AL440" i="79" a="1"/>
  <c r="AL440" i="79" s="1"/>
  <c r="BH440" i="79" s="1"/>
  <c r="AH440" i="79"/>
  <c r="AI440" i="79"/>
  <c r="BX440" i="79"/>
  <c r="AJ440" i="79"/>
  <c r="AN440" i="79"/>
  <c r="AH363" i="79"/>
  <c r="AN363" i="79"/>
  <c r="AL363" i="79" a="1"/>
  <c r="AL363" i="79" s="1"/>
  <c r="BH363" i="79" s="1"/>
  <c r="BX363" i="79"/>
  <c r="AJ363" i="79"/>
  <c r="AI363" i="79"/>
  <c r="AY472" i="79"/>
  <c r="BE472" i="79" s="1"/>
  <c r="AR472" i="79"/>
  <c r="AY318" i="79"/>
  <c r="BE318" i="79" s="1"/>
  <c r="AR318" i="79"/>
  <c r="AR418" i="79"/>
  <c r="AY418" i="79"/>
  <c r="BE418" i="79" s="1"/>
  <c r="AR73" i="79"/>
  <c r="BD120" i="79"/>
  <c r="AY484" i="79"/>
  <c r="BE484" i="79" s="1"/>
  <c r="AR484" i="79"/>
  <c r="AF312" i="79"/>
  <c r="AY282" i="79"/>
  <c r="BE282" i="79" s="1"/>
  <c r="AR282" i="79"/>
  <c r="AY334" i="79"/>
  <c r="BE334" i="79" s="1"/>
  <c r="AR334" i="79"/>
  <c r="AN260" i="79"/>
  <c r="BX260" i="79"/>
  <c r="AL260" i="79" a="1"/>
  <c r="AL260" i="79" s="1"/>
  <c r="BH260" i="79" s="1"/>
  <c r="AH260" i="79"/>
  <c r="AJ260" i="79"/>
  <c r="AI260" i="79"/>
  <c r="AR162" i="79"/>
  <c r="AY162" i="79"/>
  <c r="BE162" i="79" s="1"/>
  <c r="AR110" i="79"/>
  <c r="AY110" i="79"/>
  <c r="BE110" i="79" s="1"/>
  <c r="AI22" i="79"/>
  <c r="AH22" i="79"/>
  <c r="BX22" i="79"/>
  <c r="AN22" i="79"/>
  <c r="AL22" i="79" a="1"/>
  <c r="AL22" i="79" s="1"/>
  <c r="AJ22" i="79"/>
  <c r="AN103" i="79"/>
  <c r="AL103" i="79" a="1"/>
  <c r="AL103" i="79" s="1"/>
  <c r="BH103" i="79" s="1"/>
  <c r="AI103" i="79"/>
  <c r="AH103" i="79"/>
  <c r="BX103" i="79"/>
  <c r="AJ103" i="79"/>
  <c r="AR26" i="79"/>
  <c r="AR23" i="79"/>
  <c r="AH347" i="79"/>
  <c r="AI347" i="79"/>
  <c r="AN347" i="79"/>
  <c r="BX347" i="79"/>
  <c r="AL347" i="79" a="1"/>
  <c r="AL347" i="79" s="1"/>
  <c r="BH347" i="79" s="1"/>
  <c r="AJ347" i="79"/>
  <c r="AN177" i="79"/>
  <c r="AL177" i="79" a="1"/>
  <c r="AL177" i="79" s="1"/>
  <c r="BH177" i="79" s="1"/>
  <c r="AI177" i="79"/>
  <c r="AJ177" i="79"/>
  <c r="BX177" i="79"/>
  <c r="AH177" i="79"/>
  <c r="AN455" i="79"/>
  <c r="AL455" i="79" a="1"/>
  <c r="AL455" i="79" s="1"/>
  <c r="BH455" i="79" s="1"/>
  <c r="AI455" i="79"/>
  <c r="BX455" i="79"/>
  <c r="AJ455" i="79"/>
  <c r="AH455" i="79"/>
  <c r="AR287" i="79"/>
  <c r="AY287" i="79"/>
  <c r="BE287" i="79" s="1"/>
  <c r="AY410" i="79"/>
  <c r="BE410" i="79" s="1"/>
  <c r="AR410" i="79"/>
  <c r="AH180" i="79"/>
  <c r="AN180" i="79"/>
  <c r="AJ180" i="79"/>
  <c r="AI180" i="79"/>
  <c r="AL180" i="79" a="1"/>
  <c r="AL180" i="79" s="1"/>
  <c r="BH180" i="79" s="1"/>
  <c r="BX180" i="79"/>
  <c r="AN64" i="79"/>
  <c r="AJ64" i="79"/>
  <c r="AI64" i="79"/>
  <c r="BX64" i="79"/>
  <c r="AL64" i="79" a="1"/>
  <c r="AL64" i="79" s="1"/>
  <c r="BH64" i="79" s="1"/>
  <c r="AH64" i="79"/>
  <c r="AY99" i="79"/>
  <c r="BE99" i="79" s="1"/>
  <c r="AR99" i="79"/>
  <c r="AR211" i="79"/>
  <c r="AY211" i="79"/>
  <c r="BE211" i="79" s="1"/>
  <c r="AN25" i="79"/>
  <c r="BX25" i="79"/>
  <c r="AL25" i="79" a="1"/>
  <c r="AL25" i="79" s="1"/>
  <c r="AJ25" i="79"/>
  <c r="AI25" i="79"/>
  <c r="AH25" i="79"/>
  <c r="AY363" i="79"/>
  <c r="BE363" i="79" s="1"/>
  <c r="AR363" i="79"/>
  <c r="AH547" i="79"/>
  <c r="AL547" i="79" a="1"/>
  <c r="AL547" i="79" s="1"/>
  <c r="BH547" i="79" s="1"/>
  <c r="AJ547" i="79"/>
  <c r="BX547" i="79"/>
  <c r="AI547" i="79"/>
  <c r="AN547" i="79"/>
  <c r="AR49" i="79"/>
  <c r="AY49" i="79"/>
  <c r="BE49" i="79" s="1"/>
  <c r="BX546" i="79"/>
  <c r="AL546" i="79" a="1"/>
  <c r="AL546" i="79" s="1"/>
  <c r="BH546" i="79" s="1"/>
  <c r="AH546" i="79"/>
  <c r="AN546" i="79"/>
  <c r="AJ546" i="79"/>
  <c r="AI546" i="79"/>
  <c r="BX520" i="79"/>
  <c r="AN520" i="79"/>
  <c r="AJ520" i="79"/>
  <c r="AH520" i="79"/>
  <c r="AL520" i="79" a="1"/>
  <c r="AL520" i="79" s="1"/>
  <c r="BH520" i="79" s="1"/>
  <c r="AI520" i="79"/>
  <c r="AN209" i="79"/>
  <c r="BX209" i="79"/>
  <c r="AL209" i="79" a="1"/>
  <c r="AL209" i="79" s="1"/>
  <c r="BH209" i="79" s="1"/>
  <c r="AI209" i="79"/>
  <c r="AJ209" i="79"/>
  <c r="AH209" i="79"/>
  <c r="AR362" i="79"/>
  <c r="AY362" i="79"/>
  <c r="BE362" i="79" s="1"/>
  <c r="BX178" i="79"/>
  <c r="AN178" i="79"/>
  <c r="AJ178" i="79"/>
  <c r="AH178" i="79"/>
  <c r="AL178" i="79" a="1"/>
  <c r="AL178" i="79" s="1"/>
  <c r="BH178" i="79" s="1"/>
  <c r="AI178" i="79"/>
  <c r="AR75" i="79"/>
  <c r="BX219" i="79"/>
  <c r="AJ219" i="79"/>
  <c r="AN219" i="79"/>
  <c r="AL219" i="79" a="1"/>
  <c r="AL219" i="79" s="1"/>
  <c r="BH219" i="79" s="1"/>
  <c r="AI219" i="79"/>
  <c r="AH219" i="79"/>
  <c r="AY465" i="79"/>
  <c r="BE465" i="79" s="1"/>
  <c r="AR465" i="79"/>
  <c r="AR288" i="79"/>
  <c r="AY288" i="79"/>
  <c r="BE288" i="79" s="1"/>
  <c r="AY381" i="79"/>
  <c r="BE381" i="79" s="1"/>
  <c r="AR381" i="79"/>
  <c r="AY284" i="79"/>
  <c r="BE284" i="79" s="1"/>
  <c r="AR284" i="79"/>
  <c r="AY369" i="79"/>
  <c r="BE369" i="79" s="1"/>
  <c r="AR369" i="79"/>
  <c r="AY114" i="79"/>
  <c r="BE114" i="79" s="1"/>
  <c r="AR114" i="79"/>
  <c r="AY195" i="79"/>
  <c r="BE195" i="79" s="1"/>
  <c r="AR195" i="79"/>
  <c r="AY174" i="79"/>
  <c r="BE174" i="79" s="1"/>
  <c r="AR174" i="79"/>
  <c r="AY145" i="79"/>
  <c r="BE145" i="79" s="1"/>
  <c r="AR145" i="79"/>
  <c r="AY276" i="79"/>
  <c r="BE276" i="79" s="1"/>
  <c r="AR276" i="79"/>
  <c r="AY425" i="79"/>
  <c r="BE425" i="79" s="1"/>
  <c r="AR425" i="79"/>
  <c r="AN213" i="79"/>
  <c r="BX213" i="79"/>
  <c r="AL213" i="79" a="1"/>
  <c r="AL213" i="79" s="1"/>
  <c r="BH213" i="79" s="1"/>
  <c r="AI213" i="79"/>
  <c r="AH213" i="79"/>
  <c r="AJ213" i="79"/>
  <c r="AJ50" i="79"/>
  <c r="AI50" i="79"/>
  <c r="BX50" i="79"/>
  <c r="AN50" i="79"/>
  <c r="AL50" i="79" a="1"/>
  <c r="AL50" i="79" s="1"/>
  <c r="BH50" i="79" s="1"/>
  <c r="AH50" i="79"/>
  <c r="AY290" i="79"/>
  <c r="BE290" i="79" s="1"/>
  <c r="AR290" i="79"/>
  <c r="AR379" i="79"/>
  <c r="AY379" i="79"/>
  <c r="BE379" i="79" s="1"/>
  <c r="AR101" i="79"/>
  <c r="AY101" i="79"/>
  <c r="BE101" i="79" s="1"/>
  <c r="AY347" i="79"/>
  <c r="BE347" i="79" s="1"/>
  <c r="AR347" i="79"/>
  <c r="AR177" i="79"/>
  <c r="AY177" i="79"/>
  <c r="BE177" i="79" s="1"/>
  <c r="AG96" i="79"/>
  <c r="AF96" i="79" s="1"/>
  <c r="AQ96" i="79"/>
  <c r="BG96" i="79" s="1"/>
  <c r="BA96" i="79" s="1"/>
  <c r="BD96" i="79" s="1"/>
  <c r="AR180" i="79"/>
  <c r="AY180" i="79"/>
  <c r="BE180" i="79" s="1"/>
  <c r="AR64" i="79"/>
  <c r="AY64" i="79"/>
  <c r="BE64" i="79" s="1"/>
  <c r="AF481" i="79"/>
  <c r="AY533" i="79"/>
  <c r="BE533" i="79" s="1"/>
  <c r="AR533" i="79"/>
  <c r="AY292" i="79"/>
  <c r="BE292" i="79" s="1"/>
  <c r="AR292" i="79"/>
  <c r="AR25" i="79"/>
  <c r="AY547" i="79"/>
  <c r="BE547" i="79" s="1"/>
  <c r="AR547" i="79"/>
  <c r="AR520" i="79"/>
  <c r="AY520" i="79"/>
  <c r="BE520" i="79" s="1"/>
  <c r="AR186" i="79"/>
  <c r="AY186" i="79"/>
  <c r="BE186" i="79" s="1"/>
  <c r="AQ98" i="79"/>
  <c r="BG98" i="79" s="1"/>
  <c r="BA98" i="79" s="1"/>
  <c r="BD98" i="79" s="1"/>
  <c r="AG98" i="79"/>
  <c r="AF98" i="79" s="1"/>
  <c r="AR432" i="79"/>
  <c r="AY432" i="79"/>
  <c r="BE432" i="79" s="1"/>
  <c r="AY178" i="79"/>
  <c r="BE178" i="79" s="1"/>
  <c r="AR178" i="79"/>
  <c r="AR23" i="80" l="1"/>
  <c r="AR15" i="82"/>
  <c r="AZ5" i="82" s="1"/>
  <c r="AK188" i="82"/>
  <c r="AR186" i="82"/>
  <c r="AO190" i="82"/>
  <c r="AM190" i="82"/>
  <c r="AK41" i="82"/>
  <c r="AR39" i="82"/>
  <c r="AO43" i="82"/>
  <c r="AM43" i="82"/>
  <c r="AO288" i="82"/>
  <c r="AM288" i="82"/>
  <c r="AK90" i="82"/>
  <c r="AR88" i="82"/>
  <c r="AM92" i="82"/>
  <c r="AO92" i="82"/>
  <c r="AO239" i="82"/>
  <c r="AM239" i="82"/>
  <c r="AK139" i="82"/>
  <c r="AR137" i="82"/>
  <c r="AO141" i="82"/>
  <c r="AM141" i="82"/>
  <c r="AJ370" i="80"/>
  <c r="AN370" i="80"/>
  <c r="AH370" i="80"/>
  <c r="AI370" i="80"/>
  <c r="AL370" i="80" a="1"/>
  <c r="AL370" i="80" s="1"/>
  <c r="BH370" i="80" s="1"/>
  <c r="AY98" i="80"/>
  <c r="BE98" i="80" s="1"/>
  <c r="AR98" i="80"/>
  <c r="AR130" i="80"/>
  <c r="AI98" i="80"/>
  <c r="AH98" i="80"/>
  <c r="AJ172" i="80"/>
  <c r="AL98" i="80" a="1"/>
  <c r="AL98" i="80" s="1"/>
  <c r="BH98" i="80" s="1"/>
  <c r="AN490" i="79"/>
  <c r="AF130" i="80"/>
  <c r="AL130" i="80" s="1" a="1"/>
  <c r="AL130" i="80" s="1"/>
  <c r="AN98" i="80"/>
  <c r="BX490" i="79"/>
  <c r="BX98" i="80"/>
  <c r="AJ490" i="79"/>
  <c r="AI490" i="79"/>
  <c r="AL490" i="79" a="1"/>
  <c r="AL490" i="79" s="1"/>
  <c r="BH490" i="79" s="1"/>
  <c r="AR84" i="80"/>
  <c r="AH121" i="80"/>
  <c r="BX312" i="80"/>
  <c r="AF73" i="80"/>
  <c r="AI73" i="80" s="1"/>
  <c r="AN121" i="80"/>
  <c r="BX344" i="80"/>
  <c r="AH312" i="80"/>
  <c r="AN312" i="80"/>
  <c r="AI312" i="80"/>
  <c r="AN172" i="80"/>
  <c r="BX547" i="80"/>
  <c r="BX172" i="80"/>
  <c r="AJ312" i="80"/>
  <c r="AH344" i="80"/>
  <c r="AL172" i="80" a="1"/>
  <c r="AL172" i="80" s="1"/>
  <c r="BH172" i="80" s="1"/>
  <c r="AI344" i="80"/>
  <c r="AH172" i="80"/>
  <c r="AJ344" i="80"/>
  <c r="AN64" i="80"/>
  <c r="AI278" i="80"/>
  <c r="AR93" i="80"/>
  <c r="BX64" i="80"/>
  <c r="BH93" i="80"/>
  <c r="AI64" i="80"/>
  <c r="AJ64" i="80"/>
  <c r="AN365" i="79"/>
  <c r="AY64" i="80"/>
  <c r="BE64" i="80" s="1"/>
  <c r="AN547" i="80"/>
  <c r="AR121" i="80"/>
  <c r="AR127" i="80"/>
  <c r="AL547" i="80" a="1"/>
  <c r="AL547" i="80" s="1"/>
  <c r="BH547" i="80" s="1"/>
  <c r="AI207" i="80"/>
  <c r="AJ361" i="80"/>
  <c r="AR64" i="80"/>
  <c r="BX361" i="80"/>
  <c r="AL64" i="80" a="1"/>
  <c r="AL64" i="80" s="1"/>
  <c r="BH64" i="80" s="1"/>
  <c r="AI547" i="80"/>
  <c r="AL361" i="80" a="1"/>
  <c r="AL361" i="80" s="1"/>
  <c r="BH361" i="80" s="1"/>
  <c r="AL188" i="80" a="1"/>
  <c r="AL188" i="80" s="1"/>
  <c r="BH188" i="80" s="1"/>
  <c r="AJ547" i="80"/>
  <c r="AI365" i="79"/>
  <c r="AF127" i="80"/>
  <c r="AJ127" i="80" s="1"/>
  <c r="AI79" i="80"/>
  <c r="AJ207" i="80"/>
  <c r="AN123" i="80"/>
  <c r="AL79" i="80" a="1"/>
  <c r="AL79" i="80" s="1"/>
  <c r="BH79" i="80" s="1"/>
  <c r="AJ225" i="80"/>
  <c r="AL123" i="80" a="1"/>
  <c r="AL123" i="80" s="1"/>
  <c r="BH123" i="80" s="1"/>
  <c r="AR97" i="80"/>
  <c r="AN79" i="80"/>
  <c r="AL225" i="80" a="1"/>
  <c r="AL225" i="80" s="1"/>
  <c r="BH225" i="80" s="1"/>
  <c r="BX123" i="80"/>
  <c r="AN82" i="80"/>
  <c r="BX79" i="80"/>
  <c r="BX225" i="80"/>
  <c r="AR82" i="80"/>
  <c r="AL82" i="80" a="1"/>
  <c r="AL82" i="80" s="1"/>
  <c r="BH82" i="80" s="1"/>
  <c r="AH225" i="80"/>
  <c r="AN207" i="80"/>
  <c r="AJ365" i="79"/>
  <c r="AY143" i="80"/>
  <c r="BE143" i="80" s="1"/>
  <c r="AH79" i="80"/>
  <c r="AI82" i="80"/>
  <c r="AN225" i="80"/>
  <c r="AF129" i="80"/>
  <c r="AJ129" i="80" s="1"/>
  <c r="BX81" i="80"/>
  <c r="BH97" i="80"/>
  <c r="BX121" i="80"/>
  <c r="AJ81" i="80"/>
  <c r="AL344" i="80" a="1"/>
  <c r="AL344" i="80" s="1"/>
  <c r="BH344" i="80" s="1"/>
  <c r="AH361" i="80"/>
  <c r="AI121" i="80"/>
  <c r="AN81" i="80"/>
  <c r="AH82" i="80"/>
  <c r="AJ82" i="80"/>
  <c r="BD121" i="80"/>
  <c r="AI81" i="80"/>
  <c r="AR81" i="80"/>
  <c r="AH81" i="80"/>
  <c r="AN361" i="80"/>
  <c r="AJ121" i="80"/>
  <c r="BX460" i="80"/>
  <c r="AN460" i="80"/>
  <c r="AN149" i="80"/>
  <c r="AI149" i="80"/>
  <c r="AJ149" i="80"/>
  <c r="BX149" i="80"/>
  <c r="AR24" i="80"/>
  <c r="AN163" i="79"/>
  <c r="AR149" i="80"/>
  <c r="AL149" i="80" a="1"/>
  <c r="AL149" i="80" s="1"/>
  <c r="BH149" i="80" s="1"/>
  <c r="AY149" i="80"/>
  <c r="BE149" i="80" s="1"/>
  <c r="AJ188" i="80"/>
  <c r="BX380" i="80"/>
  <c r="AR79" i="80"/>
  <c r="AJ544" i="80"/>
  <c r="AN544" i="80"/>
  <c r="AL29" i="80" a="1"/>
  <c r="AL29" i="80" s="1"/>
  <c r="BH29" i="80" s="1"/>
  <c r="AL544" i="80" a="1"/>
  <c r="AL544" i="80" s="1"/>
  <c r="BH544" i="80" s="1"/>
  <c r="AH460" i="80"/>
  <c r="BX544" i="80"/>
  <c r="BH34" i="80"/>
  <c r="AH544" i="80"/>
  <c r="AR96" i="80"/>
  <c r="AI460" i="80"/>
  <c r="AI462" i="79"/>
  <c r="BX462" i="79"/>
  <c r="AJ462" i="79"/>
  <c r="AF101" i="80"/>
  <c r="AH101" i="80" s="1"/>
  <c r="AY101" i="80"/>
  <c r="BE101" i="80" s="1"/>
  <c r="BX188" i="80"/>
  <c r="AH462" i="79"/>
  <c r="AL419" i="80" a="1"/>
  <c r="AL419" i="80" s="1"/>
  <c r="BH419" i="80" s="1"/>
  <c r="AJ419" i="80"/>
  <c r="AL245" i="80" a="1"/>
  <c r="AL245" i="80" s="1"/>
  <c r="BH245" i="80" s="1"/>
  <c r="AL215" i="79" a="1"/>
  <c r="AL215" i="79" s="1"/>
  <c r="BH215" i="79" s="1"/>
  <c r="BX506" i="79"/>
  <c r="AJ497" i="80"/>
  <c r="BX497" i="80"/>
  <c r="AH497" i="80"/>
  <c r="AH163" i="79"/>
  <c r="AR34" i="80"/>
  <c r="AJ163" i="79"/>
  <c r="AN245" i="80"/>
  <c r="AJ92" i="80"/>
  <c r="AI97" i="80"/>
  <c r="BX97" i="80"/>
  <c r="BX278" i="80"/>
  <c r="AI177" i="80"/>
  <c r="AJ178" i="80"/>
  <c r="AN177" i="80"/>
  <c r="AN65" i="79"/>
  <c r="AJ273" i="80"/>
  <c r="BX423" i="80"/>
  <c r="AH374" i="80"/>
  <c r="AH380" i="80"/>
  <c r="AN188" i="80"/>
  <c r="AN185" i="80"/>
  <c r="AH207" i="80"/>
  <c r="AL207" i="80" a="1"/>
  <c r="AL207" i="80" s="1"/>
  <c r="BH207" i="80" s="1"/>
  <c r="AI380" i="80"/>
  <c r="BX92" i="80"/>
  <c r="AL391" i="80" a="1"/>
  <c r="AL391" i="80" s="1"/>
  <c r="BH391" i="80" s="1"/>
  <c r="AH188" i="80"/>
  <c r="AN432" i="80"/>
  <c r="AL380" i="80" a="1"/>
  <c r="AL380" i="80" s="1"/>
  <c r="BH380" i="80" s="1"/>
  <c r="AI92" i="80"/>
  <c r="AJ47" i="79"/>
  <c r="AI47" i="79"/>
  <c r="BX163" i="79"/>
  <c r="AL522" i="80" a="1"/>
  <c r="AL522" i="80" s="1"/>
  <c r="BH522" i="80" s="1"/>
  <c r="AH378" i="80"/>
  <c r="BX386" i="80"/>
  <c r="AI163" i="79"/>
  <c r="AI378" i="80"/>
  <c r="AR131" i="80"/>
  <c r="BX245" i="80"/>
  <c r="AI245" i="80"/>
  <c r="AH245" i="80"/>
  <c r="BX378" i="80"/>
  <c r="AH92" i="80"/>
  <c r="AH185" i="80"/>
  <c r="AH33" i="80"/>
  <c r="AN423" i="80"/>
  <c r="AN374" i="80"/>
  <c r="AL378" i="80" a="1"/>
  <c r="AL378" i="80" s="1"/>
  <c r="BH378" i="80" s="1"/>
  <c r="AY33" i="80"/>
  <c r="BE33" i="80" s="1"/>
  <c r="AH423" i="80"/>
  <c r="BX374" i="80"/>
  <c r="BD129" i="80"/>
  <c r="AN92" i="80"/>
  <c r="AN378" i="80"/>
  <c r="AL185" i="80" a="1"/>
  <c r="AL185" i="80" s="1"/>
  <c r="BH185" i="80" s="1"/>
  <c r="AI185" i="80"/>
  <c r="AI423" i="80"/>
  <c r="AI374" i="80"/>
  <c r="AY92" i="80"/>
  <c r="BE92" i="80" s="1"/>
  <c r="AJ423" i="80"/>
  <c r="AJ374" i="80"/>
  <c r="AR92" i="80"/>
  <c r="AJ380" i="80"/>
  <c r="AJ33" i="80"/>
  <c r="AI65" i="79"/>
  <c r="AH278" i="80"/>
  <c r="AJ256" i="79"/>
  <c r="BX65" i="79"/>
  <c r="AN313" i="79"/>
  <c r="AJ313" i="79"/>
  <c r="AH65" i="79"/>
  <c r="AY148" i="80"/>
  <c r="BE148" i="80" s="1"/>
  <c r="AL365" i="79" a="1"/>
  <c r="AL365" i="79" s="1"/>
  <c r="BH365" i="79" s="1"/>
  <c r="AL427" i="79" a="1"/>
  <c r="AL427" i="79" s="1"/>
  <c r="BH427" i="79" s="1"/>
  <c r="AI313" i="79"/>
  <c r="AJ65" i="79"/>
  <c r="AN278" i="80"/>
  <c r="AR31" i="80"/>
  <c r="BX365" i="79"/>
  <c r="AJ427" i="79"/>
  <c r="AL313" i="79" a="1"/>
  <c r="AL313" i="79" s="1"/>
  <c r="BH313" i="79" s="1"/>
  <c r="AY31" i="80"/>
  <c r="BE31" i="80" s="1"/>
  <c r="AJ278" i="80"/>
  <c r="BX33" i="80"/>
  <c r="BX313" i="79"/>
  <c r="AN427" i="79"/>
  <c r="AH134" i="79"/>
  <c r="AR123" i="80"/>
  <c r="BX177" i="80"/>
  <c r="AL216" i="79" a="1"/>
  <c r="AL216" i="79" s="1"/>
  <c r="BH216" i="79" s="1"/>
  <c r="AH123" i="80"/>
  <c r="AH177" i="80"/>
  <c r="AI427" i="79"/>
  <c r="BX427" i="79"/>
  <c r="AI123" i="80"/>
  <c r="AL177" i="80" a="1"/>
  <c r="AL177" i="80" s="1"/>
  <c r="BH177" i="80" s="1"/>
  <c r="AI33" i="80"/>
  <c r="AL33" i="80" a="1"/>
  <c r="AL33" i="80" s="1"/>
  <c r="BH33" i="80" s="1"/>
  <c r="AR33" i="80"/>
  <c r="AI84" i="80"/>
  <c r="BX84" i="80"/>
  <c r="AJ84" i="80"/>
  <c r="AN84" i="80"/>
  <c r="AL84" i="80" a="1"/>
  <c r="AL84" i="80" s="1"/>
  <c r="BH84" i="80" s="1"/>
  <c r="AL47" i="79" a="1"/>
  <c r="AL47" i="79" s="1"/>
  <c r="BH47" i="79" s="1"/>
  <c r="AI522" i="80"/>
  <c r="AN522" i="80"/>
  <c r="AH522" i="80"/>
  <c r="BX522" i="80"/>
  <c r="AI386" i="80"/>
  <c r="AJ489" i="80"/>
  <c r="AL460" i="80" a="1"/>
  <c r="AL460" i="80" s="1"/>
  <c r="BH460" i="80" s="1"/>
  <c r="AL432" i="80" a="1"/>
  <c r="AL432" i="80" s="1"/>
  <c r="BH432" i="80" s="1"/>
  <c r="AN273" i="80"/>
  <c r="AI489" i="80"/>
  <c r="AL273" i="80" a="1"/>
  <c r="AL273" i="80" s="1"/>
  <c r="BH273" i="80" s="1"/>
  <c r="AL178" i="80" a="1"/>
  <c r="AL178" i="80" s="1"/>
  <c r="BH178" i="80" s="1"/>
  <c r="AN178" i="80"/>
  <c r="BX454" i="80"/>
  <c r="AH178" i="80"/>
  <c r="AH489" i="80"/>
  <c r="AN47" i="79"/>
  <c r="AI178" i="80"/>
  <c r="AH454" i="80"/>
  <c r="AI454" i="80"/>
  <c r="AL454" i="80" a="1"/>
  <c r="AL454" i="80" s="1"/>
  <c r="BH454" i="80" s="1"/>
  <c r="AN97" i="80"/>
  <c r="AJ185" i="80"/>
  <c r="AJ454" i="80"/>
  <c r="AH386" i="80"/>
  <c r="AN489" i="80"/>
  <c r="AN386" i="80"/>
  <c r="AI273" i="80"/>
  <c r="AH97" i="80"/>
  <c r="AJ386" i="80"/>
  <c r="AH273" i="80"/>
  <c r="AJ97" i="80"/>
  <c r="BX47" i="79"/>
  <c r="BX489" i="80"/>
  <c r="AJ148" i="80"/>
  <c r="AN148" i="80"/>
  <c r="AI148" i="80"/>
  <c r="BX148" i="80"/>
  <c r="AL148" i="80" a="1"/>
  <c r="AL148" i="80" s="1"/>
  <c r="BH148" i="80" s="1"/>
  <c r="AH148" i="80"/>
  <c r="BB123" i="79"/>
  <c r="BD123" i="79"/>
  <c r="AN29" i="80"/>
  <c r="AN419" i="80"/>
  <c r="AH432" i="80"/>
  <c r="BX29" i="80"/>
  <c r="BX419" i="80"/>
  <c r="AJ432" i="80"/>
  <c r="BX432" i="80"/>
  <c r="AR148" i="80"/>
  <c r="AJ452" i="79"/>
  <c r="AN503" i="80"/>
  <c r="AI503" i="80"/>
  <c r="AJ503" i="80"/>
  <c r="BX503" i="80"/>
  <c r="AH503" i="80"/>
  <c r="AL503" i="80" a="1"/>
  <c r="AL503" i="80" s="1"/>
  <c r="BH503" i="80" s="1"/>
  <c r="AH419" i="80"/>
  <c r="AY145" i="80"/>
  <c r="BE145" i="80" s="1"/>
  <c r="AR145" i="80"/>
  <c r="AL449" i="79" a="1"/>
  <c r="AL449" i="79" s="1"/>
  <c r="BH449" i="79" s="1"/>
  <c r="AI256" i="79"/>
  <c r="AF145" i="80"/>
  <c r="AL39" i="79" a="1"/>
  <c r="AL39" i="79" s="1"/>
  <c r="BH39" i="79" s="1"/>
  <c r="AR29" i="80"/>
  <c r="BX290" i="80"/>
  <c r="AN290" i="80"/>
  <c r="AI526" i="79"/>
  <c r="BX216" i="79"/>
  <c r="AL290" i="80" a="1"/>
  <c r="AL290" i="80" s="1"/>
  <c r="BH290" i="80" s="1"/>
  <c r="AH290" i="80"/>
  <c r="BX39" i="79"/>
  <c r="AI29" i="80"/>
  <c r="AI290" i="80"/>
  <c r="AJ29" i="80"/>
  <c r="AN428" i="80"/>
  <c r="BX428" i="80"/>
  <c r="AH428" i="80"/>
  <c r="AI428" i="80"/>
  <c r="AL428" i="80" a="1"/>
  <c r="AL428" i="80" s="1"/>
  <c r="BH428" i="80" s="1"/>
  <c r="AJ428" i="80"/>
  <c r="AN31" i="80"/>
  <c r="AJ31" i="80"/>
  <c r="AI31" i="80"/>
  <c r="AH31" i="80"/>
  <c r="BX31" i="80"/>
  <c r="AL31" i="80" a="1"/>
  <c r="AL31" i="80" s="1"/>
  <c r="BH31" i="80" s="1"/>
  <c r="AN134" i="79"/>
  <c r="AJ215" i="79"/>
  <c r="AL497" i="80" a="1"/>
  <c r="AL497" i="80" s="1"/>
  <c r="BH497" i="80" s="1"/>
  <c r="BX466" i="80"/>
  <c r="AH466" i="80"/>
  <c r="AI466" i="80"/>
  <c r="AL466" i="80" a="1"/>
  <c r="AL466" i="80" s="1"/>
  <c r="BH466" i="80" s="1"/>
  <c r="AJ466" i="80"/>
  <c r="AN466" i="80"/>
  <c r="AN366" i="80"/>
  <c r="AL366" i="80" a="1"/>
  <c r="AL366" i="80" s="1"/>
  <c r="BH366" i="80" s="1"/>
  <c r="AJ366" i="80"/>
  <c r="BX366" i="80"/>
  <c r="AI366" i="80"/>
  <c r="AH366" i="80"/>
  <c r="AL134" i="79" a="1"/>
  <c r="AL134" i="79" s="1"/>
  <c r="BH134" i="79" s="1"/>
  <c r="AH215" i="79"/>
  <c r="AI497" i="80"/>
  <c r="AN391" i="80"/>
  <c r="AH391" i="80"/>
  <c r="AI391" i="80"/>
  <c r="AI452" i="79"/>
  <c r="AL417" i="80" a="1"/>
  <c r="AL417" i="80" s="1"/>
  <c r="BH417" i="80" s="1"/>
  <c r="AI417" i="80"/>
  <c r="BX417" i="80"/>
  <c r="AJ417" i="80"/>
  <c r="AN417" i="80"/>
  <c r="AH417" i="80"/>
  <c r="BD131" i="80"/>
  <c r="AJ134" i="79"/>
  <c r="BX452" i="79"/>
  <c r="AL462" i="80" a="1"/>
  <c r="AL462" i="80" s="1"/>
  <c r="BH462" i="80" s="1"/>
  <c r="BX462" i="80"/>
  <c r="AH462" i="80"/>
  <c r="AI462" i="80"/>
  <c r="AJ462" i="80"/>
  <c r="AN462" i="80"/>
  <c r="AI134" i="79"/>
  <c r="AL452" i="79" a="1"/>
  <c r="AL452" i="79" s="1"/>
  <c r="BH452" i="79" s="1"/>
  <c r="AH452" i="79"/>
  <c r="AI149" i="79"/>
  <c r="AH521" i="80"/>
  <c r="AI521" i="80"/>
  <c r="AL521" i="80" a="1"/>
  <c r="AL521" i="80" s="1"/>
  <c r="BH521" i="80" s="1"/>
  <c r="AJ521" i="80"/>
  <c r="BX521" i="80"/>
  <c r="AN521" i="80"/>
  <c r="AN449" i="79"/>
  <c r="AF30" i="80"/>
  <c r="AL30" i="80" s="1" a="1"/>
  <c r="AL30" i="80" s="1"/>
  <c r="BH30" i="80" s="1"/>
  <c r="AJ449" i="79"/>
  <c r="BX104" i="80"/>
  <c r="AL104" i="80" a="1"/>
  <c r="AL104" i="80" s="1"/>
  <c r="BH104" i="80" s="1"/>
  <c r="AJ104" i="80"/>
  <c r="AN104" i="80"/>
  <c r="AH104" i="80"/>
  <c r="AI104" i="80"/>
  <c r="BX449" i="79"/>
  <c r="AI215" i="79"/>
  <c r="AH449" i="79"/>
  <c r="AN215" i="79"/>
  <c r="AI401" i="80"/>
  <c r="AJ401" i="80"/>
  <c r="BX401" i="80"/>
  <c r="AL401" i="80" a="1"/>
  <c r="AL401" i="80" s="1"/>
  <c r="BH401" i="80" s="1"/>
  <c r="AN401" i="80"/>
  <c r="AH401" i="80"/>
  <c r="AH256" i="79"/>
  <c r="AJ391" i="80"/>
  <c r="AI140" i="79"/>
  <c r="AH140" i="79"/>
  <c r="AJ140" i="79"/>
  <c r="AI463" i="79"/>
  <c r="AH463" i="79"/>
  <c r="BX463" i="79"/>
  <c r="AJ463" i="79"/>
  <c r="AN463" i="79"/>
  <c r="AL463" i="79" a="1"/>
  <c r="AL463" i="79" s="1"/>
  <c r="BH463" i="79" s="1"/>
  <c r="AH56" i="80"/>
  <c r="AI56" i="80"/>
  <c r="BX56" i="80"/>
  <c r="AL56" i="80" a="1"/>
  <c r="AL56" i="80" s="1"/>
  <c r="BH56" i="80" s="1"/>
  <c r="AJ56" i="80"/>
  <c r="AN56" i="80"/>
  <c r="AJ453" i="79"/>
  <c r="AH216" i="79"/>
  <c r="AN395" i="79"/>
  <c r="AY144" i="80"/>
  <c r="BE144" i="80" s="1"/>
  <c r="AR144" i="80"/>
  <c r="AL318" i="80" a="1"/>
  <c r="AL318" i="80" s="1"/>
  <c r="BH318" i="80" s="1"/>
  <c r="AN318" i="80"/>
  <c r="AH318" i="80"/>
  <c r="BX318" i="80"/>
  <c r="AJ318" i="80"/>
  <c r="AI318" i="80"/>
  <c r="AI216" i="79"/>
  <c r="AR143" i="80"/>
  <c r="AH444" i="80"/>
  <c r="AI444" i="80"/>
  <c r="AN444" i="80"/>
  <c r="AL444" i="80" a="1"/>
  <c r="AL444" i="80" s="1"/>
  <c r="BH444" i="80" s="1"/>
  <c r="BX444" i="80"/>
  <c r="AJ444" i="80"/>
  <c r="AN216" i="79"/>
  <c r="BX395" i="79"/>
  <c r="AL161" i="80" a="1"/>
  <c r="AL161" i="80" s="1"/>
  <c r="BH161" i="80" s="1"/>
  <c r="AH161" i="80"/>
  <c r="AJ161" i="80"/>
  <c r="AI161" i="80"/>
  <c r="AN161" i="80"/>
  <c r="BX161" i="80"/>
  <c r="BX372" i="80"/>
  <c r="AN372" i="80"/>
  <c r="AH372" i="80"/>
  <c r="AI372" i="80"/>
  <c r="AL372" i="80" a="1"/>
  <c r="AL372" i="80" s="1"/>
  <c r="BH372" i="80" s="1"/>
  <c r="AJ372" i="80"/>
  <c r="AN421" i="79"/>
  <c r="AI100" i="80"/>
  <c r="AH100" i="80"/>
  <c r="AN100" i="80"/>
  <c r="AL100" i="80" a="1"/>
  <c r="AL100" i="80" s="1"/>
  <c r="BH100" i="80" s="1"/>
  <c r="BX100" i="80"/>
  <c r="AJ100" i="80"/>
  <c r="AL254" i="79" a="1"/>
  <c r="AL254" i="79" s="1"/>
  <c r="BH254" i="79" s="1"/>
  <c r="AY100" i="80"/>
  <c r="BE100" i="80" s="1"/>
  <c r="AR100" i="80"/>
  <c r="BX194" i="80"/>
  <c r="AL194" i="80" a="1"/>
  <c r="AL194" i="80" s="1"/>
  <c r="BH194" i="80" s="1"/>
  <c r="AH194" i="80"/>
  <c r="AN194" i="80"/>
  <c r="AI194" i="80"/>
  <c r="AJ194" i="80"/>
  <c r="BX279" i="79"/>
  <c r="AL334" i="80" a="1"/>
  <c r="AL334" i="80" s="1"/>
  <c r="BH334" i="80" s="1"/>
  <c r="BX334" i="80"/>
  <c r="AJ334" i="80"/>
  <c r="AI334" i="80"/>
  <c r="AN334" i="80"/>
  <c r="AH334" i="80"/>
  <c r="AN279" i="79"/>
  <c r="AH395" i="79"/>
  <c r="BX224" i="80"/>
  <c r="AN224" i="80"/>
  <c r="AI224" i="80"/>
  <c r="AJ224" i="80"/>
  <c r="AL224" i="80" a="1"/>
  <c r="AL224" i="80" s="1"/>
  <c r="BH224" i="80" s="1"/>
  <c r="AH224" i="80"/>
  <c r="AN453" i="79"/>
  <c r="AI453" i="79"/>
  <c r="AH441" i="79"/>
  <c r="AI336" i="79"/>
  <c r="AI441" i="79"/>
  <c r="BX336" i="79"/>
  <c r="BX256" i="79"/>
  <c r="BX255" i="80"/>
  <c r="AL255" i="80" a="1"/>
  <c r="AL255" i="80" s="1"/>
  <c r="BH255" i="80" s="1"/>
  <c r="AJ255" i="80"/>
  <c r="AH255" i="80"/>
  <c r="AI255" i="80"/>
  <c r="AN255" i="80"/>
  <c r="AL376" i="80" a="1"/>
  <c r="AL376" i="80" s="1"/>
  <c r="BH376" i="80" s="1"/>
  <c r="AI376" i="80"/>
  <c r="BX376" i="80"/>
  <c r="AN376" i="80"/>
  <c r="AJ376" i="80"/>
  <c r="AH376" i="80"/>
  <c r="AI434" i="80"/>
  <c r="AJ434" i="80"/>
  <c r="AL434" i="80" a="1"/>
  <c r="AL434" i="80" s="1"/>
  <c r="BH434" i="80" s="1"/>
  <c r="AH434" i="80"/>
  <c r="AN434" i="80"/>
  <c r="BX434" i="80"/>
  <c r="AI395" i="79"/>
  <c r="AJ149" i="79"/>
  <c r="AL453" i="79" a="1"/>
  <c r="AL453" i="79" s="1"/>
  <c r="BH453" i="79" s="1"/>
  <c r="AI293" i="80"/>
  <c r="AJ293" i="80"/>
  <c r="AH293" i="80"/>
  <c r="AN293" i="80"/>
  <c r="AL293" i="80" a="1"/>
  <c r="AL293" i="80" s="1"/>
  <c r="BH293" i="80" s="1"/>
  <c r="BX293" i="80"/>
  <c r="BX453" i="79"/>
  <c r="BX140" i="79"/>
  <c r="AN140" i="79"/>
  <c r="AL144" i="80" a="1"/>
  <c r="AL144" i="80" s="1"/>
  <c r="BH144" i="80" s="1"/>
  <c r="AN144" i="80"/>
  <c r="AH144" i="80"/>
  <c r="AI144" i="80"/>
  <c r="BX144" i="80"/>
  <c r="AJ144" i="80"/>
  <c r="AL140" i="79" a="1"/>
  <c r="AL140" i="79" s="1"/>
  <c r="BH140" i="79" s="1"/>
  <c r="AN256" i="79"/>
  <c r="AL87" i="80" a="1"/>
  <c r="AL87" i="80" s="1"/>
  <c r="BH87" i="80" s="1"/>
  <c r="AJ87" i="80"/>
  <c r="AH87" i="80"/>
  <c r="AI87" i="80"/>
  <c r="BX87" i="80"/>
  <c r="AN87" i="80"/>
  <c r="AR30" i="80"/>
  <c r="BG30" i="80"/>
  <c r="BA30" i="80" s="1"/>
  <c r="BD30" i="80" s="1"/>
  <c r="AL535" i="80" a="1"/>
  <c r="AL535" i="80" s="1"/>
  <c r="BH535" i="80" s="1"/>
  <c r="AJ535" i="80"/>
  <c r="AN535" i="80"/>
  <c r="AI535" i="80"/>
  <c r="AH535" i="80"/>
  <c r="BX535" i="80"/>
  <c r="AL395" i="79" a="1"/>
  <c r="AL395" i="79" s="1"/>
  <c r="BH395" i="79" s="1"/>
  <c r="AI63" i="79"/>
  <c r="BD133" i="80"/>
  <c r="BX74" i="80"/>
  <c r="AN74" i="80"/>
  <c r="AL74" i="80" a="1"/>
  <c r="AL74" i="80" s="1"/>
  <c r="AI74" i="80"/>
  <c r="AJ74" i="80"/>
  <c r="AH74" i="80"/>
  <c r="AI72" i="80"/>
  <c r="AH72" i="80"/>
  <c r="BX72" i="80"/>
  <c r="AN72" i="80"/>
  <c r="AL72" i="80" a="1"/>
  <c r="AL72" i="80" s="1"/>
  <c r="AJ72" i="80"/>
  <c r="AN52" i="80"/>
  <c r="AJ52" i="80"/>
  <c r="BX52" i="80"/>
  <c r="AL52" i="80" a="1"/>
  <c r="AL52" i="80" s="1"/>
  <c r="BH52" i="80" s="1"/>
  <c r="AI52" i="80"/>
  <c r="AH52" i="80"/>
  <c r="BB28" i="80"/>
  <c r="AL45" i="80" a="1"/>
  <c r="AL45" i="80" s="1"/>
  <c r="BH45" i="80" s="1"/>
  <c r="AJ45" i="80"/>
  <c r="AN45" i="80"/>
  <c r="AI45" i="80"/>
  <c r="AH45" i="80"/>
  <c r="BX45" i="80"/>
  <c r="AN49" i="80"/>
  <c r="AL49" i="80" a="1"/>
  <c r="AL49" i="80" s="1"/>
  <c r="BH49" i="80" s="1"/>
  <c r="AI49" i="80"/>
  <c r="AJ49" i="80"/>
  <c r="AH49" i="80"/>
  <c r="BX49" i="80"/>
  <c r="AI426" i="80"/>
  <c r="AN426" i="80"/>
  <c r="AH426" i="80"/>
  <c r="BX426" i="80"/>
  <c r="AJ426" i="80"/>
  <c r="AL426" i="80" a="1"/>
  <c r="AL426" i="80" s="1"/>
  <c r="BH426" i="80" s="1"/>
  <c r="BX143" i="80"/>
  <c r="AN143" i="80"/>
  <c r="AL143" i="80" a="1"/>
  <c r="AL143" i="80" s="1"/>
  <c r="BH143" i="80" s="1"/>
  <c r="AJ143" i="80"/>
  <c r="AH143" i="80"/>
  <c r="AI143" i="80"/>
  <c r="AH307" i="80"/>
  <c r="AN307" i="80"/>
  <c r="BX307" i="80"/>
  <c r="AL307" i="80" a="1"/>
  <c r="AL307" i="80" s="1"/>
  <c r="BH307" i="80" s="1"/>
  <c r="AJ307" i="80"/>
  <c r="AI307" i="80"/>
  <c r="AI406" i="80"/>
  <c r="BX406" i="80"/>
  <c r="AL406" i="80" a="1"/>
  <c r="AL406" i="80" s="1"/>
  <c r="BH406" i="80" s="1"/>
  <c r="AN406" i="80"/>
  <c r="AH406" i="80"/>
  <c r="AJ406" i="80"/>
  <c r="AR51" i="80"/>
  <c r="AY51" i="80"/>
  <c r="BE51" i="80" s="1"/>
  <c r="AL476" i="80" a="1"/>
  <c r="AL476" i="80" s="1"/>
  <c r="BH476" i="80" s="1"/>
  <c r="AI476" i="80"/>
  <c r="AH476" i="80"/>
  <c r="AJ476" i="80"/>
  <c r="BX476" i="80"/>
  <c r="AN476" i="80"/>
  <c r="AN360" i="80"/>
  <c r="AL360" i="80" a="1"/>
  <c r="AL360" i="80" s="1"/>
  <c r="BH360" i="80" s="1"/>
  <c r="BX360" i="80"/>
  <c r="AI360" i="80"/>
  <c r="AH360" i="80"/>
  <c r="AJ360" i="80"/>
  <c r="AH499" i="80"/>
  <c r="BX499" i="80"/>
  <c r="AN499" i="80"/>
  <c r="AJ499" i="80"/>
  <c r="AI499" i="80"/>
  <c r="AL499" i="80" a="1"/>
  <c r="AL499" i="80" s="1"/>
  <c r="BH499" i="80" s="1"/>
  <c r="AJ384" i="80"/>
  <c r="AH384" i="80"/>
  <c r="BX384" i="80"/>
  <c r="AL384" i="80" a="1"/>
  <c r="AL384" i="80" s="1"/>
  <c r="BH384" i="80" s="1"/>
  <c r="AI384" i="80"/>
  <c r="AN384" i="80"/>
  <c r="BX442" i="80"/>
  <c r="AN442" i="80"/>
  <c r="AI442" i="80"/>
  <c r="AJ442" i="80"/>
  <c r="AH442" i="80"/>
  <c r="AL442" i="80" a="1"/>
  <c r="AL442" i="80" s="1"/>
  <c r="BH442" i="80" s="1"/>
  <c r="AJ441" i="79"/>
  <c r="AR47" i="80"/>
  <c r="AY47" i="80"/>
  <c r="BE47" i="80" s="1"/>
  <c r="AJ488" i="80"/>
  <c r="AN488" i="80"/>
  <c r="BX488" i="80"/>
  <c r="AL488" i="80" a="1"/>
  <c r="AL488" i="80" s="1"/>
  <c r="BH488" i="80" s="1"/>
  <c r="AI488" i="80"/>
  <c r="AH488" i="80"/>
  <c r="AI519" i="79"/>
  <c r="AJ519" i="79"/>
  <c r="BX519" i="79"/>
  <c r="AH519" i="79"/>
  <c r="AL519" i="79" a="1"/>
  <c r="AL519" i="79" s="1"/>
  <c r="BH519" i="79" s="1"/>
  <c r="AN519" i="79"/>
  <c r="BH81" i="80"/>
  <c r="AM81" i="80"/>
  <c r="BX77" i="80"/>
  <c r="AI77" i="80"/>
  <c r="AJ77" i="80"/>
  <c r="AH77" i="80"/>
  <c r="AL77" i="80" a="1"/>
  <c r="AL77" i="80" s="1"/>
  <c r="AN77" i="80"/>
  <c r="AY95" i="80"/>
  <c r="BE95" i="80" s="1"/>
  <c r="AR95" i="80"/>
  <c r="AL99" i="80" a="1"/>
  <c r="AL99" i="80" s="1"/>
  <c r="BH99" i="80" s="1"/>
  <c r="BX99" i="80"/>
  <c r="AJ99" i="80"/>
  <c r="AI99" i="80"/>
  <c r="AH99" i="80"/>
  <c r="AN99" i="80"/>
  <c r="BX218" i="80"/>
  <c r="AN218" i="80"/>
  <c r="AL218" i="80" a="1"/>
  <c r="AL218" i="80" s="1"/>
  <c r="BH218" i="80" s="1"/>
  <c r="AI218" i="80"/>
  <c r="AH218" i="80"/>
  <c r="AJ218" i="80"/>
  <c r="AL149" i="79" a="1"/>
  <c r="AL149" i="79" s="1"/>
  <c r="BH149" i="79" s="1"/>
  <c r="AJ142" i="80"/>
  <c r="AN142" i="80"/>
  <c r="AL142" i="80" a="1"/>
  <c r="AL142" i="80" s="1"/>
  <c r="BH142" i="80" s="1"/>
  <c r="BX142" i="80"/>
  <c r="AH142" i="80"/>
  <c r="AI142" i="80"/>
  <c r="BX133" i="80"/>
  <c r="AN133" i="80"/>
  <c r="AI133" i="80"/>
  <c r="AH133" i="80"/>
  <c r="AL133" i="80" a="1"/>
  <c r="AL133" i="80" s="1"/>
  <c r="AJ133" i="80"/>
  <c r="AL275" i="80" a="1"/>
  <c r="AL275" i="80" s="1"/>
  <c r="BH275" i="80" s="1"/>
  <c r="AJ275" i="80"/>
  <c r="BX275" i="80"/>
  <c r="AN275" i="80"/>
  <c r="AI275" i="80"/>
  <c r="AH275" i="80"/>
  <c r="AL362" i="80" a="1"/>
  <c r="AL362" i="80" s="1"/>
  <c r="BH362" i="80" s="1"/>
  <c r="AN362" i="80"/>
  <c r="AI362" i="80"/>
  <c r="AJ362" i="80"/>
  <c r="AH362" i="80"/>
  <c r="BX362" i="80"/>
  <c r="AH39" i="79"/>
  <c r="AN149" i="79"/>
  <c r="BX415" i="80"/>
  <c r="AL415" i="80" a="1"/>
  <c r="AL415" i="80" s="1"/>
  <c r="BH415" i="80" s="1"/>
  <c r="AJ415" i="80"/>
  <c r="AI415" i="80"/>
  <c r="AH415" i="80"/>
  <c r="AN415" i="80"/>
  <c r="AY53" i="80"/>
  <c r="BE53" i="80" s="1"/>
  <c r="AR53" i="80"/>
  <c r="BX176" i="80"/>
  <c r="AI176" i="80"/>
  <c r="AH176" i="80"/>
  <c r="AL176" i="80" a="1"/>
  <c r="AL176" i="80" s="1"/>
  <c r="BH176" i="80" s="1"/>
  <c r="AN176" i="80"/>
  <c r="AJ176" i="80"/>
  <c r="AH279" i="80"/>
  <c r="AL279" i="80" a="1"/>
  <c r="AL279" i="80" s="1"/>
  <c r="BH279" i="80" s="1"/>
  <c r="AJ279" i="80"/>
  <c r="AI279" i="80"/>
  <c r="AN279" i="80"/>
  <c r="BX279" i="80"/>
  <c r="AH83" i="80"/>
  <c r="AN83" i="80"/>
  <c r="AL83" i="80" a="1"/>
  <c r="AL83" i="80" s="1"/>
  <c r="BX83" i="80"/>
  <c r="AJ83" i="80"/>
  <c r="AI83" i="80"/>
  <c r="BX322" i="80"/>
  <c r="AN322" i="80"/>
  <c r="AL322" i="80" a="1"/>
  <c r="AL322" i="80" s="1"/>
  <c r="BH322" i="80" s="1"/>
  <c r="AH322" i="80"/>
  <c r="AJ322" i="80"/>
  <c r="AI322" i="80"/>
  <c r="AJ393" i="79"/>
  <c r="AN267" i="80"/>
  <c r="AI267" i="80"/>
  <c r="AH267" i="80"/>
  <c r="AJ267" i="80"/>
  <c r="AL267" i="80" a="1"/>
  <c r="AL267" i="80" s="1"/>
  <c r="BH267" i="80" s="1"/>
  <c r="BX267" i="80"/>
  <c r="AR94" i="80"/>
  <c r="AY94" i="80"/>
  <c r="BE94" i="80" s="1"/>
  <c r="AN26" i="80"/>
  <c r="BX26" i="80"/>
  <c r="AJ26" i="80"/>
  <c r="AI26" i="80"/>
  <c r="AH26" i="80"/>
  <c r="AL26" i="80" a="1"/>
  <c r="AL26" i="80" s="1"/>
  <c r="AN520" i="80"/>
  <c r="AL520" i="80" a="1"/>
  <c r="AL520" i="80" s="1"/>
  <c r="BH520" i="80" s="1"/>
  <c r="AI520" i="80"/>
  <c r="AH520" i="80"/>
  <c r="AJ520" i="80"/>
  <c r="BX520" i="80"/>
  <c r="AN22" i="80"/>
  <c r="AL22" i="80" a="1"/>
  <c r="AL22" i="80" s="1"/>
  <c r="BX22" i="80"/>
  <c r="AJ22" i="80"/>
  <c r="AH22" i="80"/>
  <c r="AI22" i="80"/>
  <c r="BX425" i="80"/>
  <c r="AN425" i="80"/>
  <c r="AL425" i="80" a="1"/>
  <c r="AL425" i="80" s="1"/>
  <c r="BH425" i="80" s="1"/>
  <c r="AJ425" i="80"/>
  <c r="AI425" i="80"/>
  <c r="AH425" i="80"/>
  <c r="BX397" i="80"/>
  <c r="AL397" i="80" a="1"/>
  <c r="AL397" i="80" s="1"/>
  <c r="BH397" i="80" s="1"/>
  <c r="AN397" i="80"/>
  <c r="AJ397" i="80"/>
  <c r="AI397" i="80"/>
  <c r="AH397" i="80"/>
  <c r="BH27" i="80"/>
  <c r="AM27" i="80"/>
  <c r="AR83" i="80"/>
  <c r="AR99" i="80"/>
  <c r="AY99" i="80"/>
  <c r="BE99" i="80" s="1"/>
  <c r="AY141" i="80"/>
  <c r="BE141" i="80" s="1"/>
  <c r="AR141" i="80"/>
  <c r="AN146" i="80"/>
  <c r="AL146" i="80" a="1"/>
  <c r="AL146" i="80" s="1"/>
  <c r="BH146" i="80" s="1"/>
  <c r="BX146" i="80"/>
  <c r="AJ146" i="80"/>
  <c r="AH146" i="80"/>
  <c r="AI146" i="80"/>
  <c r="AN438" i="80"/>
  <c r="AH438" i="80"/>
  <c r="BX438" i="80"/>
  <c r="AJ438" i="80"/>
  <c r="AI438" i="80"/>
  <c r="AL438" i="80" a="1"/>
  <c r="AL438" i="80" s="1"/>
  <c r="BH438" i="80" s="1"/>
  <c r="BX392" i="80"/>
  <c r="AN392" i="80"/>
  <c r="AL392" i="80" a="1"/>
  <c r="AL392" i="80" s="1"/>
  <c r="BH392" i="80" s="1"/>
  <c r="AI392" i="80"/>
  <c r="AH392" i="80"/>
  <c r="AJ392" i="80"/>
  <c r="AN518" i="80"/>
  <c r="AJ518" i="80"/>
  <c r="AL518" i="80" a="1"/>
  <c r="AL518" i="80" s="1"/>
  <c r="BH518" i="80" s="1"/>
  <c r="AI518" i="80"/>
  <c r="AH518" i="80"/>
  <c r="BX518" i="80"/>
  <c r="AH336" i="79"/>
  <c r="BH80" i="80"/>
  <c r="AM80" i="80"/>
  <c r="AJ450" i="80"/>
  <c r="AI450" i="80"/>
  <c r="AH450" i="80"/>
  <c r="BX450" i="80"/>
  <c r="AN450" i="80"/>
  <c r="AL450" i="80" a="1"/>
  <c r="AL450" i="80" s="1"/>
  <c r="BH450" i="80" s="1"/>
  <c r="AI40" i="79"/>
  <c r="BH128" i="80"/>
  <c r="AM128" i="80"/>
  <c r="AG66" i="80"/>
  <c r="AF66" i="80" s="1"/>
  <c r="AQ66" i="80"/>
  <c r="BG66" i="80" s="1"/>
  <c r="BA66" i="80" s="1"/>
  <c r="BD66" i="80" s="1"/>
  <c r="AR77" i="80"/>
  <c r="AN379" i="80"/>
  <c r="BX379" i="80"/>
  <c r="AH379" i="80"/>
  <c r="AI379" i="80"/>
  <c r="AL379" i="80" a="1"/>
  <c r="AL379" i="80" s="1"/>
  <c r="BH379" i="80" s="1"/>
  <c r="AJ379" i="80"/>
  <c r="BX107" i="80"/>
  <c r="AI107" i="80"/>
  <c r="AH107" i="80"/>
  <c r="AJ107" i="80"/>
  <c r="AN107" i="80"/>
  <c r="AL107" i="80" a="1"/>
  <c r="AL107" i="80" s="1"/>
  <c r="BH107" i="80" s="1"/>
  <c r="BH126" i="80"/>
  <c r="AM126" i="80"/>
  <c r="AJ471" i="80"/>
  <c r="AH471" i="80"/>
  <c r="AN471" i="80"/>
  <c r="AL471" i="80" a="1"/>
  <c r="AL471" i="80" s="1"/>
  <c r="BH471" i="80" s="1"/>
  <c r="BX471" i="80"/>
  <c r="AI471" i="80"/>
  <c r="AI158" i="79"/>
  <c r="AJ63" i="79"/>
  <c r="AN131" i="80"/>
  <c r="BX131" i="80"/>
  <c r="AL131" i="80" a="1"/>
  <c r="AL131" i="80" s="1"/>
  <c r="AI131" i="80"/>
  <c r="AH131" i="80"/>
  <c r="AJ131" i="80"/>
  <c r="AN393" i="79"/>
  <c r="AN39" i="79"/>
  <c r="AN493" i="79"/>
  <c r="AL28" i="80" a="1"/>
  <c r="AL28" i="80" s="1"/>
  <c r="AN28" i="80"/>
  <c r="BX28" i="80"/>
  <c r="AJ28" i="80"/>
  <c r="AI28" i="80"/>
  <c r="AH28" i="80"/>
  <c r="AL221" i="80" a="1"/>
  <c r="AL221" i="80" s="1"/>
  <c r="BH221" i="80" s="1"/>
  <c r="AH221" i="80"/>
  <c r="BX221" i="80"/>
  <c r="AN221" i="80"/>
  <c r="AI221" i="80"/>
  <c r="AJ221" i="80"/>
  <c r="AY52" i="80"/>
  <c r="BE52" i="80" s="1"/>
  <c r="AR52" i="80"/>
  <c r="BX71" i="80"/>
  <c r="AN71" i="80"/>
  <c r="AJ71" i="80"/>
  <c r="AI71" i="80"/>
  <c r="AH71" i="80"/>
  <c r="AL71" i="80" a="1"/>
  <c r="AL71" i="80" s="1"/>
  <c r="AL158" i="79" a="1"/>
  <c r="AL158" i="79" s="1"/>
  <c r="BH158" i="79" s="1"/>
  <c r="AR28" i="80"/>
  <c r="BX264" i="80"/>
  <c r="AJ264" i="80"/>
  <c r="AI264" i="80"/>
  <c r="AH264" i="80"/>
  <c r="AN264" i="80"/>
  <c r="AL264" i="80" a="1"/>
  <c r="AL264" i="80" s="1"/>
  <c r="BH264" i="80" s="1"/>
  <c r="BX421" i="79"/>
  <c r="AI421" i="79"/>
  <c r="AL421" i="79" a="1"/>
  <c r="AL421" i="79" s="1"/>
  <c r="BH421" i="79" s="1"/>
  <c r="AL94" i="80" a="1"/>
  <c r="AL94" i="80" s="1"/>
  <c r="BH94" i="80" s="1"/>
  <c r="BX94" i="80"/>
  <c r="AJ94" i="80"/>
  <c r="AH94" i="80"/>
  <c r="AI94" i="80"/>
  <c r="AN94" i="80"/>
  <c r="AR133" i="80"/>
  <c r="AH503" i="79"/>
  <c r="BX254" i="79"/>
  <c r="AJ39" i="79"/>
  <c r="AJ493" i="79"/>
  <c r="AJ144" i="79"/>
  <c r="AI503" i="79"/>
  <c r="AJ254" i="79"/>
  <c r="AI279" i="79"/>
  <c r="AR26" i="80"/>
  <c r="AH390" i="80"/>
  <c r="AN390" i="80"/>
  <c r="BX390" i="80"/>
  <c r="AL390" i="80" a="1"/>
  <c r="AL390" i="80" s="1"/>
  <c r="BH390" i="80" s="1"/>
  <c r="AJ390" i="80"/>
  <c r="AI390" i="80"/>
  <c r="BH120" i="80"/>
  <c r="AM120" i="80"/>
  <c r="AN106" i="80"/>
  <c r="AL106" i="80" a="1"/>
  <c r="AL106" i="80" s="1"/>
  <c r="BH106" i="80" s="1"/>
  <c r="BX106" i="80"/>
  <c r="AI106" i="80"/>
  <c r="AH106" i="80"/>
  <c r="AJ106" i="80"/>
  <c r="AJ355" i="80"/>
  <c r="AI355" i="80"/>
  <c r="AH355" i="80"/>
  <c r="AN355" i="80"/>
  <c r="BX355" i="80"/>
  <c r="AL355" i="80" a="1"/>
  <c r="AL355" i="80" s="1"/>
  <c r="BH355" i="80" s="1"/>
  <c r="AL158" i="80" a="1"/>
  <c r="AL158" i="80" s="1"/>
  <c r="BH158" i="80" s="1"/>
  <c r="AI158" i="80"/>
  <c r="AH158" i="80"/>
  <c r="BX158" i="80"/>
  <c r="AN158" i="80"/>
  <c r="AJ158" i="80"/>
  <c r="BX112" i="80"/>
  <c r="AN112" i="80"/>
  <c r="AH112" i="80"/>
  <c r="AJ112" i="80"/>
  <c r="AL112" i="80" a="1"/>
  <c r="AL112" i="80" s="1"/>
  <c r="BH112" i="80" s="1"/>
  <c r="AI112" i="80"/>
  <c r="BH121" i="80"/>
  <c r="AM121" i="80"/>
  <c r="AI487" i="80"/>
  <c r="AL487" i="80" a="1"/>
  <c r="AL487" i="80" s="1"/>
  <c r="BH487" i="80" s="1"/>
  <c r="AN487" i="80"/>
  <c r="AH487" i="80"/>
  <c r="AJ487" i="80"/>
  <c r="BX487" i="80"/>
  <c r="BH25" i="80"/>
  <c r="AM25" i="80"/>
  <c r="AN110" i="80"/>
  <c r="AJ110" i="80"/>
  <c r="AI110" i="80"/>
  <c r="BX110" i="80"/>
  <c r="AH110" i="80"/>
  <c r="AL110" i="80" a="1"/>
  <c r="AL110" i="80" s="1"/>
  <c r="BH110" i="80" s="1"/>
  <c r="AF51" i="80"/>
  <c r="BX158" i="79"/>
  <c r="BX447" i="80"/>
  <c r="AN447" i="80"/>
  <c r="AL447" i="80" a="1"/>
  <c r="AL447" i="80" s="1"/>
  <c r="BH447" i="80" s="1"/>
  <c r="AJ447" i="80"/>
  <c r="AH447" i="80"/>
  <c r="AI447" i="80"/>
  <c r="AH393" i="79"/>
  <c r="AI53" i="80"/>
  <c r="AH53" i="80"/>
  <c r="BX53" i="80"/>
  <c r="AN53" i="80"/>
  <c r="AL53" i="80" a="1"/>
  <c r="AL53" i="80" s="1"/>
  <c r="BH53" i="80" s="1"/>
  <c r="AJ53" i="80"/>
  <c r="BX149" i="79"/>
  <c r="AI85" i="80"/>
  <c r="AH85" i="80"/>
  <c r="AL85" i="80" a="1"/>
  <c r="AL85" i="80" s="1"/>
  <c r="BH85" i="80" s="1"/>
  <c r="AJ85" i="80"/>
  <c r="BX85" i="80"/>
  <c r="AN85" i="80"/>
  <c r="BX159" i="80"/>
  <c r="AN159" i="80"/>
  <c r="AL159" i="80" a="1"/>
  <c r="AL159" i="80" s="1"/>
  <c r="BH159" i="80" s="1"/>
  <c r="AI159" i="80"/>
  <c r="AJ159" i="80"/>
  <c r="AH159" i="80"/>
  <c r="AI246" i="80"/>
  <c r="AH246" i="80"/>
  <c r="AN246" i="80"/>
  <c r="BX246" i="80"/>
  <c r="AJ246" i="80"/>
  <c r="AL246" i="80" a="1"/>
  <c r="AL246" i="80" s="1"/>
  <c r="BH246" i="80" s="1"/>
  <c r="AR72" i="80"/>
  <c r="AH158" i="79"/>
  <c r="AN503" i="79"/>
  <c r="AL279" i="79" a="1"/>
  <c r="AL279" i="79" s="1"/>
  <c r="BH279" i="79" s="1"/>
  <c r="AI254" i="80"/>
  <c r="AH254" i="80"/>
  <c r="AJ254" i="80"/>
  <c r="BX254" i="80"/>
  <c r="AL254" i="80" a="1"/>
  <c r="AL254" i="80" s="1"/>
  <c r="BH254" i="80" s="1"/>
  <c r="AN254" i="80"/>
  <c r="AQ115" i="80"/>
  <c r="BG115" i="80" s="1"/>
  <c r="BA115" i="80" s="1"/>
  <c r="BD115" i="80" s="1"/>
  <c r="AG115" i="80"/>
  <c r="AF115" i="80" s="1"/>
  <c r="AH449" i="80"/>
  <c r="AI449" i="80"/>
  <c r="BX449" i="80"/>
  <c r="AJ449" i="80"/>
  <c r="AL449" i="80" a="1"/>
  <c r="AL449" i="80" s="1"/>
  <c r="BH449" i="80" s="1"/>
  <c r="AN449" i="80"/>
  <c r="BX288" i="80"/>
  <c r="AN288" i="80"/>
  <c r="AH288" i="80"/>
  <c r="AL288" i="80" a="1"/>
  <c r="AL288" i="80" s="1"/>
  <c r="BH288" i="80" s="1"/>
  <c r="AJ288" i="80"/>
  <c r="AI288" i="80"/>
  <c r="AH254" i="79"/>
  <c r="AJ279" i="79"/>
  <c r="AL286" i="80" a="1"/>
  <c r="AL286" i="80" s="1"/>
  <c r="BH286" i="80" s="1"/>
  <c r="AN286" i="80"/>
  <c r="BX286" i="80"/>
  <c r="AJ286" i="80"/>
  <c r="AI286" i="80"/>
  <c r="AH286" i="80"/>
  <c r="BX111" i="80"/>
  <c r="AL111" i="80" a="1"/>
  <c r="AL111" i="80" s="1"/>
  <c r="BH111" i="80" s="1"/>
  <c r="AJ111" i="80"/>
  <c r="AN111" i="80"/>
  <c r="AI111" i="80"/>
  <c r="AH111" i="80"/>
  <c r="AN23" i="80"/>
  <c r="BX23" i="80"/>
  <c r="AL23" i="80" a="1"/>
  <c r="AL23" i="80" s="1"/>
  <c r="AI23" i="80"/>
  <c r="AH23" i="80"/>
  <c r="AJ23" i="80"/>
  <c r="BX257" i="80"/>
  <c r="AN257" i="80"/>
  <c r="AJ257" i="80"/>
  <c r="AI257" i="80"/>
  <c r="AH257" i="80"/>
  <c r="AL257" i="80" a="1"/>
  <c r="AL257" i="80" s="1"/>
  <c r="BH257" i="80" s="1"/>
  <c r="AL76" i="80" a="1"/>
  <c r="AL76" i="80" s="1"/>
  <c r="AH76" i="80"/>
  <c r="BX76" i="80"/>
  <c r="AJ76" i="80"/>
  <c r="AI76" i="80"/>
  <c r="AN76" i="80"/>
  <c r="AN373" i="80"/>
  <c r="AJ373" i="80"/>
  <c r="AI373" i="80"/>
  <c r="AL373" i="80" a="1"/>
  <c r="AL373" i="80" s="1"/>
  <c r="BH373" i="80" s="1"/>
  <c r="AH373" i="80"/>
  <c r="BX373" i="80"/>
  <c r="BX125" i="80"/>
  <c r="AN125" i="80"/>
  <c r="AL125" i="80" a="1"/>
  <c r="AL125" i="80" s="1"/>
  <c r="AI125" i="80"/>
  <c r="AH125" i="80"/>
  <c r="AJ125" i="80"/>
  <c r="BX364" i="80"/>
  <c r="AN364" i="80"/>
  <c r="AL364" i="80" a="1"/>
  <c r="AL364" i="80" s="1"/>
  <c r="BH364" i="80" s="1"/>
  <c r="AJ364" i="80"/>
  <c r="AI364" i="80"/>
  <c r="AH364" i="80"/>
  <c r="AF141" i="80"/>
  <c r="AR146" i="80"/>
  <c r="AY146" i="80"/>
  <c r="BE146" i="80" s="1"/>
  <c r="AL331" i="80" a="1"/>
  <c r="AL331" i="80" s="1"/>
  <c r="BH331" i="80" s="1"/>
  <c r="AN331" i="80"/>
  <c r="AJ331" i="80"/>
  <c r="AI331" i="80"/>
  <c r="AH331" i="80"/>
  <c r="BX331" i="80"/>
  <c r="AN263" i="80"/>
  <c r="AL263" i="80" a="1"/>
  <c r="AL263" i="80" s="1"/>
  <c r="BH263" i="80" s="1"/>
  <c r="AJ263" i="80"/>
  <c r="AI263" i="80"/>
  <c r="AH263" i="80"/>
  <c r="BX263" i="80"/>
  <c r="AJ336" i="79"/>
  <c r="AL63" i="79" a="1"/>
  <c r="AL63" i="79" s="1"/>
  <c r="BH63" i="79" s="1"/>
  <c r="AN40" i="79"/>
  <c r="AY49" i="80"/>
  <c r="BE49" i="80" s="1"/>
  <c r="AR49" i="80"/>
  <c r="BX549" i="80"/>
  <c r="AL549" i="80" a="1"/>
  <c r="AL549" i="80" s="1"/>
  <c r="BH549" i="80" s="1"/>
  <c r="AJ549" i="80"/>
  <c r="AH549" i="80"/>
  <c r="AN549" i="80"/>
  <c r="AI549" i="80"/>
  <c r="AH63" i="79"/>
  <c r="AH40" i="79"/>
  <c r="AJ78" i="80"/>
  <c r="AI78" i="80"/>
  <c r="AH78" i="80"/>
  <c r="AL78" i="80" a="1"/>
  <c r="AL78" i="80" s="1"/>
  <c r="AN78" i="80"/>
  <c r="BX78" i="80"/>
  <c r="AN54" i="80"/>
  <c r="BX54" i="80"/>
  <c r="AJ54" i="80"/>
  <c r="AI54" i="80"/>
  <c r="AL54" i="80" a="1"/>
  <c r="AL54" i="80" s="1"/>
  <c r="BH54" i="80" s="1"/>
  <c r="AH54" i="80"/>
  <c r="BX63" i="79"/>
  <c r="AJ158" i="79"/>
  <c r="BX40" i="79"/>
  <c r="AH136" i="80"/>
  <c r="BX136" i="80"/>
  <c r="AN136" i="80"/>
  <c r="AL136" i="80" a="1"/>
  <c r="AL136" i="80" s="1"/>
  <c r="BH136" i="80" s="1"/>
  <c r="AJ136" i="80"/>
  <c r="AI136" i="80"/>
  <c r="BH24" i="80"/>
  <c r="AM24" i="80"/>
  <c r="AL65" i="80" a="1"/>
  <c r="AL65" i="80" s="1"/>
  <c r="BH65" i="80" s="1"/>
  <c r="BX65" i="80"/>
  <c r="AJ65" i="80"/>
  <c r="AN65" i="80"/>
  <c r="AI65" i="80"/>
  <c r="AH65" i="80"/>
  <c r="AL122" i="80" a="1"/>
  <c r="AL122" i="80" s="1"/>
  <c r="AI122" i="80"/>
  <c r="AH122" i="80"/>
  <c r="BX122" i="80"/>
  <c r="AJ122" i="80"/>
  <c r="AN122" i="80"/>
  <c r="AL393" i="79" a="1"/>
  <c r="AL393" i="79" s="1"/>
  <c r="BH393" i="79" s="1"/>
  <c r="AY45" i="80"/>
  <c r="BE45" i="80" s="1"/>
  <c r="AR45" i="80"/>
  <c r="AJ95" i="80"/>
  <c r="AI95" i="80"/>
  <c r="AH95" i="80"/>
  <c r="BX95" i="80"/>
  <c r="AN95" i="80"/>
  <c r="AL95" i="80" a="1"/>
  <c r="AL95" i="80" s="1"/>
  <c r="BH95" i="80" s="1"/>
  <c r="AL96" i="80" a="1"/>
  <c r="AL96" i="80" s="1"/>
  <c r="BH96" i="80" s="1"/>
  <c r="AH96" i="80"/>
  <c r="BX96" i="80"/>
  <c r="AJ96" i="80"/>
  <c r="AI96" i="80"/>
  <c r="AN96" i="80"/>
  <c r="AI153" i="80"/>
  <c r="AH153" i="80"/>
  <c r="AN153" i="80"/>
  <c r="AJ153" i="80"/>
  <c r="AL153" i="80" a="1"/>
  <c r="AL153" i="80" s="1"/>
  <c r="BH153" i="80" s="1"/>
  <c r="BX153" i="80"/>
  <c r="AI528" i="80"/>
  <c r="AL528" i="80" a="1"/>
  <c r="AL528" i="80" s="1"/>
  <c r="BH528" i="80" s="1"/>
  <c r="AH528" i="80"/>
  <c r="BX528" i="80"/>
  <c r="AN528" i="80"/>
  <c r="AJ528" i="80"/>
  <c r="AI506" i="79"/>
  <c r="AL506" i="79" a="1"/>
  <c r="AL506" i="79" s="1"/>
  <c r="BH506" i="79" s="1"/>
  <c r="AH506" i="79"/>
  <c r="AJ506" i="79"/>
  <c r="AN383" i="80"/>
  <c r="AI383" i="80"/>
  <c r="AH383" i="80"/>
  <c r="AJ383" i="80"/>
  <c r="AL383" i="80" a="1"/>
  <c r="AL383" i="80" s="1"/>
  <c r="BH383" i="80" s="1"/>
  <c r="BX383" i="80"/>
  <c r="AI393" i="79"/>
  <c r="AJ203" i="79"/>
  <c r="AN441" i="79"/>
  <c r="BX526" i="79"/>
  <c r="AN254" i="79"/>
  <c r="AR74" i="80"/>
  <c r="AN496" i="80"/>
  <c r="AJ496" i="80"/>
  <c r="BX496" i="80"/>
  <c r="AL496" i="80" a="1"/>
  <c r="AL496" i="80" s="1"/>
  <c r="BH496" i="80" s="1"/>
  <c r="AI496" i="80"/>
  <c r="AH496" i="80"/>
  <c r="AI300" i="80"/>
  <c r="AH300" i="80"/>
  <c r="AN300" i="80"/>
  <c r="BX300" i="80"/>
  <c r="AL300" i="80" a="1"/>
  <c r="AL300" i="80" s="1"/>
  <c r="BH300" i="80" s="1"/>
  <c r="AJ300" i="80"/>
  <c r="AL441" i="79" a="1"/>
  <c r="AL441" i="79" s="1"/>
  <c r="BH441" i="79" s="1"/>
  <c r="AJ503" i="79"/>
  <c r="AL526" i="79" a="1"/>
  <c r="AL526" i="79" s="1"/>
  <c r="BH526" i="79" s="1"/>
  <c r="AN462" i="79"/>
  <c r="AL503" i="79" a="1"/>
  <c r="AL503" i="79" s="1"/>
  <c r="BH503" i="79" s="1"/>
  <c r="AH526" i="79"/>
  <c r="AH421" i="79"/>
  <c r="AF47" i="80"/>
  <c r="AJ124" i="80"/>
  <c r="AI124" i="80"/>
  <c r="AH124" i="80"/>
  <c r="AL124" i="80" a="1"/>
  <c r="AL124" i="80" s="1"/>
  <c r="AN124" i="80"/>
  <c r="BX124" i="80"/>
  <c r="BX183" i="80"/>
  <c r="AN183" i="80"/>
  <c r="AH183" i="80"/>
  <c r="AL183" i="80" a="1"/>
  <c r="AL183" i="80" s="1"/>
  <c r="BH183" i="80" s="1"/>
  <c r="AJ183" i="80"/>
  <c r="AI183" i="80"/>
  <c r="AN369" i="80"/>
  <c r="AJ369" i="80"/>
  <c r="AI369" i="80"/>
  <c r="AH369" i="80"/>
  <c r="BX369" i="80"/>
  <c r="AL369" i="80" a="1"/>
  <c r="AL369" i="80" s="1"/>
  <c r="BH369" i="80" s="1"/>
  <c r="AI346" i="80"/>
  <c r="AH346" i="80"/>
  <c r="AL346" i="80" a="1"/>
  <c r="AL346" i="80" s="1"/>
  <c r="BH346" i="80" s="1"/>
  <c r="AJ346" i="80"/>
  <c r="BX346" i="80"/>
  <c r="AN346" i="80"/>
  <c r="AI436" i="80"/>
  <c r="AH436" i="80"/>
  <c r="AJ436" i="80"/>
  <c r="AN436" i="80"/>
  <c r="BX436" i="80"/>
  <c r="AL436" i="80" a="1"/>
  <c r="AL436" i="80" s="1"/>
  <c r="BH436" i="80" s="1"/>
  <c r="BX220" i="80"/>
  <c r="AL220" i="80" a="1"/>
  <c r="AL220" i="80" s="1"/>
  <c r="BH220" i="80" s="1"/>
  <c r="AN220" i="80"/>
  <c r="AJ220" i="80"/>
  <c r="AI220" i="80"/>
  <c r="AH220" i="80"/>
  <c r="AJ132" i="80"/>
  <c r="AI132" i="80"/>
  <c r="AH132" i="80"/>
  <c r="BX132" i="80"/>
  <c r="AL132" i="80" a="1"/>
  <c r="AL132" i="80" s="1"/>
  <c r="AN132" i="80"/>
  <c r="AH315" i="80"/>
  <c r="BX315" i="80"/>
  <c r="AN315" i="80"/>
  <c r="AL315" i="80" a="1"/>
  <c r="AL315" i="80" s="1"/>
  <c r="BH315" i="80" s="1"/>
  <c r="AI315" i="80"/>
  <c r="AJ315" i="80"/>
  <c r="AH75" i="80"/>
  <c r="AN75" i="80"/>
  <c r="AL75" i="80" a="1"/>
  <c r="AL75" i="80" s="1"/>
  <c r="BX75" i="80"/>
  <c r="AJ75" i="80"/>
  <c r="AI75" i="80"/>
  <c r="BX39" i="80"/>
  <c r="AN39" i="80"/>
  <c r="AL39" i="80" a="1"/>
  <c r="AL39" i="80" s="1"/>
  <c r="BH39" i="80" s="1"/>
  <c r="AJ39" i="80"/>
  <c r="AI39" i="80"/>
  <c r="AH39" i="80"/>
  <c r="AR76" i="80"/>
  <c r="BX403" i="80"/>
  <c r="AJ403" i="80"/>
  <c r="AI403" i="80"/>
  <c r="AN403" i="80"/>
  <c r="AL403" i="80" a="1"/>
  <c r="AL403" i="80" s="1"/>
  <c r="BH403" i="80" s="1"/>
  <c r="AH403" i="80"/>
  <c r="AJ404" i="80"/>
  <c r="AI404" i="80"/>
  <c r="AN404" i="80"/>
  <c r="BX404" i="80"/>
  <c r="AL404" i="80" a="1"/>
  <c r="AL404" i="80" s="1"/>
  <c r="BH404" i="80" s="1"/>
  <c r="AH404" i="80"/>
  <c r="BB126" i="79"/>
  <c r="BD126" i="79"/>
  <c r="BX203" i="79"/>
  <c r="AJ540" i="79"/>
  <c r="AL540" i="79" a="1"/>
  <c r="AL540" i="79" s="1"/>
  <c r="BH540" i="79" s="1"/>
  <c r="BX540" i="79"/>
  <c r="AH540" i="79"/>
  <c r="AI540" i="79"/>
  <c r="AN540" i="79"/>
  <c r="AL262" i="79" a="1"/>
  <c r="AL262" i="79" s="1"/>
  <c r="BH262" i="79" s="1"/>
  <c r="AH262" i="79"/>
  <c r="AN262" i="79"/>
  <c r="AI262" i="79"/>
  <c r="BX262" i="79"/>
  <c r="AJ262" i="79"/>
  <c r="BX544" i="79"/>
  <c r="AJ544" i="79"/>
  <c r="AN544" i="79"/>
  <c r="AH544" i="79"/>
  <c r="AJ526" i="79"/>
  <c r="AL544" i="79" a="1"/>
  <c r="AL544" i="79" s="1"/>
  <c r="BH544" i="79" s="1"/>
  <c r="AN446" i="79"/>
  <c r="BX446" i="79"/>
  <c r="AH446" i="79"/>
  <c r="AN203" i="79"/>
  <c r="AL446" i="79" a="1"/>
  <c r="AL446" i="79" s="1"/>
  <c r="BH446" i="79" s="1"/>
  <c r="AH203" i="79"/>
  <c r="AI446" i="79"/>
  <c r="AN336" i="79"/>
  <c r="AI203" i="79"/>
  <c r="AL40" i="79" a="1"/>
  <c r="AL40" i="79" s="1"/>
  <c r="BH40" i="79" s="1"/>
  <c r="AL499" i="79" a="1"/>
  <c r="AL499" i="79" s="1"/>
  <c r="BH499" i="79" s="1"/>
  <c r="BB125" i="79"/>
  <c r="BD125" i="79"/>
  <c r="AH499" i="79"/>
  <c r="AL283" i="79" a="1"/>
  <c r="AL283" i="79" s="1"/>
  <c r="BH283" i="79" s="1"/>
  <c r="AN283" i="79"/>
  <c r="AJ283" i="79"/>
  <c r="BX283" i="79"/>
  <c r="AH283" i="79"/>
  <c r="AI283" i="79"/>
  <c r="AN144" i="79"/>
  <c r="AH167" i="79"/>
  <c r="AN241" i="79"/>
  <c r="AJ241" i="79"/>
  <c r="AL241" i="79" a="1"/>
  <c r="AL241" i="79" s="1"/>
  <c r="BH241" i="79" s="1"/>
  <c r="BX241" i="79"/>
  <c r="AH241" i="79"/>
  <c r="AI241" i="79"/>
  <c r="AJ35" i="79"/>
  <c r="AI493" i="79"/>
  <c r="AH493" i="79"/>
  <c r="AI499" i="79"/>
  <c r="AJ499" i="79"/>
  <c r="BX493" i="79"/>
  <c r="AN538" i="79"/>
  <c r="BX538" i="79"/>
  <c r="AJ538" i="79"/>
  <c r="AI538" i="79"/>
  <c r="AH538" i="79"/>
  <c r="AL538" i="79" a="1"/>
  <c r="AL538" i="79" s="1"/>
  <c r="BH538" i="79" s="1"/>
  <c r="BX499" i="79"/>
  <c r="BX167" i="79"/>
  <c r="AH358" i="79"/>
  <c r="AL358" i="79" a="1"/>
  <c r="AL358" i="79" s="1"/>
  <c r="BH358" i="79" s="1"/>
  <c r="AJ358" i="79"/>
  <c r="BX358" i="79"/>
  <c r="AI358" i="79"/>
  <c r="AN358" i="79"/>
  <c r="BD121" i="79"/>
  <c r="AN167" i="79"/>
  <c r="BX428" i="79"/>
  <c r="AN428" i="79"/>
  <c r="AL428" i="79" a="1"/>
  <c r="AL428" i="79" s="1"/>
  <c r="BH428" i="79" s="1"/>
  <c r="AJ428" i="79"/>
  <c r="AI428" i="79"/>
  <c r="AH428" i="79"/>
  <c r="AJ406" i="79"/>
  <c r="AI406" i="79"/>
  <c r="BX406" i="79"/>
  <c r="AL406" i="79" a="1"/>
  <c r="AL406" i="79" s="1"/>
  <c r="BH406" i="79" s="1"/>
  <c r="AN406" i="79"/>
  <c r="AH406" i="79"/>
  <c r="AH483" i="79"/>
  <c r="AL483" i="79" a="1"/>
  <c r="AL483" i="79" s="1"/>
  <c r="BH483" i="79" s="1"/>
  <c r="AN483" i="79"/>
  <c r="AI483" i="79"/>
  <c r="BX483" i="79"/>
  <c r="AJ483" i="79"/>
  <c r="AH152" i="79"/>
  <c r="AN152" i="79"/>
  <c r="AJ152" i="79"/>
  <c r="BX152" i="79"/>
  <c r="AL152" i="79" a="1"/>
  <c r="AL152" i="79" s="1"/>
  <c r="BH152" i="79" s="1"/>
  <c r="AI152" i="79"/>
  <c r="AN402" i="79"/>
  <c r="AH402" i="79"/>
  <c r="BX402" i="79"/>
  <c r="AL402" i="79" a="1"/>
  <c r="AL402" i="79" s="1"/>
  <c r="BH402" i="79" s="1"/>
  <c r="AI402" i="79"/>
  <c r="AJ402" i="79"/>
  <c r="AJ522" i="79"/>
  <c r="AI522" i="79"/>
  <c r="AN522" i="79"/>
  <c r="AL522" i="79" a="1"/>
  <c r="AL522" i="79" s="1"/>
  <c r="BH522" i="79" s="1"/>
  <c r="AH522" i="79"/>
  <c r="BX522" i="79"/>
  <c r="AN95" i="79"/>
  <c r="AL341" i="79" a="1"/>
  <c r="AL341" i="79" s="1"/>
  <c r="BH341" i="79" s="1"/>
  <c r="AI341" i="79"/>
  <c r="AJ341" i="79"/>
  <c r="AH341" i="79"/>
  <c r="AN341" i="79"/>
  <c r="BX341" i="79"/>
  <c r="BX400" i="79"/>
  <c r="AJ400" i="79"/>
  <c r="AH400" i="79"/>
  <c r="AL400" i="79" a="1"/>
  <c r="AL400" i="79" s="1"/>
  <c r="BH400" i="79" s="1"/>
  <c r="AI400" i="79"/>
  <c r="AN400" i="79"/>
  <c r="AJ212" i="79"/>
  <c r="AI212" i="79"/>
  <c r="AH212" i="79"/>
  <c r="AL212" i="79" a="1"/>
  <c r="AL212" i="79" s="1"/>
  <c r="BH212" i="79" s="1"/>
  <c r="BX212" i="79"/>
  <c r="AN212" i="79"/>
  <c r="AI320" i="79"/>
  <c r="AN320" i="79"/>
  <c r="AL320" i="79" a="1"/>
  <c r="AL320" i="79" s="1"/>
  <c r="BH320" i="79" s="1"/>
  <c r="BX320" i="79"/>
  <c r="AH320" i="79"/>
  <c r="AJ320" i="79"/>
  <c r="AH95" i="79"/>
  <c r="AI248" i="79"/>
  <c r="AH248" i="79"/>
  <c r="AL248" i="79" a="1"/>
  <c r="AL248" i="79" s="1"/>
  <c r="BH248" i="79" s="1"/>
  <c r="BX248" i="79"/>
  <c r="AJ248" i="79"/>
  <c r="AN248" i="79"/>
  <c r="AJ251" i="79"/>
  <c r="AH251" i="79"/>
  <c r="AI251" i="79"/>
  <c r="BX251" i="79"/>
  <c r="AN251" i="79"/>
  <c r="AL251" i="79" a="1"/>
  <c r="AL251" i="79" s="1"/>
  <c r="BH251" i="79" s="1"/>
  <c r="AN485" i="79"/>
  <c r="AJ485" i="79"/>
  <c r="BX485" i="79"/>
  <c r="AL485" i="79" a="1"/>
  <c r="AL485" i="79" s="1"/>
  <c r="BH485" i="79" s="1"/>
  <c r="AI485" i="79"/>
  <c r="AH485" i="79"/>
  <c r="BX95" i="79"/>
  <c r="AJ417" i="79"/>
  <c r="AH417" i="79"/>
  <c r="AI417" i="79"/>
  <c r="AL417" i="79" a="1"/>
  <c r="AL417" i="79" s="1"/>
  <c r="BH417" i="79" s="1"/>
  <c r="BX417" i="79"/>
  <c r="AN417" i="79"/>
  <c r="AH351" i="79"/>
  <c r="AN351" i="79"/>
  <c r="AI351" i="79"/>
  <c r="BX351" i="79"/>
  <c r="AJ351" i="79"/>
  <c r="AL351" i="79" a="1"/>
  <c r="AL351" i="79" s="1"/>
  <c r="BH351" i="79" s="1"/>
  <c r="BX259" i="79"/>
  <c r="AN259" i="79"/>
  <c r="AH259" i="79"/>
  <c r="AJ259" i="79"/>
  <c r="AI259" i="79"/>
  <c r="AL259" i="79" a="1"/>
  <c r="AL259" i="79" s="1"/>
  <c r="BH259" i="79" s="1"/>
  <c r="AL95" i="79" a="1"/>
  <c r="AL95" i="79" s="1"/>
  <c r="BH95" i="79" s="1"/>
  <c r="AJ321" i="79"/>
  <c r="AI321" i="79"/>
  <c r="AH321" i="79"/>
  <c r="BX321" i="79"/>
  <c r="AN321" i="79"/>
  <c r="AL321" i="79" a="1"/>
  <c r="AL321" i="79" s="1"/>
  <c r="BH321" i="79" s="1"/>
  <c r="BX233" i="79"/>
  <c r="AL233" i="79" a="1"/>
  <c r="AL233" i="79" s="1"/>
  <c r="BH233" i="79" s="1"/>
  <c r="AJ233" i="79"/>
  <c r="AI233" i="79"/>
  <c r="AN233" i="79"/>
  <c r="AH233" i="79"/>
  <c r="BX35" i="79"/>
  <c r="AI35" i="79"/>
  <c r="AH35" i="79"/>
  <c r="AL35" i="79" a="1"/>
  <c r="AL35" i="79" s="1"/>
  <c r="BH35" i="79" s="1"/>
  <c r="AN411" i="79"/>
  <c r="BX411" i="79"/>
  <c r="AL411" i="79" a="1"/>
  <c r="AL411" i="79" s="1"/>
  <c r="BH411" i="79" s="1"/>
  <c r="AI411" i="79"/>
  <c r="AH411" i="79"/>
  <c r="AJ411" i="79"/>
  <c r="AJ95" i="79"/>
  <c r="AJ482" i="79"/>
  <c r="AH482" i="79"/>
  <c r="BX482" i="79"/>
  <c r="AN482" i="79"/>
  <c r="AI482" i="79"/>
  <c r="AL482" i="79" a="1"/>
  <c r="AL482" i="79" s="1"/>
  <c r="BH482" i="79" s="1"/>
  <c r="BX516" i="79"/>
  <c r="AL516" i="79" a="1"/>
  <c r="AL516" i="79" s="1"/>
  <c r="BH516" i="79" s="1"/>
  <c r="AJ516" i="79"/>
  <c r="AH516" i="79"/>
  <c r="AN516" i="79"/>
  <c r="AI516" i="79"/>
  <c r="AJ167" i="79"/>
  <c r="AI167" i="79"/>
  <c r="AI113" i="79"/>
  <c r="AH113" i="79"/>
  <c r="BX113" i="79"/>
  <c r="AL113" i="79" a="1"/>
  <c r="AL113" i="79" s="1"/>
  <c r="BH113" i="79" s="1"/>
  <c r="AJ113" i="79"/>
  <c r="AN113" i="79"/>
  <c r="AI118" i="79"/>
  <c r="AH118" i="79"/>
  <c r="AJ118" i="79"/>
  <c r="BX118" i="79"/>
  <c r="AL118" i="79" a="1"/>
  <c r="AL118" i="79" s="1"/>
  <c r="BH118" i="79" s="1"/>
  <c r="AN118" i="79"/>
  <c r="AH175" i="79"/>
  <c r="BX175" i="79"/>
  <c r="AN175" i="79"/>
  <c r="AI175" i="79"/>
  <c r="AJ175" i="79"/>
  <c r="AL144" i="79" a="1"/>
  <c r="AL144" i="79" s="1"/>
  <c r="BH144" i="79" s="1"/>
  <c r="AJ38" i="79"/>
  <c r="BX38" i="79"/>
  <c r="AI38" i="79"/>
  <c r="AH38" i="79"/>
  <c r="AN38" i="79"/>
  <c r="AL38" i="79" a="1"/>
  <c r="AL38" i="79" s="1"/>
  <c r="BH38" i="79" s="1"/>
  <c r="AL36" i="79" a="1"/>
  <c r="AL36" i="79" s="1"/>
  <c r="BH36" i="79" s="1"/>
  <c r="BX36" i="79"/>
  <c r="AI36" i="79"/>
  <c r="AH36" i="79"/>
  <c r="AN36" i="79"/>
  <c r="AJ36" i="79"/>
  <c r="AI144" i="79"/>
  <c r="AH144" i="79"/>
  <c r="AJ32" i="79"/>
  <c r="AH32" i="79"/>
  <c r="AI32" i="79"/>
  <c r="BX32" i="79"/>
  <c r="AN32" i="79"/>
  <c r="AL32" i="79" a="1"/>
  <c r="AL32" i="79" s="1"/>
  <c r="BH32" i="79" s="1"/>
  <c r="AJ52" i="79"/>
  <c r="AH52" i="79"/>
  <c r="AN52" i="79"/>
  <c r="AL52" i="79" a="1"/>
  <c r="AL52" i="79" s="1"/>
  <c r="BH52" i="79" s="1"/>
  <c r="BX52" i="79"/>
  <c r="AI52" i="79"/>
  <c r="AN98" i="79"/>
  <c r="BX98" i="79"/>
  <c r="AL98" i="79" a="1"/>
  <c r="AL98" i="79" s="1"/>
  <c r="BH98" i="79" s="1"/>
  <c r="AI98" i="79"/>
  <c r="AJ98" i="79"/>
  <c r="AH98" i="79"/>
  <c r="AI27" i="79"/>
  <c r="AN27" i="79"/>
  <c r="AH27" i="79"/>
  <c r="AL27" i="79" a="1"/>
  <c r="AL27" i="79" s="1"/>
  <c r="AJ27" i="79"/>
  <c r="BX27" i="79"/>
  <c r="AL96" i="79" a="1"/>
  <c r="AL96" i="79" s="1"/>
  <c r="BH96" i="79" s="1"/>
  <c r="AI96" i="79"/>
  <c r="AH96" i="79"/>
  <c r="AJ96" i="79"/>
  <c r="BX96" i="79"/>
  <c r="AN96" i="79"/>
  <c r="AI335" i="79"/>
  <c r="AH335" i="79"/>
  <c r="BX335" i="79"/>
  <c r="AN335" i="79"/>
  <c r="AL335" i="79" a="1"/>
  <c r="AL335" i="79" s="1"/>
  <c r="BH335" i="79" s="1"/>
  <c r="AJ335" i="79"/>
  <c r="AH329" i="79"/>
  <c r="AN329" i="79"/>
  <c r="BX329" i="79"/>
  <c r="AJ329" i="79"/>
  <c r="AI329" i="79"/>
  <c r="AL329" i="79" a="1"/>
  <c r="AL329" i="79" s="1"/>
  <c r="BH329" i="79" s="1"/>
  <c r="AJ165" i="79"/>
  <c r="AL165" i="79" a="1"/>
  <c r="AL165" i="79" s="1"/>
  <c r="BH165" i="79" s="1"/>
  <c r="AN165" i="79"/>
  <c r="BX165" i="79"/>
  <c r="AI165" i="79"/>
  <c r="AH165" i="79"/>
  <c r="AN301" i="79"/>
  <c r="AJ301" i="79"/>
  <c r="AI301" i="79"/>
  <c r="BX301" i="79"/>
  <c r="AL301" i="79" a="1"/>
  <c r="AL301" i="79" s="1"/>
  <c r="BH301" i="79" s="1"/>
  <c r="AH301" i="79"/>
  <c r="AL130" i="79" a="1"/>
  <c r="AL130" i="79" s="1"/>
  <c r="AH130" i="79"/>
  <c r="AI130" i="79"/>
  <c r="BX130" i="79"/>
  <c r="AN130" i="79"/>
  <c r="AJ130" i="79"/>
  <c r="BX235" i="79"/>
  <c r="AN235" i="79"/>
  <c r="AI235" i="79"/>
  <c r="AL235" i="79" a="1"/>
  <c r="AL235" i="79" s="1"/>
  <c r="BH235" i="79" s="1"/>
  <c r="AJ235" i="79"/>
  <c r="AH235" i="79"/>
  <c r="BH77" i="79"/>
  <c r="AM77" i="79"/>
  <c r="AU77" i="79" s="1"/>
  <c r="BX539" i="79"/>
  <c r="AN539" i="79"/>
  <c r="AJ539" i="79"/>
  <c r="AI539" i="79"/>
  <c r="AH539" i="79"/>
  <c r="AL539" i="79" a="1"/>
  <c r="AL539" i="79" s="1"/>
  <c r="BH539" i="79" s="1"/>
  <c r="AH90" i="79"/>
  <c r="BX90" i="79"/>
  <c r="AL90" i="79" a="1"/>
  <c r="AL90" i="79" s="1"/>
  <c r="BH90" i="79" s="1"/>
  <c r="AJ90" i="79"/>
  <c r="AI90" i="79"/>
  <c r="AN90" i="79"/>
  <c r="AR43" i="79"/>
  <c r="AY43" i="79"/>
  <c r="BE43" i="79" s="1"/>
  <c r="AN340" i="79"/>
  <c r="AI340" i="79"/>
  <c r="AH340" i="79"/>
  <c r="AL340" i="79" a="1"/>
  <c r="AL340" i="79" s="1"/>
  <c r="BH340" i="79" s="1"/>
  <c r="AJ340" i="79"/>
  <c r="BX340" i="79"/>
  <c r="AJ221" i="79"/>
  <c r="AI221" i="79"/>
  <c r="BX221" i="79"/>
  <c r="AN221" i="79"/>
  <c r="AL221" i="79" a="1"/>
  <c r="AL221" i="79" s="1"/>
  <c r="BH221" i="79" s="1"/>
  <c r="AH221" i="79"/>
  <c r="BX243" i="79"/>
  <c r="AN243" i="79"/>
  <c r="AL243" i="79" a="1"/>
  <c r="AL243" i="79" s="1"/>
  <c r="BH243" i="79" s="1"/>
  <c r="AJ243" i="79"/>
  <c r="AI243" i="79"/>
  <c r="AH243" i="79"/>
  <c r="AI489" i="79"/>
  <c r="BX489" i="79"/>
  <c r="AH489" i="79"/>
  <c r="AN489" i="79"/>
  <c r="AJ489" i="79"/>
  <c r="AL489" i="79" a="1"/>
  <c r="AL489" i="79" s="1"/>
  <c r="BH489" i="79" s="1"/>
  <c r="BX286" i="79"/>
  <c r="AJ286" i="79"/>
  <c r="AI286" i="79"/>
  <c r="AL286" i="79" a="1"/>
  <c r="AL286" i="79" s="1"/>
  <c r="BH286" i="79" s="1"/>
  <c r="AH286" i="79"/>
  <c r="AN286" i="79"/>
  <c r="AR126" i="79"/>
  <c r="AH401" i="79"/>
  <c r="AL401" i="79" a="1"/>
  <c r="AL401" i="79" s="1"/>
  <c r="BH401" i="79" s="1"/>
  <c r="AJ401" i="79"/>
  <c r="AI401" i="79"/>
  <c r="AN401" i="79"/>
  <c r="BX401" i="79"/>
  <c r="BH82" i="79"/>
  <c r="AM82" i="79"/>
  <c r="AU82" i="79" s="1"/>
  <c r="AJ28" i="79"/>
  <c r="AI28" i="79"/>
  <c r="BX28" i="79"/>
  <c r="AN28" i="79"/>
  <c r="AL28" i="79" a="1"/>
  <c r="AL28" i="79" s="1"/>
  <c r="AH28" i="79"/>
  <c r="AY52" i="79"/>
  <c r="BE52" i="79" s="1"/>
  <c r="AR52" i="79"/>
  <c r="AJ33" i="79"/>
  <c r="AL33" i="79" a="1"/>
  <c r="AL33" i="79" s="1"/>
  <c r="BH33" i="79" s="1"/>
  <c r="AH33" i="79"/>
  <c r="AI33" i="79"/>
  <c r="BX33" i="79"/>
  <c r="AN33" i="79"/>
  <c r="BH72" i="79"/>
  <c r="AM72" i="79"/>
  <c r="AU72" i="79" s="1"/>
  <c r="BH25" i="79"/>
  <c r="AM25" i="79"/>
  <c r="AU25" i="79" s="1"/>
  <c r="BH23" i="79"/>
  <c r="AM23" i="79"/>
  <c r="AU23" i="79" s="1"/>
  <c r="AN442" i="79"/>
  <c r="AL442" i="79" a="1"/>
  <c r="AL442" i="79" s="1"/>
  <c r="BH442" i="79" s="1"/>
  <c r="AH442" i="79"/>
  <c r="BX442" i="79"/>
  <c r="AI442" i="79"/>
  <c r="AJ442" i="79"/>
  <c r="AH100" i="79"/>
  <c r="AN100" i="79"/>
  <c r="BX100" i="79"/>
  <c r="AL100" i="79" a="1"/>
  <c r="AL100" i="79" s="1"/>
  <c r="BH100" i="79" s="1"/>
  <c r="AJ100" i="79"/>
  <c r="AI100" i="79"/>
  <c r="AJ127" i="79"/>
  <c r="AI127" i="79"/>
  <c r="BX127" i="79"/>
  <c r="AH127" i="79"/>
  <c r="AL127" i="79" a="1"/>
  <c r="AL127" i="79" s="1"/>
  <c r="AN127" i="79"/>
  <c r="AL250" i="79" a="1"/>
  <c r="AL250" i="79" s="1"/>
  <c r="BH250" i="79" s="1"/>
  <c r="BX250" i="79"/>
  <c r="AJ250" i="79"/>
  <c r="AH250" i="79"/>
  <c r="AI250" i="79"/>
  <c r="AN250" i="79"/>
  <c r="AJ339" i="79"/>
  <c r="AI339" i="79"/>
  <c r="BX339" i="79"/>
  <c r="AL339" i="79" a="1"/>
  <c r="AL339" i="79" s="1"/>
  <c r="BH339" i="79" s="1"/>
  <c r="AN339" i="79"/>
  <c r="AH339" i="79"/>
  <c r="BX448" i="79"/>
  <c r="AN448" i="79"/>
  <c r="AJ448" i="79"/>
  <c r="AI448" i="79"/>
  <c r="AL448" i="79" a="1"/>
  <c r="AL448" i="79" s="1"/>
  <c r="BH448" i="79" s="1"/>
  <c r="AH448" i="79"/>
  <c r="AY100" i="79"/>
  <c r="BE100" i="79" s="1"/>
  <c r="AR100" i="79"/>
  <c r="AI502" i="79"/>
  <c r="AN502" i="79"/>
  <c r="BX502" i="79"/>
  <c r="AH502" i="79"/>
  <c r="AL502" i="79" a="1"/>
  <c r="AL502" i="79" s="1"/>
  <c r="BH502" i="79" s="1"/>
  <c r="AJ502" i="79"/>
  <c r="AL378" i="79" a="1"/>
  <c r="AL378" i="79" s="1"/>
  <c r="BH378" i="79" s="1"/>
  <c r="AN378" i="79"/>
  <c r="AJ378" i="79"/>
  <c r="BX378" i="79"/>
  <c r="AH378" i="79"/>
  <c r="AI378" i="79"/>
  <c r="AL501" i="79" a="1"/>
  <c r="AL501" i="79" s="1"/>
  <c r="BH501" i="79" s="1"/>
  <c r="AJ501" i="79"/>
  <c r="AH501" i="79"/>
  <c r="AI501" i="79"/>
  <c r="AN501" i="79"/>
  <c r="BX501" i="79"/>
  <c r="AR98" i="79"/>
  <c r="AY98" i="79"/>
  <c r="BE98" i="79" s="1"/>
  <c r="BX123" i="79"/>
  <c r="AI123" i="79"/>
  <c r="AJ123" i="79"/>
  <c r="AH123" i="79"/>
  <c r="AN123" i="79"/>
  <c r="AL123" i="79" a="1"/>
  <c r="AL123" i="79" s="1"/>
  <c r="AN71" i="79"/>
  <c r="AH71" i="79"/>
  <c r="AJ71" i="79"/>
  <c r="AI71" i="79"/>
  <c r="BX71" i="79"/>
  <c r="AL71" i="79" a="1"/>
  <c r="AL71" i="79" s="1"/>
  <c r="AN181" i="79"/>
  <c r="BX181" i="79"/>
  <c r="AL181" i="79" a="1"/>
  <c r="AL181" i="79" s="1"/>
  <c r="BH181" i="79" s="1"/>
  <c r="AJ181" i="79"/>
  <c r="AI181" i="79"/>
  <c r="AH181" i="79"/>
  <c r="AH105" i="79"/>
  <c r="AL105" i="79" a="1"/>
  <c r="AL105" i="79" s="1"/>
  <c r="BH105" i="79" s="1"/>
  <c r="AN105" i="79"/>
  <c r="AJ105" i="79"/>
  <c r="BX105" i="79"/>
  <c r="AI105" i="79"/>
  <c r="BX353" i="79"/>
  <c r="AN353" i="79"/>
  <c r="AJ353" i="79"/>
  <c r="AL353" i="79" a="1"/>
  <c r="AL353" i="79" s="1"/>
  <c r="BH353" i="79" s="1"/>
  <c r="AI353" i="79"/>
  <c r="AH353" i="79"/>
  <c r="BH74" i="79"/>
  <c r="AM74" i="79"/>
  <c r="AU74" i="79" s="1"/>
  <c r="AI481" i="79"/>
  <c r="BX481" i="79"/>
  <c r="AL481" i="79" a="1"/>
  <c r="AL481" i="79" s="1"/>
  <c r="BH481" i="79" s="1"/>
  <c r="AN481" i="79"/>
  <c r="AJ481" i="79"/>
  <c r="AH481" i="79"/>
  <c r="BH22" i="79"/>
  <c r="AM22" i="79"/>
  <c r="BX477" i="79"/>
  <c r="AN477" i="79"/>
  <c r="AJ477" i="79"/>
  <c r="AI477" i="79"/>
  <c r="AH477" i="79"/>
  <c r="AL477" i="79" a="1"/>
  <c r="AL477" i="79" s="1"/>
  <c r="BH477" i="79" s="1"/>
  <c r="AR123" i="79"/>
  <c r="BH24" i="79"/>
  <c r="AM24" i="79"/>
  <c r="AU24" i="79" s="1"/>
  <c r="BH120" i="79"/>
  <c r="AM120" i="79"/>
  <c r="AU120" i="79" s="1"/>
  <c r="AR80" i="79"/>
  <c r="AN237" i="79"/>
  <c r="BX237" i="79"/>
  <c r="AJ237" i="79"/>
  <c r="AI237" i="79"/>
  <c r="AL237" i="79" a="1"/>
  <c r="AL237" i="79" s="1"/>
  <c r="BH237" i="79" s="1"/>
  <c r="AH237" i="79"/>
  <c r="BH81" i="79"/>
  <c r="AM81" i="79"/>
  <c r="AL122" i="79" a="1"/>
  <c r="AL122" i="79" s="1"/>
  <c r="AN122" i="79"/>
  <c r="BX122" i="79"/>
  <c r="AJ122" i="79"/>
  <c r="AH122" i="79"/>
  <c r="AI122" i="79"/>
  <c r="AY141" i="79"/>
  <c r="BE141" i="79" s="1"/>
  <c r="AR141" i="79"/>
  <c r="BH129" i="79"/>
  <c r="AM129" i="79"/>
  <c r="AF80" i="79"/>
  <c r="BX507" i="79"/>
  <c r="AN507" i="79"/>
  <c r="AL507" i="79" a="1"/>
  <c r="AL507" i="79" s="1"/>
  <c r="BH507" i="79" s="1"/>
  <c r="AJ507" i="79"/>
  <c r="AI507" i="79"/>
  <c r="AH507" i="79"/>
  <c r="AL426" i="79" a="1"/>
  <c r="AL426" i="79" s="1"/>
  <c r="BH426" i="79" s="1"/>
  <c r="AN426" i="79"/>
  <c r="BX426" i="79"/>
  <c r="AI426" i="79"/>
  <c r="AH426" i="79"/>
  <c r="AJ426" i="79"/>
  <c r="AR51" i="79"/>
  <c r="AY51" i="79"/>
  <c r="BE51" i="79" s="1"/>
  <c r="BX261" i="79"/>
  <c r="AN261" i="79"/>
  <c r="AL261" i="79" a="1"/>
  <c r="AL261" i="79" s="1"/>
  <c r="BH261" i="79" s="1"/>
  <c r="AI261" i="79"/>
  <c r="AH261" i="79"/>
  <c r="AJ261" i="79"/>
  <c r="BH75" i="79"/>
  <c r="AM75" i="79"/>
  <c r="AU75" i="79" s="1"/>
  <c r="AH226" i="79"/>
  <c r="AI226" i="79"/>
  <c r="BX226" i="79"/>
  <c r="AJ226" i="79"/>
  <c r="AN226" i="79"/>
  <c r="AL226" i="79" a="1"/>
  <c r="AL226" i="79" s="1"/>
  <c r="BH226" i="79" s="1"/>
  <c r="AG66" i="79"/>
  <c r="AF66" i="79" s="1"/>
  <c r="AQ66" i="79"/>
  <c r="BG66" i="79" s="1"/>
  <c r="BA66" i="79" s="1"/>
  <c r="BD66" i="79" s="1"/>
  <c r="AN189" i="79"/>
  <c r="AI189" i="79"/>
  <c r="BX189" i="79"/>
  <c r="AH189" i="79"/>
  <c r="AJ189" i="79"/>
  <c r="AL189" i="79" a="1"/>
  <c r="AL189" i="79" s="1"/>
  <c r="BH189" i="79" s="1"/>
  <c r="AN372" i="79"/>
  <c r="AL372" i="79" a="1"/>
  <c r="AL372" i="79" s="1"/>
  <c r="BH372" i="79" s="1"/>
  <c r="AI372" i="79"/>
  <c r="AJ372" i="79"/>
  <c r="AH372" i="79"/>
  <c r="BX372" i="79"/>
  <c r="AN133" i="79"/>
  <c r="AL133" i="79" a="1"/>
  <c r="AL133" i="79" s="1"/>
  <c r="AH133" i="79"/>
  <c r="BX133" i="79"/>
  <c r="AJ133" i="79"/>
  <c r="AI133" i="79"/>
  <c r="AN43" i="79"/>
  <c r="AL43" i="79" a="1"/>
  <c r="AL43" i="79" s="1"/>
  <c r="BH43" i="79" s="1"/>
  <c r="AH43" i="79"/>
  <c r="AJ43" i="79"/>
  <c r="AI43" i="79"/>
  <c r="BX43" i="79"/>
  <c r="AI312" i="79"/>
  <c r="AH312" i="79"/>
  <c r="AL312" i="79" a="1"/>
  <c r="AL312" i="79" s="1"/>
  <c r="BH312" i="79" s="1"/>
  <c r="BX312" i="79"/>
  <c r="AN312" i="79"/>
  <c r="AJ312" i="79"/>
  <c r="AR27" i="79"/>
  <c r="AJ126" i="79"/>
  <c r="BX126" i="79"/>
  <c r="AH126" i="79"/>
  <c r="AI126" i="79"/>
  <c r="AL126" i="79" a="1"/>
  <c r="AL126" i="79" s="1"/>
  <c r="AN126" i="79"/>
  <c r="AN109" i="79"/>
  <c r="AH109" i="79"/>
  <c r="AL109" i="79" a="1"/>
  <c r="AL109" i="79" s="1"/>
  <c r="BH109" i="79" s="1"/>
  <c r="BX109" i="79"/>
  <c r="AI109" i="79"/>
  <c r="AJ109" i="79"/>
  <c r="AL513" i="79" a="1"/>
  <c r="AL513" i="79" s="1"/>
  <c r="BH513" i="79" s="1"/>
  <c r="AN513" i="79"/>
  <c r="AH513" i="79"/>
  <c r="BX513" i="79"/>
  <c r="AI513" i="79"/>
  <c r="AJ513" i="79"/>
  <c r="AL521" i="79" a="1"/>
  <c r="AL521" i="79" s="1"/>
  <c r="BH521" i="79" s="1"/>
  <c r="AH521" i="79"/>
  <c r="AI521" i="79"/>
  <c r="AN521" i="79"/>
  <c r="BX521" i="79"/>
  <c r="AJ521" i="79"/>
  <c r="AN125" i="79"/>
  <c r="AJ125" i="79"/>
  <c r="AI125" i="79"/>
  <c r="BX125" i="79"/>
  <c r="AH125" i="79"/>
  <c r="AL125" i="79" a="1"/>
  <c r="AL125" i="79" s="1"/>
  <c r="AM131" i="79"/>
  <c r="BH131" i="79"/>
  <c r="AQ115" i="79"/>
  <c r="BG115" i="79" s="1"/>
  <c r="BA115" i="79" s="1"/>
  <c r="BD115" i="79" s="1"/>
  <c r="AG115" i="79"/>
  <c r="AF115" i="79" s="1"/>
  <c r="AH85" i="79"/>
  <c r="AI85" i="79"/>
  <c r="BX85" i="79"/>
  <c r="AN85" i="79"/>
  <c r="AJ85" i="79"/>
  <c r="AL85" i="79" a="1"/>
  <c r="AL85" i="79" s="1"/>
  <c r="BH85" i="79" s="1"/>
  <c r="AY143" i="79"/>
  <c r="BE143" i="79" s="1"/>
  <c r="AR143" i="79"/>
  <c r="BX121" i="79"/>
  <c r="AI121" i="79"/>
  <c r="AH121" i="79"/>
  <c r="AJ121" i="79"/>
  <c r="AN121" i="79"/>
  <c r="AL121" i="79" a="1"/>
  <c r="AL121" i="79" s="1"/>
  <c r="AR125" i="79"/>
  <c r="AR78" i="79"/>
  <c r="AN30" i="79"/>
  <c r="BX30" i="79"/>
  <c r="AJ30" i="79"/>
  <c r="AI30" i="79"/>
  <c r="AH30" i="79"/>
  <c r="AL30" i="79" a="1"/>
  <c r="AL30" i="79" s="1"/>
  <c r="BH30" i="79" s="1"/>
  <c r="AL392" i="79" a="1"/>
  <c r="AL392" i="79" s="1"/>
  <c r="BH392" i="79" s="1"/>
  <c r="BX392" i="79"/>
  <c r="AH392" i="79"/>
  <c r="AN392" i="79"/>
  <c r="AI392" i="79"/>
  <c r="AJ392" i="79"/>
  <c r="AY96" i="79"/>
  <c r="BE96" i="79" s="1"/>
  <c r="AR96" i="79"/>
  <c r="AI146" i="79"/>
  <c r="AH146" i="79"/>
  <c r="AN146" i="79"/>
  <c r="AJ146" i="79"/>
  <c r="BX146" i="79"/>
  <c r="AL146" i="79" a="1"/>
  <c r="AL146" i="79" s="1"/>
  <c r="BH146" i="79" s="1"/>
  <c r="AL445" i="79" a="1"/>
  <c r="AL445" i="79" s="1"/>
  <c r="BH445" i="79" s="1"/>
  <c r="AH445" i="79"/>
  <c r="AN445" i="79"/>
  <c r="AJ445" i="79"/>
  <c r="AI445" i="79"/>
  <c r="BX445" i="79"/>
  <c r="AL197" i="79" a="1"/>
  <c r="AL197" i="79" s="1"/>
  <c r="BH197" i="79" s="1"/>
  <c r="AJ197" i="79"/>
  <c r="BX197" i="79"/>
  <c r="AH197" i="79"/>
  <c r="AI197" i="79"/>
  <c r="AN197" i="79"/>
  <c r="BX505" i="79"/>
  <c r="AJ505" i="79"/>
  <c r="AL505" i="79" a="1"/>
  <c r="AL505" i="79" s="1"/>
  <c r="BH505" i="79" s="1"/>
  <c r="AH505" i="79"/>
  <c r="AN505" i="79"/>
  <c r="AI505" i="79"/>
  <c r="BX48" i="79"/>
  <c r="AN48" i="79"/>
  <c r="AL48" i="79" a="1"/>
  <c r="AL48" i="79" s="1"/>
  <c r="BH48" i="79" s="1"/>
  <c r="AJ48" i="79"/>
  <c r="AI48" i="79"/>
  <c r="AH48" i="79"/>
  <c r="AJ541" i="79"/>
  <c r="AI541" i="79"/>
  <c r="AH541" i="79"/>
  <c r="AL541" i="79" a="1"/>
  <c r="AL541" i="79" s="1"/>
  <c r="BH541" i="79" s="1"/>
  <c r="BX541" i="79"/>
  <c r="AN541" i="79"/>
  <c r="AR128" i="79"/>
  <c r="AN331" i="79"/>
  <c r="BX331" i="79"/>
  <c r="AL331" i="79" a="1"/>
  <c r="AL331" i="79" s="1"/>
  <c r="BH331" i="79" s="1"/>
  <c r="AH331" i="79"/>
  <c r="AI331" i="79"/>
  <c r="AJ331" i="79"/>
  <c r="AY93" i="79"/>
  <c r="BE93" i="79" s="1"/>
  <c r="AR93" i="79"/>
  <c r="BX337" i="79"/>
  <c r="AN337" i="79"/>
  <c r="AL337" i="79" a="1"/>
  <c r="AL337" i="79" s="1"/>
  <c r="BH337" i="79" s="1"/>
  <c r="AH337" i="79"/>
  <c r="AJ337" i="79"/>
  <c r="AI337" i="79"/>
  <c r="AN494" i="79"/>
  <c r="AI494" i="79"/>
  <c r="AH494" i="79"/>
  <c r="AL494" i="79" a="1"/>
  <c r="AL494" i="79" s="1"/>
  <c r="BH494" i="79" s="1"/>
  <c r="AJ494" i="79"/>
  <c r="BX494" i="79"/>
  <c r="BX413" i="79"/>
  <c r="AL413" i="79" a="1"/>
  <c r="AL413" i="79" s="1"/>
  <c r="BH413" i="79" s="1"/>
  <c r="AH413" i="79"/>
  <c r="AI413" i="79"/>
  <c r="AJ413" i="79"/>
  <c r="AN413" i="79"/>
  <c r="BX210" i="79"/>
  <c r="AN210" i="79"/>
  <c r="AJ210" i="79"/>
  <c r="AI210" i="79"/>
  <c r="AL210" i="79" a="1"/>
  <c r="AL210" i="79" s="1"/>
  <c r="BH210" i="79" s="1"/>
  <c r="AH210" i="79"/>
  <c r="AF78" i="79"/>
  <c r="AJ191" i="79"/>
  <c r="AI191" i="79"/>
  <c r="BX191" i="79"/>
  <c r="AH191" i="79"/>
  <c r="AN191" i="79"/>
  <c r="AL191" i="79" a="1"/>
  <c r="AL191" i="79" s="1"/>
  <c r="BH191" i="79" s="1"/>
  <c r="BH26" i="79"/>
  <c r="AM26" i="79"/>
  <c r="AN277" i="79"/>
  <c r="AI277" i="79"/>
  <c r="AH277" i="79"/>
  <c r="AJ277" i="79"/>
  <c r="BX277" i="79"/>
  <c r="AL277" i="79" a="1"/>
  <c r="AL277" i="79" s="1"/>
  <c r="BH277" i="79" s="1"/>
  <c r="BH132" i="79"/>
  <c r="AM132" i="79"/>
  <c r="AU132" i="79" s="1"/>
  <c r="BX29" i="79"/>
  <c r="AH29" i="79"/>
  <c r="AL29" i="79" a="1"/>
  <c r="AL29" i="79" s="1"/>
  <c r="AJ29" i="79"/>
  <c r="AI29" i="79"/>
  <c r="AN29" i="79"/>
  <c r="AN87" i="79"/>
  <c r="AL87" i="79" a="1"/>
  <c r="AL87" i="79" s="1"/>
  <c r="BH87" i="79" s="1"/>
  <c r="AJ87" i="79"/>
  <c r="AH87" i="79"/>
  <c r="BX87" i="79"/>
  <c r="AI87" i="79"/>
  <c r="AI338" i="79"/>
  <c r="AH338" i="79"/>
  <c r="AN338" i="79"/>
  <c r="BX338" i="79"/>
  <c r="AL338" i="79" a="1"/>
  <c r="AL338" i="79" s="1"/>
  <c r="BH338" i="79" s="1"/>
  <c r="AJ338" i="79"/>
  <c r="BH84" i="79"/>
  <c r="AM84" i="79"/>
  <c r="AU84" i="79" s="1"/>
  <c r="AH51" i="79"/>
  <c r="AN51" i="79"/>
  <c r="BX51" i="79"/>
  <c r="AJ51" i="79"/>
  <c r="AI51" i="79"/>
  <c r="AL51" i="79" a="1"/>
  <c r="AL51" i="79" s="1"/>
  <c r="BH51" i="79" s="1"/>
  <c r="AN141" i="79"/>
  <c r="BX141" i="79"/>
  <c r="AJ141" i="79"/>
  <c r="AL141" i="79" a="1"/>
  <c r="AL141" i="79" s="1"/>
  <c r="BH141" i="79" s="1"/>
  <c r="AH141" i="79"/>
  <c r="AI141" i="79"/>
  <c r="BX93" i="79"/>
  <c r="AN93" i="79"/>
  <c r="AH93" i="79"/>
  <c r="AI93" i="79"/>
  <c r="AJ93" i="79"/>
  <c r="AL93" i="79" a="1"/>
  <c r="AL93" i="79" s="1"/>
  <c r="BH93" i="79" s="1"/>
  <c r="AR79" i="79"/>
  <c r="BH83" i="79"/>
  <c r="AM83" i="79"/>
  <c r="AU83" i="79" s="1"/>
  <c r="AI367" i="79"/>
  <c r="AH367" i="79"/>
  <c r="AN367" i="79"/>
  <c r="AJ367" i="79"/>
  <c r="AL367" i="79" a="1"/>
  <c r="AL367" i="79" s="1"/>
  <c r="BH367" i="79" s="1"/>
  <c r="BX367" i="79"/>
  <c r="BH76" i="79"/>
  <c r="AM76" i="79"/>
  <c r="BX128" i="79"/>
  <c r="AJ128" i="79"/>
  <c r="AH128" i="79"/>
  <c r="AL128" i="79" a="1"/>
  <c r="AL128" i="79" s="1"/>
  <c r="AI128" i="79"/>
  <c r="AN128" i="79"/>
  <c r="BX325" i="79"/>
  <c r="AH325" i="79"/>
  <c r="AN325" i="79"/>
  <c r="AI325" i="79"/>
  <c r="AL325" i="79" a="1"/>
  <c r="AL325" i="79" s="1"/>
  <c r="BH325" i="79" s="1"/>
  <c r="AJ325" i="79"/>
  <c r="AN542" i="79"/>
  <c r="AH542" i="79"/>
  <c r="AL542" i="79" a="1"/>
  <c r="AL542" i="79" s="1"/>
  <c r="BH542" i="79" s="1"/>
  <c r="BX542" i="79"/>
  <c r="AJ542" i="79"/>
  <c r="AI542" i="79"/>
  <c r="AF79" i="79"/>
  <c r="AN253" i="79"/>
  <c r="BX253" i="79"/>
  <c r="AJ253" i="79"/>
  <c r="AI253" i="79"/>
  <c r="AH253" i="79"/>
  <c r="AL253" i="79" a="1"/>
  <c r="AL253" i="79" s="1"/>
  <c r="BH253" i="79" s="1"/>
  <c r="AF143" i="79"/>
  <c r="AR121" i="79"/>
  <c r="BX549" i="79"/>
  <c r="AJ549" i="79"/>
  <c r="AI549" i="79"/>
  <c r="AH549" i="79"/>
  <c r="AN549" i="79"/>
  <c r="AL549" i="79" a="1"/>
  <c r="AL549" i="79" s="1"/>
  <c r="BH549" i="79" s="1"/>
  <c r="AR32" i="79"/>
  <c r="AY32" i="79"/>
  <c r="BE32" i="79" s="1"/>
  <c r="AN370" i="79"/>
  <c r="BX370" i="79"/>
  <c r="AJ370" i="79"/>
  <c r="AI370" i="79"/>
  <c r="AL370" i="79" a="1"/>
  <c r="AL370" i="79" s="1"/>
  <c r="BH370" i="79" s="1"/>
  <c r="AH370" i="79"/>
  <c r="BH73" i="79"/>
  <c r="AM73" i="79"/>
  <c r="AU73" i="79" s="1"/>
  <c r="AN91" i="79"/>
  <c r="AI91" i="79"/>
  <c r="AJ91" i="79"/>
  <c r="BX91" i="79"/>
  <c r="AL91" i="79" a="1"/>
  <c r="AL91" i="79" s="1"/>
  <c r="BH91" i="79" s="1"/>
  <c r="AH91" i="79"/>
  <c r="AJ148" i="79"/>
  <c r="AI148" i="79"/>
  <c r="BX148" i="79"/>
  <c r="AN148" i="79"/>
  <c r="AL148" i="79" a="1"/>
  <c r="AL148" i="79" s="1"/>
  <c r="BH148" i="79" s="1"/>
  <c r="AH148" i="79"/>
  <c r="BH124" i="79"/>
  <c r="AM124" i="79"/>
  <c r="AU124" i="79" s="1"/>
  <c r="BD128" i="79"/>
  <c r="AX31" i="82" l="1"/>
  <c r="AR4" i="82"/>
  <c r="AP51" i="82"/>
  <c r="AQ51" i="82" s="1"/>
  <c r="AP49" i="82"/>
  <c r="AQ49" i="82" s="1"/>
  <c r="AP50" i="82"/>
  <c r="AQ50" i="82" s="1"/>
  <c r="AP53" i="82"/>
  <c r="AQ53" i="82" s="1"/>
  <c r="AP54" i="82"/>
  <c r="AQ54" i="82" s="1"/>
  <c r="AP47" i="82"/>
  <c r="AP48" i="82"/>
  <c r="AQ48" i="82" s="1"/>
  <c r="AP52" i="82"/>
  <c r="AQ52" i="82" s="1"/>
  <c r="AK56" i="82"/>
  <c r="AK48" i="82"/>
  <c r="AK58" i="82"/>
  <c r="AK47" i="82"/>
  <c r="AK55" i="82"/>
  <c r="AK60" i="82"/>
  <c r="AK59" i="82"/>
  <c r="AK52" i="82"/>
  <c r="AK57" i="82"/>
  <c r="AK54" i="82"/>
  <c r="AK49" i="82"/>
  <c r="AK51" i="82"/>
  <c r="AK53" i="82"/>
  <c r="AK50" i="82"/>
  <c r="AP98" i="82"/>
  <c r="AQ98" i="82" s="1"/>
  <c r="AP99" i="82"/>
  <c r="AQ99" i="82" s="1"/>
  <c r="AP96" i="82"/>
  <c r="AP97" i="82"/>
  <c r="AQ97" i="82" s="1"/>
  <c r="AK105" i="82"/>
  <c r="AK99" i="82"/>
  <c r="AK109" i="82"/>
  <c r="AK102" i="82"/>
  <c r="AK97" i="82"/>
  <c r="AK98" i="82"/>
  <c r="AK96" i="82"/>
  <c r="AK106" i="82"/>
  <c r="AK107" i="82"/>
  <c r="AK103" i="82"/>
  <c r="AK100" i="82"/>
  <c r="AK104" i="82"/>
  <c r="AK101" i="82"/>
  <c r="AK108" i="82"/>
  <c r="AP145" i="82"/>
  <c r="AP147" i="82"/>
  <c r="AQ147" i="82" s="1"/>
  <c r="AP146" i="82"/>
  <c r="AQ146" i="82" s="1"/>
  <c r="AK148" i="82"/>
  <c r="AK150" i="82"/>
  <c r="AK158" i="82"/>
  <c r="AK146" i="82"/>
  <c r="AK155" i="82"/>
  <c r="AK156" i="82"/>
  <c r="AK152" i="82"/>
  <c r="AK153" i="82"/>
  <c r="AK157" i="82"/>
  <c r="AK149" i="82"/>
  <c r="AK151" i="82"/>
  <c r="AK154" i="82"/>
  <c r="AK147" i="82"/>
  <c r="AK145" i="82"/>
  <c r="AP194" i="82"/>
  <c r="AP195" i="82"/>
  <c r="AQ195" i="82" s="1"/>
  <c r="AP196" i="82"/>
  <c r="AQ196" i="82" s="1"/>
  <c r="AK198" i="82"/>
  <c r="AK204" i="82"/>
  <c r="AK201" i="82"/>
  <c r="AK197" i="82"/>
  <c r="AK199" i="82"/>
  <c r="AK203" i="82"/>
  <c r="AK194" i="82"/>
  <c r="AK206" i="82"/>
  <c r="AK207" i="82"/>
  <c r="AK196" i="82"/>
  <c r="AK195" i="82"/>
  <c r="AK200" i="82"/>
  <c r="AK202" i="82"/>
  <c r="AK205" i="82"/>
  <c r="BX130" i="80"/>
  <c r="AI130" i="80"/>
  <c r="AN130" i="80"/>
  <c r="AM123" i="80"/>
  <c r="AU123" i="80" s="1"/>
  <c r="AW123" i="80" s="1" a="1"/>
  <c r="AW123" i="80" s="1"/>
  <c r="AJ73" i="80"/>
  <c r="AH130" i="80"/>
  <c r="AL73" i="80" a="1"/>
  <c r="AL73" i="80" s="1"/>
  <c r="AM73" i="80" s="1"/>
  <c r="AJ130" i="80"/>
  <c r="BX129" i="80"/>
  <c r="AH73" i="80"/>
  <c r="AN73" i="80"/>
  <c r="BX73" i="80"/>
  <c r="AL129" i="80" a="1"/>
  <c r="AL129" i="80" s="1"/>
  <c r="BH129" i="80" s="1"/>
  <c r="AN129" i="80"/>
  <c r="AL127" i="80" a="1"/>
  <c r="AL127" i="80" s="1"/>
  <c r="BH127" i="80" s="1"/>
  <c r="AH127" i="80"/>
  <c r="AI127" i="80"/>
  <c r="AM79" i="80"/>
  <c r="AU79" i="80" s="1"/>
  <c r="BX127" i="80"/>
  <c r="AN127" i="80"/>
  <c r="AI129" i="80"/>
  <c r="AH129" i="80"/>
  <c r="AM82" i="80"/>
  <c r="AU82" i="80" s="1"/>
  <c r="AW82" i="80" s="1" a="1"/>
  <c r="AW82" i="80" s="1"/>
  <c r="AM29" i="80"/>
  <c r="AU29" i="80" s="1"/>
  <c r="AY29" i="80" s="1"/>
  <c r="BE29" i="80" s="1"/>
  <c r="AJ101" i="80"/>
  <c r="AL101" i="80" a="1"/>
  <c r="AL101" i="80" s="1"/>
  <c r="BH101" i="80" s="1"/>
  <c r="BX101" i="80"/>
  <c r="AI101" i="80"/>
  <c r="AN101" i="80"/>
  <c r="AU25" i="80"/>
  <c r="AW25" i="80" s="1" a="1"/>
  <c r="AW25" i="80" s="1"/>
  <c r="AU126" i="80"/>
  <c r="AV126" i="80" s="1"/>
  <c r="AZ126" i="80" s="1"/>
  <c r="AM84" i="80"/>
  <c r="AU84" i="80" s="1"/>
  <c r="AN30" i="80"/>
  <c r="AI30" i="80"/>
  <c r="AU80" i="80"/>
  <c r="AV80" i="80" s="1"/>
  <c r="AZ80" i="80" s="1"/>
  <c r="AU27" i="80"/>
  <c r="AW27" i="80" s="1" a="1"/>
  <c r="AW27" i="80" s="1"/>
  <c r="AI145" i="80"/>
  <c r="AN145" i="80"/>
  <c r="AH145" i="80"/>
  <c r="AL145" i="80" a="1"/>
  <c r="AL145" i="80" s="1"/>
  <c r="BH145" i="80" s="1"/>
  <c r="BX145" i="80"/>
  <c r="AJ145" i="80"/>
  <c r="AU81" i="80"/>
  <c r="AV81" i="80" s="1"/>
  <c r="AZ81" i="80" s="1"/>
  <c r="BX30" i="80"/>
  <c r="AH30" i="80"/>
  <c r="AJ30" i="80"/>
  <c r="AU120" i="80"/>
  <c r="AW120" i="80" s="1" a="1"/>
  <c r="AW120" i="80" s="1"/>
  <c r="AU121" i="80"/>
  <c r="AV121" i="80" s="1"/>
  <c r="AZ121" i="80" s="1"/>
  <c r="AU128" i="80"/>
  <c r="AY128" i="80" s="1"/>
  <c r="BE128" i="80" s="1"/>
  <c r="BH76" i="80"/>
  <c r="AM76" i="80"/>
  <c r="AL51" i="80" a="1"/>
  <c r="AL51" i="80" s="1"/>
  <c r="BH51" i="80" s="1"/>
  <c r="AI51" i="80"/>
  <c r="BX51" i="80"/>
  <c r="AH51" i="80"/>
  <c r="AN51" i="80"/>
  <c r="AJ51" i="80"/>
  <c r="AJ47" i="80"/>
  <c r="AI47" i="80"/>
  <c r="AL47" i="80" a="1"/>
  <c r="AL47" i="80" s="1"/>
  <c r="BH47" i="80" s="1"/>
  <c r="AH47" i="80"/>
  <c r="BX47" i="80"/>
  <c r="AN47" i="80"/>
  <c r="BH133" i="80"/>
  <c r="AM133" i="80"/>
  <c r="BH125" i="80"/>
  <c r="AM125" i="80"/>
  <c r="BH28" i="80"/>
  <c r="AM28" i="80"/>
  <c r="BH26" i="80"/>
  <c r="AM26" i="80"/>
  <c r="AU24" i="80"/>
  <c r="BH72" i="80"/>
  <c r="AM72" i="80"/>
  <c r="BH75" i="80"/>
  <c r="AM75" i="80"/>
  <c r="BH130" i="80"/>
  <c r="AM130" i="80"/>
  <c r="AN141" i="80"/>
  <c r="AJ141" i="80"/>
  <c r="AH141" i="80"/>
  <c r="AI141" i="80"/>
  <c r="BX141" i="80"/>
  <c r="AL141" i="80" a="1"/>
  <c r="AL141" i="80" s="1"/>
  <c r="BH141" i="80" s="1"/>
  <c r="BH131" i="80"/>
  <c r="AM131" i="80"/>
  <c r="AH66" i="80"/>
  <c r="AI66" i="80"/>
  <c r="AN66" i="80"/>
  <c r="AJ66" i="80"/>
  <c r="BX66" i="80"/>
  <c r="AL66" i="80" a="1"/>
  <c r="AL66" i="80" s="1"/>
  <c r="BH66" i="80" s="1"/>
  <c r="BH23" i="80"/>
  <c r="AM23" i="80"/>
  <c r="AY66" i="80"/>
  <c r="BE66" i="80" s="1"/>
  <c r="AR66" i="80"/>
  <c r="BH71" i="80"/>
  <c r="AM71" i="80"/>
  <c r="BH132" i="80"/>
  <c r="AM132" i="80"/>
  <c r="AR115" i="80"/>
  <c r="AY115" i="80"/>
  <c r="BE115" i="80" s="1"/>
  <c r="BH122" i="80"/>
  <c r="AM122" i="80"/>
  <c r="BH77" i="80"/>
  <c r="AM77" i="80"/>
  <c r="AN115" i="80"/>
  <c r="AL115" i="80" a="1"/>
  <c r="AL115" i="80" s="1"/>
  <c r="BH115" i="80" s="1"/>
  <c r="BX115" i="80"/>
  <c r="AI115" i="80"/>
  <c r="AH115" i="80"/>
  <c r="AJ115" i="80"/>
  <c r="BH78" i="80"/>
  <c r="AM78" i="80"/>
  <c r="BH22" i="80"/>
  <c r="AM22" i="80"/>
  <c r="BH83" i="80"/>
  <c r="AM83" i="80"/>
  <c r="BH74" i="80"/>
  <c r="AM74" i="80"/>
  <c r="BH124" i="80"/>
  <c r="AM124" i="80"/>
  <c r="BH127" i="79"/>
  <c r="AM127" i="79"/>
  <c r="AU127" i="79" s="1"/>
  <c r="AV132" i="79"/>
  <c r="AZ132" i="79" s="1"/>
  <c r="AW132" i="79" a="1"/>
  <c r="AW132" i="79" s="1"/>
  <c r="AY132" i="79"/>
  <c r="BE132" i="79" s="1"/>
  <c r="AI78" i="79"/>
  <c r="AH78" i="79"/>
  <c r="AN78" i="79"/>
  <c r="BX78" i="79"/>
  <c r="AL78" i="79" a="1"/>
  <c r="AL78" i="79" s="1"/>
  <c r="AJ78" i="79"/>
  <c r="AY66" i="79"/>
  <c r="BE66" i="79" s="1"/>
  <c r="AR66" i="79"/>
  <c r="AW23" i="79" a="1"/>
  <c r="AW23" i="79" s="1"/>
  <c r="AV23" i="79"/>
  <c r="AZ23" i="79" s="1"/>
  <c r="BD23" i="79"/>
  <c r="AY23" i="79"/>
  <c r="BE23" i="79" s="1"/>
  <c r="AW120" i="79" a="1"/>
  <c r="AW120" i="79" s="1"/>
  <c r="AV120" i="79"/>
  <c r="AZ120" i="79" s="1"/>
  <c r="AY120" i="79"/>
  <c r="BE120" i="79" s="1"/>
  <c r="AW124" i="79" a="1"/>
  <c r="AW124" i="79" s="1"/>
  <c r="AV124" i="79"/>
  <c r="AZ124" i="79" s="1"/>
  <c r="AY124" i="79"/>
  <c r="BE124" i="79" s="1"/>
  <c r="AW24" i="79" a="1"/>
  <c r="AW24" i="79" s="1"/>
  <c r="AV24" i="79"/>
  <c r="AZ24" i="79" s="1"/>
  <c r="BD24" i="79"/>
  <c r="AY24" i="79"/>
  <c r="BE24" i="79" s="1"/>
  <c r="AW72" i="79" a="1"/>
  <c r="AW72" i="79" s="1"/>
  <c r="AV72" i="79"/>
  <c r="AZ72" i="79" s="1"/>
  <c r="AY72" i="79"/>
  <c r="BE72" i="79" s="1"/>
  <c r="BD72" i="79"/>
  <c r="AV82" i="79"/>
  <c r="AZ82" i="79" s="1"/>
  <c r="AW82" i="79" a="1"/>
  <c r="AW82" i="79" s="1"/>
  <c r="AY82" i="79"/>
  <c r="BE82" i="79" s="1"/>
  <c r="BD82" i="79"/>
  <c r="AW83" i="79" a="1"/>
  <c r="AW83" i="79" s="1"/>
  <c r="AV83" i="79"/>
  <c r="AZ83" i="79" s="1"/>
  <c r="AY83" i="79"/>
  <c r="BE83" i="79" s="1"/>
  <c r="BD83" i="79"/>
  <c r="AW74" i="79" a="1"/>
  <c r="AW74" i="79" s="1"/>
  <c r="AV74" i="79"/>
  <c r="AZ74" i="79" s="1"/>
  <c r="BD74" i="79"/>
  <c r="AY74" i="79"/>
  <c r="BE74" i="79" s="1"/>
  <c r="AR115" i="79"/>
  <c r="AY115" i="79"/>
  <c r="BE115" i="79" s="1"/>
  <c r="BH126" i="79"/>
  <c r="AM126" i="79"/>
  <c r="AU126" i="79" s="1"/>
  <c r="AV75" i="79"/>
  <c r="AZ75" i="79" s="1"/>
  <c r="AW75" i="79" a="1"/>
  <c r="AW75" i="79" s="1"/>
  <c r="BD75" i="79"/>
  <c r="AY75" i="79"/>
  <c r="BE75" i="79" s="1"/>
  <c r="BH122" i="79"/>
  <c r="AM122" i="79"/>
  <c r="AU122" i="79" s="1"/>
  <c r="BH130" i="79"/>
  <c r="AM130" i="79"/>
  <c r="AU130" i="79" s="1"/>
  <c r="AU26" i="79"/>
  <c r="AU81" i="79"/>
  <c r="BH27" i="79"/>
  <c r="AM27" i="79"/>
  <c r="AU27" i="79" s="1"/>
  <c r="AL66" i="79" a="1"/>
  <c r="AL66" i="79" s="1"/>
  <c r="BH66" i="79" s="1"/>
  <c r="BX66" i="79"/>
  <c r="AJ66" i="79"/>
  <c r="AI66" i="79"/>
  <c r="AH66" i="79"/>
  <c r="AN66" i="79"/>
  <c r="BH28" i="79"/>
  <c r="AM28" i="79"/>
  <c r="AU28" i="79" s="1"/>
  <c r="BH123" i="79"/>
  <c r="AM123" i="79"/>
  <c r="AU123" i="79" s="1"/>
  <c r="AW73" i="79" a="1"/>
  <c r="AW73" i="79" s="1"/>
  <c r="AV73" i="79"/>
  <c r="AZ73" i="79" s="1"/>
  <c r="AY73" i="79"/>
  <c r="BE73" i="79" s="1"/>
  <c r="BD73" i="79"/>
  <c r="AV25" i="79"/>
  <c r="AZ25" i="79" s="1"/>
  <c r="AW25" i="79" a="1"/>
  <c r="AW25" i="79" s="1"/>
  <c r="BD25" i="79"/>
  <c r="AY25" i="79"/>
  <c r="BE25" i="79" s="1"/>
  <c r="AN143" i="79"/>
  <c r="BX143" i="79"/>
  <c r="AJ143" i="79"/>
  <c r="AI143" i="79"/>
  <c r="AL143" i="79" a="1"/>
  <c r="AL143" i="79" s="1"/>
  <c r="BH143" i="79" s="1"/>
  <c r="AH143" i="79"/>
  <c r="BH121" i="79"/>
  <c r="AM121" i="79"/>
  <c r="AU121" i="79" s="1"/>
  <c r="AN115" i="79"/>
  <c r="BX115" i="79"/>
  <c r="AL115" i="79" a="1"/>
  <c r="AL115" i="79" s="1"/>
  <c r="BH115" i="79" s="1"/>
  <c r="AJ115" i="79"/>
  <c r="AI115" i="79"/>
  <c r="AH115" i="79"/>
  <c r="BH71" i="79"/>
  <c r="AM71" i="79"/>
  <c r="AU71" i="79" s="1"/>
  <c r="AN79" i="79"/>
  <c r="AI79" i="79"/>
  <c r="AH79" i="79"/>
  <c r="BX79" i="79"/>
  <c r="AJ79" i="79"/>
  <c r="AL79" i="79" a="1"/>
  <c r="AL79" i="79" s="1"/>
  <c r="BH29" i="79"/>
  <c r="AM29" i="79"/>
  <c r="AU29" i="79" s="1"/>
  <c r="AU131" i="79"/>
  <c r="AH80" i="79"/>
  <c r="AL80" i="79" a="1"/>
  <c r="AL80" i="79" s="1"/>
  <c r="AJ80" i="79"/>
  <c r="AI80" i="79"/>
  <c r="BX80" i="79"/>
  <c r="AN80" i="79"/>
  <c r="BH128" i="79"/>
  <c r="AM128" i="79"/>
  <c r="AU128" i="79" s="1"/>
  <c r="AV77" i="79"/>
  <c r="AZ77" i="79" s="1"/>
  <c r="AW77" i="79" a="1"/>
  <c r="AW77" i="79" s="1"/>
  <c r="BD77" i="79"/>
  <c r="AY77" i="79"/>
  <c r="BE77" i="79" s="1"/>
  <c r="AV84" i="79"/>
  <c r="AZ84" i="79" s="1"/>
  <c r="AW84" i="79" a="1"/>
  <c r="AW84" i="79" s="1"/>
  <c r="AY84" i="79"/>
  <c r="BE84" i="79" s="1"/>
  <c r="BD84" i="79"/>
  <c r="AU76" i="79"/>
  <c r="BH125" i="79"/>
  <c r="AM125" i="79"/>
  <c r="AU125" i="79" s="1"/>
  <c r="BH133" i="79"/>
  <c r="AM133" i="79"/>
  <c r="AU133" i="79" s="1"/>
  <c r="AU129" i="79"/>
  <c r="AU22" i="79"/>
  <c r="AQ96" i="82" l="1"/>
  <c r="AP110" i="82"/>
  <c r="AQ145" i="82"/>
  <c r="AP159" i="82"/>
  <c r="AQ194" i="82"/>
  <c r="AP208" i="82"/>
  <c r="AP61" i="82"/>
  <c r="AQ47" i="82"/>
  <c r="BH73" i="80"/>
  <c r="AU73" i="80" s="1"/>
  <c r="AW73" i="80" s="1" a="1"/>
  <c r="AW73" i="80" s="1"/>
  <c r="AM127" i="80"/>
  <c r="AU127" i="80" s="1"/>
  <c r="AM129" i="80"/>
  <c r="AU129" i="80" s="1"/>
  <c r="AV129" i="80" s="1"/>
  <c r="AZ129" i="80" s="1"/>
  <c r="BD25" i="80"/>
  <c r="AY25" i="80"/>
  <c r="BE25" i="80" s="1"/>
  <c r="AV25" i="80"/>
  <c r="AZ25" i="80" s="1"/>
  <c r="AY126" i="80"/>
  <c r="BE126" i="80" s="1"/>
  <c r="AW126" i="80" a="1"/>
  <c r="AW126" i="80" s="1"/>
  <c r="AU78" i="80"/>
  <c r="BD78" i="80" s="1"/>
  <c r="AW29" i="80" a="1"/>
  <c r="AW29" i="80" s="1"/>
  <c r="AV29" i="80"/>
  <c r="AZ29" i="80" s="1"/>
  <c r="AY80" i="80"/>
  <c r="BE80" i="80" s="1"/>
  <c r="AY27" i="80"/>
  <c r="BE27" i="80" s="1"/>
  <c r="BD80" i="80"/>
  <c r="BD29" i="80"/>
  <c r="AW80" i="80" a="1"/>
  <c r="AW80" i="80" s="1"/>
  <c r="AU72" i="80"/>
  <c r="AV72" i="80" s="1"/>
  <c r="AZ72" i="80" s="1"/>
  <c r="AV82" i="80"/>
  <c r="AZ82" i="80" s="1"/>
  <c r="AU23" i="80"/>
  <c r="AV23" i="80" s="1"/>
  <c r="AZ23" i="80" s="1"/>
  <c r="BD27" i="80"/>
  <c r="AV27" i="80"/>
  <c r="AZ27" i="80" s="1"/>
  <c r="AU133" i="80"/>
  <c r="AV133" i="80" s="1"/>
  <c r="AZ133" i="80" s="1"/>
  <c r="AU122" i="80"/>
  <c r="AW122" i="80" s="1" a="1"/>
  <c r="AW122" i="80" s="1"/>
  <c r="AY81" i="80"/>
  <c r="BE81" i="80" s="1"/>
  <c r="AU83" i="80"/>
  <c r="BD83" i="80" s="1"/>
  <c r="AU77" i="80"/>
  <c r="AV77" i="80" s="1"/>
  <c r="AZ77" i="80" s="1"/>
  <c r="BD81" i="80"/>
  <c r="AW81" i="80" a="1"/>
  <c r="AW81" i="80" s="1"/>
  <c r="AY120" i="80"/>
  <c r="BE120" i="80" s="1"/>
  <c r="AV120" i="80"/>
  <c r="AZ120" i="80" s="1"/>
  <c r="AY123" i="80"/>
  <c r="BE123" i="80" s="1"/>
  <c r="AY121" i="80"/>
  <c r="BE121" i="80" s="1"/>
  <c r="AW121" i="80" a="1"/>
  <c r="AW121" i="80" s="1"/>
  <c r="AU124" i="80"/>
  <c r="AW124" i="80" s="1" a="1"/>
  <c r="AW124" i="80" s="1"/>
  <c r="AY82" i="80"/>
  <c r="BE82" i="80" s="1"/>
  <c r="BD82" i="80"/>
  <c r="AU74" i="80"/>
  <c r="AV74" i="80" s="1"/>
  <c r="AZ74" i="80" s="1"/>
  <c r="AU130" i="80"/>
  <c r="AV130" i="80" s="1"/>
  <c r="AZ130" i="80" s="1"/>
  <c r="AU22" i="80"/>
  <c r="AY22" i="80" s="1"/>
  <c r="BE22" i="80" s="1"/>
  <c r="AU131" i="80"/>
  <c r="AV131" i="80" s="1"/>
  <c r="AZ131" i="80" s="1"/>
  <c r="AU75" i="80"/>
  <c r="AY75" i="80" s="1"/>
  <c r="BE75" i="80" s="1"/>
  <c r="AU125" i="80"/>
  <c r="AW125" i="80" s="1" a="1"/>
  <c r="AW125" i="80" s="1"/>
  <c r="AU71" i="80"/>
  <c r="AY71" i="80" s="1"/>
  <c r="BE71" i="80" s="1"/>
  <c r="AV128" i="80"/>
  <c r="AZ128" i="80" s="1"/>
  <c r="AW128" i="80" a="1"/>
  <c r="AW128" i="80" s="1"/>
  <c r="AV123" i="80"/>
  <c r="AZ123" i="80" s="1"/>
  <c r="AU132" i="80"/>
  <c r="AY132" i="80" s="1"/>
  <c r="BE132" i="80" s="1"/>
  <c r="AU26" i="80"/>
  <c r="AY26" i="80" s="1"/>
  <c r="BE26" i="80" s="1"/>
  <c r="AU76" i="80"/>
  <c r="AW76" i="80" s="1" a="1"/>
  <c r="AW76" i="80" s="1"/>
  <c r="AW24" i="80" a="1"/>
  <c r="AW24" i="80" s="1"/>
  <c r="AV24" i="80"/>
  <c r="AZ24" i="80" s="1"/>
  <c r="AY24" i="80"/>
  <c r="BE24" i="80" s="1"/>
  <c r="BD24" i="80"/>
  <c r="AV84" i="80"/>
  <c r="AZ84" i="80" s="1"/>
  <c r="AW84" i="80" a="1"/>
  <c r="AW84" i="80" s="1"/>
  <c r="BD84" i="80"/>
  <c r="AY84" i="80"/>
  <c r="BE84" i="80" s="1"/>
  <c r="AW79" i="80" a="1"/>
  <c r="AW79" i="80" s="1"/>
  <c r="AV79" i="80"/>
  <c r="AZ79" i="80" s="1"/>
  <c r="BD79" i="80"/>
  <c r="AY79" i="80"/>
  <c r="BE79" i="80" s="1"/>
  <c r="AU28" i="80"/>
  <c r="AV126" i="79"/>
  <c r="AZ126" i="79" s="1"/>
  <c r="AW126" i="79" a="1"/>
  <c r="AW126" i="79" s="1"/>
  <c r="AY126" i="79"/>
  <c r="BE126" i="79" s="1"/>
  <c r="BH78" i="79"/>
  <c r="AM78" i="79"/>
  <c r="AU78" i="79" s="1"/>
  <c r="AW125" i="79" a="1"/>
  <c r="AW125" i="79" s="1"/>
  <c r="AV125" i="79"/>
  <c r="AZ125" i="79" s="1"/>
  <c r="AY125" i="79"/>
  <c r="BE125" i="79" s="1"/>
  <c r="AW81" i="79" a="1"/>
  <c r="AW81" i="79" s="1"/>
  <c r="AV81" i="79"/>
  <c r="AZ81" i="79" s="1"/>
  <c r="BD81" i="79"/>
  <c r="AY81" i="79"/>
  <c r="BE81" i="79" s="1"/>
  <c r="AV131" i="79"/>
  <c r="AZ131" i="79" s="1"/>
  <c r="AW131" i="79" a="1"/>
  <c r="AW131" i="79" s="1"/>
  <c r="AY131" i="79"/>
  <c r="BE131" i="79" s="1"/>
  <c r="BH79" i="79"/>
  <c r="AM79" i="79"/>
  <c r="AU79" i="79" s="1"/>
  <c r="AV28" i="79"/>
  <c r="AZ28" i="79" s="1"/>
  <c r="AW28" i="79" a="1"/>
  <c r="AW28" i="79" s="1"/>
  <c r="AY28" i="79"/>
  <c r="BE28" i="79" s="1"/>
  <c r="BD28" i="79"/>
  <c r="AV71" i="79"/>
  <c r="AZ71" i="79" s="1"/>
  <c r="AW71" i="79" a="1"/>
  <c r="AW71" i="79" s="1"/>
  <c r="AY71" i="79"/>
  <c r="BE71" i="79" s="1"/>
  <c r="AW129" i="79" a="1"/>
  <c r="AW129" i="79" s="1"/>
  <c r="AV129" i="79"/>
  <c r="AZ129" i="79" s="1"/>
  <c r="AY129" i="79"/>
  <c r="BE129" i="79" s="1"/>
  <c r="AW76" i="79" a="1"/>
  <c r="AW76" i="79" s="1"/>
  <c r="AV76" i="79"/>
  <c r="AZ76" i="79" s="1"/>
  <c r="BD76" i="79"/>
  <c r="AY76" i="79"/>
  <c r="BE76" i="79" s="1"/>
  <c r="AW127" i="79" a="1"/>
  <c r="AW127" i="79" s="1"/>
  <c r="AV127" i="79"/>
  <c r="AZ127" i="79" s="1"/>
  <c r="AY127" i="79"/>
  <c r="BE127" i="79" s="1"/>
  <c r="AV128" i="79"/>
  <c r="AZ128" i="79" s="1"/>
  <c r="AW128" i="79" a="1"/>
  <c r="AW128" i="79" s="1"/>
  <c r="AY128" i="79"/>
  <c r="BE128" i="79" s="1"/>
  <c r="AW22" i="79" a="1"/>
  <c r="AW22" i="79" s="1"/>
  <c r="AV22" i="79"/>
  <c r="AY22" i="79"/>
  <c r="BE22" i="79" s="1"/>
  <c r="BD22" i="79"/>
  <c r="AV133" i="79"/>
  <c r="AZ133" i="79" s="1"/>
  <c r="AW133" i="79" a="1"/>
  <c r="AW133" i="79" s="1"/>
  <c r="AY133" i="79"/>
  <c r="BE133" i="79" s="1"/>
  <c r="AV27" i="79"/>
  <c r="AZ27" i="79" s="1"/>
  <c r="AW27" i="79" a="1"/>
  <c r="AW27" i="79" s="1"/>
  <c r="AY27" i="79"/>
  <c r="BE27" i="79" s="1"/>
  <c r="BD27" i="79"/>
  <c r="BH80" i="79"/>
  <c r="AM80" i="79"/>
  <c r="AU80" i="79" s="1"/>
  <c r="AW26" i="79" a="1"/>
  <c r="AW26" i="79" s="1"/>
  <c r="AV26" i="79"/>
  <c r="AZ26" i="79" s="1"/>
  <c r="AY26" i="79"/>
  <c r="BE26" i="79" s="1"/>
  <c r="BD26" i="79"/>
  <c r="AV130" i="79"/>
  <c r="AZ130" i="79" s="1"/>
  <c r="AW130" i="79" a="1"/>
  <c r="AW130" i="79" s="1"/>
  <c r="AY130" i="79"/>
  <c r="BE130" i="79" s="1"/>
  <c r="AW29" i="79" a="1"/>
  <c r="AW29" i="79" s="1"/>
  <c r="AV29" i="79"/>
  <c r="AZ29" i="79" s="1"/>
  <c r="BD29" i="79"/>
  <c r="AY29" i="79"/>
  <c r="BE29" i="79" s="1"/>
  <c r="AV121" i="79"/>
  <c r="AZ121" i="79" s="1"/>
  <c r="AW121" i="79" a="1"/>
  <c r="AW121" i="79" s="1"/>
  <c r="AY121" i="79"/>
  <c r="BE121" i="79" s="1"/>
  <c r="AV123" i="79"/>
  <c r="AZ123" i="79" s="1"/>
  <c r="AW123" i="79" a="1"/>
  <c r="AW123" i="79" s="1"/>
  <c r="AY123" i="79"/>
  <c r="BE123" i="79" s="1"/>
  <c r="AV122" i="79"/>
  <c r="AZ122" i="79" s="1"/>
  <c r="AW122" i="79" a="1"/>
  <c r="AW122" i="79" s="1"/>
  <c r="AY122" i="79"/>
  <c r="BE122" i="79" s="1"/>
  <c r="BY3" i="82" l="1"/>
  <c r="BY4" i="82"/>
  <c r="BY5" i="82"/>
  <c r="AW129" i="80" a="1"/>
  <c r="AW129" i="80" s="1"/>
  <c r="AV78" i="80"/>
  <c r="AZ78" i="80" s="1"/>
  <c r="AY129" i="80"/>
  <c r="BE129" i="80" s="1"/>
  <c r="AW78" i="80" a="1"/>
  <c r="AW78" i="80" s="1"/>
  <c r="AY78" i="80"/>
  <c r="BE78" i="80" s="1"/>
  <c r="AW83" i="80" a="1"/>
  <c r="AW83" i="80" s="1"/>
  <c r="AV132" i="80"/>
  <c r="AZ132" i="80" s="1"/>
  <c r="AV83" i="80"/>
  <c r="AZ83" i="80" s="1"/>
  <c r="AV75" i="80"/>
  <c r="AZ75" i="80" s="1"/>
  <c r="AW75" i="80" a="1"/>
  <c r="AW75" i="80" s="1"/>
  <c r="BD72" i="80"/>
  <c r="AY23" i="80"/>
  <c r="BE23" i="80" s="1"/>
  <c r="AY72" i="80"/>
  <c r="BE72" i="80" s="1"/>
  <c r="BD23" i="80"/>
  <c r="AW72" i="80" a="1"/>
  <c r="AW72" i="80" s="1"/>
  <c r="AW23" i="80" a="1"/>
  <c r="AW23" i="80" s="1"/>
  <c r="BD73" i="80"/>
  <c r="AV122" i="80"/>
  <c r="AZ122" i="80" s="1"/>
  <c r="AY73" i="80"/>
  <c r="BE73" i="80" s="1"/>
  <c r="AV73" i="80"/>
  <c r="AZ73" i="80" s="1"/>
  <c r="AY122" i="80"/>
  <c r="BE122" i="80" s="1"/>
  <c r="AW130" i="80" a="1"/>
  <c r="AW130" i="80" s="1"/>
  <c r="AY133" i="80"/>
  <c r="BE133" i="80" s="1"/>
  <c r="AW133" i="80" a="1"/>
  <c r="AW133" i="80" s="1"/>
  <c r="AY83" i="80"/>
  <c r="BE83" i="80" s="1"/>
  <c r="BD75" i="80"/>
  <c r="AW132" i="80" a="1"/>
  <c r="AW132" i="80" s="1"/>
  <c r="BD77" i="80"/>
  <c r="AW77" i="80" a="1"/>
  <c r="AW77" i="80" s="1"/>
  <c r="AY77" i="80"/>
  <c r="BE77" i="80" s="1"/>
  <c r="BD26" i="80"/>
  <c r="AW26" i="80" a="1"/>
  <c r="AW26" i="80" s="1"/>
  <c r="AV26" i="80"/>
  <c r="AZ26" i="80" s="1"/>
  <c r="AW22" i="80" a="1"/>
  <c r="AW22" i="80" s="1"/>
  <c r="AV22" i="80"/>
  <c r="AZ22" i="80" s="1"/>
  <c r="BD74" i="80"/>
  <c r="BD22" i="80"/>
  <c r="AY131" i="80"/>
  <c r="BE131" i="80" s="1"/>
  <c r="AV76" i="80"/>
  <c r="AZ76" i="80" s="1"/>
  <c r="AV124" i="80"/>
  <c r="AZ124" i="80" s="1"/>
  <c r="AY124" i="80"/>
  <c r="BE124" i="80" s="1"/>
  <c r="AW131" i="80" a="1"/>
  <c r="AW131" i="80" s="1"/>
  <c r="AY130" i="80"/>
  <c r="BE130" i="80" s="1"/>
  <c r="AY74" i="80"/>
  <c r="BE74" i="80" s="1"/>
  <c r="AW74" i="80" a="1"/>
  <c r="AW74" i="80" s="1"/>
  <c r="AV71" i="80"/>
  <c r="AZ71" i="80" s="1"/>
  <c r="AW71" i="80" a="1"/>
  <c r="AW71" i="80" s="1"/>
  <c r="AY125" i="80"/>
  <c r="BE125" i="80" s="1"/>
  <c r="AV125" i="80"/>
  <c r="AZ125" i="80" s="1"/>
  <c r="AY76" i="80"/>
  <c r="BE76" i="80" s="1"/>
  <c r="BD76" i="80"/>
  <c r="AW127" i="80" a="1"/>
  <c r="AW127" i="80" s="1"/>
  <c r="AV127" i="80"/>
  <c r="AZ127" i="80" s="1"/>
  <c r="AY127" i="80"/>
  <c r="BE127" i="80" s="1"/>
  <c r="AW28" i="80" a="1"/>
  <c r="AW28" i="80" s="1"/>
  <c r="AV28" i="80"/>
  <c r="AZ28" i="80" s="1"/>
  <c r="AY28" i="80"/>
  <c r="BE28" i="80" s="1"/>
  <c r="BD28" i="80"/>
  <c r="AZ22" i="79"/>
  <c r="AV78" i="79"/>
  <c r="AZ78" i="79" s="1"/>
  <c r="AW78" i="79" a="1"/>
  <c r="AW78" i="79" s="1"/>
  <c r="BD78" i="79"/>
  <c r="AY78" i="79"/>
  <c r="BE78" i="79" s="1"/>
  <c r="AV80" i="79"/>
  <c r="AZ80" i="79" s="1"/>
  <c r="AW80" i="79" a="1"/>
  <c r="AW80" i="79" s="1"/>
  <c r="BD80" i="79"/>
  <c r="AY80" i="79"/>
  <c r="BE80" i="79" s="1"/>
  <c r="AW79" i="79" a="1"/>
  <c r="AW79" i="79" s="1"/>
  <c r="AV79" i="79"/>
  <c r="AZ79" i="79" s="1"/>
  <c r="BD79" i="79"/>
  <c r="AY79" i="79"/>
  <c r="BE79" i="79" s="1"/>
  <c r="DD5" i="80" l="1"/>
  <c r="DD3" i="79"/>
  <c r="DD3" i="80"/>
  <c r="DD4" i="80"/>
  <c r="DD4" i="79"/>
  <c r="DD5" i="79"/>
  <c r="DN7" i="65" l="1"/>
  <c r="DN6" i="65"/>
  <c r="DK2" i="65"/>
  <c r="DK1" i="65"/>
  <c r="DI2" i="65"/>
  <c r="DH2" i="65"/>
  <c r="DF2" i="65"/>
  <c r="DE2" i="65"/>
  <c r="DC2" i="65"/>
  <c r="DB2" i="65"/>
  <c r="CZ2" i="65"/>
  <c r="CY2" i="65"/>
  <c r="CW2" i="65"/>
  <c r="CV2" i="65"/>
  <c r="CT2" i="65"/>
  <c r="CS2" i="65"/>
  <c r="CQ2" i="65"/>
  <c r="CP2" i="65"/>
  <c r="CN2" i="65"/>
  <c r="CM2" i="65"/>
  <c r="CK2" i="65"/>
  <c r="CJ2" i="65"/>
  <c r="CH2" i="65"/>
  <c r="CG2" i="65"/>
  <c r="CE2" i="65"/>
  <c r="CD2" i="65"/>
  <c r="DI1" i="65"/>
  <c r="DH1" i="65"/>
  <c r="DF1" i="65"/>
  <c r="DE1" i="65"/>
  <c r="DC1" i="65"/>
  <c r="DB1" i="65"/>
  <c r="CZ1" i="65"/>
  <c r="CY1" i="65"/>
  <c r="CW1" i="65"/>
  <c r="CV1" i="65"/>
  <c r="CT1" i="65"/>
  <c r="CS1" i="65"/>
  <c r="CQ1" i="65"/>
  <c r="CP1" i="65"/>
  <c r="CN1" i="65"/>
  <c r="CM1" i="65"/>
  <c r="CK1" i="65"/>
  <c r="CJ1" i="65"/>
  <c r="CH1" i="65"/>
  <c r="CG1" i="65"/>
  <c r="CE1" i="65"/>
  <c r="CD1" i="65"/>
  <c r="BX2" i="65"/>
  <c r="BW2" i="65"/>
  <c r="BU2" i="65"/>
  <c r="BT2" i="65"/>
  <c r="BR2" i="65"/>
  <c r="BQ2" i="65"/>
  <c r="BO2" i="65"/>
  <c r="BN2" i="65"/>
  <c r="BL2" i="65"/>
  <c r="BK2" i="65"/>
  <c r="BI2" i="65"/>
  <c r="BH2" i="65"/>
  <c r="BF2" i="65"/>
  <c r="BE2" i="65"/>
  <c r="BC2" i="65"/>
  <c r="BB2" i="65"/>
  <c r="AZ2" i="65"/>
  <c r="AY2" i="65"/>
  <c r="AW2" i="65"/>
  <c r="AV2" i="65"/>
  <c r="AT2" i="65"/>
  <c r="AS2" i="65"/>
  <c r="BX1" i="65"/>
  <c r="BW1" i="65"/>
  <c r="BU1" i="65"/>
  <c r="BT1" i="65"/>
  <c r="BR1" i="65"/>
  <c r="BQ1" i="65"/>
  <c r="BO1" i="65"/>
  <c r="BN1" i="65"/>
  <c r="BL1" i="65"/>
  <c r="BK1" i="65"/>
  <c r="BI1" i="65"/>
  <c r="BH1" i="65"/>
  <c r="BF1" i="65"/>
  <c r="BE1" i="65"/>
  <c r="BC1" i="65"/>
  <c r="BB1" i="65"/>
  <c r="AZ1" i="65"/>
  <c r="AY1" i="65"/>
  <c r="AW1" i="65"/>
  <c r="AV1" i="65"/>
  <c r="AT1" i="65"/>
  <c r="AS1" i="65"/>
  <c r="BI7" i="68"/>
  <c r="BI6" i="68"/>
  <c r="BJ343" i="68"/>
  <c r="BH343" i="68"/>
  <c r="BJ1" i="68"/>
  <c r="BI1" i="68"/>
  <c r="A1" i="68"/>
  <c r="BE2" i="68"/>
  <c r="BD2" i="68"/>
  <c r="BC2" i="68"/>
  <c r="BB2" i="68"/>
  <c r="BA2" i="68"/>
  <c r="AZ2" i="68"/>
  <c r="AY2" i="68"/>
  <c r="AX2" i="68"/>
  <c r="AW2" i="68"/>
  <c r="AV2" i="68"/>
  <c r="AU2" i="68"/>
  <c r="AT2" i="68"/>
  <c r="AS2" i="68"/>
  <c r="AR2" i="68"/>
  <c r="AQ2" i="68"/>
  <c r="AP2" i="68"/>
  <c r="AO2" i="68"/>
  <c r="AN2" i="68"/>
  <c r="BE1" i="68"/>
  <c r="BD1" i="68"/>
  <c r="BC1" i="68"/>
  <c r="BB1" i="68"/>
  <c r="BA1" i="68"/>
  <c r="AZ1" i="68"/>
  <c r="AY1" i="68"/>
  <c r="AX1" i="68"/>
  <c r="AW1" i="68"/>
  <c r="AV1" i="68"/>
  <c r="AU1" i="68"/>
  <c r="AT1" i="68"/>
  <c r="AS1" i="68"/>
  <c r="AR1" i="68"/>
  <c r="AQ1" i="68"/>
  <c r="AP1" i="68"/>
  <c r="AO1" i="68"/>
  <c r="AN1" i="68"/>
  <c r="AL2" i="68"/>
  <c r="AK2" i="68"/>
  <c r="AJ2" i="68"/>
  <c r="AI2" i="68"/>
  <c r="AH2" i="68"/>
  <c r="AG2" i="68"/>
  <c r="AF2" i="68"/>
  <c r="AE2" i="68"/>
  <c r="AD2" i="68"/>
  <c r="AC2" i="68"/>
  <c r="AB2" i="68"/>
  <c r="AA2" i="68"/>
  <c r="Z2" i="68"/>
  <c r="Y2" i="68"/>
  <c r="X2" i="68"/>
  <c r="W2" i="68"/>
  <c r="V2" i="68"/>
  <c r="U2" i="68"/>
  <c r="AL1" i="68"/>
  <c r="AK1" i="68"/>
  <c r="AJ1" i="68"/>
  <c r="AI1" i="68"/>
  <c r="AH1" i="68"/>
  <c r="AG1" i="68"/>
  <c r="AF1" i="68"/>
  <c r="AE1" i="68"/>
  <c r="AD1" i="68"/>
  <c r="AC1" i="68"/>
  <c r="AB1" i="68"/>
  <c r="AA1" i="68"/>
  <c r="Z1" i="68"/>
  <c r="Y1" i="68"/>
  <c r="X1" i="68"/>
  <c r="W1" i="68"/>
  <c r="V1" i="68"/>
  <c r="U1" i="68"/>
  <c r="S2" i="68"/>
  <c r="R2" i="68"/>
  <c r="Q2" i="68"/>
  <c r="P2" i="68"/>
  <c r="O2" i="68"/>
  <c r="N2" i="68"/>
  <c r="M2" i="68"/>
  <c r="L2" i="68"/>
  <c r="K2" i="68"/>
  <c r="J2" i="68"/>
  <c r="I2" i="68"/>
  <c r="H2" i="68"/>
  <c r="G2" i="68"/>
  <c r="F2" i="68"/>
  <c r="E2" i="68"/>
  <c r="S1" i="68"/>
  <c r="R1" i="68"/>
  <c r="Q1" i="68"/>
  <c r="P1" i="68"/>
  <c r="O1" i="68"/>
  <c r="N1" i="68"/>
  <c r="M1" i="68"/>
  <c r="L1" i="68"/>
  <c r="K1" i="68"/>
  <c r="J1" i="68"/>
  <c r="I1" i="68"/>
  <c r="H1" i="68"/>
  <c r="G1" i="68"/>
  <c r="F1" i="68"/>
  <c r="E1" i="68"/>
  <c r="D2" i="68"/>
  <c r="C2" i="68"/>
  <c r="B2" i="68"/>
  <c r="D1" i="68"/>
  <c r="C1" i="68"/>
  <c r="B1" i="68"/>
  <c r="C8" i="68"/>
  <c r="BJ3" i="68" l="1"/>
  <c r="BI4" i="68"/>
  <c r="BI5" i="68"/>
  <c r="DO183" i="65" l="1"/>
  <c r="DM183" i="65"/>
  <c r="E15" i="65"/>
  <c r="E14" i="65"/>
  <c r="AG11" i="65"/>
  <c r="AG10" i="65"/>
  <c r="X10" i="65"/>
  <c r="W12" i="65" s="1"/>
  <c r="R5" i="65"/>
  <c r="AP2" i="65"/>
  <c r="AO2" i="65"/>
  <c r="AM2" i="65"/>
  <c r="AL2" i="65"/>
  <c r="AJ2" i="65"/>
  <c r="AI2" i="65"/>
  <c r="AG2" i="65"/>
  <c r="AF2" i="65"/>
  <c r="AD2" i="65"/>
  <c r="AC2" i="65"/>
  <c r="AA2" i="65"/>
  <c r="Z2" i="65"/>
  <c r="X2" i="65"/>
  <c r="W2" i="65"/>
  <c r="U2" i="65"/>
  <c r="T2" i="65"/>
  <c r="R2" i="65"/>
  <c r="Q2" i="65"/>
  <c r="O2" i="65"/>
  <c r="N2" i="65"/>
  <c r="L2" i="65"/>
  <c r="K2" i="65"/>
  <c r="I2" i="65"/>
  <c r="H2" i="65"/>
  <c r="F2" i="65"/>
  <c r="E2" i="65"/>
  <c r="C2" i="65"/>
  <c r="B2" i="65"/>
  <c r="DO1" i="65"/>
  <c r="DN1" i="65"/>
  <c r="AP1" i="65"/>
  <c r="AO1" i="65"/>
  <c r="AM1" i="65"/>
  <c r="AL1" i="65"/>
  <c r="AJ1" i="65"/>
  <c r="AI1" i="65"/>
  <c r="AG1" i="65"/>
  <c r="AF1" i="65"/>
  <c r="AD1" i="65"/>
  <c r="AC1" i="65"/>
  <c r="AA1" i="65"/>
  <c r="Z1" i="65"/>
  <c r="X1" i="65"/>
  <c r="W1" i="65"/>
  <c r="U1" i="65"/>
  <c r="T1" i="65"/>
  <c r="R1" i="65"/>
  <c r="Q1" i="65"/>
  <c r="O1" i="65"/>
  <c r="N1" i="65"/>
  <c r="L1" i="65"/>
  <c r="K1" i="65"/>
  <c r="I1" i="65"/>
  <c r="H1" i="65"/>
  <c r="F1" i="65"/>
  <c r="E1" i="65"/>
  <c r="C1" i="65"/>
  <c r="B1" i="65"/>
  <c r="A1" i="65"/>
  <c r="AI8" i="65"/>
  <c r="F15" i="65"/>
  <c r="F14" i="65"/>
  <c r="X12" i="65"/>
  <c r="AI11" i="65"/>
  <c r="DN5" i="65" l="1"/>
  <c r="DN4" i="65"/>
  <c r="DN3" i="65"/>
  <c r="DO3" i="65"/>
  <c r="F2" i="62" l="1"/>
  <c r="D2" i="62"/>
  <c r="B2" i="62"/>
  <c r="F1" i="62"/>
  <c r="D1" i="62"/>
  <c r="B1" i="62"/>
  <c r="BQ2" i="38" l="1"/>
  <c r="BP2" i="38"/>
  <c r="BN2" i="38"/>
  <c r="BM2" i="38"/>
  <c r="BQ1" i="38"/>
  <c r="BP1" i="38"/>
  <c r="BN1" i="38"/>
  <c r="BM1" i="38"/>
  <c r="CB21" i="38"/>
  <c r="CD2" i="38"/>
  <c r="CC2" i="38"/>
  <c r="CB2" i="38"/>
  <c r="CA2" i="38"/>
  <c r="BZ2" i="38"/>
  <c r="BY2" i="38"/>
  <c r="BX2" i="38"/>
  <c r="BW2" i="38"/>
  <c r="BV2" i="38"/>
  <c r="BU2" i="38"/>
  <c r="BT2" i="38"/>
  <c r="BS2" i="38"/>
  <c r="CD1" i="38"/>
  <c r="CC1" i="38"/>
  <c r="CB1" i="38"/>
  <c r="CA1" i="38"/>
  <c r="BZ1" i="38"/>
  <c r="BY1" i="38"/>
  <c r="BX1" i="38"/>
  <c r="BW1" i="38"/>
  <c r="BV1" i="38"/>
  <c r="BU1" i="38"/>
  <c r="BT1" i="38"/>
  <c r="BS1" i="38"/>
  <c r="BK2" i="38"/>
  <c r="BJ2" i="38"/>
  <c r="BH2" i="38"/>
  <c r="BG2" i="38"/>
  <c r="BE2" i="38"/>
  <c r="BD2" i="38"/>
  <c r="BB2" i="38"/>
  <c r="BA2" i="38"/>
  <c r="BK1" i="38"/>
  <c r="BJ1" i="38"/>
  <c r="BH1" i="38"/>
  <c r="BG1" i="38"/>
  <c r="BE1" i="38"/>
  <c r="BD1" i="38"/>
  <c r="BB1" i="38"/>
  <c r="BA1" i="38"/>
  <c r="AY421" i="38"/>
  <c r="AX421" i="38"/>
  <c r="AW421" i="38"/>
  <c r="AV421" i="38"/>
  <c r="AU421" i="38"/>
  <c r="AT421" i="38"/>
  <c r="AS421" i="38"/>
  <c r="AR421" i="38"/>
  <c r="AQ421" i="38"/>
  <c r="AP421" i="38"/>
  <c r="AO421" i="38"/>
  <c r="AN421" i="38"/>
  <c r="AM421" i="38"/>
  <c r="AL421" i="38"/>
  <c r="AK421" i="38"/>
  <c r="AJ421" i="38"/>
  <c r="AY420" i="38"/>
  <c r="AX420" i="38"/>
  <c r="AW420" i="38"/>
  <c r="AV420" i="38"/>
  <c r="AU420" i="38"/>
  <c r="AT420" i="38"/>
  <c r="AS420" i="38"/>
  <c r="AR420" i="38"/>
  <c r="AQ420" i="38"/>
  <c r="AP420" i="38"/>
  <c r="AO420" i="38"/>
  <c r="AN420" i="38"/>
  <c r="AM420" i="38"/>
  <c r="AL420" i="38"/>
  <c r="AK420" i="38"/>
  <c r="AJ420" i="38"/>
  <c r="AY14" i="38"/>
  <c r="AJ14" i="38"/>
  <c r="AM8" i="38"/>
  <c r="AH421" i="38"/>
  <c r="AG421" i="38"/>
  <c r="AF421" i="38"/>
  <c r="AE421" i="38"/>
  <c r="AD421" i="38"/>
  <c r="AC421" i="38"/>
  <c r="AB421" i="38"/>
  <c r="AA421" i="38"/>
  <c r="Z421" i="38"/>
  <c r="Y421" i="38"/>
  <c r="X421" i="38"/>
  <c r="W421" i="38"/>
  <c r="V421" i="38"/>
  <c r="U421" i="38"/>
  <c r="T421" i="38"/>
  <c r="S421" i="38"/>
  <c r="AH420" i="38"/>
  <c r="AG420" i="38"/>
  <c r="AF420" i="38"/>
  <c r="AE420" i="38"/>
  <c r="AD420" i="38"/>
  <c r="AC420" i="38"/>
  <c r="AB420" i="38"/>
  <c r="AA420" i="38"/>
  <c r="Z420" i="38"/>
  <c r="Y420" i="38"/>
  <c r="X420" i="38"/>
  <c r="W420" i="38"/>
  <c r="V420" i="38"/>
  <c r="U420" i="38"/>
  <c r="T420" i="38"/>
  <c r="S420" i="38"/>
  <c r="AH14" i="38"/>
  <c r="S14" i="38"/>
  <c r="V8" i="38"/>
  <c r="Q14" i="38"/>
  <c r="B14" i="38"/>
  <c r="F420" i="38"/>
  <c r="G420" i="38"/>
  <c r="H420" i="38"/>
  <c r="I420" i="38"/>
  <c r="J420" i="38"/>
  <c r="K420" i="38"/>
  <c r="L420" i="38"/>
  <c r="M420" i="38"/>
  <c r="N420" i="38"/>
  <c r="O420" i="38"/>
  <c r="P420" i="38"/>
  <c r="Q420" i="38"/>
  <c r="F421" i="38"/>
  <c r="G421" i="38"/>
  <c r="H421" i="38"/>
  <c r="I421" i="38"/>
  <c r="J421" i="38"/>
  <c r="K421" i="38"/>
  <c r="L421" i="38"/>
  <c r="M421" i="38"/>
  <c r="N421" i="38"/>
  <c r="O421" i="38"/>
  <c r="P421" i="38"/>
  <c r="Q421" i="38"/>
  <c r="E421" i="38"/>
  <c r="D421" i="38"/>
  <c r="C421" i="38"/>
  <c r="B421" i="38"/>
  <c r="E420" i="38"/>
  <c r="D420" i="38"/>
  <c r="C420" i="38"/>
  <c r="B420" i="38"/>
  <c r="CM423" i="38"/>
  <c r="CK423" i="38"/>
  <c r="E8" i="38"/>
  <c r="CL7" i="38"/>
  <c r="CL6" i="38"/>
  <c r="CJ2" i="38"/>
  <c r="CI2" i="38"/>
  <c r="CH2" i="38"/>
  <c r="CG2" i="38"/>
  <c r="CF2" i="38"/>
  <c r="CE2" i="38"/>
  <c r="CM1" i="38"/>
  <c r="CL1" i="38"/>
  <c r="CJ1" i="38"/>
  <c r="CI1" i="38"/>
  <c r="CH1" i="38"/>
  <c r="CG1" i="38"/>
  <c r="CF1" i="38"/>
  <c r="CE1" i="38"/>
  <c r="A1" i="38"/>
  <c r="CM3" i="38" l="1"/>
  <c r="CL5" i="38" l="1"/>
  <c r="CL4" i="38" l="1"/>
  <c r="CL3" i="38"/>
  <c r="AQ113" i="32" l="1"/>
  <c r="AO113" i="32"/>
  <c r="AP7" i="32"/>
  <c r="AP6" i="32"/>
  <c r="AM2" i="32"/>
  <c r="AL2" i="32"/>
  <c r="AJ2" i="32"/>
  <c r="AH2" i="32"/>
  <c r="AF2" i="32"/>
  <c r="AD2" i="32"/>
  <c r="AB2" i="32"/>
  <c r="Z2" i="32"/>
  <c r="X2" i="32"/>
  <c r="V2" i="32"/>
  <c r="T2" i="32"/>
  <c r="R2" i="32"/>
  <c r="P2" i="32"/>
  <c r="N2" i="32"/>
  <c r="L2" i="32"/>
  <c r="J2" i="32"/>
  <c r="H2" i="32"/>
  <c r="F2" i="32"/>
  <c r="D2" i="32"/>
  <c r="B2" i="32"/>
  <c r="AQ1" i="32"/>
  <c r="AP1" i="32"/>
  <c r="AM1" i="32"/>
  <c r="AL1" i="32"/>
  <c r="AJ1" i="32"/>
  <c r="AH1" i="32"/>
  <c r="AF1" i="32"/>
  <c r="AD1" i="32"/>
  <c r="AB1" i="32"/>
  <c r="Z1" i="32"/>
  <c r="X1" i="32"/>
  <c r="V1" i="32"/>
  <c r="T1" i="32"/>
  <c r="R1" i="32"/>
  <c r="P1" i="32"/>
  <c r="N1" i="32"/>
  <c r="L1" i="32"/>
  <c r="J1" i="32"/>
  <c r="H1" i="32"/>
  <c r="F1" i="32"/>
  <c r="D1" i="32"/>
  <c r="B1" i="32"/>
  <c r="A1" i="32"/>
  <c r="CM91" i="27"/>
  <c r="CL91" i="27"/>
  <c r="CK91" i="27"/>
  <c r="CJ91" i="27"/>
  <c r="CI91" i="27"/>
  <c r="CH91" i="27"/>
  <c r="CF91" i="27"/>
  <c r="CE91" i="27"/>
  <c r="CD91" i="27"/>
  <c r="CC91" i="27"/>
  <c r="CB91" i="27"/>
  <c r="CA91" i="27"/>
  <c r="BY91" i="27"/>
  <c r="BX91" i="27"/>
  <c r="BW91" i="27"/>
  <c r="BV91" i="27"/>
  <c r="BU91" i="27"/>
  <c r="BT91" i="27"/>
  <c r="CJ51" i="27"/>
  <c r="CC51" i="27"/>
  <c r="BV51" i="27"/>
  <c r="CM2" i="27"/>
  <c r="CL2" i="27"/>
  <c r="CK2" i="27"/>
  <c r="CJ2" i="27"/>
  <c r="CI2" i="27"/>
  <c r="CH2" i="27"/>
  <c r="CF2" i="27"/>
  <c r="CE2" i="27"/>
  <c r="CD2" i="27"/>
  <c r="CC2" i="27"/>
  <c r="CB2" i="27"/>
  <c r="CA2" i="27"/>
  <c r="BY2" i="27"/>
  <c r="BX2" i="27"/>
  <c r="BW2" i="27"/>
  <c r="BV2" i="27"/>
  <c r="BU2" i="27"/>
  <c r="BT2" i="27"/>
  <c r="CM1" i="27"/>
  <c r="CL1" i="27"/>
  <c r="CK1" i="27"/>
  <c r="CJ1" i="27"/>
  <c r="CI1" i="27"/>
  <c r="CH1" i="27"/>
  <c r="CF1" i="27"/>
  <c r="CE1" i="27"/>
  <c r="CD1" i="27"/>
  <c r="CC1" i="27"/>
  <c r="CB1" i="27"/>
  <c r="CA1" i="27"/>
  <c r="BY1" i="27"/>
  <c r="BX1" i="27"/>
  <c r="BW1" i="27"/>
  <c r="BV1" i="27"/>
  <c r="BU1" i="27"/>
  <c r="BT1" i="27"/>
  <c r="T1" i="27"/>
  <c r="U1" i="27"/>
  <c r="V1" i="27"/>
  <c r="W1" i="27"/>
  <c r="X1" i="27"/>
  <c r="Y1" i="27"/>
  <c r="Z1" i="27"/>
  <c r="AA1" i="27"/>
  <c r="AB1" i="27"/>
  <c r="AC1" i="27"/>
  <c r="AD1" i="27"/>
  <c r="AE1" i="27"/>
  <c r="T2" i="27"/>
  <c r="U2" i="27"/>
  <c r="V2" i="27"/>
  <c r="W2" i="27"/>
  <c r="X2" i="27"/>
  <c r="Y2" i="27"/>
  <c r="Z2" i="27"/>
  <c r="AA2" i="27"/>
  <c r="AB2" i="27"/>
  <c r="AC2" i="27"/>
  <c r="AD2" i="27"/>
  <c r="AE2" i="27"/>
  <c r="S2" i="27"/>
  <c r="H1" i="27"/>
  <c r="H2" i="27"/>
  <c r="BL18" i="27"/>
  <c r="BL19" i="27"/>
  <c r="BL20" i="27"/>
  <c r="BL21" i="27"/>
  <c r="BL22" i="27"/>
  <c r="BL23" i="27"/>
  <c r="BL24" i="27"/>
  <c r="BL25" i="27"/>
  <c r="BL26" i="27"/>
  <c r="A601" i="27"/>
  <c r="B601" i="27"/>
  <c r="C601" i="27"/>
  <c r="D601" i="27"/>
  <c r="E601" i="27"/>
  <c r="F601" i="27"/>
  <c r="G601" i="27"/>
  <c r="H601" i="27"/>
  <c r="I601" i="27"/>
  <c r="J601" i="27"/>
  <c r="K601" i="27"/>
  <c r="L601" i="27"/>
  <c r="M601" i="27"/>
  <c r="N601" i="27"/>
  <c r="O601" i="27"/>
  <c r="P601" i="27"/>
  <c r="Q601" i="27"/>
  <c r="R601" i="27"/>
  <c r="S601" i="27"/>
  <c r="T601" i="27"/>
  <c r="A602" i="27"/>
  <c r="B602" i="27"/>
  <c r="C602" i="27"/>
  <c r="D602" i="27"/>
  <c r="E602" i="27"/>
  <c r="F602" i="27"/>
  <c r="G602" i="27"/>
  <c r="H602" i="27"/>
  <c r="I602" i="27"/>
  <c r="J602" i="27"/>
  <c r="K602" i="27"/>
  <c r="L602" i="27"/>
  <c r="M602" i="27"/>
  <c r="N602" i="27"/>
  <c r="O602" i="27"/>
  <c r="P602" i="27"/>
  <c r="Q602" i="27"/>
  <c r="R602" i="27"/>
  <c r="S602" i="27"/>
  <c r="T602" i="27"/>
  <c r="A71" i="27"/>
  <c r="BL71" i="27" s="1"/>
  <c r="A72" i="27"/>
  <c r="BL72" i="27" s="1"/>
  <c r="A73" i="27"/>
  <c r="BL73" i="27" s="1"/>
  <c r="A74" i="27"/>
  <c r="BL74" i="27" s="1"/>
  <c r="A75" i="27"/>
  <c r="BL75" i="27" s="1"/>
  <c r="A76" i="27"/>
  <c r="B76" i="27" s="1"/>
  <c r="A77" i="27"/>
  <c r="B77" i="27" s="1"/>
  <c r="A78" i="27"/>
  <c r="B78" i="27" s="1"/>
  <c r="A79" i="27"/>
  <c r="B79" i="27" s="1"/>
  <c r="A80" i="27"/>
  <c r="B80" i="27" s="1"/>
  <c r="A81" i="27"/>
  <c r="B81" i="27" s="1"/>
  <c r="A82" i="27"/>
  <c r="B82" i="27" s="1"/>
  <c r="A83" i="27"/>
  <c r="B83" i="27" s="1"/>
  <c r="A84" i="27"/>
  <c r="BL84" i="27" s="1"/>
  <c r="A85" i="27"/>
  <c r="B85" i="27" s="1"/>
  <c r="F85" i="27" s="1"/>
  <c r="A86" i="27"/>
  <c r="BL86" i="27" s="1"/>
  <c r="A87" i="27"/>
  <c r="B87" i="27" s="1"/>
  <c r="C87" i="27" s="1"/>
  <c r="A88" i="27"/>
  <c r="BL88" i="27" s="1"/>
  <c r="A89" i="27"/>
  <c r="B89" i="27" s="1"/>
  <c r="A90" i="27"/>
  <c r="B90" i="27" s="1"/>
  <c r="F90" i="27" s="1"/>
  <c r="A91" i="27"/>
  <c r="B91" i="27" s="1"/>
  <c r="A92" i="27"/>
  <c r="BL92" i="27" s="1"/>
  <c r="A93" i="27"/>
  <c r="BL93" i="27" s="1"/>
  <c r="A94" i="27"/>
  <c r="B94" i="27" s="1"/>
  <c r="G94" i="27" s="1"/>
  <c r="A95" i="27"/>
  <c r="BL95" i="27" s="1"/>
  <c r="A96" i="27"/>
  <c r="B96" i="27" s="1"/>
  <c r="A97" i="27"/>
  <c r="B97" i="27" s="1"/>
  <c r="G97" i="27" s="1"/>
  <c r="A98" i="27"/>
  <c r="B98" i="27" s="1"/>
  <c r="A99" i="27"/>
  <c r="B99" i="27" s="1"/>
  <c r="C99" i="27" s="1"/>
  <c r="A100" i="27"/>
  <c r="BL100" i="27" s="1"/>
  <c r="A101" i="27"/>
  <c r="B101" i="27" s="1"/>
  <c r="E101" i="27" s="1"/>
  <c r="A102" i="27"/>
  <c r="B102" i="27" s="1"/>
  <c r="A103" i="27"/>
  <c r="BL103" i="27" s="1"/>
  <c r="A104" i="27"/>
  <c r="B104" i="27" s="1"/>
  <c r="A105" i="27"/>
  <c r="BL105" i="27" s="1"/>
  <c r="A106" i="27"/>
  <c r="B106" i="27" s="1"/>
  <c r="A107" i="27"/>
  <c r="B107" i="27" s="1"/>
  <c r="A108" i="27"/>
  <c r="BL108" i="27" s="1"/>
  <c r="A109" i="27"/>
  <c r="B109" i="27" s="1"/>
  <c r="A110" i="27"/>
  <c r="B110" i="27" s="1"/>
  <c r="A111" i="27"/>
  <c r="B111" i="27" s="1"/>
  <c r="A112" i="27"/>
  <c r="B112" i="27" s="1"/>
  <c r="A113" i="27"/>
  <c r="B113" i="27" s="1"/>
  <c r="A114" i="27"/>
  <c r="B114" i="27" s="1"/>
  <c r="G114" i="27" s="1"/>
  <c r="A115" i="27"/>
  <c r="B115" i="27" s="1"/>
  <c r="A116" i="27"/>
  <c r="B116" i="27" s="1"/>
  <c r="G116" i="27" s="1"/>
  <c r="A117" i="27"/>
  <c r="B117" i="27" s="1"/>
  <c r="F117" i="27" s="1"/>
  <c r="A118" i="27"/>
  <c r="BL118" i="27" s="1"/>
  <c r="A119" i="27"/>
  <c r="B119" i="27" s="1"/>
  <c r="D119" i="27" s="1"/>
  <c r="A120" i="27"/>
  <c r="B120" i="27" s="1"/>
  <c r="A121" i="27"/>
  <c r="BL121" i="27" s="1"/>
  <c r="A122" i="27"/>
  <c r="BL122" i="27" s="1"/>
  <c r="A123" i="27"/>
  <c r="BL123" i="27" s="1"/>
  <c r="A124" i="27"/>
  <c r="B124" i="27" s="1"/>
  <c r="E124" i="27" s="1"/>
  <c r="A125" i="27"/>
  <c r="B125" i="27" s="1"/>
  <c r="C125" i="27" s="1"/>
  <c r="A126" i="27"/>
  <c r="BL126" i="27" s="1"/>
  <c r="A127" i="27"/>
  <c r="B127" i="27" s="1"/>
  <c r="C127" i="27" s="1"/>
  <c r="A128" i="27"/>
  <c r="B128" i="27" s="1"/>
  <c r="A129" i="27"/>
  <c r="BL129" i="27" s="1"/>
  <c r="A130" i="27"/>
  <c r="B130" i="27" s="1"/>
  <c r="C130" i="27" s="1"/>
  <c r="A131" i="27"/>
  <c r="B131" i="27" s="1"/>
  <c r="A132" i="27"/>
  <c r="B132" i="27" s="1"/>
  <c r="A133" i="27"/>
  <c r="B133" i="27" s="1"/>
  <c r="A134" i="27"/>
  <c r="B134" i="27" s="1"/>
  <c r="A135" i="27"/>
  <c r="B135" i="27" s="1"/>
  <c r="A136" i="27"/>
  <c r="BL136" i="27" s="1"/>
  <c r="A137" i="27"/>
  <c r="B137" i="27" s="1"/>
  <c r="A138" i="27"/>
  <c r="B138" i="27" s="1"/>
  <c r="A139" i="27"/>
  <c r="B139" i="27" s="1"/>
  <c r="A140" i="27"/>
  <c r="B140" i="27" s="1"/>
  <c r="A141" i="27"/>
  <c r="B141" i="27" s="1"/>
  <c r="A142" i="27"/>
  <c r="B142" i="27" s="1"/>
  <c r="A143" i="27"/>
  <c r="BL143" i="27" s="1"/>
  <c r="A144" i="27"/>
  <c r="B144" i="27" s="1"/>
  <c r="D144" i="27" s="1"/>
  <c r="A145" i="27"/>
  <c r="B145" i="27" s="1"/>
  <c r="G145" i="27" s="1"/>
  <c r="A146" i="27"/>
  <c r="B146" i="27" s="1"/>
  <c r="A147" i="27"/>
  <c r="B147" i="27" s="1"/>
  <c r="A148" i="27"/>
  <c r="B148" i="27" s="1"/>
  <c r="A149" i="27"/>
  <c r="B149" i="27" s="1"/>
  <c r="A150" i="27"/>
  <c r="B150" i="27" s="1"/>
  <c r="D150" i="27" s="1"/>
  <c r="A151" i="27"/>
  <c r="BL151" i="27" s="1"/>
  <c r="A152" i="27"/>
  <c r="B152" i="27" s="1"/>
  <c r="G152" i="27" s="1"/>
  <c r="A153" i="27"/>
  <c r="B153" i="27" s="1"/>
  <c r="C153" i="27" s="1"/>
  <c r="A154" i="27"/>
  <c r="B154" i="27" s="1"/>
  <c r="A155" i="27"/>
  <c r="B155" i="27" s="1"/>
  <c r="C155" i="27" s="1"/>
  <c r="A156" i="27"/>
  <c r="B156" i="27" s="1"/>
  <c r="A157" i="27"/>
  <c r="B157" i="27" s="1"/>
  <c r="G157" i="27" s="1"/>
  <c r="A158" i="27"/>
  <c r="BL158" i="27" s="1"/>
  <c r="A159" i="27"/>
  <c r="B159" i="27" s="1"/>
  <c r="A160" i="27"/>
  <c r="B160" i="27" s="1"/>
  <c r="G160" i="27" s="1"/>
  <c r="A161" i="27"/>
  <c r="B161" i="27" s="1"/>
  <c r="A162" i="27"/>
  <c r="BL162" i="27" s="1"/>
  <c r="A163" i="27"/>
  <c r="B163" i="27" s="1"/>
  <c r="C163" i="27" s="1"/>
  <c r="A164" i="27"/>
  <c r="BL164" i="27" s="1"/>
  <c r="A165" i="27"/>
  <c r="B165" i="27" s="1"/>
  <c r="A166" i="27"/>
  <c r="B166" i="27" s="1"/>
  <c r="C166" i="27" s="1"/>
  <c r="A167" i="27"/>
  <c r="B167" i="27" s="1"/>
  <c r="A168" i="27"/>
  <c r="BL168" i="27" s="1"/>
  <c r="A169" i="27"/>
  <c r="B169" i="27" s="1"/>
  <c r="A170" i="27"/>
  <c r="B170" i="27" s="1"/>
  <c r="A171" i="27"/>
  <c r="BL171" i="27" s="1"/>
  <c r="A172" i="27"/>
  <c r="B172" i="27" s="1"/>
  <c r="A173" i="27"/>
  <c r="B173" i="27" s="1"/>
  <c r="F173" i="27" s="1"/>
  <c r="A174" i="27"/>
  <c r="B174" i="27" s="1"/>
  <c r="A175" i="27"/>
  <c r="BL175" i="27" s="1"/>
  <c r="A176" i="27"/>
  <c r="B176" i="27" s="1"/>
  <c r="A177" i="27"/>
  <c r="BL177" i="27" s="1"/>
  <c r="A178" i="27"/>
  <c r="B178" i="27" s="1"/>
  <c r="A179" i="27"/>
  <c r="B179" i="27" s="1"/>
  <c r="A180" i="27"/>
  <c r="B180" i="27" s="1"/>
  <c r="D180" i="27" s="1"/>
  <c r="A181" i="27"/>
  <c r="BL181" i="27" s="1"/>
  <c r="A182" i="27"/>
  <c r="B182" i="27" s="1"/>
  <c r="C182" i="27" s="1"/>
  <c r="A183" i="27"/>
  <c r="B183" i="27" s="1"/>
  <c r="A184" i="27"/>
  <c r="BL184" i="27" s="1"/>
  <c r="A185" i="27"/>
  <c r="B185" i="27" s="1"/>
  <c r="A186" i="27"/>
  <c r="B186" i="27" s="1"/>
  <c r="A187" i="27"/>
  <c r="BL187" i="27" s="1"/>
  <c r="A188" i="27"/>
  <c r="B188" i="27" s="1"/>
  <c r="E188" i="27" s="1"/>
  <c r="A189" i="27"/>
  <c r="BL189" i="27" s="1"/>
  <c r="A190" i="27"/>
  <c r="B190" i="27" s="1"/>
  <c r="G190" i="27" s="1"/>
  <c r="A191" i="27"/>
  <c r="B191" i="27" s="1"/>
  <c r="C191" i="27" s="1"/>
  <c r="A192" i="27"/>
  <c r="BL192" i="27" s="1"/>
  <c r="A193" i="27"/>
  <c r="BL193" i="27" s="1"/>
  <c r="A194" i="27"/>
  <c r="B194" i="27" s="1"/>
  <c r="A195" i="27"/>
  <c r="B195" i="27" s="1"/>
  <c r="A196" i="27"/>
  <c r="B196" i="27" s="1"/>
  <c r="A197" i="27"/>
  <c r="B197" i="27" s="1"/>
  <c r="A198" i="27"/>
  <c r="B198" i="27" s="1"/>
  <c r="A199" i="27"/>
  <c r="BL199" i="27" s="1"/>
  <c r="A200" i="27"/>
  <c r="B200" i="27" s="1"/>
  <c r="A201" i="27"/>
  <c r="B201" i="27" s="1"/>
  <c r="C201" i="27" s="1"/>
  <c r="A202" i="27"/>
  <c r="B202" i="27" s="1"/>
  <c r="A203" i="27"/>
  <c r="B203" i="27" s="1"/>
  <c r="A204" i="27"/>
  <c r="B204" i="27" s="1"/>
  <c r="C204" i="27" s="1"/>
  <c r="A205" i="27"/>
  <c r="B205" i="27" s="1"/>
  <c r="F205" i="27" s="1"/>
  <c r="A206" i="27"/>
  <c r="BL206" i="27" s="1"/>
  <c r="A207" i="27"/>
  <c r="B207" i="27" s="1"/>
  <c r="C207" i="27" s="1"/>
  <c r="A208" i="27"/>
  <c r="BL208" i="27" s="1"/>
  <c r="A209" i="27"/>
  <c r="BL209" i="27" s="1"/>
  <c r="A210" i="27"/>
  <c r="BL210" i="27" s="1"/>
  <c r="A211" i="27"/>
  <c r="B211" i="27" s="1"/>
  <c r="A212" i="27"/>
  <c r="B212" i="27" s="1"/>
  <c r="A213" i="27"/>
  <c r="B213" i="27" s="1"/>
  <c r="A214" i="27"/>
  <c r="B214" i="27" s="1"/>
  <c r="A215" i="27"/>
  <c r="B215" i="27" s="1"/>
  <c r="A216" i="27"/>
  <c r="B216" i="27" s="1"/>
  <c r="A217" i="27"/>
  <c r="B217" i="27" s="1"/>
  <c r="A218" i="27"/>
  <c r="BL218" i="27" s="1"/>
  <c r="A219" i="27"/>
  <c r="B219" i="27" s="1"/>
  <c r="G219" i="27" s="1"/>
  <c r="A220" i="27"/>
  <c r="BL220" i="27" s="1"/>
  <c r="A221" i="27"/>
  <c r="B221" i="27" s="1"/>
  <c r="C221" i="27" s="1"/>
  <c r="A222" i="27"/>
  <c r="B222" i="27" s="1"/>
  <c r="A223" i="27"/>
  <c r="B223" i="27" s="1"/>
  <c r="C223" i="27" s="1"/>
  <c r="A224" i="27"/>
  <c r="BL224" i="27" s="1"/>
  <c r="A225" i="27"/>
  <c r="B225" i="27" s="1"/>
  <c r="A226" i="27"/>
  <c r="BL226" i="27" s="1"/>
  <c r="A227" i="27"/>
  <c r="B227" i="27" s="1"/>
  <c r="A228" i="27"/>
  <c r="B228" i="27" s="1"/>
  <c r="A229" i="27"/>
  <c r="B229" i="27" s="1"/>
  <c r="A230" i="27"/>
  <c r="BL230" i="27" s="1"/>
  <c r="A231" i="27"/>
  <c r="B231" i="27" s="1"/>
  <c r="A232" i="27"/>
  <c r="B232" i="27" s="1"/>
  <c r="G232" i="27" s="1"/>
  <c r="A233" i="27"/>
  <c r="B233" i="27" s="1"/>
  <c r="A234" i="27"/>
  <c r="BL234" i="27" s="1"/>
  <c r="A235" i="27"/>
  <c r="B235" i="27" s="1"/>
  <c r="A236" i="27"/>
  <c r="BL236" i="27" s="1"/>
  <c r="A237" i="27"/>
  <c r="B237" i="27" s="1"/>
  <c r="G237" i="27" s="1"/>
  <c r="A238" i="27"/>
  <c r="B238" i="27" s="1"/>
  <c r="A239" i="27"/>
  <c r="B239" i="27" s="1"/>
  <c r="C239" i="27" s="1"/>
  <c r="A240" i="27"/>
  <c r="B240" i="27" s="1"/>
  <c r="C240" i="27" s="1"/>
  <c r="A241" i="27"/>
  <c r="B241" i="27" s="1"/>
  <c r="A242" i="27"/>
  <c r="B242" i="27" s="1"/>
  <c r="C242" i="27" s="1"/>
  <c r="A243" i="27"/>
  <c r="B243" i="27" s="1"/>
  <c r="D243" i="27" s="1"/>
  <c r="A244" i="27"/>
  <c r="B244" i="27" s="1"/>
  <c r="A245" i="27"/>
  <c r="B245" i="27" s="1"/>
  <c r="A246" i="27"/>
  <c r="B246" i="27" s="1"/>
  <c r="A247" i="27"/>
  <c r="B247" i="27" s="1"/>
  <c r="E247" i="27" s="1"/>
  <c r="A248" i="27"/>
  <c r="B248" i="27" s="1"/>
  <c r="G248" i="27" s="1"/>
  <c r="A249" i="27"/>
  <c r="B249" i="27" s="1"/>
  <c r="A250" i="27"/>
  <c r="B250" i="27" s="1"/>
  <c r="A251" i="27"/>
  <c r="B251" i="27" s="1"/>
  <c r="A252" i="27"/>
  <c r="B252" i="27" s="1"/>
  <c r="A253" i="27"/>
  <c r="B253" i="27" s="1"/>
  <c r="A254" i="27"/>
  <c r="B254" i="27" s="1"/>
  <c r="A255" i="27"/>
  <c r="BL255" i="27" s="1"/>
  <c r="A256" i="27"/>
  <c r="B256" i="27" s="1"/>
  <c r="A257" i="27"/>
  <c r="B257" i="27" s="1"/>
  <c r="A258" i="27"/>
  <c r="B258" i="27" s="1"/>
  <c r="A259" i="27"/>
  <c r="B259" i="27" s="1"/>
  <c r="A260" i="27"/>
  <c r="B260" i="27" s="1"/>
  <c r="A261" i="27"/>
  <c r="B261" i="27" s="1"/>
  <c r="A262" i="27"/>
  <c r="B262" i="27" s="1"/>
  <c r="G262" i="27" s="1"/>
  <c r="A263" i="27"/>
  <c r="BL263" i="27" s="1"/>
  <c r="A264" i="27"/>
  <c r="BL264" i="27" s="1"/>
  <c r="A265" i="27"/>
  <c r="B265" i="27" s="1"/>
  <c r="A266" i="27"/>
  <c r="B266" i="27" s="1"/>
  <c r="A267" i="27"/>
  <c r="B267" i="27" s="1"/>
  <c r="A268" i="27"/>
  <c r="B268" i="27" s="1"/>
  <c r="D268" i="27" s="1"/>
  <c r="A269" i="27"/>
  <c r="B269" i="27" s="1"/>
  <c r="C269" i="27" s="1"/>
  <c r="A270" i="27"/>
  <c r="B270" i="27" s="1"/>
  <c r="C270" i="27" s="1"/>
  <c r="A271" i="27"/>
  <c r="B271" i="27" s="1"/>
  <c r="D271" i="27" s="1"/>
  <c r="A272" i="27"/>
  <c r="B272" i="27" s="1"/>
  <c r="C272" i="27" s="1"/>
  <c r="A273" i="27"/>
  <c r="B273" i="27" s="1"/>
  <c r="A274" i="27"/>
  <c r="BL274" i="27" s="1"/>
  <c r="A275" i="27"/>
  <c r="B275" i="27" s="1"/>
  <c r="A276" i="27"/>
  <c r="BL276" i="27" s="1"/>
  <c r="A277" i="27"/>
  <c r="BL277" i="27" s="1"/>
  <c r="A278" i="27"/>
  <c r="BL278" i="27" s="1"/>
  <c r="A279" i="27"/>
  <c r="B279" i="27" s="1"/>
  <c r="A280" i="27"/>
  <c r="BL280" i="27" s="1"/>
  <c r="A281" i="27"/>
  <c r="B281" i="27" s="1"/>
  <c r="E281" i="27" s="1"/>
  <c r="A282" i="27"/>
  <c r="B282" i="27" s="1"/>
  <c r="A283" i="27"/>
  <c r="B283" i="27" s="1"/>
  <c r="A284" i="27"/>
  <c r="B284" i="27" s="1"/>
  <c r="A285" i="27"/>
  <c r="B285" i="27" s="1"/>
  <c r="G285" i="27" s="1"/>
  <c r="A286" i="27"/>
  <c r="B286" i="27" s="1"/>
  <c r="A287" i="27"/>
  <c r="BL287" i="27" s="1"/>
  <c r="A288" i="27"/>
  <c r="B288" i="27" s="1"/>
  <c r="A289" i="27"/>
  <c r="BL289" i="27" s="1"/>
  <c r="A290" i="27"/>
  <c r="B290" i="27" s="1"/>
  <c r="A291" i="27"/>
  <c r="BL291" i="27" s="1"/>
  <c r="A292" i="27"/>
  <c r="B292" i="27" s="1"/>
  <c r="A293" i="27"/>
  <c r="BL293" i="27" s="1"/>
  <c r="A294" i="27"/>
  <c r="B294" i="27" s="1"/>
  <c r="C294" i="27" s="1"/>
  <c r="A295" i="27"/>
  <c r="BL295" i="27" s="1"/>
  <c r="A296" i="27"/>
  <c r="B296" i="27" s="1"/>
  <c r="G296" i="27" s="1"/>
  <c r="A297" i="27"/>
  <c r="B297" i="27" s="1"/>
  <c r="G297" i="27" s="1"/>
  <c r="A298" i="27"/>
  <c r="B298" i="27" s="1"/>
  <c r="A299" i="27"/>
  <c r="BL299" i="27" s="1"/>
  <c r="A300" i="27"/>
  <c r="B300" i="27" s="1"/>
  <c r="D300" i="27" s="1"/>
  <c r="A301" i="27"/>
  <c r="BL301" i="27" s="1"/>
  <c r="A302" i="27"/>
  <c r="B302" i="27" s="1"/>
  <c r="D302" i="27" s="1"/>
  <c r="A303" i="27"/>
  <c r="B303" i="27" s="1"/>
  <c r="D303" i="27" s="1"/>
  <c r="A304" i="27"/>
  <c r="B304" i="27" s="1"/>
  <c r="G304" i="27" s="1"/>
  <c r="A305" i="27"/>
  <c r="B305" i="27" s="1"/>
  <c r="A306" i="27"/>
  <c r="B306" i="27" s="1"/>
  <c r="E306" i="27" s="1"/>
  <c r="A307" i="27"/>
  <c r="BL307" i="27" s="1"/>
  <c r="A308" i="27"/>
  <c r="B308" i="27" s="1"/>
  <c r="A309" i="27"/>
  <c r="BL309" i="27" s="1"/>
  <c r="A310" i="27"/>
  <c r="B310" i="27" s="1"/>
  <c r="A311" i="27"/>
  <c r="B311" i="27" s="1"/>
  <c r="A312" i="27"/>
  <c r="BL312" i="27" s="1"/>
  <c r="A313" i="27"/>
  <c r="BL313" i="27" s="1"/>
  <c r="A314" i="27"/>
  <c r="BL314" i="27" s="1"/>
  <c r="A315" i="27"/>
  <c r="B315" i="27" s="1"/>
  <c r="A316" i="27"/>
  <c r="BL316" i="27" s="1"/>
  <c r="A317" i="27"/>
  <c r="B317" i="27" s="1"/>
  <c r="G317" i="27" s="1"/>
  <c r="A318" i="27"/>
  <c r="BL318" i="27" s="1"/>
  <c r="A319" i="27"/>
  <c r="B319" i="27" s="1"/>
  <c r="A320" i="27"/>
  <c r="B320" i="27" s="1"/>
  <c r="E320" i="27" s="1"/>
  <c r="A321" i="27"/>
  <c r="B321" i="27" s="1"/>
  <c r="A322" i="27"/>
  <c r="B322" i="27" s="1"/>
  <c r="A323" i="27"/>
  <c r="BL323" i="27" s="1"/>
  <c r="A324" i="27"/>
  <c r="B324" i="27" s="1"/>
  <c r="A325" i="27"/>
  <c r="B325" i="27" s="1"/>
  <c r="A326" i="27"/>
  <c r="BL326" i="27" s="1"/>
  <c r="A327" i="27"/>
  <c r="B327" i="27" s="1"/>
  <c r="C327" i="27" s="1"/>
  <c r="A328" i="27"/>
  <c r="B328" i="27" s="1"/>
  <c r="A329" i="27"/>
  <c r="B329" i="27" s="1"/>
  <c r="A330" i="27"/>
  <c r="B330" i="27" s="1"/>
  <c r="A331" i="27"/>
  <c r="B331" i="27" s="1"/>
  <c r="A332" i="27"/>
  <c r="BL332" i="27" s="1"/>
  <c r="A333" i="27"/>
  <c r="BL333" i="27" s="1"/>
  <c r="A334" i="27"/>
  <c r="B334" i="27" s="1"/>
  <c r="C334" i="27" s="1"/>
  <c r="A335" i="27"/>
  <c r="B335" i="27" s="1"/>
  <c r="A336" i="27"/>
  <c r="B336" i="27" s="1"/>
  <c r="A337" i="27"/>
  <c r="BL337" i="27" s="1"/>
  <c r="A338" i="27"/>
  <c r="B338" i="27" s="1"/>
  <c r="A339" i="27"/>
  <c r="B339" i="27" s="1"/>
  <c r="D339" i="27" s="1"/>
  <c r="A340" i="27"/>
  <c r="B340" i="27" s="1"/>
  <c r="C340" i="27" s="1"/>
  <c r="A341" i="27"/>
  <c r="B341" i="27" s="1"/>
  <c r="C341" i="27" s="1"/>
  <c r="A342" i="27"/>
  <c r="B342" i="27" s="1"/>
  <c r="F342" i="27" s="1"/>
  <c r="A343" i="27"/>
  <c r="B343" i="27" s="1"/>
  <c r="A344" i="27"/>
  <c r="B344" i="27" s="1"/>
  <c r="F344" i="27" s="1"/>
  <c r="A345" i="27"/>
  <c r="BL345" i="27" s="1"/>
  <c r="A346" i="27"/>
  <c r="BL346" i="27" s="1"/>
  <c r="A347" i="27"/>
  <c r="B347" i="27" s="1"/>
  <c r="A348" i="27"/>
  <c r="BL348" i="27" s="1"/>
  <c r="A349" i="27"/>
  <c r="B349" i="27" s="1"/>
  <c r="A350" i="27"/>
  <c r="B350" i="27" s="1"/>
  <c r="D350" i="27" s="1"/>
  <c r="A351" i="27"/>
  <c r="B351" i="27" s="1"/>
  <c r="A352" i="27"/>
  <c r="B352" i="27" s="1"/>
  <c r="A353" i="27"/>
  <c r="B353" i="27" s="1"/>
  <c r="G353" i="27" s="1"/>
  <c r="A354" i="27"/>
  <c r="B354" i="27" s="1"/>
  <c r="A355" i="27"/>
  <c r="B355" i="27" s="1"/>
  <c r="D355" i="27" s="1"/>
  <c r="A356" i="27"/>
  <c r="B356" i="27" s="1"/>
  <c r="C356" i="27" s="1"/>
  <c r="A357" i="27"/>
  <c r="B357" i="27" s="1"/>
  <c r="A358" i="27"/>
  <c r="BL358" i="27" s="1"/>
  <c r="A359" i="27"/>
  <c r="B359" i="27" s="1"/>
  <c r="A360" i="27"/>
  <c r="B360" i="27" s="1"/>
  <c r="A361" i="27"/>
  <c r="BL361" i="27" s="1"/>
  <c r="A362" i="27"/>
  <c r="BL362" i="27" s="1"/>
  <c r="A363" i="27"/>
  <c r="B363" i="27" s="1"/>
  <c r="A364" i="27"/>
  <c r="B364" i="27" s="1"/>
  <c r="A365" i="27"/>
  <c r="B365" i="27" s="1"/>
  <c r="A366" i="27"/>
  <c r="B366" i="27" s="1"/>
  <c r="A367" i="27"/>
  <c r="B367" i="27" s="1"/>
  <c r="F367" i="27" s="1"/>
  <c r="A368" i="27"/>
  <c r="BL368" i="27" s="1"/>
  <c r="A369" i="27"/>
  <c r="B369" i="27" s="1"/>
  <c r="A370" i="27"/>
  <c r="BL370" i="27" s="1"/>
  <c r="A371" i="27"/>
  <c r="B371" i="27" s="1"/>
  <c r="A372" i="27"/>
  <c r="BL372" i="27" s="1"/>
  <c r="A373" i="27"/>
  <c r="B373" i="27" s="1"/>
  <c r="A374" i="27"/>
  <c r="B374" i="27" s="1"/>
  <c r="F374" i="27" s="1"/>
  <c r="A375" i="27"/>
  <c r="B375" i="27" s="1"/>
  <c r="A376" i="27"/>
  <c r="B376" i="27" s="1"/>
  <c r="A377" i="27"/>
  <c r="B377" i="27" s="1"/>
  <c r="A378" i="27"/>
  <c r="B378" i="27" s="1"/>
  <c r="C378" i="27" s="1"/>
  <c r="A379" i="27"/>
  <c r="B379" i="27" s="1"/>
  <c r="A380" i="27"/>
  <c r="BL380" i="27" s="1"/>
  <c r="A381" i="27"/>
  <c r="B381" i="27" s="1"/>
  <c r="G381" i="27" s="1"/>
  <c r="A382" i="27"/>
  <c r="B382" i="27" s="1"/>
  <c r="C382" i="27" s="1"/>
  <c r="A383" i="27"/>
  <c r="BL383" i="27" s="1"/>
  <c r="A384" i="27"/>
  <c r="B384" i="27" s="1"/>
  <c r="A385" i="27"/>
  <c r="B385" i="27" s="1"/>
  <c r="A386" i="27"/>
  <c r="B386" i="27" s="1"/>
  <c r="E386" i="27" s="1"/>
  <c r="A387" i="27"/>
  <c r="BL387" i="27" s="1"/>
  <c r="A388" i="27"/>
  <c r="BL388" i="27" s="1"/>
  <c r="A389" i="27"/>
  <c r="B389" i="27" s="1"/>
  <c r="G389" i="27" s="1"/>
  <c r="A390" i="27"/>
  <c r="B390" i="27" s="1"/>
  <c r="A391" i="27"/>
  <c r="B391" i="27" s="1"/>
  <c r="A392" i="27"/>
  <c r="B392" i="27" s="1"/>
  <c r="A393" i="27"/>
  <c r="B393" i="27" s="1"/>
  <c r="F393" i="27" s="1"/>
  <c r="A394" i="27"/>
  <c r="B394" i="27" s="1"/>
  <c r="A395" i="27"/>
  <c r="B395" i="27" s="1"/>
  <c r="D395" i="27" s="1"/>
  <c r="A396" i="27"/>
  <c r="BL396" i="27" s="1"/>
  <c r="A397" i="27"/>
  <c r="B397" i="27" s="1"/>
  <c r="A398" i="27"/>
  <c r="BL398" i="27" s="1"/>
  <c r="A399" i="27"/>
  <c r="B399" i="27" s="1"/>
  <c r="A400" i="27"/>
  <c r="BL400" i="27" s="1"/>
  <c r="A401" i="27"/>
  <c r="B401" i="27" s="1"/>
  <c r="A402" i="27"/>
  <c r="B402" i="27" s="1"/>
  <c r="A403" i="27"/>
  <c r="B403" i="27" s="1"/>
  <c r="C403" i="27" s="1"/>
  <c r="A404" i="27"/>
  <c r="B404" i="27" s="1"/>
  <c r="A405" i="27"/>
  <c r="BL405" i="27" s="1"/>
  <c r="A406" i="27"/>
  <c r="B406" i="27" s="1"/>
  <c r="G406" i="27" s="1"/>
  <c r="A407" i="27"/>
  <c r="B407" i="27" s="1"/>
  <c r="F407" i="27" s="1"/>
  <c r="A408" i="27"/>
  <c r="B408" i="27" s="1"/>
  <c r="A409" i="27"/>
  <c r="B409" i="27" s="1"/>
  <c r="C409" i="27" s="1"/>
  <c r="A410" i="27"/>
  <c r="B410" i="27" s="1"/>
  <c r="A411" i="27"/>
  <c r="BL411" i="27" s="1"/>
  <c r="A412" i="27"/>
  <c r="B412" i="27" s="1"/>
  <c r="E412" i="27" s="1"/>
  <c r="A413" i="27"/>
  <c r="B413" i="27" s="1"/>
  <c r="D413" i="27" s="1"/>
  <c r="A414" i="27"/>
  <c r="BL414" i="27" s="1"/>
  <c r="A415" i="27"/>
  <c r="B415" i="27" s="1"/>
  <c r="G415" i="27" s="1"/>
  <c r="A416" i="27"/>
  <c r="BL416" i="27" s="1"/>
  <c r="A417" i="27"/>
  <c r="B417" i="27" s="1"/>
  <c r="A418" i="27"/>
  <c r="B418" i="27" s="1"/>
  <c r="G418" i="27" s="1"/>
  <c r="A419" i="27"/>
  <c r="B419" i="27" s="1"/>
  <c r="A420" i="27"/>
  <c r="B420" i="27" s="1"/>
  <c r="F420" i="27" s="1"/>
  <c r="A421" i="27"/>
  <c r="B421" i="27" s="1"/>
  <c r="A422" i="27"/>
  <c r="B422" i="27" s="1"/>
  <c r="A423" i="27"/>
  <c r="BL423" i="27" s="1"/>
  <c r="A424" i="27"/>
  <c r="B424" i="27" s="1"/>
  <c r="G424" i="27" s="1"/>
  <c r="A425" i="27"/>
  <c r="BL425" i="27" s="1"/>
  <c r="A426" i="27"/>
  <c r="BL426" i="27" s="1"/>
  <c r="A427" i="27"/>
  <c r="B427" i="27" s="1"/>
  <c r="G427" i="27" s="1"/>
  <c r="A428" i="27"/>
  <c r="B428" i="27" s="1"/>
  <c r="A429" i="27"/>
  <c r="B429" i="27" s="1"/>
  <c r="A430" i="27"/>
  <c r="B430" i="27" s="1"/>
  <c r="F430" i="27" s="1"/>
  <c r="A431" i="27"/>
  <c r="BL431" i="27" s="1"/>
  <c r="A432" i="27"/>
  <c r="BL432" i="27" s="1"/>
  <c r="A433" i="27"/>
  <c r="B433" i="27" s="1"/>
  <c r="A434" i="27"/>
  <c r="B434" i="27" s="1"/>
  <c r="A435" i="27"/>
  <c r="B435" i="27" s="1"/>
  <c r="G435" i="27" s="1"/>
  <c r="A436" i="27"/>
  <c r="B436" i="27" s="1"/>
  <c r="A437" i="27"/>
  <c r="B437" i="27" s="1"/>
  <c r="A438" i="27"/>
  <c r="B438" i="27" s="1"/>
  <c r="C438" i="27" s="1"/>
  <c r="A439" i="27"/>
  <c r="B439" i="27" s="1"/>
  <c r="F439" i="27" s="1"/>
  <c r="A440" i="27"/>
  <c r="BL440" i="27" s="1"/>
  <c r="A441" i="27"/>
  <c r="BL441" i="27" s="1"/>
  <c r="A442" i="27"/>
  <c r="B442" i="27" s="1"/>
  <c r="A443" i="27"/>
  <c r="B443" i="27" s="1"/>
  <c r="C443" i="27" s="1"/>
  <c r="A444" i="27"/>
  <c r="B444" i="27" s="1"/>
  <c r="A445" i="27"/>
  <c r="B445" i="27" s="1"/>
  <c r="A446" i="27"/>
  <c r="B446" i="27" s="1"/>
  <c r="A447" i="27"/>
  <c r="B447" i="27" s="1"/>
  <c r="A448" i="27"/>
  <c r="BL448" i="27" s="1"/>
  <c r="A449" i="27"/>
  <c r="B449" i="27" s="1"/>
  <c r="A450" i="27"/>
  <c r="B450" i="27" s="1"/>
  <c r="A451" i="27"/>
  <c r="B451" i="27" s="1"/>
  <c r="G451" i="27" s="1"/>
  <c r="A452" i="27"/>
  <c r="BL452" i="27" s="1"/>
  <c r="A453" i="27"/>
  <c r="B453" i="27" s="1"/>
  <c r="F453" i="27" s="1"/>
  <c r="A454" i="27"/>
  <c r="BL454" i="27" s="1"/>
  <c r="A455" i="27"/>
  <c r="B455" i="27" s="1"/>
  <c r="A456" i="27"/>
  <c r="B456" i="27" s="1"/>
  <c r="A457" i="27"/>
  <c r="B457" i="27" s="1"/>
  <c r="C457" i="27" s="1"/>
  <c r="A458" i="27"/>
  <c r="B458" i="27" s="1"/>
  <c r="A459" i="27"/>
  <c r="BL459" i="27" s="1"/>
  <c r="A460" i="27"/>
  <c r="B460" i="27" s="1"/>
  <c r="A461" i="27"/>
  <c r="BL461" i="27" s="1"/>
  <c r="A462" i="27"/>
  <c r="B462" i="27" s="1"/>
  <c r="E462" i="27" s="1"/>
  <c r="A463" i="27"/>
  <c r="B463" i="27" s="1"/>
  <c r="A464" i="27"/>
  <c r="B464" i="27" s="1"/>
  <c r="A465" i="27"/>
  <c r="B465" i="27" s="1"/>
  <c r="F465" i="27" s="1"/>
  <c r="A466" i="27"/>
  <c r="B466" i="27" s="1"/>
  <c r="E466" i="27" s="1"/>
  <c r="A467" i="27"/>
  <c r="B467" i="27" s="1"/>
  <c r="A468" i="27"/>
  <c r="B468" i="27" s="1"/>
  <c r="A469" i="27"/>
  <c r="B469" i="27" s="1"/>
  <c r="A470" i="27"/>
  <c r="B470" i="27" s="1"/>
  <c r="E470" i="27" s="1"/>
  <c r="A471" i="27"/>
  <c r="B471" i="27" s="1"/>
  <c r="A472" i="27"/>
  <c r="BL472" i="27" s="1"/>
  <c r="A473" i="27"/>
  <c r="B473" i="27" s="1"/>
  <c r="D473" i="27" s="1"/>
  <c r="A474" i="27"/>
  <c r="B474" i="27" s="1"/>
  <c r="A475" i="27"/>
  <c r="B475" i="27" s="1"/>
  <c r="G475" i="27" s="1"/>
  <c r="A476" i="27"/>
  <c r="B476" i="27" s="1"/>
  <c r="A477" i="27"/>
  <c r="B477" i="27" s="1"/>
  <c r="A478" i="27"/>
  <c r="B478" i="27" s="1"/>
  <c r="G478" i="27" s="1"/>
  <c r="A479" i="27"/>
  <c r="B479" i="27" s="1"/>
  <c r="A480" i="27"/>
  <c r="B480" i="27" s="1"/>
  <c r="A481" i="27"/>
  <c r="BL481" i="27" s="1"/>
  <c r="A482" i="27"/>
  <c r="B482" i="27" s="1"/>
  <c r="A483" i="27"/>
  <c r="B483" i="27" s="1"/>
  <c r="A484" i="27"/>
  <c r="B484" i="27" s="1"/>
  <c r="A485" i="27"/>
  <c r="B485" i="27" s="1"/>
  <c r="A486" i="27"/>
  <c r="B486" i="27" s="1"/>
  <c r="F486" i="27" s="1"/>
  <c r="A487" i="27"/>
  <c r="BL487" i="27" s="1"/>
  <c r="A488" i="27"/>
  <c r="B488" i="27" s="1"/>
  <c r="A489" i="27"/>
  <c r="B489" i="27" s="1"/>
  <c r="A490" i="27"/>
  <c r="BL490" i="27" s="1"/>
  <c r="A491" i="27"/>
  <c r="BL491" i="27" s="1"/>
  <c r="A492" i="27"/>
  <c r="BL492" i="27" s="1"/>
  <c r="A493" i="27"/>
  <c r="B493" i="27" s="1"/>
  <c r="A494" i="27"/>
  <c r="BL494" i="27" s="1"/>
  <c r="A495" i="27"/>
  <c r="B495" i="27" s="1"/>
  <c r="A496" i="27"/>
  <c r="B496" i="27" s="1"/>
  <c r="D496" i="27" s="1"/>
  <c r="A497" i="27"/>
  <c r="BL497" i="27" s="1"/>
  <c r="A498" i="27"/>
  <c r="B498" i="27" s="1"/>
  <c r="A499" i="27"/>
  <c r="B499" i="27" s="1"/>
  <c r="C499" i="27" s="1"/>
  <c r="A500" i="27"/>
  <c r="B500" i="27" s="1"/>
  <c r="C500" i="27" s="1"/>
  <c r="A501" i="27"/>
  <c r="B501" i="27" s="1"/>
  <c r="A502" i="27"/>
  <c r="B502" i="27" s="1"/>
  <c r="A503" i="27"/>
  <c r="B503" i="27" s="1"/>
  <c r="A504" i="27"/>
  <c r="B504" i="27" s="1"/>
  <c r="A505" i="27"/>
  <c r="B505" i="27" s="1"/>
  <c r="A506" i="27"/>
  <c r="B506" i="27" s="1"/>
  <c r="A507" i="27"/>
  <c r="B507" i="27" s="1"/>
  <c r="A508" i="27"/>
  <c r="B508" i="27" s="1"/>
  <c r="G508" i="27" s="1"/>
  <c r="A509" i="27"/>
  <c r="BL509" i="27" s="1"/>
  <c r="A510" i="27"/>
  <c r="B510" i="27" s="1"/>
  <c r="A511" i="27"/>
  <c r="B511" i="27" s="1"/>
  <c r="G511" i="27" s="1"/>
  <c r="A512" i="27"/>
  <c r="BL512" i="27" s="1"/>
  <c r="A513" i="27"/>
  <c r="B513" i="27" s="1"/>
  <c r="A514" i="27"/>
  <c r="BL514" i="27" s="1"/>
  <c r="A515" i="27"/>
  <c r="BL515" i="27" s="1"/>
  <c r="A516" i="27"/>
  <c r="B516" i="27" s="1"/>
  <c r="A517" i="27"/>
  <c r="B517" i="27" s="1"/>
  <c r="D517" i="27" s="1"/>
  <c r="A518" i="27"/>
  <c r="B518" i="27" s="1"/>
  <c r="A519" i="27"/>
  <c r="BL519" i="27" s="1"/>
  <c r="A520" i="27"/>
  <c r="B520" i="27" s="1"/>
  <c r="F520" i="27" s="1"/>
  <c r="A521" i="27"/>
  <c r="BL521" i="27" s="1"/>
  <c r="A522" i="27"/>
  <c r="B522" i="27" s="1"/>
  <c r="A523" i="27"/>
  <c r="B523" i="27" s="1"/>
  <c r="A524" i="27"/>
  <c r="B524" i="27" s="1"/>
  <c r="A525" i="27"/>
  <c r="B525" i="27" s="1"/>
  <c r="A526" i="27"/>
  <c r="B526" i="27" s="1"/>
  <c r="A527" i="27"/>
  <c r="B527" i="27" s="1"/>
  <c r="E527" i="27" s="1"/>
  <c r="A528" i="27"/>
  <c r="BL528" i="27" s="1"/>
  <c r="A529" i="27"/>
  <c r="B529" i="27" s="1"/>
  <c r="A530" i="27"/>
  <c r="BL530" i="27" s="1"/>
  <c r="A531" i="27"/>
  <c r="B531" i="27" s="1"/>
  <c r="E531" i="27" s="1"/>
  <c r="A532" i="27"/>
  <c r="B532" i="27" s="1"/>
  <c r="A533" i="27"/>
  <c r="B533" i="27" s="1"/>
  <c r="A534" i="27"/>
  <c r="B534" i="27" s="1"/>
  <c r="C534" i="27" s="1"/>
  <c r="A535" i="27"/>
  <c r="B535" i="27" s="1"/>
  <c r="A536" i="27"/>
  <c r="B536" i="27" s="1"/>
  <c r="G536" i="27" s="1"/>
  <c r="A537" i="27"/>
  <c r="B537" i="27" s="1"/>
  <c r="A538" i="27"/>
  <c r="B538" i="27" s="1"/>
  <c r="A539" i="27"/>
  <c r="B539" i="27" s="1"/>
  <c r="A540" i="27"/>
  <c r="B540" i="27" s="1"/>
  <c r="G540" i="27" s="1"/>
  <c r="A541" i="27"/>
  <c r="B541" i="27" s="1"/>
  <c r="G541" i="27" s="1"/>
  <c r="A542" i="27"/>
  <c r="B542" i="27" s="1"/>
  <c r="A543" i="27"/>
  <c r="B543" i="27" s="1"/>
  <c r="E543" i="27" s="1"/>
  <c r="A544" i="27"/>
  <c r="B544" i="27" s="1"/>
  <c r="A545" i="27"/>
  <c r="B545" i="27" s="1"/>
  <c r="C545" i="27" s="1"/>
  <c r="A546" i="27"/>
  <c r="B546" i="27" s="1"/>
  <c r="A547" i="27"/>
  <c r="B547" i="27" s="1"/>
  <c r="A548" i="27"/>
  <c r="B548" i="27" s="1"/>
  <c r="C548" i="27" s="1"/>
  <c r="A549" i="27"/>
  <c r="B549" i="27" s="1"/>
  <c r="A550" i="27"/>
  <c r="B550" i="27" s="1"/>
  <c r="F550" i="27" s="1"/>
  <c r="A551" i="27"/>
  <c r="B551" i="27" s="1"/>
  <c r="A552" i="27"/>
  <c r="B552" i="27" s="1"/>
  <c r="C552" i="27" s="1"/>
  <c r="A553" i="27"/>
  <c r="B553" i="27" s="1"/>
  <c r="A554" i="27"/>
  <c r="B554" i="27" s="1"/>
  <c r="A555" i="27"/>
  <c r="B555" i="27" s="1"/>
  <c r="A556" i="27"/>
  <c r="B556" i="27" s="1"/>
  <c r="F556" i="27" s="1"/>
  <c r="A557" i="27"/>
  <c r="B557" i="27" s="1"/>
  <c r="G557" i="27" s="1"/>
  <c r="A558" i="27"/>
  <c r="B558" i="27" s="1"/>
  <c r="C558" i="27" s="1"/>
  <c r="A559" i="27"/>
  <c r="B559" i="27" s="1"/>
  <c r="A560" i="27"/>
  <c r="B560" i="27" s="1"/>
  <c r="E560" i="27" s="1"/>
  <c r="A561" i="27"/>
  <c r="B561" i="27" s="1"/>
  <c r="A562" i="27"/>
  <c r="B562" i="27" s="1"/>
  <c r="C562" i="27" s="1"/>
  <c r="A563" i="27"/>
  <c r="B563" i="27" s="1"/>
  <c r="G563" i="27" s="1"/>
  <c r="A564" i="27"/>
  <c r="B564" i="27" s="1"/>
  <c r="A565" i="27"/>
  <c r="B565" i="27" s="1"/>
  <c r="A566" i="27"/>
  <c r="B566" i="27" s="1"/>
  <c r="C566" i="27" s="1"/>
  <c r="A567" i="27"/>
  <c r="B567" i="27" s="1"/>
  <c r="A568" i="27"/>
  <c r="B568" i="27" s="1"/>
  <c r="A569" i="27"/>
  <c r="B569" i="27" s="1"/>
  <c r="A570" i="27"/>
  <c r="B570" i="27" s="1"/>
  <c r="A571" i="27"/>
  <c r="B571" i="27" s="1"/>
  <c r="A572" i="27"/>
  <c r="B572" i="27" s="1"/>
  <c r="A573" i="27"/>
  <c r="B573" i="27" s="1"/>
  <c r="G573" i="27" s="1"/>
  <c r="A574" i="27"/>
  <c r="B574" i="27" s="1"/>
  <c r="A575" i="27"/>
  <c r="B575" i="27" s="1"/>
  <c r="A576" i="27"/>
  <c r="B576" i="27" s="1"/>
  <c r="A577" i="27"/>
  <c r="B577" i="27" s="1"/>
  <c r="A578" i="27"/>
  <c r="BL578" i="27" s="1"/>
  <c r="A579" i="27"/>
  <c r="B579" i="27" s="1"/>
  <c r="A580" i="27"/>
  <c r="B580" i="27" s="1"/>
  <c r="A581" i="27"/>
  <c r="B581" i="27" s="1"/>
  <c r="A582" i="27"/>
  <c r="B582" i="27" s="1"/>
  <c r="A583" i="27"/>
  <c r="B583" i="27" s="1"/>
  <c r="E583" i="27" s="1"/>
  <c r="A584" i="27"/>
  <c r="B584" i="27" s="1"/>
  <c r="A585" i="27"/>
  <c r="B585" i="27" s="1"/>
  <c r="A586" i="27"/>
  <c r="B586" i="27" s="1"/>
  <c r="E586" i="27" s="1"/>
  <c r="A587" i="27"/>
  <c r="B587" i="27" s="1"/>
  <c r="A588" i="27"/>
  <c r="B588" i="27" s="1"/>
  <c r="A589" i="27"/>
  <c r="B589" i="27" s="1"/>
  <c r="C589" i="27" s="1"/>
  <c r="A590" i="27"/>
  <c r="B590" i="27" s="1"/>
  <c r="D590" i="27" s="1"/>
  <c r="A591" i="27"/>
  <c r="B591" i="27" s="1"/>
  <c r="A592" i="27"/>
  <c r="B592" i="27" s="1"/>
  <c r="D592" i="27" s="1"/>
  <c r="A593" i="27"/>
  <c r="B593" i="27" s="1"/>
  <c r="A594" i="27"/>
  <c r="B594" i="27" s="1"/>
  <c r="F594" i="27" s="1"/>
  <c r="A595" i="27"/>
  <c r="B595" i="27" s="1"/>
  <c r="F595" i="27" s="1"/>
  <c r="A596" i="27"/>
  <c r="B596" i="27" s="1"/>
  <c r="A597" i="27"/>
  <c r="B597" i="27" s="1"/>
  <c r="A598" i="27"/>
  <c r="B598" i="27" s="1"/>
  <c r="G598" i="27" s="1"/>
  <c r="A599" i="27"/>
  <c r="B599" i="27" s="1"/>
  <c r="A600" i="27"/>
  <c r="B600" i="27" s="1"/>
  <c r="A27" i="27"/>
  <c r="BL27" i="27" s="1"/>
  <c r="A28" i="27"/>
  <c r="BL28" i="27" s="1"/>
  <c r="G6" i="27"/>
  <c r="F6" i="27"/>
  <c r="E6" i="27"/>
  <c r="D6" i="27"/>
  <c r="C6" i="27"/>
  <c r="B6" i="27"/>
  <c r="G5" i="27"/>
  <c r="F5" i="27"/>
  <c r="E5" i="27"/>
  <c r="D5" i="27"/>
  <c r="C5" i="27"/>
  <c r="B5" i="27"/>
  <c r="G2" i="27"/>
  <c r="F2" i="27"/>
  <c r="E2" i="27"/>
  <c r="D2" i="27"/>
  <c r="C2" i="27"/>
  <c r="B2" i="27"/>
  <c r="G1" i="27"/>
  <c r="F1" i="27"/>
  <c r="E1" i="27"/>
  <c r="D1" i="27"/>
  <c r="C1" i="27"/>
  <c r="B1" i="27"/>
  <c r="A1" i="27"/>
  <c r="I70" i="27"/>
  <c r="A70" i="27" s="1"/>
  <c r="BL70" i="27" s="1"/>
  <c r="I69" i="27"/>
  <c r="I68" i="27"/>
  <c r="I67" i="27"/>
  <c r="I66" i="27"/>
  <c r="I65" i="27"/>
  <c r="I64" i="27"/>
  <c r="I63" i="27"/>
  <c r="I62" i="27"/>
  <c r="I61" i="27"/>
  <c r="I60" i="27"/>
  <c r="I59" i="27"/>
  <c r="I58" i="27"/>
  <c r="I57" i="27"/>
  <c r="I56" i="27"/>
  <c r="I55" i="27"/>
  <c r="I54" i="27"/>
  <c r="I53" i="27"/>
  <c r="I52" i="27"/>
  <c r="R50" i="27"/>
  <c r="N50" i="27" s="1" a="1"/>
  <c r="N50" i="27" s="1"/>
  <c r="M49" i="27"/>
  <c r="Q46" i="27" s="1"/>
  <c r="L49" i="27"/>
  <c r="L50" i="27" s="1"/>
  <c r="K49" i="27"/>
  <c r="K50" i="27" s="1"/>
  <c r="M25" i="27"/>
  <c r="L25" i="27"/>
  <c r="L38" i="27" s="1"/>
  <c r="K25" i="27"/>
  <c r="K38" i="27" s="1"/>
  <c r="M15" i="27"/>
  <c r="I40" i="27"/>
  <c r="I39" i="27"/>
  <c r="I38" i="27"/>
  <c r="I37" i="27"/>
  <c r="I36" i="27"/>
  <c r="I35" i="27"/>
  <c r="I34" i="27"/>
  <c r="I33" i="27"/>
  <c r="I32" i="27"/>
  <c r="I31" i="27"/>
  <c r="I30" i="27"/>
  <c r="I29" i="27"/>
  <c r="A29" i="27" s="1"/>
  <c r="BL29" i="27" s="1"/>
  <c r="R2" i="27"/>
  <c r="Q2" i="27"/>
  <c r="P2" i="27"/>
  <c r="O2" i="27"/>
  <c r="N2" i="27"/>
  <c r="M2" i="27"/>
  <c r="L2" i="27"/>
  <c r="K2" i="27"/>
  <c r="J2" i="27"/>
  <c r="I2" i="27"/>
  <c r="S1" i="27"/>
  <c r="R1" i="27"/>
  <c r="Q1" i="27"/>
  <c r="P1" i="27"/>
  <c r="O1" i="27"/>
  <c r="N1" i="27"/>
  <c r="M1" i="27"/>
  <c r="L1" i="27"/>
  <c r="K1" i="27"/>
  <c r="J1" i="27"/>
  <c r="I1" i="27"/>
  <c r="CQ605" i="27"/>
  <c r="CO605" i="27"/>
  <c r="AT3" i="27" s="1"/>
  <c r="CN604" i="27"/>
  <c r="AU602" i="27"/>
  <c r="AS602" i="27"/>
  <c r="AR602" i="27"/>
  <c r="AQ602" i="27"/>
  <c r="AP602" i="27"/>
  <c r="AO602" i="27"/>
  <c r="AN602" i="27"/>
  <c r="AM602" i="27"/>
  <c r="AL602" i="27"/>
  <c r="AK602" i="27"/>
  <c r="AJ602" i="27"/>
  <c r="AI602" i="27"/>
  <c r="AH602" i="27"/>
  <c r="AG602" i="27"/>
  <c r="AF602" i="27"/>
  <c r="AE602" i="27"/>
  <c r="AD602" i="27"/>
  <c r="AC602" i="27"/>
  <c r="AB602" i="27"/>
  <c r="AA602" i="27"/>
  <c r="Z602" i="27"/>
  <c r="Y602" i="27"/>
  <c r="X602" i="27"/>
  <c r="W602" i="27"/>
  <c r="V602" i="27"/>
  <c r="U602" i="27"/>
  <c r="AU601" i="27"/>
  <c r="AS601" i="27"/>
  <c r="AR601" i="27"/>
  <c r="AQ601" i="27"/>
  <c r="AP601" i="27"/>
  <c r="AO601" i="27"/>
  <c r="AN601" i="27"/>
  <c r="AM601" i="27"/>
  <c r="AL601" i="27"/>
  <c r="AK601" i="27"/>
  <c r="AJ601" i="27"/>
  <c r="AI601" i="27"/>
  <c r="AH601" i="27"/>
  <c r="AG601" i="27"/>
  <c r="AF601" i="27"/>
  <c r="AE601" i="27"/>
  <c r="AD601" i="27"/>
  <c r="AC601" i="27"/>
  <c r="AB601" i="27"/>
  <c r="AA601" i="27"/>
  <c r="Z601" i="27"/>
  <c r="Y601" i="27"/>
  <c r="X601" i="27"/>
  <c r="W601" i="27"/>
  <c r="V601" i="27"/>
  <c r="U601" i="27"/>
  <c r="AU600" i="27"/>
  <c r="AL600" i="27" s="1"/>
  <c r="AR600" i="27"/>
  <c r="AP600" i="27"/>
  <c r="AO600" i="27"/>
  <c r="AK600" i="27"/>
  <c r="AN600" i="27" s="1"/>
  <c r="AJ600" i="27"/>
  <c r="AU599" i="27"/>
  <c r="AL599" i="27" s="1"/>
  <c r="AR599" i="27"/>
  <c r="AP599" i="27"/>
  <c r="AO599" i="27"/>
  <c r="AK599" i="27"/>
  <c r="AN599" i="27" s="1"/>
  <c r="AJ599" i="27"/>
  <c r="AU598" i="27"/>
  <c r="AL598" i="27" s="1"/>
  <c r="AR598" i="27"/>
  <c r="AP598" i="27"/>
  <c r="AO598" i="27"/>
  <c r="AK598" i="27"/>
  <c r="AN598" i="27" s="1"/>
  <c r="AJ598" i="27"/>
  <c r="AU597" i="27"/>
  <c r="AL597" i="27" s="1"/>
  <c r="AR597" i="27"/>
  <c r="AP597" i="27"/>
  <c r="AO597" i="27"/>
  <c r="AK597" i="27"/>
  <c r="AN597" i="27" s="1"/>
  <c r="AJ597" i="27"/>
  <c r="AU596" i="27"/>
  <c r="AL596" i="27" s="1"/>
  <c r="AR596" i="27"/>
  <c r="AP596" i="27"/>
  <c r="AO596" i="27"/>
  <c r="AK596" i="27"/>
  <c r="AN596" i="27" s="1"/>
  <c r="AJ596" i="27"/>
  <c r="AU595" i="27"/>
  <c r="AL595" i="27" s="1"/>
  <c r="AR595" i="27"/>
  <c r="AP595" i="27"/>
  <c r="AO595" i="27"/>
  <c r="AK595" i="27"/>
  <c r="AN595" i="27" s="1"/>
  <c r="AJ595" i="27"/>
  <c r="AU594" i="27"/>
  <c r="AL594" i="27" s="1"/>
  <c r="AR594" i="27"/>
  <c r="AP594" i="27"/>
  <c r="AO594" i="27"/>
  <c r="AK594" i="27"/>
  <c r="AN594" i="27" s="1"/>
  <c r="AJ594" i="27"/>
  <c r="AU593" i="27"/>
  <c r="AL593" i="27" s="1"/>
  <c r="AR593" i="27"/>
  <c r="AP593" i="27"/>
  <c r="AO593" i="27"/>
  <c r="AK593" i="27"/>
  <c r="AN593" i="27" s="1"/>
  <c r="AJ593" i="27"/>
  <c r="AU592" i="27"/>
  <c r="AL592" i="27" s="1"/>
  <c r="AR592" i="27"/>
  <c r="AP592" i="27"/>
  <c r="AO592" i="27"/>
  <c r="AK592" i="27"/>
  <c r="AN592" i="27" s="1"/>
  <c r="AJ592" i="27"/>
  <c r="AU591" i="27"/>
  <c r="AL591" i="27" s="1"/>
  <c r="AR591" i="27"/>
  <c r="AP591" i="27"/>
  <c r="AO591" i="27"/>
  <c r="AK591" i="27"/>
  <c r="AN591" i="27" s="1"/>
  <c r="AJ591" i="27"/>
  <c r="AU590" i="27"/>
  <c r="AL590" i="27" s="1"/>
  <c r="AR590" i="27"/>
  <c r="AP590" i="27"/>
  <c r="AO590" i="27"/>
  <c r="AK590" i="27"/>
  <c r="AN590" i="27" s="1"/>
  <c r="AJ590" i="27"/>
  <c r="AU589" i="27"/>
  <c r="AL589" i="27" s="1"/>
  <c r="AR589" i="27"/>
  <c r="AP589" i="27"/>
  <c r="AO589" i="27"/>
  <c r="AK589" i="27"/>
  <c r="AN589" i="27" s="1"/>
  <c r="AJ589" i="27"/>
  <c r="AU588" i="27"/>
  <c r="AL588" i="27" s="1"/>
  <c r="AR588" i="27"/>
  <c r="AP588" i="27"/>
  <c r="AO588" i="27"/>
  <c r="AK588" i="27"/>
  <c r="AN588" i="27" s="1"/>
  <c r="AJ588" i="27"/>
  <c r="AU587" i="27"/>
  <c r="AL587" i="27" s="1"/>
  <c r="AR587" i="27"/>
  <c r="AP587" i="27"/>
  <c r="AO587" i="27"/>
  <c r="AK587" i="27"/>
  <c r="AN587" i="27" s="1"/>
  <c r="AJ587" i="27"/>
  <c r="AU586" i="27"/>
  <c r="AL586" i="27" s="1"/>
  <c r="AR586" i="27"/>
  <c r="AP586" i="27"/>
  <c r="AO586" i="27"/>
  <c r="AK586" i="27"/>
  <c r="AN586" i="27" s="1"/>
  <c r="AJ586" i="27"/>
  <c r="AU585" i="27"/>
  <c r="AL585" i="27" s="1"/>
  <c r="AR585" i="27"/>
  <c r="AP585" i="27"/>
  <c r="AO585" i="27"/>
  <c r="AK585" i="27"/>
  <c r="AN585" i="27" s="1"/>
  <c r="AJ585" i="27"/>
  <c r="AU584" i="27"/>
  <c r="AL584" i="27" s="1"/>
  <c r="AR584" i="27"/>
  <c r="AP584" i="27"/>
  <c r="AO584" i="27"/>
  <c r="AK584" i="27"/>
  <c r="AN584" i="27" s="1"/>
  <c r="AJ584" i="27"/>
  <c r="AU583" i="27"/>
  <c r="AL583" i="27" s="1"/>
  <c r="AR583" i="27"/>
  <c r="AP583" i="27"/>
  <c r="AO583" i="27"/>
  <c r="AK583" i="27"/>
  <c r="AN583" i="27" s="1"/>
  <c r="AJ583" i="27"/>
  <c r="AU582" i="27"/>
  <c r="AL582" i="27" s="1"/>
  <c r="AR582" i="27"/>
  <c r="AP582" i="27"/>
  <c r="AO582" i="27"/>
  <c r="AK582" i="27"/>
  <c r="AN582" i="27" s="1"/>
  <c r="AJ582" i="27"/>
  <c r="AU581" i="27"/>
  <c r="AL581" i="27" s="1"/>
  <c r="AR581" i="27"/>
  <c r="AP581" i="27"/>
  <c r="AO581" i="27"/>
  <c r="AK581" i="27"/>
  <c r="AN581" i="27" s="1"/>
  <c r="AJ581" i="27"/>
  <c r="AU580" i="27"/>
  <c r="AL580" i="27" s="1"/>
  <c r="AR580" i="27"/>
  <c r="AP580" i="27"/>
  <c r="AO580" i="27"/>
  <c r="AK580" i="27"/>
  <c r="AN580" i="27" s="1"/>
  <c r="AJ580" i="27"/>
  <c r="AU579" i="27"/>
  <c r="AL579" i="27" s="1"/>
  <c r="AR579" i="27"/>
  <c r="AP579" i="27"/>
  <c r="AO579" i="27"/>
  <c r="AK579" i="27"/>
  <c r="AN579" i="27" s="1"/>
  <c r="AJ579" i="27"/>
  <c r="AU578" i="27"/>
  <c r="AL578" i="27" s="1"/>
  <c r="AR578" i="27"/>
  <c r="AP578" i="27"/>
  <c r="AO578" i="27"/>
  <c r="AK578" i="27"/>
  <c r="AN578" i="27" s="1"/>
  <c r="AJ578" i="27"/>
  <c r="AU577" i="27"/>
  <c r="AL577" i="27" s="1"/>
  <c r="AR577" i="27"/>
  <c r="AP577" i="27"/>
  <c r="AO577" i="27"/>
  <c r="AK577" i="27"/>
  <c r="AN577" i="27" s="1"/>
  <c r="AJ577" i="27"/>
  <c r="AU576" i="27"/>
  <c r="AL576" i="27" s="1"/>
  <c r="AR576" i="27"/>
  <c r="AP576" i="27"/>
  <c r="AO576" i="27"/>
  <c r="AK576" i="27"/>
  <c r="AN576" i="27" s="1"/>
  <c r="AJ576" i="27"/>
  <c r="AU575" i="27"/>
  <c r="AL575" i="27" s="1"/>
  <c r="AR575" i="27"/>
  <c r="AP575" i="27"/>
  <c r="AO575" i="27"/>
  <c r="AK575" i="27"/>
  <c r="AN575" i="27" s="1"/>
  <c r="AJ575" i="27"/>
  <c r="AU574" i="27"/>
  <c r="AL574" i="27" s="1"/>
  <c r="AR574" i="27"/>
  <c r="AP574" i="27"/>
  <c r="AO574" i="27"/>
  <c r="AK574" i="27"/>
  <c r="AN574" i="27" s="1"/>
  <c r="AJ574" i="27"/>
  <c r="AU573" i="27"/>
  <c r="AL573" i="27" s="1"/>
  <c r="AR573" i="27"/>
  <c r="AP573" i="27"/>
  <c r="AO573" i="27"/>
  <c r="AJ573" i="27"/>
  <c r="AK573" i="27" s="1"/>
  <c r="AN573" i="27" s="1"/>
  <c r="AU572" i="27"/>
  <c r="AL572" i="27" s="1"/>
  <c r="AR572" i="27"/>
  <c r="AP572" i="27"/>
  <c r="AO572" i="27"/>
  <c r="AK572" i="27"/>
  <c r="AN572" i="27" s="1"/>
  <c r="AJ572" i="27"/>
  <c r="AU571" i="27"/>
  <c r="AL571" i="27" s="1"/>
  <c r="AR571" i="27"/>
  <c r="AP571" i="27"/>
  <c r="AO571" i="27"/>
  <c r="AK571" i="27"/>
  <c r="AN571" i="27" s="1"/>
  <c r="AJ571" i="27"/>
  <c r="AU570" i="27"/>
  <c r="AL570" i="27" s="1"/>
  <c r="AR570" i="27"/>
  <c r="AP570" i="27"/>
  <c r="AO570" i="27"/>
  <c r="AK570" i="27"/>
  <c r="AN570" i="27" s="1"/>
  <c r="AJ570" i="27"/>
  <c r="AU569" i="27"/>
  <c r="AL569" i="27" s="1"/>
  <c r="AR569" i="27"/>
  <c r="AP569" i="27"/>
  <c r="AO569" i="27"/>
  <c r="AK569" i="27"/>
  <c r="AN569" i="27" s="1"/>
  <c r="AJ569" i="27"/>
  <c r="AU568" i="27"/>
  <c r="AL568" i="27" s="1"/>
  <c r="AR568" i="27"/>
  <c r="AP568" i="27"/>
  <c r="AO568" i="27"/>
  <c r="AK568" i="27"/>
  <c r="AN568" i="27" s="1"/>
  <c r="AJ568" i="27"/>
  <c r="AU567" i="27"/>
  <c r="AL567" i="27" s="1"/>
  <c r="AR567" i="27"/>
  <c r="AP567" i="27"/>
  <c r="AO567" i="27"/>
  <c r="AK567" i="27"/>
  <c r="AN567" i="27" s="1"/>
  <c r="AJ567" i="27"/>
  <c r="AU566" i="27"/>
  <c r="AL566" i="27" s="1"/>
  <c r="AR566" i="27"/>
  <c r="AP566" i="27"/>
  <c r="AO566" i="27"/>
  <c r="AK566" i="27"/>
  <c r="AN566" i="27" s="1"/>
  <c r="AJ566" i="27"/>
  <c r="AU565" i="27"/>
  <c r="AL565" i="27" s="1"/>
  <c r="AR565" i="27"/>
  <c r="AP565" i="27"/>
  <c r="AO565" i="27"/>
  <c r="AK565" i="27"/>
  <c r="AN565" i="27" s="1"/>
  <c r="AJ565" i="27"/>
  <c r="AU564" i="27"/>
  <c r="AL564" i="27" s="1"/>
  <c r="AR564" i="27"/>
  <c r="AP564" i="27"/>
  <c r="AO564" i="27"/>
  <c r="AK564" i="27"/>
  <c r="AN564" i="27" s="1"/>
  <c r="AJ564" i="27"/>
  <c r="AU563" i="27"/>
  <c r="AL563" i="27" s="1"/>
  <c r="AR563" i="27"/>
  <c r="AP563" i="27"/>
  <c r="AO563" i="27"/>
  <c r="AK563" i="27"/>
  <c r="AN563" i="27" s="1"/>
  <c r="AJ563" i="27"/>
  <c r="AU562" i="27"/>
  <c r="AL562" i="27" s="1"/>
  <c r="AR562" i="27"/>
  <c r="AP562" i="27"/>
  <c r="AO562" i="27"/>
  <c r="AK562" i="27"/>
  <c r="AN562" i="27" s="1"/>
  <c r="AJ562" i="27"/>
  <c r="AU561" i="27"/>
  <c r="AL561" i="27" s="1"/>
  <c r="AR561" i="27"/>
  <c r="AP561" i="27"/>
  <c r="AO561" i="27"/>
  <c r="AK561" i="27"/>
  <c r="AN561" i="27" s="1"/>
  <c r="AJ561" i="27"/>
  <c r="AU560" i="27"/>
  <c r="AL560" i="27" s="1"/>
  <c r="AR560" i="27"/>
  <c r="AP560" i="27"/>
  <c r="AO560" i="27"/>
  <c r="AK560" i="27"/>
  <c r="AN560" i="27" s="1"/>
  <c r="AJ560" i="27"/>
  <c r="AU559" i="27"/>
  <c r="AL559" i="27" s="1"/>
  <c r="AR559" i="27"/>
  <c r="AP559" i="27"/>
  <c r="AO559" i="27"/>
  <c r="AK559" i="27"/>
  <c r="AN559" i="27" s="1"/>
  <c r="AJ559" i="27"/>
  <c r="AU558" i="27"/>
  <c r="AL558" i="27" s="1"/>
  <c r="AR558" i="27"/>
  <c r="AP558" i="27"/>
  <c r="AO558" i="27"/>
  <c r="AK558" i="27"/>
  <c r="AN558" i="27" s="1"/>
  <c r="AJ558" i="27"/>
  <c r="AU557" i="27"/>
  <c r="AL557" i="27" s="1"/>
  <c r="AR557" i="27"/>
  <c r="AP557" i="27"/>
  <c r="AO557" i="27"/>
  <c r="AK557" i="27"/>
  <c r="AN557" i="27" s="1"/>
  <c r="AJ557" i="27"/>
  <c r="AU556" i="27"/>
  <c r="AL556" i="27" s="1"/>
  <c r="AR556" i="27"/>
  <c r="AP556" i="27"/>
  <c r="AO556" i="27"/>
  <c r="AK556" i="27"/>
  <c r="AN556" i="27" s="1"/>
  <c r="AJ556" i="27"/>
  <c r="AU555" i="27"/>
  <c r="AL555" i="27" s="1"/>
  <c r="AR555" i="27"/>
  <c r="AP555" i="27"/>
  <c r="AO555" i="27"/>
  <c r="AK555" i="27"/>
  <c r="AN555" i="27" s="1"/>
  <c r="AJ555" i="27"/>
  <c r="AU554" i="27"/>
  <c r="AL554" i="27" s="1"/>
  <c r="AR554" i="27"/>
  <c r="AP554" i="27"/>
  <c r="AO554" i="27"/>
  <c r="AK554" i="27"/>
  <c r="AN554" i="27" s="1"/>
  <c r="AJ554" i="27"/>
  <c r="AU553" i="27"/>
  <c r="AL553" i="27" s="1"/>
  <c r="AR553" i="27"/>
  <c r="AP553" i="27"/>
  <c r="AO553" i="27"/>
  <c r="AK553" i="27"/>
  <c r="AN553" i="27" s="1"/>
  <c r="AJ553" i="27"/>
  <c r="AU552" i="27"/>
  <c r="AL552" i="27" s="1"/>
  <c r="AR552" i="27"/>
  <c r="AP552" i="27"/>
  <c r="AO552" i="27"/>
  <c r="AK552" i="27"/>
  <c r="AN552" i="27" s="1"/>
  <c r="AJ552" i="27"/>
  <c r="AU551" i="27"/>
  <c r="AL551" i="27" s="1"/>
  <c r="AR551" i="27"/>
  <c r="AP551" i="27"/>
  <c r="AO551" i="27"/>
  <c r="AK551" i="27"/>
  <c r="AN551" i="27" s="1"/>
  <c r="AJ551" i="27"/>
  <c r="AU550" i="27"/>
  <c r="AL550" i="27" s="1"/>
  <c r="AR550" i="27"/>
  <c r="AP550" i="27"/>
  <c r="AO550" i="27"/>
  <c r="AK550" i="27"/>
  <c r="AN550" i="27" s="1"/>
  <c r="AJ550" i="27"/>
  <c r="AU549" i="27"/>
  <c r="AL549" i="27" s="1"/>
  <c r="AR549" i="27"/>
  <c r="AP549" i="27"/>
  <c r="AO549" i="27"/>
  <c r="AK549" i="27"/>
  <c r="AN549" i="27" s="1"/>
  <c r="AJ549" i="27"/>
  <c r="AU548" i="27"/>
  <c r="AL548" i="27" s="1"/>
  <c r="AR548" i="27"/>
  <c r="AP548" i="27"/>
  <c r="AO548" i="27"/>
  <c r="AK548" i="27"/>
  <c r="AN548" i="27" s="1"/>
  <c r="AJ548" i="27"/>
  <c r="AU547" i="27"/>
  <c r="AL547" i="27" s="1"/>
  <c r="AR547" i="27"/>
  <c r="AP547" i="27"/>
  <c r="AO547" i="27"/>
  <c r="AK547" i="27"/>
  <c r="AN547" i="27" s="1"/>
  <c r="AJ547" i="27"/>
  <c r="AU546" i="27"/>
  <c r="AL546" i="27" s="1"/>
  <c r="AR546" i="27"/>
  <c r="AP546" i="27"/>
  <c r="AO546" i="27"/>
  <c r="AK546" i="27"/>
  <c r="AN546" i="27" s="1"/>
  <c r="AJ546" i="27"/>
  <c r="AU545" i="27"/>
  <c r="AL545" i="27" s="1"/>
  <c r="AR545" i="27"/>
  <c r="AP545" i="27"/>
  <c r="AO545" i="27"/>
  <c r="AK545" i="27"/>
  <c r="AN545" i="27" s="1"/>
  <c r="AJ545" i="27"/>
  <c r="AU544" i="27"/>
  <c r="AL544" i="27" s="1"/>
  <c r="AR544" i="27"/>
  <c r="AP544" i="27"/>
  <c r="AO544" i="27"/>
  <c r="AK544" i="27"/>
  <c r="AN544" i="27" s="1"/>
  <c r="AJ544" i="27"/>
  <c r="AU543" i="27"/>
  <c r="AL543" i="27" s="1"/>
  <c r="AR543" i="27"/>
  <c r="AP543" i="27"/>
  <c r="AO543" i="27"/>
  <c r="AK543" i="27"/>
  <c r="AN543" i="27" s="1"/>
  <c r="AJ543" i="27"/>
  <c r="AU542" i="27"/>
  <c r="AL542" i="27" s="1"/>
  <c r="AR542" i="27"/>
  <c r="AP542" i="27"/>
  <c r="AO542" i="27"/>
  <c r="AK542" i="27"/>
  <c r="AN542" i="27" s="1"/>
  <c r="AJ542" i="27"/>
  <c r="AU541" i="27"/>
  <c r="AL541" i="27" s="1"/>
  <c r="AR541" i="27"/>
  <c r="AP541" i="27"/>
  <c r="AO541" i="27"/>
  <c r="AK541" i="27"/>
  <c r="AN541" i="27" s="1"/>
  <c r="AJ541" i="27"/>
  <c r="AU540" i="27"/>
  <c r="AL540" i="27" s="1"/>
  <c r="AR540" i="27"/>
  <c r="AP540" i="27"/>
  <c r="AO540" i="27"/>
  <c r="AK540" i="27"/>
  <c r="AN540" i="27" s="1"/>
  <c r="AJ540" i="27"/>
  <c r="AU539" i="27"/>
  <c r="AL539" i="27" s="1"/>
  <c r="AR539" i="27"/>
  <c r="AP539" i="27"/>
  <c r="AO539" i="27"/>
  <c r="AK539" i="27"/>
  <c r="AN539" i="27" s="1"/>
  <c r="AJ539" i="27"/>
  <c r="AU538" i="27"/>
  <c r="AL538" i="27" s="1"/>
  <c r="AR538" i="27"/>
  <c r="AP538" i="27"/>
  <c r="AO538" i="27"/>
  <c r="AK538" i="27"/>
  <c r="AN538" i="27" s="1"/>
  <c r="AJ538" i="27"/>
  <c r="AU537" i="27"/>
  <c r="AL537" i="27" s="1"/>
  <c r="AR537" i="27"/>
  <c r="AP537" i="27"/>
  <c r="AO537" i="27"/>
  <c r="AK537" i="27"/>
  <c r="AN537" i="27" s="1"/>
  <c r="AJ537" i="27"/>
  <c r="AU536" i="27"/>
  <c r="AL536" i="27" s="1"/>
  <c r="AR536" i="27"/>
  <c r="AP536" i="27"/>
  <c r="AO536" i="27"/>
  <c r="AK536" i="27"/>
  <c r="AN536" i="27" s="1"/>
  <c r="AJ536" i="27"/>
  <c r="AU535" i="27"/>
  <c r="AL535" i="27" s="1"/>
  <c r="AR535" i="27"/>
  <c r="AP535" i="27"/>
  <c r="AO535" i="27"/>
  <c r="AK535" i="27"/>
  <c r="AN535" i="27" s="1"/>
  <c r="AJ535" i="27"/>
  <c r="AU534" i="27"/>
  <c r="AL534" i="27" s="1"/>
  <c r="AR534" i="27"/>
  <c r="AP534" i="27"/>
  <c r="AO534" i="27"/>
  <c r="AK534" i="27"/>
  <c r="AN534" i="27" s="1"/>
  <c r="AJ534" i="27"/>
  <c r="AU533" i="27"/>
  <c r="AL533" i="27" s="1"/>
  <c r="AR533" i="27"/>
  <c r="AP533" i="27"/>
  <c r="AO533" i="27"/>
  <c r="AK533" i="27"/>
  <c r="AN533" i="27" s="1"/>
  <c r="AJ533" i="27"/>
  <c r="AU532" i="27"/>
  <c r="AL532" i="27" s="1"/>
  <c r="AR532" i="27"/>
  <c r="AP532" i="27"/>
  <c r="AO532" i="27"/>
  <c r="AK532" i="27"/>
  <c r="AN532" i="27" s="1"/>
  <c r="AJ532" i="27"/>
  <c r="AU531" i="27"/>
  <c r="AL531" i="27" s="1"/>
  <c r="AR531" i="27"/>
  <c r="AP531" i="27"/>
  <c r="AO531" i="27"/>
  <c r="AK531" i="27"/>
  <c r="AN531" i="27" s="1"/>
  <c r="AJ531" i="27"/>
  <c r="AU530" i="27"/>
  <c r="AL530" i="27" s="1"/>
  <c r="AR530" i="27"/>
  <c r="AP530" i="27"/>
  <c r="AO530" i="27"/>
  <c r="AK530" i="27"/>
  <c r="AN530" i="27" s="1"/>
  <c r="AJ530" i="27"/>
  <c r="AU529" i="27"/>
  <c r="AL529" i="27" s="1"/>
  <c r="AR529" i="27"/>
  <c r="AP529" i="27"/>
  <c r="AO529" i="27"/>
  <c r="AK529" i="27"/>
  <c r="AN529" i="27" s="1"/>
  <c r="AJ529" i="27"/>
  <c r="AU528" i="27"/>
  <c r="AL528" i="27" s="1"/>
  <c r="AR528" i="27"/>
  <c r="AP528" i="27"/>
  <c r="AO528" i="27"/>
  <c r="AK528" i="27"/>
  <c r="AN528" i="27" s="1"/>
  <c r="AJ528" i="27"/>
  <c r="AU527" i="27"/>
  <c r="AL527" i="27" s="1"/>
  <c r="AR527" i="27"/>
  <c r="AP527" i="27"/>
  <c r="AO527" i="27"/>
  <c r="AK527" i="27"/>
  <c r="AN527" i="27" s="1"/>
  <c r="AJ527" i="27"/>
  <c r="AU526" i="27"/>
  <c r="AL526" i="27" s="1"/>
  <c r="AR526" i="27"/>
  <c r="AP526" i="27"/>
  <c r="AO526" i="27"/>
  <c r="AK526" i="27"/>
  <c r="AN526" i="27" s="1"/>
  <c r="AJ526" i="27"/>
  <c r="AU525" i="27"/>
  <c r="AL525" i="27" s="1"/>
  <c r="AR525" i="27"/>
  <c r="AP525" i="27"/>
  <c r="AO525" i="27"/>
  <c r="AK525" i="27"/>
  <c r="AN525" i="27" s="1"/>
  <c r="AJ525" i="27"/>
  <c r="AU524" i="27"/>
  <c r="AL524" i="27" s="1"/>
  <c r="AR524" i="27"/>
  <c r="AP524" i="27"/>
  <c r="AO524" i="27"/>
  <c r="AK524" i="27"/>
  <c r="AN524" i="27" s="1"/>
  <c r="AJ524" i="27"/>
  <c r="AU523" i="27"/>
  <c r="AL523" i="27" s="1"/>
  <c r="AR523" i="27"/>
  <c r="AP523" i="27"/>
  <c r="AO523" i="27"/>
  <c r="AK523" i="27"/>
  <c r="AN523" i="27" s="1"/>
  <c r="AJ523" i="27"/>
  <c r="AU522" i="27"/>
  <c r="AL522" i="27" s="1"/>
  <c r="AR522" i="27"/>
  <c r="AP522" i="27"/>
  <c r="AO522" i="27"/>
  <c r="AK522" i="27"/>
  <c r="AN522" i="27" s="1"/>
  <c r="AJ522" i="27"/>
  <c r="AU521" i="27"/>
  <c r="AL521" i="27" s="1"/>
  <c r="AR521" i="27"/>
  <c r="AP521" i="27"/>
  <c r="AO521" i="27"/>
  <c r="AK521" i="27"/>
  <c r="AN521" i="27" s="1"/>
  <c r="AJ521" i="27"/>
  <c r="AU520" i="27"/>
  <c r="AL520" i="27" s="1"/>
  <c r="AR520" i="27"/>
  <c r="AP520" i="27"/>
  <c r="AO520" i="27"/>
  <c r="AK520" i="27"/>
  <c r="AN520" i="27" s="1"/>
  <c r="AJ520" i="27"/>
  <c r="AU519" i="27"/>
  <c r="AL519" i="27" s="1"/>
  <c r="AR519" i="27"/>
  <c r="AP519" i="27"/>
  <c r="AO519" i="27"/>
  <c r="AK519" i="27"/>
  <c r="AN519" i="27" s="1"/>
  <c r="AJ519" i="27"/>
  <c r="AU518" i="27"/>
  <c r="AL518" i="27" s="1"/>
  <c r="AR518" i="27"/>
  <c r="AP518" i="27"/>
  <c r="AO518" i="27"/>
  <c r="AK518" i="27"/>
  <c r="AN518" i="27" s="1"/>
  <c r="AJ518" i="27"/>
  <c r="AU517" i="27"/>
  <c r="AL517" i="27" s="1"/>
  <c r="AR517" i="27"/>
  <c r="AP517" i="27"/>
  <c r="AO517" i="27"/>
  <c r="AK517" i="27"/>
  <c r="AN517" i="27" s="1"/>
  <c r="AJ517" i="27"/>
  <c r="AU516" i="27"/>
  <c r="AL516" i="27" s="1"/>
  <c r="AR516" i="27"/>
  <c r="AP516" i="27"/>
  <c r="AO516" i="27"/>
  <c r="AK516" i="27"/>
  <c r="AN516" i="27" s="1"/>
  <c r="AJ516" i="27"/>
  <c r="AU515" i="27"/>
  <c r="AL515" i="27" s="1"/>
  <c r="AR515" i="27"/>
  <c r="AP515" i="27"/>
  <c r="AO515" i="27"/>
  <c r="AK515" i="27"/>
  <c r="AN515" i="27" s="1"/>
  <c r="AJ515" i="27"/>
  <c r="AU514" i="27"/>
  <c r="AL514" i="27" s="1"/>
  <c r="AR514" i="27"/>
  <c r="AP514" i="27"/>
  <c r="AO514" i="27"/>
  <c r="AK514" i="27"/>
  <c r="AN514" i="27" s="1"/>
  <c r="AJ514" i="27"/>
  <c r="AU513" i="27"/>
  <c r="AL513" i="27" s="1"/>
  <c r="AR513" i="27"/>
  <c r="AP513" i="27"/>
  <c r="AO513" i="27"/>
  <c r="AK513" i="27"/>
  <c r="AN513" i="27" s="1"/>
  <c r="AJ513" i="27"/>
  <c r="AU512" i="27"/>
  <c r="AL512" i="27" s="1"/>
  <c r="AR512" i="27"/>
  <c r="AP512" i="27"/>
  <c r="AO512" i="27"/>
  <c r="AK512" i="27"/>
  <c r="AN512" i="27" s="1"/>
  <c r="AJ512" i="27"/>
  <c r="AU511" i="27"/>
  <c r="AL511" i="27" s="1"/>
  <c r="AR511" i="27"/>
  <c r="AP511" i="27"/>
  <c r="AO511" i="27"/>
  <c r="AK511" i="27"/>
  <c r="AN511" i="27" s="1"/>
  <c r="AJ511" i="27"/>
  <c r="AU510" i="27"/>
  <c r="AL510" i="27" s="1"/>
  <c r="AR510" i="27"/>
  <c r="AP510" i="27"/>
  <c r="AO510" i="27"/>
  <c r="AK510" i="27"/>
  <c r="AN510" i="27" s="1"/>
  <c r="AJ510" i="27"/>
  <c r="AU509" i="27"/>
  <c r="AL509" i="27" s="1"/>
  <c r="AR509" i="27"/>
  <c r="AP509" i="27"/>
  <c r="AO509" i="27"/>
  <c r="AK509" i="27"/>
  <c r="AN509" i="27" s="1"/>
  <c r="AJ509" i="27"/>
  <c r="AU508" i="27"/>
  <c r="AL508" i="27" s="1"/>
  <c r="AR508" i="27"/>
  <c r="AP508" i="27"/>
  <c r="AO508" i="27"/>
  <c r="AK508" i="27"/>
  <c r="AN508" i="27" s="1"/>
  <c r="AJ508" i="27"/>
  <c r="AU507" i="27"/>
  <c r="AL507" i="27" s="1"/>
  <c r="AR507" i="27"/>
  <c r="AP507" i="27"/>
  <c r="AO507" i="27"/>
  <c r="AK507" i="27"/>
  <c r="AN507" i="27" s="1"/>
  <c r="AJ507" i="27"/>
  <c r="AU506" i="27"/>
  <c r="AL506" i="27" s="1"/>
  <c r="AR506" i="27"/>
  <c r="AP506" i="27"/>
  <c r="AO506" i="27"/>
  <c r="AK506" i="27"/>
  <c r="AN506" i="27" s="1"/>
  <c r="AJ506" i="27"/>
  <c r="AU505" i="27"/>
  <c r="AL505" i="27" s="1"/>
  <c r="AR505" i="27"/>
  <c r="AP505" i="27"/>
  <c r="AO505" i="27"/>
  <c r="AK505" i="27"/>
  <c r="AN505" i="27" s="1"/>
  <c r="AJ505" i="27"/>
  <c r="AU504" i="27"/>
  <c r="AL504" i="27" s="1"/>
  <c r="AR504" i="27"/>
  <c r="AP504" i="27"/>
  <c r="AO504" i="27"/>
  <c r="AK504" i="27"/>
  <c r="AN504" i="27" s="1"/>
  <c r="AJ504" i="27"/>
  <c r="AU503" i="27"/>
  <c r="AL503" i="27" s="1"/>
  <c r="AR503" i="27"/>
  <c r="AP503" i="27"/>
  <c r="AO503" i="27"/>
  <c r="AK503" i="27"/>
  <c r="AN503" i="27" s="1"/>
  <c r="AJ503" i="27"/>
  <c r="AU502" i="27"/>
  <c r="AL502" i="27" s="1"/>
  <c r="AR502" i="27"/>
  <c r="AP502" i="27"/>
  <c r="AO502" i="27"/>
  <c r="AK502" i="27"/>
  <c r="AN502" i="27" s="1"/>
  <c r="AJ502" i="27"/>
  <c r="AU501" i="27"/>
  <c r="AL501" i="27" s="1"/>
  <c r="AR501" i="27"/>
  <c r="AP501" i="27"/>
  <c r="AO501" i="27"/>
  <c r="AK501" i="27"/>
  <c r="AN501" i="27" s="1"/>
  <c r="AJ501" i="27"/>
  <c r="AU500" i="27"/>
  <c r="AL500" i="27" s="1"/>
  <c r="AR500" i="27"/>
  <c r="AP500" i="27"/>
  <c r="AO500" i="27"/>
  <c r="AK500" i="27"/>
  <c r="AN500" i="27" s="1"/>
  <c r="AJ500" i="27"/>
  <c r="AU499" i="27"/>
  <c r="AL499" i="27" s="1"/>
  <c r="AR499" i="27"/>
  <c r="AP499" i="27"/>
  <c r="AO499" i="27"/>
  <c r="AK499" i="27"/>
  <c r="AN499" i="27" s="1"/>
  <c r="AJ499" i="27"/>
  <c r="AU498" i="27"/>
  <c r="AL498" i="27" s="1"/>
  <c r="AR498" i="27"/>
  <c r="AP498" i="27"/>
  <c r="AO498" i="27"/>
  <c r="AK498" i="27"/>
  <c r="AN498" i="27" s="1"/>
  <c r="AJ498" i="27"/>
  <c r="AU497" i="27"/>
  <c r="AL497" i="27" s="1"/>
  <c r="AR497" i="27"/>
  <c r="AP497" i="27"/>
  <c r="AO497" i="27"/>
  <c r="AK497" i="27"/>
  <c r="AN497" i="27" s="1"/>
  <c r="AJ497" i="27"/>
  <c r="AU496" i="27"/>
  <c r="AL496" i="27" s="1"/>
  <c r="AR496" i="27"/>
  <c r="AP496" i="27"/>
  <c r="AO496" i="27"/>
  <c r="AK496" i="27"/>
  <c r="AN496" i="27" s="1"/>
  <c r="AJ496" i="27"/>
  <c r="AU495" i="27"/>
  <c r="AL495" i="27" s="1"/>
  <c r="AR495" i="27"/>
  <c r="AP495" i="27"/>
  <c r="AO495" i="27"/>
  <c r="AK495" i="27"/>
  <c r="AN495" i="27" s="1"/>
  <c r="AJ495" i="27"/>
  <c r="AU494" i="27"/>
  <c r="AL494" i="27" s="1"/>
  <c r="AR494" i="27"/>
  <c r="AP494" i="27"/>
  <c r="AO494" i="27"/>
  <c r="AK494" i="27"/>
  <c r="AN494" i="27" s="1"/>
  <c r="AJ494" i="27"/>
  <c r="AU493" i="27"/>
  <c r="AL493" i="27" s="1"/>
  <c r="AR493" i="27"/>
  <c r="AP493" i="27"/>
  <c r="AO493" i="27"/>
  <c r="AK493" i="27"/>
  <c r="AN493" i="27" s="1"/>
  <c r="AJ493" i="27"/>
  <c r="AU492" i="27"/>
  <c r="AL492" i="27" s="1"/>
  <c r="AR492" i="27"/>
  <c r="AP492" i="27"/>
  <c r="AO492" i="27"/>
  <c r="AK492" i="27"/>
  <c r="AN492" i="27" s="1"/>
  <c r="AJ492" i="27"/>
  <c r="AU491" i="27"/>
  <c r="AL491" i="27" s="1"/>
  <c r="AR491" i="27"/>
  <c r="AP491" i="27"/>
  <c r="AO491" i="27"/>
  <c r="AK491" i="27"/>
  <c r="AN491" i="27" s="1"/>
  <c r="AJ491" i="27"/>
  <c r="AU490" i="27"/>
  <c r="AL490" i="27" s="1"/>
  <c r="AR490" i="27"/>
  <c r="AP490" i="27"/>
  <c r="AO490" i="27"/>
  <c r="AK490" i="27"/>
  <c r="AN490" i="27" s="1"/>
  <c r="AJ490" i="27"/>
  <c r="AU489" i="27"/>
  <c r="AL489" i="27" s="1"/>
  <c r="AR489" i="27"/>
  <c r="AP489" i="27"/>
  <c r="AO489" i="27"/>
  <c r="AK489" i="27"/>
  <c r="AN489" i="27" s="1"/>
  <c r="AJ489" i="27"/>
  <c r="AU488" i="27"/>
  <c r="AL488" i="27" s="1"/>
  <c r="AR488" i="27"/>
  <c r="AP488" i="27"/>
  <c r="AO488" i="27"/>
  <c r="AK488" i="27"/>
  <c r="AN488" i="27" s="1"/>
  <c r="AJ488" i="27"/>
  <c r="AU487" i="27"/>
  <c r="AL487" i="27" s="1"/>
  <c r="AR487" i="27"/>
  <c r="AP487" i="27"/>
  <c r="AO487" i="27"/>
  <c r="AK487" i="27"/>
  <c r="AN487" i="27" s="1"/>
  <c r="AJ487" i="27"/>
  <c r="AU486" i="27"/>
  <c r="AL486" i="27" s="1"/>
  <c r="AR486" i="27"/>
  <c r="AP486" i="27"/>
  <c r="AO486" i="27"/>
  <c r="AK486" i="27"/>
  <c r="AN486" i="27" s="1"/>
  <c r="AJ486" i="27"/>
  <c r="AU485" i="27"/>
  <c r="AL485" i="27" s="1"/>
  <c r="AR485" i="27"/>
  <c r="AP485" i="27"/>
  <c r="AO485" i="27"/>
  <c r="AK485" i="27"/>
  <c r="AN485" i="27" s="1"/>
  <c r="AJ485" i="27"/>
  <c r="AU484" i="27"/>
  <c r="AL484" i="27" s="1"/>
  <c r="AR484" i="27"/>
  <c r="AP484" i="27"/>
  <c r="AO484" i="27"/>
  <c r="AK484" i="27"/>
  <c r="AN484" i="27" s="1"/>
  <c r="AJ484" i="27"/>
  <c r="AU483" i="27"/>
  <c r="AL483" i="27" s="1"/>
  <c r="AR483" i="27"/>
  <c r="AP483" i="27"/>
  <c r="AO483" i="27"/>
  <c r="AK483" i="27"/>
  <c r="AN483" i="27" s="1"/>
  <c r="AJ483" i="27"/>
  <c r="AU482" i="27"/>
  <c r="AL482" i="27" s="1"/>
  <c r="AR482" i="27"/>
  <c r="AP482" i="27"/>
  <c r="AO482" i="27"/>
  <c r="AK482" i="27"/>
  <c r="AN482" i="27" s="1"/>
  <c r="AJ482" i="27"/>
  <c r="AU481" i="27"/>
  <c r="AL481" i="27" s="1"/>
  <c r="AR481" i="27"/>
  <c r="AP481" i="27"/>
  <c r="AO481" i="27"/>
  <c r="AK481" i="27"/>
  <c r="AN481" i="27" s="1"/>
  <c r="AJ481" i="27"/>
  <c r="AU480" i="27"/>
  <c r="AL480" i="27" s="1"/>
  <c r="AR480" i="27"/>
  <c r="AP480" i="27"/>
  <c r="AO480" i="27"/>
  <c r="AK480" i="27"/>
  <c r="AN480" i="27" s="1"/>
  <c r="AJ480" i="27"/>
  <c r="AU479" i="27"/>
  <c r="AL479" i="27" s="1"/>
  <c r="AR479" i="27"/>
  <c r="AP479" i="27"/>
  <c r="AO479" i="27"/>
  <c r="AK479" i="27"/>
  <c r="AN479" i="27" s="1"/>
  <c r="AJ479" i="27"/>
  <c r="AU478" i="27"/>
  <c r="AL478" i="27" s="1"/>
  <c r="AR478" i="27"/>
  <c r="AP478" i="27"/>
  <c r="AO478" i="27"/>
  <c r="AK478" i="27"/>
  <c r="AN478" i="27" s="1"/>
  <c r="AJ478" i="27"/>
  <c r="AU477" i="27"/>
  <c r="AL477" i="27" s="1"/>
  <c r="AR477" i="27"/>
  <c r="AP477" i="27"/>
  <c r="AO477" i="27"/>
  <c r="AK477" i="27"/>
  <c r="AN477" i="27" s="1"/>
  <c r="AJ477" i="27"/>
  <c r="AU476" i="27"/>
  <c r="AL476" i="27" s="1"/>
  <c r="AR476" i="27"/>
  <c r="AP476" i="27"/>
  <c r="AO476" i="27"/>
  <c r="AK476" i="27"/>
  <c r="AN476" i="27" s="1"/>
  <c r="AJ476" i="27"/>
  <c r="AU475" i="27"/>
  <c r="AL475" i="27" s="1"/>
  <c r="AR475" i="27"/>
  <c r="AP475" i="27"/>
  <c r="AO475" i="27"/>
  <c r="AK475" i="27"/>
  <c r="AN475" i="27" s="1"/>
  <c r="AJ475" i="27"/>
  <c r="AU474" i="27"/>
  <c r="AL474" i="27" s="1"/>
  <c r="AR474" i="27"/>
  <c r="AP474" i="27"/>
  <c r="AO474" i="27"/>
  <c r="AK474" i="27"/>
  <c r="AN474" i="27" s="1"/>
  <c r="AJ474" i="27"/>
  <c r="AU473" i="27"/>
  <c r="AL473" i="27" s="1"/>
  <c r="AR473" i="27"/>
  <c r="AP473" i="27"/>
  <c r="AO473" i="27"/>
  <c r="AK473" i="27"/>
  <c r="AN473" i="27" s="1"/>
  <c r="AJ473" i="27"/>
  <c r="AU472" i="27"/>
  <c r="AL472" i="27" s="1"/>
  <c r="AR472" i="27"/>
  <c r="AP472" i="27"/>
  <c r="AO472" i="27"/>
  <c r="AK472" i="27"/>
  <c r="AN472" i="27" s="1"/>
  <c r="AJ472" i="27"/>
  <c r="AU471" i="27"/>
  <c r="AL471" i="27" s="1"/>
  <c r="AR471" i="27"/>
  <c r="AP471" i="27"/>
  <c r="AO471" i="27"/>
  <c r="AK471" i="27"/>
  <c r="AN471" i="27" s="1"/>
  <c r="AJ471" i="27"/>
  <c r="AU470" i="27"/>
  <c r="AL470" i="27" s="1"/>
  <c r="AR470" i="27"/>
  <c r="AP470" i="27"/>
  <c r="AO470" i="27"/>
  <c r="AK470" i="27"/>
  <c r="AN470" i="27" s="1"/>
  <c r="AJ470" i="27"/>
  <c r="AU469" i="27"/>
  <c r="AL469" i="27" s="1"/>
  <c r="AR469" i="27"/>
  <c r="AP469" i="27"/>
  <c r="AO469" i="27"/>
  <c r="AK469" i="27"/>
  <c r="AN469" i="27" s="1"/>
  <c r="AJ469" i="27"/>
  <c r="AU468" i="27"/>
  <c r="AL468" i="27" s="1"/>
  <c r="AR468" i="27"/>
  <c r="AP468" i="27"/>
  <c r="AO468" i="27"/>
  <c r="AK468" i="27"/>
  <c r="AN468" i="27" s="1"/>
  <c r="AJ468" i="27"/>
  <c r="AU467" i="27"/>
  <c r="AL467" i="27" s="1"/>
  <c r="AR467" i="27"/>
  <c r="AP467" i="27"/>
  <c r="AO467" i="27"/>
  <c r="AK467" i="27"/>
  <c r="AN467" i="27" s="1"/>
  <c r="AJ467" i="27"/>
  <c r="AU466" i="27"/>
  <c r="AL466" i="27" s="1"/>
  <c r="AR466" i="27"/>
  <c r="AP466" i="27"/>
  <c r="AO466" i="27"/>
  <c r="AK466" i="27"/>
  <c r="AN466" i="27" s="1"/>
  <c r="AJ466" i="27"/>
  <c r="AU465" i="27"/>
  <c r="AL465" i="27" s="1"/>
  <c r="AR465" i="27"/>
  <c r="AP465" i="27"/>
  <c r="AO465" i="27"/>
  <c r="AK465" i="27"/>
  <c r="AN465" i="27" s="1"/>
  <c r="AJ465" i="27"/>
  <c r="AU464" i="27"/>
  <c r="AL464" i="27" s="1"/>
  <c r="AR464" i="27"/>
  <c r="AP464" i="27"/>
  <c r="AO464" i="27"/>
  <c r="AK464" i="27"/>
  <c r="AN464" i="27" s="1"/>
  <c r="AJ464" i="27"/>
  <c r="AU463" i="27"/>
  <c r="AL463" i="27" s="1"/>
  <c r="AR463" i="27"/>
  <c r="AP463" i="27"/>
  <c r="AO463" i="27"/>
  <c r="AK463" i="27"/>
  <c r="AN463" i="27" s="1"/>
  <c r="AJ463" i="27"/>
  <c r="AU462" i="27"/>
  <c r="AL462" i="27" s="1"/>
  <c r="AR462" i="27"/>
  <c r="AP462" i="27"/>
  <c r="AO462" i="27"/>
  <c r="AK462" i="27"/>
  <c r="AN462" i="27" s="1"/>
  <c r="AJ462" i="27"/>
  <c r="AU461" i="27"/>
  <c r="AL461" i="27" s="1"/>
  <c r="AR461" i="27"/>
  <c r="AP461" i="27"/>
  <c r="AO461" i="27"/>
  <c r="AK461" i="27"/>
  <c r="AN461" i="27" s="1"/>
  <c r="AJ461" i="27"/>
  <c r="AU460" i="27"/>
  <c r="AL460" i="27" s="1"/>
  <c r="AR460" i="27"/>
  <c r="AP460" i="27"/>
  <c r="AO460" i="27"/>
  <c r="AK460" i="27"/>
  <c r="AN460" i="27" s="1"/>
  <c r="AJ460" i="27"/>
  <c r="AU459" i="27"/>
  <c r="AL459" i="27" s="1"/>
  <c r="AR459" i="27"/>
  <c r="AP459" i="27"/>
  <c r="AO459" i="27"/>
  <c r="AK459" i="27"/>
  <c r="AN459" i="27" s="1"/>
  <c r="AJ459" i="27"/>
  <c r="AU458" i="27"/>
  <c r="AL458" i="27" s="1"/>
  <c r="AR458" i="27"/>
  <c r="AP458" i="27"/>
  <c r="AO458" i="27"/>
  <c r="AK458" i="27"/>
  <c r="AN458" i="27" s="1"/>
  <c r="AJ458" i="27"/>
  <c r="AU457" i="27"/>
  <c r="AL457" i="27" s="1"/>
  <c r="AR457" i="27"/>
  <c r="AP457" i="27"/>
  <c r="AO457" i="27"/>
  <c r="AK457" i="27"/>
  <c r="AN457" i="27" s="1"/>
  <c r="AJ457" i="27"/>
  <c r="AU456" i="27"/>
  <c r="AL456" i="27" s="1"/>
  <c r="AR456" i="27"/>
  <c r="AP456" i="27"/>
  <c r="AO456" i="27"/>
  <c r="AK456" i="27"/>
  <c r="AN456" i="27" s="1"/>
  <c r="AJ456" i="27"/>
  <c r="AU455" i="27"/>
  <c r="AL455" i="27" s="1"/>
  <c r="AR455" i="27"/>
  <c r="AP455" i="27"/>
  <c r="AO455" i="27"/>
  <c r="AK455" i="27"/>
  <c r="AN455" i="27" s="1"/>
  <c r="AJ455" i="27"/>
  <c r="AU454" i="27"/>
  <c r="AL454" i="27" s="1"/>
  <c r="AR454" i="27"/>
  <c r="AP454" i="27"/>
  <c r="AO454" i="27"/>
  <c r="AK454" i="27"/>
  <c r="AN454" i="27" s="1"/>
  <c r="AJ454" i="27"/>
  <c r="AU453" i="27"/>
  <c r="AL453" i="27" s="1"/>
  <c r="AR453" i="27"/>
  <c r="AP453" i="27"/>
  <c r="AO453" i="27"/>
  <c r="AK453" i="27"/>
  <c r="AN453" i="27" s="1"/>
  <c r="AJ453" i="27"/>
  <c r="AU452" i="27"/>
  <c r="AL452" i="27" s="1"/>
  <c r="AR452" i="27"/>
  <c r="AP452" i="27"/>
  <c r="AO452" i="27"/>
  <c r="AK452" i="27"/>
  <c r="AN452" i="27" s="1"/>
  <c r="AJ452" i="27"/>
  <c r="AU451" i="27"/>
  <c r="AL451" i="27" s="1"/>
  <c r="AR451" i="27"/>
  <c r="AP451" i="27"/>
  <c r="AO451" i="27"/>
  <c r="AK451" i="27"/>
  <c r="AN451" i="27" s="1"/>
  <c r="AJ451" i="27"/>
  <c r="AU450" i="27"/>
  <c r="AL450" i="27" s="1"/>
  <c r="AR450" i="27"/>
  <c r="AP450" i="27"/>
  <c r="AO450" i="27"/>
  <c r="AK450" i="27"/>
  <c r="AN450" i="27" s="1"/>
  <c r="AJ450" i="27"/>
  <c r="AU449" i="27"/>
  <c r="AL449" i="27" s="1"/>
  <c r="AR449" i="27"/>
  <c r="AP449" i="27"/>
  <c r="AO449" i="27"/>
  <c r="AK449" i="27"/>
  <c r="AN449" i="27" s="1"/>
  <c r="AJ449" i="27"/>
  <c r="AU448" i="27"/>
  <c r="AL448" i="27" s="1"/>
  <c r="AR448" i="27"/>
  <c r="AP448" i="27"/>
  <c r="AO448" i="27"/>
  <c r="AK448" i="27"/>
  <c r="AN448" i="27" s="1"/>
  <c r="AJ448" i="27"/>
  <c r="AU447" i="27"/>
  <c r="AL447" i="27" s="1"/>
  <c r="AR447" i="27"/>
  <c r="AP447" i="27"/>
  <c r="AO447" i="27"/>
  <c r="AK447" i="27"/>
  <c r="AN447" i="27" s="1"/>
  <c r="AJ447" i="27"/>
  <c r="AU446" i="27"/>
  <c r="AL446" i="27" s="1"/>
  <c r="AR446" i="27"/>
  <c r="AP446" i="27"/>
  <c r="AO446" i="27"/>
  <c r="AK446" i="27"/>
  <c r="AN446" i="27" s="1"/>
  <c r="AJ446" i="27"/>
  <c r="AU445" i="27"/>
  <c r="AL445" i="27" s="1"/>
  <c r="AR445" i="27"/>
  <c r="AP445" i="27"/>
  <c r="AO445" i="27"/>
  <c r="AK445" i="27"/>
  <c r="AN445" i="27" s="1"/>
  <c r="AJ445" i="27"/>
  <c r="AU444" i="27"/>
  <c r="AL444" i="27" s="1"/>
  <c r="AR444" i="27"/>
  <c r="AP444" i="27"/>
  <c r="AO444" i="27"/>
  <c r="AK444" i="27"/>
  <c r="AN444" i="27" s="1"/>
  <c r="AJ444" i="27"/>
  <c r="AU443" i="27"/>
  <c r="AL443" i="27" s="1"/>
  <c r="AR443" i="27"/>
  <c r="AP443" i="27"/>
  <c r="AO443" i="27"/>
  <c r="AK443" i="27"/>
  <c r="AN443" i="27" s="1"/>
  <c r="AJ443" i="27"/>
  <c r="AU442" i="27"/>
  <c r="AL442" i="27" s="1"/>
  <c r="AR442" i="27"/>
  <c r="AP442" i="27"/>
  <c r="AO442" i="27"/>
  <c r="AK442" i="27"/>
  <c r="AN442" i="27" s="1"/>
  <c r="AJ442" i="27"/>
  <c r="AU441" i="27"/>
  <c r="AL441" i="27" s="1"/>
  <c r="AR441" i="27"/>
  <c r="AP441" i="27"/>
  <c r="AO441" i="27"/>
  <c r="AK441" i="27"/>
  <c r="AN441" i="27" s="1"/>
  <c r="AJ441" i="27"/>
  <c r="AU440" i="27"/>
  <c r="AL440" i="27" s="1"/>
  <c r="AR440" i="27"/>
  <c r="AP440" i="27"/>
  <c r="AO440" i="27"/>
  <c r="AK440" i="27"/>
  <c r="AN440" i="27" s="1"/>
  <c r="AJ440" i="27"/>
  <c r="AU439" i="27"/>
  <c r="AL439" i="27" s="1"/>
  <c r="AR439" i="27"/>
  <c r="AP439" i="27"/>
  <c r="AO439" i="27"/>
  <c r="AK439" i="27"/>
  <c r="AN439" i="27" s="1"/>
  <c r="AJ439" i="27"/>
  <c r="AU438" i="27"/>
  <c r="AL438" i="27" s="1"/>
  <c r="AR438" i="27"/>
  <c r="AP438" i="27"/>
  <c r="AO438" i="27"/>
  <c r="AK438" i="27"/>
  <c r="AN438" i="27" s="1"/>
  <c r="AJ438" i="27"/>
  <c r="AU437" i="27"/>
  <c r="AL437" i="27" s="1"/>
  <c r="AR437" i="27"/>
  <c r="AP437" i="27"/>
  <c r="AO437" i="27"/>
  <c r="AK437" i="27"/>
  <c r="AN437" i="27" s="1"/>
  <c r="AJ437" i="27"/>
  <c r="AU436" i="27"/>
  <c r="AL436" i="27" s="1"/>
  <c r="AR436" i="27"/>
  <c r="AP436" i="27"/>
  <c r="AO436" i="27"/>
  <c r="AK436" i="27"/>
  <c r="AN436" i="27" s="1"/>
  <c r="AJ436" i="27"/>
  <c r="AU435" i="27"/>
  <c r="AL435" i="27" s="1"/>
  <c r="AR435" i="27"/>
  <c r="AP435" i="27"/>
  <c r="AO435" i="27"/>
  <c r="AK435" i="27"/>
  <c r="AN435" i="27" s="1"/>
  <c r="AJ435" i="27"/>
  <c r="AU434" i="27"/>
  <c r="AL434" i="27" s="1"/>
  <c r="AR434" i="27"/>
  <c r="AP434" i="27"/>
  <c r="AO434" i="27"/>
  <c r="AK434" i="27"/>
  <c r="AN434" i="27" s="1"/>
  <c r="AJ434" i="27"/>
  <c r="AU433" i="27"/>
  <c r="AL433" i="27" s="1"/>
  <c r="AR433" i="27"/>
  <c r="AP433" i="27"/>
  <c r="AO433" i="27"/>
  <c r="AK433" i="27"/>
  <c r="AN433" i="27" s="1"/>
  <c r="AJ433" i="27"/>
  <c r="AU432" i="27"/>
  <c r="AL432" i="27" s="1"/>
  <c r="AR432" i="27"/>
  <c r="AP432" i="27"/>
  <c r="AO432" i="27"/>
  <c r="AK432" i="27"/>
  <c r="AN432" i="27" s="1"/>
  <c r="AJ432" i="27"/>
  <c r="AU431" i="27"/>
  <c r="AL431" i="27" s="1"/>
  <c r="AR431" i="27"/>
  <c r="AP431" i="27"/>
  <c r="AO431" i="27"/>
  <c r="AK431" i="27"/>
  <c r="AN431" i="27" s="1"/>
  <c r="AJ431" i="27"/>
  <c r="AU430" i="27"/>
  <c r="AL430" i="27" s="1"/>
  <c r="AR430" i="27"/>
  <c r="AP430" i="27"/>
  <c r="AO430" i="27"/>
  <c r="AK430" i="27"/>
  <c r="AN430" i="27" s="1"/>
  <c r="AJ430" i="27"/>
  <c r="AU429" i="27"/>
  <c r="AL429" i="27" s="1"/>
  <c r="AR429" i="27"/>
  <c r="AP429" i="27"/>
  <c r="AO429" i="27"/>
  <c r="AK429" i="27"/>
  <c r="AN429" i="27" s="1"/>
  <c r="AJ429" i="27"/>
  <c r="AU428" i="27"/>
  <c r="AL428" i="27" s="1"/>
  <c r="AR428" i="27"/>
  <c r="AP428" i="27"/>
  <c r="AO428" i="27"/>
  <c r="AK428" i="27"/>
  <c r="AN428" i="27" s="1"/>
  <c r="AJ428" i="27"/>
  <c r="AU427" i="27"/>
  <c r="AL427" i="27" s="1"/>
  <c r="AR427" i="27"/>
  <c r="AP427" i="27"/>
  <c r="AO427" i="27"/>
  <c r="AK427" i="27"/>
  <c r="AN427" i="27" s="1"/>
  <c r="AJ427" i="27"/>
  <c r="AU426" i="27"/>
  <c r="AL426" i="27" s="1"/>
  <c r="AR426" i="27"/>
  <c r="AP426" i="27"/>
  <c r="AO426" i="27"/>
  <c r="AK426" i="27"/>
  <c r="AN426" i="27" s="1"/>
  <c r="AJ426" i="27"/>
  <c r="AU425" i="27"/>
  <c r="AL425" i="27" s="1"/>
  <c r="AR425" i="27"/>
  <c r="AP425" i="27"/>
  <c r="AO425" i="27"/>
  <c r="AK425" i="27"/>
  <c r="AN425" i="27" s="1"/>
  <c r="AJ425" i="27"/>
  <c r="AU424" i="27"/>
  <c r="AL424" i="27" s="1"/>
  <c r="AR424" i="27"/>
  <c r="AP424" i="27"/>
  <c r="AO424" i="27"/>
  <c r="AK424" i="27"/>
  <c r="AN424" i="27" s="1"/>
  <c r="AJ424" i="27"/>
  <c r="AU423" i="27"/>
  <c r="AL423" i="27" s="1"/>
  <c r="AR423" i="27"/>
  <c r="AP423" i="27"/>
  <c r="AO423" i="27"/>
  <c r="AK423" i="27"/>
  <c r="AN423" i="27" s="1"/>
  <c r="AJ423" i="27"/>
  <c r="AU422" i="27"/>
  <c r="AL422" i="27" s="1"/>
  <c r="AR422" i="27"/>
  <c r="AP422" i="27"/>
  <c r="AO422" i="27"/>
  <c r="AK422" i="27"/>
  <c r="AN422" i="27" s="1"/>
  <c r="AJ422" i="27"/>
  <c r="AU421" i="27"/>
  <c r="AL421" i="27" s="1"/>
  <c r="AR421" i="27"/>
  <c r="AP421" i="27"/>
  <c r="AO421" i="27"/>
  <c r="AK421" i="27"/>
  <c r="AN421" i="27" s="1"/>
  <c r="AJ421" i="27"/>
  <c r="AU420" i="27"/>
  <c r="AL420" i="27" s="1"/>
  <c r="AR420" i="27"/>
  <c r="AP420" i="27"/>
  <c r="AO420" i="27"/>
  <c r="AK420" i="27"/>
  <c r="AN420" i="27" s="1"/>
  <c r="AJ420" i="27"/>
  <c r="AU419" i="27"/>
  <c r="AL419" i="27" s="1"/>
  <c r="AR419" i="27"/>
  <c r="AP419" i="27"/>
  <c r="AO419" i="27"/>
  <c r="AK419" i="27"/>
  <c r="AN419" i="27" s="1"/>
  <c r="AJ419" i="27"/>
  <c r="AU418" i="27"/>
  <c r="AL418" i="27" s="1"/>
  <c r="AR418" i="27"/>
  <c r="AP418" i="27"/>
  <c r="AO418" i="27"/>
  <c r="AK418" i="27"/>
  <c r="AN418" i="27" s="1"/>
  <c r="AJ418" i="27"/>
  <c r="AU417" i="27"/>
  <c r="AL417" i="27" s="1"/>
  <c r="AR417" i="27"/>
  <c r="AP417" i="27"/>
  <c r="AO417" i="27"/>
  <c r="AK417" i="27"/>
  <c r="AN417" i="27" s="1"/>
  <c r="AJ417" i="27"/>
  <c r="AU416" i="27"/>
  <c r="AL416" i="27" s="1"/>
  <c r="AR416" i="27"/>
  <c r="AP416" i="27"/>
  <c r="AO416" i="27"/>
  <c r="AK416" i="27"/>
  <c r="AN416" i="27" s="1"/>
  <c r="AJ416" i="27"/>
  <c r="AU415" i="27"/>
  <c r="AL415" i="27" s="1"/>
  <c r="AR415" i="27"/>
  <c r="AP415" i="27"/>
  <c r="AO415" i="27"/>
  <c r="AK415" i="27"/>
  <c r="AN415" i="27" s="1"/>
  <c r="AJ415" i="27"/>
  <c r="AU414" i="27"/>
  <c r="AL414" i="27" s="1"/>
  <c r="AR414" i="27"/>
  <c r="AP414" i="27"/>
  <c r="AO414" i="27"/>
  <c r="AK414" i="27"/>
  <c r="AN414" i="27" s="1"/>
  <c r="AJ414" i="27"/>
  <c r="AU413" i="27"/>
  <c r="AL413" i="27" s="1"/>
  <c r="AR413" i="27"/>
  <c r="AP413" i="27"/>
  <c r="AO413" i="27"/>
  <c r="AK413" i="27"/>
  <c r="AN413" i="27" s="1"/>
  <c r="AJ413" i="27"/>
  <c r="AU412" i="27"/>
  <c r="AL412" i="27" s="1"/>
  <c r="AR412" i="27"/>
  <c r="AP412" i="27"/>
  <c r="AO412" i="27"/>
  <c r="AK412" i="27"/>
  <c r="AN412" i="27" s="1"/>
  <c r="AJ412" i="27"/>
  <c r="AU411" i="27"/>
  <c r="AL411" i="27" s="1"/>
  <c r="AR411" i="27"/>
  <c r="AP411" i="27"/>
  <c r="AO411" i="27"/>
  <c r="AK411" i="27"/>
  <c r="AN411" i="27" s="1"/>
  <c r="AJ411" i="27"/>
  <c r="AU410" i="27"/>
  <c r="AL410" i="27" s="1"/>
  <c r="AR410" i="27"/>
  <c r="AP410" i="27"/>
  <c r="AO410" i="27"/>
  <c r="AK410" i="27"/>
  <c r="AN410" i="27" s="1"/>
  <c r="AJ410" i="27"/>
  <c r="AU409" i="27"/>
  <c r="AL409" i="27" s="1"/>
  <c r="AR409" i="27"/>
  <c r="AP409" i="27"/>
  <c r="AO409" i="27"/>
  <c r="AK409" i="27"/>
  <c r="AN409" i="27" s="1"/>
  <c r="AJ409" i="27"/>
  <c r="AU408" i="27"/>
  <c r="AL408" i="27" s="1"/>
  <c r="AR408" i="27"/>
  <c r="AP408" i="27"/>
  <c r="AO408" i="27"/>
  <c r="AK408" i="27"/>
  <c r="AN408" i="27" s="1"/>
  <c r="AJ408" i="27"/>
  <c r="AU407" i="27"/>
  <c r="AL407" i="27" s="1"/>
  <c r="AR407" i="27"/>
  <c r="AP407" i="27"/>
  <c r="AO407" i="27"/>
  <c r="AK407" i="27"/>
  <c r="AN407" i="27" s="1"/>
  <c r="AJ407" i="27"/>
  <c r="AU406" i="27"/>
  <c r="AL406" i="27" s="1"/>
  <c r="AR406" i="27"/>
  <c r="AP406" i="27"/>
  <c r="AO406" i="27"/>
  <c r="AK406" i="27"/>
  <c r="AN406" i="27" s="1"/>
  <c r="AJ406" i="27"/>
  <c r="AU405" i="27"/>
  <c r="AL405" i="27" s="1"/>
  <c r="AR405" i="27"/>
  <c r="AP405" i="27"/>
  <c r="AO405" i="27"/>
  <c r="AK405" i="27"/>
  <c r="AN405" i="27" s="1"/>
  <c r="AJ405" i="27"/>
  <c r="AU404" i="27"/>
  <c r="AL404" i="27" s="1"/>
  <c r="AR404" i="27"/>
  <c r="AP404" i="27"/>
  <c r="AO404" i="27"/>
  <c r="AK404" i="27"/>
  <c r="AN404" i="27" s="1"/>
  <c r="AJ404" i="27"/>
  <c r="AU403" i="27"/>
  <c r="AL403" i="27" s="1"/>
  <c r="AR403" i="27"/>
  <c r="AP403" i="27"/>
  <c r="AO403" i="27"/>
  <c r="AK403" i="27"/>
  <c r="AN403" i="27" s="1"/>
  <c r="AJ403" i="27"/>
  <c r="AU402" i="27"/>
  <c r="AL402" i="27" s="1"/>
  <c r="AR402" i="27"/>
  <c r="AP402" i="27"/>
  <c r="AO402" i="27"/>
  <c r="AK402" i="27"/>
  <c r="AN402" i="27" s="1"/>
  <c r="AJ402" i="27"/>
  <c r="AU401" i="27"/>
  <c r="AL401" i="27" s="1"/>
  <c r="AR401" i="27"/>
  <c r="AP401" i="27"/>
  <c r="AO401" i="27"/>
  <c r="AK401" i="27"/>
  <c r="AN401" i="27" s="1"/>
  <c r="AJ401" i="27"/>
  <c r="AU400" i="27"/>
  <c r="AL400" i="27" s="1"/>
  <c r="AR400" i="27"/>
  <c r="AP400" i="27"/>
  <c r="AO400" i="27"/>
  <c r="AK400" i="27"/>
  <c r="AN400" i="27" s="1"/>
  <c r="AJ400" i="27"/>
  <c r="AU399" i="27"/>
  <c r="AL399" i="27" s="1"/>
  <c r="AR399" i="27"/>
  <c r="AP399" i="27"/>
  <c r="AO399" i="27"/>
  <c r="AK399" i="27"/>
  <c r="AN399" i="27" s="1"/>
  <c r="AJ399" i="27"/>
  <c r="AU398" i="27"/>
  <c r="AL398" i="27" s="1"/>
  <c r="AR398" i="27"/>
  <c r="AP398" i="27"/>
  <c r="AO398" i="27"/>
  <c r="AK398" i="27"/>
  <c r="AN398" i="27" s="1"/>
  <c r="AJ398" i="27"/>
  <c r="AU397" i="27"/>
  <c r="AL397" i="27" s="1"/>
  <c r="AR397" i="27"/>
  <c r="AP397" i="27"/>
  <c r="AO397" i="27"/>
  <c r="AK397" i="27"/>
  <c r="AN397" i="27" s="1"/>
  <c r="AJ397" i="27"/>
  <c r="AU396" i="27"/>
  <c r="AL396" i="27" s="1"/>
  <c r="AR396" i="27"/>
  <c r="AP396" i="27"/>
  <c r="AO396" i="27"/>
  <c r="AK396" i="27"/>
  <c r="AN396" i="27" s="1"/>
  <c r="AJ396" i="27"/>
  <c r="AU395" i="27"/>
  <c r="AL395" i="27" s="1"/>
  <c r="AR395" i="27"/>
  <c r="AP395" i="27"/>
  <c r="AO395" i="27"/>
  <c r="AK395" i="27"/>
  <c r="AN395" i="27" s="1"/>
  <c r="AJ395" i="27"/>
  <c r="AU394" i="27"/>
  <c r="AL394" i="27" s="1"/>
  <c r="AR394" i="27"/>
  <c r="AP394" i="27"/>
  <c r="AO394" i="27"/>
  <c r="AK394" i="27"/>
  <c r="AN394" i="27" s="1"/>
  <c r="AJ394" i="27"/>
  <c r="AU393" i="27"/>
  <c r="AL393" i="27" s="1"/>
  <c r="AR393" i="27"/>
  <c r="AP393" i="27"/>
  <c r="AO393" i="27"/>
  <c r="AK393" i="27"/>
  <c r="AN393" i="27" s="1"/>
  <c r="AJ393" i="27"/>
  <c r="AU392" i="27"/>
  <c r="AL392" i="27" s="1"/>
  <c r="AR392" i="27"/>
  <c r="AP392" i="27"/>
  <c r="AO392" i="27"/>
  <c r="AK392" i="27"/>
  <c r="AN392" i="27" s="1"/>
  <c r="AJ392" i="27"/>
  <c r="AU391" i="27"/>
  <c r="AL391" i="27" s="1"/>
  <c r="AR391" i="27"/>
  <c r="AP391" i="27"/>
  <c r="AO391" i="27"/>
  <c r="AK391" i="27"/>
  <c r="AN391" i="27" s="1"/>
  <c r="AJ391" i="27"/>
  <c r="AU390" i="27"/>
  <c r="AL390" i="27" s="1"/>
  <c r="AR390" i="27"/>
  <c r="AP390" i="27"/>
  <c r="AO390" i="27"/>
  <c r="AK390" i="27"/>
  <c r="AN390" i="27" s="1"/>
  <c r="AJ390" i="27"/>
  <c r="AU389" i="27"/>
  <c r="AL389" i="27" s="1"/>
  <c r="AR389" i="27"/>
  <c r="AP389" i="27"/>
  <c r="AO389" i="27"/>
  <c r="AK389" i="27"/>
  <c r="AN389" i="27" s="1"/>
  <c r="AJ389" i="27"/>
  <c r="AU388" i="27"/>
  <c r="AL388" i="27" s="1"/>
  <c r="AR388" i="27"/>
  <c r="AP388" i="27"/>
  <c r="AO388" i="27"/>
  <c r="AK388" i="27"/>
  <c r="AN388" i="27" s="1"/>
  <c r="AJ388" i="27"/>
  <c r="AU387" i="27"/>
  <c r="AL387" i="27" s="1"/>
  <c r="AR387" i="27"/>
  <c r="AP387" i="27"/>
  <c r="AO387" i="27"/>
  <c r="AK387" i="27"/>
  <c r="AN387" i="27" s="1"/>
  <c r="AJ387" i="27"/>
  <c r="AU386" i="27"/>
  <c r="AL386" i="27" s="1"/>
  <c r="AR386" i="27"/>
  <c r="AP386" i="27"/>
  <c r="AO386" i="27"/>
  <c r="AK386" i="27"/>
  <c r="AN386" i="27" s="1"/>
  <c r="AJ386" i="27"/>
  <c r="AU385" i="27"/>
  <c r="AL385" i="27" s="1"/>
  <c r="AR385" i="27"/>
  <c r="AP385" i="27"/>
  <c r="AO385" i="27"/>
  <c r="AK385" i="27"/>
  <c r="AN385" i="27" s="1"/>
  <c r="AJ385" i="27"/>
  <c r="AU384" i="27"/>
  <c r="AL384" i="27" s="1"/>
  <c r="AR384" i="27"/>
  <c r="AP384" i="27"/>
  <c r="AO384" i="27"/>
  <c r="AK384" i="27"/>
  <c r="AN384" i="27" s="1"/>
  <c r="AJ384" i="27"/>
  <c r="AU383" i="27"/>
  <c r="AL383" i="27" s="1"/>
  <c r="AR383" i="27"/>
  <c r="AP383" i="27"/>
  <c r="AO383" i="27"/>
  <c r="AK383" i="27"/>
  <c r="AN383" i="27" s="1"/>
  <c r="AJ383" i="27"/>
  <c r="AU382" i="27"/>
  <c r="AL382" i="27" s="1"/>
  <c r="AR382" i="27"/>
  <c r="AP382" i="27"/>
  <c r="AO382" i="27"/>
  <c r="AK382" i="27"/>
  <c r="AN382" i="27" s="1"/>
  <c r="AJ382" i="27"/>
  <c r="AU381" i="27"/>
  <c r="AL381" i="27" s="1"/>
  <c r="AR381" i="27"/>
  <c r="AP381" i="27"/>
  <c r="AO381" i="27"/>
  <c r="AK381" i="27"/>
  <c r="AN381" i="27" s="1"/>
  <c r="AJ381" i="27"/>
  <c r="AU380" i="27"/>
  <c r="AL380" i="27" s="1"/>
  <c r="AR380" i="27"/>
  <c r="AP380" i="27"/>
  <c r="AO380" i="27"/>
  <c r="AK380" i="27"/>
  <c r="AN380" i="27" s="1"/>
  <c r="AJ380" i="27"/>
  <c r="AU379" i="27"/>
  <c r="AL379" i="27" s="1"/>
  <c r="AR379" i="27"/>
  <c r="AP379" i="27"/>
  <c r="AO379" i="27"/>
  <c r="AK379" i="27"/>
  <c r="AN379" i="27" s="1"/>
  <c r="AJ379" i="27"/>
  <c r="AU378" i="27"/>
  <c r="AL378" i="27" s="1"/>
  <c r="AR378" i="27"/>
  <c r="AP378" i="27"/>
  <c r="AO378" i="27"/>
  <c r="AK378" i="27"/>
  <c r="AN378" i="27" s="1"/>
  <c r="AJ378" i="27"/>
  <c r="AU377" i="27"/>
  <c r="AL377" i="27" s="1"/>
  <c r="AR377" i="27"/>
  <c r="AP377" i="27"/>
  <c r="AO377" i="27"/>
  <c r="AK377" i="27"/>
  <c r="AN377" i="27" s="1"/>
  <c r="AJ377" i="27"/>
  <c r="AU376" i="27"/>
  <c r="AL376" i="27" s="1"/>
  <c r="AR376" i="27"/>
  <c r="AP376" i="27"/>
  <c r="AO376" i="27"/>
  <c r="AK376" i="27"/>
  <c r="AN376" i="27" s="1"/>
  <c r="AJ376" i="27"/>
  <c r="AU375" i="27"/>
  <c r="AL375" i="27" s="1"/>
  <c r="AR375" i="27"/>
  <c r="AP375" i="27"/>
  <c r="AO375" i="27"/>
  <c r="AK375" i="27"/>
  <c r="AN375" i="27" s="1"/>
  <c r="AJ375" i="27"/>
  <c r="AU374" i="27"/>
  <c r="AL374" i="27" s="1"/>
  <c r="AR374" i="27"/>
  <c r="AP374" i="27"/>
  <c r="AO374" i="27"/>
  <c r="AK374" i="27"/>
  <c r="AN374" i="27" s="1"/>
  <c r="AJ374" i="27"/>
  <c r="AU373" i="27"/>
  <c r="AL373" i="27" s="1"/>
  <c r="AR373" i="27"/>
  <c r="AP373" i="27"/>
  <c r="AO373" i="27"/>
  <c r="AK373" i="27"/>
  <c r="AN373" i="27" s="1"/>
  <c r="AJ373" i="27"/>
  <c r="AU372" i="27"/>
  <c r="AL372" i="27" s="1"/>
  <c r="AR372" i="27"/>
  <c r="AP372" i="27"/>
  <c r="AO372" i="27"/>
  <c r="AK372" i="27"/>
  <c r="AN372" i="27" s="1"/>
  <c r="AJ372" i="27"/>
  <c r="AU371" i="27"/>
  <c r="AL371" i="27" s="1"/>
  <c r="AR371" i="27"/>
  <c r="AP371" i="27"/>
  <c r="AO371" i="27"/>
  <c r="AK371" i="27"/>
  <c r="AN371" i="27" s="1"/>
  <c r="AJ371" i="27"/>
  <c r="AU370" i="27"/>
  <c r="AL370" i="27" s="1"/>
  <c r="AR370" i="27"/>
  <c r="AP370" i="27"/>
  <c r="AO370" i="27"/>
  <c r="AK370" i="27"/>
  <c r="AN370" i="27" s="1"/>
  <c r="AJ370" i="27"/>
  <c r="AU369" i="27"/>
  <c r="AL369" i="27" s="1"/>
  <c r="AR369" i="27"/>
  <c r="AP369" i="27"/>
  <c r="AO369" i="27"/>
  <c r="AK369" i="27"/>
  <c r="AN369" i="27" s="1"/>
  <c r="AJ369" i="27"/>
  <c r="AU368" i="27"/>
  <c r="AL368" i="27" s="1"/>
  <c r="AR368" i="27"/>
  <c r="AP368" i="27"/>
  <c r="AO368" i="27"/>
  <c r="AK368" i="27"/>
  <c r="AN368" i="27" s="1"/>
  <c r="AJ368" i="27"/>
  <c r="AU367" i="27"/>
  <c r="AL367" i="27" s="1"/>
  <c r="AR367" i="27"/>
  <c r="AP367" i="27"/>
  <c r="AO367" i="27"/>
  <c r="AK367" i="27"/>
  <c r="AN367" i="27" s="1"/>
  <c r="AJ367" i="27"/>
  <c r="AU366" i="27"/>
  <c r="AL366" i="27" s="1"/>
  <c r="AR366" i="27"/>
  <c r="AP366" i="27"/>
  <c r="AO366" i="27"/>
  <c r="AK366" i="27"/>
  <c r="AN366" i="27" s="1"/>
  <c r="AJ366" i="27"/>
  <c r="AU365" i="27"/>
  <c r="AL365" i="27" s="1"/>
  <c r="AR365" i="27"/>
  <c r="AP365" i="27"/>
  <c r="AO365" i="27"/>
  <c r="AK365" i="27"/>
  <c r="AN365" i="27" s="1"/>
  <c r="AJ365" i="27"/>
  <c r="AU364" i="27"/>
  <c r="AL364" i="27" s="1"/>
  <c r="AR364" i="27"/>
  <c r="AP364" i="27"/>
  <c r="AO364" i="27"/>
  <c r="AK364" i="27"/>
  <c r="AN364" i="27" s="1"/>
  <c r="AJ364" i="27"/>
  <c r="AU363" i="27"/>
  <c r="AL363" i="27" s="1"/>
  <c r="AR363" i="27"/>
  <c r="AP363" i="27"/>
  <c r="AO363" i="27"/>
  <c r="AK363" i="27"/>
  <c r="AN363" i="27" s="1"/>
  <c r="AJ363" i="27"/>
  <c r="AU362" i="27"/>
  <c r="AL362" i="27" s="1"/>
  <c r="AR362" i="27"/>
  <c r="AP362" i="27"/>
  <c r="AO362" i="27"/>
  <c r="AK362" i="27"/>
  <c r="AN362" i="27" s="1"/>
  <c r="AJ362" i="27"/>
  <c r="AU361" i="27"/>
  <c r="AL361" i="27" s="1"/>
  <c r="AR361" i="27"/>
  <c r="AP361" i="27"/>
  <c r="AO361" i="27"/>
  <c r="AK361" i="27"/>
  <c r="AN361" i="27" s="1"/>
  <c r="AJ361" i="27"/>
  <c r="AU360" i="27"/>
  <c r="AL360" i="27" s="1"/>
  <c r="AR360" i="27"/>
  <c r="AP360" i="27"/>
  <c r="AO360" i="27"/>
  <c r="AK360" i="27"/>
  <c r="AN360" i="27" s="1"/>
  <c r="AJ360" i="27"/>
  <c r="AU359" i="27"/>
  <c r="AL359" i="27" s="1"/>
  <c r="AR359" i="27"/>
  <c r="AP359" i="27"/>
  <c r="AO359" i="27"/>
  <c r="AK359" i="27"/>
  <c r="AN359" i="27" s="1"/>
  <c r="AJ359" i="27"/>
  <c r="AU358" i="27"/>
  <c r="AL358" i="27" s="1"/>
  <c r="AR358" i="27"/>
  <c r="AP358" i="27"/>
  <c r="AO358" i="27"/>
  <c r="AK358" i="27"/>
  <c r="AN358" i="27" s="1"/>
  <c r="AJ358" i="27"/>
  <c r="AU357" i="27"/>
  <c r="AL357" i="27" s="1"/>
  <c r="AR357" i="27"/>
  <c r="AP357" i="27"/>
  <c r="AO357" i="27"/>
  <c r="AK357" i="27"/>
  <c r="AN357" i="27" s="1"/>
  <c r="AJ357" i="27"/>
  <c r="AU356" i="27"/>
  <c r="AL356" i="27" s="1"/>
  <c r="AR356" i="27"/>
  <c r="AP356" i="27"/>
  <c r="AO356" i="27"/>
  <c r="AK356" i="27"/>
  <c r="AN356" i="27" s="1"/>
  <c r="AJ356" i="27"/>
  <c r="AU355" i="27"/>
  <c r="AL355" i="27" s="1"/>
  <c r="AR355" i="27"/>
  <c r="AP355" i="27"/>
  <c r="AO355" i="27"/>
  <c r="AK355" i="27"/>
  <c r="AN355" i="27" s="1"/>
  <c r="AJ355" i="27"/>
  <c r="AU354" i="27"/>
  <c r="AL354" i="27" s="1"/>
  <c r="AR354" i="27"/>
  <c r="AP354" i="27"/>
  <c r="AO354" i="27"/>
  <c r="AK354" i="27"/>
  <c r="AN354" i="27" s="1"/>
  <c r="AJ354" i="27"/>
  <c r="AU353" i="27"/>
  <c r="AL353" i="27" s="1"/>
  <c r="AR353" i="27"/>
  <c r="AP353" i="27"/>
  <c r="AO353" i="27"/>
  <c r="AK353" i="27"/>
  <c r="AN353" i="27" s="1"/>
  <c r="AJ353" i="27"/>
  <c r="AU352" i="27"/>
  <c r="AL352" i="27" s="1"/>
  <c r="AR352" i="27"/>
  <c r="AP352" i="27"/>
  <c r="AO352" i="27"/>
  <c r="AK352" i="27"/>
  <c r="AN352" i="27" s="1"/>
  <c r="AJ352" i="27"/>
  <c r="AU351" i="27"/>
  <c r="AL351" i="27" s="1"/>
  <c r="AR351" i="27"/>
  <c r="AP351" i="27"/>
  <c r="AO351" i="27"/>
  <c r="AK351" i="27"/>
  <c r="AN351" i="27" s="1"/>
  <c r="AJ351" i="27"/>
  <c r="AU350" i="27"/>
  <c r="AL350" i="27" s="1"/>
  <c r="AR350" i="27"/>
  <c r="AP350" i="27"/>
  <c r="AO350" i="27"/>
  <c r="AK350" i="27"/>
  <c r="AN350" i="27" s="1"/>
  <c r="AJ350" i="27"/>
  <c r="AU349" i="27"/>
  <c r="AL349" i="27" s="1"/>
  <c r="AR349" i="27"/>
  <c r="AP349" i="27"/>
  <c r="AO349" i="27"/>
  <c r="AK349" i="27"/>
  <c r="AN349" i="27" s="1"/>
  <c r="AJ349" i="27"/>
  <c r="AU348" i="27"/>
  <c r="AL348" i="27" s="1"/>
  <c r="AR348" i="27"/>
  <c r="AP348" i="27"/>
  <c r="AO348" i="27"/>
  <c r="AK348" i="27"/>
  <c r="AN348" i="27" s="1"/>
  <c r="AJ348" i="27"/>
  <c r="AU347" i="27"/>
  <c r="AL347" i="27" s="1"/>
  <c r="AR347" i="27"/>
  <c r="AP347" i="27"/>
  <c r="AO347" i="27"/>
  <c r="AK347" i="27"/>
  <c r="AN347" i="27" s="1"/>
  <c r="AJ347" i="27"/>
  <c r="AU346" i="27"/>
  <c r="AL346" i="27" s="1"/>
  <c r="AR346" i="27"/>
  <c r="AP346" i="27"/>
  <c r="AO346" i="27"/>
  <c r="AK346" i="27"/>
  <c r="AN346" i="27" s="1"/>
  <c r="AJ346" i="27"/>
  <c r="AU345" i="27"/>
  <c r="AL345" i="27" s="1"/>
  <c r="AR345" i="27"/>
  <c r="AP345" i="27"/>
  <c r="AO345" i="27"/>
  <c r="AK345" i="27"/>
  <c r="AN345" i="27" s="1"/>
  <c r="AJ345" i="27"/>
  <c r="AU344" i="27"/>
  <c r="AL344" i="27" s="1"/>
  <c r="AR344" i="27"/>
  <c r="AP344" i="27"/>
  <c r="AO344" i="27"/>
  <c r="AK344" i="27"/>
  <c r="AN344" i="27" s="1"/>
  <c r="AJ344" i="27"/>
  <c r="AU343" i="27"/>
  <c r="AL343" i="27" s="1"/>
  <c r="AR343" i="27"/>
  <c r="AP343" i="27"/>
  <c r="AO343" i="27"/>
  <c r="AK343" i="27"/>
  <c r="AN343" i="27" s="1"/>
  <c r="AJ343" i="27"/>
  <c r="AU342" i="27"/>
  <c r="AL342" i="27" s="1"/>
  <c r="AR342" i="27"/>
  <c r="AP342" i="27"/>
  <c r="AO342" i="27"/>
  <c r="AK342" i="27"/>
  <c r="AN342" i="27" s="1"/>
  <c r="AJ342" i="27"/>
  <c r="AU341" i="27"/>
  <c r="AL341" i="27" s="1"/>
  <c r="AR341" i="27"/>
  <c r="AP341" i="27"/>
  <c r="AO341" i="27"/>
  <c r="AK341" i="27"/>
  <c r="AN341" i="27" s="1"/>
  <c r="AJ341" i="27"/>
  <c r="AU340" i="27"/>
  <c r="AL340" i="27" s="1"/>
  <c r="AR340" i="27"/>
  <c r="AP340" i="27"/>
  <c r="AO340" i="27"/>
  <c r="AK340" i="27"/>
  <c r="AN340" i="27" s="1"/>
  <c r="AJ340" i="27"/>
  <c r="AU339" i="27"/>
  <c r="AL339" i="27" s="1"/>
  <c r="AR339" i="27"/>
  <c r="AP339" i="27"/>
  <c r="AO339" i="27"/>
  <c r="AK339" i="27"/>
  <c r="AN339" i="27" s="1"/>
  <c r="AJ339" i="27"/>
  <c r="AU338" i="27"/>
  <c r="AL338" i="27" s="1"/>
  <c r="AR338" i="27"/>
  <c r="AP338" i="27"/>
  <c r="AO338" i="27"/>
  <c r="AK338" i="27"/>
  <c r="AN338" i="27" s="1"/>
  <c r="AJ338" i="27"/>
  <c r="AU337" i="27"/>
  <c r="AL337" i="27" s="1"/>
  <c r="AR337" i="27"/>
  <c r="AP337" i="27"/>
  <c r="AO337" i="27"/>
  <c r="AK337" i="27"/>
  <c r="AN337" i="27" s="1"/>
  <c r="AJ337" i="27"/>
  <c r="AU336" i="27"/>
  <c r="AL336" i="27" s="1"/>
  <c r="AR336" i="27"/>
  <c r="AP336" i="27"/>
  <c r="AO336" i="27"/>
  <c r="AK336" i="27"/>
  <c r="AN336" i="27" s="1"/>
  <c r="AJ336" i="27"/>
  <c r="AU335" i="27"/>
  <c r="AL335" i="27" s="1"/>
  <c r="AR335" i="27"/>
  <c r="AP335" i="27"/>
  <c r="AO335" i="27"/>
  <c r="AK335" i="27"/>
  <c r="AN335" i="27" s="1"/>
  <c r="AJ335" i="27"/>
  <c r="AU334" i="27"/>
  <c r="AL334" i="27" s="1"/>
  <c r="AR334" i="27"/>
  <c r="AP334" i="27"/>
  <c r="AO334" i="27"/>
  <c r="AK334" i="27"/>
  <c r="AN334" i="27" s="1"/>
  <c r="AJ334" i="27"/>
  <c r="AU333" i="27"/>
  <c r="AL333" i="27" s="1"/>
  <c r="AR333" i="27"/>
  <c r="AP333" i="27"/>
  <c r="AO333" i="27"/>
  <c r="AK333" i="27"/>
  <c r="AN333" i="27" s="1"/>
  <c r="AJ333" i="27"/>
  <c r="AU332" i="27"/>
  <c r="AL332" i="27" s="1"/>
  <c r="AR332" i="27"/>
  <c r="AP332" i="27"/>
  <c r="AO332" i="27"/>
  <c r="AK332" i="27"/>
  <c r="AN332" i="27" s="1"/>
  <c r="AJ332" i="27"/>
  <c r="AU331" i="27"/>
  <c r="AL331" i="27" s="1"/>
  <c r="AR331" i="27"/>
  <c r="AP331" i="27"/>
  <c r="AO331" i="27"/>
  <c r="AK331" i="27"/>
  <c r="AN331" i="27" s="1"/>
  <c r="AJ331" i="27"/>
  <c r="AU330" i="27"/>
  <c r="AL330" i="27" s="1"/>
  <c r="AR330" i="27"/>
  <c r="AP330" i="27"/>
  <c r="AO330" i="27"/>
  <c r="AK330" i="27"/>
  <c r="AN330" i="27" s="1"/>
  <c r="AJ330" i="27"/>
  <c r="AU329" i="27"/>
  <c r="AL329" i="27" s="1"/>
  <c r="AR329" i="27"/>
  <c r="AP329" i="27"/>
  <c r="AO329" i="27"/>
  <c r="AK329" i="27"/>
  <c r="AN329" i="27" s="1"/>
  <c r="AJ329" i="27"/>
  <c r="AU328" i="27"/>
  <c r="AL328" i="27" s="1"/>
  <c r="AR328" i="27"/>
  <c r="AP328" i="27"/>
  <c r="AO328" i="27"/>
  <c r="AK328" i="27"/>
  <c r="AN328" i="27" s="1"/>
  <c r="AJ328" i="27"/>
  <c r="AU327" i="27"/>
  <c r="AL327" i="27" s="1"/>
  <c r="AR327" i="27"/>
  <c r="AP327" i="27"/>
  <c r="AO327" i="27"/>
  <c r="AK327" i="27"/>
  <c r="AN327" i="27" s="1"/>
  <c r="AJ327" i="27"/>
  <c r="AU326" i="27"/>
  <c r="AL326" i="27" s="1"/>
  <c r="AR326" i="27"/>
  <c r="AP326" i="27"/>
  <c r="AO326" i="27"/>
  <c r="AK326" i="27"/>
  <c r="AN326" i="27" s="1"/>
  <c r="AJ326" i="27"/>
  <c r="AU325" i="27"/>
  <c r="AL325" i="27" s="1"/>
  <c r="AR325" i="27"/>
  <c r="AP325" i="27"/>
  <c r="AO325" i="27"/>
  <c r="AK325" i="27"/>
  <c r="AN325" i="27" s="1"/>
  <c r="AJ325" i="27"/>
  <c r="AU324" i="27"/>
  <c r="AL324" i="27" s="1"/>
  <c r="AR324" i="27"/>
  <c r="AP324" i="27"/>
  <c r="AO324" i="27"/>
  <c r="AK324" i="27"/>
  <c r="AN324" i="27" s="1"/>
  <c r="AJ324" i="27"/>
  <c r="AU323" i="27"/>
  <c r="AL323" i="27" s="1"/>
  <c r="AR323" i="27"/>
  <c r="AP323" i="27"/>
  <c r="AO323" i="27"/>
  <c r="AK323" i="27"/>
  <c r="AN323" i="27" s="1"/>
  <c r="AJ323" i="27"/>
  <c r="AU322" i="27"/>
  <c r="AL322" i="27" s="1"/>
  <c r="AR322" i="27"/>
  <c r="AP322" i="27"/>
  <c r="AO322" i="27"/>
  <c r="AK322" i="27"/>
  <c r="AN322" i="27" s="1"/>
  <c r="AJ322" i="27"/>
  <c r="AU321" i="27"/>
  <c r="AL321" i="27" s="1"/>
  <c r="AR321" i="27"/>
  <c r="AP321" i="27"/>
  <c r="AO321" i="27"/>
  <c r="AK321" i="27"/>
  <c r="AN321" i="27" s="1"/>
  <c r="AJ321" i="27"/>
  <c r="AU320" i="27"/>
  <c r="AL320" i="27" s="1"/>
  <c r="AR320" i="27"/>
  <c r="AP320" i="27"/>
  <c r="AO320" i="27"/>
  <c r="AK320" i="27"/>
  <c r="AN320" i="27" s="1"/>
  <c r="AJ320" i="27"/>
  <c r="AU319" i="27"/>
  <c r="AL319" i="27" s="1"/>
  <c r="AR319" i="27"/>
  <c r="AP319" i="27"/>
  <c r="AO319" i="27"/>
  <c r="AK319" i="27"/>
  <c r="AN319" i="27" s="1"/>
  <c r="AJ319" i="27"/>
  <c r="AU318" i="27"/>
  <c r="AL318" i="27" s="1"/>
  <c r="AR318" i="27"/>
  <c r="AP318" i="27"/>
  <c r="AO318" i="27"/>
  <c r="AK318" i="27"/>
  <c r="AN318" i="27" s="1"/>
  <c r="AJ318" i="27"/>
  <c r="AU317" i="27"/>
  <c r="AL317" i="27" s="1"/>
  <c r="AR317" i="27"/>
  <c r="AP317" i="27"/>
  <c r="AO317" i="27"/>
  <c r="AK317" i="27"/>
  <c r="AN317" i="27" s="1"/>
  <c r="AJ317" i="27"/>
  <c r="AU316" i="27"/>
  <c r="AL316" i="27" s="1"/>
  <c r="AR316" i="27"/>
  <c r="AP316" i="27"/>
  <c r="AO316" i="27"/>
  <c r="AK316" i="27"/>
  <c r="AN316" i="27" s="1"/>
  <c r="AJ316" i="27"/>
  <c r="AU315" i="27"/>
  <c r="AL315" i="27" s="1"/>
  <c r="AR315" i="27"/>
  <c r="AP315" i="27"/>
  <c r="AO315" i="27"/>
  <c r="AK315" i="27"/>
  <c r="AN315" i="27" s="1"/>
  <c r="AJ315" i="27"/>
  <c r="AU314" i="27"/>
  <c r="AL314" i="27" s="1"/>
  <c r="AR314" i="27"/>
  <c r="AP314" i="27"/>
  <c r="AO314" i="27"/>
  <c r="AK314" i="27"/>
  <c r="AN314" i="27" s="1"/>
  <c r="AJ314" i="27"/>
  <c r="AU313" i="27"/>
  <c r="AL313" i="27" s="1"/>
  <c r="AR313" i="27"/>
  <c r="AP313" i="27"/>
  <c r="AO313" i="27"/>
  <c r="AK313" i="27"/>
  <c r="AN313" i="27" s="1"/>
  <c r="AJ313" i="27"/>
  <c r="AU312" i="27"/>
  <c r="AL312" i="27" s="1"/>
  <c r="AR312" i="27"/>
  <c r="AP312" i="27"/>
  <c r="AO312" i="27"/>
  <c r="AK312" i="27"/>
  <c r="AN312" i="27" s="1"/>
  <c r="AJ312" i="27"/>
  <c r="AU311" i="27"/>
  <c r="AL311" i="27" s="1"/>
  <c r="AR311" i="27"/>
  <c r="AP311" i="27"/>
  <c r="AO311" i="27"/>
  <c r="AK311" i="27"/>
  <c r="AN311" i="27" s="1"/>
  <c r="AJ311" i="27"/>
  <c r="AU310" i="27"/>
  <c r="AL310" i="27" s="1"/>
  <c r="AR310" i="27"/>
  <c r="AP310" i="27"/>
  <c r="AO310" i="27"/>
  <c r="AK310" i="27"/>
  <c r="AN310" i="27" s="1"/>
  <c r="AJ310" i="27"/>
  <c r="AU309" i="27"/>
  <c r="AL309" i="27" s="1"/>
  <c r="AR309" i="27"/>
  <c r="AP309" i="27"/>
  <c r="AO309" i="27"/>
  <c r="AK309" i="27"/>
  <c r="AN309" i="27" s="1"/>
  <c r="AJ309" i="27"/>
  <c r="AU308" i="27"/>
  <c r="AL308" i="27" s="1"/>
  <c r="AR308" i="27"/>
  <c r="AP308" i="27"/>
  <c r="AO308" i="27"/>
  <c r="AK308" i="27"/>
  <c r="AN308" i="27" s="1"/>
  <c r="AJ308" i="27"/>
  <c r="AU307" i="27"/>
  <c r="AL307" i="27" s="1"/>
  <c r="AR307" i="27"/>
  <c r="AP307" i="27"/>
  <c r="AO307" i="27"/>
  <c r="AK307" i="27"/>
  <c r="AN307" i="27" s="1"/>
  <c r="AJ307" i="27"/>
  <c r="AU306" i="27"/>
  <c r="AL306" i="27" s="1"/>
  <c r="AR306" i="27"/>
  <c r="AP306" i="27"/>
  <c r="AO306" i="27"/>
  <c r="AK306" i="27"/>
  <c r="AN306" i="27" s="1"/>
  <c r="AJ306" i="27"/>
  <c r="AU305" i="27"/>
  <c r="AL305" i="27" s="1"/>
  <c r="AR305" i="27"/>
  <c r="AP305" i="27"/>
  <c r="AO305" i="27"/>
  <c r="AK305" i="27"/>
  <c r="AN305" i="27" s="1"/>
  <c r="AJ305" i="27"/>
  <c r="AU304" i="27"/>
  <c r="AL304" i="27" s="1"/>
  <c r="AR304" i="27"/>
  <c r="AP304" i="27"/>
  <c r="AO304" i="27"/>
  <c r="AK304" i="27"/>
  <c r="AN304" i="27" s="1"/>
  <c r="AJ304" i="27"/>
  <c r="AU303" i="27"/>
  <c r="AL303" i="27" s="1"/>
  <c r="AR303" i="27"/>
  <c r="AP303" i="27"/>
  <c r="AO303" i="27"/>
  <c r="AK303" i="27"/>
  <c r="AN303" i="27" s="1"/>
  <c r="AJ303" i="27"/>
  <c r="AU302" i="27"/>
  <c r="AL302" i="27" s="1"/>
  <c r="AR302" i="27"/>
  <c r="AP302" i="27"/>
  <c r="AO302" i="27"/>
  <c r="AK302" i="27"/>
  <c r="AN302" i="27" s="1"/>
  <c r="AJ302" i="27"/>
  <c r="AU301" i="27"/>
  <c r="AL301" i="27" s="1"/>
  <c r="AR301" i="27"/>
  <c r="AP301" i="27"/>
  <c r="AO301" i="27"/>
  <c r="AK301" i="27"/>
  <c r="AN301" i="27" s="1"/>
  <c r="AJ301" i="27"/>
  <c r="AU300" i="27"/>
  <c r="AL300" i="27" s="1"/>
  <c r="AR300" i="27"/>
  <c r="AP300" i="27"/>
  <c r="AO300" i="27"/>
  <c r="AK300" i="27"/>
  <c r="AN300" i="27" s="1"/>
  <c r="AJ300" i="27"/>
  <c r="AU299" i="27"/>
  <c r="AL299" i="27" s="1"/>
  <c r="AR299" i="27"/>
  <c r="AP299" i="27"/>
  <c r="AO299" i="27"/>
  <c r="AK299" i="27"/>
  <c r="AN299" i="27" s="1"/>
  <c r="AJ299" i="27"/>
  <c r="AU298" i="27"/>
  <c r="AL298" i="27" s="1"/>
  <c r="AR298" i="27"/>
  <c r="AP298" i="27"/>
  <c r="AO298" i="27"/>
  <c r="AK298" i="27"/>
  <c r="AN298" i="27" s="1"/>
  <c r="AJ298" i="27"/>
  <c r="AU297" i="27"/>
  <c r="AL297" i="27" s="1"/>
  <c r="AR297" i="27"/>
  <c r="AP297" i="27"/>
  <c r="AO297" i="27"/>
  <c r="AK297" i="27"/>
  <c r="AN297" i="27" s="1"/>
  <c r="AJ297" i="27"/>
  <c r="AU296" i="27"/>
  <c r="AL296" i="27" s="1"/>
  <c r="AR296" i="27"/>
  <c r="AP296" i="27"/>
  <c r="AO296" i="27"/>
  <c r="AK296" i="27"/>
  <c r="AN296" i="27" s="1"/>
  <c r="AJ296" i="27"/>
  <c r="AU295" i="27"/>
  <c r="AL295" i="27" s="1"/>
  <c r="AR295" i="27"/>
  <c r="AP295" i="27"/>
  <c r="AO295" i="27"/>
  <c r="AK295" i="27"/>
  <c r="AN295" i="27" s="1"/>
  <c r="AJ295" i="27"/>
  <c r="AU294" i="27"/>
  <c r="AL294" i="27" s="1"/>
  <c r="AR294" i="27"/>
  <c r="AP294" i="27"/>
  <c r="AO294" i="27"/>
  <c r="AK294" i="27"/>
  <c r="AN294" i="27" s="1"/>
  <c r="AJ294" i="27"/>
  <c r="AU293" i="27"/>
  <c r="AL293" i="27" s="1"/>
  <c r="AR293" i="27"/>
  <c r="AP293" i="27"/>
  <c r="AO293" i="27"/>
  <c r="AK293" i="27"/>
  <c r="AN293" i="27" s="1"/>
  <c r="AJ293" i="27"/>
  <c r="AU292" i="27"/>
  <c r="AL292" i="27" s="1"/>
  <c r="AR292" i="27"/>
  <c r="AP292" i="27"/>
  <c r="AO292" i="27"/>
  <c r="AK292" i="27"/>
  <c r="AN292" i="27" s="1"/>
  <c r="AJ292" i="27"/>
  <c r="AU291" i="27"/>
  <c r="AL291" i="27" s="1"/>
  <c r="AR291" i="27"/>
  <c r="AP291" i="27"/>
  <c r="AO291" i="27"/>
  <c r="AK291" i="27"/>
  <c r="AN291" i="27" s="1"/>
  <c r="AJ291" i="27"/>
  <c r="AU290" i="27"/>
  <c r="AL290" i="27" s="1"/>
  <c r="AR290" i="27"/>
  <c r="AP290" i="27"/>
  <c r="AO290" i="27"/>
  <c r="AK290" i="27"/>
  <c r="AN290" i="27" s="1"/>
  <c r="AJ290" i="27"/>
  <c r="AU289" i="27"/>
  <c r="AL289" i="27" s="1"/>
  <c r="AR289" i="27"/>
  <c r="AP289" i="27"/>
  <c r="AO289" i="27"/>
  <c r="AK289" i="27"/>
  <c r="AN289" i="27" s="1"/>
  <c r="AJ289" i="27"/>
  <c r="AU288" i="27"/>
  <c r="AL288" i="27" s="1"/>
  <c r="AR288" i="27"/>
  <c r="AP288" i="27"/>
  <c r="AO288" i="27"/>
  <c r="AK288" i="27"/>
  <c r="AN288" i="27" s="1"/>
  <c r="AJ288" i="27"/>
  <c r="AU287" i="27"/>
  <c r="AL287" i="27" s="1"/>
  <c r="AR287" i="27"/>
  <c r="AP287" i="27"/>
  <c r="AO287" i="27"/>
  <c r="AK287" i="27"/>
  <c r="AN287" i="27" s="1"/>
  <c r="AJ287" i="27"/>
  <c r="AU286" i="27"/>
  <c r="AL286" i="27" s="1"/>
  <c r="AR286" i="27"/>
  <c r="AP286" i="27"/>
  <c r="AO286" i="27"/>
  <c r="AK286" i="27"/>
  <c r="AN286" i="27" s="1"/>
  <c r="AJ286" i="27"/>
  <c r="AU285" i="27"/>
  <c r="AL285" i="27" s="1"/>
  <c r="AR285" i="27"/>
  <c r="AP285" i="27"/>
  <c r="AO285" i="27"/>
  <c r="AK285" i="27"/>
  <c r="AN285" i="27" s="1"/>
  <c r="AJ285" i="27"/>
  <c r="AU284" i="27"/>
  <c r="AL284" i="27" s="1"/>
  <c r="AR284" i="27"/>
  <c r="AP284" i="27"/>
  <c r="AO284" i="27"/>
  <c r="AK284" i="27"/>
  <c r="AN284" i="27" s="1"/>
  <c r="AJ284" i="27"/>
  <c r="AU283" i="27"/>
  <c r="AL283" i="27" s="1"/>
  <c r="AR283" i="27"/>
  <c r="AP283" i="27"/>
  <c r="AO283" i="27"/>
  <c r="AK283" i="27"/>
  <c r="AN283" i="27" s="1"/>
  <c r="AJ283" i="27"/>
  <c r="AU282" i="27"/>
  <c r="AL282" i="27" s="1"/>
  <c r="AR282" i="27"/>
  <c r="AP282" i="27"/>
  <c r="AO282" i="27"/>
  <c r="AK282" i="27"/>
  <c r="AN282" i="27" s="1"/>
  <c r="AJ282" i="27"/>
  <c r="AU281" i="27"/>
  <c r="AL281" i="27" s="1"/>
  <c r="AR281" i="27"/>
  <c r="AP281" i="27"/>
  <c r="AO281" i="27"/>
  <c r="AK281" i="27"/>
  <c r="AN281" i="27" s="1"/>
  <c r="AJ281" i="27"/>
  <c r="AU280" i="27"/>
  <c r="AL280" i="27" s="1"/>
  <c r="AR280" i="27"/>
  <c r="AP280" i="27"/>
  <c r="AO280" i="27"/>
  <c r="AK280" i="27"/>
  <c r="AN280" i="27" s="1"/>
  <c r="AJ280" i="27"/>
  <c r="AU279" i="27"/>
  <c r="AL279" i="27" s="1"/>
  <c r="AR279" i="27"/>
  <c r="AP279" i="27"/>
  <c r="AO279" i="27"/>
  <c r="AK279" i="27"/>
  <c r="AN279" i="27" s="1"/>
  <c r="AJ279" i="27"/>
  <c r="AU278" i="27"/>
  <c r="AL278" i="27" s="1"/>
  <c r="AR278" i="27"/>
  <c r="AP278" i="27"/>
  <c r="AO278" i="27"/>
  <c r="AK278" i="27"/>
  <c r="AN278" i="27" s="1"/>
  <c r="AJ278" i="27"/>
  <c r="AU277" i="27"/>
  <c r="AL277" i="27" s="1"/>
  <c r="AR277" i="27"/>
  <c r="AP277" i="27"/>
  <c r="AO277" i="27"/>
  <c r="AK277" i="27"/>
  <c r="AN277" i="27" s="1"/>
  <c r="AJ277" i="27"/>
  <c r="AU276" i="27"/>
  <c r="AL276" i="27" s="1"/>
  <c r="AR276" i="27"/>
  <c r="AP276" i="27"/>
  <c r="AO276" i="27"/>
  <c r="AK276" i="27"/>
  <c r="AN276" i="27" s="1"/>
  <c r="AJ276" i="27"/>
  <c r="AU275" i="27"/>
  <c r="AL275" i="27" s="1"/>
  <c r="AR275" i="27"/>
  <c r="AP275" i="27"/>
  <c r="AO275" i="27"/>
  <c r="AK275" i="27"/>
  <c r="AN275" i="27" s="1"/>
  <c r="AJ275" i="27"/>
  <c r="AU274" i="27"/>
  <c r="AL274" i="27" s="1"/>
  <c r="AR274" i="27"/>
  <c r="AP274" i="27"/>
  <c r="AO274" i="27"/>
  <c r="AK274" i="27"/>
  <c r="AN274" i="27" s="1"/>
  <c r="AJ274" i="27"/>
  <c r="AU273" i="27"/>
  <c r="AL273" i="27" s="1"/>
  <c r="AR273" i="27"/>
  <c r="AP273" i="27"/>
  <c r="AO273" i="27"/>
  <c r="AK273" i="27"/>
  <c r="AN273" i="27" s="1"/>
  <c r="AJ273" i="27"/>
  <c r="AU272" i="27"/>
  <c r="AL272" i="27" s="1"/>
  <c r="AR272" i="27"/>
  <c r="AP272" i="27"/>
  <c r="AO272" i="27"/>
  <c r="AK272" i="27"/>
  <c r="AN272" i="27" s="1"/>
  <c r="AJ272" i="27"/>
  <c r="AU271" i="27"/>
  <c r="AL271" i="27" s="1"/>
  <c r="AR271" i="27"/>
  <c r="AP271" i="27"/>
  <c r="AO271" i="27"/>
  <c r="AK271" i="27"/>
  <c r="AN271" i="27" s="1"/>
  <c r="AJ271" i="27"/>
  <c r="AU270" i="27"/>
  <c r="AL270" i="27" s="1"/>
  <c r="AR270" i="27"/>
  <c r="AP270" i="27"/>
  <c r="AO270" i="27"/>
  <c r="AK270" i="27"/>
  <c r="AN270" i="27" s="1"/>
  <c r="AJ270" i="27"/>
  <c r="AU269" i="27"/>
  <c r="AL269" i="27" s="1"/>
  <c r="AR269" i="27"/>
  <c r="AP269" i="27"/>
  <c r="AO269" i="27"/>
  <c r="AK269" i="27"/>
  <c r="AN269" i="27" s="1"/>
  <c r="AJ269" i="27"/>
  <c r="AU268" i="27"/>
  <c r="AL268" i="27" s="1"/>
  <c r="AR268" i="27"/>
  <c r="AP268" i="27"/>
  <c r="AO268" i="27"/>
  <c r="AK268" i="27"/>
  <c r="AN268" i="27" s="1"/>
  <c r="AJ268" i="27"/>
  <c r="AU267" i="27"/>
  <c r="AL267" i="27" s="1"/>
  <c r="AR267" i="27"/>
  <c r="AP267" i="27"/>
  <c r="AO267" i="27"/>
  <c r="AK267" i="27"/>
  <c r="AN267" i="27" s="1"/>
  <c r="AJ267" i="27"/>
  <c r="AU266" i="27"/>
  <c r="AL266" i="27" s="1"/>
  <c r="AR266" i="27"/>
  <c r="AP266" i="27"/>
  <c r="AO266" i="27"/>
  <c r="AK266" i="27"/>
  <c r="AN266" i="27" s="1"/>
  <c r="AJ266" i="27"/>
  <c r="AU265" i="27"/>
  <c r="AL265" i="27" s="1"/>
  <c r="AR265" i="27"/>
  <c r="AP265" i="27"/>
  <c r="AO265" i="27"/>
  <c r="AK265" i="27"/>
  <c r="AN265" i="27" s="1"/>
  <c r="AJ265" i="27"/>
  <c r="AU264" i="27"/>
  <c r="AL264" i="27" s="1"/>
  <c r="AR264" i="27"/>
  <c r="AP264" i="27"/>
  <c r="AO264" i="27"/>
  <c r="AK264" i="27"/>
  <c r="AN264" i="27" s="1"/>
  <c r="AJ264" i="27"/>
  <c r="AU263" i="27"/>
  <c r="AL263" i="27" s="1"/>
  <c r="AR263" i="27"/>
  <c r="AP263" i="27"/>
  <c r="AO263" i="27"/>
  <c r="AK263" i="27"/>
  <c r="AN263" i="27" s="1"/>
  <c r="AJ263" i="27"/>
  <c r="AU262" i="27"/>
  <c r="AL262" i="27" s="1"/>
  <c r="AR262" i="27"/>
  <c r="AP262" i="27"/>
  <c r="AO262" i="27"/>
  <c r="AK262" i="27"/>
  <c r="AN262" i="27" s="1"/>
  <c r="AJ262" i="27"/>
  <c r="AU261" i="27"/>
  <c r="AL261" i="27" s="1"/>
  <c r="AR261" i="27"/>
  <c r="AP261" i="27"/>
  <c r="AO261" i="27"/>
  <c r="AK261" i="27"/>
  <c r="AN261" i="27" s="1"/>
  <c r="AJ261" i="27"/>
  <c r="AU260" i="27"/>
  <c r="AL260" i="27" s="1"/>
  <c r="AR260" i="27"/>
  <c r="AP260" i="27"/>
  <c r="AO260" i="27"/>
  <c r="AK260" i="27"/>
  <c r="AN260" i="27" s="1"/>
  <c r="AJ260" i="27"/>
  <c r="AU259" i="27"/>
  <c r="AL259" i="27" s="1"/>
  <c r="AR259" i="27"/>
  <c r="AP259" i="27"/>
  <c r="AO259" i="27"/>
  <c r="AK259" i="27"/>
  <c r="AN259" i="27" s="1"/>
  <c r="AJ259" i="27"/>
  <c r="AU258" i="27"/>
  <c r="AL258" i="27" s="1"/>
  <c r="AR258" i="27"/>
  <c r="AP258" i="27"/>
  <c r="AO258" i="27"/>
  <c r="AK258" i="27"/>
  <c r="AN258" i="27" s="1"/>
  <c r="AJ258" i="27"/>
  <c r="AU257" i="27"/>
  <c r="AL257" i="27" s="1"/>
  <c r="AR257" i="27"/>
  <c r="AP257" i="27"/>
  <c r="AO257" i="27"/>
  <c r="AK257" i="27"/>
  <c r="AN257" i="27" s="1"/>
  <c r="AJ257" i="27"/>
  <c r="AU256" i="27"/>
  <c r="AL256" i="27" s="1"/>
  <c r="AR256" i="27"/>
  <c r="AP256" i="27"/>
  <c r="AO256" i="27"/>
  <c r="AK256" i="27"/>
  <c r="AN256" i="27" s="1"/>
  <c r="AJ256" i="27"/>
  <c r="AU255" i="27"/>
  <c r="AL255" i="27" s="1"/>
  <c r="AR255" i="27"/>
  <c r="AP255" i="27"/>
  <c r="AO255" i="27"/>
  <c r="AK255" i="27"/>
  <c r="AN255" i="27" s="1"/>
  <c r="AJ255" i="27"/>
  <c r="AU254" i="27"/>
  <c r="AL254" i="27" s="1"/>
  <c r="AR254" i="27"/>
  <c r="AP254" i="27"/>
  <c r="AO254" i="27"/>
  <c r="AK254" i="27"/>
  <c r="AN254" i="27" s="1"/>
  <c r="AJ254" i="27"/>
  <c r="AU253" i="27"/>
  <c r="AL253" i="27" s="1"/>
  <c r="AR253" i="27"/>
  <c r="AP253" i="27"/>
  <c r="AO253" i="27"/>
  <c r="AK253" i="27"/>
  <c r="AN253" i="27" s="1"/>
  <c r="AJ253" i="27"/>
  <c r="AU252" i="27"/>
  <c r="AL252" i="27" s="1"/>
  <c r="AR252" i="27"/>
  <c r="AP252" i="27"/>
  <c r="AO252" i="27"/>
  <c r="AK252" i="27"/>
  <c r="AN252" i="27" s="1"/>
  <c r="AJ252" i="27"/>
  <c r="AU251" i="27"/>
  <c r="AL251" i="27" s="1"/>
  <c r="AR251" i="27"/>
  <c r="AP251" i="27"/>
  <c r="AO251" i="27"/>
  <c r="AK251" i="27"/>
  <c r="AN251" i="27" s="1"/>
  <c r="AJ251" i="27"/>
  <c r="AU250" i="27"/>
  <c r="AL250" i="27" s="1"/>
  <c r="AR250" i="27"/>
  <c r="AP250" i="27"/>
  <c r="AO250" i="27"/>
  <c r="AK250" i="27"/>
  <c r="AN250" i="27" s="1"/>
  <c r="AJ250" i="27"/>
  <c r="AU249" i="27"/>
  <c r="AL249" i="27" s="1"/>
  <c r="AR249" i="27"/>
  <c r="AP249" i="27"/>
  <c r="AO249" i="27"/>
  <c r="AK249" i="27"/>
  <c r="AN249" i="27" s="1"/>
  <c r="AJ249" i="27"/>
  <c r="AU248" i="27"/>
  <c r="AL248" i="27" s="1"/>
  <c r="AR248" i="27"/>
  <c r="AP248" i="27"/>
  <c r="AO248" i="27"/>
  <c r="AK248" i="27"/>
  <c r="AN248" i="27" s="1"/>
  <c r="AJ248" i="27"/>
  <c r="AU247" i="27"/>
  <c r="AL247" i="27" s="1"/>
  <c r="AR247" i="27"/>
  <c r="AP247" i="27"/>
  <c r="AO247" i="27"/>
  <c r="AK247" i="27"/>
  <c r="AN247" i="27" s="1"/>
  <c r="AJ247" i="27"/>
  <c r="AU246" i="27"/>
  <c r="AL246" i="27" s="1"/>
  <c r="AR246" i="27"/>
  <c r="AP246" i="27"/>
  <c r="AO246" i="27"/>
  <c r="AK246" i="27"/>
  <c r="AN246" i="27" s="1"/>
  <c r="AJ246" i="27"/>
  <c r="AU245" i="27"/>
  <c r="AL245" i="27" s="1"/>
  <c r="AR245" i="27"/>
  <c r="AP245" i="27"/>
  <c r="AO245" i="27"/>
  <c r="AK245" i="27"/>
  <c r="AN245" i="27" s="1"/>
  <c r="AJ245" i="27"/>
  <c r="AU244" i="27"/>
  <c r="AL244" i="27" s="1"/>
  <c r="AR244" i="27"/>
  <c r="AP244" i="27"/>
  <c r="AO244" i="27"/>
  <c r="AK244" i="27"/>
  <c r="AN244" i="27" s="1"/>
  <c r="AJ244" i="27"/>
  <c r="AU243" i="27"/>
  <c r="AL243" i="27" s="1"/>
  <c r="AR243" i="27"/>
  <c r="AP243" i="27"/>
  <c r="AO243" i="27"/>
  <c r="AK243" i="27"/>
  <c r="AN243" i="27" s="1"/>
  <c r="AJ243" i="27"/>
  <c r="AU242" i="27"/>
  <c r="AL242" i="27" s="1"/>
  <c r="AR242" i="27"/>
  <c r="AP242" i="27"/>
  <c r="AO242" i="27"/>
  <c r="AK242" i="27"/>
  <c r="AN242" i="27" s="1"/>
  <c r="AJ242" i="27"/>
  <c r="AU241" i="27"/>
  <c r="AL241" i="27" s="1"/>
  <c r="AR241" i="27"/>
  <c r="AP241" i="27"/>
  <c r="AO241" i="27"/>
  <c r="AK241" i="27"/>
  <c r="AN241" i="27" s="1"/>
  <c r="AJ241" i="27"/>
  <c r="AU240" i="27"/>
  <c r="AL240" i="27" s="1"/>
  <c r="AR240" i="27"/>
  <c r="AP240" i="27"/>
  <c r="AO240" i="27"/>
  <c r="AK240" i="27"/>
  <c r="AN240" i="27" s="1"/>
  <c r="AJ240" i="27"/>
  <c r="AU239" i="27"/>
  <c r="AL239" i="27" s="1"/>
  <c r="AR239" i="27"/>
  <c r="AP239" i="27"/>
  <c r="AO239" i="27"/>
  <c r="AK239" i="27"/>
  <c r="AN239" i="27" s="1"/>
  <c r="AJ239" i="27"/>
  <c r="AU238" i="27"/>
  <c r="AL238" i="27" s="1"/>
  <c r="AR238" i="27"/>
  <c r="AP238" i="27"/>
  <c r="AO238" i="27"/>
  <c r="AK238" i="27"/>
  <c r="AN238" i="27" s="1"/>
  <c r="AJ238" i="27"/>
  <c r="AU237" i="27"/>
  <c r="AL237" i="27" s="1"/>
  <c r="AR237" i="27"/>
  <c r="AP237" i="27"/>
  <c r="AO237" i="27"/>
  <c r="AK237" i="27"/>
  <c r="AN237" i="27" s="1"/>
  <c r="AJ237" i="27"/>
  <c r="AU236" i="27"/>
  <c r="AL236" i="27" s="1"/>
  <c r="AR236" i="27"/>
  <c r="AP236" i="27"/>
  <c r="AO236" i="27"/>
  <c r="AK236" i="27"/>
  <c r="AN236" i="27" s="1"/>
  <c r="AJ236" i="27"/>
  <c r="AU235" i="27"/>
  <c r="AL235" i="27" s="1"/>
  <c r="AR235" i="27"/>
  <c r="AP235" i="27"/>
  <c r="AO235" i="27"/>
  <c r="AK235" i="27"/>
  <c r="AN235" i="27" s="1"/>
  <c r="AJ235" i="27"/>
  <c r="AU234" i="27"/>
  <c r="AL234" i="27" s="1"/>
  <c r="AR234" i="27"/>
  <c r="AP234" i="27"/>
  <c r="AO234" i="27"/>
  <c r="AK234" i="27"/>
  <c r="AN234" i="27" s="1"/>
  <c r="AJ234" i="27"/>
  <c r="AU233" i="27"/>
  <c r="AL233" i="27" s="1"/>
  <c r="AR233" i="27"/>
  <c r="AP233" i="27"/>
  <c r="AO233" i="27"/>
  <c r="AK233" i="27"/>
  <c r="AN233" i="27" s="1"/>
  <c r="AJ233" i="27"/>
  <c r="AU232" i="27"/>
  <c r="AL232" i="27" s="1"/>
  <c r="AR232" i="27"/>
  <c r="AP232" i="27"/>
  <c r="AO232" i="27"/>
  <c r="AK232" i="27"/>
  <c r="AN232" i="27" s="1"/>
  <c r="AJ232" i="27"/>
  <c r="AU231" i="27"/>
  <c r="AL231" i="27" s="1"/>
  <c r="AR231" i="27"/>
  <c r="AP231" i="27"/>
  <c r="AO231" i="27"/>
  <c r="AK231" i="27"/>
  <c r="AN231" i="27" s="1"/>
  <c r="AJ231" i="27"/>
  <c r="AU230" i="27"/>
  <c r="AL230" i="27" s="1"/>
  <c r="AR230" i="27"/>
  <c r="AP230" i="27"/>
  <c r="AO230" i="27"/>
  <c r="AK230" i="27"/>
  <c r="AN230" i="27" s="1"/>
  <c r="AJ230" i="27"/>
  <c r="AU229" i="27"/>
  <c r="AL229" i="27" s="1"/>
  <c r="AR229" i="27"/>
  <c r="AP229" i="27"/>
  <c r="AO229" i="27"/>
  <c r="AK229" i="27"/>
  <c r="AN229" i="27" s="1"/>
  <c r="AJ229" i="27"/>
  <c r="AU228" i="27"/>
  <c r="AL228" i="27" s="1"/>
  <c r="AR228" i="27"/>
  <c r="AP228" i="27"/>
  <c r="AO228" i="27"/>
  <c r="AK228" i="27"/>
  <c r="AN228" i="27" s="1"/>
  <c r="AJ228" i="27"/>
  <c r="AU227" i="27"/>
  <c r="AL227" i="27" s="1"/>
  <c r="AR227" i="27"/>
  <c r="AP227" i="27"/>
  <c r="AO227" i="27"/>
  <c r="AK227" i="27"/>
  <c r="AN227" i="27" s="1"/>
  <c r="AJ227" i="27"/>
  <c r="AU226" i="27"/>
  <c r="AL226" i="27" s="1"/>
  <c r="AR226" i="27"/>
  <c r="AP226" i="27"/>
  <c r="AO226" i="27"/>
  <c r="AK226" i="27"/>
  <c r="AN226" i="27" s="1"/>
  <c r="AJ226" i="27"/>
  <c r="AU225" i="27"/>
  <c r="AL225" i="27" s="1"/>
  <c r="AR225" i="27"/>
  <c r="AP225" i="27"/>
  <c r="AO225" i="27"/>
  <c r="AK225" i="27"/>
  <c r="AN225" i="27" s="1"/>
  <c r="AJ225" i="27"/>
  <c r="AU224" i="27"/>
  <c r="AL224" i="27" s="1"/>
  <c r="AR224" i="27"/>
  <c r="AP224" i="27"/>
  <c r="AO224" i="27"/>
  <c r="AK224" i="27"/>
  <c r="AN224" i="27" s="1"/>
  <c r="AJ224" i="27"/>
  <c r="AU223" i="27"/>
  <c r="AL223" i="27" s="1"/>
  <c r="AR223" i="27"/>
  <c r="AP223" i="27"/>
  <c r="AO223" i="27"/>
  <c r="AK223" i="27"/>
  <c r="AN223" i="27" s="1"/>
  <c r="AJ223" i="27"/>
  <c r="AU222" i="27"/>
  <c r="AL222" i="27" s="1"/>
  <c r="AR222" i="27"/>
  <c r="AP222" i="27"/>
  <c r="AO222" i="27"/>
  <c r="AK222" i="27"/>
  <c r="AN222" i="27" s="1"/>
  <c r="AJ222" i="27"/>
  <c r="AU221" i="27"/>
  <c r="AL221" i="27" s="1"/>
  <c r="AR221" i="27"/>
  <c r="AP221" i="27"/>
  <c r="AO221" i="27"/>
  <c r="AK221" i="27"/>
  <c r="AN221" i="27" s="1"/>
  <c r="AJ221" i="27"/>
  <c r="AU220" i="27"/>
  <c r="AL220" i="27" s="1"/>
  <c r="AR220" i="27"/>
  <c r="AP220" i="27"/>
  <c r="AO220" i="27"/>
  <c r="AK220" i="27"/>
  <c r="AN220" i="27" s="1"/>
  <c r="AJ220" i="27"/>
  <c r="AU219" i="27"/>
  <c r="AL219" i="27" s="1"/>
  <c r="AR219" i="27"/>
  <c r="AP219" i="27"/>
  <c r="AO219" i="27"/>
  <c r="AK219" i="27"/>
  <c r="AN219" i="27" s="1"/>
  <c r="AJ219" i="27"/>
  <c r="AU218" i="27"/>
  <c r="AL218" i="27" s="1"/>
  <c r="AR218" i="27"/>
  <c r="AP218" i="27"/>
  <c r="AO218" i="27"/>
  <c r="AK218" i="27"/>
  <c r="AN218" i="27" s="1"/>
  <c r="AJ218" i="27"/>
  <c r="AU217" i="27"/>
  <c r="AL217" i="27" s="1"/>
  <c r="AR217" i="27"/>
  <c r="AP217" i="27"/>
  <c r="AO217" i="27"/>
  <c r="AK217" i="27"/>
  <c r="AN217" i="27" s="1"/>
  <c r="AJ217" i="27"/>
  <c r="AU216" i="27"/>
  <c r="AL216" i="27" s="1"/>
  <c r="AR216" i="27"/>
  <c r="AP216" i="27"/>
  <c r="AO216" i="27"/>
  <c r="AK216" i="27"/>
  <c r="AN216" i="27" s="1"/>
  <c r="AJ216" i="27"/>
  <c r="AU215" i="27"/>
  <c r="AL215" i="27" s="1"/>
  <c r="AR215" i="27"/>
  <c r="AP215" i="27"/>
  <c r="AO215" i="27"/>
  <c r="AK215" i="27"/>
  <c r="AN215" i="27" s="1"/>
  <c r="AJ215" i="27"/>
  <c r="AU214" i="27"/>
  <c r="AL214" i="27" s="1"/>
  <c r="AR214" i="27"/>
  <c r="AP214" i="27"/>
  <c r="AO214" i="27"/>
  <c r="AK214" i="27"/>
  <c r="AN214" i="27" s="1"/>
  <c r="AJ214" i="27"/>
  <c r="AU213" i="27"/>
  <c r="AL213" i="27" s="1"/>
  <c r="AR213" i="27"/>
  <c r="AP213" i="27"/>
  <c r="AO213" i="27"/>
  <c r="AK213" i="27"/>
  <c r="AN213" i="27" s="1"/>
  <c r="AJ213" i="27"/>
  <c r="AU212" i="27"/>
  <c r="AL212" i="27" s="1"/>
  <c r="AR212" i="27"/>
  <c r="AP212" i="27"/>
  <c r="AO212" i="27"/>
  <c r="AK212" i="27"/>
  <c r="AN212" i="27" s="1"/>
  <c r="AJ212" i="27"/>
  <c r="AU211" i="27"/>
  <c r="AL211" i="27" s="1"/>
  <c r="AR211" i="27"/>
  <c r="AP211" i="27"/>
  <c r="AO211" i="27"/>
  <c r="AK211" i="27"/>
  <c r="AN211" i="27" s="1"/>
  <c r="AJ211" i="27"/>
  <c r="AU210" i="27"/>
  <c r="AL210" i="27" s="1"/>
  <c r="AR210" i="27"/>
  <c r="AP210" i="27"/>
  <c r="AO210" i="27"/>
  <c r="AK210" i="27"/>
  <c r="AN210" i="27" s="1"/>
  <c r="AJ210" i="27"/>
  <c r="AU209" i="27"/>
  <c r="AL209" i="27" s="1"/>
  <c r="AR209" i="27"/>
  <c r="AP209" i="27"/>
  <c r="AO209" i="27"/>
  <c r="AK209" i="27"/>
  <c r="AN209" i="27" s="1"/>
  <c r="AJ209" i="27"/>
  <c r="AU208" i="27"/>
  <c r="AL208" i="27" s="1"/>
  <c r="AR208" i="27"/>
  <c r="AP208" i="27"/>
  <c r="AO208" i="27"/>
  <c r="AK208" i="27"/>
  <c r="AN208" i="27" s="1"/>
  <c r="AJ208" i="27"/>
  <c r="AU207" i="27"/>
  <c r="AL207" i="27" s="1"/>
  <c r="AR207" i="27"/>
  <c r="AP207" i="27"/>
  <c r="AO207" i="27"/>
  <c r="AK207" i="27"/>
  <c r="AN207" i="27" s="1"/>
  <c r="AJ207" i="27"/>
  <c r="AU206" i="27"/>
  <c r="AL206" i="27" s="1"/>
  <c r="AR206" i="27"/>
  <c r="AP206" i="27"/>
  <c r="AO206" i="27"/>
  <c r="AK206" i="27"/>
  <c r="AN206" i="27" s="1"/>
  <c r="AJ206" i="27"/>
  <c r="AU205" i="27"/>
  <c r="AL205" i="27" s="1"/>
  <c r="AR205" i="27"/>
  <c r="AP205" i="27"/>
  <c r="AO205" i="27"/>
  <c r="AK205" i="27"/>
  <c r="AN205" i="27" s="1"/>
  <c r="AJ205" i="27"/>
  <c r="AU204" i="27"/>
  <c r="AL204" i="27" s="1"/>
  <c r="AR204" i="27"/>
  <c r="AP204" i="27"/>
  <c r="AO204" i="27"/>
  <c r="AK204" i="27"/>
  <c r="AN204" i="27" s="1"/>
  <c r="AJ204" i="27"/>
  <c r="AU203" i="27"/>
  <c r="AL203" i="27" s="1"/>
  <c r="AR203" i="27"/>
  <c r="AP203" i="27"/>
  <c r="AO203" i="27"/>
  <c r="AK203" i="27"/>
  <c r="AN203" i="27" s="1"/>
  <c r="AJ203" i="27"/>
  <c r="AU202" i="27"/>
  <c r="AL202" i="27" s="1"/>
  <c r="AR202" i="27"/>
  <c r="AP202" i="27"/>
  <c r="AO202" i="27"/>
  <c r="AK202" i="27"/>
  <c r="AN202" i="27" s="1"/>
  <c r="AJ202" i="27"/>
  <c r="AU201" i="27"/>
  <c r="AL201" i="27" s="1"/>
  <c r="AR201" i="27"/>
  <c r="AP201" i="27"/>
  <c r="AO201" i="27"/>
  <c r="AK201" i="27"/>
  <c r="AN201" i="27" s="1"/>
  <c r="AJ201" i="27"/>
  <c r="AU200" i="27"/>
  <c r="AL200" i="27" s="1"/>
  <c r="AR200" i="27"/>
  <c r="AP200" i="27"/>
  <c r="AO200" i="27"/>
  <c r="AK200" i="27"/>
  <c r="AN200" i="27" s="1"/>
  <c r="AJ200" i="27"/>
  <c r="AU199" i="27"/>
  <c r="AL199" i="27" s="1"/>
  <c r="AR199" i="27"/>
  <c r="AP199" i="27"/>
  <c r="AO199" i="27"/>
  <c r="AK199" i="27"/>
  <c r="AN199" i="27" s="1"/>
  <c r="AJ199" i="27"/>
  <c r="AU198" i="27"/>
  <c r="AL198" i="27" s="1"/>
  <c r="AR198" i="27"/>
  <c r="AP198" i="27"/>
  <c r="AO198" i="27"/>
  <c r="AK198" i="27"/>
  <c r="AN198" i="27" s="1"/>
  <c r="AJ198" i="27"/>
  <c r="AU197" i="27"/>
  <c r="AL197" i="27" s="1"/>
  <c r="AR197" i="27"/>
  <c r="AP197" i="27"/>
  <c r="AO197" i="27"/>
  <c r="AK197" i="27"/>
  <c r="AN197" i="27" s="1"/>
  <c r="AJ197" i="27"/>
  <c r="AU196" i="27"/>
  <c r="AL196" i="27" s="1"/>
  <c r="AR196" i="27"/>
  <c r="AP196" i="27"/>
  <c r="AO196" i="27"/>
  <c r="AK196" i="27"/>
  <c r="AN196" i="27" s="1"/>
  <c r="AJ196" i="27"/>
  <c r="AU195" i="27"/>
  <c r="AL195" i="27" s="1"/>
  <c r="AR195" i="27"/>
  <c r="AP195" i="27"/>
  <c r="AO195" i="27"/>
  <c r="AK195" i="27"/>
  <c r="AN195" i="27" s="1"/>
  <c r="AJ195" i="27"/>
  <c r="AU194" i="27"/>
  <c r="AL194" i="27" s="1"/>
  <c r="AR194" i="27"/>
  <c r="AP194" i="27"/>
  <c r="AO194" i="27"/>
  <c r="AK194" i="27"/>
  <c r="AN194" i="27" s="1"/>
  <c r="AJ194" i="27"/>
  <c r="AU193" i="27"/>
  <c r="AL193" i="27" s="1"/>
  <c r="AR193" i="27"/>
  <c r="AP193" i="27"/>
  <c r="AO193" i="27"/>
  <c r="AK193" i="27"/>
  <c r="AN193" i="27" s="1"/>
  <c r="AJ193" i="27"/>
  <c r="AU192" i="27"/>
  <c r="AL192" i="27" s="1"/>
  <c r="AR192" i="27"/>
  <c r="AP192" i="27"/>
  <c r="AO192" i="27"/>
  <c r="AK192" i="27"/>
  <c r="AN192" i="27" s="1"/>
  <c r="AJ192" i="27"/>
  <c r="AU191" i="27"/>
  <c r="AL191" i="27" s="1"/>
  <c r="AR191" i="27"/>
  <c r="AP191" i="27"/>
  <c r="AO191" i="27"/>
  <c r="AK191" i="27"/>
  <c r="AN191" i="27" s="1"/>
  <c r="AJ191" i="27"/>
  <c r="AU190" i="27"/>
  <c r="AL190" i="27" s="1"/>
  <c r="AR190" i="27"/>
  <c r="AP190" i="27"/>
  <c r="AO190" i="27"/>
  <c r="AK190" i="27"/>
  <c r="AN190" i="27" s="1"/>
  <c r="AJ190" i="27"/>
  <c r="AU189" i="27"/>
  <c r="AL189" i="27" s="1"/>
  <c r="AR189" i="27"/>
  <c r="AP189" i="27"/>
  <c r="AO189" i="27"/>
  <c r="AK189" i="27"/>
  <c r="AN189" i="27" s="1"/>
  <c r="AJ189" i="27"/>
  <c r="AU188" i="27"/>
  <c r="AL188" i="27" s="1"/>
  <c r="AR188" i="27"/>
  <c r="AP188" i="27"/>
  <c r="AO188" i="27"/>
  <c r="AK188" i="27"/>
  <c r="AN188" i="27" s="1"/>
  <c r="AJ188" i="27"/>
  <c r="AU187" i="27"/>
  <c r="AL187" i="27" s="1"/>
  <c r="AR187" i="27"/>
  <c r="AP187" i="27"/>
  <c r="AO187" i="27"/>
  <c r="AK187" i="27"/>
  <c r="AN187" i="27" s="1"/>
  <c r="AJ187" i="27"/>
  <c r="AU186" i="27"/>
  <c r="AL186" i="27" s="1"/>
  <c r="AR186" i="27"/>
  <c r="AP186" i="27"/>
  <c r="AO186" i="27"/>
  <c r="AK186" i="27"/>
  <c r="AN186" i="27" s="1"/>
  <c r="AJ186" i="27"/>
  <c r="AU185" i="27"/>
  <c r="AL185" i="27" s="1"/>
  <c r="AR185" i="27"/>
  <c r="AP185" i="27"/>
  <c r="AO185" i="27"/>
  <c r="AK185" i="27"/>
  <c r="AN185" i="27" s="1"/>
  <c r="AJ185" i="27"/>
  <c r="AU184" i="27"/>
  <c r="AL184" i="27" s="1"/>
  <c r="AR184" i="27"/>
  <c r="AP184" i="27"/>
  <c r="AO184" i="27"/>
  <c r="AK184" i="27"/>
  <c r="AN184" i="27" s="1"/>
  <c r="AJ184" i="27"/>
  <c r="AU183" i="27"/>
  <c r="AL183" i="27" s="1"/>
  <c r="AR183" i="27"/>
  <c r="AP183" i="27"/>
  <c r="AO183" i="27"/>
  <c r="AK183" i="27"/>
  <c r="AN183" i="27" s="1"/>
  <c r="AJ183" i="27"/>
  <c r="AU182" i="27"/>
  <c r="AL182" i="27" s="1"/>
  <c r="AR182" i="27"/>
  <c r="AP182" i="27"/>
  <c r="AO182" i="27"/>
  <c r="AK182" i="27"/>
  <c r="AN182" i="27" s="1"/>
  <c r="AJ182" i="27"/>
  <c r="AU181" i="27"/>
  <c r="AL181" i="27" s="1"/>
  <c r="AR181" i="27"/>
  <c r="AP181" i="27"/>
  <c r="AO181" i="27"/>
  <c r="AK181" i="27"/>
  <c r="AN181" i="27" s="1"/>
  <c r="AJ181" i="27"/>
  <c r="AU180" i="27"/>
  <c r="AL180" i="27" s="1"/>
  <c r="AR180" i="27"/>
  <c r="AP180" i="27"/>
  <c r="AO180" i="27"/>
  <c r="AK180" i="27"/>
  <c r="AN180" i="27" s="1"/>
  <c r="AJ180" i="27"/>
  <c r="AU179" i="27"/>
  <c r="AL179" i="27" s="1"/>
  <c r="AR179" i="27"/>
  <c r="AP179" i="27"/>
  <c r="AO179" i="27"/>
  <c r="AK179" i="27"/>
  <c r="AN179" i="27" s="1"/>
  <c r="AJ179" i="27"/>
  <c r="AU178" i="27"/>
  <c r="AL178" i="27" s="1"/>
  <c r="AR178" i="27"/>
  <c r="AP178" i="27"/>
  <c r="AO178" i="27"/>
  <c r="AK178" i="27"/>
  <c r="AN178" i="27" s="1"/>
  <c r="AJ178" i="27"/>
  <c r="AU177" i="27"/>
  <c r="AL177" i="27" s="1"/>
  <c r="AR177" i="27"/>
  <c r="AP177" i="27"/>
  <c r="AO177" i="27"/>
  <c r="AK177" i="27"/>
  <c r="AN177" i="27" s="1"/>
  <c r="AJ177" i="27"/>
  <c r="AU176" i="27"/>
  <c r="AL176" i="27" s="1"/>
  <c r="AR176" i="27"/>
  <c r="AP176" i="27"/>
  <c r="AO176" i="27"/>
  <c r="AK176" i="27"/>
  <c r="AN176" i="27" s="1"/>
  <c r="AJ176" i="27"/>
  <c r="AU175" i="27"/>
  <c r="AL175" i="27" s="1"/>
  <c r="AR175" i="27"/>
  <c r="AP175" i="27"/>
  <c r="AO175" i="27"/>
  <c r="AK175" i="27"/>
  <c r="AN175" i="27" s="1"/>
  <c r="AJ175" i="27"/>
  <c r="AU174" i="27"/>
  <c r="AL174" i="27" s="1"/>
  <c r="AR174" i="27"/>
  <c r="AP174" i="27"/>
  <c r="AO174" i="27"/>
  <c r="AK174" i="27"/>
  <c r="AN174" i="27" s="1"/>
  <c r="AJ174" i="27"/>
  <c r="AU173" i="27"/>
  <c r="AL173" i="27" s="1"/>
  <c r="AR173" i="27"/>
  <c r="AP173" i="27"/>
  <c r="AO173" i="27"/>
  <c r="AK173" i="27"/>
  <c r="AN173" i="27" s="1"/>
  <c r="AJ173" i="27"/>
  <c r="AU172" i="27"/>
  <c r="AL172" i="27" s="1"/>
  <c r="AR172" i="27"/>
  <c r="AP172" i="27"/>
  <c r="AO172" i="27"/>
  <c r="AK172" i="27"/>
  <c r="AN172" i="27" s="1"/>
  <c r="AJ172" i="27"/>
  <c r="AU171" i="27"/>
  <c r="AL171" i="27" s="1"/>
  <c r="AR171" i="27"/>
  <c r="AP171" i="27"/>
  <c r="AO171" i="27"/>
  <c r="AK171" i="27"/>
  <c r="AN171" i="27" s="1"/>
  <c r="AJ171" i="27"/>
  <c r="AU170" i="27"/>
  <c r="AL170" i="27" s="1"/>
  <c r="AR170" i="27"/>
  <c r="AP170" i="27"/>
  <c r="AO170" i="27"/>
  <c r="AK170" i="27"/>
  <c r="AN170" i="27" s="1"/>
  <c r="AJ170" i="27"/>
  <c r="AU169" i="27"/>
  <c r="AL169" i="27" s="1"/>
  <c r="AR169" i="27"/>
  <c r="AP169" i="27"/>
  <c r="AO169" i="27"/>
  <c r="AK169" i="27"/>
  <c r="AN169" i="27" s="1"/>
  <c r="AJ169" i="27"/>
  <c r="AU168" i="27"/>
  <c r="AL168" i="27" s="1"/>
  <c r="AR168" i="27"/>
  <c r="AP168" i="27"/>
  <c r="AO168" i="27"/>
  <c r="AK168" i="27"/>
  <c r="AN168" i="27" s="1"/>
  <c r="AJ168" i="27"/>
  <c r="AU167" i="27"/>
  <c r="AL167" i="27" s="1"/>
  <c r="AR167" i="27"/>
  <c r="AP167" i="27"/>
  <c r="AO167" i="27"/>
  <c r="AK167" i="27"/>
  <c r="AN167" i="27" s="1"/>
  <c r="AJ167" i="27"/>
  <c r="AU166" i="27"/>
  <c r="AL166" i="27" s="1"/>
  <c r="AR166" i="27"/>
  <c r="AP166" i="27"/>
  <c r="AO166" i="27"/>
  <c r="AK166" i="27"/>
  <c r="AN166" i="27" s="1"/>
  <c r="AJ166" i="27"/>
  <c r="AU165" i="27"/>
  <c r="AL165" i="27" s="1"/>
  <c r="AR165" i="27"/>
  <c r="AP165" i="27"/>
  <c r="AO165" i="27"/>
  <c r="AK165" i="27"/>
  <c r="AN165" i="27" s="1"/>
  <c r="AJ165" i="27"/>
  <c r="AU164" i="27"/>
  <c r="AL164" i="27" s="1"/>
  <c r="AR164" i="27"/>
  <c r="AP164" i="27"/>
  <c r="AO164" i="27"/>
  <c r="AK164" i="27"/>
  <c r="AN164" i="27" s="1"/>
  <c r="AJ164" i="27"/>
  <c r="AU163" i="27"/>
  <c r="AL163" i="27" s="1"/>
  <c r="AR163" i="27"/>
  <c r="AP163" i="27"/>
  <c r="AO163" i="27"/>
  <c r="AK163" i="27"/>
  <c r="AN163" i="27" s="1"/>
  <c r="AJ163" i="27"/>
  <c r="AU162" i="27"/>
  <c r="AL162" i="27" s="1"/>
  <c r="AR162" i="27"/>
  <c r="AP162" i="27"/>
  <c r="AO162" i="27"/>
  <c r="AK162" i="27"/>
  <c r="AN162" i="27" s="1"/>
  <c r="AJ162" i="27"/>
  <c r="AU161" i="27"/>
  <c r="AL161" i="27" s="1"/>
  <c r="AR161" i="27"/>
  <c r="AP161" i="27"/>
  <c r="AO161" i="27"/>
  <c r="AK161" i="27"/>
  <c r="AN161" i="27" s="1"/>
  <c r="AJ161" i="27"/>
  <c r="AU160" i="27"/>
  <c r="AL160" i="27" s="1"/>
  <c r="AR160" i="27"/>
  <c r="AP160" i="27"/>
  <c r="AO160" i="27"/>
  <c r="AK160" i="27"/>
  <c r="AN160" i="27" s="1"/>
  <c r="AJ160" i="27"/>
  <c r="AU159" i="27"/>
  <c r="AL159" i="27" s="1"/>
  <c r="AR159" i="27"/>
  <c r="AP159" i="27"/>
  <c r="AO159" i="27"/>
  <c r="AK159" i="27"/>
  <c r="AN159" i="27" s="1"/>
  <c r="AJ159" i="27"/>
  <c r="AU158" i="27"/>
  <c r="AL158" i="27" s="1"/>
  <c r="AR158" i="27"/>
  <c r="AP158" i="27"/>
  <c r="AO158" i="27"/>
  <c r="AK158" i="27"/>
  <c r="AN158" i="27" s="1"/>
  <c r="AJ158" i="27"/>
  <c r="AU157" i="27"/>
  <c r="AL157" i="27" s="1"/>
  <c r="AR157" i="27"/>
  <c r="AP157" i="27"/>
  <c r="AO157" i="27"/>
  <c r="AK157" i="27"/>
  <c r="AN157" i="27" s="1"/>
  <c r="AJ157" i="27"/>
  <c r="BJ156" i="27"/>
  <c r="BI156" i="27"/>
  <c r="BH156" i="27"/>
  <c r="BG156" i="27"/>
  <c r="BF156" i="27"/>
  <c r="BE156" i="27"/>
  <c r="BD156" i="27"/>
  <c r="BC156" i="27"/>
  <c r="AU156" i="27"/>
  <c r="AL156" i="27" s="1"/>
  <c r="AR156" i="27"/>
  <c r="AP156" i="27"/>
  <c r="AO156" i="27"/>
  <c r="AK156" i="27"/>
  <c r="AN156" i="27" s="1"/>
  <c r="AJ156" i="27"/>
  <c r="AU155" i="27"/>
  <c r="AL155" i="27" s="1"/>
  <c r="AR155" i="27"/>
  <c r="AP155" i="27"/>
  <c r="AO155" i="27"/>
  <c r="AK155" i="27"/>
  <c r="AN155" i="27" s="1"/>
  <c r="AJ155" i="27"/>
  <c r="AU154" i="27"/>
  <c r="AL154" i="27" s="1"/>
  <c r="AR154" i="27"/>
  <c r="AP154" i="27"/>
  <c r="AO154" i="27"/>
  <c r="AK154" i="27"/>
  <c r="AN154" i="27" s="1"/>
  <c r="AJ154" i="27"/>
  <c r="AU153" i="27"/>
  <c r="AL153" i="27" s="1"/>
  <c r="AR153" i="27"/>
  <c r="AP153" i="27"/>
  <c r="AO153" i="27"/>
  <c r="AK153" i="27"/>
  <c r="AN153" i="27" s="1"/>
  <c r="AJ153" i="27"/>
  <c r="AU152" i="27"/>
  <c r="AL152" i="27" s="1"/>
  <c r="AR152" i="27"/>
  <c r="AP152" i="27"/>
  <c r="AO152" i="27"/>
  <c r="AK152" i="27"/>
  <c r="AN152" i="27" s="1"/>
  <c r="AJ152" i="27"/>
  <c r="AU151" i="27"/>
  <c r="AL151" i="27" s="1"/>
  <c r="AR151" i="27"/>
  <c r="AP151" i="27"/>
  <c r="AO151" i="27"/>
  <c r="AK151" i="27"/>
  <c r="AN151" i="27" s="1"/>
  <c r="AJ151" i="27"/>
  <c r="AU150" i="27"/>
  <c r="AL150" i="27" s="1"/>
  <c r="AR150" i="27"/>
  <c r="AP150" i="27"/>
  <c r="AO150" i="27"/>
  <c r="AK150" i="27"/>
  <c r="AN150" i="27" s="1"/>
  <c r="AJ150" i="27"/>
  <c r="AU149" i="27"/>
  <c r="AL149" i="27" s="1"/>
  <c r="AR149" i="27"/>
  <c r="AP149" i="27"/>
  <c r="AO149" i="27"/>
  <c r="AK149" i="27"/>
  <c r="AN149" i="27" s="1"/>
  <c r="AJ149" i="27"/>
  <c r="AU148" i="27"/>
  <c r="AL148" i="27" s="1"/>
  <c r="AR148" i="27"/>
  <c r="AP148" i="27"/>
  <c r="AO148" i="27"/>
  <c r="AK148" i="27"/>
  <c r="AN148" i="27" s="1"/>
  <c r="AJ148" i="27"/>
  <c r="AU147" i="27"/>
  <c r="AL147" i="27" s="1"/>
  <c r="AR147" i="27"/>
  <c r="AP147" i="27"/>
  <c r="AO147" i="27"/>
  <c r="AK147" i="27"/>
  <c r="AN147" i="27" s="1"/>
  <c r="AJ147" i="27"/>
  <c r="BH146" i="27"/>
  <c r="AU146" i="27"/>
  <c r="AL146" i="27" s="1"/>
  <c r="AR146" i="27"/>
  <c r="AP146" i="27"/>
  <c r="AO146" i="27"/>
  <c r="AK146" i="27"/>
  <c r="AN146" i="27" s="1"/>
  <c r="AJ146" i="27"/>
  <c r="AU145" i="27"/>
  <c r="AL145" i="27" s="1"/>
  <c r="AR145" i="27"/>
  <c r="AP145" i="27"/>
  <c r="AO145" i="27"/>
  <c r="AK145" i="27"/>
  <c r="AN145" i="27" s="1"/>
  <c r="AJ145" i="27"/>
  <c r="AU144" i="27"/>
  <c r="AL144" i="27" s="1"/>
  <c r="AR144" i="27"/>
  <c r="AP144" i="27"/>
  <c r="AO144" i="27"/>
  <c r="AK144" i="27"/>
  <c r="AN144" i="27" s="1"/>
  <c r="AJ144" i="27"/>
  <c r="AU143" i="27"/>
  <c r="AL143" i="27" s="1"/>
  <c r="AR143" i="27"/>
  <c r="AP143" i="27"/>
  <c r="AO143" i="27"/>
  <c r="AK143" i="27"/>
  <c r="AN143" i="27" s="1"/>
  <c r="AJ143" i="27"/>
  <c r="BH142" i="27"/>
  <c r="BH143" i="27" s="1"/>
  <c r="BH144" i="27" s="1"/>
  <c r="BH145" i="27" s="1"/>
  <c r="AU142" i="27"/>
  <c r="AL142" i="27" s="1"/>
  <c r="AR142" i="27"/>
  <c r="AP142" i="27"/>
  <c r="AO142" i="27"/>
  <c r="AK142" i="27"/>
  <c r="AN142" i="27" s="1"/>
  <c r="AJ142" i="27"/>
  <c r="AU141" i="27"/>
  <c r="AL141" i="27" s="1"/>
  <c r="AR141" i="27"/>
  <c r="AP141" i="27"/>
  <c r="AO141" i="27"/>
  <c r="AK141" i="27"/>
  <c r="AN141" i="27" s="1"/>
  <c r="AJ141" i="27"/>
  <c r="AU140" i="27"/>
  <c r="AL140" i="27" s="1"/>
  <c r="AR140" i="27"/>
  <c r="AP140" i="27"/>
  <c r="AO140" i="27"/>
  <c r="AK140" i="27"/>
  <c r="AN140" i="27" s="1"/>
  <c r="AJ140" i="27"/>
  <c r="AU139" i="27"/>
  <c r="AL139" i="27" s="1"/>
  <c r="AR139" i="27"/>
  <c r="AP139" i="27"/>
  <c r="AO139" i="27"/>
  <c r="AK139" i="27"/>
  <c r="AN139" i="27" s="1"/>
  <c r="AJ139" i="27"/>
  <c r="AU138" i="27"/>
  <c r="AL138" i="27" s="1"/>
  <c r="AR138" i="27"/>
  <c r="AP138" i="27"/>
  <c r="AO138" i="27"/>
  <c r="AK138" i="27"/>
  <c r="AN138" i="27" s="1"/>
  <c r="AJ138" i="27"/>
  <c r="AU137" i="27"/>
  <c r="AL137" i="27" s="1"/>
  <c r="AR137" i="27"/>
  <c r="AP137" i="27"/>
  <c r="AO137" i="27"/>
  <c r="AK137" i="27"/>
  <c r="AN137" i="27" s="1"/>
  <c r="AJ137" i="27"/>
  <c r="AU136" i="27"/>
  <c r="AL136" i="27" s="1"/>
  <c r="AR136" i="27"/>
  <c r="AP136" i="27"/>
  <c r="AO136" i="27"/>
  <c r="AK136" i="27"/>
  <c r="AN136" i="27" s="1"/>
  <c r="AJ136" i="27"/>
  <c r="AU135" i="27"/>
  <c r="AL135" i="27" s="1"/>
  <c r="AR135" i="27"/>
  <c r="AP135" i="27"/>
  <c r="AO135" i="27"/>
  <c r="AK135" i="27"/>
  <c r="AN135" i="27" s="1"/>
  <c r="AJ135" i="27"/>
  <c r="AU134" i="27"/>
  <c r="AL134" i="27" s="1"/>
  <c r="AR134" i="27"/>
  <c r="AP134" i="27"/>
  <c r="AO134" i="27"/>
  <c r="AK134" i="27"/>
  <c r="AN134" i="27" s="1"/>
  <c r="AJ134" i="27"/>
  <c r="BH133" i="27"/>
  <c r="AU133" i="27"/>
  <c r="AL133" i="27" s="1"/>
  <c r="AR133" i="27"/>
  <c r="AP133" i="27"/>
  <c r="AO133" i="27"/>
  <c r="AK133" i="27"/>
  <c r="AN133" i="27" s="1"/>
  <c r="AJ133" i="27"/>
  <c r="AU132" i="27"/>
  <c r="AL132" i="27" s="1"/>
  <c r="AR132" i="27"/>
  <c r="AP132" i="27"/>
  <c r="AO132" i="27"/>
  <c r="AK132" i="27"/>
  <c r="AN132" i="27" s="1"/>
  <c r="AJ132" i="27"/>
  <c r="AU131" i="27"/>
  <c r="AL131" i="27" s="1"/>
  <c r="AR131" i="27"/>
  <c r="AP131" i="27"/>
  <c r="AO131" i="27"/>
  <c r="AK131" i="27"/>
  <c r="AN131" i="27" s="1"/>
  <c r="AJ131" i="27"/>
  <c r="AU130" i="27"/>
  <c r="AL130" i="27" s="1"/>
  <c r="AR130" i="27"/>
  <c r="AP130" i="27"/>
  <c r="AO130" i="27"/>
  <c r="AK130" i="27"/>
  <c r="AN130" i="27" s="1"/>
  <c r="AJ130" i="27"/>
  <c r="BH129" i="27"/>
  <c r="AU129" i="27"/>
  <c r="AL129" i="27" s="1"/>
  <c r="AR129" i="27"/>
  <c r="AP129" i="27"/>
  <c r="AO129" i="27"/>
  <c r="AK129" i="27"/>
  <c r="AN129" i="27" s="1"/>
  <c r="AJ129" i="27"/>
  <c r="AU128" i="27"/>
  <c r="AL128" i="27" s="1"/>
  <c r="AR128" i="27"/>
  <c r="AP128" i="27"/>
  <c r="AO128" i="27"/>
  <c r="AK128" i="27"/>
  <c r="AN128" i="27" s="1"/>
  <c r="AJ128" i="27"/>
  <c r="AU127" i="27"/>
  <c r="AL127" i="27" s="1"/>
  <c r="AR127" i="27"/>
  <c r="AP127" i="27"/>
  <c r="AO127" i="27"/>
  <c r="AK127" i="27"/>
  <c r="AN127" i="27" s="1"/>
  <c r="AJ127" i="27"/>
  <c r="AU126" i="27"/>
  <c r="AL126" i="27" s="1"/>
  <c r="AR126" i="27"/>
  <c r="AP126" i="27"/>
  <c r="AO126" i="27"/>
  <c r="AK126" i="27"/>
  <c r="AN126" i="27" s="1"/>
  <c r="AJ126" i="27"/>
  <c r="AU125" i="27"/>
  <c r="AL125" i="27" s="1"/>
  <c r="AR125" i="27"/>
  <c r="AP125" i="27"/>
  <c r="AO125" i="27"/>
  <c r="AK125" i="27"/>
  <c r="AN125" i="27" s="1"/>
  <c r="AJ125" i="27"/>
  <c r="AU124" i="27"/>
  <c r="AL124" i="27" s="1"/>
  <c r="AR124" i="27"/>
  <c r="AP124" i="27"/>
  <c r="AO124" i="27"/>
  <c r="AK124" i="27"/>
  <c r="AN124" i="27" s="1"/>
  <c r="AJ124" i="27"/>
  <c r="AU123" i="27"/>
  <c r="AL123" i="27" s="1"/>
  <c r="AR123" i="27"/>
  <c r="AP123" i="27"/>
  <c r="AO123" i="27"/>
  <c r="AK123" i="27"/>
  <c r="AN123" i="27" s="1"/>
  <c r="AJ123" i="27"/>
  <c r="AU122" i="27"/>
  <c r="AL122" i="27" s="1"/>
  <c r="AR122" i="27"/>
  <c r="AP122" i="27"/>
  <c r="AO122" i="27"/>
  <c r="AK122" i="27"/>
  <c r="AN122" i="27" s="1"/>
  <c r="AJ122" i="27"/>
  <c r="AU121" i="27"/>
  <c r="AL121" i="27" s="1"/>
  <c r="AR121" i="27"/>
  <c r="AP121" i="27"/>
  <c r="AO121" i="27"/>
  <c r="AK121" i="27"/>
  <c r="AN121" i="27" s="1"/>
  <c r="AJ121" i="27"/>
  <c r="BH120" i="27"/>
  <c r="AU120" i="27"/>
  <c r="AL120" i="27" s="1"/>
  <c r="AR120" i="27"/>
  <c r="AP120" i="27"/>
  <c r="AO120" i="27"/>
  <c r="AK120" i="27"/>
  <c r="AN120" i="27" s="1"/>
  <c r="AJ120" i="27"/>
  <c r="AU119" i="27"/>
  <c r="AL119" i="27" s="1"/>
  <c r="AR119" i="27"/>
  <c r="AP119" i="27"/>
  <c r="AO119" i="27"/>
  <c r="AK119" i="27"/>
  <c r="AN119" i="27" s="1"/>
  <c r="AJ119" i="27"/>
  <c r="AU118" i="27"/>
  <c r="AL118" i="27" s="1"/>
  <c r="AR118" i="27"/>
  <c r="AP118" i="27"/>
  <c r="AO118" i="27"/>
  <c r="AK118" i="27"/>
  <c r="AN118" i="27" s="1"/>
  <c r="AJ118" i="27"/>
  <c r="AU117" i="27"/>
  <c r="AL117" i="27" s="1"/>
  <c r="AR117" i="27"/>
  <c r="AP117" i="27"/>
  <c r="AO117" i="27"/>
  <c r="AK117" i="27"/>
  <c r="AN117" i="27" s="1"/>
  <c r="AJ117" i="27"/>
  <c r="BH116" i="27"/>
  <c r="BH117" i="27" s="1"/>
  <c r="BH118" i="27" s="1"/>
  <c r="BH119" i="27" s="1"/>
  <c r="AU116" i="27"/>
  <c r="AL116" i="27" s="1"/>
  <c r="AR116" i="27"/>
  <c r="AP116" i="27"/>
  <c r="AO116" i="27"/>
  <c r="AK116" i="27"/>
  <c r="AN116" i="27" s="1"/>
  <c r="AJ116" i="27"/>
  <c r="AU115" i="27"/>
  <c r="AL115" i="27" s="1"/>
  <c r="AR115" i="27"/>
  <c r="AP115" i="27"/>
  <c r="AO115" i="27"/>
  <c r="AK115" i="27"/>
  <c r="AN115" i="27" s="1"/>
  <c r="AJ115" i="27"/>
  <c r="AU114" i="27"/>
  <c r="AL114" i="27" s="1"/>
  <c r="AR114" i="27"/>
  <c r="AP114" i="27"/>
  <c r="AO114" i="27"/>
  <c r="AK114" i="27"/>
  <c r="AN114" i="27" s="1"/>
  <c r="AJ114" i="27"/>
  <c r="AU113" i="27"/>
  <c r="AL113" i="27" s="1"/>
  <c r="AR113" i="27"/>
  <c r="AP113" i="27"/>
  <c r="AO113" i="27"/>
  <c r="AK113" i="27"/>
  <c r="AN113" i="27" s="1"/>
  <c r="AJ113" i="27"/>
  <c r="AU112" i="27"/>
  <c r="AL112" i="27" s="1"/>
  <c r="AR112" i="27"/>
  <c r="AP112" i="27"/>
  <c r="AO112" i="27"/>
  <c r="AK112" i="27"/>
  <c r="AN112" i="27" s="1"/>
  <c r="AJ112" i="27"/>
  <c r="AU111" i="27"/>
  <c r="AL111" i="27" s="1"/>
  <c r="AR111" i="27"/>
  <c r="AP111" i="27"/>
  <c r="AO111" i="27"/>
  <c r="AK111" i="27"/>
  <c r="AN111" i="27" s="1"/>
  <c r="AJ111" i="27"/>
  <c r="AU110" i="27"/>
  <c r="AL110" i="27" s="1"/>
  <c r="AR110" i="27"/>
  <c r="AP110" i="27"/>
  <c r="AO110" i="27"/>
  <c r="AK110" i="27"/>
  <c r="AN110" i="27" s="1"/>
  <c r="AJ110" i="27"/>
  <c r="AU109" i="27"/>
  <c r="AL109" i="27" s="1"/>
  <c r="AR109" i="27"/>
  <c r="AP109" i="27"/>
  <c r="AO109" i="27"/>
  <c r="AK109" i="27"/>
  <c r="AN109" i="27" s="1"/>
  <c r="AJ109" i="27"/>
  <c r="AU108" i="27"/>
  <c r="AL108" i="27" s="1"/>
  <c r="AR108" i="27"/>
  <c r="AP108" i="27"/>
  <c r="AO108" i="27"/>
  <c r="AK108" i="27"/>
  <c r="AN108" i="27" s="1"/>
  <c r="AJ108" i="27"/>
  <c r="BH107" i="27"/>
  <c r="AU107" i="27"/>
  <c r="AL107" i="27" s="1"/>
  <c r="AR107" i="27"/>
  <c r="AP107" i="27"/>
  <c r="AO107" i="27"/>
  <c r="AK107" i="27"/>
  <c r="AN107" i="27" s="1"/>
  <c r="AJ107" i="27"/>
  <c r="AU106" i="27"/>
  <c r="AL106" i="27" s="1"/>
  <c r="AR106" i="27"/>
  <c r="AP106" i="27"/>
  <c r="AO106" i="27"/>
  <c r="AK106" i="27"/>
  <c r="AN106" i="27" s="1"/>
  <c r="AJ106" i="27"/>
  <c r="AU105" i="27"/>
  <c r="AL105" i="27" s="1"/>
  <c r="AR105" i="27"/>
  <c r="AP105" i="27"/>
  <c r="AO105" i="27"/>
  <c r="AK105" i="27"/>
  <c r="AN105" i="27" s="1"/>
  <c r="AJ105" i="27"/>
  <c r="AU104" i="27"/>
  <c r="AL104" i="27" s="1"/>
  <c r="AR104" i="27"/>
  <c r="AP104" i="27"/>
  <c r="AO104" i="27"/>
  <c r="AK104" i="27"/>
  <c r="AN104" i="27" s="1"/>
  <c r="AJ104" i="27"/>
  <c r="BH103" i="27"/>
  <c r="BH104" i="27" s="1"/>
  <c r="BH105" i="27" s="1"/>
  <c r="BH106" i="27" s="1"/>
  <c r="AU103" i="27"/>
  <c r="AL103" i="27" s="1"/>
  <c r="AR103" i="27"/>
  <c r="AP103" i="27"/>
  <c r="AO103" i="27"/>
  <c r="AK103" i="27"/>
  <c r="AN103" i="27" s="1"/>
  <c r="AJ103" i="27"/>
  <c r="BE102" i="27"/>
  <c r="AU102" i="27"/>
  <c r="AL102" i="27" s="1"/>
  <c r="AR102" i="27"/>
  <c r="AP102" i="27"/>
  <c r="AO102" i="27"/>
  <c r="AK102" i="27"/>
  <c r="AN102" i="27" s="1"/>
  <c r="AJ102" i="27"/>
  <c r="AU101" i="27"/>
  <c r="AL101" i="27" s="1"/>
  <c r="AR101" i="27"/>
  <c r="AP101" i="27"/>
  <c r="AO101" i="27"/>
  <c r="AK101" i="27"/>
  <c r="AN101" i="27" s="1"/>
  <c r="AJ101" i="27"/>
  <c r="AU100" i="27"/>
  <c r="AL100" i="27" s="1"/>
  <c r="AR100" i="27"/>
  <c r="AP100" i="27"/>
  <c r="AO100" i="27"/>
  <c r="AK100" i="27"/>
  <c r="AN100" i="27" s="1"/>
  <c r="AJ100" i="27"/>
  <c r="AU99" i="27"/>
  <c r="AL99" i="27" s="1"/>
  <c r="AR99" i="27"/>
  <c r="AP99" i="27"/>
  <c r="AO99" i="27"/>
  <c r="AK99" i="27"/>
  <c r="AN99" i="27" s="1"/>
  <c r="AJ99" i="27"/>
  <c r="BJ98" i="27"/>
  <c r="BI98" i="27"/>
  <c r="BF98" i="27"/>
  <c r="AU98" i="27"/>
  <c r="AL98" i="27" s="1"/>
  <c r="AR98" i="27"/>
  <c r="AP98" i="27"/>
  <c r="AO98" i="27"/>
  <c r="AK98" i="27"/>
  <c r="AN98" i="27" s="1"/>
  <c r="AJ98" i="27"/>
  <c r="BJ97" i="27"/>
  <c r="BI97" i="27"/>
  <c r="BF97" i="27"/>
  <c r="AU97" i="27"/>
  <c r="AL97" i="27" s="1"/>
  <c r="AR97" i="27"/>
  <c r="AP97" i="27"/>
  <c r="AO97" i="27"/>
  <c r="AK97" i="27"/>
  <c r="AN97" i="27" s="1"/>
  <c r="AJ97" i="27"/>
  <c r="BJ96" i="27"/>
  <c r="BI96" i="27"/>
  <c r="BF96" i="27"/>
  <c r="AU96" i="27"/>
  <c r="AL96" i="27" s="1"/>
  <c r="AR96" i="27"/>
  <c r="AP96" i="27"/>
  <c r="AO96" i="27"/>
  <c r="AK96" i="27"/>
  <c r="AN96" i="27" s="1"/>
  <c r="AJ96" i="27"/>
  <c r="BJ95" i="27"/>
  <c r="BI95" i="27"/>
  <c r="BF95" i="27"/>
  <c r="BJ43" i="27" s="1"/>
  <c r="AU95" i="27"/>
  <c r="AL95" i="27" s="1"/>
  <c r="AR95" i="27"/>
  <c r="AP95" i="27"/>
  <c r="AO95" i="27"/>
  <c r="AK95" i="27"/>
  <c r="AN95" i="27" s="1"/>
  <c r="AJ95" i="27"/>
  <c r="AU94" i="27"/>
  <c r="AL94" i="27" s="1"/>
  <c r="AR94" i="27"/>
  <c r="AP94" i="27"/>
  <c r="AO94" i="27"/>
  <c r="AK94" i="27"/>
  <c r="AN94" i="27" s="1"/>
  <c r="AJ94" i="27"/>
  <c r="AU93" i="27"/>
  <c r="AL93" i="27" s="1"/>
  <c r="AR93" i="27"/>
  <c r="AP93" i="27"/>
  <c r="AO93" i="27"/>
  <c r="AK93" i="27"/>
  <c r="AN93" i="27" s="1"/>
  <c r="AJ93" i="27"/>
  <c r="AU92" i="27"/>
  <c r="AL92" i="27" s="1"/>
  <c r="AR92" i="27"/>
  <c r="AP92" i="27"/>
  <c r="AO92" i="27"/>
  <c r="AK92" i="27"/>
  <c r="AN92" i="27" s="1"/>
  <c r="AJ92" i="27"/>
  <c r="BC91" i="27" a="1"/>
  <c r="BC91" i="27" s="1"/>
  <c r="AU91" i="27"/>
  <c r="AL91" i="27" s="1"/>
  <c r="AR91" i="27"/>
  <c r="AP91" i="27"/>
  <c r="AO91" i="27"/>
  <c r="AK91" i="27"/>
  <c r="AN91" i="27" s="1"/>
  <c r="AJ91" i="27"/>
  <c r="AU90" i="27"/>
  <c r="AL90" i="27" s="1"/>
  <c r="AR90" i="27"/>
  <c r="AP90" i="27"/>
  <c r="AO90" i="27"/>
  <c r="AK90" i="27"/>
  <c r="AN90" i="27" s="1"/>
  <c r="AJ90" i="27"/>
  <c r="AU89" i="27"/>
  <c r="AL89" i="27" s="1"/>
  <c r="AR89" i="27"/>
  <c r="AP89" i="27"/>
  <c r="AO89" i="27"/>
  <c r="AK89" i="27"/>
  <c r="AN89" i="27" s="1"/>
  <c r="AJ89" i="27"/>
  <c r="AU88" i="27"/>
  <c r="AL88" i="27" s="1"/>
  <c r="AR88" i="27"/>
  <c r="AP88" i="27"/>
  <c r="AO88" i="27"/>
  <c r="AK88" i="27"/>
  <c r="AN88" i="27" s="1"/>
  <c r="AJ88" i="27"/>
  <c r="BE87" i="27"/>
  <c r="AU87" i="27"/>
  <c r="AL87" i="27" s="1"/>
  <c r="AR87" i="27"/>
  <c r="AP87" i="27"/>
  <c r="AO87" i="27"/>
  <c r="AK87" i="27"/>
  <c r="AN87" i="27" s="1"/>
  <c r="AJ87" i="27"/>
  <c r="AU86" i="27"/>
  <c r="AL86" i="27" s="1"/>
  <c r="AR86" i="27"/>
  <c r="AP86" i="27"/>
  <c r="AO86" i="27"/>
  <c r="AK86" i="27"/>
  <c r="AN86" i="27" s="1"/>
  <c r="AJ86" i="27"/>
  <c r="AU85" i="27"/>
  <c r="AL85" i="27" s="1"/>
  <c r="AR85" i="27"/>
  <c r="AP85" i="27"/>
  <c r="AO85" i="27"/>
  <c r="AK85" i="27"/>
  <c r="AN85" i="27" s="1"/>
  <c r="AJ85" i="27"/>
  <c r="AU84" i="27"/>
  <c r="AL84" i="27" s="1"/>
  <c r="AR84" i="27"/>
  <c r="AP84" i="27"/>
  <c r="AO84" i="27"/>
  <c r="AK84" i="27"/>
  <c r="AN84" i="27" s="1"/>
  <c r="AJ84" i="27"/>
  <c r="AU83" i="27"/>
  <c r="AL83" i="27" s="1"/>
  <c r="AR83" i="27"/>
  <c r="AP83" i="27"/>
  <c r="AO83" i="27"/>
  <c r="AK83" i="27"/>
  <c r="AN83" i="27" s="1"/>
  <c r="AJ83" i="27"/>
  <c r="AU82" i="27"/>
  <c r="AL82" i="27" s="1"/>
  <c r="AR82" i="27"/>
  <c r="AP82" i="27"/>
  <c r="AO82" i="27"/>
  <c r="AK82" i="27"/>
  <c r="AN82" i="27" s="1"/>
  <c r="AJ82" i="27"/>
  <c r="AU81" i="27"/>
  <c r="AL81" i="27" s="1"/>
  <c r="AR81" i="27"/>
  <c r="AP81" i="27"/>
  <c r="AO81" i="27"/>
  <c r="AK81" i="27"/>
  <c r="AN81" i="27" s="1"/>
  <c r="AJ81" i="27"/>
  <c r="AU80" i="27"/>
  <c r="AL80" i="27" s="1"/>
  <c r="AR80" i="27"/>
  <c r="AP80" i="27"/>
  <c r="AO80" i="27"/>
  <c r="AK80" i="27"/>
  <c r="AN80" i="27" s="1"/>
  <c r="AJ80" i="27"/>
  <c r="AU79" i="27"/>
  <c r="AL79" i="27" s="1"/>
  <c r="AR79" i="27"/>
  <c r="AP79" i="27"/>
  <c r="AO79" i="27"/>
  <c r="AK79" i="27"/>
  <c r="AN79" i="27" s="1"/>
  <c r="AJ79" i="27"/>
  <c r="BR78" i="27"/>
  <c r="BQ78" i="27"/>
  <c r="BP78" i="27"/>
  <c r="BO78" i="27"/>
  <c r="BN78" i="27"/>
  <c r="AU78" i="27"/>
  <c r="AL78" i="27" s="1"/>
  <c r="AR78" i="27"/>
  <c r="AP78" i="27"/>
  <c r="AO78" i="27"/>
  <c r="AK78" i="27"/>
  <c r="AN78" i="27" s="1"/>
  <c r="AJ78" i="27"/>
  <c r="AU77" i="27"/>
  <c r="AL77" i="27" s="1"/>
  <c r="AR77" i="27"/>
  <c r="AP77" i="27"/>
  <c r="AO77" i="27"/>
  <c r="AK77" i="27"/>
  <c r="AN77" i="27" s="1"/>
  <c r="AJ77" i="27"/>
  <c r="AU76" i="27"/>
  <c r="AL76" i="27" s="1"/>
  <c r="AR76" i="27"/>
  <c r="AP76" i="27"/>
  <c r="AO76" i="27"/>
  <c r="AK76" i="27"/>
  <c r="AN76" i="27" s="1"/>
  <c r="AJ76" i="27"/>
  <c r="AU75" i="27"/>
  <c r="AL75" i="27" s="1"/>
  <c r="AR75" i="27"/>
  <c r="AP75" i="27"/>
  <c r="AO75" i="27"/>
  <c r="AK75" i="27"/>
  <c r="AN75" i="27" s="1"/>
  <c r="AJ75" i="27"/>
  <c r="AU74" i="27"/>
  <c r="AL74" i="27" s="1"/>
  <c r="AR74" i="27"/>
  <c r="AP74" i="27"/>
  <c r="AO74" i="27"/>
  <c r="AK74" i="27"/>
  <c r="AN74" i="27" s="1"/>
  <c r="AJ74" i="27"/>
  <c r="AU73" i="27"/>
  <c r="AL73" i="27" s="1"/>
  <c r="AR73" i="27"/>
  <c r="AP73" i="27"/>
  <c r="AO73" i="27"/>
  <c r="AK73" i="27"/>
  <c r="AN73" i="27" s="1"/>
  <c r="AJ73" i="27"/>
  <c r="AU72" i="27"/>
  <c r="AL72" i="27" s="1"/>
  <c r="AR72" i="27"/>
  <c r="AP72" i="27"/>
  <c r="AO72" i="27"/>
  <c r="AK72" i="27"/>
  <c r="AN72" i="27" s="1"/>
  <c r="AJ72" i="27"/>
  <c r="AU71" i="27"/>
  <c r="AL71" i="27" s="1"/>
  <c r="AR71" i="27"/>
  <c r="AR27" i="27" s="1"/>
  <c r="AP71" i="27"/>
  <c r="AO71" i="27"/>
  <c r="AK71" i="27"/>
  <c r="AN71" i="27" s="1"/>
  <c r="AJ71" i="27"/>
  <c r="AU70" i="27"/>
  <c r="AL70" i="27" s="1"/>
  <c r="AR70" i="27"/>
  <c r="AP70" i="27"/>
  <c r="AO70" i="27"/>
  <c r="AJ70" i="27"/>
  <c r="AA70" i="27"/>
  <c r="AX69" i="27"/>
  <c r="AZ69" i="27" s="1"/>
  <c r="AU69" i="27"/>
  <c r="AR69" i="27"/>
  <c r="AP69" i="27"/>
  <c r="AO69" i="27"/>
  <c r="AJ69" i="27"/>
  <c r="AA69" i="27"/>
  <c r="U69" i="27"/>
  <c r="AX68" i="27"/>
  <c r="AZ68" i="27" s="1"/>
  <c r="AU68" i="27"/>
  <c r="AL68" i="27" s="1"/>
  <c r="AR68" i="27"/>
  <c r="AP68" i="27"/>
  <c r="AO68" i="27"/>
  <c r="AJ68" i="27"/>
  <c r="AA68" i="27"/>
  <c r="U68" i="27"/>
  <c r="AX67" i="27"/>
  <c r="AZ67" i="27" s="1"/>
  <c r="AU67" i="27"/>
  <c r="AL67" i="27" s="1"/>
  <c r="AR67" i="27"/>
  <c r="AP67" i="27"/>
  <c r="AO67" i="27"/>
  <c r="AJ67" i="27"/>
  <c r="AA67" i="27"/>
  <c r="U67" i="27"/>
  <c r="AX66" i="27"/>
  <c r="AZ66" i="27" s="1"/>
  <c r="AU66" i="27"/>
  <c r="AL66" i="27" s="1"/>
  <c r="AR66" i="27"/>
  <c r="AP66" i="27"/>
  <c r="AO66" i="27"/>
  <c r="AJ66" i="27"/>
  <c r="AA66" i="27"/>
  <c r="U66" i="27"/>
  <c r="AX65" i="27"/>
  <c r="AZ65" i="27" s="1"/>
  <c r="AU65" i="27"/>
  <c r="AR65" i="27"/>
  <c r="AP65" i="27"/>
  <c r="AO65" i="27"/>
  <c r="AJ65" i="27"/>
  <c r="AA65" i="27"/>
  <c r="U65" i="27"/>
  <c r="AX64" i="27"/>
  <c r="AZ64" i="27" s="1"/>
  <c r="AU64" i="27"/>
  <c r="AL64" i="27" s="1"/>
  <c r="AR64" i="27"/>
  <c r="AP64" i="27"/>
  <c r="AO64" i="27"/>
  <c r="AJ64" i="27"/>
  <c r="AA64" i="27"/>
  <c r="U64" i="27"/>
  <c r="AX63" i="27"/>
  <c r="AZ63" i="27" s="1"/>
  <c r="AU63" i="27"/>
  <c r="AL63" i="27" s="1"/>
  <c r="AR63" i="27"/>
  <c r="AP63" i="27"/>
  <c r="AO63" i="27"/>
  <c r="AJ63" i="27"/>
  <c r="AA63" i="27"/>
  <c r="U63" i="27"/>
  <c r="AX62" i="27"/>
  <c r="AZ62" i="27" s="1"/>
  <c r="AU62" i="27"/>
  <c r="AL62" i="27" s="1"/>
  <c r="AR62" i="27"/>
  <c r="AP62" i="27"/>
  <c r="AO62" i="27"/>
  <c r="AJ62" i="27"/>
  <c r="AA62" i="27"/>
  <c r="U62" i="27"/>
  <c r="AX61" i="27"/>
  <c r="AZ61" i="27" s="1"/>
  <c r="AU61" i="27"/>
  <c r="AL61" i="27" s="1"/>
  <c r="AR61" i="27"/>
  <c r="AP61" i="27"/>
  <c r="AO61" i="27"/>
  <c r="AJ61" i="27"/>
  <c r="AA61" i="27"/>
  <c r="U61" i="27"/>
  <c r="AX60" i="27"/>
  <c r="AZ60" i="27" s="1"/>
  <c r="AU60" i="27"/>
  <c r="AR60" i="27"/>
  <c r="AP60" i="27"/>
  <c r="AO60" i="27"/>
  <c r="AJ60" i="27"/>
  <c r="AA60" i="27"/>
  <c r="U60" i="27"/>
  <c r="AX59" i="27"/>
  <c r="AZ59" i="27" s="1"/>
  <c r="AU59" i="27"/>
  <c r="AR59" i="27"/>
  <c r="AP59" i="27"/>
  <c r="AO59" i="27"/>
  <c r="AJ59" i="27"/>
  <c r="AA59" i="27"/>
  <c r="U59" i="27"/>
  <c r="AX58" i="27"/>
  <c r="AZ58" i="27" s="1"/>
  <c r="AU58" i="27"/>
  <c r="AL58" i="27" s="1"/>
  <c r="AR58" i="27"/>
  <c r="AP58" i="27"/>
  <c r="AO58" i="27"/>
  <c r="AJ58" i="27"/>
  <c r="AA58" i="27"/>
  <c r="U58" i="27"/>
  <c r="AX57" i="27"/>
  <c r="AZ57" i="27" s="1"/>
  <c r="AU57" i="27"/>
  <c r="AL57" i="27" s="1"/>
  <c r="AR57" i="27"/>
  <c r="AP57" i="27"/>
  <c r="AO57" i="27"/>
  <c r="AJ57" i="27"/>
  <c r="AA57" i="27"/>
  <c r="U57" i="27"/>
  <c r="AX56" i="27"/>
  <c r="AZ56" i="27" s="1"/>
  <c r="AU56" i="27"/>
  <c r="AL56" i="27" s="1"/>
  <c r="AR56" i="27"/>
  <c r="AP56" i="27"/>
  <c r="AO56" i="27"/>
  <c r="AJ56" i="27"/>
  <c r="AA56" i="27"/>
  <c r="U56" i="27"/>
  <c r="AX55" i="27"/>
  <c r="AZ55" i="27" s="1"/>
  <c r="AU55" i="27"/>
  <c r="AL55" i="27" s="1"/>
  <c r="AR55" i="27"/>
  <c r="AP55" i="27"/>
  <c r="AO55" i="27"/>
  <c r="AJ55" i="27"/>
  <c r="AA55" i="27"/>
  <c r="U55" i="27"/>
  <c r="AX54" i="27"/>
  <c r="AZ54" i="27" s="1"/>
  <c r="AU54" i="27"/>
  <c r="AL54" i="27" s="1"/>
  <c r="AR54" i="27"/>
  <c r="AP54" i="27"/>
  <c r="AO54" i="27"/>
  <c r="AJ54" i="27"/>
  <c r="AA54" i="27"/>
  <c r="U54" i="27"/>
  <c r="AX53" i="27"/>
  <c r="AZ53" i="27" s="1"/>
  <c r="AU53" i="27"/>
  <c r="AL53" i="27" s="1"/>
  <c r="AR53" i="27"/>
  <c r="AP53" i="27"/>
  <c r="AO53" i="27"/>
  <c r="AJ53" i="27"/>
  <c r="AA53" i="27"/>
  <c r="U53" i="27"/>
  <c r="AX52" i="27"/>
  <c r="AZ52" i="27" s="1"/>
  <c r="AU52" i="27"/>
  <c r="AR52" i="27"/>
  <c r="AP52" i="27"/>
  <c r="AO52" i="27"/>
  <c r="AJ52" i="27"/>
  <c r="AA52" i="27"/>
  <c r="U52" i="27"/>
  <c r="AX51" i="27"/>
  <c r="AZ51" i="27" s="1"/>
  <c r="AU51" i="27"/>
  <c r="AL51" i="27" s="1"/>
  <c r="AR51" i="27"/>
  <c r="AP51" i="27"/>
  <c r="AO51" i="27"/>
  <c r="AJ51" i="27"/>
  <c r="AA51" i="27"/>
  <c r="U51" i="27"/>
  <c r="A51" i="27" s="1"/>
  <c r="BL51" i="27" s="1"/>
  <c r="AX50" i="27"/>
  <c r="AZ50" i="27" s="1"/>
  <c r="AU50" i="27"/>
  <c r="AL50" i="27" s="1"/>
  <c r="AR50" i="27"/>
  <c r="AP50" i="27"/>
  <c r="AO50" i="27"/>
  <c r="AJ50" i="27"/>
  <c r="AA50" i="27"/>
  <c r="U50" i="27"/>
  <c r="A50" i="27" s="1"/>
  <c r="BL50" i="27" s="1"/>
  <c r="AX49" i="27"/>
  <c r="AZ49" i="27" s="1"/>
  <c r="AU49" i="27"/>
  <c r="AL49" i="27" s="1"/>
  <c r="AR49" i="27"/>
  <c r="AP49" i="27"/>
  <c r="AO49" i="27"/>
  <c r="AJ49" i="27"/>
  <c r="AA49" i="27"/>
  <c r="U49" i="27"/>
  <c r="A49" i="27" s="1"/>
  <c r="BL49" i="27" s="1"/>
  <c r="AX48" i="27"/>
  <c r="AZ48" i="27" s="1"/>
  <c r="AU48" i="27"/>
  <c r="AL48" i="27" s="1"/>
  <c r="AR48" i="27"/>
  <c r="AP48" i="27"/>
  <c r="AO48" i="27"/>
  <c r="AJ48" i="27"/>
  <c r="AA48" i="27"/>
  <c r="U48" i="27"/>
  <c r="AX47" i="27"/>
  <c r="AZ47" i="27" s="1"/>
  <c r="AU47" i="27"/>
  <c r="AL47" i="27" s="1"/>
  <c r="AR47" i="27"/>
  <c r="AP47" i="27"/>
  <c r="AO47" i="27"/>
  <c r="AJ47" i="27"/>
  <c r="AA47" i="27"/>
  <c r="U47" i="27"/>
  <c r="A47" i="27" s="1"/>
  <c r="BL47" i="27" s="1"/>
  <c r="AX46" i="27"/>
  <c r="AZ46" i="27" s="1"/>
  <c r="AU46" i="27"/>
  <c r="AL46" i="27" s="1"/>
  <c r="AR46" i="27"/>
  <c r="AP46" i="27"/>
  <c r="AO46" i="27"/>
  <c r="AJ46" i="27"/>
  <c r="AA46" i="27"/>
  <c r="U46" i="27"/>
  <c r="A46" i="27" s="1"/>
  <c r="BL46" i="27" s="1"/>
  <c r="AX45" i="27"/>
  <c r="AZ45" i="27" s="1"/>
  <c r="AU45" i="27"/>
  <c r="AL45" i="27" s="1"/>
  <c r="AR45" i="27"/>
  <c r="AP45" i="27"/>
  <c r="AO45" i="27"/>
  <c r="AJ45" i="27"/>
  <c r="AA45" i="27"/>
  <c r="U45" i="27"/>
  <c r="A45" i="27" s="1"/>
  <c r="BL45" i="27" s="1"/>
  <c r="AX44" i="27"/>
  <c r="AZ44" i="27" s="1"/>
  <c r="AU44" i="27"/>
  <c r="AL44" i="27" s="1"/>
  <c r="AR44" i="27"/>
  <c r="AP44" i="27"/>
  <c r="AO44" i="27"/>
  <c r="AJ44" i="27"/>
  <c r="AA44" i="27"/>
  <c r="U44" i="27"/>
  <c r="A44" i="27" s="1"/>
  <c r="BL44" i="27" s="1"/>
  <c r="AX43" i="27"/>
  <c r="AZ43" i="27" s="1"/>
  <c r="AU43" i="27"/>
  <c r="AP43" i="27"/>
  <c r="AO43" i="27"/>
  <c r="AA43" i="27"/>
  <c r="U43" i="27"/>
  <c r="A43" i="27" s="1"/>
  <c r="BL43" i="27" s="1"/>
  <c r="AX42" i="27"/>
  <c r="AZ42" i="27" s="1"/>
  <c r="AU42" i="27"/>
  <c r="AL42" i="27" s="1"/>
  <c r="AP42" i="27"/>
  <c r="AO42" i="27"/>
  <c r="AJ42" i="27"/>
  <c r="AA42" i="27"/>
  <c r="U42" i="27"/>
  <c r="A42" i="27" s="1"/>
  <c r="BL42" i="27" s="1"/>
  <c r="AX41" i="27"/>
  <c r="AZ41" i="27" s="1"/>
  <c r="AU41" i="27"/>
  <c r="AL41" i="27" s="1"/>
  <c r="AP41" i="27"/>
  <c r="AO41" i="27"/>
  <c r="AJ41" i="27"/>
  <c r="AA41" i="27"/>
  <c r="U41" i="27"/>
  <c r="A41" i="27" s="1"/>
  <c r="BL41" i="27" s="1"/>
  <c r="AX40" i="27"/>
  <c r="AZ40" i="27" s="1"/>
  <c r="AU40" i="27"/>
  <c r="AL40" i="27" s="1"/>
  <c r="AP40" i="27"/>
  <c r="AO40" i="27"/>
  <c r="AJ40" i="27"/>
  <c r="AA40" i="27"/>
  <c r="U40" i="27"/>
  <c r="AX39" i="27"/>
  <c r="AZ39" i="27" s="1"/>
  <c r="AU39" i="27"/>
  <c r="AP39" i="27"/>
  <c r="AO39" i="27"/>
  <c r="AA39" i="27"/>
  <c r="U39" i="27"/>
  <c r="AX38" i="27"/>
  <c r="AZ38" i="27" s="1"/>
  <c r="AU38" i="27"/>
  <c r="AP38" i="27"/>
  <c r="AO38" i="27"/>
  <c r="AA38" i="27"/>
  <c r="U38" i="27"/>
  <c r="AX37" i="27"/>
  <c r="AZ37" i="27" s="1"/>
  <c r="AU37" i="27"/>
  <c r="AP37" i="27"/>
  <c r="AO37" i="27"/>
  <c r="AA37" i="27"/>
  <c r="U37" i="27"/>
  <c r="AX36" i="27"/>
  <c r="AZ36" i="27" s="1"/>
  <c r="AU36" i="27"/>
  <c r="AP36" i="27"/>
  <c r="AO36" i="27"/>
  <c r="AA36" i="27"/>
  <c r="U36" i="27"/>
  <c r="AX35" i="27"/>
  <c r="AZ35" i="27" s="1"/>
  <c r="AU35" i="27"/>
  <c r="AP35" i="27"/>
  <c r="AO35" i="27"/>
  <c r="AA35" i="27"/>
  <c r="U35" i="27"/>
  <c r="AX34" i="27"/>
  <c r="AZ34" i="27" s="1"/>
  <c r="AU34" i="27"/>
  <c r="AP34" i="27"/>
  <c r="AO34" i="27"/>
  <c r="AA34" i="27"/>
  <c r="U34" i="27"/>
  <c r="AZ33" i="27"/>
  <c r="AU33" i="27"/>
  <c r="AP33" i="27"/>
  <c r="AO33" i="27"/>
  <c r="AA33" i="27"/>
  <c r="U33" i="27"/>
  <c r="AU32" i="27"/>
  <c r="AP32" i="27"/>
  <c r="AO32" i="27"/>
  <c r="AA32" i="27"/>
  <c r="U32" i="27"/>
  <c r="AZ31" i="27"/>
  <c r="AU31" i="27"/>
  <c r="AP31" i="27"/>
  <c r="AO31" i="27"/>
  <c r="AA31" i="27"/>
  <c r="U31" i="27"/>
  <c r="AU30" i="27"/>
  <c r="AP30" i="27"/>
  <c r="AO30" i="27"/>
  <c r="AA30" i="27"/>
  <c r="U30" i="27"/>
  <c r="AZ29" i="27"/>
  <c r="AU29" i="27"/>
  <c r="AP29" i="27"/>
  <c r="AO29" i="27"/>
  <c r="AA29" i="27"/>
  <c r="AZ28" i="27"/>
  <c r="AZ27" i="27"/>
  <c r="AL27" i="27"/>
  <c r="AX26" i="27"/>
  <c r="AX25" i="27"/>
  <c r="AZ25" i="27" s="1"/>
  <c r="Y25" i="27"/>
  <c r="X25" i="27"/>
  <c r="W25" i="27"/>
  <c r="W50" i="27" s="1"/>
  <c r="AZ24" i="27"/>
  <c r="AZ23" i="27"/>
  <c r="AZ22" i="27"/>
  <c r="AL19" i="27"/>
  <c r="CP6" i="27"/>
  <c r="BR2" i="27"/>
  <c r="BQ2" i="27"/>
  <c r="BP2" i="27"/>
  <c r="BO2" i="27"/>
  <c r="BN2" i="27"/>
  <c r="BL2" i="27"/>
  <c r="BJ2" i="27"/>
  <c r="BI2" i="27"/>
  <c r="BH2" i="27"/>
  <c r="BG2" i="27"/>
  <c r="BF2" i="27"/>
  <c r="BE2" i="27"/>
  <c r="BD2" i="27"/>
  <c r="BC2" i="27"/>
  <c r="BA2" i="27"/>
  <c r="AZ2" i="27"/>
  <c r="AY2" i="27"/>
  <c r="AX2" i="27"/>
  <c r="AW2" i="27"/>
  <c r="AU2" i="27"/>
  <c r="AT2" i="27"/>
  <c r="AS2" i="27"/>
  <c r="AR2" i="27"/>
  <c r="AQ2" i="27"/>
  <c r="AP2" i="27"/>
  <c r="AO2" i="27"/>
  <c r="AN2" i="27"/>
  <c r="AM2" i="27"/>
  <c r="AL2" i="27"/>
  <c r="AK2" i="27"/>
  <c r="AJ2" i="27"/>
  <c r="AI2" i="27"/>
  <c r="AH2" i="27"/>
  <c r="AG2" i="27"/>
  <c r="AF2" i="27"/>
  <c r="CQ1" i="27"/>
  <c r="CP1" i="27"/>
  <c r="BR1" i="27"/>
  <c r="BQ1" i="27"/>
  <c r="BP1" i="27"/>
  <c r="BO1" i="27"/>
  <c r="BN1" i="27"/>
  <c r="BL1" i="27"/>
  <c r="BJ1" i="27"/>
  <c r="BI1" i="27"/>
  <c r="BH1" i="27"/>
  <c r="BG1" i="27"/>
  <c r="BF1" i="27"/>
  <c r="BE1" i="27"/>
  <c r="BD1" i="27"/>
  <c r="BC1" i="27"/>
  <c r="BA1" i="27"/>
  <c r="AZ1" i="27"/>
  <c r="AY1" i="27"/>
  <c r="AX1" i="27"/>
  <c r="AW1" i="27"/>
  <c r="AU1" i="27"/>
  <c r="AT1" i="27"/>
  <c r="AS1" i="27"/>
  <c r="AT15" i="27" s="1"/>
  <c r="AR1" i="27"/>
  <c r="AQ1" i="27"/>
  <c r="AP1" i="27"/>
  <c r="AO1" i="27"/>
  <c r="AN1" i="27"/>
  <c r="AM1" i="27"/>
  <c r="AL1" i="27"/>
  <c r="AK1" i="27"/>
  <c r="AJ1" i="27"/>
  <c r="AI1" i="27"/>
  <c r="AH1" i="27"/>
  <c r="AG1" i="27"/>
  <c r="AF1" i="27"/>
  <c r="BL132" i="27" l="1"/>
  <c r="B313" i="27"/>
  <c r="D313" i="27" s="1"/>
  <c r="A37" i="27"/>
  <c r="BL37" i="27" s="1"/>
  <c r="BL150" i="27"/>
  <c r="BL149" i="27"/>
  <c r="A53" i="27"/>
  <c r="BL53" i="27" s="1"/>
  <c r="BL148" i="27"/>
  <c r="BL500" i="27"/>
  <c r="BL484" i="27"/>
  <c r="BL404" i="27"/>
  <c r="BL406" i="27"/>
  <c r="BL244" i="27"/>
  <c r="BL228" i="27"/>
  <c r="B312" i="27"/>
  <c r="F312" i="27" s="1"/>
  <c r="BL567" i="27"/>
  <c r="BL311" i="27"/>
  <c r="BL310" i="27"/>
  <c r="BL568" i="27"/>
  <c r="BL215" i="27"/>
  <c r="B472" i="27"/>
  <c r="D472" i="27" s="1"/>
  <c r="BL376" i="27"/>
  <c r="BL471" i="27"/>
  <c r="BL470" i="27"/>
  <c r="BL548" i="27"/>
  <c r="BL469" i="27"/>
  <c r="BL375" i="27"/>
  <c r="BL292" i="27"/>
  <c r="BL213" i="27"/>
  <c r="BL119" i="27"/>
  <c r="BL216" i="27"/>
  <c r="BL565" i="27"/>
  <c r="BL468" i="27"/>
  <c r="BL374" i="27"/>
  <c r="BL212" i="27"/>
  <c r="BL116" i="27"/>
  <c r="J49" i="27"/>
  <c r="J45" i="27" s="1"/>
  <c r="BL533" i="27"/>
  <c r="BL439" i="27"/>
  <c r="BL356" i="27"/>
  <c r="BL183" i="27"/>
  <c r="BL535" i="27"/>
  <c r="BL373" i="27"/>
  <c r="BL117" i="27"/>
  <c r="BL600" i="27"/>
  <c r="BL532" i="27"/>
  <c r="BL438" i="27"/>
  <c r="BL344" i="27"/>
  <c r="BL182" i="27"/>
  <c r="BL599" i="27"/>
  <c r="BL516" i="27"/>
  <c r="BL437" i="27"/>
  <c r="BL343" i="27"/>
  <c r="BL260" i="27"/>
  <c r="BL87" i="27"/>
  <c r="BL566" i="27"/>
  <c r="B326" i="27"/>
  <c r="C326" i="27" s="1"/>
  <c r="BL564" i="27"/>
  <c r="BL504" i="27"/>
  <c r="BL279" i="27"/>
  <c r="BL534" i="27"/>
  <c r="BL598" i="27"/>
  <c r="BL436" i="27"/>
  <c r="BL248" i="27"/>
  <c r="BL503" i="27"/>
  <c r="BL341" i="27"/>
  <c r="BL596" i="27"/>
  <c r="BL502" i="27"/>
  <c r="BL408" i="27"/>
  <c r="BL340" i="27"/>
  <c r="BL246" i="27"/>
  <c r="BL152" i="27"/>
  <c r="BL308" i="27"/>
  <c r="BL214" i="27"/>
  <c r="BL120" i="27"/>
  <c r="BL536" i="27"/>
  <c r="BL196" i="27"/>
  <c r="BL342" i="27"/>
  <c r="BL180" i="27"/>
  <c r="BL597" i="27"/>
  <c r="BL420" i="27"/>
  <c r="BL247" i="27"/>
  <c r="BL85" i="27"/>
  <c r="A61" i="27"/>
  <c r="BL61" i="27" s="1"/>
  <c r="BL580" i="27"/>
  <c r="BL501" i="27"/>
  <c r="BL407" i="27"/>
  <c r="BL324" i="27"/>
  <c r="BL245" i="27"/>
  <c r="AP5" i="32"/>
  <c r="AP3" i="32" a="1"/>
  <c r="AP3" i="32" s="1"/>
  <c r="AQ3" i="32"/>
  <c r="AP4" i="32"/>
  <c r="BL545" i="27"/>
  <c r="BL417" i="27"/>
  <c r="BL97" i="27"/>
  <c r="BL544" i="27"/>
  <c r="BL480" i="27"/>
  <c r="BL384" i="27"/>
  <c r="BL320" i="27"/>
  <c r="BL160" i="27"/>
  <c r="BL96" i="27"/>
  <c r="BL543" i="27"/>
  <c r="BL447" i="27"/>
  <c r="BL351" i="27"/>
  <c r="BL159" i="27"/>
  <c r="B209" i="27"/>
  <c r="C209" i="27" s="1"/>
  <c r="A62" i="27"/>
  <c r="BL62" i="27" s="1"/>
  <c r="BL593" i="27"/>
  <c r="BL465" i="27"/>
  <c r="BL369" i="27"/>
  <c r="BL305" i="27"/>
  <c r="BL145" i="27"/>
  <c r="BL81" i="27"/>
  <c r="BL592" i="27"/>
  <c r="BL496" i="27"/>
  <c r="BL304" i="27"/>
  <c r="BL112" i="27"/>
  <c r="A31" i="27"/>
  <c r="BL31" i="27" s="1"/>
  <c r="B528" i="27"/>
  <c r="F528" i="27" s="1"/>
  <c r="BL591" i="27"/>
  <c r="BL559" i="27"/>
  <c r="BL527" i="27"/>
  <c r="BL495" i="27"/>
  <c r="BL463" i="27"/>
  <c r="BL399" i="27"/>
  <c r="BL367" i="27"/>
  <c r="BL335" i="27"/>
  <c r="BL303" i="27"/>
  <c r="BL271" i="27"/>
  <c r="BL239" i="27"/>
  <c r="BL207" i="27"/>
  <c r="BL111" i="27"/>
  <c r="BL79" i="27"/>
  <c r="BL520" i="27"/>
  <c r="BL488" i="27"/>
  <c r="BL424" i="27"/>
  <c r="BL392" i="27"/>
  <c r="BL296" i="27"/>
  <c r="BL232" i="27"/>
  <c r="B530" i="27"/>
  <c r="E530" i="27" s="1"/>
  <c r="BL583" i="27"/>
  <c r="BL551" i="27"/>
  <c r="BL455" i="27"/>
  <c r="BL391" i="27"/>
  <c r="BL359" i="27"/>
  <c r="BL327" i="27"/>
  <c r="BL231" i="27"/>
  <c r="BL167" i="27"/>
  <c r="BL135" i="27"/>
  <c r="BL513" i="27"/>
  <c r="BL353" i="27"/>
  <c r="BL225" i="27"/>
  <c r="BL352" i="27"/>
  <c r="BL256" i="27"/>
  <c r="BL128" i="27"/>
  <c r="BL575" i="27"/>
  <c r="BL479" i="27"/>
  <c r="BL191" i="27"/>
  <c r="BL127" i="27"/>
  <c r="BL529" i="27"/>
  <c r="BL433" i="27"/>
  <c r="BL241" i="27"/>
  <c r="BL113" i="27"/>
  <c r="BL336" i="27"/>
  <c r="BL240" i="27"/>
  <c r="BL144" i="27"/>
  <c r="BL584" i="27"/>
  <c r="BL456" i="27"/>
  <c r="BL328" i="27"/>
  <c r="BL200" i="27"/>
  <c r="BL104" i="27"/>
  <c r="BL582" i="27"/>
  <c r="BL550" i="27"/>
  <c r="BL518" i="27"/>
  <c r="BL486" i="27"/>
  <c r="BL422" i="27"/>
  <c r="BL390" i="27"/>
  <c r="BL294" i="27"/>
  <c r="BL262" i="27"/>
  <c r="BL198" i="27"/>
  <c r="BL166" i="27"/>
  <c r="BL134" i="27"/>
  <c r="BL102" i="27"/>
  <c r="BL577" i="27"/>
  <c r="BL449" i="27"/>
  <c r="BL385" i="27"/>
  <c r="BL321" i="27"/>
  <c r="BL257" i="27"/>
  <c r="BL161" i="27"/>
  <c r="BL576" i="27"/>
  <c r="BL288" i="27"/>
  <c r="AS18" i="27"/>
  <c r="BL511" i="27"/>
  <c r="BL415" i="27"/>
  <c r="BL319" i="27"/>
  <c r="BL223" i="27"/>
  <c r="BL561" i="27"/>
  <c r="BL401" i="27"/>
  <c r="BL273" i="27"/>
  <c r="BL560" i="27"/>
  <c r="BL464" i="27"/>
  <c r="BL272" i="27"/>
  <c r="BL176" i="27"/>
  <c r="BL80" i="27"/>
  <c r="BL552" i="27"/>
  <c r="BL360" i="27"/>
  <c r="BL581" i="27"/>
  <c r="BL549" i="27"/>
  <c r="BL517" i="27"/>
  <c r="BL485" i="27"/>
  <c r="BL453" i="27"/>
  <c r="BL421" i="27"/>
  <c r="BL389" i="27"/>
  <c r="BL357" i="27"/>
  <c r="BL325" i="27"/>
  <c r="BL261" i="27"/>
  <c r="BL229" i="27"/>
  <c r="BL197" i="27"/>
  <c r="BL165" i="27"/>
  <c r="BL133" i="27"/>
  <c r="BL101" i="27"/>
  <c r="B380" i="27"/>
  <c r="D380" i="27" s="1"/>
  <c r="BL595" i="27"/>
  <c r="BL579" i="27"/>
  <c r="BL563" i="27"/>
  <c r="BL547" i="27"/>
  <c r="BL531" i="27"/>
  <c r="BL499" i="27"/>
  <c r="BL483" i="27"/>
  <c r="BL467" i="27"/>
  <c r="BL451" i="27"/>
  <c r="BL435" i="27"/>
  <c r="BL419" i="27"/>
  <c r="BL403" i="27"/>
  <c r="BL371" i="27"/>
  <c r="BL355" i="27"/>
  <c r="BL339" i="27"/>
  <c r="BL275" i="27"/>
  <c r="BL259" i="27"/>
  <c r="BL243" i="27"/>
  <c r="BL227" i="27"/>
  <c r="BL211" i="27"/>
  <c r="BL195" i="27"/>
  <c r="BL179" i="27"/>
  <c r="BL163" i="27"/>
  <c r="BL147" i="27"/>
  <c r="BL131" i="27"/>
  <c r="BL115" i="27"/>
  <c r="BL99" i="27"/>
  <c r="BL83" i="27"/>
  <c r="BL594" i="27"/>
  <c r="BL562" i="27"/>
  <c r="BL546" i="27"/>
  <c r="BL498" i="27"/>
  <c r="BL482" i="27"/>
  <c r="BL466" i="27"/>
  <c r="BL450" i="27"/>
  <c r="BL434" i="27"/>
  <c r="BL418" i="27"/>
  <c r="BL402" i="27"/>
  <c r="BL386" i="27"/>
  <c r="BL354" i="27"/>
  <c r="BL338" i="27"/>
  <c r="BL322" i="27"/>
  <c r="BL306" i="27"/>
  <c r="BL290" i="27"/>
  <c r="BL258" i="27"/>
  <c r="BL242" i="27"/>
  <c r="BL194" i="27"/>
  <c r="BL178" i="27"/>
  <c r="BL146" i="27"/>
  <c r="BL130" i="27"/>
  <c r="BL114" i="27"/>
  <c r="BL98" i="27"/>
  <c r="BL82" i="27"/>
  <c r="BL590" i="27"/>
  <c r="BL574" i="27"/>
  <c r="BL558" i="27"/>
  <c r="BL542" i="27"/>
  <c r="BL526" i="27"/>
  <c r="BL510" i="27"/>
  <c r="BL478" i="27"/>
  <c r="BL462" i="27"/>
  <c r="BL446" i="27"/>
  <c r="BL430" i="27"/>
  <c r="BL382" i="27"/>
  <c r="BL366" i="27"/>
  <c r="BL350" i="27"/>
  <c r="BL334" i="27"/>
  <c r="BL302" i="27"/>
  <c r="BL286" i="27"/>
  <c r="BL270" i="27"/>
  <c r="BL254" i="27"/>
  <c r="BL238" i="27"/>
  <c r="BL222" i="27"/>
  <c r="BL190" i="27"/>
  <c r="BL174" i="27"/>
  <c r="BL142" i="27"/>
  <c r="BL110" i="27"/>
  <c r="BL94" i="27"/>
  <c r="BL78" i="27"/>
  <c r="BL589" i="27"/>
  <c r="BL573" i="27"/>
  <c r="BL557" i="27"/>
  <c r="BL541" i="27"/>
  <c r="BL525" i="27"/>
  <c r="BL493" i="27"/>
  <c r="BL477" i="27"/>
  <c r="BL445" i="27"/>
  <c r="BL429" i="27"/>
  <c r="BL413" i="27"/>
  <c r="BL397" i="27"/>
  <c r="BL381" i="27"/>
  <c r="BL365" i="27"/>
  <c r="BL349" i="27"/>
  <c r="BL317" i="27"/>
  <c r="BL285" i="27"/>
  <c r="BL269" i="27"/>
  <c r="BL253" i="27"/>
  <c r="BL237" i="27"/>
  <c r="BL221" i="27"/>
  <c r="BL205" i="27"/>
  <c r="BL173" i="27"/>
  <c r="BL157" i="27"/>
  <c r="BL141" i="27"/>
  <c r="BL125" i="27"/>
  <c r="BL109" i="27"/>
  <c r="BL77" i="27"/>
  <c r="A58" i="27"/>
  <c r="BL58" i="27" s="1"/>
  <c r="BL588" i="27"/>
  <c r="BL572" i="27"/>
  <c r="BL556" i="27"/>
  <c r="BL540" i="27"/>
  <c r="BL524" i="27"/>
  <c r="BL508" i="27"/>
  <c r="BL476" i="27"/>
  <c r="BL460" i="27"/>
  <c r="BL444" i="27"/>
  <c r="BL428" i="27"/>
  <c r="BL412" i="27"/>
  <c r="BL364" i="27"/>
  <c r="BL300" i="27"/>
  <c r="BL284" i="27"/>
  <c r="BL268" i="27"/>
  <c r="BL252" i="27"/>
  <c r="BL204" i="27"/>
  <c r="BL188" i="27"/>
  <c r="BL172" i="27"/>
  <c r="BL156" i="27"/>
  <c r="BL140" i="27"/>
  <c r="BL124" i="27"/>
  <c r="BL76" i="27"/>
  <c r="BL587" i="27"/>
  <c r="BL571" i="27"/>
  <c r="BL555" i="27"/>
  <c r="BL539" i="27"/>
  <c r="BL523" i="27"/>
  <c r="BL507" i="27"/>
  <c r="BL475" i="27"/>
  <c r="BL443" i="27"/>
  <c r="BL427" i="27"/>
  <c r="BL395" i="27"/>
  <c r="BL379" i="27"/>
  <c r="BL363" i="27"/>
  <c r="BL347" i="27"/>
  <c r="BL331" i="27"/>
  <c r="BL315" i="27"/>
  <c r="BL283" i="27"/>
  <c r="BL267" i="27"/>
  <c r="BL251" i="27"/>
  <c r="BL235" i="27"/>
  <c r="BL219" i="27"/>
  <c r="BL203" i="27"/>
  <c r="BL155" i="27"/>
  <c r="BL139" i="27"/>
  <c r="BL107" i="27"/>
  <c r="BL91" i="27"/>
  <c r="A60" i="27"/>
  <c r="BL60" i="27" s="1"/>
  <c r="BL586" i="27"/>
  <c r="BL570" i="27"/>
  <c r="BL554" i="27"/>
  <c r="BL538" i="27"/>
  <c r="BL522" i="27"/>
  <c r="BL506" i="27"/>
  <c r="BL474" i="27"/>
  <c r="BL458" i="27"/>
  <c r="BL442" i="27"/>
  <c r="BL410" i="27"/>
  <c r="BL394" i="27"/>
  <c r="BL378" i="27"/>
  <c r="BL330" i="27"/>
  <c r="BL298" i="27"/>
  <c r="BL282" i="27"/>
  <c r="BL266" i="27"/>
  <c r="BL250" i="27"/>
  <c r="BL202" i="27"/>
  <c r="BL186" i="27"/>
  <c r="BL170" i="27"/>
  <c r="BL154" i="27"/>
  <c r="BL138" i="27"/>
  <c r="BL106" i="27"/>
  <c r="BL90" i="27"/>
  <c r="BL585" i="27"/>
  <c r="BL569" i="27"/>
  <c r="BL553" i="27"/>
  <c r="BL537" i="27"/>
  <c r="BL505" i="27"/>
  <c r="BL489" i="27"/>
  <c r="BL473" i="27"/>
  <c r="BL457" i="27"/>
  <c r="BL409" i="27"/>
  <c r="BL393" i="27"/>
  <c r="BL377" i="27"/>
  <c r="BL329" i="27"/>
  <c r="BL297" i="27"/>
  <c r="BL281" i="27"/>
  <c r="BL265" i="27"/>
  <c r="BL249" i="27"/>
  <c r="BL233" i="27"/>
  <c r="BL217" i="27"/>
  <c r="BL201" i="27"/>
  <c r="BL185" i="27"/>
  <c r="BL169" i="27"/>
  <c r="BL153" i="27"/>
  <c r="BL137" i="27"/>
  <c r="BL89" i="27"/>
  <c r="AH18" i="27"/>
  <c r="AG18" i="27"/>
  <c r="A67" i="27"/>
  <c r="BL67" i="27" s="1"/>
  <c r="A36" i="27"/>
  <c r="BL36" i="27" s="1"/>
  <c r="A69" i="27"/>
  <c r="BL69" i="27" s="1"/>
  <c r="A38" i="27"/>
  <c r="BL38" i="27" s="1"/>
  <c r="A55" i="27"/>
  <c r="BL55" i="27" s="1"/>
  <c r="A39" i="27"/>
  <c r="BL39" i="27" s="1"/>
  <c r="A56" i="27"/>
  <c r="BL56" i="27" s="1"/>
  <c r="A57" i="27"/>
  <c r="BL57" i="27" s="1"/>
  <c r="A40" i="27"/>
  <c r="A59" i="27"/>
  <c r="BL59" i="27" s="1"/>
  <c r="A30" i="27"/>
  <c r="BL30" i="27" s="1"/>
  <c r="A63" i="27"/>
  <c r="B492" i="27"/>
  <c r="D492" i="27" s="1"/>
  <c r="A52" i="27"/>
  <c r="BL52" i="27" s="1"/>
  <c r="A54" i="27"/>
  <c r="A68" i="27"/>
  <c r="BL68" i="27" s="1"/>
  <c r="A33" i="27"/>
  <c r="BL33" i="27" s="1"/>
  <c r="A66" i="27"/>
  <c r="A34" i="27"/>
  <c r="BL34" i="27" s="1"/>
  <c r="A35" i="27"/>
  <c r="BL35" i="27" s="1"/>
  <c r="A32" i="27"/>
  <c r="BL32" i="27" s="1"/>
  <c r="A65" i="27"/>
  <c r="BL65" i="27" s="1"/>
  <c r="A64" i="27"/>
  <c r="B49" i="27"/>
  <c r="D49" i="27" s="1"/>
  <c r="A48" i="27"/>
  <c r="BL48" i="27" s="1"/>
  <c r="B348" i="27"/>
  <c r="C348" i="27" s="1"/>
  <c r="B509" i="27"/>
  <c r="G509" i="27" s="1"/>
  <c r="M5" i="27"/>
  <c r="M6" i="27"/>
  <c r="D166" i="27"/>
  <c r="E342" i="27"/>
  <c r="G342" i="27"/>
  <c r="G239" i="27"/>
  <c r="F540" i="27"/>
  <c r="F239" i="27"/>
  <c r="G589" i="27"/>
  <c r="G486" i="27"/>
  <c r="D342" i="27"/>
  <c r="E196" i="27"/>
  <c r="D196" i="27"/>
  <c r="C196" i="27"/>
  <c r="E152" i="27"/>
  <c r="G473" i="27"/>
  <c r="F152" i="27"/>
  <c r="G548" i="27"/>
  <c r="F116" i="27"/>
  <c r="E248" i="27"/>
  <c r="F473" i="27"/>
  <c r="F182" i="27"/>
  <c r="E223" i="27"/>
  <c r="F248" i="27"/>
  <c r="E594" i="27"/>
  <c r="G182" i="27"/>
  <c r="F223" i="27"/>
  <c r="D239" i="27"/>
  <c r="D540" i="27"/>
  <c r="G566" i="27"/>
  <c r="E239" i="27"/>
  <c r="E540" i="27"/>
  <c r="G231" i="27"/>
  <c r="F231" i="27"/>
  <c r="E231" i="27"/>
  <c r="D231" i="27"/>
  <c r="E135" i="27"/>
  <c r="D135" i="27"/>
  <c r="E267" i="27"/>
  <c r="F267" i="27"/>
  <c r="C174" i="27"/>
  <c r="G174" i="27"/>
  <c r="F174" i="27"/>
  <c r="E174" i="27"/>
  <c r="E363" i="27"/>
  <c r="D363" i="27"/>
  <c r="G483" i="27"/>
  <c r="D483" i="27"/>
  <c r="E483" i="27"/>
  <c r="F483" i="27"/>
  <c r="C483" i="27"/>
  <c r="E111" i="27"/>
  <c r="G111" i="27"/>
  <c r="C81" i="27"/>
  <c r="G81" i="27"/>
  <c r="F81" i="27"/>
  <c r="E81" i="27"/>
  <c r="D81" i="27"/>
  <c r="G265" i="27"/>
  <c r="F265" i="27"/>
  <c r="E97" i="27"/>
  <c r="D270" i="27"/>
  <c r="F294" i="27"/>
  <c r="E341" i="27"/>
  <c r="F97" i="27"/>
  <c r="G119" i="27"/>
  <c r="G294" i="27"/>
  <c r="F341" i="27"/>
  <c r="G350" i="27"/>
  <c r="B370" i="27"/>
  <c r="F370" i="27" s="1"/>
  <c r="D393" i="27"/>
  <c r="D403" i="27"/>
  <c r="C413" i="27"/>
  <c r="B491" i="27"/>
  <c r="C491" i="27" s="1"/>
  <c r="F531" i="27"/>
  <c r="E562" i="27"/>
  <c r="G87" i="27"/>
  <c r="F153" i="27"/>
  <c r="E393" i="27"/>
  <c r="E403" i="27"/>
  <c r="F562" i="27"/>
  <c r="G153" i="27"/>
  <c r="B210" i="27"/>
  <c r="G210" i="27" s="1"/>
  <c r="D223" i="27"/>
  <c r="F306" i="27"/>
  <c r="C342" i="27"/>
  <c r="G562" i="27"/>
  <c r="D99" i="27"/>
  <c r="G334" i="27"/>
  <c r="G201" i="27"/>
  <c r="E395" i="27"/>
  <c r="F406" i="27"/>
  <c r="G462" i="27"/>
  <c r="D557" i="27"/>
  <c r="F563" i="27"/>
  <c r="D563" i="27"/>
  <c r="E406" i="27"/>
  <c r="B387" i="27"/>
  <c r="F387" i="27" s="1"/>
  <c r="E557" i="27"/>
  <c r="F334" i="27"/>
  <c r="F427" i="27"/>
  <c r="G223" i="27"/>
  <c r="D114" i="27"/>
  <c r="C430" i="27"/>
  <c r="F557" i="27"/>
  <c r="F534" i="27"/>
  <c r="E201" i="27"/>
  <c r="B274" i="27"/>
  <c r="E274" i="27" s="1"/>
  <c r="G534" i="27"/>
  <c r="K30" i="27"/>
  <c r="K43" i="27"/>
  <c r="F237" i="27"/>
  <c r="D356" i="27"/>
  <c r="E430" i="27"/>
  <c r="D443" i="27"/>
  <c r="G453" i="27"/>
  <c r="D562" i="27"/>
  <c r="C557" i="27"/>
  <c r="F94" i="27"/>
  <c r="G150" i="27"/>
  <c r="B171" i="27"/>
  <c r="D171" i="27" s="1"/>
  <c r="E356" i="27"/>
  <c r="D367" i="27"/>
  <c r="F389" i="27"/>
  <c r="C420" i="27"/>
  <c r="E443" i="27"/>
  <c r="E465" i="27"/>
  <c r="E478" i="27"/>
  <c r="F262" i="27"/>
  <c r="E294" i="27"/>
  <c r="D242" i="27"/>
  <c r="E563" i="27"/>
  <c r="E127" i="27"/>
  <c r="E182" i="27"/>
  <c r="F302" i="27"/>
  <c r="C339" i="27"/>
  <c r="F356" i="27"/>
  <c r="E367" i="27"/>
  <c r="E409" i="27"/>
  <c r="F443" i="27"/>
  <c r="B454" i="27"/>
  <c r="G454" i="27" s="1"/>
  <c r="G302" i="27"/>
  <c r="G356" i="27"/>
  <c r="G443" i="27"/>
  <c r="C540" i="27"/>
  <c r="F566" i="27"/>
  <c r="C384" i="27"/>
  <c r="F384" i="27"/>
  <c r="E384" i="27"/>
  <c r="D384" i="27"/>
  <c r="G384" i="27"/>
  <c r="C375" i="27"/>
  <c r="F375" i="27"/>
  <c r="E375" i="27"/>
  <c r="D375" i="27"/>
  <c r="G375" i="27"/>
  <c r="E115" i="27"/>
  <c r="D115" i="27"/>
  <c r="C115" i="27"/>
  <c r="F115" i="27"/>
  <c r="B84" i="27"/>
  <c r="G115" i="27"/>
  <c r="B126" i="27"/>
  <c r="D126" i="27" s="1"/>
  <c r="F331" i="27"/>
  <c r="E331" i="27"/>
  <c r="C331" i="27"/>
  <c r="B388" i="27"/>
  <c r="E419" i="27"/>
  <c r="D419" i="27"/>
  <c r="B189" i="27"/>
  <c r="D189" i="27" s="1"/>
  <c r="E272" i="27"/>
  <c r="B332" i="27"/>
  <c r="C332" i="27" s="1"/>
  <c r="B358" i="27"/>
  <c r="G358" i="27" s="1"/>
  <c r="D379" i="27"/>
  <c r="G379" i="27"/>
  <c r="E379" i="27"/>
  <c r="F379" i="27"/>
  <c r="J25" i="27"/>
  <c r="J35" i="27" s="1"/>
  <c r="Q22" i="27"/>
  <c r="D139" i="27"/>
  <c r="E139" i="27"/>
  <c r="G139" i="27"/>
  <c r="F139" i="27"/>
  <c r="C379" i="27"/>
  <c r="B346" i="27"/>
  <c r="B441" i="27"/>
  <c r="D441" i="27" s="1"/>
  <c r="G308" i="27"/>
  <c r="F308" i="27"/>
  <c r="C351" i="27"/>
  <c r="F351" i="27"/>
  <c r="E351" i="27"/>
  <c r="G351" i="27"/>
  <c r="D351" i="27"/>
  <c r="C89" i="27"/>
  <c r="F89" i="27"/>
  <c r="E89" i="27"/>
  <c r="B181" i="27"/>
  <c r="E181" i="27" s="1"/>
  <c r="E288" i="27"/>
  <c r="D288" i="27"/>
  <c r="G288" i="27"/>
  <c r="F288" i="27"/>
  <c r="B93" i="27"/>
  <c r="D93" i="27" s="1"/>
  <c r="B316" i="27"/>
  <c r="E316" i="27" s="1"/>
  <c r="F450" i="27"/>
  <c r="E450" i="27"/>
  <c r="D450" i="27"/>
  <c r="C450" i="27"/>
  <c r="G450" i="27"/>
  <c r="B307" i="27"/>
  <c r="C307" i="27" s="1"/>
  <c r="F576" i="27"/>
  <c r="E576" i="27"/>
  <c r="B255" i="27"/>
  <c r="D255" i="27" s="1"/>
  <c r="B411" i="27"/>
  <c r="G455" i="27"/>
  <c r="F455" i="27"/>
  <c r="D455" i="27"/>
  <c r="E455" i="27"/>
  <c r="D500" i="27"/>
  <c r="E500" i="27"/>
  <c r="C173" i="27"/>
  <c r="G217" i="27"/>
  <c r="F217" i="27"/>
  <c r="C217" i="27"/>
  <c r="C247" i="27"/>
  <c r="G247" i="27"/>
  <c r="F247" i="27"/>
  <c r="C335" i="27"/>
  <c r="F335" i="27"/>
  <c r="E335" i="27"/>
  <c r="G335" i="27"/>
  <c r="D335" i="27"/>
  <c r="B414" i="27"/>
  <c r="D414" i="27" s="1"/>
  <c r="G185" i="27"/>
  <c r="C185" i="27"/>
  <c r="F185" i="27"/>
  <c r="D185" i="27"/>
  <c r="E185" i="27"/>
  <c r="C390" i="27"/>
  <c r="G390" i="27"/>
  <c r="E390" i="27"/>
  <c r="D390" i="27"/>
  <c r="F390" i="27"/>
  <c r="E256" i="27"/>
  <c r="G256" i="27"/>
  <c r="B100" i="27"/>
  <c r="C100" i="27" s="1"/>
  <c r="B122" i="27"/>
  <c r="G122" i="27" s="1"/>
  <c r="E173" i="27"/>
  <c r="D247" i="27"/>
  <c r="F269" i="27"/>
  <c r="E269" i="27"/>
  <c r="C363" i="27"/>
  <c r="B372" i="27"/>
  <c r="G372" i="27" s="1"/>
  <c r="B192" i="27"/>
  <c r="E192" i="27" s="1"/>
  <c r="C212" i="27"/>
  <c r="F212" i="27"/>
  <c r="G212" i="27"/>
  <c r="E212" i="27"/>
  <c r="D283" i="27"/>
  <c r="C283" i="27"/>
  <c r="C474" i="27"/>
  <c r="D474" i="27"/>
  <c r="C532" i="27"/>
  <c r="E532" i="27"/>
  <c r="G532" i="27"/>
  <c r="G117" i="27"/>
  <c r="F145" i="27"/>
  <c r="G283" i="27"/>
  <c r="B333" i="27"/>
  <c r="D532" i="27"/>
  <c r="F155" i="27"/>
  <c r="F232" i="27"/>
  <c r="E214" i="27"/>
  <c r="D214" i="27"/>
  <c r="B293" i="27"/>
  <c r="E293" i="27" s="1"/>
  <c r="F477" i="27"/>
  <c r="E477" i="27"/>
  <c r="D477" i="27"/>
  <c r="D525" i="27"/>
  <c r="F525" i="27"/>
  <c r="E525" i="27"/>
  <c r="C525" i="27"/>
  <c r="D541" i="27"/>
  <c r="G552" i="27"/>
  <c r="F78" i="27"/>
  <c r="G78" i="27"/>
  <c r="C78" i="27"/>
  <c r="B184" i="27"/>
  <c r="G184" i="27" s="1"/>
  <c r="B323" i="27"/>
  <c r="G323" i="27" s="1"/>
  <c r="E439" i="27"/>
  <c r="B448" i="27"/>
  <c r="E448" i="27" s="1"/>
  <c r="C477" i="27"/>
  <c r="G525" i="27"/>
  <c r="E580" i="27"/>
  <c r="D580" i="27"/>
  <c r="C580" i="27"/>
  <c r="F580" i="27"/>
  <c r="G205" i="27"/>
  <c r="E205" i="27"/>
  <c r="C205" i="27"/>
  <c r="C285" i="27"/>
  <c r="G477" i="27"/>
  <c r="F526" i="27"/>
  <c r="E526" i="27"/>
  <c r="G580" i="27"/>
  <c r="D212" i="27"/>
  <c r="E493" i="27"/>
  <c r="D493" i="27"/>
  <c r="C493" i="27"/>
  <c r="F493" i="27"/>
  <c r="B193" i="27"/>
  <c r="G193" i="27" s="1"/>
  <c r="G240" i="27"/>
  <c r="F240" i="27"/>
  <c r="E240" i="27"/>
  <c r="B301" i="27"/>
  <c r="D301" i="27" s="1"/>
  <c r="B398" i="27"/>
  <c r="G398" i="27" s="1"/>
  <c r="C439" i="27"/>
  <c r="G439" i="27"/>
  <c r="G493" i="27"/>
  <c r="F532" i="27"/>
  <c r="B578" i="27"/>
  <c r="B95" i="27"/>
  <c r="D439" i="27"/>
  <c r="D240" i="27"/>
  <c r="B383" i="27"/>
  <c r="D383" i="27" s="1"/>
  <c r="F429" i="27"/>
  <c r="E429" i="27"/>
  <c r="G466" i="27"/>
  <c r="D466" i="27"/>
  <c r="C466" i="27"/>
  <c r="B494" i="27"/>
  <c r="B168" i="27"/>
  <c r="G168" i="27" s="1"/>
  <c r="B175" i="27"/>
  <c r="E175" i="27" s="1"/>
  <c r="G196" i="27"/>
  <c r="F196" i="27"/>
  <c r="D205" i="27"/>
  <c r="B278" i="27"/>
  <c r="C303" i="27"/>
  <c r="G303" i="27"/>
  <c r="F303" i="27"/>
  <c r="E303" i="27"/>
  <c r="E391" i="27"/>
  <c r="D391" i="27"/>
  <c r="G449" i="27"/>
  <c r="E449" i="27"/>
  <c r="D449" i="27"/>
  <c r="F449" i="27"/>
  <c r="F466" i="27"/>
  <c r="F478" i="27"/>
  <c r="D478" i="27"/>
  <c r="C478" i="27"/>
  <c r="C486" i="27"/>
  <c r="E486" i="27"/>
  <c r="D526" i="27"/>
  <c r="B151" i="27"/>
  <c r="E151" i="27" s="1"/>
  <c r="B295" i="27"/>
  <c r="C295" i="27" s="1"/>
  <c r="G159" i="27"/>
  <c r="E159" i="27"/>
  <c r="D159" i="27"/>
  <c r="B459" i="27"/>
  <c r="E459" i="27" s="1"/>
  <c r="F468" i="27"/>
  <c r="G468" i="27"/>
  <c r="D107" i="27"/>
  <c r="C107" i="27"/>
  <c r="B206" i="27"/>
  <c r="F206" i="27" s="1"/>
  <c r="C243" i="27"/>
  <c r="B431" i="27"/>
  <c r="G431" i="27" s="1"/>
  <c r="B487" i="27"/>
  <c r="D487" i="27" s="1"/>
  <c r="G516" i="27"/>
  <c r="F516" i="27"/>
  <c r="E516" i="27"/>
  <c r="D516" i="27"/>
  <c r="C516" i="27"/>
  <c r="B108" i="27"/>
  <c r="F253" i="27"/>
  <c r="D253" i="27"/>
  <c r="C253" i="27"/>
  <c r="E296" i="27"/>
  <c r="D317" i="27"/>
  <c r="B337" i="27"/>
  <c r="E337" i="27" s="1"/>
  <c r="C488" i="27"/>
  <c r="G488" i="27"/>
  <c r="F488" i="27"/>
  <c r="C537" i="27"/>
  <c r="E537" i="27"/>
  <c r="G537" i="27"/>
  <c r="F537" i="27"/>
  <c r="D537" i="27"/>
  <c r="C573" i="27"/>
  <c r="F596" i="27"/>
  <c r="G596" i="27"/>
  <c r="F198" i="27"/>
  <c r="G198" i="27"/>
  <c r="C198" i="27"/>
  <c r="B220" i="27"/>
  <c r="D220" i="27" s="1"/>
  <c r="B230" i="27"/>
  <c r="C230" i="27" s="1"/>
  <c r="E253" i="27"/>
  <c r="E265" i="27"/>
  <c r="D265" i="27"/>
  <c r="F296" i="27"/>
  <c r="C306" i="27"/>
  <c r="E317" i="27"/>
  <c r="D404" i="27"/>
  <c r="E404" i="27"/>
  <c r="F404" i="27"/>
  <c r="C422" i="27"/>
  <c r="G422" i="27"/>
  <c r="F422" i="27"/>
  <c r="E422" i="27"/>
  <c r="F508" i="27"/>
  <c r="D529" i="27"/>
  <c r="C529" i="27"/>
  <c r="F573" i="27"/>
  <c r="C596" i="27"/>
  <c r="L19" i="27"/>
  <c r="L34" i="27"/>
  <c r="L33" i="27"/>
  <c r="L30" i="27"/>
  <c r="F125" i="27"/>
  <c r="E125" i="27"/>
  <c r="D125" i="27"/>
  <c r="G125" i="27"/>
  <c r="G253" i="27"/>
  <c r="C265" i="27"/>
  <c r="C271" i="27"/>
  <c r="F271" i="27"/>
  <c r="E271" i="27"/>
  <c r="G271" i="27"/>
  <c r="F317" i="27"/>
  <c r="F338" i="27"/>
  <c r="E338" i="27"/>
  <c r="C338" i="27"/>
  <c r="G404" i="27"/>
  <c r="D422" i="27"/>
  <c r="C434" i="27"/>
  <c r="G434" i="27"/>
  <c r="F434" i="27"/>
  <c r="B481" i="27"/>
  <c r="F481" i="27" s="1"/>
  <c r="D586" i="27"/>
  <c r="B280" i="27"/>
  <c r="D280" i="27" s="1"/>
  <c r="C319" i="27"/>
  <c r="G319" i="27"/>
  <c r="F319" i="27"/>
  <c r="E319" i="27"/>
  <c r="E442" i="27"/>
  <c r="G442" i="27"/>
  <c r="G104" i="27"/>
  <c r="F104" i="27"/>
  <c r="D104" i="27"/>
  <c r="C116" i="27"/>
  <c r="C124" i="27"/>
  <c r="C150" i="27"/>
  <c r="G281" i="27"/>
  <c r="F281" i="27"/>
  <c r="D319" i="27"/>
  <c r="B416" i="27"/>
  <c r="F416" i="27" s="1"/>
  <c r="C496" i="27"/>
  <c r="B514" i="27"/>
  <c r="D589" i="27"/>
  <c r="C104" i="27"/>
  <c r="D116" i="27"/>
  <c r="B143" i="27"/>
  <c r="E150" i="27"/>
  <c r="B218" i="27"/>
  <c r="F218" i="27" s="1"/>
  <c r="C281" i="27"/>
  <c r="E506" i="27"/>
  <c r="D506" i="27"/>
  <c r="E589" i="27"/>
  <c r="F157" i="27"/>
  <c r="D157" i="27"/>
  <c r="D237" i="27"/>
  <c r="C237" i="27"/>
  <c r="B287" i="27"/>
  <c r="D386" i="27"/>
  <c r="E104" i="27"/>
  <c r="F111" i="27"/>
  <c r="E116" i="27"/>
  <c r="F150" i="27"/>
  <c r="C157" i="27"/>
  <c r="G191" i="27"/>
  <c r="E237" i="27"/>
  <c r="D281" i="27"/>
  <c r="D409" i="27"/>
  <c r="E507" i="27"/>
  <c r="G507" i="27"/>
  <c r="F589" i="27"/>
  <c r="L43" i="27"/>
  <c r="E114" i="27"/>
  <c r="F114" i="27"/>
  <c r="D275" i="27"/>
  <c r="C275" i="27"/>
  <c r="F395" i="27"/>
  <c r="G395" i="27"/>
  <c r="C550" i="27"/>
  <c r="G550" i="27"/>
  <c r="F584" i="27"/>
  <c r="C584" i="27"/>
  <c r="C114" i="27"/>
  <c r="D127" i="27"/>
  <c r="F246" i="27"/>
  <c r="G246" i="27"/>
  <c r="E246" i="27"/>
  <c r="D246" i="27"/>
  <c r="B289" i="27"/>
  <c r="F289" i="27" s="1"/>
  <c r="B361" i="27"/>
  <c r="E361" i="27" s="1"/>
  <c r="G382" i="27"/>
  <c r="C395" i="27"/>
  <c r="F462" i="27"/>
  <c r="D462" i="27"/>
  <c r="C462" i="27"/>
  <c r="E550" i="27"/>
  <c r="G584" i="27"/>
  <c r="AK53" i="27"/>
  <c r="AN53" i="27" s="1"/>
  <c r="F270" i="27"/>
  <c r="G270" i="27"/>
  <c r="C367" i="27"/>
  <c r="G367" i="27"/>
  <c r="C406" i="27"/>
  <c r="D406" i="27"/>
  <c r="E427" i="27"/>
  <c r="G166" i="27"/>
  <c r="F166" i="27"/>
  <c r="E166" i="27"/>
  <c r="C231" i="27"/>
  <c r="B291" i="27"/>
  <c r="G291" i="27" s="1"/>
  <c r="F415" i="27"/>
  <c r="E457" i="27"/>
  <c r="F457" i="27"/>
  <c r="D457" i="27"/>
  <c r="B521" i="27"/>
  <c r="G521" i="27" s="1"/>
  <c r="C119" i="27"/>
  <c r="D153" i="27"/>
  <c r="D566" i="27"/>
  <c r="E153" i="27"/>
  <c r="D174" i="27"/>
  <c r="D182" i="27"/>
  <c r="F201" i="27"/>
  <c r="G207" i="27"/>
  <c r="D294" i="27"/>
  <c r="E534" i="27"/>
  <c r="E566" i="27"/>
  <c r="M4" i="27"/>
  <c r="G148" i="27"/>
  <c r="C148" i="27"/>
  <c r="F148" i="27"/>
  <c r="E148" i="27"/>
  <c r="D148" i="27"/>
  <c r="G137" i="27"/>
  <c r="F137" i="27"/>
  <c r="E137" i="27"/>
  <c r="D137" i="27"/>
  <c r="C137" i="27"/>
  <c r="F202" i="27"/>
  <c r="E202" i="27"/>
  <c r="D202" i="27"/>
  <c r="C202" i="27"/>
  <c r="G202" i="27"/>
  <c r="F170" i="27"/>
  <c r="E170" i="27"/>
  <c r="D170" i="27"/>
  <c r="G170" i="27"/>
  <c r="C170" i="27"/>
  <c r="G183" i="27"/>
  <c r="C183" i="27"/>
  <c r="E183" i="27"/>
  <c r="D183" i="27"/>
  <c r="F183" i="27"/>
  <c r="G203" i="27"/>
  <c r="D203" i="27"/>
  <c r="F203" i="27"/>
  <c r="C203" i="27"/>
  <c r="E203" i="27"/>
  <c r="G315" i="27"/>
  <c r="F315" i="27"/>
  <c r="C315" i="27"/>
  <c r="E315" i="27"/>
  <c r="D315" i="27"/>
  <c r="F464" i="27"/>
  <c r="E464" i="27"/>
  <c r="D464" i="27"/>
  <c r="G464" i="27"/>
  <c r="C464" i="27"/>
  <c r="G238" i="27"/>
  <c r="D238" i="27"/>
  <c r="F238" i="27"/>
  <c r="E238" i="27"/>
  <c r="C238" i="27"/>
  <c r="B497" i="27"/>
  <c r="G254" i="27"/>
  <c r="E254" i="27"/>
  <c r="F254" i="27"/>
  <c r="D254" i="27"/>
  <c r="C254" i="27"/>
  <c r="E82" i="27"/>
  <c r="D82" i="27"/>
  <c r="G82" i="27"/>
  <c r="C82" i="27"/>
  <c r="F82" i="27"/>
  <c r="G587" i="27"/>
  <c r="F587" i="27"/>
  <c r="E587" i="27"/>
  <c r="D587" i="27"/>
  <c r="C587" i="27"/>
  <c r="G140" i="27"/>
  <c r="F140" i="27"/>
  <c r="E140" i="27"/>
  <c r="D140" i="27"/>
  <c r="C140" i="27"/>
  <c r="F324" i="27"/>
  <c r="G324" i="27"/>
  <c r="E324" i="27"/>
  <c r="D324" i="27"/>
  <c r="C324" i="27"/>
  <c r="E352" i="27"/>
  <c r="F352" i="27"/>
  <c r="G352" i="27"/>
  <c r="D352" i="27"/>
  <c r="C352" i="27"/>
  <c r="C581" i="27"/>
  <c r="G581" i="27"/>
  <c r="F581" i="27"/>
  <c r="E581" i="27"/>
  <c r="G229" i="27"/>
  <c r="F229" i="27"/>
  <c r="E229" i="27"/>
  <c r="D229" i="27"/>
  <c r="C229" i="27"/>
  <c r="G245" i="27"/>
  <c r="F245" i="27"/>
  <c r="E245" i="27"/>
  <c r="D245" i="27"/>
  <c r="C245" i="27"/>
  <c r="G112" i="27"/>
  <c r="F112" i="27"/>
  <c r="C112" i="27"/>
  <c r="D112" i="27"/>
  <c r="E112" i="27"/>
  <c r="G194" i="27"/>
  <c r="F194" i="27"/>
  <c r="E194" i="27"/>
  <c r="D194" i="27"/>
  <c r="C194" i="27"/>
  <c r="D328" i="27"/>
  <c r="C328" i="27"/>
  <c r="F328" i="27"/>
  <c r="G328" i="27"/>
  <c r="G421" i="27"/>
  <c r="F421" i="27"/>
  <c r="E421" i="27"/>
  <c r="D421" i="27"/>
  <c r="C421" i="27"/>
  <c r="E328" i="27"/>
  <c r="G501" i="27"/>
  <c r="F501" i="27"/>
  <c r="E501" i="27"/>
  <c r="D501" i="27"/>
  <c r="G570" i="27"/>
  <c r="F570" i="27"/>
  <c r="D570" i="27"/>
  <c r="E570" i="27"/>
  <c r="C570" i="27"/>
  <c r="G211" i="27"/>
  <c r="F211" i="27"/>
  <c r="E211" i="27"/>
  <c r="C211" i="27"/>
  <c r="D211" i="27"/>
  <c r="G458" i="27"/>
  <c r="F458" i="27"/>
  <c r="E458" i="27"/>
  <c r="D458" i="27"/>
  <c r="C458" i="27"/>
  <c r="G553" i="27"/>
  <c r="D553" i="27"/>
  <c r="F553" i="27"/>
  <c r="E553" i="27"/>
  <c r="C553" i="27"/>
  <c r="G197" i="27"/>
  <c r="F197" i="27"/>
  <c r="E197" i="27"/>
  <c r="C197" i="27"/>
  <c r="D197" i="27"/>
  <c r="F290" i="27"/>
  <c r="E290" i="27"/>
  <c r="G290" i="27"/>
  <c r="D290" i="27"/>
  <c r="C290" i="27"/>
  <c r="F83" i="27"/>
  <c r="E83" i="27"/>
  <c r="C83" i="27"/>
  <c r="D83" i="27"/>
  <c r="G83" i="27"/>
  <c r="G588" i="27"/>
  <c r="C588" i="27"/>
  <c r="F588" i="27"/>
  <c r="E588" i="27"/>
  <c r="D588" i="27"/>
  <c r="G286" i="27"/>
  <c r="F286" i="27"/>
  <c r="E286" i="27"/>
  <c r="D286" i="27"/>
  <c r="C286" i="27"/>
  <c r="C359" i="27"/>
  <c r="G359" i="27"/>
  <c r="F359" i="27"/>
  <c r="E359" i="27"/>
  <c r="D359" i="27"/>
  <c r="G336" i="27"/>
  <c r="D336" i="27"/>
  <c r="F336" i="27"/>
  <c r="E336" i="27"/>
  <c r="C336" i="27"/>
  <c r="D581" i="27"/>
  <c r="F91" i="27"/>
  <c r="G91" i="27"/>
  <c r="E91" i="27"/>
  <c r="D91" i="27"/>
  <c r="C91" i="27"/>
  <c r="G96" i="27"/>
  <c r="F96" i="27"/>
  <c r="C96" i="27"/>
  <c r="D96" i="27"/>
  <c r="E96" i="27"/>
  <c r="C501" i="27"/>
  <c r="G365" i="27"/>
  <c r="F365" i="27"/>
  <c r="E392" i="27"/>
  <c r="D392" i="27"/>
  <c r="C392" i="27"/>
  <c r="F392" i="27"/>
  <c r="G392" i="27"/>
  <c r="D482" i="27"/>
  <c r="C482" i="27"/>
  <c r="G482" i="27"/>
  <c r="F482" i="27"/>
  <c r="E482" i="27"/>
  <c r="D503" i="27"/>
  <c r="C503" i="27"/>
  <c r="E503" i="27"/>
  <c r="G503" i="27"/>
  <c r="F113" i="27"/>
  <c r="E113" i="27"/>
  <c r="D113" i="27"/>
  <c r="C113" i="27"/>
  <c r="G113" i="27"/>
  <c r="G235" i="27"/>
  <c r="E235" i="27"/>
  <c r="D235" i="27"/>
  <c r="C235" i="27"/>
  <c r="C329" i="27"/>
  <c r="G329" i="27"/>
  <c r="D329" i="27"/>
  <c r="E329" i="27"/>
  <c r="D360" i="27"/>
  <c r="C360" i="27"/>
  <c r="F360" i="27"/>
  <c r="C365" i="27"/>
  <c r="B426" i="27"/>
  <c r="F503" i="27"/>
  <c r="E98" i="27"/>
  <c r="F98" i="27"/>
  <c r="C98" i="27"/>
  <c r="D98" i="27"/>
  <c r="G131" i="27"/>
  <c r="F131" i="27"/>
  <c r="E131" i="27"/>
  <c r="C131" i="27"/>
  <c r="F178" i="27"/>
  <c r="G178" i="27"/>
  <c r="E178" i="27"/>
  <c r="C178" i="27"/>
  <c r="D178" i="27"/>
  <c r="F235" i="27"/>
  <c r="E321" i="27"/>
  <c r="D321" i="27"/>
  <c r="C321" i="27"/>
  <c r="G321" i="27"/>
  <c r="F321" i="27"/>
  <c r="F329" i="27"/>
  <c r="F354" i="27"/>
  <c r="E354" i="27"/>
  <c r="C354" i="27"/>
  <c r="G354" i="27"/>
  <c r="D354" i="27"/>
  <c r="E360" i="27"/>
  <c r="D365" i="27"/>
  <c r="F385" i="27"/>
  <c r="E385" i="27"/>
  <c r="D385" i="27"/>
  <c r="C385" i="27"/>
  <c r="G385" i="27"/>
  <c r="D79" i="27"/>
  <c r="C79" i="27"/>
  <c r="G98" i="27"/>
  <c r="D131" i="27"/>
  <c r="F244" i="27"/>
  <c r="E244" i="27"/>
  <c r="G244" i="27"/>
  <c r="D244" i="27"/>
  <c r="C244" i="27"/>
  <c r="B276" i="27"/>
  <c r="G360" i="27"/>
  <c r="E365" i="27"/>
  <c r="F417" i="27"/>
  <c r="E417" i="27"/>
  <c r="D417" i="27"/>
  <c r="G417" i="27"/>
  <c r="D445" i="27"/>
  <c r="C445" i="27"/>
  <c r="E445" i="27"/>
  <c r="F460" i="27"/>
  <c r="E460" i="27"/>
  <c r="G460" i="27"/>
  <c r="D460" i="27"/>
  <c r="E79" i="27"/>
  <c r="F132" i="27"/>
  <c r="G132" i="27"/>
  <c r="D132" i="27"/>
  <c r="C132" i="27"/>
  <c r="F180" i="27"/>
  <c r="G180" i="27"/>
  <c r="B224" i="27"/>
  <c r="F282" i="27"/>
  <c r="E282" i="27"/>
  <c r="D282" i="27"/>
  <c r="G282" i="27"/>
  <c r="C282" i="27"/>
  <c r="G349" i="27"/>
  <c r="D349" i="27"/>
  <c r="F349" i="27"/>
  <c r="E349" i="27"/>
  <c r="C349" i="27"/>
  <c r="F401" i="27"/>
  <c r="E401" i="27"/>
  <c r="D401" i="27"/>
  <c r="C401" i="27"/>
  <c r="G401" i="27"/>
  <c r="G412" i="27"/>
  <c r="F412" i="27"/>
  <c r="C412" i="27"/>
  <c r="C417" i="27"/>
  <c r="F445" i="27"/>
  <c r="C460" i="27"/>
  <c r="F79" i="27"/>
  <c r="E132" i="27"/>
  <c r="G144" i="27"/>
  <c r="C144" i="27"/>
  <c r="F144" i="27"/>
  <c r="E144" i="27"/>
  <c r="F154" i="27"/>
  <c r="E154" i="27"/>
  <c r="D154" i="27"/>
  <c r="G154" i="27"/>
  <c r="C154" i="27"/>
  <c r="C160" i="27"/>
  <c r="F160" i="27"/>
  <c r="E160" i="27"/>
  <c r="D160" i="27"/>
  <c r="C180" i="27"/>
  <c r="G213" i="27"/>
  <c r="F213" i="27"/>
  <c r="E213" i="27"/>
  <c r="D213" i="27"/>
  <c r="C213" i="27"/>
  <c r="F350" i="27"/>
  <c r="E350" i="27"/>
  <c r="C350" i="27"/>
  <c r="G394" i="27"/>
  <c r="F394" i="27"/>
  <c r="E394" i="27"/>
  <c r="D394" i="27"/>
  <c r="C394" i="27"/>
  <c r="D412" i="27"/>
  <c r="G445" i="27"/>
  <c r="F489" i="27"/>
  <c r="E489" i="27"/>
  <c r="D489" i="27"/>
  <c r="G489" i="27"/>
  <c r="C489" i="27"/>
  <c r="G510" i="27"/>
  <c r="F510" i="27"/>
  <c r="E510" i="27"/>
  <c r="C510" i="27"/>
  <c r="D510" i="27"/>
  <c r="F529" i="27"/>
  <c r="E529" i="27"/>
  <c r="G529" i="27"/>
  <c r="F558" i="27"/>
  <c r="E558" i="27"/>
  <c r="G558" i="27"/>
  <c r="D558" i="27"/>
  <c r="G261" i="27"/>
  <c r="F261" i="27"/>
  <c r="E261" i="27"/>
  <c r="D261" i="27"/>
  <c r="C261" i="27"/>
  <c r="E444" i="27"/>
  <c r="D444" i="27"/>
  <c r="C444" i="27"/>
  <c r="G444" i="27"/>
  <c r="F444" i="27"/>
  <c r="G79" i="27"/>
  <c r="G109" i="27"/>
  <c r="C109" i="27"/>
  <c r="F109" i="27"/>
  <c r="E109" i="27"/>
  <c r="D109" i="27"/>
  <c r="D117" i="27"/>
  <c r="C117" i="27"/>
  <c r="G249" i="27"/>
  <c r="D249" i="27"/>
  <c r="F249" i="27"/>
  <c r="E249" i="27"/>
  <c r="C249" i="27"/>
  <c r="G268" i="27"/>
  <c r="F268" i="27"/>
  <c r="E268" i="27"/>
  <c r="F298" i="27"/>
  <c r="E298" i="27"/>
  <c r="D298" i="27"/>
  <c r="G298" i="27"/>
  <c r="G402" i="27"/>
  <c r="F402" i="27"/>
  <c r="C402" i="27"/>
  <c r="E402" i="27"/>
  <c r="D402" i="27"/>
  <c r="G533" i="27"/>
  <c r="F533" i="27"/>
  <c r="E533" i="27"/>
  <c r="D533" i="27"/>
  <c r="C533" i="27"/>
  <c r="G597" i="27"/>
  <c r="F597" i="27"/>
  <c r="E597" i="27"/>
  <c r="D597" i="27"/>
  <c r="C597" i="27"/>
  <c r="G80" i="27"/>
  <c r="F80" i="27"/>
  <c r="C80" i="27"/>
  <c r="D80" i="27"/>
  <c r="E80" i="27"/>
  <c r="D85" i="27"/>
  <c r="C85" i="27"/>
  <c r="G85" i="27"/>
  <c r="E85" i="27"/>
  <c r="E117" i="27"/>
  <c r="B123" i="27"/>
  <c r="E180" i="27"/>
  <c r="B264" i="27"/>
  <c r="C268" i="27"/>
  <c r="C298" i="27"/>
  <c r="G311" i="27"/>
  <c r="D311" i="27"/>
  <c r="F311" i="27"/>
  <c r="E311" i="27"/>
  <c r="C311" i="27"/>
  <c r="G343" i="27"/>
  <c r="F343" i="27"/>
  <c r="C343" i="27"/>
  <c r="E343" i="27"/>
  <c r="D343" i="27"/>
  <c r="B440" i="27"/>
  <c r="G546" i="27"/>
  <c r="F546" i="27"/>
  <c r="E546" i="27"/>
  <c r="D546" i="27"/>
  <c r="C546" i="27"/>
  <c r="D221" i="27"/>
  <c r="G227" i="27"/>
  <c r="F227" i="27"/>
  <c r="E227" i="27"/>
  <c r="D227" i="27"/>
  <c r="C227" i="27"/>
  <c r="E305" i="27"/>
  <c r="D305" i="27"/>
  <c r="C305" i="27"/>
  <c r="G305" i="27"/>
  <c r="F305" i="27"/>
  <c r="D476" i="27"/>
  <c r="C476" i="27"/>
  <c r="G476" i="27"/>
  <c r="F476" i="27"/>
  <c r="E476" i="27"/>
  <c r="F593" i="27"/>
  <c r="E593" i="27"/>
  <c r="G593" i="27"/>
  <c r="D593" i="27"/>
  <c r="C593" i="27"/>
  <c r="G156" i="27"/>
  <c r="F156" i="27"/>
  <c r="C156" i="27"/>
  <c r="E156" i="27"/>
  <c r="E161" i="27"/>
  <c r="D161" i="27"/>
  <c r="C161" i="27"/>
  <c r="G161" i="27"/>
  <c r="E225" i="27"/>
  <c r="D225" i="27"/>
  <c r="C225" i="27"/>
  <c r="F225" i="27"/>
  <c r="G225" i="27"/>
  <c r="F250" i="27"/>
  <c r="E250" i="27"/>
  <c r="D250" i="27"/>
  <c r="G250" i="27"/>
  <c r="C250" i="27"/>
  <c r="E257" i="27"/>
  <c r="D257" i="27"/>
  <c r="C257" i="27"/>
  <c r="F257" i="27"/>
  <c r="C76" i="27"/>
  <c r="E76" i="27"/>
  <c r="D156" i="27"/>
  <c r="B208" i="27"/>
  <c r="F215" i="27"/>
  <c r="D215" i="27"/>
  <c r="E215" i="27"/>
  <c r="C215" i="27"/>
  <c r="G251" i="27"/>
  <c r="C251" i="27"/>
  <c r="F251" i="27"/>
  <c r="E251" i="27"/>
  <c r="G257" i="27"/>
  <c r="F513" i="27"/>
  <c r="E513" i="27"/>
  <c r="D513" i="27"/>
  <c r="C513" i="27"/>
  <c r="G513" i="27"/>
  <c r="D76" i="27"/>
  <c r="B92" i="27"/>
  <c r="G215" i="27"/>
  <c r="D251" i="27"/>
  <c r="F76" i="27"/>
  <c r="C111" i="27"/>
  <c r="D216" i="27"/>
  <c r="C216" i="27"/>
  <c r="G216" i="27"/>
  <c r="D258" i="27"/>
  <c r="F258" i="27"/>
  <c r="E258" i="27"/>
  <c r="G325" i="27"/>
  <c r="F325" i="27"/>
  <c r="E325" i="27"/>
  <c r="D325" i="27"/>
  <c r="C325" i="27"/>
  <c r="G357" i="27"/>
  <c r="F357" i="27"/>
  <c r="C357" i="27"/>
  <c r="E357" i="27"/>
  <c r="D357" i="27"/>
  <c r="C436" i="27"/>
  <c r="F436" i="27"/>
  <c r="E436" i="27"/>
  <c r="D436" i="27"/>
  <c r="G436" i="27"/>
  <c r="G76" i="27"/>
  <c r="D111" i="27"/>
  <c r="C128" i="27"/>
  <c r="F128" i="27"/>
  <c r="G128" i="27"/>
  <c r="E128" i="27"/>
  <c r="D128" i="27"/>
  <c r="B136" i="27"/>
  <c r="G147" i="27"/>
  <c r="F147" i="27"/>
  <c r="E147" i="27"/>
  <c r="C147" i="27"/>
  <c r="E216" i="27"/>
  <c r="G222" i="27"/>
  <c r="F222" i="27"/>
  <c r="C222" i="27"/>
  <c r="E222" i="27"/>
  <c r="D222" i="27"/>
  <c r="D228" i="27"/>
  <c r="C228" i="27"/>
  <c r="F228" i="27"/>
  <c r="E228" i="27"/>
  <c r="C258" i="27"/>
  <c r="F463" i="27"/>
  <c r="E463" i="27"/>
  <c r="G463" i="27"/>
  <c r="C463" i="27"/>
  <c r="F161" i="27"/>
  <c r="F221" i="27"/>
  <c r="G221" i="27"/>
  <c r="E221" i="27"/>
  <c r="E408" i="27"/>
  <c r="D408" i="27"/>
  <c r="C408" i="27"/>
  <c r="F408" i="27"/>
  <c r="G408" i="27"/>
  <c r="D101" i="27"/>
  <c r="C101" i="27"/>
  <c r="G101" i="27"/>
  <c r="F101" i="27"/>
  <c r="B118" i="27"/>
  <c r="F77" i="27"/>
  <c r="G77" i="27"/>
  <c r="D77" i="27"/>
  <c r="C77" i="27"/>
  <c r="E77" i="27"/>
  <c r="B88" i="27"/>
  <c r="F102" i="27"/>
  <c r="E102" i="27"/>
  <c r="D102" i="27"/>
  <c r="C102" i="27"/>
  <c r="G102" i="27"/>
  <c r="F142" i="27"/>
  <c r="D142" i="27"/>
  <c r="E142" i="27"/>
  <c r="G142" i="27"/>
  <c r="C142" i="27"/>
  <c r="D147" i="27"/>
  <c r="F216" i="27"/>
  <c r="G228" i="27"/>
  <c r="G258" i="27"/>
  <c r="B314" i="27"/>
  <c r="G410" i="27"/>
  <c r="F410" i="27"/>
  <c r="E410" i="27"/>
  <c r="D410" i="27"/>
  <c r="C410" i="27"/>
  <c r="D463" i="27"/>
  <c r="G469" i="27"/>
  <c r="F469" i="27"/>
  <c r="E469" i="27"/>
  <c r="D469" i="27"/>
  <c r="C469" i="27"/>
  <c r="E536" i="27"/>
  <c r="D536" i="27"/>
  <c r="F536" i="27"/>
  <c r="C536" i="27"/>
  <c r="E141" i="27"/>
  <c r="D141" i="27"/>
  <c r="G141" i="27"/>
  <c r="G149" i="27"/>
  <c r="D149" i="27"/>
  <c r="C149" i="27"/>
  <c r="F149" i="27"/>
  <c r="E149" i="27"/>
  <c r="F167" i="27"/>
  <c r="G167" i="27"/>
  <c r="E241" i="27"/>
  <c r="D241" i="27"/>
  <c r="C241" i="27"/>
  <c r="G241" i="27"/>
  <c r="E347" i="27"/>
  <c r="G347" i="27"/>
  <c r="D347" i="27"/>
  <c r="F347" i="27"/>
  <c r="C347" i="27"/>
  <c r="G366" i="27"/>
  <c r="F366" i="27"/>
  <c r="C366" i="27"/>
  <c r="D366" i="27"/>
  <c r="G371" i="27"/>
  <c r="F371" i="27"/>
  <c r="E371" i="27"/>
  <c r="D371" i="27"/>
  <c r="D376" i="27"/>
  <c r="C376" i="27"/>
  <c r="G376" i="27"/>
  <c r="F376" i="27"/>
  <c r="E376" i="27"/>
  <c r="D479" i="27"/>
  <c r="C479" i="27"/>
  <c r="G479" i="27"/>
  <c r="F479" i="27"/>
  <c r="E479" i="27"/>
  <c r="G484" i="27"/>
  <c r="F484" i="27"/>
  <c r="C484" i="27"/>
  <c r="E484" i="27"/>
  <c r="D484" i="27"/>
  <c r="D498" i="27"/>
  <c r="C498" i="27"/>
  <c r="G498" i="27"/>
  <c r="F498" i="27"/>
  <c r="G547" i="27"/>
  <c r="F547" i="27"/>
  <c r="E547" i="27"/>
  <c r="C547" i="27"/>
  <c r="D547" i="27"/>
  <c r="C582" i="27"/>
  <c r="F582" i="27"/>
  <c r="E582" i="27"/>
  <c r="G582" i="27"/>
  <c r="D582" i="27"/>
  <c r="C141" i="27"/>
  <c r="B162" i="27"/>
  <c r="C167" i="27"/>
  <c r="G172" i="27"/>
  <c r="F172" i="27"/>
  <c r="E172" i="27"/>
  <c r="D172" i="27"/>
  <c r="C172" i="27"/>
  <c r="E176" i="27"/>
  <c r="D176" i="27"/>
  <c r="G176" i="27"/>
  <c r="F176" i="27"/>
  <c r="C176" i="27"/>
  <c r="C190" i="27"/>
  <c r="D190" i="27"/>
  <c r="F241" i="27"/>
  <c r="B299" i="27"/>
  <c r="E366" i="27"/>
  <c r="C371" i="27"/>
  <c r="F418" i="27"/>
  <c r="E418" i="27"/>
  <c r="G437" i="27"/>
  <c r="D437" i="27"/>
  <c r="C437" i="27"/>
  <c r="C442" i="27"/>
  <c r="F446" i="27"/>
  <c r="E446" i="27"/>
  <c r="D446" i="27"/>
  <c r="G446" i="27"/>
  <c r="G470" i="27"/>
  <c r="F470" i="27"/>
  <c r="E485" i="27"/>
  <c r="D485" i="27"/>
  <c r="G485" i="27"/>
  <c r="E498" i="27"/>
  <c r="D572" i="27"/>
  <c r="C572" i="27"/>
  <c r="G572" i="27"/>
  <c r="F572" i="27"/>
  <c r="F141" i="27"/>
  <c r="D167" i="27"/>
  <c r="E190" i="27"/>
  <c r="G195" i="27"/>
  <c r="F195" i="27"/>
  <c r="E195" i="27"/>
  <c r="D195" i="27"/>
  <c r="B199" i="27"/>
  <c r="G260" i="27"/>
  <c r="E260" i="27"/>
  <c r="D260" i="27"/>
  <c r="C260" i="27"/>
  <c r="G300" i="27"/>
  <c r="F300" i="27"/>
  <c r="E300" i="27"/>
  <c r="B309" i="27"/>
  <c r="C418" i="27"/>
  <c r="E437" i="27"/>
  <c r="D442" i="27"/>
  <c r="C446" i="27"/>
  <c r="C470" i="27"/>
  <c r="E480" i="27"/>
  <c r="D480" i="27"/>
  <c r="G480" i="27"/>
  <c r="F480" i="27"/>
  <c r="C480" i="27"/>
  <c r="C485" i="27"/>
  <c r="B490" i="27"/>
  <c r="E520" i="27"/>
  <c r="D520" i="27"/>
  <c r="G520" i="27"/>
  <c r="E572" i="27"/>
  <c r="B158" i="27"/>
  <c r="G163" i="27"/>
  <c r="F163" i="27"/>
  <c r="E163" i="27"/>
  <c r="D163" i="27"/>
  <c r="E167" i="27"/>
  <c r="B177" i="27"/>
  <c r="F190" i="27"/>
  <c r="C195" i="27"/>
  <c r="G242" i="27"/>
  <c r="F242" i="27"/>
  <c r="E242" i="27"/>
  <c r="F260" i="27"/>
  <c r="E283" i="27"/>
  <c r="F283" i="27"/>
  <c r="C300" i="27"/>
  <c r="G320" i="27"/>
  <c r="F320" i="27"/>
  <c r="C320" i="27"/>
  <c r="D320" i="27"/>
  <c r="G378" i="27"/>
  <c r="E378" i="27"/>
  <c r="F378" i="27"/>
  <c r="D378" i="27"/>
  <c r="F382" i="27"/>
  <c r="E382" i="27"/>
  <c r="D382" i="27"/>
  <c r="G386" i="27"/>
  <c r="F386" i="27"/>
  <c r="C386" i="27"/>
  <c r="D418" i="27"/>
  <c r="B432" i="27"/>
  <c r="F437" i="27"/>
  <c r="F442" i="27"/>
  <c r="D470" i="27"/>
  <c r="F485" i="27"/>
  <c r="B515" i="27"/>
  <c r="C520" i="27"/>
  <c r="G579" i="27"/>
  <c r="F579" i="27"/>
  <c r="E579" i="27"/>
  <c r="D579" i="27"/>
  <c r="C579" i="27"/>
  <c r="D120" i="27"/>
  <c r="C120" i="27"/>
  <c r="E120" i="27"/>
  <c r="F186" i="27"/>
  <c r="E186" i="27"/>
  <c r="D186" i="27"/>
  <c r="D200" i="27"/>
  <c r="C200" i="27"/>
  <c r="F200" i="27"/>
  <c r="G200" i="27"/>
  <c r="D310" i="27"/>
  <c r="C310" i="27"/>
  <c r="G310" i="27"/>
  <c r="F310" i="27"/>
  <c r="B405" i="27"/>
  <c r="G433" i="27"/>
  <c r="F433" i="27"/>
  <c r="E433" i="27"/>
  <c r="D591" i="27"/>
  <c r="C591" i="27"/>
  <c r="G591" i="27"/>
  <c r="F591" i="27"/>
  <c r="E591" i="27"/>
  <c r="G106" i="27"/>
  <c r="C106" i="27"/>
  <c r="F120" i="27"/>
  <c r="G133" i="27"/>
  <c r="C133" i="27"/>
  <c r="D133" i="27"/>
  <c r="F138" i="27"/>
  <c r="E138" i="27"/>
  <c r="D138" i="27"/>
  <c r="G138" i="27"/>
  <c r="B164" i="27"/>
  <c r="D169" i="27"/>
  <c r="C169" i="27"/>
  <c r="C186" i="27"/>
  <c r="E200" i="27"/>
  <c r="B236" i="27"/>
  <c r="F266" i="27"/>
  <c r="E266" i="27"/>
  <c r="D266" i="27"/>
  <c r="G266" i="27"/>
  <c r="C266" i="27"/>
  <c r="G279" i="27"/>
  <c r="D279" i="27"/>
  <c r="C279" i="27"/>
  <c r="G292" i="27"/>
  <c r="F292" i="27"/>
  <c r="E292" i="27"/>
  <c r="E310" i="27"/>
  <c r="D327" i="27"/>
  <c r="G428" i="27"/>
  <c r="E428" i="27"/>
  <c r="D428" i="27"/>
  <c r="C428" i="27"/>
  <c r="G120" i="27"/>
  <c r="E133" i="27"/>
  <c r="C138" i="27"/>
  <c r="F219" i="27"/>
  <c r="C219" i="27"/>
  <c r="G284" i="27"/>
  <c r="F284" i="27"/>
  <c r="D284" i="27"/>
  <c r="C284" i="27"/>
  <c r="C292" i="27"/>
  <c r="F428" i="27"/>
  <c r="G456" i="27"/>
  <c r="F456" i="27"/>
  <c r="E456" i="27"/>
  <c r="C507" i="27"/>
  <c r="E106" i="27"/>
  <c r="F133" i="27"/>
  <c r="F169" i="27"/>
  <c r="G179" i="27"/>
  <c r="F179" i="27"/>
  <c r="E179" i="27"/>
  <c r="C179" i="27"/>
  <c r="B187" i="27"/>
  <c r="D219" i="27"/>
  <c r="D262" i="27"/>
  <c r="F279" i="27"/>
  <c r="E284" i="27"/>
  <c r="D292" i="27"/>
  <c r="F322" i="27"/>
  <c r="E322" i="27"/>
  <c r="G322" i="27"/>
  <c r="D322" i="27"/>
  <c r="F327" i="27"/>
  <c r="B368" i="27"/>
  <c r="C429" i="27"/>
  <c r="G429" i="27"/>
  <c r="C456" i="27"/>
  <c r="D507" i="27"/>
  <c r="G523" i="27"/>
  <c r="F523" i="27"/>
  <c r="D523" i="27"/>
  <c r="E523" i="27"/>
  <c r="C523" i="27"/>
  <c r="C567" i="27"/>
  <c r="G567" i="27"/>
  <c r="F567" i="27"/>
  <c r="E567" i="27"/>
  <c r="C433" i="27"/>
  <c r="B461" i="27"/>
  <c r="C585" i="27"/>
  <c r="F585" i="27"/>
  <c r="D585" i="27"/>
  <c r="E585" i="27"/>
  <c r="G585" i="27"/>
  <c r="E90" i="27"/>
  <c r="C90" i="27"/>
  <c r="D90" i="27"/>
  <c r="D106" i="27"/>
  <c r="G155" i="27"/>
  <c r="E155" i="27"/>
  <c r="E169" i="27"/>
  <c r="G186" i="27"/>
  <c r="C262" i="27"/>
  <c r="E279" i="27"/>
  <c r="E327" i="27"/>
  <c r="D344" i="27"/>
  <c r="C344" i="27"/>
  <c r="G344" i="27"/>
  <c r="E344" i="27"/>
  <c r="D433" i="27"/>
  <c r="G522" i="27"/>
  <c r="F522" i="27"/>
  <c r="D522" i="27"/>
  <c r="C522" i="27"/>
  <c r="E522" i="27"/>
  <c r="D543" i="27"/>
  <c r="C543" i="27"/>
  <c r="G543" i="27"/>
  <c r="F543" i="27"/>
  <c r="G90" i="27"/>
  <c r="B103" i="27"/>
  <c r="F106" i="27"/>
  <c r="B121" i="27"/>
  <c r="B129" i="27"/>
  <c r="F134" i="27"/>
  <c r="E134" i="27"/>
  <c r="D134" i="27"/>
  <c r="C134" i="27"/>
  <c r="G134" i="27"/>
  <c r="D155" i="27"/>
  <c r="G165" i="27"/>
  <c r="F165" i="27"/>
  <c r="E165" i="27"/>
  <c r="D165" i="27"/>
  <c r="C165" i="27"/>
  <c r="G169" i="27"/>
  <c r="D179" i="27"/>
  <c r="G188" i="27"/>
  <c r="F188" i="27"/>
  <c r="D188" i="27"/>
  <c r="C188" i="27"/>
  <c r="E219" i="27"/>
  <c r="D232" i="27"/>
  <c r="C232" i="27"/>
  <c r="E232" i="27"/>
  <c r="E262" i="27"/>
  <c r="C302" i="27"/>
  <c r="E302" i="27"/>
  <c r="G306" i="27"/>
  <c r="D306" i="27"/>
  <c r="C322" i="27"/>
  <c r="G327" i="27"/>
  <c r="G340" i="27"/>
  <c r="D340" i="27"/>
  <c r="F340" i="27"/>
  <c r="E340" i="27"/>
  <c r="B345" i="27"/>
  <c r="E353" i="27"/>
  <c r="D353" i="27"/>
  <c r="C353" i="27"/>
  <c r="F353" i="27"/>
  <c r="D429" i="27"/>
  <c r="D456" i="27"/>
  <c r="F507" i="27"/>
  <c r="D511" i="27"/>
  <c r="C511" i="27"/>
  <c r="F511" i="27"/>
  <c r="E511" i="27"/>
  <c r="D567" i="27"/>
  <c r="D575" i="27"/>
  <c r="C575" i="27"/>
  <c r="G575" i="27"/>
  <c r="F575" i="27"/>
  <c r="E575" i="27"/>
  <c r="B512" i="27"/>
  <c r="G524" i="27"/>
  <c r="F524" i="27"/>
  <c r="D524" i="27"/>
  <c r="C524" i="27"/>
  <c r="G542" i="27"/>
  <c r="F542" i="27"/>
  <c r="E542" i="27"/>
  <c r="C542" i="27"/>
  <c r="C549" i="27"/>
  <c r="E549" i="27"/>
  <c r="F549" i="27"/>
  <c r="D549" i="27"/>
  <c r="G549" i="27"/>
  <c r="G99" i="27"/>
  <c r="F99" i="27"/>
  <c r="E99" i="27"/>
  <c r="F119" i="27"/>
  <c r="E119" i="27"/>
  <c r="G243" i="27"/>
  <c r="F243" i="27"/>
  <c r="E243" i="27"/>
  <c r="G275" i="27"/>
  <c r="F275" i="27"/>
  <c r="E275" i="27"/>
  <c r="G341" i="27"/>
  <c r="D341" i="27"/>
  <c r="F363" i="27"/>
  <c r="G363" i="27"/>
  <c r="B396" i="27"/>
  <c r="B423" i="27"/>
  <c r="B452" i="27"/>
  <c r="F471" i="27"/>
  <c r="E471" i="27"/>
  <c r="D471" i="27"/>
  <c r="G471" i="27"/>
  <c r="C471" i="27"/>
  <c r="E524" i="27"/>
  <c r="D542" i="27"/>
  <c r="E596" i="27"/>
  <c r="D596" i="27"/>
  <c r="G364" i="27"/>
  <c r="F364" i="27"/>
  <c r="C364" i="27"/>
  <c r="E364" i="27"/>
  <c r="G373" i="27"/>
  <c r="E373" i="27"/>
  <c r="D373" i="27"/>
  <c r="C373" i="27"/>
  <c r="F397" i="27"/>
  <c r="E397" i="27"/>
  <c r="D397" i="27"/>
  <c r="E504" i="27"/>
  <c r="D504" i="27"/>
  <c r="F504" i="27"/>
  <c r="C504" i="27"/>
  <c r="G504" i="27"/>
  <c r="C518" i="27"/>
  <c r="F518" i="27"/>
  <c r="E518" i="27"/>
  <c r="D518" i="27"/>
  <c r="G551" i="27"/>
  <c r="F551" i="27"/>
  <c r="E551" i="27"/>
  <c r="D551" i="27"/>
  <c r="C551" i="27"/>
  <c r="C139" i="27"/>
  <c r="G173" i="27"/>
  <c r="D173" i="27"/>
  <c r="B226" i="27"/>
  <c r="B234" i="27"/>
  <c r="D248" i="27"/>
  <c r="C248" i="27"/>
  <c r="G252" i="27"/>
  <c r="F252" i="27"/>
  <c r="E252" i="27"/>
  <c r="D252" i="27"/>
  <c r="C252" i="27"/>
  <c r="E285" i="27"/>
  <c r="F285" i="27"/>
  <c r="D285" i="27"/>
  <c r="E308" i="27"/>
  <c r="D308" i="27"/>
  <c r="C308" i="27"/>
  <c r="B318" i="27"/>
  <c r="D364" i="27"/>
  <c r="F373" i="27"/>
  <c r="E389" i="27"/>
  <c r="D389" i="27"/>
  <c r="C389" i="27"/>
  <c r="C393" i="27"/>
  <c r="G393" i="27"/>
  <c r="C397" i="27"/>
  <c r="B425" i="27"/>
  <c r="D453" i="27"/>
  <c r="C453" i="27"/>
  <c r="E453" i="27"/>
  <c r="G505" i="27"/>
  <c r="E505" i="27"/>
  <c r="D505" i="27"/>
  <c r="C505" i="27"/>
  <c r="F505" i="27"/>
  <c r="G518" i="27"/>
  <c r="F545" i="27"/>
  <c r="E545" i="27"/>
  <c r="G545" i="27"/>
  <c r="D545" i="27"/>
  <c r="E568" i="27"/>
  <c r="D568" i="27"/>
  <c r="G568" i="27"/>
  <c r="F568" i="27"/>
  <c r="C568" i="27"/>
  <c r="G576" i="27"/>
  <c r="D576" i="27"/>
  <c r="C576" i="27"/>
  <c r="G586" i="27"/>
  <c r="F586" i="27"/>
  <c r="C586" i="27"/>
  <c r="F87" i="27"/>
  <c r="E87" i="27"/>
  <c r="E130" i="27"/>
  <c r="D130" i="27"/>
  <c r="G130" i="27"/>
  <c r="C256" i="27"/>
  <c r="D256" i="27"/>
  <c r="D87" i="27"/>
  <c r="D97" i="27"/>
  <c r="C97" i="27"/>
  <c r="F107" i="27"/>
  <c r="G107" i="27"/>
  <c r="E107" i="27"/>
  <c r="E110" i="27"/>
  <c r="D110" i="27"/>
  <c r="G110" i="27"/>
  <c r="F110" i="27"/>
  <c r="C110" i="27"/>
  <c r="G124" i="27"/>
  <c r="F124" i="27"/>
  <c r="D124" i="27"/>
  <c r="F130" i="27"/>
  <c r="G135" i="27"/>
  <c r="F135" i="27"/>
  <c r="C135" i="27"/>
  <c r="E145" i="27"/>
  <c r="D145" i="27"/>
  <c r="C145" i="27"/>
  <c r="F256" i="27"/>
  <c r="D269" i="27"/>
  <c r="G269" i="27"/>
  <c r="D272" i="27"/>
  <c r="F272" i="27"/>
  <c r="G272" i="27"/>
  <c r="G338" i="27"/>
  <c r="D338" i="27"/>
  <c r="G374" i="27"/>
  <c r="D374" i="27"/>
  <c r="E374" i="27"/>
  <c r="C374" i="27"/>
  <c r="G397" i="27"/>
  <c r="G407" i="27"/>
  <c r="E407" i="27"/>
  <c r="D407" i="27"/>
  <c r="C407" i="27"/>
  <c r="F474" i="27"/>
  <c r="G474" i="27"/>
  <c r="E474" i="27"/>
  <c r="B519" i="27"/>
  <c r="C526" i="27"/>
  <c r="G526" i="27"/>
  <c r="F330" i="27"/>
  <c r="E330" i="27"/>
  <c r="D330" i="27"/>
  <c r="D399" i="27"/>
  <c r="C399" i="27"/>
  <c r="F399" i="27"/>
  <c r="E399" i="27"/>
  <c r="C539" i="27"/>
  <c r="G539" i="27"/>
  <c r="D559" i="27"/>
  <c r="C559" i="27"/>
  <c r="F559" i="27"/>
  <c r="E559" i="27"/>
  <c r="G559" i="27"/>
  <c r="F146" i="27"/>
  <c r="E146" i="27"/>
  <c r="F233" i="27"/>
  <c r="E233" i="27"/>
  <c r="G259" i="27"/>
  <c r="F259" i="27"/>
  <c r="E259" i="27"/>
  <c r="B362" i="27"/>
  <c r="G399" i="27"/>
  <c r="G467" i="27"/>
  <c r="D467" i="27"/>
  <c r="D535" i="27"/>
  <c r="C535" i="27"/>
  <c r="E555" i="27"/>
  <c r="D555" i="27"/>
  <c r="C555" i="27"/>
  <c r="G555" i="27"/>
  <c r="B86" i="27"/>
  <c r="E94" i="27"/>
  <c r="D94" i="27"/>
  <c r="B105" i="27"/>
  <c r="C146" i="27"/>
  <c r="D191" i="27"/>
  <c r="D207" i="27"/>
  <c r="C233" i="27"/>
  <c r="C259" i="27"/>
  <c r="E273" i="27"/>
  <c r="D273" i="27"/>
  <c r="C273" i="27"/>
  <c r="F273" i="27"/>
  <c r="B277" i="27"/>
  <c r="E297" i="27"/>
  <c r="D297" i="27"/>
  <c r="F304" i="27"/>
  <c r="E304" i="27"/>
  <c r="G330" i="27"/>
  <c r="E369" i="27"/>
  <c r="D369" i="27"/>
  <c r="C369" i="27"/>
  <c r="F369" i="27"/>
  <c r="F377" i="27"/>
  <c r="E377" i="27"/>
  <c r="G377" i="27"/>
  <c r="D377" i="27"/>
  <c r="B400" i="27"/>
  <c r="C467" i="27"/>
  <c r="D495" i="27"/>
  <c r="C495" i="27"/>
  <c r="G495" i="27"/>
  <c r="F495" i="27"/>
  <c r="E495" i="27"/>
  <c r="E535" i="27"/>
  <c r="E539" i="27"/>
  <c r="C544" i="27"/>
  <c r="G544" i="27"/>
  <c r="F544" i="27"/>
  <c r="E544" i="27"/>
  <c r="F555" i="27"/>
  <c r="G565" i="27"/>
  <c r="F565" i="27"/>
  <c r="E565" i="27"/>
  <c r="D565" i="27"/>
  <c r="F599" i="27"/>
  <c r="E599" i="27"/>
  <c r="G599" i="27"/>
  <c r="C599" i="27"/>
  <c r="G204" i="27"/>
  <c r="F204" i="27"/>
  <c r="C330" i="27"/>
  <c r="F447" i="27"/>
  <c r="E447" i="27"/>
  <c r="G447" i="27"/>
  <c r="D447" i="27"/>
  <c r="C447" i="27"/>
  <c r="D527" i="27"/>
  <c r="C527" i="27"/>
  <c r="G527" i="27"/>
  <c r="F527" i="27"/>
  <c r="D539" i="27"/>
  <c r="D560" i="27"/>
  <c r="C560" i="27"/>
  <c r="F560" i="27"/>
  <c r="D583" i="27"/>
  <c r="C583" i="27"/>
  <c r="G583" i="27"/>
  <c r="F583" i="27"/>
  <c r="D599" i="27"/>
  <c r="C94" i="27"/>
  <c r="D146" i="27"/>
  <c r="C159" i="27"/>
  <c r="F159" i="27"/>
  <c r="E191" i="27"/>
  <c r="D201" i="27"/>
  <c r="D204" i="27"/>
  <c r="E207" i="27"/>
  <c r="E217" i="27"/>
  <c r="D217" i="27"/>
  <c r="D233" i="27"/>
  <c r="C246" i="27"/>
  <c r="D259" i="27"/>
  <c r="B263" i="27"/>
  <c r="G273" i="27"/>
  <c r="C297" i="27"/>
  <c r="C304" i="27"/>
  <c r="E334" i="27"/>
  <c r="D334" i="27"/>
  <c r="G369" i="27"/>
  <c r="C377" i="27"/>
  <c r="G391" i="27"/>
  <c r="F391" i="27"/>
  <c r="C404" i="27"/>
  <c r="F435" i="27"/>
  <c r="E435" i="27"/>
  <c r="D435" i="27"/>
  <c r="F451" i="27"/>
  <c r="E451" i="27"/>
  <c r="D451" i="27"/>
  <c r="E467" i="27"/>
  <c r="G517" i="27"/>
  <c r="F517" i="27"/>
  <c r="E517" i="27"/>
  <c r="F535" i="27"/>
  <c r="F539" i="27"/>
  <c r="D544" i="27"/>
  <c r="G560" i="27"/>
  <c r="C565" i="27"/>
  <c r="G571" i="27"/>
  <c r="F571" i="27"/>
  <c r="D571" i="27"/>
  <c r="C571" i="27"/>
  <c r="E78" i="27"/>
  <c r="D78" i="27"/>
  <c r="G89" i="27"/>
  <c r="D89" i="27"/>
  <c r="G146" i="27"/>
  <c r="F191" i="27"/>
  <c r="E198" i="27"/>
  <c r="D198" i="27"/>
  <c r="E204" i="27"/>
  <c r="F207" i="27"/>
  <c r="G214" i="27"/>
  <c r="F214" i="27"/>
  <c r="C214" i="27"/>
  <c r="G233" i="27"/>
  <c r="D267" i="27"/>
  <c r="G267" i="27"/>
  <c r="C267" i="27"/>
  <c r="F297" i="27"/>
  <c r="D304" i="27"/>
  <c r="G331" i="27"/>
  <c r="D331" i="27"/>
  <c r="G355" i="27"/>
  <c r="F355" i="27"/>
  <c r="E355" i="27"/>
  <c r="C355" i="27"/>
  <c r="C391" i="27"/>
  <c r="G420" i="27"/>
  <c r="E420" i="27"/>
  <c r="D420" i="27"/>
  <c r="C435" i="27"/>
  <c r="C451" i="27"/>
  <c r="C455" i="27"/>
  <c r="F467" i="27"/>
  <c r="C473" i="27"/>
  <c r="E473" i="27"/>
  <c r="G496" i="27"/>
  <c r="F496" i="27"/>
  <c r="E496" i="27"/>
  <c r="C517" i="27"/>
  <c r="G535" i="27"/>
  <c r="G556" i="27"/>
  <c r="E556" i="27"/>
  <c r="C556" i="27"/>
  <c r="D556" i="27"/>
  <c r="F561" i="27"/>
  <c r="E561" i="27"/>
  <c r="D561" i="27"/>
  <c r="C561" i="27"/>
  <c r="G561" i="27"/>
  <c r="E571" i="27"/>
  <c r="G430" i="27"/>
  <c r="D430" i="27"/>
  <c r="E434" i="27"/>
  <c r="D434" i="27"/>
  <c r="E438" i="27"/>
  <c r="D438" i="27"/>
  <c r="G438" i="27"/>
  <c r="F438" i="27"/>
  <c r="G465" i="27"/>
  <c r="D465" i="27"/>
  <c r="C465" i="27"/>
  <c r="E573" i="27"/>
  <c r="D573" i="27"/>
  <c r="F577" i="27"/>
  <c r="E577" i="27"/>
  <c r="D577" i="27"/>
  <c r="C577" i="27"/>
  <c r="G577" i="27"/>
  <c r="G594" i="27"/>
  <c r="D594" i="27"/>
  <c r="C594" i="27"/>
  <c r="F127" i="27"/>
  <c r="E157" i="27"/>
  <c r="E270" i="27"/>
  <c r="E381" i="27"/>
  <c r="D381" i="27"/>
  <c r="C381" i="27"/>
  <c r="F409" i="27"/>
  <c r="G538" i="27"/>
  <c r="F538" i="27"/>
  <c r="D538" i="27"/>
  <c r="C538" i="27"/>
  <c r="G569" i="27"/>
  <c r="F569" i="27"/>
  <c r="E569" i="27"/>
  <c r="D569" i="27"/>
  <c r="E552" i="27"/>
  <c r="D552" i="27"/>
  <c r="G127" i="27"/>
  <c r="D152" i="27"/>
  <c r="C152" i="27"/>
  <c r="C288" i="27"/>
  <c r="C317" i="27"/>
  <c r="G339" i="27"/>
  <c r="F339" i="27"/>
  <c r="E339" i="27"/>
  <c r="F381" i="27"/>
  <c r="G409" i="27"/>
  <c r="G413" i="27"/>
  <c r="F413" i="27"/>
  <c r="E413" i="27"/>
  <c r="G457" i="27"/>
  <c r="G500" i="27"/>
  <c r="F500" i="27"/>
  <c r="E538" i="27"/>
  <c r="F552" i="27"/>
  <c r="F564" i="27"/>
  <c r="E564" i="27"/>
  <c r="G564" i="27"/>
  <c r="D564" i="27"/>
  <c r="C564" i="27"/>
  <c r="C569" i="27"/>
  <c r="G574" i="27"/>
  <c r="F574" i="27"/>
  <c r="E574" i="27"/>
  <c r="D574" i="27"/>
  <c r="C574" i="27"/>
  <c r="C590" i="27"/>
  <c r="G590" i="27"/>
  <c r="F590" i="27"/>
  <c r="E590" i="27"/>
  <c r="E600" i="27"/>
  <c r="D600" i="27"/>
  <c r="F600" i="27"/>
  <c r="C600" i="27"/>
  <c r="G600" i="27"/>
  <c r="D296" i="27"/>
  <c r="C296" i="27"/>
  <c r="D427" i="27"/>
  <c r="C427" i="27"/>
  <c r="D415" i="27"/>
  <c r="C415" i="27"/>
  <c r="G592" i="27"/>
  <c r="F592" i="27"/>
  <c r="E592" i="27"/>
  <c r="G403" i="27"/>
  <c r="F403" i="27"/>
  <c r="E415" i="27"/>
  <c r="G499" i="27"/>
  <c r="F499" i="27"/>
  <c r="E499" i="27"/>
  <c r="D499" i="27"/>
  <c r="D550" i="27"/>
  <c r="G554" i="27"/>
  <c r="F554" i="27"/>
  <c r="D554" i="27"/>
  <c r="C554" i="27"/>
  <c r="E554" i="27"/>
  <c r="E584" i="27"/>
  <c r="D584" i="27"/>
  <c r="C592" i="27"/>
  <c r="G531" i="27"/>
  <c r="D531" i="27"/>
  <c r="C531" i="27"/>
  <c r="G419" i="27"/>
  <c r="F419" i="27"/>
  <c r="E424" i="27"/>
  <c r="D424" i="27"/>
  <c r="C424" i="27"/>
  <c r="D468" i="27"/>
  <c r="C468" i="27"/>
  <c r="C502" i="27"/>
  <c r="F502" i="27"/>
  <c r="E502" i="27"/>
  <c r="D502" i="27"/>
  <c r="G506" i="27"/>
  <c r="F506" i="27"/>
  <c r="F541" i="27"/>
  <c r="E541" i="27"/>
  <c r="C419" i="27"/>
  <c r="F424" i="27"/>
  <c r="E468" i="27"/>
  <c r="F475" i="27"/>
  <c r="E475" i="27"/>
  <c r="D475" i="27"/>
  <c r="C475" i="27"/>
  <c r="G502" i="27"/>
  <c r="C506" i="27"/>
  <c r="C541" i="27"/>
  <c r="F548" i="27"/>
  <c r="E548" i="27"/>
  <c r="D548" i="27"/>
  <c r="C598" i="27"/>
  <c r="F598" i="27"/>
  <c r="E598" i="27"/>
  <c r="D598" i="27"/>
  <c r="E508" i="27"/>
  <c r="D508" i="27"/>
  <c r="G595" i="27"/>
  <c r="D595" i="27"/>
  <c r="C595" i="27"/>
  <c r="C449" i="27"/>
  <c r="D486" i="27"/>
  <c r="C508" i="27"/>
  <c r="D534" i="27"/>
  <c r="C563" i="27"/>
  <c r="E595" i="27"/>
  <c r="E488" i="27"/>
  <c r="D488" i="27"/>
  <c r="L75" i="27"/>
  <c r="L69" i="27"/>
  <c r="L61" i="27"/>
  <c r="L57" i="27"/>
  <c r="L53" i="27"/>
  <c r="L60" i="27"/>
  <c r="L56" i="27"/>
  <c r="L52" i="27"/>
  <c r="L72" i="27"/>
  <c r="L63" i="27"/>
  <c r="L71" i="27"/>
  <c r="L65" i="27"/>
  <c r="L73" i="27"/>
  <c r="L64" i="27"/>
  <c r="L59" i="27"/>
  <c r="L55" i="27"/>
  <c r="L51" i="27"/>
  <c r="L66" i="27"/>
  <c r="L74" i="27"/>
  <c r="L68" i="27"/>
  <c r="L67" i="27"/>
  <c r="L70" i="27"/>
  <c r="L62" i="27"/>
  <c r="L58" i="27"/>
  <c r="L54" i="27"/>
  <c r="K70" i="27"/>
  <c r="K66" i="27"/>
  <c r="K62" i="27"/>
  <c r="K58" i="27"/>
  <c r="K54" i="27"/>
  <c r="K65" i="27"/>
  <c r="K61" i="27"/>
  <c r="K57" i="27"/>
  <c r="K53" i="27"/>
  <c r="K73" i="27"/>
  <c r="K64" i="27"/>
  <c r="K60" i="27"/>
  <c r="K56" i="27"/>
  <c r="K52" i="27"/>
  <c r="K75" i="27"/>
  <c r="K74" i="27"/>
  <c r="K67" i="27"/>
  <c r="K71" i="27"/>
  <c r="K69" i="27"/>
  <c r="K68" i="27"/>
  <c r="K72" i="27"/>
  <c r="K63" i="27"/>
  <c r="K59" i="27"/>
  <c r="K55" i="27"/>
  <c r="K51" i="27"/>
  <c r="AK40" i="27"/>
  <c r="AR40" i="27" s="1"/>
  <c r="AK42" i="27"/>
  <c r="AN42" i="27" s="1"/>
  <c r="K34" i="27"/>
  <c r="W66" i="27"/>
  <c r="K37" i="27"/>
  <c r="K41" i="27" s="1"/>
  <c r="AK45" i="27"/>
  <c r="AN45" i="27" s="1"/>
  <c r="AK66" i="27"/>
  <c r="AN66" i="27" s="1"/>
  <c r="L37" i="27"/>
  <c r="L41" i="27" s="1"/>
  <c r="K19" i="27"/>
  <c r="AK47" i="27"/>
  <c r="AN47" i="27" s="1"/>
  <c r="L29" i="27"/>
  <c r="K31" i="27"/>
  <c r="K35" i="27"/>
  <c r="K39" i="27"/>
  <c r="L31" i="27"/>
  <c r="L35" i="27"/>
  <c r="L39" i="27"/>
  <c r="K32" i="27"/>
  <c r="K36" i="27"/>
  <c r="K40" i="27"/>
  <c r="L32" i="27"/>
  <c r="L36" i="27"/>
  <c r="L40" i="27"/>
  <c r="K29" i="27"/>
  <c r="K33" i="27"/>
  <c r="W40" i="27"/>
  <c r="AK56" i="27"/>
  <c r="AN56" i="27" s="1"/>
  <c r="AK58" i="27"/>
  <c r="AN58" i="27" s="1"/>
  <c r="BI142" i="27"/>
  <c r="BG142" i="27" s="1"/>
  <c r="AK61" i="27"/>
  <c r="AN61" i="27" s="1"/>
  <c r="AK63" i="27"/>
  <c r="AN63" i="27" s="1"/>
  <c r="AK54" i="27"/>
  <c r="AN54" i="27" s="1"/>
  <c r="AK50" i="27"/>
  <c r="AN50" i="27" s="1"/>
  <c r="AC22" i="27"/>
  <c r="V25" i="27"/>
  <c r="AK48" i="27"/>
  <c r="AN48" i="27" s="1"/>
  <c r="AK57" i="27"/>
  <c r="AN57" i="27" s="1"/>
  <c r="W71" i="27"/>
  <c r="W30" i="27"/>
  <c r="W69" i="27"/>
  <c r="W56" i="27"/>
  <c r="W35" i="27"/>
  <c r="W61" i="27"/>
  <c r="W64" i="27"/>
  <c r="W58" i="27"/>
  <c r="W55" i="27"/>
  <c r="W48" i="27"/>
  <c r="W38" i="27"/>
  <c r="W44" i="27"/>
  <c r="W41" i="27"/>
  <c r="W31" i="27"/>
  <c r="W53" i="27"/>
  <c r="W45" i="27"/>
  <c r="W59" i="27"/>
  <c r="W52" i="27"/>
  <c r="W49" i="27"/>
  <c r="W33" i="27"/>
  <c r="W29" i="27"/>
  <c r="W36" i="27"/>
  <c r="W68" i="27"/>
  <c r="W19" i="27"/>
  <c r="W60" i="27"/>
  <c r="X64" i="27"/>
  <c r="X34" i="27"/>
  <c r="X48" i="27"/>
  <c r="X59" i="27"/>
  <c r="X33" i="27"/>
  <c r="X36" i="27"/>
  <c r="W34" i="27"/>
  <c r="AJ33" i="27"/>
  <c r="AK33" i="27" s="1"/>
  <c r="AR33" i="27" s="1"/>
  <c r="AJ29" i="27"/>
  <c r="AK29" i="27" s="1"/>
  <c r="AR29" i="27" s="1"/>
  <c r="AJ36" i="27"/>
  <c r="AK36" i="27" s="1"/>
  <c r="AJ39" i="27"/>
  <c r="AK39" i="27" s="1"/>
  <c r="AR39" i="27" s="1"/>
  <c r="AJ34" i="27"/>
  <c r="AK34" i="27" s="1"/>
  <c r="AR34" i="27" s="1"/>
  <c r="W46" i="27"/>
  <c r="W54" i="27"/>
  <c r="AZ26" i="27"/>
  <c r="AL34" i="27" s="1"/>
  <c r="AJ30" i="27"/>
  <c r="AK30" i="27" s="1"/>
  <c r="W39" i="27"/>
  <c r="W57" i="27"/>
  <c r="X37" i="27"/>
  <c r="W43" i="27"/>
  <c r="AJ43" i="27"/>
  <c r="AK43" i="27" s="1"/>
  <c r="AN43" i="27" s="1"/>
  <c r="W51" i="27"/>
  <c r="AK68" i="27"/>
  <c r="AN68" i="27" s="1"/>
  <c r="BI116" i="27"/>
  <c r="BJ116" i="27" s="1"/>
  <c r="BI117" i="27" s="1"/>
  <c r="BI103" i="27"/>
  <c r="BD89" i="27"/>
  <c r="BE89" i="27" s="1"/>
  <c r="AJ18" i="27"/>
  <c r="AS17" i="27" s="1"/>
  <c r="AL15" i="27" s="1"/>
  <c r="AK55" i="27"/>
  <c r="AN55" i="27" s="1"/>
  <c r="BC90" i="27"/>
  <c r="BE90" i="27"/>
  <c r="AK49" i="27"/>
  <c r="AN49" i="27" s="1"/>
  <c r="BH130" i="27"/>
  <c r="BH131" i="27" s="1"/>
  <c r="BH132" i="27" s="1"/>
  <c r="BI129" i="27" s="1"/>
  <c r="AL59" i="27"/>
  <c r="AK59" i="27"/>
  <c r="AN59" i="27" s="1"/>
  <c r="X38" i="27"/>
  <c r="X40" i="27"/>
  <c r="X67" i="27"/>
  <c r="X68" i="27"/>
  <c r="AI18" i="27"/>
  <c r="X47" i="27"/>
  <c r="AL65" i="27"/>
  <c r="AK65" i="27"/>
  <c r="AN65" i="27" s="1"/>
  <c r="X41" i="27"/>
  <c r="X62" i="27"/>
  <c r="AK46" i="27"/>
  <c r="AN46" i="27" s="1"/>
  <c r="X56" i="27"/>
  <c r="X49" i="27"/>
  <c r="X44" i="27"/>
  <c r="X35" i="27"/>
  <c r="X70" i="27"/>
  <c r="X54" i="27"/>
  <c r="X51" i="27"/>
  <c r="X46" i="27"/>
  <c r="X29" i="27"/>
  <c r="X63" i="27"/>
  <c r="X66" i="27"/>
  <c r="X57" i="27"/>
  <c r="X53" i="27"/>
  <c r="X39" i="27"/>
  <c r="X19" i="27"/>
  <c r="X61" i="27"/>
  <c r="X42" i="27"/>
  <c r="X32" i="27"/>
  <c r="X71" i="27"/>
  <c r="X45" i="27"/>
  <c r="X69" i="27"/>
  <c r="X65" i="27"/>
  <c r="X60" i="27"/>
  <c r="X52" i="27"/>
  <c r="X31" i="27"/>
  <c r="X55" i="27"/>
  <c r="X30" i="27"/>
  <c r="AL69" i="27"/>
  <c r="AK69" i="27"/>
  <c r="AN69" i="27" s="1"/>
  <c r="AL60" i="27"/>
  <c r="AK60" i="27"/>
  <c r="AN60" i="27" s="1"/>
  <c r="AL52" i="27"/>
  <c r="AK52" i="27"/>
  <c r="AN52" i="27" s="1"/>
  <c r="X43" i="27"/>
  <c r="AK44" i="27"/>
  <c r="AN44" i="27" s="1"/>
  <c r="X50" i="27"/>
  <c r="X58" i="27"/>
  <c r="CQ3" i="27"/>
  <c r="AK62" i="27"/>
  <c r="AN62" i="27" s="1"/>
  <c r="AK64" i="27"/>
  <c r="AN64" i="27" s="1"/>
  <c r="AJ37" i="27"/>
  <c r="AK37" i="27" s="1"/>
  <c r="AJ32" i="27"/>
  <c r="AK32" i="27" s="1"/>
  <c r="AK51" i="27"/>
  <c r="AN51" i="27" s="1"/>
  <c r="AJ38" i="27"/>
  <c r="AK38" i="27" s="1"/>
  <c r="AK41" i="27"/>
  <c r="AJ31" i="27"/>
  <c r="AK31" i="27" s="1"/>
  <c r="AJ35" i="27"/>
  <c r="AK35" i="27" s="1"/>
  <c r="AK70" i="27"/>
  <c r="AN70" i="27" s="1"/>
  <c r="W70" i="27"/>
  <c r="W63" i="27"/>
  <c r="W47" i="27"/>
  <c r="W32" i="27"/>
  <c r="W37" i="27"/>
  <c r="W62" i="27"/>
  <c r="W67" i="27"/>
  <c r="W42" i="27"/>
  <c r="W65" i="27"/>
  <c r="AK67" i="27"/>
  <c r="AN67" i="27" s="1"/>
  <c r="BJ99" i="27"/>
  <c r="C313" i="27" l="1"/>
  <c r="E313" i="27"/>
  <c r="G313" i="27"/>
  <c r="J48" i="27"/>
  <c r="J43" i="27"/>
  <c r="J44" i="27"/>
  <c r="E472" i="27"/>
  <c r="J50" i="27"/>
  <c r="J58" i="27" s="1"/>
  <c r="F313" i="27"/>
  <c r="G326" i="27"/>
  <c r="C472" i="27"/>
  <c r="B65" i="27"/>
  <c r="F65" i="27" s="1"/>
  <c r="F326" i="27"/>
  <c r="F472" i="27"/>
  <c r="D326" i="27"/>
  <c r="E326" i="27"/>
  <c r="C528" i="27"/>
  <c r="G472" i="27"/>
  <c r="B53" i="27"/>
  <c r="G53" i="27" s="1"/>
  <c r="B67" i="27"/>
  <c r="E67" i="27" s="1"/>
  <c r="D312" i="27"/>
  <c r="E380" i="27"/>
  <c r="E312" i="27"/>
  <c r="G380" i="27"/>
  <c r="G312" i="27"/>
  <c r="B69" i="27"/>
  <c r="E69" i="27" s="1"/>
  <c r="C312" i="27"/>
  <c r="F380" i="27"/>
  <c r="C380" i="27"/>
  <c r="B61" i="27"/>
  <c r="D61" i="27" s="1"/>
  <c r="E209" i="27"/>
  <c r="D209" i="27"/>
  <c r="G528" i="27"/>
  <c r="F209" i="27"/>
  <c r="B55" i="27"/>
  <c r="F55" i="27" s="1"/>
  <c r="J46" i="27"/>
  <c r="J47" i="27"/>
  <c r="E528" i="27"/>
  <c r="D528" i="27"/>
  <c r="B62" i="27"/>
  <c r="C62" i="27" s="1"/>
  <c r="D530" i="27"/>
  <c r="C530" i="27"/>
  <c r="G530" i="27"/>
  <c r="B56" i="27"/>
  <c r="G56" i="27" s="1"/>
  <c r="G209" i="27"/>
  <c r="F530" i="27"/>
  <c r="B40" i="27"/>
  <c r="E40" i="27" s="1"/>
  <c r="BL40" i="27"/>
  <c r="B63" i="27"/>
  <c r="G63" i="27" s="1"/>
  <c r="BL63" i="27"/>
  <c r="B64" i="27"/>
  <c r="C64" i="27" s="1"/>
  <c r="BL64" i="27"/>
  <c r="V34" i="27"/>
  <c r="B25" i="27"/>
  <c r="B60" i="27"/>
  <c r="D60" i="27" s="1"/>
  <c r="B68" i="27"/>
  <c r="G68" i="27" s="1"/>
  <c r="B66" i="27"/>
  <c r="E66" i="27" s="1"/>
  <c r="BL66" i="27"/>
  <c r="B54" i="27"/>
  <c r="C54" i="27" s="1"/>
  <c r="BL54" i="27"/>
  <c r="B58" i="27"/>
  <c r="C58" i="27" s="1"/>
  <c r="B57" i="27"/>
  <c r="G57" i="27" s="1"/>
  <c r="G348" i="27"/>
  <c r="C509" i="27"/>
  <c r="C492" i="27"/>
  <c r="E49" i="27"/>
  <c r="E492" i="27"/>
  <c r="D348" i="27"/>
  <c r="F492" i="27"/>
  <c r="E348" i="27"/>
  <c r="C49" i="27"/>
  <c r="F49" i="27"/>
  <c r="G492" i="27"/>
  <c r="F348" i="27"/>
  <c r="B48" i="27"/>
  <c r="G49" i="27"/>
  <c r="D509" i="27"/>
  <c r="E509" i="27"/>
  <c r="C370" i="27"/>
  <c r="F509" i="27"/>
  <c r="E398" i="27"/>
  <c r="F398" i="27"/>
  <c r="C454" i="27"/>
  <c r="V19" i="27"/>
  <c r="E416" i="27"/>
  <c r="AL43" i="27"/>
  <c r="AB15" i="27"/>
  <c r="C448" i="27"/>
  <c r="V22" i="27"/>
  <c r="J19" i="27"/>
  <c r="C361" i="27"/>
  <c r="J30" i="27"/>
  <c r="D448" i="27"/>
  <c r="E441" i="27"/>
  <c r="G441" i="27"/>
  <c r="F175" i="27"/>
  <c r="F255" i="27"/>
  <c r="D370" i="27"/>
  <c r="C255" i="27"/>
  <c r="G370" i="27"/>
  <c r="F181" i="27"/>
  <c r="D175" i="27"/>
  <c r="D274" i="27"/>
  <c r="V57" i="27"/>
  <c r="G171" i="27"/>
  <c r="D181" i="27"/>
  <c r="D337" i="27"/>
  <c r="E171" i="27"/>
  <c r="F171" i="27"/>
  <c r="E491" i="27"/>
  <c r="E370" i="27"/>
  <c r="C337" i="27"/>
  <c r="C274" i="27"/>
  <c r="F491" i="27"/>
  <c r="D398" i="27"/>
  <c r="C358" i="27"/>
  <c r="C459" i="27"/>
  <c r="F358" i="27"/>
  <c r="D459" i="27"/>
  <c r="C383" i="27"/>
  <c r="F122" i="27"/>
  <c r="F441" i="27"/>
  <c r="D193" i="27"/>
  <c r="G181" i="27"/>
  <c r="C210" i="27"/>
  <c r="F487" i="27"/>
  <c r="G295" i="27"/>
  <c r="D100" i="27"/>
  <c r="E168" i="27"/>
  <c r="D210" i="27"/>
  <c r="E487" i="27"/>
  <c r="G189" i="27"/>
  <c r="D295" i="27"/>
  <c r="F454" i="27"/>
  <c r="G487" i="27"/>
  <c r="AN34" i="27"/>
  <c r="E454" i="27"/>
  <c r="F189" i="27"/>
  <c r="C291" i="27"/>
  <c r="C189" i="27"/>
  <c r="D521" i="27"/>
  <c r="F291" i="27"/>
  <c r="C122" i="27"/>
  <c r="D332" i="27"/>
  <c r="F316" i="27"/>
  <c r="E193" i="27"/>
  <c r="V46" i="27"/>
  <c r="D454" i="27"/>
  <c r="E210" i="27"/>
  <c r="D291" i="27"/>
  <c r="C168" i="27"/>
  <c r="F210" i="27"/>
  <c r="D168" i="27"/>
  <c r="E291" i="27"/>
  <c r="E521" i="27"/>
  <c r="D122" i="27"/>
  <c r="F332" i="27"/>
  <c r="V38" i="27"/>
  <c r="F521" i="27"/>
  <c r="E122" i="27"/>
  <c r="G332" i="27"/>
  <c r="C487" i="27"/>
  <c r="F168" i="27"/>
  <c r="E295" i="27"/>
  <c r="F295" i="27"/>
  <c r="V31" i="27"/>
  <c r="G491" i="27"/>
  <c r="D293" i="27"/>
  <c r="F193" i="27"/>
  <c r="F274" i="27"/>
  <c r="V27" i="27"/>
  <c r="D491" i="27"/>
  <c r="G274" i="27"/>
  <c r="G293" i="27"/>
  <c r="C193" i="27"/>
  <c r="C387" i="27"/>
  <c r="J27" i="27"/>
  <c r="F431" i="27"/>
  <c r="F280" i="27"/>
  <c r="J28" i="27"/>
  <c r="E431" i="27"/>
  <c r="G387" i="27"/>
  <c r="J26" i="27"/>
  <c r="C481" i="27"/>
  <c r="D230" i="27"/>
  <c r="C398" i="27"/>
  <c r="C171" i="27"/>
  <c r="E387" i="27"/>
  <c r="D387" i="27"/>
  <c r="J34" i="27"/>
  <c r="E280" i="27"/>
  <c r="F293" i="27"/>
  <c r="G230" i="27"/>
  <c r="D206" i="27"/>
  <c r="V48" i="27"/>
  <c r="J37" i="27"/>
  <c r="J41" i="27" s="1"/>
  <c r="E206" i="27"/>
  <c r="J33" i="27"/>
  <c r="D361" i="27"/>
  <c r="J29" i="27"/>
  <c r="E481" i="27"/>
  <c r="E220" i="27"/>
  <c r="C441" i="27"/>
  <c r="G255" i="27"/>
  <c r="G289" i="27"/>
  <c r="C431" i="27"/>
  <c r="D431" i="27"/>
  <c r="J40" i="27"/>
  <c r="J32" i="27"/>
  <c r="E332" i="27"/>
  <c r="E255" i="27"/>
  <c r="E289" i="27"/>
  <c r="G346" i="27"/>
  <c r="C346" i="27"/>
  <c r="C414" i="27"/>
  <c r="F184" i="27"/>
  <c r="E184" i="27"/>
  <c r="F414" i="27"/>
  <c r="C151" i="27"/>
  <c r="C388" i="27"/>
  <c r="F388" i="27"/>
  <c r="E388" i="27"/>
  <c r="D388" i="27"/>
  <c r="G388" i="27"/>
  <c r="G414" i="27"/>
  <c r="E372" i="27"/>
  <c r="F372" i="27"/>
  <c r="C514" i="27"/>
  <c r="D514" i="27"/>
  <c r="F514" i="27"/>
  <c r="E514" i="27"/>
  <c r="G514" i="27"/>
  <c r="D192" i="27"/>
  <c r="D307" i="27"/>
  <c r="J36" i="27"/>
  <c r="D323" i="27"/>
  <c r="E307" i="27"/>
  <c r="G280" i="27"/>
  <c r="C126" i="27"/>
  <c r="F126" i="27"/>
  <c r="D218" i="27"/>
  <c r="C287" i="27"/>
  <c r="G287" i="27"/>
  <c r="F287" i="27"/>
  <c r="E287" i="27"/>
  <c r="D287" i="27"/>
  <c r="C143" i="27"/>
  <c r="D143" i="27"/>
  <c r="F143" i="27"/>
  <c r="E143" i="27"/>
  <c r="G143" i="27"/>
  <c r="G84" i="27"/>
  <c r="D84" i="27"/>
  <c r="F84" i="27"/>
  <c r="E84" i="27"/>
  <c r="C84" i="27"/>
  <c r="C333" i="27"/>
  <c r="D333" i="27"/>
  <c r="F333" i="27"/>
  <c r="E333" i="27"/>
  <c r="G333" i="27"/>
  <c r="E358" i="27"/>
  <c r="D358" i="27"/>
  <c r="E93" i="27"/>
  <c r="C192" i="27"/>
  <c r="G93" i="27"/>
  <c r="C220" i="27"/>
  <c r="C372" i="27"/>
  <c r="D151" i="27"/>
  <c r="F301" i="27"/>
  <c r="G301" i="27"/>
  <c r="E301" i="27"/>
  <c r="C301" i="27"/>
  <c r="G220" i="27"/>
  <c r="G459" i="27"/>
  <c r="F459" i="27"/>
  <c r="G218" i="27"/>
  <c r="J39" i="27"/>
  <c r="E323" i="27"/>
  <c r="G416" i="27"/>
  <c r="F307" i="27"/>
  <c r="C280" i="27"/>
  <c r="D346" i="27"/>
  <c r="E126" i="27"/>
  <c r="C293" i="27"/>
  <c r="E218" i="27"/>
  <c r="E189" i="27"/>
  <c r="G494" i="27"/>
  <c r="E494" i="27"/>
  <c r="D494" i="27"/>
  <c r="C494" i="27"/>
  <c r="F93" i="27"/>
  <c r="C323" i="27"/>
  <c r="F151" i="27"/>
  <c r="D184" i="27"/>
  <c r="F192" i="27"/>
  <c r="E414" i="27"/>
  <c r="G192" i="27"/>
  <c r="F383" i="27"/>
  <c r="G383" i="27"/>
  <c r="E383" i="27"/>
  <c r="C411" i="27"/>
  <c r="G411" i="27"/>
  <c r="F411" i="27"/>
  <c r="E411" i="27"/>
  <c r="D411" i="27"/>
  <c r="C218" i="27"/>
  <c r="C175" i="27"/>
  <c r="G175" i="27"/>
  <c r="F323" i="27"/>
  <c r="C416" i="27"/>
  <c r="G307" i="27"/>
  <c r="C316" i="27"/>
  <c r="E346" i="27"/>
  <c r="C181" i="27"/>
  <c r="G126" i="27"/>
  <c r="G481" i="27"/>
  <c r="D481" i="27"/>
  <c r="G316" i="27"/>
  <c r="C289" i="27"/>
  <c r="D289" i="27"/>
  <c r="F230" i="27"/>
  <c r="E230" i="27"/>
  <c r="D578" i="27"/>
  <c r="G578" i="27"/>
  <c r="F578" i="27"/>
  <c r="E578" i="27"/>
  <c r="C206" i="27"/>
  <c r="C93" i="27"/>
  <c r="E278" i="27"/>
  <c r="D278" i="27"/>
  <c r="G278" i="27"/>
  <c r="F278" i="27"/>
  <c r="C278" i="27"/>
  <c r="C184" i="27"/>
  <c r="G337" i="27"/>
  <c r="F337" i="27"/>
  <c r="F220" i="27"/>
  <c r="D372" i="27"/>
  <c r="G151" i="27"/>
  <c r="C521" i="27"/>
  <c r="J38" i="27"/>
  <c r="J24" i="27"/>
  <c r="J21" i="27"/>
  <c r="J23" i="27"/>
  <c r="J22" i="27"/>
  <c r="J20" i="27"/>
  <c r="J31" i="27"/>
  <c r="C578" i="27"/>
  <c r="F494" i="27"/>
  <c r="D416" i="27"/>
  <c r="D316" i="27"/>
  <c r="F346" i="27"/>
  <c r="G206" i="27"/>
  <c r="G361" i="27"/>
  <c r="F361" i="27"/>
  <c r="C108" i="27"/>
  <c r="F108" i="27"/>
  <c r="E108" i="27"/>
  <c r="D108" i="27"/>
  <c r="G108" i="27"/>
  <c r="F95" i="27"/>
  <c r="E95" i="27"/>
  <c r="G95" i="27"/>
  <c r="D95" i="27"/>
  <c r="C95" i="27"/>
  <c r="G448" i="27"/>
  <c r="F448" i="27"/>
  <c r="G100" i="27"/>
  <c r="F100" i="27"/>
  <c r="E100" i="27"/>
  <c r="F362" i="27"/>
  <c r="E362" i="27"/>
  <c r="D362" i="27"/>
  <c r="G362" i="27"/>
  <c r="C362" i="27"/>
  <c r="C425" i="27"/>
  <c r="E425" i="27"/>
  <c r="D425" i="27"/>
  <c r="G425" i="27"/>
  <c r="F425" i="27"/>
  <c r="E129" i="27"/>
  <c r="D129" i="27"/>
  <c r="C129" i="27"/>
  <c r="G129" i="27"/>
  <c r="F129" i="27"/>
  <c r="G396" i="27"/>
  <c r="C396" i="27"/>
  <c r="E396" i="27"/>
  <c r="D396" i="27"/>
  <c r="F396" i="27"/>
  <c r="D512" i="27"/>
  <c r="C512" i="27"/>
  <c r="G512" i="27"/>
  <c r="F512" i="27"/>
  <c r="E512" i="27"/>
  <c r="F299" i="27"/>
  <c r="E299" i="27"/>
  <c r="G299" i="27"/>
  <c r="D299" i="27"/>
  <c r="C299" i="27"/>
  <c r="G162" i="27"/>
  <c r="D162" i="27"/>
  <c r="F162" i="27"/>
  <c r="E162" i="27"/>
  <c r="C162" i="27"/>
  <c r="G236" i="27"/>
  <c r="F236" i="27"/>
  <c r="D236" i="27"/>
  <c r="C236" i="27"/>
  <c r="E236" i="27"/>
  <c r="G432" i="27"/>
  <c r="F432" i="27"/>
  <c r="E432" i="27"/>
  <c r="D432" i="27"/>
  <c r="C432" i="27"/>
  <c r="D264" i="27"/>
  <c r="C264" i="27"/>
  <c r="F264" i="27"/>
  <c r="G264" i="27"/>
  <c r="E264" i="27"/>
  <c r="F234" i="27"/>
  <c r="E234" i="27"/>
  <c r="D234" i="27"/>
  <c r="C234" i="27"/>
  <c r="G234" i="27"/>
  <c r="D461" i="27"/>
  <c r="C461" i="27"/>
  <c r="G461" i="27"/>
  <c r="E461" i="27"/>
  <c r="F461" i="27"/>
  <c r="C92" i="27"/>
  <c r="F92" i="27"/>
  <c r="E92" i="27"/>
  <c r="D92" i="27"/>
  <c r="G92" i="27"/>
  <c r="G440" i="27"/>
  <c r="F440" i="27"/>
  <c r="D440" i="27"/>
  <c r="E440" i="27"/>
  <c r="C440" i="27"/>
  <c r="G226" i="27"/>
  <c r="E226" i="27"/>
  <c r="F226" i="27"/>
  <c r="C226" i="27"/>
  <c r="D226" i="27"/>
  <c r="D400" i="27"/>
  <c r="C400" i="27"/>
  <c r="F400" i="27"/>
  <c r="E400" i="27"/>
  <c r="G400" i="27"/>
  <c r="F405" i="27"/>
  <c r="E405" i="27"/>
  <c r="D405" i="27"/>
  <c r="C405" i="27"/>
  <c r="G405" i="27"/>
  <c r="F263" i="27"/>
  <c r="G263" i="27"/>
  <c r="C263" i="27"/>
  <c r="D263" i="27"/>
  <c r="E263" i="27"/>
  <c r="F224" i="27"/>
  <c r="E224" i="27"/>
  <c r="G224" i="27"/>
  <c r="D224" i="27"/>
  <c r="C224" i="27"/>
  <c r="C452" i="27"/>
  <c r="G452" i="27"/>
  <c r="E452" i="27"/>
  <c r="D452" i="27"/>
  <c r="F452" i="27"/>
  <c r="F368" i="27"/>
  <c r="G368" i="27"/>
  <c r="E368" i="27"/>
  <c r="D368" i="27"/>
  <c r="C368" i="27"/>
  <c r="G515" i="27"/>
  <c r="D515" i="27"/>
  <c r="C515" i="27"/>
  <c r="F515" i="27"/>
  <c r="E515" i="27"/>
  <c r="G158" i="27"/>
  <c r="F158" i="27"/>
  <c r="E158" i="27"/>
  <c r="D158" i="27"/>
  <c r="C158" i="27"/>
  <c r="G309" i="27"/>
  <c r="E309" i="27"/>
  <c r="F309" i="27"/>
  <c r="C309" i="27"/>
  <c r="D309" i="27"/>
  <c r="F423" i="27"/>
  <c r="G423" i="27"/>
  <c r="C423" i="27"/>
  <c r="D423" i="27"/>
  <c r="E423" i="27"/>
  <c r="F121" i="27"/>
  <c r="G121" i="27"/>
  <c r="E121" i="27"/>
  <c r="D121" i="27"/>
  <c r="C121" i="27"/>
  <c r="F497" i="27"/>
  <c r="E497" i="27"/>
  <c r="G497" i="27"/>
  <c r="D497" i="27"/>
  <c r="C497" i="27"/>
  <c r="D345" i="27"/>
  <c r="C345" i="27"/>
  <c r="E345" i="27"/>
  <c r="G345" i="27"/>
  <c r="F345" i="27"/>
  <c r="E519" i="27"/>
  <c r="D519" i="27"/>
  <c r="C519" i="27"/>
  <c r="F519" i="27"/>
  <c r="G519" i="27"/>
  <c r="D318" i="27"/>
  <c r="C318" i="27"/>
  <c r="E318" i="27"/>
  <c r="G318" i="27"/>
  <c r="F318" i="27"/>
  <c r="F199" i="27"/>
  <c r="D199" i="27"/>
  <c r="E199" i="27"/>
  <c r="C199" i="27"/>
  <c r="G199" i="27"/>
  <c r="E208" i="27"/>
  <c r="F208" i="27"/>
  <c r="D208" i="27"/>
  <c r="C208" i="27"/>
  <c r="G208" i="27"/>
  <c r="G123" i="27"/>
  <c r="C123" i="27"/>
  <c r="F123" i="27"/>
  <c r="E123" i="27"/>
  <c r="D123" i="27"/>
  <c r="E177" i="27"/>
  <c r="D177" i="27"/>
  <c r="C177" i="27"/>
  <c r="G177" i="27"/>
  <c r="F177" i="27"/>
  <c r="G88" i="27"/>
  <c r="F88" i="27"/>
  <c r="E88" i="27"/>
  <c r="C88" i="27"/>
  <c r="D88" i="27"/>
  <c r="F314" i="27"/>
  <c r="E314" i="27"/>
  <c r="D314" i="27"/>
  <c r="G314" i="27"/>
  <c r="C314" i="27"/>
  <c r="G118" i="27"/>
  <c r="F118" i="27"/>
  <c r="E118" i="27"/>
  <c r="D118" i="27"/>
  <c r="C118" i="27"/>
  <c r="G426" i="27"/>
  <c r="F426" i="27"/>
  <c r="E426" i="27"/>
  <c r="C426" i="27"/>
  <c r="D426" i="27"/>
  <c r="CP7" i="27"/>
  <c r="F187" i="27"/>
  <c r="E187" i="27"/>
  <c r="G187" i="27"/>
  <c r="C187" i="27"/>
  <c r="D187" i="27"/>
  <c r="G490" i="27"/>
  <c r="F490" i="27"/>
  <c r="E490" i="27"/>
  <c r="D490" i="27"/>
  <c r="C490" i="27"/>
  <c r="F103" i="27"/>
  <c r="E103" i="27"/>
  <c r="G103" i="27"/>
  <c r="C103" i="27"/>
  <c r="D103" i="27"/>
  <c r="G105" i="27"/>
  <c r="D105" i="27"/>
  <c r="E105" i="27"/>
  <c r="C105" i="27"/>
  <c r="F105" i="27"/>
  <c r="D136" i="27"/>
  <c r="C136" i="27"/>
  <c r="G136" i="27"/>
  <c r="E136" i="27"/>
  <c r="F136" i="27"/>
  <c r="F164" i="27"/>
  <c r="E164" i="27"/>
  <c r="D164" i="27"/>
  <c r="G164" i="27"/>
  <c r="C164" i="27"/>
  <c r="G277" i="27"/>
  <c r="C277" i="27"/>
  <c r="E277" i="27"/>
  <c r="D277" i="27"/>
  <c r="F277" i="27"/>
  <c r="D86" i="27"/>
  <c r="C86" i="27"/>
  <c r="G86" i="27"/>
  <c r="F86" i="27"/>
  <c r="E86" i="27"/>
  <c r="F276" i="27"/>
  <c r="E276" i="27"/>
  <c r="G276" i="27"/>
  <c r="D276" i="27"/>
  <c r="C276" i="27"/>
  <c r="J66" i="27"/>
  <c r="V52" i="27"/>
  <c r="V35" i="27"/>
  <c r="B35" i="27" s="1"/>
  <c r="AN40" i="27"/>
  <c r="V45" i="27"/>
  <c r="B45" i="27" s="1"/>
  <c r="V26" i="27"/>
  <c r="V20" i="27"/>
  <c r="V56" i="27"/>
  <c r="AR42" i="27"/>
  <c r="V43" i="27"/>
  <c r="V29" i="27"/>
  <c r="V41" i="27"/>
  <c r="V28" i="27"/>
  <c r="V68" i="27"/>
  <c r="V54" i="27"/>
  <c r="V61" i="27"/>
  <c r="V47" i="27"/>
  <c r="V60" i="27"/>
  <c r="V32" i="27"/>
  <c r="V64" i="27"/>
  <c r="V65" i="27"/>
  <c r="V63" i="27"/>
  <c r="V58" i="27"/>
  <c r="V66" i="27"/>
  <c r="V44" i="27"/>
  <c r="V42" i="27"/>
  <c r="B42" i="27" s="1"/>
  <c r="V70" i="27"/>
  <c r="BJ142" i="27"/>
  <c r="BI143" i="27" s="1"/>
  <c r="BG143" i="27" s="1"/>
  <c r="V23" i="27"/>
  <c r="V21" i="27"/>
  <c r="V71" i="27"/>
  <c r="V62" i="27"/>
  <c r="V59" i="27"/>
  <c r="V50" i="27"/>
  <c r="V49" i="27"/>
  <c r="V30" i="27"/>
  <c r="V33" i="27"/>
  <c r="AL29" i="27"/>
  <c r="AL30" i="27"/>
  <c r="V39" i="27"/>
  <c r="V55" i="27"/>
  <c r="V69" i="27"/>
  <c r="V53" i="27"/>
  <c r="AR36" i="27"/>
  <c r="AN36" i="27"/>
  <c r="AN29" i="27"/>
  <c r="BE88" i="27"/>
  <c r="V37" i="27"/>
  <c r="V51" i="27"/>
  <c r="V24" i="27"/>
  <c r="V67" i="27"/>
  <c r="V40" i="27"/>
  <c r="V36" i="27"/>
  <c r="AL35" i="27"/>
  <c r="AL32" i="27"/>
  <c r="AL31" i="27"/>
  <c r="AL39" i="27"/>
  <c r="AL36" i="27"/>
  <c r="BG116" i="27"/>
  <c r="AL37" i="27"/>
  <c r="AR43" i="27"/>
  <c r="AN33" i="27"/>
  <c r="AL38" i="27"/>
  <c r="AN39" i="27"/>
  <c r="AL33" i="27"/>
  <c r="BJ103" i="27"/>
  <c r="BI104" i="27" s="1"/>
  <c r="BG103" i="27"/>
  <c r="BD103" i="27" s="1" a="1"/>
  <c r="BD103" i="27" s="1"/>
  <c r="AN30" i="27"/>
  <c r="AR30" i="27"/>
  <c r="AR35" i="27"/>
  <c r="AN35" i="27"/>
  <c r="BJ129" i="27"/>
  <c r="BI130" i="27" s="1"/>
  <c r="BG129" i="27"/>
  <c r="AR31" i="27"/>
  <c r="AN31" i="27"/>
  <c r="BJ117" i="27"/>
  <c r="BI118" i="27" s="1"/>
  <c r="BG117" i="27"/>
  <c r="BD117" i="27" s="1" a="1"/>
  <c r="BD117" i="27" s="1"/>
  <c r="AN41" i="27"/>
  <c r="AR41" i="27"/>
  <c r="AR32" i="27"/>
  <c r="AN32" i="27"/>
  <c r="AR38" i="27"/>
  <c r="AN38" i="27"/>
  <c r="AR37" i="27"/>
  <c r="AN37" i="27"/>
  <c r="J62" i="27" l="1"/>
  <c r="J70" i="27"/>
  <c r="B70" i="27" s="1"/>
  <c r="J51" i="27"/>
  <c r="B51" i="27" s="1"/>
  <c r="G51" i="27" s="1"/>
  <c r="B50" i="27"/>
  <c r="E50" i="27" s="1"/>
  <c r="B44" i="27"/>
  <c r="E44" i="27" s="1"/>
  <c r="B43" i="27"/>
  <c r="C43" i="27" s="1"/>
  <c r="J56" i="27"/>
  <c r="J67" i="27"/>
  <c r="J53" i="27"/>
  <c r="J52" i="27"/>
  <c r="B52" i="27" s="1"/>
  <c r="E52" i="27" s="1"/>
  <c r="J60" i="27"/>
  <c r="J57" i="27"/>
  <c r="J75" i="27"/>
  <c r="B75" i="27" s="1"/>
  <c r="E75" i="27" s="1"/>
  <c r="J61" i="27"/>
  <c r="J69" i="27"/>
  <c r="J72" i="27"/>
  <c r="B72" i="27" s="1"/>
  <c r="D72" i="27" s="1"/>
  <c r="J74" i="27"/>
  <c r="B74" i="27" s="1"/>
  <c r="D74" i="27" s="1"/>
  <c r="J54" i="27"/>
  <c r="J55" i="27"/>
  <c r="J59" i="27"/>
  <c r="B59" i="27" s="1"/>
  <c r="F59" i="27" s="1"/>
  <c r="J63" i="27"/>
  <c r="J73" i="27"/>
  <c r="B73" i="27" s="1"/>
  <c r="G73" i="27" s="1"/>
  <c r="J64" i="27"/>
  <c r="J65" i="27"/>
  <c r="J71" i="27"/>
  <c r="B71" i="27" s="1"/>
  <c r="D71" i="27" s="1"/>
  <c r="J68" i="27"/>
  <c r="E65" i="27"/>
  <c r="C65" i="27"/>
  <c r="C53" i="27"/>
  <c r="D65" i="27"/>
  <c r="G65" i="27"/>
  <c r="C67" i="27"/>
  <c r="G67" i="27"/>
  <c r="D67" i="27"/>
  <c r="F69" i="27"/>
  <c r="F53" i="27"/>
  <c r="D53" i="27"/>
  <c r="F61" i="27"/>
  <c r="F67" i="27"/>
  <c r="D69" i="27"/>
  <c r="E61" i="27"/>
  <c r="C61" i="27"/>
  <c r="G69" i="27"/>
  <c r="E53" i="27"/>
  <c r="D63" i="27"/>
  <c r="D40" i="27"/>
  <c r="C69" i="27"/>
  <c r="D55" i="27"/>
  <c r="E55" i="27"/>
  <c r="G61" i="27"/>
  <c r="C60" i="27"/>
  <c r="B46" i="27"/>
  <c r="E46" i="27" s="1"/>
  <c r="D62" i="27"/>
  <c r="B47" i="27"/>
  <c r="D47" i="27" s="1"/>
  <c r="B34" i="27"/>
  <c r="E34" i="27" s="1"/>
  <c r="G62" i="27"/>
  <c r="F56" i="27"/>
  <c r="F54" i="27"/>
  <c r="C66" i="27"/>
  <c r="C56" i="27"/>
  <c r="E60" i="27"/>
  <c r="C55" i="27"/>
  <c r="F60" i="27"/>
  <c r="G55" i="27"/>
  <c r="E62" i="27"/>
  <c r="F62" i="27"/>
  <c r="E64" i="27"/>
  <c r="E63" i="27"/>
  <c r="F63" i="27"/>
  <c r="E54" i="27"/>
  <c r="F66" i="27"/>
  <c r="C40" i="27"/>
  <c r="D66" i="27"/>
  <c r="D64" i="27"/>
  <c r="F40" i="27"/>
  <c r="D56" i="27"/>
  <c r="E56" i="27"/>
  <c r="C63" i="27"/>
  <c r="G40" i="27"/>
  <c r="C57" i="27"/>
  <c r="F68" i="27"/>
  <c r="D54" i="27"/>
  <c r="C68" i="27"/>
  <c r="D68" i="27"/>
  <c r="F58" i="27"/>
  <c r="D58" i="27"/>
  <c r="E57" i="27"/>
  <c r="F57" i="27"/>
  <c r="D57" i="27"/>
  <c r="E25" i="27"/>
  <c r="C25" i="27"/>
  <c r="G25" i="27"/>
  <c r="D25" i="27"/>
  <c r="F25" i="27"/>
  <c r="B24" i="27"/>
  <c r="G54" i="27"/>
  <c r="G58" i="27"/>
  <c r="F64" i="27"/>
  <c r="E68" i="27"/>
  <c r="G64" i="27"/>
  <c r="G60" i="27"/>
  <c r="E58" i="27"/>
  <c r="G66" i="27"/>
  <c r="B30" i="27"/>
  <c r="C30" i="27" s="1"/>
  <c r="G48" i="27"/>
  <c r="F48" i="27"/>
  <c r="C48" i="27"/>
  <c r="E48" i="27"/>
  <c r="D48" i="27"/>
  <c r="B22" i="27"/>
  <c r="F22" i="27" s="1"/>
  <c r="B29" i="27"/>
  <c r="D29" i="27" s="1"/>
  <c r="B27" i="27"/>
  <c r="C27" i="27" s="1"/>
  <c r="B26" i="27"/>
  <c r="G26" i="27" s="1"/>
  <c r="B31" i="27"/>
  <c r="G31" i="27" s="1"/>
  <c r="B32" i="27"/>
  <c r="D32" i="27" s="1"/>
  <c r="B39" i="27"/>
  <c r="D39" i="27" s="1"/>
  <c r="N26" i="27"/>
  <c r="B38" i="27"/>
  <c r="F38" i="27" s="1"/>
  <c r="B33" i="27"/>
  <c r="D33" i="27" s="1"/>
  <c r="B36" i="27"/>
  <c r="G36" i="27" s="1"/>
  <c r="B41" i="27"/>
  <c r="F41" i="27" s="1"/>
  <c r="B28" i="27"/>
  <c r="D28" i="27" s="1"/>
  <c r="B37" i="27"/>
  <c r="D37" i="27" s="1"/>
  <c r="F35" i="27"/>
  <c r="C35" i="27"/>
  <c r="D35" i="27"/>
  <c r="E35" i="27"/>
  <c r="G35" i="27"/>
  <c r="G45" i="27"/>
  <c r="D45" i="27"/>
  <c r="E45" i="27"/>
  <c r="C45" i="27"/>
  <c r="F45" i="27"/>
  <c r="B23" i="27"/>
  <c r="C42" i="27"/>
  <c r="F42" i="27"/>
  <c r="G42" i="27"/>
  <c r="E42" i="27"/>
  <c r="D42" i="27"/>
  <c r="F50" i="27"/>
  <c r="G50" i="27"/>
  <c r="BJ143" i="27"/>
  <c r="BI144" i="27" s="1"/>
  <c r="BG104" i="27"/>
  <c r="BD104" i="27" s="1" a="1"/>
  <c r="BD104" i="27" s="1"/>
  <c r="BE104" i="27" s="1" a="1"/>
  <c r="BE104" i="27" s="1"/>
  <c r="BC104" i="27" s="1"/>
  <c r="BF104" i="27" s="1"/>
  <c r="BJ104" i="27"/>
  <c r="BI105" i="27" s="1"/>
  <c r="BE103" i="27" a="1"/>
  <c r="BE103" i="27" s="1"/>
  <c r="BC103" i="27" s="1"/>
  <c r="BF103" i="27" s="1"/>
  <c r="BJ118" i="27"/>
  <c r="BI119" i="27" s="1"/>
  <c r="BG118" i="27"/>
  <c r="BD118" i="27" s="1" a="1"/>
  <c r="BD118" i="27" s="1"/>
  <c r="BG130" i="27"/>
  <c r="BJ130" i="27"/>
  <c r="BI131" i="27" s="1"/>
  <c r="D50" i="27" l="1"/>
  <c r="D43" i="27"/>
  <c r="G43" i="27"/>
  <c r="F43" i="27"/>
  <c r="E43" i="27"/>
  <c r="C50" i="27"/>
  <c r="C44" i="27"/>
  <c r="F44" i="27"/>
  <c r="D44" i="27"/>
  <c r="G44" i="27"/>
  <c r="G74" i="27"/>
  <c r="G75" i="27"/>
  <c r="F75" i="27"/>
  <c r="E73" i="27"/>
  <c r="E74" i="27"/>
  <c r="D75" i="27"/>
  <c r="F74" i="27"/>
  <c r="F72" i="27"/>
  <c r="C73" i="27"/>
  <c r="C72" i="27"/>
  <c r="D73" i="27"/>
  <c r="G72" i="27"/>
  <c r="F73" i="27"/>
  <c r="C75" i="27"/>
  <c r="C74" i="27"/>
  <c r="E72" i="27"/>
  <c r="G47" i="27"/>
  <c r="G46" i="27"/>
  <c r="D46" i="27"/>
  <c r="C34" i="27"/>
  <c r="F46" i="27"/>
  <c r="C46" i="27"/>
  <c r="D34" i="27"/>
  <c r="E47" i="27"/>
  <c r="G34" i="27"/>
  <c r="D30" i="27"/>
  <c r="C47" i="27"/>
  <c r="F34" i="27"/>
  <c r="F47" i="27"/>
  <c r="G27" i="27"/>
  <c r="D27" i="27"/>
  <c r="E27" i="27"/>
  <c r="E24" i="27"/>
  <c r="F24" i="27"/>
  <c r="G24" i="27"/>
  <c r="C24" i="27"/>
  <c r="D24" i="27"/>
  <c r="C52" i="27"/>
  <c r="D22" i="27"/>
  <c r="F30" i="27"/>
  <c r="D52" i="27"/>
  <c r="E30" i="27"/>
  <c r="G30" i="27"/>
  <c r="G52" i="27"/>
  <c r="F52" i="27"/>
  <c r="G29" i="27"/>
  <c r="E29" i="27"/>
  <c r="F29" i="27"/>
  <c r="F27" i="27"/>
  <c r="C29" i="27"/>
  <c r="C31" i="27"/>
  <c r="C22" i="27"/>
  <c r="D31" i="27"/>
  <c r="G22" i="27"/>
  <c r="E22" i="27"/>
  <c r="G59" i="27"/>
  <c r="E26" i="27"/>
  <c r="D26" i="27"/>
  <c r="F26" i="27"/>
  <c r="C26" i="27"/>
  <c r="E32" i="27"/>
  <c r="C32" i="27"/>
  <c r="F32" i="27"/>
  <c r="E59" i="27"/>
  <c r="F39" i="27"/>
  <c r="C59" i="27"/>
  <c r="C71" i="27"/>
  <c r="E31" i="27"/>
  <c r="D59" i="27"/>
  <c r="F31" i="27"/>
  <c r="D38" i="27"/>
  <c r="C51" i="27"/>
  <c r="F51" i="27"/>
  <c r="E38" i="27"/>
  <c r="C33" i="27"/>
  <c r="E51" i="27"/>
  <c r="C38" i="27"/>
  <c r="G38" i="27"/>
  <c r="D36" i="27"/>
  <c r="G33" i="27"/>
  <c r="E39" i="27"/>
  <c r="C39" i="27"/>
  <c r="E71" i="27"/>
  <c r="D51" i="27"/>
  <c r="G39" i="27"/>
  <c r="G71" i="27"/>
  <c r="F71" i="27"/>
  <c r="G32" i="27"/>
  <c r="F33" i="27"/>
  <c r="E33" i="27"/>
  <c r="G41" i="27"/>
  <c r="E36" i="27"/>
  <c r="C36" i="27"/>
  <c r="F36" i="27"/>
  <c r="C37" i="27"/>
  <c r="E28" i="27"/>
  <c r="C28" i="27"/>
  <c r="G28" i="27"/>
  <c r="G37" i="27"/>
  <c r="E37" i="27"/>
  <c r="F37" i="27"/>
  <c r="F28" i="27"/>
  <c r="C41" i="27"/>
  <c r="D41" i="27"/>
  <c r="E41" i="27"/>
  <c r="F70" i="27"/>
  <c r="D70" i="27"/>
  <c r="C70" i="27"/>
  <c r="G70" i="27"/>
  <c r="E70" i="27"/>
  <c r="F23" i="27"/>
  <c r="E23" i="27"/>
  <c r="G23" i="27"/>
  <c r="C23" i="27"/>
  <c r="D23" i="27"/>
  <c r="BG144" i="27"/>
  <c r="BD144" i="27" s="1" a="1"/>
  <c r="BD144" i="27" s="1"/>
  <c r="BJ144" i="27"/>
  <c r="BI145" i="27" s="1"/>
  <c r="BG105" i="27"/>
  <c r="BD105" i="27" s="1" a="1"/>
  <c r="BD105" i="27" s="1"/>
  <c r="BJ105" i="27"/>
  <c r="BI106" i="27" s="1"/>
  <c r="BJ119" i="27"/>
  <c r="BI120" i="27" s="1"/>
  <c r="BG119" i="27"/>
  <c r="BD119" i="27" s="1" a="1"/>
  <c r="BD119" i="27" s="1"/>
  <c r="BJ131" i="27"/>
  <c r="BI132" i="27" s="1"/>
  <c r="BG131" i="27"/>
  <c r="BD131" i="27" s="1" a="1"/>
  <c r="BD131" i="27" s="1"/>
  <c r="BG145" i="27" l="1"/>
  <c r="BD145" i="27" s="1" a="1"/>
  <c r="BD145" i="27" s="1"/>
  <c r="BJ145" i="27"/>
  <c r="BI146" i="27" s="1"/>
  <c r="BG106" i="27"/>
  <c r="BD106" i="27" s="1" a="1"/>
  <c r="BD106" i="27" s="1"/>
  <c r="BE106" i="27" s="1" a="1"/>
  <c r="BE106" i="27" s="1"/>
  <c r="BC106" i="27" s="1"/>
  <c r="BF106" i="27" s="1"/>
  <c r="BJ106" i="27"/>
  <c r="BI107" i="27" s="1"/>
  <c r="BE105" i="27" a="1"/>
  <c r="BE105" i="27" s="1"/>
  <c r="BC105" i="27" s="1"/>
  <c r="BF105" i="27" s="1"/>
  <c r="BG132" i="27"/>
  <c r="BD132" i="27" s="1" a="1"/>
  <c r="BD132" i="27" s="1"/>
  <c r="BJ132" i="27"/>
  <c r="BI133" i="27" s="1"/>
  <c r="BJ120" i="27"/>
  <c r="BI121" i="27" s="1"/>
  <c r="BG120" i="27"/>
  <c r="BD120" i="27" s="1" a="1"/>
  <c r="BD120" i="27" s="1"/>
  <c r="BG146" i="27" l="1"/>
  <c r="BD146" i="27" s="1" a="1"/>
  <c r="BD146" i="27" s="1"/>
  <c r="BJ146" i="27"/>
  <c r="BI147" i="27" s="1"/>
  <c r="BJ107" i="27"/>
  <c r="BI108" i="27" s="1"/>
  <c r="BG107" i="27"/>
  <c r="BD107" i="27" s="1" a="1"/>
  <c r="BD107" i="27" s="1"/>
  <c r="BJ133" i="27"/>
  <c r="BI134" i="27" s="1"/>
  <c r="BG133" i="27"/>
  <c r="BD133" i="27" s="1" a="1"/>
  <c r="BD133" i="27" s="1"/>
  <c r="BG121" i="27"/>
  <c r="BD121" i="27" s="1" a="1"/>
  <c r="BD121" i="27" s="1"/>
  <c r="BJ121" i="27"/>
  <c r="BI122" i="27" s="1"/>
  <c r="BJ147" i="27" l="1"/>
  <c r="BI148" i="27" s="1"/>
  <c r="BG147" i="27"/>
  <c r="BD147" i="27" s="1" a="1"/>
  <c r="BD147" i="27" s="1"/>
  <c r="BE107" i="27" a="1"/>
  <c r="BE107" i="27" s="1"/>
  <c r="BC107" i="27" s="1"/>
  <c r="BF107" i="27" s="1"/>
  <c r="BG108" i="27"/>
  <c r="BD108" i="27" s="1" a="1"/>
  <c r="BD108" i="27" s="1"/>
  <c r="BE108" i="27" s="1" a="1"/>
  <c r="BE108" i="27" s="1"/>
  <c r="BC108" i="27" s="1"/>
  <c r="BF108" i="27" s="1"/>
  <c r="BJ108" i="27"/>
  <c r="BI109" i="27" s="1"/>
  <c r="BJ134" i="27"/>
  <c r="BI135" i="27" s="1"/>
  <c r="BG134" i="27"/>
  <c r="BD134" i="27" s="1" a="1"/>
  <c r="BD134" i="27" s="1"/>
  <c r="BJ122" i="27"/>
  <c r="BI123" i="27" s="1"/>
  <c r="BG122" i="27"/>
  <c r="BD122" i="27" s="1" a="1"/>
  <c r="BD122" i="27" s="1"/>
  <c r="BJ148" i="27" l="1"/>
  <c r="BI149" i="27" s="1"/>
  <c r="BG148" i="27"/>
  <c r="BD148" i="27" s="1" a="1"/>
  <c r="BD148" i="27" s="1"/>
  <c r="BG109" i="27"/>
  <c r="BD109" i="27" s="1" a="1"/>
  <c r="BD109" i="27" s="1"/>
  <c r="BE109" i="27" s="1" a="1"/>
  <c r="BE109" i="27" s="1"/>
  <c r="BC109" i="27" s="1"/>
  <c r="BF109" i="27" s="1"/>
  <c r="BJ109" i="27"/>
  <c r="BI110" i="27" s="1"/>
  <c r="BJ135" i="27"/>
  <c r="BI136" i="27" s="1"/>
  <c r="BG135" i="27"/>
  <c r="BD135" i="27" s="1" a="1"/>
  <c r="BD135" i="27" s="1"/>
  <c r="BJ123" i="27"/>
  <c r="BI124" i="27" s="1"/>
  <c r="BG123" i="27"/>
  <c r="BD123" i="27" s="1" a="1"/>
  <c r="BD123" i="27" s="1"/>
  <c r="BG149" i="27" l="1"/>
  <c r="BD149" i="27" s="1" a="1"/>
  <c r="BD149" i="27" s="1"/>
  <c r="BJ149" i="27"/>
  <c r="BI150" i="27" s="1"/>
  <c r="BG110" i="27"/>
  <c r="BD110" i="27" s="1" a="1"/>
  <c r="BD110" i="27" s="1"/>
  <c r="BJ110" i="27"/>
  <c r="BI111" i="27" s="1"/>
  <c r="BG124" i="27"/>
  <c r="BD124" i="27" s="1" a="1"/>
  <c r="BD124" i="27" s="1"/>
  <c r="BJ124" i="27"/>
  <c r="BI125" i="27" s="1"/>
  <c r="BJ136" i="27"/>
  <c r="BI137" i="27" s="1"/>
  <c r="BG136" i="27"/>
  <c r="BD136" i="27" s="1" a="1"/>
  <c r="BD136" i="27" s="1"/>
  <c r="BJ150" i="27" l="1"/>
  <c r="BI151" i="27" s="1"/>
  <c r="BG150" i="27"/>
  <c r="BD150" i="27" s="1" a="1"/>
  <c r="BD150" i="27" s="1"/>
  <c r="BJ111" i="27"/>
  <c r="BI112" i="27" s="1"/>
  <c r="BG111" i="27"/>
  <c r="BD111" i="27" s="1" a="1"/>
  <c r="BD111" i="27" s="1"/>
  <c r="BJ137" i="27"/>
  <c r="BI138" i="27" s="1"/>
  <c r="BG137" i="27"/>
  <c r="BD137" i="27" s="1" a="1"/>
  <c r="BD137" i="27" s="1"/>
  <c r="BJ125" i="27"/>
  <c r="BI126" i="27" s="1"/>
  <c r="BG125" i="27"/>
  <c r="BD125" i="27" s="1" a="1"/>
  <c r="BD125" i="27" s="1"/>
  <c r="BJ151" i="27" l="1"/>
  <c r="BI152" i="27" s="1"/>
  <c r="BG151" i="27"/>
  <c r="BD151" i="27" s="1" a="1"/>
  <c r="BD151" i="27" s="1"/>
  <c r="BJ112" i="27"/>
  <c r="BI113" i="27" s="1"/>
  <c r="BG112" i="27"/>
  <c r="BD112" i="27" s="1" a="1"/>
  <c r="BD112" i="27" s="1"/>
  <c r="BJ126" i="27"/>
  <c r="BI127" i="27" s="1"/>
  <c r="BG126" i="27"/>
  <c r="BD126" i="27" s="1" a="1"/>
  <c r="BD126" i="27" s="1"/>
  <c r="BG138" i="27"/>
  <c r="BD138" i="27" s="1" a="1"/>
  <c r="BD138" i="27" s="1"/>
  <c r="BJ138" i="27"/>
  <c r="BI139" i="27" s="1"/>
  <c r="BJ152" i="27" l="1"/>
  <c r="BI153" i="27" s="1"/>
  <c r="BG152" i="27"/>
  <c r="BD152" i="27" s="1" a="1"/>
  <c r="BD152" i="27" s="1"/>
  <c r="BJ113" i="27"/>
  <c r="BI114" i="27" s="1"/>
  <c r="BG113" i="27"/>
  <c r="BD113" i="27" s="1" a="1"/>
  <c r="BD113" i="27" s="1"/>
  <c r="BG139" i="27"/>
  <c r="BD139" i="27" s="1" a="1"/>
  <c r="BD139" i="27" s="1"/>
  <c r="BJ139" i="27"/>
  <c r="BI140" i="27" s="1"/>
  <c r="BG127" i="27"/>
  <c r="BD127" i="27" s="1" a="1"/>
  <c r="BD127" i="27" s="1"/>
  <c r="BJ127" i="27"/>
  <c r="BI128" i="27" s="1"/>
  <c r="BJ153" i="27" l="1"/>
  <c r="BI154" i="27" s="1"/>
  <c r="BG153" i="27"/>
  <c r="BD153" i="27" s="1" a="1"/>
  <c r="BD153" i="27" s="1"/>
  <c r="BJ114" i="27"/>
  <c r="BI115" i="27" s="1"/>
  <c r="BG114" i="27"/>
  <c r="BD114" i="27" s="1" a="1"/>
  <c r="BD114" i="27" s="1"/>
  <c r="BJ128" i="27"/>
  <c r="BG128" i="27"/>
  <c r="BD128" i="27" s="1" a="1"/>
  <c r="BD128" i="27" s="1"/>
  <c r="BJ140" i="27"/>
  <c r="BI141" i="27" s="1"/>
  <c r="BG140" i="27"/>
  <c r="BD140" i="27" s="1" a="1"/>
  <c r="BD140" i="27" s="1"/>
  <c r="BG154" i="27" l="1"/>
  <c r="BD154" i="27" s="1" a="1"/>
  <c r="BD154" i="27" s="1"/>
  <c r="BJ154" i="27"/>
  <c r="BJ115" i="27"/>
  <c r="BG115" i="27"/>
  <c r="BD115" i="27" s="1" a="1"/>
  <c r="BD115" i="27" s="1"/>
  <c r="BJ141" i="27"/>
  <c r="BG141" i="27"/>
  <c r="BD141" i="27" s="1" a="1"/>
  <c r="BD141" i="27" s="1"/>
  <c r="BD116" i="27" l="1" a="1"/>
  <c r="BD116" i="27" s="1"/>
  <c r="BD129" i="27" s="1" a="1"/>
  <c r="BD129" i="27" s="1"/>
  <c r="BD130" i="27" s="1" a="1"/>
  <c r="BD130" i="27" s="1"/>
  <c r="BE111" i="27" l="1" a="1"/>
  <c r="BE111" i="27" s="1"/>
  <c r="BC111" i="27" s="1"/>
  <c r="BF111" i="27" s="1"/>
  <c r="BE110" i="27" a="1"/>
  <c r="BE110" i="27" s="1"/>
  <c r="BC110" i="27" s="1"/>
  <c r="BF110" i="27" s="1"/>
  <c r="BD142" i="27" a="1"/>
  <c r="BD142" i="27" s="1"/>
  <c r="BD143" i="27" s="1" a="1"/>
  <c r="BD143" i="27" s="1"/>
  <c r="BE112" i="27" a="1"/>
  <c r="BE112" i="27" s="1"/>
  <c r="BC112" i="27" s="1"/>
  <c r="BF112" i="27" s="1"/>
  <c r="BE115" i="27" l="1" a="1"/>
  <c r="BE115" i="27" s="1"/>
  <c r="BC115" i="27" s="1"/>
  <c r="BF115" i="27" s="1"/>
  <c r="BE134" i="27" a="1"/>
  <c r="BE134" i="27" s="1"/>
  <c r="BC134" i="27" s="1"/>
  <c r="BF134" i="27" s="1"/>
  <c r="BE130" i="27" a="1"/>
  <c r="BE130" i="27" s="1"/>
  <c r="BC130" i="27" s="1"/>
  <c r="BF130" i="27" s="1"/>
  <c r="BE137" i="27" a="1"/>
  <c r="BE137" i="27" s="1"/>
  <c r="BC137" i="27" s="1"/>
  <c r="BF137" i="27" s="1"/>
  <c r="BE150" i="27" a="1"/>
  <c r="BE150" i="27" s="1"/>
  <c r="BC150" i="27" s="1"/>
  <c r="BF150" i="27" s="1"/>
  <c r="BE144" i="27" a="1"/>
  <c r="BE144" i="27" s="1"/>
  <c r="BC144" i="27" s="1"/>
  <c r="BF144" i="27" s="1"/>
  <c r="BE138" i="27" a="1"/>
  <c r="BE138" i="27" s="1"/>
  <c r="BC138" i="27" s="1"/>
  <c r="BF138" i="27" s="1"/>
  <c r="BE136" i="27" a="1"/>
  <c r="BE136" i="27" s="1"/>
  <c r="BC136" i="27" s="1"/>
  <c r="BF136" i="27" s="1"/>
  <c r="BE145" i="27" a="1"/>
  <c r="BE145" i="27" s="1"/>
  <c r="BC145" i="27" s="1"/>
  <c r="BF145" i="27" s="1"/>
  <c r="BE146" i="27" a="1"/>
  <c r="BE146" i="27" s="1"/>
  <c r="BC146" i="27" s="1"/>
  <c r="BF146" i="27" s="1"/>
  <c r="BE140" i="27" a="1"/>
  <c r="BE140" i="27" s="1"/>
  <c r="BC140" i="27" s="1"/>
  <c r="BF140" i="27" s="1"/>
  <c r="BE127" i="27" a="1"/>
  <c r="BE127" i="27" s="1"/>
  <c r="BC127" i="27" s="1"/>
  <c r="BF127" i="27" s="1"/>
  <c r="BE139" i="27" a="1"/>
  <c r="BE139" i="27" s="1"/>
  <c r="BC139" i="27" s="1"/>
  <c r="BF139" i="27" s="1"/>
  <c r="BE142" i="27" a="1"/>
  <c r="BE142" i="27" s="1"/>
  <c r="BC142" i="27" s="1"/>
  <c r="BF142" i="27" s="1"/>
  <c r="BE114" i="27" a="1"/>
  <c r="BE114" i="27" s="1"/>
  <c r="BC114" i="27" s="1"/>
  <c r="BF114" i="27" s="1"/>
  <c r="BE148" i="27" a="1"/>
  <c r="BE148" i="27" s="1"/>
  <c r="BC148" i="27" s="1"/>
  <c r="BF148" i="27" s="1"/>
  <c r="BE143" i="27" a="1"/>
  <c r="BE143" i="27" s="1"/>
  <c r="BC143" i="27" s="1"/>
  <c r="BF143" i="27" s="1"/>
  <c r="BE133" i="27" a="1"/>
  <c r="BE133" i="27" s="1"/>
  <c r="BC133" i="27" s="1"/>
  <c r="BF133" i="27" s="1"/>
  <c r="BE119" i="27" a="1"/>
  <c r="BE119" i="27" s="1"/>
  <c r="BC119" i="27" s="1"/>
  <c r="BF119" i="27" s="1"/>
  <c r="BE141" i="27" a="1"/>
  <c r="BE141" i="27" s="1"/>
  <c r="BC141" i="27" s="1"/>
  <c r="BF141" i="27" s="1"/>
  <c r="BE154" i="27" a="1"/>
  <c r="BE154" i="27" s="1"/>
  <c r="BC154" i="27" s="1"/>
  <c r="BE129" i="27" a="1"/>
  <c r="BE129" i="27" s="1"/>
  <c r="BC129" i="27" s="1"/>
  <c r="BF129" i="27" s="1"/>
  <c r="BE128" i="27" a="1"/>
  <c r="BE128" i="27" s="1"/>
  <c r="BC128" i="27" s="1"/>
  <c r="BF128" i="27" s="1"/>
  <c r="BE120" i="27" a="1"/>
  <c r="BE120" i="27" s="1"/>
  <c r="BC120" i="27" s="1"/>
  <c r="BF120" i="27" s="1"/>
  <c r="BE124" i="27" a="1"/>
  <c r="BE124" i="27" s="1"/>
  <c r="BC124" i="27" s="1"/>
  <c r="BF124" i="27" s="1"/>
  <c r="BE153" i="27" a="1"/>
  <c r="BE153" i="27" s="1"/>
  <c r="BC153" i="27" s="1"/>
  <c r="BF153" i="27" s="1"/>
  <c r="BE131" i="27" a="1"/>
  <c r="BE131" i="27" s="1"/>
  <c r="BC131" i="27" s="1"/>
  <c r="BF131" i="27" s="1"/>
  <c r="BE126" i="27" a="1"/>
  <c r="BE126" i="27" s="1"/>
  <c r="BC126" i="27" s="1"/>
  <c r="BF126" i="27" s="1"/>
  <c r="BE121" i="27" a="1"/>
  <c r="BE121" i="27" s="1"/>
  <c r="BC121" i="27" s="1"/>
  <c r="BF121" i="27" s="1"/>
  <c r="BE132" i="27" a="1"/>
  <c r="BE132" i="27" s="1"/>
  <c r="BC132" i="27" s="1"/>
  <c r="BF132" i="27" s="1"/>
  <c r="BE122" i="27" a="1"/>
  <c r="BE122" i="27" s="1"/>
  <c r="BC122" i="27" s="1"/>
  <c r="BF122" i="27" s="1"/>
  <c r="BE116" i="27" a="1"/>
  <c r="BE116" i="27" s="1"/>
  <c r="BC116" i="27" s="1"/>
  <c r="BF116" i="27" s="1"/>
  <c r="BE151" i="27" a="1"/>
  <c r="BE151" i="27" s="1"/>
  <c r="BC151" i="27" s="1"/>
  <c r="BF151" i="27" s="1"/>
  <c r="BE118" i="27" a="1"/>
  <c r="BE118" i="27" s="1"/>
  <c r="BC118" i="27" s="1"/>
  <c r="BF118" i="27" s="1"/>
  <c r="BE152" i="27" a="1"/>
  <c r="BE152" i="27" s="1"/>
  <c r="BC152" i="27" s="1"/>
  <c r="BF152" i="27" s="1"/>
  <c r="BE125" i="27" a="1"/>
  <c r="BE125" i="27" s="1"/>
  <c r="BC125" i="27" s="1"/>
  <c r="BF125" i="27" s="1"/>
  <c r="BE147" i="27" a="1"/>
  <c r="BE147" i="27" s="1"/>
  <c r="BC147" i="27" s="1"/>
  <c r="BF147" i="27" s="1"/>
  <c r="BE123" i="27" a="1"/>
  <c r="BE123" i="27" s="1"/>
  <c r="BC123" i="27" s="1"/>
  <c r="BF123" i="27" s="1"/>
  <c r="BE149" i="27" a="1"/>
  <c r="BE149" i="27" s="1"/>
  <c r="BC149" i="27" s="1"/>
  <c r="BF149" i="27" s="1"/>
  <c r="BE113" i="27" a="1"/>
  <c r="BE113" i="27" s="1"/>
  <c r="BC113" i="27" s="1"/>
  <c r="BF113" i="27" s="1"/>
  <c r="BE117" i="27" a="1"/>
  <c r="BE117" i="27" s="1"/>
  <c r="BC117" i="27" s="1"/>
  <c r="BF117" i="27" s="1"/>
  <c r="BE135" i="27" a="1"/>
  <c r="BE135" i="27" s="1"/>
  <c r="BC135" i="27" s="1"/>
  <c r="BF135" i="27" s="1"/>
  <c r="BF154" i="27" l="1"/>
  <c r="BC95" i="27" s="1"/>
  <c r="BC102" i="27"/>
  <c r="BX7" i="21" l="1"/>
  <c r="BX6" i="21"/>
  <c r="A1" i="21"/>
  <c r="BD300" i="21"/>
  <c r="BG300" i="21" s="1"/>
  <c r="BD299" i="21"/>
  <c r="BG299" i="21" s="1"/>
  <c r="BD298" i="21"/>
  <c r="BG298" i="21" s="1"/>
  <c r="BD297" i="21"/>
  <c r="BG297" i="21" s="1"/>
  <c r="BG290" i="21"/>
  <c r="BG289" i="21"/>
  <c r="BE288" i="21"/>
  <c r="BE289" i="21" s="1"/>
  <c r="BG285" i="21"/>
  <c r="BG286" i="21" s="1"/>
  <c r="BE285" i="21"/>
  <c r="BE286" i="21" s="1"/>
  <c r="BG274" i="21"/>
  <c r="BB276" i="21" s="1"/>
  <c r="BG273" i="21"/>
  <c r="BB275" i="21" s="1"/>
  <c r="BG263" i="21"/>
  <c r="BF263" i="21"/>
  <c r="BE263" i="21"/>
  <c r="BC263" i="21"/>
  <c r="BB263" i="21"/>
  <c r="BB261" i="21"/>
  <c r="BG260" i="21"/>
  <c r="BF260" i="21"/>
  <c r="BE260" i="21"/>
  <c r="BC260" i="21"/>
  <c r="BB260" i="21"/>
  <c r="BB258" i="21"/>
  <c r="BB252" i="21"/>
  <c r="BC244" i="21"/>
  <c r="BE224" i="21"/>
  <c r="BE223" i="21"/>
  <c r="BE222" i="21"/>
  <c r="BE221" i="21"/>
  <c r="BE220" i="21"/>
  <c r="BE219" i="21"/>
  <c r="BE218" i="21"/>
  <c r="BE217" i="21"/>
  <c r="BE216" i="21"/>
  <c r="BF215" i="21"/>
  <c r="BC192" i="21"/>
  <c r="BF177" i="21"/>
  <c r="BE177" i="21"/>
  <c r="BC177" i="21"/>
  <c r="BB177" i="21"/>
  <c r="BF176" i="21"/>
  <c r="BE176" i="21"/>
  <c r="BC176" i="21"/>
  <c r="BB176" i="21"/>
  <c r="BB161" i="21"/>
  <c r="BB160" i="21"/>
  <c r="AX102" i="21"/>
  <c r="AX101" i="21"/>
  <c r="AX100" i="21"/>
  <c r="AX99" i="21"/>
  <c r="AX98" i="21"/>
  <c r="AX97" i="21"/>
  <c r="AX96" i="21"/>
  <c r="AX95" i="21"/>
  <c r="AX94" i="21"/>
  <c r="AX93" i="21"/>
  <c r="AX92" i="21"/>
  <c r="AX91" i="21"/>
  <c r="AX90" i="21"/>
  <c r="AX89" i="21"/>
  <c r="AX88" i="21"/>
  <c r="AX87" i="21"/>
  <c r="AX86" i="21"/>
  <c r="AX85" i="21"/>
  <c r="AX84" i="21"/>
  <c r="AX83" i="21"/>
  <c r="AX82" i="21"/>
  <c r="AX81" i="21"/>
  <c r="AX80" i="21"/>
  <c r="AX79" i="21"/>
  <c r="AX78" i="21"/>
  <c r="AX77" i="21"/>
  <c r="AX76" i="21"/>
  <c r="AX75" i="21"/>
  <c r="AX74" i="21"/>
  <c r="AX73" i="21"/>
  <c r="AX72" i="21"/>
  <c r="AX71" i="21"/>
  <c r="AX70" i="21"/>
  <c r="AX69" i="21"/>
  <c r="AX68" i="21"/>
  <c r="AX67" i="21"/>
  <c r="AX66" i="21"/>
  <c r="AX65" i="21"/>
  <c r="AX64" i="21"/>
  <c r="AW63" i="21"/>
  <c r="BG62" i="21"/>
  <c r="BC62" i="21" s="1" a="1"/>
  <c r="BC62" i="21" s="1"/>
  <c r="BD61" i="21"/>
  <c r="BD60" i="21"/>
  <c r="AX60" i="21"/>
  <c r="BD59" i="21"/>
  <c r="AX59" i="21"/>
  <c r="BD58" i="21"/>
  <c r="AX58" i="21"/>
  <c r="BD57" i="21"/>
  <c r="AX57" i="21"/>
  <c r="BD56" i="21"/>
  <c r="AX56" i="21"/>
  <c r="BD55" i="21"/>
  <c r="AX55" i="21"/>
  <c r="BD54" i="21"/>
  <c r="AX54" i="21"/>
  <c r="BD53" i="21"/>
  <c r="AX53" i="21"/>
  <c r="BD52" i="21"/>
  <c r="AX52" i="21"/>
  <c r="BD51" i="21"/>
  <c r="AX51" i="21"/>
  <c r="BD50" i="21"/>
  <c r="AX50" i="21"/>
  <c r="BD49" i="21"/>
  <c r="AX49" i="21"/>
  <c r="BD48" i="21"/>
  <c r="AX48" i="21"/>
  <c r="BD47" i="21"/>
  <c r="AX47" i="21"/>
  <c r="BD46" i="21"/>
  <c r="AX46" i="21"/>
  <c r="BD45" i="21"/>
  <c r="AX45" i="21"/>
  <c r="BD44" i="21"/>
  <c r="AX44" i="21"/>
  <c r="BD43" i="21"/>
  <c r="AX43" i="21"/>
  <c r="BD42" i="21"/>
  <c r="AX42" i="21"/>
  <c r="BD41" i="21"/>
  <c r="AX41" i="21"/>
  <c r="BD40" i="21"/>
  <c r="AX40" i="21"/>
  <c r="BD39" i="21"/>
  <c r="AX39" i="21"/>
  <c r="BD38" i="21"/>
  <c r="AX38" i="21"/>
  <c r="BD37" i="21"/>
  <c r="AX37" i="21"/>
  <c r="BD36" i="21"/>
  <c r="AX36" i="21"/>
  <c r="BD35" i="21"/>
  <c r="AX35" i="21"/>
  <c r="BD34" i="21"/>
  <c r="AX34" i="21"/>
  <c r="BD33" i="21"/>
  <c r="AX33" i="21"/>
  <c r="BD32" i="21"/>
  <c r="AX32" i="21"/>
  <c r="BD31" i="21"/>
  <c r="AX31" i="21"/>
  <c r="BD30" i="21"/>
  <c r="AX30" i="21"/>
  <c r="BD29" i="21"/>
  <c r="AX29" i="21"/>
  <c r="BD28" i="21"/>
  <c r="AX28" i="21"/>
  <c r="BD27" i="21"/>
  <c r="AX27" i="21"/>
  <c r="BD26" i="21"/>
  <c r="AX26" i="21"/>
  <c r="BD25" i="21"/>
  <c r="AX25" i="21"/>
  <c r="BD24" i="21"/>
  <c r="AX24" i="21"/>
  <c r="BD23" i="21"/>
  <c r="AX23" i="21"/>
  <c r="BD22" i="21"/>
  <c r="AX22" i="21"/>
  <c r="BD21" i="21"/>
  <c r="AX21" i="21"/>
  <c r="BD20" i="21"/>
  <c r="BB16" i="21"/>
  <c r="AY16" i="21" s="1"/>
  <c r="BA16" i="21"/>
  <c r="BA104" i="21" s="1"/>
  <c r="AZ16" i="21"/>
  <c r="AZ54" i="21" s="1"/>
  <c r="BB6" i="21"/>
  <c r="BH2" i="21"/>
  <c r="BG2" i="21"/>
  <c r="BF2" i="21"/>
  <c r="BE2" i="21"/>
  <c r="BD2" i="21"/>
  <c r="BC2" i="21"/>
  <c r="BB2" i="21"/>
  <c r="BA2" i="21"/>
  <c r="AZ2" i="21"/>
  <c r="AY2" i="21"/>
  <c r="AX2" i="21"/>
  <c r="BH1" i="21"/>
  <c r="BG1" i="21"/>
  <c r="BF1" i="21"/>
  <c r="BE1" i="21"/>
  <c r="BD1" i="21"/>
  <c r="BC1" i="21"/>
  <c r="BB1" i="21"/>
  <c r="BA1" i="21"/>
  <c r="AZ1" i="21"/>
  <c r="AY1" i="21"/>
  <c r="AX1" i="21"/>
  <c r="AO261" i="21"/>
  <c r="AR261" i="21" s="1"/>
  <c r="AO260" i="21"/>
  <c r="AR260" i="21" s="1"/>
  <c r="AO259" i="21"/>
  <c r="AR259" i="21" s="1"/>
  <c r="AO258" i="21"/>
  <c r="AR258" i="21" s="1"/>
  <c r="AR251" i="21"/>
  <c r="AR250" i="21"/>
  <c r="AP249" i="21"/>
  <c r="AP250" i="21" s="1"/>
  <c r="AR246" i="21"/>
  <c r="AR247" i="21" s="1"/>
  <c r="AP246" i="21"/>
  <c r="AP247" i="21" s="1"/>
  <c r="AR235" i="21"/>
  <c r="AM237" i="21" s="1"/>
  <c r="AR234" i="21"/>
  <c r="AM236" i="21" s="1"/>
  <c r="AR224" i="21"/>
  <c r="AQ224" i="21"/>
  <c r="AP224" i="21"/>
  <c r="AN224" i="21"/>
  <c r="AM224" i="21"/>
  <c r="AM222" i="21"/>
  <c r="AR221" i="21"/>
  <c r="AQ221" i="21"/>
  <c r="AP221" i="21"/>
  <c r="AN221" i="21"/>
  <c r="AM221" i="21"/>
  <c r="AM219" i="21"/>
  <c r="AM213" i="21"/>
  <c r="AN205" i="21"/>
  <c r="AP185" i="21"/>
  <c r="AP184" i="21"/>
  <c r="AP183" i="21"/>
  <c r="AP182" i="21"/>
  <c r="AP181" i="21"/>
  <c r="AP180" i="21"/>
  <c r="AP179" i="21"/>
  <c r="AP178" i="21"/>
  <c r="AP177" i="21"/>
  <c r="AQ176" i="21"/>
  <c r="AN153" i="21"/>
  <c r="AQ138" i="21"/>
  <c r="AP138" i="21"/>
  <c r="AN138" i="21"/>
  <c r="AM138" i="21"/>
  <c r="AQ137" i="21"/>
  <c r="AP137" i="21"/>
  <c r="AN137" i="21"/>
  <c r="AM137" i="21"/>
  <c r="AM122" i="21"/>
  <c r="AM121" i="21"/>
  <c r="AI63" i="21"/>
  <c r="AI62" i="21"/>
  <c r="AI61" i="21"/>
  <c r="AI60" i="21"/>
  <c r="AI59" i="21"/>
  <c r="AI58" i="21"/>
  <c r="AI57" i="21"/>
  <c r="AI56" i="21"/>
  <c r="AI55" i="21"/>
  <c r="AI54" i="21"/>
  <c r="AI53" i="21"/>
  <c r="AI52" i="21"/>
  <c r="AI51" i="21"/>
  <c r="AI50" i="21"/>
  <c r="AI49" i="21"/>
  <c r="AI48" i="21"/>
  <c r="AI47" i="21"/>
  <c r="AI46" i="21"/>
  <c r="AI45" i="21"/>
  <c r="AH44" i="21"/>
  <c r="AR43" i="21"/>
  <c r="AN43" i="21" s="1" a="1"/>
  <c r="AN43" i="21" s="1"/>
  <c r="AO41" i="21"/>
  <c r="AO40" i="21"/>
  <c r="AI40" i="21"/>
  <c r="AO39" i="21"/>
  <c r="AI39" i="21"/>
  <c r="AO38" i="21"/>
  <c r="AI38" i="21"/>
  <c r="AO37" i="21"/>
  <c r="AI37" i="21"/>
  <c r="AO36" i="21"/>
  <c r="AI36" i="21"/>
  <c r="AO35" i="21"/>
  <c r="AI35" i="21"/>
  <c r="AO34" i="21"/>
  <c r="AI34" i="21"/>
  <c r="AO33" i="21"/>
  <c r="AI33" i="21"/>
  <c r="AO32" i="21"/>
  <c r="AI32" i="21"/>
  <c r="AO31" i="21"/>
  <c r="AI31" i="21"/>
  <c r="AO30" i="21"/>
  <c r="AI30" i="21"/>
  <c r="AO29" i="21"/>
  <c r="AI29" i="21"/>
  <c r="AO28" i="21"/>
  <c r="AI28" i="21"/>
  <c r="AO27" i="21"/>
  <c r="AI27" i="21"/>
  <c r="AO26" i="21"/>
  <c r="AI26" i="21"/>
  <c r="AO25" i="21"/>
  <c r="AI25" i="21"/>
  <c r="AO24" i="21"/>
  <c r="AI24" i="21"/>
  <c r="AO23" i="21"/>
  <c r="AI23" i="21"/>
  <c r="AO22" i="21"/>
  <c r="AI22" i="21"/>
  <c r="AO21" i="21"/>
  <c r="AI21" i="21"/>
  <c r="AO20" i="21"/>
  <c r="AM16" i="21"/>
  <c r="AL16" i="21"/>
  <c r="AL22" i="21" s="1"/>
  <c r="AK16" i="21"/>
  <c r="AK25" i="21" s="1"/>
  <c r="AM6" i="21"/>
  <c r="AS1" i="21"/>
  <c r="AR1" i="21"/>
  <c r="AQ1" i="21"/>
  <c r="AP1" i="21"/>
  <c r="AO1" i="21"/>
  <c r="AN1" i="21"/>
  <c r="AM1" i="21"/>
  <c r="AL1" i="21"/>
  <c r="AK1" i="21"/>
  <c r="AJ1" i="21"/>
  <c r="AI1" i="21"/>
  <c r="AC334" i="21"/>
  <c r="AC333" i="21"/>
  <c r="AA332" i="21"/>
  <c r="AA333" i="21" s="1"/>
  <c r="AC329" i="21"/>
  <c r="AC330" i="21" s="1"/>
  <c r="AA329" i="21"/>
  <c r="AA330" i="21" s="1"/>
  <c r="AC311" i="21"/>
  <c r="X313" i="21" s="1"/>
  <c r="AC310" i="21"/>
  <c r="X312" i="21" s="1"/>
  <c r="AC294" i="21"/>
  <c r="AB294" i="21"/>
  <c r="AA294" i="21"/>
  <c r="Y294" i="21"/>
  <c r="X294" i="21"/>
  <c r="X292" i="21"/>
  <c r="AC291" i="21"/>
  <c r="AB291" i="21"/>
  <c r="AA291" i="21"/>
  <c r="Y291" i="21"/>
  <c r="X291" i="21"/>
  <c r="X289" i="21"/>
  <c r="AA280" i="21"/>
  <c r="AA279" i="21"/>
  <c r="AA278" i="21"/>
  <c r="AA277" i="21"/>
  <c r="AA276" i="21"/>
  <c r="AA275" i="21"/>
  <c r="AA274" i="21"/>
  <c r="AA273" i="21"/>
  <c r="AA272" i="21"/>
  <c r="AB271" i="21"/>
  <c r="Y262" i="21"/>
  <c r="Z217" i="21"/>
  <c r="AC217" i="21" s="1"/>
  <c r="Z216" i="21"/>
  <c r="AC216" i="21" s="1"/>
  <c r="Z215" i="21"/>
  <c r="AC215" i="21" s="1"/>
  <c r="Z214" i="21"/>
  <c r="AC214" i="21" s="1"/>
  <c r="X196" i="21"/>
  <c r="Y179" i="21"/>
  <c r="AB163" i="21"/>
  <c r="AA163" i="21"/>
  <c r="Y163" i="21"/>
  <c r="X163" i="21"/>
  <c r="AB162" i="21"/>
  <c r="AA162" i="21"/>
  <c r="Y162" i="21"/>
  <c r="X162" i="21"/>
  <c r="X145" i="21"/>
  <c r="X144" i="21"/>
  <c r="T89" i="21"/>
  <c r="T88" i="21"/>
  <c r="T87" i="21"/>
  <c r="T86" i="21"/>
  <c r="T85" i="21"/>
  <c r="T84" i="21"/>
  <c r="T83" i="21"/>
  <c r="T82" i="21"/>
  <c r="T81" i="21"/>
  <c r="T80" i="21"/>
  <c r="T79" i="21"/>
  <c r="AC77" i="21"/>
  <c r="Y77" i="21" s="1" a="1"/>
  <c r="Y77" i="21" s="1"/>
  <c r="Z76" i="21"/>
  <c r="T76" i="21"/>
  <c r="Z75" i="21"/>
  <c r="T75" i="21"/>
  <c r="Z74" i="21"/>
  <c r="T74" i="21"/>
  <c r="Z73" i="21"/>
  <c r="T73" i="21"/>
  <c r="Z72" i="21"/>
  <c r="T72" i="21"/>
  <c r="Z71" i="21"/>
  <c r="T71" i="21"/>
  <c r="Z70" i="21"/>
  <c r="T70" i="21"/>
  <c r="Z69" i="21"/>
  <c r="T69" i="21"/>
  <c r="Z68" i="21"/>
  <c r="T68" i="21"/>
  <c r="Z67" i="21"/>
  <c r="T67" i="21"/>
  <c r="Z66" i="21"/>
  <c r="T66" i="21"/>
  <c r="Z65" i="21"/>
  <c r="T65" i="21"/>
  <c r="Z64" i="21"/>
  <c r="T64" i="21"/>
  <c r="Z63" i="21"/>
  <c r="X59" i="21"/>
  <c r="U59" i="21" s="1"/>
  <c r="W59" i="21"/>
  <c r="W91" i="21" s="1"/>
  <c r="V59" i="21"/>
  <c r="V69" i="21" s="1"/>
  <c r="T46" i="21"/>
  <c r="T45" i="21"/>
  <c r="T44" i="21"/>
  <c r="T43" i="21"/>
  <c r="T42" i="21"/>
  <c r="T41" i="21"/>
  <c r="T40" i="21"/>
  <c r="T39" i="21"/>
  <c r="T38" i="21"/>
  <c r="T37" i="21"/>
  <c r="T36" i="21"/>
  <c r="R35" i="21"/>
  <c r="AC34" i="21"/>
  <c r="Y34" i="21" s="1" a="1"/>
  <c r="Y34" i="21" s="1"/>
  <c r="Z33" i="21"/>
  <c r="T33" i="21"/>
  <c r="Z32" i="21"/>
  <c r="T32" i="21"/>
  <c r="Z31" i="21"/>
  <c r="T31" i="21"/>
  <c r="Z30" i="21"/>
  <c r="T30" i="21"/>
  <c r="Z29" i="21"/>
  <c r="T29" i="21"/>
  <c r="Z28" i="21"/>
  <c r="T28" i="21"/>
  <c r="Z27" i="21"/>
  <c r="T27" i="21"/>
  <c r="Z26" i="21"/>
  <c r="T26" i="21"/>
  <c r="Z25" i="21"/>
  <c r="T25" i="21"/>
  <c r="Z24" i="21"/>
  <c r="T24" i="21"/>
  <c r="Z23" i="21"/>
  <c r="T23" i="21"/>
  <c r="Z22" i="21"/>
  <c r="T22" i="21"/>
  <c r="Z21" i="21"/>
  <c r="T21" i="21"/>
  <c r="Z20" i="21"/>
  <c r="X16" i="21"/>
  <c r="W16" i="21"/>
  <c r="W40" i="21" s="1"/>
  <c r="V16" i="21"/>
  <c r="X6" i="21"/>
  <c r="AD2" i="21"/>
  <c r="AC2" i="21"/>
  <c r="AB2" i="21"/>
  <c r="AA2" i="21"/>
  <c r="Z2" i="21"/>
  <c r="Y2" i="21"/>
  <c r="X2" i="21"/>
  <c r="W2" i="21"/>
  <c r="V2" i="21"/>
  <c r="U2" i="21"/>
  <c r="T2" i="21"/>
  <c r="AD1" i="21"/>
  <c r="AC1" i="21"/>
  <c r="AB1" i="21"/>
  <c r="AA1" i="21"/>
  <c r="Z1" i="21"/>
  <c r="Y1" i="21"/>
  <c r="X1" i="21"/>
  <c r="W1" i="21"/>
  <c r="V1" i="21"/>
  <c r="U1" i="21"/>
  <c r="T1" i="21"/>
  <c r="N110" i="21"/>
  <c r="I112" i="21" s="1"/>
  <c r="N109" i="21"/>
  <c r="I111" i="21" s="1"/>
  <c r="N105" i="21"/>
  <c r="J100" i="21"/>
  <c r="N92" i="21"/>
  <c r="J92" i="21" s="1" a="1"/>
  <c r="J92" i="21" s="1"/>
  <c r="N79" i="21"/>
  <c r="J79" i="21" s="1" a="1"/>
  <c r="J79" i="21" s="1"/>
  <c r="J71" i="21"/>
  <c r="N66" i="21"/>
  <c r="J66" i="21" s="1" a="1"/>
  <c r="J66" i="21" s="1"/>
  <c r="I57" i="21"/>
  <c r="N53" i="21"/>
  <c r="N40" i="21"/>
  <c r="J40" i="21" s="1" a="1"/>
  <c r="J40" i="21" s="1"/>
  <c r="E36" i="21"/>
  <c r="E35" i="21"/>
  <c r="E34" i="21"/>
  <c r="E33" i="21"/>
  <c r="E32" i="21"/>
  <c r="E31" i="21"/>
  <c r="E30" i="21"/>
  <c r="E29" i="21"/>
  <c r="N27" i="21"/>
  <c r="J27" i="21" s="1" a="1"/>
  <c r="J27" i="21" s="1"/>
  <c r="D27" i="21"/>
  <c r="K26" i="21"/>
  <c r="E26" i="21"/>
  <c r="K25" i="21"/>
  <c r="E25" i="21"/>
  <c r="K24" i="21"/>
  <c r="E24" i="21"/>
  <c r="K23" i="21"/>
  <c r="E23" i="21"/>
  <c r="K22" i="21"/>
  <c r="E22" i="21"/>
  <c r="K21" i="21"/>
  <c r="E21" i="21"/>
  <c r="K20" i="21"/>
  <c r="I16" i="21"/>
  <c r="F16" i="21" s="1"/>
  <c r="H16" i="21"/>
  <c r="H35" i="21" s="1"/>
  <c r="G16" i="21"/>
  <c r="G36" i="21" s="1"/>
  <c r="I6" i="21"/>
  <c r="O2" i="21"/>
  <c r="N2" i="21"/>
  <c r="M2" i="21"/>
  <c r="L2" i="21"/>
  <c r="K2" i="21"/>
  <c r="J2" i="21"/>
  <c r="I2" i="21"/>
  <c r="H2" i="21"/>
  <c r="G2" i="21"/>
  <c r="F2" i="21"/>
  <c r="E2" i="21"/>
  <c r="O1" i="21"/>
  <c r="N1" i="21"/>
  <c r="M1" i="21"/>
  <c r="L1" i="21"/>
  <c r="K1" i="21"/>
  <c r="J1" i="21"/>
  <c r="I1" i="21"/>
  <c r="H1" i="21"/>
  <c r="G1" i="21"/>
  <c r="F1" i="21"/>
  <c r="E1" i="21"/>
  <c r="BY344" i="21"/>
  <c r="BW344" i="21"/>
  <c r="BV343" i="21"/>
  <c r="BU235" i="21"/>
  <c r="BT235" i="21"/>
  <c r="BS235" i="21"/>
  <c r="BR235" i="21"/>
  <c r="BQ235" i="21"/>
  <c r="BP235" i="21"/>
  <c r="BO235" i="21"/>
  <c r="BP227" i="21"/>
  <c r="BS219" i="21"/>
  <c r="BQ208" i="21"/>
  <c r="BQ209" i="21" s="1"/>
  <c r="BO209" i="21" s="1"/>
  <c r="BS206" i="21"/>
  <c r="BP202" i="21"/>
  <c r="BU201" i="21"/>
  <c r="BU206" i="21" s="1"/>
  <c r="BR201" i="21"/>
  <c r="BQ201" i="21"/>
  <c r="BP195" i="21"/>
  <c r="BQ174" i="21"/>
  <c r="BQ172" i="21"/>
  <c r="BM139" i="21"/>
  <c r="BL139" i="21"/>
  <c r="BK139" i="21"/>
  <c r="BJ139" i="21"/>
  <c r="BJ120" i="21"/>
  <c r="BJ100" i="21"/>
  <c r="BS63" i="21"/>
  <c r="BR49" i="21"/>
  <c r="BQ49" i="21"/>
  <c r="BP49" i="21"/>
  <c r="BO48" i="21"/>
  <c r="BK47" i="21"/>
  <c r="BK46" i="21"/>
  <c r="BK45" i="21"/>
  <c r="BK44" i="21"/>
  <c r="BK43" i="21"/>
  <c r="BK42" i="21"/>
  <c r="BK41" i="21"/>
  <c r="BK40" i="21"/>
  <c r="BK39" i="21"/>
  <c r="BK38" i="21"/>
  <c r="BK37" i="21"/>
  <c r="BK36" i="21"/>
  <c r="BQ26" i="21"/>
  <c r="BU2" i="21"/>
  <c r="BT2" i="21"/>
  <c r="BS2" i="21"/>
  <c r="BR2" i="21"/>
  <c r="BQ2" i="21"/>
  <c r="BP2" i="21"/>
  <c r="BO2" i="21"/>
  <c r="BM2" i="21"/>
  <c r="BL2" i="21"/>
  <c r="BK2" i="21"/>
  <c r="BJ2" i="21"/>
  <c r="BY1" i="21"/>
  <c r="BX1" i="21"/>
  <c r="BU1" i="21"/>
  <c r="BT1" i="21"/>
  <c r="BS1" i="21"/>
  <c r="BR1" i="21"/>
  <c r="BQ1" i="21"/>
  <c r="BP1" i="21"/>
  <c r="BO1" i="21"/>
  <c r="BM1" i="21"/>
  <c r="BL1" i="21"/>
  <c r="BK1" i="21"/>
  <c r="BJ1" i="21"/>
  <c r="J53" i="21" l="1" a="1"/>
  <c r="J53" i="21" s="1"/>
  <c r="AK10" i="21"/>
  <c r="G10" i="21"/>
  <c r="AZ45" i="21"/>
  <c r="AZ91" i="21"/>
  <c r="AZ78" i="21"/>
  <c r="AZ37" i="21"/>
  <c r="AZ23" i="21"/>
  <c r="AZ92" i="21"/>
  <c r="W53" i="21"/>
  <c r="W83" i="21"/>
  <c r="AZ10" i="21"/>
  <c r="AZ81" i="21"/>
  <c r="V85" i="21"/>
  <c r="W85" i="21"/>
  <c r="AZ68" i="21"/>
  <c r="AZ58" i="21"/>
  <c r="AZ40" i="21"/>
  <c r="AZ53" i="21"/>
  <c r="AZ60" i="21"/>
  <c r="V92" i="21"/>
  <c r="AZ20" i="21"/>
  <c r="AZ47" i="21"/>
  <c r="AZ73" i="21"/>
  <c r="AZ84" i="21"/>
  <c r="AK63" i="21"/>
  <c r="W70" i="21"/>
  <c r="V93" i="21"/>
  <c r="AZ97" i="21"/>
  <c r="W93" i="21"/>
  <c r="AZ42" i="21"/>
  <c r="AZ55" i="21"/>
  <c r="AZ75" i="21"/>
  <c r="AZ29" i="21"/>
  <c r="AZ49" i="21"/>
  <c r="AZ76" i="21"/>
  <c r="AZ33" i="21"/>
  <c r="AZ96" i="21"/>
  <c r="V70" i="21"/>
  <c r="W92" i="21"/>
  <c r="AZ21" i="21"/>
  <c r="M13" i="21"/>
  <c r="W64" i="21"/>
  <c r="V83" i="21"/>
  <c r="AZ43" i="21"/>
  <c r="AZ65" i="21"/>
  <c r="AZ89" i="21"/>
  <c r="AZ100" i="21"/>
  <c r="BA80" i="21"/>
  <c r="AK55" i="21"/>
  <c r="BA20" i="21"/>
  <c r="V77" i="21"/>
  <c r="V94" i="21" s="1"/>
  <c r="V84" i="21"/>
  <c r="AK20" i="21"/>
  <c r="AK26" i="21"/>
  <c r="AK32" i="21"/>
  <c r="AK46" i="21"/>
  <c r="BA59" i="21"/>
  <c r="BA97" i="21"/>
  <c r="V33" i="21"/>
  <c r="V66" i="21"/>
  <c r="W77" i="21"/>
  <c r="W94" i="21" s="1"/>
  <c r="W84" i="21"/>
  <c r="BA38" i="21"/>
  <c r="BA67" i="21"/>
  <c r="W26" i="21"/>
  <c r="W33" i="21"/>
  <c r="V53" i="21"/>
  <c r="AK47" i="21"/>
  <c r="AK57" i="21"/>
  <c r="BA27" i="21"/>
  <c r="BA75" i="21"/>
  <c r="BA83" i="21"/>
  <c r="BA99" i="21"/>
  <c r="W73" i="21"/>
  <c r="W79" i="21"/>
  <c r="AK40" i="21"/>
  <c r="AK59" i="21"/>
  <c r="BA45" i="21"/>
  <c r="BA50" i="21"/>
  <c r="BA69" i="21"/>
  <c r="BA100" i="21"/>
  <c r="BA96" i="21"/>
  <c r="BA81" i="21"/>
  <c r="AK27" i="21"/>
  <c r="V63" i="21"/>
  <c r="V87" i="21"/>
  <c r="AK50" i="21"/>
  <c r="BA40" i="21"/>
  <c r="BA85" i="21"/>
  <c r="BA31" i="21"/>
  <c r="BA42" i="21"/>
  <c r="BA58" i="21"/>
  <c r="AK37" i="21"/>
  <c r="AK68" i="21"/>
  <c r="V67" i="21"/>
  <c r="V73" i="21"/>
  <c r="V79" i="21"/>
  <c r="BA55" i="21"/>
  <c r="W63" i="21"/>
  <c r="V80" i="21"/>
  <c r="AK23" i="21"/>
  <c r="AK29" i="21"/>
  <c r="AK35" i="21"/>
  <c r="BA23" i="21"/>
  <c r="BA29" i="21"/>
  <c r="AZ70" i="21"/>
  <c r="BA78" i="21"/>
  <c r="AZ94" i="21"/>
  <c r="BA101" i="21"/>
  <c r="AK31" i="21"/>
  <c r="AK54" i="21"/>
  <c r="AK64" i="21"/>
  <c r="BA107" i="21"/>
  <c r="BA33" i="21"/>
  <c r="BA68" i="21"/>
  <c r="W67" i="21"/>
  <c r="AK34" i="21"/>
  <c r="BA84" i="21"/>
  <c r="V74" i="21"/>
  <c r="W80" i="21"/>
  <c r="AK42" i="21"/>
  <c r="AK51" i="21"/>
  <c r="AZ46" i="21"/>
  <c r="AZ51" i="21"/>
  <c r="BA70" i="21"/>
  <c r="AZ86" i="21"/>
  <c r="BA94" i="21"/>
  <c r="BA103" i="21"/>
  <c r="BA65" i="21"/>
  <c r="BA73" i="21"/>
  <c r="BA89" i="21"/>
  <c r="AK21" i="21"/>
  <c r="AK39" i="21"/>
  <c r="BA91" i="21"/>
  <c r="W69" i="21"/>
  <c r="W74" i="21"/>
  <c r="V89" i="21"/>
  <c r="AK43" i="21"/>
  <c r="AK62" i="21"/>
  <c r="BA10" i="21"/>
  <c r="AZ36" i="21"/>
  <c r="BA46" i="21"/>
  <c r="BA51" i="21"/>
  <c r="AZ64" i="21"/>
  <c r="BA86" i="21"/>
  <c r="AZ102" i="21"/>
  <c r="BA49" i="21"/>
  <c r="AK58" i="21"/>
  <c r="AK49" i="21"/>
  <c r="BO208" i="21"/>
  <c r="V64" i="21"/>
  <c r="W89" i="21"/>
  <c r="AK24" i="21"/>
  <c r="AK36" i="21"/>
  <c r="BA24" i="21"/>
  <c r="BA36" i="21"/>
  <c r="BA64" i="21"/>
  <c r="AZ80" i="21"/>
  <c r="BA102" i="21"/>
  <c r="U70" i="21"/>
  <c r="U58" i="21"/>
  <c r="W76" i="21"/>
  <c r="W88" i="21"/>
  <c r="AZ27" i="21"/>
  <c r="AZ31" i="21"/>
  <c r="BA35" i="21"/>
  <c r="BA44" i="21"/>
  <c r="BA48" i="21"/>
  <c r="BA62" i="21"/>
  <c r="AZ67" i="21"/>
  <c r="BA72" i="21"/>
  <c r="AZ83" i="21"/>
  <c r="BA88" i="21"/>
  <c r="AZ99" i="21"/>
  <c r="AZ107" i="21"/>
  <c r="AZ32" i="21"/>
  <c r="AZ63" i="21"/>
  <c r="AZ79" i="21"/>
  <c r="AZ95" i="21"/>
  <c r="AK30" i="21"/>
  <c r="AK48" i="21"/>
  <c r="AK56" i="21"/>
  <c r="AK66" i="21"/>
  <c r="BA28" i="21"/>
  <c r="BA32" i="21"/>
  <c r="BA54" i="21"/>
  <c r="BA63" i="21"/>
  <c r="AZ74" i="21"/>
  <c r="BA79" i="21"/>
  <c r="AZ90" i="21"/>
  <c r="BA95" i="21"/>
  <c r="AZ28" i="21"/>
  <c r="AK41" i="21"/>
  <c r="AK67" i="21"/>
  <c r="AZ24" i="21"/>
  <c r="AZ59" i="21"/>
  <c r="AZ69" i="21"/>
  <c r="BA74" i="21"/>
  <c r="AZ85" i="21"/>
  <c r="BA90" i="21"/>
  <c r="AZ101" i="21"/>
  <c r="AB56" i="21"/>
  <c r="BA21" i="21"/>
  <c r="AZ26" i="21"/>
  <c r="AZ30" i="21"/>
  <c r="BA34" i="21"/>
  <c r="BA43" i="21"/>
  <c r="BA47" i="21"/>
  <c r="AZ56" i="21"/>
  <c r="AZ61" i="21"/>
  <c r="AZ71" i="21"/>
  <c r="BA76" i="21"/>
  <c r="AZ87" i="21"/>
  <c r="BA92" i="21"/>
  <c r="AZ105" i="21"/>
  <c r="W66" i="21"/>
  <c r="W87" i="21"/>
  <c r="AK38" i="21"/>
  <c r="AK44" i="21"/>
  <c r="AK52" i="21"/>
  <c r="AK60" i="21"/>
  <c r="BA26" i="21"/>
  <c r="BA30" i="21"/>
  <c r="AZ39" i="21"/>
  <c r="BA56" i="21"/>
  <c r="BA61" i="21"/>
  <c r="AZ66" i="21"/>
  <c r="BA71" i="21"/>
  <c r="AZ82" i="21"/>
  <c r="BA87" i="21"/>
  <c r="AZ98" i="21"/>
  <c r="BA105" i="21"/>
  <c r="V71" i="21"/>
  <c r="V81" i="21"/>
  <c r="AK22" i="21"/>
  <c r="AK33" i="21"/>
  <c r="AL38" i="21"/>
  <c r="BA39" i="21"/>
  <c r="AZ52" i="21"/>
  <c r="BA66" i="21"/>
  <c r="AZ77" i="21"/>
  <c r="BA82" i="21"/>
  <c r="AZ93" i="21"/>
  <c r="BA98" i="21"/>
  <c r="AZ106" i="21"/>
  <c r="W71" i="21"/>
  <c r="V76" i="21"/>
  <c r="W81" i="21"/>
  <c r="V88" i="21"/>
  <c r="AK28" i="21"/>
  <c r="AK45" i="21"/>
  <c r="AK53" i="21"/>
  <c r="AK61" i="21"/>
  <c r="BA22" i="21"/>
  <c r="AZ35" i="21"/>
  <c r="AZ44" i="21"/>
  <c r="AZ48" i="21"/>
  <c r="BA52" i="21"/>
  <c r="AZ62" i="21"/>
  <c r="AZ72" i="21"/>
  <c r="BA77" i="21"/>
  <c r="AZ88" i="21"/>
  <c r="BA93" i="21"/>
  <c r="BA106" i="21"/>
  <c r="AY100" i="21"/>
  <c r="AY96" i="21"/>
  <c r="AY92" i="21"/>
  <c r="AY88" i="21"/>
  <c r="AY84" i="21"/>
  <c r="AY80" i="21"/>
  <c r="AY76" i="21"/>
  <c r="AY72" i="21"/>
  <c r="AY68" i="21"/>
  <c r="AY64" i="21"/>
  <c r="AY51" i="21"/>
  <c r="AY35" i="21"/>
  <c r="AY41" i="21"/>
  <c r="AY25" i="21"/>
  <c r="AY46" i="21"/>
  <c r="AY30" i="21"/>
  <c r="AY49" i="21"/>
  <c r="AY33" i="21"/>
  <c r="AY52" i="21"/>
  <c r="AY26" i="21"/>
  <c r="AY18" i="21"/>
  <c r="AY45" i="21"/>
  <c r="AY17" i="21"/>
  <c r="AY54" i="21"/>
  <c r="AY38" i="21"/>
  <c r="AY22" i="21"/>
  <c r="AY104" i="21"/>
  <c r="AY57" i="21"/>
  <c r="AY60" i="21"/>
  <c r="AY44" i="21"/>
  <c r="AY28" i="21"/>
  <c r="AY15" i="21"/>
  <c r="AY24" i="21"/>
  <c r="AY12" i="21"/>
  <c r="AY102" i="21"/>
  <c r="AY98" i="21"/>
  <c r="AY94" i="21"/>
  <c r="AY90" i="21"/>
  <c r="AY86" i="21"/>
  <c r="AY82" i="21"/>
  <c r="AY78" i="21"/>
  <c r="AY74" i="21"/>
  <c r="AY70" i="21"/>
  <c r="AY66" i="21"/>
  <c r="AY20" i="21"/>
  <c r="AY105" i="21"/>
  <c r="AY61" i="21"/>
  <c r="AY48" i="21"/>
  <c r="AY32" i="21"/>
  <c r="AY99" i="21"/>
  <c r="AY95" i="21"/>
  <c r="AY91" i="21"/>
  <c r="AY87" i="21"/>
  <c r="AY83" i="21"/>
  <c r="AY79" i="21"/>
  <c r="AY75" i="21"/>
  <c r="AY71" i="21"/>
  <c r="AY67" i="21"/>
  <c r="AY63" i="21"/>
  <c r="AY47" i="21"/>
  <c r="AY31" i="21"/>
  <c r="AY14" i="21"/>
  <c r="AY103" i="21"/>
  <c r="AY50" i="21"/>
  <c r="AY34" i="21"/>
  <c r="AY53" i="21"/>
  <c r="AY37" i="21"/>
  <c r="AY21" i="21"/>
  <c r="AY13" i="21"/>
  <c r="AY56" i="21"/>
  <c r="AY40" i="21"/>
  <c r="AY59" i="21"/>
  <c r="AY43" i="21"/>
  <c r="AY27" i="21"/>
  <c r="AY11" i="21"/>
  <c r="AY107" i="21"/>
  <c r="AY62" i="21"/>
  <c r="AY36" i="21"/>
  <c r="AY10" i="21"/>
  <c r="AY106" i="21"/>
  <c r="AY101" i="21"/>
  <c r="AY97" i="21"/>
  <c r="AY93" i="21"/>
  <c r="AY89" i="21"/>
  <c r="AY85" i="21"/>
  <c r="AY81" i="21"/>
  <c r="AY77" i="21"/>
  <c r="AY73" i="21"/>
  <c r="AY69" i="21"/>
  <c r="AY65" i="21"/>
  <c r="AY55" i="21"/>
  <c r="AY39" i="21"/>
  <c r="AY23" i="21"/>
  <c r="AY19" i="21"/>
  <c r="AY58" i="21"/>
  <c r="AY42" i="21"/>
  <c r="AY29" i="21"/>
  <c r="BF13" i="21"/>
  <c r="AZ34" i="21"/>
  <c r="BA37" i="21"/>
  <c r="AZ50" i="21"/>
  <c r="BA53" i="21"/>
  <c r="AZ103" i="21"/>
  <c r="AZ25" i="21"/>
  <c r="AZ41" i="21"/>
  <c r="AZ57" i="21"/>
  <c r="BA60" i="21"/>
  <c r="AZ104" i="21"/>
  <c r="AZ22" i="21"/>
  <c r="BA25" i="21"/>
  <c r="AZ38" i="21"/>
  <c r="BA41" i="21"/>
  <c r="BA57" i="21"/>
  <c r="AQ13" i="21"/>
  <c r="AJ16" i="21"/>
  <c r="AL45" i="21"/>
  <c r="AL25" i="21"/>
  <c r="AL53" i="21"/>
  <c r="AL35" i="21"/>
  <c r="AL61" i="21"/>
  <c r="AL65" i="21"/>
  <c r="AL41" i="21"/>
  <c r="AL28" i="21"/>
  <c r="AL40" i="21"/>
  <c r="AL31" i="21"/>
  <c r="AL60" i="21"/>
  <c r="AL56" i="21"/>
  <c r="AL52" i="21"/>
  <c r="AL48" i="21"/>
  <c r="AL44" i="21"/>
  <c r="AL34" i="21"/>
  <c r="AL64" i="21"/>
  <c r="AL37" i="21"/>
  <c r="AL21" i="21"/>
  <c r="AL24" i="21"/>
  <c r="AL27" i="21"/>
  <c r="AL63" i="21"/>
  <c r="AL59" i="21"/>
  <c r="AL55" i="21"/>
  <c r="AL51" i="21"/>
  <c r="AL47" i="21"/>
  <c r="AL30" i="21"/>
  <c r="AL68" i="21"/>
  <c r="AL33" i="21"/>
  <c r="AL36" i="21"/>
  <c r="AL20" i="21"/>
  <c r="AL10" i="21"/>
  <c r="AL43" i="21"/>
  <c r="AL39" i="21"/>
  <c r="AL23" i="21"/>
  <c r="AL67" i="21"/>
  <c r="AL62" i="21"/>
  <c r="AL58" i="21"/>
  <c r="AL54" i="21"/>
  <c r="AL50" i="21"/>
  <c r="AL46" i="21"/>
  <c r="AL26" i="21"/>
  <c r="AL29" i="21"/>
  <c r="AL42" i="21"/>
  <c r="AL32" i="21"/>
  <c r="AL49" i="21"/>
  <c r="AL57" i="21"/>
  <c r="AL66" i="21"/>
  <c r="AK65" i="21"/>
  <c r="V46" i="21"/>
  <c r="V42" i="21"/>
  <c r="V38" i="21"/>
  <c r="V28" i="21"/>
  <c r="V31" i="21"/>
  <c r="V34" i="21"/>
  <c r="V51" i="21" s="1"/>
  <c r="V21" i="21"/>
  <c r="V50" i="21"/>
  <c r="V45" i="21"/>
  <c r="V41" i="21"/>
  <c r="V37" i="21"/>
  <c r="V24" i="21"/>
  <c r="V27" i="21"/>
  <c r="V35" i="21"/>
  <c r="V47" i="21"/>
  <c r="W31" i="21"/>
  <c r="W34" i="21"/>
  <c r="W51" i="21" s="1"/>
  <c r="W21" i="21"/>
  <c r="W50" i="21"/>
  <c r="W45" i="21"/>
  <c r="W41" i="21"/>
  <c r="W37" i="21"/>
  <c r="W24" i="21"/>
  <c r="W27" i="21"/>
  <c r="W30" i="21"/>
  <c r="W35" i="21"/>
  <c r="W47" i="21"/>
  <c r="U66" i="21"/>
  <c r="U62" i="21"/>
  <c r="U69" i="21"/>
  <c r="U61" i="21"/>
  <c r="U72" i="21"/>
  <c r="U60" i="21"/>
  <c r="U75" i="21" s="1"/>
  <c r="U65" i="21"/>
  <c r="U74" i="21"/>
  <c r="U16" i="21"/>
  <c r="AB13" i="21"/>
  <c r="V23" i="21"/>
  <c r="W42" i="21"/>
  <c r="V48" i="21"/>
  <c r="W23" i="21"/>
  <c r="V36" i="21"/>
  <c r="W48" i="21"/>
  <c r="V32" i="21"/>
  <c r="W36" i="21"/>
  <c r="U63" i="21"/>
  <c r="U67" i="21"/>
  <c r="U71" i="21"/>
  <c r="W28" i="21"/>
  <c r="W32" i="21"/>
  <c r="V43" i="21"/>
  <c r="V49" i="21"/>
  <c r="V20" i="21"/>
  <c r="W43" i="21"/>
  <c r="W49" i="21"/>
  <c r="W20" i="21"/>
  <c r="W38" i="21"/>
  <c r="U53" i="21"/>
  <c r="V25" i="21"/>
  <c r="V29" i="21"/>
  <c r="V44" i="21"/>
  <c r="U64" i="21"/>
  <c r="U68" i="21"/>
  <c r="W25" i="21"/>
  <c r="W29" i="21"/>
  <c r="V39" i="21"/>
  <c r="W44" i="21"/>
  <c r="U54" i="21"/>
  <c r="V10" i="21"/>
  <c r="W39" i="21"/>
  <c r="U55" i="21"/>
  <c r="U73" i="21"/>
  <c r="W10" i="21"/>
  <c r="U56" i="21"/>
  <c r="V22" i="21"/>
  <c r="W46" i="21"/>
  <c r="W22" i="21"/>
  <c r="V26" i="21"/>
  <c r="V30" i="21"/>
  <c r="V40" i="21"/>
  <c r="U57" i="21"/>
  <c r="V68" i="21"/>
  <c r="V65" i="21"/>
  <c r="W68" i="21"/>
  <c r="V90" i="21"/>
  <c r="W65" i="21"/>
  <c r="V78" i="21"/>
  <c r="V82" i="21"/>
  <c r="V86" i="21"/>
  <c r="W90" i="21"/>
  <c r="V75" i="21"/>
  <c r="W78" i="21"/>
  <c r="W82" i="21"/>
  <c r="W86" i="21"/>
  <c r="V72" i="21"/>
  <c r="W75" i="21"/>
  <c r="V91" i="21"/>
  <c r="W72" i="21"/>
  <c r="G38" i="21"/>
  <c r="G29" i="21"/>
  <c r="G30" i="21"/>
  <c r="G23" i="21"/>
  <c r="J105" i="21" a="1"/>
  <c r="J105" i="21" s="1"/>
  <c r="G24" i="21"/>
  <c r="G26" i="21"/>
  <c r="G34" i="21"/>
  <c r="G35" i="21"/>
  <c r="H27" i="21"/>
  <c r="G31" i="21"/>
  <c r="G20" i="21"/>
  <c r="G33" i="21"/>
  <c r="G21" i="21"/>
  <c r="G27" i="21"/>
  <c r="G22" i="21"/>
  <c r="G37" i="21"/>
  <c r="F22" i="21"/>
  <c r="F36" i="21"/>
  <c r="F32" i="21"/>
  <c r="F28" i="21"/>
  <c r="F25" i="21"/>
  <c r="F15" i="21"/>
  <c r="F14" i="21"/>
  <c r="F35" i="21"/>
  <c r="F31" i="21"/>
  <c r="F21" i="21"/>
  <c r="F13" i="21"/>
  <c r="F24" i="21"/>
  <c r="F12" i="21"/>
  <c r="F27" i="21"/>
  <c r="F11" i="21"/>
  <c r="F34" i="21"/>
  <c r="F30" i="21"/>
  <c r="F20" i="21"/>
  <c r="F10" i="21"/>
  <c r="F38" i="21"/>
  <c r="F23" i="21"/>
  <c r="F19" i="21"/>
  <c r="F26" i="21"/>
  <c r="F18" i="21"/>
  <c r="F33" i="21"/>
  <c r="F29" i="21"/>
  <c r="F17" i="21"/>
  <c r="F37" i="21"/>
  <c r="H25" i="21"/>
  <c r="H28" i="21"/>
  <c r="H32" i="21"/>
  <c r="H36" i="21"/>
  <c r="H22" i="21"/>
  <c r="H37" i="21"/>
  <c r="H29" i="21"/>
  <c r="H33" i="21"/>
  <c r="H26" i="21"/>
  <c r="H23" i="21"/>
  <c r="H38" i="21"/>
  <c r="H10" i="21"/>
  <c r="H20" i="21"/>
  <c r="H30" i="21"/>
  <c r="H34" i="21"/>
  <c r="H24" i="21"/>
  <c r="H21" i="21"/>
  <c r="H31" i="21"/>
  <c r="G25" i="21"/>
  <c r="G28" i="21"/>
  <c r="G32" i="21"/>
  <c r="BY3" i="21"/>
  <c r="BQ210" i="21"/>
  <c r="BO210" i="21" s="1"/>
  <c r="U76" i="21" l="1"/>
  <c r="U33" i="21"/>
  <c r="AJ38" i="21"/>
  <c r="AJ22" i="21"/>
  <c r="AJ34" i="21"/>
  <c r="AJ25" i="21"/>
  <c r="AJ28" i="21"/>
  <c r="AJ15" i="21"/>
  <c r="AJ31" i="21"/>
  <c r="AJ14" i="21"/>
  <c r="AJ37" i="21"/>
  <c r="AJ21" i="21"/>
  <c r="AJ13" i="21"/>
  <c r="AJ24" i="21"/>
  <c r="AJ12" i="21"/>
  <c r="AJ27" i="21"/>
  <c r="AJ11" i="21"/>
  <c r="AJ30" i="21"/>
  <c r="AJ33" i="21"/>
  <c r="AJ36" i="21"/>
  <c r="AJ20" i="21"/>
  <c r="AJ10" i="21"/>
  <c r="AJ39" i="21"/>
  <c r="AJ23" i="21"/>
  <c r="AJ19" i="21"/>
  <c r="AJ26" i="21"/>
  <c r="AJ18" i="21"/>
  <c r="AJ29" i="21"/>
  <c r="AJ32" i="21"/>
  <c r="AJ35" i="21"/>
  <c r="AJ17" i="21"/>
  <c r="U25" i="21"/>
  <c r="U28" i="21"/>
  <c r="U15" i="21"/>
  <c r="U31" i="21"/>
  <c r="U14" i="21"/>
  <c r="U21" i="21"/>
  <c r="U13" i="21"/>
  <c r="U12" i="21"/>
  <c r="U30" i="21"/>
  <c r="U26" i="21"/>
  <c r="U11" i="21"/>
  <c r="U22" i="21"/>
  <c r="U10" i="21"/>
  <c r="U29" i="21"/>
  <c r="U24" i="21"/>
  <c r="U20" i="21"/>
  <c r="U19" i="21"/>
  <c r="U18" i="21"/>
  <c r="U27" i="21"/>
  <c r="U17" i="21"/>
  <c r="U32" i="21" s="1"/>
  <c r="U23" i="21"/>
  <c r="U87" i="21"/>
  <c r="U83" i="21"/>
  <c r="U79" i="21"/>
  <c r="U91" i="21"/>
  <c r="U86" i="21"/>
  <c r="U82" i="21"/>
  <c r="U78" i="21"/>
  <c r="U90" i="21"/>
  <c r="U88" i="21"/>
  <c r="U77" i="21"/>
  <c r="U94" i="21" s="1"/>
  <c r="U81" i="21"/>
  <c r="U93" i="21"/>
  <c r="U85" i="21"/>
  <c r="U80" i="21"/>
  <c r="U92" i="21"/>
  <c r="U89" i="21"/>
  <c r="U84" i="21"/>
  <c r="BQ211" i="21"/>
  <c r="BQ212" i="21" s="1"/>
  <c r="BO212" i="21" s="1"/>
  <c r="AJ61" i="21" l="1"/>
  <c r="AJ57" i="21"/>
  <c r="AJ53" i="21"/>
  <c r="AJ49" i="21"/>
  <c r="AJ45" i="21"/>
  <c r="AJ60" i="21"/>
  <c r="AJ56" i="21"/>
  <c r="AJ52" i="21"/>
  <c r="AJ48" i="21"/>
  <c r="AJ44" i="21"/>
  <c r="AJ65" i="21"/>
  <c r="AJ41" i="21"/>
  <c r="AJ64" i="21"/>
  <c r="AJ40" i="21"/>
  <c r="AJ63" i="21"/>
  <c r="AJ59" i="21"/>
  <c r="AJ55" i="21"/>
  <c r="AJ51" i="21"/>
  <c r="AJ47" i="21"/>
  <c r="AJ68" i="21"/>
  <c r="AJ43" i="21"/>
  <c r="AJ67" i="21"/>
  <c r="AJ62" i="21"/>
  <c r="AJ58" i="21"/>
  <c r="AJ54" i="21"/>
  <c r="AJ50" i="21"/>
  <c r="AJ46" i="21"/>
  <c r="AJ66" i="21"/>
  <c r="AJ42" i="21"/>
  <c r="U46" i="21"/>
  <c r="U42" i="21"/>
  <c r="U38" i="21"/>
  <c r="U34" i="21"/>
  <c r="U51" i="21" s="1"/>
  <c r="U50" i="21"/>
  <c r="U45" i="21"/>
  <c r="U41" i="21"/>
  <c r="U37" i="21"/>
  <c r="U47" i="21"/>
  <c r="U35" i="21"/>
  <c r="U40" i="21"/>
  <c r="U39" i="21"/>
  <c r="U44" i="21"/>
  <c r="U49" i="21"/>
  <c r="U43" i="21"/>
  <c r="U36" i="21"/>
  <c r="U48" i="21"/>
  <c r="BO211" i="21"/>
  <c r="BQ213" i="21"/>
  <c r="BO213" i="21" s="1"/>
  <c r="BX4" i="21" l="1"/>
  <c r="BX3" i="21"/>
  <c r="BX5" i="21"/>
  <c r="AN286" i="19" l="1"/>
  <c r="AL286" i="19"/>
  <c r="E231" i="19"/>
  <c r="B171" i="19"/>
  <c r="B166" i="19"/>
  <c r="F139" i="19"/>
  <c r="G139" i="19" s="1"/>
  <c r="O138" i="19"/>
  <c r="F138" i="19"/>
  <c r="G138" i="19" s="1"/>
  <c r="Y8" i="19"/>
  <c r="AM7" i="19"/>
  <c r="AM6" i="19"/>
  <c r="AN1" i="19"/>
  <c r="AM1" i="19"/>
  <c r="A1" i="19"/>
  <c r="H218" i="18"/>
  <c r="E214" i="18"/>
  <c r="E210" i="18"/>
  <c r="E209" i="18"/>
  <c r="T7" i="18"/>
  <c r="D7" i="18"/>
  <c r="T5" i="18"/>
  <c r="AC190" i="17"/>
  <c r="AA190" i="17"/>
  <c r="AC3" i="17" s="1"/>
  <c r="K159" i="17"/>
  <c r="J159" i="17"/>
  <c r="I159" i="17"/>
  <c r="H159" i="17"/>
  <c r="G159" i="17"/>
  <c r="F159" i="17"/>
  <c r="E159" i="17"/>
  <c r="D159" i="17"/>
  <c r="C159" i="17"/>
  <c r="B159" i="17"/>
  <c r="F154" i="17"/>
  <c r="F156" i="17" s="1"/>
  <c r="F153" i="17"/>
  <c r="F146" i="17" a="1"/>
  <c r="F146" i="17" s="1"/>
  <c r="F145" i="17"/>
  <c r="C116" i="17"/>
  <c r="G93" i="17"/>
  <c r="B93" i="17"/>
  <c r="Q67" i="17"/>
  <c r="Q58" i="17"/>
  <c r="AB7" i="17"/>
  <c r="AB6" i="17"/>
  <c r="L3" i="17"/>
  <c r="AC1" i="17"/>
  <c r="AB1" i="17"/>
  <c r="A89" i="16"/>
  <c r="A88" i="16"/>
  <c r="A87" i="16"/>
  <c r="A85" i="16"/>
  <c r="A84" i="16"/>
  <c r="A82" i="16"/>
  <c r="A81" i="16"/>
  <c r="A80" i="16"/>
  <c r="A78" i="16"/>
  <c r="A77" i="16"/>
  <c r="A75" i="16"/>
  <c r="A74" i="16"/>
  <c r="A73" i="16"/>
  <c r="A71" i="16"/>
  <c r="A70" i="16"/>
  <c r="A64" i="16"/>
  <c r="AS408" i="15"/>
  <c r="AQ408" i="15"/>
  <c r="AO406" i="15"/>
  <c r="AN406" i="15"/>
  <c r="AM406" i="15"/>
  <c r="AL406" i="15"/>
  <c r="AK406" i="15"/>
  <c r="AJ406" i="15"/>
  <c r="AH406" i="15"/>
  <c r="AG406" i="15"/>
  <c r="AF406" i="15"/>
  <c r="AE406" i="15"/>
  <c r="AD406" i="15"/>
  <c r="AC406" i="15"/>
  <c r="AA406" i="15"/>
  <c r="Z406" i="15"/>
  <c r="Y406" i="15"/>
  <c r="X406" i="15"/>
  <c r="W406" i="15"/>
  <c r="V406" i="15"/>
  <c r="Q12" i="15"/>
  <c r="AR7" i="15"/>
  <c r="AR6" i="15"/>
  <c r="AO2" i="15"/>
  <c r="AN2" i="15"/>
  <c r="AM2" i="15"/>
  <c r="AL2" i="15"/>
  <c r="AK2" i="15"/>
  <c r="AJ2" i="15"/>
  <c r="AH2" i="15"/>
  <c r="AG2" i="15"/>
  <c r="AF2" i="15"/>
  <c r="AE2" i="15"/>
  <c r="AD2" i="15"/>
  <c r="AC2" i="15"/>
  <c r="Z2" i="15"/>
  <c r="Y2" i="15"/>
  <c r="X2" i="15"/>
  <c r="W2" i="15"/>
  <c r="V2" i="15"/>
  <c r="T2" i="15"/>
  <c r="S2" i="15"/>
  <c r="R2" i="15"/>
  <c r="Q2" i="15"/>
  <c r="P2" i="15"/>
  <c r="O2" i="15"/>
  <c r="N2" i="15"/>
  <c r="M2" i="15"/>
  <c r="L2" i="15"/>
  <c r="K2" i="15"/>
  <c r="I2" i="15"/>
  <c r="H2" i="15"/>
  <c r="F2" i="15"/>
  <c r="E2" i="15"/>
  <c r="C2" i="15"/>
  <c r="B2" i="15"/>
  <c r="AS1" i="15"/>
  <c r="AR1" i="15"/>
  <c r="AO1" i="15"/>
  <c r="AN1" i="15"/>
  <c r="AM1" i="15"/>
  <c r="AL1" i="15"/>
  <c r="AK1" i="15"/>
  <c r="AJ1" i="15"/>
  <c r="AH1" i="15"/>
  <c r="AG1" i="15"/>
  <c r="AF1" i="15"/>
  <c r="AE1" i="15"/>
  <c r="AD1" i="15"/>
  <c r="AC1" i="15"/>
  <c r="Z1" i="15"/>
  <c r="Y1" i="15"/>
  <c r="X1" i="15"/>
  <c r="W1" i="15"/>
  <c r="V1" i="15"/>
  <c r="T1" i="15"/>
  <c r="S1" i="15"/>
  <c r="R1" i="15"/>
  <c r="Q1" i="15"/>
  <c r="P1" i="15"/>
  <c r="O1" i="15"/>
  <c r="N1" i="15"/>
  <c r="M1" i="15"/>
  <c r="L1" i="15"/>
  <c r="K1" i="15"/>
  <c r="I1" i="15"/>
  <c r="H1" i="15"/>
  <c r="F1" i="15"/>
  <c r="E1" i="15"/>
  <c r="C1" i="15"/>
  <c r="B1" i="15"/>
  <c r="A1" i="15"/>
  <c r="Q163" i="14"/>
  <c r="Q3" i="14" s="1"/>
  <c r="A134" i="14"/>
  <c r="N125" i="14"/>
  <c r="P125" i="14" s="1"/>
  <c r="N124" i="14"/>
  <c r="P124" i="14" s="1"/>
  <c r="N123" i="14"/>
  <c r="P123" i="14" s="1"/>
  <c r="N122" i="14"/>
  <c r="P122" i="14" s="1"/>
  <c r="N121" i="14"/>
  <c r="P121" i="14" s="1"/>
  <c r="N120" i="14"/>
  <c r="P120" i="14" s="1"/>
  <c r="N119" i="14"/>
  <c r="P119" i="14" s="1"/>
  <c r="N118" i="14"/>
  <c r="P118" i="14" s="1"/>
  <c r="N117" i="14"/>
  <c r="P117" i="14" s="1"/>
  <c r="F117" i="14"/>
  <c r="N116" i="14"/>
  <c r="P116" i="14" s="1"/>
  <c r="J115" i="14"/>
  <c r="P112" i="14" s="1"/>
  <c r="F114" i="14"/>
  <c r="K112" i="14"/>
  <c r="J109" i="14"/>
  <c r="J80" i="14" s="1"/>
  <c r="I109" i="14"/>
  <c r="B109" i="14"/>
  <c r="C80" i="14" s="1"/>
  <c r="A109" i="14"/>
  <c r="A76" i="14"/>
  <c r="B74" i="14"/>
  <c r="C74" i="14" s="1"/>
  <c r="B71" i="14"/>
  <c r="C71" i="14" s="1"/>
  <c r="K67" i="14"/>
  <c r="L67" i="14" s="1"/>
  <c r="L64" i="14"/>
  <c r="C63" i="14"/>
  <c r="C64" i="14" s="1"/>
  <c r="C62" i="14"/>
  <c r="K59" i="14"/>
  <c r="J17" i="14" s="1"/>
  <c r="B59" i="14"/>
  <c r="C17" i="14" s="1"/>
  <c r="J58" i="14"/>
  <c r="A58" i="14"/>
  <c r="L54" i="14"/>
  <c r="L55" i="14" s="1"/>
  <c r="C54" i="14"/>
  <c r="C55" i="14" s="1"/>
  <c r="K51" i="14"/>
  <c r="J14" i="14" s="1"/>
  <c r="B51" i="14"/>
  <c r="C14" i="14" s="1"/>
  <c r="J50" i="14"/>
  <c r="A50" i="14"/>
  <c r="N44" i="14"/>
  <c r="E44" i="14"/>
  <c r="P43" i="14"/>
  <c r="P44" i="14" s="1"/>
  <c r="N43" i="14"/>
  <c r="L43" i="14"/>
  <c r="L44" i="14" s="1"/>
  <c r="G43" i="14"/>
  <c r="G44" i="14" s="1"/>
  <c r="E43" i="14"/>
  <c r="C43" i="14"/>
  <c r="C44" i="14" s="1"/>
  <c r="P40" i="14"/>
  <c r="P39" i="14" s="1"/>
  <c r="G40" i="14"/>
  <c r="G39" i="14" s="1"/>
  <c r="N39" i="14"/>
  <c r="N40" i="14" s="1"/>
  <c r="L39" i="14"/>
  <c r="L40" i="14" s="1"/>
  <c r="E39" i="14"/>
  <c r="E40" i="14" s="1"/>
  <c r="C39" i="14"/>
  <c r="C40" i="14" s="1"/>
  <c r="K36" i="14"/>
  <c r="J11" i="14" s="1"/>
  <c r="J36" i="14"/>
  <c r="B36" i="14"/>
  <c r="C11" i="14" s="1"/>
  <c r="A36" i="14"/>
  <c r="G30" i="14"/>
  <c r="G29" i="14" s="1"/>
  <c r="J29" i="14"/>
  <c r="J30" i="14" s="1"/>
  <c r="D29" i="14"/>
  <c r="D30" i="14" s="1"/>
  <c r="G25" i="14"/>
  <c r="D25" i="14"/>
  <c r="J24" i="14"/>
  <c r="J25" i="14" s="1"/>
  <c r="G24" i="14"/>
  <c r="D24" i="14"/>
  <c r="B21" i="14"/>
  <c r="C8" i="14" s="1"/>
  <c r="A21" i="14"/>
  <c r="Q6" i="14"/>
  <c r="A2" i="14"/>
  <c r="AA495" i="13"/>
  <c r="U2" i="13" s="1"/>
  <c r="I487" i="13"/>
  <c r="I488" i="13" s="1"/>
  <c r="H487" i="13"/>
  <c r="H488" i="13" s="1"/>
  <c r="G487" i="13"/>
  <c r="G488" i="13" s="1"/>
  <c r="F487" i="13"/>
  <c r="F488" i="13" s="1"/>
  <c r="J484" i="13"/>
  <c r="B480" i="13"/>
  <c r="J41" i="13" s="1"/>
  <c r="A480" i="13"/>
  <c r="C467" i="13"/>
  <c r="B467" i="13"/>
  <c r="C465" i="13" s="1"/>
  <c r="B447" i="13"/>
  <c r="J38" i="13" s="1"/>
  <c r="A447" i="13"/>
  <c r="K441" i="13"/>
  <c r="K439" i="13"/>
  <c r="K437" i="13"/>
  <c r="G435" i="13"/>
  <c r="F435" i="13"/>
  <c r="E435" i="13"/>
  <c r="D435" i="13"/>
  <c r="C435" i="13"/>
  <c r="K433" i="13"/>
  <c r="K432" i="13"/>
  <c r="K431" i="13"/>
  <c r="K430" i="13"/>
  <c r="K429" i="13"/>
  <c r="K425" i="13"/>
  <c r="I422" i="13"/>
  <c r="F422" i="13"/>
  <c r="B420" i="13"/>
  <c r="B417" i="13"/>
  <c r="J35" i="13" s="1"/>
  <c r="A417" i="13"/>
  <c r="F413" i="13"/>
  <c r="E412" i="13"/>
  <c r="F404" i="13"/>
  <c r="F411" i="13" s="1"/>
  <c r="G411" i="13" s="1"/>
  <c r="J411" i="13" s="1"/>
  <c r="B403" i="13"/>
  <c r="J32" i="13" s="1"/>
  <c r="A403" i="13"/>
  <c r="K394" i="13"/>
  <c r="G394" i="13"/>
  <c r="B394" i="13"/>
  <c r="M391" i="13"/>
  <c r="K393" i="13" s="1"/>
  <c r="M393" i="13" s="1"/>
  <c r="I391" i="13"/>
  <c r="G393" i="13" s="1"/>
  <c r="H393" i="13" s="1"/>
  <c r="D391" i="13"/>
  <c r="B393" i="13" s="1"/>
  <c r="C393" i="13" s="1"/>
  <c r="N390" i="13"/>
  <c r="J390" i="13"/>
  <c r="B383" i="13"/>
  <c r="J29" i="13" s="1"/>
  <c r="A383" i="13"/>
  <c r="B382" i="13"/>
  <c r="B378" i="13"/>
  <c r="F373" i="13"/>
  <c r="B356" i="13"/>
  <c r="J23" i="13" s="1"/>
  <c r="A356" i="13"/>
  <c r="B355" i="13"/>
  <c r="C351" i="13"/>
  <c r="N345" i="13"/>
  <c r="I347" i="13" s="1"/>
  <c r="I350" i="13" s="1"/>
  <c r="E344" i="13"/>
  <c r="E351" i="13" s="1"/>
  <c r="H343" i="13"/>
  <c r="J26" i="13" s="1"/>
  <c r="G343" i="13"/>
  <c r="B343" i="13"/>
  <c r="C47" i="13" s="1"/>
  <c r="A343" i="13"/>
  <c r="C337" i="13"/>
  <c r="K330" i="13"/>
  <c r="J330" i="13"/>
  <c r="I330" i="13"/>
  <c r="H330" i="13"/>
  <c r="G330" i="13"/>
  <c r="M329" i="13"/>
  <c r="K327" i="13"/>
  <c r="J327" i="13"/>
  <c r="I327" i="13"/>
  <c r="H327" i="13"/>
  <c r="G327" i="13"/>
  <c r="M326" i="13"/>
  <c r="K326" i="13"/>
  <c r="K329" i="13" s="1"/>
  <c r="J326" i="13"/>
  <c r="J329" i="13" s="1"/>
  <c r="I326" i="13"/>
  <c r="I329" i="13" s="1"/>
  <c r="H326" i="13"/>
  <c r="H329" i="13" s="1"/>
  <c r="G326" i="13"/>
  <c r="G329" i="13" s="1"/>
  <c r="L325" i="13"/>
  <c r="K319" i="13"/>
  <c r="J319" i="13"/>
  <c r="I319" i="13"/>
  <c r="H319" i="13"/>
  <c r="G319" i="13"/>
  <c r="L318" i="13"/>
  <c r="B306" i="13"/>
  <c r="C44" i="13" s="1"/>
  <c r="A306" i="13"/>
  <c r="C300" i="13"/>
  <c r="K293" i="13"/>
  <c r="J293" i="13"/>
  <c r="I293" i="13"/>
  <c r="H293" i="13"/>
  <c r="G293" i="13"/>
  <c r="M292" i="13"/>
  <c r="K290" i="13"/>
  <c r="J290" i="13"/>
  <c r="I290" i="13"/>
  <c r="H290" i="13"/>
  <c r="G290" i="13"/>
  <c r="M289" i="13"/>
  <c r="K289" i="13"/>
  <c r="K292" i="13" s="1"/>
  <c r="J289" i="13"/>
  <c r="J292" i="13" s="1"/>
  <c r="I289" i="13"/>
  <c r="I292" i="13" s="1"/>
  <c r="H289" i="13"/>
  <c r="H292" i="13" s="1"/>
  <c r="G289" i="13"/>
  <c r="G292" i="13" s="1"/>
  <c r="L288" i="13"/>
  <c r="L287" i="13"/>
  <c r="B276" i="13"/>
  <c r="C41" i="13" s="1"/>
  <c r="A276" i="13"/>
  <c r="Q269" i="13"/>
  <c r="Q268" i="13"/>
  <c r="D266" i="13"/>
  <c r="D265" i="13"/>
  <c r="D264" i="13"/>
  <c r="D263" i="13"/>
  <c r="Q262" i="13"/>
  <c r="D262" i="13"/>
  <c r="Q261" i="13"/>
  <c r="D261" i="13"/>
  <c r="D260" i="13"/>
  <c r="D259" i="13"/>
  <c r="D258" i="13"/>
  <c r="D257" i="13"/>
  <c r="D256" i="13"/>
  <c r="D255" i="13"/>
  <c r="Q253" i="13"/>
  <c r="Q252" i="13"/>
  <c r="D252" i="13"/>
  <c r="M248" i="13"/>
  <c r="J20" i="13" s="1"/>
  <c r="B248" i="13"/>
  <c r="C38" i="13" s="1"/>
  <c r="A248" i="13"/>
  <c r="H244" i="13"/>
  <c r="G244" i="13"/>
  <c r="E244" i="13"/>
  <c r="J244" i="13" s="1"/>
  <c r="B239" i="13"/>
  <c r="C35" i="13" s="1"/>
  <c r="A239" i="13"/>
  <c r="T238" i="13"/>
  <c r="R238" i="13"/>
  <c r="Q238" i="13"/>
  <c r="T237" i="13"/>
  <c r="S237" i="13"/>
  <c r="U237" i="13" s="1"/>
  <c r="Z234" i="13"/>
  <c r="N231" i="13"/>
  <c r="J17" i="13" s="1"/>
  <c r="M231" i="13"/>
  <c r="E231" i="13"/>
  <c r="B231" i="13"/>
  <c r="D231" i="13" s="1"/>
  <c r="P227" i="13"/>
  <c r="O227" i="13"/>
  <c r="N227" i="13"/>
  <c r="N219" i="13"/>
  <c r="J14" i="13" s="1"/>
  <c r="M219" i="13"/>
  <c r="B219" i="13"/>
  <c r="C32" i="13" s="1"/>
  <c r="A219" i="13"/>
  <c r="D210" i="13"/>
  <c r="C208" i="13"/>
  <c r="D207" i="13"/>
  <c r="C205" i="13"/>
  <c r="D209" i="13" s="1"/>
  <c r="E209" i="13" s="1"/>
  <c r="E204" i="13"/>
  <c r="D206" i="13" s="1"/>
  <c r="R203" i="13"/>
  <c r="N203" i="13"/>
  <c r="K203" i="13"/>
  <c r="N202" i="13" s="1"/>
  <c r="Q201" i="13"/>
  <c r="M201" i="13"/>
  <c r="R202" i="13" s="1"/>
  <c r="S202" i="13" s="1"/>
  <c r="H200" i="13"/>
  <c r="J11" i="13" s="1"/>
  <c r="G200" i="13"/>
  <c r="B200" i="13"/>
  <c r="C29" i="13" s="1"/>
  <c r="A200" i="13"/>
  <c r="C191" i="13"/>
  <c r="C189" i="13"/>
  <c r="K188" i="13"/>
  <c r="N187" i="13" s="1"/>
  <c r="E188" i="13"/>
  <c r="D190" i="13" s="1"/>
  <c r="Q186" i="13"/>
  <c r="M186" i="13"/>
  <c r="R187" i="13" s="1"/>
  <c r="S187" i="13" s="1"/>
  <c r="H185" i="13"/>
  <c r="J8" i="13" s="1"/>
  <c r="G185" i="13"/>
  <c r="B185" i="13"/>
  <c r="C26" i="13" s="1"/>
  <c r="A185" i="13"/>
  <c r="C180" i="13"/>
  <c r="G174" i="13"/>
  <c r="F174" i="13"/>
  <c r="J174" i="13" s="1"/>
  <c r="F172" i="13"/>
  <c r="J170" i="13"/>
  <c r="B170" i="13"/>
  <c r="C23" i="13" s="1"/>
  <c r="A170" i="13"/>
  <c r="C166" i="13"/>
  <c r="I161" i="13"/>
  <c r="G161" i="13"/>
  <c r="F161" i="13"/>
  <c r="J161" i="13" s="1"/>
  <c r="G159" i="13"/>
  <c r="K157" i="13"/>
  <c r="B157" i="13"/>
  <c r="C20" i="13" s="1"/>
  <c r="A157" i="13"/>
  <c r="I145" i="13"/>
  <c r="H152" i="13" s="1"/>
  <c r="G145" i="13"/>
  <c r="H150" i="13" s="1"/>
  <c r="F145" i="13"/>
  <c r="H149" i="13" s="1"/>
  <c r="F144" i="13"/>
  <c r="H148" i="13" s="1"/>
  <c r="F142" i="13"/>
  <c r="E142" i="13"/>
  <c r="D142" i="13"/>
  <c r="C142" i="13"/>
  <c r="F141" i="13"/>
  <c r="K140" i="13" s="1"/>
  <c r="E141" i="13"/>
  <c r="I140" i="13" s="1"/>
  <c r="B136" i="13"/>
  <c r="C17" i="13" s="1"/>
  <c r="A136" i="13"/>
  <c r="B121" i="13"/>
  <c r="C14" i="13" s="1"/>
  <c r="A121" i="13"/>
  <c r="M115" i="13"/>
  <c r="L115" i="13"/>
  <c r="O115" i="13" s="1"/>
  <c r="M114" i="13"/>
  <c r="L114" i="13"/>
  <c r="O114" i="13" s="1"/>
  <c r="P114" i="13" s="1"/>
  <c r="M113" i="13"/>
  <c r="L113" i="13"/>
  <c r="O113" i="13" s="1"/>
  <c r="M111" i="13"/>
  <c r="L111" i="13"/>
  <c r="O111" i="13" s="1"/>
  <c r="P111" i="13" s="1"/>
  <c r="M110" i="13"/>
  <c r="L110" i="13"/>
  <c r="O110" i="13" s="1"/>
  <c r="M109" i="13"/>
  <c r="L109" i="13"/>
  <c r="O109" i="13" s="1"/>
  <c r="P109" i="13" s="1"/>
  <c r="M108" i="13"/>
  <c r="L108" i="13"/>
  <c r="L106" i="13"/>
  <c r="B101" i="13"/>
  <c r="C11" i="13" s="1"/>
  <c r="A101" i="13"/>
  <c r="B71" i="13"/>
  <c r="C8" i="13" s="1"/>
  <c r="A70" i="13"/>
  <c r="J54" i="13"/>
  <c r="J5" i="13" s="1"/>
  <c r="B54" i="13"/>
  <c r="C5" i="13" s="1"/>
  <c r="I53" i="13"/>
  <c r="A53" i="13"/>
  <c r="Q4" i="13"/>
  <c r="A2" i="13"/>
  <c r="AU132" i="11"/>
  <c r="AS132" i="11"/>
  <c r="Z86" i="11"/>
  <c r="Z87" i="11" s="1"/>
  <c r="Z88" i="11" s="1"/>
  <c r="Z80" i="11"/>
  <c r="Z81" i="11" s="1"/>
  <c r="Z82" i="11" s="1"/>
  <c r="T77" i="11"/>
  <c r="T78" i="11" s="1"/>
  <c r="T79" i="11" s="1"/>
  <c r="T80" i="11" s="1"/>
  <c r="T81" i="11" s="1"/>
  <c r="T82" i="11" s="1"/>
  <c r="T83" i="11" s="1"/>
  <c r="Z73" i="11"/>
  <c r="Z74" i="11" s="1"/>
  <c r="Z75" i="11" s="1"/>
  <c r="Z76" i="11" s="1"/>
  <c r="T73" i="11"/>
  <c r="Z69" i="11"/>
  <c r="Z67" i="11"/>
  <c r="W66" i="11"/>
  <c r="Z65" i="11"/>
  <c r="Z63" i="11"/>
  <c r="N62" i="11"/>
  <c r="N63" i="11" s="1"/>
  <c r="N64" i="11" s="1"/>
  <c r="N65" i="11" s="1"/>
  <c r="N66" i="11" s="1"/>
  <c r="N67" i="11" s="1"/>
  <c r="N68" i="11" s="1"/>
  <c r="N69" i="11" s="1"/>
  <c r="N70" i="11" s="1"/>
  <c r="N71" i="11" s="1"/>
  <c r="N72" i="11" s="1"/>
  <c r="N73" i="11" s="1"/>
  <c r="N74" i="11" s="1"/>
  <c r="N75" i="11" s="1"/>
  <c r="N76" i="11" s="1"/>
  <c r="N77" i="11" s="1"/>
  <c r="N78" i="11" s="1"/>
  <c r="N79" i="11" s="1"/>
  <c r="N80" i="11" s="1"/>
  <c r="N81" i="11" s="1"/>
  <c r="N82" i="11" s="1"/>
  <c r="N83" i="11" s="1"/>
  <c r="H60" i="11"/>
  <c r="H61" i="11" s="1"/>
  <c r="H62" i="11" s="1"/>
  <c r="H63" i="11" s="1"/>
  <c r="H64" i="11" s="1"/>
  <c r="H65" i="11" s="1"/>
  <c r="H66" i="11" s="1"/>
  <c r="H67" i="11" s="1"/>
  <c r="H68" i="11" s="1"/>
  <c r="W58" i="11"/>
  <c r="W59" i="11" s="1"/>
  <c r="Z55" i="11"/>
  <c r="E52" i="11"/>
  <c r="E53" i="11" s="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E81" i="11" s="1"/>
  <c r="E82" i="11" s="1"/>
  <c r="E83" i="11" s="1"/>
  <c r="T51" i="11"/>
  <c r="T52" i="11" s="1"/>
  <c r="T53" i="11" s="1"/>
  <c r="T54" i="11" s="1"/>
  <c r="T55" i="11" s="1"/>
  <c r="T56" i="11" s="1"/>
  <c r="T57" i="11" s="1"/>
  <c r="T58" i="11" s="1"/>
  <c r="T59" i="11" s="1"/>
  <c r="T60" i="11" s="1"/>
  <c r="T61" i="11" s="1"/>
  <c r="T62" i="11" s="1"/>
  <c r="T63" i="11" s="1"/>
  <c r="T64" i="11" s="1"/>
  <c r="T65" i="11" s="1"/>
  <c r="T66" i="11" s="1"/>
  <c r="W50" i="11"/>
  <c r="W51" i="11" s="1"/>
  <c r="W52" i="11" s="1"/>
  <c r="W53" i="11" s="1"/>
  <c r="W54" i="11" s="1"/>
  <c r="H49" i="11"/>
  <c r="H50" i="11" s="1"/>
  <c r="H51" i="11" s="1"/>
  <c r="H52" i="11" s="1"/>
  <c r="H53" i="11" s="1"/>
  <c r="Z48" i="11"/>
  <c r="T45" i="11"/>
  <c r="T46" i="11" s="1"/>
  <c r="T47" i="11" s="1"/>
  <c r="K45" i="11"/>
  <c r="K46" i="11" s="1"/>
  <c r="K47" i="11" s="1"/>
  <c r="K48" i="11" s="1"/>
  <c r="K49" i="11" s="1"/>
  <c r="K50" i="11" s="1"/>
  <c r="K51" i="11" s="1"/>
  <c r="K52" i="11" s="1"/>
  <c r="K53" i="11" s="1"/>
  <c r="K54" i="11" s="1"/>
  <c r="K55" i="11" s="1"/>
  <c r="K56" i="11" s="1"/>
  <c r="K57" i="11" s="1"/>
  <c r="K58" i="11" s="1"/>
  <c r="K59" i="11" s="1"/>
  <c r="K60" i="11" s="1"/>
  <c r="K61" i="11" s="1"/>
  <c r="K62" i="11" s="1"/>
  <c r="K63" i="11" s="1"/>
  <c r="K64" i="11" s="1"/>
  <c r="K65" i="11" s="1"/>
  <c r="K66" i="11" s="1"/>
  <c r="K67" i="11" s="1"/>
  <c r="K68" i="11" s="1"/>
  <c r="K69" i="11" s="1"/>
  <c r="K70" i="11" s="1"/>
  <c r="K71" i="11" s="1"/>
  <c r="K72" i="11" s="1"/>
  <c r="K73" i="11" s="1"/>
  <c r="K74" i="11" s="1"/>
  <c r="K75" i="11" s="1"/>
  <c r="K76" i="11" s="1"/>
  <c r="K77" i="11" s="1"/>
  <c r="K78" i="11" s="1"/>
  <c r="Z44" i="11"/>
  <c r="B44" i="1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H43" i="11"/>
  <c r="H44" i="11" s="1"/>
  <c r="H45" i="11" s="1"/>
  <c r="Z39" i="11"/>
  <c r="Z40" i="11" s="1"/>
  <c r="K38" i="11"/>
  <c r="W34" i="11"/>
  <c r="W35" i="11" s="1"/>
  <c r="W36" i="11" s="1"/>
  <c r="W37" i="11" s="1"/>
  <c r="W38" i="11" s="1"/>
  <c r="W39" i="11" s="1"/>
  <c r="W40" i="11" s="1"/>
  <c r="W41" i="11" s="1"/>
  <c r="W42" i="11" s="1"/>
  <c r="W43" i="11" s="1"/>
  <c r="W44" i="11" s="1"/>
  <c r="W45" i="11" s="1"/>
  <c r="W46" i="11" s="1"/>
  <c r="Q33" i="11"/>
  <c r="Q34" i="11" s="1"/>
  <c r="Q35" i="11" s="1"/>
  <c r="Q36" i="11" s="1"/>
  <c r="B32" i="11"/>
  <c r="B33" i="11" s="1"/>
  <c r="B34" i="11" s="1"/>
  <c r="B35" i="11" s="1"/>
  <c r="B36" i="11" s="1"/>
  <c r="B37" i="11" s="1"/>
  <c r="B38" i="11" s="1"/>
  <c r="B39" i="11" s="1"/>
  <c r="B40" i="11" s="1"/>
  <c r="Z31" i="11"/>
  <c r="Z32" i="11" s="1"/>
  <c r="Z33" i="11" s="1"/>
  <c r="Z34" i="11" s="1"/>
  <c r="Z35" i="11" s="1"/>
  <c r="H31" i="11"/>
  <c r="H32" i="11" s="1"/>
  <c r="H33" i="11" s="1"/>
  <c r="H34" i="11" s="1"/>
  <c r="H35" i="11" s="1"/>
  <c r="H36" i="11" s="1"/>
  <c r="H37" i="11" s="1"/>
  <c r="H38" i="11" s="1"/>
  <c r="H39" i="11" s="1"/>
  <c r="Q29" i="11"/>
  <c r="W26" i="11"/>
  <c r="W27" i="11" s="1"/>
  <c r="W28" i="11" s="1"/>
  <c r="W29" i="11" s="1"/>
  <c r="W30" i="11" s="1"/>
  <c r="T25" i="11"/>
  <c r="T26" i="11" s="1"/>
  <c r="T27" i="11" s="1"/>
  <c r="T28" i="11" s="1"/>
  <c r="T29" i="11" s="1"/>
  <c r="T30" i="11" s="1"/>
  <c r="T31" i="11" s="1"/>
  <c r="T32" i="11" s="1"/>
  <c r="T33" i="11" s="1"/>
  <c r="T34" i="11" s="1"/>
  <c r="T35" i="11" s="1"/>
  <c r="T36" i="11" s="1"/>
  <c r="T37" i="11" s="1"/>
  <c r="T38" i="11" s="1"/>
  <c r="T39" i="11" s="1"/>
  <c r="T40" i="11" s="1"/>
  <c r="T41" i="11" s="1"/>
  <c r="W21" i="11"/>
  <c r="W22" i="11" s="1"/>
  <c r="W17" i="11"/>
  <c r="Z16" i="11"/>
  <c r="Z17" i="11" s="1"/>
  <c r="Z18" i="11" s="1"/>
  <c r="Z19" i="11" s="1"/>
  <c r="Z20" i="11" s="1"/>
  <c r="Z21" i="11" s="1"/>
  <c r="Z22" i="11" s="1"/>
  <c r="Z23" i="11" s="1"/>
  <c r="Z24" i="11" s="1"/>
  <c r="Z11" i="11"/>
  <c r="Z9" i="11"/>
  <c r="N9" i="11"/>
  <c r="N10" i="11" s="1"/>
  <c r="N11" i="11" s="1"/>
  <c r="N12" i="11" s="1"/>
  <c r="N13" i="11" s="1"/>
  <c r="N14" i="11" s="1"/>
  <c r="N15" i="11" s="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W8" i="11"/>
  <c r="W9" i="11" s="1"/>
  <c r="W10" i="11" s="1"/>
  <c r="W11" i="11" s="1"/>
  <c r="W12" i="11" s="1"/>
  <c r="W13" i="11" s="1"/>
  <c r="AT7" i="11"/>
  <c r="AT6" i="11"/>
  <c r="AC5" i="11"/>
  <c r="AC6" i="11" s="1"/>
  <c r="AC7" i="11" s="1"/>
  <c r="AC8" i="11" s="1"/>
  <c r="AC9" i="11" s="1"/>
  <c r="AC10" i="11" s="1"/>
  <c r="AC11" i="11" s="1"/>
  <c r="AC12" i="11" s="1"/>
  <c r="AC13" i="11" s="1"/>
  <c r="AC14" i="11" s="1"/>
  <c r="AC15" i="11" s="1"/>
  <c r="AC16" i="11" s="1"/>
  <c r="AC17" i="11" s="1"/>
  <c r="AC18" i="11" s="1"/>
  <c r="AC19" i="11" s="1"/>
  <c r="AC20" i="11" s="1"/>
  <c r="AC21" i="11" s="1"/>
  <c r="AC22" i="11" s="1"/>
  <c r="AC23" i="11" s="1"/>
  <c r="AC24" i="11" s="1"/>
  <c r="AC25" i="11" s="1"/>
  <c r="AC26" i="11" s="1"/>
  <c r="AC27" i="11" s="1"/>
  <c r="AC28" i="11" s="1"/>
  <c r="AC29" i="11" s="1"/>
  <c r="AC30" i="11" s="1"/>
  <c r="AC31" i="11" s="1"/>
  <c r="AC32" i="11" s="1"/>
  <c r="AC33" i="11" s="1"/>
  <c r="AC34" i="11" s="1"/>
  <c r="T5" i="11"/>
  <c r="T6" i="11" s="1"/>
  <c r="T7" i="11" s="1"/>
  <c r="T8" i="11" s="1"/>
  <c r="T9" i="11" s="1"/>
  <c r="T10" i="11" s="1"/>
  <c r="T11" i="11" s="1"/>
  <c r="T12" i="11" s="1"/>
  <c r="T13" i="11" s="1"/>
  <c r="T14" i="11" s="1"/>
  <c r="T15" i="11" s="1"/>
  <c r="T16" i="11" s="1"/>
  <c r="T17" i="11" s="1"/>
  <c r="T18" i="11" s="1"/>
  <c r="Q5" i="11"/>
  <c r="Q6" i="11" s="1"/>
  <c r="Q7" i="11" s="1"/>
  <c r="Q8" i="11" s="1"/>
  <c r="Q9" i="11" s="1"/>
  <c r="Q10" i="11" s="1"/>
  <c r="Q11" i="11" s="1"/>
  <c r="Q12" i="11" s="1"/>
  <c r="Q13" i="11" s="1"/>
  <c r="Q14" i="11" s="1"/>
  <c r="Q15" i="11" s="1"/>
  <c r="Q16" i="11" s="1"/>
  <c r="Q17" i="11" s="1"/>
  <c r="Q18" i="11" s="1"/>
  <c r="Q19" i="11" s="1"/>
  <c r="Q20" i="11" s="1"/>
  <c r="Q21" i="11" s="1"/>
  <c r="Q22" i="11" s="1"/>
  <c r="Q23" i="11" s="1"/>
  <c r="Q24" i="11" s="1"/>
  <c r="Q25" i="11" s="1"/>
  <c r="K5" i="11"/>
  <c r="K6" i="11" s="1"/>
  <c r="K7" i="11" s="1"/>
  <c r="K8" i="11" s="1"/>
  <c r="K9" i="11" s="1"/>
  <c r="K10" i="11" s="1"/>
  <c r="K11" i="11" s="1"/>
  <c r="K12" i="11" s="1"/>
  <c r="K13" i="11" s="1"/>
  <c r="K14" i="11" s="1"/>
  <c r="K15" i="11" s="1"/>
  <c r="K16" i="11" s="1"/>
  <c r="K17" i="11" s="1"/>
  <c r="K18" i="11" s="1"/>
  <c r="K19" i="11" s="1"/>
  <c r="K20" i="11" s="1"/>
  <c r="K21" i="11" s="1"/>
  <c r="K22" i="11" s="1"/>
  <c r="K23" i="11" s="1"/>
  <c r="K24" i="11" s="1"/>
  <c r="K25" i="11" s="1"/>
  <c r="K26" i="11" s="1"/>
  <c r="K27" i="11" s="1"/>
  <c r="K28" i="11" s="1"/>
  <c r="K29" i="11" s="1"/>
  <c r="K30" i="11" s="1"/>
  <c r="K31" i="11" s="1"/>
  <c r="K32" i="11" s="1"/>
  <c r="K33" i="11" s="1"/>
  <c r="K34" i="11" s="1"/>
  <c r="H5" i="11"/>
  <c r="H6" i="11" s="1"/>
  <c r="H7" i="11" s="1"/>
  <c r="H8" i="11" s="1"/>
  <c r="H9" i="11" s="1"/>
  <c r="H10" i="11" s="1"/>
  <c r="H11" i="11" s="1"/>
  <c r="H12" i="11" s="1"/>
  <c r="H13" i="11" s="1"/>
  <c r="H14" i="11" s="1"/>
  <c r="H15" i="11" s="1"/>
  <c r="H16" i="11" s="1"/>
  <c r="H17" i="11" s="1"/>
  <c r="H18" i="11" s="1"/>
  <c r="H19" i="11" s="1"/>
  <c r="H20" i="11" s="1"/>
  <c r="H21" i="11" s="1"/>
  <c r="H22" i="11" s="1"/>
  <c r="H23" i="11" s="1"/>
  <c r="H24" i="11" s="1"/>
  <c r="H25" i="11" s="1"/>
  <c r="H26" i="11" s="1"/>
  <c r="H27" i="11" s="1"/>
  <c r="E5" i="11"/>
  <c r="E6" i="11" s="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E43" i="11" s="1"/>
  <c r="E44" i="11" s="1"/>
  <c r="E45" i="11" s="1"/>
  <c r="E46" i="11" s="1"/>
  <c r="E47" i="11" s="1"/>
  <c r="E48" i="11" s="1"/>
  <c r="B5" i="11"/>
  <c r="B6" i="11" s="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AU1" i="11"/>
  <c r="AT1" i="11"/>
  <c r="A1" i="11"/>
  <c r="AQ113" i="10"/>
  <c r="AO113" i="10"/>
  <c r="AP7" i="10"/>
  <c r="AP6" i="10"/>
  <c r="AM2" i="10"/>
  <c r="AL2" i="10"/>
  <c r="AJ2" i="10"/>
  <c r="AH2" i="10"/>
  <c r="AF2" i="10"/>
  <c r="AD2" i="10"/>
  <c r="AB2" i="10"/>
  <c r="Z2" i="10"/>
  <c r="X2" i="10"/>
  <c r="V2" i="10"/>
  <c r="T2" i="10"/>
  <c r="R2" i="10"/>
  <c r="P2" i="10"/>
  <c r="N2" i="10"/>
  <c r="L2" i="10"/>
  <c r="J2" i="10"/>
  <c r="H2" i="10"/>
  <c r="F2" i="10"/>
  <c r="D2" i="10"/>
  <c r="B2" i="10"/>
  <c r="AQ1" i="10"/>
  <c r="AP1" i="10"/>
  <c r="AM1" i="10"/>
  <c r="AL1" i="10"/>
  <c r="AJ1" i="10"/>
  <c r="AH1" i="10"/>
  <c r="AF1" i="10"/>
  <c r="AD1" i="10"/>
  <c r="AB1" i="10"/>
  <c r="Z1" i="10"/>
  <c r="X1" i="10"/>
  <c r="V1" i="10"/>
  <c r="T1" i="10"/>
  <c r="R1" i="10"/>
  <c r="P1" i="10"/>
  <c r="N1" i="10"/>
  <c r="L1" i="10"/>
  <c r="J1" i="10"/>
  <c r="H1" i="10"/>
  <c r="F1" i="10"/>
  <c r="D1" i="10"/>
  <c r="B1" i="10"/>
  <c r="A1" i="10"/>
  <c r="BY362" i="8"/>
  <c r="BW362" i="8"/>
  <c r="BV361" i="8"/>
  <c r="W351" i="8"/>
  <c r="W350" i="8"/>
  <c r="U349" i="8"/>
  <c r="U350" i="8" s="1"/>
  <c r="W346" i="8"/>
  <c r="W347" i="8" s="1"/>
  <c r="U346" i="8"/>
  <c r="U347" i="8" s="1"/>
  <c r="W328" i="8"/>
  <c r="R330" i="8" s="1"/>
  <c r="W327" i="8"/>
  <c r="R329" i="8" s="1"/>
  <c r="W311" i="8"/>
  <c r="V311" i="8"/>
  <c r="U311" i="8"/>
  <c r="S311" i="8"/>
  <c r="R311" i="8"/>
  <c r="BD309" i="8"/>
  <c r="BG309" i="8" s="1"/>
  <c r="R309" i="8"/>
  <c r="BD308" i="8"/>
  <c r="BG308" i="8" s="1"/>
  <c r="W308" i="8"/>
  <c r="V308" i="8"/>
  <c r="U308" i="8"/>
  <c r="S308" i="8"/>
  <c r="R308" i="8"/>
  <c r="BD307" i="8"/>
  <c r="BG307" i="8" s="1"/>
  <c r="BD306" i="8"/>
  <c r="BG306" i="8" s="1"/>
  <c r="R306" i="8"/>
  <c r="BG299" i="8"/>
  <c r="BG298" i="8"/>
  <c r="BE297" i="8"/>
  <c r="BE298" i="8" s="1"/>
  <c r="U297" i="8"/>
  <c r="U296" i="8"/>
  <c r="U295" i="8"/>
  <c r="BG294" i="8"/>
  <c r="BG295" i="8" s="1"/>
  <c r="BE294" i="8"/>
  <c r="BE295" i="8" s="1"/>
  <c r="U294" i="8"/>
  <c r="U293" i="8"/>
  <c r="U292" i="8"/>
  <c r="U291" i="8"/>
  <c r="U290" i="8"/>
  <c r="AR289" i="8"/>
  <c r="AU289" i="8" s="1"/>
  <c r="U289" i="8"/>
  <c r="AR288" i="8"/>
  <c r="AU288" i="8" s="1"/>
  <c r="V288" i="8"/>
  <c r="AR287" i="8"/>
  <c r="AU287" i="8" s="1"/>
  <c r="AR286" i="8"/>
  <c r="AU286" i="8" s="1"/>
  <c r="BG283" i="8"/>
  <c r="BB285" i="8" s="1"/>
  <c r="BG282" i="8"/>
  <c r="BB284" i="8" s="1"/>
  <c r="AU279" i="8"/>
  <c r="S279" i="8"/>
  <c r="AU278" i="8"/>
  <c r="AS277" i="8"/>
  <c r="AS278" i="8" s="1"/>
  <c r="AU274" i="8"/>
  <c r="AU275" i="8" s="1"/>
  <c r="AS274" i="8"/>
  <c r="AS275" i="8" s="1"/>
  <c r="BG272" i="8"/>
  <c r="BF272" i="8"/>
  <c r="BE272" i="8"/>
  <c r="BC272" i="8"/>
  <c r="BB272" i="8"/>
  <c r="BB270" i="8"/>
  <c r="BG269" i="8"/>
  <c r="BF269" i="8"/>
  <c r="BE269" i="8"/>
  <c r="BC269" i="8"/>
  <c r="BB269" i="8"/>
  <c r="AF269" i="8"/>
  <c r="AI269" i="8" s="1"/>
  <c r="AF268" i="8"/>
  <c r="AI268" i="8" s="1"/>
  <c r="BB267" i="8"/>
  <c r="AF267" i="8"/>
  <c r="AI267" i="8" s="1"/>
  <c r="AF266" i="8"/>
  <c r="AI266" i="8" s="1"/>
  <c r="AU263" i="8"/>
  <c r="AP265" i="8" s="1"/>
  <c r="AU262" i="8"/>
  <c r="AP264" i="8" s="1"/>
  <c r="BB261" i="8"/>
  <c r="AI259" i="8"/>
  <c r="AI258" i="8"/>
  <c r="AG257" i="8"/>
  <c r="AG258" i="8" s="1"/>
  <c r="AI254" i="8"/>
  <c r="AI255" i="8" s="1"/>
  <c r="AG254" i="8"/>
  <c r="AG255" i="8" s="1"/>
  <c r="BC253" i="8"/>
  <c r="AU252" i="8"/>
  <c r="AT252" i="8"/>
  <c r="AS252" i="8"/>
  <c r="AQ252" i="8"/>
  <c r="AP252" i="8"/>
  <c r="AP250" i="8"/>
  <c r="AU249" i="8"/>
  <c r="AT249" i="8"/>
  <c r="AS249" i="8"/>
  <c r="AQ249" i="8"/>
  <c r="AP249" i="8"/>
  <c r="AP247" i="8"/>
  <c r="AI243" i="8"/>
  <c r="AD245" i="8" s="1"/>
  <c r="AI242" i="8"/>
  <c r="AD244" i="8" s="1"/>
  <c r="AP241" i="8"/>
  <c r="BU235" i="8"/>
  <c r="BT235" i="8"/>
  <c r="BS235" i="8"/>
  <c r="BR235" i="8"/>
  <c r="BQ235" i="8"/>
  <c r="BP235" i="8"/>
  <c r="BO235" i="8"/>
  <c r="T234" i="8"/>
  <c r="W234" i="8" s="1"/>
  <c r="BE233" i="8"/>
  <c r="AQ233" i="8"/>
  <c r="T233" i="8"/>
  <c r="W233" i="8" s="1"/>
  <c r="BE232" i="8"/>
  <c r="AI232" i="8"/>
  <c r="AH232" i="8"/>
  <c r="AG232" i="8"/>
  <c r="AE232" i="8"/>
  <c r="AD232" i="8"/>
  <c r="T232" i="8"/>
  <c r="W232" i="8" s="1"/>
  <c r="BE231" i="8"/>
  <c r="T231" i="8"/>
  <c r="W231" i="8" s="1"/>
  <c r="BE230" i="8"/>
  <c r="AD230" i="8"/>
  <c r="BE229" i="8"/>
  <c r="AI229" i="8"/>
  <c r="AH229" i="8"/>
  <c r="AG229" i="8"/>
  <c r="AE229" i="8"/>
  <c r="AD229" i="8"/>
  <c r="BE228" i="8"/>
  <c r="BP227" i="8"/>
  <c r="BE227" i="8"/>
  <c r="AD227" i="8"/>
  <c r="BE226" i="8"/>
  <c r="BE225" i="8"/>
  <c r="BF224" i="8"/>
  <c r="AD221" i="8"/>
  <c r="BS219" i="8"/>
  <c r="AS213" i="8"/>
  <c r="AE213" i="8"/>
  <c r="R213" i="8"/>
  <c r="AS212" i="8"/>
  <c r="AS211" i="8"/>
  <c r="AS210" i="8"/>
  <c r="AS209" i="8"/>
  <c r="BQ208" i="8"/>
  <c r="BO208" i="8" s="1"/>
  <c r="AS208" i="8"/>
  <c r="AS207" i="8"/>
  <c r="BS206" i="8"/>
  <c r="AS206" i="8"/>
  <c r="AS205" i="8"/>
  <c r="AT204" i="8"/>
  <c r="BP202" i="8"/>
  <c r="BU201" i="8"/>
  <c r="BU206" i="8" s="1"/>
  <c r="BR201" i="8"/>
  <c r="BQ201" i="8"/>
  <c r="BC201" i="8"/>
  <c r="K200" i="8"/>
  <c r="F202" i="8" s="1"/>
  <c r="K199" i="8"/>
  <c r="F201" i="8" s="1"/>
  <c r="S196" i="8"/>
  <c r="BP195" i="8"/>
  <c r="K195" i="8"/>
  <c r="F194" i="8"/>
  <c r="E194" i="8"/>
  <c r="E188" i="8" s="1"/>
  <c r="D194" i="8"/>
  <c r="D188" i="8" s="1"/>
  <c r="AG193" i="8"/>
  <c r="AG192" i="8"/>
  <c r="AG191" i="8"/>
  <c r="AG190" i="8"/>
  <c r="AG189" i="8"/>
  <c r="AG188" i="8"/>
  <c r="AG187" i="8"/>
  <c r="BF186" i="8"/>
  <c r="BE186" i="8"/>
  <c r="BC186" i="8"/>
  <c r="BB186" i="8"/>
  <c r="AG186" i="8"/>
  <c r="BF185" i="8"/>
  <c r="BE185" i="8"/>
  <c r="BC185" i="8"/>
  <c r="BB185" i="8"/>
  <c r="AG185" i="8"/>
  <c r="AH184" i="8"/>
  <c r="G183" i="8"/>
  <c r="B183" i="8" s="1"/>
  <c r="B182" i="8"/>
  <c r="AQ181" i="8"/>
  <c r="B181" i="8"/>
  <c r="V180" i="8"/>
  <c r="U180" i="8"/>
  <c r="S180" i="8"/>
  <c r="R180" i="8"/>
  <c r="B180" i="8"/>
  <c r="V179" i="8"/>
  <c r="U179" i="8"/>
  <c r="S179" i="8"/>
  <c r="R179" i="8"/>
  <c r="B179" i="8"/>
  <c r="B178" i="8"/>
  <c r="B177" i="8"/>
  <c r="B176" i="8"/>
  <c r="K175" i="8"/>
  <c r="G175" i="8" s="1" a="1"/>
  <c r="G175" i="8" s="1"/>
  <c r="BQ174" i="8"/>
  <c r="F174" i="8"/>
  <c r="C174" i="8" s="1"/>
  <c r="E174" i="8"/>
  <c r="E168" i="8" s="1"/>
  <c r="D174" i="8"/>
  <c r="D168" i="8" s="1"/>
  <c r="BQ172" i="8"/>
  <c r="BB170" i="8"/>
  <c r="BB169" i="8"/>
  <c r="AT166" i="8"/>
  <c r="AS166" i="8"/>
  <c r="AQ166" i="8"/>
  <c r="AP166" i="8"/>
  <c r="AT165" i="8"/>
  <c r="AS165" i="8"/>
  <c r="AQ165" i="8"/>
  <c r="AP165" i="8"/>
  <c r="R162" i="8"/>
  <c r="AE161" i="8"/>
  <c r="R161" i="8"/>
  <c r="K155" i="8"/>
  <c r="G155" i="8" s="1" a="1"/>
  <c r="G155" i="8" s="1"/>
  <c r="F154" i="8"/>
  <c r="C154" i="8" s="1"/>
  <c r="C153" i="8" s="1"/>
  <c r="E154" i="8"/>
  <c r="E148" i="8" s="1"/>
  <c r="D154" i="8"/>
  <c r="D148" i="8" s="1"/>
  <c r="AP150" i="8"/>
  <c r="AP149" i="8"/>
  <c r="AH146" i="8"/>
  <c r="AG146" i="8"/>
  <c r="AE146" i="8"/>
  <c r="AD146" i="8"/>
  <c r="AH145" i="8"/>
  <c r="AG145" i="8"/>
  <c r="AE145" i="8"/>
  <c r="AD145" i="8"/>
  <c r="G140" i="8"/>
  <c r="BM139" i="8"/>
  <c r="BL139" i="8"/>
  <c r="BK139" i="8"/>
  <c r="BJ139" i="8"/>
  <c r="K135" i="8"/>
  <c r="G135" i="8" s="1" a="1"/>
  <c r="G135" i="8" s="1"/>
  <c r="F134" i="8"/>
  <c r="J131" i="8" s="1"/>
  <c r="E134" i="8"/>
  <c r="E128" i="8" s="1"/>
  <c r="D134" i="8"/>
  <c r="D128" i="8" s="1"/>
  <c r="AD130" i="8"/>
  <c r="AD129" i="8"/>
  <c r="BJ120" i="8"/>
  <c r="F119" i="8"/>
  <c r="K115" i="8"/>
  <c r="F114" i="8"/>
  <c r="E114" i="8"/>
  <c r="E108" i="8" s="1"/>
  <c r="D114" i="8"/>
  <c r="D108" i="8" s="1"/>
  <c r="AX111" i="8"/>
  <c r="AX110" i="8"/>
  <c r="AX109" i="8"/>
  <c r="AX108" i="8"/>
  <c r="AX107" i="8"/>
  <c r="N107" i="8"/>
  <c r="AX106" i="8"/>
  <c r="N106" i="8"/>
  <c r="AX105" i="8"/>
  <c r="N105" i="8"/>
  <c r="AX104" i="8"/>
  <c r="N104" i="8"/>
  <c r="AX103" i="8"/>
  <c r="N103" i="8"/>
  <c r="B103" i="8"/>
  <c r="AX102" i="8"/>
  <c r="N102" i="8"/>
  <c r="B102" i="8"/>
  <c r="AX101" i="8"/>
  <c r="N101" i="8"/>
  <c r="B101" i="8"/>
  <c r="BJ100" i="8"/>
  <c r="AX100" i="8"/>
  <c r="N100" i="8"/>
  <c r="B100" i="8"/>
  <c r="AX99" i="8"/>
  <c r="N99" i="8"/>
  <c r="B99" i="8"/>
  <c r="AX98" i="8"/>
  <c r="N98" i="8"/>
  <c r="B98" i="8"/>
  <c r="AX97" i="8"/>
  <c r="N97" i="8"/>
  <c r="B97" i="8"/>
  <c r="AX96" i="8"/>
  <c r="AX95" i="8"/>
  <c r="W95" i="8"/>
  <c r="S95" i="8" s="1" a="1"/>
  <c r="S95" i="8" s="1"/>
  <c r="K95" i="8"/>
  <c r="G95" i="8" s="1" a="1"/>
  <c r="G95" i="8" s="1"/>
  <c r="AX94" i="8"/>
  <c r="R94" i="8"/>
  <c r="V91" i="8" s="1"/>
  <c r="Q94" i="8"/>
  <c r="Q88" i="8" s="1"/>
  <c r="P94" i="8"/>
  <c r="P88" i="8" s="1"/>
  <c r="F94" i="8"/>
  <c r="E94" i="8"/>
  <c r="E88" i="8" s="1"/>
  <c r="D94" i="8"/>
  <c r="D88" i="8" s="1"/>
  <c r="AX93" i="8"/>
  <c r="AX92" i="8"/>
  <c r="AX91" i="8"/>
  <c r="AL91" i="8"/>
  <c r="AX90" i="8"/>
  <c r="AL90" i="8"/>
  <c r="AX89" i="8"/>
  <c r="AL89" i="8"/>
  <c r="AX88" i="8"/>
  <c r="AL88" i="8"/>
  <c r="AX87" i="8"/>
  <c r="AL87" i="8"/>
  <c r="AX86" i="8"/>
  <c r="AL86" i="8"/>
  <c r="AX85" i="8"/>
  <c r="AL85" i="8"/>
  <c r="T85" i="8"/>
  <c r="N85" i="8"/>
  <c r="AX84" i="8"/>
  <c r="AL84" i="8"/>
  <c r="T84" i="8"/>
  <c r="N84" i="8"/>
  <c r="B84" i="8"/>
  <c r="AX83" i="8"/>
  <c r="AL83" i="8"/>
  <c r="T83" i="8"/>
  <c r="N83" i="8"/>
  <c r="B83" i="8"/>
  <c r="AX82" i="8"/>
  <c r="AL82" i="8"/>
  <c r="T82" i="8"/>
  <c r="N82" i="8"/>
  <c r="B82" i="8"/>
  <c r="AX81" i="8"/>
  <c r="AL81" i="8"/>
  <c r="T81" i="8"/>
  <c r="N81" i="8"/>
  <c r="B81" i="8"/>
  <c r="AX80" i="8"/>
  <c r="AL80" i="8"/>
  <c r="T80" i="8"/>
  <c r="N80" i="8"/>
  <c r="B80" i="8"/>
  <c r="AX79" i="8"/>
  <c r="AL79" i="8"/>
  <c r="T79" i="8"/>
  <c r="N79" i="8"/>
  <c r="B79" i="8"/>
  <c r="AX78" i="8"/>
  <c r="AL78" i="8"/>
  <c r="T78" i="8"/>
  <c r="N78" i="8"/>
  <c r="B78" i="8"/>
  <c r="AX77" i="8"/>
  <c r="AL77" i="8"/>
  <c r="T77" i="8"/>
  <c r="N77" i="8"/>
  <c r="B77" i="8"/>
  <c r="AX76" i="8"/>
  <c r="AL76" i="8"/>
  <c r="T76" i="8"/>
  <c r="N76" i="8"/>
  <c r="AX75" i="8"/>
  <c r="AL75" i="8"/>
  <c r="T75" i="8"/>
  <c r="N75" i="8"/>
  <c r="K75" i="8"/>
  <c r="G75" i="8" s="1" a="1"/>
  <c r="G75" i="8" s="1"/>
  <c r="AX74" i="8"/>
  <c r="AL74" i="8"/>
  <c r="T74" i="8"/>
  <c r="N74" i="8"/>
  <c r="F74" i="8"/>
  <c r="C74" i="8" s="1"/>
  <c r="E74" i="8"/>
  <c r="E68" i="8" s="1"/>
  <c r="D74" i="8"/>
  <c r="D68" i="8" s="1"/>
  <c r="AX73" i="8"/>
  <c r="AL73" i="8"/>
  <c r="T73" i="8"/>
  <c r="N73" i="8"/>
  <c r="AL72" i="8"/>
  <c r="T72" i="8"/>
  <c r="BG71" i="8"/>
  <c r="BC71" i="8" s="1" a="1"/>
  <c r="BC71" i="8" s="1"/>
  <c r="AL71" i="8"/>
  <c r="BB70" i="8"/>
  <c r="BA70" i="8"/>
  <c r="BA109" i="8" s="1"/>
  <c r="AZ70" i="8"/>
  <c r="AZ105" i="8" s="1"/>
  <c r="AL70" i="8"/>
  <c r="AL69" i="8"/>
  <c r="AL68" i="8"/>
  <c r="R68" i="8"/>
  <c r="V65" i="8" s="1"/>
  <c r="Q68" i="8"/>
  <c r="Q74" i="8" s="1"/>
  <c r="P68" i="8"/>
  <c r="P76" i="8" s="1"/>
  <c r="AL67" i="8"/>
  <c r="AL66" i="8"/>
  <c r="AL65" i="8"/>
  <c r="H65" i="8"/>
  <c r="B65" i="8"/>
  <c r="AL64" i="8"/>
  <c r="H64" i="8"/>
  <c r="B64" i="8"/>
  <c r="BS63" i="8"/>
  <c r="AL63" i="8"/>
  <c r="H63" i="8"/>
  <c r="B63" i="8"/>
  <c r="H62" i="8"/>
  <c r="B62" i="8"/>
  <c r="BD61" i="8"/>
  <c r="AU61" i="8"/>
  <c r="AQ61" i="8" s="1" a="1"/>
  <c r="AQ61" i="8" s="1"/>
  <c r="H61" i="8"/>
  <c r="B61" i="8"/>
  <c r="BD60" i="8"/>
  <c r="AX60" i="8"/>
  <c r="AP60" i="8"/>
  <c r="AO60" i="8"/>
  <c r="AO61" i="8" s="1"/>
  <c r="AO91" i="8" s="1"/>
  <c r="AN60" i="8"/>
  <c r="AN54" i="8" s="1"/>
  <c r="H60" i="8"/>
  <c r="B60" i="8"/>
  <c r="BD59" i="8"/>
  <c r="AX59" i="8"/>
  <c r="H59" i="8"/>
  <c r="BD58" i="8"/>
  <c r="AX58" i="8"/>
  <c r="BD57" i="8"/>
  <c r="AX57" i="8"/>
  <c r="BD56" i="8"/>
  <c r="AX56" i="8"/>
  <c r="BD55" i="8"/>
  <c r="AX55" i="8"/>
  <c r="N55" i="8"/>
  <c r="F55" i="8"/>
  <c r="J52" i="8" s="1"/>
  <c r="E55" i="8"/>
  <c r="E62" i="8" s="1"/>
  <c r="D55" i="8"/>
  <c r="D60" i="8" s="1"/>
  <c r="BD54" i="8"/>
  <c r="AX54" i="8"/>
  <c r="N54" i="8"/>
  <c r="BD53" i="8"/>
  <c r="AX53" i="8"/>
  <c r="N53" i="8"/>
  <c r="BD52" i="8"/>
  <c r="AX52" i="8"/>
  <c r="N52" i="8"/>
  <c r="BD51" i="8"/>
  <c r="AX51" i="8"/>
  <c r="AR51" i="8"/>
  <c r="N51" i="8"/>
  <c r="BD50" i="8"/>
  <c r="AX50" i="8"/>
  <c r="AR50" i="8"/>
  <c r="AL50" i="8"/>
  <c r="N50" i="8"/>
  <c r="BR49" i="8"/>
  <c r="BQ49" i="8"/>
  <c r="BP49" i="8"/>
  <c r="BD49" i="8"/>
  <c r="AX49" i="8"/>
  <c r="AR49" i="8"/>
  <c r="AL49" i="8"/>
  <c r="N49" i="8"/>
  <c r="BO48" i="8"/>
  <c r="BD48" i="8"/>
  <c r="AX48" i="8"/>
  <c r="AR48" i="8"/>
  <c r="AL48" i="8"/>
  <c r="N48" i="8"/>
  <c r="BK47" i="8"/>
  <c r="BD47" i="8"/>
  <c r="AX47" i="8"/>
  <c r="AR47" i="8"/>
  <c r="AL47" i="8"/>
  <c r="N47" i="8"/>
  <c r="BK46" i="8"/>
  <c r="BD46" i="8"/>
  <c r="AX46" i="8"/>
  <c r="AR46" i="8"/>
  <c r="AL46" i="8"/>
  <c r="N46" i="8"/>
  <c r="BK45" i="8"/>
  <c r="BD45" i="8"/>
  <c r="AX45" i="8"/>
  <c r="AR45" i="8"/>
  <c r="AL45" i="8"/>
  <c r="N45" i="8"/>
  <c r="B45" i="8"/>
  <c r="BK44" i="8"/>
  <c r="BD44" i="8"/>
  <c r="AX44" i="8"/>
  <c r="AR44" i="8"/>
  <c r="AL44" i="8"/>
  <c r="B44" i="8"/>
  <c r="BK43" i="8"/>
  <c r="BD43" i="8"/>
  <c r="AX43" i="8"/>
  <c r="AR43" i="8"/>
  <c r="AL43" i="8"/>
  <c r="W43" i="8"/>
  <c r="S43" i="8" s="1" a="1"/>
  <c r="S43" i="8" s="1"/>
  <c r="B43" i="8"/>
  <c r="BK42" i="8"/>
  <c r="BD42" i="8"/>
  <c r="AX42" i="8"/>
  <c r="AR42" i="8"/>
  <c r="AL42" i="8"/>
  <c r="R42" i="8"/>
  <c r="V39" i="8" s="1"/>
  <c r="Q42" i="8"/>
  <c r="Q43" i="8" s="1"/>
  <c r="Q58" i="8" s="1"/>
  <c r="P42" i="8"/>
  <c r="P43" i="8" s="1"/>
  <c r="P57" i="8" s="1"/>
  <c r="B42" i="8"/>
  <c r="BK41" i="8"/>
  <c r="BD41" i="8"/>
  <c r="AX41" i="8"/>
  <c r="AR41" i="8"/>
  <c r="AL41" i="8"/>
  <c r="AF41" i="8"/>
  <c r="B41" i="8"/>
  <c r="BK40" i="8"/>
  <c r="BD40" i="8"/>
  <c r="AX40" i="8"/>
  <c r="AR40" i="8"/>
  <c r="AL40" i="8"/>
  <c r="AF40" i="8"/>
  <c r="Z40" i="8"/>
  <c r="B40" i="8"/>
  <c r="BK39" i="8"/>
  <c r="BD39" i="8"/>
  <c r="AX39" i="8"/>
  <c r="AR39" i="8"/>
  <c r="AL39" i="8"/>
  <c r="AF39" i="8"/>
  <c r="Z39" i="8"/>
  <c r="B39" i="8"/>
  <c r="BK38" i="8"/>
  <c r="BD38" i="8"/>
  <c r="AX38" i="8"/>
  <c r="AR38" i="8"/>
  <c r="AL38" i="8"/>
  <c r="AF38" i="8"/>
  <c r="Z38" i="8"/>
  <c r="B38" i="8"/>
  <c r="BK37" i="8"/>
  <c r="BD37" i="8"/>
  <c r="AX37" i="8"/>
  <c r="AR37" i="8"/>
  <c r="AL37" i="8"/>
  <c r="AF37" i="8"/>
  <c r="Z37" i="8"/>
  <c r="BK36" i="8"/>
  <c r="BD36" i="8"/>
  <c r="AX36" i="8"/>
  <c r="AR36" i="8"/>
  <c r="AL36" i="8"/>
  <c r="AF36" i="8"/>
  <c r="Z36" i="8"/>
  <c r="K36" i="8"/>
  <c r="G36" i="8" s="1" a="1"/>
  <c r="G36" i="8" s="1"/>
  <c r="BD35" i="8"/>
  <c r="AX35" i="8"/>
  <c r="AR35" i="8"/>
  <c r="AL35" i="8"/>
  <c r="AF35" i="8"/>
  <c r="Z35" i="8"/>
  <c r="F35" i="8"/>
  <c r="C35" i="8" s="1"/>
  <c r="E35" i="8"/>
  <c r="E29" i="8" s="1"/>
  <c r="D35" i="8"/>
  <c r="BD34" i="8"/>
  <c r="AX34" i="8"/>
  <c r="AR34" i="8"/>
  <c r="AL34" i="8"/>
  <c r="AF34" i="8"/>
  <c r="Z34" i="8"/>
  <c r="BD33" i="8"/>
  <c r="AX33" i="8"/>
  <c r="AR33" i="8"/>
  <c r="AL33" i="8"/>
  <c r="AF33" i="8"/>
  <c r="Z33" i="8"/>
  <c r="T33" i="8"/>
  <c r="N33" i="8"/>
  <c r="BD32" i="8"/>
  <c r="AX32" i="8"/>
  <c r="AR32" i="8"/>
  <c r="AL32" i="8"/>
  <c r="AF32" i="8"/>
  <c r="Z32" i="8"/>
  <c r="T32" i="8"/>
  <c r="N32" i="8"/>
  <c r="BD31" i="8"/>
  <c r="AX31" i="8"/>
  <c r="AR31" i="8"/>
  <c r="AL31" i="8"/>
  <c r="AF31" i="8"/>
  <c r="Z31" i="8"/>
  <c r="T31" i="8"/>
  <c r="N31" i="8"/>
  <c r="BD30" i="8"/>
  <c r="AX30" i="8"/>
  <c r="AR30" i="8"/>
  <c r="AL30" i="8"/>
  <c r="AF30" i="8"/>
  <c r="Z30" i="8"/>
  <c r="T30" i="8"/>
  <c r="N30" i="8"/>
  <c r="BD29" i="8"/>
  <c r="AX29" i="8"/>
  <c r="AR29" i="8"/>
  <c r="AL29" i="8"/>
  <c r="AF29" i="8"/>
  <c r="Z29" i="8"/>
  <c r="T29" i="8"/>
  <c r="N29" i="8"/>
  <c r="BD28" i="8"/>
  <c r="AX28" i="8"/>
  <c r="AR28" i="8"/>
  <c r="AL28" i="8"/>
  <c r="AF28" i="8"/>
  <c r="Z28" i="8"/>
  <c r="T28" i="8"/>
  <c r="N28" i="8"/>
  <c r="BD27" i="8"/>
  <c r="AX27" i="8"/>
  <c r="AR27" i="8"/>
  <c r="AL27" i="8"/>
  <c r="AF27" i="8"/>
  <c r="Z27" i="8"/>
  <c r="T27" i="8"/>
  <c r="N27" i="8"/>
  <c r="BQ26" i="8"/>
  <c r="BD26" i="8"/>
  <c r="AX26" i="8"/>
  <c r="AR26" i="8"/>
  <c r="AL26" i="8"/>
  <c r="AF26" i="8"/>
  <c r="Z26" i="8"/>
  <c r="T26" i="8"/>
  <c r="N26" i="8"/>
  <c r="H26" i="8"/>
  <c r="B26" i="8"/>
  <c r="BD25" i="8"/>
  <c r="AX25" i="8"/>
  <c r="AR25" i="8"/>
  <c r="AL25" i="8"/>
  <c r="AF25" i="8"/>
  <c r="Z25" i="8"/>
  <c r="T25" i="8"/>
  <c r="N25" i="8"/>
  <c r="H25" i="8"/>
  <c r="B25" i="8"/>
  <c r="BD24" i="8"/>
  <c r="AX24" i="8"/>
  <c r="AR24" i="8"/>
  <c r="AL24" i="8"/>
  <c r="AF24" i="8"/>
  <c r="Z24" i="8"/>
  <c r="T24" i="8"/>
  <c r="N24" i="8"/>
  <c r="H24" i="8"/>
  <c r="B24" i="8"/>
  <c r="BD23" i="8"/>
  <c r="AX23" i="8"/>
  <c r="AR23" i="8"/>
  <c r="AL23" i="8"/>
  <c r="AF23" i="8"/>
  <c r="Z23" i="8"/>
  <c r="T23" i="8"/>
  <c r="N23" i="8"/>
  <c r="H23" i="8"/>
  <c r="B23" i="8"/>
  <c r="BD22" i="8"/>
  <c r="AX22" i="8"/>
  <c r="AR22" i="8"/>
  <c r="AL22" i="8"/>
  <c r="AF22" i="8"/>
  <c r="Z22" i="8"/>
  <c r="T22" i="8"/>
  <c r="N22" i="8"/>
  <c r="H22" i="8"/>
  <c r="B22" i="8"/>
  <c r="BD21" i="8"/>
  <c r="AX21" i="8"/>
  <c r="AR21" i="8"/>
  <c r="AL21" i="8"/>
  <c r="AF21" i="8"/>
  <c r="Z21" i="8"/>
  <c r="T21" i="8"/>
  <c r="N21" i="8"/>
  <c r="H21" i="8"/>
  <c r="B21" i="8"/>
  <c r="BD20" i="8"/>
  <c r="AR20" i="8"/>
  <c r="AF20" i="8"/>
  <c r="T20" i="8"/>
  <c r="H20" i="8"/>
  <c r="BB16" i="8"/>
  <c r="BA16" i="8"/>
  <c r="BA22" i="8" s="1"/>
  <c r="AZ16" i="8"/>
  <c r="AZ52" i="8" s="1"/>
  <c r="AP16" i="8"/>
  <c r="AT13" i="8" s="1"/>
  <c r="AO16" i="8"/>
  <c r="AO21" i="8" s="1"/>
  <c r="AN16" i="8"/>
  <c r="AN32" i="8" s="1"/>
  <c r="AD16" i="8"/>
  <c r="AH13" i="8" s="1"/>
  <c r="AC16" i="8"/>
  <c r="AC42" i="8" s="1"/>
  <c r="AB16" i="8"/>
  <c r="AB42" i="8" s="1"/>
  <c r="R16" i="8"/>
  <c r="V13" i="8" s="1"/>
  <c r="Q16" i="8"/>
  <c r="Q20" i="8" s="1"/>
  <c r="P16" i="8"/>
  <c r="F16" i="8"/>
  <c r="E16" i="8"/>
  <c r="E27" i="8" s="1"/>
  <c r="D16" i="8"/>
  <c r="D27" i="8" s="1"/>
  <c r="BX7" i="8"/>
  <c r="BX6" i="8"/>
  <c r="BB6" i="8"/>
  <c r="AP6" i="8"/>
  <c r="AD6" i="8"/>
  <c r="R6" i="8"/>
  <c r="F6" i="8"/>
  <c r="BU2" i="8"/>
  <c r="BT2" i="8"/>
  <c r="BS2" i="8"/>
  <c r="BR2" i="8"/>
  <c r="BQ2" i="8"/>
  <c r="BP2" i="8"/>
  <c r="BO2" i="8"/>
  <c r="BM2" i="8"/>
  <c r="BL2" i="8"/>
  <c r="BK2" i="8"/>
  <c r="BJ2" i="8"/>
  <c r="BH2" i="8"/>
  <c r="BG2" i="8"/>
  <c r="BF2" i="8"/>
  <c r="BE2" i="8"/>
  <c r="BD2" i="8"/>
  <c r="BC2" i="8"/>
  <c r="BB2" i="8"/>
  <c r="BA2" i="8"/>
  <c r="AZ2" i="8"/>
  <c r="AY2" i="8"/>
  <c r="AX2" i="8"/>
  <c r="AV2" i="8"/>
  <c r="AU2" i="8"/>
  <c r="AT2" i="8"/>
  <c r="AS2" i="8"/>
  <c r="AR2" i="8"/>
  <c r="AQ2" i="8"/>
  <c r="AP2" i="8"/>
  <c r="AO2" i="8"/>
  <c r="AN2" i="8"/>
  <c r="AM2" i="8"/>
  <c r="AL2" i="8"/>
  <c r="X2" i="8"/>
  <c r="W2" i="8"/>
  <c r="V2" i="8"/>
  <c r="U2" i="8"/>
  <c r="T2" i="8"/>
  <c r="S2" i="8"/>
  <c r="R2" i="8"/>
  <c r="Q2" i="8"/>
  <c r="P2" i="8"/>
  <c r="O2" i="8"/>
  <c r="N2" i="8"/>
  <c r="L2" i="8"/>
  <c r="K2" i="8"/>
  <c r="J2" i="8"/>
  <c r="I2" i="8"/>
  <c r="H2" i="8"/>
  <c r="G2" i="8"/>
  <c r="F2" i="8"/>
  <c r="E2" i="8"/>
  <c r="D2" i="8"/>
  <c r="C2" i="8"/>
  <c r="B2" i="8"/>
  <c r="BY1" i="8"/>
  <c r="BX1" i="8"/>
  <c r="BU1" i="8"/>
  <c r="BT1" i="8"/>
  <c r="BS1" i="8"/>
  <c r="BR1" i="8"/>
  <c r="BQ1" i="8"/>
  <c r="BP1" i="8"/>
  <c r="BO1" i="8"/>
  <c r="BM1" i="8"/>
  <c r="BL1" i="8"/>
  <c r="BK1" i="8"/>
  <c r="BJ1" i="8"/>
  <c r="BH1" i="8"/>
  <c r="BG1" i="8"/>
  <c r="BF1" i="8"/>
  <c r="BE1" i="8"/>
  <c r="BD1" i="8"/>
  <c r="BC1" i="8"/>
  <c r="BB1" i="8"/>
  <c r="BA1" i="8"/>
  <c r="AZ1" i="8"/>
  <c r="AY1" i="8"/>
  <c r="AX1" i="8"/>
  <c r="AV1" i="8"/>
  <c r="AU1" i="8"/>
  <c r="AT1" i="8"/>
  <c r="AS1" i="8"/>
  <c r="AR1" i="8"/>
  <c r="AQ1" i="8"/>
  <c r="AP1" i="8"/>
  <c r="AO1" i="8"/>
  <c r="AN1" i="8"/>
  <c r="AM1" i="8"/>
  <c r="AL1" i="8"/>
  <c r="AJ1" i="8"/>
  <c r="AI1" i="8"/>
  <c r="AH1" i="8"/>
  <c r="AG1" i="8"/>
  <c r="AF1" i="8"/>
  <c r="AE1" i="8"/>
  <c r="AD1" i="8"/>
  <c r="AC1" i="8"/>
  <c r="AB1" i="8"/>
  <c r="AA1" i="8"/>
  <c r="Z1" i="8"/>
  <c r="X1" i="8"/>
  <c r="W1" i="8"/>
  <c r="V1" i="8"/>
  <c r="U1" i="8"/>
  <c r="T1" i="8"/>
  <c r="S1" i="8"/>
  <c r="R1" i="8"/>
  <c r="Q1" i="8"/>
  <c r="P1" i="8"/>
  <c r="O1" i="8"/>
  <c r="N1" i="8"/>
  <c r="L1" i="8"/>
  <c r="K1" i="8"/>
  <c r="J1" i="8"/>
  <c r="I1" i="8"/>
  <c r="H1" i="8"/>
  <c r="G1" i="8"/>
  <c r="F1" i="8"/>
  <c r="E1" i="8"/>
  <c r="D1" i="8"/>
  <c r="C1" i="8"/>
  <c r="B1" i="8"/>
  <c r="A1" i="8"/>
  <c r="BK247" i="6"/>
  <c r="BK1" i="6" s="1"/>
  <c r="AX246" i="6"/>
  <c r="AW246" i="6"/>
  <c r="AV246" i="6"/>
  <c r="AU246" i="6"/>
  <c r="AT246" i="6"/>
  <c r="AS246" i="6"/>
  <c r="AC246" i="6"/>
  <c r="AB246" i="6"/>
  <c r="AA246" i="6"/>
  <c r="Z246" i="6"/>
  <c r="Y246" i="6"/>
  <c r="X246" i="6"/>
  <c r="H246" i="6"/>
  <c r="G246" i="6"/>
  <c r="F246" i="6"/>
  <c r="E246" i="6"/>
  <c r="D246" i="6"/>
  <c r="C246" i="6"/>
  <c r="BJ244" i="6"/>
  <c r="BI244" i="6"/>
  <c r="BH244" i="6"/>
  <c r="BG244" i="6"/>
  <c r="BF244" i="6"/>
  <c r="BE244" i="6"/>
  <c r="BD244" i="6"/>
  <c r="AO244" i="6"/>
  <c r="AN244" i="6"/>
  <c r="AM244" i="6"/>
  <c r="AL244" i="6"/>
  <c r="AK244" i="6"/>
  <c r="AJ244" i="6"/>
  <c r="AI244" i="6"/>
  <c r="T244" i="6"/>
  <c r="S244" i="6"/>
  <c r="R244" i="6"/>
  <c r="Q244" i="6"/>
  <c r="P244" i="6"/>
  <c r="O244" i="6"/>
  <c r="N244" i="6"/>
  <c r="AW243" i="6"/>
  <c r="AX243" i="6" s="1"/>
  <c r="AB243" i="6"/>
  <c r="AC243" i="6" s="1"/>
  <c r="G243" i="6"/>
  <c r="H243" i="6" s="1"/>
  <c r="AW242" i="6"/>
  <c r="AX242" i="6" s="1"/>
  <c r="AB242" i="6"/>
  <c r="AC242" i="6" s="1"/>
  <c r="G242" i="6"/>
  <c r="H242" i="6" s="1"/>
  <c r="AW241" i="6"/>
  <c r="AX241" i="6" s="1"/>
  <c r="AB241" i="6"/>
  <c r="AC241" i="6" s="1"/>
  <c r="G241" i="6"/>
  <c r="H241" i="6" s="1"/>
  <c r="AW240" i="6"/>
  <c r="AX240" i="6" s="1"/>
  <c r="AB240" i="6"/>
  <c r="AC240" i="6" s="1"/>
  <c r="G240" i="6"/>
  <c r="H240" i="6" s="1"/>
  <c r="BH239" i="6"/>
  <c r="BJ239" i="6" s="1"/>
  <c r="AW239" i="6"/>
  <c r="AX239" i="6" s="1"/>
  <c r="AT239" i="6"/>
  <c r="AM239" i="6"/>
  <c r="AO239" i="6" s="1"/>
  <c r="AB239" i="6"/>
  <c r="AC239" i="6" s="1"/>
  <c r="Y239" i="6"/>
  <c r="R239" i="6"/>
  <c r="T239" i="6" s="1"/>
  <c r="G239" i="6"/>
  <c r="H239" i="6" s="1"/>
  <c r="D239" i="6"/>
  <c r="BH238" i="6"/>
  <c r="BJ238" i="6" s="1"/>
  <c r="AM238" i="6"/>
  <c r="AO238" i="6" s="1"/>
  <c r="R238" i="6"/>
  <c r="T238" i="6" s="1"/>
  <c r="BH237" i="6"/>
  <c r="BJ237" i="6" s="1"/>
  <c r="AS237" i="6"/>
  <c r="AM237" i="6"/>
  <c r="AO237" i="6" s="1"/>
  <c r="X237" i="6"/>
  <c r="R237" i="6"/>
  <c r="T237" i="6" s="1"/>
  <c r="C237" i="6"/>
  <c r="BH236" i="6"/>
  <c r="BJ236" i="6" s="1"/>
  <c r="AM236" i="6"/>
  <c r="AO236" i="6" s="1"/>
  <c r="R236" i="6"/>
  <c r="T236" i="6" s="1"/>
  <c r="BH235" i="6"/>
  <c r="BJ235" i="6" s="1"/>
  <c r="AM235" i="6"/>
  <c r="AO235" i="6" s="1"/>
  <c r="R235" i="6"/>
  <c r="T235" i="6" s="1"/>
  <c r="BH234" i="6"/>
  <c r="BJ234" i="6" s="1"/>
  <c r="BA234" i="6"/>
  <c r="AZ234" i="6"/>
  <c r="AY234" i="6"/>
  <c r="AX234" i="6"/>
  <c r="AW234" i="6"/>
  <c r="AV234" i="6"/>
  <c r="AU234" i="6"/>
  <c r="AT234" i="6"/>
  <c r="AS234" i="6"/>
  <c r="AM234" i="6"/>
  <c r="AO234" i="6" s="1"/>
  <c r="AF234" i="6"/>
  <c r="AE234" i="6"/>
  <c r="AD234" i="6"/>
  <c r="AC234" i="6"/>
  <c r="AB234" i="6"/>
  <c r="AA234" i="6"/>
  <c r="Z234" i="6"/>
  <c r="Y234" i="6"/>
  <c r="X234" i="6"/>
  <c r="R234" i="6"/>
  <c r="T234" i="6" s="1"/>
  <c r="K234" i="6"/>
  <c r="J234" i="6"/>
  <c r="I234" i="6"/>
  <c r="H234" i="6"/>
  <c r="G234" i="6"/>
  <c r="F234" i="6"/>
  <c r="E234" i="6"/>
  <c r="D234" i="6"/>
  <c r="C234" i="6"/>
  <c r="BH233" i="6"/>
  <c r="BJ233" i="6" s="1"/>
  <c r="AM233" i="6"/>
  <c r="AO233" i="6" s="1"/>
  <c r="R233" i="6"/>
  <c r="T233" i="6" s="1"/>
  <c r="BH232" i="6"/>
  <c r="BJ232" i="6" s="1"/>
  <c r="AM232" i="6"/>
  <c r="AO232" i="6" s="1"/>
  <c r="R232" i="6"/>
  <c r="T232" i="6" s="1"/>
  <c r="BH231" i="6"/>
  <c r="BJ231" i="6" s="1"/>
  <c r="AX231" i="6"/>
  <c r="AM231" i="6"/>
  <c r="AO231" i="6" s="1"/>
  <c r="AC231" i="6"/>
  <c r="R231" i="6"/>
  <c r="T231" i="6" s="1"/>
  <c r="H231" i="6"/>
  <c r="BH230" i="6"/>
  <c r="BJ230" i="6" s="1"/>
  <c r="BA230" i="6"/>
  <c r="BA231" i="6" s="1"/>
  <c r="AX230" i="6"/>
  <c r="AU230" i="6"/>
  <c r="AU231" i="6" s="1"/>
  <c r="AM230" i="6"/>
  <c r="AO230" i="6" s="1"/>
  <c r="AF230" i="6"/>
  <c r="AF231" i="6" s="1"/>
  <c r="AC230" i="6"/>
  <c r="Z230" i="6"/>
  <c r="Z231" i="6" s="1"/>
  <c r="R230" i="6"/>
  <c r="T230" i="6" s="1"/>
  <c r="K230" i="6"/>
  <c r="K231" i="6" s="1"/>
  <c r="H230" i="6"/>
  <c r="E230" i="6"/>
  <c r="E231" i="6" s="1"/>
  <c r="BD229" i="6"/>
  <c r="BF226" i="6" s="1"/>
  <c r="AI229" i="6"/>
  <c r="AO226" i="6" s="1"/>
  <c r="N229" i="6"/>
  <c r="T226" i="6" s="1"/>
  <c r="BA227" i="6"/>
  <c r="BA226" i="6" s="1"/>
  <c r="AF227" i="6"/>
  <c r="AF226" i="6" s="1"/>
  <c r="K227" i="6"/>
  <c r="K226" i="6" s="1"/>
  <c r="BE226" i="6"/>
  <c r="AX226" i="6"/>
  <c r="AX227" i="6" s="1"/>
  <c r="AU226" i="6"/>
  <c r="AU227" i="6" s="1"/>
  <c r="AJ226" i="6"/>
  <c r="AC226" i="6"/>
  <c r="AC227" i="6" s="1"/>
  <c r="Z226" i="6"/>
  <c r="Z227" i="6" s="1"/>
  <c r="O226" i="6"/>
  <c r="H226" i="6"/>
  <c r="H227" i="6" s="1"/>
  <c r="E226" i="6"/>
  <c r="E227" i="6" s="1"/>
  <c r="BD223" i="6"/>
  <c r="AS223" i="6"/>
  <c r="AI223" i="6"/>
  <c r="X223" i="6"/>
  <c r="N223" i="6"/>
  <c r="C223" i="6"/>
  <c r="BA220" i="6"/>
  <c r="AZ220" i="6"/>
  <c r="AY220" i="6"/>
  <c r="AX220" i="6"/>
  <c r="AW220" i="6"/>
  <c r="AV220" i="6"/>
  <c r="AU220" i="6"/>
  <c r="AT220" i="6"/>
  <c r="AS220" i="6"/>
  <c r="AF220" i="6"/>
  <c r="AE220" i="6"/>
  <c r="AD220" i="6"/>
  <c r="AC220" i="6"/>
  <c r="AB220" i="6"/>
  <c r="AA220" i="6"/>
  <c r="Z220" i="6"/>
  <c r="Y220" i="6"/>
  <c r="X220" i="6"/>
  <c r="K220" i="6"/>
  <c r="J220" i="6"/>
  <c r="I220" i="6"/>
  <c r="H220" i="6"/>
  <c r="G220" i="6"/>
  <c r="F220" i="6"/>
  <c r="E220" i="6"/>
  <c r="D220" i="6"/>
  <c r="C220" i="6"/>
  <c r="BB217" i="6"/>
  <c r="AX217" i="6"/>
  <c r="AX216" i="6" s="1"/>
  <c r="AG217" i="6"/>
  <c r="AC217" i="6"/>
  <c r="AC216" i="6" s="1"/>
  <c r="L217" i="6"/>
  <c r="H217" i="6"/>
  <c r="H216" i="6" s="1"/>
  <c r="BB216" i="6"/>
  <c r="BA216" i="6"/>
  <c r="BA217" i="6" s="1"/>
  <c r="AU216" i="6"/>
  <c r="AU217" i="6" s="1"/>
  <c r="AG216" i="6"/>
  <c r="AF216" i="6"/>
  <c r="AF217" i="6" s="1"/>
  <c r="Z216" i="6"/>
  <c r="Z217" i="6" s="1"/>
  <c r="L216" i="6"/>
  <c r="K216" i="6"/>
  <c r="K217" i="6" s="1"/>
  <c r="E216" i="6"/>
  <c r="E217" i="6" s="1"/>
  <c r="BB212" i="6"/>
  <c r="AX212" i="6"/>
  <c r="AU212" i="6"/>
  <c r="AG212" i="6"/>
  <c r="AC212" i="6"/>
  <c r="Z212" i="6"/>
  <c r="L212" i="6"/>
  <c r="H212" i="6"/>
  <c r="E212" i="6"/>
  <c r="BB211" i="6"/>
  <c r="BA211" i="6"/>
  <c r="BA212" i="6" s="1"/>
  <c r="AX211" i="6"/>
  <c r="AU211" i="6"/>
  <c r="AG211" i="6"/>
  <c r="AF211" i="6"/>
  <c r="AF212" i="6" s="1"/>
  <c r="AC211" i="6"/>
  <c r="Z211" i="6"/>
  <c r="L211" i="6"/>
  <c r="K211" i="6"/>
  <c r="K212" i="6" s="1"/>
  <c r="H211" i="6"/>
  <c r="E211" i="6"/>
  <c r="AS208" i="6"/>
  <c r="X208" i="6"/>
  <c r="C208" i="6"/>
  <c r="AX205" i="6"/>
  <c r="AW205" i="6"/>
  <c r="AV205" i="6"/>
  <c r="AU205" i="6"/>
  <c r="AT205" i="6"/>
  <c r="AS205" i="6"/>
  <c r="AC205" i="6"/>
  <c r="AB205" i="6"/>
  <c r="AA205" i="6"/>
  <c r="Z205" i="6"/>
  <c r="Y205" i="6"/>
  <c r="X205" i="6"/>
  <c r="H205" i="6"/>
  <c r="G205" i="6"/>
  <c r="F205" i="6"/>
  <c r="E205" i="6"/>
  <c r="D205" i="6"/>
  <c r="C205" i="6"/>
  <c r="AU202" i="6"/>
  <c r="Z202" i="6"/>
  <c r="E202" i="6"/>
  <c r="AW191" i="6"/>
  <c r="AV181" i="6" s="1"/>
  <c r="AV191" i="6"/>
  <c r="AB191" i="6"/>
  <c r="AA181" i="6" s="1"/>
  <c r="AA191" i="6"/>
  <c r="G191" i="6"/>
  <c r="F181" i="6" s="1"/>
  <c r="F191" i="6"/>
  <c r="AT188" i="6"/>
  <c r="Y188" i="6"/>
  <c r="D188" i="6"/>
  <c r="AV187" i="6"/>
  <c r="AU181" i="6" s="1"/>
  <c r="AA187" i="6"/>
  <c r="Z181" i="6" s="1"/>
  <c r="F187" i="6"/>
  <c r="E189" i="6" s="1"/>
  <c r="G189" i="6" s="1"/>
  <c r="H181" i="6" s="1"/>
  <c r="AV185" i="6"/>
  <c r="AU180" i="6" s="1"/>
  <c r="AX180" i="6" s="1"/>
  <c r="AA185" i="6"/>
  <c r="Z180" i="6" s="1"/>
  <c r="AC180" i="6" s="1"/>
  <c r="F185" i="6"/>
  <c r="E180" i="6" s="1"/>
  <c r="H180" i="6" s="1"/>
  <c r="AT181" i="6"/>
  <c r="AS180" i="6" s="1"/>
  <c r="AS181" i="6"/>
  <c r="Y181" i="6"/>
  <c r="X180" i="6" s="1"/>
  <c r="X181" i="6"/>
  <c r="D181" i="6"/>
  <c r="E179" i="6" s="1"/>
  <c r="C181" i="6"/>
  <c r="AX179" i="6"/>
  <c r="AC179" i="6"/>
  <c r="H179" i="6"/>
  <c r="AS178" i="6"/>
  <c r="X178" i="6"/>
  <c r="C178" i="6"/>
  <c r="AW177" i="6"/>
  <c r="AB177" i="6"/>
  <c r="G177" i="6"/>
  <c r="AX176" i="6"/>
  <c r="AC176" i="6"/>
  <c r="H176" i="6"/>
  <c r="AX174" i="6"/>
  <c r="AW174" i="6"/>
  <c r="AV174" i="6"/>
  <c r="AU174" i="6"/>
  <c r="AT174" i="6"/>
  <c r="AS174" i="6"/>
  <c r="AC174" i="6"/>
  <c r="AB174" i="6"/>
  <c r="AA174" i="6"/>
  <c r="Z174" i="6"/>
  <c r="Y174" i="6"/>
  <c r="X174" i="6"/>
  <c r="H174" i="6"/>
  <c r="G174" i="6"/>
  <c r="F174" i="6"/>
  <c r="E174" i="6"/>
  <c r="D174" i="6"/>
  <c r="C174" i="6"/>
  <c r="AU171" i="6"/>
  <c r="Z171" i="6"/>
  <c r="E171" i="6"/>
  <c r="AW157" i="6"/>
  <c r="AW158" i="6" s="1"/>
  <c r="AV157" i="6"/>
  <c r="AB157" i="6"/>
  <c r="AB158" i="6" s="1"/>
  <c r="Z158" i="6" s="1"/>
  <c r="AA157" i="6"/>
  <c r="G157" i="6"/>
  <c r="G158" i="6" s="1"/>
  <c r="E158" i="6" s="1"/>
  <c r="F157" i="6"/>
  <c r="AV155" i="6"/>
  <c r="AA155" i="6"/>
  <c r="F155" i="6"/>
  <c r="AV152" i="6"/>
  <c r="AV158" i="6" s="1"/>
  <c r="AU152" i="6"/>
  <c r="AA152" i="6"/>
  <c r="AA158" i="6" s="1"/>
  <c r="Z152" i="6"/>
  <c r="F152" i="6"/>
  <c r="F158" i="6" s="1"/>
  <c r="E152" i="6"/>
  <c r="AS146" i="6"/>
  <c r="X146" i="6"/>
  <c r="C146" i="6"/>
  <c r="AS145" i="6"/>
  <c r="X145" i="6"/>
  <c r="C145" i="6"/>
  <c r="AW144" i="6"/>
  <c r="AB144" i="6"/>
  <c r="G144" i="6"/>
  <c r="AX143" i="6"/>
  <c r="AC143" i="6"/>
  <c r="H143" i="6"/>
  <c r="AX140" i="6"/>
  <c r="AW140" i="6"/>
  <c r="AV140" i="6"/>
  <c r="AU140" i="6"/>
  <c r="AT140" i="6"/>
  <c r="AS140" i="6"/>
  <c r="AC140" i="6"/>
  <c r="AB140" i="6"/>
  <c r="AA140" i="6"/>
  <c r="Z140" i="6"/>
  <c r="Y140" i="6"/>
  <c r="X140" i="6"/>
  <c r="H140" i="6"/>
  <c r="G140" i="6"/>
  <c r="F140" i="6"/>
  <c r="E140" i="6"/>
  <c r="D140" i="6"/>
  <c r="C140" i="6"/>
  <c r="AX137" i="6"/>
  <c r="AC137" i="6"/>
  <c r="H137" i="6"/>
  <c r="AY127" i="6"/>
  <c r="AD127" i="6"/>
  <c r="I127" i="6"/>
  <c r="AY126" i="6"/>
  <c r="AW126" i="6"/>
  <c r="AZ127" i="6" s="1"/>
  <c r="AD126" i="6"/>
  <c r="AB126" i="6"/>
  <c r="AE127" i="6" s="1"/>
  <c r="I126" i="6"/>
  <c r="G126" i="6"/>
  <c r="J127" i="6" s="1"/>
  <c r="AY125" i="6"/>
  <c r="AV125" i="6"/>
  <c r="AU125" i="6"/>
  <c r="AU126" i="6" s="1"/>
  <c r="AZ126" i="6" s="1"/>
  <c r="AD125" i="6"/>
  <c r="AA125" i="6"/>
  <c r="Z125" i="6"/>
  <c r="Z126" i="6" s="1"/>
  <c r="AE126" i="6" s="1"/>
  <c r="I125" i="6"/>
  <c r="F125" i="6"/>
  <c r="E125" i="6"/>
  <c r="E126" i="6" s="1"/>
  <c r="J126" i="6" s="1"/>
  <c r="AY122" i="6"/>
  <c r="AV122" i="6"/>
  <c r="AX122" i="6" s="1"/>
  <c r="AD122" i="6"/>
  <c r="AA122" i="6"/>
  <c r="Z120" i="6" s="1"/>
  <c r="I122" i="6"/>
  <c r="F122" i="6"/>
  <c r="H122" i="6" s="1"/>
  <c r="AY120" i="6"/>
  <c r="AD120" i="6"/>
  <c r="I120" i="6"/>
  <c r="AY119" i="6"/>
  <c r="AW119" i="6"/>
  <c r="AZ119" i="6" s="1"/>
  <c r="AD119" i="6"/>
  <c r="AB119" i="6"/>
  <c r="AE119" i="6" s="1"/>
  <c r="I119" i="6"/>
  <c r="G119" i="6"/>
  <c r="J119" i="6" s="1"/>
  <c r="AY117" i="6"/>
  <c r="AD117" i="6"/>
  <c r="I117" i="6"/>
  <c r="AY116" i="6"/>
  <c r="AD116" i="6"/>
  <c r="I116" i="6"/>
  <c r="AY115" i="6"/>
  <c r="AD115" i="6"/>
  <c r="I115" i="6"/>
  <c r="AY114" i="6"/>
  <c r="AS114" i="6"/>
  <c r="AD114" i="6"/>
  <c r="X114" i="6"/>
  <c r="I114" i="6"/>
  <c r="C114" i="6"/>
  <c r="AY113" i="6"/>
  <c r="AW113" i="6"/>
  <c r="AZ113" i="6" s="1"/>
  <c r="AD113" i="6"/>
  <c r="AB113" i="6"/>
  <c r="AE113" i="6" s="1"/>
  <c r="I113" i="6"/>
  <c r="G113" i="6"/>
  <c r="J113" i="6" s="1"/>
  <c r="AY112" i="6"/>
  <c r="AD112" i="6"/>
  <c r="I112" i="6"/>
  <c r="AY109" i="6"/>
  <c r="AD109" i="6"/>
  <c r="I109" i="6"/>
  <c r="BI90" i="6"/>
  <c r="BH90" i="6"/>
  <c r="BG90" i="6"/>
  <c r="BF90" i="6"/>
  <c r="BE90" i="6"/>
  <c r="AN90" i="6"/>
  <c r="AM90" i="6"/>
  <c r="AL90" i="6"/>
  <c r="AK90" i="6"/>
  <c r="AJ90" i="6"/>
  <c r="S90" i="6"/>
  <c r="R90" i="6"/>
  <c r="Q90" i="6"/>
  <c r="P90" i="6"/>
  <c r="O90" i="6"/>
  <c r="AS88" i="6"/>
  <c r="X88" i="6"/>
  <c r="C88" i="6"/>
  <c r="AS86" i="6"/>
  <c r="X86" i="6"/>
  <c r="C86" i="6"/>
  <c r="BH85" i="6"/>
  <c r="AM85" i="6"/>
  <c r="R85" i="6"/>
  <c r="AS84" i="6"/>
  <c r="X84" i="6"/>
  <c r="C84" i="6"/>
  <c r="BF75" i="6"/>
  <c r="BE75" i="6"/>
  <c r="BD75" i="6"/>
  <c r="BC75" i="6"/>
  <c r="BB75" i="6"/>
  <c r="BA75" i="6"/>
  <c r="AZ75" i="6"/>
  <c r="AK75" i="6"/>
  <c r="AJ75" i="6"/>
  <c r="AI75" i="6"/>
  <c r="AH75" i="6"/>
  <c r="AG75" i="6"/>
  <c r="AF75" i="6"/>
  <c r="AE75" i="6"/>
  <c r="P75" i="6"/>
  <c r="O75" i="6"/>
  <c r="N75" i="6"/>
  <c r="M75" i="6"/>
  <c r="L75" i="6"/>
  <c r="K75" i="6"/>
  <c r="J75" i="6"/>
  <c r="AS72" i="6"/>
  <c r="X72" i="6"/>
  <c r="C72" i="6"/>
  <c r="AS69" i="6"/>
  <c r="X69" i="6"/>
  <c r="C69" i="6"/>
  <c r="AS66" i="6"/>
  <c r="X66" i="6"/>
  <c r="C66" i="6"/>
  <c r="BE64" i="6"/>
  <c r="AJ64" i="6"/>
  <c r="O64" i="6"/>
  <c r="BE63" i="6"/>
  <c r="AS63" i="6"/>
  <c r="AJ63" i="6"/>
  <c r="X63" i="6"/>
  <c r="O63" i="6"/>
  <c r="C63" i="6"/>
  <c r="BE62" i="6"/>
  <c r="AJ62" i="6"/>
  <c r="O62" i="6"/>
  <c r="BE61" i="6"/>
  <c r="AJ61" i="6"/>
  <c r="O61" i="6"/>
  <c r="AS60" i="6"/>
  <c r="X60" i="6"/>
  <c r="C60" i="6"/>
  <c r="BF58" i="6"/>
  <c r="AK58" i="6"/>
  <c r="P58" i="6"/>
  <c r="BF57" i="6"/>
  <c r="AS57" i="6"/>
  <c r="AK57" i="6"/>
  <c r="X57" i="6"/>
  <c r="P57" i="6"/>
  <c r="C57" i="6"/>
  <c r="AT49" i="6"/>
  <c r="AS49" i="6"/>
  <c r="AU75" i="6" s="1"/>
  <c r="AR49" i="6"/>
  <c r="Y49" i="6"/>
  <c r="X49" i="6"/>
  <c r="Z75" i="6" s="1"/>
  <c r="W49" i="6"/>
  <c r="D49" i="6"/>
  <c r="C49" i="6"/>
  <c r="E75" i="6" s="1"/>
  <c r="B49" i="6"/>
  <c r="AT31" i="6"/>
  <c r="Y31" i="6"/>
  <c r="D31" i="6"/>
  <c r="CN1" i="6"/>
  <c r="X85" i="3"/>
  <c r="V85" i="3"/>
  <c r="N80" i="3" s="1"/>
  <c r="N77" i="3"/>
  <c r="G77" i="3"/>
  <c r="W7" i="3"/>
  <c r="W6" i="3"/>
  <c r="N5" i="3"/>
  <c r="G5" i="3"/>
  <c r="U2" i="3"/>
  <c r="T2" i="3"/>
  <c r="S2" i="3"/>
  <c r="R2" i="3"/>
  <c r="Q2" i="3"/>
  <c r="P2" i="3"/>
  <c r="N2" i="3"/>
  <c r="M2" i="3"/>
  <c r="L2" i="3"/>
  <c r="K2" i="3"/>
  <c r="J2" i="3"/>
  <c r="I2" i="3"/>
  <c r="H2" i="3"/>
  <c r="G2" i="3"/>
  <c r="F2" i="3"/>
  <c r="E2" i="3"/>
  <c r="D2" i="3"/>
  <c r="C2" i="3"/>
  <c r="B2" i="3"/>
  <c r="A2" i="3"/>
  <c r="X1" i="3"/>
  <c r="W1" i="3"/>
  <c r="U1" i="3"/>
  <c r="T1" i="3"/>
  <c r="S1" i="3"/>
  <c r="R1" i="3"/>
  <c r="Q1" i="3"/>
  <c r="P1" i="3"/>
  <c r="N1" i="3"/>
  <c r="M1" i="3"/>
  <c r="L1" i="3"/>
  <c r="K1" i="3"/>
  <c r="J1" i="3"/>
  <c r="I1" i="3"/>
  <c r="H1" i="3"/>
  <c r="G1" i="3"/>
  <c r="F1" i="3"/>
  <c r="E1" i="3"/>
  <c r="D1" i="3"/>
  <c r="C1" i="3"/>
  <c r="B1" i="3"/>
  <c r="A1" i="3"/>
  <c r="K119" i="6"/>
  <c r="Y86" i="6"/>
  <c r="H233" i="13"/>
  <c r="AF122" i="6"/>
  <c r="P63" i="6"/>
  <c r="D84" i="6"/>
  <c r="AZ109" i="6"/>
  <c r="D66" i="6"/>
  <c r="BF62" i="6"/>
  <c r="AT63" i="6"/>
  <c r="AZ110" i="6"/>
  <c r="AT72" i="6"/>
  <c r="P64" i="6"/>
  <c r="AF125" i="6"/>
  <c r="Y72" i="6"/>
  <c r="I149" i="13"/>
  <c r="AT86" i="6"/>
  <c r="K113" i="6"/>
  <c r="I150" i="13"/>
  <c r="Y63" i="6"/>
  <c r="BG58" i="6"/>
  <c r="Y84" i="6"/>
  <c r="AF113" i="6"/>
  <c r="AE110" i="6"/>
  <c r="AF115" i="6"/>
  <c r="AF119" i="6"/>
  <c r="D57" i="6"/>
  <c r="K117" i="6"/>
  <c r="BA117" i="6"/>
  <c r="BA125" i="6"/>
  <c r="AF120" i="6"/>
  <c r="Y88" i="6"/>
  <c r="K120" i="6"/>
  <c r="D88" i="6"/>
  <c r="E49" i="6"/>
  <c r="AK63" i="6"/>
  <c r="P62" i="6"/>
  <c r="Y57" i="6"/>
  <c r="D86" i="6"/>
  <c r="AU49" i="6"/>
  <c r="J110" i="6"/>
  <c r="BA116" i="6"/>
  <c r="J109" i="6"/>
  <c r="Z49" i="6"/>
  <c r="I234" i="13"/>
  <c r="BA122" i="6"/>
  <c r="I152" i="13"/>
  <c r="BF63" i="6"/>
  <c r="I141" i="13"/>
  <c r="K126" i="6"/>
  <c r="BA126" i="6"/>
  <c r="K115" i="6"/>
  <c r="B233" i="13"/>
  <c r="I151" i="13"/>
  <c r="AT57" i="6"/>
  <c r="AK64" i="6"/>
  <c r="D60" i="6"/>
  <c r="BA113" i="6"/>
  <c r="K127" i="6"/>
  <c r="BA115" i="6"/>
  <c r="K114" i="6"/>
  <c r="Q58" i="6"/>
  <c r="D233" i="13"/>
  <c r="AT84" i="6"/>
  <c r="AE109" i="6"/>
  <c r="K116" i="6"/>
  <c r="BA127" i="6"/>
  <c r="D69" i="6"/>
  <c r="K125" i="6"/>
  <c r="BA114" i="6"/>
  <c r="D72" i="6"/>
  <c r="AF117" i="6"/>
  <c r="Y66" i="6"/>
  <c r="BF64" i="6"/>
  <c r="AF116" i="6"/>
  <c r="AL58" i="6"/>
  <c r="AF126" i="6"/>
  <c r="AF127" i="6"/>
  <c r="I148" i="13"/>
  <c r="Y69" i="6"/>
  <c r="C166" i="19"/>
  <c r="K141" i="13"/>
  <c r="BA120" i="6"/>
  <c r="AT69" i="6"/>
  <c r="AT66" i="6"/>
  <c r="AL57" i="6"/>
  <c r="AK62" i="6"/>
  <c r="BA119" i="6"/>
  <c r="AF114" i="6"/>
  <c r="F233" i="13"/>
  <c r="BG57" i="6"/>
  <c r="K122" i="6"/>
  <c r="D63" i="6"/>
  <c r="AT88" i="6"/>
  <c r="Q57" i="6"/>
  <c r="J233" i="13"/>
  <c r="G234" i="13"/>
  <c r="Y60" i="6"/>
  <c r="AT60" i="6"/>
  <c r="X3" i="3" l="1"/>
  <c r="AS3" i="15"/>
  <c r="AN3" i="19"/>
  <c r="D193" i="13"/>
  <c r="C134" i="8"/>
  <c r="C132" i="8" s="1"/>
  <c r="BA100" i="8"/>
  <c r="BA76" i="8"/>
  <c r="Q59" i="8"/>
  <c r="F189" i="6"/>
  <c r="G181" i="6" s="1"/>
  <c r="E120" i="6"/>
  <c r="J120" i="6" s="1"/>
  <c r="AM16" i="8"/>
  <c r="AM44" i="8" s="1"/>
  <c r="E26" i="8"/>
  <c r="AZ110" i="8"/>
  <c r="BA110" i="8"/>
  <c r="O68" i="8"/>
  <c r="O75" i="8" s="1"/>
  <c r="O86" i="8" s="1"/>
  <c r="AO73" i="8"/>
  <c r="BA85" i="8"/>
  <c r="J125" i="6"/>
  <c r="G115" i="8" a="1"/>
  <c r="G115" i="8" s="1"/>
  <c r="R185" i="13"/>
  <c r="D10" i="8"/>
  <c r="BA53" i="8"/>
  <c r="E10" i="8"/>
  <c r="D26" i="8"/>
  <c r="AZ47" i="8"/>
  <c r="AU3" i="11"/>
  <c r="R200" i="13"/>
  <c r="E115" i="6"/>
  <c r="F115" i="6" s="1"/>
  <c r="H115" i="6" s="1"/>
  <c r="J117" i="6" s="1"/>
  <c r="AZ39" i="8"/>
  <c r="BA103" i="8"/>
  <c r="D21" i="8"/>
  <c r="Q25" i="8"/>
  <c r="AC28" i="8"/>
  <c r="Q30" i="8"/>
  <c r="AQ3" i="10"/>
  <c r="D25" i="8"/>
  <c r="AU179" i="6"/>
  <c r="AT180" i="6" s="1"/>
  <c r="AW180" i="6" s="1"/>
  <c r="AV180" i="6" s="1"/>
  <c r="E24" i="8"/>
  <c r="AZ64" i="8"/>
  <c r="BA83" i="8"/>
  <c r="BA104" i="8"/>
  <c r="BA114" i="8"/>
  <c r="B67" i="14"/>
  <c r="C67" i="14" s="1"/>
  <c r="AZ23" i="8"/>
  <c r="AZ60" i="8"/>
  <c r="BA64" i="8"/>
  <c r="AZ29" i="8"/>
  <c r="AK226" i="6"/>
  <c r="AZ34" i="8"/>
  <c r="AZ95" i="8"/>
  <c r="D22" i="8"/>
  <c r="D24" i="8"/>
  <c r="E181" i="6"/>
  <c r="BA34" i="8"/>
  <c r="AZ38" i="8"/>
  <c r="BA95" i="8"/>
  <c r="H145" i="13"/>
  <c r="H151" i="13" s="1"/>
  <c r="C466" i="13"/>
  <c r="I466" i="13" s="1"/>
  <c r="H466" i="13" s="1"/>
  <c r="B466" i="13" s="1"/>
  <c r="D466" i="13" s="1"/>
  <c r="C171" i="8"/>
  <c r="C173" i="8"/>
  <c r="C172" i="8"/>
  <c r="I465" i="13"/>
  <c r="H465" i="13" s="1"/>
  <c r="B465" i="13" s="1"/>
  <c r="D465" i="13" s="1"/>
  <c r="L292" i="13"/>
  <c r="AZ96" i="8"/>
  <c r="Z115" i="6"/>
  <c r="AA115" i="6" s="1"/>
  <c r="AC115" i="6" s="1"/>
  <c r="AE117" i="6" s="1"/>
  <c r="AZ51" i="8"/>
  <c r="Q76" i="8"/>
  <c r="BA78" i="8"/>
  <c r="AZ81" i="8"/>
  <c r="AZ113" i="8"/>
  <c r="O202" i="13"/>
  <c r="G80" i="3"/>
  <c r="W3" i="3" s="1"/>
  <c r="AU115" i="6"/>
  <c r="AZ114" i="6" s="1"/>
  <c r="AZ35" i="8"/>
  <c r="AO37" i="8"/>
  <c r="AZ42" i="8"/>
  <c r="BA81" i="8"/>
  <c r="BA105" i="8"/>
  <c r="J32" i="8"/>
  <c r="AZ93" i="8"/>
  <c r="F410" i="13"/>
  <c r="G410" i="13" s="1"/>
  <c r="J410" i="13" s="1"/>
  <c r="AZ78" i="8"/>
  <c r="Z179" i="6"/>
  <c r="Y180" i="6" s="1"/>
  <c r="Z189" i="6"/>
  <c r="AB189" i="6" s="1"/>
  <c r="AC181" i="6" s="1"/>
  <c r="D20" i="8"/>
  <c r="D23" i="8"/>
  <c r="BA35" i="8"/>
  <c r="AZ49" i="8"/>
  <c r="O94" i="8"/>
  <c r="O95" i="8" s="1"/>
  <c r="O102" i="8" s="1"/>
  <c r="AZ97" i="8"/>
  <c r="F120" i="14"/>
  <c r="F112" i="14" s="1"/>
  <c r="AZ125" i="6"/>
  <c r="G160" i="6"/>
  <c r="D147" i="6" s="1"/>
  <c r="C147" i="6" s="1"/>
  <c r="AA189" i="6"/>
  <c r="AB181" i="6" s="1"/>
  <c r="AZ21" i="8"/>
  <c r="BA52" i="8"/>
  <c r="AZ76" i="8"/>
  <c r="K161" i="13"/>
  <c r="J162" i="13" s="1"/>
  <c r="J488" i="13"/>
  <c r="AZ20" i="8"/>
  <c r="BA74" i="8"/>
  <c r="AZ82" i="8"/>
  <c r="BA94" i="8"/>
  <c r="BA102" i="8"/>
  <c r="C463" i="13"/>
  <c r="I463" i="13" s="1"/>
  <c r="H463" i="13" s="1"/>
  <c r="B463" i="13" s="1"/>
  <c r="AU189" i="6"/>
  <c r="AW189" i="6" s="1"/>
  <c r="AX181" i="6" s="1"/>
  <c r="AV189" i="6"/>
  <c r="AW181" i="6" s="1"/>
  <c r="L329" i="13"/>
  <c r="C180" i="6"/>
  <c r="D180" i="6" s="1"/>
  <c r="G180" i="6" s="1"/>
  <c r="F180" i="6" s="1"/>
  <c r="AZ102" i="8"/>
  <c r="J171" i="8"/>
  <c r="C462" i="13"/>
  <c r="I462" i="13" s="1"/>
  <c r="H462" i="13" s="1"/>
  <c r="B462" i="13" s="1"/>
  <c r="AO27" i="8"/>
  <c r="Q85" i="8"/>
  <c r="AZ45" i="8"/>
  <c r="AZ58" i="8"/>
  <c r="BA82" i="8"/>
  <c r="AZ107" i="8"/>
  <c r="F124" i="14"/>
  <c r="F122" i="14" s="1"/>
  <c r="Q22" i="8"/>
  <c r="AZ99" i="8"/>
  <c r="BA107" i="8"/>
  <c r="S238" i="13"/>
  <c r="U238" i="13" s="1"/>
  <c r="V238" i="13" s="1"/>
  <c r="C464" i="13"/>
  <c r="I464" i="13" s="1"/>
  <c r="H464" i="13" s="1"/>
  <c r="B464" i="13" s="1"/>
  <c r="D464" i="13" s="1"/>
  <c r="L112" i="14"/>
  <c r="AN41" i="8"/>
  <c r="Q57" i="8"/>
  <c r="AZ84" i="8"/>
  <c r="AZ89" i="8"/>
  <c r="AZ106" i="8"/>
  <c r="U1" i="6"/>
  <c r="AB160" i="6"/>
  <c r="Y147" i="6" s="1"/>
  <c r="X147" i="6" s="1"/>
  <c r="P36" i="8"/>
  <c r="BA84" i="8"/>
  <c r="BA89" i="8"/>
  <c r="BA106" i="8"/>
  <c r="AZ32" i="8"/>
  <c r="Q36" i="8"/>
  <c r="O42" i="8"/>
  <c r="O38" i="8" s="1"/>
  <c r="BA99" i="8"/>
  <c r="D211" i="13"/>
  <c r="L326" i="13"/>
  <c r="AC10" i="8"/>
  <c r="AZ28" i="8"/>
  <c r="AZ31" i="8"/>
  <c r="AO46" i="8"/>
  <c r="AO48" i="8"/>
  <c r="P73" i="8"/>
  <c r="P81" i="8"/>
  <c r="AZ10" i="8"/>
  <c r="AC40" i="8"/>
  <c r="AZ41" i="8"/>
  <c r="AZ44" i="8"/>
  <c r="AZ55" i="8"/>
  <c r="AZ59" i="8"/>
  <c r="Q81" i="8"/>
  <c r="BA96" i="8"/>
  <c r="AZ100" i="8"/>
  <c r="AZ103" i="8"/>
  <c r="G195" i="8" a="1"/>
  <c r="G195" i="8" s="1"/>
  <c r="BQ209" i="8"/>
  <c r="BQ210" i="8" s="1"/>
  <c r="AB23" i="8"/>
  <c r="AB25" i="8"/>
  <c r="AZ46" i="8"/>
  <c r="AZ48" i="8"/>
  <c r="AO50" i="8"/>
  <c r="AZ61" i="8"/>
  <c r="Q75" i="8"/>
  <c r="Q86" i="8" s="1"/>
  <c r="AC23" i="8"/>
  <c r="AC25" i="8"/>
  <c r="AZ53" i="8"/>
  <c r="AZ56" i="8"/>
  <c r="P77" i="8"/>
  <c r="AZ83" i="8"/>
  <c r="AZ114" i="8"/>
  <c r="AC30" i="8"/>
  <c r="AC33" i="8"/>
  <c r="AB21" i="8"/>
  <c r="AZ26" i="8"/>
  <c r="AZ27" i="8"/>
  <c r="AO33" i="8"/>
  <c r="AC36" i="8"/>
  <c r="E60" i="8"/>
  <c r="E65" i="8"/>
  <c r="Q77" i="8"/>
  <c r="AC21" i="8"/>
  <c r="BA26" i="8"/>
  <c r="BA27" i="8"/>
  <c r="AB29" i="8"/>
  <c r="AB32" i="8"/>
  <c r="AC39" i="8"/>
  <c r="AZ40" i="8"/>
  <c r="AO43" i="8"/>
  <c r="P45" i="8"/>
  <c r="E49" i="8"/>
  <c r="AZ50" i="8"/>
  <c r="AZ79" i="8"/>
  <c r="AN23" i="8"/>
  <c r="AO24" i="8"/>
  <c r="AC29" i="8"/>
  <c r="AZ30" i="8"/>
  <c r="AC32" i="8"/>
  <c r="Q47" i="8"/>
  <c r="Q60" i="8"/>
  <c r="AZ75" i="8"/>
  <c r="BA79" i="8"/>
  <c r="AZ91" i="8"/>
  <c r="BA101" i="8"/>
  <c r="BA108" i="8"/>
  <c r="J151" i="8"/>
  <c r="AC37" i="8"/>
  <c r="P75" i="8"/>
  <c r="P86" i="8" s="1"/>
  <c r="AZ37" i="8"/>
  <c r="AZ108" i="8"/>
  <c r="AO23" i="8"/>
  <c r="AZ33" i="8"/>
  <c r="AB35" i="8"/>
  <c r="AO45" i="8"/>
  <c r="P54" i="8"/>
  <c r="AZ57" i="8"/>
  <c r="AZ62" i="8"/>
  <c r="E66" i="8"/>
  <c r="BA75" i="8"/>
  <c r="AZ87" i="8"/>
  <c r="P95" i="8"/>
  <c r="P106" i="8" s="1"/>
  <c r="C152" i="8"/>
  <c r="AC27" i="8"/>
  <c r="E61" i="8"/>
  <c r="AB39" i="8"/>
  <c r="AZ22" i="8"/>
  <c r="AC35" i="8"/>
  <c r="AO39" i="8"/>
  <c r="AZ43" i="8"/>
  <c r="AO49" i="8"/>
  <c r="AN51" i="8"/>
  <c r="J71" i="8"/>
  <c r="P74" i="8"/>
  <c r="BA77" i="8"/>
  <c r="Q82" i="8"/>
  <c r="AZ92" i="8"/>
  <c r="Q95" i="8"/>
  <c r="Q105" i="8" s="1"/>
  <c r="AZ109" i="8"/>
  <c r="AA16" i="8"/>
  <c r="AA33" i="8" s="1"/>
  <c r="AC20" i="8"/>
  <c r="AZ24" i="8"/>
  <c r="AO32" i="8"/>
  <c r="AZ36" i="8"/>
  <c r="AC38" i="8"/>
  <c r="AC41" i="8"/>
  <c r="AZ54" i="8"/>
  <c r="E63" i="8"/>
  <c r="BA92" i="8"/>
  <c r="C168" i="8"/>
  <c r="AM5" i="19"/>
  <c r="AM4" i="19"/>
  <c r="AM3" i="19"/>
  <c r="AR5" i="15"/>
  <c r="AR3" i="15" a="1"/>
  <c r="AR3" i="15" s="1"/>
  <c r="AR4" i="15"/>
  <c r="P115" i="14"/>
  <c r="R111" i="13"/>
  <c r="S111" i="13" s="1"/>
  <c r="T111" i="13" s="1"/>
  <c r="Q111" i="13"/>
  <c r="F231" i="13"/>
  <c r="G231" i="13" s="1"/>
  <c r="R109" i="13"/>
  <c r="S109" i="13" s="1"/>
  <c r="T109" i="13" s="1"/>
  <c r="Q109" i="13"/>
  <c r="R114" i="13"/>
  <c r="S114" i="13" s="1"/>
  <c r="T114" i="13" s="1"/>
  <c r="Q114" i="13"/>
  <c r="H175" i="13"/>
  <c r="J175" i="13" s="1"/>
  <c r="D393" i="13"/>
  <c r="F405" i="13"/>
  <c r="G405" i="13" s="1"/>
  <c r="J405" i="13" s="1"/>
  <c r="E393" i="13"/>
  <c r="E190" i="13"/>
  <c r="J347" i="13"/>
  <c r="J350" i="13" s="1"/>
  <c r="I393" i="13"/>
  <c r="J393" i="13"/>
  <c r="N393" i="13"/>
  <c r="F408" i="13"/>
  <c r="G408" i="13" s="1"/>
  <c r="J408" i="13" s="1"/>
  <c r="K347" i="13"/>
  <c r="K350" i="13" s="1"/>
  <c r="R227" i="13"/>
  <c r="S227" i="13" s="1"/>
  <c r="L289" i="13"/>
  <c r="L347" i="13"/>
  <c r="L350" i="13" s="1"/>
  <c r="F407" i="13"/>
  <c r="G407" i="13" s="1"/>
  <c r="J407" i="13" s="1"/>
  <c r="O108" i="13"/>
  <c r="P108" i="13" s="1"/>
  <c r="M347" i="13"/>
  <c r="M350" i="13" s="1"/>
  <c r="L393" i="13"/>
  <c r="J487" i="13"/>
  <c r="P110" i="13"/>
  <c r="P113" i="13"/>
  <c r="P115" i="13"/>
  <c r="E206" i="13"/>
  <c r="G175" i="13"/>
  <c r="O187" i="13"/>
  <c r="V237" i="13"/>
  <c r="F406" i="13"/>
  <c r="G406" i="13" s="1"/>
  <c r="J406" i="13" s="1"/>
  <c r="F409" i="13"/>
  <c r="G409" i="13" s="1"/>
  <c r="J409" i="13" s="1"/>
  <c r="H347" i="13"/>
  <c r="H350" i="13" s="1"/>
  <c r="D192" i="13"/>
  <c r="E192" i="13" s="1"/>
  <c r="AT3" i="11" a="1"/>
  <c r="AT3" i="11" s="1"/>
  <c r="AT4" i="11"/>
  <c r="AT5" i="11"/>
  <c r="AP5" i="10"/>
  <c r="AP3" i="10" a="1"/>
  <c r="AP3" i="10" s="1"/>
  <c r="AP4" i="10"/>
  <c r="P25" i="8"/>
  <c r="P32" i="8"/>
  <c r="P28" i="8"/>
  <c r="P27" i="8"/>
  <c r="P24" i="8"/>
  <c r="P30" i="8"/>
  <c r="P23" i="8"/>
  <c r="P34" i="8" s="1"/>
  <c r="P29" i="8"/>
  <c r="P22" i="8"/>
  <c r="P21" i="8"/>
  <c r="P31" i="8"/>
  <c r="P33" i="8"/>
  <c r="P26" i="8"/>
  <c r="P10" i="8"/>
  <c r="P20" i="8"/>
  <c r="O105" i="8"/>
  <c r="C33" i="8"/>
  <c r="C29" i="8"/>
  <c r="C34" i="8"/>
  <c r="C36" i="8"/>
  <c r="C31" i="8"/>
  <c r="C30" i="8"/>
  <c r="C32" i="8"/>
  <c r="C71" i="8"/>
  <c r="C68" i="8"/>
  <c r="C69" i="8"/>
  <c r="C73" i="8"/>
  <c r="AN40" i="8"/>
  <c r="AO54" i="8"/>
  <c r="C94" i="8"/>
  <c r="J91" i="8"/>
  <c r="C70" i="8"/>
  <c r="Q55" i="8"/>
  <c r="Q51" i="8"/>
  <c r="Q50" i="8"/>
  <c r="Q52" i="8"/>
  <c r="Q49" i="8"/>
  <c r="Q48" i="8"/>
  <c r="Q46" i="8"/>
  <c r="Q56" i="8"/>
  <c r="Q45" i="8"/>
  <c r="Q54" i="8"/>
  <c r="Q44" i="8"/>
  <c r="Q53" i="8"/>
  <c r="AY70" i="8"/>
  <c r="BF67" i="8"/>
  <c r="C194" i="8"/>
  <c r="J191" i="8"/>
  <c r="AN49" i="8"/>
  <c r="AN28" i="8"/>
  <c r="AN22" i="8"/>
  <c r="AN25" i="8"/>
  <c r="AN48" i="8"/>
  <c r="AN47" i="8"/>
  <c r="AN39" i="8"/>
  <c r="AN35" i="8"/>
  <c r="AN26" i="8"/>
  <c r="AN50" i="8"/>
  <c r="AN33" i="8"/>
  <c r="AN20" i="8"/>
  <c r="AN44" i="8"/>
  <c r="AN31" i="8"/>
  <c r="AN30" i="8"/>
  <c r="AN27" i="8"/>
  <c r="AN52" i="8"/>
  <c r="AN46" i="8"/>
  <c r="AN43" i="8"/>
  <c r="AN42" i="8"/>
  <c r="AN21" i="8"/>
  <c r="AN10" i="8"/>
  <c r="AN45" i="8"/>
  <c r="AN34" i="8"/>
  <c r="AN36" i="8"/>
  <c r="AN24" i="8"/>
  <c r="AN29" i="8"/>
  <c r="AN37" i="8"/>
  <c r="AN38" i="8"/>
  <c r="AO78" i="8"/>
  <c r="AO68" i="8"/>
  <c r="AO96" i="8"/>
  <c r="AO94" i="8"/>
  <c r="AO75" i="8"/>
  <c r="AO69" i="8"/>
  <c r="AO90" i="8"/>
  <c r="AO87" i="8"/>
  <c r="AO83" i="8"/>
  <c r="AO80" i="8"/>
  <c r="AO72" i="8"/>
  <c r="AO84" i="8"/>
  <c r="AO65" i="8"/>
  <c r="AO64" i="8"/>
  <c r="AO89" i="8"/>
  <c r="AO66" i="8"/>
  <c r="AO74" i="8"/>
  <c r="AO79" i="8"/>
  <c r="AO93" i="8"/>
  <c r="AO88" i="8"/>
  <c r="AO92" i="8"/>
  <c r="AO95" i="8"/>
  <c r="AO81" i="8"/>
  <c r="AO63" i="8"/>
  <c r="AO85" i="8"/>
  <c r="AO76" i="8"/>
  <c r="AO71" i="8"/>
  <c r="AO62" i="8"/>
  <c r="AO70" i="8"/>
  <c r="AO86" i="8"/>
  <c r="AO67" i="8"/>
  <c r="AO77" i="8"/>
  <c r="AO82" i="8"/>
  <c r="C72" i="8"/>
  <c r="BA56" i="8"/>
  <c r="BA54" i="8"/>
  <c r="BA51" i="8"/>
  <c r="BA36" i="8"/>
  <c r="BA10" i="8"/>
  <c r="BA45" i="8"/>
  <c r="BA23" i="8"/>
  <c r="BA62" i="8"/>
  <c r="BA61" i="8"/>
  <c r="BA60" i="8"/>
  <c r="BA44" i="8"/>
  <c r="BA31" i="8"/>
  <c r="BA37" i="8"/>
  <c r="BA55" i="8"/>
  <c r="BA42" i="8"/>
  <c r="BA24" i="8"/>
  <c r="BA46" i="8"/>
  <c r="BA47" i="8"/>
  <c r="BA25" i="8"/>
  <c r="BA40" i="8"/>
  <c r="BA21" i="8"/>
  <c r="BA48" i="8"/>
  <c r="BA39" i="8"/>
  <c r="BA50" i="8"/>
  <c r="BA49" i="8"/>
  <c r="BA20" i="8"/>
  <c r="BA59" i="8"/>
  <c r="BA57" i="8"/>
  <c r="BA29" i="8"/>
  <c r="BA28" i="8"/>
  <c r="BA38" i="8"/>
  <c r="BA30" i="8"/>
  <c r="BA32" i="8"/>
  <c r="BA41" i="8"/>
  <c r="BA58" i="8"/>
  <c r="BA43" i="8"/>
  <c r="BA33" i="8"/>
  <c r="E22" i="8"/>
  <c r="E25" i="8"/>
  <c r="E21" i="8"/>
  <c r="E20" i="8"/>
  <c r="AY16" i="8"/>
  <c r="BF13" i="8"/>
  <c r="D59" i="8"/>
  <c r="D66" i="8"/>
  <c r="D64" i="8"/>
  <c r="D63" i="8"/>
  <c r="D49" i="8"/>
  <c r="D65" i="8"/>
  <c r="D61" i="8"/>
  <c r="C16" i="8"/>
  <c r="J13" i="8"/>
  <c r="J111" i="8"/>
  <c r="C114" i="8"/>
  <c r="C151" i="8"/>
  <c r="C150" i="8"/>
  <c r="C149" i="8"/>
  <c r="O16" i="8"/>
  <c r="P46" i="8"/>
  <c r="Q23" i="8"/>
  <c r="Q34" i="8" s="1"/>
  <c r="Q26" i="8"/>
  <c r="Q32" i="8"/>
  <c r="Q28" i="8"/>
  <c r="Q10" i="8"/>
  <c r="Q24" i="8"/>
  <c r="Q29" i="8"/>
  <c r="Q27" i="8"/>
  <c r="AT57" i="8"/>
  <c r="AM60" i="8"/>
  <c r="D62" i="8"/>
  <c r="Q33" i="8"/>
  <c r="P49" i="8"/>
  <c r="P44" i="8"/>
  <c r="P53" i="8"/>
  <c r="P55" i="8"/>
  <c r="P51" i="8"/>
  <c r="P47" i="8"/>
  <c r="P52" i="8"/>
  <c r="P50" i="8"/>
  <c r="P48" i="8"/>
  <c r="P58" i="8"/>
  <c r="P60" i="8"/>
  <c r="P59" i="8"/>
  <c r="P56" i="8"/>
  <c r="E23" i="8"/>
  <c r="Q31" i="8"/>
  <c r="P85" i="8"/>
  <c r="P84" i="8"/>
  <c r="P79" i="8"/>
  <c r="P82" i="8"/>
  <c r="P72" i="8"/>
  <c r="P80" i="8"/>
  <c r="P62" i="8"/>
  <c r="P78" i="8"/>
  <c r="P83" i="8"/>
  <c r="Q21" i="8"/>
  <c r="Q83" i="8"/>
  <c r="Q78" i="8"/>
  <c r="Q73" i="8"/>
  <c r="Q84" i="8"/>
  <c r="Q72" i="8"/>
  <c r="Q79" i="8"/>
  <c r="Q80" i="8"/>
  <c r="Q62" i="8"/>
  <c r="C148" i="8"/>
  <c r="AB28" i="8"/>
  <c r="AB40" i="8"/>
  <c r="AB36" i="8"/>
  <c r="AB20" i="8"/>
  <c r="AB31" i="8"/>
  <c r="AB37" i="8"/>
  <c r="AB27" i="8"/>
  <c r="AB24" i="8"/>
  <c r="AB10" i="8"/>
  <c r="AB26" i="8"/>
  <c r="AB41" i="8"/>
  <c r="D36" i="8"/>
  <c r="D29" i="8"/>
  <c r="AO40" i="8"/>
  <c r="AO10" i="8"/>
  <c r="AB22" i="8"/>
  <c r="E36" i="8"/>
  <c r="C55" i="8"/>
  <c r="BY3" i="8"/>
  <c r="AO34" i="8"/>
  <c r="AO20" i="8"/>
  <c r="AO51" i="8"/>
  <c r="AO36" i="8"/>
  <c r="AO35" i="8"/>
  <c r="AO26" i="8"/>
  <c r="AO42" i="8"/>
  <c r="AO29" i="8"/>
  <c r="AO52" i="8"/>
  <c r="AO47" i="8"/>
  <c r="AO41" i="8"/>
  <c r="AO44" i="8"/>
  <c r="AO31" i="8"/>
  <c r="AO30" i="8"/>
  <c r="AO38" i="8"/>
  <c r="AO25" i="8"/>
  <c r="AO22" i="8"/>
  <c r="AB34" i="8"/>
  <c r="AB38" i="8"/>
  <c r="AO28" i="8"/>
  <c r="AB30" i="8"/>
  <c r="AB33" i="8"/>
  <c r="C170" i="8"/>
  <c r="C169" i="8"/>
  <c r="AZ101" i="8"/>
  <c r="AZ104" i="8"/>
  <c r="AZ88" i="8"/>
  <c r="AZ85" i="8"/>
  <c r="AZ74" i="8"/>
  <c r="AZ112" i="8"/>
  <c r="AZ98" i="8"/>
  <c r="AZ80" i="8"/>
  <c r="AZ86" i="8"/>
  <c r="AZ90" i="8"/>
  <c r="AN61" i="8"/>
  <c r="BA111" i="8"/>
  <c r="BA93" i="8"/>
  <c r="BA87" i="8"/>
  <c r="BA113" i="8"/>
  <c r="BA97" i="8"/>
  <c r="BA112" i="8"/>
  <c r="BA98" i="8"/>
  <c r="BA91" i="8"/>
  <c r="BA80" i="8"/>
  <c r="BA86" i="8"/>
  <c r="BA88" i="8"/>
  <c r="BA90" i="8"/>
  <c r="AZ111" i="8"/>
  <c r="E59" i="8"/>
  <c r="E64" i="8"/>
  <c r="AZ77" i="8"/>
  <c r="AZ94" i="8"/>
  <c r="AC26" i="8"/>
  <c r="AC34" i="8"/>
  <c r="AC22" i="8"/>
  <c r="AC24" i="8"/>
  <c r="AC31" i="8"/>
  <c r="AZ25" i="8"/>
  <c r="T229" i="6"/>
  <c r="AU158" i="6"/>
  <c r="AW160" i="6"/>
  <c r="BJ229" i="6"/>
  <c r="H125" i="6"/>
  <c r="H119" i="6"/>
  <c r="I110" i="6" s="1"/>
  <c r="AC112" i="6"/>
  <c r="AE120" i="6"/>
  <c r="AX119" i="6"/>
  <c r="AY110" i="6" s="1"/>
  <c r="AX125" i="6"/>
  <c r="AO229" i="6"/>
  <c r="AB122" i="6"/>
  <c r="AU120" i="6"/>
  <c r="AW122" i="6"/>
  <c r="AC122" i="6"/>
  <c r="AE125" i="6"/>
  <c r="BJ226" i="6"/>
  <c r="G122" i="6"/>
  <c r="P226" i="6"/>
  <c r="AM19" i="8" l="1"/>
  <c r="AM15" i="8"/>
  <c r="AM28" i="8"/>
  <c r="AM33" i="8"/>
  <c r="AM31" i="8"/>
  <c r="AM11" i="8"/>
  <c r="AM34" i="8"/>
  <c r="AM41" i="8"/>
  <c r="AM52" i="8"/>
  <c r="C129" i="8"/>
  <c r="C133" i="8"/>
  <c r="C128" i="8"/>
  <c r="C131" i="8"/>
  <c r="C130" i="8"/>
  <c r="AM45" i="8"/>
  <c r="Y146" i="6"/>
  <c r="AM32" i="8"/>
  <c r="W5" i="3"/>
  <c r="AM40" i="8"/>
  <c r="AM38" i="8"/>
  <c r="AM24" i="8"/>
  <c r="AM25" i="8"/>
  <c r="AM22" i="8"/>
  <c r="AM37" i="8"/>
  <c r="AM18" i="8"/>
  <c r="AM51" i="8" s="1"/>
  <c r="AM10" i="8"/>
  <c r="AM20" i="8"/>
  <c r="AM23" i="8"/>
  <c r="AM14" i="8"/>
  <c r="AM17" i="8"/>
  <c r="AM49" i="8" s="1"/>
  <c r="AM21" i="8"/>
  <c r="AM35" i="8"/>
  <c r="AM42" i="8"/>
  <c r="AM12" i="8"/>
  <c r="AM36" i="8"/>
  <c r="AM39" i="8"/>
  <c r="AM26" i="8"/>
  <c r="AM47" i="8"/>
  <c r="AM13" i="8"/>
  <c r="AM48" i="8"/>
  <c r="W4" i="3"/>
  <c r="AM43" i="8"/>
  <c r="AM27" i="8"/>
  <c r="AM29" i="8"/>
  <c r="AM46" i="8"/>
  <c r="AM30" i="8"/>
  <c r="AA20" i="8"/>
  <c r="AA12" i="8"/>
  <c r="AA22" i="8"/>
  <c r="H112" i="6"/>
  <c r="O67" i="8"/>
  <c r="O77" i="8"/>
  <c r="O63" i="8"/>
  <c r="O104" i="8"/>
  <c r="O99" i="8"/>
  <c r="O96" i="8"/>
  <c r="O108" i="8"/>
  <c r="O70" i="8"/>
  <c r="O85" i="8" s="1"/>
  <c r="O81" i="8"/>
  <c r="O100" i="8"/>
  <c r="O111" i="8"/>
  <c r="AA36" i="8"/>
  <c r="O83" i="8"/>
  <c r="O79" i="8"/>
  <c r="O65" i="8"/>
  <c r="O69" i="8"/>
  <c r="O84" i="8" s="1"/>
  <c r="O64" i="8"/>
  <c r="O76" i="8"/>
  <c r="O78" i="8"/>
  <c r="O41" i="8"/>
  <c r="O112" i="8"/>
  <c r="O82" i="8"/>
  <c r="O36" i="8"/>
  <c r="O88" i="8"/>
  <c r="O40" i="8"/>
  <c r="O37" i="8"/>
  <c r="O98" i="8"/>
  <c r="O39" i="8"/>
  <c r="O66" i="8"/>
  <c r="O62" i="8"/>
  <c r="O72" i="8"/>
  <c r="O73" i="8"/>
  <c r="O80" i="8"/>
  <c r="O74" i="8"/>
  <c r="O90" i="8"/>
  <c r="O91" i="8"/>
  <c r="D463" i="13"/>
  <c r="AA19" i="8"/>
  <c r="O71" i="8"/>
  <c r="D462" i="13"/>
  <c r="AE115" i="6"/>
  <c r="E124" i="14"/>
  <c r="E120" i="14"/>
  <c r="E122" i="14"/>
  <c r="O97" i="8"/>
  <c r="D146" i="6"/>
  <c r="O89" i="8"/>
  <c r="AA18" i="8"/>
  <c r="AA40" i="8" s="1"/>
  <c r="O106" i="8"/>
  <c r="AA10" i="8"/>
  <c r="O92" i="8"/>
  <c r="J115" i="6"/>
  <c r="O101" i="8"/>
  <c r="J114" i="6"/>
  <c r="O103" i="8"/>
  <c r="G115" i="6"/>
  <c r="J116" i="6" s="1"/>
  <c r="O93" i="8"/>
  <c r="O107" i="8"/>
  <c r="O110" i="8"/>
  <c r="AV115" i="6"/>
  <c r="AX115" i="6" s="1"/>
  <c r="AZ117" i="6" s="1"/>
  <c r="O109" i="8"/>
  <c r="O43" i="8"/>
  <c r="O59" i="8" s="1"/>
  <c r="AB180" i="6"/>
  <c r="AA180" i="6" s="1"/>
  <c r="AE114" i="6"/>
  <c r="Q104" i="8"/>
  <c r="Q109" i="8"/>
  <c r="P100" i="8"/>
  <c r="F126" i="14"/>
  <c r="J489" i="13"/>
  <c r="J490" i="13" s="1"/>
  <c r="Q100" i="8"/>
  <c r="Q103" i="8"/>
  <c r="Q111" i="8"/>
  <c r="P102" i="8"/>
  <c r="Q108" i="8"/>
  <c r="BO209" i="8"/>
  <c r="P107" i="8"/>
  <c r="P99" i="8"/>
  <c r="I162" i="13"/>
  <c r="H162" i="13" s="1"/>
  <c r="AB115" i="6"/>
  <c r="AE116" i="6" s="1"/>
  <c r="BQ211" i="8"/>
  <c r="BO211" i="8" s="1"/>
  <c r="BO210" i="8"/>
  <c r="AA31" i="8"/>
  <c r="P112" i="8"/>
  <c r="P103" i="8"/>
  <c r="P105" i="8"/>
  <c r="AA38" i="8"/>
  <c r="Q99" i="8"/>
  <c r="P96" i="8"/>
  <c r="AA32" i="8"/>
  <c r="AA11" i="8"/>
  <c r="Q110" i="8"/>
  <c r="P98" i="8"/>
  <c r="Q102" i="8"/>
  <c r="AA14" i="8"/>
  <c r="Q98" i="8"/>
  <c r="P109" i="8"/>
  <c r="Q107" i="8"/>
  <c r="Q96" i="8"/>
  <c r="AA26" i="8"/>
  <c r="Q112" i="8"/>
  <c r="P110" i="8"/>
  <c r="P104" i="8"/>
  <c r="AA21" i="8"/>
  <c r="Q97" i="8"/>
  <c r="P108" i="8"/>
  <c r="AA15" i="8"/>
  <c r="AA34" i="8"/>
  <c r="AA30" i="8"/>
  <c r="P101" i="8"/>
  <c r="Q101" i="8"/>
  <c r="P97" i="8"/>
  <c r="AA25" i="8"/>
  <c r="AA17" i="8"/>
  <c r="AA13" i="8"/>
  <c r="AA35" i="8"/>
  <c r="AA29" i="8"/>
  <c r="AA23" i="8"/>
  <c r="AA39" i="8"/>
  <c r="AA24" i="8"/>
  <c r="AA37" i="8"/>
  <c r="AA27" i="8"/>
  <c r="AA28" i="8"/>
  <c r="AA42" i="8"/>
  <c r="Q106" i="8"/>
  <c r="P111" i="8"/>
  <c r="T227" i="13"/>
  <c r="U227" i="13"/>
  <c r="V227" i="13" s="1"/>
  <c r="W227" i="13" s="1"/>
  <c r="R108" i="13"/>
  <c r="S108" i="13" s="1"/>
  <c r="T108" i="13" s="1"/>
  <c r="Q108" i="13"/>
  <c r="N350" i="13"/>
  <c r="W238" i="13"/>
  <c r="X238" i="13"/>
  <c r="Y238" i="13" s="1"/>
  <c r="Z238" i="13" s="1"/>
  <c r="H231" i="13"/>
  <c r="I231" i="13"/>
  <c r="J231" i="13" s="1"/>
  <c r="K231" i="13" s="1"/>
  <c r="W237" i="13"/>
  <c r="X237" i="13"/>
  <c r="Y237" i="13" s="1"/>
  <c r="Z237" i="13" s="1"/>
  <c r="R113" i="13"/>
  <c r="S113" i="13" s="1"/>
  <c r="T113" i="13" s="1"/>
  <c r="Q113" i="13"/>
  <c r="R110" i="13"/>
  <c r="S110" i="13" s="1"/>
  <c r="T110" i="13" s="1"/>
  <c r="Q110" i="13"/>
  <c r="R115" i="13"/>
  <c r="S115" i="13" s="1"/>
  <c r="T115" i="13" s="1"/>
  <c r="Q115" i="13"/>
  <c r="E44" i="8"/>
  <c r="E43" i="8"/>
  <c r="E42" i="8"/>
  <c r="E39" i="8"/>
  <c r="E37" i="8"/>
  <c r="E40" i="8"/>
  <c r="E41" i="8"/>
  <c r="E38" i="8"/>
  <c r="E47" i="8"/>
  <c r="E45" i="8"/>
  <c r="E46" i="8"/>
  <c r="BA115" i="8"/>
  <c r="BA116" i="8"/>
  <c r="D46" i="8"/>
  <c r="D41" i="8"/>
  <c r="D38" i="8"/>
  <c r="D42" i="8"/>
  <c r="D40" i="8"/>
  <c r="D37" i="8"/>
  <c r="D44" i="8"/>
  <c r="D43" i="8"/>
  <c r="D45" i="8"/>
  <c r="D39" i="8"/>
  <c r="D47" i="8"/>
  <c r="O25" i="8"/>
  <c r="O23" i="8"/>
  <c r="O34" i="8" s="1"/>
  <c r="O21" i="8"/>
  <c r="O18" i="8"/>
  <c r="O33" i="8" s="1"/>
  <c r="O30" i="8"/>
  <c r="O27" i="8"/>
  <c r="O24" i="8"/>
  <c r="O20" i="8"/>
  <c r="O11" i="8"/>
  <c r="O31" i="8"/>
  <c r="O19" i="8"/>
  <c r="O22" i="8"/>
  <c r="O13" i="8"/>
  <c r="O12" i="8"/>
  <c r="O17" i="8"/>
  <c r="O32" i="8" s="1"/>
  <c r="O26" i="8"/>
  <c r="O15" i="8"/>
  <c r="O28" i="8"/>
  <c r="O10" i="8"/>
  <c r="O14" i="8"/>
  <c r="O29" i="8"/>
  <c r="C189" i="8"/>
  <c r="C190" i="8"/>
  <c r="C191" i="8"/>
  <c r="C188" i="8"/>
  <c r="C193" i="8"/>
  <c r="C192" i="8"/>
  <c r="AN79" i="8"/>
  <c r="AN93" i="8"/>
  <c r="AN87" i="8"/>
  <c r="AN82" i="8"/>
  <c r="AN81" i="8"/>
  <c r="AN90" i="8"/>
  <c r="AN83" i="8"/>
  <c r="AN80" i="8"/>
  <c r="AN72" i="8"/>
  <c r="AN89" i="8"/>
  <c r="AN84" i="8"/>
  <c r="AN63" i="8"/>
  <c r="AN74" i="8"/>
  <c r="AN86" i="8"/>
  <c r="AN88" i="8"/>
  <c r="AN62" i="8"/>
  <c r="AN92" i="8"/>
  <c r="AN66" i="8"/>
  <c r="AN95" i="8"/>
  <c r="AN75" i="8"/>
  <c r="AN65" i="8"/>
  <c r="AN70" i="8"/>
  <c r="AN76" i="8"/>
  <c r="AN69" i="8"/>
  <c r="AN71" i="8"/>
  <c r="AN77" i="8"/>
  <c r="AN94" i="8"/>
  <c r="AN85" i="8"/>
  <c r="AN73" i="8"/>
  <c r="AN64" i="8"/>
  <c r="AN96" i="8"/>
  <c r="AN68" i="8"/>
  <c r="AN78" i="8"/>
  <c r="AN91" i="8"/>
  <c r="AN67" i="8"/>
  <c r="C65" i="8"/>
  <c r="C63" i="8"/>
  <c r="C50" i="8"/>
  <c r="C59" i="8"/>
  <c r="C60" i="8"/>
  <c r="C54" i="8"/>
  <c r="C58" i="8"/>
  <c r="C49" i="8"/>
  <c r="C52" i="8"/>
  <c r="C56" i="8"/>
  <c r="C61" i="8"/>
  <c r="C64" i="8"/>
  <c r="C62" i="8"/>
  <c r="C57" i="8"/>
  <c r="C51" i="8"/>
  <c r="C53" i="8"/>
  <c r="C66" i="8"/>
  <c r="C22" i="8"/>
  <c r="C25" i="8"/>
  <c r="C15" i="8"/>
  <c r="C20" i="8"/>
  <c r="C10" i="8"/>
  <c r="C12" i="8"/>
  <c r="C24" i="8"/>
  <c r="C14" i="8"/>
  <c r="C19" i="8"/>
  <c r="C13" i="8"/>
  <c r="C23" i="8"/>
  <c r="C18" i="8"/>
  <c r="C21" i="8"/>
  <c r="C11" i="8"/>
  <c r="C17" i="8"/>
  <c r="C26" i="8"/>
  <c r="C27" i="8"/>
  <c r="C92" i="8"/>
  <c r="C88" i="8"/>
  <c r="C93" i="8"/>
  <c r="C91" i="8"/>
  <c r="C90" i="8"/>
  <c r="C89" i="8"/>
  <c r="C110" i="8"/>
  <c r="C111" i="8"/>
  <c r="C108" i="8"/>
  <c r="C109" i="8"/>
  <c r="C113" i="8"/>
  <c r="C112" i="8"/>
  <c r="AY55" i="8"/>
  <c r="AY33" i="8"/>
  <c r="AY30" i="8"/>
  <c r="AY27" i="8"/>
  <c r="AY58" i="8"/>
  <c r="AY32" i="8"/>
  <c r="AY29" i="8"/>
  <c r="AY60" i="8"/>
  <c r="AY46" i="8"/>
  <c r="AY34" i="8"/>
  <c r="AY57" i="8"/>
  <c r="AY38" i="8"/>
  <c r="AY21" i="8"/>
  <c r="AY14" i="8"/>
  <c r="AY59" i="8"/>
  <c r="AY54" i="8"/>
  <c r="AY18" i="8"/>
  <c r="AY11" i="8"/>
  <c r="AY22" i="8"/>
  <c r="AY61" i="8"/>
  <c r="AY45" i="8"/>
  <c r="AY26" i="8"/>
  <c r="AY15" i="8"/>
  <c r="AY56" i="8"/>
  <c r="AY44" i="8"/>
  <c r="AY43" i="8"/>
  <c r="AY25" i="8"/>
  <c r="AY53" i="8"/>
  <c r="AY41" i="8"/>
  <c r="AY24" i="8"/>
  <c r="AY10" i="8"/>
  <c r="AY48" i="8"/>
  <c r="AY39" i="8"/>
  <c r="AY13" i="8"/>
  <c r="AY52" i="8"/>
  <c r="AY35" i="8"/>
  <c r="AY49" i="8"/>
  <c r="AY36" i="8"/>
  <c r="AY50" i="8"/>
  <c r="AY23" i="8"/>
  <c r="AY19" i="8"/>
  <c r="AY37" i="8"/>
  <c r="AY28" i="8"/>
  <c r="AY12" i="8"/>
  <c r="AY17" i="8"/>
  <c r="AY51" i="8"/>
  <c r="AY40" i="8"/>
  <c r="AY20" i="8"/>
  <c r="AY62" i="8"/>
  <c r="AY47" i="8"/>
  <c r="AY42" i="8"/>
  <c r="AY31" i="8"/>
  <c r="AY114" i="8"/>
  <c r="AY95" i="8"/>
  <c r="AY90" i="8"/>
  <c r="AY76" i="8"/>
  <c r="AY67" i="8"/>
  <c r="AY107" i="8"/>
  <c r="AY110" i="8"/>
  <c r="AY65" i="8"/>
  <c r="AY64" i="8"/>
  <c r="AY104" i="8"/>
  <c r="AY88" i="8"/>
  <c r="AY85" i="8"/>
  <c r="AY74" i="8"/>
  <c r="AY73" i="8"/>
  <c r="AY112" i="8"/>
  <c r="AY105" i="8"/>
  <c r="AY100" i="8"/>
  <c r="AY69" i="8"/>
  <c r="AY94" i="8"/>
  <c r="AY92" i="8"/>
  <c r="AY111" i="8"/>
  <c r="AY101" i="8"/>
  <c r="AY80" i="8"/>
  <c r="AY103" i="8"/>
  <c r="AY68" i="8"/>
  <c r="AY81" i="8"/>
  <c r="AY66" i="8"/>
  <c r="AY75" i="8"/>
  <c r="AY77" i="8"/>
  <c r="AY71" i="8"/>
  <c r="AY113" i="8"/>
  <c r="AY109" i="8"/>
  <c r="AY102" i="8"/>
  <c r="AY86" i="8"/>
  <c r="AY97" i="8"/>
  <c r="AY93" i="8"/>
  <c r="AY84" i="8"/>
  <c r="AY79" i="8"/>
  <c r="AY72" i="8"/>
  <c r="AY89" i="8"/>
  <c r="AY99" i="8"/>
  <c r="AY82" i="8"/>
  <c r="AY96" i="8"/>
  <c r="AY91" i="8"/>
  <c r="AY108" i="8"/>
  <c r="AY98" i="8"/>
  <c r="AY78" i="8"/>
  <c r="AY106" i="8"/>
  <c r="AY87" i="8"/>
  <c r="AY83" i="8"/>
  <c r="AZ116" i="8"/>
  <c r="AZ115" i="8"/>
  <c r="AM56" i="8"/>
  <c r="AM58" i="8"/>
  <c r="AM61" i="8"/>
  <c r="AM57" i="8"/>
  <c r="AM55" i="8"/>
  <c r="AM59" i="8"/>
  <c r="AM54" i="8"/>
  <c r="C41" i="8"/>
  <c r="C37" i="8"/>
  <c r="C40" i="8"/>
  <c r="C38" i="8"/>
  <c r="C39" i="8"/>
  <c r="C42" i="8"/>
  <c r="C44" i="8"/>
  <c r="C43" i="8"/>
  <c r="C45" i="8"/>
  <c r="C46" i="8"/>
  <c r="C47" i="8"/>
  <c r="AW125" i="6"/>
  <c r="AZ122" i="6"/>
  <c r="AZ120" i="6"/>
  <c r="AX112" i="6"/>
  <c r="AT146" i="6"/>
  <c r="AT147" i="6"/>
  <c r="AS147" i="6" s="1"/>
  <c r="AB125" i="6"/>
  <c r="AE122" i="6"/>
  <c r="G125" i="6"/>
  <c r="J122" i="6"/>
  <c r="AC119" i="6"/>
  <c r="AD110" i="6" s="1"/>
  <c r="AC125" i="6"/>
  <c r="AM50" i="8" l="1"/>
  <c r="K461" i="13"/>
  <c r="E465" i="13" s="1"/>
  <c r="J465" i="13" s="1"/>
  <c r="K465" i="13" s="1"/>
  <c r="O53" i="8"/>
  <c r="AA41" i="8"/>
  <c r="E126" i="14"/>
  <c r="AW115" i="6"/>
  <c r="AZ116" i="6" s="1"/>
  <c r="O58" i="8"/>
  <c r="O50" i="8"/>
  <c r="O54" i="8"/>
  <c r="O55" i="8"/>
  <c r="AZ115" i="6"/>
  <c r="O52" i="8"/>
  <c r="O47" i="8"/>
  <c r="O45" i="8"/>
  <c r="O49" i="8"/>
  <c r="O44" i="8"/>
  <c r="O46" i="8"/>
  <c r="O51" i="8"/>
  <c r="O60" i="8"/>
  <c r="O57" i="8"/>
  <c r="O48" i="8"/>
  <c r="O56" i="8"/>
  <c r="K162" i="13"/>
  <c r="BQ212" i="8"/>
  <c r="AM80" i="8"/>
  <c r="AM79" i="8"/>
  <c r="AM75" i="8"/>
  <c r="AM71" i="8"/>
  <c r="AM68" i="8"/>
  <c r="AM63" i="8"/>
  <c r="AM62" i="8"/>
  <c r="AM87" i="8"/>
  <c r="AM82" i="8"/>
  <c r="AM81" i="8"/>
  <c r="AM93" i="8"/>
  <c r="AM72" i="8"/>
  <c r="AM95" i="8"/>
  <c r="AM85" i="8"/>
  <c r="AM78" i="8"/>
  <c r="AM77" i="8"/>
  <c r="AM76" i="8"/>
  <c r="AM73" i="8"/>
  <c r="AM83" i="8"/>
  <c r="AM67" i="8"/>
  <c r="AM86" i="8"/>
  <c r="AM88" i="8"/>
  <c r="AM94" i="8"/>
  <c r="AM84" i="8"/>
  <c r="AM70" i="8"/>
  <c r="AM92" i="8"/>
  <c r="AM74" i="8"/>
  <c r="AM66" i="8"/>
  <c r="AM90" i="8"/>
  <c r="AM65" i="8"/>
  <c r="AM89" i="8"/>
  <c r="AM69" i="8"/>
  <c r="AM91" i="8"/>
  <c r="AM64" i="8"/>
  <c r="AM96" i="8"/>
  <c r="C95" i="8"/>
  <c r="C155" i="8"/>
  <c r="C115" i="8"/>
  <c r="C135" i="8"/>
  <c r="C195" i="8"/>
  <c r="C175" i="8"/>
  <c r="C75" i="8"/>
  <c r="AY115" i="8"/>
  <c r="AY116" i="8"/>
  <c r="E175" i="8"/>
  <c r="E135" i="8"/>
  <c r="E115" i="8"/>
  <c r="E95" i="8"/>
  <c r="E195" i="8"/>
  <c r="E155" i="8"/>
  <c r="E75" i="8"/>
  <c r="D195" i="8"/>
  <c r="D75" i="8"/>
  <c r="D155" i="8"/>
  <c r="D135" i="8"/>
  <c r="D115" i="8"/>
  <c r="D95" i="8"/>
  <c r="D175" i="8"/>
  <c r="F465" i="13" l="1"/>
  <c r="E466" i="13"/>
  <c r="F466" i="13" s="1"/>
  <c r="J466" i="13" s="1"/>
  <c r="K466" i="13" s="1"/>
  <c r="E463" i="13"/>
  <c r="E462" i="13"/>
  <c r="J462" i="13" s="1"/>
  <c r="K462" i="13" s="1"/>
  <c r="E464" i="13"/>
  <c r="J464" i="13" s="1"/>
  <c r="K464" i="13" s="1"/>
  <c r="BO212" i="8"/>
  <c r="BQ213" i="8"/>
  <c r="BO213" i="8" s="1"/>
  <c r="F463" i="13"/>
  <c r="J463" i="13"/>
  <c r="K463" i="13" s="1"/>
  <c r="D197" i="8"/>
  <c r="D200" i="8"/>
  <c r="D203" i="8"/>
  <c r="D202" i="8"/>
  <c r="D201" i="8"/>
  <c r="D206" i="8"/>
  <c r="D199" i="8"/>
  <c r="D196" i="8"/>
  <c r="D204" i="8"/>
  <c r="D198" i="8"/>
  <c r="D205" i="8"/>
  <c r="C139" i="8"/>
  <c r="C141" i="8"/>
  <c r="C140" i="8"/>
  <c r="C145" i="8"/>
  <c r="C137" i="8"/>
  <c r="C144" i="8"/>
  <c r="C143" i="8"/>
  <c r="C138" i="8"/>
  <c r="C146" i="8"/>
  <c r="C136" i="8"/>
  <c r="C142" i="8"/>
  <c r="C105" i="8"/>
  <c r="C106" i="8"/>
  <c r="C103" i="8"/>
  <c r="C102" i="8"/>
  <c r="C99" i="8"/>
  <c r="C100" i="8"/>
  <c r="C98" i="8"/>
  <c r="C101" i="8"/>
  <c r="C97" i="8"/>
  <c r="C104" i="8"/>
  <c r="C96" i="8"/>
  <c r="D103" i="8"/>
  <c r="D96" i="8"/>
  <c r="D102" i="8"/>
  <c r="D99" i="8"/>
  <c r="D100" i="8"/>
  <c r="D101" i="8"/>
  <c r="D105" i="8"/>
  <c r="D97" i="8"/>
  <c r="D98" i="8"/>
  <c r="D104" i="8"/>
  <c r="D106" i="8"/>
  <c r="D126" i="8"/>
  <c r="D125" i="8"/>
  <c r="D120" i="8"/>
  <c r="D118" i="8"/>
  <c r="D119" i="8"/>
  <c r="D117" i="8"/>
  <c r="D124" i="8"/>
  <c r="D123" i="8"/>
  <c r="D116" i="8"/>
  <c r="D122" i="8"/>
  <c r="D121" i="8"/>
  <c r="C121" i="8"/>
  <c r="C125" i="8"/>
  <c r="C120" i="8"/>
  <c r="C124" i="8"/>
  <c r="C126" i="8"/>
  <c r="C117" i="8"/>
  <c r="C116" i="8"/>
  <c r="C123" i="8"/>
  <c r="C122" i="8"/>
  <c r="C119" i="8"/>
  <c r="C118" i="8"/>
  <c r="C158" i="8"/>
  <c r="C165" i="8"/>
  <c r="C160" i="8"/>
  <c r="C164" i="8"/>
  <c r="C156" i="8"/>
  <c r="C162" i="8"/>
  <c r="C159" i="8"/>
  <c r="C163" i="8"/>
  <c r="C161" i="8"/>
  <c r="C157" i="8"/>
  <c r="C166" i="8"/>
  <c r="D182" i="8"/>
  <c r="D181" i="8"/>
  <c r="D179" i="8"/>
  <c r="D186" i="8"/>
  <c r="D177" i="8"/>
  <c r="D180" i="8"/>
  <c r="D176" i="8"/>
  <c r="D184" i="8"/>
  <c r="D185" i="8"/>
  <c r="D183" i="8"/>
  <c r="D178" i="8"/>
  <c r="E82" i="8"/>
  <c r="E81" i="8"/>
  <c r="E83" i="8"/>
  <c r="E77" i="8"/>
  <c r="E78" i="8"/>
  <c r="E76" i="8"/>
  <c r="E86" i="8"/>
  <c r="E80" i="8"/>
  <c r="E85" i="8"/>
  <c r="E84" i="8"/>
  <c r="E79" i="8"/>
  <c r="E162" i="8"/>
  <c r="E161" i="8"/>
  <c r="E163" i="8"/>
  <c r="E157" i="8"/>
  <c r="E158" i="8"/>
  <c r="E160" i="8"/>
  <c r="E159" i="8"/>
  <c r="E166" i="8"/>
  <c r="E156" i="8"/>
  <c r="E165" i="8"/>
  <c r="E164" i="8"/>
  <c r="E200" i="8"/>
  <c r="E203" i="8"/>
  <c r="E201" i="8"/>
  <c r="E205" i="8"/>
  <c r="E197" i="8"/>
  <c r="E196" i="8"/>
  <c r="E206" i="8"/>
  <c r="E199" i="8"/>
  <c r="E198" i="8"/>
  <c r="E204" i="8"/>
  <c r="E202" i="8"/>
  <c r="D137" i="8"/>
  <c r="D139" i="8"/>
  <c r="D143" i="8"/>
  <c r="D144" i="8"/>
  <c r="D138" i="8"/>
  <c r="D136" i="8"/>
  <c r="D141" i="8"/>
  <c r="D146" i="8"/>
  <c r="D145" i="8"/>
  <c r="D142" i="8"/>
  <c r="D140" i="8"/>
  <c r="E102" i="8"/>
  <c r="E99" i="8"/>
  <c r="E103" i="8"/>
  <c r="E96" i="8"/>
  <c r="E100" i="8"/>
  <c r="E105" i="8"/>
  <c r="E101" i="8"/>
  <c r="E97" i="8"/>
  <c r="E106" i="8"/>
  <c r="E98" i="8"/>
  <c r="E104" i="8"/>
  <c r="D166" i="8"/>
  <c r="D156" i="8"/>
  <c r="D165" i="8"/>
  <c r="D160" i="8"/>
  <c r="D158" i="8"/>
  <c r="D162" i="8"/>
  <c r="D157" i="8"/>
  <c r="D164" i="8"/>
  <c r="D163" i="8"/>
  <c r="D159" i="8"/>
  <c r="D161" i="8"/>
  <c r="E124" i="8"/>
  <c r="E119" i="8"/>
  <c r="E126" i="8"/>
  <c r="E118" i="8"/>
  <c r="E123" i="8"/>
  <c r="E120" i="8"/>
  <c r="E117" i="8"/>
  <c r="E125" i="8"/>
  <c r="E116" i="8"/>
  <c r="E121" i="8"/>
  <c r="E122" i="8"/>
  <c r="E176" i="8"/>
  <c r="E179" i="8"/>
  <c r="E181" i="8"/>
  <c r="E178" i="8"/>
  <c r="E177" i="8"/>
  <c r="E184" i="8"/>
  <c r="E180" i="8"/>
  <c r="E185" i="8"/>
  <c r="E183" i="8"/>
  <c r="E182" i="8"/>
  <c r="E186" i="8"/>
  <c r="C76" i="8"/>
  <c r="C86" i="8"/>
  <c r="C85" i="8"/>
  <c r="C84" i="8"/>
  <c r="C80" i="8"/>
  <c r="C83" i="8"/>
  <c r="C82" i="8"/>
  <c r="C79" i="8"/>
  <c r="C77" i="8"/>
  <c r="C78" i="8"/>
  <c r="C81" i="8"/>
  <c r="C185" i="8"/>
  <c r="C182" i="8"/>
  <c r="C183" i="8"/>
  <c r="C186" i="8"/>
  <c r="C181" i="8"/>
  <c r="C180" i="8"/>
  <c r="C176" i="8"/>
  <c r="C184" i="8"/>
  <c r="C179" i="8"/>
  <c r="C178" i="8"/>
  <c r="C177" i="8"/>
  <c r="C206" i="8"/>
  <c r="C202" i="8"/>
  <c r="C199" i="8"/>
  <c r="C204" i="8"/>
  <c r="C200" i="8"/>
  <c r="C197" i="8"/>
  <c r="C203" i="8"/>
  <c r="C201" i="8"/>
  <c r="C205" i="8"/>
  <c r="C198" i="8"/>
  <c r="C196" i="8"/>
  <c r="D83" i="8"/>
  <c r="D86" i="8"/>
  <c r="D85" i="8"/>
  <c r="D82" i="8"/>
  <c r="D77" i="8"/>
  <c r="D79" i="8"/>
  <c r="D78" i="8"/>
  <c r="D81" i="8"/>
  <c r="D84" i="8"/>
  <c r="D80" i="8"/>
  <c r="D76" i="8"/>
  <c r="E146" i="8"/>
  <c r="E142" i="8"/>
  <c r="E143" i="8"/>
  <c r="E138" i="8"/>
  <c r="E144" i="8"/>
  <c r="E139" i="8"/>
  <c r="E136" i="8"/>
  <c r="E141" i="8"/>
  <c r="E140" i="8"/>
  <c r="E137" i="8"/>
  <c r="E145" i="8"/>
  <c r="F464" i="13" l="1"/>
  <c r="F462" i="13"/>
  <c r="BX5" i="8"/>
  <c r="E452" i="13"/>
  <c r="C456" i="13" s="1"/>
  <c r="B458" i="13" s="1"/>
  <c r="BX4" i="8"/>
  <c r="J461" i="13"/>
  <c r="K450" i="13" s="1"/>
  <c r="I450" i="13" s="1"/>
  <c r="BX3" i="8"/>
  <c r="H452" i="13" l="1"/>
  <c r="K458" i="13" s="1"/>
  <c r="C458" i="13"/>
  <c r="I458" i="13" s="1"/>
  <c r="B456" i="13"/>
  <c r="G456" i="13"/>
  <c r="H456" i="13"/>
  <c r="F456" i="13" l="1"/>
  <c r="D456" i="13" s="1"/>
  <c r="D458" i="13"/>
  <c r="G458" i="13" s="1"/>
  <c r="J456" i="13" l="1"/>
  <c r="F458" i="13"/>
  <c r="J458" i="13" s="1"/>
  <c r="CP4" i="27"/>
  <c r="CP5" i="27"/>
  <c r="CP3" i="27"/>
  <c r="AB4" i="17"/>
  <c r="AB3" i="17"/>
  <c r="AB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OpenAI</author>
  </authors>
  <commentList>
    <comment ref="B8" authorId="0" shapeId="0" xr:uid="{32EF7E2B-1651-45E7-9E4D-AC43C8B126F6}">
      <text>
        <r>
          <rPr>
            <sz val="11"/>
            <color theme="1"/>
            <rFont val="Calibri"/>
            <family val="2"/>
            <scheme val="minor"/>
          </rPr>
          <t>1 terme par cellule</t>
        </r>
      </text>
    </comment>
    <comment ref="C8" authorId="0" shapeId="0" xr:uid="{28B280AD-BAD1-4F53-8FB3-BAD30AA2F936}">
      <text>
        <r>
          <rPr>
            <sz val="11"/>
            <color theme="1"/>
            <rFont val="Calibri"/>
            <family val="2"/>
            <scheme val="minor"/>
          </rPr>
          <t>exception gluten</t>
        </r>
      </text>
    </comment>
    <comment ref="D8" authorId="0" shapeId="0" xr:uid="{DE9E9415-4BFC-407C-9B6E-ACDD4B135FAB}">
      <text>
        <r>
          <rPr>
            <sz val="11"/>
            <color theme="1"/>
            <rFont val="Calibri"/>
            <family val="2"/>
            <scheme val="minor"/>
          </rPr>
          <t>alerte</t>
        </r>
      </text>
    </comment>
    <comment ref="E8" authorId="0" shapeId="0" xr:uid="{B4EF0E16-AA78-4130-B6B6-461E3F0C1B82}">
      <text>
        <r>
          <rPr>
            <sz val="11"/>
            <color theme="1"/>
            <rFont val="Calibri"/>
            <family val="2"/>
            <scheme val="minor"/>
          </rPr>
          <t>alerte</t>
        </r>
      </text>
    </comment>
    <comment ref="F8" authorId="0" shapeId="0" xr:uid="{1B56D68B-AAE2-4A66-A9BB-6894C1250EDA}">
      <text>
        <r>
          <rPr>
            <sz val="11"/>
            <color theme="1"/>
            <rFont val="Calibri"/>
            <family val="2"/>
            <scheme val="minor"/>
          </rPr>
          <t>alerte</t>
        </r>
      </text>
    </comment>
    <comment ref="G8" authorId="0" shapeId="0" xr:uid="{FF8D1367-85C9-4AF2-8DF8-A2D2918261CC}">
      <text>
        <r>
          <rPr>
            <sz val="11"/>
            <color theme="1"/>
            <rFont val="Calibri"/>
            <family val="2"/>
            <scheme val="minor"/>
          </rPr>
          <t>exception poissons</t>
        </r>
      </text>
    </comment>
    <comment ref="H8" authorId="0" shapeId="0" xr:uid="{1EA13BB8-AC9A-4E73-B124-F777FB05DFF6}">
      <text>
        <r>
          <rPr>
            <sz val="11"/>
            <color theme="1"/>
            <rFont val="Calibri"/>
            <family val="2"/>
            <scheme val="minor"/>
          </rPr>
          <t>alerte</t>
        </r>
      </text>
    </comment>
    <comment ref="I8" authorId="0" shapeId="0" xr:uid="{8C0DDE4C-9D68-4365-BFD3-A5D5158DE00E}">
      <text>
        <r>
          <rPr>
            <sz val="11"/>
            <color theme="1"/>
            <rFont val="Calibri"/>
            <family val="2"/>
            <scheme val="minor"/>
          </rPr>
          <t>alerte</t>
        </r>
      </text>
    </comment>
    <comment ref="J8" authorId="0" shapeId="0" xr:uid="{16BB9885-C1B6-4959-B075-5B1D86E7696C}">
      <text>
        <r>
          <rPr>
            <sz val="11"/>
            <color theme="1"/>
            <rFont val="Calibri"/>
            <family val="2"/>
            <scheme val="minor"/>
          </rPr>
          <t>exception soja</t>
        </r>
      </text>
    </comment>
    <comment ref="K8" authorId="0" shapeId="0" xr:uid="{0A3FF10A-CA0A-4CED-BA87-0398F5870A62}">
      <text>
        <r>
          <rPr>
            <sz val="11"/>
            <color theme="1"/>
            <rFont val="Calibri"/>
            <family val="2"/>
            <scheme val="minor"/>
          </rPr>
          <t>alerte</t>
        </r>
      </text>
    </comment>
    <comment ref="L8" authorId="0" shapeId="0" xr:uid="{22708433-84B5-449A-89E3-12B4C865BA95}">
      <text>
        <r>
          <rPr>
            <sz val="11"/>
            <color theme="1"/>
            <rFont val="Calibri"/>
            <family val="2"/>
            <scheme val="minor"/>
          </rPr>
          <t>exception lait</t>
        </r>
      </text>
    </comment>
    <comment ref="M8" authorId="0" shapeId="0" xr:uid="{3F9AEEA8-B99F-485D-8A1E-B9B999ABB1C8}">
      <text>
        <r>
          <rPr>
            <sz val="11"/>
            <color theme="1"/>
            <rFont val="Calibri"/>
            <family val="2"/>
            <scheme val="minor"/>
          </rPr>
          <t>alerte</t>
        </r>
      </text>
    </comment>
    <comment ref="N8" authorId="0" shapeId="0" xr:uid="{A538D6FD-25ED-43B3-B577-3E8636AB959F}">
      <text>
        <r>
          <rPr>
            <sz val="11"/>
            <color theme="1"/>
            <rFont val="Calibri"/>
            <family val="2"/>
            <scheme val="minor"/>
          </rPr>
          <t>exception fruits a coque</t>
        </r>
      </text>
    </comment>
    <comment ref="O8" authorId="0" shapeId="0" xr:uid="{0F425955-E95C-4E85-90C8-9648FF118C50}">
      <text>
        <r>
          <rPr>
            <sz val="11"/>
            <color theme="1"/>
            <rFont val="Calibri"/>
            <family val="2"/>
            <scheme val="minor"/>
          </rPr>
          <t>alerte</t>
        </r>
      </text>
    </comment>
    <comment ref="P8" authorId="0" shapeId="0" xr:uid="{F8683E32-227D-45C2-BCB8-D002BD2E52F9}">
      <text>
        <r>
          <rPr>
            <sz val="11"/>
            <color theme="1"/>
            <rFont val="Calibri"/>
            <family val="2"/>
            <scheme val="minor"/>
          </rPr>
          <t>alerte</t>
        </r>
      </text>
    </comment>
    <comment ref="Q8" authorId="0" shapeId="0" xr:uid="{85656B96-B2CD-4BEF-845E-67FF1DBF602B}">
      <text>
        <r>
          <rPr>
            <sz val="11"/>
            <color theme="1"/>
            <rFont val="Calibri"/>
            <family val="2"/>
            <scheme val="minor"/>
          </rPr>
          <t>exception moutarde</t>
        </r>
      </text>
    </comment>
    <comment ref="R8" authorId="0" shapeId="0" xr:uid="{9E57906C-D873-4F17-BC5F-AE01E3DBD1B7}">
      <text>
        <r>
          <rPr>
            <sz val="11"/>
            <color theme="1"/>
            <rFont val="Calibri"/>
            <family val="2"/>
            <scheme val="minor"/>
          </rPr>
          <t>alerte</t>
        </r>
      </text>
    </comment>
    <comment ref="S8" authorId="0" shapeId="0" xr:uid="{3E802A32-88AB-4918-A7A8-2BB91A06EC4E}">
      <text>
        <r>
          <rPr>
            <sz val="11"/>
            <color theme="1"/>
            <rFont val="Calibri"/>
            <family val="2"/>
            <scheme val="minor"/>
          </rPr>
          <t>alerte</t>
        </r>
      </text>
    </comment>
    <comment ref="T8" authorId="0" shapeId="0" xr:uid="{D8D1E7B5-4461-491E-AE39-984B5C40C1E3}">
      <text>
        <r>
          <rPr>
            <sz val="11"/>
            <color theme="1"/>
            <rFont val="Calibri"/>
            <family val="2"/>
            <scheme val="minor"/>
          </rPr>
          <t>alerte</t>
        </r>
      </text>
    </comment>
    <comment ref="U8" authorId="0" shapeId="0" xr:uid="{91A96B79-88E5-457B-AC16-2C87201AA07F}">
      <text>
        <r>
          <rPr>
            <sz val="11"/>
            <color theme="1"/>
            <rFont val="Calibri"/>
            <family val="2"/>
            <scheme val="minor"/>
          </rPr>
          <t>alerte</t>
        </r>
      </text>
    </comment>
    <comment ref="V8" authorId="0" shapeId="0" xr:uid="{A302EB8B-BE4B-4CE7-977B-BA42298AF572}">
      <text>
        <r>
          <rPr>
            <sz val="11"/>
            <color theme="1"/>
            <rFont val="Calibri"/>
            <family val="2"/>
            <scheme val="minor"/>
          </rPr>
          <t>Liste verticale modifiable. Le moteur cache applique ces exclusions avant les recherches. Ordre initialise du plus long au plus court pour limiter les chevauchements.</t>
        </r>
      </text>
    </comment>
    <comment ref="W8" authorId="0" shapeId="0" xr:uid="{EEB3B80A-0F33-4EEF-9883-E26A8505B559}">
      <text>
        <r>
          <rPr>
            <sz val="11"/>
            <color theme="1"/>
            <rFont val="Calibri"/>
            <family val="2"/>
            <scheme val="minor"/>
          </rPr>
          <t>Liste verticale modifiable. Le moteur cache applique ces exclusions avant les recherches. Ordre initialise du plus long au plus court pour limiter les chevauchements.</t>
        </r>
      </text>
    </comment>
    <comment ref="X8" authorId="0" shapeId="0" xr:uid="{893A2D03-1457-4377-91D9-2B3775194E13}">
      <text>
        <r>
          <rPr>
            <sz val="11"/>
            <color theme="1"/>
            <rFont val="Calibri"/>
            <family val="2"/>
            <scheme val="minor"/>
          </rPr>
          <t>Liste verticale modifiable. Le moteur cache applique ces exclusions avant les recherches. Ordre initialise du plus long au plus court pour limiter les chevauchements.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K283" authorId="0" shapeId="0" xr:uid="{4EE747D0-6E5C-40F4-B0AB-E2CB1C27D247}">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G283" authorId="0" shapeId="0" xr:uid="{6D753E6B-3773-460D-9493-3039D9464A8F}">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C283" authorId="0" shapeId="0" xr:uid="{C23F010A-9889-4758-AFC6-3DDC1EE74699}">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U450" authorId="0" shapeId="0" xr:uid="{1A1F40B5-F9C4-4B74-A158-398EC148431A}">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JL</author>
    <author>Joel Leboucher</author>
  </authors>
  <commentList>
    <comment ref="AM20" authorId="0" shapeId="0" xr:uid="{15449596-08A9-4675-8980-968552339FD2}">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N26" authorId="1" shapeId="0" xr:uid="{390ADD56-1B58-4B98-A51D-24CAE435DED4}">
      <text>
        <r>
          <rPr>
            <b/>
            <sz val="9"/>
            <color indexed="81"/>
            <rFont val="Tahoma"/>
            <family val="2"/>
          </rPr>
          <t>Nb de lignes pour la progression</t>
        </r>
      </text>
    </comment>
    <comment ref="AM28" authorId="0" shapeId="0" xr:uid="{CF119676-45FE-401B-8EEB-06AC1037134A}">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V229" authorId="0" shapeId="0" xr:uid="{0A2A2652-4B6E-494D-A2D4-69464FCAAD59}">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H264" authorId="0" shapeId="0" xr:uid="{1055D475-FB3C-484C-AF8A-2631C2605E5D}">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T284" authorId="0" shapeId="0" xr:uid="{7DC75DC9-298F-4793-8C33-B4ABA03538D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F304" authorId="0" shapeId="0" xr:uid="{D7010854-23FB-49E9-BF71-7E26D49E547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AB212" authorId="0" shapeId="0" xr:uid="{44810297-16C9-4689-A7C6-F9C2B03BB515}">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Q256" authorId="0" shapeId="0" xr:uid="{5738A6D0-C7CD-4520-A252-CD50731B93EF}">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F295" authorId="0" shapeId="0" xr:uid="{651AAD33-C83A-4269-ABE9-5688750EAFF8}">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<sst xmlns="http://schemas.openxmlformats.org/spreadsheetml/2006/main" count="35906" uniqueCount="11408">
  <si>
    <t>FIN</t>
  </si>
  <si>
    <t>.</t>
  </si>
  <si>
    <t>Police Lucida Handwriting 12</t>
  </si>
  <si>
    <t>Police Lucida Calligraphy 12</t>
  </si>
  <si>
    <t>Police Segoe UI Light 12</t>
  </si>
  <si>
    <t>Police Verdana 12</t>
  </si>
  <si>
    <t>Police Cambria 12</t>
  </si>
  <si>
    <t>Police Garamond 12</t>
  </si>
  <si>
    <t>Police Arial 12</t>
  </si>
  <si>
    <t>Police calibri 12</t>
  </si>
  <si>
    <t>Utilisez le pinceau pour reproduire la police</t>
  </si>
  <si>
    <t>◄  largeurs conseillées  ►</t>
  </si>
  <si>
    <t>Un nombre est une quantité ou une valeur exprimée à l’aide de chiffres</t>
  </si>
  <si>
    <t>Il y a 10 chiffres en base 0, 1, 2, 3, 4, 5, 6, 7, 8, 9.</t>
  </si>
  <si>
    <t>Un chiffre est une unité de base utilisée pour écrire les nombres. C’est un symbole unique.</t>
  </si>
  <si>
    <t>Récupérez les formules des colonnes B à G pour vos documents</t>
  </si>
  <si>
    <t xml:space="preserve"> la réglementation en matière d'hygiène et HACCP.</t>
  </si>
  <si>
    <t>L'utilisation professionnelle des recettes vous engage à connaître</t>
  </si>
  <si>
    <t>de la cellule A rouge</t>
  </si>
  <si>
    <t xml:space="preserve">3 - Cliquez sur la flèche Filtre </t>
  </si>
  <si>
    <t>2 - Données &gt; Filtre</t>
  </si>
  <si>
    <t>A</t>
  </si>
  <si>
    <t>1 - positionnez vous sur la cellule A rouge</t>
  </si>
  <si>
    <t>Comment masquer les lignes</t>
  </si>
  <si>
    <t>masquer les lignes</t>
  </si>
  <si>
    <t>les flèches indiquent que la ligne est inutilisée vous pouvez donc</t>
  </si>
  <si>
    <t>►</t>
  </si>
  <si>
    <t xml:space="preserve">lignes découpées &gt; réduisez le texte ou le nombre de lignes </t>
  </si>
  <si>
    <t>lignes en trop pas assez de lignes dans le Postit</t>
  </si>
  <si>
    <t>Vous pouvez soit réduire la quantité de caractères à supprimer, soit enlever une ligne</t>
  </si>
  <si>
    <t>avec fonction puis faites les rectifications</t>
  </si>
  <si>
    <t>"Nettoyage" et découpage du texte dans ces 4 colonnes</t>
  </si>
  <si>
    <t>Triangle</t>
  </si>
  <si>
    <t>caractères + espaces</t>
  </si>
  <si>
    <t>ne correspondent pas toujours . Pour vérifier cela regardez les largeurs</t>
  </si>
  <si>
    <t xml:space="preserve">pour aérer le texte vous pouvez collez le triangle rouge dans une ligne ci-dessus </t>
  </si>
  <si>
    <t>Utilité : lorsque vous collez un document dans une feuille vierge les largeurs</t>
  </si>
  <si>
    <t>Total</t>
  </si>
  <si>
    <t xml:space="preserve">votre texte est découpé en </t>
  </si>
  <si>
    <t>largeur réelle avec formule</t>
  </si>
  <si>
    <t xml:space="preserve"> et saisissez un nombre de caractères pour que le texte ne déborde pas de la colonne  ►Police  choisissez celle qui vous convient</t>
  </si>
  <si>
    <t>largeur conseillée</t>
  </si>
  <si>
    <t>https://www.deepl.com/fr/translator</t>
  </si>
  <si>
    <t>► Saisissez ou coller les lignes du brouillon que vous voulez couper dans ces 4 lignes et saisissez un nombre de caractères pour que le texte ne déborde pas de la colonne ⤵️ 🧋</t>
  </si>
  <si>
    <t>Largeurs de colonnes</t>
  </si>
  <si>
    <t>Puede utilizar DeepL Translator para traducir las celdas que contienen texto.</t>
  </si>
  <si>
    <r>
      <t xml:space="preserve">El modelo </t>
    </r>
    <r>
      <rPr>
        <i/>
        <sz val="11"/>
        <color theme="1"/>
        <rFont val="Calibri"/>
        <family val="2"/>
        <scheme val="minor"/>
      </rPr>
      <t>Bar</t>
    </r>
    <r>
      <rPr>
        <sz val="11"/>
        <color theme="1"/>
        <rFont val="Calibri"/>
        <family val="2"/>
        <scheme val="minor"/>
      </rPr>
      <t xml:space="preserve"> suele utilizar entre 5 y 6 productos o ingredientes.</t>
    </r>
  </si>
  <si>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t>
  </si>
  <si>
    <t>puede adaptarse eficazmente para la gestión de recetas de cócteles.</t>
  </si>
  <si>
    <t xml:space="preserve"> Saisissez ou coller le texte que vous voulez couper dans ces 4 lignes ▼  </t>
  </si>
  <si>
    <t>Élargissez cette colonne</t>
  </si>
  <si>
    <t xml:space="preserve">saisissez un nombre de caractères pour que le texte ne déborde pas de la </t>
  </si>
  <si>
    <t xml:space="preserve">Aunque esta hoja no fue diseñada específicamente para este fin, </t>
  </si>
  <si>
    <t>Español</t>
  </si>
  <si>
    <t>toujours indiquer les sources</t>
  </si>
  <si>
    <t xml:space="preserve">avec une police Calibri taille 11 vous aurez davantage de caractères par lignes à vous de choisir votre police </t>
  </si>
  <si>
    <t>collez le lien vous renvoyant vers l'Auteur de la recette</t>
  </si>
  <si>
    <t>Lien internet</t>
  </si>
  <si>
    <t>You can use DeepL Translator to translate the cells that contain text.</t>
  </si>
  <si>
    <t>largeur Postit</t>
  </si>
  <si>
    <t>Saisissez vos valeurs dans les cellules fond jaune</t>
  </si>
  <si>
    <r>
      <t xml:space="preserve">The </t>
    </r>
    <r>
      <rPr>
        <i/>
        <sz val="11"/>
        <color theme="1"/>
        <rFont val="Calibri"/>
        <family val="2"/>
        <scheme val="minor"/>
      </rPr>
      <t>Bar</t>
    </r>
    <r>
      <rPr>
        <sz val="11"/>
        <color theme="1"/>
        <rFont val="Calibri"/>
        <family val="2"/>
        <scheme val="minor"/>
      </rPr>
      <t xml:space="preserve"> model typically involves only 5 to 6 products or ingredients.</t>
    </r>
  </si>
  <si>
    <t>ne confondez pas prix au Kg et prix à la pièce</t>
  </si>
  <si>
    <t>it can be effectively adapted for managing cocktail recipes.</t>
  </si>
  <si>
    <t xml:space="preserve">Assurez vous que la police ainsi que la taille de police utilisées soient  identiques entre ce document et celui dans lequel vous allez colle le texte découpé. </t>
  </si>
  <si>
    <t xml:space="preserve">Although this sheet was not originally designed for this purpose, </t>
  </si>
  <si>
    <t>Copiez le texte découpé et collez le dans votre fiche - Collage spécial 1.2.3 valeurs</t>
  </si>
  <si>
    <t>English</t>
  </si>
  <si>
    <t>Ce tableau découpe votre texte et l'ajuste à la largeur de votre colonne</t>
  </si>
  <si>
    <t>Lorsque vous masquez des lignes ou colonnes ou que vous saisssez une nouvelle valeur appuyez sur la touche F9 pour forcer Excel à recalculer</t>
  </si>
  <si>
    <r>
      <t xml:space="preserve">Le modèle </t>
    </r>
    <r>
      <rPr>
        <i/>
        <sz val="11"/>
        <color theme="1"/>
        <rFont val="Calibri"/>
        <family val="2"/>
        <scheme val="minor"/>
      </rPr>
      <t>Bar</t>
    </r>
    <r>
      <rPr>
        <sz val="11"/>
        <color theme="1"/>
        <rFont val="Calibri"/>
        <family val="2"/>
        <scheme val="minor"/>
      </rPr>
      <t xml:space="preserve"> requiert généralement entre 5 et 6 produits ou ingrédients.</t>
    </r>
  </si>
  <si>
    <t>poulets</t>
  </si>
  <si>
    <t>elle peut être adaptée pour la gestion de recettes de cocktails.</t>
  </si>
  <si>
    <t>couverts</t>
  </si>
  <si>
    <t xml:space="preserve">Bien que cette fiche ne soit pas spécifiquement conçue à cet effet, </t>
  </si>
  <si>
    <t xml:space="preserve"> A dupliquer pour</t>
  </si>
  <si>
    <t>Français</t>
  </si>
  <si>
    <t xml:space="preserve"> ensuite supprimez le mot "gomme." et saisissez un chiffre</t>
  </si>
  <si>
    <t xml:space="preserve">Si la colonne 10 est rouge, collez la "gomme" </t>
  </si>
  <si>
    <t>Bonne utilisation, Joël Leboucher</t>
  </si>
  <si>
    <t>gomme</t>
  </si>
  <si>
    <t>vos documents</t>
  </si>
  <si>
    <t>⑧ Coefficient</t>
  </si>
  <si>
    <t>Col.10</t>
  </si>
  <si>
    <t>Récupérez des formules pour</t>
  </si>
  <si>
    <t>ligne de séparation à collez entre chaque postit</t>
  </si>
  <si>
    <t>◄ Masquez les 3 colonnes</t>
  </si>
  <si>
    <t>unités utilisées pour cocktails encre violette et verte</t>
  </si>
  <si>
    <t>L</t>
  </si>
  <si>
    <t>Ounce (fl oz)us</t>
  </si>
  <si>
    <t>gallon (gal)</t>
  </si>
  <si>
    <t>quart (qt)</t>
  </si>
  <si>
    <t>Pint (UK)(s)</t>
  </si>
  <si>
    <t>Pint (US)(s)</t>
  </si>
  <si>
    <t>https://www.youtube.com/@Astuces_Excel/videos</t>
  </si>
  <si>
    <t>pint (pt)</t>
  </si>
  <si>
    <t>Astuces Excel</t>
  </si>
  <si>
    <t>./2 pinte(s)</t>
  </si>
  <si>
    <t>de diminuer ou d'éviter un ingrédient</t>
  </si>
  <si>
    <t>https://www.youtube.com/watch?v=q-52-9FshWw</t>
  </si>
  <si>
    <t>Mug(s)</t>
  </si>
  <si>
    <t xml:space="preserve">Masquer une ligne ou une colonne sur Excel </t>
  </si>
  <si>
    <t>Pony(s)</t>
  </si>
  <si>
    <t>https://excel-exercice.com/filtres-intelligents-dans-excel/</t>
  </si>
  <si>
    <t>jigger(s)</t>
  </si>
  <si>
    <t>Filtres intelligents dans Excel</t>
  </si>
  <si>
    <t>shot(s)</t>
  </si>
  <si>
    <t>Splash(s)</t>
  </si>
  <si>
    <t>plotée(s)</t>
  </si>
  <si>
    <t>Dash(s)</t>
  </si>
  <si>
    <t>Trait(s)</t>
  </si>
  <si>
    <t>Kg</t>
  </si>
  <si>
    <t>Cup(s).sucre</t>
  </si>
  <si>
    <t>Cup(s).farine</t>
  </si>
  <si>
    <t>cup sucre glace</t>
  </si>
  <si>
    <t xml:space="preserve"> la fonction Tri</t>
  </si>
  <si>
    <t>./8 Cup(s)</t>
  </si>
  <si>
    <t>trier en haut de l'écran pour désactiver</t>
  </si>
  <si>
    <t>./4 Cup(s)</t>
  </si>
  <si>
    <t>ou cliquez de nouveau sur "l'entonnoir"</t>
  </si>
  <si>
    <t>./2 Cup(s)</t>
  </si>
  <si>
    <t>Cup(s)</t>
  </si>
  <si>
    <t>ounce (oz)</t>
  </si>
  <si>
    <t>./2.once.liquide</t>
  </si>
  <si>
    <t>Verre(s)</t>
  </si>
  <si>
    <t>Laisser poser 24h en chambre froide.</t>
  </si>
  <si>
    <t>Bol(s)</t>
  </si>
  <si>
    <t xml:space="preserve">et découpez le texte trop long dans le tableau </t>
  </si>
  <si>
    <t>tasse(s).Thé</t>
  </si>
  <si>
    <t xml:space="preserve"> sucre </t>
  </si>
  <si>
    <t>g</t>
  </si>
  <si>
    <t xml:space="preserve"> faites l'inverse cochez (Sélectionner tout)</t>
  </si>
  <si>
    <t xml:space="preserve">Collez les recettes récupérées sur le net dans le brouillon </t>
  </si>
  <si>
    <t>Tasse(s)</t>
  </si>
  <si>
    <t xml:space="preserve">Poires Conférence </t>
  </si>
  <si>
    <t>augmentez ou diminuez la valeur saisie</t>
  </si>
  <si>
    <t>Pour l'affichage de toutes les lignes</t>
  </si>
  <si>
    <t>1/2 tasse</t>
  </si>
  <si>
    <t>Première variante</t>
  </si>
  <si>
    <t xml:space="preserve">Brouillon : </t>
  </si>
  <si>
    <t>ou saisissez une quantité ou un poids d'un élément de la recette exemple</t>
  </si>
  <si>
    <t>https://fr.wikipedia.org/wiki/Portail:Alimentation_et_gastronomie</t>
  </si>
  <si>
    <t>Greenshot est un logiciel de capture d’écran léger pour Windows</t>
  </si>
  <si>
    <t>cuil(s).Thé</t>
  </si>
  <si>
    <t>Poivre</t>
  </si>
  <si>
    <t xml:space="preserve"> pour selectionner les lignes à afficher</t>
  </si>
  <si>
    <t>Portail:Alimentation et gastronomie</t>
  </si>
  <si>
    <t>3.faites un imprime écran et collez le dans votre document</t>
  </si>
  <si>
    <t>cuil(s).Soupe</t>
  </si>
  <si>
    <t>Sel/Sel nitrité</t>
  </si>
  <si>
    <t>Puis cochez A (afficher)</t>
  </si>
  <si>
    <t>2.ouvrez et ajustez à l'écran</t>
  </si>
  <si>
    <t>cuil(s).Café</t>
  </si>
  <si>
    <t>Dés de maigre de canard</t>
  </si>
  <si>
    <t>1.scannez votre document papier en photo ou pdf</t>
  </si>
  <si>
    <t>/10</t>
  </si>
  <si>
    <t>Jus de canard réduit</t>
  </si>
  <si>
    <t>assiettes</t>
  </si>
  <si>
    <t>les miniatures sont des imprime écran</t>
  </si>
  <si>
    <t>demi/L</t>
  </si>
  <si>
    <t>Crème liquide</t>
  </si>
  <si>
    <t>V</t>
  </si>
  <si>
    <t>Quoi</t>
  </si>
  <si>
    <t>Adresse @ &gt;</t>
  </si>
  <si>
    <t>quart/L</t>
  </si>
  <si>
    <t>Blanc d’œufs</t>
  </si>
  <si>
    <t>ml</t>
  </si>
  <si>
    <t>Foie de canard</t>
  </si>
  <si>
    <t>⓫ Dupliquée  pour</t>
  </si>
  <si>
    <t>❿ Vos Références</t>
  </si>
  <si>
    <t>cl</t>
  </si>
  <si>
    <t>Gorge de porc</t>
  </si>
  <si>
    <t>dl</t>
  </si>
  <si>
    <t>Gras dur</t>
  </si>
  <si>
    <t>Maigre de porc</t>
  </si>
  <si>
    <t>entier</t>
  </si>
  <si>
    <t>Tiers(s)Kg</t>
  </si>
  <si>
    <t>Maigre de canard sauvage</t>
  </si>
  <si>
    <t xml:space="preserve">pour décocher toutes les cases, </t>
  </si>
  <si>
    <t>demi(s)Kg</t>
  </si>
  <si>
    <t xml:space="preserve">Coût </t>
  </si>
  <si>
    <t>⑭ Prix</t>
  </si>
  <si>
    <t>NET</t>
  </si>
  <si>
    <t>⑫ % Perte</t>
  </si>
  <si>
    <t>Quantité</t>
  </si>
  <si>
    <t xml:space="preserve"> Denrées</t>
  </si>
  <si>
    <t>de</t>
  </si>
  <si>
    <t xml:space="preserve">Décochez (Sélectionner tout) </t>
  </si>
  <si>
    <t>quart(s)Kg</t>
  </si>
  <si>
    <t>Unitaire &gt;</t>
  </si>
  <si>
    <t>Quoi ?</t>
  </si>
  <si>
    <t>Unités</t>
  </si>
  <si>
    <t>Brut avec coef.</t>
  </si>
  <si>
    <t>Ref. Auteur sans coef.</t>
  </si>
  <si>
    <t>③</t>
  </si>
  <si>
    <t>⑦g.kg.L.dl.cl.ml</t>
  </si>
  <si>
    <t>⑥ Poids ou Volume</t>
  </si>
  <si>
    <t>⑤</t>
  </si>
  <si>
    <t>④</t>
  </si>
  <si>
    <t>Choisissez des valeurs spécifiques :</t>
  </si>
  <si>
    <t>Col.24</t>
  </si>
  <si>
    <t>Col.23</t>
  </si>
  <si>
    <t>Col.22</t>
  </si>
  <si>
    <t>Col.21</t>
  </si>
  <si>
    <t>Col.20</t>
  </si>
  <si>
    <t>Col.19</t>
  </si>
  <si>
    <t>Col.18</t>
  </si>
  <si>
    <t>Col.17</t>
  </si>
  <si>
    <t>Col.16</t>
  </si>
  <si>
    <t>Col.115</t>
  </si>
  <si>
    <t>Col.14</t>
  </si>
  <si>
    <t>Col.13</t>
  </si>
  <si>
    <t>Col.12</t>
  </si>
  <si>
    <t>Col.11</t>
  </si>
  <si>
    <t>Col.9</t>
  </si>
  <si>
    <t>Col.8</t>
  </si>
  <si>
    <t>Col.7</t>
  </si>
  <si>
    <t>Col.6</t>
  </si>
  <si>
    <t>Col.5</t>
  </si>
  <si>
    <t>kg</t>
  </si>
  <si>
    <t>Ballotine de canard CEPROC</t>
  </si>
  <si>
    <t>Recette mère ►</t>
  </si>
  <si>
    <t>ARCHIVAGE ET CLASSEMENT</t>
  </si>
  <si>
    <t>Recette mère ?</t>
  </si>
  <si>
    <t>Tiers</t>
  </si>
  <si>
    <t>Quart</t>
  </si>
  <si>
    <t>demi</t>
  </si>
  <si>
    <t>Constituant de &gt;</t>
  </si>
  <si>
    <t>❾ référence Auteur</t>
  </si>
  <si>
    <t>ou collez un imprim' écran</t>
  </si>
  <si>
    <t>▼ collez Col.9</t>
  </si>
  <si>
    <t xml:space="preserve">M. Guy KRENZER, Eric GODDYN, Jean François DEPORT </t>
  </si>
  <si>
    <t>Auteur &gt;</t>
  </si>
  <si>
    <t>◄ Masquez ces 3 colonnes</t>
  </si>
  <si>
    <t>Recette mère</t>
  </si>
  <si>
    <t>Nom de l'élément</t>
  </si>
  <si>
    <t>Type d'Élément</t>
  </si>
  <si>
    <t>Famille</t>
  </si>
  <si>
    <t>Alpha</t>
  </si>
  <si>
    <t>Recette</t>
  </si>
  <si>
    <t>D (Seuil)</t>
  </si>
  <si>
    <t>C (Unité sup)</t>
  </si>
  <si>
    <t>B (Facteur)</t>
  </si>
  <si>
    <t>A (Unité)</t>
  </si>
  <si>
    <t>Cir.1.2.5</t>
  </si>
  <si>
    <t>Hauteur des lignes 21</t>
  </si>
  <si>
    <t>Collez la photo du plat</t>
  </si>
  <si>
    <t>TABLEAU DE RECHERCHE</t>
  </si>
  <si>
    <t>Coef.ajustement</t>
  </si>
  <si>
    <t>BALLOTINE DE CANARD SAUVAGE</t>
  </si>
  <si>
    <t>Charcuterie</t>
  </si>
  <si>
    <t>Circuit</t>
  </si>
  <si>
    <t>ICI</t>
  </si>
  <si>
    <t>ARCHIVAGE ET CLASSEMENT utilisez le Filtre de l'onglet Données</t>
  </si>
  <si>
    <t>Filtre</t>
  </si>
  <si>
    <t>▼</t>
  </si>
  <si>
    <t xml:space="preserve">  Masquer ces 7 colonnes       </t>
  </si>
  <si>
    <t xml:space="preserve">▼  </t>
  </si>
  <si>
    <t>▼    Masquer ces 5 colonnes       ▼</t>
  </si>
  <si>
    <t>VOUS POUVEZ MASQUER CES COLONNES</t>
  </si>
  <si>
    <t>et sur ▼</t>
  </si>
  <si>
    <t>Vous pouvez</t>
  </si>
  <si>
    <t>◄</t>
  </si>
  <si>
    <t>Col.4</t>
  </si>
  <si>
    <t>Col.3</t>
  </si>
  <si>
    <t>Col.2</t>
  </si>
  <si>
    <t>Col.1</t>
  </si>
  <si>
    <t>1 - Positionnez vous sur la cellule rouge</t>
  </si>
  <si>
    <t xml:space="preserve">Pour masquer les lignes vides </t>
  </si>
  <si>
    <t>Adresse PC</t>
  </si>
  <si>
    <t>He usado el término postit porque la otra versión es una marca registrada. Podría haber dicho nota adhesiva, pero no me parece clara ni adecuada en el contexto de Excel.</t>
  </si>
  <si>
    <t>He utilizado "postit" porque la otra versión es una marca registrada.</t>
  </si>
  <si>
    <t>appuyez sur la touche F9 pour forcer Excel à recalculer</t>
  </si>
  <si>
    <t>Dernière mise à jour : 4 Avril 2025</t>
  </si>
  <si>
    <r>
      <t xml:space="preserve">⓫ </t>
    </r>
    <r>
      <rPr>
        <b/>
        <sz val="11"/>
        <color rgb="FFC00000"/>
        <rFont val="Calibri"/>
        <family val="2"/>
        <scheme val="minor"/>
      </rPr>
      <t>Indicador "Duplicado"</t>
    </r>
    <r>
      <rPr>
        <sz val="11"/>
        <color rgb="FFC00000"/>
        <rFont val="Calibri"/>
        <family val="2"/>
        <scheme val="minor"/>
      </rPr>
      <t xml:space="preserve"> (a repetir en cada línea correspondiente)</t>
    </r>
  </si>
  <si>
    <t xml:space="preserve">Lorsque vous masquez des lignes ou colonnes </t>
  </si>
  <si>
    <r>
      <t xml:space="preserve">❿ </t>
    </r>
    <r>
      <rPr>
        <b/>
        <sz val="11"/>
        <color rgb="FF0000FF"/>
        <rFont val="Calibri"/>
        <family val="2"/>
        <scheme val="minor"/>
      </rPr>
      <t>Referencia del producto</t>
    </r>
    <r>
      <rPr>
        <sz val="11"/>
        <color rgb="FF0000FF"/>
        <rFont val="Calibri"/>
        <family val="2"/>
        <scheme val="minor"/>
      </rPr>
      <t xml:space="preserve"> (contenido principal)</t>
    </r>
  </si>
  <si>
    <t>mais ce terme me semble peu adapté et pas assez explicite dans un contexte Excel.</t>
  </si>
  <si>
    <r>
      <t xml:space="preserve">Colóquelos en las columnas </t>
    </r>
    <r>
      <rPr>
        <b/>
        <sz val="11"/>
        <color theme="1"/>
        <rFont val="Calibri"/>
        <family val="2"/>
        <scheme val="minor"/>
      </rPr>
      <t>H a R</t>
    </r>
    <r>
      <rPr>
        <sz val="11"/>
        <color theme="1"/>
        <rFont val="Calibri"/>
        <family val="2"/>
        <scheme val="minor"/>
      </rPr>
      <t xml:space="preserve"> y, para cada línea de producto, complete las columnas </t>
    </r>
    <r>
      <rPr>
        <b/>
        <sz val="11"/>
        <color theme="1"/>
        <rFont val="Calibri"/>
        <family val="2"/>
        <scheme val="minor"/>
      </rPr>
      <t>12 a 14</t>
    </r>
    <r>
      <rPr>
        <sz val="11"/>
        <color theme="1"/>
        <rFont val="Calibri"/>
        <family val="2"/>
        <scheme val="minor"/>
      </rPr>
      <t xml:space="preserve"> con:</t>
    </r>
  </si>
  <si>
    <t xml:space="preserve">J’ai utilisé le terme postit car l’autre version est une marque déposée. J’aurais pu dire note adhésive, </t>
  </si>
  <si>
    <t>Puede pegar tantos post-its como necesite, hasta la fila 600, sin importar su longitud.</t>
  </si>
  <si>
    <t>⓫ Indication "Dupliquée" (à reporter sur chaque ligne concernée)</t>
  </si>
  <si>
    <t>I used the term postit because the other version is a registered trademark. I could have used sticky note, but it doesn't seem clear or appropriate in the context of Excel.</t>
  </si>
  <si>
    <t>❿ Référence produit (contenu principal) et Quoi</t>
  </si>
  <si>
    <t>colonnes</t>
  </si>
  <si>
    <t>I used "postit" because the other version is a registered trademark.</t>
  </si>
  <si>
    <t>lignes</t>
  </si>
  <si>
    <r>
      <t xml:space="preserve">⓫ </t>
    </r>
    <r>
      <rPr>
        <b/>
        <sz val="11"/>
        <color rgb="FFC00000"/>
        <rFont val="Calibri"/>
        <family val="2"/>
        <scheme val="minor"/>
      </rPr>
      <t>"Duplicated" Indicator</t>
    </r>
    <r>
      <rPr>
        <sz val="11"/>
        <color rgb="FFC00000"/>
        <rFont val="Calibri"/>
        <family val="2"/>
        <scheme val="minor"/>
      </rPr>
      <t xml:space="preserve"> (to be copied on each relevant row)</t>
    </r>
  </si>
  <si>
    <t xml:space="preserve">cellules vides </t>
  </si>
  <si>
    <r>
      <t xml:space="preserve">❿ </t>
    </r>
    <r>
      <rPr>
        <b/>
        <sz val="11"/>
        <color rgb="FF0000FF"/>
        <rFont val="Calibri"/>
        <family val="2"/>
        <scheme val="minor"/>
      </rPr>
      <t>Product Reference</t>
    </r>
    <r>
      <rPr>
        <sz val="11"/>
        <color rgb="FF0000FF"/>
        <rFont val="Calibri"/>
        <family val="2"/>
        <scheme val="minor"/>
      </rPr>
      <t xml:space="preserve"> (main content)</t>
    </r>
  </si>
  <si>
    <t>Mode d’emploi :</t>
  </si>
  <si>
    <t>avec valeurs ou texte</t>
  </si>
  <si>
    <r>
      <t xml:space="preserve">Insert them in columns </t>
    </r>
    <r>
      <rPr>
        <b/>
        <sz val="11"/>
        <color theme="1"/>
        <rFont val="Calibri"/>
        <family val="2"/>
        <scheme val="minor"/>
      </rPr>
      <t>H to R</t>
    </r>
    <r>
      <rPr>
        <sz val="11"/>
        <color theme="1"/>
        <rFont val="Calibri"/>
        <family val="2"/>
        <scheme val="minor"/>
      </rPr>
      <t xml:space="preserve">, and for each product row, fill in columns </t>
    </r>
    <r>
      <rPr>
        <b/>
        <sz val="11"/>
        <color theme="1"/>
        <rFont val="Calibri"/>
        <family val="2"/>
        <scheme val="minor"/>
      </rPr>
      <t>12 to 14</t>
    </r>
    <r>
      <rPr>
        <sz val="11"/>
        <color theme="1"/>
        <rFont val="Calibri"/>
        <family val="2"/>
        <scheme val="minor"/>
      </rPr>
      <t xml:space="preserve"> with:</t>
    </r>
  </si>
  <si>
    <t>Fin du document cellule</t>
  </si>
  <si>
    <t>You can paste as many post-its as needed, up to row 600, regardless of their length.</t>
  </si>
  <si>
    <t>Ce document est composé de :</t>
  </si>
  <si>
    <t>Organisation des Recettes (Cuisine, Pâtisserie, Charcuterie)</t>
  </si>
  <si>
    <t>Recipe organization (Cuisine, Pâtisserie, Charcuterie)</t>
  </si>
  <si>
    <t>Dernière mise à jour : 18 Février 2025</t>
  </si>
  <si>
    <t>Dernière mise à jour : 31 Janvier 2024</t>
  </si>
  <si>
    <t>Last updated: 31 January 2024</t>
  </si>
  <si>
    <t>L’objectif est d’optimiser la gestion des recettes en distinguant deux types de documents complémentaires, chacun ayant un rôle spécifique :</t>
  </si>
  <si>
    <t>The aim is to optimize revenue management by distinguishing two complementary types of document, each with a specific role:</t>
  </si>
  <si>
    <t>Les fiches préformatées : une base fixe et calculable avec un nombre variable de colonnes.</t>
  </si>
  <si>
    <t>Pre-formatted forms: a fixed, calculable base with a variable number of columns.</t>
  </si>
  <si>
    <t xml:space="preserve">Pour l'identification de vos fiches vous avez le choix </t>
  </si>
  <si>
    <t>Les "postits" détachables : des éléments personnalisables permettant d’enrichir ou de modifier une recette selon les besoins.</t>
  </si>
  <si>
    <t>Detachable “postits”: customizable elements to enrich or modify a recipe as required.</t>
  </si>
  <si>
    <t xml:space="preserve">entre la numérotation </t>
  </si>
  <si>
    <t>N°2</t>
  </si>
  <si>
    <t>et l'identification Alpha</t>
  </si>
  <si>
    <t>Un équilibre entre rigueur et flexibilité</t>
  </si>
  <si>
    <t>A balance between rigor and flexibility</t>
  </si>
  <si>
    <t>Cette organisation allie structuration et adaptabilité, offrant une approche claire et évolutive pour diverses situations.</t>
  </si>
  <si>
    <t>This organization combines structure and adaptability, offering a clear, scalable approach to a variety of situations.</t>
  </si>
  <si>
    <t xml:space="preserve">Alpha vous permet de vous constituer des répertoires </t>
  </si>
  <si>
    <t>1. Fiche recette ou cadre préformaté(e)</t>
  </si>
  <si>
    <t>1. Recipe sheet or pre-formatted frame</t>
  </si>
  <si>
    <t xml:space="preserve">et de regrouper des préparations pour vous permettre </t>
  </si>
  <si>
    <t>Définition :</t>
  </si>
  <si>
    <t>Definition:</t>
  </si>
  <si>
    <t>de faire des assemblages</t>
  </si>
  <si>
    <t>Document structuré intégrant des sections fixes (ex. étapes, temps de cuisson, etc.).</t>
  </si>
  <si>
    <t>Structured document with fixed sections (e.g. steps, cooking times, etc.).</t>
  </si>
  <si>
    <t>Fonctionnalités :</t>
  </si>
  <si>
    <t>Features :</t>
  </si>
  <si>
    <t>Contient des formules automatiques pour ajuster les quantités en fonction du nombre de portions ou d’autres critères.</t>
  </si>
  <si>
    <t>Contains automatic formulas to adjust quantities according to number of portions or other criteria.</t>
  </si>
  <si>
    <t>Pour masquer les valeurs zéro cliquez sur Fichier - Options avancées et décochez</t>
  </si>
  <si>
    <t>Propose une structure standardisée pour organiser les recettes de manière claire et homogène.</t>
  </si>
  <si>
    <t>Provides a standardized structure to organize recipes in a clear and consistent way.</t>
  </si>
  <si>
    <t>Afficher un Zéro dans les cellules qui ont une valeur nulle</t>
  </si>
  <si>
    <t>2. "Postits" ou parties détachables</t>
  </si>
  <si>
    <t>2. “Postits” or detachable parts</t>
  </si>
  <si>
    <t>To hide zero values, click on File - Advanced options and uncheck</t>
  </si>
  <si>
    <t>Show a Zero in cells with a null value</t>
  </si>
  <si>
    <t>Éléments courts contenant :</t>
  </si>
  <si>
    <t>Short elements containing :</t>
  </si>
  <si>
    <t>Une liste de denrées (ingrédients nécessaires).</t>
  </si>
  <si>
    <t>A list of foodstuffs (ingredients required).</t>
  </si>
  <si>
    <t>Les quantités spécifiques définies par l’auteur (sans formule d’ajustement).</t>
  </si>
  <si>
    <t>Specific quantities defined by the author (without adjustment formula).</t>
  </si>
  <si>
    <t>Functionality:</t>
  </si>
  <si>
    <t>Peuvent être ajoutés ou déplacés dans la fiche préformatée pour adapter la recette selon vos besoins spécifiques.</t>
  </si>
  <si>
    <t>Can be added to or moved within the pre-formatted sheet to adapt the recipe to your specific needs.</t>
  </si>
  <si>
    <t>Permettent une personnalisation rapide.</t>
  </si>
  <si>
    <t>Enable rapid customization.</t>
  </si>
  <si>
    <t>Conviennent à une approche modulaire, en ajoutant ou modifiant des éléments facilement.</t>
  </si>
  <si>
    <t>Suitable for a modular approach, easily adding or modifying elements.</t>
  </si>
  <si>
    <t>Ici je vous propose quelques modèles de fiche recette avec parties détachables préformatées et un nombre de lignes défini</t>
  </si>
  <si>
    <t>Here are a few recipe card templates with pre-formatted detachable parts and a defined number of lines.</t>
  </si>
  <si>
    <t>Attention selon version Excel le séparateur de nombre peut être soit une virgule, soit un point; j'ai utilisé le point</t>
  </si>
  <si>
    <t>These documents evolve over time</t>
  </si>
  <si>
    <t>donc si une formule n'affiche pas la valeur souhaitée vérifiez bien ces séparateurs</t>
  </si>
  <si>
    <t>7.lignes.A.24 .colonnes</t>
  </si>
  <si>
    <t>7.lines.A.24 .columns</t>
  </si>
  <si>
    <t xml:space="preserve">dans Fichier &gt; Options &gt; Options avancées &gt; Options d'édition </t>
  </si>
  <si>
    <t>14.lignes.A.24 .colonnes</t>
  </si>
  <si>
    <t>14.rows.A.24 .columns</t>
  </si>
  <si>
    <t>les séparateurs système sont définis dans le panneau de configuration &gt; Paramètres régionnaux Fchiers &gt;Options &gt; Avancé &gt; Option d'édition</t>
  </si>
  <si>
    <t>22.lignes.A.24 .colonnes</t>
  </si>
  <si>
    <t>22.rows.A.24 .columns</t>
  </si>
  <si>
    <t xml:space="preserve">Excel Français cocher utiliser des séparateurs système </t>
  </si>
  <si>
    <t>32.lignes.A.24 .colonnes</t>
  </si>
  <si>
    <t>32.rows.A.24 .columns</t>
  </si>
  <si>
    <t>42.lignes.A.24 .colonnes</t>
  </si>
  <si>
    <t>42.rows.A.24 .columns</t>
  </si>
  <si>
    <t>⓪①②③④⑤⑥⑦⑧⑨⑩⑪⑫⑬⑭⑮⑯⑰⑱⑲⑳</t>
  </si>
  <si>
    <t>Modèles au poids</t>
  </si>
  <si>
    <t>Models by weight</t>
  </si>
  <si>
    <t xml:space="preserve">cliquez sur la première cellule et sélectionnez dans la barre de formule le numéro </t>
  </si>
  <si>
    <t xml:space="preserve">click on the first cell and select the number you want from the formula bar </t>
  </si>
  <si>
    <t xml:space="preserve"> qui vous intéresse choisissez la police de caractères et la couleur qui vous conviennent</t>
  </si>
  <si>
    <t xml:space="preserve"> choose the font and color you prefer</t>
  </si>
  <si>
    <t xml:space="preserve">Vous pouvez coller les fiches de progression sous la fiche recette </t>
  </si>
  <si>
    <t xml:space="preserve">You can stick the progress cards under the recipe card. </t>
  </si>
  <si>
    <t>⓿❶❷❸❹❺❻❼❽❾❿⓫⓬⓭⓮⓯⓰⓱⓲⓳⓴</t>
  </si>
  <si>
    <t>► ◄  ▲  ▼  '@  #  &amp;  %  ± ➕ ➖ ➗ ✖️ ¼  ½  ¾</t>
  </si>
  <si>
    <t>Pour faciliter le découpage du texte, j’ai intégré un tableau intelligent capable de le fractionner sans couper un mot.</t>
  </si>
  <si>
    <t>To make text splitting easier, I've integrated a smart table that can split the text without cutting a word.</t>
  </si>
  <si>
    <t xml:space="preserve">Que ce soit pour les "Postits" ou les sections détachables, vous pouvez les copier et les coller dans n’importe quelle feuille Excel, </t>
  </si>
  <si>
    <t xml:space="preserve">Whether for the “Postits” or the detachable sections, you can copy and paste them into any Excel sheet, </t>
  </si>
  <si>
    <t>Depending on the Excel version, the number separator may be either a comma or a period.</t>
  </si>
  <si>
    <t>qu’elle soit vierge ou adaptée au modèle de fiche. Cela vous permet de constituer facilement votre propre répertoire.</t>
  </si>
  <si>
    <t>whether blank or adapted to the template. This makes it easy to create your own directory.</t>
  </si>
  <si>
    <t>so if a formula doesn't display the desired value, be sure to check these separators</t>
  </si>
  <si>
    <t xml:space="preserve">in File &gt; Options &gt; Advanced options &gt; Editing options </t>
  </si>
  <si>
    <t>Vous pouvez regrouper plusieurs postits ou sections détachables sur une même feuille afin de composer votre propre assemblage.</t>
  </si>
  <si>
    <t>You can group several postits or detachable sections on the same sheet to create your own assembly.</t>
  </si>
  <si>
    <t>system separators are defined in Control Panel &gt; Regional settings File &gt; Options &gt; Advanced &gt; Editing options</t>
  </si>
  <si>
    <t xml:space="preserve">Exemple : Pour réaliser un gâteau, sélectionnez dans votre répertoire la recette du biscuit qui vous convient le mieux, </t>
  </si>
  <si>
    <t xml:space="preserve">Example: To make a cake, select the cookie recipe you like best from your repertoire, </t>
  </si>
  <si>
    <t xml:space="preserve">French Excel check Use system separators </t>
  </si>
  <si>
    <t>ajoutez une ou deux crèmes assorties, puis complétez avec un post-it pour les éléments de décoration.</t>
  </si>
  <si>
    <t>add one or two matching creams, then complete with a post-it note for decorative elements.</t>
  </si>
  <si>
    <t xml:space="preserve">Idem pour des recettes de cuisine ou de charcuterie faites des répertoires </t>
  </si>
  <si>
    <t xml:space="preserve">The same goes for recipes for cooking or charcuterie. </t>
  </si>
  <si>
    <t xml:space="preserve">Pour l'archivage et le classement </t>
  </si>
  <si>
    <t xml:space="preserve">For archiving and filing </t>
  </si>
  <si>
    <r>
      <t>A</t>
    </r>
    <r>
      <rPr>
        <sz val="11"/>
        <color rgb="FF0000FF"/>
        <rFont val="Calibri"/>
        <family val="2"/>
        <scheme val="minor"/>
      </rPr>
      <t xml:space="preserve"> : Alpha (par exemple, "G") automatique avec formule</t>
    </r>
  </si>
  <si>
    <t>A: Alpha (e.g. “G”) automatic with formula</t>
  </si>
  <si>
    <r>
      <t>B</t>
    </r>
    <r>
      <rPr>
        <sz val="11"/>
        <color rgb="FF0000FF"/>
        <rFont val="Calibri"/>
        <family val="2"/>
        <scheme val="minor"/>
      </rPr>
      <t xml:space="preserve"> : Famille (par exemple, "cuisine")</t>
    </r>
  </si>
  <si>
    <t>B: Family (e.g. “kitchen”)</t>
  </si>
  <si>
    <r>
      <t>C</t>
    </r>
    <r>
      <rPr>
        <sz val="11"/>
        <color rgb="FF0000FF"/>
        <rFont val="Calibri"/>
        <family val="2"/>
        <scheme val="minor"/>
      </rPr>
      <t xml:space="preserve"> :  Type d'Élément (par exemple, "cuisson")</t>
    </r>
  </si>
  <si>
    <t>C: Item type (e.g. “cooking”)</t>
  </si>
  <si>
    <r>
      <t>D</t>
    </r>
    <r>
      <rPr>
        <sz val="11"/>
        <color rgb="FF0000FF"/>
        <rFont val="Calibri"/>
        <family val="2"/>
        <scheme val="minor"/>
      </rPr>
      <t xml:space="preserve"> : Nom de l’Élément (par exemple, "Garniture bourguignonne")</t>
    </r>
  </si>
  <si>
    <t>D: Item name (e.g. “Garniture bourguignonne”)</t>
  </si>
  <si>
    <r>
      <t>E</t>
    </r>
    <r>
      <rPr>
        <sz val="11"/>
        <color rgb="FF0000FF"/>
        <rFont val="Calibri"/>
        <family val="2"/>
        <scheme val="minor"/>
      </rPr>
      <t xml:space="preserve"> : Préparation pour (par exemple, "plat principal")</t>
    </r>
  </si>
  <si>
    <t>E: Preparation for (e.g. “main dish”)</t>
  </si>
  <si>
    <r>
      <t>F</t>
    </r>
    <r>
      <rPr>
        <sz val="11"/>
        <color rgb="FF0000FF"/>
        <rFont val="Calibri"/>
        <family val="2"/>
        <scheme val="minor"/>
      </rPr>
      <t xml:space="preserve"> : Recette mère (par exemple, "BoeufBourguignon_2023-09-20.xlsx")</t>
    </r>
  </si>
  <si>
    <t>F: Master recipe (e.g. “BoeufBourguignon_2023-09-20.xlsx”)</t>
  </si>
  <si>
    <t>Voilà dans l'ensemble c'est assez simple; ne paniquez pas prenez le temps de lire</t>
  </si>
  <si>
    <t>All in all, it's quite simple; don't panic, take the time to read on</t>
  </si>
  <si>
    <t>et vous verrez tout se passera bien.</t>
  </si>
  <si>
    <t>and you'll see that everything will run smoothly.</t>
  </si>
  <si>
    <t>Faites preuve de curiosité et explorez de nouvelles formules pour enrichir vos futurs documents.</t>
  </si>
  <si>
    <t>Be curious and explore new formulas to enrich your future documents.</t>
  </si>
  <si>
    <t>Partagez librement votre savoir-faire et votre expérience, sans vous soucier de qui en bénéficiera.</t>
  </si>
  <si>
    <t>Share your know-how and experience freely, without worrying about who will benefit from it.</t>
  </si>
  <si>
    <t xml:space="preserve"> L’essentiel est qu’ils puissent aider et inspirer le plus grand nombre.</t>
  </si>
  <si>
    <t xml:space="preserve"> The important thing is that they help and inspire as many people as possible.</t>
  </si>
  <si>
    <t>J'ai volontairement saisi "Postits" l'autre version est une marque déposée</t>
  </si>
  <si>
    <t>I deliberately typed “Postits”, the other version is a registered trademark.</t>
  </si>
  <si>
    <t>Comment copier un Post-it ou une recette ?</t>
  </si>
  <si>
    <t>How do I copy a Post-it note or a recipe?</t>
  </si>
  <si>
    <t>OU</t>
  </si>
  <si>
    <t>OR</t>
  </si>
  <si>
    <t>1. Cliquez sur la cellule ICI dans l’angle gauche.</t>
  </si>
  <si>
    <t>1. Click on the HERE cell in the left-hand corner.</t>
  </si>
  <si>
    <t>2. Faites glisser la souris vers la droite, puis descendez jusqu’à la dernière cellule à droite : le Post-it ou la recette est alors sélectionné(e).</t>
  </si>
  <si>
    <t>2. Drag the mouse to the right, then down to the last cell on the right: the Post-it or recipe is now selected.</t>
  </si>
  <si>
    <t>3. Il ne vous reste plus qu’à le/la copier et le/la coller dans votre répertoire.</t>
  </si>
  <si>
    <t>3. All that's left to do is copy and paste it into your directory.</t>
  </si>
  <si>
    <t xml:space="preserve">Bonne utilisation. A vous de faire évoluer ces fiches excel  ou de les convertir sur Libre Office </t>
  </si>
  <si>
    <t>Good use. It's up to you to upgrade these excel sheets or convert them to Libre Office.</t>
  </si>
  <si>
    <t>ou tout autre tableur en Open source à condition que les formules puissent fonctionner</t>
  </si>
  <si>
    <t xml:space="preserve">or any other open-source spreadsheet program, as long as the formulas can be run. </t>
  </si>
  <si>
    <t xml:space="preserve">Retrouvez les documents  UPRT.fr sur le site  </t>
  </si>
  <si>
    <t>https://cuisine-centrale17.fr/</t>
  </si>
  <si>
    <t xml:space="preserve"> Joël Leboucher </t>
  </si>
  <si>
    <t>fin du document cellule</t>
  </si>
  <si>
    <t>end of document cell</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</si>
  <si>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</si>
  <si>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</si>
  <si>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</si>
  <si>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</si>
  <si>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</si>
  <si>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</si>
  <si>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</si>
  <si>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</si>
  <si>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</si>
  <si>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</si>
  <si>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</si>
  <si>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</si>
  <si>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</si>
  <si>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</si>
  <si>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</si>
  <si>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</si>
  <si>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</si>
  <si>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</si>
  <si>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</si>
  <si>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</si>
  <si>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</si>
  <si>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</si>
  <si>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</si>
  <si>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</si>
  <si>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</si>
  <si>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</si>
  <si>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</si>
  <si>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</si>
  <si>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</si>
  <si>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</si>
  <si>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</si>
  <si>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</si>
  <si>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</si>
  <si>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</si>
  <si>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</si>
  <si>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</si>
  <si>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</si>
  <si>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</si>
  <si>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</si>
  <si>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</si>
  <si>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</si>
  <si>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</si>
  <si>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</si>
  <si>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</si>
  <si>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</si>
  <si>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</si>
  <si>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</si>
  <si>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</si>
  <si>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</si>
  <si>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</si>
  <si>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</si>
  <si>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</si>
  <si>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</si>
  <si>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</si>
  <si>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</si>
  <si>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</si>
  <si>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</si>
  <si>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</si>
  <si>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</si>
  <si>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</si>
  <si>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</si>
  <si>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 xml:space="preserve"> English version X column</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</si>
  <si>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</si>
  <si>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</si>
  <si>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</si>
  <si>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</si>
  <si>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</si>
  <si>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</si>
  <si>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bien que sobre dans sa présentation, regroupe un contenu riche issu d’expériences et de savoir-faire en restauration collective.</t>
  </si>
  <si>
    <t>adaptables a la restauration commerciale</t>
  </si>
  <si>
    <r>
      <t xml:space="preserve">Je dédie ces documents à mes deux filles, </t>
    </r>
    <r>
      <rPr>
        <b/>
        <sz val="14"/>
        <color theme="1"/>
        <rFont val="Segoe Print"/>
      </rPr>
      <t>Amandine et Marine</t>
    </r>
    <r>
      <rPr>
        <sz val="14"/>
        <color theme="1"/>
        <rFont val="Segoe Print"/>
      </rPr>
      <t xml:space="preserve">, qui m'ont apporté beaucoup de bonheur, </t>
    </r>
  </si>
  <si>
    <t>mais aussi à vous, internautes.</t>
  </si>
  <si>
    <t>Je vous confie la mission de transmettre ces documents aux plus jeunes,</t>
  </si>
  <si>
    <t xml:space="preserve"> en particulier à ceux rencontrant des difficultés dans leur parcours éducatif pour diverses raisons.</t>
  </si>
  <si>
    <r>
      <t xml:space="preserve">💡 </t>
    </r>
    <r>
      <rPr>
        <b/>
        <sz val="14"/>
        <color theme="1"/>
        <rFont val="Calibri"/>
        <family val="2"/>
        <scheme val="minor"/>
      </rPr>
      <t>Rappel essentiel</t>
    </r>
    <r>
      <rPr>
        <sz val="14"/>
        <color theme="1"/>
        <rFont val="Calibri"/>
        <family val="2"/>
        <scheme val="minor"/>
      </rPr>
      <t xml:space="preserve"> : </t>
    </r>
    <r>
      <rPr>
        <sz val="14"/>
        <color theme="1"/>
        <rFont val="Segoe Print"/>
      </rPr>
      <t xml:space="preserve"> L’échec scolaire ne détermine pas une vie</t>
    </r>
  </si>
  <si>
    <t>On peut ne pas réussir à l’école et pourtant s’épanouir pleinement dans un métier en trouvant la satisfaction du travail bien fait.</t>
  </si>
  <si>
    <t xml:space="preserve">Avec mes sincères salutations,    </t>
  </si>
  <si>
    <t xml:space="preserve">Joël leboucher      </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</si>
  <si>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</si>
  <si>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</si>
  <si>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</si>
  <si>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</si>
  <si>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</si>
  <si>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SITE MAP</t>
  </si>
  <si>
    <t xml:space="preserve">these links will gradually be replaced by this one </t>
  </si>
  <si>
    <t>DOCUMENTS POUR RESTAURATEURS</t>
  </si>
  <si>
    <t>http://www.uprt.fr/detail.php?id=185&amp;titre=restaurateurs</t>
  </si>
  <si>
    <t>DOCUMENTS FOR RESTORERS</t>
  </si>
  <si>
    <t>téléchargez tout ce que vous pouvez avant la disparition du site</t>
  </si>
  <si>
    <t>download everything you can before the site disappears</t>
  </si>
  <si>
    <t xml:space="preserve"> pour vous constituer une Net'thèque que vous pourrez exploiter plus tard</t>
  </si>
  <si>
    <t xml:space="preserve"> to build up a Net'thèque that you can use later</t>
  </si>
  <si>
    <t>Pour faire court voici quelques petits exemples</t>
  </si>
  <si>
    <t>To make a long story short, here are a few examples</t>
  </si>
  <si>
    <t>sur cette page vous avez déjà des formules à récupérer et des liens à visiter</t>
  </si>
  <si>
    <t>on this page you already have formulas to retrieve and links to visit</t>
  </si>
  <si>
    <t>Pourquoi une cellule ICI &gt; pour sélectionner le tableau en se déportant vers la droite et vous pouvez le coller dans une autre feuille</t>
  </si>
  <si>
    <t>Why a cell HERE &gt; to select the table and move it to the right so you can paste it into another sheet?</t>
  </si>
  <si>
    <t>Quelques liens hypertexte internes exemple de formules</t>
  </si>
  <si>
    <t>Some internal hyperlinks - sample formulas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</si>
  <si>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</si>
  <si>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</si>
  <si>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</si>
  <si>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</si>
  <si>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A hypertext link always begins with :    LIEN_HYPERTEXTE(“#” c25 for example</t>
  </si>
  <si>
    <t>Mettre seulement le dièse "#" entre 2 guillemets pour ne pas figer la cellule de destination</t>
  </si>
  <si>
    <t>et appuyez sur Entrée</t>
  </si>
  <si>
    <t>Put only the hash “#” between 2 quotation marks to avoid freezing the destination cell.</t>
  </si>
  <si>
    <t>les mises à jours seront automatiques lorsque vous collerez votre tableau dans une autre feuille</t>
  </si>
  <si>
    <t>Vous avez une autre option pour figer la formule &gt; saisissez un ' apostrophe devant =</t>
  </si>
  <si>
    <t>updates will be automatic when you paste your table into another sheet</t>
  </si>
  <si>
    <t>vous obtenez le même résultat  MAIS cet ' est plus difficile à identifier en cas d'erreur</t>
  </si>
  <si>
    <t>Exemples de formules nomades vous indiquez une bonne fois pour toutes l'emplacement de la cellule de destination</t>
  </si>
  <si>
    <t>Examples of nomadic formulas you specify the location of the destination cell once and for all</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</si>
  <si>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</si>
  <si>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</si>
  <si>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</si>
  <si>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</si>
  <si>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</si>
  <si>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</si>
  <si>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</si>
  <si>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</si>
  <si>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Display</t>
  </si>
  <si>
    <t>Details of the formula entered</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</si>
  <si>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</si>
  <si>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</si>
  <si>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</si>
  <si>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</si>
  <si>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</si>
  <si>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</si>
  <si>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</si>
  <si>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</si>
  <si>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</si>
  <si>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</si>
  <si>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</si>
  <si>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</si>
  <si>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</si>
  <si>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</si>
  <si>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</si>
  <si>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</si>
  <si>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</si>
  <si>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</si>
  <si>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</si>
  <si>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</si>
  <si>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</si>
  <si>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 xml:space="preserve">For all these formulas, replace </t>
  </si>
  <si>
    <t>by your Line and Column No.</t>
  </si>
  <si>
    <t>l'avantage de ne pas mettre le nom de la cellule entre guillemets c'est qu'elle se mettra automatiquement à jour lorsque vous copierez votre tableau ailleurs</t>
  </si>
  <si>
    <t>the advantage of not enclosing the cell name in quotation marks is that it will automatically update when you copy your table elsewhere.</t>
  </si>
  <si>
    <t>Formats de cellules nombres personnalisées</t>
  </si>
  <si>
    <t>UNICAR(128269)</t>
  </si>
  <si>
    <t>Tableau de bord des ventes et de gestion des stocks</t>
  </si>
  <si>
    <t>https://www.youtube.com/watch?v=BEAwIv4fIw4</t>
  </si>
  <si>
    <t>dans les 3 formules suivantes</t>
  </si>
  <si>
    <t># ##0" gr"</t>
  </si>
  <si>
    <t>in the following 3 formulas</t>
  </si>
  <si>
    <t>Lien incrémenté ne se met pas à jour dans un autre emplacement</t>
  </si>
  <si>
    <t># ##0.000" kg"</t>
  </si>
  <si>
    <t>Extraire du texte d'une chaine de caractères</t>
  </si>
  <si>
    <t>Incremented link does not update in another location</t>
  </si>
  <si>
    <t>formule plus simple MAIS si vous déplacez votre tableau vous devez à chaque fois modifier l'adresse ("# c131";</t>
  </si>
  <si>
    <t>de # ##0.000" kg"</t>
  </si>
  <si>
    <t>Collez votre texte &gt;</t>
  </si>
  <si>
    <t>qtzt-45221-kiu</t>
  </si>
  <si>
    <t>simpler formula BUT if you move your array you have to change the address each time (“# c131”;</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</si>
  <si>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</si>
  <si>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</si>
  <si>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</si>
  <si>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</si>
  <si>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</si>
  <si>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</si>
  <si>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</si>
  <si>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</si>
  <si>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</si>
  <si>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</si>
  <si>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</si>
  <si>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</si>
  <si>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</si>
  <si>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</si>
  <si>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You can put emotocones in your formulas between two quotation marks “ ”.</t>
  </si>
  <si>
    <t>"🚲 "   " 🤓 "   " ✔ "   " 🆗 "</t>
  </si>
  <si>
    <t>0" jours"</t>
  </si>
  <si>
    <t>0" H"</t>
  </si>
  <si>
    <t>➕  ⏮  ➿  ⁉  ⬅  ☺  ✔  ❓  🆗  🌼  🚲  🤓  🔛 🚐  «</t>
  </si>
  <si>
    <t>0" Mx"</t>
  </si>
  <si>
    <t>Lien &gt;</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</si>
  <si>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</si>
  <si>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</si>
  <si>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</si>
  <si>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</si>
  <si>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</si>
  <si>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</si>
  <si>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</si>
  <si>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</si>
  <si>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</si>
  <si>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How do you type all the symbols, emoji, signs and icons on your computer keyboard?</t>
  </si>
  <si>
    <t>http://www.symbole-clavier.com/</t>
  </si>
  <si>
    <t>https://www.premiers-clics.fr/cours-informatique/windows-les-fonctionnalites-du-clavier/</t>
  </si>
  <si>
    <t>0.00" cm"</t>
  </si>
  <si>
    <t>Manuel d’utilisation</t>
  </si>
  <si>
    <t>0.00 " cm²"</t>
  </si>
  <si>
    <t>Instruction manual</t>
  </si>
  <si>
    <t>https://bepo.fr/wiki/Manuel</t>
  </si>
  <si>
    <t>https://bepo.fr/wiki/Menu</t>
  </si>
  <si>
    <t>Actif;"Actif";"Inactif"</t>
  </si>
  <si>
    <t>Vrai;"Vrai";"Faux"</t>
  </si>
  <si>
    <t>Liste des fonctions Excel avec une traduction</t>
  </si>
  <si>
    <t>https://fr.excelfunctions.eu/</t>
  </si>
  <si>
    <t>List of Excel functions with translation</t>
  </si>
  <si>
    <t>Pour vous détendre un peu  : Convertir un CD en MP3 avec Windows Media Player</t>
  </si>
  <si>
    <t>To relax a little: Convert a CD to MP3 with Windows Media Player</t>
  </si>
  <si>
    <t>https://www.premiers-clics.fr/cours-informatique/windows-convertir-un-cd-en-fichiers-mp3/</t>
  </si>
  <si>
    <t>lorsque vous collez ce tableau ailleurs</t>
  </si>
  <si>
    <t>Amusez vous un tableur c'est fait pour ça</t>
  </si>
  <si>
    <t>when pasting this table elsewhere</t>
  </si>
  <si>
    <t>Have fun with a spreadsheet!</t>
  </si>
  <si>
    <t>Pour obtenir un nombre de plaques gastro à utiliser par exemple</t>
  </si>
  <si>
    <t>dans les formules avec loupe n'oubliez pas de modifier les adresses &gt; # k93 &amp;" K93"</t>
  </si>
  <si>
    <t>🛺</t>
  </si>
  <si>
    <t>🚲</t>
  </si>
  <si>
    <t>To obtain a number of gastro plates to use for example</t>
  </si>
  <si>
    <t>in formulas with magnifying glass, don't forget to modify the addresses &gt; # k93 &amp;” K93”</t>
  </si>
  <si>
    <t>si vous utilisez un poids cru vous avez une formule</t>
  </si>
  <si>
    <t>❹ Kg cru</t>
  </si>
  <si>
    <t>if you use a raw weight, you have one formula</t>
  </si>
  <si>
    <t>et si vous utilisez un poids cuit vous en avez une autre</t>
  </si>
  <si>
    <t>❺ Kg cuit</t>
  </si>
  <si>
    <t>and if you use a cooked weight you have another one</t>
  </si>
  <si>
    <t>🤓</t>
  </si>
  <si>
    <t>Nombre de contenants</t>
  </si>
  <si>
    <t>Number of containers</t>
  </si>
  <si>
    <t>Formulas used to display these results</t>
  </si>
  <si>
    <t>Produit conditionné</t>
  </si>
  <si>
    <t>Packaged product</t>
  </si>
  <si>
    <t>contenant(s) a prévoir &gt;</t>
  </si>
  <si>
    <t>Bœuf</t>
  </si>
  <si>
    <t>Sautés en morceaux service au poids</t>
  </si>
  <si>
    <t>Sautéed in pieces, served by weight</t>
  </si>
  <si>
    <t>❷ Type de Contenant</t>
  </si>
  <si>
    <t xml:space="preserve"> GN 1/ 1 = 3 Kg crus</t>
  </si>
  <si>
    <t>❷ Container type</t>
  </si>
  <si>
    <t xml:space="preserve"> GN 1/ 1 = 3 Kg raw</t>
  </si>
  <si>
    <t>▼  ❹ ou ❺</t>
  </si>
  <si>
    <t>capacité du contenant ❸</t>
  </si>
  <si>
    <t>cru</t>
  </si>
  <si>
    <t>container capacity ❸</t>
  </si>
  <si>
    <t xml:space="preserve"> Grammage  p.p.❼</t>
  </si>
  <si>
    <t>Effectif ❽</t>
  </si>
  <si>
    <t>Number of employees ❽</t>
  </si>
  <si>
    <t xml:space="preserve">A conditionner </t>
  </si>
  <si>
    <t>To be packaged</t>
  </si>
  <si>
    <t>Total contenants &gt;</t>
  </si>
  <si>
    <t>1 cont.pour &gt;</t>
  </si>
  <si>
    <t>Total containers &gt;</t>
  </si>
  <si>
    <t>1 cont.for &gt;</t>
  </si>
  <si>
    <t>un contenant* peut être une panière - un sachet - une plaque gastro - une louche - une barquette etc..</t>
  </si>
  <si>
    <t>a container* can be a basket - a bag - a gastro plate - a ladle - a tray etc…</t>
  </si>
  <si>
    <t>Saisissez vos valeurs dans les cellules fond de couleur et collez ❹ Kg cru ou  ❺ Kg cuit</t>
  </si>
  <si>
    <t>Enter your values in the colored background cells and paste ❹ Kg raw or ❺ Kg cooked</t>
  </si>
  <si>
    <t>LÉGENDE</t>
  </si>
  <si>
    <t>LEGEND</t>
  </si>
  <si>
    <t>❶ FAMILLE et NOM DU PLAT</t>
  </si>
  <si>
    <t xml:space="preserve">❻ %  de PERTE </t>
  </si>
  <si>
    <t>❶ FAMILY and PLAT NAME</t>
  </si>
  <si>
    <t>❻ % de BONI &gt;</t>
  </si>
  <si>
    <t>❸ capacité du contenant*</t>
  </si>
  <si>
    <t>❻ Foisonnement</t>
  </si>
  <si>
    <t xml:space="preserve">❸ Container capacity* </t>
  </si>
  <si>
    <t xml:space="preserve">❹ </t>
  </si>
  <si>
    <t>❼  Grammage  p.p.</t>
  </si>
  <si>
    <t xml:space="preserve">❺ </t>
  </si>
  <si>
    <t>cuit</t>
  </si>
  <si>
    <t>❽ Saisissez vos effectifs</t>
  </si>
  <si>
    <t xml:space="preserve">Collez ❹ Kg cru ou ❺ Kg cuit </t>
  </si>
  <si>
    <t>Cellule &gt;</t>
  </si>
  <si>
    <t xml:space="preserve">Glue ❹ Kg cru ou ❺ Kg cuit </t>
  </si>
  <si>
    <t>CRU moins % Perte = CUIT</t>
  </si>
  <si>
    <t xml:space="preserve">CUIT + % boni = CRU </t>
  </si>
  <si>
    <t>PasteCRU minus % Loss = COOKED</t>
  </si>
  <si>
    <t>&lt;Fixed column widths for the record</t>
  </si>
  <si>
    <t>&lt;Column widths formula</t>
  </si>
  <si>
    <t>Utilitaire pour le foisionnement en + ou - pour légumes secs et céréales etc…</t>
  </si>
  <si>
    <t>Produit conditionné &gt;</t>
  </si>
  <si>
    <t>Produit &gt;</t>
  </si>
  <si>
    <t xml:space="preserve">Semoule </t>
  </si>
  <si>
    <t xml:space="preserve"> GN 1/ 1 </t>
  </si>
  <si>
    <t>collez</t>
  </si>
  <si>
    <t>◄  ❹ ou ❺</t>
  </si>
  <si>
    <t>CRU  Multiplié = CUIT</t>
  </si>
  <si>
    <t xml:space="preserve">CUIT Divisé  = CRU </t>
  </si>
  <si>
    <t>contenants</t>
  </si>
  <si>
    <t>Sautés de bœuf</t>
  </si>
  <si>
    <t>"de "0</t>
  </si>
  <si>
    <t xml:space="preserve">❷ </t>
  </si>
  <si>
    <t>Service de quoi ? &gt;</t>
  </si>
  <si>
    <t>Morceaux</t>
  </si>
  <si>
    <t>(Morceaux- Tranches ...?)</t>
  </si>
  <si>
    <t>❸</t>
  </si>
  <si>
    <t>❹ ou ❺</t>
  </si>
  <si>
    <t>Poids Unitaire &gt;</t>
  </si>
  <si>
    <t>Combien p.p.❼</t>
  </si>
  <si>
    <t>Saisissez vos valeurs dans les cellules fond de couleur et collez ❹ Cu ou  ❺ Cuit</t>
  </si>
  <si>
    <t>❹</t>
  </si>
  <si>
    <t>❼  Quantité p.p.</t>
  </si>
  <si>
    <t>❺</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</si>
  <si>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</si>
  <si>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</si>
  <si>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</si>
  <si>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</si>
  <si>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</si>
  <si>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</si>
  <si>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</si>
  <si>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</si>
  <si>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</si>
  <si>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</si>
  <si>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</si>
  <si>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</si>
  <si>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</si>
  <si>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</si>
  <si>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</si>
  <si>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</si>
  <si>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</si>
  <si>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</si>
  <si>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</si>
  <si>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</si>
  <si>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</si>
  <si>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</si>
  <si>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</si>
  <si>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</si>
  <si>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</si>
  <si>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</si>
  <si>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</si>
  <si>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</si>
  <si>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</si>
  <si>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</si>
  <si>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</si>
  <si>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</si>
  <si>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</si>
  <si>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</si>
  <si>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</si>
  <si>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</si>
  <si>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Poids</t>
  </si>
  <si>
    <t>Eau</t>
  </si>
  <si>
    <t>lait entier</t>
  </si>
  <si>
    <t>lait 1/2 écrémé</t>
  </si>
  <si>
    <t>Nom de la recette</t>
  </si>
  <si>
    <t>POIDS DE LA RECETTE A DÉCRYPTER</t>
  </si>
  <si>
    <t>huile</t>
  </si>
  <si>
    <t>liste des produits</t>
  </si>
  <si>
    <t>Pourcentages des produits</t>
  </si>
  <si>
    <t>alcool</t>
  </si>
  <si>
    <t>Saisissez vos valeurs dans la cellule fond jaune encre rouge</t>
  </si>
  <si>
    <t>Dear Madam or Sir, Hello,</t>
  </si>
  <si>
    <t>Señora, Señor, buenos días:</t>
  </si>
  <si>
    <t>Here is an example of the tools you can find on the UPRT website.</t>
  </si>
  <si>
    <t>Aquí tiene un ejemplo de las herramientas que puede encontrar en el sitio web de UPRT.</t>
  </si>
  <si>
    <t>Versión en español columna AS</t>
  </si>
  <si>
    <t>The purpose of these documents is, of course, to be used if they suit your needs.</t>
  </si>
  <si>
    <t>El objetivo de estos documentos es, por supuesto, que se utilicen si le resultan útiles.</t>
  </si>
  <si>
    <t>But above all, they are meant to help maintain and develop critical thinking skills by offering practical examples.</t>
  </si>
  <si>
    <t>Pero, ante todo, buscan mantener y desarrollar la capacidad de reflexión proponiendo ejemplos prácticos.</t>
  </si>
  <si>
    <t>Using a spreadsheet—or digital tools for oven cooking—is a great advancement.</t>
  </si>
  <si>
    <t>El uso de una hoja de cálculo, o de herramientas informáticas para la cocción en hornos, es algo estupendo.</t>
  </si>
  <si>
    <t>However, relying only on predefined functions can sometimes diminish our ability to think, reason, and stay in control.</t>
  </si>
  <si>
    <t>Sin embargo, al depender únicamente de funciones predefinidas, corremos el riesgo de perder la capacidad de pensar, razonar y dominar lo que hacemos.</t>
  </si>
  <si>
    <t>A young apprentice in vocational training or an active professional may not have the time to learn spreadsheet basics if they haven’t had any prior introduction.</t>
  </si>
  <si>
    <t>Un joven en formación profesional o un profesional en activo no siempre tiene tiempo para aprender los fundamentos de una hoja de cálculo si no ha recibido una introducción previa.</t>
  </si>
  <si>
    <t>But if we provide them with models, maybe they'll take the time to cut, paste, apply formatting, and experiment with formulas and functions.</t>
  </si>
  <si>
    <t>Pero si se le proponen modelos listos para usar, quizás se tome el tiempo de copiar, pegar, aplicar formatos y experimentar con fórmulas y funciones.</t>
  </si>
  <si>
    <t>That’s why I encourage visitors to download everything they find useful on this site to their hard drive—</t>
  </si>
  <si>
    <t>Por eso animo a los usuarios a descargar en su disco duro todo lo que encuentren útil en este sitio,</t>
  </si>
  <si>
    <t>and gradually build a personal web-library or net-library they can consult whenever they need.</t>
  </si>
  <si>
    <t>para construir poco a poco una biblioteca web o netteca que puedan consultar y utilizar cuando lo necesiten.</t>
  </si>
  <si>
    <t>This site, although modest in appearance, contains a wealth of content drawn from experience and know-how in institutional catering,</t>
  </si>
  <si>
    <t>Este sitio, aunque sencillo en su presentación, reúne contenidos valiosos basados en la experiencia y el saber hacer en el ámbito de la restauración colectiva,</t>
  </si>
  <si>
    <t>which can also be adapted to commercial foodservice.</t>
  </si>
  <si>
    <t>que también pueden adaptarse a la restauración comercial.</t>
  </si>
  <si>
    <t>I dedicate these documents to my two daughters, Amandine and Marine, who have brought me so much joy,</t>
  </si>
  <si>
    <t>Dedico estos documentos a mis dos hijas, Amandine y Marine, que me han dado mucha felicidad,</t>
  </si>
  <si>
    <t>but also to you, the readers and visitors.</t>
  </si>
  <si>
    <t>y también a ustedes, los internautas.</t>
  </si>
  <si>
    <t>I entrust you with the mission of passing these resources on to younger generations,</t>
  </si>
  <si>
    <t>Les encomiendo la misión de transmitir estos documentos a los más jóvenes,</t>
  </si>
  <si>
    <t>especially those facing challenges in their educational journey for various reasons.</t>
  </si>
  <si>
    <t>especialmente a aquellos que enfrentan dificultades en su trayectoria educativa por distintas razones.</t>
  </si>
  <si>
    <t>💡 A vital reminder: Academic failure does not define a life.</t>
  </si>
  <si>
    <t>💡 Recordatorio esencial: El fracaso escolar no determina una vida.</t>
  </si>
  <si>
    <t>One may struggle at school and still thrive in a profession, finding fulfillment through quality work.</t>
  </si>
  <si>
    <t>Uno puede no tener éxito en la escuela y, sin embargo, realizarse plenamente en un oficio, encontrando satisfacción en el trabajo bien hecho.</t>
  </si>
  <si>
    <t>With sincere regards,</t>
  </si>
  <si>
    <t>Con mis más sinceros saludos,</t>
  </si>
  <si>
    <t>Joël Leboucher</t>
  </si>
  <si>
    <t>April 4, 2025</t>
  </si>
  <si>
    <t>4 de abril de 2025</t>
  </si>
  <si>
    <t>Mode d'emploi suite adaptation selon modèle</t>
  </si>
  <si>
    <t>① le NOM DE LA RECETTE.FAMILLE</t>
  </si>
  <si>
    <t xml:space="preserve">Une recette (ex. : entremet pâtissier) est un assemblage de sous-recettes. </t>
  </si>
  <si>
    <t>② l' AUTEUR :</t>
  </si>
  <si>
    <t xml:space="preserve">Chacune de ces sections détachable peut être archivée dans un répertoire alphabétique. </t>
  </si>
  <si>
    <t xml:space="preserve">Il est inutile d'archiver des fiches complètes avec des formules gourmandes en mémoire. </t>
  </si>
  <si>
    <t>?  &gt; Recette prévu pour quelle préparation</t>
  </si>
  <si>
    <t>Récupérez la partie détachable qui vous intéresse et collez-la dans le modèle de fiche prévu.</t>
  </si>
  <si>
    <t xml:space="preserve">Pour réaliser un gâteau, sélectionnez un biscuit, ajoutez des crèmes et un élément décoratif. </t>
  </si>
  <si>
    <t>③ Denrées</t>
  </si>
  <si>
    <t>Cette méthode s'applique aussi en cuisine et en charcuterie.</t>
  </si>
  <si>
    <t>④ Quantité ou Nombre d'unités selon fiche</t>
  </si>
  <si>
    <t>dans la partie détachable vous avez la liste des denrées</t>
  </si>
  <si>
    <t xml:space="preserve">⑤ Quoi </t>
  </si>
  <si>
    <t>⑥ Weight or Volume</t>
  </si>
  <si>
    <t>Quantity</t>
  </si>
  <si>
    <t>What</t>
  </si>
  <si>
    <t>⑥ Poids ou Volume ajustez les décimales (+ ou - de 0 )</t>
  </si>
  <si>
    <t>cream</t>
  </si>
  <si>
    <t>crème</t>
  </si>
  <si>
    <t/>
  </si>
  <si>
    <t>grapefruit zest</t>
  </si>
  <si>
    <t>zestes de pamplemousse</t>
  </si>
  <si>
    <t>jaunes d'œufs</t>
  </si>
  <si>
    <t>Collez une unité au choix</t>
  </si>
  <si>
    <t xml:space="preserve">et les PHASES DE PROGRESSION </t>
  </si>
  <si>
    <t>lignes de progression ou d'observations</t>
  </si>
  <si>
    <t>dans chaque Postit vous pouvez modifier les valeurs dans ces colonnes</t>
  </si>
  <si>
    <t xml:space="preserve">⓬  ▼ PHASES DE PROGRESSION </t>
  </si>
  <si>
    <t>Demi-Quart et Tiers</t>
  </si>
  <si>
    <t>texte collé dans le tableau colonne AA pour l'exemple</t>
  </si>
  <si>
    <t xml:space="preserve">se collent colonne </t>
  </si>
  <si>
    <t>Col.6 ⑤ Quoi</t>
  </si>
  <si>
    <t>Observations :</t>
  </si>
  <si>
    <t>L'utilisation professionnelle des recettes</t>
  </si>
  <si>
    <t>vous engage à connaître la réglementation en matière d'hygiène et HACCP.</t>
  </si>
  <si>
    <t>Traçabilité : collez les étiquettes produits au verso de cette feuille imprimée</t>
  </si>
  <si>
    <t>Lien Auteur @</t>
  </si>
  <si>
    <t>dans les 4 premières colonnes vous avez 3 colonnes d'indentification ces informations sont utiles pour les répertoires</t>
  </si>
  <si>
    <t>ne supprimez pas ces colonnes</t>
  </si>
  <si>
    <t>Famille à coller.N.Nom de votre recette.Recette mère ►.S.Saisissez le nom de la recette mère</t>
  </si>
  <si>
    <t>Tableau de correspondance</t>
  </si>
  <si>
    <t>1 L litre = 1 Kg base eau</t>
  </si>
  <si>
    <t>1 quart = 0.250 Kg</t>
  </si>
  <si>
    <t>1 dl = 0.100 Kg</t>
  </si>
  <si>
    <t xml:space="preserve">  1 /10  = 0.100 Kg</t>
  </si>
  <si>
    <t>les cartouches d'entêtes "quantité ou progression" ont les mêmes couleurs</t>
  </si>
  <si>
    <t>1 cl = 0.010 Kg</t>
  </si>
  <si>
    <t>1 cuil.Soupe = 0.010 Kg</t>
  </si>
  <si>
    <t>1 ml = 0.001 Kg</t>
  </si>
  <si>
    <t xml:space="preserve"> 1 Verre = 0.225 Kg</t>
  </si>
  <si>
    <t>donc vous en saisissez un et vous le collez sur l'autre partie</t>
  </si>
  <si>
    <t>⓫ Duplicated for</t>
  </si>
  <si>
    <t xml:space="preserve"> 1 demi = 0.500 Kg</t>
  </si>
  <si>
    <t>NAME OF YOUR RECIPE</t>
  </si>
  <si>
    <t xml:space="preserve"> 1 Bol = 0.350 Kg</t>
  </si>
  <si>
    <t>Dessert assiette.C.Chiboust pamplemousse.Recette mère ►.M.Mille-feuille meringue et chiboust pamplemousse aux fraises des bois</t>
  </si>
  <si>
    <t>Hauteur de ligne 21</t>
  </si>
  <si>
    <t>Dessert assiette</t>
  </si>
  <si>
    <t>CHIBOUST PAMPLEMOUSSE</t>
  </si>
  <si>
    <t>les Valeurs de recherche sont en Kg - exemple 1 verre = 0.225</t>
  </si>
  <si>
    <t>plates</t>
  </si>
  <si>
    <t>YOU</t>
  </si>
  <si>
    <t>Vous pouvez modifier le tableau de conversion en fonction de vos besoins, seule obligation : que les intitulés du tableau et les intitulés que vous collez dans votre colonne de recherche soient exactement identiques.</t>
  </si>
  <si>
    <t xml:space="preserve">◄ Masquez ces 5 colonnes  </t>
  </si>
  <si>
    <t>cutlery</t>
  </si>
  <si>
    <t>Hauteur des 6 lignes 21</t>
  </si>
  <si>
    <t>ARCHIVING AND FILING</t>
  </si>
  <si>
    <t>Un point manquant ou un espace en plus et Excel ne reconnait pas. Donc faites du Copier / Coller</t>
  </si>
  <si>
    <t>chickens</t>
  </si>
  <si>
    <t>saisissez LE NOM DE LA RECETTE</t>
  </si>
  <si>
    <t>Tout est automatique saisissez seulement le nom de la recette Mère</t>
  </si>
  <si>
    <t>increase or decrease the value entered</t>
  </si>
  <si>
    <t>② le nom de l'Auteur</t>
  </si>
  <si>
    <t>Jean-Jacques Borne MOF 1994</t>
  </si>
  <si>
    <t>collez la Famille</t>
  </si>
  <si>
    <t>le Coefficient vous permet d'augmenter</t>
  </si>
  <si>
    <t>la ❾ référence Auteur</t>
  </si>
  <si>
    <t>18  assiettes</t>
  </si>
  <si>
    <t xml:space="preserve">Vous pouvez détourner l'utilisation de la colonne Coefficient </t>
  </si>
  <si>
    <t xml:space="preserve"> To be duplicated for</t>
  </si>
  <si>
    <t>et le Nom de la Recette mère ►</t>
  </si>
  <si>
    <t>en augmentant ou  diminuant pour faire varier le poids d'un aliment</t>
  </si>
  <si>
    <t>MILLE-FEUILLE meringue et chiboust pamplemousse aux fraises des bois</t>
  </si>
  <si>
    <t xml:space="preserve"> sans recommencer une nouvelle fiche</t>
  </si>
  <si>
    <t xml:space="preserve">Vous pouvez également saisir la valeur 0 zéro pour un aliment </t>
  </si>
  <si>
    <t xml:space="preserve">allergène selon convives ou supprimer un ingrédient </t>
  </si>
  <si>
    <t xml:space="preserve">piment ou autres par exemple </t>
  </si>
  <si>
    <t>Produits à la pièce &gt;  nombre 27 jaunes d'œufs  et poids d' 1  jaune</t>
  </si>
  <si>
    <t>jaunes</t>
  </si>
  <si>
    <t>when you enter a value in ④ Quantity AND in ⑥ Weight or Volume</t>
  </si>
  <si>
    <t>lorsque vous saisissez une valeur dans ④ Quantité ET dans ⑥ Poids ou Volume</t>
  </si>
  <si>
    <t>"de" s'affiche automatiquement pour éviter toute confusion " 27 " " jaunes d'œufs"  "de"  " 20 g"</t>
  </si>
  <si>
    <t>Poids Auteur sans coef.</t>
  </si>
  <si>
    <t>Col.⑦ g.kg.</t>
  </si>
  <si>
    <t>256 (nombre formé de trois chiffres : 2, 5, 6)</t>
  </si>
  <si>
    <t>Copiez</t>
  </si>
  <si>
    <t>(0.001*20)</t>
  </si>
  <si>
    <t>Kg de bœuf</t>
  </si>
  <si>
    <t>Collez</t>
  </si>
  <si>
    <t>(1*1.750)</t>
  </si>
  <si>
    <t>l'Auteur à prévu sa recette pour combien de couverts ou pour quel poids</t>
  </si>
  <si>
    <t>farine</t>
  </si>
  <si>
    <t>(0.5*01)</t>
  </si>
  <si>
    <t>lait</t>
  </si>
  <si>
    <t>❿ your reference</t>
  </si>
  <si>
    <t>quart(s)</t>
  </si>
  <si>
    <t>(0.25*3)</t>
  </si>
  <si>
    <t>❿ votre référence</t>
  </si>
  <si>
    <t>pomme</t>
  </si>
  <si>
    <t>cuil.Soupe</t>
  </si>
  <si>
    <t>cognac</t>
  </si>
  <si>
    <t>(0.01*2.5)</t>
  </si>
  <si>
    <t xml:space="preserve">en fonction de vos convives vous estimez cette recette pour combien </t>
  </si>
  <si>
    <t>Quantité ou nombre d'unités au choix</t>
  </si>
  <si>
    <t>Reference product</t>
  </si>
  <si>
    <t>Produit de référence</t>
  </si>
  <si>
    <t>Si les grammages ne vous conviennent pas</t>
  </si>
  <si>
    <t>modifiez la valeur cellule ❿</t>
  </si>
  <si>
    <t>les ¼ de botte de fines herbes en 0,25 ou en quart(s)</t>
  </si>
  <si>
    <t>Lait 0.75 ou 3 quart/L  - ½ citron 0.5 ou 1 demi(s)</t>
  </si>
  <si>
    <t xml:space="preserve">C'est la valeur saisie dans cette cellule qu'Excel va utiliser pour </t>
  </si>
  <si>
    <t>To use the recipes professionally, you need to know</t>
  </si>
  <si>
    <t>dupliquer la recette avec la valeur saisie en ⓫</t>
  </si>
  <si>
    <t xml:space="preserve"> hygiene and HACCP regulations.</t>
  </si>
  <si>
    <t xml:space="preserve"> To duplicate for</t>
  </si>
  <si>
    <t>botte</t>
  </si>
  <si>
    <t>fines herbes</t>
  </si>
  <si>
    <t>lemons</t>
  </si>
  <si>
    <t>demi(s)</t>
  </si>
  <si>
    <t>½ lemon</t>
  </si>
  <si>
    <t>citrons</t>
  </si>
  <si>
    <t>½ citron</t>
  </si>
  <si>
    <t>bunches</t>
  </si>
  <si>
    <t>bottes</t>
  </si>
  <si>
    <t>¼ de botte de fines herbes</t>
  </si>
  <si>
    <t>Rounded weights and volumes</t>
  </si>
  <si>
    <t>liters</t>
  </si>
  <si>
    <t>¾ liter</t>
  </si>
  <si>
    <t>Quelle différence</t>
  </si>
  <si>
    <t>Poids et volumes arrondis</t>
  </si>
  <si>
    <t>litres</t>
  </si>
  <si>
    <t>¾ de litre</t>
  </si>
  <si>
    <t>apples</t>
  </si>
  <si>
    <t>pommes</t>
  </si>
  <si>
    <t>440 L</t>
  </si>
  <si>
    <t>880 demi/L</t>
  </si>
  <si>
    <t>citron</t>
  </si>
  <si>
    <t xml:space="preserve"> volumes  si &gt; à 1 ; L  sinon  cl</t>
  </si>
  <si>
    <t>440 Kg</t>
  </si>
  <si>
    <t>880 demi(s)</t>
  </si>
  <si>
    <t>tout ce qui n'est pas saisi dans la colonne ⑥ Poids ou Volume ne sera pas comptabilisé dans les poids</t>
  </si>
  <si>
    <t xml:space="preserve"> Poids si &gt; à 1 ; Kg  sinon  g</t>
  </si>
  <si>
    <t>1 quart de melon</t>
  </si>
  <si>
    <t xml:space="preserve">1 demi part - </t>
  </si>
  <si>
    <t>⑥Poids ou Volume ajustez les décimales (+ ou - de 0 )</t>
  </si>
  <si>
    <t>lorsque vous collez 1 Quart ; 1 demi ; 1 Tiers col .⑤ Quoi il n'y a pas de poids le résultat s'affiche en quantité colonnes 18 - 19 Unités et Quoi ?</t>
  </si>
  <si>
    <t>⑫ POINTS CLÉS  PHASES ESSENTIELLES  DE PROGRESSION</t>
  </si>
  <si>
    <t>vous pouvez changer de tableau à votre convenance</t>
  </si>
  <si>
    <t xml:space="preserve"> volumes  si &gt; à 1 ; = L  sinon  cl</t>
  </si>
  <si>
    <t xml:space="preserve"> Poids si &gt; à 1 ; = Kg  sinon  g</t>
  </si>
  <si>
    <t xml:space="preserve">Quoi </t>
  </si>
  <si>
    <t>œufs - cuisses -tartes - parts  ou - CB = cuillère de bar -BS =Barspoon - CC = cuillère à café - CT = cuillère à thé -CP = cuillère à potage - QS = quantité suffisante - PM = pour mémoire - plaques gastro 1/1 - louches...etc</t>
  </si>
  <si>
    <t>lorsque vous saisissez un nombre d'unités ⑤</t>
  </si>
  <si>
    <t>et un Poids ou Volume ⑥ "de" s'affiche automatiquement pour indiquer que vous saisissez un poids à l'unité</t>
  </si>
  <si>
    <t>⑧</t>
  </si>
  <si>
    <t xml:space="preserve"> Coefficient</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</si>
  <si>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</si>
  <si>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</si>
  <si>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</si>
  <si>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 xml:space="preserve">ou supprimer un ingrédient piment ou autres par exemple </t>
  </si>
  <si>
    <t>si vous saisissez une valeur différente de 1 la cellule change de couleur  pour attirer votre attention</t>
  </si>
  <si>
    <t xml:space="preserve"> (Mise en Forme Conditionnelle)</t>
  </si>
  <si>
    <t>Quelques formats personnalisés utilisés</t>
  </si>
  <si>
    <t>Quelques couleurs R.V.B utilisées</t>
  </si>
  <si>
    <t>utilisez le pinceau de mise en forme</t>
  </si>
  <si>
    <t>#E2EFDA</t>
  </si>
  <si>
    <t># CCFFCC</t>
  </si>
  <si>
    <t>#99CC00</t>
  </si>
  <si>
    <t>#EAF4E4</t>
  </si>
  <si>
    <t>#4CD44C</t>
  </si>
  <si>
    <t>#00B050</t>
  </si>
  <si>
    <t>#75DBFF</t>
  </si>
  <si>
    <t># CCFFFF</t>
  </si>
  <si>
    <t>#E5F9FB</t>
  </si>
  <si>
    <t>#0000FF</t>
  </si>
  <si>
    <t>#B9B9FF</t>
  </si>
  <si>
    <t>#D9E1F2</t>
  </si>
  <si>
    <t>#FFFF00</t>
  </si>
  <si>
    <t>#FFFFD9</t>
  </si>
  <si>
    <t>#DEC8EE</t>
  </si>
  <si>
    <t>0 "lignes à imprimer "</t>
  </si>
  <si>
    <t>0" g"</t>
  </si>
  <si>
    <t>0" mn"</t>
  </si>
  <si>
    <t># FFFF99</t>
  </si>
  <si>
    <t>#ED7D31</t>
  </si>
  <si>
    <t>#FFC000</t>
  </si>
  <si>
    <t>[h]"H"mm</t>
  </si>
  <si>
    <t>0" %"</t>
  </si>
  <si>
    <t>#C00000</t>
  </si>
  <si>
    <t>#92D050</t>
  </si>
  <si>
    <t>0" feuilles"</t>
  </si>
  <si>
    <t>0 "lignes masquées "</t>
  </si>
  <si>
    <t xml:space="preserve"> entre ▼ 0</t>
  </si>
  <si>
    <t>Énumération XlRgbColor (Excel)</t>
  </si>
  <si>
    <t>0"°C"</t>
  </si>
  <si>
    <t>"et  ▲ "0</t>
  </si>
  <si>
    <t>#7030A0     '@</t>
  </si>
  <si>
    <t>https://learn.microsoft.com/fr-fr/office/vba/api/excel.xlrgbcolor</t>
  </si>
  <si>
    <t>Formule pour une séquence alphabétique horizontale allant au-delà de Z</t>
  </si>
  <si>
    <t xml:space="preserve">Coller la formule ci-dessous dans une cellule puis &gt; </t>
  </si>
  <si>
    <t xml:space="preserve">dans la formule figer toutes les lettres de colonnes par un  </t>
  </si>
  <si>
    <r>
      <t>Tirez la poignée de recopie vers la droite</t>
    </r>
    <r>
      <rPr>
        <sz val="11"/>
        <color theme="1"/>
        <rFont val="Calibri"/>
        <family val="2"/>
        <scheme val="minor"/>
      </rPr>
      <t xml:space="preserve"> pour étendre la formule aux cellules suivantes </t>
    </r>
  </si>
  <si>
    <t>COMMENT DÉCOUPER UN TEXTE sans le tableau magique</t>
  </si>
  <si>
    <t>① collez le texte à découper - ② en combien de caractères - ③ récupérez votre texte</t>
  </si>
  <si>
    <t>①▼</t>
  </si>
  <si>
    <t>Total mots</t>
  </si>
  <si>
    <t>Total caractères</t>
  </si>
  <si>
    <t>② Nb de caractères maxi</t>
  </si>
  <si>
    <t xml:space="preserve">coupé en  </t>
  </si>
  <si>
    <t>Épluchez l’ail et les oignons. Coupez-les en petits morceaux. Égouttez les champignons. Dans votre Cookeo, faites roussir la viande et les lardons avec le morceau de beurre sur le mode « dorer » / 3 min (préchauffage inclus), en remuant avec une cuillère en bois.</t>
  </si>
  <si>
    <t>le texte devrait être coupé en</t>
  </si>
  <si>
    <t>③ Copiez les lignes de texte et collage spécial.123 dans votre document</t>
  </si>
  <si>
    <t>Ligne 1</t>
  </si>
  <si>
    <t>Ligne 2</t>
  </si>
  <si>
    <t>Ligne 3</t>
  </si>
  <si>
    <t>Ligne 4</t>
  </si>
  <si>
    <t>Ligne 5</t>
  </si>
  <si>
    <t>Ligne 6</t>
  </si>
  <si>
    <t>Le découpage n'est pas toujours parfait; vous aurez quelques lettres à supprimer ou ajouter dans votre collage</t>
  </si>
  <si>
    <t>utilitaires</t>
  </si>
  <si>
    <t>&lt; Temps de : Préparation</t>
  </si>
  <si>
    <t>Cuisson &gt;</t>
  </si>
  <si>
    <t>Total &gt;</t>
  </si>
  <si>
    <t>Refroidissement &gt;</t>
  </si>
  <si>
    <t>* *</t>
  </si>
  <si>
    <t>Coût : 1* économique - 4**** luxe &gt;</t>
  </si>
  <si>
    <t>Difficulté : 1*Facile - 4**** Difficile &gt;</t>
  </si>
  <si>
    <t>Compteur de caractères cliquez dans le cadre et collez votre texte dans la barre de formules</t>
  </si>
  <si>
    <t>Compteur de caractères cliquez dans le cadre et collez votre texte dans la barre de formules - formule pour afficher à la fois le nombre de caractères sans les espaces, ainsi que le nombre d'espaces dans la cellule :</t>
  </si>
  <si>
    <t>Lien @</t>
  </si>
  <si>
    <t>pour retrouver le site ou l'Auteur</t>
  </si>
  <si>
    <t>C:\Users\Joel\Desktop\CHANTIER\recettes\[ff.97.recettes de stephane.OK.27.09.xlsx]Feuil4</t>
  </si>
  <si>
    <t>pour retrouver ce document dans votre PC</t>
  </si>
  <si>
    <t>L'utilisation professionnelle des recettes vous engage à connaître  la réglementation en matière d'hygiène et HACCP.</t>
  </si>
  <si>
    <t xml:space="preserve">7 lignes de produits et 8 lignes de progression </t>
  </si>
  <si>
    <t xml:space="preserve">14 lignes de produits et 11 lignes de progression </t>
  </si>
  <si>
    <t>22 lignes de produits et 18 lignes de progression</t>
  </si>
  <si>
    <t xml:space="preserve">32 lignes de produits et 29 lignes de progression </t>
  </si>
  <si>
    <t xml:space="preserve">42 lignes de produits et 39 lignes de progression </t>
  </si>
  <si>
    <t xml:space="preserve"> Modèle  2  postits 1 postit pour les quantités et 1 postit pour la progression   </t>
  </si>
  <si>
    <t>▼   collez votre partie détachable à partir de la cellule rouge A</t>
  </si>
  <si>
    <t>►   Masquez ces 5 colonnes       ▼</t>
  </si>
  <si>
    <t>Famille à coller</t>
  </si>
  <si>
    <t>NOM DE VOTRE RECETTE</t>
  </si>
  <si>
    <t xml:space="preserve">Mode d'emploi express </t>
  </si>
  <si>
    <t>VOUS</t>
  </si>
  <si>
    <t>saisissez le nom de la recette mère</t>
  </si>
  <si>
    <t>Cailles</t>
  </si>
  <si>
    <t>vous pouvez collez des cellules</t>
  </si>
  <si>
    <t>Chicorée Frisée</t>
  </si>
  <si>
    <t>colorées voir feuille</t>
  </si>
  <si>
    <t>Tomates</t>
  </si>
  <si>
    <t>Texte.pour.cellules</t>
  </si>
  <si>
    <t>Artichauts</t>
  </si>
  <si>
    <t>Poivrons verts</t>
  </si>
  <si>
    <t>blancs</t>
  </si>
  <si>
    <t>MODÈLE 7 LIGNES</t>
  </si>
  <si>
    <t>MODÈLE 14 LIGNES</t>
  </si>
  <si>
    <t>MODÈLE 22 LIGNES</t>
  </si>
  <si>
    <t>MODÈLE 32 LIGNES</t>
  </si>
  <si>
    <t>MODÈLE 42 LIGNES</t>
  </si>
  <si>
    <t>lignes de progression</t>
  </si>
  <si>
    <t>MODELE 8 LIGNES</t>
  </si>
  <si>
    <t>◄  collez cette ligne entre les fiches</t>
  </si>
  <si>
    <t>MODÈLE 12 LIGNES</t>
  </si>
  <si>
    <t>L'utilisation professionnelle des recettes vous engage à connaître la réglementation en matière d'hygiène et HACCP.</t>
  </si>
  <si>
    <t>MODÈLE 18 LIGNES</t>
  </si>
  <si>
    <t>MODÈLE 28 LIGNES</t>
  </si>
  <si>
    <t>Cellule ICI</t>
  </si>
  <si>
    <t>Collez les compléments si vous en avez besoin</t>
  </si>
  <si>
    <t>ORGANISATION RAISONNÉE DU TRAVAIL</t>
  </si>
  <si>
    <t>👍</t>
  </si>
  <si>
    <t>tenue professionnelle de circonstance (charlotte-masque)</t>
  </si>
  <si>
    <t>MODÈLE 38 LIGNES</t>
  </si>
  <si>
    <t>verifier - bactéricide - esssuie mains - sacs poubelle</t>
  </si>
  <si>
    <t>vérifier températures - locaux et chambres froides</t>
  </si>
  <si>
    <t>se laver les mains souvent - prévoir gants</t>
  </si>
  <si>
    <t>sélectionner le matériel nécessaire</t>
  </si>
  <si>
    <t>laver et désinfecter le matériel et le poste de travail</t>
  </si>
  <si>
    <t>décongeler en bacs perforés + étiquette date de décongélation</t>
  </si>
  <si>
    <t>cuire et refroidir en cellule avant assemblage</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</si>
  <si>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</si>
  <si>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</si>
  <si>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</si>
  <si>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</si>
  <si>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</si>
  <si>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lignes d'observations</t>
  </si>
  <si>
    <t>⓬  Observations</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</si>
  <si>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</si>
  <si>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</si>
  <si>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</si>
  <si>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</si>
  <si>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</si>
  <si>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stocker en chambre froide</t>
  </si>
  <si>
    <t>◄ Il est indispensable que vous colliez aussi cette ligne avec ce texte</t>
  </si>
  <si>
    <t>assembler</t>
  </si>
  <si>
    <t>L'utilisation professionnelle des recettes vous engage à connaître la réglementation  HACCP.</t>
  </si>
  <si>
    <t>DÉMARCHE QUALITÉ  -  DÉVELOPPEMENT ET AMÉLIORATION DES RECETTES</t>
  </si>
  <si>
    <t>Descriptif de la recette d'origine</t>
  </si>
  <si>
    <t>Premières impressions sur cette recette produits-technique-prix : que faut-il modifier-pouvons nous la servir à tous nos clients- etc..</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</si>
  <si>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</si>
  <si>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</si>
  <si>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</si>
  <si>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Temps de préparation</t>
  </si>
  <si>
    <t>Température de cuisson</t>
  </si>
  <si>
    <t>Temps de cuisson</t>
  </si>
  <si>
    <t>Cuisson à Cœur</t>
  </si>
  <si>
    <t>Refroidissement</t>
  </si>
  <si>
    <t>*</t>
  </si>
  <si>
    <t>Coût : 1* économique - 4**** luxe</t>
  </si>
  <si>
    <t>Difficulté : 1*Facile - 4**** Difficile</t>
  </si>
  <si>
    <t xml:space="preserve">note Maxi par critère = 3   DÉVELOPPEMENT ET AMÉLIORATION DES RECETTES  </t>
  </si>
  <si>
    <t>VISUEL / PRÉSENTATION</t>
  </si>
  <si>
    <t>Les produits ou la recette sont/est :</t>
  </si>
  <si>
    <t xml:space="preserve">ODEUR </t>
  </si>
  <si>
    <t>Bon</t>
  </si>
  <si>
    <t>CUISSON</t>
  </si>
  <si>
    <t>non acceptable pour nos clients</t>
  </si>
  <si>
    <t xml:space="preserve">TEXTURE </t>
  </si>
  <si>
    <t xml:space="preserve"> GUSTATIF</t>
  </si>
  <si>
    <t xml:space="preserve"> GUSTATIF / SAVEUR</t>
  </si>
  <si>
    <t>TEMPÉRATURE</t>
  </si>
  <si>
    <t>à améliorer</t>
  </si>
  <si>
    <t xml:space="preserve">QUALITÉ </t>
  </si>
  <si>
    <t>❌</t>
  </si>
  <si>
    <t>VARIÉTÉ</t>
  </si>
  <si>
    <t>VISUEL</t>
  </si>
  <si>
    <t>ORIGINALITÉ</t>
  </si>
  <si>
    <t>✅</t>
  </si>
  <si>
    <t>BIEN</t>
  </si>
  <si>
    <t>pour les critères saisis</t>
  </si>
  <si>
    <t>TOTAL obtenu</t>
  </si>
  <si>
    <t>CONCLUSION</t>
  </si>
  <si>
    <t xml:space="preserve">TOTAL maxi à atteindre </t>
  </si>
  <si>
    <t>Acceptation</t>
  </si>
  <si>
    <t>pouvons nous la servir à tous nos clients</t>
  </si>
  <si>
    <t>Refus partiel ou total</t>
  </si>
  <si>
    <t>⓬  ▼ Observations</t>
  </si>
  <si>
    <t>Contenant</t>
  </si>
  <si>
    <t>Temps</t>
  </si>
  <si>
    <t xml:space="preserve">Température </t>
  </si>
  <si>
    <t xml:space="preserve"> % Humidité </t>
  </si>
  <si>
    <t>Mode</t>
  </si>
  <si>
    <t xml:space="preserve">Mode de Fonctionnement </t>
  </si>
  <si>
    <t>Air pulsé</t>
  </si>
  <si>
    <t xml:space="preserve"> Préchauffage</t>
  </si>
  <si>
    <t>Gastro 1/1</t>
  </si>
  <si>
    <t>mixte</t>
  </si>
  <si>
    <t>cuisson 1</t>
  </si>
  <si>
    <t>Appréciation : Bien (3), Moyen (2), Non satisfaisant (1) sur  points.</t>
  </si>
  <si>
    <t>grilles 2/1</t>
  </si>
  <si>
    <t>cuisson 2</t>
  </si>
  <si>
    <t>Hors d'Œuvre</t>
  </si>
  <si>
    <t>Plat</t>
  </si>
  <si>
    <t>Légume</t>
  </si>
  <si>
    <t>Dessert</t>
  </si>
  <si>
    <t>Saveur :salée-sucrée-amère-acide-métallique-forte-aigre-acre-fade-naturelle</t>
  </si>
  <si>
    <t>Texture : tendre-fondante-moelleuse-naturelle-granuleuse-fibreuse-cordée-farineuse-gélatineuse-croustillante</t>
  </si>
  <si>
    <t>Cuisson : trop juste--bien-trop cuit-à revoir-Grammages-% Pertes avant et après cuisson-Mode de cuisson etc..</t>
  </si>
  <si>
    <t>lignes de Conseils</t>
  </si>
  <si>
    <t>⓬  Conseils</t>
  </si>
  <si>
    <t>Matériels</t>
  </si>
  <si>
    <t>Temp°</t>
  </si>
  <si>
    <t>Action</t>
  </si>
  <si>
    <t>Conseils</t>
  </si>
  <si>
    <t>Sauteuse</t>
  </si>
  <si>
    <t>rissolage viande</t>
  </si>
  <si>
    <t>Mode fonction &gt;</t>
  </si>
  <si>
    <t>chaleur sèche</t>
  </si>
  <si>
    <t>Four</t>
  </si>
  <si>
    <t>préchauffage</t>
  </si>
  <si>
    <t>Régénération banquet</t>
  </si>
  <si>
    <t>saisir la viande</t>
  </si>
  <si>
    <t>cuire la viande à coeur de + 95 / 97 °C</t>
  </si>
  <si>
    <t>Vapeur</t>
  </si>
  <si>
    <t>⓬  ▼ Conseils</t>
  </si>
  <si>
    <t>Mise en place</t>
  </si>
  <si>
    <t>Mixte</t>
  </si>
  <si>
    <t>légumerie</t>
  </si>
  <si>
    <t>plaquage</t>
  </si>
  <si>
    <t>rissolage</t>
  </si>
  <si>
    <t>cuisson</t>
  </si>
  <si>
    <t xml:space="preserve">LISTE ET MISE EN PLACE DES MATÉRIELS </t>
  </si>
  <si>
    <t>A Cœur Liaison Chaude</t>
  </si>
  <si>
    <t>dans 1 contenant ▼</t>
  </si>
  <si>
    <t>Contenances gastro  GN 1/1 H 65 inox plein</t>
  </si>
  <si>
    <t>A Cœur Liaison froide</t>
  </si>
  <si>
    <t xml:space="preserve">portions </t>
  </si>
  <si>
    <t xml:space="preserve">&lt;  L 'Auteur prévu du matériel pour </t>
  </si>
  <si>
    <t>Poulet 4/4 .12 Cuisses CRUES</t>
  </si>
  <si>
    <t>Vos quantités &gt;</t>
  </si>
  <si>
    <t>Poulet 4/4.24 Cuisses petites CUITES</t>
  </si>
  <si>
    <t>Gastro</t>
  </si>
  <si>
    <t>Matériel</t>
  </si>
  <si>
    <t>25 escalopes de volailles cuites 120g</t>
  </si>
  <si>
    <t>GN 2/1 en polycarbonate</t>
  </si>
  <si>
    <t>Viande tranchée 60 tr.</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</si>
  <si>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</si>
  <si>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</si>
  <si>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</si>
  <si>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</si>
  <si>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</si>
  <si>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</si>
  <si>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</si>
  <si>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</si>
  <si>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t>
  </si>
  <si>
    <t xml:space="preserve"> 3 Kg Sauté en morceaux</t>
  </si>
  <si>
    <t>Saisir l'effectif -  Quantité p.p. - Quoi - Quantité par contenant et le type de contenant</t>
  </si>
  <si>
    <t xml:space="preserve">Quantité </t>
  </si>
  <si>
    <t xml:space="preserve"> CONDITIONNEMENT</t>
  </si>
  <si>
    <t>Effectifs</t>
  </si>
  <si>
    <t>Quantité p.p.</t>
  </si>
  <si>
    <t>par Assiette(s)</t>
  </si>
  <si>
    <t>madeleine(s)</t>
  </si>
  <si>
    <t>Assiette(s)</t>
  </si>
  <si>
    <t>par portion</t>
  </si>
  <si>
    <t>le contenant peut-être un gastro - 1 plat - 1 louche - 1 barquette etc.</t>
  </si>
  <si>
    <t>déconditionnement</t>
  </si>
  <si>
    <t>sauce réduction</t>
  </si>
  <si>
    <t>débarrassage</t>
  </si>
  <si>
    <t>conditionnement</t>
  </si>
  <si>
    <t xml:space="preserve">+ 9 °C </t>
  </si>
  <si>
    <t>refroidissement température cible</t>
  </si>
  <si>
    <t>nettoyage</t>
  </si>
  <si>
    <t>A Cœur</t>
  </si>
  <si>
    <t>Liaison Chaude</t>
  </si>
  <si>
    <t>Liaison froide</t>
  </si>
  <si>
    <t xml:space="preserve">NOMBRE DE PORTIONS  ET GRAMMAGES PORTIONS </t>
  </si>
  <si>
    <t>M</t>
  </si>
  <si>
    <t>P</t>
  </si>
  <si>
    <t>Ado</t>
  </si>
  <si>
    <t>A +</t>
  </si>
  <si>
    <t>Familles</t>
  </si>
  <si>
    <t>CALCULEZ VOS POIDS NETS</t>
  </si>
  <si>
    <t xml:space="preserve">◄ Grammages portions </t>
  </si>
  <si>
    <t>Poids Net</t>
  </si>
  <si>
    <t>Nombre de portions résultats arrondis</t>
  </si>
  <si>
    <t>◄ Nb.de couverts</t>
  </si>
  <si>
    <t xml:space="preserve">Grammages portions </t>
  </si>
  <si>
    <t>œufs</t>
  </si>
  <si>
    <t>Primaires - P</t>
  </si>
  <si>
    <t>Adultes - A</t>
  </si>
  <si>
    <t>Jus de cuisson</t>
  </si>
  <si>
    <t>Maternelles - M</t>
  </si>
  <si>
    <t>Adolescents - Ado</t>
  </si>
  <si>
    <t>Adultes + - A+</t>
  </si>
  <si>
    <t>saisissez vos valeurs cellules fond jaune</t>
  </si>
  <si>
    <t>Collez une unité dans la colonne ⑦</t>
  </si>
  <si>
    <t>⑥  ajustez les décimales</t>
  </si>
  <si>
    <t>Saisissez l'effectif -la Quantité p.p. - Quoi - Quantité par contenant et le type de contenant</t>
  </si>
  <si>
    <t>◄ Il est indispensable que vous colliez aussi cette ligne et ce texte</t>
  </si>
  <si>
    <t>UTILITAIRES</t>
  </si>
  <si>
    <t>j'ai saisi "Postit" parce que Post-it® est une marque déposée</t>
  </si>
  <si>
    <t>FAMILLE à coller</t>
  </si>
  <si>
    <t>Code couleur Rouge Vert Bleu RVB</t>
  </si>
  <si>
    <t>Lettres minuscules</t>
  </si>
  <si>
    <t>Cuisine</t>
  </si>
  <si>
    <t>Patisserie</t>
  </si>
  <si>
    <t>Traiteur</t>
  </si>
  <si>
    <t>Modes de cuisson</t>
  </si>
  <si>
    <t>Protéines</t>
  </si>
  <si>
    <t>Cuidités</t>
  </si>
  <si>
    <t>Crudités</t>
  </si>
  <si>
    <t>Féculents</t>
  </si>
  <si>
    <t>R51-V153 B102</t>
  </si>
  <si>
    <t>Pour renvoyer un texte</t>
  </si>
  <si>
    <t>Accompagnements</t>
  </si>
  <si>
    <t>Bavarois</t>
  </si>
  <si>
    <t>Amuse Bouche</t>
  </si>
  <si>
    <t xml:space="preserve"> Confit</t>
  </si>
  <si>
    <t>Braisé</t>
  </si>
  <si>
    <t>Abats</t>
  </si>
  <si>
    <t>Agrumes  Pomme Pample.)</t>
  </si>
  <si>
    <t>Blé</t>
  </si>
  <si>
    <t>R153-V204 B0</t>
  </si>
  <si>
    <t>R0-V128 B0</t>
  </si>
  <si>
    <t xml:space="preserve"> a la ligne dans une cellule</t>
  </si>
  <si>
    <t>vous pouvez fusionner les cellules et renvoyer à la ligne automatiquement</t>
  </si>
  <si>
    <t>Composes Verts</t>
  </si>
  <si>
    <t>Biscuits</t>
  </si>
  <si>
    <t>Aspics</t>
  </si>
  <si>
    <t>Boudin Blanc</t>
  </si>
  <si>
    <t>Confit</t>
  </si>
  <si>
    <t>Abattis</t>
  </si>
  <si>
    <t>Artichaut</t>
  </si>
  <si>
    <t>Avocat</t>
  </si>
  <si>
    <t>Boulghour</t>
  </si>
  <si>
    <t>R128-V0-B0</t>
  </si>
  <si>
    <t>R0-V255 B0</t>
  </si>
  <si>
    <t>MAIS VOUS POUVEZ AUSSI</t>
  </si>
  <si>
    <t>BOEUF
VB = Viandede bœuf</t>
  </si>
  <si>
    <t>Crudites</t>
  </si>
  <si>
    <t>Charlotes</t>
  </si>
  <si>
    <t>Canapé</t>
  </si>
  <si>
    <t xml:space="preserve">Boudin Noir </t>
  </si>
  <si>
    <t>Frit</t>
  </si>
  <si>
    <t>Agneau</t>
  </si>
  <si>
    <t>Asperges</t>
  </si>
  <si>
    <t>Betteraves</t>
  </si>
  <si>
    <t>Féves</t>
  </si>
  <si>
    <t>R255-V0 B255</t>
  </si>
  <si>
    <t>R255-V153 B204</t>
  </si>
  <si>
    <t xml:space="preserve">Insérer un saut de ligne </t>
  </si>
  <si>
    <t>Cuidites</t>
  </si>
  <si>
    <t>Chocolats</t>
  </si>
  <si>
    <t>Chaud-Froid</t>
  </si>
  <si>
    <t>Charcuterie Gibier</t>
  </si>
  <si>
    <t>Fumé</t>
  </si>
  <si>
    <t>Carottes</t>
  </si>
  <si>
    <t>Févettes</t>
  </si>
  <si>
    <t>R255-V102 B0</t>
  </si>
  <si>
    <t>R50-V204 B255</t>
  </si>
  <si>
    <t>dans la cellule</t>
  </si>
  <si>
    <t>1. Double-cliquez sur la</t>
  </si>
  <si>
    <t xml:space="preserve"> cellule dans laquelle </t>
  </si>
  <si>
    <t>Dessert Assiette</t>
  </si>
  <si>
    <t>Confiseries</t>
  </si>
  <si>
    <t>Entrée Froide</t>
  </si>
  <si>
    <t>Charcuterie Lapin</t>
  </si>
  <si>
    <t>Grillé</t>
  </si>
  <si>
    <t>Céléri branche</t>
  </si>
  <si>
    <t>H. Cocos</t>
  </si>
  <si>
    <t>R255-V0 B0</t>
  </si>
  <si>
    <t>R255-V204 B0</t>
  </si>
  <si>
    <t xml:space="preserve">vous voulez insérer une </t>
  </si>
  <si>
    <t>coupure de ligne</t>
  </si>
  <si>
    <t xml:space="preserve">2. Cliquez à l’emplacement </t>
  </si>
  <si>
    <t>Desserts</t>
  </si>
  <si>
    <t>Entremet</t>
  </si>
  <si>
    <t>Entrée Chaude</t>
  </si>
  <si>
    <t xml:space="preserve">Charcuterie Pure Volaille </t>
  </si>
  <si>
    <t>Nature</t>
  </si>
  <si>
    <t>Canard</t>
  </si>
  <si>
    <t>Céléri rave</t>
  </si>
  <si>
    <t>H. Flageolets</t>
  </si>
  <si>
    <t>R0-V0 B255</t>
  </si>
  <si>
    <t xml:space="preserve">où vous souhaitez couper </t>
  </si>
  <si>
    <t>la ligne.</t>
  </si>
  <si>
    <t xml:space="preserve">3. Appuyez sur Alt+Entrée </t>
  </si>
  <si>
    <t>Entrées</t>
  </si>
  <si>
    <t>Entremet Génoise</t>
  </si>
  <si>
    <t>Foie Gras</t>
  </si>
  <si>
    <t>Galantine</t>
  </si>
  <si>
    <t>Papillotes</t>
  </si>
  <si>
    <t>Charcuteries</t>
  </si>
  <si>
    <t>Champignons</t>
  </si>
  <si>
    <t>H. Noirs</t>
  </si>
  <si>
    <t>R255-V204 B153</t>
  </si>
  <si>
    <t>R153-V204 B255</t>
  </si>
  <si>
    <t xml:space="preserve">pour insérer le break </t>
  </si>
  <si>
    <t>de ligne.</t>
  </si>
  <si>
    <t>Ganache</t>
  </si>
  <si>
    <t>Mortadelle</t>
  </si>
  <si>
    <t>Poché</t>
  </si>
  <si>
    <t>Coquillages</t>
  </si>
  <si>
    <t>Chou blanc</t>
  </si>
  <si>
    <t>H. Rouges</t>
  </si>
  <si>
    <t>R204-V153 B255</t>
  </si>
  <si>
    <t>R0-V102 B204</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</si>
  <si>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</si>
  <si>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</si>
  <si>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</si>
  <si>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</si>
  <si>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</si>
  <si>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</si>
  <si>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</si>
  <si>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</si>
  <si>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</si>
  <si>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</si>
  <si>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</si>
  <si>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</si>
  <si>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</si>
  <si>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</si>
  <si>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</si>
  <si>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</si>
  <si>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</si>
  <si>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</si>
  <si>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</si>
  <si>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</si>
  <si>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</si>
  <si>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</si>
  <si>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</si>
  <si>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</si>
  <si>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à Brioche</t>
  </si>
  <si>
    <t>Sauce Chaude</t>
  </si>
  <si>
    <t>Rillettes</t>
  </si>
  <si>
    <t>Saumuré</t>
  </si>
  <si>
    <t>Gibier à plumes</t>
  </si>
  <si>
    <t>Choux Bruxelles</t>
  </si>
  <si>
    <t>Choux fleur</t>
  </si>
  <si>
    <t>Maïs</t>
  </si>
  <si>
    <t>Patisseries</t>
  </si>
  <si>
    <t>Pate à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</si>
  <si>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</si>
  <si>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</si>
  <si>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</si>
  <si>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</si>
  <si>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</si>
  <si>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</si>
  <si>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</si>
  <si>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</si>
  <si>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</si>
  <si>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</si>
  <si>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</si>
  <si>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</si>
  <si>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</si>
  <si>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</si>
  <si>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</si>
  <si>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</si>
  <si>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</si>
  <si>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</si>
  <si>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</si>
  <si>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Lapin</t>
  </si>
  <si>
    <t>Courgettes</t>
  </si>
  <si>
    <t>Pois chiches</t>
  </si>
  <si>
    <t>Poissons</t>
  </si>
  <si>
    <t>Pate à Pain de Mie</t>
  </si>
  <si>
    <t>Terrine de Poisson</t>
  </si>
  <si>
    <t>Saucisson de Foie</t>
  </si>
  <si>
    <t>Mouton</t>
  </si>
  <si>
    <t>Endives</t>
  </si>
  <si>
    <t>Polenta</t>
  </si>
  <si>
    <t>Préparations Chaudes</t>
  </si>
  <si>
    <t>Pate à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</si>
  <si>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</si>
  <si>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</si>
  <si>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</si>
  <si>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</si>
  <si>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</si>
  <si>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</si>
  <si>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</si>
  <si>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</si>
  <si>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</si>
  <si>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</si>
  <si>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</si>
  <si>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</si>
  <si>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</si>
  <si>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</si>
  <si>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</si>
  <si>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</si>
  <si>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</si>
  <si>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</si>
  <si>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</si>
  <si>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</si>
  <si>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</si>
  <si>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</si>
  <si>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</si>
  <si>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</si>
  <si>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</si>
  <si>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</si>
  <si>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</si>
  <si>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</si>
  <si>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</si>
  <si>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</si>
  <si>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</si>
  <si>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Râgout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</si>
  <si>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</si>
  <si>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</si>
  <si>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</si>
  <si>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</si>
  <si>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</si>
  <si>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</si>
  <si>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</si>
  <si>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</si>
  <si>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</si>
  <si>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</si>
  <si>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</si>
  <si>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</si>
  <si>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</si>
  <si>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</si>
  <si>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</si>
  <si>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</si>
  <si>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</si>
  <si>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</si>
  <si>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</si>
  <si>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</si>
  <si>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</si>
  <si>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</si>
  <si>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</si>
  <si>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</si>
  <si>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</si>
  <si>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</si>
  <si>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</si>
  <si>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</si>
  <si>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</si>
  <si>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</si>
  <si>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</si>
  <si>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</si>
  <si>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TEXTE en minuscule POUR COLLER DANS VOS CELLULES   ajustez la taille de police à la largeur de vos cellules</t>
  </si>
  <si>
    <t>TEXTE EN MAJUSCULE POUR COLLER DANS VOS CELLULES ajustez la taille de police à la largeur de vos cellules</t>
  </si>
  <si>
    <t>couleur rouge = Protéines animales</t>
  </si>
  <si>
    <t>couleur vert clair = Cuidités</t>
  </si>
  <si>
    <t>couleur vert foncé = Crudités</t>
  </si>
  <si>
    <t>couleur marron = Féculents</t>
  </si>
  <si>
    <t>Lettres MAJUSCULES</t>
  </si>
  <si>
    <t>CUISINE</t>
  </si>
  <si>
    <t>PATISSERIE</t>
  </si>
  <si>
    <t>TRAITEUR</t>
  </si>
  <si>
    <t>CHARCUTERIE</t>
  </si>
  <si>
    <t>MODES DE CUISSON</t>
  </si>
  <si>
    <t>PROTÉINES</t>
  </si>
  <si>
    <t>CUIDITÉS</t>
  </si>
  <si>
    <t>CRUDITÉS</t>
  </si>
  <si>
    <t>FÉCULENTS</t>
  </si>
  <si>
    <t>ACCOMPAGNEMENTS</t>
  </si>
  <si>
    <t>BAVAROIS</t>
  </si>
  <si>
    <t>AMUSE BOUCHE</t>
  </si>
  <si>
    <t xml:space="preserve"> CONFIT</t>
  </si>
  <si>
    <t>BRAISÉ</t>
  </si>
  <si>
    <t>ABATS</t>
  </si>
  <si>
    <t>AGRUMES  POMME PAMPLE.)</t>
  </si>
  <si>
    <t>BLÉ</t>
  </si>
  <si>
    <t>COMPOSES VERTS</t>
  </si>
  <si>
    <t>BISCUITS</t>
  </si>
  <si>
    <t>ASPICS</t>
  </si>
  <si>
    <t>BOUDIN BLANC</t>
  </si>
  <si>
    <t>CONFIT</t>
  </si>
  <si>
    <t>ABATTIS</t>
  </si>
  <si>
    <t>ARTICHAUT</t>
  </si>
  <si>
    <t>AVOCAT</t>
  </si>
  <si>
    <t>BOULGHOUR</t>
  </si>
  <si>
    <t>CRUDITES</t>
  </si>
  <si>
    <t>CHARLOTES</t>
  </si>
  <si>
    <t>CANAPÉ</t>
  </si>
  <si>
    <t xml:space="preserve">BOUDIN NOIR </t>
  </si>
  <si>
    <t>FRIT</t>
  </si>
  <si>
    <t>AGNEAU</t>
  </si>
  <si>
    <t>ASPERGES</t>
  </si>
  <si>
    <t>BETTERAVES</t>
  </si>
  <si>
    <t>FÉVES</t>
  </si>
  <si>
    <t>CUIDITES</t>
  </si>
  <si>
    <t>CHOCOLATS</t>
  </si>
  <si>
    <t>CHAUD-FROID</t>
  </si>
  <si>
    <t>CHARCUTERIE GIBIER</t>
  </si>
  <si>
    <t>FUMÉ</t>
  </si>
  <si>
    <t>BŒUF</t>
  </si>
  <si>
    <t>CAROTTES</t>
  </si>
  <si>
    <t>FÉVETTES</t>
  </si>
  <si>
    <t>DESSERT ASSIETTE</t>
  </si>
  <si>
    <t>CONFISERIES</t>
  </si>
  <si>
    <t>ENTRÉE FROIDE</t>
  </si>
  <si>
    <t>CHARCUTERIE LAPIN</t>
  </si>
  <si>
    <t>GRILLÉ</t>
  </si>
  <si>
    <t>CAILLES</t>
  </si>
  <si>
    <t>CÉLÉRI BRANCHE</t>
  </si>
  <si>
    <t>H. COCOS</t>
  </si>
  <si>
    <t>DESSERTS</t>
  </si>
  <si>
    <t>ENTREMET</t>
  </si>
  <si>
    <t>ENTRÉE CHAUDE</t>
  </si>
  <si>
    <t xml:space="preserve">CHARCUTERIE PURE VOLAILLE </t>
  </si>
  <si>
    <t>NATURE</t>
  </si>
  <si>
    <t>CANARD</t>
  </si>
  <si>
    <t>CÉLÉRI RAVE</t>
  </si>
  <si>
    <t>H. FLAGEOLETS</t>
  </si>
  <si>
    <t>ENTRÉES</t>
  </si>
  <si>
    <t>ENTREMET GÉNOISE</t>
  </si>
  <si>
    <t>FOIE GRAS</t>
  </si>
  <si>
    <t>GALANTINE</t>
  </si>
  <si>
    <t>PAPILLOTES</t>
  </si>
  <si>
    <t>CHARCUTERIES</t>
  </si>
  <si>
    <t>CHAMPIGNONS</t>
  </si>
  <si>
    <t>H. NOIRS</t>
  </si>
  <si>
    <t>GANACHE</t>
  </si>
  <si>
    <t>HORS D'ŒUVRE</t>
  </si>
  <si>
    <t>MORTADELLE</t>
  </si>
  <si>
    <t>POCHÉ</t>
  </si>
  <si>
    <t>COQUILLAGES</t>
  </si>
  <si>
    <t>CHOU BLANC</t>
  </si>
  <si>
    <t>H. ROUGES</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</si>
  <si>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</si>
  <si>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</si>
  <si>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</si>
  <si>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</si>
  <si>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</si>
  <si>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</si>
  <si>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</si>
  <si>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</si>
  <si>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</si>
  <si>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</si>
  <si>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</si>
  <si>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</si>
  <si>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</si>
  <si>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</si>
  <si>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</si>
  <si>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</si>
  <si>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</si>
  <si>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</si>
  <si>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</si>
  <si>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</si>
  <si>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</si>
  <si>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</si>
  <si>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</si>
  <si>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</si>
  <si>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À BRIOCHE</t>
  </si>
  <si>
    <t>SAUCE CHAUDE</t>
  </si>
  <si>
    <t>RILLETTES</t>
  </si>
  <si>
    <t>SAUMURÉ</t>
  </si>
  <si>
    <t>GIBIER À PLUMES</t>
  </si>
  <si>
    <t>CHOUX BRUXELLES</t>
  </si>
  <si>
    <t>CHOUX FLEUR</t>
  </si>
  <si>
    <t>MAÏS</t>
  </si>
  <si>
    <t>PATISSERIES</t>
  </si>
  <si>
    <t>PATE À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</si>
  <si>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</si>
  <si>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</si>
  <si>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</si>
  <si>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</si>
  <si>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</si>
  <si>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</si>
  <si>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</si>
  <si>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</si>
  <si>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</si>
  <si>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</si>
  <si>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</si>
  <si>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</si>
  <si>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</si>
  <si>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</si>
  <si>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</si>
  <si>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</si>
  <si>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</si>
  <si>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</si>
  <si>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</si>
  <si>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VAPEUR</t>
  </si>
  <si>
    <t>LAPIN</t>
  </si>
  <si>
    <t>COURGETTES</t>
  </si>
  <si>
    <t>POIS CHICHES</t>
  </si>
  <si>
    <t>POISSONS</t>
  </si>
  <si>
    <t>PATE À PAIN DE MIE</t>
  </si>
  <si>
    <t>TERRINE DE POISSON</t>
  </si>
  <si>
    <t>SAUCISSON DE FOIE</t>
  </si>
  <si>
    <t>MOUTON</t>
  </si>
  <si>
    <t>ENDIVES</t>
  </si>
  <si>
    <t>POLENTA</t>
  </si>
  <si>
    <t>PRÉPARATIONS CHAUDES</t>
  </si>
  <si>
    <t>PATE À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</si>
  <si>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</si>
  <si>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</si>
  <si>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</si>
  <si>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</si>
  <si>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</si>
  <si>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</si>
  <si>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</si>
  <si>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</si>
  <si>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</si>
  <si>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</si>
  <si>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</si>
  <si>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</si>
  <si>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</si>
  <si>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</si>
  <si>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</si>
  <si>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</si>
  <si>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</si>
  <si>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</si>
  <si>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</si>
  <si>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</si>
  <si>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</si>
  <si>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</si>
  <si>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</si>
  <si>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</si>
  <si>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</si>
  <si>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</si>
  <si>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</si>
  <si>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</si>
  <si>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</si>
  <si>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</si>
  <si>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</si>
  <si>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POIVRONS VERTS</t>
  </si>
  <si>
    <t>RÂGOUT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</si>
  <si>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</si>
  <si>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</si>
  <si>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</si>
  <si>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</si>
  <si>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</si>
  <si>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</si>
  <si>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</si>
  <si>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</si>
  <si>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</si>
  <si>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</si>
  <si>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</si>
  <si>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</si>
  <si>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</si>
  <si>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</si>
  <si>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</si>
  <si>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</si>
  <si>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</si>
  <si>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</si>
  <si>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</si>
  <si>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</si>
  <si>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</si>
  <si>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</si>
  <si>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</si>
  <si>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</si>
  <si>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</si>
  <si>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</si>
  <si>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</si>
  <si>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</si>
  <si>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</si>
  <si>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</si>
  <si>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</si>
  <si>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</si>
  <si>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</si>
  <si>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VOCABULAIRE GENERAL PROFESSIONNEL    un verbe…une action             collez verbes et actions dans les PHASES DE PROGRESSION ⓬</t>
  </si>
  <si>
    <t>Quelques verbes d'actions complémentaires</t>
  </si>
  <si>
    <t>MATÉRIELS</t>
  </si>
  <si>
    <t>FAMILLE DE PRODUITS</t>
  </si>
  <si>
    <t>Le vocabulaire professionnel en pâtisserie</t>
  </si>
  <si>
    <t>D</t>
  </si>
  <si>
    <t>F</t>
  </si>
  <si>
    <t>Q</t>
  </si>
  <si>
    <t>T</t>
  </si>
  <si>
    <t>MAJUSCULES</t>
  </si>
  <si>
    <t>minuscules</t>
  </si>
  <si>
    <t>faire court …1 verbe = 1 action</t>
  </si>
  <si>
    <t>EXEMPLE UN PEU PLUS LONG :</t>
  </si>
  <si>
    <t>Abaisser</t>
  </si>
  <si>
    <t>Dauber</t>
  </si>
  <si>
    <t>Façonner</t>
  </si>
  <si>
    <t>Macérer</t>
  </si>
  <si>
    <t>Quadriller</t>
  </si>
  <si>
    <t>Tabler</t>
  </si>
  <si>
    <t>accomplir</t>
  </si>
  <si>
    <t>localiser</t>
  </si>
  <si>
    <t>EPICERIE</t>
  </si>
  <si>
    <t>épicerie</t>
  </si>
  <si>
    <t>http://www.juliemyrtille.com/lexique_du_patissier/</t>
  </si>
  <si>
    <t>PHASES ESSENTIELLES  DE PROGRESSION</t>
  </si>
  <si>
    <t>Abaisser la temp. à coeur</t>
  </si>
  <si>
    <t>deboitage</t>
  </si>
  <si>
    <t>Faire bouillir</t>
  </si>
  <si>
    <t>Maintenir en temp. sup à 63°</t>
  </si>
  <si>
    <t>taillage</t>
  </si>
  <si>
    <t>acheter</t>
  </si>
  <si>
    <t>assiette</t>
  </si>
  <si>
    <t>LEGUMES APPERTISES</t>
  </si>
  <si>
    <t>legumes appertisés</t>
  </si>
  <si>
    <t>Exemple pour un filet de sole Duglére</t>
  </si>
  <si>
    <t>Exemple pour une brandade de morue Bénédictine</t>
  </si>
  <si>
    <t>Abricoter</t>
  </si>
  <si>
    <t>Déboiter</t>
  </si>
  <si>
    <t>Farcir</t>
  </si>
  <si>
    <t>Manchonner</t>
  </si>
  <si>
    <t>Tailler</t>
  </si>
  <si>
    <t>achever</t>
  </si>
  <si>
    <t>LEGUMES FRAIS A CUIRE</t>
  </si>
  <si>
    <t>legumes frais a cuire</t>
  </si>
  <si>
    <r>
      <t>Abaisse</t>
    </r>
    <r>
      <rPr>
        <sz val="9.9"/>
        <color rgb="FF434343"/>
        <rFont val="Arial"/>
        <family val="2"/>
      </rPr>
      <t> : morceau de pâte que l’on étale au rouleau à une épaisseur voulue</t>
    </r>
  </si>
  <si>
    <t>habiller les soles</t>
  </si>
  <si>
    <t>Accompagner</t>
  </si>
  <si>
    <t>Décanter</t>
  </si>
  <si>
    <t>Farder</t>
  </si>
  <si>
    <t>Manier</t>
  </si>
  <si>
    <t>R</t>
  </si>
  <si>
    <t>Tamiser</t>
  </si>
  <si>
    <t>activer</t>
  </si>
  <si>
    <t>maintenir</t>
  </si>
  <si>
    <t>B</t>
  </si>
  <si>
    <t>LEGUMES SECS</t>
  </si>
  <si>
    <t>legumes secs</t>
  </si>
  <si>
    <r>
      <t>Abaisser</t>
    </r>
    <r>
      <rPr>
        <sz val="9.9"/>
        <color rgb="FF434343"/>
        <rFont val="Arial"/>
        <family val="2"/>
      </rPr>
      <t> : étaler une pâte au rouleau à une épaisseur voulue.</t>
    </r>
  </si>
  <si>
    <t>les dépouiller</t>
  </si>
  <si>
    <t>❶</t>
  </si>
  <si>
    <t>Mise en place du poste de travail</t>
  </si>
  <si>
    <t>acheminement vers operculage</t>
  </si>
  <si>
    <t>Décartonner</t>
  </si>
  <si>
    <t>Fariner</t>
  </si>
  <si>
    <t>Manipuler</t>
  </si>
  <si>
    <t>Rabattre</t>
  </si>
  <si>
    <t>Tamponner</t>
  </si>
  <si>
    <t>agrandir</t>
  </si>
  <si>
    <t>manier</t>
  </si>
  <si>
    <t>bacs</t>
  </si>
  <si>
    <t>LEGUMES SOUS VIDE A CUIRE</t>
  </si>
  <si>
    <t>legumes sous vide a cuire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</si>
  <si>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</si>
  <si>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</si>
  <si>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</si>
  <si>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Acheminer</t>
  </si>
  <si>
    <t>Décercler</t>
  </si>
  <si>
    <t>Festonner</t>
  </si>
  <si>
    <t>Marbrer</t>
  </si>
  <si>
    <t>Raccourcir</t>
  </si>
  <si>
    <t>Tapisser</t>
  </si>
  <si>
    <t>ajuster</t>
  </si>
  <si>
    <t>manœuvrer</t>
  </si>
  <si>
    <t>bain marie</t>
  </si>
  <si>
    <t>LEGUMES SOUS VIDE CUITS</t>
  </si>
  <si>
    <t>legumes sous vide cuits</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</si>
  <si>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</si>
  <si>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</si>
  <si>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</si>
  <si>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Additionner</t>
  </si>
  <si>
    <t>dechargement du four</t>
  </si>
  <si>
    <t>Fileter</t>
  </si>
  <si>
    <t>Mariner</t>
  </si>
  <si>
    <t>Rafraîchir</t>
  </si>
  <si>
    <t>Terminer</t>
  </si>
  <si>
    <t>améliorer</t>
  </si>
  <si>
    <t>mesurer</t>
  </si>
  <si>
    <t>balance</t>
  </si>
  <si>
    <t>LEGUMES SURGELES A CUIRE</t>
  </si>
  <si>
    <t>legumes surgelés a cuire</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</si>
  <si>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</si>
  <si>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</si>
  <si>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</si>
  <si>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Adjoindre</t>
  </si>
  <si>
    <t>Décharger</t>
  </si>
  <si>
    <t>filmage</t>
  </si>
  <si>
    <t>marquage</t>
  </si>
  <si>
    <t>Raidir</t>
  </si>
  <si>
    <t>Tomber</t>
  </si>
  <si>
    <t>aménager</t>
  </si>
  <si>
    <t>mettre</t>
  </si>
  <si>
    <t>barquettes</t>
  </si>
  <si>
    <t>LEGUMES SURGELES CUITS</t>
  </si>
  <si>
    <t>legumes surgelés cuits</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</si>
  <si>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</si>
  <si>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</si>
  <si>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</si>
  <si>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Agir rapidement</t>
  </si>
  <si>
    <t>Déconditionner</t>
  </si>
  <si>
    <t>Filmer</t>
  </si>
  <si>
    <t>Marquer</t>
  </si>
  <si>
    <t>rangement</t>
  </si>
  <si>
    <t>Torréfier</t>
  </si>
  <si>
    <t>analyser</t>
  </si>
  <si>
    <t>moderniser</t>
  </si>
  <si>
    <t>bascule</t>
  </si>
  <si>
    <t>PRODUITS LAITIERS</t>
  </si>
  <si>
    <t>produits laitiers</t>
  </si>
  <si>
    <r>
      <t>Aromatiser</t>
    </r>
    <r>
      <rPr>
        <sz val="9.9"/>
        <color rgb="FF434343"/>
        <rFont val="Arial"/>
        <family val="2"/>
      </rPr>
      <t> : incorporer un arôme ou un aromate à une préparation.</t>
    </r>
  </si>
  <si>
    <t>concasser le persil</t>
  </si>
  <si>
    <t>Ajouter</t>
  </si>
  <si>
    <t>Décorer</t>
  </si>
  <si>
    <t>Fixer</t>
  </si>
  <si>
    <t>Masquer</t>
  </si>
  <si>
    <t>Ranger</t>
  </si>
  <si>
    <t>Tourer</t>
  </si>
  <si>
    <t>appliquer</t>
  </si>
  <si>
    <t>monter</t>
  </si>
  <si>
    <t xml:space="preserve">V FRAICHE CUITE S/ VIDE  </t>
  </si>
  <si>
    <t xml:space="preserve">v fraiche cuite s/ vide  </t>
  </si>
  <si>
    <t>pocher les filets pliés à très court mouillement</t>
  </si>
  <si>
    <t>Aplatir</t>
  </si>
  <si>
    <t>Décortiquer</t>
  </si>
  <si>
    <t>Flamber</t>
  </si>
  <si>
    <t>Masser</t>
  </si>
  <si>
    <t>Rassir</t>
  </si>
  <si>
    <t>Tourner</t>
  </si>
  <si>
    <t>approuver</t>
  </si>
  <si>
    <t>C</t>
  </si>
  <si>
    <t>VIANDE  FRAICHE S/ VIDE CRUE A COUPER</t>
  </si>
  <si>
    <t>viande  fraiche s/ vide crue a couper</t>
  </si>
  <si>
    <r>
      <t>Beurrer</t>
    </r>
    <r>
      <rPr>
        <sz val="9.9"/>
        <color rgb="FF434343"/>
        <rFont val="Arial"/>
        <family val="2"/>
      </rPr>
      <t> :</t>
    </r>
  </si>
  <si>
    <t>sur toute cette garniture avec un peu de vin blanc</t>
  </si>
  <si>
    <t>❷</t>
  </si>
  <si>
    <t>Préparations préliminaires</t>
  </si>
  <si>
    <t>Aromatiser</t>
  </si>
  <si>
    <t>decoupe</t>
  </si>
  <si>
    <t>Flanquer</t>
  </si>
  <si>
    <t>melange</t>
  </si>
  <si>
    <t>Rayer</t>
  </si>
  <si>
    <t>archiver</t>
  </si>
  <si>
    <t>N</t>
  </si>
  <si>
    <t>camion</t>
  </si>
  <si>
    <t>VIANDE FRAICHE S/ VIDE CRUE A  CUIRE A COUPER+APERTISE</t>
  </si>
  <si>
    <t>viande fraiche s/ vide crue a  cuire a couper+apertise</t>
  </si>
  <si>
    <t>– ajouter de beurre à une sauce</t>
  </si>
  <si>
    <t>cuire 4 à 6 mn</t>
  </si>
  <si>
    <t xml:space="preserve"> La veille, décongeler les filets de morue suivant la procédure.</t>
  </si>
  <si>
    <t>Arroser</t>
  </si>
  <si>
    <t>Découper</t>
  </si>
  <si>
    <t>Fleurer</t>
  </si>
  <si>
    <t>Mélanger</t>
  </si>
  <si>
    <t>Réaliser</t>
  </si>
  <si>
    <t>tranchage</t>
  </si>
  <si>
    <t>naviguer</t>
  </si>
  <si>
    <t>cellule</t>
  </si>
  <si>
    <t xml:space="preserve">VIANDE FRAICHE S/ VIDE CRUE A COUPER </t>
  </si>
  <si>
    <t xml:space="preserve">viande fraiche s/ vide crue a couper </t>
  </si>
  <si>
    <t>– enduire un moule ou un ustensile de beurre afin d’empêcher les mets d’attacher au fond ou aux parois.</t>
  </si>
  <si>
    <t>débarrasser les filets sur plat beurré</t>
  </si>
  <si>
    <t>assaisonnement</t>
  </si>
  <si>
    <t>Décuire</t>
  </si>
  <si>
    <t>Foisonner</t>
  </si>
  <si>
    <t>Meringuer</t>
  </si>
  <si>
    <t>reception / controles</t>
  </si>
  <si>
    <t>Trancher</t>
  </si>
  <si>
    <t>attacher</t>
  </si>
  <si>
    <t>nettoyer</t>
  </si>
  <si>
    <t>chariots</t>
  </si>
  <si>
    <t>VIANDE FRAICHE S/ VIDE CUITE A COUPER</t>
  </si>
  <si>
    <t>viande fraiche s/ vide cuite a couper</t>
  </si>
  <si>
    <t>– incorporer du beurre dans la détrempe d’une pâte feuilletée ou d’une pâte levée feuilletée, pour le tourage.</t>
  </si>
  <si>
    <t>les tenir au chaud</t>
  </si>
  <si>
    <t xml:space="preserve"> Éventuellement, dessaler par trempage dans un grand volume d'eau.</t>
  </si>
  <si>
    <t>Assaisonner</t>
  </si>
  <si>
    <t>Déffilandrer</t>
  </si>
  <si>
    <t>Foncer</t>
  </si>
  <si>
    <t>Mettre au point</t>
  </si>
  <si>
    <t>Réceptionner/Contrôler</t>
  </si>
  <si>
    <t>transport</t>
  </si>
  <si>
    <t>attribuer</t>
  </si>
  <si>
    <t>chariots isothermes</t>
  </si>
  <si>
    <t xml:space="preserve">VIANDE FRAICHE S/ VIDE CUiTE A COUPER </t>
  </si>
  <si>
    <t xml:space="preserve">viande fraiche s/ vide cuite a couper </t>
  </si>
  <si>
    <r>
      <t>Bain-marie</t>
    </r>
    <r>
      <rPr>
        <sz val="9.9"/>
        <color rgb="FF434343"/>
        <rFont val="Arial"/>
        <family val="2"/>
      </rPr>
      <t> : eau plus ou moins chaude dans laquelle on place des récipients contenant des préparations à cuire ou à tenir au chaud.</t>
    </r>
  </si>
  <si>
    <t>réduire la garniture presque à sec</t>
  </si>
  <si>
    <t>assemblage</t>
  </si>
  <si>
    <t>Déglacer</t>
  </si>
  <si>
    <t>Fondre</t>
  </si>
  <si>
    <t>Mettre En Bac</t>
  </si>
  <si>
    <t>Réchauffer en moins d'1 H</t>
  </si>
  <si>
    <t>transport en bacs inox</t>
  </si>
  <si>
    <t>O</t>
  </si>
  <si>
    <t>couvercle barquette</t>
  </si>
  <si>
    <t>VIANDES FRAICHES A PIECER AVANT CUISSON COURTE</t>
  </si>
  <si>
    <t>viandes fraiches a piécer avant cuisson courte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</si>
  <si>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</si>
  <si>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</si>
  <si>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</si>
  <si>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assemblage assiette</t>
  </si>
  <si>
    <t>Dégorger</t>
  </si>
  <si>
    <t>Fouetter</t>
  </si>
  <si>
    <t>Mettre En Chariot</t>
  </si>
  <si>
    <t>Reconditionner</t>
  </si>
  <si>
    <t>Transporter</t>
  </si>
  <si>
    <t>optimiser</t>
  </si>
  <si>
    <t>couvercle inox</t>
  </si>
  <si>
    <t>VIANDES FRAICHES A PIECER AVANT CUISSON LONGUE</t>
  </si>
  <si>
    <t>viandes fraiches a piécer avant cuisson longue</t>
  </si>
  <si>
    <r>
      <t>Beurre clarifié</t>
    </r>
    <r>
      <rPr>
        <sz val="9.9"/>
        <color rgb="FF434343"/>
        <rFont val="Arial"/>
        <family val="2"/>
      </rPr>
      <t> : beurre fondu et décanté dont on a éliminé de la caséine et du petit lait.</t>
    </r>
  </si>
  <si>
    <t xml:space="preserve">napper les filets </t>
  </si>
  <si>
    <t>assemblage collectif</t>
  </si>
  <si>
    <t>Dégourdir</t>
  </si>
  <si>
    <t>Fouler</t>
  </si>
  <si>
    <t>Mettre en cuisson</t>
  </si>
  <si>
    <t>Recouvrir</t>
  </si>
  <si>
    <t>Travailler</t>
  </si>
  <si>
    <t>brancher</t>
  </si>
  <si>
    <t>ordonnancer</t>
  </si>
  <si>
    <t>couvercle polyc.</t>
  </si>
  <si>
    <t>VIANDES FRAICHES DECOUPEE A CUISSON LONGUE</t>
  </si>
  <si>
    <t>viandes fraiches decoupee a cuisson longue</t>
  </si>
  <si>
    <r>
      <t>Beurre en pommade</t>
    </r>
    <r>
      <rPr>
        <sz val="9.9"/>
        <color rgb="FF434343"/>
        <rFont val="Arial"/>
        <family val="2"/>
      </rPr>
      <t> : beurre ramolli ayant la consistance d’une pommade.</t>
    </r>
  </si>
  <si>
    <t>servir sans attendre</t>
  </si>
  <si>
    <t xml:space="preserve"> Mettre les bacs sur l'échelle de four</t>
  </si>
  <si>
    <t>assemblage ind.</t>
  </si>
  <si>
    <t>Dégraisser</t>
  </si>
  <si>
    <t>Fourrer</t>
  </si>
  <si>
    <t>Mijoter</t>
  </si>
  <si>
    <t>Rectifier</t>
  </si>
  <si>
    <t>Tremper</t>
  </si>
  <si>
    <t>organiser</t>
  </si>
  <si>
    <t>cuiseur vapeur</t>
  </si>
  <si>
    <t>VIANDES FRAICHES PIECEES A CUISSON COURTE</t>
  </si>
  <si>
    <t>viandes fraiches piécées a cuisson courte</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</si>
  <si>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</si>
  <si>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</si>
  <si>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 xml:space="preserve">assemblage plateaux </t>
  </si>
  <si>
    <t>Déhousser</t>
  </si>
  <si>
    <t>Fraiser</t>
  </si>
  <si>
    <t>mise en bac ou grille pour cuisson</t>
  </si>
  <si>
    <t>Réduire</t>
  </si>
  <si>
    <t>Tronçonner</t>
  </si>
  <si>
    <t>cul de poule</t>
  </si>
  <si>
    <t>VIANDES FRAICHES PIECEES A CUISSON LONGUE</t>
  </si>
  <si>
    <t>viandes fraiches piecées a cuisson longue</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</si>
  <si>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</si>
  <si>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</si>
  <si>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</si>
  <si>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assemblage plateaux midi</t>
  </si>
  <si>
    <t>Délayer</t>
  </si>
  <si>
    <t>Frapper</t>
  </si>
  <si>
    <t>mise en bac pour conditionnement</t>
  </si>
  <si>
    <t>Refroidir</t>
  </si>
  <si>
    <t>Trousser</t>
  </si>
  <si>
    <t>calculer</t>
  </si>
  <si>
    <t>cutter</t>
  </si>
  <si>
    <t>VIANDES SURGELEES A CUISSON COURTE</t>
  </si>
  <si>
    <t>viandes surgelées a cuisson courte</t>
  </si>
  <si>
    <r>
      <t>Bouler</t>
    </r>
    <r>
      <rPr>
        <sz val="9.9"/>
        <color rgb="FF434343"/>
        <rFont val="Arial"/>
        <family val="2"/>
      </rPr>
      <t> : façonner à la main une pâte pour lui donner la forme d’une boule.</t>
    </r>
  </si>
  <si>
    <t xml:space="preserve"> Chauffer le lait et le maintenir au chaud.</t>
  </si>
  <si>
    <t>assemblage plateaux soir</t>
  </si>
  <si>
    <t>Démouler</t>
  </si>
  <si>
    <t>Fraser</t>
  </si>
  <si>
    <t>mise en chariot</t>
  </si>
  <si>
    <t>refroidissement =&lt; 9°</t>
  </si>
  <si>
    <t>Turbiner</t>
  </si>
  <si>
    <t>cataloguer</t>
  </si>
  <si>
    <t>planifier</t>
  </si>
  <si>
    <t>VIANDES SURGELEES CRUES  A TRANCHER AVANT CUISON</t>
  </si>
  <si>
    <t>viandes surgelées crues  a trancher avant cuison</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</si>
  <si>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</si>
  <si>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</si>
  <si>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</si>
  <si>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Assembler</t>
  </si>
  <si>
    <t>Dénerver</t>
  </si>
  <si>
    <t>Frémir</t>
  </si>
  <si>
    <t>Mixer</t>
  </si>
  <si>
    <t>Régénérer</t>
  </si>
  <si>
    <t>centraliser</t>
  </si>
  <si>
    <t>préparer</t>
  </si>
  <si>
    <t>VIANDES SURGELEES CUITES</t>
  </si>
  <si>
    <t>viandes surgelées cuites</t>
  </si>
  <si>
    <t>et la maintenir au chaud en attente d'utilisation</t>
  </si>
  <si>
    <t>attente</t>
  </si>
  <si>
    <t>Dénoyauter</t>
  </si>
  <si>
    <t>Frire</t>
  </si>
  <si>
    <t>Modeler</t>
  </si>
  <si>
    <t>Réhydrater</t>
  </si>
  <si>
    <t>U</t>
  </si>
  <si>
    <t>chercher</t>
  </si>
  <si>
    <t>présenter</t>
  </si>
  <si>
    <t>douchette</t>
  </si>
  <si>
    <t>VIANDES SURGELEES CUITES A TRANCHER</t>
  </si>
  <si>
    <t>viandes surgelées cuites a trancher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</si>
  <si>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</si>
  <si>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</si>
  <si>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attendre</t>
  </si>
  <si>
    <t>Denteler</t>
  </si>
  <si>
    <t>Moiner</t>
  </si>
  <si>
    <t>rejet</t>
  </si>
  <si>
    <t>Utiliser</t>
  </si>
  <si>
    <t>classifier</t>
  </si>
  <si>
    <t>prévoir</t>
  </si>
  <si>
    <t>VIANDES SURGELEES CUITES TRANCHEES</t>
  </si>
  <si>
    <t>viandes surgelées cuites tranchees</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</si>
  <si>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</si>
  <si>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Dépouiller</t>
  </si>
  <si>
    <t>G</t>
  </si>
  <si>
    <t>Monder</t>
  </si>
  <si>
    <t>Rejeter</t>
  </si>
  <si>
    <t>Upériser</t>
  </si>
  <si>
    <t>commander</t>
  </si>
  <si>
    <t>produire</t>
  </si>
  <si>
    <t>E</t>
  </si>
  <si>
    <t>VIANDES/VIDE A PIECER AVANT CUISSON COURTE</t>
  </si>
  <si>
    <t>viandes/vide a piécer avant cuisson courte</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</si>
  <si>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</si>
  <si>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Dérober</t>
  </si>
  <si>
    <t>Garnir</t>
  </si>
  <si>
    <t>Monter</t>
  </si>
  <si>
    <t>Relâcher</t>
  </si>
  <si>
    <t>compiler</t>
  </si>
  <si>
    <t>programmer</t>
  </si>
  <si>
    <t>echelle</t>
  </si>
  <si>
    <t>VIANDES/VIDE A PIECER AVANT CUISSON LONGUE</t>
  </si>
  <si>
    <t>viandes/vide a piécer avant cuisson longue</t>
  </si>
  <si>
    <r>
      <t>Caraméliser </t>
    </r>
    <r>
      <rPr>
        <sz val="9.9"/>
        <color rgb="FF434343"/>
        <rFont val="Arial"/>
        <family val="2"/>
      </rPr>
      <t>: enduire un moule ou une pâtisserie de sucre cuit au caramel.</t>
    </r>
  </si>
  <si>
    <t>Préparer la purée</t>
  </si>
  <si>
    <t>Barder</t>
  </si>
  <si>
    <t>desemballage</t>
  </si>
  <si>
    <t>gerbage</t>
  </si>
  <si>
    <t>Mortifier</t>
  </si>
  <si>
    <t>Relever</t>
  </si>
  <si>
    <t>compter</t>
  </si>
  <si>
    <t>ecumoir</t>
  </si>
  <si>
    <t>VIANDES/VIDE A TRANCHER SANS CUISSON</t>
  </si>
  <si>
    <t>viandes/vide a trancher sans cuisson</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</si>
  <si>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</si>
  <si>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</si>
  <si>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</si>
  <si>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Battre</t>
  </si>
  <si>
    <t>Désemballer</t>
  </si>
  <si>
    <t>Gerber</t>
  </si>
  <si>
    <t>Mouiller</t>
  </si>
  <si>
    <t>Remettre En T°</t>
  </si>
  <si>
    <t>Vanner</t>
  </si>
  <si>
    <t>concevoir</t>
  </si>
  <si>
    <t>emballage carton</t>
  </si>
  <si>
    <t>VIANDES/VIDE DECOUPEE A CUISSON LONGUE</t>
  </si>
  <si>
    <t>viandes/vide decoupée a cuisson longue</t>
  </si>
  <si>
    <r>
      <t>Chemiser</t>
    </r>
    <r>
      <rPr>
        <sz val="9.9"/>
        <color rgb="FF434343"/>
        <rFont val="Arial"/>
        <family val="2"/>
      </rPr>
      <t> : appliquer contre la paroi intérieur d’un moule ou d’une caissette, une couche de pâte, de biscuit, de gelée, de chocolat, de glace, de farine etc…</t>
    </r>
  </si>
  <si>
    <t>Beurrer</t>
  </si>
  <si>
    <t>Désinfecter</t>
  </si>
  <si>
    <t>Glacer</t>
  </si>
  <si>
    <t>Mouler</t>
  </si>
  <si>
    <t>remise en t°</t>
  </si>
  <si>
    <t>Vérifier la temp.</t>
  </si>
  <si>
    <t>conduire</t>
  </si>
  <si>
    <t>rebâtir</t>
  </si>
  <si>
    <t>emballage originel</t>
  </si>
  <si>
    <t>VIANDES/VIDE PIECEES A CUISSON COURTE</t>
  </si>
  <si>
    <t>viandes/vide piécées a cuisson courte</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</si>
  <si>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</si>
  <si>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</si>
  <si>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</si>
  <si>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Blanchir</t>
  </si>
  <si>
    <t>desinfection</t>
  </si>
  <si>
    <t>Gommer</t>
  </si>
  <si>
    <t>Mousser</t>
  </si>
  <si>
    <t>Remonter</t>
  </si>
  <si>
    <t>Verser</t>
  </si>
  <si>
    <t>consigner</t>
  </si>
  <si>
    <t>réceptionner</t>
  </si>
  <si>
    <t>etageres</t>
  </si>
  <si>
    <t>VIANDES/VIDE PIECEES A CUISSON LONGUE</t>
  </si>
  <si>
    <t>viandes/vide piécées a cuisson longue</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</si>
  <si>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</si>
  <si>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</si>
  <si>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Blondir</t>
  </si>
  <si>
    <t>Désosser</t>
  </si>
  <si>
    <t>goutage</t>
  </si>
  <si>
    <t>Remonter en température</t>
  </si>
  <si>
    <t>Videler</t>
  </si>
  <si>
    <t>constituer</t>
  </si>
  <si>
    <t>reconstruire</t>
  </si>
  <si>
    <t>etiquetteuse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</si>
  <si>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</si>
  <si>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</si>
  <si>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</si>
  <si>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Bouler</t>
  </si>
  <si>
    <t>Dessécher</t>
  </si>
  <si>
    <t>Grainer</t>
  </si>
  <si>
    <t>Remplacer</t>
  </si>
  <si>
    <t>Voiler</t>
  </si>
  <si>
    <t>construire</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</si>
  <si>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</si>
  <si>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</si>
  <si>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</si>
  <si>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Braiser</t>
  </si>
  <si>
    <t>dessouvidage</t>
  </si>
  <si>
    <t>Graisser</t>
  </si>
  <si>
    <t>Nacrer</t>
  </si>
  <si>
    <t>Remplir Barq</t>
  </si>
  <si>
    <t>contrôler</t>
  </si>
  <si>
    <t>régler</t>
  </si>
  <si>
    <r>
      <t>Corser</t>
    </r>
    <r>
      <rPr>
        <sz val="9.9"/>
        <color rgb="FF434343"/>
        <rFont val="Arial"/>
        <family val="2"/>
      </rPr>
      <t> : donner de l’élasticité à une pâte  en la pétrissant davantage.</t>
    </r>
  </si>
  <si>
    <t>Brider</t>
  </si>
  <si>
    <t>Dessouvider</t>
  </si>
  <si>
    <t>Gratiner</t>
  </si>
  <si>
    <t>Napper</t>
  </si>
  <si>
    <t>Remplir Des Chariots Isothermes</t>
  </si>
  <si>
    <t>Z</t>
  </si>
  <si>
    <t>couper</t>
  </si>
  <si>
    <t>réguler</t>
  </si>
  <si>
    <t>film etirable</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</si>
  <si>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</si>
  <si>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</si>
  <si>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Broyer</t>
  </si>
  <si>
    <t>destockage</t>
  </si>
  <si>
    <t>Griller</t>
  </si>
  <si>
    <t>remplissage barq.</t>
  </si>
  <si>
    <t>Zester</t>
  </si>
  <si>
    <t>créer</t>
  </si>
  <si>
    <t>remodeler</t>
  </si>
  <si>
    <t>fouet</t>
  </si>
  <si>
    <r>
      <t>Crémer</t>
    </r>
    <r>
      <rPr>
        <sz val="9.9"/>
        <color rgb="FF434343"/>
        <rFont val="Arial"/>
        <family val="2"/>
      </rPr>
      <t> : travailler une matière grasse seule ou avec du sucre, afin de lui donner la consistance d’une crème.</t>
    </r>
  </si>
  <si>
    <t>Confectionner la brandade de morue</t>
  </si>
  <si>
    <t>Brûler</t>
  </si>
  <si>
    <t>Destocker</t>
  </si>
  <si>
    <t>remplissage des chariots isothermes</t>
  </si>
  <si>
    <t>creuser</t>
  </si>
  <si>
    <t>remplacer</t>
  </si>
  <si>
    <t>four mixte</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</si>
  <si>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</si>
  <si>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</si>
  <si>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</si>
  <si>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Détailler</t>
  </si>
  <si>
    <t>H</t>
  </si>
  <si>
    <t>ouverture boite</t>
  </si>
  <si>
    <t>Remuer</t>
  </si>
  <si>
    <t>cultiver</t>
  </si>
  <si>
    <t>rénover</t>
  </si>
  <si>
    <t>désinfecter le poste de travail</t>
  </si>
  <si>
    <t>Cuire les filets à la vapeur 7 minutes environ</t>
  </si>
  <si>
    <t>Détendre</t>
  </si>
  <si>
    <t>Habiller</t>
  </si>
  <si>
    <t>Répartir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</si>
  <si>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</si>
  <si>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</si>
  <si>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</si>
  <si>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</si>
  <si>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r>
      <t>Candir</t>
    </r>
    <r>
      <rPr>
        <sz val="9.9"/>
        <color rgb="FF434343"/>
        <rFont val="Arial"/>
        <family val="2"/>
      </rPr>
      <t> </t>
    </r>
  </si>
  <si>
    <t>Détremper</t>
  </si>
  <si>
    <t>Hacher</t>
  </si>
  <si>
    <t>repartition</t>
  </si>
  <si>
    <t>réparer</t>
  </si>
  <si>
    <t>gastro</t>
  </si>
  <si>
    <r>
      <t>Décoction </t>
    </r>
    <r>
      <rPr>
        <sz val="9.9"/>
        <color rgb="FF434343"/>
        <rFont val="Arial"/>
        <family val="2"/>
      </rPr>
      <t>: solution obtenue par l’action prolongée de l’eau bouillante sur une plante aromatique.</t>
    </r>
  </si>
  <si>
    <t>selectionner le matériel</t>
  </si>
  <si>
    <t>Canneler</t>
  </si>
  <si>
    <t>Disperser</t>
  </si>
  <si>
    <t>Historier</t>
  </si>
  <si>
    <t>Panacher</t>
  </si>
  <si>
    <t>Repasser</t>
  </si>
  <si>
    <t>décentraliser</t>
  </si>
  <si>
    <t>résoudre</t>
  </si>
  <si>
    <t>grille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</si>
  <si>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</si>
  <si>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</si>
  <si>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</si>
  <si>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Caraméliser</t>
  </si>
  <si>
    <t>Disposer</t>
  </si>
  <si>
    <t>Huiler</t>
  </si>
  <si>
    <t>Paner</t>
  </si>
  <si>
    <t>Réserver</t>
  </si>
  <si>
    <t>décharger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</si>
  <si>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</si>
  <si>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</si>
  <si>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</si>
  <si>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Cerner</t>
  </si>
  <si>
    <t>Dorer</t>
  </si>
  <si>
    <t>Papilloter</t>
  </si>
  <si>
    <t>Respecter le délai de 2 H</t>
  </si>
  <si>
    <t>dessiner</t>
  </si>
  <si>
    <t>revoir</t>
  </si>
  <si>
    <r>
      <t>Détrempe</t>
    </r>
    <r>
      <rPr>
        <sz val="9.9"/>
        <color rgb="FF434343"/>
        <rFont val="Arial"/>
        <family val="2"/>
      </rPr>
      <t> : mélange de farine, d’eau et de sel servant de base à la pâte feuilleté et à la pâte levée feuilleté.</t>
    </r>
  </si>
  <si>
    <t>ajouter la morue effeuillée et l'ail</t>
  </si>
  <si>
    <t>Chablonner</t>
  </si>
  <si>
    <t>Doubler</t>
  </si>
  <si>
    <t>I</t>
  </si>
  <si>
    <t>parage</t>
  </si>
  <si>
    <t>Retirer</t>
  </si>
  <si>
    <t>documenter</t>
  </si>
  <si>
    <t>hachoir</t>
  </si>
  <si>
    <t>eplucher-laver-désinfecter</t>
  </si>
  <si>
    <t>travailler à la spatule</t>
  </si>
  <si>
    <t>changement d echelle</t>
  </si>
  <si>
    <t>Dresser</t>
  </si>
  <si>
    <t>Imbiber</t>
  </si>
  <si>
    <t>Parer</t>
  </si>
  <si>
    <t>Retomber</t>
  </si>
  <si>
    <t>S</t>
  </si>
  <si>
    <t>housse de protection</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</si>
  <si>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</si>
  <si>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</si>
  <si>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</si>
  <si>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changement de chariot</t>
  </si>
  <si>
    <t>Inciser</t>
  </si>
  <si>
    <t>Parfumer</t>
  </si>
  <si>
    <t>retour vers conditionnement</t>
  </si>
  <si>
    <t>sensibiliser</t>
  </si>
  <si>
    <r>
      <t>Émonder</t>
    </r>
    <r>
      <rPr>
        <sz val="9.9"/>
        <color rgb="FF434343"/>
        <rFont val="Arial"/>
        <family val="2"/>
      </rPr>
      <t> : retirer les peaux, pellicules et enveloppe de certains fruits ou légumes.</t>
    </r>
  </si>
  <si>
    <t>changement. chariots  isothermes</t>
  </si>
  <si>
    <t>Incorporer</t>
  </si>
  <si>
    <t>Parsemer</t>
  </si>
  <si>
    <t>Retourner</t>
  </si>
  <si>
    <t>écouler</t>
  </si>
  <si>
    <t>simplifier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</si>
  <si>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</si>
  <si>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</si>
  <si>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</si>
  <si>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Changer</t>
  </si>
  <si>
    <t>Ebarber</t>
  </si>
  <si>
    <t>Indications packaging</t>
  </si>
  <si>
    <t>passage en cellule</t>
  </si>
  <si>
    <t>Revenir</t>
  </si>
  <si>
    <t>écrire</t>
  </si>
  <si>
    <t>soulever</t>
  </si>
  <si>
    <t>louche</t>
  </si>
  <si>
    <r>
      <t>Évider</t>
    </r>
    <r>
      <rPr>
        <sz val="9.9"/>
        <color rgb="FF434343"/>
        <rFont val="Arial"/>
        <family val="2"/>
      </rPr>
      <t> : éliminer, extraire l’intérieur de certains fruits (ex : citrons, orange).</t>
    </r>
  </si>
  <si>
    <t>laver à grande eau</t>
  </si>
  <si>
    <t>chargement chariots isothermes</t>
  </si>
  <si>
    <t>Ebaucher</t>
  </si>
  <si>
    <t>Infuser</t>
  </si>
  <si>
    <t>passage rapide en cellule</t>
  </si>
  <si>
    <t>Rincer</t>
  </si>
  <si>
    <t>édifier</t>
  </si>
  <si>
    <t>standardiser</t>
  </si>
  <si>
    <t>A la feuille en première vitesse, incorporer progressivement le lait et la crème</t>
  </si>
  <si>
    <t>chargement du camion</t>
  </si>
  <si>
    <t>Ecailler</t>
  </si>
  <si>
    <t>interstockage</t>
  </si>
  <si>
    <t>Passer</t>
  </si>
  <si>
    <t>Rioler</t>
  </si>
  <si>
    <t>effectuer</t>
  </si>
  <si>
    <t>superviser</t>
  </si>
  <si>
    <r>
      <t>Façonner </t>
    </r>
    <r>
      <rPr>
        <sz val="9.9"/>
        <color rgb="FF434343"/>
        <rFont val="Arial"/>
        <family val="2"/>
      </rPr>
      <t>: c’est donner une forme  particulière à toute sortes de pâtes par un travail manuel ou mécanique avant cuisson.</t>
    </r>
  </si>
  <si>
    <t>trier et tremper</t>
  </si>
  <si>
    <t>chargement du four</t>
  </si>
  <si>
    <t>Ecaler</t>
  </si>
  <si>
    <t>Pasteuriser</t>
  </si>
  <si>
    <t>Rissoler</t>
  </si>
  <si>
    <t>élaborer</t>
  </si>
  <si>
    <t>surveiller</t>
  </si>
  <si>
    <t>machine a raper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</si>
  <si>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</si>
  <si>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</si>
  <si>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</si>
  <si>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chargt. chariots collec.</t>
  </si>
  <si>
    <t>Echauder</t>
  </si>
  <si>
    <t>J</t>
  </si>
  <si>
    <t>Peler</t>
  </si>
  <si>
    <t>Rompre</t>
  </si>
  <si>
    <t>emplir</t>
  </si>
  <si>
    <t>marmite</t>
  </si>
  <si>
    <r>
      <t>Fleurer </t>
    </r>
    <r>
      <rPr>
        <sz val="9.9"/>
        <color rgb="FF434343"/>
        <rFont val="Arial"/>
        <family val="2"/>
      </rPr>
      <t>: saupoudrer de farine un tour, une plaque ou un moule afin d’empêcher certaines préparations de coller.</t>
    </r>
  </si>
  <si>
    <t>chargt. chariots ind.</t>
  </si>
  <si>
    <t>Ecorcher</t>
  </si>
  <si>
    <t>Jeter</t>
  </si>
  <si>
    <t>Persiller</t>
  </si>
  <si>
    <t>Rôtir</t>
  </si>
  <si>
    <t>employer</t>
  </si>
  <si>
    <t>mixer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</si>
  <si>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</si>
  <si>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</si>
  <si>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</si>
  <si>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Châtrer</t>
  </si>
  <si>
    <t>Ecosser</t>
  </si>
  <si>
    <t>pesée</t>
  </si>
  <si>
    <t>Rouler</t>
  </si>
  <si>
    <t>enregistrer</t>
  </si>
  <si>
    <t>tester</t>
  </si>
  <si>
    <r>
      <t>Fond </t>
    </r>
    <r>
      <rPr>
        <sz val="9.9"/>
        <color rgb="FF434343"/>
        <rFont val="Arial"/>
        <family val="2"/>
      </rPr>
      <t>: pâtisseries utilisée comme base de fabrication et constituant généralement la couche inférieure des gâteaux.</t>
    </r>
  </si>
  <si>
    <t>couper en 2</t>
  </si>
  <si>
    <t>Poivrer et muscader</t>
  </si>
  <si>
    <t>Chauffer</t>
  </si>
  <si>
    <t>Ecumer</t>
  </si>
  <si>
    <t>Peser</t>
  </si>
  <si>
    <t>Roussir</t>
  </si>
  <si>
    <t>entretenir</t>
  </si>
  <si>
    <t>transformer</t>
  </si>
  <si>
    <r>
      <t>Foisonnement</t>
    </r>
    <r>
      <rPr>
        <sz val="9.9"/>
        <color rgb="FF434343"/>
        <rFont val="Arial"/>
        <family val="2"/>
      </rPr>
      <t>: phénomène résultant d’une augmentation de volume d’une fabrication par incorporation de gaz.</t>
    </r>
  </si>
  <si>
    <t xml:space="preserve"> Finir de lier la brandade en ajoutant la purée.</t>
  </si>
  <si>
    <t>Chaufroiter</t>
  </si>
  <si>
    <t>Effilandrer</t>
  </si>
  <si>
    <t>Larder</t>
  </si>
  <si>
    <t>Pétrir</t>
  </si>
  <si>
    <t>envoyer</t>
  </si>
  <si>
    <t>trier</t>
  </si>
  <si>
    <t>ouvre boite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</si>
  <si>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</si>
  <si>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</si>
  <si>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Chemiser</t>
  </si>
  <si>
    <t>Effiler</t>
  </si>
  <si>
    <t>lavage</t>
  </si>
  <si>
    <t>Piler</t>
  </si>
  <si>
    <t>ériger</t>
  </si>
  <si>
    <t>adjoindre de la creme</t>
  </si>
  <si>
    <t xml:space="preserve"> Rectifier la consistance</t>
  </si>
  <si>
    <t>Chevaucher</t>
  </si>
  <si>
    <t>Egermer</t>
  </si>
  <si>
    <t>Laver</t>
  </si>
  <si>
    <t>Pincer</t>
  </si>
  <si>
    <t>Sabler</t>
  </si>
  <si>
    <t>établir</t>
  </si>
  <si>
    <r>
      <t>Garnir </t>
    </r>
    <r>
      <rPr>
        <sz val="9.9"/>
        <color rgb="FF434343"/>
        <rFont val="Arial"/>
        <family val="2"/>
      </rPr>
      <t>: remplir avec une préparation de crème ou autres un fond de gâteau, un moule, une poche.</t>
    </r>
  </si>
  <si>
    <t>ajouter dans l'ordre les autres éléments</t>
  </si>
  <si>
    <t>Chiqueter</t>
  </si>
  <si>
    <t>egouttage</t>
  </si>
  <si>
    <t>Lever</t>
  </si>
  <si>
    <t>Piquer</t>
  </si>
  <si>
    <t>Saigner</t>
  </si>
  <si>
    <t>étendre</t>
  </si>
  <si>
    <t>utiliser</t>
  </si>
  <si>
    <t>palette</t>
  </si>
  <si>
    <r>
      <t>Glacer </t>
    </r>
    <r>
      <rPr>
        <sz val="9.9"/>
        <color rgb="FF434343"/>
        <rFont val="Arial"/>
        <family val="2"/>
      </rPr>
      <t>:</t>
    </r>
  </si>
  <si>
    <t>arroser de beurre noisette</t>
  </si>
  <si>
    <t>Décanter la préparation</t>
  </si>
  <si>
    <t>Ciseler</t>
  </si>
  <si>
    <t>Egoutter</t>
  </si>
  <si>
    <t>Lier</t>
  </si>
  <si>
    <t>Plaquer</t>
  </si>
  <si>
    <t>Saisir</t>
  </si>
  <si>
    <t>examiner</t>
  </si>
  <si>
    <t>passoire</t>
  </si>
  <si>
    <t>– action de recouvrir partiellement ou entièrement la surface d’une pâtisserie avec un glaçage (ex : fondant)</t>
  </si>
  <si>
    <t xml:space="preserve">arroser de liqueur </t>
  </si>
  <si>
    <t>Dans les 8 bacs GN 1/1 beurrés, répartir la brandade Bénédictine</t>
  </si>
  <si>
    <t>Citronner</t>
  </si>
  <si>
    <t>Egrapper</t>
  </si>
  <si>
    <t>Limoner</t>
  </si>
  <si>
    <t>Pocher</t>
  </si>
  <si>
    <t>Sangler</t>
  </si>
  <si>
    <t>exécuter</t>
  </si>
  <si>
    <t>pelle a pizza</t>
  </si>
  <si>
    <t>– rendre brillant la surface d’une pâtisserie avec du sirop avant le passage au four ou saupoudrer une pièce de sucre glace et la passer au four, le temps de caraméliser le sucre.</t>
  </si>
  <si>
    <t>beurrer grassement</t>
  </si>
  <si>
    <t>Clarifier</t>
  </si>
  <si>
    <t>Egrener</t>
  </si>
  <si>
    <t>Lisser</t>
  </si>
  <si>
    <t>Poêler</t>
  </si>
  <si>
    <t>Saumurer</t>
  </si>
  <si>
    <t>exploiter</t>
  </si>
  <si>
    <t>vaporiser</t>
  </si>
  <si>
    <t>pinces</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</si>
  <si>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</si>
  <si>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</si>
  <si>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</si>
  <si>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Clouter</t>
  </si>
  <si>
    <t>Emincer</t>
  </si>
  <si>
    <t>Lustrer</t>
  </si>
  <si>
    <t>Porter à ébullition</t>
  </si>
  <si>
    <t>Saupoudrer</t>
  </si>
  <si>
    <t>extraire</t>
  </si>
  <si>
    <t>vérifier</t>
  </si>
  <si>
    <t>pl.euthechtique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</si>
  <si>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</si>
  <si>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</si>
  <si>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</si>
  <si>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Coller</t>
  </si>
  <si>
    <t>Emonder</t>
  </si>
  <si>
    <t>Luter</t>
  </si>
  <si>
    <t>portionnement</t>
  </si>
  <si>
    <t>Sauter</t>
  </si>
  <si>
    <t>planche a decouper</t>
  </si>
  <si>
    <t>passer la sauce</t>
  </si>
  <si>
    <t>Parsemer de parcelles de beurre</t>
  </si>
  <si>
    <t>Compoter</t>
  </si>
  <si>
    <t>Émulsionner</t>
  </si>
  <si>
    <t>Lyophiliser</t>
  </si>
  <si>
    <t>Portionner</t>
  </si>
  <si>
    <t>Serrer</t>
  </si>
  <si>
    <t>plat gastro</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</si>
  <si>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</si>
  <si>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</si>
  <si>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</si>
  <si>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t>Concasser</t>
  </si>
  <si>
    <t>Enfourner</t>
  </si>
  <si>
    <t>Poudrer</t>
  </si>
  <si>
    <t>Servir</t>
  </si>
  <si>
    <t>faire</t>
  </si>
  <si>
    <t>plateaux</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</si>
  <si>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</si>
  <si>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</si>
  <si>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Confire</t>
  </si>
  <si>
    <t>Enrober</t>
  </si>
  <si>
    <t>Pousser</t>
  </si>
  <si>
    <t>Singer</t>
  </si>
  <si>
    <t>saupoudrer légèrement</t>
  </si>
  <si>
    <t>❻</t>
  </si>
  <si>
    <t>Conserver</t>
  </si>
  <si>
    <t>epluchage</t>
  </si>
  <si>
    <t>Praliner</t>
  </si>
  <si>
    <t>Siroter</t>
  </si>
  <si>
    <r>
      <t>Lisser </t>
    </r>
    <r>
      <rPr>
        <sz val="9.9"/>
        <color rgb="FF434343"/>
        <rFont val="Arial"/>
        <family val="2"/>
      </rPr>
      <t>: mélanger une préparation pour la rendre homogène.</t>
    </r>
  </si>
  <si>
    <t>vérifier la consistance</t>
  </si>
  <si>
    <t xml:space="preserve"> Passer au four en chaleur sèche à + 170 °C</t>
  </si>
  <si>
    <t>Contiser</t>
  </si>
  <si>
    <t>Eplucher</t>
  </si>
  <si>
    <t>Préchauffer</t>
  </si>
  <si>
    <t>Snacker</t>
  </si>
  <si>
    <t>générer</t>
  </si>
  <si>
    <t>rapeuse</t>
  </si>
  <si>
    <r>
      <t>Lustrer </t>
    </r>
    <r>
      <rPr>
        <sz val="9.9"/>
        <color rgb="FF434343"/>
        <rFont val="Arial"/>
        <family val="2"/>
      </rPr>
      <t>: recouvrir de nappage de gelée ou de beurre fondu, une préparation afin de lui donner un aspect brillant.</t>
    </r>
  </si>
  <si>
    <t xml:space="preserve"> et gratiner légèrement la surface</t>
  </si>
  <si>
    <t>Contrôler</t>
  </si>
  <si>
    <t>Equeter</t>
  </si>
  <si>
    <t>Précuire</t>
  </si>
  <si>
    <t>sondage de temperature</t>
  </si>
  <si>
    <t>gérer</t>
  </si>
  <si>
    <t>rayonnages</t>
  </si>
  <si>
    <t>Respecter la procédure de fin de cuisson</t>
  </si>
  <si>
    <t>Corner</t>
  </si>
  <si>
    <t>Escaloper</t>
  </si>
  <si>
    <t>precuisson</t>
  </si>
  <si>
    <t>Sonder</t>
  </si>
  <si>
    <t>rolls</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</si>
  <si>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</si>
  <si>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</si>
  <si>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</si>
  <si>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t>Corser</t>
  </si>
  <si>
    <t>Etaler</t>
  </si>
  <si>
    <t>Prélever</t>
  </si>
  <si>
    <t>Sonder Cuisson</t>
  </si>
  <si>
    <t>rondeau</t>
  </si>
  <si>
    <r>
      <t>Marbrer </t>
    </r>
    <r>
      <rPr>
        <sz val="9.9"/>
        <color rgb="FF434343"/>
        <rFont val="Arial"/>
        <family val="2"/>
      </rPr>
      <t>: réaliser divers dessins sur des gâteaux glacés (au fondant, au nappage etc …) pour améliorer leur présentation.</t>
    </r>
  </si>
  <si>
    <t>dégraisser en partie</t>
  </si>
  <si>
    <t>Coucher</t>
  </si>
  <si>
    <t>Etiqueter</t>
  </si>
  <si>
    <t>Préparer</t>
  </si>
  <si>
    <t>Sonder Température</t>
  </si>
  <si>
    <t>identifier</t>
  </si>
  <si>
    <t>rouleau</t>
  </si>
  <si>
    <r>
      <t>Masquer </t>
    </r>
    <r>
      <rPr>
        <sz val="9.9"/>
        <color rgb="FF434343"/>
        <rFont val="Arial"/>
        <family val="2"/>
      </rPr>
      <t>: recouvrir un entremets ou un fond de plat d’une légère couche de crème, de sauce ou de gelée.</t>
    </r>
  </si>
  <si>
    <t>égoutter et débarrasser</t>
  </si>
  <si>
    <t>Craquer</t>
  </si>
  <si>
    <t>etiquettage collec.</t>
  </si>
  <si>
    <t>Protéger</t>
  </si>
  <si>
    <t>sortie</t>
  </si>
  <si>
    <t>imaginer</t>
  </si>
  <si>
    <r>
      <t>Monter </t>
    </r>
    <r>
      <rPr>
        <sz val="9.9"/>
        <color rgb="FF434343"/>
        <rFont val="Arial"/>
        <family val="2"/>
      </rPr>
      <t>:</t>
    </r>
  </si>
  <si>
    <t>étuver au beurre</t>
  </si>
  <si>
    <t>❼</t>
  </si>
  <si>
    <t>Dresser et servir</t>
  </si>
  <si>
    <t>Crémer</t>
  </si>
  <si>
    <t>etiquettage ind</t>
  </si>
  <si>
    <t>Puncher</t>
  </si>
  <si>
    <t>Sortir</t>
  </si>
  <si>
    <t>inscrire</t>
  </si>
  <si>
    <t>–  battre au fouet une substance ou un appareil pour le rendre plus léger et en augmenter le volume (ex : blanc en neige).</t>
  </si>
  <si>
    <t>faire sauter vivement</t>
  </si>
  <si>
    <t>Détailler chaque bac GN en 12 portions</t>
  </si>
  <si>
    <t>Crever</t>
  </si>
  <si>
    <t>Etoffer</t>
  </si>
  <si>
    <t>Stériliser</t>
  </si>
  <si>
    <t>insérer</t>
  </si>
  <si>
    <t>sauteuse</t>
  </si>
  <si>
    <t>– assembler les différentes parties d’une pâtisserie pour en faire un gâteau plus ou moins important (monter un entremet, pièce montée).</t>
  </si>
  <si>
    <t>faire suer</t>
  </si>
  <si>
    <t>Servir une portion sur chaque assiette et garnir de toasts (facultatif)</t>
  </si>
  <si>
    <t>Croûter</t>
  </si>
  <si>
    <t>Etouffer</t>
  </si>
  <si>
    <t>stockage</t>
  </si>
  <si>
    <t>inspecter</t>
  </si>
  <si>
    <t>seau plastique</t>
  </si>
  <si>
    <r>
      <t>Mouler </t>
    </r>
    <r>
      <rPr>
        <sz val="9.9"/>
        <color rgb="FF434343"/>
        <rFont val="Arial"/>
        <family val="2"/>
      </rPr>
      <t>: verser une substance ou une préparation liquide ou semi-liquide dans un moule pour en obtenir une reproduction de sa forme après solidification.</t>
    </r>
  </si>
  <si>
    <t>incorporer dans la sauce</t>
  </si>
  <si>
    <t>Cuire</t>
  </si>
  <si>
    <t>Etuver</t>
  </si>
  <si>
    <t>Stocker</t>
  </si>
  <si>
    <t>installer</t>
  </si>
  <si>
    <t>socles rouleurs</t>
  </si>
  <si>
    <t>lier la cuisson</t>
  </si>
  <si>
    <t>Evider</t>
  </si>
  <si>
    <t>Suer</t>
  </si>
  <si>
    <t>inventer</t>
  </si>
  <si>
    <t>sonde</t>
  </si>
  <si>
    <r>
      <t>Napper </t>
    </r>
    <r>
      <rPr>
        <sz val="9.9"/>
        <color rgb="FF434343"/>
        <rFont val="Arial"/>
        <family val="2"/>
      </rPr>
      <t>: verser sur un met chaud ou froid une sauce, une gelée, ou une crème pour le recouvrir complètement.</t>
    </r>
  </si>
  <si>
    <t>lustrer à l'huie</t>
  </si>
  <si>
    <t xml:space="preserve">❽ </t>
  </si>
  <si>
    <t>Commentaires</t>
  </si>
  <si>
    <t>cuisson finale</t>
  </si>
  <si>
    <t>Exprimer</t>
  </si>
  <si>
    <t>Surgeler</t>
  </si>
  <si>
    <t>inventorier</t>
  </si>
  <si>
    <t>Ⓐ</t>
  </si>
  <si>
    <t xml:space="preserve"> La brandade de morue n'est constituée que de poisson</t>
  </si>
  <si>
    <t>Culotter</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</si>
  <si>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</si>
  <si>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</si>
  <si>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t>table chaude</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</si>
  <si>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</si>
  <si>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</si>
  <si>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</si>
  <si>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</si>
  <si>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t>table de travail</t>
  </si>
  <si>
    <r>
      <t>Pâton </t>
    </r>
    <r>
      <rPr>
        <sz val="9.9"/>
        <color rgb="FF434343"/>
        <rFont val="Arial"/>
        <family val="2"/>
      </rPr>
      <t>: nom donné à un morceau de pâte pesé et prêt à être façonné.</t>
    </r>
  </si>
  <si>
    <t>porter à ébullition</t>
  </si>
  <si>
    <t>thermoscelleuse</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</si>
  <si>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</si>
  <si>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</si>
  <si>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</si>
  <si>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</si>
  <si>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t>trancheur</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</si>
  <si>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</si>
  <si>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</si>
  <si>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</si>
  <si>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</si>
  <si>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</si>
  <si>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</si>
  <si>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</si>
  <si>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</si>
  <si>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</si>
  <si>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</si>
  <si>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</si>
  <si>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</si>
  <si>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</si>
  <si>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</si>
  <si>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</si>
  <si>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</si>
  <si>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</si>
  <si>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</si>
  <si>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</si>
  <si>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</si>
  <si>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</si>
  <si>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</si>
  <si>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</si>
  <si>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</si>
  <si>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</si>
  <si>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</si>
  <si>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</si>
  <si>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</si>
  <si>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</si>
  <si>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</si>
  <si>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</si>
  <si>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</si>
  <si>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</si>
  <si>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</si>
  <si>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</si>
  <si>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</si>
  <si>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</si>
  <si>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</si>
  <si>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</si>
  <si>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</si>
  <si>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</si>
  <si>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</si>
  <si>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</si>
  <si>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</si>
  <si>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</si>
  <si>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</si>
  <si>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</si>
  <si>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</si>
  <si>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</si>
  <si>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</si>
  <si>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</si>
  <si>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</si>
  <si>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</si>
  <si>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</si>
  <si>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</si>
  <si>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</si>
  <si>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</si>
  <si>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</si>
  <si>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</si>
  <si>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</si>
  <si>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</si>
  <si>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</si>
  <si>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</si>
  <si>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</si>
  <si>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maintenir à température + 63°C</t>
  </si>
  <si>
    <t>maintenir au bain marie + 65°C</t>
  </si>
  <si>
    <t>maintenir au froid + 3°C maxi</t>
  </si>
  <si>
    <t>servir tiède</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</si>
  <si>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</si>
  <si>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</si>
  <si>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</si>
  <si>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</si>
  <si>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</si>
  <si>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</si>
  <si>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</si>
  <si>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</si>
  <si>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</si>
  <si>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</si>
  <si>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</si>
  <si>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</si>
  <si>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</si>
  <si>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</si>
  <si>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</si>
  <si>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</si>
  <si>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</si>
  <si>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</si>
  <si>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</si>
  <si>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</si>
  <si>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</si>
  <si>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</si>
  <si>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</si>
  <si>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</si>
  <si>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</si>
  <si>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</si>
  <si>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</si>
  <si>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</si>
  <si>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</si>
  <si>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</si>
  <si>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</si>
  <si>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</si>
  <si>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</si>
  <si>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</si>
  <si>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</si>
  <si>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</si>
  <si>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</si>
  <si>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</si>
  <si>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</si>
  <si>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</si>
  <si>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</si>
  <si>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</si>
  <si>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</si>
  <si>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</si>
  <si>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</si>
  <si>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</si>
  <si>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</si>
  <si>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</si>
  <si>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</si>
  <si>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</si>
  <si>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</si>
  <si>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</si>
  <si>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</si>
  <si>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</si>
  <si>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</si>
  <si>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</si>
  <si>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</si>
  <si>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</si>
  <si>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</si>
  <si>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</si>
  <si>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</si>
  <si>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</si>
  <si>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</si>
  <si>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</si>
  <si>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</si>
  <si>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</si>
  <si>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</si>
  <si>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</si>
  <si>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</si>
  <si>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</si>
  <si>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</si>
  <si>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</si>
  <si>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</si>
  <si>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</si>
  <si>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</si>
  <si>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</si>
  <si>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</si>
  <si>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</si>
  <si>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</si>
  <si>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</si>
  <si>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</si>
  <si>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</si>
  <si>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</si>
  <si>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</si>
  <si>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</si>
  <si>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</si>
  <si>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</si>
  <si>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</si>
  <si>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</si>
  <si>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</si>
  <si>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</si>
  <si>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</si>
  <si>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</si>
  <si>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</si>
  <si>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</si>
  <si>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</si>
  <si>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</si>
  <si>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</si>
  <si>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</si>
  <si>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</si>
  <si>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</si>
  <si>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</si>
  <si>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</si>
  <si>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</si>
  <si>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</si>
  <si>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</si>
  <si>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</si>
  <si>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</si>
  <si>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</si>
  <si>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</si>
  <si>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</si>
  <si>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</si>
  <si>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</si>
  <si>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</si>
  <si>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</si>
  <si>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</si>
  <si>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</si>
  <si>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</si>
  <si>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</si>
  <si>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</si>
  <si>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</si>
  <si>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</si>
  <si>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</si>
  <si>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</si>
  <si>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</si>
  <si>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</si>
  <si>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</si>
  <si>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</si>
  <si>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</si>
  <si>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</si>
  <si>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</si>
  <si>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</si>
  <si>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</si>
  <si>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</si>
  <si>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</si>
  <si>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</si>
  <si>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</si>
  <si>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</si>
  <si>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</si>
  <si>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</si>
  <si>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</si>
  <si>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</si>
  <si>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</si>
  <si>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</si>
  <si>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</si>
  <si>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</si>
  <si>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</si>
  <si>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</si>
  <si>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</si>
  <si>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</si>
  <si>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</si>
  <si>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</si>
  <si>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</si>
  <si>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</si>
  <si>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</si>
  <si>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</si>
  <si>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</si>
  <si>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</si>
  <si>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</si>
  <si>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</si>
  <si>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</si>
  <si>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</si>
  <si>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</si>
  <si>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</si>
  <si>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</si>
  <si>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</si>
  <si>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</si>
  <si>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</si>
  <si>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</si>
  <si>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</si>
  <si>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</si>
  <si>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</si>
  <si>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</si>
  <si>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</si>
  <si>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</si>
  <si>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</si>
  <si>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</si>
  <si>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</si>
  <si>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</si>
  <si>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</si>
  <si>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</si>
  <si>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</si>
  <si>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</si>
  <si>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Beurre</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</si>
  <si>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</si>
  <si>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</si>
  <si>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</si>
  <si>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</si>
  <si>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</si>
  <si>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</si>
  <si>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</si>
  <si>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</si>
  <si>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</si>
  <si>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</si>
  <si>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</si>
  <si>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</si>
  <si>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</si>
  <si>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</si>
  <si>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</si>
  <si>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</si>
  <si>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</si>
  <si>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</si>
  <si>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</si>
  <si>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</si>
  <si>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</si>
  <si>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</si>
  <si>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</si>
  <si>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</si>
  <si>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</si>
  <si>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</si>
  <si>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</si>
  <si>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</si>
  <si>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</si>
  <si>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</si>
  <si>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</si>
  <si>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</si>
  <si>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</si>
  <si>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</si>
  <si>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</si>
  <si>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</si>
  <si>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</si>
  <si>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</si>
  <si>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</si>
  <si>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</si>
  <si>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</si>
  <si>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</si>
  <si>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</si>
  <si>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</si>
  <si>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</si>
  <si>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</si>
  <si>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</si>
  <si>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</si>
  <si>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</si>
  <si>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</si>
  <si>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</si>
  <si>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</si>
  <si>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</si>
  <si>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</si>
  <si>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</si>
  <si>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</si>
  <si>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</si>
  <si>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</si>
  <si>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</si>
  <si>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</si>
  <si>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</si>
  <si>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</si>
  <si>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</si>
  <si>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</si>
  <si>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</si>
  <si>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</si>
  <si>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</si>
  <si>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</si>
  <si>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</si>
  <si>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</si>
  <si>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</si>
  <si>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</si>
  <si>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</si>
  <si>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</si>
  <si>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</si>
  <si>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</si>
  <si>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</si>
  <si>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</si>
  <si>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</si>
  <si>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</si>
  <si>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</si>
  <si>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</si>
  <si>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</si>
  <si>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</si>
  <si>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</si>
  <si>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eau</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</si>
  <si>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</si>
  <si>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</si>
  <si>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</si>
  <si>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</si>
  <si>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</si>
  <si>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</si>
  <si>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</si>
  <si>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</si>
  <si>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</si>
  <si>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</si>
  <si>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</si>
  <si>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</si>
  <si>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</si>
  <si>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</si>
  <si>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</si>
  <si>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</si>
  <si>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</si>
  <si>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</si>
  <si>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</si>
  <si>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</si>
  <si>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</si>
  <si>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</si>
  <si>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</si>
  <si>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</si>
  <si>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</si>
  <si>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</si>
  <si>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</si>
  <si>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</si>
  <si>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</si>
  <si>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</si>
  <si>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</si>
  <si>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</si>
  <si>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</si>
  <si>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</si>
  <si>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</si>
  <si>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</si>
  <si>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</si>
  <si>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</si>
  <si>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</si>
  <si>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</si>
  <si>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</si>
  <si>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</si>
  <si>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</si>
  <si>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</si>
  <si>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</si>
  <si>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</si>
  <si>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</si>
  <si>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</si>
  <si>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</si>
  <si>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</si>
  <si>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</si>
  <si>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</si>
  <si>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</si>
  <si>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</si>
  <si>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</si>
  <si>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</si>
  <si>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</si>
  <si>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</si>
  <si>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</si>
  <si>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</si>
  <si>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</si>
  <si>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</si>
  <si>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</si>
  <si>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</si>
  <si>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</si>
  <si>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</si>
  <si>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</si>
  <si>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</si>
  <si>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</si>
  <si>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</si>
  <si>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</si>
  <si>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</si>
  <si>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</si>
  <si>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</si>
  <si>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½</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</si>
  <si>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</si>
  <si>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</si>
  <si>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</si>
  <si>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</si>
  <si>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</si>
  <si>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</si>
  <si>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</si>
  <si>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</si>
  <si>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</si>
  <si>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</si>
  <si>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</si>
  <si>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</si>
  <si>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</si>
  <si>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</si>
  <si>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</si>
  <si>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</si>
  <si>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</si>
  <si>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</si>
  <si>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sel</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</si>
  <si>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</si>
  <si>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</si>
  <si>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</si>
  <si>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</si>
  <si>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</si>
  <si>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</si>
  <si>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</si>
  <si>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</si>
  <si>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</si>
  <si>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</si>
  <si>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</si>
  <si>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</si>
  <si>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</si>
  <si>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</si>
  <si>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</si>
  <si>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</si>
  <si>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</si>
  <si>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</si>
  <si>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</si>
  <si>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</si>
  <si>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</si>
  <si>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</si>
  <si>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</si>
  <si>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</si>
  <si>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</si>
  <si>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</si>
  <si>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</si>
  <si>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</si>
  <si>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</si>
  <si>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</si>
  <si>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</si>
  <si>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</si>
  <si>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</si>
  <si>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</si>
  <si>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</si>
  <si>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</si>
  <si>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</si>
  <si>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</si>
  <si>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</si>
  <si>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</si>
  <si>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</si>
  <si>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</si>
  <si>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</si>
  <si>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</si>
  <si>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</si>
  <si>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</si>
  <si>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</si>
  <si>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</si>
  <si>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AIDES CUISINE</t>
  </si>
  <si>
    <t>Fin du document cellule &gt;</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</si>
  <si>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</si>
  <si>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</si>
  <si>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</si>
  <si>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</si>
  <si>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</si>
  <si>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</si>
  <si>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</si>
  <si>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</si>
  <si>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</si>
  <si>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</si>
  <si>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</si>
  <si>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</si>
  <si>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</si>
  <si>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</si>
  <si>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</si>
  <si>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</si>
  <si>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</si>
  <si>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</si>
  <si>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</si>
  <si>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</si>
  <si>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</si>
  <si>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</si>
  <si>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</si>
  <si>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</si>
  <si>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</si>
  <si>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</si>
  <si>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</si>
  <si>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</si>
  <si>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</si>
  <si>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</si>
  <si>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</si>
  <si>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</si>
  <si>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</si>
  <si>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</si>
  <si>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</si>
  <si>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</si>
  <si>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</si>
  <si>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</si>
  <si>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</si>
  <si>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</si>
  <si>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</si>
  <si>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</si>
  <si>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</si>
  <si>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</si>
  <si>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</si>
  <si>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</si>
  <si>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</si>
  <si>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</si>
  <si>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</si>
  <si>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</si>
  <si>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</si>
  <si>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</si>
  <si>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</si>
  <si>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</si>
  <si>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</si>
  <si>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</si>
  <si>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</si>
  <si>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</si>
  <si>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</si>
  <si>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</si>
  <si>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</si>
  <si>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</si>
  <si>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</si>
  <si>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</si>
  <si>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</si>
  <si>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</si>
  <si>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</si>
  <si>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</si>
  <si>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</si>
  <si>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</si>
  <si>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</si>
  <si>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</si>
  <si>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</si>
  <si>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</si>
  <si>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</si>
  <si>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</si>
  <si>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</si>
  <si>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</si>
  <si>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</si>
  <si>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</si>
  <si>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</si>
  <si>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</si>
  <si>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</si>
  <si>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</si>
  <si>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</si>
  <si>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</si>
  <si>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</si>
  <si>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</si>
  <si>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</si>
  <si>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</si>
  <si>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</si>
  <si>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</si>
  <si>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</si>
  <si>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</si>
  <si>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</si>
  <si>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</si>
  <si>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</si>
  <si>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</si>
  <si>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</si>
  <si>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</si>
  <si>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</si>
  <si>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</si>
  <si>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</si>
  <si>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</si>
  <si>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</si>
  <si>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</si>
  <si>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</si>
  <si>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</si>
  <si>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</si>
  <si>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</si>
  <si>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</si>
  <si>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</si>
  <si>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</si>
  <si>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</si>
  <si>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</si>
  <si>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escalopes</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</si>
  <si>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</si>
  <si>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</si>
  <si>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</si>
  <si>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</si>
  <si>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</si>
  <si>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</si>
  <si>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</si>
  <si>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</si>
  <si>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</si>
  <si>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</si>
  <si>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</si>
  <si>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</si>
  <si>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</si>
  <si>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</si>
  <si>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</si>
  <si>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</si>
  <si>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Adaptation : Joël Leboucher..UPRT "Union des Personnels de la Restauration Territoriale"  membre du réseau RESTAU'CO</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</si>
  <si>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</si>
  <si>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</si>
  <si>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</si>
  <si>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</si>
  <si>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</si>
  <si>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</si>
  <si>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</si>
  <si>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</si>
  <si>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</si>
  <si>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</si>
  <si>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</si>
  <si>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</si>
  <si>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</si>
  <si>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</si>
  <si>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</si>
  <si>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</si>
  <si>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</si>
  <si>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</si>
  <si>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</si>
  <si>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</si>
  <si>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</si>
  <si>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</si>
  <si>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</si>
  <si>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</si>
  <si>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Formules</t>
  </si>
  <si>
    <t xml:space="preserve">Poids standard d'une Portion </t>
  </si>
  <si>
    <t>Seniors</t>
  </si>
  <si>
    <t>Nb de portions standard dans un GN 1/1 H65</t>
  </si>
  <si>
    <t>portions</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</si>
  <si>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</si>
  <si>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</si>
  <si>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</si>
  <si>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</si>
  <si>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</si>
  <si>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</si>
  <si>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</si>
  <si>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</si>
  <si>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</si>
  <si>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</si>
  <si>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</si>
  <si>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</si>
  <si>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</si>
  <si>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</si>
  <si>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</si>
  <si>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</si>
  <si>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</si>
  <si>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</si>
  <si>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</si>
  <si>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</si>
  <si>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</si>
  <si>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</si>
  <si>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</si>
  <si>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</si>
  <si>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</si>
  <si>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</si>
  <si>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</si>
  <si>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</si>
  <si>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</si>
  <si>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</si>
  <si>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</si>
  <si>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</si>
  <si>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</si>
  <si>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</si>
  <si>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</si>
  <si>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Exemples</t>
  </si>
  <si>
    <t>pour</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</si>
  <si>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</si>
  <si>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</si>
  <si>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</si>
  <si>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</si>
  <si>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</si>
  <si>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</si>
  <si>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</si>
  <si>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</si>
  <si>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</si>
  <si>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</si>
  <si>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</si>
  <si>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</si>
  <si>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</si>
  <si>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</si>
  <si>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</si>
  <si>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</si>
  <si>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</si>
  <si>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</si>
  <si>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</si>
  <si>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</si>
  <si>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</si>
  <si>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</si>
  <si>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</si>
  <si>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</si>
  <si>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</si>
  <si>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</si>
  <si>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</si>
  <si>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</si>
  <si>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</si>
  <si>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</si>
  <si>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</si>
  <si>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</si>
  <si>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</si>
  <si>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</si>
  <si>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</si>
  <si>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</si>
  <si>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</si>
  <si>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</si>
  <si>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</si>
  <si>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</si>
  <si>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</si>
  <si>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</si>
  <si>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</si>
  <si>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</si>
  <si>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</si>
  <si>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</si>
  <si>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</si>
  <si>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</si>
  <si>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</si>
  <si>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</si>
  <si>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</si>
  <si>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</si>
  <si>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</si>
  <si>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</si>
  <si>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</si>
  <si>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</si>
  <si>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</si>
  <si>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</si>
  <si>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</si>
  <si>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</si>
  <si>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</si>
  <si>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</si>
  <si>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</si>
  <si>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</si>
  <si>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</si>
  <si>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</si>
  <si>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</si>
  <si>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</si>
  <si>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</si>
  <si>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</si>
  <si>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</si>
  <si>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</si>
  <si>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</si>
  <si>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</si>
  <si>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</si>
  <si>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</si>
  <si>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</si>
  <si>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</si>
  <si>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</si>
  <si>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</si>
  <si>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</si>
  <si>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</si>
  <si>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</si>
  <si>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</si>
  <si>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</si>
  <si>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</si>
  <si>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</si>
  <si>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</si>
  <si>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</si>
  <si>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Saisissez vos effectifs</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</si>
  <si>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</si>
  <si>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</si>
  <si>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</si>
  <si>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</si>
  <si>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</si>
  <si>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</si>
  <si>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</si>
  <si>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</si>
  <si>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</si>
  <si>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</si>
  <si>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</si>
  <si>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</si>
  <si>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</si>
  <si>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parts</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</si>
  <si>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</si>
  <si>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</si>
  <si>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</si>
  <si>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</si>
  <si>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</si>
  <si>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</si>
  <si>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</si>
  <si>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</si>
  <si>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</si>
  <si>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</si>
  <si>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</si>
  <si>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</si>
  <si>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t>
  </si>
  <si>
    <t>Familles de convives</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</si>
  <si>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</si>
  <si>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</si>
  <si>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</si>
  <si>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</si>
  <si>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</si>
  <si>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</si>
  <si>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</si>
  <si>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</si>
  <si>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</si>
  <si>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</si>
  <si>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</si>
  <si>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</si>
  <si>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</si>
  <si>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</si>
  <si>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</si>
  <si>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</si>
  <si>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</si>
  <si>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</si>
  <si>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</si>
  <si>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</si>
  <si>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</si>
  <si>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</si>
  <si>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</si>
  <si>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</si>
  <si>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</si>
  <si>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</si>
  <si>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</si>
  <si>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</si>
  <si>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</si>
  <si>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</si>
  <si>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</si>
  <si>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</si>
  <si>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</si>
  <si>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</si>
  <si>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</si>
  <si>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</si>
  <si>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</si>
  <si>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</si>
  <si>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</si>
  <si>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</si>
  <si>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</si>
  <si>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</si>
  <si>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</si>
  <si>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</si>
  <si>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</si>
  <si>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</si>
  <si>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</si>
  <si>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</si>
  <si>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</si>
  <si>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</si>
  <si>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</si>
  <si>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</si>
  <si>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</si>
  <si>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</si>
  <si>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</si>
  <si>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</si>
  <si>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</si>
  <si>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</si>
  <si>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</si>
  <si>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</si>
  <si>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</si>
  <si>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</si>
  <si>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</si>
  <si>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</si>
  <si>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</si>
  <si>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</si>
  <si>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</si>
  <si>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</si>
  <si>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</si>
  <si>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</si>
  <si>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</si>
  <si>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</si>
  <si>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❽</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</si>
  <si>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</si>
  <si>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</si>
  <si>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</si>
  <si>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</si>
  <si>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</si>
  <si>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</si>
  <si>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</si>
  <si>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</si>
  <si>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</si>
  <si>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</si>
  <si>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</si>
  <si>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❾</t>
  </si>
  <si>
    <t>Comment convertir en pourcentage</t>
  </si>
  <si>
    <t>https://fr.wikihow.com/convertir-en-pourcentage</t>
  </si>
  <si>
    <t>Comment compter le pourcentage de tête vite et facilement</t>
  </si>
  <si>
    <t>http://calc.name/blog/comment-compter-le-pourcentage-de-tete-vite-et-facilement/</t>
  </si>
  <si>
    <t>❿</t>
  </si>
  <si>
    <t>fabie.info.pagesperso-orange</t>
  </si>
  <si>
    <t>http://www.un-calcul.fr/calcul-comptabilite/comment-calculer-un-pourcentage-338</t>
  </si>
  <si>
    <t>Arrêt du service Pages perso</t>
  </si>
  <si>
    <t>Comment retrouver la valeur de départ ?</t>
  </si>
  <si>
    <t>⓫</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</si>
  <si>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</si>
  <si>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</si>
  <si>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</si>
  <si>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</si>
  <si>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</si>
  <si>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⓬</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</si>
  <si>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</si>
  <si>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</si>
  <si>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</si>
  <si>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</si>
  <si>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</si>
  <si>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</si>
  <si>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</si>
  <si>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⓭</t>
  </si>
  <si>
    <t>mode d'emploi simple pour appliquer un pourcentage d'augmentation avec la Calculatrice de Windows.</t>
  </si>
  <si>
    <t>http://www.astuceshebdo.com/2012/03/comment-calculer-un-pourcentage-cas-n-1.html</t>
  </si>
  <si>
    <t>Grille d’analyse des contrastes d’une charte</t>
  </si>
  <si>
    <t>https://blog.atalan.fr/grille-contrastes-accessibilite-charte-graphique/</t>
  </si>
  <si>
    <t>Contrastes de couleurs de texte</t>
  </si>
  <si>
    <t>https://www.tanaguru.com/contrastes-couleurs-choisir-combinaisons-accessibles/</t>
  </si>
  <si>
    <t>Les 10 meilleures polices d’écriture</t>
  </si>
  <si>
    <t>Palette de couleurs, Excel</t>
  </si>
  <si>
    <t>Utiliser la pipette pour faire correspondre les couleurs de votre diapositive</t>
  </si>
  <si>
    <t>https://www.redacteur.com/blog/polices-ecriture-a-utiliser/</t>
  </si>
  <si>
    <t>https://support.microsoft.com/fr-fr/office/utiliser-la-pipette-pour-faire-correspondre-les-couleurs-de-votre-diapositive-d5e7a32a-da6c-4bed-9f1e-8797f07174e9</t>
  </si>
  <si>
    <t>Codes de couleur HTML sécurisés pour le Web / Tableau de référence</t>
  </si>
  <si>
    <t>https://encycolorpedia.com/websafe</t>
  </si>
  <si>
    <t>Comment utiliser un code couleur dans Excel ?</t>
  </si>
  <si>
    <t>Codes de couleurs HTML / Tableau de référence</t>
  </si>
  <si>
    <t>https://clickup.com/fr-FR/blog/202591/comment-faire-un-code-couleur-dans-excel</t>
  </si>
  <si>
    <t>https://encycolorpedia.com/html</t>
  </si>
  <si>
    <t>https://excel-downloads.com/forums/forum-excel.7/</t>
  </si>
  <si>
    <t>Codes de couleurs nommés / Tableau de référence</t>
  </si>
  <si>
    <t>https://encycolorpedia.com/named</t>
  </si>
  <si>
    <t>L'association de couleurs expliquée en 20 exemples tendance</t>
  </si>
  <si>
    <t>Correspondance des couleurs de peinture et convertisseur</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</si>
  <si>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</si>
  <si>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</si>
  <si>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</si>
  <si>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</si>
  <si>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https://www.iloveimg.com/fr</t>
  </si>
  <si>
    <t>Coul</t>
  </si>
  <si>
    <t>Hex</t>
  </si>
  <si>
    <t>R.rouge</t>
  </si>
  <si>
    <t>V.vert</t>
  </si>
  <si>
    <t>B.bleu</t>
  </si>
  <si>
    <t>Name</t>
  </si>
  <si>
    <t>Désignation</t>
  </si>
  <si>
    <t>[Couleur 1]</t>
  </si>
  <si>
    <t>#000000</t>
  </si>
  <si>
    <t>[Couleur 29]</t>
  </si>
  <si>
    <t># 800080</t>
  </si>
  <si>
    <t>Profond ciel Bleu</t>
  </si>
  <si>
    <t>Azur</t>
  </si>
  <si>
    <t>gris 29</t>
  </si>
  <si>
    <t>Gris foncé.856</t>
  </si>
  <si>
    <t>bisque2</t>
  </si>
  <si>
    <t>Orange clair.341 délavé.429</t>
  </si>
  <si>
    <t>[Couleur 2]</t>
  </si>
  <si>
    <t>#FFFFFF</t>
  </si>
  <si>
    <t>[Couleur 30]</t>
  </si>
  <si>
    <t># 800000</t>
  </si>
  <si>
    <t>Azur clair.023 délavé.795</t>
  </si>
  <si>
    <t>gris 28</t>
  </si>
  <si>
    <t>Gris foncé.868</t>
  </si>
  <si>
    <t>Jaune orangé pâle</t>
  </si>
  <si>
    <t>Orange clair.342 délavé.130</t>
  </si>
  <si>
    <t>[Couleur 3]</t>
  </si>
  <si>
    <t>#FF0000</t>
  </si>
  <si>
    <t>[Couleur 31]</t>
  </si>
  <si>
    <t># 008080</t>
  </si>
  <si>
    <t>ciel Bleu2</t>
  </si>
  <si>
    <t>Azur clair.075 délavé.306</t>
  </si>
  <si>
    <t>gris 27</t>
  </si>
  <si>
    <t>Gris foncé.875</t>
  </si>
  <si>
    <t xml:space="preserve">NavajoBlanc </t>
  </si>
  <si>
    <t>Orange clair.427</t>
  </si>
  <si>
    <t>[Couleur 4]</t>
  </si>
  <si>
    <t>#00FF00</t>
  </si>
  <si>
    <t>[Couleur 32]</t>
  </si>
  <si>
    <t># 0000FF</t>
  </si>
  <si>
    <t>léger ciel Bleu</t>
  </si>
  <si>
    <t>Azur clair.207 délavé.108</t>
  </si>
  <si>
    <t>gris 26</t>
  </si>
  <si>
    <t>Gris foncé.885</t>
  </si>
  <si>
    <t>AntiqueBlanc 2</t>
  </si>
  <si>
    <t>Orange clair.470 délavé.534</t>
  </si>
  <si>
    <t>[Couleur 5]</t>
  </si>
  <si>
    <t>[Couleur 33]</t>
  </si>
  <si>
    <t># 00CCFF</t>
  </si>
  <si>
    <t>Bleu très clair</t>
  </si>
  <si>
    <t>Azur clair.248 délavé.312</t>
  </si>
  <si>
    <t>gris 25</t>
  </si>
  <si>
    <t>Gris foncé.892</t>
  </si>
  <si>
    <t>Bisque</t>
  </si>
  <si>
    <t>Orange clair.560</t>
  </si>
  <si>
    <t>[Couleur 6]</t>
  </si>
  <si>
    <t>[Couleur 34]</t>
  </si>
  <si>
    <t>ciel Bleu1</t>
  </si>
  <si>
    <t>Azur clair.250</t>
  </si>
  <si>
    <t>gris 24</t>
  </si>
  <si>
    <t>Gris foncé.902</t>
  </si>
  <si>
    <t xml:space="preserve">AntiqueBlanc </t>
  </si>
  <si>
    <t>Orange clair.643 délavé.241</t>
  </si>
  <si>
    <t>[Couleur 7]</t>
  </si>
  <si>
    <t>#FF00FF</t>
  </si>
  <si>
    <t>[Couleur 35]</t>
  </si>
  <si>
    <t>Bleu très pâle</t>
  </si>
  <si>
    <t>Azur clair.308 délavé.589</t>
  </si>
  <si>
    <t>gris 23</t>
  </si>
  <si>
    <t>Gris foncé.908</t>
  </si>
  <si>
    <t>AntiqueBlanc 1</t>
  </si>
  <si>
    <t>Orange clair.715</t>
  </si>
  <si>
    <t>[Couleur 8]</t>
  </si>
  <si>
    <t>#00FFFF</t>
  </si>
  <si>
    <t>[Couleur 36]</t>
  </si>
  <si>
    <t>Ardoise gris 2</t>
  </si>
  <si>
    <t>Azur clair.352 délavé.437</t>
  </si>
  <si>
    <t>gris 22</t>
  </si>
  <si>
    <t>Gris foncé.917</t>
  </si>
  <si>
    <t>Lin</t>
  </si>
  <si>
    <t>Orange clair.753 délavé.348</t>
  </si>
  <si>
    <t>[Couleur 9]</t>
  </si>
  <si>
    <t>#800000</t>
  </si>
  <si>
    <t>[Couleur 37]</t>
  </si>
  <si>
    <t># 99CCFF</t>
  </si>
  <si>
    <t>Ardoise gris 1</t>
  </si>
  <si>
    <t>Azur clair.573</t>
  </si>
  <si>
    <t>gris 21</t>
  </si>
  <si>
    <t>Gris foncé.922</t>
  </si>
  <si>
    <t>burlywood</t>
  </si>
  <si>
    <t>Orange foncé.013 délavé.507</t>
  </si>
  <si>
    <t>[Couleur 10]</t>
  </si>
  <si>
    <t>#008000</t>
  </si>
  <si>
    <t>[Couleur 38]</t>
  </si>
  <si>
    <t># FF99CC</t>
  </si>
  <si>
    <t>Blanc</t>
  </si>
  <si>
    <t>Azur clair.798 délavé.919</t>
  </si>
  <si>
    <t>gris 20</t>
  </si>
  <si>
    <t>Gris foncé.930</t>
  </si>
  <si>
    <t>bisque3</t>
  </si>
  <si>
    <t>Orange foncé.031 délavé.724</t>
  </si>
  <si>
    <t>[Couleur 11]</t>
  </si>
  <si>
    <t># 000080</t>
  </si>
  <si>
    <t>[Couleur 39]</t>
  </si>
  <si>
    <t># CC99FF</t>
  </si>
  <si>
    <t>AliceBleu</t>
  </si>
  <si>
    <t>Azur clair.875</t>
  </si>
  <si>
    <t>Gris anthracite</t>
  </si>
  <si>
    <t>Gris foncé.938</t>
  </si>
  <si>
    <t>tan</t>
  </si>
  <si>
    <t>Orange foncé.078 délavé.587</t>
  </si>
  <si>
    <t>[Couleur 12]</t>
  </si>
  <si>
    <t># 808000</t>
  </si>
  <si>
    <t>[Couleur 40]</t>
  </si>
  <si>
    <t># FFCC99</t>
  </si>
  <si>
    <t>Ardoise gris 3</t>
  </si>
  <si>
    <t>Azur foncé.026 délavé.730</t>
  </si>
  <si>
    <t>gris 18</t>
  </si>
  <si>
    <t>Gris foncé.943</t>
  </si>
  <si>
    <t>NavajoBlanc 3</t>
  </si>
  <si>
    <t>Orange foncé.115 délavé.602</t>
  </si>
  <si>
    <t>[Couleur 13]</t>
  </si>
  <si>
    <t>[Couleur 41]</t>
  </si>
  <si>
    <t># 3366FF</t>
  </si>
  <si>
    <t>Profond ciel Bleu2</t>
  </si>
  <si>
    <t>Azur foncé.142</t>
  </si>
  <si>
    <t>gris 17</t>
  </si>
  <si>
    <t>Gris foncé.949</t>
  </si>
  <si>
    <t>Dorérod2</t>
  </si>
  <si>
    <t>Orange foncé.125 délavé.038</t>
  </si>
  <si>
    <t>[Couleur 14]</t>
  </si>
  <si>
    <t>[Couleur 42]</t>
  </si>
  <si>
    <t># 33CCCC</t>
  </si>
  <si>
    <t>Bleu clair</t>
  </si>
  <si>
    <t>Azur foncé.220 délavé.432</t>
  </si>
  <si>
    <t>gris 16</t>
  </si>
  <si>
    <t>Gris foncé.954</t>
  </si>
  <si>
    <t>Jaune orangé moyen</t>
  </si>
  <si>
    <t>Orange foncé.127 délavé.229</t>
  </si>
  <si>
    <t>[Couleur 15]</t>
  </si>
  <si>
    <t># C0C0C0</t>
  </si>
  <si>
    <t>[Couleur 43]</t>
  </si>
  <si>
    <t># 99CC00</t>
  </si>
  <si>
    <t>ciel Bleu3</t>
  </si>
  <si>
    <t>Azur foncé.226 délavé.403</t>
  </si>
  <si>
    <t>gris 15</t>
  </si>
  <si>
    <t>Gris foncé.959</t>
  </si>
  <si>
    <t>SombRouge orérod2</t>
  </si>
  <si>
    <t>Orange foncé.137 délavé.010</t>
  </si>
  <si>
    <t>[Couleur 16]</t>
  </si>
  <si>
    <t># 808080</t>
  </si>
  <si>
    <t>[Couleur 44]</t>
  </si>
  <si>
    <t># FFCC00</t>
  </si>
  <si>
    <t>Bleu pâle</t>
  </si>
  <si>
    <t>Azur foncé.265 délavé.794</t>
  </si>
  <si>
    <t>gris 14</t>
  </si>
  <si>
    <t>Gris foncé.963</t>
  </si>
  <si>
    <t>burlywood3</t>
  </si>
  <si>
    <t>Orange foncé.169 délavé.512</t>
  </si>
  <si>
    <t>[Couleur 17]</t>
  </si>
  <si>
    <t># 9999FF</t>
  </si>
  <si>
    <t>[Couleur 45]</t>
  </si>
  <si>
    <t># FF9900</t>
  </si>
  <si>
    <t>Azur foncé.354 délavé.108</t>
  </si>
  <si>
    <t>gris 13</t>
  </si>
  <si>
    <t>Gris foncé.968</t>
  </si>
  <si>
    <t>Dorérod</t>
  </si>
  <si>
    <t>Orange foncé.277 délavé.042</t>
  </si>
  <si>
    <t>[Couleur 18]</t>
  </si>
  <si>
    <t># 993366</t>
  </si>
  <si>
    <t>[Couleur 46]</t>
  </si>
  <si>
    <t># FF6600</t>
  </si>
  <si>
    <t>ciel Bleu</t>
  </si>
  <si>
    <t>Azur foncé.355 délavé.104</t>
  </si>
  <si>
    <t>gris 12</t>
  </si>
  <si>
    <t>Gris foncé.972</t>
  </si>
  <si>
    <t>Brun jaunâtre clair</t>
  </si>
  <si>
    <t>Orange foncé.305 délavé.441</t>
  </si>
  <si>
    <t>[Couleur 19]</t>
  </si>
  <si>
    <t>#FFFFCC</t>
  </si>
  <si>
    <t>[Couleur 47]</t>
  </si>
  <si>
    <t># 666699</t>
  </si>
  <si>
    <t>Profond ciel Bleu3</t>
  </si>
  <si>
    <t>Azur foncé.382</t>
  </si>
  <si>
    <t>gris 11</t>
  </si>
  <si>
    <t>Gris foncé.976</t>
  </si>
  <si>
    <t>Brun jaunâtre clair grisâtre</t>
  </si>
  <si>
    <t>Orange foncé.337 délavé.696</t>
  </si>
  <si>
    <t>[Couleur 20]</t>
  </si>
  <si>
    <t>[Couleur 48]</t>
  </si>
  <si>
    <t># 969696</t>
  </si>
  <si>
    <t>Bleu acier</t>
  </si>
  <si>
    <t>Azur foncé.456 délavé.163</t>
  </si>
  <si>
    <t>gris 10</t>
  </si>
  <si>
    <t>Gris foncé.979</t>
  </si>
  <si>
    <t>Dorérod3</t>
  </si>
  <si>
    <t>Orange foncé.369 délavé.040</t>
  </si>
  <si>
    <t>[Couleur 21]</t>
  </si>
  <si>
    <t># 660066</t>
  </si>
  <si>
    <t>[Couleur 49]</t>
  </si>
  <si>
    <t># 003366</t>
  </si>
  <si>
    <t xml:space="preserve">léger Ardoise gris </t>
  </si>
  <si>
    <t>Azur foncé.481 délavé.738</t>
  </si>
  <si>
    <t>gris 9</t>
  </si>
  <si>
    <t>Gris foncé.982</t>
  </si>
  <si>
    <t>SombRouge orérod3</t>
  </si>
  <si>
    <t>Orange foncé.378 délavé.012</t>
  </si>
  <si>
    <t>[Couleur 22]</t>
  </si>
  <si>
    <t># FF8080</t>
  </si>
  <si>
    <t>[Couleur 50]</t>
  </si>
  <si>
    <t>#339966</t>
  </si>
  <si>
    <t xml:space="preserve">Ardoise gris </t>
  </si>
  <si>
    <t>Azur foncé.544 délavé.739</t>
  </si>
  <si>
    <t>gris 8</t>
  </si>
  <si>
    <t>Gris foncé.986</t>
  </si>
  <si>
    <t>CSS Or</t>
  </si>
  <si>
    <t>Orange foncé.388</t>
  </si>
  <si>
    <t>[Couleur 23]</t>
  </si>
  <si>
    <t># 0066CC</t>
  </si>
  <si>
    <t>[Couleur 52]</t>
  </si>
  <si>
    <t># 333300</t>
  </si>
  <si>
    <t>Ardoise gris 4</t>
  </si>
  <si>
    <t>Azur foncé.577 délavé.739</t>
  </si>
  <si>
    <t>gris 7</t>
  </si>
  <si>
    <t>Gris foncé.988</t>
  </si>
  <si>
    <t>Jaune orangé foncé</t>
  </si>
  <si>
    <t>Orange foncé.427 délavé.171</t>
  </si>
  <si>
    <t>[Couleur 24]</t>
  </si>
  <si>
    <t># CCCCFF</t>
  </si>
  <si>
    <t>[Couleur 53]</t>
  </si>
  <si>
    <t># 993300</t>
  </si>
  <si>
    <t>Gris de Payne</t>
  </si>
  <si>
    <t>Azur foncé.660 délavé.833</t>
  </si>
  <si>
    <t>gris 6</t>
  </si>
  <si>
    <t>Gris foncé.991</t>
  </si>
  <si>
    <t>SombRouge orérod</t>
  </si>
  <si>
    <t>Orange foncé.509 délavé.013</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</si>
  <si>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</si>
  <si>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</si>
  <si>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</si>
  <si>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</si>
  <si>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</si>
  <si>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</si>
  <si>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</si>
  <si>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</si>
  <si>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</si>
  <si>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</si>
  <si>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</si>
  <si>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</si>
  <si>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</si>
  <si>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</si>
  <si>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</si>
  <si>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</si>
  <si>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</si>
  <si>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</si>
  <si>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[Couleur 27]</t>
  </si>
  <si>
    <t># FFFF00</t>
  </si>
  <si>
    <t>[Couleur 56]</t>
  </si>
  <si>
    <t># 333333</t>
  </si>
  <si>
    <t>Bleu grisâtre</t>
  </si>
  <si>
    <t>Azur foncé.714 délavé.635</t>
  </si>
  <si>
    <t>gris 3</t>
  </si>
  <si>
    <t>Gris foncé.995</t>
  </si>
  <si>
    <t>Terre de Sienne brûlée</t>
  </si>
  <si>
    <t>Orange foncé.574 délavé.526</t>
  </si>
  <si>
    <t>[Couleur 28]</t>
  </si>
  <si>
    <t># 00FFFF</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</si>
  <si>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</si>
  <si>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</si>
  <si>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</si>
  <si>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</si>
  <si>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</si>
  <si>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</si>
  <si>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</si>
  <si>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</si>
  <si>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</si>
  <si>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</si>
  <si>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</si>
  <si>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</si>
  <si>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</si>
  <si>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</si>
  <si>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</si>
  <si>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</si>
  <si>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Jaune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</si>
  <si>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</si>
  <si>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</si>
  <si>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</si>
  <si>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</si>
  <si>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</si>
  <si>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</si>
  <si>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</si>
  <si>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</si>
  <si>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</si>
  <si>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</si>
  <si>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</si>
  <si>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</si>
  <si>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</si>
  <si>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</si>
  <si>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</si>
  <si>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</si>
  <si>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</si>
  <si>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</si>
  <si>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</si>
  <si>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</si>
  <si>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</si>
  <si>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</si>
  <si>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</si>
  <si>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</si>
  <si>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</si>
  <si>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</si>
  <si>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</si>
  <si>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</si>
  <si>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</si>
  <si>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</si>
  <si>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</si>
  <si>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</si>
  <si>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</si>
  <si>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</si>
  <si>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</si>
  <si>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</si>
  <si>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</si>
  <si>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</si>
  <si>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</si>
  <si>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</si>
  <si>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</si>
  <si>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</si>
  <si>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</si>
  <si>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</si>
  <si>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</si>
  <si>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</si>
  <si>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</si>
  <si>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</si>
  <si>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</si>
  <si>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</si>
  <si>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</si>
  <si>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</si>
  <si>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</si>
  <si>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</si>
  <si>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</si>
  <si>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</si>
  <si>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</si>
  <si>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</si>
  <si>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</si>
  <si>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</si>
  <si>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</si>
  <si>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</si>
  <si>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</si>
  <si>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</si>
  <si>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</si>
  <si>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</si>
  <si>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</si>
  <si>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</si>
  <si>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</si>
  <si>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</si>
  <si>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</si>
  <si>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</si>
  <si>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</si>
  <si>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</si>
  <si>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</si>
  <si>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</si>
  <si>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</si>
  <si>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</si>
  <si>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</si>
  <si>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</si>
  <si>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</si>
  <si>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</si>
  <si>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</si>
  <si>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</si>
  <si>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</si>
  <si>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</si>
  <si>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</si>
  <si>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</si>
  <si>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</si>
  <si>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</si>
  <si>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</si>
  <si>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</si>
  <si>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</si>
  <si>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</si>
  <si>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</si>
  <si>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</si>
  <si>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</si>
  <si>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</si>
  <si>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</si>
  <si>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</si>
  <si>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</si>
  <si>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</si>
  <si>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</si>
  <si>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</si>
  <si>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</si>
  <si>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</si>
  <si>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</si>
  <si>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</si>
  <si>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</si>
  <si>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</si>
  <si>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</si>
  <si>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</si>
  <si>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</si>
  <si>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</si>
  <si>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</si>
  <si>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</si>
  <si>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</si>
  <si>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</si>
  <si>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</si>
  <si>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</si>
  <si>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</si>
  <si>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</si>
  <si>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</si>
  <si>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</si>
  <si>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</si>
  <si>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</si>
  <si>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</si>
  <si>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</si>
  <si>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</si>
  <si>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</si>
  <si>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</si>
  <si>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</si>
  <si>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</si>
  <si>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</si>
  <si>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</si>
  <si>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</si>
  <si>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</si>
  <si>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</si>
  <si>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</si>
  <si>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</si>
  <si>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</si>
  <si>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</si>
  <si>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</si>
  <si>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</si>
  <si>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</si>
  <si>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</si>
  <si>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</si>
  <si>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</si>
  <si>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</si>
  <si>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</si>
  <si>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</si>
  <si>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</si>
  <si>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</si>
  <si>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</si>
  <si>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</si>
  <si>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</si>
  <si>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</si>
  <si>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</si>
  <si>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</si>
  <si>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</si>
  <si>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</si>
  <si>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</si>
  <si>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</si>
  <si>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</si>
  <si>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</si>
  <si>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</si>
  <si>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</si>
  <si>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</si>
  <si>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</si>
  <si>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</si>
  <si>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</si>
  <si>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</si>
  <si>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</si>
  <si>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</si>
  <si>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</si>
  <si>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</si>
  <si>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</si>
  <si>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</si>
  <si>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</si>
  <si>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</si>
  <si>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</si>
  <si>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</si>
  <si>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</si>
  <si>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</si>
  <si>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</si>
  <si>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</si>
  <si>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</si>
  <si>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</si>
  <si>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</si>
  <si>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</si>
  <si>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</si>
  <si>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</si>
  <si>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</si>
  <si>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</si>
  <si>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</si>
  <si>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</si>
  <si>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</si>
  <si>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</si>
  <si>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</si>
  <si>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</si>
  <si>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</si>
  <si>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</si>
  <si>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</si>
  <si>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</si>
  <si>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</si>
  <si>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</si>
  <si>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</si>
  <si>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</si>
  <si>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</si>
  <si>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</si>
  <si>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</si>
  <si>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</si>
  <si>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</si>
  <si>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</si>
  <si>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</si>
  <si>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</si>
  <si>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</si>
  <si>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</si>
  <si>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</si>
  <si>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</si>
  <si>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</si>
  <si>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</si>
  <si>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</si>
  <si>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</si>
  <si>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</si>
  <si>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</si>
  <si>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</si>
  <si>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</si>
  <si>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</si>
  <si>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</si>
  <si>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</si>
  <si>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</si>
  <si>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</si>
  <si>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</si>
  <si>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</si>
  <si>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</si>
  <si>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</si>
  <si>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</si>
  <si>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</si>
  <si>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</si>
  <si>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</si>
  <si>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</si>
  <si>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</si>
  <si>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</si>
  <si>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</si>
  <si>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</si>
  <si>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</si>
  <si>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</si>
  <si>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</si>
  <si>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</si>
  <si>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</si>
  <si>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</si>
  <si>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</si>
  <si>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</si>
  <si>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</si>
  <si>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</si>
  <si>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</si>
  <si>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</si>
  <si>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</si>
  <si>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</si>
  <si>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</si>
  <si>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</si>
  <si>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</si>
  <si>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</si>
  <si>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</si>
  <si>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</si>
  <si>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</si>
  <si>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</si>
  <si>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</si>
  <si>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</si>
  <si>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</si>
  <si>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</si>
  <si>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</si>
  <si>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</si>
  <si>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</si>
  <si>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</si>
  <si>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</si>
  <si>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</si>
  <si>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</si>
  <si>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</si>
  <si>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</si>
  <si>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</si>
  <si>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</si>
  <si>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</si>
  <si>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</si>
  <si>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</si>
  <si>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</si>
  <si>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</si>
  <si>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</si>
  <si>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</si>
  <si>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</si>
  <si>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</si>
  <si>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</si>
  <si>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</si>
  <si>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</si>
  <si>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</si>
  <si>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</si>
  <si>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</si>
  <si>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</si>
  <si>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</si>
  <si>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</si>
  <si>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</si>
  <si>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</si>
  <si>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</si>
  <si>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</si>
  <si>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</si>
  <si>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</si>
  <si>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</si>
  <si>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</si>
  <si>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</si>
  <si>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</si>
  <si>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</si>
  <si>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</si>
  <si>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</si>
  <si>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</si>
  <si>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</si>
  <si>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</si>
  <si>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</si>
  <si>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</si>
  <si>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</si>
  <si>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</si>
  <si>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</si>
  <si>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</si>
  <si>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</si>
  <si>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</si>
  <si>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</si>
  <si>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</si>
  <si>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</si>
  <si>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</si>
  <si>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</si>
  <si>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</si>
  <si>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</si>
  <si>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</si>
  <si>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</si>
  <si>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</si>
  <si>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</si>
  <si>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</si>
  <si>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</si>
  <si>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</si>
  <si>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</si>
  <si>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</si>
  <si>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</si>
  <si>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</si>
  <si>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</si>
  <si>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</si>
  <si>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</si>
  <si>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</si>
  <si>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</si>
  <si>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</si>
  <si>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</si>
  <si>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</si>
  <si>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</si>
  <si>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</si>
  <si>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</si>
  <si>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</si>
  <si>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</si>
  <si>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</si>
  <si>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</si>
  <si>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</si>
  <si>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</si>
  <si>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</si>
  <si>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</si>
  <si>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</si>
  <si>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</si>
  <si>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</si>
  <si>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</si>
  <si>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</si>
  <si>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</si>
  <si>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</si>
  <si>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</si>
  <si>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</si>
  <si>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</si>
  <si>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</si>
  <si>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</si>
  <si>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</si>
  <si>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</si>
  <si>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</si>
  <si>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</si>
  <si>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</si>
  <si>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</si>
  <si>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</si>
  <si>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</si>
  <si>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</si>
  <si>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</si>
  <si>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</si>
  <si>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</si>
  <si>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</si>
  <si>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</si>
  <si>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</si>
  <si>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</si>
  <si>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</si>
  <si>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</si>
  <si>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</si>
  <si>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</si>
  <si>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</si>
  <si>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</si>
  <si>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</si>
  <si>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</si>
  <si>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</si>
  <si>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</si>
  <si>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</si>
  <si>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</si>
  <si>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</si>
  <si>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</si>
  <si>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</si>
  <si>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</si>
  <si>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</si>
  <si>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</si>
  <si>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</si>
  <si>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</si>
  <si>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</si>
  <si>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</si>
  <si>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</si>
  <si>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</si>
  <si>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</si>
  <si>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</si>
  <si>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</si>
  <si>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</si>
  <si>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</si>
  <si>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</si>
  <si>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</si>
  <si>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</si>
  <si>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</si>
  <si>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</si>
  <si>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</si>
  <si>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</si>
  <si>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</si>
  <si>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</si>
  <si>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</si>
  <si>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</si>
  <si>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</si>
  <si>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</si>
  <si>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</si>
  <si>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</si>
  <si>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</si>
  <si>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</si>
  <si>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</si>
  <si>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</si>
  <si>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</si>
  <si>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</si>
  <si>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</si>
  <si>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</si>
  <si>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</si>
  <si>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</si>
  <si>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</si>
  <si>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</si>
  <si>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</si>
  <si>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</si>
  <si>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</si>
  <si>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</si>
  <si>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</si>
  <si>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</si>
  <si>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</si>
  <si>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</si>
  <si>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</si>
  <si>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</si>
  <si>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</si>
  <si>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</si>
  <si>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</si>
  <si>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</si>
  <si>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</si>
  <si>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</si>
  <si>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</si>
  <si>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</si>
  <si>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</si>
  <si>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</si>
  <si>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</si>
  <si>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</si>
  <si>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</si>
  <si>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</si>
  <si>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</si>
  <si>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</si>
  <si>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</si>
  <si>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</si>
  <si>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</si>
  <si>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</si>
  <si>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</si>
  <si>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</si>
  <si>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</si>
  <si>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</si>
  <si>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</si>
  <si>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</si>
  <si>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</si>
  <si>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</si>
  <si>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</si>
  <si>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</si>
  <si>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</si>
  <si>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</si>
  <si>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</si>
  <si>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</si>
  <si>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</si>
  <si>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</si>
  <si>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</si>
  <si>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</si>
  <si>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</si>
  <si>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</si>
  <si>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</si>
  <si>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</si>
  <si>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</si>
  <si>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</si>
  <si>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</si>
  <si>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</si>
  <si>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</si>
  <si>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</si>
  <si>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</si>
  <si>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</si>
  <si>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</si>
  <si>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</si>
  <si>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</si>
  <si>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</si>
  <si>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</si>
  <si>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</si>
  <si>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</si>
  <si>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</si>
  <si>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</si>
  <si>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</si>
  <si>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</si>
  <si>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</si>
  <si>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</si>
  <si>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</si>
  <si>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</si>
  <si>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</si>
  <si>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</si>
  <si>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</si>
  <si>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</si>
  <si>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</si>
  <si>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</si>
  <si>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</si>
  <si>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</si>
  <si>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</si>
  <si>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</si>
  <si>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</si>
  <si>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</si>
  <si>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</si>
  <si>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</si>
  <si>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</si>
  <si>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</si>
  <si>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</si>
  <si>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</si>
  <si>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</si>
  <si>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</si>
  <si>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</si>
  <si>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</si>
  <si>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</si>
  <si>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</si>
  <si>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</si>
  <si>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</si>
  <si>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</si>
  <si>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</si>
  <si>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</si>
  <si>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</si>
  <si>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</si>
  <si>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</si>
  <si>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</si>
  <si>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</si>
  <si>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</si>
  <si>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</si>
  <si>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</si>
  <si>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</si>
  <si>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</si>
  <si>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</si>
  <si>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</si>
  <si>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</si>
  <si>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</si>
  <si>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</si>
  <si>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</si>
  <si>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</si>
  <si>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</si>
  <si>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</si>
  <si>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</si>
  <si>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</si>
  <si>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</si>
  <si>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</si>
  <si>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</si>
  <si>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</si>
  <si>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</si>
  <si>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</si>
  <si>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</si>
  <si>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</si>
  <si>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</si>
  <si>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</si>
  <si>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</si>
  <si>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</si>
  <si>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</si>
  <si>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</si>
  <si>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</si>
  <si>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</si>
  <si>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</si>
  <si>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</si>
  <si>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</si>
  <si>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</si>
  <si>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</si>
  <si>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</si>
  <si>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</si>
  <si>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</si>
  <si>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</si>
  <si>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</si>
  <si>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</si>
  <si>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</si>
  <si>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</si>
  <si>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</si>
  <si>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</si>
  <si>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</si>
  <si>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</si>
  <si>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</si>
  <si>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</si>
  <si>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</si>
  <si>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</si>
  <si>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</si>
  <si>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</si>
  <si>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</si>
  <si>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</si>
  <si>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</si>
  <si>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</si>
  <si>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</si>
  <si>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</si>
  <si>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</si>
  <si>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</si>
  <si>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</si>
  <si>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</si>
  <si>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</si>
  <si>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</si>
  <si>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</si>
  <si>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</si>
  <si>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</si>
  <si>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</si>
  <si>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</si>
  <si>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</si>
  <si>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</si>
  <si>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</si>
  <si>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</si>
  <si>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</si>
  <si>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</si>
  <si>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</si>
  <si>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</si>
  <si>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</si>
  <si>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</si>
  <si>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</si>
  <si>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</si>
  <si>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</si>
  <si>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</si>
  <si>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</si>
  <si>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</si>
  <si>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</si>
  <si>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</si>
  <si>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</si>
  <si>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</si>
  <si>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</si>
  <si>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</si>
  <si>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</si>
  <si>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</si>
  <si>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</si>
  <si>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</si>
  <si>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</si>
  <si>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</si>
  <si>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</si>
  <si>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</si>
  <si>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</si>
  <si>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</si>
  <si>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</si>
  <si>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</si>
  <si>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</si>
  <si>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</si>
  <si>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</si>
  <si>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</si>
  <si>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</si>
  <si>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</si>
  <si>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</si>
  <si>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</si>
  <si>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</si>
  <si>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</si>
  <si>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</si>
  <si>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</si>
  <si>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</si>
  <si>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</si>
  <si>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</si>
  <si>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</si>
  <si>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</si>
  <si>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</si>
  <si>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</si>
  <si>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</si>
  <si>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</si>
  <si>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</si>
  <si>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</si>
  <si>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</si>
  <si>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</si>
  <si>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</si>
  <si>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</si>
  <si>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</si>
  <si>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</si>
  <si>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</si>
  <si>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</si>
  <si>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</si>
  <si>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</si>
  <si>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</si>
  <si>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</si>
  <si>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</si>
  <si>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</si>
  <si>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</si>
  <si>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</si>
  <si>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</si>
  <si>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</si>
  <si>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</si>
  <si>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</si>
  <si>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</si>
  <si>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</si>
  <si>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</si>
  <si>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</si>
  <si>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</si>
  <si>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</si>
  <si>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</si>
  <si>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</si>
  <si>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</si>
  <si>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</si>
  <si>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</si>
  <si>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</si>
  <si>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</si>
  <si>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</si>
  <si>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</si>
  <si>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</si>
  <si>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</si>
  <si>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</si>
  <si>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</si>
  <si>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</si>
  <si>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</si>
  <si>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</si>
  <si>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</si>
  <si>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</si>
  <si>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</si>
  <si>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</si>
  <si>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</si>
  <si>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</si>
  <si>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</si>
  <si>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</si>
  <si>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</si>
  <si>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</si>
  <si>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</si>
  <si>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</si>
  <si>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</si>
  <si>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</si>
  <si>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</si>
  <si>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</si>
  <si>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</si>
  <si>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</si>
  <si>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</si>
  <si>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</si>
  <si>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</si>
  <si>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</si>
  <si>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</si>
  <si>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</si>
  <si>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</si>
  <si>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</si>
  <si>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</si>
  <si>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</si>
  <si>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</si>
  <si>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</si>
  <si>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</si>
  <si>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</si>
  <si>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</si>
  <si>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</si>
  <si>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</si>
  <si>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</si>
  <si>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</si>
  <si>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</si>
  <si>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</si>
  <si>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</si>
  <si>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</si>
  <si>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</si>
  <si>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</si>
  <si>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</si>
  <si>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</si>
  <si>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</si>
  <si>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</si>
  <si>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</si>
  <si>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</si>
  <si>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</si>
  <si>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</si>
  <si>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</si>
  <si>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</si>
  <si>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</si>
  <si>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</si>
  <si>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</si>
  <si>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</si>
  <si>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</si>
  <si>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</si>
  <si>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</si>
  <si>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</si>
  <si>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</si>
  <si>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</si>
  <si>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</si>
  <si>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</si>
  <si>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</si>
  <si>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</si>
  <si>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</si>
  <si>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</si>
  <si>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</si>
  <si>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</si>
  <si>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</si>
  <si>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</si>
  <si>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</si>
  <si>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</si>
  <si>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</si>
  <si>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</si>
  <si>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</si>
  <si>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</si>
  <si>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</si>
  <si>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</si>
  <si>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</si>
  <si>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</si>
  <si>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</si>
  <si>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</si>
  <si>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</si>
  <si>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</si>
  <si>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</si>
  <si>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</si>
  <si>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</si>
  <si>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</si>
  <si>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</si>
  <si>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</si>
  <si>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</si>
  <si>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</si>
  <si>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</si>
  <si>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</si>
  <si>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</si>
  <si>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</si>
  <si>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</si>
  <si>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</si>
  <si>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</si>
  <si>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</si>
  <si>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</si>
  <si>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</si>
  <si>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</si>
  <si>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</si>
  <si>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</si>
  <si>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</si>
  <si>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</si>
  <si>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</si>
  <si>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</si>
  <si>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</si>
  <si>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</si>
  <si>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</si>
  <si>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</si>
  <si>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</si>
  <si>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</si>
  <si>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</si>
  <si>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</si>
  <si>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</si>
  <si>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</si>
  <si>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</si>
  <si>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</si>
  <si>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</si>
  <si>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</si>
  <si>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</si>
  <si>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</si>
  <si>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</si>
  <si>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</si>
  <si>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</si>
  <si>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</si>
  <si>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</si>
  <si>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</si>
  <si>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</si>
  <si>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</si>
  <si>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</si>
  <si>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</si>
  <si>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</si>
  <si>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</si>
  <si>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</si>
  <si>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</si>
  <si>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</si>
  <si>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</si>
  <si>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</si>
  <si>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</si>
  <si>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</si>
  <si>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</si>
  <si>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</si>
  <si>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</si>
  <si>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</si>
  <si>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</si>
  <si>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</si>
  <si>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</si>
  <si>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</si>
  <si>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</si>
  <si>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</si>
  <si>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</si>
  <si>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</si>
  <si>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</si>
  <si>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</si>
  <si>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</si>
  <si>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</si>
  <si>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</si>
  <si>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</si>
  <si>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</si>
  <si>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</si>
  <si>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</si>
  <si>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</si>
  <si>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</si>
  <si>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</si>
  <si>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</si>
  <si>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</si>
  <si>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</si>
  <si>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</si>
  <si>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</si>
  <si>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</si>
  <si>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</si>
  <si>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</si>
  <si>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</si>
  <si>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</si>
  <si>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</si>
  <si>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</si>
  <si>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</si>
  <si>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</si>
  <si>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</si>
  <si>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</si>
  <si>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</si>
  <si>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</si>
  <si>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</si>
  <si>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</si>
  <si>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</si>
  <si>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</si>
  <si>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</si>
  <si>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</si>
  <si>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</si>
  <si>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</si>
  <si>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</si>
  <si>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</si>
  <si>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</si>
  <si>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</si>
  <si>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</si>
  <si>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</si>
  <si>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</si>
  <si>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</si>
  <si>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</si>
  <si>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</si>
  <si>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</si>
  <si>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</si>
  <si>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</si>
  <si>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</si>
  <si>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</si>
  <si>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</si>
  <si>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</si>
  <si>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</si>
  <si>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</si>
  <si>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</si>
  <si>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</si>
  <si>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</si>
  <si>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</si>
  <si>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</si>
  <si>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</si>
  <si>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</si>
  <si>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</si>
  <si>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</si>
  <si>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</si>
  <si>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</si>
  <si>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</si>
  <si>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</si>
  <si>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</si>
  <si>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</si>
  <si>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</si>
  <si>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</si>
  <si>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</si>
  <si>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</si>
  <si>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</si>
  <si>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</si>
  <si>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</si>
  <si>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</si>
  <si>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</si>
  <si>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</si>
  <si>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</si>
  <si>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</si>
  <si>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</si>
  <si>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</si>
  <si>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</si>
  <si>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</si>
  <si>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</si>
  <si>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</si>
  <si>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</si>
  <si>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</si>
  <si>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</si>
  <si>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</si>
  <si>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</si>
  <si>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</si>
  <si>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</si>
  <si>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</si>
  <si>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</si>
  <si>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</si>
  <si>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</si>
  <si>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</si>
  <si>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</si>
  <si>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</si>
  <si>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</si>
  <si>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</si>
  <si>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</si>
  <si>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</si>
  <si>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</si>
  <si>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</si>
  <si>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</si>
  <si>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</si>
  <si>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</si>
  <si>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</si>
  <si>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</si>
  <si>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</si>
  <si>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</si>
  <si>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</si>
  <si>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</si>
  <si>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</si>
  <si>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</si>
  <si>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</si>
  <si>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</si>
  <si>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</si>
  <si>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</si>
  <si>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</si>
  <si>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</si>
  <si>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</si>
  <si>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</si>
  <si>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</si>
  <si>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</si>
  <si>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</si>
  <si>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</si>
  <si>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</si>
  <si>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</si>
  <si>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</si>
  <si>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</si>
  <si>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</si>
  <si>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</si>
  <si>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</si>
  <si>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</si>
  <si>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</si>
  <si>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</si>
  <si>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</si>
  <si>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</si>
  <si>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</si>
  <si>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</si>
  <si>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</si>
  <si>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</si>
  <si>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</si>
  <si>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</si>
  <si>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</si>
  <si>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</si>
  <si>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</si>
  <si>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</si>
  <si>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</si>
  <si>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</si>
  <si>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</si>
  <si>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</si>
  <si>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</si>
  <si>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</si>
  <si>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</si>
  <si>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</si>
  <si>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</si>
  <si>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</si>
  <si>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</si>
  <si>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</si>
  <si>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</si>
  <si>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</si>
  <si>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</si>
  <si>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</si>
  <si>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</si>
  <si>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</si>
  <si>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</si>
  <si>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</si>
  <si>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</si>
  <si>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</si>
  <si>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</si>
  <si>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</si>
  <si>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</si>
  <si>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</si>
  <si>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</si>
  <si>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</si>
  <si>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</si>
  <si>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</si>
  <si>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</si>
  <si>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</si>
  <si>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</si>
  <si>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</si>
  <si>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</si>
  <si>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</si>
  <si>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</si>
  <si>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</si>
  <si>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</si>
  <si>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</si>
  <si>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</si>
  <si>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</si>
  <si>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</si>
  <si>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</si>
  <si>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</si>
  <si>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</si>
  <si>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</si>
  <si>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</si>
  <si>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</si>
  <si>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</si>
  <si>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</si>
  <si>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</si>
  <si>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</si>
  <si>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</si>
  <si>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</si>
  <si>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</si>
  <si>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</si>
  <si>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</si>
  <si>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</si>
  <si>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</si>
  <si>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</si>
  <si>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</si>
  <si>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</si>
  <si>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</si>
  <si>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</si>
  <si>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</si>
  <si>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</si>
  <si>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</si>
  <si>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</si>
  <si>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</si>
  <si>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</si>
  <si>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</si>
  <si>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</si>
  <si>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</si>
  <si>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</si>
  <si>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</si>
  <si>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</si>
  <si>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</si>
  <si>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</si>
  <si>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</si>
  <si>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</si>
  <si>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</si>
  <si>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</si>
  <si>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</si>
  <si>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</si>
  <si>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</si>
  <si>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</si>
  <si>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</si>
  <si>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</si>
  <si>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</si>
  <si>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</si>
  <si>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</si>
  <si>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</si>
  <si>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</si>
  <si>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</si>
  <si>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</si>
  <si>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</si>
  <si>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</si>
  <si>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</si>
  <si>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</si>
  <si>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</si>
  <si>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</si>
  <si>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</si>
  <si>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</si>
  <si>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</si>
  <si>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</si>
  <si>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</si>
  <si>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</si>
  <si>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</si>
  <si>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</si>
  <si>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</si>
  <si>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</si>
  <si>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</si>
  <si>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</si>
  <si>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</si>
  <si>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</si>
  <si>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</si>
  <si>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</si>
  <si>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</si>
  <si>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</si>
  <si>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</si>
  <si>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</si>
  <si>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</si>
  <si>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</si>
  <si>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</si>
  <si>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</si>
  <si>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</si>
  <si>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</si>
  <si>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</si>
  <si>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</si>
  <si>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</si>
  <si>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</si>
  <si>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</si>
  <si>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</si>
  <si>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</si>
  <si>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</si>
  <si>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</si>
  <si>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</si>
  <si>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</si>
  <si>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</si>
  <si>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</si>
  <si>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</si>
  <si>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</si>
  <si>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</si>
  <si>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</si>
  <si>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</si>
  <si>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</si>
  <si>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</si>
  <si>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</si>
  <si>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</si>
  <si>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</si>
  <si>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</si>
  <si>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</si>
  <si>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</si>
  <si>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</si>
  <si>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</si>
  <si>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</si>
  <si>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</si>
  <si>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</si>
  <si>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</si>
  <si>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</si>
  <si>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</si>
  <si>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</si>
  <si>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</si>
  <si>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</si>
  <si>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</si>
  <si>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</si>
  <si>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</si>
  <si>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</si>
  <si>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</si>
  <si>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</si>
  <si>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</si>
  <si>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</si>
  <si>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</si>
  <si>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</si>
  <si>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</si>
  <si>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</si>
  <si>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</si>
  <si>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</si>
  <si>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</si>
  <si>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</si>
  <si>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</si>
  <si>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</si>
  <si>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</si>
  <si>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</si>
  <si>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</si>
  <si>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</si>
  <si>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</si>
  <si>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</si>
  <si>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</si>
  <si>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</si>
  <si>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</si>
  <si>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</si>
  <si>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</si>
  <si>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</si>
  <si>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</si>
  <si>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</si>
  <si>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</si>
  <si>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</si>
  <si>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</si>
  <si>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</si>
  <si>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</si>
  <si>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</si>
  <si>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</si>
  <si>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</si>
  <si>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</si>
  <si>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</si>
  <si>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</si>
  <si>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</si>
  <si>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</si>
  <si>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</si>
  <si>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</si>
  <si>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</si>
  <si>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</si>
  <si>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</si>
  <si>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</si>
  <si>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</si>
  <si>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</si>
  <si>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</si>
  <si>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</si>
  <si>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</si>
  <si>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</si>
  <si>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</si>
  <si>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</si>
  <si>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</si>
  <si>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</si>
  <si>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</si>
  <si>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</si>
  <si>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</si>
  <si>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</si>
  <si>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</si>
  <si>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</si>
  <si>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</si>
  <si>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</si>
  <si>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</si>
  <si>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</si>
  <si>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</si>
  <si>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</si>
  <si>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</si>
  <si>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</si>
  <si>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</si>
  <si>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</si>
  <si>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</si>
  <si>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</si>
  <si>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</si>
  <si>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</si>
  <si>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</si>
  <si>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</si>
  <si>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</si>
  <si>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</si>
  <si>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</si>
  <si>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</si>
  <si>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</si>
  <si>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</si>
  <si>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</si>
  <si>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</si>
  <si>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</si>
  <si>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</si>
  <si>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</si>
  <si>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</si>
  <si>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</si>
  <si>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</si>
  <si>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</si>
  <si>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</si>
  <si>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</si>
  <si>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</si>
  <si>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</si>
  <si>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</si>
  <si>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</si>
  <si>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</si>
  <si>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</si>
  <si>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</si>
  <si>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</si>
  <si>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</si>
  <si>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</si>
  <si>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</si>
  <si>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</si>
  <si>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</si>
  <si>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</si>
  <si>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</si>
  <si>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</si>
  <si>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</si>
  <si>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</si>
  <si>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</si>
  <si>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</si>
  <si>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</si>
  <si>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</si>
  <si>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</si>
  <si>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</si>
  <si>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</si>
  <si>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</si>
  <si>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</si>
  <si>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</si>
  <si>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</si>
  <si>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</si>
  <si>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</si>
  <si>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</si>
  <si>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</si>
  <si>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</si>
  <si>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</si>
  <si>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</si>
  <si>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</si>
  <si>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</si>
  <si>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</si>
  <si>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</si>
  <si>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</si>
  <si>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</si>
  <si>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</si>
  <si>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</si>
  <si>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</si>
  <si>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</si>
  <si>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</si>
  <si>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</si>
  <si>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</si>
  <si>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</si>
  <si>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</si>
  <si>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</si>
  <si>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</si>
  <si>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</si>
  <si>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</si>
  <si>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</si>
  <si>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</si>
  <si>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</si>
  <si>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</si>
  <si>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</si>
  <si>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</si>
  <si>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</si>
  <si>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</si>
  <si>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</si>
  <si>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</si>
  <si>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</si>
  <si>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</si>
  <si>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</si>
  <si>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</si>
  <si>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</si>
  <si>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</si>
  <si>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</si>
  <si>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</si>
  <si>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</si>
  <si>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</si>
  <si>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</si>
  <si>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</si>
  <si>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</si>
  <si>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</si>
  <si>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</si>
  <si>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</si>
  <si>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</si>
  <si>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</si>
  <si>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</si>
  <si>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</si>
  <si>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</si>
  <si>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</si>
  <si>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</si>
  <si>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</si>
  <si>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</si>
  <si>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</si>
  <si>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</si>
  <si>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</si>
  <si>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</si>
  <si>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</si>
  <si>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</si>
  <si>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</si>
  <si>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</si>
  <si>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</si>
  <si>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</si>
  <si>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</si>
  <si>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</si>
  <si>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</si>
  <si>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</si>
  <si>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</si>
  <si>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</si>
  <si>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</si>
  <si>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</si>
  <si>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</si>
  <si>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</si>
  <si>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</si>
  <si>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</si>
  <si>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</si>
  <si>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</si>
  <si>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</si>
  <si>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</si>
  <si>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</si>
  <si>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</si>
  <si>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</si>
  <si>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</si>
  <si>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</si>
  <si>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</si>
  <si>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</si>
  <si>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</si>
  <si>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</si>
  <si>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</si>
  <si>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</si>
  <si>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</si>
  <si>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</si>
  <si>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</si>
  <si>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</si>
  <si>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</si>
  <si>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</si>
  <si>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</si>
  <si>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</si>
  <si>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</si>
  <si>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</si>
  <si>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</si>
  <si>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</si>
  <si>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</si>
  <si>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</si>
  <si>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</si>
  <si>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</si>
  <si>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</si>
  <si>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</si>
  <si>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</si>
  <si>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</si>
  <si>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</si>
  <si>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</si>
  <si>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</si>
  <si>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</si>
  <si>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</si>
  <si>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</si>
  <si>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</si>
  <si>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</si>
  <si>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</si>
  <si>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</si>
  <si>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</si>
  <si>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</si>
  <si>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</si>
  <si>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</si>
  <si>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</si>
  <si>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</si>
  <si>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</si>
  <si>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</si>
  <si>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</si>
  <si>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</si>
  <si>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</si>
  <si>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</si>
  <si>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</si>
  <si>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</si>
  <si>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</si>
  <si>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</si>
  <si>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</si>
  <si>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</si>
  <si>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</si>
  <si>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</si>
  <si>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</si>
  <si>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</si>
  <si>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</si>
  <si>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</si>
  <si>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</si>
  <si>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</si>
  <si>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</si>
  <si>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</si>
  <si>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</si>
  <si>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</si>
  <si>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</si>
  <si>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</si>
  <si>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</si>
  <si>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</si>
  <si>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</si>
  <si>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</si>
  <si>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</si>
  <si>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</si>
  <si>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</si>
  <si>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</si>
  <si>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</si>
  <si>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</si>
  <si>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</si>
  <si>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</si>
  <si>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</si>
  <si>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</si>
  <si>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</si>
  <si>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</si>
  <si>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</si>
  <si>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</si>
  <si>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</si>
  <si>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</si>
  <si>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</si>
  <si>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</si>
  <si>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</si>
  <si>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</si>
  <si>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</si>
  <si>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</si>
  <si>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</si>
  <si>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</si>
  <si>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</si>
  <si>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</si>
  <si>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</si>
  <si>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</si>
  <si>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</si>
  <si>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</si>
  <si>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</si>
  <si>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</si>
  <si>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</si>
  <si>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</si>
  <si>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</si>
  <si>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</si>
  <si>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</si>
  <si>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</si>
  <si>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</si>
  <si>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</si>
  <si>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</si>
  <si>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</si>
  <si>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</si>
  <si>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</si>
  <si>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</si>
  <si>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</si>
  <si>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</si>
  <si>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</si>
  <si>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</si>
  <si>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</si>
  <si>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</si>
  <si>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</si>
  <si>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</si>
  <si>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</si>
  <si>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</si>
  <si>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</si>
  <si>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</si>
  <si>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</si>
  <si>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</si>
  <si>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</si>
  <si>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</si>
  <si>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</si>
  <si>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</si>
  <si>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</si>
  <si>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</si>
  <si>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</si>
  <si>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</si>
  <si>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</si>
  <si>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</si>
  <si>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</si>
  <si>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</si>
  <si>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</si>
  <si>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</si>
  <si>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</si>
  <si>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</si>
  <si>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</si>
  <si>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</si>
  <si>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</si>
  <si>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</si>
  <si>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</si>
  <si>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</si>
  <si>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</si>
  <si>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</si>
  <si>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</si>
  <si>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</si>
  <si>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</si>
  <si>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</si>
  <si>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</si>
  <si>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</si>
  <si>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</si>
  <si>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</si>
  <si>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</si>
  <si>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</si>
  <si>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</si>
  <si>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</si>
  <si>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</si>
  <si>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</si>
  <si>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</si>
  <si>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</si>
  <si>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</si>
  <si>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</si>
  <si>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</si>
  <si>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</si>
  <si>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</si>
  <si>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</si>
  <si>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</si>
  <si>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</si>
  <si>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</si>
  <si>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</si>
  <si>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</si>
  <si>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</si>
  <si>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</si>
  <si>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</si>
  <si>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</si>
  <si>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</si>
  <si>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</si>
  <si>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</si>
  <si>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</si>
  <si>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</si>
  <si>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</si>
  <si>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</si>
  <si>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</si>
  <si>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</si>
  <si>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</si>
  <si>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</si>
  <si>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</si>
  <si>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</si>
  <si>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</si>
  <si>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</si>
  <si>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</si>
  <si>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</si>
  <si>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</si>
  <si>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</si>
  <si>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</si>
  <si>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</si>
  <si>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</si>
  <si>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</si>
  <si>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</si>
  <si>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</si>
  <si>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</si>
  <si>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</si>
  <si>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</si>
  <si>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</si>
  <si>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</si>
  <si>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</si>
  <si>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</si>
  <si>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</si>
  <si>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</si>
  <si>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</si>
  <si>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</si>
  <si>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</si>
  <si>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</si>
  <si>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</si>
  <si>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</si>
  <si>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</si>
  <si>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</si>
  <si>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</si>
  <si>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</si>
  <si>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</si>
  <si>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</si>
  <si>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</si>
  <si>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</si>
  <si>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</si>
  <si>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</si>
  <si>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</si>
  <si>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</si>
  <si>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</si>
  <si>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</si>
  <si>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</si>
  <si>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</si>
  <si>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</si>
  <si>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</si>
  <si>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</si>
  <si>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</si>
  <si>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</si>
  <si>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</si>
  <si>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</si>
  <si>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</si>
  <si>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</si>
  <si>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</si>
  <si>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</si>
  <si>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</si>
  <si>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</si>
  <si>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</si>
  <si>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</si>
  <si>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</si>
  <si>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</si>
  <si>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</si>
  <si>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</si>
  <si>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</si>
  <si>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</si>
  <si>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</si>
  <si>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</si>
  <si>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</si>
  <si>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</si>
  <si>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</si>
  <si>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</si>
  <si>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</si>
  <si>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</si>
  <si>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</si>
  <si>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</si>
  <si>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</si>
  <si>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</si>
  <si>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</si>
  <si>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</si>
  <si>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</si>
  <si>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</si>
  <si>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</si>
  <si>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</si>
  <si>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</si>
  <si>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</si>
  <si>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</si>
  <si>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</si>
  <si>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</si>
  <si>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</si>
  <si>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</si>
  <si>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</si>
  <si>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</si>
  <si>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</si>
  <si>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</si>
  <si>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</si>
  <si>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</si>
  <si>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</si>
  <si>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</si>
  <si>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</si>
  <si>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</si>
  <si>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</si>
  <si>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</si>
  <si>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</si>
  <si>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</si>
  <si>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</si>
  <si>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</si>
  <si>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</si>
  <si>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</si>
  <si>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</si>
  <si>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</si>
  <si>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</si>
  <si>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</si>
  <si>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</si>
  <si>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</si>
  <si>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</si>
  <si>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</si>
  <si>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</si>
  <si>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</si>
  <si>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</si>
  <si>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</si>
  <si>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</si>
  <si>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</si>
  <si>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</si>
  <si>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</si>
  <si>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</si>
  <si>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</si>
  <si>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</si>
  <si>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</si>
  <si>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</si>
  <si>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</si>
  <si>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</si>
  <si>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</si>
  <si>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</si>
  <si>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</si>
  <si>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</si>
  <si>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</si>
  <si>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</si>
  <si>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</si>
  <si>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</si>
  <si>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</si>
  <si>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</si>
  <si>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</si>
  <si>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</si>
  <si>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</si>
  <si>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</si>
  <si>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</si>
  <si>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</si>
  <si>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</si>
  <si>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</si>
  <si>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</si>
  <si>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</si>
  <si>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</si>
  <si>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</si>
  <si>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</si>
  <si>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</si>
  <si>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</si>
  <si>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</si>
  <si>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</si>
  <si>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</si>
  <si>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</si>
  <si>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</si>
  <si>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</si>
  <si>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</si>
  <si>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</si>
  <si>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</si>
  <si>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</si>
  <si>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</si>
  <si>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</si>
  <si>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</si>
  <si>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</si>
  <si>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</si>
  <si>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</si>
  <si>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</si>
  <si>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</si>
  <si>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</si>
  <si>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</si>
  <si>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</si>
  <si>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</si>
  <si>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</si>
  <si>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</si>
  <si>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</si>
  <si>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</si>
  <si>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</si>
  <si>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</si>
  <si>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</si>
  <si>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</si>
  <si>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</si>
  <si>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</si>
  <si>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</si>
  <si>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</si>
  <si>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</si>
  <si>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</si>
  <si>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</si>
  <si>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</si>
  <si>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</si>
  <si>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</si>
  <si>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</si>
  <si>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</si>
  <si>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</si>
  <si>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</si>
  <si>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</si>
  <si>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</si>
  <si>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</si>
  <si>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</si>
  <si>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</si>
  <si>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</si>
  <si>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</si>
  <si>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</si>
  <si>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</si>
  <si>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</si>
  <si>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</si>
  <si>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</si>
  <si>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</si>
  <si>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</si>
  <si>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</si>
  <si>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</si>
  <si>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</si>
  <si>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</si>
  <si>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</si>
  <si>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</si>
  <si>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</si>
  <si>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</si>
  <si>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</si>
  <si>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</si>
  <si>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</si>
  <si>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</si>
  <si>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</si>
  <si>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</si>
  <si>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</si>
  <si>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</si>
  <si>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</si>
  <si>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</si>
  <si>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</si>
  <si>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</si>
  <si>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</si>
  <si>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</si>
  <si>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</si>
  <si>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</si>
  <si>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</si>
  <si>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</si>
  <si>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</si>
  <si>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</si>
  <si>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</si>
  <si>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</si>
  <si>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</si>
  <si>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</si>
  <si>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</si>
  <si>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</si>
  <si>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</si>
  <si>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</si>
  <si>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</si>
  <si>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</si>
  <si>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</si>
  <si>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</si>
  <si>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</si>
  <si>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</si>
  <si>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</si>
  <si>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</si>
  <si>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</si>
  <si>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</si>
  <si>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</si>
  <si>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</si>
  <si>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</si>
  <si>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</si>
  <si>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</si>
  <si>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</si>
  <si>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</si>
  <si>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</si>
  <si>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</si>
  <si>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</si>
  <si>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</si>
  <si>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</si>
  <si>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</si>
  <si>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</si>
  <si>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</si>
  <si>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</si>
  <si>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</si>
  <si>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</si>
  <si>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</si>
  <si>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</si>
  <si>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</si>
  <si>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</si>
  <si>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</si>
  <si>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</si>
  <si>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</si>
  <si>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</si>
  <si>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</si>
  <si>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</si>
  <si>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</si>
  <si>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</si>
  <si>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</si>
  <si>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</si>
  <si>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</si>
  <si>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</si>
  <si>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</si>
  <si>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</si>
  <si>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</si>
  <si>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</si>
  <si>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</si>
  <si>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</si>
  <si>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</si>
  <si>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</si>
  <si>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</si>
  <si>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</si>
  <si>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</si>
  <si>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</si>
  <si>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</si>
  <si>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</si>
  <si>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</si>
  <si>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</si>
  <si>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</si>
  <si>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</si>
  <si>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</si>
  <si>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</si>
  <si>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</si>
  <si>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</si>
  <si>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</si>
  <si>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</si>
  <si>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</si>
  <si>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</si>
  <si>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</si>
  <si>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</si>
  <si>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</si>
  <si>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</si>
  <si>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</si>
  <si>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</si>
  <si>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</si>
  <si>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</si>
  <si>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</si>
  <si>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</si>
  <si>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</si>
  <si>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</si>
  <si>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</si>
  <si>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</si>
  <si>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</si>
  <si>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</si>
  <si>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</si>
  <si>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</si>
  <si>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</si>
  <si>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</si>
  <si>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</si>
  <si>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</si>
  <si>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</si>
  <si>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</si>
  <si>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</si>
  <si>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</si>
  <si>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</si>
  <si>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</si>
  <si>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</si>
  <si>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</si>
  <si>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</si>
  <si>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</si>
  <si>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</si>
  <si>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</si>
  <si>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</si>
  <si>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</si>
  <si>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</si>
  <si>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</si>
  <si>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</si>
  <si>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</si>
  <si>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</si>
  <si>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</si>
  <si>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</si>
  <si>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</si>
  <si>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</si>
  <si>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</si>
  <si>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</si>
  <si>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</si>
  <si>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</si>
  <si>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</si>
  <si>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</si>
  <si>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</si>
  <si>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</si>
  <si>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</si>
  <si>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</si>
  <si>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</si>
  <si>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</si>
  <si>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</si>
  <si>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</si>
  <si>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</si>
  <si>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</si>
  <si>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</si>
  <si>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</si>
  <si>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</si>
  <si>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</si>
  <si>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</si>
  <si>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</si>
  <si>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</si>
  <si>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</si>
  <si>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</si>
  <si>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</si>
  <si>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</si>
  <si>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</si>
  <si>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</si>
  <si>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</si>
  <si>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</si>
  <si>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</si>
  <si>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</si>
  <si>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</si>
  <si>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</si>
  <si>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</si>
  <si>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</si>
  <si>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</si>
  <si>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</si>
  <si>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</si>
  <si>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</si>
  <si>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</si>
  <si>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</si>
  <si>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</si>
  <si>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</si>
  <si>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</si>
  <si>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</si>
  <si>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</si>
  <si>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</si>
  <si>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</si>
  <si>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</si>
  <si>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</si>
  <si>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</si>
  <si>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</si>
  <si>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</si>
  <si>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</si>
  <si>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</si>
  <si>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</si>
  <si>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</si>
  <si>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</si>
  <si>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</si>
  <si>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</si>
  <si>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</si>
  <si>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</si>
  <si>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</si>
  <si>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</si>
  <si>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</si>
  <si>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</si>
  <si>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</si>
  <si>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</si>
  <si>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</si>
  <si>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</si>
  <si>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</si>
  <si>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</si>
  <si>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</si>
  <si>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</si>
  <si>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</si>
  <si>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</si>
  <si>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</si>
  <si>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</si>
  <si>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</si>
  <si>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</si>
  <si>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</si>
  <si>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</si>
  <si>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</si>
  <si>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</si>
  <si>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</si>
  <si>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</si>
  <si>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</si>
  <si>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</si>
  <si>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</si>
  <si>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</si>
  <si>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</si>
  <si>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</si>
  <si>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</si>
  <si>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</si>
  <si>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</si>
  <si>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</si>
  <si>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</si>
  <si>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</si>
  <si>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</si>
  <si>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</si>
  <si>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</si>
  <si>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</si>
  <si>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</si>
  <si>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</si>
  <si>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</si>
  <si>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</si>
  <si>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</si>
  <si>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</si>
  <si>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</si>
  <si>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</si>
  <si>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</si>
  <si>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</si>
  <si>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</si>
  <si>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</si>
  <si>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</si>
  <si>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</si>
  <si>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</si>
  <si>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</si>
  <si>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</si>
  <si>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</si>
  <si>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</si>
  <si>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</si>
  <si>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</si>
  <si>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</si>
  <si>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</si>
  <si>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</si>
  <si>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</si>
  <si>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</si>
  <si>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</si>
  <si>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</si>
  <si>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</si>
  <si>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</si>
  <si>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</si>
  <si>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</si>
  <si>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</si>
  <si>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</si>
  <si>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</si>
  <si>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</si>
  <si>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</si>
  <si>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</si>
  <si>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</si>
  <si>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</si>
  <si>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</si>
  <si>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</si>
  <si>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</si>
  <si>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</si>
  <si>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</si>
  <si>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</si>
  <si>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</si>
  <si>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</si>
  <si>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</si>
  <si>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</si>
  <si>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</si>
  <si>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</si>
  <si>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</si>
  <si>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</si>
  <si>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</si>
  <si>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</si>
  <si>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</si>
  <si>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</si>
  <si>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</si>
  <si>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</si>
  <si>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</si>
  <si>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</si>
  <si>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</si>
  <si>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</si>
  <si>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</si>
  <si>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</si>
  <si>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</si>
  <si>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</si>
  <si>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</si>
  <si>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</si>
  <si>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</si>
  <si>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</si>
  <si>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</si>
  <si>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</si>
  <si>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</si>
  <si>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</si>
  <si>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</si>
  <si>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</si>
  <si>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</si>
  <si>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</si>
  <si>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</si>
  <si>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</si>
  <si>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</si>
  <si>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</si>
  <si>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</si>
  <si>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</si>
  <si>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</si>
  <si>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</si>
  <si>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</si>
  <si>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</si>
  <si>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</si>
  <si>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</si>
  <si>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</si>
  <si>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</si>
  <si>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</si>
  <si>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</si>
  <si>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</si>
  <si>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</si>
  <si>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</si>
  <si>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</si>
  <si>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</si>
  <si>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</si>
  <si>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</si>
  <si>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</si>
  <si>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</si>
  <si>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</si>
  <si>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</si>
  <si>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</si>
  <si>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</si>
  <si>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</si>
  <si>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</si>
  <si>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</si>
  <si>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</si>
  <si>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</si>
  <si>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</si>
  <si>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</si>
  <si>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</si>
  <si>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</si>
  <si>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</si>
  <si>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</si>
  <si>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</si>
  <si>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</si>
  <si>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</si>
  <si>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</si>
  <si>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</si>
  <si>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</si>
  <si>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</si>
  <si>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</si>
  <si>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</si>
  <si>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</si>
  <si>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</si>
  <si>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</si>
  <si>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</si>
  <si>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</si>
  <si>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</si>
  <si>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</si>
  <si>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</si>
  <si>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</si>
  <si>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</si>
  <si>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</si>
  <si>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</si>
  <si>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</si>
  <si>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</si>
  <si>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</si>
  <si>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</si>
  <si>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</si>
  <si>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</si>
  <si>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</si>
  <si>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</si>
  <si>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</si>
  <si>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</si>
  <si>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</si>
  <si>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</si>
  <si>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</si>
  <si>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</si>
  <si>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</si>
  <si>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</si>
  <si>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</si>
  <si>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</si>
  <si>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</si>
  <si>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</si>
  <si>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</si>
  <si>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</si>
  <si>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</si>
  <si>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</si>
  <si>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</si>
  <si>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</si>
  <si>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</si>
  <si>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</si>
  <si>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</si>
  <si>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</si>
  <si>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</si>
  <si>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</si>
  <si>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</si>
  <si>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</si>
  <si>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</si>
  <si>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</si>
  <si>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</si>
  <si>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</si>
  <si>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</si>
  <si>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</si>
  <si>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</si>
  <si>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</si>
  <si>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</si>
  <si>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</si>
  <si>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</si>
  <si>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</si>
  <si>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</si>
  <si>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</si>
  <si>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</si>
  <si>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</si>
  <si>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</si>
  <si>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</si>
  <si>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</si>
  <si>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</si>
  <si>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</si>
  <si>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</si>
  <si>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</si>
  <si>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</si>
  <si>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</si>
  <si>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</si>
  <si>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</si>
  <si>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</si>
  <si>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</si>
  <si>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</si>
  <si>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</si>
  <si>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</si>
  <si>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</si>
  <si>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</si>
  <si>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</si>
  <si>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</si>
  <si>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</si>
  <si>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</si>
  <si>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</si>
  <si>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</si>
  <si>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</si>
  <si>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</si>
  <si>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</si>
  <si>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</si>
  <si>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</si>
  <si>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</si>
  <si>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</si>
  <si>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</si>
  <si>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</si>
  <si>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</si>
  <si>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</si>
  <si>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</si>
  <si>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</si>
  <si>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</si>
  <si>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</si>
  <si>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</si>
  <si>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</si>
  <si>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</si>
  <si>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</si>
  <si>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</si>
  <si>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</si>
  <si>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</si>
  <si>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</si>
  <si>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</si>
  <si>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</si>
  <si>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</si>
  <si>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</si>
  <si>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</si>
  <si>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</si>
  <si>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</si>
  <si>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</si>
  <si>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</si>
  <si>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</si>
  <si>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</si>
  <si>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</si>
  <si>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</si>
  <si>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</si>
  <si>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</si>
  <si>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</si>
  <si>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</si>
  <si>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</si>
  <si>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</si>
  <si>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</si>
  <si>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</si>
  <si>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</si>
  <si>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</si>
  <si>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</si>
  <si>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</si>
  <si>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</si>
  <si>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</si>
  <si>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</si>
  <si>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</si>
  <si>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</si>
  <si>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</si>
  <si>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</si>
  <si>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</si>
  <si>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</si>
  <si>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</si>
  <si>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</si>
  <si>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</si>
  <si>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</si>
  <si>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</si>
  <si>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</si>
  <si>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</si>
  <si>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</si>
  <si>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</si>
  <si>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</si>
  <si>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</si>
  <si>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</si>
  <si>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</si>
  <si>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</si>
  <si>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</si>
  <si>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</si>
  <si>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</si>
  <si>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</si>
  <si>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</si>
  <si>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</si>
  <si>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</si>
  <si>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</si>
  <si>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</si>
  <si>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</si>
  <si>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</si>
  <si>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</si>
  <si>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</si>
  <si>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</si>
  <si>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</si>
  <si>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</si>
  <si>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</si>
  <si>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</si>
  <si>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</si>
  <si>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</si>
  <si>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</si>
  <si>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</si>
  <si>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</si>
  <si>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</si>
  <si>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</si>
  <si>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</si>
  <si>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</si>
  <si>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</si>
  <si>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</si>
  <si>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</si>
  <si>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</si>
  <si>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</si>
  <si>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</si>
  <si>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</si>
  <si>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</si>
  <si>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</si>
  <si>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</si>
  <si>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</si>
  <si>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</si>
  <si>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</si>
  <si>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</si>
  <si>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</si>
  <si>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</si>
  <si>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</si>
  <si>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</si>
  <si>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</si>
  <si>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</si>
  <si>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</si>
  <si>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</si>
  <si>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</si>
  <si>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</si>
  <si>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</si>
  <si>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</si>
  <si>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</si>
  <si>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</si>
  <si>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</si>
  <si>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</si>
  <si>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</si>
  <si>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</si>
  <si>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</si>
  <si>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</si>
  <si>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</si>
  <si>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</si>
  <si>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</si>
  <si>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</si>
  <si>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</si>
  <si>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</si>
  <si>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</si>
  <si>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</si>
  <si>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</si>
  <si>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</si>
  <si>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</si>
  <si>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</si>
  <si>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</si>
  <si>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</si>
  <si>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</si>
  <si>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</si>
  <si>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</si>
  <si>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</si>
  <si>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</si>
  <si>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</si>
  <si>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</si>
  <si>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</si>
  <si>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</si>
  <si>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</si>
  <si>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</si>
  <si>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</si>
  <si>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</si>
  <si>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</si>
  <si>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</si>
  <si>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</si>
  <si>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</si>
  <si>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</si>
  <si>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</si>
  <si>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</si>
  <si>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</si>
  <si>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</si>
  <si>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</si>
  <si>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</si>
  <si>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</si>
  <si>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</si>
  <si>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</si>
  <si>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</si>
  <si>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</si>
  <si>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</si>
  <si>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</si>
  <si>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</si>
  <si>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</si>
  <si>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</si>
  <si>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</si>
  <si>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</si>
  <si>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</si>
  <si>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</si>
  <si>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</si>
  <si>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</si>
  <si>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</si>
  <si>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</si>
  <si>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</si>
  <si>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</si>
  <si>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</si>
  <si>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</si>
  <si>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</si>
  <si>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</si>
  <si>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</si>
  <si>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</si>
  <si>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</si>
  <si>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</si>
  <si>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</si>
  <si>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</si>
  <si>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</si>
  <si>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</si>
  <si>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</si>
  <si>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</si>
  <si>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</si>
  <si>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</si>
  <si>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</si>
  <si>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</si>
  <si>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</si>
  <si>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</si>
  <si>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</si>
  <si>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</si>
  <si>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</si>
  <si>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</si>
  <si>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</si>
  <si>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</si>
  <si>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</si>
  <si>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</si>
  <si>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</si>
  <si>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</si>
  <si>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</si>
  <si>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</si>
  <si>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</si>
  <si>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</si>
  <si>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</si>
  <si>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</si>
  <si>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</si>
  <si>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</si>
  <si>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</si>
  <si>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</si>
  <si>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</si>
  <si>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</si>
  <si>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</si>
  <si>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</si>
  <si>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</si>
  <si>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</si>
  <si>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</si>
  <si>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</si>
  <si>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</si>
  <si>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</si>
  <si>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</si>
  <si>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</si>
  <si>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</si>
  <si>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</si>
  <si>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</si>
  <si>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</si>
  <si>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</si>
  <si>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</si>
  <si>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</si>
  <si>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</si>
  <si>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</si>
  <si>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</si>
  <si>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</si>
  <si>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</si>
  <si>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</si>
  <si>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</si>
  <si>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</si>
  <si>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</si>
  <si>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</si>
  <si>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</si>
  <si>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</si>
  <si>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</si>
  <si>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</si>
  <si>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</si>
  <si>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</si>
  <si>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</si>
  <si>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</si>
  <si>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</si>
  <si>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</si>
  <si>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</si>
  <si>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</si>
  <si>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</si>
  <si>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</si>
  <si>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</si>
  <si>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</si>
  <si>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</si>
  <si>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</si>
  <si>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</si>
  <si>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</si>
  <si>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</si>
  <si>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</si>
  <si>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</si>
  <si>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</si>
  <si>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</si>
  <si>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</si>
  <si>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</si>
  <si>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</si>
  <si>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</si>
  <si>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</si>
  <si>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</si>
  <si>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</si>
  <si>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</si>
  <si>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</si>
  <si>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</si>
  <si>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</si>
  <si>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</si>
  <si>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</si>
  <si>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</si>
  <si>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</si>
  <si>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</si>
  <si>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</si>
  <si>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</si>
  <si>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</si>
  <si>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</si>
  <si>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</si>
  <si>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</si>
  <si>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</si>
  <si>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</si>
  <si>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</si>
  <si>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</si>
  <si>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</si>
  <si>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</si>
  <si>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</si>
  <si>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</si>
  <si>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</si>
  <si>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</si>
  <si>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</si>
  <si>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</si>
  <si>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</si>
  <si>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</si>
  <si>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</si>
  <si>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</si>
  <si>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</si>
  <si>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</si>
  <si>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</si>
  <si>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</si>
  <si>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</si>
  <si>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</si>
  <si>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</si>
  <si>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</si>
  <si>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</si>
  <si>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</si>
  <si>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</si>
  <si>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</si>
  <si>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</si>
  <si>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</si>
  <si>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</si>
  <si>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</si>
  <si>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</si>
  <si>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</si>
  <si>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</si>
  <si>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</si>
  <si>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</si>
  <si>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</si>
  <si>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</si>
  <si>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</si>
  <si>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</si>
  <si>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</si>
  <si>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</si>
  <si>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</si>
  <si>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</si>
  <si>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</si>
  <si>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</si>
  <si>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</si>
  <si>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</si>
  <si>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</si>
  <si>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</si>
  <si>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</si>
  <si>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</si>
  <si>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</si>
  <si>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</si>
  <si>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</si>
  <si>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</si>
  <si>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</si>
  <si>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</si>
  <si>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</si>
  <si>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</si>
  <si>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</si>
  <si>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</si>
  <si>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</si>
  <si>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</si>
  <si>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</si>
  <si>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</si>
  <si>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</si>
  <si>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</si>
  <si>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</si>
  <si>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</si>
  <si>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</si>
  <si>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</si>
  <si>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</si>
  <si>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</si>
  <si>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</si>
  <si>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</si>
  <si>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</si>
  <si>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</si>
  <si>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</si>
  <si>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</si>
  <si>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</si>
  <si>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</si>
  <si>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</si>
  <si>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</si>
  <si>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</si>
  <si>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</si>
  <si>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</si>
  <si>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</si>
  <si>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</si>
  <si>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</si>
  <si>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</si>
  <si>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</si>
  <si>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</si>
  <si>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</si>
  <si>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</si>
  <si>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</si>
  <si>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</si>
  <si>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</si>
  <si>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</si>
  <si>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</si>
  <si>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</si>
  <si>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</si>
  <si>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</si>
  <si>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</si>
  <si>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</si>
  <si>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</si>
  <si>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</si>
  <si>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</si>
  <si>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</si>
  <si>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</si>
  <si>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</si>
  <si>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</si>
  <si>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</si>
  <si>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</si>
  <si>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</si>
  <si>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</si>
  <si>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</si>
  <si>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</si>
  <si>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</si>
  <si>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</si>
  <si>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</si>
  <si>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</si>
  <si>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</si>
  <si>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</si>
  <si>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</si>
  <si>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</si>
  <si>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</si>
  <si>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</si>
  <si>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</si>
  <si>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</si>
  <si>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</si>
  <si>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</si>
  <si>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</si>
  <si>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</si>
  <si>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</si>
  <si>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</si>
  <si>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</si>
  <si>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</si>
  <si>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</si>
  <si>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</si>
  <si>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</si>
  <si>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</si>
  <si>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</si>
  <si>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</si>
  <si>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</si>
  <si>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</si>
  <si>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</si>
  <si>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</si>
  <si>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</si>
  <si>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</si>
  <si>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</si>
  <si>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</si>
  <si>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</si>
  <si>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</si>
  <si>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</si>
  <si>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</si>
  <si>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</si>
  <si>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</si>
  <si>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</si>
  <si>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</si>
  <si>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</si>
  <si>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</si>
  <si>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</si>
  <si>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</si>
  <si>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</si>
  <si>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</si>
  <si>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</si>
  <si>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</si>
  <si>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</si>
  <si>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</si>
  <si>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</si>
  <si>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</si>
  <si>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</si>
  <si>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</si>
  <si>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</si>
  <si>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</si>
  <si>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</si>
  <si>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</si>
  <si>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</si>
  <si>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</si>
  <si>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</si>
  <si>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</si>
  <si>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</si>
  <si>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</si>
  <si>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</si>
  <si>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</si>
  <si>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</si>
  <si>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</si>
  <si>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</si>
  <si>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</si>
  <si>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</si>
  <si>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</si>
  <si>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</si>
  <si>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</si>
  <si>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</si>
  <si>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</si>
  <si>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</si>
  <si>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</si>
  <si>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</si>
  <si>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</si>
  <si>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</si>
  <si>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</si>
  <si>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</si>
  <si>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</si>
  <si>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</si>
  <si>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</si>
  <si>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</si>
  <si>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</si>
  <si>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</si>
  <si>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</si>
  <si>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</si>
  <si>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</si>
  <si>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</si>
  <si>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</si>
  <si>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</si>
  <si>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</si>
  <si>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</si>
  <si>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</si>
  <si>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</si>
  <si>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</si>
  <si>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</si>
  <si>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</si>
  <si>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</si>
  <si>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</si>
  <si>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</si>
  <si>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</si>
  <si>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</si>
  <si>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</si>
  <si>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</si>
  <si>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</si>
  <si>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</si>
  <si>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</si>
  <si>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</si>
  <si>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</si>
  <si>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</si>
  <si>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</si>
  <si>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</si>
  <si>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</si>
  <si>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</si>
  <si>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</si>
  <si>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</si>
  <si>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</si>
  <si>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</si>
  <si>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</si>
  <si>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</si>
  <si>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</si>
  <si>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</si>
  <si>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</si>
  <si>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</si>
  <si>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</si>
  <si>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</si>
  <si>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</si>
  <si>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</si>
  <si>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</si>
  <si>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</si>
  <si>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</si>
  <si>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</si>
  <si>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</si>
  <si>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</si>
  <si>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</si>
  <si>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</si>
  <si>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</si>
  <si>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</si>
  <si>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</si>
  <si>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</si>
  <si>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</si>
  <si>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</si>
  <si>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</si>
  <si>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</si>
  <si>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</si>
  <si>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</si>
  <si>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</si>
  <si>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</si>
  <si>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</si>
  <si>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</si>
  <si>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</si>
  <si>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</si>
  <si>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</si>
  <si>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</si>
  <si>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</si>
  <si>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</si>
  <si>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</si>
  <si>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</si>
  <si>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</si>
  <si>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</si>
  <si>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</si>
  <si>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</si>
  <si>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</si>
  <si>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</si>
  <si>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</si>
  <si>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</si>
  <si>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</si>
  <si>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</si>
  <si>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</si>
  <si>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</si>
  <si>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</si>
  <si>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</si>
  <si>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</si>
  <si>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</si>
  <si>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</si>
  <si>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</si>
  <si>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</si>
  <si>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</si>
  <si>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</si>
  <si>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</si>
  <si>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</si>
  <si>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</si>
  <si>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</si>
  <si>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</si>
  <si>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</si>
  <si>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</si>
  <si>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</si>
  <si>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</si>
  <si>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</si>
  <si>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</si>
  <si>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</si>
  <si>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</si>
  <si>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</si>
  <si>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</si>
  <si>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</si>
  <si>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</si>
  <si>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</si>
  <si>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</si>
  <si>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</si>
  <si>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</si>
  <si>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</si>
  <si>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</si>
  <si>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</si>
  <si>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</si>
  <si>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</si>
  <si>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</si>
  <si>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</si>
  <si>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</si>
  <si>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</si>
  <si>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</si>
  <si>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</si>
  <si>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</si>
  <si>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</si>
  <si>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</si>
  <si>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</si>
  <si>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</si>
  <si>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</si>
  <si>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</si>
  <si>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</si>
  <si>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</si>
  <si>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</si>
  <si>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</si>
  <si>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</si>
  <si>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</si>
  <si>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</si>
  <si>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</si>
  <si>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</si>
  <si>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</si>
  <si>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</si>
  <si>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</si>
  <si>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</si>
  <si>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</si>
  <si>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</si>
  <si>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</si>
  <si>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</si>
  <si>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</si>
  <si>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</si>
  <si>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</si>
  <si>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</si>
  <si>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</si>
  <si>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</si>
  <si>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</si>
  <si>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</si>
  <si>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</si>
  <si>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</si>
  <si>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</si>
  <si>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</si>
  <si>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</si>
  <si>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</si>
  <si>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</si>
  <si>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</si>
  <si>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</si>
  <si>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</si>
  <si>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</si>
  <si>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</si>
  <si>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</si>
  <si>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</si>
  <si>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</si>
  <si>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</si>
  <si>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</si>
  <si>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</si>
  <si>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</si>
  <si>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</si>
  <si>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</si>
  <si>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</si>
  <si>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</si>
  <si>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</si>
  <si>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</si>
  <si>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</si>
  <si>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</si>
  <si>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</si>
  <si>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</si>
  <si>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</si>
  <si>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</si>
  <si>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</si>
  <si>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</si>
  <si>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</si>
  <si>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</si>
  <si>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</si>
  <si>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</si>
  <si>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</si>
  <si>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</si>
  <si>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</si>
  <si>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</si>
  <si>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</si>
  <si>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</si>
  <si>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</si>
  <si>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</si>
  <si>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</si>
  <si>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</si>
  <si>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</si>
  <si>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</si>
  <si>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</si>
  <si>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</si>
  <si>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</si>
  <si>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</si>
  <si>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</si>
  <si>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</si>
  <si>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</si>
  <si>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</si>
  <si>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</si>
  <si>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</si>
  <si>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</si>
  <si>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</si>
  <si>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</si>
  <si>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</si>
  <si>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</si>
  <si>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</si>
  <si>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</si>
  <si>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</si>
  <si>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</si>
  <si>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</si>
  <si>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</si>
  <si>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</si>
  <si>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</si>
  <si>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</si>
  <si>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</si>
  <si>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</si>
  <si>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</si>
  <si>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</si>
  <si>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</si>
  <si>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</si>
  <si>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</si>
  <si>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</si>
  <si>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</si>
  <si>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</si>
  <si>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</si>
  <si>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</si>
  <si>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</si>
  <si>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</si>
  <si>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</si>
  <si>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</si>
  <si>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</si>
  <si>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</si>
  <si>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Voici un glossaire de termes couramment utilisés dans Excel pour vous aider à utiliser les bons mots :</t>
  </si>
  <si>
    <t>Voici la conversion des termes en français ou leur équivalence :</t>
  </si>
  <si>
    <r>
      <t>1. Cellule</t>
    </r>
    <r>
      <rPr>
        <sz val="11"/>
        <color theme="1"/>
        <rFont val="Calibri"/>
        <family val="2"/>
        <scheme val="minor"/>
      </rPr>
      <t xml:space="preserve"> : Une case individuelle dans une feuille de calcul où les données sont entrées.</t>
    </r>
  </si>
  <si>
    <r>
      <t>1. Cellule</t>
    </r>
    <r>
      <rPr>
        <sz val="11"/>
        <color theme="1"/>
        <rFont val="Calibri"/>
        <family val="2"/>
        <scheme val="minor"/>
      </rPr>
      <t xml:space="preserve"> : Cellule</t>
    </r>
  </si>
  <si>
    <r>
      <t>2. Feuille de calcul</t>
    </r>
    <r>
      <rPr>
        <sz val="11"/>
        <color theme="1"/>
        <rFont val="Calibri"/>
        <family val="2"/>
        <scheme val="minor"/>
      </rPr>
      <t xml:space="preserve"> : Un document Excel composé de cellules organisées en lignes et colonnes.</t>
    </r>
  </si>
  <si>
    <r>
      <t>2. Feuille de calcul</t>
    </r>
    <r>
      <rPr>
        <sz val="11"/>
        <color theme="1"/>
        <rFont val="Calibri"/>
        <family val="2"/>
        <scheme val="minor"/>
      </rPr>
      <t xml:space="preserve"> : Feuille de calcul</t>
    </r>
  </si>
  <si>
    <r>
      <t>3. Classeur</t>
    </r>
    <r>
      <rPr>
        <sz val="11"/>
        <color theme="1"/>
        <rFont val="Calibri"/>
        <family val="2"/>
        <scheme val="minor"/>
      </rPr>
      <t xml:space="preserve"> : Un fichier Excel qui peut contenir une ou plusieurs feuilles de calcul.</t>
    </r>
  </si>
  <si>
    <r>
      <t>3. Classeur</t>
    </r>
    <r>
      <rPr>
        <sz val="11"/>
        <color theme="1"/>
        <rFont val="Calibri"/>
        <family val="2"/>
        <scheme val="minor"/>
      </rPr>
      <t xml:space="preserve"> : Classeur</t>
    </r>
  </si>
  <si>
    <r>
      <t>4. Ligne</t>
    </r>
    <r>
      <rPr>
        <sz val="11"/>
        <color theme="1"/>
        <rFont val="Calibri"/>
        <family val="2"/>
        <scheme val="minor"/>
      </rPr>
      <t xml:space="preserve"> : Une rangée horizontale de cellules dans une feuille de calcul.</t>
    </r>
  </si>
  <si>
    <r>
      <t>4. Ligne</t>
    </r>
    <r>
      <rPr>
        <sz val="11"/>
        <color theme="1"/>
        <rFont val="Calibri"/>
        <family val="2"/>
        <scheme val="minor"/>
      </rPr>
      <t xml:space="preserve"> : Ligne</t>
    </r>
  </si>
  <si>
    <r>
      <t>5. Colonne</t>
    </r>
    <r>
      <rPr>
        <sz val="11"/>
        <color theme="1"/>
        <rFont val="Calibri"/>
        <family val="2"/>
        <scheme val="minor"/>
      </rPr>
      <t xml:space="preserve"> : Une rangée verticale de cellules dans une feuille de calcul.</t>
    </r>
  </si>
  <si>
    <r>
      <t>5. Colonne</t>
    </r>
    <r>
      <rPr>
        <sz val="11"/>
        <color theme="1"/>
        <rFont val="Calibri"/>
        <family val="2"/>
        <scheme val="minor"/>
      </rPr>
      <t xml:space="preserve"> : Colonne</t>
    </r>
  </si>
  <si>
    <r>
      <t>6. Plage de cellules</t>
    </r>
    <r>
      <rPr>
        <sz val="11"/>
        <color theme="1"/>
        <rFont val="Calibri"/>
        <family val="2"/>
        <scheme val="minor"/>
      </rPr>
      <t xml:space="preserve"> : Un groupe de cellules contiguës.</t>
    </r>
  </si>
  <si>
    <r>
      <t>6. Plage de cellules</t>
    </r>
    <r>
      <rPr>
        <sz val="11"/>
        <color theme="1"/>
        <rFont val="Calibri"/>
        <family val="2"/>
        <scheme val="minor"/>
      </rPr>
      <t xml:space="preserve"> : Plage de cellules</t>
    </r>
  </si>
  <si>
    <r>
      <t>7. Formule</t>
    </r>
    <r>
      <rPr>
        <sz val="11"/>
        <color theme="1"/>
        <rFont val="Calibri"/>
        <family val="2"/>
        <scheme val="minor"/>
      </rPr>
      <t xml:space="preserve"> : Une expression qui effectue des calculs ou des manipulations de données.</t>
    </r>
  </si>
  <si>
    <r>
      <t>7. Formule</t>
    </r>
    <r>
      <rPr>
        <sz val="11"/>
        <color theme="1"/>
        <rFont val="Calibri"/>
        <family val="2"/>
        <scheme val="minor"/>
      </rPr>
      <t xml:space="preserve"> : Formule</t>
    </r>
  </si>
  <si>
    <r>
      <t>8. Fonction</t>
    </r>
    <r>
      <rPr>
        <sz val="11"/>
        <color theme="1"/>
        <rFont val="Calibri"/>
        <family val="2"/>
        <scheme val="minor"/>
      </rPr>
      <t xml:space="preserve"> : Une formule prédéfinie qui effectue des calculs spécifiques.</t>
    </r>
  </si>
  <si>
    <r>
      <t>8. Fonction</t>
    </r>
    <r>
      <rPr>
        <sz val="11"/>
        <color theme="1"/>
        <rFont val="Calibri"/>
        <family val="2"/>
        <scheme val="minor"/>
      </rPr>
      <t xml:space="preserve"> : Fonction</t>
    </r>
  </si>
  <si>
    <r>
      <t>9. Tableau</t>
    </r>
    <r>
      <rPr>
        <sz val="11"/>
        <color theme="1"/>
        <rFont val="Calibri"/>
        <family val="2"/>
        <scheme val="minor"/>
      </rPr>
      <t xml:space="preserve"> : Une structure organisée de données dans une feuille de calcul.</t>
    </r>
  </si>
  <si>
    <r>
      <t>9. Tableau</t>
    </r>
    <r>
      <rPr>
        <sz val="11"/>
        <color theme="1"/>
        <rFont val="Calibri"/>
        <family val="2"/>
        <scheme val="minor"/>
      </rPr>
      <t xml:space="preserve"> : Tableau</t>
    </r>
  </si>
  <si>
    <r>
      <t>10. Graphique</t>
    </r>
    <r>
      <rPr>
        <sz val="11"/>
        <color theme="1"/>
        <rFont val="Calibri"/>
        <family val="2"/>
        <scheme val="minor"/>
      </rPr>
      <t xml:space="preserve"> : Une représentation visuelle des données sous forme de graphique ou de diagramme.</t>
    </r>
  </si>
  <si>
    <r>
      <t>10. Graphique</t>
    </r>
    <r>
      <rPr>
        <sz val="11"/>
        <color theme="1"/>
        <rFont val="Calibri"/>
        <family val="2"/>
        <scheme val="minor"/>
      </rPr>
      <t xml:space="preserve"> : Graphique</t>
    </r>
  </si>
  <si>
    <r>
      <t>11. PivotTable</t>
    </r>
    <r>
      <rPr>
        <sz val="11"/>
        <color theme="1"/>
        <rFont val="Calibri"/>
        <family val="2"/>
        <scheme val="minor"/>
      </rPr>
      <t xml:space="preserve"> : Un outil d'analyse de données qui permet de résumer, d'analyser, d'explorer et de présenter des données.</t>
    </r>
  </si>
  <si>
    <r>
      <t>11. PivotTable</t>
    </r>
    <r>
      <rPr>
        <sz val="11"/>
        <color theme="1"/>
        <rFont val="Calibri"/>
        <family val="2"/>
        <scheme val="minor"/>
      </rPr>
      <t xml:space="preserve"> : Tableau croisé dynamique</t>
    </r>
  </si>
  <si>
    <r>
      <t>12. Macro</t>
    </r>
    <r>
      <rPr>
        <sz val="11"/>
        <color theme="1"/>
        <rFont val="Calibri"/>
        <family val="2"/>
        <scheme val="minor"/>
      </rPr>
      <t xml:space="preserve"> : Une série d'instructions automatisées qui peuvent être exécutées pour effectuer des tâches répétitives.</t>
    </r>
  </si>
  <si>
    <r>
      <t>12. Macro</t>
    </r>
    <r>
      <rPr>
        <sz val="11"/>
        <color theme="1"/>
        <rFont val="Calibri"/>
        <family val="2"/>
        <scheme val="minor"/>
      </rPr>
      <t xml:space="preserve"> : Macro</t>
    </r>
  </si>
  <si>
    <r>
      <t>13. Filtrer</t>
    </r>
    <r>
      <rPr>
        <sz val="11"/>
        <color theme="1"/>
        <rFont val="Calibri"/>
        <family val="2"/>
        <scheme val="minor"/>
      </rPr>
      <t xml:space="preserve"> : Afficher uniquement les données qui répondent à certains critères.</t>
    </r>
  </si>
  <si>
    <r>
      <t>13. Filtrer</t>
    </r>
    <r>
      <rPr>
        <sz val="11"/>
        <color theme="1"/>
        <rFont val="Calibri"/>
        <family val="2"/>
        <scheme val="minor"/>
      </rPr>
      <t xml:space="preserve"> : Filtrer</t>
    </r>
  </si>
  <si>
    <r>
      <t>14. Trier</t>
    </r>
    <r>
      <rPr>
        <sz val="11"/>
        <color theme="1"/>
        <rFont val="Calibri"/>
        <family val="2"/>
        <scheme val="minor"/>
      </rPr>
      <t xml:space="preserve"> : Organiser les données dans un ordre spécifique (croissant, décroissant, etc.).</t>
    </r>
  </si>
  <si>
    <r>
      <t>14. Trier</t>
    </r>
    <r>
      <rPr>
        <sz val="11"/>
        <color theme="1"/>
        <rFont val="Calibri"/>
        <family val="2"/>
        <scheme val="minor"/>
      </rPr>
      <t xml:space="preserve"> : Trier</t>
    </r>
  </si>
  <si>
    <r>
      <t>15. Conditional Formatting</t>
    </r>
    <r>
      <rPr>
        <sz val="11"/>
        <color theme="1"/>
        <rFont val="Calibri"/>
        <family val="2"/>
        <scheme val="minor"/>
      </rPr>
      <t xml:space="preserve"> (Formatage conditionnel) : Appliquer des formats spécifiques aux cellules en fonction de certaines conditions.</t>
    </r>
  </si>
  <si>
    <r>
      <t>15. Conditional Formatting</t>
    </r>
    <r>
      <rPr>
        <sz val="11"/>
        <color theme="1"/>
        <rFont val="Calibri"/>
        <family val="2"/>
        <scheme val="minor"/>
      </rPr>
      <t xml:space="preserve"> : Mise en forme conditionnelle</t>
    </r>
  </si>
  <si>
    <r>
      <t>16. Data Validation</t>
    </r>
    <r>
      <rPr>
        <sz val="11"/>
        <color theme="1"/>
        <rFont val="Calibri"/>
        <family val="2"/>
        <scheme val="minor"/>
      </rPr>
      <t xml:space="preserve"> (Validation des données) : Limiter les types de données qui peuvent être entrées dans une cellule.</t>
    </r>
  </si>
  <si>
    <r>
      <t>16. Data Validation</t>
    </r>
    <r>
      <rPr>
        <sz val="11"/>
        <color theme="1"/>
        <rFont val="Calibri"/>
        <family val="2"/>
        <scheme val="minor"/>
      </rPr>
      <t xml:space="preserve"> : Validation des données</t>
    </r>
  </si>
  <si>
    <r>
      <t>17. VLOOKUP</t>
    </r>
    <r>
      <rPr>
        <sz val="11"/>
        <color theme="1"/>
        <rFont val="Calibri"/>
        <family val="2"/>
        <scheme val="minor"/>
      </rPr>
      <t xml:space="preserve"> : Une fonction qui recherche une valeur dans la première colonne d'une plage de cellules et renvoie une valeur dans la même ligne d'une colonne spécifiée.</t>
    </r>
  </si>
  <si>
    <r>
      <t>17. VLOOKUP</t>
    </r>
    <r>
      <rPr>
        <sz val="11"/>
        <color theme="1"/>
        <rFont val="Calibri"/>
        <family val="2"/>
        <scheme val="minor"/>
      </rPr>
      <t xml:space="preserve"> : RECHERCHEV</t>
    </r>
  </si>
  <si>
    <r>
      <t>18. SUMIF</t>
    </r>
    <r>
      <rPr>
        <sz val="11"/>
        <color theme="1"/>
        <rFont val="Calibri"/>
        <family val="2"/>
        <scheme val="minor"/>
      </rPr>
      <t xml:space="preserve"> : Une fonction qui additionne les valeurs d'une plage de cellules en fonction de critères spécifiés.</t>
    </r>
  </si>
  <si>
    <r>
      <t>18. SUMIF</t>
    </r>
    <r>
      <rPr>
        <sz val="11"/>
        <color theme="1"/>
        <rFont val="Calibri"/>
        <family val="2"/>
        <scheme val="minor"/>
      </rPr>
      <t xml:space="preserve"> : SOMME.SI</t>
    </r>
  </si>
  <si>
    <r>
      <t>19. COUNTIF</t>
    </r>
    <r>
      <rPr>
        <sz val="11"/>
        <color theme="1"/>
        <rFont val="Calibri"/>
        <family val="2"/>
        <scheme val="minor"/>
      </rPr>
      <t xml:space="preserve"> : Une fonction qui compte le nombre de cellules dans une plage qui répondent à certains critères.</t>
    </r>
  </si>
  <si>
    <r>
      <t>19. COUNTIF</t>
    </r>
    <r>
      <rPr>
        <sz val="11"/>
        <color theme="1"/>
        <rFont val="Calibri"/>
        <family val="2"/>
        <scheme val="minor"/>
      </rPr>
      <t xml:space="preserve"> : NB.SI</t>
    </r>
  </si>
  <si>
    <r>
      <t>20. AVERAGE</t>
    </r>
    <r>
      <rPr>
        <sz val="11"/>
        <color theme="1"/>
        <rFont val="Calibri"/>
        <family val="2"/>
        <scheme val="minor"/>
      </rPr>
      <t xml:space="preserve"> : Une fonction qui calcule la moyenne d'une plage de cellules.</t>
    </r>
  </si>
  <si>
    <r>
      <t>20. AVERAGE</t>
    </r>
    <r>
      <rPr>
        <sz val="11"/>
        <color theme="1"/>
        <rFont val="Calibri"/>
        <family val="2"/>
        <scheme val="minor"/>
      </rPr>
      <t xml:space="preserve"> : MOYENNE</t>
    </r>
  </si>
  <si>
    <r>
      <t>21. MAX</t>
    </r>
    <r>
      <rPr>
        <sz val="11"/>
        <color theme="1"/>
        <rFont val="Calibri"/>
        <family val="2"/>
        <scheme val="minor"/>
      </rPr>
      <t xml:space="preserve"> : Une fonction qui renvoie la valeur maximale d'une plage de cellules.</t>
    </r>
  </si>
  <si>
    <r>
      <t>21. MAX</t>
    </r>
    <r>
      <rPr>
        <sz val="11"/>
        <color theme="1"/>
        <rFont val="Calibri"/>
        <family val="2"/>
        <scheme val="minor"/>
      </rPr>
      <t xml:space="preserve"> : MAX</t>
    </r>
  </si>
  <si>
    <r>
      <t>22. MIN</t>
    </r>
    <r>
      <rPr>
        <sz val="11"/>
        <color theme="1"/>
        <rFont val="Calibri"/>
        <family val="2"/>
        <scheme val="minor"/>
      </rPr>
      <t xml:space="preserve"> : Une fonction qui renvoie la valeur minimale d'une plage de cellules.</t>
    </r>
  </si>
  <si>
    <r>
      <t>22. MIN</t>
    </r>
    <r>
      <rPr>
        <sz val="11"/>
        <color theme="1"/>
        <rFont val="Calibri"/>
        <family val="2"/>
        <scheme val="minor"/>
      </rPr>
      <t xml:space="preserve"> : MIN</t>
    </r>
  </si>
  <si>
    <r>
      <t>23. CONCATENATE</t>
    </r>
    <r>
      <rPr>
        <sz val="11"/>
        <color theme="1"/>
        <rFont val="Calibri"/>
        <family val="2"/>
        <scheme val="minor"/>
      </rPr>
      <t xml:space="preserve"> : Une fonction qui combine plusieurs chaînes de texte en une seule chaîne.</t>
    </r>
  </si>
  <si>
    <r>
      <t>23. CONCATENATE</t>
    </r>
    <r>
      <rPr>
        <sz val="11"/>
        <color theme="1"/>
        <rFont val="Calibri"/>
        <family val="2"/>
        <scheme val="minor"/>
      </rPr>
      <t xml:space="preserve"> : CONCATENER (ou CONCAT dans les versions récentes)</t>
    </r>
  </si>
  <si>
    <r>
      <t>24. IF</t>
    </r>
    <r>
      <rPr>
        <sz val="11"/>
        <color theme="1"/>
        <rFont val="Calibri"/>
        <family val="2"/>
        <scheme val="minor"/>
      </rPr>
      <t xml:space="preserve"> : Une fonction qui effectue différentes actions en fonction de conditions spécifiées.</t>
    </r>
  </si>
  <si>
    <r>
      <t>24. IF</t>
    </r>
    <r>
      <rPr>
        <sz val="11"/>
        <color theme="1"/>
        <rFont val="Calibri"/>
        <family val="2"/>
        <scheme val="minor"/>
      </rPr>
      <t xml:space="preserve"> : SI</t>
    </r>
  </si>
  <si>
    <r>
      <t>25. INDEX</t>
    </r>
    <r>
      <rPr>
        <sz val="11"/>
        <color theme="1"/>
        <rFont val="Calibri"/>
        <family val="2"/>
        <scheme val="minor"/>
      </rPr>
      <t xml:space="preserve"> : Une fonction qui renvoie la valeur d'une cellule spécifique dans une plage de cellules.</t>
    </r>
  </si>
  <si>
    <r>
      <t>25. INDEX</t>
    </r>
    <r>
      <rPr>
        <sz val="11"/>
        <color theme="1"/>
        <rFont val="Calibri"/>
        <family val="2"/>
        <scheme val="minor"/>
      </rPr>
      <t xml:space="preserve"> : INDEX</t>
    </r>
  </si>
  <si>
    <r>
      <t>26. MATCH</t>
    </r>
    <r>
      <rPr>
        <sz val="11"/>
        <color theme="1"/>
        <rFont val="Calibri"/>
        <family val="2"/>
        <scheme val="minor"/>
      </rPr>
      <t xml:space="preserve"> : Une fonction qui renvoie la position relative d'une valeur spécifique dans une plage de cellules.</t>
    </r>
  </si>
  <si>
    <r>
      <t>26. MATCH</t>
    </r>
    <r>
      <rPr>
        <sz val="11"/>
        <color theme="1"/>
        <rFont val="Calibri"/>
        <family val="2"/>
        <scheme val="minor"/>
      </rPr>
      <t xml:space="preserve"> : EQUIV</t>
    </r>
  </si>
  <si>
    <r>
      <t>27. OFFSET</t>
    </r>
    <r>
      <rPr>
        <sz val="11"/>
        <color theme="1"/>
        <rFont val="Calibri"/>
        <family val="2"/>
        <scheme val="minor"/>
      </rPr>
      <t xml:space="preserve"> : Une fonction qui renvoie une référence de cellule qui est un certain nombre de lignes et de colonnes à partir d'une cellule de départ.</t>
    </r>
  </si>
  <si>
    <r>
      <t>27. OFFSET</t>
    </r>
    <r>
      <rPr>
        <sz val="11"/>
        <color theme="1"/>
        <rFont val="Calibri"/>
        <family val="2"/>
        <scheme val="minor"/>
      </rPr>
      <t xml:space="preserve"> : DECALER</t>
    </r>
  </si>
  <si>
    <r>
      <t>28. TEXT</t>
    </r>
    <r>
      <rPr>
        <sz val="11"/>
        <color theme="1"/>
        <rFont val="Calibri"/>
        <family val="2"/>
        <scheme val="minor"/>
      </rPr>
      <t xml:space="preserve"> : Une fonction qui convertit une valeur en texte dans un format spécifié.</t>
    </r>
  </si>
  <si>
    <r>
      <t>28. TEXT</t>
    </r>
    <r>
      <rPr>
        <sz val="11"/>
        <color theme="1"/>
        <rFont val="Calibri"/>
        <family val="2"/>
        <scheme val="minor"/>
      </rPr>
      <t xml:space="preserve"> : TEXTE</t>
    </r>
  </si>
  <si>
    <r>
      <t>29. DATE</t>
    </r>
    <r>
      <rPr>
        <sz val="11"/>
        <color theme="1"/>
        <rFont val="Calibri"/>
        <family val="2"/>
        <scheme val="minor"/>
      </rPr>
      <t xml:space="preserve"> : Une fonction qui renvoie la date sérielle correspondant à une date spécifiée.</t>
    </r>
  </si>
  <si>
    <r>
      <t>29. DATE</t>
    </r>
    <r>
      <rPr>
        <sz val="11"/>
        <color theme="1"/>
        <rFont val="Calibri"/>
        <family val="2"/>
        <scheme val="minor"/>
      </rPr>
      <t xml:space="preserve"> : DATE</t>
    </r>
  </si>
  <si>
    <r>
      <t>30. TIME</t>
    </r>
    <r>
      <rPr>
        <sz val="11"/>
        <color theme="1"/>
        <rFont val="Calibri"/>
        <family val="2"/>
        <scheme val="minor"/>
      </rPr>
      <t xml:space="preserve"> : Une fonction qui renvoie la valeur de temps sérielle correspondant à une heure spécifiée.</t>
    </r>
  </si>
  <si>
    <r>
      <t>30. TIME</t>
    </r>
    <r>
      <rPr>
        <sz val="11"/>
        <color theme="1"/>
        <rFont val="Calibri"/>
        <family val="2"/>
        <scheme val="minor"/>
      </rPr>
      <t xml:space="preserve"> : HEURE</t>
    </r>
  </si>
  <si>
    <t>Ces termes devraient vous aider à mieux comprendre et utiliser Excel de manière plus efficace.</t>
  </si>
  <si>
    <t>Ces termes devraient vous aider à mieux comprendre et utiliser Excel en français.</t>
  </si>
  <si>
    <t>Pour compter le nombre de mots ayant 2 caractères ou plus dans un texte dans Excel, vous pouvez utiliser une combinaison de fonctions. Voici une formule qui devrait répondre à ce besoin :</t>
  </si>
  <si>
    <t>modifier cette formule pour excel 2021=SOMMEPROD(--(NBCAR(TRIM(FILTREXML("&lt;t&gt;&lt;s&gt;"&amp;SUBSTITUER(A1," ","&lt;/s&gt;&lt;s&gt;")&amp;"&lt;/s&gt;&lt;/t&gt;","//s")))&gt;=2))</t>
  </si>
  <si>
    <t>Voici comment cette formule fonctionne :</t>
  </si>
  <si>
    <r>
      <t>1. SUBSTITUER(A1," ","&lt;/s&gt;&lt;s&gt;")</t>
    </r>
    <r>
      <rPr>
        <sz val="11"/>
        <color theme="1"/>
        <rFont val="Calibri"/>
        <family val="2"/>
        <scheme val="minor"/>
      </rPr>
      <t xml:space="preserve"> : Remplace les espaces par des balises XML </t>
    </r>
    <r>
      <rPr>
        <sz val="10"/>
        <color theme="1"/>
        <rFont val="Arial Unicode MS"/>
      </rPr>
      <t>&lt;/s&gt;&lt;s&gt;</t>
    </r>
    <r>
      <rPr>
        <sz val="11"/>
        <color theme="1"/>
        <rFont val="Calibri"/>
        <family val="2"/>
        <scheme val="minor"/>
      </rPr>
      <t xml:space="preserve"> pour séparer les mots.</t>
    </r>
  </si>
  <si>
    <r>
      <t>2. FILTREXML("&lt;t&gt;&lt;s&gt;"&amp;SUBSTITUER(A1," ","&lt;/s&gt;&lt;s&gt;")&amp;"&lt;/s&gt;&lt;/t&gt;","//s")</t>
    </r>
    <r>
      <rPr>
        <sz val="11"/>
        <color theme="1"/>
        <rFont val="Calibri"/>
        <family val="2"/>
        <scheme val="minor"/>
      </rPr>
      <t xml:space="preserve"> : Utilise la fonction </t>
    </r>
    <r>
      <rPr>
        <sz val="10"/>
        <color theme="1"/>
        <rFont val="Arial Unicode MS"/>
      </rPr>
      <t>FILTREXML</t>
    </r>
    <r>
      <rPr>
        <sz val="11"/>
        <color theme="1"/>
        <rFont val="Calibri"/>
        <family val="2"/>
        <scheme val="minor"/>
      </rPr>
      <t xml:space="preserve"> pour extraire chaque mot en tant qu'élément XML.</t>
    </r>
  </si>
  <si>
    <r>
      <t>3. TRIM(FILTREXML(...))</t>
    </r>
    <r>
      <rPr>
        <sz val="11"/>
        <color theme="1"/>
        <rFont val="Calibri"/>
        <family val="2"/>
        <scheme val="minor"/>
      </rPr>
      <t xml:space="preserve"> : Supprime les espaces supplémentaires autour des mots.</t>
    </r>
  </si>
  <si>
    <r>
      <t>4. NBCAR(TRIM(FILTREXML(...)))</t>
    </r>
    <r>
      <rPr>
        <sz val="11"/>
        <color theme="1"/>
        <rFont val="Calibri"/>
        <family val="2"/>
        <scheme val="minor"/>
      </rPr>
      <t xml:space="preserve"> : Calcule la longueur de chaque mot.</t>
    </r>
  </si>
  <si>
    <r>
      <t>5. --(NBCAR(TRIM(FILTREXML(...)))&gt;=2)</t>
    </r>
    <r>
      <rPr>
        <sz val="11"/>
        <color theme="1"/>
        <rFont val="Calibri"/>
        <family val="2"/>
        <scheme val="minor"/>
      </rPr>
      <t xml:space="preserve"> : Convertit les valeurs en 1 (vrai) ou 0 (faux) en fonction de la condition de longueur.</t>
    </r>
  </si>
  <si>
    <r>
      <t>6. SOMMEPROD(--(NBCAR(TRIM(FILTREXML(...)))&gt;=2))</t>
    </r>
    <r>
      <rPr>
        <sz val="11"/>
        <color theme="1"/>
        <rFont val="Calibri"/>
        <family val="2"/>
        <scheme val="minor"/>
      </rPr>
      <t xml:space="preserve"> : Additionne les valeurs 1 pour obtenir le nombre de mots ayant 2 caractères ou plus.</t>
    </r>
  </si>
  <si>
    <r>
      <t xml:space="preserve">Assurez-vous que votre version d'Excel supporte les fonctions </t>
    </r>
    <r>
      <rPr>
        <sz val="10"/>
        <color theme="1"/>
        <rFont val="Arial Unicode MS"/>
      </rPr>
      <t>FILTREXML</t>
    </r>
    <r>
      <rPr>
        <sz val="11"/>
        <color theme="1"/>
        <rFont val="Calibri"/>
        <family val="2"/>
        <scheme val="minor"/>
      </rPr>
      <t xml:space="preserve"> et </t>
    </r>
    <r>
      <rPr>
        <sz val="10"/>
        <color theme="1"/>
        <rFont val="Arial Unicode MS"/>
      </rPr>
      <t>SOMMEPROD</t>
    </r>
    <r>
      <rPr>
        <sz val="11"/>
        <color theme="1"/>
        <rFont val="Calibri"/>
        <family val="2"/>
        <scheme val="minor"/>
      </rPr>
      <t>. Cette formule est compatible avec Excel 365 et les versions plus récentes.</t>
    </r>
  </si>
  <si>
    <r>
      <t xml:space="preserve">Si vous utilisez une version antérieure d'Excel, vous devrez peut-être utiliser une approche différente, comme une combinaison de fonctions </t>
    </r>
    <r>
      <rPr>
        <sz val="10"/>
        <color theme="1"/>
        <rFont val="Arial Unicode MS"/>
      </rPr>
      <t>STXT</t>
    </r>
    <r>
      <rPr>
        <sz val="11"/>
        <color theme="1"/>
        <rFont val="Calibri"/>
        <family val="2"/>
        <scheme val="minor"/>
      </rPr>
      <t xml:space="preserve">, </t>
    </r>
    <r>
      <rPr>
        <sz val="10"/>
        <color theme="1"/>
        <rFont val="Arial Unicode MS"/>
      </rPr>
      <t>NBCAR</t>
    </r>
    <r>
      <rPr>
        <sz val="11"/>
        <color theme="1"/>
        <rFont val="Calibri"/>
        <family val="2"/>
        <scheme val="minor"/>
      </rPr>
      <t xml:space="preserve">, et </t>
    </r>
    <r>
      <rPr>
        <sz val="10"/>
        <color theme="1"/>
        <rFont val="Arial Unicode MS"/>
      </rPr>
      <t>SOMMEPROD</t>
    </r>
    <r>
      <rPr>
        <sz val="11"/>
        <color theme="1"/>
        <rFont val="Calibri"/>
        <family val="2"/>
        <scheme val="minor"/>
      </rPr>
      <t xml:space="preserve"> avec des formules matricielles.</t>
    </r>
  </si>
  <si>
    <r>
      <t xml:space="preserve">Pour Excel 2021, vous pouvez utiliser une approche différente car certaines fonctions comme </t>
    </r>
    <r>
      <rPr>
        <sz val="10"/>
        <color theme="1"/>
        <rFont val="Arial Unicode MS"/>
      </rPr>
      <t>FILTREXML</t>
    </r>
    <r>
      <rPr>
        <sz val="11"/>
        <color theme="1"/>
        <rFont val="Calibri"/>
        <family val="2"/>
        <scheme val="minor"/>
      </rPr>
      <t xml:space="preserve"> ne sont pas disponibles. Voici une méthode alternative utilisant des fonctions de texte et des formules matricielles :</t>
    </r>
  </si>
  <si>
    <r>
      <t>1. Diviser le texte en mots</t>
    </r>
    <r>
      <rPr>
        <sz val="11"/>
        <color theme="1"/>
        <rFont val="Calibri"/>
        <family val="2"/>
        <scheme val="minor"/>
      </rPr>
      <t xml:space="preserve"> : Utilisez des fonctions comme </t>
    </r>
    <r>
      <rPr>
        <sz val="10"/>
        <color theme="1"/>
        <rFont val="Arial Unicode MS"/>
      </rPr>
      <t>STXT</t>
    </r>
    <r>
      <rPr>
        <sz val="11"/>
        <color theme="1"/>
        <rFont val="Calibri"/>
        <family val="2"/>
        <scheme val="minor"/>
      </rPr>
      <t xml:space="preserve"> pour extraire chaque mot.</t>
    </r>
  </si>
  <si>
    <r>
      <t>2. Calculer la longueur de chaque mot</t>
    </r>
    <r>
      <rPr>
        <sz val="11"/>
        <color theme="1"/>
        <rFont val="Calibri"/>
        <family val="2"/>
        <scheme val="minor"/>
      </rPr>
      <t xml:space="preserve"> : Utilisez </t>
    </r>
    <r>
      <rPr>
        <sz val="10"/>
        <color theme="1"/>
        <rFont val="Arial Unicode MS"/>
      </rPr>
      <t>NBCAR</t>
    </r>
    <r>
      <rPr>
        <sz val="11"/>
        <color theme="1"/>
        <rFont val="Calibri"/>
        <family val="2"/>
        <scheme val="minor"/>
      </rPr>
      <t xml:space="preserve"> pour obtenir la longueur de chaque mot.</t>
    </r>
  </si>
  <si>
    <t>Formule avec CONCATENER pour les versions d'Excel antérieures à 2021</t>
  </si>
  <si>
    <r>
      <t>3. Compter les mots ayant 2 caractères ou plus</t>
    </r>
    <r>
      <rPr>
        <sz val="11"/>
        <color theme="1"/>
        <rFont val="Calibri"/>
        <family val="2"/>
        <scheme val="minor"/>
      </rPr>
      <t xml:space="preserve"> : Utilisez </t>
    </r>
    <r>
      <rPr>
        <sz val="10"/>
        <color theme="1"/>
        <rFont val="Arial Unicode MS"/>
      </rPr>
      <t>SOMMEPROD</t>
    </r>
    <r>
      <rPr>
        <sz val="11"/>
        <color theme="1"/>
        <rFont val="Calibri"/>
        <family val="2"/>
        <scheme val="minor"/>
      </rPr>
      <t xml:space="preserve"> pour compter les mots qui répondent à la condition.</t>
    </r>
  </si>
  <si>
    <t>nombre de caractères</t>
  </si>
  <si>
    <t>Comment bien organiser ses documents, images, fichiers, .</t>
  </si>
  <si>
    <t>Voici une formule qui devrait fonctionner dans Excel 2021 :</t>
  </si>
  <si>
    <t>Comment bien nommer ses fichiers</t>
  </si>
  <si>
    <t>créer des noms de fichiers accessibles</t>
  </si>
  <si>
    <t>SOMMEPROD(--(NBCAR(TRIM(STXT(A1, LIGNE(INDIRECT("1:"&amp;NB.MOTS(A1))), " ")))&gt;=2))</t>
  </si>
  <si>
    <t>Nommer, renommer un classeur, une feuille</t>
  </si>
  <si>
    <t>Classer efficacement des documents numériques</t>
  </si>
  <si>
    <t>Comment lister les fichiers enregistrés dans un dossier et ses sous-dossiers sans VBA sur Excel ?</t>
  </si>
  <si>
    <r>
      <t>1. NB.MOTS(A1)</t>
    </r>
    <r>
      <rPr>
        <sz val="11"/>
        <color theme="1"/>
        <rFont val="Calibri"/>
        <family val="2"/>
        <scheme val="minor"/>
      </rPr>
      <t xml:space="preserve"> : Calcule le nombre de mots dans la cellule A1.</t>
    </r>
  </si>
  <si>
    <t>Formule optimisée avec TEXTE.JOIN et FILTRE : pour les versions Excel 365 ou Excel 2021</t>
  </si>
  <si>
    <r>
      <t>2. LIGNE(INDIRECT("1:"&amp;NB.MOTS(A1)))</t>
    </r>
    <r>
      <rPr>
        <sz val="11"/>
        <color theme="1"/>
        <rFont val="Calibri"/>
        <family val="2"/>
        <scheme val="minor"/>
      </rPr>
      <t xml:space="preserve"> : Génère une série de nombres de 1 à </t>
    </r>
    <r>
      <rPr>
        <sz val="10"/>
        <color theme="1"/>
        <rFont val="Arial Unicode MS"/>
      </rPr>
      <t>NB.MOTS(A1)</t>
    </r>
    <r>
      <rPr>
        <sz val="11"/>
        <color theme="1"/>
        <rFont val="Calibri"/>
        <family val="2"/>
        <scheme val="minor"/>
      </rPr>
      <t>.</t>
    </r>
  </si>
  <si>
    <r>
      <t>3. STXT(A1, LIGNE(INDIRECT("1:"&amp;NB.MOTS(A1))), " ")</t>
    </r>
    <r>
      <rPr>
        <sz val="11"/>
        <color theme="1"/>
        <rFont val="Calibri"/>
        <family val="2"/>
        <scheme val="minor"/>
      </rPr>
      <t xml:space="preserve"> : Extrait chaque mot en utilisant </t>
    </r>
    <r>
      <rPr>
        <sz val="10"/>
        <color theme="1"/>
        <rFont val="Arial Unicode MS"/>
      </rPr>
      <t>STXT</t>
    </r>
    <r>
      <rPr>
        <sz val="11"/>
        <color theme="1"/>
        <rFont val="Calibri"/>
        <family val="2"/>
        <scheme val="minor"/>
      </rPr>
      <t xml:space="preserve"> et l'espace comme délimiteur.</t>
    </r>
  </si>
  <si>
    <t>https://pixabay.com/fr/photos/search/%C3%A9pices/</t>
  </si>
  <si>
    <r>
      <t>4. TRIM(STXT(...))</t>
    </r>
    <r>
      <rPr>
        <sz val="11"/>
        <color theme="1"/>
        <rFont val="Calibri"/>
        <family val="2"/>
        <scheme val="minor"/>
      </rPr>
      <t xml:space="preserve"> : Supprime les espaces supplémentaires autour des mots.</t>
    </r>
  </si>
  <si>
    <t>https://www.pexels.com/fr-fr/chercher/%C3%A9pices/</t>
  </si>
  <si>
    <r>
      <t>5. NBCAR(TRIM(STXT(...)))</t>
    </r>
    <r>
      <rPr>
        <sz val="11"/>
        <color theme="1"/>
        <rFont val="Calibri"/>
        <family val="2"/>
        <scheme val="minor"/>
      </rPr>
      <t xml:space="preserve"> : Calcule la longueur de chaque mot.</t>
    </r>
  </si>
  <si>
    <t>https://gastronomierestauration.blogspot.com/2019/01/audiovisuel-les-aliments-vocabulaire-et.html</t>
  </si>
  <si>
    <r>
      <t>6. --(NBCAR(TRIM(STXT(...)))&gt;=2)</t>
    </r>
    <r>
      <rPr>
        <sz val="11"/>
        <color theme="1"/>
        <rFont val="Calibri"/>
        <family val="2"/>
        <scheme val="minor"/>
      </rPr>
      <t xml:space="preserve"> : Convertit les valeurs en 1 (vrai) ou 0 (faux) en fonction de la condition de longueur.</t>
    </r>
  </si>
  <si>
    <r>
      <t>7. SOMMEPROD(--(NBCAR(TRIM(STXT(...)))&gt;=2))</t>
    </r>
    <r>
      <rPr>
        <sz val="11"/>
        <color theme="1"/>
        <rFont val="Calibri"/>
        <family val="2"/>
        <scheme val="minor"/>
      </rPr>
      <t xml:space="preserve"> : Additionne les valeurs 1 pour obtenir le nombre de mots ayant 2 caractères ou plus.</t>
    </r>
  </si>
  <si>
    <t>Pour la recherche d'images cliquez sur les liens ci-dessous</t>
  </si>
  <si>
    <r>
      <t xml:space="preserve">Cette formule est une formule matricielle, donc vous devez la valider en appuyant sur </t>
    </r>
    <r>
      <rPr>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</si>
  <si>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t>https://www.istockphoto.com/fr/photos/%C3%A9pices</t>
  </si>
  <si>
    <t>https://fr.freepik.com/photos/epices</t>
  </si>
  <si>
    <t>Largeur de Colonne en Unités de Caractères</t>
  </si>
  <si>
    <r>
      <t>1. Définition</t>
    </r>
    <r>
      <rPr>
        <sz val="11"/>
        <color theme="1"/>
        <rFont val="Calibri"/>
        <family val="2"/>
        <scheme val="minor"/>
      </rPr>
      <t xml:space="preserve"> :</t>
    </r>
  </si>
  <si>
    <t>Aprifel</t>
  </si>
  <si>
    <t xml:space="preserve">La largeur de colonne en unités de caractères est déterminée par la largeur moyenne d’un caractère </t>
  </si>
  <si>
    <t>interfel</t>
  </si>
  <si>
    <t>dans la police par défaut d’Excel (généralement Calibri, taille 11). Une unité correspond à la largeur du chiffre "0" dans cette police.</t>
  </si>
  <si>
    <t>Cette mesure, propre à Excel, indique approximativement combien de caractères peuvent être affichés dans une cellule.</t>
  </si>
  <si>
    <t>Mettez la collaboration au coeur de votre environnement de travail</t>
  </si>
  <si>
    <r>
      <t>Exemple</t>
    </r>
    <r>
      <rPr>
        <sz val="11"/>
        <color theme="1"/>
        <rFont val="Calibri"/>
        <family val="2"/>
        <scheme val="minor"/>
      </rPr>
      <t xml:space="preserve"> : Une colonne avec une largeur de </t>
    </r>
    <r>
      <rPr>
        <b/>
        <sz val="11"/>
        <color theme="1"/>
        <rFont val="Calibri"/>
        <family val="2"/>
        <scheme val="minor"/>
      </rPr>
      <t>10</t>
    </r>
    <r>
      <rPr>
        <sz val="11"/>
        <color theme="1"/>
        <rFont val="Calibri"/>
        <family val="2"/>
        <scheme val="minor"/>
      </rPr>
      <t xml:space="preserve"> peut contenir environ </t>
    </r>
    <r>
      <rPr>
        <b/>
        <sz val="11"/>
        <color theme="1"/>
        <rFont val="Calibri"/>
        <family val="2"/>
        <scheme val="minor"/>
      </rPr>
      <t>10 caractères</t>
    </r>
    <r>
      <rPr>
        <sz val="11"/>
        <color theme="1"/>
        <rFont val="Calibri"/>
        <family val="2"/>
        <scheme val="minor"/>
      </rPr>
      <t>.</t>
    </r>
  </si>
  <si>
    <t>Comment créer une Arborescence de dossiers</t>
  </si>
  <si>
    <t>La méthode simple pour classer ses dossiers, fichiers et documents sur son ordinateur</t>
  </si>
  <si>
    <r>
      <t>2. Utilisation</t>
    </r>
    <r>
      <rPr>
        <sz val="11"/>
        <color theme="1"/>
        <rFont val="Calibri"/>
        <family val="2"/>
        <scheme val="minor"/>
      </rPr>
      <t xml:space="preserve"> :</t>
    </r>
  </si>
  <si>
    <t>Windows 10 : 15 astuces pour maîtriser l’explorateur de fichiers comme un pro</t>
  </si>
  <si>
    <t>Lorsque vous ajustez la largeur de colonne manuellement en faisant glisser les bordures de colonne ou en utilisant l'option</t>
  </si>
  <si>
    <t>Comment retrouver vos dossiers</t>
  </si>
  <si>
    <t>"Largeur de colonne" dans le menu contextuel, Excel utilise des unités de caractères.</t>
  </si>
  <si>
    <t>Par exemple, si vous définissez la largeur de colonne à 10, cela signifie que la colonne est assez large pour contenir 10 caractères</t>
  </si>
  <si>
    <t>"0" dans la police par défaut.</t>
  </si>
  <si>
    <t>largeur de colonne</t>
  </si>
  <si>
    <t xml:space="preserve">X par </t>
  </si>
  <si>
    <t>Multiplié par</t>
  </si>
  <si>
    <t>Pixels</t>
  </si>
  <si>
    <t>caractères.</t>
  </si>
  <si>
    <t>Calibri 11</t>
  </si>
  <si>
    <t>Largeur de Colonne en Pixels</t>
  </si>
  <si>
    <t>Par défaut, une largeur de colonne de 8,43 correspond à environ 64 pixels.</t>
  </si>
  <si>
    <t>Rectification sur l'impact des cellules vides dans une feuille Excel</t>
  </si>
  <si>
    <t xml:space="preserve">Dans un précédent message, j’avais mentionné que les cellules vides ralentissaient les calculs dans Excel. </t>
  </si>
  <si>
    <t xml:space="preserve">La largeur de colonne en pixels est une mesure plus précise, indépendante de la police utilisée et basée sur les pixels de l'écran. </t>
  </si>
  <si>
    <t>Après vérification, cette affirmation s’avère inexacte.</t>
  </si>
  <si>
    <t xml:space="preserve">Elle est souvent employée dans les scripts VBA ou les macros pour une plus grande précision. </t>
  </si>
  <si>
    <t>Pour optimiser un fichier Excel, il est préférable de se concentrer sur d’autres leviers, tels que :</t>
  </si>
  <si>
    <t>Il s'agit de la largeur réelle affichée à l'écran.</t>
  </si>
  <si>
    <r>
      <t xml:space="preserve">✔ </t>
    </r>
    <r>
      <rPr>
        <b/>
        <sz val="11"/>
        <color theme="1"/>
        <rFont val="Calibri"/>
        <family val="2"/>
        <scheme val="minor"/>
      </rPr>
      <t>Réduire les plages de calcul</t>
    </r>
    <r>
      <rPr>
        <sz val="11"/>
        <color theme="1"/>
        <rFont val="Calibri"/>
        <family val="2"/>
        <scheme val="minor"/>
      </rPr>
      <t xml:space="preserve"> inutiles.</t>
    </r>
  </si>
  <si>
    <r>
      <t xml:space="preserve">En général, </t>
    </r>
    <r>
      <rPr>
        <b/>
        <sz val="11"/>
        <color theme="1"/>
        <rFont val="Calibri"/>
        <family val="2"/>
        <scheme val="minor"/>
      </rPr>
      <t>1 unité de largeur de colonne équivaut à environ 7 pixels</t>
    </r>
    <r>
      <rPr>
        <sz val="11"/>
        <color theme="1"/>
        <rFont val="Calibri"/>
        <family val="2"/>
        <scheme val="minor"/>
      </rPr>
      <t xml:space="preserve">, </t>
    </r>
  </si>
  <si>
    <r>
      <t xml:space="preserve">✔ </t>
    </r>
    <r>
      <rPr>
        <b/>
        <sz val="11"/>
        <color theme="1"/>
        <rFont val="Calibri"/>
        <family val="2"/>
        <scheme val="minor"/>
      </rPr>
      <t>Simplifier les formules</t>
    </r>
    <r>
      <rPr>
        <sz val="11"/>
        <color theme="1"/>
        <rFont val="Calibri"/>
        <family val="2"/>
        <scheme val="minor"/>
      </rPr>
      <t xml:space="preserve"> pour limiter la charge de calcul.</t>
    </r>
  </si>
  <si>
    <t>bien que cette valeur puisse varier selon la police et le niveau de zoom.</t>
  </si>
  <si>
    <r>
      <t xml:space="preserve">✔ </t>
    </r>
    <r>
      <rPr>
        <b/>
        <sz val="11"/>
        <color theme="1"/>
        <rFont val="Calibri"/>
        <family val="2"/>
        <scheme val="minor"/>
      </rPr>
      <t>Optimiser la gestion des formats et des objets</t>
    </r>
    <r>
      <rPr>
        <sz val="11"/>
        <color theme="1"/>
        <rFont val="Calibri"/>
        <family val="2"/>
        <scheme val="minor"/>
      </rPr>
      <t xml:space="preserve"> intégrés dans le fichier.</t>
    </r>
  </si>
  <si>
    <r>
      <t>Exemple</t>
    </r>
    <r>
      <rPr>
        <sz val="11"/>
        <color theme="1"/>
        <rFont val="Calibri"/>
        <family val="2"/>
        <scheme val="minor"/>
      </rPr>
      <t xml:space="preserve"> : Une colonne d'une largeur de 10 correspond à environ </t>
    </r>
    <r>
      <rPr>
        <b/>
        <sz val="11"/>
        <color theme="1"/>
        <rFont val="Calibri"/>
        <family val="2"/>
        <scheme val="minor"/>
      </rPr>
      <t>75 pixels</t>
    </r>
    <r>
      <rPr>
        <sz val="11"/>
        <color theme="1"/>
        <rFont val="Calibri"/>
        <family val="2"/>
        <scheme val="minor"/>
      </rPr>
      <t>.</t>
    </r>
  </si>
  <si>
    <t>La largeur en pixels est moins couramment utilisée directement dans l'interface utilisateur d'Excel,</t>
  </si>
  <si>
    <t>mais elle peut être utile dans les scripts VBA pour des ajustements précis.</t>
  </si>
  <si>
    <t>Par exemple, si vous définissez la largeur de colonne à 100 pixels, cela signifie que la colonne</t>
  </si>
  <si>
    <t>aura une largeur de 100 pixels sur l'écran, indépendamment de la police utilisée.</t>
  </si>
  <si>
    <r>
      <t xml:space="preserve">Le </t>
    </r>
    <r>
      <rPr>
        <sz val="10"/>
        <color theme="1"/>
        <rFont val="Arial Unicode MS"/>
      </rPr>
      <t>-5</t>
    </r>
    <r>
      <rPr>
        <sz val="11"/>
        <color theme="1"/>
        <rFont val="Calibri"/>
        <family val="2"/>
        <scheme val="minor"/>
      </rPr>
      <t xml:space="preserve"> dans la formule ajuste pour l'espace supplémentaire que prend en compte Excel pour la largeur de la cellule.</t>
    </r>
  </si>
  <si>
    <r>
      <t xml:space="preserve">Le </t>
    </r>
    <r>
      <rPr>
        <sz val="10"/>
        <color theme="1"/>
        <rFont val="Arial Unicode MS"/>
      </rPr>
      <t>7</t>
    </r>
    <r>
      <rPr>
        <sz val="11"/>
        <color theme="1"/>
        <rFont val="Calibri"/>
        <family val="2"/>
        <scheme val="minor"/>
      </rPr>
      <t xml:space="preserve"> représente une estimation du nombre moyen de pixels que chaque caractère occupe en </t>
    </r>
    <r>
      <rPr>
        <b/>
        <sz val="11"/>
        <color theme="1"/>
        <rFont val="Calibri"/>
        <family val="2"/>
        <scheme val="minor"/>
      </rPr>
      <t>Calibri 11</t>
    </r>
    <r>
      <rPr>
        <sz val="11"/>
        <color theme="1"/>
        <rFont val="Calibri"/>
        <family val="2"/>
        <scheme val="minor"/>
      </rPr>
      <t>.</t>
    </r>
  </si>
  <si>
    <t>Conclusion :</t>
  </si>
  <si>
    <r>
      <t xml:space="preserve">Pour une largeur de </t>
    </r>
    <r>
      <rPr>
        <b/>
        <sz val="11"/>
        <color theme="1"/>
        <rFont val="Calibri"/>
        <family val="2"/>
        <scheme val="minor"/>
      </rPr>
      <t>550 pixels</t>
    </r>
    <r>
      <rPr>
        <sz val="11"/>
        <color theme="1"/>
        <rFont val="Calibri"/>
        <family val="2"/>
        <scheme val="minor"/>
      </rPr>
      <t xml:space="preserve">, vous pouvez saisir environ </t>
    </r>
    <r>
      <rPr>
        <b/>
        <sz val="11"/>
        <color theme="1"/>
        <rFont val="Calibri"/>
        <family val="2"/>
        <scheme val="minor"/>
      </rPr>
      <t>77 caractères</t>
    </r>
    <r>
      <rPr>
        <sz val="11"/>
        <color theme="1"/>
        <rFont val="Calibri"/>
        <family val="2"/>
        <scheme val="minor"/>
      </rPr>
      <t xml:space="preserve"> avec la police </t>
    </r>
    <r>
      <rPr>
        <b/>
        <sz val="11"/>
        <color theme="1"/>
        <rFont val="Calibri"/>
        <family val="2"/>
        <scheme val="minor"/>
      </rPr>
      <t>Calibri 11</t>
    </r>
    <r>
      <rPr>
        <sz val="11"/>
        <color theme="1"/>
        <rFont val="Calibri"/>
        <family val="2"/>
        <scheme val="minor"/>
      </rPr>
      <t xml:space="preserve"> dans Excel.</t>
    </r>
  </si>
  <si>
    <t>Conversion approximative entre Unités de Caractères et Pixels</t>
  </si>
  <si>
    <t>Il n'y a pas de conversion directe entre les unités de caractères et les pixels, car cela dépend de la police et de la taille de la police utilisée.</t>
  </si>
  <si>
    <t>Cependant, vous pouvez obtenir une approximation en utilisant des scripts VBA pour mesurer et ajuster les largeurs.</t>
  </si>
  <si>
    <r>
      <t>Largeur en pixels</t>
    </r>
    <r>
      <rPr>
        <sz val="11"/>
        <color theme="1"/>
        <rFont val="Calibri"/>
        <family val="2"/>
        <scheme val="minor"/>
      </rPr>
      <t xml:space="preserve"> = </t>
    </r>
    <r>
      <rPr>
        <sz val="10"/>
        <color theme="1"/>
        <rFont val="Arial Unicode MS"/>
      </rPr>
      <t>Largeur de colonne * 7</t>
    </r>
  </si>
  <si>
    <r>
      <t>Largeur de colonne</t>
    </r>
    <r>
      <rPr>
        <sz val="11"/>
        <color theme="1"/>
        <rFont val="Calibri"/>
        <family val="2"/>
        <scheme val="minor"/>
      </rPr>
      <t xml:space="preserve"> = </t>
    </r>
    <r>
      <rPr>
        <sz val="10"/>
        <color theme="1"/>
        <rFont val="Arial Unicode MS"/>
      </rPr>
      <t>Pixels / 7</t>
    </r>
  </si>
  <si>
    <r>
      <t>Remarque</t>
    </r>
    <r>
      <rPr>
        <sz val="11"/>
        <color theme="1"/>
        <rFont val="Calibri"/>
        <family val="2"/>
        <scheme val="minor"/>
      </rPr>
      <t xml:space="preserve"> : Ces valeurs varient légèrement en fonction de la police utilisée et du paramètre de zoom d'Excel.</t>
    </r>
  </si>
  <si>
    <r>
      <t xml:space="preserve">En Excel, la largeur de colonne est basée sur le nombre de caractères d'un texte en </t>
    </r>
    <r>
      <rPr>
        <b/>
        <sz val="11"/>
        <color theme="1"/>
        <rFont val="Calibri"/>
        <family val="2"/>
        <scheme val="minor"/>
      </rPr>
      <t>police Calibri 11</t>
    </r>
    <r>
      <rPr>
        <sz val="11"/>
        <color theme="1"/>
        <rFont val="Calibri"/>
        <family val="2"/>
        <scheme val="minor"/>
      </rPr>
      <t>,</t>
    </r>
  </si>
  <si>
    <t xml:space="preserve"> en particulier le caractère "0".</t>
  </si>
  <si>
    <t>Conversion pixels → caractères en Calibri 11</t>
  </si>
  <si>
    <t>La relation approximative est la suivante :</t>
  </si>
  <si>
    <r>
      <t>1 caractère ≈ 7 pixels</t>
    </r>
    <r>
      <rPr>
        <sz val="11"/>
        <color theme="1"/>
        <rFont val="Calibri"/>
        <family val="2"/>
        <scheme val="minor"/>
      </rPr>
      <t xml:space="preserve"> (en Calibri 11)</t>
    </r>
  </si>
  <si>
    <r>
      <t xml:space="preserve">Largeur de colonne ≈ </t>
    </r>
    <r>
      <rPr>
        <b/>
        <sz val="11"/>
        <color theme="1"/>
        <rFont val="Calibri"/>
        <family val="2"/>
        <scheme val="minor"/>
      </rPr>
      <t>(Pixels - 5) / 7</t>
    </r>
  </si>
  <si>
    <t>Application pour 523 pixels :</t>
  </si>
  <si>
    <t>(523−5)7=5187≈74\frac{(523 - 5)}{7} = \frac{518}{7} \approx 747(523−5)​=7518​≈74</t>
  </si>
  <si>
    <r>
      <t xml:space="preserve">Cela signifie qu’une largeur de </t>
    </r>
    <r>
      <rPr>
        <b/>
        <sz val="11"/>
        <color theme="1"/>
        <rFont val="Calibri"/>
        <family val="2"/>
        <scheme val="minor"/>
      </rPr>
      <t>523 pixels</t>
    </r>
    <r>
      <rPr>
        <sz val="11"/>
        <color theme="1"/>
        <rFont val="Calibri"/>
        <family val="2"/>
        <scheme val="minor"/>
      </rPr>
      <t xml:space="preserve"> permet d’afficher environ </t>
    </r>
    <r>
      <rPr>
        <b/>
        <sz val="11"/>
        <color theme="1"/>
        <rFont val="Calibri"/>
        <family val="2"/>
        <scheme val="minor"/>
      </rPr>
      <t>74 caractères</t>
    </r>
    <r>
      <rPr>
        <sz val="11"/>
        <color theme="1"/>
        <rFont val="Calibri"/>
        <family val="2"/>
        <scheme val="minor"/>
      </rPr>
      <t xml:space="preserve"> en police </t>
    </r>
    <r>
      <rPr>
        <b/>
        <sz val="11"/>
        <color theme="1"/>
        <rFont val="Calibri"/>
        <family val="2"/>
        <scheme val="minor"/>
      </rPr>
      <t>Calibri 11</t>
    </r>
    <r>
      <rPr>
        <sz val="11"/>
        <color theme="1"/>
        <rFont val="Calibri"/>
        <family val="2"/>
        <scheme val="minor"/>
      </rPr>
      <t>.</t>
    </r>
  </si>
  <si>
    <r>
      <t xml:space="preserve">La largeur en </t>
    </r>
    <r>
      <rPr>
        <b/>
        <sz val="12"/>
        <rFont val="Calibri"/>
        <family val="2"/>
        <scheme val="minor"/>
      </rPr>
      <t>unités Excel</t>
    </r>
    <r>
      <rPr>
        <sz val="12"/>
        <rFont val="Calibri"/>
        <family val="2"/>
        <scheme val="minor"/>
      </rPr>
      <t xml:space="preserve"> dépend de la police choisie dans les paramètres par défaut. </t>
    </r>
  </si>
  <si>
    <t>Si vous changez la police ou sa taille, la correspondance entre unités Excel et pixels change légèrement.</t>
  </si>
  <si>
    <t xml:space="preserve">Les pixels sont une mesure fixe liée à l’écran, mais les unités Excel sont plus abstraites, </t>
  </si>
  <si>
    <t>conçues pour s’adapter à la lisibilité des contenus.</t>
  </si>
  <si>
    <t>les deux unités différentes :</t>
  </si>
  <si>
    <t xml:space="preserve">1. Par exemple Largeur de cette colonne </t>
  </si>
  <si>
    <t>Une valeur de largeur de colonne correspond à la largeur</t>
  </si>
  <si>
    <t>d’un nombre donné de caractères du texte écrit en police standard</t>
  </si>
  <si>
    <t>(comme Calibri, taille 11).</t>
  </si>
  <si>
    <r>
      <t xml:space="preserve">Exemple : Une largeur de colonne de </t>
    </r>
    <r>
      <rPr>
        <b/>
        <sz val="12"/>
        <rFont val="Calibri"/>
        <family val="2"/>
        <scheme val="minor"/>
      </rPr>
      <t>1</t>
    </r>
    <r>
      <rPr>
        <sz val="12"/>
        <rFont val="Calibri"/>
        <family val="2"/>
        <scheme val="minor"/>
      </rPr>
      <t xml:space="preserve"> peut contenir un seul caractère,</t>
    </r>
  </si>
  <si>
    <t xml:space="preserve"> tandis qu'une largeur de 10 peut contenir environ 10 caractères.</t>
  </si>
  <si>
    <t>&lt; Largeur</t>
  </si>
  <si>
    <t xml:space="preserve">&lt; Multiplicateur </t>
  </si>
  <si>
    <t>Environ Plus ou moins</t>
  </si>
  <si>
    <t>C'est une indication s'en rapprochant il difficile de trouver le juste multiplicateur</t>
  </si>
  <si>
    <t>excel pourquoi certaines cellules ont un triangle de couleur dans l'angle gauche</t>
  </si>
  <si>
    <t>Gérer les Indicateurs de Vérification d'Erreurs</t>
  </si>
  <si>
    <t>Réponse ChatGPT</t>
  </si>
  <si>
    <t xml:space="preserve">En Excel, un triangle de couleur dans l'angle supérieur gauche d'une cellule est un indicateur visuel </t>
  </si>
  <si>
    <t>Pour gérer les erreurs signalées par les triangles verts :</t>
  </si>
  <si>
    <t>qui signale différents types de messages ou erreurs potentiels. Voici ce que signifient les différentes couleurs de triangles :</t>
  </si>
  <si>
    <r>
      <t>1. Cliquer sur la cellule avec le triangle vert</t>
    </r>
    <r>
      <rPr>
        <sz val="11"/>
        <color theme="1"/>
        <rFont val="Calibri"/>
        <family val="2"/>
        <scheme val="minor"/>
      </rPr>
      <t>.</t>
    </r>
  </si>
  <si>
    <r>
      <t>1. Triangle Vert</t>
    </r>
    <r>
      <rPr>
        <sz val="11"/>
        <color theme="1"/>
        <rFont val="Calibri"/>
        <family val="2"/>
        <scheme val="minor"/>
      </rPr>
      <t xml:space="preserve"> :</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</si>
  <si>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</si>
  <si>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</si>
  <si>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Indicateur de Vérification d'Erreurs</t>
    </r>
    <r>
      <rPr>
        <sz val="11"/>
        <color theme="1"/>
        <rFont val="Calibri"/>
        <family val="2"/>
        <scheme val="minor"/>
      </rPr>
      <t xml:space="preserve"> : Le triangle vert signale des erreurs ou des avertissements potentiels dans les formules de la cellule. </t>
    </r>
  </si>
  <si>
    <r>
      <t>Ignorer l'erreur</t>
    </r>
    <r>
      <rPr>
        <sz val="11"/>
        <color theme="1"/>
        <rFont val="Calibri"/>
        <family val="2"/>
        <scheme val="minor"/>
      </rPr>
      <t xml:space="preserve"> : Si vous êtes sûr que l'erreur n'est pas pertinente, vous pouvez choisir d'ignorer l'erreur pour cette cellule spécifique.</t>
    </r>
  </si>
  <si>
    <t xml:space="preserve">Cela peut inclure des erreurs comme des valeurs incohérentes, des formules qui ne se mettent pas à jour, des références de cellule incorrectes, </t>
  </si>
  <si>
    <r>
      <t>Obtenir de l'aide sur cette erreur</t>
    </r>
    <r>
      <rPr>
        <sz val="11"/>
        <color theme="1"/>
        <rFont val="Calibri"/>
        <family val="2"/>
        <scheme val="minor"/>
      </rPr>
      <t xml:space="preserve"> : Cette option ouvre l'aide d'Excel pour obtenir plus d'informations sur l'erreur spécifique.</t>
    </r>
  </si>
  <si>
    <t>ou d'autres problèmes identifiés par Excel.</t>
  </si>
  <si>
    <t>Désactiver les Indicateurs de Vérification d'Erreurs</t>
  </si>
  <si>
    <r>
      <t>Exemples d'erreurs courantes</t>
    </r>
    <r>
      <rPr>
        <sz val="11"/>
        <color theme="1"/>
        <rFont val="Calibri"/>
        <family val="2"/>
        <scheme val="minor"/>
      </rPr>
      <t xml:space="preserve"> :</t>
    </r>
  </si>
  <si>
    <t>La formule ne correspond pas aux autres formules à proximité.</t>
  </si>
  <si>
    <t>Si vous trouvez les indicateurs de vérification d'erreurs gênants et souhaitez les désactiver, vous pouvez le faire dans les options d'Excel :</t>
  </si>
  <si>
    <t>Les cellules contiennent des années représentées par deux chiffres.</t>
  </si>
  <si>
    <t>La formule omet des cellules dans une plage.</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</si>
  <si>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</si>
  <si>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t>Des formules verrouillées qui se référencent elles-mêmes.</t>
  </si>
  <si>
    <r>
      <t xml:space="preserve">2. Sélectionner </t>
    </r>
    <r>
      <rPr>
        <b/>
        <sz val="10"/>
        <color theme="1"/>
        <rFont val="Arial Unicode MS"/>
      </rPr>
      <t>Formules</t>
    </r>
    <r>
      <rPr>
        <sz val="11"/>
        <color theme="1"/>
        <rFont val="Calibri"/>
        <family val="2"/>
        <scheme val="minor"/>
      </rPr>
      <t xml:space="preserve"> dans le menu de gauche.</t>
    </r>
  </si>
  <si>
    <r>
      <t>Comment corriger ou ignorer</t>
    </r>
    <r>
      <rPr>
        <sz val="11"/>
        <color theme="1"/>
        <rFont val="Calibri"/>
        <family val="2"/>
        <scheme val="minor"/>
      </rPr>
      <t xml:space="preserve"> : Cliquez sur le triangle vert pour voir les options de correction. Vous pouvez choisir d’ignorer l’erreur,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</si>
  <si>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</si>
  <si>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</si>
  <si>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</si>
  <si>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</si>
  <si>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 xml:space="preserve">Les triangles de couleur dans les cellules Excel sont des indicateurs utiles pour attirer votre attention sur les commentaires </t>
  </si>
  <si>
    <t>Vous pouvez survoler la cellule avec votre souris pour voir le contenu du commentaire.</t>
  </si>
  <si>
    <t xml:space="preserve">ou les erreurs potentielles dans vos formules. En sachant ce qu'ils signifient, vous pouvez facilement identifier </t>
  </si>
  <si>
    <r>
      <t>Comment ajouter/modifier</t>
    </r>
    <r>
      <rPr>
        <sz val="11"/>
        <color theme="1"/>
        <rFont val="Calibri"/>
        <family val="2"/>
        <scheme val="minor"/>
      </rPr>
      <t xml:space="preserve"> : Faites un clic droit sur la cellule et choisissez « Nouveau commentaire » pour ajouter un commentaire,</t>
    </r>
  </si>
  <si>
    <t>et résoudre les problèmes dans vos feuilles de calcul.</t>
  </si>
  <si>
    <t xml:space="preserve"> ou « Modifier le commentaire » pour modifier un commentaire existant.</t>
  </si>
  <si>
    <t>NOUVELLE VERSION B</t>
  </si>
  <si>
    <t>Nethèque et Bibliographie : soyez curieux enrichissez vos connaissances</t>
  </si>
  <si>
    <t>mise à jour : 19 Novembre 2023</t>
  </si>
  <si>
    <t>Net-thèque - Webthèque ou Web-thèque comme vous voulez mais ce n'est plus tout à fait une Bibliothèque</t>
  </si>
  <si>
    <t>Un lien rompu ou obsolète…ce n'est pas grave votre moteur de recherche saura vous retrouver une documentation actualisée</t>
  </si>
  <si>
    <t xml:space="preserve">LA CUISINE DE COLLECTIVITÉ éditions BPI  </t>
  </si>
  <si>
    <t>https://www.editions-bpi.fr/collection/2/restauration</t>
  </si>
  <si>
    <t xml:space="preserve">Modernist Cuisine - </t>
  </si>
  <si>
    <t>https://www.youtube.com/user/ModernistCuisine/videos</t>
  </si>
  <si>
    <t xml:space="preserve">Modernist Cuisine Trailer  </t>
  </si>
  <si>
    <t>https://www.youtube.com/watch?v=mEmtg0CCg_A</t>
  </si>
  <si>
    <t xml:space="preserve">Moderniste Cuisine, Art et Science Culinaires </t>
  </si>
  <si>
    <t>https://innovation-culinaire.com/tag/modernist-cuisine/</t>
  </si>
  <si>
    <t>Modernist Cuisine at Home éditions Taschen</t>
  </si>
  <si>
    <t xml:space="preserve"> https://www.taschen.com/pages/fr/catalogue/lifestyle/all/01131/facts.modernist_cuisine_at_home.htm</t>
  </si>
  <si>
    <t>Ressources Open-Sankoré Pro &amp; OpenBoard</t>
  </si>
  <si>
    <t>https://www.hotellerie-restauration.ac-versailles.fr/spip.php?rubrique437</t>
  </si>
  <si>
    <t>357 Fiches techniques interactives</t>
  </si>
  <si>
    <t>https://fiches.hotellerie-restauration.ac-versailles.fr/</t>
  </si>
  <si>
    <t>un chimiste en cuisine</t>
  </si>
  <si>
    <t>https://www.google.com/search?q=un+chimiste+en+cuisine&amp;rlz=1C1FKPE_frFR968FR968&amp;sxsrf=APq-WBs-r7zyvuHp_jtD_XKjKAvRJvV5GA:1648934408231&amp;source=lnms&amp;tbm=vid&amp;sa=X&amp;ved=2ahUKEwjrgqStp_b2AhVFyhoKHT5aCykQ_AUoA3oECAIQBQ&amp;biw=1920&amp;bih=937&amp;dpr=1</t>
  </si>
  <si>
    <t>Yves Cinotti</t>
  </si>
  <si>
    <t>http://mcinotti.free.fr/</t>
  </si>
  <si>
    <t>L’importance de la rigueur scientifique dans l’enseignement culinaire » Clément Voisin</t>
  </si>
  <si>
    <t>http://mcinotti.free.fr/index_htm_files/VOISIN_CLEMENT_M1_PIC.pdf</t>
  </si>
  <si>
    <t xml:space="preserve">Stylique culinaire 2005/2006. Le suivi de l’atelier  </t>
  </si>
  <si>
    <t>https://www.hotellerie-restauration.ac-versailles.fr/spip.php?rubrique216</t>
  </si>
  <si>
    <t xml:space="preserve">LES NOUVELLES INFLUENCES dans les métiers de la Restauration Réactualisation : </t>
  </si>
  <si>
    <t>octobre 2011  © GROUPE DE TRAVAIL ACADEMIQUE AIX MARSEILLE - 2011</t>
  </si>
  <si>
    <t>https://www.hotellerie-restauration.ac-versailles.fr/IMG/pdf/4_TRAITE_scientifique_HR.pdf</t>
  </si>
  <si>
    <t xml:space="preserve">CAHIER de découverte &amp; d expérimentations Denis HERRERO DOCPLAYER  </t>
  </si>
  <si>
    <t>https://docplayer.fr/13671256-Cahier-de-decouverte-d-experimentations-denis-herrero-cahier-en-cours-de-construction-2009-2010.html</t>
  </si>
  <si>
    <t xml:space="preserve">TRAITÉ SCIENTIFIQUE de cuisine et de pâtisserie  Réactualisation : juin 2013 </t>
  </si>
  <si>
    <t>https://fr.scribd.com/document/432996876/traite-scientifique-cuisine-patisserie-pdf</t>
  </si>
  <si>
    <t xml:space="preserve">Editions du Chêne  </t>
  </si>
  <si>
    <t>https://www.editionsduchene.fr/chene/cuisine-et-vins</t>
  </si>
  <si>
    <t xml:space="preserve">Librairie du Compagnonnage </t>
  </si>
  <si>
    <t>https://www.librairie-compagnons.com/181-gastronomie-et-cuisine.html</t>
  </si>
  <si>
    <t xml:space="preserve">Éditions Delagrave </t>
  </si>
  <si>
    <t>https://www.editions-delagrave.fr/catalogue/hotellerie-restauration</t>
  </si>
  <si>
    <t xml:space="preserve">Éditions de La Martinière </t>
  </si>
  <si>
    <t>https://www.editionsdelamartiniere.fr/cuisine/</t>
  </si>
  <si>
    <t xml:space="preserve">Librairie Eyrolles </t>
  </si>
  <si>
    <t>https://www.eyrolles.com/Loisirs/Collection/16085/meilleur-ouvrier-de-france/</t>
  </si>
  <si>
    <t xml:space="preserve">Les Editions Lacour-Ollé, 1er éditeur régionaliste de France </t>
  </si>
  <si>
    <t>https://www.editions-lacour.com/cuisine-8-99.php</t>
  </si>
  <si>
    <t>BNF Gallica Métiers et savoir-faire : cuisine, boucherie, boulangerie, pâtisserie…</t>
  </si>
  <si>
    <t>https://gallica.bnf.fr/html/und/arts-loisirs-sports/metiers-et-savoir-faire?mode=desktop</t>
  </si>
  <si>
    <t xml:space="preserve">Sur Gallica, découvrez les repas, banquets et festins </t>
  </si>
  <si>
    <t>https://gallica.bnf.fr/conseils/content/repas</t>
  </si>
  <si>
    <t xml:space="preserve">L’organisation des repas a évolué au cours des siècles </t>
  </si>
  <si>
    <t>https://gallica.bnf.fr/conseils/content/menus</t>
  </si>
  <si>
    <t xml:space="preserve">Découvrez la pâtisserie sur Gallica </t>
  </si>
  <si>
    <t>https://gallica.bnf.fr/conseils/content/p%C3%A2tisserie</t>
  </si>
  <si>
    <t xml:space="preserve">Gallica vous propose un choix de documents sur le pain </t>
  </si>
  <si>
    <t>https://gallica.bnf.fr/conseils/content/pain</t>
  </si>
  <si>
    <t xml:space="preserve">Les Sélections "Patrimoine gourmand" de Gallica </t>
  </si>
  <si>
    <t>https://gallica.bnf.fr/conseils/content/gastronomie</t>
  </si>
  <si>
    <t xml:space="preserve">Livre de recettes anciennes et modernes  </t>
  </si>
  <si>
    <t>https://gallica.bnf.fr/conseils/content/cuisine</t>
  </si>
  <si>
    <t xml:space="preserve">Essentiels de la gastronomie </t>
  </si>
  <si>
    <t>https://gallica.bnf.fr/html/und/arts-loisirs-sports/essentiels-de-la-gastronomie?mode=desktop</t>
  </si>
  <si>
    <t>Quelques liens utiles</t>
  </si>
  <si>
    <t>Cliquez sur les cellules pour récupérer formules et formats pour créer vos documents</t>
  </si>
  <si>
    <t>Afficher les relations entre formules et cellules</t>
  </si>
  <si>
    <t>https://support.microsoft.com/fr-fr/office/afficher-les-relations-entre-formules-et-cellules-a59bef2b-3701-46bf-8ff1-d3518771d507</t>
  </si>
  <si>
    <t>Afficher les formules sur Excel</t>
  </si>
  <si>
    <t>https://www.youtube.com/watch?v=Zmyy7IVzwSU</t>
  </si>
  <si>
    <t>https://www.youtube.com/watch?v=wypW8d3QLMA&amp;list=PLi1inEC75RnZ05rFfOE-4b0sGuY1iSpUi&amp;index=3</t>
  </si>
  <si>
    <t>Propagation est une nouvelle erreur dans Excel</t>
  </si>
  <si>
    <t>https://www.excel-exercice.com/cest-quoi-lerreur-propagation/</t>
  </si>
  <si>
    <t>Excel - les graphiques - histogramme présentation</t>
  </si>
  <si>
    <t>https://www.youtube.com/watch?v=ymu7yj-U5go</t>
  </si>
  <si>
    <t>format personnalisé pour ne plus avoir de valezurs 0 Zéro dans les graphiques   * # ##0.000 "Kg";* # ##0.000 "Kg";""* ""?? ;""@""</t>
  </si>
  <si>
    <t>https://www.lecfomasque.com/excel-supprimer-les-etiquettes-a-zero-dans-vos-graphiques/</t>
  </si>
  <si>
    <t>https://www.youtube.com/watch?v=Wc_6nbxOPuw</t>
  </si>
  <si>
    <t>Excel 2016 - Ajouter ou supprimer des éléments d'un graphique</t>
  </si>
  <si>
    <t>https://www.youtube.com/watch?v=62vf44X5FZs</t>
  </si>
  <si>
    <t>Astuce Excel - Supprimer la Mise en Forme d'un Tableau en 1 clic</t>
  </si>
  <si>
    <t>https://www.youtube.com/watch?v=UOY23qEo6VU&amp;list=PLvGH1Mqd1Cla2JWRORAmlYPIpY5pzWodI&amp;index=8</t>
  </si>
  <si>
    <t>Convertir un tableau en plage de données dans un classeur Excel</t>
  </si>
  <si>
    <t>https://www.youtube.com/watch?v=ZQ5EYIApttA</t>
  </si>
  <si>
    <t>Astuce Excel - Remplir les cellules vides</t>
  </si>
  <si>
    <t>https://www.youtube.com/watch?v=hZZHpk6QTls&amp;list=PLvGH1Mqd1Cla2JWRORAmlYPIpY5pzWodI&amp;index=8</t>
  </si>
  <si>
    <t xml:space="preserve">Comment masquer les lignes </t>
  </si>
  <si>
    <t>EXCEL - MASQUER DES ÉLÉMENTS</t>
  </si>
  <si>
    <t>https://www.youtube.com/watch?v=8NMinBfc9EU</t>
  </si>
  <si>
    <t>https://support.microsoft.com/fr-fr/office/filtrer-les-donn%C3%A9es-d-une-plage-ou-d-un-tableau-01832226-31b5-4568-8806-38c37dcc180e</t>
  </si>
  <si>
    <t>Copier-Coller dans Excel (raccourcis, poignée de recopie, ...)</t>
  </si>
  <si>
    <t>https://www.youtube.com/watch?v=expHJ3wlxSo</t>
  </si>
  <si>
    <t>https://www.youtube.com/watch?v=qQzQ0NuOx3c</t>
  </si>
  <si>
    <t>Astuce Excel : Afficher une image en survolant une cellule (coller une image dans commentaires)</t>
  </si>
  <si>
    <t>https://www.youtube.com/shorts/eFGsqU5y9mA</t>
  </si>
  <si>
    <t>Arrête d'utiliser les filtres comme ça sur Excel !</t>
  </si>
  <si>
    <t>https://www.youtube.com/shorts/0_9z2Iw4Hrc</t>
  </si>
  <si>
    <t>Importer un PDF sur Excel en quelques clics !</t>
  </si>
  <si>
    <t>https://www.youtube.com/shorts/C79P3RK1APQ</t>
  </si>
  <si>
    <t>https://www.youtube.com/watch?v=UF9qvUxvrW0&amp;list=PLrTSZgOvZVOBI9t5rPrQnBaLpnFNgahz_</t>
  </si>
  <si>
    <t>données à partir d'une image</t>
  </si>
  <si>
    <t>https://www.youtube.com/shorts/r27bzH0Q2PE</t>
  </si>
  <si>
    <t>Astuces impresssion</t>
  </si>
  <si>
    <t>https://www.youtube.com/watch?v=sM42gxA5npU</t>
  </si>
  <si>
    <t>Comment créer des menus et sous menus sur excel</t>
  </si>
  <si>
    <t>https://www.youtube.com/watch?v=lXfgLJD6glA</t>
  </si>
  <si>
    <t>Compter le nombre de caractères – Fonction NBCAR</t>
  </si>
  <si>
    <t>https://www.excel-exercice.com/nbcar/</t>
  </si>
  <si>
    <t>Excel n'apprécie pas les cellules vides j'ai donc saisi des valeurs 1 dans quelques cellule inutilisés</t>
  </si>
  <si>
    <t>https://excel-dashboards.com/fr/blogs/blog/empty-cells-triggers-error-excel</t>
  </si>
  <si>
    <t>Conserver les largeurs de colonnes lors de la recopie d'un tableau Excel</t>
  </si>
  <si>
    <t>https://www.youtube.com/watch?v=5CBN2_QsQxU&amp;list=PLpQBnWleLAauEf_xMDiuo8rfajhNVIVbY&amp;index=25</t>
  </si>
  <si>
    <t>Compter les colonnes visibles</t>
  </si>
  <si>
    <t>https://www.bonbache.fr/compter-les-colonnes-visibles-et-masquees-avec-excel-826.html</t>
  </si>
  <si>
    <t>Lister les onglets Excel et créer un sommaire dynamique avec des liens hypertextes</t>
  </si>
  <si>
    <t>https://www.youtube.com/watch?v=paGN1SIlmFE&amp;list=PL0inLf542qwyyCmp9A_T2Ran-JMw46Z_F&amp;index=72</t>
  </si>
  <si>
    <t>Créer des barres de données instantanément avec ce raccourci !</t>
  </si>
  <si>
    <t>https://www.youtube.com/shorts/Y7WA30mkkUw?feature=share</t>
  </si>
  <si>
    <t>[EXCEL] Fonctions logique SI, SI imbriqués et RECHERCHEV</t>
  </si>
  <si>
    <t>https://clarisse-tutoriels-informatiques.fr/suite-bureautique-microsoft-office/microsoft-excel/excel-fonctions-logique-si-si-imbriques-et-recherchev/</t>
  </si>
  <si>
    <t>Faut-il utiliser INDEX + EQUIV à la place de RECHERCHEV ? (7 astuces Excel pour tous)</t>
  </si>
  <si>
    <t>https://www.youtube.com/watch?v=jbOhuGvvpA0</t>
  </si>
  <si>
    <t>Méthodes pour compter des valeurs dans une feuille de calcul</t>
  </si>
  <si>
    <t>https://support.microsoft.com/fr-fr/office/m%C3%A9thodes-pour-compter-des-valeurs-dans-une-feuille-de-calcul-81335b1b-d5e8-4f42-ae72-245b948c45bd</t>
  </si>
  <si>
    <t>Compter le nombre de cellules égales à une valeur</t>
  </si>
  <si>
    <t>https://waytolearnx.com/2019/08/compter-le-nombre-de-cellules-egales-a-une-valeur-excel.html</t>
  </si>
  <si>
    <t>Chaque image est arrondi avec ce convertisseur d’image en ligne</t>
  </si>
  <si>
    <t>https://www.topster.fr/images-rondes/</t>
  </si>
  <si>
    <t>Ajoutez des emoji dans vos fiches</t>
  </si>
  <si>
    <t>https://fr.piliapp.com/emoji/list/#tag</t>
  </si>
  <si>
    <t>Emoji réseaux sociaux et émoticônes à copier-coller</t>
  </si>
  <si>
    <t>https://www.proinfluent.com/emoji-reseaux-sociaux/</t>
  </si>
  <si>
    <t>https://pixabay.com/fr/images/search/%C3%A9motic%C3%B4ne/?order=trending</t>
  </si>
  <si>
    <t>http://dlssm.free.fr/s1.html</t>
  </si>
  <si>
    <t>https://www.gifsanimes.com/cat-cuisiniers-et-chefs-92.htm</t>
  </si>
  <si>
    <t>https://emojipedia.org/facebook/</t>
  </si>
  <si>
    <t>Top 10 des sites d'Emoji gratuits pour télécharger des Emojis en ligne</t>
  </si>
  <si>
    <t>https://filmora.wondershare.fr/animated-video/free-emoji-website-to-download-emoji.html</t>
  </si>
  <si>
    <t xml:space="preserve">Couleur du texte  Avec cet outil, vous pouvez créer des textes colorés </t>
  </si>
  <si>
    <t>https://www.topster.fr/texte/kolorieren.html</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</si>
  <si>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</si>
  <si>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Nu+H173+AA178:AB202+AA178:AB194+AA1+AA178:AB200</t>
  </si>
  <si>
    <t>https://www.excel-exercice.com/nuances-de-couleurs-dans-excel/</t>
  </si>
  <si>
    <t>Comment retrouver son HEX et bien l’utiliser</t>
  </si>
  <si>
    <t>https://atelier337.fr/code-couleur-hex/</t>
  </si>
  <si>
    <t>Découvrez de belles harmonies de couleurs, utilisez la roue chromatique pour créer de superbes palettes de couleurs.</t>
  </si>
  <si>
    <t>https://photokit.com/colors/color-wheel/?lang=fr</t>
  </si>
  <si>
    <t>XlRgbColor, éumération (Excel)</t>
  </si>
  <si>
    <t>Quelles sont les couleurs qui vont ensemble pour un look tendance ?</t>
  </si>
  <si>
    <t>https://www.aufeminin.com/conseils-de-mode/couleurs-qui-vont-ensemble-s4015601.html</t>
  </si>
  <si>
    <t>Couleurs pastels : 5 façons de les porter !</t>
  </si>
  <si>
    <t>https://amourmodeetbeaute.com/couleurs-pastels/</t>
  </si>
  <si>
    <t>Couleur pastel : comment dompter la douceur attitude en déco ?</t>
  </si>
  <si>
    <t>https://www.maisoncreative.com/decorer/couleurs/deco-pastel-comment-dompter-la-douceur-attitude-6335</t>
  </si>
  <si>
    <t>Voici les plus belles combinaisons de couleurs pour votre déco!</t>
  </si>
  <si>
    <t>https://www.noovomoi.ca/style-et-maison/maison/article.10-combinaisons-de-couleurs.1.3811169.html</t>
  </si>
  <si>
    <t>Comment récupérer le code couleur d’une image ou d’une photo</t>
  </si>
  <si>
    <t>https://www.melina-camberbet.com/2021/01/27/comment-recuperer-le-code-couleur-dune-image/</t>
  </si>
  <si>
    <t>Comment trouver le code couleur d’un site internet ?</t>
  </si>
  <si>
    <t>https://antoine-moulard.com/webmarketing/comment-trouver-code-couleur-site-internet/</t>
  </si>
  <si>
    <t>COMMENT COMPTER LES LIGNES MASQUÉES dans une plage de cellules</t>
  </si>
  <si>
    <t>Quelques objets qui se déplacent en cliquant dessus vous pouvez les réduire ou les agrandir</t>
  </si>
  <si>
    <t>affichage</t>
  </si>
  <si>
    <t>format personnalisé</t>
  </si>
  <si>
    <t>LIGNES(A73:A75)</t>
  </si>
  <si>
    <t>LIGNE()+1</t>
  </si>
  <si>
    <t xml:space="preserve"> "▼ de "0</t>
  </si>
  <si>
    <t xml:space="preserve">dans la première colonne indiquez les lignes à masquer </t>
  </si>
  <si>
    <t xml:space="preserve"> en collant une flèche ►puis sélectionner le nombre de cellules avec la formule NBVAL</t>
  </si>
  <si>
    <t>le résultat jaune se colle avant et le résultat vert se colle après les cellules concernées</t>
  </si>
  <si>
    <t>LIGNE()-1</t>
  </si>
  <si>
    <t>"▲ à "0</t>
  </si>
  <si>
    <t>COMMENT RECHERCHER UN NOMBRE DE VALEURS DANS UNE PAGE</t>
  </si>
  <si>
    <t>Liens  ►</t>
  </si>
  <si>
    <t>https://fr.piliapp.com/symbol/#whatisit</t>
  </si>
  <si>
    <t>collez quelque part dans votre feuille ce qu'il faut rechercher</t>
  </si>
  <si>
    <t>https://www.messletters.com/fr/symbols/</t>
  </si>
  <si>
    <t>saisissez la formule suivante adaptée à votre page NB.SI(A81:E85;E79)</t>
  </si>
  <si>
    <t>Quelques sites pour vous former</t>
  </si>
  <si>
    <t>https://www.excel-exercice.com/frederic-le-guen/</t>
  </si>
  <si>
    <t>Stéphane ROSSETTI</t>
  </si>
  <si>
    <t>https://www.facebook.com/Sformateur</t>
  </si>
  <si>
    <t>https://www.youtube.com/channel/UCW-_iHbGuZG9nsE8D76lpIQ/videos</t>
  </si>
  <si>
    <t>https://www.bonbache.fr/</t>
  </si>
  <si>
    <t>L'Ingénieur Y</t>
  </si>
  <si>
    <t>https://www.youtube.com/@lingenieur.y/videos</t>
  </si>
  <si>
    <t>Le Professor Excel</t>
  </si>
  <si>
    <t>https://www.youtube.com/@leprofessor/shorts</t>
  </si>
  <si>
    <t>Thomas l'Exceleur</t>
  </si>
  <si>
    <t>https://www.youtube.com/@lexceleur/shorts</t>
  </si>
  <si>
    <t>Shorts Excels en vrac</t>
  </si>
  <si>
    <t>https://www.youtube.com/results?search_query=shorts+excel</t>
  </si>
  <si>
    <t>Excel Free Pour Tous</t>
  </si>
  <si>
    <t>https://www.youtube.com/@excel_free/videos</t>
  </si>
  <si>
    <t>La Tech avec Bertrand - Une chaîne Youtube pour progresser</t>
  </si>
  <si>
    <t>https://www.youtube.com/c/LaTechavecBertrand/featured</t>
  </si>
  <si>
    <t>Audrey Lafleur</t>
  </si>
  <si>
    <t>https://www.youtube.com/@audreylafleur253/videos</t>
  </si>
  <si>
    <t>Axel ROBIN</t>
  </si>
  <si>
    <t>https://www.youtube.com/@AxelROBINFormations/shorts</t>
  </si>
  <si>
    <t>Naël | Bureautique Gestion</t>
  </si>
  <si>
    <t>https://www.youtube.com/@NaelBAADACHE/shorts</t>
  </si>
  <si>
    <t>Docteur Excel</t>
  </si>
  <si>
    <t>https://www.youtube.com/@DocteurExcel/videos</t>
  </si>
  <si>
    <t>Cyril Seguenot</t>
  </si>
  <si>
    <t>https://www.youtube.com/@bureautique-efficace/videos</t>
  </si>
  <si>
    <t>https://bureautique-efficace.com/blog/</t>
  </si>
  <si>
    <t>AGNES Tutos et Formations</t>
  </si>
  <si>
    <t>https://www.youtube.com/@AGNESTutosFormations/playlists</t>
  </si>
  <si>
    <t>Excel x Solpedinn</t>
  </si>
  <si>
    <t>https://www.youtube.com/@Solpedinn/shorts</t>
  </si>
  <si>
    <t xml:space="preserve">Lecompagnon  </t>
  </si>
  <si>
    <t>https://www.youtube.com/@lecompagnoninfo/videos</t>
  </si>
  <si>
    <t>Formations express - replays</t>
  </si>
  <si>
    <t>https://www.youtube.com/playlist?list=PLoeG40YJ6XVTVHLRrgzWfhxxjuv3xAUsL</t>
  </si>
  <si>
    <t>et bien d'autres sur youtube</t>
  </si>
  <si>
    <t xml:space="preserve">Transmettez votre savoir et votre savoir faire </t>
  </si>
  <si>
    <t>peu importe qui les récupère; pourvu qu'un plus grand nombre puisse en bénéficier.</t>
  </si>
  <si>
    <t>Structurer la transmission du savoir et des compétences en entreprise</t>
  </si>
  <si>
    <t>https://www.youtube.com/watch?v=yUb6Lk9LynA</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</si>
  <si>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</si>
  <si>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</si>
  <si>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</si>
  <si>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</si>
  <si>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</si>
  <si>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</si>
  <si>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</si>
  <si>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</si>
  <si>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</si>
  <si>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</si>
  <si>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</si>
  <si>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</si>
  <si>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</si>
  <si>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</si>
  <si>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</si>
  <si>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</si>
  <si>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</si>
  <si>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</si>
  <si>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</si>
  <si>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</si>
  <si>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</si>
  <si>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</si>
  <si>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</si>
  <si>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</si>
  <si>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</si>
  <si>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</si>
  <si>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</si>
  <si>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</si>
  <si>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</si>
  <si>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</si>
  <si>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Mathématiques financières avec Excel</t>
  </si>
  <si>
    <t>https://www.youtube.com/watch?v=1MxNEwioRY0&amp;list=PLs0xhXB4-vhTHiYgIVlukRsnVh9ReYQVT</t>
  </si>
  <si>
    <t>Power Query ?</t>
  </si>
  <si>
    <t>https://datascientest.com/power-query-tout-savoir</t>
  </si>
  <si>
    <t>https://www.youtube.com/watch?v=iogEHqAaPhA</t>
  </si>
  <si>
    <t>https://www.youtube.com/watch?v=NknyPRzER4k</t>
  </si>
  <si>
    <t>https://www.youtube.com/watch?v=dtNOvFT1qBI&amp;list=PLwfDxSdhDUn7ctQ6OCCWj3igMi8NbJyhE</t>
  </si>
  <si>
    <t>Utiliser Power Query d'Excel en Gestion documentaire</t>
  </si>
  <si>
    <t>https://www.youtube.com/watch?v=MTNN3BAbKjE</t>
  </si>
  <si>
    <t>Les 5 raisons ultimes d'apprendre Power BI</t>
  </si>
  <si>
    <t>https://www.youtube.com/watch?v=X8sMFbWunjo&amp;list=PLrTSZgOvZVOBI9t5rPrQnBaLpnFNgahz_&amp;index=5</t>
  </si>
  <si>
    <t>https://www.youtube.com/watch?v=8mvoaIMVedM</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</si>
  <si>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</si>
  <si>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</si>
  <si>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</si>
  <si>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</si>
  <si>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</si>
  <si>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</si>
  <si>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</si>
  <si>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</si>
  <si>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</si>
  <si>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</si>
  <si>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</si>
  <si>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</si>
  <si>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Certaines fiches sont optimisées pour l’impression en format A4, avec une fiche de progression sur une seconde page, idéale pour un suivi détaillé. </t>
  </si>
  <si>
    <t>Vous pouvez également copier et archiver facilement les "Postits" ou sections détachables.</t>
  </si>
  <si>
    <t xml:space="preserve">Les modèles depuis 2022 permettent la saisie de quantités dans différentes unités (g, kg, L, dl, cl, ml), </t>
  </si>
  <si>
    <t xml:space="preserve">avec une conversion automatique en poids ou en volume selon le modèle utilisé. </t>
  </si>
  <si>
    <t>Cette fonctionnalité est encore plus étendue sur les fiches "cocktails".</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</si>
  <si>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</si>
  <si>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</si>
  <si>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</si>
  <si>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If you're an absolute master of Pifometry, a champion of the wet finger and a virtuoso of random estimation... </t>
  </si>
  <si>
    <t xml:space="preserve">ne perdez pas votre précieuse énergie ici. Ces documents ne sont pas dignes de vos talents légendaires. </t>
  </si>
  <si>
    <t xml:space="preserve">don't waste your precious energy here. These documents are not worthy of your legendary talents. </t>
  </si>
  <si>
    <t>Passez votre chemin et continuez d’éblouir le monde de vos approximations divines !</t>
  </si>
  <si>
    <t>Move along and continue to dazzle the world with your divine approximations!</t>
  </si>
  <si>
    <t xml:space="preserve">Le Mondial de la Pifométrie &gt; </t>
  </si>
  <si>
    <t>https://www.google.com/search?client=firefox-b-d&amp;q=Mondial+de+la+Pifom%C3%A9trie</t>
  </si>
  <si>
    <t xml:space="preserve"> &lt; The World of Pifometry</t>
  </si>
  <si>
    <t xml:space="preserve">Il n’y a rien de dévalorisant à ne pas tout savoir ; une personne n’est pas jugée sur ce qu’elle ignore, </t>
  </si>
  <si>
    <t>mais sur ses compétences et la façon dont elle les met en œuvre.</t>
  </si>
  <si>
    <t>Sachant qu’un·e collaborateur·trice passe en moyenne 7 h 30 par semaine à rechercher une information sans la trouver</t>
  </si>
  <si>
    <t xml:space="preserve"> (source : Association Information et Management), il devient évident qu’une entreprise a tout intérêt à mettre en place </t>
  </si>
  <si>
    <t>un processus de gestion des connaissances (knowledge management) pour mieux maîtriser son capital informationnel.</t>
  </si>
  <si>
    <t>https://www.appvizer.fr/magazine/collaboration/km/gestion-des-connaissances</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</si>
  <si>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</si>
  <si>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</si>
  <si>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</si>
  <si>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Excel works a bit like the game of Battleship: it analyzes the gaps between cells - horizontally, vertically or diagonally -</t>
  </si>
  <si>
    <t xml:space="preserve"> horizontalement, verticalement ou en diagonale – pour effectuer ses calculs.</t>
  </si>
  <si>
    <t xml:space="preserve"> to perform its calculations.</t>
  </si>
  <si>
    <t xml:space="preserve"> horizontally, vertically or diagonally - to perform its calculations.</t>
  </si>
  <si>
    <t xml:space="preserve">Ces modèles intègrent les unités de mesure françaises pour les poids et volumes, ainsi que les unités anglaises </t>
  </si>
  <si>
    <t xml:space="preserve">I recommend you keep this file as a template. </t>
  </si>
  <si>
    <t>telles que l'once (oz), l'once liquide (fl oz), la cup, ou encore des mesures spécifiques au bar comme le shot, le pony ou le jigger.</t>
  </si>
  <si>
    <t>Select the sheets you're interested in, copy them into your workbook, then delete the columns you don't need.</t>
  </si>
  <si>
    <t xml:space="preserve"> Ils s’adressent aussi bien aux établissements de formation qu’aux professionnels souhaitant structurer et optimiser leur activité.</t>
  </si>
  <si>
    <t>Then customize and adapt the documents to your needs.</t>
  </si>
  <si>
    <t>These models incorporate French units of measurement for weights and volumes, as well as English units.</t>
  </si>
  <si>
    <t>such as the ounce (oz), the liquid ounce (fl oz), the cup, or even measures specific to sea bass such as the shot, the pony or the jigger.</t>
  </si>
  <si>
    <t xml:space="preserve"> They are aimed at training establishments as well as professionals wishing to structure and optimise their activity.</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</si>
  <si>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</si>
  <si>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</si>
  <si>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</si>
  <si>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</si>
  <si>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Copying an Excel sheet into a new workbook</t>
  </si>
  <si>
    <t>1️⃣ Faites un clic droit sur l’onglet de la fiche.</t>
  </si>
  <si>
    <t>1️⃣ Right-click on the form's tab.</t>
  </si>
  <si>
    <t>2️⃣ Sélectionnez "Déplacer ou copier...".</t>
  </si>
  <si>
    <t>2️⃣ Select “Move or copy...”.</t>
  </si>
  <si>
    <t>3️⃣ Choisissez "(nouveau classeur)", cochez "Créer une copie", puis cliquez sur OK.</t>
  </si>
  <si>
    <t>3️⃣ Choose “(new workbook)”, check “Create a copy”, then click OK.</t>
  </si>
  <si>
    <t>4️⃣ Dans le nouveau classeur, allez dans "Fichier" &gt; "Enregistrer sous", nommez et enregistrez le fichier.</t>
  </si>
  <si>
    <t>4️⃣ In the new folder, go to “File” &gt; “Save as”, name and save the file.</t>
  </si>
  <si>
    <t>Votre fiche est prête à être envoyée ! ✅</t>
  </si>
  <si>
    <t>Your form is ready to send! ✅</t>
  </si>
  <si>
    <t>Dernières modifications</t>
  </si>
  <si>
    <t>Composition du classeur</t>
  </si>
  <si>
    <t>Transmission des savoirs</t>
  </si>
  <si>
    <t xml:space="preserve"> Modèles  2  postits  - 1 postit pour les quantités et 1 postit pour la progression</t>
  </si>
  <si>
    <t>Mode.d.Emploi</t>
  </si>
  <si>
    <t>Qu'est-ce</t>
  </si>
  <si>
    <t>Aide.Traduction.Trilingue</t>
  </si>
  <si>
    <t>Comment créer une fiche séparée bilingue dans Excel</t>
  </si>
  <si>
    <t>Méthode simple et propre :</t>
  </si>
  <si>
    <t>Vous dupliquez la fiche Excel.</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</si>
  <si>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</si>
  <si>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</si>
  <si>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</si>
  <si>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Avantage : les deux versions sont prêtes à imprimer ou envoyer,</t>
  </si>
  <si>
    <t>et vous évitez de casser des formules accidentellement.</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</si>
  <si>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</si>
  <si>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</si>
  <si>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</si>
  <si>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</si>
  <si>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</si>
  <si>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</si>
  <si>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</si>
  <si>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</si>
  <si>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</si>
  <si>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</si>
  <si>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</si>
  <si>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Cette fiche vous permet :</t>
  </si>
  <si>
    <t>d’archiver vos recettes</t>
  </si>
  <si>
    <t>Exemple.de.Répertoire.simple</t>
  </si>
  <si>
    <t>A chacun de choisir son mode de classement : Exemple PÂTE A CIGARETTES à répertorier dans  P ou dans C ?</t>
  </si>
  <si>
    <t>Identité.des.Postis</t>
  </si>
  <si>
    <t>Identité.des.fiches.recettes</t>
  </si>
  <si>
    <t>Vocabulaire</t>
  </si>
  <si>
    <t>peser.sans.balance.31.01.2025</t>
  </si>
  <si>
    <t>aides cuisine</t>
  </si>
  <si>
    <t>pourcentages</t>
  </si>
  <si>
    <t>ChatGPT</t>
  </si>
  <si>
    <t>Couleurs</t>
  </si>
  <si>
    <t>Excel</t>
  </si>
  <si>
    <t>Nethèque</t>
  </si>
  <si>
    <t>Récupérez les formules pour vos documents</t>
  </si>
  <si>
    <t>Scope of application or document circuit</t>
  </si>
  <si>
    <t>Constituez vous des répertoires par lettres Alphabétiques</t>
  </si>
  <si>
    <t>Scope or circuit CCR 1- 2-3-5-6</t>
  </si>
  <si>
    <t xml:space="preserve">si les fiches  vous "barbent" vous avez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</si>
  <si>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</si>
  <si>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</si>
  <si>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</si>
  <si>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</si>
  <si>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</si>
  <si>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</si>
  <si>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</si>
  <si>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2 Chef</t>
  </si>
  <si>
    <t>https://savour.eu/portfolio/pifometrie/</t>
  </si>
  <si>
    <t>3 Responsable qualité</t>
  </si>
  <si>
    <t>et</t>
  </si>
  <si>
    <t>4 Directeur</t>
  </si>
  <si>
    <t>l'Institut du doigt mouillé</t>
  </si>
  <si>
    <t>the Wet Finger Institute</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</si>
  <si>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</si>
  <si>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</si>
  <si>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</si>
  <si>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</si>
  <si>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</si>
  <si>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</si>
  <si>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</si>
  <si>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</si>
  <si>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</si>
  <si>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</si>
  <si>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</si>
  <si>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</si>
  <si>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</si>
  <si>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</si>
  <si>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</si>
  <si>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</si>
  <si>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</si>
  <si>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</si>
  <si>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</si>
  <si>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</si>
  <si>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</si>
  <si>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</si>
  <si>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</si>
  <si>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dans 1 contenant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</si>
  <si>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</si>
  <si>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</si>
  <si>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</si>
  <si>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</si>
  <si>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</si>
  <si>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</si>
  <si>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</si>
  <si>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</si>
  <si>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</si>
  <si>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</si>
  <si>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</si>
  <si>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</si>
  <si>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</si>
  <si>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</si>
  <si>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</si>
  <si>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</si>
  <si>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</si>
  <si>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</si>
  <si>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</si>
  <si>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</si>
  <si>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</si>
  <si>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</si>
  <si>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</si>
  <si>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</si>
  <si>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</si>
  <si>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</si>
  <si>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</si>
  <si>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</si>
  <si>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</si>
  <si>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</si>
  <si>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</si>
  <si>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</si>
  <si>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</si>
  <si>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</si>
  <si>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</si>
  <si>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</si>
  <si>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</si>
  <si>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</si>
  <si>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</si>
  <si>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</si>
  <si>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</si>
  <si>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</si>
  <si>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</si>
  <si>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</si>
  <si>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</si>
  <si>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</si>
  <si>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</si>
  <si>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</si>
  <si>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</si>
  <si>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</si>
  <si>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</si>
  <si>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</si>
  <si>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</si>
  <si>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</si>
  <si>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</si>
  <si>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</si>
  <si>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</si>
  <si>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</si>
  <si>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</si>
  <si>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</si>
  <si>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</si>
  <si>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</si>
  <si>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</si>
  <si>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</si>
  <si>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</si>
  <si>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</si>
  <si>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</si>
  <si>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</si>
  <si>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</si>
  <si>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</si>
  <si>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</si>
  <si>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</si>
  <si>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</si>
  <si>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</si>
  <si>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t>Quelle police avec Cambria ?</t>
  </si>
  <si>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</si>
  <si>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</si>
  <si>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</si>
  <si>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</si>
  <si>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</si>
  <si>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</si>
  <si>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</si>
  <si>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</si>
  <si>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</si>
  <si>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</si>
  <si>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</si>
  <si>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</si>
  <si>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</si>
  <si>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</si>
  <si>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</si>
  <si>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</si>
  <si>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</si>
  <si>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</si>
  <si>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</si>
  <si>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</si>
  <si>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</si>
  <si>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</si>
  <si>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</si>
  <si>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</si>
  <si>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</si>
  <si>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</si>
  <si>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</si>
  <si>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</si>
  <si>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</si>
  <si>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</si>
  <si>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</si>
  <si>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</si>
  <si>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</si>
  <si>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</si>
  <si>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</si>
  <si>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</si>
  <si>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</si>
  <si>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</si>
  <si>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</si>
  <si>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</si>
  <si>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</si>
  <si>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</si>
  <si>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</si>
  <si>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</si>
  <si>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</si>
  <si>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</si>
  <si>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</si>
  <si>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</si>
  <si>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</si>
  <si>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</si>
  <si>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</si>
  <si>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</si>
  <si>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</si>
  <si>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</si>
  <si>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</si>
  <si>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</si>
  <si>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</si>
  <si>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</si>
  <si>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</si>
  <si>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</si>
  <si>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</si>
  <si>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</si>
  <si>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</si>
  <si>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</si>
  <si>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</si>
  <si>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</si>
  <si>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</si>
  <si>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</si>
  <si>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</si>
  <si>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</si>
  <si>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</si>
  <si>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</si>
  <si>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</si>
  <si>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</si>
  <si>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</si>
  <si>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</si>
  <si>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</si>
  <si>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</si>
  <si>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</si>
  <si>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</si>
  <si>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</si>
  <si>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</si>
  <si>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</si>
  <si>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</si>
  <si>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</si>
  <si>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</si>
  <si>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</si>
  <si>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</si>
  <si>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</si>
  <si>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</si>
  <si>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</si>
  <si>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</si>
  <si>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 xml:space="preserve"> Ⓓ</t>
  </si>
  <si>
    <t>Ⓔ</t>
  </si>
  <si>
    <t>Ⓕ</t>
  </si>
  <si>
    <t>Ⓖ</t>
  </si>
  <si>
    <t>Ⓗ</t>
  </si>
  <si>
    <t>Ⓘ</t>
  </si>
  <si>
    <t>Ⓙ</t>
  </si>
  <si>
    <t>Ⓚ</t>
  </si>
  <si>
    <t>Ⓛ</t>
  </si>
  <si>
    <t>Ⓜ</t>
  </si>
  <si>
    <t>⓿</t>
  </si>
  <si>
    <t>Ⓝ</t>
  </si>
  <si>
    <t>Ⓞ</t>
  </si>
  <si>
    <t>Ⓟ</t>
  </si>
  <si>
    <t>Ⓠ</t>
  </si>
  <si>
    <t>Ⓡ</t>
  </si>
  <si>
    <t>Ⓢ</t>
  </si>
  <si>
    <t>Ⓣ</t>
  </si>
  <si>
    <t>Ⓤ</t>
  </si>
  <si>
    <t>Ⓥ</t>
  </si>
  <si>
    <t>Ⓦ</t>
  </si>
  <si>
    <t>Ⓧ</t>
  </si>
  <si>
    <t>Ⓩ</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</si>
  <si>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</si>
  <si>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</si>
  <si>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</si>
  <si>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</si>
  <si>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</si>
  <si>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</si>
  <si>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</si>
  <si>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</si>
  <si>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</si>
  <si>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</si>
  <si>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</si>
  <si>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</si>
  <si>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</si>
  <si>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</si>
  <si>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</si>
  <si>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</si>
  <si>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</si>
  <si>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</si>
  <si>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</si>
  <si>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</si>
  <si>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</si>
  <si>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</si>
  <si>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</si>
  <si>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</si>
  <si>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</si>
  <si>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</si>
  <si>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</si>
  <si>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</si>
  <si>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</si>
  <si>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</si>
  <si>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</si>
  <si>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</si>
  <si>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</si>
  <si>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</si>
  <si>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</si>
  <si>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</si>
  <si>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</si>
  <si>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</si>
  <si>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</si>
  <si>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</si>
  <si>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</si>
  <si>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</si>
  <si>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</si>
  <si>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</si>
  <si>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</si>
  <si>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</si>
  <si>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</si>
  <si>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</si>
  <si>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</si>
  <si>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</si>
  <si>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</si>
  <si>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</si>
  <si>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</si>
  <si>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</si>
  <si>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</si>
  <si>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</si>
  <si>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</si>
  <si>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</si>
  <si>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</si>
  <si>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</si>
  <si>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</si>
  <si>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¼</t>
  </si>
  <si>
    <t>¾</t>
  </si>
  <si>
    <t>ø</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</si>
  <si>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</si>
  <si>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</si>
  <si>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</si>
  <si>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</si>
  <si>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</si>
  <si>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</si>
  <si>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</si>
  <si>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</si>
  <si>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</si>
  <si>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</si>
  <si>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</si>
  <si>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</si>
  <si>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</si>
  <si>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</si>
  <si>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</si>
  <si>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</si>
  <si>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</si>
  <si>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</si>
  <si>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</si>
  <si>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</si>
  <si>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</si>
  <si>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</si>
  <si>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</si>
  <si>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</si>
  <si>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</si>
  <si>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</si>
  <si>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</si>
  <si>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</si>
  <si>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</si>
  <si>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</si>
  <si>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</si>
  <si>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</si>
  <si>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</si>
  <si>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</si>
  <si>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</si>
  <si>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</si>
  <si>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</si>
  <si>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</si>
  <si>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</si>
  <si>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</si>
  <si>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</si>
  <si>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</si>
  <si>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</si>
  <si>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</si>
  <si>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</si>
  <si>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</si>
  <si>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</si>
  <si>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</si>
  <si>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</si>
  <si>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mode d'emploi colonne BG sur la fiche</t>
  </si>
  <si>
    <t>REPERTOIRE</t>
  </si>
  <si>
    <t>emplacement pour saisir du texte</t>
  </si>
  <si>
    <t xml:space="preserve">pour le classement vous avez plusieurs options </t>
  </si>
  <si>
    <t>par lettre Alphabétique du nom de la recette ; par ingédients (exemple toutes les recettes avec du Kiwi )</t>
  </si>
  <si>
    <t>par familles ( Viandes - légumes - sauces .charcuterie .dessert etc...etc..) ou ( Porc. mouton.légumes verts.cuidités ...)</t>
  </si>
  <si>
    <t>Nom des feuilles Répertoire A . Répertoire B....ou Entrées froides. Plat chaud. dessert etc...</t>
  </si>
  <si>
    <t>Couleur 0]</t>
  </si>
  <si>
    <t>[Couleur 0]</t>
  </si>
  <si>
    <t>recette Béghin Say de Jean-Jacques Borne MOF 1994</t>
  </si>
  <si>
    <t>[Couleur 51]</t>
  </si>
  <si>
    <t>◄  collez cette ligne entre les fiches pour le filtre colonne A</t>
  </si>
  <si>
    <t>cassonade l'antillaise</t>
  </si>
  <si>
    <t>maïzena</t>
  </si>
  <si>
    <t>gélatine</t>
  </si>
  <si>
    <t>Intérieur</t>
  </si>
  <si>
    <t>police</t>
  </si>
  <si>
    <t>HTML</t>
  </si>
  <si>
    <t>bgcolor =</t>
  </si>
  <si>
    <t xml:space="preserve">Rouge </t>
  </si>
  <si>
    <t>Couleur</t>
  </si>
  <si>
    <t>Noire</t>
  </si>
  <si>
    <t># 000000</t>
  </si>
  <si>
    <t>[Noir]</t>
  </si>
  <si>
    <t># FFFFFF</t>
  </si>
  <si>
    <t>[Blanc]</t>
  </si>
  <si>
    <t># FF0000</t>
  </si>
  <si>
    <t>[Rouge]</t>
  </si>
  <si>
    <t># 00FF00</t>
  </si>
  <si>
    <t>[Vert]</t>
  </si>
  <si>
    <t>[Bleu]</t>
  </si>
  <si>
    <t>[Jaune]</t>
  </si>
  <si>
    <t>[Magenta]</t>
  </si>
  <si>
    <t>[Cyan]</t>
  </si>
  <si>
    <t>Les paires de couleurs suivantes sont de la même couleur </t>
  </si>
  <si>
    <t>11 &amp; 25, 5 &amp; 32, 14 &amp; 31, 8 et 28, 9 &amp; 30, 13 &amp; 29, 18 &amp; 54, 20 &amp; 34, 7 &amp; 26, et 6 et 27.</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</si>
  <si>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</si>
  <si>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r>
      <t xml:space="preserve">Caladea (créée comme une </t>
    </r>
    <r>
      <rPr>
        <b/>
        <sz val="16"/>
        <color theme="1"/>
        <rFont val="Cambria"/>
        <family val="1"/>
      </rPr>
      <t>police</t>
    </r>
    <r>
      <rPr>
        <sz val="16"/>
        <color theme="1"/>
        <rFont val="Cambria"/>
        <family val="1"/>
      </rPr>
      <t xml:space="preserve"> supplémentaire de Chrome OS) a les mêmes métriques </t>
    </r>
  </si>
  <si>
    <r>
      <t>Aktiv Grotesk</t>
    </r>
    <r>
      <rPr>
        <sz val="16"/>
        <color theme="1"/>
        <rFont val="Calibri"/>
        <family val="2"/>
        <scheme val="minor"/>
      </rPr>
      <t xml:space="preserve"> (16 styles) : créée en 2010, Aktiv Grotesk est la solution apportée par Bruno Maag</t>
    </r>
  </si>
  <si>
    <t>ce complément si vous en avez besoin</t>
  </si>
  <si>
    <t>❓</t>
  </si>
  <si>
    <t>ligne</t>
  </si>
  <si>
    <t>ligne 27  collez  ►</t>
  </si>
  <si>
    <t>ligne 35  collez  ►</t>
  </si>
  <si>
    <t>ligne 44  collez  ►</t>
  </si>
  <si>
    <t>ligne 63 collez  ►</t>
  </si>
  <si>
    <t xml:space="preserve"> Modèle  1  seul postit pour les quantités avec la progression   </t>
  </si>
  <si>
    <t xml:space="preserve">  Modèles  1  seul postit pour les quantités avec la progression   </t>
  </si>
  <si>
    <t>à vous de choisir les modèles qui vous conviennent</t>
  </si>
  <si>
    <t>Différents modèles</t>
  </si>
  <si>
    <t>les.postits.7.14.32.42.lignes</t>
  </si>
  <si>
    <t>1seul Postit avec quantités et progression sur la même fiche</t>
  </si>
  <si>
    <t xml:space="preserve"> ou 2 Postits 1 pour les quantités et 1 pour la progression</t>
  </si>
  <si>
    <t>Collez LES PHASES DE PROGRESSION ⓬ dans ces colonnes  et filtrez colonnes B à G</t>
  </si>
  <si>
    <t>Collez col.5    le texte de la colonne X collage spécial Valeurs 1.2.3</t>
  </si>
  <si>
    <t>Collez LES QUANTITÉS dans ces colonnes et filtrez colonnes B à G</t>
  </si>
  <si>
    <t>VOUS POUVEZ COLLER</t>
  </si>
  <si>
    <t>DANS CES COLONNES</t>
  </si>
  <si>
    <t>LES MODÈLES AVEC LE NOMBRE</t>
  </si>
  <si>
    <t>DE LIGNES QUE VOUS VOULEZ</t>
  </si>
  <si>
    <t>Vous pouvez insérer jusqu’à 75  postits de 7 lignes jusqu’à la ligne 600.</t>
  </si>
  <si>
    <t>Collez-les dans les colonnes H à AE, puis, pour chaque ligne produit, complétez les colonnes 12 à 14 avec :</t>
  </si>
  <si>
    <t xml:space="preserve">Répertoire.1 postit </t>
  </si>
  <si>
    <t>Répertoire.2 postits</t>
  </si>
  <si>
    <t>Ces fiches vous permettent:</t>
  </si>
  <si>
    <t>de recalculer automatiquement les quantités selon vos besoins sur 600 lignes</t>
  </si>
  <si>
    <t>vous pouvez coller jusqu’à 75 postits de 7 lignes</t>
  </si>
  <si>
    <t xml:space="preserve">Sur ces fiches pas de contraintes </t>
  </si>
  <si>
    <t>et vous pouvez "raccourcir" les postits en leur supprimant des lignes non utilisées</t>
  </si>
  <si>
    <t>📝 Mode d'emploi de la fiche Excel</t>
  </si>
  <si>
    <t>📝 User Guide for the Excel Sheet</t>
  </si>
  <si>
    <t>📝 Guía de uso de la hoja Excel</t>
  </si>
  <si>
    <t>This sheet allows you to:</t>
  </si>
  <si>
    <t>Esta hoja le permite:</t>
  </si>
  <si>
    <t xml:space="preserve"> D’archiver vos recettes</t>
  </si>
  <si>
    <t xml:space="preserve"> Archive your recipes</t>
  </si>
  <si>
    <t xml:space="preserve"> Archivar sus recetas</t>
  </si>
  <si>
    <t xml:space="preserve"> De recalculer automatiquement les quantités selon vos besoins</t>
  </si>
  <si>
    <t xml:space="preserve"> Automatically recalculate quantities based on your needs</t>
  </si>
  <si>
    <t xml:space="preserve"> Recalcular automáticamente las cantidades según sus necesidades</t>
  </si>
  <si>
    <t>✅ Ce que vous devez remplir :</t>
  </si>
  <si>
    <t>✅ What You Need to Fill In:</t>
  </si>
  <si>
    <t>✅ Qué debe completar:</t>
  </si>
  <si>
    <t>❿ Saisir la Référence produit (colonne AG)</t>
  </si>
  <si>
    <t>❿ Enter Product Reference (column AG)</t>
  </si>
  <si>
    <t>❿ Ingresar referencia del producto (columna AG)</t>
  </si>
  <si>
    <t>⓫ Quantité à dupliquer (colonne AI)</t>
  </si>
  <si>
    <t>⓫ Quantity to Duplicate (column AI)</t>
  </si>
  <si>
    <t>⓫ Cantidad a duplicar (columna AI)</t>
  </si>
  <si>
    <t>⑫ Taux de perte en % (facultatif)</t>
  </si>
  <si>
    <t>⑫ Loss Percentage (optional)</t>
  </si>
  <si>
    <t>⑫ Porcentaje de pérdida (opcional)</t>
  </si>
  <si>
    <t>⑭ Prix au kilo ou à la pièce (ne pas confondre)</t>
  </si>
  <si>
    <t>⑭ Price per kilo or per item (do not confuse)</t>
  </si>
  <si>
    <t>⑭ Precio por kilo o por unidad (no confundir)</t>
  </si>
  <si>
    <t>🟨 Zones de calcul (fond jaune)</t>
  </si>
  <si>
    <t>🟨 Calculation Zones (yellow background)</t>
  </si>
  <si>
    <t>🟨 Zonas de cálculo (fondo amarillo)</t>
  </si>
  <si>
    <t xml:space="preserve"> Les colonnes sur fond jaune calculent les quantités</t>
  </si>
  <si>
    <t xml:space="preserve"> Yellow columns calculate quantities</t>
  </si>
  <si>
    <t xml:space="preserve"> Las columnas en amarillo calculan las cantidades</t>
  </si>
  <si>
    <t xml:space="preserve"> Utilisez les Postits pour adapter les quantités</t>
  </si>
  <si>
    <t xml:space="preserve"> Use Postits to adjust quantities</t>
  </si>
  <si>
    <t xml:space="preserve"> Use los Postits para ajustar las cantidades</t>
  </si>
  <si>
    <t xml:space="preserve"> Modifiez les grammages si nécessaire (colonne 13)</t>
  </si>
  <si>
    <t xml:space="preserve"> Modify weights if needed (column 13)</t>
  </si>
  <si>
    <t xml:space="preserve"> Modifique los gramajes si es necesario (columna 13)</t>
  </si>
  <si>
    <t xml:space="preserve"> La valeur finale utilisée se trouve en colonne 15</t>
  </si>
  <si>
    <t xml:space="preserve"> Final value used is in column 15</t>
  </si>
  <si>
    <t xml:space="preserve"> El valor final utilizado está en la columna 15</t>
  </si>
  <si>
    <t>❿ su referencia</t>
  </si>
  <si>
    <t>Depending on the number of guests, how much do you estimate this recipe will cost?</t>
  </si>
  <si>
    <t>Según el número de comensales, ¿cuánto calcula que costará esta receta?</t>
  </si>
  <si>
    <t>cubiertos</t>
  </si>
  <si>
    <t>Producto de referencia</t>
  </si>
  <si>
    <t>or enter a quantity or weight of an item in the recipe, for example</t>
  </si>
  <si>
    <t>o introducir la cantidad o el peso de un elemento de la receta, por ejemplo</t>
  </si>
  <si>
    <t>pollos</t>
  </si>
  <si>
    <t>If the weights are not right for you</t>
  </si>
  <si>
    <t>Si las pesas no son adecuadas para ti</t>
  </si>
  <si>
    <t>modifiez la valeur cellule Col.13</t>
  </si>
  <si>
    <t>change the value in cell Col.13</t>
  </si>
  <si>
    <t>cambie el valor de la celda Col.13</t>
  </si>
  <si>
    <t>aumentar o disminuir el valor introducido</t>
  </si>
  <si>
    <t xml:space="preserve"> Por duplicado para</t>
  </si>
  <si>
    <t>Col.15</t>
  </si>
  <si>
    <t>It is the value entered in this cell that Excel will use to</t>
  </si>
  <si>
    <t>Es el valor introducido en esta celda el que Excel utilizará para</t>
  </si>
  <si>
    <t>dupliquer la recette avec la valeur saisie en Col.15</t>
  </si>
  <si>
    <t>duplicate the recipe with the value entered in Col.15</t>
  </si>
  <si>
    <t>duplique la receta con el valor introducido en la Col.15</t>
  </si>
  <si>
    <t>📌 Collage des éléments :</t>
  </si>
  <si>
    <t>📌 Pasting Instructions:</t>
  </si>
  <si>
    <t>📌 Instrucciones para pegar:</t>
  </si>
  <si>
    <t xml:space="preserve"> Phases de progression : colonnes I à S</t>
  </si>
  <si>
    <t xml:space="preserve"> Progress phases: columns I to S</t>
  </si>
  <si>
    <t xml:space="preserve"> Fases de preparación: columnas I a S</t>
  </si>
  <si>
    <t>quantités : colonnes U à AE</t>
  </si>
  <si>
    <t xml:space="preserve"> Quantity Postits : columns U to AE</t>
  </si>
  <si>
    <t xml:space="preserve"> Postits de cantidades: columnas U a AE</t>
  </si>
  <si>
    <t xml:space="preserve"> Activez les filtres sur les colonnes B à G</t>
  </si>
  <si>
    <t xml:space="preserve"> Enable filters on columns B to G</t>
  </si>
  <si>
    <t xml:space="preserve"> Active los filtros en las columnas B a G</t>
  </si>
  <si>
    <t xml:space="preserve"> Collez vos captures ou images : colonnes BD à BK</t>
  </si>
  <si>
    <t xml:space="preserve"> Paste screenshots or photos in columns BD to BK</t>
  </si>
  <si>
    <t xml:space="preserve"> Pegue capturas o fotos en las columnas BD a BK</t>
  </si>
  <si>
    <t xml:space="preserve"> Utilisez le brouillon pour coller des recettes récupérées sur internet</t>
  </si>
  <si>
    <t xml:space="preserve"> Use the draft area to paste online recipes</t>
  </si>
  <si>
    <t xml:space="preserve"> Use el borrador para pegar recetas obtenidas en internet</t>
  </si>
  <si>
    <t>🧩 Outil de découpe de texte :</t>
  </si>
  <si>
    <t>🧩 Text Cutting Tool:</t>
  </si>
  <si>
    <t>🧩 Herramienta de recorte de texto:</t>
  </si>
  <si>
    <t xml:space="preserve"> Ajustez la largeur des colonnes selon votre texte</t>
  </si>
  <si>
    <t xml:space="preserve"> Adjust column width to fit your text</t>
  </si>
  <si>
    <t xml:space="preserve"> Ajuste el ancho de las columnas al texto</t>
  </si>
  <si>
    <t xml:space="preserve"> Saisissez ou collez du texte dans les 4 lignes prévues</t>
  </si>
  <si>
    <t xml:space="preserve"> Enter or paste text into the 4 designated lines</t>
  </si>
  <si>
    <t xml:space="preserve"> Ingrese o pegue texto en las 4 líneas designadas</t>
  </si>
  <si>
    <t xml:space="preserve"> Utilisez le collage spécial (valeurs) pour copier le texte découpé</t>
  </si>
  <si>
    <t xml:space="preserve"> Use special paste (values only) to insert formatted text</t>
  </si>
  <si>
    <t xml:space="preserve"> Use pegado especial (solo valores) para insertar el texto</t>
  </si>
  <si>
    <t>🆓 Liberté d'utilisation :</t>
  </si>
  <si>
    <t>🆓 Flexible Usage:</t>
  </si>
  <si>
    <t>🆓 Uso flexible:</t>
  </si>
  <si>
    <t xml:space="preserve"> Vous pouvez coller autant de Postits que nécessaire (jusqu'à la ligne 600)</t>
  </si>
  <si>
    <t xml:space="preserve"> You can paste as many Postits as needed (up to row 600)</t>
  </si>
  <si>
    <t xml:space="preserve"> Puede pegar tantos Postits como necesite (hasta la fila 600)</t>
  </si>
  <si>
    <t xml:space="preserve"> Aucune contrainte sur le nombre de lignes par postit</t>
  </si>
  <si>
    <t xml:space="preserve"> No restriction on number of lines per postit</t>
  </si>
  <si>
    <t xml:space="preserve"> No hay restricción sobre el número de líneas por postit</t>
  </si>
  <si>
    <t>⚠️ Règle importante :</t>
  </si>
  <si>
    <t>⚠️ Important Rule:</t>
  </si>
  <si>
    <t>⚠️ Regla importante:</t>
  </si>
  <si>
    <t xml:space="preserve"> Chaque ligne de produit doit contenir :</t>
  </si>
  <si>
    <t xml:space="preserve"> Each product row must include:</t>
  </si>
  <si>
    <t xml:space="preserve"> Cada línea de producto debe incluir:</t>
  </si>
  <si>
    <t xml:space="preserve">   • Une référence produit (❿)</t>
  </si>
  <si>
    <t xml:space="preserve">   • A product reference (❿)</t>
  </si>
  <si>
    <t xml:space="preserve">   • Una referencia de producto (❿)</t>
  </si>
  <si>
    <t xml:space="preserve">   • Une quantité à dupliquer (⓫)</t>
  </si>
  <si>
    <t xml:space="preserve">   • A duplication quantity (⓫)</t>
  </si>
  <si>
    <t xml:space="preserve">   • Una cantidad a duplicar (⓫)</t>
  </si>
  <si>
    <t xml:space="preserve"> Saisissez ces valeurs sur la première ligne, puis faites Copier/Coller</t>
  </si>
  <si>
    <t xml:space="preserve"> Enter these on the first row, then use copy/paste</t>
  </si>
  <si>
    <t xml:space="preserve"> Ingrese estos datos en la primera línea, luego copie y pegue</t>
  </si>
  <si>
    <t xml:space="preserve"> Vous pouvez ajuster les quantités ou supprimer un produit ligne par ligne</t>
  </si>
  <si>
    <t xml:space="preserve"> You can adjust or remove products line by line</t>
  </si>
  <si>
    <t xml:space="preserve"> Puede ajustar o eliminar productos línea por línea</t>
  </si>
  <si>
    <t>Vous pouvez masquer 7 colonnes</t>
  </si>
  <si>
    <t>You can hide 7 columns</t>
  </si>
  <si>
    <t>Puede ocultar 7 columnas</t>
  </si>
  <si>
    <t>▼  de Col.18 à Col.24</t>
  </si>
  <si>
    <t>à ▼</t>
  </si>
  <si>
    <t>▼ from Col.18 to Col.24</t>
  </si>
  <si>
    <t>del Col.18 al Col.24</t>
  </si>
  <si>
    <t>Pour masquer les lignes vides colonne BM</t>
  </si>
  <si>
    <t>To hide empty lines in the BM column</t>
  </si>
  <si>
    <t>Para ocultar las líneas vacías en la columna BM</t>
  </si>
  <si>
    <t>1 - Position yourself on the red cell</t>
  </si>
  <si>
    <t>1 - Posicionarse sobre la célula roja</t>
  </si>
  <si>
    <t>and ▼</t>
  </si>
  <si>
    <t>y ▼</t>
  </si>
  <si>
    <t>Para utilizar las recetas profesionalmente, es necesario saber</t>
  </si>
  <si>
    <t xml:space="preserve"> normas de higiene y APPCC.</t>
  </si>
  <si>
    <t>AGRUMES-comme -POMME PAMPLE.</t>
  </si>
  <si>
    <t>⓫  Dupliquée pour</t>
  </si>
  <si>
    <t xml:space="preserve"> Vos poids avec coef.</t>
  </si>
  <si>
    <t>Équivalences arrondies</t>
  </si>
  <si>
    <t>10 ème/L</t>
  </si>
  <si>
    <t>tiers/L</t>
  </si>
  <si>
    <t>cinq/L</t>
  </si>
  <si>
    <t>vide</t>
  </si>
  <si>
    <t>Cup(s).beurre</t>
  </si>
  <si>
    <t>Cup.liquide</t>
  </si>
  <si>
    <t>Temps de refroidissement</t>
  </si>
  <si>
    <t>Effectifs ▼</t>
  </si>
  <si>
    <t>Quoi ▼</t>
  </si>
  <si>
    <t xml:space="preserve">&lt; Contenant </t>
  </si>
  <si>
    <t>&lt; Quantité p.p.</t>
  </si>
  <si>
    <t xml:space="preserve"> Quoi ? Saisissez Morceaux - tranches- portions - pièces - cerises etc</t>
  </si>
  <si>
    <t>&lt; poids par portion</t>
  </si>
  <si>
    <t>le contenant saisissez  gastro(s) 1/1 - grille(s) - plat(s) - louche(s) etc..</t>
  </si>
  <si>
    <t>car. = Caractères</t>
  </si>
  <si>
    <t xml:space="preserve">choisissez : vous avez soit la première lettre du nom de la recette ▼                  </t>
  </si>
  <si>
    <t xml:space="preserve">soit une concaténation de la famille avec des formules d'extraction▼                  </t>
  </si>
  <si>
    <t>TEST collez une identification ▼</t>
  </si>
  <si>
    <t xml:space="preserve">Cellules IDENTITE à coller </t>
  </si>
  <si>
    <t>Voici une petite liste je vous laisse le plaisir de modifier les couleurs à votre convenance</t>
  </si>
  <si>
    <t>pâtisserie--ENTREMET</t>
  </si>
  <si>
    <t>▼ abrévation de l'identification (formules d'extraction)</t>
  </si>
  <si>
    <t>cuisine-crudité-CÉLÉRI BRANCHE</t>
  </si>
  <si>
    <t>Couleur diététique</t>
  </si>
  <si>
    <t>cuisine-plat-PROTÉINES</t>
  </si>
  <si>
    <t>cuisine-légumes-CUIDITES</t>
  </si>
  <si>
    <t>cuisine-légumes-CRUDITES</t>
  </si>
  <si>
    <t>cuisine-légumes-FÉCULENTS</t>
  </si>
  <si>
    <t>POISSONNERIE</t>
  </si>
  <si>
    <t>Batenders-BAR-BOISSONS</t>
  </si>
  <si>
    <t>cuisine-ACCOMPAGNEMENTS</t>
  </si>
  <si>
    <t>pâtisserie--BAVAROIS</t>
  </si>
  <si>
    <t>traiteur-ROTIS-froids</t>
  </si>
  <si>
    <t xml:space="preserve"> charcuterie--GELEES</t>
  </si>
  <si>
    <t>cuisson--BRAISÉ</t>
  </si>
  <si>
    <t>cuisine-protéines-ABATS</t>
  </si>
  <si>
    <t>crudité-AGRUMES-POMME PAMPLE.</t>
  </si>
  <si>
    <t>cuisine-féculent-BLÉ</t>
  </si>
  <si>
    <t>Poissonnerie--COQUILLAGES</t>
  </si>
  <si>
    <t>BAR-Cocktails-avec alcool</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</si>
  <si>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</si>
  <si>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</si>
  <si>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</si>
  <si>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</si>
  <si>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</si>
  <si>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</si>
  <si>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</si>
  <si>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</si>
  <si>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</si>
  <si>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</si>
  <si>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</si>
  <si>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</si>
  <si>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</si>
  <si>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</si>
  <si>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</si>
  <si>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</si>
  <si>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</si>
  <si>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</si>
  <si>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</si>
  <si>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</si>
  <si>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</si>
  <si>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</si>
  <si>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</si>
  <si>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</si>
  <si>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</si>
  <si>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</si>
  <si>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</si>
  <si>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</si>
  <si>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</si>
  <si>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</si>
  <si>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</si>
  <si>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</si>
  <si>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</si>
  <si>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</si>
  <si>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</si>
  <si>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</si>
  <si>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</si>
  <si>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</si>
  <si>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</si>
  <si>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</si>
  <si>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</si>
  <si>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</si>
  <si>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</si>
  <si>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</si>
  <si>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</si>
  <si>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</si>
  <si>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</si>
  <si>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</si>
  <si>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</si>
  <si>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</si>
  <si>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</si>
  <si>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</si>
  <si>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</si>
  <si>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</si>
  <si>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</si>
  <si>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</si>
  <si>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</si>
  <si>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</si>
  <si>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</si>
  <si>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</si>
  <si>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</si>
  <si>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</si>
  <si>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</si>
  <si>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</si>
  <si>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</si>
  <si>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</si>
  <si>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</si>
  <si>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</si>
  <si>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</si>
  <si>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</si>
  <si>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</si>
  <si>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</si>
  <si>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</si>
  <si>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</si>
  <si>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</si>
  <si>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</si>
  <si>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</si>
  <si>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</si>
  <si>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</si>
  <si>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</si>
  <si>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</si>
  <si>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</si>
  <si>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</si>
  <si>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</si>
  <si>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</si>
  <si>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</si>
  <si>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</si>
  <si>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</si>
  <si>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</si>
  <si>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</si>
  <si>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</si>
  <si>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</si>
  <si>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</si>
  <si>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</si>
  <si>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</si>
  <si>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</si>
  <si>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</si>
  <si>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</si>
  <si>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</si>
  <si>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</si>
  <si>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</si>
  <si>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</si>
  <si>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</si>
  <si>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</si>
  <si>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</si>
  <si>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</si>
  <si>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</si>
  <si>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</si>
  <si>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</si>
  <si>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</si>
  <si>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</si>
  <si>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</si>
  <si>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</si>
  <si>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</si>
  <si>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</si>
  <si>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</si>
  <si>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</si>
  <si>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</si>
  <si>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</si>
  <si>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</si>
  <si>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</si>
  <si>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</si>
  <si>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</si>
  <si>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</si>
  <si>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</si>
  <si>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</si>
  <si>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</si>
  <si>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</si>
  <si>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</si>
  <si>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</si>
  <si>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</si>
  <si>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</si>
  <si>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</si>
  <si>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</si>
  <si>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</si>
  <si>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</si>
  <si>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</si>
  <si>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</si>
  <si>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</si>
  <si>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</si>
  <si>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</si>
  <si>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</si>
  <si>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</si>
  <si>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</si>
  <si>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</si>
  <si>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</si>
  <si>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</si>
  <si>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</si>
  <si>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</si>
  <si>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</si>
  <si>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</si>
  <si>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</si>
  <si>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</si>
  <si>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</si>
  <si>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</si>
  <si>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</si>
  <si>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</si>
  <si>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</si>
  <si>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</si>
  <si>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</si>
  <si>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</si>
  <si>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</si>
  <si>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</si>
  <si>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</si>
  <si>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</si>
  <si>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</si>
  <si>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</si>
  <si>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</si>
  <si>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</si>
  <si>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</si>
  <si>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</si>
  <si>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</si>
  <si>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</si>
  <si>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</si>
  <si>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</si>
  <si>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</si>
  <si>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</si>
  <si>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</si>
  <si>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</si>
  <si>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</si>
  <si>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</si>
  <si>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</si>
  <si>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</si>
  <si>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</si>
  <si>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</si>
  <si>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</si>
  <si>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</si>
  <si>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</si>
  <si>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</si>
  <si>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</si>
  <si>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</si>
  <si>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</si>
  <si>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</si>
  <si>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</si>
  <si>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</si>
  <si>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</si>
  <si>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</si>
  <si>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</si>
  <si>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</si>
  <si>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</si>
  <si>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</si>
  <si>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</si>
  <si>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</si>
  <si>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</si>
  <si>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</si>
  <si>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</si>
  <si>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</si>
  <si>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</si>
  <si>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</si>
  <si>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</si>
  <si>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</si>
  <si>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</si>
  <si>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</si>
  <si>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</si>
  <si>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</si>
  <si>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</si>
  <si>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</si>
  <si>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</si>
  <si>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</si>
  <si>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</si>
  <si>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</si>
  <si>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</si>
  <si>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</si>
  <si>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</si>
  <si>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</si>
  <si>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</si>
  <si>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</si>
  <si>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</si>
  <si>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</si>
  <si>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</si>
  <si>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</si>
  <si>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</si>
  <si>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</si>
  <si>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</si>
  <si>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</si>
  <si>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</si>
  <si>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</si>
  <si>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</si>
  <si>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</si>
  <si>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</si>
  <si>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</si>
  <si>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</si>
  <si>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</si>
  <si>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</si>
  <si>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</si>
  <si>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</si>
  <si>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</si>
  <si>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</si>
  <si>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</si>
  <si>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</si>
  <si>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</si>
  <si>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</si>
  <si>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</si>
  <si>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</si>
  <si>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</si>
  <si>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</si>
  <si>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</si>
  <si>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</si>
  <si>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</si>
  <si>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</si>
  <si>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</si>
  <si>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</si>
  <si>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</si>
  <si>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</si>
  <si>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</si>
  <si>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</si>
  <si>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</si>
  <si>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</si>
  <si>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</si>
  <si>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</si>
  <si>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</si>
  <si>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</si>
  <si>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</si>
  <si>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</si>
  <si>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</si>
  <si>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</si>
  <si>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</si>
  <si>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</si>
  <si>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</si>
  <si>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</si>
  <si>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</si>
  <si>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</si>
  <si>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</si>
  <si>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</si>
  <si>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</si>
  <si>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cuisine-crudité-SALSIFIS</t>
  </si>
  <si>
    <t>cuisine-crudité-SOJA</t>
  </si>
  <si>
    <t>cuisine-crudité-TOMATES</t>
  </si>
  <si>
    <t>cuisine-crudité-TOMATES CERISES</t>
  </si>
  <si>
    <t>cuisine-crudité-TOMATES MARMANDE</t>
  </si>
  <si>
    <t>cuisine-crudité-TOMATES OLIVETTE</t>
  </si>
  <si>
    <t>cuisine-crudité-TOMATES ROMAINE</t>
  </si>
  <si>
    <t>TEXTE en minuscule POUR COLLER DANS VOS "Postits"  ajustez la taille de police à la largeur de vos cellules</t>
  </si>
  <si>
    <t>Paramètres régionaux Excel : pour les décimales soit un . soit une ,</t>
  </si>
  <si>
    <t>Col.25</t>
  </si>
  <si>
    <t>Col.26</t>
  </si>
  <si>
    <t>Col.27</t>
  </si>
  <si>
    <t>Col.28</t>
  </si>
  <si>
    <t>Col.29</t>
  </si>
  <si>
    <t>Col.30</t>
  </si>
  <si>
    <t>Col.31</t>
  </si>
  <si>
    <t>Col.32</t>
  </si>
  <si>
    <t>▼ Quoi ?</t>
  </si>
  <si>
    <t>▼ Quantité ?</t>
  </si>
  <si>
    <t>Col.33</t>
  </si>
  <si>
    <t>Ballotine de pintade</t>
  </si>
  <si>
    <t>Décimale : selon paramètres régionaux »  point . ou ,</t>
  </si>
  <si>
    <t xml:space="preserve"> couverts</t>
  </si>
  <si>
    <t>Cost: 1* budget – 4**** luxury</t>
  </si>
  <si>
    <t>Difficulty: 1* easy – 4**** hard</t>
  </si>
  <si>
    <t>Prep time</t>
  </si>
  <si>
    <t>Cooking time</t>
  </si>
  <si>
    <t>Cooling time</t>
  </si>
  <si>
    <t>PACKAGING</t>
  </si>
  <si>
    <t>Headcount ▼</t>
  </si>
  <si>
    <t>servings</t>
  </si>
  <si>
    <t>What ▼</t>
  </si>
  <si>
    <t>slices</t>
  </si>
  <si>
    <t>&lt; weight per serving</t>
  </si>
  <si>
    <t>What? Enter pieces – slices – portions – items – cherries, etc.</t>
  </si>
  <si>
    <t>For the container, enter GN 1/1 pan(s) – rack(s) – dish(es) – ladle(s), etc.</t>
  </si>
  <si>
    <t>pack(s)</t>
  </si>
  <si>
    <t>Retrieve the formulas and adapt them to your documents.</t>
  </si>
  <si>
    <t>Copie las fórmulas y ajústelas a sus archivos.</t>
  </si>
  <si>
    <t>◄ Masquez les 4 colonnes</t>
  </si>
  <si>
    <t>❾ Author reference</t>
  </si>
  <si>
    <t>Weight</t>
  </si>
  <si>
    <t>▼ Quantity?</t>
  </si>
  <si>
    <t>Excel regional settings: for decimals, use either . or ,</t>
  </si>
  <si>
    <t>Guinea fowl ballotine</t>
  </si>
  <si>
    <t>Author’s weight (no coeff.)</t>
  </si>
  <si>
    <t>Units</t>
  </si>
  <si>
    <t>Your weights with coeff.</t>
  </si>
  <si>
    <t>Rounded equivalents</t>
  </si>
  <si>
    <t>The professional use of recipes requires you to know hygiene and HACCP regulations.</t>
  </si>
  <si>
    <t>Author link @</t>
  </si>
  <si>
    <t xml:space="preserve"> Author &gt;</t>
  </si>
  <si>
    <t>◄ Masquez ces 4 colonnes</t>
  </si>
  <si>
    <t>▼    Masquer ces 6 colonnes       ▼</t>
  </si>
  <si>
    <t>▼  What?</t>
  </si>
  <si>
    <t>Master recipe ?</t>
  </si>
  <si>
    <t>⓬  ▼ PHASES OF PROGRESSION</t>
  </si>
  <si>
    <t>Lean guinea fowl</t>
  </si>
  <si>
    <t>Lean pork</t>
  </si>
  <si>
    <t>◄ Hide the 4 columns</t>
  </si>
  <si>
    <t>Ingredients</t>
  </si>
  <si>
    <t>Decimal: per regional settings — dot (.) or comma (,)</t>
  </si>
  <si>
    <t>of</t>
  </si>
  <si>
    <t>Dernière mise à jour : 21 Septembre 2025</t>
  </si>
  <si>
    <t>NOMBRE DE SU RECETA</t>
  </si>
  <si>
    <t>Altura de las filas: 21</t>
  </si>
  <si>
    <t>Circuito</t>
  </si>
  <si>
    <t>Autor &gt;</t>
  </si>
  <si>
    <t>USTED</t>
  </si>
  <si>
    <t>❾ Referencia del autor</t>
  </si>
  <si>
    <t>Peso</t>
  </si>
  <si>
    <t>Componente de &gt;</t>
  </si>
  <si>
    <t>⓫ Duplicada para</t>
  </si>
  <si>
    <t>▼ Cantidad?</t>
  </si>
  <si>
    <t>▼ Qué?</t>
  </si>
  <si>
    <t>ARCHIVADO Y CLASIFICACIÓN</t>
  </si>
  <si>
    <t>Receta madre ?</t>
  </si>
  <si>
    <t>Ballotina de pintada</t>
  </si>
  <si>
    <t>Cantidad</t>
  </si>
  <si>
    <t>Qué</t>
  </si>
  <si>
    <t>⑥ Peso o Volumen</t>
  </si>
  <si>
    <t>⑧  Coeficiente</t>
  </si>
  <si>
    <t>Peso del autor (sin coef.)</t>
  </si>
  <si>
    <t>Unidades</t>
  </si>
  <si>
    <t>Sus pesos con coef.</t>
  </si>
  <si>
    <t>Equivalencias redondeadas</t>
  </si>
  <si>
    <t>⓬ ▼ FASES DE PROGRESIÓN</t>
  </si>
  <si>
    <t xml:space="preserve"> El uso profesional de las recetas implica conocer la normativa de higiene y HACCP.</t>
  </si>
  <si>
    <t>Qué? Escriba trozos – rebanadas – porciones – piezas – cerezas, etc.</t>
  </si>
  <si>
    <t>Para el contenedor, indique gastro(s) 1/1 – rejilla(s) – fuente(s) – cucharón(es), etc.</t>
  </si>
  <si>
    <t>Enlace del autor @</t>
  </si>
  <si>
    <t>Ingredientes</t>
  </si>
  <si>
    <t>Carne magra de pintada</t>
  </si>
  <si>
    <t>Carne magra de cerdo</t>
  </si>
  <si>
    <t>◄ Oculte las 4 columnas</t>
  </si>
  <si>
    <t>Tiempo de preparación</t>
  </si>
  <si>
    <t>Tiempo de cocción</t>
  </si>
  <si>
    <t>Tiempo de enfriamiento</t>
  </si>
  <si>
    <t>&lt; Contenedor</t>
  </si>
  <si>
    <t>&lt; peso por porción</t>
  </si>
  <si>
    <t>Costo: 1* económico – 4**** lujo</t>
  </si>
  <si>
    <t>Dificultad: 1* fácil – 4**** difícil</t>
  </si>
  <si>
    <t>Qué? ▼</t>
  </si>
  <si>
    <t>COLLEZ VOS RECETTES DANS CES COLONNES</t>
  </si>
  <si>
    <t xml:space="preserve">◄  collez cette ligne entre les fiches pour le filtre </t>
  </si>
  <si>
    <t>ensuite supprimez le mot "gomme."</t>
  </si>
  <si>
    <t xml:space="preserve">Si les colonnes 11 sont rouges, collez la "gomme" </t>
  </si>
  <si>
    <t>FICHE RECETTE DE 6 PARTIES DÉTACHABLES DE 14  LIGNES DE PRODUITS</t>
  </si>
  <si>
    <t xml:space="preserve"> Masquez ces 16 colonnes  </t>
  </si>
  <si>
    <t>Enfoncer la touche F9 du clavier pour forcer le recalcul de toutes les fonctions</t>
  </si>
  <si>
    <t>Filtrer</t>
  </si>
  <si>
    <t>Mode d'emploi de la fiche Cadre</t>
  </si>
  <si>
    <t>Mode d'emploi du Postit adaptation selon modèle</t>
  </si>
  <si>
    <t>① le/la &gt;</t>
  </si>
  <si>
    <t>COMMENT AFFICHER LES LIGNES UTILES DU CADRE</t>
  </si>
  <si>
    <t>① &gt;</t>
  </si>
  <si>
    <t>* identité police calibri taille 14</t>
  </si>
  <si>
    <t xml:space="preserve">Fiche N° &gt; </t>
  </si>
  <si>
    <t>1 - Positionnez vous sur la cellule A rouge</t>
  </si>
  <si>
    <t>Pour agrandir l'image cliquez dessus et tirez sur les carrés ou les cercles blancs dans les angles</t>
  </si>
  <si>
    <t>et sur Filtrer</t>
  </si>
  <si>
    <t>① NOM DE LA RECETTE - Famille et N° de la recette</t>
  </si>
  <si>
    <t>TABLEAU D'ÉQUIVALENCES</t>
  </si>
  <si>
    <t>❼ Recette dupliquée pour :</t>
  </si>
  <si>
    <t>Modifiez en g ou ml ce qui ne vous convient pas</t>
  </si>
  <si>
    <t>① &gt; Auteur</t>
  </si>
  <si>
    <t>Recette mère ► Recette prévu pour quelle préparation</t>
  </si>
  <si>
    <t>Colonne ▼</t>
  </si>
  <si>
    <t xml:space="preserve">modifiez </t>
  </si>
  <si>
    <t>❽ Quoi ▲</t>
  </si>
  <si>
    <t xml:space="preserve">evitez ( le ou la ) crème anglaise par exemple ..  inutile pour la récupérarion </t>
  </si>
  <si>
    <t>g/ml▼</t>
  </si>
  <si>
    <t xml:space="preserve">cartouche = Emplacement réservé au titre et aux cellules de commandes, situé en tête du document </t>
  </si>
  <si>
    <t>du code avec cette formule  GAUCHE(Q6;1)</t>
  </si>
  <si>
    <t>Que faut-il faire</t>
  </si>
  <si>
    <t>④ références.Auteurs</t>
  </si>
  <si>
    <t>❺  Facultatif faites une estimation</t>
  </si>
  <si>
    <t>④ si vous n'êtes</t>
  </si>
  <si>
    <t xml:space="preserve">❻  modifiez les ICI ▼ </t>
  </si>
  <si>
    <t>❶ - Nommez le cadre , Nom de la recette et Auteur</t>
  </si>
  <si>
    <t xml:space="preserve">pas d'accord </t>
  </si>
  <si>
    <t xml:space="preserve">❷ - collez vos postits à partir des lignes 37 </t>
  </si>
  <si>
    <t xml:space="preserve"> prévu pour</t>
  </si>
  <si>
    <t xml:space="preserve">        poids unitaire</t>
  </si>
  <si>
    <t>Poids Auteur</t>
  </si>
  <si>
    <t>Total à saisir en ⑥</t>
  </si>
  <si>
    <t>avec ces Poids recettes  ▼</t>
  </si>
  <si>
    <t>❸ - saisissez vos valeurs dans le cartouche d'entête</t>
  </si>
  <si>
    <t>④ références.Auteurs ne saisissez rien ,en liaison avec les postits</t>
  </si>
  <si>
    <t>❺ Facultatif faites une estimation si vous n'êtes pas d'accord avec l'Auteur</t>
  </si>
  <si>
    <t xml:space="preserve">❻  modifiez les poids dans cette colonne Saisissez vos poids en Kg </t>
  </si>
  <si>
    <t>👉 La cellule AN10 pilote l’ensemble des recettes de la fiche</t>
  </si>
  <si>
    <t>❽ Quoi ? Portions - tarte - couverts ou contenant</t>
  </si>
  <si>
    <t>LIENS &gt;</t>
  </si>
  <si>
    <t>https://getgreenshot.org/archive/fr/</t>
  </si>
  <si>
    <t>mais en général le même intitulé que le Quoi de  l'Auteur</t>
  </si>
  <si>
    <t>https://getgreenshot.org/help/fr-fr/</t>
  </si>
  <si>
    <t>Le contenant peut être : assiettes - tartes - goutières (pour les buches) - plaques de 60X 40 - portions - couverts - louches - CC = cuillère à café - CT = cuillère à thé -CP = cuillère à potage - etc,</t>
  </si>
  <si>
    <t>👉 ❻ Optionnel : Vous avez la possibilité d’ajuster les poids ④ des recettes si vous estimez qu’ils sont trop élevés ou trop faibles pour vos convives (ou clients).</t>
  </si>
  <si>
    <t>./4.teaspoon</t>
  </si>
  <si>
    <t xml:space="preserve">Saisissez vos poids en Kg ▲       </t>
  </si>
  <si>
    <t>👉 Le cas échéant, réalisez un test en ❺ et reportez les ajustements proposés dans la colonne ❻.</t>
  </si>
  <si>
    <t>./2.teaspoon</t>
  </si>
  <si>
    <t>teaspoon</t>
  </si>
  <si>
    <t>Les colonnes à afficher pour le cadre s’étendent de AC à AQ</t>
  </si>
  <si>
    <t>bar spoon(s)</t>
  </si>
  <si>
    <t xml:space="preserve">tandis que celles de L à AA présentent les différentes recettes collées (postits) </t>
  </si>
  <si>
    <t>si vous ne saisissez pas de poids en ❻ les poids ④  seront utilisés</t>
  </si>
  <si>
    <t xml:space="preserve">./2.tablespoon </t>
  </si>
  <si>
    <t xml:space="preserve">tablespoon </t>
  </si>
  <si>
    <t xml:space="preserve">❻ Saisissez votre poids en Kg </t>
  </si>
  <si>
    <t>V.liqueur</t>
  </si>
  <si>
    <t xml:space="preserve">  ▼ BROUILLON </t>
  </si>
  <si>
    <t>Digestif(s)</t>
  </si>
  <si>
    <t>INAO(s)</t>
  </si>
  <si>
    <t>Recette dupliquée pour :</t>
  </si>
  <si>
    <t>VDN(s)</t>
  </si>
  <si>
    <t>Quantités pour</t>
  </si>
  <si>
    <t>ou saisissez le poids qui vous convient</t>
  </si>
  <si>
    <t>Degustation(s)</t>
  </si>
  <si>
    <t>Il est difficile de comparer les recettes, car les auteurs utilisent des critères ou des quantités pour un nombre de convives qui varient. La méthode la plus fiable pour les comparer consiste à ramener les proportions à une base commune, comme le kilogramme.</t>
  </si>
  <si>
    <t>Coupette(s)</t>
  </si>
  <si>
    <t>Flute(s)</t>
  </si>
  <si>
    <t>◄  test Nb de caractères + espaces</t>
  </si>
  <si>
    <t>quoi</t>
  </si>
  <si>
    <t xml:space="preserve">Poids </t>
  </si>
  <si>
    <t>Denrées</t>
  </si>
  <si>
    <t>Pour l'affichage ou l'impression papier de ce document</t>
  </si>
  <si>
    <t xml:space="preserve"> masquer les colonnes   &lt; vous avez 16 colonnes masquables</t>
  </si>
  <si>
    <t>lorsque vous avez masqué des colonnes cliquez sur enregistrer pour qu'excel en tienne compte puis</t>
  </si>
  <si>
    <t>ounce fl.Oz</t>
  </si>
  <si>
    <t>Masquer des colonnes - Résumé express  :</t>
  </si>
  <si>
    <r>
      <t>1. Sélectionnez</t>
    </r>
    <r>
      <rPr>
        <sz val="14"/>
        <color theme="1"/>
        <rFont val="Calibri"/>
        <family val="2"/>
        <scheme val="minor"/>
      </rPr>
      <t xml:space="preserve"> la ou les colonnes que vous voulez masquer (clic gauche sur les lettres de colonnes).</t>
    </r>
  </si>
  <si>
    <r>
      <t>2. Clic droit</t>
    </r>
    <r>
      <rPr>
        <sz val="14"/>
        <color theme="1"/>
        <rFont val="Calibri"/>
        <family val="2"/>
        <scheme val="minor"/>
      </rPr>
      <t xml:space="preserve"> sur une des colonnes sélectionnées.</t>
    </r>
  </si>
  <si>
    <t>stick of butter</t>
  </si>
  <si>
    <r>
      <t xml:space="preserve">3. Choisissez </t>
    </r>
    <r>
      <rPr>
        <b/>
        <sz val="14"/>
        <color theme="1"/>
        <rFont val="Calibri"/>
        <family val="2"/>
        <scheme val="minor"/>
      </rPr>
      <t>"Masquer"</t>
    </r>
    <r>
      <rPr>
        <sz val="14"/>
        <color theme="1"/>
        <rFont val="Calibri"/>
        <family val="2"/>
        <scheme val="minor"/>
      </rPr>
      <t xml:space="preserve"> dans le menu contextuel.</t>
    </r>
  </si>
  <si>
    <r>
      <t xml:space="preserve">4. Pour les réafficher, sélectionnez les colonnes adjacentes, clic droit → </t>
    </r>
    <r>
      <rPr>
        <b/>
        <sz val="14"/>
        <color theme="1"/>
        <rFont val="Calibri"/>
        <family val="2"/>
        <scheme val="minor"/>
      </rPr>
      <t>"Afficher"</t>
    </r>
    <r>
      <rPr>
        <sz val="14"/>
        <color theme="1"/>
        <rFont val="Calibri"/>
        <family val="2"/>
        <scheme val="minor"/>
      </rPr>
      <t>.</t>
    </r>
  </si>
  <si>
    <t>Masquer les Colonnes dans Excel 🟢[2 SOLUTIONS PRO] 🟢</t>
  </si>
  <si>
    <t>https://www.youtube.com/watch?v=WbtKbVzE2mE&amp;t=2s</t>
  </si>
  <si>
    <t>Décimal : selon paramètres régionaux »  point . ou ,</t>
  </si>
  <si>
    <t>CONSEILS DU CHEF</t>
  </si>
  <si>
    <t>PHOTO</t>
  </si>
  <si>
    <t>Comment mettre un accent à une majuscule (À, É, È, Ç) ?</t>
  </si>
  <si>
    <t>Selon modèle en fonction du nombre de colonnes vous pouvez obtenir ce genre de résultat</t>
  </si>
  <si>
    <t>US(cp)</t>
  </si>
  <si>
    <t>È (e majuscule accent grave) = Alt + 0200</t>
  </si>
  <si>
    <t>É (e majuscule accent aigu) =Alt + 0201</t>
  </si>
  <si>
    <t xml:space="preserve"> Vos poids et volumesBruts avec coef.</t>
  </si>
  <si>
    <t xml:space="preserve"> % Perte</t>
  </si>
  <si>
    <t xml:space="preserve"> Vos poids et volumes Nets avec coef.</t>
  </si>
  <si>
    <t>cup de lait</t>
  </si>
  <si>
    <t>À (a majuscule accent) = Alt + 0192</t>
  </si>
  <si>
    <t>Ç (c cédille majuscule) = Alt + 0199</t>
  </si>
  <si>
    <t>US (cp)</t>
  </si>
  <si>
    <t>Ù (u majuscule accent grave) = Alt + 0217</t>
  </si>
  <si>
    <t>1.11 Kg</t>
  </si>
  <si>
    <t>1 110 g</t>
  </si>
  <si>
    <t>888 g</t>
  </si>
  <si>
    <t>pound(s).(lb)</t>
  </si>
  <si>
    <t>**</t>
  </si>
  <si>
    <t>grand Marnier</t>
  </si>
  <si>
    <t>13 cl</t>
  </si>
  <si>
    <t>133 ml</t>
  </si>
  <si>
    <t>119.88 ml</t>
  </si>
  <si>
    <t>8.325 Kg</t>
  </si>
  <si>
    <t>33 quart(s)</t>
  </si>
  <si>
    <t>23.31 quart(s)</t>
  </si>
  <si>
    <t>cliquez sur la colonne de chiffres et sélectionnez dans la barre de formule le numéro ou la lettre qui vous intéresse choisissez la police de caractères et la couleur qui vous conviennent</t>
  </si>
  <si>
    <t>faire bouillir la crème avec les zestes</t>
  </si>
  <si>
    <t>cuire comme une crème patissière avec le sucre ,les jaunes, et la maîzena</t>
  </si>
  <si>
    <t>ajouter la gélatine ramolie dans l'eau froide et pressée</t>
  </si>
  <si>
    <t>mélanger délicatement avec les blancs serrés avec le sucre</t>
  </si>
  <si>
    <t>couler en moules silicones et surgeler</t>
  </si>
  <si>
    <t>gastro 1/1</t>
  </si>
  <si>
    <t>CONSEILS HYGIÈNE</t>
  </si>
  <si>
    <t>Les points à risque</t>
  </si>
  <si>
    <t>Les mesures préventives</t>
  </si>
  <si>
    <t>Numérotation automatique</t>
  </si>
  <si>
    <t xml:space="preserve">Numérotation automatique </t>
  </si>
  <si>
    <t>FEUILLES DE MERINGUE</t>
  </si>
  <si>
    <t>pâtisserie-ENTREMET</t>
  </si>
  <si>
    <t>1 plaque 1/2 60X40 pour 18 assiettes</t>
  </si>
  <si>
    <t xml:space="preserve">pour </t>
  </si>
  <si>
    <t>sucre cristalisé</t>
  </si>
  <si>
    <t>vous pouvez saisir un autre poids selon vos besoins</t>
  </si>
  <si>
    <t>sucre glace silice</t>
  </si>
  <si>
    <t xml:space="preserve">cette colonne vous permet de comparer les recettes . </t>
  </si>
  <si>
    <t>noix de coco rapée</t>
  </si>
  <si>
    <t xml:space="preserve">les Auteurs prévoient leur recettes pour des quantités ou un nombre de portions </t>
  </si>
  <si>
    <t>différentes. Il est donc difficile de comparer. Avec cette colonne cela devient facile</t>
  </si>
  <si>
    <t>tarte</t>
  </si>
  <si>
    <t>feuilles de génoise</t>
  </si>
  <si>
    <t>Vous pouvez valider en re-saisissant les mêmes valeurs que l'Auteur</t>
  </si>
  <si>
    <t>cadre(s)</t>
  </si>
  <si>
    <t>tartes de 18 cm</t>
  </si>
  <si>
    <t>OU faire un autre choix</t>
  </si>
  <si>
    <t>soit vous faites le choix de dupliquer la recette à partir d'un effectif ou du poids d'une denrée Exemple farine pour le pain</t>
  </si>
  <si>
    <t>faire monter les blancs avec le sucre cristal</t>
  </si>
  <si>
    <t>Kg de farine</t>
  </si>
  <si>
    <t>incorporer ensuite le sucre glace et la noix de coco</t>
  </si>
  <si>
    <t>étaler très finement sur plaque et parsemer de pistaches hachées</t>
  </si>
  <si>
    <t>▲  C'est cette première valeur qu'Excel va utiliser</t>
  </si>
  <si>
    <t>cuire 1h30 à 80°C.</t>
  </si>
  <si>
    <t xml:space="preserve"> Facultatif Produit de référence</t>
  </si>
  <si>
    <t>bœuf</t>
  </si>
  <si>
    <t>Si vous estimez que les grammages sont trop ou pas assez copieux pour vos convives : modifiez vos portions ❿  Trop copieux :  augmentez - Pas assez copieux diminuez</t>
  </si>
  <si>
    <t>1 plaque 1/2 60X40 pour 18 assiettes soit 12 assiettes par plaque</t>
  </si>
  <si>
    <t>meringues</t>
  </si>
  <si>
    <t>plaques 60X40</t>
  </si>
  <si>
    <t xml:space="preserve">à vous de saisir la quantité </t>
  </si>
  <si>
    <t xml:space="preserve"> Quoi ? Si vous saisissez une quantité p.p. Saisissez Morceaux - tranches- portions - pièces - cerises etc</t>
  </si>
  <si>
    <t>▲  C'est la valeur saisie dans cette cellule  qu'Excel va utiliser pour  dupliquer la recette</t>
  </si>
  <si>
    <t>selon modèles vous pouvez avoir :</t>
  </si>
  <si>
    <t xml:space="preserve"> Prix</t>
  </si>
  <si>
    <t>COULIS DE MANGUE</t>
  </si>
  <si>
    <t>coller la-cellule-IDENTITÉ</t>
  </si>
  <si>
    <t>unitaire &gt;</t>
  </si>
  <si>
    <t>Somme</t>
  </si>
  <si>
    <t xml:space="preserve">  % Perte</t>
  </si>
  <si>
    <t>1 Kg de produit pert combien à l'épluchage ou au parage - au conditionnement etc..</t>
  </si>
  <si>
    <t>Brut Équivalences arrondies</t>
  </si>
  <si>
    <t>Poids Bruts</t>
  </si>
  <si>
    <t>750 g</t>
  </si>
  <si>
    <t>Équivalences arrondies les poids supérieurs à 1 Kg sont exprimés en Kg</t>
  </si>
  <si>
    <t>pulpe</t>
  </si>
  <si>
    <t>les poids inférieurs à 1 Kg sont exprimés en g</t>
  </si>
  <si>
    <t>sucre semoule pâtissière</t>
  </si>
  <si>
    <t>jus de citron</t>
  </si>
  <si>
    <t>coulis mangue</t>
  </si>
  <si>
    <t>gastro 1/2</t>
  </si>
  <si>
    <t>ou quel grammage par portion</t>
  </si>
  <si>
    <t>JUS DE FRAISES DES BOIS</t>
  </si>
  <si>
    <t xml:space="preserve">Quantité p.p. au choix ou les deux </t>
  </si>
  <si>
    <t>combien de pièces par personne (tranches - louches- etc..)</t>
  </si>
  <si>
    <t>combien de tranches ou autre par contenant</t>
  </si>
  <si>
    <t>ou quel poids par contenant</t>
  </si>
  <si>
    <t>Ligne 334 Cellule ICI</t>
  </si>
  <si>
    <t>vous avez plusieurs modèles à coller</t>
  </si>
  <si>
    <t>en remplacement Collez les compléments si vous en avez besoin</t>
  </si>
  <si>
    <t>fraises</t>
  </si>
  <si>
    <t>framboises</t>
  </si>
  <si>
    <t xml:space="preserve">mettre au bain marie pendant 1heure. </t>
  </si>
  <si>
    <t>filmer hermétiquement</t>
  </si>
  <si>
    <t>filtrer le jus et le mélange avec des fraises des bois entières</t>
  </si>
  <si>
    <t>jus de fraises</t>
  </si>
  <si>
    <t>ETC…......</t>
  </si>
  <si>
    <t>largeurs d'origine (pour mémoire)</t>
  </si>
  <si>
    <t>largeurs avec formule</t>
  </si>
  <si>
    <t>Coeff.AE . AG . AI</t>
  </si>
  <si>
    <t>Poids et vol.arrondis avec coef.</t>
  </si>
  <si>
    <t>❾ Author_Ref</t>
  </si>
  <si>
    <t>Gross_x_Coefficient</t>
  </si>
  <si>
    <t>Rounded_Weight_and_Volume_x_Coefficient</t>
  </si>
  <si>
    <t>Item ?</t>
  </si>
  <si>
    <t>Cost</t>
  </si>
  <si>
    <t>❾ Referencia_Autor</t>
  </si>
  <si>
    <t>Bruto_x_Coeficiente</t>
  </si>
  <si>
    <t>Peso_y_Volumen_Redondeados_x_Coeficiente</t>
  </si>
  <si>
    <t>NETO</t>
  </si>
  <si>
    <t>Ítem (o Concepto) ?</t>
  </si>
  <si>
    <t>Costo</t>
  </si>
  <si>
    <t>Millilitres/grammes</t>
  </si>
  <si>
    <t>B_Factor</t>
  </si>
  <si>
    <t>C_Larger_Unit</t>
  </si>
  <si>
    <t>D_Threshold</t>
  </si>
  <si>
    <t>Milliliters_Or_Grams</t>
  </si>
  <si>
    <t>A_Unidad</t>
  </si>
  <si>
    <t>D_Umbral</t>
  </si>
  <si>
    <t>Mililitros_o_Gramos</t>
  </si>
  <si>
    <t>C_Unidad_Superior</t>
  </si>
  <si>
    <t>COMMENT AFFICHER LES LIGNES UTILES -  HOW TO DISPLAY THE RELEVANT ROWS - CÓMO MOSTRAR LAS FILAS ÚTILES</t>
  </si>
  <si>
    <t xml:space="preserve">1 - Positionnez vous sur la cellule A rouge - Go to the red A cell  - Sitúate en la celda A </t>
  </si>
  <si>
    <t>et sur Filtrer - and enable Filter - roja y activa Filtro</t>
  </si>
  <si>
    <t>2 - Données &gt; Filtre - Data &gt; Filter - Datos &gt; Filtro</t>
  </si>
  <si>
    <t>3 - Cliquez sur la flèche Filtre  - Click the Filter arrow - Haz clic en la flecha de Filtro</t>
  </si>
  <si>
    <t>de la cellule A rouge - on the red A cell - de la celda A roja</t>
  </si>
  <si>
    <t>Choisissez des valeurs spécifiques :   Choose specific values:  Elegir valores específicos:</t>
  </si>
  <si>
    <t>Décochez (Sélectionner tout)  Uncheck (Select All)   Desmarca (Seleccionar todo)</t>
  </si>
  <si>
    <t>pour décocher toutes les cases,   to clear all boxes  para desmarcar todas las casillas</t>
  </si>
  <si>
    <t>Puis cochez A (afficher)  Do the opposite: check (Select All),  Desmarca (Seleccionar todo)</t>
  </si>
  <si>
    <t xml:space="preserve"> pour selectionner les lignes à afficher   to select the rows to display  para seleccionar las filas a mostrar</t>
  </si>
  <si>
    <t>Pour l'affichage de toutes les lignes  To show all rows again:  Para volver a mostrar todas las filas:</t>
  </si>
  <si>
    <t xml:space="preserve"> faites l'inverse cochez (Sélectionner tout)  Do the opposite: check (Select All),  Haz lo contrario: marca (Seleccionar todo),</t>
  </si>
  <si>
    <t>ou cliquez de nouveau sur "l'entonnoir"  or click the funnel icon (Sort &amp; Filter)  o vuelve a hacer clic en el icono de embudo</t>
  </si>
  <si>
    <t>trier en haut de l'écran pour désactiver  on the ribbon again to turn Filter off.  o vuelve a hacer clic en el icono de embudo (Ordenar y filtrar)</t>
  </si>
  <si>
    <t xml:space="preserve"> la fonction Tri  Filter off  en la cinta para desactivar Filtro.</t>
  </si>
  <si>
    <t>Hidden rows  -   Filas ocultas</t>
  </si>
  <si>
    <t>TABLEAU DE RECHERCHE  - LOOKUP_TABLE - TABLA_DE_BÚSQUEDA</t>
  </si>
  <si>
    <t>Recettes</t>
  </si>
  <si>
    <t>Col.34</t>
  </si>
  <si>
    <t>Dupliquée  pour</t>
  </si>
  <si>
    <t xml:space="preserve"> Duplicado_Para</t>
  </si>
  <si>
    <t>Duplicated_For</t>
  </si>
  <si>
    <t>⑬ le/la &gt;</t>
  </si>
  <si>
    <t>⑬ &gt;</t>
  </si>
  <si>
    <t xml:space="preserve">⑭ - collez vos postits colonne L à partir de la lignes 12 </t>
  </si>
  <si>
    <t>⓯ Recette dupliquée pour :</t>
  </si>
  <si>
    <t xml:space="preserve">▲  ⓯ Quoi ? </t>
  </si>
  <si>
    <t>⑬ NOM DE LA RECETTE - Famille et N° de la recette</t>
  </si>
  <si>
    <t>⑬ &gt; Auteur</t>
  </si>
  <si>
    <t>⑰ % Loss_Percent</t>
  </si>
  <si>
    <t>⑰ % Porcentaje_de_Pérdida</t>
  </si>
  <si>
    <t>⑰ % Perte</t>
  </si>
  <si>
    <t>Facultatif</t>
  </si>
  <si>
    <t>⑱ Price</t>
  </si>
  <si>
    <t>⑱ Precio</t>
  </si>
  <si>
    <t>⑱ Prix</t>
  </si>
  <si>
    <t>ne confondez pas le prix au Kg et le prix à la pièce</t>
  </si>
  <si>
    <t>Quelques exemples</t>
  </si>
  <si>
    <t>SI(A2&gt;100;"OK";"KO") — Test logique simple.</t>
  </si>
  <si>
    <t>SI.CONDITIONS(A2"";"Vide";A2&gt;0;"Positif";VRAI;"Autre") — Plusieurs conditions sans SI imbriqués.</t>
  </si>
  <si>
    <t>SIERREUR(RECHERCHEX(E2;A:A;B:B);"Non trouvé") — Gérer les #N/A d’une recherche.</t>
  </si>
  <si>
    <t>SOMME(B2:B100) — Additionne une plage.</t>
  </si>
  <si>
    <t>MOYENNE(B2:B100) — Moyenne d’une plage.</t>
  </si>
  <si>
    <t>MAX(B2:B100) — Valeur max.</t>
  </si>
  <si>
    <t>MIN(B2:B100) — Valeur min.</t>
  </si>
  <si>
    <t>NB(B2:B100) — Compte les nombres.</t>
  </si>
  <si>
    <t>NBVAL(B2:B100) — Compte les cellules non vides.</t>
  </si>
  <si>
    <t>NB.SI(A2:A100;"Paris") — Compte selon un critère.</t>
  </si>
  <si>
    <t>NB.SI.ENS(A2:A100;"Paris";B2:B100;"&gt;100") — Compte selon plusieurs critères.</t>
  </si>
  <si>
    <t>SOMME.SI(A2:A100;"Paris";B2:B100) — Somme avec critère.</t>
  </si>
  <si>
    <t>SOMME.SI.ENS(C2:C100;A2:A100;"Paris";B2:B100;"&gt;100") — Somme multi-critères.</t>
  </si>
  <si>
    <t>MOYENNE.SI(A2:A100;"Paris";B2:B100) — Moyenne conditionnelle.</t>
  </si>
  <si>
    <t>MAX.SI.ENS(B2:B100;A2:A100;"Paris") — Maxi conditionnel.</t>
  </si>
  <si>
    <t>SOMMEPROD((A2:A100"Paris")*(B2:B100&gt;100)*C2:C100) — Somme + conditions avancées.</t>
  </si>
  <si>
    <t>RECHERCHEV(E2;A:B;2;FAUX) — Recherche verticale (exacte).</t>
  </si>
  <si>
    <t>RECHERCHEX(E2;A:A;B:B;;0) — Recherche moderne (exacte par défaut).</t>
  </si>
  <si>
    <t>INDEX(B2:B100;EQUIV(E2;A2:A100;0)) — Recherche INDEX/EQUIV.</t>
  </si>
  <si>
    <t>FILTRE(A2:C100;B2:B100&gt;100) — Filtrer dynamiquement des lignes.</t>
  </si>
  <si>
    <t>TRIER(FILTRE(A2:C100;A2:A100"Paris");2;-1) — Filtrer puis trier (col.2 décroissant).</t>
  </si>
  <si>
    <t>UNIQUE(A2:A100) — Liste de valeurs uniques.</t>
  </si>
  <si>
    <t>TRANSPOSE(A2:D2) — Ligne → colonne (ou inverse).</t>
  </si>
  <si>
    <t>CONCAT(A2;" ";B2) — Concaténation simple.</t>
  </si>
  <si>
    <t>TEXTE(B2;"jj/mm/aaaa") — Formater un nombre/date en texte.</t>
  </si>
  <si>
    <t>GAUCHE(A2;3) — Les 3 premiers caractères.</t>
  </si>
  <si>
    <t>DROITE(A2;4) — Les 4 derniers caractères.</t>
  </si>
  <si>
    <t>STXT(A2;3;5) — 5 caractères depuis la position 3.</t>
  </si>
  <si>
    <t>NBCAR(A2) — Longueur du texte.</t>
  </si>
  <si>
    <t>SUPPRESPACE(A2) — Enlever espaces superflus.</t>
  </si>
  <si>
    <t>SUBSTITUE(A2;"-";" ") — Remplacer un motif texte.</t>
  </si>
  <si>
    <t>TROUVE("@" ;A2) — Position d’un motif (sensible à la casse).</t>
  </si>
  <si>
    <t>CHERCHE("@" ;A2) — Idem, insensible à la casse.</t>
  </si>
  <si>
    <t>MAJUSCULE(A2) — Tout en majuscules.</t>
  </si>
  <si>
    <t>MINUSCULE(A2) — Tout en minuscules.</t>
  </si>
  <si>
    <t>PROPER(A2) — Majuscule à chaque mot.</t>
  </si>
  <si>
    <t>ARRONDI(B2;2) — Arrondir à 2 décimales.</t>
  </si>
  <si>
    <t>ARRONDI.SUP(B2;0) — Arrondir au dessus (entier).</t>
  </si>
  <si>
    <t>ARRONDI.INF(B2;0) — Arrondir au dessous (entier).</t>
  </si>
  <si>
    <t>MAINTENANT() — Date/heure actuelles.</t>
  </si>
  <si>
    <t>AUJOURDHUI() — Date du jour.</t>
  </si>
  <si>
    <t>DATE(2025;9;29) — Construire une date.</t>
  </si>
  <si>
    <t>JOUR(B2) — Jour du mois d’une date.</t>
  </si>
  <si>
    <t>MOIS(B2) — Mois d’une date.</t>
  </si>
  <si>
    <t>ANNEE(B2) — Année d’une date.</t>
  </si>
  <si>
    <t>JOURSEM(B2;2) — N° jour semaine (1lundi).</t>
  </si>
  <si>
    <t>SERIE.JOUR.OUVRE.INTL(B2;10;1) — +10 jours ouvrés.</t>
  </si>
  <si>
    <t>NB.JOURS.OUVRES.INTL(B2;C2;1) — Jours ouvrés entre 2 dates.</t>
  </si>
  <si>
    <t>DATEDIF(B2;C2;"y") — Années complètes entre dates.</t>
  </si>
  <si>
    <t>ECARTYPE.POP(B2:B100) — Écart-type population.</t>
  </si>
  <si>
    <t>MEDIANE(B2:B100) — Médiane.</t>
  </si>
  <si>
    <t>RANG(B2;B2:B100;0) — Rang (1plus grand).</t>
  </si>
  <si>
    <t>ALEA() — Nombre aléatoire 0–1.</t>
  </si>
  <si>
    <t>ALEA.ENTRE.BORNES(1;100) — Entier aléatoire borné.</t>
  </si>
  <si>
    <t>ESTVIDE(A2) — Vrai si cellule vide.</t>
  </si>
  <si>
    <t>ET(A2&gt;0;B2&lt;100) — Test « ET ».</t>
  </si>
  <si>
    <t>OU(A2"Oui";B2"Oui") — Test « OU ».</t>
  </si>
  <si>
    <t>NON(A2&gt;0) — Négation logique.</t>
  </si>
  <si>
    <t>HYPERLIEN("https://exemple.com";"Ouvrir</t>
  </si>
  <si>
    <t>5ème/L</t>
  </si>
  <si>
    <t>10ème/L</t>
  </si>
  <si>
    <t>L ou kg</t>
  </si>
  <si>
    <t>Col.35</t>
  </si>
  <si>
    <t>Col.36</t>
  </si>
  <si>
    <t>Col.37</t>
  </si>
  <si>
    <t>Col.38</t>
  </si>
  <si>
    <t>Col.39</t>
  </si>
  <si>
    <t>« Les libellés ""Adresse PC";"▼ recette suivante" en AE, AR , AX . servent de déclencheur pour les calculs des colonnes  »</t>
  </si>
  <si>
    <t>poids</t>
  </si>
  <si>
    <t>volume</t>
  </si>
  <si>
    <t>▲ Table de recherche les Col.6 à Col.11 sont réservées aux poids Kg</t>
  </si>
  <si>
    <t>▲  ⓯ Quoi ? Portions - tarte - couverts ou contenant</t>
  </si>
  <si>
    <t>⑬ - Nommez le répertoire , Nom de la recette le N° de fiche et collez la famille</t>
  </si>
  <si>
    <t>What to do</t>
  </si>
  <si>
    <t>⑬ – Name the directory with the Recipe Name, the Sheet No., and paste the Family.</t>
  </si>
  <si>
    <t>⑭ – Paste your sticky notes in column L starting from row 12.</t>
  </si>
  <si>
    <t>(too high or too low for your guests),</t>
  </si>
  <si>
    <t>Optional</t>
  </si>
  <si>
    <t>For on-screen display or printing of this document</t>
  </si>
  <si>
    <t>Hide Columns – Quick Summary:</t>
  </si>
  <si>
    <t>1. Select the column(s) you want to hide (left-click the column letters).</t>
  </si>
  <si>
    <t>2. Right-click one of the selected columns.</t>
  </si>
  <si>
    <t>Hide Columns in Excel 🟢[2 PRO SOLUTIONS] 🟢</t>
  </si>
  <si>
    <t>Link @ &gt;</t>
  </si>
  <si>
    <t>How to add an accent to a capital letter (À, É, È, Ç)?</t>
  </si>
  <si>
    <t>Click the number column, then in the formula bar select the number or letter you want; choose the font and color that suit you.</t>
  </si>
  <si>
    <t>Qué hay que hacer</t>
  </si>
  <si>
    <t>⑬ – Nombra el directorio con el Nombre de la receta, el Nº de la ficha y pega la Familia.</t>
  </si>
  <si>
    <t>⑭ – Pega tus notas adhesivas en la columna L a partir de la fila 12.</t>
  </si>
  <si>
    <t>platos</t>
  </si>
  <si>
    <t>Opcional</t>
  </si>
  <si>
    <t>Para la visualización en pantalla o la impresión de este documento</t>
  </si>
  <si>
    <t>Ocultar Columnas – Resumen exprés:</t>
  </si>
  <si>
    <t>1. Selecciona las columnas que quieres ocultar (clic izquierdo en las letras de columna).</t>
  </si>
  <si>
    <t>2. Clic derecho sobre una de las columnas seleccionadas.</t>
  </si>
  <si>
    <t>Ocultar Columnas en Excel 🟢[2 SOLUCIONES PRO] 🟢</t>
  </si>
  <si>
    <t>Enlace @ &gt;</t>
  </si>
  <si>
    <t>Haz clic en la columna de números y, en la barra de fórmulas, selecciona el número o la letra que te interese; elige la tipografía y el color que prefieras.</t>
  </si>
  <si>
    <t>⑬ RECIPE NAME – Family and Recipe No.</t>
  </si>
  <si>
    <t>⑬ &gt; Author</t>
  </si>
  <si>
    <t xml:space="preserve">Avoid adding articles like “le/la” before names (e.g., “la crème anglaise”). </t>
  </si>
  <si>
    <t>It’s unnecessary and breaks code retrieval with this formula: LEFT(Q6,1).</t>
  </si>
  <si>
    <t>⓯ Recipe duplicated for:</t>
  </si>
  <si>
    <t>⑰ % Loss</t>
  </si>
  <si>
    <t>After hiding columns, click Save so Excel takes it into account, then</t>
  </si>
  <si>
    <t>press F9 to force recalculation of all functions.</t>
  </si>
  <si>
    <t>3. Choose Hide from the context menu.</t>
  </si>
  <si>
    <t>4. To show them again, select the adjacent columns, right-click → Unhide.</t>
  </si>
  <si>
    <t>Excel formula note (English): GAUCHE(Q6;1) in French Excel = LEFT(Q6,1) in English Excel.</t>
  </si>
  <si>
    <t>⑬ NOMBRE DE LA RECETA – Familia y Nº de la receta</t>
  </si>
  <si>
    <t>⑬ &gt; Autor</t>
  </si>
  <si>
    <t>Evita poner artículos como “el/la” antes de los nombres (p. ej., “la crema inglesa”).</t>
  </si>
  <si>
    <t>Es innecesario y estropea la recuperación del código con esta fórmula: IZQUIERDA(Q6;1).</t>
  </si>
  <si>
    <t>⓯ Receta duplicada para:</t>
  </si>
  <si>
    <t>⑰ % Pérdida</t>
  </si>
  <si>
    <t>No confundas el precio por kg con el precio por pieza.</t>
  </si>
  <si>
    <t>Cuando hayas ocultado columnas, haz clic en Guardar para que Excel lo tenga en cuenta y luego</t>
  </si>
  <si>
    <t>pulsa F9 para forzar el recálculo de todas las funciones.</t>
  </si>
  <si>
    <t>3. Elige Ocultar en el menú contextual.</t>
  </si>
  <si>
    <t>4. Para mostrarlas de nuevo, selecciona las columnas adyacentes, clic derecho → Mostrar/Revelar.</t>
  </si>
  <si>
    <t>Cómo poner acento a una mayúscula (À, É, È, Ç)?</t>
  </si>
  <si>
    <t>Si tu Excel est\u00e1 en otro idioma/locale, pense à ajuster la formule (GAUCHE/LEFT/IZQUIERDA) et le séparateur (, vs ;).</t>
  </si>
  <si>
    <t>Nota sobre la fórmula de Excel (ES): GAUCHE(Q6;1) en Excel francés = IZQUIERDA(Q6;1) en Excel en español (los separadores pueden ser “;” o “,” según la configuración regional).</t>
  </si>
  <si>
    <t>📝 Modo de empleo del directorio de recetas</t>
  </si>
  <si>
    <t>📝 User Guide for the Recipe Directory</t>
  </si>
  <si>
    <t>📝 Mode d'emploi du répertoire</t>
  </si>
  <si>
    <t xml:space="preserve">tandis que celles de L à AC présentent les différentes recettes collées (postits) </t>
  </si>
  <si>
    <t>filas ocultas</t>
  </si>
  <si>
    <t xml:space="preserve"> hidden rows</t>
  </si>
  <si>
    <t>⓯ Recipe duplicated for:  Receta duplicada para:</t>
  </si>
  <si>
    <t>▲ ⓯ What?   Qué?</t>
  </si>
  <si>
    <t>Label (short): Units used for cocktails — purple and green ink</t>
  </si>
  <si>
    <t>Etiqueta (corta): Unidades utilizadas para cócteles — tinta violeta y verde</t>
  </si>
  <si>
    <t>Paste the photo of the dish or paste a screenshot. To enlarge the image, click it and drag the white squares or circles at the corners.</t>
  </si>
  <si>
    <t>Pega la foto del plato o pega una captura de pantalla. Para agrandar la imagen, haz clic sobre ella y arrastra los cuadros o círculos blancos en las esquinas.</t>
  </si>
  <si>
    <t>Excel regional settings: for decimals, use either a . (dot) or a , (comma).Cartouche: placeholder for the title and control cells, located at the top of the document.</t>
  </si>
  <si>
    <t>Configuración regional de Excel: para los decimales, usa . (punto) o , (coma).Cartouche (encabezado): espacio reservado para el título y las celdas de control, situado en la parte superior del documento.</t>
  </si>
  <si>
    <t>je saisis volontairement "Postit" parce que l'autre version est une marque _I intentionally use “Postit” because the other version is a trademark._Escribo intencionadamente “Postit” porque la otra versión es una marca registrada.</t>
  </si>
  <si>
    <t>hidden columns</t>
  </si>
  <si>
    <t>columna oculta</t>
  </si>
  <si>
    <t>On the postit in the lookup table, do not mix weights and volumes; columns 6 to 11 are reserved for weights (kg), and the following columns are for volumes.</t>
  </si>
  <si>
    <t>En el postit de la tabla de búsqueda, no mezcles pesos y volúmenes; las columnas 6 a 11 están reservadas para los pesos (kg) y las columnas siguientes son para los volúmenes.</t>
  </si>
  <si>
    <t>sur le postit dans la table de recherche ne mélangez pas poids et volumes ,les col.6 à col.11 sont réservées aux poids Kg  -  les col.suivantes pour les volumes.</t>
  </si>
  <si>
    <t>Press the F9 key to force the recalculation of all functions. _ Pulsa la tecla F9 para forzar el recálculo de todas las funciones.</t>
  </si>
  <si>
    <t>FILTER _ FILTRAR</t>
  </si>
  <si>
    <t>Ce document est composé de : This document is composed of: Este documento se compone de:</t>
  </si>
  <si>
    <t>avec valeurs ou texte-with values or text-con valores o texto</t>
  </si>
  <si>
    <t>cellules vides - empty cells - celdas vacías</t>
  </si>
  <si>
    <t>lignes - rows - filas</t>
  </si>
  <si>
    <t>colonnes - columns - columnas</t>
  </si>
  <si>
    <t>End of document — cell - Fin del documento — celda &gt;</t>
  </si>
  <si>
    <t>Glossaire express (FR → EN → ES)</t>
  </si>
  <si>
    <t>A. Base &amp; interface</t>
  </si>
  <si>
    <r>
      <t xml:space="preserve">Feuille de calcul — </t>
    </r>
    <r>
      <rPr>
        <b/>
        <sz val="11"/>
        <color theme="1"/>
        <rFont val="Calibri"/>
        <family val="2"/>
        <scheme val="minor"/>
      </rPr>
      <t>Worksheet</t>
    </r>
    <r>
      <rPr>
        <sz val="11"/>
        <color theme="1"/>
        <rFont val="Calibri"/>
        <family val="2"/>
        <scheme val="minor"/>
      </rPr>
      <t xml:space="preserve"> — </t>
    </r>
    <r>
      <rPr>
        <b/>
        <sz val="11"/>
        <color theme="1"/>
        <rFont val="Calibri"/>
        <family val="2"/>
        <scheme val="minor"/>
      </rPr>
      <t>Hoja de cálculo</t>
    </r>
  </si>
  <si>
    <r>
      <t xml:space="preserve">Classeur — </t>
    </r>
    <r>
      <rPr>
        <b/>
        <sz val="11"/>
        <color theme="1"/>
        <rFont val="Calibri"/>
        <family val="2"/>
        <scheme val="minor"/>
      </rPr>
      <t>Workbook</t>
    </r>
    <r>
      <rPr>
        <sz val="11"/>
        <color theme="1"/>
        <rFont val="Calibri"/>
        <family val="2"/>
        <scheme val="minor"/>
      </rPr>
      <t xml:space="preserve"> — </t>
    </r>
    <r>
      <rPr>
        <b/>
        <sz val="11"/>
        <color theme="1"/>
        <rFont val="Calibri"/>
        <family val="2"/>
        <scheme val="minor"/>
      </rPr>
      <t>Libro</t>
    </r>
  </si>
  <si>
    <r>
      <t xml:space="preserve">Cellule — </t>
    </r>
    <r>
      <rPr>
        <b/>
        <sz val="11"/>
        <color theme="1"/>
        <rFont val="Calibri"/>
        <family val="2"/>
        <scheme val="minor"/>
      </rPr>
      <t>Cell</t>
    </r>
    <r>
      <rPr>
        <sz val="11"/>
        <color theme="1"/>
        <rFont val="Calibri"/>
        <family val="2"/>
        <scheme val="minor"/>
      </rPr>
      <t xml:space="preserve"> — </t>
    </r>
    <r>
      <rPr>
        <b/>
        <sz val="11"/>
        <color theme="1"/>
        <rFont val="Calibri"/>
        <family val="2"/>
        <scheme val="minor"/>
      </rPr>
      <t>Celda</t>
    </r>
  </si>
  <si>
    <r>
      <t xml:space="preserve">Ligne — </t>
    </r>
    <r>
      <rPr>
        <b/>
        <sz val="11"/>
        <color theme="1"/>
        <rFont val="Calibri"/>
        <family val="2"/>
        <scheme val="minor"/>
      </rPr>
      <t>Row</t>
    </r>
    <r>
      <rPr>
        <sz val="11"/>
        <color theme="1"/>
        <rFont val="Calibri"/>
        <family val="2"/>
        <scheme val="minor"/>
      </rPr>
      <t xml:space="preserve"> — </t>
    </r>
    <r>
      <rPr>
        <b/>
        <sz val="11"/>
        <color theme="1"/>
        <rFont val="Calibri"/>
        <family val="2"/>
        <scheme val="minor"/>
      </rPr>
      <t>Fila</t>
    </r>
  </si>
  <si>
    <r>
      <t xml:space="preserve">Colonne — </t>
    </r>
    <r>
      <rPr>
        <b/>
        <sz val="11"/>
        <color theme="1"/>
        <rFont val="Calibri"/>
        <family val="2"/>
        <scheme val="minor"/>
      </rPr>
      <t>Column</t>
    </r>
    <r>
      <rPr>
        <sz val="11"/>
        <color theme="1"/>
        <rFont val="Calibri"/>
        <family val="2"/>
        <scheme val="minor"/>
      </rPr>
      <t xml:space="preserve"> — </t>
    </r>
    <r>
      <rPr>
        <b/>
        <sz val="11"/>
        <color theme="1"/>
        <rFont val="Calibri"/>
        <family val="2"/>
        <scheme val="minor"/>
      </rPr>
      <t>Columna</t>
    </r>
  </si>
  <si>
    <r>
      <t xml:space="preserve">Plage — </t>
    </r>
    <r>
      <rPr>
        <b/>
        <sz val="11"/>
        <color theme="1"/>
        <rFont val="Calibri"/>
        <family val="2"/>
        <scheme val="minor"/>
      </rPr>
      <t>Range</t>
    </r>
    <r>
      <rPr>
        <sz val="11"/>
        <color theme="1"/>
        <rFont val="Calibri"/>
        <family val="2"/>
        <scheme val="minor"/>
      </rPr>
      <t xml:space="preserve"> — </t>
    </r>
    <r>
      <rPr>
        <b/>
        <sz val="11"/>
        <color theme="1"/>
        <rFont val="Calibri"/>
        <family val="2"/>
        <scheme val="minor"/>
      </rPr>
      <t>Rango</t>
    </r>
  </si>
  <si>
    <r>
      <t xml:space="preserve">Zone nommée — </t>
    </r>
    <r>
      <rPr>
        <b/>
        <sz val="11"/>
        <color theme="1"/>
        <rFont val="Calibri"/>
        <family val="2"/>
        <scheme val="minor"/>
      </rPr>
      <t>Named range</t>
    </r>
    <r>
      <rPr>
        <sz val="11"/>
        <color theme="1"/>
        <rFont val="Calibri"/>
        <family val="2"/>
        <scheme val="minor"/>
      </rPr>
      <t xml:space="preserve"> — </t>
    </r>
    <r>
      <rPr>
        <b/>
        <sz val="11"/>
        <color theme="1"/>
        <rFont val="Calibri"/>
        <family val="2"/>
        <scheme val="minor"/>
      </rPr>
      <t>Rango con nombre</t>
    </r>
  </si>
  <si>
    <r>
      <t xml:space="preserve">Barre de formule — </t>
    </r>
    <r>
      <rPr>
        <b/>
        <sz val="11"/>
        <color theme="1"/>
        <rFont val="Calibri"/>
        <family val="2"/>
        <scheme val="minor"/>
      </rPr>
      <t>Formula bar</t>
    </r>
    <r>
      <rPr>
        <sz val="11"/>
        <color theme="1"/>
        <rFont val="Calibri"/>
        <family val="2"/>
        <scheme val="minor"/>
      </rPr>
      <t xml:space="preserve"> — </t>
    </r>
    <r>
      <rPr>
        <b/>
        <sz val="11"/>
        <color theme="1"/>
        <rFont val="Calibri"/>
        <family val="2"/>
        <scheme val="minor"/>
      </rPr>
      <t>Barra de fórmulas</t>
    </r>
  </si>
  <si>
    <r>
      <t xml:space="preserve">Format de nombre — </t>
    </r>
    <r>
      <rPr>
        <b/>
        <sz val="11"/>
        <color theme="1"/>
        <rFont val="Calibri"/>
        <family val="2"/>
        <scheme val="minor"/>
      </rPr>
      <t>Number format</t>
    </r>
    <r>
      <rPr>
        <sz val="11"/>
        <color theme="1"/>
        <rFont val="Calibri"/>
        <family val="2"/>
        <scheme val="minor"/>
      </rPr>
      <t xml:space="preserve"> — </t>
    </r>
    <r>
      <rPr>
        <b/>
        <sz val="11"/>
        <color theme="1"/>
        <rFont val="Calibri"/>
        <family val="2"/>
        <scheme val="minor"/>
      </rPr>
      <t>Formato de número</t>
    </r>
  </si>
  <si>
    <r>
      <t xml:space="preserve">Décimales: </t>
    </r>
    <r>
      <rPr>
        <b/>
        <sz val="11"/>
        <color theme="1"/>
        <rFont val="Calibri"/>
        <family val="2"/>
        <scheme val="minor"/>
      </rPr>
      <t>.</t>
    </r>
    <r>
      <rPr>
        <sz val="11"/>
        <color theme="1"/>
        <rFont val="Calibri"/>
        <family val="2"/>
        <scheme val="minor"/>
      </rPr>
      <t xml:space="preserve"> ou </t>
    </r>
    <r>
      <rPr>
        <b/>
        <sz val="11"/>
        <color theme="1"/>
        <rFont val="Calibri"/>
        <family val="2"/>
        <scheme val="minor"/>
      </rPr>
      <t>,</t>
    </r>
    <r>
      <rPr>
        <sz val="11"/>
        <color theme="1"/>
        <rFont val="Calibri"/>
        <family val="2"/>
        <scheme val="minor"/>
      </rPr>
      <t xml:space="preserve"> — </t>
    </r>
    <r>
      <rPr>
        <b/>
        <sz val="11"/>
        <color theme="1"/>
        <rFont val="Calibri"/>
        <family val="2"/>
        <scheme val="minor"/>
      </rPr>
      <t>. or ,</t>
    </r>
    <r>
      <rPr>
        <sz val="11"/>
        <color theme="1"/>
        <rFont val="Calibri"/>
        <family val="2"/>
        <scheme val="minor"/>
      </rPr>
      <t xml:space="preserve"> — </t>
    </r>
    <r>
      <rPr>
        <b/>
        <sz val="11"/>
        <color theme="1"/>
        <rFont val="Calibri"/>
        <family val="2"/>
        <scheme val="minor"/>
      </rPr>
      <t>. o ,</t>
    </r>
  </si>
  <si>
    <r>
      <t xml:space="preserve">Séparateur d’arguments: </t>
    </r>
    <r>
      <rPr>
        <b/>
        <sz val="11"/>
        <color theme="1"/>
        <rFont val="Calibri"/>
        <family val="2"/>
        <scheme val="minor"/>
      </rPr>
      <t>;</t>
    </r>
    <r>
      <rPr>
        <sz val="11"/>
        <color theme="1"/>
        <rFont val="Calibri"/>
        <family val="2"/>
        <scheme val="minor"/>
      </rPr>
      <t xml:space="preserve"> (FR/ES) — </t>
    </r>
    <r>
      <rPr>
        <b/>
        <sz val="11"/>
        <color theme="1"/>
        <rFont val="Calibri"/>
        <family val="2"/>
        <scheme val="minor"/>
      </rPr>
      <t>,</t>
    </r>
    <r>
      <rPr>
        <sz val="11"/>
        <color theme="1"/>
        <rFont val="Calibri"/>
        <family val="2"/>
        <scheme val="minor"/>
      </rPr>
      <t xml:space="preserve"> (EN) — </t>
    </r>
    <r>
      <rPr>
        <b/>
        <sz val="11"/>
        <color theme="1"/>
        <rFont val="Calibri"/>
        <family val="2"/>
        <scheme val="minor"/>
      </rPr>
      <t>;</t>
    </r>
    <r>
      <rPr>
        <sz val="11"/>
        <color theme="1"/>
        <rFont val="Calibri"/>
        <family val="2"/>
        <scheme val="minor"/>
      </rPr>
      <t xml:space="preserve"> (ES)</t>
    </r>
  </si>
  <si>
    <t>B. Actions courantes</t>
  </si>
  <si>
    <r>
      <t xml:space="preserve">Copier — </t>
    </r>
    <r>
      <rPr>
        <b/>
        <sz val="11"/>
        <color theme="1"/>
        <rFont val="Calibri"/>
        <family val="2"/>
        <scheme val="minor"/>
      </rPr>
      <t>Copy</t>
    </r>
    <r>
      <rPr>
        <sz val="11"/>
        <color theme="1"/>
        <rFont val="Calibri"/>
        <family val="2"/>
        <scheme val="minor"/>
      </rPr>
      <t xml:space="preserve"> — </t>
    </r>
    <r>
      <rPr>
        <b/>
        <sz val="11"/>
        <color theme="1"/>
        <rFont val="Calibri"/>
        <family val="2"/>
        <scheme val="minor"/>
      </rPr>
      <t>Copiar</t>
    </r>
  </si>
  <si>
    <r>
      <t xml:space="preserve">Coller — </t>
    </r>
    <r>
      <rPr>
        <b/>
        <sz val="11"/>
        <color theme="1"/>
        <rFont val="Calibri"/>
        <family val="2"/>
        <scheme val="minor"/>
      </rPr>
      <t>Paste</t>
    </r>
    <r>
      <rPr>
        <sz val="11"/>
        <color theme="1"/>
        <rFont val="Calibri"/>
        <family val="2"/>
        <scheme val="minor"/>
      </rPr>
      <t xml:space="preserve"> — </t>
    </r>
    <r>
      <rPr>
        <b/>
        <sz val="11"/>
        <color theme="1"/>
        <rFont val="Calibri"/>
        <family val="2"/>
        <scheme val="minor"/>
      </rPr>
      <t>Pegar</t>
    </r>
  </si>
  <si>
    <r>
      <t xml:space="preserve">Collage spécial — </t>
    </r>
    <r>
      <rPr>
        <b/>
        <sz val="11"/>
        <color theme="1"/>
        <rFont val="Calibri"/>
        <family val="2"/>
        <scheme val="minor"/>
      </rPr>
      <t>Paste Special</t>
    </r>
    <r>
      <rPr>
        <sz val="11"/>
        <color theme="1"/>
        <rFont val="Calibri"/>
        <family val="2"/>
        <scheme val="minor"/>
      </rPr>
      <t xml:space="preserve"> — </t>
    </r>
    <r>
      <rPr>
        <b/>
        <sz val="11"/>
        <color theme="1"/>
        <rFont val="Calibri"/>
        <family val="2"/>
        <scheme val="minor"/>
      </rPr>
      <t>Pegado especial</t>
    </r>
  </si>
  <si>
    <r>
      <t xml:space="preserve">Couper — </t>
    </r>
    <r>
      <rPr>
        <b/>
        <sz val="11"/>
        <color theme="1"/>
        <rFont val="Calibri"/>
        <family val="2"/>
        <scheme val="minor"/>
      </rPr>
      <t>Cut</t>
    </r>
    <r>
      <rPr>
        <sz val="11"/>
        <color theme="1"/>
        <rFont val="Calibri"/>
        <family val="2"/>
        <scheme val="minor"/>
      </rPr>
      <t xml:space="preserve"> — </t>
    </r>
    <r>
      <rPr>
        <b/>
        <sz val="11"/>
        <color theme="1"/>
        <rFont val="Calibri"/>
        <family val="2"/>
        <scheme val="minor"/>
      </rPr>
      <t>Cortar</t>
    </r>
  </si>
  <si>
    <r>
      <t xml:space="preserve">Remplissage — </t>
    </r>
    <r>
      <rPr>
        <b/>
        <sz val="11"/>
        <color theme="1"/>
        <rFont val="Calibri"/>
        <family val="2"/>
        <scheme val="minor"/>
      </rPr>
      <t>Fill</t>
    </r>
    <r>
      <rPr>
        <sz val="11"/>
        <color theme="1"/>
        <rFont val="Calibri"/>
        <family val="2"/>
        <scheme val="minor"/>
      </rPr>
      <t xml:space="preserve"> — </t>
    </r>
    <r>
      <rPr>
        <b/>
        <sz val="11"/>
        <color theme="1"/>
        <rFont val="Calibri"/>
        <family val="2"/>
        <scheme val="minor"/>
      </rPr>
      <t>Rellenar</t>
    </r>
  </si>
  <si>
    <r>
      <t xml:space="preserve">Rechercher/Remplacer — </t>
    </r>
    <r>
      <rPr>
        <b/>
        <sz val="11"/>
        <color theme="1"/>
        <rFont val="Calibri"/>
        <family val="2"/>
        <scheme val="minor"/>
      </rPr>
      <t>Find/Replace</t>
    </r>
    <r>
      <rPr>
        <sz val="11"/>
        <color theme="1"/>
        <rFont val="Calibri"/>
        <family val="2"/>
        <scheme val="minor"/>
      </rPr>
      <t xml:space="preserve"> — </t>
    </r>
    <r>
      <rPr>
        <b/>
        <sz val="11"/>
        <color theme="1"/>
        <rFont val="Calibri"/>
        <family val="2"/>
        <scheme val="minor"/>
      </rPr>
      <t>Buscar/Reemplazar</t>
    </r>
  </si>
  <si>
    <r>
      <t xml:space="preserve">Insérer (ligne/colonne) — </t>
    </r>
    <r>
      <rPr>
        <b/>
        <sz val="11"/>
        <color theme="1"/>
        <rFont val="Calibri"/>
        <family val="2"/>
        <scheme val="minor"/>
      </rPr>
      <t>Insert (row/column)</t>
    </r>
    <r>
      <rPr>
        <sz val="11"/>
        <color theme="1"/>
        <rFont val="Calibri"/>
        <family val="2"/>
        <scheme val="minor"/>
      </rPr>
      <t xml:space="preserve"> — </t>
    </r>
    <r>
      <rPr>
        <b/>
        <sz val="11"/>
        <color theme="1"/>
        <rFont val="Calibri"/>
        <family val="2"/>
        <scheme val="minor"/>
      </rPr>
      <t>Insertar (fila/columna)</t>
    </r>
  </si>
  <si>
    <r>
      <t xml:space="preserve">Supprimer (ligne/colonne) — </t>
    </r>
    <r>
      <rPr>
        <b/>
        <sz val="11"/>
        <color theme="1"/>
        <rFont val="Calibri"/>
        <family val="2"/>
        <scheme val="minor"/>
      </rPr>
      <t>Delete (row/column)</t>
    </r>
    <r>
      <rPr>
        <sz val="11"/>
        <color theme="1"/>
        <rFont val="Calibri"/>
        <family val="2"/>
        <scheme val="minor"/>
      </rPr>
      <t xml:space="preserve"> — </t>
    </r>
    <r>
      <rPr>
        <b/>
        <sz val="11"/>
        <color theme="1"/>
        <rFont val="Calibri"/>
        <family val="2"/>
        <scheme val="minor"/>
      </rPr>
      <t>Eliminar (fila/columna)</t>
    </r>
  </si>
  <si>
    <r>
      <t xml:space="preserve">Masquer / Afficher — </t>
    </r>
    <r>
      <rPr>
        <b/>
        <sz val="11"/>
        <color theme="1"/>
        <rFont val="Calibri"/>
        <family val="2"/>
        <scheme val="minor"/>
      </rPr>
      <t>Hide / Unhide</t>
    </r>
    <r>
      <rPr>
        <sz val="11"/>
        <color theme="1"/>
        <rFont val="Calibri"/>
        <family val="2"/>
        <scheme val="minor"/>
      </rPr>
      <t xml:space="preserve"> — </t>
    </r>
    <r>
      <rPr>
        <b/>
        <sz val="11"/>
        <color theme="1"/>
        <rFont val="Calibri"/>
        <family val="2"/>
        <scheme val="minor"/>
      </rPr>
      <t>Ocultar / Mostrar</t>
    </r>
  </si>
  <si>
    <r>
      <t xml:space="preserve">Figer les volets — </t>
    </r>
    <r>
      <rPr>
        <b/>
        <sz val="11"/>
        <color theme="1"/>
        <rFont val="Calibri"/>
        <family val="2"/>
        <scheme val="minor"/>
      </rPr>
      <t>Freeze Panes</t>
    </r>
    <r>
      <rPr>
        <sz val="11"/>
        <color theme="1"/>
        <rFont val="Calibri"/>
        <family val="2"/>
        <scheme val="minor"/>
      </rPr>
      <t xml:space="preserve"> — </t>
    </r>
    <r>
      <rPr>
        <b/>
        <sz val="11"/>
        <color theme="1"/>
        <rFont val="Calibri"/>
        <family val="2"/>
        <scheme val="minor"/>
      </rPr>
      <t>Inmovilizar paneles</t>
    </r>
  </si>
  <si>
    <r>
      <t xml:space="preserve">Trier — </t>
    </r>
    <r>
      <rPr>
        <b/>
        <sz val="11"/>
        <color theme="1"/>
        <rFont val="Calibri"/>
        <family val="2"/>
        <scheme val="minor"/>
      </rPr>
      <t>Sort</t>
    </r>
    <r>
      <rPr>
        <sz val="11"/>
        <color theme="1"/>
        <rFont val="Calibri"/>
        <family val="2"/>
        <scheme val="minor"/>
      </rPr>
      <t xml:space="preserve"> — </t>
    </r>
    <r>
      <rPr>
        <b/>
        <sz val="11"/>
        <color theme="1"/>
        <rFont val="Calibri"/>
        <family val="2"/>
        <scheme val="minor"/>
      </rPr>
      <t>Ordenar</t>
    </r>
  </si>
  <si>
    <r>
      <t xml:space="preserve">Filtrer — </t>
    </r>
    <r>
      <rPr>
        <b/>
        <sz val="11"/>
        <color theme="1"/>
        <rFont val="Calibri"/>
        <family val="2"/>
        <scheme val="minor"/>
      </rPr>
      <t>Filter</t>
    </r>
    <r>
      <rPr>
        <sz val="11"/>
        <color theme="1"/>
        <rFont val="Calibri"/>
        <family val="2"/>
        <scheme val="minor"/>
      </rPr>
      <t xml:space="preserve"> — </t>
    </r>
    <r>
      <rPr>
        <b/>
        <sz val="11"/>
        <color theme="1"/>
        <rFont val="Calibri"/>
        <family val="2"/>
        <scheme val="minor"/>
      </rPr>
      <t>Filtrar</t>
    </r>
  </si>
  <si>
    <r>
      <t xml:space="preserve">Mise en forme conditionnelle — </t>
    </r>
    <r>
      <rPr>
        <b/>
        <sz val="11"/>
        <color theme="1"/>
        <rFont val="Calibri"/>
        <family val="2"/>
        <scheme val="minor"/>
      </rPr>
      <t>Conditional Formatting</t>
    </r>
    <r>
      <rPr>
        <sz val="11"/>
        <color theme="1"/>
        <rFont val="Calibri"/>
        <family val="2"/>
        <scheme val="minor"/>
      </rPr>
      <t xml:space="preserve"> — </t>
    </r>
    <r>
      <rPr>
        <b/>
        <sz val="11"/>
        <color theme="1"/>
        <rFont val="Calibri"/>
        <family val="2"/>
        <scheme val="minor"/>
      </rPr>
      <t>Formato condicional</t>
    </r>
  </si>
  <si>
    <r>
      <t xml:space="preserve">Validation des données — </t>
    </r>
    <r>
      <rPr>
        <b/>
        <sz val="11"/>
        <color theme="1"/>
        <rFont val="Calibri"/>
        <family val="2"/>
        <scheme val="minor"/>
      </rPr>
      <t>Data Validation</t>
    </r>
    <r>
      <rPr>
        <sz val="11"/>
        <color theme="1"/>
        <rFont val="Calibri"/>
        <family val="2"/>
        <scheme val="minor"/>
      </rPr>
      <t xml:space="preserve"> — </t>
    </r>
    <r>
      <rPr>
        <b/>
        <sz val="11"/>
        <color theme="1"/>
        <rFont val="Calibri"/>
        <family val="2"/>
        <scheme val="minor"/>
      </rPr>
      <t>Validación de datos</t>
    </r>
  </si>
  <si>
    <r>
      <t xml:space="preserve">Impression — </t>
    </r>
    <r>
      <rPr>
        <b/>
        <sz val="11"/>
        <color theme="1"/>
        <rFont val="Calibri"/>
        <family val="2"/>
        <scheme val="minor"/>
      </rPr>
      <t>Print</t>
    </r>
    <r>
      <rPr>
        <sz val="11"/>
        <color theme="1"/>
        <rFont val="Calibri"/>
        <family val="2"/>
        <scheme val="minor"/>
      </rPr>
      <t xml:space="preserve"> — </t>
    </r>
    <r>
      <rPr>
        <b/>
        <sz val="11"/>
        <color theme="1"/>
        <rFont val="Calibri"/>
        <family val="2"/>
        <scheme val="minor"/>
      </rPr>
      <t>Imprimir</t>
    </r>
  </si>
  <si>
    <t>C. Raccourcis utiles</t>
  </si>
  <si>
    <r>
      <t xml:space="preserve">Recalculer tout : </t>
    </r>
    <r>
      <rPr>
        <b/>
        <sz val="11"/>
        <color theme="1"/>
        <rFont val="Calibri"/>
        <family val="2"/>
        <scheme val="minor"/>
      </rPr>
      <t>F9</t>
    </r>
    <r>
      <rPr>
        <sz val="11"/>
        <color theme="1"/>
        <rFont val="Calibri"/>
        <family val="2"/>
        <scheme val="minor"/>
      </rPr>
      <t xml:space="preserve"> — </t>
    </r>
    <r>
      <rPr>
        <b/>
        <sz val="11"/>
        <color theme="1"/>
        <rFont val="Calibri"/>
        <family val="2"/>
        <scheme val="minor"/>
      </rPr>
      <t>F9</t>
    </r>
    <r>
      <rPr>
        <sz val="11"/>
        <color theme="1"/>
        <rFont val="Calibri"/>
        <family val="2"/>
        <scheme val="minor"/>
      </rPr>
      <t xml:space="preserve"> — </t>
    </r>
    <r>
      <rPr>
        <b/>
        <sz val="11"/>
        <color theme="1"/>
        <rFont val="Calibri"/>
        <family val="2"/>
        <scheme val="minor"/>
      </rPr>
      <t>F9</t>
    </r>
  </si>
  <si>
    <r>
      <t xml:space="preserve">Enregistrer : </t>
    </r>
    <r>
      <rPr>
        <b/>
        <sz val="11"/>
        <color theme="1"/>
        <rFont val="Calibri"/>
        <family val="2"/>
        <scheme val="minor"/>
      </rPr>
      <t>Ctrl+S</t>
    </r>
    <r>
      <rPr>
        <sz val="11"/>
        <color theme="1"/>
        <rFont val="Calibri"/>
        <family val="2"/>
        <scheme val="minor"/>
      </rPr>
      <t xml:space="preserve"> — </t>
    </r>
    <r>
      <rPr>
        <b/>
        <sz val="11"/>
        <color theme="1"/>
        <rFont val="Calibri"/>
        <family val="2"/>
        <scheme val="minor"/>
      </rPr>
      <t>Ctrl+S</t>
    </r>
    <r>
      <rPr>
        <sz val="11"/>
        <color theme="1"/>
        <rFont val="Calibri"/>
        <family val="2"/>
        <scheme val="minor"/>
      </rPr>
      <t xml:space="preserve"> — </t>
    </r>
    <r>
      <rPr>
        <b/>
        <sz val="11"/>
        <color theme="1"/>
        <rFont val="Calibri"/>
        <family val="2"/>
        <scheme val="minor"/>
      </rPr>
      <t>Ctrl+S</t>
    </r>
  </si>
  <si>
    <r>
      <t xml:space="preserve">Annuler / Rétablir : </t>
    </r>
    <r>
      <rPr>
        <b/>
        <sz val="11"/>
        <color theme="1"/>
        <rFont val="Calibri"/>
        <family val="2"/>
        <scheme val="minor"/>
      </rPr>
      <t>Ctrl+Z / Ctrl+Y</t>
    </r>
    <r>
      <rPr>
        <sz val="11"/>
        <color theme="1"/>
        <rFont val="Calibri"/>
        <family val="2"/>
        <scheme val="minor"/>
      </rPr>
      <t xml:space="preserve"> — </t>
    </r>
    <r>
      <rPr>
        <b/>
        <sz val="11"/>
        <color theme="1"/>
        <rFont val="Calibri"/>
        <family val="2"/>
        <scheme val="minor"/>
      </rPr>
      <t>Ctrl+Z / Ctrl+Y</t>
    </r>
    <r>
      <rPr>
        <sz val="11"/>
        <color theme="1"/>
        <rFont val="Calibri"/>
        <family val="2"/>
        <scheme val="minor"/>
      </rPr>
      <t xml:space="preserve"> — </t>
    </r>
    <r>
      <rPr>
        <b/>
        <sz val="11"/>
        <color theme="1"/>
        <rFont val="Calibri"/>
        <family val="2"/>
        <scheme val="minor"/>
      </rPr>
      <t>Ctrl+Z / Ctrl+Y</t>
    </r>
  </si>
  <si>
    <r>
      <t xml:space="preserve">Rechercher : </t>
    </r>
    <r>
      <rPr>
        <b/>
        <sz val="11"/>
        <color theme="1"/>
        <rFont val="Calibri"/>
        <family val="2"/>
        <scheme val="minor"/>
      </rPr>
      <t>Ctrl+F</t>
    </r>
    <r>
      <rPr>
        <sz val="11"/>
        <color theme="1"/>
        <rFont val="Calibri"/>
        <family val="2"/>
        <scheme val="minor"/>
      </rPr>
      <t xml:space="preserve"> — </t>
    </r>
    <r>
      <rPr>
        <b/>
        <sz val="11"/>
        <color theme="1"/>
        <rFont val="Calibri"/>
        <family val="2"/>
        <scheme val="minor"/>
      </rPr>
      <t>Ctrl+F</t>
    </r>
    <r>
      <rPr>
        <sz val="11"/>
        <color theme="1"/>
        <rFont val="Calibri"/>
        <family val="2"/>
        <scheme val="minor"/>
      </rPr>
      <t xml:space="preserve"> — </t>
    </r>
    <r>
      <rPr>
        <b/>
        <sz val="11"/>
        <color theme="1"/>
        <rFont val="Calibri"/>
        <family val="2"/>
        <scheme val="minor"/>
      </rPr>
      <t>Ctrl+F</t>
    </r>
  </si>
  <si>
    <t>D. Fonctions (équivalents par langue)</t>
  </si>
  <si>
    <r>
      <t xml:space="preserve">FR utilise souvent </t>
    </r>
    <r>
      <rPr>
        <b/>
        <sz val="11"/>
        <color theme="1"/>
        <rFont val="Calibri"/>
        <family val="2"/>
        <scheme val="minor"/>
      </rPr>
      <t>;</t>
    </r>
    <r>
      <rPr>
        <sz val="11"/>
        <color theme="1"/>
        <rFont val="Calibri"/>
        <family val="2"/>
        <scheme val="minor"/>
      </rPr>
      <t xml:space="preserve"> comme séparateur. EN </t>
    </r>
    <r>
      <rPr>
        <b/>
        <sz val="11"/>
        <color theme="1"/>
        <rFont val="Calibri"/>
        <family val="2"/>
        <scheme val="minor"/>
      </rPr>
      <t>,</t>
    </r>
    <r>
      <rPr>
        <sz val="11"/>
        <color theme="1"/>
        <rFont val="Calibri"/>
        <family val="2"/>
        <scheme val="minor"/>
      </rPr>
      <t xml:space="preserve">. ES généralement </t>
    </r>
    <r>
      <rPr>
        <b/>
        <sz val="11"/>
        <color theme="1"/>
        <rFont val="Calibri"/>
        <family val="2"/>
        <scheme val="minor"/>
      </rPr>
      <t>;</t>
    </r>
    <r>
      <rPr>
        <sz val="11"/>
        <color theme="1"/>
        <rFont val="Calibri"/>
        <family val="2"/>
        <scheme val="minor"/>
      </rPr>
      <t>.</t>
    </r>
  </si>
  <si>
    <r>
      <t>=FILTRE(matrice;inclure;[si_vide])</t>
    </r>
    <r>
      <rPr>
        <sz val="11"/>
        <color theme="1"/>
        <rFont val="Calibri"/>
        <family val="2"/>
        <scheme val="minor"/>
      </rPr>
      <t xml:space="preserve"> — </t>
    </r>
    <r>
      <rPr>
        <sz val="10"/>
        <color theme="1"/>
        <rFont val="Arial Unicode MS"/>
      </rPr>
      <t>=FILTER(array,include,[if_empty])</t>
    </r>
    <r>
      <rPr>
        <sz val="11"/>
        <color theme="1"/>
        <rFont val="Calibri"/>
        <family val="2"/>
        <scheme val="minor"/>
      </rPr>
      <t xml:space="preserve"> — </t>
    </r>
    <r>
      <rPr>
        <sz val="10"/>
        <color theme="1"/>
        <rFont val="Arial Unicode MS"/>
      </rPr>
      <t>=FILTRAR(matriz;incluir;[si_vacío])</t>
    </r>
  </si>
  <si>
    <r>
      <t>=RECHERCHEV(val;table;col;[approx])</t>
    </r>
    <r>
      <rPr>
        <sz val="11"/>
        <color theme="1"/>
        <rFont val="Calibri"/>
        <family val="2"/>
        <scheme val="minor"/>
      </rPr>
      <t xml:space="preserve"> — </t>
    </r>
    <r>
      <rPr>
        <sz val="10"/>
        <color theme="1"/>
        <rFont val="Arial Unicode MS"/>
      </rPr>
      <t>=VLOOKUP(value,table,col,[approx])</t>
    </r>
    <r>
      <rPr>
        <sz val="11"/>
        <color theme="1"/>
        <rFont val="Calibri"/>
        <family val="2"/>
        <scheme val="minor"/>
      </rPr>
      <t xml:space="preserve"> — </t>
    </r>
    <r>
      <rPr>
        <sz val="10"/>
        <color theme="1"/>
        <rFont val="Arial Unicode MS"/>
      </rPr>
      <t>=BUSCARV(valor;tabla;col;[aprox])</t>
    </r>
  </si>
  <si>
    <r>
      <t>=RECHERCHEX(val;table;retour;[si_absent])</t>
    </r>
    <r>
      <rPr>
        <sz val="11"/>
        <color theme="1"/>
        <rFont val="Calibri"/>
        <family val="2"/>
        <scheme val="minor"/>
      </rPr>
      <t xml:space="preserve"> — </t>
    </r>
    <r>
      <rPr>
        <sz val="10"/>
        <color theme="1"/>
        <rFont val="Arial Unicode MS"/>
      </rPr>
      <t>=XLOOKUP(value,table,return,[if_not_found])</t>
    </r>
    <r>
      <rPr>
        <sz val="11"/>
        <color theme="1"/>
        <rFont val="Calibri"/>
        <family val="2"/>
        <scheme val="minor"/>
      </rPr>
      <t xml:space="preserve"> — </t>
    </r>
    <r>
      <rPr>
        <sz val="10"/>
        <color theme="1"/>
        <rFont val="Arial Unicode MS"/>
      </rPr>
      <t>=BUSCARX(valor;tabla;retorno;[si_no_hay])</t>
    </r>
  </si>
  <si>
    <r>
      <t>=SI(test;alors;sinon)</t>
    </r>
    <r>
      <rPr>
        <sz val="11"/>
        <color theme="1"/>
        <rFont val="Calibri"/>
        <family val="2"/>
        <scheme val="minor"/>
      </rPr>
      <t xml:space="preserve"> — </t>
    </r>
    <r>
      <rPr>
        <sz val="10"/>
        <color theme="1"/>
        <rFont val="Arial Unicode MS"/>
      </rPr>
      <t>=IF(test,then,else)</t>
    </r>
    <r>
      <rPr>
        <sz val="11"/>
        <color theme="1"/>
        <rFont val="Calibri"/>
        <family val="2"/>
        <scheme val="minor"/>
      </rPr>
      <t xml:space="preserve"> — </t>
    </r>
    <r>
      <rPr>
        <sz val="10"/>
        <color theme="1"/>
        <rFont val="Arial Unicode MS"/>
      </rPr>
      <t>=SI(prueba;entonces;si_no)</t>
    </r>
  </si>
  <si>
    <r>
      <t>=ET()</t>
    </r>
    <r>
      <rPr>
        <sz val="11"/>
        <color theme="1"/>
        <rFont val="Calibri"/>
        <family val="2"/>
        <scheme val="minor"/>
      </rPr>
      <t xml:space="preserve"> — </t>
    </r>
    <r>
      <rPr>
        <sz val="10"/>
        <color theme="1"/>
        <rFont val="Arial Unicode MS"/>
      </rPr>
      <t>=AND()</t>
    </r>
    <r>
      <rPr>
        <sz val="11"/>
        <color theme="1"/>
        <rFont val="Calibri"/>
        <family val="2"/>
        <scheme val="minor"/>
      </rPr>
      <t xml:space="preserve"> — </t>
    </r>
    <r>
      <rPr>
        <sz val="10"/>
        <color theme="1"/>
        <rFont val="Arial Unicode MS"/>
      </rPr>
      <t>=Y()</t>
    </r>
  </si>
  <si>
    <r>
      <t>=OU()</t>
    </r>
    <r>
      <rPr>
        <sz val="11"/>
        <color theme="1"/>
        <rFont val="Calibri"/>
        <family val="2"/>
        <scheme val="minor"/>
      </rPr>
      <t xml:space="preserve"> — </t>
    </r>
    <r>
      <rPr>
        <sz val="10"/>
        <color theme="1"/>
        <rFont val="Arial Unicode MS"/>
      </rPr>
      <t>=OR()</t>
    </r>
    <r>
      <rPr>
        <sz val="11"/>
        <color theme="1"/>
        <rFont val="Calibri"/>
        <family val="2"/>
        <scheme val="minor"/>
      </rPr>
      <t xml:space="preserve"> — </t>
    </r>
    <r>
      <rPr>
        <sz val="10"/>
        <color theme="1"/>
        <rFont val="Arial Unicode MS"/>
      </rPr>
      <t>=O()</t>
    </r>
  </si>
  <si>
    <r>
      <t>=ESTVIDE(cell)</t>
    </r>
    <r>
      <rPr>
        <sz val="11"/>
        <color theme="1"/>
        <rFont val="Calibri"/>
        <family val="2"/>
        <scheme val="minor"/>
      </rPr>
      <t xml:space="preserve"> — </t>
    </r>
    <r>
      <rPr>
        <sz val="10"/>
        <color theme="1"/>
        <rFont val="Arial Unicode MS"/>
      </rPr>
      <t>=ISBLANK(cell)</t>
    </r>
    <r>
      <rPr>
        <sz val="11"/>
        <color theme="1"/>
        <rFont val="Calibri"/>
        <family val="2"/>
        <scheme val="minor"/>
      </rPr>
      <t xml:space="preserve"> — </t>
    </r>
    <r>
      <rPr>
        <sz val="10"/>
        <color theme="1"/>
        <rFont val="Arial Unicode MS"/>
      </rPr>
      <t>=ESBLANCO(celda)</t>
    </r>
  </si>
  <si>
    <r>
      <t>=NB.SI(plage;critère)</t>
    </r>
    <r>
      <rPr>
        <sz val="11"/>
        <color theme="1"/>
        <rFont val="Calibri"/>
        <family val="2"/>
        <scheme val="minor"/>
      </rPr>
      <t xml:space="preserve"> — </t>
    </r>
    <r>
      <rPr>
        <sz val="10"/>
        <color theme="1"/>
        <rFont val="Arial Unicode MS"/>
      </rPr>
      <t>=COUNTIF(range,criteria)</t>
    </r>
    <r>
      <rPr>
        <sz val="11"/>
        <color theme="1"/>
        <rFont val="Calibri"/>
        <family val="2"/>
        <scheme val="minor"/>
      </rPr>
      <t xml:space="preserve"> — </t>
    </r>
    <r>
      <rPr>
        <sz val="10"/>
        <color theme="1"/>
        <rFont val="Arial Unicode MS"/>
      </rPr>
      <t>=CONTAR.SI(rango;criterio)</t>
    </r>
  </si>
  <si>
    <r>
      <t>=SOMME(plage)</t>
    </r>
    <r>
      <rPr>
        <sz val="11"/>
        <color theme="1"/>
        <rFont val="Calibri"/>
        <family val="2"/>
        <scheme val="minor"/>
      </rPr>
      <t xml:space="preserve"> — </t>
    </r>
    <r>
      <rPr>
        <sz val="10"/>
        <color theme="1"/>
        <rFont val="Arial Unicode MS"/>
      </rPr>
      <t>=SUM(range)</t>
    </r>
    <r>
      <rPr>
        <sz val="11"/>
        <color theme="1"/>
        <rFont val="Calibri"/>
        <family val="2"/>
        <scheme val="minor"/>
      </rPr>
      <t xml:space="preserve"> — </t>
    </r>
    <r>
      <rPr>
        <sz val="10"/>
        <color theme="1"/>
        <rFont val="Arial Unicode MS"/>
      </rPr>
      <t>=SUMA(rango)</t>
    </r>
  </si>
  <si>
    <r>
      <t>=MOYENNE(plage)</t>
    </r>
    <r>
      <rPr>
        <sz val="11"/>
        <color theme="1"/>
        <rFont val="Calibri"/>
        <family val="2"/>
        <scheme val="minor"/>
      </rPr>
      <t xml:space="preserve"> — </t>
    </r>
    <r>
      <rPr>
        <sz val="10"/>
        <color theme="1"/>
        <rFont val="Arial Unicode MS"/>
      </rPr>
      <t>=AVERAGE(range)</t>
    </r>
    <r>
      <rPr>
        <sz val="11"/>
        <color theme="1"/>
        <rFont val="Calibri"/>
        <family val="2"/>
        <scheme val="minor"/>
      </rPr>
      <t xml:space="preserve"> — </t>
    </r>
    <r>
      <rPr>
        <sz val="10"/>
        <color theme="1"/>
        <rFont val="Arial Unicode MS"/>
      </rPr>
      <t>=PROMEDIO(rango)</t>
    </r>
  </si>
  <si>
    <r>
      <t>=GAUCHE(texte;nb)</t>
    </r>
    <r>
      <rPr>
        <sz val="11"/>
        <color theme="1"/>
        <rFont val="Calibri"/>
        <family val="2"/>
        <scheme val="minor"/>
      </rPr>
      <t xml:space="preserve"> — </t>
    </r>
    <r>
      <rPr>
        <sz val="10"/>
        <color theme="1"/>
        <rFont val="Arial Unicode MS"/>
      </rPr>
      <t>=LEFT(text,num)</t>
    </r>
    <r>
      <rPr>
        <sz val="11"/>
        <color theme="1"/>
        <rFont val="Calibri"/>
        <family val="2"/>
        <scheme val="minor"/>
      </rPr>
      <t xml:space="preserve"> — </t>
    </r>
    <r>
      <rPr>
        <sz val="10"/>
        <color theme="1"/>
        <rFont val="Arial Unicode MS"/>
      </rPr>
      <t>=IZQUIERDA(texto;núm)</t>
    </r>
  </si>
  <si>
    <r>
      <t>=DROITE(texte;nb)</t>
    </r>
    <r>
      <rPr>
        <sz val="11"/>
        <color theme="1"/>
        <rFont val="Calibri"/>
        <family val="2"/>
        <scheme val="minor"/>
      </rPr>
      <t xml:space="preserve"> — </t>
    </r>
    <r>
      <rPr>
        <sz val="10"/>
        <color theme="1"/>
        <rFont val="Arial Unicode MS"/>
      </rPr>
      <t>=RIGHT(text,num)</t>
    </r>
    <r>
      <rPr>
        <sz val="11"/>
        <color theme="1"/>
        <rFont val="Calibri"/>
        <family val="2"/>
        <scheme val="minor"/>
      </rPr>
      <t xml:space="preserve"> — </t>
    </r>
    <r>
      <rPr>
        <sz val="10"/>
        <color theme="1"/>
        <rFont val="Arial Unicode MS"/>
      </rPr>
      <t>=DERECHA(texto;núm)</t>
    </r>
  </si>
  <si>
    <r>
      <t>=STXT(texte;début;nb)</t>
    </r>
    <r>
      <rPr>
        <sz val="11"/>
        <color theme="1"/>
        <rFont val="Calibri"/>
        <family val="2"/>
        <scheme val="minor"/>
      </rPr>
      <t xml:space="preserve"> — </t>
    </r>
    <r>
      <rPr>
        <sz val="10"/>
        <color theme="1"/>
        <rFont val="Arial Unicode MS"/>
      </rPr>
      <t>=MID(text,start,num)</t>
    </r>
    <r>
      <rPr>
        <sz val="11"/>
        <color theme="1"/>
        <rFont val="Calibri"/>
        <family val="2"/>
        <scheme val="minor"/>
      </rPr>
      <t xml:space="preserve"> — </t>
    </r>
    <r>
      <rPr>
        <sz val="10"/>
        <color theme="1"/>
        <rFont val="Arial Unicode MS"/>
      </rPr>
      <t>=EXTRAE(texto;inicio;núm)</t>
    </r>
  </si>
  <si>
    <r>
      <t>=CONCAT()</t>
    </r>
    <r>
      <rPr>
        <sz val="11"/>
        <color theme="1"/>
        <rFont val="Calibri"/>
        <family val="2"/>
        <scheme val="minor"/>
      </rPr>
      <t xml:space="preserve"> / </t>
    </r>
    <r>
      <rPr>
        <sz val="10"/>
        <color theme="1"/>
        <rFont val="Arial Unicode MS"/>
      </rPr>
      <t>=CONCATENER()</t>
    </r>
    <r>
      <rPr>
        <sz val="11"/>
        <color theme="1"/>
        <rFont val="Calibri"/>
        <family val="2"/>
        <scheme val="minor"/>
      </rPr>
      <t xml:space="preserve"> — </t>
    </r>
    <r>
      <rPr>
        <sz val="10"/>
        <color theme="1"/>
        <rFont val="Arial Unicode MS"/>
      </rPr>
      <t>=CONCAT()</t>
    </r>
    <r>
      <rPr>
        <sz val="11"/>
        <color theme="1"/>
        <rFont val="Calibri"/>
        <family val="2"/>
        <scheme val="minor"/>
      </rPr>
      <t xml:space="preserve"> / </t>
    </r>
    <r>
      <rPr>
        <sz val="10"/>
        <color theme="1"/>
        <rFont val="Arial Unicode MS"/>
      </rPr>
      <t>=CONCATENATE()</t>
    </r>
    <r>
      <rPr>
        <sz val="11"/>
        <color theme="1"/>
        <rFont val="Calibri"/>
        <family val="2"/>
        <scheme val="minor"/>
      </rPr>
      <t xml:space="preserve"> — </t>
    </r>
    <r>
      <rPr>
        <sz val="10"/>
        <color theme="1"/>
        <rFont val="Arial Unicode MS"/>
      </rPr>
      <t>=CONCAT()</t>
    </r>
    <r>
      <rPr>
        <sz val="11"/>
        <color theme="1"/>
        <rFont val="Calibri"/>
        <family val="2"/>
        <scheme val="minor"/>
      </rPr>
      <t xml:space="preserve"> / </t>
    </r>
    <r>
      <rPr>
        <sz val="10"/>
        <color theme="1"/>
        <rFont val="Arial Unicode MS"/>
      </rPr>
      <t>=CONCATENAR()</t>
    </r>
  </si>
  <si>
    <r>
      <t>=MAJUSCULE()</t>
    </r>
    <r>
      <rPr>
        <sz val="11"/>
        <color theme="1"/>
        <rFont val="Calibri"/>
        <family val="2"/>
        <scheme val="minor"/>
      </rPr>
      <t xml:space="preserve"> — </t>
    </r>
    <r>
      <rPr>
        <sz val="10"/>
        <color theme="1"/>
        <rFont val="Arial Unicode MS"/>
      </rPr>
      <t>=UPPER()</t>
    </r>
    <r>
      <rPr>
        <sz val="11"/>
        <color theme="1"/>
        <rFont val="Calibri"/>
        <family val="2"/>
        <scheme val="minor"/>
      </rPr>
      <t xml:space="preserve"> — </t>
    </r>
    <r>
      <rPr>
        <sz val="10"/>
        <color theme="1"/>
        <rFont val="Arial Unicode MS"/>
      </rPr>
      <t>=MAYUSC()</t>
    </r>
  </si>
  <si>
    <r>
      <t>=MINUSCULE()</t>
    </r>
    <r>
      <rPr>
        <sz val="11"/>
        <color theme="1"/>
        <rFont val="Calibri"/>
        <family val="2"/>
        <scheme val="minor"/>
      </rPr>
      <t xml:space="preserve"> — </t>
    </r>
    <r>
      <rPr>
        <sz val="10"/>
        <color theme="1"/>
        <rFont val="Arial Unicode MS"/>
      </rPr>
      <t>=LOWER()</t>
    </r>
    <r>
      <rPr>
        <sz val="11"/>
        <color theme="1"/>
        <rFont val="Calibri"/>
        <family val="2"/>
        <scheme val="minor"/>
      </rPr>
      <t xml:space="preserve"> — </t>
    </r>
    <r>
      <rPr>
        <sz val="10"/>
        <color theme="1"/>
        <rFont val="Arial Unicode MS"/>
      </rPr>
      <t>=MINUSC()</t>
    </r>
  </si>
  <si>
    <r>
      <t>=NBCAR(texte)</t>
    </r>
    <r>
      <rPr>
        <sz val="11"/>
        <color theme="1"/>
        <rFont val="Calibri"/>
        <family val="2"/>
        <scheme val="minor"/>
      </rPr>
      <t xml:space="preserve"> — </t>
    </r>
    <r>
      <rPr>
        <sz val="10"/>
        <color theme="1"/>
        <rFont val="Arial Unicode MS"/>
      </rPr>
      <t>=LEN(text)</t>
    </r>
    <r>
      <rPr>
        <sz val="11"/>
        <color theme="1"/>
        <rFont val="Calibri"/>
        <family val="2"/>
        <scheme val="minor"/>
      </rPr>
      <t xml:space="preserve"> — </t>
    </r>
    <r>
      <rPr>
        <sz val="10"/>
        <color theme="1"/>
        <rFont val="Arial Unicode MS"/>
      </rPr>
      <t>=LARGO(texto)</t>
    </r>
  </si>
  <si>
    <r>
      <t xml:space="preserve">Dates: </t>
    </r>
    <r>
      <rPr>
        <sz val="10"/>
        <color theme="1"/>
        <rFont val="Arial Unicode MS"/>
      </rPr>
      <t>=AUJOURDHUI()</t>
    </r>
    <r>
      <rPr>
        <sz val="11"/>
        <color theme="1"/>
        <rFont val="Calibri"/>
        <family val="2"/>
        <scheme val="minor"/>
      </rPr>
      <t xml:space="preserve"> — </t>
    </r>
    <r>
      <rPr>
        <sz val="10"/>
        <color theme="1"/>
        <rFont val="Arial Unicode MS"/>
      </rPr>
      <t>=TODAY()</t>
    </r>
    <r>
      <rPr>
        <sz val="11"/>
        <color theme="1"/>
        <rFont val="Calibri"/>
        <family val="2"/>
        <scheme val="minor"/>
      </rPr>
      <t xml:space="preserve"> — </t>
    </r>
    <r>
      <rPr>
        <sz val="10"/>
        <color theme="1"/>
        <rFont val="Arial Unicode MS"/>
      </rPr>
      <t>=HOY()</t>
    </r>
  </si>
  <si>
    <r>
      <t>=MAINTENANT()</t>
    </r>
    <r>
      <rPr>
        <sz val="11"/>
        <color theme="1"/>
        <rFont val="Calibri"/>
        <family val="2"/>
        <scheme val="minor"/>
      </rPr>
      <t xml:space="preserve"> — </t>
    </r>
    <r>
      <rPr>
        <sz val="10"/>
        <color theme="1"/>
        <rFont val="Arial Unicode MS"/>
      </rPr>
      <t>=NOW()</t>
    </r>
    <r>
      <rPr>
        <sz val="11"/>
        <color theme="1"/>
        <rFont val="Calibri"/>
        <family val="2"/>
        <scheme val="minor"/>
      </rPr>
      <t xml:space="preserve"> — </t>
    </r>
    <r>
      <rPr>
        <sz val="10"/>
        <color theme="1"/>
        <rFont val="Arial Unicode MS"/>
      </rPr>
      <t>=AHORA()</t>
    </r>
  </si>
  <si>
    <t>E. Messages/indications utiles</t>
  </si>
  <si>
    <r>
      <t xml:space="preserve">« Ces 16 colonnes peuvent être masquées. » — </t>
    </r>
    <r>
      <rPr>
        <b/>
        <sz val="11"/>
        <color theme="1"/>
        <rFont val="Calibri"/>
        <family val="2"/>
        <scheme val="minor"/>
      </rPr>
      <t>These 16 columns can be hidden.</t>
    </r>
    <r>
      <rPr>
        <sz val="11"/>
        <color theme="1"/>
        <rFont val="Calibri"/>
        <family val="2"/>
        <scheme val="minor"/>
      </rPr>
      <t xml:space="preserve"> — </t>
    </r>
    <r>
      <rPr>
        <b/>
        <sz val="11"/>
        <color theme="1"/>
        <rFont val="Calibri"/>
        <family val="2"/>
        <scheme val="minor"/>
      </rPr>
      <t>Estas 16 columnas se pueden ocultar.</t>
    </r>
  </si>
  <si>
    <r>
      <t xml:space="preserve">« Aucune colonne masquée — 0 lignes masquées. » — </t>
    </r>
    <r>
      <rPr>
        <b/>
        <sz val="11"/>
        <color theme="1"/>
        <rFont val="Calibri"/>
        <family val="2"/>
        <scheme val="minor"/>
      </rPr>
      <t>No hidden columns — 0 hidden rows.</t>
    </r>
    <r>
      <rPr>
        <sz val="11"/>
        <color theme="1"/>
        <rFont val="Calibri"/>
        <family val="2"/>
        <scheme val="minor"/>
      </rPr>
      <t xml:space="preserve"> — </t>
    </r>
    <r>
      <rPr>
        <b/>
        <sz val="11"/>
        <color theme="1"/>
        <rFont val="Calibri"/>
        <family val="2"/>
        <scheme val="minor"/>
      </rPr>
      <t>Ninguna columna oculta — 0 filas ocultas.</t>
    </r>
  </si>
  <si>
    <r>
      <t xml:space="preserve">« Ne mélangez pas poids et volumes. » — </t>
    </r>
    <r>
      <rPr>
        <b/>
        <sz val="11"/>
        <color theme="1"/>
        <rFont val="Calibri"/>
        <family val="2"/>
        <scheme val="minor"/>
      </rPr>
      <t>Do not mix weights and volumes.</t>
    </r>
    <r>
      <rPr>
        <sz val="11"/>
        <color theme="1"/>
        <rFont val="Calibri"/>
        <family val="2"/>
        <scheme val="minor"/>
      </rPr>
      <t xml:space="preserve"> — </t>
    </r>
    <r>
      <rPr>
        <b/>
        <sz val="11"/>
        <color theme="1"/>
        <rFont val="Calibri"/>
        <family val="2"/>
        <scheme val="minor"/>
      </rPr>
      <t>No mezcles pesos y volúmenes.</t>
    </r>
  </si>
  <si>
    <t>FR</t>
  </si>
  <si>
    <t>EN</t>
  </si>
  <si>
    <t>ES</t>
  </si>
  <si>
    <t>Feuille de calcul</t>
  </si>
  <si>
    <t>Worksheet</t>
  </si>
  <si>
    <t>Hoja de cálculo</t>
  </si>
  <si>
    <t>Classeur</t>
  </si>
  <si>
    <t>Workbook</t>
  </si>
  <si>
    <t>Libro</t>
  </si>
  <si>
    <t>Cellule</t>
  </si>
  <si>
    <t>Cell</t>
  </si>
  <si>
    <t>Celda</t>
  </si>
  <si>
    <t>Ligne</t>
  </si>
  <si>
    <t>Row</t>
  </si>
  <si>
    <t>Fila</t>
  </si>
  <si>
    <t>Colonne</t>
  </si>
  <si>
    <t>Column</t>
  </si>
  <si>
    <t>Columna</t>
  </si>
  <si>
    <t>Plage</t>
  </si>
  <si>
    <t>Range</t>
  </si>
  <si>
    <t>Rango</t>
  </si>
  <si>
    <t>Zone nommée</t>
  </si>
  <si>
    <t>Named range</t>
  </si>
  <si>
    <t>Rango con nombre</t>
  </si>
  <si>
    <t>Barre de formule</t>
  </si>
  <si>
    <t>Formula bar</t>
  </si>
  <si>
    <t>Barra de fórmulas</t>
  </si>
  <si>
    <t>Format de nombre</t>
  </si>
  <si>
    <t>Number format</t>
  </si>
  <si>
    <t>Formato de número</t>
  </si>
  <si>
    <t>Paramètres régionaux</t>
  </si>
  <si>
    <t>Regional settings</t>
  </si>
  <si>
    <t>Configuración regional</t>
  </si>
  <si>
    <t>Décimales (., ,)</t>
  </si>
  <si>
    <t>Decimals (., ,)</t>
  </si>
  <si>
    <t>Decimales (., ,)</t>
  </si>
  <si>
    <t>Séparateur d’arguments (; ou ,)</t>
  </si>
  <si>
    <t>Argument separator (; or ,)</t>
  </si>
  <si>
    <t>Separador de argumentos (; o ,)</t>
  </si>
  <si>
    <t>Copier / Coller</t>
  </si>
  <si>
    <t>Copy / Paste</t>
  </si>
  <si>
    <t>Copiar / Pegar</t>
  </si>
  <si>
    <t>Collage spécial</t>
  </si>
  <si>
    <t>Paste Special</t>
  </si>
  <si>
    <t>Pegado especial</t>
  </si>
  <si>
    <t>Couper</t>
  </si>
  <si>
    <t>Cut</t>
  </si>
  <si>
    <t>Cortar</t>
  </si>
  <si>
    <t>Masquer / Afficher</t>
  </si>
  <si>
    <t>Hide / Unhide</t>
  </si>
  <si>
    <t>Ocultar / Mostrar</t>
  </si>
  <si>
    <t>Trier</t>
  </si>
  <si>
    <t>Sort</t>
  </si>
  <si>
    <t>Ordenar</t>
  </si>
  <si>
    <t>Filter</t>
  </si>
  <si>
    <t>Filtrar</t>
  </si>
  <si>
    <t>Mise en forme conditionnelle</t>
  </si>
  <si>
    <t>Conditional Formatting</t>
  </si>
  <si>
    <t>Formato condicional</t>
  </si>
  <si>
    <t>Validation des données</t>
  </si>
  <si>
    <t>Data Validation</t>
  </si>
  <si>
    <t>Validación de datos</t>
  </si>
  <si>
    <t>Figer les volets</t>
  </si>
  <si>
    <t>Freeze Panes</t>
  </si>
  <si>
    <t>Inmovilizar paneles</t>
  </si>
  <si>
    <t>Imprimer</t>
  </si>
  <si>
    <t>Print</t>
  </si>
  <si>
    <t>Imprimir</t>
  </si>
  <si>
    <t>Recalculer tout (F9)</t>
  </si>
  <si>
    <t>Recalculate all (F9)</t>
  </si>
  <si>
    <t>Recalcular todo (F9)</t>
  </si>
  <si>
    <t>Enregistrer (Ctrl+S)</t>
  </si>
  <si>
    <t>Save (Ctrl+S)</t>
  </si>
  <si>
    <t>Guardar (Ctrl+S)</t>
  </si>
  <si>
    <t>Annuler / Rétablir</t>
  </si>
  <si>
    <t>Undo / Redo</t>
  </si>
  <si>
    <t>Deshacer / Rehacer</t>
  </si>
  <si>
    <t>Rechercher</t>
  </si>
  <si>
    <t>Find</t>
  </si>
  <si>
    <t>Buscar</t>
  </si>
  <si>
    <t>@FILTRE</t>
  </si>
  <si>
    <t>@FILTER</t>
  </si>
  <si>
    <t>@FILTRAR</t>
  </si>
  <si>
    <t>@RECHERCHEV</t>
  </si>
  <si>
    <t>@VLOOKUP</t>
  </si>
  <si>
    <t>@BUSCARV</t>
  </si>
  <si>
    <t>@RECHERCHEX</t>
  </si>
  <si>
    <t>@XLOOKUP</t>
  </si>
  <si>
    <t>@BUSCARX</t>
  </si>
  <si>
    <t>@SI</t>
  </si>
  <si>
    <t>@IF</t>
  </si>
  <si>
    <t>@ESTVIDE</t>
  </si>
  <si>
    <t>@ISBLANK</t>
  </si>
  <si>
    <t>@ESBLANCO</t>
  </si>
  <si>
    <t>@NB.SI</t>
  </si>
  <si>
    <t>@COUNTIF</t>
  </si>
  <si>
    <t>@CONTAR.SI</t>
  </si>
  <si>
    <t>@SOMME</t>
  </si>
  <si>
    <t>@SUM</t>
  </si>
  <si>
    <t>@SUMA</t>
  </si>
  <si>
    <t>@MOYENNE</t>
  </si>
  <si>
    <t>@AVERAGE</t>
  </si>
  <si>
    <t>@PROMEDIO</t>
  </si>
  <si>
    <t>@NBCAR</t>
  </si>
  <si>
    <t>@LEN</t>
  </si>
  <si>
    <t>@LARGO</t>
  </si>
  <si>
    <t>Répertoire (zone d’affichage AD→AX)</t>
  </si>
  <si>
    <t>Directory (display area AD→AX)</t>
  </si>
  <si>
    <t>Directorio (área de visualización AD→AX)</t>
  </si>
  <si>
    <t>Recettes collées (L→AC)</t>
  </si>
  <si>
    <t>Pasted recipes (L→AC)</t>
  </si>
  <si>
    <t>Recetas pegadas (L→AC)</t>
  </si>
  <si>
    <t>Postit (note adhésive)</t>
  </si>
  <si>
    <t>Postit (sticky note)</t>
  </si>
  <si>
    <t>Postit (nota adhesiva)</t>
  </si>
  <si>
    <t>Table de recherche</t>
  </si>
  <si>
    <t>Lookup table</t>
  </si>
  <si>
    <t>Tabla de búsqueda</t>
  </si>
  <si>
    <t>Ne pas mélanger poids et volumes</t>
  </si>
  <si>
    <t>Do not mix weights and volumes</t>
  </si>
  <si>
    <t>No mezclar pesos y volúmenes</t>
  </si>
  <si>
    <t>Poids (kg)</t>
  </si>
  <si>
    <t>Weights (kg)</t>
  </si>
  <si>
    <t>Pesos (kg)</t>
  </si>
  <si>
    <t>Volumes (L)</t>
  </si>
  <si>
    <t>Volúmenes (L)</t>
  </si>
  <si>
    <t>Colonnes 6→11 : Poids</t>
  </si>
  <si>
    <t>Columns 6→11: Weights</t>
  </si>
  <si>
    <t>Columnas 6→11: Pesos</t>
  </si>
  <si>
    <t>Colonnes suivantes : Volumes</t>
  </si>
  <si>
    <t>Following columns: Volumes</t>
  </si>
  <si>
    <t>Columnas siguientes: Volúmenes</t>
  </si>
  <si>
    <t>Colonnes 21→24 dépendent de col.15</t>
  </si>
  <si>
    <t>Columns 21→24 depend on col.15</t>
  </si>
  <si>
    <t>Columnas 21→24 dependen de col.15</t>
  </si>
  <si>
    <t>Col.30→34 = L ou kg (équivalences)</t>
  </si>
  <si>
    <t>Col.30→34 = L or kg (equivalents)</t>
  </si>
  <si>
    <t>Col.30→34 = L o kg (equivalencias)</t>
  </si>
  <si>
    <t>Aucune colonne masquée — 0 lignes</t>
  </si>
  <si>
    <t>No hidden columns — 0 rows</t>
  </si>
  <si>
    <t>Ninguna columna oculta — 0 filas</t>
  </si>
  <si>
    <t>Masquer ces 16 colonnes</t>
  </si>
  <si>
    <t>Hide these 16 columns</t>
  </si>
  <si>
    <t>Ocultar estas 16 columnas</t>
  </si>
  <si>
    <t>Appuyer sur F9</t>
  </si>
  <si>
    <t>Press F9</t>
  </si>
  <si>
    <t>Pulsar F9</t>
  </si>
  <si>
    <t>AL9 pilote toutes les recettes</t>
  </si>
  <si>
    <t>AL9 controls all recipes</t>
  </si>
  <si>
    <t>AL9 controla todas las recetas</t>
  </si>
  <si>
    <t>Quantités (Col.23)</t>
  </si>
  <si>
    <t>Quantities (Col.23)</t>
  </si>
  <si>
    <t>Cantidades (Col.23)</t>
  </si>
  <si>
    <t>% Perte (facultatif)</t>
  </si>
  <si>
    <t>% Loss (optional)</t>
  </si>
  <si>
    <t>% Pérdida (opcional)</t>
  </si>
  <si>
    <t>Prix (€/kg vs €/pièce)</t>
  </si>
  <si>
    <t>Price (€/kg vs per piece)</t>
  </si>
  <si>
    <t>Precio (€/kg vs por pieza)</t>
  </si>
  <si>
    <t>Recette dupliquée pour …</t>
  </si>
  <si>
    <t>Recipe duplicated for …</t>
  </si>
  <si>
    <t>Receta duplicada para …</t>
  </si>
  <si>
    <t>Assiettes / Portions / Contenant</t>
  </si>
  <si>
    <t>Plates / Servings / Container</t>
  </si>
  <si>
    <t>Platos / Porciones / Recipiente</t>
  </si>
  <si>
    <t>Auteur</t>
  </si>
  <si>
    <t>Author</t>
  </si>
  <si>
    <t>Autor</t>
  </si>
  <si>
    <t>Family</t>
  </si>
  <si>
    <t>Familia</t>
  </si>
  <si>
    <t>Nom de la recette — N°</t>
  </si>
  <si>
    <t>Recipe name — No.</t>
  </si>
  <si>
    <t>Nombre de la receta — Nº</t>
  </si>
  <si>
    <r>
      <t xml:space="preserve">1) Formules clés (spill prêtes, sans </t>
    </r>
    <r>
      <rPr>
        <b/>
        <sz val="10"/>
        <color theme="1"/>
        <rFont val="Arial Unicode MS"/>
      </rPr>
      <t>@</t>
    </r>
    <r>
      <rPr>
        <b/>
        <sz val="24"/>
        <color theme="1"/>
        <rFont val="Calibri"/>
        <family val="2"/>
        <scheme val="minor"/>
      </rPr>
      <t>), en FR / EN / ES</t>
    </r>
  </si>
  <si>
    <r>
      <t xml:space="preserve">⚠️ Séparateurs : </t>
    </r>
    <r>
      <rPr>
        <b/>
        <sz val="11"/>
        <color theme="1"/>
        <rFont val="Calibri"/>
        <family val="2"/>
        <scheme val="minor"/>
      </rPr>
      <t xml:space="preserve">FR/ES = </t>
    </r>
    <r>
      <rPr>
        <b/>
        <sz val="10"/>
        <color theme="1"/>
        <rFont val="Arial Unicode MS"/>
      </rPr>
      <t>;</t>
    </r>
    <r>
      <rPr>
        <sz val="11"/>
        <color theme="1"/>
        <rFont val="Calibri"/>
        <family val="2"/>
        <scheme val="minor"/>
      </rPr>
      <t xml:space="preserve"> · </t>
    </r>
    <r>
      <rPr>
        <b/>
        <sz val="11"/>
        <color theme="1"/>
        <rFont val="Calibri"/>
        <family val="2"/>
        <scheme val="minor"/>
      </rPr>
      <t xml:space="preserve">EN = </t>
    </r>
    <r>
      <rPr>
        <b/>
        <sz val="10"/>
        <color theme="1"/>
        <rFont val="Arial Unicode MS"/>
      </rPr>
      <t>,</t>
    </r>
  </si>
  <si>
    <t>A. Filtrer une liste non vide (1 colonne)</t>
  </si>
  <si>
    <r>
      <t xml:space="preserve">FR </t>
    </r>
    <r>
      <rPr>
        <sz val="10"/>
        <color theme="1"/>
        <rFont val="Arial Unicode MS"/>
      </rPr>
      <t>=FILTRE(L2:L100; L2:L100&lt;&gt;"")</t>
    </r>
  </si>
  <si>
    <r>
      <t xml:space="preserve">EN </t>
    </r>
    <r>
      <rPr>
        <sz val="10"/>
        <color theme="1"/>
        <rFont val="Arial Unicode MS"/>
      </rPr>
      <t>=FILTER(L2:L100, L2:L100&lt;&gt;"")</t>
    </r>
  </si>
  <si>
    <r>
      <t xml:space="preserve">ES </t>
    </r>
    <r>
      <rPr>
        <sz val="10"/>
        <color theme="1"/>
        <rFont val="Arial Unicode MS"/>
      </rPr>
      <t>=FILTRAR(L2:L100; L2:L100&lt;&gt;"")</t>
    </r>
  </si>
  <si>
    <t>B. Filtrer par critère (retourner plusieurs colonnes)</t>
  </si>
  <si>
    <r>
      <t xml:space="preserve">FR </t>
    </r>
    <r>
      <rPr>
        <sz val="10"/>
        <color theme="1"/>
        <rFont val="Arial Unicode MS"/>
      </rPr>
      <t>=FILTRE(A2:D100; C2:C100="Dessert")</t>
    </r>
  </si>
  <si>
    <r>
      <t xml:space="preserve">EN </t>
    </r>
    <r>
      <rPr>
        <sz val="10"/>
        <color theme="1"/>
        <rFont val="Arial Unicode MS"/>
      </rPr>
      <t>=FILTER(A2:D100, C2:C100="Dessert")</t>
    </r>
  </si>
  <si>
    <r>
      <t xml:space="preserve">ES </t>
    </r>
    <r>
      <rPr>
        <sz val="10"/>
        <color theme="1"/>
        <rFont val="Arial Unicode MS"/>
      </rPr>
      <t>=FILTRAR(A2:D100; C2:C100="Postre")</t>
    </r>
  </si>
  <si>
    <t>C. Filtrer avec “si vide” (message personnalisé)</t>
  </si>
  <si>
    <r>
      <t xml:space="preserve">FR </t>
    </r>
    <r>
      <rPr>
        <sz val="10"/>
        <color theme="1"/>
        <rFont val="Arial Unicode MS"/>
      </rPr>
      <t>=FILTRE(A2:D100; C2:C100="Dessert"; "Aucun résultat")</t>
    </r>
  </si>
  <si>
    <r>
      <t xml:space="preserve">EN </t>
    </r>
    <r>
      <rPr>
        <sz val="10"/>
        <color theme="1"/>
        <rFont val="Arial Unicode MS"/>
      </rPr>
      <t>=FILTER(A2:D100, C2:C100="Dessert", "No results")</t>
    </r>
  </si>
  <si>
    <r>
      <t xml:space="preserve">ES </t>
    </r>
    <r>
      <rPr>
        <sz val="10"/>
        <color theme="1"/>
        <rFont val="Arial Unicode MS"/>
      </rPr>
      <t>=FILTRAR(A2:D100; C2:C100="Postre"; "Sin resultados")</t>
    </r>
  </si>
  <si>
    <t>D. Recherche exacte moderne (XLOOKUP / RECHERCHEX / BUSCARX)</t>
  </si>
  <si>
    <r>
      <t xml:space="preserve">FR </t>
    </r>
    <r>
      <rPr>
        <sz val="10"/>
        <color theme="1"/>
        <rFont val="Arial Unicode MS"/>
      </rPr>
      <t>=RECHERCHEX(E2; A2:A100; B2:B100; "Introuvable")</t>
    </r>
  </si>
  <si>
    <r>
      <t xml:space="preserve">EN </t>
    </r>
    <r>
      <rPr>
        <sz val="10"/>
        <color theme="1"/>
        <rFont val="Arial Unicode MS"/>
      </rPr>
      <t>=XLOOKUP(E2, A2:A100, B2:B100, "Not found")</t>
    </r>
  </si>
  <si>
    <r>
      <t xml:space="preserve">ES </t>
    </r>
    <r>
      <rPr>
        <sz val="10"/>
        <color theme="1"/>
        <rFont val="Arial Unicode MS"/>
      </rPr>
      <t>=BUSCARX(E2; A2:A100; B2:B100; "No encontrado")</t>
    </r>
  </si>
  <si>
    <t>E. Ancienne recherche exacte (VLOOKUP)</t>
  </si>
  <si>
    <r>
      <t xml:space="preserve">FR </t>
    </r>
    <r>
      <rPr>
        <sz val="10"/>
        <color theme="1"/>
        <rFont val="Arial Unicode MS"/>
      </rPr>
      <t>=RECHERCHEV(E2; A2:C100; 3; FAUX)</t>
    </r>
  </si>
  <si>
    <r>
      <t xml:space="preserve">EN </t>
    </r>
    <r>
      <rPr>
        <sz val="10"/>
        <color theme="1"/>
        <rFont val="Arial Unicode MS"/>
      </rPr>
      <t>=VLOOKUP(E2, A2:C100, 3, FALSE)</t>
    </r>
  </si>
  <si>
    <r>
      <t xml:space="preserve">ES </t>
    </r>
    <r>
      <rPr>
        <sz val="10"/>
        <color theme="1"/>
        <rFont val="Arial Unicode MS"/>
      </rPr>
      <t>=BUSCARV(E2; A2:C100; 3; FALSO)</t>
    </r>
  </si>
  <si>
    <t>F. Test + valeur par défaut</t>
  </si>
  <si>
    <r>
      <t xml:space="preserve">FR </t>
    </r>
    <r>
      <rPr>
        <sz val="10"/>
        <color theme="1"/>
        <rFont val="Arial Unicode MS"/>
      </rPr>
      <t>=SI(ESTVIDE(E2); "—"; E2)</t>
    </r>
  </si>
  <si>
    <r>
      <t xml:space="preserve">EN </t>
    </r>
    <r>
      <rPr>
        <sz val="10"/>
        <color theme="1"/>
        <rFont val="Arial Unicode MS"/>
      </rPr>
      <t>=IF(ISBLANK(E2), "—", E2)</t>
    </r>
  </si>
  <si>
    <r>
      <t xml:space="preserve">ES </t>
    </r>
    <r>
      <rPr>
        <sz val="10"/>
        <color theme="1"/>
        <rFont val="Arial Unicode MS"/>
      </rPr>
      <t>=SI(ESBLANCO(E2); "—"; E2)</t>
    </r>
  </si>
  <si>
    <t>G. Compter les occurrences</t>
  </si>
  <si>
    <r>
      <t xml:space="preserve">FR </t>
    </r>
    <r>
      <rPr>
        <sz val="10"/>
        <color theme="1"/>
        <rFont val="Arial Unicode MS"/>
      </rPr>
      <t>=NB.SI(A2:A100; E2)</t>
    </r>
  </si>
  <si>
    <r>
      <t xml:space="preserve">EN </t>
    </r>
    <r>
      <rPr>
        <sz val="10"/>
        <color theme="1"/>
        <rFont val="Arial Unicode MS"/>
      </rPr>
      <t>=COUNTIF(A2:A100, E2)</t>
    </r>
  </si>
  <si>
    <r>
      <t xml:space="preserve">ES </t>
    </r>
    <r>
      <rPr>
        <sz val="10"/>
        <color theme="1"/>
        <rFont val="Arial Unicode MS"/>
      </rPr>
      <t>=CONTAR.SI(A2:A100; E2)</t>
    </r>
  </si>
  <si>
    <t>H. Somme / Moyenne conditionnelles</t>
  </si>
  <si>
    <r>
      <t xml:space="preserve">FR </t>
    </r>
    <r>
      <rPr>
        <sz val="10"/>
        <color theme="1"/>
        <rFont val="Arial Unicode MS"/>
      </rPr>
      <t>=SOMME.SI(A2:A100; "Dessert"; B2:B100)</t>
    </r>
    <r>
      <rPr>
        <sz val="11"/>
        <color theme="1"/>
        <rFont val="Calibri"/>
        <family val="2"/>
        <scheme val="minor"/>
      </rPr>
      <t xml:space="preserve"> / </t>
    </r>
    <r>
      <rPr>
        <sz val="10"/>
        <color theme="1"/>
        <rFont val="Arial Unicode MS"/>
      </rPr>
      <t>=MOYENNE.SI(A2:A100; "Dessert"; B2:B100)</t>
    </r>
  </si>
  <si>
    <r>
      <t xml:space="preserve">EN </t>
    </r>
    <r>
      <rPr>
        <sz val="10"/>
        <color theme="1"/>
        <rFont val="Arial Unicode MS"/>
      </rPr>
      <t>=SUMIF(A2:A100, "Dessert", B2:B100)</t>
    </r>
    <r>
      <rPr>
        <sz val="11"/>
        <color theme="1"/>
        <rFont val="Calibri"/>
        <family val="2"/>
        <scheme val="minor"/>
      </rPr>
      <t xml:space="preserve"> / </t>
    </r>
    <r>
      <rPr>
        <sz val="10"/>
        <color theme="1"/>
        <rFont val="Arial Unicode MS"/>
      </rPr>
      <t>=AVERAGEIF(A2:A100, "Dessert", B2:B100)</t>
    </r>
  </si>
  <si>
    <r>
      <t xml:space="preserve">ES </t>
    </r>
    <r>
      <rPr>
        <sz val="10"/>
        <color theme="1"/>
        <rFont val="Arial Unicode MS"/>
      </rPr>
      <t>=SUMAR.SI(A2:A100; "Postre"; B2:B100)</t>
    </r>
    <r>
      <rPr>
        <sz val="11"/>
        <color theme="1"/>
        <rFont val="Calibri"/>
        <family val="2"/>
        <scheme val="minor"/>
      </rPr>
      <t xml:space="preserve"> / </t>
    </r>
    <r>
      <rPr>
        <sz val="10"/>
        <color theme="1"/>
        <rFont val="Arial Unicode MS"/>
      </rPr>
      <t>=PROMEDIO.SI(A2:A100; "Postre"; B2:B100)</t>
    </r>
  </si>
  <si>
    <t>I. Longueur / Gauche / Droite (utile pour codes)</t>
  </si>
  <si>
    <r>
      <t xml:space="preserve">FR </t>
    </r>
    <r>
      <rPr>
        <sz val="10"/>
        <color theme="1"/>
        <rFont val="Arial Unicode MS"/>
      </rPr>
      <t>=NBCAR(E2)</t>
    </r>
    <r>
      <rPr>
        <sz val="11"/>
        <color theme="1"/>
        <rFont val="Calibri"/>
        <family val="2"/>
        <scheme val="minor"/>
      </rPr>
      <t xml:space="preserve"> · </t>
    </r>
    <r>
      <rPr>
        <sz val="10"/>
        <color theme="1"/>
        <rFont val="Arial Unicode MS"/>
      </rPr>
      <t>=GAUCHE(E2;1)</t>
    </r>
    <r>
      <rPr>
        <sz val="11"/>
        <color theme="1"/>
        <rFont val="Calibri"/>
        <family val="2"/>
        <scheme val="minor"/>
      </rPr>
      <t xml:space="preserve"> · </t>
    </r>
    <r>
      <rPr>
        <sz val="10"/>
        <color theme="1"/>
        <rFont val="Arial Unicode MS"/>
      </rPr>
      <t>=DROITE(E2;2)</t>
    </r>
  </si>
  <si>
    <r>
      <t xml:space="preserve">EN </t>
    </r>
    <r>
      <rPr>
        <sz val="10"/>
        <color theme="1"/>
        <rFont val="Arial Unicode MS"/>
      </rPr>
      <t>=LEN(E2)</t>
    </r>
    <r>
      <rPr>
        <sz val="11"/>
        <color theme="1"/>
        <rFont val="Calibri"/>
        <family val="2"/>
        <scheme val="minor"/>
      </rPr>
      <t xml:space="preserve"> · </t>
    </r>
    <r>
      <rPr>
        <sz val="10"/>
        <color theme="1"/>
        <rFont val="Arial Unicode MS"/>
      </rPr>
      <t>=LEFT(E2,1)</t>
    </r>
    <r>
      <rPr>
        <sz val="11"/>
        <color theme="1"/>
        <rFont val="Calibri"/>
        <family val="2"/>
        <scheme val="minor"/>
      </rPr>
      <t xml:space="preserve"> · </t>
    </r>
    <r>
      <rPr>
        <sz val="10"/>
        <color theme="1"/>
        <rFont val="Arial Unicode MS"/>
      </rPr>
      <t>=RIGHT(E2,2)</t>
    </r>
  </si>
  <si>
    <r>
      <t xml:space="preserve">ES </t>
    </r>
    <r>
      <rPr>
        <sz val="10"/>
        <color theme="1"/>
        <rFont val="Arial Unicode MS"/>
      </rPr>
      <t>=LARGO(E2)</t>
    </r>
    <r>
      <rPr>
        <sz val="11"/>
        <color theme="1"/>
        <rFont val="Calibri"/>
        <family val="2"/>
        <scheme val="minor"/>
      </rPr>
      <t xml:space="preserve"> · </t>
    </r>
    <r>
      <rPr>
        <sz val="10"/>
        <color theme="1"/>
        <rFont val="Arial Unicode MS"/>
      </rPr>
      <t>=IZQUIERDA(E2;1)</t>
    </r>
    <r>
      <rPr>
        <sz val="11"/>
        <color theme="1"/>
        <rFont val="Calibri"/>
        <family val="2"/>
        <scheme val="minor"/>
      </rPr>
      <t xml:space="preserve"> · </t>
    </r>
    <r>
      <rPr>
        <sz val="10"/>
        <color theme="1"/>
        <rFont val="Arial Unicode MS"/>
      </rPr>
      <t>=DERECHA(E2;2)</t>
    </r>
  </si>
  <si>
    <t>J. Chercher une sous-chaîne (sensible à la casse)</t>
  </si>
  <si>
    <r>
      <t xml:space="preserve">FR </t>
    </r>
    <r>
      <rPr>
        <sz val="10"/>
        <color theme="1"/>
        <rFont val="Arial Unicode MS"/>
      </rPr>
      <t>=CHERCHE("kg"; E2)</t>
    </r>
  </si>
  <si>
    <r>
      <t xml:space="preserve">EN </t>
    </r>
    <r>
      <rPr>
        <sz val="10"/>
        <color theme="1"/>
        <rFont val="Arial Unicode MS"/>
      </rPr>
      <t>=FIND("kg", E2)</t>
    </r>
  </si>
  <si>
    <r>
      <t xml:space="preserve">ES </t>
    </r>
    <r>
      <rPr>
        <sz val="10"/>
        <color theme="1"/>
        <rFont val="Arial Unicode MS"/>
      </rPr>
      <t>=HALLAR("kg"; E2)</t>
    </r>
  </si>
  <si>
    <t>K. Concaténer</t>
  </si>
  <si>
    <r>
      <t xml:space="preserve">FR </t>
    </r>
    <r>
      <rPr>
        <sz val="10"/>
        <color theme="1"/>
        <rFont val="Arial Unicode MS"/>
      </rPr>
      <t>=CONCAT(A2; " - "; B2)</t>
    </r>
    <r>
      <rPr>
        <sz val="11"/>
        <color theme="1"/>
        <rFont val="Calibri"/>
        <family val="2"/>
        <scheme val="minor"/>
      </rPr>
      <t xml:space="preserve"> </t>
    </r>
    <r>
      <rPr>
        <i/>
        <sz val="11"/>
        <color theme="1"/>
        <rFont val="Calibri"/>
        <family val="2"/>
        <scheme val="minor"/>
      </rPr>
      <t xml:space="preserve">(ou </t>
    </r>
    <r>
      <rPr>
        <i/>
        <sz val="10"/>
        <color theme="1"/>
        <rFont val="Arial Unicode MS"/>
      </rPr>
      <t>CONCATENER</t>
    </r>
    <r>
      <rPr>
        <i/>
        <sz val="11"/>
        <color theme="1"/>
        <rFont val="Calibri"/>
        <family val="2"/>
        <scheme val="minor"/>
      </rPr>
      <t xml:space="preserve"> selon version)</t>
    </r>
  </si>
  <si>
    <r>
      <t xml:space="preserve">EN </t>
    </r>
    <r>
      <rPr>
        <sz val="10"/>
        <color theme="1"/>
        <rFont val="Arial Unicode MS"/>
      </rPr>
      <t>=CONCAT(A2, " - ", B2)</t>
    </r>
  </si>
  <si>
    <r>
      <t xml:space="preserve">ES </t>
    </r>
    <r>
      <rPr>
        <sz val="10"/>
        <color theme="1"/>
        <rFont val="Arial Unicode MS"/>
      </rPr>
      <t>=CONCAT(A2; " - "; B2)</t>
    </r>
    <r>
      <rPr>
        <sz val="11"/>
        <color theme="1"/>
        <rFont val="Calibri"/>
        <family val="2"/>
        <scheme val="minor"/>
      </rPr>
      <t xml:space="preserve"> </t>
    </r>
    <r>
      <rPr>
        <i/>
        <sz val="11"/>
        <color theme="1"/>
        <rFont val="Calibri"/>
        <family val="2"/>
        <scheme val="minor"/>
      </rPr>
      <t xml:space="preserve">(ou </t>
    </r>
    <r>
      <rPr>
        <i/>
        <sz val="10"/>
        <color theme="1"/>
        <rFont val="Arial Unicode MS"/>
      </rPr>
      <t>CONCATENAR</t>
    </r>
    <r>
      <rPr>
        <i/>
        <sz val="11"/>
        <color theme="1"/>
        <rFont val="Calibri"/>
        <family val="2"/>
        <scheme val="minor"/>
      </rPr>
      <t>)</t>
    </r>
  </si>
  <si>
    <t>L. Dates</t>
  </si>
  <si>
    <r>
      <t xml:space="preserve">FR </t>
    </r>
    <r>
      <rPr>
        <sz val="10"/>
        <color theme="1"/>
        <rFont val="Arial Unicode MS"/>
      </rPr>
      <t>=AUJOURDHUI()</t>
    </r>
    <r>
      <rPr>
        <sz val="11"/>
        <color theme="1"/>
        <rFont val="Calibri"/>
        <family val="2"/>
        <scheme val="minor"/>
      </rPr>
      <t xml:space="preserve"> · </t>
    </r>
    <r>
      <rPr>
        <sz val="10"/>
        <color theme="1"/>
        <rFont val="Arial Unicode MS"/>
      </rPr>
      <t>=MAINTENANT()</t>
    </r>
  </si>
  <si>
    <r>
      <t xml:space="preserve">EN </t>
    </r>
    <r>
      <rPr>
        <sz val="10"/>
        <color theme="1"/>
        <rFont val="Arial Unicode MS"/>
      </rPr>
      <t>=TODAY()</t>
    </r>
    <r>
      <rPr>
        <sz val="11"/>
        <color theme="1"/>
        <rFont val="Calibri"/>
        <family val="2"/>
        <scheme val="minor"/>
      </rPr>
      <t xml:space="preserve"> · </t>
    </r>
    <r>
      <rPr>
        <sz val="10"/>
        <color theme="1"/>
        <rFont val="Arial Unicode MS"/>
      </rPr>
      <t>=NOW()</t>
    </r>
  </si>
  <si>
    <r>
      <t xml:space="preserve">ES </t>
    </r>
    <r>
      <rPr>
        <sz val="10"/>
        <color theme="1"/>
        <rFont val="Arial Unicode MS"/>
      </rPr>
      <t>=HOY()</t>
    </r>
    <r>
      <rPr>
        <sz val="11"/>
        <color theme="1"/>
        <rFont val="Calibri"/>
        <family val="2"/>
        <scheme val="minor"/>
      </rPr>
      <t xml:space="preserve"> · </t>
    </r>
    <r>
      <rPr>
        <sz val="10"/>
        <color theme="1"/>
        <rFont val="Arial Unicode MS"/>
      </rPr>
      <t>=AHORA()</t>
    </r>
  </si>
  <si>
    <r>
      <t xml:space="preserve">Besoin d’autres (ex. </t>
    </r>
    <r>
      <rPr>
        <sz val="10"/>
        <color theme="1"/>
        <rFont val="Arial Unicode MS"/>
      </rPr>
      <t>UNIQUE</t>
    </r>
    <r>
      <rPr>
        <sz val="11"/>
        <color theme="1"/>
        <rFont val="Calibri"/>
        <family val="2"/>
        <scheme val="minor"/>
      </rPr>
      <t xml:space="preserve">, </t>
    </r>
    <r>
      <rPr>
        <sz val="10"/>
        <color theme="1"/>
        <rFont val="Arial Unicode MS"/>
      </rPr>
      <t>TRIER/SORT</t>
    </r>
    <r>
      <rPr>
        <sz val="11"/>
        <color theme="1"/>
        <rFont val="Calibri"/>
        <family val="2"/>
        <scheme val="minor"/>
      </rPr>
      <t>), dis-moi et j’ajoute.</t>
    </r>
  </si>
  <si>
    <t>2) Checklist anti-corruption (rapide &amp; efficace)</t>
  </si>
  <si>
    <t>A. Sauvegardes &amp; format</t>
  </si>
  <si>
    <r>
      <t xml:space="preserve">1. Enregistre en </t>
    </r>
    <r>
      <rPr>
        <b/>
        <sz val="11"/>
        <color theme="1"/>
        <rFont val="Calibri"/>
        <family val="2"/>
        <scheme val="minor"/>
      </rPr>
      <t>.XLSB</t>
    </r>
    <r>
      <rPr>
        <sz val="11"/>
        <color theme="1"/>
        <rFont val="Calibri"/>
        <family val="2"/>
        <scheme val="minor"/>
      </rPr>
      <t xml:space="preserve"> (binaire) ou </t>
    </r>
    <r>
      <rPr>
        <b/>
        <sz val="11"/>
        <color theme="1"/>
        <rFont val="Calibri"/>
        <family val="2"/>
        <scheme val="minor"/>
      </rPr>
      <t>.XLSX</t>
    </r>
    <r>
      <rPr>
        <sz val="11"/>
        <color theme="1"/>
        <rFont val="Calibri"/>
        <family val="2"/>
        <scheme val="minor"/>
      </rPr>
      <t xml:space="preserve"> (éviter l’ancien </t>
    </r>
    <r>
      <rPr>
        <b/>
        <sz val="11"/>
        <color theme="1"/>
        <rFont val="Calibri"/>
        <family val="2"/>
        <scheme val="minor"/>
      </rPr>
      <t>.XLS</t>
    </r>
    <r>
      <rPr>
        <sz val="11"/>
        <color theme="1"/>
        <rFont val="Calibri"/>
        <family val="2"/>
        <scheme val="minor"/>
      </rPr>
      <t>).</t>
    </r>
  </si>
  <si>
    <r>
      <t xml:space="preserve">2. Garde une </t>
    </r>
    <r>
      <rPr>
        <b/>
        <sz val="11"/>
        <color theme="1"/>
        <rFont val="Calibri"/>
        <family val="2"/>
        <scheme val="minor"/>
      </rPr>
      <t>copie du jour</t>
    </r>
    <r>
      <rPr>
        <sz val="11"/>
        <color theme="1"/>
        <rFont val="Calibri"/>
        <family val="2"/>
        <scheme val="minor"/>
      </rPr>
      <t xml:space="preserve"> + une </t>
    </r>
    <r>
      <rPr>
        <b/>
        <sz val="11"/>
        <color theme="1"/>
        <rFont val="Calibri"/>
        <family val="2"/>
        <scheme val="minor"/>
      </rPr>
      <t>copie propre</t>
    </r>
    <r>
      <rPr>
        <sz val="11"/>
        <color theme="1"/>
        <rFont val="Calibri"/>
        <family val="2"/>
        <scheme val="minor"/>
      </rPr>
      <t xml:space="preserve"> (modèle maître).</t>
    </r>
  </si>
  <si>
    <r>
      <t>3. Active l’</t>
    </r>
    <r>
      <rPr>
        <b/>
        <sz val="11"/>
        <color theme="1"/>
        <rFont val="Calibri"/>
        <family val="2"/>
        <scheme val="minor"/>
      </rPr>
      <t>historique de versions</t>
    </r>
    <r>
      <rPr>
        <sz val="11"/>
        <color theme="1"/>
        <rFont val="Calibri"/>
        <family val="2"/>
        <scheme val="minor"/>
      </rPr>
      <t xml:space="preserve"> (OneDrive/SharePoint si possible).</t>
    </r>
  </si>
  <si>
    <t>B. Ouverture &amp; réparation</t>
  </si>
  <si>
    <r>
      <t xml:space="preserve">4. En cas d’alerte, fais </t>
    </r>
    <r>
      <rPr>
        <b/>
        <sz val="11"/>
        <color theme="1"/>
        <rFont val="Calibri"/>
        <family val="2"/>
        <scheme val="minor"/>
      </rPr>
      <t>Fichier &gt; Ouvrir &gt; Ouvrir et réparer…</t>
    </r>
    <r>
      <rPr>
        <sz val="11"/>
        <color theme="1"/>
        <rFont val="Calibri"/>
        <family val="2"/>
        <scheme val="minor"/>
      </rPr>
      <t xml:space="preserve"> (</t>
    </r>
    <r>
      <rPr>
        <b/>
        <sz val="11"/>
        <color theme="1"/>
        <rFont val="Calibri"/>
        <family val="2"/>
        <scheme val="minor"/>
      </rPr>
      <t>Réparer</t>
    </r>
    <r>
      <rPr>
        <sz val="11"/>
        <color theme="1"/>
        <rFont val="Calibri"/>
        <family val="2"/>
        <scheme val="minor"/>
      </rPr>
      <t xml:space="preserve">, puis </t>
    </r>
    <r>
      <rPr>
        <b/>
        <sz val="11"/>
        <color theme="1"/>
        <rFont val="Calibri"/>
        <family val="2"/>
        <scheme val="minor"/>
      </rPr>
      <t>Extraire les données</t>
    </r>
    <r>
      <rPr>
        <sz val="11"/>
        <color theme="1"/>
        <rFont val="Calibri"/>
        <family val="2"/>
        <scheme val="minor"/>
      </rPr>
      <t xml:space="preserve"> si besoin).</t>
    </r>
  </si>
  <si>
    <r>
      <t xml:space="preserve">5. Sauvegarde la version réparée </t>
    </r>
    <r>
      <rPr>
        <b/>
        <sz val="11"/>
        <color theme="1"/>
        <rFont val="Calibri"/>
        <family val="2"/>
        <scheme val="minor"/>
      </rPr>
      <t>sous un nouveau nom</t>
    </r>
    <r>
      <rPr>
        <sz val="11"/>
        <color theme="1"/>
        <rFont val="Calibri"/>
        <family val="2"/>
        <scheme val="minor"/>
      </rPr>
      <t>.</t>
    </r>
  </si>
  <si>
    <t>C. Nettoyage des formules</t>
  </si>
  <si>
    <r>
      <t xml:space="preserve">6. Retire les </t>
    </r>
    <r>
      <rPr>
        <sz val="10"/>
        <color theme="1"/>
        <rFont val="Arial Unicode MS"/>
      </rPr>
      <t>@</t>
    </r>
    <r>
      <rPr>
        <sz val="11"/>
        <color theme="1"/>
        <rFont val="Calibri"/>
        <family val="2"/>
        <scheme val="minor"/>
      </rPr>
      <t xml:space="preserve"> ajoutés automatiquement : </t>
    </r>
    <r>
      <rPr>
        <b/>
        <sz val="11"/>
        <color theme="1"/>
        <rFont val="Calibri"/>
        <family val="2"/>
        <scheme val="minor"/>
      </rPr>
      <t>Ctrl+H</t>
    </r>
    <r>
      <rPr>
        <sz val="11"/>
        <color theme="1"/>
        <rFont val="Calibri"/>
        <family val="2"/>
        <scheme val="minor"/>
      </rPr>
      <t xml:space="preserve"> → Rechercher </t>
    </r>
    <r>
      <rPr>
        <sz val="10"/>
        <color theme="1"/>
        <rFont val="Arial Unicode MS"/>
      </rPr>
      <t>@</t>
    </r>
    <r>
      <rPr>
        <sz val="11"/>
        <color theme="1"/>
        <rFont val="Calibri"/>
        <family val="2"/>
        <scheme val="minor"/>
      </rPr>
      <t xml:space="preserve"> → Remplacer par </t>
    </r>
    <r>
      <rPr>
        <i/>
        <sz val="11"/>
        <color theme="1"/>
        <rFont val="Calibri"/>
        <family val="2"/>
        <scheme val="minor"/>
      </rPr>
      <t>(vide)</t>
    </r>
    <r>
      <rPr>
        <sz val="11"/>
        <color theme="1"/>
        <rFont val="Calibri"/>
        <family val="2"/>
        <scheme val="minor"/>
      </rPr>
      <t xml:space="preserve"> → </t>
    </r>
    <r>
      <rPr>
        <b/>
        <sz val="11"/>
        <color theme="1"/>
        <rFont val="Calibri"/>
        <family val="2"/>
        <scheme val="minor"/>
      </rPr>
      <t>Remplacer tout</t>
    </r>
    <r>
      <rPr>
        <sz val="11"/>
        <color theme="1"/>
        <rFont val="Calibri"/>
        <family val="2"/>
        <scheme val="minor"/>
      </rPr>
      <t>.</t>
    </r>
  </si>
  <si>
    <r>
      <t xml:space="preserve">7. Vérifie les </t>
    </r>
    <r>
      <rPr>
        <b/>
        <sz val="11"/>
        <color theme="1"/>
        <rFont val="Calibri"/>
        <family val="2"/>
        <scheme val="minor"/>
      </rPr>
      <t>séparateurs</t>
    </r>
    <r>
      <rPr>
        <sz val="11"/>
        <color theme="1"/>
        <rFont val="Calibri"/>
        <family val="2"/>
        <scheme val="minor"/>
      </rPr>
      <t xml:space="preserve"> (FR/ES </t>
    </r>
    <r>
      <rPr>
        <sz val="10"/>
        <color theme="1"/>
        <rFont val="Arial Unicode MS"/>
      </rPr>
      <t>;</t>
    </r>
    <r>
      <rPr>
        <sz val="11"/>
        <color theme="1"/>
        <rFont val="Calibri"/>
        <family val="2"/>
        <scheme val="minor"/>
      </rPr>
      <t xml:space="preserve"> vs EN </t>
    </r>
    <r>
      <rPr>
        <sz val="10"/>
        <color theme="1"/>
        <rFont val="Arial Unicode MS"/>
      </rPr>
      <t>,</t>
    </r>
    <r>
      <rPr>
        <sz val="11"/>
        <color theme="1"/>
        <rFont val="Calibri"/>
        <family val="2"/>
        <scheme val="minor"/>
      </rPr>
      <t xml:space="preserve">) et la </t>
    </r>
    <r>
      <rPr>
        <b/>
        <sz val="11"/>
        <color theme="1"/>
        <rFont val="Calibri"/>
        <family val="2"/>
        <scheme val="minor"/>
      </rPr>
      <t>langue</t>
    </r>
    <r>
      <rPr>
        <sz val="11"/>
        <color theme="1"/>
        <rFont val="Calibri"/>
        <family val="2"/>
        <scheme val="minor"/>
      </rPr>
      <t xml:space="preserve"> des fonctions (ex. </t>
    </r>
    <r>
      <rPr>
        <sz val="10"/>
        <color theme="1"/>
        <rFont val="Arial Unicode MS"/>
      </rPr>
      <t>CHERCHE/HALLAR/FIND</t>
    </r>
    <r>
      <rPr>
        <sz val="11"/>
        <color theme="1"/>
        <rFont val="Calibri"/>
        <family val="2"/>
        <scheme val="minor"/>
      </rPr>
      <t>).</t>
    </r>
  </si>
  <si>
    <r>
      <t xml:space="preserve">8. </t>
    </r>
    <r>
      <rPr>
        <b/>
        <sz val="11"/>
        <color theme="1"/>
        <rFont val="Calibri"/>
        <family val="2"/>
        <scheme val="minor"/>
      </rPr>
      <t>F9</t>
    </r>
    <r>
      <rPr>
        <sz val="11"/>
        <color theme="1"/>
        <rFont val="Calibri"/>
        <family val="2"/>
        <scheme val="minor"/>
      </rPr>
      <t xml:space="preserve"> pour recalculer et repérer les erreurs (#REF!, #VAL!, #N/A…).</t>
    </r>
  </si>
  <si>
    <t>D. Noms, liaisons, plages</t>
  </si>
  <si>
    <r>
      <t xml:space="preserve">9. </t>
    </r>
    <r>
      <rPr>
        <b/>
        <sz val="11"/>
        <color theme="1"/>
        <rFont val="Calibri"/>
        <family val="2"/>
        <scheme val="minor"/>
      </rPr>
      <t>Formules &gt; Gestionnaire de noms</t>
    </r>
    <r>
      <rPr>
        <sz val="11"/>
        <color theme="1"/>
        <rFont val="Calibri"/>
        <family val="2"/>
        <scheme val="minor"/>
      </rPr>
      <t xml:space="preserve"> : supprime/rectifie les noms cassés (#REF!).</t>
    </r>
  </si>
  <si>
    <r>
      <t xml:space="preserve">10. </t>
    </r>
    <r>
      <rPr>
        <b/>
        <sz val="11"/>
        <color theme="1"/>
        <rFont val="Calibri"/>
        <family val="2"/>
        <scheme val="minor"/>
      </rPr>
      <t>Données &gt; Modifier les liaisons</t>
    </r>
    <r>
      <rPr>
        <sz val="11"/>
        <color theme="1"/>
        <rFont val="Calibri"/>
        <family val="2"/>
        <scheme val="minor"/>
      </rPr>
      <t xml:space="preserve"> : met à jour ou romps les liaisons externes obsolètes.</t>
    </r>
  </si>
  <si>
    <r>
      <t xml:space="preserve">11. Évite les plages </t>
    </r>
    <r>
      <rPr>
        <b/>
        <sz val="11"/>
        <color theme="1"/>
        <rFont val="Calibri"/>
        <family val="2"/>
        <scheme val="minor"/>
      </rPr>
      <t>volatiles</t>
    </r>
    <r>
      <rPr>
        <sz val="11"/>
        <color theme="1"/>
        <rFont val="Calibri"/>
        <family val="2"/>
        <scheme val="minor"/>
      </rPr>
      <t xml:space="preserve"> excessives (INDIRECT/DECALER/OFFSET, MAINTENANT, AUJOURDHUI) sur de grandes zones.</t>
    </r>
  </si>
  <si>
    <t>E. Structure &amp; mise en forme</t>
  </si>
  <si>
    <r>
      <t xml:space="preserve">12. Convertis les grands blocs en </t>
    </r>
    <r>
      <rPr>
        <b/>
        <sz val="11"/>
        <color theme="1"/>
        <rFont val="Calibri"/>
        <family val="2"/>
        <scheme val="minor"/>
      </rPr>
      <t>Tableaux</t>
    </r>
    <r>
      <rPr>
        <sz val="11"/>
        <color theme="1"/>
        <rFont val="Calibri"/>
        <family val="2"/>
        <scheme val="minor"/>
      </rPr>
      <t xml:space="preserve"> (Ctrl+T) pour des formules stables et lisibles.</t>
    </r>
  </si>
  <si>
    <r>
      <t xml:space="preserve">13. Limite les </t>
    </r>
    <r>
      <rPr>
        <b/>
        <sz val="11"/>
        <color theme="1"/>
        <rFont val="Calibri"/>
        <family val="2"/>
        <scheme val="minor"/>
      </rPr>
      <t>mises en forme conditionnelles</t>
    </r>
    <r>
      <rPr>
        <sz val="11"/>
        <color theme="1"/>
        <rFont val="Calibri"/>
        <family val="2"/>
        <scheme val="minor"/>
      </rPr>
      <t xml:space="preserve"> et supprime les règles en doublon.</t>
    </r>
  </si>
  <si>
    <t>14. Évite les feuilles “gouffres” (données collées très loin — réinitialise la plage utilisée si besoin).</t>
  </si>
  <si>
    <t>F. Contrôles rapides</t>
  </si>
  <si>
    <r>
      <t xml:space="preserve">15. </t>
    </r>
    <r>
      <rPr>
        <b/>
        <sz val="11"/>
        <color theme="1"/>
        <rFont val="Calibri"/>
        <family val="2"/>
        <scheme val="minor"/>
      </rPr>
      <t>Atteindre spécial</t>
    </r>
    <r>
      <rPr>
        <sz val="11"/>
        <color theme="1"/>
        <rFont val="Calibri"/>
        <family val="2"/>
        <scheme val="minor"/>
      </rPr>
      <t xml:space="preserve"> (Accueil &gt; Rechercher &amp; sélectionner) : surligner </t>
    </r>
    <r>
      <rPr>
        <b/>
        <sz val="11"/>
        <color theme="1"/>
        <rFont val="Calibri"/>
        <family val="2"/>
        <scheme val="minor"/>
      </rPr>
      <t>Formules</t>
    </r>
    <r>
      <rPr>
        <sz val="11"/>
        <color theme="1"/>
        <rFont val="Calibri"/>
        <family val="2"/>
        <scheme val="minor"/>
      </rPr>
      <t xml:space="preserve">, </t>
    </r>
    <r>
      <rPr>
        <b/>
        <sz val="11"/>
        <color theme="1"/>
        <rFont val="Calibri"/>
        <family val="2"/>
        <scheme val="minor"/>
      </rPr>
      <t>Constantes</t>
    </r>
    <r>
      <rPr>
        <sz val="11"/>
        <color theme="1"/>
        <rFont val="Calibri"/>
        <family val="2"/>
        <scheme val="minor"/>
      </rPr>
      <t xml:space="preserve">, </t>
    </r>
    <r>
      <rPr>
        <b/>
        <sz val="11"/>
        <color theme="1"/>
        <rFont val="Calibri"/>
        <family val="2"/>
        <scheme val="minor"/>
      </rPr>
      <t>Erreurs</t>
    </r>
    <r>
      <rPr>
        <sz val="11"/>
        <color theme="1"/>
        <rFont val="Calibri"/>
        <family val="2"/>
        <scheme val="minor"/>
      </rPr>
      <t>.</t>
    </r>
  </si>
  <si>
    <r>
      <t xml:space="preserve">16. </t>
    </r>
    <r>
      <rPr>
        <b/>
        <sz val="11"/>
        <color theme="1"/>
        <rFont val="Calibri"/>
        <family val="2"/>
        <scheme val="minor"/>
      </rPr>
      <t>Dépendances/antécédents</t>
    </r>
    <r>
      <rPr>
        <sz val="11"/>
        <color theme="1"/>
        <rFont val="Calibri"/>
        <family val="2"/>
        <scheme val="minor"/>
      </rPr>
      <t xml:space="preserve"> (Formules &gt; Vérification des erreurs) pour localiser une casse en cascade.</t>
    </r>
  </si>
  <si>
    <r>
      <t xml:space="preserve">17. Teste les cellules clés en doublant la formule dans un </t>
    </r>
    <r>
      <rPr>
        <b/>
        <sz val="11"/>
        <color theme="1"/>
        <rFont val="Calibri"/>
        <family val="2"/>
        <scheme val="minor"/>
      </rPr>
      <t>fichier de test</t>
    </r>
    <r>
      <rPr>
        <sz val="11"/>
        <color theme="1"/>
        <rFont val="Calibri"/>
        <family val="2"/>
        <scheme val="minor"/>
      </rPr>
      <t>.</t>
    </r>
  </si>
  <si>
    <t>G. Bonnes pratiques</t>
  </si>
  <si>
    <r>
      <t xml:space="preserve">18. Fige une </t>
    </r>
    <r>
      <rPr>
        <b/>
        <sz val="11"/>
        <color theme="1"/>
        <rFont val="Calibri"/>
        <family val="2"/>
        <scheme val="minor"/>
      </rPr>
      <t>cellule pilote</t>
    </r>
    <r>
      <rPr>
        <sz val="11"/>
        <color theme="1"/>
        <rFont val="Calibri"/>
        <family val="2"/>
        <scheme val="minor"/>
      </rPr>
      <t xml:space="preserve"> (ex. AL9) et documente son rôle.</t>
    </r>
  </si>
  <si>
    <t>19. Documente tes conventions (ex. Col.6–11 = Poids (kg), suivantes = Volumes (L)).</t>
  </si>
  <si>
    <r>
      <t xml:space="preserve">20. Préfère </t>
    </r>
    <r>
      <rPr>
        <sz val="10"/>
        <color theme="1"/>
        <rFont val="Arial Unicode MS"/>
      </rPr>
      <t>XLOOKUP/RECHERCHEX/BUSCARX</t>
    </r>
    <r>
      <rPr>
        <sz val="11"/>
        <color theme="1"/>
        <rFont val="Calibri"/>
        <family val="2"/>
        <scheme val="minor"/>
      </rPr>
      <t xml:space="preserve"> à </t>
    </r>
    <r>
      <rPr>
        <sz val="10"/>
        <color theme="1"/>
        <rFont val="Arial Unicode MS"/>
      </rPr>
      <t>VLOOKUP/RECHERCHEV/BUSCARV</t>
    </r>
    <r>
      <rPr>
        <sz val="11"/>
        <color theme="1"/>
        <rFont val="Calibri"/>
        <family val="2"/>
        <scheme val="minor"/>
      </rPr>
      <t xml:space="preserve"> (plus robuste).</t>
    </r>
  </si>
  <si>
    <t xml:space="preserve"> la Famille</t>
  </si>
  <si>
    <t>② l' AUTEUR : &gt;</t>
  </si>
  <si>
    <t>les Col.de 6 à 11 sont réservées aux poids</t>
  </si>
  <si>
    <r>
      <t xml:space="preserve">Si c’est un </t>
    </r>
    <r>
      <rPr>
        <b/>
        <sz val="11"/>
        <color theme="1"/>
        <rFont val="Calibri"/>
        <family val="2"/>
        <scheme val="minor"/>
      </rPr>
      <t>volume</t>
    </r>
    <r>
      <rPr>
        <sz val="11"/>
        <color theme="1"/>
        <rFont val="Calibri"/>
        <family val="2"/>
        <scheme val="minor"/>
      </rPr>
      <t xml:space="preserve"> :</t>
    </r>
  </si>
  <si>
    <r>
      <t>val ≥ 1</t>
    </r>
    <r>
      <rPr>
        <sz val="11"/>
        <color theme="1"/>
        <rFont val="Calibri"/>
        <family val="2"/>
        <scheme val="minor"/>
      </rPr>
      <t xml:space="preserve"> ⇒ affichage en </t>
    </r>
    <r>
      <rPr>
        <b/>
        <sz val="11"/>
        <color theme="1"/>
        <rFont val="Calibri"/>
        <family val="2"/>
        <scheme val="minor"/>
      </rPr>
      <t>litres</t>
    </r>
    <r>
      <rPr>
        <sz val="11"/>
        <color theme="1"/>
        <rFont val="Calibri"/>
        <family val="2"/>
        <scheme val="minor"/>
      </rPr>
      <t xml:space="preserve"> (</t>
    </r>
    <r>
      <rPr>
        <sz val="10"/>
        <color theme="1"/>
        <rFont val="Arial Unicode MS"/>
      </rPr>
      <t>L</t>
    </r>
    <r>
      <rPr>
        <sz val="11"/>
        <color theme="1"/>
        <rFont val="Calibri"/>
        <family val="2"/>
        <scheme val="minor"/>
      </rPr>
      <t>) avec 3 décimales max.</t>
    </r>
  </si>
  <si>
    <r>
      <t>val &lt; 1</t>
    </r>
    <r>
      <rPr>
        <sz val="11"/>
        <color theme="1"/>
        <rFont val="Calibri"/>
        <family val="2"/>
        <scheme val="minor"/>
      </rPr>
      <t xml:space="preserve"> ⇒ conversion en </t>
    </r>
    <r>
      <rPr>
        <b/>
        <sz val="11"/>
        <color theme="1"/>
        <rFont val="Calibri"/>
        <family val="2"/>
        <scheme val="minor"/>
      </rPr>
      <t>centilitres</t>
    </r>
    <r>
      <rPr>
        <sz val="11"/>
        <color theme="1"/>
        <rFont val="Calibri"/>
        <family val="2"/>
        <scheme val="minor"/>
      </rPr>
      <t xml:space="preserve"> (</t>
    </r>
    <r>
      <rPr>
        <sz val="10"/>
        <color theme="1"/>
        <rFont val="Arial Unicode MS"/>
      </rPr>
      <t>cl</t>
    </r>
    <r>
      <rPr>
        <sz val="11"/>
        <color theme="1"/>
        <rFont val="Calibri"/>
        <family val="2"/>
        <scheme val="minor"/>
      </rPr>
      <t xml:space="preserve">) et arrondi à l’entier, minimum </t>
    </r>
    <r>
      <rPr>
        <b/>
        <sz val="11"/>
        <color theme="1"/>
        <rFont val="Calibri"/>
        <family val="2"/>
        <scheme val="minor"/>
      </rPr>
      <t>1 cl</t>
    </r>
    <r>
      <rPr>
        <sz val="11"/>
        <color theme="1"/>
        <rFont val="Calibri"/>
        <family val="2"/>
        <scheme val="minor"/>
      </rPr>
      <t>.</t>
    </r>
  </si>
  <si>
    <r>
      <t xml:space="preserve">Si c’est un </t>
    </r>
    <r>
      <rPr>
        <b/>
        <sz val="11"/>
        <color theme="1"/>
        <rFont val="Calibri"/>
        <family val="2"/>
        <scheme val="minor"/>
      </rPr>
      <t>poids</t>
    </r>
    <r>
      <rPr>
        <sz val="11"/>
        <color theme="1"/>
        <rFont val="Calibri"/>
        <family val="2"/>
        <scheme val="minor"/>
      </rPr>
      <t xml:space="preserve"> :</t>
    </r>
  </si>
  <si>
    <r>
      <t>val ≥ 1</t>
    </r>
    <r>
      <rPr>
        <sz val="11"/>
        <color theme="1"/>
        <rFont val="Calibri"/>
        <family val="2"/>
        <scheme val="minor"/>
      </rPr>
      <t xml:space="preserve"> ⇒ affichage en </t>
    </r>
    <r>
      <rPr>
        <b/>
        <sz val="11"/>
        <color theme="1"/>
        <rFont val="Calibri"/>
        <family val="2"/>
        <scheme val="minor"/>
      </rPr>
      <t>kilogrammes</t>
    </r>
    <r>
      <rPr>
        <sz val="11"/>
        <color theme="1"/>
        <rFont val="Calibri"/>
        <family val="2"/>
        <scheme val="minor"/>
      </rPr>
      <t xml:space="preserve"> (</t>
    </r>
    <r>
      <rPr>
        <sz val="10"/>
        <color theme="1"/>
        <rFont val="Arial Unicode MS"/>
      </rPr>
      <t>Kg</t>
    </r>
    <r>
      <rPr>
        <sz val="11"/>
        <color theme="1"/>
        <rFont val="Calibri"/>
        <family val="2"/>
        <scheme val="minor"/>
      </rPr>
      <t>) avec 3 décimales max.</t>
    </r>
  </si>
  <si>
    <r>
      <t>val &lt; 1</t>
    </r>
    <r>
      <rPr>
        <sz val="11"/>
        <color theme="1"/>
        <rFont val="Calibri"/>
        <family val="2"/>
        <scheme val="minor"/>
      </rPr>
      <t xml:space="preserve"> ⇒ conversion en </t>
    </r>
    <r>
      <rPr>
        <b/>
        <sz val="11"/>
        <color theme="1"/>
        <rFont val="Calibri"/>
        <family val="2"/>
        <scheme val="minor"/>
      </rPr>
      <t>grammes</t>
    </r>
    <r>
      <rPr>
        <sz val="11"/>
        <color theme="1"/>
        <rFont val="Calibri"/>
        <family val="2"/>
        <scheme val="minor"/>
      </rPr>
      <t xml:space="preserve"> (</t>
    </r>
    <r>
      <rPr>
        <sz val="10"/>
        <color theme="1"/>
        <rFont val="Arial Unicode MS"/>
      </rPr>
      <t>g</t>
    </r>
    <r>
      <rPr>
        <sz val="11"/>
        <color theme="1"/>
        <rFont val="Calibri"/>
        <family val="2"/>
        <scheme val="minor"/>
      </rPr>
      <t xml:space="preserve">) et arrondi à l’entier, minimum </t>
    </r>
    <r>
      <rPr>
        <b/>
        <sz val="11"/>
        <color theme="1"/>
        <rFont val="Calibri"/>
        <family val="2"/>
        <scheme val="minor"/>
      </rPr>
      <t>1 g</t>
    </r>
    <r>
      <rPr>
        <sz val="11"/>
        <color theme="1"/>
        <rFont val="Calibri"/>
        <family val="2"/>
        <scheme val="minor"/>
      </rPr>
      <t>.</t>
    </r>
  </si>
  <si>
    <t xml:space="preserve">parce que la Col.18 s'en sert pour conversion en g </t>
  </si>
  <si>
    <t>parce que la Col.18 s'en sert pour conversion en cl</t>
  </si>
  <si>
    <t xml:space="preserve">les Col.de 12 à 18 sont réservées aux volumes </t>
  </si>
  <si>
    <t>Champ d’application ou circuit  1- 2-3-5-6</t>
  </si>
  <si>
    <t>Circuit .1.2.5</t>
  </si>
  <si>
    <t>Cir .1.2.5</t>
  </si>
  <si>
    <t>⑦g.kg.L.dl.cl.ml  Collez une unité au choix</t>
  </si>
  <si>
    <t xml:space="preserve">tout ce qui n'est pas saisi dans la colonne ⑥ Poids ou Volume </t>
  </si>
  <si>
    <t>ne sera pas comptabilisé dans les poids</t>
  </si>
  <si>
    <t>⑧  Coefficient</t>
  </si>
  <si>
    <t>Ligne 62 Cellule ICI</t>
  </si>
  <si>
    <t>IMPORTANT</t>
  </si>
  <si>
    <t>les colonnes 2 à 5</t>
  </si>
  <si>
    <t>contiennent les informations utiles pour l'archivage et le fonctionnement des répertoires</t>
  </si>
  <si>
    <t>OU cette présentation</t>
  </si>
  <si>
    <t>SIERREUR(LET(v;SIERREUR(RECHERCHEX(K22;G37:S37;G38:S38);RECHERCHEX(K22;G39:S39;G40:S40));v*J22*SI(ESTVIDE(G22);1;G22));0)</t>
  </si>
  <si>
    <t>LET(unite;SUBSTITUE(SUPPRESPACE(K22);" (s)";"");val;R22;estVol;NB.SI(M37:S37;unite)+NB.SI(M39:S39;unite)&gt;0;estPoids;NB.SI(G37:L37;unite)+NB.SI(G39:L39;unite)&gt;0;SI(estVol;SI(ARRONDI(val;3)&gt;=1;ARRONDI(val;3)&amp;" L";MAX(1;ARRONDI(val*100;0))&amp;" cl");SI(estPoids;SI(ARRONDI(val;3)&gt;=1;ARRONDI(val;3)&amp;" Kg";MAX(1;ARRONDI(val*1000;0))&amp;" g");"")))</t>
  </si>
  <si>
    <t>40 cl</t>
  </si>
  <si>
    <t>40 g</t>
  </si>
  <si>
    <t>Recette mère ► MILLE-FEUILLE meringue et chiboust pamplemousse aux fraises des bois</t>
  </si>
  <si>
    <t>MAJUSCULE(GAUCHE(J12;1))&amp;" "&amp;J12&amp;" | "&amp;Q12&amp;"| "&amp;J14&amp;" "&amp;K14</t>
  </si>
  <si>
    <t xml:space="preserve">C CHIBOUST PAMPLEMOUSSE | pâtisserie--ENTREMET| Auteur &gt; M. Guy KRENZER, Eric GODDYN, Jean François DEPORT </t>
  </si>
  <si>
    <t>Recette mère ► MILLE-FEUILLE meringue et chiboust pamplemousse aux fraises des bois ► Famille = pâtisserie--ENTREMET ► CHIBOUST PAMPLEMOUSSE  ⓫  Dupliquée pour 20 couverts</t>
  </si>
  <si>
    <t>L18&amp;" "&amp;M18&amp;" ► Famille = "&amp;Q12&amp;" ► "&amp;J12&amp;" "&amp;P15&amp;" "&amp;Q15&amp;" "&amp;R15&amp;" "&amp;S16</t>
  </si>
  <si>
    <t>les - ou doubles -- sont importants pour de l'extraction de texte ( voir la fiche identification)</t>
  </si>
  <si>
    <t>SI(SUPPRESPACE(Q255)="Adresse PC";"▼ recette suivante";SI(AH255&gt;0;M255;""))</t>
  </si>
  <si>
    <t>▲ ce texte " Adresse PC "   est important pour séparer les recettes dans la fiche répertoire</t>
  </si>
  <si>
    <t>toujours citer la source ou ajouter un lien</t>
  </si>
  <si>
    <t>▲ dans cette colonne la présence de la fonction RECHERCHEX est indispensable pour le fonctionnement des documents répertoire</t>
  </si>
  <si>
    <t xml:space="preserve">◄  Si la colonne 11 est rouge, collez la "gomme" </t>
  </si>
  <si>
    <t>les Auteurs prévoient leur recettes pour des quantités ou un nombre de portions différentes</t>
  </si>
  <si>
    <t>Il est donc difficile de comparer. Avec cette colonne cela devient facile</t>
  </si>
  <si>
    <t>① le NOM DE LA RECETTE</t>
  </si>
  <si>
    <t>Recette mère ►MILLE-FEUILLE meringue et chiboust pamplemousse aux fraises des bois</t>
  </si>
  <si>
    <t>Si c’est un poids :</t>
  </si>
  <si>
    <t>val ≥ 1 ⇒ affichage en kilogrammes (Kg) avec 3 décimales max.</t>
  </si>
  <si>
    <t>val &lt; 1 ⇒ conversion en grammes (g) et arrondi à l’entier, minimum 1 g.</t>
  </si>
  <si>
    <t>Si c’est un volume :</t>
  </si>
  <si>
    <t>val ≥ 1 ⇒ affichage en litres (L) avec 3 décimales max.</t>
  </si>
  <si>
    <t>val &lt; 1 ⇒ conversion en centilitres (cl) et arrondi à l’entier, minimum 1 cl.</t>
  </si>
  <si>
    <t>de s'affiche automatiquement pour éviter toute confusion " 27 " " jaunes d'œufs"  "de"  " 20 g"</t>
  </si>
  <si>
    <t>① the NAME OF THE RECIPE</t>
  </si>
  <si>
    <t>pastry--ENTREMET</t>
  </si>
  <si>
    <t>the - or double -- are important for text extraction (see the identification sheet)</t>
  </si>
  <si>
    <t>② the AUTHOR : &gt;</t>
  </si>
  <si>
    <t>Component of &gt;</t>
  </si>
  <si>
    <t>Master recipe ► Recipe intended for which preparation</t>
  </si>
  <si>
    <t>Master recipe ► MILLE-FEUILLE with meringue and grapefruit chiboust with wild strawberries</t>
  </si>
  <si>
    <t>Scope or document circuit</t>
  </si>
  <si>
    <t>1 Archiving</t>
  </si>
  <si>
    <t>3 Quality manager</t>
  </si>
  <si>
    <t>4 Director</t>
  </si>
  <si>
    <t>5 Cooks</t>
  </si>
  <si>
    <t>6 Storekeeper</t>
  </si>
  <si>
    <t>⑦ g.kg.L.dl.cl.ml</t>
  </si>
  <si>
    <t>④ Quantity or Number of units per sheet</t>
  </si>
  <si>
    <t>⑤ What</t>
  </si>
  <si>
    <t>eggs - thighs - tarts - portions or - CB = bar spoon - BS = Barspoon - CC = teaspoon - CT = tea spoon - CP = soup spoon - QS = sufficient quantity - PM = for the record - GN trays 1/1 - ladles...etc</t>
  </si>
  <si>
    <t>when you enter a number of units ⑤</t>
  </si>
  <si>
    <t>and a Weight or Volume ⑥ “de/of” appears automatically to indicate that you are entering a per-unit weight</t>
  </si>
  <si>
    <t>⑥ Weight or Volume adjust the decimals (+ or − from 0)</t>
  </si>
  <si>
    <t>anything not entered in column ⑥ Weight or Volume</t>
  </si>
  <si>
    <t>will not be counted in the weights</t>
  </si>
  <si>
    <t>Products sold by the piece &gt; quantity 27 egg yolks and weight of 1 yolk</t>
  </si>
  <si>
    <t>¼ bunch of herbs as 0.25 or as quarter(s)</t>
  </si>
  <si>
    <t>One missing dot or one extra space and Excel won’t recognize it. So use Copy / Paste</t>
  </si>
  <si>
    <t>Cols 6 to 11 are reserved for weights</t>
  </si>
  <si>
    <t>because Col 18 uses them for conversion to g</t>
  </si>
  <si>
    <t>If it’s a weight:</t>
  </si>
  <si>
    <t>val ≥ 1 ⇒ display in kilograms (kg) with up to 3 decimals.</t>
  </si>
  <si>
    <t>val &lt; 1 ⇒ convert to grams (g) and round to a whole number, minimum 1 g.</t>
  </si>
  <si>
    <t>Cols 12 to 18 are reserved for volumes</t>
  </si>
  <si>
    <t>because Col 18 uses them for conversion to cl</t>
  </si>
  <si>
    <t>If it’s a volume:</t>
  </si>
  <si>
    <t>val ≥ 1 ⇒ display in liters (L) with up to 3 decimals.</t>
  </si>
  <si>
    <t>val &lt; 1 ⇒ convert to centiliters (cl) and round to a whole number, minimum 1 cl.</t>
  </si>
  <si>
    <t>columns 2 to 5</t>
  </si>
  <si>
    <t>contain useful information for archiving and folder operation</t>
  </si>
  <si>
    <t>“de/of” appears automatically to avoid any confusion “27” “egg yolks” “de/of” “20 g”</t>
  </si>
  <si>
    <t>Quantity or number of units, your choice</t>
  </si>
  <si>
    <t>¼ bunch of herbs</t>
  </si>
  <si>
    <t>anything not entered in column ⑥ Weight or Volume will not be counted in the weights</t>
  </si>
  <si>
    <t>when you paste 1 Quarter; 1 Half; 1 Third in col. ⑤ What there is no weight; the result appears as a quantity in columns 18 - 19 Units and What?</t>
  </si>
  <si>
    <t>What’s the difference</t>
  </si>
  <si>
    <t>1 quarter of melon</t>
  </si>
  <si>
    <t>1 half portion -</t>
  </si>
  <si>
    <t>Lookup values are in kg - example 1 glass = 0.225</t>
  </si>
  <si>
    <t>Depending on the template and the number of columns you can obtain this kind of result</t>
  </si>
  <si>
    <t>▼ What?</t>
  </si>
  <si>
    <t>Author’s weight without coef.</t>
  </si>
  <si>
    <t>▲ in this column the presence of the XLOOKUP function is essential for the directory sheets to work</t>
  </si>
  <si>
    <t>OR this layout</t>
  </si>
  <si>
    <t>Heavy cream</t>
  </si>
  <si>
    <t>Grand Marnier</t>
  </si>
  <si>
    <t>the Coefficient lets you increase,</t>
  </si>
  <si>
    <t>decrease, or omit an ingredient</t>
  </si>
  <si>
    <t>to vary an item’s weight without starting a new sheet</t>
  </si>
  <si>
    <t>You can also enter the value 0 zero for an allergenic food depending on guests</t>
  </si>
  <si>
    <t>or remove an ingredient—chili or others for example</t>
  </si>
  <si>
    <t>if you enter a value different from 1 the cell changes color to draw your attention</t>
  </si>
  <si>
    <t>(Conditional Formatting)</t>
  </si>
  <si>
    <t>eraser</t>
  </si>
  <si>
    <t>for</t>
  </si>
  <si>
    <t>you can enter another weight according to your needs</t>
  </si>
  <si>
    <t>this column lets you compare recipes.</t>
  </si>
  <si>
    <t>Authors plan their recipes for different quantities or number of portions</t>
  </si>
  <si>
    <t>So it’s hard to compare. With this column it becomes easy</t>
  </si>
  <si>
    <t>The Author planned the recipe for how many covers or for what weight</t>
  </si>
  <si>
    <t>tart</t>
  </si>
  <si>
    <t>sponge sheets</t>
  </si>
  <si>
    <t>based on your guests you estimate this recipe for how many</t>
  </si>
  <si>
    <t>You can validate by re-entering the same values as the Author</t>
  </si>
  <si>
    <t>frame(s)</t>
  </si>
  <si>
    <t>18-cm tarts</t>
  </si>
  <si>
    <t>covers/servings</t>
  </si>
  <si>
    <t>OR make another choice</t>
  </si>
  <si>
    <t>either you choose to duplicate the recipe starting from a headcount or from the weight of one item—for example flour for bread</t>
  </si>
  <si>
    <t>kg of beef</t>
  </si>
  <si>
    <t>kg of flour</t>
  </si>
  <si>
    <t>eggs</t>
  </si>
  <si>
    <t>beef</t>
  </si>
  <si>
    <t>you enter the quantity</t>
  </si>
  <si>
    <t>depending on templates you may have:</t>
  </si>
  <si>
    <t>don’t confuse price per kg and price per piece</t>
  </si>
  <si>
    <t>unit &gt;</t>
  </si>
  <si>
    <t>Sum</t>
  </si>
  <si>
    <t>How much does 1 kg of product lose during peeling or trimming — in packaging, etc.</t>
  </si>
  <si>
    <t>Gross weights</t>
  </si>
  <si>
    <t>Gross Rounded equivalents</t>
  </si>
  <si>
    <t>Rounded equivalents weights above 1 kg are expressed in kg</t>
  </si>
  <si>
    <t>weights below 1 kg are expressed in g</t>
  </si>
  <si>
    <t>bring the cream to a boil with the zests</t>
  </si>
  <si>
    <t>cook like a pastry cream with the sugar, the yolks, and the cornstarch (maïzena)</t>
  </si>
  <si>
    <t>Professional use of recipes requires you to know hygiene and HACCP regulations.</t>
  </si>
  <si>
    <t>always cite the source or add a link</t>
  </si>
  <si>
    <t>Cost: 1* economical - 4**** luxury</t>
  </si>
  <si>
    <t>Difficulty: 1* Easy - 4**** Difficult</t>
  </si>
  <si>
    <t>GN 1/1</t>
  </si>
  <si>
    <t>&lt; Container</t>
  </si>
  <si>
    <t>&lt; Qty per person</t>
  </si>
  <si>
    <t>&lt; weight per portion</t>
  </si>
  <si>
    <t>Enter your headcounts</t>
  </si>
  <si>
    <t>Qty per person of your choice or both</t>
  </si>
  <si>
    <t>how many pieces per person (slices - ladles - etc.)</t>
  </si>
  <si>
    <t>or what weight per portion</t>
  </si>
  <si>
    <t>the container enter GN pan(s) 1/1 - rack(s) - dish(es) - ladle(s) etc.</t>
  </si>
  <si>
    <t>how many slices or other per container</t>
  </si>
  <si>
    <t>or what weight per container</t>
  </si>
  <si>
    <t>▲ this text “PC Address” is important to separate recipes in the directory sheet</t>
  </si>
  <si>
    <t>IF(TRIM(Q255)="PC Address","▼ next recipe",IF(AH255&gt;0,M255,""))</t>
  </si>
  <si>
    <t>Line 62 Cell HERE</t>
  </si>
  <si>
    <t>you have several templates to paste</t>
  </si>
  <si>
    <t>as a replacement Paste the add-ons if you need them</t>
  </si>
  <si>
    <t>REASONED WORK ORGANIZATION</t>
  </si>
  <si>
    <t>check goods — quality — quantity — temperatures</t>
  </si>
  <si>
    <t>check use-by dates — note lot numbers or keep the labels</t>
  </si>
  <si>
    <t>sanitize bags — piping bags — trays — boxes before opening</t>
  </si>
  <si>
    <t>HERE</t>
  </si>
  <si>
    <t>QUALITY APPROACH — RECIPE DEVELOPMENT AND IMPROVEMENT</t>
  </si>
  <si>
    <t>Description of the original recipe</t>
  </si>
  <si>
    <t>First impressions about this recipe products-technique-price: what should we modify — can we serve it to all our customers — etc.</t>
  </si>
  <si>
    <t>Recipe tested by: MAURICE</t>
  </si>
  <si>
    <t>Modifications — adaptation — advice and suggestions:</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</si>
  <si>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</si>
  <si>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VISUAL / PRESENTATION</t>
  </si>
  <si>
    <t>COOKING</t>
  </si>
  <si>
    <t>TEXTURE</t>
  </si>
  <si>
    <t>for the entered criteria</t>
  </si>
  <si>
    <t>TOTAL obtained</t>
  </si>
  <si>
    <t>MAX total to reach</t>
  </si>
  <si>
    <t>can we serve it to all our customers</t>
  </si>
  <si>
    <t>The products or the recipe is/are:</t>
  </si>
  <si>
    <t>Good</t>
  </si>
  <si>
    <t>not acceptable for our customers</t>
  </si>
  <si>
    <t>WELL</t>
  </si>
  <si>
    <t>Acceptance</t>
  </si>
  <si>
    <t>Partial or total refusal</t>
  </si>
  <si>
    <t>Starter</t>
  </si>
  <si>
    <t>Main course</t>
  </si>
  <si>
    <t>Vegetable</t>
  </si>
  <si>
    <t>Flavor: salty-sweet-bitter-acid-metallic-strong-sour-pungent-bland-natural</t>
  </si>
  <si>
    <t>Texture: tender-melt-in-the-mouth-soft-natural-grainy-fibrous-stringy-mealy-gelatinous-crispy</t>
  </si>
  <si>
    <t>Cooking: undercooked--good-done-overcooked-to be reviewed—Weights—% Loss before and after cooking—Cooking method etc.</t>
  </si>
  <si>
    <t>Circuito .1.2.5</t>
  </si>
  <si>
    <t>① el NOMBRE DE LA RECETA</t>
  </si>
  <si>
    <t>pastelería--ENTREMET</t>
  </si>
  <si>
    <t>los - o dobles -- son importantes para la extracción de texto (ver la ficha de identificación)</t>
  </si>
  <si>
    <t>② el AUTOR : &gt;</t>
  </si>
  <si>
    <t>Constituyente de &gt;</t>
  </si>
  <si>
    <t>Receta madre ► Receta prevista para qué preparación</t>
  </si>
  <si>
    <t>Receta madre ► MILHOJAS con merengue y chiboust de pomelo con fresas del bosque</t>
  </si>
  <si>
    <t>Campo de aplicación o circuito de los documentos</t>
  </si>
  <si>
    <t>1 Archivo</t>
  </si>
  <si>
    <t>3 Responsable de calidad</t>
  </si>
  <si>
    <t>5 Cocineros</t>
  </si>
  <si>
    <t>6 Almacenero</t>
  </si>
  <si>
    <t>⑧ Coeficiente</t>
  </si>
  <si>
    <t>④ Cantidad o Número de unidades según ficha</t>
  </si>
  <si>
    <t>⑤ Qué</t>
  </si>
  <si>
    <t>huevos - muslos - tartas - raciones o - CB = cuchara de bar - BS = Barspoon - CC = cucharilla - CT = cucharita de té - CP = cuchara sopera - QS = cantidad suficiente - PM = para memoria - bandejas GN 1/1 - cucharones...etc.</t>
  </si>
  <si>
    <t>cuando introduce un número de unidades ⑤</t>
  </si>
  <si>
    <t>y un Peso o Volumen ⑥ aparece “de” automáticamente para indicar que está introduciendo un peso por unidad</t>
  </si>
  <si>
    <t>⑥ Peso o Volumen ajuste los decimales (+ o − desde 0)</t>
  </si>
  <si>
    <t>todo lo que no se introduzca en la columna ⑥ Peso o Volumen</t>
  </si>
  <si>
    <t>no se contabilizará en los pesos</t>
  </si>
  <si>
    <t>Productos por pieza &gt; número 27 yemas de huevo y peso de 1 yema</t>
  </si>
  <si>
    <t>¼ de manojo de finas hierbas como 0,25 o en cuarto(s)</t>
  </si>
  <si>
    <t>Un punto que falte o un espacio de más y Excel no lo reconoce. Así que use Copiar / Pegar</t>
  </si>
  <si>
    <t>Las Cols. de 6 a 11 están reservadas a los pesos</t>
  </si>
  <si>
    <t>porque la Col. 18 las usa para conversión a g</t>
  </si>
  <si>
    <t>Si es un peso:</t>
  </si>
  <si>
    <t>val ≥ 1 ⇒ visualización en kilogramos (kg) con máx. 3 decimales.</t>
  </si>
  <si>
    <t>val &lt; 1 ⇒ conversión a gramos (g) y redondeo al entero, mínimo 1 g.</t>
  </si>
  <si>
    <t>Las Cols. de 12 a 18 están reservadas a los volúmenes</t>
  </si>
  <si>
    <t>porque la Col. 18 las usa para conversión a cl</t>
  </si>
  <si>
    <t>Si es un volumen:</t>
  </si>
  <si>
    <t>val ≥ 1 ⇒ visualización en litros (L) con máx. 3 decimales.</t>
  </si>
  <si>
    <t>val &lt; 1 ⇒ conversión a centilitros (cl) y redondeo al entero, mínimo 1 cl.</t>
  </si>
  <si>
    <t>IMPORTANTE</t>
  </si>
  <si>
    <t>las columnas 2 a 5</t>
  </si>
  <si>
    <t>contienen la información útil para el archivo y el funcionamiento de los directorios</t>
  </si>
  <si>
    <t>cuando introduce un valor en ④ Cantidad Y en ⑥ Peso o Volumen</t>
  </si>
  <si>
    <t>aparece “de” automáticamente para evitar confusión “27” “yemas de huevo” “de” “20 g”</t>
  </si>
  <si>
    <t>Cantidad o número de unidades a elección</t>
  </si>
  <si>
    <t>manojos</t>
  </si>
  <si>
    <t>limones</t>
  </si>
  <si>
    <t>litros</t>
  </si>
  <si>
    <t>manzanas</t>
  </si>
  <si>
    <t>¼ de manojo de finas hierbas</t>
  </si>
  <si>
    <t>½ limón</t>
  </si>
  <si>
    <t>¾ de litro</t>
  </si>
  <si>
    <t>todo lo que no se introduzca en la columna ⑥ Peso o Volumen no se contabilizará en los pesos</t>
  </si>
  <si>
    <t>cuando pega 1 Cuarto; 1 Medio; 1 Tercio en la col. ⑤ Qué no hay peso; el resultado aparece como cantidad en las columnas 18 - 19 Unidades y Qué?</t>
  </si>
  <si>
    <t>Qué diferencia</t>
  </si>
  <si>
    <t>Pesos y volúmenes redondeados</t>
  </si>
  <si>
    <t>1 cuarto de melón</t>
  </si>
  <si>
    <t>1 media ración -</t>
  </si>
  <si>
    <t>Los valores de búsqueda están en kg - ejemplo 1 vaso = 0,225</t>
  </si>
  <si>
    <t>Según el modelo y el número de columnas puede obtener este tipo de resultado</t>
  </si>
  <si>
    <t>❾ Referencia Autor</t>
  </si>
  <si>
    <t>▼ ¿Cantidad?</t>
  </si>
  <si>
    <t>▼ ¿Qué?</t>
  </si>
  <si>
    <t>nata/crema</t>
  </si>
  <si>
    <t>ralladura de pomelo</t>
  </si>
  <si>
    <t>Peso del Autor sin coef.</t>
  </si>
  <si>
    <t>▲ en esta columna la presencia de la función BUSCARX es imprescindible para el funcionamiento de las hojas de directorio</t>
  </si>
  <si>
    <t>O esta presentación</t>
  </si>
  <si>
    <t>Nata/crema líquida</t>
  </si>
  <si>
    <t>el Coeficiente le permite aumentar,</t>
  </si>
  <si>
    <t>disminuir o evitar un ingrediente</t>
  </si>
  <si>
    <t>para variar el peso de un alimento sin empezar una nueva ficha</t>
  </si>
  <si>
    <t>También puede introducir el valor 0 cero para un alimento alergénico según comensales</t>
  </si>
  <si>
    <t>o suprimir un ingrediente—picante u otros por ejemplo</t>
  </si>
  <si>
    <t>si introduce un valor distinto de 1 la celda cambia de color para llamar su atención</t>
  </si>
  <si>
    <t>(Formato condicional)</t>
  </si>
  <si>
    <t>goma</t>
  </si>
  <si>
    <t>para</t>
  </si>
  <si>
    <t>puede introducir otro peso según sus necesidades</t>
  </si>
  <si>
    <t>esta columna le permite comparar recetas.</t>
  </si>
  <si>
    <t>Los Autores prevén sus recetas para cantidades o números de raciones diferentes</t>
  </si>
  <si>
    <t>Por lo tanto es difícil comparar. Con esta columna se vuelve fácil</t>
  </si>
  <si>
    <t>El Autor previó su receta para cuántos cubiertos o para qué peso</t>
  </si>
  <si>
    <t>tarta</t>
  </si>
  <si>
    <t>planchas de bizcocho</t>
  </si>
  <si>
    <t>en función de sus comensales usted estima esta receta para cuántos</t>
  </si>
  <si>
    <t>Puede validar reintroduciendo los mismos valores que el Autor</t>
  </si>
  <si>
    <t>aro(s)/marco(s)</t>
  </si>
  <si>
    <t>tartas de 18 cm</t>
  </si>
  <si>
    <t>cubiertos/raciones</t>
  </si>
  <si>
    <t>O hacer otra elección</t>
  </si>
  <si>
    <t>o bien decide duplicar la receta a partir de un efectivo o del peso de un género—por ejemplo harina para pan</t>
  </si>
  <si>
    <t>kg de ternera</t>
  </si>
  <si>
    <t>kg de harina</t>
  </si>
  <si>
    <t>huevos</t>
  </si>
  <si>
    <t>ternera</t>
  </si>
  <si>
    <t>le toca introducir la cantidad</t>
  </si>
  <si>
    <t>según modelos puede tener:</t>
  </si>
  <si>
    <t>no confunda precio por kg y precio por pieza</t>
  </si>
  <si>
    <t>unitario &gt;</t>
  </si>
  <si>
    <t>Suma</t>
  </si>
  <si>
    <t>¿Cuánto pierde 1 kg de producto en pelado o despiece — en acondicionamiento, etc.?</t>
  </si>
  <si>
    <t>Pesos brutos</t>
  </si>
  <si>
    <t>Bruto Equivalencias redondeadas</t>
  </si>
  <si>
    <t>Equivalencias redondeadas los pesos superiores a 1 kg se expresan en kg</t>
  </si>
  <si>
    <t>los pesos inferiores a 1 kg se expresan en g</t>
  </si>
  <si>
    <t>hervir la nata con las ralladuras</t>
  </si>
  <si>
    <t>cocer como una crema pastelera con el azúcar, las yemas y la maicena</t>
  </si>
  <si>
    <t>El uso profesional de las recetas le obliga a conocer la normativa de higiene y APPCC (HACCP).</t>
  </si>
  <si>
    <t>Enlace Autor @</t>
  </si>
  <si>
    <t>citar siempre la fuente o añadir un enlace</t>
  </si>
  <si>
    <t>Costo: 1* económico - 4**** lujo</t>
  </si>
  <si>
    <t>Dificultad: 1* Fácil - 4**** Difícil</t>
  </si>
  <si>
    <t>Tiempo de enfriado</t>
  </si>
  <si>
    <t>CONDICIONAMIENTO / ENVASADO</t>
  </si>
  <si>
    <t>Efectivos ▼</t>
  </si>
  <si>
    <t>Qué ▼</t>
  </si>
  <si>
    <t>&lt; Cantidad p.p.</t>
  </si>
  <si>
    <t>&lt; peso por ración</t>
  </si>
  <si>
    <t>Introduzca sus efectivos</t>
  </si>
  <si>
    <t>Cantidad p.p. a elección o ambas</t>
  </si>
  <si>
    <t>cuántas piezas por persona (rebanadas - cucharones - etc.)</t>
  </si>
  <si>
    <t>o qué gramaje por ración</t>
  </si>
  <si>
    <t>el contenedor introduzca GN 1/1 - rejilla(s) - fuente(s) - cucharón(es) etc.</t>
  </si>
  <si>
    <t>cuántas rebanadas u otro por contenedor</t>
  </si>
  <si>
    <t>o qué peso por contenedor</t>
  </si>
  <si>
    <t>▲ este texto “Dirección PC” es importante para separar las recetas en la hoja de directorio</t>
  </si>
  <si>
    <t>SI(ESPACIOS(Q255)="Dirección PC","▼ receta siguiente",SI(AH255&gt;0,M255,""))</t>
  </si>
  <si>
    <t>Línea 62 Celda AQUÍ</t>
  </si>
  <si>
    <t>tiene varios modelos para pegar</t>
  </si>
  <si>
    <t>en sustitución Pegue los complementos si los necesita</t>
  </si>
  <si>
    <t>ORGANIZACIÓN RAZONADA DEL TRABAJO</t>
  </si>
  <si>
    <t>controlar las mercancías — calidad — cantidad — temperaturas</t>
  </si>
  <si>
    <t>verificar las fechas de caducidad — anotar los nº de lote o conservar las etiquetas</t>
  </si>
  <si>
    <t>desinfectar bolsas — mangas pasteleras — bandejas — cajas antes de abrir</t>
  </si>
  <si>
    <t>AQUÍ</t>
  </si>
  <si>
    <t>ENFOQUE DE CALIDAD — DESARROLLO Y MEJORA DE LAS RECETAS</t>
  </si>
  <si>
    <t>Descripción de la receta original</t>
  </si>
  <si>
    <t>Primeras impresiones sobre esta receta productos-técnica-precio: qué hay que modificar — ¿podemos servirla a todos nuestros clientes? — etc.</t>
  </si>
  <si>
    <t>Receta probada por: MAURICE</t>
  </si>
  <si>
    <t>Modificaciones — adaptación — consejos y sugerencias: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</si>
  <si>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</si>
  <si>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VISUAL / PRESENTACIÓN</t>
  </si>
  <si>
    <t>COCCIÓN</t>
  </si>
  <si>
    <t>TEXTURA</t>
  </si>
  <si>
    <t>para los criterios introducidos</t>
  </si>
  <si>
    <t>TOTAL obtenido</t>
  </si>
  <si>
    <t>TOTAL máx. a alcanzar</t>
  </si>
  <si>
    <t>¿podemos servirla a todos nuestros clientes?</t>
  </si>
  <si>
    <t>Los productos o la receta son/es:</t>
  </si>
  <si>
    <t>Bueno</t>
  </si>
  <si>
    <t>no aceptable para nuestros clientes</t>
  </si>
  <si>
    <t>CONCLUSIÓN</t>
  </si>
  <si>
    <t>Aceptación</t>
  </si>
  <si>
    <t>Rechazo parcial o total</t>
  </si>
  <si>
    <t>Entrada</t>
  </si>
  <si>
    <t>Plato</t>
  </si>
  <si>
    <t>Verdura</t>
  </si>
  <si>
    <t>Postre</t>
  </si>
  <si>
    <t>Sabor: salado-dulce-amargo-ácido-metálico-fuerte-agrio-acre-soso-natural</t>
  </si>
  <si>
    <t>Textura: tierna-fundente-esponjosa-natural-granulosa-fibrosa-acorazonada-harinosa-gelatinosa-crujiente</t>
  </si>
  <si>
    <t>Cocción: poco hecho--bien-en su punto-pasado-a revisar—Gramajes—% Mermas antes y después de cocción—Modo de cocción etc.</t>
  </si>
  <si>
    <t xml:space="preserve"> the Family</t>
  </si>
  <si>
    <t xml:space="preserve"> la Familia</t>
  </si>
  <si>
    <t>Master recipe ► MILLE-FEUILLE with meringue and grapefruit chiboust with wild strawberries ► Family = pastry--ENTREMET ► GRAPEFRUIT CHIBOUST  ⓫  Duplicated for 20 servings</t>
  </si>
  <si>
    <t>Receta madre ► MILHOJAS con merengue y chiboust de pomelo con fresas del bosque ► Familia = pastelería--ENTREMET ► CHIBOUST DE POMELO  ⓫  Duplicada para 20 cubiertos</t>
  </si>
  <si>
    <t>Scope or circuit  1- 2-3-5-6</t>
  </si>
  <si>
    <t>Campo de aplicación o circuito  1- 2-3-5-6</t>
  </si>
  <si>
    <t xml:space="preserve"> Foodstuffs</t>
  </si>
  <si>
    <t xml:space="preserve"> Géneros</t>
  </si>
  <si>
    <t>⑤ Quoi</t>
  </si>
  <si>
    <t>tout ce qui n'est pas saisi dans la colonne ⑥ Poids ou Volume</t>
  </si>
  <si>
    <t>Productos por pieza &gt;  número 27 yemas de huevo y peso de 1 yema</t>
  </si>
  <si>
    <t>Milk 0.75 or 3 quarter/L  - ½ lemon 0.5 or 1 half/halves</t>
  </si>
  <si>
    <t>Leche 0,75 o 3 cuartos/L  - ½ limón 0,5 o 1 medio(s)</t>
  </si>
  <si>
    <t>⑦ g.kg.L.dl.cl.ml  Paste one unit of your choice</t>
  </si>
  <si>
    <t>⑦ g.kg.L.dl.cl.ml  Pegue una unidad a elección</t>
  </si>
  <si>
    <t>parce que la Col.18 s'en sert pour conversion en g</t>
  </si>
  <si>
    <t>les Col.de 12 à 18 sont réservées aux volumes</t>
  </si>
  <si>
    <t>1 demi part -</t>
  </si>
  <si>
    <t xml:space="preserve"> Your weights with coef.</t>
  </si>
  <si>
    <t xml:space="preserve"> Sus pesos con coef.</t>
  </si>
  <si>
    <t xml:space="preserve"> Your gross weights and volumes with coef.</t>
  </si>
  <si>
    <t xml:space="preserve"> Sus pesos y volúmenes brutos con coef.</t>
  </si>
  <si>
    <t xml:space="preserve"> % Loss</t>
  </si>
  <si>
    <t xml:space="preserve"> % Merma</t>
  </si>
  <si>
    <t xml:space="preserve"> Your net weights and volumes with coef.</t>
  </si>
  <si>
    <t xml:space="preserve"> Sus pesos y volúmenes netos con coef.</t>
  </si>
  <si>
    <t>Vous pouvez également saisir la valeur 0 zéro pour un aliment allergène selon convives</t>
  </si>
  <si>
    <t>ou supprimer un ingrédient piment ou autres par exemple</t>
  </si>
  <si>
    <t>◄  Si la colonne 11 est rouge, collez la "gomme"</t>
  </si>
  <si>
    <t>◄  If column 11 is red, paste the “eraser”</t>
  </si>
  <si>
    <t>◄  Si la columna 11 está en rojo, pegue la “goma”</t>
  </si>
  <si>
    <t xml:space="preserve"> then delete the word “eraser.” and enter a number</t>
  </si>
  <si>
    <t xml:space="preserve"> luego borre la palabra “goma.” e introduzca un número</t>
  </si>
  <si>
    <t>cette colonne vous permet de comparer les recettes .</t>
  </si>
  <si>
    <t>en fonction de vos convives vous estimez cette recette pour combien</t>
  </si>
  <si>
    <t>▲  This first value is the one Excel will use</t>
  </si>
  <si>
    <t>▲  Este primer valor es el que usará Excel</t>
  </si>
  <si>
    <t xml:space="preserve"> Optional Reference product</t>
  </si>
  <si>
    <t xml:space="preserve"> Opcional Producto de referencia</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</si>
  <si>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</si>
  <si>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</si>
  <si>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 xml:space="preserve"> A duplicar para</t>
  </si>
  <si>
    <t>à vous de saisir la quantité</t>
  </si>
  <si>
    <t>▲  It’s the value entered in this cell that Excel will use to duplicate the recipe</t>
  </si>
  <si>
    <t>▲  Es el valor introducido en esta celda el que Excel usará para duplicar la receta</t>
  </si>
  <si>
    <t xml:space="preserve"> Price</t>
  </si>
  <si>
    <t xml:space="preserve"> Precio</t>
  </si>
  <si>
    <t xml:space="preserve">  % Loss</t>
  </si>
  <si>
    <t xml:space="preserve">  % Merma</t>
  </si>
  <si>
    <t>⓬  ▼ PHASES DE PROGRESSION</t>
  </si>
  <si>
    <t>⓬  ▼ PROGRESSION PHASES</t>
  </si>
  <si>
    <t>⓬  ▼ FASES DE PROGRESIÓN</t>
  </si>
  <si>
    <t>&lt; Contenant</t>
  </si>
  <si>
    <t>Quantité p.p. au choix ou les deux</t>
  </si>
  <si>
    <t xml:space="preserve"> What? Enter Pieces - slices - portions - pieces - cherries etc.</t>
  </si>
  <si>
    <t xml:space="preserve"> ¿Qué? Introduzca Trozos - rebanadas - raciones - piezas - cerezas etc.</t>
  </si>
  <si>
    <t>note Maxi par critère = 3   DÉVELOPPEMENT ET AMÉLIORATION DES RECETTES</t>
  </si>
  <si>
    <t>Max score per criterion = 3   RECIPE DEVELOPMENT AND IMPROVEMENT</t>
  </si>
  <si>
    <t>Nota máxima por criterio = 3   DESARROLLO Y MEJORA DE LAS RECETAS</t>
  </si>
  <si>
    <t>TOTAL maxi à atteindre</t>
  </si>
  <si>
    <t>Rating: Good (3), Medium (2), Unsatisfactory (1) on  points.</t>
  </si>
  <si>
    <t>Valoración: Bien (3), Medio (2), No satisfactorio (1) sobre  puntos.</t>
  </si>
  <si>
    <t>ETC……..</t>
  </si>
  <si>
    <t xml:space="preserve">Master recipe ► </t>
  </si>
  <si>
    <t>MILLE-FEUILLE with meringue and grapefruit chiboust with wild strawberries</t>
  </si>
  <si>
    <t>circuit.1.2.5</t>
  </si>
  <si>
    <t>You can repurpose the Coefficient column by increasing or decreasing the value.</t>
  </si>
  <si>
    <t>I intentionally wrote “Postit”; the other version is a registered trademark.</t>
  </si>
  <si>
    <t>He escrito “Postit” deliberadamente; la otra versión es una marca registrada.</t>
  </si>
  <si>
    <t>j’ai saisi "Postit" volontairement l'autre version est une marque déposée</t>
  </si>
  <si>
    <t>Receta madre ►</t>
  </si>
  <si>
    <t xml:space="preserve"> MILHOJAS con merengue y chiboust de pomelo con fresas del bosque</t>
  </si>
  <si>
    <t>Puede reutilizar la columna Coeficiente aumentando o disminuyendo el valor</t>
  </si>
  <si>
    <t>Cuánto pierde 1 kg de producto en pelado o despiece — en acondicionamiento, etc.?</t>
  </si>
  <si>
    <t>podemos servirla a todos nuestros clientes?</t>
  </si>
  <si>
    <t>③  Foodstuffs</t>
  </si>
  <si>
    <t>③  Géneros</t>
  </si>
  <si>
    <t>📝 Modo de empleo del Postit — adaptación según modelo</t>
  </si>
  <si>
    <t>📝 Instructions for the Postit — adapt according to template</t>
  </si>
  <si>
    <t>📝 Mode d'emploi du Postit adaptation selon modèle</t>
  </si>
  <si>
    <t>half</t>
  </si>
  <si>
    <t>medio</t>
  </si>
  <si>
    <t>quarter</t>
  </si>
  <si>
    <t>cuarto</t>
  </si>
  <si>
    <t>third</t>
  </si>
  <si>
    <t>tercio</t>
  </si>
  <si>
    <t>quarter(s) kg</t>
  </si>
  <si>
    <t>cuarto(s) kg</t>
  </si>
  <si>
    <t>half/halves kg</t>
  </si>
  <si>
    <t>medio(s) kg</t>
  </si>
  <si>
    <t>third(s) kg</t>
  </si>
  <si>
    <t>tercio(s) kg</t>
  </si>
  <si>
    <t>▲ ⓯ What? Servings – tart – place settings or container</t>
  </si>
  <si>
    <t>▲ ⓯ Qué? Porciones – tarta – cubiertos o recipiente</t>
  </si>
  <si>
    <t>…but generally keep the same title as the Author’s What.</t>
  </si>
  <si>
    <t>…pero en general usa el mismo título que el Qué del Autor.</t>
  </si>
  <si>
    <t>quarter/L</t>
  </si>
  <si>
    <t>cuarto/L</t>
  </si>
  <si>
    <t>half/L</t>
  </si>
  <si>
    <t>medio/L</t>
  </si>
  <si>
    <t>tenth/L</t>
  </si>
  <si>
    <t>décimo/L</t>
  </si>
  <si>
    <t>third/L</t>
  </si>
  <si>
    <t>tercio/L</t>
  </si>
  <si>
    <t>fifth/L</t>
  </si>
  <si>
    <t>quinto/L</t>
  </si>
  <si>
    <t>Glass(es)</t>
  </si>
  <si>
    <t>Vaso(s)</t>
  </si>
  <si>
    <t>1/2 cup</t>
  </si>
  <si>
    <t>1/2 taza</t>
  </si>
  <si>
    <t>Taza(s)</t>
  </si>
  <si>
    <t>Do not confuse price per kg with price per piece.</t>
  </si>
  <si>
    <t>Teacup(s)</t>
  </si>
  <si>
    <t>Taza(s) de té</t>
  </si>
  <si>
    <t>Bowl(s)</t>
  </si>
  <si>
    <t>Bol(es)</t>
  </si>
  <si>
    <t>onza (oz)</t>
  </si>
  <si>
    <t>./2 fluid ounce</t>
  </si>
  <si>
    <t>./2 onza líquida</t>
  </si>
  <si>
    <t>(fluid cup)</t>
  </si>
  <si>
    <t>./2 Taza(s)</t>
  </si>
  <si>
    <t>./4 Taza(s)</t>
  </si>
  <si>
    <t>Cup(s).butter</t>
  </si>
  <si>
    <t>Taza(s).mantequilla</t>
  </si>
  <si>
    <t>1. Sélectionnez la ou les colonnes que vous voulez masquer (clic gauche sur les lettres de colonnes).</t>
  </si>
  <si>
    <t>Cup(s).flour</t>
  </si>
  <si>
    <t>Taza(s).harina</t>
  </si>
  <si>
    <t>2. Clic droit sur une des colonnes sélectionnées.</t>
  </si>
  <si>
    <t>Cup(s).sugar</t>
  </si>
  <si>
    <t>Taza(s).azúcar</t>
  </si>
  <si>
    <t>3. Choisissez "Masquer" dans le menu contextuel.</t>
  </si>
  <si>
    <t>Gota(s)</t>
  </si>
  <si>
    <t>4. Pour les réafficher, sélectionnez les colonnes adjacentes, clic droit → "Afficher".</t>
  </si>
  <si>
    <t>scoop(s)</t>
  </si>
  <si>
    <t>cucharón</t>
  </si>
  <si>
    <t>Splash(es</t>
  </si>
  <si>
    <t>Chorrito(s)</t>
  </si>
  <si>
    <t>chupito(s)</t>
  </si>
  <si>
    <t>È (capital E with grave) = Alt + 0200</t>
  </si>
  <si>
    <t>É (capital E with acute) = Alt + 0201</t>
  </si>
  <si>
    <t>È (E mayúscula con acento grave) = Alt + 0200</t>
  </si>
  <si>
    <t>É (E mayúscula con acento agudo) = Alt + 0201</t>
  </si>
  <si>
    <t>Taza(s) grande</t>
  </si>
  <si>
    <t>À (capital A with grave) = Alt + 0192</t>
  </si>
  <si>
    <t>Ç (capital C with cedilla) = Alt + 0199</t>
  </si>
  <si>
    <t>À (A mayúscula con acento grave) = Alt + 0192</t>
  </si>
  <si>
    <t>Ç (C mayúscula con cedilla) = Alt + 0199</t>
  </si>
  <si>
    <t>./2 pint(s)</t>
  </si>
  <si>
    <t>./2 pinta(s)</t>
  </si>
  <si>
    <t>Ù (capital U with grave) = Alt + 0217</t>
  </si>
  <si>
    <t>Ù (U mayúscula con acento grave) = Alt + 0217</t>
  </si>
  <si>
    <t>pinta (pt)</t>
  </si>
  <si>
    <t>Pint (US)</t>
  </si>
  <si>
    <t>Pinta (EE. UU.)</t>
  </si>
  <si>
    <t>Pint (UK)</t>
  </si>
  <si>
    <t>Pinta (Reino Unido)</t>
  </si>
  <si>
    <t>cuarto (qt)</t>
  </si>
  <si>
    <t>galón (gal)</t>
  </si>
  <si>
    <t>Onza (fl oz EE. UU.)</t>
  </si>
  <si>
    <t>The Bar model typically involves only 5 to 6 products or ingredients.</t>
  </si>
  <si>
    <t>El modelo Bar suele utilizar entre 5 y 6 productos o ingredientes.</t>
  </si>
  <si>
    <t>les valeurs sont en Kg. Exemple = 1L =  1 Kg d'eau - 1 g = 0.001 Kg</t>
  </si>
  <si>
    <t>IDENTIFICATION  DES CADRES ET DES "POSTITS" RECETTES  le tiret  - ou le double  --  du 6 sert,servent de séparateur(s) pour la formule d'extraction</t>
  </si>
  <si>
    <t>Dernière mise à jour : 6 Octobre 2025</t>
  </si>
  <si>
    <t>FAMILLE--Identité</t>
  </si>
  <si>
    <t>F -A (Unité)</t>
  </si>
  <si>
    <t>EN - A (Unité)</t>
  </si>
  <si>
    <t>ES - A (Unité)</t>
  </si>
  <si>
    <t>Row height 21 21</t>
  </si>
  <si>
    <t>kg of guinea</t>
  </si>
  <si>
    <t>empty</t>
  </si>
  <si>
    <t>teaspoon(s)</t>
  </si>
  <si>
    <t>tea spoon(s)</t>
  </si>
  <si>
    <t>tablespoon(s)</t>
  </si>
  <si>
    <t>Dash(es</t>
  </si>
  <si>
    <t>▲ Lookup table: Col.6 to Col.11 are reserved for weights (Kg)</t>
  </si>
  <si>
    <t>Do not translate =</t>
  </si>
  <si>
    <t>kg magra de pintada</t>
  </si>
  <si>
    <t>vacío</t>
  </si>
  <si>
    <t>Taza.líquido</t>
  </si>
  <si>
    <t>cucharadita(s)</t>
  </si>
  <si>
    <t>cucharilla(s) de té</t>
  </si>
  <si>
    <t>cucharada(s) (sopera)</t>
  </si>
  <si>
    <t>▲ Tabla de búsqueda: de la Col.6 a la Col.11 están reservadas para los pesos (Kg)</t>
  </si>
  <si>
    <t>persona</t>
  </si>
  <si>
    <t>tajadas</t>
  </si>
  <si>
    <t xml:space="preserve"> &lt; largeurs conseillées</t>
  </si>
  <si>
    <t>STRUCTURED WORK ORGANIZATION</t>
  </si>
  <si>
    <t>check goods – quality – quantity – temperatures</t>
  </si>
  <si>
    <t>check use-by dates (DLC) – record lot/batch numbers or keep labels</t>
  </si>
  <si>
    <t>disinfect pouches/trays/boxes before opening</t>
  </si>
  <si>
    <t>wash vegetables and fruits before use</t>
  </si>
  <si>
    <t>drain in perforated trays if needed</t>
  </si>
  <si>
    <t>defrost in perforated trays + label with defrost date</t>
  </si>
  <si>
    <t>cook and blast-chill before assembly</t>
  </si>
  <si>
    <t>slice – cut – mince according to protocols</t>
  </si>
  <si>
    <t>prepare seasoning or sauce; assemble</t>
  </si>
  <si>
    <t>taste and check seasoning – plate – garnish</t>
  </si>
  <si>
    <t>pack and label with use-by date</t>
  </si>
  <si>
    <t>keep a retention/sample dish</t>
  </si>
  <si>
    <t>store in cold room</t>
  </si>
  <si>
    <t>Professional use of these recipes requires knowledge of hygiene regulations and HACCP.</t>
  </si>
  <si>
    <t>QUALITY APPROACH – RECIPE DEVELOPMENT &amp; IMPROVEMENT</t>
  </si>
  <si>
    <t>Original recipe description</t>
  </si>
  <si>
    <t>First impressions (products–technique–cost): what should be adjusted—can we serve it to all customers—etc.</t>
  </si>
  <si>
    <t>Modifications – adaptations – tips and suggestions:</t>
  </si>
  <si>
    <t>Trim excess fat from the meat, pat it dry, and rub with seasoning or herbs of your choice. Roast on a rack or on a coarse-cut raw vegetable mirepoix that lets air circulate around the meat. Once cooked, the mirepoix adds great flavor to any sauce made from the roasting juices.</t>
  </si>
  <si>
    <t>Container: enter GN pan(s) 1/1 – rack(s) – dish(es) – ladle(s), etc.</t>
  </si>
  <si>
    <t>max score per criterion = 3 – RECIPE DEVELOPMENT &amp; IMPROVEMENT</t>
  </si>
  <si>
    <t>TASTE / FLAVOR</t>
  </si>
  <si>
    <t>TEMPERATURE</t>
  </si>
  <si>
    <t>QUALITY</t>
  </si>
  <si>
    <t>VARIETY</t>
  </si>
  <si>
    <t>ORIGINALITY</t>
  </si>
  <si>
    <t>TOTAL achieved</t>
  </si>
  <si>
    <t>MAX total possible</t>
  </si>
  <si>
    <t>The products or the recipe are/is:</t>
  </si>
  <si>
    <t>TASTE</t>
  </si>
  <si>
    <t>needs improvement</t>
  </si>
  <si>
    <t>VISUAL</t>
  </si>
  <si>
    <t>GOOD</t>
  </si>
  <si>
    <t>Accepted</t>
  </si>
  <si>
    <t>Partial or total rejection</t>
  </si>
  <si>
    <t>Rating: Good (3), Average (2), Unsatisfactory (1) out of  points.</t>
  </si>
  <si>
    <t>Flavor: salty – sweet – bitter – sour – metallic – strong – tart – acrid – bland – natural</t>
  </si>
  <si>
    <t>Texture: tender – melting – soft – natural – grainy – fibrous – stringy – floury – gelatinous – crispy</t>
  </si>
  <si>
    <t>Cooking: underdone – good – overcooked – to review – Weights – % losses before/after cooking – Cooking method, etc.</t>
  </si>
  <si>
    <t>Container</t>
  </si>
  <si>
    <t>Time</t>
  </si>
  <si>
    <t>Temperature</t>
  </si>
  <si>
    <t>% Humidity</t>
  </si>
  <si>
    <t>Operating mode</t>
  </si>
  <si>
    <t>GN 1/1 pan</t>
  </si>
  <si>
    <t>GN 2/1 racks</t>
  </si>
  <si>
    <t>Convection (fan-forced)</t>
  </si>
  <si>
    <t>Combi (mixed)</t>
  </si>
  <si>
    <t>Preheating</t>
  </si>
  <si>
    <t>Cooking 1</t>
  </si>
  <si>
    <t>Cooking 2</t>
  </si>
  <si>
    <t>Banquet regeneration (reheating)</t>
  </si>
  <si>
    <t>⓬ ▼ PROGRESSION PHASES</t>
  </si>
  <si>
    <t>Cook time</t>
  </si>
  <si>
    <t>Cooling</t>
  </si>
  <si>
    <t>Cooking temperature</t>
  </si>
  <si>
    <t>Core temperature</t>
  </si>
  <si>
    <t>Cost: 1* budget – 4**** premium</t>
  </si>
  <si>
    <t>CALCULATE YOUR NET WEIGHTS</t>
  </si>
  <si>
    <t>Base weight (no coefficient)</t>
  </si>
  <si>
    <t>⑦ g – kg – L – dl – cl – ml</t>
  </si>
  <si>
    <t>⑫ % Loss</t>
  </si>
  <si>
    <t>Net weight</t>
  </si>
  <si>
    <t>Paste a unit in column ⑦</t>
  </si>
  <si>
    <t>Lean wild duck</t>
  </si>
  <si>
    <t>cooking juices</t>
  </si>
  <si>
    <t>⑥ adjust the decimals</t>
  </si>
  <si>
    <t>Equipment</t>
  </si>
  <si>
    <t>Tips</t>
  </si>
  <si>
    <t>sauté pan</t>
  </si>
  <si>
    <t>oven</t>
  </si>
  <si>
    <t>browning meat</t>
  </si>
  <si>
    <t>Operating mode &gt;</t>
  </si>
  <si>
    <t>dry heat</t>
  </si>
  <si>
    <t>preheating</t>
  </si>
  <si>
    <t>sear the meat</t>
  </si>
  <si>
    <t>cook meat to a core temperature of 95–97 °C</t>
  </si>
  <si>
    <t>steam</t>
  </si>
  <si>
    <t>combi (mixed)</t>
  </si>
  <si>
    <t>Core (temp)</t>
  </si>
  <si>
    <t>mise en place (prep)</t>
  </si>
  <si>
    <t>unpacking</t>
  </si>
  <si>
    <t>vegetable prep</t>
  </si>
  <si>
    <t>tray-up</t>
  </si>
  <si>
    <t>browning</t>
  </si>
  <si>
    <t>cooking</t>
  </si>
  <si>
    <t>sauce reduction</t>
  </si>
  <si>
    <t>packing</t>
  </si>
  <si>
    <t>cooling to target temperature</t>
  </si>
  <si>
    <t>Hot service (hot holding)</t>
  </si>
  <si>
    <t>Cold chain (chilled holding)</t>
  </si>
  <si>
    <t>in 1 container ▼</t>
  </si>
  <si>
    <t>Your quantities &gt;</t>
  </si>
  <si>
    <t>GN pan</t>
  </si>
  <si>
    <t>&lt; Author planned equipment for</t>
  </si>
  <si>
    <t>GN 2/1 in polycarbonate</t>
  </si>
  <si>
    <t>GN 2/1 pan H100 stainless, solid</t>
  </si>
  <si>
    <t>GN 2/1 pan H65 stainless, solid</t>
  </si>
  <si>
    <t>GN 1/1 pan H100 stainless, solid</t>
  </si>
  <si>
    <t>GN 1/1 pan H65 stainless, solid</t>
  </si>
  <si>
    <t>GN capacities – GN 1/1 H65 stainless, solid</t>
  </si>
  <si>
    <t>Chicken 4/4: 12 RAW thighs</t>
  </si>
  <si>
    <t>Chicken 4/4: 24 small COOKED thighs</t>
  </si>
  <si>
    <t>25 cooked poultry escallops, 120 g</t>
  </si>
  <si>
    <t>Sliced meat, 60 slices</t>
  </si>
  <si>
    <t>25 turkey paupiettes, 120 g</t>
  </si>
  <si>
    <t>20 stuffed tomatoes</t>
  </si>
  <si>
    <t>7.2 kg tartiflette</t>
  </si>
  <si>
    <t>4 kg salt-cod brandade</t>
  </si>
  <si>
    <t>3 kg diced stew meat</t>
  </si>
  <si>
    <t>NUMBER OF PORTIONS &amp; PORTION WEIGHTS</t>
  </si>
  <si>
    <t>Families</t>
  </si>
  <si>
    <t>Preschool – M</t>
  </si>
  <si>
    <t>Primary – P</t>
  </si>
  <si>
    <t>Teenagers – Ado</t>
  </si>
  <si>
    <t>Adults – A</t>
  </si>
  <si>
    <t>Older adults – A+</t>
  </si>
  <si>
    <t>◄ Portion weights</t>
  </si>
  <si>
    <t>◄ Number of covers</t>
  </si>
  <si>
    <t>Portion weights</t>
  </si>
  <si>
    <t>enter your values in yellow cells</t>
  </si>
  <si>
    <t>PACKAGING / PORTIONING</t>
  </si>
  <si>
    <t>Enter headcount – quantity per person – item – quantity per container and container type</t>
  </si>
  <si>
    <t>Headcount</t>
  </si>
  <si>
    <t>Quantity p.p.</t>
  </si>
  <si>
    <t>Item</t>
  </si>
  <si>
    <t>per portion</t>
  </si>
  <si>
    <t>Plate(s)</t>
  </si>
  <si>
    <t>container may be a GN pan – a dish – a ladle – a tray, etc.</t>
  </si>
  <si>
    <t>UTILITIES</t>
  </si>
  <si>
    <t>GROSS WEIGHT</t>
  </si>
  <si>
    <t>NET WEIGHT</t>
  </si>
  <si>
    <t>Weight loss</t>
  </si>
  <si>
    <t>% loss</t>
  </si>
  <si>
    <t>% LOSS</t>
  </si>
  <si>
    <t>PURCHASE PRICE</t>
  </si>
  <si>
    <t>SELLING PRICE</t>
  </si>
  <si>
    <t>Increase</t>
  </si>
  <si>
    <t>% increase</t>
  </si>
  <si>
    <t>Cell AQUÍ</t>
  </si>
  <si>
    <t>sustituir; pegue complementos si los necesita</t>
  </si>
  <si>
    <t>controlar las mercancías – calidad – cantidad – temperaturas</t>
  </si>
  <si>
    <t>verificar las fechas de caducidad – anotar nº de lote o conservar las etiquetas</t>
  </si>
  <si>
    <t>desinfectar bolsas – bolsas al vacío – barquetas – cajas antes de abrir</t>
  </si>
  <si>
    <t>lavar verduras y frutas antes de usar</t>
  </si>
  <si>
    <t>escurrir en bandejas perforadas si es necesario</t>
  </si>
  <si>
    <t>descongelar en bandejas perforadas + etiquetar con la fecha de descongelación</t>
  </si>
  <si>
    <t>cocinar y abatir en célula antes del montaje</t>
  </si>
  <si>
    <t>lonchear – cortar – picar respetando los protocolos</t>
  </si>
  <si>
    <t>preparar el aliño o la salsa; montar</t>
  </si>
  <si>
    <t>probar y verificar el sazonado – emplatar – decorar</t>
  </si>
  <si>
    <t>envasar y etiquetar con fecha de caducidad</t>
  </si>
  <si>
    <t>conservar un plato testigo</t>
  </si>
  <si>
    <t>almacenar en cámara frigorífica</t>
  </si>
  <si>
    <t>El uso profesional de estas recetas implica conocer la normativa de higiene y APPCC.</t>
  </si>
  <si>
    <t>ENFOQUE DE CALIDAD – DESARROLLO Y MEJORA DE RECETAS</t>
  </si>
  <si>
    <t>Primeras impresiones (productos–técnica–precio): qué hay que modificar—¿podemos servirla a todos los clientes?—etc.</t>
  </si>
  <si>
    <t>Modificaciones – adaptaciones – consejos y sugerencias:</t>
  </si>
  <si>
    <t>Retire el exceso de grasa de la carne, séquela y frótela con el sazonado o las hierbas que prefiera. Ásela sobre una rejilla o sobre una mirepoix de verduras crudas cortadas en trozos grandes que permita la circulación del aire alrededor de la carne. Una vez cocida, la mirepoix aporta un sabor excelente a cualquier salsa elaborada con los jugos de asado.</t>
  </si>
  <si>
    <t>Contenedor: introduzca bandeja GN 1/1 – rejilla(s) – fuente(s) – cazo(s), etc.</t>
  </si>
  <si>
    <t>puntuación máxima por criterio = 3 – DESARROLLO Y MEJORA DE RECETAS</t>
  </si>
  <si>
    <t>GUSTATIVO / SABOR</t>
  </si>
  <si>
    <t>TEMPERATURA</t>
  </si>
  <si>
    <t>CALIDAD</t>
  </si>
  <si>
    <t>VARIEDAD</t>
  </si>
  <si>
    <t>ORIGINALIDAD</t>
  </si>
  <si>
    <t>TOTAL máximo posible</t>
  </si>
  <si>
    <t>GUSTATIVO</t>
  </si>
  <si>
    <t>a mejorar</t>
  </si>
  <si>
    <t>Aceptado</t>
  </si>
  <si>
    <t>Valoración: Bueno (3), Medio (2), No satisfactorio (1) sobre  puntos.</t>
  </si>
  <si>
    <t>Entrante</t>
  </si>
  <si>
    <t>Plato principal</t>
  </si>
  <si>
    <t>Sabor: salado – dulce – amargo – ácido – metálico – intenso – agrio – acre – soso – natural</t>
  </si>
  <si>
    <t>Textura: tierno – fundente – suave – natural – granuloso – fibroso – correoso – harinoso – gelatinoso – crujiente</t>
  </si>
  <si>
    <t>Cocción: poco hecho – bien – pasado – a revisar – Gramajes – % pérdidas antes/después de la cocción – Método de cocción, etc.</t>
  </si>
  <si>
    <t>Contenedor</t>
  </si>
  <si>
    <t>Tiempo</t>
  </si>
  <si>
    <t>Temperatura</t>
  </si>
  <si>
    <t>% Humedad</t>
  </si>
  <si>
    <t>Modo</t>
  </si>
  <si>
    <t>Modo de funcionamiento</t>
  </si>
  <si>
    <t>Bandeja GN 1/1</t>
  </si>
  <si>
    <t>Rejillas GN 2/1</t>
  </si>
  <si>
    <t>Convección (aire forzado)</t>
  </si>
  <si>
    <t>Combi (mixto)</t>
  </si>
  <si>
    <t>Precalentamiento</t>
  </si>
  <si>
    <t>Cocción 1</t>
  </si>
  <si>
    <t>Cocción 2</t>
  </si>
  <si>
    <t>Regeneración para banquete (retermalización)</t>
  </si>
  <si>
    <t>Enfriamiento</t>
  </si>
  <si>
    <t>Temperatura de cocción</t>
  </si>
  <si>
    <t>Temperatura en el corazón (núcleo)</t>
  </si>
  <si>
    <t>Coste: 1* económico – 4**** premium</t>
  </si>
  <si>
    <t>CALCULE SUS PESOS NETOS</t>
  </si>
  <si>
    <t>Peso base (sin coeficiente)</t>
  </si>
  <si>
    <t>⑫ % Merma</t>
  </si>
  <si>
    <t>Peso neto</t>
  </si>
  <si>
    <t>Pegue una unidad en la columna ⑦</t>
  </si>
  <si>
    <t>Magro de pato salvaje</t>
  </si>
  <si>
    <t>Magro de cerdo</t>
  </si>
  <si>
    <t>jugos de cocción</t>
  </si>
  <si>
    <t>⑥ ajuste los decimales</t>
  </si>
  <si>
    <t>Equipos</t>
  </si>
  <si>
    <t>Acción</t>
  </si>
  <si>
    <t>sauté (sartén alta)</t>
  </si>
  <si>
    <t>horno</t>
  </si>
  <si>
    <t>dorado de carne</t>
  </si>
  <si>
    <t>Modo de funcionamiento &gt;</t>
  </si>
  <si>
    <t>calor seco</t>
  </si>
  <si>
    <t>precalentamiento</t>
  </si>
  <si>
    <t>sellar la carne</t>
  </si>
  <si>
    <t>cocinar la carne a una temperatura en el corazón de 95–97 °C</t>
  </si>
  <si>
    <t>vapor</t>
  </si>
  <si>
    <t>combi (mixto)</t>
  </si>
  <si>
    <t>mise en place (preparación)</t>
  </si>
  <si>
    <t>desembalaje</t>
  </si>
  <si>
    <t>zona de verduras (preparación)</t>
  </si>
  <si>
    <t>bandejado</t>
  </si>
  <si>
    <t>dorado</t>
  </si>
  <si>
    <t>cocción</t>
  </si>
  <si>
    <t>reducción de salsa</t>
  </si>
  <si>
    <t>envasado</t>
  </si>
  <si>
    <t>enfriamiento a temperatura objetivo</t>
  </si>
  <si>
    <t>Servicio en caliente (mantenimiento)</t>
  </si>
  <si>
    <t>Cadena de frío (mantenimiento)</t>
  </si>
  <si>
    <t>en 1 contenedor ▼</t>
  </si>
  <si>
    <t>Sus cantidades &gt;</t>
  </si>
  <si>
    <t>Bandeja GN</t>
  </si>
  <si>
    <t>raciones</t>
  </si>
  <si>
    <t>&lt; El autor previó material para</t>
  </si>
  <si>
    <t>Material</t>
  </si>
  <si>
    <t>GN 2/1 en policarbonato</t>
  </si>
  <si>
    <t>bandeja GN 2/1 H100 inox lisa</t>
  </si>
  <si>
    <t>bandeja GN 2/1 H65 inox lisa</t>
  </si>
  <si>
    <t>bandeja GN 1/1 H100 inox lisa</t>
  </si>
  <si>
    <t>bandeja GN 1/1 H65 inox lisa</t>
  </si>
  <si>
    <t>Capacidades GN – GN 1/1 H65 inox lisa</t>
  </si>
  <si>
    <t>Pollo 4/4: 12 muslos CRUDOS</t>
  </si>
  <si>
    <t>Pollo 4/4: 24 muslos pequeños COCIDOS</t>
  </si>
  <si>
    <t>25 escalopes de ave cocidos, 120 g</t>
  </si>
  <si>
    <t>Carne en lonchas, 60 lonchas</t>
  </si>
  <si>
    <t>25 rollitos de pavo, 120 g</t>
  </si>
  <si>
    <t>20 tomates rellenos</t>
  </si>
  <si>
    <t>7,2 kg tartiflette</t>
  </si>
  <si>
    <t>4 kg brandada de bacalao</t>
  </si>
  <si>
    <t>3 kg estofado en trozos</t>
  </si>
  <si>
    <t>NÚMERO DE RACIONES Y GRAMAJES POR RACIÓN</t>
  </si>
  <si>
    <t>Familias</t>
  </si>
  <si>
    <t>Infantil (Maternales) – M</t>
  </si>
  <si>
    <t>Primaria – P</t>
  </si>
  <si>
    <t>Adolescentes – Ado</t>
  </si>
  <si>
    <t>Adultos – A</t>
  </si>
  <si>
    <t>Adultos + – A+</t>
  </si>
  <si>
    <t>◄ Gramajes por ración</t>
  </si>
  <si>
    <t>Número de raciones (resultados redondeados)</t>
  </si>
  <si>
    <t>◄ Nº de cubiertos</t>
  </si>
  <si>
    <t>Gramajes por ración</t>
  </si>
  <si>
    <t>introduzca sus valores en las celdas amarillas</t>
  </si>
  <si>
    <t>ENVASADO / RACIONADO</t>
  </si>
  <si>
    <t>Introduzca efectivos – cantidad p.p. – ítem – cantidad por contenedor y tipo de contenedor</t>
  </si>
  <si>
    <t>Efectivos</t>
  </si>
  <si>
    <t>Cantidad p.p.</t>
  </si>
  <si>
    <t>Ítem</t>
  </si>
  <si>
    <t>magdalena(s)</t>
  </si>
  <si>
    <t>por ración</t>
  </si>
  <si>
    <t>por plato(s)</t>
  </si>
  <si>
    <t>Plato(s)</t>
  </si>
  <si>
    <t>el contenedor puede ser una bandeja GN – una fuente – un cazo – una barqueta, etc.</t>
  </si>
  <si>
    <t>UTILIDADES</t>
  </si>
  <si>
    <t>PESO BRUTO</t>
  </si>
  <si>
    <t>PESO NETO</t>
  </si>
  <si>
    <t>Peso de merma</t>
  </si>
  <si>
    <t>% de merma</t>
  </si>
  <si>
    <t>% DE MERMA</t>
  </si>
  <si>
    <t>PRECIO DE COMPRA</t>
  </si>
  <si>
    <t>PRECIO DE VENTA</t>
  </si>
  <si>
    <t>Incremento</t>
  </si>
  <si>
    <t>% de incremento</t>
  </si>
  <si>
    <t>EQUIPMENT LIST AND SETUP</t>
  </si>
  <si>
    <t>Qué? Introduzca trozos – lonchas – raciones – piezas – cerezas, etc.</t>
  </si>
  <si>
    <t>LISTA Y PUESTA A PUNTO DEL EQUIPO</t>
  </si>
  <si>
    <t>maigre de pintade</t>
  </si>
  <si>
    <t>maigre de porc</t>
  </si>
  <si>
    <t>Excel regional settings: for decimals, use either a period (.) or a comma (,).</t>
  </si>
  <si>
    <t>Title block: placeholder for the title and control cells, located at the top of the document.</t>
  </si>
  <si>
    <t>Configuración regional de Excel: para los decimales, use un punto (.) o una coma (,).</t>
  </si>
  <si>
    <t>Bloque de título: espacio reservado para el título y las celdas de control, situado en la parte superior del documento.</t>
  </si>
  <si>
    <t>IMPORTANT :</t>
  </si>
  <si>
    <t>IMPORTANTE:</t>
  </si>
  <si>
    <t>Col. 15 — keep the RECHERCHEX function (and its text) used for the directories/lookup lists to work, and keep the literal text "Adresse PC" at the bottom of the sheet.</t>
  </si>
  <si>
    <t>Col. 15 — conservar la función "RECHERCHEX" y el texto «Adresse PC», utilizados para el funcionamiento de los directorios.</t>
  </si>
  <si>
    <t xml:space="preserve"> Col.15 conserver le texte de la fonction " RECHERCHEX" utilisé pour le fonctionnement des répertoires et le texte " Adresse PC " en bas de fiche</t>
  </si>
  <si>
    <t>No traduzca estos textos =</t>
  </si>
  <si>
    <t>y «RECHERCHEX» col.15 se utiliza en una fórmula de búsqueda para el directorio.</t>
  </si>
  <si>
    <t>and "RECHERCHEX" col.15 this text; it is used in a search formula for the directory.</t>
  </si>
  <si>
    <t>et le texte "RECHERCHEX" col15 sont utilisés pour le fonctionnement des fiches répertoire</t>
  </si>
  <si>
    <t>Col.40</t>
  </si>
  <si>
    <t>Col.31-35 = L ou kg = réponse en Litre(s) et équivalence en Kg si vous pesez vos liquides</t>
  </si>
  <si>
    <t>Col.31-35 = L or kg = answer in liter(s) and the equivalent in kg if you weigh your liquids</t>
  </si>
  <si>
    <t>Col.31-35 = L o kg = respuesta en litro(s) y equivalencia en kg si pesas tus líquidos</t>
  </si>
  <si>
    <t>test</t>
  </si>
  <si>
    <t>FR .  Pour que les formules renvoient le bon résultat, le texte doit être strictement identique entre le tableau de recherche et les « Post-it ». Un espace en trop, un accent ou une parenthèse manquants suffisent à faire échouer la correspondance. Utilisez le copier/coller depuis la source pour éviter toute erreur.</t>
  </si>
  <si>
    <t>EN .  For formulas to return the correct result, the text must match exactly between the lookup table and the “Post-its.” A single extra space, a missing accent, or a missing parenthesis is enough to break the match. Use copy/paste from the source to avoid errors.</t>
  </si>
  <si>
    <t>ES .  Para que las fórmulas devuelvan el resultado correcto, el texto debe ser estrictamente idéntico entre la tabla de búsqueda y los “post-it”. Un solo espacio de más, un acento o un paréntesis que falte bastan para que falle la coincidencia. Use copiar/pegar desde la fuente para evitar errores.</t>
  </si>
  <si>
    <t>paste it — FAMILY</t>
  </si>
  <si>
    <t>pegue esto — FAMILIA</t>
  </si>
  <si>
    <t>collez la--FAMILLE</t>
  </si>
  <si>
    <t>Les traductions (approximatives) ont été réalisées avec l’aide de ChatGPT. En revanche, les formules sont conçues pour Excel en français, version 2021 ou ultérieure.</t>
  </si>
  <si>
    <t>The (approximate) translations were done with ChatGPT’s help. However, the formulas are designed for Excel in French, version 2021 or later.</t>
  </si>
  <si>
    <t>Las traducciones (aproximadas) se realizaron con la ayuda de ChatGPT. Sin embargo, las fórmulas están diseñadas para Excel en francés, versión 2021 o posterior.</t>
  </si>
  <si>
    <t>Si vous remplacez la formule de la colonne 15 par une version sans RECHERCHEX, vous devrez adapter les formules des colonnes 20, 27 et 34 en conséquence dans la fiche Répertoire .</t>
  </si>
  <si>
    <t>Col.20 =SI(SUPPRESPACE(Q22)="Adresse PC";"▼ recette suivante";SI(AI22&gt;0;M22;""))</t>
  </si>
  <si>
    <t>Col.27 =SI(SUPPRESPACE(AE22)="▼ recette suivante";AE22;SI(AK22&gt;0;AN$9;0))</t>
  </si>
  <si>
    <t>Col.34 =SI(SUPPRESPACE(AE22)="▼ recette suivante";AE22;SI(AO22="";"";SI(ESTVIDE(AR22);AO22;ARRONDI(AO22*(1-MIN(1;MAX(0;SI(AR22&gt;1;AR22/100;AR22))));3))))</t>
  </si>
  <si>
    <t>If you replace the formula in column 15 with a version without RECHERCHEX, you’ll need to adjust the formulas in columns 20, 27, and 34 accordingly in the Directory sheet.</t>
  </si>
  <si>
    <t>Si sustituye la fórmula de la columna 15 por una versión sin RECHERCHEX, deberá adaptar en consecuencia las fórmulas de las columnas 20, 27 y 34 en la hoja Directorio (o “Répertoire” si mantiene el nombre en francés).</t>
  </si>
  <si>
    <t>Si vous remplacez la formule de la colonne 15 par une version sans "RECHERCHEX ", vous devrez adapter les formules des colonnes 20, 27 et 34 en conséquence dans la fiche Répertoire .</t>
  </si>
  <si>
    <t>RÉPERTOIRE    collez vos "postits"  ci-dessous et récupérez les pour crèer de nouvelles recettes</t>
  </si>
  <si>
    <t xml:space="preserve"> &lt; largeurs effectives</t>
  </si>
  <si>
    <t>NBVAL(A1:BG343) + NB.VIDE(A1:BG343)</t>
  </si>
  <si>
    <t>Each person can choose their own filing method: Example—PÂTE A CIGARETTES: file under P or under C?</t>
  </si>
  <si>
    <t xml:space="preserve">Date de mise à jour : 10 OCTOBRE 2025 </t>
  </si>
  <si>
    <t>CET AIDE MÉMOIRE  REGROUPE    X ? EXTRAITS de RECETTES DE ?                                    THIS MEMO GROUPS TOGETHER X ? EXCERPTS OF RECIPES FROM ?                                    ESTE RECORDATORIO REÚNE X ? EXTRACTOS DE RECETAS DE ?</t>
  </si>
  <si>
    <t>Cada quien puede elegir su modo de clasificación: Ejemplo—PÂTE A CIGARETTES: clasificar en P o en C?</t>
  </si>
  <si>
    <t>DIRECTORY — paste your “postits” below and retrieve them to create new recipes</t>
  </si>
  <si>
    <t>REPERTORIO — pegue sus “postits” abajo y recupérelos para crear nuevas recetas</t>
  </si>
  <si>
    <t>Cell HERE</t>
  </si>
  <si>
    <t>Nom de l'Auteur   Author Name    Nombre del autor</t>
  </si>
  <si>
    <t>Mille - feuille aux fraises des bois</t>
  </si>
  <si>
    <t>cassonade antillaise</t>
  </si>
  <si>
    <t>desserts</t>
  </si>
  <si>
    <t xml:space="preserve">◄ votre Contenant </t>
  </si>
  <si>
    <t>◄ yor Container</t>
  </si>
  <si>
    <t>PACKAGING   (example)</t>
  </si>
  <si>
    <t>ENVASADO   (ejemplo)</t>
  </si>
  <si>
    <t>CONDITIONNEMENT   (exemple)</t>
  </si>
  <si>
    <t>coupe</t>
  </si>
  <si>
    <t>coupes</t>
  </si>
  <si>
    <t>cuisine-SIDES</t>
  </si>
  <si>
    <t>cuisine-COMPOSED GREEN SALADS</t>
  </si>
  <si>
    <t>cuisine--COOKED VEGETABLES</t>
  </si>
  <si>
    <t>cuisine-PLATED DESSERT</t>
  </si>
  <si>
    <t>cuisine--STARTERS</t>
  </si>
  <si>
    <t>cuisine--ENTREMETS</t>
  </si>
  <si>
    <t>cuisine--STARCHES</t>
  </si>
  <si>
    <t>cuisine--AFTERNOON SNACK</t>
  </si>
  <si>
    <t>cuisine-DAIRY + STARCHES</t>
  </si>
  <si>
    <t>cuisine-DAIRY-CHEESES</t>
  </si>
  <si>
    <t>cuisine--PASTRIES</t>
  </si>
  <si>
    <t>cuisine-MAIN COURSE</t>
  </si>
  <si>
    <t>cuisine-COMPLETE DISHES</t>
  </si>
  <si>
    <t>cuisine-FISH</t>
  </si>
  <si>
    <t>cuisine-HOT PREPARATIONS</t>
  </si>
  <si>
    <t>cuisine--MEATS</t>
  </si>
  <si>
    <t>cuisine--POULTRY</t>
  </si>
  <si>
    <t>cuisine--SOUP</t>
  </si>
  <si>
    <t>cuisine--EGGS</t>
  </si>
  <si>
    <t>cuisine--SHELLFISH</t>
  </si>
  <si>
    <t>cuisine--SAUTE</t>
  </si>
  <si>
    <t>cuisine--STEW</t>
  </si>
  <si>
    <t>cuisine--PORK</t>
  </si>
  <si>
    <t>cuisine--VEAL</t>
  </si>
  <si>
    <t>cuisine--LAMB</t>
  </si>
  <si>
    <t>cuisine-ACOMPAÑAMIENTOS</t>
  </si>
  <si>
    <t>cuisine-ENSALADAS VERDES COMPUESTAS</t>
  </si>
  <si>
    <t>cuisine--CRUDITÉS</t>
  </si>
  <si>
    <t>cuisine--VERDURAS COCIDAS</t>
  </si>
  <si>
    <t>cuisine-POSTRE EMPLATADO</t>
  </si>
  <si>
    <t>cuisine--POSTRES</t>
  </si>
  <si>
    <t>cuisine--ENTRANTES</t>
  </si>
  <si>
    <t>cuisine--FÉCULAS</t>
  </si>
  <si>
    <t>cuisine--MERIENDA</t>
  </si>
  <si>
    <t>cuisine-LÁCTEOS + FÉCULAS</t>
  </si>
  <si>
    <t>cuisine-LÁCTEOS-QUESOS</t>
  </si>
  <si>
    <t>cuisine--PASTELERÍA</t>
  </si>
  <si>
    <t>cuisine-PLATO PRINCIPAL</t>
  </si>
  <si>
    <t>cuisine-PLATOS COMPLETOS</t>
  </si>
  <si>
    <t>cuisine-PESCADOS</t>
  </si>
  <si>
    <t>cuisine-PREPARACIONES CALIENTES</t>
  </si>
  <si>
    <t>cuisine--CARNES</t>
  </si>
  <si>
    <t>cuisine--AVES</t>
  </si>
  <si>
    <t>cuisine--SOPA</t>
  </si>
  <si>
    <t>cuisine--HUEVOS</t>
  </si>
  <si>
    <t>cuisine--CRUSTÁCEOS</t>
  </si>
  <si>
    <t>cuisine--SALTEADO</t>
  </si>
  <si>
    <t>cuisine--ESTOFADO</t>
  </si>
  <si>
    <t>cuisine--GRATÉN</t>
  </si>
  <si>
    <t>cuisine--CERDO</t>
  </si>
  <si>
    <t>cuisine--TERNERA</t>
  </si>
  <si>
    <t>cuisine--CORDERO</t>
  </si>
  <si>
    <t>PASTRY</t>
  </si>
  <si>
    <t>pastry--BAVARIANS (BAVAROIS)</t>
  </si>
  <si>
    <t>pastry--BISCUITS</t>
  </si>
  <si>
    <t>pastry--CHARLOTTES</t>
  </si>
  <si>
    <t>pastry--CHOCOLATES</t>
  </si>
  <si>
    <t>pastry--CONFECTIONERY</t>
  </si>
  <si>
    <t>pastry--ENTREMETS</t>
  </si>
  <si>
    <t>pastry-ENTREMET-GENOISE</t>
  </si>
  <si>
    <t>pastry--GANACHE</t>
  </si>
  <si>
    <t>pastry--CAKE</t>
  </si>
  <si>
    <t>pastry--MERINGUE</t>
  </si>
  <si>
    <t>pastry--MOUSSES</t>
  </si>
  <si>
    <t>pastry-DOUGH-BRIOCHE</t>
  </si>
  <si>
    <t>pastry-DOUGH-CROISSANTS</t>
  </si>
  <si>
    <t>pastry-DOUGH-PUFF PASTRY</t>
  </si>
  <si>
    <t>pastry-DOUGH-BREAD</t>
  </si>
  <si>
    <t>pastry-DOUGH-SANDWICH BREAD</t>
  </si>
  <si>
    <t>pastry-DOUGH-SAVARIN</t>
  </si>
  <si>
    <t>pastry-DOUGH-YEASTED</t>
  </si>
  <si>
    <t>pastry-DOUGH-SHORT/DRY</t>
  </si>
  <si>
    <t>pastry-DOUGH-SWEET (PÂTE SUCRÉE)</t>
  </si>
  <si>
    <t>pastry-DOUGHS-FOR-…</t>
  </si>
  <si>
    <t>pastry-FRUIT PASTES (PÂTES DE FRUITS)</t>
  </si>
  <si>
    <t>pastry--PETITS FOURS</t>
  </si>
  <si>
    <t>pastry--PUDDING</t>
  </si>
  <si>
    <t>pastry--VIENNOISERIES</t>
  </si>
  <si>
    <t>pastry--TARTS</t>
  </si>
  <si>
    <t>pastry--MACARONS</t>
  </si>
  <si>
    <t>pastry--CHOCOLATE WORK</t>
  </si>
  <si>
    <t>pastry--CREAMS &amp; MOUSSES</t>
  </si>
  <si>
    <t>pastry--BASIC DOUGHS</t>
  </si>
  <si>
    <t>pastry--YULE LOGS (BÛCHES)</t>
  </si>
  <si>
    <t>pastry--ICE CREAM &amp; FROZEN DESSERTS</t>
  </si>
  <si>
    <t>pastry--DECORATIONS</t>
  </si>
  <si>
    <t>PASTELERÍA</t>
  </si>
  <si>
    <t>pastelería--BÁVAROS (BAVAROIS)</t>
  </si>
  <si>
    <t>pastelería--BIZCOCHOS</t>
  </si>
  <si>
    <t>pastelería--CHARLOTTES</t>
  </si>
  <si>
    <t>pastelería--CHOCOLATES</t>
  </si>
  <si>
    <t>pastelería--CONFITERÍA</t>
  </si>
  <si>
    <t>pastelería--ENTREMETS</t>
  </si>
  <si>
    <t>pastelería-ENTREMET-GENOVESA</t>
  </si>
  <si>
    <t>pastelería--GANACHE</t>
  </si>
  <si>
    <t>pastelería--PASTEL</t>
  </si>
  <si>
    <t>pastelería--MERENGUE</t>
  </si>
  <si>
    <t>pastelería--MOUSSES</t>
  </si>
  <si>
    <t>pastelería-MASA-BRIOCHE</t>
  </si>
  <si>
    <t>pastelería-MASA-CROISSANT</t>
  </si>
  <si>
    <t>pastelería-MASA-HOJALDRADA</t>
  </si>
  <si>
    <t>pastelería-MASA-PAN</t>
  </si>
  <si>
    <t>pastelería-MASA-PAN DE MOLDE</t>
  </si>
  <si>
    <t>pastelería-MASA-SAVARIN</t>
  </si>
  <si>
    <t>pastelería-MASA-LEVADA</t>
  </si>
  <si>
    <t>pastelería-MASA-SECA</t>
  </si>
  <si>
    <t>pastelería-MASA-DULCE (PÂTE SUCRÉE)</t>
  </si>
  <si>
    <t>pastelería-MASAS-PARA-…</t>
  </si>
  <si>
    <t>pastelería-PÂTES-DE-FRUITS (DULCES DE FRUTA)</t>
  </si>
  <si>
    <t>pastelería--PETITS FOURS</t>
  </si>
  <si>
    <t>pastelería--PUDIN</t>
  </si>
  <si>
    <t>pastelería--VIENNOISERIES</t>
  </si>
  <si>
    <t>pastelería--TARTAS</t>
  </si>
  <si>
    <t>pastelería--MACARONS</t>
  </si>
  <si>
    <t>pastelería--CHOCOLATERÍA</t>
  </si>
  <si>
    <t>pastelería--CREMAS Y MOUSSES</t>
  </si>
  <si>
    <t>pastelería--MASAS BÁSICAS</t>
  </si>
  <si>
    <t>pastelería--TRONCOS (BÛCHES)</t>
  </si>
  <si>
    <t>pastelería--HELADERÍA</t>
  </si>
  <si>
    <t>pastelería--DECORACIONES</t>
  </si>
  <si>
    <t>CATERING</t>
  </si>
  <si>
    <t>traiteur-COLD ROASTS</t>
  </si>
  <si>
    <t>traiteur-AMUSE-BOUCHES</t>
  </si>
  <si>
    <t>traiteur--CANAPES</t>
  </si>
  <si>
    <t>traiteur-COLD STARTER</t>
  </si>
  <si>
    <t>traiteur-HOT STARTER</t>
  </si>
  <si>
    <t>traiteur-FOIE GRAS</t>
  </si>
  <si>
    <t>traiteur-HORS D'OEUVRES</t>
  </si>
  <si>
    <t>traiteur-CATERING PASTRY</t>
  </si>
  <si>
    <t>traiteur-COMPOSED SALAD</t>
  </si>
  <si>
    <t>traiteur-SIMPLE SALAD</t>
  </si>
  <si>
    <t>traiteur-HOT SAUCE</t>
  </si>
  <si>
    <t>traiteur-HOT EMULSIFIED SAUCE</t>
  </si>
  <si>
    <t>traiteur-COLD SAUCE</t>
  </si>
  <si>
    <t>traiteur-VEGETABLE TERRINE</t>
  </si>
  <si>
    <t>traiteur-FISH TERRINE</t>
  </si>
  <si>
    <t>traiteur-MEAT TERRINE</t>
  </si>
  <si>
    <t>traiteur-POULTRY TERRINE</t>
  </si>
  <si>
    <t>traiteur-COCKTAIL BITES</t>
  </si>
  <si>
    <t>traiteur-COLD BUFFET</t>
  </si>
  <si>
    <t>traiteur-HOT BUFFET</t>
  </si>
  <si>
    <t>traiteur-COMPOSED SALADS</t>
  </si>
  <si>
    <t>traiteur--PUFF-PASTRY BITES</t>
  </si>
  <si>
    <t>traiteur--DISHES</t>
  </si>
  <si>
    <t>traiteur--GARNISHES</t>
  </si>
  <si>
    <t>CÁTERING</t>
  </si>
  <si>
    <t>traiteur-ASADOS FRÍOS</t>
  </si>
  <si>
    <t>traiteur-APERITIVOS</t>
  </si>
  <si>
    <t>traiteur-CALIENTE-FRÍO</t>
  </si>
  <si>
    <t>traiteur-ENTRANTE FRÍO</t>
  </si>
  <si>
    <t>traiteur-ENTRANTE CALIENTE</t>
  </si>
  <si>
    <t>traiteur-ENTREM ESES</t>
  </si>
  <si>
    <t>traiteur-PASTELERÍA DE CÁTERING</t>
  </si>
  <si>
    <t>traiteur-ENSALADA COMPUESTA</t>
  </si>
  <si>
    <t>traiteur-ENSALADA SIMPLE</t>
  </si>
  <si>
    <t>traiteur-SALSA CALIENTE</t>
  </si>
  <si>
    <t>traiteur-SALSA EMULSIONADA CALIENTE</t>
  </si>
  <si>
    <t>traiteur-SALSA FRÍA</t>
  </si>
  <si>
    <t>traiteur-TERRINA DE VERDURAS</t>
  </si>
  <si>
    <t>traiteur-TERRINA DE PESCADO</t>
  </si>
  <si>
    <t>traiteur-TERRINA DE CARNE</t>
  </si>
  <si>
    <t>traiteur-TERRINA DE AVE</t>
  </si>
  <si>
    <t>traiteur-BOCADITOS DE APERITIVO</t>
  </si>
  <si>
    <t>traiteur-BUFÉ FRÍO</t>
  </si>
  <si>
    <t>traiteur-BUFÉ CALIENTE</t>
  </si>
  <si>
    <t>traiteur-ENSALADAS COMPUESTAS</t>
  </si>
  <si>
    <t>traiteur--HOJALDRES</t>
  </si>
  <si>
    <t>traiteur--PLATOS</t>
  </si>
  <si>
    <t>traiteur--GUARNICIONES</t>
  </si>
  <si>
    <t>FAMILY--Identity</t>
  </si>
  <si>
    <t>charcuterie--JELLIES</t>
  </si>
  <si>
    <t>charcuterie-BOUDIN BLANC</t>
  </si>
  <si>
    <t>charcuterie-BOUDIN NOIR</t>
  </si>
  <si>
    <t>charcuterie--GAME</t>
  </si>
  <si>
    <t>charcuterie--RABBIT</t>
  </si>
  <si>
    <t>charcuterie-PURE POULTRY</t>
  </si>
  <si>
    <t>charcuterie--GALANTINE</t>
  </si>
  <si>
    <t>charcuterie--MORTADELLA</t>
  </si>
  <si>
    <t>charcuterie-COUNTRY PÂTÉ</t>
  </si>
  <si>
    <t>charcuterie-LIVER PÂTÉ</t>
  </si>
  <si>
    <t>charcuterie--QUENELLES</t>
  </si>
  <si>
    <t>charcuterie--RILLETTES</t>
  </si>
  <si>
    <t>charcuterie--RILLONS</t>
  </si>
  <si>
    <t>charcuterie--ROULADE</t>
  </si>
  <si>
    <t>charcuterie--SAUSAGE</t>
  </si>
  <si>
    <t>charcuterie-LIVER SAUSAGE</t>
  </si>
  <si>
    <t>charcuterie--OFFAL</t>
  </si>
  <si>
    <t>charcuterie--CONFIT</t>
  </si>
  <si>
    <t>charcuterie--PÂTÉS</t>
  </si>
  <si>
    <t>charcuterie--TERRINES</t>
  </si>
  <si>
    <t>charcuterie--SAUSAGES (casings)</t>
  </si>
  <si>
    <t>charcuterie--HAMS &amp; CURED MEATS</t>
  </si>
  <si>
    <t>charcuterie--BALLOTINES</t>
  </si>
  <si>
    <t>charcuterie--ASPICS</t>
  </si>
  <si>
    <t>charcuterie--HEAD CHEESE</t>
  </si>
  <si>
    <t>charcuterie--CONFITS</t>
  </si>
  <si>
    <t>charcuterie--SMOKED PRODUCTS</t>
  </si>
  <si>
    <t>charcuterie--CRACKLINGS</t>
  </si>
  <si>
    <t>FAMILIA--Identidad</t>
  </si>
  <si>
    <t>CHARCUTERÍA</t>
  </si>
  <si>
    <t>charcutería--GELATINAS</t>
  </si>
  <si>
    <t>charcutería-BOUDIN BLANC (morcilla blanca)</t>
  </si>
  <si>
    <t>charcutería-BOUDIN NOIR (morcilla)</t>
  </si>
  <si>
    <t>charcutería--CAZA</t>
  </si>
  <si>
    <t>charcutería--CONEJO</t>
  </si>
  <si>
    <t>charcutería-PURA AVE</t>
  </si>
  <si>
    <t>charcutería--GALANTINA</t>
  </si>
  <si>
    <t>charcutería--MORTADELA</t>
  </si>
  <si>
    <t>charcutería-PATÉ DE CAMPAÑA</t>
  </si>
  <si>
    <t>charcutería-PATÉ DE HÍGADO</t>
  </si>
  <si>
    <t>charcutería--QUENELLES</t>
  </si>
  <si>
    <t>charcutería--RILLETTES</t>
  </si>
  <si>
    <t>charcutería--RILLONS (de cerdo)</t>
  </si>
  <si>
    <t>charcutería--ROULADE</t>
  </si>
  <si>
    <t>charcutería--SALCHICHA</t>
  </si>
  <si>
    <t>charcutería-SALCHICHA DE HÍGADO</t>
  </si>
  <si>
    <t>charcutería--CASCQUERÍA</t>
  </si>
  <si>
    <t>charcutería--CONFITADO</t>
  </si>
  <si>
    <t>charcutería--PATÉS</t>
  </si>
  <si>
    <t>charcutería--TERRINAS</t>
  </si>
  <si>
    <t>charcutería--SALCHICHAS (en tripa)</t>
  </si>
  <si>
    <t>charcutería--JAMONES Y SALAZONES</t>
  </si>
  <si>
    <t>charcutería--BALOTINAS</t>
  </si>
  <si>
    <t>charcutería--ASPICS</t>
  </si>
  <si>
    <t>charcutería--QUESO DE CABEZA</t>
  </si>
  <si>
    <t>charcutería--CONFITS</t>
  </si>
  <si>
    <t>charcutería--AHUMADOS</t>
  </si>
  <si>
    <t>charcutería--CHICHARRONES</t>
  </si>
  <si>
    <t>COOKING METHODS</t>
  </si>
  <si>
    <t>cooking--BRAISED</t>
  </si>
  <si>
    <t>cooking--CONFIT</t>
  </si>
  <si>
    <t>cooking--FRIED</t>
  </si>
  <si>
    <t>cooking--SMOKED</t>
  </si>
  <si>
    <t>cooking--GRILLED</t>
  </si>
  <si>
    <t>cooking--PLAIN</t>
  </si>
  <si>
    <t>cooking--EN PAPILLOTE</t>
  </si>
  <si>
    <t>cooking--POACHED</t>
  </si>
  <si>
    <t>cooking--PAN-ROASTED</t>
  </si>
  <si>
    <t>cooking--STEWED</t>
  </si>
  <si>
    <t>cooking--ROASTED</t>
  </si>
  <si>
    <t>cooking--BRINED</t>
  </si>
  <si>
    <t>cooking-SAUTEED-WITH SAUCE</t>
  </si>
  <si>
    <t>cooking-SAUTEED-WITHOUT SAUCE</t>
  </si>
  <si>
    <t>cooking--STEAMED</t>
  </si>
  <si>
    <t>MODOS DE COCCIÓN</t>
  </si>
  <si>
    <t>cocción--BRASADO</t>
  </si>
  <si>
    <t>cocción--CONFITADO</t>
  </si>
  <si>
    <t>cocción--FRITO</t>
  </si>
  <si>
    <t>cocción--AHUMADO</t>
  </si>
  <si>
    <t>cocción--A LA PARRILLA</t>
  </si>
  <si>
    <t>cocción--NATURAL</t>
  </si>
  <si>
    <t>cocción--EN PAPILLOTE</t>
  </si>
  <si>
    <t>cocción--POCHADO</t>
  </si>
  <si>
    <t>cocción--A LA SARTÉN</t>
  </si>
  <si>
    <t>cocción--ESTOFADO</t>
  </si>
  <si>
    <t>cocción--ASADO</t>
  </si>
  <si>
    <t>cocción--SALMUERADO</t>
  </si>
  <si>
    <t>cocción-SALTEADO-CON SALSA</t>
  </si>
  <si>
    <t>cocción-SALTEADO-SIN SALSA</t>
  </si>
  <si>
    <t>cocción--AL VAPOR</t>
  </si>
  <si>
    <t>Dietary color</t>
  </si>
  <si>
    <t>cuisine-dish-PROTEINS</t>
  </si>
  <si>
    <t>cuisine-proteins-OFFAL</t>
  </si>
  <si>
    <t>cuisine-proteins-GIBLETS</t>
  </si>
  <si>
    <t>cuisine-proteins-LAMB</t>
  </si>
  <si>
    <t>cuisine-proteins-BEEF</t>
  </si>
  <si>
    <t>cuisine-proteins-QUAIL</t>
  </si>
  <si>
    <t>cuisine-proteins-DUCK</t>
  </si>
  <si>
    <t>cuisine-proteins-CHARCUTERIE</t>
  </si>
  <si>
    <t>cuisine-proteins-SHELLFISH (MOLLUSCS)</t>
  </si>
  <si>
    <t>cuisine-proteins-CRUSTACEANS</t>
  </si>
  <si>
    <t>cuisine-proteins-TURKEY</t>
  </si>
  <si>
    <t>cuisine-proteins-STUFFINGS</t>
  </si>
  <si>
    <t>cuisine-proteins-GAME BIRDS</t>
  </si>
  <si>
    <t>cuisine-proteins-GAME (MAMMALS)</t>
  </si>
  <si>
    <t>cuisine-proteins-JUS / STOCK</t>
  </si>
  <si>
    <t>cuisine-proteins-RABBIT</t>
  </si>
  <si>
    <t>cuisine-proteins-MUTTON</t>
  </si>
  <si>
    <t>cuisine-proteins-EGGS</t>
  </si>
  <si>
    <t>cuisine-proteins-FISH</t>
  </si>
  <si>
    <t>cuisine-proteins-PORK</t>
  </si>
  <si>
    <t>cuisine-proteins-HEN</t>
  </si>
  <si>
    <t>cuisine-proteins-CHICKEN</t>
  </si>
  <si>
    <t>cuisine-proteins-VEAL</t>
  </si>
  <si>
    <t>Color dietético</t>
  </si>
  <si>
    <t>cuisine-plato-PROTEÍNAS</t>
  </si>
  <si>
    <t>cuisine-proteínas-CASQUERÍA</t>
  </si>
  <si>
    <t>cuisine-proteínas-MENUDOS (abattis)</t>
  </si>
  <si>
    <t>cuisine-proteínas-CORDERO</t>
  </si>
  <si>
    <t>cuisine-proteínas-TERnera</t>
  </si>
  <si>
    <t>cuisine-proteínas-CODORNICES</t>
  </si>
  <si>
    <t>cuisine-proteínas-PATO</t>
  </si>
  <si>
    <t>cuisine-proteínas-CHARCUTERÍA</t>
  </si>
  <si>
    <t>cuisine-proteínas-MOLUSCOS</t>
  </si>
  <si>
    <t>cuisine-proteínas-CRUSTÁCEOS</t>
  </si>
  <si>
    <t>cuisine-proteínas-PAVO</t>
  </si>
  <si>
    <t>cuisine-proteínas-RELLENOS</t>
  </si>
  <si>
    <t>cuisine-proteínas-CAZA DE PLUMA</t>
  </si>
  <si>
    <t>cuisine-proteínas-CAZA DE PELO</t>
  </si>
  <si>
    <t>cuisine-proteínas-JUS / CALDO</t>
  </si>
  <si>
    <t>cuisine-proteínas-CONEJO</t>
  </si>
  <si>
    <t>cuisine-proteínas-CARNE DE OVEJA (MUTTON)</t>
  </si>
  <si>
    <t>cuisine-proteínas-HUEVOS</t>
  </si>
  <si>
    <t>cuisine-proteínas-PESCADO</t>
  </si>
  <si>
    <t>cuisine-proteínas-CERDO</t>
  </si>
  <si>
    <t>cuisine-proteínas-GALLINA</t>
  </si>
  <si>
    <t>cuisine-proteínas-POLLO</t>
  </si>
  <si>
    <t>cuisine-proteínas-TERNERA</t>
  </si>
  <si>
    <t>cuisine-vegetables-COOKED VEGETABLES</t>
  </si>
  <si>
    <t>CITRUS (e.g., grapefruit)</t>
  </si>
  <si>
    <t>cuisine-cooked-ARTICHOKE</t>
  </si>
  <si>
    <t>cuisine-cooked-ASPARAGUS</t>
  </si>
  <si>
    <t>cuisine-cooked-BEETS</t>
  </si>
  <si>
    <t>cuisine-cooked-CARROTS</t>
  </si>
  <si>
    <t>cuisine-cooked-CELERY STALKS</t>
  </si>
  <si>
    <t>cuisine-cooked-CELERIAC (CELERY ROOT)</t>
  </si>
  <si>
    <t>cuisine-cooked-MUSHROOMS</t>
  </si>
  <si>
    <t>cuisine-cooked-WHITE CABBAGE</t>
  </si>
  <si>
    <t>cuisine-cooked-RED CABBAGE</t>
  </si>
  <si>
    <t>cuisine-cooked-BROCCOLI</t>
  </si>
  <si>
    <t>cuisine-cooked-BRUSSELS SPROUTS</t>
  </si>
  <si>
    <t>cuisine-cooked-CHINESE CABBAGE</t>
  </si>
  <si>
    <t>cuisine-cooked-SAVOY CABBAGE</t>
  </si>
  <si>
    <t>cuisine-cooked-CAULIFLOWER</t>
  </si>
  <si>
    <t>cuisine-cooked-ROMANESCO</t>
  </si>
  <si>
    <t>cuisine-cooked-HEARTS OF PALM</t>
  </si>
  <si>
    <t>cuisine-cooked-CUCUMBERS</t>
  </si>
  <si>
    <t>cuisine-cooked-SQUASH</t>
  </si>
  <si>
    <t>cuisine-cooked-ZUCCHINI</t>
  </si>
  <si>
    <t>cuisine-cooked-CROSNE (CHINESE ARTICHOKE)</t>
  </si>
  <si>
    <t>cuisine-cooked-ENDIVES</t>
  </si>
  <si>
    <t>cuisine-cooked-SPINACH</t>
  </si>
  <si>
    <t>cuisine-cooked-FENNEL</t>
  </si>
  <si>
    <t>cuisine-cooked-TURNIPS</t>
  </si>
  <si>
    <t>cuisine-cooked-ONIONS</t>
  </si>
  <si>
    <t>cuisine-cooked-PATTYPAN SQUASH</t>
  </si>
  <si>
    <t>cuisine-cooked-YELLOW BELL PEPPERS</t>
  </si>
  <si>
    <t>cuisine-cooked-RED BELL PEPPERS</t>
  </si>
  <si>
    <t>cuisine-cooked-GREEN BELL PEPPERS</t>
  </si>
  <si>
    <t>cuisine-cooked-PUMPKIN</t>
  </si>
  <si>
    <t>cuisine-cooked-BAMBOO SHOOTS</t>
  </si>
  <si>
    <t>cuisine-cooked-BLACK RADISHES</t>
  </si>
  <si>
    <t>cuisine-cooked-RED RADISHES</t>
  </si>
  <si>
    <t>cuisine-cooked-LETTUCE</t>
  </si>
  <si>
    <t>cuisine-cooked-SALSIFY</t>
  </si>
  <si>
    <t>cuisine-cooked-SOY</t>
  </si>
  <si>
    <t>cuisine-cooked-CHERRY TOMATOES</t>
  </si>
  <si>
    <t>cuisine-cooked-MARMANDE TOMATOES</t>
  </si>
  <si>
    <t>cuisine-cooked-OLIVETTE (PLUM) TOMATOES</t>
  </si>
  <si>
    <t>cuisine-cooked-ROMA TOMATOES</t>
  </si>
  <si>
    <t>cuisine-verduras-COCIDAS</t>
  </si>
  <si>
    <t>CÍTRICOS (p. ej., pomelo)</t>
  </si>
  <si>
    <t>cuisine-cocido-ALCACHOFA</t>
  </si>
  <si>
    <t>cuisine-cocido-ESPÁRRAGOS</t>
  </si>
  <si>
    <t>cuisine-cocido-REMOLACHAS</t>
  </si>
  <si>
    <t>cuisine-cocido-ZANAHORIAS</t>
  </si>
  <si>
    <t>cuisine-cocido-APIO EN RAMA</t>
  </si>
  <si>
    <t>cuisine-cocido-APIONABO</t>
  </si>
  <si>
    <t>cuisine-cocido-CHAMPIÑONES</t>
  </si>
  <si>
    <t>cuisine-cocido-COL BLANCA</t>
  </si>
  <si>
    <t>cuisine-cocido-COL ROJA (LOMBARDA)</t>
  </si>
  <si>
    <t>cuisine-cocido-BRÓCOLI</t>
  </si>
  <si>
    <t>cuisine-cocido-COLES DE BRUSELAS</t>
  </si>
  <si>
    <t>cuisine-cocido-COL CHINA</t>
  </si>
  <si>
    <t>cuisine-cocido-COL DE SABOYA</t>
  </si>
  <si>
    <t>cuisine-cocido-COLIFLOR</t>
  </si>
  <si>
    <t>cuisine-cocido-ROMANESCO</t>
  </si>
  <si>
    <t>cuisine-cocido-PALMITOS</t>
  </si>
  <si>
    <t>cuisine-cocido-PEPINOS</t>
  </si>
  <si>
    <t>cuisine-cocido-CALABAZA</t>
  </si>
  <si>
    <t>cuisine-cocido-CALABACINES</t>
  </si>
  <si>
    <t>cuisine-cocido-CROSNE (ALCACHOFA CHINA)</t>
  </si>
  <si>
    <t>cuisine-cocido-ENDIVIAS</t>
  </si>
  <si>
    <t>cuisine-cocido-ESPINACAS</t>
  </si>
  <si>
    <t>cuisine-cocido-HINOJO</t>
  </si>
  <si>
    <t>cuisine-cocido-NABOS</t>
  </si>
  <si>
    <t>cuisine-cocido-CEBOLLAS</t>
  </si>
  <si>
    <t>cuisine-cocido-PATISSON (CALABAZA BONETERA)</t>
  </si>
  <si>
    <t>cuisine-cocido-PIMIENTOS AMARILLOS</t>
  </si>
  <si>
    <t>cuisine-cocido-PIMIENTOS ROJOS</t>
  </si>
  <si>
    <t>cuisine-cocido-PIMIENTOS VERDES</t>
  </si>
  <si>
    <t>cuisine-cocido-CALABAZA (POTIRON)</t>
  </si>
  <si>
    <t>cuisine-cocido-BROTES DE BAMBÚ</t>
  </si>
  <si>
    <t>cuisine-cocido-RÁBANOS NEGROS</t>
  </si>
  <si>
    <t>cuisine-cocido-RÁBANOS ROSAS</t>
  </si>
  <si>
    <t>cuisine-cocido-LECHUGA</t>
  </si>
  <si>
    <t>cuisine-cocido-SALSIFÍ</t>
  </si>
  <si>
    <t>cuisine-cocido-SOJA</t>
  </si>
  <si>
    <t>cuisine-cocido-TOMATES CHERRY</t>
  </si>
  <si>
    <t>cuisine-cocido-TOMATES MARMANDE</t>
  </si>
  <si>
    <t>cuisine-cocido-TOMATES OLIVETTE (PERA)</t>
  </si>
  <si>
    <t>cuisine-cocido-TOMATES ROMA</t>
  </si>
  <si>
    <t>cuisine-vegetables-RAW VEGETABLES</t>
  </si>
  <si>
    <t>crudité-CITRUS—POMELO/GRAPEFRUIT</t>
  </si>
  <si>
    <t>cuisine-raw-AVOCADO</t>
  </si>
  <si>
    <t>cuisine-raw-BEETS</t>
  </si>
  <si>
    <t>cuisine-raw-CARROTS</t>
  </si>
  <si>
    <t>cuisine-raw-CELERY STALKS</t>
  </si>
  <si>
    <t>cuisine-raw-CELERIAC (CELERY ROOT)</t>
  </si>
  <si>
    <t>cuisine-raw-MUSHROOMS</t>
  </si>
  <si>
    <t>cuisine-raw-WHITE CABBAGE</t>
  </si>
  <si>
    <t>cuisine-raw-RED CABBAGE</t>
  </si>
  <si>
    <t>cuisine-raw-BROCCOLI</t>
  </si>
  <si>
    <t>cuisine-raw-CHINESE CABBAGE</t>
  </si>
  <si>
    <t>cuisine-raw-CAULIFLOWER</t>
  </si>
  <si>
    <t>cuisine-raw-ROMANESCO</t>
  </si>
  <si>
    <t>cuisine-raw-CUCUMBERS</t>
  </si>
  <si>
    <t>cuisine-raw-ZUCCHINI</t>
  </si>
  <si>
    <t>cuisine-raw-ENDIVES</t>
  </si>
  <si>
    <t>cuisine-raw-SPINACH</t>
  </si>
  <si>
    <t>cuisine-raw-FENNEL</t>
  </si>
  <si>
    <t>cuisine-raw-TURNIPS</t>
  </si>
  <si>
    <t>cuisine-raw-ONIONS</t>
  </si>
  <si>
    <t>cuisine-raw-YELLOW BELL PEPPERS</t>
  </si>
  <si>
    <t>cuisine-raw-RED BELL PEPPERS</t>
  </si>
  <si>
    <t>cuisine-raw-GREEN BELL PEPPERS</t>
  </si>
  <si>
    <t>cuisine-raw-BLACK RADISHES</t>
  </si>
  <si>
    <t>cuisine-raw-RED RADISHES</t>
  </si>
  <si>
    <t>cuisine-raw-SALAD BATAVIA</t>
  </si>
  <si>
    <t>cuisine-raw-SALAD CHICORY</t>
  </si>
  <si>
    <t>cuisine-raw-SALAD CRESS</t>
  </si>
  <si>
    <t>cuisine-raw-SALAD ENDIVE</t>
  </si>
  <si>
    <t>cuisine-raw-SALAD OAK LEAF</t>
  </si>
  <si>
    <t>cuisine-raw-SALAD FRISÉE</t>
  </si>
  <si>
    <t>cuisine-raw-SALAD ICEBERG</t>
  </si>
  <si>
    <t>cuisine-raw-SALAD KRISETTE</t>
  </si>
  <si>
    <t>cuisine-raw-SALAD LETTUCE</t>
  </si>
  <si>
    <t>cuisine-raw-SALAD LOLLO ROSA</t>
  </si>
  <si>
    <t>cuisine-raw-SALAD LAMB’S LETTUCE (MÂCHE)</t>
  </si>
  <si>
    <t>cuisine-raw-SALAD MESCLUN</t>
  </si>
  <si>
    <t>cuisine-raw-SALAD DANDELION</t>
  </si>
  <si>
    <t>cuisine-raw-SALAD ROMAINE</t>
  </si>
  <si>
    <t>cuisine-raw-SALAD ESCAROLE</t>
  </si>
  <si>
    <t>cuisine-raw-SALAD TREVISO</t>
  </si>
  <si>
    <t>cuisine-raw-SALAD (GENERAL)</t>
  </si>
  <si>
    <t>COMPOSED SALADS</t>
  </si>
  <si>
    <t>cuisine-raw-SALSIFY</t>
  </si>
  <si>
    <t>cuisine-raw-SOY</t>
  </si>
  <si>
    <t>cuisine-raw-TOMATOES</t>
  </si>
  <si>
    <t>cuisine-raw-CHERRY TOMATOES</t>
  </si>
  <si>
    <t>cuisine-raw-MARMANDE TOMATOES</t>
  </si>
  <si>
    <t>cuisine-raw-OLIVETTE (PLUM) TOMATOES</t>
  </si>
  <si>
    <t>cuisine-raw-ROMA TOMATOES</t>
  </si>
  <si>
    <t>cuisine-verduras-CRUDITÉS</t>
  </si>
  <si>
    <t>crudité-CÍTRICOS—POMELO/TORONJA</t>
  </si>
  <si>
    <t>cuisine-crudité-AGUACATE</t>
  </si>
  <si>
    <t>cuisine-crudité-REMOLACHAS</t>
  </si>
  <si>
    <t>cuisine-crudité-ZANAHORIAS</t>
  </si>
  <si>
    <t>cuisine-crudité-APIO EN RAMA</t>
  </si>
  <si>
    <t>cuisine-crudité-APIONABO</t>
  </si>
  <si>
    <t>cuisine-crudité-CHAMPIÑONES</t>
  </si>
  <si>
    <t>cuisine-crudité-COL BLANCA</t>
  </si>
  <si>
    <t>cuisine-crudité-COL ROJA (LOMBARDA)</t>
  </si>
  <si>
    <t>cuisine-crudité-BRÓCOLI</t>
  </si>
  <si>
    <t>cuisine-crudité-COL CHINA</t>
  </si>
  <si>
    <t>cuisine-crudité-COLIFLOR</t>
  </si>
  <si>
    <t>cuisine-crudité-ROMANESCO</t>
  </si>
  <si>
    <t>cuisine-crudité-PEPINOS</t>
  </si>
  <si>
    <t>cuisine-crudité-CALABACINES</t>
  </si>
  <si>
    <t>cuisine-crudité-ENDIVIAS</t>
  </si>
  <si>
    <t>cuisine-crudité-ESPINACAS</t>
  </si>
  <si>
    <t>cuisine-crudité-HINOJO</t>
  </si>
  <si>
    <t>cuisine-crudité-NABOS</t>
  </si>
  <si>
    <t>cuisine-crudité-CEBOLLAS</t>
  </si>
  <si>
    <t>cuisine-crudité-PIMIENTOS AMARILLOS</t>
  </si>
  <si>
    <t>cuisine-crudité-PIMIENTOS ROJOS</t>
  </si>
  <si>
    <t>cuisine-crudité-PIMIENTOS VERDES</t>
  </si>
  <si>
    <t>cuisine-crudité-RÁBANOS NEGROS</t>
  </si>
  <si>
    <t>cuisine-crudité-RÁBANOS ROSAS</t>
  </si>
  <si>
    <t>cuisine-crudité-ENSALADA BATAVIA</t>
  </si>
  <si>
    <t>cuisine-crudité-ENSALADA ACHICORIA</t>
  </si>
  <si>
    <t>cuisine-crudité-ENSALADA BERRO</t>
  </si>
  <si>
    <t>cuisine-crudité-ENSALADA ENDIVIA</t>
  </si>
  <si>
    <t>cuisine-crudité-ENSALADA HOJA DE ROBLE</t>
  </si>
  <si>
    <t>cuisine-crudité-ENSALADA FRISÉE</t>
  </si>
  <si>
    <t>cuisine-crudité-ENSALADA ICEBERG</t>
  </si>
  <si>
    <t>cuisine-crudité-ENSALADA KRISETTE</t>
  </si>
  <si>
    <t>cuisine-crudité-ENSALADA LECHUGA</t>
  </si>
  <si>
    <t>cuisine-crudité-ENSALADA LOLLO ROSA</t>
  </si>
  <si>
    <t>cuisine-crudité-ENSALADA CANÓNIGOS (MÂCHE)</t>
  </si>
  <si>
    <t>cuisine-crudité-ENSALADA MESCLUN</t>
  </si>
  <si>
    <t>cuisine-crudité-ENSALADA DIENTE DE LEÓN</t>
  </si>
  <si>
    <t>cuisine-crudité-ENSALADA ROMANA</t>
  </si>
  <si>
    <t>cuisine-crudité-ENSALADA ESCAROLA</t>
  </si>
  <si>
    <t>cuisine-crudité-ENSALADA TREVISO</t>
  </si>
  <si>
    <t>cuisine-crudité-ENSALADA (GENERAL)</t>
  </si>
  <si>
    <t>ENSALADAS COMPUESTAS</t>
  </si>
  <si>
    <t>cuisine-crudité-SALSIFÍ</t>
  </si>
  <si>
    <t>cuisine-crudité-TOMATES CHERRY</t>
  </si>
  <si>
    <t>cuisine-crudité-TOMATES OLIVETTE (PERA)</t>
  </si>
  <si>
    <t>cuisine-crudité-TOMATES ROMA</t>
  </si>
  <si>
    <t>cuisine-vegetables-STARCHES</t>
  </si>
  <si>
    <t>cuisine-starch-WHEAT</t>
  </si>
  <si>
    <t>cuisine-starch-BULGUR</t>
  </si>
  <si>
    <t>cuisine-starch-BROAD BEANS (FAVA)</t>
  </si>
  <si>
    <t>cuisine-starch-BABY FAVA BEANS</t>
  </si>
  <si>
    <t>cuisine-starch-COCO BEANS</t>
  </si>
  <si>
    <t>cuisine-starch-FLAGEOLET BEANS</t>
  </si>
  <si>
    <t>cuisine-starch-BLACK BEANS</t>
  </si>
  <si>
    <t>cuisine-starch-RED BEANS</t>
  </si>
  <si>
    <t>cuisine-starch-SOISSON BEANS</t>
  </si>
  <si>
    <t>cuisine-starch-WHITE BEANS</t>
  </si>
  <si>
    <t>cuisine-starch-LENTILS</t>
  </si>
  <si>
    <t>cuisine-starch-CORN (MAIZE)</t>
  </si>
  <si>
    <t>cuisine-starch-POTATOES</t>
  </si>
  <si>
    <t>cuisine-starch-PASTA</t>
  </si>
  <si>
    <t>cuisine-starch-CHICKPEAS</t>
  </si>
  <si>
    <t>cuisine-starch-POLENTA</t>
  </si>
  <si>
    <t>cuisine-starch-RICE</t>
  </si>
  <si>
    <t>cuisine-starch-RUTABAGA</t>
  </si>
  <si>
    <t>cuisine-starch-SEMOLINA (COUSCOUS)</t>
  </si>
  <si>
    <t>cuisine-starch-JERUSALEM ARTICHOKE</t>
  </si>
  <si>
    <t>cuisine-verduras-FÉCULAS</t>
  </si>
  <si>
    <t>cuisine-féculent-TRIGO</t>
  </si>
  <si>
    <t>cuisine-féculent-BULGUR</t>
  </si>
  <si>
    <t>cuisine-féculent-HABAS (FAVA)</t>
  </si>
  <si>
    <t>cuisine-féculent-HABITAS (HABAS BABY)</t>
  </si>
  <si>
    <t>cuisine-féculent-ALUBIAS COCO</t>
  </si>
  <si>
    <t>cuisine-féculent-FLAGEOLETS</t>
  </si>
  <si>
    <t>cuisine-féculent-FRIJOLES/ALUBIAS NEGRAS</t>
  </si>
  <si>
    <t>cuisine-féculent-FRIJOLES/ALUBIAS ROJAS</t>
  </si>
  <si>
    <t>cuisine-féculent-ALUBIAS SOISSON</t>
  </si>
  <si>
    <t>cuisine-féculent-ALUBIAS BLANCAS</t>
  </si>
  <si>
    <t>cuisine-féculent-LENTEJAS</t>
  </si>
  <si>
    <t>cuisine-féculent-MAÍZ</t>
  </si>
  <si>
    <t>cuisine-féculent-PATATAS</t>
  </si>
  <si>
    <t>cuisine-féculent-PASTA</t>
  </si>
  <si>
    <t>cuisine-féculent-GARBANZOS</t>
  </si>
  <si>
    <t>cuisine-féculent-ARROZ</t>
  </si>
  <si>
    <t>cuisine-féculent-NABO SUECO (RUTABAGA)</t>
  </si>
  <si>
    <t>cuisine-féculent-SÉMOLA (COUSCOUS)</t>
  </si>
  <si>
    <t>cuisine-féculent-ALCACHOFA DE JERUSALÉN</t>
  </si>
  <si>
    <t>SEAFOOD</t>
  </si>
  <si>
    <t>Poissonnerie--SHELLFISH (MOLLUSCS)</t>
  </si>
  <si>
    <t>Poissonnerie--CRUSTACEANS</t>
  </si>
  <si>
    <t>Poissonnerie--WHOLE FISH</t>
  </si>
  <si>
    <t>Poissonnerie--FILLETs / PORTIONS</t>
  </si>
  <si>
    <t>Poissonnerie--SEAFOOD CHARCUTERIE</t>
  </si>
  <si>
    <t>Poissonnerie--SMOKED FISH</t>
  </si>
  <si>
    <t>Poissonnerie--MARINADES &amp; CURES</t>
  </si>
  <si>
    <t>Poissonnerie--TARTARES &amp; CEVICHES</t>
  </si>
  <si>
    <t>Poissonnerie--SOUPS &amp; BISQUES</t>
  </si>
  <si>
    <t>Poissonnerie--BASIC PREPARATIONS</t>
  </si>
  <si>
    <t>Poissonnerie--SAUCES &amp; BUTTERS</t>
  </si>
  <si>
    <t>Poissonnerie--COD</t>
  </si>
  <si>
    <t>Poissonnerie--SALMON</t>
  </si>
  <si>
    <t>Poissonnerie--TUNA</t>
  </si>
  <si>
    <t>Poissonnerie--SEA BREAM</t>
  </si>
  <si>
    <t>Poissonnerie--HAKE</t>
  </si>
  <si>
    <t>Poissonnerie--POLLOCK</t>
  </si>
  <si>
    <t>Poissonnerie--FRESH (DAY)</t>
  </si>
  <si>
    <t>Poissonnerie--FROZEN</t>
  </si>
  <si>
    <t>Poissonnerie--STUFFED</t>
  </si>
  <si>
    <t>PESCADERÍA</t>
  </si>
  <si>
    <t>Poissonnerie--MOLUSCOS</t>
  </si>
  <si>
    <t>Poissonnerie--CRUSTÁCEOS</t>
  </si>
  <si>
    <t>Poissonnerie--PESCADO ENTERO</t>
  </si>
  <si>
    <t>Poissonnerie--FILETES / PORCIONES</t>
  </si>
  <si>
    <t>Poissonnerie--CHARCUTERÍA DEL MAR</t>
  </si>
  <si>
    <t>Poissonnerie--AHUMADOS</t>
  </si>
  <si>
    <t>Poissonnerie--MARINADOS Y SALAZONES</t>
  </si>
  <si>
    <t>Poissonnerie--TÁRTAROS Y CEVICHES</t>
  </si>
  <si>
    <t>Poissonnerie--SOPAS Y BISQUES</t>
  </si>
  <si>
    <t>Poissonnerie--PREPARACIONES BÁSICAS</t>
  </si>
  <si>
    <t>Poissonnerie--SALSAS Y MANTEQUILLAS</t>
  </si>
  <si>
    <t>Poissonnerie--BACALAO</t>
  </si>
  <si>
    <t>Poissonnerie--SALMÓN</t>
  </si>
  <si>
    <t>Poissonnerie--ATÚN</t>
  </si>
  <si>
    <t>Poissonnerie--DORADA</t>
  </si>
  <si>
    <t>Poissonnerie--MERLUZA</t>
  </si>
  <si>
    <t>Poissonnerie--ABADEJO</t>
  </si>
  <si>
    <t>Poissonnerie--FRESCO (DEL DÍA)</t>
  </si>
  <si>
    <t>Poissonnerie--CONGELADO</t>
  </si>
  <si>
    <t>Poissonnerie--RELLENO</t>
  </si>
  <si>
    <t>BARTENDERS - BAR - DRINKS</t>
  </si>
  <si>
    <t>BAR-Cocktails-with alcohol</t>
  </si>
  <si>
    <t>BAR-Cocktails-non-alcoholic</t>
  </si>
  <si>
    <t>BAR-Drinks-hot beverages</t>
  </si>
  <si>
    <t>BAR-Drinks-cold beverages</t>
  </si>
  <si>
    <t>BAR-COFFEES</t>
  </si>
  <si>
    <t>BAR-TEAS</t>
  </si>
  <si>
    <t>BAR--JUICES-Juices &amp; fresh-pressed</t>
  </si>
  <si>
    <t>BAR--Sodas &amp; lemonades</t>
  </si>
  <si>
    <t>BAR--Syrups &amp; shrubs</t>
  </si>
  <si>
    <t>BAR--Punches</t>
  </si>
  <si>
    <t>BAR-Fermented-(kefir, kombucha)</t>
  </si>
  <si>
    <t>BAR--Fruity</t>
  </si>
  <si>
    <t>BAR--Creamy</t>
  </si>
  <si>
    <t>BAR--Classics</t>
  </si>
  <si>
    <t>BARTENDERS - BAR - BEBIDAS</t>
  </si>
  <si>
    <t>BAR-Cócteles-con alcohol</t>
  </si>
  <si>
    <t>BAR-Cócteles-sin alcohol</t>
  </si>
  <si>
    <t>BAR-Bebidas-calientes</t>
  </si>
  <si>
    <t>BAR-Bebidas-frías</t>
  </si>
  <si>
    <t>BAR-CAFÉS</t>
  </si>
  <si>
    <t>BAR-TÉS</t>
  </si>
  <si>
    <t>BAR--ZUMOS-Zumos y prensados</t>
  </si>
  <si>
    <t>BAR--Refrescos y limonadas</t>
  </si>
  <si>
    <t>BAR--Jarabes y shrubs</t>
  </si>
  <si>
    <t>BAR--Ponches</t>
  </si>
  <si>
    <t>BAR-Fermentadas-(kéfir, kombucha)</t>
  </si>
  <si>
    <t>BAR--Afrutado</t>
  </si>
  <si>
    <t>BAR--Cremoso</t>
  </si>
  <si>
    <t>BAR--Clásicos</t>
  </si>
  <si>
    <t>BAR--De autor</t>
  </si>
  <si>
    <t>BAR--Corto</t>
  </si>
  <si>
    <t>BAR--Largo</t>
  </si>
  <si>
    <t>RGB color codes (Red–Green–Blue)</t>
  </si>
  <si>
    <t>51 153 102  #339966</t>
  </si>
  <si>
    <t>153 204 0   #99CC00</t>
  </si>
  <si>
    <t>128 0   0   #800000</t>
  </si>
  <si>
    <t>255 0   255 #FF00FF</t>
  </si>
  <si>
    <t>255 102 0   #FF6600</t>
  </si>
  <si>
    <t>255 0   0   #FF0000</t>
  </si>
  <si>
    <t>0   0   255 #0000FF</t>
  </si>
  <si>
    <t>255 204 153 #FFCC99</t>
  </si>
  <si>
    <t>204 153 255 #CC99FF</t>
  </si>
  <si>
    <t>Códigos de color RGB (Rojo–Verde–Azul)</t>
  </si>
  <si>
    <t>51  153 102  #339966</t>
  </si>
  <si>
    <t>153 204 0    #99CC00</t>
  </si>
  <si>
    <t>128 0   0    #800000</t>
  </si>
  <si>
    <t>255 0   255  #FF00FF</t>
  </si>
  <si>
    <t>255 102 0    #FF6600</t>
  </si>
  <si>
    <t>255 0   0    #FF0000</t>
  </si>
  <si>
    <t>0   0   255  #0000FF</t>
  </si>
  <si>
    <t>255 204 153  #FFCC99</t>
  </si>
  <si>
    <t>204 153 255  #CC99FF</t>
  </si>
  <si>
    <t>R      G       B           HEX</t>
  </si>
  <si>
    <t>Pour vos futurs documents = autre identification possible</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</si>
  <si>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</si>
  <si>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</si>
  <si>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V18&amp;" "&amp;W18&amp;" ► Famille = "&amp;AA12&amp;" ► "&amp;T12&amp;" "&amp;Z15&amp;" "&amp;AA15&amp;" "&amp;AB15&amp;" "&amp;AC15</t>
  </si>
  <si>
    <t>MAJUSCULE(GAUCHE(T12;1))&amp;" "&amp;T12&amp;" | "&amp;AA12&amp;"| "&amp;T14&amp;" "&amp;U14</t>
  </si>
  <si>
    <t>Collez cette ligne de séparation avec un "A" entre 2 Postits  -  Paste this separation line with an “A” between 2 Postits  -  Pegue esta línea de separación con una “A” entre 2 Postits.</t>
  </si>
  <si>
    <t>Collez la photo du plat - (alt.) Insert the photo of the dish - (alt.) Inserte la foto del plato.</t>
  </si>
  <si>
    <t>ou collez un imprim' écran - or paste a screenshot - o pegue una captura de pantalla (alt.: “un pantallazo”)</t>
  </si>
  <si>
    <t xml:space="preserve">  ▼ BROUILLON - DRAFT - BORRADOR</t>
  </si>
  <si>
    <t>◄ test No. of characters + spaces (alt.: test character count + spaces)</t>
  </si>
  <si>
    <t>◄ prueba Nº de caracteres + espacios (alt.: recuento de caracteres + espacios)</t>
  </si>
  <si>
    <t>Les traductions ont été faites avec l'aide de ChatGPT</t>
  </si>
  <si>
    <t>The translations were made with the help of ChatGPT.</t>
  </si>
  <si>
    <t>Las traducciones se hicieron con la ayuda de ChatGPT.</t>
  </si>
  <si>
    <t>Joel Leboucher - Rochefort sur Mer 11 Octobre 2025</t>
  </si>
  <si>
    <t>Qué? Introduzca Trozos - rebanadas - raciones - piezas - cerezas etc.</t>
  </si>
  <si>
    <t xml:space="preserve"> Vous pouvez Masquez ces 18 colonnes  </t>
  </si>
  <si>
    <t>Fiche fixe (préformatée) - Fixed (preformatted) sheet - Hoja fija (preformateada)</t>
  </si>
  <si>
    <t>You can hide these 18 columns. _ Puedes ocultar estas 18 columnas.</t>
  </si>
  <si>
    <t>Collez vos Postits dans ces colonnes - Paste your postits into these columns</t>
  </si>
  <si>
    <t>Pegue sus postits en estas columnas</t>
  </si>
  <si>
    <t>Les colonnes à afficher pour le répertoire s’étendent de AE à BC</t>
  </si>
  <si>
    <t>The columns to display for the directory span from AE to BC, while columns L to AC show the various pasted recipes (postits).</t>
  </si>
  <si>
    <t>Las columnas que se deben mostrar para el directorio abarcan de AE a BC, mientras que las de L a AC muestran las distintas recetas pegadas (postits).</t>
  </si>
  <si>
    <t>unité(s)</t>
  </si>
  <si>
    <t>unit(s)</t>
  </si>
  <si>
    <t>unidad(es)</t>
  </si>
  <si>
    <t>copier en ❾ si souhaité &gt;</t>
  </si>
  <si>
    <t>Col.41</t>
  </si>
  <si>
    <t>Col.42</t>
  </si>
  <si>
    <t>Col.43</t>
  </si>
  <si>
    <t>Col.44</t>
  </si>
  <si>
    <t xml:space="preserve"> masquer les colonnes   &lt; vous avez 18 + 6 colonnes masquables</t>
  </si>
  <si>
    <t>Hide columns &lt; you have 18 + 6 hideable columns.</t>
  </si>
  <si>
    <t>Oculta columnas &lt; tienes 18 + 6 columnas ocultables.</t>
  </si>
  <si>
    <t>Fin du document cellule &gt;End of document — cell - Fin del documento — celda &gt;</t>
  </si>
  <si>
    <t>Organización de Recetas (Cocina, Pastelería, Charcutería)</t>
  </si>
  <si>
    <t>Dernière mise à jour : 21 Octobre 2025</t>
  </si>
  <si>
    <t>Notice utilisateur – Fiches recettes modulaires</t>
  </si>
  <si>
    <t>User Guide – Modular Recipe Sheets</t>
  </si>
  <si>
    <t>Guía de usuario – Fichas de recetas modulares</t>
  </si>
  <si>
    <t>1) À quoi sert ce système ?</t>
  </si>
  <si>
    <t>1) What is this system for?</t>
  </si>
  <si>
    <t>1) Para qué sirve este sistema?</t>
  </si>
  <si>
    <t>Composer rapidement des recettes sur mesure grâce à :</t>
  </si>
  <si>
    <t>Quickly build made-to-measure recipes thanks to:</t>
  </si>
  <si>
    <t>Para componer rápidamente recetas a medida gracias a:</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</si>
  <si>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</si>
  <si>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r>
      <t xml:space="preserve">a </t>
    </r>
    <r>
      <rPr>
        <b/>
        <sz val="11"/>
        <color theme="1"/>
        <rFont val="Calibri"/>
        <family val="2"/>
        <scheme val="minor"/>
      </rPr>
      <t>fixed (preformatted) Sheet</t>
    </r>
    <r>
      <rPr>
        <sz val="11"/>
        <color theme="1"/>
        <rFont val="Calibri"/>
        <family val="2"/>
        <scheme val="minor"/>
      </rPr>
      <t>: the main support that stays in place;</t>
    </r>
  </si>
  <si>
    <r>
      <t xml:space="preserve">una </t>
    </r>
    <r>
      <rPr>
        <b/>
        <sz val="11"/>
        <color theme="1"/>
        <rFont val="Calibri"/>
        <family val="2"/>
        <scheme val="minor"/>
      </rPr>
      <t>Ficha fija (preformateada)</t>
    </r>
    <r>
      <rPr>
        <sz val="11"/>
        <color theme="1"/>
        <rFont val="Calibri"/>
        <family val="2"/>
        <scheme val="minor"/>
      </rPr>
      <t>: soporte principal que permanece en su sitio;</t>
    </r>
  </si>
  <si>
    <t>des "Postit"s (parties détachables) : petits blocs Ingrédients</t>
  </si>
  <si>
    <t xml:space="preserve">"Postit" blocks (detachable parts): small Ingredients </t>
  </si>
  <si>
    <t xml:space="preserve">bloques "Postit" (partes desmontables): pequeños bloques Ingredientes </t>
  </si>
  <si>
    <t xml:space="preserve"> '+ Quantités que l’on ajoute/retire pour construire la recette.</t>
  </si>
  <si>
    <t>'+ Quantities chunks you add/remove to build the recipe.</t>
  </si>
  <si>
    <t>'+ Cantidades que se añaden o retiran para construir la receta.</t>
  </si>
  <si>
    <t>2) Les deux éléments</t>
  </si>
  <si>
    <t>2) The two elements</t>
  </si>
  <si>
    <t>2) Los dos elementos</t>
  </si>
  <si>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</si>
  <si>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t>A. Fiche fixe (préformatée)</t>
  </si>
  <si>
    <t>A. Fixed (preformatted) Sheet</t>
  </si>
  <si>
    <t>A. Ficha fija (preformateada)</t>
  </si>
  <si>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</si>
  <si>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r>
      <t xml:space="preserve">Rôle : </t>
    </r>
    <r>
      <rPr>
        <b/>
        <sz val="11"/>
        <color theme="1"/>
        <rFont val="Calibri"/>
        <family val="2"/>
        <scheme val="minor"/>
      </rPr>
      <t>page d’assemblage</t>
    </r>
    <r>
      <rPr>
        <sz val="11"/>
        <color theme="1"/>
        <rFont val="Calibri"/>
        <family val="2"/>
        <scheme val="minor"/>
      </rPr>
      <t xml:space="preserve"> de la recette.</t>
    </r>
  </si>
  <si>
    <r>
      <t>Role:</t>
    </r>
    <r>
      <rPr>
        <sz val="11"/>
        <color theme="1"/>
        <rFont val="Calibri"/>
        <family val="2"/>
        <scheme val="minor"/>
      </rPr>
      <t xml:space="preserve"> assembly page for the recipe.</t>
    </r>
  </si>
  <si>
    <r>
      <t>Función:</t>
    </r>
    <r>
      <rPr>
        <sz val="11"/>
        <color theme="1"/>
        <rFont val="Calibri"/>
        <family val="2"/>
        <scheme val="minor"/>
      </rPr>
      <t xml:space="preserve"> página de montaje de la receta.</t>
    </r>
  </si>
  <si>
    <t>Contenu : titres, zones pour "Postit"s (base, garnitures, finitions),</t>
  </si>
  <si>
    <t xml:space="preserve">Contents: headings, areas for "Postit" blocks (base, fillings, finishes), </t>
  </si>
  <si>
    <t>Contenido: títulos, zonas para "Postit" (base, rellenos, terminaciones),</t>
  </si>
  <si>
    <t xml:space="preserve"> info de calcul/production (si prévu par votre modèle).</t>
  </si>
  <si>
    <t>calculation/production info (if provided by your template).</t>
  </si>
  <si>
    <t xml:space="preserve"> información de cálculo/producción (si su plantilla lo prevé).</t>
  </si>
  <si>
    <t>Elle ne bouge pas : on y colle les "Postit"s.</t>
  </si>
  <si>
    <t>It does not move: you stick the "Postit" blocks onto it.</t>
  </si>
  <si>
    <t>No se mueve: ahí se pegan los "Postit".</t>
  </si>
  <si>
    <t>B. "Postit"s (parties détachables)</t>
  </si>
  <si>
    <t>B. "Postit" blocks (detachable parts)</t>
  </si>
  <si>
    <t>B. "Postit" (partes desmontables)</t>
  </si>
  <si>
    <t>Click the first cell, then in the formula bar select the number you’re interested in. Choose the font and color you prefer.</t>
  </si>
  <si>
    <t>Contenu :</t>
  </si>
  <si>
    <t>Contents:</t>
  </si>
  <si>
    <t>Contenido:</t>
  </si>
  <si>
    <t>Haga clic en la primera celda y, en la barra de fórmulas, seleccione el número que le interese. Elija la fuente y el color que prefiera.</t>
  </si>
  <si>
    <t>Liste de denrées (ingrédients)</t>
  </si>
  <si>
    <t>List of food items (ingredients)</t>
  </si>
  <si>
    <t>Lista de géneros/alimentos (ingredientes)</t>
  </si>
  <si>
    <r>
      <t>Quantités précises</t>
    </r>
    <r>
      <rPr>
        <sz val="11"/>
        <color theme="1"/>
        <rFont val="Calibri"/>
        <family val="2"/>
        <scheme val="minor"/>
      </rPr>
      <t xml:space="preserve"> définies par l’auteur</t>
    </r>
  </si>
  <si>
    <t>Precise quantities defined by the author</t>
  </si>
  <si>
    <t>Cantidades precisas definidas por el autor</t>
  </si>
  <si>
    <t>Un "Postit" = un module (ex. : biscuit, crème, sirop, décoration).</t>
  </si>
  <si>
    <t>One "Postit" = one module (e.g., sponge, cream, syrup, decoration).</t>
  </si>
  <si>
    <t>Un "Postit" = un módulo (p. ej., bizcocho, crema, almíbar, decoración).</t>
  </si>
  <si>
    <r>
      <t xml:space="preserve">Actions : </t>
    </r>
    <r>
      <rPr>
        <b/>
        <sz val="11"/>
        <color theme="1"/>
        <rFont val="Calibri"/>
        <family val="2"/>
        <scheme val="minor"/>
      </rPr>
      <t>ajouter, déplacer, remplacer</t>
    </r>
    <r>
      <rPr>
        <sz val="11"/>
        <color theme="1"/>
        <rFont val="Calibri"/>
        <family val="2"/>
        <scheme val="minor"/>
      </rPr>
      <t xml:space="preserve"> pour personnaliser la recette.</t>
    </r>
  </si>
  <si>
    <r>
      <t>Actions:</t>
    </r>
    <r>
      <rPr>
        <sz val="11"/>
        <color theme="1"/>
        <rFont val="Calibri"/>
        <family val="2"/>
        <scheme val="minor"/>
      </rPr>
      <t xml:space="preserve"> add, move, replace to customize the recipe.</t>
    </r>
  </si>
  <si>
    <r>
      <t>Acciones:</t>
    </r>
    <r>
      <rPr>
        <sz val="11"/>
        <color theme="1"/>
        <rFont val="Calibri"/>
        <family val="2"/>
        <scheme val="minor"/>
      </rPr>
      <t xml:space="preserve"> añadir, desplazar, sustituir para personalizar la receta.</t>
    </r>
  </si>
  <si>
    <t>3) Créer une recette (pas à pas)</t>
  </si>
  <si>
    <t>3) Create a recipe (step by step)</t>
  </si>
  <si>
    <t>3) Crear una receta (paso a paso)</t>
  </si>
  <si>
    <t>1. Choisir la base</t>
  </si>
  <si>
    <t>1. Choose the base</t>
  </si>
  <si>
    <t>1. Elegir la base</t>
  </si>
  <si>
    <t>Dans le répertoire, copiez le "Postit" Biscuit souhaité (génoise, brownie, dacquoise…).</t>
  </si>
  <si>
    <t>In the directory, copy the desired “Postit” Biscuit (génoise, brownie, dacquoise…).</t>
  </si>
  <si>
    <t>En el directorio, copie el “Postit” Bizcocho que desee (genovesa, brownie, dacquoise…).</t>
  </si>
  <si>
    <t>Collez-le dans les colonnes de L à AC de la fiche Préformatée</t>
  </si>
  <si>
    <t>Paste it into columns L to AC of the Preformatted sheet.</t>
  </si>
  <si>
    <t>Péguelo en las columnas L a AC de la ficha Preformateada.</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</si>
  <si>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</si>
  <si>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2. Ajouter les garnitures</t>
  </si>
  <si>
    <t>2. Add the fillings</t>
  </si>
  <si>
    <t>2. Añadir los rellenos</t>
  </si>
  <si>
    <t>So if a formula doesn’t display the expected value, double-check these separators:</t>
  </si>
  <si>
    <t>Sélectionnez un ou deux "Postit"s Crème/Ganache/Compotée.</t>
  </si>
  <si>
    <t>Select one or two Cream/Ganache/Compote "Postit" blocks.</t>
  </si>
  <si>
    <t>Seleccione uno o dos "Postit" Crema/Ganache/Compota.</t>
  </si>
  <si>
    <t>File &gt; Options &gt; Advanced &gt; Editing options</t>
  </si>
  <si>
    <t>Collez-les sous la base.</t>
  </si>
  <si>
    <t>Paste them under the base.</t>
  </si>
  <si>
    <t>Péguelos debajo de la base.</t>
  </si>
  <si>
    <r>
      <t xml:space="preserve">System separators are set in </t>
    </r>
    <r>
      <rPr>
        <b/>
        <sz val="11"/>
        <color theme="1"/>
        <rFont val="Calibri"/>
        <family val="2"/>
        <scheme val="minor"/>
      </rPr>
      <t>Control Panel &gt; Region settings</t>
    </r>
    <r>
      <rPr>
        <sz val="11"/>
        <color theme="1"/>
        <rFont val="Calibri"/>
        <family val="2"/>
        <scheme val="minor"/>
      </rPr>
      <t>.</t>
    </r>
  </si>
  <si>
    <r>
      <t xml:space="preserve">In </t>
    </r>
    <r>
      <rPr>
        <b/>
        <sz val="11"/>
        <color theme="1"/>
        <rFont val="Calibri"/>
        <family val="2"/>
        <scheme val="minor"/>
      </rPr>
      <t>Excel (French UI)</t>
    </r>
    <r>
      <rPr>
        <sz val="11"/>
        <color theme="1"/>
        <rFont val="Calibri"/>
        <family val="2"/>
        <scheme val="minor"/>
      </rPr>
      <t xml:space="preserve">, tick </t>
    </r>
    <r>
      <rPr>
        <b/>
        <sz val="11"/>
        <color theme="1"/>
        <rFont val="Calibri"/>
        <family val="2"/>
        <scheme val="minor"/>
      </rPr>
      <t>Use system separators</t>
    </r>
  </si>
  <si>
    <t>3. Terminer par les finitions</t>
  </si>
  <si>
    <t>3. Finish with the decorations</t>
  </si>
  <si>
    <t>3. Terminar con las terminaciones</t>
  </si>
  <si>
    <t>Ajoutez le "Postit" Décoration (glaçage, fruits, toppings).</t>
  </si>
  <si>
    <t>Add the Decoration "Postit" (glaze, fruit, toppings).</t>
  </si>
  <si>
    <t>Añada el "Postit" Decoración (glaseado, fruta, toppings).</t>
  </si>
  <si>
    <r>
      <t>Atención:</t>
    </r>
    <r>
      <rPr>
        <sz val="11"/>
        <color theme="1"/>
        <rFont val="Calibri"/>
        <family val="2"/>
        <scheme val="minor"/>
      </rPr>
      <t xml:space="preserve"> según la versión de Excel, el separador decimal puede ser </t>
    </r>
    <r>
      <rPr>
        <b/>
        <sz val="11"/>
        <color theme="1"/>
        <rFont val="Calibri"/>
        <family val="2"/>
        <scheme val="minor"/>
      </rPr>
      <t>coma</t>
    </r>
    <r>
      <rPr>
        <sz val="11"/>
        <color theme="1"/>
        <rFont val="Calibri"/>
        <family val="2"/>
        <scheme val="minor"/>
      </rPr>
      <t xml:space="preserve"> o </t>
    </r>
    <r>
      <rPr>
        <b/>
        <sz val="11"/>
        <color theme="1"/>
        <rFont val="Calibri"/>
        <family val="2"/>
        <scheme val="minor"/>
      </rPr>
      <t>punto</t>
    </r>
    <r>
      <rPr>
        <sz val="11"/>
        <color theme="1"/>
        <rFont val="Calibri"/>
        <family val="2"/>
        <scheme val="minor"/>
      </rPr>
      <t xml:space="preserve">. Yo utilicé </t>
    </r>
    <r>
      <rPr>
        <b/>
        <sz val="11"/>
        <color theme="1"/>
        <rFont val="Calibri"/>
        <family val="2"/>
        <scheme val="minor"/>
      </rPr>
      <t>punto</t>
    </r>
    <r>
      <rPr>
        <sz val="11"/>
        <color theme="1"/>
        <rFont val="Calibri"/>
        <family val="2"/>
        <scheme val="minor"/>
      </rPr>
      <t>.</t>
    </r>
  </si>
  <si>
    <t>Si una fórmula no muestra el valor esperado, verifique estos separadores:</t>
  </si>
  <si>
    <t>4. Ajuster</t>
  </si>
  <si>
    <t>4. Adjust</t>
  </si>
  <si>
    <t>4. Ajustar</t>
  </si>
  <si>
    <t>Archivo &gt; Opciones &gt; Avanzadas &gt; Opciones de edición</t>
  </si>
  <si>
    <t>Remplacez un "Postit" pour créer une variante (p. ex. ganache → chantilly).</t>
  </si>
  <si>
    <t>Replace a "Postit" to create a variant (e.g., ganache → chantilly).</t>
  </si>
  <si>
    <t>Sustituya un "Postit" para crear una variante (p. ej., ganache → chantilly).</t>
  </si>
  <si>
    <r>
      <t xml:space="preserve">Los separadores del sistema se definen en </t>
    </r>
    <r>
      <rPr>
        <b/>
        <sz val="11"/>
        <color theme="1"/>
        <rFont val="Calibri"/>
        <family val="2"/>
        <scheme val="minor"/>
      </rPr>
      <t>Panel de control &gt; Configuración regional</t>
    </r>
    <r>
      <rPr>
        <sz val="11"/>
        <color theme="1"/>
        <rFont val="Calibri"/>
        <family val="2"/>
        <scheme val="minor"/>
      </rPr>
      <t>.</t>
    </r>
  </si>
  <si>
    <r>
      <t xml:space="preserve">Modifiez les </t>
    </r>
    <r>
      <rPr>
        <b/>
        <sz val="11"/>
        <color theme="1"/>
        <rFont val="Calibri"/>
        <family val="2"/>
        <scheme val="minor"/>
      </rPr>
      <t>quantités</t>
    </r>
    <r>
      <rPr>
        <sz val="11"/>
        <color theme="1"/>
        <rFont val="Calibri"/>
        <family val="2"/>
        <scheme val="minor"/>
      </rPr>
      <t xml:space="preserve"> si nécessaire (selon le gabarit de production).</t>
    </r>
  </si>
  <si>
    <t>Edit quantities if needed (according to your production scale).</t>
  </si>
  <si>
    <t>Modifique las cantidades si es necesario (según el formato de producción).</t>
  </si>
  <si>
    <r>
      <t xml:space="preserve">En </t>
    </r>
    <r>
      <rPr>
        <b/>
        <sz val="11"/>
        <color theme="1"/>
        <rFont val="Calibri"/>
        <family val="2"/>
        <scheme val="minor"/>
      </rPr>
      <t>Excel (interfaz en francés)</t>
    </r>
    <r>
      <rPr>
        <sz val="11"/>
        <color theme="1"/>
        <rFont val="Calibri"/>
        <family val="2"/>
        <scheme val="minor"/>
      </rPr>
      <t xml:space="preserve">, marque </t>
    </r>
    <r>
      <rPr>
        <b/>
        <sz val="11"/>
        <color theme="1"/>
        <rFont val="Calibri"/>
        <family val="2"/>
        <scheme val="minor"/>
      </rPr>
      <t>Usar separadores del sistema</t>
    </r>
    <r>
      <rPr>
        <sz val="11"/>
        <color theme="1"/>
        <rFont val="Calibri"/>
        <family val="2"/>
        <scheme val="minor"/>
      </rPr>
      <t>.</t>
    </r>
  </si>
  <si>
    <t>Vous pouvez regrouper plusieurs "Postit"s sur la même fiche</t>
  </si>
  <si>
    <t>You can group multiple "Postit" blocks on the same sheet</t>
  </si>
  <si>
    <t xml:space="preserve">Puede agrupar varios "Postit" en la misma ficha </t>
  </si>
  <si>
    <t xml:space="preserve"> pour obtenir une recette complète et lisible.</t>
  </si>
  <si>
    <t xml:space="preserve"> to produce a complete, readable recipe.</t>
  </si>
  <si>
    <t>para obtener una receta completa y legible.</t>
  </si>
  <si>
    <t>4) Exemple express : un gâteau</t>
  </si>
  <si>
    <t>4) Quick example: a cake</t>
  </si>
  <si>
    <t>4) Ejemplo exprés: un pastel</t>
  </si>
  <si>
    <t>Base : "Postit" Biscuit génoise</t>
  </si>
  <si>
    <t>Base: "Postit" Sponge (génoise)</t>
  </si>
  <si>
    <t>Base: "Postit" Bizcocho (génoise)</t>
  </si>
  <si>
    <t>Garniture : "Postit" Crème mousseline + (optionnel) Compotée de fruits</t>
  </si>
  <si>
    <t>Filling: "Postit" Mousseline cream + (optional) fruit compote</t>
  </si>
  <si>
    <t>Relleno: "Postit" Crema muselina + (opcional) compota de fruta</t>
  </si>
  <si>
    <t>Finition : "Postit" Décoration – glaçage miroir + fruits frais</t>
  </si>
  <si>
    <t>Finish: "Postit" Decoration – mirror glaze + fresh fruit</t>
  </si>
  <si>
    <t>Terminación: "Postit" Decoración – glaseado espejo + fruta fresca</t>
  </si>
  <si>
    <t>Résultat : la fiche finale rassemble tous les modules nécessaires au même endroit.</t>
  </si>
  <si>
    <r>
      <t>Result:</t>
    </r>
    <r>
      <rPr>
        <sz val="11"/>
        <color theme="1"/>
        <rFont val="Calibri"/>
        <family val="2"/>
        <scheme val="minor"/>
      </rPr>
      <t xml:space="preserve"> the final sheet gathers all the required modules in one place.</t>
    </r>
  </si>
  <si>
    <r>
      <t>Resultado:</t>
    </r>
    <r>
      <rPr>
        <sz val="11"/>
        <color theme="1"/>
        <rFont val="Calibri"/>
        <family val="2"/>
        <scheme val="minor"/>
      </rPr>
      <t xml:space="preserve"> la ficha final reúne todos los módulos necesarios en un mismo lugar.</t>
    </r>
  </si>
  <si>
    <t>Same idea for kitchen or charcuterie recipes—use the directories.</t>
  </si>
  <si>
    <t>Lo mismo para recetas de cocina o charcutería: use los directorios.</t>
  </si>
  <si>
    <t>5) Bonnes pratiques</t>
  </si>
  <si>
    <t>5) Best practices</t>
  </si>
  <si>
    <t>5) Buenas prácticas</t>
  </si>
  <si>
    <t>Un module = un "Postit" (clair et réutilisable).</t>
  </si>
  <si>
    <t>One module = one "Postit" (clear and reusable).</t>
  </si>
  <si>
    <t>Un módulo = un "Postit" (claro y reutilizable).</t>
  </si>
  <si>
    <t xml:space="preserve">Nommer clairement les "Postit"s : Biscuit – Dacquoise amande, </t>
  </si>
  <si>
    <t xml:space="preserve">Name "Postit" blocks clearly: Biscuit – Almond dacquoise, </t>
  </si>
  <si>
    <t>Nombrar claramente los "Postit": Bizcocho – Dacquoise de almendra,</t>
  </si>
  <si>
    <t>Crème – Ganache 70%, Décor – Nappage neutre.</t>
  </si>
  <si>
    <t>Cream – 70% ganache, Decor – Neutral glaze.</t>
  </si>
  <si>
    <t xml:space="preserve"> Crema – Ganache 70%, Decoración – Glaseado neutro.</t>
  </si>
  <si>
    <r>
      <t>Standardiser les unités</t>
    </r>
    <r>
      <rPr>
        <sz val="11"/>
        <color theme="1"/>
        <rFont val="Calibri"/>
        <family val="2"/>
        <scheme val="minor"/>
      </rPr>
      <t xml:space="preserve"> (g, kg, L) et les formats de quantités.</t>
    </r>
  </si>
  <si>
    <t>Standardize units (g, kg, L) and quantity formats.</t>
  </si>
  <si>
    <t>Estandarizar unidades (g, kg, L) y formatos de cantidad.</t>
  </si>
  <si>
    <t>Centraliser un répertoire de "Postit"s “validés” pour éviter les doublons.</t>
  </si>
  <si>
    <t>Centralize a directory of validated "Postit" blocks to avoid duplicates.</t>
  </si>
  <si>
    <t>Centralizar un directorio de "Postit" validados para evitar duplicados.</t>
  </si>
  <si>
    <t>Créer des variantes en dupliquant un "Postit" (ex. “Crème pistache – version allégée”).</t>
  </si>
  <si>
    <t>Create variants by duplicating a "Postit" (e.g., “Pistachio cream – light version”).</t>
  </si>
  <si>
    <t>Crear variantes duplicando un "Postit" (p. ej., “Crema de pistacho – versión ligera”).</t>
  </si>
  <si>
    <r>
      <t>Vérifier les totaux</t>
    </r>
    <r>
      <rPr>
        <sz val="11"/>
        <color theme="1"/>
        <rFont val="Calibri"/>
        <family val="2"/>
        <scheme val="minor"/>
      </rPr>
      <t xml:space="preserve"> si votre modèle calcule les quantités ou le coût.</t>
    </r>
  </si>
  <si>
    <t>Check totals if your template calculates quantities or cost.</t>
  </si>
  <si>
    <t>Verificar los totales si su plantilla calcula cantidades o coste.</t>
  </si>
  <si>
    <t>6) Astuces Excel (pratique)</t>
  </si>
  <si>
    <t>6) Handy Excel tips</t>
  </si>
  <si>
    <t>6) Trucos útiles de Excel</t>
  </si>
  <si>
    <t>Dupliquer un "Postit" : clic droit → Copier → Coller (ou Ctrl+C / Ctrl+V).</t>
  </si>
  <si>
    <t>Duplicate a "Postit": right-click → Copy → Paste (or Ctrl+C / Ctrl+V).</t>
  </si>
  <si>
    <t>Duplicar un "Postit": clic derecho → Copiar → Pegar (o Ctrl+C / Ctrl+V).</t>
  </si>
  <si>
    <t>Déplacer un "Postit" : couper/coller (Ctrl+X / Ctrl+V) pour garder la mise en forme.</t>
  </si>
  <si>
    <t>Move a "Postit": Cut/Paste (Ctrl+X / Ctrl+V) to keep formatting.</t>
  </si>
  <si>
    <t>Mover un "Postit": Cortar/Pegar (Ctrl+X / Ctrl+V) para conservar el formato.</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</si>
  <si>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</si>
  <si>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Preserve formatting:</t>
    </r>
    <r>
      <rPr>
        <sz val="11"/>
        <color theme="1"/>
        <rFont val="Calibri"/>
        <family val="2"/>
        <scheme val="minor"/>
      </rPr>
      <t xml:space="preserve"> use Paste Special → Keep Source Formatting.</t>
    </r>
  </si>
  <si>
    <r>
      <t>Conservar el formato:</t>
    </r>
    <r>
      <rPr>
        <sz val="11"/>
        <color theme="1"/>
        <rFont val="Calibri"/>
        <family val="2"/>
        <scheme val="minor"/>
      </rPr>
      <t xml:space="preserve"> usar Pegado especial → Mantener formato de origen.</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</si>
  <si>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</si>
  <si>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Clean printout:</t>
    </r>
    <r>
      <rPr>
        <sz val="11"/>
        <color theme="1"/>
        <rFont val="Calibri"/>
        <family val="2"/>
        <scheme val="minor"/>
      </rPr>
      <t xml:space="preserve"> set a print area around the fixed sheet.</t>
    </r>
  </si>
  <si>
    <r>
      <t>Impresión limpia:</t>
    </r>
    <r>
      <rPr>
        <sz val="11"/>
        <color theme="1"/>
        <rFont val="Calibri"/>
        <family val="2"/>
        <scheme val="minor"/>
      </rPr>
      <t xml:space="preserve"> definir un área de impresión alrededor de la ficha fija.</t>
    </r>
  </si>
  <si>
    <r>
      <t>Verrouiller la fiche fixe</t>
    </r>
    <r>
      <rPr>
        <sz val="11"/>
        <color theme="1"/>
        <rFont val="Calibri"/>
        <family val="2"/>
        <scheme val="minor"/>
      </rPr>
      <t xml:space="preserve"> (si prévu) pour éviter de modifier le gabarit par erreur.</t>
    </r>
  </si>
  <si>
    <r>
      <t>Lock the fixed sheet</t>
    </r>
    <r>
      <rPr>
        <sz val="11"/>
        <color theme="1"/>
        <rFont val="Calibri"/>
        <family val="2"/>
        <scheme val="minor"/>
      </rPr>
      <t xml:space="preserve"> (if available) to prevent accidental template edits.</t>
    </r>
  </si>
  <si>
    <r>
      <t>Bloquear la ficha fija</t>
    </r>
    <r>
      <rPr>
        <sz val="11"/>
        <color theme="1"/>
        <rFont val="Calibri"/>
        <family val="2"/>
        <scheme val="minor"/>
      </rPr>
      <t xml:space="preserve"> (si procede) para evitar modificar la plantilla por error.</t>
    </r>
  </si>
  <si>
    <t>7) FAQ rapide</t>
  </si>
  <si>
    <t>7) Quick FAQ</t>
  </si>
  <si>
    <t>7) FAQ rápida</t>
  </si>
  <si>
    <t>Q : Les "Postit"s se collent où ?</t>
  </si>
  <si>
    <t>Q: Where do the "Postit" blocks go?</t>
  </si>
  <si>
    <t>P: Dónde se pegan los "Postit"?</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</si>
  <si>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dans les zones prévues (base, garnitures, finitions).</t>
    </r>
  </si>
  <si>
    <r>
      <t>A:</t>
    </r>
    <r>
      <rPr>
        <sz val="11"/>
        <color theme="1"/>
        <rFont val="Calibri"/>
        <family val="2"/>
        <scheme val="minor"/>
      </rPr>
      <t xml:space="preserve"> Directly on the fixed recipe sheet, in the dedicated areas (base, fillings, finishes).</t>
    </r>
  </si>
  <si>
    <r>
      <t>R:</t>
    </r>
    <r>
      <rPr>
        <sz val="11"/>
        <color theme="1"/>
        <rFont val="Calibri"/>
        <family val="2"/>
        <scheme val="minor"/>
      </rPr>
      <t xml:space="preserve"> Directamente en la ficha de receta fija, en las zonas previstas (base, rellenos, terminaciones).</t>
    </r>
  </si>
  <si>
    <t>Q : Puis-je changer les quantités d’un "Postit" ?</t>
  </si>
  <si>
    <t>Q: Can I change a "Postit"’s quantities?</t>
  </si>
  <si>
    <t>P: Puedo cambiar las cantidades de un "Postit"?</t>
  </si>
  <si>
    <t>R : Oui. Modifiez les quantités dans le "Postit" collé (ou créez une variante).</t>
  </si>
  <si>
    <t>A: Yes. Edit the quantities in the pasted "Postit" (or create a variant).</t>
  </si>
  <si>
    <t>R: Sí. Modifique las cantidades en el "Postit" pegado (o cree una variante).</t>
  </si>
  <si>
    <t>Q : Comment créer une nouvelle recette ?</t>
  </si>
  <si>
    <r>
      <t>Q:</t>
    </r>
    <r>
      <rPr>
        <sz val="11"/>
        <color theme="1"/>
        <rFont val="Calibri"/>
        <family val="2"/>
        <scheme val="minor"/>
      </rPr>
      <t xml:space="preserve"> How do I create a new recipe?</t>
    </r>
  </si>
  <si>
    <r>
      <t>P:</t>
    </r>
    <r>
      <rPr>
        <sz val="11"/>
        <color theme="1"/>
        <rFont val="Calibri"/>
        <family val="2"/>
        <scheme val="minor"/>
      </rPr>
      <t xml:space="preserve"> Cómo crear una receta nueva?</t>
    </r>
  </si>
  <si>
    <t>R : Dupliquez une fiche fixe vierge → assemblez les "Postit"s voulus → ajustez → enregistrez.</t>
  </si>
  <si>
    <t>A: Duplicate a blank fixed sheet → assemble the desired "Postit" blocks → adjust → save.</t>
  </si>
  <si>
    <t>R: Duplique una ficha fija en blanco → monte los "Postit" deseados → ajuste → guarde.</t>
  </si>
  <si>
    <t>8) Résumé en une phrase</t>
  </si>
  <si>
    <t>8) One-sentence summary</t>
  </si>
  <si>
    <t>8) Resumen en una frase</t>
  </si>
  <si>
    <t xml:space="preserve">La fiche fixe est votre support ; les "Postit"s sont vos blocs “Ingrédients </t>
  </si>
  <si>
    <t>The fixed sheet is your support; the "Postit" blocks are your Ingredients</t>
  </si>
  <si>
    <t>La ficha fija es su soporte; los "Postit" son sus módulos Ingredientes</t>
  </si>
  <si>
    <t>'+ Quantités”. Assemblez-les, ajustez, imprimez : recette prête.</t>
  </si>
  <si>
    <t xml:space="preserve"> '+ Quantities modules. Assemble, adjust, print: recipe ready.</t>
  </si>
  <si>
    <t xml:space="preserve"> '+ Cantidades. Monte, ajuste, imprima: receta lista.</t>
  </si>
  <si>
    <t xml:space="preserve">je saisis volontairement "Postit" parce que l'autre version est une marque </t>
  </si>
  <si>
    <t>I intentionally use “Postit” because the other version is a trademark.</t>
  </si>
  <si>
    <t>Escribo intencionadamente “Postit” porque la otra versión es una marca registrada.</t>
  </si>
  <si>
    <t>9) Copier / coller un Post-it</t>
  </si>
  <si>
    <t>9) Copy / paste a Post-it</t>
  </si>
  <si>
    <t>9) Copiar / pegar un Post-it</t>
  </si>
  <si>
    <t>Étapes (méthode simple)</t>
  </si>
  <si>
    <t>Steps (simple method)</t>
  </si>
  <si>
    <t>Pasos (método sencillo)</t>
  </si>
  <si>
    <t>1. Pointer le coin haut gauche</t>
  </si>
  <si>
    <t>1. Point to the top-left corner</t>
  </si>
  <si>
    <t>1. Apuntar a la esquina superior izquierda</t>
  </si>
  <si>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</si>
  <si>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Place the cursor on the first cell of the Post-it (top-left, cell A).</t>
  </si>
  <si>
    <t>Coloque el cursor en la primera celda del Post-it (esquina superior izquierda, celda A).</t>
  </si>
  <si>
    <t>2. Sélectionner tout le Postit</t>
  </si>
  <si>
    <t>2. Select the entire Post-it</t>
  </si>
  <si>
    <t>2. Seleccionar todo el Post-it</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</si>
  <si>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</si>
  <si>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t>With the mouse: click, then drag to the block’s bottom-right corner.</t>
  </si>
  <si>
    <t>Con el ratón: clic y arrastre hasta la esquina inferior derecha del bloque.</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</si>
  <si>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</si>
  <si>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Or faster: click the first cell A, then Shift + click the bottom-right cell.</t>
  </si>
  <si>
    <t>O más rápido: clic en la primera celda A y luego Mayús (Shift) + clic en la celda de la esquina inferior derecha.</t>
  </si>
  <si>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</si>
  <si>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</si>
  <si>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</si>
  <si>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Copier</t>
  </si>
  <si>
    <t>3. Copy</t>
  </si>
  <si>
    <t>3. Copiar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</si>
  <si>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</si>
  <si>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r>
      <t xml:space="preserve">Press </t>
    </r>
    <r>
      <rPr>
        <b/>
        <sz val="11"/>
        <color theme="1"/>
        <rFont val="Calibri"/>
        <family val="2"/>
        <scheme val="minor"/>
      </rPr>
      <t>Ctrl + C</t>
    </r>
    <r>
      <rPr>
        <sz val="11"/>
        <color theme="1"/>
        <rFont val="Calibri"/>
        <family val="2"/>
        <scheme val="minor"/>
      </rPr>
      <t xml:space="preserve"> (or right-click → Copy).</t>
    </r>
  </si>
  <si>
    <r>
      <t xml:space="preserve">Pulse </t>
    </r>
    <r>
      <rPr>
        <b/>
        <sz val="11"/>
        <color theme="1"/>
        <rFont val="Calibri"/>
        <family val="2"/>
        <scheme val="minor"/>
      </rPr>
      <t>Ctrl + C</t>
    </r>
    <r>
      <rPr>
        <sz val="11"/>
        <color theme="1"/>
        <rFont val="Calibri"/>
        <family val="2"/>
        <scheme val="minor"/>
      </rPr>
      <t xml:space="preserve"> (o clic derecho → Copiar).</t>
    </r>
  </si>
  <si>
    <t>4. Coller dans le répertoire</t>
  </si>
  <si>
    <t>4. Paste into the directory</t>
  </si>
  <si>
    <t>4. Pegar en el directorio</t>
  </si>
  <si>
    <t xml:space="preserve">Allez dans la feuille/zone “Répertoire”, cliquez sur la cellule de destination (coin haut gauche) </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</si>
  <si>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</si>
  <si>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</si>
  <si>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puis Ctrl + V (ou clic droit → Coller).</t>
  </si>
  <si>
    <t xml:space="preserve"> then Ctrl + V (or right-click → Paste).</t>
  </si>
  <si>
    <t xml:space="preserve"> y luego Ctrl + V (o clic derecho → Pegar).</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</si>
  <si>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</si>
  <si>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To keep formatting, use </t>
    </r>
    <r>
      <rPr>
        <b/>
        <sz val="11"/>
        <color theme="1"/>
        <rFont val="Calibri"/>
        <family val="2"/>
        <scheme val="minor"/>
      </rPr>
      <t>Paste Special → Keep Source</t>
    </r>
    <r>
      <rPr>
        <sz val="11"/>
        <color theme="1"/>
        <rFont val="Calibri"/>
        <family val="2"/>
        <scheme val="minor"/>
      </rPr>
      <t>.</t>
    </r>
  </si>
  <si>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</si>
  <si>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</si>
  <si>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</si>
  <si>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</si>
  <si>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</si>
  <si>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</si>
  <si>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</si>
  <si>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Archivage &amp; classement (répertoire)</t>
  </si>
  <si>
    <t>Archiving &amp; filing (directory)</t>
  </si>
  <si>
    <t>Archivo y clasificación (directorio)</t>
  </si>
  <si>
    <r>
      <t>A — Alpha</t>
    </r>
    <r>
      <rPr>
        <sz val="11"/>
        <color theme="1"/>
        <rFont val="Calibri"/>
        <family val="2"/>
        <scheme val="minor"/>
      </rPr>
      <t xml:space="preserve"> : première lettre du nom, en majuscule (tri rapide).</t>
    </r>
  </si>
  <si>
    <r>
      <t>A — Alpha:</t>
    </r>
    <r>
      <rPr>
        <sz val="11"/>
        <color theme="1"/>
        <rFont val="Calibri"/>
        <family val="2"/>
        <scheme val="minor"/>
      </rPr>
      <t xml:space="preserve"> first letter of the name, uppercase (quick sort).</t>
    </r>
  </si>
  <si>
    <r>
      <t>A — Alfa:</t>
    </r>
    <r>
      <rPr>
        <sz val="11"/>
        <color theme="1"/>
        <rFont val="Calibri"/>
        <family val="2"/>
        <scheme val="minor"/>
      </rPr>
      <t xml:space="preserve"> primera letra del nombre, en mayúscula (orden rápido).</t>
    </r>
  </si>
  <si>
    <r>
      <t>Formule suggérée</t>
    </r>
    <r>
      <rPr>
        <sz val="11"/>
        <color theme="1"/>
        <rFont val="Calibri"/>
        <family val="2"/>
        <scheme val="minor"/>
      </rPr>
      <t xml:space="preserve"> : </t>
    </r>
    <r>
      <rPr>
        <sz val="10"/>
        <color theme="1"/>
        <rFont val="Arial Unicode MS"/>
      </rPr>
      <t>=MAJUSCULE(GAUCHE(D2;1))</t>
    </r>
  </si>
  <si>
    <r>
      <t>Suggested formula:</t>
    </r>
    <r>
      <rPr>
        <sz val="11"/>
        <color theme="1"/>
        <rFont val="Calibri"/>
        <family val="2"/>
        <scheme val="minor"/>
      </rPr>
      <t xml:space="preserve"> </t>
    </r>
    <r>
      <rPr>
        <sz val="10"/>
        <color theme="1"/>
        <rFont val="Arial Unicode MS"/>
      </rPr>
      <t>=UPPER(LEFT(D2,1))</t>
    </r>
  </si>
  <si>
    <r>
      <t>Fórmula sugerida:</t>
    </r>
    <r>
      <rPr>
        <sz val="11"/>
        <color theme="1"/>
        <rFont val="Calibri"/>
        <family val="2"/>
        <scheme val="minor"/>
      </rPr>
      <t xml:space="preserve"> </t>
    </r>
    <r>
      <rPr>
        <sz val="10"/>
        <color theme="1"/>
        <rFont val="Arial Unicode MS"/>
      </rPr>
      <t>=MAYUSC(IZQUIERDA(D2;1))</t>
    </r>
  </si>
  <si>
    <r>
      <t>B — Famille</t>
    </r>
    <r>
      <rPr>
        <sz val="11"/>
        <color theme="1"/>
        <rFont val="Calibri"/>
        <family val="2"/>
        <scheme val="minor"/>
      </rPr>
      <t xml:space="preserve"> : grande catégorie (ex. </t>
    </r>
    <r>
      <rPr>
        <i/>
        <sz val="11"/>
        <color theme="1"/>
        <rFont val="Calibri"/>
        <family val="2"/>
        <scheme val="minor"/>
      </rPr>
      <t>cuisine</t>
    </r>
    <r>
      <rPr>
        <sz val="11"/>
        <color theme="1"/>
        <rFont val="Calibri"/>
        <family val="2"/>
        <scheme val="minor"/>
      </rPr>
      <t xml:space="preserve">, </t>
    </r>
    <r>
      <rPr>
        <i/>
        <sz val="11"/>
        <color theme="1"/>
        <rFont val="Calibri"/>
        <family val="2"/>
        <scheme val="minor"/>
      </rPr>
      <t>pâtisserie</t>
    </r>
    <r>
      <rPr>
        <sz val="11"/>
        <color theme="1"/>
        <rFont val="Calibri"/>
        <family val="2"/>
        <scheme val="minor"/>
      </rPr>
      <t xml:space="preserve">, </t>
    </r>
    <r>
      <rPr>
        <i/>
        <sz val="11"/>
        <color theme="1"/>
        <rFont val="Calibri"/>
        <family val="2"/>
        <scheme val="minor"/>
      </rPr>
      <t>boulangerie</t>
    </r>
    <r>
      <rPr>
        <sz val="11"/>
        <color theme="1"/>
        <rFont val="Calibri"/>
        <family val="2"/>
        <scheme val="minor"/>
      </rPr>
      <t>).</t>
    </r>
  </si>
  <si>
    <r>
      <t>B — Family:</t>
    </r>
    <r>
      <rPr>
        <sz val="11"/>
        <color theme="1"/>
        <rFont val="Calibri"/>
        <family val="2"/>
        <scheme val="minor"/>
      </rPr>
      <t xml:space="preserve"> broad category (e.g., kitchen, pastry, bakery).</t>
    </r>
  </si>
  <si>
    <r>
      <t>B — Familia:</t>
    </r>
    <r>
      <rPr>
        <sz val="11"/>
        <color theme="1"/>
        <rFont val="Calibri"/>
        <family val="2"/>
        <scheme val="minor"/>
      </rPr>
      <t xml:space="preserve"> categoría amplia (p. ej., cocina, pastelería, panadería).</t>
    </r>
  </si>
  <si>
    <r>
      <t>C — Type d’Élément</t>
    </r>
    <r>
      <rPr>
        <sz val="11"/>
        <color theme="1"/>
        <rFont val="Calibri"/>
        <family val="2"/>
        <scheme val="minor"/>
      </rPr>
      <t xml:space="preserve"> : fonction ou nature du module (ex. </t>
    </r>
    <r>
      <rPr>
        <i/>
        <sz val="11"/>
        <color theme="1"/>
        <rFont val="Calibri"/>
        <family val="2"/>
        <scheme val="minor"/>
      </rPr>
      <t>cuisson</t>
    </r>
    <r>
      <rPr>
        <sz val="11"/>
        <color theme="1"/>
        <rFont val="Calibri"/>
        <family val="2"/>
        <scheme val="minor"/>
      </rPr>
      <t xml:space="preserve">, </t>
    </r>
    <r>
      <rPr>
        <i/>
        <sz val="11"/>
        <color theme="1"/>
        <rFont val="Calibri"/>
        <family val="2"/>
        <scheme val="minor"/>
      </rPr>
      <t>biscuit</t>
    </r>
    <r>
      <rPr>
        <sz val="11"/>
        <color theme="1"/>
        <rFont val="Calibri"/>
        <family val="2"/>
        <scheme val="minor"/>
      </rPr>
      <t xml:space="preserve">, </t>
    </r>
    <r>
      <rPr>
        <i/>
        <sz val="11"/>
        <color theme="1"/>
        <rFont val="Calibri"/>
        <family val="2"/>
        <scheme val="minor"/>
      </rPr>
      <t>crème</t>
    </r>
    <r>
      <rPr>
        <sz val="11"/>
        <color theme="1"/>
        <rFont val="Calibri"/>
        <family val="2"/>
        <scheme val="minor"/>
      </rPr>
      <t xml:space="preserve">, </t>
    </r>
    <r>
      <rPr>
        <i/>
        <sz val="11"/>
        <color theme="1"/>
        <rFont val="Calibri"/>
        <family val="2"/>
        <scheme val="minor"/>
      </rPr>
      <t>sirop</t>
    </r>
    <r>
      <rPr>
        <sz val="11"/>
        <color theme="1"/>
        <rFont val="Calibri"/>
        <family val="2"/>
        <scheme val="minor"/>
      </rPr>
      <t xml:space="preserve">, </t>
    </r>
    <r>
      <rPr>
        <i/>
        <sz val="11"/>
        <color theme="1"/>
        <rFont val="Calibri"/>
        <family val="2"/>
        <scheme val="minor"/>
      </rPr>
      <t>décoration</t>
    </r>
    <r>
      <rPr>
        <sz val="11"/>
        <color theme="1"/>
        <rFont val="Calibri"/>
        <family val="2"/>
        <scheme val="minor"/>
      </rPr>
      <t>).</t>
    </r>
  </si>
  <si>
    <r>
      <t>C — Item Type:</t>
    </r>
    <r>
      <rPr>
        <sz val="11"/>
        <color theme="1"/>
        <rFont val="Calibri"/>
        <family val="2"/>
        <scheme val="minor"/>
      </rPr>
      <t xml:space="preserve"> function or nature of the module (e.g., cooking, biscuit, cream, syrup, decoration).</t>
    </r>
  </si>
  <si>
    <r>
      <t>C — Tipo de elemento:</t>
    </r>
    <r>
      <rPr>
        <sz val="11"/>
        <color theme="1"/>
        <rFont val="Calibri"/>
        <family val="2"/>
        <scheme val="minor"/>
      </rPr>
      <t xml:space="preserve"> función o naturaleza del módulo (p. ej., cocción, bizcocho, crema, almíbar, decoración).</t>
    </r>
  </si>
  <si>
    <r>
      <t>D — Nom de l’Élément</t>
    </r>
    <r>
      <rPr>
        <sz val="11"/>
        <color theme="1"/>
        <rFont val="Calibri"/>
        <family val="2"/>
        <scheme val="minor"/>
      </rPr>
      <t xml:space="preserve"> : intitulé précis et unique (ex. </t>
    </r>
    <r>
      <rPr>
        <i/>
        <sz val="11"/>
        <color theme="1"/>
        <rFont val="Calibri"/>
        <family val="2"/>
        <scheme val="minor"/>
      </rPr>
      <t>Garniture bourguignonne</t>
    </r>
    <r>
      <rPr>
        <sz val="11"/>
        <color theme="1"/>
        <rFont val="Calibri"/>
        <family val="2"/>
        <scheme val="minor"/>
      </rPr>
      <t>).</t>
    </r>
  </si>
  <si>
    <r>
      <t>D — Item Name:</t>
    </r>
    <r>
      <rPr>
        <sz val="11"/>
        <color theme="1"/>
        <rFont val="Calibri"/>
        <family val="2"/>
        <scheme val="minor"/>
      </rPr>
      <t xml:space="preserve"> precise and unique title (e.g., </t>
    </r>
    <r>
      <rPr>
        <i/>
        <sz val="11"/>
        <color theme="1"/>
        <rFont val="Calibri"/>
        <family val="2"/>
        <scheme val="minor"/>
      </rPr>
      <t>Bourguignonne garnish</t>
    </r>
    <r>
      <rPr>
        <sz val="11"/>
        <color theme="1"/>
        <rFont val="Calibri"/>
        <family val="2"/>
        <scheme val="minor"/>
      </rPr>
      <t>).</t>
    </r>
  </si>
  <si>
    <r>
      <t>D — Nombre del elemento:</t>
    </r>
    <r>
      <rPr>
        <sz val="11"/>
        <color theme="1"/>
        <rFont val="Calibri"/>
        <family val="2"/>
        <scheme val="minor"/>
      </rPr>
      <t xml:space="preserve"> título preciso y único (p. ej., </t>
    </r>
    <r>
      <rPr>
        <i/>
        <sz val="11"/>
        <color theme="1"/>
        <rFont val="Calibri"/>
        <family val="2"/>
        <scheme val="minor"/>
      </rPr>
      <t>Guarnición bourguignonne</t>
    </r>
    <r>
      <rPr>
        <sz val="11"/>
        <color theme="1"/>
        <rFont val="Calibri"/>
        <family val="2"/>
        <scheme val="minor"/>
      </rPr>
      <t>).</t>
    </r>
  </si>
  <si>
    <r>
      <t>E — Préparation pour</t>
    </r>
    <r>
      <rPr>
        <sz val="11"/>
        <color theme="1"/>
        <rFont val="Calibri"/>
        <family val="2"/>
        <scheme val="minor"/>
      </rPr>
      <t xml:space="preserve"> : usage prévu (ex. </t>
    </r>
    <r>
      <rPr>
        <i/>
        <sz val="11"/>
        <color theme="1"/>
        <rFont val="Calibri"/>
        <family val="2"/>
        <scheme val="minor"/>
      </rPr>
      <t>plat principal</t>
    </r>
    <r>
      <rPr>
        <sz val="11"/>
        <color theme="1"/>
        <rFont val="Calibri"/>
        <family val="2"/>
        <scheme val="minor"/>
      </rPr>
      <t xml:space="preserve">, </t>
    </r>
    <r>
      <rPr>
        <i/>
        <sz val="11"/>
        <color theme="1"/>
        <rFont val="Calibri"/>
        <family val="2"/>
        <scheme val="minor"/>
      </rPr>
      <t>entremets</t>
    </r>
    <r>
      <rPr>
        <sz val="11"/>
        <color theme="1"/>
        <rFont val="Calibri"/>
        <family val="2"/>
        <scheme val="minor"/>
      </rPr>
      <t xml:space="preserve">, </t>
    </r>
    <r>
      <rPr>
        <i/>
        <sz val="11"/>
        <color theme="1"/>
        <rFont val="Calibri"/>
        <family val="2"/>
        <scheme val="minor"/>
      </rPr>
      <t>tarte</t>
    </r>
    <r>
      <rPr>
        <sz val="11"/>
        <color theme="1"/>
        <rFont val="Calibri"/>
        <family val="2"/>
        <scheme val="minor"/>
      </rPr>
      <t>).</t>
    </r>
  </si>
  <si>
    <r>
      <t>E — Intended for:</t>
    </r>
    <r>
      <rPr>
        <sz val="11"/>
        <color theme="1"/>
        <rFont val="Calibri"/>
        <family val="2"/>
        <scheme val="minor"/>
      </rPr>
      <t xml:space="preserve"> intended use (e.g., main course, entremets, tart).</t>
    </r>
  </si>
  <si>
    <r>
      <t>E — Preparación para:</t>
    </r>
    <r>
      <rPr>
        <sz val="11"/>
        <color theme="1"/>
        <rFont val="Calibri"/>
        <family val="2"/>
        <scheme val="minor"/>
      </rPr>
      <t xml:space="preserve"> uso previsto (p. ej., plato principal, entremeses, tarta).</t>
    </r>
  </si>
  <si>
    <r>
      <t>F — Recette mère</t>
    </r>
    <r>
      <rPr>
        <sz val="11"/>
        <color theme="1"/>
        <rFont val="Calibri"/>
        <family val="2"/>
        <scheme val="minor"/>
      </rPr>
      <t xml:space="preserve"> : fichier source (nom + date).</t>
    </r>
  </si>
  <si>
    <r>
      <t>F — Parent recipe:</t>
    </r>
    <r>
      <rPr>
        <sz val="11"/>
        <color theme="1"/>
        <rFont val="Calibri"/>
        <family val="2"/>
        <scheme val="minor"/>
      </rPr>
      <t xml:space="preserve"> source file (name + date).</t>
    </r>
  </si>
  <si>
    <r>
      <t>F — Receta madre:</t>
    </r>
    <r>
      <rPr>
        <sz val="11"/>
        <color theme="1"/>
        <rFont val="Calibri"/>
        <family val="2"/>
        <scheme val="minor"/>
      </rPr>
      <t xml:space="preserve"> archivo fuente (nombre + fecha).</t>
    </r>
  </si>
  <si>
    <r>
      <t>Convention recommandée</t>
    </r>
    <r>
      <rPr>
        <sz val="11"/>
        <color theme="1"/>
        <rFont val="Calibri"/>
        <family val="2"/>
        <scheme val="minor"/>
      </rPr>
      <t xml:space="preserve"> : </t>
    </r>
    <r>
      <rPr>
        <sz val="10"/>
        <color theme="1"/>
        <rFont val="Arial Unicode MS"/>
      </rPr>
      <t>NomRecette_YYYY-MM-DD.xlsx</t>
    </r>
  </si>
  <si>
    <r>
      <t>Recommended convention:</t>
    </r>
    <r>
      <rPr>
        <sz val="11"/>
        <color theme="1"/>
        <rFont val="Calibri"/>
        <family val="2"/>
        <scheme val="minor"/>
      </rPr>
      <t xml:space="preserve"> </t>
    </r>
    <r>
      <rPr>
        <sz val="10"/>
        <color theme="1"/>
        <rFont val="Arial Unicode MS"/>
      </rPr>
      <t>RecipeName_YYYY-MM-DD.xlsx</t>
    </r>
  </si>
  <si>
    <r>
      <t>Convención recomendada:</t>
    </r>
    <r>
      <rPr>
        <sz val="11"/>
        <color theme="1"/>
        <rFont val="Calibri"/>
        <family val="2"/>
        <scheme val="minor"/>
      </rPr>
      <t xml:space="preserve"> </t>
    </r>
    <r>
      <rPr>
        <sz val="10"/>
        <color theme="1"/>
        <rFont val="Arial Unicode MS"/>
      </rPr>
      <t>NombreReceta_AAAA-MM-DD.xlsx</t>
    </r>
  </si>
  <si>
    <r>
      <t>Exemple</t>
    </r>
    <r>
      <rPr>
        <sz val="11"/>
        <color theme="1"/>
        <rFont val="Calibri"/>
        <family val="2"/>
        <scheme val="minor"/>
      </rPr>
      <t xml:space="preserve"> : </t>
    </r>
    <r>
      <rPr>
        <sz val="10"/>
        <color theme="1"/>
        <rFont val="Arial Unicode MS"/>
      </rPr>
      <t>BoeufBourguignon_2023-09-20.xlsx</t>
    </r>
  </si>
  <si>
    <r>
      <t>Example:</t>
    </r>
    <r>
      <rPr>
        <sz val="11"/>
        <color theme="1"/>
        <rFont val="Calibri"/>
        <family val="2"/>
        <scheme val="minor"/>
      </rPr>
      <t xml:space="preserve"> </t>
    </r>
    <r>
      <rPr>
        <sz val="10"/>
        <color theme="1"/>
        <rFont val="Arial Unicode MS"/>
      </rPr>
      <t>BoeufBourguignon_2023-09-20.xlsx</t>
    </r>
  </si>
  <si>
    <r>
      <t>Ejemplo:</t>
    </r>
    <r>
      <rPr>
        <sz val="11"/>
        <color theme="1"/>
        <rFont val="Calibri"/>
        <family val="2"/>
        <scheme val="minor"/>
      </rPr>
      <t xml:space="preserve"> </t>
    </r>
    <r>
      <rPr>
        <sz val="10"/>
        <color theme="1"/>
        <rFont val="Arial Unicode MS"/>
      </rPr>
      <t>BoeufBourguignon_2023-09-20.xlsx</t>
    </r>
  </si>
  <si>
    <t>Example</t>
  </si>
  <si>
    <t>Ejemplo</t>
  </si>
  <si>
    <r>
      <t xml:space="preserve">A: </t>
    </r>
    <r>
      <rPr>
        <b/>
        <sz val="11"/>
        <color theme="1"/>
        <rFont val="Calibri"/>
        <family val="2"/>
        <scheme val="minor"/>
      </rPr>
      <t>G</t>
    </r>
  </si>
  <si>
    <t>A: G</t>
  </si>
  <si>
    <r>
      <t xml:space="preserve">B: </t>
    </r>
    <r>
      <rPr>
        <b/>
        <sz val="11"/>
        <color theme="1"/>
        <rFont val="Calibri"/>
        <family val="2"/>
        <scheme val="minor"/>
      </rPr>
      <t>cuisine</t>
    </r>
  </si>
  <si>
    <t>B: kitchen</t>
  </si>
  <si>
    <t>B: cocina</t>
  </si>
  <si>
    <r>
      <t xml:space="preserve">C: </t>
    </r>
    <r>
      <rPr>
        <b/>
        <sz val="11"/>
        <color theme="1"/>
        <rFont val="Calibri"/>
        <family val="2"/>
        <scheme val="minor"/>
      </rPr>
      <t>cuisson</t>
    </r>
  </si>
  <si>
    <t>C: cooking</t>
  </si>
  <si>
    <t>C: cocción</t>
  </si>
  <si>
    <r>
      <t xml:space="preserve">D: </t>
    </r>
    <r>
      <rPr>
        <b/>
        <sz val="11"/>
        <color theme="1"/>
        <rFont val="Calibri"/>
        <family val="2"/>
        <scheme val="minor"/>
      </rPr>
      <t>Garniture bourguignonne</t>
    </r>
  </si>
  <si>
    <t>D: Bourguignonne garnish</t>
  </si>
  <si>
    <t>D: Guarnición bourguignonne</t>
  </si>
  <si>
    <r>
      <t xml:space="preserve">E: </t>
    </r>
    <r>
      <rPr>
        <b/>
        <sz val="11"/>
        <color theme="1"/>
        <rFont val="Calibri"/>
        <family val="2"/>
        <scheme val="minor"/>
      </rPr>
      <t>plat principal</t>
    </r>
  </si>
  <si>
    <t>E: main course</t>
  </si>
  <si>
    <t>E: plato principal</t>
  </si>
  <si>
    <r>
      <t xml:space="preserve">F: </t>
    </r>
    <r>
      <rPr>
        <b/>
        <sz val="11"/>
        <color theme="1"/>
        <rFont val="Calibri"/>
        <family val="2"/>
        <scheme val="minor"/>
      </rPr>
      <t>BoeufBourguignon_2023-09-20.xlsx</t>
    </r>
  </si>
  <si>
    <t>F: BoeufBourguignon_2023-09-20.xlsx</t>
  </si>
  <si>
    <t>Col.45</t>
  </si>
  <si>
    <t>collez en remplacement - paste as a replacement - pegue en sustitución</t>
  </si>
  <si>
    <t>▼ ⓰ Your quantities and units</t>
  </si>
  <si>
    <t>▼ ⓰ Sus cantidades y unidades</t>
  </si>
  <si>
    <t>copy to ❾ if desired &gt;</t>
  </si>
  <si>
    <t>copiar en ❾ si se desea &gt;</t>
  </si>
  <si>
    <t xml:space="preserve"> et unités</t>
  </si>
  <si>
    <t>▼  ⓰ vos</t>
  </si>
  <si>
    <t>Quantités</t>
  </si>
  <si>
    <t>You can hide these 10 columns._▼ Puedes ocultar estas 10 columnas.</t>
  </si>
  <si>
    <t xml:space="preserve">▼ </t>
  </si>
  <si>
    <t xml:space="preserve">Vous pouvez Masquez ces 10 colonnes  </t>
  </si>
  <si>
    <t>👉 La cellule AR9 pilote l’ensemble des recettes de la fiche</t>
  </si>
  <si>
    <t>👉 Cell AR9 controls all recipes on the sheet.</t>
  </si>
  <si>
    <t>👉 La celda AR9 controla todas las recetas de la ficha.</t>
  </si>
  <si>
    <t>👉 ⓰ Optionnel — Vos quantités : vous pouvez ajuster les quantités en Col.33 lorsque les unités diffèrent (kg ou autre) ou si vous jugez les portions trop généreuses ou insuffisantes pour vos convives/clients.</t>
  </si>
  <si>
    <t>👉 ⓰ Optional — Your quantities: you can adjust the recipe quantities in Col.33 when units differ (kg or other), or if you find the portions too large or too small for your guests/customers.</t>
  </si>
  <si>
    <t>👉 ⓰ Opcional — Sus cantidades: puede ajustar las cantidades de la receta en la Col.33 cuando las unidades difieran (kg u otras) o si considera que las raciones son demasiado grandes o demasiado pequeñas para sus comensales/clientes.</t>
  </si>
  <si>
    <t xml:space="preserve">Vos quantités — Si les quantités de la Col.29 ne conviennent pas </t>
  </si>
  <si>
    <t xml:space="preserve">(trop élevées ou trop faibles pour vos convives), </t>
  </si>
  <si>
    <t xml:space="preserve">Your quantities — If the amounts in Col.29 are not suitable </t>
  </si>
  <si>
    <t xml:space="preserve"> enter your own quantities line by line in Col.33.</t>
  </si>
  <si>
    <t>Sus cantidades — Si las cantidades de la Col.29 no son adecuadas</t>
  </si>
  <si>
    <t>introduzca sus propias cantidades línea por línea en la Col.33.</t>
  </si>
  <si>
    <t xml:space="preserve"> (demasiado altas o demasiado bajas para sus comensales), </t>
  </si>
  <si>
    <t>Para que este documento funcione, debe haber una fórmula que use la función BUSCARX (en francés, RECHERCHEX) en la columna 15 o posteriores. et Adresse PC Col.6</t>
  </si>
  <si>
    <t>For this document to work, there must be a formula using the XLOOKUP function (RECHERCHEX in French) in &gt; Col.15 et Adresse PC Col.6</t>
  </si>
  <si>
    <t>Pour que ce document puisse fonctionner il faut qu'il y ait une formule avec la fonction RECHERCHEX colonne &gt; Col.15 et Adresse PC Col.6</t>
  </si>
  <si>
    <t>SAISISSEZ LE NOM DE LA RECETTE    ENTER THE RECIPE NAME   INTRODUZCA EL NOMBRE DE LA RECETA</t>
  </si>
  <si>
    <t xml:space="preserve">Saisissez vos propres quantités ligne par ligne en Col.33. selon vos besoins, </t>
  </si>
  <si>
    <t>augmentez ou diminuez les quantités. ❾ référence Auteur &gt;</t>
  </si>
  <si>
    <t>Increase or decrease the quantities as needed.❾ Author reference &gt;</t>
  </si>
  <si>
    <t>Aumente o disminuya las cantidades según sea necesario.❾ Referencia Autor &gt;</t>
  </si>
  <si>
    <t>Allergènes</t>
  </si>
  <si>
    <t>⚠ Mollusques</t>
  </si>
  <si>
    <t>⚠ Arachides</t>
  </si>
  <si>
    <t>⚠ Celeri</t>
  </si>
  <si>
    <t>⚠ Crustaces</t>
  </si>
  <si>
    <t>⚠ Fruits a coque</t>
  </si>
  <si>
    <t>⚠ Gluten</t>
  </si>
  <si>
    <t>⚠ Lait</t>
  </si>
  <si>
    <t>⚠ Lupin</t>
  </si>
  <si>
    <t>⚠ Moutarde</t>
  </si>
  <si>
    <t>⚠ Oeufs</t>
  </si>
  <si>
    <t>⚠ Poissons</t>
  </si>
  <si>
    <t>⚠ Sesame</t>
  </si>
  <si>
    <t>⚠ Soja</t>
  </si>
  <si>
    <t>⚠ Sulfites</t>
  </si>
  <si>
    <t>info Fruits a coque</t>
  </si>
  <si>
    <t>info Gluten</t>
  </si>
  <si>
    <t>info Lait</t>
  </si>
  <si>
    <t>info Moutarde</t>
  </si>
  <si>
    <t>info Poissons</t>
  </si>
  <si>
    <t>info Soja</t>
  </si>
  <si>
    <t>jaunes d'œufs*</t>
  </si>
  <si>
    <t>Vide</t>
  </si>
  <si>
    <t>beurre*</t>
  </si>
  <si>
    <t>crème*</t>
  </si>
  <si>
    <t>blancs d'œufs*</t>
  </si>
  <si>
    <t>pistaches hachées* (Pour Mémoire)</t>
  </si>
  <si>
    <t>si un produit ne remonte pas c'est qu"il n'est pas dans cette liste ou mal orthographié exemple cacahuete ,cacahuetes, cacahouetes, saisissez des variantes</t>
  </si>
  <si>
    <t>complétez la liste mais ne touchez pas aux produits en place certaines recherches sont branchées sur des mots précis</t>
  </si>
  <si>
    <t>Gluten alerte</t>
  </si>
  <si>
    <t>Gluten info</t>
  </si>
  <si>
    <t>Crustaces</t>
  </si>
  <si>
    <t>Oeufs</t>
  </si>
  <si>
    <t>Poissons alerte</t>
  </si>
  <si>
    <t>Poissons info</t>
  </si>
  <si>
    <t>Arachides</t>
  </si>
  <si>
    <t>Soja alerte</t>
  </si>
  <si>
    <t>Soja info</t>
  </si>
  <si>
    <t>Lait alerte</t>
  </si>
  <si>
    <t>Lait info</t>
  </si>
  <si>
    <t>Fruits a coque alerte</t>
  </si>
  <si>
    <t>Fruits a coque info</t>
  </si>
  <si>
    <t>Celeri</t>
  </si>
  <si>
    <t>Moutarde alerte</t>
  </si>
  <si>
    <t>Moutarde info</t>
  </si>
  <si>
    <t>Sesame</t>
  </si>
  <si>
    <t>Sulfites</t>
  </si>
  <si>
    <t>Lupin</t>
  </si>
  <si>
    <t>Mollusques</t>
  </si>
  <si>
    <t>Exclusions fruits a coque</t>
  </si>
  <si>
    <t>Exclusions lait vegetal</t>
  </si>
  <si>
    <t>Exclusions beurres non laitiers</t>
  </si>
  <si>
    <t>Exclusions mollusques ustensile</t>
  </si>
  <si>
    <t>gluten</t>
  </si>
  <si>
    <t>sirops de glucose a base de ble</t>
  </si>
  <si>
    <t>crustace</t>
  </si>
  <si>
    <t>oeuf</t>
  </si>
  <si>
    <t>poisson</t>
  </si>
  <si>
    <t>gelatine de poisson utilisee comme support</t>
  </si>
  <si>
    <t>arachide</t>
  </si>
  <si>
    <t>boisson au soja</t>
  </si>
  <si>
    <t>huile de soja entierement raffinee</t>
  </si>
  <si>
    <t>lactitol</t>
  </si>
  <si>
    <t>amande</t>
  </si>
  <si>
    <t>distillat alcoolique de fruits a coque</t>
  </si>
  <si>
    <t>celeri</t>
  </si>
  <si>
    <t>moutarde</t>
  </si>
  <si>
    <t>acide behenique</t>
  </si>
  <si>
    <t>sesame</t>
  </si>
  <si>
    <t>sulfite</t>
  </si>
  <si>
    <t>lupin</t>
  </si>
  <si>
    <t>mollusque</t>
  </si>
  <si>
    <t>noix de saint jacques</t>
  </si>
  <si>
    <t>boisson de noisette</t>
  </si>
  <si>
    <t>beurre de cacahuetes</t>
  </si>
  <si>
    <t>le moule</t>
  </si>
  <si>
    <t>ble</t>
  </si>
  <si>
    <t>maltodextrines a base de ble</t>
  </si>
  <si>
    <t>crustaces</t>
  </si>
  <si>
    <t>oeufs</t>
  </si>
  <si>
    <t>poissons</t>
  </si>
  <si>
    <t>gelatine de poisson utilisee comme support pour preparation de vitamines</t>
  </si>
  <si>
    <t>arachides</t>
  </si>
  <si>
    <t>boisson au soya</t>
  </si>
  <si>
    <t>graisse de soja entierement raffinee</t>
  </si>
  <si>
    <t>lactoserum utilise pour la fabrication de distillats</t>
  </si>
  <si>
    <t>amandes</t>
  </si>
  <si>
    <t>distillats alcooliques de fruits a coque</t>
  </si>
  <si>
    <t>celeri rave</t>
  </si>
  <si>
    <t>graine de moutarde</t>
  </si>
  <si>
    <t>graines de sesame</t>
  </si>
  <si>
    <t>sulfites</t>
  </si>
  <si>
    <t>farine de lupin</t>
  </si>
  <si>
    <t>mollusques</t>
  </si>
  <si>
    <t>noix de st jacques</t>
  </si>
  <si>
    <t>boisson de pistache</t>
  </si>
  <si>
    <t>beurre de cacahuete</t>
  </si>
  <si>
    <t>un moule</t>
  </si>
  <si>
    <t>farine de ble</t>
  </si>
  <si>
    <t>maltodextrines de ble</t>
  </si>
  <si>
    <t>crevette</t>
  </si>
  <si>
    <t>blanc d oeuf</t>
  </si>
  <si>
    <t>gelatine de poisson utilisee comme support pour carotenoides</t>
  </si>
  <si>
    <t>beurre d arachide</t>
  </si>
  <si>
    <t>boisson de soja</t>
  </si>
  <si>
    <t>tocopherols mixtes naturels</t>
  </si>
  <si>
    <t>lait ecreme</t>
  </si>
  <si>
    <t>lactoserum utilise pour la fabrication d alcool ethylique d origine agricole</t>
  </si>
  <si>
    <t>boisson d amande</t>
  </si>
  <si>
    <t>alcool ethylique d origine agricole obtenu a partir de fruits a coque</t>
  </si>
  <si>
    <t>branche de celeri</t>
  </si>
  <si>
    <t>graines de moutarde</t>
  </si>
  <si>
    <t>graine de sesame</t>
  </si>
  <si>
    <t>anhydride sulfureux</t>
  </si>
  <si>
    <t>graines de lupin</t>
  </si>
  <si>
    <t>moule</t>
  </si>
  <si>
    <t>creme de noisettes</t>
  </si>
  <si>
    <t>beurre de macadamia</t>
  </si>
  <si>
    <t>dans le moule</t>
  </si>
  <si>
    <t>froment</t>
  </si>
  <si>
    <t>ble utilise pour la fabrication de distillats alcooliques</t>
  </si>
  <si>
    <t>crevettes</t>
  </si>
  <si>
    <t>blancs d oeufs</t>
  </si>
  <si>
    <t>saumon</t>
  </si>
  <si>
    <t>boisson de soya</t>
  </si>
  <si>
    <t>phytosterols</t>
  </si>
  <si>
    <t>lait demi ecreme</t>
  </si>
  <si>
    <t>creme de soja</t>
  </si>
  <si>
    <t>boisson de cajou</t>
  </si>
  <si>
    <t>noix de coco</t>
  </si>
  <si>
    <t>branches de celeri</t>
  </si>
  <si>
    <t>farine de moutarde</t>
  </si>
  <si>
    <t>huile de sesame</t>
  </si>
  <si>
    <t>dioxyde de soufre</t>
  </si>
  <si>
    <t>graine de lupin</t>
  </si>
  <si>
    <t>moules</t>
  </si>
  <si>
    <t>pignons de pin</t>
  </si>
  <si>
    <t>creme de noisette</t>
  </si>
  <si>
    <t>beurre de noisettes</t>
  </si>
  <si>
    <t>dans un moule</t>
  </si>
  <si>
    <t>epeautre</t>
  </si>
  <si>
    <t>cereales utilisees pour la fabrication de distillats alcooliques</t>
  </si>
  <si>
    <t>gambas</t>
  </si>
  <si>
    <t>jaune d oeuf</t>
  </si>
  <si>
    <t>cabillaud</t>
  </si>
  <si>
    <t>esters de phytosterol</t>
  </si>
  <si>
    <t>lactoserum</t>
  </si>
  <si>
    <t>creme d avoine</t>
  </si>
  <si>
    <t>huile de coco</t>
  </si>
  <si>
    <t>feuille de celeri</t>
  </si>
  <si>
    <t>moutarde en poudre</t>
  </si>
  <si>
    <t>tahini</t>
  </si>
  <si>
    <t>bisulfite</t>
  </si>
  <si>
    <t>proteine de lupin</t>
  </si>
  <si>
    <t>huitre</t>
  </si>
  <si>
    <t>creme de coco</t>
  </si>
  <si>
    <t>creme de pistache</t>
  </si>
  <si>
    <t>beurre de pistaches</t>
  </si>
  <si>
    <t>au moule</t>
  </si>
  <si>
    <t>petit epeautre</t>
  </si>
  <si>
    <t>homard</t>
  </si>
  <si>
    <t>jaunes d oeufs</t>
  </si>
  <si>
    <t>colin</t>
  </si>
  <si>
    <t>cacahouete</t>
  </si>
  <si>
    <t>creme de soya</t>
  </si>
  <si>
    <t>ester de stanol vegetal</t>
  </si>
  <si>
    <t>lactose</t>
  </si>
  <si>
    <t>creme de riz</t>
  </si>
  <si>
    <t>feuilles de celeri</t>
  </si>
  <si>
    <t>huile de moutarde</t>
  </si>
  <si>
    <t>tahin</t>
  </si>
  <si>
    <t>bisulfites</t>
  </si>
  <si>
    <t>proteines de lupin</t>
  </si>
  <si>
    <t>huitres</t>
  </si>
  <si>
    <t>beurre de noisette</t>
  </si>
  <si>
    <t>du moule</t>
  </si>
  <si>
    <t>kamut</t>
  </si>
  <si>
    <t>langouste</t>
  </si>
  <si>
    <t>oeuf entier</t>
  </si>
  <si>
    <t>merlu</t>
  </si>
  <si>
    <t>cacahouetes</t>
  </si>
  <si>
    <t>edamame</t>
  </si>
  <si>
    <t>caseine</t>
  </si>
  <si>
    <t>cajou</t>
  </si>
  <si>
    <t>chataigne</t>
  </si>
  <si>
    <t>graine de celeri</t>
  </si>
  <si>
    <t>puree de sesame</t>
  </si>
  <si>
    <t>metabisulfite</t>
  </si>
  <si>
    <t>son de lupin</t>
  </si>
  <si>
    <t>palourde</t>
  </si>
  <si>
    <t>pignon de pin</t>
  </si>
  <si>
    <t>boisson d avoine</t>
  </si>
  <si>
    <t>beurre de pistache</t>
  </si>
  <si>
    <t>farinez le moule</t>
  </si>
  <si>
    <t>ble de khorasan</t>
  </si>
  <si>
    <t>langoustine</t>
  </si>
  <si>
    <t>poudre d oeuf</t>
  </si>
  <si>
    <t>sardine</t>
  </si>
  <si>
    <t>cacahuete</t>
  </si>
  <si>
    <t>farine de soja</t>
  </si>
  <si>
    <t>caseinates</t>
  </si>
  <si>
    <t>creme vegetale</t>
  </si>
  <si>
    <t>cajous</t>
  </si>
  <si>
    <t>marron</t>
  </si>
  <si>
    <t>graines de celeri</t>
  </si>
  <si>
    <t>pate de sesame</t>
  </si>
  <si>
    <t>metabisulfites</t>
  </si>
  <si>
    <t>semoule de lupin</t>
  </si>
  <si>
    <t>palourdes</t>
  </si>
  <si>
    <t>seigle</t>
  </si>
  <si>
    <t>crabe</t>
  </si>
  <si>
    <t>albumine</t>
  </si>
  <si>
    <t>sardines</t>
  </si>
  <si>
    <t>cacahuetes</t>
  </si>
  <si>
    <t>farine de soya</t>
  </si>
  <si>
    <t>proteine de lait</t>
  </si>
  <si>
    <t>lait de coco</t>
  </si>
  <si>
    <t>creme d amande</t>
  </si>
  <si>
    <t>marrons</t>
  </si>
  <si>
    <t>sel de celeri</t>
  </si>
  <si>
    <t>gomasio</t>
  </si>
  <si>
    <t>coque</t>
  </si>
  <si>
    <t>noix muscade</t>
  </si>
  <si>
    <t>boisson vegetale</t>
  </si>
  <si>
    <t>beurre d amandes</t>
  </si>
  <si>
    <t>orge</t>
  </si>
  <si>
    <t>araignee de mer</t>
  </si>
  <si>
    <t>ovalbumine</t>
  </si>
  <si>
    <t>anchois</t>
  </si>
  <si>
    <t>huile d arachide</t>
  </si>
  <si>
    <t>farines de soja</t>
  </si>
  <si>
    <t>proteines de lait</t>
  </si>
  <si>
    <t>lait de riz</t>
  </si>
  <si>
    <t>creme d amandes</t>
  </si>
  <si>
    <t>coques</t>
  </si>
  <si>
    <t>chataignes</t>
  </si>
  <si>
    <t>lait de noisette</t>
  </si>
  <si>
    <t>beurre d amande</t>
  </si>
  <si>
    <t>avoine</t>
  </si>
  <si>
    <t>ecrevisse</t>
  </si>
  <si>
    <t>ovoproduit</t>
  </si>
  <si>
    <t>truite</t>
  </si>
  <si>
    <t>huile d arachides</t>
  </si>
  <si>
    <t>farines de soya</t>
  </si>
  <si>
    <t>poudre de lait</t>
  </si>
  <si>
    <t>lait d amande</t>
  </si>
  <si>
    <t>creme de cajou</t>
  </si>
  <si>
    <t>praire</t>
  </si>
  <si>
    <t>lait de pistache</t>
  </si>
  <si>
    <t>beurre de cacao</t>
  </si>
  <si>
    <t>triticale</t>
  </si>
  <si>
    <t>ecrevisses</t>
  </si>
  <si>
    <t>ovoproduits</t>
  </si>
  <si>
    <t>maquereau</t>
  </si>
  <si>
    <t>huile de cacahuete</t>
  </si>
  <si>
    <t>huile de soja</t>
  </si>
  <si>
    <t>lait en poudre</t>
  </si>
  <si>
    <t>praires</t>
  </si>
  <si>
    <t>beurre de cajou</t>
  </si>
  <si>
    <t>malt</t>
  </si>
  <si>
    <t>krill</t>
  </si>
  <si>
    <t>sole</t>
  </si>
  <si>
    <t>huile de cacahuetes</t>
  </si>
  <si>
    <t>huile de soya</t>
  </si>
  <si>
    <t>creme</t>
  </si>
  <si>
    <t>creme de tartre</t>
  </si>
  <si>
    <t>escargot</t>
  </si>
  <si>
    <t>muscade</t>
  </si>
  <si>
    <t>boisson de coco</t>
  </si>
  <si>
    <t>beurre de pecan</t>
  </si>
  <si>
    <t>malt d orge</t>
  </si>
  <si>
    <t>bar</t>
  </si>
  <si>
    <t>pate d arachide</t>
  </si>
  <si>
    <t>huiles de soja</t>
  </si>
  <si>
    <t>beurre</t>
  </si>
  <si>
    <t>fruit a coque</t>
  </si>
  <si>
    <t>escargots</t>
  </si>
  <si>
    <t>beurre de coco</t>
  </si>
  <si>
    <t>extrait de malt</t>
  </si>
  <si>
    <t>dorade</t>
  </si>
  <si>
    <t>pate de cacahuete</t>
  </si>
  <si>
    <t>huiles de soya</t>
  </si>
  <si>
    <t>yaourt</t>
  </si>
  <si>
    <t>fruits a coque</t>
  </si>
  <si>
    <t>calamar</t>
  </si>
  <si>
    <t>beurre vegetal</t>
  </si>
  <si>
    <t>farine de malt</t>
  </si>
  <si>
    <t>lieu</t>
  </si>
  <si>
    <t>pate de cacahuetes</t>
  </si>
  <si>
    <t>lait de soja</t>
  </si>
  <si>
    <t>fromage</t>
  </si>
  <si>
    <t>calamars</t>
  </si>
  <si>
    <t>semoule</t>
  </si>
  <si>
    <t>surimi</t>
  </si>
  <si>
    <t>puree d arachide</t>
  </si>
  <si>
    <t>lait de soya</t>
  </si>
  <si>
    <t>creme fraiche</t>
  </si>
  <si>
    <t>lait de cajou</t>
  </si>
  <si>
    <t>encornet</t>
  </si>
  <si>
    <t>boulgour</t>
  </si>
  <si>
    <t>puree d arachides</t>
  </si>
  <si>
    <t>lecithine de soja</t>
  </si>
  <si>
    <t>lait fermente</t>
  </si>
  <si>
    <t>encornets</t>
  </si>
  <si>
    <t>boisson de riz</t>
  </si>
  <si>
    <t>couscous</t>
  </si>
  <si>
    <t>puree de cacahuete</t>
  </si>
  <si>
    <t>lecithine de soya</t>
  </si>
  <si>
    <t>seiche</t>
  </si>
  <si>
    <t>son de ble</t>
  </si>
  <si>
    <t>puree de cacahuetes</t>
  </si>
  <si>
    <t>lecithines de soja</t>
  </si>
  <si>
    <t>macadamia</t>
  </si>
  <si>
    <t>seiches</t>
  </si>
  <si>
    <t>germe de ble</t>
  </si>
  <si>
    <t>lecithines de soya</t>
  </si>
  <si>
    <t>creme de sesame</t>
  </si>
  <si>
    <t>macadamias</t>
  </si>
  <si>
    <t>poulpe</t>
  </si>
  <si>
    <t>seitan</t>
  </si>
  <si>
    <t>miso</t>
  </si>
  <si>
    <t>creme de lupin</t>
  </si>
  <si>
    <t>noisette</t>
  </si>
  <si>
    <t>poulpes</t>
  </si>
  <si>
    <t>proteine de soja</t>
  </si>
  <si>
    <t>creme de pois</t>
  </si>
  <si>
    <t>noisettes</t>
  </si>
  <si>
    <t>octopus</t>
  </si>
  <si>
    <t>lait d amandes</t>
  </si>
  <si>
    <t>panure</t>
  </si>
  <si>
    <t>proteine de soya</t>
  </si>
  <si>
    <t>creme de pois chiche</t>
  </si>
  <si>
    <t>noix</t>
  </si>
  <si>
    <t>coquille saint jacques</t>
  </si>
  <si>
    <t>boisson cajou</t>
  </si>
  <si>
    <t>proteines de soja</t>
  </si>
  <si>
    <t>creme de marron</t>
  </si>
  <si>
    <t>noix de cajou</t>
  </si>
  <si>
    <t>coquilles saint jacques</t>
  </si>
  <si>
    <t>lait d avoine</t>
  </si>
  <si>
    <t>proteines de soya</t>
  </si>
  <si>
    <t>creme de chataigne</t>
  </si>
  <si>
    <t>noix de macadamia</t>
  </si>
  <si>
    <t>saint jacques</t>
  </si>
  <si>
    <t>sauce soja</t>
  </si>
  <si>
    <t>noix de pecan</t>
  </si>
  <si>
    <t>sauce soya</t>
  </si>
  <si>
    <t>noix du bresil</t>
  </si>
  <si>
    <t>soja</t>
  </si>
  <si>
    <t>noix du queensland</t>
  </si>
  <si>
    <t>molusques</t>
  </si>
  <si>
    <t>soya</t>
  </si>
  <si>
    <t>pate de pistache</t>
  </si>
  <si>
    <t>tempeh</t>
  </si>
  <si>
    <t>pecan</t>
  </si>
  <si>
    <t>tofu</t>
  </si>
  <si>
    <t>lait de sesame</t>
  </si>
  <si>
    <t>pecans</t>
  </si>
  <si>
    <t>lait de chataigne</t>
  </si>
  <si>
    <t>pistache</t>
  </si>
  <si>
    <t>pistaches</t>
  </si>
  <si>
    <t>lait de noisettes</t>
  </si>
  <si>
    <t>poudre d amande</t>
  </si>
  <si>
    <t>lait amande</t>
  </si>
  <si>
    <t>poudre de cajou</t>
  </si>
  <si>
    <t>poudre de noisette</t>
  </si>
  <si>
    <t>creme coco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</si>
</sst>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164" formatCode="0.0"/>
    <numFmt numFmtId="165" formatCode="0.0%"/>
    <numFmt numFmtId="166" formatCode="#,##0.00\ &quot;€&quot;"/>
    <numFmt numFmtId="167" formatCode="#,##0.0"/>
    <numFmt numFmtId="168" formatCode="0.000&quot; Kg&quot;"/>
    <numFmt numFmtId="169" formatCode="0&quot; %&quot;"/>
    <numFmt numFmtId="170" formatCode="0.00&quot; Kg&quot;"/>
    <numFmt numFmtId="171" formatCode="0.000&quot;Kg&quot;"/>
    <numFmt numFmtId="172" formatCode="0&quot; car.&quot;"/>
    <numFmt numFmtId="173" formatCode="0&quot;%&quot;"/>
    <numFmt numFmtId="174" formatCode="0&quot; ml&quot;"/>
    <numFmt numFmtId="175" formatCode="0.000&quot; L&quot;"/>
    <numFmt numFmtId="176" formatCode="0.00&quot; ml&quot;"/>
    <numFmt numFmtId="177" formatCode="0.0&quot; ml&quot;"/>
    <numFmt numFmtId="178" formatCode="0.0000&quot; L&quot;"/>
    <numFmt numFmtId="179" formatCode="0&quot; g&quot;"/>
    <numFmt numFmtId="180" formatCode="0.00&quot; g&quot;"/>
    <numFmt numFmtId="181" formatCode="0.00000&quot;Kg&quot;"/>
    <numFmt numFmtId="182" formatCode="0.000"/>
    <numFmt numFmtId="183" formatCode="dddd\ dd\ mmmm\ yyyy\ hh:mm"/>
    <numFmt numFmtId="184" formatCode="[$-F800]dddd\,\ mmmm\ dd\,\ yyyy"/>
    <numFmt numFmtId="185" formatCode="&quot;=UNICAR(128269)&quot;"/>
    <numFmt numFmtId="186" formatCode="#,##0&quot; gr&quot;"/>
    <numFmt numFmtId="187" formatCode="#,##0.000&quot; kg&quot;"/>
    <numFmt numFmtId="188" formatCode="&quot;de &quot;#,##0.000&quot; kg&quot;"/>
    <numFmt numFmtId="189" formatCode="&quot;de &quot;0.00&quot; Kg&quot;"/>
    <numFmt numFmtId="190" formatCode="0.000\K\g"/>
    <numFmt numFmtId="191" formatCode="&quot;Poids portion&quot;\ 0.000&quot; Kg&quot;"/>
    <numFmt numFmtId="192" formatCode="#,##0&quot; cl&quot;"/>
    <numFmt numFmtId="193" formatCode="0.00\ &quot; cm³&quot;"/>
    <numFmt numFmtId="194" formatCode="0.000\ &quot; dm³&quot;"/>
    <numFmt numFmtId="195" formatCode="0&quot; lignes&quot;"/>
    <numFmt numFmtId="196" formatCode="0&quot; jours&quot;"/>
    <numFmt numFmtId="197" formatCode="0&quot; H&quot;"/>
    <numFmt numFmtId="198" formatCode="0.0&quot; %&quot;"/>
    <numFmt numFmtId="199" formatCode="&quot;N° &quot;0"/>
    <numFmt numFmtId="200" formatCode="&quot;Col.&quot;0"/>
    <numFmt numFmtId="201" formatCode="0.0&quot; mm&quot;"/>
    <numFmt numFmtId="202" formatCode="0.00&quot; cm&quot;"/>
    <numFmt numFmtId="203" formatCode="0.00\ &quot; cm²&quot;"/>
    <numFmt numFmtId="204" formatCode="&quot;Actif&quot;;&quot;Actif&quot;;&quot;Inactif&quot;"/>
    <numFmt numFmtId="205" formatCode="&quot;Vrai&quot;;&quot;Vrai&quot;;&quot;Faux&quot;"/>
    <numFmt numFmtId="206" formatCode="0.0&quot; Kg&quot;"/>
    <numFmt numFmtId="207" formatCode="&quot;de &quot;0"/>
    <numFmt numFmtId="208" formatCode="0.00&quot;Kg&quot;"/>
    <numFmt numFmtId="209" formatCode="0.0000"/>
    <numFmt numFmtId="210" formatCode="0&quot; mn&quot;"/>
    <numFmt numFmtId="211" formatCode="0&quot; feuilles&quot;"/>
    <numFmt numFmtId="212" formatCode="[h]&quot;H&quot;mm"/>
    <numFmt numFmtId="213" formatCode="0\ &quot;lignes masquées &quot;"/>
    <numFmt numFmtId="214" formatCode="&quot; entre ▼ &quot;0"/>
    <numFmt numFmtId="215" formatCode="0&quot;°C&quot;"/>
    <numFmt numFmtId="216" formatCode="0\ &quot;lignes à imprimer &quot;"/>
    <numFmt numFmtId="217" formatCode="&quot;et  ▲ &quot;0"/>
    <numFmt numFmtId="218" formatCode="&quot;/ &quot;0"/>
    <numFmt numFmtId="219" formatCode="h&quot;h&quot;mm"/>
    <numFmt numFmtId="220" formatCode="0&quot; Kg pour&quot;"/>
    <numFmt numFmtId="221" formatCode="0&quot; Gastro&quot;"/>
    <numFmt numFmtId="222" formatCode="\+\ 0.0;\-\ 0.0"/>
    <numFmt numFmtId="223" formatCode="\+\ 0.000;\-\ 0.000"/>
    <numFmt numFmtId="224" formatCode="\+\ 0.00;\-\ 0.00"/>
    <numFmt numFmtId="225" formatCode="0&quot; Mx&quot;"/>
    <numFmt numFmtId="226" formatCode="0.00&quot; Mx&quot;"/>
    <numFmt numFmtId="227" formatCode="0&quot; gr&quot;"/>
    <numFmt numFmtId="228" formatCode="0.0&quot; gr&quot;"/>
    <numFmt numFmtId="229" formatCode="dddd\ dd\ mmmm\ yyyy"/>
    <numFmt numFmtId="230" formatCode="hh&quot;H&quot;:mm&quot; mn&quot;"/>
    <numFmt numFmtId="231" formatCode="0.0&quot;Kg&quot;"/>
    <numFmt numFmtId="232" formatCode="0.0&quot; g&quot;"/>
    <numFmt numFmtId="233" formatCode="0&quot;Kg&quot;"/>
    <numFmt numFmtId="234" formatCode="0&quot; Kg&quot;"/>
    <numFmt numFmtId="235" formatCode="0.0&quot;%&quot;"/>
    <numFmt numFmtId="236" formatCode="* #,##0.000\ &quot;Kg&quot;;* #,##0.000\ &quot;Kg&quot;;&quot;&quot;* &quot;&quot;??\ ;&quot;&quot;@&quot;&quot;"/>
    <numFmt numFmtId="237" formatCode="&quot;▼ de &quot;0"/>
    <numFmt numFmtId="238" formatCode="&quot;▲ à &quot;0"/>
    <numFmt numFmtId="239" formatCode="[$-40C]d\-mmm\-yy;@"/>
    <numFmt numFmtId="240" formatCode="[$-40C]d\ mmmm\ yyyy;@"/>
    <numFmt numFmtId="241" formatCode="#,##0.00&quot; kg&quot;"/>
    <numFmt numFmtId="242" formatCode="0.00000&quot; L&quot;"/>
    <numFmt numFmtId="243" formatCode="#,##0.0&quot; grs&quot;"/>
    <numFmt numFmtId="244" formatCode="_-* #,##0.00\ [$€-40C]_-;\-* #,##0.00\ [$€-40C]_-;_-* &quot;-&quot;??\ [$€-40C]_-;_-@_-"/>
    <numFmt numFmtId="245" formatCode="0&quot; Kg for&quot;"/>
  </numFmts>
  <fonts count="704">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8"/>
      <color theme="0"/>
      <name val="Calibri"/>
      <family val="2"/>
      <scheme val="minor"/>
    </font>
    <font>
      <sz val="10"/>
      <name val="Arial"/>
      <family val="2"/>
    </font>
    <font>
      <b/>
      <sz val="10"/>
      <name val="Calibri"/>
      <family val="2"/>
      <scheme val="minor"/>
    </font>
    <font>
      <b/>
      <sz val="11"/>
      <name val="Calibri"/>
      <family val="2"/>
      <scheme val="minor"/>
    </font>
    <font>
      <b/>
      <sz val="12"/>
      <color theme="0"/>
      <name val="Calibri"/>
      <family val="2"/>
      <scheme val="minor"/>
    </font>
    <font>
      <sz val="8"/>
      <color theme="0" tint="-0.499984740745262"/>
      <name val="Calibri"/>
      <family val="2"/>
      <scheme val="minor"/>
    </font>
    <font>
      <sz val="11"/>
      <name val="Calibri"/>
      <family val="2"/>
      <scheme val="minor"/>
    </font>
    <font>
      <sz val="12"/>
      <name val="Calibri"/>
      <family val="2"/>
      <scheme val="minor"/>
    </font>
    <font>
      <sz val="12"/>
      <color indexed="10"/>
      <name val="Calibri"/>
      <family val="2"/>
      <scheme val="minor"/>
    </font>
    <font>
      <b/>
      <sz val="11"/>
      <color rgb="FFC00000"/>
      <name val="Calibri"/>
      <family val="2"/>
      <scheme val="minor"/>
    </font>
    <font>
      <b/>
      <sz val="12"/>
      <name val="Calibri"/>
      <family val="2"/>
      <scheme val="minor"/>
    </font>
    <font>
      <sz val="9"/>
      <color theme="0" tint="-0.34998626667073579"/>
      <name val="Calibri"/>
      <family val="2"/>
      <scheme val="minor"/>
    </font>
    <font>
      <sz val="10"/>
      <color rgb="FF0000FF"/>
      <name val="Calibri"/>
      <family val="2"/>
      <scheme val="minor"/>
    </font>
    <font>
      <b/>
      <sz val="13"/>
      <color theme="9" tint="-0.249977111117893"/>
      <name val="Calibri"/>
      <family val="2"/>
      <scheme val="minor"/>
    </font>
    <font>
      <b/>
      <sz val="11"/>
      <color theme="9" tint="-0.499984740745262"/>
      <name val="Calibri"/>
      <family val="2"/>
      <scheme val="minor"/>
    </font>
    <font>
      <sz val="12"/>
      <color theme="9" tint="-0.499984740745262"/>
      <name val="Calibri"/>
      <family val="2"/>
      <scheme val="minor"/>
    </font>
    <font>
      <sz val="9"/>
      <name val="Calibri"/>
      <family val="2"/>
      <scheme val="minor"/>
    </font>
    <font>
      <sz val="11"/>
      <color theme="9" tint="-0.499984740745262"/>
      <name val="Calibri"/>
      <family val="2"/>
      <scheme val="minor"/>
    </font>
    <font>
      <sz val="8"/>
      <color theme="9" tint="0.39997558519241921"/>
      <name val="Calibri"/>
      <family val="2"/>
      <scheme val="minor"/>
    </font>
    <font>
      <b/>
      <sz val="12"/>
      <color theme="9" tint="-0.499984740745262"/>
      <name val="Calibri"/>
      <family val="2"/>
      <scheme val="minor"/>
    </font>
    <font>
      <sz val="8"/>
      <color theme="1" tint="0.499984740745262"/>
      <name val="Calibri"/>
      <family val="2"/>
      <scheme val="minor"/>
    </font>
    <font>
      <b/>
      <sz val="11"/>
      <color theme="9" tint="-0.249977111117893"/>
      <name val="Calibri"/>
      <family val="2"/>
      <scheme val="minor"/>
    </font>
    <font>
      <sz val="9"/>
      <color theme="0" tint="-0.499984740745262"/>
      <name val="Calibri"/>
      <family val="2"/>
      <scheme val="minor"/>
    </font>
    <font>
      <sz val="12"/>
      <name val="Lucida Handwriting"/>
      <family val="4"/>
    </font>
    <font>
      <sz val="12"/>
      <name val="Lucida Calligraphy"/>
      <family val="4"/>
    </font>
    <font>
      <sz val="12"/>
      <name val="Segoe UI Light"/>
      <family val="2"/>
    </font>
    <font>
      <sz val="12"/>
      <name val="Verdana"/>
      <family val="2"/>
    </font>
    <font>
      <sz val="12"/>
      <name val="Cambria"/>
      <family val="1"/>
    </font>
    <font>
      <sz val="12"/>
      <name val="Garamond"/>
      <family val="1"/>
    </font>
    <font>
      <sz val="12"/>
      <name val="Arial"/>
      <family val="2"/>
    </font>
    <font>
      <sz val="12"/>
      <name val="Calibri"/>
      <family val="2"/>
    </font>
    <font>
      <sz val="8"/>
      <color theme="0" tint="-0.249977111117893"/>
      <name val="Calibri"/>
      <family val="2"/>
      <scheme val="minor"/>
    </font>
    <font>
      <sz val="12"/>
      <color theme="1"/>
      <name val="Calibri"/>
      <family val="2"/>
      <scheme val="minor"/>
    </font>
    <font>
      <b/>
      <sz val="8"/>
      <color theme="0" tint="-0.249977111117893"/>
      <name val="Calibri"/>
      <family val="2"/>
      <scheme val="minor"/>
    </font>
    <font>
      <sz val="11"/>
      <color theme="1" tint="0.14999847407452621"/>
      <name val="Calibri"/>
      <family val="2"/>
      <scheme val="minor"/>
    </font>
    <font>
      <b/>
      <sz val="12"/>
      <color theme="0" tint="-0.499984740745262"/>
      <name val="Calibri"/>
      <family val="2"/>
      <scheme val="minor"/>
    </font>
    <font>
      <b/>
      <sz val="10"/>
      <color theme="0" tint="-0.499984740745262"/>
      <name val="Calibri"/>
      <family val="2"/>
      <scheme val="minor"/>
    </font>
    <font>
      <sz val="8"/>
      <color theme="0" tint="-0.34998626667073579"/>
      <name val="Calibri"/>
      <family val="2"/>
      <scheme val="minor"/>
    </font>
    <font>
      <b/>
      <sz val="12"/>
      <color rgb="FFC00000"/>
      <name val="Calibri"/>
      <family val="2"/>
      <scheme val="minor"/>
    </font>
    <font>
      <b/>
      <sz val="14"/>
      <color theme="1"/>
      <name val="Calibri"/>
      <family val="2"/>
      <scheme val="minor"/>
    </font>
    <font>
      <sz val="14"/>
      <color theme="1"/>
      <name val="Calibri"/>
      <family val="2"/>
      <scheme val="minor"/>
    </font>
    <font>
      <sz val="8"/>
      <color rgb="FFBFBFBF"/>
      <name val="Calibri"/>
      <family val="2"/>
      <scheme val="minor"/>
    </font>
    <font>
      <sz val="16"/>
      <name val="Calibri"/>
      <family val="2"/>
      <scheme val="minor"/>
    </font>
    <font>
      <sz val="14"/>
      <color theme="5" tint="-0.499984740745262"/>
      <name val="Calibri"/>
      <family val="2"/>
      <scheme val="minor"/>
    </font>
    <font>
      <sz val="8"/>
      <color theme="0" tint="-0.14999847407452621"/>
      <name val="Calibri"/>
      <family val="2"/>
      <scheme val="minor"/>
    </font>
    <font>
      <b/>
      <sz val="12"/>
      <color rgb="FFFF0000"/>
      <name val="Calibri"/>
      <family val="2"/>
      <scheme val="minor"/>
    </font>
    <font>
      <b/>
      <sz val="8"/>
      <color theme="1" tint="0.499984740745262"/>
      <name val="Calibri"/>
      <family val="2"/>
      <scheme val="minor"/>
    </font>
    <font>
      <b/>
      <sz val="8"/>
      <color theme="0" tint="-0.34998626667073579"/>
      <name val="Calibri"/>
      <family val="2"/>
      <scheme val="minor"/>
    </font>
    <font>
      <sz val="8"/>
      <color theme="1"/>
      <name val="Calibri"/>
      <family val="2"/>
      <scheme val="minor"/>
    </font>
    <font>
      <b/>
      <sz val="14"/>
      <name val="Calibri"/>
      <family val="2"/>
      <scheme val="minor"/>
    </font>
    <font>
      <b/>
      <sz val="14"/>
      <color rgb="FFC00000"/>
      <name val="Calibri"/>
      <family val="2"/>
      <scheme val="minor"/>
    </font>
    <font>
      <b/>
      <sz val="8"/>
      <name val="Calibri"/>
      <family val="2"/>
      <scheme val="minor"/>
    </font>
    <font>
      <sz val="10"/>
      <name val="Calibri"/>
      <family val="2"/>
      <scheme val="minor"/>
    </font>
    <font>
      <sz val="12"/>
      <color rgb="FF0033CC"/>
      <name val="Calibri"/>
      <family val="2"/>
      <scheme val="minor"/>
    </font>
    <font>
      <sz val="9"/>
      <color theme="0"/>
      <name val="Calibri"/>
      <family val="2"/>
      <scheme val="minor"/>
    </font>
    <font>
      <u/>
      <sz val="11"/>
      <color theme="10"/>
      <name val="Calibri"/>
      <family val="2"/>
      <scheme val="minor"/>
    </font>
    <font>
      <i/>
      <sz val="11"/>
      <color theme="1"/>
      <name val="Calibri"/>
      <family val="2"/>
      <scheme val="minor"/>
    </font>
    <font>
      <b/>
      <sz val="18"/>
      <color rgb="FFC00000"/>
      <name val="Calibri"/>
      <family val="2"/>
      <scheme val="minor"/>
    </font>
    <font>
      <b/>
      <sz val="13.5"/>
      <color theme="1"/>
      <name val="Calibri"/>
      <family val="2"/>
      <scheme val="minor"/>
    </font>
    <font>
      <sz val="8"/>
      <name val="Arial"/>
      <family val="2"/>
    </font>
    <font>
      <sz val="11"/>
      <color rgb="FF0000FF"/>
      <name val="Calibri"/>
      <family val="2"/>
      <scheme val="minor"/>
    </font>
    <font>
      <b/>
      <sz val="16"/>
      <name val="Calibri"/>
      <family val="2"/>
      <scheme val="minor"/>
    </font>
    <font>
      <b/>
      <sz val="14"/>
      <color theme="0"/>
      <name val="Calibri"/>
      <family val="2"/>
      <scheme val="minor"/>
    </font>
    <font>
      <b/>
      <sz val="9"/>
      <name val="Calibri"/>
      <family val="2"/>
      <scheme val="minor"/>
    </font>
    <font>
      <b/>
      <sz val="14"/>
      <color rgb="FF0033CC"/>
      <name val="Calibri"/>
      <family val="2"/>
      <scheme val="minor"/>
    </font>
    <font>
      <sz val="12"/>
      <color rgb="FFC00000"/>
      <name val="Calibri"/>
      <family val="2"/>
      <scheme val="minor"/>
    </font>
    <font>
      <b/>
      <i/>
      <sz val="14"/>
      <name val="Calibri"/>
      <family val="2"/>
      <scheme val="minor"/>
    </font>
    <font>
      <b/>
      <sz val="12"/>
      <color theme="0"/>
      <name val="Calibri"/>
      <family val="2"/>
    </font>
    <font>
      <sz val="12"/>
      <color rgb="FFBFBFBF"/>
      <name val="Calibri"/>
      <family val="2"/>
      <scheme val="minor"/>
    </font>
    <font>
      <b/>
      <sz val="12"/>
      <color rgb="FF0000FF"/>
      <name val="Calibri"/>
      <family val="2"/>
      <scheme val="minor"/>
    </font>
    <font>
      <sz val="12"/>
      <color rgb="FF800000"/>
      <name val="Calibri"/>
      <family val="2"/>
    </font>
    <font>
      <i/>
      <sz val="11"/>
      <name val="Calibri"/>
      <family val="2"/>
      <scheme val="minor"/>
    </font>
    <font>
      <sz val="11"/>
      <color theme="9" tint="-0.249977111117893"/>
      <name val="Calibri"/>
      <family val="2"/>
      <scheme val="minor"/>
    </font>
    <font>
      <sz val="10"/>
      <name val="MS Sans Serif"/>
      <family val="2"/>
    </font>
    <font>
      <b/>
      <u/>
      <sz val="11"/>
      <color rgb="FFC00000"/>
      <name val="Calibri"/>
      <family val="2"/>
      <scheme val="minor"/>
    </font>
    <font>
      <i/>
      <sz val="11"/>
      <color theme="9" tint="-0.249977111117893"/>
      <name val="Calibri"/>
      <family val="2"/>
      <scheme val="minor"/>
    </font>
    <font>
      <sz val="12"/>
      <color theme="0"/>
      <name val="Calibri"/>
      <family val="2"/>
      <scheme val="minor"/>
    </font>
    <font>
      <sz val="10"/>
      <color theme="9" tint="-0.499984740745262"/>
      <name val="Calibri"/>
      <family val="2"/>
      <scheme val="minor"/>
    </font>
    <font>
      <b/>
      <sz val="12"/>
      <color rgb="FF7030A0"/>
      <name val="Calibri"/>
      <family val="2"/>
      <scheme val="minor"/>
    </font>
    <font>
      <b/>
      <sz val="10"/>
      <color theme="1"/>
      <name val="Calibri"/>
      <family val="2"/>
      <scheme val="minor"/>
    </font>
    <font>
      <sz val="10"/>
      <color theme="1"/>
      <name val="Calibri"/>
      <family val="2"/>
      <scheme val="minor"/>
    </font>
    <font>
      <sz val="10"/>
      <color rgb="FF7030A0"/>
      <name val="Calibri"/>
      <family val="2"/>
      <scheme val="minor"/>
    </font>
    <font>
      <sz val="14"/>
      <name val="Calibri"/>
      <family val="2"/>
      <scheme val="minor"/>
    </font>
    <font>
      <sz val="14"/>
      <color theme="0" tint="-0.249977111117893"/>
      <name val="Calibri"/>
      <family val="2"/>
      <scheme val="minor"/>
    </font>
    <font>
      <sz val="14"/>
      <color theme="0" tint="-0.14999847407452621"/>
      <name val="Calibri"/>
      <family val="2"/>
      <scheme val="minor"/>
    </font>
    <font>
      <u/>
      <sz val="12"/>
      <color theme="10"/>
      <name val="Calibri"/>
      <family val="2"/>
      <scheme val="minor"/>
    </font>
    <font>
      <i/>
      <sz val="12"/>
      <color rgb="FF0033CC"/>
      <name val="Calibri"/>
      <family val="2"/>
      <scheme val="minor"/>
    </font>
    <font>
      <sz val="12"/>
      <color theme="9" tint="-0.249977111117893"/>
      <name val="Calibri"/>
      <family val="2"/>
      <scheme val="minor"/>
    </font>
    <font>
      <b/>
      <sz val="12"/>
      <color theme="1"/>
      <name val="Calibri"/>
      <family val="2"/>
      <scheme val="minor"/>
    </font>
    <font>
      <i/>
      <sz val="14"/>
      <name val="Calibri"/>
      <family val="2"/>
      <scheme val="minor"/>
    </font>
    <font>
      <b/>
      <sz val="10"/>
      <color rgb="FFFF0000"/>
      <name val="Calibri"/>
      <family val="2"/>
      <scheme val="minor"/>
    </font>
    <font>
      <sz val="12"/>
      <color rgb="FF0000FF"/>
      <name val="Calibri"/>
      <family val="2"/>
      <scheme val="minor"/>
    </font>
    <font>
      <b/>
      <sz val="11"/>
      <color rgb="FFFF0000"/>
      <name val="Calibri"/>
      <family val="2"/>
      <scheme val="minor"/>
    </font>
    <font>
      <sz val="12"/>
      <color rgb="FFFF0000"/>
      <name val="Calibri"/>
      <family val="2"/>
      <scheme val="minor"/>
    </font>
    <font>
      <sz val="11"/>
      <color rgb="FFC00000"/>
      <name val="Calibri"/>
      <family val="2"/>
      <scheme val="minor"/>
    </font>
    <font>
      <sz val="12"/>
      <color theme="0"/>
      <name val="Calibri"/>
      <family val="2"/>
    </font>
    <font>
      <sz val="10"/>
      <color theme="1" tint="0.34998626667073579"/>
      <name val="Calibri"/>
      <family val="2"/>
      <scheme val="minor"/>
    </font>
    <font>
      <sz val="9"/>
      <color theme="9" tint="-0.249977111117893"/>
      <name val="Calibri"/>
      <family val="2"/>
      <scheme val="minor"/>
    </font>
    <font>
      <b/>
      <i/>
      <sz val="10"/>
      <color theme="1" tint="0.34998626667073579"/>
      <name val="Calibri"/>
      <family val="2"/>
      <scheme val="minor"/>
    </font>
    <font>
      <b/>
      <sz val="10"/>
      <color theme="1" tint="0.34998626667073579"/>
      <name val="Calibri"/>
      <family val="2"/>
      <scheme val="minor"/>
    </font>
    <font>
      <b/>
      <sz val="10"/>
      <color theme="1" tint="0.499984740745262"/>
      <name val="Calibri"/>
      <family val="2"/>
      <scheme val="minor"/>
    </font>
    <font>
      <b/>
      <sz val="10"/>
      <color theme="9" tint="-0.499984740745262"/>
      <name val="Calibri"/>
      <family val="2"/>
      <scheme val="minor"/>
    </font>
    <font>
      <sz val="8"/>
      <color theme="9" tint="-0.499984740745262"/>
      <name val="Calibri"/>
      <family val="2"/>
      <scheme val="minor"/>
    </font>
    <font>
      <b/>
      <sz val="11"/>
      <color rgb="FF0000FF"/>
      <name val="Calibri"/>
      <family val="2"/>
      <scheme val="minor"/>
    </font>
    <font>
      <sz val="11"/>
      <color theme="1" tint="0.249977111117893"/>
      <name val="Calibri"/>
      <family val="2"/>
      <scheme val="minor"/>
    </font>
    <font>
      <b/>
      <sz val="18"/>
      <name val="Calibri"/>
      <family val="2"/>
      <scheme val="minor"/>
    </font>
    <font>
      <sz val="11"/>
      <color rgb="FF0070C0"/>
      <name val="Calibri"/>
      <family val="2"/>
      <scheme val="minor"/>
    </font>
    <font>
      <b/>
      <sz val="12"/>
      <color theme="9" tint="-0.249977111117893"/>
      <name val="Calibri"/>
      <family val="2"/>
      <scheme val="minor"/>
    </font>
    <font>
      <b/>
      <sz val="12"/>
      <color theme="5" tint="-0.499984740745262"/>
      <name val="Calibri"/>
      <family val="2"/>
      <scheme val="minor"/>
    </font>
    <font>
      <b/>
      <sz val="9"/>
      <color theme="1"/>
      <name val="Calibri"/>
      <family val="2"/>
      <scheme val="minor"/>
    </font>
    <font>
      <sz val="8"/>
      <color theme="1" tint="0.249977111117893"/>
      <name val="Calibri"/>
      <family val="2"/>
      <scheme val="minor"/>
    </font>
    <font>
      <sz val="8"/>
      <color theme="9" tint="0.79998168889431442"/>
      <name val="Calibri"/>
      <family val="2"/>
      <scheme val="minor"/>
    </font>
    <font>
      <b/>
      <sz val="14"/>
      <color theme="5" tint="-0.499984740745262"/>
      <name val="Calibri"/>
      <family val="2"/>
      <scheme val="minor"/>
    </font>
    <font>
      <sz val="14"/>
      <color rgb="FFFF0000"/>
      <name val="Calibri"/>
      <family val="2"/>
      <scheme val="minor"/>
    </font>
    <font>
      <sz val="8"/>
      <name val="Calibri"/>
      <family val="2"/>
      <scheme val="minor"/>
    </font>
    <font>
      <b/>
      <sz val="8"/>
      <color theme="0" tint="-0.499984740745262"/>
      <name val="Calibri"/>
      <family val="2"/>
      <scheme val="minor"/>
    </font>
    <font>
      <i/>
      <sz val="11"/>
      <name val="Calibri"/>
      <family val="2"/>
    </font>
    <font>
      <i/>
      <sz val="9"/>
      <name val="Calibri"/>
      <family val="2"/>
    </font>
    <font>
      <b/>
      <sz val="16"/>
      <color rgb="FFC00000"/>
      <name val="Calibri"/>
      <family val="2"/>
      <scheme val="minor"/>
    </font>
    <font>
      <i/>
      <sz val="10"/>
      <name val="Calibri"/>
      <family val="2"/>
      <scheme val="minor"/>
    </font>
    <font>
      <b/>
      <sz val="14"/>
      <color rgb="FF0000FF"/>
      <name val="Calibri"/>
      <family val="2"/>
      <scheme val="minor"/>
    </font>
    <font>
      <b/>
      <sz val="12"/>
      <color rgb="FFFFFF00"/>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b/>
      <sz val="12"/>
      <color indexed="12"/>
      <name val="Calibri"/>
      <family val="2"/>
      <scheme val="minor"/>
    </font>
    <font>
      <sz val="12"/>
      <color indexed="12"/>
      <name val="Calibri"/>
      <family val="2"/>
      <scheme val="minor"/>
    </font>
    <font>
      <b/>
      <sz val="12"/>
      <color indexed="12"/>
      <name val="Times New Roman"/>
      <family val="1"/>
    </font>
    <font>
      <b/>
      <sz val="16"/>
      <color theme="0"/>
      <name val="Calibri"/>
      <family val="2"/>
      <scheme val="minor"/>
    </font>
    <font>
      <b/>
      <sz val="14"/>
      <color rgb="FFFF0000"/>
      <name val="Calibri"/>
      <family val="2"/>
      <scheme val="minor"/>
    </font>
    <font>
      <b/>
      <sz val="16"/>
      <color theme="1"/>
      <name val="Calibri"/>
      <family val="2"/>
      <scheme val="minor"/>
    </font>
    <font>
      <sz val="14"/>
      <color theme="0"/>
      <name val="Calibri"/>
      <family val="2"/>
      <scheme val="minor"/>
    </font>
    <font>
      <sz val="10"/>
      <color theme="0"/>
      <name val="Calibri"/>
      <family val="2"/>
      <scheme val="minor"/>
    </font>
    <font>
      <b/>
      <i/>
      <u/>
      <sz val="14"/>
      <color rgb="FF0000FF"/>
      <name val="Calibri"/>
      <family val="2"/>
      <scheme val="minor"/>
    </font>
    <font>
      <i/>
      <sz val="14"/>
      <color theme="1"/>
      <name val="Calibri"/>
      <family val="2"/>
      <scheme val="minor"/>
    </font>
    <font>
      <b/>
      <i/>
      <sz val="14"/>
      <color rgb="FF0000FF"/>
      <name val="Calibri"/>
      <family val="2"/>
      <scheme val="minor"/>
    </font>
    <font>
      <b/>
      <sz val="16"/>
      <color rgb="FF0000FF"/>
      <name val="Calibri"/>
      <family val="2"/>
      <scheme val="minor"/>
    </font>
    <font>
      <b/>
      <sz val="10"/>
      <color theme="0"/>
      <name val="Calibri"/>
      <family val="2"/>
      <scheme val="minor"/>
    </font>
    <font>
      <b/>
      <u/>
      <sz val="14"/>
      <color theme="10"/>
      <name val="Calibri"/>
      <family val="2"/>
      <scheme val="minor"/>
    </font>
    <font>
      <b/>
      <sz val="14"/>
      <color rgb="FFFFFF00"/>
      <name val="Calibri"/>
      <family val="2"/>
      <scheme val="minor"/>
    </font>
    <font>
      <sz val="11"/>
      <name val="Calibri"/>
      <family val="2"/>
    </font>
    <font>
      <sz val="14"/>
      <name val="Segoe Print"/>
    </font>
    <font>
      <b/>
      <sz val="14"/>
      <color theme="1"/>
      <name val="Segoe Print"/>
    </font>
    <font>
      <sz val="14"/>
      <color theme="1"/>
      <name val="Segoe Print"/>
    </font>
    <font>
      <b/>
      <sz val="14"/>
      <name val="Segoe Print"/>
    </font>
    <font>
      <u/>
      <sz val="14"/>
      <color theme="10"/>
      <name val="Calibri"/>
      <family val="2"/>
      <scheme val="minor"/>
    </font>
    <font>
      <sz val="14"/>
      <color rgb="FF0066FF"/>
      <name val="Verdana"/>
      <family val="2"/>
    </font>
    <font>
      <sz val="11"/>
      <color rgb="FF0066FF"/>
      <name val="Calibri"/>
      <family val="2"/>
      <scheme val="minor"/>
    </font>
    <font>
      <sz val="8"/>
      <color rgb="FF0066FF"/>
      <name val="Calibri"/>
      <family val="2"/>
      <scheme val="minor"/>
    </font>
    <font>
      <sz val="11"/>
      <color theme="4" tint="0.39997558519241921"/>
      <name val="Calibri"/>
      <family val="2"/>
      <scheme val="minor"/>
    </font>
    <font>
      <sz val="12"/>
      <color rgb="FF0066FF"/>
      <name val="Calibri"/>
      <family val="2"/>
      <scheme val="minor"/>
    </font>
    <font>
      <b/>
      <sz val="11"/>
      <color rgb="FF0066FF"/>
      <name val="Calibri"/>
      <family val="2"/>
      <scheme val="minor"/>
    </font>
    <font>
      <sz val="11"/>
      <color rgb="FF0033CC"/>
      <name val="Calibri"/>
      <family val="2"/>
      <scheme val="minor"/>
    </font>
    <font>
      <b/>
      <sz val="11"/>
      <color rgb="FF7030A0"/>
      <name val="Calibri"/>
      <family val="2"/>
      <scheme val="minor"/>
    </font>
    <font>
      <b/>
      <sz val="14"/>
      <color rgb="FF7030A0"/>
      <name val="Calibri"/>
      <family val="2"/>
      <scheme val="minor"/>
    </font>
    <font>
      <sz val="11"/>
      <color theme="1"/>
      <name val="Segoe Print"/>
    </font>
    <font>
      <b/>
      <sz val="14"/>
      <color rgb="FF0066FF"/>
      <name val="Calibri"/>
      <family val="2"/>
      <scheme val="minor"/>
    </font>
    <font>
      <sz val="26"/>
      <color theme="7" tint="-0.249977111117893"/>
      <name val="Calibri"/>
      <family val="2"/>
      <scheme val="minor"/>
    </font>
    <font>
      <b/>
      <sz val="22"/>
      <color theme="9" tint="-0.249977111117893"/>
      <name val="Calibri"/>
      <family val="2"/>
      <scheme val="minor"/>
    </font>
    <font>
      <b/>
      <sz val="10"/>
      <color theme="5" tint="-0.249977111117893"/>
      <name val="Calibri"/>
      <family val="2"/>
      <scheme val="minor"/>
    </font>
    <font>
      <sz val="18"/>
      <color rgb="FF0070C0"/>
      <name val="Calibri"/>
      <family val="2"/>
      <scheme val="minor"/>
    </font>
    <font>
      <b/>
      <sz val="18"/>
      <color theme="1"/>
      <name val="Calibri"/>
      <family val="2"/>
      <scheme val="minor"/>
    </font>
    <font>
      <sz val="11"/>
      <color theme="10"/>
      <name val="Calibri"/>
      <family val="2"/>
      <scheme val="minor"/>
    </font>
    <font>
      <sz val="18"/>
      <color theme="1"/>
      <name val="Calibri"/>
      <family val="2"/>
      <scheme val="minor"/>
    </font>
    <font>
      <sz val="10"/>
      <color rgb="FF800000"/>
      <name val="Calibri"/>
      <family val="2"/>
      <scheme val="minor"/>
    </font>
    <font>
      <b/>
      <sz val="11"/>
      <color rgb="FF800000"/>
      <name val="Calibri"/>
      <family val="2"/>
      <scheme val="minor"/>
    </font>
    <font>
      <sz val="10"/>
      <color rgb="FFC00000"/>
      <name val="Calibri"/>
      <family val="2"/>
      <scheme val="minor"/>
    </font>
    <font>
      <sz val="10"/>
      <color theme="1" tint="0.499984740745262"/>
      <name val="Calibri"/>
      <family val="2"/>
      <scheme val="minor"/>
    </font>
    <font>
      <sz val="10"/>
      <color theme="9" tint="-0.249977111117893"/>
      <name val="Calibri"/>
      <family val="2"/>
      <scheme val="minor"/>
    </font>
    <font>
      <sz val="11"/>
      <color theme="1" tint="0.34998626667073579"/>
      <name val="Calibri"/>
      <family val="2"/>
      <scheme val="minor"/>
    </font>
    <font>
      <sz val="11"/>
      <color theme="1" tint="0.499984740745262"/>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sz val="18"/>
      <name val="Calibri"/>
      <family val="2"/>
      <scheme val="minor"/>
    </font>
    <font>
      <sz val="9"/>
      <color theme="1"/>
      <name val="Calibri"/>
      <family val="2"/>
      <scheme val="minor"/>
    </font>
    <font>
      <b/>
      <sz val="10"/>
      <color rgb="FF0000FF"/>
      <name val="Calibri"/>
      <family val="2"/>
      <scheme val="minor"/>
    </font>
    <font>
      <b/>
      <sz val="18"/>
      <color theme="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1"/>
      <color rgb="FF375623"/>
      <name val="Calibri"/>
      <family val="2"/>
      <scheme val="minor"/>
    </font>
    <font>
      <sz val="11"/>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2"/>
      <color rgb="FF0070C0"/>
      <name val="Calibri"/>
      <family val="2"/>
      <scheme val="minor"/>
    </font>
    <font>
      <b/>
      <sz val="20"/>
      <name val="Calibri"/>
      <family val="2"/>
      <scheme val="minor"/>
    </font>
    <font>
      <sz val="14"/>
      <color theme="4"/>
      <name val="Calibri"/>
      <family val="2"/>
      <scheme val="minor"/>
    </font>
    <font>
      <sz val="14"/>
      <color theme="9" tint="-0.249977111117893"/>
      <name val="Calibri"/>
      <family val="2"/>
      <scheme val="minor"/>
    </font>
    <font>
      <sz val="16"/>
      <color theme="1"/>
      <name val="Calibri"/>
      <family val="2"/>
      <scheme val="minor"/>
    </font>
    <font>
      <sz val="9"/>
      <color theme="1" tint="0.34998626667073579"/>
      <name val="Calibri"/>
      <family val="2"/>
      <scheme val="minor"/>
    </font>
    <font>
      <sz val="8"/>
      <color rgb="FFC00000"/>
      <name val="Calibri"/>
      <family val="2"/>
      <scheme val="minor"/>
    </font>
    <font>
      <sz val="12"/>
      <color theme="4"/>
      <name val="Calibri"/>
      <family val="2"/>
      <scheme val="minor"/>
    </font>
    <font>
      <sz val="10"/>
      <color theme="0" tint="-0.499984740745262"/>
      <name val="Calibri"/>
      <family val="2"/>
      <scheme val="minor"/>
    </font>
    <font>
      <sz val="14"/>
      <color rgb="FF0000FF"/>
      <name val="Calibri"/>
      <family val="2"/>
      <scheme val="minor"/>
    </font>
    <font>
      <sz val="12"/>
      <color rgb="FF0070C0"/>
      <name val="Calibri"/>
      <family val="2"/>
      <scheme val="minor"/>
    </font>
    <font>
      <b/>
      <sz val="12"/>
      <color theme="4"/>
      <name val="Calibri"/>
      <family val="2"/>
      <scheme val="minor"/>
    </font>
    <font>
      <i/>
      <sz val="12"/>
      <color theme="1"/>
      <name val="Calibri"/>
      <family val="2"/>
      <scheme val="minor"/>
    </font>
    <font>
      <sz val="11"/>
      <color indexed="8"/>
      <name val="Calibri"/>
      <family val="2"/>
    </font>
    <font>
      <sz val="12"/>
      <color theme="0" tint="-0.249977111117893"/>
      <name val="Calibri"/>
      <family val="2"/>
      <scheme val="minor"/>
    </font>
    <font>
      <sz val="10"/>
      <color rgb="FF0070C0"/>
      <name val="Calibri"/>
      <family val="2"/>
      <scheme val="minor"/>
    </font>
    <font>
      <sz val="12"/>
      <color rgb="FF7030A0"/>
      <name val="Calibri"/>
      <family val="2"/>
      <scheme val="minor"/>
    </font>
    <font>
      <b/>
      <sz val="12"/>
      <color rgb="FF0033CC"/>
      <name val="Calibri"/>
      <family val="2"/>
      <scheme val="minor"/>
    </font>
    <font>
      <b/>
      <sz val="11"/>
      <color rgb="FF0033CC"/>
      <name val="Calibri"/>
      <family val="2"/>
      <scheme val="minor"/>
    </font>
    <font>
      <b/>
      <sz val="13"/>
      <color theme="0"/>
      <name val="Calibri"/>
      <family val="2"/>
      <scheme val="minor"/>
    </font>
    <font>
      <b/>
      <sz val="10"/>
      <color rgb="FF0066FF"/>
      <name val="Calibri"/>
      <family val="2"/>
      <scheme val="minor"/>
    </font>
    <font>
      <b/>
      <sz val="11"/>
      <color theme="1" tint="0.34998626667073579"/>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8"/>
      <color theme="1" tint="0.34998626667073579"/>
      <name val="Calibri"/>
      <family val="2"/>
      <scheme val="minor"/>
    </font>
    <font>
      <sz val="10"/>
      <color rgb="FF0033CC"/>
      <name val="Calibri"/>
      <family val="2"/>
      <scheme val="minor"/>
    </font>
    <font>
      <sz val="10"/>
      <color theme="5" tint="-0.499984740745262"/>
      <name val="Calibri"/>
      <family val="2"/>
      <scheme val="minor"/>
    </font>
    <font>
      <b/>
      <sz val="11"/>
      <color theme="5" tint="-0.499984740745262"/>
      <name val="Calibri"/>
      <family val="2"/>
      <scheme val="minor"/>
    </font>
    <font>
      <sz val="9"/>
      <color rgb="FF0000FF"/>
      <name val="Calibri"/>
      <family val="2"/>
      <scheme val="minor"/>
    </font>
    <font>
      <b/>
      <i/>
      <sz val="11"/>
      <color theme="5" tint="-0.249977111117893"/>
      <name val="Calibri"/>
      <family val="2"/>
      <scheme val="minor"/>
    </font>
    <font>
      <b/>
      <sz val="12"/>
      <color theme="1" tint="0.34998626667073579"/>
      <name val="Calibri"/>
      <family val="2"/>
      <scheme val="minor"/>
    </font>
    <font>
      <b/>
      <sz val="12"/>
      <color theme="1" tint="0.499984740745262"/>
      <name val="Calibri"/>
      <family val="2"/>
      <scheme val="minor"/>
    </font>
    <font>
      <b/>
      <sz val="11"/>
      <color indexed="10"/>
      <name val="Calibri"/>
      <family val="2"/>
      <scheme val="minor"/>
    </font>
    <font>
      <b/>
      <sz val="18"/>
      <color rgb="FF0000FF"/>
      <name val="Calibri"/>
      <family val="2"/>
      <scheme val="minor"/>
    </font>
    <font>
      <b/>
      <sz val="13"/>
      <name val="Calibri"/>
      <family val="2"/>
      <scheme val="minor"/>
    </font>
    <font>
      <sz val="13"/>
      <color theme="1"/>
      <name val="Calibri"/>
      <family val="2"/>
      <scheme val="minor"/>
    </font>
    <font>
      <b/>
      <sz val="13"/>
      <color indexed="12"/>
      <name val="Calibri"/>
      <family val="2"/>
      <scheme val="minor"/>
    </font>
    <font>
      <sz val="13"/>
      <name val="Calibri"/>
      <family val="2"/>
      <scheme val="minor"/>
    </font>
    <font>
      <b/>
      <sz val="22"/>
      <name val="Calibri"/>
      <family val="2"/>
      <scheme val="minor"/>
    </font>
    <font>
      <b/>
      <sz val="14"/>
      <color indexed="61"/>
      <name val="Calibri"/>
      <family val="2"/>
      <scheme val="minor"/>
    </font>
    <font>
      <b/>
      <sz val="20"/>
      <color rgb="FFFFFF00"/>
      <name val="Arial"/>
      <family val="2"/>
    </font>
    <font>
      <b/>
      <sz val="18"/>
      <color rgb="FFFF0000"/>
      <name val="Calibri"/>
      <family val="2"/>
      <scheme val="minor"/>
    </font>
    <font>
      <b/>
      <sz val="18"/>
      <color theme="9" tint="-0.249977111117893"/>
      <name val="Calibri"/>
      <family val="2"/>
      <scheme val="minor"/>
    </font>
    <font>
      <b/>
      <sz val="14"/>
      <color rgb="FF993366"/>
      <name val="Calibri"/>
      <family val="2"/>
      <scheme val="minor"/>
    </font>
    <font>
      <sz val="12"/>
      <color rgb="FF993366"/>
      <name val="Calibri"/>
      <family val="2"/>
      <scheme val="minor"/>
    </font>
    <font>
      <sz val="8"/>
      <color indexed="53"/>
      <name val="Arial"/>
      <family val="2"/>
    </font>
    <font>
      <b/>
      <sz val="14"/>
      <color theme="0"/>
      <name val="Calibri"/>
      <family val="2"/>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sz val="11"/>
      <color rgb="FF993366"/>
      <name val="Calibri"/>
      <family val="2"/>
      <scheme val="minor"/>
    </font>
    <font>
      <b/>
      <sz val="14"/>
      <color theme="9" tint="-0.249977111117893"/>
      <name val="Calibri"/>
      <family val="2"/>
      <scheme val="minor"/>
    </font>
    <font>
      <b/>
      <sz val="18"/>
      <color rgb="FF339933"/>
      <name val="Calibri"/>
      <family val="2"/>
      <scheme val="minor"/>
    </font>
    <font>
      <sz val="26"/>
      <name val="Calibri"/>
      <family val="2"/>
      <scheme val="minor"/>
    </font>
    <font>
      <sz val="26"/>
      <name val="Arial"/>
      <family val="2"/>
    </font>
    <font>
      <b/>
      <sz val="10"/>
      <name val="Arial"/>
      <family val="2"/>
    </font>
    <font>
      <sz val="18"/>
      <color rgb="FF000000"/>
      <name val="Georgia"/>
      <family val="1"/>
    </font>
    <font>
      <b/>
      <sz val="11"/>
      <name val="Arial"/>
      <family val="2"/>
    </font>
    <font>
      <b/>
      <sz val="8"/>
      <name val="Arial"/>
      <family val="2"/>
    </font>
    <font>
      <sz val="24"/>
      <color theme="0"/>
      <name val="Arial"/>
      <family val="2"/>
    </font>
    <font>
      <b/>
      <sz val="16"/>
      <name val="Arial"/>
      <family val="2"/>
    </font>
    <font>
      <b/>
      <sz val="16"/>
      <color theme="0"/>
      <name val="Arial"/>
      <family val="2"/>
    </font>
    <font>
      <b/>
      <sz val="10"/>
      <color theme="0"/>
      <name val="Arial"/>
      <family val="2"/>
    </font>
    <font>
      <b/>
      <u/>
      <sz val="12"/>
      <color theme="10"/>
      <name val="Calibri"/>
      <family val="2"/>
      <scheme val="minor"/>
    </font>
    <font>
      <sz val="11"/>
      <color rgb="FF252525"/>
      <name val="Arial"/>
      <family val="2"/>
    </font>
    <font>
      <b/>
      <u/>
      <sz val="16"/>
      <color theme="10"/>
      <name val="Calibri"/>
      <family val="2"/>
      <scheme val="minor"/>
    </font>
    <font>
      <sz val="11"/>
      <name val="Arial"/>
      <family val="2"/>
    </font>
    <font>
      <u/>
      <sz val="16"/>
      <color theme="10"/>
      <name val="Calibri"/>
      <family val="2"/>
      <scheme val="minor"/>
    </font>
    <font>
      <u/>
      <sz val="10"/>
      <color indexed="12"/>
      <name val="Arial"/>
      <family val="2"/>
    </font>
    <font>
      <b/>
      <u/>
      <sz val="14"/>
      <color indexed="12"/>
      <name val="Calibri"/>
      <family val="2"/>
      <scheme val="minor"/>
    </font>
    <font>
      <b/>
      <u/>
      <sz val="11"/>
      <color theme="10"/>
      <name val="Calibri"/>
      <family val="2"/>
      <scheme val="minor"/>
    </font>
    <font>
      <sz val="24"/>
      <name val="Arial"/>
      <family val="2"/>
    </font>
    <font>
      <b/>
      <sz val="16"/>
      <color indexed="12"/>
      <name val="Arial"/>
      <family val="2"/>
    </font>
    <font>
      <b/>
      <sz val="14"/>
      <name val="Arial"/>
      <family val="2"/>
    </font>
    <font>
      <b/>
      <i/>
      <sz val="14"/>
      <name val="Arial"/>
      <family val="2"/>
    </font>
    <font>
      <b/>
      <sz val="12"/>
      <color indexed="57"/>
      <name val="Arial"/>
      <family val="2"/>
    </font>
    <font>
      <b/>
      <sz val="12"/>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b/>
      <sz val="14"/>
      <name val="Calibri"/>
      <family val="2"/>
    </font>
    <font>
      <sz val="18"/>
      <color theme="0"/>
      <name val="Arial"/>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8"/>
      <color theme="1"/>
      <name val="Arial"/>
      <family val="2"/>
    </font>
    <font>
      <sz val="9"/>
      <name val="Arial"/>
      <family val="2"/>
    </font>
    <font>
      <sz val="12"/>
      <color theme="1"/>
      <name val="Arial"/>
      <family val="2"/>
    </font>
    <font>
      <b/>
      <sz val="18"/>
      <color theme="0"/>
      <name val="Arial"/>
      <family val="2"/>
    </font>
    <font>
      <b/>
      <sz val="14"/>
      <color rgb="FFC00000"/>
      <name val="Arial"/>
      <family val="2"/>
    </font>
    <font>
      <b/>
      <sz val="12"/>
      <color rgb="FFC00000"/>
      <name val="Arial"/>
      <family val="2"/>
    </font>
    <font>
      <b/>
      <sz val="12"/>
      <color theme="9" tint="-0.249977111117893"/>
      <name val="Arial"/>
      <family val="2"/>
    </font>
    <font>
      <sz val="10"/>
      <name val="MS Sans Serif"/>
    </font>
    <font>
      <i/>
      <sz val="12"/>
      <name val="Calibri"/>
      <family val="2"/>
      <scheme val="minor"/>
    </font>
    <font>
      <b/>
      <i/>
      <sz val="12"/>
      <name val="Calibri"/>
      <family val="2"/>
      <scheme val="minor"/>
    </font>
    <font>
      <sz val="12"/>
      <color rgb="FF800000"/>
      <name val="Calibri"/>
      <family val="2"/>
      <scheme val="minor"/>
    </font>
    <font>
      <sz val="20"/>
      <name val="Calibri"/>
      <family val="2"/>
      <scheme val="minor"/>
    </font>
    <font>
      <b/>
      <sz val="25"/>
      <name val="Calibri"/>
      <family val="2"/>
      <scheme val="minor"/>
    </font>
    <font>
      <b/>
      <sz val="2"/>
      <name val="Calibri"/>
      <family val="2"/>
      <scheme val="minor"/>
    </font>
    <font>
      <b/>
      <sz val="16"/>
      <color indexed="12"/>
      <name val="Calibri"/>
      <family val="2"/>
      <scheme val="minor"/>
    </font>
    <font>
      <b/>
      <sz val="14"/>
      <color indexed="12"/>
      <name val="Calibri"/>
      <family val="2"/>
      <scheme val="minor"/>
    </font>
    <font>
      <b/>
      <sz val="14"/>
      <color indexed="10"/>
      <name val="Calibri"/>
      <family val="2"/>
      <scheme val="minor"/>
    </font>
    <font>
      <b/>
      <i/>
      <sz val="16"/>
      <name val="Calibri"/>
      <family val="2"/>
      <scheme val="minor"/>
    </font>
    <font>
      <sz val="24"/>
      <name val="Calibri"/>
      <family val="2"/>
      <scheme val="minor"/>
    </font>
    <font>
      <i/>
      <sz val="11"/>
      <color theme="9" tint="-0.499984740745262"/>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2"/>
      <color theme="0"/>
      <name val="Arial"/>
      <family val="2"/>
    </font>
    <font>
      <b/>
      <sz val="11"/>
      <color rgb="FFC00000"/>
      <name val="Arial"/>
      <family val="2"/>
    </font>
    <font>
      <b/>
      <sz val="10"/>
      <color indexed="9"/>
      <name val="Arial"/>
      <family val="2"/>
    </font>
    <font>
      <b/>
      <sz val="20"/>
      <name val="Arial"/>
      <family val="2"/>
    </font>
    <font>
      <sz val="14"/>
      <name val="Rockwell"/>
      <family val="1"/>
    </font>
    <font>
      <sz val="11"/>
      <color indexed="10"/>
      <name val="Calibri"/>
      <family val="2"/>
    </font>
    <font>
      <b/>
      <sz val="11"/>
      <color indexed="8"/>
      <name val="Calibri"/>
      <family val="2"/>
    </font>
    <font>
      <sz val="14"/>
      <color indexed="8"/>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1"/>
      <color indexed="17"/>
      <name val="Calibri"/>
      <family val="2"/>
    </font>
    <font>
      <b/>
      <sz val="14"/>
      <color indexed="17"/>
      <name val="Calibri"/>
      <family val="2"/>
    </font>
    <font>
      <i/>
      <sz val="12"/>
      <color indexed="12"/>
      <name val="Arial"/>
      <family val="2"/>
    </font>
    <font>
      <b/>
      <sz val="11"/>
      <color theme="0"/>
      <name val="Arial"/>
      <family val="2"/>
    </font>
    <font>
      <b/>
      <sz val="11"/>
      <color indexed="10"/>
      <name val="Arial"/>
      <family val="2"/>
    </font>
    <font>
      <b/>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sz val="8"/>
      <name val="MS Sans Serif"/>
      <family val="2"/>
    </font>
    <font>
      <b/>
      <sz val="20"/>
      <color indexed="12"/>
      <name val="Arial"/>
      <family val="2"/>
    </font>
    <font>
      <b/>
      <sz val="9"/>
      <name val="Arial"/>
      <family val="2"/>
    </font>
    <font>
      <sz val="12"/>
      <color rgb="FF0000FF"/>
      <name val="Calibri"/>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2"/>
      <color rgb="FFFF0000"/>
      <name val="Arial"/>
      <family val="2"/>
    </font>
    <font>
      <sz val="8"/>
      <color theme="0" tint="-0.34998626667073579"/>
      <name val="Arial"/>
      <family val="2"/>
    </font>
    <font>
      <sz val="16"/>
      <color theme="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b/>
      <sz val="16"/>
      <color rgb="FFFF0000"/>
      <name val="Calibri"/>
      <family val="2"/>
      <scheme val="minor"/>
    </font>
    <font>
      <b/>
      <u/>
      <sz val="18"/>
      <color theme="1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b/>
      <sz val="14"/>
      <color theme="0" tint="-4.9989318521683403E-2"/>
      <name val="Calibri"/>
      <family val="2"/>
      <scheme val="minor"/>
    </font>
    <font>
      <sz val="11"/>
      <color indexed="8"/>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0"/>
      <name val="Calibri"/>
      <family val="2"/>
    </font>
    <font>
      <sz val="11"/>
      <color rgb="FFFFFFFF"/>
      <name val="Calibri"/>
      <family val="2"/>
      <scheme val="minor"/>
    </font>
    <font>
      <sz val="10"/>
      <color theme="1"/>
      <name val="Arial Unicode MS"/>
    </font>
    <font>
      <b/>
      <sz val="10"/>
      <color theme="1"/>
      <name val="Arial Unicode MS"/>
    </font>
    <font>
      <i/>
      <sz val="10"/>
      <color theme="1"/>
      <name val="Arial Unicode MS"/>
    </font>
    <font>
      <sz val="10"/>
      <color rgb="FFFF0000"/>
      <name val="Consolas"/>
      <family val="3"/>
    </font>
    <font>
      <b/>
      <sz val="8"/>
      <color theme="0"/>
      <name val="Calibri"/>
      <family val="2"/>
    </font>
    <font>
      <sz val="11"/>
      <color rgb="FF0000FF"/>
      <name val="Consolas"/>
      <family val="3"/>
    </font>
    <font>
      <b/>
      <sz val="11"/>
      <color theme="1" tint="0.249977111117893"/>
      <name val="Calibri"/>
      <family val="2"/>
      <scheme val="minor"/>
    </font>
    <font>
      <b/>
      <sz val="8"/>
      <color theme="0" tint="-0.14999847407452621"/>
      <name val="Calibri"/>
      <family val="2"/>
      <scheme val="minor"/>
    </font>
    <font>
      <b/>
      <sz val="22"/>
      <color rgb="FF92D050"/>
      <name val="Verdana"/>
      <family val="2"/>
    </font>
    <font>
      <b/>
      <sz val="28"/>
      <color rgb="FFFFFF00"/>
      <name val="Calibri"/>
      <family val="2"/>
      <scheme val="minor"/>
    </font>
    <font>
      <sz val="18"/>
      <color rgb="FF7030A0"/>
      <name val="Arial"/>
      <family val="2"/>
    </font>
    <font>
      <b/>
      <sz val="18"/>
      <color rgb="FFFFFF00"/>
      <name val="Arial"/>
      <family val="2"/>
    </font>
    <font>
      <sz val="22"/>
      <color theme="0"/>
      <name val="Verdana"/>
      <family val="2"/>
    </font>
    <font>
      <sz val="20"/>
      <color theme="0"/>
      <name val="Verdana"/>
      <family val="2"/>
    </font>
    <font>
      <i/>
      <sz val="14"/>
      <name val="Calibri"/>
      <family val="2"/>
    </font>
    <font>
      <i/>
      <sz val="16"/>
      <name val="Calibri"/>
      <family val="2"/>
    </font>
    <font>
      <sz val="22"/>
      <name val="Verdana"/>
      <family val="2"/>
    </font>
    <font>
      <i/>
      <sz val="14"/>
      <name val="Verdana"/>
      <family val="2"/>
    </font>
    <font>
      <u/>
      <sz val="22"/>
      <color theme="10"/>
      <name val="Verdana"/>
      <family val="2"/>
    </font>
    <font>
      <u/>
      <sz val="22"/>
      <color theme="10"/>
      <name val="Calibri"/>
      <family val="2"/>
      <scheme val="minor"/>
    </font>
    <font>
      <sz val="22"/>
      <color theme="0"/>
      <name val="Calibri"/>
      <family val="2"/>
      <scheme val="minor"/>
    </font>
    <font>
      <b/>
      <sz val="22"/>
      <color rgb="FFC00000"/>
      <name val="Verdana"/>
      <family val="2"/>
    </font>
    <font>
      <sz val="18"/>
      <name val="Verdana"/>
      <family val="2"/>
    </font>
    <font>
      <b/>
      <sz val="22"/>
      <color rgb="FF0000FF"/>
      <name val="Verdana"/>
      <family val="2"/>
    </font>
    <font>
      <sz val="22"/>
      <color rgb="FF0000FF"/>
      <name val="Verdana"/>
      <family val="2"/>
    </font>
    <font>
      <sz val="22"/>
      <name val="Calibri"/>
      <family val="2"/>
      <scheme val="minor"/>
    </font>
    <font>
      <u/>
      <sz val="18"/>
      <color theme="10"/>
      <name val="Calibri"/>
      <family val="2"/>
      <scheme val="minor"/>
    </font>
    <font>
      <sz val="22"/>
      <name val="Arial"/>
      <family val="2"/>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18"/>
      <color theme="0" tint="-0.249977111117893"/>
      <name val="Calibri"/>
      <family val="2"/>
      <scheme val="minor"/>
    </font>
    <font>
      <sz val="18"/>
      <color rgb="FFFF0000"/>
      <name val="Calibri"/>
      <family val="2"/>
      <scheme val="minor"/>
    </font>
    <font>
      <b/>
      <sz val="18"/>
      <name val="Verdana"/>
      <family val="2"/>
    </font>
    <font>
      <sz val="18"/>
      <color theme="1"/>
      <name val="Verdana"/>
      <family val="2"/>
    </font>
    <font>
      <b/>
      <sz val="18"/>
      <color theme="9" tint="-0.249977111117893"/>
      <name val="Verdana"/>
      <family val="2"/>
    </font>
    <font>
      <b/>
      <sz val="18"/>
      <color theme="1"/>
      <name val="Verdana"/>
      <family val="2"/>
    </font>
    <font>
      <sz val="18"/>
      <color theme="0"/>
      <name val="Verdana"/>
      <family val="2"/>
    </font>
    <font>
      <sz val="10"/>
      <color theme="0"/>
      <name val="Arial"/>
      <family val="2"/>
    </font>
    <font>
      <sz val="22"/>
      <color rgb="FF92D050"/>
      <name val="Verdana"/>
      <family val="2"/>
    </font>
    <font>
      <b/>
      <sz val="18"/>
      <color rgb="FFFFFF00"/>
      <name val="Calibri"/>
      <family val="2"/>
      <scheme val="minor"/>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color theme="1"/>
      <name val="Calibri"/>
      <family val="2"/>
      <scheme val="minor"/>
    </font>
    <font>
      <sz val="24"/>
      <color theme="0"/>
      <name val="Verdana"/>
      <family val="2"/>
    </font>
    <font>
      <b/>
      <u/>
      <sz val="24"/>
      <color rgb="FFFFFF00"/>
      <name val="Calibri"/>
      <family val="2"/>
      <scheme val="minor"/>
    </font>
    <font>
      <sz val="24"/>
      <color theme="1"/>
      <name val="Calibri"/>
      <family val="2"/>
      <scheme val="minor"/>
    </font>
    <font>
      <b/>
      <u/>
      <sz val="22"/>
      <color rgb="FFFFFF00"/>
      <name val="Calibri"/>
      <family val="2"/>
      <scheme val="minor"/>
    </font>
    <font>
      <sz val="22"/>
      <color rgb="FFFFFF00"/>
      <name val="Verdana"/>
      <family val="2"/>
    </font>
    <font>
      <sz val="16"/>
      <color theme="0"/>
      <name val="Verdana"/>
      <family val="2"/>
    </font>
    <font>
      <sz val="20"/>
      <color rgb="FF92D05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20"/>
      <color theme="1"/>
      <name val="Calibri"/>
      <family val="2"/>
      <scheme val="minor"/>
    </font>
    <font>
      <sz val="16"/>
      <color rgb="FFFFFF00"/>
      <name val="Calibri"/>
      <family val="2"/>
    </font>
    <font>
      <sz val="14"/>
      <color rgb="FF92D050"/>
      <name val="Calibri"/>
      <family val="2"/>
    </font>
    <font>
      <sz val="18"/>
      <color rgb="FFFFFF00"/>
      <name val="Verdana"/>
      <family val="2"/>
    </font>
    <font>
      <b/>
      <sz val="22"/>
      <color rgb="FFC00000"/>
      <name val="Calibri"/>
      <family val="2"/>
      <scheme val="minor"/>
    </font>
    <font>
      <b/>
      <sz val="14"/>
      <color rgb="FFFFFF00"/>
      <name val="Calibri"/>
      <family val="2"/>
    </font>
    <font>
      <i/>
      <sz val="22"/>
      <color rgb="FF92D050"/>
      <name val="Verdana"/>
      <family val="2"/>
    </font>
    <font>
      <b/>
      <i/>
      <sz val="22"/>
      <color rgb="FF92D050"/>
      <name val="Calibri"/>
      <family val="2"/>
      <scheme val="minor"/>
    </font>
    <font>
      <i/>
      <sz val="22"/>
      <color rgb="FF92D050"/>
      <name val="Calibri"/>
      <family val="2"/>
      <scheme val="minor"/>
    </font>
    <font>
      <i/>
      <sz val="18"/>
      <color rgb="FFFFFF00"/>
      <name val="Verdana"/>
      <family val="2"/>
    </font>
    <font>
      <b/>
      <sz val="22"/>
      <color rgb="FF92D050"/>
      <name val="Calibri"/>
      <family val="2"/>
      <scheme val="minor"/>
    </font>
    <font>
      <sz val="22"/>
      <color rgb="FF92D050"/>
      <name val="Calibri"/>
      <family val="2"/>
      <scheme val="minor"/>
    </font>
    <font>
      <sz val="22"/>
      <color rgb="FF92D050"/>
      <name val="Arial Unicode MS"/>
    </font>
    <font>
      <b/>
      <sz val="26"/>
      <color theme="0"/>
      <name val="Verdana"/>
      <family val="2"/>
    </font>
    <font>
      <b/>
      <u/>
      <sz val="20"/>
      <color theme="10"/>
      <name val="Calibri"/>
      <family val="2"/>
      <scheme val="minor"/>
    </font>
    <font>
      <i/>
      <sz val="22"/>
      <color rgb="FFFFFF00"/>
      <name val="Verdana"/>
      <family val="2"/>
    </font>
    <font>
      <b/>
      <sz val="16"/>
      <name val="Calibri"/>
      <family val="2"/>
    </font>
    <font>
      <b/>
      <sz val="12"/>
      <name val="Calibri"/>
      <family val="2"/>
    </font>
    <font>
      <b/>
      <sz val="20"/>
      <color rgb="FF92D050"/>
      <name val="Arial"/>
      <family val="2"/>
    </font>
    <font>
      <sz val="16"/>
      <name val="Arial"/>
      <family val="2"/>
    </font>
    <font>
      <sz val="20"/>
      <color rgb="FFFFFF00"/>
      <name val="Arial"/>
      <family val="2"/>
    </font>
    <font>
      <sz val="22"/>
      <color rgb="FFFFFF00"/>
      <name val="Arial"/>
      <family val="2"/>
    </font>
    <font>
      <sz val="14"/>
      <color theme="0"/>
      <name val="Arial"/>
      <family val="2"/>
    </font>
    <font>
      <b/>
      <sz val="18"/>
      <color rgb="FFC00000"/>
      <name val="Verdana"/>
      <family val="2"/>
    </font>
    <font>
      <sz val="20"/>
      <name val="Verdana"/>
      <family val="2"/>
    </font>
    <font>
      <u/>
      <sz val="22"/>
      <color theme="0"/>
      <name val="Arial"/>
      <family val="2"/>
    </font>
    <font>
      <sz val="20"/>
      <color theme="0"/>
      <name val="Arial"/>
      <family val="2"/>
    </font>
    <font>
      <b/>
      <sz val="16"/>
      <color theme="9" tint="-0.249977111117893"/>
      <name val="Calibri"/>
      <family val="2"/>
      <scheme val="minor"/>
    </font>
    <font>
      <sz val="16"/>
      <color rgb="FFC00000"/>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b/>
      <sz val="20"/>
      <color theme="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b/>
      <sz val="20"/>
      <color theme="0"/>
      <name val="Calibri"/>
      <family val="2"/>
    </font>
    <font>
      <b/>
      <sz val="22"/>
      <color rgb="FF99CC00"/>
      <name val="Arial"/>
      <family val="2"/>
    </font>
    <font>
      <sz val="22"/>
      <color theme="0"/>
      <name val="Rockwell"/>
      <family val="1"/>
    </font>
    <font>
      <b/>
      <sz val="18"/>
      <color theme="0"/>
      <name val="Calibri"/>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sz val="8"/>
      <color theme="0"/>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sz val="9"/>
      <color theme="1" tint="0.499984740745262"/>
      <name val="Calibri"/>
      <family val="2"/>
      <scheme val="minor"/>
    </font>
    <font>
      <b/>
      <sz val="72"/>
      <color theme="9" tint="-0.249977111117893"/>
      <name val="Calibri"/>
      <family val="2"/>
      <scheme val="minor"/>
    </font>
    <font>
      <sz val="12"/>
      <color rgb="FF0070C0"/>
      <name val="Calibri"/>
      <family val="2"/>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12"/>
      <name val="Calibri"/>
      <family val="2"/>
      <scheme val="minor"/>
    </font>
    <font>
      <sz val="10"/>
      <color indexed="54"/>
      <name val="Calibri"/>
      <family val="2"/>
      <scheme val="minor"/>
    </font>
    <font>
      <sz val="10"/>
      <color indexed="13"/>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0"/>
      <color indexed="42"/>
      <name val="Calibri"/>
      <family val="2"/>
      <scheme val="minor"/>
    </font>
    <font>
      <sz val="10"/>
      <color indexed="57"/>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sz val="11"/>
      <color theme="0" tint="-0.499984740745262"/>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7"/>
      <name val="Calibri"/>
      <family val="2"/>
      <scheme val="minor"/>
    </font>
    <font>
      <b/>
      <sz val="10"/>
      <color indexed="8"/>
      <name val="Calibri"/>
      <family val="2"/>
      <scheme val="minor"/>
    </font>
    <font>
      <sz val="14"/>
      <color indexed="8"/>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b/>
      <sz val="16"/>
      <color theme="1"/>
      <name val="Arial"/>
      <family val="2"/>
    </font>
    <font>
      <b/>
      <sz val="18"/>
      <color rgb="FF92D050"/>
      <name val="Verdana"/>
      <family val="2"/>
    </font>
    <font>
      <b/>
      <sz val="9"/>
      <color indexed="81"/>
      <name val="Tahoma"/>
      <family val="2"/>
    </font>
    <font>
      <sz val="14"/>
      <name val="Calibri"/>
      <family val="2"/>
    </font>
    <font>
      <b/>
      <sz val="14"/>
      <color rgb="FF0000FF"/>
      <name val="Calibri"/>
      <family val="2"/>
    </font>
    <font>
      <b/>
      <sz val="14"/>
      <color rgb="FFC00000"/>
      <name val="Calibri"/>
      <family val="2"/>
    </font>
    <font>
      <i/>
      <sz val="12"/>
      <name val="Calibri"/>
      <family val="2"/>
    </font>
    <font>
      <i/>
      <sz val="14"/>
      <color rgb="FF0000FF"/>
      <name val="Calibri"/>
      <family val="2"/>
    </font>
    <font>
      <i/>
      <sz val="14"/>
      <color rgb="FFC00000"/>
      <name val="Calibri"/>
      <family val="2"/>
    </font>
    <font>
      <b/>
      <i/>
      <sz val="14"/>
      <name val="Calibri"/>
      <family val="2"/>
    </font>
    <font>
      <b/>
      <sz val="26"/>
      <color rgb="FFFFFFFF"/>
      <name val="Calibri"/>
      <family val="2"/>
      <scheme val="minor"/>
    </font>
    <font>
      <sz val="14"/>
      <color rgb="FFC00000"/>
      <name val="Calibri"/>
      <family val="2"/>
      <scheme val="minor"/>
    </font>
    <font>
      <sz val="13"/>
      <color rgb="FFBFBFBF"/>
      <name val="Calibri"/>
      <family val="2"/>
      <scheme val="minor"/>
    </font>
    <font>
      <sz val="8"/>
      <color rgb="FF00B050"/>
      <name val="Calibri"/>
      <family val="2"/>
      <scheme val="minor"/>
    </font>
    <font>
      <sz val="11"/>
      <color rgb="FFA20000"/>
      <name val="Calibri"/>
      <family val="2"/>
      <scheme val="minor"/>
    </font>
    <font>
      <b/>
      <sz val="12"/>
      <color rgb="FFA20000"/>
      <name val="Calibri"/>
      <family val="2"/>
      <scheme val="minor"/>
    </font>
    <font>
      <b/>
      <sz val="10"/>
      <color rgb="FFA20000"/>
      <name val="Calibri"/>
      <family val="2"/>
      <scheme val="minor"/>
    </font>
    <font>
      <sz val="14"/>
      <color rgb="FFA20000"/>
      <name val="Calibri"/>
      <family val="2"/>
      <scheme val="minor"/>
    </font>
    <font>
      <b/>
      <sz val="11"/>
      <color rgb="FFA20000"/>
      <name val="Calibri"/>
      <family val="2"/>
      <scheme val="minor"/>
    </font>
    <font>
      <sz val="12"/>
      <color rgb="FFA20000"/>
      <name val="Calibri"/>
      <family val="2"/>
      <scheme val="minor"/>
    </font>
    <font>
      <b/>
      <sz val="12"/>
      <color rgb="FFA20000"/>
      <name val="Arial"/>
      <family val="2"/>
    </font>
    <font>
      <sz val="11"/>
      <color rgb="FFA20000"/>
      <name val="Calibri"/>
      <family val="2"/>
    </font>
    <font>
      <sz val="14"/>
      <color rgb="FFA20000"/>
      <name val="Rockwell"/>
      <family val="1"/>
    </font>
    <font>
      <sz val="12"/>
      <color rgb="FFA20000"/>
      <name val="Calibri"/>
      <family val="2"/>
    </font>
    <font>
      <b/>
      <i/>
      <sz val="12"/>
      <color rgb="FFA20000"/>
      <name val="Calibri"/>
      <family val="2"/>
    </font>
    <font>
      <b/>
      <sz val="11"/>
      <color rgb="FFA20000"/>
      <name val="Arial"/>
      <family val="2"/>
    </font>
    <font>
      <b/>
      <sz val="11"/>
      <color rgb="FF000000"/>
      <name val="Calibri"/>
      <family val="2"/>
      <scheme val="minor"/>
    </font>
    <font>
      <sz val="10"/>
      <color rgb="FF000000"/>
      <name val="Arial"/>
      <family val="2"/>
    </font>
    <font>
      <i/>
      <sz val="12"/>
      <color rgb="FF000000"/>
      <name val="Arial"/>
      <family val="2"/>
    </font>
    <font>
      <b/>
      <sz val="12"/>
      <color rgb="FF000000"/>
      <name val="Arial"/>
      <family val="2"/>
    </font>
    <font>
      <sz val="12"/>
      <color rgb="FF000000"/>
      <name val="Arial"/>
      <family val="2"/>
    </font>
    <font>
      <sz val="11"/>
      <color rgb="FF000000"/>
      <name val="Calibri"/>
      <family val="2"/>
      <scheme val="minor"/>
    </font>
    <font>
      <b/>
      <sz val="11"/>
      <color theme="7" tint="-0.499984740745262"/>
      <name val="Calibri"/>
      <family val="2"/>
      <scheme val="minor"/>
    </font>
    <font>
      <sz val="11"/>
      <color theme="7" tint="-0.499984740745262"/>
      <name val="Calibri"/>
      <family val="2"/>
      <scheme val="minor"/>
    </font>
    <font>
      <sz val="9"/>
      <color theme="7" tint="-0.499984740745262"/>
      <name val="Calibri"/>
      <family val="2"/>
      <scheme val="minor"/>
    </font>
    <font>
      <b/>
      <sz val="12"/>
      <color theme="7" tint="-0.499984740745262"/>
      <name val="Calibri"/>
      <family val="2"/>
      <scheme val="minor"/>
    </font>
    <font>
      <sz val="14"/>
      <color theme="7" tint="-0.499984740745262"/>
      <name val="Calibri"/>
      <family val="2"/>
      <scheme val="minor"/>
    </font>
    <font>
      <b/>
      <sz val="12"/>
      <color theme="7" tint="-0.499984740745262"/>
      <name val="Arial"/>
      <family val="2"/>
    </font>
    <font>
      <b/>
      <sz val="13"/>
      <color theme="1"/>
      <name val="Calibri"/>
      <family val="2"/>
      <scheme val="minor"/>
    </font>
    <font>
      <sz val="8"/>
      <color theme="3"/>
      <name val="Calibri"/>
      <family val="2"/>
      <scheme val="minor"/>
    </font>
    <font>
      <sz val="9"/>
      <color theme="3"/>
      <name val="Calibri"/>
      <family val="2"/>
      <scheme val="minor"/>
    </font>
    <font>
      <sz val="10"/>
      <color theme="3"/>
      <name val="Calibri"/>
      <family val="2"/>
      <scheme val="minor"/>
    </font>
    <font>
      <sz val="22"/>
      <color theme="3"/>
      <name val="Calibri"/>
      <family val="2"/>
      <scheme val="minor"/>
    </font>
    <font>
      <sz val="10"/>
      <color indexed="10"/>
      <name val="Calibri"/>
      <family val="2"/>
      <scheme val="minor"/>
    </font>
    <font>
      <b/>
      <sz val="22"/>
      <color theme="1"/>
      <name val="Calibri"/>
      <family val="2"/>
      <scheme val="minor"/>
    </font>
    <font>
      <sz val="16"/>
      <color theme="0"/>
      <name val="Calibri"/>
      <family val="2"/>
      <scheme val="minor"/>
    </font>
    <font>
      <b/>
      <sz val="24"/>
      <color rgb="FFC00000"/>
      <name val="Calibri"/>
      <family val="2"/>
      <scheme val="minor"/>
    </font>
    <font>
      <b/>
      <sz val="11"/>
      <color theme="0" tint="-4.9989318521683403E-2"/>
      <name val="Calibri"/>
      <family val="2"/>
      <scheme val="minor"/>
    </font>
    <font>
      <b/>
      <sz val="18"/>
      <color theme="0" tint="-4.9989318521683403E-2"/>
      <name val="Calibri"/>
      <family val="2"/>
      <scheme val="minor"/>
    </font>
    <font>
      <b/>
      <sz val="16"/>
      <color theme="0" tint="-4.9989318521683403E-2"/>
      <name val="Calibri"/>
      <family val="2"/>
      <scheme val="minor"/>
    </font>
    <font>
      <b/>
      <sz val="20"/>
      <color rgb="FFFF0000"/>
      <name val="Calibri"/>
      <family val="2"/>
      <scheme val="minor"/>
    </font>
    <font>
      <b/>
      <sz val="16"/>
      <color theme="9" tint="-0.499984740745262"/>
      <name val="Calibri"/>
      <family val="2"/>
      <scheme val="minor"/>
    </font>
    <font>
      <b/>
      <sz val="16"/>
      <color theme="5" tint="-0.499984740745262"/>
      <name val="Calibri"/>
      <family val="2"/>
      <scheme val="minor"/>
    </font>
    <font>
      <b/>
      <sz val="16"/>
      <color theme="4"/>
      <name val="Calibri"/>
      <family val="2"/>
      <scheme val="minor"/>
    </font>
    <font>
      <i/>
      <sz val="16"/>
      <name val="Calibri"/>
      <family val="2"/>
      <scheme val="minor"/>
    </font>
    <font>
      <b/>
      <sz val="16"/>
      <color rgb="FF375623"/>
      <name val="Calibri"/>
      <family val="2"/>
      <scheme val="minor"/>
    </font>
    <font>
      <sz val="16"/>
      <color rgb="FF375623"/>
      <name val="Calibri"/>
      <family val="2"/>
      <scheme val="minor"/>
    </font>
    <font>
      <i/>
      <sz val="16"/>
      <color rgb="FF0000FF"/>
      <name val="Calibri"/>
      <family val="2"/>
      <scheme val="minor"/>
    </font>
    <font>
      <b/>
      <sz val="20"/>
      <color rgb="FFC00000"/>
      <name val="Calibri"/>
      <family val="2"/>
      <scheme val="minor"/>
    </font>
    <font>
      <i/>
      <sz val="16"/>
      <color rgb="FFC00000"/>
      <name val="Calibri"/>
      <family val="2"/>
      <scheme val="minor"/>
    </font>
    <font>
      <i/>
      <sz val="14"/>
      <color rgb="FFC00000"/>
      <name val="Calibri"/>
      <family val="2"/>
      <scheme val="minor"/>
    </font>
    <font>
      <i/>
      <sz val="12"/>
      <color rgb="FF0000FF"/>
      <name val="Calibri"/>
      <family val="2"/>
      <scheme val="minor"/>
    </font>
    <font>
      <b/>
      <sz val="12"/>
      <color rgb="FFFFFFFF"/>
      <name val="Calibri"/>
      <family val="2"/>
      <scheme val="minor"/>
    </font>
    <font>
      <sz val="14"/>
      <color theme="7" tint="0.39997558519241921"/>
      <name val="Calibri"/>
      <family val="2"/>
      <scheme val="minor"/>
    </font>
    <font>
      <i/>
      <sz val="14"/>
      <color rgb="FF0033CC"/>
      <name val="Calibri"/>
      <family val="2"/>
      <scheme val="minor"/>
    </font>
    <font>
      <b/>
      <sz val="16"/>
      <color indexed="10"/>
      <name val="Calibri"/>
      <family val="2"/>
      <scheme val="minor"/>
    </font>
    <font>
      <i/>
      <sz val="16"/>
      <color theme="1"/>
      <name val="Calibri"/>
      <family val="2"/>
      <scheme val="minor"/>
    </font>
    <font>
      <b/>
      <sz val="10"/>
      <color rgb="FF0033CC"/>
      <name val="Calibri"/>
      <family val="2"/>
      <scheme val="minor"/>
    </font>
    <font>
      <b/>
      <sz val="12"/>
      <color rgb="FF548235"/>
      <name val="Calibri"/>
      <family val="2"/>
      <scheme val="minor"/>
    </font>
    <font>
      <b/>
      <sz val="14"/>
      <color theme="9" tint="-0.499984740745262"/>
      <name val="Calibri"/>
      <family val="2"/>
      <scheme val="minor"/>
    </font>
    <font>
      <b/>
      <sz val="16"/>
      <color rgb="FF0033CC"/>
      <name val="Calibri"/>
      <family val="2"/>
      <scheme val="minor"/>
    </font>
    <font>
      <b/>
      <sz val="16"/>
      <color theme="5" tint="-0.249977111117893"/>
      <name val="Calibri"/>
      <family val="2"/>
      <scheme val="minor"/>
    </font>
    <font>
      <b/>
      <sz val="48"/>
      <color rgb="FFC00000"/>
      <name val="Calibri"/>
      <family val="2"/>
      <scheme val="minor"/>
    </font>
    <font>
      <sz val="12"/>
      <color theme="0" tint="-4.9989318521683403E-2"/>
      <name val="Calibri"/>
      <family val="2"/>
      <scheme val="minor"/>
    </font>
    <font>
      <u/>
      <sz val="14"/>
      <color rgb="FF0000FF"/>
      <name val="Calibri"/>
      <family val="2"/>
      <scheme val="minor"/>
    </font>
    <font>
      <b/>
      <sz val="11"/>
      <color rgb="FFFFC000"/>
      <name val="Calibri"/>
      <family val="2"/>
      <scheme val="minor"/>
    </font>
    <font>
      <b/>
      <sz val="12"/>
      <color rgb="FFFFC000"/>
      <name val="Calibri"/>
      <family val="2"/>
      <scheme val="minor"/>
    </font>
    <font>
      <b/>
      <sz val="24"/>
      <color theme="1"/>
      <name val="Calibri"/>
      <family val="2"/>
      <scheme val="minor"/>
    </font>
    <font>
      <b/>
      <sz val="14"/>
      <color theme="4"/>
      <name val="Calibri"/>
      <family val="2"/>
      <scheme val="minor"/>
    </font>
    <font>
      <b/>
      <sz val="11"/>
      <color rgb="FF548235"/>
      <name val="Calibri"/>
      <family val="2"/>
      <scheme val="minor"/>
    </font>
    <font>
      <u/>
      <sz val="11"/>
      <color rgb="FF0563C1"/>
      <name val="Calibri"/>
      <family val="2"/>
      <scheme val="minor"/>
    </font>
    <font>
      <sz val="11"/>
      <color rgb="FF0563C1"/>
      <name val="Calibri"/>
      <family val="2"/>
      <scheme val="minor"/>
    </font>
    <font>
      <b/>
      <sz val="14"/>
      <color rgb="FF375623"/>
      <name val="Calibri"/>
      <family val="2"/>
      <scheme val="minor"/>
    </font>
    <font>
      <sz val="10"/>
      <color rgb="FF000000"/>
      <name val="Calibri"/>
      <family val="2"/>
      <scheme val="minor"/>
    </font>
    <font>
      <b/>
      <sz val="12"/>
      <color rgb="FF000000"/>
      <name val="Calibri"/>
      <family val="2"/>
      <scheme val="minor"/>
    </font>
    <font>
      <b/>
      <sz val="14"/>
      <color rgb="FF4472C4"/>
      <name val="Calibri"/>
      <family val="2"/>
      <scheme val="minor"/>
    </font>
    <font>
      <b/>
      <sz val="11"/>
      <color rgb="FF4472C4"/>
      <name val="Calibri"/>
      <family val="2"/>
      <scheme val="minor"/>
    </font>
    <font>
      <sz val="11"/>
      <color rgb="FF806000"/>
      <name val="Calibri"/>
      <family val="2"/>
      <scheme val="minor"/>
    </font>
    <font>
      <sz val="11"/>
      <color theme="5" tint="-0.499984740745262"/>
      <name val="Calibri"/>
      <family val="2"/>
      <scheme val="minor"/>
    </font>
    <font>
      <b/>
      <sz val="9"/>
      <color rgb="FFC00000"/>
      <name val="Calibri"/>
      <family val="2"/>
      <scheme val="minor"/>
    </font>
    <font>
      <b/>
      <sz val="20"/>
      <color theme="9" tint="-0.249977111117893"/>
      <name val="Calibri"/>
      <family val="2"/>
      <scheme val="minor"/>
    </font>
    <font>
      <b/>
      <sz val="48"/>
      <name val="Calibri"/>
      <family val="2"/>
      <scheme val="minor"/>
    </font>
    <font>
      <sz val="9"/>
      <name val="Calibri"/>
      <family val="2"/>
    </font>
    <font>
      <b/>
      <sz val="11"/>
      <color rgb="FF0070C0"/>
      <name val="Calibri"/>
      <family val="2"/>
      <scheme val="minor"/>
    </font>
    <font>
      <b/>
      <sz val="18"/>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sz val="10"/>
      <color rgb="FFB40000"/>
      <name val="Calibri"/>
      <family val="2"/>
      <scheme val="minor"/>
    </font>
    <font>
      <i/>
      <sz val="16"/>
      <color rgb="FFFF0000"/>
      <name val="Calibri"/>
      <family val="2"/>
      <scheme val="minor"/>
    </font>
  </fonts>
  <fills count="2068">
    <fill>
      <patternFill patternType="none"/>
    </fill>
    <fill>
      <patternFill patternType="gray125"/>
    </fill>
    <fill>
      <patternFill patternType="solid">
        <fgColor rgb="FF92D050"/>
        <bgColor indexed="64"/>
      </patternFill>
    </fill>
    <fill>
      <patternFill patternType="solid">
        <fgColor rgb="FF808080"/>
        <bgColor indexed="64"/>
      </patternFill>
    </fill>
    <fill>
      <patternFill patternType="solid">
        <fgColor rgb="FFCC00FF"/>
        <bgColor indexed="64"/>
      </patternFill>
    </fill>
    <fill>
      <patternFill patternType="solid">
        <fgColor theme="0" tint="-0.14999847407452621"/>
        <bgColor indexed="64"/>
      </patternFill>
    </fill>
    <fill>
      <patternFill patternType="solid">
        <fgColor rgb="FFDB6413"/>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0"/>
        <bgColor indexed="64"/>
      </patternFill>
    </fill>
    <fill>
      <patternFill patternType="solid">
        <fgColor rgb="FFFFFFE1"/>
        <bgColor indexed="9"/>
      </patternFill>
    </fill>
    <fill>
      <patternFill patternType="solid">
        <fgColor theme="0"/>
        <bgColor indexed="9"/>
      </patternFill>
    </fill>
    <fill>
      <patternFill patternType="solid">
        <fgColor rgb="FFFFFFCC"/>
        <bgColor indexed="64"/>
      </patternFill>
    </fill>
    <fill>
      <patternFill patternType="solid">
        <fgColor rgb="FFFFFFD5"/>
        <bgColor indexed="64"/>
      </patternFill>
    </fill>
    <fill>
      <patternFill patternType="solid">
        <fgColor rgb="FFDEFFBD"/>
        <bgColor indexed="64"/>
      </patternFill>
    </fill>
    <fill>
      <patternFill patternType="solid">
        <fgColor rgb="FFFFFF9F"/>
        <bgColor indexed="64"/>
      </patternFill>
    </fill>
    <fill>
      <patternFill patternType="solid">
        <fgColor theme="9" tint="0.79998168889431442"/>
        <bgColor indexed="64"/>
      </patternFill>
    </fill>
    <fill>
      <patternFill patternType="solid">
        <fgColor rgb="FFEAF4E4"/>
        <bgColor indexed="64"/>
      </patternFill>
    </fill>
    <fill>
      <patternFill patternType="solid">
        <fgColor rgb="FFEAF4E4"/>
        <bgColor theme="9" tint="0.79998168889431442"/>
      </patternFill>
    </fill>
    <fill>
      <patternFill patternType="solid">
        <fgColor rgb="FFEAF4E4"/>
        <bgColor indexed="9"/>
      </patternFill>
    </fill>
    <fill>
      <patternFill patternType="solid">
        <fgColor theme="0" tint="-0.249977111117893"/>
        <bgColor indexed="64"/>
      </patternFill>
    </fill>
    <fill>
      <patternFill patternType="solid">
        <fgColor rgb="FFA9D08E"/>
        <bgColor indexed="64"/>
      </patternFill>
    </fill>
    <fill>
      <patternFill patternType="gray125">
        <bgColor rgb="FFA9D08E"/>
      </patternFill>
    </fill>
    <fill>
      <patternFill patternType="gray125">
        <bgColor theme="0" tint="-0.14996795556505021"/>
      </patternFill>
    </fill>
    <fill>
      <patternFill patternType="solid">
        <fgColor rgb="FFFFFFB7"/>
        <bgColor indexed="64"/>
      </patternFill>
    </fill>
    <fill>
      <patternFill patternType="solid">
        <fgColor rgb="FFF8CBAD"/>
        <bgColor indexed="64"/>
      </patternFill>
    </fill>
    <fill>
      <patternFill patternType="gray125">
        <bgColor rgb="FFF8CBAD"/>
      </patternFill>
    </fill>
    <fill>
      <patternFill patternType="solid">
        <fgColor rgb="FFFFC000"/>
        <bgColor indexed="64"/>
      </patternFill>
    </fill>
    <fill>
      <patternFill patternType="solid">
        <fgColor rgb="FFFFF2CC"/>
        <bgColor indexed="64"/>
      </patternFill>
    </fill>
    <fill>
      <patternFill patternType="solid">
        <fgColor rgb="FFFF0000"/>
        <bgColor indexed="64"/>
      </patternFill>
    </fill>
    <fill>
      <patternFill patternType="gray125">
        <bgColor theme="0" tint="-0.14999847407452621"/>
      </patternFill>
    </fill>
    <fill>
      <patternFill patternType="solid">
        <fgColor rgb="FFEADCF4"/>
        <bgColor indexed="64"/>
      </patternFill>
    </fill>
    <fill>
      <patternFill patternType="solid">
        <fgColor rgb="FFED7D31"/>
        <bgColor indexed="64"/>
      </patternFill>
    </fill>
    <fill>
      <patternFill patternType="solid">
        <fgColor rgb="FFFFFFC9"/>
        <bgColor indexed="64"/>
      </patternFill>
    </fill>
    <fill>
      <patternFill patternType="solid">
        <fgColor theme="0" tint="-4.9989318521683403E-2"/>
        <bgColor theme="9"/>
      </patternFill>
    </fill>
    <fill>
      <patternFill patternType="gray0625">
        <fgColor theme="9" tint="0.79998168889431442"/>
        <bgColor rgb="FFFFFFCC"/>
      </patternFill>
    </fill>
    <fill>
      <patternFill patternType="solid">
        <fgColor rgb="FFC199DF"/>
        <bgColor indexed="64"/>
      </patternFill>
    </fill>
    <fill>
      <patternFill patternType="solid">
        <fgColor theme="0"/>
        <bgColor theme="9"/>
      </patternFill>
    </fill>
    <fill>
      <patternFill patternType="solid">
        <fgColor rgb="FFDDDDFF"/>
        <bgColor indexed="64"/>
      </patternFill>
    </fill>
    <fill>
      <patternFill patternType="solid">
        <fgColor rgb="FF99CC00"/>
        <bgColor indexed="64"/>
      </patternFill>
    </fill>
    <fill>
      <patternFill patternType="solid">
        <fgColor rgb="FFEFE5F7"/>
        <bgColor indexed="64"/>
      </patternFill>
    </fill>
    <fill>
      <patternFill patternType="solid">
        <fgColor rgb="FFFFFFD9"/>
        <bgColor indexed="64"/>
      </patternFill>
    </fill>
    <fill>
      <patternFill patternType="solid">
        <fgColor rgb="FFFEEDCA"/>
        <bgColor indexed="64"/>
      </patternFill>
    </fill>
    <fill>
      <patternFill patternType="solid">
        <fgColor theme="8" tint="0.79998168889431442"/>
        <bgColor indexed="64"/>
      </patternFill>
    </fill>
    <fill>
      <patternFill patternType="solid">
        <fgColor rgb="FFDEC8EE"/>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9" tint="0.79998168889431442"/>
        <bgColor theme="9"/>
      </patternFill>
    </fill>
    <fill>
      <patternFill patternType="solid">
        <fgColor theme="0" tint="-0.14999847407452621"/>
        <bgColor theme="9"/>
      </patternFill>
    </fill>
    <fill>
      <patternFill patternType="solid">
        <fgColor rgb="FF99CC00"/>
        <bgColor theme="9"/>
      </patternFill>
    </fill>
    <fill>
      <patternFill patternType="solid">
        <fgColor theme="9" tint="0.59999389629810485"/>
        <bgColor theme="9"/>
      </patternFill>
    </fill>
    <fill>
      <patternFill patternType="solid">
        <fgColor rgb="FFB8D9A3"/>
        <bgColor indexed="64"/>
      </patternFill>
    </fill>
    <fill>
      <patternFill patternType="solid">
        <fgColor rgb="FFFFFF00"/>
        <bgColor indexed="64"/>
      </patternFill>
    </fill>
    <fill>
      <patternFill patternType="solid">
        <fgColor theme="0" tint="-4.9989318521683403E-2"/>
        <bgColor theme="0"/>
      </patternFill>
    </fill>
    <fill>
      <patternFill patternType="gray0625">
        <fgColor theme="7" tint="-0.24994659260841701"/>
        <bgColor rgb="FFFFFFCC"/>
      </patternFill>
    </fill>
    <fill>
      <patternFill patternType="solid">
        <fgColor rgb="FF548235"/>
        <bgColor indexed="64"/>
      </patternFill>
    </fill>
    <fill>
      <patternFill patternType="solid">
        <fgColor rgb="FFFFCCFF"/>
        <bgColor indexed="64"/>
      </patternFill>
    </fill>
    <fill>
      <patternFill patternType="solid">
        <fgColor theme="9" tint="0.59999389629810485"/>
        <bgColor indexed="64"/>
      </patternFill>
    </fill>
    <fill>
      <patternFill patternType="solid">
        <fgColor rgb="FFC00000"/>
        <bgColor indexed="64"/>
      </patternFill>
    </fill>
    <fill>
      <patternFill patternType="solid">
        <fgColor rgb="FF0000FF"/>
        <bgColor indexed="64"/>
      </patternFill>
    </fill>
    <fill>
      <patternFill patternType="gray0625">
        <bgColor theme="0" tint="-0.14999847407452621"/>
      </patternFill>
    </fill>
    <fill>
      <patternFill patternType="solid">
        <fgColor indexed="23"/>
        <bgColor indexed="64"/>
      </patternFill>
    </fill>
    <fill>
      <patternFill patternType="solid">
        <fgColor indexed="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DDEBF7"/>
        <bgColor indexed="64"/>
      </patternFill>
    </fill>
    <fill>
      <patternFill patternType="solid">
        <fgColor rgb="FF7030A0"/>
        <bgColor indexed="50"/>
      </patternFill>
    </fill>
    <fill>
      <patternFill patternType="solid">
        <fgColor rgb="FF00B050"/>
        <bgColor indexed="64"/>
      </patternFill>
    </fill>
    <fill>
      <patternFill patternType="solid">
        <fgColor rgb="FFFF00FF"/>
        <bgColor indexed="64"/>
      </patternFill>
    </fill>
    <fill>
      <patternFill patternType="solid">
        <fgColor rgb="FFCCCCFF"/>
        <bgColor indexed="64"/>
      </patternFill>
    </fill>
    <fill>
      <patternFill patternType="solid">
        <fgColor rgb="FF7030A0"/>
        <bgColor indexed="64"/>
      </patternFill>
    </fill>
    <fill>
      <patternFill patternType="solid">
        <fgColor rgb="FFFFFF99"/>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theme="9" tint="0.59999389629810485"/>
        <bgColor indexed="9"/>
      </patternFill>
    </fill>
    <fill>
      <patternFill patternType="solid">
        <fgColor rgb="FFFFFFAF"/>
        <bgColor indexed="64"/>
      </patternFill>
    </fill>
    <fill>
      <patternFill patternType="solid">
        <fgColor rgb="FFFFFFCC"/>
        <bgColor indexed="9"/>
      </patternFill>
    </fill>
    <fill>
      <patternFill patternType="solid">
        <fgColor rgb="FFFFFFAF"/>
        <bgColor theme="0"/>
      </patternFill>
    </fill>
    <fill>
      <patternFill patternType="solid">
        <fgColor theme="0"/>
        <bgColor theme="0"/>
      </patternFill>
    </fill>
    <fill>
      <patternFill patternType="solid">
        <fgColor rgb="FFFF66FF"/>
        <bgColor indexed="9"/>
      </patternFill>
    </fill>
    <fill>
      <patternFill patternType="solid">
        <fgColor rgb="FFFFFFCC"/>
        <bgColor theme="0"/>
      </patternFill>
    </fill>
    <fill>
      <patternFill patternType="solid">
        <fgColor theme="0" tint="-4.9989318521683403E-2"/>
        <bgColor indexed="9"/>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2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CCCCFF"/>
        <bgColor theme="9"/>
      </patternFill>
    </fill>
    <fill>
      <patternFill patternType="solid">
        <fgColor rgb="FFF2A36E"/>
        <bgColor indexed="64"/>
      </patternFill>
    </fill>
    <fill>
      <patternFill patternType="solid">
        <fgColor rgb="FFD9E1F2"/>
        <bgColor indexed="64"/>
      </patternFill>
    </fill>
    <fill>
      <patternFill patternType="solid">
        <fgColor rgb="FFF4F9F1"/>
        <bgColor theme="9" tint="0.79995117038483843"/>
      </patternFill>
    </fill>
    <fill>
      <patternFill patternType="solid">
        <fgColor theme="0"/>
        <bgColor theme="9" tint="0.79995117038483843"/>
      </patternFill>
    </fill>
    <fill>
      <patternFill patternType="solid">
        <fgColor rgb="FFE2EFDA"/>
        <bgColor indexed="64"/>
      </patternFill>
    </fill>
    <fill>
      <patternFill patternType="solid">
        <fgColor rgb="FF4CD44C"/>
        <bgColor indexed="64"/>
      </patternFill>
    </fill>
    <fill>
      <patternFill patternType="solid">
        <fgColor rgb="FFFFE699"/>
        <bgColor indexed="64"/>
      </patternFill>
    </fill>
    <fill>
      <patternFill patternType="solid">
        <fgColor rgb="FF75DBFF"/>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indexed="43"/>
        <bgColor indexed="64"/>
      </patternFill>
    </fill>
    <fill>
      <patternFill patternType="solid">
        <fgColor rgb="FFECDFF5"/>
        <bgColor indexed="64"/>
      </patternFill>
    </fill>
    <fill>
      <patternFill patternType="solid">
        <fgColor theme="1" tint="0.499984740745262"/>
        <bgColor indexed="64"/>
      </patternFill>
    </fill>
    <fill>
      <patternFill patternType="solid">
        <fgColor rgb="FFDDDDFF"/>
        <bgColor theme="9"/>
      </patternFill>
    </fill>
    <fill>
      <patternFill patternType="solid">
        <fgColor indexed="9"/>
        <bgColor indexed="9"/>
      </patternFill>
    </fill>
    <fill>
      <patternFill patternType="solid">
        <fgColor rgb="FFFFFFD9"/>
        <bgColor indexed="9"/>
      </patternFill>
    </fill>
    <fill>
      <patternFill patternType="gray0625">
        <fgColor theme="9" tint="0.79998168889431442"/>
        <bgColor theme="0"/>
      </patternFill>
    </fill>
    <fill>
      <patternFill patternType="solid">
        <fgColor rgb="FFF4F9F1"/>
        <bgColor indexed="64"/>
      </patternFill>
    </fill>
    <fill>
      <patternFill patternType="solid">
        <fgColor rgb="FF008000"/>
        <bgColor indexed="64"/>
      </patternFill>
    </fill>
    <fill>
      <patternFill patternType="solid">
        <fgColor rgb="FF800000"/>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5"/>
        <bgColor indexed="64"/>
      </patternFill>
    </fill>
    <fill>
      <patternFill patternType="solid">
        <fgColor indexed="46"/>
        <bgColor indexed="64"/>
      </patternFill>
    </fill>
    <fill>
      <patternFill patternType="solid">
        <fgColor indexed="26"/>
        <bgColor indexed="9"/>
      </patternFill>
    </fill>
    <fill>
      <patternFill patternType="solid">
        <fgColor indexed="22"/>
        <bgColor indexed="64"/>
      </patternFill>
    </fill>
    <fill>
      <patternFill patternType="solid">
        <fgColor rgb="FFFFD966"/>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FFFF66"/>
        <bgColor indexed="64"/>
      </patternFill>
    </fill>
    <fill>
      <patternFill patternType="solid">
        <fgColor indexed="53"/>
        <bgColor indexed="64"/>
      </patternFill>
    </fill>
    <fill>
      <patternFill patternType="solid">
        <fgColor rgb="FF4472C4"/>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1"/>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4" tint="0.79995117038483843"/>
        <bgColor indexed="64"/>
      </patternFill>
    </fill>
    <fill>
      <patternFill patternType="solid">
        <fgColor rgb="FFC00000"/>
        <bgColor theme="9"/>
      </patternFill>
    </fill>
    <fill>
      <patternFill patternType="solid">
        <fgColor theme="4" tint="0.59999389629810485"/>
        <bgColor indexed="64"/>
      </patternFill>
    </fill>
    <fill>
      <patternFill patternType="solid">
        <fgColor theme="8" tint="-0.249977111117893"/>
        <bgColor indexed="64"/>
      </patternFill>
    </fill>
    <fill>
      <patternFill patternType="solid">
        <fgColor rgb="FFF4F9F1"/>
        <bgColor theme="9" tint="0.79998168889431442"/>
      </patternFill>
    </fill>
    <fill>
      <patternFill patternType="solid">
        <fgColor theme="5" tint="0.59999389629810485"/>
        <bgColor indexed="64"/>
      </patternFill>
    </fill>
    <fill>
      <patternFill patternType="solid">
        <fgColor rgb="FFF2A068"/>
        <bgColor indexed="64"/>
      </patternFill>
    </fill>
    <fill>
      <patternFill patternType="solid">
        <fgColor theme="4" tint="-0.249977111117893"/>
        <bgColor indexed="64"/>
      </patternFill>
    </fill>
    <fill>
      <patternFill patternType="solid">
        <fgColor rgb="FFD5D5FF"/>
        <bgColor indexed="64"/>
      </patternFill>
    </fill>
    <fill>
      <patternFill patternType="solid">
        <fgColor rgb="FFED7D31"/>
        <bgColor indexed="50"/>
      </patternFill>
    </fill>
    <fill>
      <patternFill patternType="solid">
        <fgColor rgb="FFF1995D"/>
        <bgColor indexed="50"/>
      </patternFill>
    </fill>
    <fill>
      <patternFill patternType="solid">
        <fgColor rgb="FFF1995D"/>
        <bgColor indexed="64"/>
      </patternFill>
    </fill>
    <fill>
      <patternFill patternType="solid">
        <fgColor theme="0"/>
        <bgColor indexed="50"/>
      </patternFill>
    </fill>
    <fill>
      <patternFill patternType="solid">
        <fgColor rgb="FFFFF2CC"/>
        <bgColor indexed="50"/>
      </patternFill>
    </fill>
    <fill>
      <patternFill patternType="solid">
        <fgColor rgb="FF0000FF"/>
        <bgColor indexed="50"/>
      </patternFill>
    </fill>
    <fill>
      <patternFill patternType="solid">
        <fgColor theme="2"/>
        <bgColor indexed="64"/>
      </patternFill>
    </fill>
    <fill>
      <patternFill patternType="solid">
        <fgColor rgb="FFFFF2CC"/>
        <bgColor theme="9" tint="0.79995117038483843"/>
      </patternFill>
    </fill>
    <fill>
      <patternFill patternType="solid">
        <fgColor theme="7" tint="0.79998168889431442"/>
        <bgColor theme="9" tint="0.79995117038483843"/>
      </patternFill>
    </fill>
    <fill>
      <patternFill patternType="solid">
        <fgColor rgb="FFEAF4E4"/>
        <bgColor theme="9" tint="0.79995117038483843"/>
      </patternFill>
    </fill>
    <fill>
      <patternFill patternType="solid">
        <fgColor rgb="FFECECEC"/>
        <bgColor theme="9" tint="0.79995117038483843"/>
      </patternFill>
    </fill>
    <fill>
      <patternFill patternType="solid">
        <fgColor rgb="FFDCF5BD"/>
        <bgColor theme="9" tint="0.79995117038483843"/>
      </patternFill>
    </fill>
    <fill>
      <patternFill patternType="solid">
        <fgColor theme="5" tint="0.59999389629810485"/>
        <bgColor indexed="9"/>
      </patternFill>
    </fill>
    <fill>
      <patternFill patternType="solid">
        <fgColor theme="5" tint="0.59999389629810485"/>
        <bgColor theme="9" tint="0.79998168889431442"/>
      </patternFill>
    </fill>
    <fill>
      <patternFill patternType="solid">
        <fgColor theme="7" tint="0.79998168889431442"/>
        <bgColor indexed="9"/>
      </patternFill>
    </fill>
    <fill>
      <patternFill patternType="solid">
        <fgColor rgb="FFFFFFA7"/>
        <bgColor indexed="64"/>
      </patternFill>
    </fill>
    <fill>
      <patternFill patternType="solid">
        <fgColor rgb="FFFFFFA7"/>
        <bgColor indexed="9"/>
      </patternFill>
    </fill>
    <fill>
      <patternFill patternType="solid">
        <fgColor rgb="FFECECEC"/>
        <bgColor indexed="64"/>
      </patternFill>
    </fill>
    <fill>
      <patternFill patternType="solid">
        <fgColor theme="0" tint="-0.14999847407452621"/>
        <bgColor theme="9" tint="0.79995117038483843"/>
      </patternFill>
    </fill>
    <fill>
      <patternFill patternType="gray0625">
        <bgColor theme="0"/>
      </patternFill>
    </fill>
    <fill>
      <patternFill patternType="gray125">
        <fgColor theme="7" tint="0.39994506668294322"/>
        <bgColor theme="0"/>
      </patternFill>
    </fill>
    <fill>
      <patternFill patternType="solid">
        <fgColor rgb="FFECECEC"/>
        <bgColor rgb="FFF2F2F2"/>
      </patternFill>
    </fill>
    <fill>
      <patternFill patternType="solid">
        <fgColor rgb="FF1F4E78"/>
      </patternFill>
    </fill>
    <fill>
      <patternFill patternType="solid">
        <fgColor rgb="FFFCE4D6"/>
      </patternFill>
    </fill>
  </fills>
  <borders count="548">
    <border>
      <left/>
      <right/>
      <top/>
      <bottom/>
      <diagonal/>
    </border>
    <border>
      <left/>
      <right/>
      <top/>
      <bottom style="medium">
        <color auto="1"/>
      </bottom>
      <diagonal/>
    </border>
    <border>
      <left style="medium">
        <color indexed="64"/>
      </left>
      <right/>
      <top/>
      <bottom/>
      <diagonal/>
    </border>
    <border>
      <left/>
      <right style="medium">
        <color auto="1"/>
      </right>
      <top/>
      <bottom style="medium">
        <color auto="1"/>
      </bottom>
      <diagonal/>
    </border>
    <border>
      <left/>
      <right style="medium">
        <color indexed="64"/>
      </right>
      <top/>
      <bottom/>
      <diagonal/>
    </border>
    <border>
      <left/>
      <right style="medium">
        <color auto="1"/>
      </right>
      <top style="hair">
        <color indexed="64"/>
      </top>
      <bottom/>
      <diagonal/>
    </border>
    <border>
      <left/>
      <right/>
      <top style="hair">
        <color auto="1"/>
      </top>
      <bottom/>
      <diagonal/>
    </border>
    <border>
      <left style="mediumDashed">
        <color auto="1"/>
      </left>
      <right/>
      <top/>
      <bottom/>
      <diagonal/>
    </border>
    <border>
      <left/>
      <right style="medium">
        <color indexed="64"/>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style="hair">
        <color auto="1"/>
      </left>
      <right style="hair">
        <color auto="1"/>
      </right>
      <top style="hair">
        <color theme="7" tint="0.39994506668294322"/>
      </top>
      <bottom style="hair">
        <color theme="7" tint="0.39994506668294322"/>
      </bottom>
      <diagonal/>
    </border>
    <border>
      <left/>
      <right style="hair">
        <color indexed="64"/>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style="hair">
        <color theme="9" tint="0.39994506668294322"/>
      </right>
      <top style="hair">
        <color theme="9" tint="0.39994506668294322"/>
      </top>
      <bottom style="hair">
        <color theme="9" tint="0.39994506668294322"/>
      </bottom>
      <diagonal/>
    </border>
    <border>
      <left style="hair">
        <color theme="9" tint="0.39991454817346722"/>
      </left>
      <right style="hair">
        <color theme="9" tint="0.39988402966399123"/>
      </right>
      <top style="hair">
        <color theme="9" tint="0.39994506668294322"/>
      </top>
      <bottom style="hair">
        <color theme="9" tint="0.39994506668294322"/>
      </bottom>
      <diagonal/>
    </border>
    <border>
      <left style="hair">
        <color theme="9" tint="0.39982299264503923"/>
      </left>
      <right/>
      <top/>
      <bottom/>
      <diagonal/>
    </border>
    <border>
      <left/>
      <right/>
      <top style="hair">
        <color rgb="FFC00000"/>
      </top>
      <bottom style="hair">
        <color rgb="FFC00000"/>
      </bottom>
      <diagonal/>
    </border>
    <border>
      <left/>
      <right style="hair">
        <color theme="8" tint="-0.24994659260841701"/>
      </right>
      <top style="hair">
        <color theme="8" tint="-0.24994659260841701"/>
      </top>
      <bottom style="hair">
        <color theme="8" tint="-0.24994659260841701"/>
      </bottom>
      <diagonal/>
    </border>
    <border>
      <left style="thin">
        <color auto="1"/>
      </left>
      <right/>
      <top style="hair">
        <color theme="8" tint="-0.24994659260841701"/>
      </top>
      <bottom style="hair">
        <color theme="8" tint="-0.24994659260841701"/>
      </bottom>
      <diagonal/>
    </border>
    <border>
      <left/>
      <right style="mediumDashed">
        <color indexed="64"/>
      </right>
      <top/>
      <bottom/>
      <diagonal/>
    </border>
    <border>
      <left style="hair">
        <color indexed="64"/>
      </left>
      <right style="hair">
        <color indexed="64"/>
      </right>
      <top style="hair">
        <color theme="9" tint="0.39994506668294322"/>
      </top>
      <bottom style="hair">
        <color theme="9" tint="0.39994506668294322"/>
      </bottom>
      <diagonal/>
    </border>
    <border>
      <left style="hair">
        <color indexed="64"/>
      </left>
      <right/>
      <top style="hair">
        <color theme="9" tint="0.39994506668294322"/>
      </top>
      <bottom style="hair">
        <color theme="9" tint="0.39994506668294322"/>
      </bottom>
      <diagonal/>
    </border>
    <border>
      <left/>
      <right style="hair">
        <color indexed="64"/>
      </right>
      <top/>
      <bottom/>
      <diagonal/>
    </border>
    <border>
      <left style="medium">
        <color indexed="64"/>
      </left>
      <right style="medium">
        <color indexed="64"/>
      </right>
      <top/>
      <bottom/>
      <diagonal/>
    </border>
    <border>
      <left/>
      <right style="hair">
        <color indexed="64"/>
      </right>
      <top style="hair">
        <color theme="9" tint="0.39994506668294322"/>
      </top>
      <bottom/>
      <diagonal/>
    </border>
    <border>
      <left style="hair">
        <color theme="9" tint="0.39994506668294322"/>
      </left>
      <right/>
      <top style="hair">
        <color theme="9" tint="0.39994506668294322"/>
      </top>
      <bottom/>
      <diagonal/>
    </border>
    <border>
      <left style="hair">
        <color theme="9" tint="0.39988402966399123"/>
      </left>
      <right style="hair">
        <color theme="9" tint="0.39994506668294322"/>
      </right>
      <top style="hair">
        <color theme="9" tint="0.39994506668294322"/>
      </top>
      <bottom/>
      <diagonal/>
    </border>
    <border>
      <left style="hair">
        <color theme="9" tint="0.39991454817346722"/>
      </left>
      <right style="hair">
        <color theme="9" tint="0.39988402966399123"/>
      </right>
      <top style="hair">
        <color theme="9" tint="0.59996337778862885"/>
      </top>
      <bottom/>
      <diagonal/>
    </border>
    <border>
      <left/>
      <right/>
      <top style="hair">
        <color theme="9" tint="0.39994506668294322"/>
      </top>
      <bottom/>
      <diagonal/>
    </border>
    <border>
      <left/>
      <right style="hair">
        <color auto="1"/>
      </right>
      <top style="hair">
        <color theme="9" tint="0.59996337778862885"/>
      </top>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indexed="64"/>
      </left>
      <right/>
      <top style="thin">
        <color indexed="64"/>
      </top>
      <bottom/>
      <diagonal/>
    </border>
    <border>
      <left/>
      <right style="medium">
        <color auto="1"/>
      </right>
      <top/>
      <bottom style="thin">
        <color auto="1"/>
      </bottom>
      <diagonal/>
    </border>
    <border>
      <left/>
      <right/>
      <top/>
      <bottom style="thin">
        <color auto="1"/>
      </bottom>
      <diagonal/>
    </border>
    <border>
      <left style="medium">
        <color auto="1"/>
      </left>
      <right style="hair">
        <color indexed="64"/>
      </right>
      <top/>
      <bottom/>
      <diagonal/>
    </border>
    <border>
      <left style="medium">
        <color indexed="64"/>
      </left>
      <right style="mediumDashed">
        <color indexed="64"/>
      </right>
      <top/>
      <bottom style="mediumDashed">
        <color indexed="64"/>
      </bottom>
      <diagonal/>
    </border>
    <border>
      <left style="medium">
        <color indexed="64"/>
      </left>
      <right/>
      <top/>
      <bottom style="thin">
        <color indexed="64"/>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style="hair">
        <color rgb="FFFF0000"/>
      </left>
      <right style="hair">
        <color rgb="FFFF0000"/>
      </right>
      <top style="hair">
        <color rgb="FFFF0000"/>
      </top>
      <bottom style="hair">
        <color rgb="FFFF0000"/>
      </bottom>
      <diagonal/>
    </border>
    <border>
      <left/>
      <right/>
      <top/>
      <bottom style="mediumDashed">
        <color indexed="64"/>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style="mediumDashed">
        <color indexed="64"/>
      </right>
      <top/>
      <bottom style="mediumDashed">
        <color indexed="64"/>
      </bottom>
      <diagonal/>
    </border>
    <border>
      <left style="mediumDashed">
        <color indexed="64"/>
      </left>
      <right/>
      <top/>
      <bottom style="mediumDashed">
        <color indexed="64"/>
      </bottom>
      <diagonal/>
    </border>
    <border>
      <left/>
      <right style="hair">
        <color indexed="64"/>
      </right>
      <top/>
      <bottom style="thin">
        <color theme="9" tint="0.39997558519241921"/>
      </bottom>
      <diagonal/>
    </border>
    <border>
      <left style="hair">
        <color indexed="64"/>
      </left>
      <right style="hair">
        <color indexed="64"/>
      </right>
      <top style="hair">
        <color indexed="64"/>
      </top>
      <bottom style="hair">
        <color indexed="64"/>
      </bottom>
      <diagonal/>
    </border>
    <border>
      <left/>
      <right/>
      <top/>
      <bottom style="thin">
        <color theme="9" tint="0.39997558519241921"/>
      </bottom>
      <diagonal/>
    </border>
    <border>
      <left/>
      <right/>
      <top style="thin">
        <color theme="9" tint="0.39997558519241921"/>
      </top>
      <bottom style="thin">
        <color theme="9" tint="0.39997558519241921"/>
      </bottom>
      <diagonal/>
    </border>
    <border>
      <left style="hair">
        <color auto="1"/>
      </left>
      <right/>
      <top/>
      <bottom style="thin">
        <color theme="9" tint="0.39997558519241921"/>
      </bottom>
      <diagonal/>
    </border>
    <border>
      <left style="hair">
        <color indexed="64"/>
      </left>
      <right/>
      <top/>
      <bottom style="medium">
        <color indexed="64"/>
      </bottom>
      <diagonal/>
    </border>
    <border>
      <left style="hair">
        <color indexed="64"/>
      </left>
      <right/>
      <top/>
      <bottom/>
      <diagonal/>
    </border>
    <border>
      <left style="hair">
        <color auto="1"/>
      </left>
      <right style="hair">
        <color indexed="64"/>
      </right>
      <top/>
      <bottom style="hair">
        <color auto="1"/>
      </bottom>
      <diagonal/>
    </border>
    <border>
      <left style="medium">
        <color indexed="64"/>
      </left>
      <right/>
      <top style="hair">
        <color theme="8" tint="-0.24994659260841701"/>
      </top>
      <bottom style="hair">
        <color theme="8" tint="-0.24994659260841701"/>
      </bottom>
      <diagonal/>
    </border>
    <border>
      <left/>
      <right/>
      <top/>
      <bottom style="double">
        <color theme="9" tint="0.39988402966399123"/>
      </bottom>
      <diagonal/>
    </border>
    <border>
      <left style="hair">
        <color theme="9" tint="0.39994506668294322"/>
      </left>
      <right style="hair">
        <color theme="9" tint="0.39994506668294322"/>
      </right>
      <top/>
      <bottom style="hair">
        <color theme="9" tint="0.39991454817346722"/>
      </bottom>
      <diagonal/>
    </border>
    <border>
      <left/>
      <right style="medium">
        <color indexed="64"/>
      </right>
      <top/>
      <bottom style="hair">
        <color auto="1"/>
      </bottom>
      <diagonal/>
    </border>
    <border>
      <left/>
      <right/>
      <top/>
      <bottom style="hair">
        <color auto="1"/>
      </bottom>
      <diagonal/>
    </border>
    <border>
      <left style="hair">
        <color auto="1"/>
      </left>
      <right/>
      <top/>
      <bottom style="hair">
        <color auto="1"/>
      </bottom>
      <diagonal/>
    </border>
    <border>
      <left style="hair">
        <color theme="9" tint="0.39991454817346722"/>
      </left>
      <right style="hair">
        <color theme="9" tint="0.39988402966399123"/>
      </right>
      <top/>
      <bottom style="hair">
        <color auto="1"/>
      </bottom>
      <diagonal/>
    </border>
    <border>
      <left/>
      <right style="hair">
        <color auto="1"/>
      </right>
      <top/>
      <bottom style="hair">
        <color auto="1"/>
      </bottom>
      <diagonal/>
    </border>
    <border>
      <left style="hair">
        <color theme="9" tint="0.39982299264503923"/>
      </left>
      <right/>
      <top/>
      <bottom style="hair">
        <color indexed="64"/>
      </bottom>
      <diagonal/>
    </border>
    <border>
      <left style="thin">
        <color theme="9" tint="0.39985351115451523"/>
      </left>
      <right/>
      <top/>
      <bottom style="double">
        <color theme="9" tint="0.39988402966399123"/>
      </bottom>
      <diagonal/>
    </border>
    <border>
      <left style="thin">
        <color auto="1"/>
      </left>
      <right/>
      <top/>
      <bottom style="double">
        <color theme="9" tint="0.39988402966399123"/>
      </bottom>
      <diagonal/>
    </border>
    <border>
      <left/>
      <right style="mediumDashed">
        <color auto="1"/>
      </right>
      <top/>
      <bottom style="hair">
        <color auto="1"/>
      </bottom>
      <diagonal/>
    </border>
    <border>
      <left/>
      <right style="medium">
        <color indexed="64"/>
      </right>
      <top style="double">
        <color theme="9" tint="0.39994506668294322"/>
      </top>
      <bottom/>
      <diagonal/>
    </border>
    <border>
      <left/>
      <right/>
      <top style="double">
        <color theme="9" tint="0.39994506668294322"/>
      </top>
      <bottom/>
      <diagonal/>
    </border>
    <border>
      <left style="hair">
        <color indexed="64"/>
      </left>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right style="hair">
        <color indexed="64"/>
      </right>
      <top style="double">
        <color theme="9" tint="0.39994506668294322"/>
      </top>
      <bottom/>
      <diagonal/>
    </border>
    <border>
      <left style="hair">
        <color theme="9" tint="0.39982299264503923"/>
      </left>
      <right/>
      <top style="double">
        <color theme="9" tint="0.39994506668294322"/>
      </top>
      <bottom/>
      <diagonal/>
    </border>
    <border>
      <left style="thin">
        <color theme="9" tint="0.39985351115451523"/>
      </left>
      <right/>
      <top style="double">
        <color theme="9" tint="0.39994506668294322"/>
      </top>
      <bottom/>
      <diagonal/>
    </border>
    <border>
      <left style="thin">
        <color auto="1"/>
      </left>
      <right/>
      <top style="double">
        <color theme="9" tint="0.39994506668294322"/>
      </top>
      <bottom/>
      <diagonal/>
    </border>
    <border>
      <left style="hair">
        <color indexed="64"/>
      </left>
      <right style="hair">
        <color indexed="64"/>
      </right>
      <top/>
      <bottom/>
      <diagonal/>
    </border>
    <border>
      <left/>
      <right style="hair">
        <color indexed="64"/>
      </right>
      <top style="hair">
        <color indexed="64"/>
      </top>
      <bottom/>
      <diagonal/>
    </border>
    <border>
      <left/>
      <right style="medium">
        <color indexed="64"/>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hair">
        <color theme="9" tint="0.39982299264503923"/>
      </left>
      <right style="double">
        <color theme="9" tint="0.39991454817346722"/>
      </right>
      <top style="double">
        <color theme="9" tint="0.39991454817346722"/>
      </top>
      <bottom style="double">
        <color theme="9" tint="0.39994506668294322"/>
      </bottom>
      <diagonal/>
    </border>
    <border>
      <left style="thin">
        <color auto="1"/>
      </left>
      <right style="double">
        <color theme="9" tint="0.39991454817346722"/>
      </right>
      <top style="double">
        <color theme="9" tint="0.39991454817346722"/>
      </top>
      <bottom style="double">
        <color theme="9" tint="0.39994506668294322"/>
      </bottom>
      <diagonal/>
    </border>
    <border>
      <left/>
      <right style="mediumDashed">
        <color auto="1"/>
      </right>
      <top style="thin">
        <color indexed="64"/>
      </top>
      <bottom style="hair">
        <color indexed="64"/>
      </bottom>
      <diagonal/>
    </border>
    <border>
      <left/>
      <right/>
      <top style="thin">
        <color indexed="64"/>
      </top>
      <bottom style="hair">
        <color indexed="64"/>
      </bottom>
      <diagonal/>
    </border>
    <border>
      <left style="mediumDashed">
        <color indexed="64"/>
      </left>
      <right/>
      <top style="thin">
        <color auto="1"/>
      </top>
      <bottom style="hair">
        <color indexed="64"/>
      </bottom>
      <diagonal/>
    </border>
    <border>
      <left style="thin">
        <color indexed="64"/>
      </left>
      <right/>
      <top/>
      <bottom style="double">
        <color theme="9" tint="0.39991454817346722"/>
      </bottom>
      <diagonal/>
    </border>
    <border>
      <left/>
      <right style="mediumDashed">
        <color auto="1"/>
      </right>
      <top style="dashed">
        <color auto="1"/>
      </top>
      <bottom/>
      <diagonal/>
    </border>
    <border>
      <left/>
      <right/>
      <top style="hair">
        <color auto="1"/>
      </top>
      <bottom style="thin">
        <color indexed="64"/>
      </bottom>
      <diagonal/>
    </border>
    <border>
      <left style="mediumDashed">
        <color auto="1"/>
      </left>
      <right/>
      <top style="hair">
        <color auto="1"/>
      </top>
      <bottom style="thin">
        <color auto="1"/>
      </bottom>
      <diagonal/>
    </border>
    <border>
      <left style="thin">
        <color auto="1"/>
      </left>
      <right/>
      <top/>
      <bottom/>
      <diagonal/>
    </border>
    <border>
      <left/>
      <right style="mediumDashed">
        <color auto="1"/>
      </right>
      <top/>
      <bottom style="dashed">
        <color indexed="64"/>
      </bottom>
      <diagonal/>
    </border>
    <border>
      <left/>
      <right/>
      <top/>
      <bottom style="dashed">
        <color indexed="64"/>
      </bottom>
      <diagonal/>
    </border>
    <border>
      <left style="hair">
        <color auto="1"/>
      </left>
      <right/>
      <top style="medium">
        <color indexed="64"/>
      </top>
      <bottom/>
      <diagonal/>
    </border>
    <border>
      <left style="medium">
        <color indexed="64"/>
      </left>
      <right style="medium">
        <color indexed="64"/>
      </right>
      <top style="medium">
        <color indexed="64"/>
      </top>
      <bottom/>
      <diagonal/>
    </border>
    <border>
      <left/>
      <right style="mediumDashed">
        <color indexed="64"/>
      </right>
      <top style="mediumDashed">
        <color indexed="64"/>
      </top>
      <bottom/>
      <diagonal/>
    </border>
    <border>
      <left/>
      <right/>
      <top style="mediumDashed">
        <color indexed="64"/>
      </top>
      <bottom/>
      <diagonal/>
    </border>
    <border>
      <left style="hair">
        <color indexed="64"/>
      </left>
      <right/>
      <top style="thin">
        <color indexed="64"/>
      </top>
      <bottom/>
      <diagonal/>
    </border>
    <border>
      <left style="medium">
        <color theme="0"/>
      </left>
      <right/>
      <top/>
      <bottom/>
      <diagonal/>
    </border>
    <border>
      <left/>
      <right style="mediumDashed">
        <color rgb="FFFF0000"/>
      </right>
      <top/>
      <bottom/>
      <diagonal/>
    </border>
    <border>
      <left style="hair">
        <color auto="1"/>
      </left>
      <right style="hair">
        <color indexed="64"/>
      </right>
      <top/>
      <bottom style="medium">
        <color auto="1"/>
      </bottom>
      <diagonal/>
    </border>
    <border>
      <left style="mediumDashed">
        <color auto="1"/>
      </left>
      <right/>
      <top style="mediumDashed">
        <color auto="1"/>
      </top>
      <bottom/>
      <diagonal/>
    </border>
    <border>
      <left/>
      <right style="thin">
        <color auto="1"/>
      </right>
      <top style="thin">
        <color auto="1"/>
      </top>
      <bottom style="thin">
        <color indexed="64"/>
      </bottom>
      <diagonal/>
    </border>
    <border>
      <left/>
      <right style="thin">
        <color auto="1"/>
      </right>
      <top/>
      <bottom/>
      <diagonal/>
    </border>
    <border>
      <left style="thin">
        <color auto="1"/>
      </left>
      <right/>
      <top style="medium">
        <color auto="1"/>
      </top>
      <bottom/>
      <diagonal/>
    </border>
    <border>
      <left style="thin">
        <color rgb="FF7030A0"/>
      </left>
      <right style="thin">
        <color rgb="FF7030A0"/>
      </right>
      <top style="thin">
        <color rgb="FF7030A0"/>
      </top>
      <bottom style="thin">
        <color rgb="FF7030A0"/>
      </bottom>
      <diagonal/>
    </border>
    <border>
      <left style="thin">
        <color indexed="64"/>
      </left>
      <right/>
      <top/>
      <bottom style="medium">
        <color indexed="64"/>
      </bottom>
      <diagonal/>
    </border>
    <border>
      <left style="medium">
        <color auto="1"/>
      </left>
      <right/>
      <top style="medium">
        <color auto="1"/>
      </top>
      <bottom style="hair">
        <color auto="1"/>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right style="medium">
        <color auto="1"/>
      </right>
      <top style="hair">
        <color auto="1"/>
      </top>
      <bottom style="hair">
        <color auto="1"/>
      </bottom>
      <diagonal/>
    </border>
    <border>
      <left/>
      <right style="thin">
        <color indexed="64"/>
      </right>
      <top/>
      <bottom style="thin">
        <color indexed="64"/>
      </bottom>
      <diagonal/>
    </border>
    <border>
      <left/>
      <right/>
      <top style="thin">
        <color auto="1"/>
      </top>
      <bottom style="thin">
        <color auto="1"/>
      </bottom>
      <diagonal/>
    </border>
    <border>
      <left/>
      <right style="medium">
        <color auto="1"/>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0"/>
      </left>
      <right style="hair">
        <color indexed="64"/>
      </right>
      <top/>
      <bottom style="hair">
        <color indexed="64"/>
      </bottom>
      <diagonal/>
    </border>
    <border>
      <left style="hair">
        <color indexed="64"/>
      </left>
      <right style="medium">
        <color auto="1"/>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top style="thin">
        <color indexed="64"/>
      </top>
      <bottom/>
      <diagonal/>
    </border>
    <border>
      <left/>
      <right style="medium">
        <color auto="1"/>
      </right>
      <top style="thin">
        <color auto="1"/>
      </top>
      <bottom/>
      <diagonal/>
    </border>
    <border>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style="medium">
        <color indexed="64"/>
      </left>
      <right/>
      <top style="double">
        <color theme="0" tint="-0.499984740745262"/>
      </top>
      <bottom/>
      <diagonal/>
    </border>
    <border>
      <left/>
      <right/>
      <top style="double">
        <color theme="0" tint="-0.499984740745262"/>
      </top>
      <bottom/>
      <diagonal/>
    </border>
    <border>
      <left/>
      <right style="hair">
        <color auto="1"/>
      </right>
      <top style="double">
        <color theme="0" tint="-0.499984740745262"/>
      </top>
      <bottom/>
      <diagonal/>
    </border>
    <border>
      <left style="hair">
        <color indexed="64"/>
      </left>
      <right style="hair">
        <color indexed="64"/>
      </right>
      <top style="double">
        <color theme="0" tint="-0.499984740745262"/>
      </top>
      <bottom/>
      <diagonal/>
    </border>
    <border>
      <left/>
      <right style="medium">
        <color indexed="64"/>
      </right>
      <top style="double">
        <color theme="0" tint="-0.499984740745262"/>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auto="1"/>
      </left>
      <right style="hair">
        <color auto="1"/>
      </right>
      <top style="hair">
        <color auto="1"/>
      </top>
      <bottom style="hair">
        <color auto="1"/>
      </bottom>
      <diagonal/>
    </border>
    <border>
      <left/>
      <right style="thin">
        <color auto="1"/>
      </right>
      <top style="medium">
        <color auto="1"/>
      </top>
      <bottom/>
      <diagonal/>
    </border>
    <border>
      <left style="medium">
        <color indexed="64"/>
      </left>
      <right/>
      <top style="hair">
        <color theme="1" tint="0.499984740745262"/>
      </top>
      <bottom/>
      <diagonal/>
    </border>
    <border>
      <left/>
      <right/>
      <top style="hair">
        <color theme="1" tint="0.499984740745262"/>
      </top>
      <bottom/>
      <diagonal/>
    </border>
    <border>
      <left/>
      <right style="medium">
        <color indexed="64"/>
      </right>
      <top style="hair">
        <color theme="1" tint="0.499984740745262"/>
      </top>
      <bottom/>
      <diagonal/>
    </border>
    <border>
      <left style="medium">
        <color indexed="64"/>
      </left>
      <right/>
      <top style="hair">
        <color indexed="64"/>
      </top>
      <bottom/>
      <diagonal/>
    </border>
    <border>
      <left style="medium">
        <color indexed="64"/>
      </left>
      <right/>
      <top/>
      <bottom style="mediumDashed">
        <color indexed="64"/>
      </bottom>
      <diagonal/>
    </border>
    <border>
      <left/>
      <right style="medium">
        <color auto="1"/>
      </right>
      <top/>
      <bottom style="mediumDashed">
        <color indexed="64"/>
      </bottom>
      <diagonal/>
    </border>
    <border>
      <left style="hair">
        <color indexed="64"/>
      </left>
      <right/>
      <top style="hair">
        <color indexed="64"/>
      </top>
      <bottom/>
      <diagonal/>
    </border>
    <border>
      <left style="hair">
        <color auto="1"/>
      </left>
      <right/>
      <top/>
      <bottom style="mediumDashed">
        <color indexed="64"/>
      </bottom>
      <diagonal/>
    </border>
    <border>
      <left/>
      <right style="medium">
        <color auto="1"/>
      </right>
      <top style="mediumDashed">
        <color auto="1"/>
      </top>
      <bottom/>
      <diagonal/>
    </border>
    <border>
      <left style="medium">
        <color indexed="64"/>
      </left>
      <right/>
      <top style="mediumDash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hair">
        <color indexed="64"/>
      </left>
      <right style="medium">
        <color indexed="64"/>
      </right>
      <top style="double">
        <color theme="9" tint="0.39994506668294322"/>
      </top>
      <bottom/>
      <diagonal/>
    </border>
    <border>
      <left style="medium">
        <color auto="1"/>
      </left>
      <right/>
      <top style="double">
        <color theme="9" tint="0.39994506668294322"/>
      </top>
      <bottom/>
      <diagonal/>
    </border>
    <border>
      <left style="hair">
        <color indexed="64"/>
      </left>
      <right/>
      <top style="double">
        <color theme="0" tint="-0.34998626667073579"/>
      </top>
      <bottom/>
      <diagonal/>
    </border>
    <border>
      <left style="hair">
        <color auto="1"/>
      </left>
      <right style="medium">
        <color auto="1"/>
      </right>
      <top/>
      <bottom style="hair">
        <color auto="1"/>
      </bottom>
      <diagonal/>
    </border>
    <border>
      <left style="hair">
        <color theme="9" tint="0.39994506668294322"/>
      </left>
      <right/>
      <top/>
      <bottom style="hair">
        <color theme="9" tint="0.39991454817346722"/>
      </bottom>
      <diagonal/>
    </border>
    <border>
      <left style="hair">
        <color indexed="64"/>
      </left>
      <right style="medium">
        <color indexed="64"/>
      </right>
      <top style="hair">
        <color theme="9" tint="0.39991454817346722"/>
      </top>
      <bottom style="hair">
        <color theme="9" tint="0.39991454817346722"/>
      </bottom>
      <diagonal/>
    </border>
    <border>
      <left style="medium">
        <color indexed="64"/>
      </left>
      <right style="hair">
        <color theme="9" tint="0.39994506668294322"/>
      </right>
      <top/>
      <bottom style="hair">
        <color theme="9" tint="0.39991454817346722"/>
      </bottom>
      <diagonal/>
    </border>
    <border>
      <left style="medium">
        <color indexed="64"/>
      </left>
      <right/>
      <top/>
      <bottom style="double">
        <color theme="9" tint="0.39994506668294322"/>
      </bottom>
      <diagonal/>
    </border>
    <border>
      <left/>
      <right/>
      <top/>
      <bottom style="double">
        <color theme="9" tint="0.39994506668294322"/>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right style="hair">
        <color indexed="64"/>
      </right>
      <top style="hair">
        <color theme="9" tint="0.39991454817346722"/>
      </top>
      <bottom style="hair">
        <color theme="9" tint="0.39991454817346722"/>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theme="9" tint="0.39985351115451523"/>
      </left>
      <right/>
      <top style="hair">
        <color auto="1"/>
      </top>
      <bottom style="hair">
        <color theme="9" tint="0.39994506668294322"/>
      </bottom>
      <diagonal/>
    </border>
    <border>
      <left/>
      <right style="medium">
        <color indexed="64"/>
      </right>
      <top style="hair">
        <color theme="9" tint="0.39985351115451523"/>
      </top>
      <bottom style="hair">
        <color theme="9" tint="0.39985351115451523"/>
      </bottom>
      <diagonal/>
    </border>
    <border>
      <left/>
      <right style="medium">
        <color indexed="64"/>
      </right>
      <top/>
      <bottom style="hair">
        <color theme="9" tint="0.59996337778862885"/>
      </bottom>
      <diagonal/>
    </border>
    <border>
      <left style="hair">
        <color indexed="64"/>
      </left>
      <right/>
      <top style="hair">
        <color indexed="64"/>
      </top>
      <bottom style="hair">
        <color theme="9" tint="0.39994506668294322"/>
      </bottom>
      <diagonal/>
    </border>
    <border>
      <left/>
      <right style="medium">
        <color indexed="64"/>
      </right>
      <top style="hair">
        <color indexed="64"/>
      </top>
      <bottom style="hair">
        <color theme="9" tint="0.39985351115451523"/>
      </bottom>
      <diagonal/>
    </border>
    <border>
      <left style="medium">
        <color auto="1"/>
      </left>
      <right/>
      <top style="thin">
        <color theme="9" tint="0.39997558519241921"/>
      </top>
      <bottom style="thin">
        <color theme="9" tint="0.39997558519241921"/>
      </bottom>
      <diagonal/>
    </border>
    <border>
      <left style="hair">
        <color indexed="64"/>
      </left>
      <right/>
      <top style="hair">
        <color indexed="64"/>
      </top>
      <bottom style="hair">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indexed="64"/>
      </left>
      <right/>
      <top/>
      <bottom/>
      <diagonal/>
    </border>
    <border>
      <left/>
      <right style="double">
        <color indexed="64"/>
      </right>
      <top/>
      <bottom/>
      <diagonal/>
    </border>
    <border>
      <left style="double">
        <color auto="1"/>
      </left>
      <right/>
      <top/>
      <bottom style="double">
        <color auto="1"/>
      </bottom>
      <diagonal/>
    </border>
    <border>
      <left/>
      <right style="double">
        <color auto="1"/>
      </right>
      <top/>
      <bottom style="double">
        <color auto="1"/>
      </bottom>
      <diagonal/>
    </border>
    <border>
      <left/>
      <right style="mediumDashed">
        <color auto="1"/>
      </right>
      <top style="hair">
        <color auto="1"/>
      </top>
      <bottom style="thin">
        <color auto="1"/>
      </bottom>
      <diagonal/>
    </border>
    <border>
      <left style="hair">
        <color indexed="64"/>
      </left>
      <right style="hair">
        <color indexed="64"/>
      </right>
      <top style="hair">
        <color auto="1"/>
      </top>
      <bottom/>
      <diagonal/>
    </border>
    <border>
      <left/>
      <right/>
      <top style="mediumDashed">
        <color indexed="64"/>
      </top>
      <bottom style="mediumDashed">
        <color auto="1"/>
      </bottom>
      <diagonal/>
    </border>
    <border>
      <left/>
      <right/>
      <top style="dashed">
        <color indexed="64"/>
      </top>
      <bottom/>
      <diagonal/>
    </border>
    <border>
      <left/>
      <right style="mediumDashed">
        <color auto="1"/>
      </right>
      <top style="hair">
        <color auto="1"/>
      </top>
      <bottom/>
      <diagonal/>
    </border>
    <border>
      <left style="hair">
        <color indexed="64"/>
      </left>
      <right/>
      <top style="hair">
        <color theme="1" tint="0.499984740745262"/>
      </top>
      <bottom/>
      <diagonal/>
    </border>
    <border>
      <left/>
      <right style="mediumDashed">
        <color auto="1"/>
      </right>
      <top style="hair">
        <color theme="1" tint="0.499984740745262"/>
      </top>
      <bottom/>
      <diagonal/>
    </border>
    <border>
      <left style="hair">
        <color indexed="64"/>
      </left>
      <right/>
      <top style="thin">
        <color indexed="64"/>
      </top>
      <bottom style="dashed">
        <color auto="1"/>
      </bottom>
      <diagonal/>
    </border>
    <border>
      <left style="dashed">
        <color auto="1"/>
      </left>
      <right style="dashed">
        <color auto="1"/>
      </right>
      <top style="dashed">
        <color auto="1"/>
      </top>
      <bottom style="dashed">
        <color auto="1"/>
      </bottom>
      <diagonal/>
    </border>
    <border>
      <left style="hair">
        <color theme="1" tint="0.499984740745262"/>
      </left>
      <right/>
      <top/>
      <bottom/>
      <diagonal/>
    </border>
    <border>
      <left style="mediumDashed">
        <color indexed="64"/>
      </left>
      <right/>
      <top style="thin">
        <color indexed="64"/>
      </top>
      <bottom/>
      <diagonal/>
    </border>
    <border>
      <left/>
      <right style="mediumDashed">
        <color auto="1"/>
      </right>
      <top style="thin">
        <color auto="1"/>
      </top>
      <bottom/>
      <diagonal/>
    </border>
    <border>
      <left style="hair">
        <color auto="1"/>
      </left>
      <right/>
      <top style="dashed">
        <color indexed="64"/>
      </top>
      <bottom/>
      <diagonal/>
    </border>
    <border>
      <left style="hair">
        <color indexed="64"/>
      </left>
      <right/>
      <top/>
      <bottom style="dash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style="thin">
        <color theme="0" tint="-0.34998626667073579"/>
      </left>
      <right/>
      <top/>
      <bottom/>
      <diagonal/>
    </border>
    <border>
      <left style="thin">
        <color auto="1"/>
      </left>
      <right/>
      <top/>
      <bottom style="hair">
        <color indexed="64"/>
      </bottom>
      <diagonal/>
    </border>
    <border>
      <left/>
      <right style="thin">
        <color indexed="64"/>
      </right>
      <top/>
      <bottom style="hair">
        <color indexed="64"/>
      </bottom>
      <diagonal/>
    </border>
    <border>
      <left style="hair">
        <color auto="1"/>
      </left>
      <right/>
      <top style="dashed">
        <color auto="1"/>
      </top>
      <bottom style="hair">
        <color auto="1"/>
      </bottom>
      <diagonal/>
    </border>
    <border>
      <left style="hair">
        <color auto="1"/>
      </left>
      <right/>
      <top style="dashed">
        <color auto="1"/>
      </top>
      <bottom style="dashed">
        <color indexed="64"/>
      </bottom>
      <diagonal/>
    </border>
    <border>
      <left style="hair">
        <color indexed="64"/>
      </left>
      <right style="hair">
        <color indexed="64"/>
      </right>
      <top style="dashed">
        <color indexed="64"/>
      </top>
      <bottom/>
      <diagonal/>
    </border>
    <border>
      <left style="hair">
        <color auto="1"/>
      </left>
      <right style="mediumDashed">
        <color auto="1"/>
      </right>
      <top style="dashed">
        <color auto="1"/>
      </top>
      <bottom/>
      <diagonal/>
    </border>
    <border>
      <left style="hair">
        <color indexed="64"/>
      </left>
      <right style="mediumDashed">
        <color indexed="64"/>
      </right>
      <top/>
      <bottom style="hair">
        <color indexed="64"/>
      </bottom>
      <diagonal/>
    </border>
    <border>
      <left style="hair">
        <color theme="9" tint="0.39994506668294322"/>
      </left>
      <right style="hair">
        <color theme="9" tint="0.39994506668294322"/>
      </right>
      <top/>
      <bottom style="hair">
        <color theme="9" tint="0.59996337778862885"/>
      </bottom>
      <diagonal/>
    </border>
    <border>
      <left/>
      <right style="mediumDashed">
        <color auto="1"/>
      </right>
      <top/>
      <bottom style="hair">
        <color theme="9" tint="0.39991454817346722"/>
      </bottom>
      <diagonal/>
    </border>
    <border>
      <left style="hair">
        <color auto="1"/>
      </left>
      <right/>
      <top style="thin">
        <color theme="9" tint="0.39997558519241921"/>
      </top>
      <bottom style="thin">
        <color theme="9" tint="0.39997558519241921"/>
      </bottom>
      <diagonal/>
    </border>
    <border>
      <left style="hair">
        <color theme="9" tint="0.39994506668294322"/>
      </left>
      <right style="hair">
        <color theme="9" tint="0.39994506668294322"/>
      </right>
      <top style="hair">
        <color theme="9" tint="0.59996337778862885"/>
      </top>
      <bottom style="hair">
        <color theme="9" tint="0.59996337778862885"/>
      </bottom>
      <diagonal/>
    </border>
    <border>
      <left/>
      <right style="mediumDashed">
        <color auto="1"/>
      </right>
      <top style="hair">
        <color theme="9" tint="0.39991454817346722"/>
      </top>
      <bottom style="hair">
        <color theme="9" tint="0.39991454817346722"/>
      </bottom>
      <diagonal/>
    </border>
    <border>
      <left style="hair">
        <color auto="1"/>
      </left>
      <right/>
      <top style="thin">
        <color theme="9" tint="0.39997558519241921"/>
      </top>
      <bottom style="hair">
        <color auto="1"/>
      </bottom>
      <diagonal/>
    </border>
    <border>
      <left style="hair">
        <color auto="1"/>
      </left>
      <right style="mediumDashed">
        <color auto="1"/>
      </right>
      <top style="hair">
        <color auto="1"/>
      </top>
      <bottom style="hair">
        <color auto="1"/>
      </bottom>
      <diagonal/>
    </border>
    <border>
      <left style="hair">
        <color auto="1"/>
      </left>
      <right style="mediumDashed">
        <color auto="1"/>
      </right>
      <top/>
      <bottom/>
      <diagonal/>
    </border>
    <border>
      <left style="hair">
        <color indexed="64"/>
      </left>
      <right/>
      <top/>
      <bottom style="hair">
        <color auto="1"/>
      </bottom>
      <diagonal/>
    </border>
    <border>
      <left style="hair">
        <color auto="1"/>
      </left>
      <right style="hair">
        <color indexed="64"/>
      </right>
      <top/>
      <bottom style="hair">
        <color auto="1"/>
      </bottom>
      <diagonal/>
    </border>
    <border>
      <left style="thin">
        <color auto="1"/>
      </left>
      <right style="thin">
        <color auto="1"/>
      </right>
      <top style="thin">
        <color auto="1"/>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style="hair">
        <color indexed="64"/>
      </left>
      <right/>
      <top style="hair">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auto="1"/>
      </top>
      <bottom/>
      <diagonal/>
    </border>
    <border>
      <left style="hair">
        <color auto="1"/>
      </left>
      <right style="hair">
        <color auto="1"/>
      </right>
      <top/>
      <bottom/>
      <diagonal/>
    </border>
    <border>
      <left style="hair">
        <color auto="1"/>
      </left>
      <right style="thin">
        <color indexed="64"/>
      </right>
      <top/>
      <bottom/>
      <diagonal/>
    </border>
    <border>
      <left style="medium">
        <color auto="1"/>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thin">
        <color indexed="64"/>
      </bottom>
      <diagonal/>
    </border>
    <border>
      <left/>
      <right style="hair">
        <color auto="1"/>
      </right>
      <top/>
      <bottom/>
      <diagonal/>
    </border>
    <border>
      <left style="hair">
        <color auto="1"/>
      </left>
      <right/>
      <top/>
      <bottom/>
      <diagonal/>
    </border>
    <border>
      <left style="hair">
        <color indexed="64"/>
      </left>
      <right/>
      <top/>
      <bottom style="thin">
        <color indexed="64"/>
      </bottom>
      <diagonal/>
    </border>
    <border>
      <left style="medium">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auto="1"/>
      </right>
      <top/>
      <bottom style="medium">
        <color auto="1"/>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style="thin">
        <color indexed="64"/>
      </left>
      <right/>
      <top style="thin">
        <color indexed="64"/>
      </top>
      <bottom style="hair">
        <color indexed="64"/>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indexed="12"/>
      </top>
      <bottom/>
      <diagonal/>
    </border>
    <border>
      <left style="hair">
        <color indexed="12"/>
      </left>
      <right style="hair">
        <color indexed="12"/>
      </right>
      <top/>
      <bottom/>
      <diagonal/>
    </border>
    <border>
      <left/>
      <right/>
      <top style="thin">
        <color auto="1"/>
      </top>
      <bottom style="thin">
        <color auto="1"/>
      </bottom>
      <diagonal/>
    </border>
    <border>
      <left style="medium">
        <color auto="1"/>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hair">
        <color indexed="64"/>
      </left>
      <right style="medium">
        <color indexed="64"/>
      </right>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hair">
        <color auto="1"/>
      </top>
      <bottom/>
      <diagonal/>
    </border>
    <border>
      <left/>
      <right style="medium">
        <color auto="1"/>
      </right>
      <top style="hair">
        <color auto="1"/>
      </top>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top style="hair">
        <color indexed="12"/>
      </top>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right style="medium">
        <color indexed="64"/>
      </right>
      <top/>
      <bottom style="dashDot">
        <color indexed="64"/>
      </bottom>
      <diagonal/>
    </border>
    <border>
      <left style="medium">
        <color indexed="64"/>
      </left>
      <right style="hair">
        <color indexed="64"/>
      </right>
      <top style="hair">
        <color indexed="64"/>
      </top>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hair">
        <color auto="1"/>
      </left>
      <right style="hair">
        <color auto="1"/>
      </right>
      <top style="hair">
        <color auto="1"/>
      </top>
      <bottom style="hair">
        <color auto="1"/>
      </bottom>
      <diagonal/>
    </border>
    <border>
      <left/>
      <right style="mediumDashed">
        <color auto="1"/>
      </right>
      <top style="thin">
        <color auto="1"/>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hair">
        <color theme="9" tint="0.39988402966399123"/>
      </left>
      <right style="hair">
        <color theme="9" tint="0.39988402966399123"/>
      </right>
      <top style="hair">
        <color theme="9" tint="0.39988402966399123"/>
      </top>
      <bottom style="hair">
        <color theme="9" tint="0.39988402966399123"/>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right/>
      <top/>
      <bottom style="thin">
        <color indexed="8"/>
      </bottom>
      <diagonal/>
    </border>
    <border>
      <left/>
      <right/>
      <top style="hair">
        <color auto="1"/>
      </top>
      <bottom style="thin">
        <color indexed="64"/>
      </bottom>
      <diagonal/>
    </border>
    <border>
      <left/>
      <right style="thin">
        <color indexed="64"/>
      </right>
      <top/>
      <bottom style="thin">
        <color indexed="64"/>
      </bottom>
      <diagonal/>
    </border>
    <border>
      <left style="hair">
        <color auto="1"/>
      </left>
      <right style="hair">
        <color auto="1"/>
      </right>
      <top style="hair">
        <color auto="1"/>
      </top>
      <bottom style="hair">
        <color auto="1"/>
      </bottom>
      <diagonal/>
    </border>
    <border>
      <left/>
      <right style="thin">
        <color indexed="8"/>
      </right>
      <top/>
      <bottom style="thin">
        <color indexed="8"/>
      </bottom>
      <diagonal/>
    </border>
    <border>
      <left style="double">
        <color theme="9" tint="0.39988402966399123"/>
      </left>
      <right style="double">
        <color theme="9" tint="0.39988402966399123"/>
      </right>
      <top style="double">
        <color theme="9" tint="0.39988402966399123"/>
      </top>
      <bottom style="double">
        <color theme="9" tint="0.39988402966399123"/>
      </bottom>
      <diagonal/>
    </border>
    <border>
      <left/>
      <right style="thin">
        <color indexed="64"/>
      </right>
      <top style="thin">
        <color indexed="64"/>
      </top>
      <bottom/>
      <diagonal/>
    </border>
    <border>
      <left style="thin">
        <color auto="1"/>
      </left>
      <right/>
      <top/>
      <bottom style="mediumDashed">
        <color auto="1"/>
      </bottom>
      <diagonal/>
    </border>
    <border>
      <left/>
      <right style="thin">
        <color auto="1"/>
      </right>
      <top/>
      <bottom style="mediumDashed">
        <color auto="1"/>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mediumDashed">
        <color theme="1"/>
      </right>
      <top style="double">
        <color theme="0" tint="-0.34998626667073579"/>
      </top>
      <bottom style="double">
        <color theme="0" tint="-0.34998626667073579"/>
      </bottom>
      <diagonal/>
    </border>
    <border>
      <left style="thin">
        <color auto="1"/>
      </left>
      <right/>
      <top/>
      <bottom style="thin">
        <color auto="1"/>
      </bottom>
      <diagonal/>
    </border>
    <border>
      <left style="thin">
        <color theme="9" tint="0.39985351115451523"/>
      </left>
      <right/>
      <top/>
      <bottom/>
      <diagonal/>
    </border>
    <border>
      <left style="hair">
        <color theme="9" tint="0.39991454817346722"/>
      </left>
      <right style="hair">
        <color theme="9" tint="0.39988402966399123"/>
      </right>
      <top/>
      <bottom/>
      <diagonal/>
    </border>
    <border>
      <left style="medium">
        <color indexed="64"/>
      </left>
      <right style="double">
        <color theme="9" tint="0.39988402966399123"/>
      </right>
      <top style="double">
        <color theme="9" tint="0.39991454817346722"/>
      </top>
      <bottom style="double">
        <color theme="9" tint="0.39994506668294322"/>
      </bottom>
      <diagonal/>
    </border>
    <border>
      <left style="double">
        <color theme="9" tint="0.39988402966399123"/>
      </left>
      <right style="double">
        <color theme="9" tint="0.39988402966399123"/>
      </right>
      <top style="double">
        <color theme="9" tint="0.39991454817346722"/>
      </top>
      <bottom style="double">
        <color theme="9" tint="0.39994506668294322"/>
      </bottom>
      <diagonal/>
    </border>
    <border>
      <left/>
      <right/>
      <top/>
      <bottom style="double">
        <color theme="9" tint="0.39991454817346722"/>
      </bottom>
      <diagonal/>
    </border>
    <border>
      <left/>
      <right style="hair">
        <color theme="9" tint="0.39994506668294322"/>
      </right>
      <top style="hair">
        <color rgb="FFC00000"/>
      </top>
      <bottom style="hair">
        <color rgb="FFC00000"/>
      </bottom>
      <diagonal/>
    </border>
    <border>
      <left style="medium">
        <color indexed="64"/>
      </left>
      <right/>
      <top style="hair">
        <color auto="1"/>
      </top>
      <bottom style="thin">
        <color auto="1"/>
      </bottom>
      <diagonal/>
    </border>
    <border>
      <left/>
      <right style="hair">
        <color indexed="64"/>
      </right>
      <top style="thin">
        <color indexed="64"/>
      </top>
      <bottom style="hair">
        <color indexed="64"/>
      </bottom>
      <diagonal/>
    </border>
    <border>
      <left/>
      <right style="double">
        <color theme="9" tint="0.39994506668294322"/>
      </right>
      <top style="double">
        <color theme="9" tint="0.39994506668294322"/>
      </top>
      <bottom style="double">
        <color theme="9" tint="0.39994506668294322"/>
      </bottom>
      <diagonal/>
    </border>
    <border>
      <left style="double">
        <color theme="9" tint="0.39994506668294322"/>
      </left>
      <right style="medium">
        <color auto="1"/>
      </right>
      <top style="double">
        <color theme="9" tint="0.39994506668294322"/>
      </top>
      <bottom style="double">
        <color theme="9" tint="0.39994506668294322"/>
      </bottom>
      <diagonal/>
    </border>
    <border>
      <left style="hair">
        <color indexed="64"/>
      </left>
      <right style="hair">
        <color indexed="64"/>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indexed="64"/>
      </right>
      <top/>
      <bottom style="hair">
        <color auto="1"/>
      </bottom>
      <diagonal/>
    </border>
    <border>
      <left/>
      <right style="medium">
        <color indexed="64"/>
      </right>
      <top/>
      <bottom style="hair">
        <color auto="1"/>
      </bottom>
      <diagonal/>
    </border>
    <border>
      <left style="hair">
        <color theme="9" tint="0.39988402966399123"/>
      </left>
      <right/>
      <top style="hair">
        <color auto="1"/>
      </top>
      <bottom style="hair">
        <color theme="9" tint="0.39988402966399123"/>
      </bottom>
      <diagonal/>
    </border>
    <border>
      <left style="hair">
        <color theme="9" tint="0.39988402966399123"/>
      </left>
      <right/>
      <top style="hair">
        <color theme="9" tint="0.39988402966399123"/>
      </top>
      <bottom style="hair">
        <color theme="9" tint="0.39988402966399123"/>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1454817346722"/>
      </top>
      <bottom style="hair">
        <color theme="9" tint="0.39991454817346722"/>
      </bottom>
      <diagonal/>
    </border>
    <border>
      <left/>
      <right/>
      <top style="thin">
        <color theme="9" tint="0.39997558519241921"/>
      </top>
      <bottom/>
      <diagonal/>
    </border>
    <border>
      <left style="thin">
        <color indexed="64"/>
      </left>
      <right/>
      <top style="hair">
        <color indexed="64"/>
      </top>
      <bottom/>
      <diagonal/>
    </border>
    <border>
      <left/>
      <right style="thin">
        <color auto="1"/>
      </right>
      <top style="hair">
        <color auto="1"/>
      </top>
      <bottom/>
      <diagonal/>
    </border>
    <border>
      <left style="thin">
        <color auto="1"/>
      </left>
      <right/>
      <top/>
      <bottom style="hair">
        <color indexed="64"/>
      </bottom>
      <diagonal/>
    </border>
    <border>
      <left/>
      <right style="thin">
        <color indexed="64"/>
      </right>
      <top/>
      <bottom style="hair">
        <color indexed="64"/>
      </bottom>
      <diagonal/>
    </border>
    <border>
      <left/>
      <right style="mediumDashed">
        <color auto="1"/>
      </right>
      <top/>
      <bottom style="hair">
        <color auto="1"/>
      </bottom>
      <diagonal/>
    </border>
    <border>
      <left/>
      <right/>
      <top/>
      <bottom style="thin">
        <color indexed="64"/>
      </bottom>
      <diagonal/>
    </border>
    <border>
      <left style="thin">
        <color auto="1"/>
      </left>
      <right/>
      <top style="thin">
        <color indexed="64"/>
      </top>
      <bottom/>
      <diagonal/>
    </border>
    <border>
      <left/>
      <right style="thin">
        <color indexed="64"/>
      </right>
      <top/>
      <bottom/>
      <diagonal/>
    </border>
    <border>
      <left/>
      <right style="hair">
        <color indexed="64"/>
      </right>
      <top style="dashed">
        <color indexed="64"/>
      </top>
      <bottom style="thin">
        <color auto="1"/>
      </bottom>
      <diagonal/>
    </border>
    <border>
      <left style="hair">
        <color indexed="64"/>
      </left>
      <right style="hair">
        <color indexed="64"/>
      </right>
      <top style="hair">
        <color auto="1"/>
      </top>
      <bottom/>
      <diagonal/>
    </border>
    <border>
      <left style="mediumDashed">
        <color indexed="64"/>
      </left>
      <right/>
      <top/>
      <bottom style="hair">
        <color indexed="64"/>
      </bottom>
      <diagonal/>
    </border>
    <border>
      <left style="mediumDashed">
        <color indexed="64"/>
      </left>
      <right/>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mediumDashed">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style="dotted">
        <color indexed="64"/>
      </top>
      <bottom/>
      <diagonal/>
    </border>
    <border>
      <left/>
      <right/>
      <top style="dotted">
        <color indexed="64"/>
      </top>
      <bottom/>
      <diagonal/>
    </border>
    <border>
      <left/>
      <right style="medium">
        <color indexed="64"/>
      </right>
      <top style="dotted">
        <color indexed="64"/>
      </top>
      <bottom/>
      <diagonal/>
    </border>
    <border>
      <left/>
      <right/>
      <top style="thin">
        <color theme="9" tint="0.39997558519241921"/>
      </top>
      <bottom style="hair">
        <color theme="9" tint="0.39994506668294322"/>
      </bottom>
      <diagonal/>
    </border>
    <border>
      <left style="thin">
        <color indexed="64"/>
      </left>
      <right style="medium">
        <color indexed="64"/>
      </right>
      <top style="thin">
        <color indexed="64"/>
      </top>
      <bottom/>
      <diagonal/>
    </border>
    <border>
      <left style="hair">
        <color auto="1"/>
      </left>
      <right style="thin">
        <color indexed="64"/>
      </right>
      <top style="hair">
        <color auto="1"/>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thin">
        <color indexed="64"/>
      </right>
      <top/>
      <bottom style="hair">
        <color auto="1"/>
      </bottom>
      <diagonal/>
    </border>
    <border>
      <left style="thin">
        <color indexed="64"/>
      </left>
      <right style="medium">
        <color indexed="64"/>
      </right>
      <top/>
      <bottom style="medium">
        <color indexed="64"/>
      </bottom>
      <diagonal/>
    </border>
    <border>
      <left style="thin">
        <color indexed="64"/>
      </left>
      <right style="hair">
        <color auto="1"/>
      </right>
      <top style="dashed">
        <color indexed="64"/>
      </top>
      <bottom/>
      <diagonal/>
    </border>
    <border>
      <left style="hair">
        <color indexed="64"/>
      </left>
      <right/>
      <top style="thin">
        <color indexed="64"/>
      </top>
      <bottom/>
      <diagonal/>
    </border>
    <border>
      <left style="thin">
        <color indexed="64"/>
      </left>
      <right style="hair">
        <color auto="1"/>
      </right>
      <top/>
      <bottom/>
      <diagonal/>
    </border>
    <border>
      <left style="medium">
        <color indexed="64"/>
      </left>
      <right style="hair">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thin">
        <color indexed="64"/>
      </left>
      <right/>
      <top/>
      <bottom style="thin">
        <color theme="9" tint="0.39997558519241921"/>
      </bottom>
      <diagonal/>
    </border>
    <border>
      <left style="thin">
        <color auto="1"/>
      </left>
      <right/>
      <top style="thin">
        <color indexed="64"/>
      </top>
      <bottom/>
      <diagonal/>
    </border>
    <border>
      <left/>
      <right style="hair">
        <color indexed="64"/>
      </right>
      <top style="thin">
        <color indexed="64"/>
      </top>
      <bottom/>
      <diagonal/>
    </border>
    <border>
      <left/>
      <right style="thin">
        <color indexed="64"/>
      </right>
      <top style="thin">
        <color indexed="64"/>
      </top>
      <bottom/>
      <diagonal/>
    </border>
    <border>
      <left style="hair">
        <color indexed="64"/>
      </left>
      <right style="hair">
        <color indexed="64"/>
      </right>
      <top style="double">
        <color theme="9" tint="0.39994506668294322"/>
      </top>
      <bottom/>
      <diagonal/>
    </border>
    <border>
      <left style="thin">
        <color auto="1"/>
      </left>
      <right style="hair">
        <color indexed="64"/>
      </right>
      <top/>
      <bottom style="hair">
        <color auto="1"/>
      </bottom>
      <diagonal/>
    </border>
    <border>
      <left style="thin">
        <color auto="1"/>
      </left>
      <right style="hair">
        <color indexed="64"/>
      </right>
      <top style="hair">
        <color indexed="64"/>
      </top>
      <bottom style="hair">
        <color indexed="64"/>
      </bottom>
      <diagonal/>
    </border>
    <border>
      <left/>
      <right/>
      <top style="double">
        <color theme="9" tint="0.39994506668294322"/>
      </top>
      <bottom style="hair">
        <color auto="1"/>
      </bottom>
      <diagonal/>
    </border>
    <border>
      <left/>
      <right/>
      <top style="hair">
        <color theme="9" tint="0.39991454817346722"/>
      </top>
      <bottom style="hair">
        <color theme="9" tint="0.39991454817346722"/>
      </bottom>
      <diagonal/>
    </border>
    <border>
      <left/>
      <right style="medium">
        <color indexed="64"/>
      </right>
      <top style="hair">
        <color theme="9" tint="0.39994506668294322"/>
      </top>
      <bottom/>
      <diagonal/>
    </border>
    <border>
      <left/>
      <right style="thin">
        <color indexed="64"/>
      </right>
      <top style="thin">
        <color indexed="64"/>
      </top>
      <bottom style="dashed">
        <color auto="1"/>
      </bottom>
      <diagonal/>
    </border>
    <border>
      <left/>
      <right style="medium">
        <color auto="1"/>
      </right>
      <top style="thin">
        <color auto="1"/>
      </top>
      <bottom/>
      <diagonal/>
    </border>
    <border>
      <left style="hair">
        <color theme="9" tint="0.39991454817346722"/>
      </left>
      <right style="hair">
        <color theme="9" tint="0.39991454817346722"/>
      </right>
      <top/>
      <bottom style="hair">
        <color auto="1"/>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right style="medium">
        <color auto="1"/>
      </right>
      <top style="thin">
        <color indexed="64"/>
      </top>
      <bottom style="dashed">
        <color auto="1"/>
      </bottom>
      <diagonal/>
    </border>
    <border>
      <left style="medium">
        <color auto="1"/>
      </left>
      <right/>
      <top style="thin">
        <color indexed="64"/>
      </top>
      <bottom/>
      <diagonal/>
    </border>
    <border>
      <left style="medium">
        <color auto="1"/>
      </left>
      <right/>
      <top style="thin">
        <color indexed="64"/>
      </top>
      <bottom style="dashed">
        <color auto="1"/>
      </bottom>
      <diagonal/>
    </border>
    <border>
      <left style="medium">
        <color auto="1"/>
      </left>
      <right style="dashed">
        <color auto="1"/>
      </right>
      <top style="dashed">
        <color auto="1"/>
      </top>
      <bottom style="dashed">
        <color auto="1"/>
      </bottom>
      <diagonal/>
    </border>
    <border>
      <left style="medium">
        <color indexed="64"/>
      </left>
      <right style="hair">
        <color indexed="64"/>
      </right>
      <top style="hair">
        <color indexed="64"/>
      </top>
      <bottom style="hair">
        <color indexed="64"/>
      </bottom>
      <diagonal/>
    </border>
    <border>
      <left style="medium">
        <color auto="1"/>
      </left>
      <right style="double">
        <color indexed="64"/>
      </right>
      <top style="double">
        <color indexed="64"/>
      </top>
      <bottom/>
      <diagonal/>
    </border>
    <border>
      <left style="medium">
        <color auto="1"/>
      </left>
      <right style="double">
        <color indexed="64"/>
      </right>
      <top/>
      <bottom style="hair">
        <color auto="1"/>
      </bottom>
      <diagonal/>
    </border>
    <border>
      <left style="medium">
        <color auto="1"/>
      </left>
      <right style="double">
        <color indexed="64"/>
      </right>
      <top/>
      <bottom style="double">
        <color indexed="64"/>
      </bottom>
      <diagonal/>
    </border>
    <border>
      <left style="dashed">
        <color auto="1"/>
      </left>
      <right style="dashed">
        <color auto="1"/>
      </right>
      <top style="dashed">
        <color auto="1"/>
      </top>
      <bottom style="thin">
        <color indexed="64"/>
      </bottom>
      <diagonal/>
    </border>
    <border>
      <left style="double">
        <color indexed="64"/>
      </left>
      <right style="double">
        <color indexed="64"/>
      </right>
      <top/>
      <bottom style="hair">
        <color auto="1"/>
      </bottom>
      <diagonal/>
    </border>
    <border>
      <left/>
      <right style="mediumDashed">
        <color auto="1"/>
      </right>
      <top style="thin">
        <color auto="1"/>
      </top>
      <bottom/>
      <diagonal/>
    </border>
    <border>
      <left style="hair">
        <color indexed="64"/>
      </left>
      <right/>
      <top style="hair">
        <color indexed="64"/>
      </top>
      <bottom/>
      <diagonal/>
    </border>
    <border>
      <left/>
      <right style="medium">
        <color auto="1"/>
      </right>
      <top/>
      <bottom style="thin">
        <color indexed="64"/>
      </bottom>
      <diagonal/>
    </border>
    <border>
      <left style="hair">
        <color theme="9" tint="0.39988402966399123"/>
      </left>
      <right/>
      <top style="double">
        <color theme="9" tint="0.39994506668294322"/>
      </top>
      <bottom/>
      <diagonal/>
    </border>
    <border>
      <left style="thin">
        <color indexed="64"/>
      </left>
      <right style="medium">
        <color indexed="64"/>
      </right>
      <top/>
      <bottom/>
      <diagonal/>
    </border>
    <border>
      <left/>
      <right style="thin">
        <color theme="9" tint="0.39985351115451523"/>
      </right>
      <top style="double">
        <color theme="9" tint="0.39994506668294322"/>
      </top>
      <bottom/>
      <diagonal/>
    </border>
    <border>
      <left/>
      <right style="thin">
        <color theme="9" tint="0.39985351115451523"/>
      </right>
      <top/>
      <bottom style="double">
        <color theme="9" tint="0.39994506668294322"/>
      </bottom>
      <diagonal/>
    </border>
    <border>
      <left style="thin">
        <color theme="9" tint="0.39985351115451523"/>
      </left>
      <right/>
      <top/>
      <bottom style="double">
        <color theme="9" tint="0.39994506668294322"/>
      </bottom>
      <diagonal/>
    </border>
    <border>
      <left style="hair">
        <color theme="9" tint="0.39991454817346722"/>
      </left>
      <right style="hair">
        <color theme="9" tint="0.39988402966399123"/>
      </right>
      <top/>
      <bottom style="double">
        <color theme="9" tint="0.39994506668294322"/>
      </bottom>
      <diagonal/>
    </border>
    <border>
      <left style="hair">
        <color theme="9" tint="0.39988402966399123"/>
      </left>
      <right/>
      <top/>
      <bottom style="double">
        <color theme="9" tint="0.39994506668294322"/>
      </bottom>
      <diagonal/>
    </border>
    <border>
      <left style="hair">
        <color auto="1"/>
      </left>
      <right/>
      <top/>
      <bottom style="double">
        <color theme="9" tint="0.39994506668294322"/>
      </bottom>
      <diagonal/>
    </border>
    <border>
      <left/>
      <right style="medium">
        <color indexed="64"/>
      </right>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style="double">
        <color theme="9" tint="0.39991454817346722"/>
      </left>
      <right/>
      <top style="double">
        <color theme="9" tint="0.39994506668294322"/>
      </top>
      <bottom/>
      <diagonal/>
    </border>
    <border>
      <left style="double">
        <color theme="9" tint="0.39991454817346722"/>
      </left>
      <right/>
      <top/>
      <bottom style="double">
        <color theme="9" tint="0.39994506668294322"/>
      </bottom>
      <diagonal/>
    </border>
    <border>
      <left style="hair">
        <color auto="1"/>
      </left>
      <right style="medium">
        <color auto="1"/>
      </right>
      <top style="thin">
        <color auto="1"/>
      </top>
      <bottom style="hair">
        <color auto="1"/>
      </bottom>
      <diagonal/>
    </border>
    <border>
      <left/>
      <right style="medium">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auto="1"/>
      </left>
      <right style="medium">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right/>
      <top style="hair">
        <color auto="1"/>
      </top>
      <bottom style="dashed">
        <color indexed="64"/>
      </bottom>
      <diagonal/>
    </border>
    <border>
      <left/>
      <right style="mediumDashed">
        <color auto="1"/>
      </right>
      <top style="hair">
        <color auto="1"/>
      </top>
      <bottom style="hair">
        <color auto="1"/>
      </bottom>
      <diagonal/>
    </border>
    <border>
      <left/>
      <right/>
      <top/>
      <bottom style="hair">
        <color theme="9" tint="0.39991454817346722"/>
      </bottom>
      <diagonal/>
    </border>
    <border>
      <left style="thin">
        <color auto="1"/>
      </left>
      <right style="thin">
        <color auto="1"/>
      </right>
      <top style="thin">
        <color auto="1"/>
      </top>
      <bottom style="thin">
        <color auto="1"/>
      </bottom>
      <diagonal/>
    </border>
    <border>
      <left/>
      <right/>
      <top style="hair">
        <color auto="1"/>
      </top>
      <bottom style="hair">
        <color theme="9" tint="0.39994506668294322"/>
      </bottom>
      <diagonal/>
    </border>
    <border>
      <left/>
      <right/>
      <top style="hair">
        <color indexed="64"/>
      </top>
      <bottom style="hair">
        <color theme="9" tint="0.39985351115451523"/>
      </bottom>
      <diagonal/>
    </border>
    <border>
      <left/>
      <right style="hair">
        <color indexed="64"/>
      </right>
      <top/>
      <bottom style="hair">
        <color theme="9" tint="0.59996337778862885"/>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diagonal/>
    </border>
    <border>
      <left style="thin">
        <color auto="1"/>
      </left>
      <right style="thin">
        <color auto="1"/>
      </right>
      <top/>
      <bottom style="hair">
        <color auto="1"/>
      </bottom>
      <diagonal/>
    </border>
    <border>
      <left style="thin">
        <color auto="1"/>
      </left>
      <right style="thin">
        <color auto="1"/>
      </right>
      <top style="hair">
        <color theme="9" tint="0.39991454817346722"/>
      </top>
      <bottom style="hair">
        <color theme="9" tint="0.39991454817346722"/>
      </bottom>
      <diagonal/>
    </border>
    <border>
      <left style="thin">
        <color auto="1"/>
      </left>
      <right style="thin">
        <color auto="1"/>
      </right>
      <top style="hair">
        <color theme="9" tint="0.39994506668294322"/>
      </top>
      <bottom style="hair">
        <color theme="9" tint="0.39994506668294322"/>
      </bottom>
      <diagonal/>
    </border>
    <border>
      <left style="thin">
        <color auto="1"/>
      </left>
      <right style="thin">
        <color auto="1"/>
      </right>
      <top/>
      <bottom style="thin">
        <color theme="9" tint="0.39997558519241921"/>
      </bottom>
      <diagonal/>
    </border>
    <border>
      <left style="thin">
        <color auto="1"/>
      </left>
      <right style="thin">
        <color auto="1"/>
      </right>
      <top style="thin">
        <color theme="9" tint="0.39997558519241921"/>
      </top>
      <bottom style="thin">
        <color theme="9" tint="0.39997558519241921"/>
      </bottom>
      <diagonal/>
    </border>
    <border>
      <left style="thin">
        <color auto="1"/>
      </left>
      <right style="thin">
        <color auto="1"/>
      </right>
      <top style="thin">
        <color theme="9" tint="0.39997558519241921"/>
      </top>
      <bottom/>
      <diagonal/>
    </border>
    <border>
      <left style="thin">
        <color indexed="64"/>
      </left>
      <right style="thin">
        <color auto="1"/>
      </right>
      <top style="medium">
        <color indexed="64"/>
      </top>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bottom style="mediumDashed">
        <color indexed="64"/>
      </bottom>
      <diagonal/>
    </border>
    <border>
      <left/>
      <right style="hair">
        <color theme="9" tint="0.39994506668294322"/>
      </right>
      <top/>
      <bottom style="hair">
        <color theme="9" tint="0.39991454817346722"/>
      </bottom>
      <diagonal/>
    </border>
    <border>
      <left style="thin">
        <color auto="1"/>
      </left>
      <right style="thin">
        <color auto="1"/>
      </right>
      <top style="hair">
        <color theme="9" tint="0.39985351115451523"/>
      </top>
      <bottom style="hair">
        <color theme="9" tint="0.39985351115451523"/>
      </bottom>
      <diagonal/>
    </border>
    <border>
      <left style="thin">
        <color auto="1"/>
      </left>
      <right style="thin">
        <color auto="1"/>
      </right>
      <top style="double">
        <color theme="9" tint="0.39994506668294322"/>
      </top>
      <bottom/>
      <diagonal/>
    </border>
    <border>
      <left/>
      <right style="medium">
        <color auto="1"/>
      </right>
      <top style="hair">
        <color auto="1"/>
      </top>
      <bottom style="dashed">
        <color auto="1"/>
      </bottom>
      <diagonal/>
    </border>
    <border>
      <left/>
      <right style="double">
        <color theme="9" tint="0.39991454817346722"/>
      </right>
      <top style="double">
        <color theme="9" tint="0.39994506668294322"/>
      </top>
      <bottom/>
      <diagonal/>
    </border>
    <border>
      <left style="double">
        <color theme="9" tint="0.39991454817346722"/>
      </left>
      <right/>
      <top/>
      <bottom style="double">
        <color theme="9" tint="0.39991454817346722"/>
      </bottom>
      <diagonal/>
    </border>
    <border>
      <left/>
      <right style="double">
        <color theme="9" tint="0.39991454817346722"/>
      </right>
      <top/>
      <bottom/>
      <diagonal/>
    </border>
    <border>
      <left/>
      <right style="double">
        <color theme="9" tint="0.39991454817346722"/>
      </right>
      <top/>
      <bottom style="double">
        <color theme="9" tint="0.39994506668294322"/>
      </bottom>
      <diagonal/>
    </border>
    <border>
      <left style="double">
        <color theme="9" tint="0.39991454817346722"/>
      </left>
      <right/>
      <top style="double">
        <color theme="9" tint="0.39991454817346722"/>
      </top>
      <bottom style="double">
        <color theme="9" tint="0.39994506668294322"/>
      </bottom>
      <diagonal/>
    </border>
    <border>
      <left style="double">
        <color theme="9" tint="0.39991454817346722"/>
      </left>
      <right/>
      <top/>
      <bottom style="double">
        <color theme="9" tint="0.39988402966399123"/>
      </bottom>
      <diagonal/>
    </border>
    <border>
      <left/>
      <right style="double">
        <color theme="9" tint="0.39991454817346722"/>
      </right>
      <top/>
      <bottom style="double">
        <color theme="9" tint="0.39988402966399123"/>
      </bottom>
      <diagonal/>
    </border>
    <border>
      <left style="hair">
        <color theme="9" tint="0.39988402966399123"/>
      </left>
      <right/>
      <top/>
      <bottom/>
      <diagonal/>
    </border>
    <border>
      <left style="mediumDashed">
        <color auto="1"/>
      </left>
      <right/>
      <top/>
      <bottom style="dashDot">
        <color auto="1"/>
      </bottom>
      <diagonal/>
    </border>
    <border>
      <left/>
      <right/>
      <top/>
      <bottom style="dashDot">
        <color auto="1"/>
      </bottom>
      <diagonal/>
    </border>
    <border>
      <left/>
      <right style="thin">
        <color auto="1"/>
      </right>
      <top style="thin">
        <color auto="1"/>
      </top>
      <bottom style="thin">
        <color indexed="64"/>
      </bottom>
      <diagonal/>
    </border>
    <border>
      <left/>
      <right/>
      <top/>
      <bottom style="hair">
        <color theme="9" tint="0.39994506668294322"/>
      </bottom>
      <diagonal/>
    </border>
    <border>
      <left/>
      <right/>
      <top style="thin">
        <color indexed="64"/>
      </top>
      <bottom style="dashed">
        <color auto="1"/>
      </bottom>
      <diagonal/>
    </border>
    <border>
      <left/>
      <right/>
      <top style="thin">
        <color rgb="FFD9D9D9"/>
      </top>
      <bottom/>
      <diagonal/>
    </border>
    <border>
      <left/>
      <right/>
      <top/>
      <bottom style="thin">
        <color rgb="FFD9D9D9"/>
      </bottom>
      <diagonal/>
    </border>
    <border>
      <left style="thin">
        <color rgb="FFD9D9D9"/>
      </left>
      <right style="thin">
        <color rgb="FFD9D9D9"/>
      </right>
      <top style="thin">
        <color rgb="FFD9D9D9"/>
      </top>
      <bottom style="thin">
        <color rgb="FFD9D9D9"/>
      </bottom>
      <diagonal/>
    </border>
  </borders>
  <cellStyleXfs count="48">
    <xf numFmtId="0" fontId="0" fillId="0" borderId="0"/>
    <xf numFmtId="0" fontId="1" fillId="0" borderId="0"/>
    <xf numFmtId="0" fontId="6"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39" fillId="0" borderId="0"/>
    <xf numFmtId="0" fontId="8" fillId="0" borderId="0"/>
    <xf numFmtId="0" fontId="62" fillId="0" borderId="0" applyNumberFormat="0" applyFill="0" applyBorder="0" applyAlignment="0" applyProtection="0"/>
    <xf numFmtId="0" fontId="66" fillId="0" borderId="0"/>
    <xf numFmtId="0" fontId="8" fillId="0" borderId="0"/>
    <xf numFmtId="0" fontId="1" fillId="0" borderId="0"/>
    <xf numFmtId="0" fontId="6" fillId="0" borderId="0"/>
    <xf numFmtId="0" fontId="80" fillId="0" borderId="0"/>
    <xf numFmtId="0" fontId="1" fillId="0" borderId="0"/>
    <xf numFmtId="0" fontId="39" fillId="0" borderId="0"/>
    <xf numFmtId="0" fontId="8" fillId="0" borderId="0"/>
    <xf numFmtId="0" fontId="62" fillId="0" borderId="0" applyNumberFormat="0" applyFill="0" applyBorder="0" applyAlignment="0" applyProtection="0"/>
    <xf numFmtId="0" fontId="92" fillId="0" borderId="0" applyNumberFormat="0" applyFill="0" applyBorder="0" applyAlignment="0" applyProtection="0"/>
    <xf numFmtId="0" fontId="211" fillId="0" borderId="0"/>
    <xf numFmtId="0" fontId="8" fillId="0" borderId="0"/>
    <xf numFmtId="0" fontId="39" fillId="0" borderId="0"/>
    <xf numFmtId="0" fontId="66" fillId="0" borderId="0"/>
    <xf numFmtId="0" fontId="8" fillId="0" borderId="0"/>
    <xf numFmtId="0" fontId="8" fillId="0" borderId="0"/>
    <xf numFmtId="0" fontId="1" fillId="0" borderId="0"/>
    <xf numFmtId="0" fontId="1" fillId="0" borderId="0"/>
    <xf numFmtId="0" fontId="244" fillId="0" borderId="0"/>
    <xf numFmtId="0" fontId="92" fillId="0" borderId="0" applyNumberFormat="0" applyFill="0" applyBorder="0" applyAlignment="0" applyProtection="0"/>
    <xf numFmtId="0" fontId="62" fillId="0" borderId="0" applyNumberFormat="0" applyFill="0" applyBorder="0" applyAlignment="0" applyProtection="0"/>
    <xf numFmtId="0" fontId="268" fillId="0" borderId="0" applyNumberFormat="0" applyFill="0" applyBorder="0" applyAlignment="0" applyProtection="0">
      <alignment vertical="top"/>
      <protection locked="0"/>
    </xf>
    <xf numFmtId="0" fontId="80" fillId="0" borderId="0"/>
    <xf numFmtId="0" fontId="299" fillId="0" borderId="0"/>
    <xf numFmtId="0" fontId="8" fillId="0" borderId="0"/>
    <xf numFmtId="0" fontId="299" fillId="0" borderId="0"/>
    <xf numFmtId="0" fontId="268" fillId="0" borderId="0" applyNumberFormat="0" applyFill="0" applyBorder="0" applyAlignment="0" applyProtection="0">
      <alignment vertical="top"/>
      <protection locked="0"/>
    </xf>
    <xf numFmtId="0" fontId="388" fillId="0" borderId="0"/>
    <xf numFmtId="0" fontId="1" fillId="0" borderId="0"/>
    <xf numFmtId="0" fontId="268" fillId="0" borderId="0" applyNumberFormat="0" applyFill="0" applyBorder="0" applyAlignment="0" applyProtection="0">
      <alignment vertical="top"/>
      <protection locked="0"/>
    </xf>
    <xf numFmtId="0" fontId="299" fillId="0" borderId="0"/>
    <xf numFmtId="0" fontId="1" fillId="0" borderId="0"/>
    <xf numFmtId="0" fontId="1" fillId="0" borderId="0"/>
  </cellStyleXfs>
  <cellXfs count="8569">
    <xf numFmtId="0" fontId="0" fillId="0" borderId="0" xfId="0"/>
    <xf numFmtId="0" fontId="1" fillId="0" borderId="0" xfId="1" applyAlignment="1">
      <alignment vertical="center"/>
    </xf>
    <xf numFmtId="0" fontId="1" fillId="0" borderId="0" xfId="1"/>
    <xf numFmtId="0" fontId="1" fillId="0" borderId="0" xfId="2" applyFont="1"/>
    <xf numFmtId="0" fontId="1" fillId="0" borderId="0" xfId="3"/>
    <xf numFmtId="0" fontId="7" fillId="2" borderId="0" xfId="1" applyFont="1" applyFill="1" applyAlignment="1">
      <alignment horizontal="center" vertical="center"/>
    </xf>
    <xf numFmtId="0" fontId="1" fillId="0" borderId="0" xfId="0" applyFont="1" applyAlignment="1">
      <alignment horizontal="left" vertical="center"/>
    </xf>
    <xf numFmtId="0" fontId="5" fillId="3" borderId="0" xfId="1" applyFont="1" applyFill="1" applyAlignment="1">
      <alignment horizontal="center" vertical="center"/>
    </xf>
    <xf numFmtId="0" fontId="0" fillId="3" borderId="0" xfId="0" applyFill="1" applyAlignment="1">
      <alignment vertical="center"/>
    </xf>
    <xf numFmtId="0" fontId="2" fillId="4" borderId="0" xfId="4" applyFont="1" applyFill="1" applyAlignment="1">
      <alignment horizontal="center" vertical="center"/>
    </xf>
    <xf numFmtId="0" fontId="9" fillId="5" borderId="0" xfId="1" applyFont="1" applyFill="1" applyAlignment="1">
      <alignment horizontal="center" vertical="center"/>
    </xf>
    <xf numFmtId="0" fontId="10" fillId="5" borderId="0" xfId="4" applyFont="1" applyFill="1" applyAlignment="1">
      <alignment horizontal="center" vertical="center"/>
    </xf>
    <xf numFmtId="0" fontId="5" fillId="6" borderId="1" xfId="4" applyFont="1" applyFill="1" applyBorder="1" applyAlignment="1" applyProtection="1">
      <alignment horizontal="center" vertical="center"/>
      <protection hidden="1"/>
    </xf>
    <xf numFmtId="0" fontId="0" fillId="0" borderId="2" xfId="0" applyBorder="1" applyAlignment="1">
      <alignment vertical="center"/>
    </xf>
    <xf numFmtId="0" fontId="5" fillId="6" borderId="3" xfId="4" applyFont="1" applyFill="1" applyBorder="1" applyAlignment="1" applyProtection="1">
      <alignment horizontal="center" vertical="center"/>
      <protection hidden="1"/>
    </xf>
    <xf numFmtId="0" fontId="9" fillId="7" borderId="0" xfId="4" applyFont="1" applyFill="1" applyAlignment="1">
      <alignment horizontal="center" vertical="center"/>
    </xf>
    <xf numFmtId="0" fontId="9" fillId="7" borderId="4" xfId="4" applyFont="1" applyFill="1" applyBorder="1" applyAlignment="1">
      <alignment horizontal="center" vertical="center"/>
    </xf>
    <xf numFmtId="0" fontId="9" fillId="7" borderId="0" xfId="5" applyFont="1" applyFill="1" applyAlignment="1">
      <alignment horizontal="center" vertical="center"/>
    </xf>
    <xf numFmtId="0" fontId="9" fillId="7" borderId="5" xfId="5" applyFont="1" applyFill="1" applyBorder="1" applyAlignment="1">
      <alignment horizontal="center" vertical="center"/>
    </xf>
    <xf numFmtId="0" fontId="9" fillId="7" borderId="6" xfId="5" applyFont="1" applyFill="1" applyBorder="1" applyAlignment="1">
      <alignment horizontal="center" vertical="center"/>
    </xf>
    <xf numFmtId="0" fontId="11" fillId="8" borderId="7" xfId="6" applyFont="1" applyFill="1" applyBorder="1" applyAlignment="1">
      <alignment horizontal="center" vertical="center"/>
    </xf>
    <xf numFmtId="165" fontId="13" fillId="9" borderId="8" xfId="4" applyNumberFormat="1" applyFont="1" applyFill="1" applyBorder="1" applyAlignment="1" applyProtection="1">
      <alignment horizontal="center" vertical="center"/>
      <protection hidden="1"/>
    </xf>
    <xf numFmtId="166" fontId="14" fillId="9" borderId="9" xfId="4" applyNumberFormat="1" applyFont="1" applyFill="1" applyBorder="1" applyAlignment="1" applyProtection="1">
      <alignment vertical="center"/>
      <protection hidden="1"/>
    </xf>
    <xf numFmtId="166" fontId="15" fillId="10" borderId="10" xfId="7" applyNumberFormat="1" applyFont="1" applyFill="1" applyBorder="1" applyAlignment="1">
      <alignment horizontal="center" vertical="center"/>
    </xf>
    <xf numFmtId="1" fontId="13" fillId="9" borderId="11" xfId="4" applyNumberFormat="1" applyFont="1" applyFill="1" applyBorder="1" applyAlignment="1">
      <alignment horizontal="left" vertical="center"/>
    </xf>
    <xf numFmtId="167" fontId="13" fillId="9" borderId="12" xfId="4" applyNumberFormat="1" applyFont="1" applyFill="1" applyBorder="1" applyAlignment="1">
      <alignment horizontal="center" vertical="center"/>
    </xf>
    <xf numFmtId="168" fontId="13" fillId="11" borderId="13" xfId="4" applyNumberFormat="1" applyFont="1" applyFill="1" applyBorder="1" applyAlignment="1">
      <alignment horizontal="center" vertical="center"/>
    </xf>
    <xf numFmtId="169" fontId="16" fillId="12" borderId="14" xfId="4" applyNumberFormat="1" applyFont="1" applyFill="1" applyBorder="1" applyAlignment="1">
      <alignment horizontal="center" vertical="center"/>
    </xf>
    <xf numFmtId="168" fontId="17" fillId="9" borderId="9" xfId="4" applyNumberFormat="1" applyFont="1" applyFill="1" applyBorder="1" applyAlignment="1">
      <alignment horizontal="center" vertical="center"/>
    </xf>
    <xf numFmtId="170" fontId="13" fillId="11" borderId="11" xfId="4" applyNumberFormat="1" applyFont="1" applyFill="1" applyBorder="1" applyAlignment="1">
      <alignment horizontal="center" vertical="center"/>
    </xf>
    <xf numFmtId="1" fontId="16" fillId="12" borderId="16" xfId="4" applyNumberFormat="1" applyFont="1" applyFill="1" applyBorder="1" applyAlignment="1" applyProtection="1">
      <alignment horizontal="center" vertical="center"/>
      <protection hidden="1"/>
    </xf>
    <xf numFmtId="0" fontId="19" fillId="12" borderId="17" xfId="4" applyFont="1" applyFill="1" applyBorder="1" applyAlignment="1">
      <alignment horizontal="left" vertical="center"/>
    </xf>
    <xf numFmtId="0" fontId="19" fillId="12" borderId="18" xfId="4" applyFont="1" applyFill="1" applyBorder="1" applyAlignment="1">
      <alignment horizontal="center" vertical="center"/>
    </xf>
    <xf numFmtId="0" fontId="20" fillId="0" borderId="19" xfId="4" applyFont="1" applyBorder="1" applyAlignment="1">
      <alignment horizontal="left" vertical="center"/>
    </xf>
    <xf numFmtId="0" fontId="22" fillId="9" borderId="20" xfId="4" applyFont="1" applyFill="1" applyBorder="1" applyAlignment="1" applyProtection="1">
      <alignment horizontal="center" vertical="center"/>
      <protection hidden="1"/>
    </xf>
    <xf numFmtId="1" fontId="21" fillId="12" borderId="9" xfId="4" applyNumberFormat="1" applyFont="1" applyFill="1" applyBorder="1" applyAlignment="1">
      <alignment horizontal="center" vertical="center"/>
    </xf>
    <xf numFmtId="0" fontId="23" fillId="5" borderId="9" xfId="8" applyFont="1" applyFill="1" applyBorder="1" applyAlignment="1">
      <alignment horizontal="center" vertical="center"/>
    </xf>
    <xf numFmtId="1" fontId="24" fillId="12" borderId="9" xfId="4" applyNumberFormat="1" applyFont="1" applyFill="1" applyBorder="1" applyAlignment="1">
      <alignment horizontal="center" vertical="center"/>
    </xf>
    <xf numFmtId="164" fontId="24" fillId="13" borderId="21" xfId="4" applyNumberFormat="1" applyFont="1" applyFill="1" applyBorder="1" applyAlignment="1">
      <alignment horizontal="center" vertical="center"/>
    </xf>
    <xf numFmtId="0" fontId="25" fillId="14" borderId="22" xfId="9" applyFont="1" applyFill="1" applyBorder="1" applyAlignment="1">
      <alignment horizontal="right" vertical="center"/>
    </xf>
    <xf numFmtId="0" fontId="25" fillId="14" borderId="0" xfId="9" applyFont="1" applyFill="1" applyAlignment="1">
      <alignment horizontal="right" vertical="center"/>
    </xf>
    <xf numFmtId="0" fontId="25" fillId="14" borderId="0" xfId="9" applyFont="1" applyFill="1" applyAlignment="1">
      <alignment horizontal="left" vertical="center"/>
    </xf>
    <xf numFmtId="0" fontId="26" fillId="15" borderId="7" xfId="6" applyFont="1" applyFill="1" applyBorder="1" applyAlignment="1">
      <alignment horizontal="center" vertical="center"/>
    </xf>
    <xf numFmtId="0" fontId="27" fillId="7" borderId="0" xfId="0" applyFont="1" applyFill="1" applyAlignment="1">
      <alignment horizontal="left" vertical="center"/>
    </xf>
    <xf numFmtId="0" fontId="28" fillId="16" borderId="0" xfId="0" applyFont="1" applyFill="1" applyAlignment="1">
      <alignment horizontal="center" vertical="center"/>
    </xf>
    <xf numFmtId="0" fontId="27" fillId="7" borderId="0" xfId="0" applyFont="1" applyFill="1" applyAlignment="1">
      <alignment horizontal="center" vertical="center"/>
    </xf>
    <xf numFmtId="164" fontId="12" fillId="7" borderId="23" xfId="0" applyNumberFormat="1" applyFont="1" applyFill="1" applyBorder="1" applyAlignment="1">
      <alignment horizontal="center" vertical="center"/>
    </xf>
    <xf numFmtId="165" fontId="13" fillId="17" borderId="4" xfId="4" applyNumberFormat="1" applyFont="1" applyFill="1" applyBorder="1" applyAlignment="1" applyProtection="1">
      <alignment horizontal="center" vertical="center"/>
      <protection hidden="1"/>
    </xf>
    <xf numFmtId="166" fontId="14" fillId="17" borderId="0" xfId="4" applyNumberFormat="1" applyFont="1" applyFill="1" applyAlignment="1" applyProtection="1">
      <alignment vertical="center"/>
      <protection hidden="1"/>
    </xf>
    <xf numFmtId="0" fontId="13" fillId="18" borderId="24" xfId="4" applyFont="1" applyFill="1" applyBorder="1" applyAlignment="1">
      <alignment horizontal="left" vertical="center"/>
    </xf>
    <xf numFmtId="167" fontId="13" fillId="18" borderId="25" xfId="4" applyNumberFormat="1" applyFont="1" applyFill="1" applyBorder="1" applyAlignment="1">
      <alignment horizontal="center" vertical="center"/>
    </xf>
    <xf numFmtId="168" fontId="13" fillId="19" borderId="26" xfId="4" applyNumberFormat="1" applyFont="1" applyFill="1" applyBorder="1" applyAlignment="1">
      <alignment horizontal="center" vertical="center"/>
    </xf>
    <xf numFmtId="169" fontId="16" fillId="12" borderId="27" xfId="4" applyNumberFormat="1" applyFont="1" applyFill="1" applyBorder="1" applyAlignment="1">
      <alignment horizontal="center" vertical="center"/>
    </xf>
    <xf numFmtId="168" fontId="17" fillId="17" borderId="28" xfId="4" applyNumberFormat="1" applyFont="1" applyFill="1" applyBorder="1" applyAlignment="1">
      <alignment horizontal="center" vertical="center"/>
    </xf>
    <xf numFmtId="170" fontId="13" fillId="19" borderId="29" xfId="4" applyNumberFormat="1" applyFont="1" applyFill="1" applyBorder="1" applyAlignment="1">
      <alignment horizontal="center" vertical="center"/>
    </xf>
    <xf numFmtId="1" fontId="21" fillId="12" borderId="20" xfId="4" applyNumberFormat="1" applyFont="1" applyFill="1" applyBorder="1" applyAlignment="1">
      <alignment horizontal="center" vertical="center"/>
    </xf>
    <xf numFmtId="0" fontId="29" fillId="9" borderId="0" xfId="10" applyFont="1" applyFill="1" applyAlignment="1" applyProtection="1">
      <alignment horizontal="center" vertical="center"/>
      <protection locked="0"/>
    </xf>
    <xf numFmtId="0" fontId="30" fillId="9" borderId="0" xfId="0" applyFont="1" applyFill="1" applyAlignment="1">
      <alignment vertical="center"/>
    </xf>
    <xf numFmtId="0" fontId="31" fillId="9" borderId="0" xfId="0" applyFont="1" applyFill="1" applyAlignment="1">
      <alignment vertical="center"/>
    </xf>
    <xf numFmtId="0" fontId="32" fillId="9" borderId="0" xfId="0" applyFont="1" applyFill="1" applyAlignment="1">
      <alignment vertical="center"/>
    </xf>
    <xf numFmtId="0" fontId="33" fillId="9" borderId="0" xfId="0" applyFont="1" applyFill="1" applyAlignment="1">
      <alignment vertical="center"/>
    </xf>
    <xf numFmtId="0" fontId="34" fillId="9" borderId="0" xfId="0" applyFont="1" applyFill="1" applyAlignment="1">
      <alignment vertical="center"/>
    </xf>
    <xf numFmtId="0" fontId="1" fillId="9" borderId="0" xfId="2" applyFont="1" applyFill="1" applyAlignment="1">
      <alignment vertical="center"/>
    </xf>
    <xf numFmtId="0" fontId="35" fillId="9" borderId="0" xfId="0" applyFont="1" applyFill="1" applyAlignment="1">
      <alignment vertical="center"/>
    </xf>
    <xf numFmtId="0" fontId="36" fillId="9" borderId="0" xfId="0" applyFont="1" applyFill="1" applyAlignment="1">
      <alignment vertical="center"/>
    </xf>
    <xf numFmtId="0" fontId="37" fillId="9" borderId="0" xfId="0" applyFont="1" applyFill="1" applyAlignment="1">
      <alignment vertical="center"/>
    </xf>
    <xf numFmtId="0" fontId="1" fillId="0" borderId="0" xfId="11"/>
    <xf numFmtId="0" fontId="13" fillId="5" borderId="3" xfId="4" applyFont="1" applyFill="1" applyBorder="1" applyAlignment="1" applyProtection="1">
      <alignment horizontal="center" vertical="center"/>
      <protection hidden="1"/>
    </xf>
    <xf numFmtId="0" fontId="13" fillId="5" borderId="1" xfId="4" applyFont="1" applyFill="1" applyBorder="1" applyAlignment="1" applyProtection="1">
      <alignment horizontal="center" vertical="center"/>
      <protection hidden="1"/>
    </xf>
    <xf numFmtId="0" fontId="13" fillId="5" borderId="30" xfId="4" applyFont="1" applyFill="1" applyBorder="1" applyAlignment="1" applyProtection="1">
      <alignment horizontal="center" vertical="center"/>
      <protection hidden="1"/>
    </xf>
    <xf numFmtId="0" fontId="9" fillId="20" borderId="31" xfId="4" applyFont="1" applyFill="1" applyBorder="1" applyAlignment="1">
      <alignment horizontal="center" vertical="center"/>
    </xf>
    <xf numFmtId="0" fontId="9" fillId="20" borderId="32" xfId="4" applyFont="1" applyFill="1" applyBorder="1" applyAlignment="1">
      <alignment horizontal="center" vertical="center"/>
    </xf>
    <xf numFmtId="0" fontId="9" fillId="20" borderId="33" xfId="4" applyFont="1" applyFill="1" applyBorder="1" applyAlignment="1">
      <alignment horizontal="center" vertical="center"/>
    </xf>
    <xf numFmtId="0" fontId="38" fillId="21" borderId="34" xfId="0" applyFont="1" applyFill="1" applyBorder="1" applyAlignment="1">
      <alignment horizontal="right" vertical="center"/>
    </xf>
    <xf numFmtId="0" fontId="38" fillId="21" borderId="35" xfId="0" applyFont="1" applyFill="1" applyBorder="1" applyAlignment="1">
      <alignment horizontal="right" vertical="center"/>
    </xf>
    <xf numFmtId="0" fontId="38" fillId="21" borderId="35" xfId="1" applyFont="1" applyFill="1" applyBorder="1" applyAlignment="1">
      <alignment horizontal="left" vertical="center"/>
    </xf>
    <xf numFmtId="0" fontId="40" fillId="22" borderId="35" xfId="12" applyFont="1" applyFill="1" applyBorder="1" applyAlignment="1">
      <alignment horizontal="right" vertical="center"/>
    </xf>
    <xf numFmtId="0" fontId="14" fillId="9" borderId="0" xfId="0" applyFont="1" applyFill="1" applyAlignment="1">
      <alignment vertical="center"/>
    </xf>
    <xf numFmtId="0" fontId="41" fillId="23" borderId="0" xfId="12" applyFont="1" applyFill="1" applyAlignment="1">
      <alignment horizontal="center" vertical="center"/>
    </xf>
    <xf numFmtId="0" fontId="10" fillId="9" borderId="2" xfId="0" applyFont="1" applyFill="1" applyBorder="1" applyAlignment="1">
      <alignment horizontal="center" vertical="center"/>
    </xf>
    <xf numFmtId="0" fontId="38" fillId="21" borderId="4" xfId="0" applyFont="1" applyFill="1" applyBorder="1" applyAlignment="1">
      <alignment horizontal="right" vertical="center"/>
    </xf>
    <xf numFmtId="0" fontId="38" fillId="21" borderId="0" xfId="0" applyFont="1" applyFill="1" applyAlignment="1">
      <alignment horizontal="right" vertical="center"/>
    </xf>
    <xf numFmtId="0" fontId="38" fillId="21" borderId="0" xfId="1" applyFont="1" applyFill="1" applyAlignment="1">
      <alignment horizontal="left" vertical="center"/>
    </xf>
    <xf numFmtId="0" fontId="40" fillId="22" borderId="0" xfId="12" applyFont="1" applyFill="1" applyAlignment="1">
      <alignment horizontal="right" vertical="center"/>
    </xf>
    <xf numFmtId="172" fontId="42" fillId="24" borderId="0" xfId="12" applyNumberFormat="1" applyFont="1" applyFill="1" applyAlignment="1">
      <alignment horizontal="center" vertical="center"/>
    </xf>
    <xf numFmtId="0" fontId="38" fillId="21" borderId="0" xfId="0" applyFont="1" applyFill="1" applyAlignment="1">
      <alignment horizontal="left" vertical="center"/>
    </xf>
    <xf numFmtId="172" fontId="43" fillId="24" borderId="0" xfId="12" applyNumberFormat="1" applyFont="1" applyFill="1" applyAlignment="1">
      <alignment horizontal="left" vertical="center"/>
    </xf>
    <xf numFmtId="0" fontId="38" fillId="25" borderId="4" xfId="0" applyFont="1" applyFill="1" applyBorder="1" applyAlignment="1">
      <alignment horizontal="right" vertical="center"/>
    </xf>
    <xf numFmtId="0" fontId="38" fillId="25" borderId="0" xfId="0" applyFont="1" applyFill="1" applyAlignment="1">
      <alignment horizontal="right" vertical="center"/>
    </xf>
    <xf numFmtId="0" fontId="38" fillId="25" borderId="0" xfId="1" applyFont="1" applyFill="1" applyAlignment="1">
      <alignment horizontal="left" vertical="center"/>
    </xf>
    <xf numFmtId="0" fontId="40" fillId="26" borderId="0" xfId="12" applyFont="1" applyFill="1" applyAlignment="1">
      <alignment horizontal="right" vertical="center"/>
    </xf>
    <xf numFmtId="0" fontId="9" fillId="5" borderId="0" xfId="4" applyFont="1" applyFill="1" applyAlignment="1">
      <alignment horizontal="center" vertical="center"/>
    </xf>
    <xf numFmtId="0" fontId="38" fillId="25" borderId="0" xfId="0" applyFont="1" applyFill="1" applyAlignment="1">
      <alignment horizontal="left" vertical="center"/>
    </xf>
    <xf numFmtId="0" fontId="9" fillId="27" borderId="3" xfId="4" applyFont="1" applyFill="1" applyBorder="1" applyAlignment="1">
      <alignment horizontal="center" vertical="center"/>
    </xf>
    <xf numFmtId="0" fontId="9" fillId="27" borderId="1" xfId="4" applyFont="1" applyFill="1" applyBorder="1" applyAlignment="1">
      <alignment horizontal="center" vertical="center"/>
    </xf>
    <xf numFmtId="0" fontId="9" fillId="27" borderId="30" xfId="4" applyFont="1" applyFill="1" applyBorder="1" applyAlignment="1">
      <alignment horizontal="center" vertical="center"/>
    </xf>
    <xf numFmtId="0" fontId="1" fillId="9" borderId="4" xfId="1" applyFill="1" applyBorder="1"/>
    <xf numFmtId="0" fontId="1" fillId="9" borderId="0" xfId="1" applyFill="1"/>
    <xf numFmtId="0" fontId="1" fillId="9" borderId="2" xfId="1" applyFill="1" applyBorder="1"/>
    <xf numFmtId="0" fontId="39" fillId="9" borderId="2" xfId="1" applyFont="1" applyFill="1" applyBorder="1" applyAlignment="1">
      <alignment vertical="center"/>
    </xf>
    <xf numFmtId="0" fontId="44" fillId="25" borderId="4" xfId="0" applyFont="1" applyFill="1" applyBorder="1" applyAlignment="1">
      <alignment horizontal="right" vertical="center"/>
    </xf>
    <xf numFmtId="0" fontId="1" fillId="9" borderId="4" xfId="1" applyFill="1" applyBorder="1" applyAlignment="1">
      <alignment vertical="center"/>
    </xf>
    <xf numFmtId="0" fontId="1" fillId="9" borderId="0" xfId="1" applyFill="1" applyAlignment="1">
      <alignment vertical="center"/>
    </xf>
    <xf numFmtId="0" fontId="1" fillId="9" borderId="2" xfId="1" applyFill="1" applyBorder="1" applyAlignment="1">
      <alignment vertical="center"/>
    </xf>
    <xf numFmtId="0" fontId="45" fillId="9" borderId="0" xfId="0" applyFont="1" applyFill="1" applyAlignment="1">
      <alignment horizontal="left" vertical="center"/>
    </xf>
    <xf numFmtId="0" fontId="48" fillId="9" borderId="4" xfId="4" applyFont="1" applyFill="1" applyBorder="1" applyAlignment="1">
      <alignment horizontal="center" vertical="center"/>
    </xf>
    <xf numFmtId="0" fontId="48" fillId="9" borderId="0" xfId="4" applyFont="1" applyFill="1" applyAlignment="1">
      <alignment horizontal="center" vertical="center"/>
    </xf>
    <xf numFmtId="0" fontId="49" fillId="9" borderId="0" xfId="4" applyFont="1" applyFill="1" applyAlignment="1">
      <alignment horizontal="left" vertical="center"/>
    </xf>
    <xf numFmtId="0" fontId="39" fillId="9" borderId="4" xfId="1" applyFont="1" applyFill="1" applyBorder="1" applyAlignment="1">
      <alignment vertical="center"/>
    </xf>
    <xf numFmtId="0" fontId="39" fillId="9" borderId="0" xfId="1" applyFont="1" applyFill="1" applyAlignment="1">
      <alignment vertical="center"/>
    </xf>
    <xf numFmtId="0" fontId="51" fillId="28" borderId="0" xfId="13" applyFont="1" applyFill="1" applyAlignment="1">
      <alignment horizontal="center" vertical="center"/>
    </xf>
    <xf numFmtId="0" fontId="17" fillId="28" borderId="2" xfId="1" applyFont="1" applyFill="1" applyBorder="1" applyAlignment="1">
      <alignment horizontal="left" vertical="center"/>
    </xf>
    <xf numFmtId="0" fontId="51" fillId="9" borderId="4" xfId="13" applyFont="1" applyFill="1" applyBorder="1" applyAlignment="1">
      <alignment horizontal="center" vertical="center"/>
    </xf>
    <xf numFmtId="0" fontId="51" fillId="9" borderId="0" xfId="13" applyFont="1" applyFill="1" applyAlignment="1">
      <alignment horizontal="center" vertical="center"/>
    </xf>
    <xf numFmtId="0" fontId="17" fillId="28" borderId="0" xfId="1" applyFont="1" applyFill="1" applyAlignment="1">
      <alignment horizontal="left" vertical="center"/>
    </xf>
    <xf numFmtId="0" fontId="45" fillId="28" borderId="2" xfId="1" applyFont="1" applyFill="1" applyBorder="1" applyAlignment="1">
      <alignment horizontal="left" vertical="center"/>
    </xf>
    <xf numFmtId="0" fontId="52" fillId="15" borderId="2" xfId="6" applyFont="1" applyFill="1" applyBorder="1" applyAlignment="1">
      <alignment horizontal="center" vertical="center"/>
    </xf>
    <xf numFmtId="0" fontId="44" fillId="25" borderId="0" xfId="0" applyFont="1" applyFill="1" applyAlignment="1">
      <alignment horizontal="left" vertical="center"/>
    </xf>
    <xf numFmtId="0" fontId="51" fillId="0" borderId="2" xfId="13" applyFont="1" applyBorder="1" applyAlignment="1">
      <alignment horizontal="center" vertical="center"/>
    </xf>
    <xf numFmtId="0" fontId="23" fillId="5" borderId="4" xfId="0" applyFont="1" applyFill="1" applyBorder="1" applyAlignment="1">
      <alignment vertical="center" wrapText="1"/>
    </xf>
    <xf numFmtId="0" fontId="53" fillId="5" borderId="0" xfId="0" applyFont="1" applyFill="1" applyAlignment="1">
      <alignment horizontal="right" vertical="center"/>
    </xf>
    <xf numFmtId="0" fontId="27" fillId="5" borderId="0" xfId="0" applyFont="1" applyFill="1" applyAlignment="1">
      <alignment horizontal="right" vertical="center"/>
    </xf>
    <xf numFmtId="0" fontId="53" fillId="5" borderId="0" xfId="10" applyFont="1" applyFill="1" applyAlignment="1" applyProtection="1">
      <alignment horizontal="center" vertical="center"/>
      <protection locked="0"/>
    </xf>
    <xf numFmtId="0" fontId="17" fillId="5" borderId="0" xfId="5" applyFont="1" applyFill="1" applyAlignment="1">
      <alignment horizontal="center" vertical="center"/>
    </xf>
    <xf numFmtId="0" fontId="54" fillId="30" borderId="0" xfId="12" applyFont="1" applyFill="1" applyAlignment="1">
      <alignment horizontal="center" vertical="center"/>
    </xf>
    <xf numFmtId="172" fontId="4" fillId="5" borderId="2" xfId="1" applyNumberFormat="1" applyFont="1" applyFill="1" applyBorder="1" applyAlignment="1">
      <alignment horizontal="center" vertical="center" wrapText="1"/>
    </xf>
    <xf numFmtId="0" fontId="23" fillId="5" borderId="4" xfId="0" applyFont="1" applyFill="1" applyBorder="1" applyAlignment="1">
      <alignment vertical="center"/>
    </xf>
    <xf numFmtId="0" fontId="23" fillId="5" borderId="0" xfId="0" applyFont="1" applyFill="1" applyAlignment="1">
      <alignment vertical="center"/>
    </xf>
    <xf numFmtId="0" fontId="3" fillId="0" borderId="0" xfId="1" applyFont="1" applyAlignment="1">
      <alignment horizontal="left" vertical="center"/>
    </xf>
    <xf numFmtId="0" fontId="55" fillId="5" borderId="2" xfId="0" applyFont="1" applyFill="1" applyBorder="1" applyAlignment="1">
      <alignment horizontal="center" vertical="center" wrapText="1"/>
    </xf>
    <xf numFmtId="0" fontId="56" fillId="31" borderId="4" xfId="1" applyFont="1" applyFill="1" applyBorder="1" applyAlignment="1">
      <alignment vertical="center"/>
    </xf>
    <xf numFmtId="0" fontId="56" fillId="31" borderId="0" xfId="1" applyFont="1" applyFill="1" applyAlignment="1">
      <alignment vertical="center"/>
    </xf>
    <xf numFmtId="0" fontId="57" fillId="31" borderId="2" xfId="1" applyFont="1" applyFill="1" applyBorder="1" applyAlignment="1">
      <alignment vertical="center"/>
    </xf>
    <xf numFmtId="172" fontId="10" fillId="31" borderId="4" xfId="0" applyNumberFormat="1" applyFont="1" applyFill="1" applyBorder="1" applyAlignment="1">
      <alignment horizontal="center" vertical="center"/>
    </xf>
    <xf numFmtId="0" fontId="13" fillId="31" borderId="0" xfId="0" applyFont="1" applyFill="1" applyAlignment="1">
      <alignment horizontal="right" vertical="center"/>
    </xf>
    <xf numFmtId="0" fontId="13" fillId="31" borderId="0" xfId="0" applyFont="1" applyFill="1"/>
    <xf numFmtId="0" fontId="58" fillId="31" borderId="0" xfId="10" applyFont="1" applyFill="1" applyAlignment="1" applyProtection="1">
      <alignment horizontal="center" vertical="center"/>
      <protection locked="0"/>
    </xf>
    <xf numFmtId="0" fontId="2" fillId="31" borderId="0" xfId="4" applyFont="1" applyFill="1" applyAlignment="1">
      <alignment horizontal="left" vertical="center"/>
    </xf>
    <xf numFmtId="172" fontId="10" fillId="31" borderId="0" xfId="0" applyNumberFormat="1" applyFont="1" applyFill="1" applyAlignment="1">
      <alignment horizontal="center" vertical="center"/>
    </xf>
    <xf numFmtId="0" fontId="44" fillId="31" borderId="2" xfId="1" applyFont="1" applyFill="1" applyBorder="1" applyAlignment="1">
      <alignment horizontal="left" vertical="center"/>
    </xf>
    <xf numFmtId="0" fontId="9" fillId="5" borderId="2" xfId="4" applyFont="1" applyFill="1" applyBorder="1" applyAlignment="1">
      <alignment horizontal="center" vertical="center"/>
    </xf>
    <xf numFmtId="0" fontId="0" fillId="9" borderId="0" xfId="0" applyFill="1"/>
    <xf numFmtId="0" fontId="59" fillId="31" borderId="0" xfId="1" applyFont="1" applyFill="1" applyAlignment="1">
      <alignment horizontal="right" vertical="center"/>
    </xf>
    <xf numFmtId="0" fontId="10" fillId="31" borderId="0" xfId="4" applyFont="1" applyFill="1" applyAlignment="1">
      <alignment vertical="center" wrapText="1"/>
    </xf>
    <xf numFmtId="0" fontId="10" fillId="31" borderId="0" xfId="4" applyFont="1" applyFill="1" applyAlignment="1">
      <alignment horizontal="left" vertical="center"/>
    </xf>
    <xf numFmtId="0" fontId="60" fillId="0" borderId="0" xfId="4" applyFont="1" applyAlignment="1" applyProtection="1">
      <alignment horizontal="left" vertical="center"/>
      <protection locked="0"/>
    </xf>
    <xf numFmtId="0" fontId="61" fillId="32" borderId="37" xfId="13" applyFont="1" applyFill="1" applyBorder="1" applyAlignment="1">
      <alignment horizontal="center" vertical="center"/>
    </xf>
    <xf numFmtId="0" fontId="0" fillId="9" borderId="0" xfId="0" applyFill="1" applyAlignment="1">
      <alignment vertical="center"/>
    </xf>
    <xf numFmtId="0" fontId="62" fillId="0" borderId="0" xfId="14" applyAlignment="1">
      <alignment vertical="center"/>
    </xf>
    <xf numFmtId="0" fontId="13" fillId="31" borderId="4" xfId="0" applyFont="1" applyFill="1" applyBorder="1"/>
    <xf numFmtId="0" fontId="56" fillId="31" borderId="0" xfId="0" applyFont="1" applyFill="1" applyAlignment="1">
      <alignment horizontal="center" vertical="center"/>
    </xf>
    <xf numFmtId="0" fontId="12" fillId="31" borderId="0" xfId="1" applyFont="1" applyFill="1" applyAlignment="1">
      <alignment horizontal="right" vertical="center"/>
    </xf>
    <xf numFmtId="0" fontId="53" fillId="7" borderId="0" xfId="10" applyFont="1" applyFill="1" applyAlignment="1" applyProtection="1">
      <alignment horizontal="center" vertical="center"/>
      <protection locked="0"/>
    </xf>
    <xf numFmtId="0" fontId="53" fillId="7" borderId="2" xfId="10" applyFont="1" applyFill="1" applyBorder="1" applyAlignment="1" applyProtection="1">
      <alignment horizontal="center" vertical="center"/>
      <protection locked="0"/>
    </xf>
    <xf numFmtId="0" fontId="1" fillId="0" borderId="2" xfId="1" applyBorder="1"/>
    <xf numFmtId="0" fontId="65" fillId="9" borderId="0" xfId="0" applyFont="1" applyFill="1" applyAlignment="1">
      <alignment vertical="center"/>
    </xf>
    <xf numFmtId="0" fontId="1" fillId="9" borderId="0" xfId="1" applyFill="1" applyAlignment="1">
      <alignment horizontal="left" vertical="center"/>
    </xf>
    <xf numFmtId="0" fontId="14" fillId="11" borderId="2" xfId="15" applyFont="1" applyFill="1" applyBorder="1" applyAlignment="1" applyProtection="1">
      <alignment horizontal="left" vertical="center"/>
      <protection locked="0"/>
    </xf>
    <xf numFmtId="0" fontId="51" fillId="7" borderId="0" xfId="1" applyFont="1" applyFill="1" applyAlignment="1">
      <alignment horizontal="centerContinuous" vertical="center"/>
    </xf>
    <xf numFmtId="0" fontId="10" fillId="7" borderId="2" xfId="1" applyFont="1" applyFill="1" applyBorder="1" applyAlignment="1">
      <alignment horizontal="center" vertical="center"/>
    </xf>
    <xf numFmtId="0" fontId="14" fillId="9" borderId="2" xfId="16" applyFont="1" applyFill="1" applyBorder="1" applyAlignment="1">
      <alignment horizontal="right" vertical="center"/>
    </xf>
    <xf numFmtId="0" fontId="1" fillId="7" borderId="0" xfId="1" applyFill="1" applyAlignment="1">
      <alignment vertical="center"/>
    </xf>
    <xf numFmtId="0" fontId="9" fillId="7" borderId="2" xfId="2" applyFont="1" applyFill="1" applyBorder="1" applyAlignment="1">
      <alignment horizontal="left" vertical="center"/>
    </xf>
    <xf numFmtId="0" fontId="68" fillId="7" borderId="0" xfId="10" applyFont="1" applyFill="1" applyAlignment="1" applyProtection="1">
      <alignment horizontal="center" vertical="center"/>
      <protection locked="0"/>
    </xf>
    <xf numFmtId="0" fontId="69" fillId="29" borderId="0" xfId="10" applyFont="1" applyFill="1" applyAlignment="1" applyProtection="1">
      <alignment horizontal="center" vertical="center"/>
      <protection locked="0"/>
    </xf>
    <xf numFmtId="0" fontId="10" fillId="7" borderId="0" xfId="1" applyFont="1" applyFill="1" applyAlignment="1">
      <alignment horizontal="center" vertical="center"/>
    </xf>
    <xf numFmtId="0" fontId="70" fillId="7" borderId="2" xfId="2" applyFont="1" applyFill="1" applyBorder="1" applyAlignment="1">
      <alignment horizontal="right" vertical="center" wrapText="1"/>
    </xf>
    <xf numFmtId="0" fontId="71" fillId="34" borderId="0" xfId="1" applyFont="1" applyFill="1" applyAlignment="1">
      <alignment horizontal="center" vertical="center"/>
    </xf>
    <xf numFmtId="0" fontId="13" fillId="7" borderId="0" xfId="1" applyFont="1" applyFill="1" applyAlignment="1">
      <alignment vertical="center"/>
    </xf>
    <xf numFmtId="0" fontId="13" fillId="7" borderId="2" xfId="1" applyFont="1" applyFill="1" applyBorder="1" applyAlignment="1">
      <alignment vertical="center"/>
    </xf>
    <xf numFmtId="0" fontId="57" fillId="34" borderId="0" xfId="1" applyFont="1" applyFill="1" applyAlignment="1">
      <alignment horizontal="center" vertical="center"/>
    </xf>
    <xf numFmtId="0" fontId="13" fillId="9" borderId="0" xfId="17" applyFont="1" applyFill="1" applyAlignment="1">
      <alignment horizontal="center" vertical="center"/>
    </xf>
    <xf numFmtId="0" fontId="74" fillId="36" borderId="39" xfId="4" applyFont="1" applyFill="1" applyBorder="1" applyAlignment="1" applyProtection="1">
      <alignment horizontal="left" vertical="center"/>
      <protection locked="0"/>
    </xf>
    <xf numFmtId="0" fontId="74" fillId="36" borderId="40" xfId="4" applyFont="1" applyFill="1" applyBorder="1" applyAlignment="1" applyProtection="1">
      <alignment horizontal="left" vertical="center"/>
      <protection locked="0"/>
    </xf>
    <xf numFmtId="0" fontId="74" fillId="36" borderId="41" xfId="4" applyFont="1" applyFill="1" applyBorder="1" applyAlignment="1" applyProtection="1">
      <alignment horizontal="left" vertical="center"/>
      <protection locked="0"/>
    </xf>
    <xf numFmtId="0" fontId="75" fillId="9" borderId="4" xfId="4" applyFont="1" applyFill="1" applyBorder="1" applyAlignment="1">
      <alignment horizontal="center" vertical="center"/>
    </xf>
    <xf numFmtId="0" fontId="75" fillId="9" borderId="0" xfId="4" applyFont="1" applyFill="1" applyAlignment="1">
      <alignment horizontal="center" vertical="center"/>
    </xf>
    <xf numFmtId="0" fontId="77" fillId="0" borderId="4" xfId="4" applyFont="1" applyBorder="1" applyAlignment="1" applyProtection="1">
      <alignment horizontal="left" vertical="center"/>
      <protection locked="0"/>
    </xf>
    <xf numFmtId="0" fontId="77" fillId="0" borderId="0" xfId="4" applyFont="1" applyAlignment="1" applyProtection="1">
      <alignment horizontal="left" vertical="center"/>
      <protection locked="0"/>
    </xf>
    <xf numFmtId="0" fontId="77" fillId="0" borderId="2" xfId="4" applyFont="1" applyBorder="1" applyAlignment="1" applyProtection="1">
      <alignment horizontal="left" vertical="center"/>
      <protection locked="0"/>
    </xf>
    <xf numFmtId="0" fontId="13" fillId="9" borderId="0" xfId="17" applyFont="1" applyFill="1" applyAlignment="1">
      <alignment horizontal="left" vertical="center"/>
    </xf>
    <xf numFmtId="0" fontId="47" fillId="9" borderId="0" xfId="1" applyFont="1" applyFill="1" applyAlignment="1">
      <alignment vertical="center"/>
    </xf>
    <xf numFmtId="0" fontId="72" fillId="9" borderId="2" xfId="18" applyFont="1" applyFill="1" applyBorder="1" applyAlignment="1">
      <alignment vertical="center"/>
    </xf>
    <xf numFmtId="0" fontId="45" fillId="9" borderId="2" xfId="18" applyFont="1" applyFill="1" applyBorder="1" applyAlignment="1">
      <alignment vertical="center"/>
    </xf>
    <xf numFmtId="0" fontId="23" fillId="32" borderId="43" xfId="13" applyFont="1" applyFill="1" applyBorder="1" applyAlignment="1">
      <alignment horizontal="center" vertical="center"/>
    </xf>
    <xf numFmtId="0" fontId="78" fillId="28" borderId="0" xfId="4" applyFont="1" applyFill="1" applyAlignment="1">
      <alignment horizontal="right" vertical="center"/>
    </xf>
    <xf numFmtId="0" fontId="13" fillId="28" borderId="0" xfId="17" applyFont="1" applyFill="1" applyAlignment="1">
      <alignment horizontal="center" vertical="center"/>
    </xf>
    <xf numFmtId="0" fontId="0" fillId="0" borderId="0" xfId="0" applyAlignment="1">
      <alignment vertical="center"/>
    </xf>
    <xf numFmtId="0" fontId="56" fillId="28" borderId="0" xfId="17" applyFont="1" applyFill="1" applyAlignment="1">
      <alignment horizontal="left" vertical="center"/>
    </xf>
    <xf numFmtId="0" fontId="45" fillId="37" borderId="0" xfId="1" applyFont="1" applyFill="1" applyAlignment="1">
      <alignment horizontal="center" vertical="center"/>
    </xf>
    <xf numFmtId="0" fontId="81" fillId="9" borderId="0" xfId="19" applyFont="1" applyFill="1" applyAlignment="1">
      <alignment horizontal="left" vertical="center"/>
    </xf>
    <xf numFmtId="0" fontId="60" fillId="7" borderId="0" xfId="16" applyFont="1" applyFill="1" applyAlignment="1">
      <alignment horizontal="right" vertical="center"/>
    </xf>
    <xf numFmtId="0" fontId="82" fillId="7" borderId="19" xfId="4" applyFont="1" applyFill="1" applyBorder="1" applyAlignment="1">
      <alignment horizontal="right" vertical="center"/>
    </xf>
    <xf numFmtId="168" fontId="78" fillId="7" borderId="0" xfId="10" applyNumberFormat="1" applyFont="1" applyFill="1" applyAlignment="1">
      <alignment vertical="center"/>
    </xf>
    <xf numFmtId="168" fontId="78" fillId="7" borderId="0" xfId="10" applyNumberFormat="1" applyFont="1" applyFill="1" applyAlignment="1">
      <alignment horizontal="right" vertical="center"/>
    </xf>
    <xf numFmtId="0" fontId="14" fillId="7" borderId="0" xfId="16" applyFont="1" applyFill="1" applyAlignment="1">
      <alignment horizontal="right" vertical="center"/>
    </xf>
    <xf numFmtId="0" fontId="38" fillId="38" borderId="0" xfId="9" applyFont="1" applyFill="1" applyAlignment="1">
      <alignment horizontal="right" vertical="center"/>
    </xf>
    <xf numFmtId="0" fontId="38" fillId="38" borderId="0" xfId="9" applyFont="1" applyFill="1" applyAlignment="1">
      <alignment horizontal="left" vertical="center"/>
    </xf>
    <xf numFmtId="0" fontId="5" fillId="6" borderId="7" xfId="9" applyFont="1" applyFill="1" applyBorder="1" applyAlignment="1">
      <alignment horizontal="center" vertical="center"/>
    </xf>
    <xf numFmtId="0" fontId="11" fillId="39" borderId="45" xfId="4" applyFont="1" applyFill="1" applyBorder="1" applyAlignment="1" applyProtection="1">
      <alignment vertical="center"/>
      <protection hidden="1"/>
    </xf>
    <xf numFmtId="0" fontId="11" fillId="39" borderId="43" xfId="4" applyFont="1" applyFill="1" applyBorder="1" applyAlignment="1" applyProtection="1">
      <alignment vertical="center"/>
      <protection hidden="1"/>
    </xf>
    <xf numFmtId="0" fontId="61" fillId="39" borderId="43" xfId="4" applyFont="1" applyFill="1" applyBorder="1" applyAlignment="1" applyProtection="1">
      <alignment vertical="center"/>
      <protection hidden="1"/>
    </xf>
    <xf numFmtId="0" fontId="7" fillId="8" borderId="43" xfId="13" applyFont="1" applyFill="1" applyBorder="1" applyAlignment="1">
      <alignment horizontal="right" vertical="center"/>
    </xf>
    <xf numFmtId="0" fontId="7" fillId="8" borderId="43" xfId="13" applyFont="1" applyFill="1" applyBorder="1" applyAlignment="1">
      <alignment horizontal="center" vertical="center"/>
    </xf>
    <xf numFmtId="0" fontId="7" fillId="8" borderId="43" xfId="13" applyFont="1" applyFill="1" applyBorder="1" applyAlignment="1">
      <alignment horizontal="left" vertical="center"/>
    </xf>
    <xf numFmtId="0" fontId="83" fillId="39" borderId="46" xfId="9" applyFont="1" applyFill="1" applyBorder="1" applyAlignment="1">
      <alignment horizontal="center" vertical="center"/>
    </xf>
    <xf numFmtId="0" fontId="1" fillId="12" borderId="0" xfId="1" applyFill="1" applyAlignment="1">
      <alignment vertical="center"/>
    </xf>
    <xf numFmtId="0" fontId="84" fillId="40" borderId="40" xfId="4" applyFont="1" applyFill="1" applyBorder="1" applyAlignment="1">
      <alignment horizontal="left" vertical="center"/>
    </xf>
    <xf numFmtId="1" fontId="85" fillId="40" borderId="6" xfId="4" applyNumberFormat="1" applyFont="1" applyFill="1" applyBorder="1" applyAlignment="1" applyProtection="1">
      <alignment horizontal="left" vertical="center"/>
      <protection hidden="1"/>
    </xf>
    <xf numFmtId="0" fontId="22" fillId="9" borderId="48" xfId="4" applyFont="1" applyFill="1" applyBorder="1" applyAlignment="1" applyProtection="1">
      <alignment horizontal="center" vertical="center"/>
      <protection hidden="1"/>
    </xf>
    <xf numFmtId="1" fontId="21" fillId="12" borderId="49" xfId="4" applyNumberFormat="1" applyFont="1" applyFill="1" applyBorder="1" applyAlignment="1">
      <alignment horizontal="center" vertical="center"/>
    </xf>
    <xf numFmtId="0" fontId="23" fillId="5" borderId="0" xfId="8" applyFont="1" applyFill="1" applyAlignment="1">
      <alignment horizontal="center" vertical="center"/>
    </xf>
    <xf numFmtId="1" fontId="24" fillId="12" borderId="50" xfId="4" applyNumberFormat="1" applyFont="1" applyFill="1" applyBorder="1" applyAlignment="1">
      <alignment horizontal="center" vertical="center"/>
    </xf>
    <xf numFmtId="164" fontId="24" fillId="13" borderId="51" xfId="4" applyNumberFormat="1" applyFont="1" applyFill="1" applyBorder="1" applyAlignment="1">
      <alignment horizontal="center" vertical="center"/>
    </xf>
    <xf numFmtId="0" fontId="83" fillId="39" borderId="7" xfId="9" applyFont="1" applyFill="1" applyBorder="1" applyAlignment="1">
      <alignment horizontal="center" vertical="center"/>
    </xf>
    <xf numFmtId="174" fontId="45" fillId="41" borderId="3" xfId="4" applyNumberFormat="1" applyFont="1" applyFill="1" applyBorder="1" applyAlignment="1" applyProtection="1">
      <alignment horizontal="center" vertical="center"/>
      <protection hidden="1"/>
    </xf>
    <xf numFmtId="1" fontId="86" fillId="5" borderId="1" xfId="0" applyNumberFormat="1" applyFont="1" applyFill="1" applyBorder="1" applyAlignment="1">
      <alignment horizontal="center" vertical="center"/>
    </xf>
    <xf numFmtId="175" fontId="86" fillId="5" borderId="1" xfId="0" applyNumberFormat="1" applyFont="1" applyFill="1" applyBorder="1" applyAlignment="1">
      <alignment horizontal="center" vertical="center"/>
    </xf>
    <xf numFmtId="175" fontId="87" fillId="5" borderId="52" xfId="0" applyNumberFormat="1" applyFont="1" applyFill="1" applyBorder="1" applyAlignment="1">
      <alignment horizontal="right" vertical="center"/>
    </xf>
    <xf numFmtId="1" fontId="88" fillId="40" borderId="48" xfId="4" applyNumberFormat="1" applyFont="1" applyFill="1" applyBorder="1" applyAlignment="1" applyProtection="1">
      <alignment horizontal="left" vertical="center"/>
      <protection hidden="1"/>
    </xf>
    <xf numFmtId="0" fontId="89" fillId="9" borderId="0" xfId="4" applyFont="1" applyFill="1" applyAlignment="1" applyProtection="1">
      <alignment vertical="center"/>
      <protection hidden="1"/>
    </xf>
    <xf numFmtId="0" fontId="39" fillId="9" borderId="2" xfId="1" applyFont="1" applyFill="1" applyBorder="1" applyAlignment="1">
      <alignment horizontal="left" vertical="center"/>
    </xf>
    <xf numFmtId="174" fontId="45" fillId="41" borderId="4" xfId="4" applyNumberFormat="1" applyFont="1" applyFill="1" applyBorder="1" applyAlignment="1" applyProtection="1">
      <alignment horizontal="center" vertical="center"/>
      <protection hidden="1"/>
    </xf>
    <xf numFmtId="1" fontId="86" fillId="5" borderId="0" xfId="0" applyNumberFormat="1" applyFont="1" applyFill="1" applyAlignment="1">
      <alignment horizontal="center" vertical="center"/>
    </xf>
    <xf numFmtId="175" fontId="86" fillId="5" borderId="0" xfId="0" applyNumberFormat="1" applyFont="1" applyFill="1" applyAlignment="1">
      <alignment horizontal="center" vertical="center"/>
    </xf>
    <xf numFmtId="175" fontId="87" fillId="5" borderId="53" xfId="0" applyNumberFormat="1" applyFont="1" applyFill="1" applyBorder="1" applyAlignment="1">
      <alignment horizontal="right" vertical="center"/>
    </xf>
    <xf numFmtId="0" fontId="47" fillId="9" borderId="0" xfId="1" applyFont="1" applyFill="1" applyAlignment="1">
      <alignment horizontal="left" vertical="center"/>
    </xf>
    <xf numFmtId="0" fontId="90" fillId="28" borderId="0" xfId="4" applyFont="1" applyFill="1" applyAlignment="1">
      <alignment horizontal="center" vertical="center"/>
    </xf>
    <xf numFmtId="0" fontId="91" fillId="28" borderId="0" xfId="13" applyFont="1" applyFill="1" applyAlignment="1">
      <alignment horizontal="center" vertical="center"/>
    </xf>
    <xf numFmtId="0" fontId="92" fillId="28" borderId="0" xfId="14" applyFont="1" applyFill="1" applyBorder="1" applyAlignment="1">
      <alignment horizontal="left" vertical="center"/>
    </xf>
    <xf numFmtId="0" fontId="47" fillId="9" borderId="0" xfId="9" applyFont="1" applyFill="1" applyAlignment="1">
      <alignment vertical="center"/>
    </xf>
    <xf numFmtId="0" fontId="17" fillId="28" borderId="0" xfId="17" applyFont="1" applyFill="1" applyAlignment="1">
      <alignment horizontal="left" vertical="center"/>
    </xf>
    <xf numFmtId="0" fontId="93" fillId="9" borderId="0" xfId="4" applyFont="1" applyFill="1" applyAlignment="1">
      <alignment horizontal="left" vertical="center"/>
    </xf>
    <xf numFmtId="0" fontId="93" fillId="9" borderId="2" xfId="4" applyFont="1" applyFill="1" applyBorder="1" applyAlignment="1">
      <alignment horizontal="left" vertical="center"/>
    </xf>
    <xf numFmtId="0" fontId="1" fillId="28" borderId="0" xfId="1" applyFill="1"/>
    <xf numFmtId="0" fontId="94" fillId="42" borderId="2" xfId="4" applyFont="1" applyFill="1" applyBorder="1" applyAlignment="1" applyProtection="1">
      <alignment horizontal="right" vertical="center"/>
      <protection hidden="1"/>
    </xf>
    <xf numFmtId="176" fontId="45" fillId="41" borderId="4" xfId="4" applyNumberFormat="1" applyFont="1" applyFill="1" applyBorder="1" applyAlignment="1" applyProtection="1">
      <alignment horizontal="center" vertical="center"/>
      <protection hidden="1"/>
    </xf>
    <xf numFmtId="177" fontId="45" fillId="41" borderId="4" xfId="4" applyNumberFormat="1" applyFont="1" applyFill="1" applyBorder="1" applyAlignment="1" applyProtection="1">
      <alignment horizontal="center" vertical="center"/>
      <protection hidden="1"/>
    </xf>
    <xf numFmtId="178" fontId="87" fillId="5" borderId="53" xfId="0" applyNumberFormat="1" applyFont="1" applyFill="1" applyBorder="1" applyAlignment="1">
      <alignment horizontal="right" vertical="center"/>
    </xf>
    <xf numFmtId="179" fontId="45" fillId="41" borderId="4" xfId="4" applyNumberFormat="1" applyFont="1" applyFill="1" applyBorder="1" applyAlignment="1" applyProtection="1">
      <alignment horizontal="center" vertical="center"/>
      <protection hidden="1"/>
    </xf>
    <xf numFmtId="171" fontId="87" fillId="5" borderId="0" xfId="0" applyNumberFormat="1" applyFont="1" applyFill="1" applyAlignment="1">
      <alignment horizontal="center" vertical="center"/>
    </xf>
    <xf numFmtId="171" fontId="87" fillId="5" borderId="53" xfId="0" applyNumberFormat="1" applyFont="1" applyFill="1" applyBorder="1" applyAlignment="1">
      <alignment horizontal="right" vertical="center"/>
    </xf>
    <xf numFmtId="0" fontId="84" fillId="12" borderId="48" xfId="4" applyFont="1" applyFill="1" applyBorder="1" applyAlignment="1">
      <alignment horizontal="left" vertical="center"/>
    </xf>
    <xf numFmtId="0" fontId="89" fillId="9" borderId="2" xfId="4" applyFont="1" applyFill="1" applyBorder="1" applyAlignment="1">
      <alignment horizontal="left" vertical="center"/>
    </xf>
    <xf numFmtId="0" fontId="96" fillId="28" borderId="0" xfId="17" applyFont="1" applyFill="1" applyAlignment="1">
      <alignment vertical="center"/>
    </xf>
    <xf numFmtId="180" fontId="45" fillId="41" borderId="4" xfId="4" applyNumberFormat="1" applyFont="1" applyFill="1" applyBorder="1" applyAlignment="1" applyProtection="1">
      <alignment horizontal="center" vertical="center"/>
      <protection hidden="1"/>
    </xf>
    <xf numFmtId="181" fontId="87" fillId="5" borderId="53" xfId="0" applyNumberFormat="1" applyFont="1" applyFill="1" applyBorder="1" applyAlignment="1">
      <alignment horizontal="right" vertical="center"/>
    </xf>
    <xf numFmtId="0" fontId="76" fillId="9" borderId="2" xfId="1" applyFont="1" applyFill="1" applyBorder="1" applyAlignment="1">
      <alignment vertical="center"/>
    </xf>
    <xf numFmtId="1" fontId="19" fillId="43" borderId="48" xfId="4" applyNumberFormat="1" applyFont="1" applyFill="1" applyBorder="1" applyAlignment="1" applyProtection="1">
      <alignment horizontal="left" vertical="center"/>
      <protection hidden="1"/>
    </xf>
    <xf numFmtId="0" fontId="56" fillId="44" borderId="4" xfId="20" applyFont="1" applyFill="1" applyBorder="1" applyAlignment="1">
      <alignment horizontal="right" vertical="center"/>
    </xf>
    <xf numFmtId="0" fontId="56" fillId="44" borderId="0" xfId="20" applyFont="1" applyFill="1" applyAlignment="1">
      <alignment vertical="center"/>
    </xf>
    <xf numFmtId="0" fontId="22" fillId="16" borderId="48" xfId="4" applyFont="1" applyFill="1" applyBorder="1" applyAlignment="1" applyProtection="1">
      <alignment horizontal="center" vertical="center"/>
      <protection hidden="1"/>
    </xf>
    <xf numFmtId="1" fontId="24" fillId="13" borderId="51" xfId="4" applyNumberFormat="1" applyFont="1" applyFill="1" applyBorder="1" applyAlignment="1">
      <alignment horizontal="center" vertical="center"/>
    </xf>
    <xf numFmtId="0" fontId="73" fillId="28" borderId="0" xfId="17" applyFont="1" applyFill="1" applyAlignment="1">
      <alignment vertical="center"/>
    </xf>
    <xf numFmtId="0" fontId="97" fillId="9" borderId="54" xfId="4" applyFont="1" applyFill="1" applyBorder="1" applyAlignment="1" applyProtection="1">
      <alignment vertical="center"/>
      <protection hidden="1"/>
    </xf>
    <xf numFmtId="0" fontId="56" fillId="28" borderId="0" xfId="17" applyFont="1" applyFill="1" applyAlignment="1">
      <alignment vertical="center"/>
    </xf>
    <xf numFmtId="1" fontId="24" fillId="12" borderId="49" xfId="4" applyNumberFormat="1" applyFont="1" applyFill="1" applyBorder="1" applyAlignment="1">
      <alignment horizontal="center" vertical="center"/>
    </xf>
    <xf numFmtId="0" fontId="19" fillId="12" borderId="55" xfId="4" applyFont="1" applyFill="1" applyBorder="1" applyAlignment="1">
      <alignment horizontal="center" vertical="center"/>
    </xf>
    <xf numFmtId="0" fontId="39" fillId="9" borderId="2" xfId="18" applyFont="1" applyFill="1" applyBorder="1" applyAlignment="1">
      <alignment vertical="center"/>
    </xf>
    <xf numFmtId="0" fontId="13" fillId="9" borderId="4" xfId="1" applyFont="1" applyFill="1" applyBorder="1" applyAlignment="1">
      <alignment vertical="center"/>
    </xf>
    <xf numFmtId="0" fontId="13" fillId="9" borderId="0" xfId="1" applyFont="1" applyFill="1" applyAlignment="1">
      <alignment vertical="center"/>
    </xf>
    <xf numFmtId="0" fontId="62" fillId="9" borderId="0" xfId="14" applyFill="1" applyAlignment="1">
      <alignment vertical="center"/>
    </xf>
    <xf numFmtId="0" fontId="17" fillId="7" borderId="38" xfId="1" applyFont="1" applyFill="1" applyBorder="1" applyAlignment="1">
      <alignment horizontal="left" vertical="center"/>
    </xf>
    <xf numFmtId="0" fontId="17" fillId="7" borderId="2" xfId="1" applyFont="1" applyFill="1" applyBorder="1" applyAlignment="1">
      <alignment horizontal="left" vertical="center"/>
    </xf>
    <xf numFmtId="0" fontId="99" fillId="41" borderId="48" xfId="4" applyFont="1" applyFill="1" applyBorder="1" applyAlignment="1" applyProtection="1">
      <alignment horizontal="center" vertical="center"/>
      <protection hidden="1"/>
    </xf>
    <xf numFmtId="0" fontId="100" fillId="41" borderId="48" xfId="4" applyFont="1" applyFill="1" applyBorder="1" applyAlignment="1" applyProtection="1">
      <alignment horizontal="center" vertical="center"/>
      <protection hidden="1"/>
    </xf>
    <xf numFmtId="0" fontId="67" fillId="7" borderId="56" xfId="2" applyFont="1" applyFill="1" applyBorder="1" applyAlignment="1">
      <alignment vertical="center"/>
    </xf>
    <xf numFmtId="0" fontId="77" fillId="9" borderId="0" xfId="4" applyFont="1" applyFill="1" applyAlignment="1" applyProtection="1">
      <alignment horizontal="left" vertical="center"/>
      <protection locked="0"/>
    </xf>
    <xf numFmtId="0" fontId="102" fillId="32" borderId="0" xfId="4" applyFont="1" applyFill="1" applyAlignment="1" applyProtection="1">
      <alignment horizontal="right" vertical="center"/>
      <protection locked="0"/>
    </xf>
    <xf numFmtId="0" fontId="102" fillId="32" borderId="2" xfId="4" applyFont="1" applyFill="1" applyBorder="1" applyAlignment="1" applyProtection="1">
      <alignment horizontal="right" vertical="center"/>
      <protection locked="0"/>
    </xf>
    <xf numFmtId="0" fontId="13" fillId="9" borderId="2" xfId="0" applyFont="1" applyFill="1" applyBorder="1"/>
    <xf numFmtId="175" fontId="87" fillId="5" borderId="0" xfId="0" applyNumberFormat="1" applyFont="1" applyFill="1" applyAlignment="1">
      <alignment horizontal="center" vertical="center"/>
    </xf>
    <xf numFmtId="0" fontId="22" fillId="45" borderId="48" xfId="4" applyFont="1" applyFill="1" applyBorder="1" applyAlignment="1" applyProtection="1">
      <alignment horizontal="center" vertical="center"/>
      <protection hidden="1"/>
    </xf>
    <xf numFmtId="0" fontId="87" fillId="5" borderId="0" xfId="0" applyFont="1" applyFill="1" applyAlignment="1">
      <alignment horizontal="center" vertical="center"/>
    </xf>
    <xf numFmtId="0" fontId="23" fillId="5" borderId="57" xfId="8" applyFont="1" applyFill="1" applyBorder="1" applyAlignment="1">
      <alignment horizontal="center" vertical="center"/>
    </xf>
    <xf numFmtId="0" fontId="1" fillId="0" borderId="2" xfId="1" applyBorder="1" applyAlignment="1">
      <alignment vertical="center"/>
    </xf>
    <xf numFmtId="179" fontId="45" fillId="7" borderId="4" xfId="4" applyNumberFormat="1" applyFont="1" applyFill="1" applyBorder="1" applyAlignment="1" applyProtection="1">
      <alignment horizontal="center" vertical="center"/>
      <protection hidden="1"/>
    </xf>
    <xf numFmtId="0" fontId="14" fillId="46" borderId="48" xfId="4" applyFont="1" applyFill="1" applyBorder="1" applyAlignment="1" applyProtection="1">
      <alignment horizontal="center" vertical="center"/>
      <protection hidden="1"/>
    </xf>
    <xf numFmtId="0" fontId="13" fillId="9" borderId="0" xfId="10" applyFont="1" applyFill="1" applyAlignment="1" applyProtection="1">
      <alignment vertical="center"/>
      <protection locked="0"/>
    </xf>
    <xf numFmtId="2" fontId="29" fillId="47" borderId="23" xfId="4" applyNumberFormat="1" applyFont="1" applyFill="1" applyBorder="1" applyAlignment="1">
      <alignment horizontal="center" vertical="center"/>
    </xf>
    <xf numFmtId="0" fontId="95" fillId="9" borderId="58" xfId="0" applyFont="1" applyFill="1" applyBorder="1" applyAlignment="1">
      <alignment horizontal="center" vertical="top"/>
    </xf>
    <xf numFmtId="0" fontId="39" fillId="9" borderId="59" xfId="0" applyFont="1" applyFill="1" applyBorder="1" applyAlignment="1">
      <alignment horizontal="center" vertical="center"/>
    </xf>
    <xf numFmtId="0" fontId="10" fillId="9" borderId="59" xfId="4" applyFont="1" applyFill="1" applyBorder="1" applyAlignment="1">
      <alignment horizontal="center" vertical="center"/>
    </xf>
    <xf numFmtId="0" fontId="67" fillId="7" borderId="65" xfId="2" applyFont="1" applyFill="1" applyBorder="1" applyAlignment="1">
      <alignment horizontal="center" vertical="center"/>
    </xf>
    <xf numFmtId="0" fontId="10" fillId="9" borderId="66" xfId="2" applyFont="1" applyFill="1" applyBorder="1" applyAlignment="1">
      <alignment horizontal="center" vertical="center"/>
    </xf>
    <xf numFmtId="0" fontId="23" fillId="5" borderId="59" xfId="8" applyFont="1" applyFill="1" applyBorder="1" applyAlignment="1">
      <alignment horizontal="center" vertical="center"/>
    </xf>
    <xf numFmtId="0" fontId="59" fillId="14" borderId="59" xfId="16" applyFont="1" applyFill="1" applyBorder="1" applyAlignment="1">
      <alignment horizontal="center" vertical="center"/>
    </xf>
    <xf numFmtId="0" fontId="59" fillId="14" borderId="60" xfId="4" applyFont="1" applyFill="1" applyBorder="1" applyAlignment="1" applyProtection="1">
      <alignment horizontal="center" vertical="center"/>
      <protection hidden="1"/>
    </xf>
    <xf numFmtId="168" fontId="59" fillId="47" borderId="23" xfId="4" applyNumberFormat="1" applyFont="1" applyFill="1" applyBorder="1" applyAlignment="1">
      <alignment vertical="center" wrapText="1"/>
    </xf>
    <xf numFmtId="0" fontId="1" fillId="9" borderId="67" xfId="0" applyFont="1" applyFill="1" applyBorder="1"/>
    <xf numFmtId="166" fontId="105" fillId="9" borderId="68" xfId="0" applyNumberFormat="1" applyFont="1" applyFill="1" applyBorder="1" applyAlignment="1">
      <alignment horizontal="center" vertical="center"/>
    </xf>
    <xf numFmtId="0" fontId="87" fillId="9" borderId="69" xfId="0" applyFont="1" applyFill="1" applyBorder="1" applyAlignment="1">
      <alignment horizontal="right" vertical="center"/>
    </xf>
    <xf numFmtId="1" fontId="10" fillId="9" borderId="68" xfId="4" applyNumberFormat="1" applyFont="1" applyFill="1" applyBorder="1" applyAlignment="1">
      <alignment horizontal="left" vertical="center"/>
    </xf>
    <xf numFmtId="10" fontId="106" fillId="9" borderId="70" xfId="4" applyNumberFormat="1" applyFont="1" applyFill="1" applyBorder="1" applyAlignment="1">
      <alignment horizontal="center" vertical="center"/>
    </xf>
    <xf numFmtId="0" fontId="67" fillId="7" borderId="68" xfId="2" applyFont="1" applyFill="1" applyBorder="1" applyAlignment="1">
      <alignment vertical="center"/>
    </xf>
    <xf numFmtId="0" fontId="67" fillId="7" borderId="74" xfId="2" applyFont="1" applyFill="1" applyBorder="1" applyAlignment="1">
      <alignment vertical="center"/>
    </xf>
    <xf numFmtId="0" fontId="10" fillId="9" borderId="19" xfId="4" applyFont="1" applyFill="1" applyBorder="1" applyAlignment="1">
      <alignment horizontal="center"/>
    </xf>
    <xf numFmtId="0" fontId="58" fillId="5" borderId="0" xfId="4" applyFont="1" applyFill="1" applyAlignment="1" applyProtection="1">
      <alignment horizontal="center" vertical="center"/>
      <protection hidden="1"/>
    </xf>
    <xf numFmtId="0" fontId="19" fillId="14" borderId="0" xfId="4" applyFont="1" applyFill="1" applyAlignment="1" applyProtection="1">
      <alignment horizontal="center"/>
      <protection locked="0"/>
    </xf>
    <xf numFmtId="0" fontId="59" fillId="14" borderId="53" xfId="4" applyFont="1" applyFill="1" applyBorder="1" applyAlignment="1" applyProtection="1">
      <alignment horizontal="center"/>
      <protection locked="0"/>
    </xf>
    <xf numFmtId="0" fontId="25" fillId="14" borderId="76" xfId="9" applyFont="1" applyFill="1" applyBorder="1" applyAlignment="1">
      <alignment horizontal="right" vertical="center"/>
    </xf>
    <xf numFmtId="0" fontId="25" fillId="14" borderId="6" xfId="9" applyFont="1" applyFill="1" applyBorder="1" applyAlignment="1">
      <alignment horizontal="right" vertical="center"/>
    </xf>
    <xf numFmtId="0" fontId="25" fillId="14" borderId="6" xfId="9" applyFont="1" applyFill="1" applyBorder="1" applyAlignment="1">
      <alignment horizontal="left" vertical="center"/>
    </xf>
    <xf numFmtId="0" fontId="9" fillId="48" borderId="77" xfId="1" applyFont="1" applyFill="1" applyBorder="1" applyAlignment="1">
      <alignment horizontal="center" vertical="center"/>
    </xf>
    <xf numFmtId="0" fontId="9" fillId="48" borderId="78" xfId="1" applyFont="1" applyFill="1" applyBorder="1" applyAlignment="1">
      <alignment horizontal="center" vertical="center"/>
    </xf>
    <xf numFmtId="0" fontId="107" fillId="49" borderId="79" xfId="1" applyFont="1" applyFill="1" applyBorder="1" applyAlignment="1">
      <alignment horizontal="center" vertical="center"/>
    </xf>
    <xf numFmtId="0" fontId="9" fillId="48" borderId="80" xfId="1" applyFont="1" applyFill="1" applyBorder="1" applyAlignment="1">
      <alignment horizontal="center" vertical="center"/>
    </xf>
    <xf numFmtId="0" fontId="108" fillId="50" borderId="81" xfId="1" applyFont="1" applyFill="1" applyBorder="1" applyAlignment="1">
      <alignment horizontal="center" vertical="center"/>
    </xf>
    <xf numFmtId="0" fontId="16" fillId="37" borderId="82" xfId="1" applyFont="1" applyFill="1" applyBorder="1" applyAlignment="1">
      <alignment horizontal="center" vertical="center"/>
    </xf>
    <xf numFmtId="0" fontId="10" fillId="51" borderId="82" xfId="1" applyFont="1" applyFill="1" applyBorder="1" applyAlignment="1">
      <alignment horizontal="center" vertical="center"/>
    </xf>
    <xf numFmtId="0" fontId="108" fillId="50" borderId="82" xfId="1" applyFont="1" applyFill="1" applyBorder="1" applyAlignment="1">
      <alignment horizontal="center" vertical="center"/>
    </xf>
    <xf numFmtId="0" fontId="109" fillId="39" borderId="82" xfId="9" applyFont="1" applyFill="1" applyBorder="1" applyAlignment="1">
      <alignment horizontal="right" vertical="center"/>
    </xf>
    <xf numFmtId="0" fontId="109" fillId="39" borderId="82" xfId="9" applyFont="1" applyFill="1" applyBorder="1" applyAlignment="1">
      <alignment horizontal="left" vertical="center"/>
    </xf>
    <xf numFmtId="0" fontId="83" fillId="39" borderId="83" xfId="9" applyFont="1" applyFill="1" applyBorder="1" applyAlignment="1">
      <alignment horizontal="center" vertical="center"/>
    </xf>
    <xf numFmtId="0" fontId="14" fillId="52" borderId="48" xfId="4" applyFont="1" applyFill="1" applyBorder="1" applyAlignment="1" applyProtection="1">
      <alignment horizontal="center" vertical="center"/>
      <protection hidden="1"/>
    </xf>
    <xf numFmtId="0" fontId="0" fillId="9" borderId="84" xfId="0" applyFill="1" applyBorder="1"/>
    <xf numFmtId="0" fontId="19" fillId="12" borderId="85" xfId="0" applyFont="1" applyFill="1" applyBorder="1" applyAlignment="1">
      <alignment horizontal="left" vertical="center"/>
    </xf>
    <xf numFmtId="0" fontId="70" fillId="5" borderId="86" xfId="0" applyFont="1" applyFill="1" applyBorder="1" applyAlignment="1">
      <alignment horizontal="right" vertical="center"/>
    </xf>
    <xf numFmtId="0" fontId="27" fillId="53" borderId="86" xfId="9" applyFont="1" applyFill="1" applyBorder="1" applyAlignment="1">
      <alignment horizontal="right" vertical="center"/>
    </xf>
    <xf numFmtId="0" fontId="83" fillId="39" borderId="87" xfId="9" applyFont="1" applyFill="1" applyBorder="1" applyAlignment="1">
      <alignment horizontal="center" vertical="center"/>
    </xf>
    <xf numFmtId="0" fontId="56" fillId="28" borderId="0" xfId="1" applyFont="1" applyFill="1" applyAlignment="1">
      <alignment horizontal="left" vertical="center"/>
    </xf>
    <xf numFmtId="1" fontId="23" fillId="54" borderId="4" xfId="4" applyNumberFormat="1" applyFont="1" applyFill="1" applyBorder="1" applyAlignment="1">
      <alignment horizontal="left" vertical="center"/>
    </xf>
    <xf numFmtId="0" fontId="87" fillId="5" borderId="53" xfId="0" applyFont="1" applyFill="1" applyBorder="1" applyAlignment="1">
      <alignment horizontal="right" vertical="center"/>
    </xf>
    <xf numFmtId="1" fontId="110" fillId="55" borderId="48" xfId="4" applyNumberFormat="1" applyFont="1" applyFill="1" applyBorder="1" applyAlignment="1">
      <alignment horizontal="center" vertical="center"/>
    </xf>
    <xf numFmtId="0" fontId="0" fillId="9" borderId="88" xfId="0" applyFill="1" applyBorder="1"/>
    <xf numFmtId="0" fontId="0" fillId="9" borderId="89" xfId="0" applyFill="1" applyBorder="1" applyAlignment="1">
      <alignment horizontal="left" vertical="center"/>
    </xf>
    <xf numFmtId="0" fontId="0" fillId="9" borderId="0" xfId="0" applyFill="1" applyAlignment="1">
      <alignment horizontal="left" vertical="center"/>
    </xf>
    <xf numFmtId="0" fontId="111" fillId="9" borderId="0" xfId="0" applyFont="1" applyFill="1" applyAlignment="1">
      <alignment horizontal="left" vertical="center"/>
    </xf>
    <xf numFmtId="0" fontId="25" fillId="14" borderId="90" xfId="9" applyFont="1" applyFill="1" applyBorder="1" applyAlignment="1">
      <alignment horizontal="right" vertical="center"/>
    </xf>
    <xf numFmtId="0" fontId="113" fillId="9" borderId="4" xfId="4" applyFont="1" applyFill="1" applyBorder="1" applyAlignment="1" applyProtection="1">
      <alignment vertical="center"/>
      <protection hidden="1"/>
    </xf>
    <xf numFmtId="0" fontId="78" fillId="9" borderId="0" xfId="19" applyFont="1" applyFill="1" applyAlignment="1">
      <alignment horizontal="right" vertical="center"/>
    </xf>
    <xf numFmtId="0" fontId="0" fillId="9" borderId="0" xfId="0" applyFill="1" applyAlignment="1">
      <alignment horizontal="center" vertical="center"/>
    </xf>
    <xf numFmtId="0" fontId="76" fillId="9" borderId="88" xfId="0" applyFont="1" applyFill="1" applyBorder="1" applyAlignment="1">
      <alignment horizontal="left" vertical="center"/>
    </xf>
    <xf numFmtId="0" fontId="94" fillId="9" borderId="0" xfId="2" applyFont="1" applyFill="1" applyAlignment="1">
      <alignment horizontal="left" vertical="center"/>
    </xf>
    <xf numFmtId="1" fontId="23" fillId="54" borderId="39" xfId="4" applyNumberFormat="1" applyFont="1" applyFill="1" applyBorder="1" applyAlignment="1">
      <alignment horizontal="left" vertical="center"/>
    </xf>
    <xf numFmtId="1" fontId="86" fillId="5" borderId="40" xfId="0" applyNumberFormat="1" applyFont="1" applyFill="1" applyBorder="1" applyAlignment="1">
      <alignment horizontal="center" vertical="center"/>
    </xf>
    <xf numFmtId="0" fontId="87" fillId="5" borderId="40" xfId="0" applyFont="1" applyFill="1" applyBorder="1" applyAlignment="1">
      <alignment horizontal="center" vertical="center"/>
    </xf>
    <xf numFmtId="0" fontId="87" fillId="5" borderId="91" xfId="0" applyFont="1" applyFill="1" applyBorder="1" applyAlignment="1">
      <alignment horizontal="right" vertical="center"/>
    </xf>
    <xf numFmtId="0" fontId="110" fillId="9" borderId="4" xfId="4" applyFont="1" applyFill="1" applyBorder="1" applyAlignment="1">
      <alignment horizontal="left" vertical="center"/>
    </xf>
    <xf numFmtId="0" fontId="67" fillId="9" borderId="0" xfId="4" applyFont="1" applyFill="1" applyAlignment="1">
      <alignment horizontal="right" vertical="center"/>
    </xf>
    <xf numFmtId="0" fontId="23" fillId="9" borderId="0" xfId="3" applyFont="1" applyFill="1" applyAlignment="1">
      <alignment horizontal="right" vertical="top"/>
    </xf>
    <xf numFmtId="0" fontId="76" fillId="9" borderId="0" xfId="19" applyFont="1" applyFill="1" applyAlignment="1">
      <alignment vertical="center"/>
    </xf>
    <xf numFmtId="0" fontId="17" fillId="51" borderId="59" xfId="1" applyFont="1" applyFill="1" applyBorder="1" applyAlignment="1">
      <alignment horizontal="left" vertical="center"/>
    </xf>
    <xf numFmtId="0" fontId="0" fillId="0" borderId="2" xfId="0" applyBorder="1"/>
    <xf numFmtId="0" fontId="13" fillId="9" borderId="4" xfId="2" applyFont="1" applyFill="1" applyBorder="1" applyAlignment="1">
      <alignment vertical="center" wrapText="1"/>
    </xf>
    <xf numFmtId="0" fontId="72" fillId="9" borderId="0" xfId="2" applyFont="1" applyFill="1" applyAlignment="1">
      <alignment horizontal="right" vertical="center"/>
    </xf>
    <xf numFmtId="0" fontId="115" fillId="9" borderId="19" xfId="19" applyFont="1" applyFill="1" applyBorder="1" applyAlignment="1">
      <alignment vertical="center"/>
    </xf>
    <xf numFmtId="0" fontId="115" fillId="9" borderId="0" xfId="19" applyFont="1" applyFill="1" applyAlignment="1">
      <alignment vertical="center"/>
    </xf>
    <xf numFmtId="0" fontId="13" fillId="9" borderId="0" xfId="19" applyFont="1" applyFill="1" applyAlignment="1">
      <alignment horizontal="right" vertical="center"/>
    </xf>
    <xf numFmtId="0" fontId="69" fillId="9" borderId="0" xfId="4" applyFont="1" applyFill="1" applyAlignment="1">
      <alignment vertical="center"/>
    </xf>
    <xf numFmtId="0" fontId="2" fillId="56" borderId="0" xfId="4" applyFont="1" applyFill="1" applyAlignment="1">
      <alignment horizontal="right" vertical="center"/>
    </xf>
    <xf numFmtId="0" fontId="11" fillId="56" borderId="0" xfId="4" applyFont="1" applyFill="1" applyAlignment="1">
      <alignment horizontal="left" vertical="center"/>
    </xf>
    <xf numFmtId="0" fontId="25" fillId="14" borderId="53" xfId="13" applyFont="1" applyFill="1" applyBorder="1" applyAlignment="1">
      <alignment horizontal="center" vertical="center"/>
    </xf>
    <xf numFmtId="0" fontId="25" fillId="14" borderId="75" xfId="13" applyFont="1" applyFill="1" applyBorder="1" applyAlignment="1">
      <alignment horizontal="center" vertical="center"/>
    </xf>
    <xf numFmtId="0" fontId="25" fillId="14" borderId="22" xfId="13" applyFont="1" applyFill="1" applyBorder="1" applyAlignment="1">
      <alignment horizontal="right" vertical="center"/>
    </xf>
    <xf numFmtId="0" fontId="116" fillId="5" borderId="0" xfId="0" applyFont="1" applyFill="1" applyAlignment="1">
      <alignment horizontal="center" vertical="center"/>
    </xf>
    <xf numFmtId="0" fontId="116" fillId="5" borderId="0" xfId="0" applyFont="1" applyFill="1" applyAlignment="1">
      <alignment horizontal="right" vertical="center"/>
    </xf>
    <xf numFmtId="0" fontId="1" fillId="9" borderId="0" xfId="3" applyFill="1" applyAlignment="1">
      <alignment vertical="center"/>
    </xf>
    <xf numFmtId="0" fontId="4" fillId="0" borderId="0" xfId="0" applyFont="1" applyAlignment="1">
      <alignment horizontal="center" vertical="center"/>
    </xf>
    <xf numFmtId="0" fontId="86" fillId="0" borderId="0" xfId="0" applyFont="1" applyAlignment="1">
      <alignment horizontal="center" vertical="center"/>
    </xf>
    <xf numFmtId="0" fontId="23" fillId="39" borderId="0" xfId="4" applyFont="1" applyFill="1" applyAlignment="1">
      <alignment horizontal="center" vertical="center" wrapText="1"/>
    </xf>
    <xf numFmtId="0" fontId="117" fillId="39" borderId="0" xfId="0" applyFont="1" applyFill="1" applyAlignment="1">
      <alignment horizontal="center" vertical="center" wrapText="1"/>
    </xf>
    <xf numFmtId="0" fontId="25" fillId="39" borderId="0" xfId="13" applyFont="1" applyFill="1" applyAlignment="1">
      <alignment horizontal="center" vertical="center"/>
    </xf>
    <xf numFmtId="0" fontId="25" fillId="39" borderId="0" xfId="13" applyFont="1" applyFill="1" applyAlignment="1">
      <alignment horizontal="right" vertical="center"/>
    </xf>
    <xf numFmtId="0" fontId="46" fillId="5" borderId="0" xfId="0" applyFont="1" applyFill="1" applyAlignment="1">
      <alignment horizontal="centerContinuous" vertical="center"/>
    </xf>
    <xf numFmtId="0" fontId="59" fillId="39" borderId="94" xfId="4" applyFont="1" applyFill="1" applyBorder="1" applyAlignment="1">
      <alignment horizontal="center" vertical="center" wrapText="1"/>
    </xf>
    <xf numFmtId="0" fontId="118" fillId="39" borderId="94" xfId="4" applyFont="1" applyFill="1" applyBorder="1" applyAlignment="1">
      <alignment horizontal="left" vertical="center" wrapText="1"/>
    </xf>
    <xf numFmtId="0" fontId="25" fillId="39" borderId="94" xfId="13" applyFont="1" applyFill="1" applyBorder="1" applyAlignment="1">
      <alignment horizontal="center" vertical="center"/>
    </xf>
    <xf numFmtId="0" fontId="25" fillId="39" borderId="94" xfId="13" applyFont="1" applyFill="1" applyBorder="1" applyAlignment="1">
      <alignment horizontal="left" vertical="center"/>
    </xf>
    <xf numFmtId="0" fontId="2" fillId="59" borderId="95" xfId="2" applyFont="1" applyFill="1" applyBorder="1" applyAlignment="1">
      <alignment horizontal="center" vertical="center"/>
    </xf>
    <xf numFmtId="0" fontId="69" fillId="32" borderId="0" xfId="13" applyFont="1" applyFill="1" applyAlignment="1">
      <alignment horizontal="left" vertical="center"/>
    </xf>
    <xf numFmtId="0" fontId="5" fillId="60" borderId="0" xfId="0" applyFont="1" applyFill="1" applyAlignment="1">
      <alignment horizontal="right" vertical="center"/>
    </xf>
    <xf numFmtId="0" fontId="5" fillId="60" borderId="0" xfId="0" applyFont="1" applyFill="1" applyAlignment="1">
      <alignment horizontal="centerContinuous" vertical="center"/>
    </xf>
    <xf numFmtId="0" fontId="5" fillId="60" borderId="43" xfId="0" applyFont="1" applyFill="1" applyBorder="1" applyAlignment="1">
      <alignment horizontal="left" vertical="center"/>
    </xf>
    <xf numFmtId="0" fontId="76" fillId="9" borderId="43" xfId="0" applyFont="1" applyFill="1" applyBorder="1" applyAlignment="1">
      <alignment horizontal="right" vertical="center"/>
    </xf>
    <xf numFmtId="0" fontId="5" fillId="60" borderId="0" xfId="0" applyFont="1" applyFill="1"/>
    <xf numFmtId="0" fontId="83" fillId="60" borderId="0" xfId="0" applyFont="1" applyFill="1" applyAlignment="1">
      <alignment horizontal="center" vertical="center"/>
    </xf>
    <xf numFmtId="0" fontId="61" fillId="60" borderId="0" xfId="0" applyFont="1" applyFill="1" applyAlignment="1">
      <alignment horizontal="left" vertical="center"/>
    </xf>
    <xf numFmtId="0" fontId="11" fillId="60" borderId="0" xfId="0" applyFont="1" applyFill="1" applyAlignment="1">
      <alignment horizontal="left" vertical="center"/>
    </xf>
    <xf numFmtId="0" fontId="11" fillId="60" borderId="0" xfId="0" applyFont="1" applyFill="1" applyAlignment="1">
      <alignment horizontal="center" vertical="center"/>
    </xf>
    <xf numFmtId="0" fontId="119" fillId="9" borderId="0" xfId="1" applyFont="1" applyFill="1" applyAlignment="1">
      <alignment horizontal="center" vertical="center"/>
    </xf>
    <xf numFmtId="0" fontId="11" fillId="29" borderId="0" xfId="9" applyFont="1" applyFill="1" applyAlignment="1">
      <alignment horizontal="right" vertical="center"/>
    </xf>
    <xf numFmtId="0" fontId="86" fillId="9" borderId="0" xfId="0" applyFont="1" applyFill="1" applyAlignment="1">
      <alignment vertical="center"/>
    </xf>
    <xf numFmtId="0" fontId="11" fillId="29" borderId="0" xfId="0" applyFont="1" applyFill="1"/>
    <xf numFmtId="0" fontId="9" fillId="34" borderId="52" xfId="1" applyFont="1" applyFill="1" applyBorder="1" applyAlignment="1">
      <alignment horizontal="center" vertical="center"/>
    </xf>
    <xf numFmtId="0" fontId="9" fillId="34" borderId="98" xfId="1" applyFont="1" applyFill="1" applyBorder="1" applyAlignment="1">
      <alignment horizontal="center" vertical="center"/>
    </xf>
    <xf numFmtId="0" fontId="57" fillId="9" borderId="0" xfId="1" applyFont="1" applyFill="1" applyAlignment="1">
      <alignment horizontal="left" vertical="center"/>
    </xf>
    <xf numFmtId="0" fontId="14" fillId="5" borderId="0" xfId="1" applyFont="1" applyFill="1" applyAlignment="1">
      <alignment horizontal="right" vertical="center"/>
    </xf>
    <xf numFmtId="0" fontId="121" fillId="61" borderId="0" xfId="0" applyFont="1" applyFill="1" applyAlignment="1">
      <alignment horizontal="center" vertical="center"/>
    </xf>
    <xf numFmtId="0" fontId="121" fillId="61" borderId="0" xfId="0" applyFont="1" applyFill="1" applyAlignment="1">
      <alignment horizontal="left" vertical="center"/>
    </xf>
    <xf numFmtId="0" fontId="1" fillId="9" borderId="0" xfId="2" applyFont="1" applyFill="1"/>
    <xf numFmtId="0" fontId="56" fillId="9" borderId="0" xfId="1" applyFont="1" applyFill="1" applyAlignment="1">
      <alignment vertical="center"/>
    </xf>
    <xf numFmtId="0" fontId="13" fillId="5" borderId="0" xfId="0" applyFont="1" applyFill="1" applyAlignment="1">
      <alignment vertical="center"/>
    </xf>
    <xf numFmtId="0" fontId="13" fillId="5" borderId="4" xfId="0" applyFont="1" applyFill="1" applyBorder="1" applyAlignment="1">
      <alignment vertical="center"/>
    </xf>
    <xf numFmtId="164" fontId="12" fillId="5" borderId="0" xfId="0" applyNumberFormat="1" applyFont="1" applyFill="1" applyAlignment="1">
      <alignment horizontal="center" vertical="center"/>
    </xf>
    <xf numFmtId="164" fontId="122" fillId="5" borderId="0" xfId="0" applyNumberFormat="1" applyFont="1" applyFill="1" applyAlignment="1">
      <alignment horizontal="center" vertical="center"/>
    </xf>
    <xf numFmtId="164" fontId="122" fillId="5" borderId="88" xfId="0" applyNumberFormat="1" applyFont="1" applyFill="1" applyBorder="1" applyAlignment="1">
      <alignment horizontal="center" vertical="center"/>
    </xf>
    <xf numFmtId="168" fontId="123" fillId="9" borderId="0" xfId="10" applyNumberFormat="1" applyFont="1" applyFill="1" applyAlignment="1">
      <alignment horizontal="left" vertical="center"/>
    </xf>
    <xf numFmtId="168" fontId="124" fillId="9" borderId="0" xfId="10" applyNumberFormat="1" applyFont="1" applyFill="1" applyAlignment="1">
      <alignment horizontal="right" vertical="center"/>
    </xf>
    <xf numFmtId="0" fontId="0" fillId="9" borderId="3" xfId="0" applyFill="1" applyBorder="1"/>
    <xf numFmtId="0" fontId="56" fillId="9" borderId="1" xfId="4" applyFont="1" applyFill="1" applyBorder="1" applyAlignment="1" applyProtection="1">
      <alignment vertical="center"/>
      <protection hidden="1"/>
    </xf>
    <xf numFmtId="0" fontId="101" fillId="9" borderId="1" xfId="0" applyFont="1" applyFill="1" applyBorder="1" applyAlignment="1">
      <alignment horizontal="right"/>
    </xf>
    <xf numFmtId="0" fontId="125" fillId="9" borderId="1" xfId="4" applyFont="1" applyFill="1" applyBorder="1" applyAlignment="1" applyProtection="1">
      <alignment vertical="center"/>
      <protection hidden="1"/>
    </xf>
    <xf numFmtId="0" fontId="126" fillId="9" borderId="1" xfId="4" applyFont="1" applyFill="1" applyBorder="1" applyAlignment="1" applyProtection="1">
      <alignment vertical="center"/>
      <protection hidden="1"/>
    </xf>
    <xf numFmtId="0" fontId="68" fillId="9" borderId="1" xfId="4" applyFont="1" applyFill="1" applyBorder="1" applyAlignment="1" applyProtection="1">
      <alignment vertical="center"/>
      <protection hidden="1"/>
    </xf>
    <xf numFmtId="0" fontId="68" fillId="9" borderId="1" xfId="4" applyFont="1" applyFill="1" applyBorder="1" applyAlignment="1" applyProtection="1">
      <alignment horizontal="left" vertical="center"/>
      <protection hidden="1"/>
    </xf>
    <xf numFmtId="0" fontId="9" fillId="9" borderId="1" xfId="4" applyFont="1" applyFill="1" applyBorder="1" applyAlignment="1" applyProtection="1">
      <alignment horizontal="center" vertical="center" textRotation="90"/>
      <protection locked="0"/>
    </xf>
    <xf numFmtId="0" fontId="9" fillId="5" borderId="1" xfId="4" applyFont="1" applyFill="1" applyBorder="1" applyAlignment="1" applyProtection="1">
      <alignment horizontal="center" vertical="center" textRotation="90"/>
      <protection locked="0"/>
    </xf>
    <xf numFmtId="0" fontId="9" fillId="5" borderId="30" xfId="4" applyFont="1" applyFill="1" applyBorder="1" applyAlignment="1" applyProtection="1">
      <alignment horizontal="center" vertical="center" textRotation="90"/>
      <protection locked="0"/>
    </xf>
    <xf numFmtId="0" fontId="0" fillId="9" borderId="4" xfId="0" applyFill="1" applyBorder="1"/>
    <xf numFmtId="0" fontId="56" fillId="9" borderId="0" xfId="4" applyFont="1" applyFill="1" applyAlignment="1" applyProtection="1">
      <alignment vertical="center"/>
      <protection hidden="1"/>
    </xf>
    <xf numFmtId="0" fontId="101" fillId="9" borderId="0" xfId="0" applyFont="1" applyFill="1" applyAlignment="1">
      <alignment horizontal="right"/>
    </xf>
    <xf numFmtId="0" fontId="125" fillId="9" borderId="0" xfId="4" applyFont="1" applyFill="1" applyAlignment="1" applyProtection="1">
      <alignment vertical="center"/>
      <protection hidden="1"/>
    </xf>
    <xf numFmtId="0" fontId="126" fillId="9" borderId="0" xfId="4" applyFont="1" applyFill="1" applyAlignment="1" applyProtection="1">
      <alignment vertical="center"/>
      <protection hidden="1"/>
    </xf>
    <xf numFmtId="0" fontId="68" fillId="9" borderId="0" xfId="4" applyFont="1" applyFill="1" applyAlignment="1" applyProtection="1">
      <alignment vertical="center"/>
      <protection hidden="1"/>
    </xf>
    <xf numFmtId="0" fontId="76" fillId="9" borderId="0" xfId="0" applyFont="1" applyFill="1" applyAlignment="1">
      <alignment horizontal="left" vertical="center"/>
    </xf>
    <xf numFmtId="0" fontId="101" fillId="9" borderId="0" xfId="0" applyFont="1" applyFill="1" applyAlignment="1">
      <alignment horizontal="right" vertical="center"/>
    </xf>
    <xf numFmtId="0" fontId="9" fillId="9" borderId="0" xfId="4" applyFont="1" applyFill="1" applyAlignment="1" applyProtection="1">
      <alignment horizontal="center" vertical="center" textRotation="90"/>
      <protection locked="0"/>
    </xf>
    <xf numFmtId="0" fontId="9" fillId="5" borderId="0" xfId="4" applyFont="1" applyFill="1" applyAlignment="1" applyProtection="1">
      <alignment horizontal="center" vertical="center" textRotation="90"/>
      <protection locked="0"/>
    </xf>
    <xf numFmtId="0" fontId="9" fillId="5" borderId="2" xfId="4" applyFont="1" applyFill="1" applyBorder="1" applyAlignment="1" applyProtection="1">
      <alignment horizontal="center" vertical="center" textRotation="90"/>
      <protection locked="0"/>
    </xf>
    <xf numFmtId="0" fontId="10" fillId="9" borderId="0" xfId="4" applyFont="1" applyFill="1" applyAlignment="1">
      <alignment horizontal="center" vertical="center"/>
    </xf>
    <xf numFmtId="183" fontId="59" fillId="9" borderId="0" xfId="4" applyNumberFormat="1" applyFont="1" applyFill="1" applyAlignment="1" applyProtection="1">
      <alignment horizontal="right" vertical="center"/>
      <protection hidden="1"/>
    </xf>
    <xf numFmtId="0" fontId="101" fillId="9" borderId="0" xfId="0" applyFont="1" applyFill="1" applyAlignment="1">
      <alignment vertical="center"/>
    </xf>
    <xf numFmtId="0" fontId="46" fillId="5" borderId="0" xfId="0" applyFont="1" applyFill="1" applyAlignment="1">
      <alignment vertical="center"/>
    </xf>
    <xf numFmtId="0" fontId="46" fillId="5" borderId="0" xfId="0" applyFont="1" applyFill="1" applyAlignment="1">
      <alignment horizontal="left" vertical="center"/>
    </xf>
    <xf numFmtId="0" fontId="67" fillId="9" borderId="0" xfId="0" applyFont="1" applyFill="1" applyAlignment="1">
      <alignment vertical="center"/>
    </xf>
    <xf numFmtId="0" fontId="39" fillId="5" borderId="0" xfId="0" applyFont="1" applyFill="1" applyAlignment="1">
      <alignment horizontal="left" vertical="center"/>
    </xf>
    <xf numFmtId="0" fontId="57" fillId="9" borderId="0" xfId="4" applyFont="1" applyFill="1" applyAlignment="1" applyProtection="1">
      <alignment horizontal="left" vertical="center"/>
      <protection hidden="1"/>
    </xf>
    <xf numFmtId="0" fontId="127" fillId="9" borderId="0" xfId="4" applyFont="1" applyFill="1" applyAlignment="1" applyProtection="1">
      <alignment horizontal="left" vertical="center"/>
      <protection hidden="1"/>
    </xf>
    <xf numFmtId="0" fontId="128" fillId="3" borderId="0" xfId="4" applyFont="1" applyFill="1" applyAlignment="1">
      <alignment horizontal="left" vertical="center"/>
    </xf>
    <xf numFmtId="0" fontId="128" fillId="3" borderId="0" xfId="4" applyFont="1" applyFill="1" applyAlignment="1">
      <alignment horizontal="right" vertical="center"/>
    </xf>
    <xf numFmtId="0" fontId="68" fillId="9" borderId="0" xfId="4" applyFont="1" applyFill="1" applyAlignment="1" applyProtection="1">
      <alignment horizontal="left" vertical="center"/>
      <protection hidden="1"/>
    </xf>
    <xf numFmtId="0" fontId="2" fillId="4" borderId="39" xfId="4" applyFont="1" applyFill="1" applyBorder="1" applyAlignment="1">
      <alignment horizontal="center" vertical="center"/>
    </xf>
    <xf numFmtId="183" fontId="59" fillId="9" borderId="40" xfId="4" applyNumberFormat="1" applyFont="1" applyFill="1" applyBorder="1" applyAlignment="1" applyProtection="1">
      <alignment horizontal="right" vertical="center"/>
      <protection hidden="1"/>
    </xf>
    <xf numFmtId="0" fontId="68" fillId="9" borderId="40" xfId="4" applyFont="1" applyFill="1" applyBorder="1" applyAlignment="1" applyProtection="1">
      <alignment vertical="center"/>
      <protection hidden="1"/>
    </xf>
    <xf numFmtId="0" fontId="0" fillId="9" borderId="40" xfId="0" applyFill="1" applyBorder="1" applyAlignment="1">
      <alignment vertical="center"/>
    </xf>
    <xf numFmtId="0" fontId="68" fillId="9" borderId="40" xfId="4" applyFont="1" applyFill="1" applyBorder="1" applyAlignment="1" applyProtection="1">
      <alignment horizontal="left" vertical="center"/>
      <protection hidden="1"/>
    </xf>
    <xf numFmtId="0" fontId="9" fillId="9" borderId="40" xfId="4" applyFont="1" applyFill="1" applyBorder="1" applyAlignment="1" applyProtection="1">
      <alignment horizontal="center" vertical="center" textRotation="90"/>
      <protection locked="0"/>
    </xf>
    <xf numFmtId="0" fontId="9" fillId="5" borderId="40" xfId="4" applyFont="1" applyFill="1" applyBorder="1" applyAlignment="1" applyProtection="1">
      <alignment horizontal="center" vertical="center" textRotation="90"/>
      <protection locked="0"/>
    </xf>
    <xf numFmtId="0" fontId="9" fillId="5" borderId="41" xfId="4" applyFont="1" applyFill="1" applyBorder="1" applyAlignment="1" applyProtection="1">
      <alignment horizontal="center" vertical="center" textRotation="90"/>
      <protection locked="0"/>
    </xf>
    <xf numFmtId="0" fontId="129" fillId="3" borderId="0" xfId="4" applyFont="1" applyFill="1" applyAlignment="1">
      <alignment horizontal="left" vertical="center"/>
    </xf>
    <xf numFmtId="0" fontId="9" fillId="5" borderId="1" xfId="4" applyFont="1" applyFill="1" applyBorder="1" applyAlignment="1">
      <alignment horizontal="center" vertical="center"/>
    </xf>
    <xf numFmtId="0" fontId="130" fillId="62" borderId="40" xfId="5" applyFont="1" applyFill="1" applyBorder="1" applyAlignment="1">
      <alignment horizontal="center" vertical="center"/>
    </xf>
    <xf numFmtId="0" fontId="131" fillId="32" borderId="68" xfId="5" applyFont="1" applyFill="1" applyBorder="1" applyAlignment="1">
      <alignment horizontal="center" vertical="center"/>
    </xf>
    <xf numFmtId="0" fontId="58" fillId="27" borderId="68" xfId="5" applyFont="1" applyFill="1" applyBorder="1" applyAlignment="1">
      <alignment horizontal="center" vertical="center"/>
    </xf>
    <xf numFmtId="0" fontId="58" fillId="2" borderId="68" xfId="5" applyFont="1" applyFill="1" applyBorder="1" applyAlignment="1">
      <alignment horizontal="center" vertical="center"/>
    </xf>
    <xf numFmtId="0" fontId="101" fillId="9" borderId="2" xfId="0" applyFont="1" applyFill="1" applyBorder="1" applyAlignment="1">
      <alignment vertical="center"/>
    </xf>
    <xf numFmtId="0" fontId="137" fillId="9" borderId="0" xfId="1" applyFont="1" applyFill="1" applyAlignment="1">
      <alignment vertical="center"/>
    </xf>
    <xf numFmtId="0" fontId="68" fillId="63" borderId="4" xfId="7" applyFont="1" applyFill="1" applyBorder="1" applyAlignment="1">
      <alignment horizontal="center" vertical="center"/>
    </xf>
    <xf numFmtId="0" fontId="137" fillId="9" borderId="2" xfId="1" applyFont="1" applyFill="1" applyBorder="1" applyAlignment="1">
      <alignment vertical="center"/>
    </xf>
    <xf numFmtId="0" fontId="127" fillId="9" borderId="0" xfId="1" applyFont="1" applyFill="1" applyAlignment="1">
      <alignment vertical="center"/>
    </xf>
    <xf numFmtId="0" fontId="137" fillId="9" borderId="4" xfId="1" applyFont="1" applyFill="1" applyBorder="1" applyAlignment="1">
      <alignment vertical="center"/>
    </xf>
    <xf numFmtId="0" fontId="89" fillId="64" borderId="0" xfId="4" applyFont="1" applyFill="1" applyAlignment="1">
      <alignment vertical="center"/>
    </xf>
    <xf numFmtId="0" fontId="138" fillId="64" borderId="0" xfId="4" applyFont="1" applyFill="1" applyAlignment="1">
      <alignment horizontal="right" vertical="center"/>
    </xf>
    <xf numFmtId="0" fontId="139" fillId="64" borderId="2" xfId="4" applyFont="1" applyFill="1" applyBorder="1" applyAlignment="1">
      <alignment vertical="center"/>
    </xf>
    <xf numFmtId="0" fontId="17" fillId="9" borderId="0" xfId="1" applyFont="1" applyFill="1" applyAlignment="1">
      <alignment horizontal="left" vertical="center"/>
    </xf>
    <xf numFmtId="0" fontId="127" fillId="9" borderId="99" xfId="1" applyFont="1" applyFill="1" applyBorder="1" applyAlignment="1">
      <alignment vertical="center"/>
    </xf>
    <xf numFmtId="0" fontId="137" fillId="9" borderId="94" xfId="1" applyFont="1" applyFill="1" applyBorder="1" applyAlignment="1">
      <alignment vertical="center"/>
    </xf>
    <xf numFmtId="0" fontId="137" fillId="9" borderId="93" xfId="1" applyFont="1" applyFill="1" applyBorder="1" applyAlignment="1">
      <alignment vertical="center"/>
    </xf>
    <xf numFmtId="0" fontId="1" fillId="0" borderId="0" xfId="1" applyAlignment="1">
      <alignment horizontal="left" vertical="center"/>
    </xf>
    <xf numFmtId="0" fontId="140" fillId="9" borderId="7" xfId="1" applyFont="1" applyFill="1" applyBorder="1" applyAlignment="1">
      <alignment vertical="center"/>
    </xf>
    <xf numFmtId="0" fontId="137" fillId="9" borderId="19" xfId="1" applyFont="1" applyFill="1" applyBorder="1" applyAlignment="1">
      <alignment vertical="center"/>
    </xf>
    <xf numFmtId="0" fontId="127" fillId="9" borderId="7" xfId="1" applyFont="1" applyFill="1" applyBorder="1" applyAlignment="1">
      <alignment vertical="center"/>
    </xf>
    <xf numFmtId="0" fontId="127" fillId="9" borderId="46" xfId="1" applyFont="1" applyFill="1" applyBorder="1" applyAlignment="1">
      <alignment vertical="center"/>
    </xf>
    <xf numFmtId="0" fontId="137" fillId="9" borderId="43" xfId="1" applyFont="1" applyFill="1" applyBorder="1" applyAlignment="1">
      <alignment vertical="center"/>
    </xf>
    <xf numFmtId="0" fontId="137" fillId="9" borderId="45" xfId="1" applyFont="1" applyFill="1" applyBorder="1" applyAlignment="1">
      <alignment vertical="center"/>
    </xf>
    <xf numFmtId="0" fontId="45" fillId="0" borderId="0" xfId="0" applyFont="1"/>
    <xf numFmtId="0" fontId="39" fillId="0" borderId="0" xfId="0" applyFont="1"/>
    <xf numFmtId="0" fontId="5" fillId="64" borderId="0" xfId="4" applyFont="1" applyFill="1" applyAlignment="1" applyProtection="1">
      <alignment horizontal="left" vertical="center"/>
      <protection hidden="1"/>
    </xf>
    <xf numFmtId="0" fontId="1" fillId="66" borderId="0" xfId="1" applyFill="1"/>
    <xf numFmtId="0" fontId="5" fillId="64" borderId="0" xfId="4" applyFont="1" applyFill="1" applyAlignment="1" applyProtection="1">
      <alignment vertical="center"/>
      <protection hidden="1"/>
    </xf>
    <xf numFmtId="0" fontId="5" fillId="64" borderId="0" xfId="21" applyFont="1" applyFill="1" applyAlignment="1">
      <alignment horizontal="left" vertical="center"/>
    </xf>
    <xf numFmtId="0" fontId="2" fillId="64" borderId="0" xfId="22" applyFont="1" applyFill="1" applyAlignment="1">
      <alignment horizontal="left" vertical="center"/>
    </xf>
    <xf numFmtId="0" fontId="48" fillId="0" borderId="0" xfId="4" applyFont="1" applyAlignment="1">
      <alignment horizontal="center" vertical="center"/>
    </xf>
    <xf numFmtId="0" fontId="141" fillId="9" borderId="0" xfId="1" applyFont="1" applyFill="1" applyAlignment="1">
      <alignment horizontal="left" vertical="center"/>
    </xf>
    <xf numFmtId="0" fontId="46" fillId="9" borderId="0" xfId="1" applyFont="1" applyFill="1" applyAlignment="1">
      <alignment horizontal="left" vertical="center"/>
    </xf>
    <xf numFmtId="0" fontId="110" fillId="9" borderId="0" xfId="0" applyFont="1" applyFill="1" applyAlignment="1">
      <alignment horizontal="left" vertical="center" indent="1"/>
    </xf>
    <xf numFmtId="0" fontId="142" fillId="9" borderId="0" xfId="1" applyFont="1" applyFill="1" applyAlignment="1">
      <alignment vertical="center"/>
    </xf>
    <xf numFmtId="0" fontId="46" fillId="9" borderId="0" xfId="1" applyFont="1" applyFill="1" applyAlignment="1">
      <alignment vertical="center"/>
    </xf>
    <xf numFmtId="0" fontId="143" fillId="9" borderId="2" xfId="1" applyFont="1" applyFill="1" applyBorder="1" applyAlignment="1">
      <alignment horizontal="center" vertical="center"/>
    </xf>
    <xf numFmtId="0" fontId="143" fillId="9" borderId="0" xfId="1" applyFont="1" applyFill="1" applyAlignment="1">
      <alignment horizontal="center" vertical="center"/>
    </xf>
    <xf numFmtId="0" fontId="136" fillId="9" borderId="0" xfId="1" applyFont="1" applyFill="1" applyAlignment="1">
      <alignment horizontal="right" vertical="center"/>
    </xf>
    <xf numFmtId="0" fontId="17" fillId="69" borderId="4" xfId="4" applyFont="1" applyFill="1" applyBorder="1" applyAlignment="1" applyProtection="1">
      <alignment horizontal="center" vertical="center"/>
      <protection locked="0"/>
    </xf>
    <xf numFmtId="0" fontId="46" fillId="9" borderId="2" xfId="1" applyFont="1" applyFill="1" applyBorder="1" applyAlignment="1">
      <alignment vertical="center"/>
    </xf>
    <xf numFmtId="0" fontId="136" fillId="9" borderId="0" xfId="1" applyFont="1" applyFill="1"/>
    <xf numFmtId="0" fontId="38" fillId="9" borderId="4" xfId="1" applyFont="1" applyFill="1" applyBorder="1" applyAlignment="1">
      <alignment horizontal="center" vertical="center"/>
    </xf>
    <xf numFmtId="0" fontId="145" fillId="9" borderId="0" xfId="14" applyFont="1" applyFill="1" applyBorder="1" applyAlignment="1">
      <alignment vertical="center"/>
    </xf>
    <xf numFmtId="0" fontId="146" fillId="64" borderId="4" xfId="4" applyFont="1" applyFill="1" applyBorder="1" applyAlignment="1">
      <alignment horizontal="center" vertical="center"/>
    </xf>
    <xf numFmtId="0" fontId="1" fillId="9" borderId="0" xfId="1" applyFill="1" applyAlignment="1">
      <alignment horizontal="center" vertical="center"/>
    </xf>
    <xf numFmtId="0" fontId="100" fillId="9" borderId="2" xfId="4" applyFont="1" applyFill="1" applyBorder="1" applyAlignment="1" applyProtection="1">
      <alignment horizontal="left" vertical="center"/>
      <protection hidden="1"/>
    </xf>
    <xf numFmtId="0" fontId="136" fillId="9" borderId="0" xfId="4" applyFont="1" applyFill="1" applyAlignment="1" applyProtection="1">
      <alignment horizontal="center" vertical="center"/>
      <protection hidden="1"/>
    </xf>
    <xf numFmtId="0" fontId="17" fillId="9" borderId="0" xfId="4" applyFont="1" applyFill="1" applyAlignment="1" applyProtection="1">
      <alignment horizontal="right" vertical="center"/>
      <protection hidden="1"/>
    </xf>
    <xf numFmtId="0" fontId="11" fillId="70" borderId="4" xfId="4" applyFont="1" applyFill="1" applyBorder="1" applyAlignment="1">
      <alignment horizontal="center" vertical="center"/>
    </xf>
    <xf numFmtId="1" fontId="1" fillId="2" borderId="30" xfId="1" applyNumberFormat="1" applyFill="1" applyBorder="1" applyAlignment="1">
      <alignment horizontal="center"/>
    </xf>
    <xf numFmtId="1" fontId="1" fillId="2" borderId="1" xfId="1" applyNumberFormat="1" applyFill="1" applyBorder="1" applyAlignment="1">
      <alignment horizontal="center"/>
    </xf>
    <xf numFmtId="1" fontId="1" fillId="2" borderId="3" xfId="1" applyNumberFormat="1" applyFill="1" applyBorder="1" applyAlignment="1">
      <alignment horizontal="center"/>
    </xf>
    <xf numFmtId="0" fontId="26" fillId="9" borderId="0" xfId="4" applyFont="1" applyFill="1" applyAlignment="1" applyProtection="1">
      <alignment horizontal="left" vertical="center"/>
      <protection locked="0"/>
    </xf>
    <xf numFmtId="0" fontId="46" fillId="27" borderId="0" xfId="0" applyFont="1" applyFill="1" applyAlignment="1">
      <alignment vertical="center"/>
    </xf>
    <xf numFmtId="0" fontId="47" fillId="9" borderId="0" xfId="0" applyFont="1" applyFill="1"/>
    <xf numFmtId="0" fontId="37" fillId="9" borderId="0" xfId="0" applyFont="1" applyFill="1" applyAlignment="1">
      <alignment vertical="center" wrapText="1"/>
    </xf>
    <xf numFmtId="0" fontId="147" fillId="9" borderId="0" xfId="0" applyFont="1" applyFill="1" applyAlignment="1">
      <alignment vertical="center"/>
    </xf>
    <xf numFmtId="0" fontId="62" fillId="9" borderId="0" xfId="14" applyFill="1" applyAlignment="1">
      <alignment vertical="center" wrapText="1"/>
    </xf>
    <xf numFmtId="0" fontId="51" fillId="9" borderId="0" xfId="1" applyFont="1" applyFill="1" applyAlignment="1">
      <alignment horizontal="center" vertical="center"/>
    </xf>
    <xf numFmtId="0" fontId="2" fillId="4" borderId="100" xfId="4" applyFont="1" applyFill="1" applyBorder="1" applyAlignment="1">
      <alignment horizontal="center" vertical="center"/>
    </xf>
    <xf numFmtId="0" fontId="1" fillId="0" borderId="0" xfId="0" applyFont="1"/>
    <xf numFmtId="0" fontId="51" fillId="9" borderId="88" xfId="1" applyFont="1" applyFill="1" applyBorder="1" applyAlignment="1">
      <alignment horizontal="center" vertical="center"/>
    </xf>
    <xf numFmtId="0" fontId="148" fillId="9" borderId="0" xfId="1" applyFont="1" applyFill="1" applyAlignment="1">
      <alignment horizontal="left" vertical="center"/>
    </xf>
    <xf numFmtId="0" fontId="38" fillId="9" borderId="0" xfId="1" applyFont="1" applyFill="1" applyAlignment="1">
      <alignment horizontal="center" vertical="center"/>
    </xf>
    <xf numFmtId="0" fontId="38" fillId="9" borderId="101" xfId="1" applyFont="1" applyFill="1" applyBorder="1" applyAlignment="1">
      <alignment horizontal="center" vertical="center"/>
    </xf>
    <xf numFmtId="0" fontId="14" fillId="9" borderId="0" xfId="1" applyFont="1" applyFill="1" applyAlignment="1">
      <alignment horizontal="left" vertical="center"/>
    </xf>
    <xf numFmtId="0" fontId="89" fillId="9" borderId="0" xfId="1" applyFont="1" applyFill="1" applyAlignment="1">
      <alignment horizontal="left" vertical="center"/>
    </xf>
    <xf numFmtId="0" fontId="89" fillId="9" borderId="101" xfId="1" applyFont="1" applyFill="1" applyBorder="1" applyAlignment="1">
      <alignment horizontal="left" vertical="center"/>
    </xf>
    <xf numFmtId="0" fontId="68" fillId="9" borderId="0" xfId="1" applyFont="1" applyFill="1" applyAlignment="1">
      <alignment horizontal="left" vertical="center"/>
    </xf>
    <xf numFmtId="0" fontId="151" fillId="9" borderId="0" xfId="1" applyFont="1" applyFill="1" applyAlignment="1">
      <alignment horizontal="left" vertical="center"/>
    </xf>
    <xf numFmtId="184" fontId="148" fillId="9" borderId="0" xfId="1" applyNumberFormat="1" applyFont="1" applyFill="1" applyAlignment="1">
      <alignment horizontal="left" vertical="center"/>
    </xf>
    <xf numFmtId="0" fontId="78" fillId="71" borderId="0" xfId="10" applyFont="1" applyFill="1" applyAlignment="1">
      <alignment horizontal="right" vertical="center"/>
    </xf>
    <xf numFmtId="168" fontId="78" fillId="9" borderId="0" xfId="10" applyNumberFormat="1" applyFont="1" applyFill="1" applyAlignment="1">
      <alignment vertical="center"/>
    </xf>
    <xf numFmtId="168" fontId="73" fillId="9" borderId="0" xfId="10" applyNumberFormat="1" applyFont="1" applyFill="1" applyAlignment="1">
      <alignment horizontal="left" vertical="center"/>
    </xf>
    <xf numFmtId="168" fontId="73" fillId="9" borderId="0" xfId="10" applyNumberFormat="1" applyFont="1" applyFill="1" applyAlignment="1">
      <alignment horizontal="right" vertical="center"/>
    </xf>
    <xf numFmtId="0" fontId="152" fillId="9" borderId="0" xfId="14" applyFont="1" applyFill="1" applyBorder="1" applyAlignment="1">
      <alignment horizontal="left" vertical="center"/>
    </xf>
    <xf numFmtId="0" fontId="1" fillId="9" borderId="0" xfId="0" applyFont="1" applyFill="1"/>
    <xf numFmtId="0" fontId="56" fillId="9" borderId="0" xfId="1" applyFont="1" applyFill="1" applyAlignment="1">
      <alignment horizontal="right" vertical="center"/>
    </xf>
    <xf numFmtId="0" fontId="57" fillId="9" borderId="0" xfId="1" applyFont="1" applyFill="1" applyAlignment="1">
      <alignment horizontal="right" vertical="center"/>
    </xf>
    <xf numFmtId="0" fontId="145" fillId="9" borderId="0" xfId="14" applyFont="1" applyFill="1" applyBorder="1" applyAlignment="1">
      <alignment horizontal="left" vertical="center"/>
    </xf>
    <xf numFmtId="0" fontId="62" fillId="9" borderId="0" xfId="14" applyFill="1" applyBorder="1" applyAlignment="1">
      <alignment horizontal="left" vertical="center"/>
    </xf>
    <xf numFmtId="0" fontId="56" fillId="9" borderId="0" xfId="1" applyFont="1" applyFill="1" applyAlignment="1">
      <alignment horizontal="left" vertical="center"/>
    </xf>
    <xf numFmtId="0" fontId="51" fillId="12" borderId="88" xfId="1" applyFont="1" applyFill="1" applyBorder="1" applyAlignment="1">
      <alignment horizontal="center" vertical="center"/>
    </xf>
    <xf numFmtId="0" fontId="153" fillId="12" borderId="0" xfId="1" applyFont="1" applyFill="1" applyAlignment="1">
      <alignment horizontal="left" vertical="center"/>
    </xf>
    <xf numFmtId="0" fontId="89" fillId="12" borderId="0" xfId="1" applyFont="1" applyFill="1" applyAlignment="1">
      <alignment horizontal="left" vertical="center"/>
    </xf>
    <xf numFmtId="0" fontId="0" fillId="9" borderId="101" xfId="0" applyFill="1" applyBorder="1" applyAlignment="1">
      <alignment horizontal="center" vertical="center"/>
    </xf>
    <xf numFmtId="0" fontId="39" fillId="0" borderId="0" xfId="21"/>
    <xf numFmtId="0" fontId="144" fillId="72" borderId="102" xfId="4" applyFont="1" applyFill="1" applyBorder="1" applyAlignment="1">
      <alignment horizontal="center" vertical="center"/>
    </xf>
    <xf numFmtId="0" fontId="154" fillId="12" borderId="0" xfId="1" applyFont="1" applyFill="1" applyAlignment="1">
      <alignment horizontal="left" vertical="center"/>
    </xf>
    <xf numFmtId="0" fontId="155" fillId="12" borderId="0" xfId="1" applyFont="1" applyFill="1" applyAlignment="1">
      <alignment horizontal="center" vertical="center"/>
    </xf>
    <xf numFmtId="0" fontId="11" fillId="4" borderId="0" xfId="4" applyFont="1" applyFill="1" applyAlignment="1">
      <alignment horizontal="center" vertical="center"/>
    </xf>
    <xf numFmtId="0" fontId="156" fillId="9" borderId="0" xfId="21" applyFont="1" applyFill="1" applyAlignment="1">
      <alignment horizontal="center" vertical="center"/>
    </xf>
    <xf numFmtId="0" fontId="39" fillId="9" borderId="0" xfId="21" applyFill="1"/>
    <xf numFmtId="0" fontId="39" fillId="9" borderId="4" xfId="21" applyFill="1" applyBorder="1"/>
    <xf numFmtId="0" fontId="157" fillId="12" borderId="0" xfId="21" applyFont="1" applyFill="1"/>
    <xf numFmtId="0" fontId="154" fillId="12" borderId="0" xfId="21" applyFont="1" applyFill="1" applyAlignment="1">
      <alignment horizontal="center" vertical="center"/>
    </xf>
    <xf numFmtId="0" fontId="157" fillId="12" borderId="4" xfId="21" applyFont="1" applyFill="1" applyBorder="1"/>
    <xf numFmtId="0" fontId="13" fillId="9" borderId="0" xfId="1" applyFont="1" applyFill="1" applyAlignment="1">
      <alignment horizontal="left" vertical="center"/>
    </xf>
    <xf numFmtId="0" fontId="13" fillId="9" borderId="0" xfId="1" applyFont="1" applyFill="1" applyAlignment="1">
      <alignment horizontal="center" vertical="center"/>
    </xf>
    <xf numFmtId="0" fontId="1" fillId="9" borderId="0" xfId="21" applyFont="1" applyFill="1"/>
    <xf numFmtId="0" fontId="76" fillId="9" borderId="0" xfId="21" applyFont="1" applyFill="1" applyAlignment="1">
      <alignment vertical="center"/>
    </xf>
    <xf numFmtId="0" fontId="39" fillId="9" borderId="0" xfId="21" applyFill="1" applyAlignment="1">
      <alignment vertical="center"/>
    </xf>
    <xf numFmtId="0" fontId="114" fillId="9" borderId="0" xfId="21" applyFont="1" applyFill="1" applyAlignment="1">
      <alignment vertical="center"/>
    </xf>
    <xf numFmtId="0" fontId="39" fillId="0" borderId="0" xfId="21" applyAlignment="1">
      <alignment horizontal="center"/>
    </xf>
    <xf numFmtId="0" fontId="95" fillId="9" borderId="0" xfId="21" applyFont="1" applyFill="1" applyAlignment="1">
      <alignment vertical="center"/>
    </xf>
    <xf numFmtId="0" fontId="62" fillId="43" borderId="0" xfId="14" applyNumberFormat="1" applyFill="1" applyBorder="1" applyAlignment="1">
      <alignment horizontal="center" vertical="center"/>
    </xf>
    <xf numFmtId="0" fontId="1" fillId="9" borderId="0" xfId="21" applyFont="1" applyFill="1" applyAlignment="1">
      <alignment vertical="top"/>
    </xf>
    <xf numFmtId="0" fontId="1" fillId="9" borderId="4" xfId="21" applyFont="1" applyFill="1" applyBorder="1" applyAlignment="1">
      <alignment vertical="top"/>
    </xf>
    <xf numFmtId="0" fontId="39" fillId="5" borderId="0" xfId="21" applyFill="1" applyAlignment="1">
      <alignment vertical="center"/>
    </xf>
    <xf numFmtId="0" fontId="1" fillId="9" borderId="0" xfId="21" applyFont="1" applyFill="1" applyAlignment="1">
      <alignment horizontal="left" vertical="center"/>
    </xf>
    <xf numFmtId="0" fontId="39" fillId="9" borderId="0" xfId="21" applyFill="1" applyAlignment="1">
      <alignment horizontal="center"/>
    </xf>
    <xf numFmtId="0" fontId="62" fillId="43" borderId="0" xfId="23" applyNumberFormat="1" applyFill="1" applyBorder="1" applyAlignment="1">
      <alignment horizontal="center" vertical="center"/>
    </xf>
    <xf numFmtId="0" fontId="39" fillId="0" borderId="0" xfId="21" applyAlignment="1">
      <alignment vertical="center"/>
    </xf>
    <xf numFmtId="0" fontId="39" fillId="5" borderId="0" xfId="21" applyFill="1" applyAlignment="1">
      <alignment horizontal="center" vertical="center"/>
    </xf>
    <xf numFmtId="0" fontId="39" fillId="9" borderId="0" xfId="21" applyFill="1" applyAlignment="1">
      <alignment horizontal="center" vertical="center" wrapText="1"/>
    </xf>
    <xf numFmtId="0" fontId="39" fillId="9" borderId="4" xfId="21" applyFill="1" applyBorder="1" applyAlignment="1">
      <alignment horizontal="center" vertical="center" wrapText="1"/>
    </xf>
    <xf numFmtId="0" fontId="39" fillId="7" borderId="0" xfId="21" applyFill="1" applyAlignment="1">
      <alignment horizontal="center" vertical="center"/>
    </xf>
    <xf numFmtId="0" fontId="1" fillId="9" borderId="4" xfId="21" applyFont="1" applyFill="1" applyBorder="1" applyAlignment="1">
      <alignment horizontal="left" vertical="center"/>
    </xf>
    <xf numFmtId="0" fontId="62" fillId="58" borderId="0" xfId="23" applyNumberFormat="1" applyFill="1" applyBorder="1" applyAlignment="1">
      <alignment horizontal="center"/>
    </xf>
    <xf numFmtId="0" fontId="95" fillId="0" borderId="0" xfId="21" applyFont="1" applyAlignment="1">
      <alignment vertical="center"/>
    </xf>
    <xf numFmtId="0" fontId="76" fillId="0" borderId="0" xfId="21" applyFont="1" applyAlignment="1">
      <alignment horizontal="right" vertical="center"/>
    </xf>
    <xf numFmtId="0" fontId="92" fillId="0" borderId="0" xfId="24" applyBorder="1" applyAlignment="1">
      <alignment vertical="center"/>
    </xf>
    <xf numFmtId="0" fontId="94" fillId="9" borderId="41" xfId="20" applyFont="1" applyFill="1" applyBorder="1" applyAlignment="1">
      <alignment vertical="center"/>
    </xf>
    <xf numFmtId="0" fontId="94" fillId="9" borderId="40" xfId="21" applyFont="1" applyFill="1" applyBorder="1"/>
    <xf numFmtId="0" fontId="79" fillId="9" borderId="39" xfId="21" applyFont="1" applyFill="1" applyBorder="1"/>
    <xf numFmtId="0" fontId="94" fillId="9" borderId="2" xfId="20" applyFont="1" applyFill="1" applyBorder="1" applyAlignment="1">
      <alignment vertical="center"/>
    </xf>
    <xf numFmtId="0" fontId="94" fillId="9" borderId="0" xfId="21" applyFont="1" applyFill="1"/>
    <xf numFmtId="0" fontId="79" fillId="9" borderId="4" xfId="21" applyFont="1" applyFill="1" applyBorder="1"/>
    <xf numFmtId="0" fontId="1" fillId="9" borderId="0" xfId="21" applyFont="1" applyFill="1" applyAlignment="1">
      <alignment horizontal="center" vertical="top" wrapText="1"/>
    </xf>
    <xf numFmtId="0" fontId="1" fillId="9" borderId="4" xfId="21" applyFont="1" applyFill="1" applyBorder="1" applyAlignment="1">
      <alignment horizontal="center" vertical="top" wrapText="1"/>
    </xf>
    <xf numFmtId="0" fontId="17" fillId="9" borderId="2" xfId="4" applyFont="1" applyFill="1" applyBorder="1" applyAlignment="1" applyProtection="1">
      <alignment vertical="center"/>
      <protection hidden="1"/>
    </xf>
    <xf numFmtId="0" fontId="59" fillId="9" borderId="0" xfId="4" applyFont="1" applyFill="1"/>
    <xf numFmtId="0" fontId="59" fillId="9" borderId="4" xfId="4" applyFont="1" applyFill="1" applyBorder="1"/>
    <xf numFmtId="0" fontId="58" fillId="2" borderId="2" xfId="4" applyFont="1" applyFill="1" applyBorder="1" applyAlignment="1">
      <alignment horizontal="center" vertical="center"/>
    </xf>
    <xf numFmtId="0" fontId="58" fillId="2" borderId="0" xfId="4" applyFont="1" applyFill="1" applyAlignment="1">
      <alignment horizontal="center" vertical="center"/>
    </xf>
    <xf numFmtId="0" fontId="58" fillId="2" borderId="4" xfId="4" applyFont="1" applyFill="1" applyBorder="1" applyAlignment="1">
      <alignment horizontal="center" vertical="center"/>
    </xf>
    <xf numFmtId="0" fontId="55" fillId="0" borderId="0" xfId="20" applyFont="1" applyAlignment="1">
      <alignment vertical="center"/>
    </xf>
    <xf numFmtId="0" fontId="157" fillId="12" borderId="0" xfId="21" applyFont="1" applyFill="1" applyAlignment="1">
      <alignment horizontal="left" vertical="center"/>
    </xf>
    <xf numFmtId="0" fontId="157" fillId="12" borderId="0" xfId="21" applyFont="1" applyFill="1" applyAlignment="1">
      <alignment horizontal="right" vertical="center"/>
    </xf>
    <xf numFmtId="0" fontId="154" fillId="12" borderId="0" xfId="21" applyFont="1" applyFill="1" applyAlignment="1">
      <alignment horizontal="center" vertical="top" wrapText="1"/>
    </xf>
    <xf numFmtId="0" fontId="154" fillId="12" borderId="0" xfId="21" applyFont="1" applyFill="1" applyAlignment="1">
      <alignment horizontal="left" vertical="top"/>
    </xf>
    <xf numFmtId="0" fontId="154" fillId="12" borderId="4" xfId="21" applyFont="1" applyFill="1" applyBorder="1" applyAlignment="1">
      <alignment horizontal="center" vertical="top" wrapText="1"/>
    </xf>
    <xf numFmtId="0" fontId="58" fillId="5" borderId="30" xfId="4" applyFont="1" applyFill="1" applyBorder="1" applyAlignment="1">
      <alignment horizontal="center" vertical="center"/>
    </xf>
    <xf numFmtId="0" fontId="58" fillId="5" borderId="1" xfId="4" applyFont="1" applyFill="1" applyBorder="1" applyAlignment="1">
      <alignment horizontal="center" vertical="center"/>
    </xf>
    <xf numFmtId="0" fontId="58" fillId="5" borderId="3" xfId="4" applyFont="1" applyFill="1" applyBorder="1" applyAlignment="1">
      <alignment horizontal="center" vertical="center"/>
    </xf>
    <xf numFmtId="0" fontId="154" fillId="12" borderId="0" xfId="21" applyFont="1" applyFill="1"/>
    <xf numFmtId="0" fontId="154" fillId="12" borderId="0" xfId="0" applyFont="1" applyFill="1" applyAlignment="1">
      <alignment horizontal="center" vertical="center"/>
    </xf>
    <xf numFmtId="0" fontId="1" fillId="9" borderId="0" xfId="21" applyFont="1" applyFill="1" applyAlignment="1">
      <alignment horizontal="center" vertical="center" wrapText="1"/>
    </xf>
    <xf numFmtId="0" fontId="1" fillId="9" borderId="4" xfId="21" applyFont="1" applyFill="1" applyBorder="1" applyAlignment="1">
      <alignment horizontal="center" vertical="center" wrapText="1"/>
    </xf>
    <xf numFmtId="185" fontId="1" fillId="0" borderId="0" xfId="21" applyNumberFormat="1" applyFont="1"/>
    <xf numFmtId="0" fontId="158" fillId="12" borderId="0" xfId="21" applyFont="1" applyFill="1" applyAlignment="1">
      <alignment vertical="center"/>
    </xf>
    <xf numFmtId="0" fontId="158" fillId="12" borderId="0" xfId="21" applyFont="1" applyFill="1" applyAlignment="1">
      <alignment horizontal="right" vertical="center"/>
    </xf>
    <xf numFmtId="0" fontId="4" fillId="0" borderId="0" xfId="21" applyFont="1" applyAlignment="1">
      <alignment vertical="center"/>
    </xf>
    <xf numFmtId="0" fontId="95" fillId="9" borderId="0" xfId="21" applyFont="1" applyFill="1" applyAlignment="1">
      <alignment horizontal="left"/>
    </xf>
    <xf numFmtId="186" fontId="1" fillId="0" borderId="0" xfId="21" applyNumberFormat="1" applyFont="1"/>
    <xf numFmtId="0" fontId="157" fillId="12" borderId="0" xfId="21" applyFont="1" applyFill="1" applyAlignment="1">
      <alignment horizontal="left"/>
    </xf>
    <xf numFmtId="0" fontId="154" fillId="12" borderId="0" xfId="21" applyFont="1" applyFill="1" applyAlignment="1">
      <alignment horizontal="center" vertical="center" wrapText="1"/>
    </xf>
    <xf numFmtId="187" fontId="1" fillId="0" borderId="0" xfId="21" applyNumberFormat="1" applyFont="1"/>
    <xf numFmtId="0" fontId="5" fillId="72" borderId="41" xfId="0" applyFont="1" applyFill="1" applyBorder="1" applyAlignment="1">
      <alignment horizontal="center" vertical="center"/>
    </xf>
    <xf numFmtId="188" fontId="8" fillId="0" borderId="0" xfId="4" applyNumberFormat="1"/>
    <xf numFmtId="0" fontId="0" fillId="0" borderId="0" xfId="0" applyAlignment="1">
      <alignment horizontal="right"/>
    </xf>
    <xf numFmtId="0" fontId="159" fillId="73" borderId="0" xfId="0" applyFont="1" applyFill="1" applyAlignment="1">
      <alignment horizontal="left"/>
    </xf>
    <xf numFmtId="0" fontId="159" fillId="9" borderId="0" xfId="0" applyFont="1" applyFill="1"/>
    <xf numFmtId="0" fontId="159" fillId="9" borderId="4" xfId="0" applyFont="1" applyFill="1" applyBorder="1"/>
    <xf numFmtId="189" fontId="1" fillId="0" borderId="0" xfId="21" applyNumberFormat="1" applyFont="1"/>
    <xf numFmtId="0" fontId="0" fillId="9" borderId="4" xfId="0" applyFill="1" applyBorder="1" applyAlignment="1">
      <alignment vertical="center"/>
    </xf>
    <xf numFmtId="0" fontId="39" fillId="9" borderId="0" xfId="21" applyFill="1" applyAlignment="1">
      <alignment horizontal="left"/>
    </xf>
    <xf numFmtId="168" fontId="1" fillId="0" borderId="0" xfId="21" applyNumberFormat="1" applyFont="1"/>
    <xf numFmtId="0" fontId="87" fillId="9" borderId="0" xfId="0" applyFont="1" applyFill="1" applyAlignment="1">
      <alignment horizontal="right" vertical="center"/>
    </xf>
    <xf numFmtId="0" fontId="160" fillId="73" borderId="103" xfId="0" applyFont="1" applyFill="1" applyBorder="1" applyAlignment="1">
      <alignment horizontal="center" vertical="center"/>
    </xf>
    <xf numFmtId="0" fontId="62" fillId="74" borderId="0" xfId="23" applyFill="1" applyBorder="1" applyAlignment="1">
      <alignment horizontal="center" vertical="center"/>
    </xf>
    <xf numFmtId="0" fontId="1" fillId="9" borderId="0" xfId="21" applyFont="1" applyFill="1" applyAlignment="1">
      <alignment vertical="center"/>
    </xf>
    <xf numFmtId="190" fontId="1" fillId="0" borderId="0" xfId="21" applyNumberFormat="1" applyFont="1"/>
    <xf numFmtId="0" fontId="62" fillId="9" borderId="0" xfId="23" applyFill="1" applyBorder="1" applyAlignment="1">
      <alignment horizontal="center" vertical="center"/>
    </xf>
    <xf numFmtId="191" fontId="8" fillId="0" borderId="0" xfId="4" applyNumberFormat="1"/>
    <xf numFmtId="192" fontId="1" fillId="0" borderId="0" xfId="21" applyNumberFormat="1" applyFont="1"/>
    <xf numFmtId="193" fontId="1" fillId="0" borderId="0" xfId="21" applyNumberFormat="1" applyFont="1"/>
    <xf numFmtId="0" fontId="92" fillId="74" borderId="0" xfId="24" applyFill="1" applyBorder="1" applyAlignment="1">
      <alignment horizontal="center" vertical="center"/>
    </xf>
    <xf numFmtId="194" fontId="8" fillId="0" borderId="0" xfId="4" applyNumberFormat="1"/>
    <xf numFmtId="175" fontId="1" fillId="0" borderId="0" xfId="21" applyNumberFormat="1" applyFont="1"/>
    <xf numFmtId="0" fontId="55" fillId="2" borderId="0" xfId="0" applyFont="1" applyFill="1" applyAlignment="1">
      <alignment horizontal="center" vertical="center"/>
    </xf>
    <xf numFmtId="0" fontId="55" fillId="2" borderId="4" xfId="0" applyFont="1" applyFill="1" applyBorder="1" applyAlignment="1">
      <alignment horizontal="center" vertical="center"/>
    </xf>
    <xf numFmtId="195" fontId="1" fillId="0" borderId="0" xfId="21" applyNumberFormat="1" applyFont="1"/>
    <xf numFmtId="0" fontId="46" fillId="9" borderId="0" xfId="21" applyFont="1" applyFill="1"/>
    <xf numFmtId="196" fontId="8" fillId="0" borderId="0" xfId="4" applyNumberFormat="1"/>
    <xf numFmtId="0" fontId="87" fillId="9" borderId="0" xfId="21" applyFont="1" applyFill="1"/>
    <xf numFmtId="197" fontId="8" fillId="0" borderId="0" xfId="4" applyNumberFormat="1"/>
    <xf numFmtId="0" fontId="13" fillId="9" borderId="0" xfId="13" applyFont="1" applyFill="1"/>
    <xf numFmtId="0" fontId="8" fillId="0" borderId="0" xfId="4"/>
    <xf numFmtId="0" fontId="161" fillId="12" borderId="0" xfId="4" applyFont="1" applyFill="1" applyAlignment="1" applyProtection="1">
      <alignment horizontal="right" vertical="center"/>
      <protection hidden="1"/>
    </xf>
    <xf numFmtId="198" fontId="1" fillId="0" borderId="0" xfId="21" applyNumberFormat="1" applyFont="1"/>
    <xf numFmtId="199" fontId="8" fillId="0" borderId="0" xfId="4" applyNumberFormat="1"/>
    <xf numFmtId="200" fontId="8" fillId="0" borderId="0" xfId="4" applyNumberFormat="1"/>
    <xf numFmtId="201" fontId="8" fillId="0" borderId="0" xfId="4" applyNumberFormat="1"/>
    <xf numFmtId="0" fontId="92" fillId="9" borderId="0" xfId="24" applyFill="1" applyBorder="1"/>
    <xf numFmtId="202" fontId="8" fillId="0" borderId="0" xfId="4" applyNumberFormat="1"/>
    <xf numFmtId="203" fontId="8" fillId="0" borderId="0" xfId="4" applyNumberFormat="1"/>
    <xf numFmtId="204" fontId="1" fillId="0" borderId="0" xfId="21" applyNumberFormat="1" applyFont="1"/>
    <xf numFmtId="205" fontId="1" fillId="0" borderId="0" xfId="21" applyNumberFormat="1" applyFont="1"/>
    <xf numFmtId="0" fontId="39" fillId="9" borderId="0" xfId="21" applyFill="1" applyAlignment="1">
      <alignment horizontal="right" vertical="center"/>
    </xf>
    <xf numFmtId="0" fontId="39" fillId="9" borderId="1" xfId="21" applyFill="1" applyBorder="1"/>
    <xf numFmtId="0" fontId="39" fillId="9" borderId="3" xfId="21" applyFill="1" applyBorder="1"/>
    <xf numFmtId="0" fontId="14" fillId="0" borderId="0" xfId="1" applyFont="1" applyAlignment="1">
      <alignment horizontal="left" vertical="center"/>
    </xf>
    <xf numFmtId="0" fontId="162" fillId="0" borderId="0" xfId="21" applyFont="1"/>
    <xf numFmtId="0" fontId="1" fillId="0" borderId="0" xfId="21" applyFont="1"/>
    <xf numFmtId="0" fontId="163" fillId="12" borderId="0" xfId="1" applyFont="1" applyFill="1" applyAlignment="1">
      <alignment horizontal="left" vertical="center"/>
    </xf>
    <xf numFmtId="0" fontId="157" fillId="12" borderId="0" xfId="1" applyFont="1" applyFill="1" applyAlignment="1">
      <alignment horizontal="left" vertical="center"/>
    </xf>
    <xf numFmtId="0" fontId="108" fillId="11" borderId="0" xfId="15" applyFont="1" applyFill="1" applyAlignment="1" applyProtection="1">
      <alignment horizontal="left" vertical="center"/>
      <protection locked="0"/>
    </xf>
    <xf numFmtId="168" fontId="84" fillId="11" borderId="0" xfId="15" applyNumberFormat="1" applyFont="1" applyFill="1" applyAlignment="1" applyProtection="1">
      <alignment horizontal="center" vertical="center"/>
      <protection locked="0"/>
    </xf>
    <xf numFmtId="0" fontId="166" fillId="11" borderId="0" xfId="15" applyFont="1" applyFill="1" applyAlignment="1" applyProtection="1">
      <alignment horizontal="left" vertical="center"/>
      <protection locked="0"/>
    </xf>
    <xf numFmtId="0" fontId="1" fillId="9" borderId="0" xfId="21" applyFont="1" applyFill="1" applyAlignment="1">
      <alignment horizontal="center"/>
    </xf>
    <xf numFmtId="0" fontId="168" fillId="76" borderId="40" xfId="5" applyFont="1" applyFill="1" applyBorder="1" applyAlignment="1">
      <alignment vertical="center"/>
    </xf>
    <xf numFmtId="0" fontId="86" fillId="76" borderId="39" xfId="5" applyFont="1" applyFill="1" applyBorder="1" applyAlignment="1">
      <alignment horizontal="right" vertical="center"/>
    </xf>
    <xf numFmtId="0" fontId="113" fillId="9" borderId="0" xfId="21" applyFont="1" applyFill="1" applyAlignment="1">
      <alignment horizontal="left" vertical="center"/>
    </xf>
    <xf numFmtId="0" fontId="158" fillId="12" borderId="0" xfId="21" applyFont="1" applyFill="1"/>
    <xf numFmtId="0" fontId="1" fillId="76" borderId="0" xfId="21" applyFont="1" applyFill="1"/>
    <xf numFmtId="0" fontId="1" fillId="76" borderId="0" xfId="21" applyFont="1" applyFill="1" applyAlignment="1">
      <alignment horizontal="right" vertical="center"/>
    </xf>
    <xf numFmtId="0" fontId="95" fillId="76" borderId="0" xfId="21" applyFont="1" applyFill="1" applyAlignment="1">
      <alignment horizontal="right" vertical="center"/>
    </xf>
    <xf numFmtId="0" fontId="95" fillId="76" borderId="0" xfId="21" applyFont="1" applyFill="1" applyAlignment="1">
      <alignment horizontal="left" vertical="center"/>
    </xf>
    <xf numFmtId="0" fontId="95" fillId="76" borderId="4" xfId="21" applyFont="1" applyFill="1" applyBorder="1"/>
    <xf numFmtId="0" fontId="169" fillId="9" borderId="0" xfId="23" applyFont="1" applyFill="1" applyBorder="1" applyAlignment="1">
      <alignment horizontal="left" vertical="center"/>
    </xf>
    <xf numFmtId="0" fontId="4" fillId="76" borderId="0" xfId="21" applyFont="1" applyFill="1" applyAlignment="1">
      <alignment horizontal="center" vertical="center"/>
    </xf>
    <xf numFmtId="1" fontId="14" fillId="77" borderId="0" xfId="19" applyNumberFormat="1" applyFont="1" applyFill="1" applyAlignment="1">
      <alignment horizontal="center" vertical="center"/>
    </xf>
    <xf numFmtId="0" fontId="14" fillId="77" borderId="59" xfId="10" applyFont="1" applyFill="1" applyBorder="1" applyAlignment="1">
      <alignment horizontal="left" vertical="center"/>
    </xf>
    <xf numFmtId="0" fontId="14" fillId="77" borderId="59" xfId="10" applyFont="1" applyFill="1" applyBorder="1" applyAlignment="1">
      <alignment horizontal="right" vertical="center"/>
    </xf>
    <xf numFmtId="1" fontId="14" fillId="77" borderId="59" xfId="19" applyNumberFormat="1" applyFont="1" applyFill="1" applyBorder="1" applyAlignment="1">
      <alignment horizontal="right" vertical="center"/>
    </xf>
    <xf numFmtId="189" fontId="39" fillId="77" borderId="59" xfId="21" applyNumberFormat="1" applyFill="1" applyBorder="1" applyAlignment="1">
      <alignment horizontal="center" vertical="center"/>
    </xf>
    <xf numFmtId="0" fontId="39" fillId="77" borderId="59" xfId="21" applyFill="1" applyBorder="1" applyAlignment="1">
      <alignment horizontal="right" vertical="center"/>
    </xf>
    <xf numFmtId="168" fontId="39" fillId="77" borderId="58" xfId="21" applyNumberFormat="1" applyFill="1" applyBorder="1" applyAlignment="1">
      <alignment horizontal="left" vertical="center"/>
    </xf>
    <xf numFmtId="189" fontId="39" fillId="77" borderId="0" xfId="21" applyNumberFormat="1" applyFill="1" applyAlignment="1">
      <alignment horizontal="center" vertical="center"/>
    </xf>
    <xf numFmtId="0" fontId="76" fillId="11" borderId="0" xfId="15" applyFont="1" applyFill="1" applyAlignment="1" applyProtection="1">
      <alignment vertical="center"/>
      <protection locked="0"/>
    </xf>
    <xf numFmtId="0" fontId="127" fillId="11" borderId="0" xfId="15" applyFont="1" applyFill="1" applyAlignment="1" applyProtection="1">
      <alignment vertical="center"/>
      <protection locked="0"/>
    </xf>
    <xf numFmtId="0" fontId="1" fillId="9" borderId="4" xfId="21" applyFont="1" applyFill="1" applyBorder="1"/>
    <xf numFmtId="0" fontId="39" fillId="77" borderId="0" xfId="21" applyFill="1" applyAlignment="1">
      <alignment horizontal="center" vertical="center"/>
    </xf>
    <xf numFmtId="0" fontId="171" fillId="11" borderId="0" xfId="15" applyFont="1" applyFill="1" applyAlignment="1" applyProtection="1">
      <alignment horizontal="right" vertical="center"/>
      <protection locked="0"/>
    </xf>
    <xf numFmtId="168" fontId="39" fillId="77" borderId="0" xfId="21" applyNumberFormat="1" applyFill="1" applyAlignment="1">
      <alignment horizontal="center" vertical="center"/>
    </xf>
    <xf numFmtId="0" fontId="59" fillId="9" borderId="0" xfId="21" applyFont="1" applyFill="1"/>
    <xf numFmtId="0" fontId="9" fillId="9" borderId="0" xfId="10" applyFont="1" applyFill="1" applyAlignment="1">
      <alignment horizontal="left" vertical="center"/>
    </xf>
    <xf numFmtId="0" fontId="12" fillId="9" borderId="0" xfId="21" applyFont="1" applyFill="1" applyAlignment="1">
      <alignment vertical="center"/>
    </xf>
    <xf numFmtId="0" fontId="113" fillId="9" borderId="0" xfId="23" applyFont="1" applyFill="1" applyBorder="1" applyAlignment="1">
      <alignment horizontal="center" vertical="center"/>
    </xf>
    <xf numFmtId="170" fontId="38" fillId="9" borderId="0" xfId="5" applyNumberFormat="1" applyFont="1" applyFill="1" applyAlignment="1" applyProtection="1">
      <alignment horizontal="center" vertical="center"/>
      <protection locked="0"/>
    </xf>
    <xf numFmtId="0" fontId="173" fillId="9" borderId="0" xfId="10" applyFont="1" applyFill="1" applyAlignment="1">
      <alignment horizontal="right" vertical="center"/>
    </xf>
    <xf numFmtId="168" fontId="16" fillId="78" borderId="0" xfId="15" applyNumberFormat="1" applyFont="1" applyFill="1" applyAlignment="1" applyProtection="1">
      <alignment horizontal="center" vertical="center"/>
      <protection locked="0"/>
    </xf>
    <xf numFmtId="0" fontId="26" fillId="79" borderId="0" xfId="15" applyFont="1" applyFill="1" applyAlignment="1" applyProtection="1">
      <alignment horizontal="left" vertical="center"/>
      <protection locked="0"/>
    </xf>
    <xf numFmtId="168" fontId="84" fillId="11" borderId="0" xfId="15" applyNumberFormat="1" applyFont="1" applyFill="1" applyAlignment="1" applyProtection="1">
      <alignment horizontal="right" vertical="center"/>
      <protection locked="0"/>
    </xf>
    <xf numFmtId="0" fontId="174" fillId="9" borderId="4" xfId="21" applyFont="1" applyFill="1" applyBorder="1" applyAlignment="1">
      <alignment horizontal="left" vertical="center"/>
    </xf>
    <xf numFmtId="0" fontId="108" fillId="11" borderId="0" xfId="15" applyFont="1" applyFill="1" applyAlignment="1" applyProtection="1">
      <alignment horizontal="right" vertical="center"/>
      <protection locked="0"/>
    </xf>
    <xf numFmtId="173" fontId="21" fillId="80" borderId="0" xfId="5" applyNumberFormat="1" applyFont="1" applyFill="1" applyAlignment="1" applyProtection="1">
      <alignment horizontal="center" vertical="center"/>
      <protection locked="0"/>
    </xf>
    <xf numFmtId="0" fontId="108" fillId="11" borderId="0" xfId="15" applyFont="1" applyFill="1" applyAlignment="1" applyProtection="1">
      <alignment horizontal="center" vertical="center"/>
      <protection locked="0"/>
    </xf>
    <xf numFmtId="0" fontId="175" fillId="9" borderId="0" xfId="15" applyFont="1" applyFill="1" applyAlignment="1" applyProtection="1">
      <alignment horizontal="right" vertical="center"/>
      <protection locked="0"/>
    </xf>
    <xf numFmtId="168" fontId="21" fillId="81" borderId="0" xfId="15" applyNumberFormat="1" applyFont="1" applyFill="1" applyAlignment="1" applyProtection="1">
      <alignment horizontal="center" vertical="center"/>
      <protection locked="0"/>
    </xf>
    <xf numFmtId="0" fontId="103" fillId="0" borderId="0" xfId="21" applyFont="1" applyAlignment="1">
      <alignment vertical="center"/>
    </xf>
    <xf numFmtId="0" fontId="174" fillId="9" borderId="4" xfId="4" applyFont="1" applyFill="1" applyBorder="1" applyAlignment="1">
      <alignment horizontal="left" vertical="center"/>
    </xf>
    <xf numFmtId="0" fontId="173" fillId="9" borderId="0" xfId="15" applyFont="1" applyFill="1" applyAlignment="1" applyProtection="1">
      <alignment horizontal="right" vertical="center"/>
      <protection locked="0"/>
    </xf>
    <xf numFmtId="1" fontId="16" fillId="82" borderId="0" xfId="4" applyNumberFormat="1" applyFont="1" applyFill="1" applyAlignment="1">
      <alignment horizontal="center" vertical="center"/>
    </xf>
    <xf numFmtId="187" fontId="17" fillId="83" borderId="0" xfId="4" applyNumberFormat="1" applyFont="1" applyFill="1" applyAlignment="1">
      <alignment vertical="center"/>
    </xf>
    <xf numFmtId="0" fontId="1" fillId="0" borderId="4" xfId="21" applyFont="1" applyBorder="1"/>
    <xf numFmtId="0" fontId="13" fillId="9" borderId="0" xfId="10" applyFont="1" applyFill="1" applyAlignment="1">
      <alignment horizontal="right" vertical="center"/>
    </xf>
    <xf numFmtId="206" fontId="13" fillId="11" borderId="0" xfId="15" applyNumberFormat="1" applyFont="1" applyFill="1" applyAlignment="1" applyProtection="1">
      <alignment horizontal="center" vertical="center"/>
      <protection locked="0"/>
    </xf>
    <xf numFmtId="0" fontId="176" fillId="9" borderId="0" xfId="21" applyFont="1" applyFill="1" applyAlignment="1">
      <alignment vertical="center"/>
    </xf>
    <xf numFmtId="206" fontId="24" fillId="11" borderId="0" xfId="15" applyNumberFormat="1" applyFont="1" applyFill="1" applyAlignment="1" applyProtection="1">
      <alignment horizontal="right" vertical="center"/>
      <protection locked="0"/>
    </xf>
    <xf numFmtId="0" fontId="177" fillId="9" borderId="4" xfId="4" applyFont="1" applyFill="1" applyBorder="1" applyAlignment="1">
      <alignment horizontal="left" vertical="center"/>
    </xf>
    <xf numFmtId="0" fontId="59" fillId="9" borderId="0" xfId="10" applyFont="1" applyFill="1" applyAlignment="1">
      <alignment horizontal="right" vertical="center"/>
    </xf>
    <xf numFmtId="0" fontId="10" fillId="9" borderId="0" xfId="19" applyFont="1" applyFill="1" applyAlignment="1">
      <alignment horizontal="center" vertical="center"/>
    </xf>
    <xf numFmtId="0" fontId="59" fillId="7" borderId="0" xfId="4" applyFont="1" applyFill="1" applyAlignment="1">
      <alignment horizontal="right" vertical="center"/>
    </xf>
    <xf numFmtId="164" fontId="59" fillId="11" borderId="0" xfId="15" applyNumberFormat="1" applyFont="1" applyFill="1" applyAlignment="1" applyProtection="1">
      <alignment horizontal="center" vertical="center"/>
      <protection locked="0"/>
    </xf>
    <xf numFmtId="0" fontId="59" fillId="9" borderId="0" xfId="4" applyFont="1" applyFill="1" applyAlignment="1">
      <alignment horizontal="right" vertical="center"/>
    </xf>
    <xf numFmtId="0" fontId="13" fillId="80" borderId="0" xfId="4" applyFont="1" applyFill="1" applyAlignment="1">
      <alignment vertical="center"/>
    </xf>
    <xf numFmtId="0" fontId="16" fillId="80" borderId="0" xfId="4" applyFont="1" applyFill="1" applyAlignment="1">
      <alignment vertical="center"/>
    </xf>
    <xf numFmtId="0" fontId="16" fillId="80" borderId="4" xfId="4" applyFont="1" applyFill="1" applyBorder="1" applyAlignment="1">
      <alignment vertical="center"/>
    </xf>
    <xf numFmtId="0" fontId="19" fillId="9" borderId="0" xfId="20" applyFont="1" applyFill="1" applyAlignment="1">
      <alignment horizontal="left" vertical="center"/>
    </xf>
    <xf numFmtId="0" fontId="171" fillId="11" borderId="0" xfId="15" applyFont="1" applyFill="1" applyAlignment="1" applyProtection="1">
      <alignment horizontal="left" vertical="center"/>
      <protection locked="0"/>
    </xf>
    <xf numFmtId="0" fontId="178" fillId="11" borderId="0" xfId="15" applyFont="1" applyFill="1" applyAlignment="1" applyProtection="1">
      <alignment horizontal="left" vertical="center"/>
      <protection locked="0"/>
    </xf>
    <xf numFmtId="0" fontId="179" fillId="9" borderId="0" xfId="10" applyFont="1" applyFill="1" applyAlignment="1">
      <alignment horizontal="left" vertical="center"/>
    </xf>
    <xf numFmtId="0" fontId="179" fillId="11" borderId="0" xfId="15" applyFont="1" applyFill="1" applyAlignment="1" applyProtection="1">
      <alignment horizontal="left" vertical="center"/>
      <protection locked="0"/>
    </xf>
    <xf numFmtId="0" fontId="180" fillId="9" borderId="0" xfId="15" applyFont="1" applyFill="1" applyAlignment="1" applyProtection="1">
      <alignment horizontal="left" vertical="center"/>
      <protection locked="0"/>
    </xf>
    <xf numFmtId="0" fontId="166" fillId="11" borderId="0" xfId="15" applyFont="1" applyFill="1" applyAlignment="1" applyProtection="1">
      <alignment horizontal="right" vertical="center"/>
      <protection locked="0"/>
    </xf>
    <xf numFmtId="0" fontId="17" fillId="84" borderId="0" xfId="15" applyFont="1" applyFill="1" applyAlignment="1" applyProtection="1">
      <alignment horizontal="left" vertical="center"/>
      <protection locked="0"/>
    </xf>
    <xf numFmtId="0" fontId="173" fillId="9" borderId="0" xfId="15" applyFont="1" applyFill="1" applyAlignment="1" applyProtection="1">
      <alignment horizontal="left" vertical="center"/>
      <protection locked="0"/>
    </xf>
    <xf numFmtId="0" fontId="9" fillId="11" borderId="0" xfId="15" applyFont="1" applyFill="1" applyAlignment="1" applyProtection="1">
      <alignment horizontal="right" vertical="center"/>
      <protection locked="0"/>
    </xf>
    <xf numFmtId="0" fontId="87" fillId="9" borderId="0" xfId="21" applyFont="1" applyFill="1" applyAlignment="1">
      <alignment horizontal="left" vertical="center"/>
    </xf>
    <xf numFmtId="0" fontId="21" fillId="9" borderId="4" xfId="4" applyFont="1" applyFill="1" applyBorder="1" applyAlignment="1">
      <alignment horizontal="center" vertical="center"/>
    </xf>
    <xf numFmtId="0" fontId="112" fillId="2" borderId="40" xfId="5" applyFont="1" applyFill="1" applyBorder="1" applyAlignment="1">
      <alignment vertical="center"/>
    </xf>
    <xf numFmtId="0" fontId="10" fillId="2" borderId="39" xfId="5" applyFont="1" applyFill="1" applyBorder="1" applyAlignment="1">
      <alignment horizontal="right" vertical="center"/>
    </xf>
    <xf numFmtId="0" fontId="13" fillId="2" borderId="0" xfId="21" applyFont="1" applyFill="1"/>
    <xf numFmtId="0" fontId="13" fillId="2" borderId="0" xfId="21" applyFont="1" applyFill="1" applyAlignment="1">
      <alignment horizontal="right" vertical="center"/>
    </xf>
    <xf numFmtId="0" fontId="17" fillId="2" borderId="0" xfId="21" applyFont="1" applyFill="1" applyAlignment="1">
      <alignment horizontal="right" vertical="center"/>
    </xf>
    <xf numFmtId="0" fontId="17" fillId="2" borderId="0" xfId="21" applyFont="1" applyFill="1" applyAlignment="1">
      <alignment horizontal="left" vertical="center"/>
    </xf>
    <xf numFmtId="0" fontId="13" fillId="2" borderId="4" xfId="21" applyFont="1" applyFill="1" applyBorder="1"/>
    <xf numFmtId="1" fontId="17" fillId="5" borderId="0" xfId="19" applyNumberFormat="1" applyFont="1" applyFill="1" applyAlignment="1">
      <alignment horizontal="left" vertical="center"/>
    </xf>
    <xf numFmtId="189" fontId="17" fillId="5" borderId="0" xfId="21" applyNumberFormat="1" applyFont="1" applyFill="1" applyAlignment="1">
      <alignment horizontal="center" vertical="center"/>
    </xf>
    <xf numFmtId="0" fontId="14" fillId="5" borderId="0" xfId="21" applyFont="1" applyFill="1" applyAlignment="1">
      <alignment horizontal="right" vertical="center"/>
    </xf>
    <xf numFmtId="168" fontId="14" fillId="5" borderId="4" xfId="21" applyNumberFormat="1" applyFont="1" applyFill="1" applyBorder="1" applyAlignment="1">
      <alignment horizontal="left" vertical="center"/>
    </xf>
    <xf numFmtId="0" fontId="14" fillId="5" borderId="0" xfId="10" applyFont="1" applyFill="1" applyAlignment="1">
      <alignment horizontal="left" vertical="center"/>
    </xf>
    <xf numFmtId="1" fontId="17" fillId="5" borderId="0" xfId="19" applyNumberFormat="1" applyFont="1" applyFill="1" applyAlignment="1">
      <alignment horizontal="right" vertical="center"/>
    </xf>
    <xf numFmtId="1" fontId="0" fillId="9" borderId="0" xfId="0" applyNumberFormat="1" applyFill="1" applyAlignment="1">
      <alignment horizontal="center" vertical="center"/>
    </xf>
    <xf numFmtId="0" fontId="76" fillId="9" borderId="0" xfId="4" applyFont="1" applyFill="1" applyAlignment="1">
      <alignment horizontal="center" vertical="center" wrapText="1"/>
    </xf>
    <xf numFmtId="0" fontId="45" fillId="81" borderId="0" xfId="15" applyFont="1" applyFill="1" applyAlignment="1" applyProtection="1">
      <alignment vertical="center"/>
      <protection locked="0"/>
    </xf>
    <xf numFmtId="0" fontId="57" fillId="11" borderId="0" xfId="15" applyFont="1" applyFill="1" applyAlignment="1" applyProtection="1">
      <alignment vertical="center"/>
      <protection locked="0"/>
    </xf>
    <xf numFmtId="0" fontId="101" fillId="9" borderId="0" xfId="21" applyFont="1" applyFill="1"/>
    <xf numFmtId="0" fontId="101" fillId="9" borderId="4" xfId="21" applyFont="1" applyFill="1" applyBorder="1"/>
    <xf numFmtId="0" fontId="172" fillId="12" borderId="0" xfId="15" applyFont="1" applyFill="1" applyAlignment="1" applyProtection="1">
      <alignment vertical="center"/>
      <protection locked="0"/>
    </xf>
    <xf numFmtId="0" fontId="172" fillId="9" borderId="0" xfId="15" applyFont="1" applyFill="1" applyAlignment="1" applyProtection="1">
      <alignment vertical="center"/>
      <protection locked="0"/>
    </xf>
    <xf numFmtId="0" fontId="172" fillId="9" borderId="4" xfId="15" applyFont="1" applyFill="1" applyBorder="1" applyAlignment="1" applyProtection="1">
      <alignment vertical="center"/>
      <protection locked="0"/>
    </xf>
    <xf numFmtId="0" fontId="182" fillId="9" borderId="0" xfId="21" applyFont="1" applyFill="1" applyAlignment="1">
      <alignment horizontal="center"/>
    </xf>
    <xf numFmtId="0" fontId="101" fillId="9" borderId="0" xfId="10" applyFont="1" applyFill="1" applyAlignment="1">
      <alignment horizontal="right" vertical="center"/>
    </xf>
    <xf numFmtId="168" fontId="16" fillId="81" borderId="0" xfId="15" applyNumberFormat="1" applyFont="1" applyFill="1" applyAlignment="1" applyProtection="1">
      <alignment horizontal="center" vertical="center"/>
      <protection locked="0"/>
    </xf>
    <xf numFmtId="0" fontId="55" fillId="9" borderId="0" xfId="21" applyFont="1" applyFill="1" applyAlignment="1">
      <alignment vertical="center"/>
    </xf>
    <xf numFmtId="168" fontId="174" fillId="11" borderId="0" xfId="15" applyNumberFormat="1" applyFont="1" applyFill="1" applyAlignment="1" applyProtection="1">
      <alignment horizontal="center" vertical="center"/>
      <protection locked="0"/>
    </xf>
    <xf numFmtId="0" fontId="174" fillId="9" borderId="0" xfId="21" applyFont="1" applyFill="1" applyAlignment="1">
      <alignment horizontal="left" vertical="center"/>
    </xf>
    <xf numFmtId="0" fontId="16" fillId="11" borderId="0" xfId="15" applyFont="1" applyFill="1" applyAlignment="1" applyProtection="1">
      <alignment horizontal="right" vertical="center"/>
      <protection locked="0"/>
    </xf>
    <xf numFmtId="0" fontId="45" fillId="81" borderId="0" xfId="15" applyFont="1" applyFill="1" applyAlignment="1" applyProtection="1">
      <alignment horizontal="center" vertical="center"/>
      <protection locked="0"/>
    </xf>
    <xf numFmtId="0" fontId="59" fillId="9" borderId="0" xfId="21" applyFont="1" applyFill="1" applyAlignment="1">
      <alignment horizontal="center" vertical="top"/>
    </xf>
    <xf numFmtId="0" fontId="177" fillId="9" borderId="0" xfId="21" applyFont="1" applyFill="1" applyAlignment="1">
      <alignment horizontal="right" vertical="top"/>
    </xf>
    <xf numFmtId="0" fontId="177" fillId="9" borderId="0" xfId="21" applyFont="1" applyFill="1" applyAlignment="1">
      <alignment horizontal="left" vertical="top"/>
    </xf>
    <xf numFmtId="0" fontId="79" fillId="9" borderId="0" xfId="15" applyFont="1" applyFill="1" applyAlignment="1" applyProtection="1">
      <alignment horizontal="right" vertical="center"/>
      <protection locked="0"/>
    </xf>
    <xf numFmtId="0" fontId="174" fillId="9" borderId="0" xfId="21" applyFont="1" applyFill="1" applyAlignment="1">
      <alignment vertical="center"/>
    </xf>
    <xf numFmtId="0" fontId="27" fillId="9" borderId="0" xfId="0" applyFont="1" applyFill="1"/>
    <xf numFmtId="0" fontId="0" fillId="0" borderId="4" xfId="0" applyBorder="1"/>
    <xf numFmtId="0" fontId="174" fillId="9" borderId="0" xfId="0" applyFont="1" applyFill="1" applyAlignment="1">
      <alignment horizontal="center" vertical="center"/>
    </xf>
    <xf numFmtId="0" fontId="103" fillId="9" borderId="0" xfId="21" applyFont="1" applyFill="1" applyAlignment="1">
      <alignment vertical="center"/>
    </xf>
    <xf numFmtId="0" fontId="101" fillId="9" borderId="0" xfId="15" applyFont="1" applyFill="1" applyAlignment="1" applyProtection="1">
      <alignment horizontal="right" vertical="center"/>
      <protection locked="0"/>
    </xf>
    <xf numFmtId="1" fontId="16" fillId="85" borderId="0" xfId="4" applyNumberFormat="1" applyFont="1" applyFill="1" applyAlignment="1">
      <alignment horizontal="center" vertical="center"/>
    </xf>
    <xf numFmtId="187" fontId="177" fillId="83" borderId="0" xfId="4" applyNumberFormat="1" applyFont="1" applyFill="1" applyAlignment="1">
      <alignment vertical="center"/>
    </xf>
    <xf numFmtId="206" fontId="174" fillId="86" borderId="0" xfId="15" applyNumberFormat="1" applyFont="1" applyFill="1" applyAlignment="1" applyProtection="1">
      <alignment horizontal="right" vertical="center"/>
      <protection locked="0"/>
    </xf>
    <xf numFmtId="0" fontId="174" fillId="11" borderId="0" xfId="15" applyFont="1" applyFill="1" applyAlignment="1" applyProtection="1">
      <alignment horizontal="left" vertical="center"/>
      <protection locked="0"/>
    </xf>
    <xf numFmtId="0" fontId="183" fillId="9" borderId="0" xfId="21" applyFont="1" applyFill="1" applyAlignment="1">
      <alignment horizontal="left" vertical="center"/>
    </xf>
    <xf numFmtId="0" fontId="19" fillId="9" borderId="0" xfId="15" applyFont="1" applyFill="1" applyAlignment="1" applyProtection="1">
      <alignment horizontal="left" vertical="center"/>
      <protection locked="0"/>
    </xf>
    <xf numFmtId="0" fontId="183" fillId="11" borderId="0" xfId="15" applyFont="1" applyFill="1" applyAlignment="1" applyProtection="1">
      <alignment horizontal="right" vertical="center"/>
      <protection locked="0"/>
    </xf>
    <xf numFmtId="0" fontId="184" fillId="87" borderId="40" xfId="5" applyFont="1" applyFill="1" applyBorder="1" applyAlignment="1">
      <alignment vertical="center"/>
    </xf>
    <xf numFmtId="0" fontId="69" fillId="87" borderId="39" xfId="5" applyFont="1" applyFill="1" applyBorder="1" applyAlignment="1">
      <alignment horizontal="right" vertical="center"/>
    </xf>
    <xf numFmtId="0" fontId="5" fillId="87" borderId="0" xfId="21" applyFont="1" applyFill="1"/>
    <xf numFmtId="0" fontId="5" fillId="87" borderId="0" xfId="21" applyFont="1" applyFill="1" applyAlignment="1">
      <alignment horizontal="right" vertical="center"/>
    </xf>
    <xf numFmtId="0" fontId="11" fillId="87" borderId="0" xfId="21" applyFont="1" applyFill="1" applyAlignment="1">
      <alignment horizontal="right" vertical="center"/>
    </xf>
    <xf numFmtId="0" fontId="11" fillId="87" borderId="0" xfId="21" applyFont="1" applyFill="1" applyAlignment="1">
      <alignment horizontal="left" vertical="center"/>
    </xf>
    <xf numFmtId="0" fontId="11" fillId="87" borderId="4" xfId="21" applyFont="1" applyFill="1" applyBorder="1"/>
    <xf numFmtId="0" fontId="14" fillId="77" borderId="0" xfId="10" applyFont="1" applyFill="1" applyAlignment="1">
      <alignment horizontal="left" vertical="center"/>
    </xf>
    <xf numFmtId="0" fontId="14" fillId="77" borderId="0" xfId="10" applyFont="1" applyFill="1" applyAlignment="1">
      <alignment horizontal="right" vertical="center"/>
    </xf>
    <xf numFmtId="0" fontId="10" fillId="77" borderId="0" xfId="19" applyFont="1" applyFill="1" applyAlignment="1">
      <alignment horizontal="center" vertical="center"/>
    </xf>
    <xf numFmtId="0" fontId="10" fillId="77" borderId="0" xfId="15" applyFont="1" applyFill="1" applyAlignment="1" applyProtection="1">
      <alignment horizontal="left" vertical="center"/>
      <protection locked="0"/>
    </xf>
    <xf numFmtId="0" fontId="59" fillId="77" borderId="0" xfId="4" applyFont="1" applyFill="1" applyAlignment="1">
      <alignment horizontal="right" vertical="center"/>
    </xf>
    <xf numFmtId="164" fontId="59" fillId="88" borderId="4" xfId="15" applyNumberFormat="1" applyFont="1" applyFill="1" applyBorder="1" applyAlignment="1" applyProtection="1">
      <alignment horizontal="center" vertical="center"/>
      <protection locked="0"/>
    </xf>
    <xf numFmtId="0" fontId="10" fillId="77" borderId="0" xfId="4" applyFont="1" applyFill="1" applyAlignment="1">
      <alignment horizontal="right" vertical="center"/>
    </xf>
    <xf numFmtId="207" fontId="10" fillId="77" borderId="0" xfId="19" applyNumberFormat="1" applyFont="1" applyFill="1" applyAlignment="1">
      <alignment horizontal="center" vertical="center"/>
    </xf>
    <xf numFmtId="0" fontId="4" fillId="77" borderId="0" xfId="0" applyFont="1" applyFill="1" applyAlignment="1">
      <alignment vertical="center"/>
    </xf>
    <xf numFmtId="0" fontId="4" fillId="77" borderId="4" xfId="0" applyFont="1" applyFill="1" applyBorder="1" applyAlignment="1">
      <alignment vertical="center"/>
    </xf>
    <xf numFmtId="0" fontId="0" fillId="77" borderId="59" xfId="0" applyFill="1" applyBorder="1" applyAlignment="1">
      <alignment horizontal="right" vertical="center"/>
    </xf>
    <xf numFmtId="0" fontId="0" fillId="77" borderId="0" xfId="0" applyFill="1" applyAlignment="1">
      <alignment horizontal="center" vertical="center"/>
    </xf>
    <xf numFmtId="170" fontId="59" fillId="88" borderId="0" xfId="15" applyNumberFormat="1" applyFont="1" applyFill="1" applyAlignment="1" applyProtection="1">
      <alignment horizontal="center" vertical="center"/>
      <protection locked="0"/>
    </xf>
    <xf numFmtId="170" fontId="59" fillId="88" borderId="4" xfId="15" applyNumberFormat="1" applyFont="1" applyFill="1" applyBorder="1" applyAlignment="1" applyProtection="1">
      <alignment horizontal="center" vertical="center"/>
      <protection locked="0"/>
    </xf>
    <xf numFmtId="0" fontId="55" fillId="9" borderId="0" xfId="21" applyFont="1" applyFill="1"/>
    <xf numFmtId="0" fontId="185" fillId="11" borderId="0" xfId="15" applyFont="1" applyFill="1" applyAlignment="1" applyProtection="1">
      <alignment horizontal="right" vertical="center"/>
      <protection locked="0"/>
    </xf>
    <xf numFmtId="0" fontId="185" fillId="9" borderId="0" xfId="0" applyFont="1" applyFill="1" applyAlignment="1">
      <alignment horizontal="right" vertical="center"/>
    </xf>
    <xf numFmtId="0" fontId="186" fillId="81" borderId="0" xfId="15" applyFont="1" applyFill="1" applyAlignment="1" applyProtection="1">
      <alignment horizontal="center" vertical="center" wrapText="1"/>
      <protection locked="0"/>
    </xf>
    <xf numFmtId="0" fontId="187" fillId="9" borderId="0" xfId="15" applyFont="1" applyFill="1" applyAlignment="1" applyProtection="1">
      <alignment horizontal="left" vertical="center"/>
      <protection locked="0"/>
    </xf>
    <xf numFmtId="0" fontId="172" fillId="9" borderId="4" xfId="15" applyFont="1" applyFill="1" applyBorder="1" applyAlignment="1" applyProtection="1">
      <alignment horizontal="center" vertical="center"/>
      <protection locked="0"/>
    </xf>
    <xf numFmtId="1" fontId="16" fillId="81" borderId="0" xfId="15" applyNumberFormat="1" applyFont="1" applyFill="1" applyAlignment="1" applyProtection="1">
      <alignment horizontal="center" vertical="center"/>
      <protection locked="0"/>
    </xf>
    <xf numFmtId="0" fontId="26" fillId="79" borderId="0" xfId="15" applyFont="1" applyFill="1" applyAlignment="1" applyProtection="1">
      <alignment horizontal="center" vertical="center"/>
      <protection locked="0"/>
    </xf>
    <xf numFmtId="0" fontId="188" fillId="9" borderId="0" xfId="0" applyFont="1" applyFill="1" applyAlignment="1">
      <alignment horizontal="right" vertical="center"/>
    </xf>
    <xf numFmtId="168" fontId="188" fillId="81" borderId="0" xfId="15" applyNumberFormat="1" applyFont="1" applyFill="1" applyAlignment="1" applyProtection="1">
      <alignment horizontal="center" vertical="center"/>
      <protection locked="0"/>
    </xf>
    <xf numFmtId="0" fontId="59" fillId="9" borderId="0" xfId="4" applyFont="1" applyFill="1" applyAlignment="1">
      <alignment horizontal="left" vertical="center"/>
    </xf>
    <xf numFmtId="0" fontId="110" fillId="11" borderId="0" xfId="15" applyFont="1" applyFill="1" applyAlignment="1" applyProtection="1">
      <alignment horizontal="right" vertical="center"/>
      <protection locked="0"/>
    </xf>
    <xf numFmtId="168" fontId="59" fillId="11" borderId="0" xfId="15" applyNumberFormat="1" applyFont="1" applyFill="1" applyAlignment="1" applyProtection="1">
      <alignment horizontal="center" vertical="center"/>
      <protection locked="0"/>
    </xf>
    <xf numFmtId="168" fontId="12" fillId="11" borderId="0" xfId="15" applyNumberFormat="1" applyFont="1" applyFill="1" applyAlignment="1" applyProtection="1">
      <alignment horizontal="center" vertical="center"/>
      <protection locked="0"/>
    </xf>
    <xf numFmtId="0" fontId="189" fillId="9" borderId="0" xfId="15" applyFont="1" applyFill="1" applyAlignment="1" applyProtection="1">
      <alignment horizontal="right" vertical="center"/>
      <protection locked="0"/>
    </xf>
    <xf numFmtId="0" fontId="160" fillId="89" borderId="0" xfId="19" applyFont="1" applyFill="1" applyAlignment="1">
      <alignment horizontal="center" vertical="center"/>
    </xf>
    <xf numFmtId="187" fontId="85" fillId="83" borderId="0" xfId="4" applyNumberFormat="1" applyFont="1" applyFill="1" applyAlignment="1">
      <alignment vertical="center"/>
    </xf>
    <xf numFmtId="0" fontId="12" fillId="9" borderId="0" xfId="21" applyFont="1" applyFill="1"/>
    <xf numFmtId="164" fontId="16" fillId="81" borderId="0" xfId="15" applyNumberFormat="1" applyFont="1" applyFill="1" applyAlignment="1" applyProtection="1">
      <alignment horizontal="center" vertical="center"/>
      <protection locked="0"/>
    </xf>
    <xf numFmtId="0" fontId="0" fillId="0" borderId="6" xfId="0" applyBorder="1"/>
    <xf numFmtId="0" fontId="17" fillId="84" borderId="0" xfId="15" applyFont="1" applyFill="1" applyAlignment="1" applyProtection="1">
      <alignment horizontal="center" vertical="center"/>
      <protection locked="0"/>
    </xf>
    <xf numFmtId="0" fontId="88" fillId="9" borderId="0" xfId="15" applyFont="1" applyFill="1" applyAlignment="1" applyProtection="1">
      <alignment horizontal="left" vertical="center"/>
      <protection locked="0"/>
    </xf>
    <xf numFmtId="0" fontId="87" fillId="9" borderId="0" xfId="21" applyFont="1" applyFill="1" applyAlignment="1">
      <alignment horizontal="right" vertical="center"/>
    </xf>
    <xf numFmtId="0" fontId="21" fillId="9" borderId="0" xfId="4" applyFont="1" applyFill="1" applyAlignment="1">
      <alignment horizontal="left" vertical="center"/>
    </xf>
    <xf numFmtId="0" fontId="17" fillId="90" borderId="105" xfId="19" applyFont="1" applyFill="1" applyBorder="1" applyAlignment="1" applyProtection="1">
      <alignment horizontal="centerContinuous" vertical="center"/>
      <protection locked="0"/>
    </xf>
    <xf numFmtId="0" fontId="17" fillId="90" borderId="106" xfId="19" applyFont="1" applyFill="1" applyBorder="1" applyAlignment="1" applyProtection="1">
      <alignment horizontal="centerContinuous" vertical="center"/>
      <protection locked="0"/>
    </xf>
    <xf numFmtId="0" fontId="17" fillId="91" borderId="106" xfId="19" applyFont="1" applyFill="1" applyBorder="1" applyAlignment="1" applyProtection="1">
      <alignment horizontal="centerContinuous" vertical="center"/>
      <protection locked="0"/>
    </xf>
    <xf numFmtId="0" fontId="17" fillId="90" borderId="107" xfId="19" applyFont="1" applyFill="1" applyBorder="1" applyAlignment="1" applyProtection="1">
      <alignment horizontal="right" vertical="center"/>
      <protection locked="0"/>
    </xf>
    <xf numFmtId="0" fontId="59" fillId="9" borderId="0" xfId="1" applyFont="1" applyFill="1" applyAlignment="1">
      <alignment vertical="center"/>
    </xf>
    <xf numFmtId="0" fontId="1" fillId="5" borderId="82" xfId="6" applyFill="1" applyBorder="1" applyAlignment="1">
      <alignment horizontal="center" vertical="center"/>
    </xf>
    <xf numFmtId="0" fontId="23" fillId="9" borderId="59" xfId="4" applyFont="1" applyFill="1" applyBorder="1" applyAlignment="1">
      <alignment horizontal="left" vertical="center"/>
    </xf>
    <xf numFmtId="0" fontId="62" fillId="9" borderId="108" xfId="14" applyFill="1" applyBorder="1" applyAlignment="1">
      <alignment vertical="center"/>
    </xf>
    <xf numFmtId="0" fontId="62" fillId="9" borderId="109" xfId="14" applyFill="1" applyBorder="1" applyAlignment="1">
      <alignment vertical="center"/>
    </xf>
    <xf numFmtId="0" fontId="190" fillId="9" borderId="0" xfId="6" applyFont="1" applyFill="1" applyAlignment="1" applyProtection="1">
      <alignment horizontal="left" vertical="center"/>
      <protection locked="0"/>
    </xf>
    <xf numFmtId="166" fontId="191" fillId="93" borderId="101" xfId="6" applyNumberFormat="1" applyFont="1" applyFill="1" applyBorder="1" applyAlignment="1" applyProtection="1">
      <alignment horizontal="center" vertical="center"/>
      <protection locked="0"/>
    </xf>
    <xf numFmtId="0" fontId="59" fillId="9" borderId="0" xfId="4" applyFont="1" applyFill="1" applyProtection="1">
      <protection hidden="1"/>
    </xf>
    <xf numFmtId="0" fontId="192" fillId="9" borderId="0" xfId="6" applyFont="1" applyFill="1" applyAlignment="1" applyProtection="1">
      <alignment horizontal="right" vertical="center"/>
      <protection locked="0"/>
    </xf>
    <xf numFmtId="166" fontId="193" fillId="93" borderId="4" xfId="6" applyNumberFormat="1" applyFont="1" applyFill="1" applyBorder="1" applyAlignment="1" applyProtection="1">
      <alignment horizontal="center" vertical="center"/>
      <protection locked="0"/>
    </xf>
    <xf numFmtId="0" fontId="133" fillId="9" borderId="0" xfId="6" applyFont="1" applyFill="1" applyAlignment="1" applyProtection="1">
      <alignment horizontal="left" vertical="center"/>
      <protection locked="0"/>
    </xf>
    <xf numFmtId="0" fontId="133" fillId="9" borderId="0" xfId="6" applyFont="1" applyFill="1" applyAlignment="1" applyProtection="1">
      <alignment horizontal="right" vertical="center"/>
      <protection locked="0"/>
    </xf>
    <xf numFmtId="198" fontId="193" fillId="93" borderId="101" xfId="6" applyNumberFormat="1" applyFont="1" applyFill="1" applyBorder="1" applyAlignment="1" applyProtection="1">
      <alignment horizontal="center" vertical="center"/>
      <protection locked="0"/>
    </xf>
    <xf numFmtId="166" fontId="193" fillId="93" borderId="101" xfId="6" applyNumberFormat="1" applyFont="1" applyFill="1" applyBorder="1" applyAlignment="1" applyProtection="1">
      <alignment horizontal="center" vertical="center"/>
      <protection locked="0"/>
    </xf>
    <xf numFmtId="166" fontId="191" fillId="12" borderId="4" xfId="6" applyNumberFormat="1" applyFont="1" applyFill="1" applyBorder="1" applyAlignment="1" applyProtection="1">
      <alignment horizontal="center" vertical="center"/>
      <protection locked="0"/>
    </xf>
    <xf numFmtId="0" fontId="14" fillId="9" borderId="0" xfId="6" applyFont="1" applyFill="1" applyAlignment="1" applyProtection="1">
      <alignment horizontal="left" vertical="center"/>
      <protection locked="0"/>
    </xf>
    <xf numFmtId="0" fontId="14" fillId="9" borderId="0" xfId="6" applyFont="1" applyFill="1" applyAlignment="1" applyProtection="1">
      <alignment horizontal="right" vertical="center"/>
      <protection locked="0"/>
    </xf>
    <xf numFmtId="166" fontId="13" fillId="9" borderId="101" xfId="6" applyNumberFormat="1" applyFont="1" applyFill="1" applyBorder="1" applyAlignment="1" applyProtection="1">
      <alignment horizontal="center" vertical="center"/>
      <protection locked="0"/>
    </xf>
    <xf numFmtId="0" fontId="59" fillId="9" borderId="0" xfId="6" applyFont="1" applyFill="1" applyAlignment="1" applyProtection="1">
      <alignment horizontal="right" vertical="center"/>
      <protection locked="0"/>
    </xf>
    <xf numFmtId="166" fontId="13" fillId="9" borderId="4" xfId="6" applyNumberFormat="1" applyFont="1" applyFill="1" applyBorder="1" applyAlignment="1" applyProtection="1">
      <alignment horizontal="center" vertical="center"/>
      <protection locked="0"/>
    </xf>
    <xf numFmtId="0" fontId="62" fillId="9" borderId="0" xfId="14" applyFill="1" applyBorder="1" applyAlignment="1">
      <alignment horizontal="center" vertical="center"/>
    </xf>
    <xf numFmtId="0" fontId="59" fillId="9" borderId="59" xfId="6" applyFont="1" applyFill="1" applyBorder="1" applyAlignment="1" applyProtection="1">
      <alignment horizontal="left" vertical="center"/>
      <protection locked="0"/>
    </xf>
    <xf numFmtId="0" fontId="13" fillId="9" borderId="0" xfId="6" applyFont="1" applyFill="1" applyAlignment="1" applyProtection="1">
      <alignment horizontal="right" vertical="center"/>
      <protection locked="0"/>
    </xf>
    <xf numFmtId="198" fontId="13" fillId="9" borderId="101" xfId="6" applyNumberFormat="1" applyFont="1" applyFill="1" applyBorder="1" applyAlignment="1" applyProtection="1">
      <alignment horizontal="center" vertical="center"/>
      <protection locked="0"/>
    </xf>
    <xf numFmtId="198" fontId="13" fillId="9" borderId="4" xfId="6" applyNumberFormat="1" applyFont="1" applyFill="1" applyBorder="1" applyAlignment="1" applyProtection="1">
      <alignment horizontal="center" vertical="center"/>
      <protection locked="0"/>
    </xf>
    <xf numFmtId="0" fontId="59" fillId="5" borderId="108" xfId="6" applyFont="1" applyFill="1" applyBorder="1" applyAlignment="1" applyProtection="1">
      <alignment horizontal="left" vertical="center"/>
      <protection locked="0"/>
    </xf>
    <xf numFmtId="0" fontId="59" fillId="5" borderId="108" xfId="6" applyFont="1" applyFill="1" applyBorder="1" applyAlignment="1" applyProtection="1">
      <alignment horizontal="right" vertical="center"/>
      <protection locked="0"/>
    </xf>
    <xf numFmtId="166" fontId="13" fillId="5" borderId="108" xfId="6" applyNumberFormat="1" applyFont="1" applyFill="1" applyBorder="1" applyAlignment="1" applyProtection="1">
      <alignment horizontal="center" vertical="center"/>
      <protection locked="0"/>
    </xf>
    <xf numFmtId="0" fontId="59" fillId="5" borderId="108" xfId="4" applyFont="1" applyFill="1" applyBorder="1" applyProtection="1">
      <protection hidden="1"/>
    </xf>
    <xf numFmtId="0" fontId="13" fillId="5" borderId="108" xfId="6" applyFont="1" applyFill="1" applyBorder="1" applyAlignment="1" applyProtection="1">
      <alignment horizontal="right" vertical="center"/>
      <protection locked="0"/>
    </xf>
    <xf numFmtId="198" fontId="13" fillId="5" borderId="108" xfId="6" applyNumberFormat="1" applyFont="1" applyFill="1" applyBorder="1" applyAlignment="1" applyProtection="1">
      <alignment horizontal="center" vertical="center"/>
      <protection locked="0"/>
    </xf>
    <xf numFmtId="198" fontId="13" fillId="5" borderId="109" xfId="6" applyNumberFormat="1" applyFont="1" applyFill="1" applyBorder="1" applyAlignment="1" applyProtection="1">
      <alignment horizontal="center" vertical="center"/>
      <protection locked="0"/>
    </xf>
    <xf numFmtId="0" fontId="192" fillId="9" borderId="0" xfId="6" applyFont="1" applyFill="1" applyAlignment="1" applyProtection="1">
      <alignment horizontal="left" vertical="center"/>
      <protection locked="0"/>
    </xf>
    <xf numFmtId="173" fontId="194" fillId="93" borderId="101" xfId="6" applyNumberFormat="1" applyFont="1" applyFill="1" applyBorder="1" applyAlignment="1" applyProtection="1">
      <alignment horizontal="center" vertical="center"/>
      <protection locked="0"/>
    </xf>
    <xf numFmtId="0" fontId="13" fillId="9" borderId="35" xfId="6" applyFont="1" applyFill="1" applyBorder="1" applyAlignment="1" applyProtection="1">
      <alignment horizontal="left" vertical="center"/>
      <protection locked="0"/>
    </xf>
    <xf numFmtId="0" fontId="13" fillId="9" borderId="35" xfId="6" applyFont="1" applyFill="1" applyBorder="1" applyAlignment="1" applyProtection="1">
      <alignment horizontal="right" vertical="center"/>
      <protection locked="0"/>
    </xf>
    <xf numFmtId="198" fontId="13" fillId="9" borderId="110" xfId="6" applyNumberFormat="1" applyFont="1" applyFill="1" applyBorder="1" applyAlignment="1" applyProtection="1">
      <alignment horizontal="center" vertical="center"/>
      <protection locked="0"/>
    </xf>
    <xf numFmtId="0" fontId="59" fillId="9" borderId="35" xfId="6" applyFont="1" applyFill="1" applyBorder="1" applyAlignment="1" applyProtection="1">
      <alignment horizontal="right" vertical="center"/>
      <protection locked="0"/>
    </xf>
    <xf numFmtId="166" fontId="13" fillId="9" borderId="110" xfId="6" applyNumberFormat="1" applyFont="1" applyFill="1" applyBorder="1" applyAlignment="1" applyProtection="1">
      <alignment horizontal="center" vertical="center"/>
      <protection locked="0"/>
    </xf>
    <xf numFmtId="198" fontId="13" fillId="9" borderId="34" xfId="6" applyNumberFormat="1" applyFont="1" applyFill="1" applyBorder="1" applyAlignment="1" applyProtection="1">
      <alignment horizontal="center" vertical="center"/>
      <protection locked="0"/>
    </xf>
    <xf numFmtId="0" fontId="55" fillId="0" borderId="88" xfId="20" applyFont="1" applyBorder="1" applyAlignment="1">
      <alignment vertical="center"/>
    </xf>
    <xf numFmtId="0" fontId="17" fillId="2" borderId="113" xfId="19" applyFont="1" applyFill="1" applyBorder="1" applyAlignment="1" applyProtection="1">
      <alignment horizontal="left" vertical="center"/>
      <protection locked="0"/>
    </xf>
    <xf numFmtId="0" fontId="17" fillId="2" borderId="114" xfId="19" applyFont="1" applyFill="1" applyBorder="1" applyAlignment="1" applyProtection="1">
      <alignment horizontal="centerContinuous" vertical="center"/>
      <protection locked="0"/>
    </xf>
    <xf numFmtId="0" fontId="17" fillId="2" borderId="115" xfId="19" applyFont="1" applyFill="1" applyBorder="1" applyAlignment="1" applyProtection="1">
      <alignment horizontal="right" vertical="center"/>
      <protection locked="0"/>
    </xf>
    <xf numFmtId="0" fontId="144" fillId="72" borderId="41" xfId="4" applyFont="1" applyFill="1" applyBorder="1" applyAlignment="1">
      <alignment horizontal="center" vertical="center"/>
    </xf>
    <xf numFmtId="0" fontId="1" fillId="5" borderId="59" xfId="6" applyFill="1" applyBorder="1" applyAlignment="1">
      <alignment horizontal="center" vertical="center"/>
    </xf>
    <xf numFmtId="0" fontId="132" fillId="63" borderId="0" xfId="6" applyFont="1" applyFill="1" applyAlignment="1" applyProtection="1">
      <alignment horizontal="right" vertical="center"/>
      <protection locked="0"/>
    </xf>
    <xf numFmtId="208" fontId="132" fillId="93" borderId="101" xfId="6" applyNumberFormat="1" applyFont="1" applyFill="1" applyBorder="1" applyAlignment="1" applyProtection="1">
      <alignment horizontal="center" vertical="center"/>
      <protection locked="0"/>
    </xf>
    <xf numFmtId="0" fontId="1" fillId="9" borderId="88" xfId="0" applyFont="1" applyFill="1" applyBorder="1"/>
    <xf numFmtId="0" fontId="132" fillId="9" borderId="0" xfId="6" applyFont="1" applyFill="1" applyAlignment="1" applyProtection="1">
      <alignment horizontal="right" vertical="center"/>
      <protection locked="0"/>
    </xf>
    <xf numFmtId="0" fontId="58" fillId="9" borderId="88" xfId="4" applyFont="1" applyFill="1" applyBorder="1" applyAlignment="1">
      <alignment horizontal="center" vertical="center"/>
    </xf>
    <xf numFmtId="173" fontId="132" fillId="93" borderId="4" xfId="6" applyNumberFormat="1" applyFont="1" applyFill="1" applyBorder="1" applyAlignment="1" applyProtection="1">
      <alignment horizontal="center" vertical="center"/>
      <protection locked="0"/>
    </xf>
    <xf numFmtId="0" fontId="14" fillId="63" borderId="0" xfId="6" applyFont="1" applyFill="1" applyAlignment="1" applyProtection="1">
      <alignment horizontal="right" vertical="center"/>
      <protection locked="0"/>
    </xf>
    <xf numFmtId="208" fontId="14" fillId="63" borderId="101" xfId="6" applyNumberFormat="1" applyFont="1" applyFill="1" applyBorder="1" applyAlignment="1" applyProtection="1">
      <alignment horizontal="center" vertical="center"/>
      <protection locked="0"/>
    </xf>
    <xf numFmtId="208" fontId="14" fillId="63" borderId="4" xfId="6" applyNumberFormat="1" applyFont="1" applyFill="1" applyBorder="1" applyAlignment="1" applyProtection="1">
      <alignment horizontal="center" vertical="center"/>
      <protection locked="0"/>
    </xf>
    <xf numFmtId="0" fontId="1" fillId="9" borderId="35" xfId="0" applyFont="1" applyFill="1" applyBorder="1"/>
    <xf numFmtId="0" fontId="14" fillId="63" borderId="35" xfId="6" applyFont="1" applyFill="1" applyBorder="1" applyAlignment="1" applyProtection="1">
      <alignment horizontal="right" vertical="center"/>
      <protection locked="0"/>
    </xf>
    <xf numFmtId="165" fontId="14" fillId="63" borderId="110" xfId="6" applyNumberFormat="1" applyFont="1" applyFill="1" applyBorder="1" applyAlignment="1" applyProtection="1">
      <alignment horizontal="center" vertical="center"/>
      <protection locked="0"/>
    </xf>
    <xf numFmtId="0" fontId="1" fillId="9" borderId="116" xfId="0" applyFont="1" applyFill="1" applyBorder="1"/>
    <xf numFmtId="0" fontId="58" fillId="9" borderId="116" xfId="4" applyFont="1" applyFill="1" applyBorder="1" applyAlignment="1">
      <alignment horizontal="center" vertical="center"/>
    </xf>
    <xf numFmtId="171" fontId="14" fillId="63" borderId="34" xfId="6" applyNumberFormat="1" applyFont="1" applyFill="1" applyBorder="1" applyAlignment="1" applyProtection="1">
      <alignment horizontal="center" vertical="center"/>
      <protection locked="0"/>
    </xf>
    <xf numFmtId="2" fontId="13" fillId="94" borderId="76" xfId="6" applyNumberFormat="1" applyFont="1" applyFill="1" applyBorder="1" applyAlignment="1" applyProtection="1">
      <alignment horizontal="center" vertical="center" wrapText="1"/>
      <protection locked="0"/>
    </xf>
    <xf numFmtId="0" fontId="1" fillId="5" borderId="0" xfId="6" applyFill="1"/>
    <xf numFmtId="182" fontId="9" fillId="5" borderId="117" xfId="6" applyNumberFormat="1" applyFont="1" applyFill="1" applyBorder="1" applyAlignment="1">
      <alignment horizontal="center" vertical="center"/>
    </xf>
    <xf numFmtId="0" fontId="59" fillId="5" borderId="54" xfId="6" applyFont="1" applyFill="1" applyBorder="1" applyAlignment="1">
      <alignment horizontal="center" vertical="center"/>
    </xf>
    <xf numFmtId="2" fontId="9" fillId="5" borderId="118" xfId="6" applyNumberFormat="1" applyFont="1" applyFill="1" applyBorder="1" applyAlignment="1">
      <alignment horizontal="center" vertical="center"/>
    </xf>
    <xf numFmtId="208" fontId="52" fillId="93" borderId="101" xfId="6" applyNumberFormat="1" applyFont="1" applyFill="1" applyBorder="1" applyAlignment="1" applyProtection="1">
      <alignment horizontal="center" vertical="center"/>
      <protection locked="0"/>
    </xf>
    <xf numFmtId="173" fontId="52" fillId="93" borderId="4" xfId="6" applyNumberFormat="1" applyFont="1" applyFill="1" applyBorder="1" applyAlignment="1" applyProtection="1">
      <alignment horizontal="center" vertical="center"/>
      <protection locked="0"/>
    </xf>
    <xf numFmtId="9" fontId="9" fillId="47" borderId="22" xfId="6" applyNumberFormat="1" applyFont="1" applyFill="1" applyBorder="1" applyAlignment="1">
      <alignment horizontal="center" vertical="center"/>
    </xf>
    <xf numFmtId="0" fontId="17" fillId="5" borderId="0" xfId="19" applyFont="1" applyFill="1" applyAlignment="1">
      <alignment horizontal="centerContinuous" vertical="center"/>
    </xf>
    <xf numFmtId="0" fontId="1" fillId="47" borderId="0" xfId="6" applyFill="1" applyAlignment="1">
      <alignment horizontal="centerContinuous" vertical="center" wrapText="1"/>
    </xf>
    <xf numFmtId="0" fontId="9" fillId="47" borderId="0" xfId="19" applyFont="1" applyFill="1" applyAlignment="1">
      <alignment horizontal="right" vertical="center"/>
    </xf>
    <xf numFmtId="168" fontId="190" fillId="12" borderId="119" xfId="19" applyNumberFormat="1" applyFont="1" applyFill="1" applyBorder="1" applyAlignment="1">
      <alignment horizontal="center" vertical="center"/>
    </xf>
    <xf numFmtId="9" fontId="121" fillId="47" borderId="22" xfId="6" applyNumberFormat="1" applyFont="1" applyFill="1" applyBorder="1" applyAlignment="1">
      <alignment horizontal="center" vertical="center"/>
    </xf>
    <xf numFmtId="190" fontId="59" fillId="95" borderId="4" xfId="6" applyNumberFormat="1" applyFont="1" applyFill="1" applyBorder="1" applyAlignment="1">
      <alignment horizontal="centerContinuous" vertical="center" wrapText="1"/>
    </xf>
    <xf numFmtId="165" fontId="192" fillId="93" borderId="22" xfId="6" applyNumberFormat="1" applyFont="1" applyFill="1" applyBorder="1" applyAlignment="1">
      <alignment horizontal="center" vertical="center"/>
    </xf>
    <xf numFmtId="0" fontId="132" fillId="93" borderId="0" xfId="19" applyFont="1" applyFill="1" applyAlignment="1">
      <alignment horizontal="left" vertical="center"/>
    </xf>
    <xf numFmtId="170" fontId="17" fillId="5" borderId="120" xfId="6" applyNumberFormat="1" applyFont="1" applyFill="1" applyBorder="1" applyAlignment="1" applyProtection="1">
      <alignment horizontal="center" vertical="center"/>
      <protection locked="0"/>
    </xf>
    <xf numFmtId="173" fontId="183" fillId="12" borderId="0" xfId="6" applyNumberFormat="1" applyFont="1" applyFill="1" applyAlignment="1" applyProtection="1">
      <alignment horizontal="center" vertical="center"/>
      <protection locked="0"/>
    </xf>
    <xf numFmtId="170" fontId="17" fillId="5" borderId="4" xfId="6" applyNumberFormat="1" applyFont="1" applyFill="1" applyBorder="1" applyAlignment="1" applyProtection="1">
      <alignment horizontal="center" vertical="center"/>
      <protection locked="0"/>
    </xf>
    <xf numFmtId="208" fontId="14" fillId="63" borderId="34" xfId="6" applyNumberFormat="1" applyFont="1" applyFill="1" applyBorder="1" applyAlignment="1" applyProtection="1">
      <alignment horizontal="center" vertical="center"/>
      <protection locked="0"/>
    </xf>
    <xf numFmtId="170" fontId="17" fillId="5" borderId="0" xfId="6" applyNumberFormat="1" applyFont="1" applyFill="1" applyAlignment="1" applyProtection="1">
      <alignment horizontal="center" vertical="center"/>
      <protection locked="0"/>
    </xf>
    <xf numFmtId="173" fontId="183" fillId="93" borderId="0" xfId="6" applyNumberFormat="1" applyFont="1" applyFill="1" applyAlignment="1" applyProtection="1">
      <alignment horizontal="center" vertical="center"/>
      <protection locked="0"/>
    </xf>
    <xf numFmtId="0" fontId="62" fillId="9" borderId="59" xfId="14" applyFill="1" applyBorder="1" applyAlignment="1">
      <alignment vertical="center"/>
    </xf>
    <xf numFmtId="0" fontId="69" fillId="9" borderId="59" xfId="10" applyFont="1" applyFill="1" applyBorder="1" applyAlignment="1">
      <alignment horizontal="center" vertical="center"/>
    </xf>
    <xf numFmtId="0" fontId="1" fillId="0" borderId="59" xfId="0" applyFont="1" applyBorder="1"/>
    <xf numFmtId="0" fontId="1" fillId="0" borderId="58" xfId="0" applyFont="1" applyBorder="1"/>
    <xf numFmtId="0" fontId="13" fillId="9" borderId="59" xfId="4" applyFont="1" applyFill="1" applyBorder="1" applyAlignment="1" applyProtection="1">
      <alignment horizontal="center" vertical="center"/>
      <protection hidden="1"/>
    </xf>
    <xf numFmtId="0" fontId="4" fillId="9" borderId="59" xfId="6" applyFont="1" applyFill="1" applyBorder="1" applyAlignment="1">
      <alignment horizontal="center"/>
    </xf>
    <xf numFmtId="0" fontId="4" fillId="9" borderId="0" xfId="6" applyFont="1" applyFill="1" applyAlignment="1">
      <alignment horizontal="left"/>
    </xf>
    <xf numFmtId="209" fontId="23" fillId="9" borderId="0" xfId="4" applyNumberFormat="1" applyFont="1" applyFill="1" applyAlignment="1" applyProtection="1">
      <alignment horizontal="center" vertical="center"/>
      <protection hidden="1"/>
    </xf>
    <xf numFmtId="186" fontId="10" fillId="9" borderId="0" xfId="4" applyNumberFormat="1" applyFont="1" applyFill="1" applyAlignment="1" applyProtection="1">
      <alignment horizontal="center" vertical="center"/>
      <protection hidden="1"/>
    </xf>
    <xf numFmtId="168" fontId="13" fillId="7" borderId="4" xfId="10" applyNumberFormat="1" applyFont="1" applyFill="1" applyBorder="1" applyAlignment="1">
      <alignment horizontal="center" vertical="center"/>
    </xf>
    <xf numFmtId="165" fontId="192" fillId="93" borderId="121" xfId="6" applyNumberFormat="1" applyFont="1" applyFill="1" applyBorder="1" applyAlignment="1">
      <alignment horizontal="center" vertical="center"/>
    </xf>
    <xf numFmtId="0" fontId="132" fillId="93" borderId="35" xfId="19" applyFont="1" applyFill="1" applyBorder="1" applyAlignment="1">
      <alignment horizontal="left" vertical="center"/>
    </xf>
    <xf numFmtId="170" fontId="17" fillId="5" borderId="35" xfId="6" applyNumberFormat="1" applyFont="1" applyFill="1" applyBorder="1" applyAlignment="1" applyProtection="1">
      <alignment horizontal="center" vertical="center"/>
      <protection locked="0"/>
    </xf>
    <xf numFmtId="173" fontId="183" fillId="93" borderId="35" xfId="6" applyNumberFormat="1" applyFont="1" applyFill="1" applyBorder="1" applyAlignment="1" applyProtection="1">
      <alignment horizontal="center" vertical="center"/>
      <protection locked="0"/>
    </xf>
    <xf numFmtId="170" fontId="17" fillId="5" borderId="34" xfId="6" applyNumberFormat="1" applyFont="1" applyFill="1" applyBorder="1" applyAlignment="1" applyProtection="1">
      <alignment horizontal="center" vertical="center"/>
      <protection locked="0"/>
    </xf>
    <xf numFmtId="0" fontId="14" fillId="9" borderId="0" xfId="4" applyFont="1" applyFill="1" applyAlignment="1">
      <alignment horizontal="left" vertical="center"/>
    </xf>
    <xf numFmtId="0" fontId="1" fillId="9" borderId="0" xfId="6" applyFill="1"/>
    <xf numFmtId="0" fontId="198" fillId="9" borderId="0" xfId="4" applyFont="1" applyFill="1" applyAlignment="1">
      <alignment horizontal="center" vertical="center" wrapText="1"/>
    </xf>
    <xf numFmtId="0" fontId="198" fillId="9" borderId="4" xfId="4" applyFont="1" applyFill="1" applyBorder="1" applyAlignment="1">
      <alignment horizontal="center" vertical="center" wrapText="1"/>
    </xf>
    <xf numFmtId="0" fontId="58" fillId="2" borderId="101" xfId="4" applyFont="1" applyFill="1" applyBorder="1" applyAlignment="1">
      <alignment horizontal="center" vertical="center"/>
    </xf>
    <xf numFmtId="0" fontId="58" fillId="5" borderId="125" xfId="4" applyFont="1" applyFill="1" applyBorder="1" applyAlignment="1">
      <alignment horizontal="center" vertical="center"/>
    </xf>
    <xf numFmtId="0" fontId="17" fillId="20" borderId="101" xfId="4" applyFont="1" applyFill="1" applyBorder="1" applyAlignment="1" applyProtection="1">
      <alignment horizontal="center" vertical="center"/>
      <protection locked="0"/>
    </xf>
    <xf numFmtId="0" fontId="51" fillId="9" borderId="35" xfId="1" applyFont="1" applyFill="1" applyBorder="1" applyAlignment="1">
      <alignment horizontal="center" vertical="center"/>
    </xf>
    <xf numFmtId="0" fontId="51" fillId="9" borderId="116" xfId="1" applyFont="1" applyFill="1" applyBorder="1" applyAlignment="1">
      <alignment horizontal="center" vertical="center"/>
    </xf>
    <xf numFmtId="0" fontId="0" fillId="9" borderId="35" xfId="0" applyFill="1" applyBorder="1" applyAlignment="1">
      <alignment horizontal="center" vertical="center"/>
    </xf>
    <xf numFmtId="0" fontId="2" fillId="4" borderId="110" xfId="4" applyFont="1" applyFill="1" applyBorder="1" applyAlignment="1">
      <alignment horizontal="center" vertical="center"/>
    </xf>
    <xf numFmtId="0" fontId="51" fillId="9" borderId="126" xfId="1" applyFont="1" applyFill="1" applyBorder="1" applyAlignment="1">
      <alignment horizontal="center" vertical="center"/>
    </xf>
    <xf numFmtId="0" fontId="51" fillId="9" borderId="122" xfId="1" applyFont="1" applyFill="1" applyBorder="1" applyAlignment="1">
      <alignment horizontal="center" vertical="center"/>
    </xf>
    <xf numFmtId="0" fontId="38" fillId="0" borderId="122" xfId="1" applyFont="1" applyBorder="1" applyAlignment="1">
      <alignment horizontal="center" vertical="center"/>
    </xf>
    <xf numFmtId="0" fontId="13" fillId="0" borderId="122" xfId="1" applyFont="1" applyBorder="1" applyAlignment="1">
      <alignment horizontal="right" vertical="center"/>
    </xf>
    <xf numFmtId="184" fontId="148" fillId="9" borderId="0" xfId="1" applyNumberFormat="1" applyFont="1" applyFill="1" applyAlignment="1">
      <alignment vertical="center"/>
    </xf>
    <xf numFmtId="0" fontId="144" fillId="72" borderId="126" xfId="4" applyFont="1" applyFill="1" applyBorder="1" applyAlignment="1">
      <alignment horizontal="center" vertical="center"/>
    </xf>
    <xf numFmtId="0" fontId="1" fillId="5" borderId="122" xfId="6" applyFill="1" applyBorder="1" applyAlignment="1">
      <alignment horizontal="center" vertical="center"/>
    </xf>
    <xf numFmtId="0" fontId="1" fillId="0" borderId="122" xfId="0" applyFont="1" applyBorder="1"/>
    <xf numFmtId="0" fontId="1" fillId="9" borderId="122" xfId="0" applyFont="1" applyFill="1" applyBorder="1"/>
    <xf numFmtId="0" fontId="58" fillId="9" borderId="122" xfId="4" applyFont="1" applyFill="1" applyBorder="1" applyAlignment="1">
      <alignment horizontal="center" vertical="center"/>
    </xf>
    <xf numFmtId="0" fontId="58" fillId="9" borderId="123" xfId="4" applyFont="1" applyFill="1" applyBorder="1" applyAlignment="1">
      <alignment horizontal="center" vertical="center"/>
    </xf>
    <xf numFmtId="208" fontId="196" fillId="93" borderId="124" xfId="6" applyNumberFormat="1" applyFont="1" applyFill="1" applyBorder="1" applyAlignment="1" applyProtection="1">
      <alignment horizontal="center" vertical="center"/>
      <protection locked="0"/>
    </xf>
    <xf numFmtId="0" fontId="1" fillId="9" borderId="126" xfId="0" applyFont="1" applyFill="1" applyBorder="1"/>
    <xf numFmtId="0" fontId="58" fillId="9" borderId="126" xfId="4" applyFont="1" applyFill="1" applyBorder="1" applyAlignment="1">
      <alignment horizontal="center" vertical="center"/>
    </xf>
    <xf numFmtId="208" fontId="196" fillId="93" borderId="123" xfId="6" applyNumberFormat="1" applyFont="1" applyFill="1" applyBorder="1" applyAlignment="1" applyProtection="1">
      <alignment horizontal="center" vertical="center"/>
      <protection locked="0"/>
    </xf>
    <xf numFmtId="0" fontId="76" fillId="63" borderId="122" xfId="6" applyFont="1" applyFill="1" applyBorder="1" applyAlignment="1" applyProtection="1">
      <alignment horizontal="right" vertical="center"/>
      <protection locked="0"/>
    </xf>
    <xf numFmtId="208" fontId="76" fillId="93" borderId="124" xfId="6" applyNumberFormat="1" applyFont="1" applyFill="1" applyBorder="1" applyAlignment="1" applyProtection="1">
      <alignment horizontal="center" vertical="center"/>
      <protection locked="0"/>
    </xf>
    <xf numFmtId="208" fontId="76" fillId="93" borderId="123" xfId="6" applyNumberFormat="1" applyFont="1" applyFill="1" applyBorder="1" applyAlignment="1" applyProtection="1">
      <alignment horizontal="center" vertical="center"/>
      <protection locked="0"/>
    </xf>
    <xf numFmtId="0" fontId="17" fillId="5" borderId="0" xfId="19" applyFont="1" applyFill="1" applyAlignment="1">
      <alignment horizontal="center" vertical="center"/>
    </xf>
    <xf numFmtId="0" fontId="1" fillId="47" borderId="0" xfId="6" applyFill="1" applyAlignment="1">
      <alignment horizontal="center" vertical="center" wrapText="1"/>
    </xf>
    <xf numFmtId="190" fontId="59" fillId="95" borderId="4" xfId="6" applyNumberFormat="1" applyFont="1" applyFill="1" applyBorder="1" applyAlignment="1">
      <alignment horizontal="center" vertical="center" wrapText="1"/>
    </xf>
    <xf numFmtId="0" fontId="0" fillId="9" borderId="110" xfId="0" applyFill="1" applyBorder="1" applyAlignment="1">
      <alignment horizontal="center" vertical="center"/>
    </xf>
    <xf numFmtId="0" fontId="51" fillId="7" borderId="0" xfId="4" applyFont="1" applyFill="1" applyAlignment="1">
      <alignment horizontal="center" vertical="center"/>
    </xf>
    <xf numFmtId="0" fontId="13" fillId="28" borderId="2" xfId="4" applyFont="1" applyFill="1" applyBorder="1" applyAlignment="1">
      <alignment horizontal="center" vertical="center"/>
    </xf>
    <xf numFmtId="0" fontId="13" fillId="28" borderId="0" xfId="4" applyFont="1" applyFill="1" applyAlignment="1">
      <alignment horizontal="center" vertical="center"/>
    </xf>
    <xf numFmtId="0" fontId="13" fillId="28" borderId="4" xfId="4" applyFont="1" applyFill="1" applyBorder="1" applyAlignment="1">
      <alignment horizontal="center" vertical="center"/>
    </xf>
    <xf numFmtId="0" fontId="95" fillId="28" borderId="0" xfId="0" applyFont="1" applyFill="1" applyAlignment="1">
      <alignment vertical="center"/>
    </xf>
    <xf numFmtId="0" fontId="39" fillId="28" borderId="0" xfId="0" applyFont="1" applyFill="1" applyAlignment="1">
      <alignment vertical="center"/>
    </xf>
    <xf numFmtId="0" fontId="50" fillId="9" borderId="2" xfId="4" applyFont="1" applyFill="1" applyBorder="1" applyAlignment="1">
      <alignment horizontal="left" vertical="center"/>
    </xf>
    <xf numFmtId="0" fontId="200" fillId="9" borderId="2" xfId="4" applyFont="1" applyFill="1" applyBorder="1" applyAlignment="1">
      <alignment horizontal="left" vertical="center"/>
    </xf>
    <xf numFmtId="0" fontId="68" fillId="28" borderId="0" xfId="4" applyFont="1" applyFill="1" applyAlignment="1">
      <alignment vertical="center"/>
    </xf>
    <xf numFmtId="0" fontId="59" fillId="14" borderId="127" xfId="4" applyFont="1" applyFill="1" applyBorder="1" applyAlignment="1" applyProtection="1">
      <alignment horizontal="center"/>
      <protection locked="0"/>
    </xf>
    <xf numFmtId="0" fontId="19" fillId="14" borderId="128" xfId="4" applyFont="1" applyFill="1" applyBorder="1" applyAlignment="1" applyProtection="1">
      <alignment horizontal="center"/>
      <protection locked="0"/>
    </xf>
    <xf numFmtId="0" fontId="58" fillId="5" borderId="128" xfId="4" applyFont="1" applyFill="1" applyBorder="1" applyAlignment="1" applyProtection="1">
      <alignment horizontal="center" vertical="center"/>
      <protection hidden="1"/>
    </xf>
    <xf numFmtId="0" fontId="10" fillId="9" borderId="131" xfId="4" applyFont="1" applyFill="1" applyBorder="1" applyAlignment="1">
      <alignment horizontal="center"/>
    </xf>
    <xf numFmtId="0" fontId="201" fillId="9" borderId="2" xfId="4" applyFont="1" applyFill="1" applyBorder="1" applyAlignment="1">
      <alignment horizontal="left" vertical="center"/>
    </xf>
    <xf numFmtId="0" fontId="59" fillId="14" borderId="132" xfId="4" applyFont="1" applyFill="1" applyBorder="1" applyAlignment="1" applyProtection="1">
      <alignment horizontal="center" vertical="center"/>
      <protection hidden="1"/>
    </xf>
    <xf numFmtId="0" fontId="10" fillId="9" borderId="58" xfId="2" applyFont="1" applyFill="1" applyBorder="1" applyAlignment="1">
      <alignment horizontal="center" vertical="center"/>
    </xf>
    <xf numFmtId="164" fontId="24" fillId="13" borderId="133" xfId="4" applyNumberFormat="1" applyFont="1" applyFill="1" applyBorder="1" applyAlignment="1">
      <alignment horizontal="center" vertical="center"/>
    </xf>
    <xf numFmtId="0" fontId="20" fillId="0" borderId="4" xfId="4" applyFont="1" applyBorder="1" applyAlignment="1">
      <alignment horizontal="left" vertical="center"/>
    </xf>
    <xf numFmtId="0" fontId="47" fillId="9" borderId="2" xfId="1" applyFont="1" applyFill="1" applyBorder="1" applyAlignment="1">
      <alignment vertical="center"/>
    </xf>
    <xf numFmtId="0" fontId="202" fillId="9" borderId="0" xfId="1" applyFont="1" applyFill="1" applyAlignment="1">
      <alignment vertical="center"/>
    </xf>
    <xf numFmtId="0" fontId="46" fillId="5" borderId="134" xfId="0" applyFont="1" applyFill="1" applyBorder="1" applyAlignment="1">
      <alignment horizontal="centerContinuous" vertical="center"/>
    </xf>
    <xf numFmtId="0" fontId="46" fillId="5" borderId="135" xfId="0" applyFont="1" applyFill="1" applyBorder="1" applyAlignment="1">
      <alignment horizontal="centerContinuous" vertical="center"/>
    </xf>
    <xf numFmtId="0" fontId="46" fillId="5" borderId="136" xfId="0" applyFont="1" applyFill="1" applyBorder="1" applyAlignment="1">
      <alignment horizontal="centerContinuous" vertical="center"/>
    </xf>
    <xf numFmtId="0" fontId="9" fillId="48" borderId="137" xfId="1" applyFont="1" applyFill="1" applyBorder="1" applyAlignment="1">
      <alignment horizontal="center" vertical="center"/>
    </xf>
    <xf numFmtId="0" fontId="106" fillId="96" borderId="82" xfId="1" applyFont="1" applyFill="1" applyBorder="1" applyAlignment="1">
      <alignment horizontal="center" vertical="center"/>
    </xf>
    <xf numFmtId="0" fontId="106" fillId="96" borderId="82" xfId="1" applyFont="1" applyFill="1" applyBorder="1" applyAlignment="1">
      <alignment horizontal="left" vertical="center"/>
    </xf>
    <xf numFmtId="0" fontId="107" fillId="96" borderId="82" xfId="1" applyFont="1" applyFill="1" applyBorder="1" applyAlignment="1">
      <alignment horizontal="center" vertical="center"/>
    </xf>
    <xf numFmtId="0" fontId="107" fillId="96" borderId="138" xfId="1" applyFont="1" applyFill="1" applyBorder="1" applyAlignment="1">
      <alignment horizontal="center" vertical="center"/>
    </xf>
    <xf numFmtId="0" fontId="45" fillId="9" borderId="105" xfId="1" applyFont="1" applyFill="1" applyBorder="1" applyAlignment="1">
      <alignment horizontal="left" vertical="center"/>
    </xf>
    <xf numFmtId="0" fontId="45" fillId="9" borderId="0" xfId="1" applyFont="1" applyFill="1" applyAlignment="1">
      <alignment vertical="center"/>
    </xf>
    <xf numFmtId="0" fontId="45" fillId="9" borderId="0" xfId="1" applyFont="1" applyFill="1" applyAlignment="1">
      <alignment horizontal="right" vertical="center"/>
    </xf>
    <xf numFmtId="1" fontId="110" fillId="55" borderId="139" xfId="4" applyNumberFormat="1" applyFont="1" applyFill="1" applyBorder="1" applyAlignment="1">
      <alignment horizontal="center" vertical="center"/>
    </xf>
    <xf numFmtId="1" fontId="23" fillId="83" borderId="140" xfId="4" applyNumberFormat="1" applyFont="1" applyFill="1" applyBorder="1" applyAlignment="1">
      <alignment horizontal="left" vertical="center"/>
    </xf>
    <xf numFmtId="0" fontId="14" fillId="9" borderId="2" xfId="4" applyFont="1" applyFill="1" applyBorder="1" applyAlignment="1" applyProtection="1">
      <alignment horizontal="left" vertical="center"/>
      <protection locked="0"/>
    </xf>
    <xf numFmtId="1" fontId="23" fillId="83" borderId="101" xfId="4" applyNumberFormat="1" applyFont="1" applyFill="1" applyBorder="1" applyAlignment="1">
      <alignment horizontal="left" vertical="center"/>
    </xf>
    <xf numFmtId="0" fontId="14" fillId="9" borderId="0" xfId="4" applyFont="1" applyFill="1" applyAlignment="1" applyProtection="1">
      <alignment horizontal="left" vertical="center"/>
      <protection locked="0"/>
    </xf>
    <xf numFmtId="0" fontId="14" fillId="9" borderId="4" xfId="4" applyFont="1" applyFill="1" applyBorder="1" applyAlignment="1" applyProtection="1">
      <alignment horizontal="left" vertical="center"/>
      <protection locked="0"/>
    </xf>
    <xf numFmtId="0" fontId="22" fillId="16" borderId="139" xfId="4" applyFont="1" applyFill="1" applyBorder="1" applyAlignment="1" applyProtection="1">
      <alignment horizontal="center" vertical="center"/>
      <protection hidden="1"/>
    </xf>
    <xf numFmtId="179" fontId="45" fillId="41" borderId="101" xfId="4" applyNumberFormat="1" applyFont="1" applyFill="1" applyBorder="1" applyAlignment="1" applyProtection="1">
      <alignment horizontal="center" vertical="center"/>
      <protection hidden="1"/>
    </xf>
    <xf numFmtId="0" fontId="126" fillId="9" borderId="141" xfId="4" applyFont="1" applyFill="1" applyBorder="1" applyAlignment="1" applyProtection="1">
      <alignment horizontal="left" vertical="center"/>
      <protection locked="0"/>
    </xf>
    <xf numFmtId="0" fontId="159" fillId="9" borderId="142" xfId="4" applyFont="1" applyFill="1" applyBorder="1" applyAlignment="1" applyProtection="1">
      <alignment horizontal="left" vertical="center"/>
      <protection locked="0"/>
    </xf>
    <xf numFmtId="0" fontId="59" fillId="9" borderId="143" xfId="4" applyFont="1" applyFill="1" applyBorder="1" applyAlignment="1" applyProtection="1">
      <alignment horizontal="right" vertical="center"/>
      <protection locked="0"/>
    </xf>
    <xf numFmtId="0" fontId="14" fillId="52" borderId="139" xfId="4" applyFont="1" applyFill="1" applyBorder="1" applyAlignment="1" applyProtection="1">
      <alignment horizontal="center" vertical="center"/>
      <protection hidden="1"/>
    </xf>
    <xf numFmtId="0" fontId="159" fillId="9" borderId="2" xfId="4" applyFont="1" applyFill="1" applyBorder="1" applyAlignment="1" applyProtection="1">
      <alignment horizontal="left" vertical="center"/>
      <protection locked="0"/>
    </xf>
    <xf numFmtId="0" fontId="159" fillId="9" borderId="0" xfId="4" applyFont="1" applyFill="1" applyAlignment="1" applyProtection="1">
      <alignment horizontal="left" vertical="center"/>
      <protection locked="0"/>
    </xf>
    <xf numFmtId="0" fontId="59" fillId="9" borderId="4" xfId="4" applyFont="1" applyFill="1" applyBorder="1" applyAlignment="1" applyProtection="1">
      <alignment horizontal="right" vertical="center"/>
      <protection locked="0"/>
    </xf>
    <xf numFmtId="0" fontId="14" fillId="46" borderId="139" xfId="4" applyFont="1" applyFill="1" applyBorder="1" applyAlignment="1" applyProtection="1">
      <alignment horizontal="center" vertical="center"/>
      <protection hidden="1"/>
    </xf>
    <xf numFmtId="0" fontId="159" fillId="9" borderId="132" xfId="4" applyFont="1" applyFill="1" applyBorder="1" applyAlignment="1" applyProtection="1">
      <alignment horizontal="left" vertical="center"/>
      <protection locked="0"/>
    </xf>
    <xf numFmtId="0" fontId="14" fillId="16" borderId="144" xfId="16" applyFont="1" applyFill="1" applyBorder="1" applyAlignment="1">
      <alignment horizontal="right" vertical="center"/>
    </xf>
    <xf numFmtId="0" fontId="14" fillId="16" borderId="6" xfId="16" applyFont="1" applyFill="1" applyBorder="1" applyAlignment="1">
      <alignment horizontal="right" vertical="center"/>
    </xf>
    <xf numFmtId="0" fontId="62" fillId="9" borderId="6" xfId="14" applyFill="1" applyBorder="1" applyAlignment="1">
      <alignment vertical="center"/>
    </xf>
    <xf numFmtId="0" fontId="62" fillId="9" borderId="5" xfId="14" applyFill="1" applyBorder="1" applyAlignment="1">
      <alignment vertical="center"/>
    </xf>
    <xf numFmtId="0" fontId="203" fillId="71" borderId="145" xfId="4" applyFont="1" applyFill="1" applyBorder="1" applyAlignment="1" applyProtection="1">
      <alignment vertical="center"/>
      <protection hidden="1"/>
    </xf>
    <xf numFmtId="0" fontId="11" fillId="71" borderId="43" xfId="4" applyFont="1" applyFill="1" applyBorder="1" applyAlignment="1" applyProtection="1">
      <alignment vertical="center"/>
      <protection hidden="1"/>
    </xf>
    <xf numFmtId="0" fontId="17" fillId="71" borderId="43" xfId="4" applyFont="1" applyFill="1" applyBorder="1" applyAlignment="1" applyProtection="1">
      <alignment vertical="center"/>
      <protection hidden="1"/>
    </xf>
    <xf numFmtId="0" fontId="14" fillId="71" borderId="43" xfId="4" applyFont="1" applyFill="1" applyBorder="1" applyAlignment="1" applyProtection="1">
      <alignment vertical="center"/>
      <protection hidden="1"/>
    </xf>
    <xf numFmtId="0" fontId="17" fillId="71" borderId="146" xfId="4" applyFont="1" applyFill="1" applyBorder="1" applyAlignment="1" applyProtection="1">
      <alignment vertical="center"/>
      <protection hidden="1"/>
    </xf>
    <xf numFmtId="0" fontId="1" fillId="20" borderId="0" xfId="1" applyFill="1" applyAlignment="1">
      <alignment horizontal="center" vertical="center"/>
    </xf>
    <xf numFmtId="0" fontId="22" fillId="45" borderId="139" xfId="4" applyFont="1" applyFill="1" applyBorder="1" applyAlignment="1" applyProtection="1">
      <alignment horizontal="center" vertical="center"/>
      <protection hidden="1"/>
    </xf>
    <xf numFmtId="174" fontId="45" fillId="41" borderId="101" xfId="4" applyNumberFormat="1" applyFont="1" applyFill="1" applyBorder="1" applyAlignment="1" applyProtection="1">
      <alignment horizontal="center" vertical="center"/>
      <protection hidden="1"/>
    </xf>
    <xf numFmtId="0" fontId="11" fillId="9" borderId="0" xfId="4" applyFont="1" applyFill="1" applyAlignment="1" applyProtection="1">
      <alignment vertical="center"/>
      <protection hidden="1"/>
    </xf>
    <xf numFmtId="0" fontId="17" fillId="9" borderId="0" xfId="4" applyFont="1" applyFill="1" applyAlignment="1" applyProtection="1">
      <alignment vertical="center"/>
      <protection hidden="1"/>
    </xf>
    <xf numFmtId="0" fontId="14" fillId="9" borderId="0" xfId="4" applyFont="1" applyFill="1" applyAlignment="1" applyProtection="1">
      <alignment vertical="center"/>
      <protection hidden="1"/>
    </xf>
    <xf numFmtId="0" fontId="17" fillId="9" borderId="4" xfId="4" applyFont="1" applyFill="1" applyBorder="1" applyAlignment="1" applyProtection="1">
      <alignment vertical="center"/>
      <protection hidden="1"/>
    </xf>
    <xf numFmtId="0" fontId="83" fillId="39" borderId="137" xfId="9" applyFont="1" applyFill="1" applyBorder="1" applyAlignment="1">
      <alignment horizontal="center" vertical="center"/>
    </xf>
    <xf numFmtId="0" fontId="83" fillId="39" borderId="2" xfId="9" applyFont="1" applyFill="1" applyBorder="1" applyAlignment="1">
      <alignment horizontal="center" vertical="center"/>
    </xf>
    <xf numFmtId="0" fontId="100" fillId="41" borderId="139" xfId="4" applyFont="1" applyFill="1" applyBorder="1" applyAlignment="1" applyProtection="1">
      <alignment horizontal="center" vertical="center"/>
      <protection hidden="1"/>
    </xf>
    <xf numFmtId="0" fontId="99" fillId="41" borderId="139" xfId="4" applyFont="1" applyFill="1" applyBorder="1" applyAlignment="1" applyProtection="1">
      <alignment horizontal="center" vertical="center"/>
      <protection hidden="1"/>
    </xf>
    <xf numFmtId="0" fontId="26" fillId="15" borderId="2" xfId="6" applyFont="1" applyFill="1" applyBorder="1" applyAlignment="1">
      <alignment horizontal="center" vertical="center"/>
    </xf>
    <xf numFmtId="0" fontId="152" fillId="28" borderId="0" xfId="14" applyFont="1" applyFill="1" applyBorder="1" applyAlignment="1">
      <alignment horizontal="left" vertical="center"/>
    </xf>
    <xf numFmtId="0" fontId="13" fillId="71" borderId="7" xfId="9" applyFont="1" applyFill="1" applyBorder="1" applyAlignment="1">
      <alignment horizontal="center" vertical="center"/>
    </xf>
    <xf numFmtId="0" fontId="69" fillId="59" borderId="147" xfId="1" applyFont="1" applyFill="1" applyBorder="1" applyAlignment="1">
      <alignment horizontal="centerContinuous" vertical="center"/>
    </xf>
    <xf numFmtId="0" fontId="69" fillId="59" borderId="76" xfId="1" applyFont="1" applyFill="1" applyBorder="1" applyAlignment="1">
      <alignment horizontal="centerContinuous" vertical="center"/>
    </xf>
    <xf numFmtId="0" fontId="83" fillId="39" borderId="145" xfId="9" applyFont="1" applyFill="1" applyBorder="1" applyAlignment="1">
      <alignment horizontal="center" vertical="center"/>
    </xf>
    <xf numFmtId="0" fontId="7" fillId="56" borderId="43" xfId="13" applyFont="1" applyFill="1" applyBorder="1" applyAlignment="1">
      <alignment horizontal="center" vertical="center"/>
    </xf>
    <xf numFmtId="0" fontId="61" fillId="56" borderId="148" xfId="4" applyFont="1" applyFill="1" applyBorder="1" applyAlignment="1" applyProtection="1">
      <alignment vertical="center"/>
      <protection hidden="1"/>
    </xf>
    <xf numFmtId="0" fontId="11" fillId="56" borderId="43" xfId="4" applyFont="1" applyFill="1" applyBorder="1" applyAlignment="1" applyProtection="1">
      <alignment vertical="center"/>
      <protection hidden="1"/>
    </xf>
    <xf numFmtId="0" fontId="14" fillId="9" borderId="53" xfId="4" applyFont="1" applyFill="1" applyBorder="1" applyAlignment="1" applyProtection="1">
      <alignment horizontal="right" vertical="center"/>
      <protection hidden="1"/>
    </xf>
    <xf numFmtId="0" fontId="14" fillId="9" borderId="22" xfId="4" applyFont="1" applyFill="1" applyBorder="1" applyAlignment="1" applyProtection="1">
      <alignment horizontal="right" vertical="center"/>
      <protection hidden="1"/>
    </xf>
    <xf numFmtId="0" fontId="83" fillId="9" borderId="2" xfId="9" applyFont="1" applyFill="1" applyBorder="1" applyAlignment="1">
      <alignment horizontal="center" vertical="center"/>
    </xf>
    <xf numFmtId="0" fontId="7" fillId="9" borderId="0" xfId="13" applyFont="1" applyFill="1" applyAlignment="1">
      <alignment horizontal="left" vertical="center"/>
    </xf>
    <xf numFmtId="0" fontId="7" fillId="9" borderId="0" xfId="13" applyFont="1" applyFill="1" applyAlignment="1">
      <alignment horizontal="center" vertical="center"/>
    </xf>
    <xf numFmtId="0" fontId="7" fillId="9" borderId="0" xfId="13" applyFont="1" applyFill="1" applyAlignment="1">
      <alignment horizontal="right" vertical="center"/>
    </xf>
    <xf numFmtId="0" fontId="61" fillId="9" borderId="0" xfId="4" applyFont="1" applyFill="1" applyAlignment="1" applyProtection="1">
      <alignment vertical="center"/>
      <protection hidden="1"/>
    </xf>
    <xf numFmtId="0" fontId="14" fillId="71" borderId="7" xfId="9" applyFont="1" applyFill="1" applyBorder="1" applyAlignment="1">
      <alignment horizontal="center" vertical="center"/>
    </xf>
    <xf numFmtId="0" fontId="68" fillId="28" borderId="0" xfId="4" applyFont="1" applyFill="1" applyAlignment="1">
      <alignment horizontal="center" vertical="center"/>
    </xf>
    <xf numFmtId="0" fontId="68" fillId="28" borderId="4" xfId="4" applyFont="1" applyFill="1" applyBorder="1" applyAlignment="1">
      <alignment horizontal="center" vertical="center"/>
    </xf>
    <xf numFmtId="0" fontId="68" fillId="28" borderId="2" xfId="4" applyFont="1" applyFill="1" applyBorder="1" applyAlignment="1">
      <alignment horizontal="left" vertical="center"/>
    </xf>
    <xf numFmtId="0" fontId="68" fillId="28" borderId="0" xfId="4" applyFont="1" applyFill="1" applyAlignment="1">
      <alignment horizontal="left" vertical="center"/>
    </xf>
    <xf numFmtId="0" fontId="14" fillId="9" borderId="60" xfId="4" applyFont="1" applyFill="1" applyBorder="1" applyAlignment="1" applyProtection="1">
      <alignment horizontal="right" vertical="center"/>
      <protection hidden="1"/>
    </xf>
    <xf numFmtId="0" fontId="14" fillId="9" borderId="62" xfId="4" applyFont="1" applyFill="1" applyBorder="1" applyAlignment="1" applyProtection="1">
      <alignment horizontal="right" vertical="center"/>
      <protection hidden="1"/>
    </xf>
    <xf numFmtId="0" fontId="7" fillId="97" borderId="94" xfId="13" applyFont="1" applyFill="1" applyBorder="1" applyAlignment="1">
      <alignment horizontal="left" vertical="center"/>
    </xf>
    <xf numFmtId="0" fontId="7" fillId="97" borderId="94" xfId="13" applyFont="1" applyFill="1" applyBorder="1" applyAlignment="1">
      <alignment horizontal="center" vertical="center"/>
    </xf>
    <xf numFmtId="0" fontId="204" fillId="53" borderId="94" xfId="4" applyFont="1" applyFill="1" applyBorder="1" applyAlignment="1" applyProtection="1">
      <alignment horizontal="center" vertical="center" wrapText="1"/>
      <protection hidden="1"/>
    </xf>
    <xf numFmtId="0" fontId="14" fillId="9" borderId="2" xfId="4" quotePrefix="1" applyFont="1" applyFill="1" applyBorder="1" applyAlignment="1" applyProtection="1">
      <alignment vertical="center"/>
      <protection hidden="1"/>
    </xf>
    <xf numFmtId="0" fontId="39" fillId="0" borderId="0" xfId="1" applyFont="1" applyAlignment="1">
      <alignment vertical="center"/>
    </xf>
    <xf numFmtId="0" fontId="83" fillId="97" borderId="2" xfId="9" applyFont="1" applyFill="1" applyBorder="1" applyAlignment="1">
      <alignment horizontal="center" vertical="center"/>
    </xf>
    <xf numFmtId="0" fontId="7" fillId="97" borderId="0" xfId="13" applyFont="1" applyFill="1" applyAlignment="1">
      <alignment horizontal="left" vertical="center"/>
    </xf>
    <xf numFmtId="0" fontId="7" fillId="97" borderId="0" xfId="13" applyFont="1" applyFill="1" applyAlignment="1">
      <alignment horizontal="center" vertical="center"/>
    </xf>
    <xf numFmtId="0" fontId="204" fillId="53" borderId="0" xfId="4" applyFont="1" applyFill="1" applyAlignment="1" applyProtection="1">
      <alignment horizontal="center" vertical="center" wrapText="1"/>
      <protection hidden="1"/>
    </xf>
    <xf numFmtId="0" fontId="7" fillId="6" borderId="0" xfId="9" applyFont="1" applyFill="1" applyAlignment="1">
      <alignment horizontal="right" vertical="center"/>
    </xf>
    <xf numFmtId="0" fontId="2" fillId="6" borderId="0" xfId="4" applyFont="1" applyFill="1" applyAlignment="1">
      <alignment horizontal="right" vertical="center"/>
    </xf>
    <xf numFmtId="0" fontId="2" fillId="97" borderId="0" xfId="4" applyFont="1" applyFill="1" applyAlignment="1">
      <alignment horizontal="right" vertical="center"/>
    </xf>
    <xf numFmtId="0" fontId="11" fillId="97" borderId="0" xfId="4" applyFont="1" applyFill="1" applyAlignment="1">
      <alignment horizontal="center" vertical="center"/>
    </xf>
    <xf numFmtId="0" fontId="13" fillId="9" borderId="4" xfId="19" applyFont="1" applyFill="1" applyBorder="1" applyAlignment="1">
      <alignment horizontal="center" vertical="center"/>
    </xf>
    <xf numFmtId="0" fontId="27" fillId="7" borderId="0" xfId="9" applyFont="1" applyFill="1" applyAlignment="1">
      <alignment horizontal="right" vertical="center"/>
    </xf>
    <xf numFmtId="0" fontId="27" fillId="7" borderId="22" xfId="9" applyFont="1" applyFill="1" applyBorder="1" applyAlignment="1">
      <alignment horizontal="right" vertical="center"/>
    </xf>
    <xf numFmtId="0" fontId="76" fillId="9" borderId="4" xfId="19" applyFont="1" applyFill="1" applyBorder="1" applyAlignment="1">
      <alignment vertical="center"/>
    </xf>
    <xf numFmtId="0" fontId="175" fillId="9" borderId="4" xfId="2" applyFont="1" applyFill="1" applyBorder="1" applyAlignment="1">
      <alignment vertical="center"/>
    </xf>
    <xf numFmtId="0" fontId="70" fillId="5" borderId="0" xfId="0" applyFont="1" applyFill="1" applyAlignment="1">
      <alignment horizontal="right" vertical="center"/>
    </xf>
    <xf numFmtId="0" fontId="55" fillId="9" borderId="0" xfId="0" applyFont="1" applyFill="1" applyAlignment="1">
      <alignment horizontal="left" vertical="center" wrapText="1"/>
    </xf>
    <xf numFmtId="0" fontId="175" fillId="9" borderId="4" xfId="2" applyFont="1" applyFill="1" applyBorder="1" applyAlignment="1">
      <alignment vertical="top"/>
    </xf>
    <xf numFmtId="0" fontId="68" fillId="28" borderId="2" xfId="4" applyFont="1" applyFill="1" applyBorder="1" applyAlignment="1">
      <alignment vertical="center"/>
    </xf>
    <xf numFmtId="0" fontId="95" fillId="28" borderId="0" xfId="1" applyFont="1" applyFill="1" applyAlignment="1">
      <alignment horizontal="right" vertical="center"/>
    </xf>
    <xf numFmtId="0" fontId="56" fillId="97" borderId="0" xfId="4" applyFont="1" applyFill="1" applyAlignment="1">
      <alignment horizontal="left" vertical="center"/>
    </xf>
    <xf numFmtId="0" fontId="115" fillId="7" borderId="0" xfId="19" applyFont="1" applyFill="1" applyAlignment="1">
      <alignment horizontal="left" vertical="center"/>
    </xf>
    <xf numFmtId="0" fontId="14" fillId="71" borderId="46" xfId="9" applyFont="1" applyFill="1" applyBorder="1" applyAlignment="1">
      <alignment horizontal="center" vertical="center"/>
    </xf>
    <xf numFmtId="1" fontId="9" fillId="9" borderId="0" xfId="4" applyNumberFormat="1" applyFont="1" applyFill="1" applyAlignment="1" applyProtection="1">
      <alignment horizontal="left" vertical="center"/>
      <protection hidden="1"/>
    </xf>
    <xf numFmtId="0" fontId="70" fillId="5" borderId="151" xfId="0" applyFont="1" applyFill="1" applyBorder="1" applyAlignment="1">
      <alignment horizontal="right" vertical="center"/>
    </xf>
    <xf numFmtId="0" fontId="70" fillId="5" borderId="152" xfId="0" applyFont="1" applyFill="1" applyBorder="1" applyAlignment="1">
      <alignment horizontal="right" vertical="center"/>
    </xf>
    <xf numFmtId="0" fontId="17" fillId="5" borderId="152" xfId="0" applyFont="1" applyFill="1" applyBorder="1" applyAlignment="1">
      <alignment horizontal="right" vertical="center"/>
    </xf>
    <xf numFmtId="0" fontId="183" fillId="9" borderId="152" xfId="0" applyFont="1" applyFill="1" applyBorder="1" applyAlignment="1">
      <alignment horizontal="left" vertical="center"/>
    </xf>
    <xf numFmtId="0" fontId="67" fillId="12" borderId="152" xfId="0" applyFont="1" applyFill="1" applyBorder="1" applyAlignment="1">
      <alignment vertical="center"/>
    </xf>
    <xf numFmtId="0" fontId="67" fillId="12" borderId="153" xfId="0" applyFont="1" applyFill="1" applyBorder="1" applyAlignment="1">
      <alignment horizontal="right" vertical="center"/>
    </xf>
    <xf numFmtId="0" fontId="13" fillId="28" borderId="0" xfId="4" applyFont="1" applyFill="1" applyAlignment="1">
      <alignment vertical="center"/>
    </xf>
    <xf numFmtId="0" fontId="205" fillId="28" borderId="2" xfId="4" applyFont="1" applyFill="1" applyBorder="1" applyAlignment="1">
      <alignment horizontal="left" vertical="center"/>
    </xf>
    <xf numFmtId="0" fontId="17" fillId="27" borderId="2" xfId="13" applyFont="1" applyFill="1" applyBorder="1" applyAlignment="1">
      <alignment vertical="center"/>
    </xf>
    <xf numFmtId="0" fontId="17" fillId="27" borderId="0" xfId="13" applyFont="1" applyFill="1" applyAlignment="1">
      <alignment vertical="center"/>
    </xf>
    <xf numFmtId="0" fontId="17" fillId="27" borderId="0" xfId="13" applyFont="1" applyFill="1" applyAlignment="1">
      <alignment horizontal="center" vertical="center"/>
    </xf>
    <xf numFmtId="0" fontId="17" fillId="27" borderId="4" xfId="13" applyFont="1" applyFill="1" applyBorder="1" applyAlignment="1">
      <alignment vertical="center"/>
    </xf>
    <xf numFmtId="0" fontId="0" fillId="9" borderId="2" xfId="0" applyFill="1" applyBorder="1" applyAlignment="1">
      <alignment vertical="center"/>
    </xf>
    <xf numFmtId="0" fontId="57" fillId="37" borderId="0" xfId="1" applyFont="1" applyFill="1" applyAlignment="1">
      <alignment horizontal="center" vertical="center"/>
    </xf>
    <xf numFmtId="0" fontId="10" fillId="9" borderId="154" xfId="4" applyFont="1" applyFill="1" applyBorder="1" applyAlignment="1">
      <alignment horizontal="center"/>
    </xf>
    <xf numFmtId="0" fontId="59" fillId="14" borderId="155" xfId="4" applyFont="1" applyFill="1" applyBorder="1" applyAlignment="1" applyProtection="1">
      <alignment horizontal="center"/>
      <protection locked="0"/>
    </xf>
    <xf numFmtId="0" fontId="19" fillId="14" borderId="68" xfId="4" applyFont="1" applyFill="1" applyBorder="1" applyAlignment="1" applyProtection="1">
      <alignment horizontal="center"/>
      <protection locked="0"/>
    </xf>
    <xf numFmtId="0" fontId="58" fillId="5" borderId="6" xfId="4" applyFont="1" applyFill="1" applyBorder="1" applyAlignment="1" applyProtection="1">
      <alignment horizontal="center" vertical="center"/>
      <protection hidden="1"/>
    </xf>
    <xf numFmtId="0" fontId="59" fillId="14" borderId="68" xfId="4" applyFont="1" applyFill="1" applyBorder="1" applyAlignment="1">
      <alignment horizontal="center" vertical="center" wrapText="1"/>
    </xf>
    <xf numFmtId="0" fontId="10" fillId="9" borderId="157" xfId="2" applyFont="1" applyFill="1" applyBorder="1" applyAlignment="1">
      <alignment horizontal="center" vertical="center"/>
    </xf>
    <xf numFmtId="0" fontId="59" fillId="14" borderId="59" xfId="4" applyFont="1" applyFill="1" applyBorder="1" applyAlignment="1">
      <alignment horizontal="center" vertical="center" wrapText="1"/>
    </xf>
    <xf numFmtId="1" fontId="24" fillId="13" borderId="133" xfId="4" applyNumberFormat="1" applyFont="1" applyFill="1" applyBorder="1" applyAlignment="1">
      <alignment horizontal="center" vertical="center"/>
    </xf>
    <xf numFmtId="0" fontId="23" fillId="5" borderId="158" xfId="8" applyFont="1" applyFill="1" applyBorder="1" applyAlignment="1">
      <alignment horizontal="center" vertical="center"/>
    </xf>
    <xf numFmtId="0" fontId="19" fillId="9" borderId="159" xfId="2" applyFont="1" applyFill="1" applyBorder="1" applyAlignment="1">
      <alignment horizontal="left" vertical="center"/>
    </xf>
    <xf numFmtId="0" fontId="23" fillId="5" borderId="160" xfId="8" applyFont="1" applyFill="1" applyBorder="1" applyAlignment="1">
      <alignment horizontal="center" vertical="center"/>
    </xf>
    <xf numFmtId="0" fontId="0" fillId="9" borderId="0" xfId="0" applyFill="1" applyAlignment="1">
      <alignment vertical="top"/>
    </xf>
    <xf numFmtId="0" fontId="95" fillId="9" borderId="161" xfId="0" applyFont="1" applyFill="1" applyBorder="1" applyAlignment="1">
      <alignment vertical="center"/>
    </xf>
    <xf numFmtId="0" fontId="95" fillId="9" borderId="162" xfId="0" applyFont="1" applyFill="1" applyBorder="1" applyAlignment="1">
      <alignment vertical="center"/>
    </xf>
    <xf numFmtId="0" fontId="10" fillId="9" borderId="71" xfId="4" applyFont="1" applyFill="1" applyBorder="1" applyAlignment="1">
      <alignment horizontal="center"/>
    </xf>
    <xf numFmtId="0" fontId="9" fillId="48" borderId="163" xfId="1" applyFont="1" applyFill="1" applyBorder="1" applyAlignment="1">
      <alignment horizontal="center" vertical="center"/>
    </xf>
    <xf numFmtId="164" fontId="57" fillId="9" borderId="2" xfId="4" applyNumberFormat="1" applyFont="1" applyFill="1" applyBorder="1" applyAlignment="1" applyProtection="1">
      <alignment vertical="center"/>
      <protection hidden="1"/>
    </xf>
    <xf numFmtId="0" fontId="56" fillId="9" borderId="0" xfId="4" applyFont="1" applyFill="1" applyAlignment="1">
      <alignment horizontal="left" vertical="center"/>
    </xf>
    <xf numFmtId="0" fontId="10" fillId="9" borderId="62" xfId="2" applyFont="1" applyFill="1" applyBorder="1" applyAlignment="1">
      <alignment horizontal="center" vertical="center"/>
    </xf>
    <xf numFmtId="0" fontId="206" fillId="5" borderId="60" xfId="4" applyFont="1" applyFill="1" applyBorder="1" applyAlignment="1">
      <alignment horizontal="center" vertical="center" wrapText="1"/>
    </xf>
    <xf numFmtId="0" fontId="59" fillId="0" borderId="0" xfId="1" applyFont="1" applyAlignment="1">
      <alignment horizontal="center" vertical="center"/>
    </xf>
    <xf numFmtId="0" fontId="26" fillId="16" borderId="2" xfId="20" applyFont="1" applyFill="1" applyBorder="1" applyAlignment="1">
      <alignment horizontal="center" vertical="center"/>
    </xf>
    <xf numFmtId="0" fontId="114" fillId="9" borderId="0" xfId="4" applyFont="1" applyFill="1" applyAlignment="1">
      <alignment horizontal="left" vertical="center"/>
    </xf>
    <xf numFmtId="1" fontId="21" fillId="12" borderId="133" xfId="4" applyNumberFormat="1" applyFont="1" applyFill="1" applyBorder="1" applyAlignment="1">
      <alignment horizontal="center" vertical="center"/>
    </xf>
    <xf numFmtId="0" fontId="207" fillId="9" borderId="164" xfId="2" applyFont="1" applyFill="1" applyBorder="1" applyAlignment="1">
      <alignment horizontal="left" vertical="center"/>
    </xf>
    <xf numFmtId="0" fontId="13" fillId="5" borderId="75" xfId="4" applyFont="1" applyFill="1" applyBorder="1" applyAlignment="1">
      <alignment horizontal="left" vertical="center"/>
    </xf>
    <xf numFmtId="0" fontId="9" fillId="0" borderId="0" xfId="1" applyFont="1" applyAlignment="1">
      <alignment horizontal="center" vertical="center"/>
    </xf>
    <xf numFmtId="0" fontId="39" fillId="9" borderId="0" xfId="18" applyFont="1" applyFill="1" applyAlignment="1">
      <alignment vertical="center"/>
    </xf>
    <xf numFmtId="182" fontId="21" fillId="12" borderId="133" xfId="4" applyNumberFormat="1" applyFont="1" applyFill="1" applyBorder="1" applyAlignment="1">
      <alignment horizontal="center" vertical="center"/>
    </xf>
    <xf numFmtId="0" fontId="22" fillId="46" borderId="48" xfId="4" applyFont="1" applyFill="1" applyBorder="1" applyAlignment="1" applyProtection="1">
      <alignment horizontal="center" vertical="center"/>
      <protection hidden="1"/>
    </xf>
    <xf numFmtId="0" fontId="39" fillId="9" borderId="2" xfId="18" applyFont="1" applyFill="1" applyBorder="1" applyAlignment="1">
      <alignment horizontal="left" vertical="center" wrapText="1"/>
    </xf>
    <xf numFmtId="0" fontId="39" fillId="9" borderId="0" xfId="18" applyFont="1" applyFill="1" applyAlignment="1">
      <alignment horizontal="left" vertical="center" wrapText="1"/>
    </xf>
    <xf numFmtId="0" fontId="98" fillId="9" borderId="2" xfId="4" applyFont="1" applyFill="1" applyBorder="1" applyAlignment="1">
      <alignment horizontal="left" vertical="center"/>
    </xf>
    <xf numFmtId="164" fontId="21" fillId="12" borderId="133" xfId="4" applyNumberFormat="1" applyFont="1" applyFill="1" applyBorder="1" applyAlignment="1">
      <alignment horizontal="center" vertical="center"/>
    </xf>
    <xf numFmtId="0" fontId="76" fillId="98" borderId="2" xfId="20" applyFont="1" applyFill="1" applyBorder="1" applyAlignment="1">
      <alignment horizontal="center" vertical="center"/>
    </xf>
    <xf numFmtId="0" fontId="76" fillId="9" borderId="0" xfId="4" applyFont="1" applyFill="1" applyAlignment="1">
      <alignment horizontal="left" vertical="center"/>
    </xf>
    <xf numFmtId="0" fontId="39" fillId="9" borderId="2" xfId="1" applyFont="1" applyFill="1" applyBorder="1"/>
    <xf numFmtId="0" fontId="39" fillId="9" borderId="0" xfId="1" applyFont="1" applyFill="1"/>
    <xf numFmtId="0" fontId="78" fillId="9" borderId="2" xfId="19" applyFont="1" applyFill="1" applyBorder="1" applyAlignment="1">
      <alignment horizontal="right" vertical="center"/>
    </xf>
    <xf numFmtId="0" fontId="208" fillId="45" borderId="0" xfId="4" applyFont="1" applyFill="1" applyAlignment="1" applyProtection="1">
      <alignment vertical="center"/>
      <protection hidden="1"/>
    </xf>
    <xf numFmtId="0" fontId="198" fillId="45" borderId="0" xfId="4" applyFont="1" applyFill="1" applyAlignment="1" applyProtection="1">
      <alignment vertical="center"/>
      <protection hidden="1"/>
    </xf>
    <xf numFmtId="0" fontId="10" fillId="9" borderId="69" xfId="4" applyFont="1" applyFill="1" applyBorder="1" applyAlignment="1">
      <alignment horizontal="center"/>
    </xf>
    <xf numFmtId="0" fontId="10" fillId="9" borderId="67" xfId="4" applyFont="1" applyFill="1" applyBorder="1" applyAlignment="1">
      <alignment horizontal="center"/>
    </xf>
    <xf numFmtId="0" fontId="38" fillId="0" borderId="0" xfId="4" applyFont="1" applyAlignment="1">
      <alignment horizontal="center" vertical="center"/>
    </xf>
    <xf numFmtId="0" fontId="59" fillId="14" borderId="2" xfId="4" applyFont="1" applyFill="1" applyBorder="1" applyAlignment="1" applyProtection="1">
      <alignment horizontal="center" vertical="center"/>
      <protection hidden="1"/>
    </xf>
    <xf numFmtId="0" fontId="59" fillId="14" borderId="0" xfId="16" applyFont="1" applyFill="1" applyAlignment="1">
      <alignment horizontal="center" vertical="center"/>
    </xf>
    <xf numFmtId="0" fontId="10" fillId="9" borderId="53" xfId="2" applyFont="1" applyFill="1" applyBorder="1" applyAlignment="1">
      <alignment horizontal="center" vertical="center"/>
    </xf>
    <xf numFmtId="0" fontId="10" fillId="9" borderId="4" xfId="2" applyFont="1" applyFill="1" applyBorder="1" applyAlignment="1">
      <alignment horizontal="center" vertical="center"/>
    </xf>
    <xf numFmtId="1" fontId="24" fillId="13" borderId="165" xfId="4" applyNumberFormat="1" applyFont="1" applyFill="1" applyBorder="1" applyAlignment="1">
      <alignment horizontal="center" vertical="center"/>
    </xf>
    <xf numFmtId="1" fontId="24" fillId="12" borderId="166" xfId="4" applyNumberFormat="1" applyFont="1" applyFill="1" applyBorder="1" applyAlignment="1">
      <alignment horizontal="center" vertical="center"/>
    </xf>
    <xf numFmtId="0" fontId="23" fillId="5" borderId="12" xfId="8" applyFont="1" applyFill="1" applyBorder="1" applyAlignment="1">
      <alignment horizontal="center" vertical="center"/>
    </xf>
    <xf numFmtId="0" fontId="22" fillId="16" borderId="21" xfId="4" applyFont="1" applyFill="1" applyBorder="1" applyAlignment="1" applyProtection="1">
      <alignment horizontal="center" vertical="center"/>
      <protection hidden="1"/>
    </xf>
    <xf numFmtId="0" fontId="67" fillId="9" borderId="21" xfId="2" applyFont="1" applyFill="1" applyBorder="1" applyAlignment="1">
      <alignment horizontal="left" vertical="center"/>
    </xf>
    <xf numFmtId="0" fontId="67" fillId="9" borderId="8" xfId="2" applyFont="1" applyFill="1" applyBorder="1" applyAlignment="1">
      <alignment horizontal="left" vertical="center"/>
    </xf>
    <xf numFmtId="0" fontId="45" fillId="9" borderId="2" xfId="4" applyFont="1" applyFill="1" applyBorder="1" applyAlignment="1">
      <alignment horizontal="right" vertical="center"/>
    </xf>
    <xf numFmtId="0" fontId="14" fillId="46" borderId="21" xfId="4" applyFont="1" applyFill="1" applyBorder="1" applyAlignment="1" applyProtection="1">
      <alignment horizontal="center" vertical="center"/>
      <protection hidden="1"/>
    </xf>
    <xf numFmtId="1" fontId="45" fillId="73" borderId="2" xfId="4" applyNumberFormat="1" applyFont="1" applyFill="1" applyBorder="1" applyAlignment="1" applyProtection="1">
      <alignment horizontal="center" vertical="center"/>
      <protection hidden="1"/>
    </xf>
    <xf numFmtId="1" fontId="14" fillId="9" borderId="0" xfId="4" applyNumberFormat="1" applyFont="1" applyFill="1" applyAlignment="1" applyProtection="1">
      <alignment vertical="center" wrapText="1"/>
      <protection hidden="1"/>
    </xf>
    <xf numFmtId="0" fontId="76" fillId="9" borderId="4" xfId="4" applyFont="1" applyFill="1" applyBorder="1" applyAlignment="1">
      <alignment vertical="center"/>
    </xf>
    <xf numFmtId="2" fontId="24" fillId="13" borderId="165" xfId="4" applyNumberFormat="1" applyFont="1" applyFill="1" applyBorder="1" applyAlignment="1">
      <alignment horizontal="center" vertical="center"/>
    </xf>
    <xf numFmtId="0" fontId="14" fillId="52" borderId="20" xfId="4" applyFont="1" applyFill="1" applyBorder="1" applyAlignment="1" applyProtection="1">
      <alignment horizontal="center" vertical="center"/>
      <protection hidden="1"/>
    </xf>
    <xf numFmtId="0" fontId="100" fillId="41" borderId="20" xfId="4" applyFont="1" applyFill="1" applyBorder="1" applyAlignment="1" applyProtection="1">
      <alignment horizontal="center" vertical="center"/>
      <protection hidden="1"/>
    </xf>
    <xf numFmtId="0" fontId="17" fillId="9" borderId="2" xfId="4" applyFont="1" applyFill="1" applyBorder="1" applyAlignment="1">
      <alignment horizontal="left" vertical="center"/>
    </xf>
    <xf numFmtId="0" fontId="17" fillId="9" borderId="0" xfId="4" applyFont="1" applyFill="1" applyAlignment="1">
      <alignment horizontal="left" vertical="center"/>
    </xf>
    <xf numFmtId="0" fontId="97" fillId="9" borderId="20" xfId="4" applyFont="1" applyFill="1" applyBorder="1" applyAlignment="1" applyProtection="1">
      <alignment vertical="center"/>
      <protection hidden="1"/>
    </xf>
    <xf numFmtId="1" fontId="24" fillId="12" borderId="167" xfId="4" applyNumberFormat="1" applyFont="1" applyFill="1" applyBorder="1" applyAlignment="1">
      <alignment horizontal="center" vertical="center"/>
    </xf>
    <xf numFmtId="1" fontId="13" fillId="99" borderId="168" xfId="4" applyNumberFormat="1" applyFont="1" applyFill="1" applyBorder="1" applyAlignment="1">
      <alignment horizontal="center" vertical="center"/>
    </xf>
    <xf numFmtId="1" fontId="23" fillId="99" borderId="169" xfId="4" applyNumberFormat="1" applyFont="1" applyFill="1" applyBorder="1" applyAlignment="1">
      <alignment horizontal="left" vertical="center"/>
    </xf>
    <xf numFmtId="1" fontId="24" fillId="55" borderId="50" xfId="4" applyNumberFormat="1" applyFont="1" applyFill="1" applyBorder="1" applyAlignment="1">
      <alignment horizontal="center" vertical="center"/>
    </xf>
    <xf numFmtId="0" fontId="1" fillId="5" borderId="2" xfId="1" applyFill="1" applyBorder="1" applyAlignment="1">
      <alignment horizontal="center" vertical="center"/>
    </xf>
    <xf numFmtId="0" fontId="1" fillId="5" borderId="0" xfId="1" applyFill="1" applyAlignment="1">
      <alignment horizontal="center" vertical="center"/>
    </xf>
    <xf numFmtId="1" fontId="13" fillId="100" borderId="9" xfId="4" applyNumberFormat="1" applyFont="1" applyFill="1" applyBorder="1" applyAlignment="1">
      <alignment horizontal="center" vertical="center"/>
    </xf>
    <xf numFmtId="1" fontId="23" fillId="100" borderId="170" xfId="4" applyNumberFormat="1" applyFont="1" applyFill="1" applyBorder="1" applyAlignment="1">
      <alignment horizontal="left" vertical="center"/>
    </xf>
    <xf numFmtId="0" fontId="110" fillId="9" borderId="2" xfId="0" applyFont="1" applyFill="1" applyBorder="1" applyAlignment="1">
      <alignment vertical="center"/>
    </xf>
    <xf numFmtId="0" fontId="110" fillId="9" borderId="0" xfId="0" applyFont="1" applyFill="1" applyAlignment="1">
      <alignment vertical="center"/>
    </xf>
    <xf numFmtId="0" fontId="0" fillId="9" borderId="2" xfId="0" applyFill="1" applyBorder="1"/>
    <xf numFmtId="1" fontId="13" fillId="99" borderId="171" xfId="4" applyNumberFormat="1" applyFont="1" applyFill="1" applyBorder="1" applyAlignment="1">
      <alignment horizontal="center" vertical="center"/>
    </xf>
    <xf numFmtId="1" fontId="23" fillId="99" borderId="172" xfId="4" applyNumberFormat="1" applyFont="1" applyFill="1" applyBorder="1" applyAlignment="1">
      <alignment horizontal="left" vertical="center"/>
    </xf>
    <xf numFmtId="0" fontId="17" fillId="9" borderId="2" xfId="4" quotePrefix="1" applyFont="1" applyFill="1" applyBorder="1" applyAlignment="1" applyProtection="1">
      <alignment vertical="center"/>
      <protection hidden="1"/>
    </xf>
    <xf numFmtId="0" fontId="1" fillId="9" borderId="38" xfId="1" applyFill="1" applyBorder="1" applyAlignment="1">
      <alignment vertical="center"/>
    </xf>
    <xf numFmtId="0" fontId="1" fillId="9" borderId="35" xfId="1" applyFill="1" applyBorder="1" applyAlignment="1">
      <alignment vertical="center"/>
    </xf>
    <xf numFmtId="0" fontId="1" fillId="9" borderId="34" xfId="1" applyFill="1" applyBorder="1" applyAlignment="1">
      <alignment vertical="center"/>
    </xf>
    <xf numFmtId="0" fontId="76" fillId="9" borderId="2" xfId="4" applyFont="1" applyFill="1" applyBorder="1" applyAlignment="1">
      <alignment vertical="center"/>
    </xf>
    <xf numFmtId="1" fontId="24" fillId="55" borderId="173" xfId="4" applyNumberFormat="1" applyFont="1" applyFill="1" applyBorder="1" applyAlignment="1">
      <alignment horizontal="left" vertical="center"/>
    </xf>
    <xf numFmtId="164" fontId="45" fillId="9" borderId="2" xfId="4" applyNumberFormat="1" applyFont="1" applyFill="1" applyBorder="1" applyAlignment="1" applyProtection="1">
      <alignment vertical="center"/>
      <protection hidden="1"/>
    </xf>
    <xf numFmtId="0" fontId="100" fillId="41" borderId="174" xfId="4" applyFont="1" applyFill="1" applyBorder="1" applyAlignment="1" applyProtection="1">
      <alignment horizontal="center" vertical="center"/>
      <protection hidden="1"/>
    </xf>
    <xf numFmtId="0" fontId="100" fillId="41" borderId="108" xfId="4" applyFont="1" applyFill="1" applyBorder="1" applyAlignment="1" applyProtection="1">
      <alignment horizontal="center" vertical="center"/>
      <protection hidden="1"/>
    </xf>
    <xf numFmtId="1" fontId="13" fillId="99" borderId="175" xfId="4" applyNumberFormat="1" applyFont="1" applyFill="1" applyBorder="1" applyAlignment="1">
      <alignment horizontal="center" vertical="center"/>
    </xf>
    <xf numFmtId="1" fontId="23" fillId="99" borderId="176" xfId="4" applyNumberFormat="1" applyFont="1" applyFill="1" applyBorder="1" applyAlignment="1">
      <alignment horizontal="left" vertical="center"/>
    </xf>
    <xf numFmtId="0" fontId="67" fillId="9" borderId="0" xfId="1" applyFont="1" applyFill="1" applyAlignment="1">
      <alignment vertical="center"/>
    </xf>
    <xf numFmtId="0" fontId="1" fillId="5" borderId="53" xfId="1" applyFill="1" applyBorder="1" applyAlignment="1">
      <alignment horizontal="center" vertical="center"/>
    </xf>
    <xf numFmtId="1" fontId="13" fillId="100" borderId="9" xfId="4" applyNumberFormat="1" applyFont="1" applyFill="1" applyBorder="1" applyAlignment="1">
      <alignment horizontal="left" vertical="center"/>
    </xf>
    <xf numFmtId="1" fontId="23" fillId="100" borderId="177" xfId="4" applyNumberFormat="1" applyFont="1" applyFill="1" applyBorder="1" applyAlignment="1">
      <alignment horizontal="left" vertical="center"/>
    </xf>
    <xf numFmtId="0" fontId="67" fillId="9" borderId="0" xfId="1" applyFont="1" applyFill="1"/>
    <xf numFmtId="0" fontId="14" fillId="46" borderId="174" xfId="4" applyFont="1" applyFill="1" applyBorder="1" applyAlignment="1" applyProtection="1">
      <alignment horizontal="center" vertical="center"/>
      <protection hidden="1"/>
    </xf>
    <xf numFmtId="0" fontId="14" fillId="52" borderId="108" xfId="4" applyFont="1" applyFill="1" applyBorder="1" applyAlignment="1" applyProtection="1">
      <alignment horizontal="center" vertical="center"/>
      <protection hidden="1"/>
    </xf>
    <xf numFmtId="1" fontId="23" fillId="99" borderId="178" xfId="4" applyNumberFormat="1" applyFont="1" applyFill="1" applyBorder="1" applyAlignment="1">
      <alignment horizontal="left" vertical="center"/>
    </xf>
    <xf numFmtId="0" fontId="1" fillId="9" borderId="53" xfId="1" applyFill="1" applyBorder="1" applyAlignment="1">
      <alignment vertical="center"/>
    </xf>
    <xf numFmtId="0" fontId="14" fillId="9" borderId="53" xfId="4" quotePrefix="1" applyFont="1" applyFill="1" applyBorder="1" applyAlignment="1" applyProtection="1">
      <alignment vertical="center"/>
      <protection hidden="1"/>
    </xf>
    <xf numFmtId="0" fontId="95" fillId="0" borderId="0" xfId="1" applyFont="1" applyAlignment="1">
      <alignment vertical="center"/>
    </xf>
    <xf numFmtId="0" fontId="59" fillId="9" borderId="0" xfId="4" applyFont="1" applyFill="1" applyAlignment="1">
      <alignment vertical="center" wrapText="1"/>
    </xf>
    <xf numFmtId="0" fontId="39" fillId="9" borderId="0" xfId="1" applyFont="1" applyFill="1" applyAlignment="1">
      <alignment horizontal="left" vertical="center"/>
    </xf>
    <xf numFmtId="0" fontId="95" fillId="9" borderId="0" xfId="1" applyFont="1" applyFill="1" applyAlignment="1">
      <alignment vertical="center"/>
    </xf>
    <xf numFmtId="0" fontId="1" fillId="0" borderId="4" xfId="1" applyBorder="1"/>
    <xf numFmtId="0" fontId="209" fillId="7" borderId="0" xfId="4" applyFont="1" applyFill="1" applyAlignment="1">
      <alignment horizontal="left" vertical="center"/>
    </xf>
    <xf numFmtId="0" fontId="39" fillId="0" borderId="0" xfId="1" applyFont="1"/>
    <xf numFmtId="0" fontId="210" fillId="9" borderId="0" xfId="1" applyFont="1" applyFill="1" applyAlignment="1">
      <alignment vertical="center"/>
    </xf>
    <xf numFmtId="0" fontId="210" fillId="9" borderId="0" xfId="1" applyFont="1" applyFill="1" applyAlignment="1">
      <alignment horizontal="left" vertical="center"/>
    </xf>
    <xf numFmtId="0" fontId="210" fillId="9" borderId="0" xfId="0" applyFont="1" applyFill="1" applyAlignment="1">
      <alignment vertical="center"/>
    </xf>
    <xf numFmtId="0" fontId="17" fillId="27" borderId="0" xfId="4" applyFont="1" applyFill="1" applyAlignment="1">
      <alignment vertical="center"/>
    </xf>
    <xf numFmtId="179" fontId="14" fillId="100" borderId="0" xfId="4" applyNumberFormat="1" applyFont="1" applyFill="1" applyAlignment="1">
      <alignment horizontal="center" vertical="center"/>
    </xf>
    <xf numFmtId="197" fontId="17" fillId="9" borderId="0" xfId="1" applyNumberFormat="1" applyFont="1" applyFill="1" applyAlignment="1">
      <alignment horizontal="center" vertical="center"/>
    </xf>
    <xf numFmtId="168" fontId="17" fillId="9" borderId="0" xfId="10" applyNumberFormat="1" applyFont="1" applyFill="1" applyAlignment="1">
      <alignment horizontal="center" vertical="center"/>
    </xf>
    <xf numFmtId="210" fontId="17" fillId="9" borderId="0" xfId="1" applyNumberFormat="1" applyFont="1" applyFill="1" applyAlignment="1">
      <alignment horizontal="center" vertical="center"/>
    </xf>
    <xf numFmtId="211" fontId="11" fillId="59" borderId="0" xfId="4" applyNumberFormat="1" applyFont="1" applyFill="1" applyAlignment="1">
      <alignment horizontal="center" vertical="center"/>
    </xf>
    <xf numFmtId="212" fontId="17" fillId="9" borderId="0" xfId="1" applyNumberFormat="1" applyFont="1" applyFill="1" applyAlignment="1">
      <alignment horizontal="center" vertical="center"/>
    </xf>
    <xf numFmtId="0" fontId="59" fillId="101" borderId="0" xfId="4" applyFont="1" applyFill="1" applyAlignment="1" applyProtection="1">
      <alignment horizontal="center" vertical="center"/>
      <protection locked="0"/>
    </xf>
    <xf numFmtId="0" fontId="59" fillId="90" borderId="0" xfId="25" applyFont="1" applyFill="1" applyAlignment="1">
      <alignment horizontal="center" vertical="center" wrapText="1"/>
    </xf>
    <xf numFmtId="0" fontId="59" fillId="39" borderId="4" xfId="12" applyFont="1" applyFill="1" applyBorder="1" applyAlignment="1">
      <alignment horizontal="center" vertical="center"/>
    </xf>
    <xf numFmtId="213" fontId="17" fillId="9" borderId="0" xfId="1" applyNumberFormat="1" applyFont="1" applyFill="1" applyAlignment="1">
      <alignment horizontal="center" vertical="center"/>
    </xf>
    <xf numFmtId="169" fontId="17" fillId="9" borderId="0" xfId="1" applyNumberFormat="1" applyFont="1" applyFill="1" applyAlignment="1">
      <alignment horizontal="center" vertical="center"/>
    </xf>
    <xf numFmtId="0" fontId="59" fillId="18" borderId="0" xfId="4" applyFont="1" applyFill="1" applyAlignment="1">
      <alignment horizontal="center" vertical="center"/>
    </xf>
    <xf numFmtId="0" fontId="59" fillId="102" borderId="0" xfId="0" applyFont="1" applyFill="1" applyAlignment="1">
      <alignment horizontal="center"/>
    </xf>
    <xf numFmtId="0" fontId="139" fillId="69" borderId="4" xfId="4" applyFont="1" applyFill="1" applyBorder="1" applyAlignment="1">
      <alignment horizontal="center" vertical="center"/>
    </xf>
    <xf numFmtId="193" fontId="17" fillId="9" borderId="0" xfId="1" applyNumberFormat="1" applyFont="1" applyFill="1" applyAlignment="1">
      <alignment horizontal="center" vertical="center"/>
    </xf>
    <xf numFmtId="214" fontId="115" fillId="103" borderId="0" xfId="17" applyNumberFormat="1" applyFont="1" applyFill="1" applyAlignment="1">
      <alignment horizontal="center" vertical="center"/>
    </xf>
    <xf numFmtId="215" fontId="17" fillId="9" borderId="0" xfId="1" applyNumberFormat="1" applyFont="1" applyFill="1" applyAlignment="1">
      <alignment horizontal="center" vertical="center"/>
    </xf>
    <xf numFmtId="0" fontId="212" fillId="0" borderId="0" xfId="1" applyFont="1" applyAlignment="1">
      <alignment horizontal="center" vertical="center"/>
    </xf>
    <xf numFmtId="0" fontId="59" fillId="104" borderId="0" xfId="12" applyFont="1" applyFill="1" applyAlignment="1">
      <alignment horizontal="center" vertical="center"/>
    </xf>
    <xf numFmtId="0" fontId="59" fillId="105" borderId="0" xfId="25" applyFont="1" applyFill="1" applyAlignment="1">
      <alignment horizontal="center" vertical="center" wrapText="1"/>
    </xf>
    <xf numFmtId="0" fontId="59" fillId="106" borderId="4" xfId="4" applyFont="1" applyFill="1" applyBorder="1" applyAlignment="1" applyProtection="1">
      <alignment horizontal="center" vertical="center"/>
      <protection locked="0"/>
    </xf>
    <xf numFmtId="216" fontId="9" fillId="9" borderId="0" xfId="1" applyNumberFormat="1" applyFont="1" applyFill="1" applyAlignment="1">
      <alignment horizontal="center" vertical="center"/>
    </xf>
    <xf numFmtId="217" fontId="115" fillId="103" borderId="0" xfId="17" applyNumberFormat="1" applyFont="1" applyFill="1" applyAlignment="1">
      <alignment horizontal="center" vertical="center"/>
    </xf>
    <xf numFmtId="0" fontId="139" fillId="60" borderId="0" xfId="5" applyFont="1" applyFill="1" applyAlignment="1">
      <alignment horizontal="center" vertical="center"/>
    </xf>
    <xf numFmtId="0" fontId="59" fillId="107" borderId="0" xfId="5" applyFont="1" applyFill="1" applyAlignment="1">
      <alignment horizontal="center" vertical="center"/>
    </xf>
    <xf numFmtId="0" fontId="213" fillId="98" borderId="4" xfId="4" applyFont="1" applyFill="1" applyBorder="1" applyAlignment="1" applyProtection="1">
      <alignment horizontal="center" vertical="center"/>
      <protection hidden="1"/>
    </xf>
    <xf numFmtId="0" fontId="14" fillId="9" borderId="0" xfId="1" applyFont="1" applyFill="1" applyAlignment="1">
      <alignment horizontal="center" vertical="center"/>
    </xf>
    <xf numFmtId="0" fontId="59" fillId="53" borderId="0" xfId="4" applyFont="1" applyFill="1" applyAlignment="1">
      <alignment horizontal="center" vertical="center"/>
    </xf>
    <xf numFmtId="0" fontId="59" fillId="41" borderId="0" xfId="4" applyFont="1" applyFill="1" applyAlignment="1" applyProtection="1">
      <alignment horizontal="center" vertical="center"/>
      <protection locked="0"/>
    </xf>
    <xf numFmtId="0" fontId="59" fillId="44" borderId="4" xfId="4" applyFont="1" applyFill="1" applyBorder="1" applyAlignment="1" applyProtection="1">
      <alignment horizontal="center" vertical="center"/>
      <protection locked="0"/>
    </xf>
    <xf numFmtId="0" fontId="59" fillId="108" borderId="0" xfId="25" applyFont="1" applyFill="1" applyAlignment="1">
      <alignment horizontal="center" vertical="center" wrapText="1"/>
    </xf>
    <xf numFmtId="0" fontId="139" fillId="32" borderId="0" xfId="5" applyFont="1" applyFill="1" applyAlignment="1">
      <alignment horizontal="center" vertical="center"/>
    </xf>
    <xf numFmtId="0" fontId="13" fillId="27" borderId="4" xfId="13" applyFont="1" applyFill="1" applyBorder="1" applyAlignment="1">
      <alignment horizontal="center" vertical="center"/>
    </xf>
    <xf numFmtId="211" fontId="5" fillId="59" borderId="0" xfId="4" applyNumberFormat="1" applyFont="1" applyFill="1" applyAlignment="1">
      <alignment horizontal="center" vertical="center"/>
    </xf>
    <xf numFmtId="0" fontId="139" fillId="2" borderId="0" xfId="1" applyFont="1" applyFill="1" applyAlignment="1">
      <alignment horizontal="center" vertical="center"/>
    </xf>
    <xf numFmtId="0" fontId="5" fillId="72" borderId="0" xfId="0" quotePrefix="1" applyFont="1" applyFill="1" applyAlignment="1">
      <alignment horizontal="right" vertical="center"/>
    </xf>
    <xf numFmtId="0" fontId="62" fillId="9" borderId="0" xfId="14" applyFill="1" applyBorder="1"/>
    <xf numFmtId="0" fontId="214" fillId="9" borderId="0" xfId="4" applyFont="1" applyFill="1" applyAlignment="1" applyProtection="1">
      <alignment horizontal="left" vertical="center"/>
      <protection hidden="1"/>
    </xf>
    <xf numFmtId="0" fontId="214" fillId="9" borderId="0" xfId="4" applyFont="1" applyFill="1" applyAlignment="1" applyProtection="1">
      <alignment vertical="center"/>
      <protection hidden="1"/>
    </xf>
    <xf numFmtId="0" fontId="214" fillId="9" borderId="0" xfId="21" applyFont="1" applyFill="1" applyAlignment="1">
      <alignment horizontal="left" vertical="center"/>
    </xf>
    <xf numFmtId="0" fontId="85" fillId="9" borderId="0" xfId="22" applyFont="1" applyFill="1" applyAlignment="1">
      <alignment horizontal="left" vertical="center"/>
    </xf>
    <xf numFmtId="0" fontId="1" fillId="53" borderId="0" xfId="1" applyFill="1" applyAlignment="1">
      <alignment horizontal="center" vertical="center"/>
    </xf>
    <xf numFmtId="0" fontId="4" fillId="0" borderId="0" xfId="1" applyFont="1" applyAlignment="1">
      <alignment vertical="center"/>
    </xf>
    <xf numFmtId="0" fontId="11" fillId="39" borderId="41" xfId="0" applyFont="1" applyFill="1" applyBorder="1" applyAlignment="1">
      <alignment horizontal="center" vertical="center"/>
    </xf>
    <xf numFmtId="0" fontId="24" fillId="44" borderId="2" xfId="6" applyFont="1" applyFill="1" applyBorder="1" applyAlignment="1">
      <alignment vertical="center"/>
    </xf>
    <xf numFmtId="0" fontId="10" fillId="9" borderId="182" xfId="4" applyFont="1" applyFill="1" applyBorder="1" applyAlignment="1">
      <alignment horizontal="center"/>
    </xf>
    <xf numFmtId="0" fontId="59" fillId="9" borderId="0" xfId="4" applyFont="1" applyFill="1" applyAlignment="1" applyProtection="1">
      <alignment horizontal="center"/>
      <protection locked="0"/>
    </xf>
    <xf numFmtId="0" fontId="59" fillId="9" borderId="0" xfId="4" applyFont="1" applyFill="1" applyAlignment="1" applyProtection="1">
      <alignment horizontal="center" vertical="top" wrapText="1"/>
      <protection locked="0"/>
    </xf>
    <xf numFmtId="0" fontId="59" fillId="37" borderId="4" xfId="1" applyFont="1" applyFill="1" applyBorder="1" applyAlignment="1">
      <alignment horizontal="center"/>
    </xf>
    <xf numFmtId="0" fontId="215" fillId="9" borderId="183" xfId="4" applyFont="1" applyFill="1" applyBorder="1" applyAlignment="1" applyProtection="1">
      <alignment horizontal="left" vertical="center"/>
      <protection locked="0"/>
    </xf>
    <xf numFmtId="0" fontId="10" fillId="9" borderId="0" xfId="4" applyFont="1" applyFill="1" applyAlignment="1" applyProtection="1">
      <alignment horizontal="center" vertical="center"/>
      <protection locked="0"/>
    </xf>
    <xf numFmtId="0" fontId="52" fillId="15" borderId="183" xfId="12" applyFont="1" applyFill="1" applyBorder="1" applyAlignment="1">
      <alignment horizontal="center" vertical="center"/>
    </xf>
    <xf numFmtId="1" fontId="59" fillId="83" borderId="4" xfId="4" applyNumberFormat="1" applyFont="1" applyFill="1" applyBorder="1" applyAlignment="1" applyProtection="1">
      <alignment horizontal="center" vertical="center"/>
      <protection locked="0"/>
    </xf>
    <xf numFmtId="0" fontId="59" fillId="9" borderId="0" xfId="4" applyFont="1" applyFill="1" applyAlignment="1" applyProtection="1">
      <alignment horizontal="center" vertical="center" wrapText="1"/>
      <protection locked="0"/>
    </xf>
    <xf numFmtId="0" fontId="17" fillId="9" borderId="0" xfId="4" applyFont="1" applyFill="1" applyAlignment="1">
      <alignment horizontal="right" vertical="center"/>
    </xf>
    <xf numFmtId="1" fontId="17" fillId="9" borderId="4" xfId="4" applyNumberFormat="1" applyFont="1" applyFill="1" applyBorder="1" applyAlignment="1">
      <alignment horizontal="left" vertical="center"/>
    </xf>
    <xf numFmtId="0" fontId="216" fillId="9" borderId="0" xfId="0" applyFont="1" applyFill="1"/>
    <xf numFmtId="0" fontId="13" fillId="9" borderId="0" xfId="0" applyFont="1" applyFill="1" applyAlignment="1">
      <alignment horizontal="center"/>
    </xf>
    <xf numFmtId="0" fontId="13" fillId="9" borderId="0" xfId="0" applyFont="1" applyFill="1"/>
    <xf numFmtId="0" fontId="13" fillId="9" borderId="4" xfId="0" applyFont="1" applyFill="1" applyBorder="1"/>
    <xf numFmtId="0" fontId="13" fillId="44" borderId="2" xfId="6" applyFont="1" applyFill="1" applyBorder="1" applyAlignment="1">
      <alignment horizontal="right" vertical="center"/>
    </xf>
    <xf numFmtId="0" fontId="0" fillId="0" borderId="0" xfId="0" applyAlignment="1">
      <alignment horizontal="center" vertical="center"/>
    </xf>
    <xf numFmtId="0" fontId="13" fillId="9" borderId="0" xfId="4" applyFont="1" applyFill="1" applyAlignment="1" applyProtection="1">
      <alignment horizontal="left" vertical="center"/>
      <protection locked="0"/>
    </xf>
    <xf numFmtId="0" fontId="61" fillId="32" borderId="2" xfId="4" applyFont="1" applyFill="1" applyBorder="1" applyAlignment="1" applyProtection="1">
      <alignment horizontal="center" vertical="center"/>
      <protection locked="0"/>
    </xf>
    <xf numFmtId="212" fontId="132" fillId="53" borderId="144" xfId="4" applyNumberFormat="1" applyFont="1" applyFill="1" applyBorder="1" applyAlignment="1">
      <alignment horizontal="center" vertical="center"/>
    </xf>
    <xf numFmtId="0" fontId="1" fillId="9" borderId="6" xfId="1" applyFill="1" applyBorder="1" applyAlignment="1">
      <alignment horizontal="left" vertical="center"/>
    </xf>
    <xf numFmtId="0" fontId="1" fillId="9" borderId="6" xfId="1" applyFill="1" applyBorder="1" applyAlignment="1">
      <alignment horizontal="right" vertical="center"/>
    </xf>
    <xf numFmtId="212" fontId="52" fillId="53" borderId="6" xfId="4" applyNumberFormat="1" applyFont="1" applyFill="1" applyBorder="1" applyAlignment="1">
      <alignment horizontal="center" vertical="center"/>
    </xf>
    <xf numFmtId="0" fontId="0" fillId="9" borderId="5" xfId="0" applyFill="1" applyBorder="1"/>
    <xf numFmtId="0" fontId="1" fillId="9" borderId="132" xfId="1" applyFill="1" applyBorder="1" applyAlignment="1">
      <alignment horizontal="right" vertical="center"/>
    </xf>
    <xf numFmtId="212" fontId="76" fillId="43" borderId="59" xfId="4" applyNumberFormat="1" applyFont="1" applyFill="1" applyBorder="1" applyAlignment="1">
      <alignment horizontal="center" vertical="center"/>
    </xf>
    <xf numFmtId="0" fontId="0" fillId="9" borderId="59" xfId="0" applyFill="1" applyBorder="1"/>
    <xf numFmtId="0" fontId="13" fillId="9" borderId="59" xfId="19" applyFont="1" applyFill="1" applyBorder="1" applyAlignment="1">
      <alignment horizontal="right" vertical="center"/>
    </xf>
    <xf numFmtId="212" fontId="17" fillId="7" borderId="59" xfId="4" applyNumberFormat="1" applyFont="1" applyFill="1" applyBorder="1" applyAlignment="1">
      <alignment horizontal="center" vertical="center"/>
    </xf>
    <xf numFmtId="0" fontId="0" fillId="9" borderId="58" xfId="0" applyFill="1" applyBorder="1"/>
    <xf numFmtId="0" fontId="13" fillId="9" borderId="59" xfId="13" applyFont="1" applyFill="1" applyBorder="1" applyAlignment="1">
      <alignment horizontal="right" vertical="center"/>
    </xf>
    <xf numFmtId="0" fontId="112" fillId="12" borderId="59" xfId="26" applyFont="1" applyFill="1" applyBorder="1" applyAlignment="1">
      <alignment horizontal="center" vertical="center"/>
    </xf>
    <xf numFmtId="0" fontId="14" fillId="9" borderId="59" xfId="13" applyFont="1" applyFill="1" applyBorder="1" applyAlignment="1">
      <alignment horizontal="right" vertical="center"/>
    </xf>
    <xf numFmtId="0" fontId="112" fillId="12" borderId="58" xfId="26" applyFont="1" applyFill="1" applyBorder="1" applyAlignment="1">
      <alignment horizontal="center" vertical="center"/>
    </xf>
    <xf numFmtId="0" fontId="76" fillId="7" borderId="182" xfId="4" applyFont="1" applyFill="1" applyBorder="1" applyAlignment="1" applyProtection="1">
      <alignment vertical="center"/>
      <protection hidden="1"/>
    </xf>
    <xf numFmtId="0" fontId="59" fillId="7" borderId="182" xfId="4" applyFont="1" applyFill="1" applyBorder="1" applyAlignment="1" applyProtection="1">
      <alignment vertical="center"/>
      <protection hidden="1"/>
    </xf>
    <xf numFmtId="0" fontId="59" fillId="7" borderId="0" xfId="4" applyFont="1" applyFill="1" applyAlignment="1" applyProtection="1">
      <alignment vertical="center"/>
      <protection hidden="1"/>
    </xf>
    <xf numFmtId="0" fontId="57" fillId="9" borderId="185" xfId="4" applyFont="1" applyFill="1" applyBorder="1" applyAlignment="1" applyProtection="1">
      <alignment horizontal="left" vertical="center"/>
      <protection hidden="1"/>
    </xf>
    <xf numFmtId="0" fontId="59" fillId="9" borderId="0" xfId="4" applyFont="1" applyFill="1" applyAlignment="1" applyProtection="1">
      <alignment horizontal="left" vertical="center"/>
      <protection locked="0"/>
    </xf>
    <xf numFmtId="0" fontId="14" fillId="5" borderId="2" xfId="16" applyFont="1" applyFill="1" applyBorder="1" applyAlignment="1">
      <alignment horizontal="right" vertical="center"/>
    </xf>
    <xf numFmtId="0" fontId="62" fillId="9" borderId="0" xfId="14" applyFill="1" applyBorder="1" applyAlignment="1">
      <alignment vertical="center"/>
    </xf>
    <xf numFmtId="168" fontId="78" fillId="5" borderId="2" xfId="10" applyNumberFormat="1" applyFont="1" applyFill="1" applyBorder="1" applyAlignment="1">
      <alignment horizontal="right" vertical="center"/>
    </xf>
    <xf numFmtId="0" fontId="14" fillId="9" borderId="0" xfId="16" applyFont="1" applyFill="1" applyAlignment="1">
      <alignment vertical="center"/>
    </xf>
    <xf numFmtId="0" fontId="9" fillId="27" borderId="2" xfId="4" applyFont="1" applyFill="1" applyBorder="1" applyAlignment="1">
      <alignment horizontal="center" vertical="center"/>
    </xf>
    <xf numFmtId="0" fontId="9" fillId="27" borderId="0" xfId="4" applyFont="1" applyFill="1" applyAlignment="1">
      <alignment horizontal="center" vertical="center"/>
    </xf>
    <xf numFmtId="0" fontId="9" fillId="27" borderId="4" xfId="4" applyFont="1" applyFill="1" applyBorder="1" applyAlignment="1">
      <alignment horizontal="center" vertical="center"/>
    </xf>
    <xf numFmtId="0" fontId="9" fillId="5" borderId="30" xfId="4" applyFont="1" applyFill="1" applyBorder="1" applyAlignment="1">
      <alignment horizontal="center" vertical="center"/>
    </xf>
    <xf numFmtId="0" fontId="9" fillId="5" borderId="3" xfId="4" applyFont="1" applyFill="1" applyBorder="1" applyAlignment="1">
      <alignment horizontal="center" vertical="center"/>
    </xf>
    <xf numFmtId="0" fontId="9" fillId="5" borderId="1" xfId="4" quotePrefix="1" applyFont="1" applyFill="1" applyBorder="1" applyAlignment="1">
      <alignment horizontal="center" vertical="center"/>
    </xf>
    <xf numFmtId="0" fontId="68" fillId="9" borderId="3" xfId="4" applyFont="1" applyFill="1" applyBorder="1" applyAlignment="1" applyProtection="1">
      <alignment vertical="center"/>
      <protection hidden="1"/>
    </xf>
    <xf numFmtId="0" fontId="13" fillId="39" borderId="94" xfId="0" applyFont="1" applyFill="1" applyBorder="1" applyAlignment="1">
      <alignment horizontal="center" vertical="center"/>
    </xf>
    <xf numFmtId="0" fontId="0" fillId="39" borderId="94" xfId="0" applyFill="1" applyBorder="1" applyAlignment="1">
      <alignment horizontal="center" vertical="center"/>
    </xf>
    <xf numFmtId="0" fontId="0" fillId="39" borderId="93" xfId="0" applyFill="1" applyBorder="1" applyAlignment="1">
      <alignment horizontal="center" vertical="center"/>
    </xf>
    <xf numFmtId="0" fontId="0" fillId="39" borderId="99" xfId="0" applyFill="1" applyBorder="1" applyAlignment="1">
      <alignment horizontal="center" vertical="center"/>
    </xf>
    <xf numFmtId="0" fontId="0" fillId="39" borderId="149" xfId="0" applyFill="1" applyBorder="1" applyAlignment="1">
      <alignment horizontal="center" vertical="center"/>
    </xf>
    <xf numFmtId="0" fontId="13" fillId="97" borderId="0" xfId="9" applyFont="1" applyFill="1" applyAlignment="1">
      <alignment horizontal="right" vertical="center"/>
    </xf>
    <xf numFmtId="0" fontId="5" fillId="60" borderId="0" xfId="0" applyFont="1" applyFill="1" applyAlignment="1">
      <alignment horizontal="left" vertical="center"/>
    </xf>
    <xf numFmtId="0" fontId="137" fillId="9" borderId="0" xfId="0" applyFont="1" applyFill="1" applyAlignment="1">
      <alignment vertical="center"/>
    </xf>
    <xf numFmtId="0" fontId="16" fillId="9" borderId="0" xfId="0" applyFont="1" applyFill="1" applyAlignment="1">
      <alignment horizontal="left" vertical="center"/>
    </xf>
    <xf numFmtId="0" fontId="179" fillId="9" borderId="0" xfId="0" applyFont="1" applyFill="1" applyAlignment="1">
      <alignment horizontal="left" vertical="center"/>
    </xf>
    <xf numFmtId="0" fontId="0" fillId="9" borderId="43" xfId="0" applyFill="1" applyBorder="1"/>
    <xf numFmtId="0" fontId="59" fillId="0" borderId="0" xfId="4" applyFont="1" applyAlignment="1">
      <alignment vertical="center"/>
    </xf>
    <xf numFmtId="0" fontId="19" fillId="12" borderId="191" xfId="0" applyFont="1" applyFill="1" applyBorder="1" applyAlignment="1">
      <alignment horizontal="left" vertical="center"/>
    </xf>
    <xf numFmtId="0" fontId="20" fillId="9" borderId="19" xfId="4" applyFont="1" applyFill="1" applyBorder="1" applyAlignment="1">
      <alignment horizontal="left" vertical="center"/>
    </xf>
    <xf numFmtId="0" fontId="7" fillId="8" borderId="0" xfId="13" applyFont="1" applyFill="1" applyAlignment="1">
      <alignment horizontal="left" vertical="center"/>
    </xf>
    <xf numFmtId="0" fontId="7" fillId="56" borderId="0" xfId="13" applyFont="1" applyFill="1" applyAlignment="1">
      <alignment horizontal="center" vertical="center"/>
    </xf>
    <xf numFmtId="0" fontId="7" fillId="8" borderId="0" xfId="13" applyFont="1" applyFill="1" applyAlignment="1">
      <alignment horizontal="right" vertical="center"/>
    </xf>
    <xf numFmtId="0" fontId="61" fillId="56" borderId="53" xfId="4" applyFont="1" applyFill="1" applyBorder="1" applyAlignment="1" applyProtection="1">
      <alignment vertical="center"/>
      <protection hidden="1"/>
    </xf>
    <xf numFmtId="0" fontId="11" fillId="56" borderId="0" xfId="4" applyFont="1" applyFill="1" applyAlignment="1" applyProtection="1">
      <alignment vertical="center"/>
      <protection hidden="1"/>
    </xf>
    <xf numFmtId="0" fontId="11" fillId="39" borderId="0" xfId="4" applyFont="1" applyFill="1" applyAlignment="1" applyProtection="1">
      <alignment vertical="center"/>
      <protection hidden="1"/>
    </xf>
    <xf numFmtId="0" fontId="11" fillId="39" borderId="19" xfId="4" applyFont="1" applyFill="1" applyBorder="1" applyAlignment="1" applyProtection="1">
      <alignment vertical="center"/>
      <protection hidden="1"/>
    </xf>
    <xf numFmtId="0" fontId="0" fillId="9" borderId="19" xfId="0" applyFill="1" applyBorder="1" applyAlignment="1">
      <alignment horizontal="left" vertical="center"/>
    </xf>
    <xf numFmtId="0" fontId="13" fillId="5" borderId="193" xfId="9" applyFont="1" applyFill="1" applyBorder="1" applyAlignment="1">
      <alignment horizontal="center" vertical="center"/>
    </xf>
    <xf numFmtId="0" fontId="38" fillId="16" borderId="82" xfId="9" applyFont="1" applyFill="1" applyBorder="1" applyAlignment="1">
      <alignment horizontal="right" vertical="center"/>
    </xf>
    <xf numFmtId="0" fontId="9" fillId="48" borderId="82" xfId="1" applyFont="1" applyFill="1" applyBorder="1" applyAlignment="1">
      <alignment horizontal="center" vertical="center"/>
    </xf>
    <xf numFmtId="0" fontId="106" fillId="48" borderId="82" xfId="1" applyFont="1" applyFill="1" applyBorder="1" applyAlignment="1">
      <alignment horizontal="left" vertical="center"/>
    </xf>
    <xf numFmtId="0" fontId="107" fillId="48" borderId="82" xfId="1" applyFont="1" applyFill="1" applyBorder="1" applyAlignment="1">
      <alignment horizontal="center" vertical="center"/>
    </xf>
    <xf numFmtId="0" fontId="27" fillId="48" borderId="82" xfId="1" applyFont="1" applyFill="1" applyBorder="1" applyAlignment="1">
      <alignment vertical="center"/>
    </xf>
    <xf numFmtId="0" fontId="17" fillId="16" borderId="81" xfId="4" applyFont="1" applyFill="1" applyBorder="1" applyAlignment="1" applyProtection="1">
      <alignment vertical="center"/>
      <protection hidden="1"/>
    </xf>
    <xf numFmtId="0" fontId="17" fillId="9" borderId="53" xfId="4" applyFont="1" applyFill="1" applyBorder="1" applyAlignment="1" applyProtection="1">
      <alignment vertical="center"/>
      <protection hidden="1"/>
    </xf>
    <xf numFmtId="0" fontId="82" fillId="9" borderId="0" xfId="19" applyFont="1" applyFill="1" applyAlignment="1">
      <alignment horizontal="left" vertical="center"/>
    </xf>
    <xf numFmtId="0" fontId="82" fillId="9" borderId="194" xfId="19" applyFont="1" applyFill="1" applyBorder="1" applyAlignment="1">
      <alignment horizontal="left" vertical="center"/>
    </xf>
    <xf numFmtId="0" fontId="82" fillId="9" borderId="85" xfId="19" applyFont="1" applyFill="1" applyBorder="1" applyAlignment="1">
      <alignment horizontal="left" vertical="center"/>
    </xf>
    <xf numFmtId="0" fontId="14" fillId="9" borderId="53" xfId="4" applyFont="1" applyFill="1" applyBorder="1" applyAlignment="1" applyProtection="1">
      <alignment horizontal="left" vertical="center"/>
      <protection locked="0"/>
    </xf>
    <xf numFmtId="0" fontId="82" fillId="9" borderId="19" xfId="19" applyFont="1" applyFill="1" applyBorder="1" applyAlignment="1">
      <alignment horizontal="right" vertical="center"/>
    </xf>
    <xf numFmtId="0" fontId="14" fillId="9" borderId="19" xfId="4" applyFont="1" applyFill="1" applyBorder="1" applyAlignment="1" applyProtection="1">
      <alignment horizontal="left" vertical="center"/>
      <protection locked="0"/>
    </xf>
    <xf numFmtId="0" fontId="59" fillId="9" borderId="19" xfId="4" applyFont="1" applyFill="1" applyBorder="1" applyAlignment="1" applyProtection="1">
      <alignment horizontal="right" vertical="center"/>
      <protection locked="0"/>
    </xf>
    <xf numFmtId="0" fontId="13" fillId="71" borderId="83" xfId="9" applyFont="1" applyFill="1" applyBorder="1" applyAlignment="1">
      <alignment horizontal="center" vertical="center"/>
    </xf>
    <xf numFmtId="0" fontId="14" fillId="9" borderId="60" xfId="4" applyFont="1" applyFill="1" applyBorder="1" applyAlignment="1" applyProtection="1">
      <alignment horizontal="left" vertical="center"/>
      <protection locked="0"/>
    </xf>
    <xf numFmtId="0" fontId="1" fillId="9" borderId="6" xfId="1" applyFill="1" applyBorder="1"/>
    <xf numFmtId="0" fontId="1" fillId="9" borderId="195" xfId="1" applyFill="1" applyBorder="1"/>
    <xf numFmtId="0" fontId="38" fillId="71" borderId="43" xfId="9" applyFont="1" applyFill="1" applyBorder="1" applyAlignment="1">
      <alignment horizontal="right" vertical="center"/>
    </xf>
    <xf numFmtId="0" fontId="203" fillId="71" borderId="43" xfId="4" applyFont="1" applyFill="1" applyBorder="1" applyAlignment="1" applyProtection="1">
      <alignment vertical="center"/>
      <protection hidden="1"/>
    </xf>
    <xf numFmtId="0" fontId="17" fillId="71" borderId="45" xfId="4" applyFont="1" applyFill="1" applyBorder="1" applyAlignment="1" applyProtection="1">
      <alignment vertical="center"/>
      <protection hidden="1"/>
    </xf>
    <xf numFmtId="0" fontId="83" fillId="110" borderId="0" xfId="3" applyFont="1" applyFill="1" applyAlignment="1">
      <alignment horizontal="center" vertical="center"/>
    </xf>
    <xf numFmtId="0" fontId="13" fillId="7" borderId="0" xfId="3" applyFont="1" applyFill="1" applyAlignment="1">
      <alignment horizontal="center" vertical="center"/>
    </xf>
    <xf numFmtId="0" fontId="13" fillId="7" borderId="0" xfId="19" applyFont="1" applyFill="1" applyAlignment="1">
      <alignment horizontal="left" vertical="center"/>
    </xf>
    <xf numFmtId="0" fontId="13" fillId="7" borderId="0" xfId="19" applyFont="1" applyFill="1" applyAlignment="1">
      <alignment horizontal="right" vertical="center"/>
    </xf>
    <xf numFmtId="0" fontId="59" fillId="9" borderId="60" xfId="4" applyFont="1" applyFill="1" applyBorder="1" applyAlignment="1" applyProtection="1">
      <alignment horizontal="left" vertical="center"/>
      <protection locked="0"/>
    </xf>
    <xf numFmtId="0" fontId="59" fillId="9" borderId="66" xfId="4" applyFont="1" applyFill="1" applyBorder="1" applyAlignment="1" applyProtection="1">
      <alignment horizontal="right" vertical="center"/>
      <protection locked="0"/>
    </xf>
    <xf numFmtId="0" fontId="1" fillId="0" borderId="53" xfId="1" applyBorder="1" applyAlignment="1">
      <alignment vertical="center"/>
    </xf>
    <xf numFmtId="0" fontId="58" fillId="48" borderId="82" xfId="1" applyFont="1" applyFill="1" applyBorder="1" applyAlignment="1">
      <alignment horizontal="center" vertical="center"/>
    </xf>
    <xf numFmtId="0" fontId="126" fillId="9" borderId="196" xfId="4" applyFont="1" applyFill="1" applyBorder="1" applyAlignment="1" applyProtection="1">
      <alignment horizontal="left" vertical="center"/>
      <protection locked="0"/>
    </xf>
    <xf numFmtId="0" fontId="67" fillId="9" borderId="142" xfId="4" applyFont="1" applyFill="1" applyBorder="1" applyAlignment="1">
      <alignment vertical="center"/>
    </xf>
    <xf numFmtId="0" fontId="59" fillId="9" borderId="197" xfId="4" applyFont="1" applyFill="1" applyBorder="1" applyAlignment="1" applyProtection="1">
      <alignment horizontal="right" vertical="center"/>
      <protection locked="0"/>
    </xf>
    <xf numFmtId="0" fontId="38" fillId="38" borderId="6" xfId="9" applyFont="1" applyFill="1" applyBorder="1" applyAlignment="1">
      <alignment horizontal="right" vertical="center"/>
    </xf>
    <xf numFmtId="0" fontId="38" fillId="38" borderId="76" xfId="9" applyFont="1" applyFill="1" applyBorder="1" applyAlignment="1">
      <alignment horizontal="right" vertical="center"/>
    </xf>
    <xf numFmtId="0" fontId="38" fillId="38" borderId="22" xfId="9" applyFont="1" applyFill="1" applyBorder="1" applyAlignment="1">
      <alignment horizontal="right" vertical="center"/>
    </xf>
    <xf numFmtId="0" fontId="159" fillId="9" borderId="53" xfId="4" applyFont="1" applyFill="1" applyBorder="1" applyAlignment="1" applyProtection="1">
      <alignment horizontal="left" vertical="center"/>
      <protection locked="0"/>
    </xf>
    <xf numFmtId="0" fontId="67" fillId="9" borderId="0" xfId="4" applyFont="1" applyFill="1" applyAlignment="1">
      <alignment vertical="center"/>
    </xf>
    <xf numFmtId="0" fontId="159" fillId="9" borderId="60" xfId="4" applyFont="1" applyFill="1" applyBorder="1" applyAlignment="1" applyProtection="1">
      <alignment horizontal="left" vertical="center"/>
      <protection locked="0"/>
    </xf>
    <xf numFmtId="0" fontId="2" fillId="59" borderId="0" xfId="2" applyFont="1" applyFill="1" applyAlignment="1">
      <alignment horizontal="centerContinuous" vertical="center"/>
    </xf>
    <xf numFmtId="0" fontId="2" fillId="59" borderId="0" xfId="2" applyFont="1" applyFill="1" applyAlignment="1">
      <alignment horizontal="right" vertical="center"/>
    </xf>
    <xf numFmtId="0" fontId="95" fillId="0" borderId="0" xfId="2" applyFont="1" applyAlignment="1">
      <alignment vertical="center"/>
    </xf>
    <xf numFmtId="0" fontId="2" fillId="59" borderId="198" xfId="2" applyFont="1" applyFill="1" applyBorder="1" applyAlignment="1">
      <alignment horizontal="center" vertical="center"/>
    </xf>
    <xf numFmtId="0" fontId="17" fillId="111" borderId="82" xfId="1" applyFont="1" applyFill="1" applyBorder="1" applyAlignment="1">
      <alignment horizontal="left" vertical="center"/>
    </xf>
    <xf numFmtId="0" fontId="17" fillId="111" borderId="82" xfId="1" applyFont="1" applyFill="1" applyBorder="1" applyAlignment="1">
      <alignment horizontal="right" vertical="center"/>
    </xf>
    <xf numFmtId="0" fontId="17" fillId="38" borderId="81" xfId="4" applyFont="1" applyFill="1" applyBorder="1" applyAlignment="1" applyProtection="1">
      <alignment horizontal="right" vertical="center"/>
      <protection hidden="1"/>
    </xf>
    <xf numFmtId="0" fontId="218" fillId="9" borderId="199" xfId="0" applyFont="1" applyFill="1" applyBorder="1" applyAlignment="1">
      <alignment horizontal="center" vertical="center"/>
    </xf>
    <xf numFmtId="0" fontId="157" fillId="9" borderId="200" xfId="27" applyFont="1" applyFill="1" applyBorder="1" applyAlignment="1">
      <alignment horizontal="left" vertical="center"/>
    </xf>
    <xf numFmtId="0" fontId="0" fillId="9" borderId="19" xfId="0" applyFill="1" applyBorder="1" applyAlignment="1">
      <alignment vertical="center"/>
    </xf>
    <xf numFmtId="0" fontId="60" fillId="9" borderId="0" xfId="4" applyFont="1" applyFill="1" applyAlignment="1" applyProtection="1">
      <alignment horizontal="left" vertical="center"/>
      <protection locked="0"/>
    </xf>
    <xf numFmtId="0" fontId="13" fillId="9" borderId="0" xfId="0" applyFont="1" applyFill="1" applyAlignment="1">
      <alignment vertical="center"/>
    </xf>
    <xf numFmtId="0" fontId="157" fillId="9" borderId="53" xfId="27" applyFont="1" applyFill="1" applyBorder="1" applyAlignment="1">
      <alignment horizontal="left" vertical="center"/>
    </xf>
    <xf numFmtId="0" fontId="9" fillId="48" borderId="122" xfId="1" applyFont="1" applyFill="1" applyBorder="1" applyAlignment="1">
      <alignment horizontal="center" vertical="center"/>
    </xf>
    <xf numFmtId="0" fontId="106" fillId="48" borderId="122" xfId="1" applyFont="1" applyFill="1" applyBorder="1" applyAlignment="1">
      <alignment horizontal="left" vertical="center"/>
    </xf>
    <xf numFmtId="0" fontId="107" fillId="48" borderId="122" xfId="1" applyFont="1" applyFill="1" applyBorder="1" applyAlignment="1">
      <alignment horizontal="center" vertical="center"/>
    </xf>
    <xf numFmtId="0" fontId="27" fillId="48" borderId="122" xfId="1" applyFont="1" applyFill="1" applyBorder="1" applyAlignment="1">
      <alignment vertical="center"/>
    </xf>
    <xf numFmtId="0" fontId="13" fillId="16" borderId="202" xfId="4" applyFont="1" applyFill="1" applyBorder="1" applyAlignment="1" applyProtection="1">
      <alignment vertical="center"/>
      <protection hidden="1"/>
    </xf>
    <xf numFmtId="0" fontId="17" fillId="9" borderId="203" xfId="4" applyFont="1" applyFill="1" applyBorder="1" applyAlignment="1" applyProtection="1">
      <alignment vertical="center"/>
      <protection hidden="1"/>
    </xf>
    <xf numFmtId="0" fontId="82" fillId="9" borderId="85" xfId="19" applyFont="1" applyFill="1" applyBorder="1" applyAlignment="1">
      <alignment horizontal="right" vertical="center"/>
    </xf>
    <xf numFmtId="0" fontId="219" fillId="83" borderId="0" xfId="4" applyFont="1" applyFill="1" applyAlignment="1" applyProtection="1">
      <alignment horizontal="left" vertical="center"/>
      <protection locked="0"/>
    </xf>
    <xf numFmtId="0" fontId="23" fillId="9" borderId="203" xfId="4" applyFont="1" applyFill="1" applyBorder="1" applyAlignment="1" applyProtection="1">
      <alignment vertical="center"/>
      <protection hidden="1"/>
    </xf>
    <xf numFmtId="0" fontId="82" fillId="9" borderId="59" xfId="19" applyFont="1" applyFill="1" applyBorder="1" applyAlignment="1">
      <alignment horizontal="left" vertical="center"/>
    </xf>
    <xf numFmtId="0" fontId="17" fillId="9" borderId="53" xfId="19" applyFont="1" applyFill="1" applyBorder="1" applyAlignment="1" applyProtection="1">
      <alignment vertical="center"/>
      <protection locked="0"/>
    </xf>
    <xf numFmtId="0" fontId="10" fillId="9" borderId="0" xfId="19" applyFont="1" applyFill="1" applyAlignment="1">
      <alignment vertical="center"/>
    </xf>
    <xf numFmtId="0" fontId="114" fillId="9" borderId="53" xfId="19" applyFont="1" applyFill="1" applyBorder="1" applyAlignment="1" applyProtection="1">
      <alignment vertical="center"/>
      <protection locked="0"/>
    </xf>
    <xf numFmtId="0" fontId="82" fillId="9" borderId="19" xfId="19" applyFont="1" applyFill="1" applyBorder="1" applyAlignment="1">
      <alignment horizontal="left" vertical="center"/>
    </xf>
    <xf numFmtId="0" fontId="126" fillId="9" borderId="142" xfId="4" applyFont="1" applyFill="1" applyBorder="1" applyAlignment="1" applyProtection="1">
      <alignment horizontal="left" vertical="center"/>
      <protection locked="0"/>
    </xf>
    <xf numFmtId="0" fontId="70" fillId="16" borderId="202" xfId="4" applyFont="1" applyFill="1" applyBorder="1" applyAlignment="1" applyProtection="1">
      <alignment vertical="center"/>
      <protection hidden="1"/>
    </xf>
    <xf numFmtId="0" fontId="126" fillId="9" borderId="204" xfId="4" applyFont="1" applyFill="1" applyBorder="1" applyAlignment="1" applyProtection="1">
      <alignment horizontal="left" vertical="center"/>
      <protection locked="0"/>
    </xf>
    <xf numFmtId="0" fontId="159" fillId="9" borderId="90" xfId="4" applyFont="1" applyFill="1" applyBorder="1" applyAlignment="1" applyProtection="1">
      <alignment horizontal="left" vertical="center"/>
      <protection locked="0"/>
    </xf>
    <xf numFmtId="0" fontId="67" fillId="9" borderId="90" xfId="4" applyFont="1" applyFill="1" applyBorder="1" applyAlignment="1">
      <alignment vertical="center"/>
    </xf>
    <xf numFmtId="0" fontId="59" fillId="9" borderId="89" xfId="4" applyFont="1" applyFill="1" applyBorder="1" applyAlignment="1" applyProtection="1">
      <alignment horizontal="right" vertical="center"/>
      <protection locked="0"/>
    </xf>
    <xf numFmtId="212" fontId="132" fillId="53" borderId="53" xfId="4" applyNumberFormat="1" applyFont="1" applyFill="1" applyBorder="1" applyAlignment="1">
      <alignment horizontal="center" vertical="center"/>
    </xf>
    <xf numFmtId="0" fontId="14" fillId="9" borderId="0" xfId="19" applyFont="1" applyFill="1" applyAlignment="1">
      <alignment horizontal="left" vertical="center"/>
    </xf>
    <xf numFmtId="215" fontId="215" fillId="12" borderId="0" xfId="4" applyNumberFormat="1" applyFont="1" applyFill="1" applyAlignment="1">
      <alignment horizontal="center" vertical="center"/>
    </xf>
    <xf numFmtId="0" fontId="132" fillId="9" borderId="19" xfId="4" applyFont="1" applyFill="1" applyBorder="1" applyAlignment="1">
      <alignment horizontal="left" vertical="center"/>
    </xf>
    <xf numFmtId="212" fontId="52" fillId="53" borderId="53" xfId="4" applyNumberFormat="1" applyFont="1" applyFill="1" applyBorder="1" applyAlignment="1">
      <alignment horizontal="center" vertical="center"/>
    </xf>
    <xf numFmtId="215" fontId="45" fillId="12" borderId="0" xfId="4" applyNumberFormat="1" applyFont="1" applyFill="1" applyAlignment="1">
      <alignment horizontal="center" vertical="center"/>
    </xf>
    <xf numFmtId="0" fontId="45" fillId="9" borderId="19" xfId="4" applyFont="1" applyFill="1" applyBorder="1" applyAlignment="1">
      <alignment horizontal="left" vertical="center"/>
    </xf>
    <xf numFmtId="212" fontId="76" fillId="43" borderId="53" xfId="4" applyNumberFormat="1" applyFont="1" applyFill="1" applyBorder="1" applyAlignment="1">
      <alignment horizontal="center" vertical="center"/>
    </xf>
    <xf numFmtId="0" fontId="56" fillId="12" borderId="0" xfId="26" applyFont="1" applyFill="1" applyAlignment="1">
      <alignment horizontal="center" vertical="center"/>
    </xf>
    <xf numFmtId="0" fontId="14" fillId="9" borderId="19" xfId="13" applyFont="1" applyFill="1" applyBorder="1" applyAlignment="1">
      <alignment horizontal="left" vertical="center"/>
    </xf>
    <xf numFmtId="212" fontId="17" fillId="7" borderId="53" xfId="4" applyNumberFormat="1" applyFont="1" applyFill="1" applyBorder="1" applyAlignment="1">
      <alignment horizontal="center" vertical="center"/>
    </xf>
    <xf numFmtId="0" fontId="17" fillId="9" borderId="0" xfId="19" applyFont="1" applyFill="1" applyAlignment="1">
      <alignment horizontal="left" vertical="center"/>
    </xf>
    <xf numFmtId="0" fontId="56" fillId="12" borderId="59" xfId="26" applyFont="1" applyFill="1" applyBorder="1" applyAlignment="1">
      <alignment horizontal="center" vertical="center"/>
    </xf>
    <xf numFmtId="0" fontId="13" fillId="9" borderId="19" xfId="13" applyFont="1" applyFill="1" applyBorder="1" applyAlignment="1">
      <alignment horizontal="left" vertical="center"/>
    </xf>
    <xf numFmtId="0" fontId="95" fillId="38" borderId="82" xfId="3" applyFont="1" applyFill="1" applyBorder="1" applyAlignment="1">
      <alignment vertical="center"/>
    </xf>
    <xf numFmtId="0" fontId="10" fillId="9" borderId="203" xfId="4" applyFont="1" applyFill="1" applyBorder="1" applyAlignment="1" applyProtection="1">
      <alignment vertical="center"/>
      <protection hidden="1"/>
    </xf>
    <xf numFmtId="0" fontId="194" fillId="0" borderId="48" xfId="29" applyFont="1" applyBorder="1" applyAlignment="1">
      <alignment horizontal="center" vertical="center"/>
    </xf>
    <xf numFmtId="0" fontId="87" fillId="9" borderId="0" xfId="1" applyFont="1" applyFill="1" applyAlignment="1">
      <alignment horizontal="left" vertical="center"/>
    </xf>
    <xf numFmtId="0" fontId="17" fillId="9" borderId="59" xfId="30" applyFont="1" applyFill="1" applyBorder="1" applyAlignment="1">
      <alignment horizontal="left" vertical="center"/>
    </xf>
    <xf numFmtId="0" fontId="17" fillId="9" borderId="19" xfId="30" applyFont="1" applyFill="1" applyBorder="1" applyAlignment="1">
      <alignment horizontal="left" vertical="center"/>
    </xf>
    <xf numFmtId="0" fontId="59" fillId="9" borderId="0" xfId="4" applyFont="1" applyFill="1" applyAlignment="1" applyProtection="1">
      <alignment horizontal="left" vertical="center"/>
      <protection hidden="1"/>
    </xf>
    <xf numFmtId="0" fontId="14" fillId="9" borderId="19" xfId="30" applyFont="1" applyFill="1" applyBorder="1" applyAlignment="1">
      <alignment vertical="center"/>
    </xf>
    <xf numFmtId="0" fontId="220" fillId="9" borderId="199" xfId="30" applyFont="1" applyFill="1" applyBorder="1" applyAlignment="1">
      <alignment horizontal="center" vertical="center"/>
    </xf>
    <xf numFmtId="0" fontId="17" fillId="9" borderId="0" xfId="30" applyFont="1" applyFill="1" applyAlignment="1">
      <alignment horizontal="centerContinuous" vertical="center"/>
    </xf>
    <xf numFmtId="0" fontId="132" fillId="9" borderId="19" xfId="30" applyFont="1" applyFill="1" applyBorder="1" applyAlignment="1">
      <alignment horizontal="left"/>
    </xf>
    <xf numFmtId="0" fontId="132" fillId="9" borderId="19" xfId="30" applyFont="1" applyFill="1" applyBorder="1" applyAlignment="1">
      <alignment horizontal="left" vertical="center"/>
    </xf>
    <xf numFmtId="0" fontId="194" fillId="0" borderId="192" xfId="29" applyFont="1" applyBorder="1" applyAlignment="1">
      <alignment horizontal="center" vertical="center"/>
    </xf>
    <xf numFmtId="0" fontId="221" fillId="9" borderId="199" xfId="0" applyFont="1" applyFill="1" applyBorder="1" applyAlignment="1">
      <alignment horizontal="center" vertical="center"/>
    </xf>
    <xf numFmtId="0" fontId="10" fillId="7" borderId="205" xfId="29" applyFont="1" applyFill="1" applyBorder="1" applyAlignment="1">
      <alignment horizontal="center"/>
    </xf>
    <xf numFmtId="218" fontId="13" fillId="7" borderId="206" xfId="29" applyNumberFormat="1" applyFont="1" applyFill="1" applyBorder="1" applyAlignment="1">
      <alignment horizontal="center" vertical="top"/>
    </xf>
    <xf numFmtId="0" fontId="14" fillId="9" borderId="0" xfId="4" applyFont="1" applyFill="1" applyAlignment="1" applyProtection="1">
      <alignment horizontal="left" vertical="center"/>
      <protection hidden="1"/>
    </xf>
    <xf numFmtId="0" fontId="56" fillId="9" borderId="0" xfId="30" applyFont="1" applyFill="1" applyAlignment="1">
      <alignment horizontal="centerContinuous" vertical="center"/>
    </xf>
    <xf numFmtId="0" fontId="222" fillId="12" borderId="207" xfId="29" applyFont="1" applyFill="1" applyBorder="1" applyAlignment="1">
      <alignment horizontal="center" vertical="center"/>
    </xf>
    <xf numFmtId="0" fontId="98" fillId="9" borderId="0" xfId="4" applyFont="1" applyFill="1" applyAlignment="1" applyProtection="1">
      <alignment horizontal="left" vertical="center"/>
      <protection hidden="1"/>
    </xf>
    <xf numFmtId="0" fontId="14" fillId="9" borderId="208" xfId="4" applyFont="1" applyFill="1" applyBorder="1" applyAlignment="1" applyProtection="1">
      <alignment horizontal="left" vertical="center"/>
      <protection locked="0"/>
    </xf>
    <xf numFmtId="0" fontId="72" fillId="9" borderId="19" xfId="30" applyFont="1" applyFill="1" applyBorder="1" applyAlignment="1">
      <alignment vertical="center"/>
    </xf>
    <xf numFmtId="0" fontId="126" fillId="9" borderId="60" xfId="4" applyFont="1" applyFill="1" applyBorder="1" applyAlignment="1" applyProtection="1">
      <alignment vertical="center"/>
      <protection hidden="1"/>
    </xf>
    <xf numFmtId="0" fontId="17" fillId="9" borderId="59" xfId="4" applyFont="1" applyFill="1" applyBorder="1" applyAlignment="1" applyProtection="1">
      <alignment vertical="center"/>
      <protection hidden="1"/>
    </xf>
    <xf numFmtId="0" fontId="223" fillId="48" borderId="122" xfId="1" applyFont="1" applyFill="1" applyBorder="1" applyAlignment="1">
      <alignment vertical="center"/>
    </xf>
    <xf numFmtId="0" fontId="59" fillId="16" borderId="202" xfId="4" applyFont="1" applyFill="1" applyBorder="1" applyAlignment="1" applyProtection="1">
      <alignment vertical="center"/>
      <protection hidden="1"/>
    </xf>
    <xf numFmtId="219" fontId="13" fillId="0" borderId="60" xfId="4" applyNumberFormat="1" applyFont="1" applyBorder="1" applyAlignment="1">
      <alignment horizontal="center" vertical="center" wrapText="1"/>
    </xf>
    <xf numFmtId="219" fontId="13" fillId="0" borderId="59" xfId="4" applyNumberFormat="1" applyFont="1" applyBorder="1" applyAlignment="1">
      <alignment horizontal="center" vertical="center" wrapText="1"/>
    </xf>
    <xf numFmtId="0" fontId="1" fillId="0" borderId="59" xfId="0" applyFont="1" applyBorder="1" applyAlignment="1">
      <alignment horizontal="center" vertical="center"/>
    </xf>
    <xf numFmtId="0" fontId="1" fillId="0" borderId="66" xfId="0" applyFont="1" applyBorder="1" applyAlignment="1">
      <alignment horizontal="center" vertical="center"/>
    </xf>
    <xf numFmtId="0" fontId="224" fillId="0" borderId="53" xfId="0" applyFont="1" applyBorder="1" applyAlignment="1">
      <alignment vertical="center"/>
    </xf>
    <xf numFmtId="212" fontId="215" fillId="9" borderId="0" xfId="4" applyNumberFormat="1" applyFont="1" applyFill="1" applyAlignment="1">
      <alignment horizontal="center" vertical="center"/>
    </xf>
    <xf numFmtId="9" fontId="24" fillId="0" borderId="0" xfId="0" applyNumberFormat="1" applyFont="1" applyAlignment="1">
      <alignment horizontal="center" vertical="center"/>
    </xf>
    <xf numFmtId="0" fontId="133" fillId="0" borderId="0" xfId="4" applyFont="1" applyAlignment="1">
      <alignment vertical="center"/>
    </xf>
    <xf numFmtId="0" fontId="133" fillId="0" borderId="19" xfId="4" applyFont="1" applyBorder="1" applyAlignment="1">
      <alignment vertical="center"/>
    </xf>
    <xf numFmtId="0" fontId="95" fillId="38" borderId="122" xfId="3" applyFont="1" applyFill="1" applyBorder="1" applyAlignment="1">
      <alignment vertical="center"/>
    </xf>
    <xf numFmtId="0" fontId="17" fillId="38" borderId="202" xfId="4" applyFont="1" applyFill="1" applyBorder="1" applyAlignment="1" applyProtection="1">
      <alignment horizontal="right" vertical="center"/>
      <protection hidden="1"/>
    </xf>
    <xf numFmtId="0" fontId="10" fillId="111" borderId="59" xfId="1" applyFont="1" applyFill="1" applyBorder="1" applyAlignment="1">
      <alignment horizontal="left" vertical="center"/>
    </xf>
    <xf numFmtId="0" fontId="10" fillId="111" borderId="66" xfId="1" applyFont="1" applyFill="1" applyBorder="1" applyAlignment="1">
      <alignment horizontal="right" vertical="center"/>
    </xf>
    <xf numFmtId="0" fontId="225" fillId="0" borderId="48" xfId="29" applyFont="1" applyBorder="1" applyAlignment="1">
      <alignment horizontal="center" vertical="center" wrapText="1"/>
    </xf>
    <xf numFmtId="0" fontId="99" fillId="0" borderId="48" xfId="29" applyFont="1" applyBorder="1" applyAlignment="1">
      <alignment horizontal="center" vertical="center" wrapText="1"/>
    </xf>
    <xf numFmtId="0" fontId="28" fillId="0" borderId="48" xfId="29" applyFont="1" applyBorder="1" applyAlignment="1">
      <alignment horizontal="center" vertical="center" wrapText="1"/>
    </xf>
    <xf numFmtId="0" fontId="110" fillId="0" borderId="48" xfId="29" applyFont="1" applyBorder="1" applyAlignment="1">
      <alignment horizontal="center" vertical="center" wrapText="1"/>
    </xf>
    <xf numFmtId="0" fontId="14" fillId="9" borderId="53" xfId="19" applyFont="1" applyFill="1" applyBorder="1" applyAlignment="1">
      <alignment horizontal="left" vertical="center"/>
    </xf>
    <xf numFmtId="212" fontId="17" fillId="71" borderId="59" xfId="4" applyNumberFormat="1" applyFont="1" applyFill="1" applyBorder="1" applyAlignment="1" applyProtection="1">
      <alignment horizontal="center" vertical="center"/>
      <protection hidden="1"/>
    </xf>
    <xf numFmtId="0" fontId="14" fillId="9" borderId="19" xfId="19" applyFont="1" applyFill="1" applyBorder="1" applyAlignment="1">
      <alignment horizontal="left" vertical="center"/>
    </xf>
    <xf numFmtId="0" fontId="226" fillId="0" borderId="48" xfId="29" applyFont="1" applyBorder="1" applyAlignment="1">
      <alignment horizontal="center" vertical="center"/>
    </xf>
    <xf numFmtId="0" fontId="99" fillId="0" borderId="48" xfId="29" applyFont="1" applyBorder="1" applyAlignment="1">
      <alignment horizontal="center" vertical="center"/>
    </xf>
    <xf numFmtId="0" fontId="28" fillId="0" borderId="48" xfId="29" applyFont="1" applyBorder="1" applyAlignment="1">
      <alignment horizontal="center" vertical="center"/>
    </xf>
    <xf numFmtId="0" fontId="110" fillId="0" borderId="48" xfId="29" applyFont="1" applyBorder="1" applyAlignment="1">
      <alignment horizontal="center" vertical="center"/>
    </xf>
    <xf numFmtId="0" fontId="59" fillId="9" borderId="203" xfId="4" applyFont="1" applyFill="1" applyBorder="1" applyAlignment="1" applyProtection="1">
      <alignment vertical="center"/>
      <protection hidden="1"/>
    </xf>
    <xf numFmtId="0" fontId="60" fillId="9" borderId="59" xfId="4" applyFont="1" applyFill="1" applyBorder="1" applyAlignment="1" applyProtection="1">
      <alignment horizontal="left" vertical="center"/>
      <protection locked="0"/>
    </xf>
    <xf numFmtId="0" fontId="226" fillId="0" borderId="192" xfId="29" applyFont="1" applyBorder="1" applyAlignment="1">
      <alignment horizontal="center" vertical="center"/>
    </xf>
    <xf numFmtId="0" fontId="99" fillId="0" borderId="192" xfId="29" applyFont="1" applyBorder="1" applyAlignment="1">
      <alignment horizontal="center" vertical="center"/>
    </xf>
    <xf numFmtId="0" fontId="28" fillId="0" borderId="192" xfId="29" applyFont="1" applyBorder="1" applyAlignment="1">
      <alignment horizontal="center" vertical="center"/>
    </xf>
    <xf numFmtId="0" fontId="110" fillId="0" borderId="192" xfId="29" applyFont="1" applyBorder="1" applyAlignment="1">
      <alignment horizontal="center" vertical="center"/>
    </xf>
    <xf numFmtId="0" fontId="14" fillId="16" borderId="147" xfId="16" applyFont="1" applyFill="1" applyBorder="1" applyAlignment="1">
      <alignment horizontal="right" vertical="center"/>
    </xf>
    <xf numFmtId="0" fontId="10" fillId="7" borderId="126" xfId="29" applyFont="1" applyFill="1" applyBorder="1" applyAlignment="1">
      <alignment horizontal="center"/>
    </xf>
    <xf numFmtId="0" fontId="10" fillId="7" borderId="124" xfId="29" applyFont="1" applyFill="1" applyBorder="1" applyAlignment="1">
      <alignment horizontal="center"/>
    </xf>
    <xf numFmtId="0" fontId="203" fillId="71" borderId="148" xfId="4" applyFont="1" applyFill="1" applyBorder="1" applyAlignment="1" applyProtection="1">
      <alignment vertical="center"/>
      <protection hidden="1"/>
    </xf>
    <xf numFmtId="218" fontId="13" fillId="7" borderId="209" xfId="29" applyNumberFormat="1" applyFont="1" applyFill="1" applyBorder="1" applyAlignment="1">
      <alignment horizontal="center" vertical="top"/>
    </xf>
    <xf numFmtId="218" fontId="13" fillId="7" borderId="210" xfId="29" applyNumberFormat="1" applyFont="1" applyFill="1" applyBorder="1" applyAlignment="1">
      <alignment horizontal="center" vertical="top"/>
    </xf>
    <xf numFmtId="0" fontId="159" fillId="9" borderId="59" xfId="4" applyFont="1" applyFill="1" applyBorder="1" applyAlignment="1" applyProtection="1">
      <alignment horizontal="left" vertical="center"/>
      <protection locked="0"/>
    </xf>
    <xf numFmtId="0" fontId="222" fillId="12" borderId="116" xfId="29" applyFont="1" applyFill="1" applyBorder="1" applyAlignment="1">
      <alignment horizontal="center" vertical="center"/>
    </xf>
    <xf numFmtId="0" fontId="222" fillId="12" borderId="110" xfId="29" applyFont="1" applyFill="1" applyBorder="1" applyAlignment="1">
      <alignment horizontal="center" vertical="center"/>
    </xf>
    <xf numFmtId="0" fontId="13" fillId="9" borderId="95" xfId="3" applyFont="1" applyFill="1" applyBorder="1"/>
    <xf numFmtId="0" fontId="14" fillId="9" borderId="0" xfId="4" applyFont="1" applyFill="1" applyAlignment="1" applyProtection="1">
      <alignment vertical="center" wrapText="1"/>
      <protection locked="0"/>
    </xf>
    <xf numFmtId="0" fontId="14" fillId="9" borderId="19" xfId="4" applyFont="1" applyFill="1" applyBorder="1" applyAlignment="1" applyProtection="1">
      <alignment vertical="center" wrapText="1"/>
      <protection locked="0"/>
    </xf>
    <xf numFmtId="0" fontId="13" fillId="9" borderId="53" xfId="3" applyFont="1" applyFill="1" applyBorder="1"/>
    <xf numFmtId="0" fontId="59" fillId="16" borderId="81" xfId="4" applyFont="1" applyFill="1" applyBorder="1" applyAlignment="1" applyProtection="1">
      <alignment vertical="center"/>
      <protection hidden="1"/>
    </xf>
    <xf numFmtId="0" fontId="45" fillId="15" borderId="7" xfId="6" applyFont="1" applyFill="1" applyBorder="1" applyAlignment="1">
      <alignment horizontal="center" vertical="center"/>
    </xf>
    <xf numFmtId="0" fontId="17" fillId="9" borderId="53" xfId="4" applyFont="1" applyFill="1" applyBorder="1" applyAlignment="1">
      <alignment horizontal="right" vertical="center"/>
    </xf>
    <xf numFmtId="0" fontId="17" fillId="9" borderId="0" xfId="4" applyFont="1" applyFill="1" applyAlignment="1">
      <alignment horizontal="center" vertical="center"/>
    </xf>
    <xf numFmtId="0" fontId="17" fillId="9" borderId="19" xfId="4" applyFont="1" applyFill="1" applyBorder="1" applyAlignment="1">
      <alignment horizontal="center" vertical="center"/>
    </xf>
    <xf numFmtId="0" fontId="76" fillId="15" borderId="7" xfId="6" applyFont="1" applyFill="1" applyBorder="1" applyAlignment="1">
      <alignment horizontal="center" vertical="center"/>
    </xf>
    <xf numFmtId="0" fontId="76" fillId="9" borderId="53" xfId="4" applyFont="1" applyFill="1" applyBorder="1" applyAlignment="1">
      <alignment horizontal="right" vertical="center"/>
    </xf>
    <xf numFmtId="212" fontId="45" fillId="9" borderId="0" xfId="4" applyNumberFormat="1" applyFont="1" applyFill="1" applyAlignment="1">
      <alignment horizontal="center" vertical="center"/>
    </xf>
    <xf numFmtId="215" fontId="45" fillId="9" borderId="0" xfId="4" applyNumberFormat="1" applyFont="1" applyFill="1" applyAlignment="1">
      <alignment horizontal="center" vertical="center"/>
    </xf>
    <xf numFmtId="0" fontId="98" fillId="9" borderId="0" xfId="4" applyFont="1" applyFill="1" applyAlignment="1">
      <alignment horizontal="left" vertical="center"/>
    </xf>
    <xf numFmtId="0" fontId="224" fillId="9" borderId="19" xfId="4" applyFont="1" applyFill="1" applyBorder="1" applyAlignment="1" applyProtection="1">
      <alignment horizontal="right" vertical="center"/>
      <protection locked="0"/>
    </xf>
    <xf numFmtId="0" fontId="224" fillId="0" borderId="0" xfId="0" applyFont="1" applyAlignment="1">
      <alignment vertical="center"/>
    </xf>
    <xf numFmtId="0" fontId="17" fillId="9" borderId="203" xfId="4" applyFont="1" applyFill="1" applyBorder="1" applyAlignment="1">
      <alignment horizontal="right" vertical="center"/>
    </xf>
    <xf numFmtId="0" fontId="17" fillId="9" borderId="194" xfId="4" applyFont="1" applyFill="1" applyBorder="1" applyAlignment="1">
      <alignment horizontal="right" vertical="center"/>
    </xf>
    <xf numFmtId="0" fontId="76" fillId="9" borderId="194" xfId="4" applyFont="1" applyFill="1" applyBorder="1" applyAlignment="1">
      <alignment horizontal="left" vertical="center"/>
    </xf>
    <xf numFmtId="0" fontId="76" fillId="9" borderId="204" xfId="4" applyFont="1" applyFill="1" applyBorder="1" applyAlignment="1">
      <alignment horizontal="right" vertical="center"/>
    </xf>
    <xf numFmtId="212" fontId="45" fillId="9" borderId="90" xfId="4" applyNumberFormat="1" applyFont="1" applyFill="1" applyBorder="1" applyAlignment="1">
      <alignment horizontal="center" vertical="center"/>
    </xf>
    <xf numFmtId="215" fontId="45" fillId="9" borderId="90" xfId="4" applyNumberFormat="1" applyFont="1" applyFill="1" applyBorder="1" applyAlignment="1">
      <alignment horizontal="center" vertical="center"/>
    </xf>
    <xf numFmtId="0" fontId="98" fillId="9" borderId="90" xfId="4" applyFont="1" applyFill="1" applyBorder="1" applyAlignment="1">
      <alignment horizontal="left" vertical="center"/>
    </xf>
    <xf numFmtId="0" fontId="9" fillId="9" borderId="203" xfId="4" applyFont="1" applyFill="1" applyBorder="1" applyAlignment="1" applyProtection="1">
      <alignment vertical="center"/>
      <protection hidden="1"/>
    </xf>
    <xf numFmtId="212" fontId="132" fillId="9" borderId="0" xfId="4" applyNumberFormat="1" applyFont="1" applyFill="1" applyAlignment="1">
      <alignment horizontal="center" vertical="center"/>
    </xf>
    <xf numFmtId="215" fontId="132" fillId="9" borderId="0" xfId="4" applyNumberFormat="1" applyFont="1" applyFill="1" applyAlignment="1">
      <alignment horizontal="center" vertical="center"/>
    </xf>
    <xf numFmtId="0" fontId="17" fillId="7" borderId="0" xfId="4" applyFont="1" applyFill="1" applyAlignment="1">
      <alignment horizontal="left" vertical="center"/>
    </xf>
    <xf numFmtId="0" fontId="17" fillId="9" borderId="19" xfId="4" applyFont="1" applyFill="1" applyBorder="1" applyAlignment="1">
      <alignment horizontal="left" vertical="center"/>
    </xf>
    <xf numFmtId="0" fontId="76" fillId="9" borderId="19" xfId="4" applyFont="1" applyFill="1" applyBorder="1" applyAlignment="1">
      <alignment horizontal="left" vertical="center"/>
    </xf>
    <xf numFmtId="0" fontId="196" fillId="9" borderId="0" xfId="4" applyFont="1" applyFill="1" applyAlignment="1">
      <alignment horizontal="right" vertical="center"/>
    </xf>
    <xf numFmtId="0" fontId="45" fillId="7" borderId="0" xfId="4" applyFont="1" applyFill="1" applyAlignment="1">
      <alignment horizontal="left" vertical="center"/>
    </xf>
    <xf numFmtId="0" fontId="0" fillId="9" borderId="19" xfId="0" applyFill="1" applyBorder="1" applyAlignment="1">
      <alignment horizontal="right" vertical="center"/>
    </xf>
    <xf numFmtId="0" fontId="221" fillId="9" borderId="194" xfId="0" applyFont="1" applyFill="1" applyBorder="1" applyAlignment="1">
      <alignment horizontal="center" vertical="center"/>
    </xf>
    <xf numFmtId="212" fontId="17" fillId="71" borderId="0" xfId="4" applyNumberFormat="1" applyFont="1" applyFill="1" applyAlignment="1" applyProtection="1">
      <alignment horizontal="center" vertical="center"/>
      <protection hidden="1"/>
    </xf>
    <xf numFmtId="0" fontId="132" fillId="9" borderId="0" xfId="4" applyFont="1" applyFill="1" applyAlignment="1">
      <alignment horizontal="right" vertical="center"/>
    </xf>
    <xf numFmtId="0" fontId="215" fillId="7" borderId="0" xfId="4" applyFont="1" applyFill="1" applyAlignment="1">
      <alignment horizontal="left" vertical="center"/>
    </xf>
    <xf numFmtId="0" fontId="13" fillId="9" borderId="53" xfId="4" applyFont="1" applyFill="1" applyBorder="1" applyAlignment="1">
      <alignment horizontal="left" vertical="center"/>
    </xf>
    <xf numFmtId="0" fontId="110" fillId="45" borderId="0" xfId="4" applyFont="1" applyFill="1" applyAlignment="1">
      <alignment horizontal="center" vertical="center"/>
    </xf>
    <xf numFmtId="1" fontId="110" fillId="45" borderId="0" xfId="4" applyNumberFormat="1" applyFont="1" applyFill="1" applyAlignment="1" applyProtection="1">
      <alignment horizontal="left" vertical="center"/>
      <protection hidden="1"/>
    </xf>
    <xf numFmtId="0" fontId="59" fillId="9" borderId="147" xfId="4" applyFont="1" applyFill="1" applyBorder="1" applyAlignment="1" applyProtection="1">
      <alignment vertical="center"/>
      <protection hidden="1"/>
    </xf>
    <xf numFmtId="0" fontId="82" fillId="9" borderId="6" xfId="19" applyFont="1" applyFill="1" applyBorder="1" applyAlignment="1">
      <alignment horizontal="left" vertical="center"/>
    </xf>
    <xf numFmtId="0" fontId="82" fillId="9" borderId="195" xfId="19" applyFont="1" applyFill="1" applyBorder="1" applyAlignment="1">
      <alignment horizontal="right" vertical="center"/>
    </xf>
    <xf numFmtId="0" fontId="13" fillId="9" borderId="53" xfId="4" applyFont="1" applyFill="1" applyBorder="1" applyAlignment="1">
      <alignment horizontal="left"/>
    </xf>
    <xf numFmtId="0" fontId="16" fillId="9" borderId="0" xfId="4" applyFont="1" applyFill="1" applyAlignment="1">
      <alignment horizontal="right" vertical="center"/>
    </xf>
    <xf numFmtId="0" fontId="45" fillId="73" borderId="0" xfId="4" applyFont="1" applyFill="1" applyAlignment="1" applyProtection="1">
      <alignment horizontal="center" vertical="center"/>
      <protection locked="0"/>
    </xf>
    <xf numFmtId="1" fontId="13" fillId="9" borderId="0" xfId="4" applyNumberFormat="1" applyFont="1" applyFill="1" applyAlignment="1">
      <alignment horizontal="left" vertical="center"/>
    </xf>
    <xf numFmtId="0" fontId="14" fillId="16" borderId="0" xfId="16" applyFont="1" applyFill="1" applyAlignment="1">
      <alignment horizontal="right" vertical="center"/>
    </xf>
    <xf numFmtId="0" fontId="1" fillId="9" borderId="19" xfId="1" applyFill="1" applyBorder="1"/>
    <xf numFmtId="0" fontId="13" fillId="9" borderId="53" xfId="0" applyFont="1" applyFill="1" applyBorder="1"/>
    <xf numFmtId="0" fontId="110" fillId="12" borderId="0" xfId="4" applyFont="1" applyFill="1" applyAlignment="1">
      <alignment horizontal="center" vertical="center"/>
    </xf>
    <xf numFmtId="0" fontId="13" fillId="0" borderId="0" xfId="1" applyFont="1" applyAlignment="1">
      <alignment horizontal="center" vertical="center"/>
    </xf>
    <xf numFmtId="0" fontId="17" fillId="9" borderId="0" xfId="4" applyFont="1" applyFill="1" applyAlignment="1">
      <alignment vertical="center"/>
    </xf>
    <xf numFmtId="0" fontId="17" fillId="7" borderId="0" xfId="4" applyFont="1" applyFill="1" applyAlignment="1">
      <alignment horizontal="center" vertical="center"/>
    </xf>
    <xf numFmtId="0" fontId="67" fillId="9" borderId="0" xfId="4" applyFont="1" applyFill="1" applyAlignment="1">
      <alignment horizontal="left" vertical="center"/>
    </xf>
    <xf numFmtId="219" fontId="13" fillId="0" borderId="211" xfId="4" applyNumberFormat="1" applyFont="1" applyBorder="1" applyAlignment="1">
      <alignment horizontal="center" vertical="center" wrapText="1"/>
    </xf>
    <xf numFmtId="0" fontId="45" fillId="9" borderId="199" xfId="0" applyFont="1" applyFill="1" applyBorder="1" applyAlignment="1">
      <alignment horizontal="center" vertical="center"/>
    </xf>
    <xf numFmtId="0" fontId="14" fillId="9" borderId="212" xfId="4" applyFont="1" applyFill="1" applyBorder="1" applyAlignment="1" applyProtection="1">
      <alignment horizontal="left" vertical="center"/>
      <protection locked="0"/>
    </xf>
    <xf numFmtId="0" fontId="9" fillId="48" borderId="95" xfId="1" applyFont="1" applyFill="1" applyBorder="1" applyAlignment="1">
      <alignment horizontal="center" vertical="center"/>
    </xf>
    <xf numFmtId="0" fontId="13" fillId="48" borderId="60" xfId="1" applyFont="1" applyFill="1" applyBorder="1" applyAlignment="1">
      <alignment horizontal="left" vertical="center"/>
    </xf>
    <xf numFmtId="0" fontId="17" fillId="48" borderId="59" xfId="1" applyFont="1" applyFill="1" applyBorder="1" applyAlignment="1">
      <alignment horizontal="left" vertical="center"/>
    </xf>
    <xf numFmtId="0" fontId="17" fillId="48" borderId="59" xfId="1" applyFont="1" applyFill="1" applyBorder="1" applyAlignment="1">
      <alignment horizontal="right" vertical="center"/>
    </xf>
    <xf numFmtId="0" fontId="17" fillId="16" borderId="66" xfId="4" applyFont="1" applyFill="1" applyBorder="1" applyAlignment="1" applyProtection="1">
      <alignment horizontal="right" vertical="center"/>
      <protection hidden="1"/>
    </xf>
    <xf numFmtId="0" fontId="23" fillId="9" borderId="0" xfId="4" applyFont="1" applyFill="1" applyAlignment="1">
      <alignment horizontal="center" vertical="center"/>
    </xf>
    <xf numFmtId="0" fontId="95" fillId="9" borderId="19" xfId="0" applyFont="1" applyFill="1" applyBorder="1" applyAlignment="1">
      <alignment horizontal="right" vertical="center"/>
    </xf>
    <xf numFmtId="0" fontId="173" fillId="11" borderId="53" xfId="15" applyFont="1" applyFill="1" applyBorder="1" applyAlignment="1" applyProtection="1">
      <alignment horizontal="center" vertical="center" wrapText="1"/>
      <protection locked="0"/>
    </xf>
    <xf numFmtId="0" fontId="227" fillId="11" borderId="0" xfId="15" applyFont="1" applyFill="1" applyAlignment="1" applyProtection="1">
      <alignment horizontal="center" vertical="center"/>
      <protection locked="0"/>
    </xf>
    <xf numFmtId="0" fontId="59" fillId="11" borderId="0" xfId="15" applyFont="1" applyFill="1" applyAlignment="1" applyProtection="1">
      <alignment horizontal="left" vertical="center"/>
      <protection locked="0"/>
    </xf>
    <xf numFmtId="0" fontId="23" fillId="9" borderId="19" xfId="4" applyFont="1" applyFill="1" applyBorder="1" applyAlignment="1">
      <alignment horizontal="center" vertical="center"/>
    </xf>
    <xf numFmtId="0" fontId="76" fillId="113" borderId="0" xfId="4" applyFont="1" applyFill="1" applyAlignment="1">
      <alignment horizontal="center" vertical="center"/>
    </xf>
    <xf numFmtId="164" fontId="132" fillId="81" borderId="0" xfId="15" applyNumberFormat="1" applyFont="1" applyFill="1" applyAlignment="1" applyProtection="1">
      <alignment horizontal="center" vertical="center"/>
      <protection locked="0"/>
    </xf>
    <xf numFmtId="0" fontId="76" fillId="81" borderId="19" xfId="15" applyFont="1" applyFill="1" applyBorder="1" applyAlignment="1" applyProtection="1">
      <alignment horizontal="center" vertical="center"/>
      <protection locked="0"/>
    </xf>
    <xf numFmtId="0" fontId="17" fillId="7" borderId="0" xfId="4" applyFont="1" applyFill="1" applyAlignment="1" applyProtection="1">
      <alignment vertical="center"/>
      <protection hidden="1"/>
    </xf>
    <xf numFmtId="0" fontId="17" fillId="7" borderId="19" xfId="4" applyFont="1" applyFill="1" applyBorder="1" applyAlignment="1" applyProtection="1">
      <alignment vertical="center"/>
      <protection hidden="1"/>
    </xf>
    <xf numFmtId="170" fontId="59" fillId="114" borderId="0" xfId="4" applyNumberFormat="1" applyFont="1" applyFill="1" applyAlignment="1">
      <alignment horizontal="left" vertical="center"/>
    </xf>
    <xf numFmtId="0" fontId="13" fillId="9" borderId="53" xfId="15" applyFont="1" applyFill="1" applyBorder="1" applyAlignment="1" applyProtection="1">
      <alignment horizontal="left" vertical="center"/>
      <protection locked="0"/>
    </xf>
    <xf numFmtId="0" fontId="14" fillId="16" borderId="53" xfId="16" applyFont="1" applyFill="1" applyBorder="1" applyAlignment="1">
      <alignment horizontal="right" vertical="center"/>
    </xf>
    <xf numFmtId="215" fontId="45" fillId="9" borderId="0" xfId="4" quotePrefix="1" applyNumberFormat="1" applyFont="1" applyFill="1" applyAlignment="1">
      <alignment horizontal="center" vertical="center"/>
    </xf>
    <xf numFmtId="0" fontId="14" fillId="71" borderId="59" xfId="4" applyFont="1" applyFill="1" applyBorder="1" applyAlignment="1" applyProtection="1">
      <alignment horizontal="right" vertical="center"/>
      <protection hidden="1"/>
    </xf>
    <xf numFmtId="0" fontId="10" fillId="38" borderId="53" xfId="31" applyFont="1" applyFill="1" applyBorder="1" applyAlignment="1">
      <alignment horizontal="center" vertical="center"/>
    </xf>
    <xf numFmtId="0" fontId="10" fillId="38" borderId="0" xfId="31" applyFont="1" applyFill="1" applyAlignment="1">
      <alignment horizontal="center" vertical="center"/>
    </xf>
    <xf numFmtId="0" fontId="17" fillId="38" borderId="0" xfId="32" applyFont="1" applyFill="1" applyAlignment="1">
      <alignment horizontal="center" vertical="center"/>
    </xf>
    <xf numFmtId="0" fontId="10" fillId="38" borderId="0" xfId="1" applyFont="1" applyFill="1" applyAlignment="1">
      <alignment horizontal="center" vertical="center"/>
    </xf>
    <xf numFmtId="0" fontId="13" fillId="9" borderId="19" xfId="14" applyFont="1" applyFill="1" applyBorder="1" applyAlignment="1">
      <alignment horizontal="left" vertical="center"/>
    </xf>
    <xf numFmtId="0" fontId="16" fillId="9" borderId="53" xfId="14" applyFont="1" applyFill="1" applyBorder="1" applyAlignment="1">
      <alignment horizontal="left" vertical="center"/>
    </xf>
    <xf numFmtId="0" fontId="1" fillId="9" borderId="0" xfId="31" applyFill="1" applyAlignment="1">
      <alignment horizontal="left" vertical="center"/>
    </xf>
    <xf numFmtId="179" fontId="28" fillId="9" borderId="0" xfId="4" applyNumberFormat="1" applyFont="1" applyFill="1" applyAlignment="1">
      <alignment horizontal="center" vertical="center"/>
    </xf>
    <xf numFmtId="220" fontId="45" fillId="9" borderId="19" xfId="4" applyNumberFormat="1" applyFont="1" applyFill="1" applyBorder="1" applyAlignment="1">
      <alignment horizontal="left" vertical="center"/>
    </xf>
    <xf numFmtId="0" fontId="17" fillId="111" borderId="122" xfId="1" applyFont="1" applyFill="1" applyBorder="1" applyAlignment="1">
      <alignment horizontal="left" vertical="center"/>
    </xf>
    <xf numFmtId="0" fontId="17" fillId="111" borderId="122" xfId="1" applyFont="1" applyFill="1" applyBorder="1" applyAlignment="1">
      <alignment horizontal="right" vertical="center"/>
    </xf>
    <xf numFmtId="1" fontId="10" fillId="9" borderId="0" xfId="2" applyNumberFormat="1" applyFont="1" applyFill="1" applyAlignment="1">
      <alignment horizontal="center" vertical="center"/>
    </xf>
    <xf numFmtId="0" fontId="28" fillId="0" borderId="19" xfId="2" applyFont="1" applyBorder="1" applyAlignment="1">
      <alignment horizontal="left" vertical="center"/>
    </xf>
    <xf numFmtId="0" fontId="59" fillId="14" borderId="203" xfId="4" applyFont="1" applyFill="1" applyBorder="1" applyAlignment="1" applyProtection="1">
      <alignment horizontal="center"/>
      <protection locked="0"/>
    </xf>
    <xf numFmtId="1" fontId="9" fillId="38" borderId="53" xfId="2" applyNumberFormat="1" applyFont="1" applyFill="1" applyBorder="1" applyAlignment="1">
      <alignment horizontal="center" vertical="center"/>
    </xf>
    <xf numFmtId="1" fontId="9" fillId="38" borderId="0" xfId="2" applyNumberFormat="1" applyFont="1" applyFill="1" applyAlignment="1">
      <alignment horizontal="center" vertical="center"/>
    </xf>
    <xf numFmtId="0" fontId="17" fillId="38" borderId="0" xfId="32" applyFont="1" applyFill="1" applyAlignment="1">
      <alignment vertical="center"/>
    </xf>
    <xf numFmtId="0" fontId="10" fillId="9" borderId="19" xfId="32" applyFont="1" applyFill="1" applyBorder="1" applyAlignment="1">
      <alignment horizontal="left" vertical="center"/>
    </xf>
    <xf numFmtId="0" fontId="28" fillId="9" borderId="0" xfId="4" applyFont="1" applyFill="1" applyAlignment="1">
      <alignment horizontal="center" vertical="center"/>
    </xf>
    <xf numFmtId="206" fontId="45" fillId="9" borderId="19" xfId="4" applyNumberFormat="1" applyFont="1" applyFill="1" applyBorder="1" applyAlignment="1">
      <alignment horizontal="left" vertical="center"/>
    </xf>
    <xf numFmtId="1" fontId="24" fillId="12" borderId="51" xfId="4" applyNumberFormat="1" applyFont="1" applyFill="1" applyBorder="1" applyAlignment="1">
      <alignment horizontal="center" vertical="center"/>
    </xf>
    <xf numFmtId="169" fontId="16" fillId="12" borderId="216" xfId="4" applyNumberFormat="1" applyFont="1" applyFill="1" applyBorder="1" applyAlignment="1">
      <alignment horizontal="center" vertical="center"/>
    </xf>
    <xf numFmtId="168" fontId="13" fillId="86" borderId="0" xfId="4" applyNumberFormat="1" applyFont="1" applyFill="1" applyAlignment="1">
      <alignment horizontal="center" vertical="center"/>
    </xf>
    <xf numFmtId="0" fontId="26" fillId="115" borderId="217" xfId="8" applyFont="1" applyFill="1" applyBorder="1" applyAlignment="1">
      <alignment horizontal="left" vertical="center"/>
    </xf>
    <xf numFmtId="0" fontId="110" fillId="12" borderId="53" xfId="4" applyFont="1" applyFill="1" applyBorder="1" applyAlignment="1">
      <alignment horizontal="center" vertical="center"/>
    </xf>
    <xf numFmtId="179" fontId="10" fillId="9" borderId="0" xfId="4" applyNumberFormat="1" applyFont="1" applyFill="1" applyAlignment="1">
      <alignment horizontal="center" vertical="center"/>
    </xf>
    <xf numFmtId="0" fontId="67" fillId="0" borderId="19" xfId="2" applyFont="1" applyBorder="1" applyAlignment="1">
      <alignment horizontal="left" vertical="center"/>
    </xf>
    <xf numFmtId="1" fontId="24" fillId="12" borderId="218" xfId="4" applyNumberFormat="1" applyFont="1" applyFill="1" applyBorder="1" applyAlignment="1">
      <alignment horizontal="center" vertical="center"/>
    </xf>
    <xf numFmtId="182" fontId="21" fillId="12" borderId="49" xfId="4" applyNumberFormat="1" applyFont="1" applyFill="1" applyBorder="1" applyAlignment="1">
      <alignment horizontal="center" vertical="center"/>
    </xf>
    <xf numFmtId="169" fontId="16" fillId="12" borderId="219" xfId="4" applyNumberFormat="1" applyFont="1" applyFill="1" applyBorder="1" applyAlignment="1">
      <alignment horizontal="center" vertical="center"/>
    </xf>
    <xf numFmtId="0" fontId="26" fillId="9" borderId="220" xfId="8" applyFont="1" applyFill="1" applyBorder="1" applyAlignment="1">
      <alignment horizontal="left" vertical="center"/>
    </xf>
    <xf numFmtId="179" fontId="9" fillId="38" borderId="53" xfId="4" applyNumberFormat="1" applyFont="1" applyFill="1" applyBorder="1" applyAlignment="1">
      <alignment horizontal="center" vertical="center"/>
    </xf>
    <xf numFmtId="179" fontId="9" fillId="38" borderId="0" xfId="4" applyNumberFormat="1" applyFont="1" applyFill="1" applyAlignment="1">
      <alignment horizontal="center" vertical="center"/>
    </xf>
    <xf numFmtId="0" fontId="0" fillId="38" borderId="0" xfId="0" applyFill="1"/>
    <xf numFmtId="0" fontId="26" fillId="115" borderId="220" xfId="8" applyFont="1" applyFill="1" applyBorder="1" applyAlignment="1">
      <alignment horizontal="left" vertical="center"/>
    </xf>
    <xf numFmtId="0" fontId="24" fillId="9" borderId="53" xfId="31" applyFont="1" applyFill="1" applyBorder="1" applyAlignment="1">
      <alignment horizontal="left" vertical="center"/>
    </xf>
    <xf numFmtId="0" fontId="22" fillId="9" borderId="0" xfId="4" applyFont="1" applyFill="1" applyAlignment="1" applyProtection="1">
      <alignment horizontal="left" vertical="center"/>
      <protection locked="0"/>
    </xf>
    <xf numFmtId="0" fontId="24" fillId="9" borderId="0" xfId="31" applyFont="1" applyFill="1" applyAlignment="1">
      <alignment horizontal="left" vertical="center"/>
    </xf>
    <xf numFmtId="0" fontId="24" fillId="9" borderId="0" xfId="1" applyFont="1" applyFill="1" applyAlignment="1">
      <alignment vertical="center"/>
    </xf>
    <xf numFmtId="0" fontId="228" fillId="9" borderId="19" xfId="4" applyFont="1" applyFill="1" applyBorder="1" applyAlignment="1" applyProtection="1">
      <alignment horizontal="right" vertical="center"/>
      <protection locked="0"/>
    </xf>
    <xf numFmtId="0" fontId="26" fillId="9" borderId="221" xfId="4" applyFont="1" applyFill="1" applyBorder="1" applyAlignment="1" applyProtection="1">
      <alignment horizontal="left" vertical="center"/>
      <protection locked="0"/>
    </xf>
    <xf numFmtId="0" fontId="26" fillId="9" borderId="19" xfId="4" applyFont="1" applyFill="1" applyBorder="1" applyAlignment="1" applyProtection="1">
      <alignment horizontal="right" vertical="center"/>
      <protection locked="0"/>
    </xf>
    <xf numFmtId="0" fontId="14" fillId="38" borderId="0" xfId="4" applyFont="1" applyFill="1" applyAlignment="1" applyProtection="1">
      <alignment horizontal="left" vertical="center"/>
      <protection locked="0"/>
    </xf>
    <xf numFmtId="0" fontId="22" fillId="16" borderId="222" xfId="4" applyFont="1" applyFill="1" applyBorder="1" applyAlignment="1" applyProtection="1">
      <alignment horizontal="center" vertical="center"/>
      <protection hidden="1"/>
    </xf>
    <xf numFmtId="0" fontId="44" fillId="38" borderId="75" xfId="4" applyFont="1" applyFill="1" applyBorder="1" applyAlignment="1">
      <alignment horizontal="center" vertical="center"/>
    </xf>
    <xf numFmtId="182" fontId="44" fillId="38" borderId="75" xfId="4" applyNumberFormat="1" applyFont="1" applyFill="1" applyBorder="1" applyAlignment="1">
      <alignment horizontal="center" vertical="center"/>
    </xf>
    <xf numFmtId="0" fontId="44" fillId="38" borderId="76" xfId="4" applyFont="1" applyFill="1" applyBorder="1" applyAlignment="1">
      <alignment horizontal="center" vertical="center"/>
    </xf>
    <xf numFmtId="0" fontId="44" fillId="38" borderId="223" xfId="4" applyFont="1" applyFill="1" applyBorder="1" applyAlignment="1">
      <alignment horizontal="center" vertical="center"/>
    </xf>
    <xf numFmtId="0" fontId="17" fillId="96" borderId="53" xfId="1" applyFont="1" applyFill="1" applyBorder="1" applyAlignment="1">
      <alignment horizontal="left" vertical="center"/>
    </xf>
    <xf numFmtId="0" fontId="229" fillId="96" borderId="0" xfId="1" applyFont="1" applyFill="1" applyAlignment="1">
      <alignment horizontal="center" vertical="center"/>
    </xf>
    <xf numFmtId="0" fontId="17" fillId="96" borderId="0" xfId="1" applyFont="1" applyFill="1" applyAlignment="1">
      <alignment horizontal="left" vertical="center"/>
    </xf>
    <xf numFmtId="0" fontId="230" fillId="96" borderId="0" xfId="1" applyFont="1" applyFill="1" applyAlignment="1">
      <alignment horizontal="center" vertical="center"/>
    </xf>
    <xf numFmtId="0" fontId="230" fillId="96" borderId="19" xfId="1" applyFont="1" applyFill="1" applyBorder="1" applyAlignment="1">
      <alignment horizontal="center" vertical="center"/>
    </xf>
    <xf numFmtId="0" fontId="126" fillId="9" borderId="53" xfId="19" applyFont="1" applyFill="1" applyBorder="1" applyAlignment="1">
      <alignment horizontal="left" vertical="center"/>
    </xf>
    <xf numFmtId="0" fontId="126" fillId="9" borderId="0" xfId="19" applyFont="1" applyFill="1" applyAlignment="1">
      <alignment horizontal="left" vertical="center"/>
    </xf>
    <xf numFmtId="0" fontId="59" fillId="9" borderId="0" xfId="19" applyFont="1" applyFill="1" applyAlignment="1">
      <alignment horizontal="left" vertical="center"/>
    </xf>
    <xf numFmtId="0" fontId="59" fillId="9" borderId="19" xfId="19" applyFont="1" applyFill="1" applyBorder="1" applyAlignment="1">
      <alignment horizontal="left" vertical="center"/>
    </xf>
    <xf numFmtId="0" fontId="55" fillId="9" borderId="19" xfId="0" applyFont="1" applyFill="1" applyBorder="1" applyAlignment="1">
      <alignment horizontal="right" vertical="center"/>
    </xf>
    <xf numFmtId="0" fontId="59" fillId="9" borderId="224" xfId="4" applyFont="1" applyFill="1" applyBorder="1" applyAlignment="1" applyProtection="1">
      <alignment horizontal="left" vertical="center"/>
      <protection locked="0"/>
    </xf>
    <xf numFmtId="0" fontId="76" fillId="63" borderId="53" xfId="9" applyFont="1" applyFill="1" applyBorder="1" applyAlignment="1" applyProtection="1">
      <alignment horizontal="right" vertical="center"/>
      <protection locked="0"/>
    </xf>
    <xf numFmtId="0" fontId="110" fillId="63" borderId="0" xfId="9" applyFont="1" applyFill="1" applyAlignment="1" applyProtection="1">
      <alignment horizontal="right" vertical="center"/>
      <protection locked="0"/>
    </xf>
    <xf numFmtId="208" fontId="110" fillId="93" borderId="0" xfId="9" applyNumberFormat="1" applyFont="1" applyFill="1" applyAlignment="1" applyProtection="1">
      <alignment horizontal="center" vertical="center"/>
      <protection locked="0"/>
    </xf>
    <xf numFmtId="0" fontId="190" fillId="9" borderId="0" xfId="9" applyFont="1" applyFill="1" applyAlignment="1" applyProtection="1">
      <alignment horizontal="right" vertical="center"/>
      <protection locked="0"/>
    </xf>
    <xf numFmtId="166" fontId="231" fillId="93" borderId="0" xfId="9" applyNumberFormat="1" applyFont="1" applyFill="1" applyAlignment="1" applyProtection="1">
      <alignment horizontal="center" vertical="center"/>
      <protection locked="0"/>
    </xf>
    <xf numFmtId="0" fontId="52" fillId="63" borderId="53" xfId="9" applyFont="1" applyFill="1" applyBorder="1" applyAlignment="1" applyProtection="1">
      <alignment horizontal="right" vertical="center"/>
      <protection locked="0"/>
    </xf>
    <xf numFmtId="208" fontId="99" fillId="93" borderId="0" xfId="9" applyNumberFormat="1" applyFont="1" applyFill="1" applyAlignment="1" applyProtection="1">
      <alignment horizontal="center" vertical="center"/>
      <protection locked="0"/>
    </xf>
    <xf numFmtId="0" fontId="192" fillId="9" borderId="0" xfId="9" applyFont="1" applyFill="1" applyAlignment="1" applyProtection="1">
      <alignment horizontal="right" vertical="center"/>
      <protection locked="0"/>
    </xf>
    <xf numFmtId="166" fontId="194" fillId="93" borderId="0" xfId="9" applyNumberFormat="1" applyFont="1" applyFill="1" applyAlignment="1" applyProtection="1">
      <alignment horizontal="center" vertical="center"/>
      <protection locked="0"/>
    </xf>
    <xf numFmtId="0" fontId="194" fillId="9" borderId="19" xfId="9" applyFont="1" applyFill="1" applyBorder="1" applyAlignment="1" applyProtection="1">
      <alignment horizontal="left" vertical="center"/>
      <protection locked="0"/>
    </xf>
    <xf numFmtId="0" fontId="14" fillId="63" borderId="53" xfId="9" applyFont="1" applyFill="1" applyBorder="1" applyAlignment="1" applyProtection="1">
      <alignment horizontal="right" vertical="center"/>
      <protection locked="0"/>
    </xf>
    <xf numFmtId="0" fontId="13" fillId="63" borderId="0" xfId="9" applyFont="1" applyFill="1" applyAlignment="1" applyProtection="1">
      <alignment horizontal="right" vertical="center"/>
      <protection locked="0"/>
    </xf>
    <xf numFmtId="208" fontId="13" fillId="63" borderId="0" xfId="9" applyNumberFormat="1" applyFont="1" applyFill="1" applyAlignment="1" applyProtection="1">
      <alignment horizontal="center" vertical="center"/>
      <protection locked="0"/>
    </xf>
    <xf numFmtId="0" fontId="14" fillId="9" borderId="0" xfId="9" applyFont="1" applyFill="1" applyAlignment="1" applyProtection="1">
      <alignment horizontal="right" vertical="center"/>
      <protection locked="0"/>
    </xf>
    <xf numFmtId="166" fontId="13" fillId="9" borderId="0" xfId="9" applyNumberFormat="1" applyFont="1" applyFill="1" applyAlignment="1" applyProtection="1">
      <alignment horizontal="center" vertical="center"/>
      <protection locked="0"/>
    </xf>
    <xf numFmtId="0" fontId="13" fillId="9" borderId="19" xfId="9" applyFont="1" applyFill="1" applyBorder="1" applyAlignment="1" applyProtection="1">
      <alignment horizontal="left" vertical="center"/>
      <protection locked="0"/>
    </xf>
    <xf numFmtId="165" fontId="13" fillId="63" borderId="0" xfId="9" applyNumberFormat="1" applyFont="1" applyFill="1" applyAlignment="1" applyProtection="1">
      <alignment horizontal="center" vertical="center"/>
      <protection locked="0"/>
    </xf>
    <xf numFmtId="0" fontId="13" fillId="9" borderId="0" xfId="9" applyFont="1" applyFill="1" applyAlignment="1" applyProtection="1">
      <alignment horizontal="right" vertical="center"/>
      <protection locked="0"/>
    </xf>
    <xf numFmtId="198" fontId="13" fillId="9" borderId="0" xfId="9" applyNumberFormat="1" applyFont="1" applyFill="1" applyAlignment="1" applyProtection="1">
      <alignment horizontal="center" vertical="center"/>
      <protection locked="0"/>
    </xf>
    <xf numFmtId="173" fontId="99" fillId="93" borderId="0" xfId="9" applyNumberFormat="1" applyFont="1" applyFill="1" applyAlignment="1" applyProtection="1">
      <alignment horizontal="center" vertical="center"/>
      <protection locked="0"/>
    </xf>
    <xf numFmtId="0" fontId="133" fillId="9" borderId="0" xfId="9" applyFont="1" applyFill="1" applyAlignment="1" applyProtection="1">
      <alignment horizontal="right" vertical="center"/>
      <protection locked="0"/>
    </xf>
    <xf numFmtId="198" fontId="194" fillId="93" borderId="0" xfId="9" applyNumberFormat="1" applyFont="1" applyFill="1" applyAlignment="1" applyProtection="1">
      <alignment horizontal="center" vertical="center"/>
      <protection locked="0"/>
    </xf>
    <xf numFmtId="0" fontId="193" fillId="9" borderId="19" xfId="9" applyFont="1" applyFill="1" applyBorder="1" applyAlignment="1" applyProtection="1">
      <alignment horizontal="left" vertical="center"/>
      <protection locked="0"/>
    </xf>
    <xf numFmtId="0" fontId="13" fillId="9" borderId="0" xfId="9" applyFont="1" applyFill="1" applyAlignment="1" applyProtection="1">
      <alignment horizontal="left" vertical="center"/>
      <protection locked="0"/>
    </xf>
    <xf numFmtId="0" fontId="59" fillId="9" borderId="0" xfId="9" applyFont="1" applyFill="1" applyAlignment="1" applyProtection="1">
      <alignment horizontal="right" vertical="center"/>
      <protection locked="0"/>
    </xf>
    <xf numFmtId="0" fontId="59" fillId="14" borderId="224" xfId="4" applyFont="1" applyFill="1" applyBorder="1" applyAlignment="1" applyProtection="1">
      <alignment horizontal="center" vertical="center"/>
      <protection hidden="1"/>
    </xf>
    <xf numFmtId="0" fontId="23" fillId="9" borderId="0" xfId="13" applyFont="1" applyFill="1" applyAlignment="1">
      <alignment horizontal="center" vertical="center"/>
    </xf>
    <xf numFmtId="0" fontId="89" fillId="9" borderId="0" xfId="10" applyFont="1" applyFill="1" applyAlignment="1" applyProtection="1">
      <alignment vertical="center"/>
      <protection locked="0"/>
    </xf>
    <xf numFmtId="0" fontId="232" fillId="53" borderId="0" xfId="1" applyFont="1" applyFill="1" applyAlignment="1">
      <alignment vertical="center"/>
    </xf>
    <xf numFmtId="0" fontId="14" fillId="0" borderId="0" xfId="4" applyFont="1" applyAlignment="1">
      <alignment horizontal="left"/>
    </xf>
    <xf numFmtId="0" fontId="17" fillId="9" borderId="0" xfId="13" applyFont="1" applyFill="1"/>
    <xf numFmtId="0" fontId="76" fillId="9" borderId="111" xfId="1" applyFont="1" applyFill="1" applyBorder="1"/>
    <xf numFmtId="0" fontId="10" fillId="9" borderId="101" xfId="13" applyFont="1" applyFill="1" applyBorder="1" applyAlignment="1">
      <alignment vertical="center"/>
    </xf>
    <xf numFmtId="0" fontId="87" fillId="0" borderId="0" xfId="0" applyFont="1"/>
    <xf numFmtId="0" fontId="87" fillId="0" borderId="0" xfId="1" applyFont="1"/>
    <xf numFmtId="1" fontId="9" fillId="20" borderId="0" xfId="4" applyNumberFormat="1" applyFont="1" applyFill="1" applyAlignment="1" applyProtection="1">
      <alignment vertical="center"/>
      <protection hidden="1"/>
    </xf>
    <xf numFmtId="0" fontId="68" fillId="39" borderId="0" xfId="4" applyFont="1" applyFill="1" applyAlignment="1">
      <alignment horizontal="right" vertical="center"/>
    </xf>
    <xf numFmtId="0" fontId="14" fillId="0" borderId="19" xfId="4" applyFont="1" applyBorder="1" applyAlignment="1">
      <alignment horizontal="left"/>
    </xf>
    <xf numFmtId="1" fontId="233" fillId="20" borderId="19" xfId="4" applyNumberFormat="1" applyFont="1" applyFill="1" applyBorder="1" applyAlignment="1" applyProtection="1">
      <alignment vertical="center"/>
      <protection hidden="1"/>
    </xf>
    <xf numFmtId="0" fontId="234" fillId="0" borderId="0" xfId="1" applyFont="1"/>
    <xf numFmtId="1" fontId="233" fillId="28" borderId="19" xfId="4" applyNumberFormat="1" applyFont="1" applyFill="1" applyBorder="1" applyAlignment="1" applyProtection="1">
      <alignment vertical="center"/>
      <protection hidden="1"/>
    </xf>
    <xf numFmtId="1" fontId="233" fillId="45" borderId="19" xfId="4" applyNumberFormat="1" applyFont="1" applyFill="1" applyBorder="1" applyAlignment="1" applyProtection="1">
      <alignment vertical="center"/>
      <protection hidden="1"/>
    </xf>
    <xf numFmtId="1" fontId="233" fillId="57" borderId="19" xfId="4" applyNumberFormat="1" applyFont="1" applyFill="1" applyBorder="1" applyAlignment="1" applyProtection="1">
      <alignment vertical="center"/>
      <protection hidden="1"/>
    </xf>
    <xf numFmtId="2" fontId="235" fillId="81" borderId="19" xfId="4" applyNumberFormat="1" applyFont="1" applyFill="1" applyBorder="1" applyAlignment="1" applyProtection="1">
      <alignment vertical="center"/>
      <protection locked="0"/>
    </xf>
    <xf numFmtId="1" fontId="233" fillId="39" borderId="19" xfId="4" applyNumberFormat="1" applyFont="1" applyFill="1" applyBorder="1" applyAlignment="1" applyProtection="1">
      <alignment vertical="center"/>
      <protection hidden="1"/>
    </xf>
    <xf numFmtId="1" fontId="217" fillId="116" borderId="19" xfId="4" applyNumberFormat="1" applyFont="1" applyFill="1" applyBorder="1" applyAlignment="1" applyProtection="1">
      <alignment vertical="center"/>
      <protection hidden="1"/>
    </xf>
    <xf numFmtId="1" fontId="217" fillId="117" borderId="19" xfId="4" applyNumberFormat="1" applyFont="1" applyFill="1" applyBorder="1" applyAlignment="1" applyProtection="1">
      <alignment vertical="center"/>
      <protection hidden="1"/>
    </xf>
    <xf numFmtId="1" fontId="236" fillId="119" borderId="19" xfId="4" applyNumberFormat="1" applyFont="1" applyFill="1" applyBorder="1" applyAlignment="1" applyProtection="1">
      <alignment vertical="center"/>
      <protection hidden="1"/>
    </xf>
    <xf numFmtId="0" fontId="59" fillId="9" borderId="0" xfId="13" applyFont="1" applyFill="1" applyAlignment="1">
      <alignment vertical="center"/>
    </xf>
    <xf numFmtId="1" fontId="233" fillId="119" borderId="19" xfId="4" applyNumberFormat="1" applyFont="1" applyFill="1" applyBorder="1" applyAlignment="1" applyProtection="1">
      <alignment vertical="center"/>
      <protection hidden="1"/>
    </xf>
    <xf numFmtId="1" fontId="17" fillId="9" borderId="0" xfId="4" applyNumberFormat="1" applyFont="1" applyFill="1" applyAlignment="1" applyProtection="1">
      <alignment vertical="center"/>
      <protection hidden="1"/>
    </xf>
    <xf numFmtId="0" fontId="110" fillId="9" borderId="0" xfId="13" applyFont="1" applyFill="1" applyAlignment="1">
      <alignment vertical="center"/>
    </xf>
    <xf numFmtId="0" fontId="10" fillId="9" borderId="0" xfId="13" applyFont="1" applyFill="1" applyAlignment="1">
      <alignment vertical="center"/>
    </xf>
    <xf numFmtId="0" fontId="233" fillId="75" borderId="19" xfId="4" applyFont="1" applyFill="1" applyBorder="1" applyAlignment="1">
      <alignment vertical="center"/>
    </xf>
    <xf numFmtId="1" fontId="217" fillId="124" borderId="19" xfId="4" applyNumberFormat="1" applyFont="1" applyFill="1" applyBorder="1" applyAlignment="1" applyProtection="1">
      <alignment vertical="center"/>
      <protection hidden="1"/>
    </xf>
    <xf numFmtId="1" fontId="217" fillId="118" borderId="19" xfId="4" applyNumberFormat="1" applyFont="1" applyFill="1" applyBorder="1" applyAlignment="1" applyProtection="1">
      <alignment vertical="center"/>
      <protection hidden="1"/>
    </xf>
    <xf numFmtId="0" fontId="61" fillId="121" borderId="0" xfId="13" applyFont="1" applyFill="1" applyAlignment="1">
      <alignment horizontal="center" vertical="center"/>
    </xf>
    <xf numFmtId="1" fontId="217" fillId="128" borderId="19" xfId="4" applyNumberFormat="1" applyFont="1" applyFill="1" applyBorder="1" applyAlignment="1" applyProtection="1">
      <alignment vertical="center"/>
      <protection hidden="1"/>
    </xf>
    <xf numFmtId="1" fontId="233" fillId="127" borderId="19" xfId="4" applyNumberFormat="1" applyFont="1" applyFill="1" applyBorder="1" applyAlignment="1" applyProtection="1">
      <alignment vertical="center"/>
      <protection hidden="1"/>
    </xf>
    <xf numFmtId="1" fontId="233" fillId="126" borderId="19" xfId="4" applyNumberFormat="1" applyFont="1" applyFill="1" applyBorder="1" applyAlignment="1" applyProtection="1">
      <alignment vertical="center"/>
      <protection hidden="1"/>
    </xf>
    <xf numFmtId="1" fontId="217" fillId="60" borderId="19" xfId="4" applyNumberFormat="1" applyFont="1" applyFill="1" applyBorder="1" applyAlignment="1" applyProtection="1">
      <alignment vertical="center"/>
      <protection hidden="1"/>
    </xf>
    <xf numFmtId="1" fontId="233" fillId="125" borderId="19" xfId="4" applyNumberFormat="1" applyFont="1" applyFill="1" applyBorder="1" applyAlignment="1" applyProtection="1">
      <alignment vertical="center"/>
      <protection hidden="1"/>
    </xf>
    <xf numFmtId="1" fontId="217" fillId="70" borderId="19" xfId="4" applyNumberFormat="1" applyFont="1" applyFill="1" applyBorder="1" applyAlignment="1" applyProtection="1">
      <alignment vertical="center"/>
      <protection hidden="1"/>
    </xf>
    <xf numFmtId="1" fontId="233" fillId="121" borderId="19" xfId="4" applyNumberFormat="1" applyFont="1" applyFill="1" applyBorder="1" applyAlignment="1" applyProtection="1">
      <alignment vertical="center"/>
      <protection hidden="1"/>
    </xf>
    <xf numFmtId="1" fontId="233" fillId="122" borderId="19" xfId="4" applyNumberFormat="1" applyFont="1" applyFill="1" applyBorder="1" applyAlignment="1" applyProtection="1">
      <alignment vertical="center"/>
      <protection hidden="1"/>
    </xf>
    <xf numFmtId="1" fontId="233" fillId="120" borderId="19" xfId="4" applyNumberFormat="1" applyFont="1" applyFill="1" applyBorder="1" applyAlignment="1" applyProtection="1">
      <alignment vertical="center"/>
      <protection hidden="1"/>
    </xf>
    <xf numFmtId="1" fontId="233" fillId="123" borderId="19" xfId="4" applyNumberFormat="1" applyFont="1" applyFill="1" applyBorder="1" applyAlignment="1" applyProtection="1">
      <alignment vertical="center"/>
      <protection hidden="1"/>
    </xf>
    <xf numFmtId="0" fontId="234" fillId="0" borderId="0" xfId="0" applyFont="1"/>
    <xf numFmtId="0" fontId="64" fillId="53" borderId="0" xfId="19" applyFont="1" applyFill="1" applyAlignment="1">
      <alignment horizontal="left" vertical="center"/>
    </xf>
    <xf numFmtId="0" fontId="0" fillId="53" borderId="0" xfId="0" applyFill="1"/>
    <xf numFmtId="0" fontId="56" fillId="53" borderId="0" xfId="16" applyFont="1" applyFill="1" applyAlignment="1">
      <alignment horizontal="center" vertical="center"/>
    </xf>
    <xf numFmtId="0" fontId="239" fillId="64" borderId="0" xfId="4" applyFont="1" applyFill="1" applyAlignment="1">
      <alignment horizontal="left" vertical="center"/>
    </xf>
    <xf numFmtId="0" fontId="0" fillId="9" borderId="122" xfId="0" applyFill="1" applyBorder="1"/>
    <xf numFmtId="0" fontId="1" fillId="9" borderId="0" xfId="5" applyFill="1"/>
    <xf numFmtId="0" fontId="137" fillId="53" borderId="0" xfId="5" applyFont="1" applyFill="1" applyAlignment="1">
      <alignment horizontal="center" vertical="center"/>
    </xf>
    <xf numFmtId="0" fontId="1" fillId="9" borderId="0" xfId="5" applyFill="1" applyAlignment="1">
      <alignment wrapText="1"/>
    </xf>
    <xf numFmtId="0" fontId="60" fillId="7" borderId="88" xfId="4" applyFont="1" applyFill="1" applyBorder="1" applyAlignment="1" applyProtection="1">
      <alignment horizontal="center" vertical="center"/>
      <protection hidden="1"/>
    </xf>
    <xf numFmtId="0" fontId="232" fillId="9" borderId="226" xfId="19" applyFont="1" applyFill="1" applyBorder="1" applyAlignment="1">
      <alignment horizontal="center" vertical="center"/>
    </xf>
    <xf numFmtId="0" fontId="240" fillId="9" borderId="226" xfId="19" applyFont="1" applyFill="1" applyBorder="1" applyAlignment="1">
      <alignment horizontal="center" vertical="center"/>
    </xf>
    <xf numFmtId="0" fontId="64" fillId="9" borderId="226" xfId="19" applyFont="1" applyFill="1" applyBorder="1" applyAlignment="1">
      <alignment horizontal="center" vertical="center"/>
    </xf>
    <xf numFmtId="0" fontId="241" fillId="9" borderId="226" xfId="19" applyFont="1" applyFill="1" applyBorder="1" applyAlignment="1">
      <alignment horizontal="center" vertical="center"/>
    </xf>
    <xf numFmtId="0" fontId="242" fillId="9" borderId="0" xfId="4" applyFont="1" applyFill="1" applyAlignment="1">
      <alignment horizontal="center" vertical="center"/>
    </xf>
    <xf numFmtId="0" fontId="238" fillId="9" borderId="0" xfId="4" applyFont="1" applyFill="1" applyAlignment="1">
      <alignment horizontal="center" vertical="center"/>
    </xf>
    <xf numFmtId="0" fontId="98" fillId="0" borderId="0" xfId="4" applyFont="1" applyAlignment="1" applyProtection="1">
      <alignment horizontal="left" vertical="center"/>
      <protection locked="0"/>
    </xf>
    <xf numFmtId="0" fontId="72" fillId="0" borderId="0" xfId="4" applyFont="1" applyAlignment="1" applyProtection="1">
      <alignment horizontal="left" vertical="center"/>
      <protection locked="0"/>
    </xf>
    <xf numFmtId="0" fontId="243" fillId="0" borderId="0" xfId="4" applyFont="1" applyAlignment="1" applyProtection="1">
      <alignment horizontal="left" vertical="center"/>
      <protection locked="0"/>
    </xf>
    <xf numFmtId="0" fontId="243" fillId="9" borderId="0" xfId="33" applyFont="1" applyFill="1" applyAlignment="1">
      <alignment horizontal="right" vertical="center"/>
    </xf>
    <xf numFmtId="0" fontId="245" fillId="32" borderId="0" xfId="5" applyFont="1" applyFill="1" applyAlignment="1">
      <alignment horizontal="right" vertical="center"/>
    </xf>
    <xf numFmtId="0" fontId="145" fillId="9" borderId="0" xfId="23" applyFont="1" applyFill="1" applyAlignment="1">
      <alignment vertical="center"/>
    </xf>
    <xf numFmtId="0" fontId="246" fillId="9" borderId="0" xfId="4" applyFont="1" applyFill="1" applyAlignment="1" applyProtection="1">
      <alignment horizontal="center" vertical="center"/>
      <protection hidden="1"/>
    </xf>
    <xf numFmtId="0" fontId="0" fillId="0" borderId="88" xfId="0" applyBorder="1"/>
    <xf numFmtId="0" fontId="247" fillId="9" borderId="0" xfId="5" applyFont="1" applyFill="1" applyAlignment="1">
      <alignment horizontal="justify" vertical="center"/>
    </xf>
    <xf numFmtId="0" fontId="127" fillId="9" borderId="0" xfId="4" applyFont="1" applyFill="1" applyAlignment="1" applyProtection="1">
      <alignment horizontal="center" vertical="center"/>
      <protection hidden="1"/>
    </xf>
    <xf numFmtId="0" fontId="60" fillId="9" borderId="88" xfId="4" applyFont="1" applyFill="1" applyBorder="1" applyAlignment="1" applyProtection="1">
      <alignment horizontal="center" vertical="center"/>
      <protection hidden="1"/>
    </xf>
    <xf numFmtId="0" fontId="248" fillId="9" borderId="0" xfId="5" applyFont="1" applyFill="1" applyAlignment="1">
      <alignment horizontal="justify" vertical="center"/>
    </xf>
    <xf numFmtId="0" fontId="56" fillId="9" borderId="0" xfId="4" applyFont="1" applyFill="1" applyAlignment="1" applyProtection="1">
      <alignment horizontal="left" vertical="center"/>
      <protection hidden="1"/>
    </xf>
    <xf numFmtId="0" fontId="56" fillId="9" borderId="0" xfId="4" applyFont="1" applyFill="1" applyAlignment="1" applyProtection="1">
      <alignment horizontal="left" vertical="center" wrapText="1"/>
      <protection hidden="1"/>
    </xf>
    <xf numFmtId="0" fontId="17" fillId="9" borderId="0" xfId="4" applyFont="1" applyFill="1" applyAlignment="1" applyProtection="1">
      <alignment horizontal="left" vertical="center"/>
      <protection hidden="1"/>
    </xf>
    <xf numFmtId="0" fontId="249" fillId="9" borderId="0" xfId="5" applyFont="1" applyFill="1" applyAlignment="1">
      <alignment horizontal="justify" vertical="center"/>
    </xf>
    <xf numFmtId="0" fontId="46" fillId="9" borderId="0" xfId="5" applyFont="1" applyFill="1" applyAlignment="1">
      <alignment vertical="center" wrapText="1"/>
    </xf>
    <xf numFmtId="0" fontId="17" fillId="9" borderId="0" xfId="4" applyFont="1" applyFill="1" applyAlignment="1" applyProtection="1">
      <alignment vertical="center" wrapText="1"/>
      <protection hidden="1"/>
    </xf>
    <xf numFmtId="0" fontId="240" fillId="9" borderId="0" xfId="19" applyFont="1" applyFill="1" applyAlignment="1">
      <alignment horizontal="center" vertical="center"/>
    </xf>
    <xf numFmtId="0" fontId="71" fillId="9" borderId="88" xfId="4" applyFont="1" applyFill="1" applyBorder="1" applyAlignment="1">
      <alignment horizontal="center" vertical="center"/>
    </xf>
    <xf numFmtId="0" fontId="4" fillId="129" borderId="0" xfId="5" applyFont="1" applyFill="1" applyAlignment="1">
      <alignment vertical="center"/>
    </xf>
    <xf numFmtId="0" fontId="145" fillId="9" borderId="0" xfId="23" applyFont="1" applyFill="1" applyBorder="1" applyAlignment="1">
      <alignment vertical="center"/>
    </xf>
    <xf numFmtId="0" fontId="1" fillId="0" borderId="0" xfId="5"/>
    <xf numFmtId="0" fontId="46" fillId="9" borderId="0" xfId="5" applyFont="1" applyFill="1" applyAlignment="1">
      <alignment vertical="center"/>
    </xf>
    <xf numFmtId="0" fontId="56" fillId="9" borderId="0" xfId="4" applyFont="1" applyFill="1" applyAlignment="1" applyProtection="1">
      <alignment vertical="center" wrapText="1"/>
      <protection hidden="1"/>
    </xf>
    <xf numFmtId="0" fontId="0" fillId="0" borderId="116" xfId="0" applyBorder="1"/>
    <xf numFmtId="0" fontId="243" fillId="0" borderId="35" xfId="4" applyFont="1" applyBorder="1" applyAlignment="1" applyProtection="1">
      <alignment horizontal="left" vertical="center"/>
      <protection locked="0"/>
    </xf>
    <xf numFmtId="0" fontId="250" fillId="9" borderId="35" xfId="0" applyFont="1" applyFill="1" applyBorder="1"/>
    <xf numFmtId="0" fontId="252" fillId="9" borderId="0" xfId="19" applyFont="1" applyFill="1" applyAlignment="1">
      <alignment horizontal="center" vertical="center"/>
    </xf>
    <xf numFmtId="0" fontId="44" fillId="2" borderId="0" xfId="1" applyFont="1" applyFill="1" applyAlignment="1">
      <alignment horizontal="center" vertical="center"/>
    </xf>
    <xf numFmtId="0" fontId="251" fillId="9" borderId="0" xfId="4" applyFont="1" applyFill="1" applyAlignment="1" applyProtection="1">
      <alignment horizontal="center" vertical="center"/>
      <protection hidden="1"/>
    </xf>
    <xf numFmtId="0" fontId="251" fillId="9" borderId="0" xfId="4" applyFont="1" applyFill="1" applyAlignment="1" applyProtection="1">
      <alignment horizontal="left" vertical="center"/>
      <protection hidden="1"/>
    </xf>
    <xf numFmtId="0" fontId="59" fillId="9" borderId="0" xfId="4" applyFont="1" applyFill="1" applyAlignment="1">
      <alignment vertical="center"/>
    </xf>
    <xf numFmtId="0" fontId="145" fillId="9" borderId="0" xfId="23" applyFont="1" applyFill="1" applyBorder="1" applyAlignment="1" applyProtection="1">
      <alignment horizontal="right" vertical="center"/>
      <protection hidden="1"/>
    </xf>
    <xf numFmtId="0" fontId="152" fillId="9" borderId="0" xfId="23" applyFont="1" applyFill="1" applyAlignment="1">
      <alignment horizontal="left" vertical="center"/>
    </xf>
    <xf numFmtId="0" fontId="152" fillId="0" borderId="0" xfId="23" applyFont="1" applyAlignment="1">
      <alignment horizontal="left" vertical="center"/>
    </xf>
    <xf numFmtId="0" fontId="1" fillId="0" borderId="0" xfId="5" applyAlignment="1">
      <alignment wrapText="1"/>
    </xf>
    <xf numFmtId="0" fontId="0" fillId="0" borderId="0" xfId="0" applyAlignment="1">
      <alignment horizontal="center"/>
    </xf>
    <xf numFmtId="0" fontId="114" fillId="9" borderId="0" xfId="4" applyFont="1" applyFill="1" applyAlignment="1" applyProtection="1">
      <alignment horizontal="center" vertical="center"/>
      <protection hidden="1"/>
    </xf>
    <xf numFmtId="0" fontId="5" fillId="59" borderId="0" xfId="9" applyFont="1" applyFill="1" applyAlignment="1">
      <alignment vertical="center"/>
    </xf>
    <xf numFmtId="0" fontId="253" fillId="20" borderId="0" xfId="4" applyFont="1" applyFill="1" applyProtection="1">
      <protection hidden="1"/>
    </xf>
    <xf numFmtId="0" fontId="1" fillId="0" borderId="0" xfId="9"/>
    <xf numFmtId="0" fontId="98" fillId="7" borderId="48" xfId="4" applyFont="1" applyFill="1" applyBorder="1" applyAlignment="1" applyProtection="1">
      <alignment horizontal="left" vertical="center"/>
      <protection hidden="1"/>
    </xf>
    <xf numFmtId="0" fontId="98" fillId="7" borderId="48" xfId="4" applyFont="1" applyFill="1" applyBorder="1" applyAlignment="1" applyProtection="1">
      <alignment horizontal="center" vertical="center"/>
      <protection hidden="1"/>
    </xf>
    <xf numFmtId="0" fontId="76" fillId="9" borderId="48" xfId="4" applyFont="1" applyFill="1" applyBorder="1" applyAlignment="1" applyProtection="1">
      <alignment horizontal="center" vertical="center"/>
      <protection hidden="1"/>
    </xf>
    <xf numFmtId="0" fontId="251" fillId="17" borderId="48" xfId="4" applyFont="1" applyFill="1" applyBorder="1" applyAlignment="1" applyProtection="1">
      <alignment horizontal="center" vertical="center"/>
      <protection hidden="1"/>
    </xf>
    <xf numFmtId="0" fontId="76" fillId="17" borderId="48" xfId="4" applyFont="1" applyFill="1" applyBorder="1" applyAlignment="1" applyProtection="1">
      <alignment horizontal="left" vertical="center"/>
      <protection hidden="1"/>
    </xf>
    <xf numFmtId="0" fontId="0" fillId="17" borderId="0" xfId="0" applyFill="1"/>
    <xf numFmtId="0" fontId="76" fillId="9" borderId="48" xfId="4" applyFont="1" applyFill="1" applyBorder="1" applyAlignment="1" applyProtection="1">
      <alignment horizontal="left" vertical="center"/>
      <protection hidden="1"/>
    </xf>
    <xf numFmtId="0" fontId="98" fillId="9" borderId="48" xfId="4" applyFont="1" applyFill="1" applyBorder="1" applyAlignment="1" applyProtection="1">
      <alignment horizontal="left" vertical="center"/>
      <protection hidden="1"/>
    </xf>
    <xf numFmtId="0" fontId="114" fillId="9" borderId="48" xfId="4" applyFont="1" applyFill="1" applyBorder="1" applyAlignment="1" applyProtection="1">
      <alignment horizontal="center" vertical="center"/>
      <protection hidden="1"/>
    </xf>
    <xf numFmtId="0" fontId="79" fillId="9" borderId="48" xfId="4" applyFont="1" applyFill="1" applyBorder="1" applyAlignment="1" applyProtection="1">
      <alignment horizontal="center" vertical="center"/>
      <protection hidden="1"/>
    </xf>
    <xf numFmtId="0" fontId="67" fillId="9" borderId="48" xfId="4" applyFont="1" applyFill="1" applyBorder="1" applyAlignment="1" applyProtection="1">
      <alignment horizontal="left" vertical="center"/>
      <protection hidden="1"/>
    </xf>
    <xf numFmtId="0" fontId="72" fillId="7" borderId="0" xfId="4" applyFont="1" applyFill="1" applyAlignment="1" applyProtection="1">
      <alignment horizontal="left" vertical="center"/>
      <protection hidden="1"/>
    </xf>
    <xf numFmtId="0" fontId="101" fillId="0" borderId="0" xfId="0" applyFont="1"/>
    <xf numFmtId="0" fontId="0" fillId="0" borderId="0" xfId="0" applyAlignment="1">
      <alignment horizontal="right" vertical="center"/>
    </xf>
    <xf numFmtId="0" fontId="62" fillId="0" borderId="0" xfId="14"/>
    <xf numFmtId="0" fontId="65" fillId="0" borderId="0" xfId="0" applyFont="1" applyAlignment="1">
      <alignment vertical="center"/>
    </xf>
    <xf numFmtId="0" fontId="65" fillId="0" borderId="0" xfId="0" applyFont="1" applyAlignment="1">
      <alignment horizontal="center" vertical="center"/>
    </xf>
    <xf numFmtId="0" fontId="4" fillId="0" borderId="0" xfId="0" applyFont="1" applyAlignment="1">
      <alignment horizontal="left" vertical="center"/>
    </xf>
    <xf numFmtId="0" fontId="89" fillId="0" borderId="0" xfId="4" applyFont="1" applyAlignment="1">
      <alignment horizontal="center" vertical="center"/>
    </xf>
    <xf numFmtId="0" fontId="1" fillId="9" borderId="0" xfId="9" applyFill="1"/>
    <xf numFmtId="0" fontId="8" fillId="9" borderId="0" xfId="4" applyFill="1" applyProtection="1">
      <protection hidden="1"/>
    </xf>
    <xf numFmtId="0" fontId="68" fillId="9" borderId="0" xfId="21" applyFont="1" applyFill="1" applyAlignment="1">
      <alignment vertical="center"/>
    </xf>
    <xf numFmtId="0" fontId="255" fillId="9" borderId="0" xfId="4" applyFont="1" applyFill="1" applyAlignment="1">
      <alignment vertical="center"/>
    </xf>
    <xf numFmtId="0" fontId="68" fillId="9" borderId="0" xfId="21" applyFont="1" applyFill="1" applyAlignment="1">
      <alignment horizontal="left" vertical="center"/>
    </xf>
    <xf numFmtId="0" fontId="256" fillId="9" borderId="0" xfId="4" applyFont="1" applyFill="1" applyAlignment="1">
      <alignment vertical="center"/>
    </xf>
    <xf numFmtId="0" fontId="10" fillId="63" borderId="0" xfId="7" applyFont="1" applyFill="1" applyAlignment="1">
      <alignment horizontal="center" vertical="center"/>
    </xf>
    <xf numFmtId="0" fontId="68" fillId="5" borderId="0" xfId="9" applyFont="1" applyFill="1" applyAlignment="1">
      <alignment horizontal="center" vertical="center"/>
    </xf>
    <xf numFmtId="0" fontId="257" fillId="9" borderId="0" xfId="4" applyFont="1" applyFill="1" applyAlignment="1" applyProtection="1">
      <alignment vertical="center"/>
      <protection hidden="1"/>
    </xf>
    <xf numFmtId="0" fontId="92" fillId="9" borderId="0" xfId="34" applyFill="1" applyBorder="1" applyAlignment="1">
      <alignment vertical="center"/>
    </xf>
    <xf numFmtId="0" fontId="69" fillId="9" borderId="0" xfId="10" applyFont="1" applyFill="1" applyAlignment="1">
      <alignment horizontal="center" vertical="center"/>
    </xf>
    <xf numFmtId="0" fontId="255" fillId="9" borderId="0" xfId="4" applyFont="1" applyFill="1" applyAlignment="1">
      <alignment horizontal="center" vertical="center"/>
    </xf>
    <xf numFmtId="0" fontId="258" fillId="9" borderId="0" xfId="4" applyFont="1" applyFill="1" applyAlignment="1">
      <alignment vertical="center"/>
    </xf>
    <xf numFmtId="0" fontId="95" fillId="9" borderId="0" xfId="21" applyFont="1" applyFill="1"/>
    <xf numFmtId="0" fontId="23" fillId="9" borderId="0" xfId="4" applyFont="1" applyFill="1" applyAlignment="1">
      <alignment horizontal="left" vertical="center"/>
    </xf>
    <xf numFmtId="0" fontId="259" fillId="9" borderId="0" xfId="15" applyFont="1" applyFill="1" applyAlignment="1">
      <alignment vertical="center"/>
    </xf>
    <xf numFmtId="0" fontId="8" fillId="9" borderId="0" xfId="15" applyFont="1" applyFill="1"/>
    <xf numFmtId="0" fontId="36" fillId="9" borderId="0" xfId="15" applyFont="1" applyFill="1"/>
    <xf numFmtId="0" fontId="46" fillId="9" borderId="0" xfId="9" applyFont="1" applyFill="1" applyAlignment="1">
      <alignment vertical="center"/>
    </xf>
    <xf numFmtId="0" fontId="46" fillId="9" borderId="0" xfId="9" applyFont="1" applyFill="1" applyAlignment="1">
      <alignment horizontal="center" vertical="center"/>
    </xf>
    <xf numFmtId="0" fontId="260" fillId="9" borderId="0" xfId="4" applyFont="1" applyFill="1"/>
    <xf numFmtId="0" fontId="95" fillId="9" borderId="0" xfId="21" applyFont="1" applyFill="1" applyAlignment="1">
      <alignment horizontal="center"/>
    </xf>
    <xf numFmtId="0" fontId="261" fillId="72" borderId="33" xfId="4" applyFont="1" applyFill="1" applyBorder="1" applyAlignment="1">
      <alignment horizontal="center" vertical="center"/>
    </xf>
    <xf numFmtId="0" fontId="5" fillId="9" borderId="0" xfId="9" applyFont="1" applyFill="1" applyAlignment="1">
      <alignment vertical="center"/>
    </xf>
    <xf numFmtId="0" fontId="255" fillId="2" borderId="126" xfId="4" applyFont="1" applyFill="1" applyBorder="1" applyAlignment="1">
      <alignment horizontal="center" vertical="center"/>
    </xf>
    <xf numFmtId="0" fontId="262" fillId="72" borderId="126" xfId="4" applyFont="1" applyFill="1" applyBorder="1" applyAlignment="1">
      <alignment horizontal="center" vertical="center"/>
    </xf>
    <xf numFmtId="0" fontId="11" fillId="9" borderId="2" xfId="4" applyFont="1" applyFill="1" applyBorder="1" applyAlignment="1" applyProtection="1">
      <alignment horizontal="center" vertical="center"/>
      <protection hidden="1"/>
    </xf>
    <xf numFmtId="0" fontId="1" fillId="5" borderId="209" xfId="9" applyFill="1" applyBorder="1" applyAlignment="1">
      <alignment horizontal="center" vertical="center"/>
    </xf>
    <xf numFmtId="0" fontId="92" fillId="9" borderId="59" xfId="34" applyFill="1" applyBorder="1" applyAlignment="1">
      <alignment vertical="center"/>
    </xf>
    <xf numFmtId="0" fontId="255" fillId="9" borderId="59" xfId="4" applyFont="1" applyFill="1" applyBorder="1" applyAlignment="1">
      <alignment horizontal="center" vertical="center"/>
    </xf>
    <xf numFmtId="0" fontId="255" fillId="9" borderId="210" xfId="4" applyFont="1" applyFill="1" applyBorder="1" applyAlignment="1">
      <alignment horizontal="center" vertical="center"/>
    </xf>
    <xf numFmtId="0" fontId="1" fillId="9" borderId="132" xfId="9" applyFill="1" applyBorder="1" applyAlignment="1">
      <alignment horizontal="center" vertical="center"/>
    </xf>
    <xf numFmtId="0" fontId="92" fillId="9" borderId="58" xfId="34" applyFill="1" applyBorder="1" applyAlignment="1">
      <alignment vertical="center"/>
    </xf>
    <xf numFmtId="0" fontId="8" fillId="9" borderId="88" xfId="4" applyFill="1" applyBorder="1" applyAlignment="1">
      <alignment horizontal="center" vertical="center" wrapText="1"/>
    </xf>
    <xf numFmtId="0" fontId="8" fillId="9" borderId="0" xfId="4" applyFill="1" applyAlignment="1">
      <alignment horizontal="center" vertical="center" wrapText="1"/>
    </xf>
    <xf numFmtId="0" fontId="62" fillId="9" borderId="2" xfId="35" applyFill="1" applyBorder="1" applyAlignment="1">
      <alignment vertical="center" wrapText="1"/>
    </xf>
    <xf numFmtId="0" fontId="62" fillId="9" borderId="0" xfId="35" applyFill="1" applyBorder="1" applyAlignment="1">
      <alignment vertical="center" wrapText="1"/>
    </xf>
    <xf numFmtId="0" fontId="1" fillId="9" borderId="4" xfId="9" applyFill="1" applyBorder="1"/>
    <xf numFmtId="0" fontId="1" fillId="9" borderId="2" xfId="9" applyFill="1" applyBorder="1"/>
    <xf numFmtId="0" fontId="1" fillId="5" borderId="132" xfId="9" applyFill="1" applyBorder="1" applyAlignment="1">
      <alignment horizontal="center" vertical="center"/>
    </xf>
    <xf numFmtId="0" fontId="69" fillId="9" borderId="58" xfId="10" applyFont="1" applyFill="1" applyBorder="1" applyAlignment="1">
      <alignment horizontal="center" vertical="center"/>
    </xf>
    <xf numFmtId="0" fontId="255" fillId="9" borderId="0" xfId="4" applyFont="1" applyFill="1" applyAlignment="1">
      <alignment horizontal="centerContinuous" vertical="center"/>
    </xf>
    <xf numFmtId="0" fontId="8" fillId="1" borderId="0" xfId="4" applyFill="1" applyAlignment="1">
      <alignment vertical="center"/>
    </xf>
    <xf numFmtId="0" fontId="8" fillId="1" borderId="4" xfId="4" applyFill="1" applyBorder="1" applyAlignment="1">
      <alignment vertical="center"/>
    </xf>
    <xf numFmtId="0" fontId="8" fillId="9" borderId="0" xfId="4" applyFill="1" applyAlignment="1">
      <alignment horizontal="center" vertical="center"/>
    </xf>
    <xf numFmtId="0" fontId="8" fillId="9" borderId="0" xfId="4" applyFill="1" applyAlignment="1">
      <alignment horizontal="centerContinuous" vertical="center"/>
    </xf>
    <xf numFmtId="0" fontId="8" fillId="9" borderId="4" xfId="4" applyFill="1" applyBorder="1" applyAlignment="1">
      <alignment horizontal="center" vertical="center"/>
    </xf>
    <xf numFmtId="0" fontId="1" fillId="9" borderId="3" xfId="9" applyFill="1" applyBorder="1"/>
    <xf numFmtId="0" fontId="8" fillId="9" borderId="1" xfId="4" applyFill="1" applyBorder="1" applyAlignment="1">
      <alignment horizontal="center" vertical="center"/>
    </xf>
    <xf numFmtId="0" fontId="8" fillId="9" borderId="1" xfId="4" applyFill="1" applyBorder="1" applyAlignment="1">
      <alignment horizontal="centerContinuous" vertical="center"/>
    </xf>
    <xf numFmtId="0" fontId="8" fillId="9" borderId="3" xfId="4" applyFill="1" applyBorder="1" applyAlignment="1">
      <alignment horizontal="center" vertical="center"/>
    </xf>
    <xf numFmtId="0" fontId="49" fillId="9" borderId="0" xfId="4" applyFont="1" applyFill="1" applyAlignment="1" applyProtection="1">
      <alignment vertical="center"/>
      <protection hidden="1"/>
    </xf>
    <xf numFmtId="0" fontId="11" fillId="129" borderId="0" xfId="4" applyFont="1" applyFill="1" applyAlignment="1" applyProtection="1">
      <alignment horizontal="center" vertical="center"/>
      <protection hidden="1"/>
    </xf>
    <xf numFmtId="0" fontId="265" fillId="9" borderId="0" xfId="35" applyFont="1" applyFill="1" applyAlignment="1" applyProtection="1">
      <alignment vertical="center"/>
      <protection hidden="1"/>
    </xf>
    <xf numFmtId="0" fontId="266" fillId="9" borderId="0" xfId="4" applyFont="1" applyFill="1" applyAlignment="1" applyProtection="1">
      <alignment vertical="center"/>
      <protection hidden="1"/>
    </xf>
    <xf numFmtId="0" fontId="267" fillId="9" borderId="0" xfId="35" applyFont="1" applyFill="1" applyAlignment="1" applyProtection="1">
      <alignment vertical="center"/>
      <protection hidden="1"/>
    </xf>
    <xf numFmtId="0" fontId="270" fillId="9" borderId="0" xfId="35" applyFont="1" applyFill="1" applyAlignment="1" applyProtection="1">
      <alignment vertical="center"/>
      <protection hidden="1"/>
    </xf>
    <xf numFmtId="0" fontId="145" fillId="9" borderId="0" xfId="14" applyFont="1" applyFill="1" applyAlignment="1" applyProtection="1">
      <alignment horizontal="left" vertical="center"/>
      <protection hidden="1"/>
    </xf>
    <xf numFmtId="0" fontId="137" fillId="0" borderId="0" xfId="9" applyFont="1"/>
    <xf numFmtId="0" fontId="145" fillId="0" borderId="0" xfId="14" applyFont="1" applyAlignment="1">
      <alignment horizontal="left" vertical="center"/>
    </xf>
    <xf numFmtId="0" fontId="1" fillId="5" borderId="38" xfId="9" applyFill="1" applyBorder="1" applyAlignment="1">
      <alignment horizontal="center" vertical="center"/>
    </xf>
    <xf numFmtId="0" fontId="23" fillId="9" borderId="35" xfId="4" applyFont="1" applyFill="1" applyBorder="1" applyAlignment="1">
      <alignment horizontal="left" vertical="center"/>
    </xf>
    <xf numFmtId="0" fontId="271" fillId="9" borderId="0" xfId="15" applyFont="1" applyFill="1" applyAlignment="1">
      <alignment horizontal="right" vertical="center"/>
    </xf>
    <xf numFmtId="2" fontId="278" fillId="63" borderId="243" xfId="19" applyNumberFormat="1" applyFont="1" applyFill="1" applyBorder="1" applyAlignment="1">
      <alignment horizontal="center" vertical="center"/>
    </xf>
    <xf numFmtId="171" fontId="278" fillId="63" borderId="243" xfId="19" applyNumberFormat="1" applyFont="1" applyFill="1" applyBorder="1" applyAlignment="1">
      <alignment horizontal="center" vertical="center"/>
    </xf>
    <xf numFmtId="169" fontId="278" fillId="63" borderId="243" xfId="37" applyNumberFormat="1" applyFont="1" applyFill="1" applyBorder="1" applyAlignment="1" applyProtection="1">
      <alignment horizontal="center" vertical="center"/>
      <protection locked="0"/>
    </xf>
    <xf numFmtId="0" fontId="279" fillId="93" borderId="243" xfId="19" applyFont="1" applyFill="1" applyBorder="1" applyAlignment="1">
      <alignment horizontal="center" vertical="center"/>
    </xf>
    <xf numFmtId="0" fontId="281" fillId="130" borderId="41" xfId="15" applyFont="1" applyFill="1" applyBorder="1" applyAlignment="1">
      <alignment vertical="center"/>
    </xf>
    <xf numFmtId="0" fontId="281" fillId="130" borderId="40" xfId="15" applyFont="1" applyFill="1" applyBorder="1" applyAlignment="1">
      <alignment vertical="center"/>
    </xf>
    <xf numFmtId="0" fontId="281" fillId="130" borderId="39" xfId="15" applyFont="1" applyFill="1" applyBorder="1" applyAlignment="1">
      <alignment horizontal="right" vertical="center"/>
    </xf>
    <xf numFmtId="0" fontId="283" fillId="112" borderId="108" xfId="15" applyFont="1" applyFill="1" applyBorder="1" applyAlignment="1" applyProtection="1">
      <alignment horizontal="center" vertical="center"/>
      <protection locked="0"/>
    </xf>
    <xf numFmtId="0" fontId="283" fillId="112" borderId="108" xfId="15" applyFont="1" applyFill="1" applyBorder="1" applyAlignment="1" applyProtection="1">
      <alignment horizontal="left" vertical="center"/>
      <protection locked="0"/>
    </xf>
    <xf numFmtId="0" fontId="284" fillId="131" borderId="48" xfId="15" applyFont="1" applyFill="1" applyBorder="1" applyAlignment="1" applyProtection="1">
      <alignment horizontal="center" vertical="center"/>
      <protection locked="0"/>
    </xf>
    <xf numFmtId="1" fontId="285" fillId="112" borderId="174" xfId="15" applyNumberFormat="1" applyFont="1" applyFill="1" applyBorder="1" applyAlignment="1" applyProtection="1">
      <alignment horizontal="center" vertical="center"/>
      <protection locked="0"/>
    </xf>
    <xf numFmtId="221" fontId="276" fillId="63" borderId="108" xfId="15" applyNumberFormat="1" applyFont="1" applyFill="1" applyBorder="1" applyAlignment="1" applyProtection="1">
      <alignment horizontal="right" vertical="center"/>
      <protection locked="0"/>
    </xf>
    <xf numFmtId="222" fontId="276" fillId="63" borderId="108" xfId="21" applyNumberFormat="1" applyFont="1" applyFill="1" applyBorder="1" applyAlignment="1">
      <alignment horizontal="center" vertical="center"/>
    </xf>
    <xf numFmtId="1" fontId="8" fillId="63" borderId="254" xfId="15" applyNumberFormat="1" applyFont="1" applyFill="1" applyBorder="1" applyAlignment="1" applyProtection="1">
      <alignment horizontal="left" vertical="center"/>
      <protection locked="0"/>
    </xf>
    <xf numFmtId="221" fontId="276" fillId="63" borderId="174" xfId="15" applyNumberFormat="1" applyFont="1" applyFill="1" applyBorder="1" applyAlignment="1" applyProtection="1">
      <alignment horizontal="right" vertical="center"/>
      <protection locked="0"/>
    </xf>
    <xf numFmtId="1" fontId="8" fillId="63" borderId="255" xfId="15" applyNumberFormat="1" applyFont="1" applyFill="1" applyBorder="1" applyAlignment="1" applyProtection="1">
      <alignment horizontal="left" vertical="center"/>
      <protection locked="0"/>
    </xf>
    <xf numFmtId="0" fontId="284" fillId="81" borderId="48" xfId="15" applyFont="1" applyFill="1" applyBorder="1" applyAlignment="1" applyProtection="1">
      <alignment horizontal="center" vertical="center"/>
      <protection locked="0"/>
    </xf>
    <xf numFmtId="1" fontId="285" fillId="112" borderId="256" xfId="15" applyNumberFormat="1" applyFont="1" applyFill="1" applyBorder="1" applyAlignment="1" applyProtection="1">
      <alignment horizontal="center" vertical="center"/>
      <protection locked="0"/>
    </xf>
    <xf numFmtId="221" fontId="276" fillId="63" borderId="257" xfId="15" applyNumberFormat="1" applyFont="1" applyFill="1" applyBorder="1" applyAlignment="1" applyProtection="1">
      <alignment horizontal="right" vertical="center"/>
      <protection locked="0"/>
    </xf>
    <xf numFmtId="222" fontId="276" fillId="63" borderId="257" xfId="21" applyNumberFormat="1" applyFont="1" applyFill="1" applyBorder="1" applyAlignment="1">
      <alignment horizontal="center" vertical="center"/>
    </xf>
    <xf numFmtId="1" fontId="8" fillId="63" borderId="258" xfId="15" applyNumberFormat="1" applyFont="1" applyFill="1" applyBorder="1" applyAlignment="1" applyProtection="1">
      <alignment horizontal="left" vertical="center"/>
      <protection locked="0"/>
    </xf>
    <xf numFmtId="221" fontId="276" fillId="63" borderId="256" xfId="15" applyNumberFormat="1" applyFont="1" applyFill="1" applyBorder="1" applyAlignment="1" applyProtection="1">
      <alignment horizontal="right" vertical="center"/>
      <protection locked="0"/>
    </xf>
    <xf numFmtId="1" fontId="8" fillId="63" borderId="259" xfId="15" applyNumberFormat="1" applyFont="1" applyFill="1" applyBorder="1" applyAlignment="1" applyProtection="1">
      <alignment horizontal="left" vertical="center"/>
      <protection locked="0"/>
    </xf>
    <xf numFmtId="0" fontId="286" fillId="129" borderId="41" xfId="15" applyFont="1" applyFill="1" applyBorder="1" applyAlignment="1">
      <alignment vertical="center"/>
    </xf>
    <xf numFmtId="0" fontId="286" fillId="129" borderId="40" xfId="15" applyFont="1" applyFill="1" applyBorder="1" applyAlignment="1">
      <alignment vertical="center"/>
    </xf>
    <xf numFmtId="0" fontId="286" fillId="129" borderId="39" xfId="15" applyFont="1" applyFill="1" applyBorder="1" applyAlignment="1">
      <alignment horizontal="right" vertical="center"/>
    </xf>
    <xf numFmtId="182" fontId="284" fillId="131" borderId="48" xfId="15" applyNumberFormat="1" applyFont="1" applyFill="1" applyBorder="1" applyAlignment="1" applyProtection="1">
      <alignment horizontal="center" vertical="center"/>
      <protection locked="0"/>
    </xf>
    <xf numFmtId="182" fontId="285" fillId="112" borderId="174" xfId="15" applyNumberFormat="1" applyFont="1" applyFill="1" applyBorder="1" applyAlignment="1" applyProtection="1">
      <alignment horizontal="center" vertical="center"/>
      <protection locked="0"/>
    </xf>
    <xf numFmtId="223" fontId="276" fillId="63" borderId="108" xfId="21" applyNumberFormat="1" applyFont="1" applyFill="1" applyBorder="1" applyAlignment="1">
      <alignment horizontal="center" vertical="center"/>
    </xf>
    <xf numFmtId="1" fontId="8" fillId="63" borderId="109" xfId="15" applyNumberFormat="1" applyFont="1" applyFill="1" applyBorder="1" applyAlignment="1" applyProtection="1">
      <alignment horizontal="left" vertical="center"/>
      <protection locked="0"/>
    </xf>
    <xf numFmtId="0" fontId="283" fillId="112" borderId="254" xfId="15" applyFont="1" applyFill="1" applyBorder="1" applyAlignment="1" applyProtection="1">
      <alignment horizontal="left" vertical="center"/>
      <protection locked="0"/>
    </xf>
    <xf numFmtId="0" fontId="283" fillId="112" borderId="6" xfId="15" applyFont="1" applyFill="1" applyBorder="1" applyAlignment="1" applyProtection="1">
      <alignment horizontal="center" vertical="center"/>
      <protection locked="0"/>
    </xf>
    <xf numFmtId="0" fontId="283" fillId="112" borderId="6" xfId="15" applyFont="1" applyFill="1" applyBorder="1" applyAlignment="1" applyProtection="1">
      <alignment horizontal="left" vertical="center"/>
      <protection locked="0"/>
    </xf>
    <xf numFmtId="182" fontId="284" fillId="131" borderId="262" xfId="15" applyNumberFormat="1" applyFont="1" applyFill="1" applyBorder="1" applyAlignment="1" applyProtection="1">
      <alignment horizontal="center" vertical="center"/>
      <protection locked="0"/>
    </xf>
    <xf numFmtId="182" fontId="285" fillId="112" borderId="263" xfId="15" applyNumberFormat="1" applyFont="1" applyFill="1" applyBorder="1" applyAlignment="1" applyProtection="1">
      <alignment horizontal="center" vertical="center"/>
      <protection locked="0"/>
    </xf>
    <xf numFmtId="221" fontId="276" fillId="63" borderId="6" xfId="15" applyNumberFormat="1" applyFont="1" applyFill="1" applyBorder="1" applyAlignment="1" applyProtection="1">
      <alignment horizontal="right" vertical="center"/>
      <protection locked="0"/>
    </xf>
    <xf numFmtId="223" fontId="276" fillId="63" borderId="6" xfId="21" applyNumberFormat="1" applyFont="1" applyFill="1" applyBorder="1" applyAlignment="1">
      <alignment horizontal="center" vertical="center"/>
    </xf>
    <xf numFmtId="1" fontId="8" fillId="63" borderId="76" xfId="15" applyNumberFormat="1" applyFont="1" applyFill="1" applyBorder="1" applyAlignment="1" applyProtection="1">
      <alignment horizontal="left" vertical="center"/>
      <protection locked="0"/>
    </xf>
    <xf numFmtId="221" fontId="276" fillId="63" borderId="263" xfId="15" applyNumberFormat="1" applyFont="1" applyFill="1" applyBorder="1" applyAlignment="1" applyProtection="1">
      <alignment horizontal="right" vertical="center"/>
      <protection locked="0"/>
    </xf>
    <xf numFmtId="222" fontId="276" fillId="63" borderId="6" xfId="21" applyNumberFormat="1" applyFont="1" applyFill="1" applyBorder="1" applyAlignment="1">
      <alignment horizontal="center" vertical="center"/>
    </xf>
    <xf numFmtId="1" fontId="8" fillId="63" borderId="5" xfId="15" applyNumberFormat="1" applyFont="1" applyFill="1" applyBorder="1" applyAlignment="1" applyProtection="1">
      <alignment horizontal="left" vertical="center"/>
      <protection locked="0"/>
    </xf>
    <xf numFmtId="0" fontId="39" fillId="9" borderId="264" xfId="21" applyFill="1" applyBorder="1"/>
    <xf numFmtId="0" fontId="282" fillId="11" borderId="265" xfId="15" applyFont="1" applyFill="1" applyBorder="1" applyAlignment="1" applyProtection="1">
      <alignment horizontal="right" vertical="center" wrapText="1"/>
      <protection locked="0"/>
    </xf>
    <xf numFmtId="0" fontId="283" fillId="11" borderId="265" xfId="15" applyFont="1" applyFill="1" applyBorder="1" applyAlignment="1" applyProtection="1">
      <alignment horizontal="center" vertical="center"/>
      <protection locked="0"/>
    </xf>
    <xf numFmtId="0" fontId="283" fillId="11" borderId="265" xfId="15" applyFont="1" applyFill="1" applyBorder="1" applyAlignment="1" applyProtection="1">
      <alignment horizontal="left" vertical="center"/>
      <protection locked="0"/>
    </xf>
    <xf numFmtId="182" fontId="284" fillId="11" borderId="265" xfId="15" applyNumberFormat="1" applyFont="1" applyFill="1" applyBorder="1" applyAlignment="1" applyProtection="1">
      <alignment horizontal="center" vertical="center"/>
      <protection locked="0"/>
    </xf>
    <xf numFmtId="182" fontId="285" fillId="11" borderId="265" xfId="15" applyNumberFormat="1" applyFont="1" applyFill="1" applyBorder="1" applyAlignment="1" applyProtection="1">
      <alignment horizontal="center" vertical="center"/>
      <protection locked="0"/>
    </xf>
    <xf numFmtId="0" fontId="285" fillId="9" borderId="265" xfId="15" applyFont="1" applyFill="1" applyBorder="1" applyAlignment="1" applyProtection="1">
      <alignment horizontal="left" vertical="center"/>
      <protection locked="0"/>
    </xf>
    <xf numFmtId="221" fontId="276" fillId="9" borderId="265" xfId="15" applyNumberFormat="1" applyFont="1" applyFill="1" applyBorder="1" applyAlignment="1" applyProtection="1">
      <alignment horizontal="right" vertical="center"/>
      <protection locked="0"/>
    </xf>
    <xf numFmtId="223" fontId="276" fillId="9" borderId="265" xfId="21" applyNumberFormat="1" applyFont="1" applyFill="1" applyBorder="1" applyAlignment="1">
      <alignment horizontal="center" vertical="center"/>
    </xf>
    <xf numFmtId="1" fontId="8" fillId="9" borderId="265" xfId="15" applyNumberFormat="1" applyFont="1" applyFill="1" applyBorder="1" applyAlignment="1" applyProtection="1">
      <alignment horizontal="left" vertical="center"/>
      <protection locked="0"/>
    </xf>
    <xf numFmtId="222" fontId="276" fillId="9" borderId="265" xfId="21" applyNumberFormat="1" applyFont="1" applyFill="1" applyBorder="1" applyAlignment="1">
      <alignment horizontal="center" vertical="center"/>
    </xf>
    <xf numFmtId="1" fontId="8" fillId="9" borderId="266" xfId="15" applyNumberFormat="1" applyFont="1" applyFill="1" applyBorder="1" applyAlignment="1" applyProtection="1">
      <alignment horizontal="left" vertical="center"/>
      <protection locked="0"/>
    </xf>
    <xf numFmtId="0" fontId="39" fillId="9" borderId="132" xfId="21" applyFill="1" applyBorder="1" applyAlignment="1">
      <alignment vertical="center"/>
    </xf>
    <xf numFmtId="0" fontId="282" fillId="11" borderId="59" xfId="15" applyFont="1" applyFill="1" applyBorder="1" applyAlignment="1" applyProtection="1">
      <alignment horizontal="right" vertical="center" wrapText="1"/>
      <protection locked="0"/>
    </xf>
    <xf numFmtId="0" fontId="283" fillId="11" borderId="59" xfId="15" applyFont="1" applyFill="1" applyBorder="1" applyAlignment="1" applyProtection="1">
      <alignment horizontal="center" vertical="center"/>
      <protection locked="0"/>
    </xf>
    <xf numFmtId="0" fontId="283" fillId="11" borderId="59" xfId="15" applyFont="1" applyFill="1" applyBorder="1" applyAlignment="1" applyProtection="1">
      <alignment horizontal="left" vertical="center"/>
      <protection locked="0"/>
    </xf>
    <xf numFmtId="182" fontId="284" fillId="11" borderId="59" xfId="15" applyNumberFormat="1" applyFont="1" applyFill="1" applyBorder="1" applyAlignment="1" applyProtection="1">
      <alignment horizontal="center" vertical="center"/>
      <protection locked="0"/>
    </xf>
    <xf numFmtId="182" fontId="285" fillId="11" borderId="59" xfId="15" applyNumberFormat="1" applyFont="1" applyFill="1" applyBorder="1" applyAlignment="1" applyProtection="1">
      <alignment horizontal="center" vertical="center"/>
      <protection locked="0"/>
    </xf>
    <xf numFmtId="0" fontId="285" fillId="9" borderId="59" xfId="15" applyFont="1" applyFill="1" applyBorder="1" applyAlignment="1" applyProtection="1">
      <alignment horizontal="left" vertical="center"/>
      <protection locked="0"/>
    </xf>
    <xf numFmtId="221" fontId="276" fillId="9" borderId="59" xfId="15" applyNumberFormat="1" applyFont="1" applyFill="1" applyBorder="1" applyAlignment="1" applyProtection="1">
      <alignment horizontal="right" vertical="center"/>
      <protection locked="0"/>
    </xf>
    <xf numFmtId="223" fontId="276" fillId="9" borderId="59" xfId="21" applyNumberFormat="1" applyFont="1" applyFill="1" applyBorder="1" applyAlignment="1">
      <alignment horizontal="center" vertical="center"/>
    </xf>
    <xf numFmtId="1" fontId="8" fillId="9" borderId="59" xfId="15" applyNumberFormat="1" applyFont="1" applyFill="1" applyBorder="1" applyAlignment="1" applyProtection="1">
      <alignment horizontal="left" vertical="center"/>
      <protection locked="0"/>
    </xf>
    <xf numFmtId="222" fontId="276" fillId="9" borderId="59" xfId="21" applyNumberFormat="1" applyFont="1" applyFill="1" applyBorder="1" applyAlignment="1">
      <alignment horizontal="center" vertical="center"/>
    </xf>
    <xf numFmtId="1" fontId="8" fillId="9" borderId="58" xfId="15" applyNumberFormat="1" applyFont="1" applyFill="1" applyBorder="1" applyAlignment="1" applyProtection="1">
      <alignment horizontal="left" vertical="center"/>
      <protection locked="0"/>
    </xf>
    <xf numFmtId="221" fontId="276" fillId="132" borderId="0" xfId="15" applyNumberFormat="1" applyFont="1" applyFill="1" applyAlignment="1" applyProtection="1">
      <alignment horizontal="right" vertical="center"/>
      <protection locked="0"/>
    </xf>
    <xf numFmtId="222" fontId="276" fillId="132" borderId="0" xfId="21" applyNumberFormat="1" applyFont="1" applyFill="1" applyAlignment="1">
      <alignment horizontal="center" vertical="center"/>
    </xf>
    <xf numFmtId="1" fontId="8" fillId="132" borderId="0" xfId="15" applyNumberFormat="1" applyFont="1" applyFill="1" applyAlignment="1" applyProtection="1">
      <alignment horizontal="left" vertical="center"/>
      <protection locked="0"/>
    </xf>
    <xf numFmtId="0" fontId="255" fillId="2" borderId="268" xfId="4" applyFont="1" applyFill="1" applyBorder="1" applyAlignment="1">
      <alignment horizontal="center" vertical="center"/>
    </xf>
    <xf numFmtId="0" fontId="46" fillId="9" borderId="59" xfId="9" applyFont="1" applyFill="1" applyBorder="1" applyAlignment="1">
      <alignment horizontal="center" vertical="center"/>
    </xf>
    <xf numFmtId="0" fontId="46" fillId="9" borderId="58" xfId="9" applyFont="1" applyFill="1" applyBorder="1" applyAlignment="1">
      <alignment horizontal="center" vertical="center"/>
    </xf>
    <xf numFmtId="0" fontId="283" fillId="11" borderId="0" xfId="15" applyFont="1" applyFill="1" applyAlignment="1" applyProtection="1">
      <alignment horizontal="center" vertical="center"/>
      <protection locked="0"/>
    </xf>
    <xf numFmtId="0" fontId="283" fillId="11" borderId="4" xfId="15" applyFont="1" applyFill="1" applyBorder="1" applyAlignment="1" applyProtection="1">
      <alignment horizontal="left" vertical="center"/>
      <protection locked="0"/>
    </xf>
    <xf numFmtId="0" fontId="36" fillId="130" borderId="2" xfId="15" applyFont="1" applyFill="1" applyBorder="1" applyAlignment="1">
      <alignment vertical="center"/>
    </xf>
    <xf numFmtId="0" fontId="36" fillId="130" borderId="0" xfId="15" applyFont="1" applyFill="1" applyAlignment="1">
      <alignment vertical="center"/>
    </xf>
    <xf numFmtId="0" fontId="36" fillId="130" borderId="4" xfId="15" applyFont="1" applyFill="1" applyBorder="1" applyAlignment="1">
      <alignment vertical="center"/>
    </xf>
    <xf numFmtId="0" fontId="283" fillId="11" borderId="1" xfId="15" applyFont="1" applyFill="1" applyBorder="1" applyAlignment="1" applyProtection="1">
      <alignment horizontal="center" vertical="center"/>
      <protection locked="0"/>
    </xf>
    <xf numFmtId="0" fontId="283" fillId="11" borderId="3" xfId="15" applyFont="1" applyFill="1" applyBorder="1" applyAlignment="1" applyProtection="1">
      <alignment horizontal="left" vertical="center"/>
      <protection locked="0"/>
    </xf>
    <xf numFmtId="0" fontId="255" fillId="91" borderId="268" xfId="4" applyFont="1" applyFill="1" applyBorder="1" applyAlignment="1">
      <alignment horizontal="center" vertical="center"/>
    </xf>
    <xf numFmtId="0" fontId="23" fillId="9" borderId="267" xfId="4" applyFont="1" applyFill="1" applyBorder="1" applyAlignment="1">
      <alignment horizontal="left" vertical="center"/>
    </xf>
    <xf numFmtId="0" fontId="92" fillId="9" borderId="267" xfId="34" applyFill="1" applyBorder="1" applyAlignment="1">
      <alignment vertical="center"/>
    </xf>
    <xf numFmtId="0" fontId="92" fillId="9" borderId="34" xfId="34" applyFill="1" applyBorder="1" applyAlignment="1">
      <alignment vertical="center"/>
    </xf>
    <xf numFmtId="200" fontId="69" fillId="134" borderId="2" xfId="10" applyNumberFormat="1" applyFont="1" applyFill="1" applyBorder="1" applyAlignment="1">
      <alignment horizontal="center" vertical="center"/>
    </xf>
    <xf numFmtId="0" fontId="145" fillId="9" borderId="0" xfId="23" applyFont="1" applyFill="1" applyAlignment="1">
      <alignment horizontal="center" vertical="center"/>
    </xf>
    <xf numFmtId="0" fontId="265" fillId="9" borderId="0" xfId="23" applyFont="1" applyFill="1" applyAlignment="1">
      <alignment horizontal="left" vertical="center"/>
    </xf>
    <xf numFmtId="0" fontId="287" fillId="9" borderId="0" xfId="10" applyFont="1" applyFill="1" applyAlignment="1">
      <alignment horizontal="right" vertical="center"/>
    </xf>
    <xf numFmtId="0" fontId="265" fillId="9" borderId="0" xfId="23" applyFont="1" applyFill="1" applyAlignment="1">
      <alignment horizontal="center" vertical="center"/>
    </xf>
    <xf numFmtId="0" fontId="145" fillId="9" borderId="0" xfId="23" applyFont="1" applyFill="1" applyAlignment="1">
      <alignment horizontal="center"/>
    </xf>
    <xf numFmtId="0" fontId="287" fillId="9" borderId="4" xfId="4" applyFont="1" applyFill="1" applyBorder="1"/>
    <xf numFmtId="0" fontId="288" fillId="9" borderId="2" xfId="4" applyFont="1" applyFill="1" applyBorder="1"/>
    <xf numFmtId="0" fontId="8" fillId="9" borderId="2" xfId="4" applyFill="1" applyBorder="1"/>
    <xf numFmtId="0" fontId="14" fillId="9" borderId="0" xfId="10" applyFont="1" applyFill="1" applyAlignment="1">
      <alignment vertical="center" wrapText="1"/>
    </xf>
    <xf numFmtId="0" fontId="89" fillId="9" borderId="0" xfId="10" applyFont="1" applyFill="1" applyAlignment="1">
      <alignment horizontal="right" vertical="center"/>
    </xf>
    <xf numFmtId="0" fontId="289" fillId="9" borderId="0" xfId="4" applyFont="1" applyFill="1" applyAlignment="1">
      <alignment vertical="center"/>
    </xf>
    <xf numFmtId="0" fontId="287" fillId="9" borderId="0" xfId="4" applyFont="1" applyFill="1"/>
    <xf numFmtId="0" fontId="127" fillId="9" borderId="0" xfId="21" applyFont="1" applyFill="1" applyAlignment="1">
      <alignment horizontal="center"/>
    </xf>
    <xf numFmtId="187" fontId="290" fillId="83" borderId="0" xfId="4" applyNumberFormat="1" applyFont="1" applyFill="1" applyAlignment="1">
      <alignment horizontal="center" vertical="center"/>
    </xf>
    <xf numFmtId="187" fontId="57" fillId="85" borderId="0" xfId="4" applyNumberFormat="1" applyFont="1" applyFill="1" applyAlignment="1">
      <alignment horizontal="center" vertical="center"/>
    </xf>
    <xf numFmtId="187" fontId="251" fillId="85" borderId="0" xfId="4" applyNumberFormat="1" applyFont="1" applyFill="1" applyAlignment="1">
      <alignment horizontal="center" vertical="center"/>
    </xf>
    <xf numFmtId="0" fontId="56" fillId="9" borderId="0" xfId="21" applyFont="1" applyFill="1" applyAlignment="1">
      <alignment horizontal="center"/>
    </xf>
    <xf numFmtId="187" fontId="56" fillId="83" borderId="0" xfId="4" applyNumberFormat="1" applyFont="1" applyFill="1" applyAlignment="1">
      <alignment horizontal="center" vertical="center"/>
    </xf>
    <xf numFmtId="0" fontId="76" fillId="9" borderId="0" xfId="21" applyFont="1" applyFill="1" applyAlignment="1">
      <alignment horizontal="right" vertical="center"/>
    </xf>
    <xf numFmtId="0" fontId="98" fillId="9" borderId="0" xfId="21" applyFont="1" applyFill="1" applyAlignment="1">
      <alignment horizontal="right" vertical="center"/>
    </xf>
    <xf numFmtId="187" fontId="291" fillId="83" borderId="0" xfId="4" applyNumberFormat="1" applyFont="1" applyFill="1" applyAlignment="1">
      <alignment horizontal="right" vertical="center"/>
    </xf>
    <xf numFmtId="187" fontId="291" fillId="83" borderId="0" xfId="4" applyNumberFormat="1" applyFont="1" applyFill="1" applyAlignment="1">
      <alignment horizontal="left" vertical="center"/>
    </xf>
    <xf numFmtId="0" fontId="95" fillId="9" borderId="0" xfId="21" applyFont="1" applyFill="1" applyAlignment="1">
      <alignment horizontal="center" vertical="center"/>
    </xf>
    <xf numFmtId="0" fontId="1" fillId="9" borderId="268" xfId="9" applyFill="1" applyBorder="1"/>
    <xf numFmtId="0" fontId="17" fillId="9" borderId="265" xfId="15" applyFont="1" applyFill="1" applyBorder="1" applyAlignment="1" applyProtection="1">
      <alignment horizontal="right" vertical="center"/>
      <protection locked="0"/>
    </xf>
    <xf numFmtId="187" fontId="45" fillId="85" borderId="265" xfId="4" applyNumberFormat="1" applyFont="1" applyFill="1" applyBorder="1" applyAlignment="1">
      <alignment horizontal="center" vertical="center"/>
    </xf>
    <xf numFmtId="0" fontId="17" fillId="9" borderId="268" xfId="21" applyFont="1" applyFill="1" applyBorder="1" applyAlignment="1">
      <alignment horizontal="right" vertical="center"/>
    </xf>
    <xf numFmtId="0" fontId="17" fillId="9" borderId="265" xfId="21" applyFont="1" applyFill="1" applyBorder="1" applyAlignment="1">
      <alignment horizontal="left" vertical="center"/>
    </xf>
    <xf numFmtId="0" fontId="17" fillId="9" borderId="265" xfId="21" applyFont="1" applyFill="1" applyBorder="1" applyAlignment="1">
      <alignment vertical="center"/>
    </xf>
    <xf numFmtId="0" fontId="17" fillId="9" borderId="269" xfId="21" applyFont="1" applyFill="1" applyBorder="1" applyAlignment="1">
      <alignment vertical="center"/>
    </xf>
    <xf numFmtId="0" fontId="1" fillId="9" borderId="270" xfId="9" applyFill="1" applyBorder="1"/>
    <xf numFmtId="0" fontId="17" fillId="9" borderId="0" xfId="10" applyFont="1" applyFill="1" applyAlignment="1">
      <alignment horizontal="right" vertical="center"/>
    </xf>
    <xf numFmtId="0" fontId="17" fillId="9" borderId="270" xfId="21" applyFont="1" applyFill="1" applyBorder="1" applyAlignment="1">
      <alignment horizontal="right" vertical="center"/>
    </xf>
    <xf numFmtId="188" fontId="17" fillId="83" borderId="0" xfId="4" applyNumberFormat="1" applyFont="1" applyFill="1" applyAlignment="1">
      <alignment horizontal="center" vertical="center"/>
    </xf>
    <xf numFmtId="0" fontId="17" fillId="9" borderId="0" xfId="21" applyFont="1" applyFill="1" applyAlignment="1">
      <alignment horizontal="center" vertical="center"/>
    </xf>
    <xf numFmtId="187" fontId="17" fillId="83" borderId="101" xfId="4" applyNumberFormat="1" applyFont="1" applyFill="1" applyBorder="1" applyAlignment="1">
      <alignment horizontal="left" vertical="center"/>
    </xf>
    <xf numFmtId="0" fontId="59" fillId="9" borderId="116" xfId="4" applyFont="1" applyFill="1" applyBorder="1"/>
    <xf numFmtId="187" fontId="17" fillId="83" borderId="267" xfId="4" applyNumberFormat="1" applyFont="1" applyFill="1" applyBorder="1" applyAlignment="1">
      <alignment horizontal="center" vertical="center"/>
    </xf>
    <xf numFmtId="187" fontId="17" fillId="83" borderId="267" xfId="4" applyNumberFormat="1" applyFont="1" applyFill="1" applyBorder="1" applyAlignment="1">
      <alignment horizontal="left" vertical="center"/>
    </xf>
    <xf numFmtId="0" fontId="39" fillId="9" borderId="110" xfId="21" applyFill="1" applyBorder="1"/>
    <xf numFmtId="0" fontId="14" fillId="9" borderId="0" xfId="4" applyFont="1" applyFill="1" applyAlignment="1">
      <alignment horizontal="right" vertical="center"/>
    </xf>
    <xf numFmtId="0" fontId="16" fillId="9" borderId="0" xfId="21" applyFont="1" applyFill="1" applyAlignment="1">
      <alignment horizontal="center"/>
    </xf>
    <xf numFmtId="0" fontId="4" fillId="9" borderId="0" xfId="21" applyFont="1" applyFill="1" applyAlignment="1">
      <alignment horizontal="center"/>
    </xf>
    <xf numFmtId="0" fontId="14" fillId="9" borderId="0" xfId="21" applyFont="1" applyFill="1" applyAlignment="1">
      <alignment horizontal="left" vertical="center"/>
    </xf>
    <xf numFmtId="187" fontId="17" fillId="83" borderId="0" xfId="4" applyNumberFormat="1" applyFont="1" applyFill="1" applyAlignment="1">
      <alignment horizontal="center" vertical="center"/>
    </xf>
    <xf numFmtId="187" fontId="17" fillId="83" borderId="0" xfId="4" applyNumberFormat="1" applyFont="1" applyFill="1" applyAlignment="1">
      <alignment horizontal="left" vertical="center"/>
    </xf>
    <xf numFmtId="0" fontId="89" fillId="9" borderId="265" xfId="10" applyFont="1" applyFill="1" applyBorder="1" applyAlignment="1">
      <alignment horizontal="right" vertical="center"/>
    </xf>
    <xf numFmtId="187" fontId="17" fillId="83" borderId="265" xfId="4" applyNumberFormat="1" applyFont="1" applyFill="1" applyBorder="1" applyAlignment="1">
      <alignment horizontal="center" vertical="center"/>
    </xf>
    <xf numFmtId="187" fontId="17" fillId="83" borderId="265" xfId="4" applyNumberFormat="1" applyFont="1" applyFill="1" applyBorder="1" applyAlignment="1">
      <alignment horizontal="left" vertical="center"/>
    </xf>
    <xf numFmtId="0" fontId="39" fillId="9" borderId="265" xfId="21" applyFill="1" applyBorder="1"/>
    <xf numFmtId="0" fontId="287" fillId="9" borderId="266" xfId="4" applyFont="1" applyFill="1" applyBorder="1"/>
    <xf numFmtId="0" fontId="39" fillId="9" borderId="30" xfId="21" applyFill="1" applyBorder="1" applyAlignment="1">
      <alignment vertical="center"/>
    </xf>
    <xf numFmtId="0" fontId="89" fillId="9" borderId="1" xfId="10" applyFont="1" applyFill="1" applyBorder="1" applyAlignment="1">
      <alignment horizontal="right" vertical="center"/>
    </xf>
    <xf numFmtId="187" fontId="17" fillId="83" borderId="1" xfId="4" applyNumberFormat="1" applyFont="1" applyFill="1" applyBorder="1" applyAlignment="1">
      <alignment horizontal="center" vertical="center"/>
    </xf>
    <xf numFmtId="187" fontId="17" fillId="83" borderId="1" xfId="4" applyNumberFormat="1" applyFont="1" applyFill="1" applyBorder="1" applyAlignment="1">
      <alignment horizontal="left" vertical="center"/>
    </xf>
    <xf numFmtId="0" fontId="287" fillId="9" borderId="3" xfId="4" applyFont="1" applyFill="1" applyBorder="1"/>
    <xf numFmtId="0" fontId="255" fillId="2" borderId="271" xfId="4" applyFont="1" applyFill="1" applyBorder="1" applyAlignment="1">
      <alignment horizontal="center" vertical="center"/>
    </xf>
    <xf numFmtId="0" fontId="294" fillId="5" borderId="132" xfId="9" applyFont="1" applyFill="1" applyBorder="1" applyAlignment="1">
      <alignment horizontal="center" vertical="center"/>
    </xf>
    <xf numFmtId="0" fontId="266" fillId="9" borderId="59" xfId="4" applyFont="1" applyFill="1" applyBorder="1" applyAlignment="1">
      <alignment horizontal="left" vertical="center"/>
    </xf>
    <xf numFmtId="0" fontId="8" fillId="9" borderId="59" xfId="21" applyFont="1" applyFill="1" applyBorder="1"/>
    <xf numFmtId="0" fontId="66" fillId="0" borderId="59" xfId="15" applyBorder="1"/>
    <xf numFmtId="0" fontId="266" fillId="9" borderId="59" xfId="21" applyFont="1" applyFill="1" applyBorder="1" applyAlignment="1">
      <alignment horizontal="right" vertical="center"/>
    </xf>
    <xf numFmtId="0" fontId="295" fillId="72" borderId="58" xfId="21" applyFont="1" applyFill="1" applyBorder="1" applyAlignment="1">
      <alignment horizontal="center" vertical="center"/>
    </xf>
    <xf numFmtId="0" fontId="8" fillId="9" borderId="2" xfId="21" applyFont="1" applyFill="1" applyBorder="1"/>
    <xf numFmtId="0" fontId="8" fillId="9" borderId="0" xfId="21" applyFont="1" applyFill="1"/>
    <xf numFmtId="0" fontId="66" fillId="9" borderId="4" xfId="15" applyFill="1" applyBorder="1"/>
    <xf numFmtId="0" fontId="66" fillId="9" borderId="2" xfId="15" applyFill="1" applyBorder="1"/>
    <xf numFmtId="0" fontId="273" fillId="9" borderId="0" xfId="15" applyFont="1" applyFill="1" applyAlignment="1" applyProtection="1">
      <alignment vertical="center"/>
      <protection locked="0"/>
    </xf>
    <xf numFmtId="0" fontId="273" fillId="9" borderId="0" xfId="15" applyFont="1" applyFill="1" applyAlignment="1" applyProtection="1">
      <alignment horizontal="right" vertical="center"/>
      <protection locked="0"/>
    </xf>
    <xf numFmtId="0" fontId="296" fillId="85" borderId="0" xfId="4" applyFont="1" applyFill="1" applyAlignment="1">
      <alignment horizontal="center" vertical="center"/>
    </xf>
    <xf numFmtId="187" fontId="45" fillId="85" borderId="0" xfId="4" applyNumberFormat="1" applyFont="1" applyFill="1" applyAlignment="1">
      <alignment vertical="center"/>
    </xf>
    <xf numFmtId="0" fontId="273" fillId="9" borderId="0" xfId="21" applyFont="1" applyFill="1" applyAlignment="1">
      <alignment vertical="center"/>
    </xf>
    <xf numFmtId="0" fontId="287" fillId="9" borderId="0" xfId="21" applyFont="1" applyFill="1"/>
    <xf numFmtId="0" fontId="287" fillId="9" borderId="0" xfId="21" applyFont="1" applyFill="1" applyAlignment="1">
      <alignment horizontal="right"/>
    </xf>
    <xf numFmtId="0" fontId="273" fillId="9" borderId="0" xfId="10" applyFont="1" applyFill="1" applyAlignment="1">
      <alignment vertical="center"/>
    </xf>
    <xf numFmtId="0" fontId="273" fillId="9" borderId="0" xfId="10" applyFont="1" applyFill="1" applyAlignment="1">
      <alignment horizontal="right" vertical="center"/>
    </xf>
    <xf numFmtId="0" fontId="273" fillId="9" borderId="0" xfId="21" applyFont="1" applyFill="1" applyAlignment="1">
      <alignment horizontal="center" vertical="center"/>
    </xf>
    <xf numFmtId="0" fontId="273" fillId="83" borderId="0" xfId="4" applyFont="1" applyFill="1" applyAlignment="1">
      <alignment horizontal="center" vertical="center"/>
    </xf>
    <xf numFmtId="0" fontId="66" fillId="9" borderId="4" xfId="15" applyFill="1" applyBorder="1" applyAlignment="1">
      <alignment horizontal="center"/>
    </xf>
    <xf numFmtId="0" fontId="287" fillId="9" borderId="2" xfId="21" applyFont="1" applyFill="1" applyBorder="1"/>
    <xf numFmtId="0" fontId="273" fillId="9" borderId="0" xfId="21" applyFont="1" applyFill="1" applyAlignment="1">
      <alignment horizontal="right" vertical="center"/>
    </xf>
    <xf numFmtId="0" fontId="273" fillId="83" borderId="0" xfId="4" applyFont="1" applyFill="1" applyAlignment="1">
      <alignment horizontal="left" vertical="center"/>
    </xf>
    <xf numFmtId="187" fontId="273" fillId="83" borderId="0" xfId="4" applyNumberFormat="1" applyFont="1" applyFill="1" applyAlignment="1">
      <alignment vertical="center"/>
    </xf>
    <xf numFmtId="187" fontId="273" fillId="9" borderId="0" xfId="21" applyNumberFormat="1" applyFont="1" applyFill="1" applyAlignment="1">
      <alignment horizontal="center" vertical="center"/>
    </xf>
    <xf numFmtId="168" fontId="78" fillId="2" borderId="2" xfId="10" applyNumberFormat="1" applyFont="1" applyFill="1" applyBorder="1" applyAlignment="1">
      <alignment vertical="center"/>
    </xf>
    <xf numFmtId="168" fontId="78" fillId="132" borderId="0" xfId="10" applyNumberFormat="1" applyFont="1" applyFill="1" applyAlignment="1">
      <alignment vertical="center"/>
    </xf>
    <xf numFmtId="168" fontId="78" fillId="132" borderId="4" xfId="10" applyNumberFormat="1" applyFont="1" applyFill="1" applyBorder="1" applyAlignment="1">
      <alignment vertical="center"/>
    </xf>
    <xf numFmtId="0" fontId="14" fillId="63" borderId="30" xfId="19" applyFont="1" applyFill="1" applyBorder="1" applyAlignment="1">
      <alignment vertical="center"/>
    </xf>
    <xf numFmtId="0" fontId="14" fillId="63" borderId="1" xfId="19" applyFont="1" applyFill="1" applyBorder="1" applyAlignment="1">
      <alignment vertical="center"/>
    </xf>
    <xf numFmtId="0" fontId="66" fillId="9" borderId="3" xfId="15" applyFill="1" applyBorder="1"/>
    <xf numFmtId="187" fontId="297" fillId="85" borderId="0" xfId="4" applyNumberFormat="1" applyFont="1" applyFill="1" applyAlignment="1">
      <alignment vertical="center"/>
    </xf>
    <xf numFmtId="187" fontId="276" fillId="83" borderId="0" xfId="4" applyNumberFormat="1" applyFont="1" applyFill="1" applyAlignment="1">
      <alignment horizontal="center" vertical="center"/>
    </xf>
    <xf numFmtId="0" fontId="287" fillId="0" borderId="0" xfId="21" applyFont="1"/>
    <xf numFmtId="187" fontId="273" fillId="83" borderId="0" xfId="4" applyNumberFormat="1" applyFont="1" applyFill="1" applyAlignment="1">
      <alignment horizontal="left" vertical="center"/>
    </xf>
    <xf numFmtId="0" fontId="39" fillId="9" borderId="2" xfId="21" applyFill="1" applyBorder="1"/>
    <xf numFmtId="0" fontId="297" fillId="9" borderId="0" xfId="21" applyFont="1" applyFill="1" applyAlignment="1">
      <alignment horizontal="center" vertical="center"/>
    </xf>
    <xf numFmtId="0" fontId="297" fillId="9" borderId="59" xfId="21" applyFont="1" applyFill="1" applyBorder="1" applyAlignment="1">
      <alignment horizontal="center" vertical="center"/>
    </xf>
    <xf numFmtId="0" fontId="66" fillId="9" borderId="58" xfId="15" applyFill="1" applyBorder="1"/>
    <xf numFmtId="0" fontId="262" fillId="72" borderId="268" xfId="4" applyFont="1" applyFill="1" applyBorder="1" applyAlignment="1">
      <alignment horizontal="center" vertical="center"/>
    </xf>
    <xf numFmtId="0" fontId="95" fillId="9" borderId="34" xfId="21" applyFont="1" applyFill="1" applyBorder="1" applyAlignment="1">
      <alignment horizontal="center"/>
    </xf>
    <xf numFmtId="0" fontId="1" fillId="5" borderId="2" xfId="9" applyFill="1" applyBorder="1" applyAlignment="1">
      <alignment horizontal="center" vertical="center"/>
    </xf>
    <xf numFmtId="0" fontId="300" fillId="9" borderId="270" xfId="38" quotePrefix="1" applyFont="1" applyFill="1" applyBorder="1" applyAlignment="1">
      <alignment vertical="center"/>
    </xf>
    <xf numFmtId="0" fontId="301" fillId="9" borderId="0" xfId="38" quotePrefix="1" applyFont="1" applyFill="1" applyAlignment="1">
      <alignment horizontal="right" vertical="center"/>
    </xf>
    <xf numFmtId="1" fontId="301" fillId="9" borderId="0" xfId="38" applyNumberFormat="1" applyFont="1" applyFill="1" applyAlignment="1">
      <alignment horizontal="center" vertical="center"/>
    </xf>
    <xf numFmtId="0" fontId="210" fillId="0" borderId="4" xfId="21" applyFont="1" applyBorder="1"/>
    <xf numFmtId="0" fontId="14" fillId="9" borderId="265" xfId="38" applyFont="1" applyFill="1" applyBorder="1" applyAlignment="1">
      <alignment horizontal="center"/>
    </xf>
    <xf numFmtId="0" fontId="14" fillId="9" borderId="269" xfId="38" applyFont="1" applyFill="1" applyBorder="1" applyAlignment="1">
      <alignment horizontal="center"/>
    </xf>
    <xf numFmtId="0" fontId="14" fillId="9" borderId="266" xfId="38" applyFont="1" applyFill="1" applyBorder="1" applyAlignment="1">
      <alignment horizontal="center"/>
    </xf>
    <xf numFmtId="168" fontId="14" fillId="9" borderId="0" xfId="21" applyNumberFormat="1" applyFont="1" applyFill="1" applyAlignment="1">
      <alignment horizontal="center" vertical="center"/>
    </xf>
    <xf numFmtId="0" fontId="17" fillId="9" borderId="4" xfId="28" applyFont="1" applyFill="1" applyBorder="1" applyAlignment="1">
      <alignment horizontal="center" vertical="center" wrapText="1"/>
    </xf>
    <xf numFmtId="0" fontId="45" fillId="12" borderId="279" xfId="38" applyFont="1" applyFill="1" applyBorder="1" applyAlignment="1" applyProtection="1">
      <alignment horizontal="center" vertical="center"/>
      <protection locked="0"/>
    </xf>
    <xf numFmtId="0" fontId="186" fillId="12" borderId="54" xfId="28" applyFont="1" applyFill="1" applyBorder="1" applyAlignment="1">
      <alignment horizontal="center" vertical="center" wrapText="1"/>
    </xf>
    <xf numFmtId="182" fontId="76" fillId="12" borderId="54" xfId="38" applyNumberFormat="1" applyFont="1" applyFill="1" applyBorder="1" applyAlignment="1" applyProtection="1">
      <alignment horizontal="center" vertical="center"/>
      <protection locked="0"/>
    </xf>
    <xf numFmtId="168" fontId="17" fillId="7" borderId="58" xfId="21" applyNumberFormat="1" applyFont="1" applyFill="1" applyBorder="1" applyAlignment="1">
      <alignment horizontal="center" vertical="center"/>
    </xf>
    <xf numFmtId="168" fontId="17" fillId="7" borderId="280" xfId="21" applyNumberFormat="1" applyFont="1" applyFill="1" applyBorder="1" applyAlignment="1">
      <alignment horizontal="center" vertical="center"/>
    </xf>
    <xf numFmtId="1" fontId="14" fillId="9" borderId="59" xfId="38" applyNumberFormat="1" applyFont="1" applyFill="1" applyBorder="1" applyAlignment="1">
      <alignment horizontal="center" vertical="center"/>
    </xf>
    <xf numFmtId="168" fontId="14" fillId="9" borderId="59" xfId="21" applyNumberFormat="1" applyFont="1" applyFill="1" applyBorder="1" applyAlignment="1">
      <alignment horizontal="center" vertical="center"/>
    </xf>
    <xf numFmtId="1" fontId="17" fillId="9" borderId="6" xfId="38" applyNumberFormat="1" applyFont="1" applyFill="1" applyBorder="1" applyAlignment="1">
      <alignment horizontal="center" vertical="center"/>
    </xf>
    <xf numFmtId="0" fontId="14" fillId="9" borderId="6" xfId="38" applyFont="1" applyFill="1" applyBorder="1" applyAlignment="1">
      <alignment horizontal="center"/>
    </xf>
    <xf numFmtId="0" fontId="14" fillId="9" borderId="5" xfId="38" applyFont="1" applyFill="1" applyBorder="1" applyAlignment="1">
      <alignment horizontal="center"/>
    </xf>
    <xf numFmtId="0" fontId="39" fillId="9" borderId="104" xfId="21" applyFill="1" applyBorder="1"/>
    <xf numFmtId="0" fontId="17" fillId="9" borderId="58" xfId="21" applyFont="1" applyFill="1" applyBorder="1" applyAlignment="1">
      <alignment horizontal="center" vertical="center"/>
    </xf>
    <xf numFmtId="0" fontId="17" fillId="9" borderId="2" xfId="38" applyFont="1" applyFill="1" applyBorder="1" applyAlignment="1">
      <alignment horizontal="right" vertical="center" wrapText="1"/>
    </xf>
    <xf numFmtId="0" fontId="300" fillId="9" borderId="284" xfId="38" quotePrefix="1" applyFont="1" applyFill="1" applyBorder="1" applyAlignment="1">
      <alignment vertical="center"/>
    </xf>
    <xf numFmtId="0" fontId="301" fillId="9" borderId="285" xfId="38" quotePrefix="1" applyFont="1" applyFill="1" applyBorder="1" applyAlignment="1">
      <alignment horizontal="right" vertical="center"/>
    </xf>
    <xf numFmtId="1" fontId="301" fillId="9" borderId="285" xfId="38" applyNumberFormat="1" applyFont="1" applyFill="1" applyBorder="1" applyAlignment="1">
      <alignment horizontal="center" vertical="center"/>
    </xf>
    <xf numFmtId="0" fontId="210" fillId="0" borderId="286" xfId="21" applyFont="1" applyBorder="1"/>
    <xf numFmtId="0" fontId="95" fillId="9" borderId="58" xfId="21" applyFont="1" applyFill="1" applyBorder="1" applyAlignment="1">
      <alignment horizontal="center"/>
    </xf>
    <xf numFmtId="0" fontId="95" fillId="9" borderId="210" xfId="21" applyFont="1" applyFill="1" applyBorder="1" applyAlignment="1">
      <alignment horizontal="center"/>
    </xf>
    <xf numFmtId="0" fontId="95" fillId="9" borderId="287" xfId="21" applyFont="1" applyFill="1" applyBorder="1" applyAlignment="1">
      <alignment horizontal="center" vertical="center"/>
    </xf>
    <xf numFmtId="0" fontId="300" fillId="9" borderId="108" xfId="38" quotePrefix="1" applyFont="1" applyFill="1" applyBorder="1" applyAlignment="1">
      <alignment vertical="center"/>
    </xf>
    <xf numFmtId="0" fontId="301" fillId="9" borderId="108" xfId="38" quotePrefix="1" applyFont="1" applyFill="1" applyBorder="1" applyAlignment="1">
      <alignment horizontal="right" vertical="center"/>
    </xf>
    <xf numFmtId="1" fontId="301" fillId="9" borderId="108" xfId="38" applyNumberFormat="1" applyFont="1" applyFill="1" applyBorder="1" applyAlignment="1">
      <alignment horizontal="center" vertical="center"/>
    </xf>
    <xf numFmtId="0" fontId="210" fillId="0" borderId="109" xfId="21" applyFont="1" applyBorder="1"/>
    <xf numFmtId="0" fontId="95" fillId="9" borderId="132" xfId="21" applyFont="1" applyFill="1" applyBorder="1" applyAlignment="1">
      <alignment horizontal="center"/>
    </xf>
    <xf numFmtId="0" fontId="14" fillId="9" borderId="0" xfId="38" applyFont="1" applyFill="1" applyAlignment="1">
      <alignment horizontal="center"/>
    </xf>
    <xf numFmtId="0" fontId="14" fillId="9" borderId="101" xfId="38" applyFont="1" applyFill="1" applyBorder="1" applyAlignment="1">
      <alignment horizontal="center"/>
    </xf>
    <xf numFmtId="0" fontId="14" fillId="9" borderId="4" xfId="38" applyFont="1" applyFill="1" applyBorder="1" applyAlignment="1">
      <alignment horizontal="center"/>
    </xf>
    <xf numFmtId="0" fontId="14" fillId="9" borderId="0" xfId="21" applyFont="1" applyFill="1" applyAlignment="1">
      <alignment horizontal="center" vertical="center"/>
    </xf>
    <xf numFmtId="0" fontId="17" fillId="9" borderId="4" xfId="28" applyFont="1" applyFill="1" applyBorder="1" applyAlignment="1">
      <alignment horizontal="center" vertical="center"/>
    </xf>
    <xf numFmtId="0" fontId="186" fillId="12" borderId="290" xfId="28" applyFont="1" applyFill="1" applyBorder="1" applyAlignment="1">
      <alignment horizontal="center" vertical="center" wrapText="1"/>
    </xf>
    <xf numFmtId="164" fontId="76" fillId="12" borderId="290" xfId="38" applyNumberFormat="1" applyFont="1" applyFill="1" applyBorder="1" applyAlignment="1" applyProtection="1">
      <alignment horizontal="center" vertical="center"/>
      <protection locked="0"/>
    </xf>
    <xf numFmtId="0" fontId="17" fillId="7" borderId="59" xfId="21" applyFont="1" applyFill="1" applyBorder="1" applyAlignment="1">
      <alignment horizontal="center" vertical="center"/>
    </xf>
    <xf numFmtId="1" fontId="14" fillId="9" borderId="35" xfId="38" applyNumberFormat="1" applyFont="1" applyFill="1" applyBorder="1" applyAlignment="1">
      <alignment horizontal="center" vertical="center"/>
    </xf>
    <xf numFmtId="0" fontId="14" fillId="9" borderId="35" xfId="21" applyFont="1" applyFill="1" applyBorder="1" applyAlignment="1">
      <alignment horizontal="center" vertical="center"/>
    </xf>
    <xf numFmtId="0" fontId="17" fillId="9" borderId="35" xfId="38" applyFont="1" applyFill="1" applyBorder="1" applyAlignment="1">
      <alignment horizontal="right" vertical="center" wrapText="1"/>
    </xf>
    <xf numFmtId="0" fontId="17" fillId="9" borderId="293" xfId="28" applyFont="1" applyFill="1" applyBorder="1" applyAlignment="1">
      <alignment horizontal="center" vertical="center"/>
    </xf>
    <xf numFmtId="164" fontId="76" fillId="12" borderId="54" xfId="38" applyNumberFormat="1" applyFont="1" applyFill="1" applyBorder="1" applyAlignment="1" applyProtection="1">
      <alignment horizontal="center" vertical="center"/>
      <protection locked="0"/>
    </xf>
    <xf numFmtId="0" fontId="17" fillId="7" borderId="58" xfId="21" applyFont="1" applyFill="1" applyBorder="1" applyAlignment="1">
      <alignment horizontal="center" vertical="center"/>
    </xf>
    <xf numFmtId="0" fontId="76" fillId="9" borderId="270" xfId="21" applyFont="1" applyFill="1" applyBorder="1" applyAlignment="1">
      <alignment horizontal="center"/>
    </xf>
    <xf numFmtId="0" fontId="98" fillId="9" borderId="0" xfId="21" applyFont="1" applyFill="1"/>
    <xf numFmtId="0" fontId="39" fillId="9" borderId="101" xfId="21" applyFill="1" applyBorder="1"/>
    <xf numFmtId="0" fontId="14" fillId="9" borderId="0" xfId="38" applyFont="1" applyFill="1" applyAlignment="1">
      <alignment vertical="center"/>
    </xf>
    <xf numFmtId="0" fontId="14" fillId="9" borderId="0" xfId="21" applyFont="1" applyFill="1"/>
    <xf numFmtId="0" fontId="14" fillId="9" borderId="4" xfId="21" applyFont="1" applyFill="1" applyBorder="1"/>
    <xf numFmtId="0" fontId="98" fillId="9" borderId="30" xfId="28" applyFont="1" applyFill="1" applyBorder="1" applyAlignment="1">
      <alignment vertical="center"/>
    </xf>
    <xf numFmtId="0" fontId="302" fillId="0" borderId="104" xfId="21" applyFont="1" applyBorder="1"/>
    <xf numFmtId="0" fontId="39" fillId="0" borderId="1" xfId="21" applyBorder="1"/>
    <xf numFmtId="0" fontId="39" fillId="0" borderId="125" xfId="21" applyBorder="1"/>
    <xf numFmtId="0" fontId="14" fillId="9" borderId="1" xfId="21" applyFont="1" applyFill="1" applyBorder="1"/>
    <xf numFmtId="0" fontId="14" fillId="9" borderId="3" xfId="21" applyFont="1" applyFill="1" applyBorder="1"/>
    <xf numFmtId="0" fontId="14" fillId="9" borderId="59" xfId="21" applyFont="1" applyFill="1" applyBorder="1" applyAlignment="1">
      <alignment horizontal="center" vertical="center"/>
    </xf>
    <xf numFmtId="0" fontId="300" fillId="9" borderId="264" xfId="38" quotePrefix="1" applyFont="1" applyFill="1" applyBorder="1" applyAlignment="1">
      <alignment vertical="center"/>
    </xf>
    <xf numFmtId="0" fontId="301" fillId="9" borderId="265" xfId="38" quotePrefix="1" applyFont="1" applyFill="1" applyBorder="1" applyAlignment="1">
      <alignment horizontal="right" vertical="center"/>
    </xf>
    <xf numFmtId="1" fontId="301" fillId="9" borderId="265" xfId="38" applyNumberFormat="1" applyFont="1" applyFill="1" applyBorder="1" applyAlignment="1">
      <alignment horizontal="center" vertical="center"/>
    </xf>
    <xf numFmtId="0" fontId="210" fillId="0" borderId="266" xfId="21" applyFont="1" applyBorder="1"/>
    <xf numFmtId="0" fontId="95" fillId="9" borderId="2" xfId="21" applyFont="1" applyFill="1" applyBorder="1" applyAlignment="1">
      <alignment horizontal="center"/>
    </xf>
    <xf numFmtId="0" fontId="302" fillId="9" borderId="2" xfId="38" applyFont="1" applyFill="1" applyBorder="1" applyAlignment="1">
      <alignment vertical="center"/>
    </xf>
    <xf numFmtId="0" fontId="199" fillId="27" borderId="0" xfId="15" applyFont="1" applyFill="1" applyAlignment="1">
      <alignment horizontal="left" vertical="center"/>
    </xf>
    <xf numFmtId="0" fontId="199" fillId="27" borderId="0" xfId="15" applyFont="1" applyFill="1" applyAlignment="1">
      <alignment horizontal="centerContinuous" vertical="center"/>
    </xf>
    <xf numFmtId="0" fontId="303" fillId="27" borderId="4" xfId="15" applyFont="1" applyFill="1" applyBorder="1" applyAlignment="1">
      <alignment horizontal="right" vertical="center"/>
    </xf>
    <xf numFmtId="0" fontId="304" fillId="135" borderId="0" xfId="15" applyFont="1" applyFill="1" applyAlignment="1">
      <alignment horizontal="left" vertical="center"/>
    </xf>
    <xf numFmtId="0" fontId="305" fillId="135" borderId="0" xfId="15" applyFont="1" applyFill="1" applyAlignment="1">
      <alignment horizontal="centerContinuous" vertical="center"/>
    </xf>
    <xf numFmtId="0" fontId="303" fillId="135" borderId="4" xfId="15" applyFont="1" applyFill="1" applyBorder="1" applyAlignment="1">
      <alignment horizontal="right" vertical="center"/>
    </xf>
    <xf numFmtId="0" fontId="199" fillId="27" borderId="35" xfId="15" applyFont="1" applyFill="1" applyBorder="1" applyAlignment="1">
      <alignment horizontal="left" vertical="center"/>
    </xf>
    <xf numFmtId="0" fontId="199" fillId="27" borderId="35" xfId="15" applyFont="1" applyFill="1" applyBorder="1" applyAlignment="1">
      <alignment horizontal="centerContinuous" vertical="center"/>
    </xf>
    <xf numFmtId="0" fontId="199" fillId="27" borderId="293" xfId="15" applyFont="1" applyFill="1" applyBorder="1" applyAlignment="1">
      <alignment horizontal="right" vertical="center"/>
    </xf>
    <xf numFmtId="0" fontId="199" fillId="135" borderId="4" xfId="15" applyFont="1" applyFill="1" applyBorder="1" applyAlignment="1">
      <alignment horizontal="right" vertical="center"/>
    </xf>
    <xf numFmtId="0" fontId="59" fillId="0" borderId="0" xfId="15" applyFont="1" applyAlignment="1" applyProtection="1">
      <alignment horizontal="center" vertical="center" wrapText="1"/>
      <protection locked="0"/>
    </xf>
    <xf numFmtId="0" fontId="9" fillId="0" borderId="0" xfId="15" applyFont="1" applyAlignment="1" applyProtection="1">
      <alignment horizontal="center" vertical="center" wrapText="1"/>
      <protection locked="0"/>
    </xf>
    <xf numFmtId="0" fontId="108" fillId="0" borderId="0" xfId="15" applyFont="1" applyAlignment="1" applyProtection="1">
      <alignment horizontal="center" vertical="center" wrapText="1"/>
      <protection locked="0"/>
    </xf>
    <xf numFmtId="0" fontId="307" fillId="131" borderId="59" xfId="15" applyFont="1" applyFill="1" applyBorder="1" applyAlignment="1" applyProtection="1">
      <alignment horizontal="center" vertical="center"/>
      <protection locked="0"/>
    </xf>
    <xf numFmtId="0" fontId="57" fillId="131" borderId="59" xfId="15" applyFont="1" applyFill="1" applyBorder="1" applyAlignment="1" applyProtection="1">
      <alignment horizontal="center" vertical="center"/>
      <protection locked="0"/>
    </xf>
    <xf numFmtId="1" fontId="308" fillId="131" borderId="59" xfId="15" applyNumberFormat="1" applyFont="1" applyFill="1" applyBorder="1" applyAlignment="1" applyProtection="1">
      <alignment horizontal="center" vertical="center"/>
      <protection locked="0"/>
    </xf>
    <xf numFmtId="0" fontId="1" fillId="12" borderId="58" xfId="21" applyFont="1" applyFill="1" applyBorder="1"/>
    <xf numFmtId="0" fontId="17" fillId="9" borderId="36" xfId="15" applyFont="1" applyFill="1" applyBorder="1" applyAlignment="1" applyProtection="1">
      <alignment horizontal="center" vertical="center" wrapText="1"/>
      <protection locked="0"/>
    </xf>
    <xf numFmtId="164" fontId="56" fillId="9" borderId="297" xfId="15" applyNumberFormat="1" applyFont="1" applyFill="1" applyBorder="1" applyAlignment="1" applyProtection="1">
      <alignment horizontal="center" vertical="center"/>
      <protection locked="0"/>
    </xf>
    <xf numFmtId="0" fontId="56" fillId="9" borderId="296" xfId="15" applyFont="1" applyFill="1" applyBorder="1" applyAlignment="1" applyProtection="1">
      <alignment horizontal="right" vertical="center"/>
      <protection locked="0"/>
    </xf>
    <xf numFmtId="221" fontId="56" fillId="9" borderId="290" xfId="15" applyNumberFormat="1" applyFont="1" applyFill="1" applyBorder="1" applyAlignment="1" applyProtection="1">
      <alignment horizontal="center" vertical="center"/>
      <protection locked="0"/>
    </xf>
    <xf numFmtId="222" fontId="56" fillId="9" borderId="35" xfId="9" applyNumberFormat="1" applyFont="1" applyFill="1" applyBorder="1" applyAlignment="1">
      <alignment horizontal="center" vertical="center"/>
    </xf>
    <xf numFmtId="1" fontId="56" fillId="9" borderId="35" xfId="15" applyNumberFormat="1" applyFont="1" applyFill="1" applyBorder="1" applyAlignment="1" applyProtection="1">
      <alignment horizontal="left" vertical="center"/>
      <protection locked="0"/>
    </xf>
    <xf numFmtId="221" fontId="56" fillId="9" borderId="116" xfId="15" applyNumberFormat="1" applyFont="1" applyFill="1" applyBorder="1" applyAlignment="1" applyProtection="1">
      <alignment horizontal="right" vertical="center"/>
      <protection locked="0"/>
    </xf>
    <xf numFmtId="1" fontId="56" fillId="9" borderId="293" xfId="15" applyNumberFormat="1" applyFont="1" applyFill="1" applyBorder="1" applyAlignment="1" applyProtection="1">
      <alignment horizontal="left" vertical="center"/>
      <protection locked="0"/>
    </xf>
    <xf numFmtId="0" fontId="46" fillId="9" borderId="4" xfId="9" applyFont="1" applyFill="1" applyBorder="1" applyAlignment="1">
      <alignment horizontal="center" vertical="center"/>
    </xf>
    <xf numFmtId="0" fontId="310" fillId="27" borderId="6" xfId="15" applyFont="1" applyFill="1" applyBorder="1" applyAlignment="1">
      <alignment vertical="center"/>
    </xf>
    <xf numFmtId="0" fontId="199" fillId="27" borderId="6" xfId="15" applyFont="1" applyFill="1" applyBorder="1" applyAlignment="1">
      <alignment vertical="center"/>
    </xf>
    <xf numFmtId="0" fontId="199" fillId="27" borderId="5" xfId="15" applyFont="1" applyFill="1" applyBorder="1" applyAlignment="1">
      <alignment vertical="center"/>
    </xf>
    <xf numFmtId="2" fontId="13" fillId="9" borderId="0" xfId="15" applyNumberFormat="1" applyFont="1" applyFill="1" applyAlignment="1" applyProtection="1">
      <alignment horizontal="right" vertical="center"/>
      <protection locked="0"/>
    </xf>
    <xf numFmtId="0" fontId="13" fillId="9" borderId="0" xfId="15" applyFont="1" applyFill="1" applyAlignment="1" applyProtection="1">
      <alignment horizontal="left" vertical="center"/>
      <protection locked="0"/>
    </xf>
    <xf numFmtId="221" fontId="13" fillId="9" borderId="0" xfId="15" applyNumberFormat="1" applyFont="1" applyFill="1" applyAlignment="1" applyProtection="1">
      <alignment horizontal="center" vertical="center"/>
      <protection locked="0"/>
    </xf>
    <xf numFmtId="222" fontId="13" fillId="9" borderId="0" xfId="9" applyNumberFormat="1" applyFont="1" applyFill="1" applyAlignment="1">
      <alignment horizontal="center" vertical="center"/>
    </xf>
    <xf numFmtId="1" fontId="13" fillId="9" borderId="0" xfId="15" applyNumberFormat="1" applyFont="1" applyFill="1" applyAlignment="1" applyProtection="1">
      <alignment horizontal="left" vertical="center"/>
      <protection locked="0"/>
    </xf>
    <xf numFmtId="221" fontId="13" fillId="9" borderId="0" xfId="15" applyNumberFormat="1" applyFont="1" applyFill="1" applyAlignment="1" applyProtection="1">
      <alignment horizontal="right" vertical="center"/>
      <protection locked="0"/>
    </xf>
    <xf numFmtId="1" fontId="13" fillId="9" borderId="4" xfId="15" applyNumberFormat="1" applyFont="1" applyFill="1" applyBorder="1" applyAlignment="1" applyProtection="1">
      <alignment horizontal="left" vertical="center"/>
      <protection locked="0"/>
    </xf>
    <xf numFmtId="0" fontId="199" fillId="7" borderId="2" xfId="15" applyFont="1" applyFill="1" applyBorder="1" applyAlignment="1">
      <alignment horizontal="left" vertical="center"/>
    </xf>
    <xf numFmtId="164" fontId="127" fillId="7" borderId="0" xfId="15" applyNumberFormat="1" applyFont="1" applyFill="1" applyAlignment="1" applyProtection="1">
      <alignment horizontal="right" vertical="center"/>
      <protection locked="0"/>
    </xf>
    <xf numFmtId="0" fontId="121" fillId="7" borderId="0" xfId="15" applyFont="1" applyFill="1"/>
    <xf numFmtId="0" fontId="305" fillId="7" borderId="0" xfId="15" applyFont="1" applyFill="1" applyAlignment="1">
      <alignment horizontal="center" vertical="center"/>
    </xf>
    <xf numFmtId="0" fontId="304" fillId="7" borderId="0" xfId="15" applyFont="1" applyFill="1" applyAlignment="1">
      <alignment horizontal="center" vertical="center"/>
    </xf>
    <xf numFmtId="0" fontId="304" fillId="7" borderId="4" xfId="15" applyFont="1" applyFill="1" applyBorder="1" applyAlignment="1">
      <alignment horizontal="center" vertical="center"/>
    </xf>
    <xf numFmtId="0" fontId="290" fillId="9" borderId="2" xfId="4" applyFont="1" applyFill="1" applyBorder="1" applyAlignment="1" applyProtection="1">
      <alignment horizontal="center"/>
      <protection hidden="1"/>
    </xf>
    <xf numFmtId="222" fontId="13" fillId="9" borderId="0" xfId="9" applyNumberFormat="1" applyFont="1" applyFill="1" applyAlignment="1">
      <alignment horizontal="right" vertical="center"/>
    </xf>
    <xf numFmtId="169" fontId="45" fillId="7" borderId="0" xfId="37" applyNumberFormat="1" applyFont="1" applyFill="1" applyAlignment="1" applyProtection="1">
      <alignment horizontal="center" vertical="center"/>
      <protection locked="0"/>
    </xf>
    <xf numFmtId="0" fontId="56" fillId="7" borderId="2" xfId="15" applyFont="1" applyFill="1" applyBorder="1" applyAlignment="1">
      <alignment horizontal="left" vertical="center"/>
    </xf>
    <xf numFmtId="182" fontId="307" fillId="131" borderId="0" xfId="15" applyNumberFormat="1" applyFont="1" applyFill="1" applyAlignment="1" applyProtection="1">
      <alignment vertical="center"/>
      <protection locked="0"/>
    </xf>
    <xf numFmtId="0" fontId="307" fillId="131" borderId="0" xfId="15" applyFont="1" applyFill="1" applyAlignment="1" applyProtection="1">
      <alignment vertical="center"/>
      <protection locked="0"/>
    </xf>
    <xf numFmtId="0" fontId="136" fillId="93" borderId="0" xfId="19" applyFont="1" applyFill="1" applyAlignment="1">
      <alignment horizontal="center" vertical="center"/>
    </xf>
    <xf numFmtId="169" fontId="45" fillId="7" borderId="0" xfId="37" applyNumberFormat="1" applyFont="1" applyFill="1" applyAlignment="1" applyProtection="1">
      <alignment horizontal="center"/>
      <protection locked="0"/>
    </xf>
    <xf numFmtId="0" fontId="120" fillId="86" borderId="2" xfId="15" applyFont="1" applyFill="1" applyBorder="1" applyAlignment="1" applyProtection="1">
      <alignment vertical="center"/>
      <protection locked="0"/>
    </xf>
    <xf numFmtId="0" fontId="136" fillId="86" borderId="0" xfId="15" applyFont="1" applyFill="1" applyAlignment="1" applyProtection="1">
      <alignment vertical="center"/>
      <protection locked="0"/>
    </xf>
    <xf numFmtId="168" fontId="136" fillId="81" borderId="0" xfId="15" applyNumberFormat="1" applyFont="1" applyFill="1" applyAlignment="1" applyProtection="1">
      <alignment vertical="center"/>
      <protection locked="0"/>
    </xf>
    <xf numFmtId="164" fontId="56" fillId="86" borderId="0" xfId="15" applyNumberFormat="1" applyFont="1" applyFill="1" applyAlignment="1" applyProtection="1">
      <alignment vertical="center"/>
      <protection locked="0"/>
    </xf>
    <xf numFmtId="0" fontId="56" fillId="7" borderId="0" xfId="15" applyFont="1" applyFill="1" applyAlignment="1" applyProtection="1">
      <alignment vertical="center"/>
      <protection locked="0"/>
    </xf>
    <xf numFmtId="221" fontId="56" fillId="7" borderId="0" xfId="15" applyNumberFormat="1" applyFont="1" applyFill="1" applyAlignment="1" applyProtection="1">
      <alignment vertical="center"/>
      <protection locked="0"/>
    </xf>
    <xf numFmtId="224" fontId="56" fillId="7" borderId="0" xfId="9" applyNumberFormat="1" applyFont="1" applyFill="1" applyAlignment="1">
      <alignment vertical="center"/>
    </xf>
    <xf numFmtId="1" fontId="89" fillId="7" borderId="0" xfId="15" applyNumberFormat="1" applyFont="1" applyFill="1" applyAlignment="1" applyProtection="1">
      <alignment vertical="center"/>
      <protection locked="0"/>
    </xf>
    <xf numFmtId="1" fontId="89" fillId="7" borderId="4" xfId="15" applyNumberFormat="1" applyFont="1" applyFill="1" applyBorder="1" applyAlignment="1" applyProtection="1">
      <alignment vertical="center"/>
      <protection locked="0"/>
    </xf>
    <xf numFmtId="1" fontId="136" fillId="12" borderId="297" xfId="9" applyNumberFormat="1" applyFont="1" applyFill="1" applyBorder="1" applyAlignment="1">
      <alignment horizontal="center" vertical="center"/>
    </xf>
    <xf numFmtId="171" fontId="307" fillId="93" borderId="290" xfId="9" applyNumberFormat="1" applyFont="1" applyFill="1" applyBorder="1" applyAlignment="1">
      <alignment horizontal="center" vertical="center"/>
    </xf>
    <xf numFmtId="173" fontId="308" fillId="93" borderId="290" xfId="9" applyNumberFormat="1" applyFont="1" applyFill="1" applyBorder="1" applyAlignment="1" applyProtection="1">
      <alignment horizontal="center" vertical="center"/>
      <protection locked="0"/>
    </xf>
    <xf numFmtId="182" fontId="89" fillId="63" borderId="296" xfId="9" applyNumberFormat="1" applyFont="1" applyFill="1" applyBorder="1" applyAlignment="1">
      <alignment vertical="center"/>
    </xf>
    <xf numFmtId="182" fontId="89" fillId="9" borderId="121" xfId="9" applyNumberFormat="1" applyFont="1" applyFill="1" applyBorder="1" applyAlignment="1">
      <alignment vertical="center"/>
    </xf>
    <xf numFmtId="164" fontId="89" fillId="0" borderId="290" xfId="15" applyNumberFormat="1" applyFont="1" applyBorder="1" applyAlignment="1" applyProtection="1">
      <alignment horizontal="center" vertical="center"/>
      <protection locked="0"/>
    </xf>
    <xf numFmtId="182" fontId="56" fillId="0" borderId="296" xfId="9" applyNumberFormat="1" applyFont="1" applyBorder="1" applyAlignment="1">
      <alignment vertical="center"/>
    </xf>
    <xf numFmtId="182" fontId="89" fillId="0" borderId="296" xfId="9" applyNumberFormat="1" applyFont="1" applyBorder="1" applyAlignment="1">
      <alignment horizontal="center" vertical="center"/>
    </xf>
    <xf numFmtId="182" fontId="89" fillId="9" borderId="293" xfId="9" applyNumberFormat="1" applyFont="1" applyFill="1" applyBorder="1" applyAlignment="1">
      <alignment vertical="center"/>
    </xf>
    <xf numFmtId="0" fontId="262" fillId="8" borderId="0" xfId="37" applyFont="1" applyFill="1" applyAlignment="1">
      <alignment vertical="center"/>
    </xf>
    <xf numFmtId="0" fontId="262" fillId="8" borderId="4" xfId="37" applyFont="1" applyFill="1" applyBorder="1" applyAlignment="1">
      <alignment vertical="center"/>
    </xf>
    <xf numFmtId="0" fontId="114" fillId="9" borderId="2" xfId="37" applyFont="1" applyFill="1" applyBorder="1" applyAlignment="1">
      <alignment horizontal="center" vertical="center" wrapText="1"/>
    </xf>
    <xf numFmtId="0" fontId="114" fillId="9" borderId="0" xfId="37" applyFont="1" applyFill="1" applyAlignment="1">
      <alignment vertical="center" wrapText="1"/>
    </xf>
    <xf numFmtId="0" fontId="114" fillId="9" borderId="0" xfId="15" applyFont="1" applyFill="1" applyAlignment="1">
      <alignment horizontal="center" vertical="center" wrapText="1"/>
    </xf>
    <xf numFmtId="0" fontId="114" fillId="9" borderId="0" xfId="15" applyFont="1" applyFill="1" applyAlignment="1">
      <alignment vertical="center" wrapText="1"/>
    </xf>
    <xf numFmtId="0" fontId="262" fillId="9" borderId="0" xfId="37" applyFont="1" applyFill="1" applyAlignment="1">
      <alignment vertical="center"/>
    </xf>
    <xf numFmtId="0" fontId="262" fillId="9" borderId="4" xfId="37" applyFont="1" applyFill="1" applyBorder="1" applyAlignment="1">
      <alignment vertical="center"/>
    </xf>
    <xf numFmtId="0" fontId="262" fillId="9" borderId="0" xfId="37" applyFont="1" applyFill="1" applyAlignment="1">
      <alignment horizontal="center" vertical="center"/>
    </xf>
    <xf numFmtId="0" fontId="262" fillId="9" borderId="4" xfId="37" applyFont="1" applyFill="1" applyBorder="1" applyAlignment="1">
      <alignment horizontal="center" vertical="center"/>
    </xf>
    <xf numFmtId="225" fontId="279" fillId="73" borderId="2" xfId="15" applyNumberFormat="1" applyFont="1" applyFill="1" applyBorder="1" applyAlignment="1">
      <alignment horizontal="center" vertical="center"/>
    </xf>
    <xf numFmtId="226" fontId="313" fillId="12" borderId="0" xfId="15" applyNumberFormat="1" applyFont="1" applyFill="1" applyAlignment="1">
      <alignment horizontal="center" vertical="center"/>
    </xf>
    <xf numFmtId="2" fontId="276" fillId="9" borderId="0" xfId="15" applyNumberFormat="1" applyFont="1" applyFill="1" applyAlignment="1">
      <alignment horizontal="center" vertical="center"/>
    </xf>
    <xf numFmtId="0" fontId="314" fillId="9" borderId="0" xfId="15" applyFont="1" applyFill="1" applyAlignment="1">
      <alignment vertical="center"/>
    </xf>
    <xf numFmtId="0" fontId="315" fillId="9" borderId="0" xfId="15" applyFont="1" applyFill="1" applyAlignment="1">
      <alignment vertical="center"/>
    </xf>
    <xf numFmtId="0" fontId="315" fillId="9" borderId="4" xfId="15" applyFont="1" applyFill="1" applyBorder="1" applyAlignment="1">
      <alignment vertical="center"/>
    </xf>
    <xf numFmtId="168" fontId="316" fillId="9" borderId="2" xfId="15" applyNumberFormat="1" applyFont="1" applyFill="1" applyBorder="1" applyAlignment="1">
      <alignment vertical="center"/>
    </xf>
    <xf numFmtId="168" fontId="316" fillId="9" borderId="0" xfId="15" applyNumberFormat="1" applyFont="1" applyFill="1" applyAlignment="1">
      <alignment vertical="center"/>
    </xf>
    <xf numFmtId="164" fontId="257" fillId="9" borderId="4" xfId="15" applyNumberFormat="1" applyFont="1" applyFill="1" applyBorder="1" applyAlignment="1">
      <alignment horizontal="center" vertical="center"/>
    </xf>
    <xf numFmtId="225" fontId="279" fillId="73" borderId="2" xfId="15" applyNumberFormat="1" applyFont="1" applyFill="1" applyBorder="1" applyAlignment="1">
      <alignment vertical="center"/>
    </xf>
    <xf numFmtId="226" fontId="313" fillId="12" borderId="0" xfId="15" applyNumberFormat="1" applyFont="1" applyFill="1" applyAlignment="1">
      <alignment vertical="center"/>
    </xf>
    <xf numFmtId="2" fontId="276" fillId="9" borderId="0" xfId="15" applyNumberFormat="1" applyFont="1" applyFill="1" applyAlignment="1">
      <alignment vertical="center"/>
    </xf>
    <xf numFmtId="225" fontId="276" fillId="20" borderId="2" xfId="15" applyNumberFormat="1" applyFont="1" applyFill="1" applyBorder="1" applyAlignment="1">
      <alignment vertical="center"/>
    </xf>
    <xf numFmtId="225" fontId="276" fillId="20" borderId="0" xfId="15" applyNumberFormat="1" applyFont="1" applyFill="1" applyAlignment="1">
      <alignment vertical="center"/>
    </xf>
    <xf numFmtId="225" fontId="276" fillId="20" borderId="4" xfId="15" applyNumberFormat="1" applyFont="1" applyFill="1" applyBorder="1" applyAlignment="1">
      <alignment vertical="center"/>
    </xf>
    <xf numFmtId="0" fontId="317" fillId="9" borderId="2" xfId="37" applyFont="1" applyFill="1" applyBorder="1"/>
    <xf numFmtId="0" fontId="8" fillId="0" borderId="0" xfId="4" applyProtection="1">
      <protection hidden="1"/>
    </xf>
    <xf numFmtId="0" fontId="317" fillId="9" borderId="0" xfId="37" applyFont="1" applyFill="1"/>
    <xf numFmtId="225" fontId="318" fillId="9" borderId="2" xfId="15" applyNumberFormat="1" applyFont="1" applyFill="1" applyBorder="1" applyAlignment="1">
      <alignment vertical="center"/>
    </xf>
    <xf numFmtId="226" fontId="318" fillId="9" borderId="0" xfId="15" applyNumberFormat="1" applyFont="1" applyFill="1" applyAlignment="1">
      <alignment vertical="center"/>
    </xf>
    <xf numFmtId="0" fontId="314" fillId="9" borderId="0" xfId="15" applyFont="1" applyFill="1" applyAlignment="1">
      <alignment horizontal="left" vertical="center"/>
    </xf>
    <xf numFmtId="0" fontId="319" fillId="9" borderId="0" xfId="9" applyFont="1" applyFill="1"/>
    <xf numFmtId="0" fontId="8" fillId="9" borderId="0" xfId="9" applyFont="1" applyFill="1"/>
    <xf numFmtId="0" fontId="8" fillId="9" borderId="4" xfId="9" applyFont="1" applyFill="1" applyBorder="1"/>
    <xf numFmtId="0" fontId="67" fillId="9" borderId="2" xfId="4" applyFont="1" applyFill="1" applyBorder="1" applyAlignment="1">
      <alignment horizontal="left" vertical="center"/>
    </xf>
    <xf numFmtId="0" fontId="67" fillId="9" borderId="0" xfId="4" applyFont="1" applyFill="1" applyProtection="1">
      <protection hidden="1"/>
    </xf>
    <xf numFmtId="0" fontId="67" fillId="9" borderId="2" xfId="37" applyFont="1" applyFill="1" applyBorder="1" applyAlignment="1">
      <alignment horizontal="left"/>
    </xf>
    <xf numFmtId="0" fontId="320" fillId="136" borderId="2" xfId="37" applyFont="1" applyFill="1" applyBorder="1" applyAlignment="1">
      <alignment vertical="center"/>
    </xf>
    <xf numFmtId="0" fontId="320" fillId="136" borderId="0" xfId="37" applyFont="1" applyFill="1" applyAlignment="1">
      <alignment vertical="center"/>
    </xf>
    <xf numFmtId="0" fontId="320" fillId="136" borderId="4" xfId="37" applyFont="1" applyFill="1" applyBorder="1" applyAlignment="1">
      <alignment vertical="center"/>
    </xf>
    <xf numFmtId="0" fontId="114" fillId="9" borderId="0" xfId="37" applyFont="1" applyFill="1" applyAlignment="1">
      <alignment horizontal="center" vertical="center" wrapText="1"/>
    </xf>
    <xf numFmtId="0" fontId="257" fillId="9" borderId="4" xfId="15" applyFont="1" applyFill="1" applyBorder="1" applyAlignment="1">
      <alignment horizontal="center" wrapText="1"/>
    </xf>
    <xf numFmtId="168" fontId="321" fillId="9" borderId="2" xfId="15" applyNumberFormat="1" applyFont="1" applyFill="1" applyBorder="1" applyAlignment="1">
      <alignment vertical="center"/>
    </xf>
    <xf numFmtId="168" fontId="321" fillId="9" borderId="0" xfId="15" applyNumberFormat="1" applyFont="1" applyFill="1" applyAlignment="1">
      <alignment vertical="center"/>
    </xf>
    <xf numFmtId="0" fontId="321" fillId="9" borderId="0" xfId="15" applyFont="1" applyFill="1" applyAlignment="1">
      <alignment horizontal="center" vertical="center"/>
    </xf>
    <xf numFmtId="0" fontId="316" fillId="9" borderId="0" xfId="15" applyFont="1" applyFill="1" applyAlignment="1">
      <alignment vertical="center"/>
    </xf>
    <xf numFmtId="182" fontId="257" fillId="9" borderId="4" xfId="15" applyNumberFormat="1" applyFont="1" applyFill="1" applyBorder="1" applyAlignment="1">
      <alignment horizontal="center" vertical="center"/>
    </xf>
    <xf numFmtId="168" fontId="316" fillId="9" borderId="2" xfId="15" applyNumberFormat="1" applyFont="1" applyFill="1" applyBorder="1" applyAlignment="1">
      <alignment horizontal="center" vertical="center"/>
    </xf>
    <xf numFmtId="168" fontId="316" fillId="9" borderId="0" xfId="15" applyNumberFormat="1" applyFont="1" applyFill="1" applyAlignment="1">
      <alignment horizontal="center" vertical="center"/>
    </xf>
    <xf numFmtId="0" fontId="316" fillId="9" borderId="0" xfId="15" applyFont="1" applyFill="1" applyAlignment="1">
      <alignment horizontal="center" vertical="center"/>
    </xf>
    <xf numFmtId="0" fontId="257" fillId="9" borderId="4" xfId="15" applyFont="1" applyFill="1" applyBorder="1" applyAlignment="1">
      <alignment horizontal="right" vertical="center"/>
    </xf>
    <xf numFmtId="0" fontId="101" fillId="9" borderId="2" xfId="4" applyFont="1" applyFill="1" applyBorder="1" applyAlignment="1">
      <alignment horizontal="left" vertical="center"/>
    </xf>
    <xf numFmtId="0" fontId="101" fillId="9" borderId="0" xfId="4" applyFont="1" applyFill="1" applyProtection="1">
      <protection hidden="1"/>
    </xf>
    <xf numFmtId="168" fontId="10" fillId="9" borderId="0" xfId="15" applyNumberFormat="1" applyFont="1" applyFill="1" applyAlignment="1">
      <alignment horizontal="center" vertical="center"/>
    </xf>
    <xf numFmtId="0" fontId="10" fillId="9" borderId="0" xfId="15" applyFont="1" applyFill="1" applyAlignment="1">
      <alignment horizontal="center" vertical="center"/>
    </xf>
    <xf numFmtId="182" fontId="10" fillId="9" borderId="4" xfId="15" applyNumberFormat="1" applyFont="1" applyFill="1" applyBorder="1" applyAlignment="1">
      <alignment horizontal="center" vertical="center"/>
    </xf>
    <xf numFmtId="0" fontId="101" fillId="9" borderId="2" xfId="37" applyFont="1" applyFill="1" applyBorder="1" applyAlignment="1">
      <alignment horizontal="left"/>
    </xf>
    <xf numFmtId="0" fontId="10" fillId="9" borderId="265" xfId="15" applyFont="1" applyFill="1" applyBorder="1" applyAlignment="1">
      <alignment vertical="center"/>
    </xf>
    <xf numFmtId="225" fontId="318" fillId="9" borderId="2" xfId="15" applyNumberFormat="1" applyFont="1" applyFill="1" applyBorder="1" applyAlignment="1">
      <alignment horizontal="center" vertical="center"/>
    </xf>
    <xf numFmtId="226" fontId="318" fillId="9" borderId="0" xfId="15" applyNumberFormat="1" applyFont="1" applyFill="1" applyAlignment="1">
      <alignment horizontal="center" vertical="center"/>
    </xf>
    <xf numFmtId="0" fontId="315" fillId="9" borderId="0" xfId="15" applyFont="1" applyFill="1" applyAlignment="1">
      <alignment horizontal="left" vertical="center"/>
    </xf>
    <xf numFmtId="0" fontId="10" fillId="9" borderId="0" xfId="9" applyFont="1" applyFill="1" applyAlignment="1">
      <alignment horizontal="center" vertical="center"/>
    </xf>
    <xf numFmtId="225" fontId="318" fillId="9" borderId="2" xfId="15" applyNumberFormat="1" applyFont="1" applyFill="1" applyBorder="1" applyAlignment="1">
      <alignment horizontal="left" vertical="center"/>
    </xf>
    <xf numFmtId="0" fontId="10" fillId="9" borderId="2" xfId="15" applyFont="1" applyFill="1" applyBorder="1" applyAlignment="1">
      <alignment vertical="center"/>
    </xf>
    <xf numFmtId="0" fontId="10" fillId="9" borderId="0" xfId="15" applyFont="1" applyFill="1" applyAlignment="1">
      <alignment vertical="center"/>
    </xf>
    <xf numFmtId="0" fontId="257" fillId="53" borderId="2" xfId="37" applyFont="1" applyFill="1" applyBorder="1" applyAlignment="1">
      <alignment vertical="center"/>
    </xf>
    <xf numFmtId="0" fontId="257" fillId="53" borderId="0" xfId="37" applyFont="1" applyFill="1" applyAlignment="1">
      <alignment vertical="center"/>
    </xf>
    <xf numFmtId="0" fontId="257" fillId="53" borderId="4" xfId="37" applyFont="1" applyFill="1" applyBorder="1" applyAlignment="1">
      <alignment vertical="center"/>
    </xf>
    <xf numFmtId="0" fontId="1" fillId="9" borderId="30" xfId="9" applyFill="1" applyBorder="1"/>
    <xf numFmtId="0" fontId="8" fillId="0" borderId="1" xfId="4" applyBorder="1" applyProtection="1">
      <protection hidden="1"/>
    </xf>
    <xf numFmtId="0" fontId="1" fillId="9" borderId="1" xfId="9" applyFill="1" applyBorder="1"/>
    <xf numFmtId="0" fontId="1" fillId="5" borderId="303" xfId="9" applyFill="1" applyBorder="1" applyAlignment="1">
      <alignment horizontal="center" vertical="center"/>
    </xf>
    <xf numFmtId="0" fontId="23" fillId="9" borderId="82" xfId="4" applyFont="1" applyFill="1" applyBorder="1" applyAlignment="1">
      <alignment horizontal="left" vertical="center"/>
    </xf>
    <xf numFmtId="0" fontId="92" fillId="9" borderId="82" xfId="34" applyFill="1" applyBorder="1" applyAlignment="1">
      <alignment vertical="center"/>
    </xf>
    <xf numFmtId="0" fontId="92" fillId="9" borderId="138" xfId="34" applyFill="1" applyBorder="1" applyAlignment="1">
      <alignment vertical="center"/>
    </xf>
    <xf numFmtId="0" fontId="1" fillId="63" borderId="2" xfId="9" applyFill="1" applyBorder="1" applyAlignment="1">
      <alignment vertical="center"/>
    </xf>
    <xf numFmtId="0" fontId="1" fillId="63" borderId="0" xfId="9" applyFill="1" applyAlignment="1">
      <alignment vertical="center"/>
    </xf>
    <xf numFmtId="0" fontId="1" fillId="63" borderId="4" xfId="9" applyFill="1" applyBorder="1" applyAlignment="1">
      <alignment vertical="center"/>
    </xf>
    <xf numFmtId="0" fontId="326" fillId="0" borderId="0" xfId="9" applyFont="1" applyAlignment="1">
      <alignment horizontal="right" vertical="center"/>
    </xf>
    <xf numFmtId="0" fontId="1" fillId="63" borderId="0" xfId="9" applyFill="1" applyAlignment="1">
      <alignment horizontal="left" vertical="center"/>
    </xf>
    <xf numFmtId="0" fontId="327" fillId="63" borderId="0" xfId="9" applyFont="1" applyFill="1" applyAlignment="1">
      <alignment horizontal="right" vertical="center"/>
    </xf>
    <xf numFmtId="0" fontId="36" fillId="63" borderId="0" xfId="19" applyFont="1" applyFill="1" applyAlignment="1">
      <alignment horizontal="center" vertical="center"/>
    </xf>
    <xf numFmtId="0" fontId="36" fillId="63" borderId="306" xfId="19" applyFont="1" applyFill="1" applyBorder="1" applyAlignment="1">
      <alignment horizontal="center" vertical="center"/>
    </xf>
    <xf numFmtId="0" fontId="36" fillId="63" borderId="306" xfId="9" applyFont="1" applyFill="1" applyBorder="1" applyAlignment="1" applyProtection="1">
      <alignment horizontal="center" vertical="center"/>
      <protection locked="0"/>
    </xf>
    <xf numFmtId="0" fontId="328" fillId="93" borderId="48" xfId="19" applyFont="1" applyFill="1" applyBorder="1" applyAlignment="1">
      <alignment horizontal="center" vertical="center"/>
    </xf>
    <xf numFmtId="0" fontId="276" fillId="9" borderId="0" xfId="9" applyFont="1" applyFill="1" applyAlignment="1">
      <alignment horizontal="center" vertical="center"/>
    </xf>
    <xf numFmtId="0" fontId="324" fillId="63" borderId="0" xfId="9" applyFont="1" applyFill="1" applyAlignment="1">
      <alignment horizontal="left" vertical="center"/>
    </xf>
    <xf numFmtId="0" fontId="329" fillId="63" borderId="0" xfId="9" applyFont="1" applyFill="1" applyAlignment="1">
      <alignment horizontal="right" vertical="center"/>
    </xf>
    <xf numFmtId="182" fontId="282" fillId="93" borderId="48" xfId="10" applyNumberFormat="1" applyFont="1" applyFill="1" applyBorder="1" applyAlignment="1">
      <alignment horizontal="center" vertical="center"/>
    </xf>
    <xf numFmtId="182" fontId="1" fillId="63" borderId="0" xfId="9" applyNumberFormat="1" applyFill="1" applyAlignment="1">
      <alignment horizontal="center" vertical="center"/>
    </xf>
    <xf numFmtId="0" fontId="324" fillId="63" borderId="0" xfId="9" applyFont="1" applyFill="1" applyAlignment="1">
      <alignment horizontal="right" vertical="center"/>
    </xf>
    <xf numFmtId="2" fontId="330" fillId="63" borderId="277" xfId="10" applyNumberFormat="1" applyFont="1" applyFill="1" applyBorder="1" applyAlignment="1">
      <alignment horizontal="center" vertical="center"/>
    </xf>
    <xf numFmtId="2" fontId="37" fillId="63" borderId="307" xfId="19" applyNumberFormat="1" applyFont="1" applyFill="1" applyBorder="1" applyAlignment="1">
      <alignment horizontal="center" vertical="center"/>
    </xf>
    <xf numFmtId="0" fontId="1" fillId="63" borderId="277" xfId="9" applyFill="1" applyBorder="1" applyAlignment="1">
      <alignment horizontal="center" vertical="center"/>
    </xf>
    <xf numFmtId="0" fontId="1" fillId="0" borderId="2" xfId="9" applyBorder="1" applyAlignment="1">
      <alignment vertical="center"/>
    </xf>
    <xf numFmtId="0" fontId="324" fillId="0" borderId="0" xfId="9" applyFont="1" applyAlignment="1">
      <alignment horizontal="right" vertical="center"/>
    </xf>
    <xf numFmtId="169" fontId="283" fillId="93" borderId="0" xfId="9" applyNumberFormat="1" applyFont="1" applyFill="1" applyAlignment="1" applyProtection="1">
      <alignment horizontal="center" vertical="center"/>
      <protection locked="0"/>
    </xf>
    <xf numFmtId="0" fontId="331" fillId="63" borderId="0" xfId="4" applyFont="1" applyFill="1" applyAlignment="1">
      <alignment horizontal="left" vertical="center"/>
    </xf>
    <xf numFmtId="0" fontId="1" fillId="0" borderId="0" xfId="9" applyAlignment="1">
      <alignment vertical="center"/>
    </xf>
    <xf numFmtId="164" fontId="276" fillId="63" borderId="307" xfId="19" applyNumberFormat="1" applyFont="1" applyFill="1" applyBorder="1" applyAlignment="1">
      <alignment horizontal="center" vertical="center"/>
    </xf>
    <xf numFmtId="164" fontId="276" fillId="63" borderId="0" xfId="9" applyNumberFormat="1" applyFont="1" applyFill="1" applyAlignment="1">
      <alignment horizontal="center" vertical="center"/>
    </xf>
    <xf numFmtId="0" fontId="326" fillId="63" borderId="75" xfId="9" applyFont="1" applyFill="1" applyBorder="1" applyAlignment="1">
      <alignment horizontal="center" vertical="center"/>
    </xf>
    <xf numFmtId="0" fontId="1" fillId="63" borderId="38" xfId="9" applyFill="1" applyBorder="1" applyAlignment="1">
      <alignment vertical="center"/>
    </xf>
    <xf numFmtId="0" fontId="1" fillId="63" borderId="35" xfId="9" applyFill="1" applyBorder="1" applyAlignment="1">
      <alignment vertical="center"/>
    </xf>
    <xf numFmtId="0" fontId="1" fillId="63" borderId="293" xfId="9" applyFill="1" applyBorder="1" applyAlignment="1">
      <alignment vertical="center"/>
    </xf>
    <xf numFmtId="0" fontId="332" fillId="63" borderId="308" xfId="4" applyFont="1" applyFill="1" applyBorder="1" applyAlignment="1">
      <alignment vertical="center"/>
    </xf>
    <xf numFmtId="0" fontId="333" fillId="63" borderId="0" xfId="4" applyFont="1" applyFill="1" applyAlignment="1">
      <alignment vertical="center"/>
    </xf>
    <xf numFmtId="0" fontId="333" fillId="63" borderId="4" xfId="4" applyFont="1" applyFill="1" applyBorder="1" applyAlignment="1">
      <alignment vertical="center"/>
    </xf>
    <xf numFmtId="0" fontId="287" fillId="9" borderId="2" xfId="19" applyFont="1" applyFill="1" applyBorder="1" applyAlignment="1">
      <alignment horizontal="right" vertical="center"/>
    </xf>
    <xf numFmtId="175" fontId="37" fillId="63" borderId="0" xfId="10" applyNumberFormat="1" applyFont="1" applyFill="1" applyAlignment="1">
      <alignment horizontal="center" vertical="center"/>
    </xf>
    <xf numFmtId="175" fontId="285" fillId="63" borderId="4" xfId="10" applyNumberFormat="1" applyFont="1" applyFill="1" applyBorder="1" applyAlignment="1">
      <alignment vertical="center"/>
    </xf>
    <xf numFmtId="0" fontId="331" fillId="63" borderId="2" xfId="4" applyFont="1" applyFill="1" applyBorder="1" applyAlignment="1">
      <alignment horizontal="center" vertical="center"/>
    </xf>
    <xf numFmtId="175" fontId="37" fillId="63" borderId="0" xfId="10" applyNumberFormat="1" applyFont="1" applyFill="1" applyAlignment="1">
      <alignment horizontal="left" vertical="center"/>
    </xf>
    <xf numFmtId="168" fontId="123" fillId="2" borderId="311" xfId="10" applyNumberFormat="1" applyFont="1" applyFill="1" applyBorder="1" applyAlignment="1">
      <alignment vertical="center"/>
    </xf>
    <xf numFmtId="168" fontId="123" fillId="2" borderId="2" xfId="10" applyNumberFormat="1" applyFont="1" applyFill="1" applyBorder="1" applyAlignment="1">
      <alignment horizontal="left" vertical="center"/>
    </xf>
    <xf numFmtId="0" fontId="1" fillId="63" borderId="2" xfId="9" applyFill="1" applyBorder="1"/>
    <xf numFmtId="0" fontId="1" fillId="63" borderId="0" xfId="9" applyFill="1"/>
    <xf numFmtId="0" fontId="1" fillId="63" borderId="4" xfId="9" applyFill="1" applyBorder="1"/>
    <xf numFmtId="0" fontId="326" fillId="63" borderId="2" xfId="9" applyFont="1" applyFill="1" applyBorder="1" applyAlignment="1">
      <alignment vertical="center" wrapText="1"/>
    </xf>
    <xf numFmtId="0" fontId="326" fillId="63" borderId="0" xfId="9" applyFont="1" applyFill="1" applyAlignment="1">
      <alignment vertical="center" wrapText="1"/>
    </xf>
    <xf numFmtId="0" fontId="326" fillId="0" borderId="0" xfId="9" applyFont="1" applyAlignment="1">
      <alignment horizontal="right"/>
    </xf>
    <xf numFmtId="0" fontId="327" fillId="63" borderId="0" xfId="9" applyFont="1" applyFill="1" applyAlignment="1">
      <alignment horizontal="right"/>
    </xf>
    <xf numFmtId="0" fontId="36" fillId="63" borderId="262" xfId="19" applyFont="1" applyFill="1" applyBorder="1" applyAlignment="1">
      <alignment horizontal="center" vertical="center"/>
    </xf>
    <xf numFmtId="0" fontId="36" fillId="63" borderId="262" xfId="9" applyFont="1" applyFill="1" applyBorder="1" applyAlignment="1" applyProtection="1">
      <alignment horizontal="center" vertical="center"/>
      <protection locked="0"/>
    </xf>
    <xf numFmtId="168" fontId="335" fillId="93" borderId="54" xfId="10" applyNumberFormat="1" applyFont="1" applyFill="1" applyBorder="1" applyAlignment="1">
      <alignment horizontal="center" vertical="center"/>
    </xf>
    <xf numFmtId="1" fontId="336" fillId="63" borderId="75" xfId="10" applyNumberFormat="1" applyFont="1" applyFill="1" applyBorder="1" applyAlignment="1">
      <alignment horizontal="center" vertical="center"/>
    </xf>
    <xf numFmtId="0" fontId="276" fillId="9" borderId="0" xfId="9" applyFont="1" applyFill="1" applyAlignment="1">
      <alignment horizontal="left" vertical="center"/>
    </xf>
    <xf numFmtId="1" fontId="336" fillId="63" borderId="0" xfId="10" applyNumberFormat="1" applyFont="1" applyFill="1" applyAlignment="1">
      <alignment horizontal="center" vertical="center"/>
    </xf>
    <xf numFmtId="0" fontId="326" fillId="63" borderId="2" xfId="9" applyFont="1" applyFill="1" applyBorder="1" applyAlignment="1">
      <alignment vertical="center"/>
    </xf>
    <xf numFmtId="0" fontId="326" fillId="63" borderId="0" xfId="9" applyFont="1" applyFill="1" applyAlignment="1">
      <alignment vertical="center"/>
    </xf>
    <xf numFmtId="0" fontId="326" fillId="63" borderId="0" xfId="9" applyFont="1" applyFill="1" applyAlignment="1">
      <alignment horizontal="right" vertical="center"/>
    </xf>
    <xf numFmtId="2" fontId="285" fillId="63" borderId="262" xfId="10" applyNumberFormat="1" applyFont="1" applyFill="1" applyBorder="1" applyAlignment="1">
      <alignment horizontal="center" vertical="center"/>
    </xf>
    <xf numFmtId="0" fontId="1" fillId="63" borderId="75" xfId="9" applyFill="1" applyBorder="1" applyAlignment="1">
      <alignment horizontal="center" vertical="center"/>
    </xf>
    <xf numFmtId="0" fontId="1" fillId="63" borderId="0" xfId="9" applyFill="1" applyAlignment="1">
      <alignment horizontal="left"/>
    </xf>
    <xf numFmtId="0" fontId="1" fillId="0" borderId="2" xfId="9" applyBorder="1"/>
    <xf numFmtId="0" fontId="331" fillId="63" borderId="38" xfId="4" applyFont="1" applyFill="1" applyBorder="1" applyAlignment="1">
      <alignment horizontal="center" vertical="center"/>
    </xf>
    <xf numFmtId="0" fontId="1" fillId="63" borderId="35" xfId="9" applyFill="1" applyBorder="1"/>
    <xf numFmtId="0" fontId="1" fillId="63" borderId="293" xfId="9" applyFill="1" applyBorder="1"/>
    <xf numFmtId="0" fontId="337" fillId="63" borderId="2" xfId="4" applyFont="1" applyFill="1" applyBorder="1" applyAlignment="1">
      <alignment horizontal="center" vertical="center"/>
    </xf>
    <xf numFmtId="0" fontId="338" fillId="63" borderId="308" xfId="4" applyFont="1" applyFill="1" applyBorder="1" applyAlignment="1">
      <alignment vertical="center"/>
    </xf>
    <xf numFmtId="1" fontId="276" fillId="90" borderId="41" xfId="9" applyNumberFormat="1" applyFont="1" applyFill="1" applyBorder="1" applyAlignment="1">
      <alignment horizontal="centerContinuous" vertical="center" wrapText="1"/>
    </xf>
    <xf numFmtId="0" fontId="8" fillId="91" borderId="40" xfId="9" applyFont="1" applyFill="1" applyBorder="1" applyAlignment="1">
      <alignment horizontal="centerContinuous" vertical="center" wrapText="1"/>
    </xf>
    <xf numFmtId="0" fontId="8" fillId="90" borderId="40" xfId="9" applyFont="1" applyFill="1" applyBorder="1" applyAlignment="1">
      <alignment horizontal="centerContinuous" vertical="center" wrapText="1"/>
    </xf>
    <xf numFmtId="0" fontId="8" fillId="90" borderId="39" xfId="9" applyFont="1" applyFill="1" applyBorder="1" applyAlignment="1">
      <alignment horizontal="centerContinuous" vertical="center" wrapText="1"/>
    </xf>
    <xf numFmtId="0" fontId="276" fillId="90" borderId="41" xfId="9" applyFont="1" applyFill="1" applyBorder="1" applyAlignment="1">
      <alignment horizontal="centerContinuous" vertical="center"/>
    </xf>
    <xf numFmtId="0" fontId="276" fillId="90" borderId="40" xfId="9" applyFont="1" applyFill="1" applyBorder="1" applyAlignment="1">
      <alignment horizontal="centerContinuous" vertical="center"/>
    </xf>
    <xf numFmtId="0" fontId="1" fillId="90" borderId="40" xfId="9" applyFill="1" applyBorder="1" applyAlignment="1">
      <alignment horizontal="centerContinuous" vertical="center"/>
    </xf>
    <xf numFmtId="0" fontId="1" fillId="90" borderId="39" xfId="9" applyFill="1" applyBorder="1" applyAlignment="1">
      <alignment horizontal="centerContinuous" vertical="center"/>
    </xf>
    <xf numFmtId="171" fontId="8" fillId="0" borderId="2" xfId="9" applyNumberFormat="1" applyFont="1" applyBorder="1" applyAlignment="1" applyProtection="1">
      <alignment horizontal="center" vertical="center" wrapText="1"/>
      <protection locked="0"/>
    </xf>
    <xf numFmtId="171" fontId="8" fillId="0" borderId="0" xfId="9" applyNumberFormat="1" applyFont="1" applyAlignment="1" applyProtection="1">
      <alignment horizontal="center" vertical="center" wrapText="1"/>
      <protection locked="0"/>
    </xf>
    <xf numFmtId="171" fontId="8" fillId="0" borderId="4" xfId="9" applyNumberFormat="1" applyFont="1" applyBorder="1" applyAlignment="1" applyProtection="1">
      <alignment horizontal="center" vertical="center" wrapText="1"/>
      <protection locked="0"/>
    </xf>
    <xf numFmtId="191" fontId="8" fillId="0" borderId="36" xfId="19" applyNumberFormat="1" applyFont="1" applyBorder="1" applyAlignment="1">
      <alignment horizontal="center" vertical="center"/>
    </xf>
    <xf numFmtId="191" fontId="8" fillId="0" borderId="75" xfId="19" applyNumberFormat="1" applyFont="1" applyBorder="1" applyAlignment="1">
      <alignment horizontal="center" vertical="center"/>
    </xf>
    <xf numFmtId="191" fontId="8" fillId="0" borderId="319" xfId="19" applyNumberFormat="1" applyFont="1" applyBorder="1" applyAlignment="1">
      <alignment horizontal="center" vertical="center"/>
    </xf>
    <xf numFmtId="0" fontId="87" fillId="9" borderId="2" xfId="9" applyFont="1" applyFill="1" applyBorder="1" applyAlignment="1" applyProtection="1">
      <alignment horizontal="left" vertical="center"/>
      <protection locked="0"/>
    </xf>
    <xf numFmtId="0" fontId="87" fillId="9" borderId="0" xfId="9" applyFont="1" applyFill="1" applyAlignment="1" applyProtection="1">
      <alignment horizontal="left" vertical="center"/>
      <protection locked="0"/>
    </xf>
    <xf numFmtId="0" fontId="344" fillId="9" borderId="266" xfId="4" applyFont="1" applyFill="1" applyBorder="1" applyAlignment="1" applyProtection="1">
      <alignment horizontal="right" vertical="center"/>
      <protection hidden="1"/>
    </xf>
    <xf numFmtId="0" fontId="39" fillId="9" borderId="0" xfId="9" applyFont="1" applyFill="1" applyAlignment="1" applyProtection="1">
      <alignment horizontal="left" vertical="center"/>
      <protection locked="0"/>
    </xf>
    <xf numFmtId="0" fontId="87" fillId="9" borderId="4" xfId="9" applyFont="1" applyFill="1" applyBorder="1" applyAlignment="1" applyProtection="1">
      <alignment horizontal="left" vertical="center"/>
      <protection locked="0"/>
    </xf>
    <xf numFmtId="0" fontId="257" fillId="9" borderId="270" xfId="9" applyFont="1" applyFill="1" applyBorder="1" applyAlignment="1">
      <alignment horizontal="centerContinuous" vertical="center"/>
    </xf>
    <xf numFmtId="0" fontId="257" fillId="9" borderId="0" xfId="9" applyFont="1" applyFill="1" applyAlignment="1">
      <alignment horizontal="centerContinuous" vertical="center"/>
    </xf>
    <xf numFmtId="0" fontId="345" fillId="9" borderId="0" xfId="4" applyFont="1" applyFill="1" applyAlignment="1">
      <alignment horizontal="center" vertical="center"/>
    </xf>
    <xf numFmtId="0" fontId="346" fillId="9" borderId="270" xfId="4" applyFont="1" applyFill="1" applyBorder="1" applyAlignment="1">
      <alignment horizontal="center" vertical="center"/>
    </xf>
    <xf numFmtId="179" fontId="347" fillId="141" borderId="0" xfId="9" applyNumberFormat="1" applyFont="1" applyFill="1" applyAlignment="1">
      <alignment horizontal="center" vertical="center"/>
    </xf>
    <xf numFmtId="0" fontId="1" fillId="9" borderId="0" xfId="9" applyFill="1" applyAlignment="1">
      <alignment vertical="center"/>
    </xf>
    <xf numFmtId="0" fontId="52" fillId="9" borderId="0" xfId="9" applyFont="1" applyFill="1" applyAlignment="1">
      <alignment horizontal="center" vertical="center" wrapText="1"/>
    </xf>
    <xf numFmtId="0" fontId="52" fillId="9" borderId="101" xfId="9" applyFont="1" applyFill="1" applyBorder="1" applyAlignment="1">
      <alignment horizontal="center" vertical="center" wrapText="1"/>
    </xf>
    <xf numFmtId="0" fontId="52" fillId="53" borderId="270" xfId="9" applyFont="1" applyFill="1" applyBorder="1" applyAlignment="1">
      <alignment horizontal="center" vertical="center"/>
    </xf>
    <xf numFmtId="0" fontId="95" fillId="9" borderId="0" xfId="9" applyFont="1" applyFill="1" applyAlignment="1">
      <alignment horizontal="left" vertical="center"/>
    </xf>
    <xf numFmtId="179" fontId="17" fillId="9" borderId="0" xfId="9" applyNumberFormat="1" applyFont="1" applyFill="1" applyAlignment="1">
      <alignment horizontal="center" vertical="center"/>
    </xf>
    <xf numFmtId="0" fontId="1" fillId="9" borderId="0" xfId="9" applyFill="1" applyAlignment="1">
      <alignment horizontal="center" vertical="center"/>
    </xf>
    <xf numFmtId="0" fontId="345" fillId="9" borderId="270" xfId="4" applyFont="1" applyFill="1" applyBorder="1" applyAlignment="1">
      <alignment horizontal="center" vertical="center"/>
    </xf>
    <xf numFmtId="0" fontId="348" fillId="9" borderId="0" xfId="4" applyFont="1" applyFill="1" applyAlignment="1" applyProtection="1">
      <alignment horizontal="left"/>
      <protection hidden="1"/>
    </xf>
    <xf numFmtId="0" fontId="1" fillId="9" borderId="0" xfId="9" applyFill="1" applyAlignment="1">
      <alignment horizontal="left" vertical="center"/>
    </xf>
    <xf numFmtId="0" fontId="349" fillId="9" borderId="0" xfId="4" applyFont="1" applyFill="1" applyAlignment="1" applyProtection="1">
      <alignment horizontal="left"/>
      <protection hidden="1"/>
    </xf>
    <xf numFmtId="0" fontId="345" fillId="9" borderId="326" xfId="4" applyFont="1" applyFill="1" applyBorder="1" applyAlignment="1">
      <alignment horizontal="center" vertical="center"/>
    </xf>
    <xf numFmtId="0" fontId="350" fillId="9" borderId="327" xfId="4" applyFont="1" applyFill="1" applyBorder="1" applyAlignment="1" applyProtection="1">
      <alignment horizontal="left"/>
      <protection hidden="1"/>
    </xf>
    <xf numFmtId="0" fontId="52" fillId="9" borderId="327" xfId="9" applyFont="1" applyFill="1" applyBorder="1" applyAlignment="1">
      <alignment horizontal="center" vertical="center" wrapText="1"/>
    </xf>
    <xf numFmtId="0" fontId="52" fillId="9" borderId="328" xfId="9" applyFont="1" applyFill="1" applyBorder="1" applyAlignment="1">
      <alignment horizontal="center" vertical="center" wrapText="1"/>
    </xf>
    <xf numFmtId="0" fontId="346" fillId="53" borderId="116" xfId="4" applyFont="1" applyFill="1" applyBorder="1" applyAlignment="1">
      <alignment horizontal="center" vertical="center"/>
    </xf>
    <xf numFmtId="0" fontId="351" fillId="9" borderId="35" xfId="4" applyFont="1" applyFill="1" applyBorder="1" applyAlignment="1" applyProtection="1">
      <alignment horizontal="left"/>
      <protection hidden="1"/>
    </xf>
    <xf numFmtId="0" fontId="52" fillId="9" borderId="35" xfId="9" applyFont="1" applyFill="1" applyBorder="1" applyAlignment="1">
      <alignment horizontal="center" vertical="center" wrapText="1"/>
    </xf>
    <xf numFmtId="0" fontId="52" fillId="9" borderId="292" xfId="9" applyFont="1" applyFill="1" applyBorder="1" applyAlignment="1">
      <alignment horizontal="center" vertical="center" wrapText="1"/>
    </xf>
    <xf numFmtId="0" fontId="352" fillId="0" borderId="0" xfId="9" applyFont="1" applyAlignment="1">
      <alignment vertical="top"/>
    </xf>
    <xf numFmtId="0" fontId="346" fillId="9" borderId="38" xfId="4" applyFont="1" applyFill="1" applyBorder="1" applyAlignment="1">
      <alignment horizontal="center" vertical="center"/>
    </xf>
    <xf numFmtId="0" fontId="257" fillId="9" borderId="35" xfId="9" applyFont="1" applyFill="1" applyBorder="1" applyAlignment="1">
      <alignment horizontal="center" vertical="center"/>
    </xf>
    <xf numFmtId="0" fontId="345" fillId="9" borderId="35" xfId="4" applyFont="1" applyFill="1" applyBorder="1" applyAlignment="1">
      <alignment horizontal="center" vertical="center"/>
    </xf>
    <xf numFmtId="0" fontId="346" fillId="9" borderId="35" xfId="4" applyFont="1" applyFill="1" applyBorder="1" applyAlignment="1">
      <alignment horizontal="center" vertical="center"/>
    </xf>
    <xf numFmtId="0" fontId="257" fillId="9" borderId="293" xfId="9" applyFont="1" applyFill="1" applyBorder="1" applyAlignment="1">
      <alignment horizontal="center" vertical="center"/>
    </xf>
    <xf numFmtId="179" fontId="353" fillId="141" borderId="265" xfId="9" applyNumberFormat="1" applyFont="1" applyFill="1" applyBorder="1" applyAlignment="1">
      <alignment horizontal="center" vertical="center"/>
    </xf>
    <xf numFmtId="9" fontId="1" fillId="9" borderId="265" xfId="9" applyNumberFormat="1" applyFill="1" applyBorder="1" applyAlignment="1">
      <alignment horizontal="center" vertical="center"/>
    </xf>
    <xf numFmtId="0" fontId="1" fillId="9" borderId="265" xfId="9" applyFill="1" applyBorder="1"/>
    <xf numFmtId="165" fontId="1" fillId="0" borderId="265" xfId="9" applyNumberFormat="1" applyBorder="1" applyAlignment="1">
      <alignment horizontal="center"/>
    </xf>
    <xf numFmtId="165" fontId="1" fillId="0" borderId="266" xfId="9" applyNumberFormat="1" applyBorder="1" applyAlignment="1">
      <alignment horizontal="center"/>
    </xf>
    <xf numFmtId="0" fontId="52" fillId="53" borderId="2" xfId="9" applyFont="1" applyFill="1" applyBorder="1" applyAlignment="1">
      <alignment horizontal="center" vertical="center"/>
    </xf>
    <xf numFmtId="0" fontId="95" fillId="9" borderId="0" xfId="9" applyFont="1" applyFill="1" applyAlignment="1">
      <alignment horizontal="center" vertical="center"/>
    </xf>
    <xf numFmtId="0" fontId="95" fillId="9" borderId="4" xfId="9" applyFont="1" applyFill="1" applyBorder="1" applyAlignment="1">
      <alignment horizontal="left" vertical="center"/>
    </xf>
    <xf numFmtId="0" fontId="86" fillId="9" borderId="2" xfId="9" applyFont="1" applyFill="1" applyBorder="1" applyAlignment="1">
      <alignment horizontal="center" vertical="center"/>
    </xf>
    <xf numFmtId="0" fontId="86" fillId="9" borderId="0" xfId="9" applyFont="1" applyFill="1" applyAlignment="1">
      <alignment horizontal="center" vertical="center"/>
    </xf>
    <xf numFmtId="0" fontId="86" fillId="9" borderId="4" xfId="9" applyFont="1" applyFill="1" applyBorder="1" applyAlignment="1">
      <alignment horizontal="center" vertical="center"/>
    </xf>
    <xf numFmtId="227" fontId="4" fillId="9" borderId="2" xfId="9" applyNumberFormat="1" applyFont="1" applyFill="1" applyBorder="1" applyAlignment="1">
      <alignment horizontal="center" vertical="center"/>
    </xf>
    <xf numFmtId="228" fontId="116" fillId="9" borderId="0" xfId="9" applyNumberFormat="1" applyFont="1" applyFill="1" applyAlignment="1">
      <alignment horizontal="center" vertical="center"/>
    </xf>
    <xf numFmtId="228" fontId="4" fillId="9" borderId="0" xfId="9" applyNumberFormat="1" applyFont="1" applyFill="1" applyAlignment="1">
      <alignment horizontal="center" vertical="center"/>
    </xf>
    <xf numFmtId="228" fontId="116" fillId="9" borderId="4" xfId="9" applyNumberFormat="1" applyFont="1" applyFill="1" applyBorder="1" applyAlignment="1">
      <alignment horizontal="center" vertical="center"/>
    </xf>
    <xf numFmtId="165" fontId="345" fillId="43" borderId="2" xfId="9" applyNumberFormat="1" applyFont="1" applyFill="1" applyBorder="1" applyAlignment="1">
      <alignment horizontal="center" vertical="center"/>
    </xf>
    <xf numFmtId="165" fontId="345" fillId="43" borderId="0" xfId="9" applyNumberFormat="1" applyFont="1" applyFill="1" applyAlignment="1">
      <alignment horizontal="center" vertical="center"/>
    </xf>
    <xf numFmtId="165" fontId="345" fillId="9" borderId="0" xfId="9" applyNumberFormat="1" applyFont="1" applyFill="1" applyAlignment="1">
      <alignment horizontal="center" vertical="center"/>
    </xf>
    <xf numFmtId="165" fontId="345" fillId="43" borderId="4" xfId="9" applyNumberFormat="1" applyFont="1" applyFill="1" applyBorder="1" applyAlignment="1">
      <alignment horizontal="center" vertical="center"/>
    </xf>
    <xf numFmtId="165" fontId="345" fillId="9" borderId="38" xfId="9" applyNumberFormat="1" applyFont="1" applyFill="1" applyBorder="1" applyAlignment="1">
      <alignment horizontal="center" vertical="center"/>
    </xf>
    <xf numFmtId="0" fontId="1" fillId="9" borderId="35" xfId="9" applyFill="1" applyBorder="1"/>
    <xf numFmtId="165" fontId="345" fillId="9" borderId="35" xfId="9" applyNumberFormat="1" applyFont="1" applyFill="1" applyBorder="1" applyAlignment="1">
      <alignment horizontal="center" vertical="center"/>
    </xf>
    <xf numFmtId="0" fontId="345" fillId="9" borderId="293" xfId="4" applyFont="1" applyFill="1" applyBorder="1" applyAlignment="1">
      <alignment horizontal="center" vertical="center"/>
    </xf>
    <xf numFmtId="0" fontId="345" fillId="9" borderId="2" xfId="4" applyFont="1" applyFill="1" applyBorder="1" applyAlignment="1">
      <alignment horizontal="center" vertical="center"/>
    </xf>
    <xf numFmtId="0" fontId="350" fillId="9" borderId="0" xfId="4" applyFont="1" applyFill="1" applyAlignment="1" applyProtection="1">
      <alignment horizontal="left"/>
      <protection hidden="1"/>
    </xf>
    <xf numFmtId="0" fontId="23" fillId="9" borderId="0" xfId="4" applyFont="1" applyFill="1" applyAlignment="1">
      <alignment vertical="center"/>
    </xf>
    <xf numFmtId="0" fontId="23" fillId="9" borderId="4" xfId="4" applyFont="1" applyFill="1" applyBorder="1" applyAlignment="1">
      <alignment vertical="center"/>
    </xf>
    <xf numFmtId="0" fontId="346" fillId="53" borderId="2" xfId="4" applyFont="1" applyFill="1" applyBorder="1" applyAlignment="1">
      <alignment horizontal="center" vertical="center"/>
    </xf>
    <xf numFmtId="0" fontId="351" fillId="9" borderId="0" xfId="4" applyFont="1" applyFill="1" applyAlignment="1" applyProtection="1">
      <alignment horizontal="left"/>
      <protection hidden="1"/>
    </xf>
    <xf numFmtId="0" fontId="344" fillId="9" borderId="4" xfId="4" applyFont="1" applyFill="1" applyBorder="1" applyAlignment="1" applyProtection="1">
      <alignment horizontal="right" vertical="center"/>
      <protection hidden="1"/>
    </xf>
    <xf numFmtId="165" fontId="345" fillId="9" borderId="2" xfId="9" applyNumberFormat="1" applyFont="1" applyFill="1" applyBorder="1" applyAlignment="1">
      <alignment horizontal="center" vertical="center"/>
    </xf>
    <xf numFmtId="0" fontId="1" fillId="0" borderId="0" xfId="9" applyAlignment="1">
      <alignment horizontal="right"/>
    </xf>
    <xf numFmtId="0" fontId="92" fillId="9" borderId="108" xfId="34" applyFill="1" applyBorder="1" applyAlignment="1">
      <alignment vertical="center"/>
    </xf>
    <xf numFmtId="0" fontId="92" fillId="9" borderId="109" xfId="34" applyFill="1" applyBorder="1" applyAlignment="1">
      <alignment vertical="center"/>
    </xf>
    <xf numFmtId="171" fontId="354" fillId="108" borderId="0" xfId="9" applyNumberFormat="1" applyFont="1" applyFill="1" applyAlignment="1" applyProtection="1">
      <alignment horizontal="center" vertical="center"/>
      <protection locked="0"/>
    </xf>
    <xf numFmtId="171" fontId="355" fillId="9" borderId="0" xfId="9" applyNumberFormat="1" applyFont="1" applyFill="1" applyAlignment="1">
      <alignment vertical="center"/>
    </xf>
    <xf numFmtId="171" fontId="258" fillId="0" borderId="0" xfId="9" applyNumberFormat="1" applyFont="1" applyAlignment="1" applyProtection="1">
      <alignment horizontal="center" vertical="center" wrapText="1"/>
      <protection locked="0"/>
    </xf>
    <xf numFmtId="173" fontId="356" fillId="93" borderId="0" xfId="9" applyNumberFormat="1" applyFont="1" applyFill="1" applyAlignment="1" applyProtection="1">
      <alignment horizontal="center" vertical="center"/>
      <protection locked="0"/>
    </xf>
    <xf numFmtId="173" fontId="357" fillId="93" borderId="0" xfId="9" applyNumberFormat="1" applyFont="1" applyFill="1" applyAlignment="1" applyProtection="1">
      <alignment horizontal="center" vertical="center"/>
      <protection locked="0"/>
    </xf>
    <xf numFmtId="173" fontId="358" fillId="9" borderId="0" xfId="9" applyNumberFormat="1" applyFont="1" applyFill="1" applyAlignment="1" applyProtection="1">
      <alignment horizontal="center" vertical="center"/>
      <protection locked="0"/>
    </xf>
    <xf numFmtId="0" fontId="66" fillId="9" borderId="0" xfId="9" applyFont="1" applyFill="1" applyAlignment="1">
      <alignment vertical="center"/>
    </xf>
    <xf numFmtId="0" fontId="8" fillId="9" borderId="4" xfId="4" applyFill="1" applyBorder="1" applyProtection="1">
      <protection hidden="1"/>
    </xf>
    <xf numFmtId="0" fontId="1" fillId="9" borderId="38" xfId="9" applyFill="1" applyBorder="1" applyAlignment="1">
      <alignment vertical="center"/>
    </xf>
    <xf numFmtId="9" fontId="1" fillId="9" borderId="35" xfId="9" applyNumberFormat="1" applyFill="1" applyBorder="1" applyAlignment="1">
      <alignment vertical="center"/>
    </xf>
    <xf numFmtId="0" fontId="342" fillId="142" borderId="35" xfId="4" applyFont="1" applyFill="1" applyBorder="1" applyAlignment="1" applyProtection="1">
      <alignment horizontal="center" vertical="center" wrapText="1"/>
      <protection hidden="1"/>
    </xf>
    <xf numFmtId="0" fontId="8" fillId="9" borderId="35" xfId="4" applyFill="1" applyBorder="1" applyProtection="1">
      <protection hidden="1"/>
    </xf>
    <xf numFmtId="0" fontId="1" fillId="9" borderId="35" xfId="9" applyFill="1" applyBorder="1" applyAlignment="1">
      <alignment vertical="center"/>
    </xf>
    <xf numFmtId="0" fontId="8" fillId="9" borderId="293" xfId="4" applyFill="1" applyBorder="1" applyProtection="1">
      <protection hidden="1"/>
    </xf>
    <xf numFmtId="0" fontId="255" fillId="9" borderId="0" xfId="39" applyFont="1" applyFill="1" applyAlignment="1">
      <alignment horizontal="right" vertical="center"/>
    </xf>
    <xf numFmtId="229" fontId="255" fillId="9" borderId="0" xfId="39" applyNumberFormat="1" applyFont="1" applyFill="1" applyAlignment="1">
      <alignment horizontal="centerContinuous" vertical="center"/>
    </xf>
    <xf numFmtId="229" fontId="361" fillId="9" borderId="0" xfId="39" applyNumberFormat="1" applyFont="1" applyFill="1" applyAlignment="1">
      <alignment horizontal="centerContinuous" vertical="center"/>
    </xf>
    <xf numFmtId="0" fontId="80" fillId="9" borderId="0" xfId="37" applyFill="1" applyAlignment="1">
      <alignment horizontal="centerContinuous" vertical="center"/>
    </xf>
    <xf numFmtId="230" fontId="255" fillId="9" borderId="0" xfId="39" applyNumberFormat="1" applyFont="1" applyFill="1" applyAlignment="1">
      <alignment horizontal="center" vertical="center"/>
    </xf>
    <xf numFmtId="0" fontId="360" fillId="9" borderId="4" xfId="37" applyFont="1" applyFill="1" applyBorder="1" applyAlignment="1">
      <alignment horizontal="center" vertical="center"/>
    </xf>
    <xf numFmtId="0" fontId="362" fillId="63" borderId="2" xfId="4" applyFont="1" applyFill="1" applyBorder="1" applyAlignment="1">
      <alignment horizontal="center" vertical="center"/>
    </xf>
    <xf numFmtId="191" fontId="314" fillId="9" borderId="0" xfId="19" applyNumberFormat="1" applyFont="1" applyFill="1" applyAlignment="1">
      <alignment vertical="center"/>
    </xf>
    <xf numFmtId="191" fontId="276" fillId="9" borderId="0" xfId="19" applyNumberFormat="1" applyFont="1" applyFill="1" applyAlignment="1">
      <alignment vertical="center"/>
    </xf>
    <xf numFmtId="191" fontId="276" fillId="9" borderId="4" xfId="19" applyNumberFormat="1" applyFont="1" applyFill="1" applyBorder="1" applyAlignment="1">
      <alignment vertical="center"/>
    </xf>
    <xf numFmtId="2" fontId="255" fillId="9" borderId="0" xfId="19" applyNumberFormat="1" applyFont="1" applyFill="1" applyAlignment="1">
      <alignment horizontal="center" vertical="center"/>
    </xf>
    <xf numFmtId="171" fontId="255" fillId="9" borderId="0" xfId="19" applyNumberFormat="1" applyFont="1" applyFill="1" applyAlignment="1">
      <alignment horizontal="center" vertical="center"/>
    </xf>
    <xf numFmtId="169" fontId="255" fillId="9" borderId="0" xfId="37" applyNumberFormat="1" applyFont="1" applyFill="1" applyAlignment="1" applyProtection="1">
      <alignment horizontal="center" vertical="center"/>
      <protection locked="0"/>
    </xf>
    <xf numFmtId="0" fontId="39" fillId="0" borderId="4" xfId="21" applyBorder="1"/>
    <xf numFmtId="0" fontId="354" fillId="93" borderId="42" xfId="19" applyFont="1" applyFill="1" applyBorder="1" applyAlignment="1">
      <alignment horizontal="center" vertical="center"/>
    </xf>
    <xf numFmtId="191" fontId="255" fillId="9" borderId="0" xfId="19" applyNumberFormat="1" applyFont="1" applyFill="1" applyAlignment="1">
      <alignment horizontal="right" vertical="center" wrapText="1"/>
    </xf>
    <xf numFmtId="0" fontId="276" fillId="9" borderId="4" xfId="37" applyFont="1" applyFill="1" applyBorder="1" applyAlignment="1">
      <alignment horizontal="center" vertical="center"/>
    </xf>
    <xf numFmtId="0" fontId="320" fillId="9" borderId="2" xfId="9" applyFont="1" applyFill="1" applyBorder="1" applyAlignment="1">
      <alignment horizontal="center" vertical="center"/>
    </xf>
    <xf numFmtId="0" fontId="354" fillId="9" borderId="0" xfId="19" applyFont="1" applyFill="1" applyAlignment="1">
      <alignment horizontal="center" vertical="center"/>
    </xf>
    <xf numFmtId="191" fontId="255" fillId="9" borderId="4" xfId="19" applyNumberFormat="1" applyFont="1" applyFill="1" applyBorder="1" applyAlignment="1">
      <alignment horizontal="right" vertical="center" wrapText="1"/>
    </xf>
    <xf numFmtId="191" fontId="298" fillId="9" borderId="0" xfId="19" applyNumberFormat="1" applyFont="1" applyFill="1" applyAlignment="1">
      <alignment vertical="center"/>
    </xf>
    <xf numFmtId="1" fontId="363" fillId="93" borderId="0" xfId="19" applyNumberFormat="1" applyFont="1" applyFill="1" applyAlignment="1">
      <alignment horizontal="center" vertical="center"/>
    </xf>
    <xf numFmtId="0" fontId="257" fillId="9" borderId="4" xfId="9" applyFont="1" applyFill="1" applyBorder="1" applyAlignment="1">
      <alignment horizontal="center" vertical="center"/>
    </xf>
    <xf numFmtId="164" fontId="363" fillId="93" borderId="0" xfId="19" applyNumberFormat="1" applyFont="1" applyFill="1" applyAlignment="1">
      <alignment horizontal="center" vertical="center"/>
    </xf>
    <xf numFmtId="0" fontId="255" fillId="9" borderId="0" xfId="9" applyFont="1" applyFill="1" applyAlignment="1">
      <alignment horizontal="right" vertical="center"/>
    </xf>
    <xf numFmtId="164" fontId="257" fillId="9" borderId="0" xfId="19" applyNumberFormat="1" applyFont="1" applyFill="1" applyAlignment="1">
      <alignment horizontal="center" vertical="center"/>
    </xf>
    <xf numFmtId="0" fontId="255" fillId="9" borderId="0" xfId="9" applyFont="1" applyFill="1" applyAlignment="1">
      <alignment horizontal="left" vertical="center"/>
    </xf>
    <xf numFmtId="0" fontId="276" fillId="9" borderId="4" xfId="9" applyFont="1" applyFill="1" applyBorder="1" applyAlignment="1">
      <alignment horizontal="right" vertical="center"/>
    </xf>
    <xf numFmtId="171" fontId="355" fillId="9" borderId="2" xfId="9" applyNumberFormat="1" applyFont="1" applyFill="1" applyBorder="1" applyAlignment="1">
      <alignment vertical="center"/>
    </xf>
    <xf numFmtId="164" fontId="363" fillId="9" borderId="0" xfId="19" applyNumberFormat="1" applyFont="1" applyFill="1" applyAlignment="1">
      <alignment horizontal="center" vertical="center"/>
    </xf>
    <xf numFmtId="0" fontId="255" fillId="9" borderId="4" xfId="9" applyFont="1" applyFill="1" applyBorder="1" applyAlignment="1">
      <alignment horizontal="center" vertical="center"/>
    </xf>
    <xf numFmtId="171" fontId="363" fillId="93" borderId="0" xfId="19" applyNumberFormat="1" applyFont="1" applyFill="1" applyAlignment="1">
      <alignment horizontal="center" vertical="center"/>
    </xf>
    <xf numFmtId="231" fontId="257" fillId="9" borderId="4" xfId="19" applyNumberFormat="1" applyFont="1" applyFill="1" applyBorder="1" applyAlignment="1">
      <alignment horizontal="center" vertical="center"/>
    </xf>
    <xf numFmtId="0" fontId="365" fillId="9" borderId="0" xfId="9" applyFont="1" applyFill="1" applyAlignment="1">
      <alignment horizontal="center" vertical="center"/>
    </xf>
    <xf numFmtId="0" fontId="366" fillId="9" borderId="0" xfId="9" applyFont="1" applyFill="1" applyAlignment="1">
      <alignment horizontal="center"/>
    </xf>
    <xf numFmtId="0" fontId="367" fillId="9" borderId="0" xfId="4" applyFont="1" applyFill="1" applyAlignment="1" applyProtection="1">
      <alignment horizontal="center"/>
      <protection hidden="1"/>
    </xf>
    <xf numFmtId="171" fontId="355" fillId="9" borderId="30" xfId="9" applyNumberFormat="1" applyFont="1" applyFill="1" applyBorder="1" applyAlignment="1">
      <alignment vertical="center"/>
    </xf>
    <xf numFmtId="171" fontId="355" fillId="9" borderId="1" xfId="9" applyNumberFormat="1" applyFont="1" applyFill="1" applyBorder="1" applyAlignment="1">
      <alignment vertical="center"/>
    </xf>
    <xf numFmtId="0" fontId="8" fillId="9" borderId="1" xfId="4" applyFill="1" applyBorder="1" applyProtection="1">
      <protection hidden="1"/>
    </xf>
    <xf numFmtId="0" fontId="255" fillId="9" borderId="1" xfId="9" applyFont="1" applyFill="1" applyBorder="1" applyAlignment="1">
      <alignment horizontal="center" vertical="center"/>
    </xf>
    <xf numFmtId="171" fontId="66" fillId="9" borderId="1" xfId="9" applyNumberFormat="1" applyFont="1" applyFill="1" applyBorder="1" applyAlignment="1" applyProtection="1">
      <alignment horizontal="center" vertical="center" wrapText="1"/>
      <protection locked="0"/>
    </xf>
    <xf numFmtId="0" fontId="1" fillId="20" borderId="0" xfId="9" applyFill="1"/>
    <xf numFmtId="0" fontId="8" fillId="20" borderId="0" xfId="4" applyFill="1" applyProtection="1">
      <protection hidden="1"/>
    </xf>
    <xf numFmtId="0" fontId="266" fillId="20" borderId="0" xfId="4" applyFont="1" applyFill="1" applyAlignment="1" applyProtection="1">
      <alignment vertical="center"/>
      <protection hidden="1"/>
    </xf>
    <xf numFmtId="171" fontId="279" fillId="9" borderId="0" xfId="19" applyNumberFormat="1" applyFont="1" applyFill="1" applyAlignment="1">
      <alignment vertical="center"/>
    </xf>
    <xf numFmtId="0" fontId="276" fillId="9" borderId="329" xfId="9" applyFont="1" applyFill="1" applyBorder="1" applyAlignment="1">
      <alignment vertical="center"/>
    </xf>
    <xf numFmtId="0" fontId="39" fillId="9" borderId="6" xfId="21" applyFill="1" applyBorder="1"/>
    <xf numFmtId="0" fontId="92" fillId="9" borderId="6" xfId="34" applyFill="1" applyBorder="1" applyAlignment="1">
      <alignment vertical="center"/>
    </xf>
    <xf numFmtId="0" fontId="92" fillId="9" borderId="330" xfId="34" applyFill="1" applyBorder="1" applyAlignment="1">
      <alignment vertical="center"/>
    </xf>
    <xf numFmtId="0" fontId="276" fillId="9" borderId="132" xfId="9" applyFont="1" applyFill="1" applyBorder="1" applyAlignment="1">
      <alignment vertical="center"/>
    </xf>
    <xf numFmtId="0" fontId="39" fillId="9" borderId="59" xfId="21" applyFill="1" applyBorder="1"/>
    <xf numFmtId="0" fontId="276" fillId="9" borderId="2" xfId="9" applyFont="1" applyFill="1" applyBorder="1" applyAlignment="1">
      <alignment horizontal="right" vertical="center"/>
    </xf>
    <xf numFmtId="0" fontId="36" fillId="9" borderId="0" xfId="9" applyFont="1" applyFill="1" applyAlignment="1">
      <alignment horizontal="center" vertical="center"/>
    </xf>
    <xf numFmtId="171" fontId="36" fillId="9" borderId="0" xfId="19" applyNumberFormat="1" applyFont="1" applyFill="1" applyAlignment="1">
      <alignment horizontal="left" vertical="center"/>
    </xf>
    <xf numFmtId="171" fontId="36" fillId="9" borderId="4" xfId="19" applyNumberFormat="1" applyFont="1" applyFill="1" applyBorder="1" applyAlignment="1">
      <alignment vertical="center"/>
    </xf>
    <xf numFmtId="171" fontId="276" fillId="9" borderId="4" xfId="19" applyNumberFormat="1" applyFont="1" applyFill="1" applyBorder="1" applyAlignment="1">
      <alignment horizontal="center" vertical="center"/>
    </xf>
    <xf numFmtId="1" fontId="276" fillId="9" borderId="0" xfId="9" applyNumberFormat="1" applyFont="1" applyFill="1" applyAlignment="1">
      <alignment horizontal="right" vertical="center"/>
    </xf>
    <xf numFmtId="1" fontId="276" fillId="9" borderId="0" xfId="9" applyNumberFormat="1" applyFont="1" applyFill="1" applyAlignment="1">
      <alignment horizontal="center" vertical="center"/>
    </xf>
    <xf numFmtId="0" fontId="66" fillId="9" borderId="0" xfId="9" applyFont="1" applyFill="1" applyAlignment="1">
      <alignment horizontal="centerContinuous" vertical="center"/>
    </xf>
    <xf numFmtId="0" fontId="266" fillId="9" borderId="0" xfId="9" applyFont="1" applyFill="1" applyAlignment="1">
      <alignment horizontal="center" vertical="center"/>
    </xf>
    <xf numFmtId="191" fontId="370" fillId="7" borderId="2" xfId="19" applyNumberFormat="1" applyFont="1" applyFill="1" applyBorder="1" applyAlignment="1">
      <alignment horizontal="center" vertical="center" wrapText="1"/>
    </xf>
    <xf numFmtId="191" fontId="370" fillId="7" borderId="0" xfId="19" applyNumberFormat="1" applyFont="1" applyFill="1" applyAlignment="1">
      <alignment horizontal="center" vertical="center" wrapText="1"/>
    </xf>
    <xf numFmtId="1" fontId="370" fillId="7" borderId="0" xfId="19" applyNumberFormat="1" applyFont="1" applyFill="1" applyAlignment="1">
      <alignment horizontal="centerContinuous" vertical="center"/>
    </xf>
    <xf numFmtId="0" fontId="370" fillId="7" borderId="0" xfId="9" applyFont="1" applyFill="1" applyAlignment="1">
      <alignment horizontal="center" vertical="center" wrapText="1"/>
    </xf>
    <xf numFmtId="0" fontId="370" fillId="7" borderId="0" xfId="9" applyFont="1" applyFill="1" applyAlignment="1">
      <alignment horizontal="centerContinuous" vertical="center"/>
    </xf>
    <xf numFmtId="0" fontId="370" fillId="7" borderId="0" xfId="9" applyFont="1" applyFill="1" applyAlignment="1">
      <alignment horizontal="center" vertical="center"/>
    </xf>
    <xf numFmtId="171" fontId="370" fillId="7" borderId="4" xfId="19" applyNumberFormat="1" applyFont="1" applyFill="1" applyBorder="1" applyAlignment="1">
      <alignment horizontal="center" vertical="center"/>
    </xf>
    <xf numFmtId="171" fontId="370" fillId="7" borderId="2" xfId="19" applyNumberFormat="1" applyFont="1" applyFill="1" applyBorder="1" applyAlignment="1">
      <alignment horizontal="center" vertical="center"/>
    </xf>
    <xf numFmtId="171" fontId="370" fillId="7" borderId="0" xfId="19" applyNumberFormat="1" applyFont="1" applyFill="1" applyAlignment="1">
      <alignment horizontal="center" vertical="center"/>
    </xf>
    <xf numFmtId="1" fontId="370" fillId="7" borderId="0" xfId="19" applyNumberFormat="1" applyFont="1" applyFill="1" applyAlignment="1">
      <alignment horizontal="center" vertical="center"/>
    </xf>
    <xf numFmtId="2" fontId="370" fillId="7" borderId="0" xfId="19" applyNumberFormat="1" applyFont="1" applyFill="1" applyAlignment="1">
      <alignment horizontal="center" vertical="center"/>
    </xf>
    <xf numFmtId="0" fontId="370" fillId="7" borderId="4" xfId="9" applyFont="1" applyFill="1" applyBorder="1" applyAlignment="1">
      <alignment horizontal="center" vertical="center"/>
    </xf>
    <xf numFmtId="171" fontId="370" fillId="7" borderId="38" xfId="19" applyNumberFormat="1" applyFont="1" applyFill="1" applyBorder="1" applyAlignment="1">
      <alignment horizontal="center" vertical="center"/>
    </xf>
    <xf numFmtId="171" fontId="370" fillId="7" borderId="35" xfId="19" applyNumberFormat="1" applyFont="1" applyFill="1" applyBorder="1" applyAlignment="1">
      <alignment horizontal="center" vertical="center"/>
    </xf>
    <xf numFmtId="1" fontId="370" fillId="7" borderId="35" xfId="19" applyNumberFormat="1" applyFont="1" applyFill="1" applyBorder="1" applyAlignment="1">
      <alignment horizontal="center" vertical="center"/>
    </xf>
    <xf numFmtId="0" fontId="370" fillId="7" borderId="35" xfId="9" applyFont="1" applyFill="1" applyBorder="1" applyAlignment="1">
      <alignment horizontal="center" vertical="center"/>
    </xf>
    <xf numFmtId="2" fontId="370" fillId="7" borderId="35" xfId="19" applyNumberFormat="1" applyFont="1" applyFill="1" applyBorder="1" applyAlignment="1">
      <alignment horizontal="center" vertical="center"/>
    </xf>
    <xf numFmtId="0" fontId="370" fillId="7" borderId="293" xfId="9" applyFont="1" applyFill="1" applyBorder="1" applyAlignment="1">
      <alignment horizontal="center" vertical="center"/>
    </xf>
    <xf numFmtId="0" fontId="14" fillId="9" borderId="30" xfId="9" applyFont="1" applyFill="1" applyBorder="1" applyAlignment="1">
      <alignment vertical="center" wrapText="1"/>
    </xf>
    <xf numFmtId="0" fontId="14" fillId="9" borderId="1" xfId="9" applyFont="1" applyFill="1" applyBorder="1" applyAlignment="1">
      <alignment vertical="center" wrapText="1"/>
    </xf>
    <xf numFmtId="0" fontId="14" fillId="9" borderId="3" xfId="9" applyFont="1" applyFill="1" applyBorder="1" applyAlignment="1">
      <alignment vertical="center" wrapText="1"/>
    </xf>
    <xf numFmtId="0" fontId="92" fillId="9" borderId="332" xfId="34" applyFill="1" applyBorder="1" applyAlignment="1">
      <alignment vertical="center"/>
    </xf>
    <xf numFmtId="0" fontId="8" fillId="9" borderId="270" xfId="4" applyFill="1" applyBorder="1" applyProtection="1">
      <protection hidden="1"/>
    </xf>
    <xf numFmtId="0" fontId="8" fillId="9" borderId="101" xfId="4" applyFill="1" applyBorder="1" applyProtection="1">
      <protection hidden="1"/>
    </xf>
    <xf numFmtId="0" fontId="287" fillId="9" borderId="270" xfId="19" applyFont="1" applyFill="1" applyBorder="1" applyAlignment="1" applyProtection="1">
      <alignment horizontal="center" vertical="center"/>
      <protection locked="0"/>
    </xf>
    <xf numFmtId="0" fontId="287" fillId="9" borderId="0" xfId="19" applyFont="1" applyFill="1" applyAlignment="1" applyProtection="1">
      <alignment horizontal="center" vertical="center"/>
      <protection locked="0"/>
    </xf>
    <xf numFmtId="0" fontId="287" fillId="9" borderId="101" xfId="19" applyFont="1" applyFill="1" applyBorder="1" applyAlignment="1" applyProtection="1">
      <alignment horizontal="center" vertical="center"/>
      <protection locked="0"/>
    </xf>
    <xf numFmtId="0" fontId="352" fillId="9" borderId="270" xfId="9" applyFont="1" applyFill="1" applyBorder="1" applyAlignment="1">
      <alignment horizontal="left" vertical="center"/>
    </xf>
    <xf numFmtId="0" fontId="352" fillId="9" borderId="0" xfId="9" applyFont="1" applyFill="1" applyAlignment="1">
      <alignment horizontal="left" vertical="center"/>
    </xf>
    <xf numFmtId="0" fontId="279" fillId="93" borderId="333" xfId="19" applyFont="1" applyFill="1" applyBorder="1" applyAlignment="1">
      <alignment horizontal="center" vertical="center"/>
    </xf>
    <xf numFmtId="2" fontId="36" fillId="9" borderId="0" xfId="9" applyNumberFormat="1" applyFont="1" applyFill="1" applyAlignment="1">
      <alignment horizontal="left" vertical="center"/>
    </xf>
    <xf numFmtId="0" fontId="1" fillId="0" borderId="334" xfId="9" applyBorder="1"/>
    <xf numFmtId="0" fontId="352" fillId="9" borderId="101" xfId="9" applyFont="1" applyFill="1" applyBorder="1" applyAlignment="1">
      <alignment horizontal="left" vertical="center"/>
    </xf>
    <xf numFmtId="0" fontId="283" fillId="9" borderId="0" xfId="9" applyFont="1" applyFill="1" applyAlignment="1">
      <alignment horizontal="right" vertical="center"/>
    </xf>
    <xf numFmtId="182" fontId="283" fillId="93" borderId="333" xfId="19" applyNumberFormat="1" applyFont="1" applyFill="1" applyBorder="1" applyAlignment="1">
      <alignment horizontal="center" vertical="center"/>
    </xf>
    <xf numFmtId="182" fontId="313" fillId="93" borderId="333" xfId="19" applyNumberFormat="1" applyFont="1" applyFill="1" applyBorder="1" applyAlignment="1">
      <alignment horizontal="center" vertical="center"/>
    </xf>
    <xf numFmtId="0" fontId="363" fillId="9" borderId="0" xfId="9" applyFont="1" applyFill="1" applyAlignment="1">
      <alignment horizontal="center" vertical="center"/>
    </xf>
    <xf numFmtId="169" fontId="283" fillId="93" borderId="335" xfId="9" applyNumberFormat="1" applyFont="1" applyFill="1" applyBorder="1" applyAlignment="1" applyProtection="1">
      <alignment horizontal="center" vertical="center"/>
      <protection locked="0"/>
    </xf>
    <xf numFmtId="0" fontId="372" fillId="9" borderId="0" xfId="4" applyFont="1" applyFill="1" applyAlignment="1">
      <alignment horizontal="left" vertical="center"/>
    </xf>
    <xf numFmtId="0" fontId="276" fillId="9" borderId="0" xfId="19" applyFont="1" applyFill="1" applyAlignment="1">
      <alignment horizontal="right" vertical="center"/>
    </xf>
    <xf numFmtId="0" fontId="276" fillId="9" borderId="0" xfId="19" applyFont="1" applyFill="1" applyAlignment="1">
      <alignment horizontal="center" vertical="center"/>
    </xf>
    <xf numFmtId="0" fontId="276" fillId="9" borderId="336" xfId="19" applyFont="1" applyFill="1" applyBorder="1" applyAlignment="1">
      <alignment horizontal="center" vertical="center"/>
    </xf>
    <xf numFmtId="0" fontId="276" fillId="9" borderId="336" xfId="9" applyFont="1" applyFill="1" applyBorder="1" applyAlignment="1" applyProtection="1">
      <alignment horizontal="center" vertical="center"/>
      <protection locked="0"/>
    </xf>
    <xf numFmtId="0" fontId="36" fillId="9" borderId="0" xfId="9" applyFont="1" applyFill="1" applyAlignment="1">
      <alignment horizontal="right" vertical="center"/>
    </xf>
    <xf numFmtId="182" fontId="36" fillId="9" borderId="307" xfId="19" applyNumberFormat="1" applyFont="1" applyFill="1" applyBorder="1" applyAlignment="1">
      <alignment horizontal="center" vertical="center"/>
    </xf>
    <xf numFmtId="182" fontId="36" fillId="9" borderId="337" xfId="19" applyNumberFormat="1" applyFont="1" applyFill="1" applyBorder="1" applyAlignment="1">
      <alignment horizontal="center" vertical="center"/>
    </xf>
    <xf numFmtId="208" fontId="36" fillId="9" borderId="0" xfId="19" applyNumberFormat="1" applyFont="1" applyFill="1" applyAlignment="1">
      <alignment horizontal="centerContinuous" vertical="center"/>
    </xf>
    <xf numFmtId="0" fontId="36" fillId="9" borderId="0" xfId="9" applyFont="1" applyFill="1" applyAlignment="1">
      <alignment horizontal="left" vertical="center"/>
    </xf>
    <xf numFmtId="0" fontId="1" fillId="9" borderId="101" xfId="9" applyFill="1" applyBorder="1"/>
    <xf numFmtId="0" fontId="276" fillId="9" borderId="0" xfId="9" applyFont="1" applyFill="1" applyAlignment="1">
      <alignment horizontal="right" vertical="center"/>
    </xf>
    <xf numFmtId="182" fontId="276" fillId="9" borderId="307" xfId="19" applyNumberFormat="1" applyFont="1" applyFill="1" applyBorder="1" applyAlignment="1">
      <alignment horizontal="center" vertical="center"/>
    </xf>
    <xf numFmtId="182" fontId="276" fillId="9" borderId="337" xfId="19" applyNumberFormat="1" applyFont="1" applyFill="1" applyBorder="1" applyAlignment="1">
      <alignment horizontal="center" vertical="center"/>
    </xf>
    <xf numFmtId="208" fontId="273" fillId="9" borderId="0" xfId="19" applyNumberFormat="1" applyFont="1" applyFill="1" applyAlignment="1">
      <alignment horizontal="centerContinuous" vertical="center"/>
    </xf>
    <xf numFmtId="208" fontId="276" fillId="9" borderId="0" xfId="19" applyNumberFormat="1" applyFont="1" applyFill="1" applyAlignment="1">
      <alignment horizontal="centerContinuous" vertical="center"/>
    </xf>
    <xf numFmtId="208" fontId="373" fillId="9" borderId="0" xfId="19" applyNumberFormat="1" applyFont="1" applyFill="1" applyAlignment="1">
      <alignment horizontal="centerContinuous" vertical="center"/>
    </xf>
    <xf numFmtId="0" fontId="373" fillId="9" borderId="0" xfId="9" applyFont="1" applyFill="1" applyAlignment="1">
      <alignment horizontal="left" vertical="center"/>
    </xf>
    <xf numFmtId="0" fontId="374" fillId="9" borderId="0" xfId="9" applyFont="1" applyFill="1" applyAlignment="1">
      <alignment horizontal="left" vertical="center"/>
    </xf>
    <xf numFmtId="232" fontId="373" fillId="9" borderId="0" xfId="19" applyNumberFormat="1" applyFont="1" applyFill="1" applyAlignment="1">
      <alignment horizontal="centerContinuous" vertical="center"/>
    </xf>
    <xf numFmtId="0" fontId="372" fillId="9" borderId="0" xfId="4" applyFont="1" applyFill="1" applyAlignment="1">
      <alignment horizontal="center" vertical="center"/>
    </xf>
    <xf numFmtId="0" fontId="110" fillId="9" borderId="0" xfId="9" applyFont="1" applyFill="1" applyAlignment="1">
      <alignment horizontal="left" vertical="center"/>
    </xf>
    <xf numFmtId="0" fontId="67" fillId="9" borderId="0" xfId="9" applyFont="1" applyFill="1" applyAlignment="1">
      <alignment horizontal="left" vertical="center"/>
    </xf>
    <xf numFmtId="0" fontId="8" fillId="9" borderId="116" xfId="4" applyFill="1" applyBorder="1" applyProtection="1">
      <protection hidden="1"/>
    </xf>
    <xf numFmtId="0" fontId="8" fillId="9" borderId="292" xfId="4" applyFill="1" applyBorder="1" applyProtection="1">
      <protection hidden="1"/>
    </xf>
    <xf numFmtId="0" fontId="59" fillId="20" borderId="0" xfId="4" applyFont="1" applyFill="1" applyAlignment="1" applyProtection="1">
      <alignment horizontal="center" vertical="center"/>
      <protection locked="0"/>
    </xf>
    <xf numFmtId="0" fontId="17" fillId="9" borderId="0" xfId="9" applyFont="1" applyFill="1"/>
    <xf numFmtId="0" fontId="59" fillId="9" borderId="0" xfId="19" applyFont="1" applyFill="1" applyAlignment="1">
      <alignment vertical="center"/>
    </xf>
    <xf numFmtId="0" fontId="135" fillId="72" borderId="264" xfId="4" applyFont="1" applyFill="1" applyBorder="1" applyAlignment="1">
      <alignment horizontal="center" vertical="center"/>
    </xf>
    <xf numFmtId="0" fontId="10" fillId="9" borderId="0" xfId="4" applyFont="1" applyFill="1" applyAlignment="1" applyProtection="1">
      <alignment vertical="center"/>
      <protection hidden="1"/>
    </xf>
    <xf numFmtId="0" fontId="17" fillId="9" borderId="0" xfId="21" applyFont="1" applyFill="1" applyAlignment="1">
      <alignment vertical="center"/>
    </xf>
    <xf numFmtId="0" fontId="17" fillId="9" borderId="0" xfId="21" applyFont="1" applyFill="1" applyAlignment="1">
      <alignment horizontal="right" vertical="center"/>
    </xf>
    <xf numFmtId="0" fontId="144" fillId="72" borderId="268" xfId="4" applyFont="1" applyFill="1" applyBorder="1" applyAlignment="1">
      <alignment horizontal="center" vertical="center"/>
    </xf>
    <xf numFmtId="0" fontId="190" fillId="9" borderId="2" xfId="9" applyFont="1" applyFill="1" applyBorder="1" applyAlignment="1" applyProtection="1">
      <alignment horizontal="left" vertical="center"/>
      <protection locked="0"/>
    </xf>
    <xf numFmtId="166" fontId="191" fillId="93" borderId="101" xfId="9" applyNumberFormat="1" applyFont="1" applyFill="1" applyBorder="1" applyAlignment="1" applyProtection="1">
      <alignment horizontal="center" vertical="center"/>
      <protection locked="0"/>
    </xf>
    <xf numFmtId="166" fontId="193" fillId="93" borderId="4" xfId="9" applyNumberFormat="1" applyFont="1" applyFill="1" applyBorder="1" applyAlignment="1" applyProtection="1">
      <alignment horizontal="center" vertical="center"/>
      <protection locked="0"/>
    </xf>
    <xf numFmtId="0" fontId="133" fillId="9" borderId="2" xfId="9" applyFont="1" applyFill="1" applyBorder="1" applyAlignment="1" applyProtection="1">
      <alignment horizontal="left" vertical="center"/>
      <protection locked="0"/>
    </xf>
    <xf numFmtId="198" fontId="193" fillId="93" borderId="101" xfId="9" applyNumberFormat="1" applyFont="1" applyFill="1" applyBorder="1" applyAlignment="1" applyProtection="1">
      <alignment horizontal="center" vertical="center"/>
      <protection locked="0"/>
    </xf>
    <xf numFmtId="166" fontId="193" fillId="93" borderId="101" xfId="9" applyNumberFormat="1" applyFont="1" applyFill="1" applyBorder="1" applyAlignment="1" applyProtection="1">
      <alignment horizontal="center" vertical="center"/>
      <protection locked="0"/>
    </xf>
    <xf numFmtId="166" fontId="191" fillId="93" borderId="4" xfId="9" applyNumberFormat="1" applyFont="1" applyFill="1" applyBorder="1" applyAlignment="1" applyProtection="1">
      <alignment horizontal="center" vertical="center"/>
      <protection locked="0"/>
    </xf>
    <xf numFmtId="0" fontId="14" fillId="9" borderId="2" xfId="9" applyFont="1" applyFill="1" applyBorder="1" applyAlignment="1" applyProtection="1">
      <alignment horizontal="left" vertical="center"/>
      <protection locked="0"/>
    </xf>
    <xf numFmtId="166" fontId="13" fillId="9" borderId="101" xfId="9" applyNumberFormat="1" applyFont="1" applyFill="1" applyBorder="1" applyAlignment="1" applyProtection="1">
      <alignment horizontal="center" vertical="center"/>
      <protection locked="0"/>
    </xf>
    <xf numFmtId="166" fontId="13" fillId="9" borderId="4" xfId="9" applyNumberFormat="1" applyFont="1" applyFill="1" applyBorder="1" applyAlignment="1" applyProtection="1">
      <alignment horizontal="center" vertical="center"/>
      <protection locked="0"/>
    </xf>
    <xf numFmtId="0" fontId="59" fillId="9" borderId="132" xfId="9" applyFont="1" applyFill="1" applyBorder="1" applyAlignment="1" applyProtection="1">
      <alignment horizontal="left" vertical="center"/>
      <protection locked="0"/>
    </xf>
    <xf numFmtId="198" fontId="13" fillId="9" borderId="101" xfId="9" applyNumberFormat="1" applyFont="1" applyFill="1" applyBorder="1" applyAlignment="1" applyProtection="1">
      <alignment horizontal="center" vertical="center"/>
      <protection locked="0"/>
    </xf>
    <xf numFmtId="198" fontId="13" fillId="9" borderId="4" xfId="9" applyNumberFormat="1" applyFont="1" applyFill="1" applyBorder="1" applyAlignment="1" applyProtection="1">
      <alignment horizontal="center" vertical="center"/>
      <protection locked="0"/>
    </xf>
    <xf numFmtId="0" fontId="59" fillId="5" borderId="338" xfId="9" applyFont="1" applyFill="1" applyBorder="1" applyAlignment="1" applyProtection="1">
      <alignment horizontal="left" vertical="center"/>
      <protection locked="0"/>
    </xf>
    <xf numFmtId="0" fontId="59" fillId="5" borderId="108" xfId="9" applyFont="1" applyFill="1" applyBorder="1" applyAlignment="1" applyProtection="1">
      <alignment horizontal="right" vertical="center"/>
      <protection locked="0"/>
    </xf>
    <xf numFmtId="166" fontId="13" fillId="5" borderId="108" xfId="9" applyNumberFormat="1" applyFont="1" applyFill="1" applyBorder="1" applyAlignment="1" applyProtection="1">
      <alignment horizontal="center" vertical="center"/>
      <protection locked="0"/>
    </xf>
    <xf numFmtId="0" fontId="13" fillId="5" borderId="108" xfId="9" applyFont="1" applyFill="1" applyBorder="1" applyAlignment="1" applyProtection="1">
      <alignment horizontal="right" vertical="center"/>
      <protection locked="0"/>
    </xf>
    <xf numFmtId="198" fontId="13" fillId="5" borderId="108" xfId="9" applyNumberFormat="1" applyFont="1" applyFill="1" applyBorder="1" applyAlignment="1" applyProtection="1">
      <alignment horizontal="center" vertical="center"/>
      <protection locked="0"/>
    </xf>
    <xf numFmtId="198" fontId="13" fillId="5" borderId="109" xfId="9" applyNumberFormat="1" applyFont="1" applyFill="1" applyBorder="1" applyAlignment="1" applyProtection="1">
      <alignment horizontal="center" vertical="center"/>
      <protection locked="0"/>
    </xf>
    <xf numFmtId="0" fontId="192" fillId="9" borderId="2" xfId="9" applyFont="1" applyFill="1" applyBorder="1" applyAlignment="1" applyProtection="1">
      <alignment horizontal="left" vertical="center"/>
      <protection locked="0"/>
    </xf>
    <xf numFmtId="0" fontId="193" fillId="9" borderId="0" xfId="9" applyFont="1" applyFill="1" applyAlignment="1" applyProtection="1">
      <alignment horizontal="right" vertical="center" wrapText="1"/>
      <protection locked="0"/>
    </xf>
    <xf numFmtId="173" fontId="194" fillId="93" borderId="101" xfId="9" applyNumberFormat="1" applyFont="1" applyFill="1" applyBorder="1" applyAlignment="1" applyProtection="1">
      <alignment horizontal="center" vertical="center"/>
      <protection locked="0"/>
    </xf>
    <xf numFmtId="0" fontId="133" fillId="9" borderId="0" xfId="9" applyFont="1" applyFill="1" applyAlignment="1" applyProtection="1">
      <alignment horizontal="right" vertical="center" wrapText="1"/>
      <protection locked="0"/>
    </xf>
    <xf numFmtId="0" fontId="13" fillId="9" borderId="38" xfId="9" applyFont="1" applyFill="1" applyBorder="1" applyAlignment="1" applyProtection="1">
      <alignment horizontal="left" vertical="center"/>
      <protection locked="0"/>
    </xf>
    <xf numFmtId="0" fontId="13" fillId="9" borderId="35" xfId="9" applyFont="1" applyFill="1" applyBorder="1" applyAlignment="1" applyProtection="1">
      <alignment horizontal="right" vertical="center"/>
      <protection locked="0"/>
    </xf>
    <xf numFmtId="198" fontId="13" fillId="9" borderId="292" xfId="9" applyNumberFormat="1" applyFont="1" applyFill="1" applyBorder="1" applyAlignment="1" applyProtection="1">
      <alignment horizontal="center" vertical="center"/>
      <protection locked="0"/>
    </xf>
    <xf numFmtId="0" fontId="59" fillId="9" borderId="35" xfId="9" applyFont="1" applyFill="1" applyBorder="1" applyAlignment="1" applyProtection="1">
      <alignment horizontal="right" vertical="center"/>
      <protection locked="0"/>
    </xf>
    <xf numFmtId="166" fontId="13" fillId="9" borderId="292" xfId="9" applyNumberFormat="1" applyFont="1" applyFill="1" applyBorder="1" applyAlignment="1" applyProtection="1">
      <alignment horizontal="center" vertical="center"/>
      <protection locked="0"/>
    </xf>
    <xf numFmtId="198" fontId="13" fillId="9" borderId="293" xfId="9" applyNumberFormat="1" applyFont="1" applyFill="1" applyBorder="1" applyAlignment="1" applyProtection="1">
      <alignment horizontal="center" vertical="center"/>
      <protection locked="0"/>
    </xf>
    <xf numFmtId="0" fontId="59" fillId="9" borderId="0" xfId="4" applyFont="1" applyFill="1" applyAlignment="1">
      <alignment horizontal="center" vertical="center" wrapText="1"/>
    </xf>
    <xf numFmtId="0" fontId="59" fillId="9" borderId="0" xfId="4" applyFont="1" applyFill="1" applyAlignment="1">
      <alignment horizontal="center" vertical="center"/>
    </xf>
    <xf numFmtId="0" fontId="59" fillId="9" borderId="0" xfId="4" applyFont="1" applyFill="1" applyAlignment="1">
      <alignment horizontal="centerContinuous" vertical="center"/>
    </xf>
    <xf numFmtId="0" fontId="375" fillId="0" borderId="0" xfId="9" applyFont="1" applyAlignment="1">
      <alignment horizontal="center" vertical="center"/>
    </xf>
    <xf numFmtId="0" fontId="375" fillId="9" borderId="0" xfId="9" applyFont="1" applyFill="1" applyAlignment="1">
      <alignment vertical="center"/>
    </xf>
    <xf numFmtId="0" fontId="375" fillId="0" borderId="0" xfId="9" applyFont="1" applyAlignment="1">
      <alignment vertical="center"/>
    </xf>
    <xf numFmtId="0" fontId="56" fillId="2" borderId="304" xfId="19" applyFont="1" applyFill="1" applyBorder="1" applyAlignment="1" applyProtection="1">
      <alignment horizontal="left" vertical="center"/>
      <protection locked="0"/>
    </xf>
    <xf numFmtId="0" fontId="17" fillId="2" borderId="308" xfId="19" applyFont="1" applyFill="1" applyBorder="1" applyAlignment="1" applyProtection="1">
      <alignment horizontal="centerContinuous" vertical="center"/>
      <protection locked="0"/>
    </xf>
    <xf numFmtId="0" fontId="17" fillId="2" borderId="305" xfId="19" applyFont="1" applyFill="1" applyBorder="1" applyAlignment="1" applyProtection="1">
      <alignment horizontal="right" vertical="center"/>
      <protection locked="0"/>
    </xf>
    <xf numFmtId="0" fontId="17" fillId="2" borderId="304" xfId="19" applyFont="1" applyFill="1" applyBorder="1" applyAlignment="1" applyProtection="1">
      <alignment horizontal="left" vertical="center"/>
      <protection locked="0"/>
    </xf>
    <xf numFmtId="179" fontId="196" fillId="12" borderId="101" xfId="9" applyNumberFormat="1" applyFont="1" applyFill="1" applyBorder="1" applyAlignment="1" applyProtection="1">
      <alignment horizontal="center" vertical="center"/>
      <protection locked="0"/>
    </xf>
    <xf numFmtId="208" fontId="196" fillId="93" borderId="101" xfId="9" applyNumberFormat="1" applyFont="1" applyFill="1" applyBorder="1" applyAlignment="1" applyProtection="1">
      <alignment horizontal="center" vertical="center"/>
      <protection locked="0"/>
    </xf>
    <xf numFmtId="0" fontId="132" fillId="63" borderId="270" xfId="9" applyFont="1" applyFill="1" applyBorder="1" applyAlignment="1" applyProtection="1">
      <alignment horizontal="right" vertical="center"/>
      <protection locked="0"/>
    </xf>
    <xf numFmtId="179" fontId="132" fillId="93" borderId="101" xfId="9" applyNumberFormat="1" applyFont="1" applyFill="1" applyBorder="1" applyAlignment="1" applyProtection="1">
      <alignment horizontal="center" vertical="center"/>
      <protection locked="0"/>
    </xf>
    <xf numFmtId="0" fontId="132" fillId="9" borderId="0" xfId="9" applyFont="1" applyFill="1" applyAlignment="1" applyProtection="1">
      <alignment horizontal="right" vertical="center"/>
      <protection locked="0"/>
    </xf>
    <xf numFmtId="173" fontId="132" fillId="93" borderId="101" xfId="9" applyNumberFormat="1" applyFont="1" applyFill="1" applyBorder="1" applyAlignment="1" applyProtection="1">
      <alignment horizontal="center" vertical="center"/>
      <protection locked="0"/>
    </xf>
    <xf numFmtId="208" fontId="132" fillId="93" borderId="101" xfId="9" applyNumberFormat="1" applyFont="1" applyFill="1" applyBorder="1" applyAlignment="1" applyProtection="1">
      <alignment horizontal="center" vertical="center"/>
      <protection locked="0"/>
    </xf>
    <xf numFmtId="0" fontId="14" fillId="63" borderId="270" xfId="9" applyFont="1" applyFill="1" applyBorder="1" applyAlignment="1" applyProtection="1">
      <alignment horizontal="right" vertical="center"/>
      <protection locked="0"/>
    </xf>
    <xf numFmtId="179" fontId="14" fillId="63" borderId="101" xfId="9" applyNumberFormat="1" applyFont="1" applyFill="1" applyBorder="1" applyAlignment="1" applyProtection="1">
      <alignment horizontal="center" vertical="center"/>
      <protection locked="0"/>
    </xf>
    <xf numFmtId="232" fontId="14" fillId="63" borderId="101" xfId="9" applyNumberFormat="1" applyFont="1" applyFill="1" applyBorder="1" applyAlignment="1" applyProtection="1">
      <alignment horizontal="center" vertical="center"/>
      <protection locked="0"/>
    </xf>
    <xf numFmtId="208" fontId="14" fillId="63" borderId="101" xfId="9" applyNumberFormat="1" applyFont="1" applyFill="1" applyBorder="1" applyAlignment="1" applyProtection="1">
      <alignment horizontal="center" vertical="center"/>
      <protection locked="0"/>
    </xf>
    <xf numFmtId="0" fontId="14" fillId="63" borderId="116" xfId="9" applyFont="1" applyFill="1" applyBorder="1" applyAlignment="1" applyProtection="1">
      <alignment horizontal="right" vertical="center"/>
      <protection locked="0"/>
    </xf>
    <xf numFmtId="165" fontId="14" fillId="63" borderId="292" xfId="9" applyNumberFormat="1" applyFont="1" applyFill="1" applyBorder="1" applyAlignment="1" applyProtection="1">
      <alignment horizontal="center" vertical="center"/>
      <protection locked="0"/>
    </xf>
    <xf numFmtId="171" fontId="14" fillId="63" borderId="292" xfId="9" applyNumberFormat="1" applyFont="1" applyFill="1" applyBorder="1" applyAlignment="1" applyProtection="1">
      <alignment horizontal="center" vertical="center"/>
      <protection locked="0"/>
    </xf>
    <xf numFmtId="0" fontId="76" fillId="63" borderId="270" xfId="9" applyFont="1" applyFill="1" applyBorder="1" applyAlignment="1" applyProtection="1">
      <alignment horizontal="right" vertical="center"/>
      <protection locked="0"/>
    </xf>
    <xf numFmtId="0" fontId="76" fillId="63" borderId="122" xfId="9" applyFont="1" applyFill="1" applyBorder="1" applyAlignment="1" applyProtection="1">
      <alignment horizontal="right" vertical="center"/>
      <protection locked="0"/>
    </xf>
    <xf numFmtId="0" fontId="76" fillId="63" borderId="268" xfId="9" applyFont="1" applyFill="1" applyBorder="1" applyAlignment="1" applyProtection="1">
      <alignment horizontal="right" vertical="center"/>
      <protection locked="0"/>
    </xf>
    <xf numFmtId="179" fontId="132" fillId="93" borderId="124" xfId="9" applyNumberFormat="1" applyFont="1" applyFill="1" applyBorder="1" applyAlignment="1" applyProtection="1">
      <alignment horizontal="center" vertical="center"/>
      <protection locked="0"/>
    </xf>
    <xf numFmtId="208" fontId="76" fillId="93" borderId="101" xfId="9" applyNumberFormat="1" applyFont="1" applyFill="1" applyBorder="1" applyAlignment="1" applyProtection="1">
      <alignment horizontal="center" vertical="center"/>
      <protection locked="0"/>
    </xf>
    <xf numFmtId="208" fontId="76" fillId="93" borderId="124" xfId="9" applyNumberFormat="1" applyFont="1" applyFill="1" applyBorder="1" applyAlignment="1" applyProtection="1">
      <alignment horizontal="center" vertical="center"/>
      <protection locked="0"/>
    </xf>
    <xf numFmtId="173" fontId="52" fillId="93" borderId="101" xfId="9" applyNumberFormat="1" applyFont="1" applyFill="1" applyBorder="1" applyAlignment="1" applyProtection="1">
      <alignment horizontal="center" vertical="center"/>
      <protection locked="0"/>
    </xf>
    <xf numFmtId="208" fontId="52" fillId="93" borderId="101" xfId="9" applyNumberFormat="1" applyFont="1" applyFill="1" applyBorder="1" applyAlignment="1" applyProtection="1">
      <alignment horizontal="center" vertical="center"/>
      <protection locked="0"/>
    </xf>
    <xf numFmtId="232" fontId="14" fillId="63" borderId="292" xfId="9" applyNumberFormat="1" applyFont="1" applyFill="1" applyBorder="1" applyAlignment="1" applyProtection="1">
      <alignment horizontal="center" vertical="center"/>
      <protection locked="0"/>
    </xf>
    <xf numFmtId="208" fontId="14" fillId="63" borderId="292" xfId="9" applyNumberFormat="1" applyFont="1" applyFill="1" applyBorder="1" applyAlignment="1" applyProtection="1">
      <alignment horizontal="center" vertical="center"/>
      <protection locked="0"/>
    </xf>
    <xf numFmtId="0" fontId="95" fillId="9" borderId="0" xfId="9" applyFont="1" applyFill="1" applyAlignment="1">
      <alignment vertical="center"/>
    </xf>
    <xf numFmtId="0" fontId="95" fillId="9" borderId="0" xfId="9" applyFont="1" applyFill="1"/>
    <xf numFmtId="0" fontId="0" fillId="9" borderId="0" xfId="9" applyFont="1" applyFill="1"/>
    <xf numFmtId="0" fontId="52" fillId="9" borderId="0" xfId="9" applyFont="1" applyFill="1"/>
    <xf numFmtId="0" fontId="1" fillId="5" borderId="338" xfId="9" applyFill="1" applyBorder="1" applyAlignment="1">
      <alignment horizontal="center" vertical="center"/>
    </xf>
    <xf numFmtId="0" fontId="23" fillId="9" borderId="109" xfId="4" applyFont="1" applyFill="1" applyBorder="1" applyAlignment="1">
      <alignment horizontal="left" vertical="center"/>
    </xf>
    <xf numFmtId="0" fontId="192" fillId="63" borderId="2" xfId="9" applyFont="1" applyFill="1" applyBorder="1" applyAlignment="1" applyProtection="1">
      <alignment horizontal="right" vertical="center"/>
      <protection locked="0"/>
    </xf>
    <xf numFmtId="233" fontId="192" fillId="93" borderId="4" xfId="9" applyNumberFormat="1" applyFont="1" applyFill="1" applyBorder="1" applyAlignment="1" applyProtection="1">
      <alignment horizontal="center" vertical="center"/>
      <protection locked="0"/>
    </xf>
    <xf numFmtId="233" fontId="183" fillId="93" borderId="4" xfId="9" applyNumberFormat="1" applyFont="1" applyFill="1" applyBorder="1" applyAlignment="1" applyProtection="1">
      <alignment horizontal="center" vertical="center"/>
      <protection locked="0"/>
    </xf>
    <xf numFmtId="173" fontId="97" fillId="93" borderId="4" xfId="9" applyNumberFormat="1" applyFont="1" applyFill="1" applyBorder="1" applyAlignment="1" applyProtection="1">
      <alignment horizontal="center" vertical="center"/>
      <protection locked="0"/>
    </xf>
    <xf numFmtId="0" fontId="17" fillId="63" borderId="2" xfId="9" applyFont="1" applyFill="1" applyBorder="1" applyAlignment="1" applyProtection="1">
      <alignment horizontal="right" vertical="center"/>
      <protection locked="0"/>
    </xf>
    <xf numFmtId="2" fontId="17" fillId="63" borderId="4" xfId="9" applyNumberFormat="1" applyFont="1" applyFill="1" applyBorder="1" applyAlignment="1" applyProtection="1">
      <alignment horizontal="center" vertical="center"/>
      <protection locked="0"/>
    </xf>
    <xf numFmtId="0" fontId="17" fillId="63" borderId="30" xfId="9" applyFont="1" applyFill="1" applyBorder="1" applyAlignment="1" applyProtection="1">
      <alignment horizontal="right" vertical="center"/>
      <protection locked="0"/>
    </xf>
    <xf numFmtId="170" fontId="17" fillId="9" borderId="3" xfId="9" applyNumberFormat="1" applyFont="1" applyFill="1" applyBorder="1" applyAlignment="1" applyProtection="1">
      <alignment horizontal="center" vertical="center"/>
      <protection locked="0"/>
    </xf>
    <xf numFmtId="0" fontId="132" fillId="63" borderId="2" xfId="9" applyFont="1" applyFill="1" applyBorder="1" applyAlignment="1" applyProtection="1">
      <alignment horizontal="right" vertical="center"/>
      <protection locked="0"/>
    </xf>
    <xf numFmtId="233" fontId="132" fillId="93" borderId="4" xfId="9" applyNumberFormat="1" applyFont="1" applyFill="1" applyBorder="1" applyAlignment="1" applyProtection="1">
      <alignment horizontal="center" vertical="center"/>
      <protection locked="0"/>
    </xf>
    <xf numFmtId="173" fontId="52" fillId="93" borderId="4" xfId="9" applyNumberFormat="1" applyFont="1" applyFill="1" applyBorder="1" applyAlignment="1" applyProtection="1">
      <alignment horizontal="center" vertical="center"/>
      <protection locked="0"/>
    </xf>
    <xf numFmtId="0" fontId="14" fillId="63" borderId="2" xfId="9" applyFont="1" applyFill="1" applyBorder="1" applyAlignment="1" applyProtection="1">
      <alignment horizontal="right" vertical="center"/>
      <protection locked="0"/>
    </xf>
    <xf numFmtId="234" fontId="14" fillId="9" borderId="4" xfId="9" applyNumberFormat="1" applyFont="1" applyFill="1" applyBorder="1" applyAlignment="1" applyProtection="1">
      <alignment horizontal="center" vertical="center"/>
      <protection locked="0"/>
    </xf>
    <xf numFmtId="0" fontId="193" fillId="63" borderId="2" xfId="9" applyFont="1" applyFill="1" applyBorder="1" applyAlignment="1" applyProtection="1">
      <alignment horizontal="right" vertical="center"/>
      <protection locked="0"/>
    </xf>
    <xf numFmtId="233" fontId="193" fillId="93" borderId="4" xfId="9" applyNumberFormat="1" applyFont="1" applyFill="1" applyBorder="1" applyAlignment="1" applyProtection="1">
      <alignment horizontal="center" vertical="center"/>
      <protection locked="0"/>
    </xf>
    <xf numFmtId="164" fontId="14" fillId="63" borderId="4" xfId="9" applyNumberFormat="1" applyFont="1" applyFill="1" applyBorder="1" applyAlignment="1" applyProtection="1">
      <alignment horizontal="center" vertical="center"/>
      <protection locked="0"/>
    </xf>
    <xf numFmtId="173" fontId="3" fillId="93" borderId="4" xfId="9" applyNumberFormat="1" applyFont="1" applyFill="1" applyBorder="1" applyAlignment="1" applyProtection="1">
      <alignment horizontal="center" vertical="center"/>
      <protection locked="0"/>
    </xf>
    <xf numFmtId="234" fontId="17" fillId="9" borderId="4" xfId="9" applyNumberFormat="1" applyFont="1" applyFill="1" applyBorder="1" applyAlignment="1" applyProtection="1">
      <alignment horizontal="center" vertical="center"/>
      <protection locked="0"/>
    </xf>
    <xf numFmtId="164" fontId="17" fillId="63" borderId="341" xfId="9" applyNumberFormat="1" applyFont="1" applyFill="1" applyBorder="1" applyAlignment="1" applyProtection="1">
      <alignment horizontal="center" vertical="center"/>
      <protection locked="0"/>
    </xf>
    <xf numFmtId="234" fontId="17" fillId="9" borderId="342" xfId="9" applyNumberFormat="1" applyFont="1" applyFill="1" applyBorder="1" applyAlignment="1" applyProtection="1">
      <alignment horizontal="center" vertical="center"/>
      <protection locked="0"/>
    </xf>
    <xf numFmtId="2" fontId="17" fillId="63" borderId="30" xfId="9" applyNumberFormat="1" applyFont="1" applyFill="1" applyBorder="1" applyAlignment="1" applyProtection="1">
      <alignment horizontal="center" vertical="center"/>
      <protection locked="0"/>
    </xf>
    <xf numFmtId="234" fontId="17" fillId="9" borderId="3" xfId="9" applyNumberFormat="1" applyFont="1" applyFill="1" applyBorder="1" applyAlignment="1" applyProtection="1">
      <alignment horizontal="center" vertical="center"/>
      <protection locked="0"/>
    </xf>
    <xf numFmtId="164" fontId="14" fillId="63" borderId="30" xfId="9" applyNumberFormat="1" applyFont="1" applyFill="1" applyBorder="1" applyAlignment="1" applyProtection="1">
      <alignment horizontal="center" vertical="center"/>
      <protection locked="0"/>
    </xf>
    <xf numFmtId="0" fontId="92" fillId="9" borderId="0" xfId="23" applyFont="1" applyFill="1"/>
    <xf numFmtId="0" fontId="69" fillId="129" borderId="0" xfId="4" applyFont="1" applyFill="1" applyAlignment="1" applyProtection="1">
      <alignment horizontal="center" vertical="center"/>
      <protection hidden="1"/>
    </xf>
    <xf numFmtId="0" fontId="139" fillId="29" borderId="0" xfId="4" applyFont="1" applyFill="1" applyAlignment="1">
      <alignment horizontal="centerContinuous" vertical="center"/>
    </xf>
    <xf numFmtId="0" fontId="139" fillId="29" borderId="0" xfId="4" applyFont="1" applyFill="1" applyAlignment="1">
      <alignment horizontal="center" vertical="center"/>
    </xf>
    <xf numFmtId="0" fontId="62" fillId="9" borderId="0" xfId="23" applyFill="1" applyAlignment="1">
      <alignment horizontal="left" vertical="center"/>
    </xf>
    <xf numFmtId="0" fontId="376" fillId="9" borderId="0" xfId="4" applyFont="1" applyFill="1" applyProtection="1">
      <protection hidden="1"/>
    </xf>
    <xf numFmtId="0" fontId="137" fillId="9" borderId="0" xfId="9" applyFont="1" applyFill="1"/>
    <xf numFmtId="0" fontId="47" fillId="9" borderId="0" xfId="9" applyFont="1" applyFill="1"/>
    <xf numFmtId="2" fontId="13" fillId="94" borderId="343" xfId="9" applyNumberFormat="1" applyFont="1" applyFill="1" applyBorder="1" applyAlignment="1" applyProtection="1">
      <alignment horizontal="center" vertical="center" wrapText="1"/>
      <protection locked="0"/>
    </xf>
    <xf numFmtId="0" fontId="1" fillId="5" borderId="0" xfId="9" applyFill="1"/>
    <xf numFmtId="182" fontId="9" fillId="5" borderId="117" xfId="9" applyNumberFormat="1" applyFont="1" applyFill="1" applyBorder="1" applyAlignment="1">
      <alignment horizontal="center" vertical="center"/>
    </xf>
    <xf numFmtId="0" fontId="59" fillId="5" borderId="54" xfId="9" applyFont="1" applyFill="1" applyBorder="1" applyAlignment="1">
      <alignment horizontal="center" vertical="center"/>
    </xf>
    <xf numFmtId="2" fontId="9" fillId="5" borderId="118" xfId="9" applyNumberFormat="1" applyFont="1" applyFill="1" applyBorder="1" applyAlignment="1">
      <alignment horizontal="center" vertical="center"/>
    </xf>
    <xf numFmtId="9" fontId="9" fillId="47" borderId="36" xfId="9" applyNumberFormat="1" applyFont="1" applyFill="1" applyBorder="1" applyAlignment="1">
      <alignment horizontal="center" vertical="center"/>
    </xf>
    <xf numFmtId="0" fontId="1" fillId="47" borderId="0" xfId="9" applyFill="1" applyAlignment="1">
      <alignment horizontal="centerContinuous" vertical="center" wrapText="1"/>
    </xf>
    <xf numFmtId="9" fontId="121" fillId="47" borderId="294" xfId="9" applyNumberFormat="1" applyFont="1" applyFill="1" applyBorder="1" applyAlignment="1">
      <alignment horizontal="center" vertical="center"/>
    </xf>
    <xf numFmtId="190" fontId="59" fillId="95" borderId="4" xfId="9" applyNumberFormat="1" applyFont="1" applyFill="1" applyBorder="1" applyAlignment="1">
      <alignment horizontal="centerContinuous" vertical="center" wrapText="1"/>
    </xf>
    <xf numFmtId="165" fontId="192" fillId="93" borderId="36" xfId="9" applyNumberFormat="1" applyFont="1" applyFill="1" applyBorder="1" applyAlignment="1">
      <alignment horizontal="center" vertical="center"/>
    </xf>
    <xf numFmtId="170" fontId="17" fillId="5" borderId="120" xfId="9" applyNumberFormat="1" applyFont="1" applyFill="1" applyBorder="1" applyAlignment="1" applyProtection="1">
      <alignment horizontal="center" vertical="center"/>
      <protection locked="0"/>
    </xf>
    <xf numFmtId="173" fontId="183" fillId="12" borderId="0" xfId="9" applyNumberFormat="1" applyFont="1" applyFill="1" applyAlignment="1" applyProtection="1">
      <alignment horizontal="center" vertical="center"/>
      <protection locked="0"/>
    </xf>
    <xf numFmtId="170" fontId="17" fillId="5" borderId="4" xfId="9" applyNumberFormat="1" applyFont="1" applyFill="1" applyBorder="1" applyAlignment="1" applyProtection="1">
      <alignment horizontal="center" vertical="center"/>
      <protection locked="0"/>
    </xf>
    <xf numFmtId="170" fontId="17" fillId="5" borderId="0" xfId="9" applyNumberFormat="1" applyFont="1" applyFill="1" applyAlignment="1" applyProtection="1">
      <alignment horizontal="center" vertical="center"/>
      <protection locked="0"/>
    </xf>
    <xf numFmtId="173" fontId="183" fillId="93" borderId="0" xfId="9" applyNumberFormat="1" applyFont="1" applyFill="1" applyAlignment="1" applyProtection="1">
      <alignment horizontal="center" vertical="center"/>
      <protection locked="0"/>
    </xf>
    <xf numFmtId="165" fontId="192" fillId="93" borderId="297" xfId="9" applyNumberFormat="1" applyFont="1" applyFill="1" applyBorder="1" applyAlignment="1">
      <alignment horizontal="center" vertical="center"/>
    </xf>
    <xf numFmtId="170" fontId="17" fillId="5" borderId="35" xfId="9" applyNumberFormat="1" applyFont="1" applyFill="1" applyBorder="1" applyAlignment="1" applyProtection="1">
      <alignment horizontal="center" vertical="center"/>
      <protection locked="0"/>
    </xf>
    <xf numFmtId="173" fontId="183" fillId="93" borderId="35" xfId="9" applyNumberFormat="1" applyFont="1" applyFill="1" applyBorder="1" applyAlignment="1" applyProtection="1">
      <alignment horizontal="center" vertical="center"/>
      <protection locked="0"/>
    </xf>
    <xf numFmtId="170" fontId="17" fillId="5" borderId="293" xfId="9" applyNumberFormat="1" applyFont="1" applyFill="1" applyBorder="1" applyAlignment="1" applyProtection="1">
      <alignment horizontal="center" vertical="center"/>
      <protection locked="0"/>
    </xf>
    <xf numFmtId="0" fontId="14" fillId="9" borderId="264" xfId="4" applyFont="1" applyFill="1" applyBorder="1" applyAlignment="1">
      <alignment horizontal="center" vertical="center"/>
    </xf>
    <xf numFmtId="0" fontId="381" fillId="9" borderId="122" xfId="4" quotePrefix="1" applyFont="1" applyFill="1" applyBorder="1" applyAlignment="1">
      <alignment horizontal="center" vertical="center"/>
    </xf>
    <xf numFmtId="173" fontId="10" fillId="5" borderId="122" xfId="40" applyNumberFormat="1" applyFont="1" applyFill="1" applyBorder="1" applyAlignment="1" applyProtection="1">
      <alignment horizontal="center" vertical="center" wrapText="1"/>
      <protection locked="0"/>
    </xf>
    <xf numFmtId="227" fontId="10" fillId="5" borderId="266" xfId="40" applyNumberFormat="1" applyFont="1" applyFill="1" applyBorder="1" applyAlignment="1" applyProtection="1">
      <alignment horizontal="center" vertical="center" wrapText="1"/>
      <protection locked="0"/>
    </xf>
    <xf numFmtId="0" fontId="14" fillId="9" borderId="2" xfId="4" applyFont="1" applyFill="1" applyBorder="1" applyAlignment="1">
      <alignment horizontal="left" vertical="center"/>
    </xf>
    <xf numFmtId="0" fontId="382" fillId="9" borderId="2" xfId="4" applyFont="1" applyFill="1" applyBorder="1" applyAlignment="1">
      <alignment horizontal="right" vertical="center"/>
    </xf>
    <xf numFmtId="0" fontId="198" fillId="9" borderId="1" xfId="4" applyFont="1" applyFill="1" applyBorder="1" applyAlignment="1">
      <alignment horizontal="center" vertical="center" wrapText="1"/>
    </xf>
    <xf numFmtId="0" fontId="198" fillId="9" borderId="3" xfId="4" applyFont="1" applyFill="1" applyBorder="1" applyAlignment="1">
      <alignment horizontal="center" vertical="center" wrapText="1"/>
    </xf>
    <xf numFmtId="0" fontId="382" fillId="9" borderId="145" xfId="4" applyFont="1" applyFill="1" applyBorder="1" applyAlignment="1">
      <alignment horizontal="right" vertical="center"/>
    </xf>
    <xf numFmtId="0" fontId="1" fillId="9" borderId="43" xfId="9" applyFill="1" applyBorder="1"/>
    <xf numFmtId="0" fontId="1" fillId="0" borderId="43" xfId="9" applyBorder="1"/>
    <xf numFmtId="0" fontId="1" fillId="0" borderId="146" xfId="9" applyBorder="1"/>
    <xf numFmtId="0" fontId="14" fillId="9" borderId="150" xfId="4" applyFont="1" applyFill="1" applyBorder="1" applyAlignment="1">
      <alignment horizontal="left" vertical="center"/>
    </xf>
    <xf numFmtId="0" fontId="14" fillId="9" borderId="94" xfId="4" applyFont="1" applyFill="1" applyBorder="1" applyAlignment="1">
      <alignment horizontal="left" vertical="center"/>
    </xf>
    <xf numFmtId="0" fontId="13" fillId="9" borderId="94" xfId="9" applyFont="1" applyFill="1" applyBorder="1"/>
    <xf numFmtId="0" fontId="198" fillId="9" borderId="149" xfId="4" applyFont="1" applyFill="1" applyBorder="1" applyAlignment="1">
      <alignment horizontal="center" vertical="center" wrapText="1"/>
    </xf>
    <xf numFmtId="0" fontId="3" fillId="9" borderId="1" xfId="9" applyFont="1" applyFill="1" applyBorder="1"/>
    <xf numFmtId="0" fontId="83" fillId="59" borderId="0" xfId="4" applyFont="1" applyFill="1" applyAlignment="1">
      <alignment horizontal="center" vertical="center"/>
    </xf>
    <xf numFmtId="0" fontId="89" fillId="9" borderId="0" xfId="4" applyFont="1" applyFill="1" applyAlignment="1">
      <alignment horizontal="center" vertical="center" wrapText="1"/>
    </xf>
    <xf numFmtId="0" fontId="89" fillId="9" borderId="0" xfId="4" applyFont="1" applyFill="1" applyProtection="1">
      <protection hidden="1"/>
    </xf>
    <xf numFmtId="0" fontId="89" fillId="9" borderId="0" xfId="4" applyFont="1" applyFill="1" applyAlignment="1">
      <alignment horizontal="center" vertical="center"/>
    </xf>
    <xf numFmtId="0" fontId="89" fillId="9" borderId="0" xfId="4" applyFont="1" applyFill="1" applyAlignment="1">
      <alignment horizontal="centerContinuous" vertical="center"/>
    </xf>
    <xf numFmtId="2" fontId="56" fillId="63" borderId="0" xfId="9" applyNumberFormat="1" applyFont="1" applyFill="1" applyAlignment="1" applyProtection="1">
      <alignment horizontal="center" vertical="center"/>
      <protection locked="0"/>
    </xf>
    <xf numFmtId="234" fontId="17" fillId="9" borderId="0" xfId="9" applyNumberFormat="1" applyFont="1" applyFill="1" applyAlignment="1" applyProtection="1">
      <alignment horizontal="center" vertical="center"/>
      <protection locked="0"/>
    </xf>
    <xf numFmtId="0" fontId="72" fillId="9" borderId="0" xfId="4" applyFont="1" applyFill="1" applyAlignment="1">
      <alignment horizontal="center" vertical="center"/>
    </xf>
    <xf numFmtId="0" fontId="46" fillId="9" borderId="0" xfId="9" applyFont="1" applyFill="1"/>
    <xf numFmtId="0" fontId="152" fillId="9" borderId="0" xfId="23" applyFont="1" applyFill="1"/>
    <xf numFmtId="0" fontId="136" fillId="9" borderId="0" xfId="9" applyFont="1" applyFill="1"/>
    <xf numFmtId="0" fontId="62" fillId="9" borderId="0" xfId="14" applyFill="1"/>
    <xf numFmtId="0" fontId="2" fillId="69" borderId="0" xfId="1" applyFont="1" applyFill="1" applyAlignment="1">
      <alignment horizontal="right" vertical="center"/>
    </xf>
    <xf numFmtId="0" fontId="62" fillId="9" borderId="0" xfId="14" applyFill="1" applyAlignment="1">
      <alignment horizontal="left" vertical="center"/>
    </xf>
    <xf numFmtId="0" fontId="95" fillId="9" borderId="0" xfId="0" applyFont="1" applyFill="1"/>
    <xf numFmtId="0" fontId="89" fillId="0" borderId="0" xfId="1" applyFont="1" applyAlignment="1">
      <alignment horizontal="center" vertical="center"/>
    </xf>
    <xf numFmtId="0" fontId="383" fillId="64" borderId="0" xfId="1" applyFont="1" applyFill="1" applyAlignment="1">
      <alignment vertical="center"/>
    </xf>
    <xf numFmtId="0" fontId="5" fillId="144" borderId="0" xfId="25" applyFont="1" applyFill="1" applyAlignment="1">
      <alignment horizontal="center" vertical="center"/>
    </xf>
    <xf numFmtId="0" fontId="384" fillId="63" borderId="0" xfId="25" applyFont="1" applyFill="1" applyAlignment="1">
      <alignment horizontal="center" vertical="center"/>
    </xf>
    <xf numFmtId="0" fontId="384" fillId="146" borderId="0" xfId="25" applyFont="1" applyFill="1" applyAlignment="1">
      <alignment horizontal="center" vertical="center"/>
    </xf>
    <xf numFmtId="0" fontId="5" fillId="147" borderId="0" xfId="25" applyFont="1" applyFill="1" applyAlignment="1">
      <alignment horizontal="center" vertical="center"/>
    </xf>
    <xf numFmtId="0" fontId="384" fillId="148" borderId="0" xfId="25" applyFont="1" applyFill="1" applyAlignment="1">
      <alignment horizontal="center" vertical="center"/>
    </xf>
    <xf numFmtId="0" fontId="384" fillId="149" borderId="0" xfId="25" applyFont="1" applyFill="1" applyAlignment="1">
      <alignment horizontal="center" vertical="center"/>
    </xf>
    <xf numFmtId="0" fontId="384" fillId="150" borderId="0" xfId="25" applyFont="1" applyFill="1" applyAlignment="1">
      <alignment horizontal="center" vertical="center"/>
    </xf>
    <xf numFmtId="0" fontId="47" fillId="9" borderId="0" xfId="1" applyFont="1" applyFill="1"/>
    <xf numFmtId="0" fontId="5" fillId="151" borderId="0" xfId="25" applyFont="1" applyFill="1" applyAlignment="1">
      <alignment horizontal="center" vertical="center"/>
    </xf>
    <xf numFmtId="0" fontId="5" fillId="152" borderId="0" xfId="25" applyFont="1" applyFill="1" applyAlignment="1">
      <alignment horizontal="center" vertical="center"/>
    </xf>
    <xf numFmtId="0" fontId="5" fillId="153" borderId="0" xfId="25" applyFont="1" applyFill="1" applyAlignment="1">
      <alignment horizontal="center" vertical="center"/>
    </xf>
    <xf numFmtId="0" fontId="384" fillId="154" borderId="0" xfId="25" applyFont="1" applyFill="1" applyAlignment="1">
      <alignment horizontal="center" vertical="center"/>
    </xf>
    <xf numFmtId="0" fontId="5" fillId="155" borderId="0" xfId="25" applyFont="1" applyFill="1" applyAlignment="1">
      <alignment horizontal="center" vertical="center"/>
    </xf>
    <xf numFmtId="0" fontId="384" fillId="156" borderId="0" xfId="25" applyFont="1" applyFill="1" applyAlignment="1">
      <alignment horizontal="center" vertical="center"/>
    </xf>
    <xf numFmtId="0" fontId="384" fillId="132" borderId="0" xfId="25" applyFont="1" applyFill="1" applyAlignment="1">
      <alignment horizontal="center" vertical="center"/>
    </xf>
    <xf numFmtId="0" fontId="384" fillId="62" borderId="0" xfId="25" applyFont="1" applyFill="1" applyAlignment="1">
      <alignment horizontal="center" vertical="center"/>
    </xf>
    <xf numFmtId="0" fontId="384" fillId="157" borderId="0" xfId="25" applyFont="1" applyFill="1" applyAlignment="1">
      <alignment horizontal="center" vertical="center"/>
    </xf>
    <xf numFmtId="0" fontId="5" fillId="158" borderId="0" xfId="25" applyFont="1" applyFill="1" applyAlignment="1">
      <alignment horizontal="center" vertical="center"/>
    </xf>
    <xf numFmtId="0" fontId="384" fillId="93" borderId="0" xfId="25" applyFont="1" applyFill="1" applyAlignment="1">
      <alignment horizontal="center" vertical="center"/>
    </xf>
    <xf numFmtId="0" fontId="384" fillId="159" borderId="0" xfId="25" applyFont="1" applyFill="1" applyAlignment="1">
      <alignment horizontal="center" vertical="center"/>
    </xf>
    <xf numFmtId="0" fontId="5" fillId="160" borderId="0" xfId="25" applyFont="1" applyFill="1" applyAlignment="1">
      <alignment horizontal="center" vertical="center"/>
    </xf>
    <xf numFmtId="0" fontId="384" fillId="161" borderId="0" xfId="25" applyFont="1" applyFill="1" applyAlignment="1">
      <alignment horizontal="center" vertical="center"/>
    </xf>
    <xf numFmtId="0" fontId="384" fillId="162" borderId="0" xfId="25" applyFont="1" applyFill="1" applyAlignment="1">
      <alignment horizontal="center" vertical="center"/>
    </xf>
    <xf numFmtId="0" fontId="384" fillId="163" borderId="0" xfId="25" applyFont="1" applyFill="1" applyAlignment="1">
      <alignment horizontal="center" vertical="center"/>
    </xf>
    <xf numFmtId="0" fontId="5" fillId="164" borderId="0" xfId="25" applyFont="1" applyFill="1" applyAlignment="1">
      <alignment horizontal="center" vertical="center"/>
    </xf>
    <xf numFmtId="0" fontId="5" fillId="165" borderId="0" xfId="25" applyFont="1" applyFill="1" applyAlignment="1">
      <alignment horizontal="center" vertical="center"/>
    </xf>
    <xf numFmtId="0" fontId="384" fillId="166" borderId="0" xfId="25" applyFont="1" applyFill="1" applyAlignment="1">
      <alignment horizontal="center" vertical="center"/>
    </xf>
    <xf numFmtId="0" fontId="384" fillId="167" borderId="0" xfId="25" applyFont="1" applyFill="1" applyAlignment="1">
      <alignment horizontal="center" vertical="center"/>
    </xf>
    <xf numFmtId="0" fontId="5" fillId="168" borderId="0" xfId="25" applyFont="1" applyFill="1" applyAlignment="1">
      <alignment horizontal="center" vertical="center"/>
    </xf>
    <xf numFmtId="0" fontId="5" fillId="169" borderId="0" xfId="25" applyFont="1" applyFill="1" applyAlignment="1">
      <alignment horizontal="center" vertical="center"/>
    </xf>
    <xf numFmtId="0" fontId="5" fillId="170" borderId="0" xfId="25" applyFont="1" applyFill="1" applyAlignment="1">
      <alignment horizontal="center" vertical="center"/>
    </xf>
    <xf numFmtId="0" fontId="5" fillId="171" borderId="0" xfId="25" applyFont="1" applyFill="1" applyAlignment="1">
      <alignment horizontal="center" vertical="center"/>
    </xf>
    <xf numFmtId="0" fontId="76" fillId="9" borderId="308" xfId="1" applyFont="1" applyFill="1" applyBorder="1"/>
    <xf numFmtId="0" fontId="384" fillId="172" borderId="0" xfId="25" applyFont="1" applyFill="1" applyAlignment="1">
      <alignment horizontal="center" vertical="center"/>
    </xf>
    <xf numFmtId="0" fontId="384" fillId="173" borderId="0" xfId="25" applyFont="1" applyFill="1" applyAlignment="1">
      <alignment horizontal="center" vertical="center"/>
    </xf>
    <xf numFmtId="0" fontId="384" fillId="90" borderId="0" xfId="25" applyFont="1" applyFill="1" applyAlignment="1">
      <alignment horizontal="center" vertical="center"/>
    </xf>
    <xf numFmtId="0" fontId="384" fillId="108" borderId="0" xfId="25" applyFont="1" applyFill="1" applyAlignment="1">
      <alignment horizontal="center" vertical="center"/>
    </xf>
    <xf numFmtId="0" fontId="384" fillId="174" borderId="0" xfId="25" applyFont="1" applyFill="1" applyAlignment="1">
      <alignment horizontal="center" vertical="center"/>
    </xf>
    <xf numFmtId="0" fontId="384" fillId="175" borderId="0" xfId="25" applyFont="1" applyFill="1" applyAlignment="1">
      <alignment horizontal="center" vertical="center"/>
    </xf>
    <xf numFmtId="0" fontId="384" fillId="130" borderId="0" xfId="25" applyFont="1" applyFill="1" applyAlignment="1">
      <alignment horizontal="center" vertical="center"/>
    </xf>
    <xf numFmtId="0" fontId="384" fillId="176" borderId="0" xfId="25" applyFont="1" applyFill="1" applyAlignment="1">
      <alignment horizontal="center" vertical="center"/>
    </xf>
    <xf numFmtId="0" fontId="5" fillId="177" borderId="0" xfId="25" applyFont="1" applyFill="1" applyAlignment="1">
      <alignment horizontal="center" vertical="center"/>
    </xf>
    <xf numFmtId="0" fontId="384" fillId="178" borderId="0" xfId="25" applyFont="1" applyFill="1" applyAlignment="1">
      <alignment horizontal="center" vertical="center"/>
    </xf>
    <xf numFmtId="0" fontId="384" fillId="138" borderId="0" xfId="25" applyFont="1" applyFill="1" applyAlignment="1">
      <alignment horizontal="center" vertical="center"/>
    </xf>
    <xf numFmtId="0" fontId="384" fillId="179" borderId="0" xfId="25" applyFont="1" applyFill="1" applyAlignment="1">
      <alignment horizontal="center" vertical="center"/>
    </xf>
    <xf numFmtId="0" fontId="384" fillId="180" borderId="0" xfId="25" applyFont="1" applyFill="1" applyAlignment="1">
      <alignment horizontal="center" vertical="center"/>
    </xf>
    <xf numFmtId="0" fontId="5" fillId="142" borderId="0" xfId="25" applyFont="1" applyFill="1" applyAlignment="1">
      <alignment horizontal="center" vertical="center"/>
    </xf>
    <xf numFmtId="0" fontId="5" fillId="181" borderId="0" xfId="25" applyFont="1" applyFill="1" applyAlignment="1">
      <alignment horizontal="center" vertical="center"/>
    </xf>
    <xf numFmtId="0" fontId="5" fillId="182" borderId="0" xfId="25" applyFont="1" applyFill="1" applyAlignment="1">
      <alignment horizontal="center" vertical="center"/>
    </xf>
    <xf numFmtId="0" fontId="5" fillId="183" borderId="0" xfId="25" applyFont="1" applyFill="1" applyAlignment="1">
      <alignment horizontal="center" vertical="center"/>
    </xf>
    <xf numFmtId="0" fontId="5" fillId="184" borderId="0" xfId="25" applyFont="1" applyFill="1" applyAlignment="1">
      <alignment horizontal="center" vertical="center"/>
    </xf>
    <xf numFmtId="0" fontId="5" fillId="185" borderId="0" xfId="25" applyFont="1" applyFill="1" applyAlignment="1">
      <alignment horizontal="center" vertical="center"/>
    </xf>
    <xf numFmtId="0" fontId="5" fillId="186" borderId="0" xfId="25" applyFont="1" applyFill="1" applyAlignment="1">
      <alignment horizontal="center" vertical="center"/>
    </xf>
    <xf numFmtId="0" fontId="5" fillId="187" borderId="0" xfId="25" applyFont="1" applyFill="1" applyAlignment="1">
      <alignment horizontal="center" vertical="center"/>
    </xf>
    <xf numFmtId="0" fontId="5" fillId="188" borderId="0" xfId="25" applyFont="1" applyFill="1" applyAlignment="1">
      <alignment horizontal="center" vertical="center"/>
    </xf>
    <xf numFmtId="0" fontId="5" fillId="189" borderId="0" xfId="25" applyFont="1" applyFill="1" applyAlignment="1">
      <alignment horizontal="center" vertical="center"/>
    </xf>
    <xf numFmtId="0" fontId="5" fillId="190" borderId="0" xfId="25" applyFont="1" applyFill="1" applyAlignment="1">
      <alignment horizontal="center" vertical="center"/>
    </xf>
    <xf numFmtId="0" fontId="10" fillId="9" borderId="270" xfId="13" applyFont="1" applyFill="1" applyBorder="1" applyAlignment="1">
      <alignment vertical="center"/>
    </xf>
    <xf numFmtId="0" fontId="387" fillId="9" borderId="1" xfId="0" applyFont="1" applyFill="1" applyBorder="1" applyAlignment="1">
      <alignment horizontal="center"/>
    </xf>
    <xf numFmtId="0" fontId="387" fillId="9" borderId="1" xfId="42" applyFont="1" applyFill="1" applyBorder="1" applyAlignment="1">
      <alignment horizontal="center"/>
    </xf>
    <xf numFmtId="0" fontId="387" fillId="9" borderId="350" xfId="42" applyFont="1" applyFill="1" applyBorder="1" applyAlignment="1">
      <alignment horizontal="center"/>
    </xf>
    <xf numFmtId="0" fontId="387" fillId="9" borderId="3" xfId="0" applyFont="1" applyFill="1" applyBorder="1" applyAlignment="1">
      <alignment horizontal="center"/>
    </xf>
    <xf numFmtId="0" fontId="387" fillId="9" borderId="104" xfId="42" applyFont="1" applyFill="1" applyBorder="1" applyAlignment="1">
      <alignment horizontal="center"/>
    </xf>
    <xf numFmtId="0" fontId="387" fillId="9" borderId="125" xfId="0" applyFont="1" applyFill="1" applyBorder="1" applyAlignment="1">
      <alignment horizontal="center"/>
    </xf>
    <xf numFmtId="0" fontId="139" fillId="191" borderId="347" xfId="25" applyFont="1" applyFill="1" applyBorder="1" applyAlignment="1">
      <alignment horizontal="center" vertical="center" wrapText="1"/>
    </xf>
    <xf numFmtId="0" fontId="0" fillId="0" borderId="351" xfId="0" applyBorder="1" applyAlignment="1">
      <alignment horizontal="center" vertical="center"/>
    </xf>
    <xf numFmtId="0" fontId="389" fillId="63" borderId="351" xfId="25" applyFont="1" applyFill="1" applyBorder="1" applyAlignment="1">
      <alignment horizontal="center" vertical="center" wrapText="1"/>
    </xf>
    <xf numFmtId="0" fontId="139" fillId="155" borderId="352" xfId="25" applyFont="1" applyFill="1" applyBorder="1" applyAlignment="1">
      <alignment horizontal="center" vertical="center" wrapText="1"/>
    </xf>
    <xf numFmtId="0" fontId="390" fillId="192" borderId="0" xfId="0" applyFont="1" applyFill="1"/>
    <xf numFmtId="0" fontId="391" fillId="0" borderId="353" xfId="42" applyFont="1" applyBorder="1" applyAlignment="1">
      <alignment horizontal="left" vertical="center" wrapText="1"/>
    </xf>
    <xf numFmtId="0" fontId="391" fillId="0" borderId="354" xfId="42" applyFont="1" applyBorder="1" applyAlignment="1">
      <alignment horizontal="left" vertical="center"/>
    </xf>
    <xf numFmtId="0" fontId="391" fillId="0" borderId="355" xfId="42" applyFont="1" applyBorder="1" applyAlignment="1">
      <alignment horizontal="center" vertical="center"/>
    </xf>
    <xf numFmtId="0" fontId="390" fillId="0" borderId="356" xfId="0" applyFont="1" applyBorder="1" applyAlignment="1">
      <alignment horizontal="center" vertical="center"/>
    </xf>
    <xf numFmtId="0" fontId="390" fillId="0" borderId="357" xfId="0" applyFont="1" applyBorder="1" applyAlignment="1">
      <alignment horizontal="center" vertical="center"/>
    </xf>
    <xf numFmtId="0" fontId="390" fillId="193" borderId="0" xfId="0" applyFont="1" applyFill="1"/>
    <xf numFmtId="0" fontId="391" fillId="0" borderId="358" xfId="42" applyFont="1" applyBorder="1" applyAlignment="1">
      <alignment horizontal="left" wrapText="1" indent="1"/>
    </xf>
    <xf numFmtId="0" fontId="391" fillId="0" borderId="359" xfId="42" applyFont="1" applyBorder="1" applyAlignment="1">
      <alignment horizontal="left" indent="1"/>
    </xf>
    <xf numFmtId="0" fontId="391" fillId="0" borderId="360" xfId="42" applyFont="1" applyBorder="1" applyAlignment="1">
      <alignment horizontal="right" indent="1"/>
    </xf>
    <xf numFmtId="0" fontId="390" fillId="0" borderId="361" xfId="0" applyFont="1" applyBorder="1" applyAlignment="1">
      <alignment horizontal="right" indent="1"/>
    </xf>
    <xf numFmtId="0" fontId="390" fillId="0" borderId="362" xfId="0" applyFont="1" applyBorder="1" applyAlignment="1">
      <alignment horizontal="right" indent="1"/>
    </xf>
    <xf numFmtId="0" fontId="390" fillId="194" borderId="0" xfId="0" applyFont="1" applyFill="1"/>
    <xf numFmtId="0" fontId="391" fillId="0" borderId="362" xfId="42" applyFont="1" applyBorder="1" applyAlignment="1">
      <alignment horizontal="left" wrapText="1" indent="1"/>
    </xf>
    <xf numFmtId="0" fontId="389" fillId="195" borderId="363" xfId="25" applyFont="1" applyFill="1" applyBorder="1" applyAlignment="1">
      <alignment horizontal="center" vertical="center" wrapText="1"/>
    </xf>
    <xf numFmtId="0" fontId="139" fillId="151" borderId="364" xfId="25" applyFont="1" applyFill="1" applyBorder="1" applyAlignment="1">
      <alignment horizontal="center" vertical="center" wrapText="1"/>
    </xf>
    <xf numFmtId="0" fontId="390" fillId="196" borderId="0" xfId="0" applyFont="1" applyFill="1"/>
    <xf numFmtId="0" fontId="391" fillId="0" borderId="358" xfId="42" applyFont="1" applyBorder="1" applyAlignment="1">
      <alignment horizontal="left" vertical="center" wrapText="1"/>
    </xf>
    <xf numFmtId="0" fontId="391" fillId="0" borderId="359" xfId="42" applyFont="1" applyBorder="1" applyAlignment="1">
      <alignment horizontal="left" vertical="center"/>
    </xf>
    <xf numFmtId="0" fontId="391" fillId="0" borderId="360" xfId="42" applyFont="1" applyBorder="1" applyAlignment="1">
      <alignment horizontal="center" vertical="center"/>
    </xf>
    <xf numFmtId="0" fontId="390" fillId="0" borderId="361" xfId="0" applyFont="1" applyBorder="1" applyAlignment="1">
      <alignment horizontal="center" vertical="center"/>
    </xf>
    <xf numFmtId="0" fontId="390" fillId="0" borderId="362" xfId="0" applyFont="1" applyBorder="1" applyAlignment="1">
      <alignment horizontal="center" vertical="center"/>
    </xf>
    <xf numFmtId="0" fontId="390" fillId="197" borderId="0" xfId="0" applyFont="1" applyFill="1"/>
    <xf numFmtId="0" fontId="390" fillId="198" borderId="0" xfId="0" applyFont="1" applyFill="1"/>
    <xf numFmtId="0" fontId="391" fillId="0" borderId="362" xfId="42" applyFont="1" applyBorder="1" applyAlignment="1">
      <alignment horizontal="left" indent="1"/>
    </xf>
    <xf numFmtId="0" fontId="389" fillId="29" borderId="363" xfId="25" applyFont="1" applyFill="1" applyBorder="1" applyAlignment="1">
      <alignment horizontal="center" vertical="center" wrapText="1"/>
    </xf>
    <xf numFmtId="0" fontId="139" fillId="156" borderId="364" xfId="25" applyFont="1" applyFill="1" applyBorder="1" applyAlignment="1">
      <alignment horizontal="center" vertical="center" wrapText="1"/>
    </xf>
    <xf numFmtId="0" fontId="390" fillId="199" borderId="0" xfId="0" applyFont="1" applyFill="1"/>
    <xf numFmtId="0" fontId="390" fillId="200" borderId="0" xfId="0" applyFont="1" applyFill="1"/>
    <xf numFmtId="0" fontId="390" fillId="201" borderId="0" xfId="0" applyFont="1" applyFill="1"/>
    <xf numFmtId="0" fontId="389" fillId="119" borderId="363" xfId="25" applyFont="1" applyFill="1" applyBorder="1" applyAlignment="1">
      <alignment horizontal="center" vertical="center" wrapText="1"/>
    </xf>
    <xf numFmtId="0" fontId="139" fillId="147" borderId="364" xfId="25" applyFont="1" applyFill="1" applyBorder="1" applyAlignment="1">
      <alignment horizontal="center" vertical="center" wrapText="1"/>
    </xf>
    <xf numFmtId="0" fontId="390" fillId="202" borderId="0" xfId="0" applyFont="1" applyFill="1"/>
    <xf numFmtId="0" fontId="390" fillId="203" borderId="0" xfId="0" applyFont="1" applyFill="1"/>
    <xf numFmtId="0" fontId="390" fillId="204" borderId="0" xfId="0" applyFont="1" applyFill="1"/>
    <xf numFmtId="0" fontId="389" fillId="60" borderId="364" xfId="25" applyFont="1" applyFill="1" applyBorder="1" applyAlignment="1">
      <alignment horizontal="center" vertical="center" wrapText="1"/>
    </xf>
    <xf numFmtId="0" fontId="389" fillId="172" borderId="364" xfId="25" applyFont="1" applyFill="1" applyBorder="1" applyAlignment="1">
      <alignment horizontal="center" vertical="center" wrapText="1"/>
    </xf>
    <xf numFmtId="0" fontId="390" fillId="205" borderId="0" xfId="0" applyFont="1" applyFill="1"/>
    <xf numFmtId="0" fontId="391" fillId="0" borderId="358" xfId="42" applyFont="1" applyBorder="1" applyAlignment="1">
      <alignment horizontal="left" vertical="center"/>
    </xf>
    <xf numFmtId="0" fontId="390" fillId="206" borderId="0" xfId="0" applyFont="1" applyFill="1"/>
    <xf numFmtId="0" fontId="390" fillId="207" borderId="0" xfId="0" applyFont="1" applyFill="1"/>
    <xf numFmtId="0" fontId="389" fillId="53" borderId="364" xfId="25" applyFont="1" applyFill="1" applyBorder="1" applyAlignment="1">
      <alignment horizontal="center" vertical="center" wrapText="1"/>
    </xf>
    <xf numFmtId="0" fontId="389" fillId="159" borderId="364" xfId="25" applyFont="1" applyFill="1" applyBorder="1" applyAlignment="1">
      <alignment horizontal="center" vertical="center" wrapText="1"/>
    </xf>
    <xf numFmtId="0" fontId="390" fillId="208" borderId="0" xfId="0" applyFont="1" applyFill="1"/>
    <xf numFmtId="0" fontId="390" fillId="209" borderId="0" xfId="0" applyFont="1" applyFill="1"/>
    <xf numFmtId="0" fontId="390" fillId="210" borderId="0" xfId="0" applyFont="1" applyFill="1"/>
    <xf numFmtId="0" fontId="389" fillId="70" borderId="364" xfId="25" applyFont="1" applyFill="1" applyBorder="1" applyAlignment="1">
      <alignment horizontal="center" vertical="center" wrapText="1"/>
    </xf>
    <xf numFmtId="0" fontId="389" fillId="90" borderId="364" xfId="25" applyFont="1" applyFill="1" applyBorder="1" applyAlignment="1">
      <alignment horizontal="center" vertical="center" wrapText="1"/>
    </xf>
    <xf numFmtId="0" fontId="390" fillId="211" borderId="0" xfId="0" applyFont="1" applyFill="1"/>
    <xf numFmtId="0" fontId="390" fillId="212" borderId="0" xfId="0" applyFont="1" applyFill="1"/>
    <xf numFmtId="0" fontId="390" fillId="213" borderId="0" xfId="0" applyFont="1" applyFill="1"/>
    <xf numFmtId="0" fontId="389" fillId="214" borderId="364" xfId="25" applyFont="1" applyFill="1" applyBorder="1" applyAlignment="1">
      <alignment horizontal="center" vertical="center" wrapText="1"/>
    </xf>
    <xf numFmtId="0" fontId="389" fillId="108" borderId="364" xfId="25" applyFont="1" applyFill="1" applyBorder="1" applyAlignment="1">
      <alignment horizontal="center" vertical="center" wrapText="1"/>
    </xf>
    <xf numFmtId="0" fontId="390" fillId="215" borderId="0" xfId="0" applyFont="1" applyFill="1"/>
    <xf numFmtId="0" fontId="390" fillId="216" borderId="0" xfId="0" applyFont="1" applyFill="1"/>
    <xf numFmtId="0" fontId="390" fillId="217" borderId="0" xfId="0" applyFont="1" applyFill="1"/>
    <xf numFmtId="0" fontId="139" fillId="117" borderId="364" xfId="25" applyFont="1" applyFill="1" applyBorder="1" applyAlignment="1">
      <alignment horizontal="center" vertical="center" wrapText="1"/>
    </xf>
    <xf numFmtId="0" fontId="389" fillId="174" borderId="364" xfId="25" applyFont="1" applyFill="1" applyBorder="1" applyAlignment="1">
      <alignment horizontal="center" vertical="center" wrapText="1"/>
    </xf>
    <xf numFmtId="0" fontId="390" fillId="218" borderId="0" xfId="0" applyFont="1" applyFill="1"/>
    <xf numFmtId="0" fontId="390" fillId="219" borderId="0" xfId="0" applyFont="1" applyFill="1"/>
    <xf numFmtId="0" fontId="390" fillId="220" borderId="0" xfId="0" applyFont="1" applyFill="1"/>
    <xf numFmtId="0" fontId="61" fillId="121" borderId="365" xfId="13" applyFont="1" applyFill="1" applyBorder="1" applyAlignment="1">
      <alignment horizontal="center" vertical="center"/>
    </xf>
    <xf numFmtId="0" fontId="61" fillId="121" borderId="366" xfId="13" applyFont="1" applyFill="1" applyBorder="1" applyAlignment="1">
      <alignment horizontal="center" vertical="center"/>
    </xf>
    <xf numFmtId="0" fontId="139" fillId="116" borderId="364" xfId="25" applyFont="1" applyFill="1" applyBorder="1" applyAlignment="1">
      <alignment horizontal="center" vertical="center" wrapText="1"/>
    </xf>
    <xf numFmtId="0" fontId="389" fillId="175" borderId="364" xfId="25" applyFont="1" applyFill="1" applyBorder="1" applyAlignment="1">
      <alignment horizontal="center" vertical="center" wrapText="1"/>
    </xf>
    <xf numFmtId="0" fontId="390" fillId="221" borderId="0" xfId="0" applyFont="1" applyFill="1"/>
    <xf numFmtId="0" fontId="390" fillId="222" borderId="0" xfId="0" applyFont="1" applyFill="1"/>
    <xf numFmtId="0" fontId="390" fillId="223" borderId="0" xfId="0" applyFont="1" applyFill="1"/>
    <xf numFmtId="0" fontId="139" fillId="153" borderId="364" xfId="25" applyFont="1" applyFill="1" applyBorder="1" applyAlignment="1">
      <alignment horizontal="center" vertical="center" wrapText="1"/>
    </xf>
    <xf numFmtId="0" fontId="389" fillId="130" borderId="364" xfId="25" applyFont="1" applyFill="1" applyBorder="1" applyAlignment="1">
      <alignment horizontal="center" vertical="center" wrapText="1"/>
    </xf>
    <xf numFmtId="0" fontId="390" fillId="224" borderId="0" xfId="0" applyFont="1" applyFill="1"/>
    <xf numFmtId="0" fontId="390" fillId="225" borderId="0" xfId="0" applyFont="1" applyFill="1"/>
    <xf numFmtId="0" fontId="391" fillId="0" borderId="358" xfId="42" applyFont="1" applyBorder="1" applyAlignment="1">
      <alignment horizontal="left" indent="1"/>
    </xf>
    <xf numFmtId="0" fontId="390" fillId="226" borderId="0" xfId="0" applyFont="1" applyFill="1"/>
    <xf numFmtId="0" fontId="139" fillId="154" borderId="364" xfId="25" applyFont="1" applyFill="1" applyBorder="1" applyAlignment="1">
      <alignment horizontal="center" vertical="center" wrapText="1"/>
    </xf>
    <xf numFmtId="0" fontId="389" fillId="176" borderId="364" xfId="25" applyFont="1" applyFill="1" applyBorder="1" applyAlignment="1">
      <alignment horizontal="center" vertical="center" wrapText="1"/>
    </xf>
    <xf numFmtId="0" fontId="390" fillId="227" borderId="0" xfId="0" applyFont="1" applyFill="1"/>
    <xf numFmtId="0" fontId="390" fillId="228" borderId="0" xfId="0" applyFont="1" applyFill="1"/>
    <xf numFmtId="0" fontId="390" fillId="229" borderId="0" xfId="0" applyFont="1" applyFill="1"/>
    <xf numFmtId="0" fontId="139" fillId="155" borderId="364" xfId="25" applyFont="1" applyFill="1" applyBorder="1" applyAlignment="1">
      <alignment horizontal="center" vertical="center" wrapText="1"/>
    </xf>
    <xf numFmtId="0" fontId="389" fillId="177" borderId="364" xfId="25" applyFont="1" applyFill="1" applyBorder="1" applyAlignment="1">
      <alignment horizontal="center" vertical="center" wrapText="1"/>
    </xf>
    <xf numFmtId="0" fontId="390" fillId="230" borderId="0" xfId="0" applyFont="1" applyFill="1"/>
    <xf numFmtId="0" fontId="390" fillId="231" borderId="0" xfId="0" applyFont="1" applyFill="1"/>
    <xf numFmtId="0" fontId="390" fillId="232" borderId="0" xfId="0" applyFont="1" applyFill="1"/>
    <xf numFmtId="0" fontId="389" fillId="178" borderId="364" xfId="25" applyFont="1" applyFill="1" applyBorder="1" applyAlignment="1">
      <alignment horizontal="center" vertical="center" wrapText="1"/>
    </xf>
    <xf numFmtId="0" fontId="390" fillId="233" borderId="0" xfId="0" applyFont="1" applyFill="1"/>
    <xf numFmtId="0" fontId="390" fillId="234" borderId="0" xfId="0" applyFont="1" applyFill="1"/>
    <xf numFmtId="0" fontId="390" fillId="235" borderId="0" xfId="0" applyFont="1" applyFill="1"/>
    <xf numFmtId="0" fontId="389" fillId="132" borderId="364" xfId="25" applyFont="1" applyFill="1" applyBorder="1" applyAlignment="1">
      <alignment horizontal="center" vertical="center" wrapText="1"/>
    </xf>
    <xf numFmtId="0" fontId="389" fillId="138" borderId="364" xfId="25" applyFont="1" applyFill="1" applyBorder="1" applyAlignment="1">
      <alignment horizontal="center" vertical="center" wrapText="1"/>
    </xf>
    <xf numFmtId="0" fontId="390" fillId="236" borderId="0" xfId="0" applyFont="1" applyFill="1"/>
    <xf numFmtId="0" fontId="390" fillId="237" borderId="0" xfId="0" applyFont="1" applyFill="1"/>
    <xf numFmtId="0" fontId="390" fillId="238" borderId="0" xfId="0" applyFont="1" applyFill="1"/>
    <xf numFmtId="0" fontId="389" fillId="62" borderId="364" xfId="25" applyFont="1" applyFill="1" applyBorder="1" applyAlignment="1">
      <alignment horizontal="center" vertical="center" wrapText="1"/>
    </xf>
    <xf numFmtId="0" fontId="389" fillId="179" borderId="364" xfId="25" applyFont="1" applyFill="1" applyBorder="1" applyAlignment="1">
      <alignment horizontal="center" vertical="center" wrapText="1"/>
    </xf>
    <xf numFmtId="0" fontId="390" fillId="239" borderId="0" xfId="0" applyFont="1" applyFill="1"/>
    <xf numFmtId="0" fontId="390" fillId="240" borderId="0" xfId="0" applyFont="1" applyFill="1"/>
    <xf numFmtId="0" fontId="390" fillId="241" borderId="0" xfId="0" applyFont="1" applyFill="1"/>
    <xf numFmtId="0" fontId="139" fillId="157" borderId="364" xfId="25" applyFont="1" applyFill="1" applyBorder="1" applyAlignment="1">
      <alignment horizontal="center" vertical="center" wrapText="1"/>
    </xf>
    <xf numFmtId="0" fontId="389" fillId="180" borderId="364" xfId="25" applyFont="1" applyFill="1" applyBorder="1" applyAlignment="1">
      <alignment horizontal="center" vertical="center" wrapText="1"/>
    </xf>
    <xf numFmtId="0" fontId="390" fillId="242" borderId="0" xfId="0" applyFont="1" applyFill="1"/>
    <xf numFmtId="0" fontId="390" fillId="243" borderId="0" xfId="0" applyFont="1" applyFill="1"/>
    <xf numFmtId="0" fontId="390" fillId="244" borderId="0" xfId="0" applyFont="1" applyFill="1"/>
    <xf numFmtId="0" fontId="139" fillId="158" borderId="364" xfId="25" applyFont="1" applyFill="1" applyBorder="1" applyAlignment="1">
      <alignment horizontal="center" vertical="center" wrapText="1"/>
    </xf>
    <xf numFmtId="0" fontId="389" fillId="142" borderId="364" xfId="25" applyFont="1" applyFill="1" applyBorder="1" applyAlignment="1">
      <alignment horizontal="center" vertical="center" wrapText="1"/>
    </xf>
    <xf numFmtId="0" fontId="390" fillId="245" borderId="0" xfId="0" applyFont="1" applyFill="1"/>
    <xf numFmtId="0" fontId="390" fillId="246" borderId="0" xfId="0" applyFont="1" applyFill="1"/>
    <xf numFmtId="0" fontId="390" fillId="247" borderId="0" xfId="0" applyFont="1" applyFill="1"/>
    <xf numFmtId="0" fontId="389" fillId="12" borderId="364" xfId="25" applyFont="1" applyFill="1" applyBorder="1" applyAlignment="1">
      <alignment horizontal="center" vertical="center" wrapText="1"/>
    </xf>
    <xf numFmtId="0" fontId="139" fillId="181" borderId="364" xfId="25" applyFont="1" applyFill="1" applyBorder="1" applyAlignment="1">
      <alignment horizontal="center" vertical="center" wrapText="1"/>
    </xf>
    <xf numFmtId="0" fontId="390" fillId="248" borderId="0" xfId="0" applyFont="1" applyFill="1"/>
    <xf numFmtId="0" fontId="390" fillId="249" borderId="0" xfId="0" applyFont="1" applyFill="1"/>
    <xf numFmtId="0" fontId="390" fillId="250" borderId="0" xfId="0" applyFont="1" applyFill="1"/>
    <xf numFmtId="0" fontId="389" fillId="182" borderId="364" xfId="25" applyFont="1" applyFill="1" applyBorder="1" applyAlignment="1">
      <alignment horizontal="center" vertical="center" wrapText="1"/>
    </xf>
    <xf numFmtId="0" fontId="390" fillId="251" borderId="0" xfId="0" applyFont="1" applyFill="1"/>
    <xf numFmtId="0" fontId="390" fillId="252" borderId="0" xfId="0" applyFont="1" applyFill="1"/>
    <xf numFmtId="0" fontId="390" fillId="253" borderId="0" xfId="0" applyFont="1" applyFill="1"/>
    <xf numFmtId="0" fontId="139" fillId="160" borderId="364" xfId="25" applyFont="1" applyFill="1" applyBorder="1" applyAlignment="1">
      <alignment horizontal="center" vertical="center" wrapText="1"/>
    </xf>
    <xf numFmtId="0" fontId="139" fillId="183" borderId="364" xfId="25" applyFont="1" applyFill="1" applyBorder="1" applyAlignment="1">
      <alignment horizontal="center" vertical="center" wrapText="1"/>
    </xf>
    <xf numFmtId="0" fontId="390" fillId="254" borderId="0" xfId="0" applyFont="1" applyFill="1"/>
    <xf numFmtId="0" fontId="390" fillId="255" borderId="0" xfId="0" applyFont="1" applyFill="1"/>
    <xf numFmtId="0" fontId="390" fillId="256" borderId="0" xfId="0" applyFont="1" applyFill="1"/>
    <xf numFmtId="0" fontId="389" fillId="161" borderId="364" xfId="25" applyFont="1" applyFill="1" applyBorder="1" applyAlignment="1">
      <alignment horizontal="center" vertical="center" wrapText="1"/>
    </xf>
    <xf numFmtId="0" fontId="389" fillId="118" borderId="364" xfId="25" applyFont="1" applyFill="1" applyBorder="1" applyAlignment="1">
      <alignment horizontal="center" vertical="center" wrapText="1"/>
    </xf>
    <xf numFmtId="0" fontId="390" fillId="257" borderId="0" xfId="0" applyFont="1" applyFill="1"/>
    <xf numFmtId="0" fontId="390" fillId="258" borderId="0" xfId="0" applyFont="1" applyFill="1"/>
    <xf numFmtId="0" fontId="390" fillId="259" borderId="0" xfId="0" applyFont="1" applyFill="1"/>
    <xf numFmtId="0" fontId="139" fillId="162" borderId="364" xfId="25" applyFont="1" applyFill="1" applyBorder="1" applyAlignment="1">
      <alignment horizontal="center" vertical="center" wrapText="1"/>
    </xf>
    <xf numFmtId="0" fontId="139" fillId="186" borderId="364" xfId="25" applyFont="1" applyFill="1" applyBorder="1" applyAlignment="1">
      <alignment horizontal="center" vertical="center" wrapText="1"/>
    </xf>
    <xf numFmtId="0" fontId="390" fillId="260" borderId="0" xfId="0" applyFont="1" applyFill="1"/>
    <xf numFmtId="0" fontId="390" fillId="261" borderId="0" xfId="0" applyFont="1" applyFill="1"/>
    <xf numFmtId="0" fontId="390" fillId="262" borderId="0" xfId="0" applyFont="1" applyFill="1"/>
    <xf numFmtId="0" fontId="389" fillId="163" borderId="364" xfId="25" applyFont="1" applyFill="1" applyBorder="1" applyAlignment="1">
      <alignment horizontal="center" vertical="center" wrapText="1"/>
    </xf>
    <xf numFmtId="0" fontId="139" fillId="187" borderId="364" xfId="25" applyFont="1" applyFill="1" applyBorder="1" applyAlignment="1">
      <alignment horizontal="center" vertical="center" wrapText="1"/>
    </xf>
    <xf numFmtId="0" fontId="390" fillId="263" borderId="0" xfId="0" applyFont="1" applyFill="1"/>
    <xf numFmtId="0" fontId="390" fillId="264" borderId="0" xfId="0" applyFont="1" applyFill="1"/>
    <xf numFmtId="0" fontId="390" fillId="265" borderId="0" xfId="0" applyFont="1" applyFill="1"/>
    <xf numFmtId="0" fontId="390" fillId="266" borderId="0" xfId="0" applyFont="1" applyFill="1"/>
    <xf numFmtId="0" fontId="390" fillId="267" borderId="0" xfId="0" applyFont="1" applyFill="1"/>
    <xf numFmtId="0" fontId="390" fillId="268" borderId="0" xfId="0" applyFont="1" applyFill="1"/>
    <xf numFmtId="0" fontId="389" fillId="149" borderId="364" xfId="25" applyFont="1" applyFill="1" applyBorder="1" applyAlignment="1">
      <alignment horizontal="center" vertical="center" wrapText="1"/>
    </xf>
    <xf numFmtId="0" fontId="139" fillId="189" borderId="364" xfId="25" applyFont="1" applyFill="1" applyBorder="1" applyAlignment="1">
      <alignment horizontal="center" vertical="center" wrapText="1"/>
    </xf>
    <xf numFmtId="0" fontId="390" fillId="269" borderId="0" xfId="0" applyFont="1" applyFill="1"/>
    <xf numFmtId="0" fontId="390" fillId="270" borderId="0" xfId="0" applyFont="1" applyFill="1"/>
    <xf numFmtId="0" fontId="390" fillId="271" borderId="0" xfId="0" applyFont="1" applyFill="1"/>
    <xf numFmtId="0" fontId="389" fillId="148" borderId="364" xfId="25" applyFont="1" applyFill="1" applyBorder="1" applyAlignment="1">
      <alignment horizontal="center" vertical="center" wrapText="1"/>
    </xf>
    <xf numFmtId="0" fontId="139" fillId="190" borderId="364" xfId="25" applyFont="1" applyFill="1" applyBorder="1" applyAlignment="1">
      <alignment horizontal="center" vertical="center" wrapText="1"/>
    </xf>
    <xf numFmtId="0" fontId="390" fillId="272" borderId="0" xfId="0" applyFont="1" applyFill="1"/>
    <xf numFmtId="0" fontId="390" fillId="273" borderId="0" xfId="0" applyFont="1" applyFill="1"/>
    <xf numFmtId="0" fontId="390" fillId="274" borderId="0" xfId="0" applyFont="1" applyFill="1"/>
    <xf numFmtId="0" fontId="389" fillId="150" borderId="364" xfId="25" applyFont="1" applyFill="1" applyBorder="1" applyAlignment="1">
      <alignment horizontal="center" vertical="center" wrapText="1"/>
    </xf>
    <xf numFmtId="0" fontId="390" fillId="275" borderId="0" xfId="0" applyFont="1" applyFill="1"/>
    <xf numFmtId="0" fontId="390" fillId="276" borderId="0" xfId="0" applyFont="1" applyFill="1"/>
    <xf numFmtId="0" fontId="390" fillId="277" borderId="0" xfId="0" applyFont="1" applyFill="1"/>
    <xf numFmtId="0" fontId="390" fillId="278" borderId="0" xfId="0" applyFont="1" applyFill="1"/>
    <xf numFmtId="0" fontId="390" fillId="279" borderId="0" xfId="0" applyFont="1" applyFill="1"/>
    <xf numFmtId="0" fontId="390" fillId="280" borderId="0" xfId="0" applyFont="1" applyFill="1"/>
    <xf numFmtId="0" fontId="46" fillId="0" borderId="0" xfId="0" applyFont="1"/>
    <xf numFmtId="0" fontId="390" fillId="281" borderId="0" xfId="0" applyFont="1" applyFill="1"/>
    <xf numFmtId="0" fontId="390" fillId="53" borderId="0" xfId="0" applyFont="1" applyFill="1"/>
    <xf numFmtId="0" fontId="390" fillId="282" borderId="0" xfId="0" applyFont="1" applyFill="1"/>
    <xf numFmtId="0" fontId="265" fillId="0" borderId="0" xfId="14" applyFont="1"/>
    <xf numFmtId="0" fontId="390" fillId="283" borderId="0" xfId="0" applyFont="1" applyFill="1"/>
    <xf numFmtId="0" fontId="390" fillId="284" borderId="0" xfId="0" applyFont="1" applyFill="1"/>
    <xf numFmtId="0" fontId="390" fillId="285" borderId="0" xfId="0" applyFont="1" applyFill="1"/>
    <xf numFmtId="0" fontId="390" fillId="286" borderId="0" xfId="0" applyFont="1" applyFill="1"/>
    <xf numFmtId="0" fontId="390" fillId="287" borderId="0" xfId="0" applyFont="1" applyFill="1"/>
    <xf numFmtId="0" fontId="390" fillId="288" borderId="0" xfId="0" applyFont="1" applyFill="1"/>
    <xf numFmtId="0" fontId="392" fillId="191" borderId="0" xfId="0" applyFont="1" applyFill="1" applyAlignment="1">
      <alignment horizontal="center" vertical="center" wrapText="1"/>
    </xf>
    <xf numFmtId="0" fontId="392" fillId="289" borderId="0" xfId="0" applyFont="1" applyFill="1" applyAlignment="1">
      <alignment horizontal="center" vertical="center" wrapText="1"/>
    </xf>
    <xf numFmtId="0" fontId="392" fillId="290" borderId="0" xfId="0" applyFont="1" applyFill="1" applyAlignment="1">
      <alignment horizontal="center" vertical="center" wrapText="1"/>
    </xf>
    <xf numFmtId="0" fontId="392" fillId="291" borderId="0" xfId="0" applyFont="1" applyFill="1" applyAlignment="1">
      <alignment horizontal="center" vertical="center" wrapText="1"/>
    </xf>
    <xf numFmtId="0" fontId="392" fillId="292" borderId="0" xfId="0" applyFont="1" applyFill="1" applyAlignment="1">
      <alignment horizontal="center" vertical="center" wrapText="1"/>
    </xf>
    <xf numFmtId="0" fontId="392" fillId="293" borderId="0" xfId="0" applyFont="1" applyFill="1" applyAlignment="1">
      <alignment horizontal="center" vertical="center" wrapText="1"/>
    </xf>
    <xf numFmtId="0" fontId="392" fillId="294" borderId="0" xfId="0" applyFont="1" applyFill="1" applyAlignment="1">
      <alignment horizontal="center" vertical="center" wrapText="1"/>
    </xf>
    <xf numFmtId="0" fontId="392" fillId="295" borderId="0" xfId="0" applyFont="1" applyFill="1" applyAlignment="1">
      <alignment horizontal="center" vertical="center" wrapText="1"/>
    </xf>
    <xf numFmtId="0" fontId="392" fillId="60" borderId="0" xfId="0" applyFont="1" applyFill="1" applyAlignment="1">
      <alignment horizontal="center" vertical="center" wrapText="1"/>
    </xf>
    <xf numFmtId="0" fontId="390" fillId="296" borderId="0" xfId="0" applyFont="1" applyFill="1"/>
    <xf numFmtId="0" fontId="390" fillId="297" borderId="0" xfId="0" applyFont="1" applyFill="1"/>
    <xf numFmtId="0" fontId="390" fillId="298" borderId="0" xfId="0" applyFont="1" applyFill="1"/>
    <xf numFmtId="0" fontId="392" fillId="299" borderId="0" xfId="0" applyFont="1" applyFill="1" applyAlignment="1">
      <alignment horizontal="center" vertical="center" wrapText="1"/>
    </xf>
    <xf numFmtId="0" fontId="392" fillId="300" borderId="0" xfId="0" applyFont="1" applyFill="1" applyAlignment="1">
      <alignment horizontal="center" vertical="center" wrapText="1"/>
    </xf>
    <xf numFmtId="0" fontId="392" fillId="301" borderId="0" xfId="0" applyFont="1" applyFill="1" applyAlignment="1">
      <alignment horizontal="center" vertical="center" wrapText="1"/>
    </xf>
    <xf numFmtId="0" fontId="392" fillId="302" borderId="0" xfId="0" applyFont="1" applyFill="1" applyAlignment="1">
      <alignment horizontal="center" vertical="center" wrapText="1"/>
    </xf>
    <xf numFmtId="0" fontId="392" fillId="303" borderId="0" xfId="0" applyFont="1" applyFill="1" applyAlignment="1">
      <alignment horizontal="center" vertical="center" wrapText="1"/>
    </xf>
    <xf numFmtId="0" fontId="392" fillId="304" borderId="0" xfId="0" applyFont="1" applyFill="1" applyAlignment="1">
      <alignment horizontal="center" vertical="center" wrapText="1"/>
    </xf>
    <xf numFmtId="0" fontId="392" fillId="305" borderId="0" xfId="0" applyFont="1" applyFill="1" applyAlignment="1">
      <alignment horizontal="center" vertical="center" wrapText="1"/>
    </xf>
    <xf numFmtId="0" fontId="392" fillId="306" borderId="0" xfId="0" applyFont="1" applyFill="1" applyAlignment="1">
      <alignment horizontal="center" vertical="center" wrapText="1"/>
    </xf>
    <xf numFmtId="0" fontId="392" fillId="307" borderId="0" xfId="0" applyFont="1" applyFill="1" applyAlignment="1">
      <alignment horizontal="center" vertical="center" wrapText="1"/>
    </xf>
    <xf numFmtId="0" fontId="390" fillId="308" borderId="0" xfId="0" applyFont="1" applyFill="1"/>
    <xf numFmtId="0" fontId="390" fillId="309" borderId="0" xfId="0" applyFont="1" applyFill="1"/>
    <xf numFmtId="0" fontId="390" fillId="310" borderId="0" xfId="0" applyFont="1" applyFill="1"/>
    <xf numFmtId="0" fontId="392" fillId="311" borderId="0" xfId="0" applyFont="1" applyFill="1" applyAlignment="1">
      <alignment horizontal="center" vertical="center" wrapText="1"/>
    </xf>
    <xf numFmtId="0" fontId="392" fillId="312" borderId="0" xfId="0" applyFont="1" applyFill="1" applyAlignment="1">
      <alignment horizontal="center" vertical="center" wrapText="1"/>
    </xf>
    <xf numFmtId="0" fontId="392" fillId="313" borderId="0" xfId="0" applyFont="1" applyFill="1" applyAlignment="1">
      <alignment horizontal="center" vertical="center" wrapText="1"/>
    </xf>
    <xf numFmtId="0" fontId="392" fillId="314" borderId="0" xfId="0" applyFont="1" applyFill="1" applyAlignment="1">
      <alignment horizontal="center" vertical="center" wrapText="1"/>
    </xf>
    <xf numFmtId="0" fontId="392" fillId="315" borderId="0" xfId="0" applyFont="1" applyFill="1" applyAlignment="1">
      <alignment horizontal="center" vertical="center" wrapText="1"/>
    </xf>
    <xf numFmtId="0" fontId="392" fillId="316" borderId="0" xfId="0" applyFont="1" applyFill="1" applyAlignment="1">
      <alignment horizontal="center" vertical="center" wrapText="1"/>
    </xf>
    <xf numFmtId="0" fontId="392" fillId="317" borderId="0" xfId="0" applyFont="1" applyFill="1" applyAlignment="1">
      <alignment horizontal="center" vertical="center" wrapText="1"/>
    </xf>
    <xf numFmtId="0" fontId="392" fillId="318" borderId="0" xfId="0" applyFont="1" applyFill="1" applyAlignment="1">
      <alignment horizontal="center" vertical="center" wrapText="1"/>
    </xf>
    <xf numFmtId="0" fontId="392" fillId="319" borderId="0" xfId="0" applyFont="1" applyFill="1" applyAlignment="1">
      <alignment horizontal="center" vertical="center" wrapText="1"/>
    </xf>
    <xf numFmtId="0" fontId="390" fillId="320" borderId="0" xfId="0" applyFont="1" applyFill="1"/>
    <xf numFmtId="0" fontId="390" fillId="321" borderId="0" xfId="0" applyFont="1" applyFill="1"/>
    <xf numFmtId="0" fontId="390" fillId="322" borderId="0" xfId="0" applyFont="1" applyFill="1"/>
    <xf numFmtId="0" fontId="392" fillId="323" borderId="0" xfId="0" applyFont="1" applyFill="1" applyAlignment="1">
      <alignment horizontal="center" vertical="center" wrapText="1"/>
    </xf>
    <xf numFmtId="0" fontId="392" fillId="324" borderId="0" xfId="0" applyFont="1" applyFill="1" applyAlignment="1">
      <alignment horizontal="center" vertical="center" wrapText="1"/>
    </xf>
    <xf numFmtId="0" fontId="392" fillId="325" borderId="0" xfId="0" applyFont="1" applyFill="1" applyAlignment="1">
      <alignment horizontal="center" vertical="center" wrapText="1"/>
    </xf>
    <xf numFmtId="0" fontId="392" fillId="326" borderId="0" xfId="0" applyFont="1" applyFill="1" applyAlignment="1">
      <alignment horizontal="center" vertical="center" wrapText="1"/>
    </xf>
    <xf numFmtId="0" fontId="392" fillId="327" borderId="0" xfId="0" applyFont="1" applyFill="1" applyAlignment="1">
      <alignment horizontal="center" vertical="center" wrapText="1"/>
    </xf>
    <xf numFmtId="0" fontId="392" fillId="328" borderId="0" xfId="0" applyFont="1" applyFill="1" applyAlignment="1">
      <alignment horizontal="center" vertical="center" wrapText="1"/>
    </xf>
    <xf numFmtId="0" fontId="392" fillId="329" borderId="0" xfId="0" applyFont="1" applyFill="1" applyAlignment="1">
      <alignment horizontal="center" vertical="center" wrapText="1"/>
    </xf>
    <xf numFmtId="0" fontId="392" fillId="330" borderId="0" xfId="0" applyFont="1" applyFill="1" applyAlignment="1">
      <alignment horizontal="center" vertical="center" wrapText="1"/>
    </xf>
    <xf numFmtId="0" fontId="392" fillId="331" borderId="0" xfId="0" applyFont="1" applyFill="1" applyAlignment="1">
      <alignment horizontal="center" vertical="center" wrapText="1"/>
    </xf>
    <xf numFmtId="0" fontId="390" fillId="332" borderId="0" xfId="0" applyFont="1" applyFill="1"/>
    <xf numFmtId="0" fontId="390" fillId="333" borderId="0" xfId="0" applyFont="1" applyFill="1"/>
    <xf numFmtId="0" fontId="390" fillId="334" borderId="0" xfId="0" applyFont="1" applyFill="1"/>
    <xf numFmtId="0" fontId="392" fillId="116" borderId="0" xfId="0" applyFont="1" applyFill="1" applyAlignment="1">
      <alignment horizontal="center" vertical="center" wrapText="1"/>
    </xf>
    <xf numFmtId="0" fontId="392" fillId="335" borderId="0" xfId="0" applyFont="1" applyFill="1" applyAlignment="1">
      <alignment horizontal="center" vertical="center" wrapText="1"/>
    </xf>
    <xf numFmtId="0" fontId="392" fillId="336" borderId="0" xfId="0" applyFont="1" applyFill="1" applyAlignment="1">
      <alignment horizontal="center" vertical="center" wrapText="1"/>
    </xf>
    <xf numFmtId="0" fontId="392" fillId="337" borderId="0" xfId="0" applyFont="1" applyFill="1" applyAlignment="1">
      <alignment horizontal="center" vertical="center" wrapText="1"/>
    </xf>
    <xf numFmtId="0" fontId="392" fillId="338" borderId="0" xfId="0" applyFont="1" applyFill="1" applyAlignment="1">
      <alignment horizontal="center" vertical="center" wrapText="1"/>
    </xf>
    <xf numFmtId="0" fontId="392" fillId="339" borderId="0" xfId="0" applyFont="1" applyFill="1" applyAlignment="1">
      <alignment horizontal="center" vertical="center" wrapText="1"/>
    </xf>
    <xf numFmtId="0" fontId="392" fillId="340" borderId="0" xfId="0" applyFont="1" applyFill="1" applyAlignment="1">
      <alignment horizontal="center" vertical="center" wrapText="1"/>
    </xf>
    <xf numFmtId="0" fontId="392" fillId="341" borderId="0" xfId="0" applyFont="1" applyFill="1" applyAlignment="1">
      <alignment horizontal="center" vertical="center" wrapText="1"/>
    </xf>
    <xf numFmtId="0" fontId="392" fillId="342" borderId="0" xfId="0" applyFont="1" applyFill="1" applyAlignment="1">
      <alignment horizontal="center" vertical="center" wrapText="1"/>
    </xf>
    <xf numFmtId="0" fontId="390" fillId="126" borderId="0" xfId="0" applyFont="1" applyFill="1"/>
    <xf numFmtId="0" fontId="390" fillId="343" borderId="0" xfId="0" applyFont="1" applyFill="1"/>
    <xf numFmtId="0" fontId="390" fillId="344" borderId="0" xfId="0" applyFont="1" applyFill="1"/>
    <xf numFmtId="0" fontId="392" fillId="345" borderId="0" xfId="0" applyFont="1" applyFill="1" applyAlignment="1">
      <alignment horizontal="center" vertical="center" wrapText="1"/>
    </xf>
    <xf numFmtId="0" fontId="392" fillId="346" borderId="0" xfId="0" applyFont="1" applyFill="1" applyAlignment="1">
      <alignment horizontal="center" vertical="center" wrapText="1"/>
    </xf>
    <xf numFmtId="0" fontId="392" fillId="347" borderId="0" xfId="0" applyFont="1" applyFill="1" applyAlignment="1">
      <alignment horizontal="center" vertical="center" wrapText="1"/>
    </xf>
    <xf numFmtId="0" fontId="392" fillId="348" borderId="0" xfId="0" applyFont="1" applyFill="1" applyAlignment="1">
      <alignment horizontal="center" vertical="center" wrapText="1"/>
    </xf>
    <xf numFmtId="0" fontId="392" fillId="349" borderId="0" xfId="0" applyFont="1" applyFill="1" applyAlignment="1">
      <alignment horizontal="center" vertical="center" wrapText="1"/>
    </xf>
    <xf numFmtId="0" fontId="392" fillId="350" borderId="0" xfId="0" applyFont="1" applyFill="1" applyAlignment="1">
      <alignment horizontal="center" vertical="center" wrapText="1"/>
    </xf>
    <xf numFmtId="0" fontId="392" fillId="351" borderId="0" xfId="0" applyFont="1" applyFill="1" applyAlignment="1">
      <alignment horizontal="center" vertical="center" wrapText="1"/>
    </xf>
    <xf numFmtId="0" fontId="392" fillId="352" borderId="0" xfId="0" applyFont="1" applyFill="1" applyAlignment="1">
      <alignment horizontal="center" vertical="center" wrapText="1"/>
    </xf>
    <xf numFmtId="0" fontId="392" fillId="353" borderId="0" xfId="0" applyFont="1" applyFill="1" applyAlignment="1">
      <alignment horizontal="center" vertical="center" wrapText="1"/>
    </xf>
    <xf numFmtId="0" fontId="390" fillId="354" borderId="0" xfId="0" applyFont="1" applyFill="1"/>
    <xf numFmtId="0" fontId="390" fillId="355" borderId="0" xfId="0" applyFont="1" applyFill="1"/>
    <xf numFmtId="0" fontId="390" fillId="356" borderId="0" xfId="0" applyFont="1" applyFill="1"/>
    <xf numFmtId="0" fontId="392" fillId="357" borderId="0" xfId="0" applyFont="1" applyFill="1" applyAlignment="1">
      <alignment horizontal="center" vertical="center" wrapText="1"/>
    </xf>
    <xf numFmtId="0" fontId="392" fillId="358" borderId="0" xfId="0" applyFont="1" applyFill="1" applyAlignment="1">
      <alignment horizontal="center" vertical="center" wrapText="1"/>
    </xf>
    <xf numFmtId="0" fontId="392" fillId="359" borderId="0" xfId="0" applyFont="1" applyFill="1" applyAlignment="1">
      <alignment horizontal="center" vertical="center" wrapText="1"/>
    </xf>
    <xf numFmtId="0" fontId="392" fillId="360" borderId="0" xfId="0" applyFont="1" applyFill="1" applyAlignment="1">
      <alignment horizontal="center" vertical="center" wrapText="1"/>
    </xf>
    <xf numFmtId="0" fontId="392" fillId="361" borderId="0" xfId="0" applyFont="1" applyFill="1" applyAlignment="1">
      <alignment horizontal="center" vertical="center" wrapText="1"/>
    </xf>
    <xf numFmtId="0" fontId="392" fillId="362" borderId="0" xfId="0" applyFont="1" applyFill="1" applyAlignment="1">
      <alignment horizontal="center" vertical="center" wrapText="1"/>
    </xf>
    <xf numFmtId="0" fontId="392" fillId="363" borderId="0" xfId="0" applyFont="1" applyFill="1" applyAlignment="1">
      <alignment horizontal="center" vertical="center" wrapText="1"/>
    </xf>
    <xf numFmtId="0" fontId="392" fillId="364" borderId="0" xfId="0" applyFont="1" applyFill="1" applyAlignment="1">
      <alignment horizontal="center" vertical="center" wrapText="1"/>
    </xf>
    <xf numFmtId="0" fontId="392" fillId="365" borderId="0" xfId="0" applyFont="1" applyFill="1" applyAlignment="1">
      <alignment horizontal="center" vertical="center" wrapText="1"/>
    </xf>
    <xf numFmtId="0" fontId="390" fillId="366" borderId="0" xfId="0" applyFont="1" applyFill="1"/>
    <xf numFmtId="0" fontId="390" fillId="367" borderId="0" xfId="0" applyFont="1" applyFill="1"/>
    <xf numFmtId="0" fontId="390" fillId="368" borderId="0" xfId="0" applyFont="1" applyFill="1"/>
    <xf numFmtId="0" fontId="392" fillId="369" borderId="0" xfId="0" applyFont="1" applyFill="1" applyAlignment="1">
      <alignment horizontal="center" vertical="center" wrapText="1"/>
    </xf>
    <xf numFmtId="0" fontId="392" fillId="370" borderId="0" xfId="0" applyFont="1" applyFill="1" applyAlignment="1">
      <alignment horizontal="center" vertical="center" wrapText="1"/>
    </xf>
    <xf numFmtId="0" fontId="392" fillId="371" borderId="0" xfId="0" applyFont="1" applyFill="1" applyAlignment="1">
      <alignment horizontal="center" vertical="center" wrapText="1"/>
    </xf>
    <xf numFmtId="0" fontId="392" fillId="372" borderId="0" xfId="0" applyFont="1" applyFill="1" applyAlignment="1">
      <alignment horizontal="center" vertical="center" wrapText="1"/>
    </xf>
    <xf numFmtId="0" fontId="392" fillId="373" borderId="0" xfId="0" applyFont="1" applyFill="1" applyAlignment="1">
      <alignment horizontal="center" vertical="center" wrapText="1"/>
    </xf>
    <xf numFmtId="0" fontId="392" fillId="374" borderId="0" xfId="0" applyFont="1" applyFill="1" applyAlignment="1">
      <alignment horizontal="center" vertical="center" wrapText="1"/>
    </xf>
    <xf numFmtId="0" fontId="392" fillId="375" borderId="0" xfId="0" applyFont="1" applyFill="1" applyAlignment="1">
      <alignment horizontal="center" vertical="center" wrapText="1"/>
    </xf>
    <xf numFmtId="0" fontId="392" fillId="376" borderId="0" xfId="0" applyFont="1" applyFill="1" applyAlignment="1">
      <alignment horizontal="center" vertical="center" wrapText="1"/>
    </xf>
    <xf numFmtId="0" fontId="0" fillId="377" borderId="0" xfId="0" applyFill="1" applyAlignment="1">
      <alignment horizontal="center" vertical="center" wrapText="1"/>
    </xf>
    <xf numFmtId="0" fontId="390" fillId="378" borderId="0" xfId="0" applyFont="1" applyFill="1"/>
    <xf numFmtId="0" fontId="390" fillId="379" borderId="0" xfId="0" applyFont="1" applyFill="1"/>
    <xf numFmtId="0" fontId="390" fillId="380" borderId="0" xfId="0" applyFont="1" applyFill="1"/>
    <xf numFmtId="0" fontId="392" fillId="119" borderId="0" xfId="0" applyFont="1" applyFill="1" applyAlignment="1">
      <alignment horizontal="center" vertical="center" wrapText="1"/>
    </xf>
    <xf numFmtId="0" fontId="392" fillId="381" borderId="0" xfId="0" applyFont="1" applyFill="1" applyAlignment="1">
      <alignment horizontal="center" vertical="center" wrapText="1"/>
    </xf>
    <xf numFmtId="0" fontId="392" fillId="382" borderId="0" xfId="0" applyFont="1" applyFill="1" applyAlignment="1">
      <alignment horizontal="center" vertical="center" wrapText="1"/>
    </xf>
    <xf numFmtId="0" fontId="392" fillId="383" borderId="0" xfId="0" applyFont="1" applyFill="1" applyAlignment="1">
      <alignment horizontal="center" vertical="center" wrapText="1"/>
    </xf>
    <xf numFmtId="0" fontId="392" fillId="384" borderId="0" xfId="0" applyFont="1" applyFill="1" applyAlignment="1">
      <alignment horizontal="center" vertical="center" wrapText="1"/>
    </xf>
    <xf numFmtId="0" fontId="392" fillId="385" borderId="0" xfId="0" applyFont="1" applyFill="1" applyAlignment="1">
      <alignment horizontal="center" vertical="center" wrapText="1"/>
    </xf>
    <xf numFmtId="0" fontId="392" fillId="386" borderId="0" xfId="0" applyFont="1" applyFill="1" applyAlignment="1">
      <alignment horizontal="center" vertical="center" wrapText="1"/>
    </xf>
    <xf numFmtId="0" fontId="0" fillId="387" borderId="0" xfId="0" applyFill="1" applyAlignment="1">
      <alignment horizontal="center" vertical="center" wrapText="1"/>
    </xf>
    <xf numFmtId="0" fontId="0" fillId="214" borderId="0" xfId="0" applyFill="1" applyAlignment="1">
      <alignment horizontal="center" vertical="center" wrapText="1"/>
    </xf>
    <xf numFmtId="0" fontId="390" fillId="388" borderId="0" xfId="0" applyFont="1" applyFill="1"/>
    <xf numFmtId="0" fontId="390" fillId="389" borderId="0" xfId="0" applyFont="1" applyFill="1"/>
    <xf numFmtId="0" fontId="390" fillId="390" borderId="0" xfId="0" applyFont="1" applyFill="1"/>
    <xf numFmtId="0" fontId="392" fillId="391" borderId="0" xfId="0" applyFont="1" applyFill="1" applyAlignment="1">
      <alignment horizontal="center" vertical="center" wrapText="1"/>
    </xf>
    <xf numFmtId="0" fontId="392" fillId="392" borderId="0" xfId="0" applyFont="1" applyFill="1" applyAlignment="1">
      <alignment horizontal="center" vertical="center" wrapText="1"/>
    </xf>
    <xf numFmtId="0" fontId="392" fillId="393" borderId="0" xfId="0" applyFont="1" applyFill="1" applyAlignment="1">
      <alignment horizontal="center" vertical="center" wrapText="1"/>
    </xf>
    <xf numFmtId="0" fontId="392" fillId="394" borderId="0" xfId="0" applyFont="1" applyFill="1" applyAlignment="1">
      <alignment horizontal="center" vertical="center" wrapText="1"/>
    </xf>
    <xf numFmtId="0" fontId="392" fillId="395" borderId="0" xfId="0" applyFont="1" applyFill="1" applyAlignment="1">
      <alignment horizontal="center" vertical="center" wrapText="1"/>
    </xf>
    <xf numFmtId="0" fontId="392" fillId="396" borderId="0" xfId="0" applyFont="1" applyFill="1" applyAlignment="1">
      <alignment horizontal="center" vertical="center" wrapText="1"/>
    </xf>
    <xf numFmtId="0" fontId="392" fillId="397" borderId="0" xfId="0" applyFont="1" applyFill="1" applyAlignment="1">
      <alignment horizontal="center" vertical="center" wrapText="1"/>
    </xf>
    <xf numFmtId="0" fontId="392" fillId="398" borderId="0" xfId="0" applyFont="1" applyFill="1" applyAlignment="1">
      <alignment horizontal="center" vertical="center" wrapText="1"/>
    </xf>
    <xf numFmtId="0" fontId="392" fillId="399" borderId="0" xfId="0" applyFont="1" applyFill="1" applyAlignment="1">
      <alignment horizontal="center" vertical="center" wrapText="1"/>
    </xf>
    <xf numFmtId="0" fontId="390" fillId="400" borderId="0" xfId="0" applyFont="1" applyFill="1"/>
    <xf numFmtId="0" fontId="390" fillId="401" borderId="0" xfId="0" applyFont="1" applyFill="1"/>
    <xf numFmtId="0" fontId="392" fillId="402" borderId="0" xfId="0" applyFont="1" applyFill="1" applyAlignment="1">
      <alignment horizontal="center" vertical="center" wrapText="1"/>
    </xf>
    <xf numFmtId="0" fontId="392" fillId="403" borderId="0" xfId="0" applyFont="1" applyFill="1" applyAlignment="1">
      <alignment horizontal="center" vertical="center" wrapText="1"/>
    </xf>
    <xf numFmtId="0" fontId="392" fillId="404" borderId="0" xfId="0" applyFont="1" applyFill="1" applyAlignment="1">
      <alignment horizontal="center" vertical="center" wrapText="1"/>
    </xf>
    <xf numFmtId="0" fontId="392" fillId="405" borderId="0" xfId="0" applyFont="1" applyFill="1" applyAlignment="1">
      <alignment horizontal="center" vertical="center" wrapText="1"/>
    </xf>
    <xf numFmtId="0" fontId="392" fillId="406" borderId="0" xfId="0" applyFont="1" applyFill="1" applyAlignment="1">
      <alignment horizontal="center" vertical="center" wrapText="1"/>
    </xf>
    <xf numFmtId="0" fontId="392" fillId="407" borderId="0" xfId="0" applyFont="1" applyFill="1" applyAlignment="1">
      <alignment horizontal="center" vertical="center" wrapText="1"/>
    </xf>
    <xf numFmtId="0" fontId="392" fillId="408" borderId="0" xfId="0" applyFont="1" applyFill="1" applyAlignment="1">
      <alignment horizontal="center" vertical="center" wrapText="1"/>
    </xf>
    <xf numFmtId="0" fontId="392" fillId="409" borderId="0" xfId="0" applyFont="1" applyFill="1" applyAlignment="1">
      <alignment horizontal="center" vertical="center" wrapText="1"/>
    </xf>
    <xf numFmtId="0" fontId="392" fillId="410" borderId="0" xfId="0" applyFont="1" applyFill="1" applyAlignment="1">
      <alignment horizontal="center" vertical="center" wrapText="1"/>
    </xf>
    <xf numFmtId="0" fontId="390" fillId="411" borderId="0" xfId="0" applyFont="1" applyFill="1"/>
    <xf numFmtId="0" fontId="390" fillId="412" borderId="0" xfId="0" applyFont="1" applyFill="1"/>
    <xf numFmtId="0" fontId="390" fillId="413" borderId="0" xfId="0" applyFont="1" applyFill="1"/>
    <xf numFmtId="0" fontId="392" fillId="414" borderId="0" xfId="0" applyFont="1" applyFill="1" applyAlignment="1">
      <alignment horizontal="center" vertical="center" wrapText="1"/>
    </xf>
    <xf numFmtId="0" fontId="392" fillId="415" borderId="0" xfId="0" applyFont="1" applyFill="1" applyAlignment="1">
      <alignment horizontal="center" vertical="center" wrapText="1"/>
    </xf>
    <xf numFmtId="0" fontId="392" fillId="416" borderId="0" xfId="0" applyFont="1" applyFill="1" applyAlignment="1">
      <alignment horizontal="center" vertical="center" wrapText="1"/>
    </xf>
    <xf numFmtId="0" fontId="392" fillId="417" borderId="0" xfId="0" applyFont="1" applyFill="1" applyAlignment="1">
      <alignment horizontal="center" vertical="center" wrapText="1"/>
    </xf>
    <xf numFmtId="0" fontId="392" fillId="418" borderId="0" xfId="0" applyFont="1" applyFill="1" applyAlignment="1">
      <alignment horizontal="center" vertical="center" wrapText="1"/>
    </xf>
    <xf numFmtId="0" fontId="392" fillId="419" borderId="0" xfId="0" applyFont="1" applyFill="1" applyAlignment="1">
      <alignment horizontal="center" vertical="center" wrapText="1"/>
    </xf>
    <xf numFmtId="0" fontId="392" fillId="420" borderId="0" xfId="0" applyFont="1" applyFill="1" applyAlignment="1">
      <alignment horizontal="center" vertical="center" wrapText="1"/>
    </xf>
    <xf numFmtId="0" fontId="392" fillId="421" borderId="0" xfId="0" applyFont="1" applyFill="1" applyAlignment="1">
      <alignment horizontal="center" vertical="center" wrapText="1"/>
    </xf>
    <xf numFmtId="0" fontId="392" fillId="422" borderId="0" xfId="0" applyFont="1" applyFill="1" applyAlignment="1">
      <alignment horizontal="center" vertical="center" wrapText="1"/>
    </xf>
    <xf numFmtId="0" fontId="390" fillId="423" borderId="0" xfId="0" applyFont="1" applyFill="1"/>
    <xf numFmtId="0" fontId="390" fillId="424" borderId="0" xfId="0" applyFont="1" applyFill="1"/>
    <xf numFmtId="0" fontId="390" fillId="425" borderId="0" xfId="0" applyFont="1" applyFill="1"/>
    <xf numFmtId="0" fontId="392" fillId="426" borderId="0" xfId="0" applyFont="1" applyFill="1" applyAlignment="1">
      <alignment horizontal="center" vertical="center" wrapText="1"/>
    </xf>
    <xf numFmtId="0" fontId="392" fillId="427" borderId="0" xfId="0" applyFont="1" applyFill="1" applyAlignment="1">
      <alignment horizontal="center" vertical="center" wrapText="1"/>
    </xf>
    <xf numFmtId="0" fontId="392" fillId="428" borderId="0" xfId="0" applyFont="1" applyFill="1" applyAlignment="1">
      <alignment horizontal="center" vertical="center" wrapText="1"/>
    </xf>
    <xf numFmtId="0" fontId="392" fillId="429" borderId="0" xfId="0" applyFont="1" applyFill="1" applyAlignment="1">
      <alignment horizontal="center" vertical="center" wrapText="1"/>
    </xf>
    <xf numFmtId="0" fontId="392" fillId="430" borderId="0" xfId="0" applyFont="1" applyFill="1" applyAlignment="1">
      <alignment horizontal="center" vertical="center" wrapText="1"/>
    </xf>
    <xf numFmtId="0" fontId="392" fillId="431" borderId="0" xfId="0" applyFont="1" applyFill="1" applyAlignment="1">
      <alignment horizontal="center" vertical="center" wrapText="1"/>
    </xf>
    <xf numFmtId="0" fontId="392" fillId="432" borderId="0" xfId="0" applyFont="1" applyFill="1" applyAlignment="1">
      <alignment horizontal="center" vertical="center" wrapText="1"/>
    </xf>
    <xf numFmtId="0" fontId="392" fillId="433" borderId="0" xfId="0" applyFont="1" applyFill="1" applyAlignment="1">
      <alignment horizontal="center" vertical="center" wrapText="1"/>
    </xf>
    <xf numFmtId="0" fontId="392" fillId="434" borderId="0" xfId="0" applyFont="1" applyFill="1" applyAlignment="1">
      <alignment horizontal="center" vertical="center" wrapText="1"/>
    </xf>
    <xf numFmtId="0" fontId="390" fillId="435" borderId="0" xfId="0" applyFont="1" applyFill="1"/>
    <xf numFmtId="0" fontId="390" fillId="436" borderId="0" xfId="0" applyFont="1" applyFill="1"/>
    <xf numFmtId="0" fontId="390" fillId="437" borderId="0" xfId="0" applyFont="1" applyFill="1"/>
    <xf numFmtId="0" fontId="392" fillId="438" borderId="0" xfId="0" applyFont="1" applyFill="1" applyAlignment="1">
      <alignment horizontal="center" vertical="center" wrapText="1"/>
    </xf>
    <xf numFmtId="0" fontId="392" fillId="439" borderId="0" xfId="0" applyFont="1" applyFill="1" applyAlignment="1">
      <alignment horizontal="center" vertical="center" wrapText="1"/>
    </xf>
    <xf numFmtId="0" fontId="392" fillId="440" borderId="0" xfId="0" applyFont="1" applyFill="1" applyAlignment="1">
      <alignment horizontal="center" vertical="center" wrapText="1"/>
    </xf>
    <xf numFmtId="0" fontId="392" fillId="441" borderId="0" xfId="0" applyFont="1" applyFill="1" applyAlignment="1">
      <alignment horizontal="center" vertical="center" wrapText="1"/>
    </xf>
    <xf numFmtId="0" fontId="392" fillId="442" borderId="0" xfId="0" applyFont="1" applyFill="1" applyAlignment="1">
      <alignment horizontal="center" vertical="center" wrapText="1"/>
    </xf>
    <xf numFmtId="0" fontId="392" fillId="443" borderId="0" xfId="0" applyFont="1" applyFill="1" applyAlignment="1">
      <alignment horizontal="center" vertical="center" wrapText="1"/>
    </xf>
    <xf numFmtId="0" fontId="392" fillId="444" borderId="0" xfId="0" applyFont="1" applyFill="1" applyAlignment="1">
      <alignment horizontal="center" vertical="center" wrapText="1"/>
    </xf>
    <xf numFmtId="0" fontId="392" fillId="445" borderId="0" xfId="0" applyFont="1" applyFill="1" applyAlignment="1">
      <alignment horizontal="center" vertical="center" wrapText="1"/>
    </xf>
    <xf numFmtId="0" fontId="392" fillId="446" borderId="0" xfId="0" applyFont="1" applyFill="1" applyAlignment="1">
      <alignment horizontal="center" vertical="center" wrapText="1"/>
    </xf>
    <xf numFmtId="0" fontId="390" fillId="447" borderId="0" xfId="0" applyFont="1" applyFill="1"/>
    <xf numFmtId="0" fontId="390" fillId="448" borderId="0" xfId="0" applyFont="1" applyFill="1"/>
    <xf numFmtId="0" fontId="390" fillId="449" borderId="0" xfId="0" applyFont="1" applyFill="1"/>
    <xf numFmtId="0" fontId="392" fillId="450" borderId="0" xfId="0" applyFont="1" applyFill="1" applyAlignment="1">
      <alignment horizontal="center" vertical="center" wrapText="1"/>
    </xf>
    <xf numFmtId="0" fontId="392" fillId="451" borderId="0" xfId="0" applyFont="1" applyFill="1" applyAlignment="1">
      <alignment horizontal="center" vertical="center" wrapText="1"/>
    </xf>
    <xf numFmtId="0" fontId="392" fillId="452" borderId="0" xfId="0" applyFont="1" applyFill="1" applyAlignment="1">
      <alignment horizontal="center" vertical="center" wrapText="1"/>
    </xf>
    <xf numFmtId="0" fontId="392" fillId="453" borderId="0" xfId="0" applyFont="1" applyFill="1" applyAlignment="1">
      <alignment horizontal="center" vertical="center" wrapText="1"/>
    </xf>
    <xf numFmtId="0" fontId="392" fillId="454" borderId="0" xfId="0" applyFont="1" applyFill="1" applyAlignment="1">
      <alignment horizontal="center" vertical="center" wrapText="1"/>
    </xf>
    <xf numFmtId="0" fontId="392" fillId="455" borderId="0" xfId="0" applyFont="1" applyFill="1" applyAlignment="1">
      <alignment horizontal="center" vertical="center" wrapText="1"/>
    </xf>
    <xf numFmtId="0" fontId="392" fillId="456" borderId="0" xfId="0" applyFont="1" applyFill="1" applyAlignment="1">
      <alignment horizontal="center" vertical="center" wrapText="1"/>
    </xf>
    <xf numFmtId="0" fontId="392" fillId="457" borderId="0" xfId="0" applyFont="1" applyFill="1" applyAlignment="1">
      <alignment horizontal="center" vertical="center" wrapText="1"/>
    </xf>
    <xf numFmtId="0" fontId="392" fillId="458" borderId="0" xfId="0" applyFont="1" applyFill="1" applyAlignment="1">
      <alignment horizontal="center" vertical="center" wrapText="1"/>
    </xf>
    <xf numFmtId="0" fontId="390" fillId="459" borderId="0" xfId="0" applyFont="1" applyFill="1"/>
    <xf numFmtId="0" fontId="390" fillId="460" borderId="0" xfId="0" applyFont="1" applyFill="1"/>
    <xf numFmtId="0" fontId="390" fillId="461" borderId="0" xfId="0" applyFont="1" applyFill="1"/>
    <xf numFmtId="0" fontId="392" fillId="462" borderId="0" xfId="0" applyFont="1" applyFill="1" applyAlignment="1">
      <alignment horizontal="center" vertical="center" wrapText="1"/>
    </xf>
    <xf numFmtId="0" fontId="392" fillId="463" borderId="0" xfId="0" applyFont="1" applyFill="1" applyAlignment="1">
      <alignment horizontal="center" vertical="center" wrapText="1"/>
    </xf>
    <xf numFmtId="0" fontId="392" fillId="464" borderId="0" xfId="0" applyFont="1" applyFill="1" applyAlignment="1">
      <alignment horizontal="center" vertical="center" wrapText="1"/>
    </xf>
    <xf numFmtId="0" fontId="392" fillId="465" borderId="0" xfId="0" applyFont="1" applyFill="1" applyAlignment="1">
      <alignment horizontal="center" vertical="center" wrapText="1"/>
    </xf>
    <xf numFmtId="0" fontId="392" fillId="466" borderId="0" xfId="0" applyFont="1" applyFill="1" applyAlignment="1">
      <alignment horizontal="center" vertical="center" wrapText="1"/>
    </xf>
    <xf numFmtId="0" fontId="392" fillId="467" borderId="0" xfId="0" applyFont="1" applyFill="1" applyAlignment="1">
      <alignment horizontal="center" vertical="center" wrapText="1"/>
    </xf>
    <xf numFmtId="0" fontId="392" fillId="468" borderId="0" xfId="0" applyFont="1" applyFill="1" applyAlignment="1">
      <alignment horizontal="center" vertical="center" wrapText="1"/>
    </xf>
    <xf numFmtId="0" fontId="392" fillId="469" borderId="0" xfId="0" applyFont="1" applyFill="1" applyAlignment="1">
      <alignment horizontal="center" vertical="center" wrapText="1"/>
    </xf>
    <xf numFmtId="0" fontId="0" fillId="470" borderId="0" xfId="0" applyFill="1" applyAlignment="1">
      <alignment horizontal="center" vertical="center" wrapText="1"/>
    </xf>
    <xf numFmtId="0" fontId="390" fillId="471" borderId="0" xfId="0" applyFont="1" applyFill="1"/>
    <xf numFmtId="0" fontId="390" fillId="472" borderId="0" xfId="0" applyFont="1" applyFill="1"/>
    <xf numFmtId="0" fontId="390" fillId="473" borderId="0" xfId="0" applyFont="1" applyFill="1"/>
    <xf numFmtId="0" fontId="392" fillId="474" borderId="0" xfId="0" applyFont="1" applyFill="1" applyAlignment="1">
      <alignment horizontal="center" vertical="center" wrapText="1"/>
    </xf>
    <xf numFmtId="0" fontId="392" fillId="475" borderId="0" xfId="0" applyFont="1" applyFill="1" applyAlignment="1">
      <alignment horizontal="center" vertical="center" wrapText="1"/>
    </xf>
    <xf numFmtId="0" fontId="392" fillId="476" borderId="0" xfId="0" applyFont="1" applyFill="1" applyAlignment="1">
      <alignment horizontal="center" vertical="center" wrapText="1"/>
    </xf>
    <xf numFmtId="0" fontId="392" fillId="477" borderId="0" xfId="0" applyFont="1" applyFill="1" applyAlignment="1">
      <alignment horizontal="center" vertical="center" wrapText="1"/>
    </xf>
    <xf numFmtId="0" fontId="392" fillId="478" borderId="0" xfId="0" applyFont="1" applyFill="1" applyAlignment="1">
      <alignment horizontal="center" vertical="center" wrapText="1"/>
    </xf>
    <xf numFmtId="0" fontId="392" fillId="479" borderId="0" xfId="0" applyFont="1" applyFill="1" applyAlignment="1">
      <alignment horizontal="center" vertical="center" wrapText="1"/>
    </xf>
    <xf numFmtId="0" fontId="392" fillId="480" borderId="0" xfId="0" applyFont="1" applyFill="1" applyAlignment="1">
      <alignment horizontal="center" vertical="center" wrapText="1"/>
    </xf>
    <xf numFmtId="0" fontId="0" fillId="481" borderId="0" xfId="0" applyFill="1" applyAlignment="1">
      <alignment horizontal="center" vertical="center" wrapText="1"/>
    </xf>
    <xf numFmtId="0" fontId="0" fillId="482" borderId="0" xfId="0" applyFill="1" applyAlignment="1">
      <alignment horizontal="center" vertical="center" wrapText="1"/>
    </xf>
    <xf numFmtId="0" fontId="390" fillId="483" borderId="0" xfId="0" applyFont="1" applyFill="1"/>
    <xf numFmtId="0" fontId="390" fillId="484" borderId="0" xfId="0" applyFont="1" applyFill="1"/>
    <xf numFmtId="0" fontId="390" fillId="485" borderId="0" xfId="0" applyFont="1" applyFill="1"/>
    <xf numFmtId="0" fontId="392" fillId="486" borderId="0" xfId="0" applyFont="1" applyFill="1" applyAlignment="1">
      <alignment horizontal="center" vertical="center" wrapText="1"/>
    </xf>
    <xf numFmtId="0" fontId="392" fillId="487" borderId="0" xfId="0" applyFont="1" applyFill="1" applyAlignment="1">
      <alignment horizontal="center" vertical="center" wrapText="1"/>
    </xf>
    <xf numFmtId="0" fontId="392" fillId="488" borderId="0" xfId="0" applyFont="1" applyFill="1" applyAlignment="1">
      <alignment horizontal="center" vertical="center" wrapText="1"/>
    </xf>
    <xf numFmtId="0" fontId="392" fillId="489" borderId="0" xfId="0" applyFont="1" applyFill="1" applyAlignment="1">
      <alignment horizontal="center" vertical="center" wrapText="1"/>
    </xf>
    <xf numFmtId="0" fontId="392" fillId="490" borderId="0" xfId="0" applyFont="1" applyFill="1" applyAlignment="1">
      <alignment horizontal="center" vertical="center" wrapText="1"/>
    </xf>
    <xf numFmtId="0" fontId="392" fillId="491" borderId="0" xfId="0" applyFont="1" applyFill="1" applyAlignment="1">
      <alignment horizontal="center" vertical="center" wrapText="1"/>
    </xf>
    <xf numFmtId="0" fontId="0" fillId="492" borderId="0" xfId="0" applyFill="1" applyAlignment="1">
      <alignment horizontal="center" vertical="center" wrapText="1"/>
    </xf>
    <xf numFmtId="0" fontId="0" fillId="493" borderId="0" xfId="0" applyFill="1" applyAlignment="1">
      <alignment horizontal="center" vertical="center" wrapText="1"/>
    </xf>
    <xf numFmtId="0" fontId="0" fillId="494" borderId="0" xfId="0" applyFill="1" applyAlignment="1">
      <alignment horizontal="center" vertical="center" wrapText="1"/>
    </xf>
    <xf numFmtId="0" fontId="390" fillId="495" borderId="0" xfId="0" applyFont="1" applyFill="1"/>
    <xf numFmtId="0" fontId="390" fillId="496" borderId="0" xfId="0" applyFont="1" applyFill="1"/>
    <xf numFmtId="0" fontId="390" fillId="497" borderId="0" xfId="0" applyFont="1" applyFill="1"/>
    <xf numFmtId="0" fontId="392" fillId="498" borderId="0" xfId="0" applyFont="1" applyFill="1" applyAlignment="1">
      <alignment horizontal="center" vertical="center" wrapText="1"/>
    </xf>
    <xf numFmtId="0" fontId="392" fillId="499" borderId="0" xfId="0" applyFont="1" applyFill="1" applyAlignment="1">
      <alignment horizontal="center" vertical="center" wrapText="1"/>
    </xf>
    <xf numFmtId="0" fontId="392" fillId="500" borderId="0" xfId="0" applyFont="1" applyFill="1" applyAlignment="1">
      <alignment horizontal="center" vertical="center" wrapText="1"/>
    </xf>
    <xf numFmtId="0" fontId="392" fillId="501" borderId="0" xfId="0" applyFont="1" applyFill="1" applyAlignment="1">
      <alignment horizontal="center" vertical="center" wrapText="1"/>
    </xf>
    <xf numFmtId="0" fontId="392" fillId="502" borderId="0" xfId="0" applyFont="1" applyFill="1" applyAlignment="1">
      <alignment horizontal="center" vertical="center" wrapText="1"/>
    </xf>
    <xf numFmtId="0" fontId="392" fillId="503" borderId="0" xfId="0" applyFont="1" applyFill="1" applyAlignment="1">
      <alignment horizontal="center" vertical="center" wrapText="1"/>
    </xf>
    <xf numFmtId="0" fontId="392" fillId="504" borderId="0" xfId="0" applyFont="1" applyFill="1" applyAlignment="1">
      <alignment horizontal="center" vertical="center" wrapText="1"/>
    </xf>
    <xf numFmtId="0" fontId="392" fillId="505" borderId="0" xfId="0" applyFont="1" applyFill="1" applyAlignment="1">
      <alignment horizontal="center" vertical="center" wrapText="1"/>
    </xf>
    <xf numFmtId="0" fontId="392" fillId="506" borderId="0" xfId="0" applyFont="1" applyFill="1" applyAlignment="1">
      <alignment horizontal="center" vertical="center" wrapText="1"/>
    </xf>
    <xf numFmtId="0" fontId="390" fillId="507" borderId="0" xfId="0" applyFont="1" applyFill="1"/>
    <xf numFmtId="0" fontId="390" fillId="508" borderId="0" xfId="0" applyFont="1" applyFill="1"/>
    <xf numFmtId="0" fontId="390" fillId="509" borderId="0" xfId="0" applyFont="1" applyFill="1"/>
    <xf numFmtId="0" fontId="392" fillId="510" borderId="0" xfId="0" applyFont="1" applyFill="1" applyAlignment="1">
      <alignment horizontal="center" vertical="center" wrapText="1"/>
    </xf>
    <xf numFmtId="0" fontId="392" fillId="511" borderId="0" xfId="0" applyFont="1" applyFill="1" applyAlignment="1">
      <alignment horizontal="center" vertical="center" wrapText="1"/>
    </xf>
    <xf numFmtId="0" fontId="392" fillId="512" borderId="0" xfId="0" applyFont="1" applyFill="1" applyAlignment="1">
      <alignment horizontal="center" vertical="center" wrapText="1"/>
    </xf>
    <xf numFmtId="0" fontId="392" fillId="513" borderId="0" xfId="0" applyFont="1" applyFill="1" applyAlignment="1">
      <alignment horizontal="center" vertical="center" wrapText="1"/>
    </xf>
    <xf numFmtId="0" fontId="392" fillId="514" borderId="0" xfId="0" applyFont="1" applyFill="1" applyAlignment="1">
      <alignment horizontal="center" vertical="center" wrapText="1"/>
    </xf>
    <xf numFmtId="0" fontId="392" fillId="515" borderId="0" xfId="0" applyFont="1" applyFill="1" applyAlignment="1">
      <alignment horizontal="center" vertical="center" wrapText="1"/>
    </xf>
    <xf numFmtId="0" fontId="392" fillId="516" borderId="0" xfId="0" applyFont="1" applyFill="1" applyAlignment="1">
      <alignment horizontal="center" vertical="center" wrapText="1"/>
    </xf>
    <xf numFmtId="0" fontId="392" fillId="517" borderId="0" xfId="0" applyFont="1" applyFill="1" applyAlignment="1">
      <alignment horizontal="center" vertical="center" wrapText="1"/>
    </xf>
    <xf numFmtId="0" fontId="392" fillId="518" borderId="0" xfId="0" applyFont="1" applyFill="1" applyAlignment="1">
      <alignment horizontal="center" vertical="center" wrapText="1"/>
    </xf>
    <xf numFmtId="0" fontId="390" fillId="519" borderId="0" xfId="0" applyFont="1" applyFill="1"/>
    <xf numFmtId="0" fontId="390" fillId="520" borderId="0" xfId="0" applyFont="1" applyFill="1"/>
    <xf numFmtId="0" fontId="390" fillId="521" borderId="0" xfId="0" applyFont="1" applyFill="1"/>
    <xf numFmtId="0" fontId="392" fillId="522" borderId="0" xfId="0" applyFont="1" applyFill="1" applyAlignment="1">
      <alignment horizontal="center" vertical="center" wrapText="1"/>
    </xf>
    <xf numFmtId="0" fontId="392" fillId="523" borderId="0" xfId="0" applyFont="1" applyFill="1" applyAlignment="1">
      <alignment horizontal="center" vertical="center" wrapText="1"/>
    </xf>
    <xf numFmtId="0" fontId="392" fillId="206" borderId="0" xfId="0" applyFont="1" applyFill="1" applyAlignment="1">
      <alignment horizontal="center" vertical="center" wrapText="1"/>
    </xf>
    <xf numFmtId="0" fontId="392" fillId="524" borderId="0" xfId="0" applyFont="1" applyFill="1" applyAlignment="1">
      <alignment horizontal="center" vertical="center" wrapText="1"/>
    </xf>
    <xf numFmtId="0" fontId="392" fillId="525" borderId="0" xfId="0" applyFont="1" applyFill="1" applyAlignment="1">
      <alignment horizontal="center" vertical="center" wrapText="1"/>
    </xf>
    <xf numFmtId="0" fontId="392" fillId="526" borderId="0" xfId="0" applyFont="1" applyFill="1" applyAlignment="1">
      <alignment horizontal="center" vertical="center" wrapText="1"/>
    </xf>
    <xf numFmtId="0" fontId="392" fillId="527" borderId="0" xfId="0" applyFont="1" applyFill="1" applyAlignment="1">
      <alignment horizontal="center" vertical="center" wrapText="1"/>
    </xf>
    <xf numFmtId="0" fontId="392" fillId="528" borderId="0" xfId="0" applyFont="1" applyFill="1" applyAlignment="1">
      <alignment horizontal="center" vertical="center" wrapText="1"/>
    </xf>
    <xf numFmtId="0" fontId="392" fillId="529" borderId="0" xfId="0" applyFont="1" applyFill="1" applyAlignment="1">
      <alignment horizontal="center" vertical="center" wrapText="1"/>
    </xf>
    <xf numFmtId="0" fontId="390" fillId="530" borderId="0" xfId="0" applyFont="1" applyFill="1"/>
    <xf numFmtId="0" fontId="390" fillId="531" borderId="0" xfId="0" applyFont="1" applyFill="1"/>
    <xf numFmtId="0" fontId="390" fillId="532" borderId="0" xfId="0" applyFont="1" applyFill="1"/>
    <xf numFmtId="0" fontId="392" fillId="533" borderId="0" xfId="0" applyFont="1" applyFill="1" applyAlignment="1">
      <alignment horizontal="center" vertical="center" wrapText="1"/>
    </xf>
    <xf numFmtId="0" fontId="392" fillId="534" borderId="0" xfId="0" applyFont="1" applyFill="1" applyAlignment="1">
      <alignment horizontal="center" vertical="center" wrapText="1"/>
    </xf>
    <xf numFmtId="0" fontId="392" fillId="535" borderId="0" xfId="0" applyFont="1" applyFill="1" applyAlignment="1">
      <alignment horizontal="center" vertical="center" wrapText="1"/>
    </xf>
    <xf numFmtId="0" fontId="392" fillId="536" borderId="0" xfId="0" applyFont="1" applyFill="1" applyAlignment="1">
      <alignment horizontal="center" vertical="center" wrapText="1"/>
    </xf>
    <xf numFmtId="0" fontId="392" fillId="537" borderId="0" xfId="0" applyFont="1" applyFill="1" applyAlignment="1">
      <alignment horizontal="center" vertical="center" wrapText="1"/>
    </xf>
    <xf numFmtId="0" fontId="392" fillId="538" borderId="0" xfId="0" applyFont="1" applyFill="1" applyAlignment="1">
      <alignment horizontal="center" vertical="center" wrapText="1"/>
    </xf>
    <xf numFmtId="0" fontId="392" fillId="539" borderId="0" xfId="0" applyFont="1" applyFill="1" applyAlignment="1">
      <alignment horizontal="center" vertical="center" wrapText="1"/>
    </xf>
    <xf numFmtId="0" fontId="392" fillId="540" borderId="0" xfId="0" applyFont="1" applyFill="1" applyAlignment="1">
      <alignment horizontal="center" vertical="center" wrapText="1"/>
    </xf>
    <xf numFmtId="0" fontId="392" fillId="541" borderId="0" xfId="0" applyFont="1" applyFill="1" applyAlignment="1">
      <alignment horizontal="center" vertical="center" wrapText="1"/>
    </xf>
    <xf numFmtId="0" fontId="390" fillId="542" borderId="0" xfId="0" applyFont="1" applyFill="1"/>
    <xf numFmtId="0" fontId="390" fillId="543" borderId="0" xfId="0" applyFont="1" applyFill="1"/>
    <xf numFmtId="0" fontId="390" fillId="544" borderId="0" xfId="0" applyFont="1" applyFill="1"/>
    <xf numFmtId="0" fontId="392" fillId="545" borderId="0" xfId="0" applyFont="1" applyFill="1" applyAlignment="1">
      <alignment horizontal="center" vertical="center" wrapText="1"/>
    </xf>
    <xf numFmtId="0" fontId="392" fillId="546" borderId="0" xfId="0" applyFont="1" applyFill="1" applyAlignment="1">
      <alignment horizontal="center" vertical="center" wrapText="1"/>
    </xf>
    <xf numFmtId="0" fontId="392" fillId="547" borderId="0" xfId="0" applyFont="1" applyFill="1" applyAlignment="1">
      <alignment horizontal="center" vertical="center" wrapText="1"/>
    </xf>
    <xf numFmtId="0" fontId="392" fillId="548" borderId="0" xfId="0" applyFont="1" applyFill="1" applyAlignment="1">
      <alignment horizontal="center" vertical="center" wrapText="1"/>
    </xf>
    <xf numFmtId="0" fontId="392" fillId="549" borderId="0" xfId="0" applyFont="1" applyFill="1" applyAlignment="1">
      <alignment horizontal="center" vertical="center" wrapText="1"/>
    </xf>
    <xf numFmtId="0" fontId="392" fillId="550" borderId="0" xfId="0" applyFont="1" applyFill="1" applyAlignment="1">
      <alignment horizontal="center" vertical="center" wrapText="1"/>
    </xf>
    <xf numFmtId="0" fontId="392" fillId="551" borderId="0" xfId="0" applyFont="1" applyFill="1" applyAlignment="1">
      <alignment horizontal="center" vertical="center" wrapText="1"/>
    </xf>
    <xf numFmtId="0" fontId="392" fillId="552" borderId="0" xfId="0" applyFont="1" applyFill="1" applyAlignment="1">
      <alignment horizontal="center" vertical="center" wrapText="1"/>
    </xf>
    <xf numFmtId="0" fontId="392" fillId="553" borderId="0" xfId="0" applyFont="1" applyFill="1" applyAlignment="1">
      <alignment horizontal="center" vertical="center" wrapText="1"/>
    </xf>
    <xf numFmtId="0" fontId="390" fillId="554" borderId="0" xfId="0" applyFont="1" applyFill="1"/>
    <xf numFmtId="0" fontId="390" fillId="555" borderId="0" xfId="0" applyFont="1" applyFill="1"/>
    <xf numFmtId="0" fontId="390" fillId="556" borderId="0" xfId="0" applyFont="1" applyFill="1"/>
    <xf numFmtId="0" fontId="392" fillId="557" borderId="0" xfId="0" applyFont="1" applyFill="1" applyAlignment="1">
      <alignment horizontal="center" vertical="center" wrapText="1"/>
    </xf>
    <xf numFmtId="0" fontId="392" fillId="558" borderId="0" xfId="0" applyFont="1" applyFill="1" applyAlignment="1">
      <alignment horizontal="center" vertical="center" wrapText="1"/>
    </xf>
    <xf numFmtId="0" fontId="392" fillId="559" borderId="0" xfId="0" applyFont="1" applyFill="1" applyAlignment="1">
      <alignment horizontal="center" vertical="center" wrapText="1"/>
    </xf>
    <xf numFmtId="0" fontId="392" fillId="560" borderId="0" xfId="0" applyFont="1" applyFill="1" applyAlignment="1">
      <alignment horizontal="center" vertical="center" wrapText="1"/>
    </xf>
    <xf numFmtId="0" fontId="392" fillId="561" borderId="0" xfId="0" applyFont="1" applyFill="1" applyAlignment="1">
      <alignment horizontal="center" vertical="center" wrapText="1"/>
    </xf>
    <xf numFmtId="0" fontId="392" fillId="562" borderId="0" xfId="0" applyFont="1" applyFill="1" applyAlignment="1">
      <alignment horizontal="center" vertical="center" wrapText="1"/>
    </xf>
    <xf numFmtId="0" fontId="392" fillId="563" borderId="0" xfId="0" applyFont="1" applyFill="1" applyAlignment="1">
      <alignment horizontal="center" vertical="center" wrapText="1"/>
    </xf>
    <xf numFmtId="0" fontId="392" fillId="564" borderId="0" xfId="0" applyFont="1" applyFill="1" applyAlignment="1">
      <alignment horizontal="center" vertical="center" wrapText="1"/>
    </xf>
    <xf numFmtId="0" fontId="0" fillId="565" borderId="0" xfId="0" applyFill="1" applyAlignment="1">
      <alignment horizontal="center" vertical="center" wrapText="1"/>
    </xf>
    <xf numFmtId="0" fontId="390" fillId="566" borderId="0" xfId="0" applyFont="1" applyFill="1"/>
    <xf numFmtId="0" fontId="390" fillId="567" borderId="0" xfId="0" applyFont="1" applyFill="1"/>
    <xf numFmtId="0" fontId="390" fillId="568" borderId="0" xfId="0" applyFont="1" applyFill="1"/>
    <xf numFmtId="0" fontId="392" fillId="569" borderId="0" xfId="0" applyFont="1" applyFill="1" applyAlignment="1">
      <alignment horizontal="center" vertical="center" wrapText="1"/>
    </xf>
    <xf numFmtId="0" fontId="392" fillId="570" borderId="0" xfId="0" applyFont="1" applyFill="1" applyAlignment="1">
      <alignment horizontal="center" vertical="center" wrapText="1"/>
    </xf>
    <xf numFmtId="0" fontId="392" fillId="571" borderId="0" xfId="0" applyFont="1" applyFill="1" applyAlignment="1">
      <alignment horizontal="center" vertical="center" wrapText="1"/>
    </xf>
    <xf numFmtId="0" fontId="392" fillId="572" borderId="0" xfId="0" applyFont="1" applyFill="1" applyAlignment="1">
      <alignment horizontal="center" vertical="center" wrapText="1"/>
    </xf>
    <xf numFmtId="0" fontId="392" fillId="573" borderId="0" xfId="0" applyFont="1" applyFill="1" applyAlignment="1">
      <alignment horizontal="center" vertical="center" wrapText="1"/>
    </xf>
    <xf numFmtId="0" fontId="392" fillId="574" borderId="0" xfId="0" applyFont="1" applyFill="1" applyAlignment="1">
      <alignment horizontal="center" vertical="center" wrapText="1"/>
    </xf>
    <xf numFmtId="0" fontId="392" fillId="575" borderId="0" xfId="0" applyFont="1" applyFill="1" applyAlignment="1">
      <alignment horizontal="center" vertical="center" wrapText="1"/>
    </xf>
    <xf numFmtId="0" fontId="0" fillId="576" borderId="0" xfId="0" applyFill="1" applyAlignment="1">
      <alignment horizontal="center" vertical="center" wrapText="1"/>
    </xf>
    <xf numFmtId="0" fontId="0" fillId="577" borderId="0" xfId="0" applyFill="1" applyAlignment="1">
      <alignment horizontal="center" vertical="center" wrapText="1"/>
    </xf>
    <xf numFmtId="0" fontId="390" fillId="578" borderId="0" xfId="0" applyFont="1" applyFill="1"/>
    <xf numFmtId="0" fontId="390" fillId="579" borderId="0" xfId="0" applyFont="1" applyFill="1"/>
    <xf numFmtId="0" fontId="390" fillId="580" borderId="0" xfId="0" applyFont="1" applyFill="1"/>
    <xf numFmtId="0" fontId="392" fillId="581" borderId="0" xfId="0" applyFont="1" applyFill="1" applyAlignment="1">
      <alignment horizontal="center" vertical="center" wrapText="1"/>
    </xf>
    <xf numFmtId="0" fontId="392" fillId="582" borderId="0" xfId="0" applyFont="1" applyFill="1" applyAlignment="1">
      <alignment horizontal="center" vertical="center" wrapText="1"/>
    </xf>
    <xf numFmtId="0" fontId="392" fillId="583" borderId="0" xfId="0" applyFont="1" applyFill="1" applyAlignment="1">
      <alignment horizontal="center" vertical="center" wrapText="1"/>
    </xf>
    <xf numFmtId="0" fontId="392" fillId="584" borderId="0" xfId="0" applyFont="1" applyFill="1" applyAlignment="1">
      <alignment horizontal="center" vertical="center" wrapText="1"/>
    </xf>
    <xf numFmtId="0" fontId="392" fillId="585" borderId="0" xfId="0" applyFont="1" applyFill="1" applyAlignment="1">
      <alignment horizontal="center" vertical="center" wrapText="1"/>
    </xf>
    <xf numFmtId="0" fontId="392" fillId="586" borderId="0" xfId="0" applyFont="1" applyFill="1" applyAlignment="1">
      <alignment horizontal="center" vertical="center" wrapText="1"/>
    </xf>
    <xf numFmtId="0" fontId="0" fillId="587" borderId="0" xfId="0" applyFill="1" applyAlignment="1">
      <alignment horizontal="center" vertical="center" wrapText="1"/>
    </xf>
    <xf numFmtId="0" fontId="0" fillId="588" borderId="0" xfId="0" applyFill="1" applyAlignment="1">
      <alignment horizontal="center" vertical="center" wrapText="1"/>
    </xf>
    <xf numFmtId="0" fontId="0" fillId="589" borderId="0" xfId="0" applyFill="1" applyAlignment="1">
      <alignment horizontal="center" vertical="center" wrapText="1"/>
    </xf>
    <xf numFmtId="0" fontId="390" fillId="590" borderId="0" xfId="0" applyFont="1" applyFill="1"/>
    <xf numFmtId="0" fontId="390" fillId="591" borderId="0" xfId="0" applyFont="1" applyFill="1"/>
    <xf numFmtId="0" fontId="390" fillId="592" borderId="0" xfId="0" applyFont="1" applyFill="1"/>
    <xf numFmtId="0" fontId="392" fillId="593" borderId="0" xfId="0" applyFont="1" applyFill="1" applyAlignment="1">
      <alignment horizontal="center" vertical="center" wrapText="1"/>
    </xf>
    <xf numFmtId="0" fontId="392" fillId="594" borderId="0" xfId="0" applyFont="1" applyFill="1" applyAlignment="1">
      <alignment horizontal="center" vertical="center" wrapText="1"/>
    </xf>
    <xf numFmtId="0" fontId="392" fillId="595" borderId="0" xfId="0" applyFont="1" applyFill="1" applyAlignment="1">
      <alignment horizontal="center" vertical="center" wrapText="1"/>
    </xf>
    <xf numFmtId="0" fontId="392" fillId="596" borderId="0" xfId="0" applyFont="1" applyFill="1" applyAlignment="1">
      <alignment horizontal="center" vertical="center" wrapText="1"/>
    </xf>
    <xf numFmtId="0" fontId="392" fillId="597" borderId="0" xfId="0" applyFont="1" applyFill="1" applyAlignment="1">
      <alignment horizontal="center" vertical="center" wrapText="1"/>
    </xf>
    <xf numFmtId="0" fontId="0" fillId="598" borderId="0" xfId="0" applyFill="1" applyAlignment="1">
      <alignment horizontal="center" vertical="center" wrapText="1"/>
    </xf>
    <xf numFmtId="0" fontId="0" fillId="599" borderId="0" xfId="0" applyFill="1" applyAlignment="1">
      <alignment horizontal="center" vertical="center" wrapText="1"/>
    </xf>
    <xf numFmtId="0" fontId="0" fillId="600" borderId="0" xfId="0" applyFill="1" applyAlignment="1">
      <alignment horizontal="center" vertical="center" wrapText="1"/>
    </xf>
    <xf numFmtId="0" fontId="0" fillId="601" borderId="0" xfId="0" applyFill="1" applyAlignment="1">
      <alignment horizontal="center" vertical="center" wrapText="1"/>
    </xf>
    <xf numFmtId="0" fontId="390" fillId="602" borderId="0" xfId="0" applyFont="1" applyFill="1"/>
    <xf numFmtId="0" fontId="390" fillId="603" borderId="0" xfId="0" applyFont="1" applyFill="1"/>
    <xf numFmtId="0" fontId="390" fillId="604" borderId="0" xfId="0" applyFont="1" applyFill="1"/>
    <xf numFmtId="0" fontId="392" fillId="605" borderId="0" xfId="0" applyFont="1" applyFill="1" applyAlignment="1">
      <alignment horizontal="center" vertical="center" wrapText="1"/>
    </xf>
    <xf numFmtId="0" fontId="392" fillId="606" borderId="0" xfId="0" applyFont="1" applyFill="1" applyAlignment="1">
      <alignment horizontal="center" vertical="center" wrapText="1"/>
    </xf>
    <xf numFmtId="0" fontId="392" fillId="607" borderId="0" xfId="0" applyFont="1" applyFill="1" applyAlignment="1">
      <alignment horizontal="center" vertical="center" wrapText="1"/>
    </xf>
    <xf numFmtId="0" fontId="392" fillId="608" borderId="0" xfId="0" applyFont="1" applyFill="1" applyAlignment="1">
      <alignment horizontal="center" vertical="center" wrapText="1"/>
    </xf>
    <xf numFmtId="0" fontId="392" fillId="609" borderId="0" xfId="0" applyFont="1" applyFill="1" applyAlignment="1">
      <alignment horizontal="center" vertical="center" wrapText="1"/>
    </xf>
    <xf numFmtId="0" fontId="392" fillId="610" borderId="0" xfId="0" applyFont="1" applyFill="1" applyAlignment="1">
      <alignment horizontal="center" vertical="center" wrapText="1"/>
    </xf>
    <xf numFmtId="0" fontId="392" fillId="611" borderId="0" xfId="0" applyFont="1" applyFill="1" applyAlignment="1">
      <alignment horizontal="center" vertical="center" wrapText="1"/>
    </xf>
    <xf numFmtId="0" fontId="392" fillId="612" borderId="0" xfId="0" applyFont="1" applyFill="1" applyAlignment="1">
      <alignment horizontal="center" vertical="center" wrapText="1"/>
    </xf>
    <xf numFmtId="0" fontId="392" fillId="613" borderId="0" xfId="0" applyFont="1" applyFill="1" applyAlignment="1">
      <alignment horizontal="center" vertical="center" wrapText="1"/>
    </xf>
    <xf numFmtId="0" fontId="390" fillId="614" borderId="0" xfId="0" applyFont="1" applyFill="1"/>
    <xf numFmtId="0" fontId="390" fillId="615" borderId="0" xfId="0" applyFont="1" applyFill="1"/>
    <xf numFmtId="0" fontId="390" fillId="616" borderId="0" xfId="0" applyFont="1" applyFill="1"/>
    <xf numFmtId="0" fontId="392" fillId="617" borderId="0" xfId="0" applyFont="1" applyFill="1" applyAlignment="1">
      <alignment horizontal="center" vertical="center" wrapText="1"/>
    </xf>
    <xf numFmtId="0" fontId="392" fillId="618" borderId="0" xfId="0" applyFont="1" applyFill="1" applyAlignment="1">
      <alignment horizontal="center" vertical="center" wrapText="1"/>
    </xf>
    <xf numFmtId="0" fontId="392" fillId="619" borderId="0" xfId="0" applyFont="1" applyFill="1" applyAlignment="1">
      <alignment horizontal="center" vertical="center" wrapText="1"/>
    </xf>
    <xf numFmtId="0" fontId="392" fillId="620" borderId="0" xfId="0" applyFont="1" applyFill="1" applyAlignment="1">
      <alignment horizontal="center" vertical="center" wrapText="1"/>
    </xf>
    <xf numFmtId="0" fontId="392" fillId="621" borderId="0" xfId="0" applyFont="1" applyFill="1" applyAlignment="1">
      <alignment horizontal="center" vertical="center" wrapText="1"/>
    </xf>
    <xf numFmtId="0" fontId="392" fillId="622" borderId="0" xfId="0" applyFont="1" applyFill="1" applyAlignment="1">
      <alignment horizontal="center" vertical="center" wrapText="1"/>
    </xf>
    <xf numFmtId="0" fontId="392" fillId="623" borderId="0" xfId="0" applyFont="1" applyFill="1" applyAlignment="1">
      <alignment horizontal="center" vertical="center" wrapText="1"/>
    </xf>
    <xf numFmtId="0" fontId="392" fillId="624" borderId="0" xfId="0" applyFont="1" applyFill="1" applyAlignment="1">
      <alignment horizontal="center" vertical="center" wrapText="1"/>
    </xf>
    <xf numFmtId="0" fontId="392" fillId="625" borderId="0" xfId="0" applyFont="1" applyFill="1" applyAlignment="1">
      <alignment horizontal="center" vertical="center" wrapText="1"/>
    </xf>
    <xf numFmtId="0" fontId="390" fillId="626" borderId="0" xfId="0" applyFont="1" applyFill="1"/>
    <xf numFmtId="0" fontId="390" fillId="627" borderId="0" xfId="0" applyFont="1" applyFill="1"/>
    <xf numFmtId="0" fontId="390" fillId="628" borderId="0" xfId="0" applyFont="1" applyFill="1"/>
    <xf numFmtId="0" fontId="392" fillId="629" borderId="0" xfId="0" applyFont="1" applyFill="1" applyAlignment="1">
      <alignment horizontal="center" vertical="center" wrapText="1"/>
    </xf>
    <xf numFmtId="0" fontId="392" fillId="630" borderId="0" xfId="0" applyFont="1" applyFill="1" applyAlignment="1">
      <alignment horizontal="center" vertical="center" wrapText="1"/>
    </xf>
    <xf numFmtId="0" fontId="392" fillId="631" borderId="0" xfId="0" applyFont="1" applyFill="1" applyAlignment="1">
      <alignment horizontal="center" vertical="center" wrapText="1"/>
    </xf>
    <xf numFmtId="0" fontId="392" fillId="632" borderId="0" xfId="0" applyFont="1" applyFill="1" applyAlignment="1">
      <alignment horizontal="center" vertical="center" wrapText="1"/>
    </xf>
    <xf numFmtId="0" fontId="392" fillId="633" borderId="0" xfId="0" applyFont="1" applyFill="1" applyAlignment="1">
      <alignment horizontal="center" vertical="center" wrapText="1"/>
    </xf>
    <xf numFmtId="0" fontId="392" fillId="634" borderId="0" xfId="0" applyFont="1" applyFill="1" applyAlignment="1">
      <alignment horizontal="center" vertical="center" wrapText="1"/>
    </xf>
    <xf numFmtId="0" fontId="392" fillId="635" borderId="0" xfId="0" applyFont="1" applyFill="1" applyAlignment="1">
      <alignment horizontal="center" vertical="center" wrapText="1"/>
    </xf>
    <xf numFmtId="0" fontId="392" fillId="636" borderId="0" xfId="0" applyFont="1" applyFill="1" applyAlignment="1">
      <alignment horizontal="center" vertical="center" wrapText="1"/>
    </xf>
    <xf numFmtId="0" fontId="392" fillId="637" borderId="0" xfId="0" applyFont="1" applyFill="1" applyAlignment="1">
      <alignment horizontal="center" vertical="center" wrapText="1"/>
    </xf>
    <xf numFmtId="0" fontId="390" fillId="638" borderId="0" xfId="0" applyFont="1" applyFill="1"/>
    <xf numFmtId="0" fontId="390" fillId="639" borderId="0" xfId="0" applyFont="1" applyFill="1"/>
    <xf numFmtId="0" fontId="390" fillId="640" borderId="0" xfId="0" applyFont="1" applyFill="1"/>
    <xf numFmtId="0" fontId="392" fillId="641" borderId="0" xfId="0" applyFont="1" applyFill="1" applyAlignment="1">
      <alignment horizontal="center" vertical="center" wrapText="1"/>
    </xf>
    <xf numFmtId="0" fontId="392" fillId="642" borderId="0" xfId="0" applyFont="1" applyFill="1" applyAlignment="1">
      <alignment horizontal="center" vertical="center" wrapText="1"/>
    </xf>
    <xf numFmtId="0" fontId="392" fillId="643" borderId="0" xfId="0" applyFont="1" applyFill="1" applyAlignment="1">
      <alignment horizontal="center" vertical="center" wrapText="1"/>
    </xf>
    <xf numFmtId="0" fontId="392" fillId="644" borderId="0" xfId="0" applyFont="1" applyFill="1" applyAlignment="1">
      <alignment horizontal="center" vertical="center" wrapText="1"/>
    </xf>
    <xf numFmtId="0" fontId="392" fillId="645" borderId="0" xfId="0" applyFont="1" applyFill="1" applyAlignment="1">
      <alignment horizontal="center" vertical="center" wrapText="1"/>
    </xf>
    <xf numFmtId="0" fontId="392" fillId="646" borderId="0" xfId="0" applyFont="1" applyFill="1" applyAlignment="1">
      <alignment horizontal="center" vertical="center" wrapText="1"/>
    </xf>
    <xf numFmtId="0" fontId="392" fillId="647" borderId="0" xfId="0" applyFont="1" applyFill="1" applyAlignment="1">
      <alignment horizontal="center" vertical="center" wrapText="1"/>
    </xf>
    <xf numFmtId="0" fontId="392" fillId="648" borderId="0" xfId="0" applyFont="1" applyFill="1" applyAlignment="1">
      <alignment horizontal="center" vertical="center" wrapText="1"/>
    </xf>
    <xf numFmtId="0" fontId="392" fillId="649" borderId="0" xfId="0" applyFont="1" applyFill="1" applyAlignment="1">
      <alignment horizontal="center" vertical="center" wrapText="1"/>
    </xf>
    <xf numFmtId="0" fontId="390" fillId="650" borderId="0" xfId="0" applyFont="1" applyFill="1"/>
    <xf numFmtId="0" fontId="390" fillId="651" borderId="0" xfId="0" applyFont="1" applyFill="1"/>
    <xf numFmtId="0" fontId="390" fillId="652" borderId="0" xfId="0" applyFont="1" applyFill="1"/>
    <xf numFmtId="0" fontId="392" fillId="653" borderId="0" xfId="0" applyFont="1" applyFill="1" applyAlignment="1">
      <alignment horizontal="center" vertical="center" wrapText="1"/>
    </xf>
    <xf numFmtId="0" fontId="392" fillId="654" borderId="0" xfId="0" applyFont="1" applyFill="1" applyAlignment="1">
      <alignment horizontal="center" vertical="center" wrapText="1"/>
    </xf>
    <xf numFmtId="0" fontId="392" fillId="655" borderId="0" xfId="0" applyFont="1" applyFill="1" applyAlignment="1">
      <alignment horizontal="center" vertical="center" wrapText="1"/>
    </xf>
    <xf numFmtId="0" fontId="392" fillId="656" borderId="0" xfId="0" applyFont="1" applyFill="1" applyAlignment="1">
      <alignment horizontal="center" vertical="center" wrapText="1"/>
    </xf>
    <xf numFmtId="0" fontId="392" fillId="657" borderId="0" xfId="0" applyFont="1" applyFill="1" applyAlignment="1">
      <alignment horizontal="center" vertical="center" wrapText="1"/>
    </xf>
    <xf numFmtId="0" fontId="392" fillId="658" borderId="0" xfId="0" applyFont="1" applyFill="1" applyAlignment="1">
      <alignment horizontal="center" vertical="center" wrapText="1"/>
    </xf>
    <xf numFmtId="0" fontId="392" fillId="659" borderId="0" xfId="0" applyFont="1" applyFill="1" applyAlignment="1">
      <alignment horizontal="center" vertical="center" wrapText="1"/>
    </xf>
    <xf numFmtId="0" fontId="392" fillId="660" borderId="0" xfId="0" applyFont="1" applyFill="1" applyAlignment="1">
      <alignment horizontal="center" vertical="center" wrapText="1"/>
    </xf>
    <xf numFmtId="0" fontId="0" fillId="661" borderId="0" xfId="0" applyFill="1" applyAlignment="1">
      <alignment horizontal="center" vertical="center" wrapText="1"/>
    </xf>
    <xf numFmtId="0" fontId="390" fillId="662" borderId="0" xfId="0" applyFont="1" applyFill="1"/>
    <xf numFmtId="0" fontId="390" fillId="663" borderId="0" xfId="0" applyFont="1" applyFill="1"/>
    <xf numFmtId="0" fontId="390" fillId="664" borderId="0" xfId="0" applyFont="1" applyFill="1"/>
    <xf numFmtId="0" fontId="392" fillId="665" borderId="0" xfId="0" applyFont="1" applyFill="1" applyAlignment="1">
      <alignment horizontal="center" vertical="center" wrapText="1"/>
    </xf>
    <xf numFmtId="0" fontId="392" fillId="666" borderId="0" xfId="0" applyFont="1" applyFill="1" applyAlignment="1">
      <alignment horizontal="center" vertical="center" wrapText="1"/>
    </xf>
    <xf numFmtId="0" fontId="392" fillId="667" borderId="0" xfId="0" applyFont="1" applyFill="1" applyAlignment="1">
      <alignment horizontal="center" vertical="center" wrapText="1"/>
    </xf>
    <xf numFmtId="0" fontId="392" fillId="668" borderId="0" xfId="0" applyFont="1" applyFill="1" applyAlignment="1">
      <alignment horizontal="center" vertical="center" wrapText="1"/>
    </xf>
    <xf numFmtId="0" fontId="392" fillId="669" borderId="0" xfId="0" applyFont="1" applyFill="1" applyAlignment="1">
      <alignment horizontal="center" vertical="center" wrapText="1"/>
    </xf>
    <xf numFmtId="0" fontId="392" fillId="670" borderId="0" xfId="0" applyFont="1" applyFill="1" applyAlignment="1">
      <alignment horizontal="center" vertical="center" wrapText="1"/>
    </xf>
    <xf numFmtId="0" fontId="392" fillId="671" borderId="0" xfId="0" applyFont="1" applyFill="1" applyAlignment="1">
      <alignment horizontal="center" vertical="center" wrapText="1"/>
    </xf>
    <xf numFmtId="0" fontId="0" fillId="672" borderId="0" xfId="0" applyFill="1" applyAlignment="1">
      <alignment horizontal="center" vertical="center" wrapText="1"/>
    </xf>
    <xf numFmtId="0" fontId="0" fillId="673" borderId="0" xfId="0" applyFill="1" applyAlignment="1">
      <alignment horizontal="center" vertical="center" wrapText="1"/>
    </xf>
    <xf numFmtId="0" fontId="390" fillId="674" borderId="0" xfId="0" applyFont="1" applyFill="1"/>
    <xf numFmtId="0" fontId="390" fillId="675" borderId="0" xfId="0" applyFont="1" applyFill="1"/>
    <xf numFmtId="0" fontId="390" fillId="676" borderId="0" xfId="0" applyFont="1" applyFill="1"/>
    <xf numFmtId="0" fontId="392" fillId="677" borderId="0" xfId="0" applyFont="1" applyFill="1" applyAlignment="1">
      <alignment horizontal="center" vertical="center" wrapText="1"/>
    </xf>
    <xf numFmtId="0" fontId="392" fillId="678" borderId="0" xfId="0" applyFont="1" applyFill="1" applyAlignment="1">
      <alignment horizontal="center" vertical="center" wrapText="1"/>
    </xf>
    <xf numFmtId="0" fontId="392" fillId="679" borderId="0" xfId="0" applyFont="1" applyFill="1" applyAlignment="1">
      <alignment horizontal="center" vertical="center" wrapText="1"/>
    </xf>
    <xf numFmtId="0" fontId="392" fillId="680" borderId="0" xfId="0" applyFont="1" applyFill="1" applyAlignment="1">
      <alignment horizontal="center" vertical="center" wrapText="1"/>
    </xf>
    <xf numFmtId="0" fontId="392" fillId="681" borderId="0" xfId="0" applyFont="1" applyFill="1" applyAlignment="1">
      <alignment horizontal="center" vertical="center" wrapText="1"/>
    </xf>
    <xf numFmtId="0" fontId="392" fillId="682" borderId="0" xfId="0" applyFont="1" applyFill="1" applyAlignment="1">
      <alignment horizontal="center" vertical="center" wrapText="1"/>
    </xf>
    <xf numFmtId="0" fontId="0" fillId="683" borderId="0" xfId="0" applyFill="1" applyAlignment="1">
      <alignment horizontal="center" vertical="center" wrapText="1"/>
    </xf>
    <xf numFmtId="0" fontId="0" fillId="684" borderId="0" xfId="0" applyFill="1" applyAlignment="1">
      <alignment horizontal="center" vertical="center" wrapText="1"/>
    </xf>
    <xf numFmtId="0" fontId="0" fillId="685" borderId="0" xfId="0" applyFill="1" applyAlignment="1">
      <alignment horizontal="center" vertical="center" wrapText="1"/>
    </xf>
    <xf numFmtId="0" fontId="390" fillId="686" borderId="0" xfId="0" applyFont="1" applyFill="1"/>
    <xf numFmtId="0" fontId="390" fillId="687" borderId="0" xfId="0" applyFont="1" applyFill="1"/>
    <xf numFmtId="0" fontId="390" fillId="688" borderId="0" xfId="0" applyFont="1" applyFill="1"/>
    <xf numFmtId="0" fontId="392" fillId="689" borderId="0" xfId="0" applyFont="1" applyFill="1" applyAlignment="1">
      <alignment horizontal="center" vertical="center" wrapText="1"/>
    </xf>
    <xf numFmtId="0" fontId="392" fillId="690" borderId="0" xfId="0" applyFont="1" applyFill="1" applyAlignment="1">
      <alignment horizontal="center" vertical="center" wrapText="1"/>
    </xf>
    <xf numFmtId="0" fontId="392" fillId="691" borderId="0" xfId="0" applyFont="1" applyFill="1" applyAlignment="1">
      <alignment horizontal="center" vertical="center" wrapText="1"/>
    </xf>
    <xf numFmtId="0" fontId="392" fillId="692" borderId="0" xfId="0" applyFont="1" applyFill="1" applyAlignment="1">
      <alignment horizontal="center" vertical="center" wrapText="1"/>
    </xf>
    <xf numFmtId="0" fontId="392" fillId="693" borderId="0" xfId="0" applyFont="1" applyFill="1" applyAlignment="1">
      <alignment horizontal="center" vertical="center" wrapText="1"/>
    </xf>
    <xf numFmtId="0" fontId="0" fillId="694" borderId="0" xfId="0" applyFill="1" applyAlignment="1">
      <alignment horizontal="center" vertical="center" wrapText="1"/>
    </xf>
    <xf numFmtId="0" fontId="0" fillId="695" borderId="0" xfId="0" applyFill="1" applyAlignment="1">
      <alignment horizontal="center" vertical="center" wrapText="1"/>
    </xf>
    <xf numFmtId="0" fontId="0" fillId="696" borderId="0" xfId="0" applyFill="1" applyAlignment="1">
      <alignment horizontal="center" vertical="center" wrapText="1"/>
    </xf>
    <xf numFmtId="0" fontId="0" fillId="697" borderId="0" xfId="0" applyFill="1" applyAlignment="1">
      <alignment horizontal="center" vertical="center" wrapText="1"/>
    </xf>
    <xf numFmtId="0" fontId="390" fillId="698" borderId="0" xfId="0" applyFont="1" applyFill="1"/>
    <xf numFmtId="0" fontId="390" fillId="699" borderId="0" xfId="0" applyFont="1" applyFill="1"/>
    <xf numFmtId="0" fontId="390" fillId="700" borderId="0" xfId="0" applyFont="1" applyFill="1"/>
    <xf numFmtId="0" fontId="392" fillId="701" borderId="0" xfId="0" applyFont="1" applyFill="1" applyAlignment="1">
      <alignment horizontal="center" vertical="center" wrapText="1"/>
    </xf>
    <xf numFmtId="0" fontId="392" fillId="702" borderId="0" xfId="0" applyFont="1" applyFill="1" applyAlignment="1">
      <alignment horizontal="center" vertical="center" wrapText="1"/>
    </xf>
    <xf numFmtId="0" fontId="392" fillId="703" borderId="0" xfId="0" applyFont="1" applyFill="1" applyAlignment="1">
      <alignment horizontal="center" vertical="center" wrapText="1"/>
    </xf>
    <xf numFmtId="0" fontId="392" fillId="704" borderId="0" xfId="0" applyFont="1" applyFill="1" applyAlignment="1">
      <alignment horizontal="center" vertical="center" wrapText="1"/>
    </xf>
    <xf numFmtId="0" fontId="0" fillId="705" borderId="0" xfId="0" applyFill="1" applyAlignment="1">
      <alignment horizontal="center" vertical="center" wrapText="1"/>
    </xf>
    <xf numFmtId="0" fontId="0" fillId="706" borderId="0" xfId="0" applyFill="1" applyAlignment="1">
      <alignment horizontal="center" vertical="center" wrapText="1"/>
    </xf>
    <xf numFmtId="0" fontId="0" fillId="707" borderId="0" xfId="0" applyFill="1" applyAlignment="1">
      <alignment horizontal="center" vertical="center" wrapText="1"/>
    </xf>
    <xf numFmtId="0" fontId="0" fillId="708" borderId="0" xfId="0" applyFill="1" applyAlignment="1">
      <alignment horizontal="center" vertical="center" wrapText="1"/>
    </xf>
    <xf numFmtId="0" fontId="0" fillId="709" borderId="0" xfId="0" applyFill="1" applyAlignment="1">
      <alignment horizontal="center" vertical="center" wrapText="1"/>
    </xf>
    <xf numFmtId="0" fontId="390" fillId="710" borderId="0" xfId="0" applyFont="1" applyFill="1"/>
    <xf numFmtId="0" fontId="390" fillId="711" borderId="0" xfId="0" applyFont="1" applyFill="1"/>
    <xf numFmtId="0" fontId="390" fillId="712" borderId="0" xfId="0" applyFont="1" applyFill="1"/>
    <xf numFmtId="0" fontId="392" fillId="117" borderId="0" xfId="0" applyFont="1" applyFill="1" applyAlignment="1">
      <alignment horizontal="center" vertical="center" wrapText="1"/>
    </xf>
    <xf numFmtId="0" fontId="392" fillId="713" borderId="0" xfId="0" applyFont="1" applyFill="1" applyAlignment="1">
      <alignment horizontal="center" vertical="center" wrapText="1"/>
    </xf>
    <xf numFmtId="0" fontId="392" fillId="714" borderId="0" xfId="0" applyFont="1" applyFill="1" applyAlignment="1">
      <alignment horizontal="center" vertical="center" wrapText="1"/>
    </xf>
    <xf numFmtId="0" fontId="392" fillId="715" borderId="0" xfId="0" applyFont="1" applyFill="1" applyAlignment="1">
      <alignment horizontal="center" vertical="center" wrapText="1"/>
    </xf>
    <xf numFmtId="0" fontId="392" fillId="716" borderId="0" xfId="0" applyFont="1" applyFill="1" applyAlignment="1">
      <alignment horizontal="center" vertical="center" wrapText="1"/>
    </xf>
    <xf numFmtId="0" fontId="392" fillId="717" borderId="0" xfId="0" applyFont="1" applyFill="1" applyAlignment="1">
      <alignment horizontal="center" vertical="center" wrapText="1"/>
    </xf>
    <xf numFmtId="0" fontId="392" fillId="718" borderId="0" xfId="0" applyFont="1" applyFill="1" applyAlignment="1">
      <alignment horizontal="center" vertical="center" wrapText="1"/>
    </xf>
    <xf numFmtId="0" fontId="392" fillId="719" borderId="0" xfId="0" applyFont="1" applyFill="1" applyAlignment="1">
      <alignment horizontal="center" vertical="center" wrapText="1"/>
    </xf>
    <xf numFmtId="0" fontId="392" fillId="720" borderId="0" xfId="0" applyFont="1" applyFill="1" applyAlignment="1">
      <alignment horizontal="center" vertical="center" wrapText="1"/>
    </xf>
    <xf numFmtId="0" fontId="390" fillId="721" borderId="0" xfId="0" applyFont="1" applyFill="1"/>
    <xf numFmtId="0" fontId="390" fillId="722" borderId="0" xfId="0" applyFont="1" applyFill="1"/>
    <xf numFmtId="0" fontId="390" fillId="723" borderId="0" xfId="0" applyFont="1" applyFill="1"/>
    <xf numFmtId="0" fontId="392" fillId="724" borderId="0" xfId="0" applyFont="1" applyFill="1" applyAlignment="1">
      <alignment horizontal="center" vertical="center" wrapText="1"/>
    </xf>
    <xf numFmtId="0" fontId="392" fillId="725" borderId="0" xfId="0" applyFont="1" applyFill="1" applyAlignment="1">
      <alignment horizontal="center" vertical="center" wrapText="1"/>
    </xf>
    <xf numFmtId="0" fontId="392" fillId="726" borderId="0" xfId="0" applyFont="1" applyFill="1" applyAlignment="1">
      <alignment horizontal="center" vertical="center" wrapText="1"/>
    </xf>
    <xf numFmtId="0" fontId="392" fillId="727" borderId="0" xfId="0" applyFont="1" applyFill="1" applyAlignment="1">
      <alignment horizontal="center" vertical="center" wrapText="1"/>
    </xf>
    <xf numFmtId="0" fontId="392" fillId="728" borderId="0" xfId="0" applyFont="1" applyFill="1" applyAlignment="1">
      <alignment horizontal="center" vertical="center" wrapText="1"/>
    </xf>
    <xf numFmtId="0" fontId="392" fillId="729" borderId="0" xfId="0" applyFont="1" applyFill="1" applyAlignment="1">
      <alignment horizontal="center" vertical="center" wrapText="1"/>
    </xf>
    <xf numFmtId="0" fontId="392" fillId="730" borderId="0" xfId="0" applyFont="1" applyFill="1" applyAlignment="1">
      <alignment horizontal="center" vertical="center" wrapText="1"/>
    </xf>
    <xf numFmtId="0" fontId="392" fillId="731" borderId="0" xfId="0" applyFont="1" applyFill="1" applyAlignment="1">
      <alignment horizontal="center" vertical="center" wrapText="1"/>
    </xf>
    <xf numFmtId="0" fontId="392" fillId="732" borderId="0" xfId="0" applyFont="1" applyFill="1" applyAlignment="1">
      <alignment horizontal="center" vertical="center" wrapText="1"/>
    </xf>
    <xf numFmtId="0" fontId="390" fillId="733" borderId="0" xfId="0" applyFont="1" applyFill="1"/>
    <xf numFmtId="0" fontId="390" fillId="734" borderId="0" xfId="0" applyFont="1" applyFill="1"/>
    <xf numFmtId="0" fontId="390" fillId="735" borderId="0" xfId="0" applyFont="1" applyFill="1"/>
    <xf numFmtId="0" fontId="392" fillId="736" borderId="0" xfId="0" applyFont="1" applyFill="1" applyAlignment="1">
      <alignment horizontal="center" vertical="center" wrapText="1"/>
    </xf>
    <xf numFmtId="0" fontId="392" fillId="737" borderId="0" xfId="0" applyFont="1" applyFill="1" applyAlignment="1">
      <alignment horizontal="center" vertical="center" wrapText="1"/>
    </xf>
    <xf numFmtId="0" fontId="392" fillId="738" borderId="0" xfId="0" applyFont="1" applyFill="1" applyAlignment="1">
      <alignment horizontal="center" vertical="center" wrapText="1"/>
    </xf>
    <xf numFmtId="0" fontId="392" fillId="739" borderId="0" xfId="0" applyFont="1" applyFill="1" applyAlignment="1">
      <alignment horizontal="center" vertical="center" wrapText="1"/>
    </xf>
    <xf numFmtId="0" fontId="392" fillId="740" borderId="0" xfId="0" applyFont="1" applyFill="1" applyAlignment="1">
      <alignment horizontal="center" vertical="center" wrapText="1"/>
    </xf>
    <xf numFmtId="0" fontId="392" fillId="741" borderId="0" xfId="0" applyFont="1" applyFill="1" applyAlignment="1">
      <alignment horizontal="center" vertical="center" wrapText="1"/>
    </xf>
    <xf numFmtId="0" fontId="392" fillId="742" borderId="0" xfId="0" applyFont="1" applyFill="1" applyAlignment="1">
      <alignment horizontal="center" vertical="center" wrapText="1"/>
    </xf>
    <xf numFmtId="0" fontId="392" fillId="743" borderId="0" xfId="0" applyFont="1" applyFill="1" applyAlignment="1">
      <alignment horizontal="center" vertical="center" wrapText="1"/>
    </xf>
    <xf numFmtId="0" fontId="392" fillId="744" borderId="0" xfId="0" applyFont="1" applyFill="1" applyAlignment="1">
      <alignment horizontal="center" vertical="center" wrapText="1"/>
    </xf>
    <xf numFmtId="0" fontId="390" fillId="745" borderId="0" xfId="0" applyFont="1" applyFill="1"/>
    <xf numFmtId="0" fontId="390" fillId="746" borderId="0" xfId="0" applyFont="1" applyFill="1"/>
    <xf numFmtId="0" fontId="390" fillId="747" borderId="0" xfId="0" applyFont="1" applyFill="1"/>
    <xf numFmtId="0" fontId="392" fillId="748" borderId="0" xfId="0" applyFont="1" applyFill="1" applyAlignment="1">
      <alignment horizontal="center" vertical="center" wrapText="1"/>
    </xf>
    <xf numFmtId="0" fontId="392" fillId="749" borderId="0" xfId="0" applyFont="1" applyFill="1" applyAlignment="1">
      <alignment horizontal="center" vertical="center" wrapText="1"/>
    </xf>
    <xf numFmtId="0" fontId="392" fillId="750" borderId="0" xfId="0" applyFont="1" applyFill="1" applyAlignment="1">
      <alignment horizontal="center" vertical="center" wrapText="1"/>
    </xf>
    <xf numFmtId="0" fontId="392" fillId="751" borderId="0" xfId="0" applyFont="1" applyFill="1" applyAlignment="1">
      <alignment horizontal="center" vertical="center" wrapText="1"/>
    </xf>
    <xf numFmtId="0" fontId="392" fillId="752" borderId="0" xfId="0" applyFont="1" applyFill="1" applyAlignment="1">
      <alignment horizontal="center" vertical="center" wrapText="1"/>
    </xf>
    <xf numFmtId="0" fontId="392" fillId="753" borderId="0" xfId="0" applyFont="1" applyFill="1" applyAlignment="1">
      <alignment horizontal="center" vertical="center" wrapText="1"/>
    </xf>
    <xf numFmtId="0" fontId="392" fillId="754" borderId="0" xfId="0" applyFont="1" applyFill="1" applyAlignment="1">
      <alignment horizontal="center" vertical="center" wrapText="1"/>
    </xf>
    <xf numFmtId="0" fontId="392" fillId="755" borderId="0" xfId="0" applyFont="1" applyFill="1" applyAlignment="1">
      <alignment horizontal="center" vertical="center" wrapText="1"/>
    </xf>
    <xf numFmtId="0" fontId="0" fillId="756" borderId="0" xfId="0" applyFill="1" applyAlignment="1">
      <alignment horizontal="center" vertical="center" wrapText="1"/>
    </xf>
    <xf numFmtId="0" fontId="390" fillId="757" borderId="0" xfId="0" applyFont="1" applyFill="1"/>
    <xf numFmtId="0" fontId="390" fillId="758" borderId="0" xfId="0" applyFont="1" applyFill="1"/>
    <xf numFmtId="0" fontId="390" fillId="759" borderId="0" xfId="0" applyFont="1" applyFill="1"/>
    <xf numFmtId="0" fontId="392" fillId="639" borderId="0" xfId="0" applyFont="1" applyFill="1" applyAlignment="1">
      <alignment horizontal="center" vertical="center" wrapText="1"/>
    </xf>
    <xf numFmtId="0" fontId="392" fillId="760" borderId="0" xfId="0" applyFont="1" applyFill="1" applyAlignment="1">
      <alignment horizontal="center" vertical="center" wrapText="1"/>
    </xf>
    <xf numFmtId="0" fontId="392" fillId="761" borderId="0" xfId="0" applyFont="1" applyFill="1" applyAlignment="1">
      <alignment horizontal="center" vertical="center" wrapText="1"/>
    </xf>
    <xf numFmtId="0" fontId="392" fillId="762" borderId="0" xfId="0" applyFont="1" applyFill="1" applyAlignment="1">
      <alignment horizontal="center" vertical="center" wrapText="1"/>
    </xf>
    <xf numFmtId="0" fontId="392" fillId="763" borderId="0" xfId="0" applyFont="1" applyFill="1" applyAlignment="1">
      <alignment horizontal="center" vertical="center" wrapText="1"/>
    </xf>
    <xf numFmtId="0" fontId="392" fillId="764" borderId="0" xfId="0" applyFont="1" applyFill="1" applyAlignment="1">
      <alignment horizontal="center" vertical="center" wrapText="1"/>
    </xf>
    <xf numFmtId="0" fontId="0" fillId="765" borderId="0" xfId="0" applyFill="1" applyAlignment="1">
      <alignment horizontal="center" vertical="center" wrapText="1"/>
    </xf>
    <xf numFmtId="0" fontId="0" fillId="766" borderId="0" xfId="0" applyFill="1" applyAlignment="1">
      <alignment horizontal="center" vertical="center" wrapText="1"/>
    </xf>
    <xf numFmtId="0" fontId="390" fillId="195" borderId="0" xfId="0" applyFont="1" applyFill="1"/>
    <xf numFmtId="0" fontId="390" fillId="767" borderId="0" xfId="0" applyFont="1" applyFill="1"/>
    <xf numFmtId="0" fontId="390" fillId="768" borderId="0" xfId="0" applyFont="1" applyFill="1"/>
    <xf numFmtId="0" fontId="392" fillId="769" borderId="0" xfId="0" applyFont="1" applyFill="1" applyAlignment="1">
      <alignment horizontal="center" vertical="center" wrapText="1"/>
    </xf>
    <xf numFmtId="0" fontId="392" fillId="770" borderId="0" xfId="0" applyFont="1" applyFill="1" applyAlignment="1">
      <alignment horizontal="center" vertical="center" wrapText="1"/>
    </xf>
    <xf numFmtId="0" fontId="392" fillId="771" borderId="0" xfId="0" applyFont="1" applyFill="1" applyAlignment="1">
      <alignment horizontal="center" vertical="center" wrapText="1"/>
    </xf>
    <xf numFmtId="0" fontId="392" fillId="772" borderId="0" xfId="0" applyFont="1" applyFill="1" applyAlignment="1">
      <alignment horizontal="center" vertical="center" wrapText="1"/>
    </xf>
    <xf numFmtId="0" fontId="392" fillId="773" borderId="0" xfId="0" applyFont="1" applyFill="1" applyAlignment="1">
      <alignment horizontal="center" vertical="center" wrapText="1"/>
    </xf>
    <xf numFmtId="0" fontId="392" fillId="774" borderId="0" xfId="0" applyFont="1" applyFill="1" applyAlignment="1">
      <alignment horizontal="center" vertical="center" wrapText="1"/>
    </xf>
    <xf numFmtId="0" fontId="0" fillId="775" borderId="0" xfId="0" applyFill="1" applyAlignment="1">
      <alignment horizontal="center" vertical="center" wrapText="1"/>
    </xf>
    <xf numFmtId="0" fontId="0" fillId="776" borderId="0" xfId="0" applyFill="1" applyAlignment="1">
      <alignment horizontal="center" vertical="center" wrapText="1"/>
    </xf>
    <xf numFmtId="0" fontId="0" fillId="777" borderId="0" xfId="0" applyFill="1" applyAlignment="1">
      <alignment horizontal="center" vertical="center" wrapText="1"/>
    </xf>
    <xf numFmtId="0" fontId="390" fillId="60" borderId="0" xfId="0" applyFont="1" applyFill="1"/>
    <xf numFmtId="0" fontId="390" fillId="778" borderId="0" xfId="0" applyFont="1" applyFill="1"/>
    <xf numFmtId="0" fontId="390" fillId="779" borderId="0" xfId="0" applyFont="1" applyFill="1"/>
    <xf numFmtId="0" fontId="392" fillId="780" borderId="0" xfId="0" applyFont="1" applyFill="1" applyAlignment="1">
      <alignment horizontal="center" vertical="center" wrapText="1"/>
    </xf>
    <xf numFmtId="0" fontId="392" fillId="781" borderId="0" xfId="0" applyFont="1" applyFill="1" applyAlignment="1">
      <alignment horizontal="center" vertical="center" wrapText="1"/>
    </xf>
    <xf numFmtId="0" fontId="392" fillId="782" borderId="0" xfId="0" applyFont="1" applyFill="1" applyAlignment="1">
      <alignment horizontal="center" vertical="center" wrapText="1"/>
    </xf>
    <xf numFmtId="0" fontId="392" fillId="783" borderId="0" xfId="0" applyFont="1" applyFill="1" applyAlignment="1">
      <alignment horizontal="center" vertical="center" wrapText="1"/>
    </xf>
    <xf numFmtId="0" fontId="392" fillId="784" borderId="0" xfId="0" applyFont="1" applyFill="1" applyAlignment="1">
      <alignment horizontal="center" vertical="center" wrapText="1"/>
    </xf>
    <xf numFmtId="0" fontId="0" fillId="785" borderId="0" xfId="0" applyFill="1" applyAlignment="1">
      <alignment horizontal="center" vertical="center" wrapText="1"/>
    </xf>
    <xf numFmtId="0" fontId="0" fillId="786" borderId="0" xfId="0" applyFill="1" applyAlignment="1">
      <alignment horizontal="center" vertical="center" wrapText="1"/>
    </xf>
    <xf numFmtId="0" fontId="0" fillId="787" borderId="0" xfId="0" applyFill="1" applyAlignment="1">
      <alignment horizontal="center" vertical="center" wrapText="1"/>
    </xf>
    <xf numFmtId="0" fontId="0" fillId="788" borderId="0" xfId="0" applyFill="1" applyAlignment="1">
      <alignment horizontal="center" vertical="center" wrapText="1"/>
    </xf>
    <xf numFmtId="0" fontId="390" fillId="789" borderId="0" xfId="0" applyFont="1" applyFill="1"/>
    <xf numFmtId="0" fontId="390" fillId="790" borderId="0" xfId="0" applyFont="1" applyFill="1"/>
    <xf numFmtId="0" fontId="390" fillId="791" borderId="0" xfId="0" applyFont="1" applyFill="1"/>
    <xf numFmtId="0" fontId="392" fillId="792" borderId="0" xfId="0" applyFont="1" applyFill="1" applyAlignment="1">
      <alignment horizontal="center" vertical="center" wrapText="1"/>
    </xf>
    <xf numFmtId="0" fontId="392" fillId="793" borderId="0" xfId="0" applyFont="1" applyFill="1" applyAlignment="1">
      <alignment horizontal="center" vertical="center" wrapText="1"/>
    </xf>
    <xf numFmtId="0" fontId="392" fillId="794" borderId="0" xfId="0" applyFont="1" applyFill="1" applyAlignment="1">
      <alignment horizontal="center" vertical="center" wrapText="1"/>
    </xf>
    <xf numFmtId="0" fontId="392" fillId="795" borderId="0" xfId="0" applyFont="1" applyFill="1" applyAlignment="1">
      <alignment horizontal="center" vertical="center" wrapText="1"/>
    </xf>
    <xf numFmtId="0" fontId="0" fillId="796" borderId="0" xfId="0" applyFill="1" applyAlignment="1">
      <alignment horizontal="center" vertical="center" wrapText="1"/>
    </xf>
    <xf numFmtId="0" fontId="0" fillId="797" borderId="0" xfId="0" applyFill="1" applyAlignment="1">
      <alignment horizontal="center" vertical="center" wrapText="1"/>
    </xf>
    <xf numFmtId="0" fontId="0" fillId="798" borderId="0" xfId="0" applyFill="1" applyAlignment="1">
      <alignment horizontal="center" vertical="center" wrapText="1"/>
    </xf>
    <xf numFmtId="0" fontId="0" fillId="799" borderId="0" xfId="0" applyFill="1" applyAlignment="1">
      <alignment horizontal="center" vertical="center" wrapText="1"/>
    </xf>
    <xf numFmtId="0" fontId="0" fillId="800" borderId="0" xfId="0" applyFill="1" applyAlignment="1">
      <alignment horizontal="center" vertical="center" wrapText="1"/>
    </xf>
    <xf numFmtId="0" fontId="390" fillId="801" borderId="0" xfId="0" applyFont="1" applyFill="1"/>
    <xf numFmtId="0" fontId="390" fillId="802" borderId="0" xfId="0" applyFont="1" applyFill="1"/>
    <xf numFmtId="0" fontId="390" fillId="803" borderId="0" xfId="0" applyFont="1" applyFill="1"/>
    <xf numFmtId="0" fontId="392" fillId="804" borderId="0" xfId="0" applyFont="1" applyFill="1" applyAlignment="1">
      <alignment horizontal="center" vertical="center" wrapText="1"/>
    </xf>
    <xf numFmtId="0" fontId="392" fillId="805" borderId="0" xfId="0" applyFont="1" applyFill="1" applyAlignment="1">
      <alignment horizontal="center" vertical="center" wrapText="1"/>
    </xf>
    <xf numFmtId="0" fontId="392" fillId="806" borderId="0" xfId="0" applyFont="1" applyFill="1" applyAlignment="1">
      <alignment horizontal="center" vertical="center" wrapText="1"/>
    </xf>
    <xf numFmtId="0" fontId="0" fillId="807" borderId="0" xfId="0" applyFill="1" applyAlignment="1">
      <alignment horizontal="center" vertical="center" wrapText="1"/>
    </xf>
    <xf numFmtId="0" fontId="0" fillId="808" borderId="0" xfId="0" applyFill="1" applyAlignment="1">
      <alignment horizontal="center" vertical="center" wrapText="1"/>
    </xf>
    <xf numFmtId="0" fontId="0" fillId="809" borderId="0" xfId="0" applyFill="1" applyAlignment="1">
      <alignment horizontal="center" vertical="center" wrapText="1"/>
    </xf>
    <xf numFmtId="0" fontId="0" fillId="810" borderId="0" xfId="0" applyFill="1" applyAlignment="1">
      <alignment horizontal="center" vertical="center" wrapText="1"/>
    </xf>
    <xf numFmtId="0" fontId="0" fillId="811" borderId="0" xfId="0" applyFill="1" applyAlignment="1">
      <alignment horizontal="center" vertical="center" wrapText="1"/>
    </xf>
    <xf numFmtId="0" fontId="0" fillId="812" borderId="0" xfId="0" applyFill="1" applyAlignment="1">
      <alignment horizontal="center" vertical="center" wrapText="1"/>
    </xf>
    <xf numFmtId="0" fontId="390" fillId="813" borderId="0" xfId="0" applyFont="1" applyFill="1"/>
    <xf numFmtId="0" fontId="390" fillId="814" borderId="0" xfId="0" applyFont="1" applyFill="1"/>
    <xf numFmtId="0" fontId="390" fillId="815" borderId="0" xfId="0" applyFont="1" applyFill="1"/>
    <xf numFmtId="0" fontId="392" fillId="816" borderId="0" xfId="0" applyFont="1" applyFill="1" applyAlignment="1">
      <alignment horizontal="center" vertical="center" wrapText="1"/>
    </xf>
    <xf numFmtId="0" fontId="392" fillId="817" borderId="0" xfId="0" applyFont="1" applyFill="1" applyAlignment="1">
      <alignment horizontal="center" vertical="center" wrapText="1"/>
    </xf>
    <xf numFmtId="0" fontId="392" fillId="818" borderId="0" xfId="0" applyFont="1" applyFill="1" applyAlignment="1">
      <alignment horizontal="center" vertical="center" wrapText="1"/>
    </xf>
    <xf numFmtId="0" fontId="392" fillId="819" borderId="0" xfId="0" applyFont="1" applyFill="1" applyAlignment="1">
      <alignment horizontal="center" vertical="center" wrapText="1"/>
    </xf>
    <xf numFmtId="0" fontId="392" fillId="820" borderId="0" xfId="0" applyFont="1" applyFill="1" applyAlignment="1">
      <alignment horizontal="center" vertical="center" wrapText="1"/>
    </xf>
    <xf numFmtId="0" fontId="392" fillId="821" borderId="0" xfId="0" applyFont="1" applyFill="1" applyAlignment="1">
      <alignment horizontal="center" vertical="center" wrapText="1"/>
    </xf>
    <xf numFmtId="0" fontId="392" fillId="822" borderId="0" xfId="0" applyFont="1" applyFill="1" applyAlignment="1">
      <alignment horizontal="center" vertical="center" wrapText="1"/>
    </xf>
    <xf numFmtId="0" fontId="392" fillId="823" borderId="0" xfId="0" applyFont="1" applyFill="1" applyAlignment="1">
      <alignment horizontal="center" vertical="center" wrapText="1"/>
    </xf>
    <xf numFmtId="0" fontId="392" fillId="824" borderId="0" xfId="0" applyFont="1" applyFill="1" applyAlignment="1">
      <alignment horizontal="center" vertical="center" wrapText="1"/>
    </xf>
    <xf numFmtId="0" fontId="390" fillId="71" borderId="0" xfId="0" applyFont="1" applyFill="1"/>
    <xf numFmtId="0" fontId="390" fillId="825" borderId="0" xfId="0" applyFont="1" applyFill="1"/>
    <xf numFmtId="0" fontId="390" fillId="826" borderId="0" xfId="0" applyFont="1" applyFill="1"/>
    <xf numFmtId="0" fontId="392" fillId="827" borderId="0" xfId="0" applyFont="1" applyFill="1" applyAlignment="1">
      <alignment horizontal="center" vertical="center" wrapText="1"/>
    </xf>
    <xf numFmtId="0" fontId="392" fillId="828" borderId="0" xfId="0" applyFont="1" applyFill="1" applyAlignment="1">
      <alignment horizontal="center" vertical="center" wrapText="1"/>
    </xf>
    <xf numFmtId="0" fontId="392" fillId="829" borderId="0" xfId="0" applyFont="1" applyFill="1" applyAlignment="1">
      <alignment horizontal="center" vertical="center" wrapText="1"/>
    </xf>
    <xf numFmtId="0" fontId="392" fillId="830" borderId="0" xfId="0" applyFont="1" applyFill="1" applyAlignment="1">
      <alignment horizontal="center" vertical="center" wrapText="1"/>
    </xf>
    <xf numFmtId="0" fontId="392" fillId="831" borderId="0" xfId="0" applyFont="1" applyFill="1" applyAlignment="1">
      <alignment horizontal="center" vertical="center" wrapText="1"/>
    </xf>
    <xf numFmtId="0" fontId="392" fillId="832" borderId="0" xfId="0" applyFont="1" applyFill="1" applyAlignment="1">
      <alignment horizontal="center" vertical="center" wrapText="1"/>
    </xf>
    <xf numFmtId="0" fontId="392" fillId="833" borderId="0" xfId="0" applyFont="1" applyFill="1" applyAlignment="1">
      <alignment horizontal="center" vertical="center" wrapText="1"/>
    </xf>
    <xf numFmtId="0" fontId="392" fillId="834" borderId="0" xfId="0" applyFont="1" applyFill="1" applyAlignment="1">
      <alignment horizontal="center" vertical="center" wrapText="1"/>
    </xf>
    <xf numFmtId="0" fontId="392" fillId="835" borderId="0" xfId="0" applyFont="1" applyFill="1" applyAlignment="1">
      <alignment horizontal="center" vertical="center" wrapText="1"/>
    </xf>
    <xf numFmtId="0" fontId="390" fillId="836" borderId="0" xfId="0" applyFont="1" applyFill="1"/>
    <xf numFmtId="0" fontId="390" fillId="837" borderId="0" xfId="0" applyFont="1" applyFill="1"/>
    <xf numFmtId="0" fontId="390" fillId="838" borderId="0" xfId="0" applyFont="1" applyFill="1"/>
    <xf numFmtId="0" fontId="392" fillId="839" borderId="0" xfId="0" applyFont="1" applyFill="1" applyAlignment="1">
      <alignment horizontal="center" vertical="center" wrapText="1"/>
    </xf>
    <xf numFmtId="0" fontId="392" fillId="840" borderId="0" xfId="0" applyFont="1" applyFill="1" applyAlignment="1">
      <alignment horizontal="center" vertical="center" wrapText="1"/>
    </xf>
    <xf numFmtId="0" fontId="392" fillId="841" borderId="0" xfId="0" applyFont="1" applyFill="1" applyAlignment="1">
      <alignment horizontal="center" vertical="center" wrapText="1"/>
    </xf>
    <xf numFmtId="0" fontId="392" fillId="842" borderId="0" xfId="0" applyFont="1" applyFill="1" applyAlignment="1">
      <alignment horizontal="center" vertical="center" wrapText="1"/>
    </xf>
    <xf numFmtId="0" fontId="392" fillId="843" borderId="0" xfId="0" applyFont="1" applyFill="1" applyAlignment="1">
      <alignment horizontal="center" vertical="center" wrapText="1"/>
    </xf>
    <xf numFmtId="0" fontId="392" fillId="844" borderId="0" xfId="0" applyFont="1" applyFill="1" applyAlignment="1">
      <alignment horizontal="center" vertical="center" wrapText="1"/>
    </xf>
    <xf numFmtId="0" fontId="392" fillId="845" borderId="0" xfId="0" applyFont="1" applyFill="1" applyAlignment="1">
      <alignment horizontal="center" vertical="center" wrapText="1"/>
    </xf>
    <xf numFmtId="0" fontId="392" fillId="846" borderId="0" xfId="0" applyFont="1" applyFill="1" applyAlignment="1">
      <alignment horizontal="center" vertical="center" wrapText="1"/>
    </xf>
    <xf numFmtId="0" fontId="0" fillId="847" borderId="0" xfId="0" applyFill="1" applyAlignment="1">
      <alignment horizontal="center" vertical="center" wrapText="1"/>
    </xf>
    <xf numFmtId="0" fontId="390" fillId="848" borderId="0" xfId="0" applyFont="1" applyFill="1"/>
    <xf numFmtId="0" fontId="390" fillId="849" borderId="0" xfId="0" applyFont="1" applyFill="1"/>
    <xf numFmtId="0" fontId="390" fillId="850" borderId="0" xfId="0" applyFont="1" applyFill="1"/>
    <xf numFmtId="0" fontId="392" fillId="851" borderId="0" xfId="0" applyFont="1" applyFill="1" applyAlignment="1">
      <alignment horizontal="center" vertical="center" wrapText="1"/>
    </xf>
    <xf numFmtId="0" fontId="392" fillId="852" borderId="0" xfId="0" applyFont="1" applyFill="1" applyAlignment="1">
      <alignment horizontal="center" vertical="center" wrapText="1"/>
    </xf>
    <xf numFmtId="0" fontId="392" fillId="853" borderId="0" xfId="0" applyFont="1" applyFill="1" applyAlignment="1">
      <alignment horizontal="center" vertical="center" wrapText="1"/>
    </xf>
    <xf numFmtId="0" fontId="392" fillId="854" borderId="0" xfId="0" applyFont="1" applyFill="1" applyAlignment="1">
      <alignment horizontal="center" vertical="center" wrapText="1"/>
    </xf>
    <xf numFmtId="0" fontId="392" fillId="855" borderId="0" xfId="0" applyFont="1" applyFill="1" applyAlignment="1">
      <alignment horizontal="center" vertical="center" wrapText="1"/>
    </xf>
    <xf numFmtId="0" fontId="392" fillId="856" borderId="0" xfId="0" applyFont="1" applyFill="1" applyAlignment="1">
      <alignment horizontal="center" vertical="center" wrapText="1"/>
    </xf>
    <xf numFmtId="0" fontId="392" fillId="857" borderId="0" xfId="0" applyFont="1" applyFill="1" applyAlignment="1">
      <alignment horizontal="center" vertical="center" wrapText="1"/>
    </xf>
    <xf numFmtId="0" fontId="0" fillId="858" borderId="0" xfId="0" applyFill="1" applyAlignment="1">
      <alignment horizontal="center" vertical="center" wrapText="1"/>
    </xf>
    <xf numFmtId="0" fontId="0" fillId="859" borderId="0" xfId="0" applyFill="1" applyAlignment="1">
      <alignment horizontal="center" vertical="center" wrapText="1"/>
    </xf>
    <xf numFmtId="0" fontId="390" fillId="860" borderId="0" xfId="0" applyFont="1" applyFill="1"/>
    <xf numFmtId="0" fontId="390" fillId="861" borderId="0" xfId="0" applyFont="1" applyFill="1"/>
    <xf numFmtId="0" fontId="390" fillId="862" borderId="0" xfId="0" applyFont="1" applyFill="1"/>
    <xf numFmtId="0" fontId="392" fillId="863" borderId="0" xfId="0" applyFont="1" applyFill="1" applyAlignment="1">
      <alignment horizontal="center" vertical="center" wrapText="1"/>
    </xf>
    <xf numFmtId="0" fontId="392" fillId="864" borderId="0" xfId="0" applyFont="1" applyFill="1" applyAlignment="1">
      <alignment horizontal="center" vertical="center" wrapText="1"/>
    </xf>
    <xf numFmtId="0" fontId="392" fillId="865" borderId="0" xfId="0" applyFont="1" applyFill="1" applyAlignment="1">
      <alignment horizontal="center" vertical="center" wrapText="1"/>
    </xf>
    <xf numFmtId="0" fontId="392" fillId="866" borderId="0" xfId="0" applyFont="1" applyFill="1" applyAlignment="1">
      <alignment horizontal="center" vertical="center" wrapText="1"/>
    </xf>
    <xf numFmtId="0" fontId="392" fillId="867" borderId="0" xfId="0" applyFont="1" applyFill="1" applyAlignment="1">
      <alignment horizontal="center" vertical="center" wrapText="1"/>
    </xf>
    <xf numFmtId="0" fontId="392" fillId="868" borderId="0" xfId="0" applyFont="1" applyFill="1" applyAlignment="1">
      <alignment horizontal="center" vertical="center" wrapText="1"/>
    </xf>
    <xf numFmtId="0" fontId="0" fillId="869" borderId="0" xfId="0" applyFill="1" applyAlignment="1">
      <alignment horizontal="center" vertical="center" wrapText="1"/>
    </xf>
    <xf numFmtId="0" fontId="0" fillId="870" borderId="0" xfId="0" applyFill="1" applyAlignment="1">
      <alignment horizontal="center" vertical="center" wrapText="1"/>
    </xf>
    <xf numFmtId="0" fontId="0" fillId="871" borderId="0" xfId="0" applyFill="1" applyAlignment="1">
      <alignment horizontal="center" vertical="center" wrapText="1"/>
    </xf>
    <xf numFmtId="0" fontId="390" fillId="872" borderId="0" xfId="0" applyFont="1" applyFill="1"/>
    <xf numFmtId="0" fontId="390" fillId="873" borderId="0" xfId="0" applyFont="1" applyFill="1"/>
    <xf numFmtId="0" fontId="390" fillId="874" borderId="0" xfId="0" applyFont="1" applyFill="1"/>
    <xf numFmtId="0" fontId="392" fillId="875" borderId="0" xfId="0" applyFont="1" applyFill="1" applyAlignment="1">
      <alignment horizontal="center" vertical="center" wrapText="1"/>
    </xf>
    <xf numFmtId="0" fontId="392" fillId="876" borderId="0" xfId="0" applyFont="1" applyFill="1" applyAlignment="1">
      <alignment horizontal="center" vertical="center" wrapText="1"/>
    </xf>
    <xf numFmtId="0" fontId="392" fillId="877" borderId="0" xfId="0" applyFont="1" applyFill="1" applyAlignment="1">
      <alignment horizontal="center" vertical="center" wrapText="1"/>
    </xf>
    <xf numFmtId="0" fontId="392" fillId="878" borderId="0" xfId="0" applyFont="1" applyFill="1" applyAlignment="1">
      <alignment horizontal="center" vertical="center" wrapText="1"/>
    </xf>
    <xf numFmtId="0" fontId="392" fillId="879" borderId="0" xfId="0" applyFont="1" applyFill="1" applyAlignment="1">
      <alignment horizontal="center" vertical="center" wrapText="1"/>
    </xf>
    <xf numFmtId="0" fontId="0" fillId="880" borderId="0" xfId="0" applyFill="1" applyAlignment="1">
      <alignment horizontal="center" vertical="center" wrapText="1"/>
    </xf>
    <xf numFmtId="0" fontId="0" fillId="881" borderId="0" xfId="0" applyFill="1" applyAlignment="1">
      <alignment horizontal="center" vertical="center" wrapText="1"/>
    </xf>
    <xf numFmtId="0" fontId="0" fillId="882" borderId="0" xfId="0" applyFill="1" applyAlignment="1">
      <alignment horizontal="center" vertical="center" wrapText="1"/>
    </xf>
    <xf numFmtId="0" fontId="0" fillId="883" borderId="0" xfId="0" applyFill="1" applyAlignment="1">
      <alignment horizontal="center" vertical="center" wrapText="1"/>
    </xf>
    <xf numFmtId="0" fontId="390" fillId="884" borderId="0" xfId="0" applyFont="1" applyFill="1"/>
    <xf numFmtId="0" fontId="390" fillId="885" borderId="0" xfId="0" applyFont="1" applyFill="1"/>
    <xf numFmtId="0" fontId="390" fillId="886" borderId="0" xfId="0" applyFont="1" applyFill="1"/>
    <xf numFmtId="0" fontId="392" fillId="887" borderId="0" xfId="0" applyFont="1" applyFill="1" applyAlignment="1">
      <alignment horizontal="center" vertical="center" wrapText="1"/>
    </xf>
    <xf numFmtId="0" fontId="392" fillId="888" borderId="0" xfId="0" applyFont="1" applyFill="1" applyAlignment="1">
      <alignment horizontal="center" vertical="center" wrapText="1"/>
    </xf>
    <xf numFmtId="0" fontId="392" fillId="889" borderId="0" xfId="0" applyFont="1" applyFill="1" applyAlignment="1">
      <alignment horizontal="center" vertical="center" wrapText="1"/>
    </xf>
    <xf numFmtId="0" fontId="392" fillId="890" borderId="0" xfId="0" applyFont="1" applyFill="1" applyAlignment="1">
      <alignment horizontal="center" vertical="center" wrapText="1"/>
    </xf>
    <xf numFmtId="0" fontId="0" fillId="891" borderId="0" xfId="0" applyFill="1" applyAlignment="1">
      <alignment horizontal="center" vertical="center" wrapText="1"/>
    </xf>
    <xf numFmtId="0" fontId="0" fillId="892" borderId="0" xfId="0" applyFill="1" applyAlignment="1">
      <alignment horizontal="center" vertical="center" wrapText="1"/>
    </xf>
    <xf numFmtId="0" fontId="0" fillId="893" borderId="0" xfId="0" applyFill="1" applyAlignment="1">
      <alignment horizontal="center" vertical="center" wrapText="1"/>
    </xf>
    <xf numFmtId="0" fontId="0" fillId="894" borderId="0" xfId="0" applyFill="1" applyAlignment="1">
      <alignment horizontal="center" vertical="center" wrapText="1"/>
    </xf>
    <xf numFmtId="0" fontId="0" fillId="895" borderId="0" xfId="0" applyFill="1" applyAlignment="1">
      <alignment horizontal="center" vertical="center" wrapText="1"/>
    </xf>
    <xf numFmtId="0" fontId="390" fillId="896" borderId="0" xfId="0" applyFont="1" applyFill="1"/>
    <xf numFmtId="0" fontId="390" fillId="897" borderId="0" xfId="0" applyFont="1" applyFill="1"/>
    <xf numFmtId="0" fontId="390" fillId="898" borderId="0" xfId="0" applyFont="1" applyFill="1"/>
    <xf numFmtId="0" fontId="392" fillId="899" borderId="0" xfId="0" applyFont="1" applyFill="1" applyAlignment="1">
      <alignment horizontal="center" vertical="center" wrapText="1"/>
    </xf>
    <xf numFmtId="0" fontId="392" fillId="900" borderId="0" xfId="0" applyFont="1" applyFill="1" applyAlignment="1">
      <alignment horizontal="center" vertical="center" wrapText="1"/>
    </xf>
    <xf numFmtId="0" fontId="392" fillId="901" borderId="0" xfId="0" applyFont="1" applyFill="1" applyAlignment="1">
      <alignment horizontal="center" vertical="center" wrapText="1"/>
    </xf>
    <xf numFmtId="0" fontId="0" fillId="902" borderId="0" xfId="0" applyFill="1" applyAlignment="1">
      <alignment horizontal="center" vertical="center" wrapText="1"/>
    </xf>
    <xf numFmtId="0" fontId="0" fillId="903" borderId="0" xfId="0" applyFill="1" applyAlignment="1">
      <alignment horizontal="center" vertical="center" wrapText="1"/>
    </xf>
    <xf numFmtId="0" fontId="0" fillId="904" borderId="0" xfId="0" applyFill="1" applyAlignment="1">
      <alignment horizontal="center" vertical="center" wrapText="1"/>
    </xf>
    <xf numFmtId="0" fontId="0" fillId="905" borderId="0" xfId="0" applyFill="1" applyAlignment="1">
      <alignment horizontal="center" vertical="center" wrapText="1"/>
    </xf>
    <xf numFmtId="0" fontId="0" fillId="906" borderId="0" xfId="0" applyFill="1" applyAlignment="1">
      <alignment horizontal="center" vertical="center" wrapText="1"/>
    </xf>
    <xf numFmtId="0" fontId="0" fillId="907" borderId="0" xfId="0" applyFill="1" applyAlignment="1">
      <alignment horizontal="center" vertical="center" wrapText="1"/>
    </xf>
    <xf numFmtId="0" fontId="390" fillId="908" borderId="0" xfId="0" applyFont="1" applyFill="1"/>
    <xf numFmtId="0" fontId="390" fillId="909" borderId="0" xfId="0" applyFont="1" applyFill="1"/>
    <xf numFmtId="0" fontId="390" fillId="910" borderId="0" xfId="0" applyFont="1" applyFill="1"/>
    <xf numFmtId="0" fontId="392" fillId="911" borderId="0" xfId="0" applyFont="1" applyFill="1" applyAlignment="1">
      <alignment horizontal="center" vertical="center" wrapText="1"/>
    </xf>
    <xf numFmtId="0" fontId="392" fillId="912" borderId="0" xfId="0" applyFont="1" applyFill="1" applyAlignment="1">
      <alignment horizontal="center" vertical="center" wrapText="1"/>
    </xf>
    <xf numFmtId="0" fontId="0" fillId="913" borderId="0" xfId="0" applyFill="1" applyAlignment="1">
      <alignment horizontal="center" vertical="center" wrapText="1"/>
    </xf>
    <xf numFmtId="0" fontId="0" fillId="914" borderId="0" xfId="0" applyFill="1" applyAlignment="1">
      <alignment horizontal="center" vertical="center" wrapText="1"/>
    </xf>
    <xf numFmtId="0" fontId="0" fillId="915" borderId="0" xfId="0" applyFill="1" applyAlignment="1">
      <alignment horizontal="center" vertical="center" wrapText="1"/>
    </xf>
    <xf numFmtId="0" fontId="0" fillId="916" borderId="0" xfId="0" applyFill="1" applyAlignment="1">
      <alignment horizontal="center" vertical="center" wrapText="1"/>
    </xf>
    <xf numFmtId="0" fontId="0" fillId="917" borderId="0" xfId="0" applyFill="1" applyAlignment="1">
      <alignment horizontal="center" vertical="center" wrapText="1"/>
    </xf>
    <xf numFmtId="0" fontId="0" fillId="918" borderId="0" xfId="0" applyFill="1" applyAlignment="1">
      <alignment horizontal="center" vertical="center" wrapText="1"/>
    </xf>
    <xf numFmtId="0" fontId="0" fillId="919" borderId="0" xfId="0" applyFill="1" applyAlignment="1">
      <alignment horizontal="center" vertical="center" wrapText="1"/>
    </xf>
    <xf numFmtId="0" fontId="390" fillId="920" borderId="0" xfId="0" applyFont="1" applyFill="1"/>
    <xf numFmtId="0" fontId="390" fillId="921" borderId="0" xfId="0" applyFont="1" applyFill="1"/>
    <xf numFmtId="0" fontId="390" fillId="922" borderId="0" xfId="0" applyFont="1" applyFill="1"/>
    <xf numFmtId="0" fontId="392" fillId="59" borderId="0" xfId="0" applyFont="1" applyFill="1" applyAlignment="1">
      <alignment horizontal="center" vertical="center" wrapText="1"/>
    </xf>
    <xf numFmtId="0" fontId="392" fillId="923" borderId="0" xfId="0" applyFont="1" applyFill="1" applyAlignment="1">
      <alignment horizontal="center" vertical="center" wrapText="1"/>
    </xf>
    <xf numFmtId="0" fontId="392" fillId="924" borderId="0" xfId="0" applyFont="1" applyFill="1" applyAlignment="1">
      <alignment horizontal="center" vertical="center" wrapText="1"/>
    </xf>
    <xf numFmtId="0" fontId="392" fillId="925" borderId="0" xfId="0" applyFont="1" applyFill="1" applyAlignment="1">
      <alignment horizontal="center" vertical="center" wrapText="1"/>
    </xf>
    <xf numFmtId="0" fontId="392" fillId="926" borderId="0" xfId="0" applyFont="1" applyFill="1" applyAlignment="1">
      <alignment horizontal="center" vertical="center" wrapText="1"/>
    </xf>
    <xf numFmtId="0" fontId="392" fillId="927" borderId="0" xfId="0" applyFont="1" applyFill="1" applyAlignment="1">
      <alignment horizontal="center" vertical="center" wrapText="1"/>
    </xf>
    <xf numFmtId="0" fontId="392" fillId="928" borderId="0" xfId="0" applyFont="1" applyFill="1" applyAlignment="1">
      <alignment horizontal="center" vertical="center" wrapText="1"/>
    </xf>
    <xf numFmtId="0" fontId="392" fillId="929" borderId="0" xfId="0" applyFont="1" applyFill="1" applyAlignment="1">
      <alignment horizontal="center" vertical="center" wrapText="1"/>
    </xf>
    <xf numFmtId="0" fontId="392" fillId="930" borderId="0" xfId="0" applyFont="1" applyFill="1" applyAlignment="1">
      <alignment horizontal="center" vertical="center" wrapText="1"/>
    </xf>
    <xf numFmtId="0" fontId="390" fillId="931" borderId="0" xfId="0" applyFont="1" applyFill="1"/>
    <xf numFmtId="0" fontId="390" fillId="932" borderId="0" xfId="0" applyFont="1" applyFill="1"/>
    <xf numFmtId="0" fontId="390" fillId="933" borderId="0" xfId="0" applyFont="1" applyFill="1"/>
    <xf numFmtId="0" fontId="392" fillId="934" borderId="0" xfId="0" applyFont="1" applyFill="1" applyAlignment="1">
      <alignment horizontal="center" vertical="center" wrapText="1"/>
    </xf>
    <xf numFmtId="0" fontId="392" fillId="935" borderId="0" xfId="0" applyFont="1" applyFill="1" applyAlignment="1">
      <alignment horizontal="center" vertical="center" wrapText="1"/>
    </xf>
    <xf numFmtId="0" fontId="392" fillId="936" borderId="0" xfId="0" applyFont="1" applyFill="1" applyAlignment="1">
      <alignment horizontal="center" vertical="center" wrapText="1"/>
    </xf>
    <xf numFmtId="0" fontId="392" fillId="937" borderId="0" xfId="0" applyFont="1" applyFill="1" applyAlignment="1">
      <alignment horizontal="center" vertical="center" wrapText="1"/>
    </xf>
    <xf numFmtId="0" fontId="392" fillId="938" borderId="0" xfId="0" applyFont="1" applyFill="1" applyAlignment="1">
      <alignment horizontal="center" vertical="center" wrapText="1"/>
    </xf>
    <xf numFmtId="0" fontId="392" fillId="939" borderId="0" xfId="0" applyFont="1" applyFill="1" applyAlignment="1">
      <alignment horizontal="center" vertical="center" wrapText="1"/>
    </xf>
    <xf numFmtId="0" fontId="392" fillId="940" borderId="0" xfId="0" applyFont="1" applyFill="1" applyAlignment="1">
      <alignment horizontal="center" vertical="center" wrapText="1"/>
    </xf>
    <xf numFmtId="0" fontId="392" fillId="941" borderId="0" xfId="0" applyFont="1" applyFill="1" applyAlignment="1">
      <alignment horizontal="center" vertical="center" wrapText="1"/>
    </xf>
    <xf numFmtId="0" fontId="0" fillId="942" borderId="0" xfId="0" applyFill="1" applyAlignment="1">
      <alignment horizontal="center" vertical="center" wrapText="1"/>
    </xf>
    <xf numFmtId="0" fontId="390" fillId="943" borderId="0" xfId="0" applyFont="1" applyFill="1"/>
    <xf numFmtId="0" fontId="390" fillId="944" borderId="0" xfId="0" applyFont="1" applyFill="1"/>
    <xf numFmtId="0" fontId="390" fillId="945" borderId="0" xfId="0" applyFont="1" applyFill="1"/>
    <xf numFmtId="0" fontId="392" fillId="946" borderId="0" xfId="0" applyFont="1" applyFill="1" applyAlignment="1">
      <alignment horizontal="center" vertical="center" wrapText="1"/>
    </xf>
    <xf numFmtId="0" fontId="392" fillId="947" borderId="0" xfId="0" applyFont="1" applyFill="1" applyAlignment="1">
      <alignment horizontal="center" vertical="center" wrapText="1"/>
    </xf>
    <xf numFmtId="0" fontId="392" fillId="948" borderId="0" xfId="0" applyFont="1" applyFill="1" applyAlignment="1">
      <alignment horizontal="center" vertical="center" wrapText="1"/>
    </xf>
    <xf numFmtId="0" fontId="392" fillId="949" borderId="0" xfId="0" applyFont="1" applyFill="1" applyAlignment="1">
      <alignment horizontal="center" vertical="center" wrapText="1"/>
    </xf>
    <xf numFmtId="0" fontId="392" fillId="950" borderId="0" xfId="0" applyFont="1" applyFill="1" applyAlignment="1">
      <alignment horizontal="center" vertical="center" wrapText="1"/>
    </xf>
    <xf numFmtId="0" fontId="392" fillId="951" borderId="0" xfId="0" applyFont="1" applyFill="1" applyAlignment="1">
      <alignment horizontal="center" vertical="center" wrapText="1"/>
    </xf>
    <xf numFmtId="0" fontId="392" fillId="952" borderId="0" xfId="0" applyFont="1" applyFill="1" applyAlignment="1">
      <alignment horizontal="center" vertical="center" wrapText="1"/>
    </xf>
    <xf numFmtId="0" fontId="0" fillId="953" borderId="0" xfId="0" applyFill="1" applyAlignment="1">
      <alignment horizontal="center" vertical="center" wrapText="1"/>
    </xf>
    <xf numFmtId="0" fontId="0" fillId="954" borderId="0" xfId="0" applyFill="1" applyAlignment="1">
      <alignment horizontal="center" vertical="center" wrapText="1"/>
    </xf>
    <xf numFmtId="0" fontId="390" fillId="955" borderId="0" xfId="0" applyFont="1" applyFill="1"/>
    <xf numFmtId="0" fontId="390" fillId="956" borderId="0" xfId="0" applyFont="1" applyFill="1"/>
    <xf numFmtId="0" fontId="390" fillId="957" borderId="0" xfId="0" applyFont="1" applyFill="1"/>
    <xf numFmtId="0" fontId="392" fillId="958" borderId="0" xfId="0" applyFont="1" applyFill="1" applyAlignment="1">
      <alignment horizontal="center" vertical="center" wrapText="1"/>
    </xf>
    <xf numFmtId="0" fontId="392" fillId="959" borderId="0" xfId="0" applyFont="1" applyFill="1" applyAlignment="1">
      <alignment horizontal="center" vertical="center" wrapText="1"/>
    </xf>
    <xf numFmtId="0" fontId="392" fillId="960" borderId="0" xfId="0" applyFont="1" applyFill="1" applyAlignment="1">
      <alignment horizontal="center" vertical="center" wrapText="1"/>
    </xf>
    <xf numFmtId="0" fontId="392" fillId="961" borderId="0" xfId="0" applyFont="1" applyFill="1" applyAlignment="1">
      <alignment horizontal="center" vertical="center" wrapText="1"/>
    </xf>
    <xf numFmtId="0" fontId="392" fillId="962" borderId="0" xfId="0" applyFont="1" applyFill="1" applyAlignment="1">
      <alignment horizontal="center" vertical="center" wrapText="1"/>
    </xf>
    <xf numFmtId="0" fontId="392" fillId="963" borderId="0" xfId="0" applyFont="1" applyFill="1" applyAlignment="1">
      <alignment horizontal="center" vertical="center" wrapText="1"/>
    </xf>
    <xf numFmtId="0" fontId="0" fillId="964" borderId="0" xfId="0" applyFill="1" applyAlignment="1">
      <alignment horizontal="center" vertical="center" wrapText="1"/>
    </xf>
    <xf numFmtId="0" fontId="0" fillId="965" borderId="0" xfId="0" applyFill="1" applyAlignment="1">
      <alignment horizontal="center" vertical="center" wrapText="1"/>
    </xf>
    <xf numFmtId="0" fontId="0" fillId="966" borderId="0" xfId="0" applyFill="1" applyAlignment="1">
      <alignment horizontal="center" vertical="center" wrapText="1"/>
    </xf>
    <xf numFmtId="0" fontId="390" fillId="967" borderId="0" xfId="0" applyFont="1" applyFill="1"/>
    <xf numFmtId="0" fontId="390" fillId="968" borderId="0" xfId="0" applyFont="1" applyFill="1"/>
    <xf numFmtId="0" fontId="390" fillId="969" borderId="0" xfId="0" applyFont="1" applyFill="1"/>
    <xf numFmtId="0" fontId="392" fillId="970" borderId="0" xfId="0" applyFont="1" applyFill="1" applyAlignment="1">
      <alignment horizontal="center" vertical="center" wrapText="1"/>
    </xf>
    <xf numFmtId="0" fontId="392" fillId="971" borderId="0" xfId="0" applyFont="1" applyFill="1" applyAlignment="1">
      <alignment horizontal="center" vertical="center" wrapText="1"/>
    </xf>
    <xf numFmtId="0" fontId="392" fillId="972" borderId="0" xfId="0" applyFont="1" applyFill="1" applyAlignment="1">
      <alignment horizontal="center" vertical="center" wrapText="1"/>
    </xf>
    <xf numFmtId="0" fontId="392" fillId="973" borderId="0" xfId="0" applyFont="1" applyFill="1" applyAlignment="1">
      <alignment horizontal="center" vertical="center" wrapText="1"/>
    </xf>
    <xf numFmtId="0" fontId="392" fillId="974" borderId="0" xfId="0" applyFont="1" applyFill="1" applyAlignment="1">
      <alignment horizontal="center" vertical="center" wrapText="1"/>
    </xf>
    <xf numFmtId="0" fontId="0" fillId="975" borderId="0" xfId="0" applyFill="1" applyAlignment="1">
      <alignment horizontal="center" vertical="center" wrapText="1"/>
    </xf>
    <xf numFmtId="0" fontId="0" fillId="976" borderId="0" xfId="0" applyFill="1" applyAlignment="1">
      <alignment horizontal="center" vertical="center" wrapText="1"/>
    </xf>
    <xf numFmtId="0" fontId="0" fillId="977" borderId="0" xfId="0" applyFill="1" applyAlignment="1">
      <alignment horizontal="center" vertical="center" wrapText="1"/>
    </xf>
    <xf numFmtId="0" fontId="0" fillId="978" borderId="0" xfId="0" applyFill="1" applyAlignment="1">
      <alignment horizontal="center" vertical="center" wrapText="1"/>
    </xf>
    <xf numFmtId="0" fontId="390" fillId="979" borderId="0" xfId="0" applyFont="1" applyFill="1"/>
    <xf numFmtId="0" fontId="390" fillId="980" borderId="0" xfId="0" applyFont="1" applyFill="1"/>
    <xf numFmtId="0" fontId="390" fillId="981" borderId="0" xfId="0" applyFont="1" applyFill="1"/>
    <xf numFmtId="0" fontId="392" fillId="982" borderId="0" xfId="0" applyFont="1" applyFill="1" applyAlignment="1">
      <alignment horizontal="center" vertical="center" wrapText="1"/>
    </xf>
    <xf numFmtId="0" fontId="392" fillId="983" borderId="0" xfId="0" applyFont="1" applyFill="1" applyAlignment="1">
      <alignment horizontal="center" vertical="center" wrapText="1"/>
    </xf>
    <xf numFmtId="0" fontId="392" fillId="984" borderId="0" xfId="0" applyFont="1" applyFill="1" applyAlignment="1">
      <alignment horizontal="center" vertical="center" wrapText="1"/>
    </xf>
    <xf numFmtId="0" fontId="392" fillId="985" borderId="0" xfId="0" applyFont="1" applyFill="1" applyAlignment="1">
      <alignment horizontal="center" vertical="center" wrapText="1"/>
    </xf>
    <xf numFmtId="0" fontId="0" fillId="986" borderId="0" xfId="0" applyFill="1" applyAlignment="1">
      <alignment horizontal="center" vertical="center" wrapText="1"/>
    </xf>
    <xf numFmtId="0" fontId="0" fillId="987" borderId="0" xfId="0" applyFill="1" applyAlignment="1">
      <alignment horizontal="center" vertical="center" wrapText="1"/>
    </xf>
    <xf numFmtId="0" fontId="0" fillId="988" borderId="0" xfId="0" applyFill="1" applyAlignment="1">
      <alignment horizontal="center" vertical="center" wrapText="1"/>
    </xf>
    <xf numFmtId="0" fontId="0" fillId="989" borderId="0" xfId="0" applyFill="1" applyAlignment="1">
      <alignment horizontal="center" vertical="center" wrapText="1"/>
    </xf>
    <xf numFmtId="0" fontId="0" fillId="990" borderId="0" xfId="0" applyFill="1" applyAlignment="1">
      <alignment horizontal="center" vertical="center" wrapText="1"/>
    </xf>
    <xf numFmtId="0" fontId="390" fillId="991" borderId="0" xfId="0" applyFont="1" applyFill="1"/>
    <xf numFmtId="0" fontId="390" fillId="992" borderId="0" xfId="0" applyFont="1" applyFill="1"/>
    <xf numFmtId="0" fontId="390" fillId="993" borderId="0" xfId="0" applyFont="1" applyFill="1"/>
    <xf numFmtId="0" fontId="392" fillId="994" borderId="0" xfId="0" applyFont="1" applyFill="1" applyAlignment="1">
      <alignment horizontal="center" vertical="center" wrapText="1"/>
    </xf>
    <xf numFmtId="0" fontId="392" fillId="995" borderId="0" xfId="0" applyFont="1" applyFill="1" applyAlignment="1">
      <alignment horizontal="center" vertical="center" wrapText="1"/>
    </xf>
    <xf numFmtId="0" fontId="392" fillId="996" borderId="0" xfId="0" applyFont="1" applyFill="1" applyAlignment="1">
      <alignment horizontal="center" vertical="center" wrapText="1"/>
    </xf>
    <xf numFmtId="0" fontId="0" fillId="997" borderId="0" xfId="0" applyFill="1" applyAlignment="1">
      <alignment horizontal="center" vertical="center" wrapText="1"/>
    </xf>
    <xf numFmtId="0" fontId="0" fillId="998" borderId="0" xfId="0" applyFill="1" applyAlignment="1">
      <alignment horizontal="center" vertical="center" wrapText="1"/>
    </xf>
    <xf numFmtId="0" fontId="0" fillId="999" borderId="0" xfId="0" applyFill="1" applyAlignment="1">
      <alignment horizontal="center" vertical="center" wrapText="1"/>
    </xf>
    <xf numFmtId="0" fontId="0" fillId="1000" borderId="0" xfId="0" applyFill="1" applyAlignment="1">
      <alignment horizontal="center" vertical="center" wrapText="1"/>
    </xf>
    <xf numFmtId="0" fontId="0" fillId="1001" borderId="0" xfId="0" applyFill="1" applyAlignment="1">
      <alignment horizontal="center" vertical="center" wrapText="1"/>
    </xf>
    <xf numFmtId="0" fontId="0" fillId="1002" borderId="0" xfId="0" applyFill="1" applyAlignment="1">
      <alignment horizontal="center" vertical="center" wrapText="1"/>
    </xf>
    <xf numFmtId="0" fontId="390" fillId="1003" borderId="0" xfId="0" applyFont="1" applyFill="1"/>
    <xf numFmtId="0" fontId="390" fillId="1004" borderId="0" xfId="0" applyFont="1" applyFill="1"/>
    <xf numFmtId="0" fontId="390" fillId="1005" borderId="0" xfId="0" applyFont="1" applyFill="1"/>
    <xf numFmtId="0" fontId="392" fillId="1006" borderId="0" xfId="0" applyFont="1" applyFill="1" applyAlignment="1">
      <alignment horizontal="center" vertical="center" wrapText="1"/>
    </xf>
    <xf numFmtId="0" fontId="392" fillId="1007" borderId="0" xfId="0" applyFont="1" applyFill="1" applyAlignment="1">
      <alignment horizontal="center" vertical="center" wrapText="1"/>
    </xf>
    <xf numFmtId="0" fontId="0" fillId="1008" borderId="0" xfId="0" applyFill="1" applyAlignment="1">
      <alignment horizontal="center" vertical="center" wrapText="1"/>
    </xf>
    <xf numFmtId="0" fontId="0" fillId="1009" borderId="0" xfId="0" applyFill="1" applyAlignment="1">
      <alignment horizontal="center" vertical="center" wrapText="1"/>
    </xf>
    <xf numFmtId="0" fontId="0" fillId="1010" borderId="0" xfId="0" applyFill="1" applyAlignment="1">
      <alignment horizontal="center" vertical="center" wrapText="1"/>
    </xf>
    <xf numFmtId="0" fontId="0" fillId="1011" borderId="0" xfId="0" applyFill="1" applyAlignment="1">
      <alignment horizontal="center" vertical="center" wrapText="1"/>
    </xf>
    <xf numFmtId="0" fontId="0" fillId="1012" borderId="0" xfId="0" applyFill="1" applyAlignment="1">
      <alignment horizontal="center" vertical="center" wrapText="1"/>
    </xf>
    <xf numFmtId="0" fontId="0" fillId="1013" borderId="0" xfId="0" applyFill="1" applyAlignment="1">
      <alignment horizontal="center" vertical="center" wrapText="1"/>
    </xf>
    <xf numFmtId="0" fontId="0" fillId="1014" borderId="0" xfId="0" applyFill="1" applyAlignment="1">
      <alignment horizontal="center" vertical="center" wrapText="1"/>
    </xf>
    <xf numFmtId="0" fontId="390" fillId="292" borderId="0" xfId="0" applyFont="1" applyFill="1"/>
    <xf numFmtId="0" fontId="390" fillId="1015" borderId="0" xfId="0" applyFont="1" applyFill="1"/>
    <xf numFmtId="0" fontId="390" fillId="1016" borderId="0" xfId="0" applyFont="1" applyFill="1"/>
    <xf numFmtId="0" fontId="392" fillId="1017" borderId="0" xfId="0" applyFont="1"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0" fillId="1022" borderId="0" xfId="0" applyFill="1" applyAlignment="1">
      <alignment horizontal="center" vertical="center" wrapText="1"/>
    </xf>
    <xf numFmtId="0" fontId="0" fillId="1023" borderId="0" xfId="0" applyFill="1" applyAlignment="1">
      <alignment horizontal="center" vertical="center" wrapText="1"/>
    </xf>
    <xf numFmtId="0" fontId="0" fillId="1024" borderId="0" xfId="0" applyFill="1" applyAlignment="1">
      <alignment horizontal="center" vertical="center" wrapText="1"/>
    </xf>
    <xf numFmtId="0" fontId="0" fillId="1025" borderId="0" xfId="0" applyFill="1" applyAlignment="1">
      <alignment horizontal="center" vertical="center" wrapText="1"/>
    </xf>
    <xf numFmtId="0" fontId="390" fillId="1026" borderId="0" xfId="0" applyFont="1" applyFill="1"/>
    <xf numFmtId="0" fontId="390" fillId="1027" borderId="0" xfId="0" applyFont="1" applyFill="1"/>
    <xf numFmtId="0" fontId="390" fillId="1028" borderId="0" xfId="0" applyFont="1" applyFill="1"/>
    <xf numFmtId="0" fontId="392" fillId="1029" borderId="0" xfId="0" applyFont="1" applyFill="1" applyAlignment="1">
      <alignment horizontal="center" vertical="center" wrapText="1"/>
    </xf>
    <xf numFmtId="0" fontId="392" fillId="1030" borderId="0" xfId="0" applyFont="1" applyFill="1" applyAlignment="1">
      <alignment horizontal="center" vertical="center" wrapText="1"/>
    </xf>
    <xf numFmtId="0" fontId="392" fillId="1031" borderId="0" xfId="0" applyFont="1" applyFill="1" applyAlignment="1">
      <alignment horizontal="center" vertical="center" wrapText="1"/>
    </xf>
    <xf numFmtId="0" fontId="392" fillId="1032" borderId="0" xfId="0" applyFont="1" applyFill="1" applyAlignment="1">
      <alignment horizontal="center" vertical="center" wrapText="1"/>
    </xf>
    <xf numFmtId="0" fontId="392" fillId="1033" borderId="0" xfId="0" applyFont="1" applyFill="1" applyAlignment="1">
      <alignment horizontal="center" vertical="center" wrapText="1"/>
    </xf>
    <xf numFmtId="0" fontId="392" fillId="1034" borderId="0" xfId="0" applyFont="1" applyFill="1" applyAlignment="1">
      <alignment horizontal="center" vertical="center" wrapText="1"/>
    </xf>
    <xf numFmtId="0" fontId="392" fillId="1035" borderId="0" xfId="0" applyFont="1" applyFill="1" applyAlignment="1">
      <alignment horizontal="center" vertical="center" wrapText="1"/>
    </xf>
    <xf numFmtId="0" fontId="392" fillId="1036" borderId="0" xfId="0" applyFont="1" applyFill="1" applyAlignment="1">
      <alignment horizontal="center" vertical="center" wrapText="1"/>
    </xf>
    <xf numFmtId="0" fontId="0" fillId="1037" borderId="0" xfId="0" applyFill="1" applyAlignment="1">
      <alignment horizontal="center" vertical="center" wrapText="1"/>
    </xf>
    <xf numFmtId="0" fontId="390" fillId="1038" borderId="0" xfId="0" applyFont="1" applyFill="1"/>
    <xf numFmtId="0" fontId="390" fillId="1039" borderId="0" xfId="0" applyFont="1" applyFill="1"/>
    <xf numFmtId="0" fontId="390" fillId="1040" borderId="0" xfId="0" applyFont="1" applyFill="1"/>
    <xf numFmtId="0" fontId="392" fillId="1041" borderId="0" xfId="0" applyFont="1" applyFill="1" applyAlignment="1">
      <alignment horizontal="center" vertical="center" wrapText="1"/>
    </xf>
    <xf numFmtId="0" fontId="392" fillId="1042" borderId="0" xfId="0" applyFont="1" applyFill="1" applyAlignment="1">
      <alignment horizontal="center" vertical="center" wrapText="1"/>
    </xf>
    <xf numFmtId="0" fontId="392" fillId="1043" borderId="0" xfId="0" applyFont="1" applyFill="1" applyAlignment="1">
      <alignment horizontal="center" vertical="center" wrapText="1"/>
    </xf>
    <xf numFmtId="0" fontId="392" fillId="1044" borderId="0" xfId="0" applyFont="1" applyFill="1" applyAlignment="1">
      <alignment horizontal="center" vertical="center" wrapText="1"/>
    </xf>
    <xf numFmtId="0" fontId="392" fillId="1045" borderId="0" xfId="0" applyFont="1" applyFill="1" applyAlignment="1">
      <alignment horizontal="center" vertical="center" wrapText="1"/>
    </xf>
    <xf numFmtId="0" fontId="392" fillId="1046" borderId="0" xfId="0" applyFont="1" applyFill="1" applyAlignment="1">
      <alignment horizontal="center" vertical="center" wrapText="1"/>
    </xf>
    <xf numFmtId="0" fontId="392" fillId="1047" borderId="0" xfId="0" applyFont="1" applyFill="1" applyAlignment="1">
      <alignment horizontal="center" vertical="center" wrapText="1"/>
    </xf>
    <xf numFmtId="0" fontId="0" fillId="1048" borderId="0" xfId="0" applyFill="1" applyAlignment="1">
      <alignment horizontal="center" vertical="center" wrapText="1"/>
    </xf>
    <xf numFmtId="0" fontId="0" fillId="1049" borderId="0" xfId="0" applyFill="1" applyAlignment="1">
      <alignment horizontal="center" vertical="center" wrapText="1"/>
    </xf>
    <xf numFmtId="0" fontId="390" fillId="1050" borderId="0" xfId="0" applyFont="1" applyFill="1"/>
    <xf numFmtId="0" fontId="390" fillId="1051" borderId="0" xfId="0" applyFont="1" applyFill="1"/>
    <xf numFmtId="0" fontId="390" fillId="1052" borderId="0" xfId="0" applyFont="1" applyFill="1"/>
    <xf numFmtId="0" fontId="392" fillId="1053" borderId="0" xfId="0" applyFont="1" applyFill="1" applyAlignment="1">
      <alignment horizontal="center" vertical="center" wrapText="1"/>
    </xf>
    <xf numFmtId="0" fontId="392" fillId="1054" borderId="0" xfId="0" applyFont="1" applyFill="1" applyAlignment="1">
      <alignment horizontal="center" vertical="center" wrapText="1"/>
    </xf>
    <xf numFmtId="0" fontId="392" fillId="1055" borderId="0" xfId="0" applyFont="1" applyFill="1" applyAlignment="1">
      <alignment horizontal="center" vertical="center" wrapText="1"/>
    </xf>
    <xf numFmtId="0" fontId="392" fillId="1056" borderId="0" xfId="0" applyFont="1" applyFill="1" applyAlignment="1">
      <alignment horizontal="center" vertical="center" wrapText="1"/>
    </xf>
    <xf numFmtId="0" fontId="392" fillId="1057" borderId="0" xfId="0" applyFont="1" applyFill="1" applyAlignment="1">
      <alignment horizontal="center" vertical="center" wrapText="1"/>
    </xf>
    <xf numFmtId="0" fontId="392" fillId="1058" borderId="0" xfId="0" applyFont="1" applyFill="1" applyAlignment="1">
      <alignment horizontal="center" vertical="center" wrapText="1"/>
    </xf>
    <xf numFmtId="0" fontId="0" fillId="1059" borderId="0" xfId="0" applyFill="1" applyAlignment="1">
      <alignment horizontal="center" vertical="center" wrapText="1"/>
    </xf>
    <xf numFmtId="0" fontId="0" fillId="1060" borderId="0" xfId="0" applyFill="1" applyAlignment="1">
      <alignment horizontal="center" vertical="center" wrapText="1"/>
    </xf>
    <xf numFmtId="0" fontId="0" fillId="1061" borderId="0" xfId="0" applyFill="1" applyAlignment="1">
      <alignment horizontal="center" vertical="center" wrapText="1"/>
    </xf>
    <xf numFmtId="0" fontId="390" fillId="1062" borderId="0" xfId="0" applyFont="1" applyFill="1"/>
    <xf numFmtId="0" fontId="390" fillId="1063" borderId="0" xfId="0" applyFont="1" applyFill="1"/>
    <xf numFmtId="0" fontId="390" fillId="1064" borderId="0" xfId="0" applyFont="1" applyFill="1"/>
    <xf numFmtId="0" fontId="392" fillId="1065" borderId="0" xfId="0" applyFont="1" applyFill="1" applyAlignment="1">
      <alignment horizontal="center" vertical="center" wrapText="1"/>
    </xf>
    <xf numFmtId="0" fontId="392" fillId="1066" borderId="0" xfId="0" applyFont="1" applyFill="1" applyAlignment="1">
      <alignment horizontal="center" vertical="center" wrapText="1"/>
    </xf>
    <xf numFmtId="0" fontId="392" fillId="1067" borderId="0" xfId="0" applyFont="1" applyFill="1" applyAlignment="1">
      <alignment horizontal="center" vertical="center" wrapText="1"/>
    </xf>
    <xf numFmtId="0" fontId="392" fillId="1068" borderId="0" xfId="0" applyFont="1" applyFill="1" applyAlignment="1">
      <alignment horizontal="center" vertical="center" wrapText="1"/>
    </xf>
    <xf numFmtId="0" fontId="392" fillId="1069" borderId="0" xfId="0" applyFont="1" applyFill="1" applyAlignment="1">
      <alignment horizontal="center" vertical="center" wrapText="1"/>
    </xf>
    <xf numFmtId="0" fontId="0" fillId="1070" borderId="0" xfId="0" applyFill="1" applyAlignment="1">
      <alignment horizontal="center" vertical="center" wrapText="1"/>
    </xf>
    <xf numFmtId="0" fontId="0" fillId="1071" borderId="0" xfId="0" applyFill="1" applyAlignment="1">
      <alignment horizontal="center" vertical="center" wrapText="1"/>
    </xf>
    <xf numFmtId="0" fontId="0" fillId="1072" borderId="0" xfId="0" applyFill="1" applyAlignment="1">
      <alignment horizontal="center" vertical="center" wrapText="1"/>
    </xf>
    <xf numFmtId="0" fontId="0" fillId="1073" borderId="0" xfId="0" applyFill="1" applyAlignment="1">
      <alignment horizontal="center" vertical="center" wrapText="1"/>
    </xf>
    <xf numFmtId="0" fontId="390" fillId="1074" borderId="0" xfId="0" applyFont="1" applyFill="1"/>
    <xf numFmtId="0" fontId="390" fillId="1075" borderId="0" xfId="0" applyFont="1" applyFill="1"/>
    <xf numFmtId="0" fontId="390" fillId="1076" borderId="0" xfId="0" applyFont="1" applyFill="1"/>
    <xf numFmtId="0" fontId="392" fillId="1077" borderId="0" xfId="0" applyFont="1" applyFill="1" applyAlignment="1">
      <alignment horizontal="center" vertical="center" wrapText="1"/>
    </xf>
    <xf numFmtId="0" fontId="392" fillId="1078" borderId="0" xfId="0" applyFont="1" applyFill="1" applyAlignment="1">
      <alignment horizontal="center" vertical="center" wrapText="1"/>
    </xf>
    <xf numFmtId="0" fontId="392" fillId="1079" borderId="0" xfId="0" applyFont="1" applyFill="1" applyAlignment="1">
      <alignment horizontal="center" vertical="center" wrapText="1"/>
    </xf>
    <xf numFmtId="0" fontId="392" fillId="1080" borderId="0" xfId="0" applyFont="1" applyFill="1" applyAlignment="1">
      <alignment horizontal="center" vertical="center" wrapText="1"/>
    </xf>
    <xf numFmtId="0" fontId="0" fillId="1081" borderId="0" xfId="0" applyFill="1" applyAlignment="1">
      <alignment horizontal="center" vertical="center" wrapText="1"/>
    </xf>
    <xf numFmtId="0" fontId="0" fillId="1082" borderId="0" xfId="0" applyFill="1" applyAlignment="1">
      <alignment horizontal="center" vertical="center" wrapText="1"/>
    </xf>
    <xf numFmtId="0" fontId="0" fillId="1083" borderId="0" xfId="0" applyFill="1" applyAlignment="1">
      <alignment horizontal="center" vertical="center" wrapText="1"/>
    </xf>
    <xf numFmtId="0" fontId="0" fillId="1084" borderId="0" xfId="0" applyFill="1" applyAlignment="1">
      <alignment horizontal="center" vertical="center" wrapText="1"/>
    </xf>
    <xf numFmtId="0" fontId="0" fillId="1085" borderId="0" xfId="0" applyFill="1" applyAlignment="1">
      <alignment horizontal="center" vertical="center" wrapText="1"/>
    </xf>
    <xf numFmtId="0" fontId="390" fillId="1086" borderId="0" xfId="0" applyFont="1" applyFill="1"/>
    <xf numFmtId="0" fontId="390" fillId="1087" borderId="0" xfId="0" applyFont="1" applyFill="1"/>
    <xf numFmtId="0" fontId="390" fillId="1088" borderId="0" xfId="0" applyFont="1" applyFill="1"/>
    <xf numFmtId="0" fontId="392" fillId="1089" borderId="0" xfId="0" applyFont="1" applyFill="1" applyAlignment="1">
      <alignment horizontal="center" vertical="center" wrapText="1"/>
    </xf>
    <xf numFmtId="0" fontId="392" fillId="1090" borderId="0" xfId="0" applyFont="1" applyFill="1" applyAlignment="1">
      <alignment horizontal="center" vertical="center" wrapText="1"/>
    </xf>
    <xf numFmtId="0" fontId="392" fillId="1091" borderId="0" xfId="0" applyFont="1" applyFill="1" applyAlignment="1">
      <alignment horizontal="center" vertical="center" wrapText="1"/>
    </xf>
    <xf numFmtId="0" fontId="0" fillId="1092" borderId="0" xfId="0" applyFill="1" applyAlignment="1">
      <alignment horizontal="center" vertical="center" wrapText="1"/>
    </xf>
    <xf numFmtId="0" fontId="0" fillId="1093" borderId="0" xfId="0" applyFill="1" applyAlignment="1">
      <alignment horizontal="center" vertical="center" wrapText="1"/>
    </xf>
    <xf numFmtId="0" fontId="0" fillId="1094" borderId="0" xfId="0"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0" fillId="1097" borderId="0" xfId="0" applyFill="1" applyAlignment="1">
      <alignment horizontal="center" vertical="center" wrapText="1"/>
    </xf>
    <xf numFmtId="0" fontId="390" fillId="1098" borderId="0" xfId="0" applyFont="1" applyFill="1"/>
    <xf numFmtId="0" fontId="390" fillId="1099" borderId="0" xfId="0" applyFont="1" applyFill="1"/>
    <xf numFmtId="0" fontId="390" fillId="1100" borderId="0" xfId="0" applyFont="1" applyFill="1"/>
    <xf numFmtId="0" fontId="392" fillId="1101" borderId="0" xfId="0" applyFont="1" applyFill="1" applyAlignment="1">
      <alignment horizontal="center" vertical="center" wrapText="1"/>
    </xf>
    <xf numFmtId="0" fontId="392" fillId="1102" borderId="0" xfId="0" applyFont="1" applyFill="1" applyAlignment="1">
      <alignment horizontal="center" vertical="center" wrapText="1"/>
    </xf>
    <xf numFmtId="0" fontId="0" fillId="1103" borderId="0" xfId="0" applyFill="1" applyAlignment="1">
      <alignment horizontal="center" vertical="center" wrapText="1"/>
    </xf>
    <xf numFmtId="0" fontId="0" fillId="1104" borderId="0" xfId="0" applyFill="1" applyAlignment="1">
      <alignment horizontal="center" vertical="center" wrapText="1"/>
    </xf>
    <xf numFmtId="0" fontId="0" fillId="1105" borderId="0" xfId="0" applyFill="1" applyAlignment="1">
      <alignment horizontal="center" vertical="center" wrapText="1"/>
    </xf>
    <xf numFmtId="0" fontId="0" fillId="1106" borderId="0" xfId="0" applyFill="1" applyAlignment="1">
      <alignment horizontal="center" vertical="center" wrapText="1"/>
    </xf>
    <xf numFmtId="0" fontId="0" fillId="1107" borderId="0" xfId="0" applyFill="1" applyAlignment="1">
      <alignment horizontal="center" vertical="center" wrapText="1"/>
    </xf>
    <xf numFmtId="0" fontId="0" fillId="1108" borderId="0" xfId="0" applyFill="1" applyAlignment="1">
      <alignment horizontal="center" vertical="center" wrapText="1"/>
    </xf>
    <xf numFmtId="0" fontId="0" fillId="1109" borderId="0" xfId="0" applyFill="1" applyAlignment="1">
      <alignment horizontal="center" vertical="center" wrapText="1"/>
    </xf>
    <xf numFmtId="0" fontId="390" fillId="1110" borderId="0" xfId="0" applyFont="1" applyFill="1"/>
    <xf numFmtId="0" fontId="390" fillId="1111" borderId="0" xfId="0" applyFont="1" applyFill="1"/>
    <xf numFmtId="0" fontId="390" fillId="1112" borderId="0" xfId="0" applyFont="1" applyFill="1"/>
    <xf numFmtId="0" fontId="392" fillId="1113" borderId="0" xfId="0" applyFont="1"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0" fillId="1116" borderId="0" xfId="0" applyFill="1" applyAlignment="1">
      <alignment horizontal="center" vertical="center" wrapText="1"/>
    </xf>
    <xf numFmtId="0" fontId="0" fillId="1117" borderId="0" xfId="0" applyFill="1" applyAlignment="1">
      <alignment horizontal="center" vertical="center" wrapText="1"/>
    </xf>
    <xf numFmtId="0" fontId="0" fillId="1118" borderId="0" xfId="0" applyFill="1" applyAlignment="1">
      <alignment horizontal="center" vertical="center" wrapText="1"/>
    </xf>
    <xf numFmtId="0" fontId="0" fillId="1119" borderId="0" xfId="0" applyFill="1" applyAlignment="1">
      <alignment horizontal="center" vertical="center" wrapText="1"/>
    </xf>
    <xf numFmtId="0" fontId="0" fillId="1120" borderId="0" xfId="0" applyFill="1" applyAlignment="1">
      <alignment horizontal="center" vertical="center" wrapText="1"/>
    </xf>
    <xf numFmtId="0" fontId="0" fillId="1121" borderId="0" xfId="0" applyFill="1" applyAlignment="1">
      <alignment horizontal="center" vertical="center" wrapText="1"/>
    </xf>
    <xf numFmtId="0" fontId="390" fillId="1122" borderId="0" xfId="0" applyFont="1" applyFill="1"/>
    <xf numFmtId="0" fontId="390" fillId="1123" borderId="0" xfId="0" applyFont="1" applyFill="1"/>
    <xf numFmtId="0" fontId="390" fillId="1124" borderId="0" xfId="0" applyFont="1" applyFill="1"/>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0" fillId="1128" borderId="0" xfId="0" applyFill="1" applyAlignment="1">
      <alignment horizontal="center" vertical="center" wrapText="1"/>
    </xf>
    <xf numFmtId="0" fontId="0" fillId="1129" borderId="0" xfId="0"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390" fillId="1134" borderId="0" xfId="0" applyFont="1" applyFill="1"/>
    <xf numFmtId="0" fontId="390" fillId="1135" borderId="0" xfId="0" applyFont="1" applyFill="1"/>
    <xf numFmtId="0" fontId="390" fillId="1136" borderId="0" xfId="0" applyFont="1" applyFill="1"/>
    <xf numFmtId="0" fontId="392" fillId="29" borderId="0" xfId="0" applyFont="1" applyFill="1" applyAlignment="1">
      <alignment horizontal="center" vertical="center" wrapText="1"/>
    </xf>
    <xf numFmtId="0" fontId="392" fillId="1137" borderId="0" xfId="0" applyFont="1" applyFill="1" applyAlignment="1">
      <alignment horizontal="center" vertical="center" wrapText="1"/>
    </xf>
    <xf numFmtId="0" fontId="392" fillId="1138" borderId="0" xfId="0" applyFont="1" applyFill="1" applyAlignment="1">
      <alignment horizontal="center" vertical="center" wrapText="1"/>
    </xf>
    <xf numFmtId="0" fontId="392" fillId="1139" borderId="0" xfId="0" applyFont="1" applyFill="1" applyAlignment="1">
      <alignment horizontal="center" vertical="center" wrapText="1"/>
    </xf>
    <xf numFmtId="0" fontId="392" fillId="1140" borderId="0" xfId="0" applyFont="1" applyFill="1" applyAlignment="1">
      <alignment horizontal="center" vertical="center" wrapText="1"/>
    </xf>
    <xf numFmtId="0" fontId="392" fillId="1141" borderId="0" xfId="0" applyFont="1" applyFill="1" applyAlignment="1">
      <alignment horizontal="center" vertical="center" wrapText="1"/>
    </xf>
    <xf numFmtId="0" fontId="392" fillId="1142" borderId="0" xfId="0" applyFont="1" applyFill="1" applyAlignment="1">
      <alignment horizontal="center" vertical="center" wrapText="1"/>
    </xf>
    <xf numFmtId="0" fontId="0" fillId="1143" borderId="0" xfId="0" applyFill="1" applyAlignment="1">
      <alignment horizontal="center" vertical="center" wrapText="1"/>
    </xf>
    <xf numFmtId="0" fontId="0" fillId="70" borderId="0" xfId="0" applyFill="1" applyAlignment="1">
      <alignment horizontal="center" vertical="center" wrapText="1"/>
    </xf>
    <xf numFmtId="0" fontId="390" fillId="1144" borderId="0" xfId="0" applyFont="1" applyFill="1"/>
    <xf numFmtId="0" fontId="390" fillId="1145" borderId="0" xfId="0" applyFont="1" applyFill="1"/>
    <xf numFmtId="0" fontId="390" fillId="1146" borderId="0" xfId="0" applyFont="1" applyFill="1"/>
    <xf numFmtId="0" fontId="392" fillId="1147" borderId="0" xfId="0" applyFont="1" applyFill="1" applyAlignment="1">
      <alignment horizontal="center" vertical="center" wrapText="1"/>
    </xf>
    <xf numFmtId="0" fontId="392" fillId="1148" borderId="0" xfId="0" applyFont="1" applyFill="1" applyAlignment="1">
      <alignment horizontal="center" vertical="center" wrapText="1"/>
    </xf>
    <xf numFmtId="0" fontId="392" fillId="1149" borderId="0" xfId="0" applyFont="1" applyFill="1" applyAlignment="1">
      <alignment horizontal="center" vertical="center" wrapText="1"/>
    </xf>
    <xf numFmtId="0" fontId="392" fillId="1150" borderId="0" xfId="0" applyFont="1" applyFill="1" applyAlignment="1">
      <alignment horizontal="center" vertical="center" wrapText="1"/>
    </xf>
    <xf numFmtId="0" fontId="392" fillId="1151" borderId="0" xfId="0" applyFont="1" applyFill="1" applyAlignment="1">
      <alignment horizontal="center" vertical="center" wrapText="1"/>
    </xf>
    <xf numFmtId="0" fontId="392" fillId="1152" borderId="0" xfId="0" applyFont="1" applyFill="1" applyAlignment="1">
      <alignment horizontal="center" vertical="center" wrapText="1"/>
    </xf>
    <xf numFmtId="0" fontId="0" fillId="1153" borderId="0" xfId="0"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390" fillId="1156" borderId="0" xfId="0" applyFont="1" applyFill="1"/>
    <xf numFmtId="0" fontId="390" fillId="1157" borderId="0" xfId="0" applyFont="1" applyFill="1"/>
    <xf numFmtId="0" fontId="390" fillId="1158" borderId="0" xfId="0" applyFont="1" applyFill="1"/>
    <xf numFmtId="0" fontId="392" fillId="1159" borderId="0" xfId="0" applyFont="1" applyFill="1" applyAlignment="1">
      <alignment horizontal="center" vertical="center" wrapText="1"/>
    </xf>
    <xf numFmtId="0" fontId="392" fillId="1160" borderId="0" xfId="0" applyFont="1" applyFill="1" applyAlignment="1">
      <alignment horizontal="center" vertical="center" wrapText="1"/>
    </xf>
    <xf numFmtId="0" fontId="392" fillId="1161" borderId="0" xfId="0" applyFont="1" applyFill="1" applyAlignment="1">
      <alignment horizontal="center" vertical="center" wrapText="1"/>
    </xf>
    <xf numFmtId="0" fontId="392" fillId="1162" borderId="0" xfId="0" applyFont="1" applyFill="1" applyAlignment="1">
      <alignment horizontal="center" vertical="center" wrapText="1"/>
    </xf>
    <xf numFmtId="0" fontId="392" fillId="1163" borderId="0" xfId="0" applyFont="1" applyFill="1" applyAlignment="1">
      <alignment horizontal="center" vertical="center" wrapText="1"/>
    </xf>
    <xf numFmtId="0" fontId="0" fillId="1164" borderId="0" xfId="0" applyFill="1" applyAlignment="1">
      <alignment horizontal="center" vertical="center" wrapText="1"/>
    </xf>
    <xf numFmtId="0" fontId="0" fillId="1165" borderId="0" xfId="0" applyFill="1" applyAlignment="1">
      <alignment horizontal="center" vertical="center" wrapText="1"/>
    </xf>
    <xf numFmtId="0" fontId="0" fillId="1166" borderId="0" xfId="0" applyFill="1" applyAlignment="1">
      <alignment horizontal="center" vertical="center" wrapText="1"/>
    </xf>
    <xf numFmtId="0" fontId="0" fillId="1167" borderId="0" xfId="0" applyFill="1" applyAlignment="1">
      <alignment horizontal="center" vertical="center" wrapText="1"/>
    </xf>
    <xf numFmtId="0" fontId="390" fillId="1168" borderId="0" xfId="0" applyFont="1" applyFill="1"/>
    <xf numFmtId="0" fontId="390" fillId="1169" borderId="0" xfId="0" applyFont="1" applyFill="1"/>
    <xf numFmtId="0" fontId="390" fillId="1170" borderId="0" xfId="0" applyFont="1" applyFill="1"/>
    <xf numFmtId="0" fontId="392" fillId="1171" borderId="0" xfId="0" applyFont="1" applyFill="1" applyAlignment="1">
      <alignment horizontal="center" vertical="center" wrapText="1"/>
    </xf>
    <xf numFmtId="0" fontId="392" fillId="1172" borderId="0" xfId="0" applyFont="1" applyFill="1" applyAlignment="1">
      <alignment horizontal="center" vertical="center" wrapText="1"/>
    </xf>
    <xf numFmtId="0" fontId="392" fillId="1173" borderId="0" xfId="0" applyFont="1" applyFill="1" applyAlignment="1">
      <alignment horizontal="center" vertical="center" wrapText="1"/>
    </xf>
    <xf numFmtId="0" fontId="392" fillId="1174" borderId="0" xfId="0" applyFont="1" applyFill="1" applyAlignment="1">
      <alignment horizontal="center" vertical="center" wrapText="1"/>
    </xf>
    <xf numFmtId="0" fontId="0" fillId="1175" borderId="0" xfId="0" applyFill="1" applyAlignment="1">
      <alignment horizontal="center" vertical="center" wrapText="1"/>
    </xf>
    <xf numFmtId="0" fontId="0" fillId="1176" borderId="0" xfId="0" applyFill="1" applyAlignment="1">
      <alignment horizontal="center" vertical="center" wrapText="1"/>
    </xf>
    <xf numFmtId="0" fontId="0" fillId="1177" borderId="0" xfId="0" applyFill="1" applyAlignment="1">
      <alignment horizontal="center" vertical="center" wrapText="1"/>
    </xf>
    <xf numFmtId="0" fontId="0" fillId="1178" borderId="0" xfId="0" applyFill="1" applyAlignment="1">
      <alignment horizontal="center" vertical="center" wrapText="1"/>
    </xf>
    <xf numFmtId="0" fontId="0" fillId="1179" borderId="0" xfId="0" applyFill="1" applyAlignment="1">
      <alignment horizontal="center" vertical="center" wrapText="1"/>
    </xf>
    <xf numFmtId="0" fontId="390" fillId="1180" borderId="0" xfId="0" applyFont="1" applyFill="1"/>
    <xf numFmtId="0" fontId="390" fillId="1181" borderId="0" xfId="0" applyFont="1" applyFill="1"/>
    <xf numFmtId="0" fontId="390" fillId="1182" borderId="0" xfId="0" applyFont="1" applyFill="1"/>
    <xf numFmtId="0" fontId="392" fillId="1183" borderId="0" xfId="0" applyFont="1" applyFill="1" applyAlignment="1">
      <alignment horizontal="center" vertical="center" wrapText="1"/>
    </xf>
    <xf numFmtId="0" fontId="392" fillId="1184" borderId="0" xfId="0" applyFont="1" applyFill="1" applyAlignment="1">
      <alignment horizontal="center" vertical="center" wrapText="1"/>
    </xf>
    <xf numFmtId="0" fontId="392" fillId="1185" borderId="0" xfId="0" applyFont="1" applyFill="1" applyAlignment="1">
      <alignment horizontal="center" vertical="center" wrapText="1"/>
    </xf>
    <xf numFmtId="0" fontId="0" fillId="1186" borderId="0" xfId="0" applyFill="1" applyAlignment="1">
      <alignment horizontal="center" vertical="center" wrapText="1"/>
    </xf>
    <xf numFmtId="0" fontId="0" fillId="1187" borderId="0" xfId="0" applyFill="1" applyAlignment="1">
      <alignment horizontal="center" vertical="center" wrapText="1"/>
    </xf>
    <xf numFmtId="0" fontId="0" fillId="1188" borderId="0" xfId="0"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0" fillId="1191" borderId="0" xfId="0" applyFill="1" applyAlignment="1">
      <alignment horizontal="center" vertical="center" wrapText="1"/>
    </xf>
    <xf numFmtId="0" fontId="390" fillId="1192" borderId="0" xfId="0" applyFont="1" applyFill="1"/>
    <xf numFmtId="0" fontId="390" fillId="1193" borderId="0" xfId="0" applyFont="1" applyFill="1"/>
    <xf numFmtId="0" fontId="390" fillId="1194" borderId="0" xfId="0" applyFont="1" applyFill="1"/>
    <xf numFmtId="0" fontId="392" fillId="1195" borderId="0" xfId="0" applyFont="1" applyFill="1" applyAlignment="1">
      <alignment horizontal="center" vertical="center" wrapText="1"/>
    </xf>
    <xf numFmtId="0" fontId="392" fillId="1196" borderId="0" xfId="0" applyFont="1" applyFill="1" applyAlignment="1">
      <alignment horizontal="center" vertical="center" wrapText="1"/>
    </xf>
    <xf numFmtId="0" fontId="0" fillId="1197" borderId="0" xfId="0"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1203" borderId="0" xfId="0" applyFill="1" applyAlignment="1">
      <alignment horizontal="center" vertical="center" wrapText="1"/>
    </xf>
    <xf numFmtId="0" fontId="390" fillId="1204" borderId="0" xfId="0" applyFont="1" applyFill="1"/>
    <xf numFmtId="0" fontId="390" fillId="70" borderId="0" xfId="0" applyFont="1" applyFill="1"/>
    <xf numFmtId="0" fontId="390" fillId="1205" borderId="0" xfId="0" applyFont="1" applyFill="1"/>
    <xf numFmtId="0" fontId="392" fillId="27" borderId="0" xfId="0" applyFont="1" applyFill="1" applyAlignment="1">
      <alignment horizontal="center" vertical="center" wrapText="1"/>
    </xf>
    <xf numFmtId="0" fontId="0" fillId="1206" borderId="0" xfId="0" applyFill="1" applyAlignment="1">
      <alignment horizontal="center" vertical="center" wrapText="1"/>
    </xf>
    <xf numFmtId="0" fontId="0" fillId="1207" borderId="0" xfId="0" applyFill="1" applyAlignment="1">
      <alignment horizontal="center" vertical="center" wrapText="1"/>
    </xf>
    <xf numFmtId="0" fontId="0" fillId="1208" borderId="0" xfId="0" applyFill="1" applyAlignment="1">
      <alignment horizontal="center" vertical="center" wrapText="1"/>
    </xf>
    <xf numFmtId="0" fontId="0" fillId="1209" borderId="0" xfId="0" applyFill="1" applyAlignment="1">
      <alignment horizontal="center" vertical="center" wrapText="1"/>
    </xf>
    <xf numFmtId="0" fontId="0" fillId="1210" borderId="0" xfId="0" applyFill="1" applyAlignment="1">
      <alignment horizontal="center" vertical="center" wrapText="1"/>
    </xf>
    <xf numFmtId="0" fontId="0" fillId="1211" borderId="0" xfId="0" applyFill="1" applyAlignment="1">
      <alignment horizontal="center" vertical="center" wrapText="1"/>
    </xf>
    <xf numFmtId="0" fontId="0" fillId="1212" borderId="0" xfId="0" applyFill="1" applyAlignment="1">
      <alignment horizontal="center" vertical="center" wrapText="1"/>
    </xf>
    <xf numFmtId="0" fontId="0" fillId="1213" borderId="0" xfId="0" applyFill="1" applyAlignment="1">
      <alignment horizontal="center" vertical="center" wrapText="1"/>
    </xf>
    <xf numFmtId="0" fontId="390" fillId="1214" borderId="0" xfId="0" applyFont="1" applyFill="1"/>
    <xf numFmtId="0" fontId="390" fillId="1215" borderId="0" xfId="0" applyFont="1" applyFill="1"/>
    <xf numFmtId="0" fontId="390" fillId="1216" borderId="0" xfId="0" applyFont="1" applyFill="1"/>
    <xf numFmtId="0" fontId="0" fillId="1217" borderId="0" xfId="0" applyFill="1" applyAlignment="1">
      <alignment horizontal="center" vertical="center" wrapText="1"/>
    </xf>
    <xf numFmtId="0" fontId="0" fillId="1218" borderId="0" xfId="0" applyFill="1" applyAlignment="1">
      <alignment horizontal="center" vertical="center" wrapText="1"/>
    </xf>
    <xf numFmtId="0" fontId="0" fillId="1219" borderId="0" xfId="0" applyFill="1" applyAlignment="1">
      <alignment horizontal="center" vertical="center" wrapText="1"/>
    </xf>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0" fillId="1222" borderId="0" xfId="0" applyFill="1" applyAlignment="1">
      <alignment horizontal="center" vertical="center" wrapText="1"/>
    </xf>
    <xf numFmtId="0" fontId="0" fillId="1223" borderId="0" xfId="0" applyFill="1" applyAlignment="1">
      <alignment horizontal="center" vertical="center" wrapText="1"/>
    </xf>
    <xf numFmtId="0" fontId="0" fillId="1224" borderId="0" xfId="0" applyFill="1" applyAlignment="1">
      <alignment horizontal="center" vertical="center" wrapText="1"/>
    </xf>
    <xf numFmtId="0" fontId="0" fillId="1225" borderId="0" xfId="0" applyFill="1" applyAlignment="1">
      <alignment horizontal="center" vertical="center" wrapText="1"/>
    </xf>
    <xf numFmtId="0" fontId="390" fillId="1226" borderId="0" xfId="0" applyFont="1" applyFill="1"/>
    <xf numFmtId="0" fontId="390" fillId="1227" borderId="0" xfId="0" applyFont="1" applyFill="1"/>
    <xf numFmtId="0" fontId="390" fillId="1228" borderId="0" xfId="0" applyFont="1" applyFill="1"/>
    <xf numFmtId="0" fontId="0" fillId="53" borderId="0" xfId="0" applyFill="1" applyAlignment="1">
      <alignment horizontal="center" vertical="center" wrapText="1"/>
    </xf>
    <xf numFmtId="0" fontId="0" fillId="1229" borderId="0" xfId="0" applyFill="1" applyAlignment="1">
      <alignment horizontal="center" vertical="center" wrapText="1"/>
    </xf>
    <xf numFmtId="0" fontId="0" fillId="1230" borderId="0" xfId="0" applyFill="1" applyAlignment="1">
      <alignment horizontal="center" vertical="center" wrapText="1"/>
    </xf>
    <xf numFmtId="0" fontId="0" fillId="1231"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0" fillId="1234" borderId="0" xfId="0" applyFill="1" applyAlignment="1">
      <alignment horizontal="center" vertical="center" wrapText="1"/>
    </xf>
    <xf numFmtId="0" fontId="0" fillId="460" borderId="0" xfId="0" applyFill="1" applyAlignment="1">
      <alignment horizontal="center" vertical="center" wrapText="1"/>
    </xf>
    <xf numFmtId="0" fontId="0" fillId="195" borderId="0" xfId="0" applyFill="1" applyAlignment="1">
      <alignment horizontal="center" vertical="center" wrapText="1"/>
    </xf>
    <xf numFmtId="0" fontId="390" fillId="1235" borderId="0" xfId="0" applyFont="1" applyFill="1"/>
    <xf numFmtId="0" fontId="390" fillId="1236" borderId="0" xfId="0" applyFont="1" applyFill="1"/>
    <xf numFmtId="0" fontId="390" fillId="1237" borderId="0" xfId="0" applyFont="1" applyFill="1"/>
    <xf numFmtId="0" fontId="390" fillId="1238" borderId="0" xfId="0" applyFont="1" applyFill="1"/>
    <xf numFmtId="0" fontId="390" fillId="1239" borderId="0" xfId="0" applyFont="1" applyFill="1"/>
    <xf numFmtId="0" fontId="390" fillId="1240" borderId="0" xfId="0" applyFont="1" applyFill="1"/>
    <xf numFmtId="0" fontId="390" fillId="1241" borderId="0" xfId="0" applyFont="1" applyFill="1"/>
    <xf numFmtId="0" fontId="390" fillId="1242" borderId="0" xfId="0" applyFont="1" applyFill="1"/>
    <xf numFmtId="0" fontId="390" fillId="1243" borderId="0" xfId="0" applyFont="1" applyFill="1"/>
    <xf numFmtId="0" fontId="390" fillId="1244" borderId="0" xfId="0" applyFont="1" applyFill="1"/>
    <xf numFmtId="0" fontId="390" fillId="1245" borderId="0" xfId="0" applyFont="1" applyFill="1"/>
    <xf numFmtId="0" fontId="390" fillId="1246" borderId="0" xfId="0" applyFont="1" applyFill="1"/>
    <xf numFmtId="0" fontId="390" fillId="1247" borderId="0" xfId="0" applyFont="1" applyFill="1"/>
    <xf numFmtId="0" fontId="390" fillId="1248" borderId="0" xfId="0" applyFont="1" applyFill="1"/>
    <xf numFmtId="0" fontId="390" fillId="1249" borderId="0" xfId="0" applyFont="1" applyFill="1"/>
    <xf numFmtId="0" fontId="390" fillId="1250" borderId="0" xfId="0" applyFont="1" applyFill="1"/>
    <xf numFmtId="0" fontId="390" fillId="1251" borderId="0" xfId="0" applyFont="1" applyFill="1"/>
    <xf numFmtId="0" fontId="390" fillId="1252" borderId="0" xfId="0" applyFont="1" applyFill="1"/>
    <xf numFmtId="0" fontId="390" fillId="1253" borderId="0" xfId="0" applyFont="1" applyFill="1"/>
    <xf numFmtId="0" fontId="390" fillId="1254" borderId="0" xfId="0" applyFont="1" applyFill="1"/>
    <xf numFmtId="0" fontId="390" fillId="1255" borderId="0" xfId="0" applyFont="1" applyFill="1"/>
    <xf numFmtId="0" fontId="390" fillId="1256" borderId="0" xfId="0" applyFont="1" applyFill="1"/>
    <xf numFmtId="0" fontId="390" fillId="1257" borderId="0" xfId="0" applyFont="1" applyFill="1"/>
    <xf numFmtId="0" fontId="390" fillId="1258" borderId="0" xfId="0" applyFont="1" applyFill="1"/>
    <xf numFmtId="0" fontId="390" fillId="1259" borderId="0" xfId="0" applyFont="1" applyFill="1"/>
    <xf numFmtId="0" fontId="390" fillId="1260" borderId="0" xfId="0" applyFont="1" applyFill="1"/>
    <xf numFmtId="0" fontId="390" fillId="1261" borderId="0" xfId="0" applyFont="1" applyFill="1"/>
    <xf numFmtId="0" fontId="390" fillId="1262" borderId="0" xfId="0" applyFont="1" applyFill="1"/>
    <xf numFmtId="0" fontId="390" fillId="1263" borderId="0" xfId="0" applyFont="1" applyFill="1"/>
    <xf numFmtId="0" fontId="390" fillId="1264" borderId="0" xfId="0" applyFont="1" applyFill="1"/>
    <xf numFmtId="0" fontId="390" fillId="1265" borderId="0" xfId="0" applyFont="1" applyFill="1"/>
    <xf numFmtId="0" fontId="390" fillId="1266" borderId="0" xfId="0" applyFont="1" applyFill="1"/>
    <xf numFmtId="0" fontId="390" fillId="1267" borderId="0" xfId="0" applyFont="1" applyFill="1"/>
    <xf numFmtId="0" fontId="390" fillId="1268" borderId="0" xfId="0" applyFont="1" applyFill="1"/>
    <xf numFmtId="0" fontId="390" fillId="1269" borderId="0" xfId="0" applyFont="1" applyFill="1"/>
    <xf numFmtId="0" fontId="390" fillId="1270" borderId="0" xfId="0" applyFont="1" applyFill="1"/>
    <xf numFmtId="0" fontId="390" fillId="1271" borderId="0" xfId="0" applyFont="1" applyFill="1"/>
    <xf numFmtId="0" fontId="390" fillId="1272" borderId="0" xfId="0" applyFont="1" applyFill="1"/>
    <xf numFmtId="0" fontId="390" fillId="1273" borderId="0" xfId="0" applyFont="1" applyFill="1"/>
    <xf numFmtId="0" fontId="390" fillId="1274" borderId="0" xfId="0" applyFont="1" applyFill="1"/>
    <xf numFmtId="0" fontId="390" fillId="1275" borderId="0" xfId="0" applyFont="1" applyFill="1"/>
    <xf numFmtId="0" fontId="390" fillId="1276" borderId="0" xfId="0" applyFont="1" applyFill="1"/>
    <xf numFmtId="0" fontId="390" fillId="1277" borderId="0" xfId="0" applyFont="1" applyFill="1"/>
    <xf numFmtId="0" fontId="390" fillId="1278" borderId="0" xfId="0" applyFont="1" applyFill="1"/>
    <xf numFmtId="0" fontId="390" fillId="1279" borderId="0" xfId="0" applyFont="1" applyFill="1"/>
    <xf numFmtId="0" fontId="390" fillId="1280" borderId="0" xfId="0" applyFont="1" applyFill="1"/>
    <xf numFmtId="0" fontId="390" fillId="1281" borderId="0" xfId="0" applyFont="1" applyFill="1"/>
    <xf numFmtId="0" fontId="390" fillId="1282" borderId="0" xfId="0" applyFont="1" applyFill="1"/>
    <xf numFmtId="0" fontId="390" fillId="1283" borderId="0" xfId="0" applyFont="1" applyFill="1"/>
    <xf numFmtId="0" fontId="390" fillId="1284" borderId="0" xfId="0" applyFont="1" applyFill="1"/>
    <xf numFmtId="0" fontId="390" fillId="1285" borderId="0" xfId="0" applyFont="1" applyFill="1"/>
    <xf numFmtId="0" fontId="390" fillId="1286" borderId="0" xfId="0" applyFont="1" applyFill="1"/>
    <xf numFmtId="0" fontId="390" fillId="1287" borderId="0" xfId="0" applyFont="1" applyFill="1"/>
    <xf numFmtId="0" fontId="390" fillId="1288" borderId="0" xfId="0" applyFont="1" applyFill="1"/>
    <xf numFmtId="0" fontId="390" fillId="1289" borderId="0" xfId="0" applyFont="1" applyFill="1"/>
    <xf numFmtId="0" fontId="390" fillId="1290" borderId="0" xfId="0" applyFont="1" applyFill="1"/>
    <xf numFmtId="0" fontId="390" fillId="1291" borderId="0" xfId="0" applyFont="1" applyFill="1"/>
    <xf numFmtId="0" fontId="390" fillId="1292" borderId="0" xfId="0" applyFont="1" applyFill="1"/>
    <xf numFmtId="0" fontId="390" fillId="1293" borderId="0" xfId="0" applyFont="1" applyFill="1"/>
    <xf numFmtId="0" fontId="390" fillId="29" borderId="0" xfId="0" applyFont="1" applyFill="1"/>
    <xf numFmtId="0" fontId="390" fillId="1294" borderId="0" xfId="0" applyFont="1" applyFill="1"/>
    <xf numFmtId="0" fontId="390" fillId="1295" borderId="0" xfId="0" applyFont="1" applyFill="1"/>
    <xf numFmtId="0" fontId="390" fillId="1296" borderId="0" xfId="0" applyFont="1" applyFill="1"/>
    <xf numFmtId="0" fontId="390" fillId="1297" borderId="0" xfId="0" applyFont="1" applyFill="1"/>
    <xf numFmtId="0" fontId="390" fillId="1298" borderId="0" xfId="0" applyFont="1" applyFill="1"/>
    <xf numFmtId="0" fontId="390" fillId="1299" borderId="0" xfId="0" applyFont="1" applyFill="1"/>
    <xf numFmtId="0" fontId="390" fillId="1300" borderId="0" xfId="0" applyFont="1" applyFill="1"/>
    <xf numFmtId="0" fontId="390" fillId="1301" borderId="0" xfId="0" applyFont="1" applyFill="1"/>
    <xf numFmtId="0" fontId="390" fillId="1302" borderId="0" xfId="0" applyFont="1" applyFill="1"/>
    <xf numFmtId="0" fontId="390" fillId="1303" borderId="0" xfId="0" applyFont="1" applyFill="1"/>
    <xf numFmtId="0" fontId="390" fillId="716" borderId="0" xfId="0" applyFont="1" applyFill="1"/>
    <xf numFmtId="0" fontId="390" fillId="1304" borderId="0" xfId="0" applyFont="1" applyFill="1"/>
    <xf numFmtId="0" fontId="390" fillId="1305" borderId="0" xfId="0" applyFont="1" applyFill="1"/>
    <xf numFmtId="0" fontId="390" fillId="1306" borderId="0" xfId="0" applyFont="1" applyFill="1"/>
    <xf numFmtId="0" fontId="390" fillId="1307" borderId="0" xfId="0" applyFont="1" applyFill="1"/>
    <xf numFmtId="0" fontId="390" fillId="1308" borderId="0" xfId="0" applyFont="1" applyFill="1"/>
    <xf numFmtId="0" fontId="390" fillId="1309" borderId="0" xfId="0" applyFont="1" applyFill="1"/>
    <xf numFmtId="0" fontId="390" fillId="1161" borderId="0" xfId="0" applyFont="1" applyFill="1"/>
    <xf numFmtId="0" fontId="390" fillId="1310" borderId="0" xfId="0" applyFont="1" applyFill="1"/>
    <xf numFmtId="0" fontId="390" fillId="1311" borderId="0" xfId="0" applyFont="1" applyFill="1"/>
    <xf numFmtId="0" fontId="390" fillId="1312" borderId="0" xfId="0" applyFont="1" applyFill="1"/>
    <xf numFmtId="0" fontId="390" fillId="1313" borderId="0" xfId="0" applyFont="1" applyFill="1"/>
    <xf numFmtId="0" fontId="390" fillId="1314" borderId="0" xfId="0" applyFont="1" applyFill="1"/>
    <xf numFmtId="0" fontId="390" fillId="1315" borderId="0" xfId="0" applyFont="1" applyFill="1"/>
    <xf numFmtId="0" fontId="390" fillId="1316" borderId="0" xfId="0" applyFont="1" applyFill="1"/>
    <xf numFmtId="0" fontId="390" fillId="1317" borderId="0" xfId="0" applyFont="1" applyFill="1"/>
    <xf numFmtId="0" fontId="390" fillId="1318" borderId="0" xfId="0" applyFont="1" applyFill="1"/>
    <xf numFmtId="0" fontId="390" fillId="1319" borderId="0" xfId="0" applyFont="1" applyFill="1"/>
    <xf numFmtId="0" fontId="390" fillId="1320" borderId="0" xfId="0" applyFont="1" applyFill="1"/>
    <xf numFmtId="0" fontId="390" fillId="1321" borderId="0" xfId="0" applyFont="1" applyFill="1"/>
    <xf numFmtId="0" fontId="390" fillId="1322" borderId="0" xfId="0" applyFont="1" applyFill="1"/>
    <xf numFmtId="0" fontId="390" fillId="1323" borderId="0" xfId="0" applyFont="1" applyFill="1"/>
    <xf numFmtId="0" fontId="390" fillId="1324" borderId="0" xfId="0" applyFont="1" applyFill="1"/>
    <xf numFmtId="0" fontId="390" fillId="1325" borderId="0" xfId="0" applyFont="1" applyFill="1"/>
    <xf numFmtId="0" fontId="390" fillId="1326" borderId="0" xfId="0" applyFont="1" applyFill="1"/>
    <xf numFmtId="0" fontId="390" fillId="1327" borderId="0" xfId="0" applyFont="1" applyFill="1"/>
    <xf numFmtId="0" fontId="390" fillId="1328" borderId="0" xfId="0" applyFont="1" applyFill="1"/>
    <xf numFmtId="0" fontId="390" fillId="1329" borderId="0" xfId="0" applyFont="1" applyFill="1"/>
    <xf numFmtId="0" fontId="390" fillId="1330" borderId="0" xfId="0" applyFont="1" applyFill="1"/>
    <xf numFmtId="0" fontId="390" fillId="1331" borderId="0" xfId="0" applyFont="1" applyFill="1"/>
    <xf numFmtId="0" fontId="390" fillId="1332" borderId="0" xfId="0" applyFont="1" applyFill="1"/>
    <xf numFmtId="0" fontId="390" fillId="1333" borderId="0" xfId="0" applyFont="1" applyFill="1"/>
    <xf numFmtId="0" fontId="390" fillId="1334" borderId="0" xfId="0" applyFont="1" applyFill="1"/>
    <xf numFmtId="0" fontId="390" fillId="1335" borderId="0" xfId="0" applyFont="1" applyFill="1"/>
    <xf numFmtId="0" fontId="390" fillId="1336" borderId="0" xfId="0" applyFont="1" applyFill="1"/>
    <xf numFmtId="0" fontId="390" fillId="1337" borderId="0" xfId="0" applyFont="1" applyFill="1"/>
    <xf numFmtId="0" fontId="390" fillId="1338" borderId="0" xfId="0" applyFont="1" applyFill="1"/>
    <xf numFmtId="0" fontId="390" fillId="1339" borderId="0" xfId="0" applyFont="1" applyFill="1"/>
    <xf numFmtId="0" fontId="390" fillId="1340" borderId="0" xfId="0" applyFont="1" applyFill="1"/>
    <xf numFmtId="0" fontId="390" fillId="1341" borderId="0" xfId="0" applyFont="1" applyFill="1"/>
    <xf numFmtId="0" fontId="390" fillId="1342" borderId="0" xfId="0" applyFont="1" applyFill="1"/>
    <xf numFmtId="0" fontId="390" fillId="1343" borderId="0" xfId="0" applyFont="1" applyFill="1"/>
    <xf numFmtId="0" fontId="390" fillId="1344" borderId="0" xfId="0" applyFont="1" applyFill="1"/>
    <xf numFmtId="0" fontId="390" fillId="1345" borderId="0" xfId="0" applyFont="1" applyFill="1"/>
    <xf numFmtId="0" fontId="390" fillId="1346" borderId="0" xfId="0" applyFont="1" applyFill="1"/>
    <xf numFmtId="0" fontId="390" fillId="1347" borderId="0" xfId="0" applyFont="1" applyFill="1"/>
    <xf numFmtId="0" fontId="390" fillId="1348" borderId="0" xfId="0" applyFont="1" applyFill="1"/>
    <xf numFmtId="0" fontId="390" fillId="1349" borderId="0" xfId="0" applyFont="1" applyFill="1"/>
    <xf numFmtId="0" fontId="390" fillId="1350" borderId="0" xfId="0" applyFont="1" applyFill="1"/>
    <xf numFmtId="0" fontId="390" fillId="1351" borderId="0" xfId="0" applyFont="1" applyFill="1"/>
    <xf numFmtId="0" fontId="390" fillId="1352" borderId="0" xfId="0" applyFont="1" applyFill="1"/>
    <xf numFmtId="0" fontId="390" fillId="1353" borderId="0" xfId="0" applyFont="1" applyFill="1"/>
    <xf numFmtId="0" fontId="390" fillId="1354" borderId="0" xfId="0" applyFont="1" applyFill="1"/>
    <xf numFmtId="0" fontId="390" fillId="1355" borderId="0" xfId="0" applyFont="1" applyFill="1"/>
    <xf numFmtId="0" fontId="390" fillId="1356" borderId="0" xfId="0" applyFont="1" applyFill="1"/>
    <xf numFmtId="0" fontId="390" fillId="1357" borderId="0" xfId="0" applyFont="1" applyFill="1"/>
    <xf numFmtId="0" fontId="390" fillId="1358" borderId="0" xfId="0" applyFont="1" applyFill="1"/>
    <xf numFmtId="0" fontId="390" fillId="1359" borderId="0" xfId="0" applyFont="1" applyFill="1"/>
    <xf numFmtId="0" fontId="390" fillId="1360" borderId="0" xfId="0" applyFont="1" applyFill="1"/>
    <xf numFmtId="0" fontId="390" fillId="1361" borderId="0" xfId="0" applyFont="1" applyFill="1"/>
    <xf numFmtId="0" fontId="390" fillId="1362" borderId="0" xfId="0" applyFont="1" applyFill="1"/>
    <xf numFmtId="0" fontId="390" fillId="1363" borderId="0" xfId="0" applyFont="1" applyFill="1"/>
    <xf numFmtId="0" fontId="390" fillId="1364" borderId="0" xfId="0" applyFont="1" applyFill="1"/>
    <xf numFmtId="0" fontId="390" fillId="1365" borderId="0" xfId="0" applyFont="1" applyFill="1"/>
    <xf numFmtId="0" fontId="390" fillId="1366" borderId="0" xfId="0" applyFont="1" applyFill="1"/>
    <xf numFmtId="0" fontId="390" fillId="1367" borderId="0" xfId="0" applyFont="1" applyFill="1"/>
    <xf numFmtId="0" fontId="390" fillId="1368" borderId="0" xfId="0" applyFont="1" applyFill="1"/>
    <xf numFmtId="0" fontId="390" fillId="1369" borderId="0" xfId="0" applyFont="1" applyFill="1"/>
    <xf numFmtId="0" fontId="390" fillId="1370" borderId="0" xfId="0" applyFont="1" applyFill="1"/>
    <xf numFmtId="0" fontId="390" fillId="1371" borderId="0" xfId="0" applyFont="1" applyFill="1"/>
    <xf numFmtId="0" fontId="390" fillId="1372" borderId="0" xfId="0" applyFont="1" applyFill="1"/>
    <xf numFmtId="0" fontId="390" fillId="1373" borderId="0" xfId="0" applyFont="1" applyFill="1"/>
    <xf numFmtId="0" fontId="390" fillId="1374" borderId="0" xfId="0" applyFont="1" applyFill="1"/>
    <xf numFmtId="0" fontId="390" fillId="1375" borderId="0" xfId="0" applyFont="1" applyFill="1"/>
    <xf numFmtId="0" fontId="390" fillId="1376" borderId="0" xfId="0" applyFont="1" applyFill="1"/>
    <xf numFmtId="0" fontId="390" fillId="1377" borderId="0" xfId="0" applyFont="1" applyFill="1"/>
    <xf numFmtId="0" fontId="390" fillId="1378" borderId="0" xfId="0" applyFont="1" applyFill="1"/>
    <xf numFmtId="0" fontId="390" fillId="1379" borderId="0" xfId="0" applyFont="1" applyFill="1"/>
    <xf numFmtId="0" fontId="390" fillId="1380" borderId="0" xfId="0" applyFont="1" applyFill="1"/>
    <xf numFmtId="0" fontId="390" fillId="1381" borderId="0" xfId="0" applyFont="1" applyFill="1"/>
    <xf numFmtId="0" fontId="390" fillId="1382" borderId="0" xfId="0" applyFont="1" applyFill="1"/>
    <xf numFmtId="0" fontId="390" fillId="1383" borderId="0" xfId="0" applyFont="1" applyFill="1"/>
    <xf numFmtId="0" fontId="390" fillId="1384" borderId="0" xfId="0" applyFont="1" applyFill="1"/>
    <xf numFmtId="0" fontId="390" fillId="1385" borderId="0" xfId="0" applyFont="1" applyFill="1"/>
    <xf numFmtId="0" fontId="390" fillId="1386" borderId="0" xfId="0" applyFont="1" applyFill="1"/>
    <xf numFmtId="0" fontId="390" fillId="1387" borderId="0" xfId="0" applyFont="1" applyFill="1"/>
    <xf numFmtId="0" fontId="390" fillId="214" borderId="0" xfId="0" applyFont="1" applyFill="1"/>
    <xf numFmtId="0" fontId="390" fillId="1388" borderId="0" xfId="0" applyFont="1" applyFill="1"/>
    <xf numFmtId="0" fontId="390" fillId="1389" borderId="0" xfId="0" applyFont="1" applyFill="1"/>
    <xf numFmtId="0" fontId="390" fillId="1390" borderId="0" xfId="0" applyFont="1" applyFill="1"/>
    <xf numFmtId="0" fontId="390" fillId="1391" borderId="0" xfId="0" applyFont="1" applyFill="1"/>
    <xf numFmtId="0" fontId="390" fillId="1392" borderId="0" xfId="0" applyFont="1" applyFill="1"/>
    <xf numFmtId="0" fontId="390" fillId="1393" borderId="0" xfId="0" applyFont="1" applyFill="1"/>
    <xf numFmtId="0" fontId="390" fillId="1394" borderId="0" xfId="0" applyFont="1" applyFill="1"/>
    <xf numFmtId="0" fontId="390" fillId="1395" borderId="0" xfId="0" applyFont="1" applyFill="1"/>
    <xf numFmtId="0" fontId="390" fillId="1396" borderId="0" xfId="0" applyFont="1" applyFill="1"/>
    <xf numFmtId="0" fontId="390" fillId="1397" borderId="0" xfId="0" applyFont="1" applyFill="1"/>
    <xf numFmtId="0" fontId="390" fillId="1398" borderId="0" xfId="0" applyFont="1" applyFill="1"/>
    <xf numFmtId="0" fontId="390" fillId="1399" borderId="0" xfId="0" applyFont="1" applyFill="1"/>
    <xf numFmtId="0" fontId="390" fillId="1400" borderId="0" xfId="0" applyFont="1" applyFill="1"/>
    <xf numFmtId="0" fontId="390" fillId="1401" borderId="0" xfId="0" applyFont="1" applyFill="1"/>
    <xf numFmtId="0" fontId="390" fillId="1402" borderId="0" xfId="0" applyFont="1" applyFill="1"/>
    <xf numFmtId="0" fontId="390" fillId="1403" borderId="0" xfId="0" applyFont="1" applyFill="1"/>
    <xf numFmtId="0" fontId="390" fillId="1404" borderId="0" xfId="0" applyFont="1" applyFill="1"/>
    <xf numFmtId="0" fontId="390" fillId="1405" borderId="0" xfId="0" applyFont="1" applyFill="1"/>
    <xf numFmtId="0" fontId="390" fillId="1406" borderId="0" xfId="0" applyFont="1" applyFill="1"/>
    <xf numFmtId="0" fontId="390" fillId="1407" borderId="0" xfId="0" applyFont="1" applyFill="1"/>
    <xf numFmtId="0" fontId="390" fillId="1408" borderId="0" xfId="0" applyFont="1" applyFill="1"/>
    <xf numFmtId="0" fontId="390" fillId="1409" borderId="0" xfId="0" applyFont="1" applyFill="1"/>
    <xf numFmtId="0" fontId="390" fillId="1410" borderId="0" xfId="0" applyFont="1" applyFill="1"/>
    <xf numFmtId="0" fontId="390" fillId="1411" borderId="0" xfId="0" applyFont="1" applyFill="1"/>
    <xf numFmtId="0" fontId="390" fillId="1412" borderId="0" xfId="0" applyFont="1" applyFill="1"/>
    <xf numFmtId="0" fontId="390" fillId="1413" borderId="0" xfId="0" applyFont="1" applyFill="1"/>
    <xf numFmtId="0" fontId="390" fillId="1414" borderId="0" xfId="0" applyFont="1" applyFill="1"/>
    <xf numFmtId="0" fontId="390" fillId="1415" borderId="0" xfId="0" applyFont="1" applyFill="1"/>
    <xf numFmtId="0" fontId="390" fillId="1416" borderId="0" xfId="0" applyFont="1" applyFill="1"/>
    <xf numFmtId="0" fontId="390" fillId="1417" borderId="0" xfId="0" applyFont="1" applyFill="1"/>
    <xf numFmtId="0" fontId="390" fillId="1418" borderId="0" xfId="0" applyFont="1" applyFill="1"/>
    <xf numFmtId="0" fontId="390" fillId="1419" borderId="0" xfId="0" applyFont="1" applyFill="1"/>
    <xf numFmtId="0" fontId="390" fillId="1420" borderId="0" xfId="0" applyFont="1" applyFill="1"/>
    <xf numFmtId="0" fontId="390" fillId="1421" borderId="0" xfId="0" applyFont="1" applyFill="1"/>
    <xf numFmtId="0" fontId="390" fillId="1422" borderId="0" xfId="0" applyFont="1" applyFill="1"/>
    <xf numFmtId="0" fontId="390" fillId="1133" borderId="0" xfId="0" applyFont="1" applyFill="1"/>
    <xf numFmtId="0" fontId="390" fillId="1423" borderId="0" xfId="0" applyFont="1" applyFill="1"/>
    <xf numFmtId="0" fontId="390" fillId="1424" borderId="0" xfId="0" applyFont="1" applyFill="1"/>
    <xf numFmtId="0" fontId="390" fillId="1425" borderId="0" xfId="0" applyFont="1" applyFill="1"/>
    <xf numFmtId="0" fontId="390" fillId="1426" borderId="0" xfId="0" applyFont="1" applyFill="1"/>
    <xf numFmtId="0" fontId="390" fillId="1427" borderId="0" xfId="0" applyFont="1" applyFill="1"/>
    <xf numFmtId="0" fontId="390" fillId="1428" borderId="0" xfId="0" applyFont="1" applyFill="1"/>
    <xf numFmtId="0" fontId="390" fillId="1429" borderId="0" xfId="0" applyFont="1" applyFill="1"/>
    <xf numFmtId="0" fontId="390" fillId="1430" borderId="0" xfId="0" applyFont="1" applyFill="1"/>
    <xf numFmtId="0" fontId="390" fillId="1431" borderId="0" xfId="0" applyFont="1" applyFill="1"/>
    <xf numFmtId="0" fontId="390" fillId="1432" borderId="0" xfId="0" applyFont="1" applyFill="1"/>
    <xf numFmtId="0" fontId="390" fillId="1433" borderId="0" xfId="0" applyFont="1" applyFill="1"/>
    <xf numFmtId="0" fontId="390" fillId="1434" borderId="0" xfId="0" applyFont="1" applyFill="1"/>
    <xf numFmtId="0" fontId="390" fillId="1435" borderId="0" xfId="0" applyFont="1" applyFill="1"/>
    <xf numFmtId="0" fontId="390" fillId="1436" borderId="0" xfId="0" applyFont="1" applyFill="1"/>
    <xf numFmtId="0" fontId="390" fillId="1437" borderId="0" xfId="0" applyFont="1" applyFill="1"/>
    <xf numFmtId="0" fontId="390" fillId="1438" borderId="0" xfId="0" applyFont="1" applyFill="1"/>
    <xf numFmtId="0" fontId="390" fillId="1439" borderId="0" xfId="0" applyFont="1" applyFill="1"/>
    <xf numFmtId="0" fontId="390" fillId="1440" borderId="0" xfId="0" applyFont="1" applyFill="1"/>
    <xf numFmtId="0" fontId="390" fillId="1441" borderId="0" xfId="0" applyFont="1" applyFill="1"/>
    <xf numFmtId="0" fontId="390" fillId="1442" borderId="0" xfId="0" applyFont="1" applyFill="1"/>
    <xf numFmtId="0" fontId="390" fillId="1443" borderId="0" xfId="0" applyFont="1" applyFill="1"/>
    <xf numFmtId="0" fontId="390" fillId="1444" borderId="0" xfId="0" applyFont="1" applyFill="1"/>
    <xf numFmtId="0" fontId="390" fillId="1445" borderId="0" xfId="0" applyFont="1" applyFill="1"/>
    <xf numFmtId="0" fontId="390" fillId="1446" borderId="0" xfId="0" applyFont="1" applyFill="1"/>
    <xf numFmtId="0" fontId="390" fillId="1447" borderId="0" xfId="0" applyFont="1" applyFill="1"/>
    <xf numFmtId="0" fontId="390" fillId="1448" borderId="0" xfId="0" applyFont="1" applyFill="1"/>
    <xf numFmtId="0" fontId="390" fillId="1449" borderId="0" xfId="0" applyFont="1" applyFill="1"/>
    <xf numFmtId="0" fontId="390" fillId="1450" borderId="0" xfId="0" applyFont="1" applyFill="1"/>
    <xf numFmtId="0" fontId="390" fillId="1451" borderId="0" xfId="0" applyFont="1" applyFill="1"/>
    <xf numFmtId="0" fontId="390" fillId="1452" borderId="0" xfId="0" applyFont="1" applyFill="1"/>
    <xf numFmtId="0" fontId="390" fillId="1453" borderId="0" xfId="0" applyFont="1" applyFill="1"/>
    <xf numFmtId="0" fontId="390" fillId="1454" borderId="0" xfId="0" applyFont="1" applyFill="1"/>
    <xf numFmtId="0" fontId="390" fillId="1455" borderId="0" xfId="0" applyFont="1" applyFill="1"/>
    <xf numFmtId="0" fontId="390" fillId="1456" borderId="0" xfId="0" applyFont="1" applyFill="1"/>
    <xf numFmtId="0" fontId="390" fillId="1457" borderId="0" xfId="0" applyFont="1" applyFill="1"/>
    <xf numFmtId="0" fontId="390" fillId="1458" borderId="0" xfId="0" applyFont="1" applyFill="1"/>
    <xf numFmtId="0" fontId="390" fillId="1459" borderId="0" xfId="0" applyFont="1" applyFill="1"/>
    <xf numFmtId="0" fontId="390" fillId="1460" borderId="0" xfId="0" applyFont="1" applyFill="1"/>
    <xf numFmtId="0" fontId="390" fillId="1461" borderId="0" xfId="0" applyFont="1" applyFill="1"/>
    <xf numFmtId="0" fontId="390" fillId="1462" borderId="0" xfId="0" applyFont="1" applyFill="1"/>
    <xf numFmtId="0" fontId="390" fillId="1463" borderId="0" xfId="0" applyFont="1" applyFill="1"/>
    <xf numFmtId="0" fontId="390" fillId="1464" borderId="0" xfId="0" applyFont="1" applyFill="1"/>
    <xf numFmtId="0" fontId="390" fillId="1465" borderId="0" xfId="0" applyFont="1" applyFill="1"/>
    <xf numFmtId="0" fontId="390" fillId="1466" borderId="0" xfId="0" applyFont="1" applyFill="1"/>
    <xf numFmtId="0" fontId="390" fillId="1467" borderId="0" xfId="0" applyFont="1" applyFill="1"/>
    <xf numFmtId="0" fontId="390" fillId="1468" borderId="0" xfId="0" applyFont="1" applyFill="1"/>
    <xf numFmtId="0" fontId="390" fillId="1469" borderId="0" xfId="0" applyFont="1" applyFill="1"/>
    <xf numFmtId="0" fontId="390" fillId="1470" borderId="0" xfId="0" applyFont="1" applyFill="1"/>
    <xf numFmtId="0" fontId="390" fillId="1471" borderId="0" xfId="0" applyFont="1" applyFill="1"/>
    <xf numFmtId="0" fontId="390" fillId="1472" borderId="0" xfId="0" applyFont="1" applyFill="1"/>
    <xf numFmtId="0" fontId="390" fillId="1473" borderId="0" xfId="0" applyFont="1" applyFill="1"/>
    <xf numFmtId="0" fontId="390" fillId="1474" borderId="0" xfId="0" applyFont="1" applyFill="1"/>
    <xf numFmtId="0" fontId="390" fillId="1475" borderId="0" xfId="0" applyFont="1" applyFill="1"/>
    <xf numFmtId="0" fontId="390" fillId="1476" borderId="0" xfId="0" applyFont="1" applyFill="1"/>
    <xf numFmtId="0" fontId="390" fillId="1477" borderId="0" xfId="0" applyFont="1" applyFill="1"/>
    <xf numFmtId="0" fontId="390" fillId="59" borderId="0" xfId="0" applyFont="1" applyFill="1"/>
    <xf numFmtId="0" fontId="390" fillId="1478" borderId="0" xfId="0" applyFont="1" applyFill="1"/>
    <xf numFmtId="0" fontId="390" fillId="1479" borderId="0" xfId="0" applyFont="1" applyFill="1"/>
    <xf numFmtId="0" fontId="390" fillId="1480" borderId="0" xfId="0" applyFont="1" applyFill="1"/>
    <xf numFmtId="0" fontId="390" fillId="1481" borderId="0" xfId="0" applyFont="1" applyFill="1"/>
    <xf numFmtId="0" fontId="390" fillId="1482" borderId="0" xfId="0" applyFont="1" applyFill="1"/>
    <xf numFmtId="0" fontId="390" fillId="1483" borderId="0" xfId="0" applyFont="1" applyFill="1"/>
    <xf numFmtId="0" fontId="390" fillId="1484" borderId="0" xfId="0" applyFont="1" applyFill="1"/>
    <xf numFmtId="0" fontId="390" fillId="1485" borderId="0" xfId="0" applyFont="1" applyFill="1"/>
    <xf numFmtId="0" fontId="390" fillId="1486" borderId="0" xfId="0" applyFont="1" applyFill="1"/>
    <xf numFmtId="0" fontId="390" fillId="1487" borderId="0" xfId="0" applyFont="1" applyFill="1"/>
    <xf numFmtId="0" fontId="390" fillId="1488" borderId="0" xfId="0" applyFont="1" applyFill="1"/>
    <xf numFmtId="0" fontId="390" fillId="1489" borderId="0" xfId="0" applyFont="1" applyFill="1"/>
    <xf numFmtId="0" fontId="390" fillId="338" borderId="0" xfId="0" applyFont="1" applyFill="1"/>
    <xf numFmtId="0" fontId="390" fillId="1490" borderId="0" xfId="0" applyFont="1" applyFill="1"/>
    <xf numFmtId="0" fontId="390" fillId="1491" borderId="0" xfId="0" applyFont="1" applyFill="1"/>
    <xf numFmtId="0" fontId="390" fillId="1492" borderId="0" xfId="0" applyFont="1" applyFill="1"/>
    <xf numFmtId="0" fontId="390" fillId="1493" borderId="0" xfId="0" applyFont="1" applyFill="1"/>
    <xf numFmtId="0" fontId="390" fillId="1494" borderId="0" xfId="0" applyFont="1" applyFill="1"/>
    <xf numFmtId="0" fontId="390" fillId="1495" borderId="0" xfId="0" applyFont="1" applyFill="1"/>
    <xf numFmtId="0" fontId="390" fillId="1496" borderId="0" xfId="0" applyFont="1" applyFill="1"/>
    <xf numFmtId="0" fontId="390" fillId="1497" borderId="0" xfId="0" applyFont="1" applyFill="1"/>
    <xf numFmtId="0" fontId="390" fillId="1498" borderId="0" xfId="0" applyFont="1" applyFill="1"/>
    <xf numFmtId="0" fontId="390" fillId="1499" borderId="0" xfId="0" applyFont="1" applyFill="1"/>
    <xf numFmtId="0" fontId="390" fillId="1500" borderId="0" xfId="0" applyFont="1" applyFill="1"/>
    <xf numFmtId="0" fontId="390" fillId="1501" borderId="0" xfId="0" applyFont="1" applyFill="1"/>
    <xf numFmtId="0" fontId="390" fillId="1502" borderId="0" xfId="0" applyFont="1" applyFill="1"/>
    <xf numFmtId="0" fontId="390" fillId="1503" borderId="0" xfId="0" applyFont="1" applyFill="1"/>
    <xf numFmtId="0" fontId="390" fillId="1504" borderId="0" xfId="0" applyFont="1" applyFill="1"/>
    <xf numFmtId="0" fontId="390" fillId="1505" borderId="0" xfId="0" applyFont="1" applyFill="1"/>
    <xf numFmtId="0" fontId="390" fillId="1506" borderId="0" xfId="0" applyFont="1" applyFill="1"/>
    <xf numFmtId="0" fontId="390" fillId="1507" borderId="0" xfId="0" applyFont="1" applyFill="1"/>
    <xf numFmtId="0" fontId="390" fillId="1508" borderId="0" xfId="0" applyFont="1" applyFill="1"/>
    <xf numFmtId="0" fontId="390" fillId="1509" borderId="0" xfId="0" applyFont="1" applyFill="1"/>
    <xf numFmtId="0" fontId="390" fillId="1510" borderId="0" xfId="0" applyFont="1" applyFill="1"/>
    <xf numFmtId="0" fontId="390" fillId="1511" borderId="0" xfId="0" applyFont="1" applyFill="1"/>
    <xf numFmtId="0" fontId="390" fillId="1512" borderId="0" xfId="0" applyFont="1" applyFill="1"/>
    <xf numFmtId="0" fontId="390" fillId="1513" borderId="0" xfId="0" applyFont="1" applyFill="1"/>
    <xf numFmtId="0" fontId="390" fillId="1514" borderId="0" xfId="0" applyFont="1" applyFill="1"/>
    <xf numFmtId="0" fontId="390" fillId="1515" borderId="0" xfId="0" applyFont="1" applyFill="1"/>
    <xf numFmtId="0" fontId="390" fillId="1516" borderId="0" xfId="0" applyFont="1" applyFill="1"/>
    <xf numFmtId="0" fontId="390" fillId="1517" borderId="0" xfId="0" applyFont="1" applyFill="1"/>
    <xf numFmtId="0" fontId="390" fillId="1518" borderId="0" xfId="0" applyFont="1" applyFill="1"/>
    <xf numFmtId="0" fontId="390" fillId="1519" borderId="0" xfId="0" applyFont="1" applyFill="1"/>
    <xf numFmtId="0" fontId="390" fillId="1520" borderId="0" xfId="0" applyFont="1" applyFill="1"/>
    <xf numFmtId="0" fontId="390" fillId="1521" borderId="0" xfId="0" applyFont="1" applyFill="1"/>
    <xf numFmtId="0" fontId="390" fillId="1522" borderId="0" xfId="0" applyFont="1" applyFill="1"/>
    <xf numFmtId="0" fontId="390" fillId="1523" borderId="0" xfId="0" applyFont="1" applyFill="1"/>
    <xf numFmtId="0" fontId="390" fillId="1524" borderId="0" xfId="0" applyFont="1" applyFill="1"/>
    <xf numFmtId="0" fontId="390" fillId="1525" borderId="0" xfId="0" applyFont="1" applyFill="1"/>
    <xf numFmtId="0" fontId="390" fillId="1526" borderId="0" xfId="0" applyFont="1" applyFill="1"/>
    <xf numFmtId="0" fontId="390" fillId="1527" borderId="0" xfId="0" applyFont="1" applyFill="1"/>
    <xf numFmtId="0" fontId="390" fillId="1528" borderId="0" xfId="0" applyFont="1" applyFill="1"/>
    <xf numFmtId="0" fontId="390" fillId="1529" borderId="0" xfId="0" applyFont="1" applyFill="1"/>
    <xf numFmtId="0" fontId="390" fillId="1530" borderId="0" xfId="0" applyFont="1" applyFill="1"/>
    <xf numFmtId="0" fontId="390" fillId="1531" borderId="0" xfId="0" applyFont="1" applyFill="1"/>
    <xf numFmtId="0" fontId="390" fillId="1532" borderId="0" xfId="0" applyFont="1" applyFill="1"/>
    <xf numFmtId="0" fontId="390" fillId="1533" borderId="0" xfId="0" applyFont="1" applyFill="1"/>
    <xf numFmtId="0" fontId="390" fillId="1534" borderId="0" xfId="0" applyFont="1" applyFill="1"/>
    <xf numFmtId="0" fontId="390" fillId="1535" borderId="0" xfId="0" applyFont="1" applyFill="1"/>
    <xf numFmtId="0" fontId="390" fillId="1536" borderId="0" xfId="0" applyFont="1" applyFill="1"/>
    <xf numFmtId="0" fontId="390" fillId="1537" borderId="0" xfId="0" applyFont="1" applyFill="1"/>
    <xf numFmtId="0" fontId="390" fillId="1538" borderId="0" xfId="0" applyFont="1" applyFill="1"/>
    <xf numFmtId="0" fontId="390" fillId="1539" borderId="0" xfId="0" applyFont="1" applyFill="1"/>
    <xf numFmtId="0" fontId="390" fillId="1540" borderId="0" xfId="0" applyFont="1" applyFill="1"/>
    <xf numFmtId="0" fontId="390" fillId="1541" borderId="0" xfId="0" applyFont="1" applyFill="1"/>
    <xf numFmtId="0" fontId="390" fillId="1542" borderId="0" xfId="0" applyFont="1" applyFill="1"/>
    <xf numFmtId="0" fontId="390" fillId="1543" borderId="0" xfId="0" applyFont="1" applyFill="1"/>
    <xf numFmtId="0" fontId="390" fillId="1544" borderId="0" xfId="0" applyFont="1" applyFill="1"/>
    <xf numFmtId="0" fontId="390" fillId="1545" borderId="0" xfId="0" applyFont="1" applyFill="1"/>
    <xf numFmtId="0" fontId="390" fillId="1546" borderId="0" xfId="0" applyFont="1" applyFill="1"/>
    <xf numFmtId="0" fontId="390" fillId="1547" borderId="0" xfId="0" applyFont="1" applyFill="1"/>
    <xf numFmtId="0" fontId="390" fillId="1548" borderId="0" xfId="0" applyFont="1" applyFill="1"/>
    <xf numFmtId="0" fontId="390" fillId="1549" borderId="0" xfId="0" applyFont="1" applyFill="1"/>
    <xf numFmtId="0" fontId="390" fillId="1550" borderId="0" xfId="0" applyFont="1" applyFill="1"/>
    <xf numFmtId="0" fontId="390" fillId="1551" borderId="0" xfId="0" applyFont="1" applyFill="1"/>
    <xf numFmtId="0" fontId="390" fillId="1552" borderId="0" xfId="0" applyFont="1" applyFill="1"/>
    <xf numFmtId="0" fontId="390" fillId="1553" borderId="0" xfId="0" applyFont="1" applyFill="1"/>
    <xf numFmtId="0" fontId="390" fillId="1554" borderId="0" xfId="0" applyFont="1" applyFill="1"/>
    <xf numFmtId="0" fontId="390" fillId="1555" borderId="0" xfId="0" applyFont="1" applyFill="1"/>
    <xf numFmtId="0" fontId="390" fillId="1556" borderId="0" xfId="0" applyFont="1" applyFill="1"/>
    <xf numFmtId="0" fontId="390" fillId="117" borderId="0" xfId="0" applyFont="1" applyFill="1"/>
    <xf numFmtId="0" fontId="390" fillId="1557" borderId="0" xfId="0" applyFont="1" applyFill="1"/>
    <xf numFmtId="0" fontId="390" fillId="1558" borderId="0" xfId="0" applyFont="1" applyFill="1"/>
    <xf numFmtId="0" fontId="390" fillId="1559" borderId="0" xfId="0" applyFont="1" applyFill="1"/>
    <xf numFmtId="0" fontId="390" fillId="1560" borderId="0" xfId="0" applyFont="1" applyFill="1"/>
    <xf numFmtId="0" fontId="390" fillId="1561" borderId="0" xfId="0" applyFont="1" applyFill="1"/>
    <xf numFmtId="0" fontId="390" fillId="1562" borderId="0" xfId="0" applyFont="1" applyFill="1"/>
    <xf numFmtId="0" fontId="390" fillId="1563" borderId="0" xfId="0" applyFont="1" applyFill="1"/>
    <xf numFmtId="0" fontId="390" fillId="1564" borderId="0" xfId="0" applyFont="1" applyFill="1"/>
    <xf numFmtId="0" fontId="390" fillId="1565" borderId="0" xfId="0" applyFont="1" applyFill="1"/>
    <xf numFmtId="0" fontId="390" fillId="1566" borderId="0" xfId="0" applyFont="1" applyFill="1"/>
    <xf numFmtId="0" fontId="390" fillId="1567" borderId="0" xfId="0" applyFont="1" applyFill="1"/>
    <xf numFmtId="0" fontId="390" fillId="1568" borderId="0" xfId="0" applyFont="1" applyFill="1"/>
    <xf numFmtId="0" fontId="390" fillId="1569" borderId="0" xfId="0" applyFont="1" applyFill="1"/>
    <xf numFmtId="0" fontId="390" fillId="1570" borderId="0" xfId="0" applyFont="1" applyFill="1"/>
    <xf numFmtId="0" fontId="390" fillId="1571" borderId="0" xfId="0" applyFont="1" applyFill="1"/>
    <xf numFmtId="0" fontId="390" fillId="1572" borderId="0" xfId="0" applyFont="1" applyFill="1"/>
    <xf numFmtId="0" fontId="390" fillId="1573" borderId="0" xfId="0" applyFont="1" applyFill="1"/>
    <xf numFmtId="0" fontId="390" fillId="1574" borderId="0" xfId="0" applyFont="1" applyFill="1"/>
    <xf numFmtId="0" fontId="390" fillId="1575" borderId="0" xfId="0" applyFont="1" applyFill="1"/>
    <xf numFmtId="0" fontId="390" fillId="1576" borderId="0" xfId="0" applyFont="1" applyFill="1"/>
    <xf numFmtId="0" fontId="390" fillId="1577" borderId="0" xfId="0" applyFont="1" applyFill="1"/>
    <xf numFmtId="0" fontId="390" fillId="1578" borderId="0" xfId="0" applyFont="1" applyFill="1"/>
    <xf numFmtId="0" fontId="390" fillId="1579" borderId="0" xfId="0" applyFont="1" applyFill="1"/>
    <xf numFmtId="0" fontId="390" fillId="1580" borderId="0" xfId="0" applyFont="1" applyFill="1"/>
    <xf numFmtId="0" fontId="390" fillId="1581" borderId="0" xfId="0" applyFont="1" applyFill="1"/>
    <xf numFmtId="0" fontId="390" fillId="1582" borderId="0" xfId="0" applyFont="1" applyFill="1"/>
    <xf numFmtId="0" fontId="390" fillId="1583" borderId="0" xfId="0" applyFont="1" applyFill="1"/>
    <xf numFmtId="0" fontId="390" fillId="1584" borderId="0" xfId="0" applyFont="1" applyFill="1"/>
    <xf numFmtId="0" fontId="390" fillId="1585" borderId="0" xfId="0" applyFont="1" applyFill="1"/>
    <xf numFmtId="0" fontId="390" fillId="1586" borderId="0" xfId="0" applyFont="1" applyFill="1"/>
    <xf numFmtId="0" fontId="390" fillId="1587" borderId="0" xfId="0" applyFont="1" applyFill="1"/>
    <xf numFmtId="0" fontId="390" fillId="1588" borderId="0" xfId="0" applyFont="1" applyFill="1"/>
    <xf numFmtId="0" fontId="390" fillId="1589" borderId="0" xfId="0" applyFont="1" applyFill="1"/>
    <xf numFmtId="0" fontId="390" fillId="1590" borderId="0" xfId="0" applyFont="1" applyFill="1"/>
    <xf numFmtId="0" fontId="390" fillId="1591" borderId="0" xfId="0" applyFont="1" applyFill="1"/>
    <xf numFmtId="0" fontId="390" fillId="1592" borderId="0" xfId="0" applyFont="1" applyFill="1"/>
    <xf numFmtId="0" fontId="390" fillId="1593" borderId="0" xfId="0" applyFont="1" applyFill="1"/>
    <xf numFmtId="0" fontId="390" fillId="1594" borderId="0" xfId="0" applyFont="1" applyFill="1"/>
    <xf numFmtId="0" fontId="390" fillId="1595" borderId="0" xfId="0" applyFont="1" applyFill="1"/>
    <xf numFmtId="0" fontId="390" fillId="1596" borderId="0" xfId="0" applyFont="1" applyFill="1"/>
    <xf numFmtId="0" fontId="390" fillId="1597" borderId="0" xfId="0" applyFont="1" applyFill="1"/>
    <xf numFmtId="0" fontId="390" fillId="1598" borderId="0" xfId="0" applyFont="1" applyFill="1"/>
    <xf numFmtId="0" fontId="390" fillId="1599" borderId="0" xfId="0" applyFont="1" applyFill="1"/>
    <xf numFmtId="0" fontId="390" fillId="1600" borderId="0" xfId="0" applyFont="1" applyFill="1"/>
    <xf numFmtId="0" fontId="390" fillId="1601" borderId="0" xfId="0" applyFont="1" applyFill="1"/>
    <xf numFmtId="0" fontId="390" fillId="1602" borderId="0" xfId="0" applyFont="1" applyFill="1"/>
    <xf numFmtId="0" fontId="390" fillId="1603" borderId="0" xfId="0" applyFont="1" applyFill="1"/>
    <xf numFmtId="0" fontId="390" fillId="1604" borderId="0" xfId="0" applyFont="1" applyFill="1"/>
    <xf numFmtId="0" fontId="390" fillId="1605" borderId="0" xfId="0" applyFont="1" applyFill="1"/>
    <xf numFmtId="0" fontId="390" fillId="1606" borderId="0" xfId="0" applyFont="1" applyFill="1"/>
    <xf numFmtId="0" fontId="390" fillId="1607" borderId="0" xfId="0" applyFont="1" applyFill="1"/>
    <xf numFmtId="0" fontId="390" fillId="1608" borderId="0" xfId="0" applyFont="1" applyFill="1"/>
    <xf numFmtId="0" fontId="390" fillId="1609" borderId="0" xfId="0" applyFont="1" applyFill="1"/>
    <xf numFmtId="0" fontId="390" fillId="1610" borderId="0" xfId="0" applyFont="1" applyFill="1"/>
    <xf numFmtId="0" fontId="390" fillId="1611" borderId="0" xfId="0" applyFont="1" applyFill="1"/>
    <xf numFmtId="0" fontId="390" fillId="1612" borderId="0" xfId="0" applyFont="1" applyFill="1"/>
    <xf numFmtId="0" fontId="390" fillId="1613" borderId="0" xfId="0" applyFont="1" applyFill="1"/>
    <xf numFmtId="0" fontId="390" fillId="1614" borderId="0" xfId="0" applyFont="1" applyFill="1"/>
    <xf numFmtId="0" fontId="390" fillId="1615" borderId="0" xfId="0" applyFont="1" applyFill="1"/>
    <xf numFmtId="0" fontId="390" fillId="1616" borderId="0" xfId="0" applyFont="1" applyFill="1"/>
    <xf numFmtId="0" fontId="390" fillId="1617" borderId="0" xfId="0" applyFont="1" applyFill="1"/>
    <xf numFmtId="0" fontId="390" fillId="1618" borderId="0" xfId="0" applyFont="1" applyFill="1"/>
    <xf numFmtId="0" fontId="390" fillId="1619" borderId="0" xfId="0" applyFont="1" applyFill="1"/>
    <xf numFmtId="0" fontId="390" fillId="1620" borderId="0" xfId="0" applyFont="1" applyFill="1"/>
    <xf numFmtId="0" fontId="390" fillId="1621" borderId="0" xfId="0" applyFont="1" applyFill="1"/>
    <xf numFmtId="0" fontId="390" fillId="1622" borderId="0" xfId="0" applyFont="1" applyFill="1"/>
    <xf numFmtId="0" fontId="390" fillId="1623" borderId="0" xfId="0" applyFont="1" applyFill="1"/>
    <xf numFmtId="0" fontId="390" fillId="1624" borderId="0" xfId="0" applyFont="1" applyFill="1"/>
    <xf numFmtId="0" fontId="390" fillId="1625" borderId="0" xfId="0" applyFont="1" applyFill="1"/>
    <xf numFmtId="0" fontId="390" fillId="1626" borderId="0" xfId="0" applyFont="1" applyFill="1"/>
    <xf numFmtId="0" fontId="390" fillId="1627" borderId="0" xfId="0" applyFont="1" applyFill="1"/>
    <xf numFmtId="0" fontId="390" fillId="1628" borderId="0" xfId="0" applyFont="1" applyFill="1"/>
    <xf numFmtId="0" fontId="390" fillId="1629" borderId="0" xfId="0" applyFont="1" applyFill="1"/>
    <xf numFmtId="0" fontId="390" fillId="1630" borderId="0" xfId="0" applyFont="1" applyFill="1"/>
    <xf numFmtId="0" fontId="390" fillId="1631" borderId="0" xfId="0" applyFont="1" applyFill="1"/>
    <xf numFmtId="0" fontId="390" fillId="1632" borderId="0" xfId="0" applyFont="1" applyFill="1"/>
    <xf numFmtId="0" fontId="390" fillId="1633" borderId="0" xfId="0" applyFont="1" applyFill="1"/>
    <xf numFmtId="0" fontId="390" fillId="1634" borderId="0" xfId="0" applyFont="1" applyFill="1"/>
    <xf numFmtId="0" fontId="390" fillId="1635" borderId="0" xfId="0" applyFont="1" applyFill="1"/>
    <xf numFmtId="0" fontId="390" fillId="1636" borderId="0" xfId="0" applyFont="1" applyFill="1"/>
    <xf numFmtId="0" fontId="390" fillId="1637" borderId="0" xfId="0" applyFont="1" applyFill="1"/>
    <xf numFmtId="0" fontId="390" fillId="1638" borderId="0" xfId="0" applyFont="1" applyFill="1"/>
    <xf numFmtId="0" fontId="390" fillId="1639" borderId="0" xfId="0" applyFont="1" applyFill="1"/>
    <xf numFmtId="0" fontId="390" fillId="1640" borderId="0" xfId="0" applyFont="1" applyFill="1"/>
    <xf numFmtId="0" fontId="390" fillId="1641" borderId="0" xfId="0" applyFont="1" applyFill="1"/>
    <xf numFmtId="0" fontId="390" fillId="1642" borderId="0" xfId="0" applyFont="1" applyFill="1"/>
    <xf numFmtId="0" fontId="390" fillId="1643" borderId="0" xfId="0" applyFont="1" applyFill="1"/>
    <xf numFmtId="0" fontId="390" fillId="1644" borderId="0" xfId="0" applyFont="1" applyFill="1"/>
    <xf numFmtId="0" fontId="390" fillId="1645" borderId="0" xfId="0" applyFont="1" applyFill="1"/>
    <xf numFmtId="0" fontId="390" fillId="1646" borderId="0" xfId="0" applyFont="1" applyFill="1"/>
    <xf numFmtId="0" fontId="390" fillId="1647" borderId="0" xfId="0" applyFont="1" applyFill="1"/>
    <xf numFmtId="0" fontId="390" fillId="1648" borderId="0" xfId="0" applyFont="1" applyFill="1"/>
    <xf numFmtId="0" fontId="390" fillId="1649" borderId="0" xfId="0" applyFont="1" applyFill="1"/>
    <xf numFmtId="0" fontId="390" fillId="1650" borderId="0" xfId="0" applyFont="1" applyFill="1"/>
    <xf numFmtId="0" fontId="390" fillId="1651" borderId="0" xfId="0" applyFont="1" applyFill="1"/>
    <xf numFmtId="0" fontId="390" fillId="1652" borderId="0" xfId="0" applyFont="1" applyFill="1"/>
    <xf numFmtId="0" fontId="390" fillId="1653" borderId="0" xfId="0" applyFont="1" applyFill="1"/>
    <xf numFmtId="0" fontId="390" fillId="1654" borderId="0" xfId="0" applyFont="1" applyFill="1"/>
    <xf numFmtId="0" fontId="390" fillId="1655" borderId="0" xfId="0" applyFont="1" applyFill="1"/>
    <xf numFmtId="0" fontId="390" fillId="1656" borderId="0" xfId="0" applyFont="1" applyFill="1"/>
    <xf numFmtId="0" fontId="390" fillId="1657" borderId="0" xfId="0" applyFont="1" applyFill="1"/>
    <xf numFmtId="0" fontId="390" fillId="1658" borderId="0" xfId="0" applyFont="1" applyFill="1"/>
    <xf numFmtId="0" fontId="390" fillId="1659" borderId="0" xfId="0" applyFont="1" applyFill="1"/>
    <xf numFmtId="0" fontId="390" fillId="1660" borderId="0" xfId="0" applyFont="1" applyFill="1"/>
    <xf numFmtId="0" fontId="390" fillId="1661" borderId="0" xfId="0" applyFont="1" applyFill="1"/>
    <xf numFmtId="0" fontId="390" fillId="1662" borderId="0" xfId="0" applyFont="1" applyFill="1"/>
    <xf numFmtId="0" fontId="390" fillId="1663" borderId="0" xfId="0" applyFont="1" applyFill="1"/>
    <xf numFmtId="0" fontId="390" fillId="1664" borderId="0" xfId="0" applyFont="1" applyFill="1"/>
    <xf numFmtId="0" fontId="390" fillId="1665" borderId="0" xfId="0" applyFont="1" applyFill="1"/>
    <xf numFmtId="0" fontId="390" fillId="1666" borderId="0" xfId="0" applyFont="1" applyFill="1"/>
    <xf numFmtId="0" fontId="390" fillId="1667" borderId="0" xfId="0" applyFont="1" applyFill="1"/>
    <xf numFmtId="0" fontId="390" fillId="1668" borderId="0" xfId="0" applyFont="1" applyFill="1"/>
    <xf numFmtId="0" fontId="390" fillId="1669" borderId="0" xfId="0" applyFont="1" applyFill="1"/>
    <xf numFmtId="0" fontId="390" fillId="1670" borderId="0" xfId="0" applyFont="1" applyFill="1"/>
    <xf numFmtId="0" fontId="390" fillId="1671" borderId="0" xfId="0" applyFont="1" applyFill="1"/>
    <xf numFmtId="0" fontId="390" fillId="1672" borderId="0" xfId="0" applyFont="1" applyFill="1"/>
    <xf numFmtId="0" fontId="390" fillId="1673" borderId="0" xfId="0" applyFont="1" applyFill="1"/>
    <xf numFmtId="0" fontId="390" fillId="1674" borderId="0" xfId="0" applyFont="1" applyFill="1"/>
    <xf numFmtId="0" fontId="390" fillId="1675" borderId="0" xfId="0" applyFont="1" applyFill="1"/>
    <xf numFmtId="0" fontId="390" fillId="1676" borderId="0" xfId="0" applyFont="1" applyFill="1"/>
    <xf numFmtId="0" fontId="390" fillId="1677" borderId="0" xfId="0" applyFont="1" applyFill="1"/>
    <xf numFmtId="0" fontId="390" fillId="1678" borderId="0" xfId="0" applyFont="1" applyFill="1"/>
    <xf numFmtId="0" fontId="390" fillId="1679" borderId="0" xfId="0" applyFont="1" applyFill="1"/>
    <xf numFmtId="0" fontId="390" fillId="1680" borderId="0" xfId="0" applyFont="1" applyFill="1"/>
    <xf numFmtId="0" fontId="390" fillId="1681" borderId="0" xfId="0" applyFont="1" applyFill="1"/>
    <xf numFmtId="0" fontId="390" fillId="1682" borderId="0" xfId="0" applyFont="1" applyFill="1"/>
    <xf numFmtId="0" fontId="390" fillId="1683" borderId="0" xfId="0" applyFont="1" applyFill="1"/>
    <xf numFmtId="0" fontId="390" fillId="1684" borderId="0" xfId="0" applyFont="1" applyFill="1"/>
    <xf numFmtId="0" fontId="390" fillId="1685" borderId="0" xfId="0" applyFont="1" applyFill="1"/>
    <xf numFmtId="0" fontId="390" fillId="1686" borderId="0" xfId="0" applyFont="1" applyFill="1"/>
    <xf numFmtId="0" fontId="390" fillId="1687" borderId="0" xfId="0" applyFont="1" applyFill="1"/>
    <xf numFmtId="0" fontId="390" fillId="1688" borderId="0" xfId="0" applyFont="1" applyFill="1"/>
    <xf numFmtId="0" fontId="390" fillId="1689" borderId="0" xfId="0" applyFont="1" applyFill="1"/>
    <xf numFmtId="0" fontId="390" fillId="1690" borderId="0" xfId="0" applyFont="1" applyFill="1"/>
    <xf numFmtId="0" fontId="390" fillId="1691" borderId="0" xfId="0" applyFont="1" applyFill="1"/>
    <xf numFmtId="0" fontId="390" fillId="1692" borderId="0" xfId="0" applyFont="1" applyFill="1"/>
    <xf numFmtId="0" fontId="390" fillId="1693" borderId="0" xfId="0" applyFont="1" applyFill="1"/>
    <xf numFmtId="0" fontId="390" fillId="1694" borderId="0" xfId="0" applyFont="1" applyFill="1"/>
    <xf numFmtId="0" fontId="390" fillId="1695" borderId="0" xfId="0" applyFont="1" applyFill="1"/>
    <xf numFmtId="0" fontId="390" fillId="1696" borderId="0" xfId="0" applyFont="1" applyFill="1"/>
    <xf numFmtId="0" fontId="390" fillId="1697" borderId="0" xfId="0" applyFont="1" applyFill="1"/>
    <xf numFmtId="0" fontId="390" fillId="1698" borderId="0" xfId="0" applyFont="1" applyFill="1"/>
    <xf numFmtId="0" fontId="390" fillId="1699" borderId="0" xfId="0" applyFont="1" applyFill="1"/>
    <xf numFmtId="0" fontId="390" fillId="1700" borderId="0" xfId="0" applyFont="1" applyFill="1"/>
    <xf numFmtId="0" fontId="390" fillId="1701" borderId="0" xfId="0" applyFont="1" applyFill="1"/>
    <xf numFmtId="0" fontId="390" fillId="1702" borderId="0" xfId="0" applyFont="1" applyFill="1"/>
    <xf numFmtId="0" fontId="390" fillId="1703" borderId="0" xfId="0" applyFont="1" applyFill="1"/>
    <xf numFmtId="0" fontId="390" fillId="1704" borderId="0" xfId="0" applyFont="1" applyFill="1"/>
    <xf numFmtId="0" fontId="390" fillId="1705" borderId="0" xfId="0" applyFont="1" applyFill="1"/>
    <xf numFmtId="0" fontId="390" fillId="1706" borderId="0" xfId="0" applyFont="1" applyFill="1"/>
    <xf numFmtId="0" fontId="390" fillId="1707" borderId="0" xfId="0" applyFont="1" applyFill="1"/>
    <xf numFmtId="0" fontId="390" fillId="1708" borderId="0" xfId="0" applyFont="1" applyFill="1"/>
    <xf numFmtId="0" fontId="390" fillId="1709" borderId="0" xfId="0" applyFont="1" applyFill="1"/>
    <xf numFmtId="0" fontId="390" fillId="1710" borderId="0" xfId="0" applyFont="1" applyFill="1"/>
    <xf numFmtId="0" fontId="390" fillId="1711" borderId="0" xfId="0" applyFont="1" applyFill="1"/>
    <xf numFmtId="0" fontId="390" fillId="1712" borderId="0" xfId="0" applyFont="1" applyFill="1"/>
    <xf numFmtId="0" fontId="390" fillId="1713" borderId="0" xfId="0" applyFont="1" applyFill="1"/>
    <xf numFmtId="0" fontId="390" fillId="1714" borderId="0" xfId="0" applyFont="1" applyFill="1"/>
    <xf numFmtId="0" fontId="390" fillId="1715" borderId="0" xfId="0" applyFont="1" applyFill="1"/>
    <xf numFmtId="0" fontId="390" fillId="1716" borderId="0" xfId="0" applyFont="1" applyFill="1"/>
    <xf numFmtId="0" fontId="390" fillId="1717" borderId="0" xfId="0" applyFont="1" applyFill="1"/>
    <xf numFmtId="0" fontId="390" fillId="1718" borderId="0" xfId="0" applyFont="1" applyFill="1"/>
    <xf numFmtId="0" fontId="390" fillId="1719" borderId="0" xfId="0" applyFont="1" applyFill="1"/>
    <xf numFmtId="0" fontId="390" fillId="1720" borderId="0" xfId="0" applyFont="1" applyFill="1"/>
    <xf numFmtId="0" fontId="390" fillId="1721" borderId="0" xfId="0" applyFont="1" applyFill="1"/>
    <xf numFmtId="0" fontId="390" fillId="1722" borderId="0" xfId="0" applyFont="1" applyFill="1"/>
    <xf numFmtId="0" fontId="390" fillId="1723" borderId="0" xfId="0" applyFont="1" applyFill="1"/>
    <xf numFmtId="0" fontId="390" fillId="1724" borderId="0" xfId="0" applyFont="1" applyFill="1"/>
    <xf numFmtId="0" fontId="390" fillId="1725" borderId="0" xfId="0" applyFont="1" applyFill="1"/>
    <xf numFmtId="0" fontId="390" fillId="1726" borderId="0" xfId="0" applyFont="1" applyFill="1"/>
    <xf numFmtId="0" fontId="390" fillId="1727" borderId="0" xfId="0" applyFont="1" applyFill="1"/>
    <xf numFmtId="0" fontId="390" fillId="1728" borderId="0" xfId="0" applyFont="1" applyFill="1"/>
    <xf numFmtId="0" fontId="390" fillId="1729" borderId="0" xfId="0" applyFont="1" applyFill="1"/>
    <xf numFmtId="0" fontId="390" fillId="1730" borderId="0" xfId="0" applyFont="1" applyFill="1"/>
    <xf numFmtId="0" fontId="390" fillId="1731" borderId="0" xfId="0" applyFont="1" applyFill="1"/>
    <xf numFmtId="0" fontId="390" fillId="1732" borderId="0" xfId="0" applyFont="1" applyFill="1"/>
    <xf numFmtId="0" fontId="390" fillId="1733" borderId="0" xfId="0" applyFont="1" applyFill="1"/>
    <xf numFmtId="0" fontId="390" fillId="1734" borderId="0" xfId="0" applyFont="1" applyFill="1"/>
    <xf numFmtId="0" fontId="390" fillId="1735" borderId="0" xfId="0" applyFont="1" applyFill="1"/>
    <xf numFmtId="0" fontId="390" fillId="1736" borderId="0" xfId="0" applyFont="1" applyFill="1"/>
    <xf numFmtId="0" fontId="390" fillId="1737" borderId="0" xfId="0" applyFont="1" applyFill="1"/>
    <xf numFmtId="0" fontId="390" fillId="1738" borderId="0" xfId="0" applyFont="1" applyFill="1"/>
    <xf numFmtId="0" fontId="390" fillId="1739" borderId="0" xfId="0" applyFont="1" applyFill="1"/>
    <xf numFmtId="0" fontId="390" fillId="1740" borderId="0" xfId="0" applyFont="1" applyFill="1"/>
    <xf numFmtId="0" fontId="390" fillId="1741" borderId="0" xfId="0" applyFont="1" applyFill="1"/>
    <xf numFmtId="0" fontId="390" fillId="1742" borderId="0" xfId="0" applyFont="1" applyFill="1"/>
    <xf numFmtId="0" fontId="390" fillId="1743" borderId="0" xfId="0" applyFont="1" applyFill="1"/>
    <xf numFmtId="0" fontId="390" fillId="1744" borderId="0" xfId="0" applyFont="1" applyFill="1"/>
    <xf numFmtId="0" fontId="390" fillId="1745" borderId="0" xfId="0" applyFont="1" applyFill="1"/>
    <xf numFmtId="0" fontId="390" fillId="1746" borderId="0" xfId="0" applyFont="1" applyFill="1"/>
    <xf numFmtId="0" fontId="390" fillId="1747" borderId="0" xfId="0" applyFont="1" applyFill="1"/>
    <xf numFmtId="0" fontId="390" fillId="1748" borderId="0" xfId="0" applyFont="1" applyFill="1"/>
    <xf numFmtId="0" fontId="390" fillId="1749" borderId="0" xfId="0" applyFont="1" applyFill="1"/>
    <xf numFmtId="0" fontId="390" fillId="1750" borderId="0" xfId="0" applyFont="1" applyFill="1"/>
    <xf numFmtId="0" fontId="390" fillId="1751" borderId="0" xfId="0" applyFont="1" applyFill="1"/>
    <xf numFmtId="0" fontId="390" fillId="1752" borderId="0" xfId="0" applyFont="1" applyFill="1"/>
    <xf numFmtId="0" fontId="390" fillId="1753" borderId="0" xfId="0" applyFont="1" applyFill="1"/>
    <xf numFmtId="0" fontId="390" fillId="1754" borderId="0" xfId="0" applyFont="1" applyFill="1"/>
    <xf numFmtId="0" fontId="390" fillId="1755" borderId="0" xfId="0" applyFont="1" applyFill="1"/>
    <xf numFmtId="0" fontId="390" fillId="1756" borderId="0" xfId="0" applyFont="1" applyFill="1"/>
    <xf numFmtId="0" fontId="390" fillId="1757" borderId="0" xfId="0" applyFont="1" applyFill="1"/>
    <xf numFmtId="0" fontId="390" fillId="1758" borderId="0" xfId="0" applyFont="1" applyFill="1"/>
    <xf numFmtId="0" fontId="390" fillId="1759" borderId="0" xfId="0" applyFont="1" applyFill="1"/>
    <xf numFmtId="0" fontId="390" fillId="1760" borderId="0" xfId="0" applyFont="1" applyFill="1"/>
    <xf numFmtId="0" fontId="390" fillId="1761" borderId="0" xfId="0" applyFont="1" applyFill="1"/>
    <xf numFmtId="0" fontId="390" fillId="1762" borderId="0" xfId="0" applyFont="1" applyFill="1"/>
    <xf numFmtId="0" fontId="390" fillId="1763" borderId="0" xfId="0" applyFont="1" applyFill="1"/>
    <xf numFmtId="0" fontId="390" fillId="1764" borderId="0" xfId="0" applyFont="1" applyFill="1"/>
    <xf numFmtId="0" fontId="390" fillId="1765" borderId="0" xfId="0" applyFont="1" applyFill="1"/>
    <xf numFmtId="0" fontId="390" fillId="1766" borderId="0" xfId="0" applyFont="1" applyFill="1"/>
    <xf numFmtId="0" fontId="390" fillId="1767" borderId="0" xfId="0" applyFont="1" applyFill="1"/>
    <xf numFmtId="0" fontId="390" fillId="1768" borderId="0" xfId="0" applyFont="1" applyFill="1"/>
    <xf numFmtId="0" fontId="390" fillId="1769" borderId="0" xfId="0" applyFont="1" applyFill="1"/>
    <xf numFmtId="0" fontId="390" fillId="1770" borderId="0" xfId="0" applyFont="1" applyFill="1"/>
    <xf numFmtId="0" fontId="390" fillId="1771" borderId="0" xfId="0" applyFont="1" applyFill="1"/>
    <xf numFmtId="0" fontId="390" fillId="1772" borderId="0" xfId="0" applyFont="1" applyFill="1"/>
    <xf numFmtId="0" fontId="390" fillId="1773" borderId="0" xfId="0" applyFont="1" applyFill="1"/>
    <xf numFmtId="0" fontId="390" fillId="1774" borderId="0" xfId="0" applyFont="1" applyFill="1"/>
    <xf numFmtId="0" fontId="390" fillId="1775" borderId="0" xfId="0" applyFont="1" applyFill="1"/>
    <xf numFmtId="0" fontId="390" fillId="1776" borderId="0" xfId="0" applyFont="1" applyFill="1"/>
    <xf numFmtId="0" fontId="390" fillId="1777" borderId="0" xfId="0" applyFont="1" applyFill="1"/>
    <xf numFmtId="0" fontId="390" fillId="1778" borderId="0" xfId="0" applyFont="1" applyFill="1"/>
    <xf numFmtId="0" fontId="390" fillId="1779" borderId="0" xfId="0" applyFont="1" applyFill="1"/>
    <xf numFmtId="0" fontId="390" fillId="1780" borderId="0" xfId="0" applyFont="1" applyFill="1"/>
    <xf numFmtId="0" fontId="390" fillId="1781" borderId="0" xfId="0" applyFont="1" applyFill="1"/>
    <xf numFmtId="0" fontId="390" fillId="1782" borderId="0" xfId="0" applyFont="1" applyFill="1"/>
    <xf numFmtId="0" fontId="390" fillId="1783" borderId="0" xfId="0" applyFont="1" applyFill="1"/>
    <xf numFmtId="0" fontId="390" fillId="1784" borderId="0" xfId="0" applyFont="1" applyFill="1"/>
    <xf numFmtId="0" fontId="390" fillId="1000" borderId="0" xfId="0" applyFont="1" applyFill="1"/>
    <xf numFmtId="0" fontId="390" fillId="1785" borderId="0" xfId="0" applyFont="1" applyFill="1"/>
    <xf numFmtId="0" fontId="390" fillId="1786" borderId="0" xfId="0" applyFont="1" applyFill="1"/>
    <xf numFmtId="0" fontId="390" fillId="1787" borderId="0" xfId="0" applyFont="1" applyFill="1"/>
    <xf numFmtId="0" fontId="390" fillId="1788" borderId="0" xfId="0" applyFont="1" applyFill="1"/>
    <xf numFmtId="0" fontId="390" fillId="1789" borderId="0" xfId="0" applyFont="1" applyFill="1"/>
    <xf numFmtId="0" fontId="390" fillId="1790" borderId="0" xfId="0" applyFont="1" applyFill="1"/>
    <xf numFmtId="0" fontId="390" fillId="1791" borderId="0" xfId="0" applyFont="1" applyFill="1"/>
    <xf numFmtId="0" fontId="390" fillId="1792" borderId="0" xfId="0" applyFont="1" applyFill="1"/>
    <xf numFmtId="0" fontId="390" fillId="1793" borderId="0" xfId="0" applyFont="1" applyFill="1"/>
    <xf numFmtId="0" fontId="390" fillId="1794" borderId="0" xfId="0" applyFont="1" applyFill="1"/>
    <xf numFmtId="0" fontId="390" fillId="1795" borderId="0" xfId="0" applyFont="1" applyFill="1"/>
    <xf numFmtId="0" fontId="390" fillId="1796" borderId="0" xfId="0" applyFont="1" applyFill="1"/>
    <xf numFmtId="0" fontId="390" fillId="1797" borderId="0" xfId="0" applyFont="1" applyFill="1"/>
    <xf numFmtId="0" fontId="390" fillId="1798" borderId="0" xfId="0" applyFont="1" applyFill="1"/>
    <xf numFmtId="0" fontId="390" fillId="1799" borderId="0" xfId="0" applyFont="1" applyFill="1"/>
    <xf numFmtId="0" fontId="390" fillId="1800" borderId="0" xfId="0" applyFont="1" applyFill="1"/>
    <xf numFmtId="0" fontId="390" fillId="1801" borderId="0" xfId="0" applyFont="1" applyFill="1"/>
    <xf numFmtId="0" fontId="390" fillId="1802" borderId="0" xfId="0" applyFont="1" applyFill="1"/>
    <xf numFmtId="0" fontId="390" fillId="1803" borderId="0" xfId="0" applyFont="1" applyFill="1"/>
    <xf numFmtId="0" fontId="390" fillId="1804" borderId="0" xfId="0" applyFont="1" applyFill="1"/>
    <xf numFmtId="0" fontId="390" fillId="1805" borderId="0" xfId="0" applyFont="1" applyFill="1"/>
    <xf numFmtId="0" fontId="390" fillId="1806" borderId="0" xfId="0" applyFont="1" applyFill="1"/>
    <xf numFmtId="0" fontId="390" fillId="1807" borderId="0" xfId="0" applyFont="1" applyFill="1"/>
    <xf numFmtId="0" fontId="390" fillId="1808" borderId="0" xfId="0" applyFont="1" applyFill="1"/>
    <xf numFmtId="0" fontId="390" fillId="1809" borderId="0" xfId="0" applyFont="1" applyFill="1"/>
    <xf numFmtId="0" fontId="390" fillId="1810" borderId="0" xfId="0" applyFont="1" applyFill="1"/>
    <xf numFmtId="0" fontId="390" fillId="1811" borderId="0" xfId="0" applyFont="1" applyFill="1"/>
    <xf numFmtId="0" fontId="390" fillId="1812" borderId="0" xfId="0" applyFont="1" applyFill="1"/>
    <xf numFmtId="0" fontId="390" fillId="1813" borderId="0" xfId="0" applyFont="1" applyFill="1"/>
    <xf numFmtId="0" fontId="390" fillId="1814" borderId="0" xfId="0" applyFont="1" applyFill="1"/>
    <xf numFmtId="0" fontId="390" fillId="1815" borderId="0" xfId="0" applyFont="1" applyFill="1"/>
    <xf numFmtId="0" fontId="390" fillId="119" borderId="0" xfId="0" applyFont="1" applyFill="1"/>
    <xf numFmtId="0" fontId="390" fillId="1816" borderId="0" xfId="0" applyFont="1" applyFill="1"/>
    <xf numFmtId="0" fontId="390" fillId="1817" borderId="0" xfId="0" applyFont="1" applyFill="1"/>
    <xf numFmtId="0" fontId="390" fillId="1818" borderId="0" xfId="0" applyFont="1" applyFill="1"/>
    <xf numFmtId="0" fontId="390" fillId="1819" borderId="0" xfId="0" applyFont="1" applyFill="1"/>
    <xf numFmtId="0" fontId="390" fillId="1820" borderId="0" xfId="0" applyFont="1" applyFill="1"/>
    <xf numFmtId="0" fontId="390" fillId="1821" borderId="0" xfId="0" applyFont="1" applyFill="1"/>
    <xf numFmtId="0" fontId="390" fillId="1822" borderId="0" xfId="0" applyFont="1" applyFill="1"/>
    <xf numFmtId="0" fontId="390" fillId="1823" borderId="0" xfId="0" applyFont="1" applyFill="1"/>
    <xf numFmtId="0" fontId="390" fillId="1824" borderId="0" xfId="0" applyFont="1" applyFill="1"/>
    <xf numFmtId="0" fontId="390" fillId="1825" borderId="0" xfId="0" applyFont="1" applyFill="1"/>
    <xf numFmtId="0" fontId="390" fillId="1826" borderId="0" xfId="0" applyFont="1" applyFill="1"/>
    <xf numFmtId="0" fontId="390" fillId="1827" borderId="0" xfId="0" applyFont="1" applyFill="1"/>
    <xf numFmtId="0" fontId="390" fillId="1828" borderId="0" xfId="0" applyFont="1" applyFill="1"/>
    <xf numFmtId="0" fontId="390" fillId="1829" borderId="0" xfId="0" applyFont="1" applyFill="1"/>
    <xf numFmtId="0" fontId="390" fillId="1830" borderId="0" xfId="0" applyFont="1" applyFill="1"/>
    <xf numFmtId="0" fontId="390" fillId="1831" borderId="0" xfId="0" applyFont="1" applyFill="1"/>
    <xf numFmtId="0" fontId="390" fillId="1832" borderId="0" xfId="0" applyFont="1" applyFill="1"/>
    <xf numFmtId="0" fontId="390" fillId="1833" borderId="0" xfId="0" applyFont="1" applyFill="1"/>
    <xf numFmtId="0" fontId="390" fillId="1834" borderId="0" xfId="0" applyFont="1" applyFill="1"/>
    <xf numFmtId="0" fontId="390" fillId="1835" borderId="0" xfId="0" applyFont="1" applyFill="1"/>
    <xf numFmtId="0" fontId="390" fillId="1836" borderId="0" xfId="0" applyFont="1" applyFill="1"/>
    <xf numFmtId="0" fontId="390" fillId="1120" borderId="0" xfId="0" applyFont="1" applyFill="1"/>
    <xf numFmtId="0" fontId="390" fillId="1837" borderId="0" xfId="0" applyFont="1" applyFill="1"/>
    <xf numFmtId="0" fontId="390" fillId="1838" borderId="0" xfId="0" applyFont="1" applyFill="1"/>
    <xf numFmtId="0" fontId="390" fillId="1839" borderId="0" xfId="0" applyFont="1" applyFill="1"/>
    <xf numFmtId="0" fontId="390" fillId="1840" borderId="0" xfId="0" applyFont="1" applyFill="1"/>
    <xf numFmtId="0" fontId="390" fillId="1841" borderId="0" xfId="0" applyFont="1" applyFill="1"/>
    <xf numFmtId="0" fontId="390" fillId="1842" borderId="0" xfId="0" applyFont="1" applyFill="1"/>
    <xf numFmtId="0" fontId="390" fillId="1843" borderId="0" xfId="0" applyFont="1" applyFill="1"/>
    <xf numFmtId="0" fontId="390" fillId="1844" borderId="0" xfId="0" applyFont="1" applyFill="1"/>
    <xf numFmtId="0" fontId="390" fillId="1845" borderId="0" xfId="0" applyFont="1" applyFill="1"/>
    <xf numFmtId="0" fontId="390" fillId="1846" borderId="0" xfId="0" applyFont="1" applyFill="1"/>
    <xf numFmtId="0" fontId="390" fillId="1847" borderId="0" xfId="0" applyFont="1" applyFill="1"/>
    <xf numFmtId="0" fontId="390" fillId="1848" borderId="0" xfId="0" applyFont="1" applyFill="1"/>
    <xf numFmtId="0" fontId="390" fillId="1849" borderId="0" xfId="0" applyFont="1" applyFill="1"/>
    <xf numFmtId="0" fontId="390" fillId="1850" borderId="0" xfId="0" applyFont="1" applyFill="1"/>
    <xf numFmtId="0" fontId="390" fillId="1851" borderId="0" xfId="0" applyFont="1" applyFill="1"/>
    <xf numFmtId="0" fontId="390" fillId="1852" borderId="0" xfId="0" applyFont="1" applyFill="1"/>
    <xf numFmtId="0" fontId="390" fillId="1853" borderId="0" xfId="0" applyFont="1" applyFill="1"/>
    <xf numFmtId="0" fontId="390" fillId="1854" borderId="0" xfId="0" applyFont="1" applyFill="1"/>
    <xf numFmtId="0" fontId="390" fillId="1855" borderId="0" xfId="0" applyFont="1" applyFill="1"/>
    <xf numFmtId="0" fontId="390" fillId="1856" borderId="0" xfId="0" applyFont="1" applyFill="1"/>
    <xf numFmtId="0" fontId="390" fillId="1857" borderId="0" xfId="0" applyFont="1" applyFill="1"/>
    <xf numFmtId="0" fontId="390" fillId="1858" borderId="0" xfId="0" applyFont="1" applyFill="1"/>
    <xf numFmtId="0" fontId="390" fillId="1859" borderId="0" xfId="0" applyFont="1" applyFill="1"/>
    <xf numFmtId="0" fontId="390" fillId="1860" borderId="0" xfId="0" applyFont="1" applyFill="1"/>
    <xf numFmtId="0" fontId="390" fillId="1861" borderId="0" xfId="0" applyFont="1" applyFill="1"/>
    <xf numFmtId="0" fontId="390" fillId="1862" borderId="0" xfId="0" applyFont="1" applyFill="1"/>
    <xf numFmtId="0" fontId="390" fillId="1863" borderId="0" xfId="0" applyFont="1" applyFill="1"/>
    <xf numFmtId="0" fontId="390" fillId="1864" borderId="0" xfId="0" applyFont="1" applyFill="1"/>
    <xf numFmtId="0" fontId="390" fillId="1865" borderId="0" xfId="0" applyFont="1" applyFill="1"/>
    <xf numFmtId="0" fontId="390" fillId="1866" borderId="0" xfId="0" applyFont="1" applyFill="1"/>
    <xf numFmtId="0" fontId="390" fillId="1867" borderId="0" xfId="0" applyFont="1" applyFill="1"/>
    <xf numFmtId="0" fontId="390" fillId="1868" borderId="0" xfId="0" applyFont="1" applyFill="1"/>
    <xf numFmtId="0" fontId="390" fillId="1869" borderId="0" xfId="0" applyFont="1" applyFill="1"/>
    <xf numFmtId="0" fontId="390" fillId="1870" borderId="0" xfId="0" applyFont="1" applyFill="1"/>
    <xf numFmtId="0" fontId="390" fillId="1871" borderId="0" xfId="0" applyFont="1" applyFill="1"/>
    <xf numFmtId="0" fontId="390" fillId="1872" borderId="0" xfId="0" applyFont="1" applyFill="1"/>
    <xf numFmtId="0" fontId="390" fillId="1873" borderId="0" xfId="0" applyFont="1" applyFill="1"/>
    <xf numFmtId="0" fontId="390" fillId="1874" borderId="0" xfId="0" applyFont="1" applyFill="1"/>
    <xf numFmtId="0" fontId="390" fillId="1875" borderId="0" xfId="0" applyFont="1" applyFill="1"/>
    <xf numFmtId="0" fontId="390" fillId="1876" borderId="0" xfId="0" applyFont="1" applyFill="1"/>
    <xf numFmtId="0" fontId="390" fillId="1877" borderId="0" xfId="0" applyFont="1" applyFill="1"/>
    <xf numFmtId="0" fontId="390" fillId="1878" borderId="0" xfId="0" applyFont="1" applyFill="1"/>
    <xf numFmtId="0" fontId="390" fillId="1879" borderId="0" xfId="0" applyFont="1" applyFill="1"/>
    <xf numFmtId="0" fontId="390" fillId="1880" borderId="0" xfId="0" applyFont="1" applyFill="1"/>
    <xf numFmtId="0" fontId="390" fillId="1881" borderId="0" xfId="0" applyFont="1" applyFill="1"/>
    <xf numFmtId="0" fontId="390" fillId="1882" borderId="0" xfId="0" applyFont="1" applyFill="1"/>
    <xf numFmtId="0" fontId="390" fillId="1883" borderId="0" xfId="0" applyFont="1" applyFill="1"/>
    <xf numFmtId="0" fontId="390" fillId="1884" borderId="0" xfId="0" applyFont="1" applyFill="1"/>
    <xf numFmtId="0" fontId="390" fillId="1885" borderId="0" xfId="0" applyFont="1" applyFill="1"/>
    <xf numFmtId="0" fontId="390" fillId="1886" borderId="0" xfId="0" applyFont="1" applyFill="1"/>
    <xf numFmtId="0" fontId="390" fillId="1887" borderId="0" xfId="0" applyFont="1" applyFill="1"/>
    <xf numFmtId="0" fontId="390" fillId="1888" borderId="0" xfId="0" applyFont="1" applyFill="1"/>
    <xf numFmtId="0" fontId="390" fillId="1889" borderId="0" xfId="0" applyFont="1" applyFill="1"/>
    <xf numFmtId="0" fontId="390" fillId="1890" borderId="0" xfId="0" applyFont="1" applyFill="1"/>
    <xf numFmtId="0" fontId="390" fillId="1891" borderId="0" xfId="0" applyFont="1" applyFill="1"/>
    <xf numFmtId="0" fontId="390" fillId="1892" borderId="0" xfId="0" applyFont="1" applyFill="1"/>
    <xf numFmtId="0" fontId="390" fillId="1893" borderId="0" xfId="0" applyFont="1" applyFill="1"/>
    <xf numFmtId="0" fontId="390" fillId="1894" borderId="0" xfId="0" applyFont="1" applyFill="1"/>
    <xf numFmtId="0" fontId="390" fillId="1895" borderId="0" xfId="0" applyFont="1" applyFill="1"/>
    <xf numFmtId="0" fontId="390" fillId="1896" borderId="0" xfId="0" applyFont="1" applyFill="1"/>
    <xf numFmtId="0" fontId="390" fillId="1897" borderId="0" xfId="0" applyFont="1" applyFill="1"/>
    <xf numFmtId="0" fontId="390" fillId="1898" borderId="0" xfId="0" applyFont="1" applyFill="1"/>
    <xf numFmtId="0" fontId="390" fillId="1899" borderId="0" xfId="0" applyFont="1" applyFill="1"/>
    <xf numFmtId="0" fontId="390" fillId="1900" borderId="0" xfId="0" applyFont="1" applyFill="1"/>
    <xf numFmtId="0" fontId="390" fillId="1901" borderId="0" xfId="0" applyFont="1" applyFill="1"/>
    <xf numFmtId="0" fontId="390" fillId="1902" borderId="0" xfId="0" applyFont="1" applyFill="1"/>
    <xf numFmtId="0" fontId="390" fillId="1903" borderId="0" xfId="0" applyFont="1" applyFill="1"/>
    <xf numFmtId="0" fontId="390" fillId="1904" borderId="0" xfId="0" applyFont="1" applyFill="1"/>
    <xf numFmtId="0" fontId="390" fillId="1905" borderId="0" xfId="0" applyFont="1" applyFill="1"/>
    <xf numFmtId="0" fontId="390" fillId="1906" borderId="0" xfId="0" applyFont="1" applyFill="1"/>
    <xf numFmtId="0" fontId="390" fillId="116" borderId="0" xfId="0" applyFont="1" applyFill="1"/>
    <xf numFmtId="0" fontId="390" fillId="1907" borderId="0" xfId="0" applyFont="1" applyFill="1"/>
    <xf numFmtId="0" fontId="390" fillId="1908" borderId="0" xfId="0" applyFont="1" applyFill="1"/>
    <xf numFmtId="0" fontId="390" fillId="1909" borderId="0" xfId="0" applyFont="1" applyFill="1"/>
    <xf numFmtId="0" fontId="390" fillId="1910" borderId="0" xfId="0" applyFont="1" applyFill="1"/>
    <xf numFmtId="0" fontId="390" fillId="1911" borderId="0" xfId="0" applyFont="1" applyFill="1"/>
    <xf numFmtId="0" fontId="390" fillId="1912" borderId="0" xfId="0" applyFont="1" applyFill="1"/>
    <xf numFmtId="0" fontId="390" fillId="1913" borderId="0" xfId="0" applyFont="1" applyFill="1"/>
    <xf numFmtId="0" fontId="390" fillId="1914" borderId="0" xfId="0" applyFont="1" applyFill="1"/>
    <xf numFmtId="0" fontId="390" fillId="1915" borderId="0" xfId="0" applyFont="1" applyFill="1"/>
    <xf numFmtId="0" fontId="390" fillId="1916" borderId="0" xfId="0" applyFont="1" applyFill="1"/>
    <xf numFmtId="0" fontId="390" fillId="1917" borderId="0" xfId="0" applyFont="1" applyFill="1"/>
    <xf numFmtId="0" fontId="390" fillId="1918" borderId="0" xfId="0" applyFont="1" applyFill="1"/>
    <xf numFmtId="0" fontId="390" fillId="1919" borderId="0" xfId="0" applyFont="1" applyFill="1"/>
    <xf numFmtId="0" fontId="390" fillId="1920" borderId="0" xfId="0" applyFont="1" applyFill="1"/>
    <xf numFmtId="0" fontId="390" fillId="1921" borderId="0" xfId="0" applyFont="1" applyFill="1"/>
    <xf numFmtId="0" fontId="390" fillId="1922" borderId="0" xfId="0" applyFont="1" applyFill="1"/>
    <xf numFmtId="0" fontId="390" fillId="1923" borderId="0" xfId="0" applyFont="1" applyFill="1"/>
    <xf numFmtId="0" fontId="390" fillId="1924" borderId="0" xfId="0" applyFont="1" applyFill="1"/>
    <xf numFmtId="0" fontId="390" fillId="1925" borderId="0" xfId="0" applyFont="1" applyFill="1"/>
    <xf numFmtId="0" fontId="390" fillId="1926" borderId="0" xfId="0" applyFont="1" applyFill="1"/>
    <xf numFmtId="0" fontId="390" fillId="1927" borderId="0" xfId="0" applyFont="1" applyFill="1"/>
    <xf numFmtId="0" fontId="390" fillId="1928" borderId="0" xfId="0" applyFont="1" applyFill="1"/>
    <xf numFmtId="0" fontId="390" fillId="1929" borderId="0" xfId="0" applyFont="1" applyFill="1"/>
    <xf numFmtId="0" fontId="390" fillId="1930" borderId="0" xfId="0" applyFont="1" applyFill="1"/>
    <xf numFmtId="0" fontId="390" fillId="1931" borderId="0" xfId="0" applyFont="1" applyFill="1"/>
    <xf numFmtId="0" fontId="390" fillId="1932" borderId="0" xfId="0" applyFont="1" applyFill="1"/>
    <xf numFmtId="0" fontId="390" fillId="1933" borderId="0" xfId="0" applyFont="1" applyFill="1"/>
    <xf numFmtId="0" fontId="390" fillId="1934" borderId="0" xfId="0" applyFont="1" applyFill="1"/>
    <xf numFmtId="0" fontId="390" fillId="1935" borderId="0" xfId="0" applyFont="1" applyFill="1"/>
    <xf numFmtId="0" fontId="390" fillId="1936" borderId="0" xfId="0" applyFont="1" applyFill="1"/>
    <xf numFmtId="0" fontId="390" fillId="1937" borderId="0" xfId="0" applyFont="1" applyFill="1"/>
    <xf numFmtId="0" fontId="390" fillId="1938" borderId="0" xfId="0" applyFont="1" applyFill="1"/>
    <xf numFmtId="0" fontId="390" fillId="1939" borderId="0" xfId="0" applyFont="1" applyFill="1"/>
    <xf numFmtId="0" fontId="390" fillId="1940" borderId="0" xfId="0" applyFont="1" applyFill="1"/>
    <xf numFmtId="0" fontId="390" fillId="1941" borderId="0" xfId="0" applyFont="1" applyFill="1"/>
    <xf numFmtId="0" fontId="390" fillId="1942" borderId="0" xfId="0" applyFont="1" applyFill="1"/>
    <xf numFmtId="0" fontId="390" fillId="1943" borderId="0" xfId="0" applyFont="1" applyFill="1"/>
    <xf numFmtId="0" fontId="390" fillId="1944" borderId="0" xfId="0" applyFont="1" applyFill="1"/>
    <xf numFmtId="0" fontId="390" fillId="1945" borderId="0" xfId="0" applyFont="1" applyFill="1"/>
    <xf numFmtId="0" fontId="390" fillId="1946" borderId="0" xfId="0" applyFont="1" applyFill="1"/>
    <xf numFmtId="0" fontId="390" fillId="1947" borderId="0" xfId="0" applyFont="1" applyFill="1"/>
    <xf numFmtId="0" fontId="390" fillId="1948" borderId="0" xfId="0" applyFont="1" applyFill="1"/>
    <xf numFmtId="0" fontId="390" fillId="1949" borderId="0" xfId="0" applyFont="1" applyFill="1"/>
    <xf numFmtId="0" fontId="390" fillId="1950" borderId="0" xfId="0" applyFont="1" applyFill="1"/>
    <xf numFmtId="0" fontId="390" fillId="1951" borderId="0" xfId="0" applyFont="1" applyFill="1"/>
    <xf numFmtId="0" fontId="390" fillId="1952" borderId="0" xfId="0" applyFont="1" applyFill="1"/>
    <xf numFmtId="0" fontId="390" fillId="1953" borderId="0" xfId="0" applyFont="1" applyFill="1"/>
    <xf numFmtId="0" fontId="390" fillId="1954" borderId="0" xfId="0" applyFont="1" applyFill="1"/>
    <xf numFmtId="0" fontId="390" fillId="1955" borderId="0" xfId="0" applyFont="1" applyFill="1"/>
    <xf numFmtId="0" fontId="390" fillId="1956" borderId="0" xfId="0" applyFont="1" applyFill="1"/>
    <xf numFmtId="0" fontId="390" fillId="1957" borderId="0" xfId="0" applyFont="1" applyFill="1"/>
    <xf numFmtId="0" fontId="390" fillId="1958" borderId="0" xfId="0" applyFont="1" applyFill="1"/>
    <xf numFmtId="0" fontId="390" fillId="1959" borderId="0" xfId="0" applyFont="1" applyFill="1"/>
    <xf numFmtId="0" fontId="390" fillId="1960" borderId="0" xfId="0" applyFont="1" applyFill="1"/>
    <xf numFmtId="0" fontId="390" fillId="1961" borderId="0" xfId="0" applyFont="1" applyFill="1"/>
    <xf numFmtId="0" fontId="390" fillId="1962" borderId="0" xfId="0" applyFont="1" applyFill="1"/>
    <xf numFmtId="0" fontId="390" fillId="1963" borderId="0" xfId="0" applyFont="1" applyFill="1"/>
    <xf numFmtId="0" fontId="390" fillId="1964" borderId="0" xfId="0" applyFont="1" applyFill="1"/>
    <xf numFmtId="0" fontId="390" fillId="1965" borderId="0" xfId="0" applyFont="1" applyFill="1"/>
    <xf numFmtId="0" fontId="390" fillId="1966" borderId="0" xfId="0" applyFont="1" applyFill="1"/>
    <xf numFmtId="0" fontId="390" fillId="1967" borderId="0" xfId="0" applyFont="1" applyFill="1"/>
    <xf numFmtId="0" fontId="390" fillId="1968" borderId="0" xfId="0" applyFont="1" applyFill="1"/>
    <xf numFmtId="0" fontId="390" fillId="1969" borderId="0" xfId="0" applyFont="1" applyFill="1"/>
    <xf numFmtId="0" fontId="390" fillId="1970" borderId="0" xfId="0" applyFont="1" applyFill="1"/>
    <xf numFmtId="0" fontId="390" fillId="1971" borderId="0" xfId="0" applyFont="1" applyFill="1"/>
    <xf numFmtId="0" fontId="390" fillId="1972" borderId="0" xfId="0" applyFont="1" applyFill="1"/>
    <xf numFmtId="0" fontId="390" fillId="1973" borderId="0" xfId="0" applyFont="1" applyFill="1"/>
    <xf numFmtId="0" fontId="390" fillId="1974" borderId="0" xfId="0" applyFont="1" applyFill="1"/>
    <xf numFmtId="0" fontId="390" fillId="1975" borderId="0" xfId="0" applyFont="1" applyFill="1"/>
    <xf numFmtId="0" fontId="390" fillId="1976" borderId="0" xfId="0" applyFont="1" applyFill="1"/>
    <xf numFmtId="0" fontId="390" fillId="1977" borderId="0" xfId="0" applyFont="1" applyFill="1"/>
    <xf numFmtId="0" fontId="390" fillId="1978" borderId="0" xfId="0" applyFont="1" applyFill="1"/>
    <xf numFmtId="0" fontId="390" fillId="1979" borderId="0" xfId="0" applyFont="1" applyFill="1"/>
    <xf numFmtId="0" fontId="390" fillId="1980" borderId="0" xfId="0" applyFont="1" applyFill="1"/>
    <xf numFmtId="0" fontId="390" fillId="1981" borderId="0" xfId="0" applyFont="1" applyFill="1"/>
    <xf numFmtId="0" fontId="390" fillId="1982" borderId="0" xfId="0" applyFont="1" applyFill="1"/>
    <xf numFmtId="0" fontId="390" fillId="1983" borderId="0" xfId="0" applyFont="1" applyFill="1"/>
    <xf numFmtId="0" fontId="390" fillId="1984" borderId="0" xfId="0" applyFont="1" applyFill="1"/>
    <xf numFmtId="0" fontId="390" fillId="1985" borderId="0" xfId="0" applyFont="1" applyFill="1"/>
    <xf numFmtId="0" fontId="390" fillId="1986" borderId="0" xfId="0" applyFont="1" applyFill="1"/>
    <xf numFmtId="0" fontId="390" fillId="1987" borderId="0" xfId="0" applyFont="1" applyFill="1"/>
    <xf numFmtId="0" fontId="390" fillId="1988" borderId="0" xfId="0" applyFont="1" applyFill="1"/>
    <xf numFmtId="0" fontId="390" fillId="1989" borderId="0" xfId="0" applyFont="1" applyFill="1"/>
    <xf numFmtId="0" fontId="390" fillId="1990" borderId="0" xfId="0" applyFont="1" applyFill="1"/>
    <xf numFmtId="0" fontId="390" fillId="1991" borderId="0" xfId="0" applyFont="1" applyFill="1"/>
    <xf numFmtId="0" fontId="390" fillId="1992" borderId="0" xfId="0" applyFont="1" applyFill="1"/>
    <xf numFmtId="0" fontId="390" fillId="1993" borderId="0" xfId="0" applyFont="1" applyFill="1"/>
    <xf numFmtId="0" fontId="390" fillId="1994" borderId="0" xfId="0" applyFont="1" applyFill="1"/>
    <xf numFmtId="0" fontId="390" fillId="1995" borderId="0" xfId="0" applyFont="1" applyFill="1"/>
    <xf numFmtId="0" fontId="390" fillId="1996" borderId="0" xfId="0" applyFont="1" applyFill="1"/>
    <xf numFmtId="0" fontId="390" fillId="644" borderId="0" xfId="0" applyFont="1" applyFill="1"/>
    <xf numFmtId="0" fontId="390" fillId="191" borderId="0" xfId="0" applyFont="1" applyFill="1"/>
    <xf numFmtId="0" fontId="390" fillId="1997" borderId="0" xfId="0" applyFont="1" applyFill="1"/>
    <xf numFmtId="0" fontId="390" fillId="1998" borderId="0" xfId="0" applyFont="1" applyFill="1"/>
    <xf numFmtId="0" fontId="390" fillId="1999" borderId="0" xfId="0" applyFont="1" applyFill="1"/>
    <xf numFmtId="0" fontId="390" fillId="2000" borderId="0" xfId="0" applyFont="1" applyFill="1"/>
    <xf numFmtId="0" fontId="390" fillId="2001" borderId="0" xfId="0" applyFont="1" applyFill="1"/>
    <xf numFmtId="0" fontId="390" fillId="2002" borderId="0" xfId="0" applyFont="1" applyFill="1"/>
    <xf numFmtId="0" fontId="390" fillId="2003" borderId="0" xfId="0" applyFont="1" applyFill="1"/>
    <xf numFmtId="0" fontId="390" fillId="2004" borderId="0" xfId="0" applyFont="1" applyFill="1"/>
    <xf numFmtId="0" fontId="390" fillId="2005" borderId="0" xfId="0" applyFont="1" applyFill="1"/>
    <xf numFmtId="0" fontId="390" fillId="2006" borderId="0" xfId="0" applyFont="1" applyFill="1"/>
    <xf numFmtId="0" fontId="390" fillId="2007" borderId="0" xfId="0" applyFont="1" applyFill="1"/>
    <xf numFmtId="0" fontId="390" fillId="2008" borderId="0" xfId="0" applyFont="1" applyFill="1"/>
    <xf numFmtId="0" fontId="390" fillId="2009" borderId="0" xfId="0" applyFont="1" applyFill="1"/>
    <xf numFmtId="0" fontId="390" fillId="2010" borderId="0" xfId="0" applyFont="1" applyFill="1"/>
    <xf numFmtId="0" fontId="390" fillId="2011" borderId="0" xfId="0" applyFont="1" applyFill="1"/>
    <xf numFmtId="0" fontId="390" fillId="2012" borderId="0" xfId="0" applyFont="1" applyFill="1"/>
    <xf numFmtId="0" fontId="390" fillId="2013" borderId="0" xfId="0" applyFont="1" applyFill="1"/>
    <xf numFmtId="0" fontId="390" fillId="2014" borderId="0" xfId="0" applyFont="1" applyFill="1"/>
    <xf numFmtId="0" fontId="390" fillId="2015" borderId="0" xfId="0" applyFont="1" applyFill="1"/>
    <xf numFmtId="0" fontId="390" fillId="2016" borderId="0" xfId="0" applyFont="1" applyFill="1"/>
    <xf numFmtId="0" fontId="390" fillId="2017" borderId="0" xfId="0" applyFont="1" applyFill="1"/>
    <xf numFmtId="0" fontId="390" fillId="2018" borderId="0" xfId="0" applyFont="1" applyFill="1"/>
    <xf numFmtId="0" fontId="390" fillId="2019" borderId="0" xfId="0" applyFont="1" applyFill="1"/>
    <xf numFmtId="0" fontId="390" fillId="2020" borderId="0" xfId="0" applyFont="1" applyFill="1"/>
    <xf numFmtId="0" fontId="390" fillId="2021" borderId="0" xfId="0" applyFont="1" applyFill="1"/>
    <xf numFmtId="0" fontId="390" fillId="2022" borderId="0" xfId="0" applyFont="1" applyFill="1"/>
    <xf numFmtId="0" fontId="390" fillId="2023" borderId="0" xfId="0" applyFont="1" applyFill="1"/>
    <xf numFmtId="0" fontId="390" fillId="2024" borderId="0" xfId="0" applyFont="1" applyFill="1"/>
    <xf numFmtId="0" fontId="390" fillId="0" borderId="0" xfId="0" applyFont="1"/>
    <xf numFmtId="0" fontId="391" fillId="0" borderId="0" xfId="42" applyFont="1" applyAlignment="1">
      <alignment horizontal="left" indent="1"/>
    </xf>
    <xf numFmtId="0" fontId="391" fillId="0" borderId="0" xfId="42" applyFont="1" applyAlignment="1">
      <alignment horizontal="right" indent="1"/>
    </xf>
    <xf numFmtId="0" fontId="390" fillId="0" borderId="0" xfId="0" applyFont="1" applyAlignment="1">
      <alignment horizontal="right" indent="1"/>
    </xf>
    <xf numFmtId="0" fontId="390" fillId="2025" borderId="0" xfId="0" applyFont="1" applyFill="1"/>
    <xf numFmtId="0" fontId="390" fillId="2026" borderId="0" xfId="0" applyFont="1" applyFill="1"/>
    <xf numFmtId="0" fontId="391" fillId="0" borderId="367" xfId="42" applyFont="1" applyBorder="1" applyAlignment="1">
      <alignment horizontal="left" indent="1"/>
    </xf>
    <xf numFmtId="0" fontId="391" fillId="0" borderId="368" xfId="42" applyFont="1" applyBorder="1" applyAlignment="1">
      <alignment horizontal="left" indent="1"/>
    </xf>
    <xf numFmtId="0" fontId="391" fillId="0" borderId="369" xfId="42" applyFont="1" applyBorder="1" applyAlignment="1">
      <alignment horizontal="right" indent="1"/>
    </xf>
    <xf numFmtId="0" fontId="390" fillId="0" borderId="370" xfId="0" applyFont="1" applyBorder="1" applyAlignment="1">
      <alignment horizontal="right" indent="1"/>
    </xf>
    <xf numFmtId="0" fontId="390" fillId="0" borderId="367" xfId="0" applyFont="1" applyBorder="1" applyAlignment="1">
      <alignment horizontal="right" indent="1"/>
    </xf>
    <xf numFmtId="0" fontId="9" fillId="71" borderId="0" xfId="4" applyFont="1" applyFill="1" applyAlignment="1">
      <alignment horizontal="center" vertical="center"/>
    </xf>
    <xf numFmtId="0" fontId="46" fillId="9" borderId="0" xfId="0" applyFont="1" applyFill="1" applyAlignment="1">
      <alignment vertical="center"/>
    </xf>
    <xf numFmtId="0" fontId="76" fillId="9" borderId="0" xfId="1" applyFont="1" applyFill="1" applyAlignment="1">
      <alignment vertical="center"/>
    </xf>
    <xf numFmtId="0" fontId="45" fillId="9" borderId="0" xfId="0" applyFont="1" applyFill="1" applyAlignment="1">
      <alignment vertical="center"/>
    </xf>
    <xf numFmtId="0" fontId="4" fillId="9" borderId="0" xfId="0" applyFont="1" applyFill="1" applyAlignment="1">
      <alignment vertical="center"/>
    </xf>
    <xf numFmtId="0" fontId="4" fillId="9" borderId="0" xfId="0" applyFont="1" applyFill="1" applyAlignment="1">
      <alignment horizontal="left" vertical="center"/>
    </xf>
    <xf numFmtId="0" fontId="393" fillId="9" borderId="0" xfId="0" applyFont="1" applyFill="1" applyAlignment="1">
      <alignment horizontal="left" vertical="center"/>
    </xf>
    <xf numFmtId="0" fontId="57" fillId="9" borderId="0" xfId="10" applyFont="1" applyFill="1" applyAlignment="1" applyProtection="1">
      <alignment vertical="center"/>
      <protection locked="0"/>
    </xf>
    <xf numFmtId="0" fontId="45" fillId="9" borderId="0" xfId="10" applyFont="1" applyFill="1" applyAlignment="1" applyProtection="1">
      <alignment vertical="center"/>
      <protection locked="0"/>
    </xf>
    <xf numFmtId="0" fontId="17" fillId="9" borderId="0" xfId="10" applyFont="1" applyFill="1" applyAlignment="1" applyProtection="1">
      <alignment vertical="center"/>
      <protection locked="0"/>
    </xf>
    <xf numFmtId="0" fontId="95" fillId="9" borderId="0" xfId="0" applyFont="1" applyFill="1" applyAlignment="1">
      <alignment horizontal="center" vertical="center"/>
    </xf>
    <xf numFmtId="0" fontId="45" fillId="9" borderId="0" xfId="0" applyFont="1" applyFill="1" applyAlignment="1">
      <alignment horizontal="right" vertical="center"/>
    </xf>
    <xf numFmtId="0" fontId="63" fillId="9" borderId="0" xfId="0" applyFont="1" applyFill="1" applyAlignment="1">
      <alignment horizontal="left" vertical="center"/>
    </xf>
    <xf numFmtId="0" fontId="4" fillId="9" borderId="0" xfId="0" applyFont="1" applyFill="1" applyAlignment="1">
      <alignment horizontal="right" vertical="center"/>
    </xf>
    <xf numFmtId="0" fontId="57" fillId="9" borderId="0" xfId="0" applyFont="1" applyFill="1"/>
    <xf numFmtId="0" fontId="168" fillId="9" borderId="0" xfId="0" applyFont="1" applyFill="1" applyAlignment="1">
      <alignment vertical="center"/>
    </xf>
    <xf numFmtId="0" fontId="0" fillId="9" borderId="0" xfId="0" applyFill="1" applyAlignment="1">
      <alignment horizontal="left" vertical="center" indent="1"/>
    </xf>
    <xf numFmtId="0" fontId="4" fillId="9" borderId="0" xfId="0" applyFont="1" applyFill="1" applyAlignment="1">
      <alignment horizontal="left" vertical="center" indent="1"/>
    </xf>
    <xf numFmtId="0" fontId="4" fillId="9" borderId="0" xfId="0" applyFont="1" applyFill="1" applyAlignment="1">
      <alignment horizontal="center" vertical="center" wrapText="1"/>
    </xf>
    <xf numFmtId="0" fontId="0" fillId="9" borderId="0" xfId="0" applyFill="1" applyAlignment="1">
      <alignment vertical="center" wrapText="1"/>
    </xf>
    <xf numFmtId="0" fontId="146" fillId="3" borderId="0" xfId="4" applyFont="1" applyFill="1" applyAlignment="1">
      <alignment horizontal="left" vertical="center"/>
    </xf>
    <xf numFmtId="0" fontId="0" fillId="0" borderId="0" xfId="0" applyAlignment="1">
      <alignment horizontal="left" vertical="center" indent="1"/>
    </xf>
    <xf numFmtId="0" fontId="68" fillId="63" borderId="0" xfId="7" applyFont="1" applyFill="1" applyAlignment="1">
      <alignment horizontal="center" vertical="center"/>
    </xf>
    <xf numFmtId="0" fontId="146" fillId="3" borderId="0" xfId="4" applyFont="1" applyFill="1" applyAlignment="1">
      <alignment horizontal="right" vertical="center"/>
    </xf>
    <xf numFmtId="0" fontId="4" fillId="0" borderId="0" xfId="0" applyFont="1" applyAlignment="1">
      <alignment horizontal="left" vertical="center" indent="1"/>
    </xf>
    <xf numFmtId="0" fontId="396" fillId="0" borderId="0" xfId="0" applyFont="1" applyAlignment="1">
      <alignment horizontal="left" vertical="center" indent="1" readingOrder="1"/>
    </xf>
    <xf numFmtId="0" fontId="95" fillId="9" borderId="0" xfId="0" applyFont="1" applyFill="1" applyAlignment="1">
      <alignment vertical="center"/>
    </xf>
    <xf numFmtId="0" fontId="0" fillId="9" borderId="0" xfId="0" applyFill="1" applyAlignment="1">
      <alignment horizontal="right" vertical="center"/>
    </xf>
    <xf numFmtId="0" fontId="14" fillId="53" borderId="0" xfId="1" applyFont="1" applyFill="1" applyAlignment="1">
      <alignment horizontal="center" vertical="center"/>
    </xf>
    <xf numFmtId="0" fontId="397" fillId="32" borderId="0" xfId="1" applyFont="1" applyFill="1" applyAlignment="1">
      <alignment vertical="center"/>
    </xf>
    <xf numFmtId="0" fontId="145" fillId="63" borderId="0" xfId="23" applyFont="1" applyFill="1" applyBorder="1" applyAlignment="1">
      <alignment vertical="center"/>
    </xf>
    <xf numFmtId="0" fontId="398" fillId="0" borderId="0" xfId="0" applyFont="1" applyAlignment="1">
      <alignment horizontal="left" vertical="center" indent="1" readingOrder="1"/>
    </xf>
    <xf numFmtId="0" fontId="145" fillId="9" borderId="0" xfId="14" applyFont="1" applyFill="1"/>
    <xf numFmtId="0" fontId="46" fillId="9" borderId="0" xfId="0" applyFont="1" applyFill="1"/>
    <xf numFmtId="0" fontId="1" fillId="0" borderId="0" xfId="2" applyFont="1" applyAlignment="1">
      <alignment vertical="center"/>
    </xf>
    <xf numFmtId="0" fontId="46" fillId="9" borderId="0" xfId="0" applyFont="1" applyFill="1" applyAlignment="1">
      <alignment horizontal="right" vertical="center"/>
    </xf>
    <xf numFmtId="0" fontId="4" fillId="0" borderId="0" xfId="0" applyFont="1"/>
    <xf numFmtId="0" fontId="110" fillId="28" borderId="371" xfId="0" applyFont="1" applyFill="1" applyBorder="1" applyAlignment="1">
      <alignment horizontal="center" vertical="center"/>
    </xf>
    <xf numFmtId="0" fontId="110" fillId="9" borderId="0" xfId="0" applyFont="1" applyFill="1" applyAlignment="1">
      <alignment horizontal="left" vertical="center"/>
    </xf>
    <xf numFmtId="0" fontId="110" fillId="0" borderId="0" xfId="0" applyFont="1" applyAlignment="1">
      <alignment horizontal="right" vertical="center"/>
    </xf>
    <xf numFmtId="0" fontId="1" fillId="5" borderId="59" xfId="1" applyFill="1" applyBorder="1" applyAlignment="1">
      <alignment horizontal="center" vertical="center"/>
    </xf>
    <xf numFmtId="0" fontId="1" fillId="0" borderId="0" xfId="1" applyAlignment="1">
      <alignment horizontal="right" vertical="center"/>
    </xf>
    <xf numFmtId="0" fontId="4" fillId="0" borderId="371" xfId="0" applyFont="1" applyBorder="1" applyAlignment="1">
      <alignment horizontal="center" vertical="center"/>
    </xf>
    <xf numFmtId="0" fontId="1" fillId="43" borderId="184" xfId="1" applyFill="1" applyBorder="1" applyAlignment="1">
      <alignment vertical="center"/>
    </xf>
    <xf numFmtId="0" fontId="1" fillId="43" borderId="185" xfId="1" applyFill="1" applyBorder="1" applyAlignment="1">
      <alignment vertical="center"/>
    </xf>
    <xf numFmtId="0" fontId="18" fillId="0" borderId="186" xfId="1" applyFont="1" applyBorder="1" applyAlignment="1">
      <alignment horizontal="center" vertical="center"/>
    </xf>
    <xf numFmtId="0" fontId="4" fillId="43" borderId="187" xfId="0" applyFont="1" applyFill="1" applyBorder="1" applyAlignment="1">
      <alignment vertical="center"/>
    </xf>
    <xf numFmtId="0" fontId="1" fillId="43" borderId="0" xfId="1" applyFill="1" applyAlignment="1">
      <alignment vertical="center"/>
    </xf>
    <xf numFmtId="0" fontId="18" fillId="0" borderId="188" xfId="1" applyFont="1" applyBorder="1" applyAlignment="1">
      <alignment horizontal="center" vertical="center"/>
    </xf>
    <xf numFmtId="0" fontId="0" fillId="43" borderId="187" xfId="0" applyFill="1" applyBorder="1" applyAlignment="1">
      <alignment vertical="center"/>
    </xf>
    <xf numFmtId="0" fontId="1" fillId="43" borderId="189" xfId="1" applyFill="1" applyBorder="1" applyAlignment="1">
      <alignment vertical="center"/>
    </xf>
    <xf numFmtId="0" fontId="1" fillId="43" borderId="182" xfId="1" applyFill="1" applyBorder="1" applyAlignment="1">
      <alignment vertical="center"/>
    </xf>
    <xf numFmtId="0" fontId="18" fillId="0" borderId="190" xfId="1" applyFont="1" applyBorder="1" applyAlignment="1">
      <alignment horizontal="center" vertical="center"/>
    </xf>
    <xf numFmtId="0" fontId="95" fillId="0" borderId="0" xfId="0" applyFont="1" applyAlignment="1">
      <alignment vertical="center"/>
    </xf>
    <xf numFmtId="0" fontId="1" fillId="9" borderId="41" xfId="1" applyFill="1" applyBorder="1" applyAlignment="1">
      <alignment vertical="center"/>
    </xf>
    <xf numFmtId="0" fontId="1" fillId="9" borderId="40" xfId="1" applyFill="1" applyBorder="1" applyAlignment="1">
      <alignment vertical="center"/>
    </xf>
    <xf numFmtId="0" fontId="0" fillId="9" borderId="40" xfId="0" applyFill="1" applyBorder="1"/>
    <xf numFmtId="0" fontId="1" fillId="9" borderId="40" xfId="2" applyFont="1" applyFill="1" applyBorder="1" applyAlignment="1">
      <alignment vertical="center"/>
    </xf>
    <xf numFmtId="0" fontId="0" fillId="9" borderId="39" xfId="0" applyFill="1" applyBorder="1"/>
    <xf numFmtId="0" fontId="14" fillId="9" borderId="0" xfId="0" applyFont="1" applyFill="1" applyAlignment="1">
      <alignment horizontal="left" vertical="center" indent="1"/>
    </xf>
    <xf numFmtId="0" fontId="14" fillId="9" borderId="0" xfId="0" applyFont="1" applyFill="1"/>
    <xf numFmtId="0" fontId="399" fillId="9" borderId="0" xfId="5" applyFont="1" applyFill="1" applyAlignment="1">
      <alignment horizontal="center" vertical="center"/>
    </xf>
    <xf numFmtId="0" fontId="17" fillId="9" borderId="0" xfId="0" applyFont="1" applyFill="1" applyAlignment="1">
      <alignment horizontal="right" vertical="center"/>
    </xf>
    <xf numFmtId="0" fontId="17" fillId="9" borderId="0" xfId="0" applyFont="1" applyFill="1" applyAlignment="1">
      <alignment horizontal="center" vertical="center"/>
    </xf>
    <xf numFmtId="0" fontId="400" fillId="9" borderId="0" xfId="0" applyFont="1" applyFill="1" applyAlignment="1">
      <alignment horizontal="center" vertical="center"/>
    </xf>
    <xf numFmtId="0" fontId="38" fillId="9" borderId="0" xfId="0" applyFont="1" applyFill="1" applyAlignment="1">
      <alignment vertical="center"/>
    </xf>
    <xf numFmtId="0" fontId="121" fillId="9" borderId="0" xfId="0" applyFont="1" applyFill="1" applyAlignment="1">
      <alignment vertical="center"/>
    </xf>
    <xf numFmtId="0" fontId="14" fillId="9" borderId="0" xfId="0" applyFont="1" applyFill="1" applyAlignment="1">
      <alignment horizontal="left" vertical="center"/>
    </xf>
    <xf numFmtId="0" fontId="17" fillId="9" borderId="0" xfId="0" applyFont="1" applyFill="1" applyAlignment="1">
      <alignment horizontal="right" vertical="center" indent="1"/>
    </xf>
    <xf numFmtId="1" fontId="17" fillId="9" borderId="0" xfId="0" applyNumberFormat="1" applyFont="1" applyFill="1" applyAlignment="1">
      <alignment horizontal="center" vertical="center"/>
    </xf>
    <xf numFmtId="0" fontId="13" fillId="9" borderId="0" xfId="0" applyFont="1" applyFill="1" applyAlignment="1">
      <alignment horizontal="left" vertical="center"/>
    </xf>
    <xf numFmtId="0" fontId="45" fillId="53" borderId="0" xfId="0" applyFont="1" applyFill="1" applyAlignment="1">
      <alignment horizontal="center" vertical="center"/>
    </xf>
    <xf numFmtId="0" fontId="10" fillId="9" borderId="0" xfId="0" applyFont="1" applyFill="1" applyAlignment="1">
      <alignment horizontal="right" vertical="center"/>
    </xf>
    <xf numFmtId="1" fontId="17" fillId="9" borderId="0" xfId="0" applyNumberFormat="1" applyFont="1" applyFill="1" applyAlignment="1">
      <alignment horizontal="right" vertical="center"/>
    </xf>
    <xf numFmtId="0" fontId="1" fillId="9" borderId="30" xfId="1" applyFill="1" applyBorder="1" applyAlignment="1">
      <alignment vertical="center"/>
    </xf>
    <xf numFmtId="0" fontId="13" fillId="9" borderId="1" xfId="0" applyFont="1" applyFill="1" applyBorder="1"/>
    <xf numFmtId="0" fontId="0" fillId="9" borderId="1" xfId="0" applyFill="1" applyBorder="1"/>
    <xf numFmtId="0" fontId="65" fillId="9" borderId="0" xfId="1" applyFont="1" applyFill="1" applyAlignment="1">
      <alignment vertical="center"/>
    </xf>
    <xf numFmtId="0" fontId="4" fillId="9" borderId="0" xfId="1" applyFont="1" applyFill="1" applyAlignment="1">
      <alignment horizontal="left" vertical="center"/>
    </xf>
    <xf numFmtId="0" fontId="8" fillId="64" borderId="0" xfId="4" applyFill="1" applyProtection="1">
      <protection hidden="1"/>
    </xf>
    <xf numFmtId="0" fontId="1" fillId="64" borderId="0" xfId="43" applyFill="1"/>
    <xf numFmtId="0" fontId="8" fillId="64" borderId="0" xfId="4" applyFill="1" applyAlignment="1">
      <alignment vertical="center"/>
    </xf>
    <xf numFmtId="0" fontId="401" fillId="64" borderId="0" xfId="4" applyFont="1" applyFill="1" applyAlignment="1">
      <alignment vertical="center"/>
    </xf>
    <xf numFmtId="0" fontId="403" fillId="64" borderId="0" xfId="4" applyFont="1" applyFill="1" applyAlignment="1">
      <alignment vertical="center"/>
    </xf>
    <xf numFmtId="0" fontId="286" fillId="64" borderId="0" xfId="4" applyFont="1" applyFill="1" applyAlignment="1">
      <alignment vertical="center"/>
    </xf>
    <xf numFmtId="0" fontId="404" fillId="64" borderId="0" xfId="4" applyFont="1" applyFill="1" applyAlignment="1">
      <alignment horizontal="left" vertical="center"/>
    </xf>
    <xf numFmtId="0" fontId="405" fillId="64" borderId="0" xfId="4" applyFont="1" applyFill="1" applyAlignment="1">
      <alignment vertical="center"/>
    </xf>
    <xf numFmtId="0" fontId="406" fillId="64" borderId="0" xfId="4" applyFont="1" applyFill="1" applyAlignment="1">
      <alignment vertical="center"/>
    </xf>
    <xf numFmtId="168" fontId="408" fillId="7" borderId="0" xfId="10" applyNumberFormat="1" applyFont="1" applyFill="1" applyAlignment="1">
      <alignment horizontal="left" vertical="center"/>
    </xf>
    <xf numFmtId="0" fontId="8" fillId="7" borderId="0" xfId="4" applyFill="1" applyAlignment="1" applyProtection="1">
      <alignment horizontal="left"/>
      <protection hidden="1"/>
    </xf>
    <xf numFmtId="0" fontId="1" fillId="7" borderId="0" xfId="43" applyFill="1" applyAlignment="1">
      <alignment horizontal="left"/>
    </xf>
    <xf numFmtId="0" fontId="8" fillId="64" borderId="0" xfId="4" applyFill="1" applyAlignment="1">
      <alignment horizontal="left" vertical="center"/>
    </xf>
    <xf numFmtId="0" fontId="409" fillId="5" borderId="0" xfId="4" applyFont="1" applyFill="1" applyAlignment="1">
      <alignment horizontal="left" vertical="center"/>
    </xf>
    <xf numFmtId="0" fontId="8" fillId="5" borderId="0" xfId="4" applyFill="1"/>
    <xf numFmtId="0" fontId="410" fillId="5" borderId="0" xfId="4" applyFont="1" applyFill="1" applyAlignment="1">
      <alignment horizontal="left" vertical="center"/>
    </xf>
    <xf numFmtId="0" fontId="411" fillId="5" borderId="0" xfId="14" applyFont="1" applyFill="1" applyAlignment="1">
      <alignment horizontal="left" vertical="center"/>
    </xf>
    <xf numFmtId="0" fontId="265" fillId="5" borderId="0" xfId="23" applyFont="1" applyFill="1" applyBorder="1" applyAlignment="1">
      <alignment vertical="center"/>
    </xf>
    <xf numFmtId="0" fontId="62" fillId="5" borderId="0" xfId="14" applyFill="1" applyAlignment="1">
      <alignment horizontal="left" vertical="center"/>
    </xf>
    <xf numFmtId="0" fontId="413" fillId="5" borderId="0" xfId="4" applyFont="1" applyFill="1" applyAlignment="1">
      <alignment vertical="center"/>
    </xf>
    <xf numFmtId="0" fontId="414" fillId="5" borderId="0" xfId="4" applyFont="1" applyFill="1" applyAlignment="1">
      <alignment horizontal="left" vertical="center"/>
    </xf>
    <xf numFmtId="0" fontId="415" fillId="5" borderId="0" xfId="4" applyFont="1" applyFill="1" applyAlignment="1">
      <alignment horizontal="left" vertical="center"/>
    </xf>
    <xf numFmtId="0" fontId="8" fillId="0" borderId="0" xfId="4" applyAlignment="1">
      <alignment vertical="center"/>
    </xf>
    <xf numFmtId="0" fontId="8" fillId="5" borderId="0" xfId="4" applyFill="1" applyProtection="1">
      <protection hidden="1"/>
    </xf>
    <xf numFmtId="0" fontId="416" fillId="5" borderId="0" xfId="4" applyFont="1" applyFill="1" applyAlignment="1">
      <alignment horizontal="left" vertical="center"/>
    </xf>
    <xf numFmtId="0" fontId="417" fillId="5" borderId="0" xfId="4" applyFont="1" applyFill="1" applyAlignment="1">
      <alignment horizontal="left" vertical="center"/>
    </xf>
    <xf numFmtId="0" fontId="199" fillId="5" borderId="0" xfId="17" applyFont="1" applyFill="1" applyAlignment="1">
      <alignment vertical="center"/>
    </xf>
    <xf numFmtId="0" fontId="418" fillId="1822" borderId="0" xfId="43" applyFont="1" applyFill="1" applyAlignment="1">
      <alignment horizontal="right" vertical="center"/>
    </xf>
    <xf numFmtId="0" fontId="419" fillId="5" borderId="0" xfId="14" applyFont="1" applyFill="1" applyAlignment="1">
      <alignment horizontal="left" vertical="center"/>
    </xf>
    <xf numFmtId="236" fontId="112" fillId="0" borderId="0" xfId="4" applyNumberFormat="1" applyFont="1" applyAlignment="1">
      <alignment horizontal="center" vertical="center"/>
    </xf>
    <xf numFmtId="0" fontId="418" fillId="1822" borderId="0" xfId="43" applyFont="1" applyFill="1" applyAlignment="1">
      <alignment horizontal="left" vertical="center"/>
    </xf>
    <xf numFmtId="0" fontId="237" fillId="5" borderId="101" xfId="17" applyFont="1" applyFill="1" applyBorder="1" applyAlignment="1">
      <alignment horizontal="left" vertical="center"/>
    </xf>
    <xf numFmtId="0" fontId="420" fillId="5" borderId="0" xfId="4" applyFont="1" applyFill="1"/>
    <xf numFmtId="0" fontId="418" fillId="5" borderId="0" xfId="4" applyFont="1" applyFill="1" applyAlignment="1">
      <alignment horizontal="left" vertical="center"/>
    </xf>
    <xf numFmtId="0" fontId="237" fillId="1822" borderId="0" xfId="43" applyFont="1" applyFill="1" applyAlignment="1">
      <alignment horizontal="left" vertical="center"/>
    </xf>
    <xf numFmtId="0" fontId="412" fillId="1822" borderId="0" xfId="14" applyFont="1" applyFill="1" applyAlignment="1" applyProtection="1">
      <alignment vertical="center"/>
      <protection hidden="1"/>
    </xf>
    <xf numFmtId="0" fontId="420" fillId="1822" borderId="0" xfId="4" applyFont="1" applyFill="1" applyProtection="1">
      <protection hidden="1"/>
    </xf>
    <xf numFmtId="0" fontId="8" fillId="5" borderId="0" xfId="4" applyFill="1" applyAlignment="1">
      <alignment vertical="center"/>
    </xf>
    <xf numFmtId="0" fontId="237" fillId="5" borderId="0" xfId="43" applyFont="1" applyFill="1" applyAlignment="1">
      <alignment horizontal="left" vertical="center"/>
    </xf>
    <xf numFmtId="0" fontId="421" fillId="5" borderId="0" xfId="0" applyFont="1" applyFill="1" applyAlignment="1">
      <alignment horizontal="left" vertical="center"/>
    </xf>
    <xf numFmtId="0" fontId="152" fillId="5" borderId="0" xfId="14" applyFont="1" applyFill="1" applyBorder="1" applyAlignment="1">
      <alignment horizontal="left" vertical="center"/>
    </xf>
    <xf numFmtId="0" fontId="412" fillId="5" borderId="0" xfId="14" applyFont="1" applyFill="1" applyAlignment="1" applyProtection="1">
      <alignment vertical="center"/>
      <protection hidden="1"/>
    </xf>
    <xf numFmtId="0" fontId="415" fillId="5" borderId="0" xfId="4" applyFont="1" applyFill="1" applyProtection="1">
      <protection hidden="1"/>
    </xf>
    <xf numFmtId="0" fontId="68" fillId="5" borderId="0" xfId="0" applyFont="1" applyFill="1" applyAlignment="1">
      <alignment horizontal="left" vertical="center"/>
    </xf>
    <xf numFmtId="0" fontId="38" fillId="5" borderId="0" xfId="0" applyFont="1" applyFill="1" applyAlignment="1">
      <alignment horizontal="center" vertical="center"/>
    </xf>
    <xf numFmtId="0" fontId="170" fillId="9" borderId="270" xfId="0" applyFont="1" applyFill="1" applyBorder="1"/>
    <xf numFmtId="0" fontId="168" fillId="9" borderId="0" xfId="0" applyFont="1" applyFill="1" applyAlignment="1">
      <alignment horizontal="center"/>
    </xf>
    <xf numFmtId="0" fontId="168" fillId="9" borderId="101" xfId="0" applyFont="1" applyFill="1" applyBorder="1" applyAlignment="1">
      <alignment horizontal="center"/>
    </xf>
    <xf numFmtId="0" fontId="112" fillId="0" borderId="270" xfId="0" applyFont="1" applyBorder="1" applyAlignment="1">
      <alignment horizontal="center" vertical="center"/>
    </xf>
    <xf numFmtId="213" fontId="112" fillId="53" borderId="0" xfId="0" applyNumberFormat="1" applyFont="1" applyFill="1" applyAlignment="1">
      <alignment horizontal="center" vertical="center"/>
    </xf>
    <xf numFmtId="2" fontId="112" fillId="53" borderId="0" xfId="0" applyNumberFormat="1" applyFont="1" applyFill="1" applyAlignment="1">
      <alignment horizontal="center" vertical="center"/>
    </xf>
    <xf numFmtId="2" fontId="428" fillId="53" borderId="101" xfId="0" applyNumberFormat="1" applyFont="1" applyFill="1" applyBorder="1" applyAlignment="1">
      <alignment horizontal="center" vertical="center"/>
    </xf>
    <xf numFmtId="237" fontId="112" fillId="53" borderId="0" xfId="0" applyNumberFormat="1" applyFont="1" applyFill="1" applyAlignment="1">
      <alignment horizontal="center" vertical="center"/>
    </xf>
    <xf numFmtId="2" fontId="112" fillId="53" borderId="101" xfId="0" applyNumberFormat="1" applyFont="1" applyFill="1" applyBorder="1" applyAlignment="1">
      <alignment horizontal="center" vertical="center"/>
    </xf>
    <xf numFmtId="0" fontId="429" fillId="0" borderId="270" xfId="9" applyFont="1" applyBorder="1" applyAlignment="1">
      <alignment horizontal="center" vertical="center"/>
    </xf>
    <xf numFmtId="0" fontId="170" fillId="9" borderId="0" xfId="0" applyFont="1" applyFill="1" applyAlignment="1">
      <alignment horizontal="left" vertical="center"/>
    </xf>
    <xf numFmtId="0" fontId="170" fillId="9" borderId="101" xfId="0" applyFont="1" applyFill="1" applyBorder="1" applyAlignment="1">
      <alignment horizontal="left" vertical="center"/>
    </xf>
    <xf numFmtId="0" fontId="47" fillId="9" borderId="0" xfId="0" applyFont="1" applyFill="1" applyAlignment="1">
      <alignment horizontal="left" vertical="center"/>
    </xf>
    <xf numFmtId="0" fontId="56" fillId="0" borderId="116" xfId="0" applyFont="1" applyBorder="1" applyAlignment="1">
      <alignment horizontal="center" vertical="center"/>
    </xf>
    <xf numFmtId="238" fontId="95" fillId="2" borderId="35" xfId="0" applyNumberFormat="1" applyFont="1" applyFill="1" applyBorder="1" applyAlignment="1">
      <alignment horizontal="center" vertical="center"/>
    </xf>
    <xf numFmtId="0" fontId="17" fillId="2" borderId="35" xfId="0" applyFont="1" applyFill="1" applyBorder="1" applyAlignment="1">
      <alignment horizontal="center" vertical="center"/>
    </xf>
    <xf numFmtId="0" fontId="38" fillId="2" borderId="292" xfId="0" applyFont="1" applyFill="1" applyBorder="1" applyAlignment="1">
      <alignment horizontal="center" vertical="center"/>
    </xf>
    <xf numFmtId="0" fontId="412" fillId="5" borderId="0" xfId="14" applyFont="1" applyFill="1" applyBorder="1" applyAlignment="1" applyProtection="1">
      <alignment vertical="center"/>
      <protection hidden="1"/>
    </xf>
    <xf numFmtId="0" fontId="17" fillId="5" borderId="0" xfId="0" applyFont="1" applyFill="1" applyAlignment="1">
      <alignment vertical="center"/>
    </xf>
    <xf numFmtId="0" fontId="170" fillId="9" borderId="270" xfId="0" applyFont="1" applyFill="1" applyBorder="1" applyAlignment="1">
      <alignment horizontal="left" vertical="center"/>
    </xf>
    <xf numFmtId="0" fontId="170" fillId="9" borderId="0" xfId="0" applyFont="1" applyFill="1" applyAlignment="1">
      <alignment horizontal="right" vertical="center"/>
    </xf>
    <xf numFmtId="0" fontId="429" fillId="53" borderId="101" xfId="9" applyFont="1" applyFill="1" applyBorder="1" applyAlignment="1">
      <alignment horizontal="center" vertical="center"/>
    </xf>
    <xf numFmtId="0" fontId="112" fillId="0" borderId="0" xfId="0" applyFont="1" applyAlignment="1">
      <alignment horizontal="center" vertical="center"/>
    </xf>
    <xf numFmtId="0" fontId="112" fillId="0" borderId="0" xfId="0" applyFont="1" applyAlignment="1">
      <alignment horizontal="right" vertical="center"/>
    </xf>
    <xf numFmtId="0" fontId="112" fillId="27" borderId="101" xfId="0" applyFont="1" applyFill="1" applyBorder="1" applyAlignment="1">
      <alignment horizontal="center" vertical="center"/>
    </xf>
    <xf numFmtId="0" fontId="429" fillId="0" borderId="0" xfId="9" applyFont="1" applyAlignment="1">
      <alignment horizontal="center" vertical="center"/>
    </xf>
    <xf numFmtId="0" fontId="112" fillId="0" borderId="101" xfId="0" applyFont="1" applyBorder="1" applyAlignment="1">
      <alignment horizontal="center" vertical="center"/>
    </xf>
    <xf numFmtId="0" fontId="429" fillId="0" borderId="101" xfId="9" applyFont="1" applyBorder="1" applyAlignment="1">
      <alignment horizontal="center" vertical="center"/>
    </xf>
    <xf numFmtId="0" fontId="0" fillId="9" borderId="116" xfId="0" applyFill="1" applyBorder="1"/>
    <xf numFmtId="0" fontId="0" fillId="9" borderId="35" xfId="0" applyFill="1" applyBorder="1"/>
    <xf numFmtId="0" fontId="0" fillId="9" borderId="292" xfId="0" applyFill="1" applyBorder="1"/>
    <xf numFmtId="0" fontId="430" fillId="5" borderId="0" xfId="4" applyFont="1" applyFill="1" applyAlignment="1">
      <alignment horizontal="left" vertical="center"/>
    </xf>
    <xf numFmtId="0" fontId="1" fillId="64" borderId="0" xfId="6" applyFill="1"/>
    <xf numFmtId="0" fontId="431" fillId="5" borderId="0" xfId="6" applyFont="1" applyFill="1"/>
    <xf numFmtId="0" fontId="415" fillId="5" borderId="0" xfId="4" applyFont="1" applyFill="1" applyAlignment="1">
      <alignment vertical="center"/>
    </xf>
    <xf numFmtId="0" fontId="418" fillId="5" borderId="0" xfId="4" applyFont="1" applyFill="1" applyAlignment="1">
      <alignment vertical="center"/>
    </xf>
    <xf numFmtId="0" fontId="432" fillId="5" borderId="0" xfId="33" applyFont="1" applyFill="1" applyAlignment="1">
      <alignment horizontal="right" vertical="center"/>
    </xf>
    <xf numFmtId="0" fontId="259" fillId="64" borderId="0" xfId="4" applyFont="1" applyFill="1" applyAlignment="1">
      <alignment vertical="center"/>
    </xf>
    <xf numFmtId="0" fontId="431" fillId="5" borderId="0" xfId="0" applyFont="1" applyFill="1" applyAlignment="1">
      <alignment horizontal="right" vertical="center"/>
    </xf>
    <xf numFmtId="0" fontId="433" fillId="5" borderId="0" xfId="6" applyFont="1" applyFill="1"/>
    <xf numFmtId="0" fontId="412" fillId="5" borderId="0" xfId="14" applyFont="1" applyFill="1" applyAlignment="1">
      <alignment vertical="center"/>
    </xf>
    <xf numFmtId="0" fontId="415" fillId="5" borderId="0" xfId="4" applyFont="1" applyFill="1" applyAlignment="1" applyProtection="1">
      <alignment horizontal="right" vertical="center"/>
      <protection hidden="1"/>
    </xf>
    <xf numFmtId="0" fontId="434" fillId="5" borderId="0" xfId="4" applyFont="1" applyFill="1" applyAlignment="1">
      <alignment vertical="center"/>
    </xf>
    <xf numFmtId="0" fontId="430" fillId="5" borderId="0" xfId="4" applyFont="1" applyFill="1" applyAlignment="1" applyProtection="1">
      <alignment horizontal="right" vertical="center"/>
      <protection hidden="1"/>
    </xf>
    <xf numFmtId="0" fontId="430" fillId="5" borderId="0" xfId="4" applyFont="1" applyFill="1" applyAlignment="1" applyProtection="1">
      <alignment horizontal="center" vertical="center"/>
      <protection hidden="1"/>
    </xf>
    <xf numFmtId="0" fontId="418" fillId="5" borderId="0" xfId="43" applyFont="1" applyFill="1" applyAlignment="1">
      <alignment horizontal="right" vertical="center"/>
    </xf>
    <xf numFmtId="0" fontId="432" fillId="5" borderId="0" xfId="33" applyFont="1" applyFill="1" applyAlignment="1">
      <alignment horizontal="left" vertical="center"/>
    </xf>
    <xf numFmtId="0" fontId="1" fillId="64" borderId="0" xfId="8" applyFill="1"/>
    <xf numFmtId="0" fontId="435" fillId="64" borderId="0" xfId="4" applyFont="1" applyFill="1"/>
    <xf numFmtId="0" fontId="7" fillId="2" borderId="0" xfId="0" applyFont="1" applyFill="1" applyAlignment="1">
      <alignment horizontal="center" vertical="center"/>
    </xf>
    <xf numFmtId="0" fontId="436" fillId="64" borderId="0" xfId="4" applyFont="1" applyFill="1" applyAlignment="1">
      <alignment vertical="center"/>
    </xf>
    <xf numFmtId="0" fontId="437" fillId="3" borderId="0" xfId="4" applyFont="1" applyFill="1" applyAlignment="1">
      <alignment horizontal="left" vertical="center"/>
    </xf>
    <xf numFmtId="0" fontId="437" fillId="3" borderId="0" xfId="4" applyFont="1" applyFill="1" applyAlignment="1">
      <alignment horizontal="right" vertical="center"/>
    </xf>
    <xf numFmtId="0" fontId="438" fillId="64" borderId="0" xfId="4" applyFont="1" applyFill="1" applyAlignment="1">
      <alignment horizontal="left" vertical="center"/>
    </xf>
    <xf numFmtId="0" fontId="439" fillId="64" borderId="0" xfId="4" applyFont="1" applyFill="1" applyAlignment="1">
      <alignment horizontal="left" vertical="center"/>
    </xf>
    <xf numFmtId="0" fontId="440" fillId="64" borderId="0" xfId="4" applyFont="1" applyFill="1" applyAlignment="1">
      <alignment vertical="center"/>
    </xf>
    <xf numFmtId="0" fontId="441" fillId="64" borderId="0" xfId="4" applyFont="1" applyFill="1" applyAlignment="1">
      <alignment vertical="center"/>
    </xf>
    <xf numFmtId="0" fontId="405" fillId="64" borderId="0" xfId="4" applyFont="1" applyFill="1" applyAlignment="1">
      <alignment horizontal="left" vertical="center"/>
    </xf>
    <xf numFmtId="0" fontId="442" fillId="64" borderId="0" xfId="4" applyFont="1" applyFill="1" applyAlignment="1">
      <alignment horizontal="left" vertical="center"/>
    </xf>
    <xf numFmtId="0" fontId="420" fillId="64" borderId="0" xfId="4" applyFont="1" applyFill="1" applyAlignment="1" applyProtection="1">
      <alignment horizontal="left" vertical="center"/>
      <protection hidden="1"/>
    </xf>
    <xf numFmtId="0" fontId="412" fillId="7" borderId="0" xfId="14" applyFont="1" applyFill="1" applyAlignment="1" applyProtection="1">
      <alignment horizontal="left" vertical="center"/>
      <protection hidden="1"/>
    </xf>
    <xf numFmtId="0" fontId="420" fillId="7" borderId="0" xfId="4" applyFont="1" applyFill="1" applyAlignment="1" applyProtection="1">
      <alignment horizontal="left" vertical="center"/>
      <protection hidden="1"/>
    </xf>
    <xf numFmtId="0" fontId="443" fillId="7" borderId="0" xfId="8" applyFont="1" applyFill="1" applyAlignment="1">
      <alignment horizontal="left" vertical="center"/>
    </xf>
    <xf numFmtId="0" fontId="1" fillId="7" borderId="0" xfId="8" applyFill="1"/>
    <xf numFmtId="0" fontId="444" fillId="64" borderId="0" xfId="4" applyFont="1" applyFill="1" applyAlignment="1">
      <alignment vertical="center"/>
    </xf>
    <xf numFmtId="0" fontId="271" fillId="64" borderId="0" xfId="4" applyFont="1" applyFill="1" applyProtection="1">
      <protection hidden="1"/>
    </xf>
    <xf numFmtId="0" fontId="445" fillId="64" borderId="0" xfId="14" applyFont="1" applyFill="1" applyAlignment="1">
      <alignment vertical="center"/>
    </xf>
    <xf numFmtId="0" fontId="446" fillId="64" borderId="0" xfId="6" applyFont="1" applyFill="1"/>
    <xf numFmtId="0" fontId="271" fillId="64" borderId="0" xfId="4" applyFont="1" applyFill="1" applyAlignment="1">
      <alignment vertical="center"/>
    </xf>
    <xf numFmtId="0" fontId="447" fillId="64" borderId="0" xfId="14" applyFont="1" applyFill="1" applyAlignment="1">
      <alignment vertical="center"/>
    </xf>
    <xf numFmtId="0" fontId="448" fillId="64" borderId="0" xfId="4" applyFont="1" applyFill="1" applyAlignment="1">
      <alignment vertical="center"/>
    </xf>
    <xf numFmtId="0" fontId="442" fillId="64" borderId="0" xfId="4" applyFont="1" applyFill="1" applyAlignment="1">
      <alignment vertical="center"/>
    </xf>
    <xf numFmtId="0" fontId="420" fillId="64" borderId="0" xfId="4" applyFont="1" applyFill="1" applyProtection="1">
      <protection hidden="1"/>
    </xf>
    <xf numFmtId="0" fontId="443" fillId="64" borderId="0" xfId="6" applyFont="1" applyFill="1"/>
    <xf numFmtId="0" fontId="449" fillId="64" borderId="0" xfId="4" applyFont="1" applyFill="1" applyAlignment="1">
      <alignment vertical="center"/>
    </xf>
    <xf numFmtId="0" fontId="450" fillId="64" borderId="0" xfId="4" applyFont="1" applyFill="1" applyAlignment="1">
      <alignment vertical="center"/>
    </xf>
    <xf numFmtId="0" fontId="451" fillId="64" borderId="0" xfId="4" applyFont="1" applyFill="1" applyAlignment="1">
      <alignment vertical="center"/>
    </xf>
    <xf numFmtId="0" fontId="452" fillId="64" borderId="0" xfId="4" applyFont="1" applyFill="1" applyAlignment="1">
      <alignment vertical="center"/>
    </xf>
    <xf numFmtId="0" fontId="453" fillId="64" borderId="0" xfId="4" applyFont="1" applyFill="1" applyProtection="1">
      <protection hidden="1"/>
    </xf>
    <xf numFmtId="0" fontId="454" fillId="64" borderId="0" xfId="4" applyFont="1" applyFill="1" applyProtection="1">
      <protection hidden="1"/>
    </xf>
    <xf numFmtId="0" fontId="455" fillId="64" borderId="0" xfId="4" applyFont="1" applyFill="1" applyAlignment="1">
      <alignment vertical="center"/>
    </xf>
    <xf numFmtId="239" fontId="458" fillId="64" borderId="0" xfId="4" applyNumberFormat="1" applyFont="1" applyFill="1" applyAlignment="1">
      <alignment horizontal="center" vertical="center"/>
    </xf>
    <xf numFmtId="0" fontId="459" fillId="64" borderId="0" xfId="4" applyFont="1" applyFill="1" applyAlignment="1">
      <alignment horizontal="center" vertical="center"/>
    </xf>
    <xf numFmtId="239" fontId="461" fillId="64" borderId="0" xfId="4" applyNumberFormat="1" applyFont="1" applyFill="1" applyAlignment="1">
      <alignment horizontal="center" vertical="center"/>
    </xf>
    <xf numFmtId="0" fontId="462" fillId="64" borderId="0" xfId="4" applyFont="1" applyFill="1" applyAlignment="1">
      <alignment vertical="center"/>
    </xf>
    <xf numFmtId="0" fontId="465" fillId="64" borderId="0" xfId="4" applyFont="1" applyFill="1" applyAlignment="1">
      <alignment vertical="center"/>
    </xf>
    <xf numFmtId="0" fontId="469" fillId="64" borderId="0" xfId="4" applyFont="1" applyFill="1" applyAlignment="1">
      <alignment vertical="center"/>
    </xf>
    <xf numFmtId="0" fontId="470" fillId="7" borderId="0" xfId="14" applyFont="1" applyFill="1" applyAlignment="1">
      <alignment vertical="center"/>
    </xf>
    <xf numFmtId="0" fontId="420" fillId="7" borderId="0" xfId="4" applyFont="1" applyFill="1" applyProtection="1">
      <protection hidden="1"/>
    </xf>
    <xf numFmtId="0" fontId="471" fillId="64" borderId="0" xfId="4" applyFont="1" applyFill="1" applyAlignment="1">
      <alignment vertical="center"/>
    </xf>
    <xf numFmtId="0" fontId="472" fillId="9" borderId="268" xfId="0" applyFont="1" applyFill="1" applyBorder="1" applyAlignment="1">
      <alignment horizontal="left" vertical="center"/>
    </xf>
    <xf numFmtId="0" fontId="472" fillId="9" borderId="32" xfId="0" applyFont="1" applyFill="1" applyBorder="1" applyAlignment="1">
      <alignment horizontal="left" vertical="center"/>
    </xf>
    <xf numFmtId="0" fontId="473" fillId="9" borderId="32" xfId="0" applyFont="1" applyFill="1" applyBorder="1" applyAlignment="1">
      <alignment horizontal="left" vertical="center"/>
    </xf>
    <xf numFmtId="0" fontId="473" fillId="9" borderId="124" xfId="0" applyFont="1" applyFill="1" applyBorder="1" applyAlignment="1">
      <alignment horizontal="left" vertical="center"/>
    </xf>
    <xf numFmtId="0" fontId="420" fillId="9" borderId="304" xfId="4" applyFont="1" applyFill="1" applyBorder="1" applyProtection="1">
      <protection hidden="1"/>
    </xf>
    <xf numFmtId="0" fontId="202" fillId="2027" borderId="305" xfId="0" applyFont="1" applyFill="1" applyBorder="1" applyAlignment="1">
      <alignment vertical="top"/>
    </xf>
    <xf numFmtId="0" fontId="0" fillId="2027" borderId="304" xfId="0" applyFill="1" applyBorder="1" applyAlignment="1">
      <alignment vertical="top"/>
    </xf>
    <xf numFmtId="0" fontId="0" fillId="2027" borderId="308" xfId="0" applyFill="1" applyBorder="1" applyAlignment="1">
      <alignment vertical="top"/>
    </xf>
    <xf numFmtId="0" fontId="0" fillId="2027" borderId="305" xfId="0" applyFill="1" applyBorder="1" applyAlignment="1">
      <alignment vertical="top"/>
    </xf>
    <xf numFmtId="0" fontId="14" fillId="63" borderId="270" xfId="7" applyFont="1" applyFill="1" applyBorder="1" applyAlignment="1">
      <alignment horizontal="left" vertical="center"/>
    </xf>
    <xf numFmtId="0" fontId="14" fillId="63" borderId="0" xfId="7" applyFont="1" applyFill="1" applyAlignment="1">
      <alignment horizontal="left" vertical="center"/>
    </xf>
    <xf numFmtId="0" fontId="14" fillId="63" borderId="101" xfId="7" applyFont="1" applyFill="1" applyBorder="1" applyAlignment="1">
      <alignment horizontal="left" vertical="center"/>
    </xf>
    <xf numFmtId="0" fontId="474" fillId="64" borderId="0" xfId="4" applyFont="1" applyFill="1" applyAlignment="1">
      <alignment horizontal="left" vertical="center"/>
    </xf>
    <xf numFmtId="0" fontId="14" fillId="63" borderId="116" xfId="7" applyFont="1" applyFill="1" applyBorder="1" applyAlignment="1">
      <alignment horizontal="left" vertical="center"/>
    </xf>
    <xf numFmtId="0" fontId="14" fillId="63" borderId="35" xfId="7" applyFont="1" applyFill="1" applyBorder="1" applyAlignment="1">
      <alignment horizontal="left" vertical="center"/>
    </xf>
    <xf numFmtId="0" fontId="14" fillId="63" borderId="292" xfId="7" applyFont="1" applyFill="1" applyBorder="1" applyAlignment="1">
      <alignment horizontal="left" vertical="center"/>
    </xf>
    <xf numFmtId="0" fontId="454" fillId="64" borderId="0" xfId="4" applyFont="1" applyFill="1" applyAlignment="1">
      <alignment vertical="center"/>
    </xf>
    <xf numFmtId="0" fontId="434" fillId="64" borderId="0" xfId="4" applyFont="1" applyFill="1" applyAlignment="1">
      <alignment vertical="center"/>
    </xf>
    <xf numFmtId="0" fontId="14" fillId="63" borderId="303" xfId="7" applyFont="1" applyFill="1" applyBorder="1" applyAlignment="1">
      <alignment horizontal="left" vertical="center"/>
    </xf>
    <xf numFmtId="0" fontId="14" fillId="63" borderId="82" xfId="7" applyFont="1" applyFill="1" applyBorder="1" applyAlignment="1">
      <alignment horizontal="left" vertical="center"/>
    </xf>
    <xf numFmtId="0" fontId="14" fillId="63" borderId="332" xfId="7" applyFont="1" applyFill="1" applyBorder="1" applyAlignment="1">
      <alignment horizontal="left" vertical="center"/>
    </xf>
    <xf numFmtId="0" fontId="475" fillId="27" borderId="0" xfId="4" applyFont="1" applyFill="1" applyAlignment="1">
      <alignment horizontal="right" vertical="center"/>
    </xf>
    <xf numFmtId="0" fontId="476" fillId="64" borderId="0" xfId="4" applyFont="1" applyFill="1" applyAlignment="1">
      <alignment horizontal="left" vertical="center"/>
    </xf>
    <xf numFmtId="0" fontId="89" fillId="9" borderId="295" xfId="7" applyFont="1" applyFill="1" applyBorder="1" applyAlignment="1">
      <alignment vertical="center"/>
    </xf>
    <xf numFmtId="0" fontId="89" fillId="9" borderId="101" xfId="7" applyFont="1" applyFill="1" applyBorder="1" applyAlignment="1">
      <alignment vertical="center"/>
    </xf>
    <xf numFmtId="0" fontId="112" fillId="2" borderId="0" xfId="0" applyFont="1" applyFill="1" applyAlignment="1">
      <alignment horizontal="center" vertical="center"/>
    </xf>
    <xf numFmtId="0" fontId="477" fillId="64" borderId="0" xfId="4" applyFont="1" applyFill="1" applyAlignment="1">
      <alignment horizontal="left" vertical="center"/>
    </xf>
    <xf numFmtId="0" fontId="478" fillId="64" borderId="0" xfId="4" applyFont="1" applyFill="1" applyAlignment="1">
      <alignment horizontal="left" vertical="center"/>
    </xf>
    <xf numFmtId="0" fontId="89" fillId="9" borderId="296" xfId="7" applyFont="1" applyFill="1" applyBorder="1" applyAlignment="1">
      <alignment vertical="center"/>
    </xf>
    <xf numFmtId="0" fontId="89" fillId="9" borderId="292" xfId="7" applyFont="1" applyFill="1" applyBorder="1" applyAlignment="1">
      <alignment vertical="center"/>
    </xf>
    <xf numFmtId="0" fontId="68" fillId="2028" borderId="270" xfId="0" applyFont="1" applyFill="1" applyBorder="1" applyAlignment="1">
      <alignment vertical="center"/>
    </xf>
    <xf numFmtId="0" fontId="479" fillId="5" borderId="0" xfId="4" applyFont="1" applyFill="1" applyAlignment="1">
      <alignment horizontal="left" vertical="center"/>
    </xf>
    <xf numFmtId="0" fontId="377" fillId="5" borderId="0" xfId="14" applyFont="1" applyFill="1" applyAlignment="1">
      <alignment horizontal="left" vertical="center"/>
    </xf>
    <xf numFmtId="0" fontId="480" fillId="5" borderId="0" xfId="4" applyFont="1" applyFill="1" applyAlignment="1">
      <alignment horizontal="left" vertical="center"/>
    </xf>
    <xf numFmtId="0" fontId="377" fillId="5" borderId="0" xfId="14" applyFont="1" applyFill="1" applyAlignment="1">
      <alignment vertical="center"/>
    </xf>
    <xf numFmtId="0" fontId="481" fillId="64" borderId="0" xfId="44" applyFont="1" applyFill="1" applyAlignment="1" applyProtection="1">
      <alignment vertical="center"/>
    </xf>
    <xf numFmtId="0" fontId="1" fillId="64" borderId="0" xfId="5" applyFill="1"/>
    <xf numFmtId="0" fontId="482" fillId="64" borderId="0" xfId="4" applyFont="1" applyFill="1" applyAlignment="1" applyProtection="1">
      <alignment horizontal="center" vertical="center"/>
      <protection hidden="1"/>
    </xf>
    <xf numFmtId="0" fontId="482" fillId="64" borderId="0" xfId="4" applyFont="1" applyFill="1" applyAlignment="1">
      <alignment vertical="center"/>
    </xf>
    <xf numFmtId="0" fontId="453" fillId="64" borderId="0" xfId="4" applyFont="1" applyFill="1" applyAlignment="1">
      <alignment vertical="center"/>
    </xf>
    <xf numFmtId="0" fontId="49" fillId="5" borderId="32" xfId="15" applyFont="1" applyFill="1" applyBorder="1" applyAlignment="1">
      <alignment horizontal="center" vertical="center"/>
    </xf>
    <xf numFmtId="0" fontId="68" fillId="5" borderId="32" xfId="4" applyFont="1" applyFill="1" applyBorder="1"/>
    <xf numFmtId="0" fontId="49" fillId="5" borderId="32" xfId="4" applyFont="1" applyFill="1" applyBorder="1" applyAlignment="1">
      <alignment horizontal="center" vertical="center"/>
    </xf>
    <xf numFmtId="0" fontId="483" fillId="5" borderId="32" xfId="4" applyFont="1" applyFill="1" applyBorder="1" applyAlignment="1" applyProtection="1">
      <alignment horizontal="left" vertical="center"/>
      <protection locked="0"/>
    </xf>
    <xf numFmtId="0" fontId="483" fillId="5" borderId="372" xfId="4" applyFont="1" applyFill="1" applyBorder="1" applyAlignment="1" applyProtection="1">
      <alignment horizontal="left" vertical="center"/>
      <protection locked="0"/>
    </xf>
    <xf numFmtId="0" fontId="484" fillId="11" borderId="0" xfId="15" applyFont="1" applyFill="1" applyAlignment="1" applyProtection="1">
      <alignment horizontal="center" vertical="center" wrapText="1"/>
      <protection locked="0"/>
    </xf>
    <xf numFmtId="0" fontId="485" fillId="11" borderId="0" xfId="15" applyFont="1" applyFill="1" applyAlignment="1" applyProtection="1">
      <alignment horizontal="center" vertical="center"/>
      <protection locked="0"/>
    </xf>
    <xf numFmtId="0" fontId="202" fillId="9" borderId="0" xfId="0" applyFont="1" applyFill="1" applyAlignment="1">
      <alignment horizontal="center" vertical="center"/>
    </xf>
    <xf numFmtId="0" fontId="143" fillId="81" borderId="0" xfId="15" applyFont="1" applyFill="1" applyAlignment="1" applyProtection="1">
      <alignment horizontal="center" vertical="center"/>
      <protection locked="0"/>
    </xf>
    <xf numFmtId="0" fontId="202" fillId="9" borderId="0" xfId="2" applyFont="1" applyFill="1" applyAlignment="1">
      <alignment vertical="center"/>
    </xf>
    <xf numFmtId="0" fontId="202" fillId="9" borderId="0" xfId="0" applyFont="1" applyFill="1" applyAlignment="1">
      <alignment vertical="center"/>
    </xf>
    <xf numFmtId="0" fontId="483" fillId="9" borderId="0" xfId="4" applyFont="1" applyFill="1" applyAlignment="1" applyProtection="1">
      <alignment horizontal="left" vertical="center"/>
      <protection locked="0"/>
    </xf>
    <xf numFmtId="0" fontId="483" fillId="9" borderId="19" xfId="4" applyFont="1" applyFill="1" applyBorder="1" applyAlignment="1" applyProtection="1">
      <alignment horizontal="left" vertical="center"/>
      <protection locked="0"/>
    </xf>
    <xf numFmtId="0" fontId="143" fillId="113" borderId="0" xfId="4" applyFont="1" applyFill="1" applyAlignment="1">
      <alignment horizontal="center" vertical="center"/>
    </xf>
    <xf numFmtId="0" fontId="47" fillId="9" borderId="0" xfId="0" applyFont="1" applyFill="1" applyAlignment="1">
      <alignment horizontal="center" vertical="center"/>
    </xf>
    <xf numFmtId="0" fontId="68" fillId="9" borderId="0" xfId="15" applyFont="1" applyFill="1" applyAlignment="1" applyProtection="1">
      <alignment horizontal="left" vertical="center"/>
      <protection locked="0"/>
    </xf>
    <xf numFmtId="0" fontId="68" fillId="9" borderId="0" xfId="15" applyFont="1" applyFill="1" applyAlignment="1" applyProtection="1">
      <alignment horizontal="center" vertical="center"/>
      <protection locked="0"/>
    </xf>
    <xf numFmtId="0" fontId="68" fillId="9" borderId="0" xfId="5" applyFont="1" applyFill="1" applyAlignment="1">
      <alignment horizontal="center" vertical="center"/>
    </xf>
    <xf numFmtId="164" fontId="306" fillId="81" borderId="0" xfId="15" applyNumberFormat="1" applyFont="1" applyFill="1" applyAlignment="1" applyProtection="1">
      <alignment horizontal="center" vertical="center"/>
      <protection locked="0"/>
    </xf>
    <xf numFmtId="0" fontId="202" fillId="9" borderId="19" xfId="0" applyFont="1" applyFill="1" applyBorder="1" applyAlignment="1">
      <alignment vertical="center"/>
    </xf>
    <xf numFmtId="179" fontId="143" fillId="81" borderId="0" xfId="4" applyNumberFormat="1" applyFont="1" applyFill="1" applyAlignment="1">
      <alignment horizontal="center" vertical="center"/>
    </xf>
    <xf numFmtId="0" fontId="49" fillId="9" borderId="0" xfId="0" applyFont="1" applyFill="1" applyAlignment="1">
      <alignment vertical="center"/>
    </xf>
    <xf numFmtId="0" fontId="485" fillId="9" borderId="0" xfId="0" applyFont="1" applyFill="1" applyAlignment="1">
      <alignment vertical="center"/>
    </xf>
    <xf numFmtId="170" fontId="89" fillId="114" borderId="0" xfId="4" applyNumberFormat="1" applyFont="1" applyFill="1" applyAlignment="1">
      <alignment horizontal="center" vertical="center"/>
    </xf>
    <xf numFmtId="0" fontId="68" fillId="114" borderId="0" xfId="4" applyFont="1" applyFill="1" applyAlignment="1">
      <alignment vertical="center"/>
    </xf>
    <xf numFmtId="170" fontId="306" fillId="81" borderId="0" xfId="15" applyNumberFormat="1" applyFont="1" applyFill="1" applyAlignment="1" applyProtection="1">
      <alignment horizontal="center" vertical="center"/>
      <protection locked="0"/>
    </xf>
    <xf numFmtId="1" fontId="143" fillId="9" borderId="0" xfId="19" applyNumberFormat="1" applyFont="1" applyFill="1" applyAlignment="1">
      <alignment vertical="center"/>
    </xf>
    <xf numFmtId="0" fontId="202" fillId="0" borderId="0" xfId="0" applyFont="1"/>
    <xf numFmtId="0" fontId="486" fillId="9" borderId="0" xfId="4" applyFont="1" applyFill="1" applyAlignment="1">
      <alignment horizontal="center" vertical="center"/>
    </xf>
    <xf numFmtId="0" fontId="487" fillId="9" borderId="0" xfId="0" applyFont="1" applyFill="1" applyAlignment="1">
      <alignment vertical="center" wrapText="1"/>
    </xf>
    <xf numFmtId="0" fontId="487" fillId="9" borderId="19" xfId="0" applyFont="1" applyFill="1" applyBorder="1" applyAlignment="1">
      <alignment vertical="center" wrapText="1"/>
    </xf>
    <xf numFmtId="1" fontId="125" fillId="5" borderId="59" xfId="19" applyNumberFormat="1" applyFont="1" applyFill="1" applyBorder="1" applyAlignment="1">
      <alignment vertical="center"/>
    </xf>
    <xf numFmtId="179" fontId="143" fillId="2029" borderId="59" xfId="4" applyNumberFormat="1" applyFont="1" applyFill="1" applyBorder="1" applyAlignment="1">
      <alignment vertical="center"/>
    </xf>
    <xf numFmtId="0" fontId="485" fillId="5" borderId="59" xfId="0" applyFont="1" applyFill="1" applyBorder="1" applyAlignment="1">
      <alignment vertical="center"/>
    </xf>
    <xf numFmtId="170" fontId="49" fillId="2030" borderId="59" xfId="4" applyNumberFormat="1" applyFont="1" applyFill="1" applyBorder="1" applyAlignment="1">
      <alignment vertical="center"/>
    </xf>
    <xf numFmtId="0" fontId="137" fillId="5" borderId="59" xfId="0" applyFont="1" applyFill="1" applyBorder="1" applyAlignment="1">
      <alignment vertical="center"/>
    </xf>
    <xf numFmtId="0" fontId="68" fillId="2030" borderId="59" xfId="4" applyFont="1" applyFill="1" applyBorder="1" applyAlignment="1">
      <alignment vertical="center"/>
    </xf>
    <xf numFmtId="0" fontId="202" fillId="5" borderId="59" xfId="0" applyFont="1" applyFill="1" applyBorder="1" applyAlignment="1">
      <alignment vertical="center"/>
    </xf>
    <xf numFmtId="0" fontId="202" fillId="5" borderId="59" xfId="0" applyFont="1" applyFill="1" applyBorder="1" applyAlignment="1">
      <alignment horizontal="center" vertical="center"/>
    </xf>
    <xf numFmtId="0" fontId="486" fillId="5" borderId="59" xfId="4" applyFont="1" applyFill="1" applyBorder="1" applyAlignment="1">
      <alignment horizontal="center" vertical="center"/>
    </xf>
    <xf numFmtId="0" fontId="487" fillId="5" borderId="59" xfId="0" applyFont="1" applyFill="1" applyBorder="1" applyAlignment="1">
      <alignment vertical="center" wrapText="1"/>
    </xf>
    <xf numFmtId="0" fontId="487" fillId="5" borderId="66" xfId="0" applyFont="1" applyFill="1" applyBorder="1" applyAlignment="1">
      <alignment vertical="center" wrapText="1"/>
    </xf>
    <xf numFmtId="0" fontId="488" fillId="64" borderId="0" xfId="4" applyFont="1" applyFill="1" applyAlignment="1">
      <alignment vertical="center"/>
    </xf>
    <xf numFmtId="0" fontId="64" fillId="7" borderId="0" xfId="1" applyFont="1" applyFill="1" applyAlignment="1">
      <alignment vertical="center"/>
    </xf>
    <xf numFmtId="0" fontId="8" fillId="7" borderId="0" xfId="4" applyFill="1" applyAlignment="1">
      <alignment vertical="center"/>
    </xf>
    <xf numFmtId="0" fontId="168" fillId="7" borderId="0" xfId="1" applyFont="1" applyFill="1" applyAlignment="1">
      <alignment vertical="center"/>
    </xf>
    <xf numFmtId="0" fontId="419" fillId="7" borderId="0" xfId="14" applyFont="1" applyFill="1" applyAlignment="1">
      <alignment vertical="center"/>
    </xf>
    <xf numFmtId="0" fontId="64" fillId="7" borderId="0" xfId="0" applyFont="1" applyFill="1" applyAlignment="1">
      <alignment vertical="center"/>
    </xf>
    <xf numFmtId="0" fontId="489" fillId="64" borderId="0" xfId="0" applyFont="1" applyFill="1" applyAlignment="1">
      <alignment vertical="center"/>
    </xf>
    <xf numFmtId="0" fontId="490" fillId="64" borderId="0" xfId="1" applyFont="1" applyFill="1" applyAlignment="1">
      <alignment horizontal="center" vertical="center"/>
    </xf>
    <xf numFmtId="0" fontId="490" fillId="64" borderId="0" xfId="0" applyFont="1" applyFill="1"/>
    <xf numFmtId="0" fontId="491" fillId="64" borderId="0" xfId="4" applyFont="1" applyFill="1" applyAlignment="1" applyProtection="1">
      <alignment horizontal="center" vertical="center"/>
      <protection hidden="1"/>
    </xf>
    <xf numFmtId="0" fontId="492" fillId="64" borderId="0" xfId="4" applyFont="1" applyFill="1" applyAlignment="1" applyProtection="1">
      <alignment horizontal="center" vertical="center"/>
      <protection hidden="1"/>
    </xf>
    <xf numFmtId="0" fontId="493" fillId="5" borderId="0" xfId="14" applyFont="1" applyFill="1" applyAlignment="1">
      <alignment horizontal="left" vertical="center"/>
    </xf>
    <xf numFmtId="0" fontId="494" fillId="5" borderId="0" xfId="1" applyFont="1" applyFill="1" applyAlignment="1">
      <alignment horizontal="center" vertical="center"/>
    </xf>
    <xf numFmtId="0" fontId="456" fillId="5" borderId="0" xfId="0" applyFont="1" applyFill="1"/>
    <xf numFmtId="0" fontId="491" fillId="5" borderId="0" xfId="4" applyFont="1" applyFill="1" applyAlignment="1" applyProtection="1">
      <alignment horizontal="center" vertical="center"/>
      <protection hidden="1"/>
    </xf>
    <xf numFmtId="0" fontId="303" fillId="5" borderId="0" xfId="1" applyFont="1" applyFill="1" applyAlignment="1">
      <alignment horizontal="left" vertical="center"/>
    </xf>
    <xf numFmtId="0" fontId="489" fillId="64" borderId="0" xfId="1" applyFont="1" applyFill="1" applyAlignment="1">
      <alignment horizontal="left" vertical="center"/>
    </xf>
    <xf numFmtId="0" fontId="490" fillId="64" borderId="0" xfId="1" applyFont="1" applyFill="1"/>
    <xf numFmtId="0" fontId="495" fillId="64" borderId="0" xfId="0" applyFont="1" applyFill="1" applyAlignment="1">
      <alignment horizontal="left" vertical="center"/>
    </xf>
    <xf numFmtId="0" fontId="489" fillId="64" borderId="0" xfId="17" applyFont="1" applyFill="1" applyAlignment="1">
      <alignment horizontal="center" vertical="center"/>
    </xf>
    <xf numFmtId="0" fontId="489" fillId="64" borderId="0" xfId="4" applyFont="1" applyFill="1" applyAlignment="1">
      <alignment horizontal="left" vertical="center"/>
    </xf>
    <xf numFmtId="0" fontId="495" fillId="64" borderId="0" xfId="0" applyFont="1" applyFill="1" applyAlignment="1">
      <alignment horizontal="center" vertical="center"/>
    </xf>
    <xf numFmtId="0" fontId="490" fillId="64" borderId="0" xfId="1" applyFont="1" applyFill="1" applyAlignment="1">
      <alignment horizontal="left" vertical="center"/>
    </xf>
    <xf numFmtId="0" fontId="490" fillId="64" borderId="0" xfId="0" applyFont="1" applyFill="1" applyAlignment="1">
      <alignment horizontal="center" vertical="center"/>
    </xf>
    <xf numFmtId="0" fontId="456" fillId="53" borderId="0" xfId="0" applyFont="1" applyFill="1" applyAlignment="1">
      <alignment horizontal="center" vertical="center"/>
    </xf>
    <xf numFmtId="0" fontId="496" fillId="64" borderId="0" xfId="33" applyFont="1" applyFill="1" applyAlignment="1">
      <alignment vertical="center"/>
    </xf>
    <xf numFmtId="0" fontId="8" fillId="64" borderId="0" xfId="22" applyFill="1" applyAlignment="1">
      <alignment vertical="center"/>
    </xf>
    <xf numFmtId="0" fontId="435" fillId="64" borderId="0" xfId="22" applyFont="1" applyFill="1"/>
    <xf numFmtId="0" fontId="413" fillId="64" borderId="0" xfId="4" applyFont="1" applyFill="1" applyAlignment="1">
      <alignment vertical="center"/>
    </xf>
    <xf numFmtId="0" fontId="497" fillId="64" borderId="0" xfId="12" applyFont="1" applyFill="1" applyAlignment="1">
      <alignment horizontal="left" vertical="center"/>
    </xf>
    <xf numFmtId="0" fontId="413" fillId="64" borderId="0" xfId="4" applyFont="1" applyFill="1" applyAlignment="1">
      <alignment horizontal="center" vertical="center"/>
    </xf>
    <xf numFmtId="0" fontId="435" fillId="64" borderId="0" xfId="4" applyFont="1" applyFill="1" applyAlignment="1">
      <alignment vertical="center"/>
    </xf>
    <xf numFmtId="168" fontId="498" fillId="64" borderId="108" xfId="10" applyNumberFormat="1" applyFont="1" applyFill="1" applyBorder="1" applyAlignment="1">
      <alignment horizontal="center" vertical="center"/>
    </xf>
    <xf numFmtId="198" fontId="295" fillId="2031" borderId="373" xfId="21" applyNumberFormat="1" applyFont="1" applyFill="1" applyBorder="1" applyAlignment="1" applyProtection="1">
      <alignment horizontal="center" vertical="center"/>
      <protection locked="0"/>
    </xf>
    <xf numFmtId="0" fontId="434" fillId="64" borderId="0" xfId="4" applyFont="1" applyFill="1" applyAlignment="1">
      <alignment horizontal="right" vertical="center"/>
    </xf>
    <xf numFmtId="0" fontId="454" fillId="64" borderId="0" xfId="4" applyFont="1" applyFill="1" applyAlignment="1">
      <alignment horizontal="center" vertical="center"/>
    </xf>
    <xf numFmtId="0" fontId="499" fillId="64" borderId="0" xfId="21" applyFont="1" applyFill="1" applyAlignment="1">
      <alignment horizontal="left" vertical="center"/>
    </xf>
    <xf numFmtId="0" fontId="500" fillId="64" borderId="0" xfId="21" applyFont="1" applyFill="1" applyAlignment="1">
      <alignment horizontal="left" vertical="center"/>
    </xf>
    <xf numFmtId="0" fontId="501" fillId="64" borderId="0" xfId="21" applyFont="1" applyFill="1" applyAlignment="1">
      <alignment horizontal="left" vertical="center"/>
    </xf>
    <xf numFmtId="0" fontId="502" fillId="64" borderId="0" xfId="21" applyFont="1" applyFill="1" applyAlignment="1">
      <alignment horizontal="left" vertical="center"/>
    </xf>
    <xf numFmtId="0" fontId="503" fillId="64" borderId="0" xfId="21" applyFont="1" applyFill="1" applyAlignment="1">
      <alignment horizontal="left" vertical="center"/>
    </xf>
    <xf numFmtId="0" fontId="504" fillId="64" borderId="0" xfId="21" applyFont="1" applyFill="1" applyAlignment="1">
      <alignment horizontal="left" vertical="center"/>
    </xf>
    <xf numFmtId="0" fontId="505" fillId="64" borderId="0" xfId="21" applyFont="1" applyFill="1" applyAlignment="1">
      <alignment horizontal="left" vertical="center"/>
    </xf>
    <xf numFmtId="0" fontId="506" fillId="64" borderId="0" xfId="21" applyFont="1" applyFill="1" applyAlignment="1">
      <alignment horizontal="left" vertical="center"/>
    </xf>
    <xf numFmtId="0" fontId="507" fillId="64" borderId="0" xfId="21" applyFont="1" applyFill="1" applyAlignment="1">
      <alignment horizontal="left" vertical="center"/>
    </xf>
    <xf numFmtId="0" fontId="508" fillId="9" borderId="0" xfId="0" applyFont="1" applyFill="1"/>
    <xf numFmtId="0" fontId="510" fillId="9" borderId="0" xfId="14" applyFont="1" applyFill="1" applyAlignment="1">
      <alignment vertical="center"/>
    </xf>
    <xf numFmtId="0" fontId="509" fillId="9" borderId="0" xfId="0" applyFont="1" applyFill="1" applyAlignment="1">
      <alignment vertical="center"/>
    </xf>
    <xf numFmtId="0" fontId="511" fillId="64" borderId="0" xfId="4" applyFont="1" applyFill="1" applyAlignment="1" applyProtection="1">
      <alignment horizontal="center" vertical="center"/>
      <protection hidden="1"/>
    </xf>
    <xf numFmtId="0" fontId="8" fillId="64" borderId="0" xfId="22" applyFill="1" applyProtection="1">
      <protection hidden="1"/>
    </xf>
    <xf numFmtId="0" fontId="45" fillId="9" borderId="41" xfId="22" applyFont="1" applyFill="1" applyBorder="1" applyAlignment="1">
      <alignment vertical="center"/>
    </xf>
    <xf numFmtId="0" fontId="45" fillId="9" borderId="40" xfId="22" applyFont="1" applyFill="1" applyBorder="1" applyAlignment="1">
      <alignment vertical="center"/>
    </xf>
    <xf numFmtId="0" fontId="45" fillId="9" borderId="39" xfId="22" applyFont="1" applyFill="1" applyBorder="1" applyAlignment="1">
      <alignment vertical="center"/>
    </xf>
    <xf numFmtId="0" fontId="8" fillId="0" borderId="0" xfId="22"/>
    <xf numFmtId="0" fontId="46" fillId="9" borderId="2" xfId="5" applyFont="1" applyFill="1" applyBorder="1" applyAlignment="1">
      <alignment vertical="center"/>
    </xf>
    <xf numFmtId="0" fontId="56" fillId="9" borderId="0" xfId="5" applyFont="1" applyFill="1" applyAlignment="1">
      <alignment horizontal="center"/>
    </xf>
    <xf numFmtId="0" fontId="45" fillId="9" borderId="2" xfId="22" applyFont="1" applyFill="1" applyBorder="1" applyAlignment="1">
      <alignment vertical="center"/>
    </xf>
    <xf numFmtId="0" fontId="45" fillId="9" borderId="0" xfId="22" applyFont="1" applyFill="1" applyAlignment="1">
      <alignment vertical="center"/>
    </xf>
    <xf numFmtId="0" fontId="45" fillId="9" borderId="4" xfId="22" applyFont="1" applyFill="1" applyBorder="1" applyAlignment="1">
      <alignment vertical="center"/>
    </xf>
    <xf numFmtId="0" fontId="46" fillId="9" borderId="4" xfId="5" applyFont="1" applyFill="1" applyBorder="1" applyAlignment="1">
      <alignment vertical="center" wrapText="1"/>
    </xf>
    <xf numFmtId="0" fontId="8" fillId="9" borderId="2" xfId="22" applyFill="1" applyBorder="1"/>
    <xf numFmtId="0" fontId="8" fillId="9" borderId="0" xfId="22" applyFill="1"/>
    <xf numFmtId="0" fontId="8" fillId="9" borderId="4" xfId="22" applyFill="1" applyBorder="1"/>
    <xf numFmtId="0" fontId="0" fillId="9" borderId="30" xfId="0" applyFill="1" applyBorder="1"/>
    <xf numFmtId="0" fontId="1" fillId="7" borderId="0" xfId="8" applyFill="1" applyAlignment="1">
      <alignment horizontal="left"/>
    </xf>
    <xf numFmtId="0" fontId="490" fillId="64" borderId="0" xfId="4" applyFont="1" applyFill="1" applyAlignment="1" applyProtection="1">
      <alignment horizontal="left" vertical="center"/>
      <protection hidden="1"/>
    </xf>
    <xf numFmtId="0" fontId="36" fillId="64" borderId="0" xfId="4" applyFont="1" applyFill="1" applyProtection="1">
      <protection hidden="1"/>
    </xf>
    <xf numFmtId="0" fontId="413" fillId="64" borderId="0" xfId="5" applyFont="1" applyFill="1" applyAlignment="1">
      <alignment vertical="center"/>
    </xf>
    <xf numFmtId="0" fontId="83" fillId="64" borderId="0" xfId="5" applyFont="1" applyFill="1" applyAlignment="1">
      <alignment vertical="center"/>
    </xf>
    <xf numFmtId="0" fontId="489" fillId="64" borderId="0" xfId="4" applyFont="1" applyFill="1" applyAlignment="1" applyProtection="1">
      <alignment vertical="center"/>
      <protection hidden="1"/>
    </xf>
    <xf numFmtId="0" fontId="39" fillId="64" borderId="0" xfId="5" applyFont="1" applyFill="1"/>
    <xf numFmtId="0" fontId="490" fillId="64" borderId="0" xfId="21" applyFont="1" applyFill="1" applyAlignment="1">
      <alignment horizontal="left" vertical="center"/>
    </xf>
    <xf numFmtId="0" fontId="490" fillId="64" borderId="0" xfId="16" applyFont="1" applyFill="1" applyAlignment="1">
      <alignment horizontal="left" vertical="center"/>
    </xf>
    <xf numFmtId="0" fontId="493" fillId="7" borderId="0" xfId="14" applyFont="1" applyFill="1" applyBorder="1" applyAlignment="1">
      <alignment vertical="center"/>
    </xf>
    <xf numFmtId="0" fontId="512" fillId="64" borderId="0" xfId="21" applyFont="1" applyFill="1" applyAlignment="1">
      <alignment horizontal="left" vertical="center"/>
    </xf>
    <xf numFmtId="0" fontId="513" fillId="5" borderId="0" xfId="0" applyFont="1" applyFill="1" applyAlignment="1">
      <alignment horizontal="center" vertical="center"/>
    </xf>
    <xf numFmtId="0" fontId="413" fillId="64" borderId="0" xfId="0" applyFont="1" applyFill="1" applyAlignment="1">
      <alignment horizontal="center" vertical="center"/>
    </xf>
    <xf numFmtId="0" fontId="514" fillId="5" borderId="0" xfId="16" applyFont="1" applyFill="1" applyAlignment="1">
      <alignment horizontal="center" vertical="center"/>
    </xf>
    <xf numFmtId="0" fontId="515" fillId="5" borderId="0" xfId="21" applyFont="1" applyFill="1" applyAlignment="1">
      <alignment horizontal="center" vertical="center"/>
    </xf>
    <xf numFmtId="0" fontId="517" fillId="64" borderId="0" xfId="4" applyFont="1" applyFill="1" applyAlignment="1">
      <alignment horizontal="center" vertical="center"/>
    </xf>
    <xf numFmtId="0" fontId="456" fillId="64" borderId="0" xfId="5" applyFont="1" applyFill="1"/>
    <xf numFmtId="0" fontId="517" fillId="64" borderId="0" xfId="4" applyFont="1" applyFill="1" applyAlignment="1">
      <alignment vertical="center"/>
    </xf>
    <xf numFmtId="0" fontId="438" fillId="64" borderId="0" xfId="33" applyFont="1" applyFill="1" applyAlignment="1">
      <alignment vertical="center"/>
    </xf>
    <xf numFmtId="0" fontId="518" fillId="5" borderId="0" xfId="14" applyFont="1" applyFill="1" applyAlignment="1">
      <alignment vertical="center"/>
    </xf>
    <xf numFmtId="0" fontId="8" fillId="5" borderId="0" xfId="22" applyFill="1" applyAlignment="1">
      <alignment vertical="center"/>
    </xf>
    <xf numFmtId="0" fontId="8" fillId="0" borderId="0" xfId="22" applyAlignment="1">
      <alignment vertical="center"/>
    </xf>
    <xf numFmtId="0" fontId="519" fillId="64" borderId="0" xfId="22" applyFont="1" applyFill="1" applyAlignment="1">
      <alignment horizontal="center" vertical="center"/>
    </xf>
    <xf numFmtId="0" fontId="519" fillId="64" borderId="0" xfId="22" quotePrefix="1" applyFont="1" applyFill="1" applyAlignment="1">
      <alignment horizontal="center" vertical="center"/>
    </xf>
    <xf numFmtId="0" fontId="520" fillId="64" borderId="0" xfId="0" applyFont="1" applyFill="1" applyAlignment="1">
      <alignment horizontal="right" vertical="center"/>
    </xf>
    <xf numFmtId="0" fontId="521" fillId="64" borderId="0" xfId="0" applyFont="1" applyFill="1" applyAlignment="1">
      <alignment vertical="center"/>
    </xf>
    <xf numFmtId="0" fontId="69" fillId="64" borderId="0" xfId="0" applyFont="1" applyFill="1" applyAlignment="1">
      <alignment horizontal="center" vertical="center"/>
    </xf>
    <xf numFmtId="0" fontId="490" fillId="64" borderId="0" xfId="22" applyFont="1" applyFill="1" applyAlignment="1" applyProtection="1">
      <alignment vertical="center"/>
      <protection hidden="1"/>
    </xf>
    <xf numFmtId="0" fontId="135" fillId="64" borderId="0" xfId="0" applyFont="1" applyFill="1" applyAlignment="1">
      <alignment horizontal="left" vertical="top"/>
    </xf>
    <xf numFmtId="0" fontId="522" fillId="63" borderId="0" xfId="4" applyFont="1" applyFill="1" applyAlignment="1">
      <alignment horizontal="center" vertical="center"/>
    </xf>
    <xf numFmtId="0" fontId="523" fillId="63" borderId="0" xfId="4" applyFont="1" applyFill="1" applyAlignment="1">
      <alignment horizontal="center" vertical="center"/>
    </xf>
    <xf numFmtId="0" fontId="524" fillId="63" borderId="0" xfId="4" applyFont="1" applyFill="1" applyAlignment="1">
      <alignment horizontal="center" vertical="center"/>
    </xf>
    <xf numFmtId="0" fontId="525" fillId="63" borderId="0" xfId="4" applyFont="1" applyFill="1" applyAlignment="1">
      <alignment horizontal="center" vertical="center"/>
    </xf>
    <xf numFmtId="0" fontId="526" fillId="63" borderId="0" xfId="4" applyFont="1" applyFill="1" applyAlignment="1">
      <alignment horizontal="center" vertical="center"/>
    </xf>
    <xf numFmtId="0" fontId="527" fillId="63" borderId="0" xfId="4" applyFont="1" applyFill="1" applyAlignment="1">
      <alignment horizontal="center" vertical="center"/>
    </xf>
    <xf numFmtId="0" fontId="528" fillId="63" borderId="0" xfId="4" applyFont="1" applyFill="1" applyAlignment="1">
      <alignment horizontal="center" vertical="center"/>
    </xf>
    <xf numFmtId="0" fontId="529" fillId="63" borderId="0" xfId="4" applyFont="1" applyFill="1" applyAlignment="1">
      <alignment horizontal="center" vertical="center"/>
    </xf>
    <xf numFmtId="0" fontId="530" fillId="63" borderId="0" xfId="4" applyFont="1" applyFill="1" applyAlignment="1">
      <alignment horizontal="center" vertical="center"/>
    </xf>
    <xf numFmtId="0" fontId="531" fillId="63" borderId="0" xfId="4" applyFont="1" applyFill="1" applyAlignment="1">
      <alignment horizontal="center" vertical="center"/>
    </xf>
    <xf numFmtId="0" fontId="532" fillId="63" borderId="0" xfId="4" applyFont="1" applyFill="1" applyAlignment="1">
      <alignment horizontal="center" vertical="center"/>
    </xf>
    <xf numFmtId="0" fontId="533" fillId="63" borderId="0" xfId="4" applyFont="1" applyFill="1" applyAlignment="1">
      <alignment horizontal="center" vertical="center"/>
    </xf>
    <xf numFmtId="0" fontId="534" fillId="63" borderId="0" xfId="4" applyFont="1" applyFill="1" applyAlignment="1">
      <alignment horizontal="center" vertical="center"/>
    </xf>
    <xf numFmtId="0" fontId="535" fillId="63" borderId="0" xfId="4" applyFont="1" applyFill="1" applyAlignment="1">
      <alignment horizontal="center" vertical="center"/>
    </xf>
    <xf numFmtId="0" fontId="536" fillId="63" borderId="0" xfId="4" applyFont="1" applyFill="1" applyAlignment="1">
      <alignment horizontal="center" vertical="center"/>
    </xf>
    <xf numFmtId="0" fontId="537" fillId="63" borderId="0" xfId="4" applyFont="1" applyFill="1" applyAlignment="1">
      <alignment horizontal="center" vertical="center"/>
    </xf>
    <xf numFmtId="0" fontId="538" fillId="63" borderId="0" xfId="4" applyFont="1" applyFill="1" applyAlignment="1">
      <alignment horizontal="center" vertical="center"/>
    </xf>
    <xf numFmtId="0" fontId="539" fillId="63" borderId="0" xfId="4" applyFont="1" applyFill="1" applyAlignment="1">
      <alignment horizontal="center" vertical="center"/>
    </xf>
    <xf numFmtId="0" fontId="513" fillId="9" borderId="2" xfId="4" applyFont="1" applyFill="1" applyBorder="1" applyAlignment="1">
      <alignment horizontal="center" vertical="center"/>
    </xf>
    <xf numFmtId="0" fontId="540" fillId="0" borderId="36" xfId="45" applyFont="1" applyBorder="1" applyAlignment="1">
      <alignment horizontal="center" vertical="center"/>
    </xf>
    <xf numFmtId="166" fontId="541" fillId="2032" borderId="374" xfId="4" applyNumberFormat="1" applyFont="1" applyFill="1" applyBorder="1" applyAlignment="1">
      <alignment horizontal="center" vertical="center"/>
    </xf>
    <xf numFmtId="0" fontId="542" fillId="2033" borderId="2" xfId="4" applyFont="1" applyFill="1" applyBorder="1" applyAlignment="1">
      <alignment horizontal="center" vertical="center"/>
    </xf>
    <xf numFmtId="0" fontId="542" fillId="2034" borderId="2" xfId="4" applyFont="1" applyFill="1" applyBorder="1" applyAlignment="1">
      <alignment horizontal="center" vertical="center"/>
    </xf>
    <xf numFmtId="0" fontId="488" fillId="64" borderId="0" xfId="22" applyFont="1" applyFill="1" applyAlignment="1">
      <alignment vertical="center"/>
    </xf>
    <xf numFmtId="0" fontId="543" fillId="9" borderId="0" xfId="22" applyFont="1" applyFill="1" applyAlignment="1">
      <alignment vertical="center"/>
    </xf>
    <xf numFmtId="0" fontId="8" fillId="9" borderId="0" xfId="22" applyFill="1" applyProtection="1">
      <protection hidden="1"/>
    </xf>
    <xf numFmtId="0" fontId="544" fillId="9" borderId="2" xfId="22" applyFont="1" applyFill="1" applyBorder="1" applyAlignment="1">
      <alignment vertical="center"/>
    </xf>
    <xf numFmtId="0" fontId="8" fillId="9" borderId="0" xfId="22" applyFill="1" applyAlignment="1">
      <alignment vertical="center"/>
    </xf>
    <xf numFmtId="0" fontId="413" fillId="69" borderId="0" xfId="0" applyFont="1" applyFill="1" applyAlignment="1">
      <alignment horizontal="center" vertical="center"/>
    </xf>
    <xf numFmtId="193" fontId="545" fillId="9" borderId="0" xfId="22" applyNumberFormat="1" applyFont="1" applyFill="1" applyAlignment="1">
      <alignment vertical="center"/>
    </xf>
    <xf numFmtId="0" fontId="544" fillId="9" borderId="0" xfId="22" applyFont="1" applyFill="1" applyAlignment="1">
      <alignment horizontal="left" vertical="center"/>
    </xf>
    <xf numFmtId="0" fontId="8" fillId="0" borderId="0" xfId="22" applyProtection="1">
      <protection hidden="1"/>
    </xf>
    <xf numFmtId="0" fontId="546" fillId="92" borderId="0" xfId="22" applyFont="1" applyFill="1" applyAlignment="1">
      <alignment horizontal="center" vertical="center"/>
    </xf>
    <xf numFmtId="0" fontId="547" fillId="2" borderId="4" xfId="22" applyFont="1" applyFill="1" applyBorder="1" applyAlignment="1">
      <alignment horizontal="center" vertical="center"/>
    </xf>
    <xf numFmtId="0" fontId="547" fillId="2" borderId="0" xfId="22" applyFont="1" applyFill="1" applyAlignment="1">
      <alignment horizontal="center" vertical="center"/>
    </xf>
    <xf numFmtId="0" fontId="454" fillId="64" borderId="0" xfId="22" applyFont="1" applyFill="1" applyAlignment="1">
      <alignment vertical="center"/>
    </xf>
    <xf numFmtId="0" fontId="454" fillId="64" borderId="2" xfId="22" applyFont="1" applyFill="1" applyBorder="1" applyAlignment="1">
      <alignment vertical="center"/>
    </xf>
    <xf numFmtId="0" fontId="237" fillId="9" borderId="0" xfId="22" applyFont="1" applyFill="1" applyAlignment="1">
      <alignment horizontal="center" vertical="center"/>
    </xf>
    <xf numFmtId="0" fontId="454" fillId="64" borderId="0" xfId="22" applyFont="1" applyFill="1" applyAlignment="1">
      <alignment horizontal="right" vertical="center"/>
    </xf>
    <xf numFmtId="0" fontId="130" fillId="39" borderId="40" xfId="5" applyFont="1" applyFill="1" applyBorder="1" applyAlignment="1">
      <alignment horizontal="center" vertical="center"/>
    </xf>
    <xf numFmtId="0" fontId="548" fillId="0" borderId="0" xfId="0" applyFont="1" applyAlignment="1">
      <alignment vertical="center"/>
    </xf>
    <xf numFmtId="0" fontId="548" fillId="9" borderId="0" xfId="0" applyFont="1" applyFill="1" applyAlignment="1">
      <alignment vertical="center"/>
    </xf>
    <xf numFmtId="0" fontId="59" fillId="0" borderId="0" xfId="13" applyFont="1"/>
    <xf numFmtId="0" fontId="144" fillId="9" borderId="40" xfId="4" applyFont="1" applyFill="1" applyBorder="1" applyAlignment="1" applyProtection="1">
      <alignment horizontal="center" vertical="center" textRotation="90"/>
      <protection locked="0"/>
    </xf>
    <xf numFmtId="0" fontId="114" fillId="9" borderId="40" xfId="4" applyFont="1" applyFill="1" applyBorder="1" applyAlignment="1" applyProtection="1">
      <alignment vertical="center"/>
      <protection hidden="1"/>
    </xf>
    <xf numFmtId="0" fontId="9" fillId="9" borderId="40" xfId="4" applyFont="1" applyFill="1" applyBorder="1" applyAlignment="1" applyProtection="1">
      <alignment vertical="center"/>
      <protection hidden="1"/>
    </xf>
    <xf numFmtId="0" fontId="79" fillId="9" borderId="40" xfId="4" applyFont="1" applyFill="1" applyBorder="1" applyAlignment="1" applyProtection="1">
      <alignment vertical="center"/>
      <protection hidden="1"/>
    </xf>
    <xf numFmtId="0" fontId="13" fillId="9" borderId="40" xfId="13" applyFont="1" applyFill="1" applyBorder="1"/>
    <xf numFmtId="0" fontId="144" fillId="9" borderId="0" xfId="4" applyFont="1" applyFill="1" applyAlignment="1" applyProtection="1">
      <alignment horizontal="center" vertical="center" textRotation="90"/>
      <protection locked="0"/>
    </xf>
    <xf numFmtId="0" fontId="114" fillId="9" borderId="0" xfId="4" applyFont="1" applyFill="1" applyAlignment="1" applyProtection="1">
      <alignment vertical="center"/>
      <protection hidden="1"/>
    </xf>
    <xf numFmtId="0" fontId="79" fillId="9" borderId="0" xfId="4" applyFont="1" applyFill="1" applyAlignment="1" applyProtection="1">
      <alignment vertical="center"/>
      <protection hidden="1"/>
    </xf>
    <xf numFmtId="0" fontId="114" fillId="9" borderId="0" xfId="4" applyFont="1" applyFill="1" applyAlignment="1" applyProtection="1">
      <alignment horizontal="left" vertical="center"/>
      <protection hidden="1"/>
    </xf>
    <xf numFmtId="0" fontId="79" fillId="9" borderId="0" xfId="4" applyFont="1" applyFill="1" applyAlignment="1" applyProtection="1">
      <alignment horizontal="left" vertical="center"/>
      <protection hidden="1"/>
    </xf>
    <xf numFmtId="0" fontId="13" fillId="9" borderId="0" xfId="4" applyFont="1" applyFill="1" applyAlignment="1" applyProtection="1">
      <alignment vertical="center"/>
      <protection hidden="1"/>
    </xf>
    <xf numFmtId="0" fontId="144" fillId="9" borderId="1" xfId="4" applyFont="1" applyFill="1" applyBorder="1" applyAlignment="1" applyProtection="1">
      <alignment horizontal="center" vertical="center" textRotation="90"/>
      <protection locked="0"/>
    </xf>
    <xf numFmtId="0" fontId="56" fillId="16" borderId="3" xfId="4" applyFont="1" applyFill="1" applyBorder="1" applyAlignment="1" applyProtection="1">
      <alignment horizontal="center" vertical="center"/>
      <protection hidden="1"/>
    </xf>
    <xf numFmtId="0" fontId="124" fillId="2035" borderId="0" xfId="10" applyFont="1" applyFill="1" applyAlignment="1">
      <alignment vertical="center" textRotation="90"/>
    </xf>
    <xf numFmtId="0" fontId="123" fillId="9" borderId="0" xfId="10" applyFont="1" applyFill="1" applyAlignment="1">
      <alignment horizontal="left" vertical="center"/>
    </xf>
    <xf numFmtId="0" fontId="300" fillId="9" borderId="0" xfId="4" applyFont="1" applyFill="1" applyAlignment="1" applyProtection="1">
      <alignment horizontal="left" vertical="center"/>
      <protection hidden="1"/>
    </xf>
    <xf numFmtId="0" fontId="9" fillId="34" borderId="376" xfId="1" applyFont="1" applyFill="1" applyBorder="1" applyAlignment="1">
      <alignment horizontal="center" vertical="center"/>
    </xf>
    <xf numFmtId="0" fontId="57" fillId="34" borderId="376" xfId="1" applyFont="1" applyFill="1" applyBorder="1" applyAlignment="1">
      <alignment horizontal="center" vertical="center"/>
    </xf>
    <xf numFmtId="0" fontId="27" fillId="53" borderId="378" xfId="9" applyFont="1" applyFill="1" applyBorder="1" applyAlignment="1">
      <alignment horizontal="right" vertical="center"/>
    </xf>
    <xf numFmtId="0" fontId="38" fillId="5" borderId="378" xfId="0" applyFont="1" applyFill="1" applyBorder="1" applyAlignment="1">
      <alignment horizontal="left" vertical="center"/>
    </xf>
    <xf numFmtId="0" fontId="38" fillId="5" borderId="378" xfId="1" applyFont="1" applyFill="1" applyBorder="1" applyAlignment="1">
      <alignment horizontal="right" vertical="center"/>
    </xf>
    <xf numFmtId="0" fontId="10" fillId="5" borderId="378" xfId="0" applyFont="1" applyFill="1" applyBorder="1" applyAlignment="1">
      <alignment vertical="center"/>
    </xf>
    <xf numFmtId="0" fontId="70" fillId="5" borderId="378" xfId="0" applyFont="1" applyFill="1" applyBorder="1" applyAlignment="1">
      <alignment horizontal="right" vertical="center"/>
    </xf>
    <xf numFmtId="0" fontId="586" fillId="20" borderId="295" xfId="9" applyFont="1" applyFill="1" applyBorder="1" applyAlignment="1">
      <alignment horizontal="center" vertical="center"/>
    </xf>
    <xf numFmtId="0" fontId="26" fillId="5" borderId="0" xfId="6" applyFont="1" applyFill="1" applyAlignment="1">
      <alignment horizontal="center" vertical="center"/>
    </xf>
    <xf numFmtId="0" fontId="586" fillId="7" borderId="0" xfId="4" applyFont="1" applyFill="1" applyAlignment="1" applyProtection="1">
      <alignment vertical="center"/>
      <protection locked="0"/>
    </xf>
    <xf numFmtId="0" fontId="586" fillId="7" borderId="0" xfId="4" applyFont="1" applyFill="1" applyAlignment="1">
      <alignment vertical="center"/>
    </xf>
    <xf numFmtId="0" fontId="22" fillId="16" borderId="380" xfId="4" applyFont="1" applyFill="1" applyBorder="1" applyAlignment="1" applyProtection="1">
      <alignment horizontal="center" vertical="center"/>
      <protection hidden="1"/>
    </xf>
    <xf numFmtId="0" fontId="13" fillId="5" borderId="0" xfId="3" applyFont="1" applyFill="1" applyAlignment="1">
      <alignment horizontal="center" vertical="center"/>
    </xf>
    <xf numFmtId="0" fontId="13" fillId="5" borderId="0" xfId="19" applyFont="1" applyFill="1" applyAlignment="1">
      <alignment horizontal="left" vertical="center"/>
    </xf>
    <xf numFmtId="0" fontId="13" fillId="5" borderId="0" xfId="19" applyFont="1" applyFill="1" applyAlignment="1">
      <alignment horizontal="right" vertical="center"/>
    </xf>
    <xf numFmtId="0" fontId="22" fillId="46" borderId="380" xfId="4" applyFont="1" applyFill="1" applyBorder="1" applyAlignment="1" applyProtection="1">
      <alignment horizontal="center" vertical="center"/>
      <protection hidden="1"/>
    </xf>
    <xf numFmtId="0" fontId="22" fillId="45" borderId="380" xfId="4" applyFont="1" applyFill="1" applyBorder="1" applyAlignment="1" applyProtection="1">
      <alignment horizontal="center" vertical="center"/>
      <protection hidden="1"/>
    </xf>
    <xf numFmtId="0" fontId="384" fillId="63" borderId="381" xfId="25" applyFont="1" applyFill="1" applyBorder="1" applyAlignment="1">
      <alignment horizontal="center" vertical="center"/>
    </xf>
    <xf numFmtId="0" fontId="100" fillId="41" borderId="380" xfId="4" applyFont="1" applyFill="1" applyBorder="1" applyAlignment="1" applyProtection="1">
      <alignment horizontal="center" vertical="center"/>
      <protection hidden="1"/>
    </xf>
    <xf numFmtId="0" fontId="14" fillId="46" borderId="380" xfId="4" applyFont="1" applyFill="1" applyBorder="1" applyAlignment="1" applyProtection="1">
      <alignment horizontal="center" vertical="center"/>
      <protection hidden="1"/>
    </xf>
    <xf numFmtId="0" fontId="14" fillId="52" borderId="380" xfId="4" applyFont="1" applyFill="1" applyBorder="1" applyAlignment="1" applyProtection="1">
      <alignment horizontal="center" vertical="center"/>
      <protection hidden="1"/>
    </xf>
    <xf numFmtId="0" fontId="59" fillId="0" borderId="0" xfId="13" applyFont="1" applyAlignment="1">
      <alignment horizontal="center" vertical="center"/>
    </xf>
    <xf numFmtId="0" fontId="59" fillId="0" borderId="0" xfId="13" applyFont="1" applyAlignment="1">
      <alignment vertical="center"/>
    </xf>
    <xf numFmtId="0" fontId="599" fillId="0" borderId="0" xfId="25" applyFont="1" applyAlignment="1">
      <alignment vertical="center"/>
    </xf>
    <xf numFmtId="240" fontId="461" fillId="64" borderId="0" xfId="4" applyNumberFormat="1" applyFont="1" applyFill="1" applyAlignment="1">
      <alignment horizontal="center" vertical="center"/>
    </xf>
    <xf numFmtId="0" fontId="600" fillId="9" borderId="0" xfId="0" applyFont="1" applyFill="1" applyAlignment="1">
      <alignment vertical="center"/>
    </xf>
    <xf numFmtId="0" fontId="601" fillId="9" borderId="0" xfId="0" applyFont="1" applyFill="1"/>
    <xf numFmtId="0" fontId="601" fillId="9" borderId="0" xfId="0" applyFont="1" applyFill="1" applyAlignment="1">
      <alignment vertical="center"/>
    </xf>
    <xf numFmtId="0" fontId="602" fillId="9" borderId="0" xfId="14" applyFont="1" applyFill="1" applyAlignment="1">
      <alignment vertical="center"/>
    </xf>
    <xf numFmtId="0" fontId="602" fillId="9" borderId="0" xfId="14" applyFont="1" applyFill="1"/>
    <xf numFmtId="0" fontId="137" fillId="9" borderId="0" xfId="0" applyFont="1" applyFill="1"/>
    <xf numFmtId="0" fontId="202" fillId="9" borderId="0" xfId="0" applyFont="1" applyFill="1"/>
    <xf numFmtId="0" fontId="267" fillId="9" borderId="0" xfId="14" applyFont="1" applyFill="1" applyAlignment="1">
      <alignment vertical="center"/>
    </xf>
    <xf numFmtId="0" fontId="603" fillId="9" borderId="0" xfId="0" applyFont="1" applyFill="1"/>
    <xf numFmtId="0" fontId="605" fillId="9" borderId="0" xfId="0" applyFont="1" applyFill="1" applyAlignment="1">
      <alignment vertical="center"/>
    </xf>
    <xf numFmtId="0" fontId="267" fillId="9" borderId="0" xfId="14" applyFont="1" applyFill="1"/>
    <xf numFmtId="0" fontId="11" fillId="59" borderId="0" xfId="1" applyFont="1" applyFill="1" applyAlignment="1">
      <alignment horizontal="center" vertical="center"/>
    </xf>
    <xf numFmtId="0" fontId="144" fillId="2036" borderId="122" xfId="1" applyFont="1" applyFill="1" applyBorder="1" applyAlignment="1">
      <alignment horizontal="center" vertical="center"/>
    </xf>
    <xf numFmtId="0" fontId="9" fillId="48" borderId="382" xfId="1" applyFont="1" applyFill="1" applyBorder="1" applyAlignment="1">
      <alignment horizontal="center" vertical="center"/>
    </xf>
    <xf numFmtId="0" fontId="95" fillId="0" borderId="0" xfId="2" applyFont="1" applyAlignment="1">
      <alignment horizontal="right" vertical="center"/>
    </xf>
    <xf numFmtId="0" fontId="11" fillId="59" borderId="0" xfId="2" applyFont="1" applyFill="1" applyAlignment="1">
      <alignment vertical="center"/>
    </xf>
    <xf numFmtId="0" fontId="11" fillId="59" borderId="0" xfId="2" applyFont="1" applyFill="1" applyAlignment="1">
      <alignment horizontal="right" vertical="center"/>
    </xf>
    <xf numFmtId="0" fontId="0" fillId="7" borderId="0" xfId="0" applyFill="1"/>
    <xf numFmtId="0" fontId="218" fillId="9" borderId="0" xfId="0" applyFont="1" applyFill="1" applyAlignment="1">
      <alignment horizontal="center" vertical="center"/>
    </xf>
    <xf numFmtId="0" fontId="221" fillId="9" borderId="0" xfId="0" applyFont="1" applyFill="1" applyAlignment="1">
      <alignment horizontal="center" vertical="center"/>
    </xf>
    <xf numFmtId="0" fontId="100" fillId="9" borderId="0" xfId="0" applyFont="1" applyFill="1" applyAlignment="1">
      <alignment horizontal="center" vertical="center"/>
    </xf>
    <xf numFmtId="0" fontId="606" fillId="64" borderId="0" xfId="4" applyFont="1" applyFill="1" applyAlignment="1">
      <alignment vertical="center"/>
    </xf>
    <xf numFmtId="0" fontId="89" fillId="9" borderId="0" xfId="4" applyFont="1" applyFill="1" applyAlignment="1">
      <alignment horizontal="left" vertical="center" wrapText="1"/>
    </xf>
    <xf numFmtId="0" fontId="27" fillId="71" borderId="0" xfId="9" applyFont="1" applyFill="1" applyAlignment="1">
      <alignment horizontal="right" vertical="center"/>
    </xf>
    <xf numFmtId="0" fontId="106" fillId="96" borderId="386" xfId="1" applyFont="1" applyFill="1" applyBorder="1" applyAlignment="1">
      <alignment horizontal="center" vertical="center"/>
    </xf>
    <xf numFmtId="0" fontId="106" fillId="96" borderId="387" xfId="1" applyFont="1" applyFill="1" applyBorder="1" applyAlignment="1">
      <alignment horizontal="left" vertical="center"/>
    </xf>
    <xf numFmtId="0" fontId="107" fillId="96" borderId="387" xfId="1" applyFont="1" applyFill="1" applyBorder="1" applyAlignment="1">
      <alignment horizontal="center" vertical="center"/>
    </xf>
    <xf numFmtId="0" fontId="107" fillId="96" borderId="388" xfId="1" applyFont="1" applyFill="1" applyBorder="1" applyAlignment="1">
      <alignment horizontal="center" vertical="center"/>
    </xf>
    <xf numFmtId="0" fontId="13" fillId="2037" borderId="7" xfId="9" applyFont="1" applyFill="1" applyBorder="1" applyAlignment="1">
      <alignment horizontal="center" vertical="center"/>
    </xf>
    <xf numFmtId="0" fontId="17" fillId="9" borderId="208" xfId="4" applyFont="1" applyFill="1" applyBorder="1" applyAlignment="1" applyProtection="1">
      <alignment vertical="center"/>
      <protection hidden="1"/>
    </xf>
    <xf numFmtId="0" fontId="14" fillId="2037" borderId="7" xfId="9" applyFont="1" applyFill="1" applyBorder="1" applyAlignment="1">
      <alignment horizontal="center" vertical="center"/>
    </xf>
    <xf numFmtId="0" fontId="14" fillId="2037" borderId="46" xfId="9" applyFont="1" applyFill="1" applyBorder="1" applyAlignment="1">
      <alignment horizontal="center" vertical="center"/>
    </xf>
    <xf numFmtId="0" fontId="7" fillId="2038" borderId="43" xfId="9" applyFont="1" applyFill="1" applyBorder="1" applyAlignment="1">
      <alignment horizontal="right" vertical="center"/>
    </xf>
    <xf numFmtId="0" fontId="61" fillId="2038" borderId="43" xfId="4" applyFont="1" applyFill="1" applyBorder="1" applyAlignment="1" applyProtection="1">
      <alignment vertical="center"/>
      <protection hidden="1"/>
    </xf>
    <xf numFmtId="0" fontId="11" fillId="2038" borderId="43" xfId="4" applyFont="1" applyFill="1" applyBorder="1" applyAlignment="1" applyProtection="1">
      <alignment vertical="center"/>
      <protection hidden="1"/>
    </xf>
    <xf numFmtId="0" fontId="17" fillId="2037" borderId="43" xfId="4" applyFont="1" applyFill="1" applyBorder="1" applyAlignment="1" applyProtection="1">
      <alignment vertical="center"/>
      <protection hidden="1"/>
    </xf>
    <xf numFmtId="0" fontId="17" fillId="2037" borderId="45" xfId="4" applyFont="1" applyFill="1" applyBorder="1" applyAlignment="1" applyProtection="1">
      <alignment vertical="center"/>
      <protection hidden="1"/>
    </xf>
    <xf numFmtId="0" fontId="1" fillId="5" borderId="7" xfId="1" applyFill="1" applyBorder="1" applyAlignment="1">
      <alignment vertical="center"/>
    </xf>
    <xf numFmtId="0" fontId="9" fillId="48" borderId="0" xfId="1" applyFont="1" applyFill="1" applyAlignment="1">
      <alignment horizontal="center" vertical="center"/>
    </xf>
    <xf numFmtId="0" fontId="106" fillId="96" borderId="0" xfId="1" applyFont="1" applyFill="1" applyAlignment="1">
      <alignment horizontal="center" vertical="center"/>
    </xf>
    <xf numFmtId="0" fontId="56" fillId="9" borderId="0" xfId="0" applyFont="1" applyFill="1" applyAlignment="1">
      <alignment vertical="center"/>
    </xf>
    <xf numFmtId="0" fontId="46" fillId="9" borderId="0" xfId="0" applyFont="1" applyFill="1" applyAlignment="1">
      <alignment horizontal="left" vertical="center"/>
    </xf>
    <xf numFmtId="0" fontId="95" fillId="9" borderId="0" xfId="0" applyFont="1" applyFill="1" applyAlignment="1">
      <alignment horizontal="left" vertical="center"/>
    </xf>
    <xf numFmtId="0" fontId="1" fillId="9" borderId="0" xfId="3" applyFill="1"/>
    <xf numFmtId="0" fontId="67" fillId="7" borderId="270" xfId="2" applyFont="1" applyFill="1" applyBorder="1" applyAlignment="1">
      <alignment vertical="center"/>
    </xf>
    <xf numFmtId="0" fontId="67" fillId="7" borderId="0" xfId="2" applyFont="1" applyFill="1" applyAlignment="1">
      <alignment vertical="center"/>
    </xf>
    <xf numFmtId="10" fontId="106" fillId="9" borderId="391" xfId="4" applyNumberFormat="1" applyFont="1" applyFill="1" applyBorder="1" applyAlignment="1">
      <alignment horizontal="center" vertical="center"/>
    </xf>
    <xf numFmtId="1" fontId="10" fillId="9" borderId="0" xfId="4" applyNumberFormat="1" applyFont="1" applyFill="1" applyAlignment="1">
      <alignment horizontal="left" vertical="center"/>
    </xf>
    <xf numFmtId="0" fontId="87" fillId="9" borderId="295" xfId="0" applyFont="1" applyFill="1" applyBorder="1" applyAlignment="1">
      <alignment horizontal="right" vertical="center"/>
    </xf>
    <xf numFmtId="166" fontId="105" fillId="9" borderId="0" xfId="0" applyNumberFormat="1" applyFont="1" applyFill="1" applyAlignment="1">
      <alignment horizontal="center" vertical="center"/>
    </xf>
    <xf numFmtId="0" fontId="1" fillId="9" borderId="4" xfId="0" applyFont="1" applyFill="1" applyBorder="1"/>
    <xf numFmtId="0" fontId="121" fillId="61" borderId="389" xfId="0" applyFont="1" applyFill="1" applyBorder="1" applyAlignment="1">
      <alignment horizontal="left" vertical="center"/>
    </xf>
    <xf numFmtId="0" fontId="121" fillId="61" borderId="35" xfId="0" applyFont="1" applyFill="1" applyBorder="1" applyAlignment="1">
      <alignment horizontal="left" vertical="center"/>
    </xf>
    <xf numFmtId="0" fontId="121" fillId="61" borderId="34" xfId="0" applyFont="1" applyFill="1" applyBorder="1" applyAlignment="1">
      <alignment horizontal="center" vertical="center"/>
    </xf>
    <xf numFmtId="0" fontId="121" fillId="61" borderId="35" xfId="0" applyFont="1" applyFill="1" applyBorder="1" applyAlignment="1">
      <alignment horizontal="center" vertical="center"/>
    </xf>
    <xf numFmtId="0" fontId="14" fillId="5" borderId="35" xfId="1" applyFont="1" applyFill="1" applyBorder="1" applyAlignment="1">
      <alignment horizontal="right" vertical="center"/>
    </xf>
    <xf numFmtId="0" fontId="5" fillId="60" borderId="2" xfId="0" applyFont="1" applyFill="1" applyBorder="1" applyAlignment="1">
      <alignment horizontal="left" vertical="center"/>
    </xf>
    <xf numFmtId="0" fontId="10" fillId="2037" borderId="40" xfId="5" applyFont="1" applyFill="1" applyBorder="1" applyAlignment="1">
      <alignment horizontal="center" vertical="center"/>
    </xf>
    <xf numFmtId="0" fontId="10" fillId="14" borderId="40" xfId="5" applyFont="1" applyFill="1" applyBorder="1" applyAlignment="1">
      <alignment horizontal="center" vertical="center"/>
    </xf>
    <xf numFmtId="0" fontId="9" fillId="14" borderId="0" xfId="4" applyFont="1" applyFill="1" applyAlignment="1">
      <alignment horizontal="center" vertical="center"/>
    </xf>
    <xf numFmtId="0" fontId="9" fillId="2037" borderId="0" xfId="4" applyFont="1" applyFill="1" applyAlignment="1">
      <alignment horizontal="center" vertical="center"/>
    </xf>
    <xf numFmtId="0" fontId="608" fillId="9" borderId="2" xfId="0" applyFont="1" applyFill="1" applyBorder="1" applyAlignment="1">
      <alignment vertical="top"/>
    </xf>
    <xf numFmtId="0" fontId="47" fillId="9" borderId="4" xfId="0" applyFont="1" applyFill="1" applyBorder="1"/>
    <xf numFmtId="0" fontId="47" fillId="0" borderId="0" xfId="0" applyFont="1"/>
    <xf numFmtId="0" fontId="407" fillId="9" borderId="2" xfId="0" applyFont="1" applyFill="1" applyBorder="1" applyAlignment="1">
      <alignment vertical="top"/>
    </xf>
    <xf numFmtId="0" fontId="47" fillId="9" borderId="2" xfId="0" applyFont="1" applyFill="1" applyBorder="1" applyAlignment="1">
      <alignment vertical="top" wrapText="1"/>
    </xf>
    <xf numFmtId="0" fontId="285" fillId="9" borderId="2" xfId="0" applyFont="1" applyFill="1" applyBorder="1" applyAlignment="1">
      <alignment vertical="top"/>
    </xf>
    <xf numFmtId="0" fontId="609" fillId="9" borderId="2" xfId="0" applyFont="1" applyFill="1" applyBorder="1" applyAlignment="1">
      <alignment vertical="top"/>
    </xf>
    <xf numFmtId="0" fontId="127" fillId="9" borderId="0" xfId="0" applyFont="1" applyFill="1"/>
    <xf numFmtId="0" fontId="127" fillId="9" borderId="4" xfId="0" applyFont="1" applyFill="1" applyBorder="1"/>
    <xf numFmtId="0" fontId="127" fillId="0" borderId="0" xfId="0" applyFont="1"/>
    <xf numFmtId="0" fontId="610" fillId="9" borderId="2" xfId="0" applyFont="1" applyFill="1" applyBorder="1" applyAlignment="1">
      <alignment vertical="top"/>
    </xf>
    <xf numFmtId="0" fontId="57" fillId="9" borderId="4" xfId="0" applyFont="1" applyFill="1" applyBorder="1"/>
    <xf numFmtId="0" fontId="57" fillId="0" borderId="0" xfId="0" applyFont="1"/>
    <xf numFmtId="0" fontId="47" fillId="9" borderId="2" xfId="0" applyFont="1" applyFill="1" applyBorder="1" applyAlignment="1">
      <alignment vertical="top"/>
    </xf>
    <xf numFmtId="0" fontId="611" fillId="9" borderId="2" xfId="0" applyFont="1" applyFill="1" applyBorder="1" applyAlignment="1">
      <alignment vertical="top"/>
    </xf>
    <xf numFmtId="0" fontId="611" fillId="9" borderId="0" xfId="0" applyFont="1" applyFill="1" applyAlignment="1">
      <alignment vertical="top"/>
    </xf>
    <xf numFmtId="0" fontId="611" fillId="9" borderId="4" xfId="0" applyFont="1" applyFill="1" applyBorder="1" applyAlignment="1">
      <alignment vertical="top"/>
    </xf>
    <xf numFmtId="0" fontId="9" fillId="48" borderId="392" xfId="1" applyFont="1" applyFill="1" applyBorder="1" applyAlignment="1">
      <alignment horizontal="center" vertical="center"/>
    </xf>
    <xf numFmtId="0" fontId="9" fillId="48" borderId="393" xfId="1" applyFont="1" applyFill="1" applyBorder="1" applyAlignment="1">
      <alignment horizontal="center" vertical="center"/>
    </xf>
    <xf numFmtId="0" fontId="78" fillId="9" borderId="0" xfId="19" applyFont="1" applyFill="1" applyAlignment="1">
      <alignment horizontal="left" vertical="center"/>
    </xf>
    <xf numFmtId="0" fontId="45" fillId="9" borderId="394" xfId="4" applyFont="1" applyFill="1" applyBorder="1" applyAlignment="1">
      <alignment horizontal="center" vertical="center"/>
    </xf>
    <xf numFmtId="0" fontId="19" fillId="12" borderId="17" xfId="4" applyFont="1" applyFill="1" applyBorder="1" applyAlignment="1">
      <alignment horizontal="center" vertical="center"/>
    </xf>
    <xf numFmtId="1" fontId="16" fillId="12" borderId="395" xfId="4" applyNumberFormat="1" applyFont="1" applyFill="1" applyBorder="1" applyAlignment="1" applyProtection="1">
      <alignment horizontal="center" vertical="center"/>
      <protection hidden="1"/>
    </xf>
    <xf numFmtId="0" fontId="17" fillId="9" borderId="2" xfId="4" applyFont="1" applyFill="1" applyBorder="1" applyAlignment="1">
      <alignment horizontal="center" vertical="center"/>
    </xf>
    <xf numFmtId="0" fontId="17" fillId="9" borderId="2" xfId="18" applyFont="1" applyFill="1" applyBorder="1" applyAlignment="1">
      <alignment vertical="center"/>
    </xf>
    <xf numFmtId="0" fontId="14" fillId="9" borderId="2" xfId="18" applyFont="1" applyFill="1" applyBorder="1" applyAlignment="1">
      <alignment vertical="center"/>
    </xf>
    <xf numFmtId="0" fontId="612" fillId="9" borderId="2" xfId="0" applyFont="1" applyFill="1" applyBorder="1" applyAlignment="1">
      <alignment vertical="top"/>
    </xf>
    <xf numFmtId="0" fontId="613" fillId="9" borderId="2" xfId="0" applyFont="1" applyFill="1" applyBorder="1" applyAlignment="1">
      <alignment vertical="top"/>
    </xf>
    <xf numFmtId="0" fontId="614" fillId="9" borderId="2" xfId="0" applyFont="1" applyFill="1" applyBorder="1" applyAlignment="1">
      <alignment vertical="top"/>
    </xf>
    <xf numFmtId="0" fontId="47" fillId="9" borderId="2" xfId="0" applyFont="1" applyFill="1" applyBorder="1"/>
    <xf numFmtId="0" fontId="5" fillId="60" borderId="0" xfId="0" applyFont="1" applyFill="1" applyAlignment="1">
      <alignment horizontal="center" vertical="center"/>
    </xf>
    <xf numFmtId="0" fontId="14" fillId="61" borderId="0" xfId="0" applyFont="1" applyFill="1" applyAlignment="1">
      <alignment horizontal="left" vertical="center"/>
    </xf>
    <xf numFmtId="0" fontId="25" fillId="39" borderId="40" xfId="13" applyFont="1" applyFill="1" applyBorder="1" applyAlignment="1">
      <alignment horizontal="left" vertical="center"/>
    </xf>
    <xf numFmtId="0" fontId="25" fillId="39" borderId="40" xfId="13" applyFont="1" applyFill="1" applyBorder="1" applyAlignment="1">
      <alignment horizontal="center" vertical="center"/>
    </xf>
    <xf numFmtId="0" fontId="118" fillId="39" borderId="40" xfId="4" applyFont="1" applyFill="1" applyBorder="1" applyAlignment="1">
      <alignment horizontal="left" vertical="center" wrapText="1"/>
    </xf>
    <xf numFmtId="0" fontId="59" fillId="39" borderId="40" xfId="4" applyFont="1" applyFill="1" applyBorder="1" applyAlignment="1">
      <alignment horizontal="center" vertical="center" wrapText="1"/>
    </xf>
    <xf numFmtId="0" fontId="23" fillId="9" borderId="0" xfId="16" applyFont="1" applyFill="1" applyAlignment="1">
      <alignment horizontal="left" vertical="center"/>
    </xf>
    <xf numFmtId="0" fontId="616" fillId="9" borderId="0" xfId="2" applyFont="1" applyFill="1" applyAlignment="1">
      <alignment horizontal="right" vertical="center"/>
    </xf>
    <xf numFmtId="1" fontId="125" fillId="73" borderId="0" xfId="4" applyNumberFormat="1" applyFont="1" applyFill="1" applyAlignment="1" applyProtection="1">
      <alignment horizontal="center" vertical="center"/>
      <protection hidden="1"/>
    </xf>
    <xf numFmtId="0" fontId="251" fillId="12" borderId="0" xfId="4" applyFont="1" applyFill="1" applyAlignment="1">
      <alignment horizontal="center" vertical="center"/>
    </xf>
    <xf numFmtId="0" fontId="13" fillId="9" borderId="0" xfId="2" applyFont="1" applyFill="1" applyAlignment="1">
      <alignment horizontal="right" vertical="center"/>
    </xf>
    <xf numFmtId="0" fontId="0" fillId="9" borderId="90" xfId="0" applyFill="1" applyBorder="1" applyAlignment="1">
      <alignment horizontal="left" vertical="center"/>
    </xf>
    <xf numFmtId="0" fontId="207" fillId="9" borderId="0" xfId="4" applyFont="1" applyFill="1" applyAlignment="1">
      <alignment horizontal="right" vertical="center"/>
    </xf>
    <xf numFmtId="0" fontId="110" fillId="73" borderId="4" xfId="4" applyFont="1" applyFill="1" applyBorder="1" applyAlignment="1">
      <alignment horizontal="left" vertical="center"/>
    </xf>
    <xf numFmtId="0" fontId="83" fillId="39" borderId="396" xfId="9" applyFont="1" applyFill="1" applyBorder="1" applyAlignment="1">
      <alignment horizontal="center" vertical="center"/>
    </xf>
    <xf numFmtId="0" fontId="108" fillId="50" borderId="397" xfId="1" applyFont="1" applyFill="1" applyBorder="1" applyAlignment="1">
      <alignment horizontal="center" vertical="center"/>
    </xf>
    <xf numFmtId="0" fontId="9" fillId="48" borderId="398" xfId="1" applyFont="1" applyFill="1" applyBorder="1" applyAlignment="1">
      <alignment horizontal="center" vertical="center"/>
    </xf>
    <xf numFmtId="0" fontId="9" fillId="48" borderId="399" xfId="1" applyFont="1" applyFill="1" applyBorder="1" applyAlignment="1">
      <alignment horizontal="center" vertical="center"/>
    </xf>
    <xf numFmtId="0" fontId="59" fillId="14" borderId="295" xfId="4" applyFont="1" applyFill="1" applyBorder="1" applyAlignment="1" applyProtection="1">
      <alignment horizontal="center"/>
      <protection locked="0"/>
    </xf>
    <xf numFmtId="0" fontId="10" fillId="9" borderId="294" xfId="4" applyFont="1" applyFill="1" applyBorder="1" applyAlignment="1">
      <alignment horizontal="center"/>
    </xf>
    <xf numFmtId="0" fontId="59" fillId="14" borderId="401" xfId="4" applyFont="1" applyFill="1" applyBorder="1" applyAlignment="1" applyProtection="1">
      <alignment horizontal="center" vertical="center"/>
      <protection hidden="1"/>
    </xf>
    <xf numFmtId="0" fontId="10" fillId="9" borderId="402" xfId="2" applyFont="1" applyFill="1" applyBorder="1" applyAlignment="1">
      <alignment horizontal="center" vertical="center"/>
    </xf>
    <xf numFmtId="167" fontId="13" fillId="2039" borderId="405" xfId="4" applyNumberFormat="1" applyFont="1" applyFill="1" applyBorder="1" applyAlignment="1">
      <alignment horizontal="center" vertical="center"/>
    </xf>
    <xf numFmtId="168" fontId="23" fillId="16" borderId="0" xfId="4" applyNumberFormat="1" applyFont="1" applyFill="1" applyAlignment="1">
      <alignment horizontal="center" vertical="center"/>
    </xf>
    <xf numFmtId="1" fontId="13" fillId="99" borderId="170" xfId="4" applyNumberFormat="1" applyFont="1" applyFill="1" applyBorder="1" applyAlignment="1">
      <alignment horizontal="center" vertical="center" wrapText="1"/>
    </xf>
    <xf numFmtId="167" fontId="13" fillId="9" borderId="406" xfId="4" applyNumberFormat="1" applyFont="1" applyFill="1" applyBorder="1" applyAlignment="1">
      <alignment horizontal="center" vertical="center"/>
    </xf>
    <xf numFmtId="1" fontId="13" fillId="100" borderId="4" xfId="4" applyNumberFormat="1" applyFont="1" applyFill="1" applyBorder="1" applyAlignment="1">
      <alignment horizontal="center" vertical="center"/>
    </xf>
    <xf numFmtId="167" fontId="13" fillId="2039" borderId="406" xfId="4" applyNumberFormat="1" applyFont="1" applyFill="1" applyBorder="1" applyAlignment="1">
      <alignment horizontal="center" vertical="center"/>
    </xf>
    <xf numFmtId="1" fontId="13" fillId="99" borderId="407" xfId="4" applyNumberFormat="1" applyFont="1" applyFill="1" applyBorder="1" applyAlignment="1">
      <alignment horizontal="center" vertical="center"/>
    </xf>
    <xf numFmtId="1" fontId="13" fillId="99" borderId="408" xfId="4" applyNumberFormat="1" applyFont="1" applyFill="1" applyBorder="1" applyAlignment="1">
      <alignment horizontal="center" vertical="center"/>
    </xf>
    <xf numFmtId="0" fontId="22" fillId="9" borderId="380" xfId="4" applyFont="1" applyFill="1" applyBorder="1" applyAlignment="1" applyProtection="1">
      <alignment horizontal="center" vertical="center"/>
      <protection hidden="1"/>
    </xf>
    <xf numFmtId="1" fontId="13" fillId="99" borderId="8" xfId="4" applyNumberFormat="1" applyFont="1" applyFill="1" applyBorder="1" applyAlignment="1">
      <alignment horizontal="center" vertical="center"/>
    </xf>
    <xf numFmtId="0" fontId="0" fillId="20" borderId="0" xfId="0" applyFill="1"/>
    <xf numFmtId="0" fontId="95" fillId="20" borderId="0" xfId="0" applyFont="1" applyFill="1" applyAlignment="1">
      <alignment horizontal="center" vertical="center"/>
    </xf>
    <xf numFmtId="241" fontId="10" fillId="20" borderId="409" xfId="4" applyNumberFormat="1" applyFont="1" applyFill="1" applyBorder="1" applyAlignment="1">
      <alignment horizontal="center" vertical="center"/>
    </xf>
    <xf numFmtId="0" fontId="10" fillId="20" borderId="0" xfId="2" applyFont="1" applyFill="1" applyAlignment="1">
      <alignment horizontal="right" vertical="center"/>
    </xf>
    <xf numFmtId="241" fontId="10" fillId="20" borderId="0" xfId="4" applyNumberFormat="1" applyFont="1" applyFill="1" applyAlignment="1">
      <alignment horizontal="center" vertical="center"/>
    </xf>
    <xf numFmtId="0" fontId="109" fillId="21" borderId="380" xfId="4" applyFont="1" applyFill="1" applyBorder="1" applyAlignment="1" applyProtection="1">
      <alignment horizontal="center" vertical="center"/>
      <protection hidden="1"/>
    </xf>
    <xf numFmtId="0" fontId="14" fillId="21" borderId="380" xfId="4" applyFont="1" applyFill="1" applyBorder="1" applyAlignment="1" applyProtection="1">
      <alignment horizontal="center" vertical="center"/>
      <protection hidden="1"/>
    </xf>
    <xf numFmtId="0" fontId="24" fillId="12" borderId="380" xfId="4" applyFont="1" applyFill="1" applyBorder="1" applyAlignment="1">
      <alignment horizontal="left" vertical="center"/>
    </xf>
    <xf numFmtId="0" fontId="13" fillId="71" borderId="137" xfId="9" applyFont="1" applyFill="1" applyBorder="1" applyAlignment="1">
      <alignment horizontal="center" vertical="center"/>
    </xf>
    <xf numFmtId="0" fontId="13" fillId="71" borderId="2" xfId="9" applyFont="1" applyFill="1" applyBorder="1" applyAlignment="1">
      <alignment horizontal="center" vertical="center"/>
    </xf>
    <xf numFmtId="0" fontId="17" fillId="9" borderId="295" xfId="4" applyFont="1" applyFill="1" applyBorder="1" applyAlignment="1" applyProtection="1">
      <alignment vertical="center"/>
      <protection hidden="1"/>
    </xf>
    <xf numFmtId="0" fontId="112" fillId="12" borderId="404" xfId="26" applyFont="1" applyFill="1" applyBorder="1" applyAlignment="1">
      <alignment horizontal="center" vertical="center"/>
    </xf>
    <xf numFmtId="0" fontId="14" fillId="9" borderId="0" xfId="19" applyFont="1" applyFill="1" applyAlignment="1">
      <alignment horizontal="right" vertical="center"/>
    </xf>
    <xf numFmtId="212" fontId="132" fillId="53" borderId="4" xfId="4" applyNumberFormat="1" applyFont="1" applyFill="1" applyBorder="1" applyAlignment="1">
      <alignment horizontal="center" vertical="center"/>
    </xf>
    <xf numFmtId="0" fontId="60" fillId="9" borderId="295" xfId="4" applyFont="1" applyFill="1" applyBorder="1" applyAlignment="1" applyProtection="1">
      <alignment horizontal="left" vertical="center"/>
      <protection locked="0"/>
    </xf>
    <xf numFmtId="0" fontId="60" fillId="9" borderId="19" xfId="4" applyFont="1" applyFill="1" applyBorder="1" applyAlignment="1" applyProtection="1">
      <alignment horizontal="left" vertical="center"/>
      <protection locked="0"/>
    </xf>
    <xf numFmtId="212" fontId="52" fillId="53" borderId="4" xfId="4" applyNumberFormat="1" applyFont="1" applyFill="1" applyBorder="1" applyAlignment="1">
      <alignment horizontal="center" vertical="center"/>
    </xf>
    <xf numFmtId="212" fontId="76" fillId="43" borderId="4" xfId="4" applyNumberFormat="1" applyFont="1" applyFill="1" applyBorder="1" applyAlignment="1">
      <alignment horizontal="center" vertical="center"/>
    </xf>
    <xf numFmtId="0" fontId="17" fillId="9" borderId="0" xfId="19" applyFont="1" applyFill="1" applyAlignment="1">
      <alignment horizontal="right" vertical="center"/>
    </xf>
    <xf numFmtId="212" fontId="17" fillId="7" borderId="4" xfId="4" applyNumberFormat="1" applyFont="1" applyFill="1" applyBorder="1" applyAlignment="1">
      <alignment horizontal="center" vertical="center"/>
    </xf>
    <xf numFmtId="0" fontId="484" fillId="11" borderId="270" xfId="15" applyFont="1" applyFill="1" applyBorder="1" applyAlignment="1" applyProtection="1">
      <alignment horizontal="center" vertical="center" wrapText="1"/>
      <protection locked="0"/>
    </xf>
    <xf numFmtId="1" fontId="57" fillId="12" borderId="270" xfId="19" applyNumberFormat="1" applyFont="1" applyFill="1" applyBorder="1" applyAlignment="1">
      <alignment horizontal="center" vertical="center"/>
    </xf>
    <xf numFmtId="0" fontId="56" fillId="9" borderId="0" xfId="15" applyFont="1" applyFill="1" applyAlignment="1">
      <alignment horizontal="left" vertical="center"/>
    </xf>
    <xf numFmtId="0" fontId="76" fillId="113" borderId="270" xfId="4" applyFont="1" applyFill="1" applyBorder="1" applyAlignment="1">
      <alignment horizontal="center" vertical="center"/>
    </xf>
    <xf numFmtId="0" fontId="89" fillId="11" borderId="0" xfId="15" applyFont="1" applyFill="1" applyAlignment="1" applyProtection="1">
      <alignment horizontal="left" vertical="center"/>
      <protection locked="0"/>
    </xf>
    <xf numFmtId="0" fontId="13" fillId="9" borderId="0" xfId="15" applyFont="1" applyFill="1" applyAlignment="1">
      <alignment horizontal="left" vertical="center"/>
    </xf>
    <xf numFmtId="164" fontId="132" fillId="81" borderId="270" xfId="15" applyNumberFormat="1" applyFont="1" applyFill="1" applyBorder="1" applyAlignment="1" applyProtection="1">
      <alignment horizontal="center" vertical="center"/>
      <protection locked="0"/>
    </xf>
    <xf numFmtId="0" fontId="13" fillId="9" borderId="0" xfId="4" applyFont="1" applyFill="1" applyAlignment="1">
      <alignment horizontal="left" vertical="center"/>
    </xf>
    <xf numFmtId="0" fontId="14" fillId="71" borderId="2" xfId="9" applyFont="1" applyFill="1" applyBorder="1" applyAlignment="1">
      <alignment horizontal="center" vertical="center"/>
    </xf>
    <xf numFmtId="0" fontId="13" fillId="9" borderId="295" xfId="4" applyFont="1" applyFill="1" applyBorder="1" applyAlignment="1" applyProtection="1">
      <alignment horizontal="left" vertical="center"/>
      <protection locked="0"/>
    </xf>
    <xf numFmtId="0" fontId="13" fillId="9" borderId="19" xfId="4" applyFont="1" applyFill="1" applyBorder="1" applyAlignment="1" applyProtection="1">
      <alignment horizontal="right" vertical="center"/>
      <protection locked="0"/>
    </xf>
    <xf numFmtId="0" fontId="14" fillId="9" borderId="295" xfId="4" applyFont="1" applyFill="1" applyBorder="1" applyAlignment="1" applyProtection="1">
      <alignment horizontal="left" vertical="center"/>
      <protection locked="0"/>
    </xf>
    <xf numFmtId="179" fontId="76" fillId="81" borderId="270" xfId="4" applyNumberFormat="1" applyFont="1" applyFill="1" applyBorder="1" applyAlignment="1">
      <alignment horizontal="center" vertical="center"/>
    </xf>
    <xf numFmtId="0" fontId="14" fillId="9" borderId="401" xfId="4" applyFont="1" applyFill="1" applyBorder="1" applyAlignment="1" applyProtection="1">
      <alignment horizontal="left" vertical="center"/>
      <protection locked="0"/>
    </xf>
    <xf numFmtId="0" fontId="13" fillId="9" borderId="414" xfId="4" applyFont="1" applyFill="1" applyBorder="1" applyAlignment="1" applyProtection="1">
      <alignment horizontal="right" vertical="center"/>
      <protection locked="0"/>
    </xf>
    <xf numFmtId="170" fontId="132" fillId="81" borderId="270" xfId="15" applyNumberFormat="1" applyFont="1" applyFill="1" applyBorder="1" applyAlignment="1" applyProtection="1">
      <alignment horizontal="center" vertical="center"/>
      <protection locked="0"/>
    </xf>
    <xf numFmtId="0" fontId="39" fillId="9" borderId="0" xfId="0" applyFont="1" applyFill="1" applyAlignment="1">
      <alignment horizontal="left" vertical="center"/>
    </xf>
    <xf numFmtId="0" fontId="7" fillId="71" borderId="0" xfId="9" applyFont="1" applyFill="1" applyAlignment="1">
      <alignment horizontal="right" vertical="center"/>
    </xf>
    <xf numFmtId="0" fontId="203" fillId="71" borderId="0" xfId="4" applyFont="1" applyFill="1" applyAlignment="1" applyProtection="1">
      <alignment vertical="center"/>
      <protection hidden="1"/>
    </xf>
    <xf numFmtId="0" fontId="11" fillId="71" borderId="0" xfId="4" applyFont="1" applyFill="1" applyAlignment="1" applyProtection="1">
      <alignment vertical="center"/>
      <protection hidden="1"/>
    </xf>
    <xf numFmtId="0" fontId="17" fillId="71" borderId="0" xfId="4" applyFont="1" applyFill="1" applyAlignment="1" applyProtection="1">
      <alignment vertical="center"/>
      <protection hidden="1"/>
    </xf>
    <xf numFmtId="0" fontId="14" fillId="71" borderId="0" xfId="4" applyFont="1" applyFill="1" applyAlignment="1" applyProtection="1">
      <alignment vertical="center"/>
      <protection hidden="1"/>
    </xf>
    <xf numFmtId="0" fontId="17" fillId="71" borderId="19" xfId="4" applyFont="1" applyFill="1" applyBorder="1" applyAlignment="1" applyProtection="1">
      <alignment vertical="center"/>
      <protection hidden="1"/>
    </xf>
    <xf numFmtId="0" fontId="83" fillId="2041" borderId="30" xfId="9" applyFont="1" applyFill="1" applyBorder="1" applyAlignment="1">
      <alignment horizontal="center" vertical="center"/>
    </xf>
    <xf numFmtId="0" fontId="7" fillId="2041" borderId="1" xfId="9" applyFont="1" applyFill="1" applyBorder="1" applyAlignment="1">
      <alignment vertical="center"/>
    </xf>
    <xf numFmtId="0" fontId="61" fillId="2041" borderId="1" xfId="4" applyFont="1" applyFill="1" applyBorder="1" applyAlignment="1" applyProtection="1">
      <alignment vertical="center"/>
      <protection hidden="1"/>
    </xf>
    <xf numFmtId="0" fontId="11" fillId="2041" borderId="1" xfId="4" applyFont="1" applyFill="1" applyBorder="1" applyAlignment="1" applyProtection="1">
      <alignment vertical="center"/>
      <protection hidden="1"/>
    </xf>
    <xf numFmtId="0" fontId="17" fillId="2041" borderId="1" xfId="4" applyFont="1" applyFill="1" applyBorder="1" applyAlignment="1" applyProtection="1">
      <alignment vertical="center"/>
      <protection hidden="1"/>
    </xf>
    <xf numFmtId="0" fontId="17" fillId="2041" borderId="3" xfId="4" applyFont="1" applyFill="1" applyBorder="1" applyAlignment="1" applyProtection="1">
      <alignment vertical="center"/>
      <protection hidden="1"/>
    </xf>
    <xf numFmtId="0" fontId="56" fillId="63" borderId="0" xfId="7" applyFont="1" applyFill="1" applyAlignment="1">
      <alignment horizontal="center" vertical="center"/>
    </xf>
    <xf numFmtId="0" fontId="56" fillId="39" borderId="39" xfId="1" applyFont="1" applyFill="1" applyBorder="1" applyAlignment="1">
      <alignment horizontal="center" vertical="center" wrapText="1"/>
    </xf>
    <xf numFmtId="0" fontId="14" fillId="9" borderId="0" xfId="10" applyFont="1" applyFill="1" applyAlignment="1" applyProtection="1">
      <alignment vertical="center"/>
      <protection locked="0"/>
    </xf>
    <xf numFmtId="0" fontId="70" fillId="39" borderId="4" xfId="1" applyFont="1" applyFill="1" applyBorder="1" applyAlignment="1">
      <alignment horizontal="right" vertical="center" wrapText="1"/>
    </xf>
    <xf numFmtId="0" fontId="76" fillId="53" borderId="0" xfId="4" applyFont="1" applyFill="1" applyAlignment="1">
      <alignment vertical="center"/>
    </xf>
    <xf numFmtId="0" fontId="56" fillId="1822" borderId="39" xfId="1" applyFont="1" applyFill="1" applyBorder="1" applyAlignment="1">
      <alignment horizontal="center" vertical="center" wrapText="1"/>
    </xf>
    <xf numFmtId="0" fontId="198" fillId="9" borderId="0" xfId="4" applyFont="1" applyFill="1" applyAlignment="1">
      <alignment vertical="center" wrapText="1"/>
    </xf>
    <xf numFmtId="0" fontId="70" fillId="1822" borderId="4" xfId="1" applyFont="1" applyFill="1" applyBorder="1" applyAlignment="1">
      <alignment horizontal="right" vertical="center" wrapText="1"/>
    </xf>
    <xf numFmtId="0" fontId="10" fillId="9" borderId="417" xfId="13" applyFont="1" applyFill="1" applyBorder="1" applyAlignment="1">
      <alignment vertical="center"/>
    </xf>
    <xf numFmtId="0" fontId="19" fillId="12" borderId="418" xfId="0" applyFont="1" applyFill="1" applyBorder="1" applyAlignment="1">
      <alignment horizontal="left" vertical="center"/>
    </xf>
    <xf numFmtId="0" fontId="0" fillId="9" borderId="32" xfId="0" applyFill="1" applyBorder="1"/>
    <xf numFmtId="0" fontId="14" fillId="9" borderId="32" xfId="13" applyFont="1" applyFill="1" applyBorder="1" applyAlignment="1">
      <alignment horizontal="right" vertical="center"/>
    </xf>
    <xf numFmtId="0" fontId="0" fillId="9" borderId="417" xfId="0" applyFill="1" applyBorder="1" applyAlignment="1">
      <alignment vertical="center"/>
    </xf>
    <xf numFmtId="0" fontId="87" fillId="9" borderId="417" xfId="0" applyFont="1" applyFill="1" applyBorder="1" applyAlignment="1">
      <alignment horizontal="center" vertical="center"/>
    </xf>
    <xf numFmtId="170" fontId="59" fillId="114" borderId="417" xfId="4" applyNumberFormat="1" applyFont="1" applyFill="1" applyBorder="1" applyAlignment="1">
      <alignment horizontal="center" vertical="center"/>
    </xf>
    <xf numFmtId="1" fontId="233" fillId="20" borderId="0" xfId="4" applyNumberFormat="1" applyFont="1" applyFill="1" applyAlignment="1" applyProtection="1">
      <alignment horizontal="left" vertical="center"/>
      <protection hidden="1"/>
    </xf>
    <xf numFmtId="0" fontId="234" fillId="0" borderId="0" xfId="1" applyFont="1" applyAlignment="1">
      <alignment horizontal="right"/>
    </xf>
    <xf numFmtId="1" fontId="233" fillId="28" borderId="0" xfId="4" applyNumberFormat="1" applyFont="1" applyFill="1" applyAlignment="1" applyProtection="1">
      <alignment horizontal="left" vertical="center"/>
      <protection hidden="1"/>
    </xf>
    <xf numFmtId="1" fontId="233" fillId="45" borderId="0" xfId="4" applyNumberFormat="1" applyFont="1" applyFill="1" applyAlignment="1" applyProtection="1">
      <alignment horizontal="left" vertical="center"/>
      <protection hidden="1"/>
    </xf>
    <xf numFmtId="1" fontId="233" fillId="57" borderId="0" xfId="4" applyNumberFormat="1" applyFont="1" applyFill="1" applyAlignment="1" applyProtection="1">
      <alignment horizontal="left" vertical="center"/>
      <protection hidden="1"/>
    </xf>
    <xf numFmtId="2" fontId="235" fillId="81" borderId="0" xfId="4" applyNumberFormat="1" applyFont="1" applyFill="1" applyAlignment="1" applyProtection="1">
      <alignment horizontal="left" vertical="center"/>
      <protection locked="0"/>
    </xf>
    <xf numFmtId="1" fontId="233" fillId="39" borderId="0" xfId="4" applyNumberFormat="1" applyFont="1" applyFill="1" applyAlignment="1" applyProtection="1">
      <alignment horizontal="left" vertical="center"/>
      <protection hidden="1"/>
    </xf>
    <xf numFmtId="1" fontId="217" fillId="116" borderId="0" xfId="4" applyNumberFormat="1" applyFont="1" applyFill="1" applyAlignment="1" applyProtection="1">
      <alignment horizontal="left" vertical="center"/>
      <protection hidden="1"/>
    </xf>
    <xf numFmtId="1" fontId="217" fillId="117" borderId="0" xfId="4" applyNumberFormat="1" applyFont="1" applyFill="1" applyAlignment="1" applyProtection="1">
      <alignment horizontal="left" vertical="center"/>
      <protection hidden="1"/>
    </xf>
    <xf numFmtId="1" fontId="233" fillId="20" borderId="0" xfId="4" applyNumberFormat="1" applyFont="1" applyFill="1" applyAlignment="1" applyProtection="1">
      <alignment horizontal="right" vertical="center"/>
      <protection hidden="1"/>
    </xf>
    <xf numFmtId="1" fontId="233" fillId="28" borderId="0" xfId="4" applyNumberFormat="1" applyFont="1" applyFill="1" applyAlignment="1" applyProtection="1">
      <alignment horizontal="right" vertical="center"/>
      <protection hidden="1"/>
    </xf>
    <xf numFmtId="1" fontId="233" fillId="45" borderId="0" xfId="4" applyNumberFormat="1" applyFont="1" applyFill="1" applyAlignment="1" applyProtection="1">
      <alignment horizontal="right" vertical="center"/>
      <protection hidden="1"/>
    </xf>
    <xf numFmtId="1" fontId="233" fillId="57" borderId="0" xfId="4" applyNumberFormat="1" applyFont="1" applyFill="1" applyAlignment="1" applyProtection="1">
      <alignment horizontal="right" vertical="center"/>
      <protection hidden="1"/>
    </xf>
    <xf numFmtId="2" fontId="235" fillId="81" borderId="0" xfId="4" applyNumberFormat="1" applyFont="1" applyFill="1" applyAlignment="1" applyProtection="1">
      <alignment horizontal="right" vertical="center"/>
      <protection locked="0"/>
    </xf>
    <xf numFmtId="1" fontId="233" fillId="39" borderId="0" xfId="4" applyNumberFormat="1" applyFont="1" applyFill="1" applyAlignment="1" applyProtection="1">
      <alignment horizontal="right" vertical="center"/>
      <protection hidden="1"/>
    </xf>
    <xf numFmtId="1" fontId="217" fillId="116" borderId="0" xfId="4" applyNumberFormat="1" applyFont="1" applyFill="1" applyAlignment="1" applyProtection="1">
      <alignment horizontal="right" vertical="center"/>
      <protection hidden="1"/>
    </xf>
    <xf numFmtId="1" fontId="217" fillId="117" borderId="0" xfId="4" applyNumberFormat="1" applyFont="1" applyFill="1" applyAlignment="1" applyProtection="1">
      <alignment horizontal="right" vertical="center"/>
      <protection hidden="1"/>
    </xf>
    <xf numFmtId="0" fontId="234" fillId="0" borderId="0" xfId="1" applyFont="1" applyAlignment="1">
      <alignment horizontal="left"/>
    </xf>
    <xf numFmtId="1" fontId="236" fillId="119" borderId="0" xfId="4" applyNumberFormat="1" applyFont="1" applyFill="1" applyAlignment="1" applyProtection="1">
      <alignment horizontal="left" vertical="center"/>
      <protection hidden="1"/>
    </xf>
    <xf numFmtId="1" fontId="236" fillId="119" borderId="0" xfId="4" applyNumberFormat="1" applyFont="1" applyFill="1" applyAlignment="1" applyProtection="1">
      <alignment horizontal="right" vertical="center"/>
      <protection hidden="1"/>
    </xf>
    <xf numFmtId="1" fontId="233" fillId="119" borderId="0" xfId="4" applyNumberFormat="1" applyFont="1" applyFill="1" applyAlignment="1" applyProtection="1">
      <alignment horizontal="left" vertical="center"/>
      <protection hidden="1"/>
    </xf>
    <xf numFmtId="1" fontId="233" fillId="119" borderId="0" xfId="4" applyNumberFormat="1" applyFont="1" applyFill="1" applyAlignment="1" applyProtection="1">
      <alignment horizontal="right" vertical="center"/>
      <protection hidden="1"/>
    </xf>
    <xf numFmtId="0" fontId="233" fillId="75" borderId="0" xfId="4" applyFont="1" applyFill="1" applyAlignment="1">
      <alignment horizontal="left" vertical="center"/>
    </xf>
    <xf numFmtId="0" fontId="233" fillId="75" borderId="0" xfId="4" applyFont="1" applyFill="1" applyAlignment="1">
      <alignment horizontal="right" vertical="center"/>
    </xf>
    <xf numFmtId="1" fontId="217" fillId="124" borderId="0" xfId="4" applyNumberFormat="1" applyFont="1" applyFill="1" applyAlignment="1" applyProtection="1">
      <alignment horizontal="left" vertical="center"/>
      <protection hidden="1"/>
    </xf>
    <xf numFmtId="1" fontId="217" fillId="124" borderId="0" xfId="4" applyNumberFormat="1" applyFont="1" applyFill="1" applyAlignment="1" applyProtection="1">
      <alignment horizontal="right" vertical="center"/>
      <protection hidden="1"/>
    </xf>
    <xf numFmtId="1" fontId="217" fillId="118" borderId="0" xfId="4" applyNumberFormat="1" applyFont="1" applyFill="1" applyAlignment="1" applyProtection="1">
      <alignment horizontal="left" vertical="center"/>
      <protection hidden="1"/>
    </xf>
    <xf numFmtId="1" fontId="217" fillId="118" borderId="0" xfId="4" applyNumberFormat="1" applyFont="1" applyFill="1" applyAlignment="1" applyProtection="1">
      <alignment horizontal="right" vertical="center"/>
      <protection hidden="1"/>
    </xf>
    <xf numFmtId="1" fontId="217" fillId="128" borderId="0" xfId="4" applyNumberFormat="1" applyFont="1" applyFill="1" applyAlignment="1" applyProtection="1">
      <alignment horizontal="left" vertical="center"/>
      <protection hidden="1"/>
    </xf>
    <xf numFmtId="1" fontId="217" fillId="128" borderId="0" xfId="4" applyNumberFormat="1" applyFont="1" applyFill="1" applyAlignment="1" applyProtection="1">
      <alignment horizontal="right" vertical="center"/>
      <protection hidden="1"/>
    </xf>
    <xf numFmtId="1" fontId="233" fillId="127" borderId="0" xfId="4" applyNumberFormat="1" applyFont="1" applyFill="1" applyAlignment="1" applyProtection="1">
      <alignment horizontal="left" vertical="center"/>
      <protection hidden="1"/>
    </xf>
    <xf numFmtId="1" fontId="233" fillId="127" borderId="0" xfId="4" applyNumberFormat="1" applyFont="1" applyFill="1" applyAlignment="1" applyProtection="1">
      <alignment horizontal="right" vertical="center"/>
      <protection hidden="1"/>
    </xf>
    <xf numFmtId="1" fontId="233" fillId="126" borderId="0" xfId="4" applyNumberFormat="1" applyFont="1" applyFill="1" applyAlignment="1" applyProtection="1">
      <alignment horizontal="left" vertical="center"/>
      <protection hidden="1"/>
    </xf>
    <xf numFmtId="1" fontId="233" fillId="126" borderId="0" xfId="4" applyNumberFormat="1" applyFont="1" applyFill="1" applyAlignment="1" applyProtection="1">
      <alignment horizontal="right" vertical="center"/>
      <protection hidden="1"/>
    </xf>
    <xf numFmtId="1" fontId="217" fillId="60" borderId="0" xfId="4" applyNumberFormat="1" applyFont="1" applyFill="1" applyAlignment="1" applyProtection="1">
      <alignment horizontal="left" vertical="center"/>
      <protection hidden="1"/>
    </xf>
    <xf numFmtId="1" fontId="217" fillId="60" borderId="0" xfId="4" applyNumberFormat="1" applyFont="1" applyFill="1" applyAlignment="1" applyProtection="1">
      <alignment horizontal="right" vertical="center"/>
      <protection hidden="1"/>
    </xf>
    <xf numFmtId="1" fontId="233" fillId="125" borderId="0" xfId="4" applyNumberFormat="1" applyFont="1" applyFill="1" applyAlignment="1" applyProtection="1">
      <alignment horizontal="left" vertical="center"/>
      <protection hidden="1"/>
    </xf>
    <xf numFmtId="1" fontId="233" fillId="125" borderId="0" xfId="4" applyNumberFormat="1" applyFont="1" applyFill="1" applyAlignment="1" applyProtection="1">
      <alignment horizontal="right" vertical="center"/>
      <protection hidden="1"/>
    </xf>
    <xf numFmtId="1" fontId="217" fillId="70" borderId="0" xfId="4" applyNumberFormat="1" applyFont="1" applyFill="1" applyAlignment="1" applyProtection="1">
      <alignment horizontal="left" vertical="center"/>
      <protection hidden="1"/>
    </xf>
    <xf numFmtId="1" fontId="217" fillId="70" borderId="0" xfId="4" applyNumberFormat="1" applyFont="1" applyFill="1" applyAlignment="1" applyProtection="1">
      <alignment horizontal="right" vertical="center"/>
      <protection hidden="1"/>
    </xf>
    <xf numFmtId="1" fontId="233" fillId="121" borderId="0" xfId="4" applyNumberFormat="1" applyFont="1" applyFill="1" applyAlignment="1" applyProtection="1">
      <alignment horizontal="left" vertical="center"/>
      <protection hidden="1"/>
    </xf>
    <xf numFmtId="1" fontId="233" fillId="121" borderId="0" xfId="4" applyNumberFormat="1" applyFont="1" applyFill="1" applyAlignment="1" applyProtection="1">
      <alignment horizontal="right" vertical="center"/>
      <protection hidden="1"/>
    </xf>
    <xf numFmtId="1" fontId="233" fillId="122" borderId="0" xfId="4" applyNumberFormat="1" applyFont="1" applyFill="1" applyAlignment="1" applyProtection="1">
      <alignment horizontal="left" vertical="center"/>
      <protection hidden="1"/>
    </xf>
    <xf numFmtId="1" fontId="233" fillId="122" borderId="0" xfId="4" applyNumberFormat="1" applyFont="1" applyFill="1" applyAlignment="1" applyProtection="1">
      <alignment horizontal="right" vertical="center"/>
      <protection hidden="1"/>
    </xf>
    <xf numFmtId="1" fontId="233" fillId="120" borderId="0" xfId="4" applyNumberFormat="1" applyFont="1" applyFill="1" applyAlignment="1" applyProtection="1">
      <alignment horizontal="left" vertical="center"/>
      <protection hidden="1"/>
    </xf>
    <xf numFmtId="1" fontId="233" fillId="120" borderId="0" xfId="4" applyNumberFormat="1" applyFont="1" applyFill="1" applyAlignment="1" applyProtection="1">
      <alignment horizontal="right" vertical="center"/>
      <protection hidden="1"/>
    </xf>
    <xf numFmtId="1" fontId="233" fillId="123" borderId="0" xfId="4" applyNumberFormat="1" applyFont="1" applyFill="1" applyAlignment="1" applyProtection="1">
      <alignment horizontal="left" vertical="center"/>
      <protection hidden="1"/>
    </xf>
    <xf numFmtId="1" fontId="233" fillId="123" borderId="0" xfId="4" applyNumberFormat="1" applyFont="1" applyFill="1" applyAlignment="1" applyProtection="1">
      <alignment horizontal="right" vertical="center"/>
      <protection hidden="1"/>
    </xf>
    <xf numFmtId="0" fontId="234" fillId="0" borderId="0" xfId="0" applyFont="1" applyAlignment="1">
      <alignment horizontal="right"/>
    </xf>
    <xf numFmtId="0" fontId="617" fillId="0" borderId="0" xfId="4" applyFont="1" applyAlignment="1">
      <alignment horizontal="left" vertical="center"/>
    </xf>
    <xf numFmtId="0" fontId="617" fillId="0" borderId="0" xfId="4" applyFont="1" applyAlignment="1">
      <alignment horizontal="right" vertical="center"/>
    </xf>
    <xf numFmtId="2" fontId="143" fillId="73" borderId="0" xfId="4" applyNumberFormat="1" applyFont="1" applyFill="1" applyAlignment="1">
      <alignment horizontal="center" vertical="center"/>
    </xf>
    <xf numFmtId="0" fontId="38" fillId="16" borderId="82" xfId="9" applyFont="1" applyFill="1" applyBorder="1" applyAlignment="1">
      <alignment horizontal="left" vertical="center"/>
    </xf>
    <xf numFmtId="0" fontId="7" fillId="71" borderId="0" xfId="9" applyFont="1" applyFill="1" applyAlignment="1">
      <alignment horizontal="left" vertical="center"/>
    </xf>
    <xf numFmtId="0" fontId="38" fillId="53" borderId="378" xfId="9" applyFont="1" applyFill="1" applyBorder="1" applyAlignment="1">
      <alignment horizontal="left" vertical="center"/>
    </xf>
    <xf numFmtId="0" fontId="38" fillId="53" borderId="378" xfId="9" applyFont="1" applyFill="1" applyBorder="1" applyAlignment="1">
      <alignment horizontal="right" vertical="center"/>
    </xf>
    <xf numFmtId="1" fontId="38" fillId="53" borderId="378" xfId="9" applyNumberFormat="1" applyFont="1" applyFill="1" applyBorder="1" applyAlignment="1">
      <alignment horizontal="right" vertical="center"/>
    </xf>
    <xf numFmtId="0" fontId="618" fillId="39" borderId="82" xfId="9" applyFont="1" applyFill="1" applyBorder="1" applyAlignment="1">
      <alignment horizontal="left" vertical="center"/>
    </xf>
    <xf numFmtId="1" fontId="618" fillId="39" borderId="82" xfId="9" applyNumberFormat="1" applyFont="1" applyFill="1" applyBorder="1" applyAlignment="1">
      <alignment horizontal="left" vertical="center"/>
    </xf>
    <xf numFmtId="1" fontId="25" fillId="39" borderId="40" xfId="13" applyNumberFormat="1" applyFont="1" applyFill="1" applyBorder="1" applyAlignment="1">
      <alignment horizontal="center" vertical="center"/>
    </xf>
    <xf numFmtId="1" fontId="25" fillId="39" borderId="0" xfId="13" applyNumberFormat="1" applyFont="1" applyFill="1" applyAlignment="1">
      <alignment horizontal="center" vertical="center"/>
    </xf>
    <xf numFmtId="1" fontId="25" fillId="14" borderId="0" xfId="9" applyNumberFormat="1" applyFont="1" applyFill="1" applyAlignment="1">
      <alignment horizontal="right" vertical="center"/>
    </xf>
    <xf numFmtId="1" fontId="38" fillId="16" borderId="82" xfId="9" applyNumberFormat="1" applyFont="1" applyFill="1" applyBorder="1" applyAlignment="1">
      <alignment horizontal="right" vertical="center"/>
    </xf>
    <xf numFmtId="1" fontId="38" fillId="38" borderId="0" xfId="9" applyNumberFormat="1" applyFont="1" applyFill="1" applyAlignment="1">
      <alignment horizontal="right" vertical="center"/>
    </xf>
    <xf numFmtId="1" fontId="7" fillId="71" borderId="0" xfId="9" applyNumberFormat="1" applyFont="1" applyFill="1" applyAlignment="1">
      <alignment horizontal="right" vertical="center"/>
    </xf>
    <xf numFmtId="0" fontId="182" fillId="9" borderId="4" xfId="0" applyFont="1" applyFill="1" applyBorder="1" applyAlignment="1">
      <alignment horizontal="right"/>
    </xf>
    <xf numFmtId="0" fontId="87" fillId="9" borderId="4" xfId="0" applyFont="1" applyFill="1" applyBorder="1" applyAlignment="1">
      <alignment horizontal="center"/>
    </xf>
    <xf numFmtId="0" fontId="87" fillId="9" borderId="0" xfId="0" applyFont="1" applyFill="1" applyAlignment="1">
      <alignment horizontal="center"/>
    </xf>
    <xf numFmtId="0" fontId="68" fillId="2" borderId="68" xfId="5" applyFont="1" applyFill="1" applyBorder="1" applyAlignment="1">
      <alignment horizontal="center" vertical="center"/>
    </xf>
    <xf numFmtId="0" fontId="0" fillId="9" borderId="270" xfId="0" applyFill="1" applyBorder="1"/>
    <xf numFmtId="0" fontId="39" fillId="9" borderId="0" xfId="0" applyFont="1" applyFill="1"/>
    <xf numFmtId="241" fontId="0" fillId="9" borderId="0" xfId="0" applyNumberFormat="1" applyFill="1" applyAlignment="1">
      <alignment horizontal="left" vertical="center"/>
    </xf>
    <xf numFmtId="241" fontId="111" fillId="9" borderId="0" xfId="0" applyNumberFormat="1" applyFont="1" applyFill="1" applyAlignment="1">
      <alignment horizontal="right" vertical="center"/>
    </xf>
    <xf numFmtId="0" fontId="87" fillId="20" borderId="0" xfId="0" applyFont="1" applyFill="1" applyAlignment="1">
      <alignment vertical="center"/>
    </xf>
    <xf numFmtId="0" fontId="25" fillId="60" borderId="0" xfId="9" applyFont="1" applyFill="1" applyAlignment="1">
      <alignment horizontal="left" vertical="center"/>
    </xf>
    <xf numFmtId="0" fontId="25" fillId="60" borderId="0" xfId="9" applyFont="1" applyFill="1" applyAlignment="1">
      <alignment horizontal="right" vertical="center"/>
    </xf>
    <xf numFmtId="1" fontId="25" fillId="60" borderId="0" xfId="9" applyNumberFormat="1" applyFont="1" applyFill="1" applyAlignment="1">
      <alignment horizontal="right" vertical="center"/>
    </xf>
    <xf numFmtId="0" fontId="0" fillId="9" borderId="412" xfId="0" applyFill="1" applyBorder="1"/>
    <xf numFmtId="0" fontId="17" fillId="9" borderId="295" xfId="4" applyFont="1" applyFill="1" applyBorder="1" applyAlignment="1" applyProtection="1">
      <alignment horizontal="left" vertical="center"/>
      <protection locked="0"/>
    </xf>
    <xf numFmtId="0" fontId="17" fillId="9" borderId="401" xfId="4" applyFont="1" applyFill="1" applyBorder="1" applyAlignment="1" applyProtection="1">
      <alignment horizontal="left" vertical="center"/>
      <protection locked="0"/>
    </xf>
    <xf numFmtId="0" fontId="4" fillId="9" borderId="0" xfId="1" applyFont="1" applyFill="1" applyAlignment="1">
      <alignment vertical="center"/>
    </xf>
    <xf numFmtId="0" fontId="59" fillId="9" borderId="4" xfId="2" applyFont="1" applyFill="1" applyBorder="1" applyAlignment="1">
      <alignment vertical="center"/>
    </xf>
    <xf numFmtId="0" fontId="183" fillId="73" borderId="4" xfId="4" applyFont="1" applyFill="1" applyBorder="1" applyAlignment="1">
      <alignment horizontal="left" vertical="center"/>
    </xf>
    <xf numFmtId="0" fontId="82" fillId="9" borderId="0" xfId="19" applyFont="1" applyFill="1" applyAlignment="1">
      <alignment horizontal="right" vertical="center"/>
    </xf>
    <xf numFmtId="0" fontId="13" fillId="9" borderId="0" xfId="4" applyFont="1" applyFill="1" applyAlignment="1" applyProtection="1">
      <alignment horizontal="right" vertical="center"/>
      <protection locked="0"/>
    </xf>
    <xf numFmtId="0" fontId="13" fillId="9" borderId="59" xfId="4" applyFont="1" applyFill="1" applyBorder="1" applyAlignment="1" applyProtection="1">
      <alignment horizontal="right" vertical="center"/>
      <protection locked="0"/>
    </xf>
    <xf numFmtId="0" fontId="0" fillId="9" borderId="420" xfId="0" applyFill="1" applyBorder="1"/>
    <xf numFmtId="0" fontId="619" fillId="9" borderId="0" xfId="6" applyFont="1" applyFill="1"/>
    <xf numFmtId="0" fontId="620" fillId="9" borderId="0" xfId="21" applyFont="1" applyFill="1" applyAlignment="1">
      <alignment vertical="center"/>
    </xf>
    <xf numFmtId="0" fontId="620" fillId="63" borderId="0" xfId="6" applyFont="1" applyFill="1" applyAlignment="1" applyProtection="1">
      <alignment horizontal="right" vertical="center"/>
      <protection locked="0"/>
    </xf>
    <xf numFmtId="0" fontId="621" fillId="9" borderId="6" xfId="6" applyFont="1" applyFill="1" applyBorder="1" applyAlignment="1" applyProtection="1">
      <alignment horizontal="right" vertical="center"/>
      <protection locked="0"/>
    </xf>
    <xf numFmtId="0" fontId="621" fillId="9" borderId="0" xfId="6" applyFont="1" applyFill="1" applyAlignment="1" applyProtection="1">
      <alignment horizontal="right" vertical="center"/>
      <protection locked="0"/>
    </xf>
    <xf numFmtId="0" fontId="620" fillId="9" borderId="122" xfId="6" applyFont="1" applyFill="1" applyBorder="1" applyAlignment="1" applyProtection="1">
      <alignment horizontal="right" vertical="center"/>
      <protection locked="0"/>
    </xf>
    <xf numFmtId="0" fontId="620" fillId="63" borderId="122" xfId="6" applyFont="1" applyFill="1" applyBorder="1" applyAlignment="1" applyProtection="1">
      <alignment horizontal="right" vertical="center"/>
      <protection locked="0"/>
    </xf>
    <xf numFmtId="0" fontId="622" fillId="9" borderId="0" xfId="13" applyFont="1" applyFill="1" applyAlignment="1">
      <alignment horizontal="center" vertical="center"/>
    </xf>
    <xf numFmtId="0" fontId="620" fillId="9" borderId="60" xfId="0" applyFont="1" applyFill="1" applyBorder="1" applyAlignment="1">
      <alignment horizontal="center" vertical="center"/>
    </xf>
    <xf numFmtId="182" fontId="621" fillId="9" borderId="61" xfId="7" applyNumberFormat="1" applyFont="1" applyFill="1" applyBorder="1" applyAlignment="1">
      <alignment horizontal="center" vertical="center" wrapText="1"/>
    </xf>
    <xf numFmtId="0" fontId="623" fillId="63" borderId="0" xfId="9" applyFont="1" applyFill="1" applyAlignment="1" applyProtection="1">
      <alignment horizontal="right" vertical="center"/>
      <protection locked="0"/>
    </xf>
    <xf numFmtId="0" fontId="624" fillId="9" borderId="199" xfId="0" applyFont="1" applyFill="1" applyBorder="1" applyAlignment="1">
      <alignment horizontal="center" vertical="center"/>
    </xf>
    <xf numFmtId="0" fontId="620" fillId="9" borderId="0" xfId="4" applyFont="1" applyFill="1" applyAlignment="1">
      <alignment horizontal="right" vertical="center"/>
    </xf>
    <xf numFmtId="0" fontId="623" fillId="9" borderId="19" xfId="9" applyFont="1" applyFill="1" applyBorder="1" applyAlignment="1" applyProtection="1">
      <alignment horizontal="left" vertical="center"/>
      <protection locked="0"/>
    </xf>
    <xf numFmtId="0" fontId="625" fillId="9" borderId="0" xfId="9" applyFont="1" applyFill="1" applyAlignment="1">
      <alignment horizontal="right" vertical="center"/>
    </xf>
    <xf numFmtId="0" fontId="626" fillId="63" borderId="2" xfId="4" applyFont="1" applyFill="1" applyBorder="1" applyAlignment="1">
      <alignment horizontal="center" vertical="center"/>
    </xf>
    <xf numFmtId="0" fontId="627" fillId="63" borderId="0" xfId="9" applyFont="1" applyFill="1" applyAlignment="1">
      <alignment horizontal="right" vertical="center"/>
    </xf>
    <xf numFmtId="0" fontId="628" fillId="63" borderId="2" xfId="4" applyFont="1" applyFill="1" applyBorder="1" applyAlignment="1">
      <alignment horizontal="center" vertical="center"/>
    </xf>
    <xf numFmtId="0" fontId="629" fillId="63" borderId="0" xfId="4" applyFont="1" applyFill="1" applyAlignment="1" applyProtection="1">
      <alignment horizontal="left" vertical="center"/>
      <protection hidden="1"/>
    </xf>
    <xf numFmtId="0" fontId="619" fillId="9" borderId="0" xfId="9" applyFont="1" applyFill="1"/>
    <xf numFmtId="0" fontId="619" fillId="9" borderId="1" xfId="9" applyFont="1" applyFill="1" applyBorder="1"/>
    <xf numFmtId="0" fontId="619" fillId="63" borderId="2" xfId="9" applyFont="1" applyFill="1" applyBorder="1" applyAlignment="1" applyProtection="1">
      <alignment horizontal="right" vertical="center"/>
      <protection locked="0"/>
    </xf>
    <xf numFmtId="0" fontId="620" fillId="9" borderId="0" xfId="9" applyFont="1" applyFill="1"/>
    <xf numFmtId="0" fontId="620" fillId="63" borderId="270" xfId="9" applyFont="1" applyFill="1" applyBorder="1" applyAlignment="1" applyProtection="1">
      <alignment horizontal="right" vertical="center"/>
      <protection locked="0"/>
    </xf>
    <xf numFmtId="0" fontId="620" fillId="63" borderId="0" xfId="9" applyFont="1" applyFill="1" applyAlignment="1" applyProtection="1">
      <alignment horizontal="right" vertical="center"/>
      <protection locked="0"/>
    </xf>
    <xf numFmtId="0" fontId="620" fillId="63" borderId="2" xfId="9" applyFont="1" applyFill="1" applyBorder="1" applyAlignment="1" applyProtection="1">
      <alignment horizontal="right" vertical="center"/>
      <protection locked="0"/>
    </xf>
    <xf numFmtId="0" fontId="621" fillId="63" borderId="2" xfId="9" applyFont="1" applyFill="1" applyBorder="1" applyAlignment="1" applyProtection="1">
      <alignment horizontal="right" vertical="center"/>
      <protection locked="0"/>
    </xf>
    <xf numFmtId="0" fontId="621" fillId="9" borderId="6" xfId="9" applyFont="1" applyFill="1" applyBorder="1" applyAlignment="1" applyProtection="1">
      <alignment horizontal="right" vertical="center"/>
      <protection locked="0"/>
    </xf>
    <xf numFmtId="0" fontId="621" fillId="9" borderId="0" xfId="9" applyFont="1" applyFill="1" applyAlignment="1" applyProtection="1">
      <alignment horizontal="right" vertical="center"/>
      <protection locked="0"/>
    </xf>
    <xf numFmtId="0" fontId="620" fillId="9" borderId="0" xfId="9" applyFont="1" applyFill="1" applyAlignment="1" applyProtection="1">
      <alignment horizontal="right" vertical="center"/>
      <protection locked="0"/>
    </xf>
    <xf numFmtId="0" fontId="631" fillId="3" borderId="40" xfId="5" applyFont="1" applyFill="1" applyBorder="1" applyAlignment="1">
      <alignment horizontal="center" vertical="center"/>
    </xf>
    <xf numFmtId="0" fontId="631" fillId="62" borderId="40" xfId="5" applyFont="1" applyFill="1" applyBorder="1" applyAlignment="1">
      <alignment horizontal="center" vertical="center"/>
    </xf>
    <xf numFmtId="0" fontId="631" fillId="3" borderId="0" xfId="5" applyFont="1" applyFill="1" applyAlignment="1">
      <alignment horizontal="center" vertical="center"/>
    </xf>
    <xf numFmtId="0" fontId="631" fillId="62" borderId="0" xfId="5" applyFont="1" applyFill="1" applyAlignment="1">
      <alignment horizontal="center" vertical="center"/>
    </xf>
    <xf numFmtId="0" fontId="636" fillId="3" borderId="0" xfId="0" applyFont="1" applyFill="1" applyAlignment="1">
      <alignment horizontal="center" vertical="center" wrapText="1"/>
    </xf>
    <xf numFmtId="179" fontId="637" fillId="81" borderId="0" xfId="15" applyNumberFormat="1" applyFont="1" applyFill="1" applyAlignment="1" applyProtection="1">
      <alignment horizontal="center" vertical="center"/>
      <protection locked="0"/>
    </xf>
    <xf numFmtId="164" fontId="637" fillId="12" borderId="47" xfId="4" applyNumberFormat="1" applyFont="1" applyFill="1" applyBorder="1" applyAlignment="1">
      <alignment horizontal="center" vertical="center"/>
    </xf>
    <xf numFmtId="164" fontId="637" fillId="12" borderId="49" xfId="4" applyNumberFormat="1" applyFont="1" applyFill="1" applyBorder="1" applyAlignment="1">
      <alignment horizontal="center" vertical="center"/>
    </xf>
    <xf numFmtId="164" fontId="637" fillId="12" borderId="181" xfId="4" applyNumberFormat="1" applyFont="1" applyFill="1" applyBorder="1" applyAlignment="1">
      <alignment horizontal="center" vertical="center"/>
    </xf>
    <xf numFmtId="0" fontId="638" fillId="12" borderId="44" xfId="0" applyFont="1" applyFill="1" applyBorder="1" applyAlignment="1">
      <alignment horizontal="center" vertical="center"/>
    </xf>
    <xf numFmtId="0" fontId="638" fillId="12" borderId="0" xfId="4" applyFont="1" applyFill="1" applyAlignment="1">
      <alignment horizontal="left" vertical="center"/>
    </xf>
    <xf numFmtId="0" fontId="640" fillId="12" borderId="0" xfId="4" applyFont="1" applyFill="1" applyAlignment="1">
      <alignment horizontal="center" vertical="center"/>
    </xf>
    <xf numFmtId="0" fontId="640" fillId="12" borderId="0" xfId="4" applyFont="1" applyFill="1" applyAlignment="1">
      <alignment horizontal="left" vertical="center"/>
    </xf>
    <xf numFmtId="0" fontId="641" fillId="12" borderId="0" xfId="4" applyFont="1" applyFill="1" applyAlignment="1">
      <alignment horizontal="left" vertical="center"/>
    </xf>
    <xf numFmtId="179" fontId="637" fillId="12" borderId="53" xfId="4" applyNumberFormat="1" applyFont="1" applyFill="1" applyBorder="1" applyAlignment="1">
      <alignment horizontal="center" vertical="center"/>
    </xf>
    <xf numFmtId="179" fontId="637" fillId="12" borderId="0" xfId="4" applyNumberFormat="1" applyFont="1" applyFill="1" applyAlignment="1">
      <alignment horizontal="center" vertical="center"/>
    </xf>
    <xf numFmtId="179" fontId="640" fillId="81" borderId="0" xfId="4" applyNumberFormat="1" applyFont="1" applyFill="1" applyAlignment="1">
      <alignment horizontal="center" vertical="center"/>
    </xf>
    <xf numFmtId="170" fontId="640" fillId="81" borderId="0" xfId="15" applyNumberFormat="1" applyFont="1" applyFill="1" applyAlignment="1" applyProtection="1">
      <alignment horizontal="center" vertical="center"/>
      <protection locked="0"/>
    </xf>
    <xf numFmtId="187" fontId="640" fillId="85" borderId="0" xfId="4" applyNumberFormat="1" applyFont="1" applyFill="1" applyAlignment="1">
      <alignment horizontal="center" vertical="center"/>
    </xf>
    <xf numFmtId="187" fontId="642" fillId="85" borderId="0" xfId="4" applyNumberFormat="1" applyFont="1" applyFill="1" applyAlignment="1">
      <alignment vertical="center"/>
    </xf>
    <xf numFmtId="2" fontId="4" fillId="29" borderId="0" xfId="4" applyNumberFormat="1" applyFont="1" applyFill="1" applyAlignment="1" applyProtection="1">
      <alignment horizontal="center" vertical="center"/>
      <protection locked="0"/>
    </xf>
    <xf numFmtId="0" fontId="95" fillId="29" borderId="4" xfId="4" applyFont="1" applyFill="1" applyBorder="1" applyAlignment="1" applyProtection="1">
      <alignment horizontal="center" vertical="center" textRotation="90"/>
      <protection locked="0"/>
    </xf>
    <xf numFmtId="0" fontId="95" fillId="29" borderId="41" xfId="4" applyFont="1" applyFill="1" applyBorder="1" applyAlignment="1" applyProtection="1">
      <alignment horizontal="center" vertical="center" textRotation="90"/>
      <protection locked="0"/>
    </xf>
    <xf numFmtId="0" fontId="95" fillId="29" borderId="99" xfId="4" applyFont="1" applyFill="1" applyBorder="1" applyAlignment="1" applyProtection="1">
      <alignment horizontal="center" vertical="center" textRotation="90"/>
      <protection locked="0"/>
    </xf>
    <xf numFmtId="0" fontId="95" fillId="29" borderId="150" xfId="4" applyFont="1" applyFill="1" applyBorder="1" applyAlignment="1" applyProtection="1">
      <alignment horizontal="center" vertical="center" textRotation="90"/>
      <protection locked="0"/>
    </xf>
    <xf numFmtId="0" fontId="95" fillId="29" borderId="36" xfId="4" applyFont="1" applyFill="1" applyBorder="1" applyAlignment="1" applyProtection="1">
      <alignment horizontal="center" vertical="center" textRotation="90"/>
      <protection locked="0"/>
    </xf>
    <xf numFmtId="0" fontId="4" fillId="29" borderId="96" xfId="9" applyFont="1" applyFill="1" applyBorder="1" applyAlignment="1">
      <alignment horizontal="left" vertical="center"/>
    </xf>
    <xf numFmtId="0" fontId="4" fillId="29" borderId="0" xfId="4" applyFont="1" applyFill="1" applyAlignment="1" applyProtection="1">
      <alignment horizontal="center" vertical="center"/>
      <protection locked="0"/>
    </xf>
    <xf numFmtId="0" fontId="1" fillId="29" borderId="97" xfId="9" applyFill="1" applyBorder="1" applyAlignment="1">
      <alignment horizontal="right" vertical="center"/>
    </xf>
    <xf numFmtId="0" fontId="1" fillId="29" borderId="96" xfId="9" applyFill="1" applyBorder="1" applyAlignment="1">
      <alignment horizontal="left" vertical="center"/>
    </xf>
    <xf numFmtId="0" fontId="95" fillId="29" borderId="0" xfId="0" applyFont="1" applyFill="1" applyAlignment="1">
      <alignment horizontal="left" vertical="center"/>
    </xf>
    <xf numFmtId="0" fontId="95" fillId="29" borderId="0" xfId="9" applyFont="1" applyFill="1" applyAlignment="1">
      <alignment horizontal="right" vertical="center"/>
    </xf>
    <xf numFmtId="0" fontId="95" fillId="29" borderId="7" xfId="6" applyFont="1" applyFill="1" applyBorder="1" applyAlignment="1">
      <alignment horizontal="center" vertical="center"/>
    </xf>
    <xf numFmtId="0" fontId="95" fillId="29" borderId="94" xfId="4" applyFont="1" applyFill="1" applyBorder="1" applyAlignment="1" applyProtection="1">
      <alignment horizontal="center" vertical="center" textRotation="90"/>
      <protection locked="0"/>
    </xf>
    <xf numFmtId="0" fontId="4" fillId="29" borderId="99" xfId="0" applyFont="1" applyFill="1" applyBorder="1" applyAlignment="1">
      <alignment horizontal="left" vertical="center"/>
    </xf>
    <xf numFmtId="0" fontId="95" fillId="29" borderId="7" xfId="4" applyFont="1" applyFill="1" applyBorder="1" applyAlignment="1" applyProtection="1">
      <alignment horizontal="center" vertical="center" textRotation="90"/>
      <protection locked="0"/>
    </xf>
    <xf numFmtId="0" fontId="95" fillId="29" borderId="201" xfId="4" applyFont="1" applyFill="1" applyBorder="1" applyAlignment="1" applyProtection="1">
      <alignment horizontal="center" vertical="center" textRotation="90"/>
      <protection locked="0"/>
    </xf>
    <xf numFmtId="1" fontId="643" fillId="29" borderId="19" xfId="4" applyNumberFormat="1" applyFont="1" applyFill="1" applyBorder="1" applyAlignment="1" applyProtection="1">
      <alignment vertical="center"/>
      <protection hidden="1"/>
    </xf>
    <xf numFmtId="1" fontId="643" fillId="29" borderId="0" xfId="4" applyNumberFormat="1" applyFont="1" applyFill="1" applyAlignment="1" applyProtection="1">
      <alignment horizontal="left" vertical="center"/>
      <protection hidden="1"/>
    </xf>
    <xf numFmtId="1" fontId="643" fillId="29" borderId="0" xfId="4" applyNumberFormat="1" applyFont="1" applyFill="1" applyAlignment="1" applyProtection="1">
      <alignment horizontal="right" vertical="center"/>
      <protection hidden="1"/>
    </xf>
    <xf numFmtId="0" fontId="1" fillId="145" borderId="0" xfId="25" applyFont="1" applyFill="1" applyAlignment="1">
      <alignment horizontal="center" vertical="center"/>
    </xf>
    <xf numFmtId="0" fontId="95" fillId="29" borderId="0" xfId="4" applyFont="1" applyFill="1" applyAlignment="1">
      <alignment horizontal="left" vertical="center"/>
    </xf>
    <xf numFmtId="0" fontId="644" fillId="5" borderId="378" xfId="0" applyFont="1" applyFill="1" applyBorder="1" applyAlignment="1">
      <alignment horizontal="left" vertical="center"/>
    </xf>
    <xf numFmtId="0" fontId="644" fillId="5" borderId="378" xfId="1" applyFont="1" applyFill="1" applyBorder="1" applyAlignment="1">
      <alignment horizontal="right" vertical="center"/>
    </xf>
    <xf numFmtId="0" fontId="644" fillId="5" borderId="86" xfId="0" applyFont="1" applyFill="1" applyBorder="1" applyAlignment="1">
      <alignment horizontal="left" vertical="center"/>
    </xf>
    <xf numFmtId="0" fontId="644" fillId="5" borderId="86" xfId="1" applyFont="1" applyFill="1" applyBorder="1" applyAlignment="1">
      <alignment horizontal="right" vertical="center"/>
    </xf>
    <xf numFmtId="0" fontId="646" fillId="5" borderId="69" xfId="4" applyFont="1" applyFill="1" applyBorder="1" applyAlignment="1">
      <alignment horizontal="center" vertical="center" wrapText="1"/>
    </xf>
    <xf numFmtId="0" fontId="644" fillId="5" borderId="0" xfId="4" applyFont="1" applyFill="1" applyAlignment="1" applyProtection="1">
      <alignment horizontal="center" vertical="center"/>
      <protection locked="0"/>
    </xf>
    <xf numFmtId="0" fontId="644" fillId="5" borderId="35" xfId="4" applyFont="1" applyFill="1" applyBorder="1" applyAlignment="1" applyProtection="1">
      <alignment horizontal="center" vertical="center"/>
      <protection locked="0"/>
    </xf>
    <xf numFmtId="0" fontId="644" fillId="5" borderId="0" xfId="0" applyFont="1" applyFill="1" applyAlignment="1">
      <alignment horizontal="center" vertical="center"/>
    </xf>
    <xf numFmtId="171" fontId="645" fillId="5" borderId="15" xfId="4" applyNumberFormat="1" applyFont="1" applyFill="1" applyBorder="1" applyAlignment="1">
      <alignment horizontal="center" vertical="center"/>
    </xf>
    <xf numFmtId="168" fontId="644" fillId="5" borderId="53" xfId="4" applyNumberFormat="1" applyFont="1" applyFill="1" applyBorder="1" applyAlignment="1">
      <alignment horizontal="center" vertical="center"/>
    </xf>
    <xf numFmtId="0" fontId="645" fillId="5" borderId="0" xfId="4" applyFont="1" applyFill="1" applyAlignment="1">
      <alignment horizontal="center" vertical="center"/>
    </xf>
    <xf numFmtId="0" fontId="647" fillId="5" borderId="0" xfId="4" applyFont="1" applyFill="1" applyAlignment="1">
      <alignment vertical="center"/>
    </xf>
    <xf numFmtId="0" fontId="5" fillId="0" borderId="0" xfId="1" applyFont="1"/>
    <xf numFmtId="0" fontId="130" fillId="3" borderId="40" xfId="5" applyFont="1" applyFill="1" applyBorder="1" applyAlignment="1">
      <alignment horizontal="center" vertical="center"/>
    </xf>
    <xf numFmtId="0" fontId="5" fillId="145" borderId="0" xfId="25" applyFont="1" applyFill="1" applyAlignment="1">
      <alignment horizontal="center" vertical="center"/>
    </xf>
    <xf numFmtId="0" fontId="79" fillId="12" borderId="375" xfId="0" applyFont="1" applyFill="1" applyBorder="1" applyAlignment="1">
      <alignment horizontal="center" vertical="center"/>
    </xf>
    <xf numFmtId="0" fontId="389" fillId="63" borderId="426" xfId="25" applyFont="1" applyFill="1" applyBorder="1" applyAlignment="1">
      <alignment horizontal="center" vertical="center" wrapText="1"/>
    </xf>
    <xf numFmtId="0" fontId="389" fillId="63" borderId="426" xfId="25" applyFont="1" applyFill="1" applyBorder="1" applyAlignment="1">
      <alignment vertical="center" wrapText="1"/>
    </xf>
    <xf numFmtId="0" fontId="389" fillId="132" borderId="426" xfId="25" applyFont="1" applyFill="1" applyBorder="1" applyAlignment="1">
      <alignment horizontal="center" vertical="center" wrapText="1"/>
    </xf>
    <xf numFmtId="0" fontId="551" fillId="63" borderId="426" xfId="25" applyFont="1" applyFill="1" applyBorder="1" applyAlignment="1">
      <alignment vertical="center" wrapText="1"/>
    </xf>
    <xf numFmtId="0" fontId="139" fillId="151" borderId="426" xfId="25" applyFont="1" applyFill="1" applyBorder="1" applyAlignment="1">
      <alignment horizontal="center" vertical="center" wrapText="1"/>
    </xf>
    <xf numFmtId="0" fontId="552" fillId="63" borderId="426" xfId="25" applyFont="1" applyFill="1" applyBorder="1" applyAlignment="1">
      <alignment vertical="center" wrapText="1"/>
    </xf>
    <xf numFmtId="0" fontId="389" fillId="180" borderId="426" xfId="25" applyFont="1" applyFill="1" applyBorder="1" applyAlignment="1">
      <alignment horizontal="center" vertical="center" wrapText="1"/>
    </xf>
    <xf numFmtId="0" fontId="553" fillId="63" borderId="426" xfId="25" applyFont="1" applyFill="1" applyBorder="1" applyAlignment="1">
      <alignment vertical="center" wrapText="1"/>
    </xf>
    <xf numFmtId="0" fontId="139" fillId="153" borderId="426" xfId="25" applyFont="1" applyFill="1" applyBorder="1" applyAlignment="1">
      <alignment horizontal="center" vertical="center" wrapText="1"/>
    </xf>
    <xf numFmtId="0" fontId="554" fillId="63" borderId="426" xfId="25" applyFont="1" applyFill="1" applyBorder="1" applyAlignment="1">
      <alignment vertical="center" wrapText="1"/>
    </xf>
    <xf numFmtId="0" fontId="139" fillId="144" borderId="426" xfId="25" applyFont="1" applyFill="1" applyBorder="1" applyAlignment="1">
      <alignment horizontal="center" vertical="center" wrapText="1"/>
    </xf>
    <xf numFmtId="0" fontId="389" fillId="62" borderId="426" xfId="25" applyFont="1" applyFill="1" applyBorder="1" applyAlignment="1">
      <alignment horizontal="center" vertical="center" wrapText="1"/>
    </xf>
    <xf numFmtId="0" fontId="555" fillId="63" borderId="426" xfId="25" applyFont="1" applyFill="1" applyBorder="1" applyAlignment="1">
      <alignment vertical="center" wrapText="1"/>
    </xf>
    <xf numFmtId="0" fontId="139" fillId="156" borderId="426" xfId="25" applyFont="1" applyFill="1" applyBorder="1" applyAlignment="1">
      <alignment horizontal="center" vertical="center" wrapText="1"/>
    </xf>
    <xf numFmtId="0" fontId="556" fillId="63" borderId="426" xfId="25" applyFont="1" applyFill="1" applyBorder="1" applyAlignment="1">
      <alignment vertical="center" wrapText="1"/>
    </xf>
    <xf numFmtId="0" fontId="389" fillId="142" borderId="426" xfId="25" applyFont="1" applyFill="1" applyBorder="1" applyAlignment="1">
      <alignment horizontal="center" vertical="center" wrapText="1"/>
    </xf>
    <xf numFmtId="0" fontId="557" fillId="63" borderId="426" xfId="25" applyFont="1" applyFill="1" applyBorder="1" applyAlignment="1">
      <alignment vertical="center" wrapText="1"/>
    </xf>
    <xf numFmtId="0" fontId="389" fillId="149" borderId="426" xfId="25" applyFont="1" applyFill="1" applyBorder="1" applyAlignment="1">
      <alignment horizontal="center" vertical="center" wrapText="1"/>
    </xf>
    <xf numFmtId="0" fontId="558" fillId="63" borderId="426" xfId="25" applyFont="1" applyFill="1" applyBorder="1" applyAlignment="1">
      <alignment vertical="center" wrapText="1"/>
    </xf>
    <xf numFmtId="0" fontId="559" fillId="63" borderId="426" xfId="25" applyFont="1" applyFill="1" applyBorder="1" applyAlignment="1">
      <alignment vertical="center" wrapText="1"/>
    </xf>
    <xf numFmtId="0" fontId="389" fillId="157" borderId="426" xfId="25" applyFont="1" applyFill="1" applyBorder="1" applyAlignment="1">
      <alignment horizontal="center" vertical="center" wrapText="1"/>
    </xf>
    <xf numFmtId="0" fontId="560" fillId="63" borderId="426" xfId="25" applyFont="1" applyFill="1" applyBorder="1" applyAlignment="1">
      <alignment vertical="center" wrapText="1"/>
    </xf>
    <xf numFmtId="0" fontId="139" fillId="147" borderId="426" xfId="25" applyFont="1" applyFill="1" applyBorder="1" applyAlignment="1">
      <alignment horizontal="center" vertical="center" wrapText="1"/>
    </xf>
    <xf numFmtId="0" fontId="561" fillId="63" borderId="426" xfId="25" applyFont="1" applyFill="1" applyBorder="1" applyAlignment="1">
      <alignment vertical="center" wrapText="1"/>
    </xf>
    <xf numFmtId="0" fontId="139" fillId="181" borderId="426" xfId="25" applyFont="1" applyFill="1" applyBorder="1" applyAlignment="1">
      <alignment horizontal="center" vertical="center" wrapText="1"/>
    </xf>
    <xf numFmtId="0" fontId="562" fillId="63" borderId="426" xfId="25" applyFont="1" applyFill="1" applyBorder="1" applyAlignment="1">
      <alignment vertical="center" wrapText="1"/>
    </xf>
    <xf numFmtId="0" fontId="389" fillId="148" borderId="426" xfId="25" applyFont="1" applyFill="1" applyBorder="1" applyAlignment="1">
      <alignment horizontal="center" vertical="center" wrapText="1"/>
    </xf>
    <xf numFmtId="0" fontId="563" fillId="63" borderId="426" xfId="25" applyFont="1" applyFill="1" applyBorder="1" applyAlignment="1">
      <alignment vertical="center" wrapText="1"/>
    </xf>
    <xf numFmtId="0" fontId="389" fillId="145" borderId="426" xfId="25" applyFont="1" applyFill="1" applyBorder="1" applyAlignment="1">
      <alignment horizontal="center" vertical="center" wrapText="1"/>
    </xf>
    <xf numFmtId="0" fontId="648" fillId="63" borderId="426" xfId="25" applyFont="1" applyFill="1" applyBorder="1" applyAlignment="1">
      <alignment vertical="center" wrapText="1"/>
    </xf>
    <xf numFmtId="0" fontId="139" fillId="158" borderId="426" xfId="25" applyFont="1" applyFill="1" applyBorder="1" applyAlignment="1">
      <alignment horizontal="center" vertical="center" wrapText="1"/>
    </xf>
    <xf numFmtId="0" fontId="564" fillId="63" borderId="426" xfId="25" applyFont="1" applyFill="1" applyBorder="1" applyAlignment="1">
      <alignment vertical="center" wrapText="1"/>
    </xf>
    <xf numFmtId="0" fontId="389" fillId="172" borderId="426" xfId="25" applyFont="1" applyFill="1" applyBorder="1" applyAlignment="1">
      <alignment horizontal="center" vertical="center" wrapText="1"/>
    </xf>
    <xf numFmtId="0" fontId="565" fillId="63" borderId="426" xfId="25" applyFont="1" applyFill="1" applyBorder="1" applyAlignment="1">
      <alignment vertical="center" wrapText="1"/>
    </xf>
    <xf numFmtId="0" fontId="389" fillId="182" borderId="426" xfId="25" applyFont="1" applyFill="1" applyBorder="1" applyAlignment="1">
      <alignment horizontal="center" vertical="center" wrapText="1"/>
    </xf>
    <xf numFmtId="0" fontId="566" fillId="63" borderId="426" xfId="25" applyFont="1" applyFill="1" applyBorder="1" applyAlignment="1">
      <alignment vertical="center" wrapText="1"/>
    </xf>
    <xf numFmtId="0" fontId="389" fillId="150" borderId="426" xfId="25" applyFont="1" applyFill="1" applyBorder="1" applyAlignment="1">
      <alignment horizontal="center" vertical="center" wrapText="1"/>
    </xf>
    <xf numFmtId="0" fontId="567" fillId="63" borderId="426" xfId="25" applyFont="1" applyFill="1" applyBorder="1" applyAlignment="1">
      <alignment vertical="center" wrapText="1"/>
    </xf>
    <xf numFmtId="0" fontId="389" fillId="146" borderId="426" xfId="25" applyFont="1" applyFill="1" applyBorder="1" applyAlignment="1">
      <alignment horizontal="center" vertical="center" wrapText="1"/>
    </xf>
    <xf numFmtId="0" fontId="568" fillId="63" borderId="426" xfId="25" applyFont="1" applyFill="1" applyBorder="1" applyAlignment="1">
      <alignment vertical="center" wrapText="1"/>
    </xf>
    <xf numFmtId="0" fontId="389" fillId="93" borderId="426" xfId="25" applyFont="1" applyFill="1" applyBorder="1" applyAlignment="1">
      <alignment horizontal="center" vertical="center" wrapText="1"/>
    </xf>
    <xf numFmtId="0" fontId="569" fillId="63" borderId="426" xfId="25" applyFont="1" applyFill="1" applyBorder="1" applyAlignment="1">
      <alignment vertical="center" wrapText="1"/>
    </xf>
    <xf numFmtId="0" fontId="389" fillId="159" borderId="426" xfId="25" applyFont="1" applyFill="1" applyBorder="1" applyAlignment="1">
      <alignment horizontal="center" vertical="center" wrapText="1"/>
    </xf>
    <xf numFmtId="0" fontId="570" fillId="63" borderId="426" xfId="25" applyFont="1" applyFill="1" applyBorder="1" applyAlignment="1">
      <alignment vertical="center" wrapText="1"/>
    </xf>
    <xf numFmtId="0" fontId="139" fillId="183" borderId="426" xfId="25" applyFont="1" applyFill="1" applyBorder="1" applyAlignment="1">
      <alignment horizontal="center" vertical="center" wrapText="1"/>
    </xf>
    <xf numFmtId="0" fontId="571" fillId="63" borderId="426" xfId="25" applyFont="1" applyFill="1" applyBorder="1" applyAlignment="1">
      <alignment vertical="center" wrapText="1"/>
    </xf>
    <xf numFmtId="0" fontId="139" fillId="155" borderId="426" xfId="25" applyFont="1" applyFill="1" applyBorder="1" applyAlignment="1">
      <alignment horizontal="center" vertical="center" wrapText="1"/>
    </xf>
    <xf numFmtId="0" fontId="572" fillId="63" borderId="426" xfId="25" applyFont="1" applyFill="1" applyBorder="1" applyAlignment="1">
      <alignment vertical="center" wrapText="1"/>
    </xf>
    <xf numFmtId="0" fontId="389" fillId="147" borderId="426" xfId="25" applyFont="1" applyFill="1" applyBorder="1" applyAlignment="1">
      <alignment horizontal="center" vertical="center" wrapText="1"/>
    </xf>
    <xf numFmtId="0" fontId="389" fillId="90" borderId="426" xfId="25" applyFont="1" applyFill="1" applyBorder="1" applyAlignment="1">
      <alignment horizontal="center" vertical="center" wrapText="1"/>
    </xf>
    <xf numFmtId="0" fontId="573" fillId="63" borderId="426" xfId="25" applyFont="1" applyFill="1" applyBorder="1" applyAlignment="1">
      <alignment vertical="center" wrapText="1"/>
    </xf>
    <xf numFmtId="0" fontId="389" fillId="184" borderId="426" xfId="25" applyFont="1" applyFill="1" applyBorder="1" applyAlignment="1">
      <alignment horizontal="center" vertical="center" wrapText="1"/>
    </xf>
    <xf numFmtId="0" fontId="574" fillId="63" borderId="426" xfId="25" applyFont="1" applyFill="1" applyBorder="1" applyAlignment="1">
      <alignment vertical="center" wrapText="1"/>
    </xf>
    <xf numFmtId="0" fontId="171" fillId="63" borderId="426" xfId="25" applyFont="1" applyFill="1" applyBorder="1" applyAlignment="1">
      <alignment vertical="center" wrapText="1"/>
    </xf>
    <xf numFmtId="0" fontId="139" fillId="160" borderId="426" xfId="25" applyFont="1" applyFill="1" applyBorder="1" applyAlignment="1">
      <alignment horizontal="center" vertical="center" wrapText="1"/>
    </xf>
    <xf numFmtId="0" fontId="575" fillId="63" borderId="426" xfId="25" applyFont="1" applyFill="1" applyBorder="1" applyAlignment="1">
      <alignment vertical="center" wrapText="1"/>
    </xf>
    <xf numFmtId="0" fontId="389" fillId="108" borderId="426" xfId="25" applyFont="1" applyFill="1" applyBorder="1" applyAlignment="1">
      <alignment horizontal="center" vertical="center" wrapText="1"/>
    </xf>
    <xf numFmtId="0" fontId="576" fillId="63" borderId="426" xfId="25" applyFont="1" applyFill="1" applyBorder="1" applyAlignment="1">
      <alignment vertical="center" wrapText="1"/>
    </xf>
    <xf numFmtId="0" fontId="139" fillId="185" borderId="426" xfId="25" applyFont="1" applyFill="1" applyBorder="1" applyAlignment="1">
      <alignment horizontal="center" vertical="center" wrapText="1"/>
    </xf>
    <xf numFmtId="0" fontId="577" fillId="63" borderId="426" xfId="25" applyFont="1" applyFill="1" applyBorder="1" applyAlignment="1">
      <alignment vertical="center" wrapText="1"/>
    </xf>
    <xf numFmtId="0" fontId="389" fillId="161" borderId="426" xfId="25" applyFont="1" applyFill="1" applyBorder="1" applyAlignment="1">
      <alignment horizontal="center" vertical="center" wrapText="1"/>
    </xf>
    <xf numFmtId="0" fontId="578" fillId="63" borderId="426" xfId="25" applyFont="1" applyFill="1" applyBorder="1" applyAlignment="1">
      <alignment vertical="center" wrapText="1"/>
    </xf>
    <xf numFmtId="0" fontId="389" fillId="174" borderId="426" xfId="25" applyFont="1" applyFill="1" applyBorder="1" applyAlignment="1">
      <alignment horizontal="center" vertical="center" wrapText="1"/>
    </xf>
    <xf numFmtId="0" fontId="579" fillId="63" borderId="426" xfId="25" applyFont="1" applyFill="1" applyBorder="1" applyAlignment="1">
      <alignment vertical="center" wrapText="1"/>
    </xf>
    <xf numFmtId="0" fontId="139" fillId="186" borderId="426" xfId="25" applyFont="1" applyFill="1" applyBorder="1" applyAlignment="1">
      <alignment horizontal="center" vertical="center" wrapText="1"/>
    </xf>
    <xf numFmtId="0" fontId="580" fillId="63" borderId="426" xfId="25" applyFont="1" applyFill="1" applyBorder="1" applyAlignment="1">
      <alignment vertical="center" wrapText="1"/>
    </xf>
    <xf numFmtId="0" fontId="139" fillId="162" borderId="426" xfId="25" applyFont="1" applyFill="1" applyBorder="1" applyAlignment="1">
      <alignment horizontal="center" vertical="center" wrapText="1"/>
    </xf>
    <xf numFmtId="0" fontId="581" fillId="63" borderId="426" xfId="25" applyFont="1" applyFill="1" applyBorder="1" applyAlignment="1">
      <alignment vertical="center" wrapText="1"/>
    </xf>
    <xf numFmtId="0" fontId="389" fillId="175" borderId="426" xfId="25" applyFont="1" applyFill="1" applyBorder="1" applyAlignment="1">
      <alignment horizontal="center" vertical="center" wrapText="1"/>
    </xf>
    <xf numFmtId="0" fontId="582" fillId="63" borderId="426" xfId="25" applyFont="1" applyFill="1" applyBorder="1" applyAlignment="1">
      <alignment vertical="center" wrapText="1"/>
    </xf>
    <xf numFmtId="0" fontId="139" fillId="187" borderId="426" xfId="25" applyFont="1" applyFill="1" applyBorder="1" applyAlignment="1">
      <alignment horizontal="center" vertical="center" wrapText="1"/>
    </xf>
    <xf numFmtId="0" fontId="583" fillId="63" borderId="426" xfId="25" applyFont="1" applyFill="1" applyBorder="1" applyAlignment="1">
      <alignment vertical="center" wrapText="1"/>
    </xf>
    <xf numFmtId="0" fontId="389" fillId="163" borderId="426" xfId="25" applyFont="1" applyFill="1" applyBorder="1" applyAlignment="1">
      <alignment horizontal="center" vertical="center" wrapText="1"/>
    </xf>
    <xf numFmtId="0" fontId="584" fillId="63" borderId="426" xfId="25" applyFont="1" applyFill="1" applyBorder="1" applyAlignment="1">
      <alignment vertical="center" wrapText="1"/>
    </xf>
    <xf numFmtId="0" fontId="389" fillId="130" borderId="426" xfId="25" applyFont="1" applyFill="1" applyBorder="1" applyAlignment="1">
      <alignment horizontal="center" vertical="center" wrapText="1"/>
    </xf>
    <xf numFmtId="0" fontId="585" fillId="63" borderId="426" xfId="25" applyFont="1" applyFill="1" applyBorder="1" applyAlignment="1">
      <alignment vertical="center" wrapText="1"/>
    </xf>
    <xf numFmtId="164" fontId="28" fillId="12" borderId="47" xfId="4" applyNumberFormat="1" applyFont="1" applyFill="1" applyBorder="1" applyAlignment="1">
      <alignment horizontal="center" vertical="center"/>
    </xf>
    <xf numFmtId="0" fontId="61" fillId="121" borderId="427" xfId="13" applyFont="1" applyFill="1" applyBorder="1" applyAlignment="1">
      <alignment horizontal="center" vertical="center"/>
    </xf>
    <xf numFmtId="0" fontId="61" fillId="121" borderId="428" xfId="13" applyFont="1" applyFill="1" applyBorder="1" applyAlignment="1">
      <alignment horizontal="center" vertical="center"/>
    </xf>
    <xf numFmtId="0" fontId="139" fillId="152" borderId="426" xfId="25" applyFont="1" applyFill="1" applyBorder="1" applyAlignment="1">
      <alignment horizontal="center" vertical="center" wrapText="1"/>
    </xf>
    <xf numFmtId="0" fontId="587" fillId="63" borderId="426" xfId="25" applyFont="1" applyFill="1" applyBorder="1" applyAlignment="1">
      <alignment vertical="center" wrapText="1"/>
    </xf>
    <xf numFmtId="0" fontId="389" fillId="176" borderId="426" xfId="25" applyFont="1" applyFill="1" applyBorder="1" applyAlignment="1">
      <alignment horizontal="center" vertical="center" wrapText="1"/>
    </xf>
    <xf numFmtId="0" fontId="588" fillId="63" borderId="426" xfId="25" applyFont="1" applyFill="1" applyBorder="1" applyAlignment="1">
      <alignment vertical="center" wrapText="1"/>
    </xf>
    <xf numFmtId="0" fontId="139" fillId="189" borderId="426" xfId="25" applyFont="1" applyFill="1" applyBorder="1" applyAlignment="1">
      <alignment horizontal="center" vertical="center" wrapText="1"/>
    </xf>
    <xf numFmtId="0" fontId="589" fillId="63" borderId="426" xfId="25" applyFont="1" applyFill="1" applyBorder="1" applyAlignment="1">
      <alignment vertical="center" wrapText="1"/>
    </xf>
    <xf numFmtId="0" fontId="389" fillId="177" borderId="426" xfId="25" applyFont="1" applyFill="1" applyBorder="1" applyAlignment="1">
      <alignment horizontal="center" vertical="center" wrapText="1"/>
    </xf>
    <xf numFmtId="0" fontId="590" fillId="63" borderId="426" xfId="25" applyFont="1" applyFill="1" applyBorder="1" applyAlignment="1">
      <alignment vertical="center" wrapText="1"/>
    </xf>
    <xf numFmtId="0" fontId="139" fillId="190" borderId="426" xfId="25" applyFont="1" applyFill="1" applyBorder="1" applyAlignment="1">
      <alignment horizontal="center" vertical="center" wrapText="1"/>
    </xf>
    <xf numFmtId="0" fontId="591" fillId="63" borderId="426" xfId="25" applyFont="1" applyFill="1" applyBorder="1" applyAlignment="1">
      <alignment vertical="center" wrapText="1"/>
    </xf>
    <xf numFmtId="0" fontId="139" fillId="154" borderId="426" xfId="25" applyFont="1" applyFill="1" applyBorder="1" applyAlignment="1">
      <alignment horizontal="center" vertical="center" wrapText="1"/>
    </xf>
    <xf numFmtId="0" fontId="592" fillId="63" borderId="426" xfId="25" applyFont="1" applyFill="1" applyBorder="1" applyAlignment="1">
      <alignment vertical="center" wrapText="1"/>
    </xf>
    <xf numFmtId="0" fontId="389" fillId="178" borderId="426" xfId="25" applyFont="1" applyFill="1" applyBorder="1" applyAlignment="1">
      <alignment horizontal="center" vertical="center" wrapText="1"/>
    </xf>
    <xf numFmtId="0" fontId="593" fillId="63" borderId="426" xfId="25" applyFont="1" applyFill="1" applyBorder="1" applyAlignment="1">
      <alignment vertical="center" wrapText="1"/>
    </xf>
    <xf numFmtId="0" fontId="389" fillId="138" borderId="426" xfId="25" applyFont="1" applyFill="1" applyBorder="1" applyAlignment="1">
      <alignment horizontal="center" vertical="center" wrapText="1"/>
    </xf>
    <xf numFmtId="0" fontId="594" fillId="63" borderId="426" xfId="25" applyFont="1" applyFill="1" applyBorder="1" applyAlignment="1">
      <alignment vertical="center" wrapText="1"/>
    </xf>
    <xf numFmtId="0" fontId="389" fillId="179" borderId="426" xfId="25" applyFont="1" applyFill="1" applyBorder="1" applyAlignment="1">
      <alignment horizontal="center" vertical="center" wrapText="1"/>
    </xf>
    <xf numFmtId="0" fontId="595" fillId="63" borderId="426" xfId="25" applyFont="1" applyFill="1" applyBorder="1" applyAlignment="1">
      <alignment vertical="center" wrapText="1"/>
    </xf>
    <xf numFmtId="0" fontId="596" fillId="63" borderId="426" xfId="25" applyFont="1" applyFill="1" applyBorder="1" applyAlignment="1">
      <alignment horizontal="center" vertical="center" wrapText="1"/>
    </xf>
    <xf numFmtId="0" fontId="190" fillId="63" borderId="426" xfId="25" applyFont="1" applyFill="1" applyBorder="1" applyAlignment="1">
      <alignment horizontal="center" vertical="center" wrapText="1"/>
    </xf>
    <xf numFmtId="0" fontId="597" fillId="63" borderId="426" xfId="25" applyFont="1" applyFill="1" applyBorder="1" applyAlignment="1">
      <alignment horizontal="center" vertical="center" wrapText="1"/>
    </xf>
    <xf numFmtId="0" fontId="192" fillId="63" borderId="426" xfId="25" applyFont="1" applyFill="1" applyBorder="1" applyAlignment="1">
      <alignment horizontal="center" vertical="center" wrapText="1"/>
    </xf>
    <xf numFmtId="0" fontId="598" fillId="63" borderId="426" xfId="25" applyFont="1" applyFill="1" applyBorder="1" applyAlignment="1">
      <alignment vertical="center" wrapText="1"/>
    </xf>
    <xf numFmtId="0" fontId="559" fillId="144" borderId="426" xfId="25" applyFont="1" applyFill="1" applyBorder="1" applyAlignment="1">
      <alignment horizontal="center" vertical="center" wrapText="1"/>
    </xf>
    <xf numFmtId="0" fontId="389" fillId="154" borderId="426" xfId="25" applyFont="1" applyFill="1" applyBorder="1" applyAlignment="1">
      <alignment horizontal="center" vertical="center" wrapText="1"/>
    </xf>
    <xf numFmtId="0" fontId="389" fillId="155" borderId="426" xfId="25" applyFont="1" applyFill="1" applyBorder="1" applyAlignment="1">
      <alignment horizontal="center" vertical="center" wrapText="1"/>
    </xf>
    <xf numFmtId="0" fontId="389" fillId="156" borderId="426" xfId="25" applyFont="1" applyFill="1" applyBorder="1" applyAlignment="1">
      <alignment horizontal="center" vertical="center" wrapText="1"/>
    </xf>
    <xf numFmtId="0" fontId="139" fillId="157" borderId="426" xfId="25" applyFont="1" applyFill="1" applyBorder="1" applyAlignment="1">
      <alignment horizontal="center" vertical="center" wrapText="1"/>
    </xf>
    <xf numFmtId="0" fontId="389" fillId="158" borderId="426" xfId="25" applyFont="1" applyFill="1" applyBorder="1" applyAlignment="1">
      <alignment horizontal="center" vertical="center" wrapText="1"/>
    </xf>
    <xf numFmtId="0" fontId="23" fillId="0" borderId="0" xfId="0" applyFont="1" applyAlignment="1">
      <alignment vertical="center"/>
    </xf>
    <xf numFmtId="0" fontId="118" fillId="39" borderId="40" xfId="4" applyFont="1" applyFill="1" applyBorder="1" applyAlignment="1">
      <alignment horizontal="left" vertical="center"/>
    </xf>
    <xf numFmtId="0" fontId="59" fillId="39" borderId="40" xfId="4" applyFont="1" applyFill="1" applyBorder="1" applyAlignment="1">
      <alignment horizontal="center" vertical="center"/>
    </xf>
    <xf numFmtId="0" fontId="489" fillId="39" borderId="40" xfId="4" applyFont="1" applyFill="1" applyBorder="1" applyAlignment="1">
      <alignment vertical="center"/>
    </xf>
    <xf numFmtId="1" fontId="56" fillId="57" borderId="40" xfId="4" applyNumberFormat="1" applyFont="1" applyFill="1" applyBorder="1" applyAlignment="1" applyProtection="1">
      <alignment vertical="center"/>
      <protection hidden="1"/>
    </xf>
    <xf numFmtId="0" fontId="615" fillId="39" borderId="39" xfId="1" applyFont="1" applyFill="1" applyBorder="1" applyAlignment="1">
      <alignment vertical="center"/>
    </xf>
    <xf numFmtId="0" fontId="117" fillId="39" borderId="0" xfId="0" applyFont="1" applyFill="1" applyAlignment="1">
      <alignment horizontal="center" vertical="center"/>
    </xf>
    <xf numFmtId="0" fontId="23" fillId="39" borderId="0" xfId="4" applyFont="1" applyFill="1" applyAlignment="1">
      <alignment horizontal="center" vertical="center"/>
    </xf>
    <xf numFmtId="0" fontId="489" fillId="39" borderId="0" xfId="4" applyFont="1" applyFill="1" applyAlignment="1">
      <alignment vertical="center"/>
    </xf>
    <xf numFmtId="1" fontId="56" fillId="57" borderId="0" xfId="4" applyNumberFormat="1" applyFont="1" applyFill="1" applyAlignment="1" applyProtection="1">
      <alignment vertical="center"/>
      <protection hidden="1"/>
    </xf>
    <xf numFmtId="0" fontId="615" fillId="39" borderId="4" xfId="1" applyFont="1" applyFill="1" applyBorder="1" applyAlignment="1">
      <alignment vertical="center"/>
    </xf>
    <xf numFmtId="0" fontId="87" fillId="9" borderId="0" xfId="3" applyFont="1" applyFill="1" applyAlignment="1">
      <alignment vertical="top"/>
    </xf>
    <xf numFmtId="0" fontId="13" fillId="9" borderId="4" xfId="2" applyFont="1" applyFill="1" applyBorder="1" applyAlignment="1">
      <alignment vertical="center"/>
    </xf>
    <xf numFmtId="0" fontId="59" fillId="14" borderId="0" xfId="4" applyFont="1" applyFill="1" applyAlignment="1" applyProtection="1">
      <alignment vertical="center"/>
      <protection locked="0"/>
    </xf>
    <xf numFmtId="0" fontId="59" fillId="14" borderId="294" xfId="4" applyFont="1" applyFill="1" applyBorder="1" applyAlignment="1">
      <alignment vertical="center"/>
    </xf>
    <xf numFmtId="0" fontId="639" fillId="12" borderId="400" xfId="4" applyFont="1" applyFill="1" applyBorder="1" applyAlignment="1" applyProtection="1">
      <alignment vertical="center"/>
      <protection hidden="1"/>
    </xf>
    <xf numFmtId="0" fontId="646" fillId="5" borderId="68" xfId="4" applyFont="1" applyFill="1" applyBorder="1" applyAlignment="1">
      <alignment vertical="center"/>
    </xf>
    <xf numFmtId="0" fontId="59" fillId="9" borderId="68" xfId="4" applyFont="1" applyFill="1" applyBorder="1" applyAlignment="1">
      <alignment vertical="center"/>
    </xf>
    <xf numFmtId="0" fontId="59" fillId="9" borderId="67" xfId="4" applyFont="1" applyFill="1" applyBorder="1" applyAlignment="1">
      <alignment vertical="center"/>
    </xf>
    <xf numFmtId="0" fontId="59" fillId="14" borderId="59" xfId="4" applyFont="1" applyFill="1" applyBorder="1" applyAlignment="1" applyProtection="1">
      <alignment vertical="center"/>
      <protection locked="0"/>
    </xf>
    <xf numFmtId="0" fontId="59" fillId="14" borderId="402" xfId="4" applyFont="1" applyFill="1" applyBorder="1" applyAlignment="1">
      <alignment vertical="center"/>
    </xf>
    <xf numFmtId="0" fontId="639" fillId="12" borderId="403" xfId="4" applyFont="1" applyFill="1" applyBorder="1" applyAlignment="1" applyProtection="1">
      <alignment vertical="center"/>
      <protection hidden="1"/>
    </xf>
    <xf numFmtId="0" fontId="646" fillId="5" borderId="59" xfId="4" applyFont="1" applyFill="1" applyBorder="1" applyAlignment="1">
      <alignment vertical="center"/>
    </xf>
    <xf numFmtId="0" fontId="59" fillId="9" borderId="59" xfId="4" applyFont="1" applyFill="1" applyBorder="1" applyAlignment="1">
      <alignment vertical="center"/>
    </xf>
    <xf numFmtId="0" fontId="59" fillId="9" borderId="404" xfId="4" applyFont="1" applyFill="1" applyBorder="1" applyAlignment="1">
      <alignment vertical="center"/>
    </xf>
    <xf numFmtId="0" fontId="13" fillId="5" borderId="170" xfId="19" applyFont="1" applyFill="1" applyBorder="1" applyAlignment="1">
      <alignment horizontal="right" vertical="center"/>
    </xf>
    <xf numFmtId="0" fontId="586" fillId="7" borderId="294" xfId="4" applyFont="1" applyFill="1" applyBorder="1" applyAlignment="1" applyProtection="1">
      <alignment vertical="center"/>
      <protection locked="0"/>
    </xf>
    <xf numFmtId="168" fontId="550" fillId="16" borderId="1" xfId="10" applyNumberFormat="1" applyFont="1" applyFill="1" applyBorder="1" applyAlignment="1">
      <alignment vertical="center"/>
    </xf>
    <xf numFmtId="0" fontId="11" fillId="29" borderId="41" xfId="4" applyFont="1" applyFill="1" applyBorder="1" applyAlignment="1" applyProtection="1">
      <alignment horizontal="center" vertical="center" textRotation="90"/>
      <protection locked="0"/>
    </xf>
    <xf numFmtId="0" fontId="4" fillId="9" borderId="0" xfId="1" applyFont="1" applyFill="1" applyAlignment="1">
      <alignment horizontal="right"/>
    </xf>
    <xf numFmtId="0" fontId="14" fillId="9" borderId="0" xfId="4" applyFont="1" applyFill="1" applyAlignment="1">
      <alignment horizontal="left"/>
    </xf>
    <xf numFmtId="0" fontId="14" fillId="9" borderId="0" xfId="4" applyFont="1" applyFill="1" applyAlignment="1">
      <alignment horizontal="center"/>
    </xf>
    <xf numFmtId="0" fontId="9" fillId="9" borderId="0" xfId="4" applyFont="1" applyFill="1" applyAlignment="1">
      <alignment horizontal="center" vertical="center"/>
    </xf>
    <xf numFmtId="0" fontId="27" fillId="0" borderId="0" xfId="3" applyFont="1" applyAlignment="1">
      <alignment horizontal="right" vertical="center"/>
    </xf>
    <xf numFmtId="0" fontId="199" fillId="9" borderId="0" xfId="46" applyFont="1" applyFill="1"/>
    <xf numFmtId="0" fontId="52" fillId="9" borderId="0" xfId="46" applyFont="1" applyFill="1" applyAlignment="1">
      <alignment vertical="center"/>
    </xf>
    <xf numFmtId="0" fontId="168" fillId="9" borderId="0" xfId="46" applyFont="1" applyFill="1"/>
    <xf numFmtId="0" fontId="649" fillId="9" borderId="0" xfId="46" applyFont="1" applyFill="1" applyAlignment="1">
      <alignment vertical="center"/>
    </xf>
    <xf numFmtId="0" fontId="649" fillId="9" borderId="0" xfId="3" applyFont="1" applyFill="1" applyAlignment="1">
      <alignment vertical="center"/>
    </xf>
    <xf numFmtId="0" fontId="127" fillId="9" borderId="40" xfId="1" applyFont="1" applyFill="1" applyBorder="1" applyAlignment="1">
      <alignment vertical="center"/>
    </xf>
    <xf numFmtId="0" fontId="56" fillId="9" borderId="0" xfId="4" applyFont="1" applyFill="1" applyAlignment="1">
      <alignment horizontal="right" vertical="center"/>
    </xf>
    <xf numFmtId="0" fontId="69" fillId="70" borderId="0" xfId="4" applyFont="1" applyFill="1" applyAlignment="1">
      <alignment horizontal="center" vertical="center"/>
    </xf>
    <xf numFmtId="0" fontId="146" fillId="64" borderId="0" xfId="4" applyFont="1" applyFill="1" applyAlignment="1">
      <alignment horizontal="center" vertical="center"/>
    </xf>
    <xf numFmtId="0" fontId="650" fillId="60" borderId="0" xfId="0" applyFont="1" applyFill="1" applyAlignment="1">
      <alignment horizontal="centerContinuous" vertical="center"/>
    </xf>
    <xf numFmtId="0" fontId="232" fillId="9" borderId="0" xfId="0" applyFont="1" applyFill="1" applyAlignment="1">
      <alignment vertical="center"/>
    </xf>
    <xf numFmtId="0" fontId="57" fillId="9" borderId="0" xfId="0" applyFont="1" applyFill="1" applyAlignment="1">
      <alignment vertical="center"/>
    </xf>
    <xf numFmtId="0" fontId="56" fillId="9" borderId="1" xfId="5" applyFont="1" applyFill="1" applyBorder="1" applyAlignment="1">
      <alignment horizontal="center" vertical="center"/>
    </xf>
    <xf numFmtId="0" fontId="1" fillId="9" borderId="1" xfId="3" applyFill="1" applyBorder="1"/>
    <xf numFmtId="0" fontId="64" fillId="9" borderId="0" xfId="0" applyFont="1" applyFill="1" applyAlignment="1">
      <alignment vertical="center"/>
    </xf>
    <xf numFmtId="0" fontId="59" fillId="0" borderId="0" xfId="4" applyFont="1"/>
    <xf numFmtId="0" fontId="2" fillId="29" borderId="0" xfId="4" applyFont="1" applyFill="1" applyAlignment="1">
      <alignment horizontal="center" vertical="center"/>
    </xf>
    <xf numFmtId="0" fontId="69" fillId="32" borderId="94" xfId="13" applyFont="1" applyFill="1" applyBorder="1" applyAlignment="1">
      <alignment horizontal="left" vertical="center"/>
    </xf>
    <xf numFmtId="0" fontId="69" fillId="32" borderId="94" xfId="4" applyFont="1" applyFill="1" applyBorder="1" applyAlignment="1">
      <alignment horizontal="left" vertical="center"/>
    </xf>
    <xf numFmtId="0" fontId="38" fillId="0" borderId="0" xfId="17" applyFont="1" applyAlignment="1">
      <alignment horizontal="center" vertical="center"/>
    </xf>
    <xf numFmtId="0" fontId="14" fillId="5" borderId="430" xfId="9" applyFont="1" applyFill="1" applyBorder="1" applyAlignment="1">
      <alignment horizontal="center" vertical="center"/>
    </xf>
    <xf numFmtId="0" fontId="2" fillId="2044" borderId="41" xfId="19" applyFont="1" applyFill="1" applyBorder="1" applyAlignment="1">
      <alignment horizontal="center" vertical="center"/>
    </xf>
    <xf numFmtId="0" fontId="2" fillId="2044" borderId="40" xfId="19" applyFont="1" applyFill="1" applyBorder="1" applyAlignment="1">
      <alignment horizontal="center" vertical="center"/>
    </xf>
    <xf numFmtId="0" fontId="14" fillId="20" borderId="7" xfId="9" applyFont="1" applyFill="1" applyBorder="1" applyAlignment="1">
      <alignment horizontal="center" vertical="center"/>
    </xf>
    <xf numFmtId="0" fontId="2" fillId="2044" borderId="2" xfId="19" applyFont="1" applyFill="1" applyBorder="1" applyAlignment="1">
      <alignment horizontal="center" vertical="center"/>
    </xf>
    <xf numFmtId="0" fontId="2" fillId="2044" borderId="0" xfId="19" applyFont="1" applyFill="1" applyAlignment="1">
      <alignment horizontal="center" vertical="center"/>
    </xf>
    <xf numFmtId="0" fontId="651" fillId="75" borderId="272" xfId="4" applyFont="1" applyFill="1" applyBorder="1" applyAlignment="1">
      <alignment horizontal="center" vertical="center" textRotation="90"/>
    </xf>
    <xf numFmtId="0" fontId="2" fillId="2045" borderId="0" xfId="19" applyFont="1" applyFill="1" applyAlignment="1">
      <alignment horizontal="center" vertical="center"/>
    </xf>
    <xf numFmtId="0" fontId="652" fillId="2045" borderId="0" xfId="19" applyFont="1" applyFill="1" applyAlignment="1">
      <alignment horizontal="center" vertical="center"/>
    </xf>
    <xf numFmtId="0" fontId="57" fillId="28" borderId="0" xfId="1" applyFont="1" applyFill="1" applyAlignment="1">
      <alignment horizontal="left" vertical="center"/>
    </xf>
    <xf numFmtId="0" fontId="5" fillId="32" borderId="270" xfId="0" applyFont="1" applyFill="1" applyBorder="1"/>
    <xf numFmtId="0" fontId="49" fillId="28" borderId="0" xfId="4" applyFont="1" applyFill="1" applyAlignment="1">
      <alignment horizontal="left" vertical="center"/>
    </xf>
    <xf numFmtId="0" fontId="48" fillId="28" borderId="0" xfId="4" applyFont="1" applyFill="1" applyAlignment="1">
      <alignment horizontal="center" vertical="center"/>
    </xf>
    <xf numFmtId="0" fontId="48" fillId="9" borderId="270" xfId="4" applyFont="1" applyFill="1" applyBorder="1" applyAlignment="1">
      <alignment horizontal="center" vertical="center"/>
    </xf>
    <xf numFmtId="0" fontId="2" fillId="2047" borderId="0" xfId="19" applyFont="1" applyFill="1" applyAlignment="1">
      <alignment horizontal="center" vertical="center"/>
    </xf>
    <xf numFmtId="0" fontId="184" fillId="9" borderId="0" xfId="4" applyFont="1" applyFill="1" applyAlignment="1">
      <alignment horizontal="center" vertical="center" wrapText="1"/>
    </xf>
    <xf numFmtId="0" fontId="121" fillId="9" borderId="0" xfId="4" applyFont="1" applyFill="1" applyAlignment="1">
      <alignment horizontal="center" vertical="center"/>
    </xf>
    <xf numFmtId="0" fontId="376" fillId="9" borderId="0" xfId="4" applyFont="1" applyFill="1" applyAlignment="1">
      <alignment vertical="center"/>
    </xf>
    <xf numFmtId="0" fontId="657" fillId="28" borderId="2" xfId="4" applyFont="1" applyFill="1" applyBorder="1" applyAlignment="1">
      <alignment horizontal="left" vertical="center"/>
    </xf>
    <xf numFmtId="174" fontId="76" fillId="41" borderId="417" xfId="4" applyNumberFormat="1" applyFont="1" applyFill="1" applyBorder="1" applyAlignment="1" applyProtection="1">
      <alignment horizontal="center" vertical="center"/>
      <protection hidden="1"/>
    </xf>
    <xf numFmtId="0" fontId="78" fillId="2047" borderId="0" xfId="19" applyFont="1" applyFill="1" applyAlignment="1">
      <alignment horizontal="left" vertical="center"/>
    </xf>
    <xf numFmtId="0" fontId="56" fillId="9" borderId="0" xfId="19" applyFont="1" applyFill="1" applyAlignment="1">
      <alignment vertical="center"/>
    </xf>
    <xf numFmtId="0" fontId="56" fillId="9" borderId="0" xfId="19" applyFont="1" applyFill="1" applyAlignment="1">
      <alignment horizontal="center" vertical="center"/>
    </xf>
    <xf numFmtId="0" fontId="125" fillId="9" borderId="0" xfId="0" applyFont="1" applyFill="1" applyAlignment="1">
      <alignment vertical="center"/>
    </xf>
    <xf numFmtId="0" fontId="656" fillId="9" borderId="417" xfId="19" applyFont="1" applyFill="1" applyBorder="1" applyAlignment="1">
      <alignment vertical="center"/>
    </xf>
    <xf numFmtId="0" fontId="46" fillId="27" borderId="2" xfId="1" applyFont="1" applyFill="1" applyBorder="1" applyAlignment="1">
      <alignment vertical="center"/>
    </xf>
    <xf numFmtId="0" fontId="137" fillId="27" borderId="0" xfId="1" applyFont="1" applyFill="1" applyAlignment="1">
      <alignment vertical="center"/>
    </xf>
    <xf numFmtId="0" fontId="137" fillId="27" borderId="4" xfId="1" applyFont="1" applyFill="1" applyBorder="1" applyAlignment="1">
      <alignment vertical="center"/>
    </xf>
    <xf numFmtId="0" fontId="184" fillId="32" borderId="59" xfId="5" applyFont="1" applyFill="1" applyBorder="1" applyAlignment="1">
      <alignment horizontal="center" vertical="center"/>
    </xf>
    <xf numFmtId="0" fontId="89" fillId="9" borderId="0" xfId="19" applyFont="1" applyFill="1" applyAlignment="1">
      <alignment horizontal="left" vertical="center" wrapText="1"/>
    </xf>
    <xf numFmtId="0" fontId="656" fillId="9" borderId="0" xfId="19" applyFont="1" applyFill="1" applyAlignment="1">
      <alignment vertical="center"/>
    </xf>
    <xf numFmtId="0" fontId="656" fillId="9" borderId="0" xfId="3" applyFont="1" applyFill="1" applyAlignment="1">
      <alignment vertical="center"/>
    </xf>
    <xf numFmtId="0" fontId="46" fillId="27" borderId="2" xfId="1" applyFont="1" applyFill="1" applyBorder="1"/>
    <xf numFmtId="0" fontId="137" fillId="27" borderId="0" xfId="1" applyFont="1" applyFill="1"/>
    <xf numFmtId="0" fontId="137" fillId="27" borderId="4" xfId="1" applyFont="1" applyFill="1" applyBorder="1"/>
    <xf numFmtId="0" fontId="658" fillId="28" borderId="2" xfId="4" applyFont="1" applyFill="1" applyBorder="1" applyAlignment="1">
      <alignment horizontal="left" vertical="center"/>
    </xf>
    <xf numFmtId="1" fontId="110" fillId="55" borderId="438" xfId="4" applyNumberFormat="1" applyFont="1" applyFill="1" applyBorder="1" applyAlignment="1">
      <alignment horizontal="center" vertical="center"/>
    </xf>
    <xf numFmtId="1" fontId="110" fillId="83" borderId="417" xfId="4" applyNumberFormat="1" applyFont="1" applyFill="1" applyBorder="1" applyAlignment="1">
      <alignment vertical="center"/>
    </xf>
    <xf numFmtId="0" fontId="59" fillId="5" borderId="0" xfId="4" applyFont="1" applyFill="1"/>
    <xf numFmtId="0" fontId="121" fillId="5" borderId="0" xfId="4" applyFont="1" applyFill="1" applyAlignment="1">
      <alignment horizontal="center" vertical="center"/>
    </xf>
    <xf numFmtId="0" fontId="56" fillId="5" borderId="0" xfId="1" applyFont="1" applyFill="1" applyAlignment="1">
      <alignment horizontal="right" vertical="center"/>
    </xf>
    <xf numFmtId="0" fontId="651" fillId="75" borderId="439" xfId="4" applyFont="1" applyFill="1" applyBorder="1" applyAlignment="1">
      <alignment horizontal="center" vertical="center" textRotation="90"/>
    </xf>
    <xf numFmtId="0" fontId="1" fillId="28" borderId="4" xfId="1" applyFill="1" applyBorder="1"/>
    <xf numFmtId="0" fontId="49" fillId="28" borderId="0" xfId="1" applyFont="1" applyFill="1"/>
    <xf numFmtId="0" fontId="49" fillId="28" borderId="4" xfId="1" applyFont="1" applyFill="1" applyBorder="1"/>
    <xf numFmtId="0" fontId="483" fillId="28" borderId="2" xfId="4" applyFont="1" applyFill="1" applyBorder="1" applyAlignment="1">
      <alignment horizontal="left" vertical="center"/>
    </xf>
    <xf numFmtId="0" fontId="2" fillId="2048" borderId="0" xfId="19" applyFont="1" applyFill="1" applyAlignment="1">
      <alignment horizontal="center" vertical="center"/>
    </xf>
    <xf numFmtId="0" fontId="1" fillId="28" borderId="0" xfId="3" applyFill="1"/>
    <xf numFmtId="0" fontId="55" fillId="28" borderId="0" xfId="3" applyFont="1" applyFill="1" applyAlignment="1">
      <alignment horizontal="center" vertical="center"/>
    </xf>
    <xf numFmtId="0" fontId="17" fillId="75" borderId="0" xfId="19" applyFont="1" applyFill="1" applyAlignment="1">
      <alignment vertical="center"/>
    </xf>
    <xf numFmtId="0" fontId="57" fillId="75" borderId="0" xfId="19" applyFont="1" applyFill="1" applyAlignment="1">
      <alignment vertical="center"/>
    </xf>
    <xf numFmtId="0" fontId="56" fillId="75" borderId="0" xfId="19" applyFont="1" applyFill="1" applyAlignment="1">
      <alignment vertical="center"/>
    </xf>
    <xf numFmtId="0" fontId="56" fillId="75" borderId="0" xfId="19" applyFont="1" applyFill="1" applyAlignment="1">
      <alignment horizontal="right" vertical="center"/>
    </xf>
    <xf numFmtId="0" fontId="56" fillId="28" borderId="0" xfId="1" applyFont="1" applyFill="1" applyAlignment="1">
      <alignment vertical="center"/>
    </xf>
    <xf numFmtId="0" fontId="68" fillId="28" borderId="2" xfId="1" applyFont="1" applyFill="1" applyBorder="1"/>
    <xf numFmtId="0" fontId="68" fillId="28" borderId="0" xfId="1" applyFont="1" applyFill="1"/>
    <xf numFmtId="179" fontId="45" fillId="41" borderId="417" xfId="4" applyNumberFormat="1" applyFont="1" applyFill="1" applyBorder="1" applyAlignment="1" applyProtection="1">
      <alignment horizontal="center" vertical="center"/>
      <protection hidden="1"/>
    </xf>
    <xf numFmtId="0" fontId="17" fillId="28" borderId="0" xfId="19" applyFont="1" applyFill="1" applyAlignment="1">
      <alignment vertical="center"/>
    </xf>
    <xf numFmtId="0" fontId="96" fillId="28" borderId="295" xfId="17" applyFont="1" applyFill="1" applyBorder="1" applyAlignment="1">
      <alignment vertical="center"/>
    </xf>
    <xf numFmtId="0" fontId="143" fillId="28" borderId="2" xfId="1" applyFont="1" applyFill="1" applyBorder="1"/>
    <xf numFmtId="0" fontId="137" fillId="28" borderId="2" xfId="1" applyFont="1" applyFill="1" applyBorder="1" applyAlignment="1">
      <alignment vertical="center"/>
    </xf>
    <xf numFmtId="0" fontId="202" fillId="28" borderId="0" xfId="1" applyFont="1" applyFill="1" applyAlignment="1">
      <alignment vertical="center"/>
    </xf>
    <xf numFmtId="0" fontId="89" fillId="75" borderId="59" xfId="19" applyFont="1" applyFill="1" applyBorder="1" applyAlignment="1">
      <alignment vertical="center"/>
    </xf>
    <xf numFmtId="0" fontId="14" fillId="75" borderId="59" xfId="19" applyFont="1" applyFill="1" applyBorder="1" applyAlignment="1">
      <alignment vertical="center"/>
    </xf>
    <xf numFmtId="0" fontId="14" fillId="75" borderId="59" xfId="19" applyFont="1" applyFill="1" applyBorder="1" applyAlignment="1">
      <alignment horizontal="right" vertical="center"/>
    </xf>
    <xf numFmtId="0" fontId="57" fillId="75" borderId="59" xfId="19" applyFont="1" applyFill="1" applyBorder="1" applyAlignment="1">
      <alignment horizontal="center" vertical="center"/>
    </xf>
    <xf numFmtId="0" fontId="98" fillId="75" borderId="0" xfId="19" applyFont="1" applyFill="1" applyAlignment="1">
      <alignment horizontal="left" vertical="center"/>
    </xf>
    <xf numFmtId="0" fontId="17" fillId="75" borderId="59" xfId="19" applyFont="1" applyFill="1" applyBorder="1" applyAlignment="1">
      <alignment horizontal="center" vertical="center"/>
    </xf>
    <xf numFmtId="0" fontId="17" fillId="75" borderId="59" xfId="19" applyFont="1" applyFill="1" applyBorder="1" applyAlignment="1">
      <alignment vertical="center"/>
    </xf>
    <xf numFmtId="0" fontId="59" fillId="28" borderId="59" xfId="4" applyFont="1" applyFill="1" applyBorder="1"/>
    <xf numFmtId="0" fontId="56" fillId="75" borderId="59" xfId="19" applyFont="1" applyFill="1" applyBorder="1" applyAlignment="1">
      <alignment horizontal="right"/>
    </xf>
    <xf numFmtId="0" fontId="56" fillId="75" borderId="0" xfId="19" applyFont="1" applyFill="1" applyAlignment="1">
      <alignment horizontal="right"/>
    </xf>
    <xf numFmtId="0" fontId="1" fillId="28" borderId="2" xfId="1" applyFill="1" applyBorder="1"/>
    <xf numFmtId="0" fontId="14" fillId="28" borderId="6" xfId="3" applyFont="1" applyFill="1" applyBorder="1" applyAlignment="1">
      <alignment vertical="center" wrapText="1"/>
    </xf>
    <xf numFmtId="0" fontId="14" fillId="75" borderId="0" xfId="19" applyFont="1" applyFill="1" applyAlignment="1">
      <alignment horizontal="center" vertical="center"/>
    </xf>
    <xf numFmtId="0" fontId="56" fillId="28" borderId="0" xfId="19" applyFont="1" applyFill="1" applyAlignment="1">
      <alignment vertical="center"/>
    </xf>
    <xf numFmtId="0" fontId="659" fillId="28" borderId="0" xfId="1" applyFont="1" applyFill="1" applyAlignment="1">
      <alignment vertical="center"/>
    </xf>
    <xf numFmtId="0" fontId="1" fillId="28" borderId="36" xfId="1" applyFill="1" applyBorder="1"/>
    <xf numFmtId="0" fontId="22" fillId="45" borderId="441" xfId="4" applyFont="1" applyFill="1" applyBorder="1" applyAlignment="1" applyProtection="1">
      <alignment horizontal="center" vertical="center"/>
      <protection hidden="1"/>
    </xf>
    <xf numFmtId="0" fontId="22" fillId="45" borderId="442" xfId="4" applyFont="1" applyFill="1" applyBorder="1" applyAlignment="1" applyProtection="1">
      <alignment horizontal="center" vertical="center"/>
      <protection hidden="1"/>
    </xf>
    <xf numFmtId="0" fontId="14" fillId="28" borderId="0" xfId="3" applyFont="1" applyFill="1" applyAlignment="1">
      <alignment vertical="center" wrapText="1"/>
    </xf>
    <xf numFmtId="0" fontId="125" fillId="28" borderId="0" xfId="1" applyFont="1" applyFill="1"/>
    <xf numFmtId="0" fontId="659" fillId="28" borderId="2" xfId="1" applyFont="1" applyFill="1" applyBorder="1" applyAlignment="1">
      <alignment vertical="center"/>
    </xf>
    <xf numFmtId="0" fontId="143" fillId="28" borderId="0" xfId="1" applyFont="1" applyFill="1"/>
    <xf numFmtId="0" fontId="22" fillId="46" borderId="441" xfId="4" applyFont="1" applyFill="1" applyBorder="1" applyAlignment="1" applyProtection="1">
      <alignment horizontal="center" vertical="center"/>
      <protection hidden="1"/>
    </xf>
    <xf numFmtId="0" fontId="22" fillId="16" borderId="442" xfId="4" applyFont="1" applyFill="1" applyBorder="1" applyAlignment="1" applyProtection="1">
      <alignment horizontal="center" vertical="center"/>
      <protection hidden="1"/>
    </xf>
    <xf numFmtId="174" fontId="45" fillId="41" borderId="417" xfId="4" applyNumberFormat="1" applyFont="1" applyFill="1" applyBorder="1" applyAlignment="1" applyProtection="1">
      <alignment horizontal="center" vertical="center"/>
      <protection hidden="1"/>
    </xf>
    <xf numFmtId="0" fontId="659" fillId="28" borderId="2" xfId="1" applyFont="1" applyFill="1" applyBorder="1"/>
    <xf numFmtId="0" fontId="376" fillId="53" borderId="0" xfId="4" applyFont="1" applyFill="1" applyAlignment="1" applyProtection="1">
      <alignment horizontal="center" vertical="center"/>
      <protection hidden="1"/>
    </xf>
    <xf numFmtId="0" fontId="656" fillId="16" borderId="0" xfId="3" applyFont="1" applyFill="1" applyAlignment="1">
      <alignment vertical="center"/>
    </xf>
    <xf numFmtId="0" fontId="100" fillId="41" borderId="441" xfId="4" applyFont="1" applyFill="1" applyBorder="1" applyAlignment="1" applyProtection="1">
      <alignment horizontal="center" vertical="center"/>
      <protection hidden="1"/>
    </xf>
    <xf numFmtId="0" fontId="52" fillId="41" borderId="442" xfId="4" applyFont="1" applyFill="1" applyBorder="1" applyAlignment="1" applyProtection="1">
      <alignment horizontal="center" vertical="center"/>
      <protection hidden="1"/>
    </xf>
    <xf numFmtId="0" fontId="49" fillId="28" borderId="2" xfId="4" applyFont="1" applyFill="1" applyBorder="1" applyAlignment="1">
      <alignment horizontal="center" vertical="center"/>
    </xf>
    <xf numFmtId="0" fontId="309" fillId="28" borderId="0" xfId="4" applyFont="1" applyFill="1" applyAlignment="1">
      <alignment horizontal="left" vertical="center"/>
    </xf>
    <xf numFmtId="0" fontId="202" fillId="28" borderId="0" xfId="1" applyFont="1" applyFill="1"/>
    <xf numFmtId="0" fontId="49" fillId="28" borderId="0" xfId="4" applyFont="1" applyFill="1" applyAlignment="1">
      <alignment horizontal="center" vertical="center"/>
    </xf>
    <xf numFmtId="0" fontId="49" fillId="28" borderId="4" xfId="4" applyFont="1" applyFill="1" applyBorder="1" applyAlignment="1">
      <alignment horizontal="center" vertical="center"/>
    </xf>
    <xf numFmtId="0" fontId="98" fillId="12" borderId="442" xfId="4" applyFont="1" applyFill="1" applyBorder="1" applyAlignment="1">
      <alignment horizontal="center" vertical="center"/>
    </xf>
    <xf numFmtId="0" fontId="656" fillId="28" borderId="0" xfId="1" applyFont="1" applyFill="1"/>
    <xf numFmtId="0" fontId="125" fillId="28" borderId="0" xfId="0" applyFont="1" applyFill="1" applyAlignment="1">
      <alignment horizontal="right" vertical="center"/>
    </xf>
    <xf numFmtId="0" fontId="660" fillId="28" borderId="0" xfId="19" applyFont="1" applyFill="1" applyAlignment="1">
      <alignment vertical="center"/>
    </xf>
    <xf numFmtId="0" fontId="98" fillId="12" borderId="441" xfId="4" applyFont="1" applyFill="1" applyBorder="1" applyAlignment="1">
      <alignment horizontal="center" vertical="center"/>
    </xf>
    <xf numFmtId="0" fontId="98" fillId="9" borderId="442" xfId="4" applyFont="1" applyFill="1" applyBorder="1" applyAlignment="1">
      <alignment horizontal="center" vertical="center"/>
    </xf>
    <xf numFmtId="0" fontId="10" fillId="5" borderId="0" xfId="1" applyFont="1" applyFill="1" applyAlignment="1">
      <alignment horizontal="center" vertical="center"/>
    </xf>
    <xf numFmtId="0" fontId="62" fillId="7" borderId="4" xfId="14" applyFill="1" applyBorder="1" applyAlignment="1"/>
    <xf numFmtId="0" fontId="661" fillId="28" borderId="0" xfId="1" applyFont="1" applyFill="1" applyAlignment="1">
      <alignment horizontal="left" vertical="center"/>
    </xf>
    <xf numFmtId="1" fontId="99" fillId="55" borderId="50" xfId="4" applyNumberFormat="1" applyFont="1" applyFill="1" applyBorder="1" applyAlignment="1">
      <alignment vertical="center"/>
    </xf>
    <xf numFmtId="0" fontId="99" fillId="41" borderId="380" xfId="4" applyFont="1" applyFill="1" applyBorder="1" applyAlignment="1" applyProtection="1">
      <alignment horizontal="center" vertical="center"/>
      <protection hidden="1"/>
    </xf>
    <xf numFmtId="0" fontId="67" fillId="9" borderId="0" xfId="4" applyFont="1" applyFill="1" applyAlignment="1">
      <alignment horizontal="center" vertical="center"/>
    </xf>
    <xf numFmtId="1" fontId="19" fillId="43" borderId="380" xfId="4" applyNumberFormat="1" applyFont="1" applyFill="1" applyBorder="1" applyAlignment="1" applyProtection="1">
      <alignment horizontal="left" vertical="center"/>
      <protection hidden="1"/>
    </xf>
    <xf numFmtId="176" fontId="45" fillId="41" borderId="417" xfId="4" applyNumberFormat="1" applyFont="1" applyFill="1" applyBorder="1" applyAlignment="1" applyProtection="1">
      <alignment horizontal="center" vertical="center"/>
      <protection hidden="1"/>
    </xf>
    <xf numFmtId="0" fontId="17" fillId="7" borderId="0" xfId="1" applyFont="1" applyFill="1" applyAlignment="1">
      <alignment horizontal="left" vertical="center"/>
    </xf>
    <xf numFmtId="0" fontId="39" fillId="9" borderId="2" xfId="0" applyFont="1" applyFill="1" applyBorder="1"/>
    <xf numFmtId="0" fontId="14" fillId="28" borderId="59" xfId="3" applyFont="1" applyFill="1" applyBorder="1" applyAlignment="1">
      <alignment vertical="center" wrapText="1"/>
    </xf>
    <xf numFmtId="0" fontId="39" fillId="9" borderId="2" xfId="0" applyFont="1" applyFill="1" applyBorder="1" applyAlignment="1">
      <alignment vertical="center"/>
    </xf>
    <xf numFmtId="0" fontId="14" fillId="75" borderId="0" xfId="19" applyFont="1" applyFill="1" applyAlignment="1">
      <alignment horizontal="left" vertical="center"/>
    </xf>
    <xf numFmtId="0" fontId="14" fillId="75" borderId="0" xfId="3" applyFont="1" applyFill="1"/>
    <xf numFmtId="0" fontId="301" fillId="75" borderId="0" xfId="19" applyFont="1" applyFill="1" applyAlignment="1">
      <alignment horizontal="right" vertical="center"/>
    </xf>
    <xf numFmtId="168" fontId="56" fillId="28" borderId="0" xfId="10" applyNumberFormat="1" applyFont="1" applyFill="1" applyAlignment="1">
      <alignment horizontal="center" vertical="center"/>
    </xf>
    <xf numFmtId="168" fontId="14" fillId="75" borderId="0" xfId="10" applyNumberFormat="1" applyFont="1" applyFill="1" applyAlignment="1">
      <alignment vertical="center"/>
    </xf>
    <xf numFmtId="168" fontId="56" fillId="28" borderId="0" xfId="10" applyNumberFormat="1" applyFont="1" applyFill="1" applyAlignment="1">
      <alignment vertical="center"/>
    </xf>
    <xf numFmtId="0" fontId="0" fillId="28" borderId="0" xfId="0" applyFill="1"/>
    <xf numFmtId="0" fontId="127" fillId="28" borderId="0" xfId="19" applyFont="1" applyFill="1" applyAlignment="1">
      <alignment horizontal="right"/>
    </xf>
    <xf numFmtId="0" fontId="381" fillId="12" borderId="380" xfId="4" applyFont="1" applyFill="1" applyBorder="1" applyAlignment="1">
      <alignment horizontal="left" vertical="center"/>
    </xf>
    <xf numFmtId="242" fontId="87" fillId="5" borderId="0" xfId="0" applyNumberFormat="1" applyFont="1" applyFill="1" applyAlignment="1">
      <alignment horizontal="center" vertical="center"/>
    </xf>
    <xf numFmtId="9" fontId="89" fillId="75" borderId="0" xfId="19" applyNumberFormat="1" applyFont="1" applyFill="1" applyAlignment="1">
      <alignment vertical="center"/>
    </xf>
    <xf numFmtId="168" fontId="56" fillId="75" borderId="0" xfId="10" applyNumberFormat="1" applyFont="1" applyFill="1" applyAlignment="1">
      <alignment vertical="center"/>
    </xf>
    <xf numFmtId="0" fontId="1" fillId="75" borderId="0" xfId="3" applyFill="1"/>
    <xf numFmtId="178" fontId="87" fillId="5" borderId="0" xfId="0" applyNumberFormat="1" applyFont="1" applyFill="1" applyAlignment="1">
      <alignment horizontal="center" vertical="center"/>
    </xf>
    <xf numFmtId="177" fontId="45" fillId="41" borderId="417" xfId="4" applyNumberFormat="1" applyFont="1" applyFill="1" applyBorder="1" applyAlignment="1" applyProtection="1">
      <alignment horizontal="center" vertical="center"/>
      <protection hidden="1"/>
    </xf>
    <xf numFmtId="0" fontId="59" fillId="75" borderId="1" xfId="4" applyFont="1" applyFill="1" applyBorder="1"/>
    <xf numFmtId="0" fontId="55" fillId="28" borderId="1" xfId="3" applyFont="1" applyFill="1" applyBorder="1" applyAlignment="1">
      <alignment horizontal="center" vertical="center"/>
    </xf>
    <xf numFmtId="168" fontId="56" fillId="75" borderId="1" xfId="10" applyNumberFormat="1" applyFont="1" applyFill="1" applyBorder="1" applyAlignment="1">
      <alignment horizontal="center" vertical="center"/>
    </xf>
    <xf numFmtId="0" fontId="0" fillId="28" borderId="1" xfId="0" applyFill="1" applyBorder="1"/>
    <xf numFmtId="10" fontId="14" fillId="28" borderId="1" xfId="19" applyNumberFormat="1" applyFont="1" applyFill="1" applyBorder="1" applyAlignment="1">
      <alignment horizontal="center" vertical="center"/>
    </xf>
    <xf numFmtId="0" fontId="1" fillId="28" borderId="1" xfId="3" applyFill="1" applyBorder="1"/>
    <xf numFmtId="0" fontId="1" fillId="28" borderId="125" xfId="3" applyFill="1" applyBorder="1"/>
    <xf numFmtId="0" fontId="251" fillId="9" borderId="0" xfId="4" applyFont="1" applyFill="1" applyAlignment="1">
      <alignment horizontal="left" vertical="center"/>
    </xf>
    <xf numFmtId="0" fontId="1" fillId="9" borderId="270" xfId="3" applyFill="1" applyBorder="1"/>
    <xf numFmtId="0" fontId="13" fillId="75" borderId="0" xfId="3" applyFont="1" applyFill="1" applyAlignment="1">
      <alignment horizontal="center" vertical="center"/>
    </xf>
    <xf numFmtId="0" fontId="473" fillId="75" borderId="0" xfId="4" applyFont="1" applyFill="1" applyAlignment="1" applyProtection="1">
      <alignment horizontal="left" vertical="center"/>
      <protection locked="0"/>
    </xf>
    <xf numFmtId="0" fontId="13" fillId="75" borderId="0" xfId="3" applyFont="1" applyFill="1"/>
    <xf numFmtId="0" fontId="89" fillId="75" borderId="0" xfId="19" applyFont="1" applyFill="1" applyAlignment="1">
      <alignment horizontal="left" vertical="center" wrapText="1"/>
    </xf>
    <xf numFmtId="0" fontId="89" fillId="75" borderId="0" xfId="19" applyFont="1" applyFill="1" applyAlignment="1">
      <alignment horizontal="left" vertical="center"/>
    </xf>
    <xf numFmtId="0" fontId="473" fillId="75" borderId="0" xfId="4" applyFont="1" applyFill="1" applyAlignment="1" applyProtection="1">
      <alignment horizontal="right" vertical="center"/>
      <protection locked="0"/>
    </xf>
    <xf numFmtId="0" fontId="237" fillId="75" borderId="431" xfId="4" applyFont="1" applyFill="1" applyBorder="1" applyAlignment="1" applyProtection="1">
      <alignment vertical="center" textRotation="90"/>
      <protection hidden="1"/>
    </xf>
    <xf numFmtId="0" fontId="73" fillId="28" borderId="295" xfId="17" applyFont="1" applyFill="1" applyBorder="1" applyAlignment="1">
      <alignment vertical="center"/>
    </xf>
    <xf numFmtId="0" fontId="9" fillId="5" borderId="104" xfId="4" quotePrefix="1" applyFont="1" applyFill="1" applyBorder="1" applyAlignment="1">
      <alignment horizontal="center" vertical="center"/>
    </xf>
    <xf numFmtId="0" fontId="237" fillId="75" borderId="272" xfId="4" applyFont="1" applyFill="1" applyBorder="1" applyAlignment="1" applyProtection="1">
      <alignment vertical="center" textRotation="90"/>
      <protection hidden="1"/>
    </xf>
    <xf numFmtId="0" fontId="665" fillId="28" borderId="2" xfId="1" applyFont="1" applyFill="1" applyBorder="1" applyAlignment="1">
      <alignment horizontal="left" vertical="center" wrapText="1"/>
    </xf>
    <xf numFmtId="0" fontId="48" fillId="9" borderId="40" xfId="4" applyFont="1" applyFill="1" applyBorder="1" applyAlignment="1">
      <alignment horizontal="center" vertical="center"/>
    </xf>
    <xf numFmtId="0" fontId="667" fillId="2049" borderId="0" xfId="19" applyFont="1" applyFill="1" applyAlignment="1">
      <alignment horizontal="center" vertical="center"/>
    </xf>
    <xf numFmtId="0" fontId="237" fillId="75" borderId="444" xfId="4" applyFont="1" applyFill="1" applyBorder="1" applyAlignment="1" applyProtection="1">
      <alignment vertical="center" textRotation="90"/>
      <protection hidden="1"/>
    </xf>
    <xf numFmtId="0" fontId="2" fillId="59" borderId="446" xfId="2" applyFont="1" applyFill="1" applyBorder="1" applyAlignment="1">
      <alignment horizontal="center" vertical="center"/>
    </xf>
    <xf numFmtId="0" fontId="17" fillId="9" borderId="194" xfId="4" applyFont="1" applyFill="1" applyBorder="1" applyAlignment="1" applyProtection="1">
      <alignment vertical="center"/>
      <protection hidden="1"/>
    </xf>
    <xf numFmtId="0" fontId="39" fillId="28" borderId="0" xfId="3" applyFont="1" applyFill="1" applyAlignment="1">
      <alignment horizontal="center" vertical="center"/>
    </xf>
    <xf numFmtId="0" fontId="14" fillId="5" borderId="7" xfId="9" applyFont="1" applyFill="1" applyBorder="1" applyAlignment="1">
      <alignment horizontal="center" vertical="center"/>
    </xf>
    <xf numFmtId="0" fontId="668" fillId="28" borderId="0" xfId="17" applyFont="1" applyFill="1" applyAlignment="1">
      <alignment vertical="center"/>
    </xf>
    <xf numFmtId="0" fontId="207" fillId="75" borderId="0" xfId="19" applyFont="1" applyFill="1" applyAlignment="1">
      <alignment horizontal="left" vertical="center"/>
    </xf>
    <xf numFmtId="0" fontId="47" fillId="28" borderId="0" xfId="3" applyFont="1" applyFill="1"/>
    <xf numFmtId="0" fontId="127" fillId="75" borderId="0" xfId="19" applyFont="1" applyFill="1" applyAlignment="1">
      <alignment horizontal="left"/>
    </xf>
    <xf numFmtId="0" fontId="665" fillId="28" borderId="4" xfId="1" applyFont="1" applyFill="1" applyBorder="1" applyAlignment="1">
      <alignment horizontal="left" vertical="center" wrapText="1"/>
    </xf>
    <xf numFmtId="206" fontId="142" fillId="9" borderId="380" xfId="10" applyNumberFormat="1" applyFont="1" applyFill="1" applyBorder="1" applyAlignment="1">
      <alignment horizontal="center" vertical="center"/>
    </xf>
    <xf numFmtId="172" fontId="10" fillId="2050" borderId="0" xfId="0" applyNumberFormat="1" applyFont="1" applyFill="1" applyAlignment="1">
      <alignment horizontal="center" vertical="center"/>
    </xf>
    <xf numFmtId="0" fontId="166" fillId="75" borderId="270" xfId="19" applyFont="1" applyFill="1" applyBorder="1" applyAlignment="1">
      <alignment vertical="center"/>
    </xf>
    <xf numFmtId="0" fontId="166" fillId="75" borderId="0" xfId="19" applyFont="1" applyFill="1" applyAlignment="1">
      <alignment vertical="center"/>
    </xf>
    <xf numFmtId="168" fontId="68" fillId="75" borderId="0" xfId="10" applyNumberFormat="1" applyFont="1" applyFill="1" applyAlignment="1">
      <alignment vertical="center" wrapText="1"/>
    </xf>
    <xf numFmtId="168" fontId="59" fillId="75" borderId="0" xfId="10" applyNumberFormat="1" applyFont="1" applyFill="1" applyAlignment="1">
      <alignment horizontal="right" vertical="center"/>
    </xf>
    <xf numFmtId="2" fontId="59" fillId="75" borderId="417" xfId="19" applyNumberFormat="1" applyFont="1" applyFill="1" applyBorder="1" applyAlignment="1">
      <alignment horizontal="left" vertical="center"/>
    </xf>
    <xf numFmtId="0" fontId="56" fillId="75" borderId="417" xfId="19" applyFont="1" applyFill="1" applyBorder="1" applyAlignment="1">
      <alignment vertical="center"/>
    </xf>
    <xf numFmtId="0" fontId="201" fillId="12" borderId="0" xfId="4" applyFont="1" applyFill="1" applyAlignment="1">
      <alignment horizontal="left" vertical="center"/>
    </xf>
    <xf numFmtId="0" fontId="86" fillId="75" borderId="270" xfId="3" applyFont="1" applyFill="1" applyBorder="1" applyAlignment="1">
      <alignment vertical="center"/>
    </xf>
    <xf numFmtId="171" fontId="86" fillId="75" borderId="0" xfId="3" applyNumberFormat="1" applyFont="1" applyFill="1" applyAlignment="1">
      <alignment vertical="center"/>
    </xf>
    <xf numFmtId="0" fontId="202" fillId="28" borderId="2" xfId="1" applyFont="1" applyFill="1" applyBorder="1" applyAlignment="1">
      <alignment vertical="center" wrapText="1"/>
    </xf>
    <xf numFmtId="0" fontId="68" fillId="28" borderId="0" xfId="19" applyFont="1" applyFill="1" applyAlignment="1">
      <alignment horizontal="right" vertical="center"/>
    </xf>
    <xf numFmtId="234" fontId="376" fillId="9" borderId="0" xfId="4" applyNumberFormat="1" applyFont="1" applyFill="1" applyAlignment="1">
      <alignment horizontal="center" vertical="center"/>
    </xf>
    <xf numFmtId="164" fontId="137" fillId="28" borderId="0" xfId="47" applyNumberFormat="1" applyFont="1" applyFill="1" applyAlignment="1" applyProtection="1">
      <alignment horizontal="left" vertical="center"/>
      <protection locked="0"/>
    </xf>
    <xf numFmtId="179" fontId="49" fillId="2051" borderId="0" xfId="4" applyNumberFormat="1" applyFont="1" applyFill="1" applyAlignment="1">
      <alignment horizontal="center" vertical="center"/>
    </xf>
    <xf numFmtId="0" fontId="202" fillId="28" borderId="0" xfId="1" applyFont="1" applyFill="1" applyAlignment="1">
      <alignment vertical="center" wrapText="1"/>
    </xf>
    <xf numFmtId="0" fontId="202" fillId="28" borderId="4" xfId="1" applyFont="1" applyFill="1" applyBorder="1" applyAlignment="1">
      <alignment vertical="center" wrapText="1"/>
    </xf>
    <xf numFmtId="0" fontId="10" fillId="9" borderId="448" xfId="4" applyFont="1" applyFill="1" applyBorder="1" applyAlignment="1">
      <alignment horizontal="center"/>
    </xf>
    <xf numFmtId="0" fontId="59" fillId="14" borderId="74" xfId="4" applyFont="1" applyFill="1" applyBorder="1" applyAlignment="1" applyProtection="1">
      <alignment horizontal="center"/>
      <protection locked="0"/>
    </xf>
    <xf numFmtId="1" fontId="143" fillId="73" borderId="0" xfId="4" applyNumberFormat="1" applyFont="1" applyFill="1" applyAlignment="1">
      <alignment horizontal="center" vertical="center"/>
    </xf>
    <xf numFmtId="0" fontId="9" fillId="75" borderId="270" xfId="3" applyFont="1" applyFill="1" applyBorder="1" applyAlignment="1" applyProtection="1">
      <alignment vertical="center"/>
      <protection locked="0"/>
    </xf>
    <xf numFmtId="0" fontId="9" fillId="75" borderId="0" xfId="3" applyFont="1" applyFill="1" applyAlignment="1" applyProtection="1">
      <alignment vertical="center"/>
      <protection locked="0"/>
    </xf>
    <xf numFmtId="0" fontId="10" fillId="9" borderId="449" xfId="2" applyFont="1" applyFill="1" applyBorder="1" applyAlignment="1">
      <alignment horizontal="center" vertical="center"/>
    </xf>
    <xf numFmtId="0" fontId="59" fillId="14" borderId="412" xfId="4" applyFont="1" applyFill="1" applyBorder="1" applyAlignment="1" applyProtection="1">
      <alignment horizontal="center" vertical="center"/>
      <protection hidden="1"/>
    </xf>
    <xf numFmtId="0" fontId="27" fillId="53" borderId="378" xfId="9" applyFont="1" applyFill="1" applyBorder="1" applyAlignment="1">
      <alignment horizontal="left" vertical="center"/>
    </xf>
    <xf numFmtId="1" fontId="27" fillId="53" borderId="378" xfId="9" applyNumberFormat="1" applyFont="1" applyFill="1" applyBorder="1" applyAlignment="1">
      <alignment horizontal="left" vertical="center"/>
    </xf>
    <xf numFmtId="168" fontId="121" fillId="75" borderId="0" xfId="3" applyNumberFormat="1" applyFont="1" applyFill="1" applyAlignment="1" applyProtection="1">
      <alignment vertical="center"/>
      <protection locked="0"/>
    </xf>
    <xf numFmtId="0" fontId="71" fillId="75" borderId="0" xfId="3" applyFont="1" applyFill="1" applyAlignment="1" applyProtection="1">
      <alignment vertical="center"/>
      <protection locked="0"/>
    </xf>
    <xf numFmtId="0" fontId="71" fillId="75" borderId="0" xfId="4" applyFont="1" applyFill="1"/>
    <xf numFmtId="0" fontId="71" fillId="75" borderId="0" xfId="4" applyFont="1" applyFill="1" applyAlignment="1">
      <alignment horizontal="right" vertical="center"/>
    </xf>
    <xf numFmtId="186" fontId="71" fillId="75" borderId="0" xfId="19" applyNumberFormat="1" applyFont="1" applyFill="1" applyAlignment="1">
      <alignment horizontal="left" vertical="center"/>
    </xf>
    <xf numFmtId="0" fontId="14" fillId="75" borderId="0" xfId="19" applyFont="1" applyFill="1" applyAlignment="1">
      <alignment vertical="center"/>
    </xf>
    <xf numFmtId="0" fontId="207" fillId="9" borderId="450" xfId="2" applyFont="1" applyFill="1" applyBorder="1" applyAlignment="1">
      <alignment horizontal="left" vertical="center"/>
    </xf>
    <xf numFmtId="1" fontId="24" fillId="13" borderId="451" xfId="4" applyNumberFormat="1" applyFont="1" applyFill="1" applyBorder="1" applyAlignment="1">
      <alignment horizontal="center" vertical="center"/>
    </xf>
    <xf numFmtId="168" fontId="23" fillId="75" borderId="0" xfId="3" applyNumberFormat="1" applyFont="1" applyFill="1" applyAlignment="1" applyProtection="1">
      <alignment vertical="center"/>
      <protection locked="0"/>
    </xf>
    <xf numFmtId="0" fontId="56" fillId="75" borderId="0" xfId="3" applyFont="1" applyFill="1" applyAlignment="1" applyProtection="1">
      <alignment vertical="center"/>
      <protection locked="0"/>
    </xf>
    <xf numFmtId="0" fontId="57" fillId="75" borderId="0" xfId="3" applyFont="1" applyFill="1" applyAlignment="1" applyProtection="1">
      <alignment horizontal="right" vertical="center"/>
      <protection locked="0"/>
    </xf>
    <xf numFmtId="0" fontId="57" fillId="75" borderId="0" xfId="3" applyFont="1" applyFill="1" applyAlignment="1" applyProtection="1">
      <alignment vertical="center"/>
      <protection locked="0"/>
    </xf>
    <xf numFmtId="0" fontId="57" fillId="75" borderId="0" xfId="4" applyFont="1" applyFill="1" applyAlignment="1">
      <alignment horizontal="right" vertical="center"/>
    </xf>
    <xf numFmtId="186" fontId="57" fillId="75" borderId="0" xfId="19" applyNumberFormat="1" applyFont="1" applyFill="1" applyAlignment="1">
      <alignment horizontal="left" vertical="center"/>
    </xf>
    <xf numFmtId="0" fontId="9" fillId="75" borderId="379" xfId="3" applyFont="1" applyFill="1" applyBorder="1" applyAlignment="1" applyProtection="1">
      <alignment vertical="center"/>
      <protection locked="0"/>
    </xf>
    <xf numFmtId="0" fontId="13" fillId="75" borderId="452" xfId="19" applyFont="1" applyFill="1" applyBorder="1" applyAlignment="1">
      <alignment horizontal="left" vertical="center"/>
    </xf>
    <xf numFmtId="0" fontId="56" fillId="75" borderId="453" xfId="19" applyFont="1" applyFill="1" applyBorder="1" applyAlignment="1">
      <alignment horizontal="right" vertical="center"/>
    </xf>
    <xf numFmtId="0" fontId="59" fillId="75" borderId="446" xfId="4" applyFont="1" applyFill="1" applyBorder="1"/>
    <xf numFmtId="0" fontId="59" fillId="75" borderId="32" xfId="4" applyFont="1" applyFill="1" applyBorder="1"/>
    <xf numFmtId="0" fontId="59" fillId="75" borderId="454" xfId="4" applyFont="1" applyFill="1" applyBorder="1"/>
    <xf numFmtId="0" fontId="39" fillId="9" borderId="0" xfId="0" applyFont="1" applyFill="1" applyAlignment="1">
      <alignment vertical="top"/>
    </xf>
    <xf numFmtId="234" fontId="136" fillId="9" borderId="412" xfId="4" applyNumberFormat="1" applyFont="1" applyFill="1" applyBorder="1" applyAlignment="1">
      <alignment horizontal="center" vertical="center"/>
    </xf>
    <xf numFmtId="0" fontId="14" fillId="75" borderId="402" xfId="47" applyFont="1" applyFill="1" applyBorder="1" applyAlignment="1" applyProtection="1">
      <alignment horizontal="center" vertical="center"/>
      <protection locked="0"/>
    </xf>
    <xf numFmtId="0" fontId="14" fillId="28" borderId="401" xfId="3" applyFont="1" applyFill="1" applyBorder="1" applyAlignment="1">
      <alignment horizontal="center" vertical="center"/>
    </xf>
    <xf numFmtId="0" fontId="14" fillId="28" borderId="59" xfId="3" applyFont="1" applyFill="1" applyBorder="1" applyAlignment="1">
      <alignment horizontal="center" vertical="center"/>
    </xf>
    <xf numFmtId="0" fontId="14" fillId="28" borderId="59" xfId="3" applyFont="1" applyFill="1" applyBorder="1" applyAlignment="1" applyProtection="1">
      <alignment horizontal="center" vertical="center"/>
      <protection locked="0"/>
    </xf>
    <xf numFmtId="0" fontId="14" fillId="28" borderId="59" xfId="3" applyFont="1" applyFill="1" applyBorder="1" applyAlignment="1" applyProtection="1">
      <alignment horizontal="left" vertical="center"/>
      <protection locked="0"/>
    </xf>
    <xf numFmtId="0" fontId="14" fillId="28" borderId="413" xfId="3" applyFont="1" applyFill="1" applyBorder="1" applyAlignment="1">
      <alignment horizontal="left" vertical="center"/>
    </xf>
    <xf numFmtId="0" fontId="56" fillId="28" borderId="2" xfId="4" applyFont="1" applyFill="1" applyBorder="1" applyAlignment="1">
      <alignment vertical="center"/>
    </xf>
    <xf numFmtId="0" fontId="112" fillId="28" borderId="0" xfId="4" applyFont="1" applyFill="1" applyAlignment="1">
      <alignment vertical="center"/>
    </xf>
    <xf numFmtId="0" fontId="39" fillId="9" borderId="0" xfId="0" applyFont="1" applyFill="1" applyAlignment="1">
      <alignment vertical="center"/>
    </xf>
    <xf numFmtId="168" fontId="29" fillId="5" borderId="0" xfId="4" applyNumberFormat="1" applyFont="1" applyFill="1" applyAlignment="1">
      <alignment horizontal="center" vertical="center"/>
    </xf>
    <xf numFmtId="179" fontId="14" fillId="2052" borderId="270" xfId="4" applyNumberFormat="1" applyFont="1" applyFill="1" applyBorder="1" applyAlignment="1">
      <alignment horizontal="center" vertical="center"/>
    </xf>
    <xf numFmtId="164" fontId="39" fillId="75" borderId="294" xfId="47" applyNumberFormat="1" applyFont="1" applyFill="1" applyBorder="1" applyAlignment="1" applyProtection="1">
      <alignment horizontal="center" vertical="center"/>
      <protection locked="0"/>
    </xf>
    <xf numFmtId="0" fontId="138" fillId="2040" borderId="295" xfId="19" applyFont="1" applyFill="1" applyBorder="1" applyAlignment="1">
      <alignment horizontal="left" vertical="center" wrapText="1"/>
    </xf>
    <xf numFmtId="0" fontId="138" fillId="2040" borderId="0" xfId="19" applyFont="1" applyFill="1" applyAlignment="1">
      <alignment horizontal="left" vertical="center" wrapText="1"/>
    </xf>
    <xf numFmtId="0" fontId="89" fillId="25" borderId="0" xfId="19" applyFont="1" applyFill="1" applyAlignment="1">
      <alignment horizontal="right" vertical="center"/>
    </xf>
    <xf numFmtId="2" fontId="83" fillId="2040" borderId="0" xfId="19" applyNumberFormat="1" applyFont="1" applyFill="1" applyAlignment="1">
      <alignment horizontal="center" vertical="center"/>
    </xf>
    <xf numFmtId="0" fontId="138" fillId="2040" borderId="0" xfId="19" applyFont="1" applyFill="1" applyAlignment="1">
      <alignment horizontal="left" vertical="center"/>
    </xf>
    <xf numFmtId="168" fontId="46" fillId="2040" borderId="0" xfId="10" applyNumberFormat="1" applyFont="1" applyFill="1" applyAlignment="1">
      <alignment vertical="center"/>
    </xf>
    <xf numFmtId="168" fontId="46" fillId="2040" borderId="0" xfId="10" applyNumberFormat="1" applyFont="1" applyFill="1" applyAlignment="1">
      <alignment horizontal="center" vertical="center"/>
    </xf>
    <xf numFmtId="0" fontId="46" fillId="2040" borderId="417" xfId="19" applyFont="1" applyFill="1" applyBorder="1" applyAlignment="1">
      <alignment horizontal="left" vertical="center"/>
    </xf>
    <xf numFmtId="0" fontId="114" fillId="9" borderId="2" xfId="4" applyFont="1" applyFill="1" applyBorder="1" applyAlignment="1">
      <alignment horizontal="left" vertical="center"/>
    </xf>
    <xf numFmtId="0" fontId="89" fillId="75" borderId="295" xfId="19" applyFont="1" applyFill="1" applyBorder="1" applyAlignment="1">
      <alignment horizontal="left" vertical="center" wrapText="1"/>
    </xf>
    <xf numFmtId="0" fontId="89" fillId="28" borderId="0" xfId="19" applyFont="1" applyFill="1" applyAlignment="1">
      <alignment horizontal="right" vertical="center"/>
    </xf>
    <xf numFmtId="2" fontId="14" fillId="75" borderId="0" xfId="19" applyNumberFormat="1" applyFont="1" applyFill="1" applyAlignment="1">
      <alignment horizontal="center" vertical="center"/>
    </xf>
    <xf numFmtId="168" fontId="56" fillId="75" borderId="0" xfId="10" applyNumberFormat="1" applyFont="1" applyFill="1" applyAlignment="1">
      <alignment horizontal="center" vertical="center"/>
    </xf>
    <xf numFmtId="0" fontId="56" fillId="75" borderId="417" xfId="19" applyFont="1" applyFill="1" applyBorder="1" applyAlignment="1">
      <alignment horizontal="left" vertical="center"/>
    </xf>
    <xf numFmtId="0" fontId="89" fillId="2040" borderId="0" xfId="19" applyFont="1" applyFill="1" applyAlignment="1">
      <alignment horizontal="right" vertical="center"/>
    </xf>
    <xf numFmtId="0" fontId="56" fillId="27" borderId="0" xfId="13" applyFont="1" applyFill="1" applyAlignment="1">
      <alignment vertical="center"/>
    </xf>
    <xf numFmtId="0" fontId="84" fillId="12" borderId="380" xfId="4" applyFont="1" applyFill="1" applyBorder="1" applyAlignment="1">
      <alignment horizontal="left" vertical="center"/>
    </xf>
    <xf numFmtId="0" fontId="89" fillId="75" borderId="0" xfId="19" applyFont="1" applyFill="1" applyAlignment="1">
      <alignment horizontal="right" vertical="center"/>
    </xf>
    <xf numFmtId="0" fontId="143" fillId="9" borderId="2" xfId="1" applyFont="1" applyFill="1" applyBorder="1" applyAlignment="1">
      <alignment vertical="center"/>
    </xf>
    <xf numFmtId="181" fontId="87" fillId="5" borderId="0" xfId="0" applyNumberFormat="1" applyFont="1" applyFill="1" applyAlignment="1">
      <alignment horizontal="center" vertical="center"/>
    </xf>
    <xf numFmtId="180" fontId="45" fillId="41" borderId="417" xfId="4" applyNumberFormat="1" applyFont="1" applyFill="1" applyBorder="1" applyAlignment="1" applyProtection="1">
      <alignment horizontal="center" vertical="center"/>
      <protection hidden="1"/>
    </xf>
    <xf numFmtId="0" fontId="125" fillId="9" borderId="2" xfId="0" applyFont="1" applyFill="1" applyBorder="1" applyAlignment="1">
      <alignment vertical="center"/>
    </xf>
    <xf numFmtId="0" fontId="10" fillId="9" borderId="455" xfId="4" applyFont="1" applyFill="1" applyBorder="1" applyAlignment="1">
      <alignment horizontal="center"/>
    </xf>
    <xf numFmtId="0" fontId="46" fillId="9" borderId="2" xfId="0" applyFont="1" applyFill="1" applyBorder="1" applyAlignment="1">
      <alignment vertical="center"/>
    </xf>
    <xf numFmtId="0" fontId="10" fillId="9" borderId="400" xfId="2" applyFont="1" applyFill="1" applyBorder="1" applyAlignment="1">
      <alignment horizontal="center" vertical="center"/>
    </xf>
    <xf numFmtId="0" fontId="46" fillId="9" borderId="2" xfId="0" applyFont="1" applyFill="1" applyBorder="1" applyAlignment="1">
      <alignment horizontal="left" vertical="center" indent="1"/>
    </xf>
    <xf numFmtId="0" fontId="207" fillId="9" borderId="11" xfId="2" applyFont="1" applyFill="1" applyBorder="1" applyAlignment="1">
      <alignment horizontal="left" vertical="center"/>
    </xf>
    <xf numFmtId="0" fontId="47" fillId="9" borderId="2" xfId="0" applyFont="1" applyFill="1" applyBorder="1" applyAlignment="1">
      <alignment horizontal="left" vertical="center" indent="1"/>
    </xf>
    <xf numFmtId="0" fontId="152" fillId="28" borderId="0" xfId="14" applyFont="1" applyFill="1" applyAlignment="1">
      <alignment horizontal="left" vertical="center"/>
    </xf>
    <xf numFmtId="0" fontId="668" fillId="28" borderId="0" xfId="17" applyFont="1" applyFill="1" applyAlignment="1">
      <alignment horizontal="left" vertical="center"/>
    </xf>
    <xf numFmtId="0" fontId="39" fillId="9" borderId="2" xfId="0" applyFont="1" applyFill="1" applyBorder="1" applyAlignment="1">
      <alignment horizontal="left" vertical="center" indent="1"/>
    </xf>
    <xf numFmtId="0" fontId="76" fillId="9" borderId="2" xfId="0" applyFont="1" applyFill="1" applyBorder="1" applyAlignment="1">
      <alignment vertical="center"/>
    </xf>
    <xf numFmtId="0" fontId="39" fillId="9" borderId="409" xfId="0" applyFont="1" applyFill="1" applyBorder="1"/>
    <xf numFmtId="0" fontId="39" fillId="27" borderId="2" xfId="0" applyFont="1" applyFill="1" applyBorder="1" applyAlignment="1">
      <alignment horizontal="right" vertical="center"/>
    </xf>
    <xf numFmtId="0" fontId="92" fillId="0" borderId="0" xfId="14" applyFont="1" applyBorder="1" applyAlignment="1">
      <alignment vertical="center"/>
    </xf>
    <xf numFmtId="0" fontId="39" fillId="0" borderId="0" xfId="0" applyFont="1" applyAlignment="1">
      <alignment vertical="center"/>
    </xf>
    <xf numFmtId="0" fontId="0" fillId="20" borderId="0" xfId="0" applyFill="1" applyAlignment="1">
      <alignment vertical="center"/>
    </xf>
    <xf numFmtId="0" fontId="17" fillId="20" borderId="4" xfId="4" applyFont="1" applyFill="1" applyBorder="1" applyAlignment="1">
      <alignment horizontal="center" vertical="center"/>
    </xf>
    <xf numFmtId="168" fontId="17" fillId="2041" borderId="270" xfId="10" applyNumberFormat="1" applyFont="1" applyFill="1" applyBorder="1" applyAlignment="1">
      <alignment horizontal="center" vertical="center"/>
    </xf>
    <xf numFmtId="2" fontId="17" fillId="2041" borderId="0" xfId="19" quotePrefix="1" applyNumberFormat="1" applyFont="1" applyFill="1" applyAlignment="1">
      <alignment horizontal="left" vertical="center"/>
    </xf>
    <xf numFmtId="164" fontId="17" fillId="2041" borderId="0" xfId="19" applyNumberFormat="1" applyFont="1" applyFill="1" applyAlignment="1">
      <alignment horizontal="left" vertical="center"/>
    </xf>
    <xf numFmtId="164" fontId="56" fillId="2041" borderId="0" xfId="19" applyNumberFormat="1" applyFont="1" applyFill="1" applyAlignment="1">
      <alignment horizontal="right" vertical="center" wrapText="1"/>
    </xf>
    <xf numFmtId="0" fontId="56" fillId="2041" borderId="0" xfId="19" applyFont="1" applyFill="1" applyAlignment="1">
      <alignment horizontal="left" vertical="center"/>
    </xf>
    <xf numFmtId="0" fontId="17" fillId="2041" borderId="0" xfId="19" quotePrefix="1" applyFont="1" applyFill="1" applyAlignment="1">
      <alignment horizontal="left" vertical="center"/>
    </xf>
    <xf numFmtId="0" fontId="89" fillId="2041" borderId="0" xfId="19" applyFont="1" applyFill="1" applyAlignment="1">
      <alignment horizontal="left" vertical="center" wrapText="1"/>
    </xf>
    <xf numFmtId="0" fontId="89" fillId="2041" borderId="0" xfId="19" applyFont="1" applyFill="1" applyAlignment="1">
      <alignment horizontal="left" vertical="center"/>
    </xf>
    <xf numFmtId="168" fontId="17" fillId="2041" borderId="0" xfId="10" applyNumberFormat="1" applyFont="1" applyFill="1" applyAlignment="1">
      <alignment horizontal="center" vertical="center"/>
    </xf>
    <xf numFmtId="0" fontId="56" fillId="2041" borderId="417" xfId="19" applyFont="1" applyFill="1" applyBorder="1" applyAlignment="1">
      <alignment horizontal="left" vertical="center"/>
    </xf>
    <xf numFmtId="0" fontId="26" fillId="28" borderId="2" xfId="6" applyFont="1" applyFill="1" applyBorder="1" applyAlignment="1">
      <alignment horizontal="center" vertical="center"/>
    </xf>
    <xf numFmtId="0" fontId="22" fillId="45" borderId="456" xfId="4" applyFont="1" applyFill="1" applyBorder="1" applyAlignment="1" applyProtection="1">
      <alignment horizontal="center" vertical="center"/>
      <protection hidden="1"/>
    </xf>
    <xf numFmtId="175" fontId="42" fillId="5" borderId="0" xfId="0" applyNumberFormat="1" applyFont="1" applyFill="1" applyAlignment="1">
      <alignment horizontal="center" vertical="center"/>
    </xf>
    <xf numFmtId="0" fontId="1" fillId="75" borderId="0" xfId="1" applyFill="1" applyAlignment="1">
      <alignment vertical="center"/>
    </xf>
    <xf numFmtId="0" fontId="46" fillId="75" borderId="0" xfId="1" applyFont="1" applyFill="1" applyAlignment="1">
      <alignment vertical="center"/>
    </xf>
    <xf numFmtId="0" fontId="46" fillId="75" borderId="417" xfId="1" applyFont="1" applyFill="1" applyBorder="1" applyAlignment="1">
      <alignment vertical="center"/>
    </xf>
    <xf numFmtId="0" fontId="14" fillId="7" borderId="2" xfId="1" applyFont="1" applyFill="1" applyBorder="1" applyAlignment="1">
      <alignment horizontal="left" vertical="center"/>
    </xf>
    <xf numFmtId="0" fontId="39" fillId="7" borderId="0" xfId="0" applyFont="1" applyFill="1"/>
    <xf numFmtId="0" fontId="212" fillId="7" borderId="4" xfId="1" applyFont="1" applyFill="1" applyBorder="1" applyAlignment="1">
      <alignment horizontal="center" vertical="center"/>
    </xf>
    <xf numFmtId="0" fontId="76" fillId="0" borderId="2" xfId="0" applyFont="1" applyBorder="1"/>
    <xf numFmtId="175" fontId="12" fillId="5" borderId="0" xfId="0" applyNumberFormat="1" applyFont="1" applyFill="1" applyAlignment="1">
      <alignment horizontal="center" vertical="center"/>
    </xf>
    <xf numFmtId="0" fontId="22" fillId="45" borderId="457" xfId="4" applyFont="1" applyFill="1" applyBorder="1" applyAlignment="1" applyProtection="1">
      <alignment horizontal="center" vertical="center"/>
      <protection hidden="1"/>
    </xf>
    <xf numFmtId="0" fontId="200" fillId="75" borderId="0" xfId="19" applyFont="1" applyFill="1" applyAlignment="1">
      <alignment horizontal="left" vertical="center"/>
    </xf>
    <xf numFmtId="0" fontId="200" fillId="75" borderId="417" xfId="19" applyFont="1" applyFill="1" applyBorder="1" applyAlignment="1">
      <alignment horizontal="left" vertical="center"/>
    </xf>
    <xf numFmtId="0" fontId="39" fillId="7" borderId="2" xfId="1" applyFont="1" applyFill="1" applyBorder="1" applyAlignment="1">
      <alignment horizontal="left" vertical="center"/>
    </xf>
    <xf numFmtId="0" fontId="39" fillId="7" borderId="4" xfId="1" applyFont="1" applyFill="1" applyBorder="1" applyAlignment="1">
      <alignment horizontal="right" vertical="center"/>
    </xf>
    <xf numFmtId="171" fontId="42" fillId="5" borderId="0" xfId="0" applyNumberFormat="1" applyFont="1" applyFill="1" applyAlignment="1">
      <alignment horizontal="center" vertical="center"/>
    </xf>
    <xf numFmtId="0" fontId="1" fillId="28" borderId="0" xfId="1" applyFill="1" applyAlignment="1">
      <alignment vertical="center"/>
    </xf>
    <xf numFmtId="168" fontId="176" fillId="9" borderId="21" xfId="4" applyNumberFormat="1" applyFont="1" applyFill="1" applyBorder="1" applyAlignment="1">
      <alignment horizontal="center" vertical="center"/>
    </xf>
    <xf numFmtId="1" fontId="10" fillId="2053" borderId="9" xfId="4" applyNumberFormat="1" applyFont="1" applyFill="1" applyBorder="1" applyAlignment="1">
      <alignment horizontal="center" vertical="center"/>
    </xf>
    <xf numFmtId="1" fontId="13" fillId="2054" borderId="0" xfId="4" applyNumberFormat="1" applyFont="1" applyFill="1" applyAlignment="1">
      <alignment horizontal="right" vertical="center"/>
    </xf>
    <xf numFmtId="173" fontId="179" fillId="12" borderId="459" xfId="4" applyNumberFormat="1" applyFont="1" applyFill="1" applyBorder="1" applyAlignment="1">
      <alignment horizontal="center" vertical="center"/>
    </xf>
    <xf numFmtId="168" fontId="176" fillId="9" borderId="28" xfId="4" applyNumberFormat="1" applyFont="1" applyFill="1" applyBorder="1" applyAlignment="1">
      <alignment horizontal="center" vertical="center"/>
    </xf>
    <xf numFmtId="1" fontId="10" fillId="100" borderId="460" xfId="4" applyNumberFormat="1" applyFont="1" applyFill="1" applyBorder="1" applyAlignment="1">
      <alignment horizontal="right" vertical="center"/>
    </xf>
    <xf numFmtId="0" fontId="17" fillId="16" borderId="461" xfId="4" applyFont="1" applyFill="1" applyBorder="1" applyAlignment="1" applyProtection="1">
      <alignment vertical="center"/>
      <protection hidden="1"/>
    </xf>
    <xf numFmtId="0" fontId="112" fillId="12" borderId="462" xfId="26" applyFont="1" applyFill="1" applyBorder="1" applyAlignment="1">
      <alignment horizontal="center" vertical="center"/>
    </xf>
    <xf numFmtId="0" fontId="100" fillId="41" borderId="457" xfId="4" applyFont="1" applyFill="1" applyBorder="1" applyAlignment="1" applyProtection="1">
      <alignment horizontal="left" vertical="center"/>
      <protection hidden="1"/>
    </xf>
    <xf numFmtId="168" fontId="176" fillId="17" borderId="21" xfId="4" applyNumberFormat="1" applyFont="1" applyFill="1" applyBorder="1" applyAlignment="1">
      <alignment horizontal="center" vertical="center"/>
    </xf>
    <xf numFmtId="168" fontId="176" fillId="115" borderId="9" xfId="4" applyNumberFormat="1" applyFont="1" applyFill="1" applyBorder="1" applyAlignment="1">
      <alignment horizontal="center" vertical="center"/>
    </xf>
    <xf numFmtId="1" fontId="10" fillId="99" borderId="8" xfId="4" applyNumberFormat="1" applyFont="1" applyFill="1" applyBorder="1" applyAlignment="1">
      <alignment horizontal="right" vertical="center"/>
    </xf>
    <xf numFmtId="1" fontId="88" fillId="40" borderId="380" xfId="4" applyNumberFormat="1" applyFont="1" applyFill="1" applyBorder="1" applyAlignment="1" applyProtection="1">
      <alignment horizontal="left" vertical="center"/>
      <protection hidden="1"/>
    </xf>
    <xf numFmtId="0" fontId="100" fillId="41" borderId="457" xfId="4" applyFont="1" applyFill="1" applyBorder="1" applyAlignment="1" applyProtection="1">
      <alignment horizontal="center" vertical="center"/>
      <protection hidden="1"/>
    </xf>
    <xf numFmtId="0" fontId="138" fillId="64" borderId="2" xfId="4" applyFont="1" applyFill="1" applyBorder="1" applyAlignment="1" applyProtection="1">
      <alignment horizontal="left" vertical="center"/>
      <protection hidden="1"/>
    </xf>
    <xf numFmtId="0" fontId="138" fillId="64" borderId="0" xfId="4" applyFont="1" applyFill="1" applyAlignment="1" applyProtection="1">
      <alignment horizontal="left" vertical="center"/>
      <protection hidden="1"/>
    </xf>
    <xf numFmtId="0" fontId="138" fillId="64" borderId="4" xfId="4" applyFont="1" applyFill="1" applyBorder="1" applyAlignment="1" applyProtection="1">
      <alignment horizontal="left" vertical="center"/>
      <protection hidden="1"/>
    </xf>
    <xf numFmtId="0" fontId="56" fillId="9" borderId="2" xfId="4" quotePrefix="1" applyFont="1" applyFill="1" applyBorder="1" applyAlignment="1" applyProtection="1">
      <alignment vertical="center"/>
      <protection hidden="1"/>
    </xf>
    <xf numFmtId="0" fontId="17" fillId="9" borderId="0" xfId="4" quotePrefix="1" applyFont="1" applyFill="1" applyAlignment="1" applyProtection="1">
      <alignment vertical="center"/>
      <protection hidden="1"/>
    </xf>
    <xf numFmtId="0" fontId="0" fillId="9" borderId="0" xfId="0" applyFill="1" applyAlignment="1">
      <alignment horizontal="center" vertical="center" wrapText="1"/>
    </xf>
    <xf numFmtId="0" fontId="0" fillId="9" borderId="4" xfId="0" applyFill="1" applyBorder="1" applyAlignment="1">
      <alignment horizontal="center" vertical="center" wrapText="1"/>
    </xf>
    <xf numFmtId="0" fontId="138" fillId="64" borderId="2" xfId="21" applyFont="1" applyFill="1" applyBorder="1" applyAlignment="1">
      <alignment horizontal="left" vertical="center"/>
    </xf>
    <xf numFmtId="0" fontId="138" fillId="64" borderId="0" xfId="21" applyFont="1" applyFill="1" applyAlignment="1">
      <alignment horizontal="left" vertical="center"/>
    </xf>
    <xf numFmtId="0" fontId="138" fillId="64" borderId="4" xfId="21" applyFont="1" applyFill="1" applyBorder="1" applyAlignment="1">
      <alignment horizontal="left" vertical="center"/>
    </xf>
    <xf numFmtId="0" fontId="69" fillId="64" borderId="2" xfId="22" applyFont="1" applyFill="1" applyBorder="1" applyAlignment="1">
      <alignment horizontal="center" vertical="center"/>
    </xf>
    <xf numFmtId="0" fontId="69" fillId="64" borderId="0" xfId="22" applyFont="1" applyFill="1" applyAlignment="1">
      <alignment horizontal="center" vertical="center"/>
    </xf>
    <xf numFmtId="0" fontId="69" fillId="64" borderId="0" xfId="22" quotePrefix="1" applyFont="1" applyFill="1" applyAlignment="1">
      <alignment horizontal="center" vertical="center"/>
    </xf>
    <xf numFmtId="0" fontId="69" fillId="64" borderId="4" xfId="22" applyFont="1" applyFill="1" applyBorder="1" applyAlignment="1">
      <alignment horizontal="center" vertical="center"/>
    </xf>
    <xf numFmtId="0" fontId="22" fillId="16" borderId="457" xfId="4" applyFont="1" applyFill="1" applyBorder="1" applyAlignment="1" applyProtection="1">
      <alignment horizontal="center" vertical="center"/>
      <protection hidden="1"/>
    </xf>
    <xf numFmtId="0" fontId="22" fillId="46" borderId="457" xfId="4" applyFont="1" applyFill="1" applyBorder="1" applyAlignment="1" applyProtection="1">
      <alignment horizontal="center" vertical="center"/>
      <protection hidden="1"/>
    </xf>
    <xf numFmtId="1" fontId="1" fillId="2" borderId="2" xfId="1" applyNumberFormat="1" applyFill="1" applyBorder="1" applyAlignment="1">
      <alignment horizontal="center"/>
    </xf>
    <xf numFmtId="1" fontId="1" fillId="2" borderId="0" xfId="1" applyNumberFormat="1" applyFill="1" applyAlignment="1">
      <alignment horizontal="center"/>
    </xf>
    <xf numFmtId="1" fontId="1" fillId="2" borderId="4" xfId="1" applyNumberFormat="1" applyFill="1" applyBorder="1" applyAlignment="1">
      <alignment horizontal="center"/>
    </xf>
    <xf numFmtId="0" fontId="14" fillId="46" borderId="457" xfId="4" applyFont="1" applyFill="1" applyBorder="1" applyAlignment="1" applyProtection="1">
      <alignment horizontal="left" vertical="center"/>
      <protection hidden="1"/>
    </xf>
    <xf numFmtId="0" fontId="56" fillId="75" borderId="0" xfId="19" applyFont="1" applyFill="1" applyAlignment="1">
      <alignment horizontal="left" vertical="center"/>
    </xf>
    <xf numFmtId="0" fontId="669" fillId="9" borderId="0" xfId="4" applyFont="1" applyFill="1" applyAlignment="1">
      <alignment horizontal="left" vertical="center"/>
    </xf>
    <xf numFmtId="0" fontId="119" fillId="75" borderId="59" xfId="6" applyFont="1" applyFill="1" applyBorder="1" applyAlignment="1">
      <alignment vertical="center"/>
    </xf>
    <xf numFmtId="0" fontId="670" fillId="75" borderId="59" xfId="19" applyFont="1" applyFill="1" applyBorder="1" applyAlignment="1">
      <alignment horizontal="left" vertical="center"/>
    </xf>
    <xf numFmtId="0" fontId="1" fillId="12" borderId="59" xfId="1" applyFill="1" applyBorder="1" applyAlignment="1">
      <alignment vertical="center"/>
    </xf>
    <xf numFmtId="0" fontId="89" fillId="75" borderId="59" xfId="19" applyFont="1" applyFill="1" applyBorder="1" applyAlignment="1">
      <alignment horizontal="left" vertical="center" wrapText="1"/>
    </xf>
    <xf numFmtId="0" fontId="89" fillId="75" borderId="59" xfId="19" applyFont="1" applyFill="1" applyBorder="1" applyAlignment="1">
      <alignment horizontal="left" vertical="center"/>
    </xf>
    <xf numFmtId="0" fontId="143" fillId="75" borderId="59" xfId="19" applyFont="1" applyFill="1" applyBorder="1" applyAlignment="1">
      <alignment horizontal="left" vertical="center"/>
    </xf>
    <xf numFmtId="0" fontId="307" fillId="75" borderId="413" xfId="4" applyFont="1" applyFill="1" applyBorder="1" applyAlignment="1">
      <alignment horizontal="left" vertical="center"/>
    </xf>
    <xf numFmtId="0" fontId="69" fillId="32" borderId="0" xfId="4" applyFont="1" applyFill="1" applyAlignment="1" applyProtection="1">
      <alignment horizontal="center" vertical="center"/>
      <protection hidden="1"/>
    </xf>
    <xf numFmtId="0" fontId="136" fillId="75" borderId="0" xfId="19" applyFont="1" applyFill="1" applyAlignment="1">
      <alignment horizontal="left" vertical="center"/>
    </xf>
    <xf numFmtId="0" fontId="127" fillId="75" borderId="0" xfId="19" applyFont="1" applyFill="1" applyAlignment="1">
      <alignment horizontal="left" vertical="center"/>
    </xf>
    <xf numFmtId="0" fontId="127" fillId="75" borderId="417" xfId="19" applyFont="1" applyFill="1" applyBorder="1" applyAlignment="1">
      <alignment horizontal="left" vertical="center"/>
    </xf>
    <xf numFmtId="164" fontId="28" fillId="12" borderId="181" xfId="4" applyNumberFormat="1" applyFont="1" applyFill="1" applyBorder="1" applyAlignment="1">
      <alignment horizontal="center" vertical="center"/>
    </xf>
    <xf numFmtId="0" fontId="24" fillId="12" borderId="457" xfId="4" applyFont="1" applyFill="1" applyBorder="1" applyAlignment="1">
      <alignment horizontal="left" vertical="center"/>
    </xf>
    <xf numFmtId="0" fontId="671" fillId="9" borderId="0" xfId="1" applyFont="1" applyFill="1" applyAlignment="1">
      <alignment vertical="center"/>
    </xf>
    <xf numFmtId="0" fontId="671" fillId="9" borderId="0" xfId="1" applyFont="1" applyFill="1" applyAlignment="1">
      <alignment horizontal="left" vertical="center"/>
    </xf>
    <xf numFmtId="0" fontId="19" fillId="12" borderId="380" xfId="4" applyFont="1" applyFill="1" applyBorder="1" applyAlignment="1">
      <alignment horizontal="left" vertical="center"/>
    </xf>
    <xf numFmtId="0" fontId="22" fillId="21" borderId="457" xfId="4" applyFont="1" applyFill="1" applyBorder="1" applyAlignment="1" applyProtection="1">
      <alignment horizontal="center" vertical="center"/>
      <protection hidden="1"/>
    </xf>
    <xf numFmtId="0" fontId="141" fillId="9" borderId="0" xfId="0" applyFont="1" applyFill="1" applyAlignment="1">
      <alignment vertical="center"/>
    </xf>
    <xf numFmtId="0" fontId="56" fillId="2041" borderId="104" xfId="19" applyFont="1" applyFill="1" applyBorder="1" applyAlignment="1">
      <alignment horizontal="left" vertical="center"/>
    </xf>
    <xf numFmtId="0" fontId="56" fillId="2041" borderId="1" xfId="19" applyFont="1" applyFill="1" applyBorder="1" applyAlignment="1">
      <alignment horizontal="left" vertical="center"/>
    </xf>
    <xf numFmtId="0" fontId="89" fillId="2041" borderId="1" xfId="19" applyFont="1" applyFill="1" applyBorder="1" applyAlignment="1">
      <alignment horizontal="left" vertical="center"/>
    </xf>
    <xf numFmtId="0" fontId="89" fillId="2041" borderId="125" xfId="19" applyFont="1" applyFill="1" applyBorder="1" applyAlignment="1">
      <alignment horizontal="left" vertical="center"/>
    </xf>
    <xf numFmtId="0" fontId="14" fillId="20" borderId="0" xfId="3" applyFont="1" applyFill="1" applyAlignment="1">
      <alignment horizontal="center" vertical="center"/>
    </xf>
    <xf numFmtId="0" fontId="13" fillId="20" borderId="0" xfId="3" applyFont="1" applyFill="1" applyAlignment="1">
      <alignment vertical="center"/>
    </xf>
    <xf numFmtId="0" fontId="13" fillId="20" borderId="0" xfId="19" applyFont="1" applyFill="1" applyAlignment="1">
      <alignment vertical="center"/>
    </xf>
    <xf numFmtId="0" fontId="1" fillId="20" borderId="0" xfId="0" applyFont="1" applyFill="1" applyAlignment="1">
      <alignment vertical="center"/>
    </xf>
    <xf numFmtId="0" fontId="1" fillId="20" borderId="0" xfId="3" applyFill="1" applyAlignment="1">
      <alignment vertical="center"/>
    </xf>
    <xf numFmtId="0" fontId="672" fillId="75" borderId="0" xfId="3" applyFont="1" applyFill="1" applyAlignment="1" applyProtection="1">
      <alignment vertical="center"/>
      <protection locked="0"/>
    </xf>
    <xf numFmtId="0" fontId="17" fillId="75" borderId="0" xfId="3" applyFont="1" applyFill="1" applyAlignment="1" applyProtection="1">
      <alignment vertical="center"/>
      <protection locked="0"/>
    </xf>
    <xf numFmtId="243" fontId="59" fillId="2055" borderId="69" xfId="4" applyNumberFormat="1" applyFont="1" applyFill="1" applyBorder="1" applyAlignment="1">
      <alignment horizontal="center" vertical="center"/>
    </xf>
    <xf numFmtId="243" fontId="59" fillId="2055" borderId="71" xfId="4" applyNumberFormat="1" applyFont="1" applyFill="1" applyBorder="1" applyAlignment="1">
      <alignment horizontal="center" vertical="center"/>
    </xf>
    <xf numFmtId="0" fontId="14" fillId="9" borderId="401" xfId="32" applyFont="1" applyFill="1" applyBorder="1" applyAlignment="1">
      <alignment horizontal="right" vertical="center"/>
    </xf>
    <xf numFmtId="234" fontId="52" fillId="9" borderId="402" xfId="4" applyNumberFormat="1" applyFont="1" applyFill="1" applyBorder="1" applyAlignment="1">
      <alignment horizontal="left" vertical="center"/>
    </xf>
    <xf numFmtId="0" fontId="47" fillId="9" borderId="0" xfId="18" applyFont="1" applyFill="1" applyAlignment="1">
      <alignment vertical="center"/>
    </xf>
    <xf numFmtId="0" fontId="674" fillId="7" borderId="0" xfId="4" applyFont="1" applyFill="1" applyAlignment="1">
      <alignment horizontal="left" vertical="center"/>
    </xf>
    <xf numFmtId="0" fontId="26" fillId="16" borderId="0" xfId="4" applyFont="1" applyFill="1" applyAlignment="1">
      <alignment horizontal="center" vertical="center"/>
    </xf>
    <xf numFmtId="0" fontId="114" fillId="16" borderId="0" xfId="4" applyFont="1" applyFill="1" applyAlignment="1">
      <alignment horizontal="left" vertical="center"/>
    </xf>
    <xf numFmtId="0" fontId="207" fillId="9" borderId="0" xfId="4" applyFont="1" applyFill="1" applyAlignment="1">
      <alignment horizontal="left" vertical="center"/>
    </xf>
    <xf numFmtId="0" fontId="76" fillId="98" borderId="0" xfId="20" applyFont="1" applyFill="1" applyAlignment="1">
      <alignment horizontal="center" vertical="center"/>
    </xf>
    <xf numFmtId="0" fontId="47" fillId="9" borderId="4" xfId="0" applyFont="1" applyFill="1" applyBorder="1" applyAlignment="1">
      <alignment vertical="center"/>
    </xf>
    <xf numFmtId="0" fontId="76" fillId="9" borderId="0" xfId="18" applyFont="1" applyFill="1" applyAlignment="1">
      <alignment vertical="center"/>
    </xf>
    <xf numFmtId="0" fontId="300" fillId="9" borderId="0" xfId="19" applyFont="1" applyFill="1" applyAlignment="1">
      <alignment horizontal="right" vertical="center"/>
    </xf>
    <xf numFmtId="0" fontId="57" fillId="9" borderId="0" xfId="4" applyFont="1" applyFill="1" applyAlignment="1">
      <alignment vertical="center"/>
    </xf>
    <xf numFmtId="0" fontId="45" fillId="9" borderId="0" xfId="4" applyFont="1" applyFill="1" applyAlignment="1">
      <alignment vertical="center"/>
    </xf>
    <xf numFmtId="0" fontId="45" fillId="9" borderId="0" xfId="4" applyFont="1" applyFill="1" applyAlignment="1">
      <alignment vertical="center" wrapText="1"/>
    </xf>
    <xf numFmtId="0" fontId="57" fillId="9" borderId="0" xfId="4" applyFont="1" applyFill="1" applyAlignment="1" applyProtection="1">
      <alignment horizontal="left" vertical="center"/>
      <protection locked="0"/>
    </xf>
    <xf numFmtId="0" fontId="14" fillId="9" borderId="0" xfId="4" applyFont="1" applyFill="1" applyProtection="1">
      <protection locked="0"/>
    </xf>
    <xf numFmtId="1" fontId="45" fillId="73" borderId="0" xfId="4" applyNumberFormat="1" applyFont="1" applyFill="1" applyAlignment="1" applyProtection="1">
      <alignment horizontal="center" vertical="center"/>
      <protection hidden="1"/>
    </xf>
    <xf numFmtId="0" fontId="57" fillId="9" borderId="0" xfId="18" applyFont="1" applyFill="1" applyAlignment="1">
      <alignment vertical="center"/>
    </xf>
    <xf numFmtId="0" fontId="57" fillId="9" borderId="0" xfId="4" applyFont="1" applyFill="1" applyAlignment="1" applyProtection="1">
      <alignment horizontal="center" vertical="center"/>
      <protection locked="0"/>
    </xf>
    <xf numFmtId="0" fontId="26" fillId="58" borderId="0" xfId="4" applyFont="1" applyFill="1" applyAlignment="1" applyProtection="1">
      <alignment horizontal="right" vertical="center" wrapText="1"/>
      <protection hidden="1"/>
    </xf>
    <xf numFmtId="244" fontId="17" fillId="58" borderId="464" xfId="4" applyNumberFormat="1" applyFont="1" applyFill="1" applyBorder="1" applyAlignment="1">
      <alignment horizontal="center" vertical="center"/>
    </xf>
    <xf numFmtId="0" fontId="11" fillId="56" borderId="68" xfId="4" applyFont="1" applyFill="1" applyBorder="1" applyAlignment="1" applyProtection="1">
      <alignment horizontal="right" vertical="center" wrapText="1"/>
      <protection hidden="1"/>
    </xf>
    <xf numFmtId="166" fontId="11" fillId="8" borderId="417" xfId="4" applyNumberFormat="1" applyFont="1" applyFill="1" applyBorder="1" applyAlignment="1" applyProtection="1">
      <alignment horizontal="center" vertical="center" wrapText="1"/>
      <protection hidden="1"/>
    </xf>
    <xf numFmtId="0" fontId="45" fillId="9" borderId="59" xfId="4" applyFont="1" applyFill="1" applyBorder="1" applyAlignment="1" applyProtection="1">
      <alignment horizontal="center"/>
      <protection locked="0"/>
    </xf>
    <xf numFmtId="0" fontId="17" fillId="9" borderId="465" xfId="4" applyFont="1" applyFill="1" applyBorder="1" applyAlignment="1" applyProtection="1">
      <alignment horizontal="center"/>
      <protection locked="0"/>
    </xf>
    <xf numFmtId="166" fontId="72" fillId="35" borderId="0" xfId="4" applyNumberFormat="1" applyFont="1" applyFill="1" applyAlignment="1">
      <alignment horizontal="center" vertical="center"/>
    </xf>
    <xf numFmtId="244" fontId="14" fillId="0" borderId="466" xfId="4" applyNumberFormat="1" applyFont="1" applyBorder="1" applyAlignment="1">
      <alignment horizontal="center" vertical="center"/>
    </xf>
    <xf numFmtId="0" fontId="57" fillId="12" borderId="0" xfId="4" applyFont="1" applyFill="1" applyAlignment="1">
      <alignment horizontal="center" vertical="center" wrapText="1"/>
    </xf>
    <xf numFmtId="0" fontId="13" fillId="9" borderId="467" xfId="4" applyFont="1" applyFill="1" applyBorder="1" applyAlignment="1">
      <alignment horizontal="center" vertical="center" wrapText="1"/>
    </xf>
    <xf numFmtId="0" fontId="13" fillId="9" borderId="68" xfId="4" applyFont="1" applyFill="1" applyBorder="1" applyAlignment="1">
      <alignment horizontal="center" vertical="center" wrapText="1"/>
    </xf>
    <xf numFmtId="0" fontId="16" fillId="12" borderId="469" xfId="4" applyFont="1" applyFill="1" applyBorder="1" applyAlignment="1" applyProtection="1">
      <alignment horizontal="center" vertical="center"/>
      <protection locked="0"/>
    </xf>
    <xf numFmtId="0" fontId="13" fillId="9" borderId="59" xfId="4" applyFont="1" applyFill="1" applyBorder="1" applyAlignment="1">
      <alignment horizontal="center" vertical="center"/>
    </xf>
    <xf numFmtId="173" fontId="16" fillId="12" borderId="470" xfId="4" applyNumberFormat="1" applyFont="1" applyFill="1" applyBorder="1" applyAlignment="1">
      <alignment horizontal="center" vertical="center"/>
    </xf>
    <xf numFmtId="168" fontId="13" fillId="16" borderId="0" xfId="4" applyNumberFormat="1" applyFont="1" applyFill="1" applyAlignment="1">
      <alignment horizontal="center" vertical="center"/>
    </xf>
    <xf numFmtId="1" fontId="13" fillId="99" borderId="471" xfId="4" applyNumberFormat="1" applyFont="1" applyFill="1" applyBorder="1" applyAlignment="1">
      <alignment horizontal="center" vertical="center"/>
    </xf>
    <xf numFmtId="164" fontId="39" fillId="75" borderId="22" xfId="47" applyNumberFormat="1" applyFont="1" applyFill="1" applyBorder="1" applyAlignment="1" applyProtection="1">
      <alignment horizontal="center" vertical="center"/>
      <protection locked="0"/>
    </xf>
    <xf numFmtId="0" fontId="89" fillId="9" borderId="417" xfId="7" applyFont="1" applyFill="1" applyBorder="1" applyAlignment="1">
      <alignment vertical="center"/>
    </xf>
    <xf numFmtId="0" fontId="89" fillId="9" borderId="379" xfId="7" applyFont="1" applyFill="1" applyBorder="1" applyAlignment="1">
      <alignment vertical="center"/>
    </xf>
    <xf numFmtId="0" fontId="17" fillId="16" borderId="472" xfId="4" applyFont="1" applyFill="1" applyBorder="1" applyAlignment="1" applyProtection="1">
      <alignment vertical="center"/>
      <protection hidden="1"/>
    </xf>
    <xf numFmtId="0" fontId="2" fillId="59" borderId="473" xfId="2" applyFont="1" applyFill="1" applyBorder="1" applyAlignment="1">
      <alignment horizontal="center" vertical="center"/>
    </xf>
    <xf numFmtId="0" fontId="82" fillId="9" borderId="312" xfId="19" applyFont="1" applyFill="1" applyBorder="1" applyAlignment="1">
      <alignment horizontal="left" vertical="center"/>
    </xf>
    <xf numFmtId="0" fontId="82" fillId="9" borderId="4" xfId="19" applyFont="1" applyFill="1" applyBorder="1" applyAlignment="1">
      <alignment horizontal="right" vertical="center"/>
    </xf>
    <xf numFmtId="0" fontId="60" fillId="9" borderId="2" xfId="4" applyFont="1" applyFill="1" applyBorder="1" applyAlignment="1" applyProtection="1">
      <alignment horizontal="left" vertical="center"/>
      <protection locked="0"/>
    </xf>
    <xf numFmtId="0" fontId="60" fillId="9" borderId="4" xfId="4" applyFont="1" applyFill="1" applyBorder="1" applyAlignment="1" applyProtection="1">
      <alignment horizontal="left" vertical="center"/>
      <protection locked="0"/>
    </xf>
    <xf numFmtId="0" fontId="13" fillId="9" borderId="2" xfId="4" applyFont="1" applyFill="1" applyBorder="1" applyAlignment="1" applyProtection="1">
      <alignment horizontal="left" vertical="center"/>
      <protection locked="0"/>
    </xf>
    <xf numFmtId="0" fontId="13" fillId="9" borderId="4" xfId="4" applyFont="1" applyFill="1" applyBorder="1" applyAlignment="1" applyProtection="1">
      <alignment horizontal="right" vertical="center"/>
      <protection locked="0"/>
    </xf>
    <xf numFmtId="0" fontId="14" fillId="16" borderId="329" xfId="16" applyFont="1" applyFill="1" applyBorder="1" applyAlignment="1">
      <alignment horizontal="right" vertical="center"/>
    </xf>
    <xf numFmtId="0" fontId="1" fillId="9" borderId="330" xfId="1" applyFill="1" applyBorder="1"/>
    <xf numFmtId="0" fontId="203" fillId="71" borderId="2" xfId="4" applyFont="1" applyFill="1" applyBorder="1" applyAlignment="1" applyProtection="1">
      <alignment vertical="center"/>
      <protection hidden="1"/>
    </xf>
    <xf numFmtId="0" fontId="17" fillId="71" borderId="4" xfId="4" applyFont="1" applyFill="1" applyBorder="1" applyAlignment="1" applyProtection="1">
      <alignment vertical="center"/>
      <protection hidden="1"/>
    </xf>
    <xf numFmtId="0" fontId="0" fillId="9" borderId="452" xfId="0" applyFill="1" applyBorder="1"/>
    <xf numFmtId="0" fontId="112" fillId="12" borderId="454" xfId="26" applyFont="1" applyFill="1" applyBorder="1" applyAlignment="1">
      <alignment horizontal="center" vertical="center"/>
    </xf>
    <xf numFmtId="0" fontId="112" fillId="12" borderId="413" xfId="26" applyFont="1" applyFill="1" applyBorder="1" applyAlignment="1">
      <alignment horizontal="center" vertical="center"/>
    </xf>
    <xf numFmtId="212" fontId="132" fillId="53" borderId="417" xfId="4" applyNumberFormat="1" applyFont="1" applyFill="1" applyBorder="1" applyAlignment="1">
      <alignment horizontal="center" vertical="center"/>
    </xf>
    <xf numFmtId="212" fontId="52" fillId="53" borderId="417" xfId="4" applyNumberFormat="1" applyFont="1" applyFill="1" applyBorder="1" applyAlignment="1">
      <alignment horizontal="center" vertical="center"/>
    </xf>
    <xf numFmtId="212" fontId="76" fillId="43" borderId="417" xfId="4" applyNumberFormat="1" applyFont="1" applyFill="1" applyBorder="1" applyAlignment="1">
      <alignment horizontal="center" vertical="center"/>
    </xf>
    <xf numFmtId="212" fontId="17" fillId="7" borderId="417" xfId="4" applyNumberFormat="1" applyFont="1" applyFill="1" applyBorder="1" applyAlignment="1">
      <alignment horizontal="center" vertical="center"/>
    </xf>
    <xf numFmtId="0" fontId="52" fillId="9" borderId="0" xfId="0" applyFont="1" applyFill="1" applyAlignment="1">
      <alignment vertical="center"/>
    </xf>
    <xf numFmtId="0" fontId="215" fillId="9" borderId="0" xfId="0" applyFont="1" applyFill="1" applyAlignment="1">
      <alignment vertical="center"/>
    </xf>
    <xf numFmtId="0" fontId="675" fillId="9" borderId="0" xfId="0" applyFont="1" applyFill="1" applyAlignment="1">
      <alignment vertical="center"/>
    </xf>
    <xf numFmtId="0" fontId="95" fillId="9" borderId="2" xfId="2" applyFont="1" applyFill="1" applyBorder="1" applyAlignment="1">
      <alignment vertical="center"/>
    </xf>
    <xf numFmtId="0" fontId="2" fillId="59" borderId="474" xfId="2" applyFont="1" applyFill="1" applyBorder="1" applyAlignment="1">
      <alignment horizontal="center" vertical="center"/>
    </xf>
    <xf numFmtId="0" fontId="17" fillId="38" borderId="138" xfId="4" applyFont="1" applyFill="1" applyBorder="1" applyAlignment="1" applyProtection="1">
      <alignment horizontal="right" vertical="center"/>
      <protection hidden="1"/>
    </xf>
    <xf numFmtId="0" fontId="218" fillId="9" borderId="475" xfId="0" applyFont="1" applyFill="1" applyBorder="1" applyAlignment="1">
      <alignment horizontal="center" vertical="center"/>
    </xf>
    <xf numFmtId="0" fontId="157" fillId="9" borderId="295" xfId="27" applyFont="1" applyFill="1" applyBorder="1" applyAlignment="1">
      <alignment horizontal="left" vertical="center"/>
    </xf>
    <xf numFmtId="0" fontId="17" fillId="9" borderId="2" xfId="19" applyFont="1" applyFill="1" applyBorder="1" applyAlignment="1" applyProtection="1">
      <alignment vertical="center"/>
      <protection locked="0"/>
    </xf>
    <xf numFmtId="0" fontId="114" fillId="9" borderId="2" xfId="19" applyFont="1" applyFill="1" applyBorder="1" applyAlignment="1" applyProtection="1">
      <alignment vertical="center"/>
      <protection locked="0"/>
    </xf>
    <xf numFmtId="0" fontId="82" fillId="9" borderId="4" xfId="19" applyFont="1" applyFill="1" applyBorder="1" applyAlignment="1">
      <alignment horizontal="left" vertical="center"/>
    </xf>
    <xf numFmtId="0" fontId="194" fillId="0" borderId="476" xfId="29" applyFont="1" applyBorder="1" applyAlignment="1">
      <alignment horizontal="center" vertical="center"/>
    </xf>
    <xf numFmtId="0" fontId="17" fillId="9" borderId="4" xfId="30" applyFont="1" applyFill="1" applyBorder="1" applyAlignment="1">
      <alignment horizontal="left" vertical="center"/>
    </xf>
    <xf numFmtId="0" fontId="14" fillId="9" borderId="4" xfId="30" applyFont="1" applyFill="1" applyBorder="1" applyAlignment="1">
      <alignment vertical="center"/>
    </xf>
    <xf numFmtId="0" fontId="10" fillId="7" borderId="477" xfId="29" applyFont="1" applyFill="1" applyBorder="1" applyAlignment="1">
      <alignment horizontal="center"/>
    </xf>
    <xf numFmtId="218" fontId="13" fillId="7" borderId="478" xfId="29" applyNumberFormat="1" applyFont="1" applyFill="1" applyBorder="1" applyAlignment="1">
      <alignment horizontal="center" vertical="top"/>
    </xf>
    <xf numFmtId="0" fontId="222" fillId="12" borderId="479" xfId="29" applyFont="1" applyFill="1" applyBorder="1" applyAlignment="1">
      <alignment horizontal="center" vertical="center"/>
    </xf>
    <xf numFmtId="0" fontId="132" fillId="9" borderId="4" xfId="30" applyFont="1" applyFill="1" applyBorder="1" applyAlignment="1">
      <alignment horizontal="left" vertical="center"/>
    </xf>
    <xf numFmtId="0" fontId="17" fillId="9" borderId="38" xfId="4" applyFont="1" applyFill="1" applyBorder="1" applyAlignment="1" applyProtection="1">
      <alignment vertical="center"/>
      <protection hidden="1"/>
    </xf>
    <xf numFmtId="0" fontId="82" fillId="9" borderId="415" xfId="19" applyFont="1" applyFill="1" applyBorder="1" applyAlignment="1">
      <alignment horizontal="left" vertical="center"/>
    </xf>
    <xf numFmtId="0" fontId="14" fillId="9" borderId="415" xfId="4" applyFont="1" applyFill="1" applyBorder="1" applyAlignment="1" applyProtection="1">
      <alignment horizontal="left" vertical="center"/>
      <protection locked="0"/>
    </xf>
    <xf numFmtId="0" fontId="220" fillId="9" borderId="480" xfId="30" applyFont="1" applyFill="1" applyBorder="1" applyAlignment="1">
      <alignment horizontal="center" vertical="center"/>
    </xf>
    <xf numFmtId="0" fontId="72" fillId="9" borderId="293" xfId="30" applyFont="1" applyFill="1" applyBorder="1" applyAlignment="1">
      <alignment vertical="center"/>
    </xf>
    <xf numFmtId="0" fontId="95" fillId="38" borderId="32" xfId="3" applyFont="1" applyFill="1" applyBorder="1" applyAlignment="1">
      <alignment vertical="center"/>
    </xf>
    <xf numFmtId="0" fontId="17" fillId="38" borderId="462" xfId="4" applyFont="1" applyFill="1" applyBorder="1" applyAlignment="1" applyProtection="1">
      <alignment horizontal="right" vertical="center"/>
      <protection hidden="1"/>
    </xf>
    <xf numFmtId="0" fontId="10" fillId="111" borderId="432" xfId="1" applyFont="1" applyFill="1" applyBorder="1" applyAlignment="1">
      <alignment horizontal="left" vertical="center"/>
    </xf>
    <xf numFmtId="0" fontId="10" fillId="111" borderId="404" xfId="1" applyFont="1" applyFill="1" applyBorder="1" applyAlignment="1">
      <alignment horizontal="right" vertical="center"/>
    </xf>
    <xf numFmtId="0" fontId="225" fillId="0" borderId="476" xfId="29" applyFont="1" applyBorder="1" applyAlignment="1">
      <alignment horizontal="center" vertical="center" wrapText="1"/>
    </xf>
    <xf numFmtId="0" fontId="99" fillId="0" borderId="380" xfId="29" applyFont="1" applyBorder="1" applyAlignment="1">
      <alignment horizontal="center" vertical="center" wrapText="1"/>
    </xf>
    <xf numFmtId="0" fontId="28" fillId="0" borderId="380" xfId="29" applyFont="1" applyBorder="1" applyAlignment="1">
      <alignment horizontal="center" vertical="center" wrapText="1"/>
    </xf>
    <xf numFmtId="0" fontId="110" fillId="0" borderId="380" xfId="29" applyFont="1" applyBorder="1" applyAlignment="1">
      <alignment horizontal="center" vertical="center" wrapText="1"/>
    </xf>
    <xf numFmtId="0" fontId="226" fillId="0" borderId="476" xfId="29" applyFont="1" applyBorder="1" applyAlignment="1">
      <alignment horizontal="center" vertical="center"/>
    </xf>
    <xf numFmtId="0" fontId="99" fillId="0" borderId="380" xfId="29" applyFont="1" applyBorder="1" applyAlignment="1">
      <alignment horizontal="center" vertical="center"/>
    </xf>
    <xf numFmtId="0" fontId="28" fillId="0" borderId="380" xfId="29" applyFont="1" applyBorder="1" applyAlignment="1">
      <alignment horizontal="center" vertical="center"/>
    </xf>
    <xf numFmtId="0" fontId="110" fillId="0" borderId="380" xfId="29" applyFont="1" applyBorder="1" applyAlignment="1">
      <alignment horizontal="center" vertical="center"/>
    </xf>
    <xf numFmtId="0" fontId="10" fillId="7" borderId="473" xfId="29" applyFont="1" applyFill="1" applyBorder="1" applyAlignment="1">
      <alignment horizontal="center"/>
    </xf>
    <xf numFmtId="0" fontId="10" fillId="7" borderId="454" xfId="29" applyFont="1" applyFill="1" applyBorder="1" applyAlignment="1">
      <alignment horizontal="center"/>
    </xf>
    <xf numFmtId="0" fontId="10" fillId="7" borderId="452" xfId="29" applyFont="1" applyFill="1" applyBorder="1" applyAlignment="1">
      <alignment horizontal="center"/>
    </xf>
    <xf numFmtId="218" fontId="13" fillId="7" borderId="432" xfId="29" applyNumberFormat="1" applyFont="1" applyFill="1" applyBorder="1" applyAlignment="1">
      <alignment horizontal="center" vertical="top"/>
    </xf>
    <xf numFmtId="218" fontId="13" fillId="7" borderId="413" xfId="29" applyNumberFormat="1" applyFont="1" applyFill="1" applyBorder="1" applyAlignment="1">
      <alignment horizontal="center" vertical="top"/>
    </xf>
    <xf numFmtId="218" fontId="13" fillId="7" borderId="412" xfId="29" applyNumberFormat="1" applyFont="1" applyFill="1" applyBorder="1" applyAlignment="1">
      <alignment horizontal="center" vertical="top"/>
    </xf>
    <xf numFmtId="0" fontId="222" fillId="12" borderId="38" xfId="29" applyFont="1" applyFill="1" applyBorder="1" applyAlignment="1">
      <alignment horizontal="center" vertical="center"/>
    </xf>
    <xf numFmtId="0" fontId="222" fillId="12" borderId="379" xfId="29" applyFont="1" applyFill="1" applyBorder="1" applyAlignment="1">
      <alignment horizontal="center" vertical="center"/>
    </xf>
    <xf numFmtId="0" fontId="222" fillId="12" borderId="389" xfId="29" applyFont="1" applyFill="1" applyBorder="1" applyAlignment="1">
      <alignment horizontal="center" vertical="center"/>
    </xf>
    <xf numFmtId="0" fontId="13" fillId="9" borderId="473" xfId="3" applyFont="1" applyFill="1" applyBorder="1"/>
    <xf numFmtId="0" fontId="14" fillId="9" borderId="4" xfId="4" applyFont="1" applyFill="1" applyBorder="1" applyAlignment="1" applyProtection="1">
      <alignment vertical="center" wrapText="1"/>
      <protection locked="0"/>
    </xf>
    <xf numFmtId="0" fontId="13" fillId="9" borderId="2" xfId="3" applyFont="1" applyFill="1" applyBorder="1"/>
    <xf numFmtId="0" fontId="56" fillId="9" borderId="2" xfId="3" applyFont="1" applyFill="1" applyBorder="1"/>
    <xf numFmtId="1" fontId="1" fillId="2" borderId="0" xfId="3" applyNumberFormat="1" applyFill="1" applyAlignment="1">
      <alignment horizontal="center" vertical="center"/>
    </xf>
    <xf numFmtId="0" fontId="1" fillId="5" borderId="0" xfId="1" applyFill="1"/>
    <xf numFmtId="0" fontId="17" fillId="9" borderId="295" xfId="19" applyFont="1" applyFill="1" applyBorder="1" applyAlignment="1" applyProtection="1">
      <alignment vertical="center"/>
      <protection locked="0"/>
    </xf>
    <xf numFmtId="0" fontId="114" fillId="9" borderId="295" xfId="19" applyFont="1" applyFill="1" applyBorder="1" applyAlignment="1" applyProtection="1">
      <alignment vertical="center"/>
      <protection locked="0"/>
    </xf>
    <xf numFmtId="0" fontId="194" fillId="0" borderId="380" xfId="29" applyFont="1" applyBorder="1" applyAlignment="1">
      <alignment horizontal="center" vertical="center"/>
    </xf>
    <xf numFmtId="0" fontId="100" fillId="9" borderId="199" xfId="0" applyFont="1" applyFill="1" applyBorder="1" applyAlignment="1">
      <alignment horizontal="center" vertical="center"/>
    </xf>
    <xf numFmtId="0" fontId="194" fillId="0" borderId="419" xfId="29" applyFont="1" applyBorder="1" applyAlignment="1">
      <alignment horizontal="center" vertical="center"/>
    </xf>
    <xf numFmtId="218" fontId="13" fillId="7" borderId="481" xfId="29" applyNumberFormat="1" applyFont="1" applyFill="1" applyBorder="1" applyAlignment="1">
      <alignment horizontal="center" vertical="top"/>
    </xf>
    <xf numFmtId="0" fontId="59" fillId="9" borderId="401" xfId="4" applyFont="1" applyFill="1" applyBorder="1" applyAlignment="1" applyProtection="1">
      <alignment horizontal="left" vertical="center"/>
      <protection locked="0"/>
    </xf>
    <xf numFmtId="0" fontId="59" fillId="9" borderId="414" xfId="4" applyFont="1" applyFill="1" applyBorder="1" applyAlignment="1" applyProtection="1">
      <alignment horizontal="right" vertical="center"/>
      <protection locked="0"/>
    </xf>
    <xf numFmtId="0" fontId="17" fillId="38" borderId="482" xfId="4" applyFont="1" applyFill="1" applyBorder="1" applyAlignment="1" applyProtection="1">
      <alignment horizontal="right" vertical="center"/>
      <protection hidden="1"/>
    </xf>
    <xf numFmtId="0" fontId="10" fillId="111" borderId="414" xfId="1" applyFont="1" applyFill="1" applyBorder="1" applyAlignment="1">
      <alignment horizontal="right" vertical="center"/>
    </xf>
    <xf numFmtId="0" fontId="225" fillId="0" borderId="380" xfId="29" applyFont="1" applyBorder="1" applyAlignment="1">
      <alignment horizontal="center" vertical="center" wrapText="1"/>
    </xf>
    <xf numFmtId="0" fontId="226" fillId="0" borderId="380" xfId="29" applyFont="1" applyBorder="1" applyAlignment="1">
      <alignment horizontal="center" vertical="center"/>
    </xf>
    <xf numFmtId="0" fontId="226" fillId="0" borderId="419" xfId="29" applyFont="1" applyBorder="1" applyAlignment="1">
      <alignment horizontal="center" vertical="center"/>
    </xf>
    <xf numFmtId="0" fontId="99" fillId="0" borderId="419" xfId="29" applyFont="1" applyBorder="1" applyAlignment="1">
      <alignment horizontal="center" vertical="center"/>
    </xf>
    <xf numFmtId="0" fontId="28" fillId="0" borderId="419" xfId="29" applyFont="1" applyBorder="1" applyAlignment="1">
      <alignment horizontal="center" vertical="center"/>
    </xf>
    <xf numFmtId="0" fontId="110" fillId="0" borderId="419" xfId="29" applyFont="1" applyBorder="1" applyAlignment="1">
      <alignment horizontal="center" vertical="center"/>
    </xf>
    <xf numFmtId="0" fontId="13" fillId="9" borderId="446" xfId="3" applyFont="1" applyFill="1" applyBorder="1"/>
    <xf numFmtId="0" fontId="13" fillId="9" borderId="295" xfId="3" applyFont="1" applyFill="1" applyBorder="1"/>
    <xf numFmtId="0" fontId="1" fillId="0" borderId="414" xfId="0" applyFont="1" applyBorder="1" applyAlignment="1">
      <alignment horizontal="center" vertical="center"/>
    </xf>
    <xf numFmtId="0" fontId="224" fillId="0" borderId="295" xfId="0" applyFont="1" applyBorder="1" applyAlignment="1">
      <alignment vertical="center"/>
    </xf>
    <xf numFmtId="0" fontId="14" fillId="9" borderId="295" xfId="19" applyFont="1" applyFill="1" applyBorder="1" applyAlignment="1">
      <alignment horizontal="left" vertical="center"/>
    </xf>
    <xf numFmtId="0" fontId="14" fillId="16" borderId="483" xfId="16" applyFont="1" applyFill="1" applyBorder="1" applyAlignment="1">
      <alignment horizontal="right" vertical="center"/>
    </xf>
    <xf numFmtId="212" fontId="132" fillId="53" borderId="295" xfId="4" applyNumberFormat="1" applyFont="1" applyFill="1" applyBorder="1" applyAlignment="1">
      <alignment horizontal="center" vertical="center"/>
    </xf>
    <xf numFmtId="212" fontId="52" fillId="53" borderId="295" xfId="4" applyNumberFormat="1" applyFont="1" applyFill="1" applyBorder="1" applyAlignment="1">
      <alignment horizontal="center" vertical="center"/>
    </xf>
    <xf numFmtId="212" fontId="76" fillId="43" borderId="295" xfId="4" applyNumberFormat="1" applyFont="1" applyFill="1" applyBorder="1" applyAlignment="1">
      <alignment horizontal="center" vertical="center"/>
    </xf>
    <xf numFmtId="212" fontId="17" fillId="7" borderId="295" xfId="4" applyNumberFormat="1" applyFont="1" applyFill="1" applyBorder="1" applyAlignment="1">
      <alignment horizontal="center" vertical="center"/>
    </xf>
    <xf numFmtId="0" fontId="17" fillId="111" borderId="32" xfId="1" applyFont="1" applyFill="1" applyBorder="1" applyAlignment="1">
      <alignment horizontal="left" vertical="center"/>
    </xf>
    <xf numFmtId="0" fontId="17" fillId="111" borderId="32" xfId="1" applyFont="1" applyFill="1" applyBorder="1" applyAlignment="1">
      <alignment horizontal="right" vertical="center"/>
    </xf>
    <xf numFmtId="168" fontId="38" fillId="5" borderId="295" xfId="4" applyNumberFormat="1" applyFont="1" applyFill="1" applyBorder="1" applyAlignment="1">
      <alignment horizontal="center" vertical="center"/>
    </xf>
    <xf numFmtId="0" fontId="44" fillId="38" borderId="400" xfId="4" applyFont="1" applyFill="1" applyBorder="1" applyAlignment="1">
      <alignment horizontal="center" vertical="center"/>
    </xf>
    <xf numFmtId="182" fontId="44" fillId="38" borderId="400" xfId="4" applyNumberFormat="1" applyFont="1" applyFill="1" applyBorder="1" applyAlignment="1">
      <alignment horizontal="center" vertical="center"/>
    </xf>
    <xf numFmtId="0" fontId="126" fillId="9" borderId="295" xfId="19" applyFont="1" applyFill="1" applyBorder="1" applyAlignment="1">
      <alignment horizontal="left" vertical="center"/>
    </xf>
    <xf numFmtId="0" fontId="17" fillId="9" borderId="295" xfId="4" applyFont="1" applyFill="1" applyBorder="1" applyAlignment="1">
      <alignment horizontal="right" vertical="center"/>
    </xf>
    <xf numFmtId="0" fontId="76" fillId="9" borderId="295" xfId="4" applyFont="1" applyFill="1" applyBorder="1" applyAlignment="1">
      <alignment horizontal="right" vertical="center"/>
    </xf>
    <xf numFmtId="0" fontId="14" fillId="9" borderId="203" xfId="4" applyFont="1" applyFill="1" applyBorder="1" applyAlignment="1" applyProtection="1">
      <alignment horizontal="left" vertical="center"/>
      <protection locked="0"/>
    </xf>
    <xf numFmtId="0" fontId="14" fillId="9" borderId="194" xfId="4" applyFont="1" applyFill="1" applyBorder="1" applyAlignment="1" applyProtection="1">
      <alignment horizontal="left" vertical="center"/>
      <protection locked="0"/>
    </xf>
    <xf numFmtId="0" fontId="14" fillId="9" borderId="85" xfId="4" applyFont="1" applyFill="1" applyBorder="1" applyAlignment="1" applyProtection="1">
      <alignment horizontal="left" vertical="center"/>
      <protection locked="0"/>
    </xf>
    <xf numFmtId="0" fontId="13" fillId="9" borderId="295" xfId="4" applyFont="1" applyFill="1" applyBorder="1" applyAlignment="1">
      <alignment horizontal="left" vertical="center"/>
    </xf>
    <xf numFmtId="0" fontId="13" fillId="9" borderId="295" xfId="4" applyFont="1" applyFill="1" applyBorder="1" applyAlignment="1">
      <alignment horizontal="left"/>
    </xf>
    <xf numFmtId="0" fontId="13" fillId="9" borderId="295" xfId="0" applyFont="1" applyFill="1" applyBorder="1"/>
    <xf numFmtId="0" fontId="10" fillId="38" borderId="295" xfId="31" applyFont="1" applyFill="1" applyBorder="1" applyAlignment="1">
      <alignment horizontal="center" vertical="center"/>
    </xf>
    <xf numFmtId="0" fontId="16" fillId="9" borderId="295" xfId="14" applyFont="1" applyFill="1" applyBorder="1" applyAlignment="1">
      <alignment horizontal="left" vertical="center"/>
    </xf>
    <xf numFmtId="179" fontId="28" fillId="12" borderId="295" xfId="4" applyNumberFormat="1" applyFont="1" applyFill="1" applyBorder="1" applyAlignment="1">
      <alignment horizontal="center" vertical="center"/>
    </xf>
    <xf numFmtId="179" fontId="28" fillId="12" borderId="0" xfId="4" applyNumberFormat="1" applyFont="1" applyFill="1" applyAlignment="1">
      <alignment horizontal="center" vertical="center"/>
    </xf>
    <xf numFmtId="1" fontId="9" fillId="38" borderId="295" xfId="2" applyNumberFormat="1" applyFont="1" applyFill="1" applyBorder="1" applyAlignment="1">
      <alignment horizontal="center" vertical="center"/>
    </xf>
    <xf numFmtId="0" fontId="110" fillId="12" borderId="295" xfId="4" applyFont="1" applyFill="1" applyBorder="1" applyAlignment="1">
      <alignment horizontal="center" vertical="center"/>
    </xf>
    <xf numFmtId="179" fontId="9" fillId="38" borderId="295" xfId="4" applyNumberFormat="1" applyFont="1" applyFill="1" applyBorder="1" applyAlignment="1">
      <alignment horizontal="center" vertical="center"/>
    </xf>
    <xf numFmtId="0" fontId="24" fillId="9" borderId="295" xfId="31" applyFont="1" applyFill="1" applyBorder="1" applyAlignment="1">
      <alignment horizontal="left" vertical="center"/>
    </xf>
    <xf numFmtId="0" fontId="17" fillId="96" borderId="295" xfId="1" applyFont="1" applyFill="1" applyBorder="1" applyAlignment="1">
      <alignment horizontal="left" vertical="center"/>
    </xf>
    <xf numFmtId="0" fontId="173" fillId="11" borderId="295" xfId="15" applyFont="1" applyFill="1" applyBorder="1" applyAlignment="1" applyProtection="1">
      <alignment horizontal="center" vertical="center" wrapText="1"/>
      <protection locked="0"/>
    </xf>
    <xf numFmtId="179" fontId="114" fillId="81" borderId="0" xfId="4" applyNumberFormat="1" applyFont="1" applyFill="1" applyAlignment="1">
      <alignment horizontal="center" vertical="center"/>
    </xf>
    <xf numFmtId="170" fontId="114" fillId="81" borderId="0" xfId="15" applyNumberFormat="1" applyFont="1" applyFill="1" applyAlignment="1" applyProtection="1">
      <alignment horizontal="center" vertical="center"/>
      <protection locked="0"/>
    </xf>
    <xf numFmtId="0" fontId="13" fillId="9" borderId="295" xfId="15" applyFont="1" applyFill="1" applyBorder="1" applyAlignment="1" applyProtection="1">
      <alignment horizontal="left" vertical="center"/>
      <protection locked="0"/>
    </xf>
    <xf numFmtId="0" fontId="1" fillId="9" borderId="295" xfId="1" applyFill="1" applyBorder="1" applyAlignment="1">
      <alignment vertical="center"/>
    </xf>
    <xf numFmtId="0" fontId="76" fillId="63" borderId="295" xfId="9" applyFont="1" applyFill="1" applyBorder="1" applyAlignment="1" applyProtection="1">
      <alignment horizontal="right" vertical="center"/>
      <protection locked="0"/>
    </xf>
    <xf numFmtId="0" fontId="231" fillId="9" borderId="19" xfId="9" applyFont="1" applyFill="1" applyBorder="1" applyAlignment="1" applyProtection="1">
      <alignment horizontal="left" vertical="center"/>
      <protection locked="0"/>
    </xf>
    <xf numFmtId="0" fontId="52" fillId="63" borderId="295" xfId="9" applyFont="1" applyFill="1" applyBorder="1" applyAlignment="1" applyProtection="1">
      <alignment horizontal="right" vertical="center"/>
      <protection locked="0"/>
    </xf>
    <xf numFmtId="0" fontId="99" fillId="63" borderId="0" xfId="9" applyFont="1" applyFill="1" applyAlignment="1" applyProtection="1">
      <alignment horizontal="right" vertical="center"/>
      <protection locked="0"/>
    </xf>
    <xf numFmtId="0" fontId="14" fillId="63" borderId="295" xfId="9" applyFont="1" applyFill="1" applyBorder="1" applyAlignment="1" applyProtection="1">
      <alignment horizontal="right" vertical="center"/>
      <protection locked="0"/>
    </xf>
    <xf numFmtId="0" fontId="1" fillId="0" borderId="0" xfId="0" applyFont="1" applyAlignment="1">
      <alignment horizontal="center" vertical="center"/>
    </xf>
    <xf numFmtId="0" fontId="69" fillId="32" borderId="68" xfId="5" applyFont="1" applyFill="1" applyBorder="1" applyAlignment="1">
      <alignment horizontal="center" vertical="center"/>
    </xf>
    <xf numFmtId="0" fontId="9" fillId="5" borderId="0" xfId="4" quotePrefix="1" applyFont="1" applyFill="1" applyAlignment="1">
      <alignment horizontal="center" vertical="center"/>
    </xf>
    <xf numFmtId="0" fontId="69" fillId="32" borderId="0" xfId="5" applyFont="1" applyFill="1" applyAlignment="1">
      <alignment horizontal="center" vertical="center"/>
    </xf>
    <xf numFmtId="168" fontId="17" fillId="2040" borderId="9" xfId="4" applyNumberFormat="1" applyFont="1" applyFill="1" applyBorder="1" applyAlignment="1">
      <alignment horizontal="center" vertical="center"/>
    </xf>
    <xf numFmtId="168" fontId="17" fillId="75" borderId="9" xfId="4" applyNumberFormat="1" applyFont="1" applyFill="1" applyBorder="1" applyAlignment="1">
      <alignment horizontal="center" vertical="center"/>
    </xf>
    <xf numFmtId="0" fontId="14" fillId="2040" borderId="9" xfId="4" applyFont="1" applyFill="1" applyBorder="1" applyAlignment="1">
      <alignment horizontal="center" vertical="center"/>
    </xf>
    <xf numFmtId="0" fontId="14" fillId="75" borderId="9" xfId="4" applyFont="1" applyFill="1" applyBorder="1" applyAlignment="1">
      <alignment horizontal="center" vertical="center"/>
    </xf>
    <xf numFmtId="0" fontId="14" fillId="2057" borderId="9" xfId="4" applyFont="1" applyFill="1" applyBorder="1" applyAlignment="1">
      <alignment horizontal="left" vertical="center"/>
    </xf>
    <xf numFmtId="1" fontId="14" fillId="75" borderId="9" xfId="4" applyNumberFormat="1" applyFont="1" applyFill="1" applyBorder="1" applyAlignment="1">
      <alignment horizontal="left" vertical="center"/>
    </xf>
    <xf numFmtId="167" fontId="17" fillId="2040" borderId="9" xfId="4" applyNumberFormat="1" applyFont="1" applyFill="1" applyBorder="1" applyAlignment="1">
      <alignment horizontal="center" vertical="center"/>
    </xf>
    <xf numFmtId="167" fontId="17" fillId="75" borderId="9" xfId="4" applyNumberFormat="1" applyFont="1" applyFill="1" applyBorder="1" applyAlignment="1">
      <alignment horizontal="center" vertical="center"/>
    </xf>
    <xf numFmtId="0" fontId="59" fillId="5" borderId="2" xfId="0" applyFont="1" applyFill="1" applyBorder="1" applyAlignment="1">
      <alignment horizontal="center" vertical="center"/>
    </xf>
    <xf numFmtId="164" fontId="59" fillId="5" borderId="4" xfId="0" applyNumberFormat="1" applyFont="1" applyFill="1" applyBorder="1" applyAlignment="1">
      <alignment horizontal="center" vertical="center"/>
    </xf>
    <xf numFmtId="1" fontId="14" fillId="99" borderId="407" xfId="4" applyNumberFormat="1" applyFont="1" applyFill="1" applyBorder="1" applyAlignment="1">
      <alignment horizontal="center" vertical="center"/>
    </xf>
    <xf numFmtId="1" fontId="14" fillId="100" borderId="4" xfId="4" applyNumberFormat="1" applyFont="1" applyFill="1" applyBorder="1" applyAlignment="1">
      <alignment horizontal="center" vertical="center"/>
    </xf>
    <xf numFmtId="1" fontId="14" fillId="99" borderId="408" xfId="4" applyNumberFormat="1" applyFont="1" applyFill="1" applyBorder="1" applyAlignment="1">
      <alignment horizontal="center" vertical="center"/>
    </xf>
    <xf numFmtId="1" fontId="14" fillId="99" borderId="8" xfId="4" applyNumberFormat="1" applyFont="1" applyFill="1" applyBorder="1" applyAlignment="1">
      <alignment horizontal="center" vertical="center"/>
    </xf>
    <xf numFmtId="0" fontId="26" fillId="28" borderId="0" xfId="6" applyFont="1" applyFill="1" applyAlignment="1">
      <alignment horizontal="center" vertical="center"/>
    </xf>
    <xf numFmtId="0" fontId="1" fillId="9" borderId="0" xfId="3" applyFill="1" applyAlignment="1">
      <alignment vertical="top" wrapText="1"/>
    </xf>
    <xf numFmtId="241" fontId="10" fillId="20" borderId="4" xfId="4" applyNumberFormat="1" applyFont="1" applyFill="1" applyBorder="1" applyAlignment="1">
      <alignment horizontal="center" vertical="center"/>
    </xf>
    <xf numFmtId="0" fontId="72" fillId="11" borderId="88" xfId="15" applyFont="1" applyFill="1" applyBorder="1" applyAlignment="1" applyProtection="1">
      <alignment horizontal="center" vertical="center"/>
      <protection locked="0"/>
    </xf>
    <xf numFmtId="1" fontId="57" fillId="12" borderId="88" xfId="19" applyNumberFormat="1" applyFont="1" applyFill="1" applyBorder="1" applyAlignment="1">
      <alignment horizontal="center" vertical="center"/>
    </xf>
    <xf numFmtId="0" fontId="76" fillId="113" borderId="88" xfId="4" applyFont="1" applyFill="1" applyBorder="1" applyAlignment="1">
      <alignment horizontal="center" vertical="center"/>
    </xf>
    <xf numFmtId="0" fontId="87" fillId="9" borderId="4" xfId="0" applyFont="1" applyFill="1" applyBorder="1" applyAlignment="1">
      <alignment horizontal="center" vertical="center"/>
    </xf>
    <xf numFmtId="164" fontId="132" fillId="81" borderId="88" xfId="15" applyNumberFormat="1" applyFont="1" applyFill="1" applyBorder="1" applyAlignment="1" applyProtection="1">
      <alignment horizontal="center" vertical="center"/>
      <protection locked="0"/>
    </xf>
    <xf numFmtId="179" fontId="76" fillId="81" borderId="88" xfId="4" applyNumberFormat="1" applyFont="1" applyFill="1" applyBorder="1" applyAlignment="1">
      <alignment horizontal="center" vertical="center"/>
    </xf>
    <xf numFmtId="170" fontId="59" fillId="114" borderId="4" xfId="4" applyNumberFormat="1" applyFont="1" applyFill="1" applyBorder="1" applyAlignment="1">
      <alignment horizontal="center" vertical="center"/>
    </xf>
    <xf numFmtId="170" fontId="132" fillId="81" borderId="88" xfId="15" applyNumberFormat="1" applyFont="1" applyFill="1" applyBorder="1" applyAlignment="1" applyProtection="1">
      <alignment horizontal="center" vertical="center"/>
      <protection locked="0"/>
    </xf>
    <xf numFmtId="0" fontId="2" fillId="32" borderId="59" xfId="5" applyFont="1" applyFill="1" applyBorder="1" applyAlignment="1">
      <alignment horizontal="center" vertical="center"/>
    </xf>
    <xf numFmtId="0" fontId="663" fillId="28" borderId="0" xfId="17" applyFont="1" applyFill="1" applyAlignment="1">
      <alignment vertical="center"/>
    </xf>
    <xf numFmtId="0" fontId="1" fillId="20" borderId="0" xfId="3" applyFill="1"/>
    <xf numFmtId="0" fontId="1" fillId="20" borderId="0" xfId="1" applyFill="1"/>
    <xf numFmtId="1" fontId="45" fillId="2059" borderId="9" xfId="4" applyNumberFormat="1" applyFont="1" applyFill="1" applyBorder="1" applyAlignment="1" applyProtection="1">
      <alignment horizontal="center" vertical="center"/>
      <protection hidden="1"/>
    </xf>
    <xf numFmtId="169" fontId="45" fillId="2059" borderId="9" xfId="4" applyNumberFormat="1" applyFont="1" applyFill="1" applyBorder="1" applyAlignment="1">
      <alignment horizontal="center" vertical="center"/>
    </xf>
    <xf numFmtId="166" fontId="196" fillId="2060" borderId="9" xfId="7" applyNumberFormat="1" applyFont="1" applyFill="1" applyBorder="1" applyAlignment="1">
      <alignment horizontal="center" vertical="center"/>
    </xf>
    <xf numFmtId="165" fontId="14" fillId="75" borderId="8" xfId="4" applyNumberFormat="1" applyFont="1" applyFill="1" applyBorder="1" applyAlignment="1" applyProtection="1">
      <alignment horizontal="left" vertical="center"/>
      <protection hidden="1"/>
    </xf>
    <xf numFmtId="166" fontId="17" fillId="2040" borderId="9" xfId="4" applyNumberFormat="1" applyFont="1" applyFill="1" applyBorder="1" applyAlignment="1" applyProtection="1">
      <alignment horizontal="center" vertical="center"/>
      <protection hidden="1"/>
    </xf>
    <xf numFmtId="166" fontId="17" fillId="75" borderId="9" xfId="4" applyNumberFormat="1" applyFont="1" applyFill="1" applyBorder="1" applyAlignment="1" applyProtection="1">
      <alignment horizontal="center" vertical="center"/>
      <protection hidden="1"/>
    </xf>
    <xf numFmtId="0" fontId="9" fillId="48" borderId="494" xfId="1" applyFont="1" applyFill="1" applyBorder="1" applyAlignment="1">
      <alignment horizontal="center" vertical="center"/>
    </xf>
    <xf numFmtId="0" fontId="4" fillId="0" borderId="0" xfId="3" applyFont="1" applyAlignment="1">
      <alignment vertical="center"/>
    </xf>
    <xf numFmtId="0" fontId="87" fillId="9" borderId="0" xfId="3" applyFont="1" applyFill="1" applyAlignment="1">
      <alignment horizontal="left" vertical="top" wrapText="1"/>
    </xf>
    <xf numFmtId="0" fontId="1" fillId="5" borderId="0" xfId="1" applyFill="1" applyAlignment="1">
      <alignment vertical="center"/>
    </xf>
    <xf numFmtId="0" fontId="56" fillId="5" borderId="4" xfId="1" applyFont="1" applyFill="1" applyBorder="1" applyAlignment="1">
      <alignment horizontal="right" vertical="center"/>
    </xf>
    <xf numFmtId="0" fontId="13" fillId="9" borderId="40" xfId="46" applyFont="1" applyFill="1" applyBorder="1" applyAlignment="1">
      <alignment vertical="center"/>
    </xf>
    <xf numFmtId="0" fontId="13" fillId="5" borderId="0" xfId="4" applyFont="1" applyFill="1" applyAlignment="1">
      <alignment horizontal="left" vertical="center"/>
    </xf>
    <xf numFmtId="182" fontId="13" fillId="5" borderId="295" xfId="4" applyNumberFormat="1" applyFont="1" applyFill="1" applyBorder="1" applyAlignment="1">
      <alignment horizontal="center" vertical="center"/>
    </xf>
    <xf numFmtId="0" fontId="39" fillId="5" borderId="0" xfId="3" applyFont="1" applyFill="1" applyAlignment="1">
      <alignment horizontal="center" vertical="center"/>
    </xf>
    <xf numFmtId="0" fontId="39" fillId="32" borderId="0" xfId="3" applyFont="1" applyFill="1" applyAlignment="1">
      <alignment horizontal="center" vertical="center"/>
    </xf>
    <xf numFmtId="0" fontId="39" fillId="2046" borderId="0" xfId="3" applyFont="1" applyFill="1" applyAlignment="1">
      <alignment horizontal="center" vertical="center"/>
    </xf>
    <xf numFmtId="0" fontId="182" fillId="5" borderId="0" xfId="3" applyFont="1" applyFill="1" applyAlignment="1">
      <alignment horizontal="left" vertical="center"/>
    </xf>
    <xf numFmtId="0" fontId="14" fillId="75" borderId="0" xfId="3" applyFont="1" applyFill="1" applyAlignment="1">
      <alignment horizontal="left" vertical="center"/>
    </xf>
    <xf numFmtId="0" fontId="1" fillId="5" borderId="162" xfId="1" applyFill="1" applyBorder="1" applyAlignment="1">
      <alignment vertical="center"/>
    </xf>
    <xf numFmtId="0" fontId="69" fillId="32" borderId="495" xfId="5" applyFont="1" applyFill="1" applyBorder="1" applyAlignment="1">
      <alignment horizontal="center" vertical="center"/>
    </xf>
    <xf numFmtId="0" fontId="678" fillId="29" borderId="0" xfId="3" applyFont="1" applyFill="1" applyAlignment="1">
      <alignment horizontal="center" vertical="center"/>
    </xf>
    <xf numFmtId="0" fontId="383" fillId="32" borderId="40" xfId="3" applyFont="1" applyFill="1" applyBorder="1" applyAlignment="1">
      <alignment horizontal="left" vertical="center"/>
    </xf>
    <xf numFmtId="168" fontId="14" fillId="2058" borderId="9" xfId="4" applyNumberFormat="1" applyFont="1" applyFill="1" applyBorder="1" applyAlignment="1">
      <alignment horizontal="left" vertical="center"/>
    </xf>
    <xf numFmtId="1" fontId="7" fillId="2041" borderId="1" xfId="9" applyNumberFormat="1" applyFont="1" applyFill="1" applyBorder="1" applyAlignment="1">
      <alignment horizontal="left" vertical="center"/>
    </xf>
    <xf numFmtId="168" fontId="14" fillId="2056" borderId="9" xfId="4" applyNumberFormat="1" applyFont="1" applyFill="1" applyBorder="1" applyAlignment="1">
      <alignment horizontal="left" vertical="center"/>
    </xf>
    <xf numFmtId="0" fontId="11" fillId="28" borderId="0" xfId="6" applyFont="1" applyFill="1" applyAlignment="1">
      <alignment vertical="center"/>
    </xf>
    <xf numFmtId="0" fontId="0" fillId="28" borderId="0" xfId="0" applyFill="1" applyAlignment="1">
      <alignment vertical="center"/>
    </xf>
    <xf numFmtId="0" fontId="65" fillId="28" borderId="0" xfId="0" applyFont="1" applyFill="1" applyAlignment="1">
      <alignment vertical="center"/>
    </xf>
    <xf numFmtId="0" fontId="138" fillId="60" borderId="0" xfId="0" applyFont="1" applyFill="1" applyAlignment="1">
      <alignment horizontal="centerContinuous" vertical="center"/>
    </xf>
    <xf numFmtId="0" fontId="24" fillId="75" borderId="4" xfId="1" applyFont="1" applyFill="1" applyBorder="1" applyAlignment="1">
      <alignment vertical="center"/>
    </xf>
    <xf numFmtId="0" fontId="24" fillId="75" borderId="0" xfId="1" applyFont="1" applyFill="1" applyAlignment="1">
      <alignment vertical="center"/>
    </xf>
    <xf numFmtId="0" fontId="125" fillId="28" borderId="2" xfId="1" applyFont="1" applyFill="1" applyBorder="1"/>
    <xf numFmtId="0" fontId="1" fillId="28" borderId="4" xfId="1" applyFill="1" applyBorder="1" applyAlignment="1">
      <alignment vertical="center"/>
    </xf>
    <xf numFmtId="0" fontId="1" fillId="28" borderId="2" xfId="1" applyFill="1" applyBorder="1" applyAlignment="1">
      <alignment vertical="center"/>
    </xf>
    <xf numFmtId="0" fontId="14" fillId="9" borderId="59" xfId="32" applyFont="1" applyFill="1" applyBorder="1" applyAlignment="1">
      <alignment horizontal="right" vertical="center"/>
    </xf>
    <xf numFmtId="179" fontId="13" fillId="2054" borderId="0" xfId="4" applyNumberFormat="1" applyFont="1" applyFill="1" applyAlignment="1">
      <alignment horizontal="center" vertical="center"/>
    </xf>
    <xf numFmtId="2" fontId="1" fillId="2061" borderId="76" xfId="47" applyNumberFormat="1" applyFill="1" applyBorder="1" applyAlignment="1" applyProtection="1">
      <alignment horizontal="center" vertical="center"/>
      <protection locked="0"/>
    </xf>
    <xf numFmtId="2" fontId="1" fillId="2061" borderId="22" xfId="47" applyNumberFormat="1" applyFill="1" applyBorder="1" applyAlignment="1" applyProtection="1">
      <alignment horizontal="center" vertical="center"/>
      <protection locked="0"/>
    </xf>
    <xf numFmtId="243" fontId="59" fillId="2055" borderId="0" xfId="4" applyNumberFormat="1" applyFont="1" applyFill="1" applyAlignment="1">
      <alignment horizontal="center" vertical="center"/>
    </xf>
    <xf numFmtId="243" fontId="59" fillId="2055" borderId="22" xfId="4" applyNumberFormat="1" applyFont="1" applyFill="1" applyBorder="1" applyAlignment="1">
      <alignment horizontal="center" vertical="center"/>
    </xf>
    <xf numFmtId="0" fontId="17" fillId="9" borderId="0" xfId="30" applyFont="1" applyFill="1" applyAlignment="1">
      <alignment horizontal="left" vertical="center"/>
    </xf>
    <xf numFmtId="0" fontId="14" fillId="9" borderId="0" xfId="30" applyFont="1" applyFill="1" applyAlignment="1">
      <alignment vertical="center"/>
    </xf>
    <xf numFmtId="0" fontId="132" fillId="9" borderId="0" xfId="30" applyFont="1" applyFill="1" applyAlignment="1">
      <alignment horizontal="left"/>
    </xf>
    <xf numFmtId="0" fontId="132" fillId="9" borderId="0" xfId="30" applyFont="1" applyFill="1" applyAlignment="1">
      <alignment horizontal="left" vertical="center"/>
    </xf>
    <xf numFmtId="0" fontId="72" fillId="9" borderId="0" xfId="30" applyFont="1" applyFill="1" applyAlignment="1">
      <alignment vertical="center"/>
    </xf>
    <xf numFmtId="0" fontId="59" fillId="9" borderId="0" xfId="4" applyFont="1" applyFill="1" applyAlignment="1" applyProtection="1">
      <alignment horizontal="right" vertical="center"/>
      <protection locked="0"/>
    </xf>
    <xf numFmtId="0" fontId="13" fillId="9" borderId="0" xfId="14" applyFont="1" applyFill="1" applyBorder="1" applyAlignment="1">
      <alignment horizontal="left" vertical="center"/>
    </xf>
    <xf numFmtId="0" fontId="16" fillId="37" borderId="59" xfId="1" applyFont="1" applyFill="1" applyBorder="1" applyAlignment="1">
      <alignment horizontal="center" vertical="center"/>
    </xf>
    <xf numFmtId="0" fontId="108" fillId="50" borderId="402" xfId="1" applyFont="1" applyFill="1" applyBorder="1" applyAlignment="1">
      <alignment horizontal="center" vertical="center"/>
    </xf>
    <xf numFmtId="0" fontId="19" fillId="12" borderId="378" xfId="0" applyFont="1" applyFill="1" applyBorder="1" applyAlignment="1">
      <alignment horizontal="left" vertical="center"/>
    </xf>
    <xf numFmtId="0" fontId="0" fillId="9" borderId="378" xfId="0" applyFill="1" applyBorder="1"/>
    <xf numFmtId="0" fontId="182" fillId="9" borderId="498" xfId="0" applyFont="1" applyFill="1" applyBorder="1" applyAlignment="1">
      <alignment horizontal="right"/>
    </xf>
    <xf numFmtId="0" fontId="108" fillId="50" borderId="497" xfId="1" applyFont="1" applyFill="1" applyBorder="1" applyAlignment="1">
      <alignment horizontal="center" vertical="center"/>
    </xf>
    <xf numFmtId="182" fontId="14" fillId="2056" borderId="9" xfId="4" applyNumberFormat="1" applyFont="1" applyFill="1" applyBorder="1" applyAlignment="1">
      <alignment horizontal="right" vertical="center"/>
    </xf>
    <xf numFmtId="182" fontId="14" fillId="2058" borderId="9" xfId="4" applyNumberFormat="1" applyFont="1" applyFill="1" applyBorder="1" applyAlignment="1">
      <alignment horizontal="right" vertical="center"/>
    </xf>
    <xf numFmtId="182" fontId="87" fillId="5" borderId="52" xfId="0" applyNumberFormat="1" applyFont="1" applyFill="1" applyBorder="1" applyAlignment="1">
      <alignment horizontal="right" vertical="center"/>
    </xf>
    <xf numFmtId="175" fontId="87" fillId="2037" borderId="0" xfId="0" applyNumberFormat="1" applyFont="1" applyFill="1" applyAlignment="1">
      <alignment horizontal="center" vertical="center"/>
    </xf>
    <xf numFmtId="164" fontId="45" fillId="2059" borderId="9" xfId="4" applyNumberFormat="1" applyFont="1" applyFill="1" applyBorder="1" applyAlignment="1" applyProtection="1">
      <alignment horizontal="center" vertical="center"/>
      <protection hidden="1"/>
    </xf>
    <xf numFmtId="0" fontId="13" fillId="75" borderId="0" xfId="3" applyFont="1" applyFill="1" applyAlignment="1">
      <alignment horizontal="left" vertical="center"/>
    </xf>
    <xf numFmtId="0" fontId="39" fillId="20" borderId="0" xfId="0" applyFont="1" applyFill="1" applyAlignment="1">
      <alignment horizontal="center" vertical="center"/>
    </xf>
    <xf numFmtId="0" fontId="112" fillId="12" borderId="330" xfId="26" applyFont="1" applyFill="1" applyBorder="1" applyAlignment="1">
      <alignment horizontal="center" vertical="center"/>
    </xf>
    <xf numFmtId="0" fontId="0" fillId="9" borderId="6" xfId="0" applyFill="1" applyBorder="1"/>
    <xf numFmtId="0" fontId="14" fillId="9" borderId="6" xfId="13" applyFont="1" applyFill="1" applyBorder="1" applyAlignment="1">
      <alignment horizontal="right" vertical="center"/>
    </xf>
    <xf numFmtId="1" fontId="67" fillId="43" borderId="499" xfId="4" applyNumberFormat="1" applyFont="1" applyFill="1" applyBorder="1" applyAlignment="1" applyProtection="1">
      <alignment horizontal="left" vertical="center"/>
      <protection hidden="1"/>
    </xf>
    <xf numFmtId="0" fontId="100" fillId="41" borderId="503" xfId="4" applyFont="1" applyFill="1" applyBorder="1" applyAlignment="1" applyProtection="1">
      <alignment horizontal="center" vertical="center"/>
      <protection hidden="1"/>
    </xf>
    <xf numFmtId="0" fontId="22" fillId="16" borderId="499" xfId="4" applyFont="1" applyFill="1" applyBorder="1" applyAlignment="1" applyProtection="1">
      <alignment horizontal="center" vertical="center"/>
      <protection hidden="1"/>
    </xf>
    <xf numFmtId="0" fontId="22" fillId="46" borderId="499" xfId="4" applyFont="1" applyFill="1" applyBorder="1" applyAlignment="1" applyProtection="1">
      <alignment horizontal="center" vertical="center"/>
      <protection hidden="1"/>
    </xf>
    <xf numFmtId="0" fontId="22" fillId="45" borderId="499" xfId="4" applyFont="1" applyFill="1" applyBorder="1" applyAlignment="1" applyProtection="1">
      <alignment horizontal="center" vertical="center"/>
      <protection hidden="1"/>
    </xf>
    <xf numFmtId="0" fontId="100" fillId="41" borderId="499" xfId="4" applyFont="1" applyFill="1" applyBorder="1" applyAlignment="1" applyProtection="1">
      <alignment horizontal="center" vertical="center"/>
      <protection hidden="1"/>
    </xf>
    <xf numFmtId="0" fontId="14" fillId="46" borderId="499" xfId="4" applyFont="1" applyFill="1" applyBorder="1" applyAlignment="1" applyProtection="1">
      <alignment horizontal="center" vertical="center"/>
      <protection hidden="1"/>
    </xf>
    <xf numFmtId="0" fontId="14" fillId="21" borderId="499" xfId="4" applyFont="1" applyFill="1" applyBorder="1" applyAlignment="1" applyProtection="1">
      <alignment horizontal="center" vertical="center"/>
      <protection hidden="1"/>
    </xf>
    <xf numFmtId="0" fontId="24" fillId="12" borderId="499" xfId="4" applyFont="1" applyFill="1" applyBorder="1" applyAlignment="1">
      <alignment horizontal="left" vertical="center"/>
    </xf>
    <xf numFmtId="1" fontId="189" fillId="40" borderId="502" xfId="4" applyNumberFormat="1" applyFont="1" applyFill="1" applyBorder="1" applyAlignment="1" applyProtection="1">
      <alignment horizontal="left" vertical="center"/>
      <protection hidden="1"/>
    </xf>
    <xf numFmtId="0" fontId="109" fillId="5" borderId="499" xfId="4" applyFont="1" applyFill="1" applyBorder="1" applyAlignment="1" applyProtection="1">
      <alignment horizontal="center" vertical="center"/>
      <protection hidden="1"/>
    </xf>
    <xf numFmtId="0" fontId="9" fillId="37" borderId="504" xfId="1" applyFont="1" applyFill="1" applyBorder="1" applyAlignment="1">
      <alignment horizontal="center" vertical="center"/>
    </xf>
    <xf numFmtId="0" fontId="108" fillId="50" borderId="504" xfId="1" applyFont="1" applyFill="1" applyBorder="1" applyAlignment="1">
      <alignment horizontal="center" vertical="center"/>
    </xf>
    <xf numFmtId="1" fontId="67" fillId="43" borderId="499" xfId="4" applyNumberFormat="1" applyFont="1" applyFill="1" applyBorder="1" applyAlignment="1" applyProtection="1">
      <alignment horizontal="center" vertical="center"/>
      <protection hidden="1"/>
    </xf>
    <xf numFmtId="0" fontId="222" fillId="9" borderId="19" xfId="4" applyFont="1" applyFill="1" applyBorder="1" applyAlignment="1">
      <alignment horizontal="left" vertical="center" wrapText="1"/>
    </xf>
    <xf numFmtId="0" fontId="76" fillId="81" borderId="0" xfId="15" applyFont="1" applyFill="1" applyAlignment="1" applyProtection="1">
      <alignment horizontal="center" vertical="center"/>
      <protection locked="0"/>
    </xf>
    <xf numFmtId="0" fontId="9" fillId="37" borderId="506" xfId="1" applyFont="1" applyFill="1" applyBorder="1" applyAlignment="1">
      <alignment horizontal="left" vertical="center"/>
    </xf>
    <xf numFmtId="0" fontId="13" fillId="75" borderId="462" xfId="3" applyFont="1" applyFill="1" applyBorder="1" applyAlignment="1">
      <alignment horizontal="left" vertical="center"/>
    </xf>
    <xf numFmtId="0" fontId="13" fillId="75" borderId="4" xfId="3" applyFont="1" applyFill="1" applyBorder="1" applyAlignment="1">
      <alignment horizontal="left" vertical="center"/>
    </xf>
    <xf numFmtId="0" fontId="24" fillId="28" borderId="0" xfId="1" applyFont="1" applyFill="1" applyAlignment="1">
      <alignment vertical="center"/>
    </xf>
    <xf numFmtId="0" fontId="13" fillId="28" borderId="4" xfId="4" applyFont="1" applyFill="1" applyBorder="1" applyAlignment="1">
      <alignment horizontal="right" vertical="center"/>
    </xf>
    <xf numFmtId="1" fontId="85" fillId="40" borderId="0" xfId="4" applyNumberFormat="1" applyFont="1" applyFill="1" applyAlignment="1" applyProtection="1">
      <alignment horizontal="left" vertical="center"/>
      <protection hidden="1"/>
    </xf>
    <xf numFmtId="0" fontId="84" fillId="40" borderId="0" xfId="4" applyFont="1" applyFill="1" applyAlignment="1">
      <alignment horizontal="left" vertical="center"/>
    </xf>
    <xf numFmtId="182" fontId="87" fillId="5" borderId="295" xfId="0" applyNumberFormat="1" applyFont="1" applyFill="1" applyBorder="1" applyAlignment="1">
      <alignment horizontal="right" vertical="center"/>
    </xf>
    <xf numFmtId="175" fontId="87" fillId="2037" borderId="1" xfId="0" applyNumberFormat="1" applyFont="1" applyFill="1" applyBorder="1" applyAlignment="1">
      <alignment horizontal="center" vertical="center"/>
    </xf>
    <xf numFmtId="0" fontId="39" fillId="28" borderId="0" xfId="6" applyFont="1" applyFill="1" applyAlignment="1">
      <alignment vertical="center"/>
    </xf>
    <xf numFmtId="0" fontId="1" fillId="5" borderId="0" xfId="3" applyFill="1" applyAlignment="1">
      <alignment vertical="center"/>
    </xf>
    <xf numFmtId="0" fontId="1" fillId="5" borderId="0" xfId="3" applyFill="1"/>
    <xf numFmtId="0" fontId="95" fillId="5" borderId="0" xfId="0" applyFont="1" applyFill="1" applyAlignment="1">
      <alignment horizontal="left" vertical="center"/>
    </xf>
    <xf numFmtId="0" fontId="101" fillId="75" borderId="0" xfId="3" applyFont="1" applyFill="1" applyAlignment="1">
      <alignment horizontal="right" vertical="center"/>
    </xf>
    <xf numFmtId="0" fontId="101" fillId="5" borderId="0" xfId="1" applyFont="1" applyFill="1" applyAlignment="1">
      <alignment horizontal="right" vertical="center"/>
    </xf>
    <xf numFmtId="0" fontId="47" fillId="28" borderId="0" xfId="0" applyFont="1" applyFill="1" applyAlignment="1">
      <alignment vertical="center"/>
    </xf>
    <xf numFmtId="0" fontId="47" fillId="28" borderId="0" xfId="1" applyFont="1" applyFill="1" applyAlignment="1">
      <alignment vertical="center"/>
    </xf>
    <xf numFmtId="0" fontId="47" fillId="28" borderId="0" xfId="0" applyFont="1" applyFill="1"/>
    <xf numFmtId="0" fontId="152" fillId="28" borderId="0" xfId="14" applyFont="1" applyFill="1" applyAlignment="1">
      <alignment vertical="center"/>
    </xf>
    <xf numFmtId="0" fontId="207" fillId="28" borderId="0" xfId="0" applyFont="1" applyFill="1"/>
    <xf numFmtId="0" fontId="679" fillId="28" borderId="0" xfId="14" applyFont="1" applyFill="1" applyAlignment="1">
      <alignment vertical="center"/>
    </xf>
    <xf numFmtId="0" fontId="1" fillId="9" borderId="1" xfId="3" applyFill="1" applyBorder="1" applyAlignment="1">
      <alignment vertical="center"/>
    </xf>
    <xf numFmtId="0" fontId="59" fillId="5" borderId="0" xfId="4" applyFont="1" applyFill="1" applyAlignment="1">
      <alignment vertical="center"/>
    </xf>
    <xf numFmtId="0" fontId="101" fillId="9" borderId="0" xfId="4" applyFont="1" applyFill="1" applyAlignment="1">
      <alignment vertical="center"/>
    </xf>
    <xf numFmtId="0" fontId="59" fillId="0" borderId="0" xfId="4" applyFont="1" applyAlignment="1">
      <alignment horizontal="right" vertical="center"/>
    </xf>
    <xf numFmtId="0" fontId="1" fillId="32" borderId="0" xfId="3" applyFill="1" applyAlignment="1">
      <alignment horizontal="left" vertical="center"/>
    </xf>
    <xf numFmtId="0" fontId="680" fillId="3" borderId="0" xfId="4" applyFont="1" applyFill="1" applyAlignment="1">
      <alignment horizontal="left" vertical="center"/>
    </xf>
    <xf numFmtId="0" fontId="681" fillId="3" borderId="0" xfId="4" applyFont="1" applyFill="1" applyAlignment="1">
      <alignment horizontal="left" vertical="center"/>
    </xf>
    <xf numFmtId="0" fontId="17" fillId="38" borderId="32" xfId="4" applyFont="1" applyFill="1" applyBorder="1" applyAlignment="1" applyProtection="1">
      <alignment horizontal="right" vertical="center"/>
      <protection hidden="1"/>
    </xf>
    <xf numFmtId="0" fontId="17" fillId="38" borderId="82" xfId="4" applyFont="1" applyFill="1" applyBorder="1" applyAlignment="1" applyProtection="1">
      <alignment horizontal="right" vertical="center"/>
      <protection hidden="1"/>
    </xf>
    <xf numFmtId="0" fontId="59" fillId="9" borderId="59" xfId="4" applyFont="1" applyFill="1" applyBorder="1" applyAlignment="1" applyProtection="1">
      <alignment horizontal="right" vertical="center"/>
      <protection locked="0"/>
    </xf>
    <xf numFmtId="0" fontId="10" fillId="111" borderId="59" xfId="1" applyFont="1" applyFill="1" applyBorder="1" applyAlignment="1">
      <alignment horizontal="right" vertical="center"/>
    </xf>
    <xf numFmtId="0" fontId="82" fillId="9" borderId="194" xfId="19" applyFont="1" applyFill="1" applyBorder="1" applyAlignment="1">
      <alignment horizontal="right" vertical="center"/>
    </xf>
    <xf numFmtId="0" fontId="1" fillId="0" borderId="504" xfId="0" applyFont="1" applyBorder="1" applyAlignment="1">
      <alignment horizontal="center" vertical="center"/>
    </xf>
    <xf numFmtId="0" fontId="1" fillId="0" borderId="507" xfId="0" applyFont="1" applyBorder="1" applyAlignment="1">
      <alignment horizontal="center" vertical="center"/>
    </xf>
    <xf numFmtId="0" fontId="132" fillId="9" borderId="0" xfId="4" applyFont="1" applyFill="1" applyAlignment="1">
      <alignment horizontal="left" vertical="center"/>
    </xf>
    <xf numFmtId="0" fontId="45" fillId="9" borderId="0" xfId="4" applyFont="1" applyFill="1" applyAlignment="1">
      <alignment horizontal="left" vertical="center"/>
    </xf>
    <xf numFmtId="0" fontId="14" fillId="9" borderId="0" xfId="13" applyFont="1" applyFill="1" applyAlignment="1">
      <alignment horizontal="left" vertical="center"/>
    </xf>
    <xf numFmtId="0" fontId="132" fillId="9" borderId="6" xfId="4" applyFont="1" applyFill="1" applyBorder="1" applyAlignment="1">
      <alignment horizontal="left" vertical="center"/>
    </xf>
    <xf numFmtId="0" fontId="132" fillId="9" borderId="195" xfId="4" applyFont="1" applyFill="1" applyBorder="1" applyAlignment="1">
      <alignment horizontal="left" vertical="center"/>
    </xf>
    <xf numFmtId="0" fontId="13" fillId="9" borderId="90" xfId="13" applyFont="1" applyFill="1" applyBorder="1" applyAlignment="1">
      <alignment horizontal="left" vertical="center"/>
    </xf>
    <xf numFmtId="0" fontId="13" fillId="9" borderId="89" xfId="13" applyFont="1" applyFill="1" applyBorder="1" applyAlignment="1">
      <alignment horizontal="left" vertical="center"/>
    </xf>
    <xf numFmtId="0" fontId="26" fillId="115" borderId="508" xfId="8" applyFont="1" applyFill="1" applyBorder="1" applyAlignment="1">
      <alignment horizontal="left" vertical="center"/>
    </xf>
    <xf numFmtId="0" fontId="26" fillId="9" borderId="459" xfId="8" applyFont="1" applyFill="1" applyBorder="1" applyAlignment="1">
      <alignment horizontal="left" vertical="center"/>
    </xf>
    <xf numFmtId="0" fontId="26" fillId="115" borderId="459" xfId="8" applyFont="1" applyFill="1" applyBorder="1" applyAlignment="1">
      <alignment horizontal="left" vertical="center"/>
    </xf>
    <xf numFmtId="0" fontId="26" fillId="9" borderId="0" xfId="4" applyFont="1" applyFill="1" applyAlignment="1" applyProtection="1">
      <alignment horizontal="right" vertical="center"/>
      <protection locked="0"/>
    </xf>
    <xf numFmtId="0" fontId="224" fillId="9" borderId="0" xfId="4" applyFont="1" applyFill="1" applyAlignment="1" applyProtection="1">
      <alignment horizontal="right" vertical="center"/>
      <protection locked="0"/>
    </xf>
    <xf numFmtId="0" fontId="17" fillId="9" borderId="6" xfId="4" applyFont="1" applyFill="1" applyBorder="1" applyAlignment="1">
      <alignment horizontal="center" vertical="center"/>
    </xf>
    <xf numFmtId="0" fontId="17" fillId="9" borderId="195" xfId="4" applyFont="1" applyFill="1" applyBorder="1" applyAlignment="1">
      <alignment horizontal="center" vertical="center"/>
    </xf>
    <xf numFmtId="220" fontId="45" fillId="9" borderId="0" xfId="4" applyNumberFormat="1" applyFont="1" applyFill="1" applyAlignment="1">
      <alignment horizontal="left" vertical="center"/>
    </xf>
    <xf numFmtId="0" fontId="28" fillId="0" borderId="0" xfId="2" applyFont="1" applyAlignment="1">
      <alignment horizontal="left" vertical="center"/>
    </xf>
    <xf numFmtId="0" fontId="10" fillId="9" borderId="0" xfId="32" applyFont="1" applyFill="1" applyAlignment="1">
      <alignment horizontal="left" vertical="center"/>
    </xf>
    <xf numFmtId="206" fontId="45" fillId="9" borderId="0" xfId="4" applyNumberFormat="1" applyFont="1" applyFill="1" applyAlignment="1">
      <alignment horizontal="left" vertical="center"/>
    </xf>
    <xf numFmtId="0" fontId="67" fillId="0" borderId="0" xfId="2" applyFont="1" applyAlignment="1">
      <alignment horizontal="left" vertical="center"/>
    </xf>
    <xf numFmtId="0" fontId="228" fillId="9" borderId="0" xfId="4" applyFont="1" applyFill="1" applyAlignment="1" applyProtection="1">
      <alignment horizontal="right" vertical="center"/>
      <protection locked="0"/>
    </xf>
    <xf numFmtId="0" fontId="55" fillId="9" borderId="0" xfId="0" applyFont="1" applyFill="1" applyAlignment="1">
      <alignment horizontal="right" vertical="center"/>
    </xf>
    <xf numFmtId="0" fontId="222" fillId="9" borderId="0" xfId="4" applyFont="1" applyFill="1" applyAlignment="1">
      <alignment horizontal="left" vertical="center" wrapText="1"/>
    </xf>
    <xf numFmtId="0" fontId="76" fillId="11" borderId="0" xfId="15" applyFont="1" applyFill="1" applyAlignment="1" applyProtection="1">
      <alignment horizontal="center" vertical="center"/>
      <protection locked="0"/>
    </xf>
    <xf numFmtId="0" fontId="76" fillId="11" borderId="19" xfId="15" applyFont="1" applyFill="1" applyBorder="1" applyAlignment="1" applyProtection="1">
      <alignment horizontal="center" vertical="center"/>
      <protection locked="0"/>
    </xf>
    <xf numFmtId="0" fontId="231" fillId="9" borderId="0" xfId="9" applyFont="1" applyFill="1" applyAlignment="1" applyProtection="1">
      <alignment horizontal="left" vertical="center"/>
      <protection locked="0"/>
    </xf>
    <xf numFmtId="0" fontId="194" fillId="9" borderId="0" xfId="9" applyFont="1" applyFill="1" applyAlignment="1" applyProtection="1">
      <alignment horizontal="left" vertical="center"/>
      <protection locked="0"/>
    </xf>
    <xf numFmtId="0" fontId="193" fillId="9" borderId="0" xfId="9" applyFont="1" applyFill="1" applyAlignment="1" applyProtection="1">
      <alignment horizontal="left" vertical="center"/>
      <protection locked="0"/>
    </xf>
    <xf numFmtId="0" fontId="682" fillId="0" borderId="0" xfId="0" applyFont="1" applyAlignment="1">
      <alignment vertical="center"/>
    </xf>
    <xf numFmtId="0" fontId="168" fillId="0" borderId="0" xfId="0" applyFont="1" applyAlignment="1">
      <alignment vertical="center"/>
    </xf>
    <xf numFmtId="0" fontId="393" fillId="0" borderId="0" xfId="0" applyFont="1" applyAlignment="1">
      <alignment horizontal="left" vertical="center" indent="1"/>
    </xf>
    <xf numFmtId="0" fontId="4" fillId="0" borderId="509" xfId="0" applyFont="1" applyBorder="1" applyAlignment="1">
      <alignment horizontal="center" vertical="top"/>
    </xf>
    <xf numFmtId="0" fontId="135" fillId="39" borderId="40" xfId="4" applyFont="1" applyFill="1" applyBorder="1" applyAlignment="1">
      <alignment vertical="center"/>
    </xf>
    <xf numFmtId="0" fontId="14" fillId="39" borderId="82" xfId="7" applyFont="1" applyFill="1" applyBorder="1" applyAlignment="1">
      <alignment horizontal="left" vertical="center"/>
    </xf>
    <xf numFmtId="0" fontId="14" fillId="39" borderId="332" xfId="7" applyFont="1" applyFill="1" applyBorder="1" applyAlignment="1">
      <alignment horizontal="left" vertical="center"/>
    </xf>
    <xf numFmtId="0" fontId="22" fillId="9" borderId="499" xfId="4" applyFont="1" applyFill="1" applyBorder="1" applyAlignment="1" applyProtection="1">
      <alignment horizontal="center" vertical="center"/>
      <protection hidden="1"/>
    </xf>
    <xf numFmtId="0" fontId="115" fillId="28" borderId="2" xfId="4" applyFont="1" applyFill="1" applyBorder="1" applyAlignment="1">
      <alignment horizontal="left" vertical="center"/>
    </xf>
    <xf numFmtId="0" fontId="19" fillId="12" borderId="6" xfId="0" applyFont="1" applyFill="1" applyBorder="1" applyAlignment="1">
      <alignment horizontal="left" vertical="center"/>
    </xf>
    <xf numFmtId="0" fontId="14" fillId="9" borderId="295" xfId="7" applyFont="1" applyFill="1" applyBorder="1" applyAlignment="1">
      <alignment vertical="center"/>
    </xf>
    <xf numFmtId="0" fontId="14" fillId="9" borderId="296" xfId="7" applyFont="1" applyFill="1" applyBorder="1" applyAlignment="1">
      <alignment vertical="center"/>
    </xf>
    <xf numFmtId="0" fontId="46" fillId="28" borderId="2" xfId="1" applyFont="1" applyFill="1" applyBorder="1" applyAlignment="1">
      <alignment vertical="center"/>
    </xf>
    <xf numFmtId="0" fontId="46" fillId="28" borderId="0" xfId="1" applyFont="1" applyFill="1" applyAlignment="1">
      <alignment vertical="center"/>
    </xf>
    <xf numFmtId="0" fontId="683" fillId="28" borderId="2" xfId="4" applyFont="1" applyFill="1" applyBorder="1" applyAlignment="1">
      <alignment horizontal="left" vertical="center"/>
    </xf>
    <xf numFmtId="0" fontId="251" fillId="28" borderId="2" xfId="4" applyFont="1" applyFill="1" applyBorder="1" applyAlignment="1">
      <alignment horizontal="left" vertical="center"/>
    </xf>
    <xf numFmtId="0" fontId="59" fillId="39" borderId="41" xfId="4" applyFont="1" applyFill="1" applyBorder="1" applyAlignment="1">
      <alignment horizontal="center" vertical="center" wrapText="1"/>
    </xf>
    <xf numFmtId="1" fontId="56" fillId="28" borderId="39" xfId="4" applyNumberFormat="1" applyFont="1" applyFill="1" applyBorder="1" applyAlignment="1" applyProtection="1">
      <alignment vertical="center"/>
      <protection hidden="1"/>
    </xf>
    <xf numFmtId="0" fontId="10" fillId="51" borderId="2" xfId="1" applyFont="1" applyFill="1" applyBorder="1" applyAlignment="1">
      <alignment horizontal="center" vertical="center"/>
    </xf>
    <xf numFmtId="0" fontId="95" fillId="5" borderId="2" xfId="0" applyFont="1" applyFill="1" applyBorder="1" applyAlignment="1">
      <alignment horizontal="left" vertical="center"/>
    </xf>
    <xf numFmtId="0" fontId="0" fillId="5" borderId="0" xfId="0" applyFill="1"/>
    <xf numFmtId="0" fontId="0" fillId="5" borderId="4" xfId="0" applyFill="1" applyBorder="1"/>
    <xf numFmtId="0" fontId="108" fillId="50" borderId="137" xfId="1" applyFont="1" applyFill="1" applyBorder="1" applyAlignment="1">
      <alignment horizontal="center" vertical="center"/>
    </xf>
    <xf numFmtId="0" fontId="22" fillId="46" borderId="476" xfId="4" applyFont="1" applyFill="1" applyBorder="1" applyAlignment="1" applyProtection="1">
      <alignment horizontal="center" vertical="center"/>
      <protection hidden="1"/>
    </xf>
    <xf numFmtId="0" fontId="24" fillId="12" borderId="476" xfId="4" applyFont="1" applyFill="1" applyBorder="1" applyAlignment="1">
      <alignment horizontal="left" vertical="center"/>
    </xf>
    <xf numFmtId="0" fontId="108" fillId="50" borderId="138" xfId="1" applyFont="1" applyFill="1" applyBorder="1" applyAlignment="1">
      <alignment horizontal="center" vertical="center"/>
    </xf>
    <xf numFmtId="0" fontId="22" fillId="45" borderId="476" xfId="4" applyFont="1" applyFill="1" applyBorder="1" applyAlignment="1" applyProtection="1">
      <alignment horizontal="center" vertical="center"/>
      <protection hidden="1"/>
    </xf>
    <xf numFmtId="0" fontId="100" fillId="41" borderId="502" xfId="4" applyFont="1" applyFill="1" applyBorder="1" applyAlignment="1" applyProtection="1">
      <alignment horizontal="center" vertical="center"/>
      <protection hidden="1"/>
    </xf>
    <xf numFmtId="1" fontId="67" fillId="43" borderId="476" xfId="4" applyNumberFormat="1" applyFont="1" applyFill="1" applyBorder="1" applyAlignment="1" applyProtection="1">
      <alignment horizontal="center" vertical="center"/>
      <protection hidden="1"/>
    </xf>
    <xf numFmtId="0" fontId="100" fillId="41" borderId="500" xfId="4" applyFont="1" applyFill="1" applyBorder="1" applyAlignment="1" applyProtection="1">
      <alignment horizontal="center" vertical="center"/>
      <protection hidden="1"/>
    </xf>
    <xf numFmtId="0" fontId="100" fillId="41" borderId="504" xfId="4" applyFont="1" applyFill="1" applyBorder="1" applyAlignment="1" applyProtection="1">
      <alignment horizontal="center" vertical="center"/>
      <protection hidden="1"/>
    </xf>
    <xf numFmtId="1" fontId="13" fillId="99" borderId="510" xfId="4" applyNumberFormat="1" applyFont="1" applyFill="1" applyBorder="1" applyAlignment="1">
      <alignment horizontal="center" vertical="center"/>
    </xf>
    <xf numFmtId="0" fontId="1" fillId="5" borderId="295" xfId="1" applyFill="1" applyBorder="1" applyAlignment="1">
      <alignment horizontal="center" vertical="center"/>
    </xf>
    <xf numFmtId="0" fontId="14" fillId="46" borderId="500" xfId="4" applyFont="1" applyFill="1" applyBorder="1" applyAlignment="1" applyProtection="1">
      <alignment horizontal="center" vertical="center"/>
      <protection hidden="1"/>
    </xf>
    <xf numFmtId="0" fontId="14" fillId="52" borderId="504" xfId="4" applyFont="1" applyFill="1" applyBorder="1" applyAlignment="1" applyProtection="1">
      <alignment horizontal="center" vertical="center"/>
      <protection hidden="1"/>
    </xf>
    <xf numFmtId="1" fontId="23" fillId="99" borderId="511" xfId="4" applyNumberFormat="1" applyFont="1" applyFill="1" applyBorder="1" applyAlignment="1">
      <alignment horizontal="left" vertical="center"/>
    </xf>
    <xf numFmtId="0" fontId="484" fillId="11" borderId="88" xfId="15" applyFont="1" applyFill="1" applyBorder="1" applyAlignment="1" applyProtection="1">
      <alignment horizontal="center" vertical="center" wrapText="1"/>
      <protection locked="0"/>
    </xf>
    <xf numFmtId="0" fontId="72" fillId="9" borderId="484" xfId="30" applyFont="1" applyFill="1" applyBorder="1" applyAlignment="1">
      <alignment vertical="center"/>
    </xf>
    <xf numFmtId="0" fontId="99" fillId="0" borderId="499" xfId="29" applyFont="1" applyBorder="1" applyAlignment="1">
      <alignment horizontal="center" vertical="center" wrapText="1"/>
    </xf>
    <xf numFmtId="0" fontId="28" fillId="0" borderId="499" xfId="29" applyFont="1" applyBorder="1" applyAlignment="1">
      <alignment horizontal="center" vertical="center" wrapText="1"/>
    </xf>
    <xf numFmtId="0" fontId="110" fillId="0" borderId="499" xfId="29" applyFont="1" applyBorder="1" applyAlignment="1">
      <alignment horizontal="center" vertical="center" wrapText="1"/>
    </xf>
    <xf numFmtId="0" fontId="99" fillId="0" borderId="499" xfId="29" applyFont="1" applyBorder="1" applyAlignment="1">
      <alignment horizontal="center" vertical="center"/>
    </xf>
    <xf numFmtId="0" fontId="28" fillId="0" borderId="499" xfId="29" applyFont="1" applyBorder="1" applyAlignment="1">
      <alignment horizontal="center" vertical="center"/>
    </xf>
    <xf numFmtId="0" fontId="110" fillId="0" borderId="499" xfId="29" applyFont="1" applyBorder="1" applyAlignment="1">
      <alignment horizontal="center" vertical="center"/>
    </xf>
    <xf numFmtId="0" fontId="0" fillId="28" borderId="4" xfId="0" applyFill="1" applyBorder="1"/>
    <xf numFmtId="0" fontId="0" fillId="28" borderId="2" xfId="0" applyFill="1" applyBorder="1"/>
    <xf numFmtId="0" fontId="39" fillId="28" borderId="0" xfId="1" applyFont="1" applyFill="1" applyAlignment="1">
      <alignment horizontal="left" vertical="center"/>
    </xf>
    <xf numFmtId="0" fontId="0" fillId="28" borderId="0" xfId="0" applyFill="1" applyAlignment="1">
      <alignment horizontal="left"/>
    </xf>
    <xf numFmtId="0" fontId="0" fillId="28" borderId="4" xfId="0" applyFill="1" applyBorder="1" applyAlignment="1">
      <alignment horizontal="left" vertical="center"/>
    </xf>
    <xf numFmtId="0" fontId="39" fillId="28" borderId="0" xfId="1" applyFont="1" applyFill="1" applyAlignment="1">
      <alignment horizontal="left"/>
    </xf>
    <xf numFmtId="0" fontId="674" fillId="28" borderId="2" xfId="4" applyFont="1" applyFill="1" applyBorder="1" applyAlignment="1" applyProtection="1">
      <alignment horizontal="left" vertical="center"/>
      <protection locked="0"/>
    </xf>
    <xf numFmtId="0" fontId="39" fillId="28" borderId="2" xfId="0" applyFont="1" applyFill="1" applyBorder="1" applyAlignment="1">
      <alignment vertical="center"/>
    </xf>
    <xf numFmtId="0" fontId="39" fillId="28" borderId="2" xfId="1" applyFont="1" applyFill="1" applyBorder="1" applyAlignment="1">
      <alignment horizontal="left" vertical="center"/>
    </xf>
    <xf numFmtId="0" fontId="17" fillId="28" borderId="2" xfId="4" quotePrefix="1" applyFont="1" applyFill="1" applyBorder="1" applyAlignment="1" applyProtection="1">
      <alignment vertical="center"/>
      <protection hidden="1"/>
    </xf>
    <xf numFmtId="0" fontId="0" fillId="28" borderId="4" xfId="0" applyFill="1" applyBorder="1" applyAlignment="1">
      <alignment vertical="center"/>
    </xf>
    <xf numFmtId="0" fontId="0" fillId="28" borderId="2" xfId="0" applyFill="1" applyBorder="1" applyAlignment="1">
      <alignment vertical="center"/>
    </xf>
    <xf numFmtId="0" fontId="393" fillId="28" borderId="2" xfId="0" applyFont="1" applyFill="1" applyBorder="1" applyAlignment="1">
      <alignment horizontal="left" vertical="center"/>
    </xf>
    <xf numFmtId="0" fontId="39" fillId="28" borderId="0" xfId="0" applyFont="1" applyFill="1" applyAlignment="1">
      <alignment vertical="top"/>
    </xf>
    <xf numFmtId="0" fontId="0" fillId="28" borderId="0" xfId="0" applyFill="1" applyAlignment="1">
      <alignment vertical="top"/>
    </xf>
    <xf numFmtId="0" fontId="39" fillId="28" borderId="0" xfId="1" applyFont="1" applyFill="1"/>
    <xf numFmtId="0" fontId="76" fillId="28" borderId="2" xfId="0" applyFont="1" applyFill="1" applyBorder="1" applyAlignment="1">
      <alignment vertical="center"/>
    </xf>
    <xf numFmtId="0" fontId="39" fillId="28" borderId="0" xfId="0" applyFont="1" applyFill="1"/>
    <xf numFmtId="0" fontId="39" fillId="28" borderId="2" xfId="0" applyFont="1" applyFill="1" applyBorder="1"/>
    <xf numFmtId="0" fontId="26" fillId="28" borderId="0" xfId="4" applyFont="1" applyFill="1" applyAlignment="1" applyProtection="1">
      <alignment horizontal="left" vertical="center"/>
      <protection locked="0"/>
    </xf>
    <xf numFmtId="0" fontId="114" fillId="28" borderId="0" xfId="4" applyFont="1" applyFill="1" applyAlignment="1">
      <alignment horizontal="left" vertical="center"/>
    </xf>
    <xf numFmtId="0" fontId="76" fillId="28" borderId="2" xfId="0" applyFont="1" applyFill="1" applyBorder="1"/>
    <xf numFmtId="0" fontId="1" fillId="28" borderId="295" xfId="1" applyFill="1" applyBorder="1" applyAlignment="1">
      <alignment vertical="center"/>
    </xf>
    <xf numFmtId="0" fontId="14" fillId="28" borderId="295" xfId="4" quotePrefix="1" applyFont="1" applyFill="1" applyBorder="1" applyAlignment="1" applyProtection="1">
      <alignment vertical="center"/>
      <protection hidden="1"/>
    </xf>
    <xf numFmtId="0" fontId="95" fillId="28" borderId="0" xfId="1" applyFont="1" applyFill="1" applyAlignment="1">
      <alignment vertical="center"/>
    </xf>
    <xf numFmtId="0" fontId="59" fillId="28" borderId="0" xfId="4" applyFont="1" applyFill="1" applyAlignment="1">
      <alignment vertical="center" wrapText="1"/>
    </xf>
    <xf numFmtId="0" fontId="669" fillId="28" borderId="0" xfId="4" applyFont="1" applyFill="1" applyAlignment="1">
      <alignment horizontal="left" vertical="center"/>
    </xf>
    <xf numFmtId="0" fontId="47" fillId="28" borderId="0" xfId="9" applyFont="1" applyFill="1" applyAlignment="1">
      <alignment vertical="center"/>
    </xf>
    <xf numFmtId="0" fontId="47" fillId="28" borderId="0" xfId="1" applyFont="1" applyFill="1" applyAlignment="1">
      <alignment horizontal="left" vertical="center"/>
    </xf>
    <xf numFmtId="0" fontId="89" fillId="28" borderId="0" xfId="4" applyFont="1" applyFill="1" applyAlignment="1" applyProtection="1">
      <alignment vertical="center"/>
      <protection hidden="1"/>
    </xf>
    <xf numFmtId="0" fontId="210" fillId="28" borderId="0" xfId="1" applyFont="1" applyFill="1" applyAlignment="1">
      <alignment vertical="center"/>
    </xf>
    <xf numFmtId="0" fontId="210" fillId="28" borderId="0" xfId="1" applyFont="1" applyFill="1" applyAlignment="1">
      <alignment horizontal="left" vertical="center"/>
    </xf>
    <xf numFmtId="0" fontId="210" fillId="28" borderId="0" xfId="0" applyFont="1" applyFill="1" applyAlignment="1">
      <alignment vertical="center"/>
    </xf>
    <xf numFmtId="0" fontId="673" fillId="9" borderId="2" xfId="4" applyFont="1" applyFill="1" applyBorder="1" applyAlignment="1">
      <alignment horizontal="center" vertical="center"/>
    </xf>
    <xf numFmtId="0" fontId="72" fillId="9" borderId="2" xfId="1" applyFont="1" applyFill="1" applyBorder="1" applyAlignment="1">
      <alignment horizontal="center" vertical="center"/>
    </xf>
    <xf numFmtId="0" fontId="16" fillId="28" borderId="0" xfId="0" applyFont="1" applyFill="1"/>
    <xf numFmtId="0" fontId="16" fillId="28" borderId="2" xfId="0" applyFont="1" applyFill="1" applyBorder="1" applyAlignment="1">
      <alignment horizontal="left" vertical="center"/>
    </xf>
    <xf numFmtId="0" fontId="173" fillId="28" borderId="2" xfId="0" applyFont="1" applyFill="1" applyBorder="1" applyAlignment="1">
      <alignment horizontal="center" vertical="center"/>
    </xf>
    <xf numFmtId="0" fontId="207" fillId="9" borderId="2" xfId="2" applyFont="1" applyFill="1" applyBorder="1" applyAlignment="1">
      <alignment horizontal="left" vertical="center"/>
    </xf>
    <xf numFmtId="168" fontId="176" fillId="17" borderId="0" xfId="4" applyNumberFormat="1" applyFont="1" applyFill="1" applyAlignment="1">
      <alignment horizontal="center" vertical="center"/>
    </xf>
    <xf numFmtId="1" fontId="10" fillId="2053" borderId="0" xfId="4" applyNumberFormat="1" applyFont="1" applyFill="1" applyAlignment="1">
      <alignment horizontal="center" vertical="center"/>
    </xf>
    <xf numFmtId="173" fontId="179" fillId="12" borderId="0" xfId="4" applyNumberFormat="1" applyFont="1" applyFill="1" applyAlignment="1">
      <alignment horizontal="center" vertical="center"/>
    </xf>
    <xf numFmtId="168" fontId="176" fillId="115" borderId="0" xfId="4" applyNumberFormat="1" applyFont="1" applyFill="1" applyAlignment="1">
      <alignment horizontal="center" vertical="center"/>
    </xf>
    <xf numFmtId="1" fontId="10" fillId="99" borderId="4" xfId="4" applyNumberFormat="1" applyFont="1" applyFill="1" applyBorder="1" applyAlignment="1">
      <alignment horizontal="right" vertical="center"/>
    </xf>
    <xf numFmtId="168" fontId="23" fillId="5" borderId="0" xfId="4" applyNumberFormat="1" applyFont="1" applyFill="1" applyAlignment="1">
      <alignment horizontal="left" vertical="center"/>
    </xf>
    <xf numFmtId="0" fontId="207" fillId="28" borderId="2" xfId="2" applyFont="1" applyFill="1" applyBorder="1" applyAlignment="1">
      <alignment horizontal="left" vertical="center"/>
    </xf>
    <xf numFmtId="168" fontId="176" fillId="28" borderId="0" xfId="4" applyNumberFormat="1" applyFont="1" applyFill="1" applyAlignment="1">
      <alignment horizontal="center" vertical="center"/>
    </xf>
    <xf numFmtId="1" fontId="13" fillId="2051" borderId="0" xfId="4" applyNumberFormat="1" applyFont="1" applyFill="1" applyAlignment="1">
      <alignment horizontal="right" vertical="center"/>
    </xf>
    <xf numFmtId="173" fontId="179" fillId="28" borderId="0" xfId="4" applyNumberFormat="1" applyFont="1" applyFill="1" applyAlignment="1">
      <alignment horizontal="center" vertical="center"/>
    </xf>
    <xf numFmtId="1" fontId="10" fillId="2051" borderId="4" xfId="4" applyNumberFormat="1" applyFont="1" applyFill="1" applyBorder="1" applyAlignment="1">
      <alignment horizontal="right" vertical="center"/>
    </xf>
    <xf numFmtId="1" fontId="10" fillId="2062" borderId="0" xfId="4" applyNumberFormat="1" applyFont="1" applyFill="1" applyAlignment="1">
      <alignment horizontal="left" vertical="center"/>
    </xf>
    <xf numFmtId="1" fontId="14" fillId="100" borderId="22" xfId="4" applyNumberFormat="1" applyFont="1" applyFill="1" applyBorder="1" applyAlignment="1">
      <alignment horizontal="center" vertical="center"/>
    </xf>
    <xf numFmtId="0" fontId="46" fillId="28" borderId="6" xfId="1" applyFont="1" applyFill="1" applyBorder="1" applyAlignment="1">
      <alignment vertical="center"/>
    </xf>
    <xf numFmtId="0" fontId="393" fillId="28" borderId="0" xfId="0" applyFont="1" applyFill="1" applyAlignment="1">
      <alignment horizontal="left" vertical="center"/>
    </xf>
    <xf numFmtId="1" fontId="14" fillId="2039" borderId="512" xfId="4" applyNumberFormat="1" applyFont="1" applyFill="1" applyBorder="1" applyAlignment="1">
      <alignment horizontal="center" vertical="center" wrapText="1"/>
    </xf>
    <xf numFmtId="168" fontId="13" fillId="115" borderId="0" xfId="4" applyNumberFormat="1" applyFont="1" applyFill="1" applyAlignment="1">
      <alignment horizontal="center" vertical="center"/>
    </xf>
    <xf numFmtId="1" fontId="14" fillId="99" borderId="170" xfId="4" applyNumberFormat="1" applyFont="1" applyFill="1" applyBorder="1" applyAlignment="1">
      <alignment horizontal="center" vertical="center"/>
    </xf>
    <xf numFmtId="1" fontId="10" fillId="2051" borderId="0" xfId="4" applyNumberFormat="1" applyFont="1" applyFill="1" applyAlignment="1">
      <alignment horizontal="center" vertical="center"/>
    </xf>
    <xf numFmtId="0" fontId="76" fillId="28" borderId="0" xfId="0" applyFont="1" applyFill="1"/>
    <xf numFmtId="0" fontId="10" fillId="28" borderId="404" xfId="2" applyFont="1" applyFill="1" applyBorder="1" applyAlignment="1">
      <alignment horizontal="center" vertical="center"/>
    </xf>
    <xf numFmtId="0" fontId="251" fillId="0" borderId="4" xfId="4" applyFont="1" applyBorder="1" applyAlignment="1">
      <alignment horizontal="left" vertical="center"/>
    </xf>
    <xf numFmtId="1" fontId="57" fillId="73" borderId="0" xfId="4" applyNumberFormat="1" applyFont="1" applyFill="1" applyAlignment="1" applyProtection="1">
      <alignment horizontal="center" vertical="center"/>
      <protection hidden="1"/>
    </xf>
    <xf numFmtId="1" fontId="127" fillId="73" borderId="0" xfId="4" applyNumberFormat="1" applyFont="1" applyFill="1" applyAlignment="1">
      <alignment horizontal="center" vertical="center"/>
    </xf>
    <xf numFmtId="0" fontId="23" fillId="28" borderId="0" xfId="3" applyFont="1" applyFill="1" applyAlignment="1">
      <alignment horizontal="right" vertical="top"/>
    </xf>
    <xf numFmtId="0" fontId="87" fillId="28" borderId="0" xfId="3" applyFont="1" applyFill="1" applyAlignment="1">
      <alignment vertical="top"/>
    </xf>
    <xf numFmtId="0" fontId="72" fillId="28" borderId="0" xfId="2" applyFont="1" applyFill="1" applyAlignment="1">
      <alignment horizontal="right" vertical="center"/>
    </xf>
    <xf numFmtId="241" fontId="0" fillId="28" borderId="0" xfId="0" applyNumberFormat="1" applyFill="1" applyAlignment="1">
      <alignment horizontal="left" vertical="center"/>
    </xf>
    <xf numFmtId="0" fontId="98" fillId="28" borderId="0" xfId="4" applyFont="1" applyFill="1" applyAlignment="1">
      <alignment horizontal="right" vertical="center"/>
    </xf>
    <xf numFmtId="0" fontId="94" fillId="28" borderId="0" xfId="4" applyFont="1" applyFill="1" applyAlignment="1">
      <alignment horizontal="left" vertical="center"/>
    </xf>
    <xf numFmtId="0" fontId="87" fillId="28" borderId="0" xfId="0" applyFont="1" applyFill="1" applyAlignment="1">
      <alignment horizontal="center"/>
    </xf>
    <xf numFmtId="0" fontId="13" fillId="28" borderId="4" xfId="2" applyFont="1" applyFill="1" applyBorder="1" applyAlignment="1">
      <alignment vertical="center" wrapText="1"/>
    </xf>
    <xf numFmtId="0" fontId="19" fillId="14" borderId="32" xfId="4" applyFont="1" applyFill="1" applyBorder="1" applyAlignment="1" applyProtection="1">
      <alignment horizontal="center"/>
      <protection locked="0"/>
    </xf>
    <xf numFmtId="0" fontId="58" fillId="5" borderId="32" xfId="4" applyFont="1" applyFill="1" applyBorder="1" applyAlignment="1" applyProtection="1">
      <alignment horizontal="center" vertical="center"/>
      <protection hidden="1"/>
    </xf>
    <xf numFmtId="0" fontId="10" fillId="28" borderId="462" xfId="4" applyFont="1" applyFill="1" applyBorder="1" applyAlignment="1">
      <alignment horizontal="center"/>
    </xf>
    <xf numFmtId="0" fontId="87" fillId="28" borderId="4" xfId="0" applyFont="1" applyFill="1" applyBorder="1" applyAlignment="1">
      <alignment horizontal="left"/>
    </xf>
    <xf numFmtId="1" fontId="10" fillId="100" borderId="460" xfId="4" applyNumberFormat="1" applyFont="1" applyFill="1" applyBorder="1" applyAlignment="1">
      <alignment horizontal="center" vertical="center"/>
    </xf>
    <xf numFmtId="1" fontId="10" fillId="99" borderId="8" xfId="4" applyNumberFormat="1" applyFont="1" applyFill="1" applyBorder="1" applyAlignment="1">
      <alignment horizontal="center" vertical="center"/>
    </xf>
    <xf numFmtId="0" fontId="94" fillId="28" borderId="2" xfId="2" applyFont="1" applyFill="1" applyBorder="1" applyAlignment="1">
      <alignment horizontal="left" vertical="center"/>
    </xf>
    <xf numFmtId="0" fontId="114" fillId="12" borderId="2" xfId="4" applyFont="1" applyFill="1" applyBorder="1" applyAlignment="1">
      <alignment horizontal="center" vertical="center"/>
    </xf>
    <xf numFmtId="241" fontId="111" fillId="28" borderId="2" xfId="0" applyNumberFormat="1" applyFont="1" applyFill="1" applyBorder="1" applyAlignment="1">
      <alignment horizontal="right" vertical="center"/>
    </xf>
    <xf numFmtId="0" fontId="59" fillId="14" borderId="473" xfId="4" applyFont="1" applyFill="1" applyBorder="1" applyAlignment="1" applyProtection="1">
      <alignment horizontal="center"/>
      <protection locked="0"/>
    </xf>
    <xf numFmtId="0" fontId="59" fillId="14" borderId="432" xfId="4" applyFont="1" applyFill="1" applyBorder="1" applyAlignment="1" applyProtection="1">
      <alignment horizontal="center" vertical="center"/>
      <protection hidden="1"/>
    </xf>
    <xf numFmtId="243" fontId="59" fillId="2055" borderId="2" xfId="4" applyNumberFormat="1" applyFont="1" applyFill="1" applyBorder="1" applyAlignment="1">
      <alignment horizontal="center" vertical="center"/>
    </xf>
    <xf numFmtId="0" fontId="14" fillId="9" borderId="432" xfId="32" applyFont="1" applyFill="1" applyBorder="1" applyAlignment="1">
      <alignment horizontal="right" vertical="center"/>
    </xf>
    <xf numFmtId="179" fontId="13" fillId="2054" borderId="2" xfId="4" applyNumberFormat="1" applyFont="1" applyFill="1" applyBorder="1" applyAlignment="1">
      <alignment horizontal="center" vertical="center"/>
    </xf>
    <xf numFmtId="0" fontId="674" fillId="28" borderId="0" xfId="4" applyFont="1" applyFill="1" applyAlignment="1" applyProtection="1">
      <alignment horizontal="left" vertical="center"/>
      <protection locked="0"/>
    </xf>
    <xf numFmtId="0" fontId="17" fillId="28" borderId="2" xfId="13" applyFont="1" applyFill="1" applyBorder="1" applyAlignment="1">
      <alignment vertical="center"/>
    </xf>
    <xf numFmtId="0" fontId="17" fillId="28" borderId="0" xfId="13" applyFont="1" applyFill="1" applyAlignment="1">
      <alignment vertical="center"/>
    </xf>
    <xf numFmtId="0" fontId="17" fillId="28" borderId="0" xfId="13" applyFont="1" applyFill="1" applyAlignment="1">
      <alignment horizontal="center" vertical="center"/>
    </xf>
    <xf numFmtId="0" fontId="17" fillId="28" borderId="4" xfId="13" applyFont="1" applyFill="1" applyBorder="1" applyAlignment="1">
      <alignment vertical="center"/>
    </xf>
    <xf numFmtId="0" fontId="95" fillId="28" borderId="2" xfId="0" applyFont="1" applyFill="1" applyBorder="1" applyAlignment="1">
      <alignment horizontal="left" vertical="center"/>
    </xf>
    <xf numFmtId="0" fontId="0" fillId="14" borderId="0" xfId="0" applyFill="1"/>
    <xf numFmtId="0" fontId="10" fillId="28" borderId="2" xfId="0" applyFont="1" applyFill="1" applyBorder="1" applyAlignment="1">
      <alignment horizontal="left" vertical="center"/>
    </xf>
    <xf numFmtId="0" fontId="10" fillId="28" borderId="6" xfId="0" applyFont="1" applyFill="1" applyBorder="1" applyAlignment="1">
      <alignment horizontal="left" vertical="center"/>
    </xf>
    <xf numFmtId="0" fontId="645" fillId="5" borderId="378" xfId="0" applyFont="1" applyFill="1" applyBorder="1" applyAlignment="1">
      <alignment horizontal="left" vertical="center"/>
    </xf>
    <xf numFmtId="0" fontId="0" fillId="28" borderId="0" xfId="0" applyFill="1" applyAlignment="1">
      <alignment horizontal="right"/>
    </xf>
    <xf numFmtId="0" fontId="19" fillId="12" borderId="0" xfId="0" applyFont="1" applyFill="1" applyAlignment="1">
      <alignment horizontal="left" vertical="center"/>
    </xf>
    <xf numFmtId="1" fontId="56" fillId="28" borderId="4" xfId="4" applyNumberFormat="1" applyFont="1" applyFill="1" applyBorder="1" applyAlignment="1" applyProtection="1">
      <alignment vertical="center"/>
      <protection hidden="1"/>
    </xf>
    <xf numFmtId="0" fontId="59" fillId="28" borderId="2" xfId="4" applyFont="1" applyFill="1" applyBorder="1" applyAlignment="1">
      <alignment horizontal="center" vertical="center" wrapText="1"/>
    </xf>
    <xf numFmtId="0" fontId="135" fillId="28" borderId="0" xfId="4" applyFont="1" applyFill="1" applyAlignment="1">
      <alignment vertical="center"/>
    </xf>
    <xf numFmtId="0" fontId="489" fillId="28" borderId="0" xfId="4" applyFont="1" applyFill="1" applyAlignment="1">
      <alignment vertical="center"/>
    </xf>
    <xf numFmtId="0" fontId="13" fillId="28" borderId="2" xfId="19" applyFont="1" applyFill="1" applyBorder="1" applyAlignment="1">
      <alignment horizontal="right" vertical="center"/>
    </xf>
    <xf numFmtId="0" fontId="115" fillId="28" borderId="0" xfId="19" applyFont="1" applyFill="1" applyAlignment="1">
      <alignment vertical="center"/>
    </xf>
    <xf numFmtId="0" fontId="70" fillId="28" borderId="2" xfId="0" applyFont="1" applyFill="1" applyBorder="1" applyAlignment="1">
      <alignment horizontal="right" vertical="center"/>
    </xf>
    <xf numFmtId="0" fontId="19" fillId="28" borderId="0" xfId="0" applyFont="1" applyFill="1" applyAlignment="1">
      <alignment horizontal="left" vertical="center"/>
    </xf>
    <xf numFmtId="0" fontId="23" fillId="28" borderId="2" xfId="3" applyFont="1" applyFill="1" applyBorder="1" applyAlignment="1">
      <alignment horizontal="right" vertical="top"/>
    </xf>
    <xf numFmtId="0" fontId="87" fillId="28" borderId="0" xfId="3" applyFont="1" applyFill="1" applyAlignment="1">
      <alignment horizontal="left" vertical="top"/>
    </xf>
    <xf numFmtId="0" fontId="87" fillId="28" borderId="0" xfId="3" applyFont="1" applyFill="1" applyAlignment="1">
      <alignment horizontal="center" vertical="top" wrapText="1"/>
    </xf>
    <xf numFmtId="0" fontId="95" fillId="9" borderId="0" xfId="0" applyFont="1" applyFill="1" applyAlignment="1">
      <alignment horizontal="right" vertical="center"/>
    </xf>
    <xf numFmtId="0" fontId="14" fillId="28" borderId="2" xfId="7" applyFont="1" applyFill="1" applyBorder="1" applyAlignment="1">
      <alignment horizontal="center" vertical="center" wrapText="1"/>
    </xf>
    <xf numFmtId="0" fontId="14" fillId="28" borderId="0" xfId="7" applyFont="1" applyFill="1" applyAlignment="1">
      <alignment vertical="center"/>
    </xf>
    <xf numFmtId="0" fontId="89" fillId="28" borderId="0" xfId="7" applyFont="1" applyFill="1" applyAlignment="1">
      <alignment vertical="center"/>
    </xf>
    <xf numFmtId="0" fontId="14" fillId="39" borderId="303" xfId="7" applyFont="1" applyFill="1" applyBorder="1" applyAlignment="1">
      <alignment horizontal="left" vertical="center"/>
    </xf>
    <xf numFmtId="1" fontId="24" fillId="28" borderId="2" xfId="4" applyNumberFormat="1" applyFont="1" applyFill="1" applyBorder="1" applyAlignment="1">
      <alignment horizontal="center" vertical="center"/>
    </xf>
    <xf numFmtId="1" fontId="24" fillId="28" borderId="0" xfId="4" applyNumberFormat="1" applyFont="1" applyFill="1" applyAlignment="1">
      <alignment horizontal="center" vertical="center"/>
    </xf>
    <xf numFmtId="0" fontId="23" fillId="28" borderId="0" xfId="8" applyFont="1" applyFill="1" applyAlignment="1">
      <alignment horizontal="center" vertical="center"/>
    </xf>
    <xf numFmtId="1" fontId="21" fillId="28" borderId="0" xfId="4" applyNumberFormat="1" applyFont="1" applyFill="1" applyAlignment="1">
      <alignment horizontal="center" vertical="center"/>
    </xf>
    <xf numFmtId="0" fontId="97" fillId="28" borderId="0" xfId="4" applyFont="1" applyFill="1" applyAlignment="1" applyProtection="1">
      <alignment vertical="center"/>
      <protection hidden="1"/>
    </xf>
    <xf numFmtId="0" fontId="207" fillId="28" borderId="0" xfId="2" applyFont="1" applyFill="1" applyAlignment="1">
      <alignment horizontal="left" vertical="center"/>
    </xf>
    <xf numFmtId="0" fontId="45" fillId="28" borderId="0" xfId="0" applyFont="1" applyFill="1" applyAlignment="1">
      <alignment horizontal="left" vertical="center"/>
    </xf>
    <xf numFmtId="0" fontId="638" fillId="12" borderId="0" xfId="0" applyFont="1" applyFill="1" applyAlignment="1">
      <alignment horizontal="center" vertical="center"/>
    </xf>
    <xf numFmtId="0" fontId="26" fillId="9" borderId="0" xfId="4" applyFont="1" applyFill="1" applyAlignment="1">
      <alignment horizontal="center" vertical="center"/>
    </xf>
    <xf numFmtId="0" fontId="17" fillId="9" borderId="2" xfId="13" applyFont="1" applyFill="1" applyBorder="1" applyAlignment="1">
      <alignment vertical="center"/>
    </xf>
    <xf numFmtId="0" fontId="17" fillId="9" borderId="0" xfId="13" applyFont="1" applyFill="1" applyAlignment="1">
      <alignment vertical="center"/>
    </xf>
    <xf numFmtId="0" fontId="17" fillId="9" borderId="0" xfId="13" applyFont="1" applyFill="1" applyAlignment="1">
      <alignment horizontal="center" vertical="center"/>
    </xf>
    <xf numFmtId="0" fontId="17" fillId="9" borderId="4" xfId="13" applyFont="1" applyFill="1" applyBorder="1" applyAlignment="1">
      <alignment vertical="center"/>
    </xf>
    <xf numFmtId="0" fontId="14" fillId="9" borderId="0" xfId="16" applyFont="1" applyFill="1" applyAlignment="1">
      <alignment horizontal="right" vertical="center"/>
    </xf>
    <xf numFmtId="0" fontId="14" fillId="9" borderId="0" xfId="16" applyFont="1" applyFill="1" applyAlignment="1">
      <alignment horizontal="left" vertical="center"/>
    </xf>
    <xf numFmtId="0" fontId="1" fillId="9" borderId="0" xfId="3" applyFill="1" applyAlignment="1">
      <alignment horizontal="left" vertical="center"/>
    </xf>
    <xf numFmtId="0" fontId="0" fillId="2041" borderId="0" xfId="0" applyFill="1"/>
    <xf numFmtId="0" fontId="61" fillId="2041" borderId="0" xfId="4" applyFont="1" applyFill="1" applyAlignment="1" applyProtection="1">
      <alignment vertical="center"/>
      <protection hidden="1"/>
    </xf>
    <xf numFmtId="0" fontId="61" fillId="9" borderId="2" xfId="4" applyFont="1" applyFill="1" applyBorder="1" applyAlignment="1" applyProtection="1">
      <alignment vertical="center"/>
      <protection hidden="1"/>
    </xf>
    <xf numFmtId="0" fontId="56" fillId="9" borderId="0" xfId="4" applyFont="1" applyFill="1" applyAlignment="1" applyProtection="1">
      <alignment vertical="center"/>
      <protection locked="0"/>
    </xf>
    <xf numFmtId="0" fontId="56" fillId="9" borderId="4" xfId="4" applyFont="1" applyFill="1" applyBorder="1" applyAlignment="1" applyProtection="1">
      <alignment vertical="center"/>
      <protection locked="0"/>
    </xf>
    <xf numFmtId="0" fontId="684" fillId="12" borderId="44" xfId="0" applyFont="1" applyFill="1" applyBorder="1" applyAlignment="1">
      <alignment horizontal="center" vertical="center"/>
    </xf>
    <xf numFmtId="0" fontId="226" fillId="12" borderId="476" xfId="29" applyFont="1" applyFill="1" applyBorder="1" applyAlignment="1">
      <alignment horizontal="center" vertical="center"/>
    </xf>
    <xf numFmtId="0" fontId="99" fillId="12" borderId="499" xfId="29" applyFont="1" applyFill="1" applyBorder="1" applyAlignment="1">
      <alignment horizontal="center" vertical="center"/>
    </xf>
    <xf numFmtId="0" fontId="28" fillId="12" borderId="499" xfId="29" applyFont="1" applyFill="1" applyBorder="1" applyAlignment="1">
      <alignment horizontal="center" vertical="center"/>
    </xf>
    <xf numFmtId="0" fontId="110" fillId="12" borderId="499" xfId="29" applyFont="1" applyFill="1" applyBorder="1" applyAlignment="1">
      <alignment horizontal="center" vertical="center"/>
    </xf>
    <xf numFmtId="0" fontId="685" fillId="9" borderId="6" xfId="14" applyFont="1" applyFill="1" applyBorder="1" applyAlignment="1">
      <alignment vertical="center"/>
    </xf>
    <xf numFmtId="0" fontId="687" fillId="7" borderId="0" xfId="4" applyFont="1" applyFill="1" applyAlignment="1">
      <alignment horizontal="left" vertical="center"/>
    </xf>
    <xf numFmtId="0" fontId="95" fillId="9" borderId="516" xfId="1" applyFont="1" applyFill="1" applyBorder="1" applyAlignment="1">
      <alignment vertical="center"/>
    </xf>
    <xf numFmtId="0" fontId="95" fillId="9" borderId="517" xfId="1" applyFont="1" applyFill="1" applyBorder="1" applyAlignment="1">
      <alignment vertical="center"/>
    </xf>
    <xf numFmtId="0" fontId="210" fillId="28" borderId="517" xfId="1" applyFont="1" applyFill="1" applyBorder="1" applyAlignment="1">
      <alignment vertical="center"/>
    </xf>
    <xf numFmtId="0" fontId="93" fillId="28" borderId="517" xfId="1" applyFont="1" applyFill="1" applyBorder="1" applyAlignment="1">
      <alignment vertical="center"/>
    </xf>
    <xf numFmtId="0" fontId="10" fillId="9" borderId="514" xfId="2" applyFont="1" applyFill="1" applyBorder="1" applyAlignment="1">
      <alignment horizontal="center" vertical="center"/>
    </xf>
    <xf numFmtId="0" fontId="207" fillId="9" borderId="519" xfId="2" applyFont="1" applyFill="1" applyBorder="1" applyAlignment="1">
      <alignment horizontal="left" vertical="center"/>
    </xf>
    <xf numFmtId="0" fontId="76" fillId="28" borderId="0" xfId="0" applyFont="1" applyFill="1" applyAlignment="1">
      <alignment vertical="center"/>
    </xf>
    <xf numFmtId="0" fontId="76" fillId="28" borderId="517" xfId="0" applyFont="1" applyFill="1" applyBorder="1" applyAlignment="1">
      <alignment vertical="center"/>
    </xf>
    <xf numFmtId="0" fontId="76" fillId="28" borderId="518" xfId="0" applyFont="1" applyFill="1" applyBorder="1" applyAlignment="1">
      <alignment vertical="center"/>
    </xf>
    <xf numFmtId="0" fontId="688" fillId="14" borderId="2" xfId="4" applyFont="1" applyFill="1" applyBorder="1" applyAlignment="1" applyProtection="1">
      <alignment horizontal="center" vertical="center"/>
      <protection hidden="1"/>
    </xf>
    <xf numFmtId="0" fontId="251" fillId="0" borderId="517" xfId="4" applyFont="1" applyBorder="1" applyAlignment="1">
      <alignment horizontal="left" vertical="center"/>
    </xf>
    <xf numFmtId="0" fontId="94" fillId="28" borderId="516" xfId="2" applyFont="1" applyFill="1" applyBorder="1" applyAlignment="1">
      <alignment horizontal="left" vertical="center"/>
    </xf>
    <xf numFmtId="0" fontId="94" fillId="28" borderId="517" xfId="4" applyFont="1" applyFill="1" applyBorder="1" applyAlignment="1">
      <alignment horizontal="left" vertical="center"/>
    </xf>
    <xf numFmtId="0" fontId="72" fillId="28" borderId="517" xfId="2" applyFont="1" applyFill="1" applyBorder="1" applyAlignment="1">
      <alignment horizontal="left" vertical="center"/>
    </xf>
    <xf numFmtId="0" fontId="98" fillId="28" borderId="518" xfId="4" applyFont="1" applyFill="1" applyBorder="1" applyAlignment="1">
      <alignment horizontal="left" vertical="center"/>
    </xf>
    <xf numFmtId="0" fontId="56" fillId="27" borderId="516" xfId="13" applyFont="1" applyFill="1" applyBorder="1" applyAlignment="1">
      <alignment vertical="center"/>
    </xf>
    <xf numFmtId="0" fontId="39" fillId="28" borderId="517" xfId="0" applyFont="1" applyFill="1" applyBorder="1" applyAlignment="1">
      <alignment vertical="center"/>
    </xf>
    <xf numFmtId="0" fontId="39" fillId="28" borderId="517" xfId="1" applyFont="1" applyFill="1" applyBorder="1" applyAlignment="1">
      <alignment horizontal="left" vertical="center"/>
    </xf>
    <xf numFmtId="0" fontId="59" fillId="14" borderId="517" xfId="16" applyFont="1" applyFill="1" applyBorder="1" applyAlignment="1">
      <alignment horizontal="left" vertical="center"/>
    </xf>
    <xf numFmtId="1" fontId="24" fillId="12" borderId="520" xfId="4" applyNumberFormat="1" applyFont="1" applyFill="1" applyBorder="1" applyAlignment="1">
      <alignment horizontal="left" vertical="center"/>
    </xf>
    <xf numFmtId="1" fontId="24" fillId="12" borderId="521" xfId="4" applyNumberFormat="1" applyFont="1" applyFill="1" applyBorder="1" applyAlignment="1">
      <alignment horizontal="left" vertical="center"/>
    </xf>
    <xf numFmtId="0" fontId="10" fillId="9" borderId="517" xfId="2" applyFont="1" applyFill="1" applyBorder="1" applyAlignment="1">
      <alignment horizontal="left" vertical="center"/>
    </xf>
    <xf numFmtId="0" fontId="207" fillId="9" borderId="520" xfId="2" applyFont="1" applyFill="1" applyBorder="1" applyAlignment="1">
      <alignment horizontal="left" vertical="center"/>
    </xf>
    <xf numFmtId="0" fontId="26" fillId="28" borderId="517" xfId="4" applyFont="1" applyFill="1" applyBorder="1" applyAlignment="1" applyProtection="1">
      <alignment horizontal="left" vertical="center"/>
      <protection locked="0"/>
    </xf>
    <xf numFmtId="0" fontId="17" fillId="28" borderId="517" xfId="4" quotePrefix="1" applyFont="1" applyFill="1" applyBorder="1" applyAlignment="1" applyProtection="1">
      <alignment vertical="center"/>
      <protection hidden="1"/>
    </xf>
    <xf numFmtId="0" fontId="114" fillId="28" borderId="517" xfId="4" applyFont="1" applyFill="1" applyBorder="1" applyAlignment="1">
      <alignment horizontal="left" vertical="center"/>
    </xf>
    <xf numFmtId="1" fontId="24" fillId="55" borderId="522" xfId="4" applyNumberFormat="1" applyFont="1" applyFill="1" applyBorder="1" applyAlignment="1">
      <alignment horizontal="left" vertical="center" wrapText="1"/>
    </xf>
    <xf numFmtId="0" fontId="1" fillId="28" borderId="517" xfId="1" applyFill="1" applyBorder="1" applyAlignment="1">
      <alignment vertical="center"/>
    </xf>
    <xf numFmtId="0" fontId="14" fillId="28" borderId="517" xfId="4" quotePrefix="1" applyFont="1" applyFill="1" applyBorder="1" applyAlignment="1" applyProtection="1">
      <alignment vertical="center"/>
      <protection hidden="1"/>
    </xf>
    <xf numFmtId="0" fontId="46" fillId="28" borderId="516" xfId="1" applyFont="1" applyFill="1" applyBorder="1" applyAlignment="1">
      <alignment vertical="center"/>
    </xf>
    <xf numFmtId="0" fontId="46" fillId="28" borderId="517" xfId="1" applyFont="1" applyFill="1" applyBorder="1" applyAlignment="1">
      <alignment vertical="center"/>
    </xf>
    <xf numFmtId="0" fontId="0" fillId="28" borderId="517" xfId="0" applyFill="1" applyBorder="1" applyAlignment="1">
      <alignment vertical="center"/>
    </xf>
    <xf numFmtId="0" fontId="393" fillId="28" borderId="517" xfId="0" applyFont="1" applyFill="1" applyBorder="1" applyAlignment="1">
      <alignment horizontal="left" vertical="center"/>
    </xf>
    <xf numFmtId="0" fontId="16" fillId="28" borderId="517" xfId="0" applyFont="1" applyFill="1" applyBorder="1" applyAlignment="1">
      <alignment horizontal="left" vertical="center"/>
    </xf>
    <xf numFmtId="0" fontId="173" fillId="28" borderId="517" xfId="0" applyFont="1" applyFill="1" applyBorder="1" applyAlignment="1">
      <alignment horizontal="left" vertical="center"/>
    </xf>
    <xf numFmtId="0" fontId="10" fillId="28" borderId="514" xfId="0" applyFont="1" applyFill="1" applyBorder="1" applyAlignment="1">
      <alignment horizontal="left" vertical="center"/>
    </xf>
    <xf numFmtId="0" fontId="674" fillId="28" borderId="517" xfId="4" applyFont="1" applyFill="1" applyBorder="1" applyAlignment="1" applyProtection="1">
      <alignment horizontal="left" vertical="center"/>
      <protection locked="0"/>
    </xf>
    <xf numFmtId="0" fontId="39" fillId="28" borderId="518" xfId="1" applyFont="1" applyFill="1" applyBorder="1" applyAlignment="1">
      <alignment horizontal="left" vertical="center"/>
    </xf>
    <xf numFmtId="0" fontId="119" fillId="28" borderId="516" xfId="2" applyFont="1" applyFill="1" applyBorder="1" applyAlignment="1">
      <alignment horizontal="left" vertical="center"/>
    </xf>
    <xf numFmtId="0" fontId="692" fillId="12" borderId="517" xfId="0" applyFont="1" applyFill="1" applyBorder="1" applyAlignment="1">
      <alignment vertical="center" wrapText="1"/>
    </xf>
    <xf numFmtId="0" fontId="691" fillId="14" borderId="517" xfId="16" applyFont="1" applyFill="1" applyBorder="1" applyAlignment="1">
      <alignment horizontal="left" vertical="center"/>
    </xf>
    <xf numFmtId="0" fontId="251" fillId="28" borderId="517" xfId="4" applyFont="1" applyFill="1" applyBorder="1" applyAlignment="1">
      <alignment horizontal="left" vertical="center"/>
    </xf>
    <xf numFmtId="0" fontId="0" fillId="0" borderId="514" xfId="0" applyBorder="1" applyAlignment="1">
      <alignment horizontal="left" vertical="center" wrapText="1"/>
    </xf>
    <xf numFmtId="0" fontId="0" fillId="0" borderId="516" xfId="0" applyBorder="1" applyAlignment="1">
      <alignment horizontal="left" vertical="center"/>
    </xf>
    <xf numFmtId="0" fontId="0" fillId="0" borderId="517" xfId="0" applyBorder="1" applyAlignment="1">
      <alignment horizontal="left" vertical="center"/>
    </xf>
    <xf numFmtId="0" fontId="0" fillId="0" borderId="518" xfId="0" applyBorder="1" applyAlignment="1">
      <alignment horizontal="left" vertical="center"/>
    </xf>
    <xf numFmtId="0" fontId="59" fillId="39" borderId="524" xfId="4" applyFont="1" applyFill="1" applyBorder="1" applyAlignment="1">
      <alignment horizontal="left" vertical="center" wrapText="1"/>
    </xf>
    <xf numFmtId="0" fontId="135" fillId="39" borderId="517" xfId="4" applyFont="1" applyFill="1" applyBorder="1" applyAlignment="1">
      <alignment vertical="center"/>
    </xf>
    <xf numFmtId="0" fontId="13" fillId="28" borderId="517" xfId="19" applyFont="1" applyFill="1" applyBorder="1" applyAlignment="1">
      <alignment horizontal="left" vertical="center"/>
    </xf>
    <xf numFmtId="0" fontId="115" fillId="9" borderId="517" xfId="19" applyFont="1" applyFill="1" applyBorder="1" applyAlignment="1">
      <alignment vertical="center"/>
    </xf>
    <xf numFmtId="0" fontId="23" fillId="28" borderId="517" xfId="3" applyFont="1" applyFill="1" applyBorder="1" applyAlignment="1">
      <alignment horizontal="left" vertical="center"/>
    </xf>
    <xf numFmtId="0" fontId="115" fillId="28" borderId="517" xfId="4" applyFont="1" applyFill="1" applyBorder="1" applyAlignment="1">
      <alignment horizontal="left" vertical="center"/>
    </xf>
    <xf numFmtId="0" fontId="70" fillId="5" borderId="518" xfId="0" applyFont="1" applyFill="1" applyBorder="1" applyAlignment="1">
      <alignment horizontal="left" vertical="center"/>
    </xf>
    <xf numFmtId="0" fontId="4" fillId="1863" borderId="509" xfId="0" applyFont="1" applyFill="1" applyBorder="1" applyAlignment="1">
      <alignment horizontal="center" vertical="center" wrapText="1"/>
    </xf>
    <xf numFmtId="0" fontId="0" fillId="39" borderId="514" xfId="0" applyFill="1" applyBorder="1" applyAlignment="1">
      <alignment horizontal="left" vertical="center" wrapText="1"/>
    </xf>
    <xf numFmtId="0" fontId="46" fillId="28" borderId="517" xfId="0" applyFont="1" applyFill="1" applyBorder="1" applyAlignment="1">
      <alignment vertical="center"/>
    </xf>
    <xf numFmtId="0" fontId="0" fillId="28" borderId="516" xfId="0" applyFill="1" applyBorder="1" applyAlignment="1">
      <alignment vertical="center" wrapText="1"/>
    </xf>
    <xf numFmtId="0" fontId="0" fillId="28" borderId="518" xfId="0" applyFill="1" applyBorder="1" applyAlignment="1">
      <alignment vertical="center" wrapText="1"/>
    </xf>
    <xf numFmtId="0" fontId="689" fillId="0" borderId="523" xfId="0" applyFont="1" applyBorder="1" applyAlignment="1">
      <alignment vertical="center" wrapText="1"/>
    </xf>
    <xf numFmtId="0" fontId="0" fillId="0" borderId="518" xfId="0" applyBorder="1" applyAlignment="1">
      <alignment vertical="center" wrapText="1"/>
    </xf>
    <xf numFmtId="0" fontId="0" fillId="14" borderId="516" xfId="0" applyFill="1" applyBorder="1" applyAlignment="1">
      <alignment vertical="center" wrapText="1"/>
    </xf>
    <xf numFmtId="0" fontId="0" fillId="14" borderId="517" xfId="0" applyFill="1" applyBorder="1" applyAlignment="1">
      <alignment vertical="center" wrapText="1"/>
    </xf>
    <xf numFmtId="0" fontId="0" fillId="5" borderId="517" xfId="0" applyFill="1" applyBorder="1" applyAlignment="1">
      <alignment vertical="center" wrapText="1"/>
    </xf>
    <xf numFmtId="0" fontId="0" fillId="0" borderId="517" xfId="0" applyBorder="1" applyAlignment="1">
      <alignment vertical="center" wrapText="1"/>
    </xf>
    <xf numFmtId="0" fontId="28" fillId="12" borderId="514" xfId="0" applyFont="1" applyFill="1" applyBorder="1" applyAlignment="1">
      <alignment vertical="center" wrapText="1"/>
    </xf>
    <xf numFmtId="0" fontId="95" fillId="0" borderId="518" xfId="0" applyFont="1" applyBorder="1" applyAlignment="1">
      <alignment vertical="center"/>
    </xf>
    <xf numFmtId="0" fontId="21" fillId="0" borderId="514" xfId="0" applyFont="1" applyBorder="1" applyAlignment="1">
      <alignment vertical="center"/>
    </xf>
    <xf numFmtId="0" fontId="0" fillId="0" borderId="516" xfId="0" applyBorder="1" applyAlignment="1">
      <alignment vertical="center"/>
    </xf>
    <xf numFmtId="0" fontId="188" fillId="0" borderId="517" xfId="0" applyFont="1" applyBorder="1" applyAlignment="1">
      <alignment vertical="center"/>
    </xf>
    <xf numFmtId="0" fontId="28" fillId="16" borderId="517" xfId="0" applyFont="1" applyFill="1" applyBorder="1" applyAlignment="1">
      <alignment vertical="center"/>
    </xf>
    <xf numFmtId="0" fontId="28" fillId="16" borderId="518" xfId="0" applyFont="1" applyFill="1" applyBorder="1" applyAlignment="1">
      <alignment vertical="center"/>
    </xf>
    <xf numFmtId="0" fontId="4" fillId="5" borderId="514" xfId="0" applyFont="1" applyFill="1" applyBorder="1" applyAlignment="1">
      <alignment vertical="center"/>
    </xf>
    <xf numFmtId="0" fontId="5" fillId="59" borderId="514" xfId="0" applyFont="1" applyFill="1" applyBorder="1" applyAlignment="1">
      <alignment vertical="center"/>
    </xf>
    <xf numFmtId="0" fontId="0" fillId="16" borderId="518" xfId="0" applyFill="1" applyBorder="1" applyAlignment="1">
      <alignment vertical="center"/>
    </xf>
    <xf numFmtId="0" fontId="0" fillId="16" borderId="516" xfId="0" applyFill="1" applyBorder="1" applyAlignment="1">
      <alignment vertical="center"/>
    </xf>
    <xf numFmtId="0" fontId="16" fillId="12" borderId="517" xfId="0" applyFont="1" applyFill="1" applyBorder="1" applyAlignment="1">
      <alignment vertical="center"/>
    </xf>
    <xf numFmtId="0" fontId="216" fillId="0" borderId="516" xfId="0" applyFont="1" applyBorder="1" applyAlignment="1">
      <alignment vertical="center"/>
    </xf>
    <xf numFmtId="0" fontId="47" fillId="9" borderId="517" xfId="18" applyFont="1" applyFill="1" applyBorder="1" applyAlignment="1">
      <alignment vertical="center"/>
    </xf>
    <xf numFmtId="0" fontId="46" fillId="9" borderId="517" xfId="1" applyFont="1" applyFill="1" applyBorder="1" applyAlignment="1">
      <alignment vertical="center"/>
    </xf>
    <xf numFmtId="0" fontId="76" fillId="9" borderId="517" xfId="4" applyFont="1" applyFill="1" applyBorder="1" applyAlignment="1">
      <alignment horizontal="left" vertical="center"/>
    </xf>
    <xf numFmtId="0" fontId="76" fillId="9" borderId="517" xfId="18" applyFont="1" applyFill="1" applyBorder="1" applyAlignment="1">
      <alignment vertical="center"/>
    </xf>
    <xf numFmtId="0" fontId="300" fillId="9" borderId="517" xfId="19" applyFont="1" applyFill="1" applyBorder="1" applyAlignment="1">
      <alignment horizontal="left" vertical="center"/>
    </xf>
    <xf numFmtId="0" fontId="208" fillId="45" borderId="517" xfId="4" applyFont="1" applyFill="1" applyBorder="1" applyAlignment="1" applyProtection="1">
      <alignment vertical="center"/>
      <protection hidden="1"/>
    </xf>
    <xf numFmtId="0" fontId="57" fillId="9" borderId="517" xfId="4" applyFont="1" applyFill="1" applyBorder="1" applyAlignment="1" applyProtection="1">
      <alignment horizontal="left" vertical="center"/>
      <protection locked="0"/>
    </xf>
    <xf numFmtId="1" fontId="14" fillId="9" borderId="517" xfId="4" applyNumberFormat="1" applyFont="1" applyFill="1" applyBorder="1" applyAlignment="1" applyProtection="1">
      <alignment vertical="center" wrapText="1"/>
      <protection hidden="1"/>
    </xf>
    <xf numFmtId="0" fontId="39" fillId="9" borderId="517" xfId="1" applyFont="1" applyFill="1" applyBorder="1" applyAlignment="1">
      <alignment vertical="center"/>
    </xf>
    <xf numFmtId="0" fontId="0" fillId="9" borderId="517" xfId="0" applyFill="1" applyBorder="1" applyAlignment="1">
      <alignment vertical="center"/>
    </xf>
    <xf numFmtId="0" fontId="57" fillId="9" borderId="517" xfId="4" applyFont="1" applyFill="1" applyBorder="1" applyAlignment="1">
      <alignment vertical="center"/>
    </xf>
    <xf numFmtId="0" fontId="57" fillId="9" borderId="517" xfId="18" applyFont="1" applyFill="1" applyBorder="1" applyAlignment="1">
      <alignment vertical="center"/>
    </xf>
    <xf numFmtId="0" fontId="0" fillId="0" borderId="517" xfId="0" applyBorder="1" applyAlignment="1">
      <alignment vertical="center"/>
    </xf>
    <xf numFmtId="0" fontId="26" fillId="58" borderId="0" xfId="4" applyFont="1" applyFill="1" applyAlignment="1" applyProtection="1">
      <alignment horizontal="right" vertical="center"/>
      <protection hidden="1"/>
    </xf>
    <xf numFmtId="0" fontId="11" fillId="56" borderId="68" xfId="4" applyFont="1" applyFill="1" applyBorder="1" applyAlignment="1" applyProtection="1">
      <alignment horizontal="right" vertical="center"/>
      <protection hidden="1"/>
    </xf>
    <xf numFmtId="0" fontId="26" fillId="58" borderId="517" xfId="4" applyFont="1" applyFill="1" applyBorder="1" applyAlignment="1" applyProtection="1">
      <alignment horizontal="left" vertical="center"/>
      <protection hidden="1"/>
    </xf>
    <xf numFmtId="0" fontId="11" fillId="56" borderId="517" xfId="4" applyFont="1" applyFill="1" applyBorder="1" applyAlignment="1" applyProtection="1">
      <alignment horizontal="left" vertical="center"/>
      <protection hidden="1"/>
    </xf>
    <xf numFmtId="0" fontId="45" fillId="9" borderId="517" xfId="4" applyFont="1" applyFill="1" applyBorder="1" applyAlignment="1" applyProtection="1">
      <alignment horizontal="left" vertical="center"/>
      <protection locked="0"/>
    </xf>
    <xf numFmtId="0" fontId="17" fillId="9" borderId="517" xfId="4" applyFont="1" applyFill="1" applyBorder="1" applyAlignment="1" applyProtection="1">
      <alignment horizontal="left" vertical="center"/>
      <protection locked="0"/>
    </xf>
    <xf numFmtId="0" fontId="45" fillId="12" borderId="517" xfId="4" applyFont="1" applyFill="1" applyBorder="1" applyAlignment="1">
      <alignment horizontal="left" vertical="center" wrapText="1"/>
    </xf>
    <xf numFmtId="0" fontId="13" fillId="9" borderId="517" xfId="4" applyFont="1" applyFill="1" applyBorder="1" applyAlignment="1">
      <alignment horizontal="left" vertical="center"/>
    </xf>
    <xf numFmtId="0" fontId="0" fillId="9" borderId="526" xfId="0" applyFill="1" applyBorder="1" applyAlignment="1">
      <alignment vertical="center"/>
    </xf>
    <xf numFmtId="0" fontId="17" fillId="9" borderId="516" xfId="4" applyFont="1" applyFill="1" applyBorder="1" applyAlignment="1" applyProtection="1">
      <alignment vertical="center"/>
      <protection hidden="1"/>
    </xf>
    <xf numFmtId="0" fontId="0" fillId="16" borderId="517" xfId="0" applyFill="1" applyBorder="1" applyAlignment="1">
      <alignment vertical="center"/>
    </xf>
    <xf numFmtId="0" fontId="686" fillId="0" borderId="518" xfId="0" applyFont="1" applyBorder="1" applyAlignment="1">
      <alignment vertical="center"/>
    </xf>
    <xf numFmtId="0" fontId="159" fillId="9" borderId="517" xfId="0" applyFont="1" applyFill="1" applyBorder="1" applyAlignment="1">
      <alignment vertical="center"/>
    </xf>
    <xf numFmtId="0" fontId="0" fillId="9" borderId="516" xfId="0" applyFill="1" applyBorder="1" applyAlignment="1">
      <alignment vertical="center"/>
    </xf>
    <xf numFmtId="0" fontId="4" fillId="9" borderId="518" xfId="0" applyFont="1" applyFill="1" applyBorder="1" applyAlignment="1">
      <alignment vertical="center"/>
    </xf>
    <xf numFmtId="0" fontId="0" fillId="9" borderId="518" xfId="0" applyFill="1" applyBorder="1" applyAlignment="1">
      <alignment vertical="center"/>
    </xf>
    <xf numFmtId="0" fontId="3" fillId="9" borderId="516" xfId="0" applyFont="1" applyFill="1" applyBorder="1" applyAlignment="1">
      <alignment vertical="center"/>
    </xf>
    <xf numFmtId="0" fontId="4" fillId="9" borderId="517" xfId="0" applyFont="1" applyFill="1" applyBorder="1" applyAlignment="1">
      <alignment vertical="center"/>
    </xf>
    <xf numFmtId="0" fontId="216" fillId="12" borderId="517" xfId="0" applyFont="1" applyFill="1" applyBorder="1" applyAlignment="1">
      <alignment vertical="center"/>
    </xf>
    <xf numFmtId="0" fontId="46" fillId="9" borderId="516" xfId="0" applyFont="1" applyFill="1" applyBorder="1" applyAlignment="1">
      <alignment vertical="center"/>
    </xf>
    <xf numFmtId="0" fontId="52" fillId="9" borderId="517" xfId="0" applyFont="1" applyFill="1" applyBorder="1" applyAlignment="1">
      <alignment vertical="center"/>
    </xf>
    <xf numFmtId="0" fontId="675" fillId="9" borderId="517" xfId="0" applyFont="1" applyFill="1" applyBorder="1" applyAlignment="1">
      <alignment vertical="center"/>
    </xf>
    <xf numFmtId="0" fontId="95" fillId="9" borderId="517" xfId="0" applyFont="1" applyFill="1" applyBorder="1" applyAlignment="1">
      <alignment vertical="center"/>
    </xf>
    <xf numFmtId="0" fontId="215" fillId="9" borderId="517" xfId="0" applyFont="1" applyFill="1" applyBorder="1" applyAlignment="1">
      <alignment vertical="center"/>
    </xf>
    <xf numFmtId="0" fontId="14" fillId="9" borderId="517" xfId="16" applyFont="1" applyFill="1" applyBorder="1" applyAlignment="1">
      <alignment horizontal="left" vertical="center"/>
    </xf>
    <xf numFmtId="0" fontId="1" fillId="9" borderId="518" xfId="3" applyFill="1" applyBorder="1" applyAlignment="1">
      <alignment horizontal="left" vertical="center"/>
    </xf>
    <xf numFmtId="0" fontId="61" fillId="2041" borderId="517" xfId="4" applyFont="1" applyFill="1" applyBorder="1" applyAlignment="1" applyProtection="1">
      <alignment vertical="center"/>
      <protection hidden="1"/>
    </xf>
    <xf numFmtId="0" fontId="5" fillId="59" borderId="516" xfId="0" applyFont="1" applyFill="1" applyBorder="1" applyAlignment="1">
      <alignment vertical="center"/>
    </xf>
    <xf numFmtId="0" fontId="95" fillId="38" borderId="514" xfId="0" applyFont="1" applyFill="1" applyBorder="1" applyAlignment="1">
      <alignment vertical="center"/>
    </xf>
    <xf numFmtId="0" fontId="95" fillId="38" borderId="516" xfId="0" applyFont="1" applyFill="1" applyBorder="1" applyAlignment="1">
      <alignment vertical="center"/>
    </xf>
    <xf numFmtId="0" fontId="17" fillId="71" borderId="527" xfId="4" applyFont="1" applyFill="1" applyBorder="1" applyAlignment="1" applyProtection="1">
      <alignment vertical="center"/>
      <protection hidden="1"/>
    </xf>
    <xf numFmtId="0" fontId="154" fillId="9" borderId="517" xfId="0" applyFont="1" applyFill="1" applyBorder="1" applyAlignment="1">
      <alignment vertical="center"/>
    </xf>
    <xf numFmtId="0" fontId="114" fillId="9" borderId="517" xfId="19" applyFont="1" applyFill="1" applyBorder="1" applyAlignment="1" applyProtection="1">
      <alignment vertical="center"/>
      <protection locked="0"/>
    </xf>
    <xf numFmtId="0" fontId="17" fillId="9" borderId="517" xfId="4" applyFont="1" applyFill="1" applyBorder="1" applyAlignment="1" applyProtection="1">
      <alignment vertical="center"/>
      <protection hidden="1"/>
    </xf>
    <xf numFmtId="0" fontId="67" fillId="9" borderId="517" xfId="0" applyFont="1" applyFill="1" applyBorder="1" applyAlignment="1">
      <alignment vertical="center"/>
    </xf>
    <xf numFmtId="0" fontId="110" fillId="9" borderId="517" xfId="0" applyFont="1" applyFill="1" applyBorder="1" applyAlignment="1">
      <alignment vertical="center"/>
    </xf>
    <xf numFmtId="0" fontId="101" fillId="9" borderId="518" xfId="0" applyFont="1" applyFill="1" applyBorder="1" applyAlignment="1">
      <alignment vertical="center"/>
    </xf>
    <xf numFmtId="0" fontId="95" fillId="0" borderId="515" xfId="0" applyFont="1" applyBorder="1" applyAlignment="1">
      <alignment vertical="center"/>
    </xf>
    <xf numFmtId="0" fontId="693" fillId="9" borderId="517" xfId="0" applyFont="1" applyFill="1" applyBorder="1" applyAlignment="1">
      <alignment vertical="center"/>
    </xf>
    <xf numFmtId="0" fontId="99" fillId="9" borderId="517" xfId="0" applyFont="1" applyFill="1" applyBorder="1" applyAlignment="1">
      <alignment vertical="center"/>
    </xf>
    <xf numFmtId="0" fontId="28" fillId="9" borderId="517" xfId="0" applyFont="1" applyFill="1" applyBorder="1" applyAlignment="1">
      <alignment vertical="center"/>
    </xf>
    <xf numFmtId="0" fontId="108" fillId="50" borderId="32" xfId="1" applyFont="1" applyFill="1" applyBorder="1" applyAlignment="1">
      <alignment horizontal="center" vertical="center"/>
    </xf>
    <xf numFmtId="183" fontId="17" fillId="9" borderId="40" xfId="4" applyNumberFormat="1" applyFont="1" applyFill="1" applyBorder="1" applyAlignment="1" applyProtection="1">
      <alignment horizontal="right" vertical="center"/>
      <protection hidden="1"/>
    </xf>
    <xf numFmtId="0" fontId="23" fillId="5" borderId="528" xfId="8" applyFont="1" applyFill="1" applyBorder="1" applyAlignment="1">
      <alignment horizontal="center" vertical="center"/>
    </xf>
    <xf numFmtId="168" fontId="203" fillId="28" borderId="0" xfId="4" applyNumberFormat="1" applyFont="1" applyFill="1" applyAlignment="1">
      <alignment horizontal="center" vertical="top" wrapText="1"/>
    </xf>
    <xf numFmtId="168" fontId="203" fillId="28" borderId="4" xfId="4" applyNumberFormat="1" applyFont="1" applyFill="1" applyBorder="1" applyAlignment="1">
      <alignment horizontal="center" vertical="top" wrapText="1"/>
    </xf>
    <xf numFmtId="168" fontId="103" fillId="28" borderId="0" xfId="4" applyNumberFormat="1" applyFont="1" applyFill="1" applyAlignment="1">
      <alignment horizontal="center" vertical="top" wrapText="1"/>
    </xf>
    <xf numFmtId="168" fontId="103" fillId="28" borderId="4" xfId="4" applyNumberFormat="1" applyFont="1" applyFill="1" applyBorder="1" applyAlignment="1">
      <alignment horizontal="center" vertical="top" wrapText="1"/>
    </xf>
    <xf numFmtId="0" fontId="0" fillId="27" borderId="517" xfId="0" applyFill="1" applyBorder="1" applyAlignment="1">
      <alignment vertical="center"/>
    </xf>
    <xf numFmtId="0" fontId="0" fillId="5" borderId="517" xfId="0" applyFill="1" applyBorder="1"/>
    <xf numFmtId="0" fontId="108" fillId="50" borderId="513" xfId="1" applyFont="1" applyFill="1" applyBorder="1" applyAlignment="1">
      <alignment horizontal="center" vertical="center"/>
    </xf>
    <xf numFmtId="0" fontId="14" fillId="46" borderId="514" xfId="4" applyFont="1" applyFill="1" applyBorder="1" applyAlignment="1" applyProtection="1">
      <alignment horizontal="center" vertical="center"/>
      <protection hidden="1"/>
    </xf>
    <xf numFmtId="0" fontId="95" fillId="5" borderId="517" xfId="0" applyFont="1" applyFill="1" applyBorder="1" applyAlignment="1">
      <alignment horizontal="left" vertical="center"/>
    </xf>
    <xf numFmtId="0" fontId="684" fillId="12" borderId="529" xfId="0" applyFont="1" applyFill="1" applyBorder="1" applyAlignment="1">
      <alignment horizontal="center" vertical="center"/>
    </xf>
    <xf numFmtId="0" fontId="45" fillId="28" borderId="517" xfId="0" applyFont="1" applyFill="1" applyBorder="1" applyAlignment="1">
      <alignment horizontal="left" vertical="center"/>
    </xf>
    <xf numFmtId="243" fontId="59" fillId="2055" borderId="530" xfId="4" applyNumberFormat="1" applyFont="1" applyFill="1" applyBorder="1" applyAlignment="1">
      <alignment horizontal="center" vertical="center"/>
    </xf>
    <xf numFmtId="243" fontId="59" fillId="2055" borderId="517" xfId="4" applyNumberFormat="1" applyFont="1" applyFill="1" applyBorder="1" applyAlignment="1">
      <alignment horizontal="center" vertical="center"/>
    </xf>
    <xf numFmtId="0" fontId="14" fillId="9" borderId="518" xfId="32" applyFont="1" applyFill="1" applyBorder="1" applyAlignment="1">
      <alignment horizontal="center" vertical="center"/>
    </xf>
    <xf numFmtId="0" fontId="27" fillId="48" borderId="513" xfId="1" applyFont="1" applyFill="1" applyBorder="1" applyAlignment="1">
      <alignment vertical="center"/>
    </xf>
    <xf numFmtId="0" fontId="17" fillId="71" borderId="517" xfId="4" applyFont="1" applyFill="1" applyBorder="1" applyAlignment="1" applyProtection="1">
      <alignment vertical="center"/>
      <protection hidden="1"/>
    </xf>
    <xf numFmtId="0" fontId="17" fillId="27" borderId="516" xfId="13" applyFont="1" applyFill="1" applyBorder="1" applyAlignment="1">
      <alignment vertical="center"/>
    </xf>
    <xf numFmtId="0" fontId="5" fillId="32" borderId="88" xfId="0" applyFont="1" applyFill="1" applyBorder="1"/>
    <xf numFmtId="0" fontId="1" fillId="9" borderId="88" xfId="3" applyFill="1" applyBorder="1"/>
    <xf numFmtId="1" fontId="110" fillId="55" borderId="499" xfId="4" applyNumberFormat="1" applyFont="1" applyFill="1" applyBorder="1" applyAlignment="1">
      <alignment horizontal="center" vertical="center"/>
    </xf>
    <xf numFmtId="0" fontId="87" fillId="5" borderId="295" xfId="0" applyFont="1" applyFill="1" applyBorder="1" applyAlignment="1">
      <alignment horizontal="right" vertical="center"/>
    </xf>
    <xf numFmtId="0" fontId="14" fillId="52" borderId="499" xfId="4" applyFont="1" applyFill="1" applyBorder="1" applyAlignment="1" applyProtection="1">
      <alignment horizontal="center" vertical="center"/>
      <protection hidden="1"/>
    </xf>
    <xf numFmtId="243" fontId="59" fillId="2055" borderId="294" xfId="4" applyNumberFormat="1" applyFont="1" applyFill="1" applyBorder="1" applyAlignment="1">
      <alignment horizontal="center" vertical="center"/>
    </xf>
    <xf numFmtId="2" fontId="1" fillId="2061" borderId="294" xfId="47" applyNumberFormat="1" applyFill="1" applyBorder="1" applyAlignment="1" applyProtection="1">
      <alignment horizontal="center" vertical="center"/>
      <protection locked="0"/>
    </xf>
    <xf numFmtId="0" fontId="22" fillId="2037" borderId="499" xfId="4" applyFont="1" applyFill="1" applyBorder="1" applyAlignment="1" applyProtection="1">
      <alignment horizontal="center" vertical="center"/>
      <protection hidden="1"/>
    </xf>
    <xf numFmtId="1" fontId="19" fillId="43" borderId="499" xfId="4" applyNumberFormat="1" applyFont="1" applyFill="1" applyBorder="1" applyAlignment="1" applyProtection="1">
      <alignment horizontal="left" vertical="center"/>
      <protection hidden="1"/>
    </xf>
    <xf numFmtId="0" fontId="84" fillId="12" borderId="499" xfId="4" applyFont="1" applyFill="1" applyBorder="1" applyAlignment="1">
      <alignment horizontal="left" vertical="center"/>
    </xf>
    <xf numFmtId="1" fontId="88" fillId="40" borderId="499" xfId="4" applyNumberFormat="1" applyFont="1" applyFill="1" applyBorder="1" applyAlignment="1" applyProtection="1">
      <alignment horizontal="left" vertical="center"/>
      <protection hidden="1"/>
    </xf>
    <xf numFmtId="171" fontId="44" fillId="7" borderId="500" xfId="0" applyNumberFormat="1" applyFont="1" applyFill="1" applyBorder="1" applyAlignment="1">
      <alignment horizontal="center" vertical="center"/>
    </xf>
    <xf numFmtId="171" fontId="44" fillId="7" borderId="504" xfId="0" applyNumberFormat="1" applyFont="1" applyFill="1" applyBorder="1" applyAlignment="1">
      <alignment horizontal="center" vertical="center"/>
    </xf>
    <xf numFmtId="0" fontId="44" fillId="7" borderId="504" xfId="0" applyFont="1" applyFill="1" applyBorder="1" applyAlignment="1">
      <alignment horizontal="center" vertical="center"/>
    </xf>
    <xf numFmtId="175" fontId="44" fillId="7" borderId="504" xfId="0" applyNumberFormat="1" applyFont="1" applyFill="1" applyBorder="1" applyAlignment="1">
      <alignment horizontal="center" vertical="center"/>
    </xf>
    <xf numFmtId="175" fontId="44" fillId="7" borderId="505" xfId="0" applyNumberFormat="1" applyFont="1" applyFill="1" applyBorder="1" applyAlignment="1">
      <alignment horizontal="center" vertical="center"/>
    </xf>
    <xf numFmtId="171" fontId="44" fillId="7" borderId="501" xfId="0" applyNumberFormat="1" applyFont="1" applyFill="1" applyBorder="1" applyAlignment="1">
      <alignment horizontal="center" vertical="center"/>
    </xf>
    <xf numFmtId="171" fontId="44" fillId="7" borderId="6" xfId="0" applyNumberFormat="1" applyFont="1" applyFill="1" applyBorder="1" applyAlignment="1">
      <alignment horizontal="center" vertical="center"/>
    </xf>
    <xf numFmtId="0" fontId="44" fillId="7" borderId="6" xfId="0" applyFont="1" applyFill="1" applyBorder="1" applyAlignment="1">
      <alignment horizontal="center" vertical="center"/>
    </xf>
    <xf numFmtId="0" fontId="87" fillId="5" borderId="0" xfId="0" applyFont="1" applyFill="1" applyAlignment="1">
      <alignment vertical="center"/>
    </xf>
    <xf numFmtId="0" fontId="0" fillId="5" borderId="0" xfId="0" applyFill="1" applyAlignment="1">
      <alignment vertical="center"/>
    </xf>
    <xf numFmtId="0" fontId="39" fillId="5" borderId="0" xfId="0" applyFont="1" applyFill="1" applyAlignment="1">
      <alignment horizontal="center" vertical="center"/>
    </xf>
    <xf numFmtId="0" fontId="95" fillId="5" borderId="0" xfId="0" applyFont="1" applyFill="1" applyAlignment="1">
      <alignment horizontal="center" vertical="center"/>
    </xf>
    <xf numFmtId="241" fontId="10" fillId="5" borderId="409" xfId="4" applyNumberFormat="1" applyFont="1" applyFill="1" applyBorder="1" applyAlignment="1">
      <alignment horizontal="center" vertical="center"/>
    </xf>
    <xf numFmtId="0" fontId="10" fillId="5" borderId="0" xfId="2" applyFont="1" applyFill="1" applyAlignment="1">
      <alignment horizontal="right" vertical="center"/>
    </xf>
    <xf numFmtId="241" fontId="10" fillId="5" borderId="4" xfId="4" applyNumberFormat="1" applyFont="1" applyFill="1" applyBorder="1" applyAlignment="1">
      <alignment horizontal="center" vertical="center"/>
    </xf>
    <xf numFmtId="0" fontId="14" fillId="9" borderId="0" xfId="13" applyFont="1" applyFill="1" applyAlignment="1">
      <alignment horizontal="right" vertical="center"/>
    </xf>
    <xf numFmtId="0" fontId="9" fillId="37" borderId="506" xfId="1" applyFont="1" applyFill="1" applyBorder="1" applyAlignment="1">
      <alignment horizontal="center" vertical="center"/>
    </xf>
    <xf numFmtId="0" fontId="0" fillId="9" borderId="506" xfId="0" applyFill="1" applyBorder="1"/>
    <xf numFmtId="0" fontId="14" fillId="9" borderId="506" xfId="13" applyFont="1" applyFill="1" applyBorder="1" applyAlignment="1">
      <alignment horizontal="right" vertical="center"/>
    </xf>
    <xf numFmtId="0" fontId="23" fillId="9" borderId="531" xfId="13" applyFont="1" applyFill="1" applyBorder="1" applyAlignment="1">
      <alignment horizontal="right" vertical="center"/>
    </xf>
    <xf numFmtId="0" fontId="60" fillId="9" borderId="4" xfId="4" applyFont="1" applyFill="1" applyBorder="1" applyAlignment="1" applyProtection="1">
      <alignment horizontal="right" vertical="center"/>
      <protection locked="0"/>
    </xf>
    <xf numFmtId="0" fontId="76" fillId="9" borderId="429" xfId="1" applyFont="1" applyFill="1" applyBorder="1"/>
    <xf numFmtId="0" fontId="10" fillId="9" borderId="88" xfId="13" applyFont="1" applyFill="1" applyBorder="1" applyAlignment="1">
      <alignment vertical="center"/>
    </xf>
    <xf numFmtId="0" fontId="55" fillId="9" borderId="378" xfId="0" applyFont="1" applyFill="1" applyBorder="1" applyAlignment="1">
      <alignment vertical="center"/>
    </xf>
    <xf numFmtId="0" fontId="39" fillId="5" borderId="532" xfId="3" applyFont="1" applyFill="1" applyBorder="1" applyAlignment="1">
      <alignment horizontal="center" vertical="center"/>
    </xf>
    <xf numFmtId="0" fontId="39" fillId="5" borderId="534" xfId="3" applyFont="1" applyFill="1" applyBorder="1" applyAlignment="1">
      <alignment horizontal="center" vertical="center"/>
    </xf>
    <xf numFmtId="0" fontId="182" fillId="5" borderId="0" xfId="3" applyFont="1" applyFill="1" applyAlignment="1">
      <alignment horizontal="center" vertical="center"/>
    </xf>
    <xf numFmtId="0" fontId="60" fillId="9" borderId="295" xfId="4" applyFont="1" applyFill="1" applyBorder="1" applyAlignment="1" applyProtection="1">
      <alignment horizontal="right" vertical="center"/>
      <protection locked="0"/>
    </xf>
    <xf numFmtId="2" fontId="251" fillId="12" borderId="0" xfId="4" applyNumberFormat="1" applyFont="1" applyFill="1" applyAlignment="1">
      <alignment horizontal="center" vertical="center"/>
    </xf>
    <xf numFmtId="0" fontId="9" fillId="39" borderId="1" xfId="4" quotePrefix="1" applyFont="1" applyFill="1" applyBorder="1" applyAlignment="1">
      <alignment horizontal="center" vertical="center"/>
    </xf>
    <xf numFmtId="0" fontId="182" fillId="9" borderId="498" xfId="0" applyFont="1" applyFill="1" applyBorder="1" applyAlignment="1">
      <alignment horizontal="right" vertical="center"/>
    </xf>
    <xf numFmtId="0" fontId="180" fillId="0" borderId="380" xfId="29" applyFont="1" applyBorder="1" applyAlignment="1">
      <alignment horizontal="center" vertical="center" wrapText="1"/>
    </xf>
    <xf numFmtId="219" fontId="13" fillId="0" borderId="211" xfId="4" applyNumberFormat="1" applyFont="1" applyBorder="1" applyAlignment="1">
      <alignment horizontal="left" vertical="center" wrapText="1"/>
    </xf>
    <xf numFmtId="219" fontId="13" fillId="0" borderId="59" xfId="4" applyNumberFormat="1" applyFont="1" applyBorder="1" applyAlignment="1">
      <alignment horizontal="left" vertical="center" wrapText="1"/>
    </xf>
    <xf numFmtId="0" fontId="1" fillId="0" borderId="59" xfId="0" applyFont="1" applyBorder="1" applyAlignment="1">
      <alignment horizontal="left" vertical="center"/>
    </xf>
    <xf numFmtId="0" fontId="224" fillId="0" borderId="295" xfId="0" applyFont="1" applyBorder="1" applyAlignment="1">
      <alignment horizontal="left" vertical="center"/>
    </xf>
    <xf numFmtId="0" fontId="133" fillId="0" borderId="0" xfId="4" applyFont="1" applyAlignment="1">
      <alignment horizontal="left" vertical="center"/>
    </xf>
    <xf numFmtId="0" fontId="17" fillId="9" borderId="203" xfId="4" applyFont="1" applyFill="1" applyBorder="1" applyAlignment="1" applyProtection="1">
      <alignment horizontal="left" vertical="center"/>
      <protection hidden="1"/>
    </xf>
    <xf numFmtId="245" fontId="45" fillId="9" borderId="0" xfId="4" applyNumberFormat="1" applyFont="1" applyFill="1" applyAlignment="1">
      <alignment horizontal="left" vertical="center"/>
    </xf>
    <xf numFmtId="0" fontId="24" fillId="9" borderId="0" xfId="1" applyFont="1" applyFill="1" applyAlignment="1">
      <alignment horizontal="left" vertical="center"/>
    </xf>
    <xf numFmtId="0" fontId="228" fillId="9" borderId="0" xfId="4" applyFont="1" applyFill="1" applyAlignment="1" applyProtection="1">
      <alignment horizontal="left" vertical="center"/>
      <protection locked="0"/>
    </xf>
    <xf numFmtId="0" fontId="1" fillId="0" borderId="0" xfId="3" applyAlignment="1">
      <alignment horizontal="left"/>
    </xf>
    <xf numFmtId="0" fontId="1" fillId="0" borderId="59" xfId="0" applyFont="1" applyBorder="1" applyAlignment="1">
      <alignment horizontal="right" vertical="center"/>
    </xf>
    <xf numFmtId="0" fontId="76" fillId="9" borderId="295" xfId="4" applyFont="1" applyFill="1" applyBorder="1" applyAlignment="1">
      <alignment horizontal="left" vertical="center"/>
    </xf>
    <xf numFmtId="0" fontId="46" fillId="9" borderId="0" xfId="1" applyFont="1" applyFill="1" applyAlignment="1">
      <alignment horizontal="right" vertical="center"/>
    </xf>
    <xf numFmtId="0" fontId="694" fillId="9" borderId="0" xfId="4" applyFont="1" applyFill="1" applyAlignment="1">
      <alignment horizontal="left" vertical="center"/>
    </xf>
    <xf numFmtId="0" fontId="101" fillId="9" borderId="0" xfId="3" applyFont="1" applyFill="1"/>
    <xf numFmtId="0" fontId="45" fillId="9" borderId="0" xfId="3" applyFont="1" applyFill="1"/>
    <xf numFmtId="0" fontId="39" fillId="5" borderId="535" xfId="3" applyFont="1" applyFill="1" applyBorder="1" applyAlignment="1">
      <alignment horizontal="center" vertical="center"/>
    </xf>
    <xf numFmtId="1" fontId="189" fillId="40" borderId="499" xfId="4" applyNumberFormat="1" applyFont="1" applyFill="1" applyBorder="1" applyAlignment="1" applyProtection="1">
      <alignment horizontal="left" vertical="center"/>
      <protection hidden="1"/>
    </xf>
    <xf numFmtId="0" fontId="4" fillId="9" borderId="0" xfId="0" applyFont="1" applyFill="1"/>
    <xf numFmtId="0" fontId="119" fillId="9" borderId="0" xfId="1" applyFont="1" applyFill="1"/>
    <xf numFmtId="0" fontId="119" fillId="9" borderId="0" xfId="0" applyFont="1" applyFill="1"/>
    <xf numFmtId="0" fontId="119" fillId="9" borderId="0" xfId="1" applyFont="1" applyFill="1" applyAlignment="1">
      <alignment vertical="center"/>
    </xf>
    <xf numFmtId="0" fontId="9" fillId="50" borderId="536" xfId="1" applyFont="1" applyFill="1" applyBorder="1" applyAlignment="1">
      <alignment horizontal="center" vertical="center"/>
    </xf>
    <xf numFmtId="0" fontId="9" fillId="50" borderId="78" xfId="1" applyFont="1" applyFill="1" applyBorder="1" applyAlignment="1">
      <alignment horizontal="center" vertical="center"/>
    </xf>
    <xf numFmtId="0" fontId="115" fillId="28" borderId="2" xfId="1" applyFont="1" applyFill="1" applyBorder="1"/>
    <xf numFmtId="0" fontId="115" fillId="28" borderId="2" xfId="0" applyFont="1" applyFill="1" applyBorder="1"/>
    <xf numFmtId="0" fontId="87" fillId="0" borderId="0" xfId="0" applyFont="1" applyAlignment="1">
      <alignment horizontal="left" vertical="center"/>
    </xf>
    <xf numFmtId="0" fontId="121" fillId="0" borderId="0" xfId="4" applyFont="1" applyAlignment="1" applyProtection="1">
      <alignment horizontal="center" vertical="center"/>
      <protection locked="0"/>
    </xf>
    <xf numFmtId="0" fontId="121" fillId="0" borderId="2" xfId="4" applyFont="1" applyBorder="1" applyAlignment="1" applyProtection="1">
      <alignment horizontal="center" vertical="center"/>
      <protection locked="0"/>
    </xf>
    <xf numFmtId="0" fontId="59" fillId="9" borderId="0" xfId="13" applyFont="1" applyFill="1"/>
    <xf numFmtId="0" fontId="695" fillId="9" borderId="0" xfId="4" applyFont="1" applyFill="1" applyAlignment="1" applyProtection="1">
      <alignment horizontal="center" vertical="center"/>
      <protection hidden="1"/>
    </xf>
    <xf numFmtId="0" fontId="59" fillId="9" borderId="40" xfId="13" applyFont="1" applyFill="1" applyBorder="1"/>
    <xf numFmtId="0" fontId="695" fillId="9" borderId="40" xfId="4" applyFont="1" applyFill="1" applyBorder="1" applyAlignment="1" applyProtection="1">
      <alignment horizontal="center" vertical="center"/>
      <protection hidden="1"/>
    </xf>
    <xf numFmtId="168" fontId="123" fillId="9" borderId="40" xfId="10" applyNumberFormat="1" applyFont="1" applyFill="1" applyBorder="1" applyAlignment="1">
      <alignment horizontal="left" vertical="center"/>
    </xf>
    <xf numFmtId="168" fontId="124" fillId="2035" borderId="40" xfId="10" applyNumberFormat="1" applyFont="1" applyFill="1" applyBorder="1" applyAlignment="1">
      <alignment vertical="center"/>
    </xf>
    <xf numFmtId="0" fontId="59" fillId="9" borderId="1" xfId="13" applyFont="1" applyFill="1" applyBorder="1"/>
    <xf numFmtId="0" fontId="114" fillId="9" borderId="1" xfId="4" applyFont="1" applyFill="1" applyBorder="1" applyAlignment="1" applyProtection="1">
      <alignment vertical="center"/>
      <protection hidden="1"/>
    </xf>
    <xf numFmtId="0" fontId="114" fillId="9" borderId="2" xfId="4" applyFont="1" applyFill="1" applyBorder="1" applyAlignment="1" applyProtection="1">
      <alignment horizontal="left" vertical="center"/>
      <protection hidden="1"/>
    </xf>
    <xf numFmtId="0" fontId="9" fillId="7" borderId="1" xfId="4" applyFont="1" applyFill="1" applyBorder="1" applyAlignment="1">
      <alignment horizontal="center" vertical="center"/>
    </xf>
    <xf numFmtId="0" fontId="697" fillId="9" borderId="0" xfId="10" applyFont="1" applyFill="1" applyAlignment="1">
      <alignment horizontal="center" vertical="center"/>
    </xf>
    <xf numFmtId="0" fontId="147" fillId="9" borderId="0" xfId="10" applyFont="1" applyFill="1" applyAlignment="1">
      <alignment horizontal="center" vertical="center"/>
    </xf>
    <xf numFmtId="0" fontId="11" fillId="29" borderId="41" xfId="4" applyFont="1" applyFill="1" applyBorder="1" applyAlignment="1" applyProtection="1">
      <alignment vertical="center" textRotation="90"/>
      <protection locked="0"/>
    </xf>
    <xf numFmtId="0" fontId="25" fillId="39" borderId="40" xfId="13" applyFont="1" applyFill="1" applyBorder="1" applyAlignment="1">
      <alignment vertical="center"/>
    </xf>
    <xf numFmtId="1" fontId="25" fillId="39" borderId="40" xfId="13" applyNumberFormat="1" applyFont="1" applyFill="1" applyBorder="1" applyAlignment="1">
      <alignment vertical="center"/>
    </xf>
    <xf numFmtId="0" fontId="118" fillId="39" borderId="40" xfId="4" applyFont="1" applyFill="1" applyBorder="1" applyAlignment="1">
      <alignment vertical="center"/>
    </xf>
    <xf numFmtId="0" fontId="59" fillId="39" borderId="40" xfId="4" applyFont="1" applyFill="1" applyBorder="1" applyAlignment="1">
      <alignment vertical="center"/>
    </xf>
    <xf numFmtId="1" fontId="56" fillId="28" borderId="40" xfId="4" applyNumberFormat="1" applyFont="1" applyFill="1" applyBorder="1" applyAlignment="1" applyProtection="1">
      <alignment vertical="center"/>
      <protection hidden="1"/>
    </xf>
    <xf numFmtId="0" fontId="251" fillId="0" borderId="400" xfId="4" applyFont="1" applyBorder="1" applyAlignment="1">
      <alignment vertical="center"/>
    </xf>
    <xf numFmtId="0" fontId="23" fillId="5" borderId="0" xfId="8" applyFont="1" applyFill="1" applyAlignment="1">
      <alignment vertical="center"/>
    </xf>
    <xf numFmtId="0" fontId="25" fillId="14" borderId="0" xfId="9" applyFont="1" applyFill="1" applyAlignment="1">
      <alignment vertical="center"/>
    </xf>
    <xf numFmtId="1" fontId="25" fillId="14" borderId="0" xfId="9" applyNumberFormat="1" applyFont="1" applyFill="1" applyAlignment="1">
      <alignment vertical="center"/>
    </xf>
    <xf numFmtId="164" fontId="24" fillId="13" borderId="295" xfId="4" applyNumberFormat="1" applyFont="1" applyFill="1" applyBorder="1" applyAlignment="1">
      <alignment vertical="center"/>
    </xf>
    <xf numFmtId="1" fontId="24" fillId="12" borderId="0" xfId="4" applyNumberFormat="1" applyFont="1" applyFill="1" applyAlignment="1">
      <alignment vertical="center"/>
    </xf>
    <xf numFmtId="1" fontId="21" fillId="12" borderId="0" xfId="4" applyNumberFormat="1" applyFont="1" applyFill="1" applyAlignment="1">
      <alignment vertical="center"/>
    </xf>
    <xf numFmtId="0" fontId="22" fillId="16" borderId="400" xfId="4" applyFont="1" applyFill="1" applyBorder="1" applyAlignment="1" applyProtection="1">
      <alignment vertical="center"/>
      <protection hidden="1"/>
    </xf>
    <xf numFmtId="179" fontId="13" fillId="2054" borderId="0" xfId="4" applyNumberFormat="1" applyFont="1" applyFill="1" applyAlignment="1">
      <alignment vertical="center"/>
    </xf>
    <xf numFmtId="2" fontId="1" fillId="2061" borderId="294" xfId="47" applyNumberFormat="1" applyFill="1" applyBorder="1" applyAlignment="1" applyProtection="1">
      <alignment vertical="center"/>
      <protection locked="0"/>
    </xf>
    <xf numFmtId="168" fontId="29" fillId="5" borderId="0" xfId="4" applyNumberFormat="1" applyFont="1" applyFill="1" applyAlignment="1">
      <alignment vertical="center"/>
    </xf>
    <xf numFmtId="167" fontId="13" fillId="2039" borderId="539" xfId="4" applyNumberFormat="1" applyFont="1" applyFill="1" applyBorder="1" applyAlignment="1">
      <alignment vertical="center"/>
    </xf>
    <xf numFmtId="168" fontId="13" fillId="16" borderId="0" xfId="4" applyNumberFormat="1" applyFont="1" applyFill="1" applyAlignment="1">
      <alignment vertical="center"/>
    </xf>
    <xf numFmtId="1" fontId="14" fillId="99" borderId="4" xfId="4" applyNumberFormat="1" applyFont="1" applyFill="1" applyBorder="1" applyAlignment="1">
      <alignment vertical="center"/>
    </xf>
    <xf numFmtId="0" fontId="14" fillId="9" borderId="0" xfId="13" applyFont="1" applyFill="1" applyAlignment="1">
      <alignment horizontal="left"/>
    </xf>
    <xf numFmtId="0" fontId="114" fillId="9" borderId="1" xfId="4" applyFont="1" applyFill="1" applyBorder="1" applyAlignment="1" applyProtection="1">
      <alignment horizontal="left" vertical="center"/>
      <protection hidden="1"/>
    </xf>
    <xf numFmtId="0" fontId="14" fillId="9" borderId="1" xfId="13" applyFont="1" applyFill="1" applyBorder="1" applyAlignment="1">
      <alignment horizontal="left"/>
    </xf>
    <xf numFmtId="0" fontId="147" fillId="9" borderId="0" xfId="10" applyFont="1" applyFill="1" applyAlignment="1">
      <alignment horizontal="left" vertical="center"/>
    </xf>
    <xf numFmtId="0" fontId="60" fillId="9" borderId="404" xfId="4" applyFont="1" applyFill="1" applyBorder="1" applyAlignment="1" applyProtection="1">
      <alignment horizontal="right" vertical="center"/>
      <protection locked="0"/>
    </xf>
    <xf numFmtId="0" fontId="60" fillId="9" borderId="401" xfId="4" applyFont="1" applyFill="1" applyBorder="1" applyAlignment="1" applyProtection="1">
      <alignment horizontal="left" vertical="center"/>
      <protection locked="0"/>
    </xf>
    <xf numFmtId="0" fontId="9" fillId="37" borderId="505" xfId="1" applyFont="1" applyFill="1" applyBorder="1" applyAlignment="1">
      <alignment horizontal="center" vertical="center"/>
    </xf>
    <xf numFmtId="168" fontId="132" fillId="81" borderId="88" xfId="15" applyNumberFormat="1" applyFont="1" applyFill="1" applyBorder="1" applyAlignment="1" applyProtection="1">
      <alignment horizontal="center" vertical="center"/>
      <protection locked="0"/>
    </xf>
    <xf numFmtId="1" fontId="11" fillId="116" borderId="0" xfId="4" applyNumberFormat="1" applyFont="1" applyFill="1" applyAlignment="1" applyProtection="1">
      <alignment horizontal="center" vertical="center" wrapText="1"/>
      <protection hidden="1"/>
    </xf>
    <xf numFmtId="0" fontId="98" fillId="11" borderId="0" xfId="15" applyFont="1" applyFill="1" applyAlignment="1" applyProtection="1">
      <alignment horizontal="right" vertical="center"/>
      <protection locked="0"/>
    </xf>
    <xf numFmtId="0" fontId="17" fillId="9" borderId="0" xfId="15" applyFont="1" applyFill="1" applyAlignment="1">
      <alignment horizontal="left" vertical="center"/>
    </xf>
    <xf numFmtId="0" fontId="72" fillId="11" borderId="88" xfId="15" applyFont="1" applyFill="1" applyBorder="1" applyAlignment="1" applyProtection="1">
      <alignment horizontal="left" vertical="center"/>
      <protection locked="0"/>
    </xf>
    <xf numFmtId="164" fontId="143" fillId="73" borderId="0" xfId="4" applyNumberFormat="1" applyFont="1" applyFill="1" applyAlignment="1">
      <alignment horizontal="center" vertical="center"/>
    </xf>
    <xf numFmtId="1" fontId="17" fillId="39" borderId="0" xfId="4" applyNumberFormat="1" applyFont="1" applyFill="1" applyAlignment="1" applyProtection="1">
      <alignment vertical="center"/>
      <protection hidden="1"/>
    </xf>
    <xf numFmtId="1" fontId="11" fillId="117" borderId="0" xfId="4" applyNumberFormat="1" applyFont="1" applyFill="1" applyAlignment="1" applyProtection="1">
      <alignment vertical="center"/>
      <protection hidden="1"/>
    </xf>
    <xf numFmtId="1" fontId="11" fillId="118" borderId="0" xfId="4" applyNumberFormat="1" applyFont="1" applyFill="1" applyAlignment="1" applyProtection="1">
      <alignment vertical="center"/>
      <protection hidden="1"/>
    </xf>
    <xf numFmtId="1" fontId="11" fillId="70" borderId="0" xfId="4" applyNumberFormat="1" applyFont="1" applyFill="1" applyAlignment="1" applyProtection="1">
      <alignment vertical="center"/>
      <protection hidden="1"/>
    </xf>
    <xf numFmtId="1" fontId="17" fillId="121" borderId="0" xfId="4" applyNumberFormat="1" applyFont="1" applyFill="1" applyAlignment="1" applyProtection="1">
      <alignment vertical="center"/>
      <protection hidden="1"/>
    </xf>
    <xf numFmtId="1" fontId="95" fillId="29" borderId="0" xfId="4" applyNumberFormat="1" applyFont="1" applyFill="1" applyAlignment="1" applyProtection="1">
      <alignment vertical="center"/>
      <protection hidden="1"/>
    </xf>
    <xf numFmtId="1" fontId="11" fillId="60" borderId="0" xfId="4" applyNumberFormat="1" applyFont="1" applyFill="1" applyAlignment="1" applyProtection="1">
      <alignment vertical="center"/>
      <protection hidden="1"/>
    </xf>
    <xf numFmtId="1" fontId="17" fillId="125" borderId="0" xfId="4" applyNumberFormat="1" applyFont="1" applyFill="1" applyAlignment="1" applyProtection="1">
      <alignment vertical="center"/>
      <protection hidden="1"/>
    </xf>
    <xf numFmtId="1" fontId="17" fillId="127" borderId="0" xfId="4" applyNumberFormat="1" applyFont="1" applyFill="1" applyAlignment="1" applyProtection="1">
      <alignment vertical="center"/>
      <protection hidden="1"/>
    </xf>
    <xf numFmtId="0" fontId="698" fillId="0" borderId="0" xfId="1" applyFont="1" applyAlignment="1">
      <alignment vertical="center"/>
    </xf>
    <xf numFmtId="0" fontId="699" fillId="9" borderId="0" xfId="4" applyFont="1" applyFill="1" applyAlignment="1">
      <alignment horizontal="right" vertical="center"/>
    </xf>
    <xf numFmtId="0" fontId="699" fillId="9" borderId="39" xfId="4" applyFont="1" applyFill="1" applyBorder="1" applyAlignment="1">
      <alignment horizontal="right" vertical="center"/>
    </xf>
    <xf numFmtId="0" fontId="699" fillId="9" borderId="4" xfId="4" applyFont="1" applyFill="1" applyBorder="1" applyAlignment="1">
      <alignment horizontal="right" vertical="center"/>
    </xf>
    <xf numFmtId="0" fontId="59" fillId="5" borderId="4" xfId="4" applyFont="1" applyFill="1" applyBorder="1"/>
    <xf numFmtId="0" fontId="13" fillId="75" borderId="4" xfId="3" applyFont="1" applyFill="1" applyBorder="1"/>
    <xf numFmtId="0" fontId="13" fillId="75" borderId="4" xfId="3" applyFont="1" applyFill="1" applyBorder="1" applyAlignment="1">
      <alignment horizontal="center" vertical="center"/>
    </xf>
    <xf numFmtId="0" fontId="39" fillId="5" borderId="68" xfId="3" applyFont="1" applyFill="1" applyBorder="1" applyAlignment="1">
      <alignment horizontal="center" vertical="center"/>
    </xf>
    <xf numFmtId="0" fontId="39" fillId="5" borderId="162" xfId="3" applyFont="1" applyFill="1" applyBorder="1" applyAlignment="1">
      <alignment horizontal="center" vertical="center"/>
    </xf>
    <xf numFmtId="0" fontId="87" fillId="5" borderId="295" xfId="0" applyFont="1" applyFill="1" applyBorder="1" applyAlignment="1">
      <alignment horizontal="center" vertical="center"/>
    </xf>
    <xf numFmtId="241" fontId="3" fillId="9" borderId="0" xfId="0" applyNumberFormat="1" applyFont="1" applyFill="1" applyAlignment="1">
      <alignment horizontal="right" vertical="center"/>
    </xf>
    <xf numFmtId="4" fontId="0" fillId="7" borderId="0" xfId="0" applyNumberFormat="1" applyFill="1" applyAlignment="1">
      <alignment horizontal="left" vertical="center"/>
    </xf>
    <xf numFmtId="164" fontId="12" fillId="2063" borderId="0" xfId="2" applyNumberFormat="1" applyFont="1" applyFill="1" applyAlignment="1">
      <alignment horizontal="center" vertical="center"/>
    </xf>
    <xf numFmtId="0" fontId="640" fillId="2064" borderId="135" xfId="6" applyFont="1" applyFill="1" applyBorder="1" applyAlignment="1">
      <alignment horizontal="center" vertical="center"/>
    </xf>
    <xf numFmtId="0" fontId="639" fillId="2064" borderId="135" xfId="6" applyFont="1" applyFill="1" applyBorder="1" applyAlignment="1">
      <alignment horizontal="center" vertical="center"/>
    </xf>
    <xf numFmtId="0" fontId="700" fillId="2064" borderId="135" xfId="4" applyFont="1" applyFill="1" applyBorder="1" applyAlignment="1">
      <alignment vertical="center"/>
    </xf>
    <xf numFmtId="0" fontId="701" fillId="2064" borderId="135" xfId="4" applyFont="1" applyFill="1" applyBorder="1" applyAlignment="1">
      <alignment vertical="center"/>
    </xf>
    <xf numFmtId="0" fontId="701" fillId="2064" borderId="135" xfId="8" applyFont="1" applyFill="1" applyBorder="1" applyAlignment="1">
      <alignment vertical="center"/>
    </xf>
    <xf numFmtId="0" fontId="640" fillId="2064" borderId="135" xfId="4" applyFont="1" applyFill="1" applyBorder="1" applyAlignment="1">
      <alignment vertical="center"/>
    </xf>
    <xf numFmtId="0" fontId="701" fillId="2064" borderId="135" xfId="4" applyFont="1" applyFill="1" applyBorder="1" applyAlignment="1" applyProtection="1">
      <alignment vertical="center"/>
      <protection hidden="1"/>
    </xf>
    <xf numFmtId="0" fontId="701" fillId="2064" borderId="135" xfId="3" applyFont="1" applyFill="1" applyBorder="1" applyAlignment="1">
      <alignment vertical="center"/>
    </xf>
    <xf numFmtId="0" fontId="701" fillId="2064" borderId="135" xfId="4" applyFont="1" applyFill="1" applyBorder="1" applyAlignment="1">
      <alignment horizontal="right" vertical="center"/>
    </xf>
    <xf numFmtId="0" fontId="83" fillId="64" borderId="4" xfId="21" applyFont="1" applyFill="1" applyBorder="1" applyAlignment="1">
      <alignment horizontal="right" vertical="center"/>
    </xf>
    <xf numFmtId="0" fontId="22" fillId="9" borderId="400" xfId="4" applyFont="1" applyFill="1" applyBorder="1" applyAlignment="1" applyProtection="1">
      <alignment vertical="center"/>
      <protection hidden="1"/>
    </xf>
    <xf numFmtId="0" fontId="9" fillId="2" borderId="1" xfId="4" quotePrefix="1" applyFont="1" applyFill="1" applyBorder="1" applyAlignment="1">
      <alignment horizontal="center" vertical="center"/>
    </xf>
    <xf numFmtId="0" fontId="17" fillId="9" borderId="0" xfId="1" applyFont="1" applyFill="1" applyAlignment="1">
      <alignment horizontal="left"/>
    </xf>
    <xf numFmtId="0" fontId="232" fillId="9" borderId="0" xfId="1" applyFont="1" applyFill="1" applyAlignment="1">
      <alignment vertical="center"/>
    </xf>
    <xf numFmtId="0" fontId="4" fillId="9" borderId="0" xfId="0" applyFont="1" applyFill="1" applyAlignment="1">
      <alignment horizontal="left" vertical="center" indent="2"/>
    </xf>
    <xf numFmtId="0" fontId="45" fillId="9" borderId="0" xfId="0" applyFont="1" applyFill="1"/>
    <xf numFmtId="0" fontId="0" fillId="9" borderId="0" xfId="0" applyFill="1" applyAlignment="1">
      <alignment horizontal="left" vertical="center" indent="2"/>
    </xf>
    <xf numFmtId="0" fontId="13" fillId="9" borderId="0" xfId="3" applyFont="1" applyFill="1" applyAlignment="1">
      <alignment horizontal="left" vertical="center"/>
    </xf>
    <xf numFmtId="0" fontId="63" fillId="9" borderId="0" xfId="0" applyFont="1" applyFill="1" applyAlignment="1">
      <alignment horizontal="left" vertical="center" indent="1"/>
    </xf>
    <xf numFmtId="2" fontId="125" fillId="73" borderId="0" xfId="4" applyNumberFormat="1" applyFont="1" applyFill="1" applyAlignment="1" applyProtection="1">
      <alignment horizontal="center" vertical="center"/>
      <protection hidden="1"/>
    </xf>
    <xf numFmtId="182" fontId="13" fillId="5" borderId="0" xfId="4" applyNumberFormat="1" applyFont="1" applyFill="1" applyAlignment="1">
      <alignment horizontal="center" vertical="center"/>
    </xf>
    <xf numFmtId="164" fontId="59" fillId="53" borderId="4" xfId="0" applyNumberFormat="1" applyFont="1" applyFill="1" applyBorder="1" applyAlignment="1">
      <alignment horizontal="center" vertical="center"/>
    </xf>
    <xf numFmtId="2" fontId="45" fillId="2059" borderId="9" xfId="4" applyNumberFormat="1" applyFont="1" applyFill="1" applyBorder="1" applyAlignment="1" applyProtection="1">
      <alignment horizontal="center" vertical="center"/>
      <protection hidden="1"/>
    </xf>
    <xf numFmtId="0" fontId="223" fillId="5" borderId="0" xfId="4" applyFont="1" applyFill="1" applyAlignment="1">
      <alignment horizontal="right" vertical="center"/>
    </xf>
    <xf numFmtId="0" fontId="702" fillId="2040" borderId="9" xfId="4" applyFont="1" applyFill="1" applyBorder="1" applyAlignment="1">
      <alignment horizontal="right" vertical="center"/>
    </xf>
    <xf numFmtId="0" fontId="702" fillId="75" borderId="9" xfId="4" applyFont="1" applyFill="1" applyBorder="1" applyAlignment="1">
      <alignment horizontal="right" vertical="center"/>
    </xf>
    <xf numFmtId="164" fontId="45" fillId="2059" borderId="543" xfId="4" applyNumberFormat="1" applyFont="1" applyFill="1" applyBorder="1" applyAlignment="1" applyProtection="1">
      <alignment horizontal="center" vertical="center"/>
      <protection hidden="1"/>
    </xf>
    <xf numFmtId="0" fontId="138" fillId="60" borderId="0" xfId="0" applyFont="1" applyFill="1" applyAlignment="1">
      <alignment horizontal="center" vertical="center"/>
    </xf>
    <xf numFmtId="0" fontId="3" fillId="7" borderId="162" xfId="2" applyFont="1" applyFill="1" applyBorder="1" applyAlignment="1">
      <alignment vertical="center" wrapText="1"/>
    </xf>
    <xf numFmtId="0" fontId="3" fillId="7" borderId="162" xfId="2" applyFont="1" applyFill="1" applyBorder="1" applyAlignment="1">
      <alignment vertical="center"/>
    </xf>
    <xf numFmtId="168" fontId="68" fillId="2040" borderId="0" xfId="3" applyNumberFormat="1" applyFont="1" applyFill="1" applyAlignment="1">
      <alignment horizontal="center" vertical="center"/>
    </xf>
    <xf numFmtId="0" fontId="76" fillId="75" borderId="0" xfId="19" applyFont="1" applyFill="1" applyAlignment="1">
      <alignment horizontal="center" wrapText="1"/>
    </xf>
    <xf numFmtId="0" fontId="251" fillId="0" borderId="0" xfId="4" applyFont="1" applyAlignment="1">
      <alignment horizontal="left" vertical="center"/>
    </xf>
    <xf numFmtId="0" fontId="9" fillId="37" borderId="6" xfId="1" applyFont="1" applyFill="1" applyBorder="1" applyAlignment="1">
      <alignment horizontal="left" vertical="center"/>
    </xf>
    <xf numFmtId="0" fontId="251" fillId="0" borderId="0" xfId="4" applyFont="1" applyAlignment="1">
      <alignment vertical="center"/>
    </xf>
    <xf numFmtId="243" fontId="59" fillId="2055" borderId="419" xfId="4" applyNumberFormat="1" applyFont="1" applyFill="1" applyBorder="1" applyAlignment="1">
      <alignment horizontal="center" vertical="center"/>
    </xf>
    <xf numFmtId="0" fontId="10" fillId="9" borderId="403" xfId="2" applyFont="1" applyFill="1" applyBorder="1" applyAlignment="1">
      <alignment horizontal="center" vertical="center"/>
    </xf>
    <xf numFmtId="0" fontId="6" fillId="2065" borderId="22" xfId="4" applyFont="1" applyFill="1" applyBorder="1" applyAlignment="1">
      <alignment horizontal="center" vertical="center"/>
    </xf>
    <xf numFmtId="0" fontId="6" fillId="2065" borderId="22" xfId="4" applyFont="1" applyFill="1" applyBorder="1" applyAlignment="1">
      <alignment horizontal="left" vertical="center"/>
    </xf>
    <xf numFmtId="243" fontId="59" fillId="2055" borderId="76" xfId="4" applyNumberFormat="1" applyFont="1" applyFill="1" applyBorder="1" applyAlignment="1">
      <alignment horizontal="center" vertical="center"/>
    </xf>
    <xf numFmtId="0" fontId="127" fillId="81" borderId="88" xfId="15" applyFont="1" applyFill="1" applyBorder="1" applyAlignment="1" applyProtection="1">
      <alignment horizontal="right" vertical="center"/>
      <protection locked="0"/>
    </xf>
    <xf numFmtId="0" fontId="127" fillId="81" borderId="0" xfId="15" applyFont="1" applyFill="1" applyAlignment="1" applyProtection="1">
      <alignment horizontal="right" vertical="center"/>
      <protection locked="0"/>
    </xf>
    <xf numFmtId="0" fontId="56" fillId="16" borderId="7" xfId="15" applyFont="1" applyFill="1" applyBorder="1" applyAlignment="1" applyProtection="1">
      <alignment horizontal="center" vertical="center" wrapText="1"/>
      <protection locked="0"/>
    </xf>
    <xf numFmtId="0" fontId="56" fillId="16" borderId="0" xfId="15" applyFont="1" applyFill="1" applyAlignment="1" applyProtection="1">
      <alignment horizontal="center" vertical="center" wrapText="1"/>
      <protection locked="0"/>
    </xf>
    <xf numFmtId="0" fontId="56" fillId="16" borderId="4" xfId="15" applyFont="1" applyFill="1" applyBorder="1" applyAlignment="1" applyProtection="1">
      <alignment horizontal="center" vertical="center" wrapText="1"/>
      <protection locked="0"/>
    </xf>
    <xf numFmtId="0" fontId="56" fillId="16" borderId="540" xfId="15" applyFont="1" applyFill="1" applyBorder="1" applyAlignment="1" applyProtection="1">
      <alignment horizontal="center" vertical="center" wrapText="1"/>
      <protection locked="0"/>
    </xf>
    <xf numFmtId="0" fontId="56" fillId="16" borderId="541" xfId="15" applyFont="1" applyFill="1" applyBorder="1" applyAlignment="1" applyProtection="1">
      <alignment horizontal="center" vertical="center" wrapText="1"/>
      <protection locked="0"/>
    </xf>
    <xf numFmtId="0" fontId="56" fillId="16" borderId="342" xfId="15" applyFont="1" applyFill="1" applyBorder="1" applyAlignment="1" applyProtection="1">
      <alignment horizontal="center" vertical="center" wrapText="1"/>
      <protection locked="0"/>
    </xf>
    <xf numFmtId="0" fontId="46" fillId="2040" borderId="7" xfId="0" applyFont="1" applyFill="1" applyBorder="1" applyAlignment="1">
      <alignment horizontal="center" vertical="center" wrapText="1"/>
    </xf>
    <xf numFmtId="0" fontId="46" fillId="2040" borderId="0" xfId="0" applyFont="1" applyFill="1" applyAlignment="1">
      <alignment horizontal="center" vertical="center" wrapText="1"/>
    </xf>
    <xf numFmtId="0" fontId="46" fillId="2040" borderId="4" xfId="0" applyFont="1" applyFill="1" applyBorder="1" applyAlignment="1">
      <alignment horizontal="center" vertical="center" wrapText="1"/>
    </xf>
    <xf numFmtId="0" fontId="46" fillId="2040" borderId="421" xfId="0" applyFont="1" applyFill="1" applyBorder="1" applyAlignment="1">
      <alignment horizontal="center" vertical="center" wrapText="1"/>
    </xf>
    <xf numFmtId="0" fontId="46" fillId="2040" borderId="415" xfId="0" applyFont="1" applyFill="1" applyBorder="1" applyAlignment="1">
      <alignment horizontal="center" vertical="center" wrapText="1"/>
    </xf>
    <xf numFmtId="0" fontId="46" fillId="2040" borderId="484" xfId="0" applyFont="1" applyFill="1" applyBorder="1" applyAlignment="1">
      <alignment horizontal="center" vertical="center" wrapText="1"/>
    </xf>
    <xf numFmtId="0" fontId="646" fillId="5" borderId="0" xfId="4" applyFont="1" applyFill="1" applyAlignment="1">
      <alignment horizontal="center" vertical="center" wrapText="1"/>
    </xf>
    <xf numFmtId="0" fontId="646" fillId="5" borderId="59" xfId="4" applyFont="1" applyFill="1" applyBorder="1" applyAlignment="1">
      <alignment horizontal="center" vertical="center" wrapText="1"/>
    </xf>
    <xf numFmtId="0" fontId="59" fillId="9" borderId="0" xfId="4" applyFont="1" applyFill="1" applyAlignment="1">
      <alignment horizontal="center" vertical="center" wrapText="1"/>
    </xf>
    <xf numFmtId="0" fontId="59" fillId="9" borderId="59" xfId="4" applyFont="1" applyFill="1" applyBorder="1" applyAlignment="1">
      <alignment horizontal="center" vertical="center" wrapText="1"/>
    </xf>
    <xf numFmtId="0" fontId="59" fillId="16" borderId="0" xfId="4" applyFont="1" applyFill="1" applyAlignment="1">
      <alignment horizontal="center" vertical="center" wrapText="1"/>
    </xf>
    <xf numFmtId="0" fontId="59" fillId="16" borderId="59" xfId="4" applyFont="1" applyFill="1" applyBorder="1" applyAlignment="1">
      <alignment horizontal="center" vertical="center" wrapText="1"/>
    </xf>
    <xf numFmtId="0" fontId="59" fillId="9" borderId="4" xfId="4" applyFont="1" applyFill="1" applyBorder="1" applyAlignment="1">
      <alignment horizontal="center" vertical="center" wrapText="1"/>
    </xf>
    <xf numFmtId="0" fontId="59" fillId="9" borderId="404" xfId="4" applyFont="1" applyFill="1" applyBorder="1" applyAlignment="1">
      <alignment horizontal="center" vertical="center" wrapText="1"/>
    </xf>
    <xf numFmtId="0" fontId="56" fillId="5" borderId="452" xfId="4" applyFont="1" applyFill="1" applyBorder="1" applyAlignment="1">
      <alignment horizontal="center" vertical="center"/>
    </xf>
    <xf numFmtId="0" fontId="56" fillId="5" borderId="32" xfId="4" applyFont="1" applyFill="1" applyBorder="1" applyAlignment="1">
      <alignment horizontal="center" vertical="center"/>
    </xf>
    <xf numFmtId="0" fontId="56" fillId="5" borderId="462" xfId="4" applyFont="1" applyFill="1" applyBorder="1" applyAlignment="1">
      <alignment horizontal="center" vertical="center"/>
    </xf>
    <xf numFmtId="0" fontId="76" fillId="81" borderId="0" xfId="15" applyFont="1" applyFill="1" applyAlignment="1" applyProtection="1">
      <alignment horizontal="center" vertical="center"/>
      <protection locked="0"/>
    </xf>
    <xf numFmtId="0" fontId="76" fillId="81" borderId="4" xfId="15" applyFont="1" applyFill="1" applyBorder="1" applyAlignment="1" applyProtection="1">
      <alignment horizontal="center" vertical="center"/>
      <protection locked="0"/>
    </xf>
    <xf numFmtId="0" fontId="87" fillId="9" borderId="0" xfId="3" applyFont="1" applyFill="1" applyAlignment="1">
      <alignment horizontal="left" vertical="top" wrapText="1"/>
    </xf>
    <xf numFmtId="241" fontId="3" fillId="9" borderId="59" xfId="0" applyNumberFormat="1" applyFont="1" applyFill="1" applyBorder="1" applyAlignment="1">
      <alignment horizontal="left" vertical="center"/>
    </xf>
    <xf numFmtId="0" fontId="10" fillId="5" borderId="378" xfId="0" applyFont="1" applyFill="1" applyBorder="1" applyAlignment="1">
      <alignment horizontal="center" vertical="center"/>
    </xf>
    <xf numFmtId="0" fontId="59" fillId="14" borderId="0" xfId="4" applyFont="1" applyFill="1" applyAlignment="1" applyProtection="1">
      <alignment horizontal="center" vertical="center" wrapText="1"/>
      <protection locked="0"/>
    </xf>
    <xf numFmtId="0" fontId="59" fillId="14" borderId="59" xfId="4" applyFont="1" applyFill="1" applyBorder="1" applyAlignment="1" applyProtection="1">
      <alignment horizontal="center" vertical="center" wrapText="1"/>
      <protection locked="0"/>
    </xf>
    <xf numFmtId="0" fontId="59" fillId="14" borderId="294" xfId="4" applyFont="1" applyFill="1" applyBorder="1" applyAlignment="1">
      <alignment horizontal="center" vertical="center" wrapText="1"/>
    </xf>
    <xf numFmtId="0" fontId="59" fillId="14" borderId="402" xfId="4" applyFont="1" applyFill="1" applyBorder="1" applyAlignment="1">
      <alignment horizontal="center" vertical="center" wrapText="1"/>
    </xf>
    <xf numFmtId="0" fontId="639" fillId="12" borderId="400" xfId="4" applyFont="1" applyFill="1" applyBorder="1" applyAlignment="1" applyProtection="1">
      <alignment horizontal="center" vertical="center" wrapText="1"/>
      <protection hidden="1"/>
    </xf>
    <xf numFmtId="0" fontId="639" fillId="12" borderId="403" xfId="4" applyFont="1" applyFill="1" applyBorder="1" applyAlignment="1" applyProtection="1">
      <alignment horizontal="center" vertical="center" wrapText="1"/>
      <protection hidden="1"/>
    </xf>
    <xf numFmtId="0" fontId="119" fillId="9" borderId="0" xfId="0" applyFont="1" applyFill="1" applyAlignment="1">
      <alignment horizontal="left" vertical="center" wrapText="1"/>
    </xf>
    <xf numFmtId="0" fontId="489" fillId="39" borderId="40" xfId="4" applyFont="1" applyFill="1" applyBorder="1" applyAlignment="1">
      <alignment horizontal="center" vertical="center" wrapText="1"/>
    </xf>
    <xf numFmtId="0" fontId="489" fillId="39" borderId="0" xfId="4" applyFont="1" applyFill="1" applyAlignment="1">
      <alignment horizontal="center" vertical="center" wrapText="1"/>
    </xf>
    <xf numFmtId="1" fontId="56" fillId="12" borderId="40" xfId="4" applyNumberFormat="1" applyFont="1" applyFill="1" applyBorder="1" applyAlignment="1" applyProtection="1">
      <alignment horizontal="center" vertical="center" wrapText="1"/>
      <protection hidden="1"/>
    </xf>
    <xf numFmtId="1" fontId="56" fillId="12" borderId="0" xfId="4" applyNumberFormat="1" applyFont="1" applyFill="1" applyAlignment="1" applyProtection="1">
      <alignment horizontal="center" vertical="center" wrapText="1"/>
      <protection hidden="1"/>
    </xf>
    <xf numFmtId="0" fontId="615" fillId="39" borderId="39" xfId="1" applyFont="1" applyFill="1" applyBorder="1" applyAlignment="1">
      <alignment horizontal="center" vertical="center" wrapText="1"/>
    </xf>
    <xf numFmtId="0" fontId="615" fillId="39" borderId="4" xfId="1" applyFont="1" applyFill="1" applyBorder="1" applyAlignment="1">
      <alignment horizontal="center" vertical="center" wrapText="1"/>
    </xf>
    <xf numFmtId="0" fontId="1" fillId="75" borderId="41" xfId="1" applyFill="1" applyBorder="1" applyAlignment="1">
      <alignment horizontal="center" vertical="center" wrapText="1"/>
    </xf>
    <xf numFmtId="0" fontId="1" fillId="75" borderId="40" xfId="1" applyFill="1" applyBorder="1" applyAlignment="1">
      <alignment horizontal="center" vertical="center" wrapText="1"/>
    </xf>
    <xf numFmtId="0" fontId="1" fillId="75" borderId="39" xfId="1" applyFill="1" applyBorder="1" applyAlignment="1">
      <alignment horizontal="center" vertical="center" wrapText="1"/>
    </xf>
    <xf numFmtId="0" fontId="1" fillId="75" borderId="432" xfId="1" applyFill="1" applyBorder="1" applyAlignment="1">
      <alignment horizontal="center" vertical="center" wrapText="1"/>
    </xf>
    <xf numFmtId="0" fontId="1" fillId="75" borderId="59" xfId="1" applyFill="1" applyBorder="1" applyAlignment="1">
      <alignment horizontal="center" vertical="center" wrapText="1"/>
    </xf>
    <xf numFmtId="0" fontId="1" fillId="75" borderId="404" xfId="1" applyFill="1" applyBorder="1" applyAlignment="1">
      <alignment horizontal="center" vertical="center" wrapText="1"/>
    </xf>
    <xf numFmtId="0" fontId="104" fillId="12" borderId="403" xfId="4" applyFont="1" applyFill="1" applyBorder="1" applyAlignment="1" applyProtection="1">
      <alignment horizontal="center" vertical="center" wrapText="1"/>
      <protection hidden="1"/>
    </xf>
    <xf numFmtId="0" fontId="1" fillId="9" borderId="0" xfId="1" applyFill="1" applyAlignment="1">
      <alignment horizontal="left" vertical="center" wrapText="1"/>
    </xf>
    <xf numFmtId="0" fontId="1" fillId="0" borderId="0" xfId="1" applyAlignment="1">
      <alignment horizontal="center" vertical="center" wrapText="1"/>
    </xf>
    <xf numFmtId="0" fontId="143" fillId="28" borderId="0" xfId="3" applyFont="1" applyFill="1" applyAlignment="1">
      <alignment horizontal="center" vertical="center" wrapText="1"/>
    </xf>
    <xf numFmtId="0" fontId="13" fillId="28" borderId="2" xfId="4" applyFont="1" applyFill="1" applyBorder="1" applyAlignment="1">
      <alignment horizontal="left" vertical="center" wrapText="1"/>
    </xf>
    <xf numFmtId="0" fontId="13" fillId="28" borderId="0" xfId="4" applyFont="1" applyFill="1" applyAlignment="1">
      <alignment horizontal="left" vertical="center" wrapText="1"/>
    </xf>
    <xf numFmtId="0" fontId="13" fillId="28" borderId="4" xfId="4" applyFont="1" applyFill="1" applyBorder="1" applyAlignment="1">
      <alignment horizontal="left" vertical="center" wrapText="1"/>
    </xf>
    <xf numFmtId="0" fontId="676" fillId="28" borderId="0" xfId="3" applyFont="1" applyFill="1" applyAlignment="1">
      <alignment horizontal="center" vertical="center" wrapText="1"/>
    </xf>
    <xf numFmtId="0" fontId="127" fillId="28" borderId="0" xfId="6" applyFont="1" applyFill="1" applyAlignment="1">
      <alignment horizontal="center" vertical="center" wrapText="1"/>
    </xf>
    <xf numFmtId="0" fontId="138" fillId="64" borderId="2" xfId="4" applyFont="1" applyFill="1" applyBorder="1" applyAlignment="1" applyProtection="1">
      <alignment horizontal="left" vertical="center" wrapText="1"/>
      <protection hidden="1"/>
    </xf>
    <xf numFmtId="0" fontId="138" fillId="64" borderId="0" xfId="4" applyFont="1" applyFill="1" applyAlignment="1" applyProtection="1">
      <alignment horizontal="left" vertical="center" wrapText="1"/>
      <protection hidden="1"/>
    </xf>
    <xf numFmtId="0" fontId="138" fillId="64" borderId="4" xfId="4" applyFont="1" applyFill="1" applyBorder="1" applyAlignment="1" applyProtection="1">
      <alignment horizontal="left" vertical="center" wrapText="1"/>
      <protection hidden="1"/>
    </xf>
    <xf numFmtId="1" fontId="56" fillId="28" borderId="40" xfId="4" applyNumberFormat="1" applyFont="1" applyFill="1" applyBorder="1" applyAlignment="1" applyProtection="1">
      <alignment horizontal="center" vertical="center" wrapText="1"/>
      <protection hidden="1"/>
    </xf>
    <xf numFmtId="1" fontId="56" fillId="28" borderId="0" xfId="4" applyNumberFormat="1" applyFont="1" applyFill="1" applyAlignment="1" applyProtection="1">
      <alignment horizontal="center" vertical="center" wrapText="1"/>
      <protection hidden="1"/>
    </xf>
    <xf numFmtId="0" fontId="136" fillId="28" borderId="0" xfId="3" applyFont="1" applyFill="1" applyAlignment="1">
      <alignment horizontal="center" vertical="center" wrapText="1"/>
    </xf>
    <xf numFmtId="0" fontId="96" fillId="28" borderId="0" xfId="17" applyFont="1" applyFill="1" applyAlignment="1">
      <alignment horizontal="left" vertical="center" wrapText="1"/>
    </xf>
    <xf numFmtId="0" fontId="56" fillId="28" borderId="0" xfId="17" applyFont="1" applyFill="1" applyAlignment="1">
      <alignment horizontal="left" vertical="center" wrapText="1"/>
    </xf>
    <xf numFmtId="0" fontId="73" fillId="28" borderId="0" xfId="17" applyFont="1" applyFill="1" applyAlignment="1">
      <alignment horizontal="left" vertical="center" wrapText="1"/>
    </xf>
    <xf numFmtId="0" fontId="69" fillId="60" borderId="2" xfId="4" applyFont="1" applyFill="1" applyBorder="1" applyAlignment="1">
      <alignment horizontal="center" vertical="center"/>
    </xf>
    <xf numFmtId="0" fontId="69" fillId="60" borderId="0" xfId="4" applyFont="1" applyFill="1" applyAlignment="1">
      <alignment horizontal="center" vertical="center"/>
    </xf>
    <xf numFmtId="0" fontId="69" fillId="60" borderId="4" xfId="4" applyFont="1" applyFill="1" applyBorder="1" applyAlignment="1">
      <alignment horizontal="center" vertical="center"/>
    </xf>
    <xf numFmtId="0" fontId="620" fillId="9" borderId="69" xfId="0" applyFont="1" applyFill="1" applyBorder="1" applyAlignment="1">
      <alignment horizontal="center" vertical="center"/>
    </xf>
    <xf numFmtId="0" fontId="620" fillId="9" borderId="492" xfId="0" applyFont="1" applyFill="1" applyBorder="1" applyAlignment="1">
      <alignment horizontal="center" vertical="center"/>
    </xf>
    <xf numFmtId="0" fontId="39" fillId="9" borderId="68" xfId="0" applyFont="1" applyFill="1" applyBorder="1" applyAlignment="1">
      <alignment horizontal="center" vertical="center"/>
    </xf>
    <xf numFmtId="0" fontId="39" fillId="9" borderId="162" xfId="0" applyFont="1" applyFill="1" applyBorder="1" applyAlignment="1">
      <alignment horizontal="center" vertical="center"/>
    </xf>
    <xf numFmtId="0" fontId="39" fillId="9" borderId="67" xfId="0" applyFont="1" applyFill="1" applyBorder="1" applyAlignment="1">
      <alignment horizontal="center" vertical="center"/>
    </xf>
    <xf numFmtId="0" fontId="39" fillId="9" borderId="493" xfId="0" applyFont="1" applyFill="1" applyBorder="1" applyAlignment="1">
      <alignment horizontal="center" vertical="center"/>
    </xf>
    <xf numFmtId="0" fontId="703" fillId="28" borderId="2" xfId="1" applyFont="1" applyFill="1" applyBorder="1" applyAlignment="1">
      <alignment horizontal="left" vertical="center" wrapText="1"/>
    </xf>
    <xf numFmtId="0" fontId="703" fillId="28" borderId="0" xfId="1" applyFont="1" applyFill="1" applyAlignment="1">
      <alignment horizontal="left" vertical="center" wrapText="1"/>
    </xf>
    <xf numFmtId="0" fontId="703" fillId="28" borderId="4" xfId="1" applyFont="1" applyFill="1" applyBorder="1" applyAlignment="1">
      <alignment horizontal="left" vertical="center" wrapText="1"/>
    </xf>
    <xf numFmtId="0" fontId="13" fillId="17" borderId="68" xfId="4" applyFont="1" applyFill="1" applyBorder="1" applyAlignment="1">
      <alignment horizontal="center" vertical="center"/>
    </xf>
    <xf numFmtId="0" fontId="13" fillId="17" borderId="162" xfId="4" applyFont="1" applyFill="1" applyBorder="1" applyAlignment="1">
      <alignment horizontal="center" vertical="center"/>
    </xf>
    <xf numFmtId="0" fontId="13" fillId="17" borderId="68" xfId="4" applyFont="1" applyFill="1" applyBorder="1" applyAlignment="1">
      <alignment horizontal="center" vertical="center" wrapText="1"/>
    </xf>
    <xf numFmtId="0" fontId="13" fillId="17" borderId="162" xfId="4" applyFont="1" applyFill="1" applyBorder="1" applyAlignment="1">
      <alignment horizontal="center" vertical="center" wrapText="1"/>
    </xf>
    <xf numFmtId="182" fontId="621" fillId="9" borderId="70" xfId="7" applyNumberFormat="1" applyFont="1" applyFill="1" applyBorder="1" applyAlignment="1">
      <alignment horizontal="center" vertical="center" wrapText="1"/>
    </xf>
    <xf numFmtId="182" fontId="621" fillId="9" borderId="490" xfId="7" applyNumberFormat="1" applyFont="1" applyFill="1" applyBorder="1" applyAlignment="1">
      <alignment horizontal="center" vertical="center" wrapText="1"/>
    </xf>
    <xf numFmtId="0" fontId="10" fillId="9" borderId="485" xfId="4" applyFont="1" applyFill="1" applyBorder="1" applyAlignment="1">
      <alignment horizontal="center" vertical="center"/>
    </xf>
    <xf numFmtId="0" fontId="10" fillId="9" borderId="68" xfId="4" applyFont="1" applyFill="1" applyBorder="1" applyAlignment="1">
      <alignment horizontal="center" vertical="center"/>
    </xf>
    <xf numFmtId="0" fontId="10" fillId="9" borderId="491" xfId="4" applyFont="1" applyFill="1" applyBorder="1" applyAlignment="1">
      <alignment horizontal="center" vertical="center"/>
    </xf>
    <xf numFmtId="0" fontId="10" fillId="9" borderId="162" xfId="4" applyFont="1" applyFill="1" applyBorder="1" applyAlignment="1">
      <alignment horizontal="center" vertical="center"/>
    </xf>
    <xf numFmtId="0" fontId="13" fillId="9" borderId="68" xfId="4" applyFont="1" applyFill="1" applyBorder="1" applyAlignment="1">
      <alignment horizontal="center" vertical="center" wrapText="1"/>
    </xf>
    <xf numFmtId="0" fontId="13" fillId="9" borderId="162" xfId="4" applyFont="1" applyFill="1" applyBorder="1" applyAlignment="1">
      <alignment horizontal="center" vertical="center" wrapText="1"/>
    </xf>
    <xf numFmtId="0" fontId="59" fillId="9" borderId="68" xfId="4" applyFont="1" applyFill="1" applyBorder="1" applyAlignment="1">
      <alignment horizontal="center" vertical="center" wrapText="1"/>
    </xf>
    <xf numFmtId="0" fontId="59" fillId="9" borderId="162" xfId="4" applyFont="1" applyFill="1" applyBorder="1" applyAlignment="1">
      <alignment horizontal="center" vertical="center" wrapText="1"/>
    </xf>
    <xf numFmtId="0" fontId="59" fillId="16" borderId="6" xfId="4" applyFont="1" applyFill="1" applyBorder="1" applyAlignment="1">
      <alignment horizontal="center" vertical="center" wrapText="1"/>
    </xf>
    <xf numFmtId="0" fontId="59" fillId="9" borderId="330" xfId="4" applyFont="1" applyFill="1" applyBorder="1" applyAlignment="1">
      <alignment horizontal="center" vertical="center" wrapText="1"/>
    </xf>
    <xf numFmtId="0" fontId="39" fillId="5" borderId="495" xfId="3" applyFont="1" applyFill="1" applyBorder="1" applyAlignment="1">
      <alignment horizontal="center" vertical="center"/>
    </xf>
    <xf numFmtId="0" fontId="39" fillId="5" borderId="68" xfId="3" applyFont="1" applyFill="1" applyBorder="1" applyAlignment="1">
      <alignment horizontal="center" vertical="center"/>
    </xf>
    <xf numFmtId="0" fontId="39" fillId="5" borderId="532" xfId="3" applyFont="1" applyFill="1" applyBorder="1" applyAlignment="1">
      <alignment horizontal="center" vertical="center"/>
    </xf>
    <xf numFmtId="0" fontId="39" fillId="5" borderId="537" xfId="3" applyFont="1" applyFill="1" applyBorder="1" applyAlignment="1">
      <alignment horizontal="center" vertical="center"/>
    </xf>
    <xf numFmtId="0" fontId="39" fillId="5" borderId="56" xfId="3" applyFont="1" applyFill="1" applyBorder="1" applyAlignment="1">
      <alignment horizontal="center" vertical="center"/>
    </xf>
    <xf numFmtId="0" fontId="39" fillId="5" borderId="538" xfId="3" applyFont="1" applyFill="1" applyBorder="1" applyAlignment="1">
      <alignment horizontal="center" vertical="center"/>
    </xf>
    <xf numFmtId="0" fontId="103" fillId="5" borderId="495" xfId="4" applyFont="1" applyFill="1" applyBorder="1" applyAlignment="1">
      <alignment horizontal="center" vertical="center" wrapText="1"/>
    </xf>
    <xf numFmtId="0" fontId="103" fillId="5" borderId="68" xfId="4" applyFont="1" applyFill="1" applyBorder="1" applyAlignment="1">
      <alignment horizontal="center" vertical="center" wrapText="1"/>
    </xf>
    <xf numFmtId="0" fontId="103" fillId="5" borderId="487" xfId="4" applyFont="1" applyFill="1" applyBorder="1" applyAlignment="1">
      <alignment horizontal="center" vertical="center" wrapText="1"/>
    </xf>
    <xf numFmtId="0" fontId="103" fillId="5" borderId="496" xfId="4" applyFont="1" applyFill="1" applyBorder="1" applyAlignment="1">
      <alignment horizontal="center" vertical="center" wrapText="1"/>
    </xf>
    <xf numFmtId="0" fontId="103" fillId="5" borderId="162" xfId="4" applyFont="1" applyFill="1" applyBorder="1" applyAlignment="1">
      <alignment horizontal="center" vertical="center" wrapText="1"/>
    </xf>
    <xf numFmtId="0" fontId="103" fillId="5" borderId="488" xfId="4" applyFont="1" applyFill="1" applyBorder="1" applyAlignment="1">
      <alignment horizontal="center" vertical="center" wrapText="1"/>
    </xf>
    <xf numFmtId="0" fontId="13" fillId="5" borderId="73" xfId="2" applyFont="1" applyFill="1" applyBorder="1" applyAlignment="1">
      <alignment horizontal="center" vertical="center"/>
    </xf>
    <xf numFmtId="0" fontId="13" fillId="5" borderId="68" xfId="2" applyFont="1" applyFill="1" applyBorder="1" applyAlignment="1">
      <alignment horizontal="center" vertical="center"/>
    </xf>
    <xf numFmtId="0" fontId="13" fillId="5" borderId="489" xfId="2" applyFont="1" applyFill="1" applyBorder="1" applyAlignment="1">
      <alignment horizontal="center" vertical="center"/>
    </xf>
    <xf numFmtId="0" fontId="13" fillId="5" borderId="162" xfId="2" applyFont="1" applyFill="1" applyBorder="1" applyAlignment="1">
      <alignment horizontal="center" vertical="center"/>
    </xf>
    <xf numFmtId="0" fontId="3" fillId="7" borderId="68" xfId="2" applyFont="1" applyFill="1" applyBorder="1" applyAlignment="1">
      <alignment horizontal="center" vertical="center" wrapText="1"/>
    </xf>
    <xf numFmtId="0" fontId="59" fillId="14" borderId="6" xfId="4" applyFont="1" applyFill="1" applyBorder="1" applyAlignment="1" applyProtection="1">
      <alignment horizontal="center" vertical="center" wrapText="1"/>
      <protection locked="0"/>
    </xf>
    <xf numFmtId="0" fontId="59" fillId="14" borderId="76" xfId="4" applyFont="1" applyFill="1" applyBorder="1" applyAlignment="1">
      <alignment horizontal="center" vertical="center" wrapText="1"/>
    </xf>
    <xf numFmtId="0" fontId="639" fillId="12" borderId="419" xfId="4" applyFont="1" applyFill="1" applyBorder="1" applyAlignment="1" applyProtection="1">
      <alignment horizontal="center" vertical="center" wrapText="1"/>
      <protection hidden="1"/>
    </xf>
    <xf numFmtId="0" fontId="646" fillId="5" borderId="501" xfId="4" applyFont="1" applyFill="1" applyBorder="1" applyAlignment="1">
      <alignment horizontal="center" vertical="center" wrapText="1"/>
    </xf>
    <xf numFmtId="0" fontId="646" fillId="5" borderId="401" xfId="4" applyFont="1" applyFill="1" applyBorder="1" applyAlignment="1">
      <alignment horizontal="center" vertical="center" wrapText="1"/>
    </xf>
    <xf numFmtId="0" fontId="59" fillId="9" borderId="6" xfId="4" applyFont="1" applyFill="1" applyBorder="1" applyAlignment="1">
      <alignment horizontal="center" vertical="center" wrapText="1"/>
    </xf>
    <xf numFmtId="0" fontId="39" fillId="5" borderId="533" xfId="3" applyFont="1" applyFill="1" applyBorder="1" applyAlignment="1">
      <alignment horizontal="center" vertical="center"/>
    </xf>
    <xf numFmtId="0" fontId="67" fillId="7" borderId="68" xfId="2" applyFont="1" applyFill="1" applyBorder="1" applyAlignment="1">
      <alignment horizontal="center" vertical="center" wrapText="1"/>
    </xf>
    <xf numFmtId="0" fontId="67" fillId="7" borderId="162" xfId="2" applyFont="1" applyFill="1" applyBorder="1" applyAlignment="1">
      <alignment horizontal="center" vertical="center" wrapText="1"/>
    </xf>
    <xf numFmtId="0" fontId="59" fillId="17" borderId="68" xfId="4" applyFont="1" applyFill="1" applyBorder="1" applyAlignment="1">
      <alignment horizontal="center" vertical="center" wrapText="1"/>
    </xf>
    <xf numFmtId="0" fontId="59" fillId="17" borderId="162" xfId="4" applyFont="1" applyFill="1" applyBorder="1" applyAlignment="1">
      <alignment horizontal="center" vertical="center" wrapText="1"/>
    </xf>
    <xf numFmtId="0" fontId="39" fillId="5" borderId="496" xfId="3" applyFont="1" applyFill="1" applyBorder="1" applyAlignment="1">
      <alignment horizontal="center" vertical="center"/>
    </xf>
    <xf numFmtId="0" fontId="383" fillId="2046" borderId="2" xfId="4" applyFont="1" applyFill="1" applyBorder="1" applyAlignment="1">
      <alignment horizontal="left" vertical="center"/>
    </xf>
    <xf numFmtId="0" fontId="383" fillId="2046" borderId="0" xfId="4" applyFont="1" applyFill="1" applyAlignment="1">
      <alignment horizontal="left" vertical="center"/>
    </xf>
    <xf numFmtId="0" fontId="383" fillId="2046" borderId="4" xfId="4" applyFont="1" applyFill="1" applyBorder="1" applyAlignment="1">
      <alignment horizontal="left" vertical="center"/>
    </xf>
    <xf numFmtId="0" fontId="182" fillId="5" borderId="445" xfId="0" applyFont="1" applyFill="1" applyBorder="1" applyAlignment="1">
      <alignment horizontal="center" wrapText="1"/>
    </xf>
    <xf numFmtId="0" fontId="182" fillId="5" borderId="447" xfId="0" applyFont="1" applyFill="1" applyBorder="1" applyAlignment="1">
      <alignment horizontal="center" wrapText="1"/>
    </xf>
    <xf numFmtId="0" fontId="68" fillId="28" borderId="433" xfId="4" applyFont="1" applyFill="1" applyBorder="1" applyAlignment="1">
      <alignment horizontal="center" vertical="center"/>
    </xf>
    <xf numFmtId="0" fontId="68" fillId="28" borderId="185" xfId="4" applyFont="1" applyFill="1" applyBorder="1" applyAlignment="1">
      <alignment horizontal="center" vertical="center"/>
    </xf>
    <xf numFmtId="0" fontId="68" fillId="28" borderId="434" xfId="4" applyFont="1" applyFill="1" applyBorder="1" applyAlignment="1">
      <alignment horizontal="center" vertical="center"/>
    </xf>
    <xf numFmtId="0" fontId="57" fillId="75" borderId="0" xfId="19" applyFont="1" applyFill="1" applyAlignment="1">
      <alignment horizontal="right" vertical="center"/>
    </xf>
    <xf numFmtId="0" fontId="655" fillId="53" borderId="0" xfId="4" applyFont="1" applyFill="1" applyAlignment="1" applyProtection="1">
      <alignment horizontal="center" vertical="center"/>
      <protection hidden="1"/>
    </xf>
    <xf numFmtId="0" fontId="656" fillId="16" borderId="0" xfId="3" applyFont="1" applyFill="1" applyAlignment="1">
      <alignment horizontal="left" vertical="center"/>
    </xf>
    <xf numFmtId="0" fontId="138" fillId="32" borderId="435" xfId="4" applyFont="1" applyFill="1" applyBorder="1" applyAlignment="1">
      <alignment horizontal="left" vertical="center"/>
    </xf>
    <xf numFmtId="0" fontId="138" fillId="32" borderId="436" xfId="4" applyFont="1" applyFill="1" applyBorder="1" applyAlignment="1">
      <alignment horizontal="left" vertical="center"/>
    </xf>
    <xf numFmtId="0" fontId="138" fillId="32" borderId="437" xfId="4" applyFont="1" applyFill="1" applyBorder="1" applyAlignment="1">
      <alignment horizontal="left" vertical="center"/>
    </xf>
    <xf numFmtId="0" fontId="138" fillId="32" borderId="2" xfId="4" applyFont="1" applyFill="1" applyBorder="1" applyAlignment="1">
      <alignment horizontal="left" vertical="center"/>
    </xf>
    <xf numFmtId="0" fontId="138" fillId="32" borderId="0" xfId="4" applyFont="1" applyFill="1" applyAlignment="1">
      <alignment horizontal="left" vertical="center"/>
    </xf>
    <xf numFmtId="0" fontId="138" fillId="32" borderId="4" xfId="4" applyFont="1" applyFill="1" applyBorder="1" applyAlignment="1">
      <alignment horizontal="left" vertical="center"/>
    </xf>
    <xf numFmtId="0" fontId="199" fillId="27" borderId="41" xfId="4" applyFont="1" applyFill="1" applyBorder="1" applyAlignment="1">
      <alignment horizontal="center" vertical="center" wrapText="1"/>
    </xf>
    <xf numFmtId="0" fontId="199" fillId="27" borderId="40" xfId="4" applyFont="1" applyFill="1" applyBorder="1" applyAlignment="1">
      <alignment horizontal="center" vertical="center" wrapText="1"/>
    </xf>
    <xf numFmtId="0" fontId="199" fillId="27" borderId="39" xfId="4" applyFont="1" applyFill="1" applyBorder="1" applyAlignment="1">
      <alignment horizontal="center" vertical="center" wrapText="1"/>
    </xf>
    <xf numFmtId="0" fontId="199" fillId="27" borderId="2" xfId="4" applyFont="1" applyFill="1" applyBorder="1" applyAlignment="1">
      <alignment horizontal="center" vertical="center" wrapText="1"/>
    </xf>
    <xf numFmtId="0" fontId="199" fillId="27" borderId="0" xfId="4" applyFont="1" applyFill="1" applyAlignment="1">
      <alignment horizontal="center" vertical="center" wrapText="1"/>
    </xf>
    <xf numFmtId="0" fontId="199" fillId="27" borderId="4" xfId="4" applyFont="1" applyFill="1" applyBorder="1" applyAlignment="1">
      <alignment horizontal="center" vertical="center" wrapText="1"/>
    </xf>
    <xf numFmtId="0" fontId="199" fillId="27" borderId="432" xfId="4" applyFont="1" applyFill="1" applyBorder="1" applyAlignment="1">
      <alignment horizontal="center" vertical="center" wrapText="1"/>
    </xf>
    <xf numFmtId="0" fontId="199" fillId="27" borderId="59" xfId="4" applyFont="1" applyFill="1" applyBorder="1" applyAlignment="1">
      <alignment horizontal="center" vertical="center" wrapText="1"/>
    </xf>
    <xf numFmtId="0" fontId="199" fillId="27" borderId="404" xfId="4" applyFont="1" applyFill="1" applyBorder="1" applyAlignment="1">
      <alignment horizontal="center" vertical="center" wrapText="1"/>
    </xf>
    <xf numFmtId="0" fontId="56" fillId="28" borderId="0" xfId="1" applyFont="1" applyFill="1" applyAlignment="1">
      <alignment horizontal="center" vertical="center" wrapText="1"/>
    </xf>
    <xf numFmtId="0" fontId="11" fillId="32" borderId="88" xfId="1" applyFont="1" applyFill="1" applyBorder="1" applyAlignment="1">
      <alignment horizontal="center" vertical="center"/>
    </xf>
    <xf numFmtId="0" fontId="11" fillId="32" borderId="0" xfId="1" applyFont="1" applyFill="1" applyAlignment="1">
      <alignment horizontal="center" vertical="center"/>
    </xf>
    <xf numFmtId="0" fontId="653" fillId="2046" borderId="0" xfId="4" applyFont="1" applyFill="1" applyAlignment="1">
      <alignment horizontal="center" vertical="center" wrapText="1"/>
    </xf>
    <xf numFmtId="0" fontId="143" fillId="2059" borderId="0" xfId="4" applyFont="1" applyFill="1" applyAlignment="1">
      <alignment horizontal="center" vertical="center" wrapText="1"/>
    </xf>
    <xf numFmtId="0" fontId="14" fillId="2046" borderId="0" xfId="4" quotePrefix="1" applyFont="1" applyFill="1" applyAlignment="1">
      <alignment horizontal="center" vertical="top" wrapText="1"/>
    </xf>
    <xf numFmtId="0" fontId="14" fillId="2046" borderId="417" xfId="4" applyFont="1" applyFill="1" applyBorder="1" applyAlignment="1">
      <alignment horizontal="right" vertical="center"/>
    </xf>
    <xf numFmtId="0" fontId="5" fillId="32" borderId="0" xfId="1" applyFont="1" applyFill="1" applyAlignment="1">
      <alignment horizontal="center" vertical="center"/>
    </xf>
    <xf numFmtId="0" fontId="241" fillId="9" borderId="40" xfId="4" applyFont="1" applyFill="1" applyBorder="1" applyAlignment="1">
      <alignment horizontal="center" vertical="center"/>
    </xf>
    <xf numFmtId="0" fontId="241" fillId="9" borderId="1" xfId="4" applyFont="1" applyFill="1" applyBorder="1" applyAlignment="1">
      <alignment horizontal="center" vertical="center"/>
    </xf>
    <xf numFmtId="0" fontId="69" fillId="32" borderId="102" xfId="4" applyFont="1" applyFill="1" applyBorder="1" applyAlignment="1">
      <alignment horizontal="center" vertical="center"/>
    </xf>
    <xf numFmtId="0" fontId="69" fillId="32" borderId="40" xfId="4" applyFont="1" applyFill="1" applyBorder="1" applyAlignment="1">
      <alignment horizontal="center" vertical="center"/>
    </xf>
    <xf numFmtId="0" fontId="69" fillId="32" borderId="88" xfId="4" applyFont="1" applyFill="1" applyBorder="1" applyAlignment="1">
      <alignment horizontal="center" vertical="center"/>
    </xf>
    <xf numFmtId="0" fontId="69" fillId="32" borderId="0" xfId="4" applyFont="1" applyFill="1" applyAlignment="1">
      <alignment horizontal="center" vertical="center"/>
    </xf>
    <xf numFmtId="0" fontId="69" fillId="32" borderId="40" xfId="4" applyFont="1" applyFill="1" applyBorder="1" applyAlignment="1">
      <alignment horizontal="center" vertical="center" wrapText="1"/>
    </xf>
    <xf numFmtId="0" fontId="69" fillId="32" borderId="0" xfId="4" applyFont="1" applyFill="1" applyAlignment="1">
      <alignment horizontal="center" vertical="center" wrapText="1"/>
    </xf>
    <xf numFmtId="0" fontId="232" fillId="2059" borderId="40" xfId="4" applyFont="1" applyFill="1" applyBorder="1" applyAlignment="1">
      <alignment horizontal="center" vertical="center" wrapText="1"/>
    </xf>
    <xf numFmtId="0" fontId="232" fillId="2059" borderId="0" xfId="4" applyFont="1" applyFill="1" applyAlignment="1">
      <alignment horizontal="center" vertical="center" wrapText="1"/>
    </xf>
    <xf numFmtId="1" fontId="56" fillId="28" borderId="0" xfId="4" applyNumberFormat="1" applyFont="1" applyFill="1" applyAlignment="1" applyProtection="1">
      <alignment horizontal="center" vertical="center"/>
      <protection hidden="1"/>
    </xf>
    <xf numFmtId="0" fontId="516" fillId="32" borderId="417" xfId="3" applyFont="1" applyFill="1" applyBorder="1" applyAlignment="1">
      <alignment horizontal="center" vertical="center"/>
    </xf>
    <xf numFmtId="0" fontId="677" fillId="2059" borderId="486" xfId="4" applyFont="1" applyFill="1" applyBorder="1" applyAlignment="1">
      <alignment horizontal="center" vertical="center"/>
    </xf>
    <xf numFmtId="0" fontId="677" fillId="2059" borderId="273" xfId="4" applyFont="1" applyFill="1" applyBorder="1" applyAlignment="1">
      <alignment horizontal="center" vertical="center"/>
    </xf>
    <xf numFmtId="0" fontId="64" fillId="0" borderId="422" xfId="19" applyFont="1" applyBorder="1" applyAlignment="1">
      <alignment horizontal="center" vertical="center"/>
    </xf>
    <xf numFmtId="0" fontId="64" fillId="0" borderId="429" xfId="19" applyFont="1" applyBorder="1" applyAlignment="1">
      <alignment horizontal="center" vertical="center"/>
    </xf>
    <xf numFmtId="0" fontId="64" fillId="0" borderId="542" xfId="19" applyFont="1" applyBorder="1" applyAlignment="1">
      <alignment horizontal="center" vertical="center"/>
    </xf>
    <xf numFmtId="0" fontId="146" fillId="64" borderId="4" xfId="4" applyFont="1" applyFill="1" applyBorder="1" applyAlignment="1">
      <alignment horizontal="center" vertical="center"/>
    </xf>
    <xf numFmtId="0" fontId="135" fillId="60" borderId="41" xfId="1" applyFont="1" applyFill="1" applyBorder="1" applyAlignment="1">
      <alignment horizontal="center" vertical="center"/>
    </xf>
    <xf numFmtId="0" fontId="135" fillId="60" borderId="40" xfId="1" applyFont="1" applyFill="1" applyBorder="1" applyAlignment="1">
      <alignment horizontal="center" vertical="center"/>
    </xf>
    <xf numFmtId="0" fontId="135" fillId="60" borderId="39" xfId="1" applyFont="1" applyFill="1" applyBorder="1" applyAlignment="1">
      <alignment horizontal="center" vertical="center"/>
    </xf>
    <xf numFmtId="0" fontId="135" fillId="60" borderId="2" xfId="1" applyFont="1" applyFill="1" applyBorder="1" applyAlignment="1">
      <alignment horizontal="center" vertical="center"/>
    </xf>
    <xf numFmtId="0" fontId="135" fillId="60" borderId="0" xfId="1" applyFont="1" applyFill="1" applyAlignment="1">
      <alignment horizontal="center" vertical="center"/>
    </xf>
    <xf numFmtId="0" fontId="135" fillId="60" borderId="4" xfId="1" applyFont="1" applyFill="1" applyBorder="1" applyAlignment="1">
      <alignment horizontal="center" vertical="center"/>
    </xf>
    <xf numFmtId="0" fontId="136" fillId="53" borderId="0" xfId="4" applyFont="1" applyFill="1" applyAlignment="1" applyProtection="1">
      <alignment horizontal="center" vertical="center"/>
      <protection hidden="1"/>
    </xf>
    <xf numFmtId="0" fontId="696" fillId="16" borderId="40" xfId="4" applyFont="1" applyFill="1" applyBorder="1" applyAlignment="1" applyProtection="1">
      <alignment horizontal="center" vertical="center"/>
      <protection hidden="1"/>
    </xf>
    <xf numFmtId="0" fontId="696" fillId="16" borderId="39" xfId="4" applyFont="1" applyFill="1" applyBorder="1" applyAlignment="1" applyProtection="1">
      <alignment horizontal="center" vertical="center"/>
      <protection hidden="1"/>
    </xf>
    <xf numFmtId="0" fontId="696" fillId="16" borderId="0" xfId="4" applyFont="1" applyFill="1" applyAlignment="1" applyProtection="1">
      <alignment horizontal="center" vertical="center"/>
      <protection hidden="1"/>
    </xf>
    <xf numFmtId="0" fontId="696" fillId="16" borderId="4" xfId="4" applyFont="1" applyFill="1" applyBorder="1" applyAlignment="1" applyProtection="1">
      <alignment horizontal="center" vertical="center"/>
      <protection hidden="1"/>
    </xf>
    <xf numFmtId="0" fontId="696" fillId="16" borderId="1" xfId="4" applyFont="1" applyFill="1" applyBorder="1" applyAlignment="1" applyProtection="1">
      <alignment horizontal="center" vertical="center"/>
      <protection hidden="1"/>
    </xf>
    <xf numFmtId="0" fontId="696" fillId="16" borderId="3" xfId="4" applyFont="1" applyFill="1" applyBorder="1" applyAlignment="1" applyProtection="1">
      <alignment horizontal="center" vertical="center"/>
      <protection hidden="1"/>
    </xf>
    <xf numFmtId="0" fontId="695" fillId="9" borderId="41" xfId="4" applyFont="1" applyFill="1" applyBorder="1" applyAlignment="1" applyProtection="1">
      <alignment horizontal="center" vertical="center"/>
      <protection hidden="1"/>
    </xf>
    <xf numFmtId="0" fontId="695" fillId="9" borderId="40" xfId="4" applyFont="1" applyFill="1" applyBorder="1" applyAlignment="1" applyProtection="1">
      <alignment horizontal="center" vertical="center"/>
      <protection hidden="1"/>
    </xf>
    <xf numFmtId="0" fontId="695" fillId="9" borderId="2" xfId="4" applyFont="1" applyFill="1" applyBorder="1" applyAlignment="1" applyProtection="1">
      <alignment horizontal="center" vertical="center"/>
      <protection hidden="1"/>
    </xf>
    <xf numFmtId="0" fontId="695" fillId="9" borderId="0" xfId="4" applyFont="1" applyFill="1" applyAlignment="1" applyProtection="1">
      <alignment horizontal="center" vertical="center"/>
      <protection hidden="1"/>
    </xf>
    <xf numFmtId="1" fontId="45" fillId="12" borderId="295" xfId="19" applyNumberFormat="1" applyFont="1" applyFill="1" applyBorder="1" applyAlignment="1">
      <alignment horizontal="center" vertical="center"/>
    </xf>
    <xf numFmtId="0" fontId="76" fillId="81" borderId="0" xfId="15" applyFont="1" applyFill="1" applyAlignment="1" applyProtection="1">
      <alignment horizontal="left" vertical="center"/>
      <protection locked="0"/>
    </xf>
    <xf numFmtId="0" fontId="222" fillId="9" borderId="0" xfId="4" applyFont="1" applyFill="1" applyAlignment="1">
      <alignment horizontal="left" vertical="center" wrapText="1"/>
    </xf>
    <xf numFmtId="0" fontId="59" fillId="14" borderId="194" xfId="4" applyFont="1" applyFill="1" applyBorder="1" applyAlignment="1" applyProtection="1">
      <alignment horizontal="center" vertical="center" wrapText="1"/>
      <protection locked="0"/>
    </xf>
    <xf numFmtId="0" fontId="38" fillId="5" borderId="203" xfId="4" applyFont="1" applyFill="1" applyBorder="1" applyAlignment="1">
      <alignment horizontal="center" vertical="center" wrapText="1"/>
    </xf>
    <xf numFmtId="0" fontId="38" fillId="5" borderId="401" xfId="4" applyFont="1" applyFill="1" applyBorder="1" applyAlignment="1">
      <alignment horizontal="center" vertical="center" wrapText="1"/>
    </xf>
    <xf numFmtId="0" fontId="59" fillId="14" borderId="194" xfId="4" applyFont="1" applyFill="1" applyBorder="1" applyAlignment="1">
      <alignment horizontal="center" vertical="center" wrapText="1"/>
    </xf>
    <xf numFmtId="0" fontId="59" fillId="14" borderId="59" xfId="4" applyFont="1" applyFill="1" applyBorder="1" applyAlignment="1">
      <alignment horizontal="center" vertical="center" wrapText="1"/>
    </xf>
    <xf numFmtId="182" fontId="97" fillId="9" borderId="213" xfId="7" applyNumberFormat="1" applyFont="1" applyFill="1" applyBorder="1" applyAlignment="1">
      <alignment horizontal="center" vertical="center" wrapText="1"/>
    </xf>
    <xf numFmtId="182" fontId="97" fillId="9" borderId="403" xfId="7" applyNumberFormat="1" applyFont="1" applyFill="1" applyBorder="1" applyAlignment="1">
      <alignment horizontal="center" vertical="center" wrapText="1"/>
    </xf>
    <xf numFmtId="0" fontId="13" fillId="7" borderId="213" xfId="4" applyFont="1" applyFill="1" applyBorder="1" applyAlignment="1">
      <alignment horizontal="center" vertical="center"/>
    </xf>
    <xf numFmtId="0" fontId="13" fillId="7" borderId="403" xfId="4" applyFont="1" applyFill="1" applyBorder="1" applyAlignment="1">
      <alignment horizontal="center" vertical="center"/>
    </xf>
    <xf numFmtId="0" fontId="14" fillId="9" borderId="295" xfId="4" applyFont="1" applyFill="1" applyBorder="1" applyAlignment="1">
      <alignment horizontal="center" vertical="center" wrapText="1"/>
    </xf>
    <xf numFmtId="0" fontId="14" fillId="9" borderId="0" xfId="4" applyFont="1" applyFill="1" applyAlignment="1">
      <alignment horizontal="center" vertical="center" wrapText="1"/>
    </xf>
    <xf numFmtId="0" fontId="14" fillId="9" borderId="19" xfId="4" applyFont="1" applyFill="1" applyBorder="1" applyAlignment="1">
      <alignment horizontal="center" vertical="center" wrapText="1"/>
    </xf>
    <xf numFmtId="0" fontId="19" fillId="11" borderId="0" xfId="15" applyFont="1" applyFill="1" applyAlignment="1" applyProtection="1">
      <alignment horizontal="center" vertical="center"/>
      <protection locked="0"/>
    </xf>
    <xf numFmtId="0" fontId="10" fillId="9" borderId="0" xfId="4" applyFont="1" applyFill="1" applyAlignment="1">
      <alignment horizontal="left" vertical="center" wrapText="1"/>
    </xf>
    <xf numFmtId="0" fontId="193" fillId="112" borderId="295" xfId="28" applyFont="1" applyFill="1" applyBorder="1" applyAlignment="1">
      <alignment horizontal="left" vertical="top" wrapText="1"/>
    </xf>
    <xf numFmtId="0" fontId="193" fillId="112" borderId="0" xfId="28" applyFont="1" applyFill="1" applyAlignment="1">
      <alignment horizontal="left" vertical="top" wrapText="1"/>
    </xf>
    <xf numFmtId="0" fontId="193" fillId="112" borderId="19" xfId="28" applyFont="1" applyFill="1" applyBorder="1" applyAlignment="1">
      <alignment horizontal="left" vertical="top" wrapText="1"/>
    </xf>
    <xf numFmtId="0" fontId="14" fillId="9" borderId="295" xfId="19" applyFont="1" applyFill="1" applyBorder="1" applyAlignment="1">
      <alignment horizontal="left" vertical="top" wrapText="1"/>
    </xf>
    <xf numFmtId="0" fontId="14" fillId="9" borderId="0" xfId="19" applyFont="1" applyFill="1" applyAlignment="1">
      <alignment horizontal="left" vertical="top" wrapText="1"/>
    </xf>
    <xf numFmtId="0" fontId="14" fillId="9" borderId="19" xfId="19" applyFont="1" applyFill="1" applyBorder="1" applyAlignment="1">
      <alignment horizontal="left" vertical="top" wrapText="1"/>
    </xf>
    <xf numFmtId="0" fontId="14" fillId="9" borderId="204" xfId="19" applyFont="1" applyFill="1" applyBorder="1" applyAlignment="1">
      <alignment horizontal="left" vertical="top" wrapText="1"/>
    </xf>
    <xf numFmtId="0" fontId="14" fillId="9" borderId="90" xfId="19" applyFont="1" applyFill="1" applyBorder="1" applyAlignment="1">
      <alignment horizontal="left" vertical="top" wrapText="1"/>
    </xf>
    <xf numFmtId="0" fontId="14" fillId="9" borderId="89" xfId="19" applyFont="1" applyFill="1" applyBorder="1" applyAlignment="1">
      <alignment horizontal="left" vertical="top" wrapText="1"/>
    </xf>
    <xf numFmtId="0" fontId="14" fillId="9" borderId="203" xfId="4" applyFont="1" applyFill="1" applyBorder="1" applyAlignment="1">
      <alignment horizontal="center" vertical="center" wrapText="1"/>
    </xf>
    <xf numFmtId="0" fontId="14" fillId="9" borderId="194" xfId="4" applyFont="1" applyFill="1" applyBorder="1" applyAlignment="1">
      <alignment horizontal="center" vertical="center" wrapText="1"/>
    </xf>
    <xf numFmtId="0" fontId="14" fillId="9" borderId="85" xfId="4" applyFont="1" applyFill="1" applyBorder="1" applyAlignment="1">
      <alignment horizontal="center" vertical="center" wrapText="1"/>
    </xf>
    <xf numFmtId="0" fontId="14" fillId="9" borderId="401" xfId="4" applyFont="1" applyFill="1" applyBorder="1" applyAlignment="1">
      <alignment horizontal="center" vertical="center" wrapText="1"/>
    </xf>
    <xf numFmtId="0" fontId="14" fillId="9" borderId="59" xfId="4" applyFont="1" applyFill="1" applyBorder="1" applyAlignment="1">
      <alignment horizontal="center" vertical="center" wrapText="1"/>
    </xf>
    <xf numFmtId="0" fontId="14" fillId="9" borderId="414" xfId="4" applyFont="1" applyFill="1" applyBorder="1" applyAlignment="1">
      <alignment horizontal="center" vertical="center" wrapText="1"/>
    </xf>
    <xf numFmtId="0" fontId="0" fillId="28" borderId="4" xfId="0" applyFill="1" applyBorder="1" applyAlignment="1">
      <alignment horizontal="center" wrapText="1"/>
    </xf>
    <xf numFmtId="0" fontId="87" fillId="9" borderId="0" xfId="3" applyFont="1" applyFill="1" applyAlignment="1">
      <alignment horizontal="center" vertical="top" wrapText="1"/>
    </xf>
    <xf numFmtId="0" fontId="14" fillId="9" borderId="88" xfId="7" applyFont="1" applyFill="1" applyBorder="1" applyAlignment="1">
      <alignment horizontal="center" vertical="center" wrapText="1"/>
    </xf>
    <xf numFmtId="0" fontId="14" fillId="9" borderId="389" xfId="7" applyFont="1" applyFill="1" applyBorder="1" applyAlignment="1">
      <alignment horizontal="center" vertical="center" wrapText="1"/>
    </xf>
    <xf numFmtId="0" fontId="683" fillId="14" borderId="2" xfId="4" applyFont="1" applyFill="1" applyBorder="1" applyAlignment="1">
      <alignment horizontal="left" vertical="center"/>
    </xf>
    <xf numFmtId="0" fontId="39" fillId="28" borderId="0" xfId="1" applyFont="1" applyFill="1" applyAlignment="1">
      <alignment horizontal="left" vertical="center" wrapText="1"/>
    </xf>
    <xf numFmtId="0" fontId="39" fillId="28" borderId="4" xfId="1" applyFont="1" applyFill="1" applyBorder="1" applyAlignment="1">
      <alignment horizontal="left" vertical="center" wrapText="1"/>
    </xf>
    <xf numFmtId="0" fontId="690" fillId="14" borderId="2" xfId="4" applyFont="1" applyFill="1" applyBorder="1" applyAlignment="1">
      <alignment horizontal="left" vertical="center"/>
    </xf>
    <xf numFmtId="0" fontId="59" fillId="14" borderId="32" xfId="4" applyFont="1" applyFill="1" applyBorder="1" applyAlignment="1" applyProtection="1">
      <alignment horizontal="center" vertical="center" wrapText="1"/>
      <protection locked="0"/>
    </xf>
    <xf numFmtId="0" fontId="59" fillId="14" borderId="453" xfId="4" applyFont="1" applyFill="1" applyBorder="1" applyAlignment="1">
      <alignment horizontal="center" vertical="center" wrapText="1"/>
    </xf>
    <xf numFmtId="0" fontId="639" fillId="12" borderId="275" xfId="4" applyFont="1" applyFill="1" applyBorder="1" applyAlignment="1" applyProtection="1">
      <alignment horizontal="center" vertical="center" wrapText="1"/>
      <protection hidden="1"/>
    </xf>
    <xf numFmtId="0" fontId="59" fillId="9" borderId="22" xfId="4" applyFont="1" applyFill="1" applyBorder="1" applyAlignment="1">
      <alignment horizontal="center" vertical="center" wrapText="1"/>
    </xf>
    <xf numFmtId="0" fontId="59" fillId="9" borderId="402" xfId="4" applyFont="1" applyFill="1" applyBorder="1" applyAlignment="1">
      <alignment horizontal="center" vertical="center" wrapText="1"/>
    </xf>
    <xf numFmtId="168" fontId="203" fillId="16" borderId="0" xfId="4" applyNumberFormat="1" applyFont="1" applyFill="1" applyAlignment="1">
      <alignment horizontal="center" vertical="top" wrapText="1"/>
    </xf>
    <xf numFmtId="168" fontId="203" fillId="16" borderId="4" xfId="4" applyNumberFormat="1" applyFont="1" applyFill="1" applyBorder="1" applyAlignment="1">
      <alignment horizontal="center" vertical="top" wrapText="1"/>
    </xf>
    <xf numFmtId="168" fontId="103" fillId="16" borderId="0" xfId="4" applyNumberFormat="1" applyFont="1" applyFill="1" applyAlignment="1">
      <alignment horizontal="center" vertical="top" wrapText="1"/>
    </xf>
    <xf numFmtId="168" fontId="103" fillId="16" borderId="4" xfId="4" applyNumberFormat="1" applyFont="1" applyFill="1" applyBorder="1" applyAlignment="1">
      <alignment horizontal="center" vertical="top" wrapText="1"/>
    </xf>
    <xf numFmtId="0" fontId="13" fillId="16" borderId="69" xfId="4" applyFont="1" applyFill="1" applyBorder="1" applyAlignment="1">
      <alignment horizontal="center" vertical="center" wrapText="1"/>
    </xf>
    <xf numFmtId="0" fontId="13" fillId="16" borderId="68" xfId="4" applyFont="1" applyFill="1" applyBorder="1" applyAlignment="1">
      <alignment horizontal="center" vertical="center" wrapText="1"/>
    </xf>
    <xf numFmtId="0" fontId="13" fillId="16" borderId="401" xfId="4" applyFont="1" applyFill="1" applyBorder="1" applyAlignment="1">
      <alignment horizontal="center" vertical="center" wrapText="1"/>
    </xf>
    <xf numFmtId="0" fontId="13" fillId="16" borderId="59" xfId="4" applyFont="1" applyFill="1" applyBorder="1" applyAlignment="1">
      <alignment horizontal="center" vertical="center" wrapText="1"/>
    </xf>
    <xf numFmtId="0" fontId="16" fillId="12" borderId="458" xfId="4" applyFont="1" applyFill="1" applyBorder="1" applyAlignment="1" applyProtection="1">
      <alignment horizontal="center" vertical="center"/>
      <protection locked="0"/>
    </xf>
    <xf numFmtId="0" fontId="16" fillId="12" borderId="59" xfId="4" applyFont="1" applyFill="1" applyBorder="1" applyAlignment="1" applyProtection="1">
      <alignment horizontal="center" vertical="center"/>
      <protection locked="0"/>
    </xf>
    <xf numFmtId="0" fontId="59" fillId="17" borderId="67" xfId="4" applyFont="1" applyFill="1" applyBorder="1" applyAlignment="1">
      <alignment horizontal="center" vertical="center" wrapText="1"/>
    </xf>
    <xf numFmtId="0" fontId="59" fillId="17" borderId="59" xfId="4" applyFont="1" applyFill="1" applyBorder="1" applyAlignment="1">
      <alignment horizontal="center" vertical="center" wrapText="1"/>
    </xf>
    <xf numFmtId="0" fontId="59" fillId="17" borderId="404" xfId="4" applyFont="1" applyFill="1" applyBorder="1" applyAlignment="1">
      <alignment horizontal="center" vertical="center" wrapText="1"/>
    </xf>
    <xf numFmtId="0" fontId="59" fillId="14" borderId="68" xfId="4" applyFont="1" applyFill="1" applyBorder="1" applyAlignment="1" applyProtection="1">
      <alignment horizontal="center" vertical="center" wrapText="1"/>
      <protection locked="0"/>
    </xf>
    <xf numFmtId="0" fontId="59" fillId="14" borderId="68" xfId="4" applyFont="1" applyFill="1" applyBorder="1" applyAlignment="1">
      <alignment horizontal="center" vertical="center" wrapText="1"/>
    </xf>
    <xf numFmtId="0" fontId="59" fillId="14" borderId="0" xfId="4" applyFont="1" applyFill="1" applyAlignment="1">
      <alignment horizontal="center" vertical="center" wrapText="1"/>
    </xf>
    <xf numFmtId="0" fontId="95" fillId="0" borderId="69" xfId="1" applyFont="1" applyBorder="1" applyAlignment="1">
      <alignment horizontal="center" vertical="center"/>
    </xf>
    <xf numFmtId="0" fontId="95" fillId="0" borderId="68" xfId="1" applyFont="1" applyBorder="1" applyAlignment="1">
      <alignment horizontal="center" vertical="center"/>
    </xf>
    <xf numFmtId="0" fontId="251" fillId="12" borderId="2" xfId="4" applyFont="1" applyFill="1" applyBorder="1" applyAlignment="1" applyProtection="1">
      <alignment horizontal="center" vertical="center"/>
      <protection hidden="1"/>
    </xf>
    <xf numFmtId="0" fontId="673" fillId="9" borderId="2" xfId="4" applyFont="1" applyFill="1" applyBorder="1" applyAlignment="1">
      <alignment horizontal="center" vertical="center"/>
    </xf>
    <xf numFmtId="0" fontId="56" fillId="9" borderId="0" xfId="4" applyFont="1" applyFill="1" applyAlignment="1" applyProtection="1">
      <alignment horizontal="left" vertical="center"/>
      <protection locked="0"/>
    </xf>
    <xf numFmtId="0" fontId="56" fillId="9" borderId="4" xfId="4" applyFont="1" applyFill="1" applyBorder="1" applyAlignment="1" applyProtection="1">
      <alignment horizontal="left" vertical="center"/>
      <protection locked="0"/>
    </xf>
    <xf numFmtId="0" fontId="207" fillId="9" borderId="2" xfId="1" applyFont="1" applyFill="1" applyBorder="1" applyAlignment="1">
      <alignment horizontal="center" vertical="center" wrapText="1"/>
    </xf>
    <xf numFmtId="0" fontId="207" fillId="9" borderId="0" xfId="1" applyFont="1" applyFill="1" applyAlignment="1">
      <alignment horizontal="center" vertical="center" wrapText="1"/>
    </xf>
    <xf numFmtId="0" fontId="207" fillId="9" borderId="4" xfId="1" applyFont="1" applyFill="1" applyBorder="1" applyAlignment="1">
      <alignment horizontal="center" vertical="center" wrapText="1"/>
    </xf>
    <xf numFmtId="0" fontId="72" fillId="9" borderId="2" xfId="1" applyFont="1" applyFill="1" applyBorder="1" applyAlignment="1">
      <alignment horizontal="center" vertical="center"/>
    </xf>
    <xf numFmtId="0" fontId="168" fillId="5" borderId="2" xfId="1" applyFont="1" applyFill="1" applyBorder="1" applyAlignment="1">
      <alignment horizontal="center" vertical="center"/>
    </xf>
    <xf numFmtId="0" fontId="168" fillId="5" borderId="0" xfId="1" applyFont="1" applyFill="1" applyAlignment="1">
      <alignment horizontal="center" vertical="center"/>
    </xf>
    <xf numFmtId="0" fontId="168" fillId="5" borderId="4" xfId="1" applyFont="1" applyFill="1" applyBorder="1" applyAlignment="1">
      <alignment horizontal="center" vertical="center"/>
    </xf>
    <xf numFmtId="0" fontId="13" fillId="9" borderId="468" xfId="4" applyFont="1" applyFill="1" applyBorder="1" applyAlignment="1">
      <alignment horizontal="center" vertical="center" wrapText="1"/>
    </xf>
    <xf numFmtId="0" fontId="13" fillId="9" borderId="413" xfId="4" applyFont="1" applyFill="1" applyBorder="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left" vertical="center"/>
    </xf>
    <xf numFmtId="0" fontId="0" fillId="14" borderId="0" xfId="0" applyFill="1" applyAlignment="1">
      <alignment horizontal="center" vertical="center" wrapText="1"/>
    </xf>
    <xf numFmtId="0" fontId="115" fillId="28" borderId="2" xfId="0" applyFont="1" applyFill="1" applyBorder="1" applyAlignment="1">
      <alignment horizontal="left" vertical="center" wrapText="1"/>
    </xf>
    <xf numFmtId="0" fontId="115" fillId="28" borderId="0" xfId="0" applyFont="1" applyFill="1" applyAlignment="1">
      <alignment horizontal="left" vertical="center" wrapText="1"/>
    </xf>
    <xf numFmtId="0" fontId="115" fillId="28" borderId="4" xfId="0" applyFont="1" applyFill="1" applyBorder="1" applyAlignment="1">
      <alignment horizontal="left" vertical="center" wrapText="1"/>
    </xf>
    <xf numFmtId="0" fontId="56" fillId="5" borderId="31" xfId="4" applyFont="1" applyFill="1" applyBorder="1" applyAlignment="1">
      <alignment horizontal="center" vertical="center"/>
    </xf>
    <xf numFmtId="0" fontId="56" fillId="5" borderId="454" xfId="4" applyFont="1" applyFill="1" applyBorder="1" applyAlignment="1">
      <alignment horizontal="center" vertical="center"/>
    </xf>
    <xf numFmtId="0" fontId="98" fillId="11" borderId="0" xfId="15" applyFont="1" applyFill="1" applyAlignment="1" applyProtection="1">
      <alignment horizontal="center" vertical="center"/>
      <protection locked="0"/>
    </xf>
    <xf numFmtId="0" fontId="98" fillId="11" borderId="417" xfId="15" applyFont="1" applyFill="1" applyBorder="1" applyAlignment="1" applyProtection="1">
      <alignment horizontal="center" vertical="center"/>
      <protection locked="0"/>
    </xf>
    <xf numFmtId="0" fontId="76" fillId="81" borderId="417" xfId="15" applyFont="1" applyFill="1" applyBorder="1" applyAlignment="1" applyProtection="1">
      <alignment horizontal="center" vertical="center"/>
      <protection locked="0"/>
    </xf>
    <xf numFmtId="0" fontId="127" fillId="81" borderId="88" xfId="15" applyFont="1" applyFill="1" applyBorder="1" applyAlignment="1" applyProtection="1">
      <alignment horizontal="center" vertical="center"/>
      <protection locked="0"/>
    </xf>
    <xf numFmtId="0" fontId="127" fillId="81" borderId="0" xfId="15" applyFont="1" applyFill="1" applyAlignment="1" applyProtection="1">
      <alignment horizontal="center" vertical="center"/>
      <protection locked="0"/>
    </xf>
    <xf numFmtId="0" fontId="193" fillId="112" borderId="2" xfId="28" applyFont="1" applyFill="1" applyBorder="1" applyAlignment="1">
      <alignment horizontal="left" vertical="top" wrapText="1"/>
    </xf>
    <xf numFmtId="0" fontId="193" fillId="112" borderId="4" xfId="28" applyFont="1" applyFill="1" applyBorder="1" applyAlignment="1">
      <alignment horizontal="left" vertical="top" wrapText="1"/>
    </xf>
    <xf numFmtId="0" fontId="67" fillId="112" borderId="2" xfId="28" applyFont="1" applyFill="1" applyBorder="1" applyAlignment="1">
      <alignment horizontal="left" vertical="top" wrapText="1"/>
    </xf>
    <xf numFmtId="0" fontId="67" fillId="112" borderId="0" xfId="28" applyFont="1" applyFill="1" applyAlignment="1">
      <alignment horizontal="left" vertical="top" wrapText="1"/>
    </xf>
    <xf numFmtId="0" fontId="67" fillId="112" borderId="4" xfId="28" applyFont="1" applyFill="1" applyBorder="1" applyAlignment="1">
      <alignment horizontal="left" vertical="top" wrapText="1"/>
    </xf>
    <xf numFmtId="0" fontId="14" fillId="9" borderId="2" xfId="19" applyFont="1" applyFill="1" applyBorder="1" applyAlignment="1">
      <alignment horizontal="center" vertical="top" wrapText="1"/>
    </xf>
    <xf numFmtId="0" fontId="14" fillId="9" borderId="0" xfId="19" applyFont="1" applyFill="1" applyAlignment="1">
      <alignment horizontal="center" vertical="top" wrapText="1"/>
    </xf>
    <xf numFmtId="0" fontId="14" fillId="9" borderId="4" xfId="19" applyFont="1" applyFill="1" applyBorder="1" applyAlignment="1">
      <alignment horizontal="center" vertical="top" wrapText="1"/>
    </xf>
    <xf numFmtId="0" fontId="14" fillId="9" borderId="309" xfId="19" applyFont="1" applyFill="1" applyBorder="1" applyAlignment="1">
      <alignment horizontal="center" vertical="top" wrapText="1"/>
    </xf>
    <xf numFmtId="0" fontId="14" fillId="9" borderId="90" xfId="19" applyFont="1" applyFill="1" applyBorder="1" applyAlignment="1">
      <alignment horizontal="center" vertical="top" wrapText="1"/>
    </xf>
    <xf numFmtId="0" fontId="14" fillId="9" borderId="310" xfId="19" applyFont="1" applyFill="1" applyBorder="1" applyAlignment="1">
      <alignment horizontal="center" vertical="top" wrapText="1"/>
    </xf>
    <xf numFmtId="0" fontId="56" fillId="16" borderId="410" xfId="15" applyFont="1" applyFill="1" applyBorder="1" applyAlignment="1" applyProtection="1">
      <alignment horizontal="center" vertical="center" wrapText="1"/>
      <protection locked="0"/>
    </xf>
    <xf numFmtId="0" fontId="56" fillId="16" borderId="6" xfId="15" applyFont="1" applyFill="1" applyBorder="1" applyAlignment="1" applyProtection="1">
      <alignment horizontal="center" vertical="center" wrapText="1"/>
      <protection locked="0"/>
    </xf>
    <xf numFmtId="0" fontId="56" fillId="16" borderId="411" xfId="15" applyFont="1" applyFill="1" applyBorder="1" applyAlignment="1" applyProtection="1">
      <alignment horizontal="center" vertical="center" wrapText="1"/>
      <protection locked="0"/>
    </xf>
    <xf numFmtId="0" fontId="56" fillId="16" borderId="412" xfId="15" applyFont="1" applyFill="1" applyBorder="1" applyAlignment="1" applyProtection="1">
      <alignment horizontal="center" vertical="center" wrapText="1"/>
      <protection locked="0"/>
    </xf>
    <xf numFmtId="0" fontId="56" fillId="16" borderId="59" xfId="15" applyFont="1" applyFill="1" applyBorder="1" applyAlignment="1" applyProtection="1">
      <alignment horizontal="center" vertical="center" wrapText="1"/>
      <protection locked="0"/>
    </xf>
    <xf numFmtId="0" fontId="56" fillId="16" borderId="413" xfId="15" applyFont="1" applyFill="1" applyBorder="1" applyAlignment="1" applyProtection="1">
      <alignment horizontal="center" vertical="center" wrapText="1"/>
      <protection locked="0"/>
    </xf>
    <xf numFmtId="0" fontId="46" fillId="2040" borderId="410" xfId="0" applyFont="1" applyFill="1" applyBorder="1" applyAlignment="1">
      <alignment horizontal="center" vertical="center" wrapText="1"/>
    </xf>
    <xf numFmtId="0" fontId="46" fillId="2040" borderId="6" xfId="0" applyFont="1" applyFill="1" applyBorder="1" applyAlignment="1">
      <alignment horizontal="center" vertical="center" wrapText="1"/>
    </xf>
    <xf numFmtId="0" fontId="46" fillId="2040" borderId="411" xfId="0" applyFont="1" applyFill="1" applyBorder="1" applyAlignment="1">
      <alignment horizontal="center" vertical="center" wrapText="1"/>
    </xf>
    <xf numFmtId="0" fontId="46" fillId="2040" borderId="389" xfId="0" applyFont="1" applyFill="1" applyBorder="1" applyAlignment="1">
      <alignment horizontal="center" vertical="center" wrapText="1"/>
    </xf>
    <xf numFmtId="0" fontId="46" fillId="2040" borderId="379" xfId="0" applyFont="1" applyFill="1" applyBorder="1" applyAlignment="1">
      <alignment horizontal="center" vertical="center" wrapText="1"/>
    </xf>
    <xf numFmtId="0" fontId="11" fillId="59" borderId="2" xfId="2" applyFont="1" applyFill="1" applyBorder="1" applyAlignment="1">
      <alignment horizontal="center" vertical="center"/>
    </xf>
    <xf numFmtId="0" fontId="11" fillId="59" borderId="0" xfId="2" applyFont="1" applyFill="1" applyAlignment="1">
      <alignment horizontal="center" vertical="center"/>
    </xf>
    <xf numFmtId="0" fontId="47" fillId="9" borderId="0" xfId="0" applyFont="1" applyFill="1" applyAlignment="1">
      <alignment horizontal="left" vertical="center"/>
    </xf>
    <xf numFmtId="1" fontId="17" fillId="39" borderId="40" xfId="4" applyNumberFormat="1" applyFont="1" applyFill="1" applyBorder="1" applyAlignment="1" applyProtection="1">
      <alignment horizontal="center" vertical="center" wrapText="1"/>
      <protection hidden="1"/>
    </xf>
    <xf numFmtId="1" fontId="17" fillId="39" borderId="0" xfId="4" applyNumberFormat="1" applyFont="1" applyFill="1" applyAlignment="1" applyProtection="1">
      <alignment horizontal="center" vertical="center" wrapText="1"/>
      <protection hidden="1"/>
    </xf>
    <xf numFmtId="1" fontId="11" fillId="116" borderId="40" xfId="4" applyNumberFormat="1" applyFont="1" applyFill="1" applyBorder="1" applyAlignment="1" applyProtection="1">
      <alignment horizontal="center" vertical="center" wrapText="1"/>
      <protection hidden="1"/>
    </xf>
    <xf numFmtId="1" fontId="11" fillId="116" borderId="0" xfId="4" applyNumberFormat="1" applyFont="1" applyFill="1" applyAlignment="1" applyProtection="1">
      <alignment horizontal="center" vertical="center" wrapText="1"/>
      <protection hidden="1"/>
    </xf>
    <xf numFmtId="0" fontId="198" fillId="7" borderId="0" xfId="4" applyFont="1" applyFill="1" applyAlignment="1">
      <alignment horizontal="center" vertical="center" wrapText="1"/>
    </xf>
    <xf numFmtId="1" fontId="11" fillId="117" borderId="40" xfId="4" applyNumberFormat="1" applyFont="1" applyFill="1" applyBorder="1" applyAlignment="1" applyProtection="1">
      <alignment horizontal="center" vertical="center" wrapText="1"/>
      <protection hidden="1"/>
    </xf>
    <xf numFmtId="1" fontId="11" fillId="117" borderId="0" xfId="4" applyNumberFormat="1" applyFont="1" applyFill="1" applyAlignment="1" applyProtection="1">
      <alignment horizontal="center" vertical="center" wrapText="1"/>
      <protection hidden="1"/>
    </xf>
    <xf numFmtId="1" fontId="69" fillId="2042" borderId="40" xfId="4" applyNumberFormat="1" applyFont="1" applyFill="1" applyBorder="1" applyAlignment="1" applyProtection="1">
      <alignment horizontal="center" vertical="center" wrapText="1"/>
      <protection hidden="1"/>
    </xf>
    <xf numFmtId="1" fontId="69" fillId="2042" borderId="0" xfId="4" applyNumberFormat="1" applyFont="1" applyFill="1" applyAlignment="1" applyProtection="1">
      <alignment horizontal="center" vertical="center" wrapText="1"/>
      <protection hidden="1"/>
    </xf>
    <xf numFmtId="1" fontId="17" fillId="2043" borderId="40" xfId="4" applyNumberFormat="1" applyFont="1" applyFill="1" applyBorder="1" applyAlignment="1" applyProtection="1">
      <alignment horizontal="center" vertical="center" wrapText="1"/>
      <protection hidden="1"/>
    </xf>
    <xf numFmtId="1" fontId="17" fillId="2043" borderId="0" xfId="4" applyNumberFormat="1" applyFont="1" applyFill="1" applyAlignment="1" applyProtection="1">
      <alignment horizontal="center" vertical="center" wrapText="1"/>
      <protection hidden="1"/>
    </xf>
    <xf numFmtId="0" fontId="232" fillId="53" borderId="0" xfId="1" applyFont="1" applyFill="1" applyAlignment="1">
      <alignment horizontal="left" vertical="center" wrapText="1"/>
    </xf>
    <xf numFmtId="0" fontId="1" fillId="16" borderId="0" xfId="1" applyFill="1" applyAlignment="1">
      <alignment horizontal="left" vertical="center" wrapText="1"/>
    </xf>
    <xf numFmtId="1" fontId="56" fillId="1822" borderId="0" xfId="4" applyNumberFormat="1" applyFont="1" applyFill="1" applyAlignment="1" applyProtection="1">
      <alignment horizontal="center" vertical="center" wrapText="1"/>
      <protection hidden="1"/>
    </xf>
    <xf numFmtId="1" fontId="56" fillId="1822" borderId="40" xfId="4" applyNumberFormat="1" applyFont="1" applyFill="1" applyBorder="1" applyAlignment="1" applyProtection="1">
      <alignment horizontal="center" vertical="center" wrapText="1"/>
      <protection hidden="1"/>
    </xf>
    <xf numFmtId="1" fontId="11" fillId="29" borderId="40" xfId="4" applyNumberFormat="1" applyFont="1" applyFill="1" applyBorder="1" applyAlignment="1" applyProtection="1">
      <alignment horizontal="center" vertical="center" wrapText="1"/>
      <protection hidden="1"/>
    </xf>
    <xf numFmtId="1" fontId="11" fillId="29" borderId="0" xfId="4" applyNumberFormat="1" applyFont="1" applyFill="1" applyAlignment="1" applyProtection="1">
      <alignment horizontal="center" vertical="center" wrapText="1"/>
      <protection hidden="1"/>
    </xf>
    <xf numFmtId="1" fontId="56" fillId="20" borderId="40" xfId="4" applyNumberFormat="1" applyFont="1" applyFill="1" applyBorder="1" applyAlignment="1" applyProtection="1">
      <alignment horizontal="center" vertical="center"/>
      <protection hidden="1"/>
    </xf>
    <xf numFmtId="1" fontId="56" fillId="20" borderId="0" xfId="4" applyNumberFormat="1" applyFont="1" applyFill="1" applyAlignment="1" applyProtection="1">
      <alignment horizontal="center" vertical="center"/>
      <protection hidden="1"/>
    </xf>
    <xf numFmtId="1" fontId="56" fillId="45" borderId="40" xfId="4" applyNumberFormat="1" applyFont="1" applyFill="1" applyBorder="1" applyAlignment="1" applyProtection="1">
      <alignment horizontal="center" vertical="center" wrapText="1"/>
      <protection hidden="1"/>
    </xf>
    <xf numFmtId="1" fontId="56" fillId="45" borderId="0" xfId="4" applyNumberFormat="1" applyFont="1" applyFill="1" applyAlignment="1" applyProtection="1">
      <alignment horizontal="center" vertical="center" wrapText="1"/>
      <protection hidden="1"/>
    </xf>
    <xf numFmtId="1" fontId="56" fillId="57" borderId="40" xfId="4" applyNumberFormat="1" applyFont="1" applyFill="1" applyBorder="1" applyAlignment="1" applyProtection="1">
      <alignment horizontal="center" vertical="center" wrapText="1"/>
      <protection hidden="1"/>
    </xf>
    <xf numFmtId="1" fontId="56" fillId="57" borderId="0" xfId="4" applyNumberFormat="1" applyFont="1" applyFill="1" applyAlignment="1" applyProtection="1">
      <alignment horizontal="center" vertical="center" wrapText="1"/>
      <protection hidden="1"/>
    </xf>
    <xf numFmtId="2" fontId="307" fillId="81" borderId="40" xfId="4" applyNumberFormat="1" applyFont="1" applyFill="1" applyBorder="1" applyAlignment="1" applyProtection="1">
      <alignment horizontal="center" vertical="center"/>
      <protection locked="0"/>
    </xf>
    <xf numFmtId="2" fontId="307" fillId="81" borderId="0" xfId="4" applyNumberFormat="1" applyFont="1" applyFill="1" applyAlignment="1" applyProtection="1">
      <alignment horizontal="center" vertical="center"/>
      <protection locked="0"/>
    </xf>
    <xf numFmtId="0" fontId="17" fillId="9" borderId="415" xfId="13" applyFont="1" applyFill="1" applyBorder="1" applyAlignment="1">
      <alignment horizontal="center"/>
    </xf>
    <xf numFmtId="0" fontId="59" fillId="9" borderId="452" xfId="13" applyFont="1" applyFill="1" applyBorder="1" applyAlignment="1">
      <alignment horizontal="center" vertical="center" wrapText="1"/>
    </xf>
    <xf numFmtId="0" fontId="59" fillId="9" borderId="454" xfId="13" applyFont="1" applyFill="1" applyBorder="1" applyAlignment="1">
      <alignment horizontal="center" vertical="center" wrapText="1"/>
    </xf>
    <xf numFmtId="0" fontId="59" fillId="9" borderId="88" xfId="13" applyFont="1" applyFill="1" applyBorder="1" applyAlignment="1">
      <alignment horizontal="center" vertical="center" wrapText="1"/>
    </xf>
    <xf numFmtId="0" fontId="59" fillId="9" borderId="417" xfId="13" applyFont="1" applyFill="1" applyBorder="1" applyAlignment="1">
      <alignment horizontal="center" vertical="center" wrapText="1"/>
    </xf>
    <xf numFmtId="0" fontId="59" fillId="9" borderId="389" xfId="13" applyFont="1" applyFill="1" applyBorder="1" applyAlignment="1">
      <alignment horizontal="center" vertical="center" wrapText="1"/>
    </xf>
    <xf numFmtId="0" fontId="59" fillId="9" borderId="379" xfId="13" applyFont="1" applyFill="1" applyBorder="1" applyAlignment="1">
      <alignment horizontal="center" vertical="center" wrapText="1"/>
    </xf>
    <xf numFmtId="1" fontId="56" fillId="119" borderId="40" xfId="4" applyNumberFormat="1" applyFont="1" applyFill="1" applyBorder="1" applyAlignment="1" applyProtection="1">
      <alignment horizontal="center" vertical="center" wrapText="1"/>
      <protection hidden="1"/>
    </xf>
    <xf numFmtId="1" fontId="56" fillId="119" borderId="0" xfId="4" applyNumberFormat="1" applyFont="1" applyFill="1" applyAlignment="1" applyProtection="1">
      <alignment horizontal="center" vertical="center" wrapText="1"/>
      <protection hidden="1"/>
    </xf>
    <xf numFmtId="1" fontId="56" fillId="28" borderId="40" xfId="4" applyNumberFormat="1" applyFont="1" applyFill="1" applyBorder="1" applyAlignment="1" applyProtection="1">
      <alignment horizontal="center" vertical="center"/>
      <protection hidden="1"/>
    </xf>
    <xf numFmtId="1" fontId="11" fillId="118" borderId="0" xfId="4" applyNumberFormat="1" applyFont="1" applyFill="1" applyAlignment="1" applyProtection="1">
      <alignment horizontal="center" vertical="center" wrapText="1"/>
      <protection hidden="1"/>
    </xf>
    <xf numFmtId="1" fontId="17" fillId="119" borderId="40" xfId="4" applyNumberFormat="1" applyFont="1" applyFill="1" applyBorder="1" applyAlignment="1" applyProtection="1">
      <alignment horizontal="center" vertical="center" wrapText="1"/>
      <protection hidden="1"/>
    </xf>
    <xf numFmtId="1" fontId="17" fillId="119" borderId="0" xfId="4" applyNumberFormat="1" applyFont="1" applyFill="1" applyAlignment="1" applyProtection="1">
      <alignment horizontal="center" vertical="center" wrapText="1"/>
      <protection hidden="1"/>
    </xf>
    <xf numFmtId="1" fontId="11" fillId="70" borderId="0" xfId="4" applyNumberFormat="1" applyFont="1" applyFill="1" applyAlignment="1" applyProtection="1">
      <alignment horizontal="center" vertical="center" wrapText="1"/>
      <protection hidden="1"/>
    </xf>
    <xf numFmtId="1" fontId="17" fillId="120" borderId="0" xfId="4" applyNumberFormat="1" applyFont="1" applyFill="1" applyAlignment="1" applyProtection="1">
      <alignment horizontal="center" vertical="center" wrapText="1"/>
      <protection hidden="1"/>
    </xf>
    <xf numFmtId="0" fontId="110" fillId="9" borderId="452" xfId="13" applyFont="1" applyFill="1" applyBorder="1" applyAlignment="1">
      <alignment horizontal="center" vertical="center"/>
    </xf>
    <xf numFmtId="0" fontId="110" fillId="9" borderId="454" xfId="13" applyFont="1" applyFill="1" applyBorder="1" applyAlignment="1">
      <alignment horizontal="center" vertical="center"/>
    </xf>
    <xf numFmtId="1" fontId="17" fillId="9" borderId="452" xfId="4" applyNumberFormat="1" applyFont="1" applyFill="1" applyBorder="1" applyAlignment="1" applyProtection="1">
      <alignment horizontal="center" vertical="center" wrapText="1"/>
      <protection hidden="1"/>
    </xf>
    <xf numFmtId="1" fontId="17" fillId="9" borderId="454" xfId="4" applyNumberFormat="1" applyFont="1" applyFill="1" applyBorder="1" applyAlignment="1" applyProtection="1">
      <alignment horizontal="center" vertical="center" wrapText="1"/>
      <protection hidden="1"/>
    </xf>
    <xf numFmtId="1" fontId="17" fillId="9" borderId="389" xfId="4" applyNumberFormat="1" applyFont="1" applyFill="1" applyBorder="1" applyAlignment="1" applyProtection="1">
      <alignment horizontal="center" vertical="center" wrapText="1"/>
      <protection hidden="1"/>
    </xf>
    <xf numFmtId="1" fontId="17" fillId="9" borderId="379" xfId="4" applyNumberFormat="1" applyFont="1" applyFill="1" applyBorder="1" applyAlignment="1" applyProtection="1">
      <alignment horizontal="center" vertical="center" wrapText="1"/>
      <protection hidden="1"/>
    </xf>
    <xf numFmtId="1" fontId="69" fillId="116" borderId="40" xfId="4" applyNumberFormat="1" applyFont="1" applyFill="1" applyBorder="1" applyAlignment="1" applyProtection="1">
      <alignment horizontal="center" vertical="center" wrapText="1"/>
      <protection hidden="1"/>
    </xf>
    <xf numFmtId="1" fontId="69" fillId="116" borderId="0" xfId="4" applyNumberFormat="1" applyFont="1" applyFill="1" applyAlignment="1" applyProtection="1">
      <alignment horizontal="center" vertical="center" wrapText="1"/>
      <protection hidden="1"/>
    </xf>
    <xf numFmtId="1" fontId="17" fillId="122" borderId="0" xfId="4" applyNumberFormat="1" applyFont="1" applyFill="1" applyAlignment="1" applyProtection="1">
      <alignment horizontal="center" vertical="center" wrapText="1"/>
      <protection hidden="1"/>
    </xf>
    <xf numFmtId="0" fontId="110" fillId="9" borderId="88" xfId="13" applyFont="1" applyFill="1" applyBorder="1" applyAlignment="1">
      <alignment horizontal="center" vertical="center"/>
    </xf>
    <xf numFmtId="0" fontId="110" fillId="9" borderId="417" xfId="13" applyFont="1" applyFill="1" applyBorder="1" applyAlignment="1">
      <alignment horizontal="center" vertical="center"/>
    </xf>
    <xf numFmtId="0" fontId="10" fillId="9" borderId="88" xfId="13" applyFont="1" applyFill="1" applyBorder="1" applyAlignment="1">
      <alignment horizontal="center" vertical="center"/>
    </xf>
    <xf numFmtId="0" fontId="10" fillId="9" borderId="417" xfId="13" applyFont="1" applyFill="1" applyBorder="1" applyAlignment="1">
      <alignment horizontal="center" vertical="center"/>
    </xf>
    <xf numFmtId="0" fontId="56" fillId="75" borderId="40" xfId="4" applyFont="1" applyFill="1" applyBorder="1" applyAlignment="1">
      <alignment horizontal="center" vertical="center" wrapText="1"/>
    </xf>
    <xf numFmtId="0" fontId="56" fillId="75" borderId="0" xfId="4" applyFont="1" applyFill="1" applyAlignment="1">
      <alignment horizontal="center" vertical="center" wrapText="1"/>
    </xf>
    <xf numFmtId="1" fontId="17" fillId="121" borderId="0" xfId="4" applyNumberFormat="1" applyFont="1" applyFill="1" applyAlignment="1" applyProtection="1">
      <alignment horizontal="center" vertical="center" wrapText="1"/>
      <protection hidden="1"/>
    </xf>
    <xf numFmtId="1" fontId="56" fillId="39" borderId="40" xfId="4" applyNumberFormat="1" applyFont="1" applyFill="1" applyBorder="1" applyAlignment="1" applyProtection="1">
      <alignment horizontal="center" vertical="center" wrapText="1"/>
      <protection hidden="1"/>
    </xf>
    <xf numFmtId="1" fontId="56" fillId="39" borderId="0" xfId="4" applyNumberFormat="1" applyFont="1" applyFill="1" applyAlignment="1" applyProtection="1">
      <alignment horizontal="center" vertical="center" wrapText="1"/>
      <protection hidden="1"/>
    </xf>
    <xf numFmtId="1" fontId="95" fillId="29" borderId="0" xfId="4" applyNumberFormat="1" applyFont="1" applyFill="1" applyAlignment="1" applyProtection="1">
      <alignment horizontal="center" vertical="center" wrapText="1"/>
      <protection hidden="1"/>
    </xf>
    <xf numFmtId="1" fontId="17" fillId="123" borderId="0" xfId="4" applyNumberFormat="1" applyFont="1" applyFill="1" applyAlignment="1" applyProtection="1">
      <alignment horizontal="center" vertical="center" wrapText="1"/>
      <protection hidden="1"/>
    </xf>
    <xf numFmtId="1" fontId="69" fillId="118" borderId="40" xfId="4" applyNumberFormat="1" applyFont="1" applyFill="1" applyBorder="1" applyAlignment="1" applyProtection="1">
      <alignment horizontal="center" vertical="center" wrapText="1"/>
      <protection hidden="1"/>
    </xf>
    <xf numFmtId="1" fontId="69" fillId="118" borderId="0" xfId="4" applyNumberFormat="1" applyFont="1" applyFill="1" applyAlignment="1" applyProtection="1">
      <alignment horizontal="center" vertical="center" wrapText="1"/>
      <protection hidden="1"/>
    </xf>
    <xf numFmtId="1" fontId="17" fillId="125" borderId="0" xfId="4" applyNumberFormat="1" applyFont="1" applyFill="1" applyAlignment="1" applyProtection="1">
      <alignment horizontal="center" vertical="center" wrapText="1"/>
      <protection hidden="1"/>
    </xf>
    <xf numFmtId="1" fontId="17" fillId="126" borderId="0" xfId="4" applyNumberFormat="1" applyFont="1" applyFill="1" applyAlignment="1" applyProtection="1">
      <alignment horizontal="center" vertical="center" wrapText="1"/>
      <protection hidden="1"/>
    </xf>
    <xf numFmtId="0" fontId="10" fillId="9" borderId="389" xfId="13" applyFont="1" applyFill="1" applyBorder="1" applyAlignment="1">
      <alignment horizontal="center" vertical="center"/>
    </xf>
    <xf numFmtId="0" fontId="10" fillId="9" borderId="379" xfId="13" applyFont="1" applyFill="1" applyBorder="1" applyAlignment="1">
      <alignment horizontal="center" vertical="center"/>
    </xf>
    <xf numFmtId="1" fontId="69" fillId="124" borderId="40" xfId="4" applyNumberFormat="1" applyFont="1" applyFill="1" applyBorder="1" applyAlignment="1" applyProtection="1">
      <alignment horizontal="center" vertical="center" wrapText="1"/>
      <protection hidden="1"/>
    </xf>
    <xf numFmtId="1" fontId="69" fillId="124" borderId="0" xfId="4" applyNumberFormat="1" applyFont="1" applyFill="1" applyAlignment="1" applyProtection="1">
      <alignment horizontal="center" vertical="center" wrapText="1"/>
      <protection hidden="1"/>
    </xf>
    <xf numFmtId="1" fontId="11" fillId="60" borderId="0" xfId="4" applyNumberFormat="1" applyFont="1" applyFill="1" applyAlignment="1" applyProtection="1">
      <alignment horizontal="center" vertical="center" wrapText="1"/>
      <protection hidden="1"/>
    </xf>
    <xf numFmtId="1" fontId="11" fillId="124" borderId="0" xfId="4" applyNumberFormat="1" applyFont="1" applyFill="1" applyAlignment="1" applyProtection="1">
      <alignment horizontal="center" vertical="center" wrapText="1"/>
      <protection hidden="1"/>
    </xf>
    <xf numFmtId="1" fontId="69" fillId="128" borderId="40" xfId="4" applyNumberFormat="1" applyFont="1" applyFill="1" applyBorder="1" applyAlignment="1" applyProtection="1">
      <alignment horizontal="center" vertical="center" wrapText="1"/>
      <protection hidden="1"/>
    </xf>
    <xf numFmtId="1" fontId="69" fillId="128" borderId="0" xfId="4" applyNumberFormat="1" applyFont="1" applyFill="1" applyAlignment="1" applyProtection="1">
      <alignment horizontal="center" vertical="center" wrapText="1"/>
      <protection hidden="1"/>
    </xf>
    <xf numFmtId="1" fontId="17" fillId="127" borderId="0" xfId="4" applyNumberFormat="1" applyFont="1" applyFill="1" applyAlignment="1" applyProtection="1">
      <alignment horizontal="center" vertical="center" wrapText="1"/>
      <protection hidden="1"/>
    </xf>
    <xf numFmtId="1" fontId="56" fillId="126" borderId="40" xfId="4" applyNumberFormat="1" applyFont="1" applyFill="1" applyBorder="1" applyAlignment="1" applyProtection="1">
      <alignment horizontal="center" vertical="center" wrapText="1"/>
      <protection hidden="1"/>
    </xf>
    <xf numFmtId="1" fontId="56" fillId="126" borderId="0" xfId="4" applyNumberFormat="1" applyFont="1" applyFill="1" applyAlignment="1" applyProtection="1">
      <alignment horizontal="center" vertical="center" wrapText="1"/>
      <protection hidden="1"/>
    </xf>
    <xf numFmtId="1" fontId="56" fillId="127" borderId="40" xfId="4" applyNumberFormat="1" applyFont="1" applyFill="1" applyBorder="1" applyAlignment="1" applyProtection="1">
      <alignment horizontal="center" vertical="center" wrapText="1"/>
      <protection hidden="1"/>
    </xf>
    <xf numFmtId="1" fontId="56" fillId="127" borderId="0" xfId="4" applyNumberFormat="1" applyFont="1" applyFill="1" applyAlignment="1" applyProtection="1">
      <alignment horizontal="center" vertical="center" wrapText="1"/>
      <protection hidden="1"/>
    </xf>
    <xf numFmtId="1" fontId="11" fillId="60" borderId="40" xfId="4" applyNumberFormat="1" applyFont="1" applyFill="1" applyBorder="1" applyAlignment="1" applyProtection="1">
      <alignment horizontal="center" vertical="center" wrapText="1"/>
      <protection hidden="1"/>
    </xf>
    <xf numFmtId="2" fontId="307" fillId="81" borderId="40" xfId="4" applyNumberFormat="1" applyFont="1" applyFill="1" applyBorder="1" applyAlignment="1" applyProtection="1">
      <alignment horizontal="center" vertical="center" wrapText="1"/>
      <protection locked="0"/>
    </xf>
    <xf numFmtId="2" fontId="307" fillId="81" borderId="0" xfId="4" applyNumberFormat="1" applyFont="1" applyFill="1" applyAlignment="1" applyProtection="1">
      <alignment horizontal="center" vertical="center" wrapText="1"/>
      <protection locked="0"/>
    </xf>
    <xf numFmtId="1" fontId="56" fillId="125" borderId="40" xfId="4" applyNumberFormat="1" applyFont="1" applyFill="1" applyBorder="1" applyAlignment="1" applyProtection="1">
      <alignment horizontal="center" vertical="center" wrapText="1"/>
      <protection hidden="1"/>
    </xf>
    <xf numFmtId="1" fontId="56" fillId="125" borderId="0" xfId="4" applyNumberFormat="1" applyFont="1" applyFill="1" applyAlignment="1" applyProtection="1">
      <alignment horizontal="center" vertical="center" wrapText="1"/>
      <protection hidden="1"/>
    </xf>
    <xf numFmtId="1" fontId="56" fillId="121" borderId="40" xfId="4" applyNumberFormat="1" applyFont="1" applyFill="1" applyBorder="1" applyAlignment="1" applyProtection="1">
      <alignment horizontal="center" vertical="center" wrapText="1"/>
      <protection hidden="1"/>
    </xf>
    <xf numFmtId="1" fontId="56" fillId="121" borderId="0" xfId="4" applyNumberFormat="1" applyFont="1" applyFill="1" applyAlignment="1" applyProtection="1">
      <alignment horizontal="center" vertical="center" wrapText="1"/>
      <protection hidden="1"/>
    </xf>
    <xf numFmtId="1" fontId="69" fillId="70" borderId="40" xfId="4" applyNumberFormat="1" applyFont="1" applyFill="1" applyBorder="1" applyAlignment="1" applyProtection="1">
      <alignment horizontal="center" vertical="center" wrapText="1"/>
      <protection hidden="1"/>
    </xf>
    <xf numFmtId="1" fontId="69" fillId="70" borderId="0" xfId="4" applyNumberFormat="1" applyFont="1" applyFill="1" applyAlignment="1" applyProtection="1">
      <alignment horizontal="center" vertical="center" wrapText="1"/>
      <protection hidden="1"/>
    </xf>
    <xf numFmtId="1" fontId="17" fillId="120" borderId="40" xfId="4" applyNumberFormat="1" applyFont="1" applyFill="1" applyBorder="1" applyAlignment="1" applyProtection="1">
      <alignment horizontal="center" vertical="center" wrapText="1"/>
      <protection hidden="1"/>
    </xf>
    <xf numFmtId="1" fontId="56" fillId="122" borderId="40" xfId="4" applyNumberFormat="1" applyFont="1" applyFill="1" applyBorder="1" applyAlignment="1" applyProtection="1">
      <alignment horizontal="center" vertical="center" wrapText="1"/>
      <protection hidden="1"/>
    </xf>
    <xf numFmtId="1" fontId="56" fillId="122" borderId="0" xfId="4" applyNumberFormat="1" applyFont="1" applyFill="1" applyAlignment="1" applyProtection="1">
      <alignment horizontal="center" vertical="center" wrapText="1"/>
      <protection hidden="1"/>
    </xf>
    <xf numFmtId="1" fontId="56" fillId="123" borderId="40" xfId="4" applyNumberFormat="1" applyFont="1" applyFill="1" applyBorder="1" applyAlignment="1" applyProtection="1">
      <alignment horizontal="center" vertical="center" wrapText="1"/>
      <protection hidden="1"/>
    </xf>
    <xf numFmtId="1" fontId="56" fillId="123" borderId="0" xfId="4" applyNumberFormat="1" applyFont="1" applyFill="1" applyAlignment="1" applyProtection="1">
      <alignment horizontal="center" vertical="center" wrapText="1"/>
      <protection hidden="1"/>
    </xf>
    <xf numFmtId="1" fontId="69" fillId="29" borderId="40" xfId="4" applyNumberFormat="1" applyFont="1" applyFill="1" applyBorder="1" applyAlignment="1" applyProtection="1">
      <alignment horizontal="center" vertical="center" wrapText="1"/>
      <protection hidden="1"/>
    </xf>
    <xf numFmtId="1" fontId="69" fillId="29" borderId="0" xfId="4" applyNumberFormat="1" applyFont="1" applyFill="1" applyAlignment="1" applyProtection="1">
      <alignment horizontal="center" vertical="center" wrapText="1"/>
      <protection hidden="1"/>
    </xf>
    <xf numFmtId="1" fontId="56" fillId="20" borderId="40" xfId="4" applyNumberFormat="1" applyFont="1" applyFill="1" applyBorder="1" applyAlignment="1" applyProtection="1">
      <alignment horizontal="center" vertical="center" wrapText="1"/>
      <protection hidden="1"/>
    </xf>
    <xf numFmtId="1" fontId="56" fillId="20" borderId="0" xfId="4" applyNumberFormat="1" applyFont="1" applyFill="1" applyAlignment="1" applyProtection="1">
      <alignment horizontal="center" vertical="center" wrapText="1"/>
      <protection hidden="1"/>
    </xf>
    <xf numFmtId="1" fontId="144" fillId="116" borderId="40" xfId="4" applyNumberFormat="1" applyFont="1" applyFill="1" applyBorder="1" applyAlignment="1" applyProtection="1">
      <alignment horizontal="center" vertical="center" wrapText="1"/>
      <protection hidden="1"/>
    </xf>
    <xf numFmtId="1" fontId="144" fillId="116" borderId="0" xfId="4" applyNumberFormat="1" applyFont="1" applyFill="1" applyAlignment="1" applyProtection="1">
      <alignment horizontal="center" vertical="center" wrapText="1"/>
      <protection hidden="1"/>
    </xf>
    <xf numFmtId="0" fontId="46" fillId="5" borderId="516" xfId="0" applyFont="1" applyFill="1" applyBorder="1" applyAlignment="1">
      <alignment horizontal="left" vertical="center"/>
    </xf>
    <xf numFmtId="0" fontId="46" fillId="5" borderId="517" xfId="0" applyFont="1" applyFill="1" applyBorder="1" applyAlignment="1">
      <alignment horizontal="left" vertical="center"/>
    </xf>
    <xf numFmtId="0" fontId="87" fillId="9" borderId="517" xfId="0" applyFont="1" applyFill="1" applyBorder="1" applyAlignment="1">
      <alignment horizontal="left" vertical="center" wrapText="1"/>
    </xf>
    <xf numFmtId="0" fontId="87" fillId="9" borderId="527" xfId="0" applyFont="1" applyFill="1" applyBorder="1" applyAlignment="1">
      <alignment horizontal="left" vertical="center" wrapText="1"/>
    </xf>
    <xf numFmtId="0" fontId="17" fillId="9" borderId="517" xfId="4" applyFont="1" applyFill="1" applyBorder="1" applyAlignment="1" applyProtection="1">
      <alignment horizontal="left" vertical="center" wrapText="1"/>
      <protection locked="0"/>
    </xf>
    <xf numFmtId="0" fontId="159" fillId="0" borderId="517" xfId="0" applyFont="1" applyBorder="1" applyAlignment="1">
      <alignment horizontal="left" vertical="center" wrapText="1"/>
    </xf>
    <xf numFmtId="0" fontId="159" fillId="0" borderId="518" xfId="0" applyFont="1" applyBorder="1" applyAlignment="1">
      <alignment horizontal="left" vertical="center" wrapText="1"/>
    </xf>
    <xf numFmtId="0" fontId="0" fillId="28" borderId="517" xfId="0" applyFill="1" applyBorder="1" applyAlignment="1">
      <alignment horizontal="left" vertical="center" wrapText="1"/>
    </xf>
    <xf numFmtId="0" fontId="4" fillId="5" borderId="516" xfId="0" applyFont="1" applyFill="1" applyBorder="1" applyAlignment="1">
      <alignment horizontal="left" vertical="center" wrapText="1"/>
    </xf>
    <xf numFmtId="0" fontId="4" fillId="5" borderId="517" xfId="0" applyFont="1" applyFill="1" applyBorder="1" applyAlignment="1">
      <alignment horizontal="left" vertical="center" wrapText="1"/>
    </xf>
    <xf numFmtId="0" fontId="168" fillId="27" borderId="525" xfId="0" applyFont="1" applyFill="1" applyBorder="1" applyAlignment="1">
      <alignment horizontal="center" vertical="center" wrapText="1"/>
    </xf>
    <xf numFmtId="0" fontId="168" fillId="27" borderId="517" xfId="0" applyFont="1" applyFill="1" applyBorder="1" applyAlignment="1">
      <alignment horizontal="center" vertical="center" wrapText="1"/>
    </xf>
    <xf numFmtId="0" fontId="0" fillId="0" borderId="517" xfId="0" applyBorder="1" applyAlignment="1">
      <alignment horizontal="center" vertical="center" wrapText="1"/>
    </xf>
    <xf numFmtId="0" fontId="69" fillId="32" borderId="270" xfId="4" applyFont="1" applyFill="1" applyBorder="1" applyAlignment="1">
      <alignment horizontal="center" vertical="center"/>
    </xf>
    <xf numFmtId="0" fontId="184" fillId="32" borderId="40" xfId="4" applyFont="1" applyFill="1" applyBorder="1" applyAlignment="1">
      <alignment horizontal="center" vertical="center" wrapText="1"/>
    </xf>
    <xf numFmtId="0" fontId="184" fillId="32" borderId="0" xfId="4" applyFont="1" applyFill="1" applyAlignment="1">
      <alignment horizontal="center" vertical="center" wrapText="1"/>
    </xf>
    <xf numFmtId="1" fontId="112" fillId="28" borderId="40" xfId="4" applyNumberFormat="1" applyFont="1" applyFill="1" applyBorder="1" applyAlignment="1" applyProtection="1">
      <alignment horizontal="center" vertical="center"/>
      <protection hidden="1"/>
    </xf>
    <xf numFmtId="1" fontId="112" fillId="28" borderId="0" xfId="4" applyNumberFormat="1" applyFont="1" applyFill="1" applyAlignment="1" applyProtection="1">
      <alignment horizontal="center" vertical="center"/>
      <protection hidden="1"/>
    </xf>
    <xf numFmtId="0" fontId="516" fillId="32" borderId="140" xfId="3" applyFont="1" applyFill="1" applyBorder="1" applyAlignment="1">
      <alignment horizontal="center" vertical="center"/>
    </xf>
    <xf numFmtId="0" fontId="651" fillId="75" borderId="431" xfId="4" applyFont="1" applyFill="1" applyBorder="1" applyAlignment="1">
      <alignment horizontal="center" vertical="center" textRotation="90"/>
    </xf>
    <xf numFmtId="0" fontId="651" fillId="75" borderId="272" xfId="4" applyFont="1" applyFill="1" applyBorder="1" applyAlignment="1">
      <alignment horizontal="center" vertical="center" textRotation="90"/>
    </xf>
    <xf numFmtId="0" fontId="651" fillId="75" borderId="273" xfId="4" applyFont="1" applyFill="1" applyBorder="1" applyAlignment="1">
      <alignment horizontal="center" vertical="center" textRotation="90"/>
    </xf>
    <xf numFmtId="0" fontId="11" fillId="32" borderId="270" xfId="1" applyFont="1" applyFill="1" applyBorder="1" applyAlignment="1">
      <alignment horizontal="center" vertical="center"/>
    </xf>
    <xf numFmtId="0" fontId="654" fillId="2046" borderId="0" xfId="4" applyFont="1" applyFill="1" applyAlignment="1">
      <alignment horizontal="center" vertical="center" wrapText="1"/>
    </xf>
    <xf numFmtId="0" fontId="14" fillId="28" borderId="0" xfId="4" quotePrefix="1" applyFont="1" applyFill="1" applyAlignment="1">
      <alignment horizontal="center" vertical="top" wrapText="1"/>
    </xf>
    <xf numFmtId="0" fontId="112" fillId="28" borderId="417" xfId="4" applyFont="1" applyFill="1" applyBorder="1" applyAlignment="1">
      <alignment horizontal="right" vertical="center"/>
    </xf>
    <xf numFmtId="0" fontId="199" fillId="9" borderId="40" xfId="46" applyFont="1" applyFill="1" applyBorder="1" applyAlignment="1">
      <alignment horizontal="center" vertical="center"/>
    </xf>
    <xf numFmtId="0" fontId="199" fillId="9" borderId="0" xfId="46" applyFont="1" applyFill="1" applyAlignment="1">
      <alignment horizontal="center" vertical="center"/>
    </xf>
    <xf numFmtId="0" fontId="46" fillId="5" borderId="134" xfId="0" applyFont="1" applyFill="1" applyBorder="1" applyAlignment="1">
      <alignment horizontal="center" vertical="center"/>
    </xf>
    <xf numFmtId="0" fontId="46" fillId="5" borderId="135" xfId="0" applyFont="1" applyFill="1" applyBorder="1" applyAlignment="1">
      <alignment horizontal="center" vertical="center"/>
    </xf>
    <xf numFmtId="0" fontId="46" fillId="5" borderId="136" xfId="0" applyFont="1" applyFill="1" applyBorder="1" applyAlignment="1">
      <alignment horizontal="center" vertical="center"/>
    </xf>
    <xf numFmtId="0" fontId="125" fillId="9" borderId="0" xfId="0" applyFont="1" applyFill="1" applyAlignment="1">
      <alignment horizontal="right" vertical="center"/>
    </xf>
    <xf numFmtId="0" fontId="656" fillId="16" borderId="417" xfId="3" applyFont="1" applyFill="1" applyBorder="1" applyAlignment="1">
      <alignment horizontal="left" vertical="center" wrapText="1"/>
    </xf>
    <xf numFmtId="0" fontId="89" fillId="75" borderId="0" xfId="19" applyFont="1" applyFill="1" applyAlignment="1">
      <alignment horizontal="center" vertical="center"/>
    </xf>
    <xf numFmtId="0" fontId="57" fillId="75" borderId="0" xfId="19" applyFont="1" applyFill="1" applyAlignment="1">
      <alignment horizontal="left" vertical="center"/>
    </xf>
    <xf numFmtId="0" fontId="76" fillId="75" borderId="0" xfId="19" applyFont="1" applyFill="1" applyAlignment="1">
      <alignment horizontal="center" wrapText="1"/>
    </xf>
    <xf numFmtId="0" fontId="76" fillId="75" borderId="59" xfId="19" applyFont="1" applyFill="1" applyBorder="1" applyAlignment="1">
      <alignment horizontal="center" wrapText="1"/>
    </xf>
    <xf numFmtId="0" fontId="56" fillId="75" borderId="272" xfId="4" applyFont="1" applyFill="1" applyBorder="1" applyAlignment="1" applyProtection="1">
      <alignment horizontal="center" vertical="center" textRotation="90" wrapText="1"/>
      <protection hidden="1"/>
    </xf>
    <xf numFmtId="0" fontId="89" fillId="28" borderId="6" xfId="3" applyFont="1" applyFill="1" applyBorder="1" applyAlignment="1" applyProtection="1">
      <alignment horizontal="center" vertical="center"/>
      <protection locked="0"/>
    </xf>
    <xf numFmtId="0" fontId="89" fillId="28" borderId="59" xfId="3" applyFont="1" applyFill="1" applyBorder="1" applyAlignment="1" applyProtection="1">
      <alignment horizontal="center" vertical="center"/>
      <protection locked="0"/>
    </xf>
    <xf numFmtId="0" fontId="14" fillId="75" borderId="0" xfId="19" applyFont="1" applyFill="1" applyAlignment="1">
      <alignment horizontal="center" vertical="center"/>
    </xf>
    <xf numFmtId="0" fontId="56" fillId="28" borderId="0" xfId="19" applyFont="1" applyFill="1" applyAlignment="1">
      <alignment horizontal="left" vertical="center"/>
    </xf>
    <xf numFmtId="168" fontId="68" fillId="28" borderId="0" xfId="10" applyNumberFormat="1" applyFont="1" applyFill="1" applyAlignment="1">
      <alignment horizontal="center" vertical="center"/>
    </xf>
    <xf numFmtId="168" fontId="68" fillId="28" borderId="294" xfId="10" applyNumberFormat="1" applyFont="1" applyFill="1" applyBorder="1" applyAlignment="1">
      <alignment horizontal="center" vertical="center"/>
    </xf>
    <xf numFmtId="168" fontId="127" fillId="9" borderId="440" xfId="10" applyNumberFormat="1" applyFont="1" applyFill="1" applyBorder="1" applyAlignment="1">
      <alignment horizontal="center" vertical="center"/>
    </xf>
    <xf numFmtId="168" fontId="127" fillId="9" borderId="443" xfId="10" applyNumberFormat="1" applyFont="1" applyFill="1" applyBorder="1" applyAlignment="1">
      <alignment horizontal="center" vertical="center"/>
    </xf>
    <xf numFmtId="0" fontId="56" fillId="28" borderId="417" xfId="19" applyFont="1" applyFill="1" applyBorder="1" applyAlignment="1">
      <alignment horizontal="left" vertical="center"/>
    </xf>
    <xf numFmtId="0" fontId="14" fillId="28" borderId="6" xfId="3" applyFont="1" applyFill="1" applyBorder="1" applyAlignment="1">
      <alignment horizontal="center" vertical="center" wrapText="1"/>
    </xf>
    <xf numFmtId="0" fontId="14" fillId="28" borderId="59" xfId="3" applyFont="1" applyFill="1" applyBorder="1" applyAlignment="1">
      <alignment horizontal="center" vertical="center" wrapText="1"/>
    </xf>
    <xf numFmtId="187" fontId="89" fillId="28" borderId="6" xfId="3" applyNumberFormat="1" applyFont="1" applyFill="1" applyBorder="1" applyAlignment="1">
      <alignment horizontal="center" vertical="center" wrapText="1"/>
    </xf>
    <xf numFmtId="187" fontId="89" fillId="28" borderId="59" xfId="3" applyNumberFormat="1" applyFont="1" applyFill="1" applyBorder="1" applyAlignment="1">
      <alignment horizontal="center" vertical="center" wrapText="1"/>
    </xf>
    <xf numFmtId="164" fontId="57" fillId="73" borderId="6" xfId="4" applyNumberFormat="1" applyFont="1" applyFill="1" applyBorder="1" applyAlignment="1">
      <alignment horizontal="center" vertical="center"/>
    </xf>
    <xf numFmtId="164" fontId="57" fillId="73" borderId="59" xfId="4" applyNumberFormat="1" applyFont="1" applyFill="1" applyBorder="1" applyAlignment="1">
      <alignment horizontal="center" vertical="center"/>
    </xf>
    <xf numFmtId="0" fontId="14" fillId="28" borderId="6" xfId="3" applyFont="1" applyFill="1" applyBorder="1" applyAlignment="1">
      <alignment horizontal="left" vertical="center" wrapText="1"/>
    </xf>
    <xf numFmtId="0" fontId="14" fillId="28" borderId="59" xfId="3" applyFont="1" applyFill="1" applyBorder="1" applyAlignment="1">
      <alignment horizontal="left" vertical="center" wrapText="1"/>
    </xf>
    <xf numFmtId="187" fontId="89" fillId="28" borderId="6" xfId="3" applyNumberFormat="1" applyFont="1" applyFill="1" applyBorder="1" applyAlignment="1">
      <alignment horizontal="center" vertical="center"/>
    </xf>
    <xf numFmtId="187" fontId="89" fillId="28" borderId="59" xfId="3" applyNumberFormat="1" applyFont="1" applyFill="1" applyBorder="1" applyAlignment="1">
      <alignment horizontal="center" vertical="center"/>
    </xf>
    <xf numFmtId="0" fontId="102" fillId="32" borderId="0" xfId="4" applyFont="1" applyFill="1" applyAlignment="1" applyProtection="1">
      <alignment horizontal="right" vertical="center"/>
      <protection locked="0"/>
    </xf>
    <xf numFmtId="0" fontId="47" fillId="28" borderId="2" xfId="1" applyFont="1" applyFill="1" applyBorder="1" applyAlignment="1">
      <alignment horizontal="center" vertical="center" wrapText="1"/>
    </xf>
    <xf numFmtId="0" fontId="47" fillId="28" borderId="0" xfId="1" applyFont="1" applyFill="1" applyAlignment="1">
      <alignment horizontal="center" vertical="center" wrapText="1"/>
    </xf>
    <xf numFmtId="0" fontId="47" fillId="28" borderId="4" xfId="1" applyFont="1" applyFill="1" applyBorder="1" applyAlignment="1">
      <alignment horizontal="center" vertical="center" wrapText="1"/>
    </xf>
    <xf numFmtId="0" fontId="68" fillId="2040" borderId="102" xfId="10" applyFont="1" applyFill="1" applyBorder="1" applyAlignment="1">
      <alignment horizontal="center" vertical="center"/>
    </xf>
    <xf numFmtId="0" fontId="68" fillId="2040" borderId="40" xfId="10" applyFont="1" applyFill="1" applyBorder="1" applyAlignment="1">
      <alignment horizontal="center" vertical="center"/>
    </xf>
    <xf numFmtId="0" fontId="68" fillId="2040" borderId="270" xfId="10" applyFont="1" applyFill="1" applyBorder="1" applyAlignment="1">
      <alignment horizontal="center" vertical="center"/>
    </xf>
    <xf numFmtId="0" fontId="68" fillId="2040" borderId="0" xfId="10" applyFont="1" applyFill="1" applyAlignment="1">
      <alignment horizontal="center" vertical="center"/>
    </xf>
    <xf numFmtId="168" fontId="68" fillId="2040" borderId="140" xfId="3" applyNumberFormat="1" applyFont="1" applyFill="1" applyBorder="1" applyAlignment="1">
      <alignment horizontal="center" vertical="center"/>
    </xf>
    <xf numFmtId="168" fontId="68" fillId="2040" borderId="417" xfId="3" applyNumberFormat="1" applyFont="1" applyFill="1" applyBorder="1" applyAlignment="1">
      <alignment horizontal="center" vertical="center"/>
    </xf>
    <xf numFmtId="0" fontId="662" fillId="28" borderId="2" xfId="1" applyFont="1" applyFill="1" applyBorder="1" applyAlignment="1">
      <alignment horizontal="left" vertical="center" wrapText="1"/>
    </xf>
    <xf numFmtId="0" fontId="662" fillId="28" borderId="0" xfId="1" applyFont="1" applyFill="1" applyAlignment="1">
      <alignment horizontal="left" vertical="center" wrapText="1"/>
    </xf>
    <xf numFmtId="0" fontId="662" fillId="28" borderId="4" xfId="1" applyFont="1" applyFill="1" applyBorder="1" applyAlignment="1">
      <alignment horizontal="left" vertical="center" wrapText="1"/>
    </xf>
    <xf numFmtId="0" fontId="663" fillId="28" borderId="0" xfId="17" applyFont="1" applyFill="1" applyAlignment="1">
      <alignment horizontal="center" vertical="center"/>
    </xf>
    <xf numFmtId="0" fontId="664" fillId="28" borderId="2" xfId="1" applyFont="1" applyFill="1" applyBorder="1" applyAlignment="1">
      <alignment horizontal="left" vertical="center" wrapText="1"/>
    </xf>
    <xf numFmtId="0" fontId="664" fillId="28" borderId="0" xfId="1" applyFont="1" applyFill="1" applyAlignment="1">
      <alignment horizontal="left" vertical="center" wrapText="1"/>
    </xf>
    <xf numFmtId="0" fontId="664" fillId="28" borderId="4" xfId="1" applyFont="1" applyFill="1" applyBorder="1" applyAlignment="1">
      <alignment horizontal="left" vertical="center" wrapText="1"/>
    </xf>
    <xf numFmtId="0" fontId="57" fillId="75" borderId="0" xfId="19" applyFont="1" applyFill="1" applyAlignment="1">
      <alignment horizontal="center" vertical="center"/>
    </xf>
    <xf numFmtId="0" fontId="666" fillId="28" borderId="0" xfId="1" applyFont="1" applyFill="1" applyAlignment="1">
      <alignment horizontal="center" vertical="center" wrapText="1"/>
    </xf>
    <xf numFmtId="0" fontId="666" fillId="28" borderId="4" xfId="1" applyFont="1" applyFill="1" applyBorder="1" applyAlignment="1">
      <alignment horizontal="center" vertical="center" wrapText="1"/>
    </xf>
    <xf numFmtId="0" fontId="47" fillId="28" borderId="2" xfId="0" applyFont="1" applyFill="1" applyBorder="1" applyAlignment="1">
      <alignment horizontal="center" vertical="center" wrapText="1"/>
    </xf>
    <xf numFmtId="0" fontId="47" fillId="28" borderId="0" xfId="0" applyFont="1" applyFill="1" applyAlignment="1">
      <alignment horizontal="center" vertical="center" wrapText="1"/>
    </xf>
    <xf numFmtId="0" fontId="47" fillId="28" borderId="4" xfId="0" applyFont="1" applyFill="1" applyBorder="1" applyAlignment="1">
      <alignment horizontal="center" vertical="center" wrapText="1"/>
    </xf>
    <xf numFmtId="168" fontId="23" fillId="75" borderId="0" xfId="3" applyNumberFormat="1" applyFont="1" applyFill="1" applyAlignment="1" applyProtection="1">
      <alignment horizontal="center" vertical="center"/>
      <protection locked="0"/>
    </xf>
    <xf numFmtId="168" fontId="23" fillId="75" borderId="415" xfId="3" applyNumberFormat="1" applyFont="1" applyFill="1" applyBorder="1" applyAlignment="1" applyProtection="1">
      <alignment horizontal="center" vertical="center"/>
      <protection locked="0"/>
    </xf>
    <xf numFmtId="0" fontId="104" fillId="12" borderId="400" xfId="4" applyFont="1" applyFill="1" applyBorder="1" applyAlignment="1" applyProtection="1">
      <alignment horizontal="center" vertical="center" wrapText="1"/>
      <protection hidden="1"/>
    </xf>
    <xf numFmtId="0" fontId="206" fillId="5" borderId="68" xfId="4" applyFont="1" applyFill="1" applyBorder="1" applyAlignment="1">
      <alignment horizontal="center" vertical="center" wrapText="1"/>
    </xf>
    <xf numFmtId="0" fontId="206" fillId="5" borderId="59" xfId="4" applyFont="1" applyFill="1" applyBorder="1" applyAlignment="1">
      <alignment horizontal="center" vertical="center" wrapText="1"/>
    </xf>
    <xf numFmtId="164" fontId="45" fillId="73" borderId="6" xfId="4" applyNumberFormat="1" applyFont="1" applyFill="1" applyBorder="1" applyAlignment="1">
      <alignment horizontal="center" vertical="center"/>
    </xf>
    <xf numFmtId="164" fontId="45" fillId="73" borderId="59" xfId="4" applyNumberFormat="1" applyFont="1" applyFill="1" applyBorder="1" applyAlignment="1">
      <alignment horizontal="center" vertical="center"/>
    </xf>
    <xf numFmtId="187" fontId="14" fillId="28" borderId="6" xfId="3" applyNumberFormat="1" applyFont="1" applyFill="1" applyBorder="1" applyAlignment="1">
      <alignment horizontal="center" vertical="center"/>
    </xf>
    <xf numFmtId="187" fontId="14" fillId="28" borderId="59" xfId="3" applyNumberFormat="1" applyFont="1" applyFill="1" applyBorder="1" applyAlignment="1">
      <alignment horizontal="center" vertical="center"/>
    </xf>
    <xf numFmtId="168" fontId="68" fillId="2040" borderId="0" xfId="3" applyNumberFormat="1" applyFont="1" applyFill="1" applyAlignment="1">
      <alignment horizontal="center" vertical="center"/>
    </xf>
    <xf numFmtId="1" fontId="112" fillId="2040" borderId="0" xfId="3" applyNumberFormat="1" applyFont="1" applyFill="1" applyAlignment="1">
      <alignment horizontal="center" vertical="center"/>
    </xf>
    <xf numFmtId="1" fontId="89" fillId="2040" borderId="0" xfId="3" applyNumberFormat="1" applyFont="1" applyFill="1" applyAlignment="1">
      <alignment horizontal="left" vertical="center" wrapText="1"/>
    </xf>
    <xf numFmtId="1" fontId="89" fillId="2040" borderId="417" xfId="3" applyNumberFormat="1" applyFont="1" applyFill="1" applyBorder="1" applyAlignment="1">
      <alignment horizontal="left" vertical="center" wrapText="1"/>
    </xf>
    <xf numFmtId="0" fontId="205" fillId="14" borderId="2" xfId="4" applyFont="1" applyFill="1" applyBorder="1" applyAlignment="1">
      <alignment horizontal="center" vertical="center"/>
    </xf>
    <xf numFmtId="0" fontId="39" fillId="9" borderId="0" xfId="1" applyFont="1" applyFill="1" applyAlignment="1">
      <alignment horizontal="center" vertical="center" wrapText="1"/>
    </xf>
    <xf numFmtId="0" fontId="39" fillId="9" borderId="4" xfId="1" applyFont="1" applyFill="1" applyBorder="1" applyAlignment="1">
      <alignment horizontal="center" vertical="center" wrapText="1"/>
    </xf>
    <xf numFmtId="0" fontId="59" fillId="9" borderId="67" xfId="4" applyFont="1" applyFill="1" applyBorder="1" applyAlignment="1">
      <alignment horizontal="center" vertical="center" wrapText="1"/>
    </xf>
    <xf numFmtId="0" fontId="59" fillId="28" borderId="32" xfId="4" applyFont="1" applyFill="1" applyBorder="1" applyAlignment="1">
      <alignment horizontal="center" wrapText="1"/>
    </xf>
    <xf numFmtId="0" fontId="59" fillId="28" borderId="59" xfId="4" applyFont="1" applyFill="1" applyBorder="1" applyAlignment="1">
      <alignment horizontal="center" wrapText="1"/>
    </xf>
    <xf numFmtId="0" fontId="56" fillId="75" borderId="439" xfId="4" applyFont="1" applyFill="1" applyBorder="1" applyAlignment="1" applyProtection="1">
      <alignment horizontal="center" vertical="center" textRotation="90" wrapText="1"/>
      <protection hidden="1"/>
    </xf>
    <xf numFmtId="0" fontId="56" fillId="75" borderId="273" xfId="4" applyFont="1" applyFill="1" applyBorder="1" applyAlignment="1" applyProtection="1">
      <alignment horizontal="center" vertical="center" textRotation="90" wrapText="1"/>
      <protection hidden="1"/>
    </xf>
    <xf numFmtId="0" fontId="127" fillId="81" borderId="270" xfId="15" applyFont="1" applyFill="1" applyBorder="1" applyAlignment="1" applyProtection="1">
      <alignment horizontal="center" vertical="center"/>
      <protection locked="0"/>
    </xf>
    <xf numFmtId="0" fontId="79" fillId="12" borderId="2" xfId="4" applyFont="1" applyFill="1" applyBorder="1" applyAlignment="1" applyProtection="1">
      <alignment horizontal="center" vertical="center"/>
      <protection hidden="1"/>
    </xf>
    <xf numFmtId="0" fontId="94" fillId="12" borderId="179" xfId="4" applyFont="1" applyFill="1" applyBorder="1" applyAlignment="1" applyProtection="1">
      <alignment horizontal="center" vertical="center" wrapText="1"/>
      <protection hidden="1"/>
    </xf>
    <xf numFmtId="0" fontId="94" fillId="12" borderId="463" xfId="4" applyFont="1" applyFill="1" applyBorder="1" applyAlignment="1" applyProtection="1">
      <alignment horizontal="center" vertical="center" wrapText="1"/>
      <protection hidden="1"/>
    </xf>
    <xf numFmtId="0" fontId="237" fillId="75" borderId="272" xfId="4" applyFont="1" applyFill="1" applyBorder="1" applyAlignment="1" applyProtection="1">
      <alignment horizontal="center" vertical="center" textRotation="90"/>
      <protection hidden="1"/>
    </xf>
    <xf numFmtId="0" fontId="237" fillId="75" borderId="273" xfId="4" applyFont="1" applyFill="1" applyBorder="1" applyAlignment="1" applyProtection="1">
      <alignment horizontal="center" vertical="center" textRotation="90"/>
      <protection hidden="1"/>
    </xf>
    <xf numFmtId="1" fontId="68" fillId="75" borderId="40" xfId="4" applyNumberFormat="1" applyFont="1" applyFill="1" applyBorder="1" applyAlignment="1" applyProtection="1">
      <alignment horizontal="center" vertical="center" wrapText="1"/>
      <protection hidden="1"/>
    </xf>
    <xf numFmtId="1" fontId="68" fillId="75" borderId="0" xfId="4" applyNumberFormat="1" applyFont="1" applyFill="1" applyAlignment="1" applyProtection="1">
      <alignment horizontal="center" vertical="center" wrapText="1"/>
      <protection hidden="1"/>
    </xf>
    <xf numFmtId="0" fontId="59" fillId="14" borderId="22" xfId="4" applyFont="1" applyFill="1" applyBorder="1" applyAlignment="1">
      <alignment horizontal="center" vertical="center" wrapText="1"/>
    </xf>
    <xf numFmtId="0" fontId="89" fillId="9" borderId="270" xfId="7" applyFont="1" applyFill="1" applyBorder="1" applyAlignment="1">
      <alignment horizontal="center" vertical="center" wrapText="1"/>
    </xf>
    <xf numFmtId="0" fontId="89" fillId="9" borderId="389" xfId="7" applyFont="1" applyFill="1" applyBorder="1" applyAlignment="1">
      <alignment horizontal="center" vertical="center" wrapText="1"/>
    </xf>
    <xf numFmtId="0" fontId="651" fillId="75" borderId="439" xfId="4" applyFont="1" applyFill="1" applyBorder="1" applyAlignment="1">
      <alignment horizontal="center" vertical="center" textRotation="90"/>
    </xf>
    <xf numFmtId="0" fontId="651" fillId="75" borderId="444" xfId="4" applyFont="1" applyFill="1" applyBorder="1" applyAlignment="1">
      <alignment horizontal="center" vertical="center" textRotation="90"/>
    </xf>
    <xf numFmtId="0" fontId="222" fillId="9" borderId="19" xfId="4" applyFont="1" applyFill="1" applyBorder="1" applyAlignment="1">
      <alignment horizontal="left" vertical="center" wrapText="1"/>
    </xf>
    <xf numFmtId="0" fontId="14" fillId="9" borderId="214" xfId="4" applyFont="1" applyFill="1" applyBorder="1" applyAlignment="1">
      <alignment horizontal="center" vertical="center" wrapText="1"/>
    </xf>
    <xf numFmtId="0" fontId="402" fillId="64" borderId="0" xfId="4" applyFont="1" applyFill="1" applyAlignment="1">
      <alignment horizontal="center" vertical="center"/>
    </xf>
    <xf numFmtId="0" fontId="457" fillId="64" borderId="0" xfId="4" applyFont="1" applyFill="1" applyAlignment="1">
      <alignment horizontal="center" vertical="center" wrapText="1"/>
    </xf>
    <xf numFmtId="0" fontId="56" fillId="9" borderId="41" xfId="5" applyFont="1" applyFill="1" applyBorder="1" applyAlignment="1">
      <alignment horizontal="center"/>
    </xf>
    <xf numFmtId="0" fontId="56" fillId="9" borderId="40" xfId="5" applyFont="1" applyFill="1" applyBorder="1" applyAlignment="1">
      <alignment horizontal="center"/>
    </xf>
    <xf numFmtId="0" fontId="46" fillId="9" borderId="2" xfId="5" applyFont="1" applyFill="1" applyBorder="1" applyAlignment="1">
      <alignment horizontal="left" vertical="center" wrapText="1"/>
    </xf>
    <xf numFmtId="0" fontId="46" fillId="9" borderId="0" xfId="5" applyFont="1" applyFill="1" applyAlignment="1">
      <alignment horizontal="left" vertical="center" wrapText="1"/>
    </xf>
    <xf numFmtId="0" fontId="46" fillId="9" borderId="4" xfId="5" applyFont="1" applyFill="1" applyBorder="1" applyAlignment="1">
      <alignment horizontal="left" vertical="center" wrapText="1"/>
    </xf>
    <xf numFmtId="0" fontId="46" fillId="9" borderId="30" xfId="5" applyFont="1" applyFill="1" applyBorder="1" applyAlignment="1">
      <alignment horizontal="left" vertical="center" wrapText="1"/>
    </xf>
    <xf numFmtId="0" fontId="46" fillId="9" borderId="1" xfId="5" applyFont="1" applyFill="1" applyBorder="1" applyAlignment="1">
      <alignment horizontal="left" vertical="center" wrapText="1"/>
    </xf>
    <xf numFmtId="0" fontId="46" fillId="9" borderId="3" xfId="5" applyFont="1" applyFill="1" applyBorder="1" applyAlignment="1">
      <alignment horizontal="left" vertical="center" wrapText="1"/>
    </xf>
    <xf numFmtId="168" fontId="407" fillId="45" borderId="0" xfId="10" applyNumberFormat="1" applyFont="1" applyFill="1" applyAlignment="1">
      <alignment horizontal="center" vertical="center"/>
    </xf>
    <xf numFmtId="0" fontId="460" fillId="53" borderId="0" xfId="4" applyFont="1" applyFill="1" applyAlignment="1" applyProtection="1">
      <alignment horizontal="center" vertical="center"/>
      <protection hidden="1"/>
    </xf>
    <xf numFmtId="0" fontId="89" fillId="9" borderId="116" xfId="7" applyFont="1" applyFill="1" applyBorder="1" applyAlignment="1">
      <alignment horizontal="center" vertical="center" wrapText="1"/>
    </xf>
    <xf numFmtId="0" fontId="68" fillId="5" borderId="32" xfId="4" applyFont="1" applyFill="1" applyBorder="1" applyAlignment="1">
      <alignment horizontal="center" vertical="center"/>
    </xf>
    <xf numFmtId="0" fontId="485" fillId="11" borderId="0" xfId="15" applyFont="1" applyFill="1" applyAlignment="1" applyProtection="1">
      <alignment horizontal="center" vertical="center"/>
      <protection locked="0"/>
    </xf>
    <xf numFmtId="1" fontId="125" fillId="12" borderId="0" xfId="19" applyNumberFormat="1" applyFont="1" applyFill="1" applyAlignment="1">
      <alignment horizontal="center" vertical="center"/>
    </xf>
    <xf numFmtId="0" fontId="143" fillId="81" borderId="0" xfId="15" applyFont="1" applyFill="1" applyAlignment="1" applyProtection="1">
      <alignment horizontal="center" vertical="center"/>
      <protection locked="0"/>
    </xf>
    <xf numFmtId="0" fontId="110" fillId="9" borderId="416" xfId="13" applyFont="1" applyFill="1" applyBorder="1" applyAlignment="1">
      <alignment horizontal="center" vertical="center"/>
    </xf>
    <xf numFmtId="0" fontId="110" fillId="9" borderId="383" xfId="13" applyFont="1" applyFill="1" applyBorder="1" applyAlignment="1">
      <alignment horizontal="center" vertical="center"/>
    </xf>
    <xf numFmtId="0" fontId="89" fillId="9" borderId="0" xfId="1" applyFont="1" applyFill="1" applyAlignment="1">
      <alignment horizontal="center" vertical="center"/>
    </xf>
    <xf numFmtId="0" fontId="62" fillId="9" borderId="0" xfId="14" applyFill="1" applyAlignment="1">
      <alignment horizontal="left" vertical="center"/>
    </xf>
    <xf numFmtId="0" fontId="112" fillId="5" borderId="422" xfId="0" applyFont="1" applyFill="1" applyBorder="1" applyAlignment="1">
      <alignment horizontal="center" vertical="center"/>
    </xf>
    <xf numFmtId="0" fontId="112" fillId="5" borderId="111" xfId="0" applyFont="1" applyFill="1" applyBorder="1" applyAlignment="1">
      <alignment horizontal="center" vertical="center"/>
    </xf>
    <xf numFmtId="0" fontId="112" fillId="5" borderId="429" xfId="0" applyFont="1" applyFill="1" applyBorder="1" applyAlignment="1">
      <alignment horizontal="center" vertical="center"/>
    </xf>
    <xf numFmtId="0" fontId="112" fillId="5" borderId="100" xfId="0" applyFont="1" applyFill="1" applyBorder="1" applyAlignment="1">
      <alignment horizontal="center" vertical="center"/>
    </xf>
    <xf numFmtId="0" fontId="549" fillId="9" borderId="0" xfId="4" applyFont="1" applyFill="1" applyAlignment="1" applyProtection="1">
      <alignment horizontal="center" vertical="center" wrapText="1"/>
      <protection hidden="1"/>
    </xf>
    <xf numFmtId="0" fontId="549" fillId="9" borderId="4" xfId="4" applyFont="1" applyFill="1" applyBorder="1" applyAlignment="1" applyProtection="1">
      <alignment horizontal="center" vertical="center" wrapText="1"/>
      <protection hidden="1"/>
    </xf>
    <xf numFmtId="168" fontId="550" fillId="9" borderId="0" xfId="10" applyNumberFormat="1" applyFont="1" applyFill="1" applyAlignment="1">
      <alignment horizontal="center" vertical="center"/>
    </xf>
    <xf numFmtId="168" fontId="550" fillId="9" borderId="1" xfId="10" applyNumberFormat="1" applyFont="1" applyFill="1" applyBorder="1" applyAlignment="1">
      <alignment horizontal="center" vertical="center"/>
    </xf>
    <xf numFmtId="0" fontId="144" fillId="39" borderId="41" xfId="4" applyFont="1" applyFill="1" applyBorder="1" applyAlignment="1" applyProtection="1">
      <alignment horizontal="center" vertical="center" textRotation="90"/>
      <protection locked="0"/>
    </xf>
    <xf numFmtId="0" fontId="144" fillId="39" borderId="2" xfId="4" applyFont="1" applyFill="1" applyBorder="1" applyAlignment="1" applyProtection="1">
      <alignment horizontal="center" vertical="center" textRotation="90"/>
      <protection locked="0"/>
    </xf>
    <xf numFmtId="0" fontId="144" fillId="39" borderId="30" xfId="4" applyFont="1" applyFill="1" applyBorder="1" applyAlignment="1" applyProtection="1">
      <alignment horizontal="center" vertical="center" textRotation="90"/>
      <protection locked="0"/>
    </xf>
    <xf numFmtId="0" fontId="68" fillId="5" borderId="40" xfId="4" applyFont="1" applyFill="1" applyBorder="1" applyAlignment="1" applyProtection="1">
      <alignment horizontal="center" vertical="center"/>
      <protection hidden="1"/>
    </xf>
    <xf numFmtId="0" fontId="68" fillId="5" borderId="39" xfId="4" applyFont="1" applyFill="1" applyBorder="1" applyAlignment="1" applyProtection="1">
      <alignment horizontal="center" vertical="center"/>
      <protection hidden="1"/>
    </xf>
    <xf numFmtId="1" fontId="17" fillId="9" borderId="416" xfId="4" applyNumberFormat="1" applyFont="1" applyFill="1" applyBorder="1" applyAlignment="1" applyProtection="1">
      <alignment horizontal="center" vertical="center" wrapText="1"/>
      <protection hidden="1"/>
    </xf>
    <xf numFmtId="1" fontId="17" fillId="9" borderId="383" xfId="4" applyNumberFormat="1" applyFont="1" applyFill="1" applyBorder="1" applyAlignment="1" applyProtection="1">
      <alignment horizontal="center" vertical="center" wrapText="1"/>
      <protection hidden="1"/>
    </xf>
    <xf numFmtId="0" fontId="59" fillId="9" borderId="416" xfId="13" applyFont="1" applyFill="1" applyBorder="1" applyAlignment="1">
      <alignment horizontal="center" vertical="center" wrapText="1"/>
    </xf>
    <xf numFmtId="0" fontId="59" fillId="9" borderId="383" xfId="13" applyFont="1" applyFill="1" applyBorder="1" applyAlignment="1">
      <alignment horizontal="center" vertical="center" wrapText="1"/>
    </xf>
    <xf numFmtId="0" fontId="59" fillId="9" borderId="270" xfId="13" applyFont="1" applyFill="1" applyBorder="1" applyAlignment="1">
      <alignment horizontal="center" vertical="center" wrapText="1"/>
    </xf>
    <xf numFmtId="0" fontId="385" fillId="0" borderId="0" xfId="41" applyFont="1" applyAlignment="1" applyProtection="1">
      <alignment horizontal="center" vertical="center" wrapText="1"/>
    </xf>
    <xf numFmtId="0" fontId="385" fillId="0" borderId="377" xfId="41" applyFont="1" applyBorder="1" applyAlignment="1" applyProtection="1">
      <alignment horizontal="center" vertical="center" wrapText="1"/>
    </xf>
    <xf numFmtId="0" fontId="386" fillId="63" borderId="423" xfId="25" applyFont="1" applyFill="1" applyBorder="1" applyAlignment="1">
      <alignment horizontal="center" vertical="center"/>
    </xf>
    <xf numFmtId="0" fontId="386" fillId="63" borderId="424" xfId="25" applyFont="1" applyFill="1" applyBorder="1" applyAlignment="1">
      <alignment horizontal="center" vertical="center"/>
    </xf>
    <xf numFmtId="0" fontId="386" fillId="63" borderId="425" xfId="25" applyFont="1" applyFill="1" applyBorder="1" applyAlignment="1">
      <alignment horizontal="center" vertical="center"/>
    </xf>
    <xf numFmtId="0" fontId="10" fillId="9" borderId="270" xfId="13" applyFont="1" applyFill="1" applyBorder="1" applyAlignment="1">
      <alignment horizontal="center" vertical="center"/>
    </xf>
    <xf numFmtId="0" fontId="110" fillId="9" borderId="270" xfId="13" applyFont="1" applyFill="1" applyBorder="1" applyAlignment="1">
      <alignment horizontal="center" vertical="center"/>
    </xf>
    <xf numFmtId="0" fontId="198" fillId="9" borderId="122" xfId="4" applyFont="1" applyFill="1" applyBorder="1" applyAlignment="1">
      <alignment horizontal="center" vertical="center" wrapText="1"/>
    </xf>
    <xf numFmtId="0" fontId="198" fillId="9" borderId="123" xfId="4" applyFont="1" applyFill="1" applyBorder="1" applyAlignment="1">
      <alignment horizontal="center" vertical="center" wrapText="1"/>
    </xf>
    <xf numFmtId="0" fontId="621" fillId="9" borderId="122" xfId="4" applyFont="1" applyFill="1" applyBorder="1" applyAlignment="1">
      <alignment horizontal="center" vertical="center" wrapText="1"/>
    </xf>
    <xf numFmtId="0" fontId="621" fillId="9" borderId="124" xfId="4" applyFont="1" applyFill="1" applyBorder="1" applyAlignment="1">
      <alignment horizontal="center" vertical="center" wrapText="1"/>
    </xf>
    <xf numFmtId="0" fontId="97" fillId="9" borderId="122" xfId="4" applyFont="1" applyFill="1" applyBorder="1" applyAlignment="1">
      <alignment horizontal="center" vertical="center" wrapText="1"/>
    </xf>
    <xf numFmtId="0" fontId="97" fillId="9" borderId="124" xfId="4" applyFont="1" applyFill="1" applyBorder="1" applyAlignment="1">
      <alignment horizontal="center" vertical="center" wrapText="1"/>
    </xf>
    <xf numFmtId="0" fontId="13" fillId="9" borderId="108" xfId="4" applyFont="1" applyFill="1" applyBorder="1" applyAlignment="1" applyProtection="1">
      <alignment horizontal="center" vertical="center"/>
      <protection hidden="1"/>
    </xf>
    <xf numFmtId="0" fontId="10" fillId="9" borderId="108" xfId="4" applyFont="1" applyFill="1" applyBorder="1" applyAlignment="1" applyProtection="1">
      <alignment horizontal="center" vertical="center"/>
      <protection hidden="1"/>
    </xf>
    <xf numFmtId="0" fontId="10" fillId="9" borderId="109" xfId="4" applyFont="1" applyFill="1" applyBorder="1" applyAlignment="1" applyProtection="1">
      <alignment horizontal="center" vertical="center"/>
      <protection hidden="1"/>
    </xf>
    <xf numFmtId="192" fontId="52" fillId="12" borderId="0" xfId="4" applyNumberFormat="1" applyFont="1" applyFill="1" applyAlignment="1" applyProtection="1">
      <alignment horizontal="center" vertical="center"/>
      <protection hidden="1"/>
    </xf>
    <xf numFmtId="175" fontId="17" fillId="5" borderId="0" xfId="4" applyNumberFormat="1" applyFont="1" applyFill="1" applyAlignment="1" applyProtection="1">
      <alignment horizontal="center" vertical="center"/>
      <protection hidden="1"/>
    </xf>
    <xf numFmtId="192" fontId="52" fillId="12" borderId="6" xfId="4" applyNumberFormat="1" applyFont="1" applyFill="1" applyBorder="1" applyAlignment="1" applyProtection="1">
      <alignment horizontal="center" vertical="center"/>
      <protection hidden="1"/>
    </xf>
    <xf numFmtId="192" fontId="52" fillId="12" borderId="35" xfId="4" applyNumberFormat="1" applyFont="1" applyFill="1" applyBorder="1" applyAlignment="1" applyProtection="1">
      <alignment horizontal="center" vertical="center"/>
      <protection hidden="1"/>
    </xf>
    <xf numFmtId="175" fontId="17" fillId="5" borderId="6" xfId="4" applyNumberFormat="1" applyFont="1" applyFill="1" applyBorder="1" applyAlignment="1" applyProtection="1">
      <alignment horizontal="center" vertical="center"/>
      <protection hidden="1"/>
    </xf>
    <xf numFmtId="175" fontId="17" fillId="5" borderId="35" xfId="4" applyNumberFormat="1" applyFont="1" applyFill="1" applyBorder="1" applyAlignment="1" applyProtection="1">
      <alignment horizontal="center" vertical="center"/>
      <protection hidden="1"/>
    </xf>
    <xf numFmtId="0" fontId="10" fillId="9" borderId="59" xfId="4" applyFont="1" applyFill="1" applyBorder="1" applyAlignment="1" applyProtection="1">
      <alignment horizontal="center" vertical="center"/>
      <protection hidden="1"/>
    </xf>
    <xf numFmtId="0" fontId="10" fillId="9" borderId="58" xfId="4" applyFont="1" applyFill="1" applyBorder="1" applyAlignment="1" applyProtection="1">
      <alignment horizontal="center" vertical="center"/>
      <protection hidden="1"/>
    </xf>
    <xf numFmtId="0" fontId="13" fillId="9" borderId="59" xfId="4" applyFont="1" applyFill="1" applyBorder="1" applyAlignment="1" applyProtection="1">
      <alignment horizontal="center" vertical="center"/>
      <protection hidden="1"/>
    </xf>
    <xf numFmtId="9" fontId="56" fillId="9" borderId="5" xfId="6" applyNumberFormat="1" applyFont="1" applyFill="1" applyBorder="1" applyAlignment="1">
      <alignment horizontal="center" vertical="center"/>
    </xf>
    <xf numFmtId="9" fontId="56" fillId="9" borderId="58" xfId="6" applyNumberFormat="1" applyFont="1" applyFill="1" applyBorder="1" applyAlignment="1">
      <alignment horizontal="center" vertical="center"/>
    </xf>
    <xf numFmtId="0" fontId="195" fillId="12" borderId="122" xfId="6" applyFont="1" applyFill="1" applyBorder="1" applyAlignment="1">
      <alignment horizontal="center" vertical="center"/>
    </xf>
    <xf numFmtId="0" fontId="195" fillId="12" borderId="123" xfId="6" applyFont="1" applyFill="1" applyBorder="1" applyAlignment="1">
      <alignment horizontal="center" vertical="center"/>
    </xf>
    <xf numFmtId="49" fontId="11" fillId="72" borderId="40" xfId="4" applyNumberFormat="1" applyFont="1" applyFill="1" applyBorder="1" applyAlignment="1">
      <alignment horizontal="center" vertical="center"/>
    </xf>
    <xf numFmtId="49" fontId="11" fillId="72" borderId="39" xfId="4" applyNumberFormat="1" applyFont="1" applyFill="1" applyBorder="1" applyAlignment="1">
      <alignment horizontal="center" vertical="center"/>
    </xf>
    <xf numFmtId="165" fontId="17" fillId="9" borderId="6" xfId="19" applyNumberFormat="1" applyFont="1" applyFill="1" applyBorder="1" applyAlignment="1">
      <alignment horizontal="left" vertical="center"/>
    </xf>
    <xf numFmtId="165" fontId="17" fillId="9" borderId="0" xfId="19" applyNumberFormat="1" applyFont="1" applyFill="1" applyAlignment="1">
      <alignment horizontal="left" vertical="center"/>
    </xf>
    <xf numFmtId="0" fontId="56" fillId="9" borderId="6" xfId="19" applyFont="1" applyFill="1" applyBorder="1" applyAlignment="1">
      <alignment horizontal="right" vertical="center"/>
    </xf>
    <xf numFmtId="0" fontId="56" fillId="9" borderId="59" xfId="19" applyFont="1" applyFill="1" applyBorder="1" applyAlignment="1">
      <alignment horizontal="right" vertical="center"/>
    </xf>
    <xf numFmtId="0" fontId="1" fillId="0" borderId="6" xfId="6" applyBorder="1" applyAlignment="1">
      <alignment horizontal="center" vertical="center"/>
    </xf>
    <xf numFmtId="0" fontId="1" fillId="0" borderId="59" xfId="6" applyBorder="1" applyAlignment="1">
      <alignment horizontal="center" vertical="center"/>
    </xf>
    <xf numFmtId="0" fontId="68" fillId="2" borderId="40" xfId="19" applyFont="1" applyFill="1" applyBorder="1" applyAlignment="1" applyProtection="1">
      <alignment horizontal="right" vertical="center"/>
      <protection locked="0"/>
    </xf>
    <xf numFmtId="0" fontId="68" fillId="2" borderId="39" xfId="19" applyFont="1" applyFill="1" applyBorder="1" applyAlignment="1" applyProtection="1">
      <alignment horizontal="right" vertical="center"/>
      <protection locked="0"/>
    </xf>
    <xf numFmtId="0" fontId="23" fillId="92" borderId="88" xfId="4" applyFont="1" applyFill="1" applyBorder="1" applyAlignment="1">
      <alignment horizontal="center"/>
    </xf>
    <xf numFmtId="0" fontId="23" fillId="92" borderId="104" xfId="4" applyFont="1" applyFill="1" applyBorder="1" applyAlignment="1">
      <alignment horizontal="center"/>
    </xf>
    <xf numFmtId="0" fontId="23" fillId="92" borderId="2" xfId="4" applyFont="1" applyFill="1" applyBorder="1" applyAlignment="1">
      <alignment horizontal="center"/>
    </xf>
    <xf numFmtId="0" fontId="23" fillId="92" borderId="30" xfId="4" applyFont="1" applyFill="1" applyBorder="1" applyAlignment="1">
      <alignment horizontal="center"/>
    </xf>
    <xf numFmtId="0" fontId="87" fillId="9" borderId="6" xfId="6" applyFont="1" applyFill="1" applyBorder="1" applyAlignment="1">
      <alignment horizontal="center" vertical="center"/>
    </xf>
    <xf numFmtId="0" fontId="87" fillId="9" borderId="59" xfId="6" applyFont="1" applyFill="1" applyBorder="1" applyAlignment="1">
      <alignment horizontal="center" vertical="center"/>
    </xf>
    <xf numFmtId="0" fontId="197" fillId="12" borderId="6" xfId="6" applyFont="1" applyFill="1" applyBorder="1" applyAlignment="1">
      <alignment horizontal="center" vertical="center"/>
    </xf>
    <xf numFmtId="0" fontId="197" fillId="12" borderId="5" xfId="6" applyFont="1" applyFill="1" applyBorder="1" applyAlignment="1">
      <alignment horizontal="center" vertical="center"/>
    </xf>
    <xf numFmtId="0" fontId="197" fillId="12" borderId="59" xfId="6" applyFont="1" applyFill="1" applyBorder="1" applyAlignment="1">
      <alignment horizontal="center" vertical="center"/>
    </xf>
    <xf numFmtId="0" fontId="197" fillId="12" borderId="58" xfId="6" applyFont="1" applyFill="1" applyBorder="1" applyAlignment="1">
      <alignment horizontal="center" vertical="center"/>
    </xf>
    <xf numFmtId="0" fontId="23" fillId="92" borderId="88" xfId="4" applyFont="1" applyFill="1" applyBorder="1" applyAlignment="1">
      <alignment horizontal="center" wrapText="1"/>
    </xf>
    <xf numFmtId="0" fontId="23" fillId="92" borderId="104" xfId="4" applyFont="1" applyFill="1" applyBorder="1" applyAlignment="1">
      <alignment horizontal="center" wrapText="1"/>
    </xf>
    <xf numFmtId="0" fontId="17" fillId="87" borderId="5" xfId="1" applyFont="1" applyFill="1" applyBorder="1" applyAlignment="1">
      <alignment horizontal="center" vertical="center"/>
    </xf>
    <xf numFmtId="0" fontId="0" fillId="0" borderId="6" xfId="0" applyBorder="1"/>
    <xf numFmtId="0" fontId="0" fillId="0" borderId="5" xfId="0" applyBorder="1"/>
    <xf numFmtId="0" fontId="195" fillId="12" borderId="111" xfId="6" applyFont="1" applyFill="1" applyBorder="1" applyAlignment="1">
      <alignment horizontal="center" vertical="center"/>
    </xf>
    <xf numFmtId="0" fontId="195" fillId="12" borderId="112" xfId="6" applyFont="1" applyFill="1" applyBorder="1" applyAlignment="1">
      <alignment horizontal="center" vertical="center"/>
    </xf>
    <xf numFmtId="0" fontId="23" fillId="87" borderId="88" xfId="4" applyFont="1" applyFill="1" applyBorder="1" applyAlignment="1">
      <alignment horizontal="center"/>
    </xf>
    <xf numFmtId="0" fontId="23" fillId="87" borderId="104" xfId="4" applyFont="1" applyFill="1" applyBorder="1" applyAlignment="1">
      <alignment horizontal="center"/>
    </xf>
    <xf numFmtId="0" fontId="170" fillId="77" borderId="0" xfId="1" applyFont="1" applyFill="1" applyAlignment="1">
      <alignment horizontal="center" vertical="center"/>
    </xf>
    <xf numFmtId="0" fontId="170" fillId="77" borderId="4" xfId="1" applyFont="1" applyFill="1" applyBorder="1" applyAlignment="1">
      <alignment horizontal="center" vertical="center"/>
    </xf>
    <xf numFmtId="0" fontId="14" fillId="9" borderId="4" xfId="4" applyFont="1" applyFill="1" applyBorder="1" applyAlignment="1">
      <alignment horizontal="left" vertical="center" wrapText="1"/>
    </xf>
    <xf numFmtId="0" fontId="0" fillId="0" borderId="0" xfId="0"/>
    <xf numFmtId="0" fontId="0" fillId="0" borderId="4" xfId="0" applyBorder="1"/>
    <xf numFmtId="0" fontId="95" fillId="76" borderId="6" xfId="1" applyFont="1" applyFill="1" applyBorder="1" applyAlignment="1">
      <alignment horizontal="center" vertical="center"/>
    </xf>
    <xf numFmtId="0" fontId="95" fillId="76" borderId="5" xfId="1" applyFont="1" applyFill="1" applyBorder="1" applyAlignment="1">
      <alignment horizontal="center" vertical="center"/>
    </xf>
    <xf numFmtId="0" fontId="144" fillId="72" borderId="102" xfId="4" applyFont="1" applyFill="1" applyBorder="1" applyAlignment="1">
      <alignment horizontal="center" vertical="center"/>
    </xf>
    <xf numFmtId="0" fontId="144" fillId="72" borderId="88" xfId="4" applyFont="1" applyFill="1" applyBorder="1" applyAlignment="1">
      <alignment horizontal="center" vertical="center"/>
    </xf>
    <xf numFmtId="0" fontId="69" fillId="87" borderId="40" xfId="5" applyFont="1" applyFill="1" applyBorder="1" applyAlignment="1">
      <alignment horizontal="center" vertical="center"/>
    </xf>
    <xf numFmtId="0" fontId="61" fillId="2" borderId="88" xfId="4" applyFont="1" applyFill="1" applyBorder="1" applyAlignment="1">
      <alignment horizontal="center"/>
    </xf>
    <xf numFmtId="0" fontId="61" fillId="2" borderId="104" xfId="4" applyFont="1" applyFill="1" applyBorder="1" applyAlignment="1">
      <alignment horizontal="center"/>
    </xf>
    <xf numFmtId="0" fontId="181" fillId="5" borderId="0" xfId="1" applyFont="1" applyFill="1" applyAlignment="1">
      <alignment horizontal="center" vertical="center"/>
    </xf>
    <xf numFmtId="0" fontId="181" fillId="5" borderId="4" xfId="1" applyFont="1" applyFill="1" applyBorder="1" applyAlignment="1">
      <alignment horizontal="center" vertical="center"/>
    </xf>
    <xf numFmtId="0" fontId="14" fillId="9" borderId="0" xfId="4" applyFont="1" applyFill="1" applyAlignment="1">
      <alignment horizontal="left" vertical="center" wrapText="1"/>
    </xf>
    <xf numFmtId="0" fontId="86" fillId="29" borderId="102" xfId="4" applyFont="1" applyFill="1" applyBorder="1" applyAlignment="1">
      <alignment horizontal="center" vertical="center"/>
    </xf>
    <xf numFmtId="0" fontId="86" fillId="29" borderId="88" xfId="4" applyFont="1" applyFill="1" applyBorder="1" applyAlignment="1">
      <alignment horizontal="center" vertical="center"/>
    </xf>
    <xf numFmtId="0" fontId="56" fillId="2" borderId="40" xfId="5" applyFont="1" applyFill="1" applyBorder="1" applyAlignment="1">
      <alignment horizontal="center" vertical="center"/>
    </xf>
    <xf numFmtId="0" fontId="144" fillId="29" borderId="88" xfId="4" applyFont="1" applyFill="1" applyBorder="1" applyAlignment="1">
      <alignment horizontal="center" vertical="center"/>
    </xf>
    <xf numFmtId="0" fontId="17" fillId="76" borderId="6" xfId="1" applyFont="1" applyFill="1" applyBorder="1" applyAlignment="1">
      <alignment horizontal="center" vertical="center"/>
    </xf>
    <xf numFmtId="0" fontId="17" fillId="76" borderId="5" xfId="1" applyFont="1" applyFill="1" applyBorder="1" applyAlignment="1">
      <alignment horizontal="center" vertical="center"/>
    </xf>
    <xf numFmtId="0" fontId="163" fillId="12" borderId="102" xfId="1" applyFont="1" applyFill="1" applyBorder="1" applyAlignment="1">
      <alignment horizontal="center" vertical="center"/>
    </xf>
    <xf numFmtId="0" fontId="163" fillId="12" borderId="40" xfId="1" applyFont="1" applyFill="1" applyBorder="1" applyAlignment="1">
      <alignment horizontal="center" vertical="center"/>
    </xf>
    <xf numFmtId="0" fontId="163" fillId="12" borderId="104" xfId="1" applyFont="1" applyFill="1" applyBorder="1" applyAlignment="1">
      <alignment horizontal="center" vertical="center"/>
    </xf>
    <xf numFmtId="0" fontId="163" fillId="12" borderId="1" xfId="1" applyFont="1" applyFill="1" applyBorder="1" applyAlignment="1">
      <alignment horizontal="center" vertical="center"/>
    </xf>
    <xf numFmtId="0" fontId="23" fillId="76" borderId="88" xfId="4" applyFont="1" applyFill="1" applyBorder="1" applyAlignment="1">
      <alignment horizontal="center"/>
    </xf>
    <xf numFmtId="0" fontId="23" fillId="76" borderId="104" xfId="4" applyFont="1" applyFill="1" applyBorder="1" applyAlignment="1">
      <alignment horizontal="center"/>
    </xf>
    <xf numFmtId="0" fontId="172" fillId="12" borderId="0" xfId="15" applyFont="1" applyFill="1" applyAlignment="1" applyProtection="1">
      <alignment horizontal="center" vertical="center"/>
      <protection locked="0"/>
    </xf>
    <xf numFmtId="0" fontId="172" fillId="12" borderId="4" xfId="15" applyFont="1" applyFill="1" applyBorder="1" applyAlignment="1" applyProtection="1">
      <alignment horizontal="center" vertical="center"/>
      <protection locked="0"/>
    </xf>
    <xf numFmtId="0" fontId="167" fillId="12" borderId="0" xfId="1" applyFont="1" applyFill="1" applyAlignment="1">
      <alignment horizontal="center" vertical="center"/>
    </xf>
    <xf numFmtId="0" fontId="46" fillId="76" borderId="40" xfId="5" applyFont="1" applyFill="1" applyBorder="1" applyAlignment="1">
      <alignment horizontal="center" vertical="center"/>
    </xf>
    <xf numFmtId="0" fontId="164" fillId="75" borderId="0" xfId="21" applyFont="1" applyFill="1" applyAlignment="1">
      <alignment horizontal="center" vertical="center"/>
    </xf>
    <xf numFmtId="0" fontId="165" fillId="16" borderId="0" xfId="1" applyFont="1" applyFill="1" applyAlignment="1">
      <alignment horizontal="center" vertical="center"/>
    </xf>
    <xf numFmtId="0" fontId="0" fillId="0" borderId="0" xfId="0" applyAlignment="1">
      <alignment horizontal="center" wrapText="1"/>
    </xf>
    <xf numFmtId="0" fontId="0" fillId="0" borderId="4" xfId="0" applyBorder="1" applyAlignment="1">
      <alignment horizontal="center" wrapText="1"/>
    </xf>
    <xf numFmtId="0" fontId="145" fillId="12" borderId="0" xfId="23" applyFont="1" applyFill="1" applyBorder="1" applyAlignment="1">
      <alignment horizontal="left" vertical="center"/>
    </xf>
    <xf numFmtId="0" fontId="145" fillId="12" borderId="101" xfId="23" applyFont="1" applyFill="1" applyBorder="1" applyAlignment="1">
      <alignment horizontal="left" vertical="center"/>
    </xf>
    <xf numFmtId="0" fontId="0" fillId="2" borderId="2" xfId="0" applyFill="1" applyBorder="1" applyAlignment="1">
      <alignment horizontal="center"/>
    </xf>
    <xf numFmtId="0" fontId="0" fillId="2" borderId="30" xfId="0" applyFill="1" applyBorder="1" applyAlignment="1">
      <alignment horizontal="center"/>
    </xf>
    <xf numFmtId="0" fontId="95" fillId="2" borderId="40" xfId="0" applyFont="1" applyFill="1" applyBorder="1" applyAlignment="1">
      <alignment horizontal="center" vertical="center"/>
    </xf>
    <xf numFmtId="0" fontId="95" fillId="2" borderId="39" xfId="0" applyFont="1" applyFill="1" applyBorder="1" applyAlignment="1">
      <alignment horizontal="center" vertical="center"/>
    </xf>
    <xf numFmtId="0" fontId="39" fillId="9" borderId="0" xfId="21" applyFill="1" applyAlignment="1">
      <alignment horizontal="center" vertical="top" wrapText="1"/>
    </xf>
    <xf numFmtId="0" fontId="39" fillId="9" borderId="4" xfId="21" applyFill="1" applyBorder="1" applyAlignment="1">
      <alignment horizontal="center" vertical="top" wrapText="1"/>
    </xf>
    <xf numFmtId="0" fontId="1" fillId="9" borderId="0" xfId="21" applyFont="1" applyFill="1" applyAlignment="1">
      <alignment horizontal="center" vertical="top" wrapText="1"/>
    </xf>
    <xf numFmtId="0" fontId="1" fillId="9" borderId="4" xfId="21" applyFont="1" applyFill="1" applyBorder="1" applyAlignment="1">
      <alignment horizontal="center" vertical="top" wrapText="1"/>
    </xf>
    <xf numFmtId="0" fontId="1" fillId="9" borderId="0" xfId="21" applyFont="1" applyFill="1" applyAlignment="1">
      <alignment horizontal="left" vertical="top" wrapText="1"/>
    </xf>
    <xf numFmtId="0" fontId="1" fillId="9" borderId="4" xfId="21" applyFont="1" applyFill="1" applyBorder="1" applyAlignment="1">
      <alignment horizontal="left" vertical="top" wrapText="1"/>
    </xf>
    <xf numFmtId="0" fontId="39" fillId="9" borderId="0" xfId="21" applyFill="1" applyAlignment="1">
      <alignment horizontal="left" vertical="center" wrapText="1"/>
    </xf>
    <xf numFmtId="0" fontId="39" fillId="9" borderId="4" xfId="21" applyFill="1" applyBorder="1" applyAlignment="1">
      <alignment horizontal="left" vertical="center" wrapText="1"/>
    </xf>
    <xf numFmtId="184" fontId="148" fillId="9" borderId="0" xfId="1" applyNumberFormat="1" applyFont="1" applyFill="1" applyAlignment="1">
      <alignment horizontal="left" vertical="center"/>
    </xf>
    <xf numFmtId="0" fontId="137" fillId="2" borderId="40" xfId="21" applyFont="1" applyFill="1" applyBorder="1" applyAlignment="1">
      <alignment horizontal="center" vertical="center"/>
    </xf>
    <xf numFmtId="0" fontId="137" fillId="2" borderId="39" xfId="21" applyFont="1" applyFill="1" applyBorder="1" applyAlignment="1">
      <alignment horizontal="center" vertical="center"/>
    </xf>
    <xf numFmtId="0" fontId="137" fillId="2" borderId="0" xfId="21" applyFont="1" applyFill="1" applyAlignment="1">
      <alignment horizontal="center" vertical="center"/>
    </xf>
    <xf numFmtId="0" fontId="137" fillId="2" borderId="4" xfId="21" applyFont="1" applyFill="1" applyBorder="1" applyAlignment="1">
      <alignment horizontal="center" vertical="center"/>
    </xf>
    <xf numFmtId="0" fontId="61" fillId="2" borderId="88" xfId="4" applyFont="1" applyFill="1" applyBorder="1" applyAlignment="1">
      <alignment horizontal="center" vertical="center" textRotation="90"/>
    </xf>
    <xf numFmtId="0" fontId="61" fillId="2" borderId="104" xfId="4" applyFont="1" applyFill="1" applyBorder="1" applyAlignment="1">
      <alignment horizontal="center" vertical="center" textRotation="90"/>
    </xf>
    <xf numFmtId="0" fontId="154" fillId="12" borderId="0" xfId="21" applyFont="1" applyFill="1" applyAlignment="1">
      <alignment horizontal="left" vertical="center" wrapText="1"/>
    </xf>
    <xf numFmtId="0" fontId="154" fillId="12" borderId="4" xfId="21" applyFont="1" applyFill="1" applyBorder="1" applyAlignment="1">
      <alignment horizontal="left" vertical="center" wrapText="1"/>
    </xf>
    <xf numFmtId="0" fontId="39" fillId="9" borderId="0" xfId="21" applyFill="1" applyAlignment="1">
      <alignment horizontal="left" vertical="top" wrapText="1"/>
    </xf>
    <xf numFmtId="0" fontId="39" fillId="9" borderId="4" xfId="21" applyFill="1" applyBorder="1" applyAlignment="1">
      <alignment horizontal="left" vertical="top" wrapText="1"/>
    </xf>
    <xf numFmtId="0" fontId="39" fillId="9" borderId="0" xfId="21" applyFill="1" applyAlignment="1">
      <alignment horizontal="left" wrapText="1"/>
    </xf>
    <xf numFmtId="0" fontId="39" fillId="9" borderId="4" xfId="21" applyFill="1" applyBorder="1" applyAlignment="1">
      <alignment horizontal="left" wrapText="1"/>
    </xf>
    <xf numFmtId="0" fontId="46" fillId="9" borderId="2" xfId="1" applyFont="1" applyFill="1" applyBorder="1" applyAlignment="1">
      <alignment horizontal="center" vertical="center"/>
    </xf>
    <xf numFmtId="0" fontId="46" fillId="9" borderId="0" xfId="1" applyFont="1" applyFill="1" applyAlignment="1">
      <alignment horizontal="center" vertical="center"/>
    </xf>
    <xf numFmtId="0" fontId="46" fillId="9" borderId="4" xfId="1" applyFont="1" applyFill="1" applyBorder="1" applyAlignment="1">
      <alignment horizontal="center" vertical="center"/>
    </xf>
    <xf numFmtId="0" fontId="46" fillId="65" borderId="39" xfId="1" applyFont="1" applyFill="1" applyBorder="1" applyAlignment="1">
      <alignment horizontal="center" vertical="center" wrapText="1"/>
    </xf>
    <xf numFmtId="0" fontId="46" fillId="65" borderId="4" xfId="1" applyFont="1" applyFill="1" applyBorder="1" applyAlignment="1">
      <alignment horizontal="center" vertical="center" wrapText="1"/>
    </xf>
    <xf numFmtId="0" fontId="143" fillId="67" borderId="2" xfId="1" applyFont="1" applyFill="1" applyBorder="1" applyAlignment="1">
      <alignment horizontal="center" vertical="center"/>
    </xf>
    <xf numFmtId="0" fontId="143" fillId="67" borderId="0" xfId="1" applyFont="1" applyFill="1" applyAlignment="1">
      <alignment horizontal="center" vertical="center"/>
    </xf>
    <xf numFmtId="0" fontId="144" fillId="68" borderId="4" xfId="19" applyFont="1" applyFill="1" applyBorder="1" applyAlignment="1">
      <alignment horizontal="center" vertical="center"/>
    </xf>
    <xf numFmtId="0" fontId="5" fillId="64" borderId="0" xfId="4" applyFont="1" applyFill="1" applyAlignment="1">
      <alignment horizontal="right" vertical="center" wrapText="1"/>
    </xf>
    <xf numFmtId="0" fontId="139" fillId="64" borderId="0" xfId="4" applyFont="1" applyFill="1" applyAlignment="1">
      <alignment horizontal="center" vertical="center" wrapText="1"/>
    </xf>
    <xf numFmtId="0" fontId="199" fillId="27" borderId="41" xfId="4" applyFont="1" applyFill="1" applyBorder="1" applyAlignment="1">
      <alignment horizontal="center" vertical="center"/>
    </xf>
    <xf numFmtId="0" fontId="199" fillId="27" borderId="40" xfId="4" applyFont="1" applyFill="1" applyBorder="1" applyAlignment="1">
      <alignment horizontal="center" vertical="center"/>
    </xf>
    <xf numFmtId="0" fontId="199" fillId="27" borderId="39" xfId="4" applyFont="1" applyFill="1" applyBorder="1" applyAlignment="1">
      <alignment horizontal="center" vertical="center"/>
    </xf>
    <xf numFmtId="0" fontId="199" fillId="27" borderId="38" xfId="4" applyFont="1" applyFill="1" applyBorder="1" applyAlignment="1">
      <alignment horizontal="center" vertical="center"/>
    </xf>
    <xf numFmtId="0" fontId="199" fillId="27" borderId="35" xfId="4" applyFont="1" applyFill="1" applyBorder="1" applyAlignment="1">
      <alignment horizontal="center" vertical="center"/>
    </xf>
    <xf numFmtId="0" fontId="199" fillId="27" borderId="34" xfId="4" applyFont="1" applyFill="1" applyBorder="1" applyAlignment="1">
      <alignment horizontal="center" vertical="center"/>
    </xf>
    <xf numFmtId="0" fontId="56" fillId="9" borderId="41" xfId="4" applyFont="1" applyFill="1" applyBorder="1" applyAlignment="1">
      <alignment horizontal="center" vertical="center"/>
    </xf>
    <xf numFmtId="0" fontId="56" fillId="9" borderId="40" xfId="4" applyFont="1" applyFill="1" applyBorder="1" applyAlignment="1">
      <alignment horizontal="center" vertical="center"/>
    </xf>
    <xf numFmtId="0" fontId="56" fillId="9" borderId="39" xfId="4" applyFont="1" applyFill="1" applyBorder="1" applyAlignment="1">
      <alignment horizontal="center" vertical="center"/>
    </xf>
    <xf numFmtId="0" fontId="56" fillId="9" borderId="2" xfId="4" applyFont="1" applyFill="1" applyBorder="1" applyAlignment="1">
      <alignment horizontal="center" vertical="center"/>
    </xf>
    <xf numFmtId="0" fontId="56" fillId="9" borderId="0" xfId="4" applyFont="1" applyFill="1" applyAlignment="1">
      <alignment horizontal="center" vertical="center"/>
    </xf>
    <xf numFmtId="0" fontId="56" fillId="9" borderId="4" xfId="4" applyFont="1" applyFill="1" applyBorder="1" applyAlignment="1">
      <alignment horizontal="center" vertical="center"/>
    </xf>
    <xf numFmtId="0" fontId="9" fillId="5" borderId="41" xfId="4" applyFont="1" applyFill="1" applyBorder="1" applyAlignment="1" applyProtection="1">
      <alignment horizontal="center" vertical="center" textRotation="90"/>
      <protection locked="0"/>
    </xf>
    <xf numFmtId="0" fontId="9" fillId="5" borderId="2" xfId="4" applyFont="1" applyFill="1" applyBorder="1" applyAlignment="1" applyProtection="1">
      <alignment horizontal="center" vertical="center" textRotation="90"/>
      <protection locked="0"/>
    </xf>
    <xf numFmtId="0" fontId="9" fillId="5" borderId="30" xfId="4" applyFont="1" applyFill="1" applyBorder="1" applyAlignment="1" applyProtection="1">
      <alignment horizontal="center" vertical="center" textRotation="90"/>
      <protection locked="0"/>
    </xf>
    <xf numFmtId="0" fontId="13" fillId="17" borderId="22" xfId="4" applyFont="1" applyFill="1" applyBorder="1" applyAlignment="1">
      <alignment horizontal="center" vertical="center" wrapText="1"/>
    </xf>
    <xf numFmtId="0" fontId="13" fillId="17" borderId="62" xfId="4" applyFont="1" applyFill="1" applyBorder="1" applyAlignment="1">
      <alignment horizontal="center" vertical="center" wrapText="1"/>
    </xf>
    <xf numFmtId="0" fontId="13" fillId="17" borderId="0" xfId="4" applyFont="1" applyFill="1" applyAlignment="1">
      <alignment horizontal="center" vertical="center" wrapText="1"/>
    </xf>
    <xf numFmtId="0" fontId="13" fillId="17" borderId="59" xfId="4" applyFont="1" applyFill="1" applyBorder="1" applyAlignment="1">
      <alignment horizontal="center" vertical="center" wrapText="1"/>
    </xf>
    <xf numFmtId="0" fontId="13" fillId="9" borderId="0" xfId="4" applyFont="1" applyFill="1" applyAlignment="1">
      <alignment horizontal="center" vertical="center" wrapText="1"/>
    </xf>
    <xf numFmtId="0" fontId="13" fillId="9" borderId="59" xfId="4" applyFont="1" applyFill="1" applyBorder="1" applyAlignment="1">
      <alignment horizontal="center" vertical="center" wrapText="1"/>
    </xf>
    <xf numFmtId="168" fontId="59" fillId="47" borderId="92" xfId="4" applyNumberFormat="1" applyFont="1" applyFill="1" applyBorder="1" applyAlignment="1">
      <alignment horizontal="center" vertical="center" wrapText="1"/>
    </xf>
    <xf numFmtId="168" fontId="59" fillId="47" borderId="23" xfId="4" applyNumberFormat="1" applyFont="1" applyFill="1" applyBorder="1" applyAlignment="1">
      <alignment horizontal="center" vertical="center" wrapText="1"/>
    </xf>
    <xf numFmtId="0" fontId="68" fillId="14" borderId="41" xfId="0" applyFont="1" applyFill="1" applyBorder="1" applyAlignment="1">
      <alignment horizontal="center" vertical="center"/>
    </xf>
    <xf numFmtId="0" fontId="68" fillId="14" borderId="40" xfId="0" applyFont="1" applyFill="1" applyBorder="1" applyAlignment="1">
      <alignment horizontal="center" vertical="center"/>
    </xf>
    <xf numFmtId="0" fontId="68" fillId="14" borderId="39" xfId="0" applyFont="1" applyFill="1" applyBorder="1" applyAlignment="1">
      <alignment horizontal="center" vertical="center"/>
    </xf>
    <xf numFmtId="0" fontId="68" fillId="14" borderId="2" xfId="0" applyFont="1" applyFill="1" applyBorder="1" applyAlignment="1">
      <alignment horizontal="center" vertical="center"/>
    </xf>
    <xf numFmtId="0" fontId="68" fillId="14" borderId="0" xfId="0" applyFont="1" applyFill="1" applyAlignment="1">
      <alignment horizontal="center" vertical="center"/>
    </xf>
    <xf numFmtId="0" fontId="68" fillId="14" borderId="4" xfId="0" applyFont="1" applyFill="1" applyBorder="1" applyAlignment="1">
      <alignment horizontal="center" vertical="center"/>
    </xf>
    <xf numFmtId="0" fontId="68" fillId="2037" borderId="126" xfId="0" applyFont="1" applyFill="1" applyBorder="1" applyAlignment="1">
      <alignment horizontal="center" vertical="center"/>
    </xf>
    <xf numFmtId="0" fontId="68" fillId="2037" borderId="32" xfId="0" applyFont="1" applyFill="1" applyBorder="1" applyAlignment="1">
      <alignment horizontal="center" vertical="center"/>
    </xf>
    <xf numFmtId="0" fontId="68" fillId="2037" borderId="383" xfId="0" applyFont="1" applyFill="1" applyBorder="1" applyAlignment="1">
      <alignment horizontal="center" vertical="center"/>
    </xf>
    <xf numFmtId="0" fontId="68" fillId="2037" borderId="384" xfId="0" applyFont="1" applyFill="1" applyBorder="1" applyAlignment="1">
      <alignment horizontal="center" vertical="center"/>
    </xf>
    <xf numFmtId="0" fontId="68" fillId="2037" borderId="43" xfId="0" applyFont="1" applyFill="1" applyBorder="1" applyAlignment="1">
      <alignment horizontal="center" vertical="center"/>
    </xf>
    <xf numFmtId="0" fontId="68" fillId="2037" borderId="385" xfId="0" applyFont="1" applyFill="1" applyBorder="1" applyAlignment="1">
      <alignment horizontal="center" vertical="center"/>
    </xf>
    <xf numFmtId="0" fontId="95" fillId="58" borderId="0" xfId="0" applyFont="1" applyFill="1" applyAlignment="1">
      <alignment horizontal="center" vertical="center"/>
    </xf>
    <xf numFmtId="1" fontId="17" fillId="57" borderId="94" xfId="4" applyNumberFormat="1" applyFont="1" applyFill="1" applyBorder="1" applyAlignment="1" applyProtection="1">
      <alignment horizontal="center" vertical="center" wrapText="1"/>
      <protection hidden="1"/>
    </xf>
    <xf numFmtId="1" fontId="17" fillId="57" borderId="0" xfId="4" applyNumberFormat="1" applyFont="1" applyFill="1" applyAlignment="1" applyProtection="1">
      <alignment horizontal="center" vertical="center" wrapText="1"/>
      <protection hidden="1"/>
    </xf>
    <xf numFmtId="0" fontId="69" fillId="39" borderId="94" xfId="4" applyFont="1" applyFill="1" applyBorder="1" applyAlignment="1">
      <alignment horizontal="center" vertical="center" wrapText="1"/>
    </xf>
    <xf numFmtId="0" fontId="69" fillId="39" borderId="93" xfId="4" applyFont="1" applyFill="1" applyBorder="1" applyAlignment="1">
      <alignment horizontal="center" vertical="center" wrapText="1"/>
    </xf>
    <xf numFmtId="0" fontId="69" fillId="39" borderId="0" xfId="4" applyFont="1" applyFill="1" applyAlignment="1">
      <alignment horizontal="center" vertical="center" wrapText="1"/>
    </xf>
    <xf numFmtId="0" fontId="69" fillId="39" borderId="19" xfId="4" applyFont="1" applyFill="1" applyBorder="1" applyAlignment="1">
      <alignment horizontal="center" vertical="center" wrapText="1"/>
    </xf>
    <xf numFmtId="0" fontId="101" fillId="9" borderId="390" xfId="2" applyFont="1" applyFill="1" applyBorder="1" applyAlignment="1">
      <alignment horizontal="center" vertical="center" wrapText="1"/>
    </xf>
    <xf numFmtId="0" fontId="101" fillId="9" borderId="64" xfId="2" applyFont="1" applyFill="1" applyBorder="1" applyAlignment="1">
      <alignment horizontal="center" vertical="center" wrapText="1"/>
    </xf>
    <xf numFmtId="0" fontId="103" fillId="5" borderId="15" xfId="4" applyFont="1" applyFill="1" applyBorder="1" applyAlignment="1">
      <alignment horizontal="center" vertical="center" wrapText="1"/>
    </xf>
    <xf numFmtId="0" fontId="103" fillId="5" borderId="63" xfId="4" applyFont="1" applyFill="1" applyBorder="1" applyAlignment="1">
      <alignment horizontal="center" vertical="center" wrapText="1"/>
    </xf>
    <xf numFmtId="0" fontId="17" fillId="9" borderId="2" xfId="1" applyFont="1" applyFill="1" applyBorder="1" applyAlignment="1">
      <alignment horizontal="center" vertical="center"/>
    </xf>
    <xf numFmtId="0" fontId="17" fillId="9" borderId="0" xfId="1" applyFont="1" applyFill="1" applyAlignment="1">
      <alignment horizontal="center" vertical="center"/>
    </xf>
    <xf numFmtId="0" fontId="17" fillId="9" borderId="4" xfId="1" applyFont="1" applyFill="1" applyBorder="1" applyAlignment="1">
      <alignment horizontal="center" vertical="center"/>
    </xf>
    <xf numFmtId="0" fontId="87" fillId="9" borderId="19" xfId="3" applyFont="1" applyFill="1" applyBorder="1" applyAlignment="1">
      <alignment horizontal="left" vertical="top" wrapText="1"/>
    </xf>
    <xf numFmtId="0" fontId="10" fillId="5" borderId="86" xfId="0" applyFont="1" applyFill="1" applyBorder="1" applyAlignment="1">
      <alignment horizontal="center" vertical="center"/>
    </xf>
    <xf numFmtId="0" fontId="59" fillId="14" borderId="62" xfId="4" applyFont="1" applyFill="1" applyBorder="1" applyAlignment="1">
      <alignment horizontal="center" vertical="center" wrapText="1"/>
    </xf>
    <xf numFmtId="0" fontId="639" fillId="12" borderId="75" xfId="4" applyFont="1" applyFill="1" applyBorder="1" applyAlignment="1" applyProtection="1">
      <alignment horizontal="center" vertical="center" wrapText="1"/>
      <protection hidden="1"/>
    </xf>
    <xf numFmtId="0" fontId="639" fillId="12" borderId="54" xfId="4" applyFont="1" applyFill="1" applyBorder="1" applyAlignment="1" applyProtection="1">
      <alignment horizontal="center" vertical="center" wrapText="1"/>
      <protection hidden="1"/>
    </xf>
    <xf numFmtId="0" fontId="101" fillId="9" borderId="73" xfId="2" applyFont="1" applyFill="1" applyBorder="1" applyAlignment="1">
      <alignment horizontal="center" vertical="center" wrapText="1"/>
    </xf>
    <xf numFmtId="0" fontId="103" fillId="5" borderId="72" xfId="4" applyFont="1" applyFill="1" applyBorder="1" applyAlignment="1">
      <alignment horizontal="center" vertical="center" wrapText="1"/>
    </xf>
    <xf numFmtId="0" fontId="13" fillId="17" borderId="71" xfId="4" applyFont="1" applyFill="1" applyBorder="1" applyAlignment="1">
      <alignment horizontal="center" vertical="center" wrapText="1"/>
    </xf>
    <xf numFmtId="0" fontId="13" fillId="17" borderId="32" xfId="4" applyFont="1" applyFill="1" applyBorder="1" applyAlignment="1">
      <alignment horizontal="center" vertical="center" wrapText="1"/>
    </xf>
    <xf numFmtId="0" fontId="13" fillId="9" borderId="32" xfId="4" applyFont="1" applyFill="1" applyBorder="1" applyAlignment="1">
      <alignment horizontal="center" vertical="center" wrapText="1"/>
    </xf>
    <xf numFmtId="0" fontId="59" fillId="9" borderId="32" xfId="4" applyFont="1" applyFill="1" applyBorder="1" applyAlignment="1">
      <alignment horizontal="center" vertical="center" wrapText="1"/>
    </xf>
    <xf numFmtId="0" fontId="56" fillId="31" borderId="2" xfId="10" applyFont="1" applyFill="1" applyBorder="1" applyAlignment="1" applyProtection="1">
      <alignment horizontal="center" vertical="center"/>
      <protection locked="0"/>
    </xf>
    <xf numFmtId="0" fontId="56" fillId="31" borderId="0" xfId="10" applyFont="1" applyFill="1" applyAlignment="1" applyProtection="1">
      <alignment horizontal="center" vertical="center"/>
      <protection locked="0"/>
    </xf>
    <xf numFmtId="0" fontId="56" fillId="31" borderId="4" xfId="10" applyFont="1" applyFill="1" applyBorder="1" applyAlignment="1" applyProtection="1">
      <alignment horizontal="center" vertical="center"/>
      <protection locked="0"/>
    </xf>
    <xf numFmtId="0" fontId="68" fillId="44" borderId="33" xfId="10" applyFont="1" applyFill="1" applyBorder="1" applyAlignment="1" applyProtection="1">
      <alignment horizontal="center" vertical="center"/>
      <protection locked="0"/>
    </xf>
    <xf numFmtId="0" fontId="68" fillId="44" borderId="32" xfId="10" applyFont="1" applyFill="1" applyBorder="1" applyAlignment="1" applyProtection="1">
      <alignment horizontal="center" vertical="center"/>
      <protection locked="0"/>
    </xf>
    <xf numFmtId="0" fontId="68" fillId="44" borderId="31" xfId="10" applyFont="1" applyFill="1" applyBorder="1" applyAlignment="1" applyProtection="1">
      <alignment horizontal="center" vertical="center"/>
      <protection locked="0"/>
    </xf>
    <xf numFmtId="0" fontId="68" fillId="44" borderId="2" xfId="10" applyFont="1" applyFill="1" applyBorder="1" applyAlignment="1" applyProtection="1">
      <alignment horizontal="center" vertical="center"/>
      <protection locked="0"/>
    </xf>
    <xf numFmtId="0" fontId="68" fillId="44" borderId="0" xfId="10" applyFont="1" applyFill="1" applyAlignment="1" applyProtection="1">
      <alignment horizontal="center" vertical="center"/>
      <protection locked="0"/>
    </xf>
    <xf numFmtId="0" fontId="68" fillId="44" borderId="4" xfId="10" applyFont="1" applyFill="1" applyBorder="1" applyAlignment="1" applyProtection="1">
      <alignment horizontal="center" vertical="center"/>
      <protection locked="0"/>
    </xf>
    <xf numFmtId="0" fontId="56" fillId="44" borderId="2" xfId="20" applyFont="1" applyFill="1" applyBorder="1" applyAlignment="1">
      <alignment horizontal="center" vertical="center"/>
    </xf>
    <xf numFmtId="0" fontId="56" fillId="44" borderId="0" xfId="20" applyFont="1" applyFill="1" applyAlignment="1">
      <alignment horizontal="center" vertical="center"/>
    </xf>
    <xf numFmtId="0" fontId="56" fillId="44" borderId="4" xfId="20" applyFont="1" applyFill="1" applyBorder="1" applyAlignment="1">
      <alignment horizontal="center" vertical="center"/>
    </xf>
    <xf numFmtId="0" fontId="56" fillId="44" borderId="2" xfId="20" applyFont="1" applyFill="1" applyBorder="1" applyAlignment="1">
      <alignment horizontal="right" vertical="center"/>
    </xf>
    <xf numFmtId="0" fontId="56" fillId="44" borderId="0" xfId="20" applyFont="1" applyFill="1" applyAlignment="1">
      <alignment horizontal="right" vertical="center"/>
    </xf>
    <xf numFmtId="0" fontId="17" fillId="31" borderId="2" xfId="0" applyFont="1" applyFill="1" applyBorder="1" applyAlignment="1">
      <alignment horizontal="center" vertical="center" wrapText="1"/>
    </xf>
    <xf numFmtId="0" fontId="17" fillId="31" borderId="0" xfId="0" applyFont="1" applyFill="1" applyAlignment="1">
      <alignment horizontal="center" vertical="center" wrapText="1"/>
    </xf>
    <xf numFmtId="0" fontId="73" fillId="31" borderId="2" xfId="10" applyFont="1" applyFill="1" applyBorder="1" applyAlignment="1" applyProtection="1">
      <alignment horizontal="center" vertical="center"/>
      <protection locked="0"/>
    </xf>
    <xf numFmtId="0" fontId="73" fillId="31" borderId="0" xfId="10" applyFont="1" applyFill="1" applyAlignment="1" applyProtection="1">
      <alignment horizontal="center" vertical="center"/>
      <protection locked="0"/>
    </xf>
    <xf numFmtId="0" fontId="73" fillId="31" borderId="4" xfId="10" applyFont="1" applyFill="1" applyBorder="1" applyAlignment="1" applyProtection="1">
      <alignment horizontal="center" vertical="center"/>
      <protection locked="0"/>
    </xf>
    <xf numFmtId="0" fontId="13" fillId="7" borderId="0" xfId="4" applyFont="1" applyFill="1" applyAlignment="1" applyProtection="1">
      <alignment horizontal="left" vertical="center" wrapText="1"/>
      <protection hidden="1"/>
    </xf>
    <xf numFmtId="0" fontId="13" fillId="7" borderId="4" xfId="4" applyFont="1" applyFill="1" applyBorder="1" applyAlignment="1" applyProtection="1">
      <alignment horizontal="left" vertical="center" wrapText="1"/>
      <protection hidden="1"/>
    </xf>
    <xf numFmtId="0" fontId="56" fillId="33" borderId="0" xfId="4" applyFont="1" applyFill="1" applyAlignment="1" applyProtection="1">
      <alignment horizontal="center" vertical="center" wrapText="1"/>
      <protection hidden="1"/>
    </xf>
    <xf numFmtId="0" fontId="13" fillId="7" borderId="0" xfId="1" applyFont="1" applyFill="1" applyAlignment="1">
      <alignment horizontal="left" vertical="top" wrapText="1"/>
    </xf>
    <xf numFmtId="0" fontId="13" fillId="7" borderId="4" xfId="1" applyFont="1" applyFill="1" applyBorder="1" applyAlignment="1">
      <alignment horizontal="left" vertical="top" wrapText="1"/>
    </xf>
    <xf numFmtId="172" fontId="64" fillId="24" borderId="0" xfId="12" applyNumberFormat="1" applyFont="1" applyFill="1" applyAlignment="1">
      <alignment horizontal="center" vertical="center"/>
    </xf>
    <xf numFmtId="2" fontId="132" fillId="81" borderId="94" xfId="4" applyNumberFormat="1" applyFont="1" applyFill="1" applyBorder="1" applyAlignment="1" applyProtection="1">
      <alignment horizontal="center" vertical="center" wrapText="1"/>
      <protection locked="0"/>
    </xf>
    <xf numFmtId="2" fontId="132" fillId="81" borderId="0" xfId="4" applyNumberFormat="1" applyFont="1" applyFill="1" applyAlignment="1" applyProtection="1">
      <alignment horizontal="center" vertical="center" wrapText="1"/>
      <protection locked="0"/>
    </xf>
    <xf numFmtId="1" fontId="45" fillId="12" borderId="53" xfId="19" applyNumberFormat="1" applyFont="1" applyFill="1" applyBorder="1" applyAlignment="1">
      <alignment horizontal="center" vertical="center"/>
    </xf>
    <xf numFmtId="0" fontId="644" fillId="5" borderId="203" xfId="4" applyFont="1" applyFill="1" applyBorder="1" applyAlignment="1">
      <alignment horizontal="center" vertical="center" wrapText="1"/>
    </xf>
    <xf numFmtId="0" fontId="38" fillId="5" borderId="224" xfId="4" applyFont="1" applyFill="1" applyBorder="1" applyAlignment="1">
      <alignment horizontal="center" vertical="center" wrapText="1"/>
    </xf>
    <xf numFmtId="182" fontId="621" fillId="9" borderId="213" xfId="7" applyNumberFormat="1" applyFont="1" applyFill="1" applyBorder="1" applyAlignment="1">
      <alignment horizontal="center" vertical="center" wrapText="1"/>
    </xf>
    <xf numFmtId="182" fontId="97" fillId="9" borderId="225" xfId="7" applyNumberFormat="1" applyFont="1" applyFill="1" applyBorder="1" applyAlignment="1">
      <alignment horizontal="center" vertical="center" wrapText="1"/>
    </xf>
    <xf numFmtId="0" fontId="13" fillId="7" borderId="225" xfId="4" applyFont="1" applyFill="1" applyBorder="1" applyAlignment="1">
      <alignment horizontal="center" vertical="center"/>
    </xf>
    <xf numFmtId="0" fontId="14" fillId="9" borderId="215" xfId="4" applyFont="1" applyFill="1" applyBorder="1" applyAlignment="1">
      <alignment horizontal="center" vertical="center" wrapText="1"/>
    </xf>
    <xf numFmtId="0" fontId="173" fillId="0" borderId="0" xfId="0" applyFont="1" applyAlignment="1">
      <alignment horizontal="center" vertical="center" wrapText="1"/>
    </xf>
    <xf numFmtId="0" fontId="173" fillId="0" borderId="4" xfId="0" applyFont="1" applyBorder="1" applyAlignment="1">
      <alignment horizontal="center" vertical="center" wrapText="1"/>
    </xf>
    <xf numFmtId="0" fontId="21" fillId="7" borderId="184" xfId="4" applyFont="1" applyFill="1" applyBorder="1" applyAlignment="1" applyProtection="1">
      <alignment horizontal="center" vertical="center" wrapText="1"/>
      <protection hidden="1"/>
    </xf>
    <xf numFmtId="0" fontId="21" fillId="7" borderId="185" xfId="4" applyFont="1" applyFill="1" applyBorder="1" applyAlignment="1" applyProtection="1">
      <alignment horizontal="center" vertical="center" wrapText="1"/>
      <protection hidden="1"/>
    </xf>
    <xf numFmtId="0" fontId="21" fillId="7" borderId="186" xfId="4" applyFont="1" applyFill="1" applyBorder="1" applyAlignment="1" applyProtection="1">
      <alignment horizontal="center" vertical="center" wrapText="1"/>
      <protection hidden="1"/>
    </xf>
    <xf numFmtId="0" fontId="21" fillId="7" borderId="187" xfId="4" applyFont="1" applyFill="1" applyBorder="1" applyAlignment="1" applyProtection="1">
      <alignment horizontal="center" vertical="center" wrapText="1"/>
      <protection hidden="1"/>
    </xf>
    <xf numFmtId="0" fontId="21" fillId="7" borderId="0" xfId="4" applyFont="1" applyFill="1" applyAlignment="1" applyProtection="1">
      <alignment horizontal="center" vertical="center" wrapText="1"/>
      <protection hidden="1"/>
    </xf>
    <xf numFmtId="0" fontId="21" fillId="7" borderId="188" xfId="4" applyFont="1" applyFill="1" applyBorder="1" applyAlignment="1" applyProtection="1">
      <alignment horizontal="center" vertical="center" wrapText="1"/>
      <protection hidden="1"/>
    </xf>
    <xf numFmtId="0" fontId="21" fillId="7" borderId="189" xfId="4" applyFont="1" applyFill="1" applyBorder="1" applyAlignment="1" applyProtection="1">
      <alignment horizontal="center" vertical="center" wrapText="1"/>
      <protection hidden="1"/>
    </xf>
    <xf numFmtId="0" fontId="21" fillId="7" borderId="182" xfId="4" applyFont="1" applyFill="1" applyBorder="1" applyAlignment="1" applyProtection="1">
      <alignment horizontal="center" vertical="center" wrapText="1"/>
      <protection hidden="1"/>
    </xf>
    <xf numFmtId="0" fontId="21" fillId="7" borderId="190" xfId="4" applyFont="1" applyFill="1" applyBorder="1" applyAlignment="1" applyProtection="1">
      <alignment horizontal="center" vertical="center" wrapText="1"/>
      <protection hidden="1"/>
    </xf>
    <xf numFmtId="0" fontId="644" fillId="5" borderId="60" xfId="4" applyFont="1" applyFill="1" applyBorder="1" applyAlignment="1">
      <alignment horizontal="center" vertical="center" wrapText="1"/>
    </xf>
    <xf numFmtId="182" fontId="621" fillId="9" borderId="54" xfId="7" applyNumberFormat="1" applyFont="1" applyFill="1" applyBorder="1" applyAlignment="1">
      <alignment horizontal="center" vertical="center" wrapText="1"/>
    </xf>
    <xf numFmtId="0" fontId="13" fillId="7" borderId="54" xfId="4" applyFont="1" applyFill="1" applyBorder="1" applyAlignment="1">
      <alignment horizontal="center" vertical="center"/>
    </xf>
    <xf numFmtId="0" fontId="13" fillId="9" borderId="0" xfId="4" applyFont="1" applyFill="1" applyAlignment="1" applyProtection="1">
      <alignment horizontal="left" vertical="center"/>
      <protection locked="0"/>
    </xf>
    <xf numFmtId="0" fontId="13" fillId="9" borderId="4" xfId="4" applyFont="1" applyFill="1" applyBorder="1" applyAlignment="1" applyProtection="1">
      <alignment horizontal="left" vertical="center"/>
      <protection locked="0"/>
    </xf>
    <xf numFmtId="0" fontId="46" fillId="44" borderId="40" xfId="0" applyFont="1" applyFill="1" applyBorder="1" applyAlignment="1">
      <alignment horizontal="center"/>
    </xf>
    <xf numFmtId="0" fontId="46" fillId="44" borderId="39" xfId="0" applyFont="1" applyFill="1" applyBorder="1" applyAlignment="1">
      <alignment horizontal="center"/>
    </xf>
    <xf numFmtId="0" fontId="4" fillId="109" borderId="2" xfId="0" applyFont="1" applyFill="1" applyBorder="1" applyAlignment="1">
      <alignment horizontal="center" vertical="center"/>
    </xf>
    <xf numFmtId="0" fontId="4" fillId="109" borderId="0" xfId="0" applyFont="1" applyFill="1" applyAlignment="1">
      <alignment horizontal="center" vertical="center"/>
    </xf>
    <xf numFmtId="0" fontId="4" fillId="109" borderId="4" xfId="0" applyFont="1" applyFill="1" applyBorder="1" applyAlignment="1">
      <alignment horizontal="center" vertical="center"/>
    </xf>
    <xf numFmtId="0" fontId="59" fillId="5" borderId="0" xfId="4" applyFont="1" applyFill="1" applyAlignment="1" applyProtection="1">
      <alignment horizontal="center" vertical="center" wrapText="1"/>
      <protection locked="0"/>
    </xf>
    <xf numFmtId="0" fontId="59" fillId="5" borderId="4" xfId="4" applyFont="1" applyFill="1" applyBorder="1" applyAlignment="1" applyProtection="1">
      <alignment horizontal="center" vertical="center" wrapText="1"/>
      <protection locked="0"/>
    </xf>
    <xf numFmtId="0" fontId="638" fillId="12" borderId="2" xfId="4" applyFont="1" applyFill="1" applyBorder="1" applyAlignment="1" applyProtection="1">
      <alignment horizontal="center" vertical="center"/>
      <protection hidden="1"/>
    </xf>
    <xf numFmtId="0" fontId="639" fillId="12" borderId="179" xfId="4" applyFont="1" applyFill="1" applyBorder="1" applyAlignment="1" applyProtection="1">
      <alignment horizontal="center" vertical="center" wrapText="1"/>
      <protection hidden="1"/>
    </xf>
    <xf numFmtId="0" fontId="104" fillId="12" borderId="180" xfId="4" applyFont="1" applyFill="1" applyBorder="1" applyAlignment="1" applyProtection="1">
      <alignment horizontal="center" vertical="center" wrapText="1"/>
      <protection hidden="1"/>
    </xf>
    <xf numFmtId="0" fontId="193" fillId="112" borderId="53" xfId="28" applyFont="1" applyFill="1" applyBorder="1" applyAlignment="1">
      <alignment horizontal="left" vertical="top" wrapText="1"/>
    </xf>
    <xf numFmtId="0" fontId="14" fillId="9" borderId="53" xfId="19" applyFont="1" applyFill="1" applyBorder="1" applyAlignment="1">
      <alignment horizontal="left" vertical="top" wrapText="1"/>
    </xf>
    <xf numFmtId="0" fontId="39" fillId="9" borderId="0" xfId="1" applyFont="1" applyFill="1" applyAlignment="1">
      <alignment horizontal="left" vertical="center" wrapText="1"/>
    </xf>
    <xf numFmtId="0" fontId="39" fillId="9" borderId="4" xfId="1" applyFont="1" applyFill="1" applyBorder="1" applyAlignment="1">
      <alignment horizontal="left" vertical="center" wrapText="1"/>
    </xf>
    <xf numFmtId="0" fontId="95" fillId="0" borderId="155" xfId="1" applyFont="1" applyBorder="1" applyAlignment="1">
      <alignment horizontal="center" vertical="center"/>
    </xf>
    <xf numFmtId="0" fontId="95" fillId="0" borderId="132" xfId="1" applyFont="1" applyBorder="1" applyAlignment="1">
      <alignment horizontal="center" vertical="center"/>
    </xf>
    <xf numFmtId="0" fontId="95" fillId="0" borderId="59" xfId="1" applyFont="1" applyBorder="1" applyAlignment="1">
      <alignment horizontal="center" vertical="center"/>
    </xf>
    <xf numFmtId="0" fontId="59" fillId="9" borderId="58" xfId="4" applyFont="1" applyFill="1" applyBorder="1" applyAlignment="1">
      <alignment horizontal="center" vertical="center" wrapText="1"/>
    </xf>
    <xf numFmtId="0" fontId="639" fillId="12" borderId="156" xfId="4" applyFont="1" applyFill="1" applyBorder="1" applyAlignment="1" applyProtection="1">
      <alignment horizontal="center" vertical="center" wrapText="1"/>
      <protection hidden="1"/>
    </xf>
    <xf numFmtId="0" fontId="104" fillId="12" borderId="60" xfId="4" applyFont="1" applyFill="1" applyBorder="1" applyAlignment="1" applyProtection="1">
      <alignment horizontal="center" vertical="center" wrapText="1"/>
      <protection hidden="1"/>
    </xf>
    <xf numFmtId="0" fontId="59" fillId="14" borderId="155" xfId="4" applyFont="1" applyFill="1" applyBorder="1" applyAlignment="1" applyProtection="1">
      <alignment horizontal="center" vertical="center" wrapText="1"/>
      <protection locked="0"/>
    </xf>
    <xf numFmtId="0" fontId="59" fillId="14" borderId="132" xfId="4" applyFont="1" applyFill="1" applyBorder="1" applyAlignment="1" applyProtection="1">
      <alignment horizontal="center" vertical="center" wrapText="1"/>
      <protection locked="0"/>
    </xf>
    <xf numFmtId="0" fontId="639" fillId="12" borderId="192" xfId="4" applyFont="1" applyFill="1" applyBorder="1" applyAlignment="1" applyProtection="1">
      <alignment horizontal="center" vertical="center" wrapText="1"/>
      <protection hidden="1"/>
    </xf>
    <xf numFmtId="0" fontId="104" fillId="12" borderId="54" xfId="4" applyFont="1" applyFill="1" applyBorder="1" applyAlignment="1" applyProtection="1">
      <alignment horizontal="center" vertical="center" wrapText="1"/>
      <protection hidden="1"/>
    </xf>
    <xf numFmtId="0" fontId="17" fillId="9" borderId="2" xfId="4" quotePrefix="1" applyFont="1" applyFill="1" applyBorder="1" applyAlignment="1" applyProtection="1">
      <alignment horizontal="center" vertical="center" wrapText="1"/>
      <protection hidden="1"/>
    </xf>
    <xf numFmtId="0" fontId="17" fillId="9" borderId="0" xfId="4" quotePrefix="1" applyFont="1" applyFill="1" applyAlignment="1" applyProtection="1">
      <alignment horizontal="center" vertical="center" wrapText="1"/>
      <protection hidden="1"/>
    </xf>
    <xf numFmtId="0" fontId="17" fillId="9" borderId="4" xfId="4" quotePrefix="1" applyFont="1" applyFill="1" applyBorder="1" applyAlignment="1" applyProtection="1">
      <alignment horizontal="center" vertical="center" wrapText="1"/>
      <protection hidden="1"/>
    </xf>
    <xf numFmtId="0" fontId="68" fillId="28" borderId="2" xfId="4" applyFont="1" applyFill="1" applyBorder="1" applyAlignment="1">
      <alignment horizontal="center" vertical="center"/>
    </xf>
    <xf numFmtId="0" fontId="68" fillId="28" borderId="0" xfId="4" applyFont="1" applyFill="1" applyAlignment="1">
      <alignment horizontal="center" vertical="center"/>
    </xf>
    <xf numFmtId="0" fontId="68" fillId="28" borderId="4" xfId="4" applyFont="1" applyFill="1" applyBorder="1" applyAlignment="1">
      <alignment horizontal="center" vertical="center"/>
    </xf>
    <xf numFmtId="1" fontId="9" fillId="28" borderId="94" xfId="4" applyNumberFormat="1" applyFont="1" applyFill="1" applyBorder="1" applyAlignment="1" applyProtection="1">
      <alignment horizontal="center" vertical="center" wrapText="1"/>
      <protection hidden="1"/>
    </xf>
    <xf numFmtId="1" fontId="9" fillId="28" borderId="0" xfId="4" applyNumberFormat="1" applyFont="1" applyFill="1" applyAlignment="1" applyProtection="1">
      <alignment horizontal="center" vertical="center" wrapText="1"/>
      <protection hidden="1"/>
    </xf>
    <xf numFmtId="0" fontId="9" fillId="97" borderId="149" xfId="4" applyFont="1" applyFill="1" applyBorder="1" applyAlignment="1">
      <alignment horizontal="center" vertical="center" wrapText="1"/>
    </xf>
    <xf numFmtId="0" fontId="9" fillId="97" borderId="4" xfId="4" applyFont="1" applyFill="1" applyBorder="1" applyAlignment="1">
      <alignment horizontal="center" vertical="center" wrapText="1"/>
    </xf>
    <xf numFmtId="0" fontId="95" fillId="28" borderId="0" xfId="0" applyFont="1" applyFill="1" applyAlignment="1">
      <alignment horizontal="center" vertical="center"/>
    </xf>
    <xf numFmtId="0" fontId="95" fillId="28" borderId="4" xfId="0" applyFont="1" applyFill="1" applyBorder="1" applyAlignment="1">
      <alignment horizontal="center" vertical="center"/>
    </xf>
    <xf numFmtId="0" fontId="110" fillId="28" borderId="0" xfId="0" applyFont="1" applyFill="1" applyAlignment="1">
      <alignment horizontal="left" vertical="top" wrapText="1"/>
    </xf>
    <xf numFmtId="0" fontId="110" fillId="28" borderId="4" xfId="0" applyFont="1" applyFill="1" applyBorder="1" applyAlignment="1">
      <alignment horizontal="left" vertical="top" wrapText="1"/>
    </xf>
    <xf numFmtId="0" fontId="86" fillId="28" borderId="0" xfId="0" applyFont="1" applyFill="1" applyAlignment="1">
      <alignment horizontal="left" vertical="center" wrapText="1"/>
    </xf>
    <xf numFmtId="0" fontId="86" fillId="28" borderId="4" xfId="0" applyFont="1" applyFill="1" applyBorder="1" applyAlignment="1">
      <alignment horizontal="left" vertical="center" wrapText="1"/>
    </xf>
    <xf numFmtId="0" fontId="14" fillId="9" borderId="2" xfId="4" applyFont="1" applyFill="1" applyBorder="1" applyAlignment="1" applyProtection="1">
      <alignment horizontal="center" vertical="center" wrapText="1"/>
      <protection hidden="1"/>
    </xf>
    <xf numFmtId="0" fontId="14" fillId="9" borderId="0" xfId="4" applyFont="1" applyFill="1" applyAlignment="1" applyProtection="1">
      <alignment horizontal="center" vertical="center" wrapText="1"/>
      <protection hidden="1"/>
    </xf>
    <xf numFmtId="0" fontId="14" fillId="9" borderId="4" xfId="4" applyFont="1" applyFill="1" applyBorder="1" applyAlignment="1" applyProtection="1">
      <alignment horizontal="center" vertical="center" wrapText="1"/>
      <protection hidden="1"/>
    </xf>
    <xf numFmtId="0" fontId="59" fillId="14" borderId="128" xfId="4" applyFont="1" applyFill="1" applyBorder="1" applyAlignment="1" applyProtection="1">
      <alignment horizontal="center" vertical="center" wrapText="1"/>
      <protection locked="0"/>
    </xf>
    <xf numFmtId="0" fontId="59" fillId="14" borderId="129" xfId="4" applyFont="1" applyFill="1" applyBorder="1" applyAlignment="1">
      <alignment horizontal="center" vertical="center" wrapText="1"/>
    </xf>
    <xf numFmtId="0" fontId="639" fillId="12" borderId="130" xfId="4" applyFont="1" applyFill="1" applyBorder="1" applyAlignment="1" applyProtection="1">
      <alignment horizontal="center" vertical="center" wrapText="1"/>
      <protection hidden="1"/>
    </xf>
    <xf numFmtId="0" fontId="68" fillId="9" borderId="40" xfId="4" applyFont="1" applyFill="1" applyBorder="1" applyAlignment="1" applyProtection="1">
      <alignment horizontal="center" vertical="center"/>
      <protection hidden="1"/>
    </xf>
    <xf numFmtId="0" fontId="68" fillId="9" borderId="39" xfId="4" applyFont="1" applyFill="1" applyBorder="1" applyAlignment="1" applyProtection="1">
      <alignment horizontal="center" vertical="center"/>
      <protection hidden="1"/>
    </xf>
    <xf numFmtId="0" fontId="68" fillId="9" borderId="0" xfId="4" applyFont="1" applyFill="1" applyAlignment="1" applyProtection="1">
      <alignment horizontal="center" vertical="center"/>
      <protection hidden="1"/>
    </xf>
    <xf numFmtId="0" fontId="68" fillId="9" borderId="4" xfId="4" applyFont="1" applyFill="1" applyBorder="1" applyAlignment="1" applyProtection="1">
      <alignment horizontal="center" vertical="center"/>
      <protection hidden="1"/>
    </xf>
    <xf numFmtId="0" fontId="69" fillId="116" borderId="0" xfId="4" applyFont="1" applyFill="1" applyAlignment="1">
      <alignment horizontal="center" vertical="center" wrapText="1"/>
    </xf>
    <xf numFmtId="0" fontId="69" fillId="117" borderId="0" xfId="4" applyFont="1" applyFill="1" applyAlignment="1">
      <alignment horizontal="center" vertical="center" wrapText="1"/>
    </xf>
    <xf numFmtId="0" fontId="69" fillId="29" borderId="0" xfId="4" applyFont="1" applyFill="1" applyAlignment="1">
      <alignment horizontal="center" vertical="center" wrapText="1"/>
    </xf>
    <xf numFmtId="0" fontId="56" fillId="39" borderId="0" xfId="4" applyFont="1" applyFill="1" applyAlignment="1">
      <alignment horizontal="center" vertical="center" wrapText="1"/>
    </xf>
    <xf numFmtId="0" fontId="56" fillId="9" borderId="0" xfId="4" applyFont="1" applyFill="1" applyAlignment="1" applyProtection="1">
      <alignment horizontal="center" vertical="center"/>
      <protection hidden="1"/>
    </xf>
    <xf numFmtId="0" fontId="56" fillId="9" borderId="0" xfId="4" applyFont="1" applyFill="1" applyAlignment="1" applyProtection="1">
      <alignment horizontal="left" vertical="center" wrapText="1"/>
      <protection hidden="1"/>
    </xf>
    <xf numFmtId="0" fontId="56" fillId="9" borderId="0" xfId="4" applyFont="1" applyFill="1" applyAlignment="1" applyProtection="1">
      <alignment horizontal="center" vertical="center" wrapText="1"/>
      <protection hidden="1"/>
    </xf>
    <xf numFmtId="0" fontId="251" fillId="9" borderId="0" xfId="4" applyFont="1" applyFill="1" applyAlignment="1" applyProtection="1">
      <alignment horizontal="center" vertical="center" wrapText="1"/>
      <protection hidden="1"/>
    </xf>
    <xf numFmtId="0" fontId="17" fillId="9" borderId="0" xfId="4" applyFont="1" applyFill="1" applyAlignment="1" applyProtection="1">
      <alignment horizontal="center" vertical="center" wrapText="1"/>
      <protection hidden="1"/>
    </xf>
    <xf numFmtId="0" fontId="246" fillId="9" borderId="0" xfId="4" applyFont="1" applyFill="1" applyAlignment="1" applyProtection="1">
      <alignment horizontal="center" vertical="center"/>
      <protection hidden="1"/>
    </xf>
    <xf numFmtId="0" fontId="145" fillId="9" borderId="0" xfId="23" applyFont="1" applyFill="1" applyBorder="1" applyAlignment="1">
      <alignment horizontal="center" vertical="center" wrapText="1"/>
    </xf>
    <xf numFmtId="0" fontId="237" fillId="53" borderId="0" xfId="4" applyFont="1" applyFill="1" applyAlignment="1">
      <alignment horizontal="left" vertical="center"/>
    </xf>
    <xf numFmtId="0" fontId="238" fillId="53" borderId="0" xfId="4" applyFont="1" applyFill="1" applyAlignment="1">
      <alignment horizontal="center" vertical="center"/>
    </xf>
    <xf numFmtId="0" fontId="112" fillId="9" borderId="227" xfId="4" applyFont="1" applyFill="1" applyBorder="1" applyAlignment="1">
      <alignment horizontal="center" vertical="center" wrapText="1"/>
    </xf>
    <xf numFmtId="0" fontId="112" fillId="9" borderId="228" xfId="4" applyFont="1" applyFill="1" applyBorder="1" applyAlignment="1">
      <alignment horizontal="center" vertical="center" wrapText="1"/>
    </xf>
    <xf numFmtId="0" fontId="112" fillId="9" borderId="229" xfId="4" applyFont="1" applyFill="1" applyBorder="1" applyAlignment="1">
      <alignment horizontal="center" vertical="center" wrapText="1"/>
    </xf>
    <xf numFmtId="0" fontId="127" fillId="9" borderId="0" xfId="4" applyFont="1" applyFill="1" applyAlignment="1" applyProtection="1">
      <alignment horizontal="center" vertical="center"/>
      <protection hidden="1"/>
    </xf>
    <xf numFmtId="0" fontId="127" fillId="9" borderId="0" xfId="4" applyFont="1" applyFill="1" applyAlignment="1" applyProtection="1">
      <alignment horizontal="center" vertical="center" wrapText="1"/>
      <protection hidden="1"/>
    </xf>
    <xf numFmtId="0" fontId="198" fillId="9" borderId="2" xfId="4" applyFont="1" applyFill="1" applyBorder="1" applyAlignment="1">
      <alignment horizontal="center" vertical="center" wrapText="1"/>
    </xf>
    <xf numFmtId="0" fontId="198" fillId="9" borderId="0" xfId="4" applyFont="1" applyFill="1" applyAlignment="1">
      <alignment horizontal="center" vertical="center" wrapText="1"/>
    </xf>
    <xf numFmtId="0" fontId="198" fillId="9" borderId="4" xfId="4" applyFont="1" applyFill="1" applyBorder="1" applyAlignment="1">
      <alignment horizontal="center" vertical="center" wrapText="1"/>
    </xf>
    <xf numFmtId="0" fontId="14" fillId="9" borderId="2" xfId="9" applyFont="1" applyFill="1" applyBorder="1" applyAlignment="1">
      <alignment horizontal="center" vertical="center" wrapText="1"/>
    </xf>
    <xf numFmtId="0" fontId="14" fillId="9" borderId="0" xfId="9" applyFont="1" applyFill="1" applyAlignment="1">
      <alignment horizontal="center" vertical="center" wrapText="1"/>
    </xf>
    <xf numFmtId="0" fontId="14" fillId="9" borderId="4" xfId="9" applyFont="1" applyFill="1" applyBorder="1" applyAlignment="1">
      <alignment horizontal="center" vertical="center" wrapText="1"/>
    </xf>
    <xf numFmtId="2" fontId="276" fillId="9" borderId="4" xfId="9" applyNumberFormat="1" applyFont="1" applyFill="1" applyBorder="1" applyAlignment="1">
      <alignment horizontal="center" vertical="center"/>
    </xf>
    <xf numFmtId="0" fontId="276" fillId="9" borderId="6" xfId="9" applyFont="1" applyFill="1" applyBorder="1" applyAlignment="1">
      <alignment horizontal="center" vertical="center"/>
    </xf>
    <xf numFmtId="0" fontId="276" fillId="9" borderId="59" xfId="9" applyFont="1" applyFill="1" applyBorder="1" applyAlignment="1">
      <alignment horizontal="center" vertical="center"/>
    </xf>
    <xf numFmtId="0" fontId="276" fillId="9" borderId="6" xfId="9" applyFont="1" applyFill="1" applyBorder="1" applyAlignment="1">
      <alignment horizontal="right" vertical="center"/>
    </xf>
    <xf numFmtId="0" fontId="276" fillId="9" borderId="59" xfId="9" applyFont="1" applyFill="1" applyBorder="1" applyAlignment="1">
      <alignment horizontal="right" vertical="center"/>
    </xf>
    <xf numFmtId="0" fontId="371" fillId="143" borderId="35" xfId="4" applyFont="1" applyFill="1" applyBorder="1" applyAlignment="1" applyProtection="1">
      <alignment horizontal="center" vertical="center"/>
      <protection hidden="1"/>
    </xf>
    <xf numFmtId="0" fontId="23" fillId="92" borderId="101" xfId="4" applyFont="1" applyFill="1" applyBorder="1" applyAlignment="1">
      <alignment horizontal="center" vertical="center" textRotation="90"/>
    </xf>
    <xf numFmtId="0" fontId="287" fillId="0" borderId="270" xfId="19" applyFont="1" applyBorder="1" applyAlignment="1" applyProtection="1">
      <alignment horizontal="center" vertical="center"/>
      <protection locked="0"/>
    </xf>
    <xf numFmtId="0" fontId="287" fillId="0" borderId="0" xfId="19" applyFont="1" applyAlignment="1" applyProtection="1">
      <alignment horizontal="center" vertical="center"/>
      <protection locked="0"/>
    </xf>
    <xf numFmtId="0" fontId="287" fillId="0" borderId="101" xfId="19" applyFont="1" applyBorder="1" applyAlignment="1" applyProtection="1">
      <alignment horizontal="center" vertical="center"/>
      <protection locked="0"/>
    </xf>
    <xf numFmtId="0" fontId="257" fillId="9" borderId="0" xfId="19" applyFont="1" applyFill="1" applyAlignment="1">
      <alignment horizontal="center" vertical="center"/>
    </xf>
    <xf numFmtId="0" fontId="36" fillId="9" borderId="0" xfId="9" applyFont="1" applyFill="1" applyAlignment="1">
      <alignment horizontal="center" vertical="center"/>
    </xf>
    <xf numFmtId="171" fontId="36" fillId="9" borderId="0" xfId="19" applyNumberFormat="1" applyFont="1" applyFill="1" applyAlignment="1">
      <alignment horizontal="left" vertical="center"/>
    </xf>
    <xf numFmtId="0" fontId="276" fillId="9" borderId="2" xfId="9" applyFont="1" applyFill="1" applyBorder="1" applyAlignment="1">
      <alignment horizontal="right" vertical="center"/>
    </xf>
    <xf numFmtId="1" fontId="276" fillId="9" borderId="0" xfId="9" applyNumberFormat="1" applyFont="1" applyFill="1" applyAlignment="1">
      <alignment horizontal="right" vertical="center"/>
    </xf>
    <xf numFmtId="1" fontId="276" fillId="9" borderId="0" xfId="9" applyNumberFormat="1" applyFont="1" applyFill="1" applyAlignment="1">
      <alignment horizontal="center" vertical="center"/>
    </xf>
    <xf numFmtId="0" fontId="276" fillId="9" borderId="0" xfId="9" applyFont="1" applyFill="1" applyAlignment="1">
      <alignment horizontal="center" vertical="center"/>
    </xf>
    <xf numFmtId="0" fontId="266" fillId="9" borderId="0" xfId="9" applyFont="1" applyFill="1" applyAlignment="1">
      <alignment horizontal="center" vertical="center"/>
    </xf>
    <xf numFmtId="0" fontId="23" fillId="92" borderId="4" xfId="4" applyFont="1" applyFill="1" applyBorder="1" applyAlignment="1">
      <alignment horizontal="center" vertical="center" textRotation="90"/>
    </xf>
    <xf numFmtId="191" fontId="368" fillId="12" borderId="329" xfId="19" applyNumberFormat="1" applyFont="1" applyFill="1" applyBorder="1" applyAlignment="1">
      <alignment horizontal="center" vertical="center" wrapText="1"/>
    </xf>
    <xf numFmtId="191" fontId="368" fillId="12" borderId="6" xfId="19" applyNumberFormat="1" applyFont="1" applyFill="1" applyBorder="1" applyAlignment="1">
      <alignment horizontal="center" vertical="center" wrapText="1"/>
    </xf>
    <xf numFmtId="191" fontId="368" fillId="12" borderId="330" xfId="19" applyNumberFormat="1" applyFont="1" applyFill="1" applyBorder="1" applyAlignment="1">
      <alignment horizontal="center" vertical="center" wrapText="1"/>
    </xf>
    <xf numFmtId="191" fontId="368" fillId="12" borderId="2" xfId="19" applyNumberFormat="1" applyFont="1" applyFill="1" applyBorder="1" applyAlignment="1">
      <alignment horizontal="center" vertical="center" wrapText="1"/>
    </xf>
    <xf numFmtId="191" fontId="368" fillId="12" borderId="0" xfId="19" applyNumberFormat="1" applyFont="1" applyFill="1" applyAlignment="1">
      <alignment horizontal="center" vertical="center" wrapText="1"/>
    </xf>
    <xf numFmtId="191" fontId="368" fillId="12" borderId="4" xfId="19" applyNumberFormat="1" applyFont="1" applyFill="1" applyBorder="1" applyAlignment="1">
      <alignment horizontal="center" vertical="center" wrapText="1"/>
    </xf>
    <xf numFmtId="191" fontId="314" fillId="9" borderId="2" xfId="19" applyNumberFormat="1" applyFont="1" applyFill="1" applyBorder="1" applyAlignment="1">
      <alignment horizontal="right" vertical="center" wrapText="1"/>
    </xf>
    <xf numFmtId="191" fontId="314" fillId="9" borderId="0" xfId="19" applyNumberFormat="1" applyFont="1" applyFill="1" applyAlignment="1">
      <alignment horizontal="right" vertical="center" wrapText="1"/>
    </xf>
    <xf numFmtId="186" fontId="313" fillId="12" borderId="0" xfId="19" applyNumberFormat="1" applyFont="1" applyFill="1" applyAlignment="1">
      <alignment horizontal="center" vertical="center"/>
    </xf>
    <xf numFmtId="186" fontId="313" fillId="12" borderId="59" xfId="19" applyNumberFormat="1" applyFont="1" applyFill="1" applyBorder="1" applyAlignment="1">
      <alignment horizontal="center" vertical="center"/>
    </xf>
    <xf numFmtId="191" fontId="630" fillId="9" borderId="0" xfId="19" applyNumberFormat="1" applyFont="1" applyFill="1" applyAlignment="1">
      <alignment horizontal="right" vertical="center" wrapText="1"/>
    </xf>
    <xf numFmtId="0" fontId="273" fillId="2" borderId="41" xfId="9" applyFont="1" applyFill="1" applyBorder="1" applyAlignment="1">
      <alignment horizontal="center" vertical="center"/>
    </xf>
    <xf numFmtId="0" fontId="273" fillId="2" borderId="40" xfId="9" applyFont="1" applyFill="1" applyBorder="1" applyAlignment="1">
      <alignment horizontal="center" vertical="center"/>
    </xf>
    <xf numFmtId="0" fontId="273" fillId="2" borderId="39" xfId="9" applyFont="1" applyFill="1" applyBorder="1" applyAlignment="1">
      <alignment horizontal="center" vertical="center"/>
    </xf>
    <xf numFmtId="1" fontId="276" fillId="9" borderId="0" xfId="19" applyNumberFormat="1" applyFont="1" applyFill="1" applyAlignment="1">
      <alignment horizontal="center" vertical="center"/>
    </xf>
    <xf numFmtId="186" fontId="276" fillId="9" borderId="4" xfId="19" applyNumberFormat="1" applyFont="1" applyFill="1" applyBorder="1" applyAlignment="1">
      <alignment horizontal="center" vertical="center"/>
    </xf>
    <xf numFmtId="186" fontId="369" fillId="12" borderId="0" xfId="19" applyNumberFormat="1" applyFont="1" applyFill="1" applyAlignment="1">
      <alignment horizontal="center" vertical="center"/>
    </xf>
    <xf numFmtId="186" fontId="369" fillId="12" borderId="59" xfId="19" applyNumberFormat="1" applyFont="1" applyFill="1" applyBorder="1" applyAlignment="1">
      <alignment horizontal="center" vertical="center"/>
    </xf>
    <xf numFmtId="0" fontId="257" fillId="9" borderId="0" xfId="9" applyFont="1" applyFill="1" applyAlignment="1">
      <alignment horizontal="right" vertical="center" wrapText="1"/>
    </xf>
    <xf numFmtId="191" fontId="273" fillId="9" borderId="329" xfId="19" applyNumberFormat="1" applyFont="1" applyFill="1" applyBorder="1" applyAlignment="1">
      <alignment horizontal="center" vertical="center" wrapText="1"/>
    </xf>
    <xf numFmtId="191" fontId="273" fillId="9" borderId="6" xfId="19" applyNumberFormat="1" applyFont="1" applyFill="1" applyBorder="1" applyAlignment="1">
      <alignment horizontal="center" vertical="center" wrapText="1"/>
    </xf>
    <xf numFmtId="191" fontId="273" fillId="9" borderId="330" xfId="19" applyNumberFormat="1" applyFont="1" applyFill="1" applyBorder="1" applyAlignment="1">
      <alignment horizontal="center" vertical="center" wrapText="1"/>
    </xf>
    <xf numFmtId="191" fontId="273" fillId="9" borderId="2" xfId="19" applyNumberFormat="1" applyFont="1" applyFill="1" applyBorder="1" applyAlignment="1">
      <alignment horizontal="center" vertical="center" wrapText="1"/>
    </xf>
    <xf numFmtId="191" fontId="273" fillId="9" borderId="0" xfId="19" applyNumberFormat="1" applyFont="1" applyFill="1" applyAlignment="1">
      <alignment horizontal="center" vertical="center" wrapText="1"/>
    </xf>
    <xf numFmtId="191" fontId="273" fillId="9" borderId="4" xfId="19" applyNumberFormat="1" applyFont="1" applyFill="1" applyBorder="1" applyAlignment="1">
      <alignment horizontal="center" vertical="center" wrapText="1"/>
    </xf>
    <xf numFmtId="1" fontId="276" fillId="9" borderId="0" xfId="19" applyNumberFormat="1" applyFont="1" applyFill="1" applyAlignment="1">
      <alignment horizontal="right" vertical="center"/>
    </xf>
    <xf numFmtId="0" fontId="56" fillId="2" borderId="331" xfId="37" applyFont="1" applyFill="1" applyBorder="1" applyAlignment="1">
      <alignment horizontal="center" vertical="center" wrapText="1"/>
    </xf>
    <xf numFmtId="0" fontId="56" fillId="2" borderId="114" xfId="37" applyFont="1" applyFill="1" applyBorder="1" applyAlignment="1">
      <alignment horizontal="center" vertical="center" wrapText="1"/>
    </xf>
    <xf numFmtId="0" fontId="56" fillId="2" borderId="115" xfId="37" applyFont="1" applyFill="1" applyBorder="1" applyAlignment="1">
      <alignment horizontal="center" vertical="center" wrapText="1"/>
    </xf>
    <xf numFmtId="0" fontId="4" fillId="9" borderId="2" xfId="9" applyFont="1" applyFill="1" applyBorder="1" applyAlignment="1">
      <alignment horizontal="right" vertical="center"/>
    </xf>
    <xf numFmtId="0" fontId="4" fillId="9" borderId="0" xfId="9" applyFont="1" applyFill="1" applyAlignment="1">
      <alignment horizontal="right" vertical="center"/>
    </xf>
    <xf numFmtId="171" fontId="8" fillId="9" borderId="0" xfId="9" applyNumberFormat="1" applyFont="1" applyFill="1" applyAlignment="1" applyProtection="1">
      <alignment horizontal="center" vertical="center"/>
      <protection locked="0"/>
    </xf>
    <xf numFmtId="171" fontId="255" fillId="9" borderId="0" xfId="9" applyNumberFormat="1" applyFont="1" applyFill="1" applyAlignment="1" applyProtection="1">
      <alignment horizontal="center" vertical="center"/>
      <protection locked="0"/>
    </xf>
    <xf numFmtId="171" fontId="255" fillId="9" borderId="4" xfId="9" applyNumberFormat="1" applyFont="1" applyFill="1" applyBorder="1" applyAlignment="1" applyProtection="1">
      <alignment horizontal="center" vertical="center"/>
      <protection locked="0"/>
    </xf>
    <xf numFmtId="0" fontId="23" fillId="92" borderId="0" xfId="4" applyFont="1" applyFill="1" applyAlignment="1">
      <alignment horizontal="center" vertical="center" textRotation="90"/>
    </xf>
    <xf numFmtId="0" fontId="623" fillId="9" borderId="2" xfId="37" applyFont="1" applyFill="1" applyBorder="1" applyAlignment="1">
      <alignment horizontal="center" vertical="center" wrapText="1"/>
    </xf>
    <xf numFmtId="0" fontId="99" fillId="9" borderId="0" xfId="37" applyFont="1" applyFill="1" applyAlignment="1">
      <alignment horizontal="center" vertical="center" wrapText="1"/>
    </xf>
    <xf numFmtId="0" fontId="99" fillId="9" borderId="4" xfId="37" applyFont="1" applyFill="1" applyBorder="1" applyAlignment="1">
      <alignment horizontal="center" vertical="center" wrapText="1"/>
    </xf>
    <xf numFmtId="0" fontId="273" fillId="5" borderId="2" xfId="37" applyFont="1" applyFill="1" applyBorder="1" applyAlignment="1">
      <alignment horizontal="center" vertical="center"/>
    </xf>
    <xf numFmtId="0" fontId="273" fillId="5" borderId="0" xfId="37" applyFont="1" applyFill="1" applyAlignment="1">
      <alignment horizontal="center" vertical="center"/>
    </xf>
    <xf numFmtId="0" fontId="273" fillId="5" borderId="4" xfId="37" applyFont="1" applyFill="1" applyBorder="1" applyAlignment="1">
      <alignment horizontal="center" vertical="center"/>
    </xf>
    <xf numFmtId="0" fontId="359" fillId="9" borderId="2" xfId="15" applyFont="1" applyFill="1" applyBorder="1" applyAlignment="1">
      <alignment horizontal="center" vertical="center" wrapText="1"/>
    </xf>
    <xf numFmtId="0" fontId="359" fillId="9" borderId="0" xfId="15" applyFont="1" applyFill="1" applyAlignment="1">
      <alignment horizontal="center" vertical="center" wrapText="1"/>
    </xf>
    <xf numFmtId="0" fontId="359" fillId="9" borderId="4" xfId="15" applyFont="1" applyFill="1" applyBorder="1" applyAlignment="1">
      <alignment horizontal="center" vertical="center" wrapText="1"/>
    </xf>
    <xf numFmtId="0" fontId="360" fillId="93" borderId="2" xfId="37" applyFont="1" applyFill="1" applyBorder="1" applyAlignment="1">
      <alignment horizontal="center" vertical="center"/>
    </xf>
    <xf numFmtId="0" fontId="360" fillId="93" borderId="0" xfId="37" applyFont="1" applyFill="1" applyAlignment="1">
      <alignment horizontal="center" vertical="center"/>
    </xf>
    <xf numFmtId="0" fontId="360" fillId="93" borderId="4" xfId="37" applyFont="1" applyFill="1" applyBorder="1" applyAlignment="1">
      <alignment horizontal="center" vertical="center"/>
    </xf>
    <xf numFmtId="191" fontId="255" fillId="9" borderId="0" xfId="19" applyNumberFormat="1" applyFont="1" applyFill="1" applyAlignment="1">
      <alignment horizontal="left" vertical="center" wrapText="1"/>
    </xf>
    <xf numFmtId="191" fontId="255" fillId="9" borderId="0" xfId="19" applyNumberFormat="1" applyFont="1" applyFill="1" applyAlignment="1">
      <alignment horizontal="right" vertical="center" wrapText="1"/>
    </xf>
    <xf numFmtId="191" fontId="364" fillId="9" borderId="0" xfId="19" applyNumberFormat="1" applyFont="1" applyFill="1" applyAlignment="1">
      <alignment horizontal="center" vertical="center" wrapText="1"/>
    </xf>
    <xf numFmtId="0" fontId="276" fillId="2" borderId="41" xfId="9" applyFont="1" applyFill="1" applyBorder="1" applyAlignment="1">
      <alignment horizontal="center" vertical="center"/>
    </xf>
    <xf numFmtId="0" fontId="276" fillId="2" borderId="40" xfId="9" applyFont="1" applyFill="1" applyBorder="1" applyAlignment="1">
      <alignment horizontal="center" vertical="center"/>
    </xf>
    <xf numFmtId="0" fontId="276" fillId="2" borderId="39" xfId="9" applyFont="1" applyFill="1" applyBorder="1" applyAlignment="1">
      <alignment horizontal="center" vertical="center"/>
    </xf>
    <xf numFmtId="0" fontId="255" fillId="9" borderId="329" xfId="9" applyFont="1" applyFill="1" applyBorder="1" applyAlignment="1">
      <alignment horizontal="center" vertical="center" wrapText="1"/>
    </xf>
    <xf numFmtId="0" fontId="255" fillId="9" borderId="6" xfId="9" applyFont="1" applyFill="1" applyBorder="1" applyAlignment="1">
      <alignment horizontal="center" vertical="center" wrapText="1"/>
    </xf>
    <xf numFmtId="0" fontId="255" fillId="9" borderId="6" xfId="9" applyFont="1" applyFill="1" applyBorder="1" applyAlignment="1">
      <alignment horizontal="center" vertical="center"/>
    </xf>
    <xf numFmtId="171" fontId="258" fillId="9" borderId="6" xfId="9" applyNumberFormat="1" applyFont="1" applyFill="1" applyBorder="1" applyAlignment="1" applyProtection="1">
      <alignment horizontal="center" vertical="center" wrapText="1"/>
      <protection locked="0"/>
    </xf>
    <xf numFmtId="171" fontId="258" fillId="9" borderId="330" xfId="9" applyNumberFormat="1" applyFont="1" applyFill="1" applyBorder="1" applyAlignment="1" applyProtection="1">
      <alignment horizontal="center" vertical="center" wrapText="1"/>
      <protection locked="0"/>
    </xf>
    <xf numFmtId="0" fontId="1" fillId="9" borderId="2" xfId="9" applyFill="1" applyBorder="1" applyAlignment="1">
      <alignment horizontal="right" vertical="center"/>
    </xf>
    <xf numFmtId="0" fontId="1" fillId="9" borderId="0" xfId="9" applyFill="1" applyAlignment="1">
      <alignment horizontal="right" vertical="center"/>
    </xf>
    <xf numFmtId="0" fontId="623" fillId="9" borderId="284" xfId="37" applyFont="1" applyFill="1" applyBorder="1" applyAlignment="1">
      <alignment horizontal="center" vertical="center" wrapText="1"/>
    </xf>
    <xf numFmtId="0" fontId="623" fillId="9" borderId="285" xfId="37" applyFont="1" applyFill="1" applyBorder="1" applyAlignment="1">
      <alignment horizontal="center" vertical="center" wrapText="1"/>
    </xf>
    <xf numFmtId="0" fontId="623" fillId="9" borderId="286" xfId="37" applyFont="1" applyFill="1" applyBorder="1" applyAlignment="1">
      <alignment horizontal="center" vertical="center" wrapText="1"/>
    </xf>
    <xf numFmtId="0" fontId="46" fillId="92" borderId="41" xfId="9" applyFont="1" applyFill="1" applyBorder="1" applyAlignment="1">
      <alignment horizontal="center"/>
    </xf>
    <xf numFmtId="0" fontId="46" fillId="92" borderId="40" xfId="9" applyFont="1" applyFill="1" applyBorder="1" applyAlignment="1">
      <alignment horizontal="center"/>
    </xf>
    <xf numFmtId="0" fontId="46" fillId="92" borderId="39" xfId="9" applyFont="1" applyFill="1" applyBorder="1" applyAlignment="1">
      <alignment horizontal="center"/>
    </xf>
    <xf numFmtId="0" fontId="23" fillId="92" borderId="0" xfId="4" applyFont="1" applyFill="1" applyAlignment="1">
      <alignment horizontal="center" vertical="center" textRotation="90" wrapText="1"/>
    </xf>
    <xf numFmtId="0" fontId="23" fillId="92" borderId="4" xfId="4" applyFont="1" applyFill="1" applyBorder="1" applyAlignment="1">
      <alignment horizontal="center" vertical="center" textRotation="90" wrapText="1"/>
    </xf>
    <xf numFmtId="0" fontId="343" fillId="9" borderId="2" xfId="4" applyFont="1" applyFill="1" applyBorder="1" applyAlignment="1" applyProtection="1">
      <alignment horizontal="center" vertical="center"/>
      <protection hidden="1"/>
    </xf>
    <xf numFmtId="0" fontId="343" fillId="9" borderId="0" xfId="4" applyFont="1" applyFill="1" applyAlignment="1" applyProtection="1">
      <alignment horizontal="center" vertical="center"/>
      <protection hidden="1"/>
    </xf>
    <xf numFmtId="0" fontId="343" fillId="9" borderId="4" xfId="4" applyFont="1" applyFill="1" applyBorder="1" applyAlignment="1" applyProtection="1">
      <alignment horizontal="center" vertical="center"/>
      <protection hidden="1"/>
    </xf>
    <xf numFmtId="0" fontId="56" fillId="9" borderId="2" xfId="10" applyFont="1" applyFill="1" applyBorder="1" applyAlignment="1">
      <alignment horizontal="center" vertical="center" wrapText="1"/>
    </xf>
    <xf numFmtId="0" fontId="56" fillId="9" borderId="0" xfId="10" applyFont="1" applyFill="1" applyAlignment="1">
      <alignment horizontal="center" vertical="center" wrapText="1"/>
    </xf>
    <xf numFmtId="0" fontId="56" fillId="9" borderId="4" xfId="10" applyFont="1" applyFill="1" applyBorder="1" applyAlignment="1">
      <alignment horizontal="center" vertical="center" wrapText="1"/>
    </xf>
    <xf numFmtId="0" fontId="56" fillId="9" borderId="38" xfId="10" applyFont="1" applyFill="1" applyBorder="1" applyAlignment="1">
      <alignment horizontal="center" vertical="center" wrapText="1"/>
    </xf>
    <xf numFmtId="0" fontId="56" fillId="9" borderId="35" xfId="10" applyFont="1" applyFill="1" applyBorder="1" applyAlignment="1">
      <alignment horizontal="center" vertical="center" wrapText="1"/>
    </xf>
    <xf numFmtId="0" fontId="56" fillId="9" borderId="293" xfId="10" applyFont="1" applyFill="1" applyBorder="1" applyAlignment="1">
      <alignment horizontal="center" vertical="center" wrapText="1"/>
    </xf>
    <xf numFmtId="0" fontId="257" fillId="90" borderId="2" xfId="9" applyFont="1" applyFill="1" applyBorder="1" applyAlignment="1">
      <alignment horizontal="center" vertical="center"/>
    </xf>
    <xf numFmtId="0" fontId="257" fillId="90" borderId="0" xfId="9" applyFont="1" applyFill="1" applyAlignment="1">
      <alignment horizontal="center" vertical="center"/>
    </xf>
    <xf numFmtId="0" fontId="257" fillId="90" borderId="4" xfId="9" applyFont="1" applyFill="1" applyBorder="1" applyAlignment="1">
      <alignment horizontal="center" vertical="center"/>
    </xf>
    <xf numFmtId="0" fontId="46" fillId="9" borderId="264" xfId="9" applyFont="1" applyFill="1" applyBorder="1" applyAlignment="1">
      <alignment horizontal="right" vertical="center"/>
    </xf>
    <xf numFmtId="0" fontId="46" fillId="9" borderId="265" xfId="9" applyFont="1" applyFill="1" applyBorder="1" applyAlignment="1">
      <alignment horizontal="right" vertical="center"/>
    </xf>
    <xf numFmtId="0" fontId="95" fillId="9" borderId="264" xfId="9" applyFont="1" applyFill="1" applyBorder="1" applyAlignment="1">
      <alignment horizontal="right" vertical="center"/>
    </xf>
    <xf numFmtId="0" fontId="95" fillId="9" borderId="265" xfId="9" applyFont="1" applyFill="1" applyBorder="1" applyAlignment="1">
      <alignment horizontal="right" vertical="center"/>
    </xf>
    <xf numFmtId="0" fontId="87" fillId="9" borderId="264" xfId="9" applyFont="1" applyFill="1" applyBorder="1" applyAlignment="1">
      <alignment horizontal="center" vertical="center" wrapText="1"/>
    </xf>
    <xf numFmtId="0" fontId="87" fillId="9" borderId="265" xfId="9" applyFont="1" applyFill="1" applyBorder="1" applyAlignment="1">
      <alignment horizontal="center" vertical="center" wrapText="1"/>
    </xf>
    <xf numFmtId="0" fontId="87" fillId="9" borderId="266" xfId="9" applyFont="1" applyFill="1" applyBorder="1" applyAlignment="1">
      <alignment horizontal="center" vertical="center" wrapText="1"/>
    </xf>
    <xf numFmtId="0" fontId="87" fillId="9" borderId="30" xfId="9" applyFont="1" applyFill="1" applyBorder="1" applyAlignment="1">
      <alignment horizontal="center" vertical="center" wrapText="1"/>
    </xf>
    <xf numFmtId="0" fontId="87" fillId="9" borderId="1" xfId="9" applyFont="1" applyFill="1" applyBorder="1" applyAlignment="1">
      <alignment horizontal="center" vertical="center" wrapText="1"/>
    </xf>
    <xf numFmtId="0" fontId="87" fillId="9" borderId="3" xfId="9" applyFont="1" applyFill="1" applyBorder="1" applyAlignment="1">
      <alignment horizontal="center" vertical="center" wrapText="1"/>
    </xf>
    <xf numFmtId="0" fontId="621" fillId="9" borderId="284" xfId="4" applyFont="1" applyFill="1" applyBorder="1" applyAlignment="1">
      <alignment horizontal="center" vertical="center" wrapText="1"/>
    </xf>
    <xf numFmtId="0" fontId="97" fillId="9" borderId="285" xfId="4" applyFont="1" applyFill="1" applyBorder="1" applyAlignment="1">
      <alignment horizontal="center" vertical="center" wrapText="1"/>
    </xf>
    <xf numFmtId="0" fontId="97" fillId="9" borderId="286" xfId="4" applyFont="1" applyFill="1" applyBorder="1" applyAlignment="1">
      <alignment horizontal="center" vertical="center" wrapText="1"/>
    </xf>
    <xf numFmtId="0" fontId="257" fillId="90" borderId="268" xfId="9" applyFont="1" applyFill="1" applyBorder="1" applyAlignment="1">
      <alignment horizontal="center" vertical="center"/>
    </xf>
    <xf numFmtId="0" fontId="257" fillId="90" borderId="265" xfId="9" applyFont="1" applyFill="1" applyBorder="1" applyAlignment="1">
      <alignment horizontal="center" vertical="center"/>
    </xf>
    <xf numFmtId="0" fontId="257" fillId="90" borderId="269" xfId="9" applyFont="1" applyFill="1" applyBorder="1" applyAlignment="1">
      <alignment horizontal="center" vertical="center"/>
    </xf>
    <xf numFmtId="0" fontId="257" fillId="43" borderId="0" xfId="9" applyFont="1" applyFill="1" applyAlignment="1">
      <alignment horizontal="center" vertical="center"/>
    </xf>
    <xf numFmtId="0" fontId="257" fillId="43" borderId="101" xfId="9" applyFont="1" applyFill="1" applyBorder="1" applyAlignment="1">
      <alignment horizontal="center" vertical="center"/>
    </xf>
    <xf numFmtId="0" fontId="95" fillId="9" borderId="0" xfId="9" applyFont="1" applyFill="1" applyAlignment="1">
      <alignment horizontal="right" vertical="center"/>
    </xf>
    <xf numFmtId="191" fontId="633" fillId="110" borderId="323" xfId="19" applyNumberFormat="1" applyFont="1" applyFill="1" applyBorder="1" applyAlignment="1">
      <alignment horizontal="right" vertical="center"/>
    </xf>
    <xf numFmtId="191" fontId="633" fillId="110" borderId="38" xfId="19" applyNumberFormat="1" applyFont="1" applyFill="1" applyBorder="1" applyAlignment="1">
      <alignment horizontal="right" vertical="center"/>
    </xf>
    <xf numFmtId="0" fontId="634" fillId="110" borderId="324" xfId="9" applyFont="1" applyFill="1" applyBorder="1" applyAlignment="1">
      <alignment horizontal="center" vertical="center"/>
    </xf>
    <xf numFmtId="0" fontId="634" fillId="110" borderId="35" xfId="9" applyFont="1" applyFill="1" applyBorder="1" applyAlignment="1">
      <alignment horizontal="center" vertical="center"/>
    </xf>
    <xf numFmtId="0" fontId="635" fillId="110" borderId="324" xfId="9" applyFont="1" applyFill="1" applyBorder="1" applyAlignment="1">
      <alignment horizontal="right" vertical="center"/>
    </xf>
    <xf numFmtId="0" fontId="635" fillId="110" borderId="35" xfId="9" applyFont="1" applyFill="1" applyBorder="1" applyAlignment="1">
      <alignment horizontal="right" vertical="center"/>
    </xf>
    <xf numFmtId="164" fontId="634" fillId="110" borderId="325" xfId="9" applyNumberFormat="1" applyFont="1" applyFill="1" applyBorder="1" applyAlignment="1">
      <alignment horizontal="center" vertical="center"/>
    </xf>
    <xf numFmtId="164" fontId="342" fillId="110" borderId="293" xfId="9" applyNumberFormat="1" applyFont="1" applyFill="1" applyBorder="1" applyAlignment="1">
      <alignment horizontal="center" vertical="center"/>
    </xf>
    <xf numFmtId="0" fontId="262" fillId="72" borderId="30" xfId="9" applyFont="1" applyFill="1" applyBorder="1" applyAlignment="1">
      <alignment horizontal="center" vertical="center"/>
    </xf>
    <xf numFmtId="0" fontId="262" fillId="72" borderId="1" xfId="9" applyFont="1" applyFill="1" applyBorder="1" applyAlignment="1">
      <alignment horizontal="center" vertical="center"/>
    </xf>
    <xf numFmtId="0" fontId="262" fillId="72" borderId="3" xfId="9" applyFont="1" applyFill="1" applyBorder="1" applyAlignment="1">
      <alignment horizontal="center" vertical="center"/>
    </xf>
    <xf numFmtId="171" fontId="39" fillId="9" borderId="36" xfId="9" applyNumberFormat="1" applyFont="1" applyFill="1" applyBorder="1" applyAlignment="1">
      <alignment horizontal="center" vertical="center"/>
    </xf>
    <xf numFmtId="171" fontId="39" fillId="9" borderId="75" xfId="9" applyNumberFormat="1" applyFont="1" applyFill="1" applyBorder="1" applyAlignment="1">
      <alignment horizontal="center" vertical="center"/>
    </xf>
    <xf numFmtId="171" fontId="266" fillId="0" borderId="2" xfId="9" applyNumberFormat="1" applyFont="1" applyBorder="1" applyAlignment="1">
      <alignment horizontal="center" vertical="center"/>
    </xf>
    <xf numFmtId="171" fontId="266" fillId="0" borderId="0" xfId="9" applyNumberFormat="1" applyFont="1" applyAlignment="1">
      <alignment horizontal="center" vertical="center"/>
    </xf>
    <xf numFmtId="171" fontId="316" fillId="93" borderId="0" xfId="9" applyNumberFormat="1" applyFont="1" applyFill="1" applyAlignment="1" applyProtection="1">
      <alignment horizontal="center" vertical="center"/>
      <protection locked="0"/>
    </xf>
    <xf numFmtId="171" fontId="1" fillId="0" borderId="4" xfId="9" applyNumberFormat="1" applyBorder="1" applyAlignment="1">
      <alignment horizontal="center" vertical="center"/>
    </xf>
    <xf numFmtId="171" fontId="39" fillId="9" borderId="319" xfId="9" applyNumberFormat="1" applyFont="1" applyFill="1" applyBorder="1" applyAlignment="1">
      <alignment horizontal="center" vertical="center"/>
    </xf>
    <xf numFmtId="0" fontId="334" fillId="63" borderId="281" xfId="9" applyFont="1" applyFill="1" applyBorder="1" applyAlignment="1">
      <alignment horizontal="center" vertical="center" wrapText="1"/>
    </xf>
    <xf numFmtId="0" fontId="334" fillId="63" borderId="6" xfId="9" applyFont="1" applyFill="1" applyBorder="1" applyAlignment="1">
      <alignment horizontal="center" vertical="center" wrapText="1"/>
    </xf>
    <xf numFmtId="0" fontId="334" fillId="63" borderId="5" xfId="9" applyFont="1" applyFill="1" applyBorder="1" applyAlignment="1">
      <alignment horizontal="center" vertical="center" wrapText="1"/>
    </xf>
    <xf numFmtId="0" fontId="334" fillId="63" borderId="309" xfId="9" applyFont="1" applyFill="1" applyBorder="1" applyAlignment="1">
      <alignment horizontal="center" vertical="center" wrapText="1"/>
    </xf>
    <xf numFmtId="0" fontId="334" fillId="63" borderId="90" xfId="9" applyFont="1" applyFill="1" applyBorder="1" applyAlignment="1">
      <alignment horizontal="center" vertical="center" wrapText="1"/>
    </xf>
    <xf numFmtId="0" fontId="334" fillId="63" borderId="310" xfId="9" applyFont="1" applyFill="1" applyBorder="1" applyAlignment="1">
      <alignment horizontal="center" vertical="center" wrapText="1"/>
    </xf>
    <xf numFmtId="168" fontId="123" fillId="132" borderId="194" xfId="10" applyNumberFormat="1" applyFont="1" applyFill="1" applyBorder="1" applyAlignment="1">
      <alignment horizontal="left" vertical="center"/>
    </xf>
    <xf numFmtId="168" fontId="123" fillId="132" borderId="312" xfId="10" applyNumberFormat="1" applyFont="1" applyFill="1" applyBorder="1" applyAlignment="1">
      <alignment horizontal="left" vertical="center"/>
    </xf>
    <xf numFmtId="168" fontId="123" fillId="132" borderId="0" xfId="10" applyNumberFormat="1" applyFont="1" applyFill="1" applyAlignment="1">
      <alignment horizontal="left" vertical="center"/>
    </xf>
    <xf numFmtId="168" fontId="123" fillId="132" borderId="4" xfId="10" applyNumberFormat="1" applyFont="1" applyFill="1" applyBorder="1" applyAlignment="1">
      <alignment horizontal="left" vertical="center"/>
    </xf>
    <xf numFmtId="0" fontId="147" fillId="63" borderId="30" xfId="19" applyFont="1" applyFill="1" applyBorder="1" applyAlignment="1">
      <alignment horizontal="center" vertical="center"/>
    </xf>
    <xf numFmtId="0" fontId="147" fillId="63" borderId="1" xfId="19" applyFont="1" applyFill="1" applyBorder="1" applyAlignment="1">
      <alignment horizontal="center" vertical="center"/>
    </xf>
    <xf numFmtId="0" fontId="147" fillId="63" borderId="3" xfId="19" applyFont="1" applyFill="1" applyBorder="1" applyAlignment="1">
      <alignment horizontal="center" vertical="center"/>
    </xf>
    <xf numFmtId="191" fontId="339" fillId="0" borderId="2" xfId="19" applyNumberFormat="1" applyFont="1" applyBorder="1" applyAlignment="1">
      <alignment horizontal="center" vertical="center"/>
    </xf>
    <xf numFmtId="191" fontId="339" fillId="0" borderId="0" xfId="19" applyNumberFormat="1" applyFont="1" applyAlignment="1">
      <alignment horizontal="center" vertical="center"/>
    </xf>
    <xf numFmtId="191" fontId="339" fillId="0" borderId="313" xfId="19" applyNumberFormat="1" applyFont="1" applyBorder="1" applyAlignment="1">
      <alignment horizontal="center" vertical="center"/>
    </xf>
    <xf numFmtId="191" fontId="339" fillId="0" borderId="314" xfId="19" applyNumberFormat="1" applyFont="1" applyBorder="1" applyAlignment="1">
      <alignment horizontal="center" vertical="center"/>
    </xf>
    <xf numFmtId="169" fontId="632" fillId="110" borderId="0" xfId="9" applyNumberFormat="1" applyFont="1" applyFill="1" applyAlignment="1" applyProtection="1">
      <alignment horizontal="right" vertical="center" wrapText="1"/>
      <protection locked="0"/>
    </xf>
    <xf numFmtId="169" fontId="632" fillId="110" borderId="314" xfId="9" applyNumberFormat="1" applyFont="1" applyFill="1" applyBorder="1" applyAlignment="1" applyProtection="1">
      <alignment horizontal="right" vertical="center" wrapText="1"/>
      <protection locked="0"/>
    </xf>
    <xf numFmtId="171" fontId="340" fillId="3" borderId="5" xfId="19" applyNumberFormat="1" applyFont="1" applyFill="1" applyBorder="1" applyAlignment="1">
      <alignment horizontal="center" vertical="center"/>
    </xf>
    <xf numFmtId="171" fontId="340" fillId="3" borderId="315" xfId="19" applyNumberFormat="1" applyFont="1" applyFill="1" applyBorder="1" applyAlignment="1">
      <alignment horizontal="center" vertical="center"/>
    </xf>
    <xf numFmtId="171" fontId="341" fillId="108" borderId="2" xfId="9" applyNumberFormat="1" applyFont="1" applyFill="1" applyBorder="1" applyAlignment="1" applyProtection="1">
      <alignment horizontal="center" vertical="center"/>
      <protection locked="0"/>
    </xf>
    <xf numFmtId="208" fontId="341" fillId="108" borderId="4" xfId="9" applyNumberFormat="1" applyFont="1" applyFill="1" applyBorder="1" applyAlignment="1" applyProtection="1">
      <alignment horizontal="center" vertical="center"/>
      <protection locked="0"/>
    </xf>
    <xf numFmtId="0" fontId="341" fillId="93" borderId="36" xfId="19" applyFont="1" applyFill="1" applyBorder="1" applyAlignment="1">
      <alignment horizontal="center" vertical="center"/>
    </xf>
    <xf numFmtId="0" fontId="341" fillId="93" borderId="320" xfId="19" applyFont="1" applyFill="1" applyBorder="1" applyAlignment="1">
      <alignment horizontal="center" vertical="center"/>
    </xf>
    <xf numFmtId="0" fontId="341" fillId="93" borderId="75" xfId="19" applyFont="1" applyFill="1" applyBorder="1" applyAlignment="1">
      <alignment horizontal="center" vertical="center"/>
    </xf>
    <xf numFmtId="0" fontId="341" fillId="93" borderId="321" xfId="19" applyFont="1" applyFill="1" applyBorder="1" applyAlignment="1">
      <alignment horizontal="center" vertical="center"/>
    </xf>
    <xf numFmtId="0" fontId="341" fillId="93" borderId="319" xfId="19" applyFont="1" applyFill="1" applyBorder="1" applyAlignment="1">
      <alignment horizontal="center" vertical="center"/>
    </xf>
    <xf numFmtId="0" fontId="341" fillId="93" borderId="322" xfId="19" applyFont="1" applyFill="1" applyBorder="1" applyAlignment="1">
      <alignment horizontal="center" vertical="center"/>
    </xf>
    <xf numFmtId="171" fontId="266" fillId="9" borderId="311" xfId="9" applyNumberFormat="1" applyFont="1" applyFill="1" applyBorder="1" applyAlignment="1">
      <alignment horizontal="center" vertical="center"/>
    </xf>
    <xf numFmtId="171" fontId="266" fillId="9" borderId="194" xfId="9" applyNumberFormat="1" applyFont="1" applyFill="1" applyBorder="1" applyAlignment="1">
      <alignment horizontal="center" vertical="center"/>
    </xf>
    <xf numFmtId="171" fontId="266" fillId="9" borderId="312" xfId="9" applyNumberFormat="1" applyFont="1" applyFill="1" applyBorder="1" applyAlignment="1">
      <alignment horizontal="center" vertical="center"/>
    </xf>
    <xf numFmtId="171" fontId="316" fillId="93" borderId="316" xfId="19" applyNumberFormat="1" applyFont="1" applyFill="1" applyBorder="1" applyAlignment="1">
      <alignment horizontal="center" vertical="center"/>
    </xf>
    <xf numFmtId="171" fontId="316" fillId="93" borderId="36" xfId="19" applyNumberFormat="1" applyFont="1" applyFill="1" applyBorder="1" applyAlignment="1">
      <alignment horizontal="center" vertical="center"/>
    </xf>
    <xf numFmtId="171" fontId="316" fillId="93" borderId="317" xfId="19" applyNumberFormat="1" applyFont="1" applyFill="1" applyBorder="1" applyAlignment="1">
      <alignment horizontal="center" vertical="center"/>
    </xf>
    <xf numFmtId="171" fontId="316" fillId="93" borderId="75" xfId="19" applyNumberFormat="1" applyFont="1" applyFill="1" applyBorder="1" applyAlignment="1">
      <alignment horizontal="center" vertical="center"/>
    </xf>
    <xf numFmtId="171" fontId="316" fillId="93" borderId="318" xfId="19" applyNumberFormat="1" applyFont="1" applyFill="1" applyBorder="1" applyAlignment="1">
      <alignment horizontal="center" vertical="center"/>
    </xf>
    <xf numFmtId="171" fontId="316" fillId="93" borderId="319" xfId="19" applyNumberFormat="1" applyFont="1" applyFill="1" applyBorder="1" applyAlignment="1">
      <alignment horizontal="center" vertical="center"/>
    </xf>
    <xf numFmtId="0" fontId="322" fillId="137" borderId="40" xfId="19" applyFont="1" applyFill="1" applyBorder="1" applyAlignment="1">
      <alignment horizontal="center" vertical="center"/>
    </xf>
    <xf numFmtId="0" fontId="322" fillId="137" borderId="0" xfId="19" applyFont="1" applyFill="1" applyAlignment="1">
      <alignment horizontal="center" vertical="center"/>
    </xf>
    <xf numFmtId="0" fontId="260" fillId="2" borderId="41" xfId="4" applyFont="1" applyFill="1" applyBorder="1" applyAlignment="1" applyProtection="1">
      <alignment horizontal="center" vertical="center" wrapText="1"/>
      <protection hidden="1"/>
    </xf>
    <xf numFmtId="0" fontId="260" fillId="2" borderId="40" xfId="4" applyFont="1" applyFill="1" applyBorder="1" applyAlignment="1" applyProtection="1">
      <alignment horizontal="center" vertical="center" wrapText="1"/>
      <protection hidden="1"/>
    </xf>
    <xf numFmtId="0" fontId="260" fillId="2" borderId="2" xfId="4" applyFont="1" applyFill="1" applyBorder="1" applyAlignment="1" applyProtection="1">
      <alignment horizontal="center" vertical="center" wrapText="1"/>
      <protection hidden="1"/>
    </xf>
    <xf numFmtId="0" fontId="260" fillId="2" borderId="0" xfId="4" applyFont="1" applyFill="1" applyAlignment="1" applyProtection="1">
      <alignment horizontal="center" vertical="center" wrapText="1"/>
      <protection hidden="1"/>
    </xf>
    <xf numFmtId="0" fontId="323" fillId="2" borderId="39" xfId="19" applyFont="1" applyFill="1" applyBorder="1" applyAlignment="1">
      <alignment horizontal="center" vertical="center"/>
    </xf>
    <xf numFmtId="0" fontId="323" fillId="2" borderId="4" xfId="19" applyFont="1" applyFill="1" applyBorder="1" applyAlignment="1">
      <alignment horizontal="center" vertical="center"/>
    </xf>
    <xf numFmtId="0" fontId="1" fillId="138" borderId="4" xfId="9" applyFill="1" applyBorder="1" applyAlignment="1">
      <alignment horizontal="center" vertical="center" textRotation="90"/>
    </xf>
    <xf numFmtId="0" fontId="260" fillId="9" borderId="2" xfId="10" applyFont="1" applyFill="1" applyBorder="1" applyAlignment="1">
      <alignment horizontal="center" vertical="center" wrapText="1"/>
    </xf>
    <xf numFmtId="0" fontId="260" fillId="9" borderId="0" xfId="10" applyFont="1" applyFill="1" applyAlignment="1">
      <alignment horizontal="center" vertical="center" wrapText="1"/>
    </xf>
    <xf numFmtId="0" fontId="260" fillId="9" borderId="4" xfId="10" applyFont="1" applyFill="1" applyBorder="1" applyAlignment="1">
      <alignment horizontal="center" vertical="center" wrapText="1"/>
    </xf>
    <xf numFmtId="0" fontId="324" fillId="9" borderId="2" xfId="10" applyFont="1" applyFill="1" applyBorder="1" applyAlignment="1">
      <alignment horizontal="center" vertical="center" wrapText="1"/>
    </xf>
    <xf numFmtId="0" fontId="324" fillId="9" borderId="0" xfId="10" applyFont="1" applyFill="1" applyAlignment="1">
      <alignment horizontal="center" vertical="center" wrapText="1"/>
    </xf>
    <xf numFmtId="0" fontId="324" fillId="9" borderId="4" xfId="10" applyFont="1" applyFill="1" applyBorder="1" applyAlignment="1">
      <alignment horizontal="center" vertical="center" wrapText="1"/>
    </xf>
    <xf numFmtId="0" fontId="257" fillId="139" borderId="2" xfId="4" applyFont="1" applyFill="1" applyBorder="1" applyAlignment="1">
      <alignment horizontal="left" vertical="center"/>
    </xf>
    <xf numFmtId="0" fontId="257" fillId="139" borderId="0" xfId="4" applyFont="1" applyFill="1" applyAlignment="1">
      <alignment horizontal="left" vertical="center"/>
    </xf>
    <xf numFmtId="0" fontId="257" fillId="139" borderId="4" xfId="4" applyFont="1" applyFill="1" applyBorder="1" applyAlignment="1">
      <alignment horizontal="left" vertical="center"/>
    </xf>
    <xf numFmtId="0" fontId="626" fillId="63" borderId="0" xfId="4" applyFont="1" applyFill="1" applyAlignment="1">
      <alignment horizontal="center" vertical="center"/>
    </xf>
    <xf numFmtId="0" fontId="325" fillId="63" borderId="0" xfId="4" applyFont="1" applyFill="1" applyAlignment="1">
      <alignment horizontal="center" vertical="center"/>
    </xf>
    <xf numFmtId="0" fontId="279" fillId="93" borderId="304" xfId="9" applyFont="1" applyFill="1" applyBorder="1" applyAlignment="1">
      <alignment horizontal="center" vertical="center"/>
    </xf>
    <xf numFmtId="0" fontId="279" fillId="93" borderId="305" xfId="9" applyFont="1" applyFill="1" applyBorder="1" applyAlignment="1">
      <alignment horizontal="center" vertical="center"/>
    </xf>
    <xf numFmtId="168" fontId="279" fillId="93" borderId="0" xfId="10" applyNumberFormat="1" applyFont="1" applyFill="1" applyAlignment="1">
      <alignment horizontal="center" vertical="center"/>
    </xf>
    <xf numFmtId="0" fontId="257" fillId="140" borderId="2" xfId="4" applyFont="1" applyFill="1" applyBorder="1" applyAlignment="1">
      <alignment horizontal="center" vertical="center"/>
    </xf>
    <xf numFmtId="0" fontId="257" fillId="140" borderId="0" xfId="4" applyFont="1" applyFill="1" applyAlignment="1">
      <alignment horizontal="center" vertical="center"/>
    </xf>
    <xf numFmtId="0" fontId="257" fillId="140" borderId="4" xfId="4" applyFont="1" applyFill="1" applyBorder="1" applyAlignment="1">
      <alignment horizontal="center" vertical="center"/>
    </xf>
    <xf numFmtId="0" fontId="337" fillId="63" borderId="0" xfId="4" applyFont="1" applyFill="1" applyAlignment="1">
      <alignment horizontal="center" vertical="center"/>
    </xf>
    <xf numFmtId="0" fontId="275" fillId="93" borderId="304" xfId="9" applyFont="1" applyFill="1" applyBorder="1" applyAlignment="1">
      <alignment horizontal="center" vertical="center"/>
    </xf>
    <xf numFmtId="0" fontId="275" fillId="93" borderId="305" xfId="9" applyFont="1" applyFill="1" applyBorder="1" applyAlignment="1">
      <alignment horizontal="center" vertical="center"/>
    </xf>
    <xf numFmtId="0" fontId="626" fillId="63" borderId="35" xfId="4" applyFont="1" applyFill="1" applyBorder="1" applyAlignment="1">
      <alignment horizontal="center" vertical="center"/>
    </xf>
    <xf numFmtId="0" fontId="114" fillId="9" borderId="2" xfId="37" applyFont="1" applyFill="1" applyBorder="1" applyAlignment="1">
      <alignment horizontal="center" vertical="center" wrapText="1"/>
    </xf>
    <xf numFmtId="0" fontId="114" fillId="9" borderId="0" xfId="37" applyFont="1" applyFill="1" applyAlignment="1">
      <alignment horizontal="center" vertical="center" wrapText="1"/>
    </xf>
    <xf numFmtId="0" fontId="114" fillId="9" borderId="0" xfId="15" applyFont="1" applyFill="1" applyAlignment="1">
      <alignment horizontal="center" vertical="center" wrapText="1"/>
    </xf>
    <xf numFmtId="0" fontId="10" fillId="9" borderId="4" xfId="15" applyFont="1" applyFill="1" applyBorder="1" applyAlignment="1">
      <alignment horizontal="center" wrapText="1"/>
    </xf>
    <xf numFmtId="0" fontId="10" fillId="9" borderId="264" xfId="15" applyFont="1" applyFill="1" applyBorder="1" applyAlignment="1">
      <alignment horizontal="center" vertical="center"/>
    </xf>
    <xf numFmtId="0" fontId="10" fillId="9" borderId="265" xfId="15" applyFont="1" applyFill="1" applyBorder="1" applyAlignment="1">
      <alignment horizontal="center" vertical="center"/>
    </xf>
    <xf numFmtId="0" fontId="10" fillId="9" borderId="2" xfId="15" applyFont="1" applyFill="1" applyBorder="1" applyAlignment="1">
      <alignment horizontal="center" vertical="center"/>
    </xf>
    <xf numFmtId="0" fontId="10" fillId="9" borderId="0" xfId="15" applyFont="1" applyFill="1" applyAlignment="1">
      <alignment horizontal="center" vertical="center"/>
    </xf>
    <xf numFmtId="0" fontId="10" fillId="9" borderId="266" xfId="15" applyFont="1" applyFill="1" applyBorder="1" applyAlignment="1">
      <alignment horizontal="center" wrapText="1"/>
    </xf>
    <xf numFmtId="0" fontId="312" fillId="8" borderId="41" xfId="37" applyFont="1" applyFill="1" applyBorder="1" applyAlignment="1">
      <alignment horizontal="center" vertical="center"/>
    </xf>
    <xf numFmtId="0" fontId="312" fillId="8" borderId="40" xfId="37" applyFont="1" applyFill="1" applyBorder="1" applyAlignment="1">
      <alignment horizontal="center" vertical="center"/>
    </xf>
    <xf numFmtId="0" fontId="312" fillId="8" borderId="39" xfId="37" applyFont="1" applyFill="1" applyBorder="1" applyAlignment="1">
      <alignment horizontal="center" vertical="center"/>
    </xf>
    <xf numFmtId="0" fontId="190" fillId="73" borderId="281" xfId="37" applyFont="1" applyFill="1" applyBorder="1" applyAlignment="1">
      <alignment horizontal="center" vertical="center" wrapText="1"/>
    </xf>
    <xf numFmtId="0" fontId="190" fillId="73" borderId="2" xfId="37" applyFont="1" applyFill="1" applyBorder="1" applyAlignment="1">
      <alignment horizontal="center" vertical="center" wrapText="1"/>
    </xf>
    <xf numFmtId="0" fontId="183" fillId="12" borderId="6" xfId="15" applyFont="1" applyFill="1" applyBorder="1" applyAlignment="1">
      <alignment horizontal="center" vertical="center" wrapText="1"/>
    </xf>
    <xf numFmtId="0" fontId="183" fillId="12" borderId="0" xfId="15" applyFont="1" applyFill="1" applyAlignment="1">
      <alignment horizontal="center" vertical="center" wrapText="1"/>
    </xf>
    <xf numFmtId="0" fontId="255" fillId="9" borderId="6" xfId="15" applyFont="1" applyFill="1" applyBorder="1" applyAlignment="1">
      <alignment horizontal="center" vertical="center" wrapText="1"/>
    </xf>
    <xf numFmtId="0" fontId="255" fillId="9" borderId="0" xfId="15" applyFont="1" applyFill="1" applyAlignment="1">
      <alignment horizontal="center" vertical="center" wrapText="1"/>
    </xf>
    <xf numFmtId="0" fontId="17" fillId="9" borderId="4" xfId="15" applyFont="1" applyFill="1" applyBorder="1" applyAlignment="1">
      <alignment horizontal="center" vertical="center" wrapText="1"/>
    </xf>
    <xf numFmtId="225" fontId="318" fillId="9" borderId="2" xfId="15" applyNumberFormat="1" applyFont="1" applyFill="1" applyBorder="1" applyAlignment="1">
      <alignment horizontal="left" vertical="center" wrapText="1"/>
    </xf>
    <xf numFmtId="225" fontId="318" fillId="9" borderId="0" xfId="15" applyNumberFormat="1" applyFont="1" applyFill="1" applyAlignment="1">
      <alignment horizontal="left" vertical="center" wrapText="1"/>
    </xf>
    <xf numFmtId="225" fontId="318" fillId="9" borderId="4" xfId="15" applyNumberFormat="1" applyFont="1" applyFill="1" applyBorder="1" applyAlignment="1">
      <alignment horizontal="left" vertical="center" wrapText="1"/>
    </xf>
    <xf numFmtId="225" fontId="318" fillId="9" borderId="30" xfId="15" applyNumberFormat="1" applyFont="1" applyFill="1" applyBorder="1" applyAlignment="1">
      <alignment horizontal="left" vertical="center" wrapText="1"/>
    </xf>
    <xf numFmtId="225" fontId="318" fillId="9" borderId="1" xfId="15" applyNumberFormat="1" applyFont="1" applyFill="1" applyBorder="1" applyAlignment="1">
      <alignment horizontal="left" vertical="center" wrapText="1"/>
    </xf>
    <xf numFmtId="225" fontId="318" fillId="9" borderId="3" xfId="15" applyNumberFormat="1" applyFont="1" applyFill="1" applyBorder="1" applyAlignment="1">
      <alignment horizontal="left" vertical="center" wrapText="1"/>
    </xf>
    <xf numFmtId="0" fontId="23" fillId="27" borderId="4" xfId="4" applyFont="1" applyFill="1" applyBorder="1" applyAlignment="1">
      <alignment horizontal="center" vertical="center" textRotation="90" wrapText="1"/>
    </xf>
    <xf numFmtId="0" fontId="112" fillId="71" borderId="264" xfId="9" applyFont="1" applyFill="1" applyBorder="1" applyAlignment="1">
      <alignment horizontal="center" vertical="center" wrapText="1"/>
    </xf>
    <xf numFmtId="0" fontId="112" fillId="71" borderId="265" xfId="9" applyFont="1" applyFill="1" applyBorder="1" applyAlignment="1">
      <alignment horizontal="center" vertical="center" wrapText="1"/>
    </xf>
    <xf numFmtId="0" fontId="112" fillId="71" borderId="2" xfId="9" applyFont="1" applyFill="1" applyBorder="1" applyAlignment="1">
      <alignment horizontal="center" vertical="center" wrapText="1"/>
    </xf>
    <xf numFmtId="0" fontId="112" fillId="71" borderId="0" xfId="9" applyFont="1" applyFill="1" applyAlignment="1">
      <alignment horizontal="center" vertical="center" wrapText="1"/>
    </xf>
    <xf numFmtId="0" fontId="308" fillId="63" borderId="265" xfId="9" applyFont="1" applyFill="1" applyBorder="1" applyAlignment="1">
      <alignment horizontal="right" vertical="center" wrapText="1"/>
    </xf>
    <xf numFmtId="0" fontId="308" fillId="63" borderId="0" xfId="9" applyFont="1" applyFill="1" applyAlignment="1">
      <alignment horizontal="right" vertical="center" wrapText="1"/>
    </xf>
    <xf numFmtId="168" fontId="308" fillId="93" borderId="265" xfId="9" applyNumberFormat="1" applyFont="1" applyFill="1" applyBorder="1" applyAlignment="1">
      <alignment horizontal="center" vertical="center" wrapText="1"/>
    </xf>
    <xf numFmtId="168" fontId="308" fillId="93" borderId="266" xfId="9" applyNumberFormat="1" applyFont="1" applyFill="1" applyBorder="1" applyAlignment="1">
      <alignment horizontal="center" vertical="center" wrapText="1"/>
    </xf>
    <xf numFmtId="168" fontId="308" fillId="93" borderId="0" xfId="9" applyNumberFormat="1" applyFont="1" applyFill="1" applyAlignment="1">
      <alignment horizontal="center" vertical="center" wrapText="1"/>
    </xf>
    <xf numFmtId="168" fontId="308" fillId="93" borderId="4" xfId="9" applyNumberFormat="1" applyFont="1" applyFill="1" applyBorder="1" applyAlignment="1">
      <alignment horizontal="center" vertical="center" wrapText="1"/>
    </xf>
    <xf numFmtId="0" fontId="52" fillId="12" borderId="282" xfId="4" applyFont="1" applyFill="1" applyBorder="1" applyAlignment="1">
      <alignment horizontal="center" vertical="center"/>
    </xf>
    <xf numFmtId="0" fontId="52" fillId="12" borderId="257" xfId="4" applyFont="1" applyFill="1" applyBorder="1" applyAlignment="1">
      <alignment horizontal="center" vertical="center"/>
    </xf>
    <xf numFmtId="0" fontId="52" fillId="12" borderId="301" xfId="4" applyFont="1" applyFill="1" applyBorder="1" applyAlignment="1">
      <alignment horizontal="center" vertical="center"/>
    </xf>
    <xf numFmtId="0" fontId="52" fillId="0" borderId="36" xfId="9" applyFont="1" applyBorder="1" applyAlignment="1">
      <alignment horizontal="center" vertical="center"/>
    </xf>
    <xf numFmtId="0" fontId="132" fillId="63" borderId="277" xfId="9" applyFont="1" applyFill="1" applyBorder="1" applyAlignment="1">
      <alignment horizontal="center" vertical="center" wrapText="1"/>
    </xf>
    <xf numFmtId="2" fontId="311" fillId="86" borderId="0" xfId="15" applyNumberFormat="1" applyFont="1" applyFill="1" applyAlignment="1" applyProtection="1">
      <alignment horizontal="center" vertical="center"/>
      <protection locked="0"/>
    </xf>
    <xf numFmtId="2" fontId="311" fillId="86" borderId="59" xfId="15" applyNumberFormat="1" applyFont="1" applyFill="1" applyBorder="1" applyAlignment="1" applyProtection="1">
      <alignment horizontal="center" vertical="center"/>
      <protection locked="0"/>
    </xf>
    <xf numFmtId="1" fontId="56" fillId="86" borderId="0" xfId="15" applyNumberFormat="1" applyFont="1" applyFill="1" applyAlignment="1" applyProtection="1">
      <alignment horizontal="center" vertical="center"/>
      <protection locked="0"/>
    </xf>
    <xf numFmtId="1" fontId="56" fillId="86" borderId="59" xfId="15" applyNumberFormat="1" applyFont="1" applyFill="1" applyBorder="1" applyAlignment="1" applyProtection="1">
      <alignment horizontal="center" vertical="center"/>
      <protection locked="0"/>
    </xf>
    <xf numFmtId="0" fontId="56" fillId="7" borderId="0" xfId="15" applyFont="1" applyFill="1" applyAlignment="1" applyProtection="1">
      <alignment horizontal="center" vertical="center"/>
      <protection locked="0"/>
    </xf>
    <xf numFmtId="0" fontId="56" fillId="7" borderId="59" xfId="15" applyFont="1" applyFill="1" applyBorder="1" applyAlignment="1" applyProtection="1">
      <alignment horizontal="center" vertical="center"/>
      <protection locked="0"/>
    </xf>
    <xf numFmtId="221" fontId="56" fillId="7" borderId="0" xfId="15" applyNumberFormat="1" applyFont="1" applyFill="1" applyAlignment="1" applyProtection="1">
      <alignment horizontal="right" vertical="center"/>
      <protection locked="0"/>
    </xf>
    <xf numFmtId="221" fontId="56" fillId="7" borderId="59" xfId="15" applyNumberFormat="1" applyFont="1" applyFill="1" applyBorder="1" applyAlignment="1" applyProtection="1">
      <alignment horizontal="right" vertical="center"/>
      <protection locked="0"/>
    </xf>
    <xf numFmtId="222" fontId="56" fillId="7" borderId="0" xfId="9" applyNumberFormat="1" applyFont="1" applyFill="1" applyAlignment="1">
      <alignment horizontal="center" vertical="center"/>
    </xf>
    <xf numFmtId="222" fontId="56" fillId="7" borderId="59" xfId="9" applyNumberFormat="1" applyFont="1" applyFill="1" applyBorder="1" applyAlignment="1">
      <alignment horizontal="center" vertical="center"/>
    </xf>
    <xf numFmtId="1" fontId="89" fillId="7" borderId="0" xfId="15" applyNumberFormat="1" applyFont="1" applyFill="1" applyAlignment="1" applyProtection="1">
      <alignment horizontal="left" vertical="center"/>
      <protection locked="0"/>
    </xf>
    <xf numFmtId="1" fontId="89" fillId="7" borderId="59" xfId="15" applyNumberFormat="1" applyFont="1" applyFill="1" applyBorder="1" applyAlignment="1" applyProtection="1">
      <alignment horizontal="left" vertical="center"/>
      <protection locked="0"/>
    </xf>
    <xf numFmtId="0" fontId="620" fillId="63" borderId="277" xfId="9" applyFont="1" applyFill="1" applyBorder="1" applyAlignment="1">
      <alignment horizontal="center" vertical="center" wrapText="1"/>
    </xf>
    <xf numFmtId="0" fontId="14" fillId="63" borderId="277" xfId="9" applyFont="1" applyFill="1" applyBorder="1" applyAlignment="1">
      <alignment horizontal="center" vertical="center" wrapText="1"/>
    </xf>
    <xf numFmtId="0" fontId="17" fillId="63" borderId="277" xfId="9" applyFont="1" applyFill="1" applyBorder="1" applyAlignment="1">
      <alignment horizontal="center" vertical="center" wrapText="1"/>
    </xf>
    <xf numFmtId="0" fontId="14" fillId="63" borderId="302" xfId="9" applyFont="1" applyFill="1" applyBorder="1" applyAlignment="1">
      <alignment horizontal="center" vertical="center" wrapText="1"/>
    </xf>
    <xf numFmtId="0" fontId="52" fillId="12" borderId="284" xfId="4" applyFont="1" applyFill="1" applyBorder="1" applyAlignment="1">
      <alignment horizontal="center" vertical="center"/>
    </xf>
    <xf numFmtId="0" fontId="52" fillId="12" borderId="285" xfId="4" applyFont="1" applyFill="1" applyBorder="1" applyAlignment="1">
      <alignment horizontal="center" vertical="center"/>
    </xf>
    <xf numFmtId="0" fontId="52" fillId="12" borderId="286" xfId="4" applyFont="1" applyFill="1" applyBorder="1" applyAlignment="1">
      <alignment horizontal="center" vertical="center"/>
    </xf>
    <xf numFmtId="221" fontId="56" fillId="7" borderId="0" xfId="15" applyNumberFormat="1" applyFont="1" applyFill="1" applyAlignment="1" applyProtection="1">
      <alignment horizontal="center" vertical="center"/>
      <protection locked="0"/>
    </xf>
    <xf numFmtId="221" fontId="56" fillId="7" borderId="59" xfId="15" applyNumberFormat="1" applyFont="1" applyFill="1" applyBorder="1" applyAlignment="1" applyProtection="1">
      <alignment horizontal="center" vertical="center"/>
      <protection locked="0"/>
    </xf>
    <xf numFmtId="222" fontId="56" fillId="7" borderId="0" xfId="9" applyNumberFormat="1" applyFont="1" applyFill="1" applyAlignment="1">
      <alignment horizontal="left" vertical="center"/>
    </xf>
    <xf numFmtId="222" fontId="56" fillId="7" borderId="59" xfId="9" applyNumberFormat="1" applyFont="1" applyFill="1" applyBorder="1" applyAlignment="1">
      <alignment horizontal="left" vertical="center"/>
    </xf>
    <xf numFmtId="1" fontId="89" fillId="7" borderId="4" xfId="15" applyNumberFormat="1" applyFont="1" applyFill="1" applyBorder="1" applyAlignment="1" applyProtection="1">
      <alignment horizontal="center" vertical="center"/>
      <protection locked="0"/>
    </xf>
    <xf numFmtId="1" fontId="89" fillId="7" borderId="58" xfId="15" applyNumberFormat="1" applyFont="1" applyFill="1" applyBorder="1" applyAlignment="1" applyProtection="1">
      <alignment horizontal="center" vertical="center"/>
      <protection locked="0"/>
    </xf>
    <xf numFmtId="0" fontId="307" fillId="86" borderId="0" xfId="15" applyFont="1" applyFill="1" applyAlignment="1" applyProtection="1">
      <alignment horizontal="right" vertical="center" wrapText="1"/>
      <protection locked="0"/>
    </xf>
    <xf numFmtId="0" fontId="307" fillId="131" borderId="0" xfId="15" applyFont="1" applyFill="1" applyAlignment="1" applyProtection="1">
      <alignment horizontal="center" vertical="center"/>
      <protection locked="0"/>
    </xf>
    <xf numFmtId="0" fontId="307" fillId="131" borderId="0" xfId="15" applyFont="1" applyFill="1" applyAlignment="1" applyProtection="1">
      <alignment horizontal="left" vertical="center"/>
      <protection locked="0"/>
    </xf>
    <xf numFmtId="208" fontId="17" fillId="86" borderId="4" xfId="15" applyNumberFormat="1" applyFont="1" applyFill="1" applyBorder="1" applyAlignment="1" applyProtection="1">
      <alignment horizontal="center" vertical="center"/>
      <protection locked="0"/>
    </xf>
    <xf numFmtId="0" fontId="56" fillId="7" borderId="0" xfId="15" applyFont="1" applyFill="1" applyAlignment="1">
      <alignment horizontal="center"/>
    </xf>
    <xf numFmtId="221" fontId="56" fillId="9" borderId="0" xfId="15" applyNumberFormat="1" applyFont="1" applyFill="1" applyAlignment="1" applyProtection="1">
      <alignment horizontal="center" vertical="center"/>
      <protection locked="0"/>
    </xf>
    <xf numFmtId="221" fontId="56" fillId="9" borderId="1" xfId="15" applyNumberFormat="1" applyFont="1" applyFill="1" applyBorder="1" applyAlignment="1" applyProtection="1">
      <alignment horizontal="center" vertical="center"/>
      <protection locked="0"/>
    </xf>
    <xf numFmtId="222" fontId="56" fillId="9" borderId="35" xfId="9" applyNumberFormat="1" applyFont="1" applyFill="1" applyBorder="1" applyAlignment="1">
      <alignment horizontal="center" vertical="center"/>
    </xf>
    <xf numFmtId="222" fontId="56" fillId="9" borderId="1" xfId="9" applyNumberFormat="1" applyFont="1" applyFill="1" applyBorder="1" applyAlignment="1">
      <alignment horizontal="center" vertical="center"/>
    </xf>
    <xf numFmtId="1" fontId="89" fillId="9" borderId="4" xfId="15" applyNumberFormat="1" applyFont="1" applyFill="1" applyBorder="1" applyAlignment="1" applyProtection="1">
      <alignment horizontal="center" vertical="center"/>
      <protection locked="0"/>
    </xf>
    <xf numFmtId="1" fontId="89" fillId="9" borderId="3" xfId="15" applyNumberFormat="1" applyFont="1" applyFill="1" applyBorder="1" applyAlignment="1" applyProtection="1">
      <alignment horizontal="center" vertical="center"/>
      <protection locked="0"/>
    </xf>
    <xf numFmtId="0" fontId="199" fillId="27" borderId="281" xfId="15" applyFont="1" applyFill="1" applyBorder="1" applyAlignment="1">
      <alignment horizontal="center" vertical="center"/>
    </xf>
    <xf numFmtId="0" fontId="199" fillId="27" borderId="6" xfId="15" applyFont="1" applyFill="1" applyBorder="1" applyAlignment="1">
      <alignment horizontal="center" vertical="center"/>
    </xf>
    <xf numFmtId="182" fontId="13" fillId="9" borderId="2" xfId="15" applyNumberFormat="1" applyFont="1" applyFill="1" applyBorder="1" applyAlignment="1" applyProtection="1">
      <alignment horizontal="center" vertical="center"/>
      <protection locked="0"/>
    </xf>
    <xf numFmtId="182" fontId="13" fillId="9" borderId="0" xfId="15" applyNumberFormat="1" applyFont="1" applyFill="1" applyAlignment="1" applyProtection="1">
      <alignment horizontal="center" vertical="center"/>
      <protection locked="0"/>
    </xf>
    <xf numFmtId="0" fontId="26" fillId="7" borderId="0" xfId="15" applyFont="1" applyFill="1" applyAlignment="1" applyProtection="1">
      <alignment horizontal="center" vertical="center" wrapText="1"/>
      <protection locked="0"/>
    </xf>
    <xf numFmtId="0" fontId="310" fillId="135" borderId="41" xfId="15" applyFont="1" applyFill="1" applyBorder="1" applyAlignment="1">
      <alignment horizontal="left" vertical="center"/>
    </xf>
    <xf numFmtId="0" fontId="310" fillId="135" borderId="40" xfId="15" applyFont="1" applyFill="1" applyBorder="1" applyAlignment="1">
      <alignment horizontal="left" vertical="center"/>
    </xf>
    <xf numFmtId="0" fontId="310" fillId="135" borderId="39" xfId="15" applyFont="1" applyFill="1" applyBorder="1" applyAlignment="1">
      <alignment horizontal="left" vertical="center"/>
    </xf>
    <xf numFmtId="0" fontId="17" fillId="86" borderId="2" xfId="15" applyFont="1" applyFill="1" applyBorder="1" applyAlignment="1" applyProtection="1">
      <alignment horizontal="right" vertical="center" wrapText="1"/>
      <protection locked="0"/>
    </xf>
    <xf numFmtId="0" fontId="17" fillId="86" borderId="0" xfId="15" applyFont="1" applyFill="1" applyAlignment="1" applyProtection="1">
      <alignment horizontal="right" vertical="center" wrapText="1"/>
      <protection locked="0"/>
    </xf>
    <xf numFmtId="0" fontId="17" fillId="86" borderId="132" xfId="15" applyFont="1" applyFill="1" applyBorder="1" applyAlignment="1" applyProtection="1">
      <alignment horizontal="right" vertical="center" wrapText="1"/>
      <protection locked="0"/>
    </xf>
    <xf numFmtId="0" fontId="17" fillId="86" borderId="59" xfId="15" applyFont="1" applyFill="1" applyBorder="1" applyAlignment="1" applyProtection="1">
      <alignment horizontal="right" vertical="center" wrapText="1"/>
      <protection locked="0"/>
    </xf>
    <xf numFmtId="171" fontId="56" fillId="9" borderId="2" xfId="15" applyNumberFormat="1" applyFont="1" applyFill="1" applyBorder="1" applyAlignment="1" applyProtection="1">
      <alignment horizontal="center" vertical="center"/>
      <protection locked="0"/>
    </xf>
    <xf numFmtId="171" fontId="56" fillId="9" borderId="294" xfId="15" applyNumberFormat="1" applyFont="1" applyFill="1" applyBorder="1" applyAlignment="1" applyProtection="1">
      <alignment horizontal="center" vertical="center"/>
      <protection locked="0"/>
    </xf>
    <xf numFmtId="171" fontId="56" fillId="9" borderId="30" xfId="15" applyNumberFormat="1" applyFont="1" applyFill="1" applyBorder="1" applyAlignment="1" applyProtection="1">
      <alignment horizontal="center" vertical="center"/>
      <protection locked="0"/>
    </xf>
    <xf numFmtId="171" fontId="56" fillId="9" borderId="300" xfId="15" applyNumberFormat="1" applyFont="1" applyFill="1" applyBorder="1" applyAlignment="1" applyProtection="1">
      <alignment horizontal="center" vertical="center"/>
      <protection locked="0"/>
    </xf>
    <xf numFmtId="2" fontId="56" fillId="9" borderId="295" xfId="15" applyNumberFormat="1" applyFont="1" applyFill="1" applyBorder="1" applyAlignment="1" applyProtection="1">
      <alignment horizontal="right" vertical="center"/>
      <protection locked="0"/>
    </xf>
    <xf numFmtId="2" fontId="56" fillId="9" borderId="52" xfId="15" applyNumberFormat="1" applyFont="1" applyFill="1" applyBorder="1" applyAlignment="1" applyProtection="1">
      <alignment horizontal="right" vertical="center"/>
      <protection locked="0"/>
    </xf>
    <xf numFmtId="0" fontId="56" fillId="9" borderId="101" xfId="15" applyFont="1" applyFill="1" applyBorder="1" applyAlignment="1" applyProtection="1">
      <alignment horizontal="left" vertical="center"/>
      <protection locked="0"/>
    </xf>
    <xf numFmtId="0" fontId="56" fillId="9" borderId="125" xfId="15" applyFont="1" applyFill="1" applyBorder="1" applyAlignment="1" applyProtection="1">
      <alignment horizontal="left" vertical="center"/>
      <protection locked="0"/>
    </xf>
    <xf numFmtId="1" fontId="89" fillId="9" borderId="294" xfId="15" applyNumberFormat="1" applyFont="1" applyFill="1" applyBorder="1" applyAlignment="1" applyProtection="1">
      <alignment horizontal="center" vertical="center"/>
      <protection locked="0"/>
    </xf>
    <xf numFmtId="1" fontId="89" fillId="9" borderId="300" xfId="15" applyNumberFormat="1" applyFont="1" applyFill="1" applyBorder="1" applyAlignment="1" applyProtection="1">
      <alignment horizontal="center" vertical="center"/>
      <protection locked="0"/>
    </xf>
    <xf numFmtId="0" fontId="68" fillId="63" borderId="281" xfId="15" applyFont="1" applyFill="1" applyBorder="1" applyAlignment="1">
      <alignment horizontal="center" vertical="center"/>
    </xf>
    <xf numFmtId="0" fontId="68" fillId="63" borderId="6" xfId="15" applyFont="1" applyFill="1" applyBorder="1" applyAlignment="1">
      <alignment horizontal="center" vertical="center"/>
    </xf>
    <xf numFmtId="0" fontId="68" fillId="63" borderId="5" xfId="15" applyFont="1" applyFill="1" applyBorder="1" applyAlignment="1">
      <alignment horizontal="center" vertical="center"/>
    </xf>
    <xf numFmtId="0" fontId="68" fillId="63" borderId="38" xfId="15" applyFont="1" applyFill="1" applyBorder="1" applyAlignment="1">
      <alignment horizontal="center" vertical="center"/>
    </xf>
    <xf numFmtId="0" fontId="68" fillId="63" borderId="35" xfId="15" applyFont="1" applyFill="1" applyBorder="1" applyAlignment="1">
      <alignment horizontal="center" vertical="center"/>
    </xf>
    <xf numFmtId="0" fontId="68" fillId="63" borderId="293" xfId="15" applyFont="1" applyFill="1" applyBorder="1" applyAlignment="1">
      <alignment horizontal="center" vertical="center"/>
    </xf>
    <xf numFmtId="0" fontId="56" fillId="9" borderId="35" xfId="15" applyFont="1" applyFill="1" applyBorder="1" applyAlignment="1" applyProtection="1">
      <alignment horizontal="left" vertical="center"/>
      <protection locked="0"/>
    </xf>
    <xf numFmtId="0" fontId="17" fillId="0" borderId="264" xfId="15" applyFont="1" applyBorder="1" applyAlignment="1" applyProtection="1">
      <alignment horizontal="center" vertical="center" wrapText="1"/>
      <protection locked="0"/>
    </xf>
    <xf numFmtId="0" fontId="17" fillId="0" borderId="298" xfId="15" applyFont="1" applyBorder="1" applyAlignment="1" applyProtection="1">
      <alignment horizontal="center" vertical="center" wrapText="1"/>
      <protection locked="0"/>
    </xf>
    <xf numFmtId="0" fontId="17" fillId="0" borderId="2" xfId="15" applyFont="1" applyBorder="1" applyAlignment="1" applyProtection="1">
      <alignment horizontal="center" vertical="center" wrapText="1"/>
      <protection locked="0"/>
    </xf>
    <xf numFmtId="0" fontId="17" fillId="0" borderId="294" xfId="15" applyFont="1" applyBorder="1" applyAlignment="1" applyProtection="1">
      <alignment horizontal="center" vertical="center" wrapText="1"/>
      <protection locked="0"/>
    </xf>
    <xf numFmtId="0" fontId="17" fillId="0" borderId="299" xfId="15" applyFont="1" applyBorder="1" applyAlignment="1" applyProtection="1">
      <alignment horizontal="center" vertical="center"/>
      <protection locked="0"/>
    </xf>
    <xf numFmtId="0" fontId="17" fillId="0" borderId="269" xfId="15" applyFont="1" applyBorder="1" applyAlignment="1" applyProtection="1">
      <alignment horizontal="center" vertical="center"/>
      <protection locked="0"/>
    </xf>
    <xf numFmtId="0" fontId="17" fillId="0" borderId="295" xfId="15" applyFont="1" applyBorder="1" applyAlignment="1" applyProtection="1">
      <alignment horizontal="center" vertical="center"/>
      <protection locked="0"/>
    </xf>
    <xf numFmtId="0" fontId="17" fillId="0" borderId="101" xfId="15" applyFont="1" applyBorder="1" applyAlignment="1" applyProtection="1">
      <alignment horizontal="center" vertical="center"/>
      <protection locked="0"/>
    </xf>
    <xf numFmtId="0" fontId="309" fillId="9" borderId="265" xfId="15" applyFont="1" applyFill="1" applyBorder="1" applyAlignment="1" applyProtection="1">
      <alignment horizontal="center" vertical="center"/>
      <protection locked="0"/>
    </xf>
    <xf numFmtId="0" fontId="309" fillId="9" borderId="266" xfId="15" applyFont="1" applyFill="1" applyBorder="1" applyAlignment="1" applyProtection="1">
      <alignment horizontal="center" vertical="center"/>
      <protection locked="0"/>
    </xf>
    <xf numFmtId="0" fontId="309" fillId="9" borderId="0" xfId="15" applyFont="1" applyFill="1" applyAlignment="1" applyProtection="1">
      <alignment horizontal="center" vertical="center"/>
      <protection locked="0"/>
    </xf>
    <xf numFmtId="0" fontId="309" fillId="9" borderId="4" xfId="15" applyFont="1" applyFill="1" applyBorder="1" applyAlignment="1" applyProtection="1">
      <alignment horizontal="center" vertical="center"/>
      <protection locked="0"/>
    </xf>
    <xf numFmtId="0" fontId="310" fillId="27" borderId="41" xfId="15" applyFont="1" applyFill="1" applyBorder="1" applyAlignment="1">
      <alignment horizontal="center" vertical="center"/>
    </xf>
    <xf numFmtId="0" fontId="310" fillId="27" borderId="40" xfId="15" applyFont="1" applyFill="1" applyBorder="1" applyAlignment="1">
      <alignment horizontal="center" vertical="center"/>
    </xf>
    <xf numFmtId="0" fontId="310" fillId="27" borderId="39" xfId="15" applyFont="1" applyFill="1" applyBorder="1" applyAlignment="1">
      <alignment horizontal="center" vertical="center"/>
    </xf>
    <xf numFmtId="0" fontId="307" fillId="81" borderId="2" xfId="15" applyFont="1" applyFill="1" applyBorder="1" applyAlignment="1" applyProtection="1">
      <alignment horizontal="center" vertical="center" wrapText="1"/>
      <protection locked="0"/>
    </xf>
    <xf numFmtId="0" fontId="307" fillId="81" borderId="0" xfId="15" applyFont="1" applyFill="1" applyAlignment="1" applyProtection="1">
      <alignment horizontal="center" vertical="center" wrapText="1"/>
      <protection locked="0"/>
    </xf>
    <xf numFmtId="0" fontId="307" fillId="81" borderId="294" xfId="15" applyFont="1" applyFill="1" applyBorder="1" applyAlignment="1" applyProtection="1">
      <alignment horizontal="center" vertical="center" wrapText="1"/>
      <protection locked="0"/>
    </xf>
    <xf numFmtId="0" fontId="307" fillId="81" borderId="38" xfId="15" applyFont="1" applyFill="1" applyBorder="1" applyAlignment="1" applyProtection="1">
      <alignment horizontal="center" vertical="center" wrapText="1"/>
      <protection locked="0"/>
    </xf>
    <xf numFmtId="0" fontId="307" fillId="81" borderId="35" xfId="15" applyFont="1" applyFill="1" applyBorder="1" applyAlignment="1" applyProtection="1">
      <alignment horizontal="center" vertical="center" wrapText="1"/>
      <protection locked="0"/>
    </xf>
    <xf numFmtId="0" fontId="307" fillId="81" borderId="121" xfId="15" applyFont="1" applyFill="1" applyBorder="1" applyAlignment="1" applyProtection="1">
      <alignment horizontal="center" vertical="center" wrapText="1"/>
      <protection locked="0"/>
    </xf>
    <xf numFmtId="0" fontId="307" fillId="131" borderId="277" xfId="15" applyFont="1" applyFill="1" applyBorder="1" applyAlignment="1" applyProtection="1">
      <alignment horizontal="center" vertical="center"/>
      <protection locked="0"/>
    </xf>
    <xf numFmtId="0" fontId="307" fillId="131" borderId="290" xfId="15" applyFont="1" applyFill="1" applyBorder="1" applyAlignment="1" applyProtection="1">
      <alignment horizontal="center" vertical="center"/>
      <protection locked="0"/>
    </xf>
    <xf numFmtId="0" fontId="307" fillId="131" borderId="294" xfId="15" applyFont="1" applyFill="1" applyBorder="1" applyAlignment="1" applyProtection="1">
      <alignment horizontal="center" vertical="center"/>
      <protection locked="0"/>
    </xf>
    <xf numFmtId="0" fontId="307" fillId="131" borderId="121" xfId="15" applyFont="1" applyFill="1" applyBorder="1" applyAlignment="1" applyProtection="1">
      <alignment horizontal="center" vertical="center"/>
      <protection locked="0"/>
    </xf>
    <xf numFmtId="0" fontId="136" fillId="131" borderId="0" xfId="15" applyFont="1" applyFill="1" applyAlignment="1" applyProtection="1">
      <alignment horizontal="center" vertical="center"/>
      <protection locked="0"/>
    </xf>
    <xf numFmtId="0" fontId="136" fillId="131" borderId="35" xfId="15" applyFont="1" applyFill="1" applyBorder="1" applyAlignment="1" applyProtection="1">
      <alignment horizontal="center" vertical="center"/>
      <protection locked="0"/>
    </xf>
    <xf numFmtId="1" fontId="308" fillId="131" borderId="295" xfId="15" applyNumberFormat="1" applyFont="1" applyFill="1" applyBorder="1" applyAlignment="1" applyProtection="1">
      <alignment horizontal="center" vertical="center"/>
      <protection locked="0"/>
    </xf>
    <xf numFmtId="1" fontId="308" fillId="131" borderId="4" xfId="15" applyNumberFormat="1" applyFont="1" applyFill="1" applyBorder="1" applyAlignment="1" applyProtection="1">
      <alignment horizontal="center" vertical="center"/>
      <protection locked="0"/>
    </xf>
    <xf numFmtId="1" fontId="308" fillId="131" borderId="296" xfId="15" applyNumberFormat="1" applyFont="1" applyFill="1" applyBorder="1" applyAlignment="1" applyProtection="1">
      <alignment horizontal="center" vertical="center"/>
      <protection locked="0"/>
    </xf>
    <xf numFmtId="1" fontId="308" fillId="131" borderId="293" xfId="15" applyNumberFormat="1" applyFont="1" applyFill="1" applyBorder="1" applyAlignment="1" applyProtection="1">
      <alignment horizontal="center" vertical="center"/>
      <protection locked="0"/>
    </xf>
    <xf numFmtId="0" fontId="56" fillId="5" borderId="281" xfId="15" applyFont="1" applyFill="1" applyBorder="1" applyAlignment="1">
      <alignment horizontal="center" vertical="center"/>
    </xf>
    <xf numFmtId="0" fontId="56" fillId="5" borderId="6" xfId="15" applyFont="1" applyFill="1" applyBorder="1" applyAlignment="1">
      <alignment horizontal="center" vertical="center"/>
    </xf>
    <xf numFmtId="0" fontId="56" fillId="5" borderId="5" xfId="15" applyFont="1" applyFill="1" applyBorder="1" applyAlignment="1">
      <alignment horizontal="center" vertical="center"/>
    </xf>
    <xf numFmtId="0" fontId="56" fillId="9" borderId="295" xfId="15" applyFont="1" applyFill="1" applyBorder="1" applyAlignment="1" applyProtection="1">
      <alignment horizontal="center" vertical="center"/>
      <protection locked="0"/>
    </xf>
    <xf numFmtId="0" fontId="56" fillId="9" borderId="0" xfId="15" applyFont="1" applyFill="1" applyAlignment="1" applyProtection="1">
      <alignment horizontal="center" vertical="center"/>
      <protection locked="0"/>
    </xf>
    <xf numFmtId="0" fontId="56" fillId="9" borderId="4" xfId="15" applyFont="1" applyFill="1" applyBorder="1" applyAlignment="1" applyProtection="1">
      <alignment horizontal="center" vertical="center"/>
      <protection locked="0"/>
    </xf>
    <xf numFmtId="0" fontId="303" fillId="27" borderId="2" xfId="15" applyFont="1" applyFill="1" applyBorder="1" applyAlignment="1">
      <alignment horizontal="center" vertical="center" wrapText="1"/>
    </xf>
    <xf numFmtId="0" fontId="303" fillId="27" borderId="0" xfId="15" applyFont="1" applyFill="1" applyAlignment="1">
      <alignment horizontal="center" vertical="center" wrapText="1"/>
    </xf>
    <xf numFmtId="0" fontId="303" fillId="27" borderId="38" xfId="15" applyFont="1" applyFill="1" applyBorder="1" applyAlignment="1">
      <alignment horizontal="center" vertical="center" wrapText="1"/>
    </xf>
    <xf numFmtId="0" fontId="303" fillId="27" borderId="35" xfId="15" applyFont="1" applyFill="1" applyBorder="1" applyAlignment="1">
      <alignment horizontal="center" vertical="center" wrapText="1"/>
    </xf>
    <xf numFmtId="0" fontId="303" fillId="135" borderId="281" xfId="15" applyFont="1" applyFill="1" applyBorder="1" applyAlignment="1">
      <alignment horizontal="center" vertical="center" wrapText="1"/>
    </xf>
    <xf numFmtId="0" fontId="303" fillId="135" borderId="6" xfId="15" applyFont="1" applyFill="1" applyBorder="1" applyAlignment="1">
      <alignment horizontal="center" vertical="center" wrapText="1"/>
    </xf>
    <xf numFmtId="0" fontId="303" fillId="135" borderId="2" xfId="15" applyFont="1" applyFill="1" applyBorder="1" applyAlignment="1">
      <alignment horizontal="center" vertical="center" wrapText="1"/>
    </xf>
    <xf numFmtId="0" fontId="303" fillId="135" borderId="0" xfId="15" applyFont="1" applyFill="1" applyAlignment="1">
      <alignment horizontal="center" vertical="center" wrapText="1"/>
    </xf>
    <xf numFmtId="0" fontId="306" fillId="93" borderId="2" xfId="15" applyFont="1" applyFill="1" applyBorder="1" applyAlignment="1">
      <alignment horizontal="center" vertical="center"/>
    </xf>
    <xf numFmtId="0" fontId="306" fillId="93" borderId="0" xfId="15" applyFont="1" applyFill="1" applyAlignment="1">
      <alignment horizontal="center" vertical="center"/>
    </xf>
    <xf numFmtId="0" fontId="306" fillId="93" borderId="4" xfId="15" applyFont="1" applyFill="1" applyBorder="1" applyAlignment="1">
      <alignment horizontal="center" vertical="center"/>
    </xf>
    <xf numFmtId="0" fontId="68" fillId="5" borderId="2" xfId="15" applyFont="1" applyFill="1" applyBorder="1" applyAlignment="1">
      <alignment horizontal="center" vertical="center"/>
    </xf>
    <xf numFmtId="0" fontId="68" fillId="5" borderId="0" xfId="15" applyFont="1" applyFill="1" applyAlignment="1">
      <alignment horizontal="center" vertical="center"/>
    </xf>
    <xf numFmtId="0" fontId="68" fillId="5" borderId="4" xfId="15" applyFont="1" applyFill="1" applyBorder="1" applyAlignment="1">
      <alignment horizontal="center" vertical="center"/>
    </xf>
    <xf numFmtId="0" fontId="73" fillId="0" borderId="281" xfId="15" applyFont="1" applyBorder="1" applyAlignment="1" applyProtection="1">
      <alignment horizontal="center" vertical="center"/>
      <protection locked="0"/>
    </xf>
    <xf numFmtId="0" fontId="73" fillId="0" borderId="6" xfId="15" applyFont="1" applyBorder="1" applyAlignment="1" applyProtection="1">
      <alignment horizontal="center" vertical="center"/>
      <protection locked="0"/>
    </xf>
    <xf numFmtId="0" fontId="73" fillId="0" borderId="76" xfId="15" applyFont="1" applyBorder="1" applyAlignment="1" applyProtection="1">
      <alignment horizontal="center" vertical="center"/>
      <protection locked="0"/>
    </xf>
    <xf numFmtId="0" fontId="73" fillId="0" borderId="2" xfId="15" applyFont="1" applyBorder="1" applyAlignment="1" applyProtection="1">
      <alignment horizontal="center" vertical="center"/>
      <protection locked="0"/>
    </xf>
    <xf numFmtId="0" fontId="73" fillId="0" borderId="0" xfId="15" applyFont="1" applyAlignment="1" applyProtection="1">
      <alignment horizontal="center" vertical="center"/>
      <protection locked="0"/>
    </xf>
    <xf numFmtId="0" fontId="73" fillId="0" borderId="294" xfId="15" applyFont="1" applyBorder="1" applyAlignment="1" applyProtection="1">
      <alignment horizontal="center" vertical="center"/>
      <protection locked="0"/>
    </xf>
    <xf numFmtId="0" fontId="621" fillId="9" borderId="264" xfId="4" applyFont="1" applyFill="1" applyBorder="1" applyAlignment="1">
      <alignment horizontal="center" vertical="center" wrapText="1"/>
    </xf>
    <xf numFmtId="0" fontId="97" fillId="9" borderId="265" xfId="4" applyFont="1" applyFill="1" applyBorder="1" applyAlignment="1">
      <alignment horizontal="center" vertical="center" wrapText="1"/>
    </xf>
    <xf numFmtId="0" fontId="17" fillId="9" borderId="281" xfId="38" applyFont="1" applyFill="1" applyBorder="1" applyAlignment="1">
      <alignment horizontal="center" vertical="center" wrapText="1"/>
    </xf>
    <xf numFmtId="0" fontId="17" fillId="9" borderId="2" xfId="38" applyFont="1" applyFill="1" applyBorder="1" applyAlignment="1">
      <alignment horizontal="center" vertical="center" wrapText="1"/>
    </xf>
    <xf numFmtId="0" fontId="17" fillId="9" borderId="132" xfId="38" applyFont="1" applyFill="1" applyBorder="1" applyAlignment="1">
      <alignment horizontal="center" vertical="center" wrapText="1"/>
    </xf>
    <xf numFmtId="1" fontId="17" fillId="9" borderId="6" xfId="38" applyNumberFormat="1" applyFont="1" applyFill="1" applyBorder="1" applyAlignment="1">
      <alignment horizontal="center" vertical="center"/>
    </xf>
    <xf numFmtId="1" fontId="17" fillId="9" borderId="0" xfId="38" applyNumberFormat="1" applyFont="1" applyFill="1" applyAlignment="1">
      <alignment horizontal="center" vertical="center"/>
    </xf>
    <xf numFmtId="0" fontId="17" fillId="9" borderId="4" xfId="21" applyFont="1" applyFill="1" applyBorder="1" applyAlignment="1">
      <alignment horizontal="center" vertical="center"/>
    </xf>
    <xf numFmtId="0" fontId="17" fillId="9" borderId="58" xfId="21" applyFont="1" applyFill="1" applyBorder="1" applyAlignment="1">
      <alignment horizontal="center" vertical="center"/>
    </xf>
    <xf numFmtId="0" fontId="10" fillId="9" borderId="281" xfId="38" applyFont="1" applyFill="1" applyBorder="1" applyAlignment="1">
      <alignment horizontal="right" vertical="center" wrapText="1"/>
    </xf>
    <xf numFmtId="0" fontId="10" fillId="9" borderId="2" xfId="38" applyFont="1" applyFill="1" applyBorder="1" applyAlignment="1">
      <alignment horizontal="right" vertical="center" wrapText="1"/>
    </xf>
    <xf numFmtId="0" fontId="17" fillId="0" borderId="263" xfId="15" applyFont="1" applyBorder="1" applyAlignment="1" applyProtection="1">
      <alignment horizontal="center" vertical="center" wrapText="1"/>
      <protection locked="0"/>
    </xf>
    <xf numFmtId="0" fontId="17" fillId="0" borderId="295" xfId="15" applyFont="1" applyBorder="1" applyAlignment="1" applyProtection="1">
      <alignment horizontal="center" vertical="center" wrapText="1"/>
      <protection locked="0"/>
    </xf>
    <xf numFmtId="0" fontId="17" fillId="0" borderId="76" xfId="15" applyFont="1" applyBorder="1" applyAlignment="1" applyProtection="1">
      <alignment horizontal="center" vertical="center" wrapText="1"/>
      <protection locked="0"/>
    </xf>
    <xf numFmtId="0" fontId="52" fillId="0" borderId="263" xfId="15" applyFont="1" applyBorder="1" applyAlignment="1" applyProtection="1">
      <alignment horizontal="center" vertical="center" wrapText="1"/>
      <protection locked="0"/>
    </xf>
    <xf numFmtId="0" fontId="52" fillId="0" borderId="6" xfId="15" applyFont="1" applyBorder="1" applyAlignment="1" applyProtection="1">
      <alignment horizontal="center" vertical="center" wrapText="1"/>
      <protection locked="0"/>
    </xf>
    <xf numFmtId="0" fontId="52" fillId="0" borderId="295" xfId="15" applyFont="1" applyBorder="1" applyAlignment="1" applyProtection="1">
      <alignment horizontal="center" vertical="center" wrapText="1"/>
      <protection locked="0"/>
    </xf>
    <xf numFmtId="0" fontId="52" fillId="0" borderId="0" xfId="15" applyFont="1" applyAlignment="1" applyProtection="1">
      <alignment horizontal="center" vertical="center" wrapText="1"/>
      <protection locked="0"/>
    </xf>
    <xf numFmtId="0" fontId="17" fillId="0" borderId="5" xfId="15" applyFont="1" applyBorder="1" applyAlignment="1" applyProtection="1">
      <alignment horizontal="center" vertical="center" wrapText="1"/>
      <protection locked="0"/>
    </xf>
    <xf numFmtId="0" fontId="17" fillId="0" borderId="4" xfId="15" applyFont="1" applyBorder="1" applyAlignment="1" applyProtection="1">
      <alignment horizontal="center" vertical="center" wrapText="1"/>
      <protection locked="0"/>
    </xf>
    <xf numFmtId="0" fontId="9" fillId="0" borderId="0" xfId="15" applyFont="1" applyAlignment="1" applyProtection="1">
      <alignment horizontal="center" vertical="center" wrapText="1"/>
      <protection locked="0"/>
    </xf>
    <xf numFmtId="0" fontId="307" fillId="131" borderId="132" xfId="15" applyFont="1" applyFill="1" applyBorder="1" applyAlignment="1" applyProtection="1">
      <alignment horizontal="center" vertical="center" wrapText="1"/>
      <protection locked="0"/>
    </xf>
    <xf numFmtId="0" fontId="307" fillId="131" borderId="59" xfId="15" applyFont="1" applyFill="1" applyBorder="1" applyAlignment="1" applyProtection="1">
      <alignment horizontal="center" vertical="center" wrapText="1"/>
      <protection locked="0"/>
    </xf>
    <xf numFmtId="0" fontId="307" fillId="131" borderId="59" xfId="15" applyFont="1" applyFill="1" applyBorder="1" applyAlignment="1" applyProtection="1">
      <alignment horizontal="left" vertical="center"/>
      <protection locked="0"/>
    </xf>
    <xf numFmtId="0" fontId="97" fillId="9" borderId="266" xfId="4" applyFont="1" applyFill="1" applyBorder="1" applyAlignment="1">
      <alignment horizontal="center" vertical="center" wrapText="1"/>
    </xf>
    <xf numFmtId="0" fontId="303" fillId="27" borderId="41" xfId="15" applyFont="1" applyFill="1" applyBorder="1" applyAlignment="1">
      <alignment horizontal="left" vertical="center"/>
    </xf>
    <xf numFmtId="0" fontId="303" fillId="27" borderId="40" xfId="15" applyFont="1" applyFill="1" applyBorder="1" applyAlignment="1">
      <alignment horizontal="left" vertical="center"/>
    </xf>
    <xf numFmtId="0" fontId="303" fillId="27" borderId="39" xfId="15" applyFont="1" applyFill="1" applyBorder="1" applyAlignment="1">
      <alignment horizontal="left" vertical="center"/>
    </xf>
    <xf numFmtId="0" fontId="303" fillId="135" borderId="41" xfId="15" applyFont="1" applyFill="1" applyBorder="1" applyAlignment="1">
      <alignment horizontal="left" vertical="center"/>
    </xf>
    <xf numFmtId="0" fontId="303" fillId="135" borderId="40" xfId="15" applyFont="1" applyFill="1" applyBorder="1" applyAlignment="1">
      <alignment horizontal="left" vertical="center"/>
    </xf>
    <xf numFmtId="0" fontId="303" fillId="135" borderId="39" xfId="15" applyFont="1" applyFill="1" applyBorder="1" applyAlignment="1">
      <alignment horizontal="left" vertical="center"/>
    </xf>
    <xf numFmtId="0" fontId="39" fillId="9" borderId="2" xfId="21" applyFill="1" applyBorder="1" applyAlignment="1">
      <alignment horizontal="left" vertical="center" wrapText="1"/>
    </xf>
    <xf numFmtId="0" fontId="39" fillId="9" borderId="30" xfId="21" applyFill="1" applyBorder="1" applyAlignment="1">
      <alignment horizontal="left" vertical="center" wrapText="1"/>
    </xf>
    <xf numFmtId="0" fontId="39" fillId="9" borderId="1" xfId="21" applyFill="1" applyBorder="1" applyAlignment="1">
      <alignment horizontal="left" vertical="center" wrapText="1"/>
    </xf>
    <xf numFmtId="0" fontId="39" fillId="9" borderId="3" xfId="21" applyFill="1" applyBorder="1" applyAlignment="1">
      <alignment horizontal="left" vertical="center" wrapText="1"/>
    </xf>
    <xf numFmtId="0" fontId="95" fillId="2" borderId="41" xfId="21" applyFont="1" applyFill="1" applyBorder="1" applyAlignment="1">
      <alignment horizontal="center"/>
    </xf>
    <xf numFmtId="0" fontId="95" fillId="2" borderId="40" xfId="21" applyFont="1" applyFill="1" applyBorder="1" applyAlignment="1">
      <alignment horizontal="center"/>
    </xf>
    <xf numFmtId="0" fontId="95" fillId="2" borderId="39" xfId="21" applyFont="1" applyFill="1" applyBorder="1" applyAlignment="1">
      <alignment horizontal="center"/>
    </xf>
    <xf numFmtId="0" fontId="95" fillId="2" borderId="105" xfId="21" applyFont="1" applyFill="1" applyBorder="1" applyAlignment="1">
      <alignment horizontal="center"/>
    </xf>
    <xf numFmtId="0" fontId="95" fillId="2" borderId="106" xfId="21" applyFont="1" applyFill="1" applyBorder="1" applyAlignment="1">
      <alignment horizontal="center"/>
    </xf>
    <xf numFmtId="0" fontId="95" fillId="2" borderId="107" xfId="21" applyFont="1" applyFill="1" applyBorder="1" applyAlignment="1">
      <alignment horizontal="center"/>
    </xf>
    <xf numFmtId="0" fontId="23" fillId="133" borderId="4" xfId="4" applyFont="1" applyFill="1" applyBorder="1" applyAlignment="1">
      <alignment horizontal="center" vertical="center" textRotation="90" wrapText="1"/>
    </xf>
    <xf numFmtId="0" fontId="76" fillId="12" borderId="108" xfId="21" applyFont="1" applyFill="1" applyBorder="1" applyAlignment="1">
      <alignment horizontal="left" vertical="center"/>
    </xf>
    <xf numFmtId="0" fontId="76" fillId="12" borderId="288" xfId="21" applyFont="1" applyFill="1" applyBorder="1" applyAlignment="1">
      <alignment horizontal="left" vertical="center"/>
    </xf>
    <xf numFmtId="0" fontId="76" fillId="12" borderId="59" xfId="21" applyFont="1" applyFill="1" applyBorder="1" applyAlignment="1">
      <alignment horizontal="left"/>
    </xf>
    <xf numFmtId="0" fontId="76" fillId="12" borderId="58" xfId="21" applyFont="1" applyFill="1" applyBorder="1" applyAlignment="1">
      <alignment horizontal="left"/>
    </xf>
    <xf numFmtId="0" fontId="624" fillId="9" borderId="36" xfId="38" applyFont="1" applyFill="1" applyBorder="1" applyAlignment="1">
      <alignment horizontal="center" vertical="center" wrapText="1"/>
    </xf>
    <xf numFmtId="0" fontId="100" fillId="9" borderId="36" xfId="38" applyFont="1" applyFill="1" applyBorder="1" applyAlignment="1">
      <alignment horizontal="center" vertical="center" wrapText="1"/>
    </xf>
    <xf numFmtId="0" fontId="302" fillId="9" borderId="262" xfId="38" applyFont="1" applyFill="1" applyBorder="1" applyAlignment="1">
      <alignment horizontal="center" vertical="center" wrapText="1"/>
    </xf>
    <xf numFmtId="0" fontId="302" fillId="9" borderId="277" xfId="38" applyFont="1" applyFill="1" applyBorder="1" applyAlignment="1">
      <alignment horizontal="center" vertical="center" wrapText="1"/>
    </xf>
    <xf numFmtId="0" fontId="98" fillId="9" borderId="262" xfId="28" applyFont="1" applyFill="1" applyBorder="1" applyAlignment="1">
      <alignment horizontal="center" vertical="center" wrapText="1"/>
    </xf>
    <xf numFmtId="0" fontId="98" fillId="9" borderId="277" xfId="28" applyFont="1" applyFill="1" applyBorder="1" applyAlignment="1">
      <alignment horizontal="center" vertical="center" wrapText="1"/>
    </xf>
    <xf numFmtId="0" fontId="17" fillId="7" borderId="0" xfId="28" applyFont="1" applyFill="1" applyAlignment="1">
      <alignment horizontal="center" vertical="center" wrapText="1"/>
    </xf>
    <xf numFmtId="0" fontId="10" fillId="9" borderId="270" xfId="38" applyFont="1" applyFill="1" applyBorder="1" applyAlignment="1">
      <alignment horizontal="center" vertical="center" wrapText="1"/>
    </xf>
    <xf numFmtId="0" fontId="10" fillId="9" borderId="291" xfId="38" applyFont="1" applyFill="1" applyBorder="1" applyAlignment="1">
      <alignment horizontal="center" vertical="center" wrapText="1"/>
    </xf>
    <xf numFmtId="0" fontId="10" fillId="9" borderId="0" xfId="38" applyFont="1" applyFill="1" applyAlignment="1">
      <alignment horizontal="right" vertical="center" wrapText="1"/>
    </xf>
    <xf numFmtId="0" fontId="624" fillId="9" borderId="289" xfId="38" applyFont="1" applyFill="1" applyBorder="1" applyAlignment="1">
      <alignment horizontal="center" vertical="center" wrapText="1"/>
    </xf>
    <xf numFmtId="0" fontId="171" fillId="9" borderId="262" xfId="38" applyFont="1" applyFill="1" applyBorder="1" applyAlignment="1">
      <alignment horizontal="center" vertical="center" wrapText="1"/>
    </xf>
    <xf numFmtId="0" fontId="171" fillId="9" borderId="277" xfId="38" applyFont="1" applyFill="1" applyBorder="1" applyAlignment="1">
      <alignment horizontal="center" vertical="center" wrapText="1"/>
    </xf>
    <xf numFmtId="0" fontId="17" fillId="7" borderId="4" xfId="28" applyFont="1" applyFill="1" applyBorder="1" applyAlignment="1">
      <alignment horizontal="center" vertical="center" wrapText="1"/>
    </xf>
    <xf numFmtId="0" fontId="17" fillId="9" borderId="101" xfId="21" applyFont="1" applyFill="1" applyBorder="1" applyAlignment="1">
      <alignment horizontal="center" vertical="center"/>
    </xf>
    <xf numFmtId="0" fontId="17" fillId="9" borderId="292" xfId="21" applyFont="1" applyFill="1" applyBorder="1" applyAlignment="1">
      <alignment horizontal="center" vertical="center"/>
    </xf>
    <xf numFmtId="0" fontId="624" fillId="9" borderId="274" xfId="38" applyFont="1" applyFill="1" applyBorder="1" applyAlignment="1">
      <alignment horizontal="center" vertical="center" wrapText="1"/>
    </xf>
    <xf numFmtId="0" fontId="302" fillId="9" borderId="275" xfId="38" applyFont="1" applyFill="1" applyBorder="1" applyAlignment="1">
      <alignment horizontal="center" vertical="center" wrapText="1"/>
    </xf>
    <xf numFmtId="0" fontId="98" fillId="9" borderId="275" xfId="28" applyFont="1" applyFill="1" applyBorder="1" applyAlignment="1">
      <alignment horizontal="center" vertical="center" wrapText="1"/>
    </xf>
    <xf numFmtId="168" fontId="14" fillId="9" borderId="0" xfId="21" applyNumberFormat="1" applyFont="1" applyFill="1" applyAlignment="1">
      <alignment horizontal="center" vertical="center"/>
    </xf>
    <xf numFmtId="168" fontId="14" fillId="9" borderId="59" xfId="21" applyNumberFormat="1" applyFont="1" applyFill="1" applyBorder="1" applyAlignment="1">
      <alignment horizontal="center" vertical="center"/>
    </xf>
    <xf numFmtId="0" fontId="17" fillId="9" borderId="4" xfId="28" applyFont="1" applyFill="1" applyBorder="1" applyAlignment="1">
      <alignment horizontal="center" vertical="center" wrapText="1"/>
    </xf>
    <xf numFmtId="0" fontId="17" fillId="9" borderId="58" xfId="28" applyFont="1" applyFill="1" applyBorder="1" applyAlignment="1">
      <alignment horizontal="center" vertical="center" wrapText="1"/>
    </xf>
    <xf numFmtId="0" fontId="17" fillId="9" borderId="281" xfId="38" applyFont="1" applyFill="1" applyBorder="1" applyAlignment="1">
      <alignment horizontal="right" vertical="center" wrapText="1"/>
    </xf>
    <xf numFmtId="0" fontId="17" fillId="9" borderId="132" xfId="38" applyFont="1" applyFill="1" applyBorder="1" applyAlignment="1">
      <alignment horizontal="right" vertical="center" wrapText="1"/>
    </xf>
    <xf numFmtId="0" fontId="621" fillId="9" borderId="282" xfId="4" applyFont="1" applyFill="1" applyBorder="1" applyAlignment="1">
      <alignment horizontal="center" vertical="center" wrapText="1"/>
    </xf>
    <xf numFmtId="0" fontId="97" fillId="9" borderId="257" xfId="4" applyFont="1" applyFill="1" applyBorder="1" applyAlignment="1">
      <alignment horizontal="center" vertical="center" wrapText="1"/>
    </xf>
    <xf numFmtId="0" fontId="97" fillId="9" borderId="283" xfId="4" applyFont="1" applyFill="1" applyBorder="1" applyAlignment="1">
      <alignment horizontal="center" vertical="center" wrapText="1"/>
    </xf>
    <xf numFmtId="0" fontId="17" fillId="9" borderId="2" xfId="38" applyFont="1" applyFill="1" applyBorder="1" applyAlignment="1">
      <alignment horizontal="right" vertical="center" wrapText="1"/>
    </xf>
    <xf numFmtId="0" fontId="39" fillId="9" borderId="41" xfId="21" applyFill="1" applyBorder="1" applyAlignment="1">
      <alignment horizontal="left" wrapText="1"/>
    </xf>
    <xf numFmtId="0" fontId="39" fillId="9" borderId="40" xfId="21" applyFill="1" applyBorder="1" applyAlignment="1">
      <alignment horizontal="left" wrapText="1"/>
    </xf>
    <xf numFmtId="0" fontId="39" fillId="9" borderId="39" xfId="21" applyFill="1" applyBorder="1" applyAlignment="1">
      <alignment horizontal="left" wrapText="1"/>
    </xf>
    <xf numFmtId="0" fontId="39" fillId="9" borderId="2" xfId="21" applyFill="1" applyBorder="1" applyAlignment="1">
      <alignment horizontal="left" wrapText="1"/>
    </xf>
    <xf numFmtId="0" fontId="17" fillId="7" borderId="276" xfId="28" applyFont="1" applyFill="1" applyBorder="1" applyAlignment="1">
      <alignment horizontal="center" vertical="center" wrapText="1"/>
    </xf>
    <xf numFmtId="0" fontId="17" fillId="7" borderId="278" xfId="28" applyFont="1" applyFill="1" applyBorder="1" applyAlignment="1">
      <alignment horizontal="center" vertical="center" wrapText="1"/>
    </xf>
    <xf numFmtId="0" fontId="17" fillId="9" borderId="268" xfId="38" applyFont="1" applyFill="1" applyBorder="1" applyAlignment="1">
      <alignment horizontal="center" vertical="center" wrapText="1"/>
    </xf>
    <xf numFmtId="0" fontId="17" fillId="9" borderId="270" xfId="38" applyFont="1" applyFill="1" applyBorder="1" applyAlignment="1">
      <alignment horizontal="center" vertical="center" wrapText="1"/>
    </xf>
    <xf numFmtId="0" fontId="17" fillId="9" borderId="209" xfId="38" applyFont="1" applyFill="1" applyBorder="1" applyAlignment="1">
      <alignment horizontal="center" vertical="center" wrapText="1"/>
    </xf>
    <xf numFmtId="1" fontId="17" fillId="9" borderId="265" xfId="38" applyNumberFormat="1" applyFont="1" applyFill="1" applyBorder="1" applyAlignment="1">
      <alignment horizontal="center" vertical="center"/>
    </xf>
    <xf numFmtId="0" fontId="17" fillId="9" borderId="265" xfId="38" applyFont="1" applyFill="1" applyBorder="1" applyAlignment="1">
      <alignment horizontal="center" vertical="center" wrapText="1"/>
    </xf>
    <xf numFmtId="0" fontId="17" fillId="9" borderId="0" xfId="38" applyFont="1" applyFill="1" applyAlignment="1">
      <alignment horizontal="center" vertical="center" wrapText="1"/>
    </xf>
    <xf numFmtId="0" fontId="17" fillId="9" borderId="59" xfId="38" applyFont="1" applyFill="1" applyBorder="1" applyAlignment="1">
      <alignment horizontal="center" vertical="center" wrapText="1"/>
    </xf>
    <xf numFmtId="0" fontId="17" fillId="9" borderId="210" xfId="21" applyFont="1" applyFill="1" applyBorder="1" applyAlignment="1">
      <alignment horizontal="center" vertical="center"/>
    </xf>
    <xf numFmtId="0" fontId="292" fillId="2" borderId="41" xfId="9" applyFont="1" applyFill="1" applyBorder="1" applyAlignment="1">
      <alignment horizontal="center" vertical="center"/>
    </xf>
    <xf numFmtId="0" fontId="292" fillId="2" borderId="40" xfId="9" applyFont="1" applyFill="1" applyBorder="1" applyAlignment="1">
      <alignment horizontal="center" vertical="center"/>
    </xf>
    <xf numFmtId="0" fontId="292" fillId="2" borderId="39" xfId="9" applyFont="1" applyFill="1" applyBorder="1" applyAlignment="1">
      <alignment horizontal="center" vertical="center"/>
    </xf>
    <xf numFmtId="0" fontId="293" fillId="133" borderId="272" xfId="4" applyFont="1" applyFill="1" applyBorder="1" applyAlignment="1">
      <alignment horizontal="center" vertical="center" textRotation="90" wrapText="1"/>
    </xf>
    <xf numFmtId="0" fontId="293" fillId="133" borderId="273" xfId="4" applyFont="1" applyFill="1" applyBorder="1" applyAlignment="1">
      <alignment horizontal="center" vertical="center" textRotation="90" wrapText="1"/>
    </xf>
    <xf numFmtId="0" fontId="36" fillId="9" borderId="2" xfId="4" applyFont="1" applyFill="1" applyBorder="1" applyAlignment="1">
      <alignment horizontal="center" vertical="center"/>
    </xf>
    <xf numFmtId="0" fontId="36" fillId="9" borderId="0" xfId="4" applyFont="1" applyFill="1" applyAlignment="1">
      <alignment horizontal="center" vertical="center"/>
    </xf>
    <xf numFmtId="0" fontId="297" fillId="12" borderId="2" xfId="21" applyFont="1" applyFill="1" applyBorder="1" applyAlignment="1">
      <alignment horizontal="center" vertical="center"/>
    </xf>
    <xf numFmtId="0" fontId="297" fillId="12" borderId="0" xfId="21" applyFont="1" applyFill="1" applyAlignment="1">
      <alignment horizontal="center" vertical="center"/>
    </xf>
    <xf numFmtId="188" fontId="273" fillId="83" borderId="0" xfId="4" applyNumberFormat="1" applyFont="1" applyFill="1" applyAlignment="1">
      <alignment horizontal="left" vertical="center"/>
    </xf>
    <xf numFmtId="0" fontId="297" fillId="12" borderId="38" xfId="21" applyFont="1" applyFill="1" applyBorder="1" applyAlignment="1">
      <alignment horizontal="center" vertical="center"/>
    </xf>
    <xf numFmtId="0" fontId="297" fillId="12" borderId="267" xfId="21" applyFont="1" applyFill="1" applyBorder="1" applyAlignment="1">
      <alignment horizontal="center" vertical="center"/>
    </xf>
    <xf numFmtId="0" fontId="297" fillId="12" borderId="34" xfId="21" applyFont="1" applyFill="1" applyBorder="1" applyAlignment="1">
      <alignment horizontal="center" vertical="center"/>
    </xf>
    <xf numFmtId="0" fontId="260" fillId="9" borderId="41" xfId="4" applyFont="1" applyFill="1" applyBorder="1" applyAlignment="1">
      <alignment horizontal="left"/>
    </xf>
    <xf numFmtId="0" fontId="260" fillId="9" borderId="40" xfId="4" applyFont="1" applyFill="1" applyBorder="1" applyAlignment="1">
      <alignment horizontal="left"/>
    </xf>
    <xf numFmtId="0" fontId="260" fillId="9" borderId="39" xfId="4" applyFont="1" applyFill="1" applyBorder="1" applyAlignment="1">
      <alignment horizontal="left"/>
    </xf>
    <xf numFmtId="0" fontId="145" fillId="9" borderId="0" xfId="23" applyFont="1" applyFill="1" applyAlignment="1">
      <alignment horizontal="center" vertical="center"/>
    </xf>
    <xf numFmtId="0" fontId="265" fillId="9" borderId="0" xfId="23" applyFont="1" applyFill="1" applyAlignment="1">
      <alignment horizontal="center" vertical="center"/>
    </xf>
    <xf numFmtId="0" fontId="17" fillId="0" borderId="0" xfId="15" applyFont="1" applyAlignment="1" applyProtection="1">
      <alignment horizontal="center" vertical="center"/>
      <protection locked="0"/>
    </xf>
    <xf numFmtId="0" fontId="17" fillId="9" borderId="0" xfId="10" applyFont="1" applyFill="1" applyAlignment="1">
      <alignment horizontal="center" vertical="center" wrapText="1"/>
    </xf>
    <xf numFmtId="0" fontId="14" fillId="9" borderId="0" xfId="10" applyFont="1" applyFill="1" applyAlignment="1">
      <alignment horizontal="center" vertical="center" wrapText="1"/>
    </xf>
    <xf numFmtId="0" fontId="621" fillId="9" borderId="116" xfId="4" applyFont="1" applyFill="1" applyBorder="1" applyAlignment="1">
      <alignment horizontal="center" vertical="center" wrapText="1"/>
    </xf>
    <xf numFmtId="0" fontId="621" fillId="9" borderId="267" xfId="4" applyFont="1" applyFill="1" applyBorder="1" applyAlignment="1">
      <alignment horizontal="center" vertical="center" wrapText="1"/>
    </xf>
    <xf numFmtId="0" fontId="621" fillId="9" borderId="110" xfId="4" applyFont="1" applyFill="1" applyBorder="1" applyAlignment="1">
      <alignment horizontal="center" vertical="center" wrapText="1"/>
    </xf>
    <xf numFmtId="0" fontId="132" fillId="11" borderId="2" xfId="15" applyFont="1" applyFill="1" applyBorder="1" applyAlignment="1" applyProtection="1">
      <alignment horizontal="right" vertical="center" wrapText="1"/>
      <protection locked="0"/>
    </xf>
    <xf numFmtId="0" fontId="132" fillId="11" borderId="0" xfId="15" applyFont="1" applyFill="1" applyAlignment="1" applyProtection="1">
      <alignment horizontal="right" vertical="center" wrapText="1"/>
      <protection locked="0"/>
    </xf>
    <xf numFmtId="0" fontId="282" fillId="112" borderId="252" xfId="15" applyFont="1" applyFill="1" applyBorder="1" applyAlignment="1" applyProtection="1">
      <alignment horizontal="right" vertical="center" wrapText="1"/>
      <protection locked="0"/>
    </xf>
    <xf numFmtId="0" fontId="282" fillId="112" borderId="253" xfId="15" applyFont="1" applyFill="1" applyBorder="1" applyAlignment="1" applyProtection="1">
      <alignment horizontal="right" vertical="center" wrapText="1"/>
      <protection locked="0"/>
    </xf>
    <xf numFmtId="0" fontId="285" fillId="63" borderId="257" xfId="15" applyFont="1" applyFill="1" applyBorder="1" applyAlignment="1" applyProtection="1">
      <alignment horizontal="left" vertical="center"/>
      <protection locked="0"/>
    </xf>
    <xf numFmtId="0" fontId="282" fillId="112" borderId="260" xfId="15" applyFont="1" applyFill="1" applyBorder="1" applyAlignment="1" applyProtection="1">
      <alignment horizontal="right" vertical="center" wrapText="1"/>
      <protection locked="0"/>
    </xf>
    <xf numFmtId="0" fontId="285" fillId="63" borderId="108" xfId="15" applyFont="1" applyFill="1" applyBorder="1" applyAlignment="1" applyProtection="1">
      <alignment horizontal="left" vertical="center"/>
      <protection locked="0"/>
    </xf>
    <xf numFmtId="0" fontId="132" fillId="11" borderId="30" xfId="15" applyFont="1" applyFill="1" applyBorder="1" applyAlignment="1" applyProtection="1">
      <alignment horizontal="right" vertical="center" wrapText="1"/>
      <protection locked="0"/>
    </xf>
    <xf numFmtId="0" fontId="132" fillId="11" borderId="1" xfId="15" applyFont="1" applyFill="1" applyBorder="1" applyAlignment="1" applyProtection="1">
      <alignment horizontal="right" vertical="center" wrapText="1"/>
      <protection locked="0"/>
    </xf>
    <xf numFmtId="0" fontId="282" fillId="112" borderId="261" xfId="15" applyFont="1" applyFill="1" applyBorder="1" applyAlignment="1" applyProtection="1">
      <alignment horizontal="right" vertical="center" wrapText="1"/>
      <protection locked="0"/>
    </xf>
    <xf numFmtId="0" fontId="282" fillId="112" borderId="234" xfId="15" applyFont="1" applyFill="1" applyBorder="1" applyAlignment="1" applyProtection="1">
      <alignment horizontal="right" vertical="center" wrapText="1"/>
      <protection locked="0"/>
    </xf>
    <xf numFmtId="0" fontId="285" fillId="63" borderId="6" xfId="15" applyFont="1" applyFill="1" applyBorder="1" applyAlignment="1" applyProtection="1">
      <alignment horizontal="left" vertical="center"/>
      <protection locked="0"/>
    </xf>
    <xf numFmtId="0" fontId="52" fillId="12" borderId="267" xfId="4" applyFont="1" applyFill="1" applyBorder="1" applyAlignment="1">
      <alignment horizontal="center" vertical="center" wrapText="1"/>
    </xf>
    <xf numFmtId="0" fontId="46" fillId="2" borderId="41" xfId="9" applyFont="1" applyFill="1" applyBorder="1" applyAlignment="1">
      <alignment horizontal="center" vertical="center"/>
    </xf>
    <xf numFmtId="0" fontId="46" fillId="2" borderId="40" xfId="9" applyFont="1" applyFill="1" applyBorder="1" applyAlignment="1">
      <alignment horizontal="center" vertical="center"/>
    </xf>
    <xf numFmtId="0" fontId="46" fillId="2" borderId="39" xfId="9" applyFont="1" applyFill="1" applyBorder="1" applyAlignment="1">
      <alignment horizontal="center" vertical="center"/>
    </xf>
    <xf numFmtId="0" fontId="17" fillId="9" borderId="88" xfId="9" applyFont="1" applyFill="1" applyBorder="1" applyAlignment="1">
      <alignment horizontal="center" vertical="center" wrapText="1"/>
    </xf>
    <xf numFmtId="0" fontId="17" fillId="9" borderId="0" xfId="9" applyFont="1" applyFill="1" applyAlignment="1">
      <alignment horizontal="center" vertical="center" wrapText="1"/>
    </xf>
    <xf numFmtId="0" fontId="17" fillId="9" borderId="101" xfId="9" applyFont="1" applyFill="1" applyBorder="1" applyAlignment="1">
      <alignment horizontal="center" vertical="center" wrapText="1"/>
    </xf>
    <xf numFmtId="0" fontId="52" fillId="65" borderId="88" xfId="9" applyFont="1" applyFill="1" applyBorder="1" applyAlignment="1">
      <alignment horizontal="center" vertical="center" wrapText="1"/>
    </xf>
    <xf numFmtId="0" fontId="52" fillId="65" borderId="0" xfId="9" applyFont="1" applyFill="1" applyAlignment="1">
      <alignment horizontal="center" vertical="center" wrapText="1"/>
    </xf>
    <xf numFmtId="0" fontId="52" fillId="65" borderId="101" xfId="9" applyFont="1" applyFill="1" applyBorder="1" applyAlignment="1">
      <alignment horizontal="center" vertical="center" wrapText="1"/>
    </xf>
    <xf numFmtId="0" fontId="198" fillId="12" borderId="88" xfId="9" applyFont="1" applyFill="1" applyBorder="1" applyAlignment="1">
      <alignment horizontal="center" vertical="center" wrapText="1"/>
    </xf>
    <xf numFmtId="0" fontId="198" fillId="12" borderId="0" xfId="9" applyFont="1" applyFill="1" applyAlignment="1">
      <alignment horizontal="center" vertical="center" wrapText="1"/>
    </xf>
    <xf numFmtId="0" fontId="198" fillId="12" borderId="101" xfId="9" applyFont="1" applyFill="1" applyBorder="1" applyAlignment="1">
      <alignment horizontal="center" vertical="center" wrapText="1"/>
    </xf>
    <xf numFmtId="0" fontId="198" fillId="12" borderId="116" xfId="9" applyFont="1" applyFill="1" applyBorder="1" applyAlignment="1">
      <alignment horizontal="center" vertical="center" wrapText="1"/>
    </xf>
    <xf numFmtId="0" fontId="198" fillId="12" borderId="35" xfId="9" applyFont="1" applyFill="1" applyBorder="1" applyAlignment="1">
      <alignment horizontal="center" vertical="center" wrapText="1"/>
    </xf>
    <xf numFmtId="0" fontId="198" fillId="12" borderId="110" xfId="9" applyFont="1" applyFill="1" applyBorder="1" applyAlignment="1">
      <alignment horizontal="center" vertical="center" wrapText="1"/>
    </xf>
    <xf numFmtId="0" fontId="259" fillId="2" borderId="230" xfId="15" applyFont="1" applyFill="1" applyBorder="1" applyAlignment="1">
      <alignment horizontal="left" vertical="center"/>
    </xf>
    <xf numFmtId="0" fontId="259" fillId="2" borderId="231" xfId="15" applyFont="1" applyFill="1" applyBorder="1" applyAlignment="1">
      <alignment horizontal="left" vertical="center"/>
    </xf>
    <xf numFmtId="0" fontId="259" fillId="2" borderId="232" xfId="15" applyFont="1" applyFill="1" applyBorder="1" applyAlignment="1">
      <alignment horizontal="left" vertical="center"/>
    </xf>
    <xf numFmtId="0" fontId="272" fillId="93" borderId="230" xfId="15" applyFont="1" applyFill="1" applyBorder="1" applyAlignment="1">
      <alignment horizontal="center" vertical="center"/>
    </xf>
    <xf numFmtId="0" fontId="272" fillId="93" borderId="231" xfId="21" applyFont="1" applyFill="1" applyBorder="1" applyAlignment="1">
      <alignment horizontal="center" vertical="center"/>
    </xf>
    <xf numFmtId="0" fontId="273" fillId="63" borderId="230" xfId="15" applyFont="1" applyFill="1" applyBorder="1" applyAlignment="1">
      <alignment horizontal="center" vertical="center"/>
    </xf>
    <xf numFmtId="0" fontId="273" fillId="63" borderId="231" xfId="21" applyFont="1" applyFill="1" applyBorder="1" applyAlignment="1">
      <alignment horizontal="center" vertical="center"/>
    </xf>
    <xf numFmtId="0" fontId="273" fillId="63" borderId="232" xfId="21" applyFont="1" applyFill="1" applyBorder="1" applyAlignment="1">
      <alignment horizontal="center" vertical="center"/>
    </xf>
    <xf numFmtId="0" fontId="274" fillId="0" borderId="233" xfId="15" applyFont="1" applyBorder="1" applyAlignment="1" applyProtection="1">
      <alignment horizontal="center" vertical="center"/>
      <protection locked="0"/>
    </xf>
    <xf numFmtId="0" fontId="274" fillId="0" borderId="234" xfId="15" applyFont="1" applyBorder="1" applyAlignment="1" applyProtection="1">
      <alignment horizontal="center" vertical="center"/>
      <protection locked="0"/>
    </xf>
    <xf numFmtId="0" fontId="274" fillId="0" borderId="241" xfId="15" applyFont="1" applyBorder="1" applyAlignment="1" applyProtection="1">
      <alignment horizontal="center" vertical="center"/>
      <protection locked="0"/>
    </xf>
    <xf numFmtId="0" fontId="274" fillId="0" borderId="0" xfId="15" applyFont="1" applyAlignment="1" applyProtection="1">
      <alignment horizontal="center" vertical="center"/>
      <protection locked="0"/>
    </xf>
    <xf numFmtId="0" fontId="274" fillId="0" borderId="246" xfId="15" applyFont="1" applyBorder="1" applyAlignment="1" applyProtection="1">
      <alignment horizontal="center" vertical="center"/>
      <protection locked="0"/>
    </xf>
    <xf numFmtId="0" fontId="274" fillId="0" borderId="247" xfId="15" applyFont="1" applyBorder="1" applyAlignment="1" applyProtection="1">
      <alignment horizontal="center" vertical="center"/>
      <protection locked="0"/>
    </xf>
    <xf numFmtId="0" fontId="8" fillId="0" borderId="234" xfId="15" applyFont="1" applyBorder="1" applyAlignment="1" applyProtection="1">
      <alignment horizontal="center" vertical="center" wrapText="1"/>
      <protection locked="0"/>
    </xf>
    <xf numFmtId="0" fontId="8" fillId="0" borderId="0" xfId="15" applyFont="1" applyAlignment="1" applyProtection="1">
      <alignment horizontal="center" vertical="center" wrapText="1"/>
      <protection locked="0"/>
    </xf>
    <xf numFmtId="0" fontId="8" fillId="0" borderId="247" xfId="15" applyFont="1" applyBorder="1" applyAlignment="1" applyProtection="1">
      <alignment horizontal="center" vertical="center" wrapText="1"/>
      <protection locked="0"/>
    </xf>
    <xf numFmtId="0" fontId="255" fillId="0" borderId="235" xfId="15" applyFont="1" applyBorder="1" applyAlignment="1" applyProtection="1">
      <alignment horizontal="center" vertical="center" wrapText="1"/>
      <protection locked="0"/>
    </xf>
    <xf numFmtId="0" fontId="255" fillId="0" borderId="242" xfId="15" applyFont="1" applyBorder="1" applyAlignment="1" applyProtection="1">
      <alignment horizontal="center" vertical="center" wrapText="1"/>
      <protection locked="0"/>
    </xf>
    <xf numFmtId="0" fontId="255" fillId="0" borderId="248" xfId="15" applyFont="1" applyBorder="1" applyAlignment="1" applyProtection="1">
      <alignment horizontal="center" vertical="center" wrapText="1"/>
      <protection locked="0"/>
    </xf>
    <xf numFmtId="0" fontId="275" fillId="63" borderId="236" xfId="15" applyFont="1" applyFill="1" applyBorder="1" applyAlignment="1" applyProtection="1">
      <alignment horizontal="center" vertical="center" wrapText="1"/>
      <protection locked="0"/>
    </xf>
    <xf numFmtId="0" fontId="275" fillId="63" borderId="237" xfId="15" applyFont="1" applyFill="1" applyBorder="1" applyAlignment="1" applyProtection="1">
      <alignment horizontal="center" vertical="center" wrapText="1"/>
      <protection locked="0"/>
    </xf>
    <xf numFmtId="0" fontId="275" fillId="63" borderId="238" xfId="15" applyFont="1" applyFill="1" applyBorder="1" applyAlignment="1" applyProtection="1">
      <alignment horizontal="center" vertical="center" wrapText="1"/>
      <protection locked="0"/>
    </xf>
    <xf numFmtId="0" fontId="276" fillId="0" borderId="239" xfId="15" applyFont="1" applyBorder="1" applyAlignment="1" applyProtection="1">
      <alignment horizontal="center" vertical="center"/>
      <protection locked="0"/>
    </xf>
    <xf numFmtId="0" fontId="276" fillId="0" borderId="240" xfId="15" applyFont="1" applyBorder="1" applyAlignment="1" applyProtection="1">
      <alignment horizontal="center" vertical="center"/>
      <protection locked="0"/>
    </xf>
    <xf numFmtId="0" fontId="276" fillId="0" borderId="244" xfId="15" applyFont="1" applyBorder="1" applyAlignment="1" applyProtection="1">
      <alignment horizontal="center" vertical="center"/>
      <protection locked="0"/>
    </xf>
    <xf numFmtId="0" fontId="276" fillId="0" borderId="245" xfId="15" applyFont="1" applyBorder="1" applyAlignment="1" applyProtection="1">
      <alignment horizontal="center" vertical="center"/>
      <protection locked="0"/>
    </xf>
    <xf numFmtId="0" fontId="277" fillId="0" borderId="239" xfId="15" applyFont="1" applyBorder="1" applyAlignment="1" applyProtection="1">
      <alignment horizontal="center" vertical="center"/>
      <protection locked="0"/>
    </xf>
    <xf numFmtId="0" fontId="277" fillId="0" borderId="234" xfId="15" applyFont="1" applyBorder="1" applyAlignment="1" applyProtection="1">
      <alignment horizontal="center" vertical="center"/>
      <protection locked="0"/>
    </xf>
    <xf numFmtId="0" fontId="277" fillId="0" borderId="240" xfId="15" applyFont="1" applyBorder="1" applyAlignment="1" applyProtection="1">
      <alignment horizontal="center" vertical="center"/>
      <protection locked="0"/>
    </xf>
    <xf numFmtId="0" fontId="277" fillId="0" borderId="244" xfId="15" applyFont="1" applyBorder="1" applyAlignment="1" applyProtection="1">
      <alignment horizontal="center" vertical="center"/>
      <protection locked="0"/>
    </xf>
    <xf numFmtId="0" fontId="277" fillId="0" borderId="0" xfId="15" applyFont="1" applyAlignment="1" applyProtection="1">
      <alignment horizontal="center" vertical="center"/>
      <protection locked="0"/>
    </xf>
    <xf numFmtId="0" fontId="277" fillId="0" borderId="245" xfId="15" applyFont="1" applyBorder="1" applyAlignment="1" applyProtection="1">
      <alignment horizontal="center" vertical="center"/>
      <protection locked="0"/>
    </xf>
    <xf numFmtId="0" fontId="277" fillId="0" borderId="250" xfId="15" applyFont="1" applyBorder="1" applyAlignment="1" applyProtection="1">
      <alignment horizontal="center" vertical="center"/>
      <protection locked="0"/>
    </xf>
    <xf numFmtId="0" fontId="277" fillId="0" borderId="247" xfId="15" applyFont="1" applyBorder="1" applyAlignment="1" applyProtection="1">
      <alignment horizontal="center" vertical="center"/>
      <protection locked="0"/>
    </xf>
    <xf numFmtId="0" fontId="277" fillId="0" borderId="251" xfId="15" applyFont="1" applyBorder="1" applyAlignment="1" applyProtection="1">
      <alignment horizontal="center" vertical="center"/>
      <protection locked="0"/>
    </xf>
    <xf numFmtId="2" fontId="255" fillId="63" borderId="244" xfId="19" applyNumberFormat="1" applyFont="1" applyFill="1" applyBorder="1" applyAlignment="1">
      <alignment horizontal="center" vertical="center"/>
    </xf>
    <xf numFmtId="2" fontId="255" fillId="63" borderId="245" xfId="19" applyNumberFormat="1" applyFont="1" applyFill="1" applyBorder="1" applyAlignment="1">
      <alignment horizontal="center" vertical="center"/>
    </xf>
    <xf numFmtId="0" fontId="280" fillId="0" borderId="249" xfId="15" applyFont="1" applyBorder="1" applyAlignment="1" applyProtection="1">
      <alignment horizontal="center" vertical="center" wrapText="1"/>
      <protection locked="0"/>
    </xf>
    <xf numFmtId="0" fontId="273" fillId="63" borderId="250" xfId="19" applyFont="1" applyFill="1" applyBorder="1" applyAlignment="1">
      <alignment horizontal="center" vertical="center"/>
    </xf>
    <xf numFmtId="0" fontId="273" fillId="63" borderId="251" xfId="19" applyFont="1" applyFill="1" applyBorder="1" applyAlignment="1">
      <alignment horizontal="center" vertical="center"/>
    </xf>
    <xf numFmtId="0" fontId="136" fillId="9" borderId="126" xfId="9" applyFont="1" applyFill="1" applyBorder="1" applyAlignment="1">
      <alignment horizontal="center" vertical="center" wrapText="1"/>
    </xf>
    <xf numFmtId="0" fontId="136" fillId="9" borderId="122" xfId="9" applyFont="1" applyFill="1" applyBorder="1" applyAlignment="1">
      <alignment horizontal="center" vertical="center" wrapText="1"/>
    </xf>
    <xf numFmtId="0" fontId="136" fillId="9" borderId="124" xfId="9" applyFont="1" applyFill="1" applyBorder="1" applyAlignment="1">
      <alignment horizontal="center" vertical="center" wrapText="1"/>
    </xf>
    <xf numFmtId="0" fontId="136" fillId="9" borderId="88" xfId="9" applyFont="1" applyFill="1" applyBorder="1" applyAlignment="1">
      <alignment horizontal="center" vertical="center" wrapText="1"/>
    </xf>
    <xf numFmtId="0" fontId="136" fillId="9" borderId="0" xfId="9" applyFont="1" applyFill="1" applyAlignment="1">
      <alignment horizontal="center" vertical="center" wrapText="1"/>
    </xf>
    <xf numFmtId="0" fontId="136" fillId="9" borderId="101" xfId="9" applyFont="1" applyFill="1" applyBorder="1" applyAlignment="1">
      <alignment horizontal="center" vertical="center" wrapText="1"/>
    </xf>
    <xf numFmtId="0" fontId="145" fillId="9" borderId="0" xfId="14" applyFont="1" applyFill="1" applyAlignment="1" applyProtection="1">
      <alignment horizontal="left" vertical="center"/>
    </xf>
    <xf numFmtId="0" fontId="269" fillId="9" borderId="0" xfId="36" applyFont="1" applyFill="1" applyAlignment="1" applyProtection="1">
      <alignment horizontal="left" vertical="center"/>
    </xf>
    <xf numFmtId="0" fontId="56" fillId="9" borderId="88" xfId="9" applyFont="1" applyFill="1" applyBorder="1" applyAlignment="1">
      <alignment horizontal="center" vertical="center" wrapText="1"/>
    </xf>
    <xf numFmtId="0" fontId="56" fillId="9" borderId="0" xfId="9" applyFont="1" applyFill="1" applyAlignment="1">
      <alignment horizontal="center" vertical="center" wrapText="1"/>
    </xf>
    <xf numFmtId="0" fontId="56" fillId="9" borderId="101" xfId="9" applyFont="1" applyFill="1" applyBorder="1" applyAlignment="1">
      <alignment horizontal="center" vertical="center" wrapText="1"/>
    </xf>
    <xf numFmtId="0" fontId="56" fillId="9" borderId="116" xfId="9" applyFont="1" applyFill="1" applyBorder="1" applyAlignment="1">
      <alignment horizontal="center" vertical="center" wrapText="1"/>
    </xf>
    <xf numFmtId="0" fontId="56" fillId="9" borderId="35" xfId="9" applyFont="1" applyFill="1" applyBorder="1" applyAlignment="1">
      <alignment horizontal="center" vertical="center" wrapText="1"/>
    </xf>
    <xf numFmtId="0" fontId="56" fillId="9" borderId="110" xfId="9" applyFont="1" applyFill="1" applyBorder="1" applyAlignment="1">
      <alignment horizontal="center" vertical="center" wrapText="1"/>
    </xf>
    <xf numFmtId="0" fontId="265" fillId="9" borderId="0" xfId="35" applyFont="1" applyFill="1" applyAlignment="1">
      <alignment horizontal="left" vertical="center"/>
    </xf>
    <xf numFmtId="0" fontId="265" fillId="53" borderId="0" xfId="23" applyFont="1" applyFill="1" applyAlignment="1" applyProtection="1">
      <alignment horizontal="left" vertical="center"/>
      <protection hidden="1"/>
    </xf>
    <xf numFmtId="0" fontId="11" fillId="129" borderId="88" xfId="9" applyFont="1" applyFill="1" applyBorder="1" applyAlignment="1">
      <alignment horizontal="center" vertical="center"/>
    </xf>
    <xf numFmtId="0" fontId="11" fillId="129" borderId="0" xfId="9" applyFont="1" applyFill="1" applyAlignment="1">
      <alignment horizontal="center" vertical="center"/>
    </xf>
    <xf numFmtId="0" fontId="11" fillId="129" borderId="101" xfId="9" applyFont="1" applyFill="1" applyBorder="1" applyAlignment="1">
      <alignment horizontal="center" vertical="center"/>
    </xf>
    <xf numFmtId="0" fontId="255" fillId="9" borderId="2" xfId="4" applyFont="1" applyFill="1" applyBorder="1" applyAlignment="1">
      <alignment horizontal="center" vertical="center"/>
    </xf>
    <xf numFmtId="0" fontId="255" fillId="9" borderId="0" xfId="4" applyFont="1" applyFill="1" applyAlignment="1">
      <alignment horizontal="center" vertical="center"/>
    </xf>
    <xf numFmtId="0" fontId="264" fillId="9" borderId="2" xfId="4" applyFont="1" applyFill="1" applyBorder="1" applyAlignment="1">
      <alignment horizontal="center" vertical="center" wrapText="1"/>
    </xf>
    <xf numFmtId="0" fontId="264" fillId="9" borderId="0" xfId="4" applyFont="1" applyFill="1" applyAlignment="1">
      <alignment horizontal="center" vertical="center" wrapText="1"/>
    </xf>
    <xf numFmtId="0" fontId="264" fillId="9" borderId="30" xfId="4" applyFont="1" applyFill="1" applyBorder="1" applyAlignment="1">
      <alignment horizontal="center" vertical="center" wrapText="1"/>
    </xf>
    <xf numFmtId="0" fontId="264" fillId="9" borderId="1" xfId="4" applyFont="1" applyFill="1" applyBorder="1" applyAlignment="1">
      <alignment horizontal="center" vertical="center" wrapText="1"/>
    </xf>
    <xf numFmtId="0" fontId="8" fillId="9" borderId="2" xfId="4" applyFill="1" applyBorder="1" applyAlignment="1">
      <alignment horizontal="center" vertical="center"/>
    </xf>
    <xf numFmtId="0" fontId="8" fillId="9" borderId="0" xfId="4" applyFill="1" applyAlignment="1">
      <alignment horizontal="center" vertical="center"/>
    </xf>
    <xf numFmtId="0" fontId="8" fillId="9" borderId="30" xfId="4" applyFill="1" applyBorder="1" applyAlignment="1">
      <alignment horizontal="center" vertical="center"/>
    </xf>
    <xf numFmtId="0" fontId="8" fillId="9" borderId="1" xfId="4" applyFill="1" applyBorder="1" applyAlignment="1">
      <alignment horizontal="center" vertical="center"/>
    </xf>
    <xf numFmtId="0" fontId="254" fillId="20" borderId="0" xfId="4" applyFont="1" applyFill="1" applyAlignment="1" applyProtection="1">
      <alignment horizontal="center"/>
      <protection hidden="1"/>
    </xf>
    <xf numFmtId="0" fontId="181" fillId="9" borderId="0" xfId="4" applyFont="1" applyFill="1" applyAlignment="1">
      <alignment horizontal="center" vertical="center" wrapText="1"/>
    </xf>
    <xf numFmtId="0" fontId="255" fillId="2" borderId="126" xfId="4" applyFont="1" applyFill="1" applyBorder="1" applyAlignment="1">
      <alignment horizontal="center" vertical="center"/>
    </xf>
    <xf numFmtId="0" fontId="255" fillId="2" borderId="122" xfId="4" applyFont="1" applyFill="1" applyBorder="1" applyAlignment="1">
      <alignment horizontal="center" vertical="center"/>
    </xf>
    <xf numFmtId="0" fontId="255" fillId="2" borderId="124" xfId="4" applyFont="1" applyFill="1" applyBorder="1" applyAlignment="1">
      <alignment horizontal="center" vertical="center"/>
    </xf>
    <xf numFmtId="0" fontId="255" fillId="2" borderId="88" xfId="4" applyFont="1" applyFill="1" applyBorder="1" applyAlignment="1">
      <alignment horizontal="center" vertical="center"/>
    </xf>
    <xf numFmtId="0" fontId="255" fillId="2" borderId="0" xfId="4" applyFont="1" applyFill="1" applyAlignment="1">
      <alignment horizontal="center" vertical="center"/>
    </xf>
    <xf numFmtId="0" fontId="255" fillId="2" borderId="101" xfId="4" applyFont="1" applyFill="1" applyBorder="1" applyAlignment="1">
      <alignment horizontal="center" vertical="center"/>
    </xf>
    <xf numFmtId="0" fontId="256" fillId="9" borderId="41" xfId="4" applyFont="1" applyFill="1" applyBorder="1" applyAlignment="1">
      <alignment horizontal="center" vertical="center"/>
    </xf>
    <xf numFmtId="0" fontId="256" fillId="9" borderId="40" xfId="4" applyFont="1" applyFill="1" applyBorder="1" applyAlignment="1">
      <alignment horizontal="center" vertical="center"/>
    </xf>
    <xf numFmtId="0" fontId="256" fillId="9" borderId="39" xfId="4" applyFont="1" applyFill="1" applyBorder="1" applyAlignment="1">
      <alignment horizontal="center" vertical="center"/>
    </xf>
    <xf numFmtId="0" fontId="92" fillId="9" borderId="0" xfId="34" applyFill="1" applyBorder="1" applyAlignment="1">
      <alignment horizontal="left" vertical="center"/>
    </xf>
    <xf numFmtId="0" fontId="92" fillId="9" borderId="4" xfId="34" applyFill="1" applyBorder="1" applyAlignment="1">
      <alignment horizontal="left" vertical="center"/>
    </xf>
    <xf numFmtId="0" fontId="8" fillId="9" borderId="88" xfId="4" applyFill="1" applyBorder="1" applyAlignment="1">
      <alignment horizontal="center" vertical="center" wrapText="1"/>
    </xf>
    <xf numFmtId="0" fontId="8" fillId="9" borderId="0" xfId="4" applyFill="1" applyAlignment="1">
      <alignment horizontal="center" vertical="center" wrapText="1"/>
    </xf>
    <xf numFmtId="0" fontId="8" fillId="9" borderId="101" xfId="4" applyFill="1" applyBorder="1" applyAlignment="1">
      <alignment horizontal="center" vertical="center" wrapText="1"/>
    </xf>
    <xf numFmtId="0" fontId="263" fillId="9" borderId="2" xfId="35" applyFont="1" applyFill="1" applyBorder="1" applyAlignment="1">
      <alignment horizontal="center" vertical="center" wrapText="1"/>
    </xf>
    <xf numFmtId="0" fontId="263" fillId="9" borderId="0" xfId="35" applyFont="1" applyFill="1" applyBorder="1" applyAlignment="1">
      <alignment horizontal="center" vertical="center" wrapText="1"/>
    </xf>
    <xf numFmtId="0" fontId="263" fillId="9" borderId="4" xfId="35" applyFont="1" applyFill="1" applyBorder="1" applyAlignment="1">
      <alignment horizontal="center" vertical="center" wrapText="1"/>
    </xf>
    <xf numFmtId="0" fontId="8" fillId="9" borderId="0" xfId="4" applyFill="1" applyAlignment="1">
      <alignment horizontal="left" vertical="center"/>
    </xf>
    <xf numFmtId="0" fontId="8" fillId="9" borderId="101" xfId="4" applyFill="1" applyBorder="1" applyAlignment="1">
      <alignment horizontal="left" vertical="center"/>
    </xf>
    <xf numFmtId="0" fontId="8" fillId="9" borderId="116" xfId="4" applyFill="1" applyBorder="1" applyAlignment="1">
      <alignment horizontal="center" vertical="center" wrapText="1"/>
    </xf>
    <xf numFmtId="0" fontId="8" fillId="9" borderId="35" xfId="4" applyFill="1" applyBorder="1" applyAlignment="1">
      <alignment horizontal="center" vertical="center" wrapText="1"/>
    </xf>
    <xf numFmtId="0" fontId="8" fillId="9" borderId="110" xfId="4" applyFill="1" applyBorder="1" applyAlignment="1">
      <alignment horizontal="center" vertical="center" wrapText="1"/>
    </xf>
    <xf numFmtId="0" fontId="255" fillId="2" borderId="41" xfId="4" applyFont="1" applyFill="1" applyBorder="1" applyAlignment="1">
      <alignment horizontal="center" vertical="center" wrapText="1"/>
    </xf>
    <xf numFmtId="0" fontId="255" fillId="2" borderId="40" xfId="4" applyFont="1" applyFill="1" applyBorder="1" applyAlignment="1">
      <alignment horizontal="center" vertical="center" wrapText="1"/>
    </xf>
    <xf numFmtId="0" fontId="255" fillId="2" borderId="2" xfId="4" applyFont="1" applyFill="1" applyBorder="1" applyAlignment="1">
      <alignment horizontal="center" vertical="center" wrapText="1"/>
    </xf>
    <xf numFmtId="0" fontId="255" fillId="2" borderId="0" xfId="4" applyFont="1" applyFill="1" applyAlignment="1">
      <alignment horizontal="center" vertical="center" wrapText="1"/>
    </xf>
    <xf numFmtId="0" fontId="258" fillId="2" borderId="40" xfId="4" applyFont="1" applyFill="1" applyBorder="1" applyAlignment="1">
      <alignment horizontal="center" vertical="center" wrapText="1"/>
    </xf>
    <xf numFmtId="0" fontId="258" fillId="2" borderId="0" xfId="4" applyFont="1" applyFill="1" applyAlignment="1">
      <alignment horizontal="center" vertical="center" wrapText="1"/>
    </xf>
    <xf numFmtId="0" fontId="66" fillId="2" borderId="40" xfId="4" applyFont="1" applyFill="1" applyBorder="1" applyAlignment="1">
      <alignment horizontal="center" vertical="center" wrapText="1"/>
    </xf>
    <xf numFmtId="0" fontId="66" fillId="2" borderId="0" xfId="4" applyFont="1" applyFill="1" applyAlignment="1">
      <alignment horizontal="center" vertical="center" wrapText="1"/>
    </xf>
    <xf numFmtId="0" fontId="258" fillId="2" borderId="39" xfId="4" applyFont="1" applyFill="1" applyBorder="1" applyAlignment="1">
      <alignment horizontal="center" vertical="center"/>
    </xf>
    <xf numFmtId="0" fontId="258" fillId="2" borderId="4" xfId="4" applyFont="1" applyFill="1" applyBorder="1" applyAlignment="1">
      <alignment horizontal="center" vertical="center"/>
    </xf>
    <xf numFmtId="0" fontId="152" fillId="0" borderId="0" xfId="14" applyFont="1" applyAlignment="1">
      <alignment vertical="center"/>
    </xf>
    <xf numFmtId="0" fontId="152" fillId="9" borderId="0" xfId="23" applyFont="1" applyFill="1" applyAlignment="1">
      <alignment horizontal="left" vertical="center"/>
    </xf>
    <xf numFmtId="0" fontId="198" fillId="9" borderId="264" xfId="4" applyFont="1" applyFill="1" applyBorder="1" applyAlignment="1">
      <alignment horizontal="center" vertical="center" wrapText="1"/>
    </xf>
    <xf numFmtId="0" fontId="198" fillId="9" borderId="266" xfId="4" applyFont="1" applyFill="1" applyBorder="1" applyAlignment="1">
      <alignment horizontal="center" vertical="center" wrapText="1"/>
    </xf>
    <xf numFmtId="0" fontId="253" fillId="20" borderId="0" xfId="4" applyFont="1" applyFill="1" applyAlignment="1" applyProtection="1">
      <alignment horizontal="center"/>
      <protection hidden="1"/>
    </xf>
    <xf numFmtId="0" fontId="14" fillId="9" borderId="338" xfId="4" applyFont="1" applyFill="1" applyBorder="1" applyAlignment="1">
      <alignment horizontal="center" vertical="center"/>
    </xf>
    <xf numFmtId="0" fontId="380" fillId="9" borderId="108" xfId="4" applyFont="1" applyFill="1" applyBorder="1" applyAlignment="1">
      <alignment horizontal="right" vertical="center"/>
    </xf>
    <xf numFmtId="0" fontId="619" fillId="9" borderId="6" xfId="4" applyFont="1" applyFill="1" applyBorder="1" applyAlignment="1">
      <alignment horizontal="center" vertical="center"/>
    </xf>
    <xf numFmtId="0" fontId="619" fillId="9" borderId="59" xfId="4" applyFont="1" applyFill="1" applyBorder="1" applyAlignment="1">
      <alignment horizontal="center" vertical="center"/>
    </xf>
    <xf numFmtId="235" fontId="10" fillId="9" borderId="108" xfId="40" applyNumberFormat="1" applyFont="1" applyFill="1" applyBorder="1" applyAlignment="1" applyProtection="1">
      <alignment horizontal="center" vertical="center" wrapText="1"/>
      <protection locked="0"/>
    </xf>
    <xf numFmtId="228" fontId="10" fillId="9" borderId="109" xfId="40" applyNumberFormat="1" applyFont="1" applyFill="1" applyBorder="1" applyAlignment="1" applyProtection="1">
      <alignment horizontal="center" vertical="center" wrapText="1"/>
      <protection locked="0"/>
    </xf>
    <xf numFmtId="228" fontId="13" fillId="7" borderId="4" xfId="40" applyNumberFormat="1" applyFont="1" applyFill="1" applyBorder="1" applyAlignment="1" applyProtection="1">
      <alignment horizontal="center" vertical="center" wrapText="1"/>
      <protection locked="0"/>
    </xf>
    <xf numFmtId="0" fontId="14" fillId="9" borderId="344" xfId="4" applyFont="1" applyFill="1" applyBorder="1" applyAlignment="1">
      <alignment horizontal="center" vertical="center"/>
    </xf>
    <xf numFmtId="0" fontId="56" fillId="9" borderId="345" xfId="9" applyFont="1" applyFill="1" applyBorder="1" applyAlignment="1">
      <alignment horizontal="right" vertical="center"/>
    </xf>
    <xf numFmtId="0" fontId="56" fillId="9" borderId="108" xfId="9" applyFont="1" applyFill="1" applyBorder="1" applyAlignment="1">
      <alignment horizontal="right" vertical="center"/>
    </xf>
    <xf numFmtId="235" fontId="17" fillId="9" borderId="345" xfId="40" applyNumberFormat="1" applyFont="1" applyFill="1" applyBorder="1" applyAlignment="1" applyProtection="1">
      <alignment horizontal="center" vertical="center" wrapText="1"/>
      <protection locked="0"/>
    </xf>
    <xf numFmtId="235" fontId="17" fillId="9" borderId="108" xfId="40" applyNumberFormat="1" applyFont="1" applyFill="1" applyBorder="1" applyAlignment="1" applyProtection="1">
      <alignment horizontal="center" vertical="center" wrapText="1"/>
      <protection locked="0"/>
    </xf>
    <xf numFmtId="228" fontId="17" fillId="9" borderId="346" xfId="40" applyNumberFormat="1" applyFont="1" applyFill="1" applyBorder="1" applyAlignment="1" applyProtection="1">
      <alignment horizontal="center" vertical="center" wrapText="1"/>
      <protection locked="0"/>
    </xf>
    <xf numFmtId="228" fontId="17" fillId="9" borderId="109" xfId="40" applyNumberFormat="1" applyFont="1" applyFill="1" applyBorder="1" applyAlignment="1" applyProtection="1">
      <alignment horizontal="center" vertical="center" wrapText="1"/>
      <protection locked="0"/>
    </xf>
    <xf numFmtId="0" fontId="87" fillId="9" borderId="329" xfId="9" applyFont="1" applyFill="1" applyBorder="1" applyAlignment="1">
      <alignment horizontal="center" vertical="center" wrapText="1"/>
    </xf>
    <xf numFmtId="0" fontId="87" fillId="9" borderId="2" xfId="9" applyFont="1" applyFill="1" applyBorder="1" applyAlignment="1">
      <alignment horizontal="center" vertical="center" wrapText="1"/>
    </xf>
    <xf numFmtId="0" fontId="197" fillId="12" borderId="6" xfId="9" applyFont="1" applyFill="1" applyBorder="1" applyAlignment="1">
      <alignment horizontal="center" vertical="center"/>
    </xf>
    <xf numFmtId="0" fontId="197" fillId="12" borderId="330" xfId="9" applyFont="1" applyFill="1" applyBorder="1" applyAlignment="1">
      <alignment horizontal="center" vertical="center"/>
    </xf>
    <xf numFmtId="0" fontId="197" fillId="12" borderId="0" xfId="9" applyFont="1" applyFill="1" applyAlignment="1">
      <alignment horizontal="center" vertical="center"/>
    </xf>
    <xf numFmtId="0" fontId="197" fillId="12" borderId="4" xfId="9" applyFont="1" applyFill="1" applyBorder="1" applyAlignment="1">
      <alignment horizontal="center" vertical="center"/>
    </xf>
    <xf numFmtId="0" fontId="87" fillId="9" borderId="329" xfId="9" applyFont="1" applyFill="1" applyBorder="1" applyAlignment="1">
      <alignment horizontal="center" vertical="center"/>
    </xf>
    <xf numFmtId="0" fontId="87" fillId="9" borderId="132" xfId="9" applyFont="1" applyFill="1" applyBorder="1" applyAlignment="1">
      <alignment horizontal="center" vertical="center"/>
    </xf>
    <xf numFmtId="0" fontId="378" fillId="7" borderId="2" xfId="4" applyFont="1" applyFill="1" applyBorder="1" applyAlignment="1">
      <alignment horizontal="center" vertical="center"/>
    </xf>
    <xf numFmtId="0" fontId="378" fillId="7" borderId="132" xfId="4" applyFont="1" applyFill="1" applyBorder="1" applyAlignment="1">
      <alignment horizontal="center" vertical="center"/>
    </xf>
    <xf numFmtId="165" fontId="379" fillId="12" borderId="0" xfId="40" applyNumberFormat="1" applyFont="1" applyFill="1" applyAlignment="1" applyProtection="1">
      <alignment horizontal="center" vertical="center" wrapText="1"/>
      <protection locked="0"/>
    </xf>
    <xf numFmtId="165" fontId="379" fillId="12" borderId="59" xfId="40" applyNumberFormat="1" applyFont="1" applyFill="1" applyBorder="1" applyAlignment="1" applyProtection="1">
      <alignment horizontal="center" vertical="center" wrapText="1"/>
      <protection locked="0"/>
    </xf>
    <xf numFmtId="235" fontId="114" fillId="53" borderId="0" xfId="40" applyNumberFormat="1" applyFont="1" applyFill="1" applyAlignment="1" applyProtection="1">
      <alignment horizontal="center" vertical="center" wrapText="1"/>
      <protection locked="0"/>
    </xf>
    <xf numFmtId="235" fontId="114" fillId="53" borderId="59" xfId="40" applyNumberFormat="1" applyFont="1" applyFill="1" applyBorder="1" applyAlignment="1" applyProtection="1">
      <alignment horizontal="center" vertical="center" wrapText="1"/>
      <protection locked="0"/>
    </xf>
    <xf numFmtId="228" fontId="13" fillId="7" borderId="58" xfId="40" applyNumberFormat="1" applyFont="1" applyFill="1" applyBorder="1" applyAlignment="1" applyProtection="1">
      <alignment horizontal="center" vertical="center" wrapText="1"/>
      <protection locked="0"/>
    </xf>
    <xf numFmtId="0" fontId="14" fillId="9" borderId="329" xfId="4" applyFont="1" applyFill="1" applyBorder="1" applyAlignment="1">
      <alignment horizontal="center" vertical="center"/>
    </xf>
    <xf numFmtId="0" fontId="619" fillId="9" borderId="108" xfId="4" quotePrefix="1" applyFont="1" applyFill="1" applyBorder="1" applyAlignment="1">
      <alignment horizontal="center" vertical="center"/>
    </xf>
    <xf numFmtId="0" fontId="3" fillId="9" borderId="108" xfId="4" quotePrefix="1" applyFont="1" applyFill="1" applyBorder="1" applyAlignment="1">
      <alignment horizontal="center" vertical="center"/>
    </xf>
    <xf numFmtId="0" fontId="3" fillId="9" borderId="6" xfId="4" quotePrefix="1" applyFont="1" applyFill="1" applyBorder="1" applyAlignment="1">
      <alignment horizontal="center" vertical="center"/>
    </xf>
    <xf numFmtId="235" fontId="10" fillId="9" borderId="6" xfId="40" applyNumberFormat="1" applyFont="1" applyFill="1" applyBorder="1" applyAlignment="1" applyProtection="1">
      <alignment horizontal="center" vertical="center" wrapText="1"/>
      <protection locked="0"/>
    </xf>
    <xf numFmtId="228" fontId="10" fillId="9" borderId="330" xfId="40" applyNumberFormat="1" applyFont="1" applyFill="1" applyBorder="1" applyAlignment="1" applyProtection="1">
      <alignment horizontal="center" vertical="center" wrapText="1"/>
      <protection locked="0"/>
    </xf>
    <xf numFmtId="0" fontId="100" fillId="7" borderId="2" xfId="4" applyFont="1" applyFill="1" applyBorder="1" applyAlignment="1">
      <alignment horizontal="center" vertical="center"/>
    </xf>
    <xf numFmtId="165" fontId="52" fillId="12" borderId="0" xfId="40" applyNumberFormat="1" applyFont="1" applyFill="1" applyAlignment="1" applyProtection="1">
      <alignment horizontal="center" vertical="center" wrapText="1"/>
      <protection locked="0"/>
    </xf>
    <xf numFmtId="235" fontId="52" fillId="53" borderId="0" xfId="40" applyNumberFormat="1" applyFont="1" applyFill="1" applyAlignment="1" applyProtection="1">
      <alignment horizontal="center" vertical="center" wrapText="1"/>
      <protection locked="0"/>
    </xf>
    <xf numFmtId="0" fontId="197" fillId="12" borderId="59" xfId="9" applyFont="1" applyFill="1" applyBorder="1" applyAlignment="1">
      <alignment horizontal="center" vertical="center"/>
    </xf>
    <xf numFmtId="0" fontId="197" fillId="12" borderId="58" xfId="9" applyFont="1" applyFill="1" applyBorder="1" applyAlignment="1">
      <alignment horizontal="center" vertical="center"/>
    </xf>
    <xf numFmtId="0" fontId="9" fillId="47" borderId="329" xfId="19" applyFont="1" applyFill="1" applyBorder="1" applyAlignment="1">
      <alignment horizontal="center" vertical="center"/>
    </xf>
    <xf numFmtId="0" fontId="9" fillId="47" borderId="6" xfId="19" applyFont="1" applyFill="1" applyBorder="1" applyAlignment="1">
      <alignment horizontal="center" vertical="center"/>
    </xf>
    <xf numFmtId="0" fontId="9" fillId="47" borderId="38" xfId="19" applyFont="1" applyFill="1" applyBorder="1" applyAlignment="1">
      <alignment horizontal="center" vertical="center"/>
    </xf>
    <xf numFmtId="0" fontId="9" fillId="47" borderId="35" xfId="19" applyFont="1" applyFill="1" applyBorder="1" applyAlignment="1">
      <alignment horizontal="center" vertical="center"/>
    </xf>
    <xf numFmtId="227" fontId="76" fillId="53" borderId="6" xfId="40" applyNumberFormat="1" applyFont="1" applyFill="1" applyBorder="1" applyAlignment="1" applyProtection="1">
      <alignment horizontal="center" vertical="center" wrapText="1"/>
      <protection locked="0"/>
    </xf>
    <xf numFmtId="227" fontId="76" fillId="53" borderId="35" xfId="40" applyNumberFormat="1" applyFont="1" applyFill="1" applyBorder="1" applyAlignment="1" applyProtection="1">
      <alignment horizontal="center" vertical="center" wrapText="1"/>
      <protection locked="0"/>
    </xf>
    <xf numFmtId="173" fontId="17" fillId="7" borderId="330" xfId="40" applyNumberFormat="1" applyFont="1" applyFill="1" applyBorder="1" applyAlignment="1" applyProtection="1">
      <alignment horizontal="center" vertical="center" wrapText="1"/>
      <protection locked="0"/>
    </xf>
    <xf numFmtId="173" fontId="17" fillId="7" borderId="293" xfId="40" applyNumberFormat="1" applyFont="1" applyFill="1" applyBorder="1" applyAlignment="1" applyProtection="1">
      <alignment horizontal="center" vertical="center" wrapText="1"/>
      <protection locked="0"/>
    </xf>
    <xf numFmtId="0" fontId="1" fillId="0" borderId="329" xfId="9" applyBorder="1" applyAlignment="1">
      <alignment horizontal="center" vertical="center"/>
    </xf>
    <xf numFmtId="0" fontId="1" fillId="0" borderId="132" xfId="9" applyBorder="1" applyAlignment="1">
      <alignment horizontal="center" vertical="center"/>
    </xf>
    <xf numFmtId="9" fontId="56" fillId="9" borderId="330" xfId="9" applyNumberFormat="1" applyFont="1" applyFill="1" applyBorder="1" applyAlignment="1">
      <alignment horizontal="center" vertical="center"/>
    </xf>
    <xf numFmtId="9" fontId="56" fillId="9" borderId="58" xfId="9" applyNumberFormat="1" applyFont="1" applyFill="1" applyBorder="1" applyAlignment="1">
      <alignment horizontal="center" vertical="center"/>
    </xf>
    <xf numFmtId="0" fontId="68" fillId="2" borderId="41" xfId="19" applyFont="1" applyFill="1" applyBorder="1" applyAlignment="1" applyProtection="1">
      <alignment horizontal="right" vertical="center"/>
      <protection locked="0"/>
    </xf>
    <xf numFmtId="0" fontId="0" fillId="9" borderId="2" xfId="9" applyFont="1" applyFill="1" applyBorder="1" applyAlignment="1">
      <alignment horizontal="center"/>
    </xf>
    <xf numFmtId="0" fontId="0" fillId="9" borderId="4" xfId="9" applyFont="1" applyFill="1" applyBorder="1" applyAlignment="1">
      <alignment horizontal="center"/>
    </xf>
    <xf numFmtId="0" fontId="145" fillId="9" borderId="0" xfId="14" applyFont="1" applyFill="1" applyAlignment="1">
      <alignment horizontal="left" vertical="center"/>
    </xf>
    <xf numFmtId="0" fontId="145" fillId="9" borderId="0" xfId="23" applyFont="1" applyFill="1" applyAlignment="1">
      <alignment horizontal="left" vertical="center"/>
    </xf>
    <xf numFmtId="0" fontId="377" fillId="0" borderId="0" xfId="23" applyFont="1" applyAlignment="1">
      <alignment horizontal="center" vertical="center"/>
    </xf>
    <xf numFmtId="0" fontId="17" fillId="2" borderId="41" xfId="21" applyFont="1" applyFill="1" applyBorder="1" applyAlignment="1">
      <alignment horizontal="center"/>
    </xf>
    <xf numFmtId="0" fontId="17" fillId="2" borderId="40" xfId="21" applyFont="1" applyFill="1" applyBorder="1" applyAlignment="1">
      <alignment horizontal="center"/>
    </xf>
    <xf numFmtId="0" fontId="17" fillId="2" borderId="39" xfId="21" applyFont="1" applyFill="1" applyBorder="1" applyAlignment="1">
      <alignment horizontal="center"/>
    </xf>
    <xf numFmtId="0" fontId="1" fillId="9" borderId="339" xfId="9" applyFill="1" applyBorder="1" applyAlignment="1">
      <alignment horizontal="center"/>
    </xf>
    <xf numFmtId="0" fontId="1" fillId="9" borderId="340" xfId="9" applyFill="1" applyBorder="1" applyAlignment="1">
      <alignment horizontal="center"/>
    </xf>
    <xf numFmtId="0" fontId="10" fillId="9" borderId="41" xfId="9" applyFont="1" applyFill="1" applyBorder="1" applyAlignment="1">
      <alignment horizontal="center" wrapText="1"/>
    </xf>
    <xf numFmtId="0" fontId="10" fillId="9" borderId="39" xfId="9" applyFont="1" applyFill="1" applyBorder="1" applyAlignment="1">
      <alignment horizontal="center" wrapText="1"/>
    </xf>
    <xf numFmtId="0" fontId="10" fillId="9" borderId="2" xfId="9" applyFont="1" applyFill="1" applyBorder="1" applyAlignment="1">
      <alignment horizontal="center" wrapText="1"/>
    </xf>
    <xf numFmtId="0" fontId="10" fillId="9" borderId="4" xfId="9" applyFont="1" applyFill="1" applyBorder="1" applyAlignment="1">
      <alignment horizontal="center" wrapText="1"/>
    </xf>
    <xf numFmtId="0" fontId="121" fillId="92" borderId="4" xfId="4" applyFont="1" applyFill="1" applyBorder="1" applyAlignment="1">
      <alignment horizontal="center" vertical="center" textRotation="90"/>
    </xf>
    <xf numFmtId="0" fontId="121" fillId="92" borderId="4" xfId="4" applyFont="1" applyFill="1" applyBorder="1" applyAlignment="1">
      <alignment horizontal="center" vertical="center" textRotation="90" wrapText="1"/>
    </xf>
    <xf numFmtId="0" fontId="17" fillId="9" borderId="41" xfId="9" applyFont="1" applyFill="1" applyBorder="1" applyAlignment="1">
      <alignment horizontal="center" vertical="center"/>
    </xf>
    <xf numFmtId="0" fontId="17" fillId="9" borderId="39" xfId="9" applyFont="1" applyFill="1" applyBorder="1" applyAlignment="1">
      <alignment horizontal="center" vertical="center"/>
    </xf>
    <xf numFmtId="0" fontId="4" fillId="9" borderId="41" xfId="9" applyFont="1" applyFill="1" applyBorder="1" applyAlignment="1">
      <alignment horizontal="center" vertical="center" wrapText="1"/>
    </xf>
    <xf numFmtId="0" fontId="4" fillId="9" borderId="39" xfId="9" applyFont="1" applyFill="1" applyBorder="1" applyAlignment="1">
      <alignment horizontal="center" vertical="center" wrapText="1"/>
    </xf>
    <xf numFmtId="0" fontId="4" fillId="9" borderId="2" xfId="9" applyFont="1" applyFill="1" applyBorder="1" applyAlignment="1">
      <alignment horizontal="center" vertical="center" wrapText="1"/>
    </xf>
    <xf numFmtId="0" fontId="4" fillId="9" borderId="4" xfId="9" applyFont="1" applyFill="1" applyBorder="1" applyAlignment="1">
      <alignment horizontal="center" vertical="center" wrapText="1"/>
    </xf>
    <xf numFmtId="0" fontId="13" fillId="9" borderId="2" xfId="9" applyFont="1" applyFill="1" applyBorder="1" applyAlignment="1">
      <alignment horizontal="center" vertical="center"/>
    </xf>
    <xf numFmtId="0" fontId="13" fillId="9" borderId="4" xfId="9" applyFont="1" applyFill="1" applyBorder="1" applyAlignment="1">
      <alignment horizontal="center" vertical="center"/>
    </xf>
    <xf numFmtId="0" fontId="4" fillId="9" borderId="311" xfId="9" applyFont="1" applyFill="1" applyBorder="1" applyAlignment="1">
      <alignment horizontal="center" vertical="center"/>
    </xf>
    <xf numFmtId="0" fontId="4" fillId="9" borderId="312" xfId="9" applyFont="1" applyFill="1" applyBorder="1" applyAlignment="1">
      <alignment horizontal="center" vertical="center"/>
    </xf>
    <xf numFmtId="0" fontId="1" fillId="9" borderId="2" xfId="9" applyFill="1" applyBorder="1" applyAlignment="1">
      <alignment horizontal="center"/>
    </xf>
    <xf numFmtId="0" fontId="1" fillId="9" borderId="4" xfId="9" applyFill="1" applyBorder="1" applyAlignment="1">
      <alignment horizontal="center"/>
    </xf>
    <xf numFmtId="0" fontId="95" fillId="0" borderId="339" xfId="9" applyFont="1" applyBorder="1" applyAlignment="1">
      <alignment horizontal="center"/>
    </xf>
    <xf numFmtId="0" fontId="95" fillId="0" borderId="340" xfId="9" applyFont="1" applyBorder="1" applyAlignment="1">
      <alignment horizontal="center"/>
    </xf>
    <xf numFmtId="0" fontId="4" fillId="9" borderId="311" xfId="9" applyFont="1" applyFill="1" applyBorder="1" applyAlignment="1">
      <alignment horizontal="center"/>
    </xf>
    <xf numFmtId="0" fontId="4" fillId="9" borderId="312" xfId="9" applyFont="1" applyFill="1" applyBorder="1" applyAlignment="1">
      <alignment horizontal="center"/>
    </xf>
    <xf numFmtId="0" fontId="144" fillId="72" borderId="2" xfId="9" applyFont="1" applyFill="1" applyBorder="1" applyAlignment="1">
      <alignment horizontal="center" vertical="center"/>
    </xf>
    <xf numFmtId="0" fontId="144" fillId="72" borderId="0" xfId="9" applyFont="1" applyFill="1" applyAlignment="1">
      <alignment horizontal="center" vertical="center"/>
    </xf>
    <xf numFmtId="0" fontId="144" fillId="72" borderId="264" xfId="9" applyFont="1" applyFill="1" applyBorder="1" applyAlignment="1">
      <alignment horizontal="center" vertical="center"/>
    </xf>
    <xf numFmtId="0" fontId="144" fillId="72" borderId="122" xfId="9" applyFont="1" applyFill="1" applyBorder="1" applyAlignment="1">
      <alignment horizontal="center" vertical="center"/>
    </xf>
    <xf numFmtId="0" fontId="10" fillId="9" borderId="101" xfId="13" applyFont="1" applyFill="1" applyBorder="1" applyAlignment="1">
      <alignment horizontal="center" vertical="center"/>
    </xf>
    <xf numFmtId="0" fontId="10" fillId="9" borderId="116" xfId="13" applyFont="1" applyFill="1" applyBorder="1" applyAlignment="1">
      <alignment horizontal="center" vertical="center"/>
    </xf>
    <xf numFmtId="0" fontId="10" fillId="9" borderId="292" xfId="13" applyFont="1" applyFill="1" applyBorder="1" applyAlignment="1">
      <alignment horizontal="center" vertical="center"/>
    </xf>
    <xf numFmtId="0" fontId="110" fillId="9" borderId="101" xfId="13" applyFont="1" applyFill="1" applyBorder="1" applyAlignment="1">
      <alignment horizontal="center" vertical="center"/>
    </xf>
    <xf numFmtId="0" fontId="386" fillId="63" borderId="347" xfId="25" applyFont="1" applyFill="1" applyBorder="1" applyAlignment="1">
      <alignment horizontal="center" vertical="center"/>
    </xf>
    <xf numFmtId="0" fontId="386" fillId="63" borderId="348" xfId="25" applyFont="1" applyFill="1" applyBorder="1" applyAlignment="1">
      <alignment horizontal="center" vertical="center"/>
    </xf>
    <xf numFmtId="0" fontId="386" fillId="63" borderId="349" xfId="25" applyFont="1" applyFill="1" applyBorder="1" applyAlignment="1">
      <alignment horizontal="center" vertical="center"/>
    </xf>
    <xf numFmtId="0" fontId="17" fillId="9" borderId="35" xfId="13" applyFont="1" applyFill="1" applyBorder="1" applyAlignment="1">
      <alignment horizontal="center"/>
    </xf>
    <xf numFmtId="0" fontId="59" fillId="9" borderId="268" xfId="13" applyFont="1" applyFill="1" applyBorder="1" applyAlignment="1">
      <alignment horizontal="center" vertical="center" wrapText="1"/>
    </xf>
    <xf numFmtId="0" fontId="59" fillId="9" borderId="124" xfId="13" applyFont="1" applyFill="1" applyBorder="1" applyAlignment="1">
      <alignment horizontal="center" vertical="center" wrapText="1"/>
    </xf>
    <xf numFmtId="0" fontId="59" fillId="9" borderId="101" xfId="13" applyFont="1" applyFill="1" applyBorder="1" applyAlignment="1">
      <alignment horizontal="center" vertical="center" wrapText="1"/>
    </xf>
    <xf numFmtId="0" fontId="59" fillId="9" borderId="116" xfId="13" applyFont="1" applyFill="1" applyBorder="1" applyAlignment="1">
      <alignment horizontal="center" vertical="center" wrapText="1"/>
    </xf>
    <xf numFmtId="0" fontId="59" fillId="9" borderId="292" xfId="13" applyFont="1" applyFill="1" applyBorder="1" applyAlignment="1">
      <alignment horizontal="center" vertical="center" wrapText="1"/>
    </xf>
    <xf numFmtId="1" fontId="17" fillId="9" borderId="268" xfId="4" applyNumberFormat="1" applyFont="1" applyFill="1" applyBorder="1" applyAlignment="1" applyProtection="1">
      <alignment horizontal="center" vertical="center" wrapText="1"/>
      <protection hidden="1"/>
    </xf>
    <xf numFmtId="1" fontId="17" fillId="9" borderId="124" xfId="4" applyNumberFormat="1" applyFont="1" applyFill="1" applyBorder="1" applyAlignment="1" applyProtection="1">
      <alignment horizontal="center" vertical="center" wrapText="1"/>
      <protection hidden="1"/>
    </xf>
    <xf numFmtId="1" fontId="17" fillId="9" borderId="116" xfId="4" applyNumberFormat="1" applyFont="1" applyFill="1" applyBorder="1" applyAlignment="1" applyProtection="1">
      <alignment horizontal="center" vertical="center" wrapText="1"/>
      <protection hidden="1"/>
    </xf>
    <xf numFmtId="1" fontId="17" fillId="9" borderId="292" xfId="4" applyNumberFormat="1" applyFont="1" applyFill="1" applyBorder="1" applyAlignment="1" applyProtection="1">
      <alignment horizontal="center" vertical="center" wrapText="1"/>
      <protection hidden="1"/>
    </xf>
    <xf numFmtId="0" fontId="385" fillId="0" borderId="0" xfId="41" applyFont="1" applyBorder="1" applyAlignment="1" applyProtection="1">
      <alignment horizontal="center" vertical="center" wrapText="1"/>
    </xf>
    <xf numFmtId="0" fontId="110" fillId="9" borderId="268" xfId="13" applyFont="1" applyFill="1" applyBorder="1" applyAlignment="1">
      <alignment horizontal="center" vertical="center"/>
    </xf>
    <xf numFmtId="0" fontId="110" fillId="9" borderId="124" xfId="13" applyFont="1" applyFill="1" applyBorder="1" applyAlignment="1">
      <alignment horizontal="center" vertical="center"/>
    </xf>
    <xf numFmtId="0" fontId="412" fillId="5" borderId="0" xfId="14" applyFont="1" applyFill="1" applyAlignment="1">
      <alignment horizontal="left" vertical="center"/>
    </xf>
    <xf numFmtId="0" fontId="417" fillId="5" borderId="0" xfId="4" applyFont="1" applyFill="1" applyAlignment="1">
      <alignment horizontal="left" vertical="center"/>
    </xf>
    <xf numFmtId="0" fontId="412" fillId="1822" borderId="0" xfId="14" applyFont="1" applyFill="1" applyAlignment="1" applyProtection="1">
      <alignment horizontal="left" vertical="center"/>
      <protection hidden="1"/>
    </xf>
    <xf numFmtId="0" fontId="232" fillId="9" borderId="268" xfId="0" applyFont="1" applyFill="1" applyBorder="1" applyAlignment="1">
      <alignment horizontal="center" vertical="center"/>
    </xf>
    <xf numFmtId="0" fontId="232" fillId="9" borderId="32" xfId="0" applyFont="1" applyFill="1" applyBorder="1" applyAlignment="1">
      <alignment horizontal="center" vertical="center"/>
    </xf>
    <xf numFmtId="0" fontId="232" fillId="9" borderId="124" xfId="0" applyFont="1" applyFill="1" applyBorder="1" applyAlignment="1">
      <alignment horizontal="center" vertical="center"/>
    </xf>
    <xf numFmtId="0" fontId="412" fillId="5" borderId="0" xfId="14" applyFont="1" applyFill="1" applyAlignment="1" applyProtection="1">
      <alignment horizontal="left" vertical="center"/>
      <protection hidden="1"/>
    </xf>
    <xf numFmtId="0" fontId="22" fillId="45" borderId="403" xfId="4" applyFont="1" applyFill="1" applyBorder="1" applyAlignment="1" applyProtection="1">
      <alignment horizontal="center" vertical="center"/>
      <protection hidden="1"/>
    </xf>
    <xf numFmtId="0" fontId="100" fillId="41" borderId="403" xfId="4" applyFont="1" applyFill="1" applyBorder="1" applyAlignment="1" applyProtection="1">
      <alignment horizontal="center" vertical="center"/>
      <protection hidden="1"/>
    </xf>
    <xf numFmtId="0" fontId="100" fillId="41" borderId="401" xfId="4" applyFont="1" applyFill="1" applyBorder="1" applyAlignment="1" applyProtection="1">
      <alignment horizontal="center" vertical="center"/>
      <protection hidden="1"/>
    </xf>
    <xf numFmtId="1" fontId="189" fillId="40" borderId="500" xfId="4" applyNumberFormat="1" applyFont="1" applyFill="1" applyBorder="1" applyAlignment="1" applyProtection="1">
      <alignment horizontal="center" vertical="center"/>
      <protection hidden="1"/>
    </xf>
    <xf numFmtId="1" fontId="189" fillId="40" borderId="499" xfId="4" applyNumberFormat="1" applyFont="1" applyFill="1" applyBorder="1" applyAlignment="1" applyProtection="1">
      <alignment horizontal="center" vertical="center"/>
      <protection hidden="1"/>
    </xf>
    <xf numFmtId="175" fontId="44" fillId="7" borderId="499" xfId="0" applyNumberFormat="1" applyFont="1" applyFill="1" applyBorder="1" applyAlignment="1">
      <alignment horizontal="center" vertical="center"/>
    </xf>
    <xf numFmtId="175" fontId="44" fillId="7" borderId="6" xfId="0" applyNumberFormat="1" applyFont="1" applyFill="1" applyBorder="1" applyAlignment="1">
      <alignment horizontal="center" vertical="center"/>
    </xf>
    <xf numFmtId="0" fontId="251" fillId="0" borderId="295" xfId="4" applyFont="1" applyBorder="1" applyAlignment="1">
      <alignment horizontal="left" vertical="center"/>
    </xf>
    <xf numFmtId="0" fontId="59" fillId="9" borderId="0" xfId="4" applyFont="1" applyFill="1" applyBorder="1" applyAlignment="1" applyProtection="1">
      <alignment horizontal="right" vertical="center"/>
      <protection locked="0"/>
    </xf>
    <xf numFmtId="0" fontId="14" fillId="9" borderId="0" xfId="4" applyFont="1" applyFill="1" applyBorder="1" applyAlignment="1">
      <alignment horizontal="center" vertical="center" wrapText="1"/>
    </xf>
    <xf numFmtId="0" fontId="24" fillId="9" borderId="0" xfId="31" applyFont="1" applyFill="1" applyBorder="1" applyAlignment="1">
      <alignment horizontal="left" vertical="center"/>
    </xf>
    <xf numFmtId="0" fontId="121" fillId="5" borderId="503" xfId="4" applyFont="1" applyFill="1" applyBorder="1" applyAlignment="1" applyProtection="1">
      <alignment horizontal="center" vertical="center"/>
      <protection hidden="1"/>
    </xf>
    <xf numFmtId="1" fontId="189" fillId="40" borderId="500" xfId="4" applyNumberFormat="1" applyFont="1" applyFill="1" applyBorder="1" applyAlignment="1" applyProtection="1">
      <alignment horizontal="left" vertical="center"/>
      <protection hidden="1"/>
    </xf>
    <xf numFmtId="175" fontId="44" fillId="7" borderId="502" xfId="0" applyNumberFormat="1" applyFont="1" applyFill="1" applyBorder="1" applyAlignment="1">
      <alignment horizontal="center" vertical="center"/>
    </xf>
    <xf numFmtId="175" fontId="44" fillId="7" borderId="442" xfId="0" applyNumberFormat="1" applyFont="1" applyFill="1" applyBorder="1" applyAlignment="1">
      <alignment horizontal="center" vertical="center"/>
    </xf>
    <xf numFmtId="0" fontId="76" fillId="81" borderId="0" xfId="15" applyFont="1" applyFill="1" applyBorder="1" applyAlignment="1" applyProtection="1">
      <alignment horizontal="center" vertical="center"/>
      <protection locked="0"/>
    </xf>
    <xf numFmtId="0" fontId="0" fillId="9" borderId="0" xfId="0" applyFill="1" applyBorder="1" applyAlignment="1">
      <alignment vertical="center"/>
    </xf>
    <xf numFmtId="0" fontId="17" fillId="71" borderId="0" xfId="4" applyFont="1" applyFill="1" applyBorder="1" applyAlignment="1" applyProtection="1">
      <alignment vertical="center"/>
      <protection hidden="1"/>
    </xf>
    <xf numFmtId="0" fontId="0" fillId="9" borderId="0" xfId="0" applyFill="1" applyBorder="1" applyAlignment="1">
      <alignment horizontal="left" vertical="center"/>
    </xf>
    <xf numFmtId="0" fontId="19" fillId="12" borderId="0" xfId="0" applyFont="1" applyFill="1" applyBorder="1" applyAlignment="1">
      <alignment horizontal="left" vertical="center"/>
    </xf>
    <xf numFmtId="0" fontId="82" fillId="9" borderId="0" xfId="19" applyFont="1" applyFill="1" applyBorder="1" applyAlignment="1">
      <alignment horizontal="left" vertical="center"/>
    </xf>
    <xf numFmtId="0" fontId="82" fillId="9" borderId="0" xfId="19" applyFont="1" applyFill="1" applyBorder="1" applyAlignment="1">
      <alignment horizontal="right" vertical="center"/>
    </xf>
    <xf numFmtId="0" fontId="60" fillId="9" borderId="0" xfId="4" applyFont="1" applyFill="1" applyBorder="1" applyAlignment="1" applyProtection="1">
      <alignment horizontal="left" vertical="center"/>
      <protection locked="0"/>
    </xf>
    <xf numFmtId="0" fontId="13" fillId="9" borderId="0" xfId="4" applyFont="1" applyFill="1" applyBorder="1" applyAlignment="1" applyProtection="1">
      <alignment horizontal="right" vertical="center"/>
      <protection locked="0"/>
    </xf>
    <xf numFmtId="0" fontId="14" fillId="9" borderId="0" xfId="4" applyFont="1" applyFill="1" applyBorder="1" applyAlignment="1" applyProtection="1">
      <alignment horizontal="left" vertical="center"/>
      <protection locked="0"/>
    </xf>
    <xf numFmtId="0" fontId="17" fillId="9" borderId="0" xfId="30" applyFont="1" applyFill="1" applyBorder="1" applyAlignment="1">
      <alignment horizontal="left" vertical="center"/>
    </xf>
    <xf numFmtId="0" fontId="14" fillId="9" borderId="0" xfId="30" applyFont="1" applyFill="1" applyBorder="1" applyAlignment="1">
      <alignment vertical="center"/>
    </xf>
    <xf numFmtId="0" fontId="132" fillId="9" borderId="0" xfId="30" applyFont="1" applyFill="1" applyBorder="1" applyAlignment="1">
      <alignment horizontal="left"/>
    </xf>
    <xf numFmtId="0" fontId="132" fillId="9" borderId="0" xfId="30" applyFont="1" applyFill="1" applyBorder="1" applyAlignment="1">
      <alignment horizontal="left" vertical="center"/>
    </xf>
    <xf numFmtId="0" fontId="72" fillId="9" borderId="0" xfId="30" applyFont="1" applyFill="1" applyBorder="1" applyAlignment="1">
      <alignment vertical="center"/>
    </xf>
    <xf numFmtId="0" fontId="14" fillId="9" borderId="0" xfId="4" applyFont="1" applyFill="1" applyBorder="1" applyAlignment="1" applyProtection="1">
      <alignment vertical="center" wrapText="1"/>
      <protection locked="0"/>
    </xf>
    <xf numFmtId="0" fontId="133" fillId="0" borderId="0" xfId="4" applyFont="1" applyBorder="1" applyAlignment="1">
      <alignment vertical="center"/>
    </xf>
    <xf numFmtId="0" fontId="14" fillId="9" borderId="0" xfId="19" applyFont="1" applyFill="1" applyBorder="1" applyAlignment="1">
      <alignment horizontal="left" vertical="center"/>
    </xf>
    <xf numFmtId="0" fontId="132" fillId="9" borderId="0" xfId="4" applyFont="1" applyFill="1" applyBorder="1" applyAlignment="1">
      <alignment horizontal="left" vertical="center"/>
    </xf>
    <xf numFmtId="0" fontId="45" fillId="9" borderId="0" xfId="4" applyFont="1" applyFill="1" applyBorder="1" applyAlignment="1">
      <alignment horizontal="left" vertical="center"/>
    </xf>
    <xf numFmtId="0" fontId="14" fillId="9" borderId="0" xfId="13" applyFont="1" applyFill="1" applyBorder="1" applyAlignment="1">
      <alignment horizontal="left" vertical="center"/>
    </xf>
    <xf numFmtId="0" fontId="13" fillId="9" borderId="0" xfId="13" applyFont="1" applyFill="1" applyBorder="1" applyAlignment="1">
      <alignment horizontal="left" vertical="center"/>
    </xf>
    <xf numFmtId="0" fontId="26" fillId="9" borderId="0" xfId="4" applyFont="1" applyFill="1" applyBorder="1" applyAlignment="1" applyProtection="1">
      <alignment horizontal="right" vertical="center"/>
      <protection locked="0"/>
    </xf>
    <xf numFmtId="0" fontId="59" fillId="9" borderId="0" xfId="19" applyFont="1" applyFill="1" applyBorder="1" applyAlignment="1">
      <alignment horizontal="left" vertical="center"/>
    </xf>
    <xf numFmtId="0" fontId="17" fillId="9" borderId="0" xfId="4" applyFont="1" applyFill="1" applyBorder="1" applyAlignment="1">
      <alignment horizontal="center" vertical="center"/>
    </xf>
    <xf numFmtId="0" fontId="224" fillId="9" borderId="0" xfId="4" applyFont="1" applyFill="1" applyBorder="1" applyAlignment="1" applyProtection="1">
      <alignment horizontal="right" vertical="center"/>
      <protection locked="0"/>
    </xf>
    <xf numFmtId="0" fontId="17" fillId="7" borderId="0" xfId="4" applyFont="1" applyFill="1" applyBorder="1" applyAlignment="1" applyProtection="1">
      <alignment vertical="center"/>
      <protection hidden="1"/>
    </xf>
    <xf numFmtId="0" fontId="17" fillId="9" borderId="0" xfId="4" applyFont="1" applyFill="1" applyBorder="1" applyAlignment="1">
      <alignment horizontal="left" vertical="center"/>
    </xf>
    <xf numFmtId="0" fontId="76" fillId="9" borderId="0" xfId="4" applyFont="1" applyFill="1" applyBorder="1" applyAlignment="1">
      <alignment horizontal="left" vertical="center"/>
    </xf>
    <xf numFmtId="0" fontId="0" fillId="9" borderId="0" xfId="0" applyFill="1" applyBorder="1" applyAlignment="1">
      <alignment horizontal="right" vertical="center"/>
    </xf>
    <xf numFmtId="220" fontId="45" fillId="9" borderId="0" xfId="4" applyNumberFormat="1" applyFont="1" applyFill="1" applyBorder="1" applyAlignment="1">
      <alignment horizontal="left" vertical="center"/>
    </xf>
    <xf numFmtId="0" fontId="28" fillId="0" borderId="0" xfId="2" applyFont="1" applyBorder="1" applyAlignment="1">
      <alignment horizontal="left" vertical="center"/>
    </xf>
    <xf numFmtId="0" fontId="10" fillId="9" borderId="0" xfId="32" applyFont="1" applyFill="1" applyBorder="1" applyAlignment="1">
      <alignment horizontal="left" vertical="center"/>
    </xf>
    <xf numFmtId="206" fontId="45" fillId="9" borderId="0" xfId="4" applyNumberFormat="1" applyFont="1" applyFill="1" applyBorder="1" applyAlignment="1">
      <alignment horizontal="left" vertical="center"/>
    </xf>
    <xf numFmtId="0" fontId="67" fillId="0" borderId="0" xfId="2" applyFont="1" applyBorder="1" applyAlignment="1">
      <alignment horizontal="left" vertical="center"/>
    </xf>
    <xf numFmtId="0" fontId="228" fillId="9" borderId="0" xfId="4" applyFont="1" applyFill="1" applyBorder="1" applyAlignment="1" applyProtection="1">
      <alignment horizontal="right" vertical="center"/>
      <protection locked="0"/>
    </xf>
    <xf numFmtId="0" fontId="230" fillId="96" borderId="0" xfId="1" applyFont="1" applyFill="1" applyBorder="1" applyAlignment="1">
      <alignment horizontal="center" vertical="center"/>
    </xf>
    <xf numFmtId="0" fontId="55" fillId="9" borderId="0" xfId="0" applyFont="1" applyFill="1" applyBorder="1" applyAlignment="1">
      <alignment horizontal="right" vertical="center"/>
    </xf>
    <xf numFmtId="0" fontId="23" fillId="9" borderId="0" xfId="4" applyFont="1" applyFill="1" applyBorder="1" applyAlignment="1">
      <alignment horizontal="center" vertical="center"/>
    </xf>
    <xf numFmtId="0" fontId="231" fillId="9" borderId="0" xfId="9" applyFont="1" applyFill="1" applyBorder="1" applyAlignment="1" applyProtection="1">
      <alignment horizontal="left" vertical="center"/>
      <protection locked="0"/>
    </xf>
    <xf numFmtId="0" fontId="194" fillId="9" borderId="0" xfId="9" applyFont="1" applyFill="1" applyBorder="1" applyAlignment="1" applyProtection="1">
      <alignment horizontal="left" vertical="center"/>
      <protection locked="0"/>
    </xf>
    <xf numFmtId="0" fontId="13" fillId="9" borderId="0" xfId="9" applyFont="1" applyFill="1" applyBorder="1" applyAlignment="1" applyProtection="1">
      <alignment horizontal="left" vertical="center"/>
      <protection locked="0"/>
    </xf>
    <xf numFmtId="0" fontId="193" fillId="9" borderId="0" xfId="9" applyFont="1" applyFill="1" applyBorder="1" applyAlignment="1" applyProtection="1">
      <alignment horizontal="left" vertical="center"/>
      <protection locked="0"/>
    </xf>
    <xf numFmtId="0" fontId="76" fillId="75" borderId="0" xfId="19" applyFont="1" applyFill="1" applyBorder="1" applyAlignment="1">
      <alignment horizontal="center" wrapText="1"/>
    </xf>
    <xf numFmtId="0" fontId="56" fillId="28" borderId="88" xfId="19" applyFont="1" applyFill="1" applyBorder="1" applyAlignment="1">
      <alignment horizontal="left" vertical="center"/>
    </xf>
    <xf numFmtId="0" fontId="56" fillId="28" borderId="0" xfId="19" applyFont="1" applyFill="1" applyBorder="1" applyAlignment="1">
      <alignment horizontal="left" vertical="center"/>
    </xf>
    <xf numFmtId="0" fontId="17" fillId="16" borderId="544" xfId="4" applyFont="1" applyFill="1" applyBorder="1" applyAlignment="1" applyProtection="1">
      <alignment vertical="center"/>
      <protection hidden="1"/>
    </xf>
    <xf numFmtId="0" fontId="17" fillId="71" borderId="415" xfId="4" applyFont="1" applyFill="1" applyBorder="1" applyAlignment="1" applyProtection="1">
      <alignment vertical="center"/>
      <protection hidden="1"/>
    </xf>
    <xf numFmtId="0" fontId="14" fillId="9" borderId="295" xfId="19" applyFont="1" applyFill="1" applyBorder="1" applyAlignment="1">
      <alignment vertical="top" wrapText="1"/>
    </xf>
    <xf numFmtId="0" fontId="14" fillId="9" borderId="0" xfId="19" applyFont="1" applyFill="1" applyAlignment="1">
      <alignment vertical="top" wrapText="1"/>
    </xf>
    <xf numFmtId="0" fontId="14" fillId="9" borderId="19" xfId="19" applyFont="1" applyFill="1" applyBorder="1" applyAlignment="1">
      <alignment vertical="top" wrapText="1"/>
    </xf>
    <xf numFmtId="0" fontId="14" fillId="9" borderId="0" xfId="19" applyFont="1" applyFill="1" applyBorder="1" applyAlignment="1">
      <alignment vertical="top" wrapText="1"/>
    </xf>
    <xf numFmtId="0" fontId="14" fillId="9" borderId="0" xfId="19" applyFont="1" applyFill="1" applyBorder="1" applyAlignment="1">
      <alignment horizontal="left" vertical="top" wrapText="1"/>
    </xf>
    <xf numFmtId="0" fontId="193" fillId="112" borderId="0" xfId="28" applyFont="1" applyFill="1" applyBorder="1" applyAlignment="1">
      <alignment horizontal="left" vertical="top" wrapText="1"/>
    </xf>
    <xf numFmtId="0" fontId="22" fillId="16" borderId="500" xfId="4" applyFont="1" applyFill="1" applyBorder="1" applyAlignment="1" applyProtection="1">
      <alignment horizontal="center" vertical="center"/>
      <protection hidden="1"/>
    </xf>
    <xf numFmtId="0" fontId="44" fillId="38" borderId="295" xfId="4" applyFont="1" applyFill="1" applyBorder="1" applyAlignment="1">
      <alignment horizontal="center" vertical="center"/>
    </xf>
    <xf numFmtId="0" fontId="22" fillId="16" borderId="507" xfId="4" applyFont="1" applyFill="1" applyBorder="1" applyAlignment="1" applyProtection="1">
      <alignment horizontal="center" vertical="center"/>
      <protection hidden="1"/>
    </xf>
    <xf numFmtId="0" fontId="44" fillId="38" borderId="19" xfId="4" applyFont="1" applyFill="1" applyBorder="1" applyAlignment="1">
      <alignment horizontal="center" vertical="center"/>
    </xf>
    <xf numFmtId="0" fontId="222" fillId="9" borderId="0" xfId="4" applyFont="1" applyFill="1" applyBorder="1" applyAlignment="1">
      <alignment horizontal="left" vertical="center" wrapText="1"/>
    </xf>
    <xf numFmtId="0" fontId="59" fillId="5" borderId="0" xfId="4" applyFont="1" applyFill="1" applyBorder="1"/>
    <xf numFmtId="0" fontId="17" fillId="75" borderId="0" xfId="19" applyFont="1" applyFill="1" applyBorder="1" applyAlignment="1">
      <alignment vertical="center"/>
    </xf>
    <xf numFmtId="0" fontId="17" fillId="75" borderId="0" xfId="19" applyFont="1" applyFill="1" applyBorder="1" applyAlignment="1">
      <alignment horizontal="left" vertical="center"/>
    </xf>
    <xf numFmtId="187" fontId="89" fillId="28" borderId="0" xfId="3" applyNumberFormat="1" applyFont="1" applyFill="1" applyBorder="1" applyAlignment="1">
      <alignment horizontal="center" vertical="center"/>
    </xf>
    <xf numFmtId="0" fontId="89" fillId="2040" borderId="0" xfId="19" applyFont="1" applyFill="1" applyAlignment="1">
      <alignment horizontal="left" vertical="center"/>
    </xf>
    <xf numFmtId="0" fontId="9" fillId="39" borderId="0" xfId="4" quotePrefix="1" applyFont="1" applyFill="1" applyAlignment="1">
      <alignment horizontal="center" vertical="center"/>
    </xf>
    <xf numFmtId="0" fontId="147" fillId="9" borderId="0" xfId="4" applyFont="1" applyFill="1" applyAlignment="1" applyProtection="1">
      <alignment horizontal="left" vertical="center"/>
      <protection locked="0"/>
    </xf>
    <xf numFmtId="0" fontId="473" fillId="9" borderId="0" xfId="4" applyFont="1" applyFill="1" applyAlignment="1" applyProtection="1">
      <alignment horizontal="left" vertical="center"/>
      <protection locked="0"/>
    </xf>
    <xf numFmtId="0" fontId="37" fillId="9" borderId="0" xfId="4" applyFont="1" applyFill="1" applyAlignment="1" applyProtection="1">
      <alignment horizontal="left" vertical="center"/>
      <protection locked="0"/>
    </xf>
    <xf numFmtId="0" fontId="0" fillId="2067" borderId="547" xfId="0" applyFill="1" applyBorder="1" applyAlignment="1">
      <alignment horizontal="left" vertical="center" wrapText="1"/>
    </xf>
    <xf numFmtId="0" fontId="0" fillId="20" borderId="0" xfId="0" applyFill="1" applyAlignment="1">
      <alignment horizontal="left" vertical="center"/>
    </xf>
    <xf numFmtId="0" fontId="7" fillId="0" borderId="0" xfId="1" applyFont="1" applyAlignment="1">
      <alignment horizontal="left" vertical="center"/>
    </xf>
    <xf numFmtId="0" fontId="0" fillId="0" borderId="0" xfId="0" applyAlignment="1">
      <alignment horizontal="left" vertical="center"/>
    </xf>
    <xf numFmtId="0" fontId="5" fillId="2066" borderId="545" xfId="0" applyFont="1" applyFill="1" applyBorder="1" applyAlignment="1">
      <alignment horizontal="left" vertical="center" wrapText="1"/>
    </xf>
    <xf numFmtId="0" fontId="5" fillId="2066" borderId="546" xfId="0" applyFont="1" applyFill="1" applyBorder="1" applyAlignment="1">
      <alignment horizontal="left" vertical="center" wrapText="1"/>
    </xf>
  </cellXfs>
  <cellStyles count="48">
    <cellStyle name="Lien hypertexte" xfId="14" builtinId="8"/>
    <cellStyle name="Lien hypertexte 2 2 2" xfId="34" xr:uid="{D1B99A46-FBF9-457A-B30A-39C959B8772F}"/>
    <cellStyle name="Lien hypertexte 2 2 3" xfId="24" xr:uid="{3A831DC7-E023-417E-A574-FBB57443F9D5}"/>
    <cellStyle name="Lien hypertexte 3 2 2" xfId="23" xr:uid="{DA16A4D5-9B1D-453F-8B6D-197CC96F6D49}"/>
    <cellStyle name="Lien hypertexte 3 2 3" xfId="36" xr:uid="{4014DE4E-9D4B-4091-B17C-36F49101D877}"/>
    <cellStyle name="Lien hypertexte 4 2" xfId="35" xr:uid="{A174B993-3751-48EF-B2D6-BCDC9BE92F66}"/>
    <cellStyle name="Lien hypertexte_Copie de cc2_festival_menus_gemrcn_2011" xfId="41" xr:uid="{C9F6D864-581D-44FD-BDB1-BEA5917FDBA7}"/>
    <cellStyle name="Lien hypertexte_PG Positionnement 2009 2" xfId="44" xr:uid="{7868C0BC-59E6-489F-A651-C2D67A35DB45}"/>
    <cellStyle name="Normal" xfId="0" builtinId="0"/>
    <cellStyle name="Normal 10 2 2 2 2 3 2 3 2 2 4 2" xfId="1" xr:uid="{CAE495B3-D5B3-4A5D-A5EC-5F34767CBB31}"/>
    <cellStyle name="Normal 10 3 2 3 2" xfId="46" xr:uid="{BA9E1B80-9BD6-4454-BA49-31F7DAABAE68}"/>
    <cellStyle name="Normal 11 2 3 2 3 2 2 4 2" xfId="3" xr:uid="{5B7BA474-70F2-4857-97E9-C01CC2E282C0}"/>
    <cellStyle name="Normal 12 2" xfId="13" xr:uid="{A2621325-E9BE-44B5-BB87-18945074CA36}"/>
    <cellStyle name="Normal 2 2 2 2 2" xfId="4" xr:uid="{7297849E-A6D5-4437-A68E-53115346816A}"/>
    <cellStyle name="Normal 2 2 2 2 3" xfId="22" xr:uid="{C20D9F7A-1C6C-47AC-A85B-8ACAAEF303FF}"/>
    <cellStyle name="Normal 2 2 4" xfId="2" xr:uid="{3474363D-0BD8-4FE9-9710-C1F4F5381235}"/>
    <cellStyle name="Normal 2 2 5" xfId="21" xr:uid="{09D5556D-89F3-433E-9A16-B2972E55B483}"/>
    <cellStyle name="Normal 2 3" xfId="16" xr:uid="{12251FE4-9A9A-4B23-AF6B-92102FC45922}"/>
    <cellStyle name="Normal 3 2" xfId="27" xr:uid="{8B02A171-666C-44B6-8551-2BBEF423FF79}"/>
    <cellStyle name="Normal 3 3 2" xfId="12" xr:uid="{BF00790D-A0FA-45DD-96A4-81E833964AC0}"/>
    <cellStyle name="Normal 4" xfId="42" xr:uid="{FCEE14A1-B9CD-49E9-89F0-90B8B0E037A0}"/>
    <cellStyle name="Normal 4 2 2 2 2 2 2 2 3 3 2" xfId="9" xr:uid="{69FCD6F7-CD3D-4DA2-A91B-880F83416AF4}"/>
    <cellStyle name="Normal 4 2 2 2 2 2 2 2 4 3 6 2" xfId="32" xr:uid="{9FE715E0-4A4D-475C-A3DB-F4D5F6CFE06D}"/>
    <cellStyle name="Normal 4 2 2 2 2 2 2 5 4 2 3 2 2 3 2 2 4 2" xfId="47" xr:uid="{E3713F0E-E18D-42F3-BDC0-31A80ED8BB44}"/>
    <cellStyle name="Normal 4 2 2 2 2 2 2 6 2 2 3 2 3 3 2 2 4 2" xfId="6" xr:uid="{F4F0018B-ECA0-47A6-B4D4-1B641B5E6CA3}"/>
    <cellStyle name="Normal 4 2 2 2 3 2 2 3 2 2" xfId="20" xr:uid="{2AA00E3D-D613-43CA-9E62-EBD317AA58B3}"/>
    <cellStyle name="Normal 4 2 4 2 2 3 2 3" xfId="43" xr:uid="{015FBADD-6246-4A36-8B32-3761B143EA7A}"/>
    <cellStyle name="Normal 4 2 4 2 2 4 2 2 2 2 3 2" xfId="8" xr:uid="{338DC186-51F1-4DF2-9A19-470514B284A8}"/>
    <cellStyle name="Normal 4 2 5" xfId="18" xr:uid="{210064A5-F76C-4205-8096-4184037DDAB5}"/>
    <cellStyle name="Normal 4 3 4 2 2 2" xfId="5" xr:uid="{499E6F8D-46A9-4235-9D8B-13879B80E9DC}"/>
    <cellStyle name="Normal 4 3 4 3 2" xfId="31" xr:uid="{541E531A-DCAD-4CE7-8E5D-90E9931ECB31}"/>
    <cellStyle name="Normal 4 7" xfId="11" xr:uid="{4F459333-2F45-456C-B643-2A2FB2CAF240}"/>
    <cellStyle name="Normal 9 2 2 2 3 3 2 2 2 2 4 2" xfId="17" xr:uid="{7895C260-7EEB-44FF-A81F-3194A47CCD1A}"/>
    <cellStyle name="Normal_Bases Cuisine 2" xfId="26" xr:uid="{3E5ABFD0-5EC2-4F49-A19B-AEABCE228EB1}"/>
    <cellStyle name="Normal_Bons de commande livraison" xfId="15" xr:uid="{51BB675A-6EF4-4975-991B-8E0FBF6A1BAA}"/>
    <cellStyle name="Normal_Comparer recettes 2009 OK 2 2" xfId="10" xr:uid="{E29BF191-AE20-46B3-88F4-C1CDDB389704}"/>
    <cellStyle name="Normal_Conditionnement 3 décembre" xfId="37" xr:uid="{F346A252-1960-4712-9687-F60BE18DAA8C}"/>
    <cellStyle name="Normal_Cuissons Températures portait16-11-2006" xfId="39" xr:uid="{FE9DDF9B-E0A1-4B00-B426-A65703167149}"/>
    <cellStyle name="Normal_EFECTIF1 2" xfId="38" xr:uid="{DBF7E2F8-D30C-4BB8-AE8F-35F452293B71}"/>
    <cellStyle name="Normal_Effectif Conditionnement Goulin" xfId="28" xr:uid="{832EB0FC-D4B0-4B38-A927-A0A25F6BFE56}"/>
    <cellStyle name="Normal_Fiche test plat ou produit 2" xfId="29" xr:uid="{587C7B79-6B6F-4B2D-B5C9-38108AC3BE72}"/>
    <cellStyle name="Normal_Forum Marais 15 09 2001 2 2 2" xfId="19" xr:uid="{215B03DE-B023-4BEB-A5D9-B291E0EC68A3}"/>
    <cellStyle name="Normal_Forum Marais 15 09 2001_Fiche technique C2 Mars 2008 " xfId="45" xr:uid="{AD36B8E2-6E61-46D3-BFDB-8E323DE1A8A9}"/>
    <cellStyle name="Normal_FT Cuisson Evolutive" xfId="7" xr:uid="{212FD85A-E8A4-456C-B08C-EC149B96CE1F}"/>
    <cellStyle name="Normal_GERMCN UPC brouillon" xfId="25" xr:uid="{62605CA6-2454-4366-BC79-525C267E4CF7}"/>
    <cellStyle name="Normal_Marché 2002 filtre automatique" xfId="40" xr:uid="{8D8A2A94-1011-42B7-BDDF-064483AE5368}"/>
    <cellStyle name="Normal_Non conformité 2002 2" xfId="30" xr:uid="{90239613-CC85-4C4F-BB0E-5558E3DCCFA2}"/>
    <cellStyle name="Normal_space" xfId="33" xr:uid="{A35AC025-1E7A-4094-ADC1-3047DE2751DD}"/>
  </cellStyles>
  <dxfs count="397">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i val="0"/>
        <strike val="0"/>
        <color theme="0"/>
      </font>
      <numFmt numFmtId="0" formatCode="General"/>
      <fill>
        <patternFill>
          <bgColor rgb="FFC00000"/>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i val="0"/>
        <strike val="0"/>
        <color theme="0"/>
      </font>
      <numFmt numFmtId="0" formatCode="General"/>
      <fill>
        <patternFill>
          <bgColor rgb="FFC00000"/>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colors>
    <mruColors>
      <color rgb="FFFFFFA7"/>
      <color rgb="FFFFFFCC"/>
      <color rgb="FF0000FF"/>
      <color rgb="FFB40000"/>
      <color rgb="FFC40000"/>
      <color rgb="FFCC0000"/>
      <color rgb="FFF60000"/>
      <color rgb="FF0070C0"/>
      <color rgb="FF00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7.png"/><Relationship Id="rId2" Type="http://schemas.openxmlformats.org/officeDocument/2006/relationships/image" Target="../media/image3.png"/><Relationship Id="rId1" Type="http://schemas.openxmlformats.org/officeDocument/2006/relationships/image" Target="../media/image15.png"/><Relationship Id="rId6" Type="http://schemas.openxmlformats.org/officeDocument/2006/relationships/image" Target="../media/image4.png"/><Relationship Id="rId5" Type="http://schemas.openxmlformats.org/officeDocument/2006/relationships/image" Target="../media/image1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7.png"/><Relationship Id="rId5" Type="http://schemas.openxmlformats.org/officeDocument/2006/relationships/image" Target="../media/image10.jpeg"/><Relationship Id="rId10" Type="http://schemas.openxmlformats.org/officeDocument/2006/relationships/image" Target="../media/image16.png"/><Relationship Id="rId4" Type="http://schemas.openxmlformats.org/officeDocument/2006/relationships/image" Target="../media/image9.png"/><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28.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image" Target="../media/image18.emf"/><Relationship Id="rId6" Type="http://schemas.openxmlformats.org/officeDocument/2006/relationships/image" Target="../media/image23.png"/><Relationship Id="rId11" Type="http://schemas.openxmlformats.org/officeDocument/2006/relationships/image" Target="../media/image3.png"/><Relationship Id="rId5" Type="http://schemas.openxmlformats.org/officeDocument/2006/relationships/image" Target="../media/image22.png"/><Relationship Id="rId10" Type="http://schemas.openxmlformats.org/officeDocument/2006/relationships/image" Target="../media/image2.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png"/><Relationship Id="rId5" Type="http://schemas.openxmlformats.org/officeDocument/2006/relationships/image" Target="../media/image34.png"/><Relationship Id="rId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13</xdr:col>
      <xdr:colOff>0</xdr:colOff>
      <xdr:row>10</xdr:row>
      <xdr:rowOff>0</xdr:rowOff>
    </xdr:from>
    <xdr:ext cx="3857625" cy="2128665"/>
    <xdr:pic>
      <xdr:nvPicPr>
        <xdr:cNvPr id="2" name="Image 1">
          <a:extLst>
            <a:ext uri="{FF2B5EF4-FFF2-40B4-BE49-F238E27FC236}">
              <a16:creationId xmlns:a16="http://schemas.microsoft.com/office/drawing/2014/main" id="{548A6815-A25E-42FE-8F5A-31D7C91CE809}"/>
            </a:ext>
          </a:extLst>
        </xdr:cNvPr>
        <xdr:cNvPicPr>
          <a:picLocks noChangeAspect="1"/>
        </xdr:cNvPicPr>
      </xdr:nvPicPr>
      <xdr:blipFill>
        <a:blip xmlns:r="http://schemas.openxmlformats.org/officeDocument/2006/relationships" r:embed="rId1"/>
        <a:stretch>
          <a:fillRect/>
        </a:stretch>
      </xdr:blipFill>
      <xdr:spPr>
        <a:xfrm>
          <a:off x="19250025" y="2590800"/>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3" name="Image 2">
          <a:extLst>
            <a:ext uri="{FF2B5EF4-FFF2-40B4-BE49-F238E27FC236}">
              <a16:creationId xmlns:a16="http://schemas.microsoft.com/office/drawing/2014/main" id="{110A23FD-6689-4E72-AD14-5A7958B7C350}"/>
            </a:ext>
          </a:extLst>
        </xdr:cNvPr>
        <xdr:cNvPicPr>
          <a:picLocks noChangeAspect="1"/>
        </xdr:cNvPicPr>
      </xdr:nvPicPr>
      <xdr:blipFill>
        <a:blip xmlns:r="http://schemas.openxmlformats.org/officeDocument/2006/relationships" r:embed="rId2"/>
        <a:stretch>
          <a:fillRect/>
        </a:stretch>
      </xdr:blipFill>
      <xdr:spPr>
        <a:xfrm>
          <a:off x="4648200" y="173355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4" name="Image 3">
          <a:extLst>
            <a:ext uri="{FF2B5EF4-FFF2-40B4-BE49-F238E27FC236}">
              <a16:creationId xmlns:a16="http://schemas.microsoft.com/office/drawing/2014/main" id="{41DE821E-9401-4A90-948F-AED803381FA8}"/>
            </a:ext>
          </a:extLst>
        </xdr:cNvPr>
        <xdr:cNvPicPr>
          <a:picLocks noChangeAspect="1"/>
        </xdr:cNvPicPr>
      </xdr:nvPicPr>
      <xdr:blipFill>
        <a:blip xmlns:r="http://schemas.openxmlformats.org/officeDocument/2006/relationships" r:embed="rId3"/>
        <a:stretch>
          <a:fillRect/>
        </a:stretch>
      </xdr:blipFill>
      <xdr:spPr>
        <a:xfrm>
          <a:off x="10801350" y="169545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5" name="Image 4">
          <a:extLst>
            <a:ext uri="{FF2B5EF4-FFF2-40B4-BE49-F238E27FC236}">
              <a16:creationId xmlns:a16="http://schemas.microsoft.com/office/drawing/2014/main" id="{8FEB3F9E-A117-43F7-9B07-DC1B0D187E6A}"/>
            </a:ext>
          </a:extLst>
        </xdr:cNvPr>
        <xdr:cNvPicPr>
          <a:picLocks noChangeAspect="1"/>
        </xdr:cNvPicPr>
      </xdr:nvPicPr>
      <xdr:blipFill>
        <a:blip xmlns:r="http://schemas.openxmlformats.org/officeDocument/2006/relationships" r:embed="rId4"/>
        <a:stretch>
          <a:fillRect/>
        </a:stretch>
      </xdr:blipFill>
      <xdr:spPr>
        <a:xfrm>
          <a:off x="17002125" y="1724025"/>
          <a:ext cx="1063483" cy="581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15</xdr:col>
      <xdr:colOff>85725</xdr:colOff>
      <xdr:row>18</xdr:row>
      <xdr:rowOff>190500</xdr:rowOff>
    </xdr:from>
    <xdr:ext cx="3857625" cy="2128665"/>
    <xdr:pic>
      <xdr:nvPicPr>
        <xdr:cNvPr id="2" name="Image 1">
          <a:extLst>
            <a:ext uri="{FF2B5EF4-FFF2-40B4-BE49-F238E27FC236}">
              <a16:creationId xmlns:a16="http://schemas.microsoft.com/office/drawing/2014/main" id="{76CFB975-3355-4B6C-B2BE-FE3E2E7CE71D}"/>
            </a:ext>
          </a:extLst>
        </xdr:cNvPr>
        <xdr:cNvPicPr>
          <a:picLocks noChangeAspect="1"/>
        </xdr:cNvPicPr>
      </xdr:nvPicPr>
      <xdr:blipFill>
        <a:blip xmlns:r="http://schemas.openxmlformats.org/officeDocument/2006/relationships" r:embed="rId1"/>
        <a:stretch>
          <a:fillRect/>
        </a:stretch>
      </xdr:blipFill>
      <xdr:spPr>
        <a:xfrm>
          <a:off x="24612600" y="4572000"/>
          <a:ext cx="3857625" cy="2128665"/>
        </a:xfrm>
        <a:prstGeom prst="rect">
          <a:avLst/>
        </a:prstGeom>
      </xdr:spPr>
    </xdr:pic>
    <xdr:clientData/>
  </xdr:oneCellAnchor>
  <xdr:oneCellAnchor>
    <xdr:from>
      <xdr:col>19</xdr:col>
      <xdr:colOff>314325</xdr:colOff>
      <xdr:row>2</xdr:row>
      <xdr:rowOff>180975</xdr:rowOff>
    </xdr:from>
    <xdr:ext cx="2468837" cy="860863"/>
    <xdr:pic>
      <xdr:nvPicPr>
        <xdr:cNvPr id="3" name="Image 2">
          <a:extLst>
            <a:ext uri="{FF2B5EF4-FFF2-40B4-BE49-F238E27FC236}">
              <a16:creationId xmlns:a16="http://schemas.microsoft.com/office/drawing/2014/main" id="{DEB1F426-A1D5-4F6C-BA4B-A8D92C484071}"/>
            </a:ext>
          </a:extLst>
        </xdr:cNvPr>
        <xdr:cNvPicPr>
          <a:picLocks noChangeAspect="1"/>
        </xdr:cNvPicPr>
      </xdr:nvPicPr>
      <xdr:blipFill>
        <a:blip xmlns:r="http://schemas.openxmlformats.org/officeDocument/2006/relationships" r:embed="rId2"/>
        <a:stretch>
          <a:fillRect/>
        </a:stretch>
      </xdr:blipFill>
      <xdr:spPr>
        <a:xfrm>
          <a:off x="30565725" y="571500"/>
          <a:ext cx="2468837" cy="860863"/>
        </a:xfrm>
        <a:prstGeom prst="rect">
          <a:avLst/>
        </a:prstGeom>
      </xdr:spPr>
    </xdr:pic>
    <xdr:clientData/>
  </xdr:oneCellAnchor>
  <xdr:twoCellAnchor editAs="oneCell">
    <xdr:from>
      <xdr:col>12</xdr:col>
      <xdr:colOff>1885950</xdr:colOff>
      <xdr:row>6</xdr:row>
      <xdr:rowOff>152400</xdr:rowOff>
    </xdr:from>
    <xdr:to>
      <xdr:col>13</xdr:col>
      <xdr:colOff>1152525</xdr:colOff>
      <xdr:row>10</xdr:row>
      <xdr:rowOff>38100</xdr:rowOff>
    </xdr:to>
    <xdr:pic>
      <xdr:nvPicPr>
        <xdr:cNvPr id="4" name="Image 3">
          <a:extLst>
            <a:ext uri="{FF2B5EF4-FFF2-40B4-BE49-F238E27FC236}">
              <a16:creationId xmlns:a16="http://schemas.microsoft.com/office/drawing/2014/main" id="{CF706FA6-2AA4-42D8-A13F-0A589C2CF10A}"/>
            </a:ext>
          </a:extLst>
        </xdr:cNvPr>
        <xdr:cNvPicPr>
          <a:picLocks noChangeAspect="1"/>
        </xdr:cNvPicPr>
      </xdr:nvPicPr>
      <xdr:blipFill>
        <a:blip xmlns:r="http://schemas.openxmlformats.org/officeDocument/2006/relationships" r:embed="rId3"/>
        <a:stretch>
          <a:fillRect/>
        </a:stretch>
      </xdr:blipFill>
      <xdr:spPr>
        <a:xfrm>
          <a:off x="21555075" y="1676400"/>
          <a:ext cx="1447800"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65</xdr:col>
      <xdr:colOff>352425</xdr:colOff>
      <xdr:row>30</xdr:row>
      <xdr:rowOff>28575</xdr:rowOff>
    </xdr:from>
    <xdr:ext cx="2223949" cy="1028700"/>
    <xdr:pic>
      <xdr:nvPicPr>
        <xdr:cNvPr id="2" name="Image 1">
          <a:extLst>
            <a:ext uri="{FF2B5EF4-FFF2-40B4-BE49-F238E27FC236}">
              <a16:creationId xmlns:a16="http://schemas.microsoft.com/office/drawing/2014/main" id="{00DE3A11-5786-4EBE-9725-EF1B5E8CD6DF}"/>
            </a:ext>
          </a:extLst>
        </xdr:cNvPr>
        <xdr:cNvPicPr>
          <a:picLocks noChangeAspect="1"/>
        </xdr:cNvPicPr>
      </xdr:nvPicPr>
      <xdr:blipFill>
        <a:blip xmlns:r="http://schemas.openxmlformats.org/officeDocument/2006/relationships" r:embed="rId1"/>
        <a:stretch>
          <a:fillRect/>
        </a:stretch>
      </xdr:blipFill>
      <xdr:spPr>
        <a:xfrm>
          <a:off x="47625000" y="7753350"/>
          <a:ext cx="2223949" cy="1028700"/>
        </a:xfrm>
        <a:prstGeom prst="rect">
          <a:avLst/>
        </a:prstGeom>
      </xdr:spPr>
    </xdr:pic>
    <xdr:clientData/>
  </xdr:oneCellAnchor>
  <xdr:oneCellAnchor>
    <xdr:from>
      <xdr:col>66</xdr:col>
      <xdr:colOff>266700</xdr:colOff>
      <xdr:row>51</xdr:row>
      <xdr:rowOff>133350</xdr:rowOff>
    </xdr:from>
    <xdr:ext cx="1057275" cy="1120810"/>
    <xdr:pic>
      <xdr:nvPicPr>
        <xdr:cNvPr id="3" name="Image 2">
          <a:extLst>
            <a:ext uri="{FF2B5EF4-FFF2-40B4-BE49-F238E27FC236}">
              <a16:creationId xmlns:a16="http://schemas.microsoft.com/office/drawing/2014/main" id="{48552D38-5BDC-4D4E-8097-984EBDF35E3C}"/>
            </a:ext>
          </a:extLst>
        </xdr:cNvPr>
        <xdr:cNvPicPr>
          <a:picLocks noChangeAspect="1"/>
        </xdr:cNvPicPr>
      </xdr:nvPicPr>
      <xdr:blipFill>
        <a:blip xmlns:r="http://schemas.openxmlformats.org/officeDocument/2006/relationships" r:embed="rId2"/>
        <a:stretch>
          <a:fillRect/>
        </a:stretch>
      </xdr:blipFill>
      <xdr:spPr>
        <a:xfrm>
          <a:off x="48320325" y="13458825"/>
          <a:ext cx="1057275" cy="1120810"/>
        </a:xfrm>
        <a:prstGeom prst="rect">
          <a:avLst/>
        </a:prstGeom>
      </xdr:spPr>
    </xdr:pic>
    <xdr:clientData/>
  </xdr:oneCellAnchor>
  <xdr:oneCellAnchor>
    <xdr:from>
      <xdr:col>65</xdr:col>
      <xdr:colOff>390525</xdr:colOff>
      <xdr:row>42</xdr:row>
      <xdr:rowOff>161925</xdr:rowOff>
    </xdr:from>
    <xdr:ext cx="2248026" cy="1098550"/>
    <xdr:pic>
      <xdr:nvPicPr>
        <xdr:cNvPr id="4" name="Image 3">
          <a:extLst>
            <a:ext uri="{FF2B5EF4-FFF2-40B4-BE49-F238E27FC236}">
              <a16:creationId xmlns:a16="http://schemas.microsoft.com/office/drawing/2014/main" id="{D2D300B5-C684-4AA9-8E68-7315A1DEA0DF}"/>
            </a:ext>
          </a:extLst>
        </xdr:cNvPr>
        <xdr:cNvPicPr>
          <a:picLocks noChangeAspect="1"/>
        </xdr:cNvPicPr>
      </xdr:nvPicPr>
      <xdr:blipFill>
        <a:blip xmlns:r="http://schemas.openxmlformats.org/officeDocument/2006/relationships" r:embed="rId3"/>
        <a:stretch>
          <a:fillRect/>
        </a:stretch>
      </xdr:blipFill>
      <xdr:spPr>
        <a:xfrm>
          <a:off x="47663100" y="11087100"/>
          <a:ext cx="2248026" cy="1098550"/>
        </a:xfrm>
        <a:prstGeom prst="rect">
          <a:avLst/>
        </a:prstGeom>
      </xdr:spPr>
    </xdr:pic>
    <xdr:clientData/>
  </xdr:oneCellAnchor>
  <xdr:oneCellAnchor>
    <xdr:from>
      <xdr:col>66</xdr:col>
      <xdr:colOff>352425</xdr:colOff>
      <xdr:row>65</xdr:row>
      <xdr:rowOff>47625</xdr:rowOff>
    </xdr:from>
    <xdr:ext cx="1574800" cy="1345876"/>
    <xdr:pic>
      <xdr:nvPicPr>
        <xdr:cNvPr id="5" name="Image 4" descr="Man Cook: Medium-Light Skin Tone">
          <a:extLst>
            <a:ext uri="{FF2B5EF4-FFF2-40B4-BE49-F238E27FC236}">
              <a16:creationId xmlns:a16="http://schemas.microsoft.com/office/drawing/2014/main" id="{46C6DE9A-DADE-42D8-8550-847524A849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406050" y="171069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83</xdr:col>
      <xdr:colOff>9525</xdr:colOff>
      <xdr:row>20</xdr:row>
      <xdr:rowOff>247650</xdr:rowOff>
    </xdr:from>
    <xdr:ext cx="571500" cy="571500"/>
    <xdr:pic>
      <xdr:nvPicPr>
        <xdr:cNvPr id="6" name="Image 5">
          <a:extLst>
            <a:ext uri="{FF2B5EF4-FFF2-40B4-BE49-F238E27FC236}">
              <a16:creationId xmlns:a16="http://schemas.microsoft.com/office/drawing/2014/main" id="{D647BDC0-E4C2-4F26-8DDF-8808FB52EF1E}"/>
            </a:ext>
          </a:extLst>
        </xdr:cNvPr>
        <xdr:cNvPicPr>
          <a:picLocks noChangeAspect="1"/>
        </xdr:cNvPicPr>
      </xdr:nvPicPr>
      <xdr:blipFill>
        <a:blip xmlns:r="http://schemas.openxmlformats.org/officeDocument/2006/relationships" r:embed="rId5"/>
        <a:stretch>
          <a:fillRect/>
        </a:stretch>
      </xdr:blipFill>
      <xdr:spPr>
        <a:xfrm>
          <a:off x="71389875" y="5305425"/>
          <a:ext cx="571500" cy="571500"/>
        </a:xfrm>
        <a:prstGeom prst="rect">
          <a:avLst/>
        </a:prstGeom>
      </xdr:spPr>
    </xdr:pic>
    <xdr:clientData/>
  </xdr:oneCellAnchor>
  <xdr:oneCellAnchor>
    <xdr:from>
      <xdr:col>76</xdr:col>
      <xdr:colOff>133350</xdr:colOff>
      <xdr:row>21</xdr:row>
      <xdr:rowOff>104775</xdr:rowOff>
    </xdr:from>
    <xdr:ext cx="571500" cy="571500"/>
    <xdr:pic>
      <xdr:nvPicPr>
        <xdr:cNvPr id="7" name="Image 6">
          <a:extLst>
            <a:ext uri="{FF2B5EF4-FFF2-40B4-BE49-F238E27FC236}">
              <a16:creationId xmlns:a16="http://schemas.microsoft.com/office/drawing/2014/main" id="{D3ECDBE3-21A7-45EF-BCF7-EDE579045F4D}"/>
            </a:ext>
          </a:extLst>
        </xdr:cNvPr>
        <xdr:cNvPicPr>
          <a:picLocks noChangeAspect="1"/>
        </xdr:cNvPicPr>
      </xdr:nvPicPr>
      <xdr:blipFill>
        <a:blip xmlns:r="http://schemas.openxmlformats.org/officeDocument/2006/relationships" r:embed="rId5"/>
        <a:stretch>
          <a:fillRect/>
        </a:stretch>
      </xdr:blipFill>
      <xdr:spPr>
        <a:xfrm>
          <a:off x="65398650" y="5429250"/>
          <a:ext cx="571500" cy="571500"/>
        </a:xfrm>
        <a:prstGeom prst="rect">
          <a:avLst/>
        </a:prstGeom>
      </xdr:spPr>
    </xdr:pic>
    <xdr:clientData/>
  </xdr:oneCellAnchor>
  <xdr:oneCellAnchor>
    <xdr:from>
      <xdr:col>90</xdr:col>
      <xdr:colOff>247650</xdr:colOff>
      <xdr:row>20</xdr:row>
      <xdr:rowOff>142875</xdr:rowOff>
    </xdr:from>
    <xdr:ext cx="571500" cy="571500"/>
    <xdr:pic>
      <xdr:nvPicPr>
        <xdr:cNvPr id="8" name="Image 7">
          <a:extLst>
            <a:ext uri="{FF2B5EF4-FFF2-40B4-BE49-F238E27FC236}">
              <a16:creationId xmlns:a16="http://schemas.microsoft.com/office/drawing/2014/main" id="{928379E4-C1A0-4D2E-8619-40734DB0B235}"/>
            </a:ext>
          </a:extLst>
        </xdr:cNvPr>
        <xdr:cNvPicPr>
          <a:picLocks noChangeAspect="1"/>
        </xdr:cNvPicPr>
      </xdr:nvPicPr>
      <xdr:blipFill>
        <a:blip xmlns:r="http://schemas.openxmlformats.org/officeDocument/2006/relationships" r:embed="rId5"/>
        <a:stretch>
          <a:fillRect/>
        </a:stretch>
      </xdr:blipFill>
      <xdr:spPr>
        <a:xfrm>
          <a:off x="77752575" y="5200650"/>
          <a:ext cx="571500" cy="5715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64</xdr:col>
      <xdr:colOff>238125</xdr:colOff>
      <xdr:row>12</xdr:row>
      <xdr:rowOff>171450</xdr:rowOff>
    </xdr:from>
    <xdr:ext cx="571500" cy="571500"/>
    <xdr:pic>
      <xdr:nvPicPr>
        <xdr:cNvPr id="2" name="Image 1">
          <a:extLst>
            <a:ext uri="{FF2B5EF4-FFF2-40B4-BE49-F238E27FC236}">
              <a16:creationId xmlns:a16="http://schemas.microsoft.com/office/drawing/2014/main" id="{F8990A46-5417-4F96-B295-283CCEB794C8}"/>
            </a:ext>
          </a:extLst>
        </xdr:cNvPr>
        <xdr:cNvPicPr>
          <a:picLocks noChangeAspect="1"/>
        </xdr:cNvPicPr>
      </xdr:nvPicPr>
      <xdr:blipFill>
        <a:blip xmlns:r="http://schemas.openxmlformats.org/officeDocument/2006/relationships" r:embed="rId1"/>
        <a:stretch>
          <a:fillRect/>
        </a:stretch>
      </xdr:blipFill>
      <xdr:spPr>
        <a:xfrm>
          <a:off x="47748825" y="2981325"/>
          <a:ext cx="571500" cy="571500"/>
        </a:xfrm>
        <a:prstGeom prst="rect">
          <a:avLst/>
        </a:prstGeom>
      </xdr:spPr>
    </xdr:pic>
    <xdr:clientData/>
  </xdr:oneCellAnchor>
  <xdr:oneCellAnchor>
    <xdr:from>
      <xdr:col>67</xdr:col>
      <xdr:colOff>942975</xdr:colOff>
      <xdr:row>153</xdr:row>
      <xdr:rowOff>142875</xdr:rowOff>
    </xdr:from>
    <xdr:ext cx="4267200" cy="2123995"/>
    <xdr:pic>
      <xdr:nvPicPr>
        <xdr:cNvPr id="3" name="Image 2">
          <a:extLst>
            <a:ext uri="{FF2B5EF4-FFF2-40B4-BE49-F238E27FC236}">
              <a16:creationId xmlns:a16="http://schemas.microsoft.com/office/drawing/2014/main" id="{FBA19D5C-5CC7-487D-AA85-2AF752750070}"/>
            </a:ext>
          </a:extLst>
        </xdr:cNvPr>
        <xdr:cNvPicPr>
          <a:picLocks noChangeAspect="1"/>
        </xdr:cNvPicPr>
      </xdr:nvPicPr>
      <xdr:blipFill>
        <a:blip xmlns:r="http://schemas.openxmlformats.org/officeDocument/2006/relationships" r:embed="rId2"/>
        <a:stretch>
          <a:fillRect/>
        </a:stretch>
      </xdr:blipFill>
      <xdr:spPr>
        <a:xfrm>
          <a:off x="51130200" y="34566225"/>
          <a:ext cx="4267200" cy="2123995"/>
        </a:xfrm>
        <a:prstGeom prst="rect">
          <a:avLst/>
        </a:prstGeom>
      </xdr:spPr>
    </xdr:pic>
    <xdr:clientData/>
  </xdr:oneCellAnchor>
  <xdr:oneCellAnchor>
    <xdr:from>
      <xdr:col>67</xdr:col>
      <xdr:colOff>428625</xdr:colOff>
      <xdr:row>125</xdr:row>
      <xdr:rowOff>95250</xdr:rowOff>
    </xdr:from>
    <xdr:ext cx="4873625" cy="1121830"/>
    <xdr:pic>
      <xdr:nvPicPr>
        <xdr:cNvPr id="4" name="Image 3">
          <a:extLst>
            <a:ext uri="{FF2B5EF4-FFF2-40B4-BE49-F238E27FC236}">
              <a16:creationId xmlns:a16="http://schemas.microsoft.com/office/drawing/2014/main" id="{ACB4B9FA-76AD-45B1-84D8-72DC8ADA9F24}"/>
            </a:ext>
          </a:extLst>
        </xdr:cNvPr>
        <xdr:cNvPicPr>
          <a:picLocks noChangeAspect="1"/>
        </xdr:cNvPicPr>
      </xdr:nvPicPr>
      <xdr:blipFill>
        <a:blip xmlns:r="http://schemas.openxmlformats.org/officeDocument/2006/relationships" r:embed="rId3"/>
        <a:stretch>
          <a:fillRect/>
        </a:stretch>
      </xdr:blipFill>
      <xdr:spPr>
        <a:xfrm>
          <a:off x="50615850" y="28451175"/>
          <a:ext cx="4873625" cy="112183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64</xdr:col>
      <xdr:colOff>238125</xdr:colOff>
      <xdr:row>12</xdr:row>
      <xdr:rowOff>171450</xdr:rowOff>
    </xdr:from>
    <xdr:ext cx="571500" cy="571500"/>
    <xdr:pic>
      <xdr:nvPicPr>
        <xdr:cNvPr id="2" name="Image 1">
          <a:extLst>
            <a:ext uri="{FF2B5EF4-FFF2-40B4-BE49-F238E27FC236}">
              <a16:creationId xmlns:a16="http://schemas.microsoft.com/office/drawing/2014/main" id="{81F7CA53-8589-4C71-B7AD-B7E85571F4EA}"/>
            </a:ext>
          </a:extLst>
        </xdr:cNvPr>
        <xdr:cNvPicPr>
          <a:picLocks noChangeAspect="1"/>
        </xdr:cNvPicPr>
      </xdr:nvPicPr>
      <xdr:blipFill>
        <a:blip xmlns:r="http://schemas.openxmlformats.org/officeDocument/2006/relationships" r:embed="rId1"/>
        <a:stretch>
          <a:fillRect/>
        </a:stretch>
      </xdr:blipFill>
      <xdr:spPr>
        <a:xfrm>
          <a:off x="47748825" y="2981325"/>
          <a:ext cx="571500" cy="571500"/>
        </a:xfrm>
        <a:prstGeom prst="rect">
          <a:avLst/>
        </a:prstGeom>
      </xdr:spPr>
    </xdr:pic>
    <xdr:clientData/>
  </xdr:oneCellAnchor>
  <xdr:oneCellAnchor>
    <xdr:from>
      <xdr:col>67</xdr:col>
      <xdr:colOff>942975</xdr:colOff>
      <xdr:row>153</xdr:row>
      <xdr:rowOff>142875</xdr:rowOff>
    </xdr:from>
    <xdr:ext cx="4267200" cy="2123995"/>
    <xdr:pic>
      <xdr:nvPicPr>
        <xdr:cNvPr id="3" name="Image 2">
          <a:extLst>
            <a:ext uri="{FF2B5EF4-FFF2-40B4-BE49-F238E27FC236}">
              <a16:creationId xmlns:a16="http://schemas.microsoft.com/office/drawing/2014/main" id="{26C35A61-5AFA-4C38-8672-402E23847631}"/>
            </a:ext>
          </a:extLst>
        </xdr:cNvPr>
        <xdr:cNvPicPr>
          <a:picLocks noChangeAspect="1"/>
        </xdr:cNvPicPr>
      </xdr:nvPicPr>
      <xdr:blipFill>
        <a:blip xmlns:r="http://schemas.openxmlformats.org/officeDocument/2006/relationships" r:embed="rId2"/>
        <a:stretch>
          <a:fillRect/>
        </a:stretch>
      </xdr:blipFill>
      <xdr:spPr>
        <a:xfrm>
          <a:off x="51130200" y="34566225"/>
          <a:ext cx="4267200" cy="2123995"/>
        </a:xfrm>
        <a:prstGeom prst="rect">
          <a:avLst/>
        </a:prstGeom>
      </xdr:spPr>
    </xdr:pic>
    <xdr:clientData/>
  </xdr:oneCellAnchor>
  <xdr:oneCellAnchor>
    <xdr:from>
      <xdr:col>67</xdr:col>
      <xdr:colOff>428625</xdr:colOff>
      <xdr:row>125</xdr:row>
      <xdr:rowOff>95250</xdr:rowOff>
    </xdr:from>
    <xdr:ext cx="4873625" cy="1121830"/>
    <xdr:pic>
      <xdr:nvPicPr>
        <xdr:cNvPr id="4" name="Image 3">
          <a:extLst>
            <a:ext uri="{FF2B5EF4-FFF2-40B4-BE49-F238E27FC236}">
              <a16:creationId xmlns:a16="http://schemas.microsoft.com/office/drawing/2014/main" id="{3391152B-6DA6-4C3B-BDCE-49C4967082D6}"/>
            </a:ext>
          </a:extLst>
        </xdr:cNvPr>
        <xdr:cNvPicPr>
          <a:picLocks noChangeAspect="1"/>
        </xdr:cNvPicPr>
      </xdr:nvPicPr>
      <xdr:blipFill>
        <a:blip xmlns:r="http://schemas.openxmlformats.org/officeDocument/2006/relationships" r:embed="rId3"/>
        <a:stretch>
          <a:fillRect/>
        </a:stretch>
      </xdr:blipFill>
      <xdr:spPr>
        <a:xfrm>
          <a:off x="50615850" y="28451175"/>
          <a:ext cx="4873625" cy="1121830"/>
        </a:xfrm>
        <a:prstGeom prst="rect">
          <a:avLst/>
        </a:prstGeom>
      </xdr:spPr>
    </xdr:pic>
    <xdr:clientData/>
  </xdr:oneCellAnchor>
  <xdr:oneCellAnchor>
    <xdr:from>
      <xdr:col>3</xdr:col>
      <xdr:colOff>152400</xdr:colOff>
      <xdr:row>93</xdr:row>
      <xdr:rowOff>19050</xdr:rowOff>
    </xdr:from>
    <xdr:ext cx="409318" cy="504825"/>
    <xdr:pic>
      <xdr:nvPicPr>
        <xdr:cNvPr id="5" name="Image 4">
          <a:extLst>
            <a:ext uri="{FF2B5EF4-FFF2-40B4-BE49-F238E27FC236}">
              <a16:creationId xmlns:a16="http://schemas.microsoft.com/office/drawing/2014/main" id="{2F45E981-E300-464E-88A9-2FBC8CAF4B7A}"/>
            </a:ext>
          </a:extLst>
        </xdr:cNvPr>
        <xdr:cNvPicPr>
          <a:picLocks noChangeAspect="1"/>
        </xdr:cNvPicPr>
      </xdr:nvPicPr>
      <xdr:blipFill>
        <a:blip xmlns:r="http://schemas.openxmlformats.org/officeDocument/2006/relationships" r:embed="rId1"/>
        <a:stretch>
          <a:fillRect/>
        </a:stretch>
      </xdr:blipFill>
      <xdr:spPr>
        <a:xfrm>
          <a:off x="9410700" y="19459575"/>
          <a:ext cx="409318" cy="504825"/>
        </a:xfrm>
        <a:prstGeom prst="rect">
          <a:avLst/>
        </a:prstGeom>
      </xdr:spPr>
    </xdr:pic>
    <xdr:clientData/>
  </xdr:oneCellAnchor>
  <xdr:oneCellAnchor>
    <xdr:from>
      <xdr:col>3</xdr:col>
      <xdr:colOff>152400</xdr:colOff>
      <xdr:row>41</xdr:row>
      <xdr:rowOff>19050</xdr:rowOff>
    </xdr:from>
    <xdr:ext cx="409318" cy="504825"/>
    <xdr:pic>
      <xdr:nvPicPr>
        <xdr:cNvPr id="6" name="Image 5">
          <a:extLst>
            <a:ext uri="{FF2B5EF4-FFF2-40B4-BE49-F238E27FC236}">
              <a16:creationId xmlns:a16="http://schemas.microsoft.com/office/drawing/2014/main" id="{24B009F1-70C9-4C50-B179-8A4C9BCEF79B}"/>
            </a:ext>
          </a:extLst>
        </xdr:cNvPr>
        <xdr:cNvPicPr>
          <a:picLocks noChangeAspect="1"/>
        </xdr:cNvPicPr>
      </xdr:nvPicPr>
      <xdr:blipFill>
        <a:blip xmlns:r="http://schemas.openxmlformats.org/officeDocument/2006/relationships" r:embed="rId1"/>
        <a:stretch>
          <a:fillRect/>
        </a:stretch>
      </xdr:blipFill>
      <xdr:spPr>
        <a:xfrm>
          <a:off x="9410700" y="8686800"/>
          <a:ext cx="409318" cy="504825"/>
        </a:xfrm>
        <a:prstGeom prst="rect">
          <a:avLst/>
        </a:prstGeom>
      </xdr:spPr>
    </xdr:pic>
    <xdr:clientData/>
  </xdr:oneCellAnchor>
  <xdr:oneCellAnchor>
    <xdr:from>
      <xdr:col>3</xdr:col>
      <xdr:colOff>152400</xdr:colOff>
      <xdr:row>93</xdr:row>
      <xdr:rowOff>19050</xdr:rowOff>
    </xdr:from>
    <xdr:ext cx="409318" cy="504825"/>
    <xdr:pic>
      <xdr:nvPicPr>
        <xdr:cNvPr id="7" name="Image 6">
          <a:extLst>
            <a:ext uri="{FF2B5EF4-FFF2-40B4-BE49-F238E27FC236}">
              <a16:creationId xmlns:a16="http://schemas.microsoft.com/office/drawing/2014/main" id="{DFDDA8F9-19AA-4DFB-9365-7C8FC36E5C08}"/>
            </a:ext>
          </a:extLst>
        </xdr:cNvPr>
        <xdr:cNvPicPr>
          <a:picLocks noChangeAspect="1"/>
        </xdr:cNvPicPr>
      </xdr:nvPicPr>
      <xdr:blipFill>
        <a:blip xmlns:r="http://schemas.openxmlformats.org/officeDocument/2006/relationships" r:embed="rId1"/>
        <a:stretch>
          <a:fillRect/>
        </a:stretch>
      </xdr:blipFill>
      <xdr:spPr>
        <a:xfrm>
          <a:off x="9410700" y="19459575"/>
          <a:ext cx="409318" cy="504825"/>
        </a:xfrm>
        <a:prstGeom prst="rect">
          <a:avLst/>
        </a:prstGeom>
      </xdr:spPr>
    </xdr:pic>
    <xdr:clientData/>
  </xdr:oneCellAnchor>
  <xdr:oneCellAnchor>
    <xdr:from>
      <xdr:col>3</xdr:col>
      <xdr:colOff>152400</xdr:colOff>
      <xdr:row>41</xdr:row>
      <xdr:rowOff>19050</xdr:rowOff>
    </xdr:from>
    <xdr:ext cx="409318" cy="504825"/>
    <xdr:pic>
      <xdr:nvPicPr>
        <xdr:cNvPr id="8" name="Image 7">
          <a:extLst>
            <a:ext uri="{FF2B5EF4-FFF2-40B4-BE49-F238E27FC236}">
              <a16:creationId xmlns:a16="http://schemas.microsoft.com/office/drawing/2014/main" id="{EFF35441-0B7B-4DB3-A5C9-0BE8A653A160}"/>
            </a:ext>
          </a:extLst>
        </xdr:cNvPr>
        <xdr:cNvPicPr>
          <a:picLocks noChangeAspect="1"/>
        </xdr:cNvPicPr>
      </xdr:nvPicPr>
      <xdr:blipFill>
        <a:blip xmlns:r="http://schemas.openxmlformats.org/officeDocument/2006/relationships" r:embed="rId1"/>
        <a:stretch>
          <a:fillRect/>
        </a:stretch>
      </xdr:blipFill>
      <xdr:spPr>
        <a:xfrm>
          <a:off x="9410700" y="8686800"/>
          <a:ext cx="409318" cy="504825"/>
        </a:xfrm>
        <a:prstGeom prst="rect">
          <a:avLst/>
        </a:prstGeom>
      </xdr:spPr>
    </xdr:pic>
    <xdr:clientData/>
  </xdr:oneCellAnchor>
  <xdr:oneCellAnchor>
    <xdr:from>
      <xdr:col>17</xdr:col>
      <xdr:colOff>200025</xdr:colOff>
      <xdr:row>98</xdr:row>
      <xdr:rowOff>152400</xdr:rowOff>
    </xdr:from>
    <xdr:ext cx="409318" cy="504825"/>
    <xdr:pic>
      <xdr:nvPicPr>
        <xdr:cNvPr id="13" name="Image 12">
          <a:extLst>
            <a:ext uri="{FF2B5EF4-FFF2-40B4-BE49-F238E27FC236}">
              <a16:creationId xmlns:a16="http://schemas.microsoft.com/office/drawing/2014/main" id="{149741D4-60B7-4044-B05D-A62DBB0BC251}"/>
            </a:ext>
          </a:extLst>
        </xdr:cNvPr>
        <xdr:cNvPicPr>
          <a:picLocks noChangeAspect="1"/>
        </xdr:cNvPicPr>
      </xdr:nvPicPr>
      <xdr:blipFill>
        <a:blip xmlns:r="http://schemas.openxmlformats.org/officeDocument/2006/relationships" r:embed="rId1"/>
        <a:stretch>
          <a:fillRect/>
        </a:stretch>
      </xdr:blipFill>
      <xdr:spPr>
        <a:xfrm>
          <a:off x="13763625" y="22564725"/>
          <a:ext cx="409318" cy="504825"/>
        </a:xfrm>
        <a:prstGeom prst="rect">
          <a:avLst/>
        </a:prstGeom>
      </xdr:spPr>
    </xdr:pic>
    <xdr:clientData/>
  </xdr:oneCellAnchor>
  <xdr:oneCellAnchor>
    <xdr:from>
      <xdr:col>17</xdr:col>
      <xdr:colOff>352425</xdr:colOff>
      <xdr:row>138</xdr:row>
      <xdr:rowOff>0</xdr:rowOff>
    </xdr:from>
    <xdr:ext cx="409318" cy="504825"/>
    <xdr:pic>
      <xdr:nvPicPr>
        <xdr:cNvPr id="14" name="Image 13">
          <a:extLst>
            <a:ext uri="{FF2B5EF4-FFF2-40B4-BE49-F238E27FC236}">
              <a16:creationId xmlns:a16="http://schemas.microsoft.com/office/drawing/2014/main" id="{CCFF7554-61A1-47C7-B123-EDC15F52B72E}"/>
            </a:ext>
          </a:extLst>
        </xdr:cNvPr>
        <xdr:cNvPicPr>
          <a:picLocks noChangeAspect="1"/>
        </xdr:cNvPicPr>
      </xdr:nvPicPr>
      <xdr:blipFill>
        <a:blip xmlns:r="http://schemas.openxmlformats.org/officeDocument/2006/relationships" r:embed="rId1"/>
        <a:stretch>
          <a:fillRect/>
        </a:stretch>
      </xdr:blipFill>
      <xdr:spPr>
        <a:xfrm>
          <a:off x="13916025" y="30813375"/>
          <a:ext cx="409318" cy="504825"/>
        </a:xfrm>
        <a:prstGeom prst="rect">
          <a:avLst/>
        </a:prstGeom>
      </xdr:spPr>
    </xdr:pic>
    <xdr:clientData/>
  </xdr:oneCellAnchor>
  <xdr:oneCellAnchor>
    <xdr:from>
      <xdr:col>17</xdr:col>
      <xdr:colOff>257175</xdr:colOff>
      <xdr:row>251</xdr:row>
      <xdr:rowOff>123825</xdr:rowOff>
    </xdr:from>
    <xdr:ext cx="409318" cy="504825"/>
    <xdr:pic>
      <xdr:nvPicPr>
        <xdr:cNvPr id="15" name="Image 14">
          <a:extLst>
            <a:ext uri="{FF2B5EF4-FFF2-40B4-BE49-F238E27FC236}">
              <a16:creationId xmlns:a16="http://schemas.microsoft.com/office/drawing/2014/main" id="{DAE57A50-ABFC-4645-8BDE-797EC816B2AA}"/>
            </a:ext>
          </a:extLst>
        </xdr:cNvPr>
        <xdr:cNvPicPr>
          <a:picLocks noChangeAspect="1"/>
        </xdr:cNvPicPr>
      </xdr:nvPicPr>
      <xdr:blipFill>
        <a:blip xmlns:r="http://schemas.openxmlformats.org/officeDocument/2006/relationships" r:embed="rId1"/>
        <a:stretch>
          <a:fillRect/>
        </a:stretch>
      </xdr:blipFill>
      <xdr:spPr>
        <a:xfrm>
          <a:off x="13820775" y="55083075"/>
          <a:ext cx="409318" cy="504825"/>
        </a:xfrm>
        <a:prstGeom prst="rect">
          <a:avLst/>
        </a:prstGeom>
      </xdr:spPr>
    </xdr:pic>
    <xdr:clientData/>
  </xdr:oneCellAnchor>
  <xdr:oneCellAnchor>
    <xdr:from>
      <xdr:col>17</xdr:col>
      <xdr:colOff>285750</xdr:colOff>
      <xdr:row>271</xdr:row>
      <xdr:rowOff>133350</xdr:rowOff>
    </xdr:from>
    <xdr:ext cx="409318" cy="504825"/>
    <xdr:pic>
      <xdr:nvPicPr>
        <xdr:cNvPr id="16" name="Image 15">
          <a:extLst>
            <a:ext uri="{FF2B5EF4-FFF2-40B4-BE49-F238E27FC236}">
              <a16:creationId xmlns:a16="http://schemas.microsoft.com/office/drawing/2014/main" id="{7498C09F-CAEA-4CAC-B387-63A4628CD870}"/>
            </a:ext>
          </a:extLst>
        </xdr:cNvPr>
        <xdr:cNvPicPr>
          <a:picLocks noChangeAspect="1"/>
        </xdr:cNvPicPr>
      </xdr:nvPicPr>
      <xdr:blipFill>
        <a:blip xmlns:r="http://schemas.openxmlformats.org/officeDocument/2006/relationships" r:embed="rId1"/>
        <a:stretch>
          <a:fillRect/>
        </a:stretch>
      </xdr:blipFill>
      <xdr:spPr>
        <a:xfrm>
          <a:off x="13849350" y="59188350"/>
          <a:ext cx="409318" cy="504825"/>
        </a:xfrm>
        <a:prstGeom prst="rect">
          <a:avLst/>
        </a:prstGeom>
      </xdr:spPr>
    </xdr:pic>
    <xdr:clientData/>
  </xdr:oneCellAnchor>
  <xdr:oneCellAnchor>
    <xdr:from>
      <xdr:col>33</xdr:col>
      <xdr:colOff>152400</xdr:colOff>
      <xdr:row>72</xdr:row>
      <xdr:rowOff>19050</xdr:rowOff>
    </xdr:from>
    <xdr:ext cx="409318" cy="504825"/>
    <xdr:pic>
      <xdr:nvPicPr>
        <xdr:cNvPr id="17" name="Image 16">
          <a:extLst>
            <a:ext uri="{FF2B5EF4-FFF2-40B4-BE49-F238E27FC236}">
              <a16:creationId xmlns:a16="http://schemas.microsoft.com/office/drawing/2014/main" id="{63F04EA6-6005-4B41-861D-CE615C838FDC}"/>
            </a:ext>
          </a:extLst>
        </xdr:cNvPr>
        <xdr:cNvPicPr>
          <a:picLocks noChangeAspect="1"/>
        </xdr:cNvPicPr>
      </xdr:nvPicPr>
      <xdr:blipFill>
        <a:blip xmlns:r="http://schemas.openxmlformats.org/officeDocument/2006/relationships" r:embed="rId1"/>
        <a:stretch>
          <a:fillRect/>
        </a:stretch>
      </xdr:blipFill>
      <xdr:spPr>
        <a:xfrm>
          <a:off x="3962400" y="15078075"/>
          <a:ext cx="409318" cy="504825"/>
        </a:xfrm>
        <a:prstGeom prst="rect">
          <a:avLst/>
        </a:prstGeom>
      </xdr:spPr>
    </xdr:pic>
    <xdr:clientData/>
  </xdr:oneCellAnchor>
  <xdr:oneCellAnchor>
    <xdr:from>
      <xdr:col>33</xdr:col>
      <xdr:colOff>152400</xdr:colOff>
      <xdr:row>72</xdr:row>
      <xdr:rowOff>19050</xdr:rowOff>
    </xdr:from>
    <xdr:ext cx="409318" cy="504825"/>
    <xdr:pic>
      <xdr:nvPicPr>
        <xdr:cNvPr id="18" name="Image 17">
          <a:extLst>
            <a:ext uri="{FF2B5EF4-FFF2-40B4-BE49-F238E27FC236}">
              <a16:creationId xmlns:a16="http://schemas.microsoft.com/office/drawing/2014/main" id="{C3EF65BC-24E3-4709-9F54-72847EB9FBAF}"/>
            </a:ext>
          </a:extLst>
        </xdr:cNvPr>
        <xdr:cNvPicPr>
          <a:picLocks noChangeAspect="1"/>
        </xdr:cNvPicPr>
      </xdr:nvPicPr>
      <xdr:blipFill>
        <a:blip xmlns:r="http://schemas.openxmlformats.org/officeDocument/2006/relationships" r:embed="rId1"/>
        <a:stretch>
          <a:fillRect/>
        </a:stretch>
      </xdr:blipFill>
      <xdr:spPr>
        <a:xfrm>
          <a:off x="3962400" y="15078075"/>
          <a:ext cx="409318" cy="504825"/>
        </a:xfrm>
        <a:prstGeom prst="rect">
          <a:avLst/>
        </a:prstGeom>
      </xdr:spPr>
    </xdr:pic>
    <xdr:clientData/>
  </xdr:oneCellAnchor>
  <xdr:oneCellAnchor>
    <xdr:from>
      <xdr:col>33</xdr:col>
      <xdr:colOff>152400</xdr:colOff>
      <xdr:row>113</xdr:row>
      <xdr:rowOff>19050</xdr:rowOff>
    </xdr:from>
    <xdr:ext cx="409318" cy="504825"/>
    <xdr:pic>
      <xdr:nvPicPr>
        <xdr:cNvPr id="19" name="Image 18">
          <a:extLst>
            <a:ext uri="{FF2B5EF4-FFF2-40B4-BE49-F238E27FC236}">
              <a16:creationId xmlns:a16="http://schemas.microsoft.com/office/drawing/2014/main" id="{EEB5EF0F-5C47-4816-9BF0-D4E667F00245}"/>
            </a:ext>
          </a:extLst>
        </xdr:cNvPr>
        <xdr:cNvPicPr>
          <a:picLocks noChangeAspect="1"/>
        </xdr:cNvPicPr>
      </xdr:nvPicPr>
      <xdr:blipFill>
        <a:blip xmlns:r="http://schemas.openxmlformats.org/officeDocument/2006/relationships" r:embed="rId1"/>
        <a:stretch>
          <a:fillRect/>
        </a:stretch>
      </xdr:blipFill>
      <xdr:spPr>
        <a:xfrm>
          <a:off x="3962400" y="23202900"/>
          <a:ext cx="409318" cy="504825"/>
        </a:xfrm>
        <a:prstGeom prst="rect">
          <a:avLst/>
        </a:prstGeom>
      </xdr:spPr>
    </xdr:pic>
    <xdr:clientData/>
  </xdr:oneCellAnchor>
  <xdr:oneCellAnchor>
    <xdr:from>
      <xdr:col>33</xdr:col>
      <xdr:colOff>152400</xdr:colOff>
      <xdr:row>113</xdr:row>
      <xdr:rowOff>19050</xdr:rowOff>
    </xdr:from>
    <xdr:ext cx="409318" cy="504825"/>
    <xdr:pic>
      <xdr:nvPicPr>
        <xdr:cNvPr id="20" name="Image 19">
          <a:extLst>
            <a:ext uri="{FF2B5EF4-FFF2-40B4-BE49-F238E27FC236}">
              <a16:creationId xmlns:a16="http://schemas.microsoft.com/office/drawing/2014/main" id="{5C4D84CD-9888-40EF-B962-25DC2932AEFA}"/>
            </a:ext>
          </a:extLst>
        </xdr:cNvPr>
        <xdr:cNvPicPr>
          <a:picLocks noChangeAspect="1"/>
        </xdr:cNvPicPr>
      </xdr:nvPicPr>
      <xdr:blipFill>
        <a:blip xmlns:r="http://schemas.openxmlformats.org/officeDocument/2006/relationships" r:embed="rId1"/>
        <a:stretch>
          <a:fillRect/>
        </a:stretch>
      </xdr:blipFill>
      <xdr:spPr>
        <a:xfrm>
          <a:off x="3962400" y="23202900"/>
          <a:ext cx="409318" cy="504825"/>
        </a:xfrm>
        <a:prstGeom prst="rect">
          <a:avLst/>
        </a:prstGeom>
      </xdr:spPr>
    </xdr:pic>
    <xdr:clientData/>
  </xdr:oneCellAnchor>
  <xdr:oneCellAnchor>
    <xdr:from>
      <xdr:col>33</xdr:col>
      <xdr:colOff>152400</xdr:colOff>
      <xdr:row>175</xdr:row>
      <xdr:rowOff>19050</xdr:rowOff>
    </xdr:from>
    <xdr:ext cx="409318" cy="504825"/>
    <xdr:pic>
      <xdr:nvPicPr>
        <xdr:cNvPr id="21" name="Image 20">
          <a:extLst>
            <a:ext uri="{FF2B5EF4-FFF2-40B4-BE49-F238E27FC236}">
              <a16:creationId xmlns:a16="http://schemas.microsoft.com/office/drawing/2014/main" id="{23B9990A-BA2F-48D3-A167-B2FAD60C9FEB}"/>
            </a:ext>
          </a:extLst>
        </xdr:cNvPr>
        <xdr:cNvPicPr>
          <a:picLocks noChangeAspect="1"/>
        </xdr:cNvPicPr>
      </xdr:nvPicPr>
      <xdr:blipFill>
        <a:blip xmlns:r="http://schemas.openxmlformats.org/officeDocument/2006/relationships" r:embed="rId1"/>
        <a:stretch>
          <a:fillRect/>
        </a:stretch>
      </xdr:blipFill>
      <xdr:spPr>
        <a:xfrm>
          <a:off x="3962400" y="35861625"/>
          <a:ext cx="409318" cy="504825"/>
        </a:xfrm>
        <a:prstGeom prst="rect">
          <a:avLst/>
        </a:prstGeom>
      </xdr:spPr>
    </xdr:pic>
    <xdr:clientData/>
  </xdr:oneCellAnchor>
  <xdr:oneCellAnchor>
    <xdr:from>
      <xdr:col>33</xdr:col>
      <xdr:colOff>152400</xdr:colOff>
      <xdr:row>175</xdr:row>
      <xdr:rowOff>19050</xdr:rowOff>
    </xdr:from>
    <xdr:ext cx="409318" cy="504825"/>
    <xdr:pic>
      <xdr:nvPicPr>
        <xdr:cNvPr id="22" name="Image 21">
          <a:extLst>
            <a:ext uri="{FF2B5EF4-FFF2-40B4-BE49-F238E27FC236}">
              <a16:creationId xmlns:a16="http://schemas.microsoft.com/office/drawing/2014/main" id="{C61929B0-41CA-4F41-99CC-742777B6D21B}"/>
            </a:ext>
          </a:extLst>
        </xdr:cNvPr>
        <xdr:cNvPicPr>
          <a:picLocks noChangeAspect="1"/>
        </xdr:cNvPicPr>
      </xdr:nvPicPr>
      <xdr:blipFill>
        <a:blip xmlns:r="http://schemas.openxmlformats.org/officeDocument/2006/relationships" r:embed="rId1"/>
        <a:stretch>
          <a:fillRect/>
        </a:stretch>
      </xdr:blipFill>
      <xdr:spPr>
        <a:xfrm>
          <a:off x="3962400" y="35861625"/>
          <a:ext cx="409318" cy="504825"/>
        </a:xfrm>
        <a:prstGeom prst="rect">
          <a:avLst/>
        </a:prstGeom>
      </xdr:spPr>
    </xdr:pic>
    <xdr:clientData/>
  </xdr:oneCellAnchor>
  <xdr:oneCellAnchor>
    <xdr:from>
      <xdr:col>33</xdr:col>
      <xdr:colOff>152400</xdr:colOff>
      <xdr:row>192</xdr:row>
      <xdr:rowOff>19050</xdr:rowOff>
    </xdr:from>
    <xdr:ext cx="409318" cy="504825"/>
    <xdr:pic>
      <xdr:nvPicPr>
        <xdr:cNvPr id="23" name="Image 22">
          <a:extLst>
            <a:ext uri="{FF2B5EF4-FFF2-40B4-BE49-F238E27FC236}">
              <a16:creationId xmlns:a16="http://schemas.microsoft.com/office/drawing/2014/main" id="{005681A0-33EE-4094-8995-9A5FFA3ACE76}"/>
            </a:ext>
          </a:extLst>
        </xdr:cNvPr>
        <xdr:cNvPicPr>
          <a:picLocks noChangeAspect="1"/>
        </xdr:cNvPicPr>
      </xdr:nvPicPr>
      <xdr:blipFill>
        <a:blip xmlns:r="http://schemas.openxmlformats.org/officeDocument/2006/relationships" r:embed="rId1"/>
        <a:stretch>
          <a:fillRect/>
        </a:stretch>
      </xdr:blipFill>
      <xdr:spPr>
        <a:xfrm>
          <a:off x="3962400" y="39281100"/>
          <a:ext cx="409318" cy="504825"/>
        </a:xfrm>
        <a:prstGeom prst="rect">
          <a:avLst/>
        </a:prstGeom>
      </xdr:spPr>
    </xdr:pic>
    <xdr:clientData/>
  </xdr:oneCellAnchor>
  <xdr:oneCellAnchor>
    <xdr:from>
      <xdr:col>33</xdr:col>
      <xdr:colOff>152400</xdr:colOff>
      <xdr:row>192</xdr:row>
      <xdr:rowOff>19050</xdr:rowOff>
    </xdr:from>
    <xdr:ext cx="409318" cy="504825"/>
    <xdr:pic>
      <xdr:nvPicPr>
        <xdr:cNvPr id="24" name="Image 23">
          <a:extLst>
            <a:ext uri="{FF2B5EF4-FFF2-40B4-BE49-F238E27FC236}">
              <a16:creationId xmlns:a16="http://schemas.microsoft.com/office/drawing/2014/main" id="{5ECF612C-781F-4618-B43C-1B250A762F9F}"/>
            </a:ext>
          </a:extLst>
        </xdr:cNvPr>
        <xdr:cNvPicPr>
          <a:picLocks noChangeAspect="1"/>
        </xdr:cNvPicPr>
      </xdr:nvPicPr>
      <xdr:blipFill>
        <a:blip xmlns:r="http://schemas.openxmlformats.org/officeDocument/2006/relationships" r:embed="rId1"/>
        <a:stretch>
          <a:fillRect/>
        </a:stretch>
      </xdr:blipFill>
      <xdr:spPr>
        <a:xfrm>
          <a:off x="3962400" y="39281100"/>
          <a:ext cx="409318" cy="504825"/>
        </a:xfrm>
        <a:prstGeom prst="rect">
          <a:avLst/>
        </a:prstGeom>
      </xdr:spPr>
    </xdr:pic>
    <xdr:clientData/>
  </xdr:oneCellAnchor>
  <xdr:oneCellAnchor>
    <xdr:from>
      <xdr:col>48</xdr:col>
      <xdr:colOff>152400</xdr:colOff>
      <xdr:row>111</xdr:row>
      <xdr:rowOff>19050</xdr:rowOff>
    </xdr:from>
    <xdr:ext cx="409318" cy="504825"/>
    <xdr:pic>
      <xdr:nvPicPr>
        <xdr:cNvPr id="25" name="Image 24">
          <a:extLst>
            <a:ext uri="{FF2B5EF4-FFF2-40B4-BE49-F238E27FC236}">
              <a16:creationId xmlns:a16="http://schemas.microsoft.com/office/drawing/2014/main" id="{C004E0A3-0F46-44CC-8B69-89F979EA8B41}"/>
            </a:ext>
          </a:extLst>
        </xdr:cNvPr>
        <xdr:cNvPicPr>
          <a:picLocks noChangeAspect="1"/>
        </xdr:cNvPicPr>
      </xdr:nvPicPr>
      <xdr:blipFill>
        <a:blip xmlns:r="http://schemas.openxmlformats.org/officeDocument/2006/relationships" r:embed="rId1"/>
        <a:stretch>
          <a:fillRect/>
        </a:stretch>
      </xdr:blipFill>
      <xdr:spPr>
        <a:xfrm>
          <a:off x="3200400" y="23250525"/>
          <a:ext cx="409318" cy="504825"/>
        </a:xfrm>
        <a:prstGeom prst="rect">
          <a:avLst/>
        </a:prstGeom>
      </xdr:spPr>
    </xdr:pic>
    <xdr:clientData/>
  </xdr:oneCellAnchor>
  <xdr:oneCellAnchor>
    <xdr:from>
      <xdr:col>48</xdr:col>
      <xdr:colOff>152400</xdr:colOff>
      <xdr:row>111</xdr:row>
      <xdr:rowOff>19050</xdr:rowOff>
    </xdr:from>
    <xdr:ext cx="409318" cy="504825"/>
    <xdr:pic>
      <xdr:nvPicPr>
        <xdr:cNvPr id="26" name="Image 25">
          <a:extLst>
            <a:ext uri="{FF2B5EF4-FFF2-40B4-BE49-F238E27FC236}">
              <a16:creationId xmlns:a16="http://schemas.microsoft.com/office/drawing/2014/main" id="{BD81FA91-FD62-4BD3-A89A-E41362164109}"/>
            </a:ext>
          </a:extLst>
        </xdr:cNvPr>
        <xdr:cNvPicPr>
          <a:picLocks noChangeAspect="1"/>
        </xdr:cNvPicPr>
      </xdr:nvPicPr>
      <xdr:blipFill>
        <a:blip xmlns:r="http://schemas.openxmlformats.org/officeDocument/2006/relationships" r:embed="rId1"/>
        <a:stretch>
          <a:fillRect/>
        </a:stretch>
      </xdr:blipFill>
      <xdr:spPr>
        <a:xfrm>
          <a:off x="3200400" y="23250525"/>
          <a:ext cx="409318" cy="504825"/>
        </a:xfrm>
        <a:prstGeom prst="rect">
          <a:avLst/>
        </a:prstGeom>
      </xdr:spPr>
    </xdr:pic>
    <xdr:clientData/>
  </xdr:oneCellAnchor>
  <xdr:oneCellAnchor>
    <xdr:from>
      <xdr:col>48</xdr:col>
      <xdr:colOff>152400</xdr:colOff>
      <xdr:row>152</xdr:row>
      <xdr:rowOff>19050</xdr:rowOff>
    </xdr:from>
    <xdr:ext cx="409318" cy="504825"/>
    <xdr:pic>
      <xdr:nvPicPr>
        <xdr:cNvPr id="27" name="Image 26">
          <a:extLst>
            <a:ext uri="{FF2B5EF4-FFF2-40B4-BE49-F238E27FC236}">
              <a16:creationId xmlns:a16="http://schemas.microsoft.com/office/drawing/2014/main" id="{6EC446F2-8211-4251-A736-DFA3AF8EC133}"/>
            </a:ext>
          </a:extLst>
        </xdr:cNvPr>
        <xdr:cNvPicPr>
          <a:picLocks noChangeAspect="1"/>
        </xdr:cNvPicPr>
      </xdr:nvPicPr>
      <xdr:blipFill>
        <a:blip xmlns:r="http://schemas.openxmlformats.org/officeDocument/2006/relationships" r:embed="rId1"/>
        <a:stretch>
          <a:fillRect/>
        </a:stretch>
      </xdr:blipFill>
      <xdr:spPr>
        <a:xfrm>
          <a:off x="3200400" y="31375350"/>
          <a:ext cx="409318" cy="504825"/>
        </a:xfrm>
        <a:prstGeom prst="rect">
          <a:avLst/>
        </a:prstGeom>
      </xdr:spPr>
    </xdr:pic>
    <xdr:clientData/>
  </xdr:oneCellAnchor>
  <xdr:oneCellAnchor>
    <xdr:from>
      <xdr:col>48</xdr:col>
      <xdr:colOff>152400</xdr:colOff>
      <xdr:row>152</xdr:row>
      <xdr:rowOff>19050</xdr:rowOff>
    </xdr:from>
    <xdr:ext cx="409318" cy="504825"/>
    <xdr:pic>
      <xdr:nvPicPr>
        <xdr:cNvPr id="28" name="Image 27">
          <a:extLst>
            <a:ext uri="{FF2B5EF4-FFF2-40B4-BE49-F238E27FC236}">
              <a16:creationId xmlns:a16="http://schemas.microsoft.com/office/drawing/2014/main" id="{3D3E1886-5A4D-4DF4-9647-9C1CA4AB7B1E}"/>
            </a:ext>
          </a:extLst>
        </xdr:cNvPr>
        <xdr:cNvPicPr>
          <a:picLocks noChangeAspect="1"/>
        </xdr:cNvPicPr>
      </xdr:nvPicPr>
      <xdr:blipFill>
        <a:blip xmlns:r="http://schemas.openxmlformats.org/officeDocument/2006/relationships" r:embed="rId1"/>
        <a:stretch>
          <a:fillRect/>
        </a:stretch>
      </xdr:blipFill>
      <xdr:spPr>
        <a:xfrm>
          <a:off x="3200400" y="31375350"/>
          <a:ext cx="409318" cy="504825"/>
        </a:xfrm>
        <a:prstGeom prst="rect">
          <a:avLst/>
        </a:prstGeom>
      </xdr:spPr>
    </xdr:pic>
    <xdr:clientData/>
  </xdr:oneCellAnchor>
  <xdr:oneCellAnchor>
    <xdr:from>
      <xdr:col>48</xdr:col>
      <xdr:colOff>152400</xdr:colOff>
      <xdr:row>214</xdr:row>
      <xdr:rowOff>19050</xdr:rowOff>
    </xdr:from>
    <xdr:ext cx="409318" cy="504825"/>
    <xdr:pic>
      <xdr:nvPicPr>
        <xdr:cNvPr id="29" name="Image 28">
          <a:extLst>
            <a:ext uri="{FF2B5EF4-FFF2-40B4-BE49-F238E27FC236}">
              <a16:creationId xmlns:a16="http://schemas.microsoft.com/office/drawing/2014/main" id="{6E9B8516-1653-4B1F-971A-4E6C68E818AA}"/>
            </a:ext>
          </a:extLst>
        </xdr:cNvPr>
        <xdr:cNvPicPr>
          <a:picLocks noChangeAspect="1"/>
        </xdr:cNvPicPr>
      </xdr:nvPicPr>
      <xdr:blipFill>
        <a:blip xmlns:r="http://schemas.openxmlformats.org/officeDocument/2006/relationships" r:embed="rId1"/>
        <a:stretch>
          <a:fillRect/>
        </a:stretch>
      </xdr:blipFill>
      <xdr:spPr>
        <a:xfrm>
          <a:off x="3200400" y="44034075"/>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0" name="Image 29">
          <a:extLst>
            <a:ext uri="{FF2B5EF4-FFF2-40B4-BE49-F238E27FC236}">
              <a16:creationId xmlns:a16="http://schemas.microsoft.com/office/drawing/2014/main" id="{881A24FE-AB0E-4E6F-981A-0267AC769ADE}"/>
            </a:ext>
          </a:extLst>
        </xdr:cNvPr>
        <xdr:cNvPicPr>
          <a:picLocks noChangeAspect="1"/>
        </xdr:cNvPicPr>
      </xdr:nvPicPr>
      <xdr:blipFill>
        <a:blip xmlns:r="http://schemas.openxmlformats.org/officeDocument/2006/relationships" r:embed="rId1"/>
        <a:stretch>
          <a:fillRect/>
        </a:stretch>
      </xdr:blipFill>
      <xdr:spPr>
        <a:xfrm>
          <a:off x="3200400" y="44034075"/>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1" name="Image 30">
          <a:extLst>
            <a:ext uri="{FF2B5EF4-FFF2-40B4-BE49-F238E27FC236}">
              <a16:creationId xmlns:a16="http://schemas.microsoft.com/office/drawing/2014/main" id="{76ED2F61-BB76-4C3F-B581-2E08014D4ACF}"/>
            </a:ext>
          </a:extLst>
        </xdr:cNvPr>
        <xdr:cNvPicPr>
          <a:picLocks noChangeAspect="1"/>
        </xdr:cNvPicPr>
      </xdr:nvPicPr>
      <xdr:blipFill>
        <a:blip xmlns:r="http://schemas.openxmlformats.org/officeDocument/2006/relationships" r:embed="rId1"/>
        <a:stretch>
          <a:fillRect/>
        </a:stretch>
      </xdr:blipFill>
      <xdr:spPr>
        <a:xfrm>
          <a:off x="3200400" y="47453550"/>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2" name="Image 31">
          <a:extLst>
            <a:ext uri="{FF2B5EF4-FFF2-40B4-BE49-F238E27FC236}">
              <a16:creationId xmlns:a16="http://schemas.microsoft.com/office/drawing/2014/main" id="{68A8A0FF-B623-4917-A2F4-C465926A4F7E}"/>
            </a:ext>
          </a:extLst>
        </xdr:cNvPr>
        <xdr:cNvPicPr>
          <a:picLocks noChangeAspect="1"/>
        </xdr:cNvPicPr>
      </xdr:nvPicPr>
      <xdr:blipFill>
        <a:blip xmlns:r="http://schemas.openxmlformats.org/officeDocument/2006/relationships" r:embed="rId1"/>
        <a:stretch>
          <a:fillRect/>
        </a:stretch>
      </xdr:blipFill>
      <xdr:spPr>
        <a:xfrm>
          <a:off x="3200400" y="47453550"/>
          <a:ext cx="409318" cy="504825"/>
        </a:xfrm>
        <a:prstGeom prst="rect">
          <a:avLst/>
        </a:prstGeom>
      </xdr:spPr>
    </xdr:pic>
    <xdr:clientData/>
  </xdr:oneCellAnchor>
  <xdr:oneCellAnchor>
    <xdr:from>
      <xdr:col>48</xdr:col>
      <xdr:colOff>152400</xdr:colOff>
      <xdr:row>111</xdr:row>
      <xdr:rowOff>19050</xdr:rowOff>
    </xdr:from>
    <xdr:ext cx="409318" cy="504825"/>
    <xdr:pic>
      <xdr:nvPicPr>
        <xdr:cNvPr id="33" name="Image 32">
          <a:extLst>
            <a:ext uri="{FF2B5EF4-FFF2-40B4-BE49-F238E27FC236}">
              <a16:creationId xmlns:a16="http://schemas.microsoft.com/office/drawing/2014/main" id="{DDAB3410-43CE-4677-BBAA-26CCC428C885}"/>
            </a:ext>
          </a:extLst>
        </xdr:cNvPr>
        <xdr:cNvPicPr>
          <a:picLocks noChangeAspect="1"/>
        </xdr:cNvPicPr>
      </xdr:nvPicPr>
      <xdr:blipFill>
        <a:blip xmlns:r="http://schemas.openxmlformats.org/officeDocument/2006/relationships" r:embed="rId1"/>
        <a:stretch>
          <a:fillRect/>
        </a:stretch>
      </xdr:blipFill>
      <xdr:spPr>
        <a:xfrm>
          <a:off x="4724400" y="23250525"/>
          <a:ext cx="409318" cy="504825"/>
        </a:xfrm>
        <a:prstGeom prst="rect">
          <a:avLst/>
        </a:prstGeom>
      </xdr:spPr>
    </xdr:pic>
    <xdr:clientData/>
  </xdr:oneCellAnchor>
  <xdr:oneCellAnchor>
    <xdr:from>
      <xdr:col>48</xdr:col>
      <xdr:colOff>152400</xdr:colOff>
      <xdr:row>111</xdr:row>
      <xdr:rowOff>19050</xdr:rowOff>
    </xdr:from>
    <xdr:ext cx="409318" cy="504825"/>
    <xdr:pic>
      <xdr:nvPicPr>
        <xdr:cNvPr id="34" name="Image 33">
          <a:extLst>
            <a:ext uri="{FF2B5EF4-FFF2-40B4-BE49-F238E27FC236}">
              <a16:creationId xmlns:a16="http://schemas.microsoft.com/office/drawing/2014/main" id="{B55DA349-BDC8-4CED-AAFC-3728187B2D0E}"/>
            </a:ext>
          </a:extLst>
        </xdr:cNvPr>
        <xdr:cNvPicPr>
          <a:picLocks noChangeAspect="1"/>
        </xdr:cNvPicPr>
      </xdr:nvPicPr>
      <xdr:blipFill>
        <a:blip xmlns:r="http://schemas.openxmlformats.org/officeDocument/2006/relationships" r:embed="rId1"/>
        <a:stretch>
          <a:fillRect/>
        </a:stretch>
      </xdr:blipFill>
      <xdr:spPr>
        <a:xfrm>
          <a:off x="4724400" y="23250525"/>
          <a:ext cx="409318" cy="504825"/>
        </a:xfrm>
        <a:prstGeom prst="rect">
          <a:avLst/>
        </a:prstGeom>
      </xdr:spPr>
    </xdr:pic>
    <xdr:clientData/>
  </xdr:oneCellAnchor>
  <xdr:oneCellAnchor>
    <xdr:from>
      <xdr:col>48</xdr:col>
      <xdr:colOff>152400</xdr:colOff>
      <xdr:row>152</xdr:row>
      <xdr:rowOff>19050</xdr:rowOff>
    </xdr:from>
    <xdr:ext cx="409318" cy="504825"/>
    <xdr:pic>
      <xdr:nvPicPr>
        <xdr:cNvPr id="35" name="Image 34">
          <a:extLst>
            <a:ext uri="{FF2B5EF4-FFF2-40B4-BE49-F238E27FC236}">
              <a16:creationId xmlns:a16="http://schemas.microsoft.com/office/drawing/2014/main" id="{63133912-97D4-46AA-BADD-FD7ECB491F74}"/>
            </a:ext>
          </a:extLst>
        </xdr:cNvPr>
        <xdr:cNvPicPr>
          <a:picLocks noChangeAspect="1"/>
        </xdr:cNvPicPr>
      </xdr:nvPicPr>
      <xdr:blipFill>
        <a:blip xmlns:r="http://schemas.openxmlformats.org/officeDocument/2006/relationships" r:embed="rId1"/>
        <a:stretch>
          <a:fillRect/>
        </a:stretch>
      </xdr:blipFill>
      <xdr:spPr>
        <a:xfrm>
          <a:off x="4724400" y="31375350"/>
          <a:ext cx="409318" cy="504825"/>
        </a:xfrm>
        <a:prstGeom prst="rect">
          <a:avLst/>
        </a:prstGeom>
      </xdr:spPr>
    </xdr:pic>
    <xdr:clientData/>
  </xdr:oneCellAnchor>
  <xdr:oneCellAnchor>
    <xdr:from>
      <xdr:col>48</xdr:col>
      <xdr:colOff>152400</xdr:colOff>
      <xdr:row>152</xdr:row>
      <xdr:rowOff>19050</xdr:rowOff>
    </xdr:from>
    <xdr:ext cx="409318" cy="504825"/>
    <xdr:pic>
      <xdr:nvPicPr>
        <xdr:cNvPr id="36" name="Image 35">
          <a:extLst>
            <a:ext uri="{FF2B5EF4-FFF2-40B4-BE49-F238E27FC236}">
              <a16:creationId xmlns:a16="http://schemas.microsoft.com/office/drawing/2014/main" id="{B6F6A2FE-0179-482B-B89A-B349593C8E31}"/>
            </a:ext>
          </a:extLst>
        </xdr:cNvPr>
        <xdr:cNvPicPr>
          <a:picLocks noChangeAspect="1"/>
        </xdr:cNvPicPr>
      </xdr:nvPicPr>
      <xdr:blipFill>
        <a:blip xmlns:r="http://schemas.openxmlformats.org/officeDocument/2006/relationships" r:embed="rId1"/>
        <a:stretch>
          <a:fillRect/>
        </a:stretch>
      </xdr:blipFill>
      <xdr:spPr>
        <a:xfrm>
          <a:off x="4724400" y="31375350"/>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7" name="Image 36">
          <a:extLst>
            <a:ext uri="{FF2B5EF4-FFF2-40B4-BE49-F238E27FC236}">
              <a16:creationId xmlns:a16="http://schemas.microsoft.com/office/drawing/2014/main" id="{A940B0AB-731C-41E5-BF8A-DD279CF9A493}"/>
            </a:ext>
          </a:extLst>
        </xdr:cNvPr>
        <xdr:cNvPicPr>
          <a:picLocks noChangeAspect="1"/>
        </xdr:cNvPicPr>
      </xdr:nvPicPr>
      <xdr:blipFill>
        <a:blip xmlns:r="http://schemas.openxmlformats.org/officeDocument/2006/relationships" r:embed="rId1"/>
        <a:stretch>
          <a:fillRect/>
        </a:stretch>
      </xdr:blipFill>
      <xdr:spPr>
        <a:xfrm>
          <a:off x="4724400" y="44034075"/>
          <a:ext cx="409318" cy="504825"/>
        </a:xfrm>
        <a:prstGeom prst="rect">
          <a:avLst/>
        </a:prstGeom>
      </xdr:spPr>
    </xdr:pic>
    <xdr:clientData/>
  </xdr:oneCellAnchor>
  <xdr:oneCellAnchor>
    <xdr:from>
      <xdr:col>48</xdr:col>
      <xdr:colOff>152400</xdr:colOff>
      <xdr:row>214</xdr:row>
      <xdr:rowOff>19050</xdr:rowOff>
    </xdr:from>
    <xdr:ext cx="409318" cy="504825"/>
    <xdr:pic>
      <xdr:nvPicPr>
        <xdr:cNvPr id="38" name="Image 37">
          <a:extLst>
            <a:ext uri="{FF2B5EF4-FFF2-40B4-BE49-F238E27FC236}">
              <a16:creationId xmlns:a16="http://schemas.microsoft.com/office/drawing/2014/main" id="{0118CAFF-2A3F-4C7F-9B64-5FCB79E84150}"/>
            </a:ext>
          </a:extLst>
        </xdr:cNvPr>
        <xdr:cNvPicPr>
          <a:picLocks noChangeAspect="1"/>
        </xdr:cNvPicPr>
      </xdr:nvPicPr>
      <xdr:blipFill>
        <a:blip xmlns:r="http://schemas.openxmlformats.org/officeDocument/2006/relationships" r:embed="rId1"/>
        <a:stretch>
          <a:fillRect/>
        </a:stretch>
      </xdr:blipFill>
      <xdr:spPr>
        <a:xfrm>
          <a:off x="4724400" y="44034075"/>
          <a:ext cx="409318" cy="504825"/>
        </a:xfrm>
        <a:prstGeom prst="rect">
          <a:avLst/>
        </a:prstGeom>
      </xdr:spPr>
    </xdr:pic>
    <xdr:clientData/>
  </xdr:oneCellAnchor>
  <xdr:oneCellAnchor>
    <xdr:from>
      <xdr:col>48</xdr:col>
      <xdr:colOff>152400</xdr:colOff>
      <xdr:row>231</xdr:row>
      <xdr:rowOff>19050</xdr:rowOff>
    </xdr:from>
    <xdr:ext cx="409318" cy="504825"/>
    <xdr:pic>
      <xdr:nvPicPr>
        <xdr:cNvPr id="39" name="Image 38">
          <a:extLst>
            <a:ext uri="{FF2B5EF4-FFF2-40B4-BE49-F238E27FC236}">
              <a16:creationId xmlns:a16="http://schemas.microsoft.com/office/drawing/2014/main" id="{B2552115-A978-4BBA-A248-F8B7C01E3DCC}"/>
            </a:ext>
          </a:extLst>
        </xdr:cNvPr>
        <xdr:cNvPicPr>
          <a:picLocks noChangeAspect="1"/>
        </xdr:cNvPicPr>
      </xdr:nvPicPr>
      <xdr:blipFill>
        <a:blip xmlns:r="http://schemas.openxmlformats.org/officeDocument/2006/relationships" r:embed="rId1"/>
        <a:stretch>
          <a:fillRect/>
        </a:stretch>
      </xdr:blipFill>
      <xdr:spPr>
        <a:xfrm>
          <a:off x="4724400" y="47453550"/>
          <a:ext cx="409318" cy="504825"/>
        </a:xfrm>
        <a:prstGeom prst="rect">
          <a:avLst/>
        </a:prstGeom>
      </xdr:spPr>
    </xdr:pic>
    <xdr:clientData/>
  </xdr:oneCellAnchor>
  <xdr:oneCellAnchor>
    <xdr:from>
      <xdr:col>48</xdr:col>
      <xdr:colOff>152400</xdr:colOff>
      <xdr:row>231</xdr:row>
      <xdr:rowOff>19050</xdr:rowOff>
    </xdr:from>
    <xdr:ext cx="409318" cy="504825"/>
    <xdr:pic>
      <xdr:nvPicPr>
        <xdr:cNvPr id="40" name="Image 39">
          <a:extLst>
            <a:ext uri="{FF2B5EF4-FFF2-40B4-BE49-F238E27FC236}">
              <a16:creationId xmlns:a16="http://schemas.microsoft.com/office/drawing/2014/main" id="{33825729-A7E9-43B3-90F6-532EFCE15CD8}"/>
            </a:ext>
          </a:extLst>
        </xdr:cNvPr>
        <xdr:cNvPicPr>
          <a:picLocks noChangeAspect="1"/>
        </xdr:cNvPicPr>
      </xdr:nvPicPr>
      <xdr:blipFill>
        <a:blip xmlns:r="http://schemas.openxmlformats.org/officeDocument/2006/relationships" r:embed="rId1"/>
        <a:stretch>
          <a:fillRect/>
        </a:stretch>
      </xdr:blipFill>
      <xdr:spPr>
        <a:xfrm>
          <a:off x="4724400" y="47453550"/>
          <a:ext cx="409318" cy="5048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26</xdr:col>
      <xdr:colOff>323850</xdr:colOff>
      <xdr:row>23</xdr:row>
      <xdr:rowOff>0</xdr:rowOff>
    </xdr:from>
    <xdr:to>
      <xdr:col>26</xdr:col>
      <xdr:colOff>323850</xdr:colOff>
      <xdr:row>23</xdr:row>
      <xdr:rowOff>0</xdr:rowOff>
    </xdr:to>
    <xdr:sp macro="" textlink="">
      <xdr:nvSpPr>
        <xdr:cNvPr id="2" name="Line 7">
          <a:extLst>
            <a:ext uri="{FF2B5EF4-FFF2-40B4-BE49-F238E27FC236}">
              <a16:creationId xmlns:a16="http://schemas.microsoft.com/office/drawing/2014/main" id="{3C5BFAE0-9D7E-4530-8A81-BAEE8017AE77}"/>
            </a:ext>
          </a:extLst>
        </xdr:cNvPr>
        <xdr:cNvSpPr>
          <a:spLocks noChangeShapeType="1"/>
        </xdr:cNvSpPr>
      </xdr:nvSpPr>
      <xdr:spPr bwMode="auto">
        <a:xfrm>
          <a:off x="2727960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4C8A06A1-B59B-4B38-8743-44069C7C06AE}"/>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A0B377F0-E823-4617-A990-CF7F3763C2C7}"/>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64E1797B-1746-4D0D-A3E3-0BB667DB5DE6}"/>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CF05A8DE-05DC-4CD3-8812-91C87743241E}"/>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2C54AA53-0B56-43FE-92E6-2D3AAA549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408747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9CF643EE-9FDB-4EF3-AD1C-CF71D3188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4325600"/>
          <a:ext cx="2600688" cy="168616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66675</xdr:colOff>
      <xdr:row>143</xdr:row>
      <xdr:rowOff>47625</xdr:rowOff>
    </xdr:from>
    <xdr:ext cx="3362325" cy="1562100"/>
    <xdr:pic>
      <xdr:nvPicPr>
        <xdr:cNvPr id="2" name="Image 1" descr="Résultats de pourcentage dans la colonne D">
          <a:extLst>
            <a:ext uri="{FF2B5EF4-FFF2-40B4-BE49-F238E27FC236}">
              <a16:creationId xmlns:a16="http://schemas.microsoft.com/office/drawing/2014/main" id="{062F50AB-11FA-445B-A163-37AB4972B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3088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D49540F0-73C1-48A1-BAAE-F67B912673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449925"/>
          <a:ext cx="8316486" cy="187668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10</xdr:col>
      <xdr:colOff>292100</xdr:colOff>
      <xdr:row>207</xdr:row>
      <xdr:rowOff>25400</xdr:rowOff>
    </xdr:from>
    <xdr:ext cx="2781300" cy="546423"/>
    <xdr:pic>
      <xdr:nvPicPr>
        <xdr:cNvPr id="2" name="Image 1">
          <a:extLst>
            <a:ext uri="{FF2B5EF4-FFF2-40B4-BE49-F238E27FC236}">
              <a16:creationId xmlns:a16="http://schemas.microsoft.com/office/drawing/2014/main" id="{B2425364-9367-4849-BF51-2230EA294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79300" y="93008450"/>
          <a:ext cx="2781300" cy="546423"/>
        </a:xfrm>
        <a:prstGeom prst="rect">
          <a:avLst/>
        </a:prstGeom>
      </xdr:spPr>
    </xdr:pic>
    <xdr:clientData/>
  </xdr:oneCellAnchor>
  <xdr:oneCellAnchor>
    <xdr:from>
      <xdr:col>10</xdr:col>
      <xdr:colOff>676275</xdr:colOff>
      <xdr:row>209</xdr:row>
      <xdr:rowOff>104775</xdr:rowOff>
    </xdr:from>
    <xdr:ext cx="504895" cy="498545"/>
    <xdr:pic>
      <xdr:nvPicPr>
        <xdr:cNvPr id="3" name="Image 2">
          <a:extLst>
            <a:ext uri="{FF2B5EF4-FFF2-40B4-BE49-F238E27FC236}">
              <a16:creationId xmlns:a16="http://schemas.microsoft.com/office/drawing/2014/main" id="{2954510B-F14C-4CF8-8F80-BE1CDFEEC9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3475" y="93773625"/>
          <a:ext cx="504895" cy="498545"/>
        </a:xfrm>
        <a:prstGeom prst="rect">
          <a:avLst/>
        </a:prstGeom>
      </xdr:spPr>
    </xdr:pic>
    <xdr:clientData/>
  </xdr:oneCellAnchor>
  <xdr:oneCellAnchor>
    <xdr:from>
      <xdr:col>10</xdr:col>
      <xdr:colOff>0</xdr:colOff>
      <xdr:row>209</xdr:row>
      <xdr:rowOff>120650</xdr:rowOff>
    </xdr:from>
    <xdr:ext cx="514422" cy="479493"/>
    <xdr:pic>
      <xdr:nvPicPr>
        <xdr:cNvPr id="4" name="Image 3">
          <a:extLst>
            <a:ext uri="{FF2B5EF4-FFF2-40B4-BE49-F238E27FC236}">
              <a16:creationId xmlns:a16="http://schemas.microsoft.com/office/drawing/2014/main" id="{92531239-E3B4-49F3-970C-01444CCE1E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87200" y="93789500"/>
          <a:ext cx="514422" cy="479493"/>
        </a:xfrm>
        <a:prstGeom prst="rect">
          <a:avLst/>
        </a:prstGeom>
      </xdr:spPr>
    </xdr:pic>
    <xdr:clientData/>
  </xdr:oneCellAnchor>
  <xdr:oneCellAnchor>
    <xdr:from>
      <xdr:col>10</xdr:col>
      <xdr:colOff>752475</xdr:colOff>
      <xdr:row>212</xdr:row>
      <xdr:rowOff>57150</xdr:rowOff>
    </xdr:from>
    <xdr:ext cx="514422" cy="543001"/>
    <xdr:pic>
      <xdr:nvPicPr>
        <xdr:cNvPr id="5" name="Image 4">
          <a:extLst>
            <a:ext uri="{FF2B5EF4-FFF2-40B4-BE49-F238E27FC236}">
              <a16:creationId xmlns:a16="http://schemas.microsoft.com/office/drawing/2014/main" id="{9CE5C40B-EAFA-403F-BCD8-E36A338216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39675" y="94754700"/>
          <a:ext cx="514422" cy="543001"/>
        </a:xfrm>
        <a:prstGeom prst="rect">
          <a:avLst/>
        </a:prstGeom>
      </xdr:spPr>
    </xdr:pic>
    <xdr:clientData/>
  </xdr:oneCellAnchor>
  <xdr:oneCellAnchor>
    <xdr:from>
      <xdr:col>10</xdr:col>
      <xdr:colOff>19050</xdr:colOff>
      <xdr:row>212</xdr:row>
      <xdr:rowOff>76200</xdr:rowOff>
    </xdr:from>
    <xdr:ext cx="523948" cy="523948"/>
    <xdr:pic>
      <xdr:nvPicPr>
        <xdr:cNvPr id="6" name="Image 5">
          <a:extLst>
            <a:ext uri="{FF2B5EF4-FFF2-40B4-BE49-F238E27FC236}">
              <a16:creationId xmlns:a16="http://schemas.microsoft.com/office/drawing/2014/main" id="{8DE9FA7F-8B33-4F42-83C5-2F6B9638B6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906250" y="94773750"/>
          <a:ext cx="523948" cy="523948"/>
        </a:xfrm>
        <a:prstGeom prst="rect">
          <a:avLst/>
        </a:prstGeom>
      </xdr:spPr>
    </xdr:pic>
    <xdr:clientData/>
  </xdr:oneCellAnchor>
  <xdr:oneCellAnchor>
    <xdr:from>
      <xdr:col>12</xdr:col>
      <xdr:colOff>12700</xdr:colOff>
      <xdr:row>209</xdr:row>
      <xdr:rowOff>88900</xdr:rowOff>
    </xdr:from>
    <xdr:ext cx="514422" cy="555703"/>
    <xdr:pic>
      <xdr:nvPicPr>
        <xdr:cNvPr id="7" name="Image 6">
          <a:extLst>
            <a:ext uri="{FF2B5EF4-FFF2-40B4-BE49-F238E27FC236}">
              <a16:creationId xmlns:a16="http://schemas.microsoft.com/office/drawing/2014/main" id="{E2658932-5B28-4848-A426-7F41BDA2B3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04875" y="93757750"/>
          <a:ext cx="514422" cy="555703"/>
        </a:xfrm>
        <a:prstGeom prst="rect">
          <a:avLst/>
        </a:prstGeom>
      </xdr:spPr>
    </xdr:pic>
    <xdr:clientData/>
  </xdr:oneCellAnchor>
  <xdr:oneCellAnchor>
    <xdr:from>
      <xdr:col>10</xdr:col>
      <xdr:colOff>1485900</xdr:colOff>
      <xdr:row>212</xdr:row>
      <xdr:rowOff>9525</xdr:rowOff>
    </xdr:from>
    <xdr:ext cx="504895" cy="552527"/>
    <xdr:pic>
      <xdr:nvPicPr>
        <xdr:cNvPr id="8" name="Image 7">
          <a:extLst>
            <a:ext uri="{FF2B5EF4-FFF2-40B4-BE49-F238E27FC236}">
              <a16:creationId xmlns:a16="http://schemas.microsoft.com/office/drawing/2014/main" id="{A45460E4-2815-43B0-8659-4781FC7681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77800" y="94707075"/>
          <a:ext cx="504895" cy="552527"/>
        </a:xfrm>
        <a:prstGeom prst="rect">
          <a:avLst/>
        </a:prstGeom>
      </xdr:spPr>
    </xdr:pic>
    <xdr:clientData/>
  </xdr:oneCellAnchor>
  <xdr:oneCellAnchor>
    <xdr:from>
      <xdr:col>14</xdr:col>
      <xdr:colOff>355600</xdr:colOff>
      <xdr:row>209</xdr:row>
      <xdr:rowOff>282575</xdr:rowOff>
    </xdr:from>
    <xdr:ext cx="533474" cy="517598"/>
    <xdr:pic>
      <xdr:nvPicPr>
        <xdr:cNvPr id="9" name="Image 8">
          <a:extLst>
            <a:ext uri="{FF2B5EF4-FFF2-40B4-BE49-F238E27FC236}">
              <a16:creationId xmlns:a16="http://schemas.microsoft.com/office/drawing/2014/main" id="{60877090-685C-4E1A-A04C-4BE094B3C69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376525" y="93951425"/>
          <a:ext cx="533474" cy="517598"/>
        </a:xfrm>
        <a:prstGeom prst="rect">
          <a:avLst/>
        </a:prstGeom>
      </xdr:spPr>
    </xdr:pic>
    <xdr:clientData/>
  </xdr:oneCellAnchor>
  <xdr:oneCellAnchor>
    <xdr:from>
      <xdr:col>14</xdr:col>
      <xdr:colOff>330200</xdr:colOff>
      <xdr:row>207</xdr:row>
      <xdr:rowOff>63500</xdr:rowOff>
    </xdr:from>
    <xdr:ext cx="514422" cy="527124"/>
    <xdr:pic>
      <xdr:nvPicPr>
        <xdr:cNvPr id="10" name="Image 9">
          <a:extLst>
            <a:ext uri="{FF2B5EF4-FFF2-40B4-BE49-F238E27FC236}">
              <a16:creationId xmlns:a16="http://schemas.microsoft.com/office/drawing/2014/main" id="{727F5DBD-7AD6-4A89-B188-5DA41DF29CC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351125" y="93046550"/>
          <a:ext cx="514422" cy="527124"/>
        </a:xfrm>
        <a:prstGeom prst="rect">
          <a:avLst/>
        </a:prstGeom>
      </xdr:spPr>
    </xdr:pic>
    <xdr:clientData/>
  </xdr:oneCellAnchor>
  <xdr:oneCellAnchor>
    <xdr:from>
      <xdr:col>13</xdr:col>
      <xdr:colOff>82550</xdr:colOff>
      <xdr:row>209</xdr:row>
      <xdr:rowOff>244475</xdr:rowOff>
    </xdr:from>
    <xdr:ext cx="504895" cy="498545"/>
    <xdr:pic>
      <xdr:nvPicPr>
        <xdr:cNvPr id="11" name="Image 10">
          <a:extLst>
            <a:ext uri="{FF2B5EF4-FFF2-40B4-BE49-F238E27FC236}">
              <a16:creationId xmlns:a16="http://schemas.microsoft.com/office/drawing/2014/main" id="{422450EC-361C-4E04-9724-2C524077E28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89100" y="93913325"/>
          <a:ext cx="504895" cy="498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88</xdr:col>
      <xdr:colOff>1200150</xdr:colOff>
      <xdr:row>4</xdr:row>
      <xdr:rowOff>161925</xdr:rowOff>
    </xdr:from>
    <xdr:to>
      <xdr:col>88</xdr:col>
      <xdr:colOff>1906681</xdr:colOff>
      <xdr:row>6</xdr:row>
      <xdr:rowOff>123825</xdr:rowOff>
    </xdr:to>
    <xdr:pic>
      <xdr:nvPicPr>
        <xdr:cNvPr id="2" name="Image 1">
          <a:extLst>
            <a:ext uri="{FF2B5EF4-FFF2-40B4-BE49-F238E27FC236}">
              <a16:creationId xmlns:a16="http://schemas.microsoft.com/office/drawing/2014/main" id="{707FC16F-4021-43BC-8F39-339E500FDEF3}"/>
            </a:ext>
          </a:extLst>
        </xdr:cNvPr>
        <xdr:cNvPicPr>
          <a:picLocks noChangeAspect="1"/>
        </xdr:cNvPicPr>
      </xdr:nvPicPr>
      <xdr:blipFill>
        <a:blip xmlns:r="http://schemas.openxmlformats.org/officeDocument/2006/relationships" r:embed="rId1"/>
        <a:stretch>
          <a:fillRect/>
        </a:stretch>
      </xdr:blipFill>
      <xdr:spPr>
        <a:xfrm>
          <a:off x="78524100" y="1257300"/>
          <a:ext cx="706531" cy="495300"/>
        </a:xfrm>
        <a:prstGeom prst="rect">
          <a:avLst/>
        </a:prstGeom>
      </xdr:spPr>
    </xdr:pic>
    <xdr:clientData/>
  </xdr:twoCellAnchor>
  <xdr:twoCellAnchor editAs="oneCell">
    <xdr:from>
      <xdr:col>96</xdr:col>
      <xdr:colOff>1333500</xdr:colOff>
      <xdr:row>4</xdr:row>
      <xdr:rowOff>133350</xdr:rowOff>
    </xdr:from>
    <xdr:to>
      <xdr:col>96</xdr:col>
      <xdr:colOff>2353541</xdr:colOff>
      <xdr:row>6</xdr:row>
      <xdr:rowOff>190500</xdr:rowOff>
    </xdr:to>
    <xdr:pic>
      <xdr:nvPicPr>
        <xdr:cNvPr id="3" name="Image 2">
          <a:extLst>
            <a:ext uri="{FF2B5EF4-FFF2-40B4-BE49-F238E27FC236}">
              <a16:creationId xmlns:a16="http://schemas.microsoft.com/office/drawing/2014/main" id="{7746935B-D168-4231-ACB1-0A2186F55D15}"/>
            </a:ext>
          </a:extLst>
        </xdr:cNvPr>
        <xdr:cNvPicPr>
          <a:picLocks noChangeAspect="1"/>
        </xdr:cNvPicPr>
      </xdr:nvPicPr>
      <xdr:blipFill>
        <a:blip xmlns:r="http://schemas.openxmlformats.org/officeDocument/2006/relationships" r:embed="rId2"/>
        <a:stretch>
          <a:fillRect/>
        </a:stretch>
      </xdr:blipFill>
      <xdr:spPr>
        <a:xfrm>
          <a:off x="88020525" y="1228725"/>
          <a:ext cx="1020041" cy="590550"/>
        </a:xfrm>
        <a:prstGeom prst="rect">
          <a:avLst/>
        </a:prstGeom>
      </xdr:spPr>
    </xdr:pic>
    <xdr:clientData/>
  </xdr:twoCellAnchor>
  <xdr:twoCellAnchor editAs="oneCell">
    <xdr:from>
      <xdr:col>104</xdr:col>
      <xdr:colOff>1447800</xdr:colOff>
      <xdr:row>4</xdr:row>
      <xdr:rowOff>161925</xdr:rowOff>
    </xdr:from>
    <xdr:to>
      <xdr:col>104</xdr:col>
      <xdr:colOff>2511283</xdr:colOff>
      <xdr:row>6</xdr:row>
      <xdr:rowOff>209550</xdr:rowOff>
    </xdr:to>
    <xdr:pic>
      <xdr:nvPicPr>
        <xdr:cNvPr id="4" name="Image 3">
          <a:extLst>
            <a:ext uri="{FF2B5EF4-FFF2-40B4-BE49-F238E27FC236}">
              <a16:creationId xmlns:a16="http://schemas.microsoft.com/office/drawing/2014/main" id="{6EB8225C-9CDB-4E67-A0EF-946E26DACC8B}"/>
            </a:ext>
          </a:extLst>
        </xdr:cNvPr>
        <xdr:cNvPicPr>
          <a:picLocks noChangeAspect="1"/>
        </xdr:cNvPicPr>
      </xdr:nvPicPr>
      <xdr:blipFill>
        <a:blip xmlns:r="http://schemas.openxmlformats.org/officeDocument/2006/relationships" r:embed="rId3"/>
        <a:stretch>
          <a:fillRect/>
        </a:stretch>
      </xdr:blipFill>
      <xdr:spPr>
        <a:xfrm>
          <a:off x="97497900" y="1257300"/>
          <a:ext cx="1063483" cy="581025"/>
        </a:xfrm>
        <a:prstGeom prst="rect">
          <a:avLst/>
        </a:prstGeom>
      </xdr:spPr>
    </xdr:pic>
    <xdr:clientData/>
  </xdr:twoCellAnchor>
  <xdr:oneCellAnchor>
    <xdr:from>
      <xdr:col>88</xdr:col>
      <xdr:colOff>1447800</xdr:colOff>
      <xdr:row>13</xdr:row>
      <xdr:rowOff>171450</xdr:rowOff>
    </xdr:from>
    <xdr:ext cx="571500" cy="571500"/>
    <xdr:pic>
      <xdr:nvPicPr>
        <xdr:cNvPr id="5" name="Image 4">
          <a:extLst>
            <a:ext uri="{FF2B5EF4-FFF2-40B4-BE49-F238E27FC236}">
              <a16:creationId xmlns:a16="http://schemas.microsoft.com/office/drawing/2014/main" id="{1D6C4ACF-9773-402D-A731-0240D1855CBA}"/>
            </a:ext>
          </a:extLst>
        </xdr:cNvPr>
        <xdr:cNvPicPr>
          <a:picLocks noChangeAspect="1"/>
        </xdr:cNvPicPr>
      </xdr:nvPicPr>
      <xdr:blipFill>
        <a:blip xmlns:r="http://schemas.openxmlformats.org/officeDocument/2006/relationships" r:embed="rId4"/>
        <a:stretch>
          <a:fillRect/>
        </a:stretch>
      </xdr:blipFill>
      <xdr:spPr>
        <a:xfrm>
          <a:off x="78771750" y="3667125"/>
          <a:ext cx="571500" cy="571500"/>
        </a:xfrm>
        <a:prstGeom prst="rect">
          <a:avLst/>
        </a:prstGeom>
      </xdr:spPr>
    </xdr:pic>
    <xdr:clientData/>
  </xdr:oneCellAnchor>
  <xdr:oneCellAnchor>
    <xdr:from>
      <xdr:col>96</xdr:col>
      <xdr:colOff>1419225</xdr:colOff>
      <xdr:row>13</xdr:row>
      <xdr:rowOff>133350</xdr:rowOff>
    </xdr:from>
    <xdr:ext cx="571500" cy="571500"/>
    <xdr:pic>
      <xdr:nvPicPr>
        <xdr:cNvPr id="6" name="Image 5">
          <a:extLst>
            <a:ext uri="{FF2B5EF4-FFF2-40B4-BE49-F238E27FC236}">
              <a16:creationId xmlns:a16="http://schemas.microsoft.com/office/drawing/2014/main" id="{D40C1EC6-3D25-4ABA-A573-49A7DC8ED3CD}"/>
            </a:ext>
          </a:extLst>
        </xdr:cNvPr>
        <xdr:cNvPicPr>
          <a:picLocks noChangeAspect="1"/>
        </xdr:cNvPicPr>
      </xdr:nvPicPr>
      <xdr:blipFill>
        <a:blip xmlns:r="http://schemas.openxmlformats.org/officeDocument/2006/relationships" r:embed="rId4"/>
        <a:stretch>
          <a:fillRect/>
        </a:stretch>
      </xdr:blipFill>
      <xdr:spPr>
        <a:xfrm>
          <a:off x="88106250" y="3629025"/>
          <a:ext cx="571500" cy="571500"/>
        </a:xfrm>
        <a:prstGeom prst="rect">
          <a:avLst/>
        </a:prstGeom>
      </xdr:spPr>
    </xdr:pic>
    <xdr:clientData/>
  </xdr:oneCellAnchor>
  <xdr:oneCellAnchor>
    <xdr:from>
      <xdr:col>104</xdr:col>
      <xdr:colOff>1600200</xdr:colOff>
      <xdr:row>13</xdr:row>
      <xdr:rowOff>152400</xdr:rowOff>
    </xdr:from>
    <xdr:ext cx="571500" cy="571500"/>
    <xdr:pic>
      <xdr:nvPicPr>
        <xdr:cNvPr id="7" name="Image 6">
          <a:extLst>
            <a:ext uri="{FF2B5EF4-FFF2-40B4-BE49-F238E27FC236}">
              <a16:creationId xmlns:a16="http://schemas.microsoft.com/office/drawing/2014/main" id="{8C5DB849-AC66-41DB-97DD-F0427788B138}"/>
            </a:ext>
          </a:extLst>
        </xdr:cNvPr>
        <xdr:cNvPicPr>
          <a:picLocks noChangeAspect="1"/>
        </xdr:cNvPicPr>
      </xdr:nvPicPr>
      <xdr:blipFill>
        <a:blip xmlns:r="http://schemas.openxmlformats.org/officeDocument/2006/relationships" r:embed="rId4"/>
        <a:stretch>
          <a:fillRect/>
        </a:stretch>
      </xdr:blipFill>
      <xdr:spPr>
        <a:xfrm>
          <a:off x="97650300" y="3648075"/>
          <a:ext cx="571500" cy="571500"/>
        </a:xfrm>
        <a:prstGeom prst="rect">
          <a:avLst/>
        </a:prstGeom>
      </xdr:spPr>
    </xdr:pic>
    <xdr:clientData/>
  </xdr:oneCellAnchor>
  <xdr:oneCellAnchor>
    <xdr:from>
      <xdr:col>77</xdr:col>
      <xdr:colOff>476250</xdr:colOff>
      <xdr:row>22</xdr:row>
      <xdr:rowOff>0</xdr:rowOff>
    </xdr:from>
    <xdr:ext cx="2289175" cy="1058870"/>
    <xdr:pic>
      <xdr:nvPicPr>
        <xdr:cNvPr id="8" name="Image 7">
          <a:extLst>
            <a:ext uri="{FF2B5EF4-FFF2-40B4-BE49-F238E27FC236}">
              <a16:creationId xmlns:a16="http://schemas.microsoft.com/office/drawing/2014/main" id="{3D0ED6D0-6B78-497C-B22D-68C0B129B05B}"/>
            </a:ext>
          </a:extLst>
        </xdr:cNvPr>
        <xdr:cNvPicPr>
          <a:picLocks noChangeAspect="1"/>
        </xdr:cNvPicPr>
      </xdr:nvPicPr>
      <xdr:blipFill>
        <a:blip xmlns:r="http://schemas.openxmlformats.org/officeDocument/2006/relationships" r:embed="rId5"/>
        <a:stretch>
          <a:fillRect/>
        </a:stretch>
      </xdr:blipFill>
      <xdr:spPr>
        <a:xfrm>
          <a:off x="65836800" y="5895975"/>
          <a:ext cx="2289175" cy="1058870"/>
        </a:xfrm>
        <a:prstGeom prst="rect">
          <a:avLst/>
        </a:prstGeom>
      </xdr:spPr>
    </xdr:pic>
    <xdr:clientData/>
  </xdr:oneCellAnchor>
  <xdr:oneCellAnchor>
    <xdr:from>
      <xdr:col>77</xdr:col>
      <xdr:colOff>685800</xdr:colOff>
      <xdr:row>38</xdr:row>
      <xdr:rowOff>85725</xdr:rowOff>
    </xdr:from>
    <xdr:ext cx="2248026" cy="1098550"/>
    <xdr:pic>
      <xdr:nvPicPr>
        <xdr:cNvPr id="9" name="Image 8">
          <a:extLst>
            <a:ext uri="{FF2B5EF4-FFF2-40B4-BE49-F238E27FC236}">
              <a16:creationId xmlns:a16="http://schemas.microsoft.com/office/drawing/2014/main" id="{AB6116F4-5074-4F62-8412-0F132E89C2CB}"/>
            </a:ext>
          </a:extLst>
        </xdr:cNvPr>
        <xdr:cNvPicPr>
          <a:picLocks noChangeAspect="1"/>
        </xdr:cNvPicPr>
      </xdr:nvPicPr>
      <xdr:blipFill>
        <a:blip xmlns:r="http://schemas.openxmlformats.org/officeDocument/2006/relationships" r:embed="rId6"/>
        <a:stretch>
          <a:fillRect/>
        </a:stretch>
      </xdr:blipFill>
      <xdr:spPr>
        <a:xfrm>
          <a:off x="66046350" y="10248900"/>
          <a:ext cx="2248026" cy="1098550"/>
        </a:xfrm>
        <a:prstGeom prst="rect">
          <a:avLst/>
        </a:prstGeom>
      </xdr:spPr>
    </xdr:pic>
    <xdr:clientData/>
  </xdr:oneCellAnchor>
  <xdr:oneCellAnchor>
    <xdr:from>
      <xdr:col>78</xdr:col>
      <xdr:colOff>38100</xdr:colOff>
      <xdr:row>52</xdr:row>
      <xdr:rowOff>19050</xdr:rowOff>
    </xdr:from>
    <xdr:ext cx="1057275" cy="1120810"/>
    <xdr:pic>
      <xdr:nvPicPr>
        <xdr:cNvPr id="10" name="Image 9">
          <a:extLst>
            <a:ext uri="{FF2B5EF4-FFF2-40B4-BE49-F238E27FC236}">
              <a16:creationId xmlns:a16="http://schemas.microsoft.com/office/drawing/2014/main" id="{D14C5B72-BE3F-47D0-AA8C-C0644F9815FE}"/>
            </a:ext>
          </a:extLst>
        </xdr:cNvPr>
        <xdr:cNvPicPr>
          <a:picLocks noChangeAspect="1"/>
        </xdr:cNvPicPr>
      </xdr:nvPicPr>
      <xdr:blipFill>
        <a:blip xmlns:r="http://schemas.openxmlformats.org/officeDocument/2006/relationships" r:embed="rId7"/>
        <a:stretch>
          <a:fillRect/>
        </a:stretch>
      </xdr:blipFill>
      <xdr:spPr>
        <a:xfrm>
          <a:off x="66532125" y="13916025"/>
          <a:ext cx="1057275" cy="1120810"/>
        </a:xfrm>
        <a:prstGeom prst="rect">
          <a:avLst/>
        </a:prstGeom>
      </xdr:spPr>
    </xdr:pic>
    <xdr:clientData/>
  </xdr:oneCellAnchor>
  <xdr:oneCellAnchor>
    <xdr:from>
      <xdr:col>79</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921982DD-BEA5-42B8-9E3F-0CAF57AD55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61810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104775</xdr:colOff>
      <xdr:row>23</xdr:row>
      <xdr:rowOff>66675</xdr:rowOff>
    </xdr:from>
    <xdr:ext cx="2590799" cy="3650362"/>
    <xdr:pic>
      <xdr:nvPicPr>
        <xdr:cNvPr id="12" name="Image 11">
          <a:extLst>
            <a:ext uri="{FF2B5EF4-FFF2-40B4-BE49-F238E27FC236}">
              <a16:creationId xmlns:a16="http://schemas.microsoft.com/office/drawing/2014/main" id="{82A18403-9166-4478-B49A-E6AF81088B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52775" y="6229350"/>
          <a:ext cx="2590799" cy="365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38</xdr:row>
      <xdr:rowOff>0</xdr:rowOff>
    </xdr:from>
    <xdr:ext cx="4282094" cy="3502025"/>
    <xdr:pic>
      <xdr:nvPicPr>
        <xdr:cNvPr id="13" name="Image 12">
          <a:extLst>
            <a:ext uri="{FF2B5EF4-FFF2-40B4-BE49-F238E27FC236}">
              <a16:creationId xmlns:a16="http://schemas.microsoft.com/office/drawing/2014/main" id="{4CAC8655-99D5-47BA-B677-D5F10BD45B56}"/>
            </a:ext>
          </a:extLst>
        </xdr:cNvPr>
        <xdr:cNvPicPr>
          <a:picLocks noChangeAspect="1"/>
        </xdr:cNvPicPr>
      </xdr:nvPicPr>
      <xdr:blipFill>
        <a:blip xmlns:r="http://schemas.openxmlformats.org/officeDocument/2006/relationships" r:embed="rId10"/>
        <a:stretch>
          <a:fillRect/>
        </a:stretch>
      </xdr:blipFill>
      <xdr:spPr>
        <a:xfrm>
          <a:off x="2200275" y="10163175"/>
          <a:ext cx="4282094" cy="3502025"/>
        </a:xfrm>
        <a:prstGeom prst="rect">
          <a:avLst/>
        </a:prstGeom>
      </xdr:spPr>
    </xdr:pic>
    <xdr:clientData/>
  </xdr:oneCellAnchor>
  <xdr:oneCellAnchor>
    <xdr:from>
      <xdr:col>4</xdr:col>
      <xdr:colOff>0</xdr:colOff>
      <xdr:row>52</xdr:row>
      <xdr:rowOff>0</xdr:rowOff>
    </xdr:from>
    <xdr:ext cx="4064000" cy="2331288"/>
    <xdr:pic>
      <xdr:nvPicPr>
        <xdr:cNvPr id="14" name="Image 13">
          <a:extLst>
            <a:ext uri="{FF2B5EF4-FFF2-40B4-BE49-F238E27FC236}">
              <a16:creationId xmlns:a16="http://schemas.microsoft.com/office/drawing/2014/main" id="{D5D910A8-0A6D-4649-A2C0-C105ACB4C8E6}"/>
            </a:ext>
          </a:extLst>
        </xdr:cNvPr>
        <xdr:cNvPicPr>
          <a:picLocks noChangeAspect="1"/>
        </xdr:cNvPicPr>
      </xdr:nvPicPr>
      <xdr:blipFill>
        <a:blip xmlns:r="http://schemas.openxmlformats.org/officeDocument/2006/relationships" r:embed="rId11"/>
        <a:stretch>
          <a:fillRect/>
        </a:stretch>
      </xdr:blipFill>
      <xdr:spPr>
        <a:xfrm>
          <a:off x="2200275" y="13896975"/>
          <a:ext cx="4064000" cy="2331288"/>
        </a:xfrm>
        <a:prstGeom prst="rect">
          <a:avLst/>
        </a:prstGeom>
      </xdr:spPr>
    </xdr:pic>
    <xdr:clientData/>
  </xdr:oneCellAnchor>
  <xdr:oneCellAnchor>
    <xdr:from>
      <xdr:col>4</xdr:col>
      <xdr:colOff>0</xdr:colOff>
      <xdr:row>62</xdr:row>
      <xdr:rowOff>0</xdr:rowOff>
    </xdr:from>
    <xdr:ext cx="3733800" cy="1301173"/>
    <xdr:pic>
      <xdr:nvPicPr>
        <xdr:cNvPr id="15" name="Image 14">
          <a:extLst>
            <a:ext uri="{FF2B5EF4-FFF2-40B4-BE49-F238E27FC236}">
              <a16:creationId xmlns:a16="http://schemas.microsoft.com/office/drawing/2014/main" id="{30F7639D-4CD6-4996-A20A-8413C0A417AF}"/>
            </a:ext>
          </a:extLst>
        </xdr:cNvPr>
        <xdr:cNvPicPr>
          <a:picLocks noChangeAspect="1"/>
        </xdr:cNvPicPr>
      </xdr:nvPicPr>
      <xdr:blipFill>
        <a:blip xmlns:r="http://schemas.openxmlformats.org/officeDocument/2006/relationships" r:embed="rId12"/>
        <a:stretch>
          <a:fillRect/>
        </a:stretch>
      </xdr:blipFill>
      <xdr:spPr>
        <a:xfrm>
          <a:off x="2200275" y="16563975"/>
          <a:ext cx="3733800" cy="1301173"/>
        </a:xfrm>
        <a:prstGeom prst="rect">
          <a:avLst/>
        </a:prstGeom>
      </xdr:spPr>
    </xdr:pic>
    <xdr:clientData/>
  </xdr:oneCellAnchor>
  <xdr:oneCellAnchor>
    <xdr:from>
      <xdr:col>4</xdr:col>
      <xdr:colOff>0</xdr:colOff>
      <xdr:row>68</xdr:row>
      <xdr:rowOff>0</xdr:rowOff>
    </xdr:from>
    <xdr:ext cx="3752686" cy="1701800"/>
    <xdr:pic>
      <xdr:nvPicPr>
        <xdr:cNvPr id="16" name="Image 15">
          <a:extLst>
            <a:ext uri="{FF2B5EF4-FFF2-40B4-BE49-F238E27FC236}">
              <a16:creationId xmlns:a16="http://schemas.microsoft.com/office/drawing/2014/main" id="{2E187996-F799-4C06-B5DF-8FFB035D01FD}"/>
            </a:ext>
          </a:extLst>
        </xdr:cNvPr>
        <xdr:cNvPicPr>
          <a:picLocks noChangeAspect="1"/>
        </xdr:cNvPicPr>
      </xdr:nvPicPr>
      <xdr:blipFill>
        <a:blip xmlns:r="http://schemas.openxmlformats.org/officeDocument/2006/relationships" r:embed="rId13"/>
        <a:stretch>
          <a:fillRect/>
        </a:stretch>
      </xdr:blipFill>
      <xdr:spPr>
        <a:xfrm>
          <a:off x="2200275" y="18164175"/>
          <a:ext cx="3752686" cy="1701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88</xdr:col>
      <xdr:colOff>1200150</xdr:colOff>
      <xdr:row>4</xdr:row>
      <xdr:rowOff>161925</xdr:rowOff>
    </xdr:from>
    <xdr:to>
      <xdr:col>88</xdr:col>
      <xdr:colOff>1906681</xdr:colOff>
      <xdr:row>6</xdr:row>
      <xdr:rowOff>123825</xdr:rowOff>
    </xdr:to>
    <xdr:pic>
      <xdr:nvPicPr>
        <xdr:cNvPr id="2" name="Image 1">
          <a:extLst>
            <a:ext uri="{FF2B5EF4-FFF2-40B4-BE49-F238E27FC236}">
              <a16:creationId xmlns:a16="http://schemas.microsoft.com/office/drawing/2014/main" id="{BC4EF82C-32FD-4D50-A89A-9C949EF1E594}"/>
            </a:ext>
          </a:extLst>
        </xdr:cNvPr>
        <xdr:cNvPicPr>
          <a:picLocks noChangeAspect="1"/>
        </xdr:cNvPicPr>
      </xdr:nvPicPr>
      <xdr:blipFill>
        <a:blip xmlns:r="http://schemas.openxmlformats.org/officeDocument/2006/relationships" r:embed="rId1"/>
        <a:stretch>
          <a:fillRect/>
        </a:stretch>
      </xdr:blipFill>
      <xdr:spPr>
        <a:xfrm>
          <a:off x="78524100" y="1257300"/>
          <a:ext cx="706531" cy="495300"/>
        </a:xfrm>
        <a:prstGeom prst="rect">
          <a:avLst/>
        </a:prstGeom>
      </xdr:spPr>
    </xdr:pic>
    <xdr:clientData/>
  </xdr:twoCellAnchor>
  <xdr:twoCellAnchor editAs="oneCell">
    <xdr:from>
      <xdr:col>96</xdr:col>
      <xdr:colOff>1333500</xdr:colOff>
      <xdr:row>4</xdr:row>
      <xdr:rowOff>133350</xdr:rowOff>
    </xdr:from>
    <xdr:to>
      <xdr:col>96</xdr:col>
      <xdr:colOff>2353541</xdr:colOff>
      <xdr:row>6</xdr:row>
      <xdr:rowOff>190500</xdr:rowOff>
    </xdr:to>
    <xdr:pic>
      <xdr:nvPicPr>
        <xdr:cNvPr id="3" name="Image 2">
          <a:extLst>
            <a:ext uri="{FF2B5EF4-FFF2-40B4-BE49-F238E27FC236}">
              <a16:creationId xmlns:a16="http://schemas.microsoft.com/office/drawing/2014/main" id="{228CA79A-0ACC-4194-8476-6C9A1B543482}"/>
            </a:ext>
          </a:extLst>
        </xdr:cNvPr>
        <xdr:cNvPicPr>
          <a:picLocks noChangeAspect="1"/>
        </xdr:cNvPicPr>
      </xdr:nvPicPr>
      <xdr:blipFill>
        <a:blip xmlns:r="http://schemas.openxmlformats.org/officeDocument/2006/relationships" r:embed="rId2"/>
        <a:stretch>
          <a:fillRect/>
        </a:stretch>
      </xdr:blipFill>
      <xdr:spPr>
        <a:xfrm>
          <a:off x="88020525" y="1228725"/>
          <a:ext cx="1020041" cy="590550"/>
        </a:xfrm>
        <a:prstGeom prst="rect">
          <a:avLst/>
        </a:prstGeom>
      </xdr:spPr>
    </xdr:pic>
    <xdr:clientData/>
  </xdr:twoCellAnchor>
  <xdr:twoCellAnchor editAs="oneCell">
    <xdr:from>
      <xdr:col>104</xdr:col>
      <xdr:colOff>1447800</xdr:colOff>
      <xdr:row>4</xdr:row>
      <xdr:rowOff>161925</xdr:rowOff>
    </xdr:from>
    <xdr:to>
      <xdr:col>104</xdr:col>
      <xdr:colOff>2511283</xdr:colOff>
      <xdr:row>6</xdr:row>
      <xdr:rowOff>209550</xdr:rowOff>
    </xdr:to>
    <xdr:pic>
      <xdr:nvPicPr>
        <xdr:cNvPr id="4" name="Image 3">
          <a:extLst>
            <a:ext uri="{FF2B5EF4-FFF2-40B4-BE49-F238E27FC236}">
              <a16:creationId xmlns:a16="http://schemas.microsoft.com/office/drawing/2014/main" id="{2C8C7A66-8664-452D-90B5-95F7F582E7F2}"/>
            </a:ext>
          </a:extLst>
        </xdr:cNvPr>
        <xdr:cNvPicPr>
          <a:picLocks noChangeAspect="1"/>
        </xdr:cNvPicPr>
      </xdr:nvPicPr>
      <xdr:blipFill>
        <a:blip xmlns:r="http://schemas.openxmlformats.org/officeDocument/2006/relationships" r:embed="rId3"/>
        <a:stretch>
          <a:fillRect/>
        </a:stretch>
      </xdr:blipFill>
      <xdr:spPr>
        <a:xfrm>
          <a:off x="97497900" y="1257300"/>
          <a:ext cx="1063483" cy="581025"/>
        </a:xfrm>
        <a:prstGeom prst="rect">
          <a:avLst/>
        </a:prstGeom>
      </xdr:spPr>
    </xdr:pic>
    <xdr:clientData/>
  </xdr:twoCellAnchor>
  <xdr:oneCellAnchor>
    <xdr:from>
      <xdr:col>88</xdr:col>
      <xdr:colOff>1447800</xdr:colOff>
      <xdr:row>13</xdr:row>
      <xdr:rowOff>171450</xdr:rowOff>
    </xdr:from>
    <xdr:ext cx="571500" cy="571500"/>
    <xdr:pic>
      <xdr:nvPicPr>
        <xdr:cNvPr id="5" name="Image 4">
          <a:extLst>
            <a:ext uri="{FF2B5EF4-FFF2-40B4-BE49-F238E27FC236}">
              <a16:creationId xmlns:a16="http://schemas.microsoft.com/office/drawing/2014/main" id="{B80CAACC-581B-427D-93AE-DE9EC9166C3E}"/>
            </a:ext>
          </a:extLst>
        </xdr:cNvPr>
        <xdr:cNvPicPr>
          <a:picLocks noChangeAspect="1"/>
        </xdr:cNvPicPr>
      </xdr:nvPicPr>
      <xdr:blipFill>
        <a:blip xmlns:r="http://schemas.openxmlformats.org/officeDocument/2006/relationships" r:embed="rId4"/>
        <a:stretch>
          <a:fillRect/>
        </a:stretch>
      </xdr:blipFill>
      <xdr:spPr>
        <a:xfrm>
          <a:off x="78771750" y="3667125"/>
          <a:ext cx="571500" cy="571500"/>
        </a:xfrm>
        <a:prstGeom prst="rect">
          <a:avLst/>
        </a:prstGeom>
      </xdr:spPr>
    </xdr:pic>
    <xdr:clientData/>
  </xdr:oneCellAnchor>
  <xdr:oneCellAnchor>
    <xdr:from>
      <xdr:col>96</xdr:col>
      <xdr:colOff>1419225</xdr:colOff>
      <xdr:row>13</xdr:row>
      <xdr:rowOff>133350</xdr:rowOff>
    </xdr:from>
    <xdr:ext cx="571500" cy="571500"/>
    <xdr:pic>
      <xdr:nvPicPr>
        <xdr:cNvPr id="6" name="Image 5">
          <a:extLst>
            <a:ext uri="{FF2B5EF4-FFF2-40B4-BE49-F238E27FC236}">
              <a16:creationId xmlns:a16="http://schemas.microsoft.com/office/drawing/2014/main" id="{48A647CD-9D0E-4DFB-897E-2F44E094451D}"/>
            </a:ext>
          </a:extLst>
        </xdr:cNvPr>
        <xdr:cNvPicPr>
          <a:picLocks noChangeAspect="1"/>
        </xdr:cNvPicPr>
      </xdr:nvPicPr>
      <xdr:blipFill>
        <a:blip xmlns:r="http://schemas.openxmlformats.org/officeDocument/2006/relationships" r:embed="rId4"/>
        <a:stretch>
          <a:fillRect/>
        </a:stretch>
      </xdr:blipFill>
      <xdr:spPr>
        <a:xfrm>
          <a:off x="88106250" y="3629025"/>
          <a:ext cx="571500" cy="571500"/>
        </a:xfrm>
        <a:prstGeom prst="rect">
          <a:avLst/>
        </a:prstGeom>
      </xdr:spPr>
    </xdr:pic>
    <xdr:clientData/>
  </xdr:oneCellAnchor>
  <xdr:oneCellAnchor>
    <xdr:from>
      <xdr:col>104</xdr:col>
      <xdr:colOff>1600200</xdr:colOff>
      <xdr:row>13</xdr:row>
      <xdr:rowOff>152400</xdr:rowOff>
    </xdr:from>
    <xdr:ext cx="571500" cy="571500"/>
    <xdr:pic>
      <xdr:nvPicPr>
        <xdr:cNvPr id="7" name="Image 6">
          <a:extLst>
            <a:ext uri="{FF2B5EF4-FFF2-40B4-BE49-F238E27FC236}">
              <a16:creationId xmlns:a16="http://schemas.microsoft.com/office/drawing/2014/main" id="{D4C45A9D-CB41-4CE3-A86B-0A5D485A8882}"/>
            </a:ext>
          </a:extLst>
        </xdr:cNvPr>
        <xdr:cNvPicPr>
          <a:picLocks noChangeAspect="1"/>
        </xdr:cNvPicPr>
      </xdr:nvPicPr>
      <xdr:blipFill>
        <a:blip xmlns:r="http://schemas.openxmlformats.org/officeDocument/2006/relationships" r:embed="rId4"/>
        <a:stretch>
          <a:fillRect/>
        </a:stretch>
      </xdr:blipFill>
      <xdr:spPr>
        <a:xfrm>
          <a:off x="97650300" y="3648075"/>
          <a:ext cx="571500" cy="571500"/>
        </a:xfrm>
        <a:prstGeom prst="rect">
          <a:avLst/>
        </a:prstGeom>
      </xdr:spPr>
    </xdr:pic>
    <xdr:clientData/>
  </xdr:oneCellAnchor>
  <xdr:oneCellAnchor>
    <xdr:from>
      <xdr:col>77</xdr:col>
      <xdr:colOff>476250</xdr:colOff>
      <xdr:row>22</xdr:row>
      <xdr:rowOff>0</xdr:rowOff>
    </xdr:from>
    <xdr:ext cx="2289175" cy="1058870"/>
    <xdr:pic>
      <xdr:nvPicPr>
        <xdr:cNvPr id="8" name="Image 7">
          <a:extLst>
            <a:ext uri="{FF2B5EF4-FFF2-40B4-BE49-F238E27FC236}">
              <a16:creationId xmlns:a16="http://schemas.microsoft.com/office/drawing/2014/main" id="{2D70E41F-A905-4B0F-B933-D2AD5ECF62E0}"/>
            </a:ext>
          </a:extLst>
        </xdr:cNvPr>
        <xdr:cNvPicPr>
          <a:picLocks noChangeAspect="1"/>
        </xdr:cNvPicPr>
      </xdr:nvPicPr>
      <xdr:blipFill>
        <a:blip xmlns:r="http://schemas.openxmlformats.org/officeDocument/2006/relationships" r:embed="rId5"/>
        <a:stretch>
          <a:fillRect/>
        </a:stretch>
      </xdr:blipFill>
      <xdr:spPr>
        <a:xfrm>
          <a:off x="65836800" y="5895975"/>
          <a:ext cx="2289175" cy="1058870"/>
        </a:xfrm>
        <a:prstGeom prst="rect">
          <a:avLst/>
        </a:prstGeom>
      </xdr:spPr>
    </xdr:pic>
    <xdr:clientData/>
  </xdr:oneCellAnchor>
  <xdr:oneCellAnchor>
    <xdr:from>
      <xdr:col>77</xdr:col>
      <xdr:colOff>685800</xdr:colOff>
      <xdr:row>38</xdr:row>
      <xdr:rowOff>85725</xdr:rowOff>
    </xdr:from>
    <xdr:ext cx="2248026" cy="1098550"/>
    <xdr:pic>
      <xdr:nvPicPr>
        <xdr:cNvPr id="9" name="Image 8">
          <a:extLst>
            <a:ext uri="{FF2B5EF4-FFF2-40B4-BE49-F238E27FC236}">
              <a16:creationId xmlns:a16="http://schemas.microsoft.com/office/drawing/2014/main" id="{30E3F0D3-F4CD-4019-84F0-75F29B4D1067}"/>
            </a:ext>
          </a:extLst>
        </xdr:cNvPr>
        <xdr:cNvPicPr>
          <a:picLocks noChangeAspect="1"/>
        </xdr:cNvPicPr>
      </xdr:nvPicPr>
      <xdr:blipFill>
        <a:blip xmlns:r="http://schemas.openxmlformats.org/officeDocument/2006/relationships" r:embed="rId6"/>
        <a:stretch>
          <a:fillRect/>
        </a:stretch>
      </xdr:blipFill>
      <xdr:spPr>
        <a:xfrm>
          <a:off x="66046350" y="10248900"/>
          <a:ext cx="2248026" cy="1098550"/>
        </a:xfrm>
        <a:prstGeom prst="rect">
          <a:avLst/>
        </a:prstGeom>
      </xdr:spPr>
    </xdr:pic>
    <xdr:clientData/>
  </xdr:oneCellAnchor>
  <xdr:oneCellAnchor>
    <xdr:from>
      <xdr:col>78</xdr:col>
      <xdr:colOff>38100</xdr:colOff>
      <xdr:row>52</xdr:row>
      <xdr:rowOff>19050</xdr:rowOff>
    </xdr:from>
    <xdr:ext cx="1057275" cy="1120810"/>
    <xdr:pic>
      <xdr:nvPicPr>
        <xdr:cNvPr id="10" name="Image 9">
          <a:extLst>
            <a:ext uri="{FF2B5EF4-FFF2-40B4-BE49-F238E27FC236}">
              <a16:creationId xmlns:a16="http://schemas.microsoft.com/office/drawing/2014/main" id="{702337E4-2025-41CA-91CA-4DBFD64388A8}"/>
            </a:ext>
          </a:extLst>
        </xdr:cNvPr>
        <xdr:cNvPicPr>
          <a:picLocks noChangeAspect="1"/>
        </xdr:cNvPicPr>
      </xdr:nvPicPr>
      <xdr:blipFill>
        <a:blip xmlns:r="http://schemas.openxmlformats.org/officeDocument/2006/relationships" r:embed="rId7"/>
        <a:stretch>
          <a:fillRect/>
        </a:stretch>
      </xdr:blipFill>
      <xdr:spPr>
        <a:xfrm>
          <a:off x="66532125" y="13916025"/>
          <a:ext cx="1057275" cy="1120810"/>
        </a:xfrm>
        <a:prstGeom prst="rect">
          <a:avLst/>
        </a:prstGeom>
      </xdr:spPr>
    </xdr:pic>
    <xdr:clientData/>
  </xdr:oneCellAnchor>
  <xdr:oneCellAnchor>
    <xdr:from>
      <xdr:col>79</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AE0079FA-6E3B-47CF-98C0-F105548773E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61810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56</xdr:col>
      <xdr:colOff>1333500</xdr:colOff>
      <xdr:row>3</xdr:row>
      <xdr:rowOff>114300</xdr:rowOff>
    </xdr:from>
    <xdr:to>
      <xdr:col>56</xdr:col>
      <xdr:colOff>2200396</xdr:colOff>
      <xdr:row>5</xdr:row>
      <xdr:rowOff>181059</xdr:rowOff>
    </xdr:to>
    <xdr:pic>
      <xdr:nvPicPr>
        <xdr:cNvPr id="2" name="Image 1">
          <a:extLst>
            <a:ext uri="{FF2B5EF4-FFF2-40B4-BE49-F238E27FC236}">
              <a16:creationId xmlns:a16="http://schemas.microsoft.com/office/drawing/2014/main" id="{76711530-1D84-4EA7-89E9-4DCE043BE890}"/>
            </a:ext>
          </a:extLst>
        </xdr:cNvPr>
        <xdr:cNvPicPr>
          <a:picLocks noChangeAspect="1"/>
        </xdr:cNvPicPr>
      </xdr:nvPicPr>
      <xdr:blipFill>
        <a:blip xmlns:r="http://schemas.openxmlformats.org/officeDocument/2006/relationships" r:embed="rId1"/>
        <a:stretch>
          <a:fillRect/>
        </a:stretch>
      </xdr:blipFill>
      <xdr:spPr>
        <a:xfrm>
          <a:off x="36185475" y="781050"/>
          <a:ext cx="866896" cy="600159"/>
        </a:xfrm>
        <a:prstGeom prst="rect">
          <a:avLst/>
        </a:prstGeom>
      </xdr:spPr>
    </xdr:pic>
    <xdr:clientData/>
  </xdr:twoCellAnchor>
  <xdr:twoCellAnchor editAs="oneCell">
    <xdr:from>
      <xdr:col>34</xdr:col>
      <xdr:colOff>1038225</xdr:colOff>
      <xdr:row>3</xdr:row>
      <xdr:rowOff>76200</xdr:rowOff>
    </xdr:from>
    <xdr:to>
      <xdr:col>34</xdr:col>
      <xdr:colOff>1886363</xdr:colOff>
      <xdr:row>5</xdr:row>
      <xdr:rowOff>152400</xdr:rowOff>
    </xdr:to>
    <xdr:pic>
      <xdr:nvPicPr>
        <xdr:cNvPr id="3" name="Image 2">
          <a:extLst>
            <a:ext uri="{FF2B5EF4-FFF2-40B4-BE49-F238E27FC236}">
              <a16:creationId xmlns:a16="http://schemas.microsoft.com/office/drawing/2014/main" id="{089C4FF4-EAF9-4C84-940E-78341B2366A6}"/>
            </a:ext>
          </a:extLst>
        </xdr:cNvPr>
        <xdr:cNvPicPr>
          <a:picLocks noChangeAspect="1"/>
        </xdr:cNvPicPr>
      </xdr:nvPicPr>
      <xdr:blipFill>
        <a:blip xmlns:r="http://schemas.openxmlformats.org/officeDocument/2006/relationships" r:embed="rId2"/>
        <a:stretch>
          <a:fillRect/>
        </a:stretch>
      </xdr:blipFill>
      <xdr:spPr>
        <a:xfrm>
          <a:off x="21469350" y="742950"/>
          <a:ext cx="848138" cy="609600"/>
        </a:xfrm>
        <a:prstGeom prst="rect">
          <a:avLst/>
        </a:prstGeom>
      </xdr:spPr>
    </xdr:pic>
    <xdr:clientData/>
  </xdr:twoCellAnchor>
  <xdr:twoCellAnchor editAs="oneCell">
    <xdr:from>
      <xdr:col>12</xdr:col>
      <xdr:colOff>1162050</xdr:colOff>
      <xdr:row>3</xdr:row>
      <xdr:rowOff>123825</xdr:rowOff>
    </xdr:from>
    <xdr:to>
      <xdr:col>12</xdr:col>
      <xdr:colOff>1977278</xdr:colOff>
      <xdr:row>5</xdr:row>
      <xdr:rowOff>161925</xdr:rowOff>
    </xdr:to>
    <xdr:pic>
      <xdr:nvPicPr>
        <xdr:cNvPr id="4" name="Image 3">
          <a:extLst>
            <a:ext uri="{FF2B5EF4-FFF2-40B4-BE49-F238E27FC236}">
              <a16:creationId xmlns:a16="http://schemas.microsoft.com/office/drawing/2014/main" id="{7E62DD90-3133-4B93-8179-083C70A37B31}"/>
            </a:ext>
          </a:extLst>
        </xdr:cNvPr>
        <xdr:cNvPicPr>
          <a:picLocks noChangeAspect="1"/>
        </xdr:cNvPicPr>
      </xdr:nvPicPr>
      <xdr:blipFill>
        <a:blip xmlns:r="http://schemas.openxmlformats.org/officeDocument/2006/relationships" r:embed="rId3"/>
        <a:stretch>
          <a:fillRect/>
        </a:stretch>
      </xdr:blipFill>
      <xdr:spPr>
        <a:xfrm>
          <a:off x="7239000" y="790575"/>
          <a:ext cx="815228" cy="571500"/>
        </a:xfrm>
        <a:prstGeom prst="rect">
          <a:avLst/>
        </a:prstGeom>
      </xdr:spPr>
    </xdr:pic>
    <xdr:clientData/>
  </xdr:twoCellAnchor>
  <xdr:twoCellAnchor editAs="oneCell">
    <xdr:from>
      <xdr:col>1</xdr:col>
      <xdr:colOff>190500</xdr:colOff>
      <xdr:row>167</xdr:row>
      <xdr:rowOff>161925</xdr:rowOff>
    </xdr:from>
    <xdr:to>
      <xdr:col>5</xdr:col>
      <xdr:colOff>15128</xdr:colOff>
      <xdr:row>169</xdr:row>
      <xdr:rowOff>200025</xdr:rowOff>
    </xdr:to>
    <xdr:pic>
      <xdr:nvPicPr>
        <xdr:cNvPr id="5" name="Image 4">
          <a:extLst>
            <a:ext uri="{FF2B5EF4-FFF2-40B4-BE49-F238E27FC236}">
              <a16:creationId xmlns:a16="http://schemas.microsoft.com/office/drawing/2014/main" id="{6D7B8ED5-12A6-4AF4-A4DD-629CC761C9CF}"/>
            </a:ext>
          </a:extLst>
        </xdr:cNvPr>
        <xdr:cNvPicPr>
          <a:picLocks noChangeAspect="1"/>
        </xdr:cNvPicPr>
      </xdr:nvPicPr>
      <xdr:blipFill>
        <a:blip xmlns:r="http://schemas.openxmlformats.org/officeDocument/2006/relationships" r:embed="rId3"/>
        <a:stretch>
          <a:fillRect/>
        </a:stretch>
      </xdr:blipFill>
      <xdr:spPr>
        <a:xfrm>
          <a:off x="561975" y="44567475"/>
          <a:ext cx="815228" cy="571500"/>
        </a:xfrm>
        <a:prstGeom prst="rect">
          <a:avLst/>
        </a:prstGeom>
      </xdr:spPr>
    </xdr:pic>
    <xdr:clientData/>
  </xdr:twoCellAnchor>
  <xdr:twoCellAnchor editAs="oneCell">
    <xdr:from>
      <xdr:col>23</xdr:col>
      <xdr:colOff>133350</xdr:colOff>
      <xdr:row>168</xdr:row>
      <xdr:rowOff>9525</xdr:rowOff>
    </xdr:from>
    <xdr:to>
      <xdr:col>26</xdr:col>
      <xdr:colOff>238538</xdr:colOff>
      <xdr:row>170</xdr:row>
      <xdr:rowOff>85725</xdr:rowOff>
    </xdr:to>
    <xdr:pic>
      <xdr:nvPicPr>
        <xdr:cNvPr id="6" name="Image 5">
          <a:extLst>
            <a:ext uri="{FF2B5EF4-FFF2-40B4-BE49-F238E27FC236}">
              <a16:creationId xmlns:a16="http://schemas.microsoft.com/office/drawing/2014/main" id="{607BC550-BBA8-4199-8C7B-790520279E75}"/>
            </a:ext>
          </a:extLst>
        </xdr:cNvPr>
        <xdr:cNvPicPr>
          <a:picLocks noChangeAspect="1"/>
        </xdr:cNvPicPr>
      </xdr:nvPicPr>
      <xdr:blipFill>
        <a:blip xmlns:r="http://schemas.openxmlformats.org/officeDocument/2006/relationships" r:embed="rId2"/>
        <a:stretch>
          <a:fillRect/>
        </a:stretch>
      </xdr:blipFill>
      <xdr:spPr>
        <a:xfrm>
          <a:off x="14839950" y="44681775"/>
          <a:ext cx="848138" cy="609600"/>
        </a:xfrm>
        <a:prstGeom prst="rect">
          <a:avLst/>
        </a:prstGeom>
      </xdr:spPr>
    </xdr:pic>
    <xdr:clientData/>
  </xdr:twoCellAnchor>
  <xdr:twoCellAnchor editAs="oneCell">
    <xdr:from>
      <xdr:col>46</xdr:col>
      <xdr:colOff>0</xdr:colOff>
      <xdr:row>167</xdr:row>
      <xdr:rowOff>238125</xdr:rowOff>
    </xdr:from>
    <xdr:to>
      <xdr:col>49</xdr:col>
      <xdr:colOff>123946</xdr:colOff>
      <xdr:row>170</xdr:row>
      <xdr:rowOff>38184</xdr:rowOff>
    </xdr:to>
    <xdr:pic>
      <xdr:nvPicPr>
        <xdr:cNvPr id="7" name="Image 6">
          <a:extLst>
            <a:ext uri="{FF2B5EF4-FFF2-40B4-BE49-F238E27FC236}">
              <a16:creationId xmlns:a16="http://schemas.microsoft.com/office/drawing/2014/main" id="{B5176A1B-DCE8-4D3D-9642-93B271EF21A8}"/>
            </a:ext>
          </a:extLst>
        </xdr:cNvPr>
        <xdr:cNvPicPr>
          <a:picLocks noChangeAspect="1"/>
        </xdr:cNvPicPr>
      </xdr:nvPicPr>
      <xdr:blipFill>
        <a:blip xmlns:r="http://schemas.openxmlformats.org/officeDocument/2006/relationships" r:embed="rId1"/>
        <a:stretch>
          <a:fillRect/>
        </a:stretch>
      </xdr:blipFill>
      <xdr:spPr>
        <a:xfrm>
          <a:off x="29375100" y="44643675"/>
          <a:ext cx="866896" cy="600159"/>
        </a:xfrm>
        <a:prstGeom prst="rect">
          <a:avLst/>
        </a:prstGeom>
      </xdr:spPr>
    </xdr:pic>
    <xdr:clientData/>
  </xdr:twoCellAnchor>
  <xdr:oneCellAnchor>
    <xdr:from>
      <xdr:col>72</xdr:col>
      <xdr:colOff>895350</xdr:colOff>
      <xdr:row>12</xdr:row>
      <xdr:rowOff>219075</xdr:rowOff>
    </xdr:from>
    <xdr:ext cx="571500" cy="571500"/>
    <xdr:pic>
      <xdr:nvPicPr>
        <xdr:cNvPr id="8" name="Image 7">
          <a:extLst>
            <a:ext uri="{FF2B5EF4-FFF2-40B4-BE49-F238E27FC236}">
              <a16:creationId xmlns:a16="http://schemas.microsoft.com/office/drawing/2014/main" id="{F6E7CBA9-0352-41F1-80FF-E9E29A1FC9F9}"/>
            </a:ext>
          </a:extLst>
        </xdr:cNvPr>
        <xdr:cNvPicPr>
          <a:picLocks noChangeAspect="1"/>
        </xdr:cNvPicPr>
      </xdr:nvPicPr>
      <xdr:blipFill>
        <a:blip xmlns:r="http://schemas.openxmlformats.org/officeDocument/2006/relationships" r:embed="rId4"/>
        <a:stretch>
          <a:fillRect/>
        </a:stretch>
      </xdr:blipFill>
      <xdr:spPr>
        <a:xfrm>
          <a:off x="51054000" y="3286125"/>
          <a:ext cx="571500" cy="571500"/>
        </a:xfrm>
        <a:prstGeom prst="rect">
          <a:avLst/>
        </a:prstGeom>
      </xdr:spPr>
    </xdr:pic>
    <xdr:clientData/>
  </xdr:oneCellAnchor>
  <xdr:oneCellAnchor>
    <xdr:from>
      <xdr:col>67</xdr:col>
      <xdr:colOff>457200</xdr:colOff>
      <xdr:row>46</xdr:row>
      <xdr:rowOff>95250</xdr:rowOff>
    </xdr:from>
    <xdr:ext cx="4873625" cy="1121830"/>
    <xdr:pic>
      <xdr:nvPicPr>
        <xdr:cNvPr id="9" name="Image 8">
          <a:extLst>
            <a:ext uri="{FF2B5EF4-FFF2-40B4-BE49-F238E27FC236}">
              <a16:creationId xmlns:a16="http://schemas.microsoft.com/office/drawing/2014/main" id="{84FBE4EB-D010-4C70-8040-601FC7DC30F7}"/>
            </a:ext>
          </a:extLst>
        </xdr:cNvPr>
        <xdr:cNvPicPr>
          <a:picLocks noChangeAspect="1"/>
        </xdr:cNvPicPr>
      </xdr:nvPicPr>
      <xdr:blipFill>
        <a:blip xmlns:r="http://schemas.openxmlformats.org/officeDocument/2006/relationships" r:embed="rId5"/>
        <a:stretch>
          <a:fillRect/>
        </a:stretch>
      </xdr:blipFill>
      <xdr:spPr>
        <a:xfrm>
          <a:off x="44005500" y="12230100"/>
          <a:ext cx="4873625" cy="1121830"/>
        </a:xfrm>
        <a:prstGeom prst="rect">
          <a:avLst/>
        </a:prstGeom>
      </xdr:spPr>
    </xdr:pic>
    <xdr:clientData/>
  </xdr:oneCellAnchor>
  <xdr:oneCellAnchor>
    <xdr:from>
      <xdr:col>80</xdr:col>
      <xdr:colOff>895350</xdr:colOff>
      <xdr:row>12</xdr:row>
      <xdr:rowOff>219075</xdr:rowOff>
    </xdr:from>
    <xdr:ext cx="571500" cy="571500"/>
    <xdr:pic>
      <xdr:nvPicPr>
        <xdr:cNvPr id="10" name="Image 9">
          <a:extLst>
            <a:ext uri="{FF2B5EF4-FFF2-40B4-BE49-F238E27FC236}">
              <a16:creationId xmlns:a16="http://schemas.microsoft.com/office/drawing/2014/main" id="{EB31BB00-D5C3-44C0-8B55-712A8A5C0DA5}"/>
            </a:ext>
          </a:extLst>
        </xdr:cNvPr>
        <xdr:cNvPicPr>
          <a:picLocks noChangeAspect="1"/>
        </xdr:cNvPicPr>
      </xdr:nvPicPr>
      <xdr:blipFill>
        <a:blip xmlns:r="http://schemas.openxmlformats.org/officeDocument/2006/relationships" r:embed="rId4"/>
        <a:stretch>
          <a:fillRect/>
        </a:stretch>
      </xdr:blipFill>
      <xdr:spPr>
        <a:xfrm>
          <a:off x="62484000" y="3286125"/>
          <a:ext cx="571500" cy="571500"/>
        </a:xfrm>
        <a:prstGeom prst="rect">
          <a:avLst/>
        </a:prstGeom>
      </xdr:spPr>
    </xdr:pic>
    <xdr:clientData/>
  </xdr:oneCellAnchor>
  <xdr:oneCellAnchor>
    <xdr:from>
      <xdr:col>88</xdr:col>
      <xdr:colOff>895350</xdr:colOff>
      <xdr:row>12</xdr:row>
      <xdr:rowOff>219075</xdr:rowOff>
    </xdr:from>
    <xdr:ext cx="571500" cy="571500"/>
    <xdr:pic>
      <xdr:nvPicPr>
        <xdr:cNvPr id="11" name="Image 10">
          <a:extLst>
            <a:ext uri="{FF2B5EF4-FFF2-40B4-BE49-F238E27FC236}">
              <a16:creationId xmlns:a16="http://schemas.microsoft.com/office/drawing/2014/main" id="{F0C9CD85-E691-4F99-802E-82370626747E}"/>
            </a:ext>
          </a:extLst>
        </xdr:cNvPr>
        <xdr:cNvPicPr>
          <a:picLocks noChangeAspect="1"/>
        </xdr:cNvPicPr>
      </xdr:nvPicPr>
      <xdr:blipFill>
        <a:blip xmlns:r="http://schemas.openxmlformats.org/officeDocument/2006/relationships" r:embed="rId4"/>
        <a:stretch>
          <a:fillRect/>
        </a:stretch>
      </xdr:blipFill>
      <xdr:spPr>
        <a:xfrm>
          <a:off x="74152125" y="3286125"/>
          <a:ext cx="571500" cy="571500"/>
        </a:xfrm>
        <a:prstGeom prst="rect">
          <a:avLst/>
        </a:prstGeom>
      </xdr:spPr>
    </xdr:pic>
    <xdr:clientData/>
  </xdr:oneCellAnchor>
  <xdr:twoCellAnchor editAs="oneCell">
    <xdr:from>
      <xdr:col>73</xdr:col>
      <xdr:colOff>495300</xdr:colOff>
      <xdr:row>7</xdr:row>
      <xdr:rowOff>209550</xdr:rowOff>
    </xdr:from>
    <xdr:to>
      <xdr:col>73</xdr:col>
      <xdr:colOff>1866900</xdr:colOff>
      <xdr:row>9</xdr:row>
      <xdr:rowOff>171450</xdr:rowOff>
    </xdr:to>
    <xdr:pic>
      <xdr:nvPicPr>
        <xdr:cNvPr id="12" name="Image 11">
          <a:extLst>
            <a:ext uri="{FF2B5EF4-FFF2-40B4-BE49-F238E27FC236}">
              <a16:creationId xmlns:a16="http://schemas.microsoft.com/office/drawing/2014/main" id="{EDEA47F2-EE3E-4D84-BDFB-65712B2C06F3}"/>
            </a:ext>
          </a:extLst>
        </xdr:cNvPr>
        <xdr:cNvPicPr>
          <a:picLocks noChangeAspect="1"/>
        </xdr:cNvPicPr>
      </xdr:nvPicPr>
      <xdr:blipFill>
        <a:blip xmlns:r="http://schemas.openxmlformats.org/officeDocument/2006/relationships" r:embed="rId3"/>
        <a:stretch>
          <a:fillRect/>
        </a:stretch>
      </xdr:blipFill>
      <xdr:spPr>
        <a:xfrm>
          <a:off x="52768500" y="1943100"/>
          <a:ext cx="1371600" cy="495300"/>
        </a:xfrm>
        <a:prstGeom prst="rect">
          <a:avLst/>
        </a:prstGeom>
      </xdr:spPr>
    </xdr:pic>
    <xdr:clientData/>
  </xdr:twoCellAnchor>
  <xdr:twoCellAnchor editAs="oneCell">
    <xdr:from>
      <xdr:col>89</xdr:col>
      <xdr:colOff>1143000</xdr:colOff>
      <xdr:row>7</xdr:row>
      <xdr:rowOff>123825</xdr:rowOff>
    </xdr:from>
    <xdr:to>
      <xdr:col>89</xdr:col>
      <xdr:colOff>2190750</xdr:colOff>
      <xdr:row>9</xdr:row>
      <xdr:rowOff>171450</xdr:rowOff>
    </xdr:to>
    <xdr:pic>
      <xdr:nvPicPr>
        <xdr:cNvPr id="13" name="Image 12">
          <a:extLst>
            <a:ext uri="{FF2B5EF4-FFF2-40B4-BE49-F238E27FC236}">
              <a16:creationId xmlns:a16="http://schemas.microsoft.com/office/drawing/2014/main" id="{A2CDA82F-81FE-4925-B926-ACF3AB400A88}"/>
            </a:ext>
          </a:extLst>
        </xdr:cNvPr>
        <xdr:cNvPicPr>
          <a:picLocks noChangeAspect="1"/>
        </xdr:cNvPicPr>
      </xdr:nvPicPr>
      <xdr:blipFill>
        <a:blip xmlns:r="http://schemas.openxmlformats.org/officeDocument/2006/relationships" r:embed="rId6"/>
        <a:stretch>
          <a:fillRect/>
        </a:stretch>
      </xdr:blipFill>
      <xdr:spPr>
        <a:xfrm>
          <a:off x="76514325" y="1857375"/>
          <a:ext cx="1047750" cy="581025"/>
        </a:xfrm>
        <a:prstGeom prst="rect">
          <a:avLst/>
        </a:prstGeom>
      </xdr:spPr>
    </xdr:pic>
    <xdr:clientData/>
  </xdr:twoCellAnchor>
  <xdr:oneCellAnchor>
    <xdr:from>
      <xdr:col>68</xdr:col>
      <xdr:colOff>77470</xdr:colOff>
      <xdr:row>128</xdr:row>
      <xdr:rowOff>183516</xdr:rowOff>
    </xdr:from>
    <xdr:ext cx="4366866" cy="2173604"/>
    <xdr:pic>
      <xdr:nvPicPr>
        <xdr:cNvPr id="14" name="Image 13">
          <a:extLst>
            <a:ext uri="{FF2B5EF4-FFF2-40B4-BE49-F238E27FC236}">
              <a16:creationId xmlns:a16="http://schemas.microsoft.com/office/drawing/2014/main" id="{9597F902-59CC-41C0-BFD2-AC9CD77EAAD6}"/>
            </a:ext>
          </a:extLst>
        </xdr:cNvPr>
        <xdr:cNvPicPr>
          <a:picLocks noChangeAspect="1"/>
        </xdr:cNvPicPr>
      </xdr:nvPicPr>
      <xdr:blipFill>
        <a:blip xmlns:r="http://schemas.openxmlformats.org/officeDocument/2006/relationships" r:embed="rId7"/>
        <a:stretch>
          <a:fillRect/>
        </a:stretch>
      </xdr:blipFill>
      <xdr:spPr>
        <a:xfrm>
          <a:off x="44940220" y="34187766"/>
          <a:ext cx="4366866" cy="2173604"/>
        </a:xfrm>
        <a:prstGeom prst="rect">
          <a:avLst/>
        </a:prstGeom>
      </xdr:spPr>
    </xdr:pic>
    <xdr:clientData/>
  </xdr:oneCellAnchor>
  <xdr:oneCellAnchor>
    <xdr:from>
      <xdr:col>76</xdr:col>
      <xdr:colOff>267970</xdr:colOff>
      <xdr:row>128</xdr:row>
      <xdr:rowOff>97791</xdr:rowOff>
    </xdr:from>
    <xdr:ext cx="4366866" cy="2173604"/>
    <xdr:pic>
      <xdr:nvPicPr>
        <xdr:cNvPr id="15" name="Image 14">
          <a:extLst>
            <a:ext uri="{FF2B5EF4-FFF2-40B4-BE49-F238E27FC236}">
              <a16:creationId xmlns:a16="http://schemas.microsoft.com/office/drawing/2014/main" id="{CE20813B-886D-44C9-80C7-879C1038A84C}"/>
            </a:ext>
          </a:extLst>
        </xdr:cNvPr>
        <xdr:cNvPicPr>
          <a:picLocks noChangeAspect="1"/>
        </xdr:cNvPicPr>
      </xdr:nvPicPr>
      <xdr:blipFill>
        <a:blip xmlns:r="http://schemas.openxmlformats.org/officeDocument/2006/relationships" r:embed="rId7"/>
        <a:stretch>
          <a:fillRect/>
        </a:stretch>
      </xdr:blipFill>
      <xdr:spPr>
        <a:xfrm>
          <a:off x="56665495" y="34102041"/>
          <a:ext cx="4366866" cy="2173604"/>
        </a:xfrm>
        <a:prstGeom prst="rect">
          <a:avLst/>
        </a:prstGeom>
      </xdr:spPr>
    </xdr:pic>
    <xdr:clientData/>
  </xdr:oneCellAnchor>
  <xdr:oneCellAnchor>
    <xdr:from>
      <xdr:col>75</xdr:col>
      <xdr:colOff>247650</xdr:colOff>
      <xdr:row>46</xdr:row>
      <xdr:rowOff>19050</xdr:rowOff>
    </xdr:from>
    <xdr:ext cx="4873625" cy="1121830"/>
    <xdr:pic>
      <xdr:nvPicPr>
        <xdr:cNvPr id="16" name="Image 15">
          <a:extLst>
            <a:ext uri="{FF2B5EF4-FFF2-40B4-BE49-F238E27FC236}">
              <a16:creationId xmlns:a16="http://schemas.microsoft.com/office/drawing/2014/main" id="{1A1C86A4-74CC-448F-8CC8-A2510349F64E}"/>
            </a:ext>
          </a:extLst>
        </xdr:cNvPr>
        <xdr:cNvPicPr>
          <a:picLocks noChangeAspect="1"/>
        </xdr:cNvPicPr>
      </xdr:nvPicPr>
      <xdr:blipFill>
        <a:blip xmlns:r="http://schemas.openxmlformats.org/officeDocument/2006/relationships" r:embed="rId5"/>
        <a:stretch>
          <a:fillRect/>
        </a:stretch>
      </xdr:blipFill>
      <xdr:spPr>
        <a:xfrm>
          <a:off x="55330725" y="12153900"/>
          <a:ext cx="4873625" cy="1121830"/>
        </a:xfrm>
        <a:prstGeom prst="rect">
          <a:avLst/>
        </a:prstGeom>
      </xdr:spPr>
    </xdr:pic>
    <xdr:clientData/>
  </xdr:oneCellAnchor>
  <xdr:oneCellAnchor>
    <xdr:from>
      <xdr:col>83</xdr:col>
      <xdr:colOff>1210945</xdr:colOff>
      <xdr:row>128</xdr:row>
      <xdr:rowOff>78741</xdr:rowOff>
    </xdr:from>
    <xdr:ext cx="4366866" cy="2173604"/>
    <xdr:pic>
      <xdr:nvPicPr>
        <xdr:cNvPr id="17" name="Image 16">
          <a:extLst>
            <a:ext uri="{FF2B5EF4-FFF2-40B4-BE49-F238E27FC236}">
              <a16:creationId xmlns:a16="http://schemas.microsoft.com/office/drawing/2014/main" id="{751C02F2-6765-4BD2-9F8E-DC7F3EF8B6FB}"/>
            </a:ext>
          </a:extLst>
        </xdr:cNvPr>
        <xdr:cNvPicPr>
          <a:picLocks noChangeAspect="1"/>
        </xdr:cNvPicPr>
      </xdr:nvPicPr>
      <xdr:blipFill>
        <a:blip xmlns:r="http://schemas.openxmlformats.org/officeDocument/2006/relationships" r:embed="rId7"/>
        <a:stretch>
          <a:fillRect/>
        </a:stretch>
      </xdr:blipFill>
      <xdr:spPr>
        <a:xfrm>
          <a:off x="67685920" y="34082991"/>
          <a:ext cx="4366866" cy="2173604"/>
        </a:xfrm>
        <a:prstGeom prst="rect">
          <a:avLst/>
        </a:prstGeom>
      </xdr:spPr>
    </xdr:pic>
    <xdr:clientData/>
  </xdr:oneCellAnchor>
  <xdr:oneCellAnchor>
    <xdr:from>
      <xdr:col>83</xdr:col>
      <xdr:colOff>247650</xdr:colOff>
      <xdr:row>46</xdr:row>
      <xdr:rowOff>19050</xdr:rowOff>
    </xdr:from>
    <xdr:ext cx="4873625" cy="1121830"/>
    <xdr:pic>
      <xdr:nvPicPr>
        <xdr:cNvPr id="18" name="Image 17">
          <a:extLst>
            <a:ext uri="{FF2B5EF4-FFF2-40B4-BE49-F238E27FC236}">
              <a16:creationId xmlns:a16="http://schemas.microsoft.com/office/drawing/2014/main" id="{DD7D0634-F30B-425A-A226-47FC59D433EE}"/>
            </a:ext>
          </a:extLst>
        </xdr:cNvPr>
        <xdr:cNvPicPr>
          <a:picLocks noChangeAspect="1"/>
        </xdr:cNvPicPr>
      </xdr:nvPicPr>
      <xdr:blipFill>
        <a:blip xmlns:r="http://schemas.openxmlformats.org/officeDocument/2006/relationships" r:embed="rId5"/>
        <a:stretch>
          <a:fillRect/>
        </a:stretch>
      </xdr:blipFill>
      <xdr:spPr>
        <a:xfrm>
          <a:off x="66722625" y="12153900"/>
          <a:ext cx="4873625" cy="1121830"/>
        </a:xfrm>
        <a:prstGeom prst="rect">
          <a:avLst/>
        </a:prstGeom>
      </xdr:spPr>
    </xdr:pic>
    <xdr:clientData/>
  </xdr:oneCellAnchor>
  <xdr:twoCellAnchor editAs="oneCell">
    <xdr:from>
      <xdr:col>81</xdr:col>
      <xdr:colOff>847725</xdr:colOff>
      <xdr:row>7</xdr:row>
      <xdr:rowOff>123825</xdr:rowOff>
    </xdr:from>
    <xdr:to>
      <xdr:col>81</xdr:col>
      <xdr:colOff>2095500</xdr:colOff>
      <xdr:row>9</xdr:row>
      <xdr:rowOff>180975</xdr:rowOff>
    </xdr:to>
    <xdr:pic>
      <xdr:nvPicPr>
        <xdr:cNvPr id="19" name="Image 18">
          <a:extLst>
            <a:ext uri="{FF2B5EF4-FFF2-40B4-BE49-F238E27FC236}">
              <a16:creationId xmlns:a16="http://schemas.microsoft.com/office/drawing/2014/main" id="{F23D2A29-F042-47B8-A376-152D62C5955C}"/>
            </a:ext>
          </a:extLst>
        </xdr:cNvPr>
        <xdr:cNvPicPr>
          <a:picLocks noChangeAspect="1"/>
        </xdr:cNvPicPr>
      </xdr:nvPicPr>
      <xdr:blipFill>
        <a:blip xmlns:r="http://schemas.openxmlformats.org/officeDocument/2006/relationships" r:embed="rId2"/>
        <a:stretch>
          <a:fillRect/>
        </a:stretch>
      </xdr:blipFill>
      <xdr:spPr>
        <a:xfrm>
          <a:off x="64550925" y="1857375"/>
          <a:ext cx="1247775" cy="59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485775</xdr:colOff>
      <xdr:row>12</xdr:row>
      <xdr:rowOff>66675</xdr:rowOff>
    </xdr:from>
    <xdr:to>
      <xdr:col>22</xdr:col>
      <xdr:colOff>243728</xdr:colOff>
      <xdr:row>14</xdr:row>
      <xdr:rowOff>180975</xdr:rowOff>
    </xdr:to>
    <xdr:pic>
      <xdr:nvPicPr>
        <xdr:cNvPr id="3" name="Image 2">
          <a:extLst>
            <a:ext uri="{FF2B5EF4-FFF2-40B4-BE49-F238E27FC236}">
              <a16:creationId xmlns:a16="http://schemas.microsoft.com/office/drawing/2014/main" id="{ACA3D8A2-1E7D-40B9-8EEA-24100C66C641}"/>
            </a:ext>
          </a:extLst>
        </xdr:cNvPr>
        <xdr:cNvPicPr>
          <a:picLocks noChangeAspect="1"/>
        </xdr:cNvPicPr>
      </xdr:nvPicPr>
      <xdr:blipFill>
        <a:blip xmlns:r="http://schemas.openxmlformats.org/officeDocument/2006/relationships" r:embed="rId1"/>
        <a:stretch>
          <a:fillRect/>
        </a:stretch>
      </xdr:blipFill>
      <xdr:spPr>
        <a:xfrm>
          <a:off x="13677900" y="3114675"/>
          <a:ext cx="815228" cy="571500"/>
        </a:xfrm>
        <a:prstGeom prst="rect">
          <a:avLst/>
        </a:prstGeom>
      </xdr:spPr>
    </xdr:pic>
    <xdr:clientData/>
  </xdr:twoCellAnchor>
  <xdr:twoCellAnchor editAs="oneCell">
    <xdr:from>
      <xdr:col>44</xdr:col>
      <xdr:colOff>581025</xdr:colOff>
      <xdr:row>12</xdr:row>
      <xdr:rowOff>0</xdr:rowOff>
    </xdr:from>
    <xdr:to>
      <xdr:col>45</xdr:col>
      <xdr:colOff>514763</xdr:colOff>
      <xdr:row>14</xdr:row>
      <xdr:rowOff>152400</xdr:rowOff>
    </xdr:to>
    <xdr:pic>
      <xdr:nvPicPr>
        <xdr:cNvPr id="4" name="Image 3">
          <a:extLst>
            <a:ext uri="{FF2B5EF4-FFF2-40B4-BE49-F238E27FC236}">
              <a16:creationId xmlns:a16="http://schemas.microsoft.com/office/drawing/2014/main" id="{E64BF3C4-393A-4B76-925F-CE7A4CC46E88}"/>
            </a:ext>
          </a:extLst>
        </xdr:cNvPr>
        <xdr:cNvPicPr>
          <a:picLocks noChangeAspect="1"/>
        </xdr:cNvPicPr>
      </xdr:nvPicPr>
      <xdr:blipFill>
        <a:blip xmlns:r="http://schemas.openxmlformats.org/officeDocument/2006/relationships" r:embed="rId2"/>
        <a:stretch>
          <a:fillRect/>
        </a:stretch>
      </xdr:blipFill>
      <xdr:spPr>
        <a:xfrm>
          <a:off x="29765625" y="3048000"/>
          <a:ext cx="848138" cy="609600"/>
        </a:xfrm>
        <a:prstGeom prst="rect">
          <a:avLst/>
        </a:prstGeom>
      </xdr:spPr>
    </xdr:pic>
    <xdr:clientData/>
  </xdr:twoCellAnchor>
  <xdr:twoCellAnchor editAs="oneCell">
    <xdr:from>
      <xdr:col>81</xdr:col>
      <xdr:colOff>409575</xdr:colOff>
      <xdr:row>11</xdr:row>
      <xdr:rowOff>238125</xdr:rowOff>
    </xdr:from>
    <xdr:to>
      <xdr:col>82</xdr:col>
      <xdr:colOff>362071</xdr:colOff>
      <xdr:row>14</xdr:row>
      <xdr:rowOff>76284</xdr:rowOff>
    </xdr:to>
    <xdr:pic>
      <xdr:nvPicPr>
        <xdr:cNvPr id="6" name="Image 5">
          <a:extLst>
            <a:ext uri="{FF2B5EF4-FFF2-40B4-BE49-F238E27FC236}">
              <a16:creationId xmlns:a16="http://schemas.microsoft.com/office/drawing/2014/main" id="{4FF6B0D6-D6F4-4F94-B047-BA0D066EDFF8}"/>
            </a:ext>
          </a:extLst>
        </xdr:cNvPr>
        <xdr:cNvPicPr>
          <a:picLocks noChangeAspect="1"/>
        </xdr:cNvPicPr>
      </xdr:nvPicPr>
      <xdr:blipFill>
        <a:blip xmlns:r="http://schemas.openxmlformats.org/officeDocument/2006/relationships" r:embed="rId3"/>
        <a:stretch>
          <a:fillRect/>
        </a:stretch>
      </xdr:blipFill>
      <xdr:spPr>
        <a:xfrm>
          <a:off x="58140600" y="2981325"/>
          <a:ext cx="866896" cy="600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6315075</xdr:colOff>
      <xdr:row>10</xdr:row>
      <xdr:rowOff>161925</xdr:rowOff>
    </xdr:from>
    <xdr:to>
      <xdr:col>1</xdr:col>
      <xdr:colOff>7130303</xdr:colOff>
      <xdr:row>12</xdr:row>
      <xdr:rowOff>200025</xdr:rowOff>
    </xdr:to>
    <xdr:pic>
      <xdr:nvPicPr>
        <xdr:cNvPr id="2" name="Image 1">
          <a:extLst>
            <a:ext uri="{FF2B5EF4-FFF2-40B4-BE49-F238E27FC236}">
              <a16:creationId xmlns:a16="http://schemas.microsoft.com/office/drawing/2014/main" id="{99911AB3-9371-432E-A2FD-224D036D5243}"/>
            </a:ext>
          </a:extLst>
        </xdr:cNvPr>
        <xdr:cNvPicPr>
          <a:picLocks noChangeAspect="1"/>
        </xdr:cNvPicPr>
      </xdr:nvPicPr>
      <xdr:blipFill>
        <a:blip xmlns:r="http://schemas.openxmlformats.org/officeDocument/2006/relationships" r:embed="rId1"/>
        <a:stretch>
          <a:fillRect/>
        </a:stretch>
      </xdr:blipFill>
      <xdr:spPr>
        <a:xfrm>
          <a:off x="6600825" y="2619375"/>
          <a:ext cx="815228" cy="571500"/>
        </a:xfrm>
        <a:prstGeom prst="rect">
          <a:avLst/>
        </a:prstGeom>
      </xdr:spPr>
    </xdr:pic>
    <xdr:clientData/>
  </xdr:twoCellAnchor>
  <xdr:twoCellAnchor editAs="oneCell">
    <xdr:from>
      <xdr:col>3</xdr:col>
      <xdr:colOff>6219825</xdr:colOff>
      <xdr:row>10</xdr:row>
      <xdr:rowOff>66675</xdr:rowOff>
    </xdr:from>
    <xdr:to>
      <xdr:col>3</xdr:col>
      <xdr:colOff>7239866</xdr:colOff>
      <xdr:row>12</xdr:row>
      <xdr:rowOff>123825</xdr:rowOff>
    </xdr:to>
    <xdr:pic>
      <xdr:nvPicPr>
        <xdr:cNvPr id="3" name="Image 2">
          <a:extLst>
            <a:ext uri="{FF2B5EF4-FFF2-40B4-BE49-F238E27FC236}">
              <a16:creationId xmlns:a16="http://schemas.microsoft.com/office/drawing/2014/main" id="{6577680F-8B21-4A97-8536-0B3B1A0D03AB}"/>
            </a:ext>
          </a:extLst>
        </xdr:cNvPr>
        <xdr:cNvPicPr>
          <a:picLocks noChangeAspect="1"/>
        </xdr:cNvPicPr>
      </xdr:nvPicPr>
      <xdr:blipFill>
        <a:blip xmlns:r="http://schemas.openxmlformats.org/officeDocument/2006/relationships" r:embed="rId2"/>
        <a:stretch>
          <a:fillRect/>
        </a:stretch>
      </xdr:blipFill>
      <xdr:spPr>
        <a:xfrm>
          <a:off x="14220825" y="2524125"/>
          <a:ext cx="1020041" cy="590550"/>
        </a:xfrm>
        <a:prstGeom prst="rect">
          <a:avLst/>
        </a:prstGeom>
      </xdr:spPr>
    </xdr:pic>
    <xdr:clientData/>
  </xdr:twoCellAnchor>
  <xdr:twoCellAnchor editAs="oneCell">
    <xdr:from>
      <xdr:col>5</xdr:col>
      <xdr:colOff>5972175</xdr:colOff>
      <xdr:row>10</xdr:row>
      <xdr:rowOff>66675</xdr:rowOff>
    </xdr:from>
    <xdr:to>
      <xdr:col>5</xdr:col>
      <xdr:colOff>7035658</xdr:colOff>
      <xdr:row>12</xdr:row>
      <xdr:rowOff>114300</xdr:rowOff>
    </xdr:to>
    <xdr:pic>
      <xdr:nvPicPr>
        <xdr:cNvPr id="4" name="Image 3">
          <a:extLst>
            <a:ext uri="{FF2B5EF4-FFF2-40B4-BE49-F238E27FC236}">
              <a16:creationId xmlns:a16="http://schemas.microsoft.com/office/drawing/2014/main" id="{A3758FEA-3E02-47EB-BC72-DB33C164E4D5}"/>
            </a:ext>
          </a:extLst>
        </xdr:cNvPr>
        <xdr:cNvPicPr>
          <a:picLocks noChangeAspect="1"/>
        </xdr:cNvPicPr>
      </xdr:nvPicPr>
      <xdr:blipFill>
        <a:blip xmlns:r="http://schemas.openxmlformats.org/officeDocument/2006/relationships" r:embed="rId3"/>
        <a:stretch>
          <a:fillRect/>
        </a:stretch>
      </xdr:blipFill>
      <xdr:spPr>
        <a:xfrm>
          <a:off x="21650325" y="2524125"/>
          <a:ext cx="1063483"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49</xdr:col>
      <xdr:colOff>371475</xdr:colOff>
      <xdr:row>22</xdr:row>
      <xdr:rowOff>41275</xdr:rowOff>
    </xdr:from>
    <xdr:ext cx="2289175" cy="1058870"/>
    <xdr:pic>
      <xdr:nvPicPr>
        <xdr:cNvPr id="2" name="Image 1">
          <a:extLst>
            <a:ext uri="{FF2B5EF4-FFF2-40B4-BE49-F238E27FC236}">
              <a16:creationId xmlns:a16="http://schemas.microsoft.com/office/drawing/2014/main" id="{48EE1ACF-D176-4338-B81D-51C22831798B}"/>
            </a:ext>
          </a:extLst>
        </xdr:cNvPr>
        <xdr:cNvPicPr>
          <a:picLocks noChangeAspect="1"/>
        </xdr:cNvPicPr>
      </xdr:nvPicPr>
      <xdr:blipFill>
        <a:blip xmlns:r="http://schemas.openxmlformats.org/officeDocument/2006/relationships" r:embed="rId1"/>
        <a:stretch>
          <a:fillRect/>
        </a:stretch>
      </xdr:blipFill>
      <xdr:spPr>
        <a:xfrm>
          <a:off x="33785175" y="5965825"/>
          <a:ext cx="2289175" cy="1058870"/>
        </a:xfrm>
        <a:prstGeom prst="rect">
          <a:avLst/>
        </a:prstGeom>
      </xdr:spPr>
    </xdr:pic>
    <xdr:clientData/>
  </xdr:oneCellAnchor>
  <xdr:oneCellAnchor>
    <xdr:from>
      <xdr:col>50</xdr:col>
      <xdr:colOff>15875</xdr:colOff>
      <xdr:row>34</xdr:row>
      <xdr:rowOff>234950</xdr:rowOff>
    </xdr:from>
    <xdr:ext cx="1962150" cy="958850"/>
    <xdr:pic>
      <xdr:nvPicPr>
        <xdr:cNvPr id="3" name="Image 2">
          <a:extLst>
            <a:ext uri="{FF2B5EF4-FFF2-40B4-BE49-F238E27FC236}">
              <a16:creationId xmlns:a16="http://schemas.microsoft.com/office/drawing/2014/main" id="{BA107682-8F55-4692-BAD2-E2AD26E2EE20}"/>
            </a:ext>
          </a:extLst>
        </xdr:cNvPr>
        <xdr:cNvPicPr>
          <a:picLocks noChangeAspect="1"/>
        </xdr:cNvPicPr>
      </xdr:nvPicPr>
      <xdr:blipFill>
        <a:blip xmlns:r="http://schemas.openxmlformats.org/officeDocument/2006/relationships" r:embed="rId2"/>
        <a:stretch>
          <a:fillRect/>
        </a:stretch>
      </xdr:blipFill>
      <xdr:spPr>
        <a:xfrm>
          <a:off x="34210625" y="9359900"/>
          <a:ext cx="1962150" cy="958850"/>
        </a:xfrm>
        <a:prstGeom prst="rect">
          <a:avLst/>
        </a:prstGeom>
      </xdr:spPr>
    </xdr:pic>
    <xdr:clientData/>
  </xdr:oneCellAnchor>
  <xdr:oneCellAnchor>
    <xdr:from>
      <xdr:col>50</xdr:col>
      <xdr:colOff>476250</xdr:colOff>
      <xdr:row>46</xdr:row>
      <xdr:rowOff>130175</xdr:rowOff>
    </xdr:from>
    <xdr:ext cx="1057275" cy="1120810"/>
    <xdr:pic>
      <xdr:nvPicPr>
        <xdr:cNvPr id="4" name="Image 3">
          <a:extLst>
            <a:ext uri="{FF2B5EF4-FFF2-40B4-BE49-F238E27FC236}">
              <a16:creationId xmlns:a16="http://schemas.microsoft.com/office/drawing/2014/main" id="{55C76005-F280-49E8-8C5D-1D03BB46A876}"/>
            </a:ext>
          </a:extLst>
        </xdr:cNvPr>
        <xdr:cNvPicPr>
          <a:picLocks noChangeAspect="1"/>
        </xdr:cNvPicPr>
      </xdr:nvPicPr>
      <xdr:blipFill>
        <a:blip xmlns:r="http://schemas.openxmlformats.org/officeDocument/2006/relationships" r:embed="rId3"/>
        <a:stretch>
          <a:fillRect/>
        </a:stretch>
      </xdr:blipFill>
      <xdr:spPr>
        <a:xfrm>
          <a:off x="34671000" y="12455525"/>
          <a:ext cx="1057275" cy="1120810"/>
        </a:xfrm>
        <a:prstGeom prst="rect">
          <a:avLst/>
        </a:prstGeom>
      </xdr:spPr>
    </xdr:pic>
    <xdr:clientData/>
  </xdr:oneCellAnchor>
  <xdr:oneCellAnchor>
    <xdr:from>
      <xdr:col>50</xdr:col>
      <xdr:colOff>41275</xdr:colOff>
      <xdr:row>319</xdr:row>
      <xdr:rowOff>57150</xdr:rowOff>
    </xdr:from>
    <xdr:ext cx="1971675" cy="1685059"/>
    <xdr:pic>
      <xdr:nvPicPr>
        <xdr:cNvPr id="5" name="Image 4" descr="Man Cook: Medium-Light Skin Tone">
          <a:extLst>
            <a:ext uri="{FF2B5EF4-FFF2-40B4-BE49-F238E27FC236}">
              <a16:creationId xmlns:a16="http://schemas.microsoft.com/office/drawing/2014/main" id="{7038ABC7-D87F-4C3E-99C3-943439ED01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36025" y="85191600"/>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346076</xdr:colOff>
      <xdr:row>13</xdr:row>
      <xdr:rowOff>66674</xdr:rowOff>
    </xdr:from>
    <xdr:ext cx="2590799" cy="3650362"/>
    <xdr:pic>
      <xdr:nvPicPr>
        <xdr:cNvPr id="6" name="Image 5">
          <a:extLst>
            <a:ext uri="{FF2B5EF4-FFF2-40B4-BE49-F238E27FC236}">
              <a16:creationId xmlns:a16="http://schemas.microsoft.com/office/drawing/2014/main" id="{78C20EFD-341E-45F8-8521-BF6F1C6589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75251" y="3590924"/>
          <a:ext cx="2590799" cy="365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25400</xdr:colOff>
      <xdr:row>45</xdr:row>
      <xdr:rowOff>155575</xdr:rowOff>
    </xdr:from>
    <xdr:ext cx="4282094" cy="3502025"/>
    <xdr:pic>
      <xdr:nvPicPr>
        <xdr:cNvPr id="7" name="Image 6">
          <a:extLst>
            <a:ext uri="{FF2B5EF4-FFF2-40B4-BE49-F238E27FC236}">
              <a16:creationId xmlns:a16="http://schemas.microsoft.com/office/drawing/2014/main" id="{02460CCE-C2EF-4C44-9D58-B45889B74A48}"/>
            </a:ext>
          </a:extLst>
        </xdr:cNvPr>
        <xdr:cNvPicPr>
          <a:picLocks noChangeAspect="1"/>
        </xdr:cNvPicPr>
      </xdr:nvPicPr>
      <xdr:blipFill>
        <a:blip xmlns:r="http://schemas.openxmlformats.org/officeDocument/2006/relationships" r:embed="rId6"/>
        <a:stretch>
          <a:fillRect/>
        </a:stretch>
      </xdr:blipFill>
      <xdr:spPr>
        <a:xfrm>
          <a:off x="3073400" y="12214225"/>
          <a:ext cx="4282094" cy="3502025"/>
        </a:xfrm>
        <a:prstGeom prst="rect">
          <a:avLst/>
        </a:prstGeom>
      </xdr:spPr>
    </xdr:pic>
    <xdr:clientData/>
  </xdr:oneCellAnchor>
  <xdr:oneCellAnchor>
    <xdr:from>
      <xdr:col>5</xdr:col>
      <xdr:colOff>114300</xdr:colOff>
      <xdr:row>61</xdr:row>
      <xdr:rowOff>139700</xdr:rowOff>
    </xdr:from>
    <xdr:ext cx="4064000" cy="2331288"/>
    <xdr:pic>
      <xdr:nvPicPr>
        <xdr:cNvPr id="8" name="Image 7">
          <a:extLst>
            <a:ext uri="{FF2B5EF4-FFF2-40B4-BE49-F238E27FC236}">
              <a16:creationId xmlns:a16="http://schemas.microsoft.com/office/drawing/2014/main" id="{675F9F1C-26BD-4DD4-9308-04CFC9295E4F}"/>
            </a:ext>
          </a:extLst>
        </xdr:cNvPr>
        <xdr:cNvPicPr>
          <a:picLocks noChangeAspect="1"/>
        </xdr:cNvPicPr>
      </xdr:nvPicPr>
      <xdr:blipFill>
        <a:blip xmlns:r="http://schemas.openxmlformats.org/officeDocument/2006/relationships" r:embed="rId7"/>
        <a:stretch>
          <a:fillRect/>
        </a:stretch>
      </xdr:blipFill>
      <xdr:spPr>
        <a:xfrm>
          <a:off x="3162300" y="16465550"/>
          <a:ext cx="4064000" cy="2331288"/>
        </a:xfrm>
        <a:prstGeom prst="rect">
          <a:avLst/>
        </a:prstGeom>
      </xdr:spPr>
    </xdr:pic>
    <xdr:clientData/>
  </xdr:oneCellAnchor>
  <xdr:oneCellAnchor>
    <xdr:from>
      <xdr:col>6</xdr:col>
      <xdr:colOff>0</xdr:colOff>
      <xdr:row>72</xdr:row>
      <xdr:rowOff>177799</xdr:rowOff>
    </xdr:from>
    <xdr:ext cx="3733800" cy="1301173"/>
    <xdr:pic>
      <xdr:nvPicPr>
        <xdr:cNvPr id="9" name="Image 8">
          <a:extLst>
            <a:ext uri="{FF2B5EF4-FFF2-40B4-BE49-F238E27FC236}">
              <a16:creationId xmlns:a16="http://schemas.microsoft.com/office/drawing/2014/main" id="{EE535801-1861-4F09-B9E9-AE48727682D2}"/>
            </a:ext>
          </a:extLst>
        </xdr:cNvPr>
        <xdr:cNvPicPr>
          <a:picLocks noChangeAspect="1"/>
        </xdr:cNvPicPr>
      </xdr:nvPicPr>
      <xdr:blipFill>
        <a:blip xmlns:r="http://schemas.openxmlformats.org/officeDocument/2006/relationships" r:embed="rId8"/>
        <a:stretch>
          <a:fillRect/>
        </a:stretch>
      </xdr:blipFill>
      <xdr:spPr>
        <a:xfrm>
          <a:off x="3314700" y="19437349"/>
          <a:ext cx="3733800" cy="1301173"/>
        </a:xfrm>
        <a:prstGeom prst="rect">
          <a:avLst/>
        </a:prstGeom>
      </xdr:spPr>
    </xdr:pic>
    <xdr:clientData/>
  </xdr:oneCellAnchor>
  <xdr:oneCellAnchor>
    <xdr:from>
      <xdr:col>5</xdr:col>
      <xdr:colOff>127000</xdr:colOff>
      <xdr:row>79</xdr:row>
      <xdr:rowOff>177800</xdr:rowOff>
    </xdr:from>
    <xdr:ext cx="3752686" cy="1701800"/>
    <xdr:pic>
      <xdr:nvPicPr>
        <xdr:cNvPr id="10" name="Image 9">
          <a:extLst>
            <a:ext uri="{FF2B5EF4-FFF2-40B4-BE49-F238E27FC236}">
              <a16:creationId xmlns:a16="http://schemas.microsoft.com/office/drawing/2014/main" id="{754A11DB-106A-4953-8A68-8E2E37B64376}"/>
            </a:ext>
          </a:extLst>
        </xdr:cNvPr>
        <xdr:cNvPicPr>
          <a:picLocks noChangeAspect="1"/>
        </xdr:cNvPicPr>
      </xdr:nvPicPr>
      <xdr:blipFill>
        <a:blip xmlns:r="http://schemas.openxmlformats.org/officeDocument/2006/relationships" r:embed="rId9"/>
        <a:stretch>
          <a:fillRect/>
        </a:stretch>
      </xdr:blipFill>
      <xdr:spPr>
        <a:xfrm>
          <a:off x="3175000" y="21304250"/>
          <a:ext cx="3752686" cy="1701800"/>
        </a:xfrm>
        <a:prstGeom prst="rect">
          <a:avLst/>
        </a:prstGeom>
      </xdr:spPr>
    </xdr:pic>
    <xdr:clientData/>
  </xdr:oneCellAnchor>
  <xdr:oneCellAnchor>
    <xdr:from>
      <xdr:col>64</xdr:col>
      <xdr:colOff>241300</xdr:colOff>
      <xdr:row>33</xdr:row>
      <xdr:rowOff>124460</xdr:rowOff>
    </xdr:from>
    <xdr:ext cx="4873625" cy="1121830"/>
    <xdr:pic>
      <xdr:nvPicPr>
        <xdr:cNvPr id="11" name="Image 10">
          <a:extLst>
            <a:ext uri="{FF2B5EF4-FFF2-40B4-BE49-F238E27FC236}">
              <a16:creationId xmlns:a16="http://schemas.microsoft.com/office/drawing/2014/main" id="{8CE5028E-93BD-4F7A-8F3E-200A69F2161D}"/>
            </a:ext>
          </a:extLst>
        </xdr:cNvPr>
        <xdr:cNvPicPr>
          <a:picLocks noChangeAspect="1"/>
        </xdr:cNvPicPr>
      </xdr:nvPicPr>
      <xdr:blipFill>
        <a:blip xmlns:r="http://schemas.openxmlformats.org/officeDocument/2006/relationships" r:embed="rId10"/>
        <a:stretch>
          <a:fillRect/>
        </a:stretch>
      </xdr:blipFill>
      <xdr:spPr>
        <a:xfrm>
          <a:off x="48923575" y="8982710"/>
          <a:ext cx="4873625" cy="1121830"/>
        </a:xfrm>
        <a:prstGeom prst="rect">
          <a:avLst/>
        </a:prstGeom>
      </xdr:spPr>
    </xdr:pic>
    <xdr:clientData/>
  </xdr:oneCellAnchor>
  <xdr:oneCellAnchor>
    <xdr:from>
      <xdr:col>65</xdr:col>
      <xdr:colOff>1477645</xdr:colOff>
      <xdr:row>83</xdr:row>
      <xdr:rowOff>183516</xdr:rowOff>
    </xdr:from>
    <xdr:ext cx="4366866" cy="2173604"/>
    <xdr:pic>
      <xdr:nvPicPr>
        <xdr:cNvPr id="12" name="Image 11">
          <a:extLst>
            <a:ext uri="{FF2B5EF4-FFF2-40B4-BE49-F238E27FC236}">
              <a16:creationId xmlns:a16="http://schemas.microsoft.com/office/drawing/2014/main" id="{3E666964-4FA3-4822-A400-21FBA6730A1B}"/>
            </a:ext>
          </a:extLst>
        </xdr:cNvPr>
        <xdr:cNvPicPr>
          <a:picLocks noChangeAspect="1"/>
        </xdr:cNvPicPr>
      </xdr:nvPicPr>
      <xdr:blipFill>
        <a:blip xmlns:r="http://schemas.openxmlformats.org/officeDocument/2006/relationships" r:embed="rId11"/>
        <a:stretch>
          <a:fillRect/>
        </a:stretch>
      </xdr:blipFill>
      <xdr:spPr>
        <a:xfrm>
          <a:off x="51407695" y="22376766"/>
          <a:ext cx="4366866" cy="217360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33</xdr:col>
      <xdr:colOff>355600</xdr:colOff>
      <xdr:row>279</xdr:row>
      <xdr:rowOff>317500</xdr:rowOff>
    </xdr:from>
    <xdr:ext cx="1781299" cy="1686185"/>
    <xdr:pic>
      <xdr:nvPicPr>
        <xdr:cNvPr id="2" name="Picture 1">
          <a:extLst>
            <a:ext uri="{FF2B5EF4-FFF2-40B4-BE49-F238E27FC236}">
              <a16:creationId xmlns:a16="http://schemas.microsoft.com/office/drawing/2014/main" id="{8FDB99A8-B9BF-46F9-BEBA-7AA01C17BB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07000"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266</xdr:row>
      <xdr:rowOff>469900</xdr:rowOff>
    </xdr:from>
    <xdr:ext cx="558799" cy="562381"/>
    <xdr:pic>
      <xdr:nvPicPr>
        <xdr:cNvPr id="3" name="Image 2">
          <a:extLst>
            <a:ext uri="{FF2B5EF4-FFF2-40B4-BE49-F238E27FC236}">
              <a16:creationId xmlns:a16="http://schemas.microsoft.com/office/drawing/2014/main" id="{21585B17-C765-4AB8-A4F7-38E81020A309}"/>
            </a:ext>
          </a:extLst>
        </xdr:cNvPr>
        <xdr:cNvPicPr>
          <a:picLocks noChangeAspect="1"/>
        </xdr:cNvPicPr>
      </xdr:nvPicPr>
      <xdr:blipFill>
        <a:blip xmlns:r="http://schemas.openxmlformats.org/officeDocument/2006/relationships" r:embed="rId2"/>
        <a:stretch>
          <a:fillRect/>
        </a:stretch>
      </xdr:blipFill>
      <xdr:spPr>
        <a:xfrm>
          <a:off x="14770101" y="119284750"/>
          <a:ext cx="558799" cy="562381"/>
        </a:xfrm>
        <a:prstGeom prst="rect">
          <a:avLst/>
        </a:prstGeom>
        <a:solidFill>
          <a:srgbClr val="000000"/>
        </a:solidFill>
      </xdr:spPr>
    </xdr:pic>
    <xdr:clientData/>
  </xdr:oneCellAnchor>
  <xdr:oneCellAnchor>
    <xdr:from>
      <xdr:col>17</xdr:col>
      <xdr:colOff>215900</xdr:colOff>
      <xdr:row>266</xdr:row>
      <xdr:rowOff>457200</xdr:rowOff>
    </xdr:from>
    <xdr:ext cx="533400" cy="536755"/>
    <xdr:pic>
      <xdr:nvPicPr>
        <xdr:cNvPr id="4" name="Image 3">
          <a:extLst>
            <a:ext uri="{FF2B5EF4-FFF2-40B4-BE49-F238E27FC236}">
              <a16:creationId xmlns:a16="http://schemas.microsoft.com/office/drawing/2014/main" id="{578F392E-4545-45D8-9299-D838C5B6132D}"/>
            </a:ext>
          </a:extLst>
        </xdr:cNvPr>
        <xdr:cNvPicPr>
          <a:picLocks noChangeAspect="1"/>
        </xdr:cNvPicPr>
      </xdr:nvPicPr>
      <xdr:blipFill>
        <a:blip xmlns:r="http://schemas.openxmlformats.org/officeDocument/2006/relationships" r:embed="rId3"/>
        <a:stretch>
          <a:fillRect/>
        </a:stretch>
      </xdr:blipFill>
      <xdr:spPr>
        <a:xfrm>
          <a:off x="15941675" y="119272050"/>
          <a:ext cx="533400" cy="536755"/>
        </a:xfrm>
        <a:prstGeom prst="rect">
          <a:avLst/>
        </a:prstGeom>
      </xdr:spPr>
    </xdr:pic>
    <xdr:clientData/>
  </xdr:oneCellAnchor>
  <xdr:oneCellAnchor>
    <xdr:from>
      <xdr:col>18</xdr:col>
      <xdr:colOff>381001</xdr:colOff>
      <xdr:row>266</xdr:row>
      <xdr:rowOff>431801</xdr:rowOff>
    </xdr:from>
    <xdr:ext cx="584200" cy="556214"/>
    <xdr:pic>
      <xdr:nvPicPr>
        <xdr:cNvPr id="5" name="Image 4">
          <a:extLst>
            <a:ext uri="{FF2B5EF4-FFF2-40B4-BE49-F238E27FC236}">
              <a16:creationId xmlns:a16="http://schemas.microsoft.com/office/drawing/2014/main" id="{A450D0EC-DD01-4FBD-9FB8-CE101D910629}"/>
            </a:ext>
          </a:extLst>
        </xdr:cNvPr>
        <xdr:cNvPicPr>
          <a:picLocks noChangeAspect="1"/>
        </xdr:cNvPicPr>
      </xdr:nvPicPr>
      <xdr:blipFill>
        <a:blip xmlns:r="http://schemas.openxmlformats.org/officeDocument/2006/relationships" r:embed="rId4"/>
        <a:stretch>
          <a:fillRect/>
        </a:stretch>
      </xdr:blipFill>
      <xdr:spPr>
        <a:xfrm>
          <a:off x="16868776" y="119246651"/>
          <a:ext cx="584200" cy="556214"/>
        </a:xfrm>
        <a:prstGeom prst="rect">
          <a:avLst/>
        </a:prstGeom>
      </xdr:spPr>
    </xdr:pic>
    <xdr:clientData/>
  </xdr:oneCellAnchor>
  <xdr:oneCellAnchor>
    <xdr:from>
      <xdr:col>19</xdr:col>
      <xdr:colOff>622301</xdr:colOff>
      <xdr:row>266</xdr:row>
      <xdr:rowOff>457200</xdr:rowOff>
    </xdr:from>
    <xdr:ext cx="647700" cy="505624"/>
    <xdr:pic>
      <xdr:nvPicPr>
        <xdr:cNvPr id="6" name="Image 5">
          <a:extLst>
            <a:ext uri="{FF2B5EF4-FFF2-40B4-BE49-F238E27FC236}">
              <a16:creationId xmlns:a16="http://schemas.microsoft.com/office/drawing/2014/main" id="{A75B8372-8387-4681-9F4D-1E5BBC477655}"/>
            </a:ext>
          </a:extLst>
        </xdr:cNvPr>
        <xdr:cNvPicPr>
          <a:picLocks noChangeAspect="1"/>
        </xdr:cNvPicPr>
      </xdr:nvPicPr>
      <xdr:blipFill>
        <a:blip xmlns:r="http://schemas.openxmlformats.org/officeDocument/2006/relationships" r:embed="rId5"/>
        <a:stretch>
          <a:fillRect/>
        </a:stretch>
      </xdr:blipFill>
      <xdr:spPr>
        <a:xfrm>
          <a:off x="17872076" y="119272050"/>
          <a:ext cx="647700" cy="505624"/>
        </a:xfrm>
        <a:prstGeom prst="rect">
          <a:avLst/>
        </a:prstGeom>
      </xdr:spPr>
    </xdr:pic>
    <xdr:clientData/>
  </xdr:oneCellAnchor>
  <xdr:oneCellAnchor>
    <xdr:from>
      <xdr:col>21</xdr:col>
      <xdr:colOff>127000</xdr:colOff>
      <xdr:row>266</xdr:row>
      <xdr:rowOff>431800</xdr:rowOff>
    </xdr:from>
    <xdr:ext cx="518583" cy="533400"/>
    <xdr:pic>
      <xdr:nvPicPr>
        <xdr:cNvPr id="7" name="Image 6">
          <a:extLst>
            <a:ext uri="{FF2B5EF4-FFF2-40B4-BE49-F238E27FC236}">
              <a16:creationId xmlns:a16="http://schemas.microsoft.com/office/drawing/2014/main" id="{DFFCBEDC-AE18-4087-8C74-B2A86E88B402}"/>
            </a:ext>
          </a:extLst>
        </xdr:cNvPr>
        <xdr:cNvPicPr>
          <a:picLocks noChangeAspect="1"/>
        </xdr:cNvPicPr>
      </xdr:nvPicPr>
      <xdr:blipFill>
        <a:blip xmlns:r="http://schemas.openxmlformats.org/officeDocument/2006/relationships" r:embed="rId6"/>
        <a:stretch>
          <a:fillRect/>
        </a:stretch>
      </xdr:blipFill>
      <xdr:spPr>
        <a:xfrm>
          <a:off x="18938875" y="119246650"/>
          <a:ext cx="518583" cy="533400"/>
        </a:xfrm>
        <a:prstGeom prst="rect">
          <a:avLst/>
        </a:prstGeom>
      </xdr:spPr>
    </xdr:pic>
    <xdr:clientData/>
  </xdr:oneCellAnchor>
  <xdr:oneCellAnchor>
    <xdr:from>
      <xdr:col>21</xdr:col>
      <xdr:colOff>990600</xdr:colOff>
      <xdr:row>266</xdr:row>
      <xdr:rowOff>444500</xdr:rowOff>
    </xdr:from>
    <xdr:ext cx="508000" cy="508000"/>
    <xdr:pic>
      <xdr:nvPicPr>
        <xdr:cNvPr id="8" name="Image 7">
          <a:extLst>
            <a:ext uri="{FF2B5EF4-FFF2-40B4-BE49-F238E27FC236}">
              <a16:creationId xmlns:a16="http://schemas.microsoft.com/office/drawing/2014/main" id="{B5A715F3-CD94-4900-AFE1-FECFCF85BFF6}"/>
            </a:ext>
          </a:extLst>
        </xdr:cNvPr>
        <xdr:cNvPicPr>
          <a:picLocks noChangeAspect="1"/>
        </xdr:cNvPicPr>
      </xdr:nvPicPr>
      <xdr:blipFill>
        <a:blip xmlns:r="http://schemas.openxmlformats.org/officeDocument/2006/relationships" r:embed="rId7"/>
        <a:stretch>
          <a:fillRect/>
        </a:stretch>
      </xdr:blipFill>
      <xdr:spPr>
        <a:xfrm>
          <a:off x="19802475" y="119259350"/>
          <a:ext cx="508000" cy="508000"/>
        </a:xfrm>
        <a:prstGeom prst="rect">
          <a:avLst/>
        </a:prstGeom>
      </xdr:spPr>
    </xdr:pic>
    <xdr:clientData/>
  </xdr:oneCellAnchor>
  <xdr:oneCellAnchor>
    <xdr:from>
      <xdr:col>23</xdr:col>
      <xdr:colOff>558800</xdr:colOff>
      <xdr:row>266</xdr:row>
      <xdr:rowOff>469900</xdr:rowOff>
    </xdr:from>
    <xdr:ext cx="516579" cy="469900"/>
    <xdr:pic>
      <xdr:nvPicPr>
        <xdr:cNvPr id="9" name="Image 8">
          <a:extLst>
            <a:ext uri="{FF2B5EF4-FFF2-40B4-BE49-F238E27FC236}">
              <a16:creationId xmlns:a16="http://schemas.microsoft.com/office/drawing/2014/main" id="{39C49B9B-9A8C-4BAD-8712-0D160FD52804}"/>
            </a:ext>
          </a:extLst>
        </xdr:cNvPr>
        <xdr:cNvPicPr>
          <a:picLocks noChangeAspect="1"/>
        </xdr:cNvPicPr>
      </xdr:nvPicPr>
      <xdr:blipFill>
        <a:blip xmlns:r="http://schemas.openxmlformats.org/officeDocument/2006/relationships" r:embed="rId8"/>
        <a:stretch>
          <a:fillRect/>
        </a:stretch>
      </xdr:blipFill>
      <xdr:spPr>
        <a:xfrm>
          <a:off x="21647150" y="119284750"/>
          <a:ext cx="516579" cy="469900"/>
        </a:xfrm>
        <a:prstGeom prst="rect">
          <a:avLst/>
        </a:prstGeom>
      </xdr:spPr>
    </xdr:pic>
    <xdr:clientData/>
  </xdr:oneCellAnchor>
  <xdr:oneCellAnchor>
    <xdr:from>
      <xdr:col>22</xdr:col>
      <xdr:colOff>673100</xdr:colOff>
      <xdr:row>266</xdr:row>
      <xdr:rowOff>457200</xdr:rowOff>
    </xdr:from>
    <xdr:ext cx="495299" cy="495299"/>
    <xdr:pic>
      <xdr:nvPicPr>
        <xdr:cNvPr id="10" name="Image 9">
          <a:extLst>
            <a:ext uri="{FF2B5EF4-FFF2-40B4-BE49-F238E27FC236}">
              <a16:creationId xmlns:a16="http://schemas.microsoft.com/office/drawing/2014/main" id="{99D662F4-3A9A-4F19-AD91-4170A7F083AF}"/>
            </a:ext>
          </a:extLst>
        </xdr:cNvPr>
        <xdr:cNvPicPr>
          <a:picLocks noChangeAspect="1"/>
        </xdr:cNvPicPr>
      </xdr:nvPicPr>
      <xdr:blipFill>
        <a:blip xmlns:r="http://schemas.openxmlformats.org/officeDocument/2006/relationships" r:embed="rId9"/>
        <a:stretch>
          <a:fillRect/>
        </a:stretch>
      </xdr:blipFill>
      <xdr:spPr>
        <a:xfrm>
          <a:off x="20694650" y="119272050"/>
          <a:ext cx="495299" cy="495299"/>
        </a:xfrm>
        <a:prstGeom prst="rect">
          <a:avLst/>
        </a:prstGeom>
      </xdr:spPr>
    </xdr:pic>
    <xdr:clientData/>
  </xdr:oneCellAnchor>
  <xdr:twoCellAnchor editAs="oneCell">
    <xdr:from>
      <xdr:col>2</xdr:col>
      <xdr:colOff>285750</xdr:colOff>
      <xdr:row>59</xdr:row>
      <xdr:rowOff>152400</xdr:rowOff>
    </xdr:from>
    <xdr:to>
      <xdr:col>2</xdr:col>
      <xdr:colOff>717550</xdr:colOff>
      <xdr:row>60</xdr:row>
      <xdr:rowOff>74105</xdr:rowOff>
    </xdr:to>
    <xdr:pic>
      <xdr:nvPicPr>
        <xdr:cNvPr id="11" name="Image 10">
          <a:extLst>
            <a:ext uri="{FF2B5EF4-FFF2-40B4-BE49-F238E27FC236}">
              <a16:creationId xmlns:a16="http://schemas.microsoft.com/office/drawing/2014/main" id="{1468A005-5147-4419-B6C6-5D79F7274636}"/>
            </a:ext>
          </a:extLst>
        </xdr:cNvPr>
        <xdr:cNvPicPr>
          <a:picLocks noChangeAspect="1"/>
        </xdr:cNvPicPr>
      </xdr:nvPicPr>
      <xdr:blipFill>
        <a:blip xmlns:r="http://schemas.openxmlformats.org/officeDocument/2006/relationships" r:embed="rId10"/>
        <a:stretch>
          <a:fillRect/>
        </a:stretch>
      </xdr:blipFill>
      <xdr:spPr>
        <a:xfrm>
          <a:off x="2295525" y="22631400"/>
          <a:ext cx="431800" cy="302705"/>
        </a:xfrm>
        <a:prstGeom prst="rect">
          <a:avLst/>
        </a:prstGeom>
      </xdr:spPr>
    </xdr:pic>
    <xdr:clientData/>
  </xdr:twoCellAnchor>
  <xdr:twoCellAnchor editAs="oneCell">
    <xdr:from>
      <xdr:col>18</xdr:col>
      <xdr:colOff>76200</xdr:colOff>
      <xdr:row>59</xdr:row>
      <xdr:rowOff>117475</xdr:rowOff>
    </xdr:from>
    <xdr:to>
      <xdr:col>18</xdr:col>
      <xdr:colOff>558800</xdr:colOff>
      <xdr:row>60</xdr:row>
      <xdr:rowOff>83344</xdr:rowOff>
    </xdr:to>
    <xdr:pic>
      <xdr:nvPicPr>
        <xdr:cNvPr id="12" name="Image 11">
          <a:extLst>
            <a:ext uri="{FF2B5EF4-FFF2-40B4-BE49-F238E27FC236}">
              <a16:creationId xmlns:a16="http://schemas.microsoft.com/office/drawing/2014/main" id="{1E5D38B6-BE00-40EF-A59C-8EBF0ACE3368}"/>
            </a:ext>
          </a:extLst>
        </xdr:cNvPr>
        <xdr:cNvPicPr>
          <a:picLocks noChangeAspect="1"/>
        </xdr:cNvPicPr>
      </xdr:nvPicPr>
      <xdr:blipFill>
        <a:blip xmlns:r="http://schemas.openxmlformats.org/officeDocument/2006/relationships" r:embed="rId11"/>
        <a:stretch>
          <a:fillRect/>
        </a:stretch>
      </xdr:blipFill>
      <xdr:spPr>
        <a:xfrm>
          <a:off x="16563975" y="22596475"/>
          <a:ext cx="482600" cy="346869"/>
        </a:xfrm>
        <a:prstGeom prst="rect">
          <a:avLst/>
        </a:prstGeom>
      </xdr:spPr>
    </xdr:pic>
    <xdr:clientData/>
  </xdr:twoCellAnchor>
  <xdr:twoCellAnchor editAs="oneCell">
    <xdr:from>
      <xdr:col>21</xdr:col>
      <xdr:colOff>1203325</xdr:colOff>
      <xdr:row>20</xdr:row>
      <xdr:rowOff>69850</xdr:rowOff>
    </xdr:from>
    <xdr:to>
      <xdr:col>22</xdr:col>
      <xdr:colOff>885248</xdr:colOff>
      <xdr:row>21</xdr:row>
      <xdr:rowOff>203200</xdr:rowOff>
    </xdr:to>
    <xdr:pic>
      <xdr:nvPicPr>
        <xdr:cNvPr id="13" name="Image 12">
          <a:extLst>
            <a:ext uri="{FF2B5EF4-FFF2-40B4-BE49-F238E27FC236}">
              <a16:creationId xmlns:a16="http://schemas.microsoft.com/office/drawing/2014/main" id="{63F07E9E-EA97-4121-BEF6-B998A21DC0F0}"/>
            </a:ext>
          </a:extLst>
        </xdr:cNvPr>
        <xdr:cNvPicPr>
          <a:picLocks noChangeAspect="1"/>
        </xdr:cNvPicPr>
      </xdr:nvPicPr>
      <xdr:blipFill>
        <a:blip xmlns:r="http://schemas.openxmlformats.org/officeDocument/2006/relationships" r:embed="rId11"/>
        <a:stretch>
          <a:fillRect/>
        </a:stretch>
      </xdr:blipFill>
      <xdr:spPr>
        <a:xfrm>
          <a:off x="20015200" y="7689850"/>
          <a:ext cx="891598" cy="514350"/>
        </a:xfrm>
        <a:prstGeom prst="rect">
          <a:avLst/>
        </a:prstGeom>
      </xdr:spPr>
    </xdr:pic>
    <xdr:clientData/>
  </xdr:twoCellAnchor>
  <xdr:twoCellAnchor editAs="oneCell">
    <xdr:from>
      <xdr:col>21</xdr:col>
      <xdr:colOff>1089025</xdr:colOff>
      <xdr:row>38</xdr:row>
      <xdr:rowOff>304800</xdr:rowOff>
    </xdr:from>
    <xdr:to>
      <xdr:col>22</xdr:col>
      <xdr:colOff>770948</xdr:colOff>
      <xdr:row>40</xdr:row>
      <xdr:rowOff>57150</xdr:rowOff>
    </xdr:to>
    <xdr:pic>
      <xdr:nvPicPr>
        <xdr:cNvPr id="14" name="Image 13">
          <a:extLst>
            <a:ext uri="{FF2B5EF4-FFF2-40B4-BE49-F238E27FC236}">
              <a16:creationId xmlns:a16="http://schemas.microsoft.com/office/drawing/2014/main" id="{CB608C92-18CF-494B-BAFD-0ECA89A66B5E}"/>
            </a:ext>
          </a:extLst>
        </xdr:cNvPr>
        <xdr:cNvPicPr>
          <a:picLocks noChangeAspect="1"/>
        </xdr:cNvPicPr>
      </xdr:nvPicPr>
      <xdr:blipFill>
        <a:blip xmlns:r="http://schemas.openxmlformats.org/officeDocument/2006/relationships" r:embed="rId11"/>
        <a:stretch>
          <a:fillRect/>
        </a:stretch>
      </xdr:blipFill>
      <xdr:spPr>
        <a:xfrm>
          <a:off x="19900900" y="14782800"/>
          <a:ext cx="891598" cy="514350"/>
        </a:xfrm>
        <a:prstGeom prst="rect">
          <a:avLst/>
        </a:prstGeom>
      </xdr:spPr>
    </xdr:pic>
    <xdr:clientData/>
  </xdr:twoCellAnchor>
  <xdr:oneCellAnchor>
    <xdr:from>
      <xdr:col>4</xdr:col>
      <xdr:colOff>25400</xdr:colOff>
      <xdr:row>221</xdr:row>
      <xdr:rowOff>12700</xdr:rowOff>
    </xdr:from>
    <xdr:ext cx="2562583" cy="276253"/>
    <xdr:pic>
      <xdr:nvPicPr>
        <xdr:cNvPr id="15" name="Image 14">
          <a:extLst>
            <a:ext uri="{FF2B5EF4-FFF2-40B4-BE49-F238E27FC236}">
              <a16:creationId xmlns:a16="http://schemas.microsoft.com/office/drawing/2014/main" id="{5A936A5C-8868-405C-A5FC-6D668A99F33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225925" y="97720150"/>
          <a:ext cx="2562583" cy="276253"/>
        </a:xfrm>
        <a:prstGeom prst="rect">
          <a:avLst/>
        </a:prstGeom>
      </xdr:spPr>
    </xdr:pic>
    <xdr:clientData/>
  </xdr:oneCellAnchor>
  <xdr:oneCellAnchor>
    <xdr:from>
      <xdr:col>4</xdr:col>
      <xdr:colOff>596900</xdr:colOff>
      <xdr:row>223</xdr:row>
      <xdr:rowOff>25399</xdr:rowOff>
    </xdr:from>
    <xdr:ext cx="2235200" cy="1197925"/>
    <xdr:pic>
      <xdr:nvPicPr>
        <xdr:cNvPr id="16" name="Image 15">
          <a:extLst>
            <a:ext uri="{FF2B5EF4-FFF2-40B4-BE49-F238E27FC236}">
              <a16:creationId xmlns:a16="http://schemas.microsoft.com/office/drawing/2014/main" id="{29922D0C-6ADA-4DB8-915B-8CD8C9F694B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97425" y="98494849"/>
          <a:ext cx="2235200" cy="1197925"/>
        </a:xfrm>
        <a:prstGeom prst="rect">
          <a:avLst/>
        </a:prstGeom>
      </xdr:spPr>
    </xdr:pic>
    <xdr:clientData/>
  </xdr:oneCellAnchor>
  <xdr:oneCellAnchor>
    <xdr:from>
      <xdr:col>16</xdr:col>
      <xdr:colOff>85725</xdr:colOff>
      <xdr:row>221</xdr:row>
      <xdr:rowOff>238125</xdr:rowOff>
    </xdr:from>
    <xdr:ext cx="5105400" cy="2000250"/>
    <xdr:pic>
      <xdr:nvPicPr>
        <xdr:cNvPr id="17" name="Image 16">
          <a:extLst>
            <a:ext uri="{FF2B5EF4-FFF2-40B4-BE49-F238E27FC236}">
              <a16:creationId xmlns:a16="http://schemas.microsoft.com/office/drawing/2014/main" id="{CF1A822E-BA00-4FF2-B70F-B994D1AEDF8F}"/>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049500" y="97945575"/>
          <a:ext cx="5105400" cy="20002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4</xdr:col>
      <xdr:colOff>228599</xdr:colOff>
      <xdr:row>94</xdr:row>
      <xdr:rowOff>9525</xdr:rowOff>
    </xdr:from>
    <xdr:to>
      <xdr:col>4</xdr:col>
      <xdr:colOff>636737</xdr:colOff>
      <xdr:row>96</xdr:row>
      <xdr:rowOff>17613</xdr:rowOff>
    </xdr:to>
    <xdr:pic>
      <xdr:nvPicPr>
        <xdr:cNvPr id="2" name="Image 1" descr="Google (Android 12L)">
          <a:extLst>
            <a:ext uri="{FF2B5EF4-FFF2-40B4-BE49-F238E27FC236}">
              <a16:creationId xmlns:a16="http://schemas.microsoft.com/office/drawing/2014/main" id="{77E293BC-5AC5-455E-9A7A-6BD353815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94</xdr:row>
      <xdr:rowOff>0</xdr:rowOff>
    </xdr:from>
    <xdr:to>
      <xdr:col>5</xdr:col>
      <xdr:colOff>447675</xdr:colOff>
      <xdr:row>95</xdr:row>
      <xdr:rowOff>104775</xdr:rowOff>
    </xdr:to>
    <xdr:pic>
      <xdr:nvPicPr>
        <xdr:cNvPr id="3" name="Image 2" descr="🔗 Lien">
          <a:extLst>
            <a:ext uri="{FF2B5EF4-FFF2-40B4-BE49-F238E27FC236}">
              <a16:creationId xmlns:a16="http://schemas.microsoft.com/office/drawing/2014/main" id="{67F58523-679A-4A3D-AECF-CBB33EFBDB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94</xdr:row>
      <xdr:rowOff>1</xdr:rowOff>
    </xdr:from>
    <xdr:to>
      <xdr:col>6</xdr:col>
      <xdr:colOff>333375</xdr:colOff>
      <xdr:row>95</xdr:row>
      <xdr:rowOff>171092</xdr:rowOff>
    </xdr:to>
    <xdr:pic>
      <xdr:nvPicPr>
        <xdr:cNvPr id="4" name="Image 3">
          <a:extLst>
            <a:ext uri="{FF2B5EF4-FFF2-40B4-BE49-F238E27FC236}">
              <a16:creationId xmlns:a16="http://schemas.microsoft.com/office/drawing/2014/main" id="{C1167832-DE6E-40F1-BB21-2109390658A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4460201"/>
          <a:ext cx="333375" cy="371116"/>
        </a:xfrm>
        <a:prstGeom prst="rect">
          <a:avLst/>
        </a:prstGeom>
      </xdr:spPr>
    </xdr:pic>
    <xdr:clientData/>
  </xdr:twoCellAnchor>
  <xdr:oneCellAnchor>
    <xdr:from>
      <xdr:col>9</xdr:col>
      <xdr:colOff>0</xdr:colOff>
      <xdr:row>48</xdr:row>
      <xdr:rowOff>0</xdr:rowOff>
    </xdr:from>
    <xdr:ext cx="1438476" cy="781159"/>
    <xdr:pic>
      <xdr:nvPicPr>
        <xdr:cNvPr id="5" name="Image 4">
          <a:extLst>
            <a:ext uri="{FF2B5EF4-FFF2-40B4-BE49-F238E27FC236}">
              <a16:creationId xmlns:a16="http://schemas.microsoft.com/office/drawing/2014/main" id="{A7E97087-7257-4D7F-8783-22B917C3235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5106650"/>
          <a:ext cx="1438476" cy="781159"/>
        </a:xfrm>
        <a:prstGeom prst="rect">
          <a:avLst/>
        </a:prstGeom>
      </xdr:spPr>
    </xdr:pic>
    <xdr:clientData/>
  </xdr:oneCellAnchor>
  <xdr:oneCellAnchor>
    <xdr:from>
      <xdr:col>9</xdr:col>
      <xdr:colOff>0</xdr:colOff>
      <xdr:row>53</xdr:row>
      <xdr:rowOff>0</xdr:rowOff>
    </xdr:from>
    <xdr:ext cx="3639058" cy="2133898"/>
    <xdr:pic>
      <xdr:nvPicPr>
        <xdr:cNvPr id="6" name="Image 5">
          <a:extLst>
            <a:ext uri="{FF2B5EF4-FFF2-40B4-BE49-F238E27FC236}">
              <a16:creationId xmlns:a16="http://schemas.microsoft.com/office/drawing/2014/main" id="{B3315F7B-AE39-4BE1-950F-66648758FF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6106775"/>
          <a:ext cx="3639058" cy="2133898"/>
        </a:xfrm>
        <a:prstGeom prst="rect">
          <a:avLst/>
        </a:prstGeom>
      </xdr:spPr>
    </xdr:pic>
    <xdr:clientData/>
  </xdr:oneCellAnchor>
  <xdr:oneCellAnchor>
    <xdr:from>
      <xdr:col>25</xdr:col>
      <xdr:colOff>228599</xdr:colOff>
      <xdr:row>94</xdr:row>
      <xdr:rowOff>9525</xdr:rowOff>
    </xdr:from>
    <xdr:ext cx="408138" cy="408138"/>
    <xdr:pic>
      <xdr:nvPicPr>
        <xdr:cNvPr id="7" name="Image 6" descr="Google (Android 12L)">
          <a:extLst>
            <a:ext uri="{FF2B5EF4-FFF2-40B4-BE49-F238E27FC236}">
              <a16:creationId xmlns:a16="http://schemas.microsoft.com/office/drawing/2014/main" id="{B8EAC4E6-7941-4E7A-A9AA-F34A1658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22907624"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142875</xdr:colOff>
      <xdr:row>94</xdr:row>
      <xdr:rowOff>0</xdr:rowOff>
    </xdr:from>
    <xdr:ext cx="304800" cy="304800"/>
    <xdr:pic>
      <xdr:nvPicPr>
        <xdr:cNvPr id="8" name="Image 7" descr="🔗 Lien">
          <a:extLst>
            <a:ext uri="{FF2B5EF4-FFF2-40B4-BE49-F238E27FC236}">
              <a16:creationId xmlns:a16="http://schemas.microsoft.com/office/drawing/2014/main" id="{2D07B925-68C3-4AFA-B033-23990329B7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07725"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94</xdr:row>
      <xdr:rowOff>1</xdr:rowOff>
    </xdr:from>
    <xdr:ext cx="333375" cy="371116"/>
    <xdr:pic>
      <xdr:nvPicPr>
        <xdr:cNvPr id="9" name="Image 8">
          <a:extLst>
            <a:ext uri="{FF2B5EF4-FFF2-40B4-BE49-F238E27FC236}">
              <a16:creationId xmlns:a16="http://schemas.microsoft.com/office/drawing/2014/main" id="{4A222F13-F373-4035-8C83-6AC339D314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50675" y="24460201"/>
          <a:ext cx="333375" cy="371116"/>
        </a:xfrm>
        <a:prstGeom prst="rect">
          <a:avLst/>
        </a:prstGeom>
      </xdr:spPr>
    </xdr:pic>
    <xdr:clientData/>
  </xdr:oneCellAnchor>
  <xdr:oneCellAnchor>
    <xdr:from>
      <xdr:col>30</xdr:col>
      <xdr:colOff>0</xdr:colOff>
      <xdr:row>48</xdr:row>
      <xdr:rowOff>0</xdr:rowOff>
    </xdr:from>
    <xdr:ext cx="1438476" cy="781159"/>
    <xdr:pic>
      <xdr:nvPicPr>
        <xdr:cNvPr id="10" name="Image 9">
          <a:extLst>
            <a:ext uri="{FF2B5EF4-FFF2-40B4-BE49-F238E27FC236}">
              <a16:creationId xmlns:a16="http://schemas.microsoft.com/office/drawing/2014/main" id="{3615D407-3809-47C6-9E4B-81BE6BB4A11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365325" y="15106650"/>
          <a:ext cx="1438476" cy="781159"/>
        </a:xfrm>
        <a:prstGeom prst="rect">
          <a:avLst/>
        </a:prstGeom>
      </xdr:spPr>
    </xdr:pic>
    <xdr:clientData/>
  </xdr:oneCellAnchor>
  <xdr:oneCellAnchor>
    <xdr:from>
      <xdr:col>30</xdr:col>
      <xdr:colOff>0</xdr:colOff>
      <xdr:row>53</xdr:row>
      <xdr:rowOff>0</xdr:rowOff>
    </xdr:from>
    <xdr:ext cx="3639058" cy="2133898"/>
    <xdr:pic>
      <xdr:nvPicPr>
        <xdr:cNvPr id="11" name="Image 10">
          <a:extLst>
            <a:ext uri="{FF2B5EF4-FFF2-40B4-BE49-F238E27FC236}">
              <a16:creationId xmlns:a16="http://schemas.microsoft.com/office/drawing/2014/main" id="{5B3EE156-D397-4509-82B5-F86CD30762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365325" y="16106775"/>
          <a:ext cx="3639058" cy="2133898"/>
        </a:xfrm>
        <a:prstGeom prst="rect">
          <a:avLst/>
        </a:prstGeom>
      </xdr:spPr>
    </xdr:pic>
    <xdr:clientData/>
  </xdr:oneCellAnchor>
  <xdr:twoCellAnchor editAs="oneCell">
    <xdr:from>
      <xdr:col>35</xdr:col>
      <xdr:colOff>561975</xdr:colOff>
      <xdr:row>1</xdr:row>
      <xdr:rowOff>190500</xdr:rowOff>
    </xdr:from>
    <xdr:to>
      <xdr:col>36</xdr:col>
      <xdr:colOff>895350</xdr:colOff>
      <xdr:row>3</xdr:row>
      <xdr:rowOff>285750</xdr:rowOff>
    </xdr:to>
    <xdr:pic>
      <xdr:nvPicPr>
        <xdr:cNvPr id="12" name="Image 11">
          <a:extLst>
            <a:ext uri="{FF2B5EF4-FFF2-40B4-BE49-F238E27FC236}">
              <a16:creationId xmlns:a16="http://schemas.microsoft.com/office/drawing/2014/main" id="{EB5CE5AB-C568-4685-8AD4-5AC854CFBE4C}"/>
            </a:ext>
          </a:extLst>
        </xdr:cNvPr>
        <xdr:cNvPicPr>
          <a:picLocks noChangeAspect="1"/>
        </xdr:cNvPicPr>
      </xdr:nvPicPr>
      <xdr:blipFill>
        <a:blip xmlns:r="http://schemas.openxmlformats.org/officeDocument/2006/relationships" r:embed="rId6"/>
        <a:stretch>
          <a:fillRect/>
        </a:stretch>
      </xdr:blipFill>
      <xdr:spPr>
        <a:xfrm>
          <a:off x="33756600" y="381000"/>
          <a:ext cx="1447800" cy="838200"/>
        </a:xfrm>
        <a:prstGeom prst="rect">
          <a:avLst/>
        </a:prstGeom>
      </xdr:spPr>
    </xdr:pic>
    <xdr:clientData/>
  </xdr:twoCellAnchor>
  <xdr:oneCellAnchor>
    <xdr:from>
      <xdr:col>46</xdr:col>
      <xdr:colOff>228599</xdr:colOff>
      <xdr:row>94</xdr:row>
      <xdr:rowOff>9525</xdr:rowOff>
    </xdr:from>
    <xdr:ext cx="408138" cy="408138"/>
    <xdr:pic>
      <xdr:nvPicPr>
        <xdr:cNvPr id="13" name="Image 12" descr="Google (Android 12L)">
          <a:extLst>
            <a:ext uri="{FF2B5EF4-FFF2-40B4-BE49-F238E27FC236}">
              <a16:creationId xmlns:a16="http://schemas.microsoft.com/office/drawing/2014/main" id="{0FF10A24-B7BD-4051-A102-0DF359EF6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42367199" y="244697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142875</xdr:colOff>
      <xdr:row>94</xdr:row>
      <xdr:rowOff>0</xdr:rowOff>
    </xdr:from>
    <xdr:ext cx="304800" cy="304800"/>
    <xdr:pic>
      <xdr:nvPicPr>
        <xdr:cNvPr id="14" name="Image 13" descr="🔗 Lien">
          <a:extLst>
            <a:ext uri="{FF2B5EF4-FFF2-40B4-BE49-F238E27FC236}">
              <a16:creationId xmlns:a16="http://schemas.microsoft.com/office/drawing/2014/main" id="{227487DA-F910-4117-9D4F-1A938481A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67300" y="24460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48</xdr:col>
      <xdr:colOff>0</xdr:colOff>
      <xdr:row>94</xdr:row>
      <xdr:rowOff>1</xdr:rowOff>
    </xdr:from>
    <xdr:ext cx="333375" cy="371116"/>
    <xdr:pic>
      <xdr:nvPicPr>
        <xdr:cNvPr id="15" name="Image 14">
          <a:extLst>
            <a:ext uri="{FF2B5EF4-FFF2-40B4-BE49-F238E27FC236}">
              <a16:creationId xmlns:a16="http://schemas.microsoft.com/office/drawing/2014/main" id="{C748976B-F9CD-44D1-887E-CB54A560A1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910250" y="24460201"/>
          <a:ext cx="333375" cy="371116"/>
        </a:xfrm>
        <a:prstGeom prst="rect">
          <a:avLst/>
        </a:prstGeom>
      </xdr:spPr>
    </xdr:pic>
    <xdr:clientData/>
  </xdr:oneCellAnchor>
  <xdr:oneCellAnchor>
    <xdr:from>
      <xdr:col>51</xdr:col>
      <xdr:colOff>0</xdr:colOff>
      <xdr:row>48</xdr:row>
      <xdr:rowOff>0</xdr:rowOff>
    </xdr:from>
    <xdr:ext cx="1438476" cy="781159"/>
    <xdr:pic>
      <xdr:nvPicPr>
        <xdr:cNvPr id="16" name="Image 15">
          <a:extLst>
            <a:ext uri="{FF2B5EF4-FFF2-40B4-BE49-F238E27FC236}">
              <a16:creationId xmlns:a16="http://schemas.microsoft.com/office/drawing/2014/main" id="{EE186E28-6EE6-4A6E-BD1F-8BFDAA8C08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824900" y="15106650"/>
          <a:ext cx="1438476" cy="781159"/>
        </a:xfrm>
        <a:prstGeom prst="rect">
          <a:avLst/>
        </a:prstGeom>
      </xdr:spPr>
    </xdr:pic>
    <xdr:clientData/>
  </xdr:oneCellAnchor>
  <xdr:oneCellAnchor>
    <xdr:from>
      <xdr:col>51</xdr:col>
      <xdr:colOff>0</xdr:colOff>
      <xdr:row>53</xdr:row>
      <xdr:rowOff>0</xdr:rowOff>
    </xdr:from>
    <xdr:ext cx="3639058" cy="2133898"/>
    <xdr:pic>
      <xdr:nvPicPr>
        <xdr:cNvPr id="17" name="Image 16">
          <a:extLst>
            <a:ext uri="{FF2B5EF4-FFF2-40B4-BE49-F238E27FC236}">
              <a16:creationId xmlns:a16="http://schemas.microsoft.com/office/drawing/2014/main" id="{3B84EBD8-D7D3-439C-BBAF-1A12E76E59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824900" y="16106775"/>
          <a:ext cx="3639058" cy="2133898"/>
        </a:xfrm>
        <a:prstGeom prst="rect">
          <a:avLst/>
        </a:prstGeom>
      </xdr:spPr>
    </xdr:pic>
    <xdr:clientData/>
  </xdr:oneCellAnchor>
  <xdr:twoCellAnchor editAs="oneCell">
    <xdr:from>
      <xdr:col>55</xdr:col>
      <xdr:colOff>419100</xdr:colOff>
      <xdr:row>1</xdr:row>
      <xdr:rowOff>276225</xdr:rowOff>
    </xdr:from>
    <xdr:to>
      <xdr:col>56</xdr:col>
      <xdr:colOff>661035</xdr:colOff>
      <xdr:row>4</xdr:row>
      <xdr:rowOff>152400</xdr:rowOff>
    </xdr:to>
    <xdr:pic>
      <xdr:nvPicPr>
        <xdr:cNvPr id="18" name="Image 17">
          <a:extLst>
            <a:ext uri="{FF2B5EF4-FFF2-40B4-BE49-F238E27FC236}">
              <a16:creationId xmlns:a16="http://schemas.microsoft.com/office/drawing/2014/main" id="{52759418-5DC4-4A0B-9D22-97EFEE944F5F}"/>
            </a:ext>
          </a:extLst>
        </xdr:cNvPr>
        <xdr:cNvPicPr>
          <a:picLocks noChangeAspect="1"/>
        </xdr:cNvPicPr>
      </xdr:nvPicPr>
      <xdr:blipFill>
        <a:blip xmlns:r="http://schemas.openxmlformats.org/officeDocument/2006/relationships" r:embed="rId7"/>
        <a:stretch>
          <a:fillRect/>
        </a:stretch>
      </xdr:blipFill>
      <xdr:spPr>
        <a:xfrm>
          <a:off x="51958875" y="466725"/>
          <a:ext cx="1356360" cy="990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f-fiches-fabrication-maj-08-2020/ff-22-formats-formules-pourcentages.xlsx" TargetMode="External"/><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Bureau/joel.uprt/Modele_fiches_metiers_de_bouche_EXEMPLES.xlsx" TargetMode="External"/><Relationship Id="rId1" Type="http://schemas.openxmlformats.org/officeDocument/2006/relationships/externalLinkPath" Target="/Bureau/joel.uprt/Modele_fiches_metiers_de_bouche_EXEMPLES.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OTEURS.VILLIERS/ff.NOUVELLE.GENERATION.05.04.2026.15h30.xlsx" TargetMode="External"/><Relationship Id="rId2" Type="http://schemas.openxmlformats.org/officeDocument/2006/relationships/externalLinkPath" Target="file:///D:\Donn&#233;es\1.UPRT\MOTEURS.VILLIERS\ff.NOUVELLE.GENERATION.05.04.2026.15h30.xlsx" TargetMode="External"/><Relationship Id="rId1" Type="http://schemas.openxmlformats.org/officeDocument/2006/relationships/externalLinkPath" Target="/Donn&#233;es/1.UPRT/MOTEURS.VILLIERS/ff.NOUVELLE.GENERATION.05.04.2026.15h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Joël.Leboucher"/>
      <sheetName val="Sommaire"/>
      <sheetName val="Nota.du.31.Juillet.2024"/>
      <sheetName val="Séparateur décimal"/>
      <sheetName val="Excel.Fichiers.temporaires"/>
      <sheetName val="Vocabulaire.(1).2025"/>
      <sheetName val="Vocabulaire.(2).2025"/>
      <sheetName val="Modes.d.emploi"/>
      <sheetName val="Saisissez.vos.Fiches.21.col"/>
      <sheetName val="Saisissez.vos.Fiches.17.col"/>
      <sheetName val="15.colonnes"/>
      <sheetName val="Postit.21.col.exemple (2)"/>
      <sheetName val="21.col.Modèle.de.base.3"/>
      <sheetName val="Modèles.à.dupliquer"/>
      <sheetName val="Allergènes"/>
      <sheetName val="préformatée.20.col"/>
      <sheetName val="2.fois.20.col."/>
      <sheetName val="20.col.Modèle.de.base.55.lignes"/>
      <sheetName val="Répertoire.2X.6.recettes.20.Col"/>
      <sheetName val="Répertoire.1 X.6.recettes.20col"/>
      <sheetName val="Répertoire.2X.6.recettes.10.lig"/>
      <sheetName val="30.col.pate.a.choux"/>
      <sheetName val="Réaliser.son.fondant"/>
      <sheetName val="discussion.ChatGPT.1"/>
      <sheetName val="Prompts"/>
      <sheetName val="Répertoire.2X.6.recettes.15.lig"/>
      <sheetName val="7.recettes.beignets.acacia"/>
      <sheetName val="20.col.15.lignes+images"/>
      <sheetName val="22.col.Modèle.de.base.55.lignes"/>
      <sheetName val="20.col.variante.1"/>
      <sheetName val="Christian.Frechede.1"/>
      <sheetName val="Tableau.Magique.17.12.2025"/>
      <sheetName val="Magique.45.lignes.05.01.202 (2)"/>
      <sheetName val="Magique.1.ligne.06.01.2026"/>
      <sheetName val="16.recettes.en.1.feuille"/>
      <sheetName val="additifs.1.postit"/>
      <sheetName val="additifs.16.postits"/>
      <sheetName val="Modèle.23.colonnnes"/>
      <sheetName val="29.col.2.éléments (2)"/>
      <sheetName val="29.col.5.éléments (3)"/>
      <sheetName val="7.recettes.beignets.acacia2 (2)"/>
      <sheetName val="25.col.15.lignes"/>
      <sheetName val="Estouffade.de.boeuf"/>
      <sheetName val="Haricot.de.mouton.collectivité"/>
      <sheetName val="Exemple.E.recette..Opéra.OK"/>
      <sheetName val="collectivité.5"/>
      <sheetName val="Répertoire.J"/>
      <sheetName val="16.col.B.matériel"/>
      <sheetName val="17.co.A.guide.cuisson"/>
      <sheetName val="peser.sans.balance.31.01.2025"/>
      <sheetName val="17.col.qualité"/>
      <sheetName val="17.col.notation"/>
      <sheetName val="Vous.pouvez.extraire.des.donnée"/>
      <sheetName val="Masse.volumique"/>
      <sheetName val="volumes"/>
      <sheetName val="convertisseurs.07.05.2024"/>
      <sheetName val="Conditionnement.choisissez"/>
      <sheetName val="Nettoyer.un.texte"/>
      <sheetName val="Couleurs.pour.vos.documents"/>
      <sheetName val="Couleurs"/>
      <sheetName val="Accessibilité"/>
      <sheetName val="cellules vides"/>
      <sheetName val="ListeFeuilles"/>
      <sheetName val="Recherche"/>
      <sheetName val="Comparer.des.feuilles"/>
      <sheetName val="Statistiques"/>
      <sheetName val="divers"/>
      <sheetName val="formules"/>
      <sheetName val="Excel.liens"/>
      <sheetName val="Nethèque"/>
      <sheetName val="Tutos Youtube"/>
      <sheetName val="Transmission des savoirs.2025"/>
      <sheetName val="Rapport"/>
      <sheetName val="traçabilité"/>
      <sheetName val="Exemple"/>
      <sheetName val="Réperto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youtube.com/watch?v=WbtKbVzE2mE&amp;t=2s" TargetMode="External"/><Relationship Id="rId1" Type="http://schemas.openxmlformats.org/officeDocument/2006/relationships/hyperlink" Target="https://fr.wikipedia.org/wiki/Portail:Alimentation_et_gastronomie"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printerSettings" Target="../printerSettings/printerSettings5.bin"/><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iloveimg.com/fr" TargetMode="External"/><Relationship Id="rId3" Type="http://schemas.openxmlformats.org/officeDocument/2006/relationships/hyperlink" Target="https://encycolorpedia.com/named" TargetMode="External"/><Relationship Id="rId7" Type="http://schemas.openxmlformats.org/officeDocument/2006/relationships/hyperlink" Target="https://www.redacteur.com/blog/polices-ecriture-a-utiliser/" TargetMode="External"/><Relationship Id="rId2" Type="http://schemas.openxmlformats.org/officeDocument/2006/relationships/hyperlink" Target="https://encycolorpedia.com/html" TargetMode="External"/><Relationship Id="rId1" Type="http://schemas.openxmlformats.org/officeDocument/2006/relationships/hyperlink" Target="https://encycolorpedia.com/websafe" TargetMode="External"/><Relationship Id="rId6" Type="http://schemas.openxmlformats.org/officeDocument/2006/relationships/hyperlink" Target="https://blog.atalan.fr/grille-contrastes-accessibilite-charte-graphique/" TargetMode="External"/><Relationship Id="rId5" Type="http://schemas.openxmlformats.org/officeDocument/2006/relationships/hyperlink" Target="https://www.tanaguru.com/contrastes-couleurs-choisir-combinaisons-accessibles/" TargetMode="External"/><Relationship Id="rId4" Type="http://schemas.openxmlformats.org/officeDocument/2006/relationships/hyperlink" Target="https://encycolorpedia.com/paints" TargetMode="External"/><Relationship Id="rId9" Type="http://schemas.openxmlformats.org/officeDocument/2006/relationships/hyperlink" Target="http://translate.google.fr/translate?hl=fr&amp;langpair=en|fr&amp;u=http://dmcritchie.mvps.org/excel/colors.htm"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cuisine-centrale17.fr/" TargetMode="External"/><Relationship Id="rId18" Type="http://schemas.openxmlformats.org/officeDocument/2006/relationships/hyperlink" Target="https://www.premiers-clics.fr/cours-informatique/windows-convertir-un-cd-en-fichiers-mp3/" TargetMode="External"/><Relationship Id="rId26" Type="http://schemas.openxmlformats.org/officeDocument/2006/relationships/hyperlink" Target="https://cuisine-centrale17.fr/" TargetMode="External"/><Relationship Id="rId39" Type="http://schemas.openxmlformats.org/officeDocument/2006/relationships/hyperlink" Target="https://cuisine-centrale17.fr/" TargetMode="External"/><Relationship Id="rId21" Type="http://schemas.openxmlformats.org/officeDocument/2006/relationships/hyperlink" Target="http://www.uprt.fr/detail.php?id=6&amp;titre=plan-du-site" TargetMode="External"/><Relationship Id="rId34" Type="http://schemas.openxmlformats.org/officeDocument/2006/relationships/hyperlink" Target="http://www.uprt.fr/detail.php?id=6&amp;titre=plan-du-site" TargetMode="External"/><Relationship Id="rId42" Type="http://schemas.openxmlformats.org/officeDocument/2006/relationships/printerSettings" Target="../printerSettings/printerSettings6.bin"/><Relationship Id="rId7" Type="http://schemas.openxmlformats.org/officeDocument/2006/relationships/hyperlink" Target="https://www.youtube.com/watch?v=BEAwIv4fIw4" TargetMode="External"/><Relationship Id="rId2" Type="http://schemas.openxmlformats.org/officeDocument/2006/relationships/hyperlink" Target="https://bepo.fr/wiki/Manuel" TargetMode="External"/><Relationship Id="rId16" Type="http://schemas.openxmlformats.org/officeDocument/2006/relationships/hyperlink" Target="https://bepo.fr/wiki/Menu" TargetMode="External"/><Relationship Id="rId20" Type="http://schemas.openxmlformats.org/officeDocument/2006/relationships/hyperlink" Target="https://www.youtube.com/watch?v=BEAwIv4fIw4" TargetMode="External"/><Relationship Id="rId29" Type="http://schemas.openxmlformats.org/officeDocument/2006/relationships/hyperlink" Target="https://bepo.fr/wiki/Menu" TargetMode="External"/><Relationship Id="rId41" Type="http://schemas.openxmlformats.org/officeDocument/2006/relationships/hyperlink" Target="https://www.deepl.com/fr/translator"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24" Type="http://schemas.openxmlformats.org/officeDocument/2006/relationships/hyperlink" Target="http://www.uprt.fr/mesimages/fichiers-uprt/hop-alimentation/hop-photos-quantit%C3%A9s.pdf" TargetMode="External"/><Relationship Id="rId32" Type="http://schemas.openxmlformats.org/officeDocument/2006/relationships/hyperlink" Target="https://www.youtube.com/watch?v=2TmdhLLUsOQ" TargetMode="External"/><Relationship Id="rId37" Type="http://schemas.openxmlformats.org/officeDocument/2006/relationships/hyperlink" Target="http://www.uprt.fr/mesimages/fichiers-uprt/hop-alimentation/hop-photos-quantit%C3%A9s.pdf" TargetMode="External"/><Relationship Id="rId40" Type="http://schemas.openxmlformats.org/officeDocument/2006/relationships/hyperlink" Target="https://www.deepl.com/fr/translator"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hyperlink" Target="https://bepo.fr/wiki/Manuel" TargetMode="External"/><Relationship Id="rId23" Type="http://schemas.openxmlformats.org/officeDocument/2006/relationships/hyperlink" Target="https://everything.fr.softonic.com/" TargetMode="External"/><Relationship Id="rId28" Type="http://schemas.openxmlformats.org/officeDocument/2006/relationships/hyperlink" Target="https://bepo.fr/wiki/Manuel" TargetMode="External"/><Relationship Id="rId36" Type="http://schemas.openxmlformats.org/officeDocument/2006/relationships/hyperlink" Target="https://everything.fr.softonic.com/" TargetMode="External"/><Relationship Id="rId10" Type="http://schemas.openxmlformats.org/officeDocument/2006/relationships/hyperlink" Target="https://everything.fr.softonic.com/" TargetMode="External"/><Relationship Id="rId19" Type="http://schemas.openxmlformats.org/officeDocument/2006/relationships/hyperlink" Target="https://www.youtube.com/watch?v=2TmdhLLUsOQ" TargetMode="External"/><Relationship Id="rId31" Type="http://schemas.openxmlformats.org/officeDocument/2006/relationships/hyperlink" Target="https://www.premiers-clics.fr/cours-informatique/windows-convertir-un-cd-en-fichiers-mp3/"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hyperlink" Target="http://www.symbole-clavier.com/" TargetMode="External"/><Relationship Id="rId22" Type="http://schemas.openxmlformats.org/officeDocument/2006/relationships/hyperlink" Target="http://www.uprt.fr/detail.php?id=185&amp;titre=restaurateurs" TargetMode="External"/><Relationship Id="rId27" Type="http://schemas.openxmlformats.org/officeDocument/2006/relationships/hyperlink" Target="http://www.symbole-clavier.com/" TargetMode="External"/><Relationship Id="rId30" Type="http://schemas.openxmlformats.org/officeDocument/2006/relationships/hyperlink" Target="https://www.premiers-clics.fr/cours-informatique/windows-les-fonctionnalites-du-clavier/" TargetMode="External"/><Relationship Id="rId35" Type="http://schemas.openxmlformats.org/officeDocument/2006/relationships/hyperlink" Target="http://www.uprt.fr/detail.php?id=185&amp;titre=restaurateurs" TargetMode="External"/><Relationship Id="rId43" Type="http://schemas.openxmlformats.org/officeDocument/2006/relationships/drawing" Target="../drawings/drawing9.xml"/><Relationship Id="rId8" Type="http://schemas.openxmlformats.org/officeDocument/2006/relationships/hyperlink" Target="http://www.uprt.fr/detail.php?id=6&amp;titre=plan-du-site" TargetMode="External"/><Relationship Id="rId3" Type="http://schemas.openxmlformats.org/officeDocument/2006/relationships/hyperlink" Target="https://bepo.fr/wiki/Menu" TargetMode="External"/><Relationship Id="rId12" Type="http://schemas.openxmlformats.org/officeDocument/2006/relationships/hyperlink" Target="http://www.diet-life.fr/visuellement-100-calories/" TargetMode="External"/><Relationship Id="rId17" Type="http://schemas.openxmlformats.org/officeDocument/2006/relationships/hyperlink" Target="https://www.premiers-clics.fr/cours-informatique/windows-les-fonctionnalites-du-clavier/" TargetMode="External"/><Relationship Id="rId25" Type="http://schemas.openxmlformats.org/officeDocument/2006/relationships/hyperlink" Target="http://www.diet-life.fr/visuellement-100-calories/" TargetMode="External"/><Relationship Id="rId33" Type="http://schemas.openxmlformats.org/officeDocument/2006/relationships/hyperlink" Target="https://www.youtube.com/watch?v=BEAwIv4fIw4" TargetMode="External"/><Relationship Id="rId38" Type="http://schemas.openxmlformats.org/officeDocument/2006/relationships/hyperlink" Target="http://www.diet-life.fr/visuellement-100-calorie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translate.google.com/" TargetMode="External"/><Relationship Id="rId2" Type="http://schemas.openxmlformats.org/officeDocument/2006/relationships/hyperlink" Target="https://translate.google.com/" TargetMode="External"/><Relationship Id="rId1" Type="http://schemas.openxmlformats.org/officeDocument/2006/relationships/hyperlink" Target="https://translate.google.com/" TargetMode="External"/><Relationship Id="rId6" Type="http://schemas.openxmlformats.org/officeDocument/2006/relationships/hyperlink" Target="https://www.deepl.com/translator" TargetMode="External"/><Relationship Id="rId5" Type="http://schemas.openxmlformats.org/officeDocument/2006/relationships/hyperlink" Target="https://www.deepl.com/translator" TargetMode="External"/><Relationship Id="rId4" Type="http://schemas.openxmlformats.org/officeDocument/2006/relationships/hyperlink" Target="https://www.deepl.com/translator"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uisine-centrale17.fr/" TargetMode="External"/><Relationship Id="rId1" Type="http://schemas.openxmlformats.org/officeDocument/2006/relationships/hyperlink" Target="https://cuisine-centrale17.fr/" TargetMode="External"/><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deepl.com/fr/translator" TargetMode="External"/><Relationship Id="rId7" Type="http://schemas.openxmlformats.org/officeDocument/2006/relationships/drawing" Target="../drawings/drawing11.xml"/><Relationship Id="rId2" Type="http://schemas.openxmlformats.org/officeDocument/2006/relationships/hyperlink" Target="https://www.deepl.com/fr/translator" TargetMode="External"/><Relationship Id="rId1" Type="http://schemas.openxmlformats.org/officeDocument/2006/relationships/hyperlink" Target="https://fr.wikipedia.org/wiki/Portail:Alimentation_et_gastronomie" TargetMode="External"/><Relationship Id="rId6" Type="http://schemas.openxmlformats.org/officeDocument/2006/relationships/printerSettings" Target="../printerSettings/printerSettings8.bin"/><Relationship Id="rId5" Type="http://schemas.openxmlformats.org/officeDocument/2006/relationships/hyperlink" Target="https://www.deepl.com/fr/translator" TargetMode="External"/><Relationship Id="rId4" Type="http://schemas.openxmlformats.org/officeDocument/2006/relationships/hyperlink" Target="https://www.deepl.com/fr/translator" TargetMode="External"/><Relationship Id="rId9"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hyperlink" Target="https://learn.microsoft.com/fr-fr/office/vba/api/excel.xlrgbcolor" TargetMode="External"/><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hyperlink" Target="https://learn.microsoft.com/fr-fr/office/vba/api/excel.xlrgbcolor" TargetMode="External"/><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editions-bpi.fr/produit/60/9782857084242/La%20cuisine%20de%20collectivit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amazon.fr/Fiches-techniques-cuisine-Annette-Domergues/dp/B0014KUK0A/ref=sr_1_4?s=books&amp;ie=UTF8&amp;qid=1516880530&amp;sr=1-4" TargetMode="External"/><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5" Type="http://schemas.openxmlformats.org/officeDocument/2006/relationships/hyperlink" Target="https://devenirpatissier.fr/vocabulaire-professionnel/"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5.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6.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support.microsoft.com/fr-fr/office/vid%C3%A9o-cr%C3%A9er-des-noms-de-fichiers-accessibles-4e73d73a-aedc-47af-88e4-8f2375a69fad" TargetMode="External"/><Relationship Id="rId3" Type="http://schemas.openxmlformats.org/officeDocument/2006/relationships/hyperlink" Target="https://temps-action.com/classer-ses-documents-sur-ordinateur" TargetMode="External"/><Relationship Id="rId7" Type="http://schemas.openxmlformats.org/officeDocument/2006/relationships/hyperlink" Target="https://doranum.fr/stockage-archivage/comment-nommer-fichiers_10_13143_wgqw-aa59/" TargetMode="External"/><Relationship Id="rId12" Type="http://schemas.openxmlformats.org/officeDocument/2006/relationships/hyperlink" Target="https://www.istockphoto.com/fr/photos/%C3%A9pices"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hyperlink" Target="https://www.youtube.com/watch?v=qNvSfomZR2o" TargetMode="External"/><Relationship Id="rId11" Type="http://schemas.openxmlformats.org/officeDocument/2006/relationships/hyperlink" Target="https://www.youtube.com/watch?v=qUvSEkBJMvI" TargetMode="External"/><Relationship Id="rId5" Type="http://schemas.openxmlformats.org/officeDocument/2006/relationships/hyperlink" Target="https://www.youtube.com/watch?v=kRblx2K-sWA" TargetMode="External"/><Relationship Id="rId10" Type="http://schemas.openxmlformats.org/officeDocument/2006/relationships/hyperlink" Target="https://www.youtube.com/watch?v=IK36nFxOgHY" TargetMode="External"/><Relationship Id="rId4" Type="http://schemas.openxmlformats.org/officeDocument/2006/relationships/hyperlink" Target="https://www.01net.com/astuces/windows-10-15-astuces-pour-maitriser-l-explorateur-de-fichiers-comme-un-pro-2013249.html" TargetMode="External"/><Relationship Id="rId9" Type="http://schemas.openxmlformats.org/officeDocument/2006/relationships/hyperlink" Target="https://www.youtube.com/watch?v=2pN06yNE8lY"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youtube.com/watch?v=kRblx2K-sWA" TargetMode="External"/><Relationship Id="rId21" Type="http://schemas.openxmlformats.org/officeDocument/2006/relationships/hyperlink" Target="https://www.eyrolles.com/Loisirs/Collection/16085/meilleur-ouvrier-de-france/" TargetMode="External"/><Relationship Id="rId42" Type="http://schemas.openxmlformats.org/officeDocument/2006/relationships/hyperlink" Target="https://www.youtube.com/@NaelBAADACHE/shorts" TargetMode="External"/><Relationship Id="rId47" Type="http://schemas.openxmlformats.org/officeDocument/2006/relationships/hyperlink" Target="https://www.youtube.com/@AGNESTutosFormations/playlists" TargetMode="External"/><Relationship Id="rId63" Type="http://schemas.openxmlformats.org/officeDocument/2006/relationships/hyperlink" Target="https://www.youtube.com/shorts/0_9z2Iw4Hrc" TargetMode="External"/><Relationship Id="rId68" Type="http://schemas.openxmlformats.org/officeDocument/2006/relationships/hyperlink" Target="https://www.excel-exercice.com/nbcar/" TargetMode="External"/><Relationship Id="rId84" Type="http://schemas.openxmlformats.org/officeDocument/2006/relationships/hyperlink" Target="https://www.youtube.com/watch?v=NknyPRzER4k" TargetMode="External"/><Relationship Id="rId89" Type="http://schemas.openxmlformats.org/officeDocument/2006/relationships/hyperlink" Target="https://photokit.com/colors/color-wheel/?lang=fr" TargetMode="External"/><Relationship Id="rId112" Type="http://schemas.openxmlformats.org/officeDocument/2006/relationships/hyperlink" Target="https://fr.piliapp.com/symbol/" TargetMode="External"/><Relationship Id="rId16" Type="http://schemas.openxmlformats.org/officeDocument/2006/relationships/hyperlink" Target="https://gallica.bnf.fr/html/und/arts-loisirs-sports/essentiels-de-la-gastronomie?mode=desktop" TargetMode="External"/><Relationship Id="rId107" Type="http://schemas.openxmlformats.org/officeDocument/2006/relationships/hyperlink" Target="http://dlssm.free.fr/s1.html" TargetMode="External"/><Relationship Id="rId11" Type="http://schemas.openxmlformats.org/officeDocument/2006/relationships/hyperlink" Target="https://gallica.bnf.fr/conseils/content/menus" TargetMode="External"/><Relationship Id="rId32" Type="http://schemas.openxmlformats.org/officeDocument/2006/relationships/hyperlink" Target="https://www.youtube.com/watch?v=expHJ3wlxSo" TargetMode="External"/><Relationship Id="rId37" Type="http://schemas.openxmlformats.org/officeDocument/2006/relationships/hyperlink" Target="https://www.youtube.com/@leprofessor/shorts" TargetMode="External"/><Relationship Id="rId53" Type="http://schemas.openxmlformats.org/officeDocument/2006/relationships/hyperlink" Target="https://bourgognefranchecomte.aract.fr/sites/default/files/2019-04/Guide_tse.pdf" TargetMode="External"/><Relationship Id="rId58" Type="http://schemas.openxmlformats.org/officeDocument/2006/relationships/hyperlink" Target="https://www.youtube.com/watch?v=Nm--HJ1rXh0" TargetMode="External"/><Relationship Id="rId74" Type="http://schemas.openxmlformats.org/officeDocument/2006/relationships/hyperlink" Target="https://www.youtube.com/watch?v=1MxNEwioRY0&amp;list=PLs0xhXB4-vhTHiYgIVlukRsnVh9ReYQVT" TargetMode="External"/><Relationship Id="rId79" Type="http://schemas.openxmlformats.org/officeDocument/2006/relationships/hyperlink" Target="https://www.youtube.com/watch?v=UF9qvUxvrW0&amp;list=PLrTSZgOvZVOBI9t5rPrQnBaLpnFNgahz_" TargetMode="External"/><Relationship Id="rId102" Type="http://schemas.openxmlformats.org/officeDocument/2006/relationships/hyperlink" Target="https://waytolearnx.com/2019/08/compter-le-nombre-de-cellules-egales-a-une-valeur-excel.html" TargetMode="External"/><Relationship Id="rId123" Type="http://schemas.openxmlformats.org/officeDocument/2006/relationships/hyperlink" Target="https://www.youtube.com/watch?v=qUvSEkBJMvI" TargetMode="External"/><Relationship Id="rId128" Type="http://schemas.openxmlformats.org/officeDocument/2006/relationships/printerSettings" Target="../printerSettings/printerSettings12.bin"/><Relationship Id="rId5" Type="http://schemas.openxmlformats.org/officeDocument/2006/relationships/hyperlink" Target="https://docplayer.fr/13671256-Cahier-de-decouverte-d-experimentations-denis-herrero-cahier-en-cours-de-construction-2009-2010.html" TargetMode="External"/><Relationship Id="rId90" Type="http://schemas.openxmlformats.org/officeDocument/2006/relationships/hyperlink" Target="https://learn.microsoft.com/fr-fr/office/vba/api/excel.xlrgbcolor" TargetMode="External"/><Relationship Id="rId95" Type="http://schemas.openxmlformats.org/officeDocument/2006/relationships/hyperlink" Target="https://www.excel-exercice.com/nuances-de-couleurs-dans-excel/"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43" Type="http://schemas.openxmlformats.org/officeDocument/2006/relationships/hyperlink" Target="https://www.youtube.com/@DocteurExcel/videos" TargetMode="External"/><Relationship Id="rId48" Type="http://schemas.openxmlformats.org/officeDocument/2006/relationships/hyperlink" Target="https://www.youtube.com/watch?v=yUb6Lk9LynA" TargetMode="External"/><Relationship Id="rId64" Type="http://schemas.openxmlformats.org/officeDocument/2006/relationships/hyperlink" Target="https://www.youtube.com/shorts/C79P3RK1APQ" TargetMode="External"/><Relationship Id="rId69" Type="http://schemas.openxmlformats.org/officeDocument/2006/relationships/hyperlink" Target="https://excel-dashboards.com/fr/blogs/blog/empty-cells-triggers-error-excel" TargetMode="External"/><Relationship Id="rId113" Type="http://schemas.openxmlformats.org/officeDocument/2006/relationships/hyperlink" Target="https://www.messletters.com/fr/symbols/" TargetMode="External"/><Relationship Id="rId118" Type="http://schemas.openxmlformats.org/officeDocument/2006/relationships/hyperlink" Target="https://www.youtube.com/watch?v=qNvSfomZR2o" TargetMode="External"/><Relationship Id="rId80" Type="http://schemas.openxmlformats.org/officeDocument/2006/relationships/hyperlink" Target="https://www.youtube.com/watch?v=X8sMFbWunjo&amp;list=PLrTSZgOvZVOBI9t5rPrQnBaLpnFNgahz_&amp;index=5" TargetMode="External"/><Relationship Id="rId85" Type="http://schemas.openxmlformats.org/officeDocument/2006/relationships/hyperlink" Target="https://www.youtube.com/watch?v=dtNOvFT1qBI&amp;list=PLwfDxSdhDUn7ctQ6OCCWj3igMi8NbJyhE"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33" Type="http://schemas.openxmlformats.org/officeDocument/2006/relationships/hyperlink" Target="https://www.facebook.com/Sformateur" TargetMode="External"/><Relationship Id="rId38" Type="http://schemas.openxmlformats.org/officeDocument/2006/relationships/hyperlink" Target="https://www.youtube.com/@lexceleur/shorts" TargetMode="External"/><Relationship Id="rId59" Type="http://schemas.openxmlformats.org/officeDocument/2006/relationships/hyperlink" Target="https://www.youtube.com/watch?v=Gqq59qZ_OOE" TargetMode="External"/><Relationship Id="rId103" Type="http://schemas.openxmlformats.org/officeDocument/2006/relationships/hyperlink" Target="https://www.topster.fr/images-rondes/" TargetMode="External"/><Relationship Id="rId108" Type="http://schemas.openxmlformats.org/officeDocument/2006/relationships/hyperlink" Target="https://filmora.wondershare.fr/animated-video/free-emoji-website-to-download-emoji.html" TargetMode="External"/><Relationship Id="rId124" Type="http://schemas.openxmlformats.org/officeDocument/2006/relationships/hyperlink" Target="https://www.excel-exercice.com/cest-quoi-lerreur-propagation/" TargetMode="External"/><Relationship Id="rId129" Type="http://schemas.openxmlformats.org/officeDocument/2006/relationships/drawing" Target="../drawings/drawing18.xml"/><Relationship Id="rId54" Type="http://schemas.openxmlformats.org/officeDocument/2006/relationships/hyperlink" Target="https://hautsdefrance-aract.fr/wp-content/uploads/2016/01/guide-pour-action-transmettre-pour-perenniser.pdf" TargetMode="External"/><Relationship Id="rId70" Type="http://schemas.openxmlformats.org/officeDocument/2006/relationships/hyperlink" Target="https://www.youtube.com/watch?v=paGN1SIlmFE&amp;list=PL0inLf542qwyyCmp9A_T2Ran-JMw46Z_F&amp;index=72" TargetMode="External"/><Relationship Id="rId75" Type="http://schemas.openxmlformats.org/officeDocument/2006/relationships/hyperlink" Target="https://www.youtube.com/watch?v=wypW8d3QLMA&amp;list=PLi1inEC75RnZ05rFfOE-4b0sGuY1iSpUi&amp;index=3" TargetMode="External"/><Relationship Id="rId91" Type="http://schemas.openxmlformats.org/officeDocument/2006/relationships/hyperlink" Target="https://www.aufeminin.com/conseils-de-mode/couleurs-qui-vont-ensemble-s4015601.html" TargetMode="External"/><Relationship Id="rId96" Type="http://schemas.openxmlformats.org/officeDocument/2006/relationships/hyperlink" Target="https://clarisse-tutoriels-informatiques.fr/suite-bureautique-microsoft-office/microsoft-excel/excel-fonctions-logique-si-si-imbriques-et-recherchev/"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8NMinBfc9EU" TargetMode="External"/><Relationship Id="rId49" Type="http://schemas.openxmlformats.org/officeDocument/2006/relationships/hyperlink" Target="https://www.demos.fr/expertises-thematiques-ressources-humaines-et-transmission-des-savoirs" TargetMode="External"/><Relationship Id="rId114" Type="http://schemas.openxmlformats.org/officeDocument/2006/relationships/hyperlink" Target="https://www.3mfrance.fr/3M/fr_FR/post-it-notes/ideas/collaborate/" TargetMode="External"/><Relationship Id="rId119" Type="http://schemas.openxmlformats.org/officeDocument/2006/relationships/hyperlink" Target="https://doranum.fr/stockage-archivage/comment-nommer-fichiers_10_13143_wgqw-aa59/" TargetMode="External"/><Relationship Id="rId44" Type="http://schemas.openxmlformats.org/officeDocument/2006/relationships/hyperlink" Target="https://www.youtube.com/@audreylafleur253/videos" TargetMode="External"/><Relationship Id="rId60" Type="http://schemas.openxmlformats.org/officeDocument/2006/relationships/hyperlink" Target="https://www.youtube.com/watch?v=btPDVf6Wd-I" TargetMode="External"/><Relationship Id="rId65" Type="http://schemas.openxmlformats.org/officeDocument/2006/relationships/hyperlink" Target="https://www.youtube.com/shorts/r27bzH0Q2PE" TargetMode="External"/><Relationship Id="rId81" Type="http://schemas.openxmlformats.org/officeDocument/2006/relationships/hyperlink" Target="https://www.youtube.com/shorts/Y7WA30mkkUw?feature=share" TargetMode="External"/><Relationship Id="rId86" Type="http://schemas.openxmlformats.org/officeDocument/2006/relationships/hyperlink" Target="https://www.melina-camberbet.com/2021/01/27/comment-recuperer-le-code-couleur-dune-image/" TargetMode="External"/><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39" Type="http://schemas.openxmlformats.org/officeDocument/2006/relationships/hyperlink" Target="https://www.youtube.com/results?search_query=shorts+excel" TargetMode="External"/><Relationship Id="rId109" Type="http://schemas.openxmlformats.org/officeDocument/2006/relationships/hyperlink" Target="https://fr.piliapp.com/emoji/list/" TargetMode="External"/><Relationship Id="rId34" Type="http://schemas.openxmlformats.org/officeDocument/2006/relationships/hyperlink" Target="https://www.youtube.com/channel/UCW-_iHbGuZG9nsE8D76lpIQ/videos" TargetMode="External"/><Relationship Id="rId50" Type="http://schemas.openxmlformats.org/officeDocument/2006/relationships/hyperlink" Target="https://www.manpowergroup.fr/contrat-de-generation-ii-%E2%80%93-la-transmission-enjeu-vital-pour-l%E2%80%99economie-et-la-societe/" TargetMode="External"/><Relationship Id="rId55" Type="http://schemas.openxmlformats.org/officeDocument/2006/relationships/hyperlink" Target="https://lestalentsdalphonse.com/" TargetMode="External"/><Relationship Id="rId76" Type="http://schemas.openxmlformats.org/officeDocument/2006/relationships/hyperlink" Target="https://www.youtube.com/watch?v=iogEHqAaPhA" TargetMode="External"/><Relationship Id="rId97" Type="http://schemas.openxmlformats.org/officeDocument/2006/relationships/hyperlink" Target="https://www.youtube.com/watch?v=jbOhuGvvpA0" TargetMode="External"/><Relationship Id="rId104" Type="http://schemas.openxmlformats.org/officeDocument/2006/relationships/hyperlink" Target="https://www.proinfluent.com/emoji-reseaux-sociaux/" TargetMode="External"/><Relationship Id="rId120"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bonbache.fr/compter-les-colonnes-visibles-et-masquees-avec-excel-826.html" TargetMode="External"/><Relationship Id="rId7" Type="http://schemas.openxmlformats.org/officeDocument/2006/relationships/hyperlink" Target="https://www.youtube.com/user/ModernistCuisine/videos" TargetMode="External"/><Relationship Id="rId71" Type="http://schemas.openxmlformats.org/officeDocument/2006/relationships/hyperlink" Target="https://www.youtube.com/c/LaTechavecBertrand/featured" TargetMode="External"/><Relationship Id="rId92" Type="http://schemas.openxmlformats.org/officeDocument/2006/relationships/hyperlink" Target="https://amourmodeetbeaute.com/couleurs-pastels/" TargetMode="External"/><Relationship Id="rId2" Type="http://schemas.openxmlformats.org/officeDocument/2006/relationships/hyperlink" Target="http://mcinotti.free.fr/index_htm_files/VOISIN_CLEMENT_M1_PIC.pdf" TargetMode="External"/><Relationship Id="rId29" Type="http://schemas.openxmlformats.org/officeDocument/2006/relationships/hyperlink" Target="https://support.microsoft.com/fr-fr/office/filtrer-les-donn%C3%A9es-d-une-plage-ou-d-un-tableau-01832226-31b5-4568-8806-38c37dcc180e" TargetMode="External"/><Relationship Id="rId24" Type="http://schemas.openxmlformats.org/officeDocument/2006/relationships/hyperlink" Target="https://www.hotellerie-restauration.ac-versailles.fr/spip.php?rubrique437" TargetMode="External"/><Relationship Id="rId40" Type="http://schemas.openxmlformats.org/officeDocument/2006/relationships/hyperlink" Target="https://www.youtube.com/@excel_free/videos" TargetMode="External"/><Relationship Id="rId45" Type="http://schemas.openxmlformats.org/officeDocument/2006/relationships/hyperlink" Target="https://www.youtube.com/@bureautique-efficace/videos" TargetMode="External"/><Relationship Id="rId66" Type="http://schemas.openxmlformats.org/officeDocument/2006/relationships/hyperlink" Target="https://www.youtube.com/watch?v=lXfgLJD6glA" TargetMode="External"/><Relationship Id="rId87" Type="http://schemas.openxmlformats.org/officeDocument/2006/relationships/hyperlink" Target="https://antoine-moulard.com/webmarketing/comment-trouver-code-couleur-site-internet/" TargetMode="External"/><Relationship Id="rId110" Type="http://schemas.openxmlformats.org/officeDocument/2006/relationships/hyperlink" Target="https://emojipedia.org/facebook/" TargetMode="External"/><Relationship Id="rId115" Type="http://schemas.openxmlformats.org/officeDocument/2006/relationships/hyperlink" Target="https://www.youtube.com/watch?v=pgDqto-tZ9I" TargetMode="External"/><Relationship Id="rId61" Type="http://schemas.openxmlformats.org/officeDocument/2006/relationships/hyperlink" Target="https://www.youtube.com/watch?v=EGtpqhNK3wQ" TargetMode="External"/><Relationship Id="rId82" Type="http://schemas.openxmlformats.org/officeDocument/2006/relationships/hyperlink" Target="https://www.youtube.com/watch?v=MTNN3BAbKjE" TargetMode="External"/><Relationship Id="rId19" Type="http://schemas.openxmlformats.org/officeDocument/2006/relationships/hyperlink" Target="https://www.editions-delagrave.fr/catalogue/hotellerie-restauration" TargetMode="External"/><Relationship Id="rId14" Type="http://schemas.openxmlformats.org/officeDocument/2006/relationships/hyperlink" Target="https://gallica.bnf.fr/conseils/content/gastronomie" TargetMode="External"/><Relationship Id="rId30" Type="http://schemas.openxmlformats.org/officeDocument/2006/relationships/hyperlink" Target="https://www.excel-exercice.com/frederic-le-guen/" TargetMode="External"/><Relationship Id="rId35" Type="http://schemas.openxmlformats.org/officeDocument/2006/relationships/hyperlink" Target="https://www.bonbache.fr/" TargetMode="External"/><Relationship Id="rId56" Type="http://schemas.openxmlformats.org/officeDocument/2006/relationships/hyperlink" Target="https://www.youtube.com/watch?v=Hgdab911xr4" TargetMode="External"/><Relationship Id="rId77" Type="http://schemas.openxmlformats.org/officeDocument/2006/relationships/hyperlink" Target="https://datascientest.com/power-query-tout-savoir" TargetMode="External"/><Relationship Id="rId100" Type="http://schemas.openxmlformats.org/officeDocument/2006/relationships/hyperlink" Target="https://support.microsoft.com/fr-fr/office/m%C3%A9thodes-pour-compter-des-valeurs-dans-une-feuille-de-calcul-81335b1b-d5e8-4f42-ae72-245b948c45bd" TargetMode="External"/><Relationship Id="rId105" Type="http://schemas.openxmlformats.org/officeDocument/2006/relationships/hyperlink" Target="https://www.gifsanimes.com/cat-cuisiniers-et-chefs-92.htm" TargetMode="External"/><Relationship Id="rId126" Type="http://schemas.openxmlformats.org/officeDocument/2006/relationships/hyperlink" Target="https://www.youtube.com/watch?v=5CBN2_QsQxU&amp;list=PLpQBnWleLAauEf_xMDiuo8rfajhNVIVbY&amp;index=25" TargetMode="External"/><Relationship Id="rId8" Type="http://schemas.openxmlformats.org/officeDocument/2006/relationships/hyperlink" Target="https://www.youtube.com/watch?v=mEmtg0CCg_A" TargetMode="External"/><Relationship Id="rId51" Type="http://schemas.openxmlformats.org/officeDocument/2006/relationships/hyperlink" Target="https://www.digitalrecruiters.com/blog/comment-transmettre-savoirs-entreprise" TargetMode="External"/><Relationship Id="rId72" Type="http://schemas.openxmlformats.org/officeDocument/2006/relationships/hyperlink" Target="https://support.microsoft.com/fr-fr/office/afficher-les-relations-entre-formules-et-cellules-a59bef2b-3701-46bf-8ff1-d3518771d507" TargetMode="External"/><Relationship Id="rId93" Type="http://schemas.openxmlformats.org/officeDocument/2006/relationships/hyperlink" Target="https://www.maisoncreative.com/decorer/couleurs/deco-pastel-comment-dompter-la-douceur-attitude-6335" TargetMode="External"/><Relationship Id="rId98" Type="http://schemas.openxmlformats.org/officeDocument/2006/relationships/hyperlink" Target="https://www.youtube.com/watch?v=8mvoaIMVedM" TargetMode="External"/><Relationship Id="rId121" Type="http://schemas.openxmlformats.org/officeDocument/2006/relationships/hyperlink" Target="https://www.youtube.com/watch?v=2pN06yNE8lY" TargetMode="External"/><Relationship Id="rId3" Type="http://schemas.openxmlformats.org/officeDocument/2006/relationships/hyperlink" Target="https://www.hotellerie-restauration.ac-versailles.fr/spip.php?rubrique216"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46" Type="http://schemas.openxmlformats.org/officeDocument/2006/relationships/hyperlink" Target="https://bureautique-efficace.com/blog/" TargetMode="External"/><Relationship Id="rId67" Type="http://schemas.openxmlformats.org/officeDocument/2006/relationships/hyperlink" Target="https://www.youtube.com/watch?v=sM42gxA5npU" TargetMode="External"/><Relationship Id="rId116" Type="http://schemas.openxmlformats.org/officeDocument/2006/relationships/hyperlink" Target="https://temps-action.com/classer-ses-documents-sur-ordinateur" TargetMode="External"/><Relationship Id="rId20" Type="http://schemas.openxmlformats.org/officeDocument/2006/relationships/hyperlink" Target="https://www.editionsdelamartiniere.fr/cuisine/" TargetMode="External"/><Relationship Id="rId41" Type="http://schemas.openxmlformats.org/officeDocument/2006/relationships/hyperlink" Target="https://www.youtube.com/@AxelROBINFormations/shorts" TargetMode="External"/><Relationship Id="rId62" Type="http://schemas.openxmlformats.org/officeDocument/2006/relationships/hyperlink" Target="https://www.youtube.com/shorts/eFGsqU5y9mA" TargetMode="External"/><Relationship Id="rId83" Type="http://schemas.openxmlformats.org/officeDocument/2006/relationships/hyperlink" Target="https://datascientest.com/power-query-tout-savoir" TargetMode="External"/><Relationship Id="rId88" Type="http://schemas.openxmlformats.org/officeDocument/2006/relationships/hyperlink" Target="https://atelier337.fr/code-couleur-hex/" TargetMode="External"/><Relationship Id="rId111" Type="http://schemas.openxmlformats.org/officeDocument/2006/relationships/hyperlink" Target="https://www.youtube.com/playlist?list=PLoeG40YJ6XVTVHLRrgzWfhxxjuv3xAUsL" TargetMode="External"/><Relationship Id="rId15" Type="http://schemas.openxmlformats.org/officeDocument/2006/relationships/hyperlink" Target="https://gallica.bnf.fr/conseils/content/cuisine" TargetMode="External"/><Relationship Id="rId36" Type="http://schemas.openxmlformats.org/officeDocument/2006/relationships/hyperlink" Target="https://www.youtube.com/@lingenieur.y/videos" TargetMode="External"/><Relationship Id="rId57" Type="http://schemas.openxmlformats.org/officeDocument/2006/relationships/hyperlink" Target="https://www.youtube.com/watch?v=I4XA5qCNU5w" TargetMode="External"/><Relationship Id="rId106" Type="http://schemas.openxmlformats.org/officeDocument/2006/relationships/hyperlink" Target="https://pixabay.com/fr/images/search/%C3%A9motic%C3%B4ne/?order=trending" TargetMode="External"/><Relationship Id="rId127" Type="http://schemas.openxmlformats.org/officeDocument/2006/relationships/hyperlink" Target="https://www.youtube.com/@NaelBAADACHE/shorts" TargetMode="External"/><Relationship Id="rId10" Type="http://schemas.openxmlformats.org/officeDocument/2006/relationships/hyperlink" Target="https://gallica.bnf.fr/conseils/content/repas" TargetMode="External"/><Relationship Id="rId31" Type="http://schemas.openxmlformats.org/officeDocument/2006/relationships/hyperlink" Target="https://www.youtube.com/watch?v=qQzQ0NuOx3c" TargetMode="External"/><Relationship Id="rId52" Type="http://schemas.openxmlformats.org/officeDocument/2006/relationships/hyperlink" Target="https://uimmauvergne.org/sites/default/files/Guide_transmission_savoirs_savoirfaire.pdf" TargetMode="External"/><Relationship Id="rId73" Type="http://schemas.openxmlformats.org/officeDocument/2006/relationships/hyperlink" Target="https://www.youtube.com/watch?v=Zmyy7IVzwSU" TargetMode="External"/><Relationship Id="rId78" Type="http://schemas.openxmlformats.org/officeDocument/2006/relationships/hyperlink" Target="https://www.youtube.com/@Solpedinn/shorts" TargetMode="External"/><Relationship Id="rId94" Type="http://schemas.openxmlformats.org/officeDocument/2006/relationships/hyperlink" Target="https://www.noovomoi.ca/style-et-maison/maison/article.10-combinaisons-de-couleurs.1.3811169.html" TargetMode="External"/><Relationship Id="rId99" Type="http://schemas.openxmlformats.org/officeDocument/2006/relationships/hyperlink" Target="https://www.youtube.com/@lecompagnoninfo/videos" TargetMode="External"/><Relationship Id="rId101" Type="http://schemas.openxmlformats.org/officeDocument/2006/relationships/hyperlink" Target="https://www.topster.fr/texte/kolorieren.html" TargetMode="External"/><Relationship Id="rId122" Type="http://schemas.openxmlformats.org/officeDocument/2006/relationships/hyperlink" Target="https://www.youtube.com/watch?v=IK36nFxOgHY"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26" Type="http://schemas.openxmlformats.org/officeDocument/2006/relationships/hyperlink" Target="http://www.uprt.fr/mesimages/fichiers-uprt/hop-alimentation/hop-photos-quantit%C3%A9s.pdf"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8DE4-B61B-4CEC-83EB-683E852CB3A0}">
  <dimension ref="A1:AG150"/>
  <sheetViews>
    <sheetView showZeros="0" zoomScaleNormal="100" workbookViewId="0">
      <selection activeCell="D27" sqref="D27"/>
    </sheetView>
  </sheetViews>
  <sheetFormatPr baseColWidth="10" defaultColWidth="11.42578125" defaultRowHeight="15"/>
  <cols>
    <col min="1" max="1" width="9.28515625" style="2" customWidth="1"/>
    <col min="2" max="2" width="15.7109375" style="2" customWidth="1"/>
    <col min="3" max="4" width="32.7109375" style="2" customWidth="1"/>
    <col min="5" max="5" width="12.85546875" style="2" customWidth="1"/>
    <col min="6" max="6" width="15.7109375" style="2" customWidth="1"/>
    <col min="7" max="8" width="32.7109375" style="2" customWidth="1"/>
    <col min="9" max="9" width="8.5703125" style="2" customWidth="1"/>
    <col min="10" max="10" width="15.7109375" style="2" customWidth="1"/>
    <col min="11" max="11" width="32.7109375" style="2" customWidth="1"/>
    <col min="12" max="12" width="32.7109375" style="1" customWidth="1"/>
    <col min="13" max="13" width="14.5703125" style="1" customWidth="1"/>
    <col min="14" max="32" width="11.42578125" style="2"/>
    <col min="33" max="33" width="37" style="2" customWidth="1"/>
    <col min="34" max="16384" width="11.42578125" style="2"/>
  </cols>
  <sheetData>
    <row r="1" spans="1:33" ht="15.75" thickTop="1">
      <c r="A1" s="9" t="str">
        <f>ADDRESS(ROW(),COLUMN(),4)</f>
        <v>A1</v>
      </c>
      <c r="B1" s="443" t="str">
        <f t="shared" ref="B1:AD1" si="0">SUBSTITUTE(ADDRESS(1,COLUMN(),4),"1","")</f>
        <v>B</v>
      </c>
      <c r="C1" s="443" t="str">
        <f t="shared" si="0"/>
        <v>C</v>
      </c>
      <c r="D1" s="443" t="str">
        <f t="shared" si="0"/>
        <v>D</v>
      </c>
      <c r="F1" s="443" t="str">
        <f t="shared" si="0"/>
        <v>F</v>
      </c>
      <c r="G1" s="443" t="str">
        <f t="shared" si="0"/>
        <v>G</v>
      </c>
      <c r="H1" s="443" t="str">
        <f t="shared" si="0"/>
        <v>H</v>
      </c>
      <c r="J1" s="443" t="str">
        <f t="shared" si="0"/>
        <v>J</v>
      </c>
      <c r="K1" s="443" t="str">
        <f t="shared" si="0"/>
        <v>K</v>
      </c>
      <c r="L1" s="443" t="str">
        <f t="shared" si="0"/>
        <v>L</v>
      </c>
      <c r="M1" s="102"/>
      <c r="N1" s="443" t="str">
        <f t="shared" si="0"/>
        <v>N</v>
      </c>
      <c r="O1" s="443" t="str">
        <f t="shared" si="0"/>
        <v>O</v>
      </c>
      <c r="P1" s="443" t="str">
        <f t="shared" si="0"/>
        <v>P</v>
      </c>
      <c r="Q1" s="443" t="str">
        <f t="shared" si="0"/>
        <v>Q</v>
      </c>
      <c r="R1" s="443" t="str">
        <f t="shared" si="0"/>
        <v>R</v>
      </c>
      <c r="S1" s="443" t="str">
        <f t="shared" si="0"/>
        <v>S</v>
      </c>
      <c r="T1" s="443" t="str">
        <f t="shared" si="0"/>
        <v>T</v>
      </c>
      <c r="U1" s="443" t="str">
        <f t="shared" si="0"/>
        <v>U</v>
      </c>
      <c r="V1" s="443" t="str">
        <f t="shared" si="0"/>
        <v>V</v>
      </c>
      <c r="W1" s="443" t="str">
        <f t="shared" si="0"/>
        <v>W</v>
      </c>
      <c r="X1" s="443" t="str">
        <f t="shared" si="0"/>
        <v>X</v>
      </c>
      <c r="Y1" s="443" t="str">
        <f t="shared" si="0"/>
        <v>Y</v>
      </c>
      <c r="Z1" s="443" t="str">
        <f t="shared" si="0"/>
        <v>Z</v>
      </c>
      <c r="AA1" s="443" t="str">
        <f t="shared" si="0"/>
        <v>AA</v>
      </c>
      <c r="AB1" s="443" t="str">
        <f t="shared" si="0"/>
        <v>AB</v>
      </c>
      <c r="AC1" s="443" t="str">
        <f t="shared" si="0"/>
        <v>AC</v>
      </c>
      <c r="AD1" s="443" t="str">
        <f t="shared" si="0"/>
        <v>AD</v>
      </c>
      <c r="AE1" s="5">
        <v>1</v>
      </c>
      <c r="AF1" s="442" t="str">
        <f>SUBSTITUTE(ADDRESS(1,COLUMN(),4),"1","")</f>
        <v>AF</v>
      </c>
      <c r="AG1" s="5497" t="str">
        <f>SUBSTITUTE(ADDRESS(1,COLUMN(),4),"1","")</f>
        <v>AG</v>
      </c>
    </row>
    <row r="2" spans="1:33">
      <c r="B2" s="6186">
        <f t="shared" ref="B2:V2" ca="1" si="1">CELL("largeur",B2)</f>
        <v>15</v>
      </c>
      <c r="C2" s="6186">
        <f t="shared" ca="1" si="1"/>
        <v>32</v>
      </c>
      <c r="D2" s="6186">
        <f t="shared" ca="1" si="1"/>
        <v>32</v>
      </c>
      <c r="F2" s="6186">
        <f t="shared" ca="1" si="1"/>
        <v>15</v>
      </c>
      <c r="G2" s="6186">
        <f t="shared" ca="1" si="1"/>
        <v>32</v>
      </c>
      <c r="H2" s="6186">
        <f t="shared" ca="1" si="1"/>
        <v>32</v>
      </c>
      <c r="J2" s="6186">
        <f t="shared" ca="1" si="1"/>
        <v>15</v>
      </c>
      <c r="K2" s="6186">
        <f t="shared" ca="1" si="1"/>
        <v>32</v>
      </c>
      <c r="L2" s="6186">
        <f t="shared" ca="1" si="1"/>
        <v>32</v>
      </c>
      <c r="M2" s="102"/>
      <c r="N2" s="6186">
        <f t="shared" ca="1" si="1"/>
        <v>11</v>
      </c>
      <c r="O2" s="6186">
        <f t="shared" ca="1" si="1"/>
        <v>11</v>
      </c>
      <c r="P2" s="6186">
        <f t="shared" ca="1" si="1"/>
        <v>11</v>
      </c>
      <c r="Q2" s="6186">
        <f t="shared" ca="1" si="1"/>
        <v>11</v>
      </c>
      <c r="R2" s="6186">
        <f t="shared" ca="1" si="1"/>
        <v>11</v>
      </c>
      <c r="S2" s="6186">
        <f t="shared" ca="1" si="1"/>
        <v>11</v>
      </c>
      <c r="T2" s="6186">
        <f t="shared" ca="1" si="1"/>
        <v>11</v>
      </c>
      <c r="U2" s="6186">
        <f t="shared" ca="1" si="1"/>
        <v>11</v>
      </c>
      <c r="V2" s="6186">
        <f t="shared" ca="1" si="1"/>
        <v>11</v>
      </c>
      <c r="W2" s="6186">
        <f ca="1">CELL("largeur",W2)</f>
        <v>11</v>
      </c>
      <c r="X2" s="6186">
        <f t="shared" ref="X2:AD2" ca="1" si="2">CELL("largeur",X2)</f>
        <v>11</v>
      </c>
      <c r="Y2" s="6186">
        <f t="shared" ca="1" si="2"/>
        <v>11</v>
      </c>
      <c r="Z2" s="6186">
        <f t="shared" ca="1" si="2"/>
        <v>11</v>
      </c>
      <c r="AA2" s="6186">
        <f t="shared" ca="1" si="2"/>
        <v>11</v>
      </c>
      <c r="AB2" s="6186">
        <f t="shared" ca="1" si="2"/>
        <v>11</v>
      </c>
      <c r="AC2" s="6186">
        <f t="shared" ca="1" si="2"/>
        <v>11</v>
      </c>
      <c r="AD2" s="6186">
        <f t="shared" ca="1" si="2"/>
        <v>11</v>
      </c>
      <c r="AE2" s="5">
        <v>1</v>
      </c>
      <c r="AF2" s="6323" t="s">
        <v>8850</v>
      </c>
      <c r="AG2" s="440"/>
    </row>
    <row r="3" spans="1:33" ht="19.5" thickBot="1">
      <c r="B3" s="6845">
        <v>15</v>
      </c>
      <c r="C3" s="6845">
        <v>32</v>
      </c>
      <c r="D3" s="6845">
        <v>32</v>
      </c>
      <c r="F3" s="6845">
        <v>15</v>
      </c>
      <c r="G3" s="6845">
        <v>32</v>
      </c>
      <c r="H3" s="6845">
        <v>32</v>
      </c>
      <c r="J3" s="6845">
        <v>15</v>
      </c>
      <c r="K3" s="6845">
        <v>32</v>
      </c>
      <c r="L3" s="6845">
        <v>32</v>
      </c>
      <c r="M3" s="102"/>
      <c r="N3" s="97"/>
      <c r="O3" s="97"/>
      <c r="P3" s="7049" t="str">
        <f ca="1">"Page "&amp;_xlfn.SHEET()&amp;" sur "&amp;_xlfn.SHEETS()</f>
        <v>Page 1 sur 28</v>
      </c>
      <c r="Q3" s="7049"/>
      <c r="R3" s="7049"/>
      <c r="S3" s="97"/>
      <c r="T3" s="97"/>
      <c r="U3" s="97"/>
      <c r="V3" s="97"/>
      <c r="W3" s="97"/>
      <c r="X3" s="97"/>
      <c r="Y3" s="97"/>
      <c r="Z3" s="97"/>
      <c r="AA3" s="97"/>
      <c r="AB3" s="5648" t="s">
        <v>10707</v>
      </c>
      <c r="AC3" s="5649" t="str">
        <f>Notice.utilisateur!$AE$150</f>
        <v>AE150</v>
      </c>
      <c r="AD3" s="97"/>
      <c r="AE3" s="5">
        <v>1</v>
      </c>
      <c r="AF3" s="430">
        <f ca="1">COUNTA(A1:AE150) + COUNTBLANK(A1:AE150)</f>
        <v>4650</v>
      </c>
      <c r="AG3" s="6324" t="str">
        <f>"cellules entre -cells -celdas  "&amp;" " &amp;A1&amp;" et  "&amp;AE150</f>
        <v>cellules entre -cells -celdas   A1 et  AE150</v>
      </c>
    </row>
    <row r="4" spans="1:33" ht="16.5" thickBot="1">
      <c r="A4" s="97"/>
      <c r="M4" s="102"/>
      <c r="N4" s="97"/>
      <c r="O4" s="97"/>
      <c r="P4" s="97"/>
      <c r="Q4" s="97"/>
      <c r="R4" s="97"/>
      <c r="S4" s="97"/>
      <c r="T4" s="97"/>
      <c r="U4" s="97"/>
      <c r="V4" s="97"/>
      <c r="W4" s="97"/>
      <c r="X4" s="97"/>
      <c r="Y4" s="97"/>
      <c r="Z4" s="97"/>
      <c r="AA4" s="97"/>
      <c r="AB4" s="97"/>
      <c r="AC4" s="97"/>
      <c r="AD4" s="97"/>
      <c r="AE4" s="5">
        <v>1</v>
      </c>
      <c r="AF4" s="430">
        <f ca="1">COUNTA(A1:AE150)</f>
        <v>566</v>
      </c>
      <c r="AG4" s="6324" t="s">
        <v>8851</v>
      </c>
    </row>
    <row r="5" spans="1:33" ht="15" customHeight="1">
      <c r="A5" s="97"/>
      <c r="B5" s="7050" t="s">
        <v>296</v>
      </c>
      <c r="C5" s="7051"/>
      <c r="D5" s="7052"/>
      <c r="E5"/>
      <c r="F5" s="7050" t="s">
        <v>297</v>
      </c>
      <c r="G5" s="7051"/>
      <c r="H5" s="7052"/>
      <c r="I5"/>
      <c r="J5" s="7050" t="s">
        <v>10708</v>
      </c>
      <c r="K5" s="7051"/>
      <c r="L5" s="7052"/>
      <c r="M5" s="102"/>
      <c r="N5" s="7056" t="s">
        <v>10709</v>
      </c>
      <c r="O5" s="7056"/>
      <c r="P5" s="7056"/>
      <c r="Q5" s="7056"/>
      <c r="R5" s="7056"/>
      <c r="S5" s="97"/>
      <c r="T5" s="97"/>
      <c r="U5" s="97"/>
      <c r="V5" s="97"/>
      <c r="W5" s="97"/>
      <c r="X5" s="97"/>
      <c r="Y5" s="97"/>
      <c r="Z5" s="97"/>
      <c r="AA5" s="97"/>
      <c r="AB5" s="97"/>
      <c r="AC5" s="97"/>
      <c r="AD5" s="97"/>
      <c r="AE5" s="5">
        <v>1</v>
      </c>
      <c r="AF5" s="430">
        <f ca="1">COUNTBLANK(A1:AE150)</f>
        <v>4084</v>
      </c>
      <c r="AG5" s="6324" t="s">
        <v>8852</v>
      </c>
    </row>
    <row r="6" spans="1:33" ht="15" customHeight="1">
      <c r="A6" s="97"/>
      <c r="B6" s="7053"/>
      <c r="C6" s="7054"/>
      <c r="D6" s="7055"/>
      <c r="E6"/>
      <c r="F6" s="7053"/>
      <c r="G6" s="7054"/>
      <c r="H6" s="7055"/>
      <c r="I6"/>
      <c r="J6" s="7053"/>
      <c r="K6" s="7054"/>
      <c r="L6" s="7055"/>
      <c r="M6" s="102"/>
      <c r="N6" s="7056"/>
      <c r="O6" s="7056"/>
      <c r="P6" s="7056"/>
      <c r="Q6" s="7056"/>
      <c r="R6" s="7056"/>
      <c r="S6" s="97"/>
      <c r="T6" s="97"/>
      <c r="U6" s="97"/>
      <c r="V6" s="97"/>
      <c r="W6" s="97"/>
      <c r="X6" s="97"/>
      <c r="Y6" s="97"/>
      <c r="Z6" s="97"/>
      <c r="AA6" s="97"/>
      <c r="AB6" s="97"/>
      <c r="AC6" s="97"/>
      <c r="AD6" s="97"/>
      <c r="AE6" s="5">
        <v>1</v>
      </c>
      <c r="AF6" s="430">
        <f>SUM(AE1:AE148)+2</f>
        <v>150</v>
      </c>
      <c r="AG6" s="6324" t="s">
        <v>8853</v>
      </c>
    </row>
    <row r="7" spans="1:33" ht="15.75">
      <c r="A7" s="97"/>
      <c r="B7"/>
      <c r="C7"/>
      <c r="D7"/>
      <c r="E7"/>
      <c r="F7"/>
      <c r="G7"/>
      <c r="H7"/>
      <c r="I7"/>
      <c r="J7"/>
      <c r="K7"/>
      <c r="L7"/>
      <c r="M7" s="102"/>
      <c r="N7" s="97"/>
      <c r="O7" s="97"/>
      <c r="P7" s="97"/>
      <c r="Q7" s="97"/>
      <c r="R7" s="97"/>
      <c r="S7" s="97"/>
      <c r="T7" s="97"/>
      <c r="U7" s="97"/>
      <c r="V7" s="97"/>
      <c r="W7" s="97"/>
      <c r="X7" s="97"/>
      <c r="Y7" s="97"/>
      <c r="Z7" s="97"/>
      <c r="AA7" s="97"/>
      <c r="AB7" s="97"/>
      <c r="AC7" s="97"/>
      <c r="AD7" s="97"/>
      <c r="AE7" s="5">
        <v>1</v>
      </c>
      <c r="AF7" s="430">
        <f>SUM(A150:AD150)+1</f>
        <v>31</v>
      </c>
      <c r="AG7" s="6324" t="s">
        <v>8854</v>
      </c>
    </row>
    <row r="8" spans="1:33">
      <c r="A8" s="97"/>
      <c r="B8"/>
      <c r="C8"/>
      <c r="D8"/>
      <c r="E8"/>
      <c r="F8"/>
      <c r="G8"/>
      <c r="H8"/>
      <c r="I8"/>
      <c r="J8"/>
      <c r="K8"/>
      <c r="L8"/>
      <c r="M8" s="102"/>
      <c r="N8" s="97"/>
      <c r="O8" s="97"/>
      <c r="P8" s="97"/>
      <c r="Q8" s="97"/>
      <c r="R8" s="97"/>
      <c r="S8" s="97"/>
      <c r="T8" s="97"/>
      <c r="U8" s="97"/>
      <c r="V8" s="97"/>
      <c r="W8" s="97"/>
      <c r="X8" s="97"/>
      <c r="Y8" s="97"/>
      <c r="Z8" s="97"/>
      <c r="AA8" s="97"/>
      <c r="AB8" s="97"/>
      <c r="AC8" s="97"/>
      <c r="AD8" s="97"/>
      <c r="AE8" s="5">
        <v>1</v>
      </c>
      <c r="AF8" s="1"/>
      <c r="AG8" s="1"/>
    </row>
    <row r="9" spans="1:33" ht="60.75" customHeight="1">
      <c r="A9" s="97"/>
      <c r="B9" s="7046" t="s">
        <v>76</v>
      </c>
      <c r="C9" s="7047"/>
      <c r="D9" s="7048"/>
      <c r="E9" s="1720"/>
      <c r="F9" s="7046" t="s">
        <v>67</v>
      </c>
      <c r="G9" s="7047"/>
      <c r="H9" s="7048"/>
      <c r="I9" s="1720"/>
      <c r="J9" s="7046" t="s">
        <v>53</v>
      </c>
      <c r="K9" s="7047"/>
      <c r="L9" s="7048"/>
      <c r="M9" s="102"/>
      <c r="N9" s="6846" t="s">
        <v>328</v>
      </c>
      <c r="O9" s="97"/>
      <c r="P9" s="97"/>
      <c r="Q9" s="97"/>
      <c r="R9" s="97"/>
      <c r="S9" s="97"/>
      <c r="T9" s="97"/>
      <c r="U9" s="97"/>
      <c r="V9" s="97"/>
      <c r="W9" s="97"/>
      <c r="X9" s="97"/>
      <c r="Y9" s="97"/>
      <c r="Z9" s="97"/>
      <c r="AA9" s="97"/>
      <c r="AB9" s="97"/>
      <c r="AC9" s="97"/>
      <c r="AD9" s="97"/>
      <c r="AE9" s="5">
        <v>1</v>
      </c>
      <c r="AF9" s="1"/>
      <c r="AG9" s="1"/>
    </row>
    <row r="10" spans="1:33" ht="15.75">
      <c r="A10" s="97"/>
      <c r="B10" s="141"/>
      <c r="C10" s="141"/>
      <c r="D10" s="141"/>
      <c r="E10" s="141"/>
      <c r="F10" s="141"/>
      <c r="G10" s="141"/>
      <c r="H10" s="141"/>
      <c r="I10" s="141"/>
      <c r="J10" s="141"/>
      <c r="K10" s="141"/>
      <c r="L10" s="141"/>
      <c r="M10" s="102"/>
      <c r="N10" s="455" t="s">
        <v>331</v>
      </c>
      <c r="O10" s="97"/>
      <c r="P10" s="97"/>
      <c r="Q10" s="97"/>
      <c r="R10" s="97"/>
      <c r="S10" s="97"/>
      <c r="T10" s="97"/>
      <c r="U10" s="97"/>
      <c r="V10" s="97"/>
      <c r="W10" s="97"/>
      <c r="X10" s="97"/>
      <c r="Y10" s="97"/>
      <c r="Z10" s="97"/>
      <c r="AA10" s="97"/>
      <c r="AB10" s="97"/>
      <c r="AC10" s="97"/>
      <c r="AD10" s="97"/>
      <c r="AE10" s="5">
        <v>1</v>
      </c>
      <c r="AF10" s="1"/>
      <c r="AG10" s="1"/>
    </row>
    <row r="11" spans="1:33" ht="23.25">
      <c r="A11" s="97"/>
      <c r="B11" s="6847" t="s">
        <v>10710</v>
      </c>
      <c r="C11" s="141"/>
      <c r="D11" s="141"/>
      <c r="E11" s="141"/>
      <c r="F11" s="6847" t="s">
        <v>10711</v>
      </c>
      <c r="G11" s="141"/>
      <c r="H11" s="141"/>
      <c r="I11" s="141"/>
      <c r="J11" s="6847" t="s">
        <v>10712</v>
      </c>
      <c r="K11" s="141"/>
      <c r="L11" s="141"/>
      <c r="M11" s="102"/>
      <c r="N11" s="97"/>
      <c r="O11" s="97"/>
      <c r="P11" s="97"/>
      <c r="Q11" s="97"/>
      <c r="R11" s="97"/>
      <c r="S11" s="97"/>
      <c r="T11" s="97"/>
      <c r="U11" s="97"/>
      <c r="V11" s="97"/>
      <c r="W11" s="97"/>
      <c r="X11" s="97"/>
      <c r="Y11" s="97"/>
      <c r="Z11" s="97"/>
      <c r="AA11" s="97"/>
      <c r="AB11" s="97"/>
      <c r="AC11" s="97"/>
      <c r="AD11" s="97"/>
      <c r="AE11" s="5">
        <v>1</v>
      </c>
      <c r="AF11" s="1"/>
      <c r="AG11" s="1"/>
    </row>
    <row r="12" spans="1:33">
      <c r="A12" s="97"/>
      <c r="B12" s="141"/>
      <c r="C12" s="141"/>
      <c r="D12" s="141"/>
      <c r="E12" s="141"/>
      <c r="F12" s="141"/>
      <c r="G12" s="141"/>
      <c r="H12" s="141"/>
      <c r="I12" s="141"/>
      <c r="J12" s="141"/>
      <c r="K12" s="141"/>
      <c r="L12" s="141"/>
      <c r="M12" s="102"/>
      <c r="N12" s="97"/>
      <c r="O12" s="97"/>
      <c r="P12" s="97"/>
      <c r="Q12" s="97"/>
      <c r="R12" s="97"/>
      <c r="S12" s="97"/>
      <c r="T12" s="97"/>
      <c r="U12" s="97"/>
      <c r="V12" s="97"/>
      <c r="W12" s="97"/>
      <c r="X12" s="97"/>
      <c r="Y12" s="97"/>
      <c r="Z12" s="97"/>
      <c r="AA12" s="97"/>
      <c r="AB12" s="97"/>
      <c r="AC12" s="97"/>
      <c r="AD12" s="97"/>
      <c r="AE12" s="5">
        <v>1</v>
      </c>
      <c r="AF12" s="1"/>
      <c r="AG12" s="1"/>
    </row>
    <row r="13" spans="1:33" ht="18.75">
      <c r="A13" s="97"/>
      <c r="B13" s="450" t="s">
        <v>10713</v>
      </c>
      <c r="C13" s="141"/>
      <c r="D13" s="141"/>
      <c r="E13" s="141"/>
      <c r="F13" s="450" t="s">
        <v>10714</v>
      </c>
      <c r="G13" s="141"/>
      <c r="H13" s="141"/>
      <c r="I13" s="141"/>
      <c r="J13" s="450" t="s">
        <v>10715</v>
      </c>
      <c r="K13" s="141"/>
      <c r="L13" s="141"/>
      <c r="M13" s="102"/>
      <c r="N13" s="97"/>
      <c r="O13" s="97"/>
      <c r="P13" s="97"/>
      <c r="Q13" s="97"/>
      <c r="R13" s="97"/>
      <c r="S13" s="97"/>
      <c r="T13" s="97"/>
      <c r="U13" s="97"/>
      <c r="V13" s="97"/>
      <c r="W13" s="97"/>
      <c r="X13" s="97"/>
      <c r="Y13" s="97"/>
      <c r="Z13" s="97"/>
      <c r="AA13" s="97"/>
      <c r="AB13" s="97"/>
      <c r="AC13" s="97"/>
      <c r="AD13" s="97"/>
      <c r="AE13" s="5">
        <v>1</v>
      </c>
      <c r="AF13" s="1"/>
      <c r="AG13" s="1"/>
    </row>
    <row r="14" spans="1:33">
      <c r="A14" s="97"/>
      <c r="B14" s="141"/>
      <c r="C14" s="141"/>
      <c r="D14" s="141"/>
      <c r="E14" s="141"/>
      <c r="F14" s="141"/>
      <c r="G14" s="141"/>
      <c r="H14" s="141"/>
      <c r="I14" s="141"/>
      <c r="J14" s="141"/>
      <c r="K14" s="141"/>
      <c r="L14" s="141"/>
      <c r="M14" s="102"/>
      <c r="N14" s="97"/>
      <c r="O14" s="97"/>
      <c r="P14" s="97"/>
      <c r="Q14" s="97"/>
      <c r="R14" s="97"/>
      <c r="S14" s="97"/>
      <c r="T14" s="97"/>
      <c r="U14" s="97"/>
      <c r="V14" s="97"/>
      <c r="W14" s="97"/>
      <c r="X14" s="97"/>
      <c r="Y14" s="97"/>
      <c r="Z14" s="97"/>
      <c r="AA14" s="97"/>
      <c r="AB14" s="97"/>
      <c r="AC14" s="97"/>
      <c r="AD14" s="97"/>
      <c r="AE14" s="5">
        <v>1</v>
      </c>
    </row>
    <row r="15" spans="1:33">
      <c r="A15" s="97"/>
      <c r="B15" s="141" t="s">
        <v>10716</v>
      </c>
      <c r="C15" s="141"/>
      <c r="D15" s="141"/>
      <c r="E15" s="141"/>
      <c r="F15" s="141" t="s">
        <v>10717</v>
      </c>
      <c r="G15" s="141"/>
      <c r="H15" s="141"/>
      <c r="I15" s="141"/>
      <c r="J15" s="141" t="s">
        <v>10718</v>
      </c>
      <c r="K15" s="141"/>
      <c r="L15" s="141"/>
      <c r="M15" s="102"/>
      <c r="N15" s="97"/>
      <c r="O15" s="97"/>
      <c r="P15" s="97"/>
      <c r="Q15" s="97"/>
      <c r="R15" s="97"/>
      <c r="S15" s="97"/>
      <c r="T15" s="97"/>
      <c r="U15" s="97"/>
      <c r="V15" s="97"/>
      <c r="W15" s="97"/>
      <c r="X15" s="97"/>
      <c r="Y15" s="97"/>
      <c r="Z15" s="97"/>
      <c r="AA15" s="97"/>
      <c r="AB15" s="97"/>
      <c r="AC15" s="97"/>
      <c r="AD15" s="97"/>
      <c r="AE15" s="5">
        <v>1</v>
      </c>
    </row>
    <row r="16" spans="1:33">
      <c r="A16" s="97"/>
      <c r="B16" s="4681" t="s">
        <v>10719</v>
      </c>
      <c r="C16" s="141"/>
      <c r="D16" s="141"/>
      <c r="E16" s="141"/>
      <c r="F16" s="4681" t="s">
        <v>10720</v>
      </c>
      <c r="G16" s="141"/>
      <c r="H16" s="141"/>
      <c r="I16" s="141"/>
      <c r="J16" s="4681" t="s">
        <v>10721</v>
      </c>
      <c r="K16" s="141"/>
      <c r="L16" s="141"/>
      <c r="M16" s="102"/>
      <c r="N16" s="97"/>
      <c r="O16" s="97"/>
      <c r="P16" s="97"/>
      <c r="Q16" s="97"/>
      <c r="R16" s="97"/>
      <c r="S16" s="97"/>
      <c r="T16" s="97"/>
      <c r="U16" s="97"/>
      <c r="V16" s="97"/>
      <c r="W16" s="97"/>
      <c r="X16" s="97"/>
      <c r="Y16" s="97"/>
      <c r="Z16" s="97"/>
      <c r="AA16" s="97"/>
      <c r="AB16" s="97"/>
      <c r="AC16" s="97"/>
      <c r="AD16" s="97"/>
      <c r="AE16" s="5">
        <v>1</v>
      </c>
    </row>
    <row r="17" spans="1:31">
      <c r="A17" s="97"/>
      <c r="B17" s="4681"/>
      <c r="C17" s="141"/>
      <c r="D17" s="141"/>
      <c r="E17" s="141"/>
      <c r="F17" s="4681"/>
      <c r="G17" s="141"/>
      <c r="H17" s="141"/>
      <c r="I17" s="141"/>
      <c r="J17" s="4681"/>
      <c r="K17" s="141"/>
      <c r="L17" s="141"/>
      <c r="M17" s="102"/>
      <c r="N17" s="97"/>
      <c r="O17" s="97"/>
      <c r="P17" s="97"/>
      <c r="Q17" s="97"/>
      <c r="R17" s="97"/>
      <c r="S17" s="97"/>
      <c r="T17" s="97"/>
      <c r="U17" s="97"/>
      <c r="V17" s="97"/>
      <c r="W17" s="97"/>
      <c r="X17" s="97"/>
      <c r="Y17" s="97"/>
      <c r="Z17" s="97"/>
      <c r="AA17" s="97"/>
      <c r="AB17" s="97"/>
      <c r="AC17" s="97"/>
      <c r="AD17" s="97"/>
      <c r="AE17" s="5">
        <v>1</v>
      </c>
    </row>
    <row r="18" spans="1:31">
      <c r="A18" s="97"/>
      <c r="B18" s="4681" t="s">
        <v>10722</v>
      </c>
      <c r="C18" s="141"/>
      <c r="D18" s="141"/>
      <c r="E18" s="141"/>
      <c r="F18" s="4681" t="s">
        <v>10723</v>
      </c>
      <c r="G18" s="141"/>
      <c r="H18" s="141"/>
      <c r="I18" s="141"/>
      <c r="J18" s="4681" t="s">
        <v>10724</v>
      </c>
      <c r="K18" s="141"/>
      <c r="L18" s="141"/>
      <c r="M18" s="102"/>
      <c r="N18" s="97"/>
      <c r="O18" s="97"/>
      <c r="P18" s="97"/>
      <c r="Q18" s="97"/>
      <c r="R18" s="97"/>
      <c r="S18" s="97"/>
      <c r="T18" s="97"/>
      <c r="U18" s="97"/>
      <c r="V18" s="97"/>
      <c r="W18" s="97"/>
      <c r="X18" s="97"/>
      <c r="Y18" s="97"/>
      <c r="Z18" s="97"/>
      <c r="AA18" s="97"/>
      <c r="AB18" s="97"/>
      <c r="AC18" s="97"/>
      <c r="AD18" s="97"/>
      <c r="AE18" s="5">
        <v>1</v>
      </c>
    </row>
    <row r="19" spans="1:31">
      <c r="A19" s="97"/>
      <c r="B19" s="141" t="s">
        <v>10725</v>
      </c>
      <c r="C19" s="141"/>
      <c r="D19" s="141"/>
      <c r="E19" s="141"/>
      <c r="F19" s="141" t="s">
        <v>10726</v>
      </c>
      <c r="G19" s="141"/>
      <c r="H19" s="141"/>
      <c r="I19" s="141"/>
      <c r="J19" s="141" t="s">
        <v>10727</v>
      </c>
      <c r="K19" s="141"/>
      <c r="L19" s="141"/>
      <c r="M19" s="102"/>
      <c r="N19" s="97"/>
      <c r="O19" s="97"/>
      <c r="P19" s="97"/>
      <c r="Q19" s="97"/>
      <c r="R19" s="97"/>
      <c r="S19" s="97"/>
      <c r="T19" s="97"/>
      <c r="U19" s="97"/>
      <c r="V19" s="97"/>
      <c r="W19" s="97"/>
      <c r="X19" s="97"/>
      <c r="Y19" s="97"/>
      <c r="Z19" s="97"/>
      <c r="AA19" s="97"/>
      <c r="AB19" s="97"/>
      <c r="AC19" s="97"/>
      <c r="AD19" s="97"/>
      <c r="AE19" s="5">
        <v>1</v>
      </c>
    </row>
    <row r="20" spans="1:31">
      <c r="A20" s="97"/>
      <c r="B20" s="141"/>
      <c r="C20" s="141"/>
      <c r="D20" s="141"/>
      <c r="E20" s="141"/>
      <c r="F20" s="141"/>
      <c r="G20" s="141"/>
      <c r="H20" s="141"/>
      <c r="I20" s="141"/>
      <c r="J20" s="141"/>
      <c r="K20" s="141"/>
      <c r="L20" s="141"/>
      <c r="M20" s="102"/>
      <c r="N20" s="97"/>
      <c r="O20" s="97"/>
      <c r="P20" s="97"/>
      <c r="Q20" s="97"/>
      <c r="R20" s="97"/>
      <c r="S20" s="97"/>
      <c r="T20" s="97"/>
      <c r="U20" s="97"/>
      <c r="V20" s="97"/>
      <c r="W20" s="97"/>
      <c r="X20" s="97"/>
      <c r="Y20" s="97"/>
      <c r="Z20" s="97"/>
      <c r="AA20" s="97"/>
      <c r="AB20" s="97"/>
      <c r="AC20" s="97"/>
      <c r="AD20" s="97"/>
      <c r="AE20" s="5">
        <v>1</v>
      </c>
    </row>
    <row r="21" spans="1:31" ht="18.75">
      <c r="A21" s="97"/>
      <c r="B21" s="450" t="s">
        <v>10728</v>
      </c>
      <c r="C21" s="141"/>
      <c r="D21" s="141"/>
      <c r="E21" s="141"/>
      <c r="F21" s="450" t="s">
        <v>10729</v>
      </c>
      <c r="G21" s="141"/>
      <c r="H21" s="141"/>
      <c r="I21" s="141"/>
      <c r="J21" s="450" t="s">
        <v>10730</v>
      </c>
      <c r="K21" s="141"/>
      <c r="L21" s="141"/>
      <c r="M21" s="102"/>
      <c r="N21" s="97"/>
      <c r="O21" s="97"/>
      <c r="P21" s="97"/>
      <c r="Q21" s="97"/>
      <c r="R21" s="97"/>
      <c r="S21" s="97"/>
      <c r="T21" s="97"/>
      <c r="U21" s="97"/>
      <c r="V21" s="97"/>
      <c r="W21" s="97"/>
      <c r="X21" s="97"/>
      <c r="Y21" s="97"/>
      <c r="Z21" s="97"/>
      <c r="AA21" s="97"/>
      <c r="AB21" s="97"/>
      <c r="AC21" s="97"/>
      <c r="AD21" s="97"/>
      <c r="AE21" s="5">
        <v>1</v>
      </c>
    </row>
    <row r="22" spans="1:31">
      <c r="A22" s="97"/>
      <c r="B22" s="141"/>
      <c r="C22" s="141"/>
      <c r="D22" s="141"/>
      <c r="E22" s="141"/>
      <c r="F22" s="141"/>
      <c r="G22" s="141"/>
      <c r="H22" s="141"/>
      <c r="I22" s="141"/>
      <c r="J22" s="141"/>
      <c r="K22" s="141"/>
      <c r="L22" s="141"/>
      <c r="M22" s="102"/>
      <c r="N22" s="141" t="s">
        <v>10731</v>
      </c>
      <c r="O22" s="97"/>
      <c r="P22" s="97"/>
      <c r="Q22" s="97"/>
      <c r="R22" s="97"/>
      <c r="S22" s="97"/>
      <c r="T22" s="97"/>
      <c r="U22" s="97"/>
      <c r="V22" s="97"/>
      <c r="W22" s="97"/>
      <c r="X22" s="97"/>
      <c r="Y22" s="97"/>
      <c r="Z22" s="97"/>
      <c r="AA22" s="97"/>
      <c r="AB22" s="97"/>
      <c r="AC22" s="97"/>
      <c r="AD22" s="97"/>
      <c r="AE22" s="5">
        <v>1</v>
      </c>
    </row>
    <row r="23" spans="1:31" ht="18">
      <c r="A23" s="97"/>
      <c r="B23" s="155" t="s">
        <v>10732</v>
      </c>
      <c r="C23" s="141"/>
      <c r="D23" s="141"/>
      <c r="E23" s="141"/>
      <c r="F23" s="155" t="s">
        <v>10733</v>
      </c>
      <c r="G23" s="141"/>
      <c r="H23" s="141"/>
      <c r="I23" s="141"/>
      <c r="J23" s="155" t="s">
        <v>10734</v>
      </c>
      <c r="K23" s="141"/>
      <c r="L23" s="141"/>
      <c r="M23" s="102"/>
      <c r="N23" s="141" t="s">
        <v>10735</v>
      </c>
      <c r="O23" s="97"/>
      <c r="P23" s="97"/>
      <c r="Q23" s="97"/>
      <c r="R23" s="97"/>
      <c r="S23" s="97"/>
      <c r="T23" s="97"/>
      <c r="U23" s="97"/>
      <c r="V23" s="97"/>
      <c r="W23" s="97"/>
      <c r="X23" s="97"/>
      <c r="Y23" s="97"/>
      <c r="Z23" s="97"/>
      <c r="AA23" s="97"/>
      <c r="AB23" s="97"/>
      <c r="AC23" s="97"/>
      <c r="AD23" s="97"/>
      <c r="AE23" s="5">
        <v>1</v>
      </c>
    </row>
    <row r="24" spans="1:31">
      <c r="A24" s="97"/>
      <c r="B24" s="4681" t="s">
        <v>10736</v>
      </c>
      <c r="C24" s="141"/>
      <c r="D24" s="141"/>
      <c r="E24" s="141"/>
      <c r="F24" s="6756" t="s">
        <v>10737</v>
      </c>
      <c r="G24" s="141"/>
      <c r="H24" s="141"/>
      <c r="I24" s="141"/>
      <c r="J24" s="6756" t="s">
        <v>10738</v>
      </c>
      <c r="K24" s="141"/>
      <c r="L24" s="141"/>
      <c r="M24" s="102"/>
      <c r="N24" s="97"/>
      <c r="O24" s="97"/>
      <c r="P24" s="97"/>
      <c r="Q24" s="97"/>
      <c r="R24" s="97"/>
      <c r="S24" s="97"/>
      <c r="T24" s="97"/>
      <c r="U24" s="97"/>
      <c r="V24" s="97"/>
      <c r="W24" s="97"/>
      <c r="X24" s="97"/>
      <c r="Y24" s="97"/>
      <c r="Z24" s="97"/>
      <c r="AA24" s="97"/>
      <c r="AB24" s="97"/>
      <c r="AC24" s="97"/>
      <c r="AD24" s="97"/>
      <c r="AE24" s="5">
        <v>1</v>
      </c>
    </row>
    <row r="25" spans="1:31">
      <c r="A25" s="97"/>
      <c r="B25" s="4681" t="s">
        <v>10739</v>
      </c>
      <c r="C25" s="141"/>
      <c r="D25" s="141"/>
      <c r="E25" s="141"/>
      <c r="F25" s="6756" t="s">
        <v>10740</v>
      </c>
      <c r="G25" s="141"/>
      <c r="H25" s="141"/>
      <c r="I25" s="141"/>
      <c r="J25" s="6756" t="s">
        <v>10741</v>
      </c>
      <c r="K25" s="141"/>
      <c r="L25" s="141"/>
      <c r="M25" s="102"/>
      <c r="N25" s="97"/>
      <c r="O25" s="97"/>
      <c r="P25" s="97"/>
      <c r="Q25" s="97"/>
      <c r="R25" s="97"/>
      <c r="S25" s="97"/>
      <c r="T25" s="97"/>
      <c r="U25" s="97"/>
      <c r="V25" s="97"/>
      <c r="W25" s="97"/>
      <c r="X25" s="97"/>
      <c r="Y25" s="97"/>
      <c r="Z25" s="97"/>
      <c r="AA25" s="97"/>
      <c r="AB25" s="97"/>
      <c r="AC25" s="97"/>
      <c r="AD25" s="97"/>
      <c r="AE25" s="5">
        <v>1</v>
      </c>
    </row>
    <row r="26" spans="1:31">
      <c r="A26" s="97"/>
      <c r="B26" s="4681" t="s">
        <v>10742</v>
      </c>
      <c r="C26" s="141"/>
      <c r="D26" s="141"/>
      <c r="E26" s="141"/>
      <c r="F26" s="6756" t="s">
        <v>10743</v>
      </c>
      <c r="G26" s="141"/>
      <c r="H26" s="141"/>
      <c r="I26" s="141"/>
      <c r="J26" s="6756" t="s">
        <v>10744</v>
      </c>
      <c r="K26" s="141"/>
      <c r="L26" s="141"/>
      <c r="M26" s="102"/>
      <c r="N26" s="97"/>
      <c r="O26" s="97"/>
      <c r="P26" s="97"/>
      <c r="Q26" s="97"/>
      <c r="R26" s="97"/>
      <c r="S26" s="97"/>
      <c r="T26" s="97"/>
      <c r="U26" s="97"/>
      <c r="V26" s="97"/>
      <c r="W26" s="97"/>
      <c r="X26" s="97"/>
      <c r="Y26" s="97"/>
      <c r="Z26" s="97"/>
      <c r="AA26" s="97"/>
      <c r="AB26" s="97"/>
      <c r="AC26" s="97"/>
      <c r="AD26" s="97"/>
      <c r="AE26" s="5">
        <v>1</v>
      </c>
    </row>
    <row r="27" spans="1:31">
      <c r="A27" s="97"/>
      <c r="B27" s="4681" t="s">
        <v>10745</v>
      </c>
      <c r="C27" s="141"/>
      <c r="D27" s="141"/>
      <c r="E27" s="141"/>
      <c r="F27" s="141" t="s">
        <v>10746</v>
      </c>
      <c r="G27" s="141"/>
      <c r="H27" s="141"/>
      <c r="I27" s="141"/>
      <c r="J27" s="141" t="s">
        <v>10747</v>
      </c>
      <c r="K27" s="141"/>
      <c r="L27" s="141"/>
      <c r="M27" s="102"/>
      <c r="N27" s="97"/>
      <c r="O27" s="97"/>
      <c r="P27" s="97"/>
      <c r="Q27" s="97"/>
      <c r="R27" s="97"/>
      <c r="S27" s="97"/>
      <c r="T27" s="97"/>
      <c r="U27" s="97"/>
      <c r="V27" s="97"/>
      <c r="W27" s="97"/>
      <c r="X27" s="97"/>
      <c r="Y27" s="97"/>
      <c r="Z27" s="97"/>
      <c r="AA27" s="97"/>
      <c r="AB27" s="97"/>
      <c r="AC27" s="97"/>
      <c r="AD27" s="97"/>
      <c r="AE27" s="5">
        <v>1</v>
      </c>
    </row>
    <row r="28" spans="1:31">
      <c r="A28" s="97"/>
      <c r="B28" s="141"/>
      <c r="C28" s="141"/>
      <c r="D28" s="141"/>
      <c r="E28" s="141"/>
      <c r="F28" s="141"/>
      <c r="G28" s="141"/>
      <c r="H28" s="141"/>
      <c r="I28" s="141"/>
      <c r="J28" s="141"/>
      <c r="K28" s="141"/>
      <c r="L28" s="141"/>
      <c r="M28" s="102"/>
      <c r="N28" s="97"/>
      <c r="O28" s="97"/>
      <c r="P28" s="97"/>
      <c r="Q28" s="97"/>
      <c r="R28" s="97"/>
      <c r="S28" s="97"/>
      <c r="T28" s="97"/>
      <c r="U28" s="97"/>
      <c r="V28" s="97"/>
      <c r="W28" s="97"/>
      <c r="X28" s="97"/>
      <c r="Y28" s="97"/>
      <c r="Z28" s="97"/>
      <c r="AA28" s="97"/>
      <c r="AB28" s="97"/>
      <c r="AC28" s="97"/>
      <c r="AD28" s="97"/>
      <c r="AE28" s="5">
        <v>1</v>
      </c>
    </row>
    <row r="29" spans="1:31" ht="18">
      <c r="A29" s="97"/>
      <c r="B29" s="155" t="s">
        <v>10748</v>
      </c>
      <c r="C29" s="141"/>
      <c r="D29" s="141"/>
      <c r="E29" s="141"/>
      <c r="F29" s="155" t="s">
        <v>10749</v>
      </c>
      <c r="G29" s="141"/>
      <c r="H29" s="141"/>
      <c r="I29" s="141"/>
      <c r="J29" s="155" t="s">
        <v>10750</v>
      </c>
      <c r="K29" s="141"/>
      <c r="L29" s="141"/>
      <c r="M29" s="102"/>
      <c r="N29" s="468" t="s">
        <v>367</v>
      </c>
      <c r="O29" s="468"/>
      <c r="P29" s="468"/>
      <c r="Q29" s="468"/>
      <c r="R29" s="468"/>
      <c r="S29" s="468"/>
      <c r="T29" s="468"/>
      <c r="U29" s="156"/>
      <c r="V29" s="97"/>
      <c r="W29" s="97"/>
      <c r="X29" s="97"/>
      <c r="Y29" s="97"/>
      <c r="Z29" s="97"/>
      <c r="AA29" s="97"/>
      <c r="AB29" s="97"/>
      <c r="AC29" s="97"/>
      <c r="AD29" s="97"/>
      <c r="AE29" s="5">
        <v>1</v>
      </c>
    </row>
    <row r="30" spans="1:31">
      <c r="A30" s="97"/>
      <c r="B30" s="4681"/>
      <c r="C30" s="141"/>
      <c r="D30" s="141"/>
      <c r="E30" s="141"/>
      <c r="F30" s="141"/>
      <c r="G30" s="141"/>
      <c r="H30" s="141"/>
      <c r="I30" s="141"/>
      <c r="J30" s="141"/>
      <c r="K30" s="141"/>
      <c r="L30" s="141"/>
      <c r="M30" s="102"/>
      <c r="N30" s="470" t="s">
        <v>370</v>
      </c>
      <c r="O30" s="470"/>
      <c r="P30" s="470"/>
      <c r="Q30" s="470"/>
      <c r="R30" s="470"/>
      <c r="S30" s="470"/>
      <c r="T30" s="470"/>
      <c r="U30" s="141" t="s">
        <v>10751</v>
      </c>
      <c r="V30" s="97"/>
      <c r="W30" s="97"/>
      <c r="X30" s="97"/>
      <c r="Y30" s="97"/>
      <c r="Z30" s="97"/>
      <c r="AA30" s="97"/>
      <c r="AB30" s="97"/>
      <c r="AC30" s="97"/>
      <c r="AD30" s="97"/>
      <c r="AE30" s="5">
        <v>1</v>
      </c>
    </row>
    <row r="31" spans="1:31">
      <c r="A31" s="97"/>
      <c r="B31" s="4681" t="s">
        <v>10752</v>
      </c>
      <c r="C31" s="141"/>
      <c r="D31" s="141"/>
      <c r="E31" s="141"/>
      <c r="F31" s="6756" t="s">
        <v>10753</v>
      </c>
      <c r="G31" s="141"/>
      <c r="H31" s="141"/>
      <c r="I31" s="141"/>
      <c r="J31" s="6756" t="s">
        <v>10754</v>
      </c>
      <c r="K31" s="141"/>
      <c r="L31" s="141"/>
      <c r="M31" s="102"/>
      <c r="N31" s="470" t="s">
        <v>372</v>
      </c>
      <c r="O31" s="470"/>
      <c r="P31" s="470"/>
      <c r="Q31" s="470"/>
      <c r="R31" s="470"/>
      <c r="S31" s="470"/>
      <c r="T31" s="470"/>
      <c r="U31" s="141" t="s">
        <v>10755</v>
      </c>
      <c r="V31" s="97"/>
      <c r="W31" s="97"/>
      <c r="X31" s="97"/>
      <c r="Y31" s="97"/>
      <c r="Z31" s="97"/>
      <c r="AA31" s="97"/>
      <c r="AB31" s="97"/>
      <c r="AC31" s="97"/>
      <c r="AD31" s="97"/>
      <c r="AE31" s="5">
        <v>1</v>
      </c>
    </row>
    <row r="32" spans="1:31">
      <c r="A32" s="97"/>
      <c r="B32" s="6848" t="s">
        <v>10756</v>
      </c>
      <c r="C32" s="141"/>
      <c r="D32" s="141"/>
      <c r="E32" s="141"/>
      <c r="F32" s="4681" t="s">
        <v>10757</v>
      </c>
      <c r="G32" s="141"/>
      <c r="H32" s="141"/>
      <c r="I32" s="141"/>
      <c r="J32" s="4681" t="s">
        <v>10758</v>
      </c>
      <c r="K32" s="141"/>
      <c r="L32" s="141"/>
      <c r="M32" s="102"/>
      <c r="N32" s="471" t="s">
        <v>376</v>
      </c>
      <c r="O32" s="471"/>
      <c r="P32" s="471"/>
      <c r="Q32" s="471"/>
      <c r="R32" s="471"/>
      <c r="S32" s="471"/>
      <c r="T32" s="471"/>
      <c r="U32" s="97"/>
      <c r="V32" s="97"/>
      <c r="W32" s="97"/>
      <c r="X32" s="97"/>
      <c r="Y32" s="97"/>
      <c r="Z32" s="97"/>
      <c r="AA32" s="97"/>
      <c r="AB32" s="97"/>
      <c r="AC32" s="97"/>
      <c r="AD32" s="97"/>
      <c r="AE32" s="5">
        <v>1</v>
      </c>
    </row>
    <row r="33" spans="1:31">
      <c r="A33" s="97"/>
      <c r="B33" s="6848" t="s">
        <v>10759</v>
      </c>
      <c r="C33" s="141"/>
      <c r="D33" s="141"/>
      <c r="E33" s="141"/>
      <c r="F33" s="4681" t="s">
        <v>10760</v>
      </c>
      <c r="G33" s="141"/>
      <c r="H33" s="141"/>
      <c r="I33" s="141"/>
      <c r="J33" s="4681" t="s">
        <v>10761</v>
      </c>
      <c r="K33" s="141"/>
      <c r="L33" s="141"/>
      <c r="M33" s="102"/>
      <c r="N33" s="472" t="s">
        <v>377</v>
      </c>
      <c r="O33" s="472"/>
      <c r="P33" s="472"/>
      <c r="Q33" s="472"/>
      <c r="R33" s="472"/>
      <c r="S33" s="472"/>
      <c r="T33" s="472"/>
      <c r="U33" s="97"/>
      <c r="V33" s="97"/>
      <c r="W33" s="97"/>
      <c r="X33" s="97"/>
      <c r="Y33" s="97"/>
      <c r="Z33" s="97"/>
      <c r="AA33" s="97"/>
      <c r="AB33" s="97"/>
      <c r="AC33" s="97"/>
      <c r="AD33" s="97"/>
      <c r="AE33" s="5">
        <v>1</v>
      </c>
    </row>
    <row r="34" spans="1:31">
      <c r="A34" s="97"/>
      <c r="B34" s="4681" t="s">
        <v>10762</v>
      </c>
      <c r="C34" s="141"/>
      <c r="D34" s="141"/>
      <c r="E34" s="141"/>
      <c r="F34" s="4681" t="s">
        <v>10763</v>
      </c>
      <c r="G34" s="141"/>
      <c r="H34" s="141"/>
      <c r="I34" s="141"/>
      <c r="J34" s="4681" t="s">
        <v>10764</v>
      </c>
      <c r="K34" s="141"/>
      <c r="L34" s="141"/>
      <c r="M34" s="102"/>
      <c r="N34" s="97"/>
      <c r="O34" s="97"/>
      <c r="P34" s="97"/>
      <c r="Q34" s="97"/>
      <c r="R34" s="97"/>
      <c r="S34" s="97"/>
      <c r="T34" s="97"/>
      <c r="U34" s="97"/>
      <c r="V34" s="97"/>
      <c r="W34" s="97"/>
      <c r="X34" s="97"/>
      <c r="Y34" s="97"/>
      <c r="Z34" s="97"/>
      <c r="AA34" s="97"/>
      <c r="AB34" s="97"/>
      <c r="AC34" s="97"/>
      <c r="AD34" s="97"/>
      <c r="AE34" s="5">
        <v>1</v>
      </c>
    </row>
    <row r="35" spans="1:31">
      <c r="A35" s="97"/>
      <c r="B35" s="4681" t="s">
        <v>10765</v>
      </c>
      <c r="C35" s="141"/>
      <c r="D35" s="141"/>
      <c r="E35" s="141"/>
      <c r="F35" s="4682" t="s">
        <v>10766</v>
      </c>
      <c r="G35" s="141"/>
      <c r="H35" s="141"/>
      <c r="I35" s="141"/>
      <c r="J35" s="4682" t="s">
        <v>10767</v>
      </c>
      <c r="K35" s="141"/>
      <c r="L35" s="141"/>
      <c r="M35" s="102"/>
      <c r="N35" s="97"/>
      <c r="O35" s="97"/>
      <c r="P35" s="97"/>
      <c r="Q35" s="97"/>
      <c r="R35" s="97"/>
      <c r="S35" s="97"/>
      <c r="T35" s="97"/>
      <c r="U35" s="97"/>
      <c r="V35" s="97"/>
      <c r="W35" s="97"/>
      <c r="X35" s="97"/>
      <c r="Y35" s="97"/>
      <c r="Z35" s="97"/>
      <c r="AA35" s="97"/>
      <c r="AB35" s="97"/>
      <c r="AC35" s="97"/>
      <c r="AD35" s="97"/>
      <c r="AE35" s="5">
        <v>1</v>
      </c>
    </row>
    <row r="36" spans="1:31" ht="15.75">
      <c r="A36" s="97"/>
      <c r="B36" s="141"/>
      <c r="C36" s="141"/>
      <c r="D36" s="141"/>
      <c r="E36" s="141"/>
      <c r="F36" s="141"/>
      <c r="G36" s="141"/>
      <c r="H36" s="141"/>
      <c r="I36" s="141"/>
      <c r="J36" s="141"/>
      <c r="K36" s="141"/>
      <c r="L36" s="141"/>
      <c r="M36" s="102"/>
      <c r="N36" s="6849" t="s">
        <v>351</v>
      </c>
      <c r="O36" s="97"/>
      <c r="P36" s="97"/>
      <c r="Q36" s="97"/>
      <c r="R36" s="97"/>
      <c r="S36" s="97"/>
      <c r="T36" s="97"/>
      <c r="U36" s="97"/>
      <c r="V36" s="97"/>
      <c r="W36" s="97"/>
      <c r="X36" s="97"/>
      <c r="Y36" s="97"/>
      <c r="Z36" s="97"/>
      <c r="AA36" s="97"/>
      <c r="AB36" s="97"/>
      <c r="AC36" s="97"/>
      <c r="AD36" s="97"/>
      <c r="AE36" s="5">
        <v>1</v>
      </c>
    </row>
    <row r="37" spans="1:31" ht="18.75">
      <c r="A37" s="97"/>
      <c r="B37" s="450" t="s">
        <v>10768</v>
      </c>
      <c r="C37" s="141"/>
      <c r="D37" s="141"/>
      <c r="E37" s="141"/>
      <c r="F37" s="450" t="s">
        <v>10769</v>
      </c>
      <c r="G37" s="141"/>
      <c r="H37" s="141"/>
      <c r="I37" s="141"/>
      <c r="J37" s="450" t="s">
        <v>10770</v>
      </c>
      <c r="K37" s="141"/>
      <c r="L37" s="141"/>
      <c r="M37" s="102"/>
      <c r="N37" s="6849" t="s">
        <v>353</v>
      </c>
      <c r="O37" s="97"/>
      <c r="P37" s="97"/>
      <c r="Q37" s="97"/>
      <c r="R37" s="97"/>
      <c r="S37" s="97"/>
      <c r="T37" s="97"/>
      <c r="U37" s="97"/>
      <c r="V37" s="97"/>
      <c r="W37" s="97"/>
      <c r="X37" s="97"/>
      <c r="Y37" s="97"/>
      <c r="Z37" s="97"/>
      <c r="AA37" s="97"/>
      <c r="AB37" s="97"/>
      <c r="AC37" s="97"/>
      <c r="AD37" s="97"/>
      <c r="AE37" s="5">
        <v>1</v>
      </c>
    </row>
    <row r="38" spans="1:31" ht="15.75">
      <c r="A38" s="97"/>
      <c r="B38" s="4681"/>
      <c r="C38" s="141"/>
      <c r="D38" s="141"/>
      <c r="E38" s="141"/>
      <c r="F38" s="141"/>
      <c r="G38" s="141"/>
      <c r="H38" s="141"/>
      <c r="I38" s="141"/>
      <c r="J38" s="141"/>
      <c r="K38" s="141"/>
      <c r="L38" s="141"/>
      <c r="M38" s="102"/>
      <c r="N38" s="5395" t="s">
        <v>356</v>
      </c>
      <c r="O38" s="97"/>
      <c r="P38" s="97"/>
      <c r="Q38" s="97"/>
      <c r="R38" s="97"/>
      <c r="S38" s="97"/>
      <c r="T38" s="97"/>
      <c r="U38" s="97"/>
      <c r="V38" s="97"/>
      <c r="W38" s="97"/>
      <c r="X38" s="97"/>
      <c r="Y38" s="97"/>
      <c r="Z38" s="97"/>
      <c r="AA38" s="97"/>
      <c r="AB38" s="97"/>
      <c r="AC38" s="97"/>
      <c r="AD38" s="97"/>
      <c r="AE38" s="5">
        <v>1</v>
      </c>
    </row>
    <row r="39" spans="1:31" ht="15.75">
      <c r="A39" s="97"/>
      <c r="B39" s="4682" t="s">
        <v>10771</v>
      </c>
      <c r="C39" s="141"/>
      <c r="D39" s="141"/>
      <c r="E39" s="141"/>
      <c r="F39" s="6756" t="s">
        <v>10772</v>
      </c>
      <c r="G39" s="141"/>
      <c r="H39" s="141"/>
      <c r="I39" s="141"/>
      <c r="J39" s="6756" t="s">
        <v>10773</v>
      </c>
      <c r="K39" s="141"/>
      <c r="L39" s="141"/>
      <c r="M39" s="102"/>
      <c r="N39" s="5395" t="s">
        <v>359</v>
      </c>
      <c r="O39" s="97"/>
      <c r="P39" s="97"/>
      <c r="Q39" s="97"/>
      <c r="R39" s="97"/>
      <c r="S39" s="97"/>
      <c r="T39" s="97"/>
      <c r="U39" s="97"/>
      <c r="V39" s="97"/>
      <c r="W39" s="97"/>
      <c r="X39" s="97"/>
      <c r="Y39" s="97"/>
      <c r="Z39" s="97"/>
      <c r="AA39" s="97"/>
      <c r="AB39" s="97"/>
      <c r="AC39" s="97"/>
      <c r="AD39" s="97"/>
      <c r="AE39" s="5">
        <v>1</v>
      </c>
    </row>
    <row r="40" spans="1:31" ht="15.75">
      <c r="A40" s="97"/>
      <c r="B40" s="6850" t="s">
        <v>10774</v>
      </c>
      <c r="C40" s="141"/>
      <c r="D40" s="141"/>
      <c r="E40" s="141"/>
      <c r="F40" s="141" t="s">
        <v>10775</v>
      </c>
      <c r="G40" s="141"/>
      <c r="H40" s="141"/>
      <c r="I40" s="141"/>
      <c r="J40" s="141" t="s">
        <v>10776</v>
      </c>
      <c r="K40" s="141"/>
      <c r="L40" s="141"/>
      <c r="M40" s="102"/>
      <c r="N40" s="5395" t="s">
        <v>362</v>
      </c>
      <c r="O40" s="97"/>
      <c r="P40" s="97"/>
      <c r="Q40" s="97"/>
      <c r="R40" s="97"/>
      <c r="S40" s="97"/>
      <c r="T40" s="97"/>
      <c r="U40" s="97"/>
      <c r="V40" s="97"/>
      <c r="W40" s="97"/>
      <c r="X40" s="97"/>
      <c r="Y40" s="97"/>
      <c r="Z40" s="97"/>
      <c r="AA40" s="97"/>
      <c r="AB40" s="97"/>
      <c r="AC40" s="97"/>
      <c r="AD40" s="97"/>
      <c r="AE40" s="5">
        <v>1</v>
      </c>
    </row>
    <row r="41" spans="1:31">
      <c r="A41" s="97"/>
      <c r="B41" s="6850" t="s">
        <v>10777</v>
      </c>
      <c r="C41" s="141"/>
      <c r="D41" s="141"/>
      <c r="E41" s="141"/>
      <c r="F41" s="141" t="s">
        <v>10778</v>
      </c>
      <c r="G41" s="141"/>
      <c r="H41" s="141"/>
      <c r="I41" s="141"/>
      <c r="J41" s="141" t="s">
        <v>10779</v>
      </c>
      <c r="K41" s="141"/>
      <c r="L41" s="141"/>
      <c r="M41" s="102"/>
      <c r="N41" s="97"/>
      <c r="O41" s="97"/>
      <c r="P41" s="97"/>
      <c r="Q41" s="97"/>
      <c r="R41" s="97"/>
      <c r="S41" s="97"/>
      <c r="T41" s="97"/>
      <c r="U41" s="97"/>
      <c r="V41" s="97"/>
      <c r="W41" s="97"/>
      <c r="X41" s="97"/>
      <c r="Y41" s="97"/>
      <c r="Z41" s="97"/>
      <c r="AA41" s="97"/>
      <c r="AB41" s="97"/>
      <c r="AC41" s="97"/>
      <c r="AD41" s="97"/>
      <c r="AE41" s="5">
        <v>1</v>
      </c>
    </row>
    <row r="42" spans="1:31">
      <c r="A42" s="97"/>
      <c r="B42" s="6850"/>
      <c r="C42" s="141"/>
      <c r="D42" s="141"/>
      <c r="E42" s="141"/>
      <c r="F42" s="141"/>
      <c r="G42" s="141"/>
      <c r="H42" s="141"/>
      <c r="I42" s="141"/>
      <c r="J42" s="141"/>
      <c r="K42" s="141"/>
      <c r="L42" s="141"/>
      <c r="M42" s="102"/>
      <c r="N42" s="6756" t="s">
        <v>10780</v>
      </c>
      <c r="O42" s="97"/>
      <c r="P42" s="97"/>
      <c r="Q42" s="97"/>
      <c r="R42" s="97"/>
      <c r="S42" s="97"/>
      <c r="T42" s="97"/>
      <c r="U42" s="97"/>
      <c r="V42" s="97"/>
      <c r="W42" s="97"/>
      <c r="X42" s="97"/>
      <c r="Y42" s="97"/>
      <c r="Z42" s="97"/>
      <c r="AA42" s="97"/>
      <c r="AB42" s="97"/>
      <c r="AC42" s="97"/>
      <c r="AD42" s="97"/>
      <c r="AE42" s="5">
        <v>1</v>
      </c>
    </row>
    <row r="43" spans="1:31">
      <c r="A43" s="97"/>
      <c r="B43" s="4682" t="s">
        <v>10781</v>
      </c>
      <c r="C43" s="141"/>
      <c r="D43" s="141"/>
      <c r="E43" s="141"/>
      <c r="F43" s="6756" t="s">
        <v>10782</v>
      </c>
      <c r="G43" s="141"/>
      <c r="H43" s="141"/>
      <c r="I43" s="141"/>
      <c r="J43" s="6756" t="s">
        <v>10783</v>
      </c>
      <c r="K43" s="141"/>
      <c r="L43" s="141"/>
      <c r="M43" s="102"/>
      <c r="N43" s="141" t="s">
        <v>10784</v>
      </c>
      <c r="O43" s="97"/>
      <c r="P43" s="97"/>
      <c r="Q43" s="97"/>
      <c r="R43" s="97"/>
      <c r="S43" s="97"/>
      <c r="T43" s="97"/>
      <c r="U43" s="97"/>
      <c r="V43" s="97"/>
      <c r="W43" s="97"/>
      <c r="X43" s="97"/>
      <c r="Y43" s="97"/>
      <c r="Z43" s="97"/>
      <c r="AA43" s="97"/>
      <c r="AB43" s="97"/>
      <c r="AC43" s="97"/>
      <c r="AD43" s="97"/>
      <c r="AE43" s="5">
        <v>1</v>
      </c>
    </row>
    <row r="44" spans="1:31">
      <c r="A44" s="97"/>
      <c r="B44" s="6850" t="s">
        <v>10785</v>
      </c>
      <c r="C44" s="141"/>
      <c r="D44" s="141"/>
      <c r="E44" s="141"/>
      <c r="F44" s="141" t="s">
        <v>10786</v>
      </c>
      <c r="G44" s="141"/>
      <c r="H44" s="141"/>
      <c r="I44" s="141"/>
      <c r="J44" s="141" t="s">
        <v>10787</v>
      </c>
      <c r="K44" s="141"/>
      <c r="L44" s="141"/>
      <c r="M44" s="102"/>
      <c r="N44" s="4682" t="s">
        <v>10788</v>
      </c>
      <c r="O44" s="97"/>
      <c r="P44" s="97"/>
      <c r="Q44" s="97"/>
      <c r="R44" s="97"/>
      <c r="S44" s="97"/>
      <c r="T44" s="97"/>
      <c r="U44" s="97"/>
      <c r="V44" s="97"/>
      <c r="W44" s="97"/>
      <c r="X44" s="97"/>
      <c r="Y44" s="97"/>
      <c r="Z44" s="97"/>
      <c r="AA44" s="97"/>
      <c r="AB44" s="97"/>
      <c r="AC44" s="97"/>
      <c r="AD44" s="97"/>
      <c r="AE44" s="5">
        <v>1</v>
      </c>
    </row>
    <row r="45" spans="1:31">
      <c r="A45" s="97"/>
      <c r="B45" s="6850" t="s">
        <v>10789</v>
      </c>
      <c r="C45" s="141"/>
      <c r="D45" s="141"/>
      <c r="E45" s="141"/>
      <c r="F45" s="141" t="s">
        <v>10790</v>
      </c>
      <c r="G45" s="141"/>
      <c r="H45" s="141"/>
      <c r="I45" s="141"/>
      <c r="J45" s="141" t="s">
        <v>10791</v>
      </c>
      <c r="K45" s="141"/>
      <c r="L45" s="141"/>
      <c r="M45" s="102"/>
      <c r="N45" s="4681" t="s">
        <v>10792</v>
      </c>
      <c r="O45" s="97"/>
      <c r="P45" s="97"/>
      <c r="Q45" s="97"/>
      <c r="R45" s="97"/>
      <c r="S45" s="97"/>
      <c r="T45" s="97"/>
      <c r="U45" s="97"/>
      <c r="V45" s="97"/>
      <c r="W45" s="97"/>
      <c r="X45" s="97"/>
      <c r="Y45" s="97"/>
      <c r="Z45" s="97"/>
      <c r="AA45" s="97"/>
      <c r="AB45" s="97"/>
      <c r="AC45" s="97"/>
      <c r="AD45" s="97"/>
      <c r="AE45" s="5">
        <v>1</v>
      </c>
    </row>
    <row r="46" spans="1:31">
      <c r="A46" s="97"/>
      <c r="B46" s="4681"/>
      <c r="C46" s="141"/>
      <c r="D46" s="141"/>
      <c r="E46" s="141"/>
      <c r="F46" s="141"/>
      <c r="G46" s="141"/>
      <c r="H46" s="141"/>
      <c r="I46" s="141"/>
      <c r="J46" s="141"/>
      <c r="K46" s="141"/>
      <c r="L46" s="141"/>
      <c r="M46" s="102"/>
      <c r="N46" s="4681" t="s">
        <v>10793</v>
      </c>
      <c r="O46" s="97"/>
      <c r="P46" s="97"/>
      <c r="Q46" s="97"/>
      <c r="R46" s="97"/>
      <c r="S46" s="97"/>
      <c r="T46" s="97"/>
      <c r="U46" s="97"/>
      <c r="V46" s="97"/>
      <c r="W46" s="97"/>
      <c r="X46" s="97"/>
      <c r="Y46" s="97"/>
      <c r="Z46" s="97"/>
      <c r="AA46" s="97"/>
      <c r="AB46" s="97"/>
      <c r="AC46" s="97"/>
      <c r="AD46" s="97"/>
      <c r="AE46" s="5">
        <v>1</v>
      </c>
    </row>
    <row r="47" spans="1:31">
      <c r="A47" s="97"/>
      <c r="B47" s="4682" t="s">
        <v>10794</v>
      </c>
      <c r="C47" s="141"/>
      <c r="D47" s="141"/>
      <c r="E47" s="141"/>
      <c r="F47" s="6756" t="s">
        <v>10795</v>
      </c>
      <c r="G47" s="141"/>
      <c r="H47" s="141"/>
      <c r="I47" s="141"/>
      <c r="J47" s="6756" t="s">
        <v>10796</v>
      </c>
      <c r="K47" s="141"/>
      <c r="L47" s="141"/>
      <c r="M47" s="102"/>
      <c r="N47" s="97"/>
      <c r="O47" s="97"/>
      <c r="P47" s="97"/>
      <c r="Q47" s="97"/>
      <c r="R47" s="97"/>
      <c r="S47" s="97"/>
      <c r="T47" s="97"/>
      <c r="U47" s="97"/>
      <c r="V47" s="97"/>
      <c r="W47" s="97"/>
      <c r="X47" s="97"/>
      <c r="Y47" s="97"/>
      <c r="Z47" s="97"/>
      <c r="AA47" s="97"/>
      <c r="AB47" s="97"/>
      <c r="AC47" s="97"/>
      <c r="AD47" s="97"/>
      <c r="AE47" s="5">
        <v>1</v>
      </c>
    </row>
    <row r="48" spans="1:31">
      <c r="A48" s="97"/>
      <c r="B48" s="6850" t="s">
        <v>10797</v>
      </c>
      <c r="C48" s="141"/>
      <c r="D48" s="141"/>
      <c r="E48" s="141"/>
      <c r="F48" s="141" t="s">
        <v>10798</v>
      </c>
      <c r="G48" s="141"/>
      <c r="H48" s="141"/>
      <c r="I48" s="141"/>
      <c r="J48" s="141" t="s">
        <v>10799</v>
      </c>
      <c r="K48" s="141"/>
      <c r="L48" s="141"/>
      <c r="M48" s="102"/>
      <c r="N48" s="6756" t="s">
        <v>10800</v>
      </c>
      <c r="O48" s="97"/>
      <c r="P48" s="97"/>
      <c r="Q48" s="97"/>
      <c r="R48" s="97"/>
      <c r="S48" s="97"/>
      <c r="T48" s="97"/>
      <c r="U48" s="97"/>
      <c r="V48" s="97"/>
      <c r="W48" s="97"/>
      <c r="X48" s="97"/>
      <c r="Y48" s="97"/>
      <c r="Z48" s="97"/>
      <c r="AA48" s="97"/>
      <c r="AB48" s="97"/>
      <c r="AC48" s="97"/>
      <c r="AD48" s="97"/>
      <c r="AE48" s="5">
        <v>1</v>
      </c>
    </row>
    <row r="49" spans="1:31">
      <c r="A49" s="97"/>
      <c r="B49" s="4681"/>
      <c r="C49" s="141"/>
      <c r="D49" s="141"/>
      <c r="E49" s="141"/>
      <c r="F49" s="141"/>
      <c r="G49" s="141"/>
      <c r="H49" s="141"/>
      <c r="I49" s="141"/>
      <c r="J49" s="141"/>
      <c r="K49" s="141"/>
      <c r="L49" s="141"/>
      <c r="M49" s="102"/>
      <c r="N49" s="141" t="s">
        <v>10801</v>
      </c>
      <c r="O49" s="97"/>
      <c r="P49" s="97"/>
      <c r="Q49" s="97"/>
      <c r="R49" s="97"/>
      <c r="S49" s="97"/>
      <c r="T49" s="97"/>
      <c r="U49" s="97"/>
      <c r="V49" s="97"/>
      <c r="W49" s="97"/>
      <c r="X49" s="97"/>
      <c r="Y49" s="97"/>
      <c r="Z49" s="97"/>
      <c r="AA49" s="97"/>
      <c r="AB49" s="97"/>
      <c r="AC49" s="97"/>
      <c r="AD49" s="97"/>
      <c r="AE49" s="5">
        <v>1</v>
      </c>
    </row>
    <row r="50" spans="1:31">
      <c r="A50" s="97"/>
      <c r="B50" s="4682" t="s">
        <v>10802</v>
      </c>
      <c r="C50" s="141"/>
      <c r="D50" s="141"/>
      <c r="E50" s="141"/>
      <c r="F50" s="6756" t="s">
        <v>10803</v>
      </c>
      <c r="G50" s="141"/>
      <c r="H50" s="141"/>
      <c r="I50" s="141"/>
      <c r="J50" s="6756" t="s">
        <v>10804</v>
      </c>
      <c r="K50" s="141"/>
      <c r="L50" s="141"/>
      <c r="M50" s="102"/>
      <c r="N50" s="4682" t="s">
        <v>10805</v>
      </c>
      <c r="O50" s="97"/>
      <c r="P50" s="97"/>
      <c r="Q50" s="97"/>
      <c r="R50" s="97"/>
      <c r="S50" s="97"/>
      <c r="T50" s="97"/>
      <c r="U50" s="97"/>
      <c r="V50" s="97"/>
      <c r="W50" s="97"/>
      <c r="X50" s="97"/>
      <c r="Y50" s="97"/>
      <c r="Z50" s="97"/>
      <c r="AA50" s="97"/>
      <c r="AB50" s="97"/>
      <c r="AC50" s="97"/>
      <c r="AD50" s="97"/>
      <c r="AE50" s="5">
        <v>1</v>
      </c>
    </row>
    <row r="51" spans="1:31">
      <c r="A51" s="97"/>
      <c r="B51" s="6850" t="s">
        <v>10806</v>
      </c>
      <c r="C51" s="141"/>
      <c r="D51" s="141"/>
      <c r="E51" s="141"/>
      <c r="F51" s="141" t="s">
        <v>10807</v>
      </c>
      <c r="G51" s="141"/>
      <c r="H51" s="141"/>
      <c r="I51" s="141"/>
      <c r="J51" s="141" t="s">
        <v>10808</v>
      </c>
      <c r="K51" s="141"/>
      <c r="L51" s="141"/>
      <c r="M51" s="102"/>
      <c r="N51" s="4681" t="s">
        <v>10809</v>
      </c>
      <c r="O51" s="97"/>
      <c r="P51" s="97"/>
      <c r="Q51" s="97"/>
      <c r="R51" s="97"/>
      <c r="S51" s="97"/>
      <c r="T51" s="97"/>
      <c r="U51" s="97"/>
      <c r="V51" s="97"/>
      <c r="W51" s="97"/>
      <c r="X51" s="97"/>
      <c r="Y51" s="97"/>
      <c r="Z51" s="97"/>
      <c r="AA51" s="97"/>
      <c r="AB51" s="97"/>
      <c r="AC51" s="97"/>
      <c r="AD51" s="97"/>
      <c r="AE51" s="5">
        <v>1</v>
      </c>
    </row>
    <row r="52" spans="1:31">
      <c r="A52" s="97"/>
      <c r="B52" s="6850" t="s">
        <v>10810</v>
      </c>
      <c r="C52" s="141"/>
      <c r="D52" s="141"/>
      <c r="E52" s="141"/>
      <c r="F52" s="141" t="s">
        <v>10811</v>
      </c>
      <c r="G52" s="141"/>
      <c r="H52" s="141"/>
      <c r="I52" s="141"/>
      <c r="J52" s="141" t="s">
        <v>10812</v>
      </c>
      <c r="K52" s="141"/>
      <c r="L52" s="141"/>
      <c r="M52" s="102"/>
      <c r="N52" s="4681" t="s">
        <v>10813</v>
      </c>
      <c r="O52" s="97"/>
      <c r="P52" s="97"/>
      <c r="Q52" s="97"/>
      <c r="R52" s="97"/>
      <c r="S52" s="97"/>
      <c r="T52" s="97"/>
      <c r="U52" s="97"/>
      <c r="V52" s="97"/>
      <c r="W52" s="97"/>
      <c r="X52" s="97"/>
      <c r="Y52" s="97"/>
      <c r="Z52" s="97"/>
      <c r="AA52" s="97"/>
      <c r="AB52" s="97"/>
      <c r="AC52" s="97"/>
      <c r="AD52" s="97"/>
      <c r="AE52" s="5">
        <v>1</v>
      </c>
    </row>
    <row r="53" spans="1:31">
      <c r="A53" s="97"/>
      <c r="B53" s="4681" t="s">
        <v>10814</v>
      </c>
      <c r="C53" s="141"/>
      <c r="D53" s="141"/>
      <c r="E53" s="141"/>
      <c r="F53" s="141" t="s">
        <v>10815</v>
      </c>
      <c r="G53" s="141"/>
      <c r="H53" s="141"/>
      <c r="I53" s="141"/>
      <c r="J53" s="141" t="s">
        <v>10816</v>
      </c>
      <c r="K53" s="141"/>
      <c r="L53" s="141"/>
      <c r="M53" s="102"/>
      <c r="N53" s="97"/>
      <c r="O53" s="97"/>
      <c r="P53" s="97"/>
      <c r="Q53" s="97"/>
      <c r="R53" s="97"/>
      <c r="S53" s="97"/>
      <c r="T53" s="97"/>
      <c r="U53" s="97"/>
      <c r="V53" s="97"/>
      <c r="W53" s="97"/>
      <c r="X53" s="97"/>
      <c r="Y53" s="97"/>
      <c r="Z53" s="97"/>
      <c r="AA53" s="97"/>
      <c r="AB53" s="97"/>
      <c r="AC53" s="97"/>
      <c r="AD53" s="97"/>
      <c r="AE53" s="5">
        <v>1</v>
      </c>
    </row>
    <row r="54" spans="1:31">
      <c r="A54" s="97"/>
      <c r="B54" s="141" t="s">
        <v>10817</v>
      </c>
      <c r="C54" s="141"/>
      <c r="D54" s="141"/>
      <c r="E54" s="141"/>
      <c r="F54" s="141" t="s">
        <v>10818</v>
      </c>
      <c r="G54" s="141"/>
      <c r="H54" s="141"/>
      <c r="I54" s="141"/>
      <c r="J54" s="141" t="s">
        <v>10819</v>
      </c>
      <c r="K54" s="141"/>
      <c r="L54" s="141"/>
      <c r="M54" s="102"/>
      <c r="N54" s="4681"/>
      <c r="O54" s="97"/>
      <c r="P54" s="97"/>
      <c r="Q54" s="97"/>
      <c r="R54" s="97"/>
      <c r="S54" s="97"/>
      <c r="T54" s="97"/>
      <c r="U54" s="97"/>
      <c r="V54" s="97"/>
      <c r="W54" s="97"/>
      <c r="X54" s="97"/>
      <c r="Y54" s="97"/>
      <c r="Z54" s="97"/>
      <c r="AA54" s="97"/>
      <c r="AB54" s="97"/>
      <c r="AC54" s="97"/>
      <c r="AD54" s="97"/>
      <c r="AE54" s="5">
        <v>1</v>
      </c>
    </row>
    <row r="55" spans="1:31">
      <c r="A55" s="97"/>
      <c r="B55" s="141"/>
      <c r="C55" s="141"/>
      <c r="D55" s="141"/>
      <c r="E55" s="141"/>
      <c r="F55" s="141"/>
      <c r="G55" s="141"/>
      <c r="H55" s="141"/>
      <c r="I55" s="141"/>
      <c r="J55" s="141"/>
      <c r="K55" s="141"/>
      <c r="L55" s="141"/>
      <c r="M55" s="102"/>
      <c r="N55" s="97"/>
      <c r="O55" s="97"/>
      <c r="P55" s="97"/>
      <c r="Q55" s="97"/>
      <c r="R55" s="97"/>
      <c r="S55" s="97"/>
      <c r="T55" s="97"/>
      <c r="U55" s="97"/>
      <c r="V55" s="97"/>
      <c r="W55" s="97"/>
      <c r="X55" s="97"/>
      <c r="Y55" s="97"/>
      <c r="Z55" s="97"/>
      <c r="AA55" s="97"/>
      <c r="AB55" s="97"/>
      <c r="AC55" s="97"/>
      <c r="AD55" s="97"/>
      <c r="AE55" s="5">
        <v>1</v>
      </c>
    </row>
    <row r="56" spans="1:31" ht="18.75">
      <c r="A56" s="97"/>
      <c r="B56" s="450" t="s">
        <v>10820</v>
      </c>
      <c r="C56" s="141"/>
      <c r="D56" s="141"/>
      <c r="E56" s="141"/>
      <c r="F56" s="450" t="s">
        <v>10821</v>
      </c>
      <c r="G56" s="141"/>
      <c r="H56" s="141"/>
      <c r="I56" s="141"/>
      <c r="J56" s="450" t="s">
        <v>10822</v>
      </c>
      <c r="K56" s="141"/>
      <c r="L56" s="141"/>
      <c r="M56" s="102"/>
      <c r="N56" s="97"/>
      <c r="O56" s="97"/>
      <c r="P56" s="97"/>
      <c r="Q56" s="97"/>
      <c r="R56" s="97"/>
      <c r="S56" s="97"/>
      <c r="T56" s="97"/>
      <c r="U56" s="97"/>
      <c r="V56" s="97"/>
      <c r="W56" s="97"/>
      <c r="X56" s="97"/>
      <c r="Y56" s="97"/>
      <c r="Z56" s="97"/>
      <c r="AA56" s="97"/>
      <c r="AB56" s="97"/>
      <c r="AC56" s="97"/>
      <c r="AD56" s="97"/>
      <c r="AE56" s="5">
        <v>1</v>
      </c>
    </row>
    <row r="57" spans="1:31">
      <c r="A57" s="97"/>
      <c r="B57" s="4682" t="s">
        <v>10823</v>
      </c>
      <c r="C57" s="141"/>
      <c r="D57" s="141"/>
      <c r="E57" s="141"/>
      <c r="F57" s="4682" t="s">
        <v>10824</v>
      </c>
      <c r="G57" s="141"/>
      <c r="H57" s="141"/>
      <c r="I57" s="141"/>
      <c r="J57" s="4682" t="s">
        <v>10825</v>
      </c>
      <c r="K57" s="141"/>
      <c r="L57" s="141"/>
      <c r="M57" s="102"/>
      <c r="N57" s="97"/>
      <c r="O57" s="97"/>
      <c r="P57" s="97"/>
      <c r="Q57" s="97"/>
      <c r="R57" s="97"/>
      <c r="S57" s="97"/>
      <c r="T57" s="97"/>
      <c r="U57" s="97"/>
      <c r="V57" s="97"/>
      <c r="W57" s="97"/>
      <c r="X57" s="97"/>
      <c r="Y57" s="97"/>
      <c r="Z57" s="97"/>
      <c r="AA57" s="97"/>
      <c r="AB57" s="97"/>
      <c r="AC57" s="97"/>
      <c r="AD57" s="97"/>
      <c r="AE57" s="5">
        <v>1</v>
      </c>
    </row>
    <row r="58" spans="1:31">
      <c r="A58" s="97"/>
      <c r="B58" s="4682" t="s">
        <v>10826</v>
      </c>
      <c r="C58" s="141"/>
      <c r="D58" s="141"/>
      <c r="E58" s="141"/>
      <c r="F58" s="4682" t="s">
        <v>10827</v>
      </c>
      <c r="G58" s="141"/>
      <c r="H58" s="141"/>
      <c r="I58" s="141"/>
      <c r="J58" s="4682" t="s">
        <v>10828</v>
      </c>
      <c r="K58" s="141"/>
      <c r="L58" s="141"/>
      <c r="M58" s="102"/>
      <c r="N58" s="97"/>
      <c r="O58" s="97"/>
      <c r="P58" s="97"/>
      <c r="Q58" s="97"/>
      <c r="R58" s="97"/>
      <c r="S58" s="97"/>
      <c r="T58" s="97"/>
      <c r="U58" s="97"/>
      <c r="V58" s="97"/>
      <c r="W58" s="97"/>
      <c r="X58" s="97"/>
      <c r="Y58" s="97"/>
      <c r="Z58" s="97"/>
      <c r="AA58" s="97"/>
      <c r="AB58" s="97"/>
      <c r="AC58" s="97"/>
      <c r="AD58" s="97"/>
      <c r="AE58" s="5">
        <v>1</v>
      </c>
    </row>
    <row r="59" spans="1:31">
      <c r="A59" s="97"/>
      <c r="B59" s="4682" t="s">
        <v>10829</v>
      </c>
      <c r="C59" s="141"/>
      <c r="D59" s="141"/>
      <c r="E59" s="141"/>
      <c r="F59" s="4682" t="s">
        <v>10830</v>
      </c>
      <c r="G59" s="141"/>
      <c r="H59" s="141"/>
      <c r="I59" s="141"/>
      <c r="J59" s="4682" t="s">
        <v>10831</v>
      </c>
      <c r="K59" s="141"/>
      <c r="L59" s="141"/>
      <c r="M59" s="102"/>
      <c r="N59" s="97"/>
      <c r="O59" s="97"/>
      <c r="P59" s="97"/>
      <c r="Q59" s="97"/>
      <c r="R59" s="97"/>
      <c r="S59" s="97"/>
      <c r="T59" s="97"/>
      <c r="U59" s="97"/>
      <c r="V59" s="97"/>
      <c r="W59" s="97"/>
      <c r="X59" s="97"/>
      <c r="Y59" s="97"/>
      <c r="Z59" s="97"/>
      <c r="AA59" s="97"/>
      <c r="AB59" s="97"/>
      <c r="AC59" s="97"/>
      <c r="AD59" s="97"/>
      <c r="AE59" s="5">
        <v>1</v>
      </c>
    </row>
    <row r="60" spans="1:31">
      <c r="A60" s="97"/>
      <c r="B60" s="4681" t="s">
        <v>10832</v>
      </c>
      <c r="C60" s="141"/>
      <c r="D60" s="141"/>
      <c r="E60" s="141"/>
      <c r="F60" s="4682" t="s">
        <v>10833</v>
      </c>
      <c r="G60" s="141"/>
      <c r="H60" s="141"/>
      <c r="I60" s="141"/>
      <c r="J60" s="4682" t="s">
        <v>10834</v>
      </c>
      <c r="K60" s="141"/>
      <c r="L60" s="141"/>
      <c r="M60" s="102"/>
      <c r="N60" s="97"/>
      <c r="O60" s="97"/>
      <c r="P60" s="97"/>
      <c r="Q60" s="97"/>
      <c r="R60" s="97"/>
      <c r="S60" s="97"/>
      <c r="T60" s="97"/>
      <c r="U60" s="97"/>
      <c r="V60" s="97"/>
      <c r="W60" s="97"/>
      <c r="X60" s="97"/>
      <c r="Y60" s="97"/>
      <c r="Z60" s="97"/>
      <c r="AA60" s="97"/>
      <c r="AB60" s="97"/>
      <c r="AC60" s="97"/>
      <c r="AD60" s="97"/>
      <c r="AE60" s="5">
        <v>1</v>
      </c>
    </row>
    <row r="61" spans="1:31">
      <c r="A61" s="97"/>
      <c r="B61" s="4681" t="s">
        <v>395</v>
      </c>
      <c r="C61" s="141"/>
      <c r="D61" s="141"/>
      <c r="E61" s="141"/>
      <c r="F61" s="4681" t="s">
        <v>10835</v>
      </c>
      <c r="G61" s="141"/>
      <c r="H61" s="141"/>
      <c r="I61" s="141"/>
      <c r="J61" s="4681" t="s">
        <v>10836</v>
      </c>
      <c r="K61" s="141"/>
      <c r="L61" s="141"/>
      <c r="M61" s="102"/>
      <c r="N61" s="97"/>
      <c r="O61" s="97"/>
      <c r="P61" s="97"/>
      <c r="Q61" s="97"/>
      <c r="R61" s="97"/>
      <c r="S61" s="97"/>
      <c r="T61" s="97"/>
      <c r="U61" s="97"/>
      <c r="V61" s="97"/>
      <c r="W61" s="97"/>
      <c r="X61" s="97"/>
      <c r="Y61" s="97"/>
      <c r="Z61" s="97"/>
      <c r="AA61" s="97"/>
      <c r="AB61" s="97"/>
      <c r="AC61" s="97"/>
      <c r="AD61" s="97"/>
      <c r="AE61" s="5">
        <v>1</v>
      </c>
    </row>
    <row r="62" spans="1:31">
      <c r="A62" s="97"/>
      <c r="B62" s="4681"/>
      <c r="C62" s="141"/>
      <c r="D62" s="141"/>
      <c r="E62" s="141"/>
      <c r="F62" s="141"/>
      <c r="G62" s="141"/>
      <c r="H62" s="141"/>
      <c r="I62" s="141"/>
      <c r="J62" s="141"/>
      <c r="K62" s="141"/>
      <c r="L62" s="141"/>
      <c r="M62" s="102"/>
      <c r="N62" s="97"/>
      <c r="O62" s="97"/>
      <c r="P62" s="97"/>
      <c r="Q62" s="97"/>
      <c r="R62" s="97"/>
      <c r="S62" s="97"/>
      <c r="T62" s="97"/>
      <c r="U62" s="97"/>
      <c r="V62" s="97"/>
      <c r="W62" s="97"/>
      <c r="X62" s="97"/>
      <c r="Y62" s="97"/>
      <c r="Z62" s="97"/>
      <c r="AA62" s="97"/>
      <c r="AB62" s="97"/>
      <c r="AC62" s="97"/>
      <c r="AD62" s="97"/>
      <c r="AE62" s="5">
        <v>1</v>
      </c>
    </row>
    <row r="63" spans="1:31" ht="18.75">
      <c r="A63" s="97"/>
      <c r="B63" s="450" t="s">
        <v>10837</v>
      </c>
      <c r="C63" s="141"/>
      <c r="D63" s="141"/>
      <c r="E63" s="141"/>
      <c r="F63" s="450" t="s">
        <v>10838</v>
      </c>
      <c r="G63" s="141"/>
      <c r="H63" s="141"/>
      <c r="I63" s="141"/>
      <c r="J63" s="450" t="s">
        <v>10839</v>
      </c>
      <c r="K63" s="141"/>
      <c r="L63" s="141"/>
      <c r="M63" s="102"/>
      <c r="N63" s="97"/>
      <c r="O63" s="97"/>
      <c r="P63" s="97"/>
      <c r="Q63" s="97"/>
      <c r="R63" s="97"/>
      <c r="S63" s="97"/>
      <c r="T63" s="97"/>
      <c r="U63" s="97"/>
      <c r="V63" s="97"/>
      <c r="W63" s="97"/>
      <c r="X63" s="97"/>
      <c r="Y63" s="97"/>
      <c r="Z63" s="97"/>
      <c r="AA63" s="97"/>
      <c r="AB63" s="97"/>
      <c r="AC63" s="97"/>
      <c r="AD63" s="97"/>
      <c r="AE63" s="5">
        <v>1</v>
      </c>
    </row>
    <row r="64" spans="1:31">
      <c r="A64" s="97"/>
      <c r="B64" s="4681"/>
      <c r="C64" s="141"/>
      <c r="D64" s="141"/>
      <c r="E64" s="141"/>
      <c r="F64" s="141"/>
      <c r="G64" s="141"/>
      <c r="H64" s="141"/>
      <c r="I64" s="141"/>
      <c r="J64" s="141"/>
      <c r="K64" s="141"/>
      <c r="L64" s="141"/>
      <c r="M64" s="102"/>
      <c r="N64" s="97"/>
      <c r="O64" s="97"/>
      <c r="P64" s="97"/>
      <c r="Q64" s="97"/>
      <c r="R64" s="97"/>
      <c r="S64" s="97"/>
      <c r="T64" s="97"/>
      <c r="U64" s="97"/>
      <c r="V64" s="97"/>
      <c r="W64" s="97"/>
      <c r="X64" s="97"/>
      <c r="Y64" s="97"/>
      <c r="Z64" s="97"/>
      <c r="AA64" s="97"/>
      <c r="AB64" s="97"/>
      <c r="AC64" s="97"/>
      <c r="AD64" s="97"/>
      <c r="AE64" s="5">
        <v>1</v>
      </c>
    </row>
    <row r="65" spans="1:31">
      <c r="A65" s="97"/>
      <c r="B65" s="4682" t="s">
        <v>10840</v>
      </c>
      <c r="C65" s="141"/>
      <c r="D65" s="141"/>
      <c r="E65" s="141"/>
      <c r="F65" s="4681" t="s">
        <v>10841</v>
      </c>
      <c r="G65" s="141"/>
      <c r="H65" s="141"/>
      <c r="I65" s="141"/>
      <c r="J65" s="4681" t="s">
        <v>10842</v>
      </c>
      <c r="K65" s="141"/>
      <c r="L65" s="141"/>
      <c r="M65" s="102"/>
      <c r="N65" s="97"/>
      <c r="O65" s="97"/>
      <c r="P65" s="97"/>
      <c r="Q65" s="97"/>
      <c r="R65" s="97"/>
      <c r="S65" s="97"/>
      <c r="T65" s="97"/>
      <c r="U65" s="97"/>
      <c r="V65" s="97"/>
      <c r="W65" s="97"/>
      <c r="X65" s="97"/>
      <c r="Y65" s="97"/>
      <c r="Z65" s="97"/>
      <c r="AA65" s="97"/>
      <c r="AB65" s="97"/>
      <c r="AC65" s="97"/>
      <c r="AD65" s="97"/>
      <c r="AE65" s="5">
        <v>1</v>
      </c>
    </row>
    <row r="66" spans="1:31">
      <c r="A66" s="97"/>
      <c r="B66" s="4682" t="s">
        <v>10843</v>
      </c>
      <c r="C66" s="141"/>
      <c r="D66" s="141"/>
      <c r="E66" s="141"/>
      <c r="F66" s="4681" t="s">
        <v>10844</v>
      </c>
      <c r="G66" s="141"/>
      <c r="H66" s="141"/>
      <c r="I66" s="141"/>
      <c r="J66" s="4681" t="s">
        <v>10845</v>
      </c>
      <c r="K66" s="141"/>
      <c r="L66" s="141"/>
      <c r="M66" s="102"/>
      <c r="N66" s="97"/>
      <c r="O66" s="97"/>
      <c r="P66" s="97"/>
      <c r="Q66" s="97"/>
      <c r="R66" s="97"/>
      <c r="S66" s="97"/>
      <c r="T66" s="97"/>
      <c r="U66" s="97"/>
      <c r="V66" s="97"/>
      <c r="W66" s="97"/>
      <c r="X66" s="97"/>
      <c r="Y66" s="97"/>
      <c r="Z66" s="97"/>
      <c r="AA66" s="97"/>
      <c r="AB66" s="97"/>
      <c r="AC66" s="97"/>
      <c r="AD66" s="97"/>
      <c r="AE66" s="5">
        <v>1</v>
      </c>
    </row>
    <row r="67" spans="1:31">
      <c r="A67" s="97"/>
      <c r="B67" s="4682" t="s">
        <v>10846</v>
      </c>
      <c r="C67" s="141"/>
      <c r="D67" s="141"/>
      <c r="E67" s="141"/>
      <c r="F67" s="4681" t="s">
        <v>10847</v>
      </c>
      <c r="G67" s="141"/>
      <c r="H67" s="141"/>
      <c r="I67" s="141"/>
      <c r="J67" s="4681" t="s">
        <v>10848</v>
      </c>
      <c r="K67" s="141"/>
      <c r="L67" s="141"/>
      <c r="M67" s="102"/>
      <c r="N67" s="97"/>
      <c r="O67" s="97"/>
      <c r="P67" s="97"/>
      <c r="Q67" s="97"/>
      <c r="R67" s="97"/>
      <c r="S67" s="97"/>
      <c r="T67" s="97"/>
      <c r="U67" s="97"/>
      <c r="V67" s="97"/>
      <c r="W67" s="97"/>
      <c r="X67" s="97"/>
      <c r="Y67" s="97"/>
      <c r="Z67" s="97"/>
      <c r="AA67" s="97"/>
      <c r="AB67" s="97"/>
      <c r="AC67" s="97"/>
      <c r="AD67" s="97"/>
      <c r="AE67" s="5">
        <v>1</v>
      </c>
    </row>
    <row r="68" spans="1:31">
      <c r="A68" s="97"/>
      <c r="B68" s="4682" t="s">
        <v>10849</v>
      </c>
      <c r="C68" s="141"/>
      <c r="D68" s="141"/>
      <c r="E68" s="141"/>
      <c r="F68" s="4681" t="s">
        <v>10850</v>
      </c>
      <c r="G68" s="141"/>
      <c r="H68" s="141"/>
      <c r="I68" s="141"/>
      <c r="J68" s="4681" t="s">
        <v>10851</v>
      </c>
      <c r="K68" s="141"/>
      <c r="L68" s="141"/>
      <c r="M68" s="102"/>
      <c r="N68" s="97"/>
      <c r="O68" s="97"/>
      <c r="P68" s="97"/>
      <c r="Q68" s="97"/>
      <c r="R68" s="97"/>
      <c r="S68" s="97"/>
      <c r="T68" s="97"/>
      <c r="U68" s="97"/>
      <c r="V68" s="97"/>
      <c r="W68" s="97"/>
      <c r="X68" s="97"/>
      <c r="Y68" s="97"/>
      <c r="Z68" s="97"/>
      <c r="AA68" s="97"/>
      <c r="AB68" s="97"/>
      <c r="AC68" s="97"/>
      <c r="AD68" s="97"/>
      <c r="AE68" s="5">
        <v>1</v>
      </c>
    </row>
    <row r="69" spans="1:31">
      <c r="A69" s="97"/>
      <c r="B69" s="4682" t="s">
        <v>10852</v>
      </c>
      <c r="C69" s="141"/>
      <c r="D69" s="141"/>
      <c r="E69" s="141"/>
      <c r="F69" s="4681" t="s">
        <v>10853</v>
      </c>
      <c r="G69" s="141"/>
      <c r="H69" s="141"/>
      <c r="I69" s="141"/>
      <c r="J69" s="4681" t="s">
        <v>10854</v>
      </c>
      <c r="K69" s="141"/>
      <c r="L69" s="141"/>
      <c r="M69" s="102"/>
      <c r="N69" s="97"/>
      <c r="O69" s="97"/>
      <c r="P69" s="97"/>
      <c r="Q69" s="97"/>
      <c r="R69" s="97"/>
      <c r="S69" s="97"/>
      <c r="T69" s="97"/>
      <c r="U69" s="97"/>
      <c r="V69" s="97"/>
      <c r="W69" s="97"/>
      <c r="X69" s="97"/>
      <c r="Y69" s="97"/>
      <c r="Z69" s="97"/>
      <c r="AA69" s="97"/>
      <c r="AB69" s="97"/>
      <c r="AC69" s="97"/>
      <c r="AD69" s="97"/>
      <c r="AE69" s="5">
        <v>1</v>
      </c>
    </row>
    <row r="70" spans="1:31">
      <c r="A70" s="97"/>
      <c r="B70" s="4682" t="s">
        <v>10855</v>
      </c>
      <c r="C70" s="141"/>
      <c r="D70" s="141"/>
      <c r="E70" s="141"/>
      <c r="F70" s="4681" t="s">
        <v>10856</v>
      </c>
      <c r="G70" s="141"/>
      <c r="H70" s="141"/>
      <c r="I70" s="141"/>
      <c r="J70" s="4681" t="s">
        <v>10857</v>
      </c>
      <c r="K70" s="141"/>
      <c r="L70" s="141"/>
      <c r="M70" s="102"/>
      <c r="N70" s="97"/>
      <c r="O70" s="97"/>
      <c r="P70" s="97"/>
      <c r="Q70" s="97"/>
      <c r="R70" s="97"/>
      <c r="S70" s="97"/>
      <c r="T70" s="97"/>
      <c r="U70" s="97"/>
      <c r="V70" s="97"/>
      <c r="W70" s="97"/>
      <c r="X70" s="97"/>
      <c r="Y70" s="97"/>
      <c r="Z70" s="97"/>
      <c r="AA70" s="97"/>
      <c r="AB70" s="97"/>
      <c r="AC70" s="97"/>
      <c r="AD70" s="97"/>
      <c r="AE70" s="5">
        <v>1</v>
      </c>
    </row>
    <row r="71" spans="1:31">
      <c r="A71" s="97"/>
      <c r="B71" s="4682" t="s">
        <v>10858</v>
      </c>
      <c r="C71" s="141"/>
      <c r="D71" s="141"/>
      <c r="E71" s="141"/>
      <c r="F71" s="4681" t="s">
        <v>10859</v>
      </c>
      <c r="G71" s="141"/>
      <c r="H71" s="141"/>
      <c r="I71" s="141"/>
      <c r="J71" s="4681" t="s">
        <v>10860</v>
      </c>
      <c r="K71" s="141"/>
      <c r="L71" s="141"/>
      <c r="M71" s="102"/>
      <c r="N71" s="97"/>
      <c r="O71" s="97"/>
      <c r="P71" s="97"/>
      <c r="Q71" s="97"/>
      <c r="R71" s="97"/>
      <c r="S71" s="97"/>
      <c r="T71" s="97"/>
      <c r="U71" s="97"/>
      <c r="V71" s="97"/>
      <c r="W71" s="97"/>
      <c r="X71" s="97"/>
      <c r="Y71" s="97"/>
      <c r="Z71" s="97"/>
      <c r="AA71" s="97"/>
      <c r="AB71" s="97"/>
      <c r="AC71" s="97"/>
      <c r="AD71" s="97"/>
      <c r="AE71" s="5">
        <v>1</v>
      </c>
    </row>
    <row r="72" spans="1:31">
      <c r="A72" s="97"/>
      <c r="B72" s="141"/>
      <c r="C72" s="141"/>
      <c r="D72" s="141"/>
      <c r="E72" s="141"/>
      <c r="F72" s="141"/>
      <c r="G72" s="141"/>
      <c r="H72" s="141"/>
      <c r="I72" s="141"/>
      <c r="J72" s="141"/>
      <c r="K72" s="141"/>
      <c r="L72" s="141"/>
      <c r="M72" s="102"/>
      <c r="N72" s="97"/>
      <c r="O72" s="97"/>
      <c r="P72" s="97"/>
      <c r="Q72" s="97"/>
      <c r="R72" s="97"/>
      <c r="S72" s="97"/>
      <c r="T72" s="97"/>
      <c r="U72" s="97"/>
      <c r="V72" s="97"/>
      <c r="W72" s="97"/>
      <c r="X72" s="97"/>
      <c r="Y72" s="97"/>
      <c r="Z72" s="97"/>
      <c r="AA72" s="97"/>
      <c r="AB72" s="97"/>
      <c r="AC72" s="97"/>
      <c r="AD72" s="97"/>
      <c r="AE72" s="5">
        <v>1</v>
      </c>
    </row>
    <row r="73" spans="1:31" ht="18.75">
      <c r="A73" s="97"/>
      <c r="B73" s="450" t="s">
        <v>10861</v>
      </c>
      <c r="C73" s="141"/>
      <c r="D73" s="141"/>
      <c r="E73" s="141"/>
      <c r="F73" s="450" t="s">
        <v>10862</v>
      </c>
      <c r="G73" s="141"/>
      <c r="H73" s="141"/>
      <c r="I73" s="141"/>
      <c r="J73" s="450" t="s">
        <v>10863</v>
      </c>
      <c r="K73" s="141"/>
      <c r="L73" s="141"/>
      <c r="M73" s="102"/>
      <c r="N73" s="97"/>
      <c r="O73" s="97"/>
      <c r="P73" s="97"/>
      <c r="Q73" s="97"/>
      <c r="R73" s="97"/>
      <c r="S73" s="97"/>
      <c r="T73" s="97"/>
      <c r="U73" s="97"/>
      <c r="V73" s="97"/>
      <c r="W73" s="97"/>
      <c r="X73" s="97"/>
      <c r="Y73" s="97"/>
      <c r="Z73" s="97"/>
      <c r="AA73" s="97"/>
      <c r="AB73" s="97"/>
      <c r="AC73" s="97"/>
      <c r="AD73" s="97"/>
      <c r="AE73" s="5">
        <v>1</v>
      </c>
    </row>
    <row r="74" spans="1:31">
      <c r="A74" s="97"/>
      <c r="B74" s="4681"/>
      <c r="C74" s="141"/>
      <c r="D74" s="141"/>
      <c r="E74" s="141"/>
      <c r="F74" s="4681"/>
      <c r="G74" s="141"/>
      <c r="H74" s="141"/>
      <c r="I74" s="141"/>
      <c r="J74" s="4681"/>
      <c r="K74" s="141"/>
      <c r="L74" s="141"/>
      <c r="M74" s="102"/>
      <c r="N74" s="97"/>
      <c r="O74" s="97"/>
      <c r="P74" s="97"/>
      <c r="Q74" s="97"/>
      <c r="R74" s="97"/>
      <c r="S74" s="97"/>
      <c r="T74" s="97"/>
      <c r="U74" s="97"/>
      <c r="V74" s="97"/>
      <c r="W74" s="97"/>
      <c r="X74" s="97"/>
      <c r="Y74" s="97"/>
      <c r="Z74" s="97"/>
      <c r="AA74" s="97"/>
      <c r="AB74" s="97"/>
      <c r="AC74" s="97"/>
      <c r="AD74" s="97"/>
      <c r="AE74" s="5">
        <v>1</v>
      </c>
    </row>
    <row r="75" spans="1:31">
      <c r="A75" s="97"/>
      <c r="B75" s="4682" t="s">
        <v>10864</v>
      </c>
      <c r="C75" s="141"/>
      <c r="D75" s="141"/>
      <c r="E75" s="141"/>
      <c r="F75" s="4682" t="s">
        <v>10865</v>
      </c>
      <c r="G75" s="141"/>
      <c r="H75" s="141"/>
      <c r="I75" s="141"/>
      <c r="J75" s="4682" t="s">
        <v>10866</v>
      </c>
      <c r="K75" s="141"/>
      <c r="L75" s="141"/>
      <c r="M75" s="102"/>
      <c r="N75" s="97"/>
      <c r="O75" s="97"/>
      <c r="P75" s="97"/>
      <c r="Q75" s="97"/>
      <c r="R75" s="97"/>
      <c r="S75" s="97"/>
      <c r="T75" s="97"/>
      <c r="U75" s="97"/>
      <c r="V75" s="97"/>
      <c r="W75" s="97"/>
      <c r="X75" s="97"/>
      <c r="Y75" s="97"/>
      <c r="Z75" s="97"/>
      <c r="AA75" s="97"/>
      <c r="AB75" s="97"/>
      <c r="AC75" s="97"/>
      <c r="AD75" s="97"/>
      <c r="AE75" s="5">
        <v>1</v>
      </c>
    </row>
    <row r="76" spans="1:31">
      <c r="A76" s="97"/>
      <c r="B76" s="4682" t="s">
        <v>10867</v>
      </c>
      <c r="C76" s="141"/>
      <c r="D76" s="141"/>
      <c r="E76" s="141"/>
      <c r="F76" s="4682" t="s">
        <v>10868</v>
      </c>
      <c r="G76" s="141"/>
      <c r="H76" s="141"/>
      <c r="I76" s="141"/>
      <c r="J76" s="4682" t="s">
        <v>10869</v>
      </c>
      <c r="K76" s="141"/>
      <c r="L76" s="141"/>
      <c r="M76" s="102"/>
      <c r="N76" s="97"/>
      <c r="O76" s="97"/>
      <c r="P76" s="97"/>
      <c r="Q76" s="97"/>
      <c r="R76" s="97"/>
      <c r="S76" s="97"/>
      <c r="T76" s="97"/>
      <c r="U76" s="97"/>
      <c r="V76" s="97"/>
      <c r="W76" s="97"/>
      <c r="X76" s="97"/>
      <c r="Y76" s="97"/>
      <c r="Z76" s="97"/>
      <c r="AA76" s="97"/>
      <c r="AB76" s="97"/>
      <c r="AC76" s="97"/>
      <c r="AD76" s="97"/>
      <c r="AE76" s="5">
        <v>1</v>
      </c>
    </row>
    <row r="77" spans="1:31">
      <c r="A77" s="97"/>
      <c r="B77" s="4682" t="s">
        <v>10870</v>
      </c>
      <c r="C77" s="141"/>
      <c r="D77" s="141"/>
      <c r="E77" s="141"/>
      <c r="F77" s="4682" t="s">
        <v>10871</v>
      </c>
      <c r="G77" s="141"/>
      <c r="H77" s="141"/>
      <c r="I77" s="141"/>
      <c r="J77" s="4682" t="s">
        <v>10872</v>
      </c>
      <c r="K77" s="141"/>
      <c r="L77" s="141"/>
      <c r="M77" s="102"/>
      <c r="N77" s="97"/>
      <c r="O77" s="97"/>
      <c r="P77" s="97"/>
      <c r="Q77" s="97"/>
      <c r="R77" s="97"/>
      <c r="S77" s="97"/>
      <c r="T77" s="97"/>
      <c r="U77" s="97"/>
      <c r="V77" s="97"/>
      <c r="W77" s="97"/>
      <c r="X77" s="97"/>
      <c r="Y77" s="97"/>
      <c r="Z77" s="97"/>
      <c r="AA77" s="97"/>
      <c r="AB77" s="97"/>
      <c r="AC77" s="97"/>
      <c r="AD77" s="97"/>
      <c r="AE77" s="5">
        <v>1</v>
      </c>
    </row>
    <row r="78" spans="1:31">
      <c r="A78" s="97"/>
      <c r="B78" s="4682" t="s">
        <v>10873</v>
      </c>
      <c r="C78" s="141"/>
      <c r="D78" s="141"/>
      <c r="E78" s="141"/>
      <c r="F78" s="4682" t="s">
        <v>10874</v>
      </c>
      <c r="G78" s="141"/>
      <c r="H78" s="141"/>
      <c r="I78" s="141"/>
      <c r="J78" s="4682" t="s">
        <v>10875</v>
      </c>
      <c r="K78" s="141"/>
      <c r="L78" s="141"/>
      <c r="M78" s="102"/>
      <c r="N78" s="97"/>
      <c r="O78" s="97"/>
      <c r="P78" s="97"/>
      <c r="Q78" s="97"/>
      <c r="R78" s="97"/>
      <c r="S78" s="97"/>
      <c r="T78" s="97"/>
      <c r="U78" s="97"/>
      <c r="V78" s="97"/>
      <c r="W78" s="97"/>
      <c r="X78" s="97"/>
      <c r="Y78" s="97"/>
      <c r="Z78" s="97"/>
      <c r="AA78" s="97"/>
      <c r="AB78" s="97"/>
      <c r="AC78" s="97"/>
      <c r="AD78" s="97"/>
      <c r="AE78" s="5">
        <v>1</v>
      </c>
    </row>
    <row r="79" spans="1:31">
      <c r="A79" s="97"/>
      <c r="B79" s="4682" t="s">
        <v>10876</v>
      </c>
      <c r="C79" s="141"/>
      <c r="D79" s="141"/>
      <c r="E79" s="141"/>
      <c r="F79" s="4682" t="s">
        <v>10877</v>
      </c>
      <c r="G79" s="141"/>
      <c r="H79" s="141"/>
      <c r="I79" s="141"/>
      <c r="J79" s="4682" t="s">
        <v>10878</v>
      </c>
      <c r="K79" s="141"/>
      <c r="L79" s="141"/>
      <c r="M79" s="102"/>
      <c r="N79" s="97"/>
      <c r="O79" s="97"/>
      <c r="P79" s="97"/>
      <c r="Q79" s="97"/>
      <c r="R79" s="97"/>
      <c r="S79" s="97"/>
      <c r="T79" s="97"/>
      <c r="U79" s="97"/>
      <c r="V79" s="97"/>
      <c r="W79" s="97"/>
      <c r="X79" s="97"/>
      <c r="Y79" s="97"/>
      <c r="Z79" s="97"/>
      <c r="AA79" s="97"/>
      <c r="AB79" s="97"/>
      <c r="AC79" s="97"/>
      <c r="AD79" s="97"/>
      <c r="AE79" s="5">
        <v>1</v>
      </c>
    </row>
    <row r="80" spans="1:31">
      <c r="A80" s="97"/>
      <c r="B80" s="141"/>
      <c r="C80" s="141"/>
      <c r="D80" s="141"/>
      <c r="E80" s="141"/>
      <c r="F80" s="4681"/>
      <c r="G80" s="141"/>
      <c r="H80" s="141"/>
      <c r="I80" s="141"/>
      <c r="J80" s="4681"/>
      <c r="K80" s="141"/>
      <c r="L80" s="141"/>
      <c r="M80" s="102"/>
      <c r="N80" s="97"/>
      <c r="O80" s="97"/>
      <c r="P80" s="97"/>
      <c r="Q80" s="97"/>
      <c r="R80" s="97"/>
      <c r="S80" s="97"/>
      <c r="T80" s="97"/>
      <c r="U80" s="97"/>
      <c r="V80" s="97"/>
      <c r="W80" s="97"/>
      <c r="X80" s="97"/>
      <c r="Y80" s="97"/>
      <c r="Z80" s="97"/>
      <c r="AA80" s="97"/>
      <c r="AB80" s="97"/>
      <c r="AC80" s="97"/>
      <c r="AD80" s="97"/>
      <c r="AE80" s="5">
        <v>1</v>
      </c>
    </row>
    <row r="81" spans="1:31" ht="18.75">
      <c r="A81" s="97"/>
      <c r="B81" s="450" t="s">
        <v>10879</v>
      </c>
      <c r="C81" s="141"/>
      <c r="D81" s="141"/>
      <c r="E81" s="141"/>
      <c r="F81" s="450" t="s">
        <v>10880</v>
      </c>
      <c r="G81" s="141"/>
      <c r="H81" s="141"/>
      <c r="I81" s="141"/>
      <c r="J81" s="450" t="s">
        <v>10881</v>
      </c>
      <c r="K81" s="141"/>
      <c r="L81" s="141"/>
      <c r="M81" s="102"/>
      <c r="N81" s="97"/>
      <c r="O81" s="97"/>
      <c r="P81" s="97"/>
      <c r="Q81" s="97"/>
      <c r="R81" s="97"/>
      <c r="S81" s="97"/>
      <c r="T81" s="97"/>
      <c r="U81" s="97"/>
      <c r="V81" s="97"/>
      <c r="W81" s="97"/>
      <c r="X81" s="97"/>
      <c r="Y81" s="97"/>
      <c r="Z81" s="97"/>
      <c r="AA81" s="97"/>
      <c r="AB81" s="97"/>
      <c r="AC81" s="97"/>
      <c r="AD81" s="97"/>
      <c r="AE81" s="5">
        <v>1</v>
      </c>
    </row>
    <row r="82" spans="1:31">
      <c r="A82" s="97"/>
      <c r="B82" s="4681"/>
      <c r="C82" s="141"/>
      <c r="D82" s="141"/>
      <c r="E82" s="141"/>
      <c r="F82" s="141"/>
      <c r="G82" s="141"/>
      <c r="H82" s="141"/>
      <c r="I82" s="141"/>
      <c r="J82" s="141"/>
      <c r="K82" s="141"/>
      <c r="L82" s="141"/>
      <c r="M82" s="102"/>
      <c r="N82" s="97"/>
      <c r="O82" s="97"/>
      <c r="P82" s="97"/>
      <c r="Q82" s="97"/>
      <c r="R82" s="97"/>
      <c r="S82" s="97"/>
      <c r="T82" s="97"/>
      <c r="U82" s="97"/>
      <c r="V82" s="97"/>
      <c r="W82" s="97"/>
      <c r="X82" s="97"/>
      <c r="Y82" s="97"/>
      <c r="Z82" s="97"/>
      <c r="AA82" s="97"/>
      <c r="AB82" s="97"/>
      <c r="AC82" s="97"/>
      <c r="AD82" s="97"/>
      <c r="AE82" s="5">
        <v>1</v>
      </c>
    </row>
    <row r="83" spans="1:31">
      <c r="A83" s="97"/>
      <c r="B83" s="4682" t="s">
        <v>10882</v>
      </c>
      <c r="C83" s="141"/>
      <c r="D83" s="141"/>
      <c r="E83" s="141"/>
      <c r="F83" s="6756" t="s">
        <v>10883</v>
      </c>
      <c r="G83" s="141"/>
      <c r="H83" s="141"/>
      <c r="I83" s="141"/>
      <c r="J83" s="6756" t="s">
        <v>10884</v>
      </c>
      <c r="K83" s="141"/>
      <c r="L83" s="141"/>
      <c r="M83" s="102"/>
      <c r="N83" s="97"/>
      <c r="O83" s="97"/>
      <c r="P83" s="97"/>
      <c r="Q83" s="97"/>
      <c r="R83" s="97"/>
      <c r="S83" s="97"/>
      <c r="T83" s="97"/>
      <c r="U83" s="97"/>
      <c r="V83" s="97"/>
      <c r="W83" s="97"/>
      <c r="X83" s="97"/>
      <c r="Y83" s="97"/>
      <c r="Z83" s="97"/>
      <c r="AA83" s="97"/>
      <c r="AB83" s="97"/>
      <c r="AC83" s="97"/>
      <c r="AD83" s="97"/>
      <c r="AE83" s="5">
        <v>1</v>
      </c>
    </row>
    <row r="84" spans="1:31">
      <c r="A84" s="97"/>
      <c r="B84" s="4682" t="s">
        <v>10885</v>
      </c>
      <c r="C84" s="141"/>
      <c r="D84" s="141"/>
      <c r="E84" s="141"/>
      <c r="F84" s="6756" t="s">
        <v>10886</v>
      </c>
      <c r="G84" s="141"/>
      <c r="H84" s="141"/>
      <c r="I84" s="141"/>
      <c r="J84" s="6756" t="s">
        <v>10887</v>
      </c>
      <c r="K84" s="141"/>
      <c r="L84" s="141"/>
      <c r="M84" s="102"/>
      <c r="N84" s="97"/>
      <c r="O84" s="97"/>
      <c r="P84" s="97"/>
      <c r="Q84" s="97"/>
      <c r="R84" s="97"/>
      <c r="S84" s="97"/>
      <c r="T84" s="97"/>
      <c r="U84" s="97"/>
      <c r="V84" s="97"/>
      <c r="W84" s="97"/>
      <c r="X84" s="97"/>
      <c r="Y84" s="97"/>
      <c r="Z84" s="97"/>
      <c r="AA84" s="97"/>
      <c r="AB84" s="97"/>
      <c r="AC84" s="97"/>
      <c r="AD84" s="97"/>
      <c r="AE84" s="5">
        <v>1</v>
      </c>
    </row>
    <row r="85" spans="1:31">
      <c r="A85" s="97"/>
      <c r="B85" s="4681"/>
      <c r="C85" s="141"/>
      <c r="D85" s="141"/>
      <c r="E85" s="141"/>
      <c r="F85" s="141"/>
      <c r="G85" s="141"/>
      <c r="H85" s="141"/>
      <c r="I85" s="141"/>
      <c r="J85" s="141"/>
      <c r="K85" s="141"/>
      <c r="L85" s="141"/>
      <c r="M85" s="102"/>
      <c r="N85" s="97"/>
      <c r="O85" s="97"/>
      <c r="P85" s="97"/>
      <c r="Q85" s="97"/>
      <c r="R85" s="97"/>
      <c r="S85" s="97"/>
      <c r="T85" s="97"/>
      <c r="U85" s="97"/>
      <c r="V85" s="97"/>
      <c r="W85" s="97"/>
      <c r="X85" s="97"/>
      <c r="Y85" s="97"/>
      <c r="Z85" s="97"/>
      <c r="AA85" s="97"/>
      <c r="AB85" s="97"/>
      <c r="AC85" s="97"/>
      <c r="AD85" s="97"/>
      <c r="AE85" s="5">
        <v>1</v>
      </c>
    </row>
    <row r="86" spans="1:31">
      <c r="A86" s="97"/>
      <c r="B86" s="4682" t="s">
        <v>10888</v>
      </c>
      <c r="C86" s="141"/>
      <c r="D86" s="141"/>
      <c r="E86" s="141"/>
      <c r="F86" s="6756" t="s">
        <v>10889</v>
      </c>
      <c r="G86" s="141"/>
      <c r="H86" s="141"/>
      <c r="I86" s="141"/>
      <c r="J86" s="6756" t="s">
        <v>10890</v>
      </c>
      <c r="K86" s="141"/>
      <c r="L86" s="141"/>
      <c r="M86" s="102"/>
      <c r="N86" s="97"/>
      <c r="O86" s="97"/>
      <c r="P86" s="97"/>
      <c r="Q86" s="97"/>
      <c r="R86" s="97"/>
      <c r="S86" s="97"/>
      <c r="T86" s="97"/>
      <c r="U86" s="97"/>
      <c r="V86" s="97"/>
      <c r="W86" s="97"/>
      <c r="X86" s="97"/>
      <c r="Y86" s="97"/>
      <c r="Z86" s="97"/>
      <c r="AA86" s="97"/>
      <c r="AB86" s="97"/>
      <c r="AC86" s="97"/>
      <c r="AD86" s="97"/>
      <c r="AE86" s="5">
        <v>1</v>
      </c>
    </row>
    <row r="87" spans="1:31">
      <c r="A87" s="97"/>
      <c r="B87" s="4682" t="s">
        <v>10891</v>
      </c>
      <c r="C87" s="141"/>
      <c r="D87" s="141"/>
      <c r="E87" s="141"/>
      <c r="F87" s="6756" t="s">
        <v>10892</v>
      </c>
      <c r="G87" s="141"/>
      <c r="H87" s="141"/>
      <c r="I87" s="141"/>
      <c r="J87" s="6756" t="s">
        <v>10893</v>
      </c>
      <c r="K87" s="141"/>
      <c r="L87" s="141"/>
      <c r="M87" s="102"/>
      <c r="N87" s="97"/>
      <c r="O87" s="97"/>
      <c r="P87" s="97"/>
      <c r="Q87" s="97"/>
      <c r="R87" s="97"/>
      <c r="S87" s="97"/>
      <c r="T87" s="97"/>
      <c r="U87" s="97"/>
      <c r="V87" s="97"/>
      <c r="W87" s="97"/>
      <c r="X87" s="97"/>
      <c r="Y87" s="97"/>
      <c r="Z87" s="97"/>
      <c r="AA87" s="97"/>
      <c r="AB87" s="97"/>
      <c r="AC87" s="97"/>
      <c r="AD87" s="97"/>
      <c r="AE87" s="5">
        <v>1</v>
      </c>
    </row>
    <row r="88" spans="1:31">
      <c r="A88" s="97"/>
      <c r="B88" s="4681"/>
      <c r="C88" s="141"/>
      <c r="D88" s="141"/>
      <c r="E88" s="141"/>
      <c r="F88" s="141"/>
      <c r="G88" s="141"/>
      <c r="H88" s="141"/>
      <c r="I88" s="141"/>
      <c r="J88" s="141"/>
      <c r="K88" s="141"/>
      <c r="L88" s="141"/>
      <c r="M88" s="102"/>
      <c r="N88" s="97"/>
      <c r="O88" s="97"/>
      <c r="P88" s="97"/>
      <c r="Q88" s="97"/>
      <c r="R88" s="97"/>
      <c r="S88" s="97"/>
      <c r="T88" s="97"/>
      <c r="U88" s="97"/>
      <c r="V88" s="97"/>
      <c r="W88" s="97"/>
      <c r="X88" s="97"/>
      <c r="Y88" s="97"/>
      <c r="Z88" s="97"/>
      <c r="AA88" s="97"/>
      <c r="AB88" s="97"/>
      <c r="AC88" s="97"/>
      <c r="AD88" s="97"/>
      <c r="AE88" s="5">
        <v>1</v>
      </c>
    </row>
    <row r="89" spans="1:31">
      <c r="A89" s="97"/>
      <c r="B89" s="4682" t="s">
        <v>10894</v>
      </c>
      <c r="C89" s="141"/>
      <c r="D89" s="141"/>
      <c r="E89" s="141"/>
      <c r="F89" s="6756" t="s">
        <v>10895</v>
      </c>
      <c r="G89" s="141"/>
      <c r="H89" s="141"/>
      <c r="I89" s="141"/>
      <c r="J89" s="6756" t="s">
        <v>10896</v>
      </c>
      <c r="K89" s="141"/>
      <c r="L89" s="141"/>
      <c r="M89" s="102"/>
      <c r="N89" s="97"/>
      <c r="O89" s="97"/>
      <c r="P89" s="97"/>
      <c r="Q89" s="97"/>
      <c r="R89" s="97"/>
      <c r="S89" s="97"/>
      <c r="T89" s="97"/>
      <c r="U89" s="97"/>
      <c r="V89" s="97"/>
      <c r="W89" s="97"/>
      <c r="X89" s="97"/>
      <c r="Y89" s="97"/>
      <c r="Z89" s="97"/>
      <c r="AA89" s="97"/>
      <c r="AB89" s="97"/>
      <c r="AC89" s="97"/>
      <c r="AD89" s="97"/>
      <c r="AE89" s="5">
        <v>1</v>
      </c>
    </row>
    <row r="90" spans="1:31">
      <c r="A90" s="97"/>
      <c r="B90" s="4682" t="s">
        <v>10897</v>
      </c>
      <c r="C90" s="141"/>
      <c r="D90" s="141"/>
      <c r="E90" s="141"/>
      <c r="F90" s="6756" t="s">
        <v>10898</v>
      </c>
      <c r="G90" s="141"/>
      <c r="H90" s="141"/>
      <c r="I90" s="141"/>
      <c r="J90" s="6756" t="s">
        <v>10899</v>
      </c>
      <c r="K90" s="141"/>
      <c r="L90" s="141"/>
      <c r="M90" s="102"/>
      <c r="N90" s="97"/>
      <c r="O90" s="97"/>
      <c r="P90" s="97"/>
      <c r="Q90" s="97"/>
      <c r="R90" s="97"/>
      <c r="S90" s="97"/>
      <c r="T90" s="97"/>
      <c r="U90" s="97"/>
      <c r="V90" s="97"/>
      <c r="W90" s="97"/>
      <c r="X90" s="97"/>
      <c r="Y90" s="97"/>
      <c r="Z90" s="97"/>
      <c r="AA90" s="97"/>
      <c r="AB90" s="97"/>
      <c r="AC90" s="97"/>
      <c r="AD90" s="97"/>
      <c r="AE90" s="5">
        <v>1</v>
      </c>
    </row>
    <row r="91" spans="1:31">
      <c r="A91" s="97"/>
      <c r="B91" s="141"/>
      <c r="C91" s="141"/>
      <c r="D91" s="141"/>
      <c r="E91" s="141"/>
      <c r="F91" s="141"/>
      <c r="G91" s="141"/>
      <c r="H91" s="141"/>
      <c r="I91" s="141"/>
      <c r="J91" s="141"/>
      <c r="K91" s="141"/>
      <c r="L91" s="141"/>
      <c r="M91" s="102"/>
      <c r="N91" s="97"/>
      <c r="O91" s="97"/>
      <c r="P91" s="97"/>
      <c r="Q91" s="97"/>
      <c r="R91" s="97"/>
      <c r="S91" s="97"/>
      <c r="T91" s="97"/>
      <c r="U91" s="97"/>
      <c r="V91" s="97"/>
      <c r="W91" s="97"/>
      <c r="X91" s="97"/>
      <c r="Y91" s="97"/>
      <c r="Z91" s="97"/>
      <c r="AA91" s="97"/>
      <c r="AB91" s="97"/>
      <c r="AC91" s="97"/>
      <c r="AD91" s="97"/>
      <c r="AE91" s="5">
        <v>1</v>
      </c>
    </row>
    <row r="92" spans="1:31" ht="18.75">
      <c r="A92" s="97"/>
      <c r="B92" s="450" t="s">
        <v>10900</v>
      </c>
      <c r="C92" s="141"/>
      <c r="D92" s="141"/>
      <c r="E92" s="141"/>
      <c r="F92" s="450" t="s">
        <v>10901</v>
      </c>
      <c r="G92" s="141"/>
      <c r="H92" s="141"/>
      <c r="I92" s="141"/>
      <c r="J92" s="450" t="s">
        <v>10902</v>
      </c>
      <c r="K92" s="141"/>
      <c r="L92" s="141"/>
      <c r="M92" s="102"/>
      <c r="N92" s="97"/>
      <c r="O92" s="97"/>
      <c r="P92" s="97"/>
      <c r="Q92" s="97"/>
      <c r="R92" s="97"/>
      <c r="S92" s="97"/>
      <c r="T92" s="97"/>
      <c r="U92" s="97"/>
      <c r="V92" s="97"/>
      <c r="W92" s="97"/>
      <c r="X92" s="97"/>
      <c r="Y92" s="97"/>
      <c r="Z92" s="97"/>
      <c r="AA92" s="97"/>
      <c r="AB92" s="97"/>
      <c r="AC92" s="97"/>
      <c r="AD92" s="97"/>
      <c r="AE92" s="5">
        <v>1</v>
      </c>
    </row>
    <row r="93" spans="1:31">
      <c r="A93" s="97"/>
      <c r="B93" s="141"/>
      <c r="C93" s="141"/>
      <c r="D93" s="141"/>
      <c r="E93" s="141"/>
      <c r="F93" s="141"/>
      <c r="G93" s="141"/>
      <c r="H93" s="141"/>
      <c r="I93" s="141"/>
      <c r="J93" s="141"/>
      <c r="K93" s="141"/>
      <c r="L93" s="141"/>
      <c r="M93" s="102"/>
      <c r="N93" s="97"/>
      <c r="O93" s="97"/>
      <c r="P93" s="97"/>
      <c r="Q93" s="97"/>
      <c r="R93" s="97"/>
      <c r="S93" s="97"/>
      <c r="T93" s="97"/>
      <c r="U93" s="97"/>
      <c r="V93" s="97"/>
      <c r="W93" s="97"/>
      <c r="X93" s="97"/>
      <c r="Y93" s="97"/>
      <c r="Z93" s="97"/>
      <c r="AA93" s="97"/>
      <c r="AB93" s="97"/>
      <c r="AC93" s="97"/>
      <c r="AD93" s="97"/>
      <c r="AE93" s="5">
        <v>1</v>
      </c>
    </row>
    <row r="94" spans="1:31">
      <c r="A94" s="97"/>
      <c r="B94" s="6756" t="s">
        <v>10903</v>
      </c>
      <c r="C94" s="141"/>
      <c r="D94" s="141"/>
      <c r="E94" s="141"/>
      <c r="F94" s="141" t="s">
        <v>10904</v>
      </c>
      <c r="G94" s="141"/>
      <c r="H94" s="141"/>
      <c r="I94" s="141"/>
      <c r="J94" s="141" t="s">
        <v>10905</v>
      </c>
      <c r="K94" s="141"/>
      <c r="L94" s="141"/>
      <c r="M94" s="102"/>
      <c r="N94" s="97"/>
      <c r="O94" s="97"/>
      <c r="P94" s="97"/>
      <c r="Q94" s="97"/>
      <c r="R94" s="97"/>
      <c r="S94" s="97"/>
      <c r="T94" s="97"/>
      <c r="U94" s="97"/>
      <c r="V94" s="97"/>
      <c r="W94" s="97"/>
      <c r="X94" s="97"/>
      <c r="Y94" s="97"/>
      <c r="Z94" s="97"/>
      <c r="AA94" s="97"/>
      <c r="AB94" s="97"/>
      <c r="AC94" s="97"/>
      <c r="AD94" s="97"/>
      <c r="AE94" s="5">
        <v>1</v>
      </c>
    </row>
    <row r="95" spans="1:31">
      <c r="A95" s="97"/>
      <c r="B95" s="6756" t="s">
        <v>10906</v>
      </c>
      <c r="C95" s="141"/>
      <c r="D95" s="141"/>
      <c r="E95" s="141"/>
      <c r="F95" s="141" t="s">
        <v>10907</v>
      </c>
      <c r="G95" s="141"/>
      <c r="H95" s="141"/>
      <c r="I95" s="141"/>
      <c r="J95" s="141" t="s">
        <v>10908</v>
      </c>
      <c r="K95" s="141"/>
      <c r="L95" s="141"/>
      <c r="M95" s="102"/>
      <c r="N95" s="97"/>
      <c r="O95" s="97"/>
      <c r="P95" s="97"/>
      <c r="Q95" s="97"/>
      <c r="R95" s="97"/>
      <c r="S95" s="97"/>
      <c r="T95" s="97"/>
      <c r="U95" s="97"/>
      <c r="V95" s="97"/>
      <c r="W95" s="97"/>
      <c r="X95" s="97"/>
      <c r="Y95" s="97"/>
      <c r="Z95" s="97"/>
      <c r="AA95" s="97"/>
      <c r="AB95" s="97"/>
      <c r="AC95" s="97"/>
      <c r="AD95" s="97"/>
      <c r="AE95" s="5">
        <v>1</v>
      </c>
    </row>
    <row r="96" spans="1:31">
      <c r="A96" s="97"/>
      <c r="B96" s="141"/>
      <c r="C96" s="141"/>
      <c r="D96" s="141"/>
      <c r="E96" s="141"/>
      <c r="F96" s="141"/>
      <c r="G96" s="141"/>
      <c r="H96" s="141"/>
      <c r="I96" s="141"/>
      <c r="J96" s="141"/>
      <c r="K96" s="141"/>
      <c r="L96" s="141"/>
      <c r="M96" s="102"/>
      <c r="N96" s="97"/>
      <c r="O96" s="97"/>
      <c r="P96" s="97"/>
      <c r="Q96" s="97"/>
      <c r="R96" s="97"/>
      <c r="S96" s="97"/>
      <c r="T96" s="97"/>
      <c r="U96" s="97"/>
      <c r="V96" s="97"/>
      <c r="W96" s="97"/>
      <c r="X96" s="97"/>
      <c r="Y96" s="97"/>
      <c r="Z96" s="97"/>
      <c r="AA96" s="97"/>
      <c r="AB96" s="97"/>
      <c r="AC96" s="97"/>
      <c r="AD96" s="97"/>
      <c r="AE96" s="5">
        <v>1</v>
      </c>
    </row>
    <row r="97" spans="1:31">
      <c r="A97" s="97"/>
      <c r="B97" s="6851" t="s">
        <v>10909</v>
      </c>
      <c r="C97" s="141"/>
      <c r="D97" s="141"/>
      <c r="E97" s="141"/>
      <c r="F97" s="141" t="s">
        <v>10910</v>
      </c>
      <c r="G97" s="141"/>
      <c r="H97" s="141"/>
      <c r="I97" s="141"/>
      <c r="J97" s="141" t="s">
        <v>10911</v>
      </c>
      <c r="K97" s="141"/>
      <c r="L97" s="141"/>
      <c r="M97" s="102"/>
      <c r="N97" s="97"/>
      <c r="O97" s="97"/>
      <c r="P97" s="97"/>
      <c r="Q97" s="97"/>
      <c r="R97" s="97"/>
      <c r="S97" s="97"/>
      <c r="T97" s="97"/>
      <c r="U97" s="97"/>
      <c r="V97" s="97"/>
      <c r="W97" s="97"/>
      <c r="X97" s="97"/>
      <c r="Y97" s="97"/>
      <c r="Z97" s="97"/>
      <c r="AA97" s="97"/>
      <c r="AB97" s="97"/>
      <c r="AC97" s="97"/>
      <c r="AD97" s="97"/>
      <c r="AE97" s="5">
        <v>1</v>
      </c>
    </row>
    <row r="98" spans="1:31">
      <c r="A98" s="97"/>
      <c r="B98" s="141"/>
      <c r="C98" s="141"/>
      <c r="D98" s="141"/>
      <c r="E98" s="141"/>
      <c r="F98" s="141"/>
      <c r="G98" s="141"/>
      <c r="H98" s="141"/>
      <c r="I98" s="141"/>
      <c r="J98" s="141"/>
      <c r="K98" s="141"/>
      <c r="L98" s="141"/>
      <c r="M98" s="102"/>
      <c r="N98" s="97"/>
      <c r="O98" s="97"/>
      <c r="P98" s="97"/>
      <c r="Q98" s="97"/>
      <c r="R98" s="97"/>
      <c r="S98" s="97"/>
      <c r="T98" s="97"/>
      <c r="U98" s="97"/>
      <c r="V98" s="97"/>
      <c r="W98" s="97"/>
      <c r="X98" s="97"/>
      <c r="Y98" s="97"/>
      <c r="Z98" s="97"/>
      <c r="AA98" s="97"/>
      <c r="AB98" s="97"/>
      <c r="AC98" s="97"/>
      <c r="AD98" s="97"/>
      <c r="AE98" s="5">
        <v>1</v>
      </c>
    </row>
    <row r="99" spans="1:31" ht="18.75">
      <c r="A99" s="97"/>
      <c r="B99" s="450" t="s">
        <v>10912</v>
      </c>
      <c r="C99" s="141"/>
      <c r="D99" s="141"/>
      <c r="E99" s="141"/>
      <c r="F99" s="450" t="s">
        <v>10913</v>
      </c>
      <c r="G99" s="141"/>
      <c r="H99" s="141"/>
      <c r="I99" s="141"/>
      <c r="J99" s="450" t="s">
        <v>10914</v>
      </c>
      <c r="K99" s="141"/>
      <c r="L99" s="141"/>
      <c r="M99" s="102"/>
      <c r="N99" s="97"/>
      <c r="O99" s="97"/>
      <c r="P99" s="97"/>
      <c r="Q99" s="97"/>
      <c r="R99" s="97"/>
      <c r="S99" s="97"/>
      <c r="T99" s="97"/>
      <c r="U99" s="97"/>
      <c r="V99" s="97"/>
      <c r="W99" s="97"/>
      <c r="X99" s="97"/>
      <c r="Y99" s="97"/>
      <c r="Z99" s="97"/>
      <c r="AA99" s="97"/>
      <c r="AB99" s="97"/>
      <c r="AC99" s="97"/>
      <c r="AD99" s="97"/>
      <c r="AE99" s="5">
        <v>1</v>
      </c>
    </row>
    <row r="100" spans="1:31">
      <c r="A100" s="97"/>
      <c r="B100" s="141"/>
      <c r="C100" s="141"/>
      <c r="D100" s="141"/>
      <c r="E100" s="141"/>
      <c r="F100" s="141"/>
      <c r="G100" s="141"/>
      <c r="H100" s="141"/>
      <c r="I100" s="141"/>
      <c r="J100" s="141"/>
      <c r="K100" s="141"/>
      <c r="L100" s="141"/>
      <c r="M100" s="102"/>
      <c r="N100" s="97"/>
      <c r="O100" s="97"/>
      <c r="P100" s="97"/>
      <c r="Q100" s="97"/>
      <c r="R100" s="97"/>
      <c r="S100" s="97"/>
      <c r="T100" s="97"/>
      <c r="U100" s="97"/>
      <c r="V100" s="97"/>
      <c r="W100" s="97"/>
      <c r="X100" s="97"/>
      <c r="Y100" s="97"/>
      <c r="Z100" s="97"/>
      <c r="AA100" s="97"/>
      <c r="AB100" s="97"/>
      <c r="AC100" s="97"/>
      <c r="AD100" s="97"/>
      <c r="AE100" s="5">
        <v>1</v>
      </c>
    </row>
    <row r="101" spans="1:31" ht="18.75">
      <c r="A101" s="97"/>
      <c r="B101" s="450" t="s">
        <v>10915</v>
      </c>
      <c r="C101" s="141"/>
      <c r="D101" s="141"/>
      <c r="E101" s="141"/>
      <c r="F101" s="450" t="s">
        <v>10916</v>
      </c>
      <c r="G101" s="141"/>
      <c r="H101" s="141"/>
      <c r="I101" s="141"/>
      <c r="J101" s="450" t="s">
        <v>10917</v>
      </c>
      <c r="K101" s="141"/>
      <c r="L101" s="141"/>
      <c r="M101" s="102"/>
      <c r="N101" s="97"/>
      <c r="O101" s="97"/>
      <c r="P101" s="97"/>
      <c r="Q101" s="97"/>
      <c r="R101" s="97"/>
      <c r="S101" s="97"/>
      <c r="T101" s="97"/>
      <c r="U101" s="97"/>
      <c r="V101" s="97"/>
      <c r="W101" s="97"/>
      <c r="X101" s="97"/>
      <c r="Y101" s="97"/>
      <c r="Z101" s="97"/>
      <c r="AA101" s="97"/>
      <c r="AB101" s="97"/>
      <c r="AC101" s="97"/>
      <c r="AD101" s="97"/>
      <c r="AE101" s="5">
        <v>1</v>
      </c>
    </row>
    <row r="102" spans="1:31">
      <c r="A102" s="97"/>
      <c r="B102" s="4681"/>
      <c r="C102" s="141"/>
      <c r="D102" s="141"/>
      <c r="E102" s="141"/>
      <c r="F102" s="141"/>
      <c r="G102" s="141"/>
      <c r="H102" s="141"/>
      <c r="I102" s="141"/>
      <c r="J102" s="141"/>
      <c r="K102" s="141"/>
      <c r="L102" s="141"/>
      <c r="M102" s="102"/>
      <c r="N102" s="97"/>
      <c r="O102" s="97"/>
      <c r="P102" s="97"/>
      <c r="Q102" s="97"/>
      <c r="R102" s="97"/>
      <c r="S102" s="97"/>
      <c r="T102" s="97"/>
      <c r="U102" s="97"/>
      <c r="V102" s="97"/>
      <c r="W102" s="97"/>
      <c r="X102" s="97"/>
      <c r="Y102" s="97"/>
      <c r="Z102" s="97"/>
      <c r="AA102" s="97"/>
      <c r="AB102" s="97"/>
      <c r="AC102" s="97"/>
      <c r="AD102" s="97"/>
      <c r="AE102" s="5">
        <v>1</v>
      </c>
    </row>
    <row r="103" spans="1:31">
      <c r="A103" s="97"/>
      <c r="B103" s="4682" t="s">
        <v>10918</v>
      </c>
      <c r="C103" s="141"/>
      <c r="D103" s="141"/>
      <c r="E103" s="141"/>
      <c r="F103" s="6756" t="s">
        <v>10919</v>
      </c>
      <c r="G103" s="141"/>
      <c r="H103" s="141"/>
      <c r="I103" s="141"/>
      <c r="J103" s="6756" t="s">
        <v>10920</v>
      </c>
      <c r="K103" s="141"/>
      <c r="L103" s="141"/>
      <c r="M103" s="102"/>
      <c r="N103" s="97"/>
      <c r="O103" s="97"/>
      <c r="P103" s="97"/>
      <c r="Q103" s="97"/>
      <c r="R103" s="97"/>
      <c r="S103" s="97"/>
      <c r="T103" s="97"/>
      <c r="U103" s="97"/>
      <c r="V103" s="97"/>
      <c r="W103" s="97"/>
      <c r="X103" s="97"/>
      <c r="Y103" s="97"/>
      <c r="Z103" s="97"/>
      <c r="AA103" s="97"/>
      <c r="AB103" s="97"/>
      <c r="AC103" s="97"/>
      <c r="AD103" s="97"/>
      <c r="AE103" s="5">
        <v>1</v>
      </c>
    </row>
    <row r="104" spans="1:31">
      <c r="A104" s="97"/>
      <c r="B104" s="4681" t="s">
        <v>10921</v>
      </c>
      <c r="C104" s="141"/>
      <c r="D104" s="141"/>
      <c r="E104" s="141"/>
      <c r="F104" s="141" t="s">
        <v>10922</v>
      </c>
      <c r="G104" s="141"/>
      <c r="H104" s="141"/>
      <c r="I104" s="141"/>
      <c r="J104" s="141" t="s">
        <v>10923</v>
      </c>
      <c r="K104" s="141"/>
      <c r="L104" s="141"/>
      <c r="M104" s="102"/>
      <c r="N104" s="97"/>
      <c r="O104" s="97"/>
      <c r="P104" s="97"/>
      <c r="Q104" s="97"/>
      <c r="R104" s="97"/>
      <c r="S104" s="97"/>
      <c r="T104" s="97"/>
      <c r="U104" s="97"/>
      <c r="V104" s="97"/>
      <c r="W104" s="97"/>
      <c r="X104" s="97"/>
      <c r="Y104" s="97"/>
      <c r="Z104" s="97"/>
      <c r="AA104" s="97"/>
      <c r="AB104" s="97"/>
      <c r="AC104" s="97"/>
      <c r="AD104" s="97"/>
      <c r="AE104" s="5">
        <v>1</v>
      </c>
    </row>
    <row r="105" spans="1:31">
      <c r="A105" s="97"/>
      <c r="B105" s="4681"/>
      <c r="C105" s="141"/>
      <c r="D105" s="141"/>
      <c r="E105" s="141"/>
      <c r="F105" s="141"/>
      <c r="G105" s="141"/>
      <c r="H105" s="141"/>
      <c r="I105" s="141"/>
      <c r="J105" s="141"/>
      <c r="K105" s="141"/>
      <c r="L105" s="141"/>
      <c r="M105" s="102"/>
      <c r="N105" s="97"/>
      <c r="O105" s="97"/>
      <c r="P105" s="97"/>
      <c r="Q105" s="97"/>
      <c r="R105" s="97"/>
      <c r="S105" s="97"/>
      <c r="T105" s="97"/>
      <c r="U105" s="97"/>
      <c r="V105" s="97"/>
      <c r="W105" s="97"/>
      <c r="X105" s="97"/>
      <c r="Y105" s="97"/>
      <c r="Z105" s="97"/>
      <c r="AA105" s="97"/>
      <c r="AB105" s="97"/>
      <c r="AC105" s="97"/>
      <c r="AD105" s="97"/>
      <c r="AE105" s="5">
        <v>1</v>
      </c>
    </row>
    <row r="106" spans="1:31">
      <c r="A106" s="97"/>
      <c r="B106" s="4682" t="s">
        <v>10924</v>
      </c>
      <c r="C106" s="141"/>
      <c r="D106" s="141"/>
      <c r="E106" s="141"/>
      <c r="F106" s="6756" t="s">
        <v>10925</v>
      </c>
      <c r="G106" s="141"/>
      <c r="H106" s="141"/>
      <c r="I106" s="141"/>
      <c r="J106" s="6756" t="s">
        <v>10926</v>
      </c>
      <c r="K106" s="141"/>
      <c r="L106" s="141"/>
      <c r="M106" s="102"/>
      <c r="N106" s="97"/>
      <c r="O106" s="97"/>
      <c r="P106" s="97"/>
      <c r="Q106" s="97"/>
      <c r="R106" s="97"/>
      <c r="S106" s="97"/>
      <c r="T106" s="97"/>
      <c r="U106" s="97"/>
      <c r="V106" s="97"/>
      <c r="W106" s="97"/>
      <c r="X106" s="97"/>
      <c r="Y106" s="97"/>
      <c r="Z106" s="97"/>
      <c r="AA106" s="97"/>
      <c r="AB106" s="97"/>
      <c r="AC106" s="97"/>
      <c r="AD106" s="97"/>
      <c r="AE106" s="5">
        <v>1</v>
      </c>
    </row>
    <row r="107" spans="1:31">
      <c r="A107" s="97"/>
      <c r="B107" s="6848" t="s">
        <v>10927</v>
      </c>
      <c r="C107" s="141"/>
      <c r="D107" s="141"/>
      <c r="E107" s="141"/>
      <c r="F107" s="141" t="s">
        <v>10928</v>
      </c>
      <c r="G107" s="141"/>
      <c r="H107" s="141"/>
      <c r="I107" s="141"/>
      <c r="J107" s="141" t="s">
        <v>10929</v>
      </c>
      <c r="K107" s="141"/>
      <c r="L107" s="141"/>
      <c r="M107" s="102"/>
      <c r="N107" s="97"/>
      <c r="O107" s="97"/>
      <c r="P107" s="97"/>
      <c r="Q107" s="97"/>
      <c r="R107" s="97"/>
      <c r="S107" s="97"/>
      <c r="T107" s="97"/>
      <c r="U107" s="97"/>
      <c r="V107" s="97"/>
      <c r="W107" s="97"/>
      <c r="X107" s="97"/>
      <c r="Y107" s="97"/>
      <c r="Z107" s="97"/>
      <c r="AA107" s="97"/>
      <c r="AB107" s="97"/>
      <c r="AC107" s="97"/>
      <c r="AD107" s="97"/>
      <c r="AE107" s="5">
        <v>1</v>
      </c>
    </row>
    <row r="108" spans="1:31">
      <c r="A108" s="97"/>
      <c r="B108" s="6848" t="s">
        <v>10930</v>
      </c>
      <c r="C108" s="141"/>
      <c r="D108" s="141"/>
      <c r="E108" s="141"/>
      <c r="F108" s="141" t="s">
        <v>10931</v>
      </c>
      <c r="G108" s="141"/>
      <c r="H108" s="141"/>
      <c r="I108" s="141"/>
      <c r="J108" s="141" t="s">
        <v>10932</v>
      </c>
      <c r="K108" s="141"/>
      <c r="L108" s="141"/>
      <c r="M108" s="102"/>
      <c r="N108" s="97"/>
      <c r="O108" s="97"/>
      <c r="P108" s="97"/>
      <c r="Q108" s="97"/>
      <c r="R108" s="97"/>
      <c r="S108" s="97"/>
      <c r="T108" s="97"/>
      <c r="U108" s="97"/>
      <c r="V108" s="97"/>
      <c r="W108" s="97"/>
      <c r="X108" s="97"/>
      <c r="Y108" s="97"/>
      <c r="Z108" s="97"/>
      <c r="AA108" s="97"/>
      <c r="AB108" s="97"/>
      <c r="AC108" s="97"/>
      <c r="AD108" s="97"/>
      <c r="AE108" s="5">
        <v>1</v>
      </c>
    </row>
    <row r="109" spans="1:31">
      <c r="A109" s="97"/>
      <c r="B109" s="6850"/>
      <c r="C109" s="141"/>
      <c r="D109" s="141"/>
      <c r="E109" s="141"/>
      <c r="F109" s="141"/>
      <c r="G109" s="141"/>
      <c r="H109" s="141"/>
      <c r="I109" s="141"/>
      <c r="J109" s="141"/>
      <c r="K109" s="141"/>
      <c r="L109" s="141"/>
      <c r="M109" s="102"/>
      <c r="N109" s="97"/>
      <c r="O109" s="97"/>
      <c r="P109" s="97"/>
      <c r="Q109" s="97"/>
      <c r="R109" s="97"/>
      <c r="S109" s="97"/>
      <c r="T109" s="97"/>
      <c r="U109" s="97"/>
      <c r="V109" s="97"/>
      <c r="W109" s="97"/>
      <c r="X109" s="97"/>
      <c r="Y109" s="97"/>
      <c r="Z109" s="97"/>
      <c r="AA109" s="97"/>
      <c r="AB109" s="97"/>
      <c r="AC109" s="97"/>
      <c r="AD109" s="97"/>
      <c r="AE109" s="5">
        <v>1</v>
      </c>
    </row>
    <row r="110" spans="1:31">
      <c r="A110" s="97"/>
      <c r="B110" s="6848" t="s">
        <v>10933</v>
      </c>
      <c r="C110" s="141"/>
      <c r="D110" s="141"/>
      <c r="E110" s="141"/>
      <c r="F110" s="6756" t="s">
        <v>10934</v>
      </c>
      <c r="G110" s="141"/>
      <c r="H110" s="141"/>
      <c r="I110" s="141"/>
      <c r="J110" s="6756" t="s">
        <v>10935</v>
      </c>
      <c r="K110" s="141"/>
      <c r="L110" s="141"/>
      <c r="M110" s="102"/>
      <c r="N110" s="97"/>
      <c r="O110" s="97"/>
      <c r="P110" s="97"/>
      <c r="Q110" s="97"/>
      <c r="R110" s="97"/>
      <c r="S110" s="97"/>
      <c r="T110" s="97"/>
      <c r="U110" s="97"/>
      <c r="V110" s="97"/>
      <c r="W110" s="97"/>
      <c r="X110" s="97"/>
      <c r="Y110" s="97"/>
      <c r="Z110" s="97"/>
      <c r="AA110" s="97"/>
      <c r="AB110" s="97"/>
      <c r="AC110" s="97"/>
      <c r="AD110" s="97"/>
      <c r="AE110" s="5">
        <v>1</v>
      </c>
    </row>
    <row r="111" spans="1:31">
      <c r="A111" s="97"/>
      <c r="B111" s="4681"/>
      <c r="C111" s="141"/>
      <c r="D111" s="141"/>
      <c r="E111" s="141"/>
      <c r="F111" s="141"/>
      <c r="G111" s="141"/>
      <c r="H111" s="141"/>
      <c r="I111" s="141"/>
      <c r="J111" s="141"/>
      <c r="K111" s="141"/>
      <c r="L111" s="141"/>
      <c r="M111" s="102"/>
      <c r="N111" s="97"/>
      <c r="O111" s="97"/>
      <c r="P111" s="97"/>
      <c r="Q111" s="97"/>
      <c r="R111" s="97"/>
      <c r="S111" s="97"/>
      <c r="T111" s="97"/>
      <c r="U111" s="97"/>
      <c r="V111" s="97"/>
      <c r="W111" s="97"/>
      <c r="X111" s="97"/>
      <c r="Y111" s="97"/>
      <c r="Z111" s="97"/>
      <c r="AA111" s="97"/>
      <c r="AB111" s="97"/>
      <c r="AC111" s="97"/>
      <c r="AD111" s="97"/>
      <c r="AE111" s="5">
        <v>1</v>
      </c>
    </row>
    <row r="112" spans="1:31">
      <c r="A112" s="97"/>
      <c r="B112" s="4682" t="s">
        <v>10936</v>
      </c>
      <c r="C112" s="141"/>
      <c r="D112" s="141"/>
      <c r="E112" s="141"/>
      <c r="F112" s="6756" t="s">
        <v>10937</v>
      </c>
      <c r="G112" s="141"/>
      <c r="H112" s="141"/>
      <c r="I112" s="141"/>
      <c r="J112" s="6756" t="s">
        <v>10938</v>
      </c>
      <c r="K112" s="141"/>
      <c r="L112" s="141"/>
      <c r="M112" s="102"/>
      <c r="N112" s="97"/>
      <c r="O112" s="97"/>
      <c r="P112" s="97"/>
      <c r="Q112" s="97"/>
      <c r="R112" s="97"/>
      <c r="S112" s="97"/>
      <c r="T112" s="97"/>
      <c r="U112" s="97"/>
      <c r="V112" s="97"/>
      <c r="W112" s="97"/>
      <c r="X112" s="97"/>
      <c r="Y112" s="97"/>
      <c r="Z112" s="97"/>
      <c r="AA112" s="97"/>
      <c r="AB112" s="97"/>
      <c r="AC112" s="97"/>
      <c r="AD112" s="97"/>
      <c r="AE112" s="5">
        <v>1</v>
      </c>
    </row>
    <row r="113" spans="1:31">
      <c r="A113" s="97"/>
      <c r="B113" s="4681" t="s">
        <v>10939</v>
      </c>
      <c r="C113" s="141"/>
      <c r="D113" s="141"/>
      <c r="E113" s="141"/>
      <c r="F113" s="141" t="s">
        <v>10940</v>
      </c>
      <c r="G113" s="141"/>
      <c r="H113" s="141"/>
      <c r="I113" s="141"/>
      <c r="J113" s="141" t="s">
        <v>10941</v>
      </c>
      <c r="K113" s="141"/>
      <c r="L113" s="141"/>
      <c r="M113" s="102"/>
      <c r="N113" s="97"/>
      <c r="O113" s="97"/>
      <c r="P113" s="97"/>
      <c r="Q113" s="97"/>
      <c r="R113" s="97"/>
      <c r="S113" s="97"/>
      <c r="T113" s="97"/>
      <c r="U113" s="97"/>
      <c r="V113" s="97"/>
      <c r="W113" s="97"/>
      <c r="X113" s="97"/>
      <c r="Y113" s="97"/>
      <c r="Z113" s="97"/>
      <c r="AA113" s="97"/>
      <c r="AB113" s="97"/>
      <c r="AC113" s="97"/>
      <c r="AD113" s="97"/>
      <c r="AE113" s="5">
        <v>1</v>
      </c>
    </row>
    <row r="114" spans="1:31">
      <c r="A114" s="97"/>
      <c r="B114" s="4681"/>
      <c r="C114" s="141"/>
      <c r="D114" s="141"/>
      <c r="E114" s="141"/>
      <c r="F114" s="141"/>
      <c r="G114" s="141"/>
      <c r="H114" s="141"/>
      <c r="I114" s="141"/>
      <c r="J114" s="141"/>
      <c r="K114" s="141"/>
      <c r="L114" s="141"/>
      <c r="M114" s="102"/>
      <c r="N114" s="97"/>
      <c r="O114" s="97"/>
      <c r="P114" s="97"/>
      <c r="Q114" s="97"/>
      <c r="R114" s="97"/>
      <c r="S114" s="97"/>
      <c r="T114" s="97"/>
      <c r="U114" s="97"/>
      <c r="V114" s="97"/>
      <c r="W114" s="97"/>
      <c r="X114" s="97"/>
      <c r="Y114" s="97"/>
      <c r="Z114" s="97"/>
      <c r="AA114" s="97"/>
      <c r="AB114" s="97"/>
      <c r="AC114" s="97"/>
      <c r="AD114" s="97"/>
      <c r="AE114" s="5">
        <v>1</v>
      </c>
    </row>
    <row r="115" spans="1:31">
      <c r="A115" s="97"/>
      <c r="B115" s="4682" t="s">
        <v>10942</v>
      </c>
      <c r="C115" s="141"/>
      <c r="D115" s="141"/>
      <c r="E115" s="141"/>
      <c r="F115" s="6756" t="s">
        <v>10943</v>
      </c>
      <c r="G115" s="141"/>
      <c r="H115" s="141"/>
      <c r="I115" s="141"/>
      <c r="J115" s="6756" t="s">
        <v>10944</v>
      </c>
      <c r="K115" s="141"/>
      <c r="L115" s="141"/>
      <c r="M115" s="102"/>
      <c r="N115" s="97"/>
      <c r="O115" s="97"/>
      <c r="P115" s="97"/>
      <c r="Q115" s="97"/>
      <c r="R115" s="97"/>
      <c r="S115" s="97"/>
      <c r="T115" s="97"/>
      <c r="U115" s="97"/>
      <c r="V115" s="97"/>
      <c r="W115" s="97"/>
      <c r="X115" s="97"/>
      <c r="Y115" s="97"/>
      <c r="Z115" s="97"/>
      <c r="AA115" s="97"/>
      <c r="AB115" s="97"/>
      <c r="AC115" s="97"/>
      <c r="AD115" s="97"/>
      <c r="AE115" s="5">
        <v>1</v>
      </c>
    </row>
    <row r="116" spans="1:31">
      <c r="A116" s="97"/>
      <c r="B116" s="4681" t="s">
        <v>10945</v>
      </c>
      <c r="C116" s="141"/>
      <c r="D116" s="141"/>
      <c r="E116" s="141"/>
      <c r="F116" s="141" t="s">
        <v>10946</v>
      </c>
      <c r="G116" s="141"/>
      <c r="H116" s="141"/>
      <c r="I116" s="141"/>
      <c r="J116" s="141" t="s">
        <v>10947</v>
      </c>
      <c r="K116" s="141"/>
      <c r="L116" s="141"/>
      <c r="M116" s="102"/>
      <c r="N116" s="97"/>
      <c r="O116" s="97"/>
      <c r="P116" s="97"/>
      <c r="Q116" s="97"/>
      <c r="R116" s="97"/>
      <c r="S116" s="97"/>
      <c r="T116" s="97"/>
      <c r="U116" s="97"/>
      <c r="V116" s="97"/>
      <c r="W116" s="97"/>
      <c r="X116" s="97"/>
      <c r="Y116" s="97"/>
      <c r="Z116" s="97"/>
      <c r="AA116" s="97"/>
      <c r="AB116" s="97"/>
      <c r="AC116" s="97"/>
      <c r="AD116" s="97"/>
      <c r="AE116" s="5">
        <v>1</v>
      </c>
    </row>
    <row r="117" spans="1:31">
      <c r="A117" s="97"/>
      <c r="B117" s="4681" t="s">
        <v>10948</v>
      </c>
      <c r="C117" s="141"/>
      <c r="D117" s="141"/>
      <c r="E117" s="141"/>
      <c r="F117" s="141" t="s">
        <v>10949</v>
      </c>
      <c r="G117" s="141"/>
      <c r="H117" s="141"/>
      <c r="I117" s="141"/>
      <c r="J117" s="141" t="s">
        <v>10950</v>
      </c>
      <c r="K117" s="141"/>
      <c r="L117" s="141"/>
      <c r="M117" s="102"/>
      <c r="N117" s="97"/>
      <c r="O117" s="97"/>
      <c r="P117" s="97"/>
      <c r="Q117" s="97"/>
      <c r="R117" s="97"/>
      <c r="S117" s="97"/>
      <c r="T117" s="97"/>
      <c r="U117" s="97"/>
      <c r="V117" s="97"/>
      <c r="W117" s="97"/>
      <c r="X117" s="97"/>
      <c r="Y117" s="97"/>
      <c r="Z117" s="97"/>
      <c r="AA117" s="97"/>
      <c r="AB117" s="97"/>
      <c r="AC117" s="97"/>
      <c r="AD117" s="97"/>
      <c r="AE117" s="5">
        <v>1</v>
      </c>
    </row>
    <row r="118" spans="1:31">
      <c r="A118" s="97"/>
      <c r="B118" s="4681"/>
      <c r="C118" s="141"/>
      <c r="D118" s="141"/>
      <c r="E118" s="141"/>
      <c r="F118" s="141"/>
      <c r="G118" s="141"/>
      <c r="H118" s="141"/>
      <c r="I118" s="141"/>
      <c r="J118" s="141"/>
      <c r="K118" s="141"/>
      <c r="L118" s="141"/>
      <c r="M118" s="102"/>
      <c r="N118" s="97"/>
      <c r="O118" s="97"/>
      <c r="P118" s="97"/>
      <c r="Q118" s="97"/>
      <c r="R118" s="97"/>
      <c r="S118" s="97"/>
      <c r="T118" s="97"/>
      <c r="U118" s="97"/>
      <c r="V118" s="97"/>
      <c r="W118" s="97"/>
      <c r="X118" s="97"/>
      <c r="Y118" s="97"/>
      <c r="Z118" s="97"/>
      <c r="AA118" s="97"/>
      <c r="AB118" s="97"/>
      <c r="AC118" s="97"/>
      <c r="AD118" s="97"/>
      <c r="AE118" s="5">
        <v>1</v>
      </c>
    </row>
    <row r="119" spans="1:31">
      <c r="A119" s="97"/>
      <c r="B119" s="6850" t="s">
        <v>10951</v>
      </c>
      <c r="C119" s="141"/>
      <c r="D119" s="141"/>
      <c r="E119" s="141"/>
      <c r="F119" s="141" t="s">
        <v>10952</v>
      </c>
      <c r="G119" s="141"/>
      <c r="H119" s="141"/>
      <c r="I119" s="141"/>
      <c r="J119" s="141" t="s">
        <v>10953</v>
      </c>
      <c r="K119" s="141"/>
      <c r="L119" s="141"/>
      <c r="M119" s="102"/>
      <c r="N119" s="97"/>
      <c r="O119" s="97"/>
      <c r="P119" s="97"/>
      <c r="Q119" s="97"/>
      <c r="R119" s="97"/>
      <c r="S119" s="97"/>
      <c r="T119" s="97"/>
      <c r="U119" s="97"/>
      <c r="V119" s="97"/>
      <c r="W119" s="97"/>
      <c r="X119" s="97"/>
      <c r="Y119" s="97"/>
      <c r="Z119" s="97"/>
      <c r="AA119" s="97"/>
      <c r="AB119" s="97"/>
      <c r="AC119" s="97"/>
      <c r="AD119" s="97"/>
      <c r="AE119" s="5">
        <v>1</v>
      </c>
    </row>
    <row r="120" spans="1:31">
      <c r="A120" s="97"/>
      <c r="B120" s="6850" t="s">
        <v>10954</v>
      </c>
      <c r="C120" s="141"/>
      <c r="D120" s="141"/>
      <c r="E120" s="141"/>
      <c r="F120" s="141" t="s">
        <v>10955</v>
      </c>
      <c r="G120" s="141"/>
      <c r="H120" s="141"/>
      <c r="I120" s="141"/>
      <c r="J120" s="141" t="s">
        <v>10956</v>
      </c>
      <c r="K120" s="141"/>
      <c r="L120" s="141"/>
      <c r="M120" s="102"/>
      <c r="N120" s="97"/>
      <c r="O120" s="97"/>
      <c r="P120" s="97"/>
      <c r="Q120" s="97"/>
      <c r="R120" s="97"/>
      <c r="S120" s="97"/>
      <c r="T120" s="97"/>
      <c r="U120" s="97"/>
      <c r="V120" s="97"/>
      <c r="W120" s="97"/>
      <c r="X120" s="97"/>
      <c r="Y120" s="97"/>
      <c r="Z120" s="97"/>
      <c r="AA120" s="97"/>
      <c r="AB120" s="97"/>
      <c r="AC120" s="97"/>
      <c r="AD120" s="97"/>
      <c r="AE120" s="5">
        <v>1</v>
      </c>
    </row>
    <row r="121" spans="1:31">
      <c r="A121" s="97"/>
      <c r="B121" s="4682" t="s">
        <v>10957</v>
      </c>
      <c r="C121" s="141"/>
      <c r="D121" s="141"/>
      <c r="E121" s="141"/>
      <c r="F121" s="6756" t="s">
        <v>10958</v>
      </c>
      <c r="G121" s="141"/>
      <c r="H121" s="141"/>
      <c r="I121" s="141"/>
      <c r="J121" s="6756" t="s">
        <v>10959</v>
      </c>
      <c r="K121" s="141"/>
      <c r="L121" s="141"/>
      <c r="M121" s="102"/>
      <c r="N121" s="97"/>
      <c r="O121" s="97"/>
      <c r="P121" s="97"/>
      <c r="Q121" s="97"/>
      <c r="R121" s="97"/>
      <c r="S121" s="97"/>
      <c r="T121" s="97"/>
      <c r="U121" s="97"/>
      <c r="V121" s="97"/>
      <c r="W121" s="97"/>
      <c r="X121" s="97"/>
      <c r="Y121" s="97"/>
      <c r="Z121" s="97"/>
      <c r="AA121" s="97"/>
      <c r="AB121" s="97"/>
      <c r="AC121" s="97"/>
      <c r="AD121" s="97"/>
      <c r="AE121" s="5">
        <v>1</v>
      </c>
    </row>
    <row r="122" spans="1:31">
      <c r="A122" s="97"/>
      <c r="B122" s="141"/>
      <c r="C122" s="141"/>
      <c r="D122" s="141"/>
      <c r="E122" s="141"/>
      <c r="F122" s="141"/>
      <c r="G122" s="141"/>
      <c r="H122" s="141"/>
      <c r="I122" s="141"/>
      <c r="J122" s="141"/>
      <c r="K122" s="141"/>
      <c r="L122" s="141"/>
      <c r="M122" s="102"/>
      <c r="N122" s="97"/>
      <c r="O122" s="97"/>
      <c r="P122" s="97"/>
      <c r="Q122" s="97"/>
      <c r="R122" s="97"/>
      <c r="S122" s="97"/>
      <c r="T122" s="97"/>
      <c r="U122" s="97"/>
      <c r="V122" s="97"/>
      <c r="W122" s="97"/>
      <c r="X122" s="97"/>
      <c r="Y122" s="97"/>
      <c r="Z122" s="97"/>
      <c r="AA122" s="97"/>
      <c r="AB122" s="97"/>
      <c r="AC122" s="97"/>
      <c r="AD122" s="97"/>
      <c r="AE122" s="5">
        <v>1</v>
      </c>
    </row>
    <row r="123" spans="1:31" ht="18.75">
      <c r="A123" s="97"/>
      <c r="B123" s="450" t="s">
        <v>10960</v>
      </c>
      <c r="C123" s="141"/>
      <c r="D123" s="141"/>
      <c r="E123" s="141"/>
      <c r="F123" s="450" t="s">
        <v>10961</v>
      </c>
      <c r="G123" s="141"/>
      <c r="H123" s="141"/>
      <c r="I123" s="141"/>
      <c r="J123" s="450" t="s">
        <v>10962</v>
      </c>
      <c r="K123" s="141"/>
      <c r="L123" s="141"/>
      <c r="M123" s="102"/>
      <c r="N123" s="97"/>
      <c r="O123" s="97"/>
      <c r="P123" s="97"/>
      <c r="Q123" s="97"/>
      <c r="R123" s="97"/>
      <c r="S123" s="97"/>
      <c r="T123" s="97"/>
      <c r="U123" s="97"/>
      <c r="V123" s="97"/>
      <c r="W123" s="97"/>
      <c r="X123" s="97"/>
      <c r="Y123" s="97"/>
      <c r="Z123" s="97"/>
      <c r="AA123" s="97"/>
      <c r="AB123" s="97"/>
      <c r="AC123" s="97"/>
      <c r="AD123" s="97"/>
      <c r="AE123" s="5">
        <v>1</v>
      </c>
    </row>
    <row r="124" spans="1:31">
      <c r="A124" s="97"/>
      <c r="B124" s="141"/>
      <c r="C124" s="141"/>
      <c r="D124" s="141"/>
      <c r="E124" s="141"/>
      <c r="F124" s="141"/>
      <c r="G124" s="141"/>
      <c r="H124" s="141"/>
      <c r="I124" s="141"/>
      <c r="J124" s="141"/>
      <c r="K124" s="141"/>
      <c r="L124" s="141"/>
      <c r="M124" s="102"/>
      <c r="N124" s="97"/>
      <c r="O124" s="97"/>
      <c r="P124" s="97"/>
      <c r="Q124" s="97"/>
      <c r="R124" s="97"/>
      <c r="S124" s="97"/>
      <c r="T124" s="97"/>
      <c r="U124" s="97"/>
      <c r="V124" s="97"/>
      <c r="W124" s="97"/>
      <c r="X124" s="97"/>
      <c r="Y124" s="97"/>
      <c r="Z124" s="97"/>
      <c r="AA124" s="97"/>
      <c r="AB124" s="97"/>
      <c r="AC124" s="97"/>
      <c r="AD124" s="97"/>
      <c r="AE124" s="5">
        <v>1</v>
      </c>
    </row>
    <row r="125" spans="1:31">
      <c r="A125" s="97"/>
      <c r="B125" s="4682" t="s">
        <v>10963</v>
      </c>
      <c r="C125" s="141"/>
      <c r="D125" s="141"/>
      <c r="E125" s="141"/>
      <c r="F125" s="6756" t="s">
        <v>10964</v>
      </c>
      <c r="G125" s="141"/>
      <c r="H125" s="141"/>
      <c r="I125" s="141"/>
      <c r="J125" s="6756" t="s">
        <v>10965</v>
      </c>
      <c r="K125" s="141"/>
      <c r="L125" s="141"/>
      <c r="M125" s="102"/>
      <c r="N125" s="97"/>
      <c r="O125" s="97"/>
      <c r="P125" s="97"/>
      <c r="Q125" s="97"/>
      <c r="R125" s="97"/>
      <c r="S125" s="97"/>
      <c r="T125" s="97"/>
      <c r="U125" s="97"/>
      <c r="V125" s="97"/>
      <c r="W125" s="97"/>
      <c r="X125" s="97"/>
      <c r="Y125" s="97"/>
      <c r="Z125" s="97"/>
      <c r="AA125" s="97"/>
      <c r="AB125" s="97"/>
      <c r="AC125" s="97"/>
      <c r="AD125" s="97"/>
      <c r="AE125" s="5">
        <v>1</v>
      </c>
    </row>
    <row r="126" spans="1:31">
      <c r="A126" s="97"/>
      <c r="B126" s="6852" t="s">
        <v>10966</v>
      </c>
      <c r="C126" s="141"/>
      <c r="D126" s="141"/>
      <c r="E126" s="141"/>
      <c r="F126" s="6756" t="s">
        <v>10967</v>
      </c>
      <c r="G126" s="141"/>
      <c r="H126" s="141"/>
      <c r="I126" s="141"/>
      <c r="J126" s="6756" t="s">
        <v>10968</v>
      </c>
      <c r="K126" s="141"/>
      <c r="L126" s="141"/>
      <c r="M126" s="102"/>
      <c r="N126" s="97"/>
      <c r="O126" s="97"/>
      <c r="P126" s="97"/>
      <c r="Q126" s="97"/>
      <c r="R126" s="97"/>
      <c r="S126" s="97"/>
      <c r="T126" s="97"/>
      <c r="U126" s="97"/>
      <c r="V126" s="97"/>
      <c r="W126" s="97"/>
      <c r="X126" s="97"/>
      <c r="Y126" s="97"/>
      <c r="Z126" s="97"/>
      <c r="AA126" s="97"/>
      <c r="AB126" s="97"/>
      <c r="AC126" s="97"/>
      <c r="AD126" s="97"/>
      <c r="AE126" s="5">
        <v>1</v>
      </c>
    </row>
    <row r="127" spans="1:31">
      <c r="A127" s="97"/>
      <c r="B127" s="4681"/>
      <c r="C127" s="141"/>
      <c r="D127" s="141"/>
      <c r="E127" s="141"/>
      <c r="F127" s="141"/>
      <c r="G127" s="141"/>
      <c r="H127" s="141"/>
      <c r="I127" s="141"/>
      <c r="J127" s="141"/>
      <c r="K127" s="141"/>
      <c r="L127" s="141"/>
      <c r="M127" s="102"/>
      <c r="N127" s="97"/>
      <c r="O127" s="97"/>
      <c r="P127" s="97"/>
      <c r="Q127" s="97"/>
      <c r="R127" s="97"/>
      <c r="S127" s="97"/>
      <c r="T127" s="97"/>
      <c r="U127" s="97"/>
      <c r="V127" s="97"/>
      <c r="W127" s="97"/>
      <c r="X127" s="97"/>
      <c r="Y127" s="97"/>
      <c r="Z127" s="97"/>
      <c r="AA127" s="97"/>
      <c r="AB127" s="97"/>
      <c r="AC127" s="97"/>
      <c r="AD127" s="97"/>
      <c r="AE127" s="5">
        <v>1</v>
      </c>
    </row>
    <row r="128" spans="1:31">
      <c r="A128" s="97"/>
      <c r="B128" s="4682" t="s">
        <v>10969</v>
      </c>
      <c r="C128" s="141"/>
      <c r="D128" s="141"/>
      <c r="E128" s="141"/>
      <c r="F128" s="6756" t="s">
        <v>10970</v>
      </c>
      <c r="G128" s="141"/>
      <c r="H128" s="141"/>
      <c r="I128" s="141"/>
      <c r="J128" s="6756" t="s">
        <v>10971</v>
      </c>
      <c r="K128" s="141"/>
      <c r="L128" s="141"/>
      <c r="M128" s="102"/>
      <c r="N128" s="97"/>
      <c r="O128" s="97"/>
      <c r="P128" s="97"/>
      <c r="Q128" s="97"/>
      <c r="R128" s="97"/>
      <c r="S128" s="97"/>
      <c r="T128" s="97"/>
      <c r="U128" s="97"/>
      <c r="V128" s="97"/>
      <c r="W128" s="97"/>
      <c r="X128" s="97"/>
      <c r="Y128" s="97"/>
      <c r="Z128" s="97"/>
      <c r="AA128" s="97"/>
      <c r="AB128" s="97"/>
      <c r="AC128" s="97"/>
      <c r="AD128" s="97"/>
      <c r="AE128" s="5">
        <v>1</v>
      </c>
    </row>
    <row r="129" spans="1:31">
      <c r="A129" s="97"/>
      <c r="B129" s="4681"/>
      <c r="C129" s="141"/>
      <c r="D129" s="141"/>
      <c r="E129" s="141"/>
      <c r="F129" s="141"/>
      <c r="G129" s="141"/>
      <c r="H129" s="141"/>
      <c r="I129" s="141"/>
      <c r="J129" s="141"/>
      <c r="K129" s="141"/>
      <c r="L129" s="141"/>
      <c r="M129" s="102"/>
      <c r="N129" s="97"/>
      <c r="O129" s="97"/>
      <c r="P129" s="97"/>
      <c r="Q129" s="97"/>
      <c r="R129" s="97"/>
      <c r="S129" s="97"/>
      <c r="T129" s="97"/>
      <c r="U129" s="97"/>
      <c r="V129" s="97"/>
      <c r="W129" s="97"/>
      <c r="X129" s="97"/>
      <c r="Y129" s="97"/>
      <c r="Z129" s="97"/>
      <c r="AA129" s="97"/>
      <c r="AB129" s="97"/>
      <c r="AC129" s="97"/>
      <c r="AD129" s="97"/>
      <c r="AE129" s="5">
        <v>1</v>
      </c>
    </row>
    <row r="130" spans="1:31">
      <c r="A130" s="97"/>
      <c r="B130" s="4682" t="s">
        <v>10972</v>
      </c>
      <c r="C130" s="141"/>
      <c r="D130" s="141"/>
      <c r="E130" s="141"/>
      <c r="F130" s="6756" t="s">
        <v>10973</v>
      </c>
      <c r="G130" s="141"/>
      <c r="H130" s="141"/>
      <c r="I130" s="141"/>
      <c r="J130" s="6756" t="s">
        <v>10974</v>
      </c>
      <c r="K130" s="141"/>
      <c r="L130" s="141"/>
      <c r="M130" s="102"/>
      <c r="N130" s="97"/>
      <c r="O130" s="97"/>
      <c r="P130" s="97"/>
      <c r="Q130" s="97"/>
      <c r="R130" s="97"/>
      <c r="S130" s="97"/>
      <c r="T130" s="97"/>
      <c r="U130" s="97"/>
      <c r="V130" s="97"/>
      <c r="W130" s="97"/>
      <c r="X130" s="97"/>
      <c r="Y130" s="97"/>
      <c r="Z130" s="97"/>
      <c r="AA130" s="97"/>
      <c r="AB130" s="97"/>
      <c r="AC130" s="97"/>
      <c r="AD130" s="97"/>
      <c r="AE130" s="5">
        <v>1</v>
      </c>
    </row>
    <row r="131" spans="1:31">
      <c r="A131" s="97"/>
      <c r="B131" s="4681"/>
      <c r="C131" s="141"/>
      <c r="D131" s="141"/>
      <c r="E131" s="141"/>
      <c r="F131" s="141"/>
      <c r="G131" s="141"/>
      <c r="H131" s="141"/>
      <c r="I131" s="141"/>
      <c r="J131" s="141"/>
      <c r="K131" s="141"/>
      <c r="L131" s="141"/>
      <c r="M131" s="102"/>
      <c r="N131" s="97"/>
      <c r="O131" s="97"/>
      <c r="P131" s="97"/>
      <c r="Q131" s="97"/>
      <c r="R131" s="97"/>
      <c r="S131" s="97"/>
      <c r="T131" s="97"/>
      <c r="U131" s="97"/>
      <c r="V131" s="97"/>
      <c r="W131" s="97"/>
      <c r="X131" s="97"/>
      <c r="Y131" s="97"/>
      <c r="Z131" s="97"/>
      <c r="AA131" s="97"/>
      <c r="AB131" s="97"/>
      <c r="AC131" s="97"/>
      <c r="AD131" s="97"/>
      <c r="AE131" s="5">
        <v>1</v>
      </c>
    </row>
    <row r="132" spans="1:31">
      <c r="A132" s="97"/>
      <c r="B132" s="4682" t="s">
        <v>10975</v>
      </c>
      <c r="C132" s="141"/>
      <c r="D132" s="141"/>
      <c r="E132" s="141"/>
      <c r="F132" s="6756" t="s">
        <v>10976</v>
      </c>
      <c r="G132" s="141"/>
      <c r="H132" s="141"/>
      <c r="I132" s="141"/>
      <c r="J132" s="6756" t="s">
        <v>10977</v>
      </c>
      <c r="K132" s="141"/>
      <c r="L132" s="141"/>
      <c r="M132" s="102"/>
      <c r="N132" s="97"/>
      <c r="O132" s="97"/>
      <c r="P132" s="97"/>
      <c r="Q132" s="97"/>
      <c r="R132" s="97"/>
      <c r="S132" s="97"/>
      <c r="T132" s="97"/>
      <c r="U132" s="97"/>
      <c r="V132" s="97"/>
      <c r="W132" s="97"/>
      <c r="X132" s="97"/>
      <c r="Y132" s="97"/>
      <c r="Z132" s="97"/>
      <c r="AA132" s="97"/>
      <c r="AB132" s="97"/>
      <c r="AC132" s="97"/>
      <c r="AD132" s="97"/>
      <c r="AE132" s="5">
        <v>1</v>
      </c>
    </row>
    <row r="133" spans="1:31">
      <c r="A133" s="97"/>
      <c r="B133" s="4681"/>
      <c r="C133" s="141"/>
      <c r="D133" s="141"/>
      <c r="E133" s="141"/>
      <c r="F133" s="141"/>
      <c r="G133" s="141"/>
      <c r="H133" s="141"/>
      <c r="I133" s="141"/>
      <c r="J133" s="141"/>
      <c r="K133" s="141"/>
      <c r="L133" s="141"/>
      <c r="M133" s="102"/>
      <c r="N133" s="97"/>
      <c r="O133" s="97"/>
      <c r="P133" s="97"/>
      <c r="Q133" s="97"/>
      <c r="R133" s="97"/>
      <c r="S133" s="97"/>
      <c r="T133" s="97"/>
      <c r="U133" s="97"/>
      <c r="V133" s="97"/>
      <c r="W133" s="97"/>
      <c r="X133" s="97"/>
      <c r="Y133" s="97"/>
      <c r="Z133" s="97"/>
      <c r="AA133" s="97"/>
      <c r="AB133" s="97"/>
      <c r="AC133" s="97"/>
      <c r="AD133" s="97"/>
      <c r="AE133" s="5">
        <v>1</v>
      </c>
    </row>
    <row r="134" spans="1:31">
      <c r="A134" s="97"/>
      <c r="B134" s="4682" t="s">
        <v>10978</v>
      </c>
      <c r="C134" s="141"/>
      <c r="D134" s="141"/>
      <c r="E134" s="141"/>
      <c r="F134" s="6756" t="s">
        <v>10979</v>
      </c>
      <c r="G134" s="141"/>
      <c r="H134" s="141"/>
      <c r="I134" s="141"/>
      <c r="J134" s="6756" t="s">
        <v>10980</v>
      </c>
      <c r="K134" s="141"/>
      <c r="L134" s="141"/>
      <c r="M134" s="102"/>
      <c r="N134" s="97"/>
      <c r="O134" s="97"/>
      <c r="P134" s="97"/>
      <c r="Q134" s="97"/>
      <c r="R134" s="97"/>
      <c r="S134" s="97"/>
      <c r="T134" s="97"/>
      <c r="U134" s="97"/>
      <c r="V134" s="97"/>
      <c r="W134" s="97"/>
      <c r="X134" s="97"/>
      <c r="Y134" s="97"/>
      <c r="Z134" s="97"/>
      <c r="AA134" s="97"/>
      <c r="AB134" s="97"/>
      <c r="AC134" s="97"/>
      <c r="AD134" s="97"/>
      <c r="AE134" s="5">
        <v>1</v>
      </c>
    </row>
    <row r="135" spans="1:31">
      <c r="A135" s="97"/>
      <c r="B135" s="4681"/>
      <c r="C135" s="141"/>
      <c r="D135" s="141"/>
      <c r="E135" s="141"/>
      <c r="F135" s="141"/>
      <c r="G135" s="141"/>
      <c r="H135" s="141"/>
      <c r="I135" s="141"/>
      <c r="J135" s="141"/>
      <c r="K135" s="141"/>
      <c r="L135" s="141"/>
      <c r="M135" s="102"/>
      <c r="N135" s="97"/>
      <c r="O135" s="97"/>
      <c r="P135" s="97"/>
      <c r="Q135" s="97"/>
      <c r="R135" s="97"/>
      <c r="S135" s="97"/>
      <c r="T135" s="97"/>
      <c r="U135" s="97"/>
      <c r="V135" s="97"/>
      <c r="W135" s="97"/>
      <c r="X135" s="97"/>
      <c r="Y135" s="97"/>
      <c r="Z135" s="97"/>
      <c r="AA135" s="97"/>
      <c r="AB135" s="97"/>
      <c r="AC135" s="97"/>
      <c r="AD135" s="97"/>
      <c r="AE135" s="5">
        <v>1</v>
      </c>
    </row>
    <row r="136" spans="1:31">
      <c r="A136" s="97"/>
      <c r="B136" s="4682" t="s">
        <v>10981</v>
      </c>
      <c r="C136" s="141"/>
      <c r="D136" s="141"/>
      <c r="E136" s="141"/>
      <c r="F136" s="6756" t="s">
        <v>10982</v>
      </c>
      <c r="G136" s="141"/>
      <c r="H136" s="141"/>
      <c r="I136" s="141"/>
      <c r="J136" s="6756" t="s">
        <v>10983</v>
      </c>
      <c r="K136" s="141"/>
      <c r="L136" s="141"/>
      <c r="M136" s="102"/>
      <c r="N136" s="97"/>
      <c r="O136" s="97"/>
      <c r="P136" s="97"/>
      <c r="Q136" s="97"/>
      <c r="R136" s="97"/>
      <c r="S136" s="97"/>
      <c r="T136" s="97"/>
      <c r="U136" s="97"/>
      <c r="V136" s="97"/>
      <c r="W136" s="97"/>
      <c r="X136" s="97"/>
      <c r="Y136" s="97"/>
      <c r="Z136" s="97"/>
      <c r="AA136" s="97"/>
      <c r="AB136" s="97"/>
      <c r="AC136" s="97"/>
      <c r="AD136" s="97"/>
      <c r="AE136" s="5">
        <v>1</v>
      </c>
    </row>
    <row r="137" spans="1:31">
      <c r="A137" s="97"/>
      <c r="B137" s="6852" t="s">
        <v>10984</v>
      </c>
      <c r="C137" s="141"/>
      <c r="D137" s="141"/>
      <c r="E137" s="141"/>
      <c r="F137" s="6756" t="s">
        <v>10985</v>
      </c>
      <c r="G137" s="141"/>
      <c r="H137" s="141"/>
      <c r="I137" s="141"/>
      <c r="J137" s="6756" t="s">
        <v>10986</v>
      </c>
      <c r="K137" s="141"/>
      <c r="L137" s="141"/>
      <c r="M137" s="102"/>
      <c r="N137" s="97"/>
      <c r="O137" s="97"/>
      <c r="P137" s="97"/>
      <c r="Q137" s="97"/>
      <c r="R137" s="97"/>
      <c r="S137" s="97"/>
      <c r="T137" s="97"/>
      <c r="U137" s="97"/>
      <c r="V137" s="97"/>
      <c r="W137" s="97"/>
      <c r="X137" s="97"/>
      <c r="Y137" s="97"/>
      <c r="Z137" s="97"/>
      <c r="AA137" s="97"/>
      <c r="AB137" s="97"/>
      <c r="AC137" s="97"/>
      <c r="AD137" s="97"/>
      <c r="AE137" s="5">
        <v>1</v>
      </c>
    </row>
    <row r="138" spans="1:31">
      <c r="A138" s="97"/>
      <c r="B138" s="6852" t="s">
        <v>10987</v>
      </c>
      <c r="C138" s="141"/>
      <c r="D138" s="141"/>
      <c r="E138" s="141"/>
      <c r="F138" s="6756" t="s">
        <v>10988</v>
      </c>
      <c r="G138" s="141"/>
      <c r="H138" s="141"/>
      <c r="I138" s="141"/>
      <c r="J138" s="6756" t="s">
        <v>10989</v>
      </c>
      <c r="K138" s="141"/>
      <c r="L138" s="141"/>
      <c r="M138" s="102"/>
      <c r="N138" s="97"/>
      <c r="O138" s="97"/>
      <c r="P138" s="97"/>
      <c r="Q138" s="97"/>
      <c r="R138" s="97"/>
      <c r="S138" s="97"/>
      <c r="T138" s="97"/>
      <c r="U138" s="97"/>
      <c r="V138" s="97"/>
      <c r="W138" s="97"/>
      <c r="X138" s="97"/>
      <c r="Y138" s="97"/>
      <c r="Z138" s="97"/>
      <c r="AA138" s="97"/>
      <c r="AB138" s="97"/>
      <c r="AC138" s="97"/>
      <c r="AD138" s="97"/>
      <c r="AE138" s="5">
        <v>1</v>
      </c>
    </row>
    <row r="139" spans="1:31">
      <c r="A139" s="97"/>
      <c r="B139" s="141"/>
      <c r="C139" s="141"/>
      <c r="D139" s="141"/>
      <c r="E139" s="141"/>
      <c r="F139" s="141"/>
      <c r="G139" s="141"/>
      <c r="H139" s="141"/>
      <c r="I139" s="141"/>
      <c r="J139" s="141"/>
      <c r="K139" s="141"/>
      <c r="L139" s="141"/>
      <c r="M139" s="102"/>
      <c r="N139" s="97"/>
      <c r="O139" s="97"/>
      <c r="P139" s="97"/>
      <c r="Q139" s="97"/>
      <c r="R139" s="97"/>
      <c r="S139" s="97"/>
      <c r="T139" s="97"/>
      <c r="U139" s="97"/>
      <c r="V139" s="97"/>
      <c r="W139" s="97"/>
      <c r="X139" s="97"/>
      <c r="Y139" s="97"/>
      <c r="Z139" s="97"/>
      <c r="AA139" s="97"/>
      <c r="AB139" s="97"/>
      <c r="AC139" s="97"/>
      <c r="AD139" s="97"/>
      <c r="AE139" s="5">
        <v>1</v>
      </c>
    </row>
    <row r="140" spans="1:31" ht="23.25">
      <c r="A140" s="97"/>
      <c r="B140" s="4680" t="s">
        <v>6604</v>
      </c>
      <c r="C140" s="141"/>
      <c r="D140" s="141"/>
      <c r="E140" s="141"/>
      <c r="F140" s="4680" t="s">
        <v>10990</v>
      </c>
      <c r="G140" s="141"/>
      <c r="H140" s="141"/>
      <c r="I140" s="141"/>
      <c r="J140" s="4680" t="s">
        <v>10991</v>
      </c>
      <c r="K140" s="141"/>
      <c r="L140" s="141"/>
      <c r="M140" s="102"/>
      <c r="N140" s="97"/>
      <c r="O140" s="97"/>
      <c r="P140" s="97"/>
      <c r="Q140" s="97"/>
      <c r="R140" s="97"/>
      <c r="S140" s="97"/>
      <c r="T140" s="97"/>
      <c r="U140" s="97"/>
      <c r="V140" s="97"/>
      <c r="W140" s="97"/>
      <c r="X140" s="97"/>
      <c r="Y140" s="97"/>
      <c r="Z140" s="97"/>
      <c r="AA140" s="97"/>
      <c r="AB140" s="97"/>
      <c r="AC140" s="97"/>
      <c r="AD140" s="97"/>
      <c r="AE140" s="5">
        <v>1</v>
      </c>
    </row>
    <row r="141" spans="1:31">
      <c r="A141" s="97"/>
      <c r="B141" s="4681"/>
      <c r="C141" s="141"/>
      <c r="D141" s="141"/>
      <c r="E141" s="141"/>
      <c r="F141" s="141"/>
      <c r="G141" s="141"/>
      <c r="H141" s="141"/>
      <c r="I141" s="141"/>
      <c r="J141" s="141"/>
      <c r="K141" s="141"/>
      <c r="L141" s="141"/>
      <c r="M141" s="102"/>
      <c r="N141" s="97"/>
      <c r="O141" s="97"/>
      <c r="P141" s="97"/>
      <c r="Q141" s="97"/>
      <c r="R141" s="97"/>
      <c r="S141" s="97"/>
      <c r="T141" s="97"/>
      <c r="U141" s="97"/>
      <c r="V141" s="97"/>
      <c r="W141" s="97"/>
      <c r="X141" s="97"/>
      <c r="Y141" s="97"/>
      <c r="Z141" s="97"/>
      <c r="AA141" s="97"/>
      <c r="AB141" s="97"/>
      <c r="AC141" s="97"/>
      <c r="AD141" s="97"/>
      <c r="AE141" s="5">
        <v>1</v>
      </c>
    </row>
    <row r="142" spans="1:31">
      <c r="A142" s="97"/>
      <c r="B142" s="4681" t="s">
        <v>10992</v>
      </c>
      <c r="C142" s="141"/>
      <c r="D142" s="141"/>
      <c r="E142" s="141"/>
      <c r="F142" s="141" t="s">
        <v>10993</v>
      </c>
      <c r="G142" s="141"/>
      <c r="H142" s="141"/>
      <c r="I142" s="141"/>
      <c r="J142" s="141" t="s">
        <v>10993</v>
      </c>
      <c r="K142" s="141"/>
      <c r="L142" s="141"/>
      <c r="M142" s="102"/>
      <c r="N142" s="97"/>
      <c r="O142" s="97"/>
      <c r="P142" s="97"/>
      <c r="Q142" s="97"/>
      <c r="R142" s="97"/>
      <c r="S142" s="97"/>
      <c r="T142" s="97"/>
      <c r="U142" s="97"/>
      <c r="V142" s="97"/>
      <c r="W142" s="97"/>
      <c r="X142" s="97"/>
      <c r="Y142" s="97"/>
      <c r="Z142" s="97"/>
      <c r="AA142" s="97"/>
      <c r="AB142" s="97"/>
      <c r="AC142" s="97"/>
      <c r="AD142" s="97"/>
      <c r="AE142" s="5">
        <v>1</v>
      </c>
    </row>
    <row r="143" spans="1:31">
      <c r="A143" s="97"/>
      <c r="B143" s="4681" t="s">
        <v>10994</v>
      </c>
      <c r="C143" s="141"/>
      <c r="D143" s="141"/>
      <c r="E143" s="141"/>
      <c r="F143" s="141" t="s">
        <v>10995</v>
      </c>
      <c r="G143" s="141"/>
      <c r="H143" s="141"/>
      <c r="I143" s="141"/>
      <c r="J143" s="141" t="s">
        <v>10996</v>
      </c>
      <c r="K143" s="141"/>
      <c r="L143" s="141"/>
      <c r="M143" s="102"/>
      <c r="N143" s="97"/>
      <c r="O143" s="97"/>
      <c r="P143" s="97"/>
      <c r="Q143" s="97"/>
      <c r="R143" s="97"/>
      <c r="S143" s="97"/>
      <c r="T143" s="97"/>
      <c r="U143" s="97"/>
      <c r="V143" s="97"/>
      <c r="W143" s="97"/>
      <c r="X143" s="97"/>
      <c r="Y143" s="97"/>
      <c r="Z143" s="97"/>
      <c r="AA143" s="97"/>
      <c r="AB143" s="97"/>
      <c r="AC143" s="97"/>
      <c r="AD143" s="97"/>
      <c r="AE143" s="5">
        <v>1</v>
      </c>
    </row>
    <row r="144" spans="1:31">
      <c r="A144" s="97"/>
      <c r="B144" s="4681" t="s">
        <v>10997</v>
      </c>
      <c r="C144" s="141"/>
      <c r="D144" s="141"/>
      <c r="E144" s="141"/>
      <c r="F144" s="141" t="s">
        <v>10998</v>
      </c>
      <c r="G144" s="141"/>
      <c r="H144" s="141"/>
      <c r="I144" s="141"/>
      <c r="J144" s="141" t="s">
        <v>10999</v>
      </c>
      <c r="K144" s="141"/>
      <c r="L144" s="141"/>
      <c r="M144" s="102"/>
      <c r="N144" s="97"/>
      <c r="O144" s="97"/>
      <c r="P144" s="97"/>
      <c r="Q144" s="97"/>
      <c r="R144" s="97"/>
      <c r="S144" s="97"/>
      <c r="T144" s="97"/>
      <c r="U144" s="97"/>
      <c r="V144" s="97"/>
      <c r="W144" s="97"/>
      <c r="X144" s="97"/>
      <c r="Y144" s="97"/>
      <c r="Z144" s="97"/>
      <c r="AA144" s="97"/>
      <c r="AB144" s="97"/>
      <c r="AC144" s="97"/>
      <c r="AD144" s="97"/>
      <c r="AE144" s="5">
        <v>1</v>
      </c>
    </row>
    <row r="145" spans="1:33">
      <c r="A145" s="97"/>
      <c r="B145" s="4681" t="s">
        <v>11000</v>
      </c>
      <c r="C145" s="141"/>
      <c r="D145" s="141"/>
      <c r="E145" s="141"/>
      <c r="F145" s="141" t="s">
        <v>11001</v>
      </c>
      <c r="G145" s="141"/>
      <c r="H145" s="141"/>
      <c r="I145" s="141"/>
      <c r="J145" s="141" t="s">
        <v>11002</v>
      </c>
      <c r="K145" s="141"/>
      <c r="L145" s="141"/>
      <c r="M145" s="102"/>
      <c r="N145" s="97"/>
      <c r="O145" s="97"/>
      <c r="P145" s="97"/>
      <c r="Q145" s="97"/>
      <c r="R145" s="97"/>
      <c r="S145" s="97"/>
      <c r="T145" s="97"/>
      <c r="U145" s="97"/>
      <c r="V145" s="97"/>
      <c r="W145" s="97"/>
      <c r="X145" s="97"/>
      <c r="Y145" s="97"/>
      <c r="Z145" s="97"/>
      <c r="AA145" s="97"/>
      <c r="AB145" s="97"/>
      <c r="AC145" s="97"/>
      <c r="AD145" s="97"/>
      <c r="AE145" s="5">
        <v>1</v>
      </c>
    </row>
    <row r="146" spans="1:33">
      <c r="A146" s="97"/>
      <c r="B146" s="4681" t="s">
        <v>11003</v>
      </c>
      <c r="C146" s="141"/>
      <c r="D146" s="141"/>
      <c r="E146" s="141"/>
      <c r="F146" s="141" t="s">
        <v>11004</v>
      </c>
      <c r="G146" s="141"/>
      <c r="H146" s="141"/>
      <c r="I146" s="141"/>
      <c r="J146" s="141" t="s">
        <v>11005</v>
      </c>
      <c r="K146" s="141"/>
      <c r="L146" s="141"/>
      <c r="M146" s="102"/>
      <c r="N146" s="97"/>
      <c r="O146" s="97"/>
      <c r="P146" s="97"/>
      <c r="Q146" s="97"/>
      <c r="R146" s="97"/>
      <c r="S146" s="97"/>
      <c r="T146" s="97"/>
      <c r="U146" s="97"/>
      <c r="V146" s="97"/>
      <c r="W146" s="97"/>
      <c r="X146" s="97"/>
      <c r="Y146" s="97"/>
      <c r="Z146" s="97"/>
      <c r="AA146" s="97"/>
      <c r="AB146" s="97"/>
      <c r="AC146" s="97"/>
      <c r="AD146" s="97"/>
      <c r="AE146" s="5">
        <v>1</v>
      </c>
    </row>
    <row r="147" spans="1:33">
      <c r="A147" s="97"/>
      <c r="B147" s="4681" t="s">
        <v>11006</v>
      </c>
      <c r="C147" s="141"/>
      <c r="D147" s="141"/>
      <c r="E147" s="141"/>
      <c r="F147" s="141" t="s">
        <v>11007</v>
      </c>
      <c r="G147" s="141"/>
      <c r="H147" s="141"/>
      <c r="I147" s="141"/>
      <c r="J147" s="141" t="s">
        <v>11007</v>
      </c>
      <c r="K147" s="141"/>
      <c r="L147" s="141"/>
      <c r="M147" s="102"/>
      <c r="N147" s="97"/>
      <c r="O147" s="97"/>
      <c r="P147" s="97"/>
      <c r="Q147" s="97"/>
      <c r="R147" s="97"/>
      <c r="S147" s="97"/>
      <c r="T147" s="97"/>
      <c r="U147" s="97"/>
      <c r="V147" s="97"/>
      <c r="W147" s="97"/>
      <c r="X147" s="97"/>
      <c r="Y147" s="97"/>
      <c r="Z147" s="97"/>
      <c r="AA147" s="97"/>
      <c r="AB147" s="97"/>
      <c r="AC147" s="97"/>
      <c r="AD147" s="97"/>
      <c r="AE147" s="5">
        <v>1</v>
      </c>
    </row>
    <row r="148" spans="1:33">
      <c r="A148" s="97"/>
      <c r="B148" s="141"/>
      <c r="C148" s="141"/>
      <c r="D148" s="141"/>
      <c r="E148" s="141"/>
      <c r="F148" s="141"/>
      <c r="G148" s="141"/>
      <c r="H148" s="141"/>
      <c r="I148" s="141"/>
      <c r="J148" s="141"/>
      <c r="K148" s="141"/>
      <c r="L148" s="141"/>
      <c r="M148" s="102"/>
      <c r="N148" s="97"/>
      <c r="O148" s="97"/>
      <c r="P148" s="97"/>
      <c r="Q148" s="97"/>
      <c r="R148" s="97"/>
      <c r="S148" s="97"/>
      <c r="T148" s="97"/>
      <c r="U148" s="97"/>
      <c r="V148" s="97"/>
      <c r="W148" s="97"/>
      <c r="X148" s="97"/>
      <c r="Y148" s="97"/>
      <c r="Z148" s="97"/>
      <c r="AA148" s="97"/>
      <c r="AB148" s="97"/>
      <c r="AC148" s="97"/>
      <c r="AD148" s="97"/>
      <c r="AE148" s="5">
        <v>1</v>
      </c>
    </row>
    <row r="149" spans="1:33">
      <c r="A149" s="97"/>
      <c r="B149" s="97"/>
      <c r="C149" s="97"/>
      <c r="D149" s="97"/>
      <c r="E149" s="97"/>
      <c r="F149" s="97"/>
      <c r="G149" s="97"/>
      <c r="H149" s="97"/>
      <c r="I149" s="97"/>
      <c r="J149" s="97"/>
      <c r="K149" s="97"/>
      <c r="L149" s="102"/>
      <c r="M149" s="102"/>
      <c r="N149" s="97"/>
      <c r="O149" s="97"/>
      <c r="P149" s="97"/>
      <c r="Q149" s="97"/>
      <c r="R149" s="97"/>
      <c r="S149" s="97"/>
      <c r="T149" s="97"/>
      <c r="U149" s="97"/>
      <c r="V149" s="97"/>
      <c r="W149" s="97"/>
      <c r="X149" s="97"/>
      <c r="Y149" s="97"/>
      <c r="Z149" s="97"/>
      <c r="AA149" s="97"/>
      <c r="AB149" s="97"/>
      <c r="AC149" s="97"/>
      <c r="AD149" s="97"/>
      <c r="AE149" s="10" t="s">
        <v>0</v>
      </c>
      <c r="AF149"/>
      <c r="AG149"/>
    </row>
    <row r="150" spans="1:33">
      <c r="A150" s="5">
        <v>1</v>
      </c>
      <c r="B150" s="5">
        <v>1</v>
      </c>
      <c r="C150" s="5">
        <v>1</v>
      </c>
      <c r="D150" s="5">
        <v>1</v>
      </c>
      <c r="E150" s="5">
        <v>1</v>
      </c>
      <c r="F150" s="5">
        <v>1</v>
      </c>
      <c r="G150" s="5">
        <v>1</v>
      </c>
      <c r="H150" s="5">
        <v>1</v>
      </c>
      <c r="I150" s="5">
        <v>1</v>
      </c>
      <c r="J150" s="5">
        <v>1</v>
      </c>
      <c r="K150" s="5">
        <v>1</v>
      </c>
      <c r="L150" s="5">
        <v>1</v>
      </c>
      <c r="M150" s="5">
        <v>1</v>
      </c>
      <c r="N150" s="5">
        <v>1</v>
      </c>
      <c r="O150" s="5">
        <v>1</v>
      </c>
      <c r="P150" s="5">
        <v>1</v>
      </c>
      <c r="Q150" s="5">
        <v>1</v>
      </c>
      <c r="R150" s="5">
        <v>1</v>
      </c>
      <c r="S150" s="5">
        <v>1</v>
      </c>
      <c r="T150" s="5">
        <v>1</v>
      </c>
      <c r="U150" s="5">
        <v>1</v>
      </c>
      <c r="V150" s="5">
        <v>1</v>
      </c>
      <c r="W150" s="5">
        <v>1</v>
      </c>
      <c r="X150" s="5">
        <v>1</v>
      </c>
      <c r="Y150" s="5">
        <v>1</v>
      </c>
      <c r="Z150" s="5">
        <v>1</v>
      </c>
      <c r="AA150" s="5">
        <v>1</v>
      </c>
      <c r="AB150" s="5">
        <v>1</v>
      </c>
      <c r="AC150" s="5">
        <v>1</v>
      </c>
      <c r="AD150" s="5">
        <v>1</v>
      </c>
      <c r="AE150" s="9" t="str">
        <f>ADDRESS(ROW(),COLUMN(),4)</f>
        <v>AE150</v>
      </c>
      <c r="AF150" s="8"/>
      <c r="AG150" s="7" t="str">
        <f>ADDRESS(ROW(),COLUMN(),4)</f>
        <v>AG150</v>
      </c>
    </row>
  </sheetData>
  <mergeCells count="8">
    <mergeCell ref="B9:D9"/>
    <mergeCell ref="F9:H9"/>
    <mergeCell ref="J9:L9"/>
    <mergeCell ref="P3:R3"/>
    <mergeCell ref="B5:D6"/>
    <mergeCell ref="F5:H6"/>
    <mergeCell ref="J5:L6"/>
    <mergeCell ref="N5:R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6D160-F506-4807-BE80-84F4D5160712}">
  <dimension ref="A1:CA583"/>
  <sheetViews>
    <sheetView showZeros="0" zoomScale="75" zoomScaleNormal="75" workbookViewId="0">
      <selection activeCell="J22" sqref="J22"/>
    </sheetView>
  </sheetViews>
  <sheetFormatPr baseColWidth="10" defaultColWidth="11.42578125" defaultRowHeight="15"/>
  <cols>
    <col min="1" max="1" width="6.85546875" style="4" customWidth="1"/>
    <col min="2" max="2" width="3.7109375" style="4" customWidth="1"/>
    <col min="3" max="3" width="9.7109375" customWidth="1"/>
    <col min="4" max="5" width="12.7109375" style="4" customWidth="1"/>
    <col min="6" max="6" width="4" style="4" customWidth="1"/>
    <col min="7" max="7" width="9.7109375" style="4" customWidth="1"/>
    <col min="8" max="8" width="13" style="4" customWidth="1"/>
    <col min="9" max="9" width="13.5703125" style="4" customWidth="1"/>
    <col min="10" max="10" width="40.7109375" style="4" customWidth="1"/>
    <col min="11" max="11" width="3.140625" style="4" customWidth="1"/>
    <col min="12" max="15" width="3.7109375" style="4" customWidth="1"/>
    <col min="16" max="16" width="5.28515625" style="4" customWidth="1"/>
    <col min="17" max="18" width="12.7109375" style="4" customWidth="1"/>
    <col min="19" max="19" width="4" style="4" customWidth="1"/>
    <col min="20" max="20" width="9.7109375" style="4" customWidth="1"/>
    <col min="21" max="21" width="12.85546875" style="4" customWidth="1"/>
    <col min="22" max="22" width="13.42578125" style="4" customWidth="1"/>
    <col min="23" max="23" width="40.7109375" style="4" customWidth="1"/>
    <col min="24" max="24" width="14.7109375" style="4" customWidth="1"/>
    <col min="25" max="25" width="12.28515625" style="4" customWidth="1"/>
    <col min="26" max="27" width="13.7109375" style="4" customWidth="1"/>
    <col min="28" max="28" width="12.28515625" style="4" customWidth="1"/>
    <col min="29" max="30" width="10.7109375" style="4" customWidth="1"/>
    <col min="31" max="31" width="11.85546875" style="4" customWidth="1"/>
    <col min="32" max="35" width="3.7109375" style="5657" customWidth="1"/>
    <col min="36" max="37" width="12.7109375" style="5657" customWidth="1"/>
    <col min="38" max="38" width="3.7109375" style="5657" customWidth="1"/>
    <col min="39" max="40" width="12.7109375" style="5657" customWidth="1"/>
    <col min="41" max="41" width="10.7109375" customWidth="1"/>
    <col min="42" max="42" width="13.7109375" style="4" customWidth="1"/>
    <col min="43" max="43" width="13.5703125" style="4" customWidth="1"/>
    <col min="44" max="44" width="40.7109375" style="4" customWidth="1"/>
    <col min="45" max="45" width="11.7109375" style="5657" customWidth="1"/>
    <col min="46" max="46" width="6.85546875" style="4" customWidth="1"/>
    <col min="47" max="47" width="14.7109375" style="4" customWidth="1"/>
    <col min="48" max="48" width="6.85546875" style="4" customWidth="1"/>
    <col min="49" max="49" width="5.7109375" style="2" customWidth="1"/>
    <col min="50" max="54" width="11.7109375" style="2" customWidth="1"/>
    <col min="55" max="55" width="3.7109375" style="4" customWidth="1"/>
    <col min="56" max="56" width="19.7109375" customWidth="1"/>
    <col min="57" max="57" width="18.7109375" customWidth="1"/>
    <col min="58" max="58" width="10.7109375" customWidth="1"/>
    <col min="59" max="59" width="16.7109375" customWidth="1"/>
    <col min="60" max="60" width="17" bestFit="1" customWidth="1"/>
    <col min="61" max="61" width="11.7109375" customWidth="1"/>
    <col min="62" max="62" width="41" customWidth="1"/>
    <col min="63" max="63" width="11.42578125" style="4"/>
    <col min="64" max="64" width="19.7109375" customWidth="1"/>
    <col min="65" max="65" width="18.7109375" customWidth="1"/>
    <col min="66" max="66" width="25.7109375" customWidth="1"/>
    <col min="67" max="67" width="16.7109375" customWidth="1"/>
    <col min="68" max="68" width="17" bestFit="1" customWidth="1"/>
    <col min="69" max="69" width="31.28515625" customWidth="1"/>
    <col min="70" max="70" width="37.140625" customWidth="1"/>
    <col min="71" max="71" width="11.42578125" style="4"/>
    <col min="72" max="72" width="13.85546875" customWidth="1"/>
    <col min="73" max="73" width="16.7109375" customWidth="1"/>
    <col min="74" max="74" width="24.140625" customWidth="1"/>
    <col min="75" max="75" width="11.42578125" style="4"/>
    <col min="76" max="76" width="8.7109375" style="2" customWidth="1"/>
    <col min="77" max="77" width="11.42578125" style="1"/>
    <col min="78" max="78" width="43.5703125" style="1" customWidth="1"/>
    <col min="79" max="16384" width="11.42578125" style="4"/>
  </cols>
  <sheetData>
    <row r="1" spans="1:79" ht="15" customHeight="1" thickTop="1">
      <c r="A1" s="9" t="str">
        <f>ADDRESS(ROW(),COLUMN(),4)</f>
        <v>A1</v>
      </c>
      <c r="B1" s="443" t="str">
        <f t="shared" ref="B1:AS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t="str">
        <f t="shared" si="0"/>
        <v>N</v>
      </c>
      <c r="O1" s="443" t="str">
        <f t="shared" si="0"/>
        <v>O</v>
      </c>
      <c r="P1" s="443" t="str">
        <f t="shared" si="0"/>
        <v>P</v>
      </c>
      <c r="Q1" s="443" t="str">
        <f t="shared" si="0"/>
        <v>Q</v>
      </c>
      <c r="R1" s="443" t="str">
        <f t="shared" si="0"/>
        <v>R</v>
      </c>
      <c r="S1" s="443" t="str">
        <f t="shared" si="0"/>
        <v>S</v>
      </c>
      <c r="T1" s="443" t="str">
        <f t="shared" si="0"/>
        <v>T</v>
      </c>
      <c r="U1" s="443" t="str">
        <f t="shared" si="0"/>
        <v>U</v>
      </c>
      <c r="V1" s="443" t="str">
        <f t="shared" si="0"/>
        <v>V</v>
      </c>
      <c r="W1" s="443" t="str">
        <f t="shared" si="0"/>
        <v>W</v>
      </c>
      <c r="X1" s="443"/>
      <c r="Y1" s="443" t="str">
        <f t="shared" si="0"/>
        <v>Y</v>
      </c>
      <c r="Z1" s="443" t="str">
        <f t="shared" si="0"/>
        <v>Z</v>
      </c>
      <c r="AA1" s="443" t="str">
        <f t="shared" si="0"/>
        <v>AA</v>
      </c>
      <c r="AB1" s="443" t="str">
        <f t="shared" si="0"/>
        <v>AB</v>
      </c>
      <c r="AC1" s="443" t="str">
        <f t="shared" si="0"/>
        <v>AC</v>
      </c>
      <c r="AD1" s="443" t="str">
        <f t="shared" si="0"/>
        <v>AD</v>
      </c>
      <c r="AE1" s="443" t="str">
        <f t="shared" si="0"/>
        <v>AE</v>
      </c>
      <c r="AF1" s="443" t="str">
        <f t="shared" si="0"/>
        <v>AF</v>
      </c>
      <c r="AG1" s="443" t="str">
        <f t="shared" si="0"/>
        <v>AG</v>
      </c>
      <c r="AH1" s="443" t="str">
        <f t="shared" si="0"/>
        <v>AH</v>
      </c>
      <c r="AI1" s="443" t="str">
        <f t="shared" si="0"/>
        <v>AI</v>
      </c>
      <c r="AJ1" s="443" t="str">
        <f t="shared" si="0"/>
        <v>AJ</v>
      </c>
      <c r="AK1" s="443" t="str">
        <f t="shared" si="0"/>
        <v>AK</v>
      </c>
      <c r="AL1" s="443" t="str">
        <f t="shared" si="0"/>
        <v>AL</v>
      </c>
      <c r="AM1" s="443" t="str">
        <f t="shared" si="0"/>
        <v>AM</v>
      </c>
      <c r="AN1" s="443"/>
      <c r="AO1" s="443" t="str">
        <f t="shared" si="0"/>
        <v>AO</v>
      </c>
      <c r="AP1" s="443" t="str">
        <f t="shared" si="0"/>
        <v>AP</v>
      </c>
      <c r="AQ1" s="443" t="str">
        <f t="shared" si="0"/>
        <v>AQ</v>
      </c>
      <c r="AR1" s="443" t="str">
        <f t="shared" si="0"/>
        <v>AR</v>
      </c>
      <c r="AS1" s="443" t="str">
        <f t="shared" si="0"/>
        <v>AS</v>
      </c>
      <c r="AW1" s="442" t="str">
        <f t="shared" ref="AW1:BB1" si="1">SUBSTITUTE(ADDRESS(1,COLUMN(),4),"1","")</f>
        <v>AW</v>
      </c>
      <c r="AX1" s="442" t="str">
        <f t="shared" si="1"/>
        <v>AX</v>
      </c>
      <c r="AY1" s="442" t="str">
        <f t="shared" si="1"/>
        <v>AY</v>
      </c>
      <c r="AZ1" s="442" t="str">
        <f t="shared" si="1"/>
        <v>AZ</v>
      </c>
      <c r="BA1" s="442" t="str">
        <f t="shared" si="1"/>
        <v>BA</v>
      </c>
      <c r="BB1" s="442" t="str">
        <f t="shared" si="1"/>
        <v>BB</v>
      </c>
      <c r="BD1" s="442" t="str">
        <f t="shared" ref="BD1:BJ1" si="2">SUBSTITUTE(ADDRESS(1,COLUMN(),4),"1","")</f>
        <v>BD</v>
      </c>
      <c r="BE1" s="442" t="str">
        <f t="shared" si="2"/>
        <v>BE</v>
      </c>
      <c r="BF1" s="442" t="str">
        <f t="shared" si="2"/>
        <v>BF</v>
      </c>
      <c r="BG1" s="442" t="str">
        <f t="shared" si="2"/>
        <v>BG</v>
      </c>
      <c r="BH1" s="442" t="str">
        <f t="shared" si="2"/>
        <v>BH</v>
      </c>
      <c r="BI1" s="442" t="str">
        <f t="shared" si="2"/>
        <v>BI</v>
      </c>
      <c r="BJ1" s="442" t="str">
        <f t="shared" si="2"/>
        <v>BJ</v>
      </c>
      <c r="BL1" s="443" t="str">
        <f t="shared" ref="BL1:BR1" si="3">SUBSTITUTE(ADDRESS(1,COLUMN(),4),"1","")</f>
        <v>BL</v>
      </c>
      <c r="BM1" s="443" t="str">
        <f t="shared" si="3"/>
        <v>BM</v>
      </c>
      <c r="BN1" s="443" t="str">
        <f t="shared" si="3"/>
        <v>BN</v>
      </c>
      <c r="BO1" s="443" t="str">
        <f t="shared" si="3"/>
        <v>BO</v>
      </c>
      <c r="BP1" s="443" t="str">
        <f t="shared" si="3"/>
        <v>BP</v>
      </c>
      <c r="BQ1" s="443" t="str">
        <f t="shared" si="3"/>
        <v>BQ</v>
      </c>
      <c r="BR1" s="443" t="str">
        <f t="shared" si="3"/>
        <v>BR</v>
      </c>
      <c r="BT1" s="442" t="str">
        <f>SUBSTITUTE(ADDRESS(1,COLUMN(),4),"1","")</f>
        <v>BT</v>
      </c>
      <c r="BU1" s="442" t="str">
        <f>SUBSTITUTE(ADDRESS(1,COLUMN(),4),"1","")</f>
        <v>BU</v>
      </c>
      <c r="BV1" s="442" t="str">
        <f>SUBSTITUTE(ADDRESS(1,COLUMN(),4),"1","")</f>
        <v>BV</v>
      </c>
      <c r="BX1" s="5">
        <v>1</v>
      </c>
      <c r="BY1" s="442" t="str">
        <f>SUBSTITUTE(ADDRESS(1,COLUMN(),4),"1","")</f>
        <v>BY</v>
      </c>
      <c r="BZ1" s="5497" t="str">
        <f>SUBSTITUTE(ADDRESS(1,COLUMN(),4),"1","")</f>
        <v>BZ</v>
      </c>
      <c r="CA1" s="1301"/>
    </row>
    <row r="2" spans="1:79" ht="23.25" customHeight="1" thickBot="1">
      <c r="B2" s="6186">
        <f t="shared" ref="B2:AS2" ca="1" si="4">INDEX(CELL("largeur",B2),1,1)</f>
        <v>3</v>
      </c>
      <c r="C2" s="6186">
        <f t="shared" ca="1" si="4"/>
        <v>9</v>
      </c>
      <c r="D2" s="6186">
        <f t="shared" ca="1" si="4"/>
        <v>12</v>
      </c>
      <c r="E2" s="6186">
        <f t="shared" ca="1" si="4"/>
        <v>12</v>
      </c>
      <c r="F2" s="6186">
        <f t="shared" ca="1" si="4"/>
        <v>3</v>
      </c>
      <c r="G2" s="6186">
        <f t="shared" ca="1" si="4"/>
        <v>9</v>
      </c>
      <c r="H2" s="6186">
        <f t="shared" ca="1" si="4"/>
        <v>12</v>
      </c>
      <c r="I2" s="6186">
        <f t="shared" ca="1" si="4"/>
        <v>13</v>
      </c>
      <c r="J2" s="6186">
        <f t="shared" ca="1" si="4"/>
        <v>40</v>
      </c>
      <c r="K2" s="6186">
        <f t="shared" ca="1" si="4"/>
        <v>2</v>
      </c>
      <c r="L2" s="6186">
        <f t="shared" ca="1" si="4"/>
        <v>3</v>
      </c>
      <c r="M2" s="6186">
        <f t="shared" ca="1" si="4"/>
        <v>3</v>
      </c>
      <c r="N2" s="6186">
        <f t="shared" ca="1" si="4"/>
        <v>3</v>
      </c>
      <c r="O2" s="6186">
        <f t="shared" ca="1" si="4"/>
        <v>3</v>
      </c>
      <c r="P2" s="6186">
        <f t="shared" ca="1" si="4"/>
        <v>5</v>
      </c>
      <c r="Q2" s="6186">
        <f t="shared" ca="1" si="4"/>
        <v>12</v>
      </c>
      <c r="R2" s="6186">
        <f t="shared" ca="1" si="4"/>
        <v>12</v>
      </c>
      <c r="S2" s="6186">
        <f t="shared" ca="1" si="4"/>
        <v>3</v>
      </c>
      <c r="T2" s="6186">
        <f t="shared" ca="1" si="4"/>
        <v>9</v>
      </c>
      <c r="U2" s="6186">
        <f t="shared" ca="1" si="4"/>
        <v>12</v>
      </c>
      <c r="V2" s="6186">
        <f t="shared" ca="1" si="4"/>
        <v>13</v>
      </c>
      <c r="W2" s="6186">
        <f t="shared" ca="1" si="4"/>
        <v>40</v>
      </c>
      <c r="X2" s="6186">
        <f t="shared" ca="1" si="4"/>
        <v>14</v>
      </c>
      <c r="Y2" s="6186">
        <f t="shared" ca="1" si="4"/>
        <v>12</v>
      </c>
      <c r="Z2" s="6186">
        <f t="shared" ca="1" si="4"/>
        <v>13</v>
      </c>
      <c r="AA2" s="6186">
        <f t="shared" ca="1" si="4"/>
        <v>13</v>
      </c>
      <c r="AB2" s="6186">
        <f t="shared" ca="1" si="4"/>
        <v>12</v>
      </c>
      <c r="AC2" s="6186">
        <f t="shared" ca="1" si="4"/>
        <v>10</v>
      </c>
      <c r="AD2" s="6186">
        <f t="shared" ca="1" si="4"/>
        <v>10</v>
      </c>
      <c r="AE2" s="6186">
        <f t="shared" ca="1" si="4"/>
        <v>11</v>
      </c>
      <c r="AF2" s="6186">
        <f t="shared" ca="1" si="4"/>
        <v>3</v>
      </c>
      <c r="AG2" s="6186">
        <f t="shared" ca="1" si="4"/>
        <v>3</v>
      </c>
      <c r="AH2" s="6186">
        <f t="shared" ca="1" si="4"/>
        <v>3</v>
      </c>
      <c r="AI2" s="6186">
        <f t="shared" ca="1" si="4"/>
        <v>3</v>
      </c>
      <c r="AJ2" s="6186">
        <f t="shared" ca="1" si="4"/>
        <v>12</v>
      </c>
      <c r="AK2" s="6186">
        <f t="shared" ca="1" si="4"/>
        <v>12</v>
      </c>
      <c r="AL2" s="6186">
        <f t="shared" ca="1" si="4"/>
        <v>3</v>
      </c>
      <c r="AM2" s="6186">
        <f t="shared" ca="1" si="4"/>
        <v>12</v>
      </c>
      <c r="AN2" s="6186">
        <f t="shared" ca="1" si="4"/>
        <v>12</v>
      </c>
      <c r="AO2" s="6186">
        <f t="shared" ca="1" si="4"/>
        <v>10</v>
      </c>
      <c r="AP2" s="6186">
        <f t="shared" ca="1" si="4"/>
        <v>13</v>
      </c>
      <c r="AQ2" s="6186">
        <f t="shared" ca="1" si="4"/>
        <v>13</v>
      </c>
      <c r="AR2" s="6186">
        <f t="shared" ca="1" si="4"/>
        <v>40</v>
      </c>
      <c r="AS2" s="6186">
        <f t="shared" ca="1" si="4"/>
        <v>11</v>
      </c>
      <c r="AW2" s="6186">
        <f t="shared" ref="AW2:BB2" ca="1" si="5">INDEX(CELL("largeur",AW2),1,1)</f>
        <v>5</v>
      </c>
      <c r="AX2" s="6186">
        <f t="shared" ca="1" si="5"/>
        <v>11</v>
      </c>
      <c r="AY2" s="6186">
        <f t="shared" ca="1" si="5"/>
        <v>11</v>
      </c>
      <c r="AZ2" s="6186">
        <f t="shared" ca="1" si="5"/>
        <v>11</v>
      </c>
      <c r="BA2" s="6186">
        <f t="shared" ca="1" si="5"/>
        <v>11</v>
      </c>
      <c r="BB2" s="6186">
        <f t="shared" ca="1" si="5"/>
        <v>11</v>
      </c>
      <c r="BD2" s="6186">
        <f t="shared" ref="BD2:BJ2" ca="1" si="6">INDEX(CELL("largeur",BD2),1,1)</f>
        <v>19</v>
      </c>
      <c r="BE2" s="6186">
        <f t="shared" ca="1" si="6"/>
        <v>18</v>
      </c>
      <c r="BF2" s="6186">
        <f t="shared" ca="1" si="6"/>
        <v>10</v>
      </c>
      <c r="BG2" s="6186">
        <f t="shared" ca="1" si="6"/>
        <v>16</v>
      </c>
      <c r="BH2" s="6186">
        <f t="shared" ca="1" si="6"/>
        <v>16</v>
      </c>
      <c r="BI2" s="6186">
        <f t="shared" ca="1" si="6"/>
        <v>11</v>
      </c>
      <c r="BJ2" s="6186">
        <f t="shared" ca="1" si="6"/>
        <v>40</v>
      </c>
      <c r="BL2" s="6186">
        <f t="shared" ref="BL2:BR2" ca="1" si="7">INDEX(CELL("largeur",BL2),1,1)</f>
        <v>19</v>
      </c>
      <c r="BM2" s="6186">
        <f t="shared" ca="1" si="7"/>
        <v>18</v>
      </c>
      <c r="BN2" s="6186">
        <f t="shared" ca="1" si="7"/>
        <v>25</v>
      </c>
      <c r="BO2" s="6186">
        <f t="shared" ca="1" si="7"/>
        <v>16</v>
      </c>
      <c r="BP2" s="6186">
        <f t="shared" ca="1" si="7"/>
        <v>16</v>
      </c>
      <c r="BQ2" s="6186">
        <f t="shared" ca="1" si="7"/>
        <v>31</v>
      </c>
      <c r="BR2" s="6186">
        <f t="shared" ca="1" si="7"/>
        <v>36</v>
      </c>
      <c r="BT2" s="6186">
        <f t="shared" ref="BT2:BV2" ca="1" si="8">INDEX(CELL("largeur",BT2),1,1)</f>
        <v>13</v>
      </c>
      <c r="BU2" s="6186">
        <f t="shared" ca="1" si="8"/>
        <v>16</v>
      </c>
      <c r="BV2" s="6186">
        <f t="shared" ca="1" si="8"/>
        <v>23</v>
      </c>
      <c r="BX2" s="5">
        <v>1</v>
      </c>
      <c r="BY2" s="440"/>
      <c r="BZ2" s="440" t="s">
        <v>295</v>
      </c>
      <c r="CA2" s="1301"/>
    </row>
    <row r="3" spans="1:79" ht="23.25" customHeight="1">
      <c r="A3" s="5641" t="s">
        <v>1</v>
      </c>
      <c r="B3" s="7304" t="s">
        <v>8443</v>
      </c>
      <c r="C3" s="7304"/>
      <c r="D3" s="7304"/>
      <c r="E3" s="7304"/>
      <c r="F3" s="7304"/>
      <c r="G3" s="7304"/>
      <c r="H3" s="7304"/>
      <c r="I3" s="7304"/>
      <c r="J3" s="7304"/>
      <c r="K3" s="106"/>
      <c r="L3" s="5642"/>
      <c r="M3" s="5642"/>
      <c r="N3" s="5642"/>
      <c r="O3" s="5642"/>
      <c r="P3" s="5642"/>
      <c r="Q3" s="5643"/>
      <c r="R3" s="5644"/>
      <c r="S3" s="5644"/>
      <c r="T3" s="5644"/>
      <c r="U3" s="5645"/>
      <c r="V3" s="5645"/>
      <c r="W3" s="5645"/>
      <c r="X3" s="5645"/>
      <c r="Y3" s="5645"/>
      <c r="Z3" s="5645"/>
      <c r="AA3" s="5645"/>
      <c r="AB3" s="5645"/>
      <c r="AC3" s="5646"/>
      <c r="AE3" s="5646"/>
      <c r="AF3" s="5646"/>
      <c r="AG3" s="5646"/>
      <c r="AH3" s="5646"/>
      <c r="AI3" s="5646"/>
      <c r="AJ3" s="5646"/>
      <c r="AK3" s="5646"/>
      <c r="AL3" s="5647"/>
      <c r="AM3" s="5646"/>
      <c r="AN3" s="5646"/>
      <c r="AO3" s="5646"/>
      <c r="AP3" s="5646"/>
      <c r="AQ3" s="5646"/>
      <c r="AR3" s="5646"/>
      <c r="AS3" s="5646"/>
      <c r="AW3" s="4"/>
      <c r="AX3" s="4"/>
      <c r="AY3" s="4"/>
      <c r="BG3" s="5648" t="s">
        <v>3064</v>
      </c>
      <c r="BH3" s="5649" t="str">
        <f>$BX$583</f>
        <v>BX583</v>
      </c>
      <c r="BJ3" s="5650" t="str">
        <f ca="1">"Page "&amp;_xlfn.SHEET()&amp;" sur "&amp;_xlfn.SHEETS()</f>
        <v>Page 10 sur 28</v>
      </c>
      <c r="BX3" s="5">
        <v>1</v>
      </c>
      <c r="BY3" s="430">
        <f ca="1">COUNTA(A1:BX583) + COUNTBLANK(A1:BX583)</f>
        <v>44636</v>
      </c>
      <c r="BZ3" s="429" t="str">
        <f>"cellules entre"&amp;" " &amp;A1&amp;" et  "&amp;BX583</f>
        <v>cellules entre A1 et  BX583</v>
      </c>
      <c r="CA3" s="1301"/>
    </row>
    <row r="4" spans="1:79" s="1301" customFormat="1" ht="23.25" customHeight="1" thickBot="1">
      <c r="A4" s="5641" t="s">
        <v>1</v>
      </c>
      <c r="B4" s="7305"/>
      <c r="C4" s="7305"/>
      <c r="D4" s="7305"/>
      <c r="E4" s="7305"/>
      <c r="F4" s="7305"/>
      <c r="G4" s="7305"/>
      <c r="H4" s="7305"/>
      <c r="I4" s="7305"/>
      <c r="J4" s="7305"/>
      <c r="K4" s="5181"/>
      <c r="L4" s="5651" t="s">
        <v>255</v>
      </c>
      <c r="M4" s="5651" t="s">
        <v>8444</v>
      </c>
      <c r="N4" s="5651"/>
      <c r="O4" s="372"/>
      <c r="P4" s="372"/>
      <c r="Q4" s="372"/>
      <c r="R4" s="372"/>
      <c r="S4" s="372"/>
      <c r="T4" s="372"/>
      <c r="U4" s="372"/>
      <c r="V4" s="372"/>
      <c r="W4" s="372"/>
      <c r="X4" s="372"/>
      <c r="Y4" s="372"/>
      <c r="Z4" s="372"/>
      <c r="AA4" s="372"/>
      <c r="AB4" s="372"/>
      <c r="AC4" s="5651" t="s">
        <v>255</v>
      </c>
      <c r="AD4" s="5652" t="str">
        <f ca="1">AR14</f>
        <v>Aucune colonne masquée</v>
      </c>
      <c r="AE4" s="106"/>
      <c r="AF4" s="106"/>
      <c r="AG4" s="106"/>
      <c r="AH4" s="1715"/>
      <c r="AI4" s="1715"/>
      <c r="AJ4" s="5181"/>
      <c r="AK4" s="141"/>
      <c r="AL4" s="5653"/>
      <c r="AM4" s="141"/>
      <c r="AN4" s="141"/>
      <c r="AO4" s="141"/>
      <c r="AP4" s="141"/>
      <c r="AR4" s="4680" t="str">
        <f>AR15</f>
        <v>0 Lignes masquées</v>
      </c>
      <c r="AS4" s="1715"/>
      <c r="AW4" s="4"/>
      <c r="AZ4" s="2"/>
      <c r="BA4" s="2"/>
      <c r="BB4" s="2"/>
      <c r="BC4" s="4"/>
      <c r="BD4"/>
      <c r="BE4"/>
      <c r="BF4"/>
      <c r="BG4"/>
      <c r="BH4"/>
      <c r="BI4"/>
      <c r="BJ4"/>
      <c r="BL4"/>
      <c r="BM4"/>
      <c r="BN4"/>
      <c r="BO4"/>
      <c r="BP4"/>
      <c r="BQ4"/>
      <c r="BR4"/>
      <c r="BX4" s="5">
        <v>1</v>
      </c>
      <c r="BY4" s="430">
        <f ca="1">COUNTA(A1:BX583)</f>
        <v>8208</v>
      </c>
      <c r="BZ4" s="429" t="s">
        <v>291</v>
      </c>
    </row>
    <row r="5" spans="1:79" ht="24.75" customHeight="1" thickBot="1">
      <c r="A5" s="5641" t="s">
        <v>1</v>
      </c>
      <c r="B5" s="5654" t="str">
        <f>SUBSTITUTE(ADDRESS(1,COLUMN(),4),"1","")</f>
        <v>B</v>
      </c>
      <c r="C5" s="5655"/>
      <c r="D5" s="5655"/>
      <c r="E5" s="5655"/>
      <c r="F5" s="5655"/>
      <c r="G5" s="5655"/>
      <c r="H5" s="5655"/>
      <c r="I5" s="5655"/>
      <c r="J5" s="5655"/>
      <c r="K5" s="5655"/>
      <c r="L5" s="5655"/>
      <c r="M5" s="5655"/>
      <c r="N5" s="5655"/>
      <c r="O5" s="5655"/>
      <c r="P5" s="5655"/>
      <c r="Q5" s="5655"/>
      <c r="R5" s="5655"/>
      <c r="S5" s="5655"/>
      <c r="T5" s="5655"/>
      <c r="U5" s="5655"/>
      <c r="V5" s="5655"/>
      <c r="W5" s="5655"/>
      <c r="X5" s="5655"/>
      <c r="Y5" s="5655"/>
      <c r="Z5" s="5655"/>
      <c r="AA5" s="5655"/>
      <c r="AB5" s="5655"/>
      <c r="AC5" s="5646"/>
      <c r="AD5" s="5656" t="s">
        <v>8445</v>
      </c>
      <c r="AH5" s="106"/>
      <c r="AI5" s="106"/>
      <c r="AJ5" s="106"/>
      <c r="AK5" s="106"/>
      <c r="AL5" s="106"/>
      <c r="AM5" s="106"/>
      <c r="AN5" s="106"/>
      <c r="AO5" s="106"/>
      <c r="AP5" s="106"/>
      <c r="AQ5" s="106"/>
      <c r="AR5" s="106"/>
      <c r="AS5" s="106"/>
      <c r="AW5" s="5658" t="s">
        <v>21</v>
      </c>
      <c r="AX5" s="5659" t="s">
        <v>8446</v>
      </c>
      <c r="AY5" s="5659"/>
      <c r="AZ5" s="5659" t="str">
        <f>AR15</f>
        <v>0 Lignes masquées</v>
      </c>
      <c r="BA5" s="5660"/>
      <c r="BB5" s="5660"/>
      <c r="BC5" s="5661"/>
      <c r="BD5" s="7015" t="s">
        <v>8447</v>
      </c>
      <c r="BE5" s="7016"/>
      <c r="BF5" s="7016"/>
      <c r="BG5" s="7016"/>
      <c r="BH5" s="7016"/>
      <c r="BI5" s="7016"/>
      <c r="BJ5" s="7017"/>
      <c r="BL5" s="7015" t="s">
        <v>8448</v>
      </c>
      <c r="BM5" s="7016"/>
      <c r="BN5" s="7016"/>
      <c r="BO5" s="7016"/>
      <c r="BP5" s="7016"/>
      <c r="BQ5" s="7016"/>
      <c r="BR5" s="7017"/>
      <c r="BT5" s="5143" t="s">
        <v>146</v>
      </c>
      <c r="BU5" s="141"/>
      <c r="BV5" s="141"/>
      <c r="BX5" s="5">
        <v>1</v>
      </c>
      <c r="BY5" s="430">
        <f ca="1">COUNTBLANK(A1:BX583)</f>
        <v>36428</v>
      </c>
      <c r="BZ5" s="429" t="s">
        <v>288</v>
      </c>
    </row>
    <row r="6" spans="1:79" ht="21" customHeight="1">
      <c r="A6" s="5641" t="s">
        <v>1</v>
      </c>
      <c r="B6" s="5662" t="str">
        <f t="shared" ref="B6:B69" si="9">L6</f>
        <v>A</v>
      </c>
      <c r="C6" s="7034" t="s">
        <v>246</v>
      </c>
      <c r="D6" s="7035"/>
      <c r="E6" s="7035"/>
      <c r="F6" s="7035"/>
      <c r="G6" s="7035"/>
      <c r="H6" s="7035"/>
      <c r="I6" s="7035"/>
      <c r="J6" s="7035"/>
      <c r="K6" s="106" t="s">
        <v>1</v>
      </c>
      <c r="L6" s="5663" t="s">
        <v>21</v>
      </c>
      <c r="M6" s="5664"/>
      <c r="N6" s="5664"/>
      <c r="O6" s="5664"/>
      <c r="P6" s="5664"/>
      <c r="Q6" s="7038" t="s">
        <v>8449</v>
      </c>
      <c r="R6" s="7292" t="s">
        <v>919</v>
      </c>
      <c r="S6" s="7292"/>
      <c r="T6" s="7292"/>
      <c r="U6" s="7292"/>
      <c r="V6" s="7292"/>
      <c r="W6" s="7292"/>
      <c r="X6" s="7292"/>
      <c r="Y6" s="7292"/>
      <c r="Z6" s="7292"/>
      <c r="AA6" s="7292"/>
      <c r="AB6" s="7292"/>
      <c r="AC6" s="7292"/>
      <c r="AD6" s="7292"/>
      <c r="AE6" s="7292"/>
      <c r="AF6" s="7292"/>
      <c r="AG6" s="7292"/>
      <c r="AH6" s="7292"/>
      <c r="AI6" s="7292"/>
      <c r="AJ6" s="7292"/>
      <c r="AK6" s="7292"/>
      <c r="AL6" s="7292"/>
      <c r="AM6" s="7292"/>
      <c r="AN6" s="7292"/>
      <c r="AO6" s="7292"/>
      <c r="AP6" s="7294" t="s">
        <v>1543</v>
      </c>
      <c r="AQ6" s="7294"/>
      <c r="AR6" s="7296" t="str">
        <f>LEFT(R6,1)</f>
        <v>M</v>
      </c>
      <c r="AS6" s="7297">
        <v>8</v>
      </c>
      <c r="AW6" s="5665" t="s">
        <v>21</v>
      </c>
      <c r="AX6" s="7024" t="s">
        <v>8450</v>
      </c>
      <c r="AY6" s="7024"/>
      <c r="AZ6" s="7024"/>
      <c r="BA6" s="7024"/>
      <c r="BB6" s="7024"/>
      <c r="BC6" s="5661"/>
      <c r="BD6" s="7018"/>
      <c r="BE6" s="7019"/>
      <c r="BF6" s="7019"/>
      <c r="BG6" s="7019"/>
      <c r="BH6" s="7019"/>
      <c r="BI6" s="7019"/>
      <c r="BJ6" s="7020"/>
      <c r="BL6" s="7018"/>
      <c r="BM6" s="7019"/>
      <c r="BN6" s="7019"/>
      <c r="BO6" s="7019"/>
      <c r="BP6" s="7019"/>
      <c r="BQ6" s="7019"/>
      <c r="BR6" s="7020"/>
      <c r="BT6" s="2641" t="s">
        <v>141</v>
      </c>
      <c r="BU6" s="141"/>
      <c r="BV6" s="141"/>
      <c r="BX6" s="5">
        <v>1</v>
      </c>
      <c r="BY6" s="430">
        <f>SUM(BX1:BX581)+2</f>
        <v>583</v>
      </c>
      <c r="BZ6" s="429" t="s">
        <v>286</v>
      </c>
    </row>
    <row r="7" spans="1:79" ht="21" customHeight="1" thickBot="1">
      <c r="A7" s="5641" t="s">
        <v>1</v>
      </c>
      <c r="B7" s="5662" t="str">
        <f t="shared" si="9"/>
        <v>A</v>
      </c>
      <c r="C7" s="7291"/>
      <c r="D7" s="7037"/>
      <c r="E7" s="7037"/>
      <c r="F7" s="7037"/>
      <c r="G7" s="7037"/>
      <c r="H7" s="7037"/>
      <c r="I7" s="7037"/>
      <c r="J7" s="7037"/>
      <c r="K7" s="106" t="s">
        <v>1</v>
      </c>
      <c r="L7" s="5666" t="s">
        <v>21</v>
      </c>
      <c r="M7" s="5667"/>
      <c r="N7" s="5667"/>
      <c r="O7" s="5667"/>
      <c r="P7" s="5667"/>
      <c r="Q7" s="7039"/>
      <c r="R7" s="7293"/>
      <c r="S7" s="7293"/>
      <c r="T7" s="7293"/>
      <c r="U7" s="7293"/>
      <c r="V7" s="7293"/>
      <c r="W7" s="7293"/>
      <c r="X7" s="7293"/>
      <c r="Y7" s="7293"/>
      <c r="Z7" s="7293"/>
      <c r="AA7" s="7293"/>
      <c r="AB7" s="7293"/>
      <c r="AC7" s="7293"/>
      <c r="AD7" s="7293"/>
      <c r="AE7" s="7293"/>
      <c r="AF7" s="7293"/>
      <c r="AG7" s="7293"/>
      <c r="AH7" s="7293"/>
      <c r="AI7" s="7293"/>
      <c r="AJ7" s="7293"/>
      <c r="AK7" s="7293"/>
      <c r="AL7" s="7293"/>
      <c r="AM7" s="7293"/>
      <c r="AN7" s="7293"/>
      <c r="AO7" s="7293"/>
      <c r="AP7" s="7295"/>
      <c r="AQ7" s="7295"/>
      <c r="AR7" s="7043"/>
      <c r="AS7" s="7298"/>
      <c r="AW7" s="5665" t="s">
        <v>21</v>
      </c>
      <c r="AX7" s="7024"/>
      <c r="AY7" s="7024"/>
      <c r="AZ7" s="7024"/>
      <c r="BA7" s="7024"/>
      <c r="BB7" s="7024"/>
      <c r="BC7" s="5661"/>
      <c r="BD7" s="7021"/>
      <c r="BE7" s="7022"/>
      <c r="BF7" s="7022"/>
      <c r="BG7" s="7022"/>
      <c r="BH7" s="7022"/>
      <c r="BI7" s="7022"/>
      <c r="BJ7" s="7023"/>
      <c r="BL7" s="7018"/>
      <c r="BM7" s="7019"/>
      <c r="BN7" s="7019"/>
      <c r="BO7" s="7019"/>
      <c r="BP7" s="7019"/>
      <c r="BQ7" s="7019"/>
      <c r="BR7" s="7020"/>
      <c r="BT7" s="5179"/>
      <c r="BU7" s="141"/>
      <c r="BV7" s="141"/>
      <c r="BX7" s="5">
        <v>1</v>
      </c>
      <c r="BY7" s="430">
        <f>SUM(A583:BW584)+1</f>
        <v>71</v>
      </c>
      <c r="BZ7" s="429" t="s">
        <v>284</v>
      </c>
    </row>
    <row r="8" spans="1:79" ht="21" customHeight="1" thickTop="1" thickBot="1">
      <c r="A8" s="5641" t="s">
        <v>1</v>
      </c>
      <c r="B8" s="5662" t="str">
        <f t="shared" si="9"/>
        <v>A</v>
      </c>
      <c r="C8" s="7300" t="s">
        <v>229</v>
      </c>
      <c r="D8" s="7026"/>
      <c r="E8" s="7026"/>
      <c r="F8" s="7026"/>
      <c r="G8" s="7026"/>
      <c r="H8" s="7026"/>
      <c r="I8" s="7026"/>
      <c r="J8" s="7026"/>
      <c r="K8" s="106" t="s">
        <v>1</v>
      </c>
      <c r="L8" s="5666" t="s">
        <v>21</v>
      </c>
      <c r="M8" s="5669"/>
      <c r="N8" s="5669"/>
      <c r="O8" s="5670"/>
      <c r="P8" s="5670"/>
      <c r="Q8" s="7027" t="s">
        <v>8451</v>
      </c>
      <c r="R8" s="7301" t="s">
        <v>7812</v>
      </c>
      <c r="S8" s="7301"/>
      <c r="T8" s="7301"/>
      <c r="U8" s="7301"/>
      <c r="V8" s="7301"/>
      <c r="W8" s="7301"/>
      <c r="X8" s="7301"/>
      <c r="Y8" s="7301"/>
      <c r="Z8" s="7301"/>
      <c r="AA8" s="7301"/>
      <c r="AB8" s="7301"/>
      <c r="AC8" s="7301"/>
      <c r="AD8" s="7301"/>
      <c r="AE8" s="7301"/>
      <c r="AF8" s="7301"/>
      <c r="AG8" s="7301"/>
      <c r="AH8" s="7301"/>
      <c r="AI8" s="7301"/>
      <c r="AJ8" s="7301"/>
      <c r="AK8" s="7301"/>
      <c r="AL8" s="7301"/>
      <c r="AM8" s="7301"/>
      <c r="AN8" s="7301"/>
      <c r="AO8" s="7301"/>
      <c r="AP8" s="7302" t="s">
        <v>8452</v>
      </c>
      <c r="AQ8" s="7302"/>
      <c r="AR8" s="7303" t="s">
        <v>8453</v>
      </c>
      <c r="AS8" s="7298"/>
      <c r="AW8" s="5665" t="s">
        <v>21</v>
      </c>
      <c r="AX8" s="5671" t="s">
        <v>8454</v>
      </c>
      <c r="AY8" s="5671"/>
      <c r="AZ8" s="228"/>
      <c r="BA8" s="227"/>
      <c r="BB8" s="227"/>
      <c r="BC8" s="5661"/>
      <c r="BD8" s="7003"/>
      <c r="BE8" s="7004"/>
      <c r="BF8" s="7004"/>
      <c r="BG8" s="7004"/>
      <c r="BH8" s="7004"/>
      <c r="BI8" s="7004"/>
      <c r="BJ8" s="7005"/>
      <c r="BL8" s="954"/>
      <c r="BM8" s="1077"/>
      <c r="BN8" s="955"/>
      <c r="BO8" s="955"/>
      <c r="BP8" s="955"/>
      <c r="BQ8" s="955"/>
      <c r="BR8" s="956"/>
      <c r="BT8" s="141"/>
      <c r="BU8" s="141"/>
      <c r="BV8" s="141"/>
      <c r="BX8" s="5">
        <v>1</v>
      </c>
    </row>
    <row r="9" spans="1:79" ht="21" customHeight="1" thickBot="1">
      <c r="A9" s="5641" t="s">
        <v>1</v>
      </c>
      <c r="B9" s="5662" t="str">
        <f t="shared" si="9"/>
        <v>A</v>
      </c>
      <c r="C9" s="5672"/>
      <c r="D9" s="7031" t="s">
        <v>8455</v>
      </c>
      <c r="E9" s="7031"/>
      <c r="F9" s="7031"/>
      <c r="G9" s="7031"/>
      <c r="H9" s="7031"/>
      <c r="I9" s="7031"/>
      <c r="J9" s="7031"/>
      <c r="K9" s="106" t="s">
        <v>1</v>
      </c>
      <c r="L9" s="5666" t="s">
        <v>21</v>
      </c>
      <c r="M9" s="5669"/>
      <c r="N9" s="5669"/>
      <c r="O9" s="5670"/>
      <c r="P9" s="5670"/>
      <c r="Q9" s="7027"/>
      <c r="R9" s="7301"/>
      <c r="S9" s="7301"/>
      <c r="T9" s="7301"/>
      <c r="U9" s="7301"/>
      <c r="V9" s="7301"/>
      <c r="W9" s="7301"/>
      <c r="X9" s="7301"/>
      <c r="Y9" s="7301"/>
      <c r="Z9" s="7301"/>
      <c r="AA9" s="7301"/>
      <c r="AB9" s="7301"/>
      <c r="AC9" s="7301"/>
      <c r="AD9" s="7301"/>
      <c r="AE9" s="7301"/>
      <c r="AF9" s="7301"/>
      <c r="AG9" s="7301"/>
      <c r="AH9" s="7301"/>
      <c r="AI9" s="7301"/>
      <c r="AJ9" s="7301"/>
      <c r="AK9" s="7301"/>
      <c r="AL9" s="7301"/>
      <c r="AM9" s="7301"/>
      <c r="AN9" s="7301"/>
      <c r="AO9" s="7301"/>
      <c r="AP9" s="7302"/>
      <c r="AQ9" s="7302"/>
      <c r="AR9" s="7303"/>
      <c r="AS9" s="7298"/>
      <c r="AW9" s="5665" t="s">
        <v>21</v>
      </c>
      <c r="AX9" s="5671" t="s">
        <v>8456</v>
      </c>
      <c r="AY9" s="228"/>
      <c r="AZ9" s="228"/>
      <c r="BA9" s="227"/>
      <c r="BB9" s="227"/>
      <c r="BC9" s="5661"/>
      <c r="BD9" s="7009" t="s">
        <v>8457</v>
      </c>
      <c r="BE9" s="7010"/>
      <c r="BF9" s="7010"/>
      <c r="BG9" s="7010"/>
      <c r="BH9" s="7010"/>
      <c r="BI9" s="7010"/>
      <c r="BJ9" s="7011"/>
      <c r="BL9" s="1040" t="s">
        <v>837</v>
      </c>
      <c r="BM9" s="5673"/>
      <c r="BN9" s="5674"/>
      <c r="BO9" s="955"/>
      <c r="BP9" s="955"/>
      <c r="BQ9" s="955"/>
      <c r="BR9" s="956"/>
      <c r="BT9" s="7306" t="s">
        <v>8458</v>
      </c>
      <c r="BU9" s="7307"/>
      <c r="BV9" s="7308"/>
      <c r="BX9" s="5">
        <v>1</v>
      </c>
      <c r="BZ9" s="4"/>
    </row>
    <row r="10" spans="1:79" ht="21" customHeight="1">
      <c r="A10" s="5641" t="s">
        <v>1</v>
      </c>
      <c r="B10" s="5662" t="str">
        <f t="shared" si="9"/>
        <v>A</v>
      </c>
      <c r="C10" s="5675"/>
      <c r="D10" s="5181"/>
      <c r="E10" s="5181"/>
      <c r="F10" s="5181"/>
      <c r="G10" s="5181"/>
      <c r="H10" s="5181"/>
      <c r="I10" s="5181"/>
      <c r="J10" s="5181"/>
      <c r="K10" s="106" t="s">
        <v>1</v>
      </c>
      <c r="L10" s="5666" t="s">
        <v>21</v>
      </c>
      <c r="M10" s="5676"/>
      <c r="N10" s="5676"/>
      <c r="O10" s="5676"/>
      <c r="P10" s="5676"/>
      <c r="Q10" s="5677"/>
      <c r="R10" s="5677"/>
      <c r="S10" s="5677"/>
      <c r="T10" s="5677"/>
      <c r="U10" s="5677"/>
      <c r="V10" s="5677"/>
      <c r="W10" s="5677"/>
      <c r="X10" s="5677"/>
      <c r="Y10" s="5677"/>
      <c r="Z10" s="5677"/>
      <c r="AA10" s="5677"/>
      <c r="AB10" s="5677"/>
      <c r="AC10" s="5678"/>
      <c r="AD10" s="5679"/>
      <c r="AE10" s="5679"/>
      <c r="AF10" s="5679"/>
      <c r="AG10" s="5679"/>
      <c r="AH10" s="5679"/>
      <c r="AI10" s="5679"/>
      <c r="AJ10" s="5679"/>
      <c r="AK10" s="575"/>
      <c r="AL10" s="7309" t="s">
        <v>8459</v>
      </c>
      <c r="AM10" s="7309"/>
      <c r="AN10" s="7309"/>
      <c r="AO10" s="7309"/>
      <c r="AP10" s="7309"/>
      <c r="AQ10" s="7007">
        <v>45</v>
      </c>
      <c r="AR10" s="7310" t="s">
        <v>157</v>
      </c>
      <c r="AS10" s="7298"/>
      <c r="AW10" s="5665" t="s">
        <v>21</v>
      </c>
      <c r="AX10" s="255"/>
      <c r="AY10" s="228"/>
      <c r="AZ10" s="228"/>
      <c r="BA10" s="227"/>
      <c r="BB10" s="227"/>
      <c r="BC10" s="5661"/>
      <c r="BD10" s="7012"/>
      <c r="BE10" s="7013"/>
      <c r="BF10" s="7013"/>
      <c r="BG10" s="7013"/>
      <c r="BH10" s="7013"/>
      <c r="BI10" s="7013"/>
      <c r="BJ10" s="7014"/>
      <c r="BL10" s="1040" t="s">
        <v>839</v>
      </c>
      <c r="BM10" s="5673"/>
      <c r="BN10" s="5674"/>
      <c r="BO10" s="955"/>
      <c r="BP10" s="955"/>
      <c r="BQ10" s="955"/>
      <c r="BR10" s="956"/>
      <c r="BT10" s="5179" t="s">
        <v>8460</v>
      </c>
      <c r="BX10" s="5">
        <v>1</v>
      </c>
      <c r="BZ10" s="4"/>
    </row>
    <row r="11" spans="1:79" ht="21" customHeight="1">
      <c r="A11" s="5641" t="s">
        <v>1</v>
      </c>
      <c r="B11" s="5662" t="str">
        <f t="shared" si="9"/>
        <v>A</v>
      </c>
      <c r="C11" s="5675"/>
      <c r="D11" s="5181"/>
      <c r="E11" s="5181"/>
      <c r="F11" s="5181"/>
      <c r="G11" s="5181"/>
      <c r="H11" s="5181"/>
      <c r="I11" s="5181"/>
      <c r="J11" s="5181"/>
      <c r="K11" s="106" t="s">
        <v>1</v>
      </c>
      <c r="L11" s="5666" t="s">
        <v>21</v>
      </c>
      <c r="M11" s="5676"/>
      <c r="N11" s="5676"/>
      <c r="O11" s="5676"/>
      <c r="P11" s="5676"/>
      <c r="Q11" s="5677"/>
      <c r="R11" s="5677"/>
      <c r="S11" s="5677"/>
      <c r="T11" s="5677"/>
      <c r="U11" s="5677"/>
      <c r="V11" s="5677"/>
      <c r="W11" s="5677"/>
      <c r="X11" s="5677"/>
      <c r="Y11" s="5677"/>
      <c r="Z11" s="5677"/>
      <c r="AA11" s="5677"/>
      <c r="AB11" s="5677"/>
      <c r="AC11" s="5678"/>
      <c r="AD11" s="5679"/>
      <c r="AE11" s="5679"/>
      <c r="AF11" s="5679"/>
      <c r="AG11" s="5679"/>
      <c r="AH11" s="5679"/>
      <c r="AI11" s="5679"/>
      <c r="AJ11" s="5679"/>
      <c r="AK11" s="575"/>
      <c r="AL11" s="7309"/>
      <c r="AM11" s="7309"/>
      <c r="AN11" s="7309"/>
      <c r="AO11" s="7309"/>
      <c r="AP11" s="7309"/>
      <c r="AQ11" s="7007"/>
      <c r="AR11" s="7310"/>
      <c r="AS11" s="7298"/>
      <c r="AW11" s="5665" t="s">
        <v>21</v>
      </c>
      <c r="AX11" s="320" t="s">
        <v>20</v>
      </c>
      <c r="AY11" s="228"/>
      <c r="AZ11" s="228"/>
      <c r="BA11" s="227"/>
      <c r="BB11" s="227"/>
      <c r="BC11" s="5661"/>
      <c r="BD11" s="6998" t="s">
        <v>8461</v>
      </c>
      <c r="BE11" s="6999"/>
      <c r="BF11" s="6999"/>
      <c r="BG11" s="6999"/>
      <c r="BH11" s="6999"/>
      <c r="BI11" s="6999"/>
      <c r="BJ11" s="7000"/>
      <c r="BL11" s="5680" t="s">
        <v>8462</v>
      </c>
      <c r="BM11" s="5673"/>
      <c r="BN11" s="5674"/>
      <c r="BO11" s="955"/>
      <c r="BP11" s="955"/>
      <c r="BQ11" s="955"/>
      <c r="BR11" s="956"/>
      <c r="BT11" s="4675" t="s">
        <v>8463</v>
      </c>
      <c r="BV11" s="5681" t="s">
        <v>8464</v>
      </c>
      <c r="BX11" s="5">
        <v>1</v>
      </c>
    </row>
    <row r="12" spans="1:79" ht="21" customHeight="1">
      <c r="A12" s="5641" t="s">
        <v>1</v>
      </c>
      <c r="B12" s="5662" t="str">
        <f t="shared" si="9"/>
        <v>A</v>
      </c>
      <c r="C12" s="5675"/>
      <c r="D12" s="5181"/>
      <c r="E12" s="5181"/>
      <c r="F12" s="5181"/>
      <c r="G12" s="5181"/>
      <c r="H12" s="5181"/>
      <c r="I12" s="5181"/>
      <c r="J12" s="5181"/>
      <c r="K12" s="106" t="s">
        <v>1</v>
      </c>
      <c r="L12" s="5666" t="s">
        <v>21</v>
      </c>
      <c r="M12" s="5682" t="s">
        <v>8344</v>
      </c>
      <c r="N12" s="5676"/>
      <c r="O12" s="5676"/>
      <c r="P12" s="5676"/>
      <c r="Q12" s="5677"/>
      <c r="R12" s="5677"/>
      <c r="S12" s="5677"/>
      <c r="T12" s="5677"/>
      <c r="U12" s="5677"/>
      <c r="V12" s="5677"/>
      <c r="W12" s="5677"/>
      <c r="X12" s="5677"/>
      <c r="Y12" s="5677"/>
      <c r="Z12" s="5677"/>
      <c r="AA12" s="5677"/>
      <c r="AB12" s="5677"/>
      <c r="AC12" s="5678"/>
      <c r="AD12" s="5683"/>
      <c r="AE12" s="5683"/>
      <c r="AF12" s="5684"/>
      <c r="AG12" s="5679"/>
      <c r="AH12" s="5679"/>
      <c r="AI12" s="5679"/>
      <c r="AJ12" s="5679"/>
      <c r="AK12" s="5685"/>
      <c r="AL12" s="5685"/>
      <c r="AM12" s="5685"/>
      <c r="AN12" s="5685"/>
      <c r="AO12" s="5685"/>
      <c r="AP12" s="5685"/>
      <c r="AQ12" s="5685"/>
      <c r="AR12" s="5686" t="s">
        <v>8465</v>
      </c>
      <c r="AS12" s="7298"/>
      <c r="AW12" s="5665" t="s">
        <v>21</v>
      </c>
      <c r="AX12" s="234"/>
      <c r="AY12" s="228"/>
      <c r="AZ12" s="228"/>
      <c r="BA12" s="227"/>
      <c r="BB12" s="227"/>
      <c r="BC12" s="5661"/>
      <c r="BD12" s="5687" t="s">
        <v>8466</v>
      </c>
      <c r="BE12" s="5688"/>
      <c r="BF12" s="5688"/>
      <c r="BG12" s="5688"/>
      <c r="BH12" s="5688"/>
      <c r="BI12" s="5688"/>
      <c r="BJ12" s="5689"/>
      <c r="BL12" s="5680" t="s">
        <v>845</v>
      </c>
      <c r="BM12" s="5673"/>
      <c r="BN12" s="5674"/>
      <c r="BO12" s="955"/>
      <c r="BP12" s="955"/>
      <c r="BQ12" s="955"/>
      <c r="BR12" s="956"/>
      <c r="BT12" s="5690" t="str">
        <f>SUBSTITUTE(ADDRESS(1,COLUMN(),4),"1","")</f>
        <v>BT</v>
      </c>
      <c r="BU12" s="273">
        <v>0</v>
      </c>
      <c r="BV12" s="5681" t="s">
        <v>8467</v>
      </c>
      <c r="BX12" s="5">
        <v>1</v>
      </c>
    </row>
    <row r="13" spans="1:79" ht="21" customHeight="1">
      <c r="A13" s="5641" t="s">
        <v>1</v>
      </c>
      <c r="B13" s="5662" t="str">
        <f t="shared" si="9"/>
        <v>A</v>
      </c>
      <c r="C13" s="5675"/>
      <c r="D13" s="5181"/>
      <c r="E13" s="5181"/>
      <c r="F13" s="5181"/>
      <c r="G13" s="5181"/>
      <c r="H13" s="5181"/>
      <c r="I13" s="5181"/>
      <c r="J13" s="5181"/>
      <c r="K13" s="106" t="s">
        <v>1</v>
      </c>
      <c r="L13" s="5666" t="s">
        <v>21</v>
      </c>
      <c r="M13" s="5682" t="s">
        <v>8468</v>
      </c>
      <c r="N13" s="5676"/>
      <c r="O13" s="5676"/>
      <c r="P13" s="5676"/>
      <c r="Q13" s="5181"/>
      <c r="R13" s="5181"/>
      <c r="S13" s="5181"/>
      <c r="T13" s="5181"/>
      <c r="U13" s="5181"/>
      <c r="V13" s="5181"/>
      <c r="W13" s="5181"/>
      <c r="X13" s="5181"/>
      <c r="Y13" s="5181"/>
      <c r="Z13" s="5181"/>
      <c r="AA13" s="5181"/>
      <c r="AB13" s="5181"/>
      <c r="AC13" s="5678"/>
      <c r="AD13" s="5181"/>
      <c r="AE13" s="5181"/>
      <c r="AF13" s="5691"/>
      <c r="AG13" s="5691"/>
      <c r="AH13" s="5691"/>
      <c r="AI13" s="5691"/>
      <c r="AJ13" s="5692"/>
      <c r="AK13" s="5692"/>
      <c r="AL13" s="575"/>
      <c r="AM13" s="575"/>
      <c r="AN13" s="575"/>
      <c r="AO13" s="141"/>
      <c r="AP13" s="5693"/>
      <c r="AQ13" s="5693"/>
      <c r="AR13" s="5686"/>
      <c r="AS13" s="7299"/>
      <c r="AW13" s="5665" t="s">
        <v>21</v>
      </c>
      <c r="AX13" s="320" t="s">
        <v>19</v>
      </c>
      <c r="AY13" s="228"/>
      <c r="AZ13" s="228"/>
      <c r="BA13" s="227"/>
      <c r="BB13" s="227"/>
      <c r="BC13" s="5661"/>
      <c r="BD13" s="5694" t="s">
        <v>8469</v>
      </c>
      <c r="BE13" s="5695"/>
      <c r="BF13" s="5695"/>
      <c r="BG13" s="5695"/>
      <c r="BH13" s="5695"/>
      <c r="BI13" s="5695"/>
      <c r="BJ13" s="5696"/>
      <c r="BL13" s="5697" t="s">
        <v>847</v>
      </c>
      <c r="BM13" s="5673"/>
      <c r="BN13" s="5674"/>
      <c r="BO13" s="955"/>
      <c r="BP13" s="955"/>
      <c r="BQ13" s="955"/>
      <c r="BR13" s="956"/>
      <c r="BT13" s="5698" t="s">
        <v>226</v>
      </c>
      <c r="BU13" s="273">
        <v>0</v>
      </c>
      <c r="BV13" s="5699" t="s">
        <v>865</v>
      </c>
      <c r="BX13" s="5">
        <v>1</v>
      </c>
    </row>
    <row r="14" spans="1:79" ht="21" customHeight="1">
      <c r="A14" s="5641" t="s">
        <v>1</v>
      </c>
      <c r="B14" s="5662" t="str">
        <f t="shared" si="9"/>
        <v>A</v>
      </c>
      <c r="C14" s="5675"/>
      <c r="D14" s="5181"/>
      <c r="E14" s="5181"/>
      <c r="F14" s="5181"/>
      <c r="G14" s="5181"/>
      <c r="H14" s="5181"/>
      <c r="I14" s="5181"/>
      <c r="J14" s="5181"/>
      <c r="K14" s="106" t="s">
        <v>1</v>
      </c>
      <c r="L14" s="5666" t="s">
        <v>21</v>
      </c>
      <c r="M14" s="5700"/>
      <c r="N14" s="5700"/>
      <c r="O14" s="5700"/>
      <c r="P14" s="5700"/>
      <c r="Q14" s="5700"/>
      <c r="R14" s="5700"/>
      <c r="S14" s="5700"/>
      <c r="T14" s="5700"/>
      <c r="U14" s="5700"/>
      <c r="V14" s="5700"/>
      <c r="W14" s="5700"/>
      <c r="X14" s="5700"/>
      <c r="Y14" s="5700"/>
      <c r="Z14" s="5700"/>
      <c r="AA14" s="5700"/>
      <c r="AB14" s="5700"/>
      <c r="AC14" s="5701"/>
      <c r="AD14" s="8554"/>
      <c r="AE14" s="5700"/>
      <c r="AF14" s="5700"/>
      <c r="AG14" s="5700"/>
      <c r="AH14" s="5700"/>
      <c r="AI14" s="5700"/>
      <c r="AJ14" s="5700"/>
      <c r="AK14" s="394"/>
      <c r="AL14" s="394"/>
      <c r="AM14" s="394"/>
      <c r="AN14" s="394"/>
      <c r="AO14" s="394"/>
      <c r="AP14" s="394"/>
      <c r="AQ14" s="394"/>
      <c r="AR14" s="5702" t="str">
        <f ca="1">IF(COUNTIF(L2:AS2,"&lt;0.5")=0,"Aucune colonne masquée",COUNTIF(L2:AS2,"&lt;0.5")&amp;" colonnes masquées : "&amp;(AK15&amp;AM15&amp;AO15))</f>
        <v>Aucune colonne masquée</v>
      </c>
      <c r="AS14" s="5703"/>
      <c r="AW14" s="5665" t="s">
        <v>21</v>
      </c>
      <c r="AX14" s="234"/>
      <c r="AY14" s="234"/>
      <c r="AZ14" s="228"/>
      <c r="BA14" s="227"/>
      <c r="BB14" s="227"/>
      <c r="BC14" s="5661"/>
      <c r="BD14" s="1065"/>
      <c r="BE14" s="234"/>
      <c r="BF14" s="234"/>
      <c r="BG14" s="234"/>
      <c r="BH14" s="234"/>
      <c r="BI14" s="234"/>
      <c r="BJ14" s="5704"/>
      <c r="BL14" s="5697" t="s">
        <v>849</v>
      </c>
      <c r="BM14" s="5673"/>
      <c r="BN14" s="5674"/>
      <c r="BO14" s="955"/>
      <c r="BP14" s="955"/>
      <c r="BQ14" s="955"/>
      <c r="BR14" s="956"/>
      <c r="BT14" s="5698" t="s">
        <v>225</v>
      </c>
      <c r="BU14" s="273">
        <v>0</v>
      </c>
      <c r="BV14" s="5699" t="s">
        <v>867</v>
      </c>
      <c r="BX14" s="5">
        <v>1</v>
      </c>
    </row>
    <row r="15" spans="1:79" ht="21" customHeight="1">
      <c r="A15" s="5641" t="s">
        <v>1</v>
      </c>
      <c r="B15" s="5662" t="str">
        <f t="shared" si="9"/>
        <v>A</v>
      </c>
      <c r="C15" s="5675"/>
      <c r="D15" s="5181"/>
      <c r="E15" s="5181"/>
      <c r="F15" s="5181"/>
      <c r="G15" s="5181"/>
      <c r="H15" s="5181"/>
      <c r="I15" s="5181"/>
      <c r="J15" s="5181"/>
      <c r="K15" s="106" t="s">
        <v>1</v>
      </c>
      <c r="L15" s="5666" t="s">
        <v>21</v>
      </c>
      <c r="M15" s="5700"/>
      <c r="N15" s="5700"/>
      <c r="O15" s="5700"/>
      <c r="P15" s="5700"/>
      <c r="Q15" s="5700"/>
      <c r="R15" s="5700"/>
      <c r="S15" s="5700"/>
      <c r="T15" s="5700"/>
      <c r="U15" s="5700"/>
      <c r="V15" s="5700"/>
      <c r="W15" s="5700"/>
      <c r="X15" s="5700"/>
      <c r="Y15" s="5700"/>
      <c r="Z15" s="5700"/>
      <c r="AA15" s="5700"/>
      <c r="AB15" s="5700"/>
      <c r="AC15" s="5701"/>
      <c r="AD15" s="8554"/>
      <c r="AE15" s="5700"/>
      <c r="AF15" s="5700"/>
      <c r="AG15" s="5700"/>
      <c r="AH15" s="5700"/>
      <c r="AI15" s="5700"/>
      <c r="AJ15" s="5700"/>
      <c r="AK15" s="389" t="str">
        <f ca="1">IF(M2&lt;0.5,M1&amp;".","")&amp;IF(N2&lt;0.5,N1&amp;".","")&amp;IF(O2&lt;0.5,O1&amp;".","")&amp;IF(Q2&lt;0.5,Q1&amp;".","")&amp;IF(R2&lt;0.5,R1&amp;".","")&amp;IF(S2&lt;0.5,S1&amp;".","")&amp;IF(T2&lt;0.5,T1&amp;".","")&amp;IF(U2&lt;0.5,U1&amp;".","")&amp;IF(V2&lt;0.5,V1&amp;".","")</f>
        <v/>
      </c>
      <c r="AL15" s="389"/>
      <c r="AM15" s="389" t="str">
        <f ca="1">IF(W2&lt;0.5,W1&amp;".","")&amp;IF(Y2&lt;0.5,Y1&amp;".","")&amp;IF(Z2&lt;0.5,Z1&amp;".","")&amp;IF(AA2&lt;0.5,AA1&amp;".","")&amp;IF(AB2&lt;0.5,AB1&amp;".","")&amp;IF(AC2&lt;0.5,AC1&amp;".","")&amp;IF(AD2&lt;0.5,AD1&amp;".","")&amp;IF(AE2&lt;0.5,AE1&amp;".","")&amp;IF(AF2&lt;0.5,AF1&amp;".","")</f>
        <v/>
      </c>
      <c r="AN15" s="389"/>
      <c r="AO15" s="389" t="str">
        <f ca="1">IF(AG2&lt;0.5,AG1&amp;".","")&amp;IF(AH2&lt;0.5,AH1&amp;".","")&amp;IF(AI2&lt;0.5,AI1&amp;".","")&amp;IF(AJ2&lt;0.5,AJ1&amp;".","")&amp;IF(AK2&lt;0.5,AK1&amp;".","")&amp;IF(AL2&lt;0.5,AL1&amp;".","")&amp;IF(AM2&lt;0.5,AM1&amp;".","")&amp;IF(AO2&lt;0.5,AO1&amp;".","")&amp;IF(AP2&lt;0.5,AP1&amp;".","")&amp;IF(AQ2&lt;0.5,AQ1&amp;".","")&amp;IF(AR2&lt;0.5,AR1&amp;".","")&amp;IF(AS2&lt;0.5,AS1&amp;".","")</f>
        <v/>
      </c>
      <c r="AP15" s="389"/>
      <c r="AQ15" s="389"/>
      <c r="AR15" s="5702" t="str">
        <f>ROWS(AW6:AW329)-SUBTOTAL(103,AW6:AW329)&amp;" "&amp;"Lignes masquées"</f>
        <v>0 Lignes masquées</v>
      </c>
      <c r="AS15" s="5668"/>
      <c r="AW15" s="5665" t="s">
        <v>21</v>
      </c>
      <c r="AX15" s="320" t="s">
        <v>18</v>
      </c>
      <c r="AY15" s="228"/>
      <c r="AZ15" s="228"/>
      <c r="BA15" s="227"/>
      <c r="BB15" s="227"/>
      <c r="BC15" s="5661"/>
      <c r="BD15" s="1065" t="s">
        <v>8470</v>
      </c>
      <c r="BE15" s="5705"/>
      <c r="BF15" s="5705"/>
      <c r="BG15" s="5705"/>
      <c r="BH15" s="5705"/>
      <c r="BI15" s="5705"/>
      <c r="BJ15" s="5706"/>
      <c r="BL15" s="5707" t="s">
        <v>853</v>
      </c>
      <c r="BM15" s="5673"/>
      <c r="BN15" s="5674"/>
      <c r="BO15" s="955"/>
      <c r="BP15" s="955"/>
      <c r="BQ15" s="955"/>
      <c r="BR15" s="956"/>
      <c r="BT15" s="5698" t="s">
        <v>224</v>
      </c>
      <c r="BU15" s="273">
        <v>0</v>
      </c>
      <c r="BV15" s="5699" t="s">
        <v>868</v>
      </c>
      <c r="BX15" s="5">
        <v>1</v>
      </c>
    </row>
    <row r="16" spans="1:79" ht="21" customHeight="1">
      <c r="A16" s="5641" t="s">
        <v>1</v>
      </c>
      <c r="B16" s="5662" t="str">
        <f t="shared" si="9"/>
        <v>A</v>
      </c>
      <c r="C16" s="5675"/>
      <c r="D16" s="5181"/>
      <c r="E16" s="5181"/>
      <c r="F16" s="5181"/>
      <c r="G16" s="5181"/>
      <c r="H16" s="5181"/>
      <c r="I16" s="5181"/>
      <c r="J16" s="5181"/>
      <c r="K16" s="106" t="s">
        <v>1</v>
      </c>
      <c r="L16" s="5666" t="s">
        <v>21</v>
      </c>
      <c r="M16" s="5708"/>
      <c r="N16" s="5708"/>
      <c r="O16" s="5708"/>
      <c r="P16" s="5708"/>
      <c r="Q16" s="7311" t="s">
        <v>8471</v>
      </c>
      <c r="R16" s="7311"/>
      <c r="S16" s="7311"/>
      <c r="T16" s="7311"/>
      <c r="U16" s="7311"/>
      <c r="V16" s="7311"/>
      <c r="W16" s="5709"/>
      <c r="X16" s="5709"/>
      <c r="Y16" s="7312" t="s">
        <v>8472</v>
      </c>
      <c r="Z16" s="7312"/>
      <c r="AA16" s="7312"/>
      <c r="AB16" s="7312"/>
      <c r="AC16" s="5710"/>
      <c r="AD16" s="8555"/>
      <c r="AE16" s="5711"/>
      <c r="AF16" s="5712"/>
      <c r="AG16" s="5712"/>
      <c r="AH16" s="5712"/>
      <c r="AI16" s="5713"/>
      <c r="AJ16" s="5713"/>
      <c r="AK16" s="5714" t="s">
        <v>8473</v>
      </c>
      <c r="AL16" s="5713"/>
      <c r="AM16" s="7313" t="s">
        <v>8474</v>
      </c>
      <c r="AN16" s="6865"/>
      <c r="AO16" s="5709"/>
      <c r="AP16" s="5709"/>
      <c r="AQ16" s="5709"/>
      <c r="AR16" s="5709"/>
      <c r="AS16" s="7315" t="str">
        <f>R8</f>
        <v>recette Béghin Say de Jean-Jacques Borne MOF 1994</v>
      </c>
      <c r="AW16" s="5665" t="s">
        <v>21</v>
      </c>
      <c r="AX16" s="5715"/>
      <c r="AY16" s="5715"/>
      <c r="AZ16" s="5715"/>
      <c r="BA16" s="5715"/>
      <c r="BB16" s="5715"/>
      <c r="BC16" s="5661"/>
      <c r="BD16" s="5716" t="s">
        <v>8475</v>
      </c>
      <c r="BE16" s="5717"/>
      <c r="BF16" s="5705"/>
      <c r="BG16" s="5705"/>
      <c r="BH16" s="5705"/>
      <c r="BI16" s="5705"/>
      <c r="BJ16" s="5706"/>
      <c r="BL16" s="5707" t="s">
        <v>195</v>
      </c>
      <c r="BM16" s="5673"/>
      <c r="BN16" s="5674"/>
      <c r="BO16" s="955"/>
      <c r="BP16" s="955"/>
      <c r="BQ16" s="955"/>
      <c r="BR16" s="956"/>
      <c r="BT16" s="5124" t="s">
        <v>130</v>
      </c>
      <c r="BU16" s="240">
        <f t="shared" ref="BU16:BU79" si="10">BV16 / 1000</f>
        <v>1E-3</v>
      </c>
      <c r="BV16" s="5718">
        <v>1</v>
      </c>
      <c r="BX16" s="5">
        <v>1</v>
      </c>
    </row>
    <row r="17" spans="1:76" ht="21" customHeight="1">
      <c r="A17" s="5641" t="s">
        <v>1</v>
      </c>
      <c r="B17" s="5662" t="str">
        <f t="shared" si="9"/>
        <v>A</v>
      </c>
      <c r="C17" s="5675"/>
      <c r="D17" s="5181"/>
      <c r="E17" s="5181"/>
      <c r="F17" s="5181"/>
      <c r="G17" s="5181"/>
      <c r="H17" s="5181"/>
      <c r="I17" s="5181"/>
      <c r="J17" s="5181"/>
      <c r="K17" s="106" t="s">
        <v>1</v>
      </c>
      <c r="L17" s="5666" t="s">
        <v>21</v>
      </c>
      <c r="M17" s="5708"/>
      <c r="N17" s="5708"/>
      <c r="O17" s="5708"/>
      <c r="P17" s="5708"/>
      <c r="Q17" s="7311"/>
      <c r="R17" s="7311"/>
      <c r="S17" s="7311"/>
      <c r="T17" s="7311"/>
      <c r="U17" s="7311"/>
      <c r="V17" s="7311"/>
      <c r="W17" s="5719"/>
      <c r="X17" s="5719"/>
      <c r="Y17" s="7312"/>
      <c r="Z17" s="7312"/>
      <c r="AA17" s="7312"/>
      <c r="AB17" s="7312"/>
      <c r="AC17" s="5710"/>
      <c r="AD17" s="8556" t="str">
        <f>" Pour 1 "&amp;AR10</f>
        <v xml:space="preserve"> Pour 1 assiettes</v>
      </c>
      <c r="AE17" s="5711"/>
      <c r="AF17" s="5712"/>
      <c r="AG17" s="5712"/>
      <c r="AH17" s="5712"/>
      <c r="AI17" s="5714"/>
      <c r="AJ17" s="5714"/>
      <c r="AK17" s="5714" t="s">
        <v>8476</v>
      </c>
      <c r="AL17" s="5713"/>
      <c r="AM17" s="7313"/>
      <c r="AN17" s="6865"/>
      <c r="AO17" s="5709"/>
      <c r="AP17" s="5709"/>
      <c r="AQ17" s="5709"/>
      <c r="AR17" s="5709"/>
      <c r="AS17" s="7315"/>
      <c r="AW17" s="5665" t="s">
        <v>21</v>
      </c>
      <c r="AX17" s="5720" t="s">
        <v>199</v>
      </c>
      <c r="AY17" s="234"/>
      <c r="AZ17" s="234"/>
      <c r="BA17" s="234"/>
      <c r="BB17" s="234"/>
      <c r="BC17" s="5661"/>
      <c r="BD17" s="5721" t="s">
        <v>8477</v>
      </c>
      <c r="BE17" s="5717"/>
      <c r="BF17" s="5705"/>
      <c r="BG17" s="5705"/>
      <c r="BH17" s="5705"/>
      <c r="BI17" s="5705"/>
      <c r="BJ17" s="5706"/>
      <c r="BL17" s="5722" t="s">
        <v>860</v>
      </c>
      <c r="BM17" s="5723"/>
      <c r="BN17" s="5674"/>
      <c r="BO17" s="955"/>
      <c r="BP17" s="955"/>
      <c r="BQ17" s="955"/>
      <c r="BR17" s="956"/>
      <c r="BT17" s="5133" t="s">
        <v>219</v>
      </c>
      <c r="BU17" s="240">
        <f t="shared" si="10"/>
        <v>1</v>
      </c>
      <c r="BV17" s="5718">
        <v>1000</v>
      </c>
      <c r="BX17" s="5">
        <v>1</v>
      </c>
    </row>
    <row r="18" spans="1:76" s="1" customFormat="1" ht="21" customHeight="1">
      <c r="A18" s="5641" t="s">
        <v>1</v>
      </c>
      <c r="B18" s="5662" t="str">
        <f t="shared" si="9"/>
        <v>A</v>
      </c>
      <c r="C18" s="5675"/>
      <c r="D18" s="5181"/>
      <c r="E18" s="5181"/>
      <c r="F18" s="5181"/>
      <c r="G18" s="5181"/>
      <c r="H18" s="5181"/>
      <c r="I18" s="5181"/>
      <c r="J18" s="5181"/>
      <c r="K18" s="106" t="s">
        <v>1</v>
      </c>
      <c r="L18" s="5666" t="s">
        <v>21</v>
      </c>
      <c r="M18" s="5708"/>
      <c r="N18" s="5708"/>
      <c r="O18" s="5708"/>
      <c r="P18" s="5708"/>
      <c r="Q18" s="5724" t="s">
        <v>8478</v>
      </c>
      <c r="R18" s="5724"/>
      <c r="S18" s="5725"/>
      <c r="T18" s="5725"/>
      <c r="U18" s="5726" t="s">
        <v>8479</v>
      </c>
      <c r="V18" s="5726" t="s">
        <v>8480</v>
      </c>
      <c r="W18" s="5709"/>
      <c r="X18" s="5709"/>
      <c r="Y18" s="5727" t="s">
        <v>3203</v>
      </c>
      <c r="Z18" s="5728" t="s">
        <v>8481</v>
      </c>
      <c r="AA18" s="5711"/>
      <c r="AB18" s="5709"/>
      <c r="AC18" s="5710"/>
      <c r="AD18" s="5729" t="s">
        <v>198</v>
      </c>
      <c r="AE18" s="5729" t="s">
        <v>2468</v>
      </c>
      <c r="AF18" s="5730"/>
      <c r="AG18" s="5730"/>
      <c r="AH18" s="5730"/>
      <c r="AI18" s="5730"/>
      <c r="AJ18" s="5731"/>
      <c r="AK18" s="5732" t="s">
        <v>8482</v>
      </c>
      <c r="AL18" s="5733"/>
      <c r="AM18" s="7314"/>
      <c r="AN18" s="8538"/>
      <c r="AO18" s="5709"/>
      <c r="AP18" s="5709"/>
      <c r="AQ18" s="5709"/>
      <c r="AR18" s="5709"/>
      <c r="AS18" s="7315"/>
      <c r="AT18" s="4"/>
      <c r="AU18" s="4"/>
      <c r="AV18" s="4"/>
      <c r="AW18" s="5665" t="s">
        <v>21</v>
      </c>
      <c r="AX18" s="5720"/>
      <c r="AY18" s="228"/>
      <c r="AZ18" s="234"/>
      <c r="BA18" s="234"/>
      <c r="BB18" s="234"/>
      <c r="BC18" s="5661"/>
      <c r="BD18" s="5716" t="s">
        <v>8483</v>
      </c>
      <c r="BE18" s="5717"/>
      <c r="BF18" s="5705"/>
      <c r="BG18" s="5705"/>
      <c r="BH18" s="5705"/>
      <c r="BI18" s="5705"/>
      <c r="BJ18" s="5706"/>
      <c r="BL18" s="5734"/>
      <c r="BM18" s="234"/>
      <c r="BN18" s="234"/>
      <c r="BO18" s="955"/>
      <c r="BP18" s="955"/>
      <c r="BQ18" s="955"/>
      <c r="BR18" s="956"/>
      <c r="BT18" s="5132" t="s">
        <v>188</v>
      </c>
      <c r="BU18" s="240">
        <f t="shared" si="10"/>
        <v>0.25</v>
      </c>
      <c r="BV18" s="5718">
        <v>250</v>
      </c>
      <c r="BX18" s="5">
        <v>1</v>
      </c>
    </row>
    <row r="19" spans="1:76" s="1" customFormat="1" ht="21" customHeight="1">
      <c r="A19" s="5641" t="s">
        <v>1</v>
      </c>
      <c r="B19" s="5662" t="str">
        <f t="shared" si="9"/>
        <v>A</v>
      </c>
      <c r="C19" s="5675"/>
      <c r="D19" s="5181"/>
      <c r="E19" s="5181"/>
      <c r="F19" s="5181"/>
      <c r="G19" s="5181"/>
      <c r="H19" s="5181"/>
      <c r="I19" s="5181"/>
      <c r="J19" s="5181"/>
      <c r="K19" s="106" t="s">
        <v>1</v>
      </c>
      <c r="L19" s="5666" t="s">
        <v>21</v>
      </c>
      <c r="M19" s="5708"/>
      <c r="N19" s="5708"/>
      <c r="O19" s="5708"/>
      <c r="P19" s="5708"/>
      <c r="Q19" s="7316">
        <f>IF(ISBLANK(Q41),0,Q41)</f>
        <v>18</v>
      </c>
      <c r="R19" s="7325" t="str">
        <f>IF(ISBLANK(R41),0,R41)</f>
        <v>assiettes</v>
      </c>
      <c r="S19" s="5735"/>
      <c r="T19" s="5735"/>
      <c r="U19" s="7327">
        <f>IFERROR(V19/Q19,0)</f>
        <v>3.2000000000000001E-2</v>
      </c>
      <c r="V19" s="7327">
        <f>IF(Y61=0,0,Y61)</f>
        <v>0.57600000000000007</v>
      </c>
      <c r="W19" s="5709"/>
      <c r="X19" s="5709"/>
      <c r="Y19" s="7329">
        <v>20</v>
      </c>
      <c r="Z19" s="7331" t="str">
        <f>IF(Y19&gt;0,R19,"")</f>
        <v>assiettes</v>
      </c>
      <c r="AA19" s="7333">
        <f>IF(ISBLANK(Y19),0,(V19/Q19)*Y19)</f>
        <v>0.64</v>
      </c>
      <c r="AB19" s="5709"/>
      <c r="AC19" s="5710"/>
      <c r="AD19" s="8557" t="str">
        <f>TEXT((AK19/AQ10)*1000,"0.0") &amp; " g"</f>
        <v>32.0 g</v>
      </c>
      <c r="AE19" s="7318" t="str">
        <f>IF(AM19="","",TEXT((AM19/AQ10)*1000,"0.0") &amp; " g")</f>
        <v/>
      </c>
      <c r="AF19" s="7318"/>
      <c r="AG19" s="5737"/>
      <c r="AH19" s="5737"/>
      <c r="AI19" s="5737"/>
      <c r="AJ19" s="7319" t="str">
        <f>"pour "&amp;AQ10</f>
        <v>pour 45</v>
      </c>
      <c r="AK19" s="7320">
        <f>IF(U19*Q19=0,0,U19*AQ10)</f>
        <v>1.44</v>
      </c>
      <c r="AL19" s="7321"/>
      <c r="AM19" s="7322"/>
      <c r="AN19" s="8539" t="str">
        <f>T37</f>
        <v>CHIBOUST PAMPLEMOUSSE</v>
      </c>
      <c r="AO19" s="8540"/>
      <c r="AP19" s="8540"/>
      <c r="AQ19" s="8540"/>
      <c r="AR19" s="7324"/>
      <c r="AS19" s="7315"/>
      <c r="AT19" s="4"/>
      <c r="AU19" s="4"/>
      <c r="AV19" s="4"/>
      <c r="AW19" s="5665" t="s">
        <v>21</v>
      </c>
      <c r="AX19" s="5720" t="s">
        <v>187</v>
      </c>
      <c r="AY19" s="234"/>
      <c r="AZ19" s="234"/>
      <c r="BA19" s="234"/>
      <c r="BB19" s="234"/>
      <c r="BC19" s="5661"/>
      <c r="BD19" s="5716"/>
      <c r="BE19" s="5738" t="s">
        <v>8484</v>
      </c>
      <c r="BF19" s="5705"/>
      <c r="BG19" s="5705"/>
      <c r="BH19" s="5705"/>
      <c r="BI19" s="5705"/>
      <c r="BJ19" s="5706"/>
      <c r="BL19" s="5739"/>
      <c r="BM19" s="5740" t="s">
        <v>88</v>
      </c>
      <c r="BN19" s="5741" t="s">
        <v>170</v>
      </c>
      <c r="BO19" s="955"/>
      <c r="BP19" s="955"/>
      <c r="BQ19" s="955"/>
      <c r="BR19" s="956"/>
      <c r="BT19" s="5132" t="s">
        <v>179</v>
      </c>
      <c r="BU19" s="240">
        <f t="shared" si="10"/>
        <v>0.5</v>
      </c>
      <c r="BV19" s="5718">
        <v>500</v>
      </c>
      <c r="BX19" s="5">
        <v>1</v>
      </c>
    </row>
    <row r="20" spans="1:76" s="1" customFormat="1" ht="21" customHeight="1">
      <c r="A20" s="5641" t="s">
        <v>1</v>
      </c>
      <c r="B20" s="5662" t="str">
        <f t="shared" si="9"/>
        <v>A</v>
      </c>
      <c r="C20" s="5675"/>
      <c r="D20" s="5181"/>
      <c r="E20" s="5181"/>
      <c r="F20" s="5181"/>
      <c r="G20" s="5181"/>
      <c r="H20" s="5181"/>
      <c r="I20" s="5181"/>
      <c r="J20" s="5181"/>
      <c r="K20" s="106" t="s">
        <v>1</v>
      </c>
      <c r="L20" s="5666" t="s">
        <v>21</v>
      </c>
      <c r="M20" s="5708"/>
      <c r="N20" s="5708"/>
      <c r="O20" s="5708"/>
      <c r="P20" s="5708"/>
      <c r="Q20" s="7317"/>
      <c r="R20" s="7326"/>
      <c r="S20" s="5742"/>
      <c r="T20" s="5742"/>
      <c r="U20" s="7328"/>
      <c r="V20" s="7328"/>
      <c r="W20" s="5709"/>
      <c r="X20" s="5709"/>
      <c r="Y20" s="7330"/>
      <c r="Z20" s="7332"/>
      <c r="AA20" s="7334"/>
      <c r="AB20" s="5709"/>
      <c r="AC20" s="5710"/>
      <c r="AD20" s="8557"/>
      <c r="AE20" s="7318"/>
      <c r="AF20" s="7318"/>
      <c r="AG20" s="5737"/>
      <c r="AH20" s="5737"/>
      <c r="AI20" s="5737"/>
      <c r="AJ20" s="7319"/>
      <c r="AK20" s="7320"/>
      <c r="AL20" s="7321"/>
      <c r="AM20" s="7323"/>
      <c r="AN20" s="8539"/>
      <c r="AO20" s="8540"/>
      <c r="AP20" s="8540"/>
      <c r="AQ20" s="8540"/>
      <c r="AR20" s="7324"/>
      <c r="AS20" s="7315"/>
      <c r="AT20" s="4"/>
      <c r="AU20" s="4"/>
      <c r="AV20" s="4"/>
      <c r="AW20" s="5665" t="s">
        <v>21</v>
      </c>
      <c r="AX20" s="5720"/>
      <c r="AY20" s="228"/>
      <c r="AZ20" s="228"/>
      <c r="BA20" s="227"/>
      <c r="BB20" s="227"/>
      <c r="BC20" s="5661"/>
      <c r="BD20" s="5716"/>
      <c r="BE20" s="5743" t="s">
        <v>8485</v>
      </c>
      <c r="BF20" s="5705"/>
      <c r="BG20" s="5705"/>
      <c r="BH20" s="5705"/>
      <c r="BI20" s="5705"/>
      <c r="BJ20" s="5706"/>
      <c r="BL20" s="5739"/>
      <c r="BM20" s="5740" t="s">
        <v>172</v>
      </c>
      <c r="BN20" s="5741" t="s">
        <v>166</v>
      </c>
      <c r="BO20" s="955"/>
      <c r="BP20" s="955"/>
      <c r="BQ20" s="955"/>
      <c r="BR20" s="956"/>
      <c r="BT20" s="5132" t="s">
        <v>176</v>
      </c>
      <c r="BU20" s="240">
        <f t="shared" si="10"/>
        <v>0.33332999999999996</v>
      </c>
      <c r="BV20" s="5718">
        <v>333.33</v>
      </c>
      <c r="BX20" s="5">
        <v>1</v>
      </c>
    </row>
    <row r="21" spans="1:76" s="1" customFormat="1" ht="21" customHeight="1">
      <c r="A21" s="5641" t="s">
        <v>1</v>
      </c>
      <c r="B21" s="5662" t="str">
        <f t="shared" si="9"/>
        <v>A</v>
      </c>
      <c r="C21" s="5675"/>
      <c r="D21" s="5181"/>
      <c r="E21" s="5181"/>
      <c r="F21" s="5181"/>
      <c r="G21" s="5181"/>
      <c r="H21" s="5181"/>
      <c r="I21" s="5181"/>
      <c r="J21" s="5181"/>
      <c r="K21" s="106" t="s">
        <v>1</v>
      </c>
      <c r="L21" s="5666" t="s">
        <v>21</v>
      </c>
      <c r="M21" s="5708"/>
      <c r="N21" s="5708"/>
      <c r="O21" s="5708"/>
      <c r="P21" s="5708"/>
      <c r="Q21" s="7316">
        <f>IF(ISBLANK(Q90),0,Q90)</f>
        <v>18</v>
      </c>
      <c r="R21" s="7325" t="str">
        <f>IF(ISBLANK(R90),0,R90)</f>
        <v>assiettes</v>
      </c>
      <c r="S21" s="5735"/>
      <c r="T21" s="5735"/>
      <c r="U21" s="7327">
        <f>IFERROR(V21/Q21,0)</f>
        <v>1.8333333333333337E-2</v>
      </c>
      <c r="V21" s="7327">
        <f>IF(Y110=0,0,Y110)</f>
        <v>0.33000000000000007</v>
      </c>
      <c r="W21" s="5709"/>
      <c r="X21" s="5709"/>
      <c r="Y21" s="7329">
        <v>5</v>
      </c>
      <c r="Z21" s="7331" t="str">
        <f>IF(Y21&gt;0,R21,"")</f>
        <v>assiettes</v>
      </c>
      <c r="AA21" s="7333">
        <f>IF(ISBLANK(Y21),0,(V21/Q21)*Y21)</f>
        <v>9.1666666666666688E-2</v>
      </c>
      <c r="AB21" s="5709"/>
      <c r="AC21" s="5710"/>
      <c r="AD21" s="8557" t="str">
        <f>TEXT((AK21/AQ10)*1000,"0.0") &amp; " g"</f>
        <v>18.3 g</v>
      </c>
      <c r="AE21" s="7318" t="str">
        <f>IF(AM21="","",TEXT((AM21/AQ10)*1000,"0.0") &amp; " g")</f>
        <v/>
      </c>
      <c r="AF21" s="7318"/>
      <c r="AG21" s="5737"/>
      <c r="AH21" s="5737"/>
      <c r="AI21" s="5737"/>
      <c r="AJ21" s="7319" t="str">
        <f>"pour "&amp;AQ10</f>
        <v>pour 45</v>
      </c>
      <c r="AK21" s="7320">
        <f>IF(U21*Q21=0,0,U21*AQ10)</f>
        <v>0.82500000000000018</v>
      </c>
      <c r="AL21" s="7321"/>
      <c r="AM21" s="7322"/>
      <c r="AN21" s="8539" t="str">
        <f>T86</f>
        <v>FEUILLES DE MERINGUE</v>
      </c>
      <c r="AO21" s="8540"/>
      <c r="AP21" s="8540"/>
      <c r="AQ21" s="8540"/>
      <c r="AR21" s="7324"/>
      <c r="AS21" s="7315"/>
      <c r="AT21" s="4"/>
      <c r="AU21" s="4"/>
      <c r="AV21" s="4"/>
      <c r="AW21" s="5665" t="s">
        <v>21</v>
      </c>
      <c r="AX21" s="5720" t="s">
        <v>178</v>
      </c>
      <c r="AY21" s="228"/>
      <c r="AZ21" s="228"/>
      <c r="BA21" s="227"/>
      <c r="BB21" s="227"/>
      <c r="BC21" s="5661"/>
      <c r="BD21" s="5744"/>
      <c r="BE21" s="5745" t="s">
        <v>8486</v>
      </c>
      <c r="BF21" s="5705"/>
      <c r="BG21" s="5705"/>
      <c r="BH21" s="5705"/>
      <c r="BI21" s="5705"/>
      <c r="BJ21" s="5706"/>
      <c r="BL21" s="5739"/>
      <c r="BM21" s="5746" t="s">
        <v>111</v>
      </c>
      <c r="BN21" s="5747" t="s">
        <v>130</v>
      </c>
      <c r="BO21" s="955"/>
      <c r="BP21" s="955"/>
      <c r="BQ21" s="955"/>
      <c r="BR21" s="956"/>
      <c r="BT21" s="5129" t="s">
        <v>166</v>
      </c>
      <c r="BU21" s="271">
        <f t="shared" si="10"/>
        <v>1E-3</v>
      </c>
      <c r="BV21" s="5748">
        <v>1</v>
      </c>
      <c r="BX21" s="5">
        <v>1</v>
      </c>
    </row>
    <row r="22" spans="1:76" s="1" customFormat="1" ht="21" customHeight="1">
      <c r="A22" s="5641" t="s">
        <v>1</v>
      </c>
      <c r="B22" s="5662" t="str">
        <f t="shared" si="9"/>
        <v>A</v>
      </c>
      <c r="C22" s="5675"/>
      <c r="D22" s="5181"/>
      <c r="E22" s="5181"/>
      <c r="F22" s="5181"/>
      <c r="G22" s="5181"/>
      <c r="H22" s="5181"/>
      <c r="I22" s="5181"/>
      <c r="J22" s="5181"/>
      <c r="K22" s="106" t="s">
        <v>1</v>
      </c>
      <c r="L22" s="5666" t="s">
        <v>21</v>
      </c>
      <c r="M22" s="5708"/>
      <c r="N22" s="5708"/>
      <c r="O22" s="5708"/>
      <c r="P22" s="5708"/>
      <c r="Q22" s="7317"/>
      <c r="R22" s="7326"/>
      <c r="S22" s="5742"/>
      <c r="T22" s="5742"/>
      <c r="U22" s="7328"/>
      <c r="V22" s="7328"/>
      <c r="W22" s="5709"/>
      <c r="X22" s="5709"/>
      <c r="Y22" s="7330"/>
      <c r="Z22" s="7332"/>
      <c r="AA22" s="7334"/>
      <c r="AB22" s="5709"/>
      <c r="AC22" s="5710"/>
      <c r="AD22" s="8557"/>
      <c r="AE22" s="7318"/>
      <c r="AF22" s="7318"/>
      <c r="AG22" s="5737"/>
      <c r="AH22" s="5737"/>
      <c r="AI22" s="5737"/>
      <c r="AJ22" s="7319"/>
      <c r="AK22" s="7320"/>
      <c r="AL22" s="7321"/>
      <c r="AM22" s="7323"/>
      <c r="AN22" s="8539"/>
      <c r="AO22" s="8540"/>
      <c r="AP22" s="8540"/>
      <c r="AQ22" s="8540"/>
      <c r="AR22" s="7324"/>
      <c r="AS22" s="7315"/>
      <c r="AT22" s="4"/>
      <c r="AU22" s="4"/>
      <c r="AV22" s="4"/>
      <c r="AW22" s="5665" t="s">
        <v>21</v>
      </c>
      <c r="AX22" s="255"/>
      <c r="AY22" s="228"/>
      <c r="AZ22" s="228"/>
      <c r="BA22" s="227"/>
      <c r="BB22" s="227"/>
      <c r="BC22" s="5661"/>
      <c r="BD22" s="5749"/>
      <c r="BE22" s="5743" t="s">
        <v>8459</v>
      </c>
      <c r="BF22" s="5705"/>
      <c r="BG22" s="5705"/>
      <c r="BH22" s="5750">
        <v>45</v>
      </c>
      <c r="BI22" s="5751" t="s">
        <v>157</v>
      </c>
      <c r="BJ22" s="5706"/>
      <c r="BL22" s="5739"/>
      <c r="BM22" s="5752" t="s">
        <v>159</v>
      </c>
      <c r="BN22" s="5753" t="s">
        <v>155</v>
      </c>
      <c r="BO22" s="955"/>
      <c r="BP22" s="955"/>
      <c r="BQ22" s="955"/>
      <c r="BR22" s="956"/>
      <c r="BT22" s="5129" t="s">
        <v>170</v>
      </c>
      <c r="BU22" s="271">
        <f t="shared" si="10"/>
        <v>0.01</v>
      </c>
      <c r="BV22" s="5748">
        <v>10</v>
      </c>
      <c r="BX22" s="5">
        <v>1</v>
      </c>
    </row>
    <row r="23" spans="1:76" s="1" customFormat="1" ht="21" customHeight="1">
      <c r="A23" s="5641" t="s">
        <v>1</v>
      </c>
      <c r="B23" s="5662" t="str">
        <f t="shared" si="9"/>
        <v>A</v>
      </c>
      <c r="C23" s="5675"/>
      <c r="D23" s="5181"/>
      <c r="E23" s="5181"/>
      <c r="F23" s="5181"/>
      <c r="G23" s="5181"/>
      <c r="H23" s="5181"/>
      <c r="I23" s="5181"/>
      <c r="J23" s="5181"/>
      <c r="K23" s="106" t="s">
        <v>1</v>
      </c>
      <c r="L23" s="5666" t="s">
        <v>21</v>
      </c>
      <c r="M23" s="5708"/>
      <c r="N23" s="5708"/>
      <c r="O23" s="5708"/>
      <c r="P23" s="5708"/>
      <c r="Q23" s="7316">
        <f>IF(ISBLANK(Q139),0,Q139)</f>
        <v>18</v>
      </c>
      <c r="R23" s="7325" t="str">
        <f>IF(ISBLANK(R139),0,R139)</f>
        <v>assiettes</v>
      </c>
      <c r="S23" s="5735"/>
      <c r="T23" s="5735"/>
      <c r="U23" s="7327">
        <f>IFERROR(V23/Q23,0)</f>
        <v>1.7500000000000002E-2</v>
      </c>
      <c r="V23" s="7327">
        <f>IF(Y159=0,0,Y159)</f>
        <v>0.315</v>
      </c>
      <c r="W23" s="5709"/>
      <c r="X23" s="5709"/>
      <c r="Y23" s="7329">
        <v>16</v>
      </c>
      <c r="Z23" s="7331" t="str">
        <f>IF(Y23&gt;0,R23,"")</f>
        <v>assiettes</v>
      </c>
      <c r="AA23" s="7333">
        <f>IF(ISBLANK(Y23),0,(V23/Q23)*Y23)</f>
        <v>0.28000000000000003</v>
      </c>
      <c r="AB23" s="5709"/>
      <c r="AC23" s="5710"/>
      <c r="AD23" s="8557" t="str">
        <f>TEXT((AK23/AQ10)*1000,"0.0") &amp; " g"</f>
        <v>17.5 g</v>
      </c>
      <c r="AE23" s="7318" t="str">
        <f>IF(AM23="","",TEXT((AM23/AQ10)*1000,"0.0") &amp; " g")</f>
        <v/>
      </c>
      <c r="AF23" s="7318"/>
      <c r="AG23" s="5737"/>
      <c r="AH23" s="5737"/>
      <c r="AI23" s="5737"/>
      <c r="AJ23" s="7319" t="str">
        <f>"pour "&amp;AQ10</f>
        <v>pour 45</v>
      </c>
      <c r="AK23" s="7320">
        <f>IF(U23*Q23=0,0,U23*AQ10)</f>
        <v>0.78750000000000009</v>
      </c>
      <c r="AL23" s="7321"/>
      <c r="AM23" s="7322"/>
      <c r="AN23" s="8539" t="str">
        <f>T135</f>
        <v>COULIS DE MANGUE</v>
      </c>
      <c r="AO23" s="8540"/>
      <c r="AP23" s="8540"/>
      <c r="AQ23" s="8540"/>
      <c r="AR23" s="7324"/>
      <c r="AS23" s="7315"/>
      <c r="AT23" s="4"/>
      <c r="AU23" s="4"/>
      <c r="AV23" s="4"/>
      <c r="AW23" s="5665" t="s">
        <v>21</v>
      </c>
      <c r="AX23" s="234"/>
      <c r="AY23" s="234"/>
      <c r="AZ23" s="234"/>
      <c r="BA23" s="234"/>
      <c r="BB23" s="234"/>
      <c r="BC23" s="5661"/>
      <c r="BD23" s="5754"/>
      <c r="BE23" s="5755" t="s">
        <v>8487</v>
      </c>
      <c r="BF23" s="5756"/>
      <c r="BG23" s="5756"/>
      <c r="BH23" s="5757"/>
      <c r="BI23" s="5757"/>
      <c r="BJ23" s="5758"/>
      <c r="BL23" s="5739"/>
      <c r="BM23" s="5752" t="s">
        <v>164</v>
      </c>
      <c r="BN23" s="5759" t="s">
        <v>946</v>
      </c>
      <c r="BO23" s="955"/>
      <c r="BP23" s="955"/>
      <c r="BQ23" s="955"/>
      <c r="BR23" s="956"/>
      <c r="BT23" s="5129" t="s">
        <v>172</v>
      </c>
      <c r="BU23" s="271">
        <f t="shared" si="10"/>
        <v>0.1</v>
      </c>
      <c r="BV23" s="5748">
        <v>100</v>
      </c>
      <c r="BX23" s="5">
        <v>1</v>
      </c>
    </row>
    <row r="24" spans="1:76" s="1" customFormat="1" ht="21" customHeight="1">
      <c r="A24" s="5641" t="s">
        <v>1</v>
      </c>
      <c r="B24" s="5662" t="str">
        <f t="shared" si="9"/>
        <v>A</v>
      </c>
      <c r="C24" s="5675"/>
      <c r="D24" s="5181"/>
      <c r="E24" s="5181"/>
      <c r="F24" s="5181"/>
      <c r="G24" s="5181"/>
      <c r="H24" s="5181"/>
      <c r="I24" s="5181"/>
      <c r="J24" s="5181"/>
      <c r="K24" s="106" t="s">
        <v>1</v>
      </c>
      <c r="L24" s="5666" t="s">
        <v>21</v>
      </c>
      <c r="M24" s="5708"/>
      <c r="N24" s="5708"/>
      <c r="O24" s="5708"/>
      <c r="P24" s="5708"/>
      <c r="Q24" s="7317"/>
      <c r="R24" s="7326"/>
      <c r="S24" s="5742"/>
      <c r="T24" s="5742"/>
      <c r="U24" s="7328"/>
      <c r="V24" s="7328"/>
      <c r="W24" s="5709"/>
      <c r="X24" s="5709"/>
      <c r="Y24" s="7330"/>
      <c r="Z24" s="7332"/>
      <c r="AA24" s="7334"/>
      <c r="AB24" s="5709"/>
      <c r="AC24" s="5710"/>
      <c r="AD24" s="8557"/>
      <c r="AE24" s="7318"/>
      <c r="AF24" s="7318"/>
      <c r="AG24" s="5737"/>
      <c r="AH24" s="5737"/>
      <c r="AI24" s="5737"/>
      <c r="AJ24" s="7319"/>
      <c r="AK24" s="7320"/>
      <c r="AL24" s="7321"/>
      <c r="AM24" s="7323"/>
      <c r="AN24" s="8539"/>
      <c r="AO24" s="8540"/>
      <c r="AP24" s="8540"/>
      <c r="AQ24" s="8540"/>
      <c r="AR24" s="7324"/>
      <c r="AS24" s="7315"/>
      <c r="AT24" s="4"/>
      <c r="AU24" s="4"/>
      <c r="AV24" s="4"/>
      <c r="AW24" s="5665" t="s">
        <v>21</v>
      </c>
      <c r="AX24" s="234"/>
      <c r="AY24" s="234"/>
      <c r="AZ24" s="234"/>
      <c r="BA24" s="234"/>
      <c r="BB24" s="234"/>
      <c r="BC24" s="5661"/>
      <c r="BD24" s="5749"/>
      <c r="BE24" s="5760" t="s">
        <v>8488</v>
      </c>
      <c r="BF24" s="5705"/>
      <c r="BG24" s="5761"/>
      <c r="BH24" s="5757"/>
      <c r="BI24" s="5762" t="s">
        <v>8465</v>
      </c>
      <c r="BJ24" s="5706"/>
      <c r="BL24" s="5739"/>
      <c r="BM24" s="5763" t="s">
        <v>124</v>
      </c>
      <c r="BN24" s="5764"/>
      <c r="BO24" s="955"/>
      <c r="BP24" s="955"/>
      <c r="BQ24" s="955"/>
      <c r="BR24" s="956"/>
      <c r="BT24" s="5129" t="s">
        <v>88</v>
      </c>
      <c r="BU24" s="271">
        <f t="shared" si="10"/>
        <v>1</v>
      </c>
      <c r="BV24" s="5748">
        <v>1000</v>
      </c>
      <c r="BX24" s="5">
        <v>1</v>
      </c>
    </row>
    <row r="25" spans="1:76" s="1" customFormat="1" ht="21" customHeight="1">
      <c r="A25" s="5641" t="s">
        <v>1</v>
      </c>
      <c r="B25" s="5662" t="str">
        <f t="shared" si="9"/>
        <v>A</v>
      </c>
      <c r="C25" s="5675"/>
      <c r="D25" s="5765" t="s">
        <v>8489</v>
      </c>
      <c r="E25" s="5766" t="s">
        <v>8490</v>
      </c>
      <c r="F25" s="5181"/>
      <c r="G25" s="5181"/>
      <c r="H25" s="5181"/>
      <c r="I25" s="5181"/>
      <c r="J25" s="5181"/>
      <c r="K25" s="106" t="s">
        <v>1</v>
      </c>
      <c r="L25" s="5666" t="s">
        <v>21</v>
      </c>
      <c r="M25" s="5708"/>
      <c r="N25" s="5708"/>
      <c r="O25" s="5708"/>
      <c r="P25" s="5708"/>
      <c r="Q25" s="7316">
        <f>IF(ISBLANK(Q188),0,Q188)</f>
        <v>18</v>
      </c>
      <c r="R25" s="7325" t="str">
        <f>IF(ISBLANK(R188),0,R188)</f>
        <v>assiettes</v>
      </c>
      <c r="S25" s="5735"/>
      <c r="T25" s="5735"/>
      <c r="U25" s="7327">
        <f>IFERROR(V25/Q25,0)</f>
        <v>1.9444444444444445E-2</v>
      </c>
      <c r="V25" s="7327">
        <f>IF(Y208=0,0,Y208)</f>
        <v>0.35</v>
      </c>
      <c r="W25" s="5709"/>
      <c r="X25" s="5709"/>
      <c r="Y25" s="7329">
        <v>18</v>
      </c>
      <c r="Z25" s="7331" t="str">
        <f>IF(Y25&gt;0,R25,"")</f>
        <v>assiettes</v>
      </c>
      <c r="AA25" s="7333">
        <f>IF(ISBLANK(Y25),0,(V25/Q25)*Y25)</f>
        <v>0.35</v>
      </c>
      <c r="AB25" s="5709"/>
      <c r="AC25" s="5710"/>
      <c r="AD25" s="8557" t="str">
        <f>TEXT((AK25/AQ10)*1000,"0.0") &amp; " g"</f>
        <v>19.4 g</v>
      </c>
      <c r="AE25" s="7318" t="str">
        <f>IF(AM25="","",TEXT((AM25/AQ10)*1000,"0.0") &amp; " g")</f>
        <v/>
      </c>
      <c r="AF25" s="7318"/>
      <c r="AG25" s="5737"/>
      <c r="AH25" s="5737"/>
      <c r="AI25" s="5737"/>
      <c r="AJ25" s="7319" t="str">
        <f>"pour "&amp;AQ10</f>
        <v>pour 45</v>
      </c>
      <c r="AK25" s="7320">
        <f>IF(U25*Q25=0,0,U25*AQ10)</f>
        <v>0.875</v>
      </c>
      <c r="AL25" s="7321"/>
      <c r="AM25" s="7322"/>
      <c r="AN25" s="8539" t="str">
        <f>T184</f>
        <v>JUS DE FRAISES DES BOIS</v>
      </c>
      <c r="AO25" s="8540"/>
      <c r="AP25" s="8540"/>
      <c r="AQ25" s="8540"/>
      <c r="AR25" s="7324"/>
      <c r="AS25" s="7315"/>
      <c r="AT25" s="4"/>
      <c r="AU25" s="4"/>
      <c r="AV25" s="4"/>
      <c r="AW25" s="5665" t="s">
        <v>21</v>
      </c>
      <c r="AX25" s="234"/>
      <c r="AY25" s="234"/>
      <c r="AZ25" s="234"/>
      <c r="BA25" s="234"/>
      <c r="BB25" s="234"/>
      <c r="BC25" s="5661"/>
      <c r="BD25" s="5749"/>
      <c r="BE25" s="5767" t="s">
        <v>8491</v>
      </c>
      <c r="BF25" s="5705"/>
      <c r="BG25" s="5757"/>
      <c r="BH25" s="5705"/>
      <c r="BI25" s="5705"/>
      <c r="BJ25" s="5706"/>
      <c r="BL25" s="5734"/>
      <c r="BM25" s="1153" t="s">
        <v>226</v>
      </c>
      <c r="BN25" s="5768" t="s">
        <v>865</v>
      </c>
      <c r="BO25" s="955"/>
      <c r="BP25" s="955"/>
      <c r="BQ25" s="955"/>
      <c r="BR25" s="956"/>
      <c r="BT25" s="5131" t="s">
        <v>164</v>
      </c>
      <c r="BU25" s="271">
        <f t="shared" si="10"/>
        <v>0.25</v>
      </c>
      <c r="BV25" s="5748">
        <v>250</v>
      </c>
      <c r="BX25" s="5">
        <v>1</v>
      </c>
    </row>
    <row r="26" spans="1:76" s="1" customFormat="1" ht="21" customHeight="1">
      <c r="A26" s="5641" t="s">
        <v>1</v>
      </c>
      <c r="B26" s="5662" t="str">
        <f t="shared" si="9"/>
        <v>A</v>
      </c>
      <c r="C26" s="5675"/>
      <c r="D26" s="5765"/>
      <c r="E26" s="5766" t="s">
        <v>8492</v>
      </c>
      <c r="F26" s="5181"/>
      <c r="G26" s="5181"/>
      <c r="H26" s="5181"/>
      <c r="I26" s="5181"/>
      <c r="J26" s="5181"/>
      <c r="K26" s="106" t="s">
        <v>1</v>
      </c>
      <c r="L26" s="5666" t="s">
        <v>21</v>
      </c>
      <c r="M26" s="5708"/>
      <c r="N26" s="5708"/>
      <c r="O26" s="5708"/>
      <c r="P26" s="5708"/>
      <c r="Q26" s="7317"/>
      <c r="R26" s="7326"/>
      <c r="S26" s="5742"/>
      <c r="T26" s="5742"/>
      <c r="U26" s="7328"/>
      <c r="V26" s="7328"/>
      <c r="W26" s="5709"/>
      <c r="X26" s="5709"/>
      <c r="Y26" s="7330"/>
      <c r="Z26" s="7332"/>
      <c r="AA26" s="7334"/>
      <c r="AB26" s="5709"/>
      <c r="AC26" s="5710"/>
      <c r="AD26" s="8557"/>
      <c r="AE26" s="7318"/>
      <c r="AF26" s="7318"/>
      <c r="AG26" s="5737"/>
      <c r="AH26" s="5737"/>
      <c r="AI26" s="5737"/>
      <c r="AJ26" s="7319"/>
      <c r="AK26" s="7320"/>
      <c r="AL26" s="7321"/>
      <c r="AM26" s="7323"/>
      <c r="AN26" s="8539"/>
      <c r="AO26" s="8540"/>
      <c r="AP26" s="8540"/>
      <c r="AQ26" s="8540"/>
      <c r="AR26" s="7324"/>
      <c r="AS26" s="7315"/>
      <c r="AT26" s="4"/>
      <c r="AU26" s="4"/>
      <c r="AV26" s="4"/>
      <c r="AW26" s="5665" t="s">
        <v>21</v>
      </c>
      <c r="AX26" s="234"/>
      <c r="AY26" s="234"/>
      <c r="AZ26" s="234"/>
      <c r="BA26" s="234"/>
      <c r="BB26" s="234"/>
      <c r="BC26" s="5661"/>
      <c r="BD26" s="7336" t="s">
        <v>8493</v>
      </c>
      <c r="BE26" s="7337"/>
      <c r="BF26" s="7337"/>
      <c r="BG26" s="7337"/>
      <c r="BH26" s="7337"/>
      <c r="BI26" s="7337"/>
      <c r="BJ26" s="7338"/>
      <c r="BL26" s="5734"/>
      <c r="BM26" s="1153" t="s">
        <v>225</v>
      </c>
      <c r="BN26" s="5768" t="s">
        <v>867</v>
      </c>
      <c r="BO26" s="955"/>
      <c r="BP26" s="955"/>
      <c r="BQ26" s="955"/>
      <c r="BR26" s="956"/>
      <c r="BT26" s="5131" t="s">
        <v>159</v>
      </c>
      <c r="BU26" s="271">
        <f t="shared" si="10"/>
        <v>0.5</v>
      </c>
      <c r="BV26" s="5748">
        <v>500</v>
      </c>
      <c r="BX26" s="5">
        <v>1</v>
      </c>
    </row>
    <row r="27" spans="1:76" s="1" customFormat="1" ht="21" customHeight="1">
      <c r="A27" s="5641" t="s">
        <v>1</v>
      </c>
      <c r="B27" s="5662" t="str">
        <f t="shared" si="9"/>
        <v>A</v>
      </c>
      <c r="C27" s="5675"/>
      <c r="D27" s="5181"/>
      <c r="E27" s="5181"/>
      <c r="F27" s="5181"/>
      <c r="G27" s="5181"/>
      <c r="H27" s="5181"/>
      <c r="I27" s="5181"/>
      <c r="J27" s="5181"/>
      <c r="K27" s="106" t="s">
        <v>1</v>
      </c>
      <c r="L27" s="5666" t="s">
        <v>21</v>
      </c>
      <c r="M27" s="5708"/>
      <c r="N27" s="5708"/>
      <c r="O27" s="5708"/>
      <c r="P27" s="5708"/>
      <c r="Q27" s="7316">
        <f>IF(ISBLANK(Q237),0,Q237)</f>
        <v>18</v>
      </c>
      <c r="R27" s="7325" t="str">
        <f>IF(ISBLANK(R237),0,R237)</f>
        <v>assiettes</v>
      </c>
      <c r="S27" s="5735"/>
      <c r="T27" s="5735"/>
      <c r="U27" s="7327">
        <f>IFERROR(V27/Q27,0)</f>
        <v>0</v>
      </c>
      <c r="V27" s="7327">
        <f>IF(Y257=0,0,Y257)</f>
        <v>0</v>
      </c>
      <c r="W27" s="5709"/>
      <c r="X27" s="5709"/>
      <c r="Y27" s="7329">
        <v>13</v>
      </c>
      <c r="Z27" s="7331" t="str">
        <f>IF(Y27&gt;0,R27,"")</f>
        <v>assiettes</v>
      </c>
      <c r="AA27" s="7333">
        <f>IF(ISBLANK(Y27),0,(V27/Q27)*Y27)</f>
        <v>0</v>
      </c>
      <c r="AB27" s="5709"/>
      <c r="AC27" s="5710"/>
      <c r="AD27" s="8557" t="str">
        <f>TEXT((AK27/AQ10)*1000,"0.0") &amp; " g"</f>
        <v>0.0 g</v>
      </c>
      <c r="AE27" s="7318" t="str">
        <f>IF(AM27="","",TEXT((AM27/AQ10)*1000,"0.0") &amp; " g")</f>
        <v/>
      </c>
      <c r="AF27" s="7318"/>
      <c r="AG27" s="5737"/>
      <c r="AH27" s="5737"/>
      <c r="AI27" s="5737"/>
      <c r="AJ27" s="7319" t="str">
        <f>"pour "&amp;AQ10</f>
        <v>pour 45</v>
      </c>
      <c r="AK27" s="7320">
        <f>IF(U27*Q27=0,0,U27*AQ10)</f>
        <v>0</v>
      </c>
      <c r="AL27" s="7321"/>
      <c r="AM27" s="7322"/>
      <c r="AN27" s="8539" t="str">
        <f>T233</f>
        <v>NOM DE VOTRE RECETTE</v>
      </c>
      <c r="AO27" s="8540"/>
      <c r="AP27" s="8540"/>
      <c r="AQ27" s="8540"/>
      <c r="AR27" s="7324"/>
      <c r="AS27" s="7315"/>
      <c r="AT27" s="4"/>
      <c r="AU27" s="4"/>
      <c r="AV27" s="4"/>
      <c r="AW27" s="5665" t="s">
        <v>21</v>
      </c>
      <c r="AX27" s="234"/>
      <c r="AY27" s="234"/>
      <c r="AZ27" s="234"/>
      <c r="BA27" s="234"/>
      <c r="BB27" s="234"/>
      <c r="BC27" s="5661"/>
      <c r="BD27" s="7336"/>
      <c r="BE27" s="7337"/>
      <c r="BF27" s="7337"/>
      <c r="BG27" s="7337"/>
      <c r="BH27" s="7337"/>
      <c r="BI27" s="7337"/>
      <c r="BJ27" s="7338"/>
      <c r="BL27" s="5734"/>
      <c r="BM27" s="1153" t="s">
        <v>224</v>
      </c>
      <c r="BN27" s="5768" t="s">
        <v>868</v>
      </c>
      <c r="BO27" s="955"/>
      <c r="BP27" s="955"/>
      <c r="BQ27" s="955"/>
      <c r="BR27" s="956"/>
      <c r="BT27" s="5769" t="s">
        <v>155</v>
      </c>
      <c r="BU27" s="271">
        <f t="shared" si="10"/>
        <v>0.1</v>
      </c>
      <c r="BV27" s="5748">
        <v>100</v>
      </c>
      <c r="BX27" s="5">
        <v>1</v>
      </c>
    </row>
    <row r="28" spans="1:76" s="1" customFormat="1" ht="21" customHeight="1">
      <c r="A28" s="5641" t="s">
        <v>1</v>
      </c>
      <c r="B28" s="5662" t="str">
        <f t="shared" si="9"/>
        <v>A</v>
      </c>
      <c r="C28" s="5675"/>
      <c r="D28" s="7335" t="s">
        <v>163</v>
      </c>
      <c r="E28" s="7335"/>
      <c r="F28" s="7335"/>
      <c r="G28" s="7335"/>
      <c r="H28" s="5770"/>
      <c r="I28" s="5770"/>
      <c r="J28" s="5770"/>
      <c r="K28" s="106" t="s">
        <v>1</v>
      </c>
      <c r="L28" s="5666" t="s">
        <v>21</v>
      </c>
      <c r="M28" s="5708"/>
      <c r="N28" s="5708"/>
      <c r="O28" s="5708"/>
      <c r="P28" s="5708"/>
      <c r="Q28" s="7317"/>
      <c r="R28" s="7326"/>
      <c r="S28" s="5742"/>
      <c r="T28" s="5742"/>
      <c r="U28" s="7328"/>
      <c r="V28" s="7328"/>
      <c r="W28" s="5709"/>
      <c r="X28" s="5709"/>
      <c r="Y28" s="7330"/>
      <c r="Z28" s="7332"/>
      <c r="AA28" s="7334"/>
      <c r="AB28" s="5709"/>
      <c r="AC28" s="5710"/>
      <c r="AD28" s="8557"/>
      <c r="AE28" s="7318"/>
      <c r="AF28" s="7318"/>
      <c r="AG28" s="5737"/>
      <c r="AH28" s="5737"/>
      <c r="AI28" s="5737"/>
      <c r="AJ28" s="7319"/>
      <c r="AK28" s="7320"/>
      <c r="AL28" s="7321"/>
      <c r="AM28" s="7323"/>
      <c r="AN28" s="8539"/>
      <c r="AO28" s="8540"/>
      <c r="AP28" s="8540"/>
      <c r="AQ28" s="8540"/>
      <c r="AR28" s="7324"/>
      <c r="AS28" s="7315"/>
      <c r="AT28" s="4"/>
      <c r="AU28" s="4"/>
      <c r="AV28" s="4"/>
      <c r="AW28" s="5665" t="s">
        <v>21</v>
      </c>
      <c r="AX28" s="5720"/>
      <c r="AY28" s="228"/>
      <c r="AZ28" s="228"/>
      <c r="BA28" s="227"/>
      <c r="BB28" s="227"/>
      <c r="BC28" s="5661"/>
      <c r="BD28" s="7336"/>
      <c r="BE28" s="7337"/>
      <c r="BF28" s="7337"/>
      <c r="BG28" s="7337"/>
      <c r="BH28" s="7337"/>
      <c r="BI28" s="7337"/>
      <c r="BJ28" s="7338"/>
      <c r="BL28" s="954"/>
      <c r="BM28" s="1077"/>
      <c r="BN28" s="955"/>
      <c r="BO28" s="955"/>
      <c r="BP28" s="955"/>
      <c r="BQ28" s="955"/>
      <c r="BR28" s="956"/>
      <c r="BT28" s="5771" t="s">
        <v>152</v>
      </c>
      <c r="BU28" s="271">
        <f t="shared" si="10"/>
        <v>4.9299999999999995E-3</v>
      </c>
      <c r="BV28" s="5772">
        <v>4.93</v>
      </c>
      <c r="BX28" s="5">
        <v>1</v>
      </c>
    </row>
    <row r="29" spans="1:76" s="1" customFormat="1" ht="21" customHeight="1">
      <c r="A29" s="5641" t="s">
        <v>1</v>
      </c>
      <c r="B29" s="5662" t="str">
        <f t="shared" si="9"/>
        <v>A</v>
      </c>
      <c r="C29" s="5675"/>
      <c r="D29" s="5773" t="s">
        <v>158</v>
      </c>
      <c r="E29" s="473"/>
      <c r="F29" s="106"/>
      <c r="G29" s="106"/>
      <c r="H29" s="106"/>
      <c r="I29" s="106"/>
      <c r="J29" s="106"/>
      <c r="K29" s="106" t="s">
        <v>1</v>
      </c>
      <c r="L29" s="5666" t="s">
        <v>21</v>
      </c>
      <c r="M29" s="5708"/>
      <c r="N29" s="5708"/>
      <c r="O29" s="5708"/>
      <c r="P29" s="5708"/>
      <c r="Q29" s="7316">
        <f>IF(ISBLANK(Q286),0,Q286)</f>
        <v>18</v>
      </c>
      <c r="R29" s="7325" t="str">
        <f>IF(ISBLANK(R286),0,R286)</f>
        <v>assiettes</v>
      </c>
      <c r="S29" s="5735"/>
      <c r="T29" s="5735"/>
      <c r="U29" s="7327">
        <f>IFERROR(V29/Q29,0)</f>
        <v>0</v>
      </c>
      <c r="V29" s="7327">
        <f>IF(Y306=0,0,Y306)</f>
        <v>0</v>
      </c>
      <c r="W29" s="5709"/>
      <c r="X29" s="5709"/>
      <c r="Y29" s="7329">
        <v>11</v>
      </c>
      <c r="Z29" s="7331" t="str">
        <f>IF(Y29&gt;0,R29,"")</f>
        <v>assiettes</v>
      </c>
      <c r="AA29" s="7333">
        <f>IF(ISBLANK(Y29),0,(V29/Q29)*Y29)</f>
        <v>0</v>
      </c>
      <c r="AB29" s="5709"/>
      <c r="AC29" s="5710"/>
      <c r="AD29" s="8557" t="str">
        <f>TEXT((AK29/AQ10)*1000,"0.0") &amp; " g"</f>
        <v>0.0 g</v>
      </c>
      <c r="AE29" s="7318" t="str">
        <f>IF(AM29="","",TEXT((AM29/AQ10)*1000,"0.0") &amp; " g")</f>
        <v/>
      </c>
      <c r="AF29" s="7318"/>
      <c r="AG29" s="5737"/>
      <c r="AH29" s="5737"/>
      <c r="AI29" s="5737"/>
      <c r="AJ29" s="7319" t="str">
        <f>"pour "&amp;AQ10</f>
        <v>pour 45</v>
      </c>
      <c r="AK29" s="7320">
        <f>IF(U29*Q29=0,0,U29*AQ10)</f>
        <v>0</v>
      </c>
      <c r="AL29" s="7321"/>
      <c r="AM29" s="7322"/>
      <c r="AN29" s="8539" t="str">
        <f>T282</f>
        <v>NOM DE VOTRE RECETTE</v>
      </c>
      <c r="AO29" s="8540"/>
      <c r="AP29" s="8540"/>
      <c r="AQ29" s="8540"/>
      <c r="AR29" s="7324"/>
      <c r="AS29" s="7315"/>
      <c r="AT29" s="4"/>
      <c r="AU29" s="4"/>
      <c r="AV29" s="4"/>
      <c r="AW29" s="5665" t="s">
        <v>21</v>
      </c>
      <c r="AX29" s="5720" t="s">
        <v>150</v>
      </c>
      <c r="AY29" s="228"/>
      <c r="AZ29" s="228"/>
      <c r="BA29" s="227"/>
      <c r="BB29" s="227"/>
      <c r="BC29" s="5661"/>
      <c r="BD29" s="7345" t="s">
        <v>8494</v>
      </c>
      <c r="BE29" s="7346"/>
      <c r="BF29" s="7346"/>
      <c r="BG29" s="7346"/>
      <c r="BH29" s="7346"/>
      <c r="BI29" s="7346"/>
      <c r="BJ29" s="7347"/>
      <c r="BL29" s="5774"/>
      <c r="BM29" s="496" t="s">
        <v>987</v>
      </c>
      <c r="BN29" s="5395"/>
      <c r="BO29" s="141"/>
      <c r="BP29" s="141"/>
      <c r="BQ29" s="141"/>
      <c r="BR29" s="409"/>
      <c r="BT29" s="5771" t="s">
        <v>143</v>
      </c>
      <c r="BU29" s="271">
        <f t="shared" si="10"/>
        <v>5.0000000000000001E-3</v>
      </c>
      <c r="BV29" s="5748">
        <v>5</v>
      </c>
      <c r="BX29" s="5">
        <v>1</v>
      </c>
    </row>
    <row r="30" spans="1:76" s="1" customFormat="1" ht="21" customHeight="1">
      <c r="A30" s="5641" t="s">
        <v>1</v>
      </c>
      <c r="B30" s="5662" t="str">
        <f t="shared" si="9"/>
        <v>A</v>
      </c>
      <c r="C30" s="5675"/>
      <c r="D30" s="5773" t="s">
        <v>154</v>
      </c>
      <c r="E30" s="473"/>
      <c r="F30" s="106"/>
      <c r="G30" s="106"/>
      <c r="H30" s="106"/>
      <c r="I30" s="106"/>
      <c r="J30" s="106"/>
      <c r="K30" s="106" t="s">
        <v>1</v>
      </c>
      <c r="L30" s="5666" t="s">
        <v>21</v>
      </c>
      <c r="M30" s="5708"/>
      <c r="N30" s="5708"/>
      <c r="O30" s="5708"/>
      <c r="P30" s="5708"/>
      <c r="Q30" s="7317"/>
      <c r="R30" s="7326"/>
      <c r="S30" s="5775"/>
      <c r="T30" s="5775"/>
      <c r="U30" s="7328"/>
      <c r="V30" s="7328"/>
      <c r="W30" s="5709"/>
      <c r="X30" s="5709"/>
      <c r="Y30" s="7330"/>
      <c r="Z30" s="7332"/>
      <c r="AA30" s="7334"/>
      <c r="AB30" s="5709"/>
      <c r="AC30" s="5710"/>
      <c r="AD30" s="8557"/>
      <c r="AE30" s="7318"/>
      <c r="AF30" s="7318"/>
      <c r="AG30" s="5737"/>
      <c r="AH30" s="5737"/>
      <c r="AI30" s="5737"/>
      <c r="AJ30" s="7319"/>
      <c r="AK30" s="7320"/>
      <c r="AL30" s="7321"/>
      <c r="AM30" s="7323"/>
      <c r="AN30" s="8539"/>
      <c r="AO30" s="8540"/>
      <c r="AP30" s="8540"/>
      <c r="AQ30" s="8540"/>
      <c r="AR30" s="7324"/>
      <c r="AS30" s="7315"/>
      <c r="AT30" s="4"/>
      <c r="AU30" s="4"/>
      <c r="AV30" s="4"/>
      <c r="AW30" s="5665" t="s">
        <v>21</v>
      </c>
      <c r="AX30" s="5720" t="s">
        <v>145</v>
      </c>
      <c r="AY30" s="228"/>
      <c r="AZ30" s="228"/>
      <c r="BA30" s="227"/>
      <c r="BB30" s="227"/>
      <c r="BC30" s="5661"/>
      <c r="BD30" s="7345"/>
      <c r="BE30" s="7346"/>
      <c r="BF30" s="7346"/>
      <c r="BG30" s="7346"/>
      <c r="BH30" s="7346"/>
      <c r="BI30" s="7346"/>
      <c r="BJ30" s="7347"/>
      <c r="BL30" s="5776" t="s">
        <v>924</v>
      </c>
      <c r="BM30" s="467"/>
      <c r="BN30" s="5395"/>
      <c r="BO30" s="141"/>
      <c r="BP30" s="141"/>
      <c r="BQ30" s="141"/>
      <c r="BR30" s="409"/>
      <c r="BT30" s="5771" t="s">
        <v>148</v>
      </c>
      <c r="BU30" s="271">
        <f t="shared" si="10"/>
        <v>1.4999999999999999E-2</v>
      </c>
      <c r="BV30" s="5748">
        <v>15</v>
      </c>
      <c r="BX30" s="5">
        <v>1</v>
      </c>
    </row>
    <row r="31" spans="1:76" s="1" customFormat="1" ht="21" customHeight="1">
      <c r="A31" s="5641" t="s">
        <v>1</v>
      </c>
      <c r="B31" s="5662" t="str">
        <f t="shared" si="9"/>
        <v>A</v>
      </c>
      <c r="C31" s="5675"/>
      <c r="D31" s="5773" t="s">
        <v>151</v>
      </c>
      <c r="E31" s="473"/>
      <c r="F31" s="106"/>
      <c r="G31" s="106"/>
      <c r="H31" s="106"/>
      <c r="I31" s="106"/>
      <c r="J31" s="106"/>
      <c r="K31" s="106" t="s">
        <v>1</v>
      </c>
      <c r="L31" s="5666" t="s">
        <v>21</v>
      </c>
      <c r="M31" s="5708"/>
      <c r="N31" s="5708"/>
      <c r="O31" s="5708"/>
      <c r="P31" s="5708"/>
      <c r="Q31" s="5777"/>
      <c r="R31" s="5736"/>
      <c r="S31" s="5778"/>
      <c r="T31" s="5778"/>
      <c r="U31" s="5779"/>
      <c r="V31" s="5780"/>
      <c r="W31" s="5719"/>
      <c r="X31" s="5719"/>
      <c r="Y31" s="5719"/>
      <c r="Z31" s="5719"/>
      <c r="AA31" s="5719"/>
      <c r="AB31" s="5719"/>
      <c r="AC31" s="5710"/>
      <c r="AD31" s="8555"/>
      <c r="AE31" s="5711"/>
      <c r="AF31" s="5709"/>
      <c r="AG31" s="5709"/>
      <c r="AH31" s="5709"/>
      <c r="AI31" s="5709"/>
      <c r="AJ31" s="5781"/>
      <c r="AK31" s="5782"/>
      <c r="AL31" s="5783"/>
      <c r="AM31" s="5784"/>
      <c r="AN31" s="5784"/>
      <c r="AO31" s="5783"/>
      <c r="AP31" s="5709"/>
      <c r="AQ31" s="5709"/>
      <c r="AR31" s="5709"/>
      <c r="AS31" s="7315"/>
      <c r="AT31" s="4"/>
      <c r="AU31" s="4"/>
      <c r="AV31" s="4"/>
      <c r="AW31" s="5665" t="s">
        <v>21</v>
      </c>
      <c r="AX31" s="7348" t="str">
        <f>AR15</f>
        <v>0 Lignes masquées</v>
      </c>
      <c r="AY31" s="7348"/>
      <c r="AZ31" s="7348"/>
      <c r="BA31" s="7348"/>
      <c r="BB31" s="7348"/>
      <c r="BC31" s="5661"/>
      <c r="BD31" s="7345"/>
      <c r="BE31" s="7346"/>
      <c r="BF31" s="7346"/>
      <c r="BG31" s="7346"/>
      <c r="BH31" s="7346"/>
      <c r="BI31" s="7346"/>
      <c r="BJ31" s="7347"/>
      <c r="BL31" s="221" t="s">
        <v>955</v>
      </c>
      <c r="BM31" s="467"/>
      <c r="BN31" s="5395"/>
      <c r="BO31" s="141"/>
      <c r="BP31" s="141"/>
      <c r="BQ31" s="141"/>
      <c r="BR31" s="409"/>
      <c r="BT31" s="5785" t="s">
        <v>8495</v>
      </c>
      <c r="BU31" s="5786">
        <f t="shared" si="10"/>
        <v>1.25E-3</v>
      </c>
      <c r="BV31" s="5772">
        <v>1.25</v>
      </c>
      <c r="BX31" s="5">
        <v>1</v>
      </c>
    </row>
    <row r="32" spans="1:76" s="1" customFormat="1" ht="21" customHeight="1">
      <c r="A32" s="5641" t="s">
        <v>1</v>
      </c>
      <c r="B32" s="5662" t="str">
        <f t="shared" si="9"/>
        <v>A</v>
      </c>
      <c r="C32" s="5675"/>
      <c r="D32" s="5773" t="s">
        <v>147</v>
      </c>
      <c r="E32" s="473"/>
      <c r="F32" s="106"/>
      <c r="G32" s="106"/>
      <c r="H32" s="106"/>
      <c r="I32" s="106"/>
      <c r="J32" s="106"/>
      <c r="K32" s="106" t="s">
        <v>1</v>
      </c>
      <c r="L32" s="5666" t="s">
        <v>21</v>
      </c>
      <c r="M32" s="5708"/>
      <c r="N32" s="5708"/>
      <c r="O32" s="5708"/>
      <c r="P32" s="5708"/>
      <c r="Q32" s="5787"/>
      <c r="R32" s="5788"/>
      <c r="S32" s="5788"/>
      <c r="T32" s="5789"/>
      <c r="U32" s="5779"/>
      <c r="V32" s="5711"/>
      <c r="W32" s="5719"/>
      <c r="X32" s="5719"/>
      <c r="Y32" s="5719"/>
      <c r="Z32" s="5719"/>
      <c r="AA32" s="5719"/>
      <c r="AB32" s="5719"/>
      <c r="AC32" s="5710"/>
      <c r="AD32" s="8555"/>
      <c r="AE32" s="5711"/>
      <c r="AF32" s="5709"/>
      <c r="AG32" s="5709"/>
      <c r="AH32" s="5709"/>
      <c r="AI32" s="5709"/>
      <c r="AJ32" s="5781"/>
      <c r="AK32" s="5782"/>
      <c r="AL32" s="5783"/>
      <c r="AM32" s="5784" t="s">
        <v>8496</v>
      </c>
      <c r="AN32" s="5784"/>
      <c r="AO32" s="5783"/>
      <c r="AP32" s="5709"/>
      <c r="AQ32" s="5709"/>
      <c r="AR32" s="5709"/>
      <c r="AS32" s="7315"/>
      <c r="AT32" s="4"/>
      <c r="AU32" s="4"/>
      <c r="AV32" s="4"/>
      <c r="AW32" s="5665" t="s">
        <v>21</v>
      </c>
      <c r="AX32" s="7348"/>
      <c r="AY32" s="7348"/>
      <c r="AZ32" s="7348"/>
      <c r="BA32" s="7348"/>
      <c r="BB32" s="7348"/>
      <c r="BC32" s="5661"/>
      <c r="BD32" s="7349" t="s">
        <v>8497</v>
      </c>
      <c r="BE32" s="7350"/>
      <c r="BF32" s="7350"/>
      <c r="BG32" s="7350"/>
      <c r="BH32" s="7350"/>
      <c r="BI32" s="7350"/>
      <c r="BJ32" s="7351"/>
      <c r="BL32" s="221" t="s">
        <v>956</v>
      </c>
      <c r="BM32" s="467"/>
      <c r="BN32" s="5395"/>
      <c r="BO32" s="141"/>
      <c r="BP32" s="141"/>
      <c r="BQ32" s="141"/>
      <c r="BR32" s="409"/>
      <c r="BT32" s="5785" t="s">
        <v>8498</v>
      </c>
      <c r="BU32" s="5790">
        <f t="shared" si="10"/>
        <v>2.5000000000000001E-3</v>
      </c>
      <c r="BV32" s="5791">
        <v>2.5</v>
      </c>
      <c r="BX32" s="5">
        <v>1</v>
      </c>
    </row>
    <row r="33" spans="1:76" s="1" customFormat="1" ht="21" customHeight="1" thickBot="1">
      <c r="A33" s="5641" t="s">
        <v>1</v>
      </c>
      <c r="B33" s="5662" t="str">
        <f t="shared" si="9"/>
        <v>A</v>
      </c>
      <c r="C33" s="5675"/>
      <c r="D33" s="5773" t="s">
        <v>142</v>
      </c>
      <c r="E33" s="473"/>
      <c r="F33" s="106"/>
      <c r="G33" s="106"/>
      <c r="H33" s="106"/>
      <c r="I33" s="106"/>
      <c r="J33" s="106"/>
      <c r="K33" s="106" t="s">
        <v>1</v>
      </c>
      <c r="L33" s="5666" t="s">
        <v>21</v>
      </c>
      <c r="M33" s="5792"/>
      <c r="N33" s="5792"/>
      <c r="O33" s="5792"/>
      <c r="P33" s="5792"/>
      <c r="Q33" s="5792"/>
      <c r="R33" s="5792"/>
      <c r="S33" s="5792"/>
      <c r="T33" s="5792"/>
      <c r="U33" s="5792"/>
      <c r="V33" s="5792"/>
      <c r="W33" s="5792"/>
      <c r="X33" s="5792"/>
      <c r="Y33" s="5792"/>
      <c r="Z33" s="5792"/>
      <c r="AA33" s="5792"/>
      <c r="AB33" s="5792"/>
      <c r="AC33" s="5793"/>
      <c r="AD33" s="5792"/>
      <c r="AE33" s="5792"/>
      <c r="AF33" s="5792"/>
      <c r="AG33" s="5792"/>
      <c r="AH33" s="5792"/>
      <c r="AI33" s="5792"/>
      <c r="AJ33" s="5792"/>
      <c r="AK33" s="5794"/>
      <c r="AL33" s="5795"/>
      <c r="AM33" s="5796"/>
      <c r="AN33" s="5796"/>
      <c r="AO33" s="5795"/>
      <c r="AP33" s="5797"/>
      <c r="AQ33" s="5797"/>
      <c r="AR33" s="5798"/>
      <c r="AS33" s="7315"/>
      <c r="AT33" s="4"/>
      <c r="AU33" s="4"/>
      <c r="AV33" s="4"/>
      <c r="AW33" s="5665" t="s">
        <v>21</v>
      </c>
      <c r="AX33" s="255" t="s">
        <v>136</v>
      </c>
      <c r="AY33" s="228"/>
      <c r="AZ33" s="228"/>
      <c r="BA33" s="227"/>
      <c r="BB33" s="227"/>
      <c r="BC33" s="5661"/>
      <c r="BD33" s="7349"/>
      <c r="BE33" s="7350"/>
      <c r="BF33" s="7350"/>
      <c r="BG33" s="7350"/>
      <c r="BH33" s="7350"/>
      <c r="BI33" s="7350"/>
      <c r="BJ33" s="7351"/>
      <c r="BL33" s="221"/>
      <c r="BM33" s="5799" t="s">
        <v>853</v>
      </c>
      <c r="BN33" s="141"/>
      <c r="BO33" s="141"/>
      <c r="BP33" s="141"/>
      <c r="BQ33" s="141"/>
      <c r="BR33" s="409"/>
      <c r="BT33" s="5785" t="s">
        <v>8499</v>
      </c>
      <c r="BU33" s="5790">
        <f t="shared" si="10"/>
        <v>4.4999999999999997E-3</v>
      </c>
      <c r="BV33" s="5791">
        <v>4.5</v>
      </c>
      <c r="BX33" s="5">
        <v>1</v>
      </c>
    </row>
    <row r="34" spans="1:76" s="1" customFormat="1" ht="21" customHeight="1">
      <c r="A34" s="5641" t="s">
        <v>1</v>
      </c>
      <c r="B34" s="5662" t="str">
        <f t="shared" si="9"/>
        <v>►</v>
      </c>
      <c r="C34" s="5800"/>
      <c r="D34" s="5181"/>
      <c r="E34" s="5181"/>
      <c r="F34" s="5181"/>
      <c r="G34" s="5181"/>
      <c r="H34" s="5181"/>
      <c r="I34" s="5181"/>
      <c r="J34" s="5181"/>
      <c r="K34" s="106" t="s">
        <v>1</v>
      </c>
      <c r="L34" s="5666" t="s">
        <v>26</v>
      </c>
      <c r="M34" s="5801"/>
      <c r="N34" s="5801"/>
      <c r="O34" s="5801"/>
      <c r="P34" s="5801"/>
      <c r="Q34" s="5802" t="s">
        <v>8500</v>
      </c>
      <c r="R34" s="5803"/>
      <c r="S34" s="5803"/>
      <c r="T34" s="5803"/>
      <c r="U34" s="5803"/>
      <c r="V34" s="5803"/>
      <c r="W34" s="5803"/>
      <c r="X34" s="5803"/>
      <c r="Y34" s="5803"/>
      <c r="Z34" s="5803"/>
      <c r="AA34" s="5803"/>
      <c r="AB34" s="5803"/>
      <c r="AC34" s="5710"/>
      <c r="AD34" s="5803"/>
      <c r="AE34" s="5803"/>
      <c r="AF34" s="5804"/>
      <c r="AG34" s="5804"/>
      <c r="AH34" s="5804"/>
      <c r="AI34" s="5804"/>
      <c r="AJ34" s="5804"/>
      <c r="AK34" s="5804"/>
      <c r="AL34" s="5805"/>
      <c r="AM34" s="5805"/>
      <c r="AN34" s="5805"/>
      <c r="AO34" s="5805"/>
      <c r="AP34" s="5805"/>
      <c r="AQ34" s="5805"/>
      <c r="AR34" s="5806"/>
      <c r="AS34" s="5807"/>
      <c r="AT34" s="4"/>
      <c r="AU34" s="4"/>
      <c r="AV34" s="4"/>
      <c r="AW34" s="5665" t="s">
        <v>21</v>
      </c>
      <c r="AX34" s="5808" t="s">
        <v>131</v>
      </c>
      <c r="AY34" s="228"/>
      <c r="AZ34" s="228"/>
      <c r="BA34" s="227"/>
      <c r="BB34" s="227"/>
      <c r="BC34" s="5661"/>
      <c r="BD34" s="7349"/>
      <c r="BE34" s="7350"/>
      <c r="BF34" s="7350"/>
      <c r="BG34" s="7350"/>
      <c r="BH34" s="7350"/>
      <c r="BI34" s="7350"/>
      <c r="BJ34" s="7351"/>
      <c r="BL34" s="1160"/>
      <c r="BM34" s="1107"/>
      <c r="BN34" s="141"/>
      <c r="BO34" s="141"/>
      <c r="BP34" s="141"/>
      <c r="BQ34" s="141"/>
      <c r="BR34" s="409"/>
      <c r="BT34" s="5785" t="s">
        <v>8501</v>
      </c>
      <c r="BU34" s="271">
        <f t="shared" si="10"/>
        <v>5.0000000000000001E-3</v>
      </c>
      <c r="BV34" s="5748">
        <v>5</v>
      </c>
      <c r="BX34" s="5">
        <v>1</v>
      </c>
    </row>
    <row r="35" spans="1:76" s="1" customFormat="1" ht="21" customHeight="1" thickBot="1">
      <c r="A35" s="5641" t="s">
        <v>1</v>
      </c>
      <c r="B35" s="5662" t="str">
        <f t="shared" si="9"/>
        <v>►</v>
      </c>
      <c r="C35" s="5809">
        <f t="shared" ref="C35:J35" ca="1" si="11">CELL("largeur",C35)</f>
        <v>9</v>
      </c>
      <c r="D35" s="1288">
        <f t="shared" ca="1" si="11"/>
        <v>12</v>
      </c>
      <c r="E35" s="1288">
        <f t="shared" ca="1" si="11"/>
        <v>12</v>
      </c>
      <c r="F35" s="1288">
        <f t="shared" ca="1" si="11"/>
        <v>3</v>
      </c>
      <c r="G35" s="1288">
        <f t="shared" ca="1" si="11"/>
        <v>9</v>
      </c>
      <c r="H35" s="1288">
        <f t="shared" ca="1" si="11"/>
        <v>12</v>
      </c>
      <c r="I35" s="1288">
        <f t="shared" ca="1" si="11"/>
        <v>13</v>
      </c>
      <c r="J35" s="1288">
        <f t="shared" ca="1" si="11"/>
        <v>40</v>
      </c>
      <c r="K35" s="106" t="s">
        <v>1</v>
      </c>
      <c r="L35" s="5666" t="s">
        <v>26</v>
      </c>
      <c r="M35" s="5801"/>
      <c r="N35" s="5801"/>
      <c r="O35" s="5801"/>
      <c r="P35" s="5801"/>
      <c r="Q35" s="5802" t="s">
        <v>8502</v>
      </c>
      <c r="R35" s="5801"/>
      <c r="S35" s="5801"/>
      <c r="T35" s="5801"/>
      <c r="U35" s="5801"/>
      <c r="V35" s="5801"/>
      <c r="W35" s="5801"/>
      <c r="X35" s="5801"/>
      <c r="Y35" s="5801"/>
      <c r="Z35" s="5801"/>
      <c r="AA35" s="5801"/>
      <c r="AB35" s="5801"/>
      <c r="AC35" s="5710"/>
      <c r="AD35" s="5801"/>
      <c r="AE35" s="5801"/>
      <c r="AF35" s="5801"/>
      <c r="AG35" s="5801"/>
      <c r="AH35" s="5801"/>
      <c r="AI35" s="5801"/>
      <c r="AJ35" s="5801"/>
      <c r="AK35" s="5801"/>
      <c r="AL35" s="5801"/>
      <c r="AM35" s="5801"/>
      <c r="AN35" s="5801"/>
      <c r="AO35" s="5801"/>
      <c r="AP35" s="5801"/>
      <c r="AQ35" s="5801"/>
      <c r="AR35" s="5806"/>
      <c r="AS35" s="5810"/>
      <c r="AT35" s="4"/>
      <c r="AU35" s="4"/>
      <c r="AV35" s="4"/>
      <c r="AW35" s="5665" t="s">
        <v>21</v>
      </c>
      <c r="AX35" s="5720"/>
      <c r="AY35" s="228"/>
      <c r="AZ35" s="228"/>
      <c r="BA35" s="227"/>
      <c r="BB35" s="227"/>
      <c r="BC35" s="5661"/>
      <c r="BD35" s="5811"/>
      <c r="BE35" s="7352" t="s">
        <v>8472</v>
      </c>
      <c r="BF35" s="7352"/>
      <c r="BG35" s="7352"/>
      <c r="BH35" s="7353" t="s">
        <v>8503</v>
      </c>
      <c r="BI35" s="7353"/>
      <c r="BJ35" s="7354"/>
      <c r="BL35" s="1160"/>
      <c r="BM35" s="141"/>
      <c r="BN35" s="141"/>
      <c r="BO35" s="141"/>
      <c r="BP35" s="141"/>
      <c r="BQ35" s="141"/>
      <c r="BR35" s="409"/>
      <c r="BT35" s="5785" t="s">
        <v>8504</v>
      </c>
      <c r="BU35" s="5790">
        <f t="shared" si="10"/>
        <v>7.4999999999999997E-3</v>
      </c>
      <c r="BV35" s="5791">
        <v>7.5</v>
      </c>
      <c r="BX35" s="5">
        <v>1</v>
      </c>
    </row>
    <row r="36" spans="1:76" s="1" customFormat="1" ht="21" customHeight="1" thickBot="1">
      <c r="A36" s="5641" t="s">
        <v>1</v>
      </c>
      <c r="B36" s="5662" t="str">
        <f t="shared" si="9"/>
        <v>►</v>
      </c>
      <c r="C36" s="4720"/>
      <c r="D36" s="5812"/>
      <c r="E36" s="5812"/>
      <c r="F36" s="5812"/>
      <c r="G36" s="5812"/>
      <c r="H36" s="5812"/>
      <c r="I36" s="5812"/>
      <c r="J36" s="5812"/>
      <c r="K36" s="106" t="s">
        <v>1</v>
      </c>
      <c r="L36" s="5666" t="s">
        <v>26</v>
      </c>
      <c r="M36" s="5813" t="s">
        <v>1901</v>
      </c>
      <c r="N36" s="5801"/>
      <c r="O36" s="5801"/>
      <c r="P36" s="5801"/>
      <c r="Q36" s="5802"/>
      <c r="R36" s="5801"/>
      <c r="S36" s="5801"/>
      <c r="T36" s="5801"/>
      <c r="U36" s="5801"/>
      <c r="V36" s="5801"/>
      <c r="W36" s="5801"/>
      <c r="X36" s="5801"/>
      <c r="Y36" s="5801"/>
      <c r="Z36" s="5801"/>
      <c r="AA36" s="5801"/>
      <c r="AB36" s="5801"/>
      <c r="AC36" s="5710"/>
      <c r="AD36" s="5801"/>
      <c r="AE36" s="5801"/>
      <c r="AF36" s="5801"/>
      <c r="AG36" s="5801"/>
      <c r="AH36" s="5801"/>
      <c r="AI36" s="5801"/>
      <c r="AJ36" s="5801"/>
      <c r="AK36" s="5801"/>
      <c r="AL36" s="5801"/>
      <c r="AM36" s="5801"/>
      <c r="AN36" s="5801"/>
      <c r="AO36" s="5801"/>
      <c r="AP36" s="5801"/>
      <c r="AQ36" s="5801"/>
      <c r="AR36" s="5801"/>
      <c r="AS36" s="5814"/>
      <c r="AT36" s="4"/>
      <c r="AU36" s="4"/>
      <c r="AV36" s="4"/>
      <c r="AW36" s="5665" t="s">
        <v>21</v>
      </c>
      <c r="AX36" s="5720"/>
      <c r="AY36" s="228"/>
      <c r="AZ36" s="228"/>
      <c r="BA36" s="227"/>
      <c r="BB36" s="227"/>
      <c r="BC36" s="5661"/>
      <c r="BD36" s="5811"/>
      <c r="BE36" s="7352"/>
      <c r="BF36" s="7352"/>
      <c r="BG36" s="7352"/>
      <c r="BH36" s="7353"/>
      <c r="BI36" s="7353"/>
      <c r="BJ36" s="7354"/>
      <c r="BL36" s="1160"/>
      <c r="BM36" s="141"/>
      <c r="BN36" s="141"/>
      <c r="BO36" s="141"/>
      <c r="BP36" s="141"/>
      <c r="BQ36" s="141"/>
      <c r="BR36" s="409"/>
      <c r="BT36" s="5785" t="s">
        <v>8505</v>
      </c>
      <c r="BU36" s="271">
        <f t="shared" si="10"/>
        <v>1.4999999999999999E-2</v>
      </c>
      <c r="BV36" s="5748">
        <v>15</v>
      </c>
      <c r="BX36" s="5">
        <v>1</v>
      </c>
    </row>
    <row r="37" spans="1:76" s="1" customFormat="1" ht="21" customHeight="1">
      <c r="A37" s="5641" t="s">
        <v>1</v>
      </c>
      <c r="B37" s="5662" t="str">
        <f t="shared" si="9"/>
        <v>A</v>
      </c>
      <c r="C37" s="7001" t="s">
        <v>33</v>
      </c>
      <c r="D37" s="5815" t="s">
        <v>252</v>
      </c>
      <c r="E37" s="5816"/>
      <c r="F37" s="1321"/>
      <c r="G37" s="1321"/>
      <c r="H37" s="1321"/>
      <c r="I37" s="1321"/>
      <c r="J37" s="1322"/>
      <c r="K37" s="106" t="s">
        <v>1</v>
      </c>
      <c r="L37" s="5636" t="s">
        <v>21</v>
      </c>
      <c r="M37" s="5231" t="str">
        <f>M43</f>
        <v>Pâtisserie--entremet.C.Chiboust pamplemousse</v>
      </c>
      <c r="N37" s="5232">
        <f>N43</f>
        <v>18</v>
      </c>
      <c r="O37" s="5232" t="str">
        <f>O43</f>
        <v>assiettes</v>
      </c>
      <c r="P37" s="5232"/>
      <c r="Q37" s="5233" t="s">
        <v>1</v>
      </c>
      <c r="R37" s="5234" t="s">
        <v>251</v>
      </c>
      <c r="S37" s="5234"/>
      <c r="T37" s="6911" t="s">
        <v>895</v>
      </c>
      <c r="U37" s="6911"/>
      <c r="V37" s="6911"/>
      <c r="W37" s="6911"/>
      <c r="X37" s="6911"/>
      <c r="Y37" s="6911"/>
      <c r="Z37" s="6935" t="s">
        <v>8031</v>
      </c>
      <c r="AA37" s="6935"/>
      <c r="AB37" s="6915" t="str">
        <f>UPPER(LEFT(T37,1))</f>
        <v>C</v>
      </c>
      <c r="AC37" s="5817" t="s">
        <v>21</v>
      </c>
      <c r="AD37" s="7339" t="str">
        <f>T37</f>
        <v>CHIBOUST PAMPLEMOUSSE</v>
      </c>
      <c r="AE37" s="7340"/>
      <c r="AF37" s="7340"/>
      <c r="AG37" s="7340"/>
      <c r="AH37" s="7340"/>
      <c r="AI37" s="7340"/>
      <c r="AJ37" s="7340"/>
      <c r="AK37" s="7340"/>
      <c r="AL37" s="7340"/>
      <c r="AM37" s="7340"/>
      <c r="AN37" s="7340"/>
      <c r="AO37" s="7340"/>
      <c r="AP37" s="7340"/>
      <c r="AQ37" s="7340"/>
      <c r="AR37" s="7343">
        <f>IF(ISBLANK(AM19),AK19,AM19)</f>
        <v>1.44</v>
      </c>
      <c r="AS37" s="7297">
        <f>AS6</f>
        <v>8</v>
      </c>
      <c r="AT37" s="4"/>
      <c r="AU37" s="4"/>
      <c r="AV37" s="4"/>
      <c r="AW37" s="5818" t="str">
        <f t="shared" ref="AW37:AW100" si="12">AC37</f>
        <v>A</v>
      </c>
      <c r="AX37" s="5819"/>
      <c r="AY37" s="228"/>
      <c r="AZ37" s="228"/>
      <c r="BA37" s="227"/>
      <c r="BB37" s="227"/>
      <c r="BC37" s="5661"/>
      <c r="BD37" s="5811"/>
      <c r="BE37" s="5727" t="s">
        <v>3203</v>
      </c>
      <c r="BF37" s="5820" t="s">
        <v>8481</v>
      </c>
      <c r="BG37" s="5713"/>
      <c r="BH37" s="5821"/>
      <c r="BI37" s="5822" t="s">
        <v>8506</v>
      </c>
      <c r="BJ37" s="5823"/>
      <c r="BL37" s="1160"/>
      <c r="BM37" s="141"/>
      <c r="BN37" s="141"/>
      <c r="BO37" s="141"/>
      <c r="BP37" s="141"/>
      <c r="BQ37" s="141"/>
      <c r="BR37" s="409"/>
      <c r="BT37" s="5771" t="s">
        <v>8507</v>
      </c>
      <c r="BU37" s="271">
        <f t="shared" si="10"/>
        <v>0.03</v>
      </c>
      <c r="BV37" s="5748">
        <v>30</v>
      </c>
      <c r="BX37" s="5">
        <v>1</v>
      </c>
    </row>
    <row r="38" spans="1:76" s="1" customFormat="1" ht="21" customHeight="1">
      <c r="A38" s="5641" t="s">
        <v>1</v>
      </c>
      <c r="B38" s="5662" t="str">
        <f t="shared" si="9"/>
        <v>A</v>
      </c>
      <c r="C38" s="7002"/>
      <c r="D38" s="5271" t="s">
        <v>8508</v>
      </c>
      <c r="E38" s="1320"/>
      <c r="F38" s="1320"/>
      <c r="G38" s="1320"/>
      <c r="H38" s="1320"/>
      <c r="I38" s="1320"/>
      <c r="J38" s="1324"/>
      <c r="K38" s="106" t="s">
        <v>1</v>
      </c>
      <c r="L38" s="1018" t="s">
        <v>21</v>
      </c>
      <c r="M38" s="363" t="str">
        <f>M43</f>
        <v>Pâtisserie--entremet.C.Chiboust pamplemousse</v>
      </c>
      <c r="N38" s="362"/>
      <c r="O38" s="362"/>
      <c r="P38" s="362"/>
      <c r="Q38" s="361" t="s">
        <v>245</v>
      </c>
      <c r="R38" s="360" t="s">
        <v>244</v>
      </c>
      <c r="S38" s="360"/>
      <c r="T38" s="6912"/>
      <c r="U38" s="6912"/>
      <c r="V38" s="6912"/>
      <c r="W38" s="6912"/>
      <c r="X38" s="6912"/>
      <c r="Y38" s="6912"/>
      <c r="Z38" s="6936"/>
      <c r="AA38" s="6936"/>
      <c r="AB38" s="6916"/>
      <c r="AC38" s="5817" t="s">
        <v>21</v>
      </c>
      <c r="AD38" s="7341"/>
      <c r="AE38" s="7342"/>
      <c r="AF38" s="7342"/>
      <c r="AG38" s="7342"/>
      <c r="AH38" s="7342"/>
      <c r="AI38" s="7342"/>
      <c r="AJ38" s="7342"/>
      <c r="AK38" s="7342"/>
      <c r="AL38" s="7342"/>
      <c r="AM38" s="7342"/>
      <c r="AN38" s="7342"/>
      <c r="AO38" s="7342"/>
      <c r="AP38" s="7342"/>
      <c r="AQ38" s="7342"/>
      <c r="AR38" s="7344"/>
      <c r="AS38" s="7298"/>
      <c r="AT38" s="4"/>
      <c r="AU38" s="4"/>
      <c r="AV38" s="4"/>
      <c r="AW38" s="5818" t="str">
        <f t="shared" si="12"/>
        <v>A</v>
      </c>
      <c r="AX38" s="5819"/>
      <c r="AY38" s="228"/>
      <c r="AZ38" s="228"/>
      <c r="BA38" s="227"/>
      <c r="BB38" s="227"/>
      <c r="BC38" s="5661"/>
      <c r="BD38" s="5811"/>
      <c r="BE38" s="7363">
        <v>20</v>
      </c>
      <c r="BF38" s="7331" t="s">
        <v>157</v>
      </c>
      <c r="BG38" s="7365">
        <v>0.64</v>
      </c>
      <c r="BH38" s="5709"/>
      <c r="BI38" s="5824">
        <v>1.5</v>
      </c>
      <c r="BJ38" s="5823"/>
      <c r="BL38" s="1160"/>
      <c r="BM38" s="141"/>
      <c r="BN38" s="141"/>
      <c r="BO38" s="141"/>
      <c r="BP38" s="141"/>
      <c r="BQ38" s="141"/>
      <c r="BR38" s="409"/>
      <c r="BT38" s="5771" t="s">
        <v>8509</v>
      </c>
      <c r="BU38" s="271">
        <f t="shared" si="10"/>
        <v>0.04</v>
      </c>
      <c r="BV38" s="5748">
        <v>40</v>
      </c>
      <c r="BX38" s="5">
        <v>1</v>
      </c>
    </row>
    <row r="39" spans="1:76" s="1" customFormat="1" ht="21" customHeight="1">
      <c r="A39" s="5641" t="s">
        <v>1</v>
      </c>
      <c r="B39" s="5662" t="str">
        <f t="shared" si="9"/>
        <v>A</v>
      </c>
      <c r="C39" s="5825" cm="1">
        <f t="array" ref="C39">SUMPRODUCT(LEN(D39:J39))</f>
        <v>0</v>
      </c>
      <c r="D39" s="5275"/>
      <c r="E39" s="1361"/>
      <c r="F39" s="1361"/>
      <c r="G39" s="1361"/>
      <c r="H39" s="1361"/>
      <c r="I39" s="1361"/>
      <c r="J39" s="5276"/>
      <c r="K39" s="106" t="s">
        <v>1</v>
      </c>
      <c r="L39" s="1018" t="s">
        <v>21</v>
      </c>
      <c r="M39" s="41" t="str">
        <f>M43</f>
        <v>Pâtisserie--entremet.C.Chiboust pamplemousse</v>
      </c>
      <c r="N39" s="40">
        <f>N43</f>
        <v>18</v>
      </c>
      <c r="O39" s="40" t="str">
        <f>O43</f>
        <v>assiettes</v>
      </c>
      <c r="P39" s="40" t="str">
        <f>P43</f>
        <v>Recette mère ► MILLE-FEUILLE meringue et chiboust pamplemousse aux fraises des bois</v>
      </c>
      <c r="Q39" s="351"/>
      <c r="R39" s="350" t="s">
        <v>233</v>
      </c>
      <c r="S39" s="349"/>
      <c r="T39" s="348" t="s">
        <v>232</v>
      </c>
      <c r="U39" s="347" t="s">
        <v>7812</v>
      </c>
      <c r="V39" s="141"/>
      <c r="W39" s="347"/>
      <c r="X39" s="347"/>
      <c r="Y39" s="5235"/>
      <c r="Z39" s="141"/>
      <c r="AA39" s="141"/>
      <c r="AB39" s="409"/>
      <c r="AC39" s="5817" t="s">
        <v>21</v>
      </c>
      <c r="AD39" s="5826"/>
      <c r="AE39" s="5827"/>
      <c r="AF39" s="5827"/>
      <c r="AG39" s="5827"/>
      <c r="AH39" s="5827"/>
      <c r="AI39" s="5827"/>
      <c r="AJ39" s="5827"/>
      <c r="AK39" s="5828"/>
      <c r="AL39" s="5828"/>
      <c r="AM39" s="5828"/>
      <c r="AN39" s="5828"/>
      <c r="AO39" s="5828"/>
      <c r="AP39" s="5829"/>
      <c r="AQ39" s="5829" t="s">
        <v>248</v>
      </c>
      <c r="AR39" s="5830">
        <f>IF(Y61=0,0,AR37/Y61)</f>
        <v>2.4999999999999996</v>
      </c>
      <c r="AS39" s="7298"/>
      <c r="AT39" s="4"/>
      <c r="AU39" s="4"/>
      <c r="AV39" s="4"/>
      <c r="AW39" s="5818" t="str">
        <f t="shared" si="12"/>
        <v>A</v>
      </c>
      <c r="AX39" s="5819"/>
      <c r="AY39" s="228"/>
      <c r="AZ39" s="228"/>
      <c r="BA39" s="227"/>
      <c r="BB39" s="227"/>
      <c r="BC39" s="5661"/>
      <c r="BD39" s="5811"/>
      <c r="BE39" s="7364"/>
      <c r="BF39" s="7332"/>
      <c r="BG39" s="7366"/>
      <c r="BH39" s="5709"/>
      <c r="BI39" s="5824"/>
      <c r="BJ39" s="5823"/>
      <c r="BL39" s="1079"/>
      <c r="BM39" s="1080"/>
      <c r="BN39" s="1081"/>
      <c r="BO39" s="1080"/>
      <c r="BP39" s="1080"/>
      <c r="BQ39" s="1080"/>
      <c r="BR39" s="1082"/>
      <c r="BT39" s="5771" t="s">
        <v>8510</v>
      </c>
      <c r="BU39" s="271">
        <f t="shared" si="10"/>
        <v>0.06</v>
      </c>
      <c r="BV39" s="5748">
        <v>60</v>
      </c>
      <c r="BX39" s="5">
        <v>1</v>
      </c>
    </row>
    <row r="40" spans="1:76" s="1" customFormat="1" ht="21" customHeight="1" thickBot="1">
      <c r="A40" s="5641" t="s">
        <v>1</v>
      </c>
      <c r="B40" s="5662" t="str">
        <f t="shared" si="9"/>
        <v>A</v>
      </c>
      <c r="C40" s="5825" cm="1">
        <f t="array" ref="C40">SUMPRODUCT(LEN(D40:J40))</f>
        <v>0</v>
      </c>
      <c r="D40" s="5275"/>
      <c r="E40" s="1361"/>
      <c r="F40" s="1361"/>
      <c r="G40" s="1361"/>
      <c r="H40" s="1361"/>
      <c r="I40" s="1361"/>
      <c r="J40" s="5276"/>
      <c r="K40" s="106" t="s">
        <v>1</v>
      </c>
      <c r="L40" s="1018" t="s">
        <v>21</v>
      </c>
      <c r="M40" s="41" t="str">
        <f>M43</f>
        <v>Pâtisserie--entremet.C.Chiboust pamplemousse</v>
      </c>
      <c r="N40" s="40">
        <f>N43</f>
        <v>18</v>
      </c>
      <c r="O40" s="40" t="str">
        <f>O43</f>
        <v>assiettes</v>
      </c>
      <c r="P40" s="40" t="str">
        <f>P43</f>
        <v>Recette mère ► MILLE-FEUILLE meringue et chiboust pamplemousse aux fraises des bois</v>
      </c>
      <c r="Q40" s="333" t="s">
        <v>228</v>
      </c>
      <c r="R40" s="341"/>
      <c r="S40" s="341"/>
      <c r="T40" s="340" t="s">
        <v>227</v>
      </c>
      <c r="U40" s="6901" t="str">
        <f>Q43</f>
        <v>Pâtisserie--entremet.C.Chiboust pamplemousse</v>
      </c>
      <c r="V40" s="6901"/>
      <c r="W40" s="6901"/>
      <c r="X40" s="6225"/>
      <c r="Y40" s="5235"/>
      <c r="Z40" s="5236" t="s">
        <v>8008</v>
      </c>
      <c r="AA40" s="5237">
        <v>100</v>
      </c>
      <c r="AB40" s="344" t="str">
        <f>AB42</f>
        <v>couverts</v>
      </c>
      <c r="AC40" s="5817" t="s">
        <v>21</v>
      </c>
      <c r="AD40" s="5826"/>
      <c r="AE40" s="5827"/>
      <c r="AF40" s="5827"/>
      <c r="AG40" s="5827"/>
      <c r="AH40" s="5827"/>
      <c r="AI40" s="5827"/>
      <c r="AJ40" s="5827"/>
      <c r="AK40" s="5714" t="str">
        <f>IF(AM19&gt;0,"avec Poids modifié ❻","avec Poids prévu ④")</f>
        <v>avec Poids prévu ④</v>
      </c>
      <c r="AL40" s="5714"/>
      <c r="AM40" s="5714"/>
      <c r="AN40" s="5714"/>
      <c r="AO40" s="5713" t="s">
        <v>8511</v>
      </c>
      <c r="AP40" s="5713"/>
      <c r="AQ40" s="5713"/>
      <c r="AR40" s="5831"/>
      <c r="AS40" s="7298"/>
      <c r="AT40" s="4"/>
      <c r="AU40" s="4"/>
      <c r="AV40" s="4"/>
      <c r="AW40" s="5818" t="str">
        <f t="shared" si="12"/>
        <v>A</v>
      </c>
      <c r="AX40" s="5819"/>
      <c r="AY40" s="228"/>
      <c r="AZ40" s="228"/>
      <c r="BA40" s="227"/>
      <c r="BB40" s="227"/>
      <c r="BC40" s="5661"/>
      <c r="BD40" s="954"/>
      <c r="BE40" s="955"/>
      <c r="BF40" s="955"/>
      <c r="BG40" s="955"/>
      <c r="BH40" s="955"/>
      <c r="BI40" s="955"/>
      <c r="BJ40" s="956"/>
      <c r="BL40" s="1083" t="s">
        <v>924</v>
      </c>
      <c r="BM40" s="147"/>
      <c r="BN40" s="147"/>
      <c r="BO40" s="147"/>
      <c r="BP40" s="141"/>
      <c r="BQ40" s="147"/>
      <c r="BR40" s="609"/>
      <c r="BT40" s="5771" t="s">
        <v>8512</v>
      </c>
      <c r="BU40" s="271">
        <f t="shared" si="10"/>
        <v>7.0000000000000007E-2</v>
      </c>
      <c r="BV40" s="5748">
        <v>70</v>
      </c>
      <c r="BX40" s="5">
        <v>1</v>
      </c>
    </row>
    <row r="41" spans="1:76" s="1" customFormat="1" ht="21" customHeight="1" thickTop="1">
      <c r="A41" s="5641" t="s">
        <v>1</v>
      </c>
      <c r="B41" s="5662" t="str">
        <f t="shared" si="9"/>
        <v>A</v>
      </c>
      <c r="C41" s="5825" cm="1">
        <f t="array" ref="C41">SUMPRODUCT(LEN(D41:J41))</f>
        <v>0</v>
      </c>
      <c r="D41" s="5275"/>
      <c r="E41" s="1361"/>
      <c r="F41" s="1361"/>
      <c r="G41" s="1361"/>
      <c r="H41" s="1361"/>
      <c r="I41" s="1361"/>
      <c r="J41" s="5276"/>
      <c r="K41" s="106" t="s">
        <v>1</v>
      </c>
      <c r="L41" s="1018" t="s">
        <v>21</v>
      </c>
      <c r="M41" s="41" t="str">
        <f>M43</f>
        <v>Pâtisserie--entremet.C.Chiboust pamplemousse</v>
      </c>
      <c r="N41" s="40">
        <f>N43</f>
        <v>18</v>
      </c>
      <c r="O41" s="40" t="str">
        <f>O43</f>
        <v>assiettes</v>
      </c>
      <c r="P41" s="40" t="str">
        <f>P43</f>
        <v>Recette mère ► MILLE-FEUILLE meringue et chiboust pamplemousse aux fraises des bois</v>
      </c>
      <c r="Q41" s="5238">
        <v>18</v>
      </c>
      <c r="R41" s="5832" t="s">
        <v>157</v>
      </c>
      <c r="S41" s="333"/>
      <c r="T41" s="333"/>
      <c r="U41" s="6901"/>
      <c r="V41" s="6901"/>
      <c r="W41" s="6901"/>
      <c r="X41" s="6225"/>
      <c r="Y41" s="5239"/>
      <c r="Z41" s="141"/>
      <c r="AA41" s="141"/>
      <c r="AB41" s="409"/>
      <c r="AC41" s="5817" t="s">
        <v>21</v>
      </c>
      <c r="AD41" s="5833"/>
      <c r="AE41" s="5834"/>
      <c r="AF41" s="5834"/>
      <c r="AG41" s="5834"/>
      <c r="AH41" s="5834"/>
      <c r="AI41" s="5834"/>
      <c r="AJ41" s="5834"/>
      <c r="AK41" s="7367">
        <f>AR37</f>
        <v>1.44</v>
      </c>
      <c r="AL41" s="7367"/>
      <c r="AM41" s="7367"/>
      <c r="AN41" s="6864"/>
      <c r="AO41" s="7368">
        <f>AQ10</f>
        <v>45</v>
      </c>
      <c r="AP41" s="7369" t="str">
        <f>AR10</f>
        <v>assiettes</v>
      </c>
      <c r="AQ41" s="7369"/>
      <c r="AR41" s="7370"/>
      <c r="AS41" s="7298"/>
      <c r="AT41" s="4"/>
      <c r="AU41" s="4"/>
      <c r="AV41" s="4"/>
      <c r="AW41" s="5818" t="str">
        <f t="shared" si="12"/>
        <v>A</v>
      </c>
      <c r="AX41" s="5720" t="s">
        <v>119</v>
      </c>
      <c r="AY41" s="228"/>
      <c r="AZ41" s="228"/>
      <c r="BA41" s="228"/>
      <c r="BB41" s="227"/>
      <c r="BC41" s="5661"/>
      <c r="BD41" s="5835"/>
      <c r="BE41" s="5836" t="s">
        <v>8513</v>
      </c>
      <c r="BF41" s="5837">
        <v>1</v>
      </c>
      <c r="BG41" s="5838" t="s">
        <v>8514</v>
      </c>
      <c r="BH41" s="5839"/>
      <c r="BI41" s="5840"/>
      <c r="BJ41" s="5841"/>
      <c r="BL41" s="5842" t="s">
        <v>194</v>
      </c>
      <c r="BM41" s="5843" t="s">
        <v>198</v>
      </c>
      <c r="BN41" s="1087" t="s">
        <v>197</v>
      </c>
      <c r="BO41" s="1088"/>
      <c r="BP41" s="7125" t="s">
        <v>196</v>
      </c>
      <c r="BQ41" s="7126" t="s">
        <v>195</v>
      </c>
      <c r="BR41" s="609"/>
      <c r="BT41" s="5771" t="s">
        <v>8515</v>
      </c>
      <c r="BU41" s="271">
        <f t="shared" si="10"/>
        <v>0.09</v>
      </c>
      <c r="BV41" s="5748">
        <v>90</v>
      </c>
      <c r="BX41" s="5">
        <v>1</v>
      </c>
    </row>
    <row r="42" spans="1:76" s="1" customFormat="1" ht="21" customHeight="1">
      <c r="A42" s="5641" t="s">
        <v>1</v>
      </c>
      <c r="B42" s="5662" t="str">
        <f t="shared" si="9"/>
        <v>►</v>
      </c>
      <c r="C42" s="5825" cm="1">
        <f t="array" ref="C42">SUMPRODUCT(LEN(D42:J42))</f>
        <v>0</v>
      </c>
      <c r="D42" s="5275"/>
      <c r="E42" s="1361"/>
      <c r="F42" s="1361"/>
      <c r="G42" s="1361"/>
      <c r="H42" s="1361"/>
      <c r="I42" s="1361"/>
      <c r="J42" s="5276"/>
      <c r="K42" s="106" t="s">
        <v>1</v>
      </c>
      <c r="L42" s="1018" t="s">
        <v>26</v>
      </c>
      <c r="M42" s="41" t="str">
        <f>M43</f>
        <v>Pâtisserie--entremet.C.Chiboust pamplemousse</v>
      </c>
      <c r="N42" s="40">
        <f>N43</f>
        <v>18</v>
      </c>
      <c r="O42" s="40" t="str">
        <f>O43</f>
        <v>assiettes</v>
      </c>
      <c r="P42" s="40" t="str">
        <f>P43</f>
        <v>Recette mère ► MILLE-FEUILLE meringue et chiboust pamplemousse aux fraises des bois</v>
      </c>
      <c r="Q42" s="327"/>
      <c r="R42" s="326"/>
      <c r="S42" s="326"/>
      <c r="T42" s="326"/>
      <c r="U42" s="326"/>
      <c r="V42" s="326"/>
      <c r="W42" s="5240"/>
      <c r="X42" s="8498"/>
      <c r="Y42"/>
      <c r="Z42" s="5241" t="s">
        <v>944</v>
      </c>
      <c r="AA42" s="5844">
        <v>18</v>
      </c>
      <c r="AB42" s="5242" t="s">
        <v>73</v>
      </c>
      <c r="AC42" s="5817" t="s">
        <v>21</v>
      </c>
      <c r="AD42" s="5845"/>
      <c r="AE42" s="5846"/>
      <c r="AF42" s="5846"/>
      <c r="AG42" s="5846"/>
      <c r="AH42" s="5846"/>
      <c r="AI42" s="5846"/>
      <c r="AJ42" s="5846"/>
      <c r="AK42" s="7367"/>
      <c r="AL42" s="7367"/>
      <c r="AM42" s="7367"/>
      <c r="AN42" s="6864"/>
      <c r="AO42" s="7368"/>
      <c r="AP42" s="7369"/>
      <c r="AQ42" s="7369"/>
      <c r="AR42" s="7370"/>
      <c r="AS42" s="7298"/>
      <c r="AT42" s="4"/>
      <c r="AU42" s="4"/>
      <c r="AV42" s="4"/>
      <c r="AW42" s="5818" t="str">
        <f t="shared" si="12"/>
        <v>A</v>
      </c>
      <c r="AX42" s="234"/>
      <c r="AY42" s="228"/>
      <c r="AZ42" s="228"/>
      <c r="BA42" s="228"/>
      <c r="BB42" s="227"/>
      <c r="BC42" s="5661"/>
      <c r="BD42" s="7355" t="s">
        <v>8516</v>
      </c>
      <c r="BE42" s="7356"/>
      <c r="BF42" s="7356"/>
      <c r="BG42" s="7356"/>
      <c r="BH42" s="7356"/>
      <c r="BI42" s="7356"/>
      <c r="BJ42" s="7357"/>
      <c r="BL42" s="5847" t="s">
        <v>185</v>
      </c>
      <c r="BM42" s="5848" t="s">
        <v>184</v>
      </c>
      <c r="BN42" s="286" t="s">
        <v>162</v>
      </c>
      <c r="BO42" s="285" t="s">
        <v>186</v>
      </c>
      <c r="BP42" s="6905"/>
      <c r="BQ42" s="7074"/>
      <c r="BR42" s="609"/>
      <c r="BT42" s="5771" t="s">
        <v>8517</v>
      </c>
      <c r="BU42" s="271">
        <f t="shared" si="10"/>
        <v>0.12</v>
      </c>
      <c r="BV42" s="5748">
        <v>120</v>
      </c>
      <c r="BX42" s="5">
        <v>1</v>
      </c>
    </row>
    <row r="43" spans="1:76" s="1" customFormat="1" ht="21" customHeight="1" thickBot="1">
      <c r="A43" s="5641" t="s">
        <v>1</v>
      </c>
      <c r="B43" s="5662" t="str">
        <f t="shared" si="9"/>
        <v>►</v>
      </c>
      <c r="C43" s="5825" cm="1">
        <f t="array" ref="C43">SUMPRODUCT(LEN(D43:J43))</f>
        <v>0</v>
      </c>
      <c r="D43" s="5275"/>
      <c r="E43" s="1361"/>
      <c r="F43" s="1361"/>
      <c r="G43" s="1361"/>
      <c r="H43" s="1361"/>
      <c r="I43" s="1361"/>
      <c r="J43" s="5276"/>
      <c r="K43" s="106" t="s">
        <v>1</v>
      </c>
      <c r="L43" s="5243" t="s">
        <v>26</v>
      </c>
      <c r="M43" s="5849" t="str">
        <f>Q43</f>
        <v>Pâtisserie--entremet.C.Chiboust pamplemousse</v>
      </c>
      <c r="N43" s="5115">
        <f>Q41</f>
        <v>18</v>
      </c>
      <c r="O43" s="5115" t="str">
        <f>R41</f>
        <v>assiettes</v>
      </c>
      <c r="P43" s="5850" t="str">
        <f>V43&amp;" "&amp;W43</f>
        <v>Recette mère ► MILLE-FEUILLE meringue et chiboust pamplemousse aux fraises des bois</v>
      </c>
      <c r="Q43" s="5116" t="str">
        <f>UPPER(LEFT(Z37,1))&amp;LOWER(MID(Z37,2,999))&amp;"."&amp;UPPER(LEFT(T37,1))&amp;"."&amp;UPPER(LEFT(T37,1))&amp;LOWER(MID(T37,2,999))</f>
        <v>Pâtisserie--entremet.C.Chiboust pamplemousse</v>
      </c>
      <c r="R43" s="5117" t="s">
        <v>223</v>
      </c>
      <c r="S43" s="6903" t="s">
        <v>222</v>
      </c>
      <c r="T43" s="6903"/>
      <c r="U43" s="6903"/>
      <c r="V43" s="5119" t="s">
        <v>221</v>
      </c>
      <c r="W43" s="316" t="s">
        <v>919</v>
      </c>
      <c r="X43" s="8499"/>
      <c r="Y43" s="141"/>
      <c r="Z43" s="141"/>
      <c r="AA43" s="141"/>
      <c r="AB43" s="409"/>
      <c r="AC43" s="5817" t="s">
        <v>21</v>
      </c>
      <c r="AD43" s="5845"/>
      <c r="AE43" s="5846"/>
      <c r="AF43" s="7358">
        <f>AK19</f>
        <v>1.44</v>
      </c>
      <c r="AG43" s="7358"/>
      <c r="AH43" s="7358"/>
      <c r="AI43" s="5851"/>
      <c r="AJ43" s="5852"/>
      <c r="AK43" s="5852"/>
      <c r="AL43" s="5853"/>
      <c r="AM43" s="5854" t="str">
        <f>IF(AF43&gt;0," avec Poids prévu ④ " &amp; AO41 &amp; " " &amp; AP41 &amp; " de","")</f>
        <v xml:space="preserve"> avec Poids prévu ④ 45 assiettes de</v>
      </c>
      <c r="AN43" s="5854"/>
      <c r="AO43" s="5855">
        <f>AF43/AO41*1000</f>
        <v>32</v>
      </c>
      <c r="AP43" s="5856"/>
      <c r="AQ43" s="5856"/>
      <c r="AR43" s="5831"/>
      <c r="AS43" s="7298"/>
      <c r="AT43" s="4"/>
      <c r="AU43" s="4"/>
      <c r="AV43" s="4"/>
      <c r="AW43" s="5818" t="str">
        <f t="shared" si="12"/>
        <v>A</v>
      </c>
      <c r="AX43" s="5720" t="s">
        <v>117</v>
      </c>
      <c r="AY43" s="228"/>
      <c r="AZ43" s="228"/>
      <c r="BA43" s="228"/>
      <c r="BB43" s="227"/>
      <c r="BC43" s="5661"/>
      <c r="BD43" s="7355"/>
      <c r="BE43" s="7356"/>
      <c r="BF43" s="7356"/>
      <c r="BG43" s="7356"/>
      <c r="BH43" s="7356"/>
      <c r="BI43" s="7356"/>
      <c r="BJ43" s="7357"/>
      <c r="BL43" s="5857" t="s">
        <v>859</v>
      </c>
      <c r="BM43" s="5858">
        <v>27</v>
      </c>
      <c r="BN43" s="212" t="s">
        <v>925</v>
      </c>
      <c r="BO43" s="1093" t="s">
        <v>186</v>
      </c>
      <c r="BP43" s="210">
        <v>20</v>
      </c>
      <c r="BQ43" s="5124" t="s">
        <v>130</v>
      </c>
      <c r="BR43" s="609"/>
      <c r="BT43" s="5771" t="s">
        <v>8518</v>
      </c>
      <c r="BU43" s="271">
        <f t="shared" si="10"/>
        <v>0.12</v>
      </c>
      <c r="BV43" s="5748">
        <v>120</v>
      </c>
      <c r="BX43" s="5">
        <v>1</v>
      </c>
    </row>
    <row r="44" spans="1:76" s="1" customFormat="1" ht="21" customHeight="1" thickTop="1" thickBot="1">
      <c r="A44" s="5641" t="s">
        <v>1</v>
      </c>
      <c r="B44" s="5662" t="str">
        <f t="shared" si="9"/>
        <v>►</v>
      </c>
      <c r="C44" s="5825" cm="1">
        <f t="array" ref="C44">SUMPRODUCT(LEN(D44:J44))</f>
        <v>0</v>
      </c>
      <c r="D44" s="5275"/>
      <c r="E44" s="1361"/>
      <c r="F44" s="1361"/>
      <c r="G44" s="1361"/>
      <c r="H44" s="1361"/>
      <c r="I44" s="1361"/>
      <c r="J44" s="5276"/>
      <c r="K44" s="106" t="s">
        <v>1</v>
      </c>
      <c r="L44" s="1017" t="s">
        <v>26</v>
      </c>
      <c r="M44" s="312" t="str">
        <f>M43</f>
        <v>Pâtisserie--entremet.C.Chiboust pamplemousse</v>
      </c>
      <c r="N44" s="311"/>
      <c r="O44" s="311"/>
      <c r="P44" s="311" t="str">
        <f>P43</f>
        <v>Recette mère ► MILLE-FEUILLE meringue et chiboust pamplemousse aux fraises des bois</v>
      </c>
      <c r="Q44" s="310" t="s">
        <v>218</v>
      </c>
      <c r="R44" s="310" t="s">
        <v>217</v>
      </c>
      <c r="S44" s="310" t="s">
        <v>216</v>
      </c>
      <c r="T44" s="310" t="s">
        <v>215</v>
      </c>
      <c r="U44" s="309" t="s">
        <v>214</v>
      </c>
      <c r="V44" s="308" t="s">
        <v>83</v>
      </c>
      <c r="W44" s="5244" t="s">
        <v>213</v>
      </c>
      <c r="X44" s="5244" t="s">
        <v>212</v>
      </c>
      <c r="Y44" s="5245" t="s">
        <v>211</v>
      </c>
      <c r="Z44" s="1100" t="s">
        <v>210</v>
      </c>
      <c r="AA44" s="1100" t="s">
        <v>7928</v>
      </c>
      <c r="AB44" s="5246" t="s">
        <v>208</v>
      </c>
      <c r="AC44" s="5817" t="s">
        <v>21</v>
      </c>
      <c r="AD44" s="5845"/>
      <c r="AE44" s="5846"/>
      <c r="AF44" s="7359">
        <f>AM19</f>
        <v>0</v>
      </c>
      <c r="AG44" s="7359"/>
      <c r="AH44" s="7359"/>
      <c r="AI44" s="5859"/>
      <c r="AJ44" s="5860"/>
      <c r="AK44" s="5861"/>
      <c r="AL44" s="5862"/>
      <c r="AM44" s="5863" t="str">
        <f>IF(AF44&gt;0," avec poids modifié ❻ " &amp; AO41 &amp; " " &amp; AP41 &amp; " de","")</f>
        <v/>
      </c>
      <c r="AN44" s="5863"/>
      <c r="AO44" s="5864">
        <f>AF44/AO41*1000</f>
        <v>0</v>
      </c>
      <c r="AP44" s="5856"/>
      <c r="AQ44" s="5856"/>
      <c r="AR44" s="5865"/>
      <c r="AS44" s="7299"/>
      <c r="AT44" s="4"/>
      <c r="AU44" s="6873" t="s">
        <v>11041</v>
      </c>
      <c r="AV44" s="4"/>
      <c r="AW44" s="5818" t="str">
        <f t="shared" si="12"/>
        <v>A</v>
      </c>
      <c r="AX44" s="234"/>
      <c r="AY44" s="228"/>
      <c r="AZ44" s="228"/>
      <c r="BA44" s="228"/>
      <c r="BB44" s="227"/>
      <c r="BC44" s="5661"/>
      <c r="BD44" s="7355"/>
      <c r="BE44" s="7356"/>
      <c r="BF44" s="7356"/>
      <c r="BG44" s="7356"/>
      <c r="BH44" s="7356"/>
      <c r="BI44" s="7356"/>
      <c r="BJ44" s="7357"/>
      <c r="BL44" s="1083"/>
      <c r="BM44" s="147"/>
      <c r="BN44" s="147"/>
      <c r="BO44" s="147"/>
      <c r="BP44" s="141"/>
      <c r="BQ44" s="147"/>
      <c r="BR44" s="609"/>
      <c r="BT44" s="5771" t="s">
        <v>124</v>
      </c>
      <c r="BU44" s="271">
        <f t="shared" si="10"/>
        <v>0.22500000000000001</v>
      </c>
      <c r="BV44" s="5748">
        <v>225</v>
      </c>
      <c r="BX44" s="5">
        <v>1</v>
      </c>
    </row>
    <row r="45" spans="1:76" s="1" customFormat="1" ht="21" customHeight="1" thickTop="1">
      <c r="A45" s="5641" t="s">
        <v>1</v>
      </c>
      <c r="B45" s="5662" t="str">
        <f t="shared" si="9"/>
        <v>A</v>
      </c>
      <c r="C45" s="5825" cm="1">
        <f t="array" ref="C45">SUMPRODUCT(LEN(D45:J45))</f>
        <v>34</v>
      </c>
      <c r="D45" s="5275"/>
      <c r="E45" s="1361" t="s">
        <v>8519</v>
      </c>
      <c r="F45" s="1361"/>
      <c r="G45" s="1361"/>
      <c r="H45" s="1361"/>
      <c r="I45" s="1361"/>
      <c r="J45" s="5276"/>
      <c r="K45" s="106" t="s">
        <v>1</v>
      </c>
      <c r="L45" s="1018" t="s">
        <v>21</v>
      </c>
      <c r="M45" s="41" t="str">
        <f>M43</f>
        <v>Pâtisserie--entremet.C.Chiboust pamplemousse</v>
      </c>
      <c r="N45" s="40">
        <f>N43</f>
        <v>18</v>
      </c>
      <c r="O45" s="40" t="str">
        <f>O43</f>
        <v>assiettes</v>
      </c>
      <c r="P45" s="40" t="str">
        <f>P43</f>
        <v>Recette mère ► MILLE-FEUILLE meringue et chiboust pamplemousse aux fraises des bois</v>
      </c>
      <c r="Q45" s="5247" t="s">
        <v>198</v>
      </c>
      <c r="R45" s="298" t="s">
        <v>197</v>
      </c>
      <c r="S45" s="297"/>
      <c r="T45" s="6904" t="s">
        <v>196</v>
      </c>
      <c r="U45" s="6906" t="s">
        <v>195</v>
      </c>
      <c r="V45" s="7360" t="s">
        <v>82</v>
      </c>
      <c r="W45" s="5248" t="s">
        <v>194</v>
      </c>
      <c r="X45" s="6869" t="s">
        <v>11041</v>
      </c>
      <c r="Y45" s="7361" t="s">
        <v>929</v>
      </c>
      <c r="Z45" s="6965" t="s">
        <v>191</v>
      </c>
      <c r="AA45" s="6965" t="s">
        <v>8009</v>
      </c>
      <c r="AB45" s="7374" t="s">
        <v>8010</v>
      </c>
      <c r="AC45" s="5817" t="s">
        <v>21</v>
      </c>
      <c r="AD45" s="5866"/>
      <c r="AE45" s="5867" t="s">
        <v>8513</v>
      </c>
      <c r="AF45" s="5868"/>
      <c r="AG45" s="5869"/>
      <c r="AH45" s="5869"/>
      <c r="AI45" s="5869"/>
      <c r="AJ45" s="5869"/>
      <c r="AK45" s="5869"/>
      <c r="AL45" s="5869"/>
      <c r="AM45" s="5869"/>
      <c r="AN45" s="5869"/>
      <c r="AO45" s="5869"/>
      <c r="AP45" s="5869"/>
      <c r="AQ45" s="7375" t="s">
        <v>8010</v>
      </c>
      <c r="AR45" s="5870"/>
      <c r="AS45" s="7377" t="str">
        <f>AS16</f>
        <v>recette Béghin Say de Jean-Jacques Borne MOF 1994</v>
      </c>
      <c r="AT45" s="4"/>
      <c r="AU45" s="6872" t="s">
        <v>11043</v>
      </c>
      <c r="AV45" s="4"/>
      <c r="AW45" s="5818" t="str">
        <f t="shared" si="12"/>
        <v>A</v>
      </c>
      <c r="AX45" s="5720" t="s">
        <v>115</v>
      </c>
      <c r="AY45" s="228"/>
      <c r="AZ45" s="228"/>
      <c r="BA45" s="228"/>
      <c r="BB45" s="227"/>
      <c r="BC45" s="5661"/>
      <c r="BD45" s="7355"/>
      <c r="BE45" s="7356"/>
      <c r="BF45" s="7356"/>
      <c r="BG45" s="7356"/>
      <c r="BH45" s="7356"/>
      <c r="BI45" s="7356"/>
      <c r="BJ45" s="7357"/>
      <c r="BL45" s="1095" t="s">
        <v>186</v>
      </c>
      <c r="BM45" s="5871" t="s">
        <v>927</v>
      </c>
      <c r="BN45" s="1096"/>
      <c r="BO45" s="1096"/>
      <c r="BP45" s="141"/>
      <c r="BQ45" s="147"/>
      <c r="BR45" s="609"/>
      <c r="BT45" s="5771" t="s">
        <v>137</v>
      </c>
      <c r="BU45" s="271">
        <f t="shared" si="10"/>
        <v>0.11799999999999999</v>
      </c>
      <c r="BV45" s="5748">
        <v>118</v>
      </c>
      <c r="BX45" s="5">
        <v>1</v>
      </c>
    </row>
    <row r="46" spans="1:76" s="1" customFormat="1" ht="21" customHeight="1">
      <c r="A46" s="5641" t="s">
        <v>1</v>
      </c>
      <c r="B46" s="5662" t="str">
        <f t="shared" si="9"/>
        <v>A</v>
      </c>
      <c r="C46" s="5825" cm="1">
        <f t="array" ref="C46">SUMPRODUCT(LEN(D46:J46))</f>
        <v>0</v>
      </c>
      <c r="D46" s="5275"/>
      <c r="E46" s="1361"/>
      <c r="F46" s="1361"/>
      <c r="G46" s="1361"/>
      <c r="H46" s="1361"/>
      <c r="I46" s="1361"/>
      <c r="J46" s="5276"/>
      <c r="K46" s="106" t="s">
        <v>1</v>
      </c>
      <c r="L46" s="1018" t="s">
        <v>21</v>
      </c>
      <c r="M46" s="41" t="str">
        <f>M43</f>
        <v>Pâtisserie--entremet.C.Chiboust pamplemousse</v>
      </c>
      <c r="N46" s="40">
        <f>N43</f>
        <v>18</v>
      </c>
      <c r="O46" s="40" t="str">
        <f>O43</f>
        <v>assiettes</v>
      </c>
      <c r="P46" s="40" t="str">
        <f>P43</f>
        <v>Recette mère ► MILLE-FEUILLE meringue et chiboust pamplemousse aux fraises des bois</v>
      </c>
      <c r="Q46" s="5249" t="s">
        <v>184</v>
      </c>
      <c r="R46" s="286" t="s">
        <v>162</v>
      </c>
      <c r="S46" s="285" t="s">
        <v>186</v>
      </c>
      <c r="T46" s="6905"/>
      <c r="U46" s="6907"/>
      <c r="V46" s="6923"/>
      <c r="W46" s="5250" t="s">
        <v>185</v>
      </c>
      <c r="X46" s="6870" t="s">
        <v>255</v>
      </c>
      <c r="Y46" s="7362"/>
      <c r="Z46" s="6891"/>
      <c r="AA46" s="6891"/>
      <c r="AB46" s="6895"/>
      <c r="AC46" s="5817" t="s">
        <v>21</v>
      </c>
      <c r="AD46" s="5872">
        <v>1</v>
      </c>
      <c r="AE46" s="5873" t="s">
        <v>191</v>
      </c>
      <c r="AF46" s="5874"/>
      <c r="AG46" s="5875"/>
      <c r="AH46" s="5875"/>
      <c r="AI46" s="5875"/>
      <c r="AJ46" s="5875"/>
      <c r="AK46" s="5876" t="s">
        <v>191</v>
      </c>
      <c r="AL46" s="5875"/>
      <c r="AM46" s="5877" t="s">
        <v>8520</v>
      </c>
      <c r="AN46" s="5877" t="s">
        <v>11041</v>
      </c>
      <c r="AO46" s="5875"/>
      <c r="AP46" s="5875" t="s">
        <v>8521</v>
      </c>
      <c r="AQ46" s="7376"/>
      <c r="AR46" s="5878" t="s">
        <v>8522</v>
      </c>
      <c r="AS46" s="7315"/>
      <c r="AT46" s="4"/>
      <c r="AU46" s="6872" t="s">
        <v>11044</v>
      </c>
      <c r="AV46" s="4"/>
      <c r="AW46" s="5818" t="str">
        <f t="shared" si="12"/>
        <v>A</v>
      </c>
      <c r="AX46" s="244"/>
      <c r="AY46" s="228"/>
      <c r="AZ46" s="228"/>
      <c r="BA46" s="227"/>
      <c r="BB46" s="227"/>
      <c r="BC46" s="5661"/>
      <c r="BD46" s="5879" t="s">
        <v>8523</v>
      </c>
      <c r="BE46" s="5880"/>
      <c r="BF46" s="5880"/>
      <c r="BG46" s="955"/>
      <c r="BH46" s="955"/>
      <c r="BI46" s="955"/>
      <c r="BJ46" s="956"/>
      <c r="BL46" s="5776" t="s">
        <v>928</v>
      </c>
      <c r="BM46" s="5881"/>
      <c r="BN46" s="147"/>
      <c r="BO46" s="147"/>
      <c r="BP46" s="141"/>
      <c r="BQ46" s="147"/>
      <c r="BR46" s="609"/>
      <c r="BT46" s="5771" t="s">
        <v>128</v>
      </c>
      <c r="BU46" s="271">
        <f t="shared" si="10"/>
        <v>0.15</v>
      </c>
      <c r="BV46" s="5748">
        <v>150</v>
      </c>
      <c r="BX46" s="5">
        <v>1</v>
      </c>
    </row>
    <row r="47" spans="1:76" s="1" customFormat="1" ht="21" customHeight="1">
      <c r="A47" s="5641" t="s">
        <v>1</v>
      </c>
      <c r="B47" s="5662" t="str">
        <f t="shared" si="9"/>
        <v>A</v>
      </c>
      <c r="C47" s="5825" cm="1">
        <f t="array" ref="C47">SUMPRODUCT(LEN(D47:J47))</f>
        <v>0</v>
      </c>
      <c r="D47" s="5275"/>
      <c r="E47" s="1361"/>
      <c r="F47" s="1361"/>
      <c r="G47" s="1361"/>
      <c r="H47" s="1361"/>
      <c r="I47" s="1361"/>
      <c r="J47" s="5276"/>
      <c r="K47" s="106" t="s">
        <v>1</v>
      </c>
      <c r="L47" s="1018" t="s">
        <v>21</v>
      </c>
      <c r="M47" s="41" t="str">
        <f>M43</f>
        <v>Pâtisserie--entremet.C.Chiboust pamplemousse</v>
      </c>
      <c r="N47" s="40">
        <f>N43</f>
        <v>18</v>
      </c>
      <c r="O47" s="40" t="str">
        <f>O43</f>
        <v>assiettes</v>
      </c>
      <c r="P47" s="40" t="str">
        <f>P43</f>
        <v>Recette mère ► MILLE-FEUILLE meringue et chiboust pamplemousse aux fraises des bois</v>
      </c>
      <c r="Q47" s="213"/>
      <c r="R47" s="256"/>
      <c r="S47" s="211" t="str">
        <f t="shared" ref="S47:S60" si="13">IF(OR(ISTEXT(Q47), Q47&lt;=0, T47&lt;=0), "", "de")</f>
        <v/>
      </c>
      <c r="T47" s="210">
        <v>150</v>
      </c>
      <c r="U47" s="5124" t="s">
        <v>130</v>
      </c>
      <c r="V47" s="5576">
        <v>1</v>
      </c>
      <c r="W47" s="6866" t="s">
        <v>11065</v>
      </c>
      <c r="X47" s="6871" t="s">
        <v>11048</v>
      </c>
      <c r="Y47" s="5882">
        <f>IFERROR(IFERROR(INDEX(Q63:AB63,MATCH(U47,Q62:AB62,0)),INDEX(Q65:AB65,MATCH(U47,Q64:AB64,0))) * T47 * IF(ISBLANK(Q47), 1, Q47), 0)</f>
        <v>0.15</v>
      </c>
      <c r="Z47" s="5251">
        <f>(Q47/AA42)*AA40*V47</f>
        <v>0</v>
      </c>
      <c r="AA47" s="5252">
        <f>IF(ISBLANK(AA42), 0, (Y47 * V47) * (AA40 / AA42))</f>
        <v>0.83333333333333326</v>
      </c>
      <c r="AB47" s="5253" t="str">
        <f>IF(COUNTIF(Q62:AB62,U47)&gt;0,IF(ROUND(AA47,3)&gt;=1,ROUND(AA47,3)&amp;" L",ROUND(AA47*100,0)&amp;" cl"),IF(COUNTIF(Q64:AB64,U47)&gt;0,IF(ROUND(AA47,3)&gt;=1,ROUND(AA47,3)&amp;" Kg",ROUND(AA47*1000,0)&amp;" g"),""))</f>
        <v>833 g</v>
      </c>
      <c r="AC47" s="5817" t="str">
        <f>IF(AD47&gt;0,"A","►")</f>
        <v>A</v>
      </c>
      <c r="AD47" s="5883">
        <f>IF(Y61=0,0,Y47*AD46*1000/Y61)</f>
        <v>260.41666666666663</v>
      </c>
      <c r="AE47" s="5884">
        <f>IF(ISNUMBER(Q47),Q47*AD46/Y61,0)</f>
        <v>0</v>
      </c>
      <c r="AF47" s="5885"/>
      <c r="AG47" s="5886"/>
      <c r="AH47" s="5886"/>
      <c r="AI47" s="5886"/>
      <c r="AJ47" s="5887" t="str">
        <f>W47</f>
        <v>crème*</v>
      </c>
      <c r="AK47" s="5888">
        <f>IF(OR(ISTEXT(Q47),Y61=0),0,Q47*AR39)</f>
        <v>0</v>
      </c>
      <c r="AL47" s="5886"/>
      <c r="AM47" s="5889">
        <f t="shared" ref="AM47:AM60" si="14">R47</f>
        <v>0</v>
      </c>
      <c r="AN47" s="8558" t="str">
        <f>X47</f>
        <v>⚠ Lait</v>
      </c>
      <c r="AO47" s="5886"/>
      <c r="AP47" s="5890">
        <f>IF(Y47=0,0,Y47*AR39)</f>
        <v>0.37499999999999994</v>
      </c>
      <c r="AQ47" s="5891" t="str">
        <f>IF(COUNTIF(AD62:AD72,U47)&gt;0,IF(ROUND(AP47,3)&gt;=1,ROUND(AP47,3)&amp;" L",ROUND(AP47*100,0)&amp;" cl"),IF(COUNTIF(AD73:AD83,U47)&gt;0,IF(ROUND(AP47,3)&gt;=1,ROUND(AP47,3)&amp;" Kg",ROUND(AP47*1000,0)&amp;" g"),""))</f>
        <v>375 g</v>
      </c>
      <c r="AR47" s="5892" t="str">
        <f t="shared" ref="AR47:AR60" si="15">W47</f>
        <v>crème*</v>
      </c>
      <c r="AS47" s="7315"/>
      <c r="AT47" s="4"/>
      <c r="AU47" s="6872" t="s">
        <v>11045</v>
      </c>
      <c r="AV47" s="4"/>
      <c r="AW47" s="5818" t="str">
        <f t="shared" si="12"/>
        <v>A</v>
      </c>
      <c r="AX47" s="244"/>
      <c r="AY47" s="228"/>
      <c r="AZ47" s="228"/>
      <c r="BA47" s="227"/>
      <c r="BB47" s="227"/>
      <c r="BC47" s="5661"/>
      <c r="BD47" s="6941" t="s">
        <v>8524</v>
      </c>
      <c r="BE47" s="6942"/>
      <c r="BF47" s="6942"/>
      <c r="BG47" s="6942"/>
      <c r="BH47" s="6942"/>
      <c r="BI47" s="6942"/>
      <c r="BJ47" s="6943"/>
      <c r="BL47" s="5893"/>
      <c r="BM47" s="5799" t="s">
        <v>853</v>
      </c>
      <c r="BN47" s="147"/>
      <c r="BO47" s="147"/>
      <c r="BP47" s="141"/>
      <c r="BQ47" s="147"/>
      <c r="BR47" s="609"/>
      <c r="BT47" s="5771" t="s">
        <v>133</v>
      </c>
      <c r="BU47" s="271">
        <f t="shared" si="10"/>
        <v>0.25</v>
      </c>
      <c r="BV47" s="5748">
        <v>250</v>
      </c>
      <c r="BX47" s="5">
        <v>1</v>
      </c>
    </row>
    <row r="48" spans="1:76" s="1" customFormat="1" ht="21" customHeight="1">
      <c r="A48" s="5641" t="s">
        <v>1</v>
      </c>
      <c r="B48" s="5662" t="str">
        <f t="shared" si="9"/>
        <v>A</v>
      </c>
      <c r="C48" s="5825" cm="1">
        <f t="array" ref="C48">SUMPRODUCT(LEN(D48:J48))</f>
        <v>0</v>
      </c>
      <c r="D48" s="5275"/>
      <c r="E48" s="1361"/>
      <c r="F48" s="1361"/>
      <c r="G48" s="1361"/>
      <c r="H48" s="1361"/>
      <c r="I48" s="1361"/>
      <c r="J48" s="5276"/>
      <c r="K48" s="106" t="s">
        <v>1</v>
      </c>
      <c r="L48" s="1021" t="str">
        <f t="shared" ref="L48:L60" si="16">IF(W48&lt;&gt;"","A","►")</f>
        <v>A</v>
      </c>
      <c r="M48" s="41" t="str">
        <f>M43</f>
        <v>Pâtisserie--entremet.C.Chiboust pamplemousse</v>
      </c>
      <c r="N48" s="40">
        <f>N43</f>
        <v>18</v>
      </c>
      <c r="O48" s="40" t="str">
        <f>O43</f>
        <v>assiettes</v>
      </c>
      <c r="P48" s="40" t="str">
        <f>P43</f>
        <v>Recette mère ► MILLE-FEUILLE meringue et chiboust pamplemousse aux fraises des bois</v>
      </c>
      <c r="Q48" s="213"/>
      <c r="R48" s="256"/>
      <c r="S48" s="211" t="str">
        <f t="shared" si="13"/>
        <v/>
      </c>
      <c r="T48" s="210">
        <v>8</v>
      </c>
      <c r="U48" s="5124" t="s">
        <v>130</v>
      </c>
      <c r="V48" s="5576">
        <v>1</v>
      </c>
      <c r="W48" s="6866" t="s">
        <v>858</v>
      </c>
      <c r="X48" s="6872" t="s">
        <v>856</v>
      </c>
      <c r="Y48" s="5882">
        <f>IFERROR(IFERROR(INDEX(Q63:AB63,MATCH(U48,Q62:AB62,0)),INDEX(Q65:AB65,MATCH(U48,Q64:AB64,0))) * T48 * IF(ISBLANK(Q48), 1, Q48), 0)</f>
        <v>8.0000000000000002E-3</v>
      </c>
      <c r="Z48" s="5254">
        <f>(Q48/AA42)*AA40*V48</f>
        <v>0</v>
      </c>
      <c r="AA48" s="5252">
        <f>IF(ISBLANK(AA42), 0, (Y48 * V48) * (AA40 / AA42))</f>
        <v>4.4444444444444446E-2</v>
      </c>
      <c r="AB48" s="5255" t="str">
        <f>IF(COUNTIF(Q62:AB62,U48)&gt;0,IF(ROUND(AA48,3)&gt;=1,ROUND(AA48,3)&amp;" L",ROUND(AA48*100,0)&amp;" cl"),IF(COUNTIF(Q64:AB64,U48)&gt;0,IF(ROUND(AA48,3)&gt;=1,ROUND(AA48,3)&amp;" Kg",ROUND(AA48*1000,0)&amp;" g"),""))</f>
        <v>44 g</v>
      </c>
      <c r="AC48" s="5817" t="str">
        <f t="shared" ref="AC48:AC61" si="17">IF(AD48&gt;0,"A","►")</f>
        <v>A</v>
      </c>
      <c r="AD48" s="5883">
        <f>IF(Y61=0,0,Y48*AD46*1000/Y61)</f>
        <v>13.888888888888888</v>
      </c>
      <c r="AE48" s="5884">
        <f>IF(ISNUMBER(Q48),Q48*AD46/Y61,0)</f>
        <v>0</v>
      </c>
      <c r="AF48" s="5894"/>
      <c r="AG48" s="5804"/>
      <c r="AH48" s="5804"/>
      <c r="AI48" s="5804"/>
      <c r="AJ48" s="5895" t="str">
        <f t="shared" ref="AJ48:AJ60" si="18">W48</f>
        <v>zestes de pamplemousse</v>
      </c>
      <c r="AK48" s="5896">
        <f>IF(OR(ISTEXT(Q48),Y61=0),0,Q48*AR39)</f>
        <v>0</v>
      </c>
      <c r="AL48" s="5804"/>
      <c r="AM48" s="5805">
        <f t="shared" si="14"/>
        <v>0</v>
      </c>
      <c r="AN48" s="5805" t="str">
        <f t="shared" ref="AN48:AN60" si="19">X48</f>
        <v/>
      </c>
      <c r="AO48" s="5804"/>
      <c r="AP48" s="5788">
        <f>IF(Y48=0,0,Y48*AR39)</f>
        <v>1.9999999999999997E-2</v>
      </c>
      <c r="AQ48" s="5897" t="str">
        <f>IF(COUNTIF(AD62:AD72,U48)&gt;0,IF(ROUND(AP48,3)&gt;=1,ROUND(AP48,3)&amp;" L",ROUND(AP48*100,0)&amp;" cl"),IF(COUNTIF(AD73:AD83,U48)&gt;0,IF(ROUND(AP48,3)&gt;=1,ROUND(AP48,3)&amp;" Kg",ROUND(AP48*1000,0)&amp;" g"),""))</f>
        <v>20 g</v>
      </c>
      <c r="AR48" s="5898" t="str">
        <f t="shared" si="15"/>
        <v>zestes de pamplemousse</v>
      </c>
      <c r="AS48" s="7315"/>
      <c r="AT48" s="4"/>
      <c r="AU48" s="6872" t="s">
        <v>11046</v>
      </c>
      <c r="AV48" s="4"/>
      <c r="AW48" s="5818" t="str">
        <f t="shared" si="12"/>
        <v>A</v>
      </c>
      <c r="AX48" s="244"/>
      <c r="AY48" s="228"/>
      <c r="AZ48" s="228"/>
      <c r="BA48" s="227"/>
      <c r="BB48" s="227"/>
      <c r="BC48" s="5661"/>
      <c r="BD48" s="6941"/>
      <c r="BE48" s="6942"/>
      <c r="BF48" s="6942"/>
      <c r="BG48" s="6942"/>
      <c r="BH48" s="6942"/>
      <c r="BI48" s="6942"/>
      <c r="BJ48" s="6943"/>
      <c r="BL48" s="1121"/>
      <c r="BM48" s="141"/>
      <c r="BN48" s="141"/>
      <c r="BO48" s="141"/>
      <c r="BP48" s="1122"/>
      <c r="BQ48" s="147"/>
      <c r="BR48" s="609"/>
      <c r="BT48" s="5771" t="s">
        <v>126</v>
      </c>
      <c r="BU48" s="271">
        <f t="shared" si="10"/>
        <v>0.35</v>
      </c>
      <c r="BV48" s="5748">
        <v>350</v>
      </c>
      <c r="BX48" s="5">
        <v>1</v>
      </c>
    </row>
    <row r="49" spans="1:76" s="1" customFormat="1" ht="21" customHeight="1">
      <c r="A49" s="5641" t="s">
        <v>1</v>
      </c>
      <c r="B49" s="5662" t="str">
        <f t="shared" si="9"/>
        <v>A</v>
      </c>
      <c r="C49" s="5825" cm="1">
        <f t="array" ref="C49">SUMPRODUCT(LEN(D49:J49))</f>
        <v>0</v>
      </c>
      <c r="D49" s="5275"/>
      <c r="E49" s="1361"/>
      <c r="F49" s="1361"/>
      <c r="G49" s="1361"/>
      <c r="H49" s="1361"/>
      <c r="I49" s="1361"/>
      <c r="J49" s="5276"/>
      <c r="K49" s="106" t="s">
        <v>1</v>
      </c>
      <c r="L49" s="1021" t="str">
        <f t="shared" si="16"/>
        <v>A</v>
      </c>
      <c r="M49" s="41" t="str">
        <f>M43</f>
        <v>Pâtisserie--entremet.C.Chiboust pamplemousse</v>
      </c>
      <c r="N49" s="40">
        <f>N43</f>
        <v>18</v>
      </c>
      <c r="O49" s="40" t="str">
        <f>O43</f>
        <v>assiettes</v>
      </c>
      <c r="P49" s="40" t="str">
        <f>P43</f>
        <v>Recette mère ► MILLE-FEUILLE meringue et chiboust pamplemousse aux fraises des bois</v>
      </c>
      <c r="Q49" s="213"/>
      <c r="R49" s="212"/>
      <c r="S49" s="211" t="str">
        <f t="shared" si="13"/>
        <v/>
      </c>
      <c r="T49" s="210">
        <v>105</v>
      </c>
      <c r="U49" s="5124" t="s">
        <v>130</v>
      </c>
      <c r="V49" s="5576">
        <v>1</v>
      </c>
      <c r="W49" s="6866" t="s">
        <v>11062</v>
      </c>
      <c r="X49" s="6871" t="s">
        <v>11051</v>
      </c>
      <c r="Y49" s="5882">
        <f>IFERROR(IFERROR(INDEX(Q63:AB63,MATCH(U49,Q62:AB62,0)),INDEX(Q65:AB65,MATCH(U49,Q64:AB64,0))) * T49 * IF(ISBLANK(Q49), 1, Q49), 0)</f>
        <v>0.105</v>
      </c>
      <c r="Z49" s="5256">
        <f>(Q49/AA42)*AA40*V49</f>
        <v>0</v>
      </c>
      <c r="AA49" s="5252">
        <f>IF(ISBLANK(AA42), 0, (Y49 * V49) * (AA40 / AA42))</f>
        <v>0.58333333333333326</v>
      </c>
      <c r="AB49" s="5257" t="str">
        <f>IF(COUNTIF(Q62:AB62,U49)&gt;0,IF(ROUND(AA49,3)&gt;=1,ROUND(AA49,3)&amp;" L",ROUND(AA49*100,0)&amp;" cl"),IF(COUNTIF(Q64:AB64,U49)&gt;0,IF(ROUND(AA49,3)&gt;=1,ROUND(AA49,3)&amp;" Kg",ROUND(AA49*1000,0)&amp;" g"),""))</f>
        <v>583 g</v>
      </c>
      <c r="AC49" s="5817" t="str">
        <f t="shared" si="17"/>
        <v>A</v>
      </c>
      <c r="AD49" s="5883">
        <f>IF(Y61=0,0,Y49*AD46*1000/Y61)</f>
        <v>182.29166666666666</v>
      </c>
      <c r="AE49" s="5884">
        <f>IF(ISNUMBER(Q49),Q49*AD46/Y61,0)</f>
        <v>0</v>
      </c>
      <c r="AF49" s="5885"/>
      <c r="AG49" s="5886"/>
      <c r="AH49" s="5886"/>
      <c r="AI49" s="5886"/>
      <c r="AJ49" s="5899" t="str">
        <f t="shared" si="18"/>
        <v>jaunes d'œufs*</v>
      </c>
      <c r="AK49" s="5888">
        <f>IF(OR(ISTEXT(Q49),Y61=0),0,Q49*AR39)</f>
        <v>0</v>
      </c>
      <c r="AL49" s="5886"/>
      <c r="AM49" s="5889">
        <f t="shared" si="14"/>
        <v>0</v>
      </c>
      <c r="AN49" s="8558" t="str">
        <f t="shared" si="19"/>
        <v>⚠ Oeufs</v>
      </c>
      <c r="AO49" s="5886"/>
      <c r="AP49" s="5890">
        <f>IF(Y49=0,0,Y49*AR39)</f>
        <v>0.26249999999999996</v>
      </c>
      <c r="AQ49" s="5891" t="str">
        <f>IF(COUNTIF(AD62:AD72,U49)&gt;0,IF(ROUND(AP49,3)&gt;=1,ROUND(AP49,3)&amp;" L",ROUND(AP49*100,0)&amp;" cl"),IF(COUNTIF(AD73:AD83,U49)&gt;0,IF(ROUND(AP49,3)&gt;=1,ROUND(AP49,3)&amp;" Kg",ROUND(AP49*1000,0)&amp;" g"),""))</f>
        <v>263 g</v>
      </c>
      <c r="AR49" s="5892" t="str">
        <f t="shared" si="15"/>
        <v>jaunes d'œufs*</v>
      </c>
      <c r="AS49" s="7315"/>
      <c r="AT49" s="4"/>
      <c r="AU49" s="6872" t="s">
        <v>11047</v>
      </c>
      <c r="AV49" s="4"/>
      <c r="AW49" s="5818" t="str">
        <f t="shared" si="12"/>
        <v>A</v>
      </c>
      <c r="AX49" s="244"/>
      <c r="AY49" s="228"/>
      <c r="AZ49" s="228"/>
      <c r="BA49" s="227"/>
      <c r="BB49" s="227"/>
      <c r="BC49" s="5661"/>
      <c r="BD49" s="1160"/>
      <c r="BE49" s="141"/>
      <c r="BF49" s="141"/>
      <c r="BG49" s="141"/>
      <c r="BH49" s="141"/>
      <c r="BI49" s="141"/>
      <c r="BJ49" s="409"/>
      <c r="BL49" s="221"/>
      <c r="BM49" s="5900" t="s">
        <v>950</v>
      </c>
      <c r="BN49" s="1080"/>
      <c r="BO49" s="1080"/>
      <c r="BP49" s="1122"/>
      <c r="BQ49" s="147"/>
      <c r="BR49" s="609"/>
      <c r="BT49" s="5901" t="s">
        <v>123</v>
      </c>
      <c r="BU49" s="5790">
        <f t="shared" si="10"/>
        <v>1.4E-2</v>
      </c>
      <c r="BV49" s="5748">
        <v>14</v>
      </c>
      <c r="BX49" s="5">
        <v>1</v>
      </c>
    </row>
    <row r="50" spans="1:76" s="1" customFormat="1" ht="21" customHeight="1">
      <c r="A50" s="5641" t="s">
        <v>1</v>
      </c>
      <c r="B50" s="5662" t="str">
        <f t="shared" si="9"/>
        <v>A</v>
      </c>
      <c r="C50" s="5825" cm="1">
        <f t="array" ref="C50">SUMPRODUCT(LEN(D50:J50))</f>
        <v>0</v>
      </c>
      <c r="D50" s="5275"/>
      <c r="E50" s="1361"/>
      <c r="F50" s="1361"/>
      <c r="G50" s="1361"/>
      <c r="H50" s="1361"/>
      <c r="I50" s="1361"/>
      <c r="J50" s="5276"/>
      <c r="K50" s="106" t="s">
        <v>1</v>
      </c>
      <c r="L50" s="1021" t="str">
        <f t="shared" si="16"/>
        <v>A</v>
      </c>
      <c r="M50" s="41" t="str">
        <f>M43</f>
        <v>Pâtisserie--entremet.C.Chiboust pamplemousse</v>
      </c>
      <c r="N50" s="40">
        <f>N43</f>
        <v>18</v>
      </c>
      <c r="O50" s="40" t="str">
        <f>O43</f>
        <v>assiettes</v>
      </c>
      <c r="P50" s="40" t="str">
        <f>P43</f>
        <v>Recette mère ► MILLE-FEUILLE meringue et chiboust pamplemousse aux fraises des bois</v>
      </c>
      <c r="Q50" s="213"/>
      <c r="R50" s="212"/>
      <c r="S50" s="211" t="str">
        <f t="shared" si="13"/>
        <v/>
      </c>
      <c r="T50" s="210">
        <v>35</v>
      </c>
      <c r="U50" s="5124" t="s">
        <v>130</v>
      </c>
      <c r="V50" s="5576">
        <v>1</v>
      </c>
      <c r="W50" s="6866" t="s">
        <v>7815</v>
      </c>
      <c r="X50" s="6871" t="s">
        <v>856</v>
      </c>
      <c r="Y50" s="5882">
        <f>IFERROR(IFERROR(INDEX(Q63:AB63,MATCH(U50,Q62:AB62,0)),INDEX(Q65:AB65,MATCH(U50,Q64:AB64,0))) * T50 * IF(ISBLANK(Q50), 1, Q50), 0)</f>
        <v>3.5000000000000003E-2</v>
      </c>
      <c r="Z50" s="5254">
        <f>(Q50/AA42)*AA40*V50</f>
        <v>0</v>
      </c>
      <c r="AA50" s="5252">
        <f>IF(ISBLANK(AA42), 0, (Y50 * V50) * (AA40 / AA42))</f>
        <v>0.19444444444444445</v>
      </c>
      <c r="AB50" s="5255" t="str">
        <f>IF(COUNTIF(Q62:AB62,U50)&gt;0,IF(ROUND(AA50,3)&gt;=1,ROUND(AA50,3)&amp;" L",ROUND(AA50*100,0)&amp;" cl"),IF(COUNTIF(Q64:AB64,U50)&gt;0,IF(ROUND(AA50,3)&gt;=1,ROUND(AA50,3)&amp;" Kg",ROUND(AA50*1000,0)&amp;" g"),""))</f>
        <v>194 g</v>
      </c>
      <c r="AC50" s="5817" t="str">
        <f t="shared" si="17"/>
        <v>A</v>
      </c>
      <c r="AD50" s="5883">
        <f>IF(Y61=0,0,Y50*AD46*1000/Y61)</f>
        <v>60.763888888888879</v>
      </c>
      <c r="AE50" s="5884">
        <f>IF(ISNUMBER(Q50),Q50*AD46/Y61,0)</f>
        <v>0</v>
      </c>
      <c r="AF50" s="5894"/>
      <c r="AG50" s="5804"/>
      <c r="AH50" s="5804"/>
      <c r="AI50" s="5804"/>
      <c r="AJ50" s="5902" t="str">
        <f t="shared" si="18"/>
        <v>cassonade l'antillaise</v>
      </c>
      <c r="AK50" s="5896">
        <f>IF(OR(ISTEXT(Q50),Y61=0),0,Q50*AR39)</f>
        <v>0</v>
      </c>
      <c r="AL50" s="5804"/>
      <c r="AM50" s="5805">
        <f t="shared" si="14"/>
        <v>0</v>
      </c>
      <c r="AN50" s="5805" t="str">
        <f t="shared" si="19"/>
        <v/>
      </c>
      <c r="AO50" s="5804"/>
      <c r="AP50" s="5788">
        <f>IF(Y50=0,0,Y50*AR39)</f>
        <v>8.7499999999999994E-2</v>
      </c>
      <c r="AQ50" s="5897" t="str">
        <f>IF(COUNTIF(AD62:AD72,U50)&gt;0,IF(ROUND(AP50,3)&gt;=1,ROUND(AP50,3)&amp;" L",ROUND(AP50*100,0)&amp;" cl"),IF(COUNTIF(AD73:AD83,U50)&gt;0,IF(ROUND(AP50,3)&gt;=1,ROUND(AP50,3)&amp;" Kg",ROUND(AP50*1000,0)&amp;" g"),""))</f>
        <v>88 g</v>
      </c>
      <c r="AR50" s="5898" t="str">
        <f t="shared" si="15"/>
        <v>cassonade l'antillaise</v>
      </c>
      <c r="AS50" s="7315"/>
      <c r="AT50" s="4"/>
      <c r="AU50" s="6872" t="s">
        <v>11048</v>
      </c>
      <c r="AV50" s="4"/>
      <c r="AW50" s="5818" t="str">
        <f t="shared" si="12"/>
        <v>A</v>
      </c>
      <c r="AX50" s="244"/>
      <c r="AY50" s="228"/>
      <c r="AZ50" s="228"/>
      <c r="BA50" s="227"/>
      <c r="BB50" s="227"/>
      <c r="BC50" s="5661"/>
      <c r="BD50" s="5903" t="s">
        <v>8525</v>
      </c>
      <c r="BE50" s="141"/>
      <c r="BF50" s="141"/>
      <c r="BG50" s="141"/>
      <c r="BH50" s="141"/>
      <c r="BI50" s="141"/>
      <c r="BJ50" s="409"/>
      <c r="BL50" s="5776" t="s">
        <v>924</v>
      </c>
      <c r="BM50" s="147"/>
      <c r="BN50" s="147"/>
      <c r="BO50" s="147"/>
      <c r="BP50" s="141"/>
      <c r="BQ50" s="147"/>
      <c r="BR50" s="609"/>
      <c r="BT50" s="5901" t="s">
        <v>122</v>
      </c>
      <c r="BU50" s="5904">
        <f t="shared" si="10"/>
        <v>2.835E-2</v>
      </c>
      <c r="BV50" s="5905">
        <v>28.35</v>
      </c>
      <c r="BX50" s="5">
        <v>1</v>
      </c>
    </row>
    <row r="51" spans="1:76" s="1" customFormat="1" ht="21" customHeight="1" thickBot="1">
      <c r="A51" s="5641" t="s">
        <v>1</v>
      </c>
      <c r="B51" s="5662" t="str">
        <f t="shared" si="9"/>
        <v>A</v>
      </c>
      <c r="C51" s="5825" cm="1">
        <f t="array" ref="C51">SUMPRODUCT(LEN(D51:J51))</f>
        <v>0</v>
      </c>
      <c r="D51" s="5275"/>
      <c r="E51" s="1361"/>
      <c r="F51" s="1361"/>
      <c r="G51" s="1361"/>
      <c r="H51" s="1361"/>
      <c r="I51" s="1361"/>
      <c r="J51" s="5276"/>
      <c r="K51" s="106" t="s">
        <v>1</v>
      </c>
      <c r="L51" s="1021" t="str">
        <f t="shared" si="16"/>
        <v>A</v>
      </c>
      <c r="M51" s="41" t="str">
        <f>M43</f>
        <v>Pâtisserie--entremet.C.Chiboust pamplemousse</v>
      </c>
      <c r="N51" s="40">
        <f>N43</f>
        <v>18</v>
      </c>
      <c r="O51" s="40" t="str">
        <f>O43</f>
        <v>assiettes</v>
      </c>
      <c r="P51" s="40" t="str">
        <f>P43</f>
        <v>Recette mère ► MILLE-FEUILLE meringue et chiboust pamplemousse aux fraises des bois</v>
      </c>
      <c r="Q51" s="213"/>
      <c r="R51" s="212"/>
      <c r="S51" s="211" t="str">
        <f t="shared" si="13"/>
        <v/>
      </c>
      <c r="T51" s="210">
        <v>15</v>
      </c>
      <c r="U51" s="5124" t="s">
        <v>130</v>
      </c>
      <c r="V51" s="5576">
        <v>1</v>
      </c>
      <c r="W51" s="6866" t="s">
        <v>7816</v>
      </c>
      <c r="X51" s="6871" t="s">
        <v>856</v>
      </c>
      <c r="Y51" s="5882">
        <f>IFERROR(IFERROR(INDEX(Q63:AB63,MATCH(U51,Q62:AB62,0)),INDEX(Q65:AB65,MATCH(U51,Q64:AB64,0))) * T51 * IF(ISBLANK(Q51), 1, Q51), 0)</f>
        <v>1.4999999999999999E-2</v>
      </c>
      <c r="Z51" s="5256">
        <f>(Q51/AA42)*AA40*V51</f>
        <v>0</v>
      </c>
      <c r="AA51" s="5252">
        <f>IF(ISBLANK(AA42), 0, (Y51 * V51) * (AA40 / AA42))</f>
        <v>8.3333333333333329E-2</v>
      </c>
      <c r="AB51" s="5257" t="str">
        <f>IF(COUNTIF(Q62:AB62,U51)&gt;0,IF(ROUND(AA51,3)&gt;=1,ROUND(AA51,3)&amp;" L",ROUND(AA51*100,0)&amp;" cl"),IF(COUNTIF(Q64:AB64,U51)&gt;0,IF(ROUND(AA51,3)&gt;=1,ROUND(AA51,3)&amp;" Kg",ROUND(AA51*1000,0)&amp;" g"),""))</f>
        <v>83 g</v>
      </c>
      <c r="AC51" s="5817" t="str">
        <f t="shared" si="17"/>
        <v>A</v>
      </c>
      <c r="AD51" s="5883">
        <f>IF(Y61=0,0,Y51*AD46*1000/Y61)</f>
        <v>26.041666666666664</v>
      </c>
      <c r="AE51" s="5884">
        <f>IF(ISNUMBER(Q51),Q51*AD46/Y61,0)</f>
        <v>0</v>
      </c>
      <c r="AF51" s="5885"/>
      <c r="AG51" s="5886"/>
      <c r="AH51" s="5886"/>
      <c r="AI51" s="5886"/>
      <c r="AJ51" s="5899" t="str">
        <f t="shared" si="18"/>
        <v>maïzena</v>
      </c>
      <c r="AK51" s="5888">
        <f>IF(OR(ISTEXT(Q51),Y61=0),0,Q51*AR39)</f>
        <v>0</v>
      </c>
      <c r="AL51" s="5886"/>
      <c r="AM51" s="5889">
        <f t="shared" si="14"/>
        <v>0</v>
      </c>
      <c r="AN51" s="8558" t="str">
        <f t="shared" si="19"/>
        <v/>
      </c>
      <c r="AO51" s="5886"/>
      <c r="AP51" s="5890">
        <f>IF(Y51=0,0,Y51*AR39)</f>
        <v>3.7499999999999992E-2</v>
      </c>
      <c r="AQ51" s="5891" t="str">
        <f>IF(COUNTIF(AD62:AD72,U51)&gt;0,IF(ROUND(AP51,3)&gt;=1,ROUND(AP51,3)&amp;" L",ROUND(AP51*100,0)&amp;" cl"),IF(COUNTIF(AD73:AD83,U51)&gt;0,IF(ROUND(AP51,3)&gt;=1,ROUND(AP51,3)&amp;" Kg",ROUND(AP51*1000,0)&amp;" g"),""))</f>
        <v>38 g</v>
      </c>
      <c r="AR51" s="5892" t="str">
        <f t="shared" si="15"/>
        <v>maïzena</v>
      </c>
      <c r="AS51" s="7315"/>
      <c r="AT51" s="4"/>
      <c r="AU51" s="6872" t="s">
        <v>11049</v>
      </c>
      <c r="AV51" s="4"/>
      <c r="AW51" s="5818" t="str">
        <f t="shared" si="12"/>
        <v>A</v>
      </c>
      <c r="AX51" s="244"/>
      <c r="AY51" s="228"/>
      <c r="AZ51" s="228"/>
      <c r="BA51" s="227"/>
      <c r="BB51" s="227"/>
      <c r="BC51" s="5661"/>
      <c r="BD51" s="5906" t="s">
        <v>8445</v>
      </c>
      <c r="BE51" s="141"/>
      <c r="BF51" s="141"/>
      <c r="BG51" s="141"/>
      <c r="BH51" s="141"/>
      <c r="BI51" s="141"/>
      <c r="BJ51" s="409"/>
      <c r="BL51" s="221" t="s">
        <v>955</v>
      </c>
      <c r="BM51" s="141"/>
      <c r="BN51" s="141"/>
      <c r="BO51" s="141"/>
      <c r="BP51" s="141"/>
      <c r="BQ51" s="141"/>
      <c r="BR51" s="609"/>
      <c r="BT51" s="5901" t="s">
        <v>8526</v>
      </c>
      <c r="BU51" s="5904">
        <f t="shared" si="10"/>
        <v>2.9569999999999999E-2</v>
      </c>
      <c r="BV51" s="5905">
        <v>29.57</v>
      </c>
      <c r="BX51" s="5">
        <v>1</v>
      </c>
    </row>
    <row r="52" spans="1:76" s="1" customFormat="1" ht="21" customHeight="1" thickTop="1">
      <c r="A52" s="5641" t="s">
        <v>1</v>
      </c>
      <c r="B52" s="5662" t="str">
        <f t="shared" si="9"/>
        <v>A</v>
      </c>
      <c r="C52" s="5825" cm="1">
        <f t="array" ref="C52">SUMPRODUCT(LEN(D52:J52))</f>
        <v>0</v>
      </c>
      <c r="D52" s="5275"/>
      <c r="E52" s="1361"/>
      <c r="F52" s="1361"/>
      <c r="G52" s="1361"/>
      <c r="H52" s="1361"/>
      <c r="I52" s="1361"/>
      <c r="J52" s="5276"/>
      <c r="K52" s="106" t="s">
        <v>1</v>
      </c>
      <c r="L52" s="1021" t="str">
        <f t="shared" si="16"/>
        <v>A</v>
      </c>
      <c r="M52" s="41" t="str">
        <f>M43</f>
        <v>Pâtisserie--entremet.C.Chiboust pamplemousse</v>
      </c>
      <c r="N52" s="40">
        <f>N43</f>
        <v>18</v>
      </c>
      <c r="O52" s="40" t="str">
        <f>O43</f>
        <v>assiettes</v>
      </c>
      <c r="P52" s="40" t="str">
        <f>P43</f>
        <v>Recette mère ► MILLE-FEUILLE meringue et chiboust pamplemousse aux fraises des bois</v>
      </c>
      <c r="Q52" s="213"/>
      <c r="R52" s="212"/>
      <c r="S52" s="211" t="str">
        <f t="shared" si="13"/>
        <v/>
      </c>
      <c r="T52" s="210">
        <v>8</v>
      </c>
      <c r="U52" s="5124" t="s">
        <v>130</v>
      </c>
      <c r="V52" s="5576">
        <v>1</v>
      </c>
      <c r="W52" s="6866" t="s">
        <v>7817</v>
      </c>
      <c r="X52" s="6871" t="s">
        <v>856</v>
      </c>
      <c r="Y52" s="5882">
        <f>IFERROR(IFERROR(INDEX(Q63:AB63,MATCH(U52,Q62:AB62,0)),INDEX(Q65:AB65,MATCH(U52,Q64:AB64,0))) * T52 * IF(ISBLANK(Q52), 1, Q52), 0)</f>
        <v>8.0000000000000002E-3</v>
      </c>
      <c r="Z52" s="5254">
        <f>(Q52/AA42)*AA40*V52</f>
        <v>0</v>
      </c>
      <c r="AA52" s="5252">
        <f>IF(ISBLANK(AA42), 0, (Y52 * V52) * (AA40 / AA42))</f>
        <v>4.4444444444444446E-2</v>
      </c>
      <c r="AB52" s="5255" t="str">
        <f>IF(COUNTIF(Q62:AB62,U52)&gt;0,IF(ROUND(AA52,3)&gt;=1,ROUND(AA52,3)&amp;" L",ROUND(AA52*100,0)&amp;" cl"),IF(COUNTIF(Q64:AB64,U52)&gt;0,IF(ROUND(AA52,3)&gt;=1,ROUND(AA52,3)&amp;" Kg",ROUND(AA52*1000,0)&amp;" g"),""))</f>
        <v>44 g</v>
      </c>
      <c r="AC52" s="5817" t="str">
        <f t="shared" si="17"/>
        <v>A</v>
      </c>
      <c r="AD52" s="5883">
        <f>IF(Y61=0,0,Y52*AD46*1000/Y61)</f>
        <v>13.888888888888888</v>
      </c>
      <c r="AE52" s="5884">
        <f>IF(ISNUMBER(Q52),Q52*AD46/Y61,0)</f>
        <v>0</v>
      </c>
      <c r="AF52" s="5894"/>
      <c r="AG52" s="5804"/>
      <c r="AH52" s="5804"/>
      <c r="AI52" s="5804"/>
      <c r="AJ52" s="5902" t="str">
        <f t="shared" si="18"/>
        <v>gélatine</v>
      </c>
      <c r="AK52" s="5896">
        <f>IF(OR(ISTEXT(Q52),Y61=0),0,Q52*AR39)</f>
        <v>0</v>
      </c>
      <c r="AL52" s="5804"/>
      <c r="AM52" s="5805">
        <f t="shared" si="14"/>
        <v>0</v>
      </c>
      <c r="AN52" s="5805" t="str">
        <f t="shared" si="19"/>
        <v/>
      </c>
      <c r="AO52" s="5804"/>
      <c r="AP52" s="5788">
        <f>IF(Y52=0,0,Y52*AR39)</f>
        <v>1.9999999999999997E-2</v>
      </c>
      <c r="AQ52" s="5897" t="str">
        <f>IF(COUNTIF(AD62:AD72,U52)&gt;0,IF(ROUND(AP52,3)&gt;=1,ROUND(AP52,3)&amp;" L",ROUND(AP52*100,0)&amp;" cl"),IF(COUNTIF(AD73:AD83,U52)&gt;0,IF(ROUND(AP52,3)&gt;=1,ROUND(AP52,3)&amp;" Kg",ROUND(AP52*1000,0)&amp;" g"),""))</f>
        <v>20 g</v>
      </c>
      <c r="AR52" s="5898" t="str">
        <f t="shared" si="15"/>
        <v>gélatine</v>
      </c>
      <c r="AS52" s="7315"/>
      <c r="AT52" s="4"/>
      <c r="AU52" s="6872" t="s">
        <v>11042</v>
      </c>
      <c r="AV52" s="4"/>
      <c r="AW52" s="5818" t="str">
        <f t="shared" si="12"/>
        <v>A</v>
      </c>
      <c r="AX52" s="244"/>
      <c r="AY52" s="228"/>
      <c r="AZ52" s="228"/>
      <c r="BA52" s="227"/>
      <c r="BB52" s="227"/>
      <c r="BC52" s="5661"/>
      <c r="BD52" s="1160"/>
      <c r="BE52" s="141"/>
      <c r="BF52" s="141"/>
      <c r="BG52" s="141"/>
      <c r="BH52" s="141"/>
      <c r="BI52" s="141"/>
      <c r="BJ52" s="409"/>
      <c r="BL52" s="1086" t="s">
        <v>198</v>
      </c>
      <c r="BM52" s="1087" t="s">
        <v>197</v>
      </c>
      <c r="BN52" s="1088"/>
      <c r="BO52" s="7125" t="s">
        <v>196</v>
      </c>
      <c r="BP52" s="7126" t="s">
        <v>195</v>
      </c>
      <c r="BQ52" s="5907" t="s">
        <v>194</v>
      </c>
      <c r="BR52" s="609"/>
      <c r="BT52" s="5901" t="s">
        <v>116</v>
      </c>
      <c r="BU52" s="271">
        <f t="shared" si="10"/>
        <v>2.9000000000000001E-2</v>
      </c>
      <c r="BV52" s="5748">
        <v>29</v>
      </c>
      <c r="BX52" s="5">
        <v>1</v>
      </c>
    </row>
    <row r="53" spans="1:76" s="1" customFormat="1" ht="21" customHeight="1">
      <c r="A53" s="5641" t="s">
        <v>1</v>
      </c>
      <c r="B53" s="5662" t="str">
        <f t="shared" si="9"/>
        <v>A</v>
      </c>
      <c r="C53" s="5825" cm="1">
        <f t="array" ref="C53">SUMPRODUCT(LEN(D53:J53))</f>
        <v>0</v>
      </c>
      <c r="D53" s="5275"/>
      <c r="E53" s="1361"/>
      <c r="F53" s="1361"/>
      <c r="G53" s="1361"/>
      <c r="H53" s="1361"/>
      <c r="I53" s="1361"/>
      <c r="J53" s="5276"/>
      <c r="K53" s="106" t="s">
        <v>1</v>
      </c>
      <c r="L53" s="1021" t="str">
        <f t="shared" si="16"/>
        <v>A</v>
      </c>
      <c r="M53" s="41" t="str">
        <f>M43</f>
        <v>Pâtisserie--entremet.C.Chiboust pamplemousse</v>
      </c>
      <c r="N53" s="40">
        <f>N43</f>
        <v>18</v>
      </c>
      <c r="O53" s="40" t="str">
        <f>O43</f>
        <v>assiettes</v>
      </c>
      <c r="P53" s="40" t="str">
        <f>P43</f>
        <v>Recette mère ► MILLE-FEUILLE meringue et chiboust pamplemousse aux fraises des bois</v>
      </c>
      <c r="Q53" s="213"/>
      <c r="R53" s="212"/>
      <c r="S53" s="211" t="str">
        <f t="shared" si="13"/>
        <v/>
      </c>
      <c r="T53" s="210">
        <v>160</v>
      </c>
      <c r="U53" s="5124" t="s">
        <v>130</v>
      </c>
      <c r="V53" s="5576">
        <v>1</v>
      </c>
      <c r="W53" s="6866" t="s">
        <v>11066</v>
      </c>
      <c r="X53" s="6871" t="s">
        <v>11051</v>
      </c>
      <c r="Y53" s="5882">
        <f>IFERROR(IFERROR(INDEX(Q63:AB63,MATCH(U53,Q62:AB62,0)),INDEX(Q65:AB65,MATCH(U53,Q64:AB64,0))) * T53 * IF(ISBLANK(Q53), 1, Q53), 0)</f>
        <v>0.16</v>
      </c>
      <c r="Z53" s="5256">
        <f>(Q53/AA42)*AA40*V53</f>
        <v>0</v>
      </c>
      <c r="AA53" s="5252">
        <f>IF(ISBLANK(AA42), 0, (Y53 * V53) * (AA40 / AA42))</f>
        <v>0.88888888888888884</v>
      </c>
      <c r="AB53" s="5258" t="str">
        <f>IF(COUNTIF(Q62:AB62,U53)&gt;0,IF(ROUND(AA53,3)&gt;=1,ROUND(AA53,3)&amp;" L",ROUND(AA53*100,0)&amp;" cl"),IF(COUNTIF(Q64:AB64,U53)&gt;0,IF(ROUND(AA53,3)&gt;=1,ROUND(AA53,3)&amp;" Kg",ROUND(AA53*1000,0)&amp;" g"),""))</f>
        <v>889 g</v>
      </c>
      <c r="AC53" s="5817" t="str">
        <f t="shared" si="17"/>
        <v>A</v>
      </c>
      <c r="AD53" s="5883">
        <f>IF(Y61=0,0,Y53*AD46*1000/Y61)</f>
        <v>277.77777777777777</v>
      </c>
      <c r="AE53" s="5884">
        <f>IF(ISNUMBER(Q53),Q53*AD46/Y61,0)</f>
        <v>0</v>
      </c>
      <c r="AF53" s="5885"/>
      <c r="AG53" s="5886"/>
      <c r="AH53" s="5886"/>
      <c r="AI53" s="5886"/>
      <c r="AJ53" s="5899" t="str">
        <f t="shared" si="18"/>
        <v>blancs d'œufs*</v>
      </c>
      <c r="AK53" s="5888">
        <f>IF(OR(ISTEXT(Q53),Y61=0),0,Q53*AR39)</f>
        <v>0</v>
      </c>
      <c r="AL53" s="5886"/>
      <c r="AM53" s="5889">
        <f t="shared" si="14"/>
        <v>0</v>
      </c>
      <c r="AN53" s="8558" t="str">
        <f t="shared" si="19"/>
        <v>⚠ Oeufs</v>
      </c>
      <c r="AO53" s="5886"/>
      <c r="AP53" s="5890">
        <f>IF(Y53=0,0,Y53*AR39)</f>
        <v>0.39999999999999991</v>
      </c>
      <c r="AQ53" s="5891" t="str">
        <f>IF(COUNTIF(AD62:AD72,U53)&gt;0,IF(ROUND(AP53,3)&gt;=1,ROUND(AP53,3)&amp;" L",ROUND(AP53*100,0)&amp;" cl"),IF(COUNTIF(AD73:AD83,U53)&gt;0,IF(ROUND(AP53,3)&gt;=1,ROUND(AP53,3)&amp;" Kg",ROUND(AP53*1000,0)&amp;" g"),""))</f>
        <v>400 g</v>
      </c>
      <c r="AR53" s="5892" t="str">
        <f t="shared" si="15"/>
        <v>blancs d'œufs*</v>
      </c>
      <c r="AS53" s="7315"/>
      <c r="AT53" s="4"/>
      <c r="AU53" s="6872" t="s">
        <v>11050</v>
      </c>
      <c r="AV53" s="4"/>
      <c r="AW53" s="5818" t="str">
        <f t="shared" si="12"/>
        <v>A</v>
      </c>
      <c r="AX53" s="5720"/>
      <c r="AY53" s="228"/>
      <c r="AZ53" s="228"/>
      <c r="BA53" s="227"/>
      <c r="BB53" s="227"/>
      <c r="BC53" s="5661"/>
      <c r="BD53" s="5908" t="s">
        <v>8527</v>
      </c>
      <c r="BE53" s="141"/>
      <c r="BF53" s="141"/>
      <c r="BG53" s="141"/>
      <c r="BH53" s="141"/>
      <c r="BI53" s="141"/>
      <c r="BJ53" s="409"/>
      <c r="BL53" s="1129" t="s">
        <v>184</v>
      </c>
      <c r="BM53" s="1130" t="s">
        <v>162</v>
      </c>
      <c r="BN53" s="211" t="s">
        <v>186</v>
      </c>
      <c r="BO53" s="6904"/>
      <c r="BP53" s="7127"/>
      <c r="BQ53" s="5909" t="s">
        <v>185</v>
      </c>
      <c r="BR53" s="609"/>
      <c r="BT53" s="5901" t="s">
        <v>118</v>
      </c>
      <c r="BU53" s="271">
        <f t="shared" si="10"/>
        <v>5.8999999999999997E-2</v>
      </c>
      <c r="BV53" s="5748">
        <v>59</v>
      </c>
      <c r="BX53" s="5">
        <v>1</v>
      </c>
    </row>
    <row r="54" spans="1:76" s="1" customFormat="1" ht="21" customHeight="1">
      <c r="A54" s="5641" t="s">
        <v>1</v>
      </c>
      <c r="B54" s="5662" t="str">
        <f t="shared" si="9"/>
        <v>A</v>
      </c>
      <c r="C54" s="5825" cm="1">
        <f t="array" ref="C54">SUMPRODUCT(LEN(D54:J54))</f>
        <v>0</v>
      </c>
      <c r="D54" s="5275"/>
      <c r="E54" s="1361"/>
      <c r="F54" s="1361"/>
      <c r="G54" s="1361"/>
      <c r="H54" s="1361"/>
      <c r="I54" s="1361"/>
      <c r="J54" s="5276"/>
      <c r="K54" s="106" t="s">
        <v>1</v>
      </c>
      <c r="L54" s="1021" t="str">
        <f t="shared" si="16"/>
        <v>A</v>
      </c>
      <c r="M54" s="41" t="str">
        <f>M43</f>
        <v>Pâtisserie--entremet.C.Chiboust pamplemousse</v>
      </c>
      <c r="N54" s="40">
        <f>N43</f>
        <v>18</v>
      </c>
      <c r="O54" s="40" t="str">
        <f>O43</f>
        <v>assiettes</v>
      </c>
      <c r="P54" s="40" t="str">
        <f>P43</f>
        <v>Recette mère ► MILLE-FEUILLE meringue et chiboust pamplemousse aux fraises des bois</v>
      </c>
      <c r="Q54" s="213"/>
      <c r="R54" s="212"/>
      <c r="S54" s="211" t="str">
        <f t="shared" si="13"/>
        <v/>
      </c>
      <c r="T54" s="210">
        <v>95</v>
      </c>
      <c r="U54" s="5124" t="s">
        <v>130</v>
      </c>
      <c r="V54" s="5576">
        <v>1</v>
      </c>
      <c r="W54" s="6866" t="s">
        <v>7815</v>
      </c>
      <c r="X54" s="6871" t="s">
        <v>856</v>
      </c>
      <c r="Y54" s="5882">
        <f>IFERROR(IFERROR(INDEX(Q63:AB63,MATCH(U54,Q62:AB62,0)),INDEX(Q65:AB65,MATCH(U54,Q64:AB64,0))) * T54 * IF(ISBLANK(Q54), 1, Q54), 0)</f>
        <v>9.5000000000000001E-2</v>
      </c>
      <c r="Z54" s="5254">
        <f>(Q54/AA42)*AA40*V54</f>
        <v>0</v>
      </c>
      <c r="AA54" s="5252">
        <f>IF(ISBLANK(AA42), 0, (Y54 * V54) * (AA40 / AA42))</f>
        <v>0.52777777777777779</v>
      </c>
      <c r="AB54" s="5255" t="str">
        <f>IF(COUNTIF(Q62:AB62,U54)&gt;0,IF(ROUND(AA54,3)&gt;=1,ROUND(AA54,3)&amp;" L",ROUND(AA54*100,0)&amp;" cl"),IF(COUNTIF(Q64:AB64,U54)&gt;0,IF(ROUND(AA54,3)&gt;=1,ROUND(AA54,3)&amp;" Kg",ROUND(AA54*1000,0)&amp;" g"),""))</f>
        <v>528 g</v>
      </c>
      <c r="AC54" s="5817" t="str">
        <f t="shared" si="17"/>
        <v>A</v>
      </c>
      <c r="AD54" s="5883">
        <f>IF(Y61=0,0,Y54*AD46*1000/Y61)</f>
        <v>164.93055555555554</v>
      </c>
      <c r="AE54" s="5884">
        <f>IF(ISNUMBER(Q54),Q54*AD46/Y61,0)</f>
        <v>0</v>
      </c>
      <c r="AF54" s="5894"/>
      <c r="AG54" s="5804"/>
      <c r="AH54" s="5804"/>
      <c r="AI54" s="5804"/>
      <c r="AJ54" s="5902" t="str">
        <f t="shared" si="18"/>
        <v>cassonade l'antillaise</v>
      </c>
      <c r="AK54" s="5896">
        <f>IF(OR(ISTEXT(Q54),Y61=0),0,Q54*AR39)</f>
        <v>0</v>
      </c>
      <c r="AL54" s="5804"/>
      <c r="AM54" s="5805">
        <f t="shared" si="14"/>
        <v>0</v>
      </c>
      <c r="AN54" s="5805" t="str">
        <f t="shared" si="19"/>
        <v/>
      </c>
      <c r="AO54" s="5804"/>
      <c r="AP54" s="5788">
        <f>IF(Y54=0,0,Y54*AR39)</f>
        <v>0.23749999999999996</v>
      </c>
      <c r="AQ54" s="5897" t="str">
        <f>IF(COUNTIF(AD62:AD72,U54)&gt;0,IF(ROUND(AP54,3)&gt;=1,ROUND(AP54,3)&amp;" L",ROUND(AP54*100,0)&amp;" cl"),IF(COUNTIF(AD73:AD83,U54)&gt;0,IF(ROUND(AP54,3)&gt;=1,ROUND(AP54,3)&amp;" Kg",ROUND(AP54*1000,0)&amp;" g"),""))</f>
        <v>238 g</v>
      </c>
      <c r="AR54" s="5898" t="str">
        <f t="shared" si="15"/>
        <v>cassonade l'antillaise</v>
      </c>
      <c r="AS54" s="7315"/>
      <c r="AT54" s="4"/>
      <c r="AU54" s="6872" t="s">
        <v>11051</v>
      </c>
      <c r="AV54" s="4"/>
      <c r="AW54" s="5818" t="str">
        <f t="shared" si="12"/>
        <v>A</v>
      </c>
      <c r="AX54" s="5720"/>
      <c r="AY54" s="228"/>
      <c r="AZ54" s="228"/>
      <c r="BA54" s="227"/>
      <c r="BB54" s="227"/>
      <c r="BC54" s="5661"/>
      <c r="BD54" s="5910" t="s">
        <v>8528</v>
      </c>
      <c r="BE54" s="141"/>
      <c r="BF54" s="141"/>
      <c r="BG54" s="141"/>
      <c r="BH54" s="141"/>
      <c r="BI54" s="141"/>
      <c r="BJ54" s="409"/>
      <c r="BL54" s="1144">
        <v>0.25</v>
      </c>
      <c r="BM54" s="1134" t="s">
        <v>970</v>
      </c>
      <c r="BN54" s="1135"/>
      <c r="BO54" s="35"/>
      <c r="BP54" s="1149"/>
      <c r="BQ54" s="5911" t="s">
        <v>971</v>
      </c>
      <c r="BR54" s="609"/>
      <c r="BT54" s="5901" t="s">
        <v>120</v>
      </c>
      <c r="BU54" s="271">
        <f t="shared" si="10"/>
        <v>0.11799999999999999</v>
      </c>
      <c r="BV54" s="5748">
        <v>118</v>
      </c>
      <c r="BX54" s="5">
        <v>1</v>
      </c>
    </row>
    <row r="55" spans="1:76" s="1" customFormat="1" ht="21" customHeight="1">
      <c r="A55" s="5641" t="s">
        <v>1</v>
      </c>
      <c r="B55" s="5662" t="str">
        <f t="shared" si="9"/>
        <v>►</v>
      </c>
      <c r="C55" s="5825" cm="1">
        <f t="array" ref="C55">SUMPRODUCT(LEN(D55:J55))</f>
        <v>0</v>
      </c>
      <c r="D55" s="5275"/>
      <c r="E55" s="1361"/>
      <c r="F55" s="1361"/>
      <c r="G55" s="1361"/>
      <c r="H55" s="1361"/>
      <c r="I55" s="1361"/>
      <c r="J55" s="5276"/>
      <c r="K55" s="106" t="s">
        <v>1</v>
      </c>
      <c r="L55" s="1021" t="str">
        <f t="shared" si="16"/>
        <v>►</v>
      </c>
      <c r="M55" s="41" t="str">
        <f>M43</f>
        <v>Pâtisserie--entremet.C.Chiboust pamplemousse</v>
      </c>
      <c r="N55" s="40">
        <f>N43</f>
        <v>18</v>
      </c>
      <c r="O55" s="40" t="str">
        <f>O43</f>
        <v>assiettes</v>
      </c>
      <c r="P55" s="40" t="str">
        <f>P43</f>
        <v>Recette mère ► MILLE-FEUILLE meringue et chiboust pamplemousse aux fraises des bois</v>
      </c>
      <c r="Q55" s="213"/>
      <c r="R55" s="212"/>
      <c r="S55" s="211" t="str">
        <f t="shared" si="13"/>
        <v/>
      </c>
      <c r="T55" s="210"/>
      <c r="U55" s="5259"/>
      <c r="V55" s="5576">
        <v>1</v>
      </c>
      <c r="W55" s="6866"/>
      <c r="X55" s="6871"/>
      <c r="Y55" s="5882">
        <f>IFERROR(IFERROR(INDEX(Q63:AB63,MATCH(U55,Q62:AB62,0)),INDEX(Q65:AB65,MATCH(U55,Q64:AB64,0))) * T55 * IF(ISBLANK(Q55), 1, Q55), 0)</f>
        <v>0</v>
      </c>
      <c r="Z55" s="5256">
        <f>(Q55/AA42)*AA40*V55</f>
        <v>0</v>
      </c>
      <c r="AA55" s="5252">
        <f>IF(ISBLANK(AA42), 0, (Y55 * V55) * (AA40 / AA42))</f>
        <v>0</v>
      </c>
      <c r="AB55" s="5258" t="str">
        <f>IF(COUNTIF(Q62:AB62,U55)&gt;0,IF(ROUND(AA55,3)&gt;=1,ROUND(AA55,3)&amp;" L",ROUND(AA55*100,0)&amp;" cl"),IF(COUNTIF(Q64:AB64,U55)&gt;0,IF(ROUND(AA55,3)&gt;=1,ROUND(AA55,3)&amp;" Kg",ROUND(AA55*1000,0)&amp;" g"),""))</f>
        <v/>
      </c>
      <c r="AC55" s="5817" t="str">
        <f t="shared" si="17"/>
        <v>►</v>
      </c>
      <c r="AD55" s="5883">
        <f>IF(Y61=0,0,Y55*AD46*1000/Y61)</f>
        <v>0</v>
      </c>
      <c r="AE55" s="5884">
        <f>IF(ISNUMBER(Q55),Q55*AD46/Y61,0)</f>
        <v>0</v>
      </c>
      <c r="AF55" s="5885"/>
      <c r="AG55" s="5886"/>
      <c r="AH55" s="5886"/>
      <c r="AI55" s="5886"/>
      <c r="AJ55" s="5899">
        <f t="shared" si="18"/>
        <v>0</v>
      </c>
      <c r="AK55" s="5888">
        <f>IF(OR(ISTEXT(Q55),Y61=0),0,Q55*AR39)</f>
        <v>0</v>
      </c>
      <c r="AL55" s="5886"/>
      <c r="AM55" s="5889">
        <f t="shared" si="14"/>
        <v>0</v>
      </c>
      <c r="AN55" s="8558">
        <f t="shared" si="19"/>
        <v>0</v>
      </c>
      <c r="AO55" s="5886"/>
      <c r="AP55" s="5890">
        <f>IF(Y55=0,0,Y55*AR39)</f>
        <v>0</v>
      </c>
      <c r="AQ55" s="5891" t="str">
        <f>IF(COUNTIF(AD62:AD72,U55)&gt;0,IF(ROUND(AP55,3)&gt;=1,ROUND(AP55,3)&amp;" L",ROUND(AP55*100,0)&amp;" cl"),IF(COUNTIF(AD73:AD83,U55)&gt;0,IF(ROUND(AP55,3)&gt;=1,ROUND(AP55,3)&amp;" Kg",ROUND(AP55*1000,0)&amp;" g"),""))</f>
        <v/>
      </c>
      <c r="AR55" s="5892">
        <f t="shared" si="15"/>
        <v>0</v>
      </c>
      <c r="AS55" s="7315"/>
      <c r="AT55" s="4"/>
      <c r="AU55" s="6872" t="s">
        <v>11052</v>
      </c>
      <c r="AV55" s="4"/>
      <c r="AW55" s="5818" t="str">
        <f t="shared" si="12"/>
        <v>►</v>
      </c>
      <c r="AX55" s="188" t="s">
        <v>105</v>
      </c>
      <c r="AY55" s="228"/>
      <c r="AZ55" s="234"/>
      <c r="BA55" s="234"/>
      <c r="BB55" s="234"/>
      <c r="BC55" s="5661"/>
      <c r="BD55" s="5910" t="s">
        <v>8529</v>
      </c>
      <c r="BE55" s="141"/>
      <c r="BF55" s="141"/>
      <c r="BG55" s="141"/>
      <c r="BH55" s="141"/>
      <c r="BI55" s="141"/>
      <c r="BJ55" s="409"/>
      <c r="BL55" s="1144">
        <v>0.5</v>
      </c>
      <c r="BM55" s="1134" t="s">
        <v>967</v>
      </c>
      <c r="BN55" s="1135"/>
      <c r="BO55" s="35"/>
      <c r="BP55" s="1149"/>
      <c r="BQ55" s="5911" t="s">
        <v>968</v>
      </c>
      <c r="BR55" s="609"/>
      <c r="BT55" s="5901" t="s">
        <v>8530</v>
      </c>
      <c r="BU55" s="240">
        <f t="shared" si="10"/>
        <v>0.113</v>
      </c>
      <c r="BV55" s="5718">
        <v>113</v>
      </c>
      <c r="BX55" s="5">
        <v>1</v>
      </c>
    </row>
    <row r="56" spans="1:76" s="1" customFormat="1" ht="21" customHeight="1">
      <c r="A56" s="5641" t="s">
        <v>1</v>
      </c>
      <c r="B56" s="5662" t="str">
        <f t="shared" si="9"/>
        <v>►</v>
      </c>
      <c r="C56" s="5825" cm="1">
        <f t="array" ref="C56">SUMPRODUCT(LEN(D56:J56))</f>
        <v>0</v>
      </c>
      <c r="D56" s="5275"/>
      <c r="E56" s="1361"/>
      <c r="F56" s="1361"/>
      <c r="G56" s="1361"/>
      <c r="H56" s="1361"/>
      <c r="I56" s="1361"/>
      <c r="J56" s="5276"/>
      <c r="K56" s="106" t="s">
        <v>1</v>
      </c>
      <c r="L56" s="1021" t="str">
        <f t="shared" si="16"/>
        <v>►</v>
      </c>
      <c r="M56" s="41" t="str">
        <f>M43</f>
        <v>Pâtisserie--entremet.C.Chiboust pamplemousse</v>
      </c>
      <c r="N56" s="40">
        <f>N43</f>
        <v>18</v>
      </c>
      <c r="O56" s="40" t="str">
        <f>O43</f>
        <v>assiettes</v>
      </c>
      <c r="P56" s="40" t="str">
        <f>P43</f>
        <v>Recette mère ► MILLE-FEUILLE meringue et chiboust pamplemousse aux fraises des bois</v>
      </c>
      <c r="Q56" s="213"/>
      <c r="R56" s="212"/>
      <c r="S56" s="211" t="str">
        <f t="shared" si="13"/>
        <v/>
      </c>
      <c r="T56" s="210"/>
      <c r="U56" s="5259"/>
      <c r="V56" s="5576">
        <v>1</v>
      </c>
      <c r="W56" s="6866"/>
      <c r="X56" s="6871"/>
      <c r="Y56" s="5882">
        <f>IFERROR(IFERROR(INDEX(Q63:AB63,MATCH(U56,Q62:AB62,0)),INDEX(Q65:AB65,MATCH(U56,Q64:AB64,0))) * T56 * IF(ISBLANK(Q56), 1, Q56), 0)</f>
        <v>0</v>
      </c>
      <c r="Z56" s="5254">
        <f>(Q56/AA42)*AA40*V56</f>
        <v>0</v>
      </c>
      <c r="AA56" s="5252">
        <f>IF(ISBLANK(AA42), 0, (Y56 * V56) * (AA40 / AA42))</f>
        <v>0</v>
      </c>
      <c r="AB56" s="5255" t="str">
        <f>IF(COUNTIF(Q62:AB62,U56)&gt;0,IF(ROUND(AA56,3)&gt;=1,ROUND(AA56,3)&amp;" L",ROUND(AA56*100,0)&amp;" cl"),IF(COUNTIF(Q64:AB64,U56)&gt;0,IF(ROUND(AA56,3)&gt;=1,ROUND(AA56,3)&amp;" Kg",ROUND(AA56*1000,0)&amp;" g"),""))</f>
        <v/>
      </c>
      <c r="AC56" s="5817" t="str">
        <f t="shared" si="17"/>
        <v>►</v>
      </c>
      <c r="AD56" s="5883">
        <f>IF(Y61=0,0,Y56*AD46*1000/Y61)</f>
        <v>0</v>
      </c>
      <c r="AE56" s="5884">
        <f>IF(ISNUMBER(Q56),Q56*AD46/Y61,0)</f>
        <v>0</v>
      </c>
      <c r="AF56" s="5894"/>
      <c r="AG56" s="5804"/>
      <c r="AH56" s="5804"/>
      <c r="AI56" s="5804"/>
      <c r="AJ56" s="5902">
        <f t="shared" si="18"/>
        <v>0</v>
      </c>
      <c r="AK56" s="5896">
        <f>IF(OR(ISTEXT(Q56),Y61=0),0,Q56*AR39)</f>
        <v>0</v>
      </c>
      <c r="AL56" s="5804"/>
      <c r="AM56" s="5805">
        <f t="shared" si="14"/>
        <v>0</v>
      </c>
      <c r="AN56" s="5805">
        <f t="shared" si="19"/>
        <v>0</v>
      </c>
      <c r="AO56" s="5804"/>
      <c r="AP56" s="5788">
        <f>IF(Y56=0,0,Y56*AR39)</f>
        <v>0</v>
      </c>
      <c r="AQ56" s="5897" t="str">
        <f>IF(COUNTIF(AD62:AD72,U56)&gt;0,IF(ROUND(AP56,3)&gt;=1,ROUND(AP56,3)&amp;" L",ROUND(AP56*100,0)&amp;" cl"),IF(COUNTIF(AD73:AD83,U56)&gt;0,IF(ROUND(AP56,3)&gt;=1,ROUND(AP56,3)&amp;" Kg",ROUND(AP56*1000,0)&amp;" g"),""))</f>
        <v/>
      </c>
      <c r="AR56" s="5898">
        <f t="shared" si="15"/>
        <v>0</v>
      </c>
      <c r="AS56" s="7315"/>
      <c r="AT56" s="4"/>
      <c r="AU56" s="6872" t="s">
        <v>11053</v>
      </c>
      <c r="AV56" s="4"/>
      <c r="AW56" s="5818" t="str">
        <f t="shared" si="12"/>
        <v>►</v>
      </c>
      <c r="AX56" s="188"/>
      <c r="AY56" s="228"/>
      <c r="AZ56" s="234"/>
      <c r="BA56" s="234"/>
      <c r="BB56" s="234"/>
      <c r="BC56" s="5661"/>
      <c r="BD56" s="5912" t="s">
        <v>8531</v>
      </c>
      <c r="BE56" s="141"/>
      <c r="BF56" s="141"/>
      <c r="BG56" s="141"/>
      <c r="BH56" s="141"/>
      <c r="BI56" s="141"/>
      <c r="BJ56" s="409"/>
      <c r="BL56" s="1144">
        <v>0.75</v>
      </c>
      <c r="BM56" s="1134" t="s">
        <v>977</v>
      </c>
      <c r="BN56" s="1135"/>
      <c r="BO56" s="35"/>
      <c r="BP56" s="1149"/>
      <c r="BQ56" s="5911" t="s">
        <v>978</v>
      </c>
      <c r="BR56" s="609"/>
      <c r="BT56" s="5901" t="s">
        <v>114</v>
      </c>
      <c r="BU56" s="240">
        <f t="shared" si="10"/>
        <v>0.13</v>
      </c>
      <c r="BV56" s="5718">
        <v>130</v>
      </c>
      <c r="BX56" s="5">
        <v>1</v>
      </c>
    </row>
    <row r="57" spans="1:76" s="1" customFormat="1" ht="21" customHeight="1">
      <c r="A57" s="5641" t="s">
        <v>1</v>
      </c>
      <c r="B57" s="5662" t="str">
        <f t="shared" si="9"/>
        <v>►</v>
      </c>
      <c r="C57" s="5825" cm="1">
        <f t="array" ref="C57">SUMPRODUCT(LEN(D57:J57))</f>
        <v>0</v>
      </c>
      <c r="D57" s="5275"/>
      <c r="E57" s="1361"/>
      <c r="F57" s="1361"/>
      <c r="G57" s="1361"/>
      <c r="H57" s="1361"/>
      <c r="I57" s="1361"/>
      <c r="J57" s="5276"/>
      <c r="K57" s="106" t="s">
        <v>1</v>
      </c>
      <c r="L57" s="1021" t="str">
        <f t="shared" si="16"/>
        <v>►</v>
      </c>
      <c r="M57" s="41" t="str">
        <f>M43</f>
        <v>Pâtisserie--entremet.C.Chiboust pamplemousse</v>
      </c>
      <c r="N57" s="40">
        <f>N43</f>
        <v>18</v>
      </c>
      <c r="O57" s="40" t="str">
        <f>O43</f>
        <v>assiettes</v>
      </c>
      <c r="P57" s="40" t="str">
        <f>P43</f>
        <v>Recette mère ► MILLE-FEUILLE meringue et chiboust pamplemousse aux fraises des bois</v>
      </c>
      <c r="Q57" s="213"/>
      <c r="R57" s="212"/>
      <c r="S57" s="211" t="str">
        <f t="shared" si="13"/>
        <v/>
      </c>
      <c r="T57" s="210"/>
      <c r="U57" s="5259"/>
      <c r="V57" s="5576">
        <v>1</v>
      </c>
      <c r="W57" s="6866"/>
      <c r="X57" s="6871"/>
      <c r="Y57" s="5882">
        <f>IFERROR(IFERROR(INDEX(Q63:AB63,MATCH(U57,Q62:AB62,0)),INDEX(Q65:AB65,MATCH(U57,Q64:AB64,0))) * T57 * IF(ISBLANK(Q57), 1, Q57), 0)</f>
        <v>0</v>
      </c>
      <c r="Z57" s="5256">
        <f>(Q57/AA42)*AA40*V57</f>
        <v>0</v>
      </c>
      <c r="AA57" s="5252">
        <f>IF(ISBLANK(AA42), 0, (Y57 * V57) * (AA40 / AA42))</f>
        <v>0</v>
      </c>
      <c r="AB57" s="5260" t="str">
        <f>IF(COUNTIF(Q62:AB62,U57)&gt;0,IF(ROUND(AA57,3)&gt;=1,ROUND(AA57,3)&amp;" L",ROUND(AA57*100,0)&amp;" cl"),IF(COUNTIF(Q64:AB64,U57)&gt;0,IF(ROUND(AA57,3)&gt;=1,ROUND(AA57,3)&amp;" Kg",ROUND(AA57*1000,0)&amp;" g"),""))</f>
        <v/>
      </c>
      <c r="AC57" s="5817" t="str">
        <f t="shared" si="17"/>
        <v>►</v>
      </c>
      <c r="AD57" s="5883">
        <f>IF(Y61=0,0,Y57*AD46*1000/Y61)</f>
        <v>0</v>
      </c>
      <c r="AE57" s="5884">
        <f>IF(ISNUMBER(Q57),Q57*AD46/Y61,0)</f>
        <v>0</v>
      </c>
      <c r="AF57" s="5885"/>
      <c r="AG57" s="5886"/>
      <c r="AH57" s="5886"/>
      <c r="AI57" s="5886"/>
      <c r="AJ57" s="5899">
        <f t="shared" si="18"/>
        <v>0</v>
      </c>
      <c r="AK57" s="5888">
        <f>IF(OR(ISTEXT(Q57),Y61=0),0,Q57*AR39)</f>
        <v>0</v>
      </c>
      <c r="AL57" s="5886"/>
      <c r="AM57" s="5889">
        <f t="shared" si="14"/>
        <v>0</v>
      </c>
      <c r="AN57" s="8558">
        <f t="shared" si="19"/>
        <v>0</v>
      </c>
      <c r="AO57" s="5886"/>
      <c r="AP57" s="5890">
        <f>IF(Y57=0,0,Y57*AR39)</f>
        <v>0</v>
      </c>
      <c r="AQ57" s="5891" t="str">
        <f>IF(COUNTIF(AD62:AD72,U57)&gt;0,IF(ROUND(AP57,3)&gt;=1,ROUND(AP57,3)&amp;" L",ROUND(AP57*100,0)&amp;" cl"),IF(COUNTIF(AD73:AD83,U57)&gt;0,IF(ROUND(AP57,3)&gt;=1,ROUND(AP57,3)&amp;" Kg",ROUND(AP57*1000,0)&amp;" g"),""))</f>
        <v/>
      </c>
      <c r="AR57" s="5892">
        <f t="shared" si="15"/>
        <v>0</v>
      </c>
      <c r="AS57" s="7315"/>
      <c r="AT57" s="4"/>
      <c r="AU57" s="6872" t="s">
        <v>11054</v>
      </c>
      <c r="AV57" s="4"/>
      <c r="AW57" s="5818" t="str">
        <f t="shared" si="12"/>
        <v>►</v>
      </c>
      <c r="AX57" s="5913" t="s">
        <v>103</v>
      </c>
      <c r="AY57" s="234"/>
      <c r="AZ57" s="234"/>
      <c r="BA57" s="234"/>
      <c r="BB57" s="234"/>
      <c r="BC57" s="5661"/>
      <c r="BD57" s="5912" t="s">
        <v>8532</v>
      </c>
      <c r="BE57" s="141"/>
      <c r="BF57" s="141"/>
      <c r="BG57" s="141"/>
      <c r="BH57" s="141"/>
      <c r="BI57" s="141"/>
      <c r="BJ57" s="409"/>
      <c r="BL57" s="1092">
        <v>2</v>
      </c>
      <c r="BM57" s="1150" t="s">
        <v>980</v>
      </c>
      <c r="BN57" s="1135"/>
      <c r="BO57" s="35"/>
      <c r="BP57" s="1149"/>
      <c r="BQ57" s="5911"/>
      <c r="BR57" s="609"/>
      <c r="BT57" s="5901" t="s">
        <v>113</v>
      </c>
      <c r="BU57" s="240">
        <f t="shared" si="10"/>
        <v>0.13</v>
      </c>
      <c r="BV57" s="5718">
        <v>130</v>
      </c>
      <c r="BX57" s="5">
        <v>1</v>
      </c>
    </row>
    <row r="58" spans="1:76" s="1" customFormat="1" ht="21" customHeight="1">
      <c r="A58" s="5641" t="s">
        <v>1</v>
      </c>
      <c r="B58" s="5662" t="str">
        <f t="shared" si="9"/>
        <v>►</v>
      </c>
      <c r="C58" s="5825" cm="1">
        <f t="array" ref="C58">SUMPRODUCT(LEN(D58:J58))</f>
        <v>0</v>
      </c>
      <c r="D58" s="5275"/>
      <c r="E58" s="1361"/>
      <c r="F58" s="1361"/>
      <c r="G58" s="1361"/>
      <c r="H58" s="1361"/>
      <c r="I58" s="1361"/>
      <c r="J58" s="5276"/>
      <c r="K58" s="106" t="s">
        <v>1</v>
      </c>
      <c r="L58" s="1021" t="str">
        <f t="shared" si="16"/>
        <v>►</v>
      </c>
      <c r="M58" s="41" t="str">
        <f>M43</f>
        <v>Pâtisserie--entremet.C.Chiboust pamplemousse</v>
      </c>
      <c r="N58" s="40">
        <f>N43</f>
        <v>18</v>
      </c>
      <c r="O58" s="40" t="str">
        <f>O43</f>
        <v>assiettes</v>
      </c>
      <c r="P58" s="40" t="str">
        <f>P43</f>
        <v>Recette mère ► MILLE-FEUILLE meringue et chiboust pamplemousse aux fraises des bois</v>
      </c>
      <c r="Q58" s="213"/>
      <c r="R58" s="212"/>
      <c r="S58" s="211" t="str">
        <f t="shared" si="13"/>
        <v/>
      </c>
      <c r="T58" s="210"/>
      <c r="U58" s="5259"/>
      <c r="V58" s="5576">
        <v>1</v>
      </c>
      <c r="W58" s="6866"/>
      <c r="X58" s="6871"/>
      <c r="Y58" s="5882">
        <f>IFERROR(IFERROR(INDEX(Q63:AB63,MATCH(U58,Q62:AB62,0)),INDEX(Q65:AB65,MATCH(U58,Q64:AB64,0))) * T58 * IF(ISBLANK(Q58), 1, Q58), 0)</f>
        <v>0</v>
      </c>
      <c r="Z58" s="5254">
        <f>(Q58/AA42)*AA40*V58</f>
        <v>0</v>
      </c>
      <c r="AA58" s="5252">
        <f>IF(ISBLANK(AA42), 0, (Y58 * V58) * (AA40 / AA42))</f>
        <v>0</v>
      </c>
      <c r="AB58" s="5255" t="str">
        <f>IF(COUNTIF(Q62:AB62,U58)&gt;0,IF(ROUND(AA58,3)&gt;=1,ROUND(AA58,3)&amp;" L",ROUND(AA58*100,0)&amp;" cl"),IF(COUNTIF(Q64:AB64,U58)&gt;0,IF(ROUND(AA58,3)&gt;=1,ROUND(AA58,3)&amp;" Kg",ROUND(AA58*1000,0)&amp;" g"),""))</f>
        <v/>
      </c>
      <c r="AC58" s="5817" t="str">
        <f t="shared" si="17"/>
        <v>►</v>
      </c>
      <c r="AD58" s="5883">
        <f>IF(Y61=0,0,Y58*AD46*1000/Y61)</f>
        <v>0</v>
      </c>
      <c r="AE58" s="5884">
        <f>IF(ISNUMBER(Q58),Q58*AD46/Y61,0)</f>
        <v>0</v>
      </c>
      <c r="AF58" s="5894"/>
      <c r="AG58" s="5804"/>
      <c r="AH58" s="5804"/>
      <c r="AI58" s="5804"/>
      <c r="AJ58" s="5902">
        <f t="shared" si="18"/>
        <v>0</v>
      </c>
      <c r="AK58" s="5896">
        <f>IF(OR(ISTEXT(Q58),Y61=0),0,Q58*AR39)</f>
        <v>0</v>
      </c>
      <c r="AL58" s="5804"/>
      <c r="AM58" s="5805">
        <f t="shared" si="14"/>
        <v>0</v>
      </c>
      <c r="AN58" s="5805">
        <f t="shared" si="19"/>
        <v>0</v>
      </c>
      <c r="AO58" s="5804"/>
      <c r="AP58" s="5788">
        <f>IF(Y58=0,0,Y58*AR39)</f>
        <v>0</v>
      </c>
      <c r="AQ58" s="5897" t="str">
        <f>IF(COUNTIF(AD62:AD72,U58)&gt;0,IF(ROUND(AP58,3)&gt;=1,ROUND(AP58,3)&amp;" L",ROUND(AP58*100,0)&amp;" cl"),IF(COUNTIF(AD73:AD83,U58)&gt;0,IF(ROUND(AP58,3)&gt;=1,ROUND(AP58,3)&amp;" Kg",ROUND(AP58*1000,0)&amp;" g"),""))</f>
        <v/>
      </c>
      <c r="AR58" s="5898">
        <f t="shared" si="15"/>
        <v>0</v>
      </c>
      <c r="AS58" s="7315"/>
      <c r="AT58" s="4"/>
      <c r="AU58" s="6872" t="s">
        <v>11055</v>
      </c>
      <c r="AV58" s="4"/>
      <c r="AW58" s="5818" t="str">
        <f t="shared" si="12"/>
        <v>►</v>
      </c>
      <c r="AX58" s="5914">
        <v>1</v>
      </c>
      <c r="AY58" s="234"/>
      <c r="AZ58" s="234"/>
      <c r="BA58" s="234"/>
      <c r="BB58" s="234"/>
      <c r="BC58" s="5661"/>
      <c r="BD58" s="5915"/>
      <c r="BE58" s="141"/>
      <c r="BF58" s="141"/>
      <c r="BG58" s="141"/>
      <c r="BH58" s="141"/>
      <c r="BI58" s="141"/>
      <c r="BJ58" s="409"/>
      <c r="BL58" s="5916" t="s">
        <v>956</v>
      </c>
      <c r="BM58" s="5917"/>
      <c r="BN58" s="5395"/>
      <c r="BO58" s="141"/>
      <c r="BP58" s="141"/>
      <c r="BQ58" s="141"/>
      <c r="BR58" s="609"/>
      <c r="BT58" s="5901" t="s">
        <v>112</v>
      </c>
      <c r="BU58" s="240">
        <f t="shared" si="10"/>
        <v>0.2</v>
      </c>
      <c r="BV58" s="5718">
        <v>200</v>
      </c>
      <c r="BX58" s="5">
        <v>1</v>
      </c>
    </row>
    <row r="59" spans="1:76" s="1" customFormat="1" ht="21" customHeight="1">
      <c r="A59" s="5641" t="s">
        <v>1</v>
      </c>
      <c r="B59" s="5662" t="str">
        <f t="shared" si="9"/>
        <v>►</v>
      </c>
      <c r="C59" s="5825" cm="1">
        <f t="array" ref="C59">SUMPRODUCT(LEN(D59:J59))</f>
        <v>0</v>
      </c>
      <c r="D59" s="5275"/>
      <c r="E59" s="1361"/>
      <c r="F59" s="1361"/>
      <c r="G59" s="1361"/>
      <c r="H59" s="1361"/>
      <c r="I59" s="1361"/>
      <c r="J59" s="5276"/>
      <c r="K59" s="106" t="s">
        <v>1</v>
      </c>
      <c r="L59" s="1021" t="str">
        <f t="shared" si="16"/>
        <v>►</v>
      </c>
      <c r="M59" s="41" t="str">
        <f>M44</f>
        <v>Pâtisserie--entremet.C.Chiboust pamplemousse</v>
      </c>
      <c r="N59" s="40">
        <f>N43</f>
        <v>18</v>
      </c>
      <c r="O59" s="40" t="str">
        <f>O43</f>
        <v>assiettes</v>
      </c>
      <c r="P59" s="40" t="str">
        <f>P43</f>
        <v>Recette mère ► MILLE-FEUILLE meringue et chiboust pamplemousse aux fraises des bois</v>
      </c>
      <c r="Q59" s="213"/>
      <c r="R59" s="212"/>
      <c r="S59" s="211" t="str">
        <f t="shared" si="13"/>
        <v/>
      </c>
      <c r="T59" s="210"/>
      <c r="U59" s="5259"/>
      <c r="V59" s="5576">
        <v>1</v>
      </c>
      <c r="W59" s="6866"/>
      <c r="X59" s="6871"/>
      <c r="Y59" s="5882">
        <f>IFERROR(IFERROR(INDEX(Q63:AB63,MATCH(U59,Q62:AB62,0)),INDEX(Q65:AB65,MATCH(U59,Q64:AB64,0))) * T59 * IF(ISBLANK(Q59), 1, Q59), 0)</f>
        <v>0</v>
      </c>
      <c r="Z59" s="5254">
        <f>(Q59/AA42)*AA40*V59</f>
        <v>0</v>
      </c>
      <c r="AA59" s="5252">
        <f>IF(ISBLANK(AA42), 0, (Y59 * V59) * (AA40 / AA42))</f>
        <v>0</v>
      </c>
      <c r="AB59" s="5260" t="str">
        <f>IF(COUNTIF(Q62:AB62,U59)&gt;0,IF(ROUND(AA59,3)&gt;=1,ROUND(AA59,3)&amp;" L",ROUND(AA59*100,0)&amp;" cl"),IF(COUNTIF(Q64:AB64,U59)&gt;0,IF(ROUND(AA59,3)&gt;=1,ROUND(AA59,3)&amp;" Kg",ROUND(AA59*1000,0)&amp;" g"),""))</f>
        <v/>
      </c>
      <c r="AC59" s="5817" t="str">
        <f t="shared" si="17"/>
        <v>►</v>
      </c>
      <c r="AD59" s="5883">
        <f>IF(Y61=0,0,Y59*AD46*1000/Y61)</f>
        <v>0</v>
      </c>
      <c r="AE59" s="5884">
        <f>IF(ISNUMBER(Q59),Q59*AD46/Y61,0)</f>
        <v>0</v>
      </c>
      <c r="AF59" s="5885"/>
      <c r="AG59" s="5886"/>
      <c r="AH59" s="5886"/>
      <c r="AI59" s="5886"/>
      <c r="AJ59" s="5899">
        <f t="shared" si="18"/>
        <v>0</v>
      </c>
      <c r="AK59" s="5888">
        <f>IF(OR(ISTEXT(Q59),Y61=0),0,Q59*AR39)</f>
        <v>0</v>
      </c>
      <c r="AL59" s="5886"/>
      <c r="AM59" s="5889">
        <f t="shared" si="14"/>
        <v>0</v>
      </c>
      <c r="AN59" s="8558">
        <f t="shared" si="19"/>
        <v>0</v>
      </c>
      <c r="AO59" s="5886"/>
      <c r="AP59" s="5890">
        <f>IF(Y59=0,0,Y59*AR39)</f>
        <v>0</v>
      </c>
      <c r="AQ59" s="5891" t="str">
        <f>IF(COUNTIF(AD62:AD72,U59)&gt;0,IF(ROUND(AP59,3)&gt;=1,ROUND(AP59,3)&amp;" L",ROUND(AP59*100,0)&amp;" cl"),IF(COUNTIF(AD73:AD83,U59)&gt;0,IF(ROUND(AP59,3)&gt;=1,ROUND(AP59,3)&amp;" Kg",ROUND(AP59*1000,0)&amp;" g"),""))</f>
        <v/>
      </c>
      <c r="AR59" s="5892">
        <f t="shared" si="15"/>
        <v>0</v>
      </c>
      <c r="AS59" s="7315"/>
      <c r="AT59" s="4"/>
      <c r="AU59" s="6872" t="s">
        <v>11056</v>
      </c>
      <c r="AV59" s="4"/>
      <c r="AW59" s="5818" t="str">
        <f t="shared" si="12"/>
        <v>►</v>
      </c>
      <c r="AX59" s="188" t="s">
        <v>101</v>
      </c>
      <c r="AY59" s="234"/>
      <c r="AZ59" s="234"/>
      <c r="BA59" s="234"/>
      <c r="BB59" s="234"/>
      <c r="BC59" s="5661"/>
      <c r="BD59" s="5908" t="s">
        <v>8533</v>
      </c>
      <c r="BE59" s="141"/>
      <c r="BF59" s="141"/>
      <c r="BG59" s="141"/>
      <c r="BH59" s="141"/>
      <c r="BI59" s="141"/>
      <c r="BJ59" s="409"/>
      <c r="BL59" s="5774"/>
      <c r="BM59" s="496" t="s">
        <v>987</v>
      </c>
      <c r="BN59" s="5395"/>
      <c r="BO59" s="141"/>
      <c r="BP59" s="141"/>
      <c r="BQ59" s="141"/>
      <c r="BR59" s="609"/>
      <c r="BT59" s="5901" t="s">
        <v>8015</v>
      </c>
      <c r="BU59" s="240">
        <f t="shared" si="10"/>
        <v>0.23</v>
      </c>
      <c r="BV59" s="5718">
        <v>230</v>
      </c>
      <c r="BX59" s="5">
        <v>1</v>
      </c>
    </row>
    <row r="60" spans="1:76" s="1" customFormat="1" ht="21" customHeight="1">
      <c r="A60" s="5641" t="s">
        <v>1</v>
      </c>
      <c r="B60" s="5662" t="str">
        <f t="shared" si="9"/>
        <v>►</v>
      </c>
      <c r="C60" s="5825" cm="1">
        <f t="array" ref="C60">SUMPRODUCT(LEN(D60:J60))</f>
        <v>0</v>
      </c>
      <c r="D60" s="5275"/>
      <c r="E60" s="1361"/>
      <c r="F60" s="1361"/>
      <c r="G60" s="1361"/>
      <c r="H60" s="1361"/>
      <c r="I60" s="1361"/>
      <c r="J60" s="5276"/>
      <c r="K60" s="106" t="s">
        <v>1</v>
      </c>
      <c r="L60" s="1021" t="str">
        <f t="shared" si="16"/>
        <v>►</v>
      </c>
      <c r="M60" s="41" t="str">
        <f>M43</f>
        <v>Pâtisserie--entremet.C.Chiboust pamplemousse</v>
      </c>
      <c r="N60" s="40">
        <f>N43</f>
        <v>18</v>
      </c>
      <c r="O60" s="40" t="str">
        <f>O43</f>
        <v>assiettes</v>
      </c>
      <c r="P60" s="40" t="str">
        <f>P43</f>
        <v>Recette mère ► MILLE-FEUILLE meringue et chiboust pamplemousse aux fraises des bois</v>
      </c>
      <c r="Q60" s="213"/>
      <c r="R60" s="212"/>
      <c r="S60" s="211" t="str">
        <f t="shared" si="13"/>
        <v/>
      </c>
      <c r="T60" s="210"/>
      <c r="U60" s="5259"/>
      <c r="V60" s="5576">
        <v>1</v>
      </c>
      <c r="W60" s="6866"/>
      <c r="X60" s="6871"/>
      <c r="Y60" s="5882">
        <f>IFERROR(IFERROR(INDEX(Q63:AB63,MATCH(U60,Q62:AB62,0)),INDEX(Q65:AB65,MATCH(U60,Q64:AB64,0))) * T60 * IF(ISBLANK(Q60), 1, Q60), 0)</f>
        <v>0</v>
      </c>
      <c r="Z60" s="5254">
        <f>(Q60/AA42)*AA40*V60</f>
        <v>0</v>
      </c>
      <c r="AA60" s="5252">
        <f>IF(ISBLANK(AA42), 0, (Y60 * V60) * (AA40 / AA42))</f>
        <v>0</v>
      </c>
      <c r="AB60" s="5255" t="str">
        <f>IF(COUNTIF(Q62:AB62,U60)&gt;0,IF(ROUND(AA60,3)&gt;=1,ROUND(AA60,3)&amp;" L",ROUND(AA60*100,0)&amp;" cl"),IF(COUNTIF(Q64:AB64,U60)&gt;0,IF(ROUND(AA60,3)&gt;=1,ROUND(AA60,3)&amp;" Kg",ROUND(AA60*1000,0)&amp;" g"),""))</f>
        <v/>
      </c>
      <c r="AC60" s="5817" t="str">
        <f t="shared" si="17"/>
        <v>►</v>
      </c>
      <c r="AD60" s="5883">
        <f>IF(Y61=0,0,Y60*AD46*1000/Y61)</f>
        <v>0</v>
      </c>
      <c r="AE60" s="5884">
        <f>IF(ISNUMBER(Q60),Q60*AD46/Y61,0)</f>
        <v>0</v>
      </c>
      <c r="AF60" s="5894"/>
      <c r="AG60" s="5804"/>
      <c r="AH60" s="5804"/>
      <c r="AI60" s="5804"/>
      <c r="AJ60" s="5902">
        <f t="shared" si="18"/>
        <v>0</v>
      </c>
      <c r="AK60" s="5896">
        <f>IF(OR(ISTEXT(Q60),Y61=0),0,Q60*AR39)</f>
        <v>0</v>
      </c>
      <c r="AL60" s="5804"/>
      <c r="AM60" s="5805">
        <f t="shared" si="14"/>
        <v>0</v>
      </c>
      <c r="AN60" s="5805">
        <f t="shared" si="19"/>
        <v>0</v>
      </c>
      <c r="AO60" s="5804"/>
      <c r="AP60" s="5788">
        <f>IF(Y60=0,0,Y60*AR39)</f>
        <v>0</v>
      </c>
      <c r="AQ60" s="5897" t="str">
        <f>IF(COUNTIF(AD62:AD72,U60)&gt;0,IF(ROUND(AP60,3)&gt;=1,ROUND(AP60,3)&amp;" L",ROUND(AP60*100,0)&amp;" cl"),IF(COUNTIF(AD73:AD83,U60)&gt;0,IF(ROUND(AP60,3)&gt;=1,ROUND(AP60,3)&amp;" Kg",ROUND(AP60*1000,0)&amp;" g"),""))</f>
        <v/>
      </c>
      <c r="AR60" s="5898">
        <f t="shared" si="15"/>
        <v>0</v>
      </c>
      <c r="AS60" s="7315"/>
      <c r="AT60" s="4"/>
      <c r="AU60" s="6872" t="s">
        <v>11057</v>
      </c>
      <c r="AV60" s="4"/>
      <c r="AW60" s="5818" t="str">
        <f t="shared" si="12"/>
        <v>►</v>
      </c>
      <c r="AX60" s="1022" t="s">
        <v>99</v>
      </c>
      <c r="AY60" s="234"/>
      <c r="AZ60" s="234"/>
      <c r="BA60" s="234"/>
      <c r="BB60" s="234"/>
      <c r="BC60" s="5661"/>
      <c r="BD60" s="5918" t="s">
        <v>627</v>
      </c>
      <c r="BE60" s="5919" t="s">
        <v>8534</v>
      </c>
      <c r="BF60" s="5920"/>
      <c r="BG60" s="5920"/>
      <c r="BH60" s="5920"/>
      <c r="BI60"/>
      <c r="BJ60" s="762"/>
      <c r="BL60" s="1163" t="s">
        <v>904</v>
      </c>
      <c r="BM60" s="496"/>
      <c r="BN60" s="5395"/>
      <c r="BO60" s="141"/>
      <c r="BP60" s="141"/>
      <c r="BQ60" s="141"/>
      <c r="BR60" s="609"/>
      <c r="BT60" s="5901" t="s">
        <v>121</v>
      </c>
      <c r="BU60" s="271">
        <f t="shared" si="10"/>
        <v>0.22500000000000001</v>
      </c>
      <c r="BV60" s="5748">
        <v>225</v>
      </c>
      <c r="BX60" s="5">
        <v>1</v>
      </c>
    </row>
    <row r="61" spans="1:76" s="1" customFormat="1" ht="21" customHeight="1">
      <c r="A61" s="5641" t="s">
        <v>1</v>
      </c>
      <c r="B61" s="5662" t="str">
        <f t="shared" si="9"/>
        <v>A</v>
      </c>
      <c r="C61" s="5825" cm="1">
        <f t="array" ref="C61">SUMPRODUCT(LEN(D61:J61))</f>
        <v>0</v>
      </c>
      <c r="D61" s="5275"/>
      <c r="E61" s="1361"/>
      <c r="F61" s="1361"/>
      <c r="G61" s="1361"/>
      <c r="H61" s="1361"/>
      <c r="I61" s="1361"/>
      <c r="J61" s="5276"/>
      <c r="K61" s="106" t="s">
        <v>1</v>
      </c>
      <c r="L61" s="1021" t="s">
        <v>21</v>
      </c>
      <c r="M61" s="41" t="str">
        <f>M43</f>
        <v>Pâtisserie--entremet.C.Chiboust pamplemousse</v>
      </c>
      <c r="N61" s="40">
        <f>N43</f>
        <v>18</v>
      </c>
      <c r="O61" s="40" t="str">
        <f>O43</f>
        <v>assiettes</v>
      </c>
      <c r="P61" s="40" t="str">
        <f>P43</f>
        <v>Recette mère ► MILLE-FEUILLE meringue et chiboust pamplemousse aux fraises des bois</v>
      </c>
      <c r="Q61" s="5921" t="s">
        <v>8535</v>
      </c>
      <c r="R61" s="5261"/>
      <c r="S61" s="5261"/>
      <c r="T61" s="5261"/>
      <c r="U61" s="5261"/>
      <c r="V61" s="5261"/>
      <c r="W61" s="5262" t="str">
        <f>"portion de " &amp; TEXT((Y61/Q41)*1000,"0.0") &amp; " g"</f>
        <v>portion de 32.0 g</v>
      </c>
      <c r="X61" s="5262"/>
      <c r="Y61" s="5263">
        <f>SUM(Y47:Y60)</f>
        <v>0.57600000000000007</v>
      </c>
      <c r="Z61" s="5264" t="s">
        <v>1069</v>
      </c>
      <c r="AA61" s="5265">
        <f>SUM(AA47:AA60)</f>
        <v>3.1999999999999993</v>
      </c>
      <c r="AB61" s="5922"/>
      <c r="AC61" s="5817" t="str">
        <f t="shared" si="17"/>
        <v>A</v>
      </c>
      <c r="AD61" s="5923">
        <f>SUM(AD47:AD60)/1000</f>
        <v>0.99999999999999989</v>
      </c>
      <c r="AE61" s="5924" t="str">
        <f>"= "&amp;IF(AD61&gt;0,AA42 &amp; " portions de " &amp; ROUND(AD61/AA42,3) &amp; " g","")</f>
        <v>= 18 portions de 0.056 g</v>
      </c>
      <c r="AF61" s="5925"/>
      <c r="AG61" s="5926"/>
      <c r="AH61" s="5927"/>
      <c r="AI61" s="5927"/>
      <c r="AJ61" s="5928"/>
      <c r="AK61" s="5924"/>
      <c r="AL61" s="5929"/>
      <c r="AM61" s="5930"/>
      <c r="AN61" s="5930"/>
      <c r="AO61" s="5929"/>
      <c r="AP61" s="5931">
        <f>SUM(AP47:AP60)</f>
        <v>1.44</v>
      </c>
      <c r="AQ61" s="5931"/>
      <c r="AR61" s="5932"/>
      <c r="AS61" s="7315"/>
      <c r="AT61" s="4"/>
      <c r="AU61" s="6872" t="s">
        <v>11058</v>
      </c>
      <c r="AV61" s="4"/>
      <c r="AW61" s="5818" t="str">
        <f t="shared" si="12"/>
        <v>A</v>
      </c>
      <c r="AX61" s="5914">
        <v>1</v>
      </c>
      <c r="AY61" s="234"/>
      <c r="AZ61" s="234"/>
      <c r="BA61" s="234"/>
      <c r="BB61" s="234"/>
      <c r="BC61" s="5661"/>
      <c r="BD61" s="954"/>
      <c r="BE61" s="955"/>
      <c r="BF61" s="955"/>
      <c r="BG61" s="955"/>
      <c r="BH61" s="955"/>
      <c r="BI61" s="955"/>
      <c r="BJ61" s="956"/>
      <c r="BL61" s="5774"/>
      <c r="BM61" s="1107" t="s">
        <v>991</v>
      </c>
      <c r="BN61" s="5395"/>
      <c r="BO61" s="141"/>
      <c r="BP61" s="141"/>
      <c r="BQ61" s="141"/>
      <c r="BR61" s="609"/>
      <c r="BT61" s="5901" t="s">
        <v>8016</v>
      </c>
      <c r="BU61" s="271">
        <f t="shared" si="10"/>
        <v>0.23599999999999999</v>
      </c>
      <c r="BV61" s="5748">
        <v>236</v>
      </c>
      <c r="BX61" s="5">
        <v>1</v>
      </c>
    </row>
    <row r="62" spans="1:76" s="1" customFormat="1" ht="21" customHeight="1" thickBot="1">
      <c r="A62" s="5641" t="s">
        <v>1</v>
      </c>
      <c r="B62" s="5662" t="str">
        <f t="shared" si="9"/>
        <v>►</v>
      </c>
      <c r="C62" s="5825" cm="1">
        <f t="array" ref="C62">SUMPRODUCT(LEN(D62:J62))</f>
        <v>0</v>
      </c>
      <c r="D62" s="5275"/>
      <c r="E62" s="1361"/>
      <c r="F62" s="1361"/>
      <c r="G62" s="1361"/>
      <c r="H62" s="1361"/>
      <c r="I62" s="1361"/>
      <c r="J62" s="5276"/>
      <c r="K62" s="106" t="s">
        <v>1</v>
      </c>
      <c r="L62" s="1021" t="s">
        <v>26</v>
      </c>
      <c r="M62" s="41" t="str">
        <f>M43</f>
        <v>Pâtisserie--entremet.C.Chiboust pamplemousse</v>
      </c>
      <c r="N62" s="40">
        <f>N43</f>
        <v>18</v>
      </c>
      <c r="O62" s="40" t="str">
        <f>O43</f>
        <v>assiettes</v>
      </c>
      <c r="P62" s="40" t="str">
        <f>P43</f>
        <v>Recette mère ► MILLE-FEUILLE meringue et chiboust pamplemousse aux fraises des bois</v>
      </c>
      <c r="Q62" s="5129" t="s">
        <v>88</v>
      </c>
      <c r="R62" s="5129" t="s">
        <v>172</v>
      </c>
      <c r="S62" s="5129" t="s">
        <v>170</v>
      </c>
      <c r="T62" s="5129" t="s">
        <v>166</v>
      </c>
      <c r="U62" s="5131" t="s">
        <v>946</v>
      </c>
      <c r="V62" s="5131" t="s">
        <v>8011</v>
      </c>
      <c r="W62" s="5131" t="s">
        <v>124</v>
      </c>
      <c r="X62" s="6286"/>
      <c r="Y62" s="5131" t="s">
        <v>164</v>
      </c>
      <c r="Z62" s="5131" t="s">
        <v>159</v>
      </c>
      <c r="AA62" s="5131" t="s">
        <v>8012</v>
      </c>
      <c r="AB62" s="5131" t="s">
        <v>8013</v>
      </c>
      <c r="AC62" s="5933" t="str">
        <f>IF(COUNTIF(AF63:AR63,"&lt;&gt;")&gt;0,"A","►")</f>
        <v>►</v>
      </c>
      <c r="AD62" s="5934" t="s">
        <v>88</v>
      </c>
      <c r="AE62" s="5935">
        <v>1</v>
      </c>
      <c r="AF62" s="5936"/>
      <c r="AG62" s="5936"/>
      <c r="AH62" s="5936"/>
      <c r="AI62" s="5937" t="s">
        <v>8536</v>
      </c>
      <c r="AJ62" s="5805"/>
      <c r="AK62" s="5805"/>
      <c r="AL62" s="5804"/>
      <c r="AM62" s="5804"/>
      <c r="AN62" s="5804"/>
      <c r="AO62" s="5804"/>
      <c r="AP62" s="5804"/>
      <c r="AQ62" s="5804"/>
      <c r="AR62" s="5938" t="s">
        <v>8537</v>
      </c>
      <c r="AS62" s="7315"/>
      <c r="AT62" s="4"/>
      <c r="AU62" s="6872" t="s">
        <v>11059</v>
      </c>
      <c r="AV62" s="4"/>
      <c r="AW62" s="5818" t="str">
        <f t="shared" si="12"/>
        <v>►</v>
      </c>
      <c r="AX62" s="188" t="s">
        <v>96</v>
      </c>
      <c r="AY62" s="234"/>
      <c r="AZ62" s="234"/>
      <c r="BA62" s="234"/>
      <c r="BB62" s="234"/>
      <c r="BC62" s="5661"/>
      <c r="BD62" s="5939" t="s">
        <v>8538</v>
      </c>
      <c r="BE62" s="5940"/>
      <c r="BF62" s="5940"/>
      <c r="BG62" s="5940"/>
      <c r="BH62" s="5940"/>
      <c r="BI62" s="5940"/>
      <c r="BJ62" s="5941"/>
      <c r="BL62" s="5942" t="s">
        <v>8539</v>
      </c>
      <c r="BM62"/>
      <c r="BN62"/>
      <c r="BO62"/>
      <c r="BP62"/>
      <c r="BQ62"/>
      <c r="BR62" s="762"/>
      <c r="BT62" s="5901" t="s">
        <v>8540</v>
      </c>
      <c r="BU62" s="271">
        <f t="shared" si="10"/>
        <v>0.2366</v>
      </c>
      <c r="BV62" s="5791">
        <v>236.6</v>
      </c>
      <c r="BX62" s="5">
        <v>1</v>
      </c>
    </row>
    <row r="63" spans="1:76" s="1" customFormat="1" ht="21" customHeight="1" thickTop="1">
      <c r="A63" s="5641" t="s">
        <v>1</v>
      </c>
      <c r="B63" s="5662" t="str">
        <f t="shared" si="9"/>
        <v>►</v>
      </c>
      <c r="C63" s="5825" cm="1">
        <f t="array" ref="C63">SUMPRODUCT(LEN(D63:J63))</f>
        <v>0</v>
      </c>
      <c r="D63" s="5275"/>
      <c r="E63" s="1361"/>
      <c r="F63" s="1361"/>
      <c r="G63" s="1361"/>
      <c r="H63" s="1361"/>
      <c r="I63" s="1361"/>
      <c r="J63" s="5276"/>
      <c r="K63" s="106" t="s">
        <v>1</v>
      </c>
      <c r="L63" s="1021" t="s">
        <v>26</v>
      </c>
      <c r="M63" s="41" t="str">
        <f>M43</f>
        <v>Pâtisserie--entremet.C.Chiboust pamplemousse</v>
      </c>
      <c r="N63" s="40">
        <f>N43</f>
        <v>18</v>
      </c>
      <c r="O63" s="40" t="str">
        <f>O43</f>
        <v>assiettes</v>
      </c>
      <c r="P63" s="40" t="str">
        <f>P43</f>
        <v>Recette mère ► MILLE-FEUILLE meringue et chiboust pamplemousse aux fraises des bois</v>
      </c>
      <c r="Q63" s="5935">
        <v>1</v>
      </c>
      <c r="R63" s="5935">
        <v>0.1</v>
      </c>
      <c r="S63" s="5943">
        <v>0.01</v>
      </c>
      <c r="T63" s="5935">
        <v>1E-3</v>
      </c>
      <c r="U63" s="5935">
        <v>0.01</v>
      </c>
      <c r="V63" s="5935">
        <v>0.1</v>
      </c>
      <c r="W63" s="5935">
        <v>0.22500000000000001</v>
      </c>
      <c r="X63" s="5935"/>
      <c r="Y63" s="5935">
        <v>0.25</v>
      </c>
      <c r="Z63" s="5935">
        <v>0.5</v>
      </c>
      <c r="AA63" s="5935">
        <v>0.33300000000000002</v>
      </c>
      <c r="AB63" s="5935">
        <v>0.2</v>
      </c>
      <c r="AC63" s="5933" t="str">
        <f>IF(COUNTIF(AF63:AR63,"&lt;&gt;")&gt;0,"A","►")</f>
        <v>►</v>
      </c>
      <c r="AD63" s="5944" t="s">
        <v>172</v>
      </c>
      <c r="AE63" s="5935">
        <v>0.1</v>
      </c>
      <c r="AF63" s="5945"/>
      <c r="AG63" s="5945"/>
      <c r="AH63" s="5945"/>
      <c r="AI63" s="5945"/>
      <c r="AJ63" s="5945"/>
      <c r="AK63" s="5945"/>
      <c r="AL63" s="5945"/>
      <c r="AM63" s="5945"/>
      <c r="AN63" s="5945"/>
      <c r="AO63" s="5945"/>
      <c r="AP63" s="5945"/>
      <c r="AQ63" s="5945"/>
      <c r="AR63" s="5946"/>
      <c r="AS63" s="7315"/>
      <c r="AT63" s="4"/>
      <c r="AU63" s="6872" t="s">
        <v>11060</v>
      </c>
      <c r="AV63" s="4"/>
      <c r="AW63" s="5818" t="str">
        <f t="shared" si="12"/>
        <v>►</v>
      </c>
      <c r="AX63" s="1022" t="s">
        <v>94</v>
      </c>
      <c r="AY63" s="234"/>
      <c r="AZ63" s="234"/>
      <c r="BA63" s="234"/>
      <c r="BB63" s="234"/>
      <c r="BC63" s="5661"/>
      <c r="BD63" s="5947" t="s">
        <v>8541</v>
      </c>
      <c r="BE63" s="5940"/>
      <c r="BF63" s="5940"/>
      <c r="BG63" s="5940"/>
      <c r="BH63" s="5940"/>
      <c r="BI63" s="5940"/>
      <c r="BJ63" s="5948" t="s">
        <v>8542</v>
      </c>
      <c r="BL63" s="5842" t="s">
        <v>194</v>
      </c>
      <c r="BM63" s="7116" t="s">
        <v>8543</v>
      </c>
      <c r="BN63" s="7117"/>
      <c r="BO63" s="7117"/>
      <c r="BP63" s="7120" t="s">
        <v>8544</v>
      </c>
      <c r="BQ63" s="6995" t="s">
        <v>8545</v>
      </c>
      <c r="BR63" s="7122"/>
      <c r="BT63" s="5901" t="s">
        <v>8546</v>
      </c>
      <c r="BU63" s="271">
        <f t="shared" si="10"/>
        <v>0.24</v>
      </c>
      <c r="BV63" s="5748">
        <v>240</v>
      </c>
      <c r="BX63" s="5">
        <v>1</v>
      </c>
    </row>
    <row r="64" spans="1:76" s="1" customFormat="1" ht="21" customHeight="1">
      <c r="A64" s="5641" t="s">
        <v>1</v>
      </c>
      <c r="B64" s="5662" t="str">
        <f t="shared" si="9"/>
        <v>►</v>
      </c>
      <c r="C64" s="5825" cm="1">
        <f t="array" ref="C64">SUMPRODUCT(LEN(D64:J64))</f>
        <v>0</v>
      </c>
      <c r="D64" s="5275"/>
      <c r="E64" s="1361"/>
      <c r="F64" s="1361"/>
      <c r="G64" s="1361"/>
      <c r="H64" s="1361"/>
      <c r="I64" s="1361"/>
      <c r="J64" s="5276"/>
      <c r="K64" s="106"/>
      <c r="L64" s="1021" t="s">
        <v>26</v>
      </c>
      <c r="M64" s="41" t="str">
        <f>M43</f>
        <v>Pâtisserie--entremet.C.Chiboust pamplemousse</v>
      </c>
      <c r="N64" s="40">
        <f>N43</f>
        <v>18</v>
      </c>
      <c r="O64" s="40" t="str">
        <f>O43</f>
        <v>assiettes</v>
      </c>
      <c r="P64" s="40" t="str">
        <f>P43</f>
        <v>Recette mère ► MILLE-FEUILLE meringue et chiboust pamplemousse aux fraises des bois</v>
      </c>
      <c r="Q64" s="5124" t="s">
        <v>130</v>
      </c>
      <c r="R64" s="5128" t="s">
        <v>219</v>
      </c>
      <c r="S64" s="5266" t="s">
        <v>8014</v>
      </c>
      <c r="T64" s="5267" t="s">
        <v>188</v>
      </c>
      <c r="U64" s="5132" t="s">
        <v>176</v>
      </c>
      <c r="V64" s="5132" t="s">
        <v>179</v>
      </c>
      <c r="W64" s="5268" t="s">
        <v>122</v>
      </c>
      <c r="X64" s="6289"/>
      <c r="Y64" s="5268" t="s">
        <v>113</v>
      </c>
      <c r="Z64" s="5268" t="s">
        <v>112</v>
      </c>
      <c r="AA64" s="5268" t="s">
        <v>8015</v>
      </c>
      <c r="AB64" s="5268" t="s">
        <v>8016</v>
      </c>
      <c r="AC64" s="5933" t="str">
        <f>IF(COUNTIF(AF64:AR64,"&lt;&gt;")&gt;0,"A","►")</f>
        <v>►</v>
      </c>
      <c r="AD64" s="5944" t="s">
        <v>170</v>
      </c>
      <c r="AE64" s="5935">
        <v>0.01</v>
      </c>
      <c r="AF64" s="5945"/>
      <c r="AG64" s="5945"/>
      <c r="AH64" s="5945"/>
      <c r="AI64" s="5945"/>
      <c r="AJ64" s="5945"/>
      <c r="AK64" s="5945"/>
      <c r="AL64" s="5945"/>
      <c r="AM64" s="5945"/>
      <c r="AN64" s="5945"/>
      <c r="AO64" s="5945"/>
      <c r="AP64" s="5945"/>
      <c r="AQ64" s="5945"/>
      <c r="AR64" s="5946"/>
      <c r="AS64" s="7315"/>
      <c r="AT64" s="4"/>
      <c r="AU64" s="6872" t="s">
        <v>11061</v>
      </c>
      <c r="AV64" s="4"/>
      <c r="AW64" s="5818" t="str">
        <f t="shared" si="12"/>
        <v>►</v>
      </c>
      <c r="AX64" s="234"/>
      <c r="AY64" s="234"/>
      <c r="AZ64" s="234"/>
      <c r="BA64" s="234"/>
      <c r="BB64" s="234"/>
      <c r="BC64" s="5661"/>
      <c r="BD64" s="5947" t="s">
        <v>8547</v>
      </c>
      <c r="BE64" s="5940"/>
      <c r="BF64" s="5940"/>
      <c r="BG64" s="5940"/>
      <c r="BH64" s="5940"/>
      <c r="BI64" s="5940"/>
      <c r="BJ64" s="5948" t="s">
        <v>8548</v>
      </c>
      <c r="BL64" s="5847" t="s">
        <v>185</v>
      </c>
      <c r="BM64" s="7118"/>
      <c r="BN64" s="7119"/>
      <c r="BO64" s="7119"/>
      <c r="BP64" s="7121"/>
      <c r="BQ64" s="7123"/>
      <c r="BR64" s="7124"/>
      <c r="BT64" s="5901" t="s">
        <v>8549</v>
      </c>
      <c r="BU64" s="271">
        <f t="shared" si="10"/>
        <v>0.23658999999999999</v>
      </c>
      <c r="BV64" s="5748">
        <v>236.59</v>
      </c>
      <c r="BX64" s="5">
        <v>1</v>
      </c>
    </row>
    <row r="65" spans="1:76" s="1" customFormat="1" ht="21" customHeight="1">
      <c r="A65" s="5641" t="s">
        <v>1</v>
      </c>
      <c r="B65" s="5662" t="str">
        <f t="shared" si="9"/>
        <v>►</v>
      </c>
      <c r="C65" s="5825" cm="1">
        <f t="array" ref="C65">SUMPRODUCT(LEN(D65:J65))</f>
        <v>0</v>
      </c>
      <c r="D65" s="5275"/>
      <c r="E65" s="1361"/>
      <c r="F65" s="1361"/>
      <c r="G65" s="1361"/>
      <c r="H65" s="1361"/>
      <c r="I65" s="1361"/>
      <c r="J65" s="5276"/>
      <c r="K65" s="106"/>
      <c r="L65" s="1021" t="s">
        <v>26</v>
      </c>
      <c r="M65" s="41" t="str">
        <f>M43</f>
        <v>Pâtisserie--entremet.C.Chiboust pamplemousse</v>
      </c>
      <c r="N65" s="40">
        <f>N43</f>
        <v>18</v>
      </c>
      <c r="O65" s="40" t="str">
        <f>O43</f>
        <v>assiettes</v>
      </c>
      <c r="P65" s="40" t="str">
        <f>P43</f>
        <v>Recette mère ► MILLE-FEUILLE meringue et chiboust pamplemousse aux fraises des bois</v>
      </c>
      <c r="Q65" s="5949">
        <v>1E-3</v>
      </c>
      <c r="R65" s="5949">
        <v>1</v>
      </c>
      <c r="S65" s="5949">
        <v>0</v>
      </c>
      <c r="T65" s="5949">
        <v>0.25</v>
      </c>
      <c r="U65" s="5949">
        <v>0.33332999999999996</v>
      </c>
      <c r="V65" s="5949">
        <v>0.5</v>
      </c>
      <c r="W65" s="5949">
        <v>2.835E-2</v>
      </c>
      <c r="X65" s="5949"/>
      <c r="Y65" s="5949">
        <v>0.13</v>
      </c>
      <c r="Z65" s="5949">
        <v>0.2</v>
      </c>
      <c r="AA65" s="5949">
        <v>0.23</v>
      </c>
      <c r="AB65" s="5949">
        <v>0.24</v>
      </c>
      <c r="AC65" s="5933" t="str">
        <f t="shared" ref="AC65:AC74" si="20">IF(COUNTIF(AF65:AR65,"&lt;&gt;")&gt;0,"A","►")</f>
        <v>►</v>
      </c>
      <c r="AD65" s="5944" t="s">
        <v>166</v>
      </c>
      <c r="AE65" s="5935">
        <v>1E-3</v>
      </c>
      <c r="AF65" s="5945"/>
      <c r="AG65" s="5945"/>
      <c r="AH65" s="5945"/>
      <c r="AI65" s="5945"/>
      <c r="AJ65" s="5945"/>
      <c r="AK65" s="5945"/>
      <c r="AL65" s="5945"/>
      <c r="AM65" s="5945"/>
      <c r="AN65" s="5945"/>
      <c r="AO65" s="5945"/>
      <c r="AP65" s="5945"/>
      <c r="AQ65" s="5945"/>
      <c r="AR65" s="5946"/>
      <c r="AS65" s="7315"/>
      <c r="AT65" s="4"/>
      <c r="AU65" s="187"/>
      <c r="AV65" s="4"/>
      <c r="AW65" s="5818" t="str">
        <f t="shared" si="12"/>
        <v>►</v>
      </c>
      <c r="AX65" s="5950"/>
      <c r="AY65" s="5950"/>
      <c r="AZ65" s="5950"/>
      <c r="BA65" s="5950"/>
      <c r="BB65" s="5950"/>
      <c r="BC65" s="5661"/>
      <c r="BD65" s="5947" t="s">
        <v>8550</v>
      </c>
      <c r="BE65" s="5940"/>
      <c r="BF65" s="5940"/>
      <c r="BG65" s="5940"/>
      <c r="BH65" s="5940"/>
      <c r="BI65" s="5940"/>
      <c r="BJ65" s="5941"/>
      <c r="BL65" s="5857" t="s">
        <v>160</v>
      </c>
      <c r="BM65" s="5951">
        <v>1.1100000000000001</v>
      </c>
      <c r="BN65" s="5952" t="s">
        <v>8551</v>
      </c>
      <c r="BO65" s="5953" t="s">
        <v>8552</v>
      </c>
      <c r="BP65" s="5954">
        <v>20</v>
      </c>
      <c r="BQ65" s="5955">
        <v>0.88800000000000012</v>
      </c>
      <c r="BR65" s="5956" t="s">
        <v>8553</v>
      </c>
      <c r="BT65" s="5901" t="s">
        <v>8554</v>
      </c>
      <c r="BU65" s="240">
        <f t="shared" si="10"/>
        <v>0.45</v>
      </c>
      <c r="BV65" s="5718">
        <v>450</v>
      </c>
      <c r="BX65" s="5">
        <v>1</v>
      </c>
    </row>
    <row r="66" spans="1:76" s="1" customFormat="1" ht="21" customHeight="1">
      <c r="A66" s="5641" t="s">
        <v>1</v>
      </c>
      <c r="B66" s="5662" t="str">
        <f t="shared" si="9"/>
        <v>A</v>
      </c>
      <c r="C66" s="5825" cm="1">
        <f t="array" ref="C66">SUMPRODUCT(LEN(D66:J66))</f>
        <v>0</v>
      </c>
      <c r="D66" s="5275"/>
      <c r="E66" s="1361"/>
      <c r="F66" s="1361"/>
      <c r="G66" s="1361"/>
      <c r="H66" s="1361"/>
      <c r="I66" s="1361"/>
      <c r="J66" s="5276"/>
      <c r="K66" s="106" t="s">
        <v>1</v>
      </c>
      <c r="L66" s="5269" t="s">
        <v>21</v>
      </c>
      <c r="M66" s="1313" t="str">
        <f>M43</f>
        <v>Pâtisserie--entremet.C.Chiboust pamplemousse</v>
      </c>
      <c r="N66" s="1313">
        <f>N43</f>
        <v>18</v>
      </c>
      <c r="O66" s="1313" t="str">
        <f>O43</f>
        <v>assiettes</v>
      </c>
      <c r="P66" s="1313" t="str">
        <f>P43</f>
        <v>Recette mère ► MILLE-FEUILLE meringue et chiboust pamplemousse aux fraises des bois</v>
      </c>
      <c r="Q66" s="1314" t="s">
        <v>218</v>
      </c>
      <c r="R66" s="1314">
        <v>11</v>
      </c>
      <c r="S66" s="1315" t="s">
        <v>1108</v>
      </c>
      <c r="T66" s="1316"/>
      <c r="U66" s="1316"/>
      <c r="V66" s="1317"/>
      <c r="W66" s="8541"/>
      <c r="X66" s="5957"/>
      <c r="Y66" s="5320"/>
      <c r="Z66" s="5320"/>
      <c r="AA66" s="5321" t="s">
        <v>1156</v>
      </c>
      <c r="AB66" s="5958" t="s">
        <v>8555</v>
      </c>
      <c r="AC66" s="5933" t="str">
        <f t="shared" si="20"/>
        <v>►</v>
      </c>
      <c r="AD66" s="5959" t="s">
        <v>946</v>
      </c>
      <c r="AE66" s="5935">
        <v>0.01</v>
      </c>
      <c r="AF66" s="5945"/>
      <c r="AG66" s="5945"/>
      <c r="AH66" s="5945"/>
      <c r="AI66" s="5945"/>
      <c r="AJ66" s="5945"/>
      <c r="AK66" s="5945"/>
      <c r="AL66" s="5945"/>
      <c r="AM66" s="5945"/>
      <c r="AN66" s="5945"/>
      <c r="AO66" s="5945"/>
      <c r="AP66" s="5945"/>
      <c r="AQ66" s="5945"/>
      <c r="AR66" s="5946"/>
      <c r="AS66" s="7315"/>
      <c r="AT66" s="4"/>
      <c r="AU66" s="4"/>
      <c r="AV66" s="4"/>
      <c r="AW66" s="5818" t="str">
        <f t="shared" si="12"/>
        <v>►</v>
      </c>
      <c r="AX66" s="5950"/>
      <c r="AY66" s="5950"/>
      <c r="AZ66" s="5950"/>
      <c r="BA66" s="5950"/>
      <c r="BB66" s="5950"/>
      <c r="BC66" s="5661"/>
      <c r="BD66" s="954"/>
      <c r="BE66" s="955"/>
      <c r="BF66" s="955"/>
      <c r="BG66" s="955"/>
      <c r="BH66" s="955"/>
      <c r="BI66" s="955"/>
      <c r="BJ66" s="956"/>
      <c r="BL66" s="5857" t="s">
        <v>8556</v>
      </c>
      <c r="BM66" s="5960">
        <v>0.13319999999999999</v>
      </c>
      <c r="BN66" s="5952" t="s">
        <v>8557</v>
      </c>
      <c r="BO66" s="5953" t="s">
        <v>8558</v>
      </c>
      <c r="BP66" s="5954">
        <v>10</v>
      </c>
      <c r="BQ66" s="5961">
        <v>0.11987999999999999</v>
      </c>
      <c r="BR66" s="5962" t="s">
        <v>8559</v>
      </c>
      <c r="BT66" s="5963" t="s">
        <v>110</v>
      </c>
      <c r="BU66" s="271">
        <f t="shared" si="10"/>
        <v>1E-3</v>
      </c>
      <c r="BV66" s="5748">
        <v>1</v>
      </c>
      <c r="BX66" s="5">
        <v>1</v>
      </c>
    </row>
    <row r="67" spans="1:76" s="1" customFormat="1" ht="21" customHeight="1">
      <c r="A67" s="5641" t="s">
        <v>1</v>
      </c>
      <c r="B67" s="5662" t="str">
        <f t="shared" si="9"/>
        <v>A</v>
      </c>
      <c r="C67" s="5825" cm="1">
        <f t="array" ref="C67">SUMPRODUCT(LEN(D67:J67))</f>
        <v>0</v>
      </c>
      <c r="D67" s="5275"/>
      <c r="E67" s="1361"/>
      <c r="F67" s="1361"/>
      <c r="G67" s="1361"/>
      <c r="H67" s="1361"/>
      <c r="I67" s="1361"/>
      <c r="J67" s="5276"/>
      <c r="K67" s="106" t="s">
        <v>1</v>
      </c>
      <c r="L67" s="5270" t="s">
        <v>21</v>
      </c>
      <c r="M67" s="196" t="str">
        <f>M43</f>
        <v>Pâtisserie--entremet.C.Chiboust pamplemousse</v>
      </c>
      <c r="N67" s="196">
        <f>N43</f>
        <v>18</v>
      </c>
      <c r="O67" s="196" t="str">
        <f>O43</f>
        <v>assiettes</v>
      </c>
      <c r="P67" s="196" t="str">
        <f>P43</f>
        <v>Recette mère ► MILLE-FEUILLE meringue et chiboust pamplemousse aux fraises des bois</v>
      </c>
      <c r="Q67" s="5815" t="s">
        <v>252</v>
      </c>
      <c r="R67" s="5271" t="s">
        <v>864</v>
      </c>
      <c r="S67" s="1321"/>
      <c r="T67" s="1321"/>
      <c r="U67" s="1321"/>
      <c r="V67" s="1321"/>
      <c r="W67" s="1321"/>
      <c r="X67" s="1322"/>
      <c r="Y67" s="5411"/>
      <c r="Z67" s="1266"/>
      <c r="AA67" s="1270" t="s">
        <v>1157</v>
      </c>
      <c r="AB67" s="5272" t="s">
        <v>1155</v>
      </c>
      <c r="AC67" s="5933" t="str">
        <f t="shared" si="20"/>
        <v>►</v>
      </c>
      <c r="AD67" s="5964" t="s">
        <v>8011</v>
      </c>
      <c r="AE67" s="5935">
        <v>0.1</v>
      </c>
      <c r="AF67" s="5945"/>
      <c r="AG67" s="5945"/>
      <c r="AH67" s="5945"/>
      <c r="AI67" s="5945"/>
      <c r="AJ67" s="5945"/>
      <c r="AK67" s="5945"/>
      <c r="AL67" s="5945"/>
      <c r="AM67" s="5945"/>
      <c r="AN67" s="5945"/>
      <c r="AO67" s="5945"/>
      <c r="AP67" s="5945"/>
      <c r="AQ67" s="5945"/>
      <c r="AR67" s="5946"/>
      <c r="AS67" s="7315"/>
      <c r="AT67" s="4"/>
      <c r="AU67" s="4"/>
      <c r="AV67" s="4"/>
      <c r="AW67" s="5818" t="str">
        <f t="shared" si="12"/>
        <v>►</v>
      </c>
      <c r="AX67" s="5950"/>
      <c r="AY67" s="5950"/>
      <c r="AZ67" s="5950"/>
      <c r="BA67" s="5950"/>
      <c r="BB67" s="5950"/>
      <c r="BC67" s="5661"/>
      <c r="BD67" s="5965" t="s">
        <v>367</v>
      </c>
      <c r="BE67" s="5966"/>
      <c r="BF67" s="5966"/>
      <c r="BG67" s="5966"/>
      <c r="BH67" s="5966"/>
      <c r="BI67" s="5966"/>
      <c r="BJ67" s="5967"/>
      <c r="BL67" s="5857" t="s">
        <v>980</v>
      </c>
      <c r="BM67" s="5960">
        <v>8.3249999999999993</v>
      </c>
      <c r="BN67" s="5952" t="s">
        <v>8560</v>
      </c>
      <c r="BO67" s="5953" t="s">
        <v>8561</v>
      </c>
      <c r="BP67" s="5954">
        <v>30</v>
      </c>
      <c r="BQ67" s="5961">
        <v>5.8274999999999997</v>
      </c>
      <c r="BR67" s="5962" t="s">
        <v>8562</v>
      </c>
      <c r="BT67" s="5963" t="s">
        <v>109</v>
      </c>
      <c r="BU67" s="271">
        <f t="shared" si="10"/>
        <v>2.5000000000000001E-3</v>
      </c>
      <c r="BV67" s="5772">
        <v>2.5</v>
      </c>
      <c r="BX67" s="5">
        <v>1</v>
      </c>
    </row>
    <row r="68" spans="1:76" s="1" customFormat="1" ht="21" customHeight="1">
      <c r="A68" s="5641" t="s">
        <v>1</v>
      </c>
      <c r="B68" s="5662" t="str">
        <f t="shared" si="9"/>
        <v>►</v>
      </c>
      <c r="C68" s="5825" cm="1">
        <f t="array" ref="C68">SUMPRODUCT(LEN(D68:J68))</f>
        <v>0</v>
      </c>
      <c r="D68" s="5275"/>
      <c r="E68" s="1361"/>
      <c r="F68" s="1361"/>
      <c r="G68" s="1361"/>
      <c r="H68" s="1361"/>
      <c r="I68" s="1361"/>
      <c r="J68" s="5276"/>
      <c r="K68" s="106" t="s">
        <v>1</v>
      </c>
      <c r="L68" s="1021" t="str">
        <f t="shared" ref="L68:L78" si="21">IF(OR(Q68&lt;&gt;"",R68&lt;&gt; "",S68&lt;&gt;"",T68&lt;&gt;""),"A", "►")</f>
        <v>►</v>
      </c>
      <c r="M68" s="196" t="str">
        <f>M43</f>
        <v>Pâtisserie--entremet.C.Chiboust pamplemousse</v>
      </c>
      <c r="N68" s="196">
        <f>N43</f>
        <v>18</v>
      </c>
      <c r="O68" s="196" t="str">
        <f>O43</f>
        <v>assiettes</v>
      </c>
      <c r="P68" s="196" t="str">
        <f>P43</f>
        <v>Recette mère ► MILLE-FEUILLE meringue et chiboust pamplemousse aux fraises des bois</v>
      </c>
      <c r="Q68" s="5271"/>
      <c r="R68" s="1320"/>
      <c r="S68" s="1320"/>
      <c r="T68" s="1320"/>
      <c r="U68" s="1320"/>
      <c r="V68" s="1320"/>
      <c r="W68" s="8501"/>
      <c r="X68" s="1324"/>
      <c r="Y68" s="141"/>
      <c r="Z68" s="141"/>
      <c r="AA68" s="5273" t="s">
        <v>1150</v>
      </c>
      <c r="AB68" s="5274">
        <v>1.7361111111111112E-2</v>
      </c>
      <c r="AC68" s="5933" t="str">
        <f t="shared" si="20"/>
        <v>►</v>
      </c>
      <c r="AD68" s="5964" t="s">
        <v>124</v>
      </c>
      <c r="AE68" s="5935">
        <v>0.22500000000000001</v>
      </c>
      <c r="AF68" s="5945"/>
      <c r="AG68" s="5945"/>
      <c r="AH68" s="5945"/>
      <c r="AI68" s="5945"/>
      <c r="AJ68" s="5945"/>
      <c r="AK68" s="5945"/>
      <c r="AL68" s="5945"/>
      <c r="AM68" s="5945"/>
      <c r="AN68" s="5945"/>
      <c r="AO68" s="5945"/>
      <c r="AP68" s="5945"/>
      <c r="AQ68" s="5945"/>
      <c r="AR68" s="5946"/>
      <c r="AS68" s="7315"/>
      <c r="AT68" s="4"/>
      <c r="AU68" s="4"/>
      <c r="AV68" s="4"/>
      <c r="AW68" s="5818" t="str">
        <f t="shared" si="12"/>
        <v>►</v>
      </c>
      <c r="AX68" s="5950"/>
      <c r="AY68" s="5950"/>
      <c r="AZ68" s="5950"/>
      <c r="BA68" s="5950"/>
      <c r="BB68" s="5950"/>
      <c r="BC68" s="5661"/>
      <c r="BD68" s="6932" t="s">
        <v>8563</v>
      </c>
      <c r="BE68" s="6933"/>
      <c r="BF68" s="6933"/>
      <c r="BG68" s="6933"/>
      <c r="BH68" s="6933"/>
      <c r="BI68" s="6933"/>
      <c r="BJ68" s="6934"/>
      <c r="BL68" s="5968" t="s">
        <v>904</v>
      </c>
      <c r="BM68" s="5969"/>
      <c r="BN68" s="5969"/>
      <c r="BO68" s="5969"/>
      <c r="BP68" s="5970"/>
      <c r="BQ68" s="5970"/>
      <c r="BR68" s="5971"/>
      <c r="BT68" s="5963" t="s">
        <v>108</v>
      </c>
      <c r="BU68" s="5790">
        <f t="shared" si="10"/>
        <v>4.4999999999999997E-3</v>
      </c>
      <c r="BV68" s="5791">
        <v>4.5</v>
      </c>
      <c r="BX68" s="5">
        <v>1</v>
      </c>
    </row>
    <row r="69" spans="1:76" s="1" customFormat="1" ht="21" customHeight="1">
      <c r="A69" s="5641" t="s">
        <v>1</v>
      </c>
      <c r="B69" s="5662" t="str">
        <f t="shared" si="9"/>
        <v>A</v>
      </c>
      <c r="C69" s="5825" cm="1">
        <f t="array" ref="C69">SUMPRODUCT(LEN(D69:J69))</f>
        <v>0</v>
      </c>
      <c r="D69" s="5275"/>
      <c r="E69" s="1361"/>
      <c r="F69" s="1361"/>
      <c r="G69" s="1361"/>
      <c r="H69" s="1361"/>
      <c r="I69" s="1361"/>
      <c r="J69" s="5276"/>
      <c r="K69" s="106"/>
      <c r="L69" s="1021" t="str">
        <f t="shared" si="21"/>
        <v>A</v>
      </c>
      <c r="M69" s="196" t="str">
        <f>M43</f>
        <v>Pâtisserie--entremet.C.Chiboust pamplemousse</v>
      </c>
      <c r="N69" s="196">
        <f>N43</f>
        <v>18</v>
      </c>
      <c r="O69" s="196" t="str">
        <f>O43</f>
        <v>assiettes</v>
      </c>
      <c r="P69" s="196" t="str">
        <f>P43</f>
        <v>Recette mère ► MILLE-FEUILLE meringue et chiboust pamplemousse aux fraises des bois</v>
      </c>
      <c r="Q69" s="5275" t="s">
        <v>8564</v>
      </c>
      <c r="R69" s="1361"/>
      <c r="S69" s="1361"/>
      <c r="T69" s="1361"/>
      <c r="U69" s="1361"/>
      <c r="V69" s="1361"/>
      <c r="W69" s="8502"/>
      <c r="X69" s="5276"/>
      <c r="Y69" s="141"/>
      <c r="Z69" s="141"/>
      <c r="AA69" s="5273" t="s">
        <v>1152</v>
      </c>
      <c r="AB69" s="5277">
        <v>1.0416666666666666E-2</v>
      </c>
      <c r="AC69" s="5933" t="str">
        <f t="shared" si="20"/>
        <v>►</v>
      </c>
      <c r="AD69" s="5964" t="s">
        <v>164</v>
      </c>
      <c r="AE69" s="5935">
        <v>0.25</v>
      </c>
      <c r="AF69" s="5945"/>
      <c r="AG69" s="5945"/>
      <c r="AH69" s="5945"/>
      <c r="AI69" s="5945"/>
      <c r="AJ69" s="5945"/>
      <c r="AK69" s="5945"/>
      <c r="AL69" s="5945"/>
      <c r="AM69" s="5945"/>
      <c r="AN69" s="5945"/>
      <c r="AO69" s="5945"/>
      <c r="AP69" s="5945"/>
      <c r="AQ69" s="5945"/>
      <c r="AR69" s="5946"/>
      <c r="AS69" s="7315"/>
      <c r="AT69" s="4"/>
      <c r="AU69" s="4"/>
      <c r="AV69" s="4"/>
      <c r="AW69" s="5818" t="str">
        <f t="shared" si="12"/>
        <v>►</v>
      </c>
      <c r="AX69" s="5950"/>
      <c r="AY69" s="5950"/>
      <c r="AZ69" s="5950"/>
      <c r="BA69" s="5950"/>
      <c r="BB69" s="5950"/>
      <c r="BC69" s="5661"/>
      <c r="BD69" s="6932"/>
      <c r="BE69" s="6933"/>
      <c r="BF69" s="6933"/>
      <c r="BG69" s="6933"/>
      <c r="BH69" s="6933"/>
      <c r="BI69" s="6933"/>
      <c r="BJ69" s="6934"/>
      <c r="BL69" s="7371" t="s">
        <v>197</v>
      </c>
      <c r="BM69" s="1189" t="s">
        <v>997</v>
      </c>
      <c r="BN69" s="109"/>
      <c r="BO69" s="109"/>
      <c r="BP69" s="1122"/>
      <c r="BQ69" s="141"/>
      <c r="BR69" s="609"/>
      <c r="BT69" s="5963" t="s">
        <v>107</v>
      </c>
      <c r="BU69" s="271">
        <f t="shared" si="10"/>
        <v>5.9000000000000007E-3</v>
      </c>
      <c r="BV69" s="5772">
        <v>5.9</v>
      </c>
      <c r="BX69" s="5">
        <v>1</v>
      </c>
    </row>
    <row r="70" spans="1:76" s="1" customFormat="1" ht="21" customHeight="1">
      <c r="A70" s="5641" t="s">
        <v>1</v>
      </c>
      <c r="B70" s="5662" t="str">
        <f t="shared" ref="B70:B133" si="22">L70</f>
        <v>A</v>
      </c>
      <c r="C70" s="5825" cm="1">
        <f t="array" ref="C70">SUMPRODUCT(LEN(D70:J70))</f>
        <v>0</v>
      </c>
      <c r="D70" s="5275"/>
      <c r="E70" s="1361"/>
      <c r="F70" s="1361"/>
      <c r="G70" s="1361"/>
      <c r="H70" s="1361"/>
      <c r="I70" s="1361"/>
      <c r="J70" s="5276"/>
      <c r="K70" s="106"/>
      <c r="L70" s="1021" t="str">
        <f t="shared" si="21"/>
        <v>A</v>
      </c>
      <c r="M70" s="196" t="str">
        <f>M43</f>
        <v>Pâtisserie--entremet.C.Chiboust pamplemousse</v>
      </c>
      <c r="N70" s="196">
        <f>N43</f>
        <v>18</v>
      </c>
      <c r="O70" s="196" t="str">
        <f>O43</f>
        <v>assiettes</v>
      </c>
      <c r="P70" s="196" t="str">
        <f>P43</f>
        <v>Recette mère ► MILLE-FEUILLE meringue et chiboust pamplemousse aux fraises des bois</v>
      </c>
      <c r="Q70" s="5275" t="s">
        <v>8565</v>
      </c>
      <c r="R70" s="1361"/>
      <c r="S70" s="1361"/>
      <c r="T70" s="1361"/>
      <c r="U70" s="1361"/>
      <c r="V70" s="1361"/>
      <c r="W70" s="8502"/>
      <c r="X70" s="5276"/>
      <c r="Y70" s="141"/>
      <c r="Z70" s="141"/>
      <c r="AA70" s="5273" t="s">
        <v>8017</v>
      </c>
      <c r="AB70" s="5278">
        <v>6.25E-2</v>
      </c>
      <c r="AC70" s="5933" t="str">
        <f t="shared" si="20"/>
        <v>►</v>
      </c>
      <c r="AD70" s="5964" t="s">
        <v>159</v>
      </c>
      <c r="AE70" s="5935">
        <v>0.5</v>
      </c>
      <c r="AF70" s="5945"/>
      <c r="AG70" s="5945"/>
      <c r="AH70" s="5945"/>
      <c r="AI70" s="5945"/>
      <c r="AJ70" s="5945"/>
      <c r="AK70" s="5945"/>
      <c r="AL70" s="5945"/>
      <c r="AM70" s="5945"/>
      <c r="AN70" s="5945"/>
      <c r="AO70" s="5945"/>
      <c r="AP70" s="5945"/>
      <c r="AQ70" s="5945"/>
      <c r="AR70" s="5946"/>
      <c r="AS70" s="7315"/>
      <c r="AT70" s="4"/>
      <c r="AU70" s="4"/>
      <c r="AV70" s="4"/>
      <c r="AW70" s="5818" t="str">
        <f t="shared" si="12"/>
        <v>►</v>
      </c>
      <c r="AX70" s="5950"/>
      <c r="AY70" s="5950"/>
      <c r="AZ70" s="5950"/>
      <c r="BA70" s="5950"/>
      <c r="BB70" s="5950"/>
      <c r="BC70" s="5661"/>
      <c r="BD70" s="5972" t="s">
        <v>376</v>
      </c>
      <c r="BE70" s="5973"/>
      <c r="BF70" s="5973"/>
      <c r="BG70" s="5973"/>
      <c r="BH70" s="5973"/>
      <c r="BI70" s="5973"/>
      <c r="BJ70" s="5974"/>
      <c r="BL70" s="7371"/>
      <c r="BM70" s="7372" t="s">
        <v>998</v>
      </c>
      <c r="BN70" s="7372"/>
      <c r="BO70" s="7372"/>
      <c r="BP70" s="7372"/>
      <c r="BQ70" s="7372"/>
      <c r="BR70" s="7373"/>
      <c r="BT70" s="5963" t="s">
        <v>106</v>
      </c>
      <c r="BU70" s="271">
        <f t="shared" si="10"/>
        <v>0.04</v>
      </c>
      <c r="BV70" s="5748">
        <v>40</v>
      </c>
      <c r="BX70" s="5">
        <v>1</v>
      </c>
    </row>
    <row r="71" spans="1:76" s="1" customFormat="1" ht="21" customHeight="1">
      <c r="A71" s="5641" t="s">
        <v>1</v>
      </c>
      <c r="B71" s="5662" t="str">
        <f t="shared" si="22"/>
        <v>A</v>
      </c>
      <c r="C71" s="5825" cm="1">
        <f t="array" ref="C71">SUMPRODUCT(LEN(D71:J71))</f>
        <v>0</v>
      </c>
      <c r="D71" s="5275"/>
      <c r="E71" s="1361"/>
      <c r="F71" s="1361"/>
      <c r="G71" s="1361"/>
      <c r="H71" s="1361"/>
      <c r="I71" s="1361"/>
      <c r="J71" s="5276"/>
      <c r="K71" s="106"/>
      <c r="L71" s="1021" t="str">
        <f t="shared" si="21"/>
        <v>A</v>
      </c>
      <c r="M71" s="196" t="str">
        <f>M43</f>
        <v>Pâtisserie--entremet.C.Chiboust pamplemousse</v>
      </c>
      <c r="N71" s="196">
        <f>N43</f>
        <v>18</v>
      </c>
      <c r="O71" s="196" t="str">
        <f>O43</f>
        <v>assiettes</v>
      </c>
      <c r="P71" s="196" t="str">
        <f>P43</f>
        <v>Recette mère ► MILLE-FEUILLE meringue et chiboust pamplemousse aux fraises des bois</v>
      </c>
      <c r="Q71" s="5275" t="s">
        <v>8566</v>
      </c>
      <c r="R71" s="1361"/>
      <c r="S71" s="1361"/>
      <c r="T71" s="1361"/>
      <c r="U71" s="1361"/>
      <c r="V71" s="1361"/>
      <c r="W71" s="8502"/>
      <c r="X71" s="5276"/>
      <c r="Y71" s="141"/>
      <c r="Z71" s="141"/>
      <c r="AA71" s="5279" t="s">
        <v>37</v>
      </c>
      <c r="AB71" s="5280">
        <f>AB68+AB69+AB70</f>
        <v>9.0277777777777776E-2</v>
      </c>
      <c r="AC71" s="5933" t="str">
        <f t="shared" si="20"/>
        <v>►</v>
      </c>
      <c r="AD71" s="5964" t="s">
        <v>8012</v>
      </c>
      <c r="AE71" s="5935">
        <v>0.33300000000000002</v>
      </c>
      <c r="AF71" s="5945"/>
      <c r="AG71" s="5945"/>
      <c r="AH71" s="5945"/>
      <c r="AI71" s="5945"/>
      <c r="AJ71" s="5945"/>
      <c r="AK71" s="5945"/>
      <c r="AL71" s="5945"/>
      <c r="AM71" s="5945"/>
      <c r="AN71" s="5945"/>
      <c r="AO71" s="5945"/>
      <c r="AP71" s="5945"/>
      <c r="AQ71" s="5945"/>
      <c r="AR71" s="5946"/>
      <c r="AS71" s="7315"/>
      <c r="AT71" s="4"/>
      <c r="AU71" s="4"/>
      <c r="AV71" s="4"/>
      <c r="AW71" s="5818" t="str">
        <f t="shared" si="12"/>
        <v>►</v>
      </c>
      <c r="AX71" s="5950"/>
      <c r="AY71" s="5950"/>
      <c r="AZ71" s="5950"/>
      <c r="BA71" s="5950"/>
      <c r="BB71" s="5950"/>
      <c r="BC71" s="5661"/>
      <c r="BD71" s="5975" t="s">
        <v>7745</v>
      </c>
      <c r="BE71" s="5976" t="s">
        <v>7746</v>
      </c>
      <c r="BF71" s="5977" t="s">
        <v>3380</v>
      </c>
      <c r="BG71" s="5976" t="s">
        <v>7747</v>
      </c>
      <c r="BH71" s="5976" t="s">
        <v>7748</v>
      </c>
      <c r="BI71" s="5976" t="s">
        <v>7749</v>
      </c>
      <c r="BJ71" s="5978" t="s">
        <v>7755</v>
      </c>
      <c r="BL71" s="7371"/>
      <c r="BM71" s="7372"/>
      <c r="BN71" s="7372"/>
      <c r="BO71" s="7372"/>
      <c r="BP71" s="7372"/>
      <c r="BQ71" s="7372"/>
      <c r="BR71" s="7373"/>
      <c r="BT71" s="5963" t="s">
        <v>104</v>
      </c>
      <c r="BU71" s="271">
        <f t="shared" si="10"/>
        <v>4.4999999999999998E-2</v>
      </c>
      <c r="BV71" s="5748">
        <v>45</v>
      </c>
      <c r="BX71" s="5">
        <v>1</v>
      </c>
    </row>
    <row r="72" spans="1:76" s="1" customFormat="1" ht="21" customHeight="1">
      <c r="A72" s="5641" t="s">
        <v>1</v>
      </c>
      <c r="B72" s="5662" t="str">
        <f t="shared" si="22"/>
        <v>A</v>
      </c>
      <c r="C72" s="5825" cm="1">
        <f t="array" ref="C72">SUMPRODUCT(LEN(D72:J72))</f>
        <v>0</v>
      </c>
      <c r="D72" s="5275"/>
      <c r="E72" s="1361"/>
      <c r="F72" s="1361"/>
      <c r="G72" s="1361"/>
      <c r="H72" s="1361"/>
      <c r="I72" s="1361"/>
      <c r="J72" s="5276"/>
      <c r="K72" s="106"/>
      <c r="L72" s="1021" t="str">
        <f t="shared" si="21"/>
        <v>A</v>
      </c>
      <c r="M72" s="196" t="str">
        <f>M43</f>
        <v>Pâtisserie--entremet.C.Chiboust pamplemousse</v>
      </c>
      <c r="N72" s="196">
        <f>N43</f>
        <v>18</v>
      </c>
      <c r="O72" s="196" t="str">
        <f>O43</f>
        <v>assiettes</v>
      </c>
      <c r="P72" s="196" t="str">
        <f>P43</f>
        <v>Recette mère ► MILLE-FEUILLE meringue et chiboust pamplemousse aux fraises des bois</v>
      </c>
      <c r="Q72" s="5275" t="s">
        <v>8567</v>
      </c>
      <c r="R72" s="1361"/>
      <c r="S72" s="1361"/>
      <c r="T72" s="1361"/>
      <c r="U72" s="1361"/>
      <c r="V72" s="1361"/>
      <c r="W72" s="8502"/>
      <c r="X72" s="5276"/>
      <c r="Y72" s="6896" t="s">
        <v>7498</v>
      </c>
      <c r="Z72" s="6897"/>
      <c r="AA72" s="6897"/>
      <c r="AB72" s="7150"/>
      <c r="AC72" s="5933" t="str">
        <f t="shared" si="20"/>
        <v>►</v>
      </c>
      <c r="AD72" s="5964" t="s">
        <v>8013</v>
      </c>
      <c r="AE72" s="5935">
        <v>0.2</v>
      </c>
      <c r="AF72" s="5945"/>
      <c r="AG72" s="5945"/>
      <c r="AH72" s="5945"/>
      <c r="AI72" s="5945"/>
      <c r="AJ72" s="5945"/>
      <c r="AK72" s="5945"/>
      <c r="AL72" s="5945"/>
      <c r="AM72" s="5945"/>
      <c r="AN72" s="5945"/>
      <c r="AO72" s="5945"/>
      <c r="AP72" s="5945"/>
      <c r="AQ72" s="5945"/>
      <c r="AR72" s="5946"/>
      <c r="AS72" s="7315"/>
      <c r="AT72" s="4"/>
      <c r="AU72" s="4"/>
      <c r="AV72" s="4"/>
      <c r="AW72" s="5818" t="str">
        <f t="shared" si="12"/>
        <v>►</v>
      </c>
      <c r="AX72" s="5950"/>
      <c r="AY72" s="5950"/>
      <c r="AZ72" s="5950"/>
      <c r="BA72" s="5950"/>
      <c r="BB72" s="5950"/>
      <c r="BC72" s="5661"/>
      <c r="BD72" s="5975" t="s">
        <v>7751</v>
      </c>
      <c r="BE72" s="5976" t="s">
        <v>2995</v>
      </c>
      <c r="BF72" s="5976" t="s">
        <v>7752</v>
      </c>
      <c r="BG72" s="5976" t="s">
        <v>26</v>
      </c>
      <c r="BH72" s="5976" t="s">
        <v>262</v>
      </c>
      <c r="BI72" s="5976" t="s">
        <v>255</v>
      </c>
      <c r="BJ72" s="5978" t="s">
        <v>7754</v>
      </c>
      <c r="BL72" s="7371"/>
      <c r="BM72" s="109" t="s">
        <v>999</v>
      </c>
      <c r="BN72" s="109"/>
      <c r="BO72" s="109"/>
      <c r="BP72" s="109"/>
      <c r="BQ72" s="141"/>
      <c r="BR72" s="609"/>
      <c r="BT72" s="5963" t="s">
        <v>102</v>
      </c>
      <c r="BU72" s="271">
        <f t="shared" si="10"/>
        <v>0.15</v>
      </c>
      <c r="BV72" s="5748">
        <v>150</v>
      </c>
      <c r="BX72" s="5">
        <v>1</v>
      </c>
    </row>
    <row r="73" spans="1:76" s="1" customFormat="1" ht="21" customHeight="1">
      <c r="A73" s="5641" t="s">
        <v>1</v>
      </c>
      <c r="B73" s="5662" t="str">
        <f t="shared" si="22"/>
        <v>A</v>
      </c>
      <c r="C73" s="5825" cm="1">
        <f t="array" ref="C73">SUMPRODUCT(LEN(D73:J73))</f>
        <v>0</v>
      </c>
      <c r="D73" s="5275"/>
      <c r="E73" s="1361"/>
      <c r="F73" s="1361"/>
      <c r="G73" s="1361"/>
      <c r="H73" s="1361"/>
      <c r="I73" s="1361"/>
      <c r="J73" s="5276"/>
      <c r="K73" s="106"/>
      <c r="L73" s="1021" t="str">
        <f t="shared" si="21"/>
        <v>A</v>
      </c>
      <c r="M73" s="196" t="str">
        <f>M43</f>
        <v>Pâtisserie--entremet.C.Chiboust pamplemousse</v>
      </c>
      <c r="N73" s="196">
        <f>N43</f>
        <v>18</v>
      </c>
      <c r="O73" s="196" t="str">
        <f>O43</f>
        <v>assiettes</v>
      </c>
      <c r="P73" s="196" t="str">
        <f>P43</f>
        <v>Recette mère ► MILLE-FEUILLE meringue et chiboust pamplemousse aux fraises des bois</v>
      </c>
      <c r="Q73" s="5275" t="s">
        <v>8568</v>
      </c>
      <c r="R73" s="1361"/>
      <c r="S73" s="1361"/>
      <c r="T73" s="1361"/>
      <c r="U73" s="1361"/>
      <c r="V73" s="1361"/>
      <c r="W73" s="8502"/>
      <c r="X73" s="5276"/>
      <c r="Y73" s="5281" t="s">
        <v>8018</v>
      </c>
      <c r="Z73" s="147"/>
      <c r="AA73" s="7151" t="s">
        <v>8019</v>
      </c>
      <c r="AB73" s="7152"/>
      <c r="AC73" s="5933" t="str">
        <f t="shared" si="20"/>
        <v>►</v>
      </c>
      <c r="AD73" s="5979" t="s">
        <v>130</v>
      </c>
      <c r="AE73" s="5949">
        <v>1E-3</v>
      </c>
      <c r="AF73" s="5945"/>
      <c r="AG73" s="5945"/>
      <c r="AH73" s="5945"/>
      <c r="AI73" s="5945"/>
      <c r="AJ73" s="5945"/>
      <c r="AK73" s="5945"/>
      <c r="AL73" s="5945"/>
      <c r="AM73" s="5945"/>
      <c r="AN73" s="5945"/>
      <c r="AO73" s="5945"/>
      <c r="AP73" s="5945"/>
      <c r="AQ73" s="5945"/>
      <c r="AR73" s="5946"/>
      <c r="AS73" s="7315"/>
      <c r="AT73" s="4"/>
      <c r="AU73" s="4"/>
      <c r="AV73" s="4"/>
      <c r="AW73" s="5818" t="str">
        <f t="shared" si="12"/>
        <v>►</v>
      </c>
      <c r="AX73" s="5950"/>
      <c r="AY73" s="5950"/>
      <c r="AZ73" s="5950"/>
      <c r="BA73" s="5950"/>
      <c r="BB73" s="5950"/>
      <c r="BC73" s="5661"/>
      <c r="BD73" s="954"/>
      <c r="BE73" s="955"/>
      <c r="BF73" s="955"/>
      <c r="BG73" s="955"/>
      <c r="BH73" s="955"/>
      <c r="BI73" s="955"/>
      <c r="BJ73" s="956"/>
      <c r="BL73" s="7371"/>
      <c r="BM73" s="109" t="s">
        <v>1000</v>
      </c>
      <c r="BN73" s="1190"/>
      <c r="BO73" s="1190"/>
      <c r="BP73" s="1190"/>
      <c r="BQ73" s="141"/>
      <c r="BR73" s="609"/>
      <c r="BT73" s="5963" t="s">
        <v>100</v>
      </c>
      <c r="BU73" s="271">
        <f t="shared" si="10"/>
        <v>0.25</v>
      </c>
      <c r="BV73" s="5748">
        <v>250</v>
      </c>
      <c r="BX73" s="5">
        <v>1</v>
      </c>
    </row>
    <row r="74" spans="1:76" s="1" customFormat="1" ht="21" customHeight="1" thickBot="1">
      <c r="A74" s="5641" t="s">
        <v>1</v>
      </c>
      <c r="B74" s="5662" t="str">
        <f t="shared" si="22"/>
        <v>►</v>
      </c>
      <c r="C74" s="5825" cm="1">
        <f t="array" ref="C74">SUMPRODUCT(LEN(D74:J74))</f>
        <v>0</v>
      </c>
      <c r="D74" s="5275"/>
      <c r="E74" s="1361"/>
      <c r="F74" s="1361"/>
      <c r="G74" s="1361"/>
      <c r="H74" s="1361"/>
      <c r="I74" s="1361"/>
      <c r="J74" s="5276"/>
      <c r="K74" s="106"/>
      <c r="L74" s="1021" t="str">
        <f t="shared" si="21"/>
        <v>►</v>
      </c>
      <c r="M74" s="196" t="str">
        <f>M43</f>
        <v>Pâtisserie--entremet.C.Chiboust pamplemousse</v>
      </c>
      <c r="N74" s="196">
        <f>N43</f>
        <v>18</v>
      </c>
      <c r="O74" s="196" t="str">
        <f>O43</f>
        <v>assiettes</v>
      </c>
      <c r="P74" s="196" t="str">
        <f>P43</f>
        <v>Recette mère ► MILLE-FEUILLE meringue et chiboust pamplemousse aux fraises des bois</v>
      </c>
      <c r="Q74" s="5275"/>
      <c r="R74" s="1361"/>
      <c r="S74" s="1361"/>
      <c r="T74" s="1361"/>
      <c r="U74" s="1361"/>
      <c r="V74" s="1361"/>
      <c r="W74" s="8502"/>
      <c r="X74" s="5276"/>
      <c r="Y74" s="5282">
        <v>100</v>
      </c>
      <c r="Z74" s="147"/>
      <c r="AA74" s="6899" t="s">
        <v>157</v>
      </c>
      <c r="AB74" s="7153"/>
      <c r="AC74" s="5933" t="str">
        <f t="shared" si="20"/>
        <v>►</v>
      </c>
      <c r="AD74" s="5980" t="s">
        <v>219</v>
      </c>
      <c r="AE74" s="5949">
        <v>1</v>
      </c>
      <c r="AF74" s="5945"/>
      <c r="AG74" s="5945"/>
      <c r="AH74" s="5945"/>
      <c r="AI74" s="5945"/>
      <c r="AJ74" s="5945"/>
      <c r="AK74" s="5945"/>
      <c r="AL74" s="5945"/>
      <c r="AM74" s="5945"/>
      <c r="AN74" s="5945"/>
      <c r="AO74" s="5945"/>
      <c r="AP74" s="5945"/>
      <c r="AQ74" s="5945"/>
      <c r="AR74" s="5946"/>
      <c r="AS74" s="7315"/>
      <c r="AT74" s="4"/>
      <c r="AU74" s="4"/>
      <c r="AV74" s="4"/>
      <c r="AW74" s="5818" t="str">
        <f t="shared" si="12"/>
        <v>►</v>
      </c>
      <c r="AX74" s="5950"/>
      <c r="AY74" s="5950"/>
      <c r="AZ74" s="5950"/>
      <c r="BA74" s="5950"/>
      <c r="BB74" s="5950"/>
      <c r="BC74" s="5661"/>
      <c r="BD74" s="5981">
        <v>19</v>
      </c>
      <c r="BE74" s="5982">
        <v>18</v>
      </c>
      <c r="BF74" s="5982">
        <v>10</v>
      </c>
      <c r="BG74" s="5982">
        <v>16</v>
      </c>
      <c r="BH74" s="5982">
        <v>16</v>
      </c>
      <c r="BI74" s="5982">
        <v>11</v>
      </c>
      <c r="BJ74" s="5983">
        <v>40</v>
      </c>
      <c r="BL74" s="1079"/>
      <c r="BM74" s="1080"/>
      <c r="BN74" s="1081"/>
      <c r="BO74" s="1080"/>
      <c r="BP74" s="1080"/>
      <c r="BQ74" s="1080"/>
      <c r="BR74" s="1082"/>
      <c r="BT74" s="5963" t="s">
        <v>97</v>
      </c>
      <c r="BU74" s="271">
        <f t="shared" si="10"/>
        <v>0.23699999999999999</v>
      </c>
      <c r="BV74" s="5748">
        <v>237</v>
      </c>
      <c r="BX74" s="5">
        <v>1</v>
      </c>
    </row>
    <row r="75" spans="1:76" s="1" customFormat="1" ht="21" customHeight="1" thickTop="1" thickBot="1">
      <c r="A75" s="5641" t="s">
        <v>1</v>
      </c>
      <c r="B75" s="5662" t="str">
        <f t="shared" si="22"/>
        <v>►</v>
      </c>
      <c r="C75" s="5825" cm="1">
        <f t="array" ref="C75">SUMPRODUCT(LEN(D75:J75))</f>
        <v>0</v>
      </c>
      <c r="D75" s="5275"/>
      <c r="E75" s="1361"/>
      <c r="F75" s="1361"/>
      <c r="G75" s="1361"/>
      <c r="H75" s="1361"/>
      <c r="I75" s="1361"/>
      <c r="J75" s="5276"/>
      <c r="K75" s="106"/>
      <c r="L75" s="1021" t="str">
        <f t="shared" si="21"/>
        <v>►</v>
      </c>
      <c r="M75" s="196" t="str">
        <f>M43</f>
        <v>Pâtisserie--entremet.C.Chiboust pamplemousse</v>
      </c>
      <c r="N75" s="196">
        <f>N43</f>
        <v>18</v>
      </c>
      <c r="O75" s="196" t="str">
        <f>O43</f>
        <v>assiettes</v>
      </c>
      <c r="P75" s="196" t="str">
        <f>P43</f>
        <v>Recette mère ► MILLE-FEUILLE meringue et chiboust pamplemousse aux fraises des bois</v>
      </c>
      <c r="Q75" s="5275"/>
      <c r="R75" s="1361"/>
      <c r="S75" s="1361"/>
      <c r="T75" s="1361"/>
      <c r="U75" s="1361"/>
      <c r="V75" s="1361"/>
      <c r="W75" s="8502"/>
      <c r="X75" s="5276"/>
      <c r="Y75" s="7379" t="s">
        <v>8569</v>
      </c>
      <c r="Z75" s="7155"/>
      <c r="AA75" s="5283" t="s">
        <v>8020</v>
      </c>
      <c r="AB75" s="5322"/>
      <c r="AC75" s="5933" t="str">
        <f>IF(COUNTIF(AH77:AO77,"&lt;&gt;")+COUNTIF(AQ77:AR77,"&lt;&gt;")&gt;0,"A","►")</f>
        <v>►</v>
      </c>
      <c r="AD75" s="5984" t="s">
        <v>188</v>
      </c>
      <c r="AE75" s="5949">
        <v>0.25</v>
      </c>
      <c r="AF75" s="5805"/>
      <c r="AG75" s="5805"/>
      <c r="AH75" s="5805"/>
      <c r="AI75" s="5985" t="s">
        <v>8570</v>
      </c>
      <c r="AJ75" s="5805"/>
      <c r="AK75" s="5805"/>
      <c r="AL75" s="5804"/>
      <c r="AM75" s="5805"/>
      <c r="AN75" s="5805"/>
      <c r="AO75" s="5804"/>
      <c r="AP75" s="5788"/>
      <c r="AQ75" s="5788"/>
      <c r="AR75" s="5898"/>
      <c r="AS75" s="7315"/>
      <c r="AT75" s="4"/>
      <c r="AU75" s="4"/>
      <c r="AV75" s="4"/>
      <c r="AW75" s="5818" t="str">
        <f t="shared" si="12"/>
        <v>►</v>
      </c>
      <c r="AX75" s="5950"/>
      <c r="AY75" s="5950"/>
      <c r="AZ75" s="5950"/>
      <c r="BA75" s="5950"/>
      <c r="BB75" s="5950"/>
      <c r="BC75" s="5661"/>
      <c r="BD75" s="586">
        <f ca="1">CELL("largeur",BD75)</f>
        <v>19</v>
      </c>
      <c r="BE75" s="587">
        <f t="shared" ref="BE75:BJ75" ca="1" si="23">CELL("largeur",BE75)</f>
        <v>18</v>
      </c>
      <c r="BF75" s="587">
        <f t="shared" ca="1" si="23"/>
        <v>10</v>
      </c>
      <c r="BG75" s="587">
        <f t="shared" ca="1" si="23"/>
        <v>16</v>
      </c>
      <c r="BH75" s="587">
        <f t="shared" ca="1" si="23"/>
        <v>16</v>
      </c>
      <c r="BI75" s="587">
        <f t="shared" ca="1" si="23"/>
        <v>11</v>
      </c>
      <c r="BJ75" s="588">
        <f t="shared" ca="1" si="23"/>
        <v>40</v>
      </c>
      <c r="BL75" s="7380" t="s">
        <v>1001</v>
      </c>
      <c r="BM75" s="7381" t="s">
        <v>1002</v>
      </c>
      <c r="BN75" s="5986" t="s">
        <v>912</v>
      </c>
      <c r="BO75" s="97"/>
      <c r="BP75" s="97"/>
      <c r="BQ75" s="97"/>
      <c r="BR75" s="609"/>
      <c r="BT75" s="5963" t="s">
        <v>95</v>
      </c>
      <c r="BU75" s="271">
        <f t="shared" si="10"/>
        <v>0.47299999999999998</v>
      </c>
      <c r="BV75" s="5748">
        <v>473</v>
      </c>
      <c r="BX75" s="5">
        <v>1</v>
      </c>
    </row>
    <row r="76" spans="1:76" s="1" customFormat="1" ht="21" customHeight="1">
      <c r="A76" s="5641" t="s">
        <v>1</v>
      </c>
      <c r="B76" s="5662" t="str">
        <f t="shared" si="22"/>
        <v>►</v>
      </c>
      <c r="C76" s="5825" cm="1">
        <f t="array" ref="C76">SUMPRODUCT(LEN(D76:J76))</f>
        <v>0</v>
      </c>
      <c r="D76" s="5275"/>
      <c r="E76" s="1361"/>
      <c r="F76" s="1361"/>
      <c r="G76" s="1361"/>
      <c r="H76" s="1361"/>
      <c r="I76" s="1361"/>
      <c r="J76" s="5276"/>
      <c r="K76" s="106"/>
      <c r="L76" s="1021" t="str">
        <f t="shared" si="21"/>
        <v>►</v>
      </c>
      <c r="M76" s="196" t="str">
        <f>M43</f>
        <v>Pâtisserie--entremet.C.Chiboust pamplemousse</v>
      </c>
      <c r="N76" s="196">
        <f>N43</f>
        <v>18</v>
      </c>
      <c r="O76" s="196" t="str">
        <f>O43</f>
        <v>assiettes</v>
      </c>
      <c r="P76" s="196" t="str">
        <f>P43</f>
        <v>Recette mère ► MILLE-FEUILLE meringue et chiboust pamplemousse aux fraises des bois</v>
      </c>
      <c r="Q76" s="5275"/>
      <c r="R76" s="1361"/>
      <c r="S76" s="1361"/>
      <c r="T76" s="1361"/>
      <c r="U76" s="1361"/>
      <c r="V76" s="1361"/>
      <c r="W76" s="8502"/>
      <c r="X76" s="5276"/>
      <c r="Y76" s="5284">
        <v>1</v>
      </c>
      <c r="Z76" s="5285" t="s">
        <v>8021</v>
      </c>
      <c r="AA76" s="5286"/>
      <c r="AB76" s="5323">
        <f>Y76*Y74</f>
        <v>100</v>
      </c>
      <c r="AC76" s="5817" t="s">
        <v>21</v>
      </c>
      <c r="AD76" s="5984" t="s">
        <v>176</v>
      </c>
      <c r="AE76" s="5949">
        <v>0.33332999999999996</v>
      </c>
      <c r="AF76" s="5804"/>
      <c r="AG76" s="5987">
        <v>0</v>
      </c>
      <c r="AH76" s="5988" t="s">
        <v>8571</v>
      </c>
      <c r="AI76" s="5988"/>
      <c r="AJ76" s="5989"/>
      <c r="AK76" s="5988"/>
      <c r="AL76" s="5990"/>
      <c r="AM76" s="5991"/>
      <c r="AN76" s="5991"/>
      <c r="AO76" s="5990"/>
      <c r="AP76" s="5987">
        <v>0</v>
      </c>
      <c r="AQ76" s="5992" t="s">
        <v>8572</v>
      </c>
      <c r="AR76" s="5993"/>
      <c r="AS76" s="7315"/>
      <c r="AT76" s="4"/>
      <c r="AU76" s="4"/>
      <c r="AV76" s="4"/>
      <c r="AW76" s="5818" t="str">
        <f t="shared" si="12"/>
        <v>A</v>
      </c>
      <c r="AX76" s="5950"/>
      <c r="AY76" s="5950"/>
      <c r="AZ76" s="5950"/>
      <c r="BA76" s="5950"/>
      <c r="BB76" s="5950"/>
      <c r="BC76" s="5661"/>
      <c r="BD76"/>
      <c r="BE76"/>
      <c r="BF76"/>
      <c r="BG76"/>
      <c r="BH76"/>
      <c r="BI76"/>
      <c r="BJ76"/>
      <c r="BL76" s="7380"/>
      <c r="BM76" s="7382"/>
      <c r="BN76" s="5986" t="s">
        <v>98</v>
      </c>
      <c r="BO76" s="97"/>
      <c r="BP76" s="97"/>
      <c r="BQ76" s="97"/>
      <c r="BR76" s="609"/>
      <c r="BT76" s="5963" t="s">
        <v>93</v>
      </c>
      <c r="BU76" s="271">
        <f t="shared" si="10"/>
        <v>0.47299999999999998</v>
      </c>
      <c r="BV76" s="5748">
        <v>473</v>
      </c>
      <c r="BX76" s="5">
        <v>1</v>
      </c>
    </row>
    <row r="77" spans="1:76" s="1" customFormat="1" ht="21" customHeight="1">
      <c r="A77" s="5641" t="s">
        <v>1</v>
      </c>
      <c r="B77" s="5662" t="str">
        <f t="shared" si="22"/>
        <v>►</v>
      </c>
      <c r="C77" s="5825" cm="1">
        <f t="array" ref="C77">SUMPRODUCT(LEN(D77:J77))</f>
        <v>0</v>
      </c>
      <c r="D77" s="5275"/>
      <c r="E77" s="1361"/>
      <c r="F77" s="1361"/>
      <c r="G77" s="1361"/>
      <c r="H77" s="1361"/>
      <c r="I77" s="1361"/>
      <c r="J77" s="5276"/>
      <c r="K77" s="106"/>
      <c r="L77" s="1021" t="str">
        <f t="shared" si="21"/>
        <v>►</v>
      </c>
      <c r="M77" s="196" t="str">
        <f>M43</f>
        <v>Pâtisserie--entremet.C.Chiboust pamplemousse</v>
      </c>
      <c r="N77" s="196">
        <f>N43</f>
        <v>18</v>
      </c>
      <c r="O77" s="196" t="str">
        <f>O43</f>
        <v>assiettes</v>
      </c>
      <c r="P77" s="196" t="str">
        <f>P43</f>
        <v>Recette mère ► MILLE-FEUILLE meringue et chiboust pamplemousse aux fraises des bois</v>
      </c>
      <c r="Q77" s="5275"/>
      <c r="R77" s="1361"/>
      <c r="S77" s="1361"/>
      <c r="T77" s="1361"/>
      <c r="U77" s="1361"/>
      <c r="V77" s="1361"/>
      <c r="W77" s="8502"/>
      <c r="X77" s="5276"/>
      <c r="Y77" s="5287">
        <v>12</v>
      </c>
      <c r="Z77" s="920" t="str">
        <f>"&lt; Nb "&amp;AA74&amp;" dans 1 " &amp;Y75</f>
        <v>&lt; Nb assiettes dans 1 gastro 1/1</v>
      </c>
      <c r="AA77" s="5288"/>
      <c r="AB77" s="5323"/>
      <c r="AC77" s="5933" t="str">
        <f>IF(COUNTIF(AH77:AO77,"&lt;&gt;")+COUNTIF(AQ77:AR77,"&lt;&gt;")&gt;0,"A","►")</f>
        <v>►</v>
      </c>
      <c r="AD77" s="5984" t="s">
        <v>179</v>
      </c>
      <c r="AE77" s="5949">
        <v>0.5</v>
      </c>
      <c r="AF77" s="5804"/>
      <c r="AG77" s="5994" t="str">
        <f>IF(COUNTIF(AH77:AJ77,"&lt;&gt;")=0,"",MAX(AG76:AG76)+1)</f>
        <v/>
      </c>
      <c r="AH77" s="5995"/>
      <c r="AI77" s="5995"/>
      <c r="AJ77" s="5995"/>
      <c r="AK77" s="5995"/>
      <c r="AL77" s="5995"/>
      <c r="AM77" s="5995"/>
      <c r="AN77" s="5995"/>
      <c r="AO77" s="5995"/>
      <c r="AP77" s="5994" t="str">
        <f>IF(COUNTIF(AQ77:AR77,"&lt;&gt;")=0,"",MAX(AP76:AP76)+1)</f>
        <v/>
      </c>
      <c r="AQ77" s="5996"/>
      <c r="AR77" s="5997"/>
      <c r="AS77" s="7315"/>
      <c r="AT77" s="4"/>
      <c r="AU77" s="4"/>
      <c r="AV77" s="4"/>
      <c r="AW77" s="5818" t="str">
        <f t="shared" si="12"/>
        <v>►</v>
      </c>
      <c r="AX77" s="5950"/>
      <c r="AY77" s="5950"/>
      <c r="AZ77" s="5950"/>
      <c r="BA77" s="5950"/>
      <c r="BB77" s="5950"/>
      <c r="BC77" s="5661"/>
      <c r="BD77"/>
      <c r="BE77"/>
      <c r="BF77"/>
      <c r="BG77"/>
      <c r="BH77"/>
      <c r="BI77"/>
      <c r="BJ77"/>
      <c r="BL77" s="7380"/>
      <c r="BM77" s="5998">
        <v>1</v>
      </c>
      <c r="BN77" s="147"/>
      <c r="BO77" s="97"/>
      <c r="BP77" s="97"/>
      <c r="BQ77" s="97"/>
      <c r="BR77" s="609"/>
      <c r="BT77" s="5963" t="s">
        <v>92</v>
      </c>
      <c r="BU77" s="271">
        <f t="shared" si="10"/>
        <v>0.56799999999999995</v>
      </c>
      <c r="BV77" s="5748">
        <v>568</v>
      </c>
      <c r="BX77" s="5">
        <v>1</v>
      </c>
    </row>
    <row r="78" spans="1:76" s="1" customFormat="1" ht="21" customHeight="1">
      <c r="A78" s="5641" t="s">
        <v>1</v>
      </c>
      <c r="B78" s="5662" t="str">
        <f t="shared" si="22"/>
        <v>►</v>
      </c>
      <c r="C78" s="5825" cm="1">
        <f t="array" ref="C78">SUMPRODUCT(LEN(D78:J78))</f>
        <v>0</v>
      </c>
      <c r="D78" s="5275"/>
      <c r="E78" s="1361"/>
      <c r="F78" s="1361"/>
      <c r="G78" s="1361"/>
      <c r="H78" s="1361"/>
      <c r="I78" s="1361"/>
      <c r="J78" s="5276"/>
      <c r="K78" s="106"/>
      <c r="L78" s="1021" t="str">
        <f t="shared" si="21"/>
        <v>►</v>
      </c>
      <c r="M78" s="196" t="str">
        <f>M43</f>
        <v>Pâtisserie--entremet.C.Chiboust pamplemousse</v>
      </c>
      <c r="N78" s="196">
        <f>N43</f>
        <v>18</v>
      </c>
      <c r="O78" s="196" t="str">
        <f>O43</f>
        <v>assiettes</v>
      </c>
      <c r="P78" s="196" t="str">
        <f>P43</f>
        <v>Recette mère ► MILLE-FEUILLE meringue et chiboust pamplemousse aux fraises des bois</v>
      </c>
      <c r="Q78" s="5275"/>
      <c r="R78" s="1361"/>
      <c r="S78" s="1361"/>
      <c r="T78" s="1361"/>
      <c r="U78" s="1361"/>
      <c r="V78" s="1361"/>
      <c r="W78" s="8502"/>
      <c r="X78" s="5276"/>
      <c r="Y78" s="7167" t="str">
        <f>IF(OR(Y77="",AB76=0),"",INT(AB76/Y77) &amp; " " &amp; Y75 &amp; " de " &amp; Y77 &amp; " " &amp; AA74 &amp; IF(MOD(AB76,Y77)&gt;0," + 1 " &amp; Y75 &amp; " de " &amp; TEXT(MOD(AB76,Y77),"0.00") &amp; " " &amp; AA74,""))</f>
        <v>8 gastro 1/1 de 12 assiettes + 1 gastro 1/1 de 4.00 assiettes</v>
      </c>
      <c r="Z78" s="7168"/>
      <c r="AA78" s="7168"/>
      <c r="AB78" s="7169"/>
      <c r="AC78" s="5933" t="str">
        <f t="shared" ref="AC78:AC83" si="24">IF(COUNTIF(AH78:AO78,"&lt;&gt;")+COUNTIF(AQ78:AR78,"&lt;&gt;")&gt;0,"A","►")</f>
        <v>A</v>
      </c>
      <c r="AD78" s="5999" t="s">
        <v>122</v>
      </c>
      <c r="AE78" s="5949">
        <v>2.835E-2</v>
      </c>
      <c r="AF78" s="5804"/>
      <c r="AG78" s="5994">
        <f>IF(COUNTIF(AH78:AJ78,"&lt;&gt;")=0,"",MAX(AG76:AG77)+1)</f>
        <v>1</v>
      </c>
      <c r="AH78" s="5995" t="s">
        <v>8573</v>
      </c>
      <c r="AI78" s="5995"/>
      <c r="AJ78" s="5995"/>
      <c r="AK78" s="5995"/>
      <c r="AL78" s="5995"/>
      <c r="AM78" s="5995"/>
      <c r="AN78" s="5995"/>
      <c r="AO78" s="5995"/>
      <c r="AP78" s="5994">
        <f>IF(COUNTIF(AQ78:AR78,"&lt;&gt;")=0,"",MAX(AP76:AP77)+1)</f>
        <v>1</v>
      </c>
      <c r="AQ78" s="5996" t="s">
        <v>8574</v>
      </c>
      <c r="AR78" s="5997"/>
      <c r="AS78" s="7315"/>
      <c r="AT78" s="4"/>
      <c r="AU78" s="4"/>
      <c r="AV78" s="4"/>
      <c r="AW78" s="5818" t="str">
        <f t="shared" si="12"/>
        <v>A</v>
      </c>
      <c r="AX78" s="5950"/>
      <c r="AY78" s="5950"/>
      <c r="AZ78" s="5950"/>
      <c r="BA78" s="5950"/>
      <c r="BB78" s="5950"/>
      <c r="BC78" s="5661"/>
      <c r="BD78"/>
      <c r="BE78"/>
      <c r="BF78"/>
      <c r="BG78"/>
      <c r="BH78"/>
      <c r="BI78"/>
      <c r="BJ78"/>
      <c r="BL78" s="7380"/>
      <c r="BM78" s="5576">
        <v>2</v>
      </c>
      <c r="BN78" s="141"/>
      <c r="BO78" s="97"/>
      <c r="BP78" s="97"/>
      <c r="BQ78" s="97"/>
      <c r="BR78" s="609"/>
      <c r="BT78" s="5963" t="s">
        <v>91</v>
      </c>
      <c r="BU78" s="271">
        <f t="shared" si="10"/>
        <v>0.94599999999999995</v>
      </c>
      <c r="BV78" s="5748">
        <v>946</v>
      </c>
      <c r="BX78" s="5">
        <v>1</v>
      </c>
    </row>
    <row r="79" spans="1:76" s="1" customFormat="1" ht="21" customHeight="1">
      <c r="A79" s="5641" t="s">
        <v>1</v>
      </c>
      <c r="B79" s="5662" t="str">
        <f t="shared" si="22"/>
        <v>►</v>
      </c>
      <c r="C79" s="5825" cm="1">
        <f t="array" ref="C79">SUMPRODUCT(LEN(D79:J79))</f>
        <v>0</v>
      </c>
      <c r="D79" s="5275"/>
      <c r="E79" s="1361"/>
      <c r="F79" s="1361"/>
      <c r="G79" s="1361"/>
      <c r="H79" s="1361"/>
      <c r="I79" s="1361"/>
      <c r="J79" s="5276"/>
      <c r="K79" s="106"/>
      <c r="L79" s="5289" t="s">
        <v>26</v>
      </c>
      <c r="M79" s="196" t="str">
        <f>M43</f>
        <v>Pâtisserie--entremet.C.Chiboust pamplemousse</v>
      </c>
      <c r="N79" s="196">
        <f>N43</f>
        <v>18</v>
      </c>
      <c r="O79" s="196" t="str">
        <f>O43</f>
        <v>assiettes</v>
      </c>
      <c r="P79" s="196" t="str">
        <f>P43</f>
        <v>Recette mère ► MILLE-FEUILLE meringue et chiboust pamplemousse aux fraises des bois</v>
      </c>
      <c r="Q79" s="5290" t="s">
        <v>1112</v>
      </c>
      <c r="R79" s="1361"/>
      <c r="S79" s="1361"/>
      <c r="T79" s="1361"/>
      <c r="U79" s="1361"/>
      <c r="V79" s="1361"/>
      <c r="W79" s="8503"/>
      <c r="X79" s="5291"/>
      <c r="Y79" s="7170"/>
      <c r="Z79" s="7171"/>
      <c r="AA79" s="7171"/>
      <c r="AB79" s="7172"/>
      <c r="AC79" s="5933" t="str">
        <f t="shared" si="24"/>
        <v>►</v>
      </c>
      <c r="AD79" s="5999" t="s">
        <v>113</v>
      </c>
      <c r="AE79" s="5949">
        <v>0.13</v>
      </c>
      <c r="AF79" s="5804"/>
      <c r="AG79" s="5994" t="str">
        <f>IF(COUNTIF(AH79:AJ79,"&lt;&gt;")=0,"",MAX(AG76:AG78)+1)</f>
        <v/>
      </c>
      <c r="AH79" s="5995"/>
      <c r="AI79" s="5995"/>
      <c r="AJ79" s="5995"/>
      <c r="AK79" s="5995"/>
      <c r="AL79" s="5995"/>
      <c r="AM79" s="5995"/>
      <c r="AN79" s="5995"/>
      <c r="AO79" s="5995"/>
      <c r="AP79" s="5994" t="str">
        <f>IF(COUNTIF(AQ79:AR79,"&lt;&gt;")=0,"",MAX(AP76:AP78)+1)</f>
        <v/>
      </c>
      <c r="AQ79" s="5996"/>
      <c r="AR79" s="5997"/>
      <c r="AS79" s="7315"/>
      <c r="AT79" s="4"/>
      <c r="AU79" s="4"/>
      <c r="AV79" s="4"/>
      <c r="AW79" s="5818" t="str">
        <f t="shared" si="12"/>
        <v>►</v>
      </c>
      <c r="AX79" s="5950"/>
      <c r="AY79" s="5950"/>
      <c r="AZ79" s="5950"/>
      <c r="BA79" s="5950"/>
      <c r="BB79" s="5950"/>
      <c r="BC79" s="5661"/>
      <c r="BD79"/>
      <c r="BE79"/>
      <c r="BF79"/>
      <c r="BG79"/>
      <c r="BH79"/>
      <c r="BI79"/>
      <c r="BJ79"/>
      <c r="BL79" s="7380"/>
      <c r="BM79" s="6000" t="s">
        <v>1003</v>
      </c>
      <c r="BN79" s="230"/>
      <c r="BO79" s="97"/>
      <c r="BP79" s="97"/>
      <c r="BQ79" s="97"/>
      <c r="BR79" s="609"/>
      <c r="BT79" s="5963" t="s">
        <v>90</v>
      </c>
      <c r="BU79" s="271">
        <f t="shared" si="10"/>
        <v>3.7850000000000001</v>
      </c>
      <c r="BV79" s="5748">
        <v>3785</v>
      </c>
      <c r="BX79" s="5">
        <v>1</v>
      </c>
    </row>
    <row r="80" spans="1:76" s="1" customFormat="1" ht="21" customHeight="1">
      <c r="A80" s="5641" t="s">
        <v>1</v>
      </c>
      <c r="B80" s="5662" t="str">
        <f t="shared" si="22"/>
        <v>A</v>
      </c>
      <c r="C80" s="5825" cm="1">
        <f t="array" ref="C80">SUMPRODUCT(LEN(D80:J80))</f>
        <v>0</v>
      </c>
      <c r="D80" s="5275"/>
      <c r="E80" s="1361"/>
      <c r="F80" s="1361"/>
      <c r="G80" s="1361"/>
      <c r="H80" s="1361"/>
      <c r="I80" s="1361"/>
      <c r="J80" s="5276"/>
      <c r="K80" s="106"/>
      <c r="L80" s="5289" t="s">
        <v>21</v>
      </c>
      <c r="M80" s="196" t="str">
        <f>M43</f>
        <v>Pâtisserie--entremet.C.Chiboust pamplemousse</v>
      </c>
      <c r="N80" s="196">
        <f>N43</f>
        <v>18</v>
      </c>
      <c r="O80" s="196" t="str">
        <f>O43</f>
        <v>assiettes</v>
      </c>
      <c r="P80" s="196" t="str">
        <f>P43</f>
        <v>Recette mère ► MILLE-FEUILLE meringue et chiboust pamplemousse aux fraises des bois</v>
      </c>
      <c r="Q80" s="5292" t="s">
        <v>8022</v>
      </c>
      <c r="R80" s="988"/>
      <c r="S80" s="988"/>
      <c r="T80" s="988"/>
      <c r="U80" s="988"/>
      <c r="V80" s="988"/>
      <c r="W80" s="8504"/>
      <c r="X80" s="1325"/>
      <c r="Y80" s="5293">
        <v>18</v>
      </c>
      <c r="Z80" s="77" t="s">
        <v>8023</v>
      </c>
      <c r="AA80" s="147"/>
      <c r="AB80" s="5324">
        <f>(Y80*Y74)/1000</f>
        <v>1.8</v>
      </c>
      <c r="AC80" s="5933" t="str">
        <f t="shared" si="24"/>
        <v>►</v>
      </c>
      <c r="AD80" s="5999" t="s">
        <v>112</v>
      </c>
      <c r="AE80" s="5949">
        <v>0.2</v>
      </c>
      <c r="AF80" s="5804"/>
      <c r="AG80" s="5994" t="str">
        <f>IF(COUNTIF(AH80:AJ80,"&lt;&gt;")=0,"",MAX(AG76:AG79)+1)</f>
        <v/>
      </c>
      <c r="AH80" s="5995"/>
      <c r="AI80" s="5995"/>
      <c r="AJ80" s="5995"/>
      <c r="AK80" s="5995"/>
      <c r="AL80" s="5995"/>
      <c r="AM80" s="5995"/>
      <c r="AN80" s="5995"/>
      <c r="AO80" s="5995"/>
      <c r="AP80" s="5994" t="str">
        <f>IF(COUNTIF(AQ80:AR80,"&lt;&gt;")=0,"",MAX(AP76:AP79)+1)</f>
        <v/>
      </c>
      <c r="AQ80" s="5996"/>
      <c r="AR80" s="5997"/>
      <c r="AS80" s="7315"/>
      <c r="AT80" s="4"/>
      <c r="AU80" s="4"/>
      <c r="AV80" s="4"/>
      <c r="AW80" s="5818" t="str">
        <f t="shared" si="12"/>
        <v>►</v>
      </c>
      <c r="AX80" s="5950"/>
      <c r="AY80" s="5950"/>
      <c r="AZ80" s="5950"/>
      <c r="BA80" s="5950"/>
      <c r="BB80" s="5950"/>
      <c r="BC80" s="5661"/>
      <c r="BD80"/>
      <c r="BE80"/>
      <c r="BF80"/>
      <c r="BG80"/>
      <c r="BH80"/>
      <c r="BI80"/>
      <c r="BJ80"/>
      <c r="BL80" s="7380"/>
      <c r="BM80" s="6001" t="s">
        <v>1004</v>
      </c>
      <c r="BN80" s="226"/>
      <c r="BO80" s="97"/>
      <c r="BP80" s="97"/>
      <c r="BQ80" s="97"/>
      <c r="BR80" s="609"/>
      <c r="BT80" s="6002" t="s">
        <v>8014</v>
      </c>
      <c r="BU80" s="5790">
        <f>BV80 / 1000</f>
        <v>5.0000000000000001E-4</v>
      </c>
      <c r="BV80" s="5791">
        <v>0.5</v>
      </c>
      <c r="BX80" s="5">
        <v>1</v>
      </c>
    </row>
    <row r="81" spans="1:76" s="1" customFormat="1" ht="21" customHeight="1">
      <c r="A81" s="5641" t="s">
        <v>1</v>
      </c>
      <c r="B81" s="5662" t="str">
        <f t="shared" si="22"/>
        <v>A</v>
      </c>
      <c r="C81" s="5825" cm="1">
        <f t="array" ref="C81">SUMPRODUCT(LEN(D81:J81))</f>
        <v>0</v>
      </c>
      <c r="D81" s="5275"/>
      <c r="E81" s="1361"/>
      <c r="F81" s="1361"/>
      <c r="G81" s="1361"/>
      <c r="H81" s="1361"/>
      <c r="I81" s="1361"/>
      <c r="J81" s="5276"/>
      <c r="K81" s="106"/>
      <c r="L81" s="5289" t="s">
        <v>21</v>
      </c>
      <c r="M81" s="196" t="str">
        <f>M43</f>
        <v>Pâtisserie--entremet.C.Chiboust pamplemousse</v>
      </c>
      <c r="N81" s="196">
        <f>N43</f>
        <v>18</v>
      </c>
      <c r="O81" s="196" t="str">
        <f>O43</f>
        <v>assiettes</v>
      </c>
      <c r="P81" s="196" t="str">
        <f>P43</f>
        <v>Recette mère ► MILLE-FEUILLE meringue et chiboust pamplemousse aux fraises des bois</v>
      </c>
      <c r="Q81" s="5294" t="s">
        <v>8024</v>
      </c>
      <c r="R81" s="1449"/>
      <c r="S81" s="1449"/>
      <c r="T81" s="1449"/>
      <c r="U81" s="1449"/>
      <c r="V81" s="1449"/>
      <c r="W81" s="5410"/>
      <c r="X81" s="5295"/>
      <c r="Y81" s="5296">
        <v>1.1200000000000001</v>
      </c>
      <c r="Z81" s="5297" t="str">
        <f>"poids par "&amp; Y75</f>
        <v>poids par gastro 1/1</v>
      </c>
      <c r="AA81" s="147"/>
      <c r="AB81" s="5322"/>
      <c r="AC81" s="5933" t="str">
        <f t="shared" si="24"/>
        <v>►</v>
      </c>
      <c r="AD81" s="5999" t="s">
        <v>8015</v>
      </c>
      <c r="AE81" s="5949">
        <v>0.23</v>
      </c>
      <c r="AF81" s="5804"/>
      <c r="AG81" s="5994" t="str">
        <f>IF(COUNTIF(AH81:AJ81,"&lt;&gt;")=0,"",MAX(AG76:AG80)+1)</f>
        <v/>
      </c>
      <c r="AH81" s="5995"/>
      <c r="AI81" s="5995"/>
      <c r="AJ81" s="5995"/>
      <c r="AK81" s="5995"/>
      <c r="AL81" s="5995"/>
      <c r="AM81" s="5995"/>
      <c r="AN81" s="5995"/>
      <c r="AO81" s="5995"/>
      <c r="AP81" s="5994" t="str">
        <f>IF(COUNTIF(AQ81:AR81,"&lt;&gt;")=0,"",MAX(AP76:AP80)+1)</f>
        <v/>
      </c>
      <c r="AQ81" s="5996"/>
      <c r="AR81" s="5997"/>
      <c r="AS81" s="7315"/>
      <c r="AT81" s="4"/>
      <c r="AU81" s="4"/>
      <c r="AV81" s="4"/>
      <c r="AW81" s="5818" t="str">
        <f t="shared" si="12"/>
        <v>►</v>
      </c>
      <c r="AX81" s="5950"/>
      <c r="AY81" s="5950"/>
      <c r="AZ81" s="5950"/>
      <c r="BA81" s="5950"/>
      <c r="BB81" s="5950"/>
      <c r="BC81" s="5661"/>
      <c r="BD81"/>
      <c r="BE81"/>
      <c r="BF81"/>
      <c r="BG81"/>
      <c r="BH81"/>
      <c r="BI81"/>
      <c r="BJ81"/>
      <c r="BL81" s="7380"/>
      <c r="BM81" s="6001" t="s">
        <v>1005</v>
      </c>
      <c r="BN81" s="226"/>
      <c r="BO81" s="97"/>
      <c r="BP81" s="97"/>
      <c r="BQ81" s="97"/>
      <c r="BR81" s="609"/>
      <c r="BT81" s="6002" t="s">
        <v>8014</v>
      </c>
      <c r="BU81" s="5790">
        <f>BV81 / 1000</f>
        <v>5.0000000000000001E-4</v>
      </c>
      <c r="BV81" s="5791">
        <v>0.5</v>
      </c>
      <c r="BX81" s="5">
        <v>1</v>
      </c>
    </row>
    <row r="82" spans="1:76" s="1" customFormat="1" ht="21" customHeight="1">
      <c r="A82" s="5641" t="s">
        <v>1</v>
      </c>
      <c r="B82" s="5662" t="str">
        <f t="shared" si="22"/>
        <v>A</v>
      </c>
      <c r="C82" s="5825" cm="1">
        <f t="array" ref="C82">SUMPRODUCT(LEN(D82:J82))</f>
        <v>0</v>
      </c>
      <c r="D82" s="5275"/>
      <c r="E82" s="1361"/>
      <c r="F82" s="1361"/>
      <c r="G82" s="1361"/>
      <c r="H82" s="1361"/>
      <c r="I82" s="1361"/>
      <c r="J82" s="5276"/>
      <c r="K82" s="106"/>
      <c r="L82" s="5289" t="s">
        <v>21</v>
      </c>
      <c r="M82" s="196" t="str">
        <f>M43</f>
        <v>Pâtisserie--entremet.C.Chiboust pamplemousse</v>
      </c>
      <c r="N82" s="196">
        <f>N43</f>
        <v>18</v>
      </c>
      <c r="O82" s="196" t="str">
        <f>O43</f>
        <v>assiettes</v>
      </c>
      <c r="P82" s="196" t="str">
        <f>P43</f>
        <v>Recette mère ► MILLE-FEUILLE meringue et chiboust pamplemousse aux fraises des bois</v>
      </c>
      <c r="Q82" s="1002"/>
      <c r="R82" s="1002"/>
      <c r="S82" s="1002" t="s">
        <v>873</v>
      </c>
      <c r="T82" s="1003"/>
      <c r="U82" s="1329"/>
      <c r="V82" s="1329"/>
      <c r="W82" s="1329"/>
      <c r="X82" s="1330"/>
      <c r="Y82" s="7173" t="str">
        <f>IF(AB80=0,"",IF(Y81=0,"",INT(AB80/Y81) &amp; " " &amp; Y75 &amp; " de " &amp; Y81 &amp; " kg" &amp; IF(MOD(AB80,Y81)=0,"",IF(MOD(AB80,Y81)=Y81,""," + 1 " &amp; Y75 &amp; " de " &amp; TEXT(MOD(AB80,Y81),"0.000") &amp; " kg"))))</f>
        <v>1 gastro 1/1 de 1.12 kg + 1 gastro 1/1 de 0.680 kg</v>
      </c>
      <c r="Z82" s="7174"/>
      <c r="AA82" s="7174"/>
      <c r="AB82" s="7175"/>
      <c r="AC82" s="5933" t="str">
        <f t="shared" si="24"/>
        <v>►</v>
      </c>
      <c r="AD82" s="5999" t="s">
        <v>8016</v>
      </c>
      <c r="AE82" s="5949">
        <v>0.24</v>
      </c>
      <c r="AF82" s="5804"/>
      <c r="AG82" s="5994" t="str">
        <f>IF(COUNTIF(AH82:AJ82,"&lt;&gt;")=0,"",MAX(AG76:AG81)+1)</f>
        <v/>
      </c>
      <c r="AH82" s="5995"/>
      <c r="AI82" s="5995"/>
      <c r="AJ82" s="5995"/>
      <c r="AK82" s="5995"/>
      <c r="AL82" s="5995"/>
      <c r="AM82" s="5995"/>
      <c r="AN82" s="5995"/>
      <c r="AO82" s="5995"/>
      <c r="AP82" s="5994" t="str">
        <f>IF(COUNTIF(AQ82:AR82,"&lt;&gt;")=0,"",MAX(AP76:AP81)+1)</f>
        <v/>
      </c>
      <c r="AQ82" s="5996"/>
      <c r="AR82" s="5997"/>
      <c r="AS82" s="7315"/>
      <c r="AT82" s="4"/>
      <c r="AU82" s="4"/>
      <c r="AV82" s="4"/>
      <c r="AW82" s="5818" t="str">
        <f t="shared" si="12"/>
        <v>►</v>
      </c>
      <c r="AX82" s="5950"/>
      <c r="AY82" s="5950"/>
      <c r="AZ82" s="5950"/>
      <c r="BA82" s="5950"/>
      <c r="BB82" s="5950"/>
      <c r="BC82" s="5661"/>
      <c r="BD82"/>
      <c r="BE82"/>
      <c r="BF82"/>
      <c r="BG82"/>
      <c r="BH82"/>
      <c r="BI82"/>
      <c r="BJ82"/>
      <c r="BL82" s="7380"/>
      <c r="BM82" s="5201" t="s">
        <v>1006</v>
      </c>
      <c r="BN82" s="226"/>
      <c r="BO82" s="97"/>
      <c r="BP82" s="97"/>
      <c r="BQ82" s="97"/>
      <c r="BR82" s="609"/>
      <c r="BT82" s="6002" t="s">
        <v>8014</v>
      </c>
      <c r="BU82" s="5790">
        <f>BV82 / 1000</f>
        <v>5.0000000000000001E-4</v>
      </c>
      <c r="BV82" s="5791">
        <v>0.5</v>
      </c>
      <c r="BX82" s="5">
        <v>1</v>
      </c>
    </row>
    <row r="83" spans="1:76" s="1" customFormat="1" ht="21" customHeight="1">
      <c r="A83" s="5641" t="s">
        <v>1</v>
      </c>
      <c r="B83" s="5662" t="str">
        <f t="shared" si="22"/>
        <v>A</v>
      </c>
      <c r="C83" s="5825" cm="1">
        <f t="array" ref="C83">SUMPRODUCT(LEN(D83:J83))</f>
        <v>0</v>
      </c>
      <c r="D83" s="5275"/>
      <c r="E83" s="1361"/>
      <c r="F83" s="1361"/>
      <c r="G83" s="1361"/>
      <c r="H83" s="1361"/>
      <c r="I83" s="1361"/>
      <c r="J83" s="5276"/>
      <c r="K83" s="106"/>
      <c r="L83" s="1037" t="s">
        <v>21</v>
      </c>
      <c r="M83" s="5298" t="str">
        <f>M59</f>
        <v>Pâtisserie--entremet.C.Chiboust pamplemousse</v>
      </c>
      <c r="N83" s="5298">
        <f>N59</f>
        <v>18</v>
      </c>
      <c r="O83" s="5298" t="str">
        <f>O59</f>
        <v>assiettes</v>
      </c>
      <c r="P83" s="5298" t="str">
        <f>P43</f>
        <v>Recette mère ► MILLE-FEUILLE meringue et chiboust pamplemousse aux fraises des bois</v>
      </c>
      <c r="Q83" s="5299" t="s">
        <v>86</v>
      </c>
      <c r="R83" s="5300"/>
      <c r="S83" s="5301"/>
      <c r="T83" s="5302" t="s">
        <v>8025</v>
      </c>
      <c r="U83" s="5301"/>
      <c r="V83" s="5301"/>
      <c r="W83" s="8497"/>
      <c r="X83" s="5303"/>
      <c r="Y83" s="7176"/>
      <c r="Z83" s="6886"/>
      <c r="AA83" s="6886"/>
      <c r="AB83" s="7177"/>
      <c r="AC83" s="5933" t="str">
        <f t="shared" si="24"/>
        <v>►</v>
      </c>
      <c r="AD83" s="6003" t="s">
        <v>8014</v>
      </c>
      <c r="AE83" s="5949">
        <v>0</v>
      </c>
      <c r="AF83" s="5804"/>
      <c r="AG83" s="5994" t="str">
        <f>IF(COUNTIF(AH83:AJ83,"&lt;&gt;")=0,"",MAX(AG76:AG82)+1)</f>
        <v/>
      </c>
      <c r="AH83" s="5995"/>
      <c r="AI83" s="5995"/>
      <c r="AJ83" s="5995"/>
      <c r="AK83" s="5995"/>
      <c r="AL83" s="5995"/>
      <c r="AM83" s="5995"/>
      <c r="AN83" s="5995"/>
      <c r="AO83" s="5995"/>
      <c r="AP83" s="5994" t="str">
        <f>IF(COUNTIF(AQ83:AR83,"&lt;&gt;")=0,"",MAX(AP76:AP82)+1)</f>
        <v/>
      </c>
      <c r="AQ83" s="5996"/>
      <c r="AR83" s="5997"/>
      <c r="AS83" s="7315"/>
      <c r="AT83" s="4"/>
      <c r="AU83" s="4"/>
      <c r="AV83" s="4"/>
      <c r="AW83" s="5818" t="str">
        <f t="shared" si="12"/>
        <v>►</v>
      </c>
      <c r="AX83" s="5950"/>
      <c r="AY83" s="5950"/>
      <c r="AZ83" s="5950"/>
      <c r="BA83" s="5950"/>
      <c r="BB83" s="5950"/>
      <c r="BC83" s="5661"/>
      <c r="BD83"/>
      <c r="BE83"/>
      <c r="BF83"/>
      <c r="BG83"/>
      <c r="BH83"/>
      <c r="BI83"/>
      <c r="BJ83"/>
      <c r="BL83" s="7380"/>
      <c r="BM83" s="6004" t="s">
        <v>1007</v>
      </c>
      <c r="BN83" s="226"/>
      <c r="BO83" s="97"/>
      <c r="BP83" s="97"/>
      <c r="BQ83" s="97"/>
      <c r="BR83" s="609"/>
      <c r="BT83" s="953"/>
      <c r="BU83" s="953"/>
      <c r="BV83" s="953"/>
      <c r="BX83" s="5">
        <v>1</v>
      </c>
    </row>
    <row r="84" spans="1:76" s="1" customFormat="1" ht="21" customHeight="1" thickBot="1">
      <c r="A84" s="5641" t="s">
        <v>1</v>
      </c>
      <c r="B84" s="5662" t="str">
        <f t="shared" si="22"/>
        <v>A</v>
      </c>
      <c r="C84" s="5825" cm="1">
        <f t="array" ref="C84">SUMPRODUCT(LEN(D84:J84))</f>
        <v>0</v>
      </c>
      <c r="D84" s="5275"/>
      <c r="E84" s="1361"/>
      <c r="F84" s="1361"/>
      <c r="G84" s="1361"/>
      <c r="H84" s="1361"/>
      <c r="I84" s="1361"/>
      <c r="J84" s="5276"/>
      <c r="K84" s="106" t="s">
        <v>1</v>
      </c>
      <c r="L84" s="5304" t="s">
        <v>21</v>
      </c>
      <c r="M84" s="5305"/>
      <c r="N84" s="5305"/>
      <c r="O84" s="5305"/>
      <c r="P84" s="5305"/>
      <c r="Q84" s="5306" t="s">
        <v>269</v>
      </c>
      <c r="R84" s="5307" t="str">
        <f ca="1">CELL("nomfichier")</f>
        <v>D:\Données\1.UPRT\0-UPRT.fait\1-UPRT.FR-SITE-WEB\ff-fiches-fabrications\ff.fiches.fabrication.2023\ffr.restaurant.2023\[ff.REPERTOIRE.600.LIGNES.15.xlsx]Differents.postits.FR.EN.ES</v>
      </c>
      <c r="S84" s="5308"/>
      <c r="T84" s="5308"/>
      <c r="U84" s="5308"/>
      <c r="V84" s="5308"/>
      <c r="W84" s="5308"/>
      <c r="X84" s="5308"/>
      <c r="Y84" s="5308"/>
      <c r="Z84" s="5308"/>
      <c r="AA84" s="5308"/>
      <c r="AB84" s="5309"/>
      <c r="AC84" s="5817" t="s">
        <v>21</v>
      </c>
      <c r="AD84" s="6005"/>
      <c r="AE84" s="6006"/>
      <c r="AF84" s="6006"/>
      <c r="AG84" s="6006"/>
      <c r="AH84" s="6006"/>
      <c r="AI84" s="6006"/>
      <c r="AJ84" s="6006"/>
      <c r="AK84" s="6006"/>
      <c r="AL84" s="6007"/>
      <c r="AM84" s="6007"/>
      <c r="AN84" s="6007"/>
      <c r="AO84" s="6007"/>
      <c r="AP84" s="6007"/>
      <c r="AQ84" s="6007"/>
      <c r="AR84" s="6008"/>
      <c r="AS84" s="7378"/>
      <c r="AT84" s="4"/>
      <c r="AU84" s="4"/>
      <c r="AV84" s="4"/>
      <c r="AW84" s="5818" t="str">
        <f t="shared" si="12"/>
        <v>A</v>
      </c>
      <c r="AX84" s="5950"/>
      <c r="AY84" s="5950"/>
      <c r="AZ84" s="5950"/>
      <c r="BA84" s="5950"/>
      <c r="BB84" s="5950"/>
      <c r="BC84" s="5661"/>
      <c r="BD84"/>
      <c r="BE84"/>
      <c r="BF84"/>
      <c r="BG84"/>
      <c r="BH84"/>
      <c r="BI84"/>
      <c r="BJ84"/>
      <c r="BL84" s="7380"/>
      <c r="BM84" s="474" t="s">
        <v>1008</v>
      </c>
      <c r="BN84" s="220"/>
      <c r="BO84" s="97"/>
      <c r="BP84" s="97"/>
      <c r="BQ84" s="97"/>
      <c r="BR84" s="609"/>
      <c r="BT84" s="184">
        <v>13</v>
      </c>
      <c r="BU84" s="184">
        <v>16</v>
      </c>
      <c r="BV84" s="184">
        <v>23</v>
      </c>
      <c r="BX84" s="5">
        <v>1</v>
      </c>
    </row>
    <row r="85" spans="1:76" s="1" customFormat="1" ht="21" customHeight="1" thickBot="1">
      <c r="A85" s="5641" t="s">
        <v>1</v>
      </c>
      <c r="B85" s="5662" t="str">
        <f t="shared" si="22"/>
        <v>A</v>
      </c>
      <c r="C85" s="5825" cm="1">
        <f t="array" ref="C85">SUMPRODUCT(LEN(D85:J85))</f>
        <v>0</v>
      </c>
      <c r="D85" s="5275"/>
      <c r="E85" s="1361"/>
      <c r="F85" s="1361"/>
      <c r="G85" s="1361"/>
      <c r="H85" s="1361"/>
      <c r="I85" s="1361"/>
      <c r="J85" s="5276"/>
      <c r="K85" s="106" t="s">
        <v>1</v>
      </c>
      <c r="L85" s="6009" t="s">
        <v>21</v>
      </c>
      <c r="M85" s="6010"/>
      <c r="N85" s="6010"/>
      <c r="O85" s="6010"/>
      <c r="P85" s="6010"/>
      <c r="Q85" s="6011"/>
      <c r="R85" s="6011" t="str">
        <f>M92</f>
        <v>Pâtisserie-entremet.F.Feuilles de meringue</v>
      </c>
      <c r="S85" s="6011"/>
      <c r="T85" s="6011"/>
      <c r="U85" s="6011"/>
      <c r="V85" s="6011"/>
      <c r="W85" s="6011"/>
      <c r="X85" s="6011"/>
      <c r="Y85" s="6011"/>
      <c r="Z85" s="6011"/>
      <c r="AA85" s="6011"/>
      <c r="AB85" s="6011"/>
      <c r="AC85" s="5817" t="s">
        <v>21</v>
      </c>
      <c r="AD85" s="6011"/>
      <c r="AE85" s="6011"/>
      <c r="AF85" s="6011"/>
      <c r="AG85" s="6011"/>
      <c r="AH85" s="6011"/>
      <c r="AI85" s="6011"/>
      <c r="AJ85" s="6011"/>
      <c r="AK85" s="6011"/>
      <c r="AL85" s="6011"/>
      <c r="AM85" s="6011"/>
      <c r="AN85" s="6011"/>
      <c r="AO85" s="6012"/>
      <c r="AP85" s="6013"/>
      <c r="AQ85" s="6013"/>
      <c r="AR85" s="6013"/>
      <c r="AS85" s="5810"/>
      <c r="AT85" s="4"/>
      <c r="AU85" s="4"/>
      <c r="AV85" s="4"/>
      <c r="AW85" s="5818" t="str">
        <f t="shared" si="12"/>
        <v>A</v>
      </c>
      <c r="AX85" s="5950"/>
      <c r="AY85" s="5950"/>
      <c r="AZ85" s="5950"/>
      <c r="BA85" s="5950"/>
      <c r="BB85" s="5950"/>
      <c r="BC85" s="5661"/>
      <c r="BD85"/>
      <c r="BE85"/>
      <c r="BF85"/>
      <c r="BG85"/>
      <c r="BH85"/>
      <c r="BI85"/>
      <c r="BJ85"/>
      <c r="BL85" s="1160"/>
      <c r="BM85" s="141"/>
      <c r="BN85" s="141"/>
      <c r="BO85" s="141"/>
      <c r="BP85" s="141"/>
      <c r="BQ85" s="141"/>
      <c r="BR85" s="409"/>
      <c r="BT85" s="91">
        <f ca="1">CELL("largeur",BT85)</f>
        <v>13</v>
      </c>
      <c r="BU85" s="91">
        <f ca="1">CELL("largeur",BU85)</f>
        <v>16</v>
      </c>
      <c r="BV85" s="91">
        <f ca="1">CELL("largeur",BV85)</f>
        <v>23</v>
      </c>
      <c r="BX85" s="5">
        <v>1</v>
      </c>
    </row>
    <row r="86" spans="1:76" s="1" customFormat="1" ht="21" customHeight="1">
      <c r="A86" s="5641" t="s">
        <v>1</v>
      </c>
      <c r="B86" s="5662" t="str">
        <f t="shared" si="22"/>
        <v>A</v>
      </c>
      <c r="C86" s="5825" cm="1">
        <f t="array" ref="C86">SUMPRODUCT(LEN(D86:J86))</f>
        <v>0</v>
      </c>
      <c r="D86" s="5275"/>
      <c r="E86" s="1361"/>
      <c r="F86" s="1361"/>
      <c r="G86" s="1361"/>
      <c r="H86" s="1361"/>
      <c r="I86" s="1361"/>
      <c r="J86" s="5276"/>
      <c r="K86" s="106" t="s">
        <v>1</v>
      </c>
      <c r="L86" s="5636" t="s">
        <v>21</v>
      </c>
      <c r="M86" s="5231" t="str">
        <f>M92</f>
        <v>Pâtisserie-entremet.F.Feuilles de meringue</v>
      </c>
      <c r="N86" s="5232">
        <f>N92</f>
        <v>18</v>
      </c>
      <c r="O86" s="5232" t="str">
        <f>O92</f>
        <v>assiettes</v>
      </c>
      <c r="P86" s="5232"/>
      <c r="Q86" s="5233" t="s">
        <v>1</v>
      </c>
      <c r="R86" s="5234" t="s">
        <v>251</v>
      </c>
      <c r="S86" s="5234"/>
      <c r="T86" s="6911" t="s">
        <v>8575</v>
      </c>
      <c r="U86" s="6911"/>
      <c r="V86" s="6911"/>
      <c r="W86" s="6911"/>
      <c r="X86" s="6911"/>
      <c r="Y86" s="6911"/>
      <c r="Z86" s="6935" t="s">
        <v>8576</v>
      </c>
      <c r="AA86" s="6935"/>
      <c r="AB86" s="6915" t="str">
        <f>UPPER(LEFT(T86,1))</f>
        <v>F</v>
      </c>
      <c r="AC86" s="5817" t="s">
        <v>21</v>
      </c>
      <c r="AD86" s="7339" t="str">
        <f>T86</f>
        <v>FEUILLES DE MERINGUE</v>
      </c>
      <c r="AE86" s="7340"/>
      <c r="AF86" s="7340"/>
      <c r="AG86" s="7340"/>
      <c r="AH86" s="7340"/>
      <c r="AI86" s="7340"/>
      <c r="AJ86" s="7340"/>
      <c r="AK86" s="7340"/>
      <c r="AL86" s="7340"/>
      <c r="AM86" s="7340"/>
      <c r="AN86" s="7340"/>
      <c r="AO86" s="7340"/>
      <c r="AP86" s="7340"/>
      <c r="AQ86" s="7340"/>
      <c r="AR86" s="7343">
        <f>IF(ISBLANK(AM21),AK21,AM21)</f>
        <v>0.82500000000000018</v>
      </c>
      <c r="AS86" s="7383" t="str">
        <f>R6</f>
        <v>MILLE-FEUILLE meringue et chiboust pamplemousse aux fraises des bois</v>
      </c>
      <c r="AT86" s="4"/>
      <c r="AU86" s="4"/>
      <c r="AV86" s="4"/>
      <c r="AW86" s="5818" t="str">
        <f t="shared" si="12"/>
        <v>A</v>
      </c>
      <c r="AX86" s="5950"/>
      <c r="AY86" s="5950"/>
      <c r="AZ86" s="5950"/>
      <c r="BA86" s="5950"/>
      <c r="BB86" s="5950"/>
      <c r="BC86" s="5661"/>
      <c r="BD86"/>
      <c r="BE86"/>
      <c r="BF86"/>
      <c r="BG86"/>
      <c r="BH86"/>
      <c r="BI86"/>
      <c r="BJ86"/>
      <c r="BL86" s="1160"/>
      <c r="BM86" s="141"/>
      <c r="BN86" s="141"/>
      <c r="BO86" s="141"/>
      <c r="BP86" s="141"/>
      <c r="BQ86" s="141"/>
      <c r="BR86" s="409"/>
      <c r="BX86" s="5">
        <v>1</v>
      </c>
    </row>
    <row r="87" spans="1:76" s="1" customFormat="1" ht="21" customHeight="1">
      <c r="A87" s="5641" t="s">
        <v>1</v>
      </c>
      <c r="B87" s="5662" t="str">
        <f t="shared" si="22"/>
        <v>A</v>
      </c>
      <c r="C87" s="5825" cm="1">
        <f t="array" ref="C87">SUMPRODUCT(LEN(D87:J87))</f>
        <v>0</v>
      </c>
      <c r="D87" s="5275"/>
      <c r="E87" s="1361"/>
      <c r="F87" s="1361"/>
      <c r="G87" s="1361"/>
      <c r="H87" s="1361"/>
      <c r="I87" s="1361"/>
      <c r="J87" s="5276"/>
      <c r="K87" s="106" t="s">
        <v>1</v>
      </c>
      <c r="L87" s="1018" t="s">
        <v>21</v>
      </c>
      <c r="M87" s="363" t="str">
        <f>M92</f>
        <v>Pâtisserie-entremet.F.Feuilles de meringue</v>
      </c>
      <c r="N87" s="362"/>
      <c r="O87" s="362"/>
      <c r="P87" s="362"/>
      <c r="Q87" s="361" t="s">
        <v>245</v>
      </c>
      <c r="R87" s="360" t="s">
        <v>244</v>
      </c>
      <c r="S87" s="360"/>
      <c r="T87" s="6912"/>
      <c r="U87" s="6912"/>
      <c r="V87" s="6912"/>
      <c r="W87" s="6912"/>
      <c r="X87" s="6912"/>
      <c r="Y87" s="6912"/>
      <c r="Z87" s="6936"/>
      <c r="AA87" s="6936"/>
      <c r="AB87" s="6916"/>
      <c r="AC87" s="5817" t="s">
        <v>21</v>
      </c>
      <c r="AD87" s="7341"/>
      <c r="AE87" s="7342"/>
      <c r="AF87" s="7342"/>
      <c r="AG87" s="7342"/>
      <c r="AH87" s="7342"/>
      <c r="AI87" s="7342"/>
      <c r="AJ87" s="7342"/>
      <c r="AK87" s="7342"/>
      <c r="AL87" s="7342"/>
      <c r="AM87" s="7342"/>
      <c r="AN87" s="7342"/>
      <c r="AO87" s="7342"/>
      <c r="AP87" s="7342"/>
      <c r="AQ87" s="7342"/>
      <c r="AR87" s="7344"/>
      <c r="AS87" s="7383"/>
      <c r="AT87" s="4"/>
      <c r="AU87" s="4"/>
      <c r="AV87" s="4"/>
      <c r="AW87" s="5818" t="str">
        <f t="shared" si="12"/>
        <v>A</v>
      </c>
      <c r="AX87" s="5950"/>
      <c r="AY87" s="5950"/>
      <c r="AZ87" s="5950"/>
      <c r="BA87" s="5950"/>
      <c r="BB87" s="5950"/>
      <c r="BC87" s="5661"/>
      <c r="BD87"/>
      <c r="BE87"/>
      <c r="BF87"/>
      <c r="BG87"/>
      <c r="BH87"/>
      <c r="BI87"/>
      <c r="BJ87"/>
      <c r="BL87" s="1160"/>
      <c r="BM87" s="141"/>
      <c r="BN87" s="141"/>
      <c r="BO87" s="141"/>
      <c r="BP87" s="141"/>
      <c r="BQ87" s="141"/>
      <c r="BR87" s="409"/>
      <c r="BX87" s="5">
        <v>1</v>
      </c>
    </row>
    <row r="88" spans="1:76" s="1" customFormat="1" ht="21" customHeight="1">
      <c r="A88" s="5641" t="s">
        <v>1</v>
      </c>
      <c r="B88" s="5662" t="str">
        <f t="shared" si="22"/>
        <v>A</v>
      </c>
      <c r="C88" s="5825" cm="1">
        <f t="array" ref="C88">SUMPRODUCT(LEN(D88:J88))</f>
        <v>0</v>
      </c>
      <c r="D88" s="5275"/>
      <c r="E88" s="1361"/>
      <c r="F88" s="1361"/>
      <c r="G88" s="1361"/>
      <c r="H88" s="1361"/>
      <c r="I88" s="1361"/>
      <c r="J88" s="5276"/>
      <c r="K88" s="106" t="s">
        <v>1</v>
      </c>
      <c r="L88" s="1018" t="s">
        <v>21</v>
      </c>
      <c r="M88" s="41" t="str">
        <f>M92</f>
        <v>Pâtisserie-entremet.F.Feuilles de meringue</v>
      </c>
      <c r="N88" s="40">
        <f>N92</f>
        <v>18</v>
      </c>
      <c r="O88" s="40" t="str">
        <f>O92</f>
        <v>assiettes</v>
      </c>
      <c r="P88" s="40" t="str">
        <f>P92</f>
        <v>Recette mère ► MILLE-FEUILLE meringue et chiboust pamplemousse aux fraises des bois</v>
      </c>
      <c r="Q88" s="351"/>
      <c r="R88" s="350" t="s">
        <v>233</v>
      </c>
      <c r="S88" s="349"/>
      <c r="T88" s="348" t="s">
        <v>232</v>
      </c>
      <c r="U88" s="347" t="s">
        <v>7812</v>
      </c>
      <c r="V88" s="141"/>
      <c r="W88" s="347"/>
      <c r="X88" s="347"/>
      <c r="Y88" s="5235"/>
      <c r="Z88" s="141"/>
      <c r="AA88" s="141"/>
      <c r="AB88" s="409"/>
      <c r="AC88" s="5817" t="s">
        <v>21</v>
      </c>
      <c r="AD88" s="5826"/>
      <c r="AE88" s="5827"/>
      <c r="AF88" s="5827"/>
      <c r="AG88" s="5827"/>
      <c r="AH88" s="5827"/>
      <c r="AI88" s="5827"/>
      <c r="AJ88" s="5827"/>
      <c r="AK88" s="5828"/>
      <c r="AL88" s="5828"/>
      <c r="AM88" s="5828"/>
      <c r="AN88" s="5828"/>
      <c r="AO88" s="5828"/>
      <c r="AP88" s="5829"/>
      <c r="AQ88" s="5829" t="s">
        <v>248</v>
      </c>
      <c r="AR88" s="5830">
        <f>IF(Y110=0,0,AR86/Y110)</f>
        <v>2.5</v>
      </c>
      <c r="AS88" s="7383"/>
      <c r="AT88" s="4"/>
      <c r="AU88" s="4"/>
      <c r="AV88" s="4"/>
      <c r="AW88" s="5818" t="str">
        <f t="shared" si="12"/>
        <v>A</v>
      </c>
      <c r="AX88" s="5950"/>
      <c r="AY88" s="5950"/>
      <c r="AZ88" s="5950"/>
      <c r="BA88" s="5950"/>
      <c r="BB88" s="5950"/>
      <c r="BC88" s="5661"/>
      <c r="BD88"/>
      <c r="BE88"/>
      <c r="BF88"/>
      <c r="BG88"/>
      <c r="BH88"/>
      <c r="BI88"/>
      <c r="BJ88"/>
      <c r="BL88" s="1160"/>
      <c r="BM88" s="141"/>
      <c r="BN88" s="141"/>
      <c r="BO88" s="141"/>
      <c r="BP88" s="141"/>
      <c r="BQ88" s="141"/>
      <c r="BR88" s="409"/>
      <c r="BX88" s="5">
        <v>1</v>
      </c>
    </row>
    <row r="89" spans="1:76" s="1" customFormat="1" ht="21" customHeight="1">
      <c r="A89" s="5641" t="s">
        <v>1</v>
      </c>
      <c r="B89" s="5662" t="str">
        <f t="shared" si="22"/>
        <v>A</v>
      </c>
      <c r="C89" s="5825" cm="1">
        <f t="array" ref="C89">SUMPRODUCT(LEN(D89:J89))</f>
        <v>0</v>
      </c>
      <c r="D89" s="5275"/>
      <c r="E89" s="1361"/>
      <c r="F89" s="1361"/>
      <c r="G89" s="1361"/>
      <c r="H89" s="1361"/>
      <c r="I89" s="1361"/>
      <c r="J89" s="5276"/>
      <c r="K89" s="106" t="s">
        <v>1</v>
      </c>
      <c r="L89" s="1018" t="s">
        <v>21</v>
      </c>
      <c r="M89" s="41" t="str">
        <f>M92</f>
        <v>Pâtisserie-entremet.F.Feuilles de meringue</v>
      </c>
      <c r="N89" s="40">
        <f>N92</f>
        <v>18</v>
      </c>
      <c r="O89" s="40" t="str">
        <f>O92</f>
        <v>assiettes</v>
      </c>
      <c r="P89" s="40" t="str">
        <f>P92</f>
        <v>Recette mère ► MILLE-FEUILLE meringue et chiboust pamplemousse aux fraises des bois</v>
      </c>
      <c r="Q89" s="333" t="s">
        <v>228</v>
      </c>
      <c r="R89" s="341"/>
      <c r="S89" s="341"/>
      <c r="T89" s="340" t="s">
        <v>227</v>
      </c>
      <c r="U89" s="6901" t="str">
        <f>Q92</f>
        <v>Pâtisserie-entremet.F.Feuilles de meringue</v>
      </c>
      <c r="V89" s="6901"/>
      <c r="W89" s="6901"/>
      <c r="X89" s="6225"/>
      <c r="Y89" s="5235"/>
      <c r="Z89" s="5236" t="s">
        <v>8008</v>
      </c>
      <c r="AA89" s="5237">
        <v>100</v>
      </c>
      <c r="AB89" s="344" t="str">
        <f>AB91</f>
        <v>couverts</v>
      </c>
      <c r="AC89" s="5817" t="s">
        <v>21</v>
      </c>
      <c r="AD89" s="5826"/>
      <c r="AE89" s="5827"/>
      <c r="AF89" s="5827"/>
      <c r="AG89" s="5827"/>
      <c r="AH89" s="5827"/>
      <c r="AI89" s="5827"/>
      <c r="AJ89" s="5827"/>
      <c r="AK89" s="5714" t="str">
        <f>IF(AM21&gt;0,"avec Poids modifié ❻","avec Poids prévu ④")</f>
        <v>avec Poids prévu ④</v>
      </c>
      <c r="AL89" s="5714"/>
      <c r="AM89" s="5714"/>
      <c r="AN89" s="5714"/>
      <c r="AO89" s="5713" t="s">
        <v>8511</v>
      </c>
      <c r="AP89" s="5713"/>
      <c r="AQ89" s="5713"/>
      <c r="AR89" s="5831"/>
      <c r="AS89" s="7383"/>
      <c r="AT89" s="4"/>
      <c r="AU89" s="4"/>
      <c r="AV89" s="4"/>
      <c r="AW89" s="5818" t="str">
        <f t="shared" si="12"/>
        <v>A</v>
      </c>
      <c r="AX89" s="5950"/>
      <c r="AY89" s="5950"/>
      <c r="AZ89" s="5950"/>
      <c r="BA89" s="5950"/>
      <c r="BB89" s="5950"/>
      <c r="BC89" s="5661"/>
      <c r="BD89"/>
      <c r="BE89"/>
      <c r="BF89"/>
      <c r="BG89"/>
      <c r="BH89"/>
      <c r="BI89"/>
      <c r="BJ89"/>
      <c r="BL89" s="1160"/>
      <c r="BM89" s="141"/>
      <c r="BN89" s="141"/>
      <c r="BO89" s="141"/>
      <c r="BP89" s="141"/>
      <c r="BQ89" s="141"/>
      <c r="BR89" s="409"/>
      <c r="BX89" s="5">
        <v>1</v>
      </c>
    </row>
    <row r="90" spans="1:76" s="1" customFormat="1" ht="21" customHeight="1">
      <c r="A90" s="5641" t="s">
        <v>1</v>
      </c>
      <c r="B90" s="5662" t="str">
        <f t="shared" si="22"/>
        <v>A</v>
      </c>
      <c r="C90" s="5825" cm="1">
        <f t="array" ref="C90">SUMPRODUCT(LEN(D90:J90))</f>
        <v>0</v>
      </c>
      <c r="D90" s="5275"/>
      <c r="E90" s="1361"/>
      <c r="F90" s="1361"/>
      <c r="G90" s="1361"/>
      <c r="H90" s="1361"/>
      <c r="I90" s="1361"/>
      <c r="J90" s="5276"/>
      <c r="K90" s="106" t="s">
        <v>1</v>
      </c>
      <c r="L90" s="1018" t="s">
        <v>21</v>
      </c>
      <c r="M90" s="41" t="str">
        <f>M92</f>
        <v>Pâtisserie-entremet.F.Feuilles de meringue</v>
      </c>
      <c r="N90" s="40">
        <f>N92</f>
        <v>18</v>
      </c>
      <c r="O90" s="40" t="str">
        <f>O92</f>
        <v>assiettes</v>
      </c>
      <c r="P90" s="40" t="str">
        <f>P92</f>
        <v>Recette mère ► MILLE-FEUILLE meringue et chiboust pamplemousse aux fraises des bois</v>
      </c>
      <c r="Q90" s="5238">
        <v>18</v>
      </c>
      <c r="R90" s="5832" t="s">
        <v>157</v>
      </c>
      <c r="S90" s="333"/>
      <c r="T90" s="333"/>
      <c r="U90" s="6901"/>
      <c r="V90" s="6901"/>
      <c r="W90" s="6901"/>
      <c r="X90" s="6225"/>
      <c r="Y90" s="5239"/>
      <c r="Z90" s="141"/>
      <c r="AA90" s="141"/>
      <c r="AB90" s="409"/>
      <c r="AC90" s="5817" t="s">
        <v>21</v>
      </c>
      <c r="AD90" s="5833"/>
      <c r="AE90" s="5834"/>
      <c r="AF90" s="5834"/>
      <c r="AG90" s="5834"/>
      <c r="AH90" s="5834"/>
      <c r="AI90" s="5834"/>
      <c r="AJ90" s="5834"/>
      <c r="AK90" s="7367">
        <f>AR86</f>
        <v>0.82500000000000018</v>
      </c>
      <c r="AL90" s="7367"/>
      <c r="AM90" s="7367"/>
      <c r="AN90" s="6864"/>
      <c r="AO90" s="7368">
        <f>AQ10</f>
        <v>45</v>
      </c>
      <c r="AP90" s="7369" t="str">
        <f>AR10</f>
        <v>assiettes</v>
      </c>
      <c r="AQ90" s="7369"/>
      <c r="AR90" s="7370"/>
      <c r="AS90" s="7383"/>
      <c r="AT90" s="4"/>
      <c r="AU90" s="4"/>
      <c r="AV90" s="4"/>
      <c r="AW90" s="5818" t="str">
        <f t="shared" si="12"/>
        <v>A</v>
      </c>
      <c r="AX90" s="5950"/>
      <c r="AY90" s="5950"/>
      <c r="AZ90" s="5950"/>
      <c r="BA90" s="5950"/>
      <c r="BB90" s="5950"/>
      <c r="BC90" s="5661"/>
      <c r="BD90"/>
      <c r="BE90"/>
      <c r="BF90"/>
      <c r="BG90"/>
      <c r="BH90"/>
      <c r="BI90"/>
      <c r="BJ90"/>
      <c r="BL90" s="1160"/>
      <c r="BM90" s="141"/>
      <c r="BN90" s="141"/>
      <c r="BO90" s="141"/>
      <c r="BP90" s="141"/>
      <c r="BQ90" s="141"/>
      <c r="BR90" s="409"/>
      <c r="BX90" s="5">
        <v>1</v>
      </c>
    </row>
    <row r="91" spans="1:76" s="1" customFormat="1" ht="21" customHeight="1">
      <c r="A91" s="5641" t="s">
        <v>1</v>
      </c>
      <c r="B91" s="5662" t="str">
        <f t="shared" si="22"/>
        <v>►</v>
      </c>
      <c r="C91" s="5825" cm="1">
        <f t="array" ref="C91">SUMPRODUCT(LEN(D91:J91))</f>
        <v>0</v>
      </c>
      <c r="D91" s="5275"/>
      <c r="E91" s="1361"/>
      <c r="F91" s="1361"/>
      <c r="G91" s="1361"/>
      <c r="H91" s="1361"/>
      <c r="I91" s="1361"/>
      <c r="J91" s="5276"/>
      <c r="K91" s="106" t="s">
        <v>1</v>
      </c>
      <c r="L91" s="1018" t="s">
        <v>26</v>
      </c>
      <c r="M91" s="41" t="str">
        <f>M92</f>
        <v>Pâtisserie-entremet.F.Feuilles de meringue</v>
      </c>
      <c r="N91" s="40">
        <f>N92</f>
        <v>18</v>
      </c>
      <c r="O91" s="40" t="str">
        <f>O92</f>
        <v>assiettes</v>
      </c>
      <c r="P91" s="40" t="str">
        <f>P92</f>
        <v>Recette mère ► MILLE-FEUILLE meringue et chiboust pamplemousse aux fraises des bois</v>
      </c>
      <c r="Q91" s="327" t="s">
        <v>8577</v>
      </c>
      <c r="R91" s="326"/>
      <c r="S91" s="326"/>
      <c r="T91" s="326"/>
      <c r="U91" s="326"/>
      <c r="V91" s="326"/>
      <c r="W91" s="5240"/>
      <c r="X91" s="8498"/>
      <c r="Y91"/>
      <c r="Z91" s="5241" t="s">
        <v>944</v>
      </c>
      <c r="AA91" s="5844">
        <v>18</v>
      </c>
      <c r="AB91" s="5242" t="s">
        <v>73</v>
      </c>
      <c r="AC91" s="5817" t="s">
        <v>21</v>
      </c>
      <c r="AD91" s="5845"/>
      <c r="AE91" s="5846"/>
      <c r="AF91" s="5846"/>
      <c r="AG91" s="5846"/>
      <c r="AH91" s="5846"/>
      <c r="AI91" s="5846"/>
      <c r="AJ91" s="5846"/>
      <c r="AK91" s="7367"/>
      <c r="AL91" s="7367"/>
      <c r="AM91" s="7367"/>
      <c r="AN91" s="6864"/>
      <c r="AO91" s="7368"/>
      <c r="AP91" s="7369"/>
      <c r="AQ91" s="7369"/>
      <c r="AR91" s="7370"/>
      <c r="AS91" s="7383"/>
      <c r="AT91" s="4"/>
      <c r="AU91" s="4"/>
      <c r="AV91" s="4"/>
      <c r="AW91" s="5818" t="str">
        <f t="shared" si="12"/>
        <v>A</v>
      </c>
      <c r="AX91" s="5950"/>
      <c r="AY91" s="5950"/>
      <c r="AZ91" s="5950"/>
      <c r="BA91" s="5950"/>
      <c r="BB91" s="5950"/>
      <c r="BC91" s="5661"/>
      <c r="BD91"/>
      <c r="BE91"/>
      <c r="BF91"/>
      <c r="BG91"/>
      <c r="BH91"/>
      <c r="BI91"/>
      <c r="BJ91"/>
      <c r="BL91" s="1160"/>
      <c r="BM91" s="141"/>
      <c r="BN91" s="141"/>
      <c r="BO91" s="141"/>
      <c r="BP91" s="141"/>
      <c r="BQ91" s="141"/>
      <c r="BR91" s="409"/>
      <c r="BX91" s="5">
        <v>1</v>
      </c>
    </row>
    <row r="92" spans="1:76" s="1" customFormat="1" ht="21" customHeight="1" thickBot="1">
      <c r="A92" s="5641" t="s">
        <v>1</v>
      </c>
      <c r="B92" s="5662" t="str">
        <f t="shared" si="22"/>
        <v>►</v>
      </c>
      <c r="C92" s="5825" cm="1">
        <f t="array" ref="C92">SUMPRODUCT(LEN(D92:J92))</f>
        <v>0</v>
      </c>
      <c r="D92" s="5275"/>
      <c r="E92" s="1361"/>
      <c r="F92" s="1361"/>
      <c r="G92" s="1361"/>
      <c r="H92" s="1361"/>
      <c r="I92" s="1361"/>
      <c r="J92" s="5276"/>
      <c r="K92" s="106" t="s">
        <v>1</v>
      </c>
      <c r="L92" s="5243" t="s">
        <v>26</v>
      </c>
      <c r="M92" s="5849" t="str">
        <f>Q92</f>
        <v>Pâtisserie-entremet.F.Feuilles de meringue</v>
      </c>
      <c r="N92" s="5115">
        <f>Q90</f>
        <v>18</v>
      </c>
      <c r="O92" s="5115" t="str">
        <f>R90</f>
        <v>assiettes</v>
      </c>
      <c r="P92" s="5850" t="str">
        <f>V92&amp;" "&amp;W92</f>
        <v>Recette mère ► MILLE-FEUILLE meringue et chiboust pamplemousse aux fraises des bois</v>
      </c>
      <c r="Q92" s="5116" t="str">
        <f>UPPER(LEFT(Z86,1))&amp;LOWER(MID(Z86,2,999))&amp;"."&amp;UPPER(LEFT(T86,1))&amp;"."&amp;UPPER(LEFT(T86,1))&amp;LOWER(MID(T86,2,999))</f>
        <v>Pâtisserie-entremet.F.Feuilles de meringue</v>
      </c>
      <c r="R92" s="5117" t="s">
        <v>223</v>
      </c>
      <c r="S92" s="6903" t="s">
        <v>222</v>
      </c>
      <c r="T92" s="6903"/>
      <c r="U92" s="6903"/>
      <c r="V92" s="5119" t="s">
        <v>221</v>
      </c>
      <c r="W92" s="316" t="s">
        <v>919</v>
      </c>
      <c r="X92" s="8499"/>
      <c r="Y92" s="141"/>
      <c r="Z92" s="141"/>
      <c r="AA92" s="141"/>
      <c r="AB92" s="409"/>
      <c r="AC92" s="5817" t="s">
        <v>21</v>
      </c>
      <c r="AD92" s="5845"/>
      <c r="AE92" s="5846"/>
      <c r="AF92" s="7358">
        <f>AK21</f>
        <v>0.82500000000000018</v>
      </c>
      <c r="AG92" s="7358"/>
      <c r="AH92" s="7358"/>
      <c r="AI92" s="5851"/>
      <c r="AJ92" s="6014"/>
      <c r="AK92" s="5852"/>
      <c r="AL92" s="5853"/>
      <c r="AM92" s="5854" t="str">
        <f>IF(AF92&gt;0," avec Poids prévu ④ " &amp; AO90 &amp; " " &amp; AP90 &amp; " de","")</f>
        <v xml:space="preserve"> avec Poids prévu ④ 45 assiettes de</v>
      </c>
      <c r="AN92" s="5854"/>
      <c r="AO92" s="5855">
        <f>AF92/AO90*1000</f>
        <v>18.333333333333336</v>
      </c>
      <c r="AP92" s="5856"/>
      <c r="AQ92" s="5856"/>
      <c r="AR92" s="5831"/>
      <c r="AS92" s="7383"/>
      <c r="AT92" s="4"/>
      <c r="AU92" s="4"/>
      <c r="AV92" s="4"/>
      <c r="AW92" s="5818" t="str">
        <f t="shared" si="12"/>
        <v>A</v>
      </c>
      <c r="AX92" s="5950"/>
      <c r="AY92" s="5950"/>
      <c r="AZ92" s="5950"/>
      <c r="BA92" s="5950"/>
      <c r="BB92" s="5950"/>
      <c r="BC92" s="5661"/>
      <c r="BD92"/>
      <c r="BE92"/>
      <c r="BF92"/>
      <c r="BG92"/>
      <c r="BH92"/>
      <c r="BI92"/>
      <c r="BJ92"/>
      <c r="BL92" s="1160"/>
      <c r="BM92" s="141"/>
      <c r="BN92" s="141"/>
      <c r="BO92" s="141"/>
      <c r="BP92" s="141"/>
      <c r="BQ92" s="141"/>
      <c r="BR92" s="409"/>
      <c r="BX92" s="5">
        <v>1</v>
      </c>
    </row>
    <row r="93" spans="1:76" s="1" customFormat="1" ht="21" customHeight="1" thickTop="1" thickBot="1">
      <c r="A93" s="5641" t="s">
        <v>1</v>
      </c>
      <c r="B93" s="5662" t="str">
        <f t="shared" si="22"/>
        <v>►</v>
      </c>
      <c r="C93" s="5825" cm="1">
        <f t="array" ref="C93">SUMPRODUCT(LEN(D93:J93))</f>
        <v>0</v>
      </c>
      <c r="D93" s="5275"/>
      <c r="E93" s="1361"/>
      <c r="F93" s="1361"/>
      <c r="G93" s="1361"/>
      <c r="H93" s="1361"/>
      <c r="I93" s="1361"/>
      <c r="J93" s="5276"/>
      <c r="K93" s="106" t="s">
        <v>1</v>
      </c>
      <c r="L93" s="1017" t="s">
        <v>26</v>
      </c>
      <c r="M93" s="312" t="str">
        <f>M92</f>
        <v>Pâtisserie-entremet.F.Feuilles de meringue</v>
      </c>
      <c r="N93" s="311"/>
      <c r="O93" s="311"/>
      <c r="P93" s="311" t="str">
        <f>P92</f>
        <v>Recette mère ► MILLE-FEUILLE meringue et chiboust pamplemousse aux fraises des bois</v>
      </c>
      <c r="Q93" s="310" t="s">
        <v>218</v>
      </c>
      <c r="R93" s="310" t="s">
        <v>217</v>
      </c>
      <c r="S93" s="310" t="s">
        <v>216</v>
      </c>
      <c r="T93" s="310" t="s">
        <v>215</v>
      </c>
      <c r="U93" s="309" t="s">
        <v>214</v>
      </c>
      <c r="V93" s="308" t="s">
        <v>83</v>
      </c>
      <c r="W93" s="5244" t="s">
        <v>213</v>
      </c>
      <c r="X93" s="5244" t="s">
        <v>212</v>
      </c>
      <c r="Y93" s="5245" t="s">
        <v>211</v>
      </c>
      <c r="Z93" s="1100" t="s">
        <v>210</v>
      </c>
      <c r="AA93" s="1100" t="s">
        <v>7928</v>
      </c>
      <c r="AB93" s="5246" t="s">
        <v>208</v>
      </c>
      <c r="AC93" s="5817" t="s">
        <v>21</v>
      </c>
      <c r="AD93" s="5845"/>
      <c r="AE93" s="5846"/>
      <c r="AF93" s="7359">
        <f>AM21</f>
        <v>0</v>
      </c>
      <c r="AG93" s="7359"/>
      <c r="AH93" s="7359"/>
      <c r="AI93" s="5859"/>
      <c r="AJ93" s="6015"/>
      <c r="AK93" s="5861"/>
      <c r="AL93" s="5862"/>
      <c r="AM93" s="5863" t="str">
        <f>IF(AF93&gt;0," avec poids modifié ❻ " &amp; AO90 &amp; " " &amp; AP90 &amp; " de","")</f>
        <v/>
      </c>
      <c r="AN93" s="5863"/>
      <c r="AO93" s="5864">
        <f>AF93/AO90*1000</f>
        <v>0</v>
      </c>
      <c r="AP93" s="5856"/>
      <c r="AQ93" s="5856"/>
      <c r="AR93" s="5865"/>
      <c r="AS93" s="7383"/>
      <c r="AT93" s="4"/>
      <c r="AU93" s="4"/>
      <c r="AV93" s="4"/>
      <c r="AW93" s="5818" t="str">
        <f t="shared" si="12"/>
        <v>A</v>
      </c>
      <c r="AX93" s="5950"/>
      <c r="AY93" s="5950"/>
      <c r="AZ93" s="5950"/>
      <c r="BA93" s="5950"/>
      <c r="BB93" s="5950"/>
      <c r="BC93" s="5661"/>
      <c r="BD93"/>
      <c r="BE93"/>
      <c r="BF93"/>
      <c r="BG93"/>
      <c r="BH93"/>
      <c r="BI93"/>
      <c r="BJ93"/>
      <c r="BL93" s="1160"/>
      <c r="BM93" s="141"/>
      <c r="BN93" s="141"/>
      <c r="BO93" s="141"/>
      <c r="BP93" s="141"/>
      <c r="BQ93" s="141"/>
      <c r="BR93" s="409"/>
      <c r="BX93" s="5">
        <v>1</v>
      </c>
    </row>
    <row r="94" spans="1:76" s="1" customFormat="1" ht="21" customHeight="1" thickTop="1" thickBot="1">
      <c r="A94" s="5641" t="s">
        <v>1</v>
      </c>
      <c r="B94" s="5662" t="str">
        <f t="shared" si="22"/>
        <v>A</v>
      </c>
      <c r="C94" s="5825" cm="1">
        <f t="array" ref="C94">SUMPRODUCT(LEN(D94:J94))</f>
        <v>0</v>
      </c>
      <c r="D94" s="5275"/>
      <c r="E94" s="1361"/>
      <c r="F94" s="1361"/>
      <c r="G94" s="1361"/>
      <c r="H94" s="1361"/>
      <c r="I94" s="1361"/>
      <c r="J94" s="5276"/>
      <c r="K94" s="106" t="s">
        <v>1</v>
      </c>
      <c r="L94" s="1018" t="s">
        <v>21</v>
      </c>
      <c r="M94" s="41" t="str">
        <f>M92</f>
        <v>Pâtisserie-entremet.F.Feuilles de meringue</v>
      </c>
      <c r="N94" s="40">
        <f>N92</f>
        <v>18</v>
      </c>
      <c r="O94" s="40" t="str">
        <f>O92</f>
        <v>assiettes</v>
      </c>
      <c r="P94" s="40" t="str">
        <f>P92</f>
        <v>Recette mère ► MILLE-FEUILLE meringue et chiboust pamplemousse aux fraises des bois</v>
      </c>
      <c r="Q94" s="5247" t="s">
        <v>198</v>
      </c>
      <c r="R94" s="298" t="s">
        <v>197</v>
      </c>
      <c r="S94" s="297"/>
      <c r="T94" s="6904" t="s">
        <v>196</v>
      </c>
      <c r="U94" s="6906" t="s">
        <v>195</v>
      </c>
      <c r="V94" s="7360" t="s">
        <v>82</v>
      </c>
      <c r="W94" s="5248" t="s">
        <v>194</v>
      </c>
      <c r="X94" s="6869" t="s">
        <v>11041</v>
      </c>
      <c r="Y94" s="7361" t="s">
        <v>929</v>
      </c>
      <c r="Z94" s="6965" t="s">
        <v>191</v>
      </c>
      <c r="AA94" s="6965" t="s">
        <v>8009</v>
      </c>
      <c r="AB94" s="7374" t="s">
        <v>8010</v>
      </c>
      <c r="AC94" s="5817" t="s">
        <v>21</v>
      </c>
      <c r="AD94" s="5866"/>
      <c r="AE94" s="5867" t="s">
        <v>8513</v>
      </c>
      <c r="AF94" s="5868"/>
      <c r="AG94" s="5869"/>
      <c r="AH94" s="5869"/>
      <c r="AI94" s="5869"/>
      <c r="AJ94" s="5869"/>
      <c r="AK94" s="5869"/>
      <c r="AL94" s="5869"/>
      <c r="AM94" s="5869"/>
      <c r="AN94" s="5869"/>
      <c r="AO94" s="5869"/>
      <c r="AP94" s="5869"/>
      <c r="AQ94" s="7375" t="s">
        <v>8010</v>
      </c>
      <c r="AR94" s="5870"/>
      <c r="AS94" s="7383"/>
      <c r="AT94" s="4"/>
      <c r="AU94" s="4"/>
      <c r="AV94" s="4"/>
      <c r="AW94" s="5818" t="str">
        <f t="shared" si="12"/>
        <v>A</v>
      </c>
      <c r="AX94" s="5950"/>
      <c r="AY94" s="5950"/>
      <c r="AZ94" s="5950"/>
      <c r="BA94" s="5950"/>
      <c r="BB94" s="5950"/>
      <c r="BC94" s="5661"/>
      <c r="BD94"/>
      <c r="BE94"/>
      <c r="BF94"/>
      <c r="BG94"/>
      <c r="BH94"/>
      <c r="BI94"/>
      <c r="BJ94"/>
      <c r="BL94" s="1079"/>
      <c r="BM94" s="1080"/>
      <c r="BN94" s="1081"/>
      <c r="BO94" s="1080"/>
      <c r="BP94" s="1080"/>
      <c r="BQ94" s="1080"/>
      <c r="BR94" s="1082"/>
      <c r="BX94" s="5">
        <v>1</v>
      </c>
    </row>
    <row r="95" spans="1:76" s="1" customFormat="1" ht="21" customHeight="1" thickTop="1">
      <c r="A95" s="5641" t="s">
        <v>1</v>
      </c>
      <c r="B95" s="5662" t="str">
        <f t="shared" si="22"/>
        <v>A</v>
      </c>
      <c r="C95" s="5825" cm="1">
        <f t="array" ref="C95">SUMPRODUCT(LEN(D95:J95))</f>
        <v>0</v>
      </c>
      <c r="D95" s="5275"/>
      <c r="E95" s="1361"/>
      <c r="F95" s="1361"/>
      <c r="G95" s="1361"/>
      <c r="H95" s="1361"/>
      <c r="I95" s="1361"/>
      <c r="J95" s="5276"/>
      <c r="K95" s="106" t="s">
        <v>1</v>
      </c>
      <c r="L95" s="1018" t="s">
        <v>21</v>
      </c>
      <c r="M95" s="41" t="str">
        <f>M92</f>
        <v>Pâtisserie-entremet.F.Feuilles de meringue</v>
      </c>
      <c r="N95" s="40">
        <f>N92</f>
        <v>18</v>
      </c>
      <c r="O95" s="40" t="str">
        <f>O92</f>
        <v>assiettes</v>
      </c>
      <c r="P95" s="40" t="str">
        <f>P92</f>
        <v>Recette mère ► MILLE-FEUILLE meringue et chiboust pamplemousse aux fraises des bois</v>
      </c>
      <c r="Q95" s="5249" t="s">
        <v>184</v>
      </c>
      <c r="R95" s="286" t="s">
        <v>162</v>
      </c>
      <c r="S95" s="285" t="s">
        <v>186</v>
      </c>
      <c r="T95" s="6905"/>
      <c r="U95" s="6907"/>
      <c r="V95" s="6923"/>
      <c r="W95" s="5250" t="s">
        <v>185</v>
      </c>
      <c r="X95" s="6870" t="s">
        <v>255</v>
      </c>
      <c r="Y95" s="7362"/>
      <c r="Z95" s="6891"/>
      <c r="AA95" s="6891"/>
      <c r="AB95" s="6895"/>
      <c r="AC95" s="5817" t="s">
        <v>21</v>
      </c>
      <c r="AD95" s="5872">
        <v>1</v>
      </c>
      <c r="AE95" s="5873" t="s">
        <v>191</v>
      </c>
      <c r="AF95" s="5874"/>
      <c r="AG95" s="5875"/>
      <c r="AH95" s="5875"/>
      <c r="AI95" s="5875"/>
      <c r="AJ95" s="5875"/>
      <c r="AK95" s="5876" t="s">
        <v>191</v>
      </c>
      <c r="AL95" s="5875"/>
      <c r="AM95" s="5877" t="s">
        <v>8520</v>
      </c>
      <c r="AN95" s="5877" t="s">
        <v>11041</v>
      </c>
      <c r="AO95" s="5875"/>
      <c r="AP95" s="5875" t="s">
        <v>8521</v>
      </c>
      <c r="AQ95" s="7376"/>
      <c r="AR95" s="5878" t="s">
        <v>8522</v>
      </c>
      <c r="AS95" s="7383"/>
      <c r="AT95" s="4"/>
      <c r="AU95" s="4"/>
      <c r="AV95" s="4"/>
      <c r="AW95" s="5818" t="str">
        <f t="shared" si="12"/>
        <v>A</v>
      </c>
      <c r="AX95" s="5950"/>
      <c r="AY95" s="5950"/>
      <c r="AZ95" s="5950"/>
      <c r="BA95" s="5950"/>
      <c r="BB95" s="5950"/>
      <c r="BC95" s="5661"/>
      <c r="BD95"/>
      <c r="BE95"/>
      <c r="BF95"/>
      <c r="BG95"/>
      <c r="BH95"/>
      <c r="BI95"/>
      <c r="BJ95"/>
      <c r="BL95" s="1083"/>
      <c r="BM95" s="6016" t="s">
        <v>191</v>
      </c>
      <c r="BN95" s="6017" t="s">
        <v>783</v>
      </c>
      <c r="BO95" s="147"/>
      <c r="BP95" s="141"/>
      <c r="BQ95" s="147"/>
      <c r="BR95" s="609"/>
      <c r="BX95" s="5">
        <v>1</v>
      </c>
    </row>
    <row r="96" spans="1:76" s="1" customFormat="1" ht="21" customHeight="1">
      <c r="A96" s="5641" t="s">
        <v>1</v>
      </c>
      <c r="B96" s="5662" t="str">
        <f t="shared" si="22"/>
        <v>A</v>
      </c>
      <c r="C96" s="5825" cm="1">
        <f t="array" ref="C96">SUMPRODUCT(LEN(D96:J96))</f>
        <v>0</v>
      </c>
      <c r="D96" s="5275"/>
      <c r="E96" s="1361"/>
      <c r="F96" s="1361"/>
      <c r="G96" s="1361"/>
      <c r="H96" s="1361"/>
      <c r="I96" s="1361"/>
      <c r="J96" s="5276"/>
      <c r="K96" s="106" t="s">
        <v>1</v>
      </c>
      <c r="L96" s="1018" t="s">
        <v>21</v>
      </c>
      <c r="M96" s="41" t="str">
        <f>M92</f>
        <v>Pâtisserie-entremet.F.Feuilles de meringue</v>
      </c>
      <c r="N96" s="40">
        <f>N92</f>
        <v>18</v>
      </c>
      <c r="O96" s="40" t="str">
        <f>O92</f>
        <v>assiettes</v>
      </c>
      <c r="P96" s="40" t="str">
        <f>P92</f>
        <v>Recette mère ► MILLE-FEUILLE meringue et chiboust pamplemousse aux fraises des bois</v>
      </c>
      <c r="Q96" s="213"/>
      <c r="R96" s="256"/>
      <c r="S96" s="211" t="str">
        <f t="shared" ref="S96:S109" si="25">IF(OR(ISTEXT(Q96), Q96&lt;=0, T96&lt;=0), "", "de")</f>
        <v/>
      </c>
      <c r="T96" s="210">
        <v>100</v>
      </c>
      <c r="U96" s="5124" t="s">
        <v>130</v>
      </c>
      <c r="V96" s="5576">
        <v>1</v>
      </c>
      <c r="W96" s="6866" t="s">
        <v>11066</v>
      </c>
      <c r="X96" s="6871" t="s">
        <v>11051</v>
      </c>
      <c r="Y96" s="5882">
        <f>IFERROR(IFERROR(INDEX(Q112:AB112,MATCH(U96,Q111:AB111,0)),INDEX(Q114:AB114,MATCH(U96,Q113:AB113,0))) * T96 * IF(ISBLANK(Q96), 1, Q96), 0)</f>
        <v>0.1</v>
      </c>
      <c r="Z96" s="5251">
        <f>(Q96/AA91)*AA89*V96</f>
        <v>0</v>
      </c>
      <c r="AA96" s="5252">
        <f>IF(ISBLANK(AA91), 0, (Y96 * V96) * (AA89 / AA91))</f>
        <v>0.55555555555555558</v>
      </c>
      <c r="AB96" s="5253" t="str">
        <f>IF(COUNTIF(Q111:AB111,U96)&gt;0,IF(ROUND(AA96,3)&gt;=1,ROUND(AA96,3)&amp;" L",ROUND(AA96*100,0)&amp;" cl"),IF(COUNTIF(Q113:AB113,U96)&gt;0,IF(ROUND(AA96,3)&gt;=1,ROUND(AA96,3)&amp;" Kg",ROUND(AA96*1000,0)&amp;" g"),""))</f>
        <v>556 g</v>
      </c>
      <c r="AC96" s="5817" t="str">
        <f>IF(AD96&gt;0,"A","►")</f>
        <v>A</v>
      </c>
      <c r="AD96" s="5883">
        <f>IF(Y110=0,0,Y96*AD95*1000/Y110)</f>
        <v>303.03030303030295</v>
      </c>
      <c r="AE96" s="5884">
        <f>IF(ISNUMBER(Q96),Q96*AD95/Y110,0)</f>
        <v>0</v>
      </c>
      <c r="AF96" s="5885"/>
      <c r="AG96" s="5886"/>
      <c r="AH96" s="5886"/>
      <c r="AI96" s="5886"/>
      <c r="AJ96" s="5899" t="str">
        <f>W96</f>
        <v>blancs d'œufs*</v>
      </c>
      <c r="AK96" s="5888">
        <f>IF(OR(ISTEXT(Q96),Y110=0),0,Q96*AR88)</f>
        <v>0</v>
      </c>
      <c r="AL96" s="5886"/>
      <c r="AM96" s="5889">
        <f t="shared" ref="AM96:AM109" si="26">R96</f>
        <v>0</v>
      </c>
      <c r="AN96" s="8558" t="str">
        <f>X96</f>
        <v>⚠ Oeufs</v>
      </c>
      <c r="AO96" s="5886"/>
      <c r="AP96" s="5890">
        <f>IF(Y96=0,0,Y96*AR88)</f>
        <v>0.25</v>
      </c>
      <c r="AQ96" s="5891" t="str">
        <f>IF(COUNTIF(AD111:AD121,U96)&gt;0,IF(ROUND(AP96,3)&gt;=1,ROUND(AP96,3)&amp;" L",ROUND(AP96*100,0)&amp;" cl"),IF(COUNTIF(AD122:AD132,U96)&gt;0,IF(ROUND(AP96,3)&gt;=1,ROUND(AP96,3)&amp;" Kg",ROUND(AP96*1000,0)&amp;" g"),""))</f>
        <v>250 g</v>
      </c>
      <c r="AR96" s="5892" t="str">
        <f t="shared" ref="AR96:AR109" si="27">W96</f>
        <v>blancs d'œufs*</v>
      </c>
      <c r="AS96" s="7383"/>
      <c r="AT96" s="4"/>
      <c r="AU96" s="4"/>
      <c r="AV96" s="4"/>
      <c r="AW96" s="5818" t="str">
        <f t="shared" si="12"/>
        <v>A</v>
      </c>
      <c r="AX96" s="5950"/>
      <c r="AY96" s="5950"/>
      <c r="AZ96" s="5950"/>
      <c r="BA96" s="5950"/>
      <c r="BB96" s="5950"/>
      <c r="BC96" s="5661"/>
      <c r="BD96"/>
      <c r="BE96"/>
      <c r="BF96"/>
      <c r="BG96"/>
      <c r="BH96"/>
      <c r="BI96"/>
      <c r="BJ96"/>
      <c r="BL96" s="1083"/>
      <c r="BM96" s="6018" t="s">
        <v>8578</v>
      </c>
      <c r="BN96" s="6019">
        <v>1</v>
      </c>
      <c r="BO96" s="147"/>
      <c r="BP96" s="141"/>
      <c r="BQ96" s="147"/>
      <c r="BR96" s="609"/>
      <c r="BX96" s="5">
        <v>1</v>
      </c>
    </row>
    <row r="97" spans="1:76" s="1" customFormat="1" ht="21" customHeight="1">
      <c r="A97" s="5641" t="s">
        <v>1</v>
      </c>
      <c r="B97" s="5662" t="str">
        <f t="shared" si="22"/>
        <v>A</v>
      </c>
      <c r="C97" s="5825" cm="1">
        <f t="array" ref="C97">SUMPRODUCT(LEN(D97:J97))</f>
        <v>0</v>
      </c>
      <c r="D97" s="5275"/>
      <c r="E97" s="1361"/>
      <c r="F97" s="1361"/>
      <c r="G97" s="1361"/>
      <c r="H97" s="1361"/>
      <c r="I97" s="1361"/>
      <c r="J97" s="5276"/>
      <c r="K97" s="106" t="s">
        <v>1</v>
      </c>
      <c r="L97" s="1021" t="str">
        <f t="shared" ref="L97:L109" si="28">IF(W97&lt;&gt;"","A","►")</f>
        <v>A</v>
      </c>
      <c r="M97" s="41" t="str">
        <f>M92</f>
        <v>Pâtisserie-entremet.F.Feuilles de meringue</v>
      </c>
      <c r="N97" s="40">
        <f>N92</f>
        <v>18</v>
      </c>
      <c r="O97" s="40" t="str">
        <f>O92</f>
        <v>assiettes</v>
      </c>
      <c r="P97" s="40" t="str">
        <f>P92</f>
        <v>Recette mère ► MILLE-FEUILLE meringue et chiboust pamplemousse aux fraises des bois</v>
      </c>
      <c r="Q97" s="213"/>
      <c r="R97" s="256"/>
      <c r="S97" s="211" t="str">
        <f t="shared" si="25"/>
        <v/>
      </c>
      <c r="T97" s="210">
        <v>100</v>
      </c>
      <c r="U97" s="5124" t="s">
        <v>130</v>
      </c>
      <c r="V97" s="5576">
        <v>1</v>
      </c>
      <c r="W97" s="6866" t="s">
        <v>8579</v>
      </c>
      <c r="X97" s="6872" t="s">
        <v>856</v>
      </c>
      <c r="Y97" s="5882">
        <f>IFERROR(IFERROR(INDEX(Q112:AB112,MATCH(U97,Q111:AB111,0)),INDEX(Q114:AB114,MATCH(U97,Q113:AB113,0))) * T97 * IF(ISBLANK(Q97), 1, Q97), 0)</f>
        <v>0.1</v>
      </c>
      <c r="Z97" s="5254">
        <f>(Q97/AA91)*AA89*V97</f>
        <v>0</v>
      </c>
      <c r="AA97" s="5252">
        <f>IF(ISBLANK(AA91), 0, (Y97 * V97) * (AA89 / AA91))</f>
        <v>0.55555555555555558</v>
      </c>
      <c r="AB97" s="5255" t="str">
        <f>IF(COUNTIF(Q111:AB111,U97)&gt;0,IF(ROUND(AA97,3)&gt;=1,ROUND(AA97,3)&amp;" L",ROUND(AA97*100,0)&amp;" cl"),IF(COUNTIF(Q113:AB113,U97)&gt;0,IF(ROUND(AA97,3)&gt;=1,ROUND(AA97,3)&amp;" Kg",ROUND(AA97*1000,0)&amp;" g"),""))</f>
        <v>556 g</v>
      </c>
      <c r="AC97" s="5817" t="str">
        <f t="shared" ref="AC97:AC110" si="29">IF(AD97&gt;0,"A","►")</f>
        <v>A</v>
      </c>
      <c r="AD97" s="5883">
        <f>IF(Y110=0,0,Y97*AD95*1000/Y110)</f>
        <v>303.03030303030295</v>
      </c>
      <c r="AE97" s="5884">
        <f>IF(ISNUMBER(Q97),Q97*AD95/Y110,0)</f>
        <v>0</v>
      </c>
      <c r="AF97" s="5894"/>
      <c r="AG97" s="5804"/>
      <c r="AH97" s="5804"/>
      <c r="AI97" s="5804"/>
      <c r="AJ97" s="5902" t="str">
        <f t="shared" ref="AJ97:AJ109" si="30">W97</f>
        <v>sucre cristalisé</v>
      </c>
      <c r="AK97" s="5896">
        <f>IF(OR(ISTEXT(Q97),Y110=0),0,Q97*AR88)</f>
        <v>0</v>
      </c>
      <c r="AL97" s="5804"/>
      <c r="AM97" s="5805">
        <f t="shared" si="26"/>
        <v>0</v>
      </c>
      <c r="AN97" s="5805" t="str">
        <f t="shared" ref="AN97:AN109" si="31">X97</f>
        <v/>
      </c>
      <c r="AO97" s="5804"/>
      <c r="AP97" s="5788">
        <f>IF(Y97=0,0,Y97*AR88)</f>
        <v>0.25</v>
      </c>
      <c r="AQ97" s="5897" t="str">
        <f>IF(COUNTIF(AD111:AD121,U97)&gt;0,IF(ROUND(AP97,3)&gt;=1,ROUND(AP97,3)&amp;" L",ROUND(AP97*100,0)&amp;" cl"),IF(COUNTIF(AD122:AD132,U97)&gt;0,IF(ROUND(AP97,3)&gt;=1,ROUND(AP97,3)&amp;" Kg",ROUND(AP97*1000,0)&amp;" g"),""))</f>
        <v>250 g</v>
      </c>
      <c r="AR97" s="5898" t="str">
        <f t="shared" si="27"/>
        <v>sucre cristalisé</v>
      </c>
      <c r="AS97" s="7383"/>
      <c r="AT97" s="4"/>
      <c r="AU97" s="4"/>
      <c r="AV97" s="4"/>
      <c r="AW97" s="5818" t="str">
        <f t="shared" si="12"/>
        <v>A</v>
      </c>
      <c r="AX97" s="5950"/>
      <c r="AY97" s="5950"/>
      <c r="AZ97" s="5950"/>
      <c r="BA97" s="5950"/>
      <c r="BB97" s="5950"/>
      <c r="BC97" s="5661"/>
      <c r="BD97"/>
      <c r="BE97"/>
      <c r="BF97"/>
      <c r="BG97"/>
      <c r="BH97"/>
      <c r="BI97"/>
      <c r="BJ97"/>
      <c r="BL97" s="1083"/>
      <c r="BM97" s="478" t="s">
        <v>8580</v>
      </c>
      <c r="BN97" s="141"/>
      <c r="BO97" s="141"/>
      <c r="BP97" s="141"/>
      <c r="BQ97" s="147"/>
      <c r="BR97" s="609"/>
      <c r="BX97" s="5">
        <v>1</v>
      </c>
    </row>
    <row r="98" spans="1:76" s="1" customFormat="1" ht="21" customHeight="1">
      <c r="A98" s="5641" t="s">
        <v>1</v>
      </c>
      <c r="B98" s="5662" t="str">
        <f t="shared" si="22"/>
        <v>A</v>
      </c>
      <c r="C98" s="5825" cm="1">
        <f t="array" ref="C98">SUMPRODUCT(LEN(D98:J98))</f>
        <v>0</v>
      </c>
      <c r="D98" s="5275"/>
      <c r="E98" s="1361"/>
      <c r="F98" s="1361"/>
      <c r="G98" s="1361"/>
      <c r="H98" s="1361"/>
      <c r="I98" s="1361"/>
      <c r="J98" s="5276"/>
      <c r="K98" s="106" t="s">
        <v>1</v>
      </c>
      <c r="L98" s="1021" t="str">
        <f t="shared" si="28"/>
        <v>A</v>
      </c>
      <c r="M98" s="41" t="str">
        <f>M92</f>
        <v>Pâtisserie-entremet.F.Feuilles de meringue</v>
      </c>
      <c r="N98" s="40">
        <f>N92</f>
        <v>18</v>
      </c>
      <c r="O98" s="40" t="str">
        <f>O92</f>
        <v>assiettes</v>
      </c>
      <c r="P98" s="40" t="str">
        <f>P92</f>
        <v>Recette mère ► MILLE-FEUILLE meringue et chiboust pamplemousse aux fraises des bois</v>
      </c>
      <c r="Q98" s="213"/>
      <c r="R98" s="212"/>
      <c r="S98" s="211" t="str">
        <f t="shared" si="25"/>
        <v/>
      </c>
      <c r="T98" s="210">
        <v>100</v>
      </c>
      <c r="U98" s="5124" t="s">
        <v>130</v>
      </c>
      <c r="V98" s="5576">
        <v>1</v>
      </c>
      <c r="W98" s="6866" t="s">
        <v>8581</v>
      </c>
      <c r="X98" s="6871" t="s">
        <v>856</v>
      </c>
      <c r="Y98" s="5882">
        <f>IFERROR(IFERROR(INDEX(Q112:AB112,MATCH(U98,Q111:AB111,0)),INDEX(Q114:AB114,MATCH(U98,Q113:AB113,0))) * T98 * IF(ISBLANK(Q98), 1, Q98), 0)</f>
        <v>0.1</v>
      </c>
      <c r="Z98" s="5256">
        <f>(Q98/AA91)*AA89*V98</f>
        <v>0</v>
      </c>
      <c r="AA98" s="5252">
        <f>IF(ISBLANK(AA91), 0, (Y98 * V98) * (AA89 / AA91))</f>
        <v>0.55555555555555558</v>
      </c>
      <c r="AB98" s="5257" t="str">
        <f>IF(COUNTIF(Q111:AB111,U98)&gt;0,IF(ROUND(AA98,3)&gt;=1,ROUND(AA98,3)&amp;" L",ROUND(AA98*100,0)&amp;" cl"),IF(COUNTIF(Q113:AB113,U98)&gt;0,IF(ROUND(AA98,3)&gt;=1,ROUND(AA98,3)&amp;" Kg",ROUND(AA98*1000,0)&amp;" g"),""))</f>
        <v>556 g</v>
      </c>
      <c r="AC98" s="5817" t="str">
        <f t="shared" si="29"/>
        <v>A</v>
      </c>
      <c r="AD98" s="5883">
        <f>IF(Y110=0,0,Y98*AD95*1000/Y110)</f>
        <v>303.03030303030295</v>
      </c>
      <c r="AE98" s="5884">
        <f>IF(ISNUMBER(Q98),Q98*AD95/Y110,0)</f>
        <v>0</v>
      </c>
      <c r="AF98" s="5885"/>
      <c r="AG98" s="5886"/>
      <c r="AH98" s="5886"/>
      <c r="AI98" s="5886"/>
      <c r="AJ98" s="5899" t="str">
        <f t="shared" si="30"/>
        <v>sucre glace silice</v>
      </c>
      <c r="AK98" s="5888">
        <f>IF(OR(ISTEXT(Q98),Y110=0),0,Q98*AR88)</f>
        <v>0</v>
      </c>
      <c r="AL98" s="5886"/>
      <c r="AM98" s="5889">
        <f t="shared" si="26"/>
        <v>0</v>
      </c>
      <c r="AN98" s="8558" t="str">
        <f t="shared" si="31"/>
        <v/>
      </c>
      <c r="AO98" s="5886"/>
      <c r="AP98" s="5890">
        <f>IF(Y98=0,0,Y98*AR88)</f>
        <v>0.25</v>
      </c>
      <c r="AQ98" s="5891" t="str">
        <f>IF(COUNTIF(AD111:AD121,U98)&gt;0,IF(ROUND(AP98,3)&gt;=1,ROUND(AP98,3)&amp;" L",ROUND(AP98*100,0)&amp;" cl"),IF(COUNTIF(AD122:AD132,U98)&gt;0,IF(ROUND(AP98,3)&gt;=1,ROUND(AP98,3)&amp;" Kg",ROUND(AP98*1000,0)&amp;" g"),""))</f>
        <v>250 g</v>
      </c>
      <c r="AR98" s="5892" t="str">
        <f t="shared" si="27"/>
        <v>sucre glace silice</v>
      </c>
      <c r="AS98" s="7383"/>
      <c r="AT98" s="4"/>
      <c r="AU98" s="4"/>
      <c r="AV98" s="4"/>
      <c r="AW98" s="5818" t="str">
        <f t="shared" si="12"/>
        <v>A</v>
      </c>
      <c r="AX98" s="5950"/>
      <c r="AY98" s="5950"/>
      <c r="AZ98" s="5950"/>
      <c r="BA98" s="5950"/>
      <c r="BB98" s="5950"/>
      <c r="BC98" s="5661"/>
      <c r="BD98"/>
      <c r="BE98"/>
      <c r="BF98"/>
      <c r="BG98"/>
      <c r="BH98"/>
      <c r="BI98"/>
      <c r="BJ98"/>
      <c r="BL98" s="1083"/>
      <c r="BM98" s="478" t="s">
        <v>8582</v>
      </c>
      <c r="BN98" s="141"/>
      <c r="BO98" s="141"/>
      <c r="BP98" s="141"/>
      <c r="BQ98" s="147"/>
      <c r="BR98" s="609"/>
      <c r="BX98" s="5">
        <v>1</v>
      </c>
    </row>
    <row r="99" spans="1:76" s="1" customFormat="1" ht="21" customHeight="1">
      <c r="A99" s="5641" t="s">
        <v>1</v>
      </c>
      <c r="B99" s="5662" t="str">
        <f t="shared" si="22"/>
        <v>A</v>
      </c>
      <c r="C99" s="5825" cm="1">
        <f t="array" ref="C99">SUMPRODUCT(LEN(D99:J99))</f>
        <v>0</v>
      </c>
      <c r="D99" s="5275"/>
      <c r="E99" s="1361"/>
      <c r="F99" s="1361"/>
      <c r="G99" s="1361"/>
      <c r="H99" s="1361"/>
      <c r="I99" s="1361"/>
      <c r="J99" s="5276"/>
      <c r="K99" s="106" t="s">
        <v>1</v>
      </c>
      <c r="L99" s="1021" t="str">
        <f t="shared" si="28"/>
        <v>A</v>
      </c>
      <c r="M99" s="41" t="str">
        <f>M92</f>
        <v>Pâtisserie-entremet.F.Feuilles de meringue</v>
      </c>
      <c r="N99" s="40">
        <f>N92</f>
        <v>18</v>
      </c>
      <c r="O99" s="40" t="str">
        <f>O92</f>
        <v>assiettes</v>
      </c>
      <c r="P99" s="40" t="str">
        <f>P92</f>
        <v>Recette mère ► MILLE-FEUILLE meringue et chiboust pamplemousse aux fraises des bois</v>
      </c>
      <c r="Q99" s="213"/>
      <c r="R99" s="212"/>
      <c r="S99" s="211" t="str">
        <f t="shared" si="25"/>
        <v/>
      </c>
      <c r="T99" s="210">
        <v>30</v>
      </c>
      <c r="U99" s="5124" t="s">
        <v>130</v>
      </c>
      <c r="V99" s="5576">
        <v>1</v>
      </c>
      <c r="W99" s="6866" t="s">
        <v>8583</v>
      </c>
      <c r="X99" s="6871" t="s">
        <v>856</v>
      </c>
      <c r="Y99" s="5882">
        <f>IFERROR(IFERROR(INDEX(Q112:AB112,MATCH(U99,Q111:AB111,0)),INDEX(Q114:AB114,MATCH(U99,Q113:AB113,0))) * T99 * IF(ISBLANK(Q99), 1, Q99), 0)</f>
        <v>0.03</v>
      </c>
      <c r="Z99" s="5254">
        <f>(Q99/AA91)*AA89*V99</f>
        <v>0</v>
      </c>
      <c r="AA99" s="5252">
        <f>IF(ISBLANK(AA91), 0, (Y99 * V99) * (AA89 / AA91))</f>
        <v>0.16666666666666666</v>
      </c>
      <c r="AB99" s="5255" t="str">
        <f>IF(COUNTIF(Q111:AB111,U99)&gt;0,IF(ROUND(AA99,3)&gt;=1,ROUND(AA99,3)&amp;" L",ROUND(AA99*100,0)&amp;" cl"),IF(COUNTIF(Q113:AB113,U99)&gt;0,IF(ROUND(AA99,3)&gt;=1,ROUND(AA99,3)&amp;" Kg",ROUND(AA99*1000,0)&amp;" g"),""))</f>
        <v>167 g</v>
      </c>
      <c r="AC99" s="5817" t="str">
        <f t="shared" si="29"/>
        <v>A</v>
      </c>
      <c r="AD99" s="5883">
        <f>IF(Y110=0,0,Y99*AD95*1000/Y110)</f>
        <v>90.909090909090892</v>
      </c>
      <c r="AE99" s="5884">
        <f>IF(ISNUMBER(Q99),Q99*AD95/Y110,0)</f>
        <v>0</v>
      </c>
      <c r="AF99" s="5894"/>
      <c r="AG99" s="5804"/>
      <c r="AH99" s="5804"/>
      <c r="AI99" s="5804"/>
      <c r="AJ99" s="5902" t="str">
        <f t="shared" si="30"/>
        <v>noix de coco rapée</v>
      </c>
      <c r="AK99" s="5896">
        <f>IF(OR(ISTEXT(Q99),Y110=0),0,Q99*AR88)</f>
        <v>0</v>
      </c>
      <c r="AL99" s="5804"/>
      <c r="AM99" s="5805">
        <f t="shared" si="26"/>
        <v>0</v>
      </c>
      <c r="AN99" s="5805" t="str">
        <f t="shared" si="31"/>
        <v/>
      </c>
      <c r="AO99" s="5804"/>
      <c r="AP99" s="5788">
        <f>IF(Y99=0,0,Y99*AR88)</f>
        <v>7.4999999999999997E-2</v>
      </c>
      <c r="AQ99" s="5897" t="str">
        <f>IF(COUNTIF(AD111:AD121,U99)&gt;0,IF(ROUND(AP99,3)&gt;=1,ROUND(AP99,3)&amp;" L",ROUND(AP99*100,0)&amp;" cl"),IF(COUNTIF(AD122:AD132,U99)&gt;0,IF(ROUND(AP99,3)&gt;=1,ROUND(AP99,3)&amp;" Kg",ROUND(AP99*1000,0)&amp;" g"),""))</f>
        <v>75 g</v>
      </c>
      <c r="AR99" s="5898" t="str">
        <f t="shared" si="27"/>
        <v>noix de coco rapée</v>
      </c>
      <c r="AS99" s="7383"/>
      <c r="AT99" s="4"/>
      <c r="AU99" s="4"/>
      <c r="AV99" s="4"/>
      <c r="AW99" s="5818" t="str">
        <f t="shared" si="12"/>
        <v>A</v>
      </c>
      <c r="AX99" s="5950"/>
      <c r="AY99" s="5950"/>
      <c r="AZ99" s="5950"/>
      <c r="BA99" s="5950"/>
      <c r="BB99" s="5950"/>
      <c r="BC99" s="5661"/>
      <c r="BD99"/>
      <c r="BE99"/>
      <c r="BF99"/>
      <c r="BG99"/>
      <c r="BH99"/>
      <c r="BI99"/>
      <c r="BJ99"/>
      <c r="BL99" s="1083"/>
      <c r="BM99" s="478" t="s">
        <v>8584</v>
      </c>
      <c r="BN99" s="141"/>
      <c r="BO99" s="141"/>
      <c r="BP99" s="141"/>
      <c r="BQ99" s="147"/>
      <c r="BR99" s="609"/>
      <c r="BX99" s="5">
        <v>1</v>
      </c>
    </row>
    <row r="100" spans="1:76" s="1" customFormat="1" ht="21" customHeight="1">
      <c r="A100" s="5641" t="s">
        <v>1</v>
      </c>
      <c r="B100" s="5662" t="str">
        <f t="shared" si="22"/>
        <v>A</v>
      </c>
      <c r="C100" s="5825" cm="1">
        <f t="array" ref="C100">SUMPRODUCT(LEN(D100:J100))</f>
        <v>0</v>
      </c>
      <c r="D100" s="5275"/>
      <c r="E100" s="1361"/>
      <c r="F100" s="1361"/>
      <c r="G100" s="1361"/>
      <c r="H100" s="1361"/>
      <c r="I100" s="1361"/>
      <c r="J100" s="5276"/>
      <c r="K100" s="106" t="s">
        <v>1</v>
      </c>
      <c r="L100" s="1021" t="str">
        <f t="shared" si="28"/>
        <v>A</v>
      </c>
      <c r="M100" s="41" t="str">
        <f>M92</f>
        <v>Pâtisserie-entremet.F.Feuilles de meringue</v>
      </c>
      <c r="N100" s="40">
        <f>N92</f>
        <v>18</v>
      </c>
      <c r="O100" s="40" t="str">
        <f>O92</f>
        <v>assiettes</v>
      </c>
      <c r="P100" s="40" t="str">
        <f>P92</f>
        <v>Recette mère ► MILLE-FEUILLE meringue et chiboust pamplemousse aux fraises des bois</v>
      </c>
      <c r="Q100" s="213"/>
      <c r="R100" s="212"/>
      <c r="S100" s="211" t="str">
        <f t="shared" si="25"/>
        <v/>
      </c>
      <c r="T100" s="210"/>
      <c r="U100" s="5259"/>
      <c r="V100" s="5576">
        <v>1</v>
      </c>
      <c r="W100" s="6866" t="s">
        <v>11067</v>
      </c>
      <c r="X100" s="6871" t="s">
        <v>11046</v>
      </c>
      <c r="Y100" s="5882">
        <f>IFERROR(IFERROR(INDEX(Q112:AB112,MATCH(U100,Q111:AB111,0)),INDEX(Q114:AB114,MATCH(U100,Q113:AB113,0))) * T100 * IF(ISBLANK(Q100), 1, Q100), 0)</f>
        <v>0</v>
      </c>
      <c r="Z100" s="5256">
        <f>(Q100/AA91)*AA89*V100</f>
        <v>0</v>
      </c>
      <c r="AA100" s="5252">
        <f>IF(ISBLANK(AA91), 0, (Y100 * V100) * (AA89 / AA91))</f>
        <v>0</v>
      </c>
      <c r="AB100" s="5257" t="str">
        <f>IF(COUNTIF(Q111:AB111,U100)&gt;0,IF(ROUND(AA100,3)&gt;=1,ROUND(AA100,3)&amp;" L",ROUND(AA100*100,0)&amp;" cl"),IF(COUNTIF(Q113:AB113,U100)&gt;0,IF(ROUND(AA100,3)&gt;=1,ROUND(AA100,3)&amp;" Kg",ROUND(AA100*1000,0)&amp;" g"),""))</f>
        <v/>
      </c>
      <c r="AC100" s="5817" t="str">
        <f t="shared" si="29"/>
        <v>►</v>
      </c>
      <c r="AD100" s="5883">
        <f>IF(Y110=0,0,Y100*AD95*1000/Y110)</f>
        <v>0</v>
      </c>
      <c r="AE100" s="5884">
        <f>IF(ISNUMBER(Q100),Q100*AD95/Y110,0)</f>
        <v>0</v>
      </c>
      <c r="AF100" s="5885"/>
      <c r="AG100" s="5886"/>
      <c r="AH100" s="5886"/>
      <c r="AI100" s="5886"/>
      <c r="AJ100" s="5899" t="str">
        <f t="shared" si="30"/>
        <v>pistaches hachées* (Pour Mémoire)</v>
      </c>
      <c r="AK100" s="5888">
        <f>IF(OR(ISTEXT(Q100),Y110=0),0,Q100*AR88)</f>
        <v>0</v>
      </c>
      <c r="AL100" s="5886"/>
      <c r="AM100" s="5889">
        <f t="shared" si="26"/>
        <v>0</v>
      </c>
      <c r="AN100" s="8558" t="str">
        <f t="shared" si="31"/>
        <v>⚠ Fruits a coque</v>
      </c>
      <c r="AO100" s="5886"/>
      <c r="AP100" s="5890">
        <f>IF(Y100=0,0,Y100*AR88)</f>
        <v>0</v>
      </c>
      <c r="AQ100" s="5891" t="str">
        <f>IF(COUNTIF(AD111:AD121,U100)&gt;0,IF(ROUND(AP100,3)&gt;=1,ROUND(AP100,3)&amp;" L",ROUND(AP100*100,0)&amp;" cl"),IF(COUNTIF(AD122:AD132,U100)&gt;0,IF(ROUND(AP100,3)&gt;=1,ROUND(AP100,3)&amp;" Kg",ROUND(AP100*1000,0)&amp;" g"),""))</f>
        <v/>
      </c>
      <c r="AR100" s="5892" t="str">
        <f t="shared" si="27"/>
        <v>pistaches hachées* (Pour Mémoire)</v>
      </c>
      <c r="AS100" s="7383"/>
      <c r="AT100" s="4"/>
      <c r="AU100" s="4"/>
      <c r="AV100" s="4"/>
      <c r="AW100" s="5818" t="str">
        <f t="shared" si="12"/>
        <v>►</v>
      </c>
      <c r="AX100" s="5950"/>
      <c r="AY100" s="5950"/>
      <c r="AZ100" s="5950"/>
      <c r="BA100" s="5950"/>
      <c r="BB100" s="5950"/>
      <c r="BC100" s="5661"/>
      <c r="BD100"/>
      <c r="BE100"/>
      <c r="BF100"/>
      <c r="BG100"/>
      <c r="BH100"/>
      <c r="BI100"/>
      <c r="BJ100"/>
      <c r="BL100" s="1083"/>
      <c r="BM100" s="478" t="s">
        <v>8585</v>
      </c>
      <c r="BN100" s="141"/>
      <c r="BO100" s="141"/>
      <c r="BP100" s="141"/>
      <c r="BQ100" s="147"/>
      <c r="BR100" s="609"/>
      <c r="BX100" s="5">
        <v>1</v>
      </c>
    </row>
    <row r="101" spans="1:76" s="1" customFormat="1" ht="21" customHeight="1">
      <c r="A101" s="5641" t="s">
        <v>1</v>
      </c>
      <c r="B101" s="5662" t="str">
        <f t="shared" si="22"/>
        <v>►</v>
      </c>
      <c r="C101" s="5825" cm="1">
        <f t="array" ref="C101">SUMPRODUCT(LEN(D101:J101))</f>
        <v>0</v>
      </c>
      <c r="D101" s="5275"/>
      <c r="E101" s="1361"/>
      <c r="F101" s="1361"/>
      <c r="G101" s="1361"/>
      <c r="H101" s="1361"/>
      <c r="I101" s="1361"/>
      <c r="J101" s="5276"/>
      <c r="K101" s="106" t="s">
        <v>1</v>
      </c>
      <c r="L101" s="1021" t="str">
        <f t="shared" si="28"/>
        <v>►</v>
      </c>
      <c r="M101" s="41" t="str">
        <f>M92</f>
        <v>Pâtisserie-entremet.F.Feuilles de meringue</v>
      </c>
      <c r="N101" s="40">
        <f>N92</f>
        <v>18</v>
      </c>
      <c r="O101" s="40" t="str">
        <f>O92</f>
        <v>assiettes</v>
      </c>
      <c r="P101" s="40" t="str">
        <f>P92</f>
        <v>Recette mère ► MILLE-FEUILLE meringue et chiboust pamplemousse aux fraises des bois</v>
      </c>
      <c r="Q101" s="213"/>
      <c r="R101" s="212"/>
      <c r="S101" s="211" t="str">
        <f t="shared" si="25"/>
        <v/>
      </c>
      <c r="T101" s="210"/>
      <c r="U101" s="5259"/>
      <c r="V101" s="5576">
        <v>1</v>
      </c>
      <c r="W101" s="6866"/>
      <c r="X101" s="6871"/>
      <c r="Y101" s="5882">
        <f>IFERROR(IFERROR(INDEX(Q112:AB112,MATCH(U101,Q111:AB111,0)),INDEX(Q114:AB114,MATCH(U101,Q113:AB113,0))) * T101 * IF(ISBLANK(Q101), 1, Q101), 0)</f>
        <v>0</v>
      </c>
      <c r="Z101" s="5254">
        <f>(Q101/AA91)*AA89*V101</f>
        <v>0</v>
      </c>
      <c r="AA101" s="5252">
        <f>IF(ISBLANK(AA91), 0, (Y101 * V101) * (AA89 / AA91))</f>
        <v>0</v>
      </c>
      <c r="AB101" s="5255" t="str">
        <f>IF(COUNTIF(Q111:AB111,U101)&gt;0,IF(ROUND(AA101,3)&gt;=1,ROUND(AA101,3)&amp;" L",ROUND(AA101*100,0)&amp;" cl"),IF(COUNTIF(Q113:AB113,U101)&gt;0,IF(ROUND(AA101,3)&gt;=1,ROUND(AA101,3)&amp;" Kg",ROUND(AA101*1000,0)&amp;" g"),""))</f>
        <v/>
      </c>
      <c r="AC101" s="5817" t="str">
        <f t="shared" si="29"/>
        <v>►</v>
      </c>
      <c r="AD101" s="5883">
        <f>IF(Y110=0,0,Y101*AD95*1000/Y110)</f>
        <v>0</v>
      </c>
      <c r="AE101" s="5884">
        <f>IF(ISNUMBER(Q101),Q101*AD95/Y110,0)</f>
        <v>0</v>
      </c>
      <c r="AF101" s="5894"/>
      <c r="AG101" s="5804"/>
      <c r="AH101" s="5804"/>
      <c r="AI101" s="5804"/>
      <c r="AJ101" s="5902">
        <f t="shared" si="30"/>
        <v>0</v>
      </c>
      <c r="AK101" s="5896">
        <f>IF(OR(ISTEXT(Q101),Y110=0),0,Q101*AR88)</f>
        <v>0</v>
      </c>
      <c r="AL101" s="5804"/>
      <c r="AM101" s="5805">
        <f t="shared" si="26"/>
        <v>0</v>
      </c>
      <c r="AN101" s="5805">
        <f t="shared" si="31"/>
        <v>0</v>
      </c>
      <c r="AO101" s="5804"/>
      <c r="AP101" s="5788">
        <f>IF(Y101=0,0,Y101*AR88)</f>
        <v>0</v>
      </c>
      <c r="AQ101" s="5897" t="str">
        <f>IF(COUNTIF(AD111:AD121,U101)&gt;0,IF(ROUND(AP101,3)&gt;=1,ROUND(AP101,3)&amp;" L",ROUND(AP101*100,0)&amp;" cl"),IF(COUNTIF(AD122:AD132,U101)&gt;0,IF(ROUND(AP101,3)&gt;=1,ROUND(AP101,3)&amp;" Kg",ROUND(AP101*1000,0)&amp;" g"),""))</f>
        <v/>
      </c>
      <c r="AR101" s="5898">
        <f t="shared" si="27"/>
        <v>0</v>
      </c>
      <c r="AS101" s="7383"/>
      <c r="AT101" s="4"/>
      <c r="AU101" s="4"/>
      <c r="AV101" s="4"/>
      <c r="AW101" s="5818" t="str">
        <f t="shared" ref="AW101:AW164" si="32">AC101</f>
        <v>►</v>
      </c>
      <c r="AX101" s="5950"/>
      <c r="AY101" s="5950"/>
      <c r="AZ101" s="5950"/>
      <c r="BA101" s="5950"/>
      <c r="BB101" s="5950"/>
      <c r="BC101" s="5661"/>
      <c r="BD101"/>
      <c r="BE101"/>
      <c r="BF101"/>
      <c r="BG101"/>
      <c r="BH101"/>
      <c r="BI101"/>
      <c r="BJ101"/>
      <c r="BL101" s="1079"/>
      <c r="BM101" s="1080"/>
      <c r="BN101" s="1081"/>
      <c r="BO101" s="1080"/>
      <c r="BP101" s="1080"/>
      <c r="BQ101" s="1080"/>
      <c r="BR101" s="1082"/>
      <c r="BX101" s="5">
        <v>1</v>
      </c>
    </row>
    <row r="102" spans="1:76" s="1" customFormat="1" ht="21" customHeight="1">
      <c r="A102" s="5641" t="s">
        <v>1</v>
      </c>
      <c r="B102" s="5662" t="str">
        <f t="shared" si="22"/>
        <v>►</v>
      </c>
      <c r="C102" s="5825" cm="1">
        <f t="array" ref="C102">SUMPRODUCT(LEN(D102:J102))</f>
        <v>0</v>
      </c>
      <c r="D102" s="5275"/>
      <c r="E102" s="1361"/>
      <c r="F102" s="1361"/>
      <c r="G102" s="1361"/>
      <c r="H102" s="1361"/>
      <c r="I102" s="1361"/>
      <c r="J102" s="5276"/>
      <c r="K102" s="106" t="s">
        <v>1</v>
      </c>
      <c r="L102" s="1021" t="str">
        <f t="shared" si="28"/>
        <v>►</v>
      </c>
      <c r="M102" s="41" t="str">
        <f>M92</f>
        <v>Pâtisserie-entremet.F.Feuilles de meringue</v>
      </c>
      <c r="N102" s="40">
        <f>N92</f>
        <v>18</v>
      </c>
      <c r="O102" s="40" t="str">
        <f>O92</f>
        <v>assiettes</v>
      </c>
      <c r="P102" s="40" t="str">
        <f>P92</f>
        <v>Recette mère ► MILLE-FEUILLE meringue et chiboust pamplemousse aux fraises des bois</v>
      </c>
      <c r="Q102" s="213"/>
      <c r="R102" s="212"/>
      <c r="S102" s="211" t="str">
        <f t="shared" si="25"/>
        <v/>
      </c>
      <c r="T102" s="210"/>
      <c r="U102" s="5259"/>
      <c r="V102" s="5576">
        <v>1</v>
      </c>
      <c r="W102" s="6866"/>
      <c r="X102" s="6871"/>
      <c r="Y102" s="5882">
        <f>IFERROR(IFERROR(INDEX(Q112:AB112,MATCH(U102,Q111:AB111,0)),INDEX(Q114:AB114,MATCH(U102,Q113:AB113,0))) * T102 * IF(ISBLANK(Q102), 1, Q102), 0)</f>
        <v>0</v>
      </c>
      <c r="Z102" s="5256">
        <f>(Q102/AA91)*AA89*V102</f>
        <v>0</v>
      </c>
      <c r="AA102" s="5252">
        <f>IF(ISBLANK(AA91), 0, (Y102 * V102) * (AA89 / AA91))</f>
        <v>0</v>
      </c>
      <c r="AB102" s="5258" t="str">
        <f>IF(COUNTIF(Q111:AB111,U102)&gt;0,IF(ROUND(AA102,3)&gt;=1,ROUND(AA102,3)&amp;" L",ROUND(AA102*100,0)&amp;" cl"),IF(COUNTIF(Q113:AB113,U102)&gt;0,IF(ROUND(AA102,3)&gt;=1,ROUND(AA102,3)&amp;" Kg",ROUND(AA102*1000,0)&amp;" g"),""))</f>
        <v/>
      </c>
      <c r="AC102" s="5817" t="str">
        <f t="shared" si="29"/>
        <v>►</v>
      </c>
      <c r="AD102" s="5883">
        <f>IF(Y110=0,0,Y102*AD95*1000/Y110)</f>
        <v>0</v>
      </c>
      <c r="AE102" s="5884">
        <f>IF(ISNUMBER(Q102),Q102*AD95/Y110,0)</f>
        <v>0</v>
      </c>
      <c r="AF102" s="5885"/>
      <c r="AG102" s="5886"/>
      <c r="AH102" s="5886"/>
      <c r="AI102" s="5886"/>
      <c r="AJ102" s="5899">
        <f t="shared" si="30"/>
        <v>0</v>
      </c>
      <c r="AK102" s="5888">
        <f>IF(OR(ISTEXT(Q102),Y110=0),0,Q102*AR88)</f>
        <v>0</v>
      </c>
      <c r="AL102" s="5886"/>
      <c r="AM102" s="5889">
        <f t="shared" si="26"/>
        <v>0</v>
      </c>
      <c r="AN102" s="8558">
        <f t="shared" si="31"/>
        <v>0</v>
      </c>
      <c r="AO102" s="5886"/>
      <c r="AP102" s="5890">
        <f>IF(Y102=0,0,Y102*AR88)</f>
        <v>0</v>
      </c>
      <c r="AQ102" s="5891" t="str">
        <f>IF(COUNTIF(AD111:AD121,U102)&gt;0,IF(ROUND(AP102,3)&gt;=1,ROUND(AP102,3)&amp;" L",ROUND(AP102*100,0)&amp;" cl"),IF(COUNTIF(AD122:AD132,U102)&gt;0,IF(ROUND(AP102,3)&gt;=1,ROUND(AP102,3)&amp;" Kg",ROUND(AP102*1000,0)&amp;" g"),""))</f>
        <v/>
      </c>
      <c r="AR102" s="5892">
        <f t="shared" si="27"/>
        <v>0</v>
      </c>
      <c r="AS102" s="7383"/>
      <c r="AT102" s="4"/>
      <c r="AU102" s="4"/>
      <c r="AV102" s="4"/>
      <c r="AW102" s="5818" t="str">
        <f t="shared" si="32"/>
        <v>►</v>
      </c>
      <c r="AX102" s="5950"/>
      <c r="AY102" s="5950"/>
      <c r="AZ102" s="5950"/>
      <c r="BA102" s="5950"/>
      <c r="BB102" s="5950"/>
      <c r="BC102" s="5661"/>
      <c r="BD102"/>
      <c r="BE102"/>
      <c r="BF102"/>
      <c r="BG102"/>
      <c r="BH102"/>
      <c r="BI102"/>
      <c r="BJ102"/>
      <c r="BL102" s="7131" t="s">
        <v>3466</v>
      </c>
      <c r="BM102" s="6020" t="s">
        <v>937</v>
      </c>
      <c r="BN102" s="1112"/>
      <c r="BO102" s="106"/>
      <c r="BP102" s="141"/>
      <c r="BQ102" s="147"/>
      <c r="BR102" s="609"/>
      <c r="BX102" s="5">
        <v>1</v>
      </c>
    </row>
    <row r="103" spans="1:76" s="1" customFormat="1" ht="21" customHeight="1">
      <c r="A103" s="5641" t="s">
        <v>1</v>
      </c>
      <c r="B103" s="5662" t="str">
        <f t="shared" si="22"/>
        <v>►</v>
      </c>
      <c r="C103" s="5825" cm="1">
        <f t="array" ref="C103">SUMPRODUCT(LEN(D103:J103))</f>
        <v>0</v>
      </c>
      <c r="D103" s="5275"/>
      <c r="E103" s="1361"/>
      <c r="F103" s="1361"/>
      <c r="G103" s="1361"/>
      <c r="H103" s="1361"/>
      <c r="I103" s="1361"/>
      <c r="J103" s="5276"/>
      <c r="K103" s="106" t="s">
        <v>1</v>
      </c>
      <c r="L103" s="1021" t="str">
        <f t="shared" si="28"/>
        <v>►</v>
      </c>
      <c r="M103" s="41" t="str">
        <f>M92</f>
        <v>Pâtisserie-entremet.F.Feuilles de meringue</v>
      </c>
      <c r="N103" s="40">
        <f>N92</f>
        <v>18</v>
      </c>
      <c r="O103" s="40" t="str">
        <f>O92</f>
        <v>assiettes</v>
      </c>
      <c r="P103" s="40" t="str">
        <f>P92</f>
        <v>Recette mère ► MILLE-FEUILLE meringue et chiboust pamplemousse aux fraises des bois</v>
      </c>
      <c r="Q103" s="213"/>
      <c r="R103" s="212"/>
      <c r="S103" s="211" t="str">
        <f t="shared" si="25"/>
        <v/>
      </c>
      <c r="T103" s="210"/>
      <c r="U103" s="5259"/>
      <c r="V103" s="5576">
        <v>1</v>
      </c>
      <c r="W103" s="6866"/>
      <c r="X103" s="6871"/>
      <c r="Y103" s="5882">
        <f>IFERROR(IFERROR(INDEX(Q112:AB112,MATCH(U103,Q111:AB111,0)),INDEX(Q114:AB114,MATCH(U103,Q113:AB113,0))) * T103 * IF(ISBLANK(Q103), 1, Q103), 0)</f>
        <v>0</v>
      </c>
      <c r="Z103" s="5254">
        <f>(Q103/AA91)*AA89*V103</f>
        <v>0</v>
      </c>
      <c r="AA103" s="5252">
        <f>IF(ISBLANK(AA91), 0, (Y103 * V103) * (AA89 / AA91))</f>
        <v>0</v>
      </c>
      <c r="AB103" s="5255" t="str">
        <f>IF(COUNTIF(Q111:AB111,U103)&gt;0,IF(ROUND(AA103,3)&gt;=1,ROUND(AA103,3)&amp;" L",ROUND(AA103*100,0)&amp;" cl"),IF(COUNTIF(Q113:AB113,U103)&gt;0,IF(ROUND(AA103,3)&gt;=1,ROUND(AA103,3)&amp;" Kg",ROUND(AA103*1000,0)&amp;" g"),""))</f>
        <v/>
      </c>
      <c r="AC103" s="5817" t="str">
        <f t="shared" si="29"/>
        <v>►</v>
      </c>
      <c r="AD103" s="5883">
        <f>IF(Y110=0,0,Y103*AD95*1000/Y110)</f>
        <v>0</v>
      </c>
      <c r="AE103" s="5884">
        <f>IF(ISNUMBER(Q103),Q103*AD95/Y110,0)</f>
        <v>0</v>
      </c>
      <c r="AF103" s="5894"/>
      <c r="AG103" s="5804"/>
      <c r="AH103" s="5804"/>
      <c r="AI103" s="5804"/>
      <c r="AJ103" s="5902">
        <f t="shared" si="30"/>
        <v>0</v>
      </c>
      <c r="AK103" s="5896">
        <f>IF(OR(ISTEXT(Q103),Y110=0),0,Q103*AR88)</f>
        <v>0</v>
      </c>
      <c r="AL103" s="5804"/>
      <c r="AM103" s="5805">
        <f t="shared" si="26"/>
        <v>0</v>
      </c>
      <c r="AN103" s="5805">
        <f t="shared" si="31"/>
        <v>0</v>
      </c>
      <c r="AO103" s="5804"/>
      <c r="AP103" s="5788">
        <f>IF(Y103=0,0,Y103*AR88)</f>
        <v>0</v>
      </c>
      <c r="AQ103" s="5897" t="str">
        <f>IF(COUNTIF(AD111:AD121,U103)&gt;0,IF(ROUND(AP103,3)&gt;=1,ROUND(AP103,3)&amp;" L",ROUND(AP103*100,0)&amp;" cl"),IF(COUNTIF(AD122:AD132,U103)&gt;0,IF(ROUND(AP103,3)&gt;=1,ROUND(AP103,3)&amp;" Kg",ROUND(AP103*1000,0)&amp;" g"),""))</f>
        <v/>
      </c>
      <c r="AR103" s="5898">
        <f t="shared" si="27"/>
        <v>0</v>
      </c>
      <c r="AS103" s="7383"/>
      <c r="AT103" s="4"/>
      <c r="AU103" s="4"/>
      <c r="AV103" s="4"/>
      <c r="AW103" s="5818" t="str">
        <f t="shared" si="32"/>
        <v>►</v>
      </c>
      <c r="AX103" s="5950"/>
      <c r="AY103" s="5950"/>
      <c r="AZ103" s="5950"/>
      <c r="BA103" s="5950"/>
      <c r="BB103" s="5950"/>
      <c r="BC103" s="5661"/>
      <c r="BD103"/>
      <c r="BE103"/>
      <c r="BF103"/>
      <c r="BG103"/>
      <c r="BH103"/>
      <c r="BI103"/>
      <c r="BJ103"/>
      <c r="BL103" s="7131"/>
      <c r="BM103" s="6021" t="s">
        <v>228</v>
      </c>
      <c r="BN103" s="1112"/>
      <c r="BO103" s="106"/>
      <c r="BP103" s="141"/>
      <c r="BQ103" s="147"/>
      <c r="BR103" s="609"/>
      <c r="BX103" s="5">
        <v>1</v>
      </c>
    </row>
    <row r="104" spans="1:76" s="1" customFormat="1" ht="21" customHeight="1">
      <c r="A104" s="5641" t="s">
        <v>1</v>
      </c>
      <c r="B104" s="5662" t="str">
        <f t="shared" si="22"/>
        <v>►</v>
      </c>
      <c r="C104" s="5825" cm="1">
        <f t="array" ref="C104">SUMPRODUCT(LEN(D104:J104))</f>
        <v>0</v>
      </c>
      <c r="D104" s="5275"/>
      <c r="E104" s="1361"/>
      <c r="F104" s="1361"/>
      <c r="G104" s="1361"/>
      <c r="H104" s="1361"/>
      <c r="I104" s="1361"/>
      <c r="J104" s="5276"/>
      <c r="K104" s="106" t="s">
        <v>1</v>
      </c>
      <c r="L104" s="1021" t="str">
        <f t="shared" si="28"/>
        <v>►</v>
      </c>
      <c r="M104" s="41" t="str">
        <f>M92</f>
        <v>Pâtisserie-entremet.F.Feuilles de meringue</v>
      </c>
      <c r="N104" s="40">
        <f>N92</f>
        <v>18</v>
      </c>
      <c r="O104" s="40" t="str">
        <f>O92</f>
        <v>assiettes</v>
      </c>
      <c r="P104" s="40" t="str">
        <f>P92</f>
        <v>Recette mère ► MILLE-FEUILLE meringue et chiboust pamplemousse aux fraises des bois</v>
      </c>
      <c r="Q104" s="213"/>
      <c r="R104" s="212"/>
      <c r="S104" s="211" t="str">
        <f t="shared" si="25"/>
        <v/>
      </c>
      <c r="T104" s="210"/>
      <c r="U104" s="5259"/>
      <c r="V104" s="5576">
        <v>1</v>
      </c>
      <c r="W104" s="6866"/>
      <c r="X104" s="6871"/>
      <c r="Y104" s="5882">
        <f>IFERROR(IFERROR(INDEX(Q112:AB112,MATCH(U104,Q111:AB111,0)),INDEX(Q114:AB114,MATCH(U104,Q113:AB113,0))) * T104 * IF(ISBLANK(Q104), 1, Q104), 0)</f>
        <v>0</v>
      </c>
      <c r="Z104" s="5256">
        <f>(Q104/AA91)*AA89*V104</f>
        <v>0</v>
      </c>
      <c r="AA104" s="5252">
        <f>IF(ISBLANK(AA91), 0, (Y104 * V104) * (AA89 / AA91))</f>
        <v>0</v>
      </c>
      <c r="AB104" s="5258" t="str">
        <f>IF(COUNTIF(Q111:AB111,U104)&gt;0,IF(ROUND(AA104,3)&gt;=1,ROUND(AA104,3)&amp;" L",ROUND(AA104*100,0)&amp;" cl"),IF(COUNTIF(Q113:AB113,U104)&gt;0,IF(ROUND(AA104,3)&gt;=1,ROUND(AA104,3)&amp;" Kg",ROUND(AA104*1000,0)&amp;" g"),""))</f>
        <v/>
      </c>
      <c r="AC104" s="5817" t="str">
        <f t="shared" si="29"/>
        <v>►</v>
      </c>
      <c r="AD104" s="5883">
        <f>IF(Y110=0,0,Y104*AD95*1000/Y110)</f>
        <v>0</v>
      </c>
      <c r="AE104" s="5884">
        <f>IF(ISNUMBER(Q104),Q104*AD95/Y110,0)</f>
        <v>0</v>
      </c>
      <c r="AF104" s="5885"/>
      <c r="AG104" s="5886"/>
      <c r="AH104" s="5886"/>
      <c r="AI104" s="5886"/>
      <c r="AJ104" s="5899">
        <f t="shared" si="30"/>
        <v>0</v>
      </c>
      <c r="AK104" s="5888">
        <f>IF(OR(ISTEXT(Q104),Y110=0),0,Q104*AR88)</f>
        <v>0</v>
      </c>
      <c r="AL104" s="5886"/>
      <c r="AM104" s="5889">
        <f t="shared" si="26"/>
        <v>0</v>
      </c>
      <c r="AN104" s="8558">
        <f t="shared" si="31"/>
        <v>0</v>
      </c>
      <c r="AO104" s="5886"/>
      <c r="AP104" s="5890">
        <f>IF(Y104=0,0,Y104*AR88)</f>
        <v>0</v>
      </c>
      <c r="AQ104" s="5891" t="str">
        <f>IF(COUNTIF(AD111:AD121,U104)&gt;0,IF(ROUND(AP104,3)&gt;=1,ROUND(AP104,3)&amp;" L",ROUND(AP104*100,0)&amp;" cl"),IF(COUNTIF(AD122:AD132,U104)&gt;0,IF(ROUND(AP104,3)&gt;=1,ROUND(AP104,3)&amp;" Kg",ROUND(AP104*1000,0)&amp;" g"),""))</f>
        <v/>
      </c>
      <c r="AR104" s="5892">
        <f t="shared" si="27"/>
        <v>0</v>
      </c>
      <c r="AS104" s="7383"/>
      <c r="AT104" s="4"/>
      <c r="AU104" s="4"/>
      <c r="AV104" s="4"/>
      <c r="AW104" s="5818" t="str">
        <f t="shared" si="32"/>
        <v>►</v>
      </c>
      <c r="AX104" s="5950"/>
      <c r="AY104" s="5950"/>
      <c r="AZ104" s="5950"/>
      <c r="BA104" s="5950"/>
      <c r="BB104" s="5950"/>
      <c r="BC104" s="5661"/>
      <c r="BD104"/>
      <c r="BE104"/>
      <c r="BF104"/>
      <c r="BG104"/>
      <c r="BH104"/>
      <c r="BI104"/>
      <c r="BJ104"/>
      <c r="BL104" s="7131"/>
      <c r="BM104" s="6022">
        <v>1</v>
      </c>
      <c r="BN104" s="6023" t="s">
        <v>8586</v>
      </c>
      <c r="BO104" s="106"/>
      <c r="BP104" s="141"/>
      <c r="BQ104" s="147"/>
      <c r="BR104" s="609"/>
      <c r="BX104" s="5">
        <v>1</v>
      </c>
    </row>
    <row r="105" spans="1:76" s="1" customFormat="1" ht="21" customHeight="1">
      <c r="A105" s="5641" t="s">
        <v>1</v>
      </c>
      <c r="B105" s="5662" t="str">
        <f t="shared" si="22"/>
        <v>►</v>
      </c>
      <c r="C105" s="5825" cm="1">
        <f t="array" ref="C105">SUMPRODUCT(LEN(D105:J105))</f>
        <v>0</v>
      </c>
      <c r="D105" s="5275"/>
      <c r="E105" s="1361"/>
      <c r="F105" s="1361"/>
      <c r="G105" s="1361"/>
      <c r="H105" s="1361"/>
      <c r="I105" s="1361"/>
      <c r="J105" s="5276"/>
      <c r="K105" s="106" t="s">
        <v>1</v>
      </c>
      <c r="L105" s="1021" t="str">
        <f t="shared" si="28"/>
        <v>►</v>
      </c>
      <c r="M105" s="41" t="str">
        <f>M92</f>
        <v>Pâtisserie-entremet.F.Feuilles de meringue</v>
      </c>
      <c r="N105" s="40">
        <f>N92</f>
        <v>18</v>
      </c>
      <c r="O105" s="40" t="str">
        <f>O92</f>
        <v>assiettes</v>
      </c>
      <c r="P105" s="40" t="str">
        <f>P92</f>
        <v>Recette mère ► MILLE-FEUILLE meringue et chiboust pamplemousse aux fraises des bois</v>
      </c>
      <c r="Q105" s="213"/>
      <c r="R105" s="212"/>
      <c r="S105" s="211" t="str">
        <f t="shared" si="25"/>
        <v/>
      </c>
      <c r="T105" s="210"/>
      <c r="U105" s="5259"/>
      <c r="V105" s="5576">
        <v>1</v>
      </c>
      <c r="W105" s="6866"/>
      <c r="X105" s="6871"/>
      <c r="Y105" s="5882">
        <f>IFERROR(IFERROR(INDEX(Q112:AB112,MATCH(U105,Q111:AB111,0)),INDEX(Q114:AB114,MATCH(U105,Q113:AB113,0))) * T105 * IF(ISBLANK(Q105), 1, Q105), 0)</f>
        <v>0</v>
      </c>
      <c r="Z105" s="5254">
        <f>(Q105/AA91)*AA89*V105</f>
        <v>0</v>
      </c>
      <c r="AA105" s="5252">
        <f>IF(ISBLANK(AA91), 0, (Y105 * V105) * (AA89 / AA91))</f>
        <v>0</v>
      </c>
      <c r="AB105" s="5255" t="str">
        <f>IF(COUNTIF(Q111:AB111,U105)&gt;0,IF(ROUND(AA105,3)&gt;=1,ROUND(AA105,3)&amp;" L",ROUND(AA105*100,0)&amp;" cl"),IF(COUNTIF(Q113:AB113,U105)&gt;0,IF(ROUND(AA105,3)&gt;=1,ROUND(AA105,3)&amp;" Kg",ROUND(AA105*1000,0)&amp;" g"),""))</f>
        <v/>
      </c>
      <c r="AC105" s="5817" t="str">
        <f t="shared" si="29"/>
        <v>►</v>
      </c>
      <c r="AD105" s="5883">
        <f>IF(Y110=0,0,Y105*AD95*1000/Y110)</f>
        <v>0</v>
      </c>
      <c r="AE105" s="5884">
        <f>IF(ISNUMBER(Q105),Q105*AD95/Y110,0)</f>
        <v>0</v>
      </c>
      <c r="AF105" s="5894"/>
      <c r="AG105" s="5804"/>
      <c r="AH105" s="5804"/>
      <c r="AI105" s="5804"/>
      <c r="AJ105" s="5902">
        <f t="shared" si="30"/>
        <v>0</v>
      </c>
      <c r="AK105" s="5896">
        <f>IF(OR(ISTEXT(Q105),Y110=0),0,Q105*AR88)</f>
        <v>0</v>
      </c>
      <c r="AL105" s="5804"/>
      <c r="AM105" s="5805">
        <f t="shared" si="26"/>
        <v>0</v>
      </c>
      <c r="AN105" s="5805">
        <f t="shared" si="31"/>
        <v>0</v>
      </c>
      <c r="AO105" s="5804"/>
      <c r="AP105" s="5788">
        <f>IF(Y105=0,0,Y105*AR88)</f>
        <v>0</v>
      </c>
      <c r="AQ105" s="5897" t="str">
        <f>IF(COUNTIF(AD111:AD121,U105)&gt;0,IF(ROUND(AP105,3)&gt;=1,ROUND(AP105,3)&amp;" L",ROUND(AP105*100,0)&amp;" cl"),IF(COUNTIF(AD122:AD132,U105)&gt;0,IF(ROUND(AP105,3)&gt;=1,ROUND(AP105,3)&amp;" Kg",ROUND(AP105*1000,0)&amp;" g"),""))</f>
        <v/>
      </c>
      <c r="AR105" s="5898">
        <f t="shared" si="27"/>
        <v>0</v>
      </c>
      <c r="AS105" s="7383"/>
      <c r="AT105" s="4"/>
      <c r="AU105" s="4"/>
      <c r="AV105" s="4"/>
      <c r="AW105" s="5818" t="str">
        <f t="shared" si="32"/>
        <v>►</v>
      </c>
      <c r="AX105" s="5950"/>
      <c r="AY105" s="5950"/>
      <c r="AZ105" s="5950"/>
      <c r="BA105" s="5950"/>
      <c r="BB105" s="5950"/>
      <c r="BC105" s="5661"/>
      <c r="BD105"/>
      <c r="BE105"/>
      <c r="BF105"/>
      <c r="BG105"/>
      <c r="BH105"/>
      <c r="BI105"/>
      <c r="BJ105"/>
      <c r="BL105" s="7131"/>
      <c r="BM105" s="6022">
        <v>3</v>
      </c>
      <c r="BN105" s="6023" t="s">
        <v>8587</v>
      </c>
      <c r="BO105" s="106"/>
      <c r="BP105" s="141"/>
      <c r="BQ105" s="147"/>
      <c r="BR105" s="609"/>
      <c r="BX105" s="5">
        <v>1</v>
      </c>
    </row>
    <row r="106" spans="1:76" s="1" customFormat="1" ht="21" customHeight="1">
      <c r="A106" s="5641" t="s">
        <v>1</v>
      </c>
      <c r="B106" s="5662" t="str">
        <f t="shared" si="22"/>
        <v>►</v>
      </c>
      <c r="C106" s="5825" cm="1">
        <f t="array" ref="C106">SUMPRODUCT(LEN(D106:J106))</f>
        <v>0</v>
      </c>
      <c r="D106" s="5275"/>
      <c r="E106" s="1361"/>
      <c r="F106" s="1361"/>
      <c r="G106" s="1361"/>
      <c r="H106" s="1361"/>
      <c r="I106" s="1361"/>
      <c r="J106" s="5276"/>
      <c r="K106" s="106" t="s">
        <v>1</v>
      </c>
      <c r="L106" s="1021" t="str">
        <f t="shared" si="28"/>
        <v>►</v>
      </c>
      <c r="M106" s="41" t="str">
        <f>M92</f>
        <v>Pâtisserie-entremet.F.Feuilles de meringue</v>
      </c>
      <c r="N106" s="40">
        <f>N92</f>
        <v>18</v>
      </c>
      <c r="O106" s="40" t="str">
        <f>O92</f>
        <v>assiettes</v>
      </c>
      <c r="P106" s="40" t="str">
        <f>P92</f>
        <v>Recette mère ► MILLE-FEUILLE meringue et chiboust pamplemousse aux fraises des bois</v>
      </c>
      <c r="Q106" s="213"/>
      <c r="R106" s="212"/>
      <c r="S106" s="211" t="str">
        <f t="shared" si="25"/>
        <v/>
      </c>
      <c r="T106" s="210"/>
      <c r="U106" s="5259"/>
      <c r="V106" s="5576">
        <v>1</v>
      </c>
      <c r="W106" s="6866"/>
      <c r="X106" s="6871"/>
      <c r="Y106" s="5882">
        <f>IFERROR(IFERROR(INDEX(Q112:AB112,MATCH(U106,Q111:AB111,0)),INDEX(Q114:AB114,MATCH(U106,Q113:AB113,0))) * T106 * IF(ISBLANK(Q106), 1, Q106), 0)</f>
        <v>0</v>
      </c>
      <c r="Z106" s="5256">
        <f>(Q106/AA91)*AA89*V106</f>
        <v>0</v>
      </c>
      <c r="AA106" s="5252">
        <f>IF(ISBLANK(AA91), 0, (Y106 * V106) * (AA89 / AA91))</f>
        <v>0</v>
      </c>
      <c r="AB106" s="5260" t="str">
        <f>IF(COUNTIF(Q111:AB111,U106)&gt;0,IF(ROUND(AA106,3)&gt;=1,ROUND(AA106,3)&amp;" L",ROUND(AA106*100,0)&amp;" cl"),IF(COUNTIF(Q113:AB113,U106)&gt;0,IF(ROUND(AA106,3)&gt;=1,ROUND(AA106,3)&amp;" Kg",ROUND(AA106*1000,0)&amp;" g"),""))</f>
        <v/>
      </c>
      <c r="AC106" s="5817" t="str">
        <f t="shared" si="29"/>
        <v>►</v>
      </c>
      <c r="AD106" s="5883">
        <f>IF(Y110=0,0,Y106*AD95*1000/Y110)</f>
        <v>0</v>
      </c>
      <c r="AE106" s="5884">
        <f>IF(ISNUMBER(Q106),Q106*AD95/Y110,0)</f>
        <v>0</v>
      </c>
      <c r="AF106" s="5885"/>
      <c r="AG106" s="5886"/>
      <c r="AH106" s="5886"/>
      <c r="AI106" s="5886"/>
      <c r="AJ106" s="5899">
        <f t="shared" si="30"/>
        <v>0</v>
      </c>
      <c r="AK106" s="5888">
        <f>IF(OR(ISTEXT(Q106),Y110=0),0,Q106*AR88)</f>
        <v>0</v>
      </c>
      <c r="AL106" s="5886"/>
      <c r="AM106" s="5889">
        <f t="shared" si="26"/>
        <v>0</v>
      </c>
      <c r="AN106" s="8558">
        <f t="shared" si="31"/>
        <v>0</v>
      </c>
      <c r="AO106" s="5886"/>
      <c r="AP106" s="5890">
        <f>IF(Y106=0,0,Y106*AR88)</f>
        <v>0</v>
      </c>
      <c r="AQ106" s="5891" t="str">
        <f>IF(COUNTIF(AD111:AD121,U106)&gt;0,IF(ROUND(AP106,3)&gt;=1,ROUND(AP106,3)&amp;" L",ROUND(AP106*100,0)&amp;" cl"),IF(COUNTIF(AD122:AD132,U106)&gt;0,IF(ROUND(AP106,3)&gt;=1,ROUND(AP106,3)&amp;" Kg",ROUND(AP106*1000,0)&amp;" g"),""))</f>
        <v/>
      </c>
      <c r="AR106" s="5892">
        <f t="shared" si="27"/>
        <v>0</v>
      </c>
      <c r="AS106" s="7383"/>
      <c r="AT106" s="4"/>
      <c r="AU106" s="4"/>
      <c r="AV106" s="4"/>
      <c r="AW106" s="5818" t="str">
        <f t="shared" si="32"/>
        <v>►</v>
      </c>
      <c r="AX106" s="5950"/>
      <c r="AY106" s="5950"/>
      <c r="AZ106" s="5950"/>
      <c r="BA106" s="5950"/>
      <c r="BB106" s="5950"/>
      <c r="BC106" s="5661"/>
      <c r="BD106"/>
      <c r="BE106"/>
      <c r="BF106"/>
      <c r="BG106"/>
      <c r="BH106"/>
      <c r="BI106"/>
      <c r="BJ106"/>
      <c r="BL106" s="1079"/>
      <c r="BM106" s="1080"/>
      <c r="BN106" s="1081"/>
      <c r="BO106" s="1080"/>
      <c r="BP106" s="1080"/>
      <c r="BQ106" s="1080"/>
      <c r="BR106" s="1082"/>
      <c r="BX106" s="5">
        <v>1</v>
      </c>
    </row>
    <row r="107" spans="1:76" s="1" customFormat="1" ht="21" customHeight="1">
      <c r="A107" s="5641" t="s">
        <v>1</v>
      </c>
      <c r="B107" s="5662" t="str">
        <f t="shared" si="22"/>
        <v>►</v>
      </c>
      <c r="C107" s="5825" cm="1">
        <f t="array" ref="C107">SUMPRODUCT(LEN(D107:J107))</f>
        <v>0</v>
      </c>
      <c r="D107" s="5275"/>
      <c r="E107" s="1361"/>
      <c r="F107" s="1361"/>
      <c r="G107" s="1361"/>
      <c r="H107" s="1361"/>
      <c r="I107" s="1361"/>
      <c r="J107" s="5276"/>
      <c r="K107" s="106" t="s">
        <v>1</v>
      </c>
      <c r="L107" s="1021" t="str">
        <f t="shared" si="28"/>
        <v>►</v>
      </c>
      <c r="M107" s="41" t="str">
        <f>M92</f>
        <v>Pâtisserie-entremet.F.Feuilles de meringue</v>
      </c>
      <c r="N107" s="40">
        <f>N92</f>
        <v>18</v>
      </c>
      <c r="O107" s="40" t="str">
        <f>O92</f>
        <v>assiettes</v>
      </c>
      <c r="P107" s="40" t="str">
        <f>P92</f>
        <v>Recette mère ► MILLE-FEUILLE meringue et chiboust pamplemousse aux fraises des bois</v>
      </c>
      <c r="Q107" s="213"/>
      <c r="R107" s="212"/>
      <c r="S107" s="211" t="str">
        <f t="shared" si="25"/>
        <v/>
      </c>
      <c r="T107" s="210"/>
      <c r="U107" s="5259"/>
      <c r="V107" s="5576">
        <v>1</v>
      </c>
      <c r="W107" s="6866"/>
      <c r="X107" s="6871"/>
      <c r="Y107" s="5882">
        <f>IFERROR(IFERROR(INDEX(Q112:AB112,MATCH(U107,Q111:AB111,0)),INDEX(Q114:AB114,MATCH(U107,Q113:AB113,0))) * T107 * IF(ISBLANK(Q107), 1, Q107), 0)</f>
        <v>0</v>
      </c>
      <c r="Z107" s="5254">
        <f>(Q107/AA91)*AA89*V107</f>
        <v>0</v>
      </c>
      <c r="AA107" s="5252">
        <f>IF(ISBLANK(AA91), 0, (Y107 * V107) * (AA89 / AA91))</f>
        <v>0</v>
      </c>
      <c r="AB107" s="5255" t="str">
        <f>IF(COUNTIF(Q111:AB111,U107)&gt;0,IF(ROUND(AA107,3)&gt;=1,ROUND(AA107,3)&amp;" L",ROUND(AA107*100,0)&amp;" cl"),IF(COUNTIF(Q113:AB113,U107)&gt;0,IF(ROUND(AA107,3)&gt;=1,ROUND(AA107,3)&amp;" Kg",ROUND(AA107*1000,0)&amp;" g"),""))</f>
        <v/>
      </c>
      <c r="AC107" s="5817" t="str">
        <f t="shared" si="29"/>
        <v>►</v>
      </c>
      <c r="AD107" s="5883">
        <f>IF(Y110=0,0,Y107*AD95*1000/Y110)</f>
        <v>0</v>
      </c>
      <c r="AE107" s="5884">
        <f>IF(ISNUMBER(Q107),Q107*AD95/Y110,0)</f>
        <v>0</v>
      </c>
      <c r="AF107" s="5894"/>
      <c r="AG107" s="5804"/>
      <c r="AH107" s="5804"/>
      <c r="AI107" s="5804"/>
      <c r="AJ107" s="5902">
        <f t="shared" si="30"/>
        <v>0</v>
      </c>
      <c r="AK107" s="5896">
        <f>IF(OR(ISTEXT(Q107),Y110=0),0,Q107*AR88)</f>
        <v>0</v>
      </c>
      <c r="AL107" s="5804"/>
      <c r="AM107" s="5805">
        <f t="shared" si="26"/>
        <v>0</v>
      </c>
      <c r="AN107" s="5805">
        <f t="shared" si="31"/>
        <v>0</v>
      </c>
      <c r="AO107" s="5804"/>
      <c r="AP107" s="5788">
        <f>IF(Y107=0,0,Y107*AR88)</f>
        <v>0</v>
      </c>
      <c r="AQ107" s="5897" t="str">
        <f>IF(COUNTIF(AD111:AD121,U107)&gt;0,IF(ROUND(AP107,3)&gt;=1,ROUND(AP107,3)&amp;" L",ROUND(AP107*100,0)&amp;" cl"),IF(COUNTIF(AD122:AD132,U107)&gt;0,IF(ROUND(AP107,3)&gt;=1,ROUND(AP107,3)&amp;" Kg",ROUND(AP107*1000,0)&amp;" g"),""))</f>
        <v/>
      </c>
      <c r="AR107" s="5898">
        <f t="shared" si="27"/>
        <v>0</v>
      </c>
      <c r="AS107" s="7383"/>
      <c r="AT107" s="4"/>
      <c r="AU107" s="4"/>
      <c r="AV107" s="4"/>
      <c r="AW107" s="5818" t="str">
        <f t="shared" si="32"/>
        <v>►</v>
      </c>
      <c r="AX107" s="5950"/>
      <c r="AY107" s="5950"/>
      <c r="AZ107" s="5950"/>
      <c r="BA107" s="5950"/>
      <c r="BB107" s="5950"/>
      <c r="BC107" s="5661"/>
      <c r="BD107"/>
      <c r="BE107"/>
      <c r="BF107"/>
      <c r="BG107"/>
      <c r="BH107"/>
      <c r="BI107"/>
      <c r="BJ107"/>
      <c r="BL107" s="221"/>
      <c r="BM107" s="6024" t="s">
        <v>944</v>
      </c>
      <c r="BN107" s="498"/>
      <c r="BO107" s="141"/>
      <c r="BP107" s="141"/>
      <c r="BQ107" s="147"/>
      <c r="BR107" s="609"/>
      <c r="BX107" s="5">
        <v>1</v>
      </c>
    </row>
    <row r="108" spans="1:76" s="1" customFormat="1" ht="21" customHeight="1">
      <c r="A108" s="5641" t="s">
        <v>1</v>
      </c>
      <c r="B108" s="5662" t="str">
        <f t="shared" si="22"/>
        <v>►</v>
      </c>
      <c r="C108" s="5825" cm="1">
        <f t="array" ref="C108">SUMPRODUCT(LEN(D108:J108))</f>
        <v>0</v>
      </c>
      <c r="D108" s="5275"/>
      <c r="E108" s="1361"/>
      <c r="F108" s="1361"/>
      <c r="G108" s="1361"/>
      <c r="H108" s="1361"/>
      <c r="I108" s="1361"/>
      <c r="J108" s="5276"/>
      <c r="K108" s="106" t="s">
        <v>1</v>
      </c>
      <c r="L108" s="1021" t="str">
        <f t="shared" si="28"/>
        <v>►</v>
      </c>
      <c r="M108" s="41" t="str">
        <f>M93</f>
        <v>Pâtisserie-entremet.F.Feuilles de meringue</v>
      </c>
      <c r="N108" s="40">
        <f>N92</f>
        <v>18</v>
      </c>
      <c r="O108" s="40" t="str">
        <f>O92</f>
        <v>assiettes</v>
      </c>
      <c r="P108" s="40" t="str">
        <f>P92</f>
        <v>Recette mère ► MILLE-FEUILLE meringue et chiboust pamplemousse aux fraises des bois</v>
      </c>
      <c r="Q108" s="213"/>
      <c r="R108" s="212"/>
      <c r="S108" s="211" t="str">
        <f t="shared" si="25"/>
        <v/>
      </c>
      <c r="T108" s="210"/>
      <c r="U108" s="5259"/>
      <c r="V108" s="5576">
        <v>1</v>
      </c>
      <c r="W108" s="6866"/>
      <c r="X108" s="6871"/>
      <c r="Y108" s="5882">
        <f>IFERROR(IFERROR(INDEX(Q112:AB112,MATCH(U108,Q111:AB111,0)),INDEX(Q114:AB114,MATCH(U108,Q113:AB113,0))) * T108 * IF(ISBLANK(Q108), 1, Q108), 0)</f>
        <v>0</v>
      </c>
      <c r="Z108" s="5254">
        <f>(Q108/AA91)*AA89*V108</f>
        <v>0</v>
      </c>
      <c r="AA108" s="5252">
        <f>IF(ISBLANK(AA91), 0, (Y108 * V108) * (AA89 / AA91))</f>
        <v>0</v>
      </c>
      <c r="AB108" s="5260" t="str">
        <f>IF(COUNTIF(Q111:AB111,U108)&gt;0,IF(ROUND(AA108,3)&gt;=1,ROUND(AA108,3)&amp;" L",ROUND(AA108*100,0)&amp;" cl"),IF(COUNTIF(Q113:AB113,U108)&gt;0,IF(ROUND(AA108,3)&gt;=1,ROUND(AA108,3)&amp;" Kg",ROUND(AA108*1000,0)&amp;" g"),""))</f>
        <v/>
      </c>
      <c r="AC108" s="5817" t="str">
        <f t="shared" si="29"/>
        <v>►</v>
      </c>
      <c r="AD108" s="5883">
        <f>IF(Y110=0,0,Y108*AD95*1000/Y110)</f>
        <v>0</v>
      </c>
      <c r="AE108" s="5884">
        <f>IF(ISNUMBER(Q108),Q108*AD95/Y110,0)</f>
        <v>0</v>
      </c>
      <c r="AF108" s="5885"/>
      <c r="AG108" s="5886"/>
      <c r="AH108" s="5886"/>
      <c r="AI108" s="5886"/>
      <c r="AJ108" s="5899">
        <f t="shared" si="30"/>
        <v>0</v>
      </c>
      <c r="AK108" s="5888">
        <f>IF(OR(ISTEXT(Q108),Y110=0),0,Q108*AR88)</f>
        <v>0</v>
      </c>
      <c r="AL108" s="5886"/>
      <c r="AM108" s="5889">
        <f t="shared" si="26"/>
        <v>0</v>
      </c>
      <c r="AN108" s="8558">
        <f t="shared" si="31"/>
        <v>0</v>
      </c>
      <c r="AO108" s="5886"/>
      <c r="AP108" s="5890">
        <f>IF(Y108=0,0,Y108*AR88)</f>
        <v>0</v>
      </c>
      <c r="AQ108" s="5891" t="str">
        <f>IF(COUNTIF(AD111:AD121,U108)&gt;0,IF(ROUND(AP108,3)&gt;=1,ROUND(AP108,3)&amp;" L",ROUND(AP108*100,0)&amp;" cl"),IF(COUNTIF(AD122:AD132,U108)&gt;0,IF(ROUND(AP108,3)&gt;=1,ROUND(AP108,3)&amp;" Kg",ROUND(AP108*1000,0)&amp;" g"),""))</f>
        <v/>
      </c>
      <c r="AR108" s="5892">
        <f t="shared" si="27"/>
        <v>0</v>
      </c>
      <c r="AS108" s="7383"/>
      <c r="AT108" s="4"/>
      <c r="AU108" s="4"/>
      <c r="AV108" s="4"/>
      <c r="AW108" s="5818" t="str">
        <f t="shared" si="32"/>
        <v>►</v>
      </c>
      <c r="AX108" s="5950"/>
      <c r="AY108" s="5950"/>
      <c r="AZ108" s="5950"/>
      <c r="BA108" s="5950"/>
      <c r="BB108" s="5950"/>
      <c r="BC108" s="5661"/>
      <c r="BD108"/>
      <c r="BE108"/>
      <c r="BF108"/>
      <c r="BG108"/>
      <c r="BH108"/>
      <c r="BI108"/>
      <c r="BJ108"/>
      <c r="BL108" s="221"/>
      <c r="BM108" s="6020" t="s">
        <v>949</v>
      </c>
      <c r="BN108" s="498"/>
      <c r="BO108" s="141"/>
      <c r="BP108" s="141"/>
      <c r="BQ108" s="147"/>
      <c r="BR108" s="609"/>
      <c r="BX108" s="5">
        <v>1</v>
      </c>
    </row>
    <row r="109" spans="1:76" s="1" customFormat="1" ht="21" customHeight="1">
      <c r="A109" s="5641" t="s">
        <v>1</v>
      </c>
      <c r="B109" s="5662" t="str">
        <f t="shared" si="22"/>
        <v>►</v>
      </c>
      <c r="C109" s="5825" cm="1">
        <f t="array" ref="C109">SUMPRODUCT(LEN(D109:J109))</f>
        <v>0</v>
      </c>
      <c r="D109" s="5275"/>
      <c r="E109" s="1361"/>
      <c r="F109" s="1361"/>
      <c r="G109" s="1361"/>
      <c r="H109" s="1361"/>
      <c r="I109" s="1361"/>
      <c r="J109" s="5276"/>
      <c r="K109" s="106" t="s">
        <v>1</v>
      </c>
      <c r="L109" s="1021" t="str">
        <f t="shared" si="28"/>
        <v>►</v>
      </c>
      <c r="M109" s="41" t="str">
        <f>M92</f>
        <v>Pâtisserie-entremet.F.Feuilles de meringue</v>
      </c>
      <c r="N109" s="40">
        <f>N92</f>
        <v>18</v>
      </c>
      <c r="O109" s="40" t="str">
        <f>O92</f>
        <v>assiettes</v>
      </c>
      <c r="P109" s="40" t="str">
        <f>P92</f>
        <v>Recette mère ► MILLE-FEUILLE meringue et chiboust pamplemousse aux fraises des bois</v>
      </c>
      <c r="Q109" s="213"/>
      <c r="R109" s="212"/>
      <c r="S109" s="211" t="str">
        <f t="shared" si="25"/>
        <v/>
      </c>
      <c r="T109" s="210"/>
      <c r="U109" s="5259"/>
      <c r="V109" s="5576">
        <v>1</v>
      </c>
      <c r="W109" s="6866"/>
      <c r="X109" s="6871"/>
      <c r="Y109" s="5882">
        <f>IFERROR(IFERROR(INDEX(Q112:AB112,MATCH(U109,Q111:AB111,0)),INDEX(Q114:AB114,MATCH(U109,Q113:AB113,0))) * T109 * IF(ISBLANK(Q109), 1, Q109), 0)</f>
        <v>0</v>
      </c>
      <c r="Z109" s="5254">
        <f>(Q109/AA91)*AA89*V109</f>
        <v>0</v>
      </c>
      <c r="AA109" s="5252">
        <f>IF(ISBLANK(AA91), 0, (Y109 * V109) * (AA89 / AA91))</f>
        <v>0</v>
      </c>
      <c r="AB109" s="5255" t="str">
        <f>IF(COUNTIF(Q111:AB111,U109)&gt;0,IF(ROUND(AA109,3)&gt;=1,ROUND(AA109,3)&amp;" L",ROUND(AA109*100,0)&amp;" cl"),IF(COUNTIF(Q113:AB113,U109)&gt;0,IF(ROUND(AA109,3)&gt;=1,ROUND(AA109,3)&amp;" Kg",ROUND(AA109*1000,0)&amp;" g"),""))</f>
        <v/>
      </c>
      <c r="AC109" s="5817" t="str">
        <f t="shared" si="29"/>
        <v>►</v>
      </c>
      <c r="AD109" s="5883">
        <f>IF(Y110=0,0,Y109*AD95*1000/Y110)</f>
        <v>0</v>
      </c>
      <c r="AE109" s="5884">
        <f>IF(ISNUMBER(Q109),Q109*AD95/Y110,0)</f>
        <v>0</v>
      </c>
      <c r="AF109" s="5894"/>
      <c r="AG109" s="5804"/>
      <c r="AH109" s="5804"/>
      <c r="AI109" s="5804"/>
      <c r="AJ109" s="5902">
        <f t="shared" si="30"/>
        <v>0</v>
      </c>
      <c r="AK109" s="5896">
        <f>IF(OR(ISTEXT(Q109),Y110=0),0,Q109*AR88)</f>
        <v>0</v>
      </c>
      <c r="AL109" s="5804"/>
      <c r="AM109" s="5805">
        <f t="shared" si="26"/>
        <v>0</v>
      </c>
      <c r="AN109" s="5805">
        <f t="shared" si="31"/>
        <v>0</v>
      </c>
      <c r="AO109" s="5804"/>
      <c r="AP109" s="5788">
        <f>IF(Y109=0,0,Y109*AR88)</f>
        <v>0</v>
      </c>
      <c r="AQ109" s="5897" t="str">
        <f>IF(COUNTIF(AD111:AD121,U109)&gt;0,IF(ROUND(AP109,3)&gt;=1,ROUND(AP109,3)&amp;" L",ROUND(AP109*100,0)&amp;" cl"),IF(COUNTIF(AD122:AD132,U109)&gt;0,IF(ROUND(AP109,3)&gt;=1,ROUND(AP109,3)&amp;" Kg",ROUND(AP109*1000,0)&amp;" g"),""))</f>
        <v/>
      </c>
      <c r="AR109" s="5898">
        <f t="shared" si="27"/>
        <v>0</v>
      </c>
      <c r="AS109" s="7383"/>
      <c r="AT109" s="4"/>
      <c r="AU109" s="4"/>
      <c r="AV109" s="4"/>
      <c r="AW109" s="5818" t="str">
        <f t="shared" si="32"/>
        <v>►</v>
      </c>
      <c r="AX109" s="5950"/>
      <c r="AY109" s="5950"/>
      <c r="AZ109" s="5950"/>
      <c r="BA109" s="5950"/>
      <c r="BB109" s="5950"/>
      <c r="BC109" s="5661"/>
      <c r="BD109"/>
      <c r="BE109"/>
      <c r="BF109"/>
      <c r="BG109"/>
      <c r="BH109"/>
      <c r="BI109"/>
      <c r="BJ109"/>
      <c r="BL109" s="221"/>
      <c r="BM109" s="478" t="s">
        <v>8588</v>
      </c>
      <c r="BN109" s="2654"/>
      <c r="BO109" s="141"/>
      <c r="BP109" s="141"/>
      <c r="BQ109" s="147"/>
      <c r="BR109" s="609"/>
      <c r="BX109" s="5">
        <v>1</v>
      </c>
    </row>
    <row r="110" spans="1:76" s="1" customFormat="1" ht="21" customHeight="1">
      <c r="A110" s="5641" t="s">
        <v>1</v>
      </c>
      <c r="B110" s="5662" t="str">
        <f t="shared" si="22"/>
        <v>A</v>
      </c>
      <c r="C110" s="5825" cm="1">
        <f t="array" ref="C110">SUMPRODUCT(LEN(D110:J110))</f>
        <v>0</v>
      </c>
      <c r="D110" s="5275"/>
      <c r="E110" s="1361"/>
      <c r="F110" s="1361"/>
      <c r="G110" s="1361"/>
      <c r="H110" s="1361"/>
      <c r="I110" s="1361"/>
      <c r="J110" s="5276"/>
      <c r="K110" s="106" t="s">
        <v>1</v>
      </c>
      <c r="L110" s="1021" t="s">
        <v>21</v>
      </c>
      <c r="M110" s="41" t="str">
        <f>M92</f>
        <v>Pâtisserie-entremet.F.Feuilles de meringue</v>
      </c>
      <c r="N110" s="40">
        <f>N92</f>
        <v>18</v>
      </c>
      <c r="O110" s="40" t="str">
        <f>O92</f>
        <v>assiettes</v>
      </c>
      <c r="P110" s="40" t="str">
        <f>P92</f>
        <v>Recette mère ► MILLE-FEUILLE meringue et chiboust pamplemousse aux fraises des bois</v>
      </c>
      <c r="Q110" s="5921" t="s">
        <v>8535</v>
      </c>
      <c r="R110" s="5261"/>
      <c r="S110" s="5261"/>
      <c r="T110" s="5261"/>
      <c r="U110" s="5261"/>
      <c r="V110" s="5261"/>
      <c r="W110" s="5262" t="str">
        <f>"portion de " &amp; TEXT((Y110/Q90)*1000,"0.0") &amp; " g"</f>
        <v>portion de 18.3 g</v>
      </c>
      <c r="X110" s="5262"/>
      <c r="Y110" s="5263">
        <f>SUM(Y96:Y109)</f>
        <v>0.33000000000000007</v>
      </c>
      <c r="Z110" s="5264" t="s">
        <v>1069</v>
      </c>
      <c r="AA110" s="5265">
        <f>SUM(AA96:AA109)</f>
        <v>1.8333333333333335</v>
      </c>
      <c r="AB110" s="5922"/>
      <c r="AC110" s="5817" t="str">
        <f t="shared" si="29"/>
        <v>A</v>
      </c>
      <c r="AD110" s="5923">
        <f>SUM(AD96:AD109)/1000</f>
        <v>0.99999999999999967</v>
      </c>
      <c r="AE110" s="5924" t="str">
        <f>"= "&amp;IF(AD110&gt;0,AA91 &amp; " portions de " &amp; ROUND(AD110/AA91,3) &amp; " g","")</f>
        <v>= 18 portions de 0.056 g</v>
      </c>
      <c r="AF110" s="5925"/>
      <c r="AG110" s="5926"/>
      <c r="AH110" s="5927"/>
      <c r="AI110" s="5927"/>
      <c r="AJ110" s="5928"/>
      <c r="AK110" s="5924"/>
      <c r="AL110" s="5929"/>
      <c r="AM110" s="5930"/>
      <c r="AN110" s="5930"/>
      <c r="AO110" s="5929"/>
      <c r="AP110" s="5931">
        <f>SUM(AP96:AP109)</f>
        <v>0.82499999999999996</v>
      </c>
      <c r="AQ110" s="5931"/>
      <c r="AR110" s="5932"/>
      <c r="AS110" s="7383"/>
      <c r="AT110" s="4"/>
      <c r="AU110" s="4"/>
      <c r="AV110" s="4"/>
      <c r="AW110" s="5818" t="str">
        <f t="shared" si="32"/>
        <v>A</v>
      </c>
      <c r="AX110" s="5950"/>
      <c r="AY110" s="5950"/>
      <c r="AZ110" s="5950"/>
      <c r="BA110" s="5950"/>
      <c r="BB110" s="5950"/>
      <c r="BC110" s="5661"/>
      <c r="BD110"/>
      <c r="BE110"/>
      <c r="BF110"/>
      <c r="BG110"/>
      <c r="BH110"/>
      <c r="BI110"/>
      <c r="BJ110"/>
      <c r="BL110" s="221"/>
      <c r="BM110" s="6025">
        <v>1</v>
      </c>
      <c r="BN110" s="1120" t="s">
        <v>8589</v>
      </c>
      <c r="BO110" s="141"/>
      <c r="BP110" s="141"/>
      <c r="BQ110" s="147"/>
      <c r="BR110" s="609"/>
      <c r="BX110" s="5">
        <v>1</v>
      </c>
    </row>
    <row r="111" spans="1:76" s="1" customFormat="1" ht="21" customHeight="1">
      <c r="A111" s="5641" t="s">
        <v>1</v>
      </c>
      <c r="B111" s="5662" t="str">
        <f t="shared" si="22"/>
        <v>►</v>
      </c>
      <c r="C111" s="5825" cm="1">
        <f t="array" ref="C111">SUMPRODUCT(LEN(D111:J111))</f>
        <v>0</v>
      </c>
      <c r="D111" s="5275"/>
      <c r="E111" s="1361"/>
      <c r="F111" s="1361"/>
      <c r="G111" s="1361"/>
      <c r="H111" s="1361"/>
      <c r="I111" s="1361"/>
      <c r="J111" s="5276"/>
      <c r="K111" s="106" t="s">
        <v>1</v>
      </c>
      <c r="L111" s="1021" t="s">
        <v>26</v>
      </c>
      <c r="M111" s="41" t="str">
        <f>M92</f>
        <v>Pâtisserie-entremet.F.Feuilles de meringue</v>
      </c>
      <c r="N111" s="40">
        <f>N92</f>
        <v>18</v>
      </c>
      <c r="O111" s="40" t="str">
        <f>O92</f>
        <v>assiettes</v>
      </c>
      <c r="P111" s="40" t="str">
        <f>P92</f>
        <v>Recette mère ► MILLE-FEUILLE meringue et chiboust pamplemousse aux fraises des bois</v>
      </c>
      <c r="Q111" s="5129" t="s">
        <v>88</v>
      </c>
      <c r="R111" s="5129" t="s">
        <v>172</v>
      </c>
      <c r="S111" s="5129" t="s">
        <v>170</v>
      </c>
      <c r="T111" s="5129" t="s">
        <v>166</v>
      </c>
      <c r="U111" s="5131" t="s">
        <v>946</v>
      </c>
      <c r="V111" s="5131" t="s">
        <v>8011</v>
      </c>
      <c r="W111" s="5131" t="s">
        <v>124</v>
      </c>
      <c r="X111" s="6286"/>
      <c r="Y111" s="5131" t="s">
        <v>164</v>
      </c>
      <c r="Z111" s="5131" t="s">
        <v>159</v>
      </c>
      <c r="AA111" s="5131" t="s">
        <v>8012</v>
      </c>
      <c r="AB111" s="5131" t="s">
        <v>8013</v>
      </c>
      <c r="AC111" s="5933" t="str">
        <f>IF(COUNTIF(AF112:AR112,"&lt;&gt;")&gt;0,"A","►")</f>
        <v>►</v>
      </c>
      <c r="AD111" s="5934" t="s">
        <v>88</v>
      </c>
      <c r="AE111" s="5935">
        <v>1</v>
      </c>
      <c r="AF111" s="5936"/>
      <c r="AG111" s="5936"/>
      <c r="AH111" s="5936"/>
      <c r="AI111" s="5937" t="s">
        <v>8536</v>
      </c>
      <c r="AJ111" s="5805"/>
      <c r="AK111" s="5805"/>
      <c r="AL111" s="5804"/>
      <c r="AM111" s="5804"/>
      <c r="AN111" s="5804"/>
      <c r="AO111" s="5804"/>
      <c r="AP111" s="5804"/>
      <c r="AQ111" s="5804"/>
      <c r="AR111" s="5938" t="s">
        <v>8537</v>
      </c>
      <c r="AS111" s="7383"/>
      <c r="AT111" s="4"/>
      <c r="AU111" s="4"/>
      <c r="AV111" s="4"/>
      <c r="AW111" s="5818" t="str">
        <f t="shared" si="32"/>
        <v>►</v>
      </c>
      <c r="AX111" s="5950"/>
      <c r="AY111" s="5950"/>
      <c r="AZ111" s="5950"/>
      <c r="BA111" s="5950"/>
      <c r="BB111" s="5950"/>
      <c r="BC111" s="5661"/>
      <c r="BD111"/>
      <c r="BE111"/>
      <c r="BF111"/>
      <c r="BG111"/>
      <c r="BH111"/>
      <c r="BI111"/>
      <c r="BJ111"/>
      <c r="BL111" s="221"/>
      <c r="BM111" s="6025">
        <v>4</v>
      </c>
      <c r="BN111" s="1120" t="s">
        <v>8590</v>
      </c>
      <c r="BO111" s="141"/>
      <c r="BP111" s="141"/>
      <c r="BQ111" s="147"/>
      <c r="BR111" s="609"/>
      <c r="BX111" s="5">
        <v>1</v>
      </c>
    </row>
    <row r="112" spans="1:76" s="1" customFormat="1" ht="21" customHeight="1">
      <c r="A112" s="5641" t="s">
        <v>1</v>
      </c>
      <c r="B112" s="5662" t="str">
        <f t="shared" si="22"/>
        <v>►</v>
      </c>
      <c r="C112" s="5825" cm="1">
        <f t="array" ref="C112">SUMPRODUCT(LEN(D112:J112))</f>
        <v>0</v>
      </c>
      <c r="D112" s="5275"/>
      <c r="E112" s="1361"/>
      <c r="F112" s="1361"/>
      <c r="G112" s="1361"/>
      <c r="H112" s="1361"/>
      <c r="I112" s="1361"/>
      <c r="J112" s="5276"/>
      <c r="K112" s="106" t="s">
        <v>1</v>
      </c>
      <c r="L112" s="1021" t="s">
        <v>26</v>
      </c>
      <c r="M112" s="41" t="str">
        <f>M92</f>
        <v>Pâtisserie-entremet.F.Feuilles de meringue</v>
      </c>
      <c r="N112" s="40">
        <f>N92</f>
        <v>18</v>
      </c>
      <c r="O112" s="40" t="str">
        <f>O92</f>
        <v>assiettes</v>
      </c>
      <c r="P112" s="40" t="str">
        <f>P92</f>
        <v>Recette mère ► MILLE-FEUILLE meringue et chiboust pamplemousse aux fraises des bois</v>
      </c>
      <c r="Q112" s="5935">
        <v>1</v>
      </c>
      <c r="R112" s="5935">
        <v>0.1</v>
      </c>
      <c r="S112" s="5943">
        <v>0.01</v>
      </c>
      <c r="T112" s="5935">
        <v>1E-3</v>
      </c>
      <c r="U112" s="5935">
        <v>0.01</v>
      </c>
      <c r="V112" s="5935">
        <v>0.1</v>
      </c>
      <c r="W112" s="5935">
        <v>0.22500000000000001</v>
      </c>
      <c r="X112" s="5935"/>
      <c r="Y112" s="5935">
        <v>0.25</v>
      </c>
      <c r="Z112" s="5935">
        <v>0.5</v>
      </c>
      <c r="AA112" s="5935">
        <v>0.33300000000000002</v>
      </c>
      <c r="AB112" s="5935">
        <v>0.2</v>
      </c>
      <c r="AC112" s="5933" t="str">
        <f>IF(COUNTIF(AF112:AR112,"&lt;&gt;")&gt;0,"A","►")</f>
        <v>►</v>
      </c>
      <c r="AD112" s="5944" t="s">
        <v>172</v>
      </c>
      <c r="AE112" s="5935">
        <v>0.1</v>
      </c>
      <c r="AF112" s="5945"/>
      <c r="AG112" s="5945"/>
      <c r="AH112" s="5945"/>
      <c r="AI112" s="5945"/>
      <c r="AJ112" s="5945"/>
      <c r="AK112" s="5945"/>
      <c r="AL112" s="5945"/>
      <c r="AM112" s="5945"/>
      <c r="AN112" s="5945"/>
      <c r="AO112" s="5945"/>
      <c r="AP112" s="5945"/>
      <c r="AQ112" s="5945"/>
      <c r="AR112" s="5946"/>
      <c r="AS112" s="7383"/>
      <c r="AT112" s="4"/>
      <c r="AU112" s="4"/>
      <c r="AV112" s="4"/>
      <c r="AW112" s="5818" t="str">
        <f t="shared" si="32"/>
        <v>►</v>
      </c>
      <c r="AX112" s="5950"/>
      <c r="AY112" s="5950"/>
      <c r="AZ112" s="5950"/>
      <c r="BA112" s="5950"/>
      <c r="BB112" s="5950"/>
      <c r="BC112" s="5661"/>
      <c r="BD112"/>
      <c r="BE112"/>
      <c r="BF112"/>
      <c r="BG112"/>
      <c r="BH112"/>
      <c r="BI112"/>
      <c r="BJ112"/>
      <c r="BL112" s="221"/>
      <c r="BM112" s="6025">
        <v>10</v>
      </c>
      <c r="BN112" s="1120" t="s">
        <v>73</v>
      </c>
      <c r="BO112" s="141"/>
      <c r="BP112" s="141"/>
      <c r="BQ112" s="147"/>
      <c r="BR112" s="609"/>
      <c r="BX112" s="5">
        <v>1</v>
      </c>
    </row>
    <row r="113" spans="1:76" s="1" customFormat="1" ht="21" customHeight="1">
      <c r="A113" s="5641" t="s">
        <v>1</v>
      </c>
      <c r="B113" s="5662" t="str">
        <f t="shared" si="22"/>
        <v>►</v>
      </c>
      <c r="C113" s="5825" cm="1">
        <f t="array" ref="C113">SUMPRODUCT(LEN(D113:J113))</f>
        <v>0</v>
      </c>
      <c r="D113" s="5275"/>
      <c r="E113" s="1361"/>
      <c r="F113" s="1361"/>
      <c r="G113" s="1361"/>
      <c r="H113" s="1361"/>
      <c r="I113" s="1361"/>
      <c r="J113" s="5276"/>
      <c r="K113" s="106" t="s">
        <v>1</v>
      </c>
      <c r="L113" s="1021" t="s">
        <v>26</v>
      </c>
      <c r="M113" s="41" t="str">
        <f>M92</f>
        <v>Pâtisserie-entremet.F.Feuilles de meringue</v>
      </c>
      <c r="N113" s="40">
        <f>N92</f>
        <v>18</v>
      </c>
      <c r="O113" s="40" t="str">
        <f>O92</f>
        <v>assiettes</v>
      </c>
      <c r="P113" s="40" t="str">
        <f>P92</f>
        <v>Recette mère ► MILLE-FEUILLE meringue et chiboust pamplemousse aux fraises des bois</v>
      </c>
      <c r="Q113" s="5124" t="s">
        <v>130</v>
      </c>
      <c r="R113" s="5128" t="s">
        <v>219</v>
      </c>
      <c r="S113" s="5266" t="s">
        <v>8014</v>
      </c>
      <c r="T113" s="5267" t="s">
        <v>188</v>
      </c>
      <c r="U113" s="5132" t="s">
        <v>176</v>
      </c>
      <c r="V113" s="5132" t="s">
        <v>179</v>
      </c>
      <c r="W113" s="5268" t="s">
        <v>122</v>
      </c>
      <c r="X113" s="6289"/>
      <c r="Y113" s="5268" t="s">
        <v>113</v>
      </c>
      <c r="Z113" s="5268" t="s">
        <v>112</v>
      </c>
      <c r="AA113" s="5268" t="s">
        <v>8015</v>
      </c>
      <c r="AB113" s="5268" t="s">
        <v>8016</v>
      </c>
      <c r="AC113" s="5933" t="str">
        <f>IF(COUNTIF(AF113:AR113,"&lt;&gt;")&gt;0,"A","►")</f>
        <v>►</v>
      </c>
      <c r="AD113" s="5944" t="s">
        <v>170</v>
      </c>
      <c r="AE113" s="5935">
        <v>0.01</v>
      </c>
      <c r="AF113" s="5945"/>
      <c r="AG113" s="5945"/>
      <c r="AH113" s="5945"/>
      <c r="AI113" s="5945"/>
      <c r="AJ113" s="5945"/>
      <c r="AK113" s="5945"/>
      <c r="AL113" s="5945"/>
      <c r="AM113" s="5945"/>
      <c r="AN113" s="5945"/>
      <c r="AO113" s="5945"/>
      <c r="AP113" s="5945"/>
      <c r="AQ113" s="5945"/>
      <c r="AR113" s="5946"/>
      <c r="AS113" s="7383"/>
      <c r="AT113" s="4"/>
      <c r="AU113" s="4"/>
      <c r="AV113" s="4"/>
      <c r="AW113" s="5818" t="str">
        <f t="shared" si="32"/>
        <v>►</v>
      </c>
      <c r="AX113" s="5950"/>
      <c r="AY113" s="5950"/>
      <c r="AZ113" s="5950"/>
      <c r="BA113" s="5950"/>
      <c r="BB113" s="5950"/>
      <c r="BC113" s="5661"/>
      <c r="BD113"/>
      <c r="BE113"/>
      <c r="BF113"/>
      <c r="BG113"/>
      <c r="BH113"/>
      <c r="BI113"/>
      <c r="BJ113"/>
      <c r="BL113" s="221"/>
      <c r="BM113" s="478" t="s">
        <v>8591</v>
      </c>
      <c r="BN113" s="498"/>
      <c r="BO113" s="498"/>
      <c r="BP113" s="498"/>
      <c r="BQ113" s="498"/>
      <c r="BR113" s="6026"/>
      <c r="BX113" s="5">
        <v>1</v>
      </c>
    </row>
    <row r="114" spans="1:76" s="1" customFormat="1" ht="21" customHeight="1">
      <c r="A114" s="5641" t="s">
        <v>1</v>
      </c>
      <c r="B114" s="5662" t="str">
        <f t="shared" si="22"/>
        <v>►</v>
      </c>
      <c r="C114" s="5825" cm="1">
        <f t="array" ref="C114">SUMPRODUCT(LEN(D114:J114))</f>
        <v>0</v>
      </c>
      <c r="D114" s="5275"/>
      <c r="E114" s="1361"/>
      <c r="F114" s="1361"/>
      <c r="G114" s="1361"/>
      <c r="H114" s="1361"/>
      <c r="I114" s="1361"/>
      <c r="J114" s="5276"/>
      <c r="K114" s="106" t="s">
        <v>1</v>
      </c>
      <c r="L114" s="1021" t="s">
        <v>26</v>
      </c>
      <c r="M114" s="41" t="str">
        <f>M92</f>
        <v>Pâtisserie-entremet.F.Feuilles de meringue</v>
      </c>
      <c r="N114" s="40">
        <f>N92</f>
        <v>18</v>
      </c>
      <c r="O114" s="40" t="str">
        <f>O92</f>
        <v>assiettes</v>
      </c>
      <c r="P114" s="40" t="str">
        <f>P92</f>
        <v>Recette mère ► MILLE-FEUILLE meringue et chiboust pamplemousse aux fraises des bois</v>
      </c>
      <c r="Q114" s="5949">
        <v>1E-3</v>
      </c>
      <c r="R114" s="5949">
        <v>1</v>
      </c>
      <c r="S114" s="5949">
        <v>0</v>
      </c>
      <c r="T114" s="5949">
        <v>0.25</v>
      </c>
      <c r="U114" s="5949">
        <v>0.33332999999999996</v>
      </c>
      <c r="V114" s="5949">
        <v>0.5</v>
      </c>
      <c r="W114" s="5949">
        <v>2.835E-2</v>
      </c>
      <c r="X114" s="5949"/>
      <c r="Y114" s="5949">
        <v>0.13</v>
      </c>
      <c r="Z114" s="5949">
        <v>0.2</v>
      </c>
      <c r="AA114" s="5949">
        <v>0.23</v>
      </c>
      <c r="AB114" s="5949">
        <v>0.24</v>
      </c>
      <c r="AC114" s="5933" t="str">
        <f t="shared" ref="AC114:AC123" si="33">IF(COUNTIF(AF114:AR114,"&lt;&gt;")&gt;0,"A","►")</f>
        <v>►</v>
      </c>
      <c r="AD114" s="5944" t="s">
        <v>166</v>
      </c>
      <c r="AE114" s="5935">
        <v>1E-3</v>
      </c>
      <c r="AF114" s="5945"/>
      <c r="AG114" s="5945"/>
      <c r="AH114" s="5945"/>
      <c r="AI114" s="5945"/>
      <c r="AJ114" s="5945"/>
      <c r="AK114" s="5945"/>
      <c r="AL114" s="5945"/>
      <c r="AM114" s="5945"/>
      <c r="AN114" s="5945"/>
      <c r="AO114" s="5945"/>
      <c r="AP114" s="5945"/>
      <c r="AQ114" s="5945"/>
      <c r="AR114" s="5946"/>
      <c r="AS114" s="7383"/>
      <c r="AT114" s="4"/>
      <c r="AU114" s="4"/>
      <c r="AV114" s="4"/>
      <c r="AW114" s="5818" t="str">
        <f t="shared" si="32"/>
        <v>►</v>
      </c>
      <c r="AX114" s="5950"/>
      <c r="AY114" s="5950"/>
      <c r="AZ114" s="5950"/>
      <c r="BA114" s="5950"/>
      <c r="BB114" s="5950"/>
      <c r="BC114" s="5661"/>
      <c r="BD114"/>
      <c r="BE114"/>
      <c r="BF114"/>
      <c r="BG114"/>
      <c r="BH114"/>
      <c r="BI114"/>
      <c r="BJ114"/>
      <c r="BL114" s="221"/>
      <c r="BM114" s="7132" t="s">
        <v>8592</v>
      </c>
      <c r="BN114" s="7132"/>
      <c r="BO114" s="7132"/>
      <c r="BP114" s="7132"/>
      <c r="BQ114" s="7132"/>
      <c r="BR114" s="7133"/>
      <c r="BX114" s="5">
        <v>1</v>
      </c>
    </row>
    <row r="115" spans="1:76" s="1" customFormat="1" ht="21" customHeight="1">
      <c r="A115" s="5641" t="s">
        <v>1</v>
      </c>
      <c r="B115" s="5662" t="str">
        <f t="shared" si="22"/>
        <v>A</v>
      </c>
      <c r="C115" s="5825" cm="1">
        <f t="array" ref="C115">SUMPRODUCT(LEN(D115:J115))</f>
        <v>0</v>
      </c>
      <c r="D115" s="5275"/>
      <c r="E115" s="1361"/>
      <c r="F115" s="1361"/>
      <c r="G115" s="1361"/>
      <c r="H115" s="1361"/>
      <c r="I115" s="1361"/>
      <c r="J115" s="5276"/>
      <c r="K115" s="106" t="s">
        <v>1</v>
      </c>
      <c r="L115" s="5269" t="s">
        <v>21</v>
      </c>
      <c r="M115" s="1313" t="str">
        <f>M92</f>
        <v>Pâtisserie-entremet.F.Feuilles de meringue</v>
      </c>
      <c r="N115" s="1313">
        <f>N92</f>
        <v>18</v>
      </c>
      <c r="O115" s="1313" t="str">
        <f>O92</f>
        <v>assiettes</v>
      </c>
      <c r="P115" s="1313" t="str">
        <f>P92</f>
        <v>Recette mère ► MILLE-FEUILLE meringue et chiboust pamplemousse aux fraises des bois</v>
      </c>
      <c r="Q115" s="1314" t="s">
        <v>218</v>
      </c>
      <c r="R115" s="1314">
        <v>11</v>
      </c>
      <c r="S115" s="1315" t="s">
        <v>1108</v>
      </c>
      <c r="T115" s="1316"/>
      <c r="U115" s="1316"/>
      <c r="V115" s="1317"/>
      <c r="W115" s="8541"/>
      <c r="X115" s="5957"/>
      <c r="Y115" s="5320"/>
      <c r="Z115" s="5320"/>
      <c r="AA115" s="5321" t="s">
        <v>1156</v>
      </c>
      <c r="AB115" s="5958" t="s">
        <v>1155</v>
      </c>
      <c r="AC115" s="5933" t="str">
        <f t="shared" si="33"/>
        <v>►</v>
      </c>
      <c r="AD115" s="5959" t="s">
        <v>946</v>
      </c>
      <c r="AE115" s="5935">
        <v>0.01</v>
      </c>
      <c r="AF115" s="5945"/>
      <c r="AG115" s="5945"/>
      <c r="AH115" s="5945"/>
      <c r="AI115" s="5945"/>
      <c r="AJ115" s="5945"/>
      <c r="AK115" s="5945"/>
      <c r="AL115" s="5945"/>
      <c r="AM115" s="5945"/>
      <c r="AN115" s="5945"/>
      <c r="AO115" s="5945"/>
      <c r="AP115" s="5945"/>
      <c r="AQ115" s="5945"/>
      <c r="AR115" s="5946"/>
      <c r="AS115" s="7383"/>
      <c r="AT115" s="4"/>
      <c r="AU115" s="4"/>
      <c r="AV115" s="4"/>
      <c r="AW115" s="5818" t="str">
        <f t="shared" si="32"/>
        <v>►</v>
      </c>
      <c r="AX115" s="5950"/>
      <c r="AY115" s="5950"/>
      <c r="AZ115" s="5950"/>
      <c r="BA115" s="5950"/>
      <c r="BB115" s="5950"/>
      <c r="BC115" s="5661"/>
      <c r="BD115"/>
      <c r="BE115"/>
      <c r="BF115"/>
      <c r="BG115"/>
      <c r="BH115"/>
      <c r="BI115"/>
      <c r="BJ115"/>
      <c r="BL115" s="221"/>
      <c r="BM115" s="6025">
        <v>5</v>
      </c>
      <c r="BN115" s="1120" t="s">
        <v>71</v>
      </c>
      <c r="BO115" s="141"/>
      <c r="BP115" s="141"/>
      <c r="BQ115" s="141"/>
      <c r="BR115" s="609"/>
      <c r="BX115" s="5">
        <v>1</v>
      </c>
    </row>
    <row r="116" spans="1:76" s="1" customFormat="1" ht="21" customHeight="1">
      <c r="A116" s="5641" t="s">
        <v>1</v>
      </c>
      <c r="B116" s="5662" t="str">
        <f t="shared" si="22"/>
        <v>A</v>
      </c>
      <c r="C116" s="5825" cm="1">
        <f t="array" ref="C116">SUMPRODUCT(LEN(D116:J116))</f>
        <v>0</v>
      </c>
      <c r="D116" s="5275"/>
      <c r="E116" s="1361"/>
      <c r="F116" s="1361"/>
      <c r="G116" s="1361"/>
      <c r="H116" s="1361"/>
      <c r="I116" s="1361"/>
      <c r="J116" s="5276"/>
      <c r="K116" s="106" t="s">
        <v>1</v>
      </c>
      <c r="L116" s="5270" t="s">
        <v>21</v>
      </c>
      <c r="M116" s="196" t="str">
        <f>M92</f>
        <v>Pâtisserie-entremet.F.Feuilles de meringue</v>
      </c>
      <c r="N116" s="196">
        <f>N92</f>
        <v>18</v>
      </c>
      <c r="O116" s="196" t="str">
        <f>O92</f>
        <v>assiettes</v>
      </c>
      <c r="P116" s="196" t="str">
        <f>P92</f>
        <v>Recette mère ► MILLE-FEUILLE meringue et chiboust pamplemousse aux fraises des bois</v>
      </c>
      <c r="Q116" s="5815" t="s">
        <v>252</v>
      </c>
      <c r="R116" s="5271" t="s">
        <v>864</v>
      </c>
      <c r="S116" s="1321"/>
      <c r="T116" s="1321"/>
      <c r="U116" s="1321"/>
      <c r="V116" s="1321"/>
      <c r="W116" s="1321"/>
      <c r="X116" s="1322"/>
      <c r="Y116" s="5411"/>
      <c r="Z116" s="1266"/>
      <c r="AA116" s="1270" t="s">
        <v>1157</v>
      </c>
      <c r="AB116" s="5272" t="s">
        <v>1155</v>
      </c>
      <c r="AC116" s="5933" t="str">
        <f t="shared" si="33"/>
        <v>►</v>
      </c>
      <c r="AD116" s="5964" t="s">
        <v>8011</v>
      </c>
      <c r="AE116" s="5935">
        <v>0.1</v>
      </c>
      <c r="AF116" s="5945"/>
      <c r="AG116" s="5945"/>
      <c r="AH116" s="5945"/>
      <c r="AI116" s="5945"/>
      <c r="AJ116" s="5945"/>
      <c r="AK116" s="5945"/>
      <c r="AL116" s="5945"/>
      <c r="AM116" s="5945"/>
      <c r="AN116" s="5945"/>
      <c r="AO116" s="5945"/>
      <c r="AP116" s="5945"/>
      <c r="AQ116" s="5945"/>
      <c r="AR116" s="5946"/>
      <c r="AS116" s="7383"/>
      <c r="AT116" s="4"/>
      <c r="AU116" s="4"/>
      <c r="AV116" s="4"/>
      <c r="AW116" s="5818" t="str">
        <f t="shared" si="32"/>
        <v>►</v>
      </c>
      <c r="AX116" s="5950"/>
      <c r="AY116" s="5950"/>
      <c r="AZ116" s="5950"/>
      <c r="BA116" s="5950"/>
      <c r="BB116" s="5950"/>
      <c r="BC116" s="5661"/>
      <c r="BD116"/>
      <c r="BE116"/>
      <c r="BF116"/>
      <c r="BG116"/>
      <c r="BH116"/>
      <c r="BI116"/>
      <c r="BJ116"/>
      <c r="BL116" s="221"/>
      <c r="BM116" s="6025">
        <v>8</v>
      </c>
      <c r="BN116" s="1120" t="s">
        <v>934</v>
      </c>
      <c r="BO116" s="141"/>
      <c r="BP116" s="141"/>
      <c r="BQ116" s="141"/>
      <c r="BR116" s="609"/>
      <c r="BX116" s="5">
        <v>1</v>
      </c>
    </row>
    <row r="117" spans="1:76" s="1" customFormat="1" ht="21" customHeight="1">
      <c r="A117" s="5641" t="s">
        <v>1</v>
      </c>
      <c r="B117" s="5662" t="str">
        <f t="shared" si="22"/>
        <v>A</v>
      </c>
      <c r="C117" s="5825" cm="1">
        <f t="array" ref="C117">SUMPRODUCT(LEN(D117:J117))</f>
        <v>0</v>
      </c>
      <c r="D117" s="5275"/>
      <c r="E117" s="1361"/>
      <c r="F117" s="1361"/>
      <c r="G117" s="1361"/>
      <c r="H117" s="1361"/>
      <c r="I117" s="1361"/>
      <c r="J117" s="5276"/>
      <c r="K117" s="106"/>
      <c r="L117" s="1021" t="str">
        <f t="shared" ref="L117:L127" si="34">IF(OR(Q117&lt;&gt;"",R117&lt;&gt; "",S117&lt;&gt;"",T117&lt;&gt;""),"A", "►")</f>
        <v>A</v>
      </c>
      <c r="M117" s="196" t="str">
        <f>M92</f>
        <v>Pâtisserie-entremet.F.Feuilles de meringue</v>
      </c>
      <c r="N117" s="196">
        <f>N92</f>
        <v>18</v>
      </c>
      <c r="O117" s="196" t="str">
        <f>O92</f>
        <v>assiettes</v>
      </c>
      <c r="P117" s="196" t="str">
        <f>P92</f>
        <v>Recette mère ► MILLE-FEUILLE meringue et chiboust pamplemousse aux fraises des bois</v>
      </c>
      <c r="Q117" s="5275" t="s">
        <v>8593</v>
      </c>
      <c r="R117" s="1320"/>
      <c r="S117" s="1320"/>
      <c r="T117" s="1320"/>
      <c r="U117" s="1320"/>
      <c r="V117" s="1320"/>
      <c r="W117" s="8501"/>
      <c r="X117" s="1324"/>
      <c r="Y117" s="141"/>
      <c r="Z117" s="141"/>
      <c r="AA117" s="5273" t="s">
        <v>1150</v>
      </c>
      <c r="AB117" s="5274">
        <v>3.472222222222222E-3</v>
      </c>
      <c r="AC117" s="5933" t="str">
        <f t="shared" si="33"/>
        <v>►</v>
      </c>
      <c r="AD117" s="5964" t="s">
        <v>124</v>
      </c>
      <c r="AE117" s="5935">
        <v>0.22500000000000001</v>
      </c>
      <c r="AF117" s="5945"/>
      <c r="AG117" s="5945"/>
      <c r="AH117" s="5945"/>
      <c r="AI117" s="5945"/>
      <c r="AJ117" s="5945"/>
      <c r="AK117" s="5945"/>
      <c r="AL117" s="5945"/>
      <c r="AM117" s="5945"/>
      <c r="AN117" s="5945"/>
      <c r="AO117" s="5945"/>
      <c r="AP117" s="5945"/>
      <c r="AQ117" s="5945"/>
      <c r="AR117" s="5946"/>
      <c r="AS117" s="7383"/>
      <c r="AT117" s="4"/>
      <c r="AU117" s="4"/>
      <c r="AV117" s="4"/>
      <c r="AW117" s="5818" t="str">
        <f t="shared" si="32"/>
        <v>►</v>
      </c>
      <c r="AX117" s="5950"/>
      <c r="AY117" s="5950"/>
      <c r="AZ117" s="5950"/>
      <c r="BA117" s="5950"/>
      <c r="BB117" s="5950"/>
      <c r="BC117" s="5661"/>
      <c r="BD117"/>
      <c r="BE117"/>
      <c r="BF117"/>
      <c r="BG117"/>
      <c r="BH117"/>
      <c r="BI117"/>
      <c r="BJ117"/>
      <c r="BL117" s="221"/>
      <c r="BM117" s="6025">
        <v>1.5</v>
      </c>
      <c r="BN117" s="1120" t="s">
        <v>8594</v>
      </c>
      <c r="BO117" s="141"/>
      <c r="BP117" s="141"/>
      <c r="BQ117" s="141"/>
      <c r="BR117" s="609"/>
      <c r="BX117" s="5">
        <v>1</v>
      </c>
    </row>
    <row r="118" spans="1:76" s="1" customFormat="1" ht="21" customHeight="1">
      <c r="A118" s="5641" t="s">
        <v>1</v>
      </c>
      <c r="B118" s="5662" t="str">
        <f t="shared" si="22"/>
        <v>A</v>
      </c>
      <c r="C118" s="5825" cm="1">
        <f t="array" ref="C118">SUMPRODUCT(LEN(D118:J118))</f>
        <v>0</v>
      </c>
      <c r="D118" s="5275"/>
      <c r="E118" s="1361"/>
      <c r="F118" s="1361"/>
      <c r="G118" s="1361"/>
      <c r="H118" s="1361"/>
      <c r="I118" s="1361"/>
      <c r="J118" s="5276"/>
      <c r="K118" s="106"/>
      <c r="L118" s="1021" t="str">
        <f t="shared" si="34"/>
        <v>A</v>
      </c>
      <c r="M118" s="196" t="str">
        <f>M92</f>
        <v>Pâtisserie-entremet.F.Feuilles de meringue</v>
      </c>
      <c r="N118" s="196">
        <f>N92</f>
        <v>18</v>
      </c>
      <c r="O118" s="196" t="str">
        <f>O92</f>
        <v>assiettes</v>
      </c>
      <c r="P118" s="196" t="str">
        <f>P92</f>
        <v>Recette mère ► MILLE-FEUILLE meringue et chiboust pamplemousse aux fraises des bois</v>
      </c>
      <c r="Q118" s="5275" t="s">
        <v>8595</v>
      </c>
      <c r="R118" s="1361"/>
      <c r="S118" s="1361"/>
      <c r="T118" s="1361"/>
      <c r="U118" s="1361"/>
      <c r="V118" s="1361"/>
      <c r="W118" s="8502"/>
      <c r="X118" s="5276"/>
      <c r="Y118" s="141"/>
      <c r="Z118" s="141"/>
      <c r="AA118" s="5273" t="s">
        <v>1152</v>
      </c>
      <c r="AB118" s="5277">
        <v>1.0416666666666666E-2</v>
      </c>
      <c r="AC118" s="5933" t="str">
        <f t="shared" si="33"/>
        <v>►</v>
      </c>
      <c r="AD118" s="5964" t="s">
        <v>164</v>
      </c>
      <c r="AE118" s="5935">
        <v>0.25</v>
      </c>
      <c r="AF118" s="5945"/>
      <c r="AG118" s="5945"/>
      <c r="AH118" s="5945"/>
      <c r="AI118" s="5945"/>
      <c r="AJ118" s="5945"/>
      <c r="AK118" s="5945"/>
      <c r="AL118" s="5945"/>
      <c r="AM118" s="5945"/>
      <c r="AN118" s="5945"/>
      <c r="AO118" s="5945"/>
      <c r="AP118" s="5945"/>
      <c r="AQ118" s="5945"/>
      <c r="AR118" s="5946"/>
      <c r="AS118" s="7383"/>
      <c r="AT118" s="4"/>
      <c r="AU118" s="4"/>
      <c r="AV118" s="4"/>
      <c r="AW118" s="5818" t="str">
        <f t="shared" si="32"/>
        <v>►</v>
      </c>
      <c r="AX118" s="5950"/>
      <c r="AY118" s="5950"/>
      <c r="AZ118" s="5950"/>
      <c r="BA118" s="5950"/>
      <c r="BB118" s="5950"/>
      <c r="BC118" s="5661"/>
      <c r="BD118"/>
      <c r="BE118"/>
      <c r="BF118"/>
      <c r="BG118"/>
      <c r="BH118"/>
      <c r="BI118"/>
      <c r="BJ118"/>
      <c r="BL118" s="221"/>
      <c r="BM118" s="6025">
        <v>3</v>
      </c>
      <c r="BN118" s="1120" t="s">
        <v>1286</v>
      </c>
      <c r="BO118" s="141"/>
      <c r="BP118" s="141"/>
      <c r="BQ118" s="141"/>
      <c r="BR118" s="609"/>
      <c r="BX118" s="5">
        <v>1</v>
      </c>
    </row>
    <row r="119" spans="1:76" s="1" customFormat="1" ht="21" customHeight="1">
      <c r="A119" s="5641" t="s">
        <v>1</v>
      </c>
      <c r="B119" s="5662" t="str">
        <f t="shared" si="22"/>
        <v>A</v>
      </c>
      <c r="C119" s="5825" cm="1">
        <f t="array" ref="C119">SUMPRODUCT(LEN(D119:J119))</f>
        <v>0</v>
      </c>
      <c r="D119" s="5275"/>
      <c r="E119" s="1361"/>
      <c r="F119" s="1361"/>
      <c r="G119" s="1361"/>
      <c r="H119" s="1361"/>
      <c r="I119" s="1361"/>
      <c r="J119" s="5276"/>
      <c r="K119" s="106"/>
      <c r="L119" s="1021" t="str">
        <f t="shared" si="34"/>
        <v>A</v>
      </c>
      <c r="M119" s="196" t="str">
        <f>M92</f>
        <v>Pâtisserie-entremet.F.Feuilles de meringue</v>
      </c>
      <c r="N119" s="196">
        <f>N92</f>
        <v>18</v>
      </c>
      <c r="O119" s="196" t="str">
        <f>O92</f>
        <v>assiettes</v>
      </c>
      <c r="P119" s="196" t="str">
        <f>P92</f>
        <v>Recette mère ► MILLE-FEUILLE meringue et chiboust pamplemousse aux fraises des bois</v>
      </c>
      <c r="Q119" s="5275" t="s">
        <v>8596</v>
      </c>
      <c r="R119" s="1361"/>
      <c r="S119" s="1361"/>
      <c r="T119" s="1361"/>
      <c r="U119" s="1361"/>
      <c r="V119" s="1361"/>
      <c r="W119" s="8502"/>
      <c r="X119" s="5276"/>
      <c r="Y119" s="141"/>
      <c r="Z119" s="141"/>
      <c r="AA119" s="5273" t="s">
        <v>8017</v>
      </c>
      <c r="AB119" s="5278">
        <v>2.0833333333333332E-2</v>
      </c>
      <c r="AC119" s="5933" t="str">
        <f t="shared" si="33"/>
        <v>►</v>
      </c>
      <c r="AD119" s="5964" t="s">
        <v>159</v>
      </c>
      <c r="AE119" s="5935">
        <v>0.5</v>
      </c>
      <c r="AF119" s="5945"/>
      <c r="AG119" s="5945"/>
      <c r="AH119" s="5945"/>
      <c r="AI119" s="5945"/>
      <c r="AJ119" s="5945"/>
      <c r="AK119" s="5945"/>
      <c r="AL119" s="5945"/>
      <c r="AM119" s="5945"/>
      <c r="AN119" s="5945"/>
      <c r="AO119" s="5945"/>
      <c r="AP119" s="5945"/>
      <c r="AQ119" s="5945"/>
      <c r="AR119" s="5946"/>
      <c r="AS119" s="7383"/>
      <c r="AT119" s="4"/>
      <c r="AU119" s="4"/>
      <c r="AV119" s="4"/>
      <c r="AW119" s="5818" t="str">
        <f t="shared" si="32"/>
        <v>►</v>
      </c>
      <c r="AX119" s="5950"/>
      <c r="AY119" s="5950"/>
      <c r="AZ119" s="5950"/>
      <c r="BA119" s="5950"/>
      <c r="BB119" s="5950"/>
      <c r="BC119" s="5661"/>
      <c r="BD119"/>
      <c r="BE119"/>
      <c r="BF119"/>
      <c r="BG119"/>
      <c r="BH119"/>
      <c r="BI119"/>
      <c r="BJ119"/>
      <c r="BL119" s="221"/>
      <c r="BM119" s="6027" t="s">
        <v>8597</v>
      </c>
      <c r="BN119" s="6027"/>
      <c r="BO119" s="141"/>
      <c r="BP119" s="141"/>
      <c r="BQ119" s="141"/>
      <c r="BR119" s="609"/>
      <c r="BX119" s="5">
        <v>1</v>
      </c>
    </row>
    <row r="120" spans="1:76" s="1" customFormat="1" ht="21" customHeight="1">
      <c r="A120" s="5641" t="s">
        <v>1</v>
      </c>
      <c r="B120" s="5662" t="str">
        <f t="shared" si="22"/>
        <v>A</v>
      </c>
      <c r="C120" s="5825" cm="1">
        <f t="array" ref="C120">SUMPRODUCT(LEN(D120:J120))</f>
        <v>0</v>
      </c>
      <c r="D120" s="5275"/>
      <c r="E120" s="1361"/>
      <c r="F120" s="1361"/>
      <c r="G120" s="1361"/>
      <c r="H120" s="1361"/>
      <c r="I120" s="1361"/>
      <c r="J120" s="5276"/>
      <c r="K120" s="106"/>
      <c r="L120" s="1021" t="str">
        <f t="shared" si="34"/>
        <v>A</v>
      </c>
      <c r="M120" s="196" t="str">
        <f>M92</f>
        <v>Pâtisserie-entremet.F.Feuilles de meringue</v>
      </c>
      <c r="N120" s="196">
        <f>N92</f>
        <v>18</v>
      </c>
      <c r="O120" s="196" t="str">
        <f>O92</f>
        <v>assiettes</v>
      </c>
      <c r="P120" s="196" t="str">
        <f>P92</f>
        <v>Recette mère ► MILLE-FEUILLE meringue et chiboust pamplemousse aux fraises des bois</v>
      </c>
      <c r="Q120" s="5275" t="s">
        <v>8598</v>
      </c>
      <c r="R120" s="1361"/>
      <c r="S120" s="1361"/>
      <c r="T120" s="1361"/>
      <c r="U120" s="1361"/>
      <c r="V120" s="1361"/>
      <c r="W120" s="8502"/>
      <c r="X120" s="5276"/>
      <c r="Y120" s="141"/>
      <c r="Z120" s="141"/>
      <c r="AA120" s="5279" t="s">
        <v>37</v>
      </c>
      <c r="AB120" s="5280">
        <f>AB117+AB118+AB119</f>
        <v>3.4722222222222224E-2</v>
      </c>
      <c r="AC120" s="5933" t="str">
        <f t="shared" si="33"/>
        <v>►</v>
      </c>
      <c r="AD120" s="5964" t="s">
        <v>8012</v>
      </c>
      <c r="AE120" s="5935">
        <v>0.33300000000000002</v>
      </c>
      <c r="AF120" s="5945"/>
      <c r="AG120" s="5945"/>
      <c r="AH120" s="5945"/>
      <c r="AI120" s="5945"/>
      <c r="AJ120" s="5945"/>
      <c r="AK120" s="5945"/>
      <c r="AL120" s="5945"/>
      <c r="AM120" s="5945"/>
      <c r="AN120" s="5945"/>
      <c r="AO120" s="5945"/>
      <c r="AP120" s="5945"/>
      <c r="AQ120" s="5945"/>
      <c r="AR120" s="5946"/>
      <c r="AS120" s="7383"/>
      <c r="AT120" s="4"/>
      <c r="AU120" s="4"/>
      <c r="AV120" s="4"/>
      <c r="AW120" s="5818" t="str">
        <f t="shared" si="32"/>
        <v>►</v>
      </c>
      <c r="AX120" s="5950"/>
      <c r="AY120" s="5950"/>
      <c r="AZ120" s="5950"/>
      <c r="BA120" s="5950"/>
      <c r="BB120" s="5950"/>
      <c r="BC120" s="5661"/>
      <c r="BD120"/>
      <c r="BE120"/>
      <c r="BF120"/>
      <c r="BG120"/>
      <c r="BH120"/>
      <c r="BI120"/>
      <c r="BJ120"/>
      <c r="BL120" s="1123"/>
      <c r="BM120" s="6028" t="s">
        <v>8599</v>
      </c>
      <c r="BN120" s="1124" t="s">
        <v>8600</v>
      </c>
      <c r="BO120" s="141"/>
      <c r="BP120" s="141"/>
      <c r="BQ120" s="141"/>
      <c r="BR120" s="609"/>
      <c r="BX120" s="5">
        <v>1</v>
      </c>
    </row>
    <row r="121" spans="1:76" s="1" customFormat="1" ht="21" customHeight="1">
      <c r="A121" s="5641" t="s">
        <v>1</v>
      </c>
      <c r="B121" s="5662" t="str">
        <f t="shared" si="22"/>
        <v>►</v>
      </c>
      <c r="C121" s="5825" cm="1">
        <f t="array" ref="C121">SUMPRODUCT(LEN(D121:J121))</f>
        <v>0</v>
      </c>
      <c r="D121" s="5275"/>
      <c r="E121" s="1361"/>
      <c r="F121" s="1361"/>
      <c r="G121" s="1361"/>
      <c r="H121" s="1361"/>
      <c r="I121" s="1361"/>
      <c r="J121" s="5276"/>
      <c r="K121" s="106"/>
      <c r="L121" s="1021" t="str">
        <f t="shared" si="34"/>
        <v>►</v>
      </c>
      <c r="M121" s="196" t="str">
        <f>M92</f>
        <v>Pâtisserie-entremet.F.Feuilles de meringue</v>
      </c>
      <c r="N121" s="196">
        <f>N92</f>
        <v>18</v>
      </c>
      <c r="O121" s="196" t="str">
        <f>O92</f>
        <v>assiettes</v>
      </c>
      <c r="P121" s="196" t="str">
        <f>P92</f>
        <v>Recette mère ► MILLE-FEUILLE meringue et chiboust pamplemousse aux fraises des bois</v>
      </c>
      <c r="Q121" s="5275"/>
      <c r="R121" s="1361"/>
      <c r="S121" s="1361"/>
      <c r="T121" s="1361"/>
      <c r="U121" s="1361"/>
      <c r="V121" s="1361"/>
      <c r="W121" s="8502"/>
      <c r="X121" s="5276"/>
      <c r="Y121" s="6896" t="s">
        <v>7498</v>
      </c>
      <c r="Z121" s="6897"/>
      <c r="AA121" s="6897"/>
      <c r="AB121" s="7150"/>
      <c r="AC121" s="5933" t="str">
        <f t="shared" si="33"/>
        <v>►</v>
      </c>
      <c r="AD121" s="5964" t="s">
        <v>8013</v>
      </c>
      <c r="AE121" s="5935">
        <v>0.2</v>
      </c>
      <c r="AF121" s="5945"/>
      <c r="AG121" s="5945"/>
      <c r="AH121" s="5945"/>
      <c r="AI121" s="5945"/>
      <c r="AJ121" s="5945"/>
      <c r="AK121" s="5945"/>
      <c r="AL121" s="5945"/>
      <c r="AM121" s="5945"/>
      <c r="AN121" s="5945"/>
      <c r="AO121" s="5945"/>
      <c r="AP121" s="5945"/>
      <c r="AQ121" s="5945"/>
      <c r="AR121" s="5946"/>
      <c r="AS121" s="7383"/>
      <c r="AT121" s="4"/>
      <c r="AU121" s="4"/>
      <c r="AV121" s="4"/>
      <c r="AW121" s="5818" t="str">
        <f t="shared" si="32"/>
        <v>►</v>
      </c>
      <c r="AX121" s="5950"/>
      <c r="AY121" s="5950"/>
      <c r="AZ121" s="5950"/>
      <c r="BA121" s="5950"/>
      <c r="BB121" s="5950"/>
      <c r="BC121" s="5661"/>
      <c r="BD121"/>
      <c r="BE121"/>
      <c r="BF121"/>
      <c r="BG121"/>
      <c r="BH121"/>
      <c r="BI121"/>
      <c r="BJ121"/>
      <c r="BL121" s="7134" t="s">
        <v>8601</v>
      </c>
      <c r="BM121" s="7135"/>
      <c r="BN121" s="7135"/>
      <c r="BO121" s="7135"/>
      <c r="BP121" s="7135"/>
      <c r="BQ121" s="7135"/>
      <c r="BR121" s="7136"/>
      <c r="BX121" s="5">
        <v>1</v>
      </c>
    </row>
    <row r="122" spans="1:76" s="1" customFormat="1" ht="21" customHeight="1">
      <c r="A122" s="5641" t="s">
        <v>1</v>
      </c>
      <c r="B122" s="5662" t="str">
        <f t="shared" si="22"/>
        <v>A</v>
      </c>
      <c r="C122" s="5825" cm="1">
        <f t="array" ref="C122">SUMPRODUCT(LEN(D122:J122))</f>
        <v>0</v>
      </c>
      <c r="D122" s="5275"/>
      <c r="E122" s="1361"/>
      <c r="F122" s="1361"/>
      <c r="G122" s="1361"/>
      <c r="H122" s="1361"/>
      <c r="I122" s="1361"/>
      <c r="J122" s="5276"/>
      <c r="K122" s="106"/>
      <c r="L122" s="1021" t="str">
        <f t="shared" si="34"/>
        <v>A</v>
      </c>
      <c r="M122" s="196" t="str">
        <f>M92</f>
        <v>Pâtisserie-entremet.F.Feuilles de meringue</v>
      </c>
      <c r="N122" s="196">
        <f>N92</f>
        <v>18</v>
      </c>
      <c r="O122" s="196" t="str">
        <f>O92</f>
        <v>assiettes</v>
      </c>
      <c r="P122" s="196" t="str">
        <f>P92</f>
        <v>Recette mère ► MILLE-FEUILLE meringue et chiboust pamplemousse aux fraises des bois</v>
      </c>
      <c r="Q122" s="5275" t="s">
        <v>8602</v>
      </c>
      <c r="R122" s="1361"/>
      <c r="S122" s="1361"/>
      <c r="T122" s="1361"/>
      <c r="U122" s="1361"/>
      <c r="V122" s="1361"/>
      <c r="W122" s="8502"/>
      <c r="X122" s="5276"/>
      <c r="Y122" s="5281" t="s">
        <v>8018</v>
      </c>
      <c r="Z122" s="147"/>
      <c r="AA122" s="7151" t="s">
        <v>8019</v>
      </c>
      <c r="AB122" s="7152"/>
      <c r="AC122" s="5933" t="str">
        <f t="shared" si="33"/>
        <v>►</v>
      </c>
      <c r="AD122" s="5979" t="s">
        <v>130</v>
      </c>
      <c r="AE122" s="5949">
        <v>1E-3</v>
      </c>
      <c r="AF122" s="5945"/>
      <c r="AG122" s="5945"/>
      <c r="AH122" s="5945"/>
      <c r="AI122" s="5945"/>
      <c r="AJ122" s="5945"/>
      <c r="AK122" s="5945"/>
      <c r="AL122" s="5945"/>
      <c r="AM122" s="5945"/>
      <c r="AN122" s="5945"/>
      <c r="AO122" s="5945"/>
      <c r="AP122" s="5945"/>
      <c r="AQ122" s="5945"/>
      <c r="AR122" s="5946"/>
      <c r="AS122" s="7383"/>
      <c r="AT122" s="4"/>
      <c r="AU122" s="4"/>
      <c r="AV122" s="4"/>
      <c r="AW122" s="5818" t="str">
        <f t="shared" si="32"/>
        <v>►</v>
      </c>
      <c r="AX122" s="5950"/>
      <c r="AY122" s="5950"/>
      <c r="AZ122" s="5950"/>
      <c r="BA122" s="5950"/>
      <c r="BB122" s="5950"/>
      <c r="BC122" s="5661"/>
      <c r="BD122"/>
      <c r="BE122"/>
      <c r="BF122"/>
      <c r="BG122"/>
      <c r="BH122"/>
      <c r="BI122"/>
      <c r="BJ122"/>
      <c r="BL122" s="7134"/>
      <c r="BM122" s="7135"/>
      <c r="BN122" s="7135"/>
      <c r="BO122" s="7135"/>
      <c r="BP122" s="7135"/>
      <c r="BQ122" s="7135"/>
      <c r="BR122" s="7136"/>
      <c r="BX122" s="5">
        <v>1</v>
      </c>
    </row>
    <row r="123" spans="1:76" s="1" customFormat="1" ht="21" customHeight="1">
      <c r="A123" s="5641" t="s">
        <v>1</v>
      </c>
      <c r="B123" s="5662" t="str">
        <f t="shared" si="22"/>
        <v>►</v>
      </c>
      <c r="C123" s="5825" cm="1">
        <f t="array" ref="C123">SUMPRODUCT(LEN(D123:J123))</f>
        <v>0</v>
      </c>
      <c r="D123" s="5275"/>
      <c r="E123" s="1361"/>
      <c r="F123" s="1361"/>
      <c r="G123" s="1361"/>
      <c r="H123" s="1361"/>
      <c r="I123" s="1361"/>
      <c r="J123" s="5276"/>
      <c r="K123" s="106"/>
      <c r="L123" s="1021" t="str">
        <f t="shared" si="34"/>
        <v>►</v>
      </c>
      <c r="M123" s="196" t="str">
        <f>M92</f>
        <v>Pâtisserie-entremet.F.Feuilles de meringue</v>
      </c>
      <c r="N123" s="196">
        <f>N92</f>
        <v>18</v>
      </c>
      <c r="O123" s="196" t="str">
        <f>O92</f>
        <v>assiettes</v>
      </c>
      <c r="P123" s="196" t="str">
        <f>P92</f>
        <v>Recette mère ► MILLE-FEUILLE meringue et chiboust pamplemousse aux fraises des bois</v>
      </c>
      <c r="Q123" s="5275"/>
      <c r="R123" s="1361"/>
      <c r="S123" s="1361"/>
      <c r="T123" s="1361"/>
      <c r="U123" s="1361"/>
      <c r="V123" s="1361"/>
      <c r="W123" s="8502"/>
      <c r="X123" s="5276"/>
      <c r="Y123" s="5282">
        <v>100</v>
      </c>
      <c r="Z123" s="147"/>
      <c r="AA123" s="6899" t="s">
        <v>8603</v>
      </c>
      <c r="AB123" s="7153"/>
      <c r="AC123" s="5933" t="str">
        <f t="shared" si="33"/>
        <v>►</v>
      </c>
      <c r="AD123" s="5980" t="s">
        <v>219</v>
      </c>
      <c r="AE123" s="5949">
        <v>1</v>
      </c>
      <c r="AF123" s="5945"/>
      <c r="AG123" s="5945"/>
      <c r="AH123" s="5945"/>
      <c r="AI123" s="5945"/>
      <c r="AJ123" s="5945"/>
      <c r="AK123" s="5945"/>
      <c r="AL123" s="5945"/>
      <c r="AM123" s="5945"/>
      <c r="AN123" s="5945"/>
      <c r="AO123" s="5945"/>
      <c r="AP123" s="5945"/>
      <c r="AQ123" s="5945"/>
      <c r="AR123" s="5946"/>
      <c r="AS123" s="7383"/>
      <c r="AT123" s="4"/>
      <c r="AU123" s="4"/>
      <c r="AV123" s="4"/>
      <c r="AW123" s="5818" t="str">
        <f t="shared" si="32"/>
        <v>►</v>
      </c>
      <c r="AX123" s="5950"/>
      <c r="AY123" s="5950"/>
      <c r="AZ123" s="5950"/>
      <c r="BA123" s="5950"/>
      <c r="BB123" s="5950"/>
      <c r="BC123" s="5661"/>
      <c r="BD123"/>
      <c r="BE123"/>
      <c r="BF123"/>
      <c r="BG123"/>
      <c r="BH123"/>
      <c r="BI123"/>
      <c r="BJ123"/>
      <c r="BL123" s="1079"/>
      <c r="BM123" s="1080"/>
      <c r="BN123" s="1081"/>
      <c r="BO123" s="1080"/>
      <c r="BP123" s="1080"/>
      <c r="BQ123" s="1080"/>
      <c r="BR123" s="1082"/>
      <c r="BX123" s="5">
        <v>1</v>
      </c>
    </row>
    <row r="124" spans="1:76" s="1" customFormat="1" ht="21" customHeight="1">
      <c r="A124" s="5641" t="s">
        <v>1</v>
      </c>
      <c r="B124" s="5662" t="str">
        <f t="shared" si="22"/>
        <v>►</v>
      </c>
      <c r="C124" s="5825" cm="1">
        <f t="array" ref="C124">SUMPRODUCT(LEN(D124:J124))</f>
        <v>0</v>
      </c>
      <c r="D124" s="5275"/>
      <c r="E124" s="1361"/>
      <c r="F124" s="1361"/>
      <c r="G124" s="1361"/>
      <c r="H124" s="1361"/>
      <c r="I124" s="1361"/>
      <c r="J124" s="5276"/>
      <c r="K124" s="106"/>
      <c r="L124" s="1021" t="str">
        <f t="shared" si="34"/>
        <v>►</v>
      </c>
      <c r="M124" s="196" t="str">
        <f>M92</f>
        <v>Pâtisserie-entremet.F.Feuilles de meringue</v>
      </c>
      <c r="N124" s="196">
        <f>N92</f>
        <v>18</v>
      </c>
      <c r="O124" s="196" t="str">
        <f>O92</f>
        <v>assiettes</v>
      </c>
      <c r="P124" s="196" t="str">
        <f>P92</f>
        <v>Recette mère ► MILLE-FEUILLE meringue et chiboust pamplemousse aux fraises des bois</v>
      </c>
      <c r="Q124" s="5275"/>
      <c r="R124" s="1361"/>
      <c r="S124" s="1361"/>
      <c r="T124" s="1361"/>
      <c r="U124" s="1361"/>
      <c r="V124" s="1361"/>
      <c r="W124" s="8502"/>
      <c r="X124" s="5276"/>
      <c r="Y124" s="7379" t="s">
        <v>8604</v>
      </c>
      <c r="Z124" s="7155"/>
      <c r="AA124" s="5283" t="s">
        <v>8020</v>
      </c>
      <c r="AB124" s="5322"/>
      <c r="AC124" s="5933" t="str">
        <f>IF(COUNTIF(AH126:AO126,"&lt;&gt;")+COUNTIF(AQ126:AR126,"&lt;&gt;")&gt;0,"A","►")</f>
        <v>►</v>
      </c>
      <c r="AD124" s="5984" t="s">
        <v>188</v>
      </c>
      <c r="AE124" s="5949">
        <v>0.25</v>
      </c>
      <c r="AF124" s="5805"/>
      <c r="AG124" s="5805"/>
      <c r="AH124" s="5805"/>
      <c r="AI124" s="5985" t="s">
        <v>8570</v>
      </c>
      <c r="AJ124" s="5805"/>
      <c r="AK124" s="5805"/>
      <c r="AL124" s="5804"/>
      <c r="AM124" s="5805"/>
      <c r="AN124" s="5805"/>
      <c r="AO124" s="5804"/>
      <c r="AP124" s="5788"/>
      <c r="AQ124" s="5788"/>
      <c r="AR124" s="5898"/>
      <c r="AS124" s="7383"/>
      <c r="AT124" s="4"/>
      <c r="AU124" s="4"/>
      <c r="AV124" s="4"/>
      <c r="AW124" s="5818" t="str">
        <f t="shared" si="32"/>
        <v>►</v>
      </c>
      <c r="AX124" s="5950"/>
      <c r="AY124" s="5950"/>
      <c r="AZ124" s="5950"/>
      <c r="BA124" s="5950"/>
      <c r="BB124" s="5950"/>
      <c r="BC124" s="5661"/>
      <c r="BD124"/>
      <c r="BE124"/>
      <c r="BF124"/>
      <c r="BG124"/>
      <c r="BH124"/>
      <c r="BI124"/>
      <c r="BJ124"/>
      <c r="BL124" s="7137" t="s">
        <v>3476</v>
      </c>
      <c r="BM124" s="6029" t="s">
        <v>75</v>
      </c>
      <c r="BN124" s="6030"/>
      <c r="BO124" s="6031"/>
      <c r="BP124" s="6031"/>
      <c r="BQ124" s="141"/>
      <c r="BR124" s="609"/>
      <c r="BX124" s="5">
        <v>1</v>
      </c>
    </row>
    <row r="125" spans="1:76" s="1" customFormat="1" ht="21" customHeight="1">
      <c r="A125" s="5641" t="s">
        <v>1</v>
      </c>
      <c r="B125" s="5662" t="str">
        <f t="shared" si="22"/>
        <v>►</v>
      </c>
      <c r="C125" s="5825" cm="1">
        <f t="array" ref="C125">SUMPRODUCT(LEN(D125:J125))</f>
        <v>0</v>
      </c>
      <c r="D125" s="5275"/>
      <c r="E125" s="1361"/>
      <c r="F125" s="1361"/>
      <c r="G125" s="1361"/>
      <c r="H125" s="1361"/>
      <c r="I125" s="1361"/>
      <c r="J125" s="5276"/>
      <c r="K125" s="106"/>
      <c r="L125" s="1021" t="str">
        <f t="shared" si="34"/>
        <v>►</v>
      </c>
      <c r="M125" s="196" t="str">
        <f>M92</f>
        <v>Pâtisserie-entremet.F.Feuilles de meringue</v>
      </c>
      <c r="N125" s="196">
        <f>N92</f>
        <v>18</v>
      </c>
      <c r="O125" s="196" t="str">
        <f>O92</f>
        <v>assiettes</v>
      </c>
      <c r="P125" s="196" t="str">
        <f>P92</f>
        <v>Recette mère ► MILLE-FEUILLE meringue et chiboust pamplemousse aux fraises des bois</v>
      </c>
      <c r="Q125" s="5275"/>
      <c r="R125" s="1361"/>
      <c r="S125" s="1361"/>
      <c r="T125" s="1361"/>
      <c r="U125" s="1361"/>
      <c r="V125" s="1361"/>
      <c r="W125" s="8502"/>
      <c r="X125" s="5276"/>
      <c r="Y125" s="5284">
        <v>1</v>
      </c>
      <c r="Z125" s="5285" t="s">
        <v>8021</v>
      </c>
      <c r="AA125" s="5286"/>
      <c r="AB125" s="5323">
        <f>Y125*Y123</f>
        <v>100</v>
      </c>
      <c r="AC125" s="5817" t="s">
        <v>21</v>
      </c>
      <c r="AD125" s="5984" t="s">
        <v>176</v>
      </c>
      <c r="AE125" s="5949">
        <v>0.33332999999999996</v>
      </c>
      <c r="AF125" s="5804"/>
      <c r="AG125" s="5987">
        <v>0</v>
      </c>
      <c r="AH125" s="5988" t="s">
        <v>8571</v>
      </c>
      <c r="AI125" s="5988"/>
      <c r="AJ125" s="5989"/>
      <c r="AK125" s="5988"/>
      <c r="AL125" s="5990"/>
      <c r="AM125" s="5991"/>
      <c r="AN125" s="5991"/>
      <c r="AO125" s="5990"/>
      <c r="AP125" s="5987">
        <v>0</v>
      </c>
      <c r="AQ125" s="5992" t="s">
        <v>8572</v>
      </c>
      <c r="AR125" s="5993"/>
      <c r="AS125" s="7383"/>
      <c r="AT125" s="4"/>
      <c r="AU125" s="4"/>
      <c r="AV125" s="4"/>
      <c r="AW125" s="5818" t="str">
        <f t="shared" si="32"/>
        <v>A</v>
      </c>
      <c r="AX125" s="5950"/>
      <c r="AY125" s="5950"/>
      <c r="AZ125" s="5950"/>
      <c r="BA125" s="5950"/>
      <c r="BB125" s="5950"/>
      <c r="BC125" s="5661"/>
      <c r="BD125"/>
      <c r="BE125"/>
      <c r="BF125"/>
      <c r="BG125"/>
      <c r="BH125"/>
      <c r="BI125"/>
      <c r="BJ125"/>
      <c r="BL125" s="7137"/>
      <c r="BM125" s="6032" t="s">
        <v>8605</v>
      </c>
      <c r="BN125" s="6033"/>
      <c r="BO125" s="6033"/>
      <c r="BP125" s="1122"/>
      <c r="BQ125" s="141"/>
      <c r="BR125" s="609"/>
      <c r="BX125" s="5">
        <v>1</v>
      </c>
    </row>
    <row r="126" spans="1:76" s="1" customFormat="1" ht="21" customHeight="1">
      <c r="A126" s="5641" t="s">
        <v>1</v>
      </c>
      <c r="B126" s="5662" t="str">
        <f t="shared" si="22"/>
        <v>►</v>
      </c>
      <c r="C126" s="5825" cm="1">
        <f t="array" ref="C126">SUMPRODUCT(LEN(D126:J126))</f>
        <v>0</v>
      </c>
      <c r="D126" s="5275"/>
      <c r="E126" s="1361"/>
      <c r="F126" s="1361"/>
      <c r="G126" s="1361"/>
      <c r="H126" s="1361"/>
      <c r="I126" s="1361"/>
      <c r="J126" s="5276"/>
      <c r="K126" s="106"/>
      <c r="L126" s="1021" t="str">
        <f t="shared" si="34"/>
        <v>►</v>
      </c>
      <c r="M126" s="196" t="str">
        <f>M92</f>
        <v>Pâtisserie-entremet.F.Feuilles de meringue</v>
      </c>
      <c r="N126" s="196">
        <f>N92</f>
        <v>18</v>
      </c>
      <c r="O126" s="196" t="str">
        <f>O92</f>
        <v>assiettes</v>
      </c>
      <c r="P126" s="196" t="str">
        <f>P92</f>
        <v>Recette mère ► MILLE-FEUILLE meringue et chiboust pamplemousse aux fraises des bois</v>
      </c>
      <c r="Q126" s="5275"/>
      <c r="R126" s="1361"/>
      <c r="S126" s="1361"/>
      <c r="T126" s="1361"/>
      <c r="U126" s="1361"/>
      <c r="V126" s="1361"/>
      <c r="W126" s="8502"/>
      <c r="X126" s="5276"/>
      <c r="Y126" s="5287">
        <v>12</v>
      </c>
      <c r="Z126" s="920" t="str">
        <f>"&lt; Nb "&amp;AA123&amp;" dans 1 " &amp;Y124</f>
        <v>&lt; Nb meringues dans 1 plaques 60X40</v>
      </c>
      <c r="AA126" s="5288"/>
      <c r="AB126" s="5323"/>
      <c r="AC126" s="5933" t="str">
        <f>IF(COUNTIF(AH126:AO126,"&lt;&gt;")+COUNTIF(AQ126:AR126,"&lt;&gt;")&gt;0,"A","►")</f>
        <v>►</v>
      </c>
      <c r="AD126" s="5984" t="s">
        <v>179</v>
      </c>
      <c r="AE126" s="5949">
        <v>0.5</v>
      </c>
      <c r="AF126" s="5804"/>
      <c r="AG126" s="5994" t="str">
        <f>IF(COUNTIF(AH126:AJ126,"&lt;&gt;")=0,"",MAX(AG125:AG125)+1)</f>
        <v/>
      </c>
      <c r="AH126" s="5995"/>
      <c r="AI126" s="5995"/>
      <c r="AJ126" s="5995"/>
      <c r="AK126" s="5995"/>
      <c r="AL126" s="5995"/>
      <c r="AM126" s="5995"/>
      <c r="AN126" s="5995"/>
      <c r="AO126" s="5995"/>
      <c r="AP126" s="5994" t="str">
        <f>IF(COUNTIF(AQ126:AR126,"&lt;&gt;")=0,"",MAX(AP125:AP125)+1)</f>
        <v/>
      </c>
      <c r="AQ126" s="5996"/>
      <c r="AR126" s="5997"/>
      <c r="AS126" s="7383"/>
      <c r="AT126" s="4"/>
      <c r="AU126" s="4"/>
      <c r="AV126" s="4"/>
      <c r="AW126" s="5818" t="str">
        <f t="shared" si="32"/>
        <v>►</v>
      </c>
      <c r="AX126" s="5950"/>
      <c r="AY126" s="5950"/>
      <c r="AZ126" s="5950"/>
      <c r="BA126" s="5950"/>
      <c r="BB126" s="5950"/>
      <c r="BC126" s="5661"/>
      <c r="BD126"/>
      <c r="BE126"/>
      <c r="BF126"/>
      <c r="BG126"/>
      <c r="BH126"/>
      <c r="BI126"/>
      <c r="BJ126"/>
      <c r="BL126" s="7137"/>
      <c r="BM126" s="6034">
        <v>16</v>
      </c>
      <c r="BN126" s="1142" t="s">
        <v>71</v>
      </c>
      <c r="BO126" s="1122"/>
      <c r="BP126" s="1122"/>
      <c r="BQ126" s="141"/>
      <c r="BR126" s="609"/>
      <c r="BX126" s="5">
        <v>1</v>
      </c>
    </row>
    <row r="127" spans="1:76" s="1" customFormat="1" ht="21" customHeight="1">
      <c r="A127" s="5641" t="s">
        <v>1</v>
      </c>
      <c r="B127" s="5662" t="str">
        <f t="shared" si="22"/>
        <v>►</v>
      </c>
      <c r="C127" s="5825" cm="1">
        <f t="array" ref="C127">SUMPRODUCT(LEN(D127:J127))</f>
        <v>0</v>
      </c>
      <c r="D127" s="5275"/>
      <c r="E127" s="1361"/>
      <c r="F127" s="1361"/>
      <c r="G127" s="1361"/>
      <c r="H127" s="1361"/>
      <c r="I127" s="1361"/>
      <c r="J127" s="5276"/>
      <c r="K127" s="106"/>
      <c r="L127" s="1021" t="str">
        <f t="shared" si="34"/>
        <v>►</v>
      </c>
      <c r="M127" s="196" t="str">
        <f>M92</f>
        <v>Pâtisserie-entremet.F.Feuilles de meringue</v>
      </c>
      <c r="N127" s="196">
        <f>N92</f>
        <v>18</v>
      </c>
      <c r="O127" s="196" t="str">
        <f>O92</f>
        <v>assiettes</v>
      </c>
      <c r="P127" s="196" t="str">
        <f>P92</f>
        <v>Recette mère ► MILLE-FEUILLE meringue et chiboust pamplemousse aux fraises des bois</v>
      </c>
      <c r="Q127" s="5275"/>
      <c r="R127" s="1361"/>
      <c r="S127" s="1361"/>
      <c r="T127" s="1361"/>
      <c r="U127" s="1361"/>
      <c r="V127" s="1361"/>
      <c r="W127" s="8502"/>
      <c r="X127" s="5276"/>
      <c r="Y127" s="7167" t="str">
        <f>IF(OR(Y126="",AB125=0),"",INT(AB125/Y126) &amp; " " &amp; Y124 &amp; " de " &amp; Y126 &amp; " " &amp; AA123 &amp; IF(MOD(AB125,Y126)&gt;0," + 1 " &amp; Y124 &amp; " de " &amp; TEXT(MOD(AB125,Y126),"0.00") &amp; " " &amp; AA123,""))</f>
        <v>8 plaques 60X40 de 12 meringues + 1 plaques 60X40 de 4.00 meringues</v>
      </c>
      <c r="Z127" s="7168"/>
      <c r="AA127" s="7168"/>
      <c r="AB127" s="7169"/>
      <c r="AC127" s="5933" t="str">
        <f t="shared" ref="AC127:AC132" si="35">IF(COUNTIF(AH127:AO127,"&lt;&gt;")+COUNTIF(AQ127:AR127,"&lt;&gt;")&gt;0,"A","►")</f>
        <v>A</v>
      </c>
      <c r="AD127" s="5999" t="s">
        <v>122</v>
      </c>
      <c r="AE127" s="5949">
        <v>2.835E-2</v>
      </c>
      <c r="AF127" s="5804"/>
      <c r="AG127" s="5994">
        <f>IF(COUNTIF(AH127:AJ127,"&lt;&gt;")=0,"",MAX(AG125:AG126)+1)</f>
        <v>1</v>
      </c>
      <c r="AH127" s="5995" t="s">
        <v>8573</v>
      </c>
      <c r="AI127" s="5995"/>
      <c r="AJ127" s="5995"/>
      <c r="AK127" s="5995"/>
      <c r="AL127" s="5995"/>
      <c r="AM127" s="5995"/>
      <c r="AN127" s="5995"/>
      <c r="AO127" s="5995"/>
      <c r="AP127" s="5994">
        <f>IF(COUNTIF(AQ127:AR127,"&lt;&gt;")=0,"",MAX(AP125:AP126)+1)</f>
        <v>1</v>
      </c>
      <c r="AQ127" s="5996" t="s">
        <v>8574</v>
      </c>
      <c r="AR127" s="5997"/>
      <c r="AS127" s="7383"/>
      <c r="AT127" s="4"/>
      <c r="AU127" s="4"/>
      <c r="AV127" s="4"/>
      <c r="AW127" s="5818" t="str">
        <f t="shared" si="32"/>
        <v>A</v>
      </c>
      <c r="AX127" s="5950"/>
      <c r="AY127" s="5950"/>
      <c r="AZ127" s="5950"/>
      <c r="BA127" s="5950"/>
      <c r="BB127" s="5950"/>
      <c r="BC127" s="5661"/>
      <c r="BD127"/>
      <c r="BE127"/>
      <c r="BF127"/>
      <c r="BG127"/>
      <c r="BH127"/>
      <c r="BI127"/>
      <c r="BJ127"/>
      <c r="BL127" s="7137"/>
      <c r="BM127" s="6034">
        <v>25</v>
      </c>
      <c r="BN127" s="1142" t="s">
        <v>934</v>
      </c>
      <c r="BO127" s="1122"/>
      <c r="BP127" s="1122"/>
      <c r="BQ127" s="141"/>
      <c r="BR127" s="609"/>
      <c r="BX127" s="5">
        <v>1</v>
      </c>
    </row>
    <row r="128" spans="1:76" s="1" customFormat="1" ht="21" customHeight="1">
      <c r="A128" s="5641" t="s">
        <v>1</v>
      </c>
      <c r="B128" s="5662" t="str">
        <f t="shared" si="22"/>
        <v>►</v>
      </c>
      <c r="C128" s="5825" cm="1">
        <f t="array" ref="C128">SUMPRODUCT(LEN(D128:J128))</f>
        <v>0</v>
      </c>
      <c r="D128" s="5275"/>
      <c r="E128" s="1361"/>
      <c r="F128" s="1361"/>
      <c r="G128" s="1361"/>
      <c r="H128" s="1361"/>
      <c r="I128" s="1361"/>
      <c r="J128" s="5276"/>
      <c r="K128" s="106"/>
      <c r="L128" s="5289" t="s">
        <v>26</v>
      </c>
      <c r="M128" s="196" t="str">
        <f>M92</f>
        <v>Pâtisserie-entremet.F.Feuilles de meringue</v>
      </c>
      <c r="N128" s="196">
        <f>N92</f>
        <v>18</v>
      </c>
      <c r="O128" s="196" t="str">
        <f>O92</f>
        <v>assiettes</v>
      </c>
      <c r="P128" s="196" t="str">
        <f>P92</f>
        <v>Recette mère ► MILLE-FEUILLE meringue et chiboust pamplemousse aux fraises des bois</v>
      </c>
      <c r="Q128" s="5290" t="s">
        <v>1112</v>
      </c>
      <c r="R128" s="1361"/>
      <c r="S128" s="1361"/>
      <c r="T128" s="1361"/>
      <c r="U128" s="1361"/>
      <c r="V128" s="1361"/>
      <c r="W128" s="8503"/>
      <c r="X128" s="5291"/>
      <c r="Y128" s="7170"/>
      <c r="Z128" s="7171"/>
      <c r="AA128" s="7171"/>
      <c r="AB128" s="7172"/>
      <c r="AC128" s="5933" t="str">
        <f t="shared" si="35"/>
        <v>►</v>
      </c>
      <c r="AD128" s="5999" t="s">
        <v>113</v>
      </c>
      <c r="AE128" s="5949">
        <v>0.13</v>
      </c>
      <c r="AF128" s="5804"/>
      <c r="AG128" s="5994" t="str">
        <f>IF(COUNTIF(AH128:AJ128,"&lt;&gt;")=0,"",MAX(AG125:AG127)+1)</f>
        <v/>
      </c>
      <c r="AH128" s="5995"/>
      <c r="AI128" s="5995"/>
      <c r="AJ128" s="5995"/>
      <c r="AK128" s="5995"/>
      <c r="AL128" s="5995"/>
      <c r="AM128" s="5995"/>
      <c r="AN128" s="5995"/>
      <c r="AO128" s="5995"/>
      <c r="AP128" s="5994" t="str">
        <f>IF(COUNTIF(AQ128:AR128,"&lt;&gt;")=0,"",MAX(AP125:AP127)+1)</f>
        <v/>
      </c>
      <c r="AQ128" s="5996"/>
      <c r="AR128" s="5997"/>
      <c r="AS128" s="7383"/>
      <c r="AT128" s="4"/>
      <c r="AU128" s="4"/>
      <c r="AV128" s="4"/>
      <c r="AW128" s="5818" t="str">
        <f t="shared" si="32"/>
        <v>►</v>
      </c>
      <c r="AX128" s="5950"/>
      <c r="AY128" s="5950"/>
      <c r="AZ128" s="5950"/>
      <c r="BA128" s="5950"/>
      <c r="BB128" s="5950"/>
      <c r="BC128" s="5661"/>
      <c r="BD128"/>
      <c r="BE128"/>
      <c r="BF128"/>
      <c r="BG128"/>
      <c r="BH128"/>
      <c r="BI128"/>
      <c r="BJ128"/>
      <c r="BL128" s="7137"/>
      <c r="BM128" s="6034">
        <v>12</v>
      </c>
      <c r="BN128" s="109" t="s">
        <v>8594</v>
      </c>
      <c r="BO128" s="1122"/>
      <c r="BP128" s="1122"/>
      <c r="BQ128" s="141"/>
      <c r="BR128" s="609"/>
      <c r="BX128" s="5">
        <v>1</v>
      </c>
    </row>
    <row r="129" spans="1:76" s="1" customFormat="1" ht="21" customHeight="1">
      <c r="A129" s="5641" t="s">
        <v>1</v>
      </c>
      <c r="B129" s="5662" t="str">
        <f t="shared" si="22"/>
        <v>A</v>
      </c>
      <c r="C129" s="5825" cm="1">
        <f t="array" ref="C129">SUMPRODUCT(LEN(D129:J129))</f>
        <v>0</v>
      </c>
      <c r="D129" s="5275"/>
      <c r="E129" s="1361"/>
      <c r="F129" s="1361"/>
      <c r="G129" s="1361"/>
      <c r="H129" s="1361" t="str">
        <f>IF(OR(AB125=0,AA128=0),"",INT(AB125/AA128) &amp; " " &amp; Y127 &amp; " de " &amp; TEXT(AA128,"0.000") &amp; " kg" &amp; IF(MOD(AB125,AA128)=0,""," + 1 " &amp; Y127 &amp; " de " &amp; TEXT(MOD(AB125,AA128),"0.000") &amp; " kg"))</f>
        <v/>
      </c>
      <c r="I129" s="1361"/>
      <c r="J129" s="5276"/>
      <c r="K129" s="106"/>
      <c r="L129" s="5289" t="s">
        <v>21</v>
      </c>
      <c r="M129" s="196" t="str">
        <f>M92</f>
        <v>Pâtisserie-entremet.F.Feuilles de meringue</v>
      </c>
      <c r="N129" s="196">
        <f>N92</f>
        <v>18</v>
      </c>
      <c r="O129" s="196" t="str">
        <f>O92</f>
        <v>assiettes</v>
      </c>
      <c r="P129" s="196" t="str">
        <f>P92</f>
        <v>Recette mère ► MILLE-FEUILLE meringue et chiboust pamplemousse aux fraises des bois</v>
      </c>
      <c r="Q129" s="5290" t="s">
        <v>8606</v>
      </c>
      <c r="R129" s="988"/>
      <c r="S129" s="988"/>
      <c r="T129" s="988"/>
      <c r="U129" s="988"/>
      <c r="V129" s="988"/>
      <c r="W129" s="8504"/>
      <c r="X129" s="1325"/>
      <c r="Y129" s="5293">
        <v>18</v>
      </c>
      <c r="Z129" s="77" t="s">
        <v>8023</v>
      </c>
      <c r="AA129" s="147"/>
      <c r="AB129" s="5324">
        <f>(Y129*Y123)/1000</f>
        <v>1.8</v>
      </c>
      <c r="AC129" s="5933" t="str">
        <f t="shared" si="35"/>
        <v>►</v>
      </c>
      <c r="AD129" s="5999" t="s">
        <v>112</v>
      </c>
      <c r="AE129" s="5949">
        <v>0.2</v>
      </c>
      <c r="AF129" s="5804"/>
      <c r="AG129" s="5994" t="str">
        <f>IF(COUNTIF(AH129:AJ129,"&lt;&gt;")=0,"",MAX(AG125:AG128)+1)</f>
        <v/>
      </c>
      <c r="AH129" s="5995"/>
      <c r="AI129" s="5995"/>
      <c r="AJ129" s="5995"/>
      <c r="AK129" s="5995"/>
      <c r="AL129" s="5995"/>
      <c r="AM129" s="5995"/>
      <c r="AN129" s="5995"/>
      <c r="AO129" s="5995"/>
      <c r="AP129" s="5994" t="str">
        <f>IF(COUNTIF(AQ129:AR129,"&lt;&gt;")=0,"",MAX(AP125:AP128)+1)</f>
        <v/>
      </c>
      <c r="AQ129" s="5996"/>
      <c r="AR129" s="5997"/>
      <c r="AS129" s="7383"/>
      <c r="AT129" s="4"/>
      <c r="AU129" s="4"/>
      <c r="AV129" s="4"/>
      <c r="AW129" s="5818" t="str">
        <f t="shared" si="32"/>
        <v>►</v>
      </c>
      <c r="AX129" s="5950"/>
      <c r="AY129" s="5950"/>
      <c r="AZ129" s="5950"/>
      <c r="BA129" s="5950"/>
      <c r="BB129" s="5950"/>
      <c r="BC129" s="5661"/>
      <c r="BD129"/>
      <c r="BE129"/>
      <c r="BF129"/>
      <c r="BG129"/>
      <c r="BH129"/>
      <c r="BI129"/>
      <c r="BJ129"/>
      <c r="BL129" s="7137"/>
      <c r="BM129" s="6034">
        <v>7</v>
      </c>
      <c r="BN129" s="109" t="s">
        <v>1286</v>
      </c>
      <c r="BO129" s="1122"/>
      <c r="BP129" s="1122"/>
      <c r="BQ129" s="141"/>
      <c r="BR129" s="609"/>
      <c r="BX129" s="5">
        <v>1</v>
      </c>
    </row>
    <row r="130" spans="1:76" s="1" customFormat="1" ht="21" customHeight="1">
      <c r="A130" s="5641" t="s">
        <v>1</v>
      </c>
      <c r="B130" s="5662" t="str">
        <f t="shared" si="22"/>
        <v>A</v>
      </c>
      <c r="C130" s="5825" cm="1">
        <f t="array" ref="C130">SUMPRODUCT(LEN(D130:J130))</f>
        <v>0</v>
      </c>
      <c r="D130" s="5275"/>
      <c r="E130" s="1361"/>
      <c r="F130" s="1361"/>
      <c r="G130" s="1361"/>
      <c r="H130" s="1361"/>
      <c r="I130" s="1361"/>
      <c r="J130" s="5276"/>
      <c r="K130" s="106"/>
      <c r="L130" s="5289" t="s">
        <v>21</v>
      </c>
      <c r="M130" s="196" t="str">
        <f>M92</f>
        <v>Pâtisserie-entremet.F.Feuilles de meringue</v>
      </c>
      <c r="N130" s="196">
        <f>N92</f>
        <v>18</v>
      </c>
      <c r="O130" s="196" t="str">
        <f>O92</f>
        <v>assiettes</v>
      </c>
      <c r="P130" s="196" t="str">
        <f>P92</f>
        <v>Recette mère ► MILLE-FEUILLE meringue et chiboust pamplemousse aux fraises des bois</v>
      </c>
      <c r="Q130" s="5294" t="s">
        <v>8024</v>
      </c>
      <c r="R130" s="1449"/>
      <c r="S130" s="1449"/>
      <c r="T130" s="1449"/>
      <c r="U130" s="1449"/>
      <c r="V130" s="1449"/>
      <c r="W130" s="5410"/>
      <c r="X130" s="5295"/>
      <c r="Y130" s="5296">
        <v>0.33</v>
      </c>
      <c r="Z130" s="5297" t="str">
        <f>"poids par "&amp; Y124</f>
        <v>poids par plaques 60X40</v>
      </c>
      <c r="AA130" s="147"/>
      <c r="AB130" s="5322"/>
      <c r="AC130" s="5933" t="str">
        <f t="shared" si="35"/>
        <v>►</v>
      </c>
      <c r="AD130" s="5999" t="s">
        <v>8015</v>
      </c>
      <c r="AE130" s="5949">
        <v>0.23</v>
      </c>
      <c r="AF130" s="5804"/>
      <c r="AG130" s="5994" t="str">
        <f>IF(COUNTIF(AH130:AJ130,"&lt;&gt;")=0,"",MAX(AG125:AG129)+1)</f>
        <v/>
      </c>
      <c r="AH130" s="5995"/>
      <c r="AI130" s="5995"/>
      <c r="AJ130" s="5995"/>
      <c r="AK130" s="5995"/>
      <c r="AL130" s="5995"/>
      <c r="AM130" s="5995"/>
      <c r="AN130" s="5995"/>
      <c r="AO130" s="5995"/>
      <c r="AP130" s="5994" t="str">
        <f>IF(COUNTIF(AQ130:AR130,"&lt;&gt;")=0,"",MAX(AP125:AP129)+1)</f>
        <v/>
      </c>
      <c r="AQ130" s="5996"/>
      <c r="AR130" s="5997"/>
      <c r="AS130" s="7383"/>
      <c r="AT130" s="4"/>
      <c r="AU130" s="4"/>
      <c r="AV130" s="4"/>
      <c r="AW130" s="5818" t="str">
        <f t="shared" si="32"/>
        <v>►</v>
      </c>
      <c r="AX130" s="5950"/>
      <c r="AY130" s="5950"/>
      <c r="AZ130" s="5950"/>
      <c r="BA130" s="5950"/>
      <c r="BB130" s="5950"/>
      <c r="BC130" s="5661"/>
      <c r="BD130"/>
      <c r="BE130"/>
      <c r="BF130"/>
      <c r="BG130"/>
      <c r="BH130"/>
      <c r="BI130"/>
      <c r="BJ130"/>
      <c r="BL130" s="7137"/>
      <c r="BM130" s="6035" t="s">
        <v>8607</v>
      </c>
      <c r="BN130" s="6035"/>
      <c r="BO130" s="6035"/>
      <c r="BP130" s="6035"/>
      <c r="BQ130" s="141"/>
      <c r="BR130" s="609"/>
      <c r="BX130" s="5">
        <v>1</v>
      </c>
    </row>
    <row r="131" spans="1:76" s="1" customFormat="1" ht="21" customHeight="1">
      <c r="A131" s="5641" t="s">
        <v>1</v>
      </c>
      <c r="B131" s="5662" t="str">
        <f t="shared" si="22"/>
        <v>A</v>
      </c>
      <c r="C131" s="5825" cm="1">
        <f t="array" ref="C131">SUMPRODUCT(LEN(D131:J131))</f>
        <v>0</v>
      </c>
      <c r="D131" s="5275"/>
      <c r="E131" s="1361"/>
      <c r="F131" s="1361"/>
      <c r="G131" s="1361"/>
      <c r="H131" s="1361"/>
      <c r="I131" s="1361"/>
      <c r="J131" s="5276"/>
      <c r="K131" s="106"/>
      <c r="L131" s="5289" t="s">
        <v>21</v>
      </c>
      <c r="M131" s="196" t="str">
        <f>M92</f>
        <v>Pâtisserie-entremet.F.Feuilles de meringue</v>
      </c>
      <c r="N131" s="196">
        <f>N92</f>
        <v>18</v>
      </c>
      <c r="O131" s="196" t="str">
        <f>O92</f>
        <v>assiettes</v>
      </c>
      <c r="P131" s="196" t="str">
        <f>P92</f>
        <v>Recette mère ► MILLE-FEUILLE meringue et chiboust pamplemousse aux fraises des bois</v>
      </c>
      <c r="Q131" s="1002"/>
      <c r="R131" s="1002"/>
      <c r="S131" s="1002" t="s">
        <v>873</v>
      </c>
      <c r="T131" s="1003"/>
      <c r="U131" s="1329"/>
      <c r="V131" s="1329"/>
      <c r="W131" s="1329"/>
      <c r="X131" s="1330"/>
      <c r="Y131" s="7173" t="str">
        <f>IF(AB129=0,"",IF(Y130=0,"",INT(AB129/Y130) &amp; " " &amp; Y124 &amp; " de " &amp; Y130 &amp; " kg" &amp; IF(MOD(AB129,Y130)=0,"",IF(MOD(AB129,Y130)=Y130,""," + 1 " &amp; Y124 &amp; " de " &amp; TEXT(MOD(AB129,Y130),"0.000") &amp; " kg"))))</f>
        <v>5 plaques 60X40 de 0.33 kg + 1 plaques 60X40 de 0.150 kg</v>
      </c>
      <c r="Z131" s="7174"/>
      <c r="AA131" s="7174"/>
      <c r="AB131" s="7175"/>
      <c r="AC131" s="5933" t="str">
        <f t="shared" si="35"/>
        <v>►</v>
      </c>
      <c r="AD131" s="5999" t="s">
        <v>8016</v>
      </c>
      <c r="AE131" s="5949">
        <v>0.24</v>
      </c>
      <c r="AF131" s="5804"/>
      <c r="AG131" s="5994" t="str">
        <f>IF(COUNTIF(AH131:AJ131,"&lt;&gt;")=0,"",MAX(AG125:AG130)+1)</f>
        <v/>
      </c>
      <c r="AH131" s="5995"/>
      <c r="AI131" s="5995"/>
      <c r="AJ131" s="5995"/>
      <c r="AK131" s="5995"/>
      <c r="AL131" s="5995"/>
      <c r="AM131" s="5995"/>
      <c r="AN131" s="5995"/>
      <c r="AO131" s="5995"/>
      <c r="AP131" s="5994" t="str">
        <f>IF(COUNTIF(AQ131:AR131,"&lt;&gt;")=0,"",MAX(AP125:AP130)+1)</f>
        <v/>
      </c>
      <c r="AQ131" s="5996"/>
      <c r="AR131" s="5997"/>
      <c r="AS131" s="7383"/>
      <c r="AT131" s="4"/>
      <c r="AU131" s="4"/>
      <c r="AV131" s="4"/>
      <c r="AW131" s="5818" t="str">
        <f t="shared" si="32"/>
        <v>►</v>
      </c>
      <c r="AX131" s="5950"/>
      <c r="AY131" s="5950"/>
      <c r="AZ131" s="5950"/>
      <c r="BA131" s="5950"/>
      <c r="BB131" s="5950"/>
      <c r="BC131" s="5661"/>
      <c r="BD131"/>
      <c r="BE131"/>
      <c r="BF131"/>
      <c r="BG131"/>
      <c r="BH131"/>
      <c r="BI131"/>
      <c r="BJ131"/>
      <c r="BL131" s="1079"/>
      <c r="BM131" s="1080"/>
      <c r="BN131" s="1081"/>
      <c r="BO131" s="1080"/>
      <c r="BP131" s="1080"/>
      <c r="BQ131" s="1080"/>
      <c r="BR131" s="1082"/>
      <c r="BX131" s="5">
        <v>1</v>
      </c>
    </row>
    <row r="132" spans="1:76" s="1" customFormat="1" ht="21" customHeight="1">
      <c r="A132" s="5641" t="s">
        <v>1</v>
      </c>
      <c r="B132" s="5662" t="str">
        <f t="shared" si="22"/>
        <v>A</v>
      </c>
      <c r="C132" s="5825" cm="1">
        <f t="array" ref="C132">SUMPRODUCT(LEN(D132:J132))</f>
        <v>0</v>
      </c>
      <c r="D132" s="5275"/>
      <c r="E132" s="1361"/>
      <c r="F132" s="1361"/>
      <c r="G132" s="1361"/>
      <c r="H132" s="1361"/>
      <c r="I132" s="1361"/>
      <c r="J132" s="5276"/>
      <c r="K132" s="106"/>
      <c r="L132" s="1037" t="s">
        <v>21</v>
      </c>
      <c r="M132" s="5298" t="str">
        <f>M108</f>
        <v>Pâtisserie-entremet.F.Feuilles de meringue</v>
      </c>
      <c r="N132" s="5298">
        <f>N108</f>
        <v>18</v>
      </c>
      <c r="O132" s="5298" t="str">
        <f>O108</f>
        <v>assiettes</v>
      </c>
      <c r="P132" s="5298"/>
      <c r="Q132" s="5299" t="s">
        <v>86</v>
      </c>
      <c r="R132" s="5300"/>
      <c r="S132" s="5301"/>
      <c r="T132" s="5302" t="s">
        <v>8025</v>
      </c>
      <c r="U132" s="5301"/>
      <c r="V132" s="5301"/>
      <c r="W132" s="8497"/>
      <c r="X132" s="5303"/>
      <c r="Y132" s="7176"/>
      <c r="Z132" s="6886"/>
      <c r="AA132" s="6886"/>
      <c r="AB132" s="7177"/>
      <c r="AC132" s="5933" t="str">
        <f t="shared" si="35"/>
        <v>►</v>
      </c>
      <c r="AD132" s="6003" t="s">
        <v>8014</v>
      </c>
      <c r="AE132" s="5949">
        <v>0</v>
      </c>
      <c r="AF132" s="5804"/>
      <c r="AG132" s="5994" t="str">
        <f>IF(COUNTIF(AH132:AJ132,"&lt;&gt;")=0,"",MAX(AG125:AG131)+1)</f>
        <v/>
      </c>
      <c r="AH132" s="5995"/>
      <c r="AI132" s="5995"/>
      <c r="AJ132" s="5995"/>
      <c r="AK132" s="5995"/>
      <c r="AL132" s="5995"/>
      <c r="AM132" s="5995"/>
      <c r="AN132" s="5995"/>
      <c r="AO132" s="5995"/>
      <c r="AP132" s="5994" t="str">
        <f>IF(COUNTIF(AQ132:AR132,"&lt;&gt;")=0,"",MAX(AP125:AP131)+1)</f>
        <v/>
      </c>
      <c r="AQ132" s="5996"/>
      <c r="AR132" s="5997"/>
      <c r="AS132" s="7383"/>
      <c r="AT132" s="4"/>
      <c r="AU132" s="4"/>
      <c r="AV132" s="4"/>
      <c r="AW132" s="5818" t="str">
        <f t="shared" si="32"/>
        <v>►</v>
      </c>
      <c r="AX132" s="5950"/>
      <c r="AY132" s="5950"/>
      <c r="AZ132" s="5950"/>
      <c r="BA132" s="5950"/>
      <c r="BB132" s="5950"/>
      <c r="BC132" s="5661"/>
      <c r="BD132"/>
      <c r="BE132"/>
      <c r="BF132"/>
      <c r="BG132"/>
      <c r="BH132"/>
      <c r="BI132"/>
      <c r="BJ132"/>
      <c r="BL132" s="7138" t="s">
        <v>8608</v>
      </c>
      <c r="BM132" s="7139"/>
      <c r="BN132" s="7139"/>
      <c r="BO132" s="7139"/>
      <c r="BP132" s="7139"/>
      <c r="BQ132" s="7139"/>
      <c r="BR132" s="7140"/>
      <c r="BX132" s="5">
        <v>1</v>
      </c>
    </row>
    <row r="133" spans="1:76" s="1" customFormat="1" ht="21" customHeight="1" thickBot="1">
      <c r="A133" s="5641" t="s">
        <v>1</v>
      </c>
      <c r="B133" s="5662" t="str">
        <f t="shared" si="22"/>
        <v>A</v>
      </c>
      <c r="C133" s="5825" cm="1">
        <f t="array" ref="C133">SUMPRODUCT(LEN(D133:J133))</f>
        <v>0</v>
      </c>
      <c r="D133" s="5275"/>
      <c r="E133" s="1361"/>
      <c r="F133" s="1361"/>
      <c r="G133" s="1361"/>
      <c r="H133" s="1361"/>
      <c r="I133" s="1361"/>
      <c r="J133" s="5276"/>
      <c r="K133" s="106"/>
      <c r="L133" s="5304" t="s">
        <v>21</v>
      </c>
      <c r="M133" s="5305"/>
      <c r="N133" s="5305"/>
      <c r="O133" s="5305"/>
      <c r="P133" s="5305"/>
      <c r="Q133" s="5306" t="s">
        <v>269</v>
      </c>
      <c r="R133" s="5307" t="str">
        <f ca="1">CELL("nomfichier")</f>
        <v>D:\Données\1.UPRT\0-UPRT.fait\1-UPRT.FR-SITE-WEB\ff-fiches-fabrications\ff.fiches.fabrication.2023\ffr.restaurant.2023\[ff.REPERTOIRE.600.LIGNES.15.xlsx]Differents.postits.FR.EN.ES</v>
      </c>
      <c r="S133" s="5308"/>
      <c r="T133" s="5308"/>
      <c r="U133" s="5308"/>
      <c r="V133" s="5308"/>
      <c r="W133" s="5308"/>
      <c r="X133" s="5308"/>
      <c r="Y133" s="5308"/>
      <c r="Z133" s="5308"/>
      <c r="AA133" s="5308"/>
      <c r="AB133" s="5309"/>
      <c r="AC133" s="5817" t="s">
        <v>21</v>
      </c>
      <c r="AD133" s="6005"/>
      <c r="AE133" s="6006"/>
      <c r="AF133" s="6006"/>
      <c r="AG133" s="6006"/>
      <c r="AH133" s="6006"/>
      <c r="AI133" s="6006"/>
      <c r="AJ133" s="6006"/>
      <c r="AK133" s="6006"/>
      <c r="AL133" s="6007"/>
      <c r="AM133" s="6007"/>
      <c r="AN133" s="6007"/>
      <c r="AO133" s="6007"/>
      <c r="AP133" s="6007"/>
      <c r="AQ133" s="6007"/>
      <c r="AR133" s="6008"/>
      <c r="AS133" s="7383"/>
      <c r="AT133" s="4"/>
      <c r="AU133" s="4"/>
      <c r="AV133" s="4"/>
      <c r="AW133" s="5818" t="str">
        <f t="shared" si="32"/>
        <v>A</v>
      </c>
      <c r="AX133" s="5950"/>
      <c r="AY133" s="5950"/>
      <c r="AZ133" s="5950"/>
      <c r="BA133" s="5950"/>
      <c r="BB133" s="5950"/>
      <c r="BC133" s="5661"/>
      <c r="BD133"/>
      <c r="BE133"/>
      <c r="BF133"/>
      <c r="BG133"/>
      <c r="BH133"/>
      <c r="BI133"/>
      <c r="BJ133"/>
      <c r="BL133" s="7138"/>
      <c r="BM133" s="7139"/>
      <c r="BN133" s="7139"/>
      <c r="BO133" s="7139"/>
      <c r="BP133" s="7139"/>
      <c r="BQ133" s="7139"/>
      <c r="BR133" s="7140"/>
      <c r="BX133" s="5">
        <v>1</v>
      </c>
    </row>
    <row r="134" spans="1:76" s="1" customFormat="1" ht="21" customHeight="1" thickBot="1">
      <c r="A134" s="5641" t="s">
        <v>1</v>
      </c>
      <c r="B134" s="5662" t="str">
        <f t="shared" ref="B134:B197" si="36">L134</f>
        <v>A</v>
      </c>
      <c r="C134" s="5825" cm="1">
        <f t="array" ref="C134">SUMPRODUCT(LEN(D134:J134))</f>
        <v>0</v>
      </c>
      <c r="D134" s="5275"/>
      <c r="E134" s="1361"/>
      <c r="F134" s="1361"/>
      <c r="G134" s="1361"/>
      <c r="H134" s="1361"/>
      <c r="I134" s="1361"/>
      <c r="J134" s="5276"/>
      <c r="K134" s="106" t="s">
        <v>1</v>
      </c>
      <c r="L134" s="6009" t="s">
        <v>21</v>
      </c>
      <c r="M134" s="6010"/>
      <c r="N134" s="6010"/>
      <c r="O134" s="6010"/>
      <c r="P134" s="6010"/>
      <c r="Q134" s="6011"/>
      <c r="R134" s="6011"/>
      <c r="S134" s="6011"/>
      <c r="T134" s="6011"/>
      <c r="U134" s="6011"/>
      <c r="V134" s="6011"/>
      <c r="W134" s="6011"/>
      <c r="X134" s="6011"/>
      <c r="Y134" s="6011"/>
      <c r="Z134" s="6011"/>
      <c r="AA134" s="6011"/>
      <c r="AB134" s="6011"/>
      <c r="AC134" s="5817" t="s">
        <v>21</v>
      </c>
      <c r="AD134" s="6011"/>
      <c r="AE134" s="6011"/>
      <c r="AF134" s="6011"/>
      <c r="AG134" s="6011"/>
      <c r="AH134" s="6011"/>
      <c r="AI134" s="6011"/>
      <c r="AJ134" s="6011"/>
      <c r="AK134" s="6011"/>
      <c r="AL134" s="6011"/>
      <c r="AM134" s="6011"/>
      <c r="AN134" s="6011"/>
      <c r="AO134" s="6012"/>
      <c r="AP134" s="6013"/>
      <c r="AQ134" s="6013"/>
      <c r="AR134" s="6013"/>
      <c r="AS134" s="7383"/>
      <c r="AT134" s="4"/>
      <c r="AU134" s="4"/>
      <c r="AV134" s="4"/>
      <c r="AW134" s="5818" t="str">
        <f t="shared" si="32"/>
        <v>A</v>
      </c>
      <c r="AX134" s="5950"/>
      <c r="AY134" s="5950"/>
      <c r="AZ134" s="5950"/>
      <c r="BA134" s="5950"/>
      <c r="BB134" s="5950"/>
      <c r="BC134" s="5661"/>
      <c r="BD134"/>
      <c r="BE134"/>
      <c r="BF134"/>
      <c r="BG134"/>
      <c r="BH134"/>
      <c r="BI134"/>
      <c r="BJ134"/>
      <c r="BL134" s="221"/>
      <c r="BM134" s="6036" t="s">
        <v>8609</v>
      </c>
      <c r="BN134" s="478" t="s">
        <v>62</v>
      </c>
      <c r="BO134" s="102"/>
      <c r="BP134" s="141"/>
      <c r="BQ134" s="141"/>
      <c r="BR134" s="609"/>
      <c r="BX134" s="5">
        <v>1</v>
      </c>
    </row>
    <row r="135" spans="1:76" s="1" customFormat="1" ht="21" customHeight="1" thickTop="1">
      <c r="A135" s="5641" t="s">
        <v>1</v>
      </c>
      <c r="B135" s="5662" t="str">
        <f t="shared" si="36"/>
        <v>A</v>
      </c>
      <c r="C135" s="5825" cm="1">
        <f t="array" ref="C135">SUMPRODUCT(LEN(D135:J135))</f>
        <v>0</v>
      </c>
      <c r="D135" s="5275"/>
      <c r="E135" s="1361"/>
      <c r="F135" s="1361"/>
      <c r="G135" s="1361"/>
      <c r="H135" s="1361"/>
      <c r="I135" s="1361"/>
      <c r="J135" s="5276"/>
      <c r="K135" s="106" t="s">
        <v>1</v>
      </c>
      <c r="L135" s="5636" t="s">
        <v>21</v>
      </c>
      <c r="M135" s="5231" t="str">
        <f>M141</f>
        <v>Coller la-cellule-identité.C.Coulis de mangue</v>
      </c>
      <c r="N135" s="5232">
        <f>N141</f>
        <v>18</v>
      </c>
      <c r="O135" s="5232" t="str">
        <f>O141</f>
        <v>assiettes</v>
      </c>
      <c r="P135" s="5232"/>
      <c r="Q135" s="5233" t="s">
        <v>1</v>
      </c>
      <c r="R135" s="5234" t="s">
        <v>251</v>
      </c>
      <c r="S135" s="5234"/>
      <c r="T135" s="6911" t="s">
        <v>8610</v>
      </c>
      <c r="U135" s="6911"/>
      <c r="V135" s="6911"/>
      <c r="W135" s="6911"/>
      <c r="X135" s="6911"/>
      <c r="Y135" s="6911"/>
      <c r="Z135" s="7385" t="s">
        <v>8611</v>
      </c>
      <c r="AA135" s="7385"/>
      <c r="AB135" s="6915" t="str">
        <f>UPPER(LEFT(T135,1))</f>
        <v>C</v>
      </c>
      <c r="AC135" s="5817" t="s">
        <v>21</v>
      </c>
      <c r="AD135" s="7339" t="str">
        <f>T135</f>
        <v>COULIS DE MANGUE</v>
      </c>
      <c r="AE135" s="7340"/>
      <c r="AF135" s="7340"/>
      <c r="AG135" s="7340"/>
      <c r="AH135" s="7340"/>
      <c r="AI135" s="7340"/>
      <c r="AJ135" s="7340"/>
      <c r="AK135" s="7340"/>
      <c r="AL135" s="7340"/>
      <c r="AM135" s="7340"/>
      <c r="AN135" s="7340"/>
      <c r="AO135" s="7340"/>
      <c r="AP135" s="7340"/>
      <c r="AQ135" s="7340"/>
      <c r="AR135" s="7343">
        <f>IF(ISBLANK(AM23),AK23,AM23)</f>
        <v>0.78750000000000009</v>
      </c>
      <c r="AS135" s="7383"/>
      <c r="AT135" s="4"/>
      <c r="AU135" s="4"/>
      <c r="AV135" s="4"/>
      <c r="AW135" s="5818" t="str">
        <f t="shared" si="32"/>
        <v>A</v>
      </c>
      <c r="AX135" s="5950"/>
      <c r="AY135" s="5950"/>
      <c r="AZ135" s="5950"/>
      <c r="BA135" s="5950"/>
      <c r="BB135" s="5950"/>
      <c r="BC135" s="5661"/>
      <c r="BD135"/>
      <c r="BE135"/>
      <c r="BF135"/>
      <c r="BG135"/>
      <c r="BH135"/>
      <c r="BI135"/>
      <c r="BJ135"/>
      <c r="BL135" s="343"/>
      <c r="BM135" s="6037" t="s">
        <v>37</v>
      </c>
      <c r="BN135" s="6038">
        <v>18.824999999999999</v>
      </c>
      <c r="BO135" s="6039" t="s">
        <v>8612</v>
      </c>
      <c r="BP135" s="6040">
        <v>0.15687499999999999</v>
      </c>
      <c r="BQ135" s="141"/>
      <c r="BR135" s="409"/>
      <c r="BX135" s="5">
        <v>1</v>
      </c>
    </row>
    <row r="136" spans="1:76" s="1" customFormat="1" ht="21" customHeight="1">
      <c r="A136" s="5641" t="s">
        <v>1</v>
      </c>
      <c r="B136" s="5662" t="str">
        <f t="shared" si="36"/>
        <v>A</v>
      </c>
      <c r="C136" s="5825" cm="1">
        <f t="array" ref="C136">SUMPRODUCT(LEN(D136:J136))</f>
        <v>0</v>
      </c>
      <c r="D136" s="5275"/>
      <c r="E136" s="1361"/>
      <c r="F136" s="1361"/>
      <c r="G136" s="1361"/>
      <c r="H136" s="1361"/>
      <c r="I136" s="1361"/>
      <c r="J136" s="5276"/>
      <c r="K136" s="106" t="s">
        <v>1</v>
      </c>
      <c r="L136" s="1018" t="s">
        <v>21</v>
      </c>
      <c r="M136" s="363" t="str">
        <f>M141</f>
        <v>Coller la-cellule-identité.C.Coulis de mangue</v>
      </c>
      <c r="N136" s="362"/>
      <c r="O136" s="362"/>
      <c r="P136" s="362"/>
      <c r="Q136" s="361" t="s">
        <v>245</v>
      </c>
      <c r="R136" s="360" t="s">
        <v>244</v>
      </c>
      <c r="S136" s="360"/>
      <c r="T136" s="6912"/>
      <c r="U136" s="6912"/>
      <c r="V136" s="6912"/>
      <c r="W136" s="6912"/>
      <c r="X136" s="6912"/>
      <c r="Y136" s="6912"/>
      <c r="Z136" s="7386"/>
      <c r="AA136" s="7386"/>
      <c r="AB136" s="6916"/>
      <c r="AC136" s="5817" t="s">
        <v>21</v>
      </c>
      <c r="AD136" s="7341"/>
      <c r="AE136" s="7342"/>
      <c r="AF136" s="7342"/>
      <c r="AG136" s="7342"/>
      <c r="AH136" s="7342"/>
      <c r="AI136" s="7342"/>
      <c r="AJ136" s="7342"/>
      <c r="AK136" s="7342"/>
      <c r="AL136" s="7342"/>
      <c r="AM136" s="7342"/>
      <c r="AN136" s="7342"/>
      <c r="AO136" s="7342"/>
      <c r="AP136" s="7342"/>
      <c r="AQ136" s="7342"/>
      <c r="AR136" s="7344"/>
      <c r="AS136" s="7383"/>
      <c r="AT136" s="4"/>
      <c r="AU136" s="4"/>
      <c r="AV136" s="4"/>
      <c r="AW136" s="5818" t="str">
        <f t="shared" si="32"/>
        <v>A</v>
      </c>
      <c r="AX136" s="5950"/>
      <c r="AY136" s="5950"/>
      <c r="AZ136" s="5950"/>
      <c r="BA136" s="5950"/>
      <c r="BB136" s="5950"/>
      <c r="BC136" s="5661"/>
      <c r="BD136"/>
      <c r="BE136"/>
      <c r="BF136"/>
      <c r="BG136"/>
      <c r="BH136"/>
      <c r="BI136"/>
      <c r="BJ136"/>
      <c r="BL136" s="1160"/>
      <c r="BM136" s="6041" t="s">
        <v>8609</v>
      </c>
      <c r="BN136" s="6042" t="s">
        <v>8613</v>
      </c>
      <c r="BO136" s="109"/>
      <c r="BP136" s="109"/>
      <c r="BQ136" s="141"/>
      <c r="BR136" s="409"/>
      <c r="BX136" s="5">
        <v>1</v>
      </c>
    </row>
    <row r="137" spans="1:76" s="1" customFormat="1" ht="21" customHeight="1">
      <c r="A137" s="5641" t="s">
        <v>1</v>
      </c>
      <c r="B137" s="5662" t="str">
        <f t="shared" si="36"/>
        <v>A</v>
      </c>
      <c r="C137" s="5825" cm="1">
        <f t="array" ref="C137">SUMPRODUCT(LEN(D137:J137))</f>
        <v>0</v>
      </c>
      <c r="D137" s="5275"/>
      <c r="E137" s="1361"/>
      <c r="F137" s="1361"/>
      <c r="G137" s="1361"/>
      <c r="H137" s="1361"/>
      <c r="I137" s="1361"/>
      <c r="J137" s="5276"/>
      <c r="K137" s="106" t="s">
        <v>1</v>
      </c>
      <c r="L137" s="1018" t="s">
        <v>21</v>
      </c>
      <c r="M137" s="41" t="str">
        <f>M141</f>
        <v>Coller la-cellule-identité.C.Coulis de mangue</v>
      </c>
      <c r="N137" s="40">
        <f>N141</f>
        <v>18</v>
      </c>
      <c r="O137" s="40" t="str">
        <f>O141</f>
        <v>assiettes</v>
      </c>
      <c r="P137" s="40" t="str">
        <f>P141</f>
        <v>Recette mère ► MILLE-FEUILLE meringue et chiboust pamplemousse aux fraises des bois</v>
      </c>
      <c r="Q137" s="351"/>
      <c r="R137" s="350" t="s">
        <v>233</v>
      </c>
      <c r="S137" s="349"/>
      <c r="T137" s="348" t="s">
        <v>232</v>
      </c>
      <c r="U137" s="347" t="s">
        <v>1092</v>
      </c>
      <c r="V137" s="141"/>
      <c r="W137" s="347"/>
      <c r="X137" s="347"/>
      <c r="Y137" s="5235"/>
      <c r="Z137" s="141"/>
      <c r="AA137" s="141"/>
      <c r="AB137" s="409"/>
      <c r="AC137" s="5817" t="s">
        <v>21</v>
      </c>
      <c r="AD137" s="5826"/>
      <c r="AE137" s="5827"/>
      <c r="AF137" s="5827"/>
      <c r="AG137" s="5827"/>
      <c r="AH137" s="5827"/>
      <c r="AI137" s="5827"/>
      <c r="AJ137" s="5827"/>
      <c r="AK137" s="5828"/>
      <c r="AL137" s="5828"/>
      <c r="AM137" s="5828"/>
      <c r="AN137" s="5828"/>
      <c r="AO137" s="5828"/>
      <c r="AP137" s="5829"/>
      <c r="AQ137" s="5829" t="s">
        <v>248</v>
      </c>
      <c r="AR137" s="5830">
        <f>IF(Y159=0,0,AR135/Y159)</f>
        <v>2.5000000000000004</v>
      </c>
      <c r="AS137" s="7383"/>
      <c r="AT137" s="4"/>
      <c r="AU137" s="4"/>
      <c r="AV137" s="4"/>
      <c r="AW137" s="5818" t="str">
        <f t="shared" si="32"/>
        <v>A</v>
      </c>
      <c r="AX137" s="5950"/>
      <c r="AY137" s="5950"/>
      <c r="AZ137" s="5950"/>
      <c r="BA137" s="5950"/>
      <c r="BB137" s="5950"/>
      <c r="BC137" s="5661"/>
      <c r="BD137"/>
      <c r="BE137"/>
      <c r="BF137"/>
      <c r="BG137"/>
      <c r="BH137"/>
      <c r="BI137"/>
      <c r="BJ137"/>
      <c r="BL137" s="1160"/>
      <c r="BM137" s="6043">
        <v>1</v>
      </c>
      <c r="BN137" s="6044">
        <v>1.5</v>
      </c>
      <c r="BO137" s="109"/>
      <c r="BP137" s="109"/>
      <c r="BQ137" s="141"/>
      <c r="BR137" s="409"/>
      <c r="BX137" s="5">
        <v>1</v>
      </c>
    </row>
    <row r="138" spans="1:76" s="1" customFormat="1" ht="21" customHeight="1">
      <c r="A138" s="5641" t="s">
        <v>1</v>
      </c>
      <c r="B138" s="5662" t="str">
        <f t="shared" si="36"/>
        <v>A</v>
      </c>
      <c r="C138" s="5825" cm="1">
        <f t="array" ref="C138">SUMPRODUCT(LEN(D138:J138))</f>
        <v>0</v>
      </c>
      <c r="D138" s="5275"/>
      <c r="E138" s="1361"/>
      <c r="F138" s="1361"/>
      <c r="G138" s="1361"/>
      <c r="H138" s="1361"/>
      <c r="I138" s="1361"/>
      <c r="J138" s="5276"/>
      <c r="K138" s="106" t="s">
        <v>1</v>
      </c>
      <c r="L138" s="1018" t="s">
        <v>21</v>
      </c>
      <c r="M138" s="41" t="str">
        <f>M141</f>
        <v>Coller la-cellule-identité.C.Coulis de mangue</v>
      </c>
      <c r="N138" s="40">
        <f>N141</f>
        <v>18</v>
      </c>
      <c r="O138" s="40" t="str">
        <f>O141</f>
        <v>assiettes</v>
      </c>
      <c r="P138" s="40" t="str">
        <f>P141</f>
        <v>Recette mère ► MILLE-FEUILLE meringue et chiboust pamplemousse aux fraises des bois</v>
      </c>
      <c r="Q138" s="333" t="s">
        <v>228</v>
      </c>
      <c r="R138" s="341"/>
      <c r="S138" s="341"/>
      <c r="T138" s="340" t="s">
        <v>227</v>
      </c>
      <c r="U138" s="6901" t="str">
        <f>Q141</f>
        <v>Coller la-cellule-identité.C.Coulis de mangue</v>
      </c>
      <c r="V138" s="6901"/>
      <c r="W138" s="6901"/>
      <c r="X138" s="6225"/>
      <c r="Y138" s="5235"/>
      <c r="Z138" s="5236" t="s">
        <v>8008</v>
      </c>
      <c r="AA138" s="5237">
        <v>100</v>
      </c>
      <c r="AB138" s="344" t="str">
        <f>AB140</f>
        <v>couverts</v>
      </c>
      <c r="AC138" s="5817" t="s">
        <v>21</v>
      </c>
      <c r="AD138" s="5826"/>
      <c r="AE138" s="5827"/>
      <c r="AF138" s="5827"/>
      <c r="AG138" s="5827"/>
      <c r="AH138" s="5827"/>
      <c r="AI138" s="5827"/>
      <c r="AJ138" s="5827"/>
      <c r="AK138" s="5714" t="str">
        <f>IF(AM23&gt;0,"avec Poids modifié ❻","avec Poids prévu ④")</f>
        <v>avec Poids prévu ④</v>
      </c>
      <c r="AL138" s="5714"/>
      <c r="AM138" s="5714"/>
      <c r="AN138" s="5714"/>
      <c r="AO138" s="5713" t="s">
        <v>8511</v>
      </c>
      <c r="AP138" s="5713"/>
      <c r="AQ138" s="5713"/>
      <c r="AR138" s="5831"/>
      <c r="AS138" s="7383"/>
      <c r="AT138" s="4"/>
      <c r="AU138" s="4"/>
      <c r="AV138" s="4"/>
      <c r="AW138" s="5818" t="str">
        <f t="shared" si="32"/>
        <v>A</v>
      </c>
      <c r="AX138" s="5950"/>
      <c r="AY138" s="5950"/>
      <c r="AZ138" s="5950"/>
      <c r="BA138" s="5950"/>
      <c r="BB138" s="5950"/>
      <c r="BC138" s="5661"/>
      <c r="BD138"/>
      <c r="BE138"/>
      <c r="BF138"/>
      <c r="BG138"/>
      <c r="BH138"/>
      <c r="BI138"/>
      <c r="BJ138"/>
      <c r="BL138" s="1160"/>
      <c r="BM138" s="141"/>
      <c r="BN138" s="141"/>
      <c r="BO138" s="141"/>
      <c r="BP138" s="141"/>
      <c r="BQ138" s="141"/>
      <c r="BR138" s="409"/>
      <c r="BT138"/>
      <c r="BU138"/>
      <c r="BV138"/>
      <c r="BX138" s="5">
        <v>1</v>
      </c>
    </row>
    <row r="139" spans="1:76" s="1" customFormat="1" ht="21" customHeight="1">
      <c r="A139" s="5641" t="s">
        <v>1</v>
      </c>
      <c r="B139" s="5662" t="str">
        <f t="shared" si="36"/>
        <v>A</v>
      </c>
      <c r="C139" s="5825" cm="1">
        <f t="array" ref="C139">SUMPRODUCT(LEN(D139:J139))</f>
        <v>0</v>
      </c>
      <c r="D139" s="5275"/>
      <c r="E139" s="1361"/>
      <c r="F139" s="1361"/>
      <c r="G139" s="1361"/>
      <c r="H139" s="1361"/>
      <c r="I139" s="1361"/>
      <c r="J139" s="5276"/>
      <c r="K139" s="106" t="s">
        <v>1</v>
      </c>
      <c r="L139" s="1018" t="s">
        <v>21</v>
      </c>
      <c r="M139" s="41" t="str">
        <f>M141</f>
        <v>Coller la-cellule-identité.C.Coulis de mangue</v>
      </c>
      <c r="N139" s="40">
        <f>N141</f>
        <v>18</v>
      </c>
      <c r="O139" s="40" t="str">
        <f>O141</f>
        <v>assiettes</v>
      </c>
      <c r="P139" s="40" t="str">
        <f>P141</f>
        <v>Recette mère ► MILLE-FEUILLE meringue et chiboust pamplemousse aux fraises des bois</v>
      </c>
      <c r="Q139" s="5238">
        <v>18</v>
      </c>
      <c r="R139" s="5832" t="s">
        <v>157</v>
      </c>
      <c r="S139" s="333"/>
      <c r="T139" s="333"/>
      <c r="U139" s="6901"/>
      <c r="V139" s="6901"/>
      <c r="W139" s="6901"/>
      <c r="X139" s="6225"/>
      <c r="Y139" s="5239"/>
      <c r="Z139" s="141"/>
      <c r="AA139" s="141"/>
      <c r="AB139" s="409"/>
      <c r="AC139" s="5817" t="s">
        <v>21</v>
      </c>
      <c r="AD139" s="5833"/>
      <c r="AE139" s="5834"/>
      <c r="AF139" s="5834"/>
      <c r="AG139" s="5834"/>
      <c r="AH139" s="5834"/>
      <c r="AI139" s="5834"/>
      <c r="AJ139" s="5834"/>
      <c r="AK139" s="7367">
        <f>AR135</f>
        <v>0.78750000000000009</v>
      </c>
      <c r="AL139" s="7367"/>
      <c r="AM139" s="7367"/>
      <c r="AN139" s="6864"/>
      <c r="AO139" s="7368">
        <f>AQ10</f>
        <v>45</v>
      </c>
      <c r="AP139" s="7369" t="str">
        <f>AR10</f>
        <v>assiettes</v>
      </c>
      <c r="AQ139" s="7369"/>
      <c r="AR139" s="7370"/>
      <c r="AS139" s="7383"/>
      <c r="AT139" s="4"/>
      <c r="AU139" s="4"/>
      <c r="AV139" s="4"/>
      <c r="AW139" s="5818" t="str">
        <f t="shared" si="32"/>
        <v>A</v>
      </c>
      <c r="AX139" s="5950"/>
      <c r="AY139" s="5950"/>
      <c r="AZ139" s="5950"/>
      <c r="BA139" s="5950"/>
      <c r="BB139" s="5950"/>
      <c r="BC139" s="2"/>
      <c r="BD139"/>
      <c r="BE139"/>
      <c r="BF139"/>
      <c r="BG139"/>
      <c r="BH139"/>
      <c r="BI139"/>
      <c r="BJ139"/>
      <c r="BL139" s="221"/>
      <c r="BM139" s="6045" t="s">
        <v>8614</v>
      </c>
      <c r="BN139" s="181"/>
      <c r="BO139" s="102"/>
      <c r="BP139" s="141"/>
      <c r="BQ139" s="141"/>
      <c r="BR139" s="609"/>
      <c r="BT139"/>
      <c r="BU139"/>
      <c r="BV139"/>
      <c r="BX139" s="5">
        <v>1</v>
      </c>
    </row>
    <row r="140" spans="1:76" s="1" customFormat="1" ht="21" customHeight="1" thickBot="1">
      <c r="A140" s="5641" t="s">
        <v>1</v>
      </c>
      <c r="B140" s="5662" t="str">
        <f t="shared" si="36"/>
        <v>►</v>
      </c>
      <c r="C140" s="5825" cm="1">
        <f t="array" ref="C140">SUMPRODUCT(LEN(D140:J140))</f>
        <v>0</v>
      </c>
      <c r="D140" s="5275"/>
      <c r="E140" s="1361"/>
      <c r="F140" s="1361"/>
      <c r="G140" s="1361"/>
      <c r="H140" s="1361"/>
      <c r="I140" s="1361"/>
      <c r="J140" s="5276"/>
      <c r="K140" s="106" t="s">
        <v>1</v>
      </c>
      <c r="L140" s="1018" t="s">
        <v>26</v>
      </c>
      <c r="M140" s="41" t="str">
        <f>M141</f>
        <v>Coller la-cellule-identité.C.Coulis de mangue</v>
      </c>
      <c r="N140" s="40">
        <f>N141</f>
        <v>18</v>
      </c>
      <c r="O140" s="40" t="str">
        <f>O141</f>
        <v>assiettes</v>
      </c>
      <c r="P140" s="40" t="str">
        <f>P141</f>
        <v>Recette mère ► MILLE-FEUILLE meringue et chiboust pamplemousse aux fraises des bois</v>
      </c>
      <c r="Q140" s="327"/>
      <c r="R140" s="326"/>
      <c r="S140" s="326"/>
      <c r="T140" s="326"/>
      <c r="U140" s="326"/>
      <c r="V140" s="326"/>
      <c r="W140" s="5240"/>
      <c r="X140" s="8498"/>
      <c r="Y140"/>
      <c r="Z140" s="5241" t="s">
        <v>944</v>
      </c>
      <c r="AA140" s="5844">
        <v>18</v>
      </c>
      <c r="AB140" s="5242" t="s">
        <v>73</v>
      </c>
      <c r="AC140" s="5817" t="s">
        <v>21</v>
      </c>
      <c r="AD140" s="5845"/>
      <c r="AE140" s="5846"/>
      <c r="AF140" s="5846"/>
      <c r="AG140" s="5846"/>
      <c r="AH140" s="5846"/>
      <c r="AI140" s="5846"/>
      <c r="AJ140" s="5846"/>
      <c r="AK140" s="7367"/>
      <c r="AL140" s="7367"/>
      <c r="AM140" s="7367"/>
      <c r="AN140" s="6864"/>
      <c r="AO140" s="7368"/>
      <c r="AP140" s="7369"/>
      <c r="AQ140" s="7369"/>
      <c r="AR140" s="7370"/>
      <c r="AS140" s="7383"/>
      <c r="AT140" s="4"/>
      <c r="AU140" s="4"/>
      <c r="AV140" s="4"/>
      <c r="AW140" s="5818" t="str">
        <f t="shared" si="32"/>
        <v>A</v>
      </c>
      <c r="AX140" s="5950"/>
      <c r="AY140" s="5950"/>
      <c r="AZ140" s="5950"/>
      <c r="BA140" s="5950"/>
      <c r="BB140" s="5950"/>
      <c r="BC140" s="2"/>
      <c r="BD140"/>
      <c r="BE140"/>
      <c r="BF140"/>
      <c r="BG140"/>
      <c r="BH140"/>
      <c r="BI140"/>
      <c r="BJ140"/>
      <c r="BL140" s="221"/>
      <c r="BM140" s="181" t="s">
        <v>8615</v>
      </c>
      <c r="BN140" s="109"/>
      <c r="BO140" s="109"/>
      <c r="BP140" s="141"/>
      <c r="BQ140" s="141"/>
      <c r="BR140" s="609"/>
      <c r="BT140"/>
      <c r="BU140"/>
      <c r="BV140"/>
      <c r="BX140" s="5">
        <v>1</v>
      </c>
    </row>
    <row r="141" spans="1:76" s="1" customFormat="1" ht="21" customHeight="1" thickTop="1" thickBot="1">
      <c r="A141" s="5641" t="s">
        <v>1</v>
      </c>
      <c r="B141" s="5662" t="str">
        <f t="shared" si="36"/>
        <v>►</v>
      </c>
      <c r="C141" s="5825" cm="1">
        <f t="array" ref="C141">SUMPRODUCT(LEN(D141:J141))</f>
        <v>0</v>
      </c>
      <c r="D141" s="5275"/>
      <c r="E141" s="1361"/>
      <c r="F141" s="1361"/>
      <c r="G141" s="1361"/>
      <c r="H141" s="1361"/>
      <c r="I141" s="1361"/>
      <c r="J141" s="5276"/>
      <c r="K141" s="106" t="s">
        <v>1</v>
      </c>
      <c r="L141" s="5243" t="s">
        <v>26</v>
      </c>
      <c r="M141" s="5849" t="str">
        <f>Q141</f>
        <v>Coller la-cellule-identité.C.Coulis de mangue</v>
      </c>
      <c r="N141" s="5115">
        <f>Q139</f>
        <v>18</v>
      </c>
      <c r="O141" s="5115" t="str">
        <f>R139</f>
        <v>assiettes</v>
      </c>
      <c r="P141" s="5850" t="str">
        <f>V141&amp;" "&amp;W141</f>
        <v>Recette mère ► MILLE-FEUILLE meringue et chiboust pamplemousse aux fraises des bois</v>
      </c>
      <c r="Q141" s="5116" t="str">
        <f>UPPER(LEFT(Z135,1))&amp;LOWER(MID(Z135,2,999))&amp;"."&amp;UPPER(LEFT(T135,1))&amp;"."&amp;UPPER(LEFT(T135,1))&amp;LOWER(MID(T135,2,999))</f>
        <v>Coller la-cellule-identité.C.Coulis de mangue</v>
      </c>
      <c r="R141" s="5117" t="s">
        <v>223</v>
      </c>
      <c r="S141" s="6903" t="s">
        <v>222</v>
      </c>
      <c r="T141" s="6903"/>
      <c r="U141" s="6903"/>
      <c r="V141" s="5119" t="s">
        <v>221</v>
      </c>
      <c r="W141" s="316" t="s">
        <v>919</v>
      </c>
      <c r="X141" s="8499"/>
      <c r="Y141" s="141"/>
      <c r="Z141" s="141"/>
      <c r="AA141" s="141"/>
      <c r="AB141" s="409"/>
      <c r="AC141" s="5817" t="s">
        <v>21</v>
      </c>
      <c r="AD141" s="5845"/>
      <c r="AE141" s="5846"/>
      <c r="AF141" s="7358">
        <f>AK23</f>
        <v>0.78750000000000009</v>
      </c>
      <c r="AG141" s="7358"/>
      <c r="AH141" s="7358"/>
      <c r="AI141" s="5859"/>
      <c r="AJ141" s="5852"/>
      <c r="AK141" s="5852"/>
      <c r="AL141" s="5853"/>
      <c r="AM141" s="5854" t="str">
        <f>IF(AF141&gt;0," avec Poids prévu ④ " &amp; AO139 &amp; " " &amp; AP139 &amp; " de","")</f>
        <v xml:space="preserve"> avec Poids prévu ④ 45 assiettes de</v>
      </c>
      <c r="AN141" s="5854"/>
      <c r="AO141" s="5855">
        <f>AF141/AO139*1000</f>
        <v>17.5</v>
      </c>
      <c r="AP141" s="5856"/>
      <c r="AQ141" s="5856"/>
      <c r="AR141" s="5831"/>
      <c r="AS141" s="7383"/>
      <c r="AT141" s="4"/>
      <c r="AU141" s="4"/>
      <c r="AV141" s="4"/>
      <c r="AW141" s="5818" t="str">
        <f t="shared" si="32"/>
        <v>A</v>
      </c>
      <c r="AX141" s="5950"/>
      <c r="AY141" s="5950"/>
      <c r="AZ141" s="5950"/>
      <c r="BA141" s="5950"/>
      <c r="BB141" s="5950"/>
      <c r="BC141" s="2"/>
      <c r="BD141"/>
      <c r="BE141"/>
      <c r="BF141"/>
      <c r="BG141"/>
      <c r="BH141"/>
      <c r="BI141"/>
      <c r="BJ141"/>
      <c r="BL141" s="221"/>
      <c r="BM141" s="6046"/>
      <c r="BN141" s="6047"/>
      <c r="BO141" s="7141" t="s">
        <v>8616</v>
      </c>
      <c r="BP141" s="141"/>
      <c r="BQ141" s="141"/>
      <c r="BR141" s="609"/>
      <c r="BT141"/>
      <c r="BU141"/>
      <c r="BV141"/>
      <c r="BX141" s="5">
        <v>1</v>
      </c>
    </row>
    <row r="142" spans="1:76" s="1" customFormat="1" ht="21" customHeight="1" thickTop="1" thickBot="1">
      <c r="A142" s="5641" t="s">
        <v>1</v>
      </c>
      <c r="B142" s="5662" t="str">
        <f t="shared" si="36"/>
        <v>►</v>
      </c>
      <c r="C142" s="5825" cm="1">
        <f t="array" ref="C142">SUMPRODUCT(LEN(D142:J142))</f>
        <v>0</v>
      </c>
      <c r="D142" s="5275"/>
      <c r="E142" s="1361"/>
      <c r="F142" s="1361"/>
      <c r="G142" s="1361"/>
      <c r="H142" s="1361"/>
      <c r="I142" s="1361"/>
      <c r="J142" s="5276"/>
      <c r="K142" s="106" t="s">
        <v>1</v>
      </c>
      <c r="L142" s="1017" t="s">
        <v>26</v>
      </c>
      <c r="M142" s="312" t="str">
        <f>M141</f>
        <v>Coller la-cellule-identité.C.Coulis de mangue</v>
      </c>
      <c r="N142" s="311"/>
      <c r="O142" s="311"/>
      <c r="P142" s="311" t="str">
        <f>P141</f>
        <v>Recette mère ► MILLE-FEUILLE meringue et chiboust pamplemousse aux fraises des bois</v>
      </c>
      <c r="Q142" s="310" t="s">
        <v>218</v>
      </c>
      <c r="R142" s="310" t="s">
        <v>217</v>
      </c>
      <c r="S142" s="310" t="s">
        <v>216</v>
      </c>
      <c r="T142" s="310" t="s">
        <v>215</v>
      </c>
      <c r="U142" s="309" t="s">
        <v>214</v>
      </c>
      <c r="V142" s="308" t="s">
        <v>83</v>
      </c>
      <c r="W142" s="5244" t="s">
        <v>213</v>
      </c>
      <c r="X142" s="5244" t="s">
        <v>212</v>
      </c>
      <c r="Y142" s="5245" t="s">
        <v>211</v>
      </c>
      <c r="Z142" s="1100" t="s">
        <v>210</v>
      </c>
      <c r="AA142" s="1100" t="s">
        <v>7928</v>
      </c>
      <c r="AB142" s="5246" t="s">
        <v>208</v>
      </c>
      <c r="AC142" s="5817" t="s">
        <v>21</v>
      </c>
      <c r="AD142" s="5845"/>
      <c r="AE142" s="5846"/>
      <c r="AF142" s="7359">
        <f>AM23</f>
        <v>0</v>
      </c>
      <c r="AG142" s="7359"/>
      <c r="AH142" s="7359"/>
      <c r="AI142" s="5859"/>
      <c r="AJ142" s="5860"/>
      <c r="AK142" s="5861"/>
      <c r="AL142" s="5862"/>
      <c r="AM142" s="5863" t="str">
        <f>IF(AF142&gt;0," avec poids modifié ❻ " &amp; AO139 &amp; " " &amp; AP139 &amp; " de","")</f>
        <v/>
      </c>
      <c r="AN142" s="5863"/>
      <c r="AO142" s="5864">
        <f>AF142/AO139*1000</f>
        <v>0</v>
      </c>
      <c r="AP142" s="5856"/>
      <c r="AQ142" s="5856"/>
      <c r="AR142" s="5865"/>
      <c r="AS142" s="7383"/>
      <c r="AT142" s="4"/>
      <c r="AU142" s="4"/>
      <c r="AV142" s="4"/>
      <c r="AW142" s="5818" t="str">
        <f t="shared" si="32"/>
        <v>A</v>
      </c>
      <c r="AX142" s="5950"/>
      <c r="AY142" s="5950"/>
      <c r="AZ142" s="5950"/>
      <c r="BA142" s="5950"/>
      <c r="BB142" s="5950"/>
      <c r="BC142" s="2"/>
      <c r="BD142"/>
      <c r="BE142"/>
      <c r="BF142"/>
      <c r="BG142"/>
      <c r="BH142"/>
      <c r="BI142"/>
      <c r="BJ142"/>
      <c r="BL142" s="221"/>
      <c r="BM142" s="6048" t="s">
        <v>8544</v>
      </c>
      <c r="BN142" s="6049" t="s">
        <v>8617</v>
      </c>
      <c r="BO142" s="7142"/>
      <c r="BP142" s="102"/>
      <c r="BQ142" s="141"/>
      <c r="BR142" s="609"/>
      <c r="BV142"/>
      <c r="BX142" s="5">
        <v>1</v>
      </c>
    </row>
    <row r="143" spans="1:76" s="1" customFormat="1" ht="21" customHeight="1" thickTop="1">
      <c r="A143" s="5641" t="s">
        <v>1</v>
      </c>
      <c r="B143" s="5662" t="str">
        <f t="shared" si="36"/>
        <v>A</v>
      </c>
      <c r="C143" s="5825" cm="1">
        <f t="array" ref="C143">SUMPRODUCT(LEN(D143:J143))</f>
        <v>0</v>
      </c>
      <c r="D143" s="5275"/>
      <c r="E143" s="1361"/>
      <c r="F143" s="1361"/>
      <c r="G143" s="1361"/>
      <c r="H143" s="1361"/>
      <c r="I143" s="1361"/>
      <c r="J143" s="5276"/>
      <c r="K143" s="106" t="s">
        <v>1</v>
      </c>
      <c r="L143" s="1018" t="s">
        <v>21</v>
      </c>
      <c r="M143" s="41" t="str">
        <f>M141</f>
        <v>Coller la-cellule-identité.C.Coulis de mangue</v>
      </c>
      <c r="N143" s="40">
        <f>N141</f>
        <v>18</v>
      </c>
      <c r="O143" s="40" t="str">
        <f>O141</f>
        <v>assiettes</v>
      </c>
      <c r="P143" s="40" t="str">
        <f>P141</f>
        <v>Recette mère ► MILLE-FEUILLE meringue et chiboust pamplemousse aux fraises des bois</v>
      </c>
      <c r="Q143" s="5247" t="s">
        <v>198</v>
      </c>
      <c r="R143" s="298" t="s">
        <v>197</v>
      </c>
      <c r="S143" s="297"/>
      <c r="T143" s="6904" t="s">
        <v>196</v>
      </c>
      <c r="U143" s="7387" t="s">
        <v>195</v>
      </c>
      <c r="V143" s="7360" t="s">
        <v>82</v>
      </c>
      <c r="W143" s="5248" t="s">
        <v>194</v>
      </c>
      <c r="X143" s="6869" t="s">
        <v>11041</v>
      </c>
      <c r="Y143" s="7361" t="s">
        <v>929</v>
      </c>
      <c r="Z143" s="6965" t="s">
        <v>191</v>
      </c>
      <c r="AA143" s="6965" t="s">
        <v>8009</v>
      </c>
      <c r="AB143" s="7374" t="s">
        <v>8010</v>
      </c>
      <c r="AC143" s="5817" t="s">
        <v>21</v>
      </c>
      <c r="AD143" s="5866"/>
      <c r="AE143" s="5867" t="s">
        <v>8513</v>
      </c>
      <c r="AF143" s="5868"/>
      <c r="AG143" s="5869"/>
      <c r="AH143" s="5869"/>
      <c r="AI143" s="5869"/>
      <c r="AJ143" s="5869"/>
      <c r="AK143" s="5869"/>
      <c r="AL143" s="5869"/>
      <c r="AM143" s="5869"/>
      <c r="AN143" s="5869"/>
      <c r="AO143" s="5869"/>
      <c r="AP143" s="5869"/>
      <c r="AQ143" s="7375" t="s">
        <v>8010</v>
      </c>
      <c r="AR143" s="5870"/>
      <c r="AS143" s="7383"/>
      <c r="AT143" s="4"/>
      <c r="AU143" s="4"/>
      <c r="AV143" s="4"/>
      <c r="AW143" s="5818" t="str">
        <f t="shared" si="32"/>
        <v>A</v>
      </c>
      <c r="AX143" s="5950"/>
      <c r="AY143" s="5950"/>
      <c r="AZ143" s="5950"/>
      <c r="BA143" s="5950"/>
      <c r="BB143" s="5950"/>
      <c r="BC143" s="2"/>
      <c r="BD143"/>
      <c r="BE143"/>
      <c r="BF143"/>
      <c r="BG143"/>
      <c r="BH143"/>
      <c r="BI143"/>
      <c r="BJ143"/>
      <c r="BL143" s="221"/>
      <c r="BM143" s="6050">
        <v>20</v>
      </c>
      <c r="BN143" s="6051">
        <v>0.75</v>
      </c>
      <c r="BO143" s="6052" t="s">
        <v>8618</v>
      </c>
      <c r="BP143" s="102"/>
      <c r="BQ143" s="141"/>
      <c r="BR143" s="609"/>
      <c r="BV143"/>
      <c r="BX143" s="5">
        <v>1</v>
      </c>
    </row>
    <row r="144" spans="1:76" s="1" customFormat="1" ht="21" customHeight="1">
      <c r="A144" s="5641" t="s">
        <v>1</v>
      </c>
      <c r="B144" s="5662" t="str">
        <f t="shared" si="36"/>
        <v>A</v>
      </c>
      <c r="C144" s="5825" cm="1">
        <f t="array" ref="C144">SUMPRODUCT(LEN(D144:J144))</f>
        <v>0</v>
      </c>
      <c r="D144" s="5275"/>
      <c r="E144" s="1361"/>
      <c r="F144" s="1361"/>
      <c r="G144" s="1361"/>
      <c r="H144" s="1361"/>
      <c r="I144" s="1361"/>
      <c r="J144" s="5276"/>
      <c r="K144" s="106" t="s">
        <v>1</v>
      </c>
      <c r="L144" s="1018" t="s">
        <v>21</v>
      </c>
      <c r="M144" s="41" t="str">
        <f>M141</f>
        <v>Coller la-cellule-identité.C.Coulis de mangue</v>
      </c>
      <c r="N144" s="40">
        <f>N141</f>
        <v>18</v>
      </c>
      <c r="O144" s="40" t="str">
        <f>O141</f>
        <v>assiettes</v>
      </c>
      <c r="P144" s="40" t="str">
        <f>P141</f>
        <v>Recette mère ► MILLE-FEUILLE meringue et chiboust pamplemousse aux fraises des bois</v>
      </c>
      <c r="Q144" s="5249" t="s">
        <v>184</v>
      </c>
      <c r="R144" s="286" t="s">
        <v>162</v>
      </c>
      <c r="S144" s="285" t="s">
        <v>186</v>
      </c>
      <c r="T144" s="6905"/>
      <c r="U144" s="6907"/>
      <c r="V144" s="6923"/>
      <c r="W144" s="5250" t="s">
        <v>185</v>
      </c>
      <c r="X144" s="6870" t="s">
        <v>255</v>
      </c>
      <c r="Y144" s="7362"/>
      <c r="Z144" s="6891"/>
      <c r="AA144" s="6891"/>
      <c r="AB144" s="6895"/>
      <c r="AC144" s="5817" t="s">
        <v>21</v>
      </c>
      <c r="AD144" s="5872">
        <v>1</v>
      </c>
      <c r="AE144" s="5873" t="s">
        <v>191</v>
      </c>
      <c r="AF144" s="5874"/>
      <c r="AG144" s="5875"/>
      <c r="AH144" s="5875"/>
      <c r="AI144" s="5875"/>
      <c r="AJ144" s="5875"/>
      <c r="AK144" s="5876" t="s">
        <v>191</v>
      </c>
      <c r="AL144" s="5875"/>
      <c r="AM144" s="5877" t="s">
        <v>8520</v>
      </c>
      <c r="AN144" s="5877" t="s">
        <v>11041</v>
      </c>
      <c r="AO144" s="5875"/>
      <c r="AP144" s="5875" t="s">
        <v>8521</v>
      </c>
      <c r="AQ144" s="7376"/>
      <c r="AR144" s="5878" t="s">
        <v>8522</v>
      </c>
      <c r="AS144" s="7383"/>
      <c r="AT144" s="4"/>
      <c r="AU144" s="4"/>
      <c r="AV144" s="4"/>
      <c r="AW144" s="5818" t="str">
        <f t="shared" si="32"/>
        <v>A</v>
      </c>
      <c r="AX144" s="5950"/>
      <c r="AY144" s="5950"/>
      <c r="AZ144" s="5950"/>
      <c r="BA144" s="5950"/>
      <c r="BB144" s="5950"/>
      <c r="BC144" s="2"/>
      <c r="BD144"/>
      <c r="BE144"/>
      <c r="BF144"/>
      <c r="BG144"/>
      <c r="BH144"/>
      <c r="BI144"/>
      <c r="BJ144"/>
      <c r="BL144" s="221"/>
      <c r="BM144" s="1122" t="s">
        <v>8619</v>
      </c>
      <c r="BN144" s="97"/>
      <c r="BO144" s="97"/>
      <c r="BP144" s="102"/>
      <c r="BQ144" s="141"/>
      <c r="BR144" s="609"/>
      <c r="BV144"/>
      <c r="BX144" s="5">
        <v>1</v>
      </c>
    </row>
    <row r="145" spans="1:76" s="1" customFormat="1" ht="21" customHeight="1">
      <c r="A145" s="5641" t="s">
        <v>1</v>
      </c>
      <c r="B145" s="5662" t="str">
        <f t="shared" si="36"/>
        <v>A</v>
      </c>
      <c r="C145" s="5825" cm="1">
        <f t="array" ref="C145">SUMPRODUCT(LEN(D145:J145))</f>
        <v>0</v>
      </c>
      <c r="D145" s="5275"/>
      <c r="E145" s="1361"/>
      <c r="F145" s="1361"/>
      <c r="G145" s="1361"/>
      <c r="H145" s="1361"/>
      <c r="I145" s="1361"/>
      <c r="J145" s="5276"/>
      <c r="K145" s="106" t="s">
        <v>1</v>
      </c>
      <c r="L145" s="1018" t="s">
        <v>21</v>
      </c>
      <c r="M145" s="41" t="str">
        <f>M141</f>
        <v>Coller la-cellule-identité.C.Coulis de mangue</v>
      </c>
      <c r="N145" s="40">
        <f>N141</f>
        <v>18</v>
      </c>
      <c r="O145" s="40" t="str">
        <f>O141</f>
        <v>assiettes</v>
      </c>
      <c r="P145" s="40" t="str">
        <f>P141</f>
        <v>Recette mère ► MILLE-FEUILLE meringue et chiboust pamplemousse aux fraises des bois</v>
      </c>
      <c r="Q145" s="213"/>
      <c r="R145" s="256"/>
      <c r="S145" s="211" t="str">
        <f t="shared" ref="S145:S158" si="37">IF(OR(ISTEXT(Q145), Q145&lt;=0, T145&lt;=0), "", "de")</f>
        <v/>
      </c>
      <c r="T145" s="210">
        <v>250</v>
      </c>
      <c r="U145" s="5124" t="s">
        <v>130</v>
      </c>
      <c r="V145" s="5576">
        <v>1</v>
      </c>
      <c r="W145" s="6866" t="s">
        <v>8620</v>
      </c>
      <c r="X145" s="6871"/>
      <c r="Y145" s="5882">
        <f>IFERROR(IFERROR(INDEX(Q161:AB161,MATCH(U145,Q160:AB160,0)),INDEX(Q163:AB163,MATCH(U145,Q162:AB162,0))) * T145 * IF(ISBLANK(Q145), 1, Q145), 0)</f>
        <v>0.25</v>
      </c>
      <c r="Z145" s="5251">
        <f>(Q145/AA140)*AA138*V145</f>
        <v>0</v>
      </c>
      <c r="AA145" s="5252">
        <f>IF(ISBLANK(AA140), 0, (Y145 * V145) * (AA138 / AA140))</f>
        <v>1.3888888888888888</v>
      </c>
      <c r="AB145" s="5253" t="str">
        <f>IF(COUNTIF(Q160:AB160,U145)&gt;0,IF(ROUND(AA145,3)&gt;=1,ROUND(AA145,3)&amp;" L",ROUND(AA145*100,0)&amp;" cl"),IF(COUNTIF(Q162:AB162,U145)&gt;0,IF(ROUND(AA145,3)&gt;=1,ROUND(AA145,3)&amp;" Kg",ROUND(AA145*1000,0)&amp;" g"),""))</f>
        <v>1.389 Kg</v>
      </c>
      <c r="AC145" s="5817" t="str">
        <f>IF(AD145&gt;0,"A","►")</f>
        <v>A</v>
      </c>
      <c r="AD145" s="5883">
        <f>IF(Y159=0,0,Y145*AD144*1000/Y159)</f>
        <v>793.65079365079362</v>
      </c>
      <c r="AE145" s="6053">
        <f>IF(ISNUMBER(Q145),Q145*AD144/Y159,0)</f>
        <v>0</v>
      </c>
      <c r="AF145" s="5885"/>
      <c r="AG145" s="5886"/>
      <c r="AH145" s="5886"/>
      <c r="AI145" s="5886"/>
      <c r="AJ145" s="5899" t="str">
        <f>W145</f>
        <v>pulpe</v>
      </c>
      <c r="AK145" s="5888">
        <f>IF(OR(ISTEXT(Q145),Y159=0),0,Q145*AR137)</f>
        <v>0</v>
      </c>
      <c r="AL145" s="5886"/>
      <c r="AM145" s="5889">
        <f t="shared" ref="AM145:AM158" si="38">R145</f>
        <v>0</v>
      </c>
      <c r="AN145" s="8558">
        <f>X145</f>
        <v>0</v>
      </c>
      <c r="AO145" s="5886"/>
      <c r="AP145" s="5890">
        <f>IF(Y145=0,0,Y145*AR137)</f>
        <v>0.62500000000000011</v>
      </c>
      <c r="AQ145" s="5891" t="str">
        <f>IF(COUNTIF(AD160:AD170,U145)&gt;0,IF(ROUND(AP145,3)&gt;=1,ROUND(AP145,3)&amp;" L",ROUND(AP145*100,0)&amp;" cl"),IF(COUNTIF(AD171:AD181,U145)&gt;0,IF(ROUND(AP145,3)&gt;=1,ROUND(AP145,3)&amp;" Kg",ROUND(AP145*1000,0)&amp;" g"),""))</f>
        <v>625 g</v>
      </c>
      <c r="AR145" s="5892" t="str">
        <f t="shared" ref="AR145:AR158" si="39">W145</f>
        <v>pulpe</v>
      </c>
      <c r="AS145" s="7383"/>
      <c r="AT145" s="4"/>
      <c r="AU145" s="4"/>
      <c r="AV145" s="4"/>
      <c r="AW145" s="5818" t="str">
        <f t="shared" si="32"/>
        <v>A</v>
      </c>
      <c r="AX145" s="5950"/>
      <c r="AY145" s="5950"/>
      <c r="AZ145" s="5950"/>
      <c r="BA145" s="5950"/>
      <c r="BB145" s="5950"/>
      <c r="BC145" s="2"/>
      <c r="BD145"/>
      <c r="BE145"/>
      <c r="BF145"/>
      <c r="BG145"/>
      <c r="BH145"/>
      <c r="BI145"/>
      <c r="BJ145"/>
      <c r="BL145" s="221"/>
      <c r="BM145" s="1122" t="s">
        <v>8621</v>
      </c>
      <c r="BN145" s="97"/>
      <c r="BO145" s="97"/>
      <c r="BP145" s="102"/>
      <c r="BQ145" s="141"/>
      <c r="BR145" s="609"/>
      <c r="BV145"/>
      <c r="BX145" s="5">
        <v>1</v>
      </c>
    </row>
    <row r="146" spans="1:76" s="1" customFormat="1" ht="21" customHeight="1">
      <c r="A146" s="5641" t="s">
        <v>1</v>
      </c>
      <c r="B146" s="5662" t="str">
        <f t="shared" si="36"/>
        <v>A</v>
      </c>
      <c r="C146" s="5825" cm="1">
        <f t="array" ref="C146">SUMPRODUCT(LEN(D146:J146))</f>
        <v>0</v>
      </c>
      <c r="D146" s="5275"/>
      <c r="E146" s="1361"/>
      <c r="F146" s="1361"/>
      <c r="G146" s="1361"/>
      <c r="H146" s="1361"/>
      <c r="I146" s="1361"/>
      <c r="J146" s="5276"/>
      <c r="K146" s="106" t="s">
        <v>1</v>
      </c>
      <c r="L146" s="1021" t="str">
        <f t="shared" ref="L146:L158" si="40">IF(W146&lt;&gt;"","A","►")</f>
        <v>A</v>
      </c>
      <c r="M146" s="41" t="str">
        <f>M141</f>
        <v>Coller la-cellule-identité.C.Coulis de mangue</v>
      </c>
      <c r="N146" s="40">
        <f>N141</f>
        <v>18</v>
      </c>
      <c r="O146" s="40" t="str">
        <f>O141</f>
        <v>assiettes</v>
      </c>
      <c r="P146" s="40" t="str">
        <f>P141</f>
        <v>Recette mère ► MILLE-FEUILLE meringue et chiboust pamplemousse aux fraises des bois</v>
      </c>
      <c r="Q146" s="213"/>
      <c r="R146" s="256"/>
      <c r="S146" s="211" t="str">
        <f t="shared" si="37"/>
        <v/>
      </c>
      <c r="T146" s="210">
        <v>55</v>
      </c>
      <c r="U146" s="5124" t="s">
        <v>130</v>
      </c>
      <c r="V146" s="5576">
        <v>1</v>
      </c>
      <c r="W146" s="6866" t="s">
        <v>8622</v>
      </c>
      <c r="X146" s="6872"/>
      <c r="Y146" s="5882">
        <f>IFERROR(IFERROR(INDEX(Q161:AB161,MATCH(U146,Q160:AB160,0)),INDEX(Q163:AB163,MATCH(U146,Q162:AB162,0))) * T146 * IF(ISBLANK(Q146), 1, Q146), 0)</f>
        <v>5.5E-2</v>
      </c>
      <c r="Z146" s="5254">
        <f>(Q146/AA140)*AA138*V146</f>
        <v>0</v>
      </c>
      <c r="AA146" s="5252">
        <f>IF(ISBLANK(AA140), 0, (Y146 * V146) * (AA138 / AA140))</f>
        <v>0.30555555555555552</v>
      </c>
      <c r="AB146" s="5255" t="str">
        <f>IF(COUNTIF(Q160:AB160,U146)&gt;0,IF(ROUND(AA146,3)&gt;=1,ROUND(AA146,3)&amp;" L",ROUND(AA146*100,0)&amp;" cl"),IF(COUNTIF(Q162:AB162,U146)&gt;0,IF(ROUND(AA146,3)&gt;=1,ROUND(AA146,3)&amp;" Kg",ROUND(AA146*1000,0)&amp;" g"),""))</f>
        <v>306 g</v>
      </c>
      <c r="AC146" s="5817" t="str">
        <f t="shared" ref="AC146:AC159" si="41">IF(AD146&gt;0,"A","►")</f>
        <v>A</v>
      </c>
      <c r="AD146" s="5883">
        <f>IF(Y159=0,0,Y146*AD144*1000/Y159)</f>
        <v>174.60317460317461</v>
      </c>
      <c r="AE146" s="6053">
        <f>IF(ISNUMBER(Q146),Q146*AD144/Y159,0)</f>
        <v>0</v>
      </c>
      <c r="AF146" s="5894"/>
      <c r="AG146" s="5804"/>
      <c r="AH146" s="5804"/>
      <c r="AI146" s="5804"/>
      <c r="AJ146" s="5902" t="str">
        <f t="shared" ref="AJ146:AJ158" si="42">W146</f>
        <v>sucre semoule pâtissière</v>
      </c>
      <c r="AK146" s="5896">
        <f>IF(OR(ISTEXT(Q146),Y159=0),0,Q146*AR137)</f>
        <v>0</v>
      </c>
      <c r="AL146" s="5804"/>
      <c r="AM146" s="5805">
        <f t="shared" si="38"/>
        <v>0</v>
      </c>
      <c r="AN146" s="5805">
        <f t="shared" ref="AN146:AN158" si="43">X146</f>
        <v>0</v>
      </c>
      <c r="AO146" s="5804"/>
      <c r="AP146" s="5788">
        <f>IF(Y146=0,0,Y146*AR137)</f>
        <v>0.13750000000000004</v>
      </c>
      <c r="AQ146" s="5897" t="str">
        <f>IF(COUNTIF(AD160:AD170,U146)&gt;0,IF(ROUND(AP146,3)&gt;=1,ROUND(AP146,3)&amp;" L",ROUND(AP146*100,0)&amp;" cl"),IF(COUNTIF(AD171:AD181,U146)&gt;0,IF(ROUND(AP146,3)&gt;=1,ROUND(AP146,3)&amp;" Kg",ROUND(AP146*1000,0)&amp;" g"),""))</f>
        <v>138 g</v>
      </c>
      <c r="AR146" s="5898" t="str">
        <f t="shared" si="39"/>
        <v>sucre semoule pâtissière</v>
      </c>
      <c r="AS146" s="7383"/>
      <c r="AT146" s="4"/>
      <c r="AU146" s="4"/>
      <c r="AV146" s="4"/>
      <c r="AW146" s="5818" t="str">
        <f t="shared" si="32"/>
        <v>A</v>
      </c>
      <c r="AX146" s="5950"/>
      <c r="AY146" s="5950"/>
      <c r="AZ146" s="5950"/>
      <c r="BA146" s="5950"/>
      <c r="BB146" s="5950"/>
      <c r="BC146" s="2"/>
      <c r="BD146"/>
      <c r="BE146"/>
      <c r="BF146"/>
      <c r="BG146"/>
      <c r="BH146"/>
      <c r="BI146"/>
      <c r="BJ146"/>
      <c r="BL146" s="221"/>
      <c r="BM146" s="467"/>
      <c r="BN146"/>
      <c r="BO146"/>
      <c r="BP146" s="102"/>
      <c r="BQ146" s="141"/>
      <c r="BR146" s="609"/>
      <c r="BV146"/>
      <c r="BX146" s="5">
        <v>1</v>
      </c>
    </row>
    <row r="147" spans="1:76" s="1" customFormat="1" ht="21" customHeight="1">
      <c r="A147" s="5641" t="s">
        <v>1</v>
      </c>
      <c r="B147" s="5662" t="str">
        <f t="shared" si="36"/>
        <v>A</v>
      </c>
      <c r="C147" s="5825" cm="1">
        <f t="array" ref="C147">SUMPRODUCT(LEN(D147:J147))</f>
        <v>0</v>
      </c>
      <c r="D147" s="5275"/>
      <c r="E147" s="1361"/>
      <c r="F147" s="1361"/>
      <c r="G147" s="1361"/>
      <c r="H147" s="1361"/>
      <c r="I147" s="1361"/>
      <c r="J147" s="5276"/>
      <c r="K147" s="106" t="s">
        <v>1</v>
      </c>
      <c r="L147" s="1021" t="str">
        <f t="shared" si="40"/>
        <v>A</v>
      </c>
      <c r="M147" s="41" t="str">
        <f>M141</f>
        <v>Coller la-cellule-identité.C.Coulis de mangue</v>
      </c>
      <c r="N147" s="40">
        <f>N141</f>
        <v>18</v>
      </c>
      <c r="O147" s="40" t="str">
        <f>O141</f>
        <v>assiettes</v>
      </c>
      <c r="P147" s="40" t="str">
        <f>P141</f>
        <v>Recette mère ► MILLE-FEUILLE meringue et chiboust pamplemousse aux fraises des bois</v>
      </c>
      <c r="Q147" s="213"/>
      <c r="R147" s="212"/>
      <c r="S147" s="211" t="str">
        <f t="shared" si="37"/>
        <v/>
      </c>
      <c r="T147" s="210">
        <v>10</v>
      </c>
      <c r="U147" s="5124" t="s">
        <v>130</v>
      </c>
      <c r="V147" s="5576">
        <v>1</v>
      </c>
      <c r="W147" s="6866" t="s">
        <v>8623</v>
      </c>
      <c r="X147" s="6871"/>
      <c r="Y147" s="5882">
        <f>IFERROR(IFERROR(INDEX(Q161:AB161,MATCH(U147,Q160:AB160,0)),INDEX(Q163:AB163,MATCH(U147,Q162:AB162,0))) * T147 * IF(ISBLANK(Q147), 1, Q147), 0)</f>
        <v>0.01</v>
      </c>
      <c r="Z147" s="5256">
        <f>(Q147/AA140)*AA138*V147</f>
        <v>0</v>
      </c>
      <c r="AA147" s="5252">
        <f>IF(ISBLANK(AA140), 0, (Y147 * V147) * (AA138 / AA140))</f>
        <v>5.5555555555555552E-2</v>
      </c>
      <c r="AB147" s="5257" t="str">
        <f>IF(COUNTIF(Q160:AB160,U147)&gt;0,IF(ROUND(AA147,3)&gt;=1,ROUND(AA147,3)&amp;" L",ROUND(AA147*100,0)&amp;" cl"),IF(COUNTIF(Q162:AB162,U147)&gt;0,IF(ROUND(AA147,3)&gt;=1,ROUND(AA147,3)&amp;" Kg",ROUND(AA147*1000,0)&amp;" g"),""))</f>
        <v>56 g</v>
      </c>
      <c r="AC147" s="5817" t="str">
        <f t="shared" si="41"/>
        <v>A</v>
      </c>
      <c r="AD147" s="5883">
        <f>IF(Y159=0,0,Y147*AD144*1000/Y159)</f>
        <v>31.746031746031747</v>
      </c>
      <c r="AE147" s="6053">
        <f>IF(ISNUMBER(Q147),Q147*AD144/Y159,0)</f>
        <v>0</v>
      </c>
      <c r="AF147" s="5885"/>
      <c r="AG147" s="5886"/>
      <c r="AH147" s="5886"/>
      <c r="AI147" s="5886"/>
      <c r="AJ147" s="5899" t="str">
        <f t="shared" si="42"/>
        <v>jus de citron</v>
      </c>
      <c r="AK147" s="5888">
        <f>IF(OR(ISTEXT(Q147),Y159=0),0,Q147*AR137)</f>
        <v>0</v>
      </c>
      <c r="AL147" s="5886"/>
      <c r="AM147" s="5889">
        <f t="shared" si="38"/>
        <v>0</v>
      </c>
      <c r="AN147" s="8558">
        <f t="shared" si="43"/>
        <v>0</v>
      </c>
      <c r="AO147" s="5886"/>
      <c r="AP147" s="5890">
        <f>IF(Y147=0,0,Y147*AR137)</f>
        <v>2.5000000000000005E-2</v>
      </c>
      <c r="AQ147" s="5891" t="str">
        <f>IF(COUNTIF(AD160:AD170,U147)&gt;0,IF(ROUND(AP147,3)&gt;=1,ROUND(AP147,3)&amp;" L",ROUND(AP147*100,0)&amp;" cl"),IF(COUNTIF(AD171:AD181,U147)&gt;0,IF(ROUND(AP147,3)&gt;=1,ROUND(AP147,3)&amp;" Kg",ROUND(AP147*1000,0)&amp;" g"),""))</f>
        <v>25 g</v>
      </c>
      <c r="AR147" s="5892" t="str">
        <f t="shared" si="39"/>
        <v>jus de citron</v>
      </c>
      <c r="AS147" s="7383"/>
      <c r="AT147" s="4"/>
      <c r="AU147" s="4"/>
      <c r="AV147" s="4"/>
      <c r="AW147" s="5818" t="str">
        <f t="shared" si="32"/>
        <v>A</v>
      </c>
      <c r="AX147" s="5950"/>
      <c r="AY147" s="5950"/>
      <c r="AZ147" s="5950"/>
      <c r="BA147" s="5950"/>
      <c r="BB147" s="5950"/>
      <c r="BC147" s="2"/>
      <c r="BD147"/>
      <c r="BE147"/>
      <c r="BF147"/>
      <c r="BG147"/>
      <c r="BH147"/>
      <c r="BI147"/>
      <c r="BJ147"/>
      <c r="BL147" s="221"/>
      <c r="BM147" s="4897" t="s">
        <v>7462</v>
      </c>
      <c r="BN147" s="4898"/>
      <c r="BO147" s="4899"/>
      <c r="BP147" s="102"/>
      <c r="BQ147" s="141"/>
      <c r="BR147" s="609"/>
      <c r="BV147"/>
      <c r="BX147" s="5">
        <v>1</v>
      </c>
    </row>
    <row r="148" spans="1:76" s="1" customFormat="1" ht="21" customHeight="1">
      <c r="A148" s="5641" t="s">
        <v>1</v>
      </c>
      <c r="B148" s="5662" t="str">
        <f t="shared" si="36"/>
        <v>►</v>
      </c>
      <c r="C148" s="5825" cm="1">
        <f t="array" ref="C148">SUMPRODUCT(LEN(D148:J148))</f>
        <v>0</v>
      </c>
      <c r="D148" s="5275"/>
      <c r="E148" s="1361"/>
      <c r="F148" s="1361"/>
      <c r="G148" s="1361"/>
      <c r="H148" s="1361"/>
      <c r="I148" s="1361"/>
      <c r="J148" s="5276"/>
      <c r="K148" s="106" t="s">
        <v>1</v>
      </c>
      <c r="L148" s="1021" t="str">
        <f t="shared" si="40"/>
        <v>►</v>
      </c>
      <c r="M148" s="41" t="str">
        <f>M141</f>
        <v>Coller la-cellule-identité.C.Coulis de mangue</v>
      </c>
      <c r="N148" s="40">
        <f>N141</f>
        <v>18</v>
      </c>
      <c r="O148" s="40" t="str">
        <f>O141</f>
        <v>assiettes</v>
      </c>
      <c r="P148" s="40" t="str">
        <f>P141</f>
        <v>Recette mère ► MILLE-FEUILLE meringue et chiboust pamplemousse aux fraises des bois</v>
      </c>
      <c r="Q148" s="213"/>
      <c r="R148" s="212"/>
      <c r="S148" s="211" t="str">
        <f t="shared" si="37"/>
        <v/>
      </c>
      <c r="T148" s="210"/>
      <c r="U148" s="5259"/>
      <c r="V148" s="5576">
        <v>1</v>
      </c>
      <c r="W148" s="6866"/>
      <c r="X148" s="6871"/>
      <c r="Y148" s="5882">
        <f>IFERROR(IFERROR(INDEX(Q161:AB161,MATCH(U148,Q160:AB160,0)),INDEX(Q163:AB163,MATCH(U148,Q162:AB162,0))) * T148 * IF(ISBLANK(Q148), 1, Q148), 0)</f>
        <v>0</v>
      </c>
      <c r="Z148" s="5254">
        <f>(Q148/AA140)*AA138*V148</f>
        <v>0</v>
      </c>
      <c r="AA148" s="5252">
        <f>IF(ISBLANK(AA140), 0, (Y148 * V148) * (AA138 / AA140))</f>
        <v>0</v>
      </c>
      <c r="AB148" s="5255" t="str">
        <f>IF(COUNTIF(Q160:AB160,U148)&gt;0,IF(ROUND(AA148,3)&gt;=1,ROUND(AA148,3)&amp;" L",ROUND(AA148*100,0)&amp;" cl"),IF(COUNTIF(Q162:AB162,U148)&gt;0,IF(ROUND(AA148,3)&gt;=1,ROUND(AA148,3)&amp;" Kg",ROUND(AA148*1000,0)&amp;" g"),""))</f>
        <v/>
      </c>
      <c r="AC148" s="5817" t="str">
        <f t="shared" si="41"/>
        <v>►</v>
      </c>
      <c r="AD148" s="5883">
        <f>IF(Y159=0,0,Y148*AD144*1000/Y159)</f>
        <v>0</v>
      </c>
      <c r="AE148" s="6053">
        <f>IF(ISNUMBER(Q148),Q148*AD144/Y159,0)</f>
        <v>0</v>
      </c>
      <c r="AF148" s="5894"/>
      <c r="AG148" s="5804"/>
      <c r="AH148" s="5804"/>
      <c r="AI148" s="5804"/>
      <c r="AJ148" s="5902">
        <f t="shared" si="42"/>
        <v>0</v>
      </c>
      <c r="AK148" s="5896">
        <f>IF(OR(ISTEXT(Q148),Y159=0),0,Q148*AR137)</f>
        <v>0</v>
      </c>
      <c r="AL148" s="5804"/>
      <c r="AM148" s="5805">
        <f t="shared" si="38"/>
        <v>0</v>
      </c>
      <c r="AN148" s="5805">
        <f t="shared" si="43"/>
        <v>0</v>
      </c>
      <c r="AO148" s="5804"/>
      <c r="AP148" s="5788">
        <f>IF(Y148=0,0,Y148*AR137)</f>
        <v>0</v>
      </c>
      <c r="AQ148" s="5897" t="str">
        <f>IF(COUNTIF(AD160:AD170,U148)&gt;0,IF(ROUND(AP148,3)&gt;=1,ROUND(AP148,3)&amp;" L",ROUND(AP148*100,0)&amp;" cl"),IF(COUNTIF(AD171:AD181,U148)&gt;0,IF(ROUND(AP148,3)&gt;=1,ROUND(AP148,3)&amp;" Kg",ROUND(AP148*1000,0)&amp;" g"),""))</f>
        <v/>
      </c>
      <c r="AR148" s="5898">
        <f t="shared" si="39"/>
        <v>0</v>
      </c>
      <c r="AS148" s="7383"/>
      <c r="AT148" s="4"/>
      <c r="AU148" s="4"/>
      <c r="AV148" s="4"/>
      <c r="AW148" s="5818" t="str">
        <f t="shared" si="32"/>
        <v>►</v>
      </c>
      <c r="AX148" s="5950"/>
      <c r="AY148" s="5950"/>
      <c r="AZ148" s="5950"/>
      <c r="BA148" s="5950"/>
      <c r="BB148" s="5950"/>
      <c r="BC148" s="2"/>
      <c r="BD148"/>
      <c r="BE148"/>
      <c r="BF148"/>
      <c r="BG148"/>
      <c r="BH148"/>
      <c r="BI148"/>
      <c r="BJ148"/>
      <c r="BL148" s="221"/>
      <c r="BM148" s="7388" t="s">
        <v>7467</v>
      </c>
      <c r="BN148" s="4902" t="s">
        <v>7468</v>
      </c>
      <c r="BO148" s="6054"/>
      <c r="BP148" s="102"/>
      <c r="BQ148" s="141"/>
      <c r="BR148" s="609"/>
      <c r="BV148"/>
      <c r="BX148" s="5">
        <v>1</v>
      </c>
    </row>
    <row r="149" spans="1:76" s="1" customFormat="1" ht="21" customHeight="1">
      <c r="A149" s="5641" t="s">
        <v>1</v>
      </c>
      <c r="B149" s="5662" t="str">
        <f t="shared" si="36"/>
        <v>►</v>
      </c>
      <c r="C149" s="5825" cm="1">
        <f t="array" ref="C149">SUMPRODUCT(LEN(D149:J149))</f>
        <v>0</v>
      </c>
      <c r="D149" s="5275"/>
      <c r="E149" s="1361"/>
      <c r="F149" s="1361"/>
      <c r="G149" s="1361"/>
      <c r="H149" s="1361"/>
      <c r="I149" s="1361"/>
      <c r="J149" s="5276"/>
      <c r="K149" s="106" t="s">
        <v>1</v>
      </c>
      <c r="L149" s="1021" t="str">
        <f t="shared" si="40"/>
        <v>►</v>
      </c>
      <c r="M149" s="41" t="str">
        <f>M141</f>
        <v>Coller la-cellule-identité.C.Coulis de mangue</v>
      </c>
      <c r="N149" s="40">
        <f>N141</f>
        <v>18</v>
      </c>
      <c r="O149" s="40" t="str">
        <f>O141</f>
        <v>assiettes</v>
      </c>
      <c r="P149" s="40" t="str">
        <f>P141</f>
        <v>Recette mère ► MILLE-FEUILLE meringue et chiboust pamplemousse aux fraises des bois</v>
      </c>
      <c r="Q149" s="213"/>
      <c r="R149" s="212"/>
      <c r="S149" s="211" t="str">
        <f t="shared" si="37"/>
        <v/>
      </c>
      <c r="T149" s="210"/>
      <c r="U149" s="5259"/>
      <c r="V149" s="5576">
        <v>1</v>
      </c>
      <c r="W149" s="6866"/>
      <c r="X149" s="6871"/>
      <c r="Y149" s="5882">
        <f>IFERROR(IFERROR(INDEX(Q161:AB161,MATCH(U149,Q160:AB160,0)),INDEX(Q163:AB163,MATCH(U149,Q162:AB162,0))) * T149 * IF(ISBLANK(Q149), 1, Q149), 0)</f>
        <v>0</v>
      </c>
      <c r="Z149" s="5256">
        <f>(Q149/AA140)*AA138*V149</f>
        <v>0</v>
      </c>
      <c r="AA149" s="5252">
        <f>IF(ISBLANK(AA140), 0, (Y149 * V149) * (AA138 / AA140))</f>
        <v>0</v>
      </c>
      <c r="AB149" s="5257" t="str">
        <f>IF(COUNTIF(Q160:AB160,U149)&gt;0,IF(ROUND(AA149,3)&gt;=1,ROUND(AA149,3)&amp;" L",ROUND(AA149*100,0)&amp;" cl"),IF(COUNTIF(Q162:AB162,U149)&gt;0,IF(ROUND(AA149,3)&gt;=1,ROUND(AA149,3)&amp;" Kg",ROUND(AA149*1000,0)&amp;" g"),""))</f>
        <v/>
      </c>
      <c r="AC149" s="5817" t="str">
        <f t="shared" si="41"/>
        <v>►</v>
      </c>
      <c r="AD149" s="5883">
        <f>IF(Y159=0,0,Y149*AD144*1000/Y159)</f>
        <v>0</v>
      </c>
      <c r="AE149" s="6053">
        <f>IF(ISNUMBER(Q149),Q149*AD144/Y159,0)</f>
        <v>0</v>
      </c>
      <c r="AF149" s="5885"/>
      <c r="AG149" s="5886"/>
      <c r="AH149" s="5886"/>
      <c r="AI149" s="5886"/>
      <c r="AJ149" s="5899">
        <f t="shared" si="42"/>
        <v>0</v>
      </c>
      <c r="AK149" s="5888">
        <f>IF(OR(ISTEXT(Q149),Y159=0),0,Q149*AR137)</f>
        <v>0</v>
      </c>
      <c r="AL149" s="5886"/>
      <c r="AM149" s="5889">
        <f t="shared" si="38"/>
        <v>0</v>
      </c>
      <c r="AN149" s="8558">
        <f t="shared" si="43"/>
        <v>0</v>
      </c>
      <c r="AO149" s="5886"/>
      <c r="AP149" s="5890">
        <f>IF(Y149=0,0,Y149*AR137)</f>
        <v>0</v>
      </c>
      <c r="AQ149" s="5891" t="str">
        <f>IF(COUNTIF(AD160:AD170,U149)&gt;0,IF(ROUND(AP149,3)&gt;=1,ROUND(AP149,3)&amp;" L",ROUND(AP149*100,0)&amp;" cl"),IF(COUNTIF(AD171:AD181,U149)&gt;0,IF(ROUND(AP149,3)&gt;=1,ROUND(AP149,3)&amp;" Kg",ROUND(AP149*1000,0)&amp;" g"),""))</f>
        <v/>
      </c>
      <c r="AR149" s="5892">
        <f t="shared" si="39"/>
        <v>0</v>
      </c>
      <c r="AS149" s="7383"/>
      <c r="AT149" s="4"/>
      <c r="AU149" s="4"/>
      <c r="AV149" s="4"/>
      <c r="AW149" s="5818" t="str">
        <f t="shared" si="32"/>
        <v>►</v>
      </c>
      <c r="AX149" s="5950"/>
      <c r="AY149" s="5950"/>
      <c r="AZ149" s="5950"/>
      <c r="BA149" s="5950"/>
      <c r="BB149" s="5950"/>
      <c r="BC149" s="2"/>
      <c r="BD149"/>
      <c r="BE149"/>
      <c r="BF149"/>
      <c r="BG149"/>
      <c r="BH149"/>
      <c r="BI149"/>
      <c r="BJ149"/>
      <c r="BL149" s="221"/>
      <c r="BM149" s="7388"/>
      <c r="BN149" s="4902" t="s">
        <v>7469</v>
      </c>
      <c r="BO149" s="6054"/>
      <c r="BP149" s="102"/>
      <c r="BQ149" s="141"/>
      <c r="BR149" s="609"/>
      <c r="BV149"/>
      <c r="BX149" s="5">
        <v>1</v>
      </c>
    </row>
    <row r="150" spans="1:76" s="1" customFormat="1" ht="21" customHeight="1">
      <c r="A150" s="5641" t="s">
        <v>1</v>
      </c>
      <c r="B150" s="5662" t="str">
        <f t="shared" si="36"/>
        <v>►</v>
      </c>
      <c r="C150" s="5825" cm="1">
        <f t="array" ref="C150">SUMPRODUCT(LEN(D150:J150))</f>
        <v>0</v>
      </c>
      <c r="D150" s="5275"/>
      <c r="E150" s="1361"/>
      <c r="F150" s="1361"/>
      <c r="G150" s="1361"/>
      <c r="H150" s="1361"/>
      <c r="I150" s="1361"/>
      <c r="J150" s="5276"/>
      <c r="K150" s="106" t="s">
        <v>1</v>
      </c>
      <c r="L150" s="1021" t="str">
        <f t="shared" si="40"/>
        <v>►</v>
      </c>
      <c r="M150" s="41" t="str">
        <f>M141</f>
        <v>Coller la-cellule-identité.C.Coulis de mangue</v>
      </c>
      <c r="N150" s="40">
        <f>N141</f>
        <v>18</v>
      </c>
      <c r="O150" s="40" t="str">
        <f>O141</f>
        <v>assiettes</v>
      </c>
      <c r="P150" s="40" t="str">
        <f>P141</f>
        <v>Recette mère ► MILLE-FEUILLE meringue et chiboust pamplemousse aux fraises des bois</v>
      </c>
      <c r="Q150" s="213"/>
      <c r="R150" s="212"/>
      <c r="S150" s="211" t="str">
        <f t="shared" si="37"/>
        <v/>
      </c>
      <c r="T150" s="210"/>
      <c r="U150" s="5259"/>
      <c r="V150" s="5576">
        <v>1</v>
      </c>
      <c r="W150" s="6866"/>
      <c r="X150" s="6871"/>
      <c r="Y150" s="5882">
        <f>IFERROR(IFERROR(INDEX(Q161:AB161,MATCH(U150,Q160:AB160,0)),INDEX(Q163:AB163,MATCH(U150,Q162:AB162,0))) * T150 * IF(ISBLANK(Q150), 1, Q150), 0)</f>
        <v>0</v>
      </c>
      <c r="Z150" s="5254">
        <f>(Q150/AA140)*AA138*V150</f>
        <v>0</v>
      </c>
      <c r="AA150" s="5252">
        <f>IF(ISBLANK(AA140), 0, (Y150 * V150) * (AA138 / AA140))</f>
        <v>0</v>
      </c>
      <c r="AB150" s="5255" t="str">
        <f>IF(COUNTIF(Q160:AB160,U150)&gt;0,IF(ROUND(AA150,3)&gt;=1,ROUND(AA150,3)&amp;" L",ROUND(AA150*100,0)&amp;" cl"),IF(COUNTIF(Q162:AB162,U150)&gt;0,IF(ROUND(AA150,3)&gt;=1,ROUND(AA150,3)&amp;" Kg",ROUND(AA150*1000,0)&amp;" g"),""))</f>
        <v/>
      </c>
      <c r="AC150" s="5817" t="str">
        <f t="shared" si="41"/>
        <v>►</v>
      </c>
      <c r="AD150" s="5883">
        <f>IF(Y159=0,0,Y150*AD144*1000/Y159)</f>
        <v>0</v>
      </c>
      <c r="AE150" s="6053">
        <f>IF(ISNUMBER(Q150),Q150*AD144/Y159,0)</f>
        <v>0</v>
      </c>
      <c r="AF150" s="5894"/>
      <c r="AG150" s="5804"/>
      <c r="AH150" s="5804"/>
      <c r="AI150" s="5804"/>
      <c r="AJ150" s="5902">
        <f t="shared" si="42"/>
        <v>0</v>
      </c>
      <c r="AK150" s="5896">
        <f>IF(OR(ISTEXT(Q150),Y159=0),0,Q150*AR137)</f>
        <v>0</v>
      </c>
      <c r="AL150" s="5804"/>
      <c r="AM150" s="5805">
        <f t="shared" si="38"/>
        <v>0</v>
      </c>
      <c r="AN150" s="5805">
        <f t="shared" si="43"/>
        <v>0</v>
      </c>
      <c r="AO150" s="5804"/>
      <c r="AP150" s="5788">
        <f>IF(Y150=0,0,Y150*AR137)</f>
        <v>0</v>
      </c>
      <c r="AQ150" s="5897" t="str">
        <f>IF(COUNTIF(AD160:AD170,U150)&gt;0,IF(ROUND(AP150,3)&gt;=1,ROUND(AP150,3)&amp;" L",ROUND(AP150*100,0)&amp;" cl"),IF(COUNTIF(AD171:AD181,U150)&gt;0,IF(ROUND(AP150,3)&gt;=1,ROUND(AP150,3)&amp;" Kg",ROUND(AP150*1000,0)&amp;" g"),""))</f>
        <v/>
      </c>
      <c r="AR150" s="5898">
        <f t="shared" si="39"/>
        <v>0</v>
      </c>
      <c r="AS150" s="7383"/>
      <c r="AT150" s="4"/>
      <c r="AU150" s="4"/>
      <c r="AV150" s="4"/>
      <c r="AW150" s="5818" t="str">
        <f t="shared" si="32"/>
        <v>►</v>
      </c>
      <c r="AX150" s="5950"/>
      <c r="AY150" s="5950"/>
      <c r="AZ150" s="5950"/>
      <c r="BA150" s="5950"/>
      <c r="BB150" s="5950"/>
      <c r="BC150" s="2"/>
      <c r="BD150"/>
      <c r="BE150"/>
      <c r="BF150"/>
      <c r="BG150"/>
      <c r="BH150"/>
      <c r="BI150"/>
      <c r="BJ150"/>
      <c r="BL150" s="221"/>
      <c r="BM150" s="7388"/>
      <c r="BN150" s="4902" t="s">
        <v>7471</v>
      </c>
      <c r="BO150" s="6054"/>
      <c r="BP150" s="102"/>
      <c r="BQ150" s="141"/>
      <c r="BR150" s="609"/>
      <c r="BV150"/>
      <c r="BX150" s="5">
        <v>1</v>
      </c>
    </row>
    <row r="151" spans="1:76" s="1" customFormat="1" ht="21" customHeight="1">
      <c r="A151" s="5641" t="s">
        <v>1</v>
      </c>
      <c r="B151" s="5662" t="str">
        <f t="shared" si="36"/>
        <v>►</v>
      </c>
      <c r="C151" s="5825" cm="1">
        <f t="array" ref="C151">SUMPRODUCT(LEN(D151:J151))</f>
        <v>0</v>
      </c>
      <c r="D151" s="5275"/>
      <c r="E151" s="1361"/>
      <c r="F151" s="1361"/>
      <c r="G151" s="1361"/>
      <c r="H151" s="1361"/>
      <c r="I151" s="1361"/>
      <c r="J151" s="5276"/>
      <c r="K151" s="106" t="s">
        <v>1</v>
      </c>
      <c r="L151" s="1021" t="str">
        <f t="shared" si="40"/>
        <v>►</v>
      </c>
      <c r="M151" s="41" t="str">
        <f>M141</f>
        <v>Coller la-cellule-identité.C.Coulis de mangue</v>
      </c>
      <c r="N151" s="40">
        <f>N141</f>
        <v>18</v>
      </c>
      <c r="O151" s="40" t="str">
        <f>O141</f>
        <v>assiettes</v>
      </c>
      <c r="P151" s="40" t="str">
        <f>P141</f>
        <v>Recette mère ► MILLE-FEUILLE meringue et chiboust pamplemousse aux fraises des bois</v>
      </c>
      <c r="Q151" s="213"/>
      <c r="R151" s="212"/>
      <c r="S151" s="211" t="str">
        <f t="shared" si="37"/>
        <v/>
      </c>
      <c r="T151" s="210"/>
      <c r="U151" s="5259"/>
      <c r="V151" s="5576">
        <v>1</v>
      </c>
      <c r="W151" s="6866"/>
      <c r="X151" s="6871"/>
      <c r="Y151" s="5882">
        <f>IFERROR(IFERROR(INDEX(Q161:AB161,MATCH(U151,Q160:AB160,0)),INDEX(Q163:AB163,MATCH(U151,Q162:AB162,0))) * T151 * IF(ISBLANK(Q151), 1, Q151), 0)</f>
        <v>0</v>
      </c>
      <c r="Z151" s="5256">
        <f>(Q151/AA140)*AA138*V151</f>
        <v>0</v>
      </c>
      <c r="AA151" s="5252">
        <f>IF(ISBLANK(AA140), 0, (Y151 * V151) * (AA138 / AA140))</f>
        <v>0</v>
      </c>
      <c r="AB151" s="5258" t="str">
        <f>IF(COUNTIF(Q160:AB160,U151)&gt;0,IF(ROUND(AA151,3)&gt;=1,ROUND(AA151,3)&amp;" L",ROUND(AA151*100,0)&amp;" cl"),IF(COUNTIF(Q162:AB162,U151)&gt;0,IF(ROUND(AA151,3)&gt;=1,ROUND(AA151,3)&amp;" Kg",ROUND(AA151*1000,0)&amp;" g"),""))</f>
        <v/>
      </c>
      <c r="AC151" s="5817" t="str">
        <f t="shared" si="41"/>
        <v>►</v>
      </c>
      <c r="AD151" s="5883">
        <f>IF(Y159=0,0,Y151*AD144*1000/Y159)</f>
        <v>0</v>
      </c>
      <c r="AE151" s="6053">
        <f>IF(ISNUMBER(Q151),Q151*AD144/Y159,0)</f>
        <v>0</v>
      </c>
      <c r="AF151" s="5885"/>
      <c r="AG151" s="5886"/>
      <c r="AH151" s="5886"/>
      <c r="AI151" s="5886"/>
      <c r="AJ151" s="5899">
        <f t="shared" si="42"/>
        <v>0</v>
      </c>
      <c r="AK151" s="5888">
        <f>IF(OR(ISTEXT(Q151),Y159=0),0,Q151*AR137)</f>
        <v>0</v>
      </c>
      <c r="AL151" s="5886"/>
      <c r="AM151" s="5889">
        <f t="shared" si="38"/>
        <v>0</v>
      </c>
      <c r="AN151" s="8558">
        <f t="shared" si="43"/>
        <v>0</v>
      </c>
      <c r="AO151" s="5886"/>
      <c r="AP151" s="5890">
        <f>IF(Y151=0,0,Y151*AR137)</f>
        <v>0</v>
      </c>
      <c r="AQ151" s="5891" t="str">
        <f>IF(COUNTIF(AD160:AD170,U151)&gt;0,IF(ROUND(AP151,3)&gt;=1,ROUND(AP151,3)&amp;" L",ROUND(AP151*100,0)&amp;" cl"),IF(COUNTIF(AD171:AD181,U151)&gt;0,IF(ROUND(AP151,3)&gt;=1,ROUND(AP151,3)&amp;" Kg",ROUND(AP151*1000,0)&amp;" g"),""))</f>
        <v/>
      </c>
      <c r="AR151" s="5892">
        <f t="shared" si="39"/>
        <v>0</v>
      </c>
      <c r="AS151" s="7383"/>
      <c r="AT151" s="4"/>
      <c r="AU151" s="4"/>
      <c r="AV151" s="4"/>
      <c r="AW151" s="5818" t="str">
        <f t="shared" si="32"/>
        <v>►</v>
      </c>
      <c r="AX151" s="5950"/>
      <c r="AY151" s="5950"/>
      <c r="AZ151" s="5950"/>
      <c r="BA151" s="5950"/>
      <c r="BB151" s="5950"/>
      <c r="BC151" s="2"/>
      <c r="BD151"/>
      <c r="BE151"/>
      <c r="BF151"/>
      <c r="BG151"/>
      <c r="BH151"/>
      <c r="BI151"/>
      <c r="BJ151"/>
      <c r="BL151" s="221"/>
      <c r="BM151" s="7388"/>
      <c r="BN151" s="4902" t="s">
        <v>7473</v>
      </c>
      <c r="BO151" s="6054"/>
      <c r="BP151" s="102"/>
      <c r="BQ151" s="141"/>
      <c r="BR151" s="609"/>
      <c r="BV151"/>
      <c r="BX151" s="5">
        <v>1</v>
      </c>
    </row>
    <row r="152" spans="1:76" s="1" customFormat="1" ht="21" customHeight="1">
      <c r="A152" s="5641" t="s">
        <v>1</v>
      </c>
      <c r="B152" s="5662" t="str">
        <f t="shared" si="36"/>
        <v>►</v>
      </c>
      <c r="C152" s="5825" cm="1">
        <f t="array" ref="C152">SUMPRODUCT(LEN(D152:J152))</f>
        <v>0</v>
      </c>
      <c r="D152" s="5275"/>
      <c r="E152" s="1361"/>
      <c r="F152" s="1361"/>
      <c r="G152" s="1361"/>
      <c r="H152" s="1361"/>
      <c r="I152" s="1361"/>
      <c r="J152" s="5276"/>
      <c r="K152" s="106" t="s">
        <v>1</v>
      </c>
      <c r="L152" s="1021" t="str">
        <f t="shared" si="40"/>
        <v>►</v>
      </c>
      <c r="M152" s="41" t="str">
        <f>M141</f>
        <v>Coller la-cellule-identité.C.Coulis de mangue</v>
      </c>
      <c r="N152" s="40">
        <f>N141</f>
        <v>18</v>
      </c>
      <c r="O152" s="40" t="str">
        <f>O141</f>
        <v>assiettes</v>
      </c>
      <c r="P152" s="40" t="str">
        <f>P141</f>
        <v>Recette mère ► MILLE-FEUILLE meringue et chiboust pamplemousse aux fraises des bois</v>
      </c>
      <c r="Q152" s="213"/>
      <c r="R152" s="212"/>
      <c r="S152" s="211" t="str">
        <f t="shared" si="37"/>
        <v/>
      </c>
      <c r="T152" s="210"/>
      <c r="U152" s="5259"/>
      <c r="V152" s="5576">
        <v>1</v>
      </c>
      <c r="W152" s="6866"/>
      <c r="X152" s="6871"/>
      <c r="Y152" s="5882">
        <f>IFERROR(IFERROR(INDEX(Q161:AB161,MATCH(U152,Q160:AB160,0)),INDEX(Q163:AB163,MATCH(U152,Q162:AB162,0))) * T152 * IF(ISBLANK(Q152), 1, Q152), 0)</f>
        <v>0</v>
      </c>
      <c r="Z152" s="5254">
        <f>(Q152/AA140)*AA138*V152</f>
        <v>0</v>
      </c>
      <c r="AA152" s="5252">
        <f>IF(ISBLANK(AA140), 0, (Y152 * V152) * (AA138 / AA140))</f>
        <v>0</v>
      </c>
      <c r="AB152" s="5255" t="str">
        <f>IF(COUNTIF(Q160:AB160,U152)&gt;0,IF(ROUND(AA152,3)&gt;=1,ROUND(AA152,3)&amp;" L",ROUND(AA152*100,0)&amp;" cl"),IF(COUNTIF(Q162:AB162,U152)&gt;0,IF(ROUND(AA152,3)&gt;=1,ROUND(AA152,3)&amp;" Kg",ROUND(AA152*1000,0)&amp;" g"),""))</f>
        <v/>
      </c>
      <c r="AC152" s="5817" t="str">
        <f t="shared" si="41"/>
        <v>►</v>
      </c>
      <c r="AD152" s="5883">
        <f>IF(Y159=0,0,Y152*AD144*1000/Y159)</f>
        <v>0</v>
      </c>
      <c r="AE152" s="6053">
        <f>IF(ISNUMBER(Q152),Q152*AD144/Y159,0)</f>
        <v>0</v>
      </c>
      <c r="AF152" s="5894"/>
      <c r="AG152" s="5804"/>
      <c r="AH152" s="5804"/>
      <c r="AI152" s="5804"/>
      <c r="AJ152" s="5902">
        <f t="shared" si="42"/>
        <v>0</v>
      </c>
      <c r="AK152" s="5896">
        <f>IF(OR(ISTEXT(Q152),Y159=0),0,Q152*AR137)</f>
        <v>0</v>
      </c>
      <c r="AL152" s="5804"/>
      <c r="AM152" s="5805">
        <f t="shared" si="38"/>
        <v>0</v>
      </c>
      <c r="AN152" s="5805">
        <f t="shared" si="43"/>
        <v>0</v>
      </c>
      <c r="AO152" s="5804"/>
      <c r="AP152" s="5788">
        <f>IF(Y152=0,0,Y152*AR137)</f>
        <v>0</v>
      </c>
      <c r="AQ152" s="5897" t="str">
        <f>IF(COUNTIF(AD160:AD170,U152)&gt;0,IF(ROUND(AP152,3)&gt;=1,ROUND(AP152,3)&amp;" L",ROUND(AP152*100,0)&amp;" cl"),IF(COUNTIF(AD171:AD181,U152)&gt;0,IF(ROUND(AP152,3)&gt;=1,ROUND(AP152,3)&amp;" Kg",ROUND(AP152*1000,0)&amp;" g"),""))</f>
        <v/>
      </c>
      <c r="AR152" s="5898">
        <f t="shared" si="39"/>
        <v>0</v>
      </c>
      <c r="AS152" s="7383"/>
      <c r="AT152" s="4"/>
      <c r="AU152" s="4"/>
      <c r="AV152" s="4"/>
      <c r="AW152" s="5818" t="str">
        <f t="shared" si="32"/>
        <v>►</v>
      </c>
      <c r="AX152" s="5950"/>
      <c r="AY152" s="5950"/>
      <c r="AZ152" s="5950"/>
      <c r="BA152" s="5950"/>
      <c r="BB152" s="5950"/>
      <c r="BC152" s="2"/>
      <c r="BD152"/>
      <c r="BE152"/>
      <c r="BF152"/>
      <c r="BG152"/>
      <c r="BH152"/>
      <c r="BI152"/>
      <c r="BJ152"/>
      <c r="BL152" s="221"/>
      <c r="BM152" s="7388"/>
      <c r="BN152" s="4902" t="s">
        <v>7476</v>
      </c>
      <c r="BO152" s="6054"/>
      <c r="BP152" s="102"/>
      <c r="BQ152" s="141"/>
      <c r="BR152" s="609"/>
      <c r="BV152"/>
      <c r="BX152" s="5">
        <v>1</v>
      </c>
    </row>
    <row r="153" spans="1:76" s="1" customFormat="1" ht="21" customHeight="1">
      <c r="A153" s="5641" t="s">
        <v>1</v>
      </c>
      <c r="B153" s="5662" t="str">
        <f t="shared" si="36"/>
        <v>►</v>
      </c>
      <c r="C153" s="5825" cm="1">
        <f t="array" ref="C153">SUMPRODUCT(LEN(D153:J153))</f>
        <v>0</v>
      </c>
      <c r="D153" s="5275"/>
      <c r="E153" s="1361"/>
      <c r="F153" s="1361"/>
      <c r="G153" s="1361"/>
      <c r="H153" s="1361"/>
      <c r="I153" s="1361"/>
      <c r="J153" s="5276"/>
      <c r="K153" s="106" t="s">
        <v>1</v>
      </c>
      <c r="L153" s="1021" t="str">
        <f t="shared" si="40"/>
        <v>►</v>
      </c>
      <c r="M153" s="41" t="str">
        <f>M141</f>
        <v>Coller la-cellule-identité.C.Coulis de mangue</v>
      </c>
      <c r="N153" s="40">
        <f>N141</f>
        <v>18</v>
      </c>
      <c r="O153" s="40" t="str">
        <f>O141</f>
        <v>assiettes</v>
      </c>
      <c r="P153" s="40" t="str">
        <f>P141</f>
        <v>Recette mère ► MILLE-FEUILLE meringue et chiboust pamplemousse aux fraises des bois</v>
      </c>
      <c r="Q153" s="213"/>
      <c r="R153" s="212"/>
      <c r="S153" s="211" t="str">
        <f t="shared" si="37"/>
        <v/>
      </c>
      <c r="T153" s="210"/>
      <c r="U153" s="5259"/>
      <c r="V153" s="5576">
        <v>1</v>
      </c>
      <c r="W153" s="6866"/>
      <c r="X153" s="6871"/>
      <c r="Y153" s="5882">
        <f>IFERROR(IFERROR(INDEX(Q161:AB161,MATCH(U153,Q160:AB160,0)),INDEX(Q163:AB163,MATCH(U153,Q162:AB162,0))) * T153 * IF(ISBLANK(Q153), 1, Q153), 0)</f>
        <v>0</v>
      </c>
      <c r="Z153" s="5256">
        <f>(Q153/AA140)*AA138*V153</f>
        <v>0</v>
      </c>
      <c r="AA153" s="5252">
        <f>IF(ISBLANK(AA140), 0, (Y153 * V153) * (AA138 / AA140))</f>
        <v>0</v>
      </c>
      <c r="AB153" s="5258" t="str">
        <f>IF(COUNTIF(Q160:AB160,U153)&gt;0,IF(ROUND(AA153,3)&gt;=1,ROUND(AA153,3)&amp;" L",ROUND(AA153*100,0)&amp;" cl"),IF(COUNTIF(Q162:AB162,U153)&gt;0,IF(ROUND(AA153,3)&gt;=1,ROUND(AA153,3)&amp;" Kg",ROUND(AA153*1000,0)&amp;" g"),""))</f>
        <v/>
      </c>
      <c r="AC153" s="5817" t="str">
        <f t="shared" si="41"/>
        <v>►</v>
      </c>
      <c r="AD153" s="5883">
        <f>IF(Y159=0,0,Y153*AD144*1000/Y159)</f>
        <v>0</v>
      </c>
      <c r="AE153" s="6053">
        <f>IF(ISNUMBER(Q153),Q153*AD144/Y159,0)</f>
        <v>0</v>
      </c>
      <c r="AF153" s="5885"/>
      <c r="AG153" s="5886"/>
      <c r="AH153" s="5886"/>
      <c r="AI153" s="5886"/>
      <c r="AJ153" s="5899">
        <f t="shared" si="42"/>
        <v>0</v>
      </c>
      <c r="AK153" s="5888">
        <f>IF(OR(ISTEXT(Q153),Y159=0),0,Q153*AR137)</f>
        <v>0</v>
      </c>
      <c r="AL153" s="5886"/>
      <c r="AM153" s="5889">
        <f t="shared" si="38"/>
        <v>0</v>
      </c>
      <c r="AN153" s="8558">
        <f t="shared" si="43"/>
        <v>0</v>
      </c>
      <c r="AO153" s="5886"/>
      <c r="AP153" s="5890">
        <f>IF(Y153=0,0,Y153*AR137)</f>
        <v>0</v>
      </c>
      <c r="AQ153" s="5891" t="str">
        <f>IF(COUNTIF(AD160:AD170,U153)&gt;0,IF(ROUND(AP153,3)&gt;=1,ROUND(AP153,3)&amp;" L",ROUND(AP153*100,0)&amp;" cl"),IF(COUNTIF(AD171:AD181,U153)&gt;0,IF(ROUND(AP153,3)&gt;=1,ROUND(AP153,3)&amp;" Kg",ROUND(AP153*1000,0)&amp;" g"),""))</f>
        <v/>
      </c>
      <c r="AR153" s="5892">
        <f t="shared" si="39"/>
        <v>0</v>
      </c>
      <c r="AS153" s="7383"/>
      <c r="AT153" s="4"/>
      <c r="AU153" s="4"/>
      <c r="AV153" s="4"/>
      <c r="AW153" s="5818" t="str">
        <f t="shared" si="32"/>
        <v>►</v>
      </c>
      <c r="AX153" s="5950"/>
      <c r="AY153" s="5950"/>
      <c r="AZ153" s="5950"/>
      <c r="BA153" s="5950"/>
      <c r="BB153" s="5950"/>
      <c r="BC153" s="2"/>
      <c r="BD153"/>
      <c r="BE153"/>
      <c r="BF153"/>
      <c r="BG153"/>
      <c r="BH153"/>
      <c r="BI153"/>
      <c r="BJ153"/>
      <c r="BL153" s="221"/>
      <c r="BM153" s="7389"/>
      <c r="BN153" s="4907" t="s">
        <v>7480</v>
      </c>
      <c r="BO153" s="6055"/>
      <c r="BP153" s="102"/>
      <c r="BQ153" s="141"/>
      <c r="BR153" s="609"/>
      <c r="BV153"/>
      <c r="BX153" s="5">
        <v>1</v>
      </c>
    </row>
    <row r="154" spans="1:76" s="1" customFormat="1" ht="21" customHeight="1">
      <c r="A154" s="5641" t="s">
        <v>1</v>
      </c>
      <c r="B154" s="5662" t="str">
        <f t="shared" si="36"/>
        <v>►</v>
      </c>
      <c r="C154" s="5825" cm="1">
        <f t="array" ref="C154">SUMPRODUCT(LEN(D154:J154))</f>
        <v>0</v>
      </c>
      <c r="D154" s="5275"/>
      <c r="E154" s="1361"/>
      <c r="F154" s="1361"/>
      <c r="G154" s="1361"/>
      <c r="H154" s="1361"/>
      <c r="I154" s="1361"/>
      <c r="J154" s="5276"/>
      <c r="K154" s="106" t="s">
        <v>1</v>
      </c>
      <c r="L154" s="1021" t="str">
        <f t="shared" si="40"/>
        <v>►</v>
      </c>
      <c r="M154" s="41" t="str">
        <f>M141</f>
        <v>Coller la-cellule-identité.C.Coulis de mangue</v>
      </c>
      <c r="N154" s="40">
        <f>N141</f>
        <v>18</v>
      </c>
      <c r="O154" s="40" t="str">
        <f>O141</f>
        <v>assiettes</v>
      </c>
      <c r="P154" s="40" t="str">
        <f>P141</f>
        <v>Recette mère ► MILLE-FEUILLE meringue et chiboust pamplemousse aux fraises des bois</v>
      </c>
      <c r="Q154" s="213"/>
      <c r="R154" s="212"/>
      <c r="S154" s="211" t="str">
        <f t="shared" si="37"/>
        <v/>
      </c>
      <c r="T154" s="210"/>
      <c r="U154" s="5259"/>
      <c r="V154" s="5576">
        <v>1</v>
      </c>
      <c r="W154" s="6866"/>
      <c r="X154" s="6871"/>
      <c r="Y154" s="5882">
        <f>IFERROR(IFERROR(INDEX(Q161:AB161,MATCH(U154,Q160:AB160,0)),INDEX(Q163:AB163,MATCH(U154,Q162:AB162,0))) * T154 * IF(ISBLANK(Q154), 1, Q154), 0)</f>
        <v>0</v>
      </c>
      <c r="Z154" s="5254">
        <f>(Q154/AA140)*AA138*V154</f>
        <v>0</v>
      </c>
      <c r="AA154" s="5252">
        <f>IF(ISBLANK(AA140), 0, (Y154 * V154) * (AA138 / AA140))</f>
        <v>0</v>
      </c>
      <c r="AB154" s="5255" t="str">
        <f>IF(COUNTIF(Q160:AB160,U154)&gt;0,IF(ROUND(AA154,3)&gt;=1,ROUND(AA154,3)&amp;" L",ROUND(AA154*100,0)&amp;" cl"),IF(COUNTIF(Q162:AB162,U154)&gt;0,IF(ROUND(AA154,3)&gt;=1,ROUND(AA154,3)&amp;" Kg",ROUND(AA154*1000,0)&amp;" g"),""))</f>
        <v/>
      </c>
      <c r="AC154" s="5817" t="str">
        <f t="shared" si="41"/>
        <v>►</v>
      </c>
      <c r="AD154" s="5883">
        <f>IF(Y159=0,0,Y154*AD144*1000/Y159)</f>
        <v>0</v>
      </c>
      <c r="AE154" s="6053">
        <f>IF(ISNUMBER(Q154),Q154*AD144/Y159,0)</f>
        <v>0</v>
      </c>
      <c r="AF154" s="5894"/>
      <c r="AG154" s="5804"/>
      <c r="AH154" s="5804"/>
      <c r="AI154" s="5804"/>
      <c r="AJ154" s="5902">
        <f t="shared" si="42"/>
        <v>0</v>
      </c>
      <c r="AK154" s="5896">
        <f>IF(OR(ISTEXT(Q154),Y159=0),0,Q154*AR137)</f>
        <v>0</v>
      </c>
      <c r="AL154" s="5804"/>
      <c r="AM154" s="5805">
        <f t="shared" si="38"/>
        <v>0</v>
      </c>
      <c r="AN154" s="5805">
        <f t="shared" si="43"/>
        <v>0</v>
      </c>
      <c r="AO154" s="5804"/>
      <c r="AP154" s="5788">
        <f>IF(Y154=0,0,Y154*AR137)</f>
        <v>0</v>
      </c>
      <c r="AQ154" s="5897" t="str">
        <f>IF(COUNTIF(AD160:AD170,U154)&gt;0,IF(ROUND(AP154,3)&gt;=1,ROUND(AP154,3)&amp;" L",ROUND(AP154*100,0)&amp;" cl"),IF(COUNTIF(AD171:AD181,U154)&gt;0,IF(ROUND(AP154,3)&gt;=1,ROUND(AP154,3)&amp;" Kg",ROUND(AP154*1000,0)&amp;" g"),""))</f>
        <v/>
      </c>
      <c r="AR154" s="5898">
        <f t="shared" si="39"/>
        <v>0</v>
      </c>
      <c r="AS154" s="7383"/>
      <c r="AT154" s="4"/>
      <c r="AU154" s="4"/>
      <c r="AV154" s="4"/>
      <c r="AW154" s="5818" t="str">
        <f t="shared" si="32"/>
        <v>►</v>
      </c>
      <c r="AX154" s="5950"/>
      <c r="AY154" s="5950"/>
      <c r="AZ154" s="5950"/>
      <c r="BA154" s="5950"/>
      <c r="BB154" s="5950"/>
      <c r="BC154" s="2"/>
      <c r="BD154"/>
      <c r="BE154"/>
      <c r="BF154"/>
      <c r="BG154"/>
      <c r="BH154"/>
      <c r="BI154"/>
      <c r="BJ154"/>
      <c r="BL154" s="221"/>
      <c r="BM154"/>
      <c r="BN154"/>
      <c r="BO154"/>
      <c r="BP154" s="102"/>
      <c r="BQ154" s="141"/>
      <c r="BR154" s="609"/>
      <c r="BV154"/>
      <c r="BX154" s="5">
        <v>1</v>
      </c>
    </row>
    <row r="155" spans="1:76" s="1" customFormat="1" ht="21" customHeight="1">
      <c r="A155" s="5641" t="s">
        <v>1</v>
      </c>
      <c r="B155" s="5662" t="str">
        <f t="shared" si="36"/>
        <v>►</v>
      </c>
      <c r="C155" s="5825" cm="1">
        <f t="array" ref="C155">SUMPRODUCT(LEN(D155:J155))</f>
        <v>0</v>
      </c>
      <c r="D155" s="5275"/>
      <c r="E155" s="1361"/>
      <c r="F155" s="1361"/>
      <c r="G155" s="1361"/>
      <c r="H155" s="1361"/>
      <c r="I155" s="1361"/>
      <c r="J155" s="5276"/>
      <c r="K155" s="106" t="s">
        <v>1</v>
      </c>
      <c r="L155" s="1021" t="str">
        <f t="shared" si="40"/>
        <v>►</v>
      </c>
      <c r="M155" s="41" t="str">
        <f>M141</f>
        <v>Coller la-cellule-identité.C.Coulis de mangue</v>
      </c>
      <c r="N155" s="40">
        <f>N141</f>
        <v>18</v>
      </c>
      <c r="O155" s="40" t="str">
        <f>O141</f>
        <v>assiettes</v>
      </c>
      <c r="P155" s="40" t="str">
        <f>P141</f>
        <v>Recette mère ► MILLE-FEUILLE meringue et chiboust pamplemousse aux fraises des bois</v>
      </c>
      <c r="Q155" s="213"/>
      <c r="R155" s="212"/>
      <c r="S155" s="211" t="str">
        <f t="shared" si="37"/>
        <v/>
      </c>
      <c r="T155" s="210"/>
      <c r="U155" s="5259"/>
      <c r="V155" s="5576">
        <v>1</v>
      </c>
      <c r="W155" s="6866"/>
      <c r="X155" s="6871"/>
      <c r="Y155" s="5882">
        <f>IFERROR(IFERROR(INDEX(Q161:AB161,MATCH(U155,Q160:AB160,0)),INDEX(Q163:AB163,MATCH(U155,Q162:AB162,0))) * T155 * IF(ISBLANK(Q155), 1, Q155), 0)</f>
        <v>0</v>
      </c>
      <c r="Z155" s="5256">
        <f>(Q155/AA140)*AA138*V155</f>
        <v>0</v>
      </c>
      <c r="AA155" s="5252">
        <f>IF(ISBLANK(AA140), 0, (Y155 * V155) * (AA138 / AA140))</f>
        <v>0</v>
      </c>
      <c r="AB155" s="5260" t="str">
        <f>IF(COUNTIF(Q160:AB160,U155)&gt;0,IF(ROUND(AA155,3)&gt;=1,ROUND(AA155,3)&amp;" L",ROUND(AA155*100,0)&amp;" cl"),IF(COUNTIF(Q162:AB162,U155)&gt;0,IF(ROUND(AA155,3)&gt;=1,ROUND(AA155,3)&amp;" Kg",ROUND(AA155*1000,0)&amp;" g"),""))</f>
        <v/>
      </c>
      <c r="AC155" s="5817" t="str">
        <f t="shared" si="41"/>
        <v>►</v>
      </c>
      <c r="AD155" s="5883">
        <f>IF(Y159=0,0,Y155*AD144*1000/Y159)</f>
        <v>0</v>
      </c>
      <c r="AE155" s="6053">
        <f>IF(ISNUMBER(Q155),Q155*AD144/Y159,0)</f>
        <v>0</v>
      </c>
      <c r="AF155" s="5885"/>
      <c r="AG155" s="5886"/>
      <c r="AH155" s="5886"/>
      <c r="AI155" s="5886"/>
      <c r="AJ155" s="5899">
        <f t="shared" si="42"/>
        <v>0</v>
      </c>
      <c r="AK155" s="5888">
        <f>IF(OR(ISTEXT(Q155),Y159=0),0,Q155*AR137)</f>
        <v>0</v>
      </c>
      <c r="AL155" s="5886"/>
      <c r="AM155" s="5889">
        <f t="shared" si="38"/>
        <v>0</v>
      </c>
      <c r="AN155" s="8558">
        <f t="shared" si="43"/>
        <v>0</v>
      </c>
      <c r="AO155" s="5886"/>
      <c r="AP155" s="5890">
        <f>IF(Y155=0,0,Y155*AR137)</f>
        <v>0</v>
      </c>
      <c r="AQ155" s="5891" t="str">
        <f>IF(COUNTIF(AD160:AD170,U155)&gt;0,IF(ROUND(AP155,3)&gt;=1,ROUND(AP155,3)&amp;" L",ROUND(AP155*100,0)&amp;" cl"),IF(COUNTIF(AD171:AD181,U155)&gt;0,IF(ROUND(AP155,3)&gt;=1,ROUND(AP155,3)&amp;" Kg",ROUND(AP155*1000,0)&amp;" g"),""))</f>
        <v/>
      </c>
      <c r="AR155" s="5892">
        <f t="shared" si="39"/>
        <v>0</v>
      </c>
      <c r="AS155" s="7383"/>
      <c r="AT155" s="4"/>
      <c r="AU155" s="4"/>
      <c r="AV155" s="4"/>
      <c r="AW155" s="5818" t="str">
        <f t="shared" si="32"/>
        <v>►</v>
      </c>
      <c r="AX155" s="5950"/>
      <c r="AY155" s="5950"/>
      <c r="AZ155" s="5950"/>
      <c r="BA155" s="5950"/>
      <c r="BB155" s="5950"/>
      <c r="BC155" s="2"/>
      <c r="BD155"/>
      <c r="BE155"/>
      <c r="BF155"/>
      <c r="BG155"/>
      <c r="BH155"/>
      <c r="BI155"/>
      <c r="BJ155"/>
      <c r="BL155" s="976" t="s">
        <v>218</v>
      </c>
      <c r="BM155" s="1314">
        <v>11</v>
      </c>
      <c r="BN155" s="1315" t="s">
        <v>1108</v>
      </c>
      <c r="BO155" s="1316"/>
      <c r="BP155" s="1316"/>
      <c r="BQ155" s="1317"/>
      <c r="BR155" s="6056"/>
      <c r="BV155"/>
      <c r="BX155" s="5">
        <v>1</v>
      </c>
    </row>
    <row r="156" spans="1:76" s="1" customFormat="1" ht="21" customHeight="1">
      <c r="A156" s="5641" t="s">
        <v>1</v>
      </c>
      <c r="B156" s="5662" t="str">
        <f t="shared" si="36"/>
        <v>►</v>
      </c>
      <c r="C156" s="5825" cm="1">
        <f t="array" ref="C156">SUMPRODUCT(LEN(D156:J156))</f>
        <v>0</v>
      </c>
      <c r="D156" s="5275"/>
      <c r="E156" s="1361"/>
      <c r="F156" s="1361"/>
      <c r="G156" s="1361"/>
      <c r="H156" s="1361"/>
      <c r="I156" s="1361"/>
      <c r="J156" s="5276"/>
      <c r="K156" s="106" t="s">
        <v>1</v>
      </c>
      <c r="L156" s="1021" t="str">
        <f t="shared" si="40"/>
        <v>►</v>
      </c>
      <c r="M156" s="41" t="str">
        <f>M141</f>
        <v>Coller la-cellule-identité.C.Coulis de mangue</v>
      </c>
      <c r="N156" s="40">
        <f>N141</f>
        <v>18</v>
      </c>
      <c r="O156" s="40" t="str">
        <f>O141</f>
        <v>assiettes</v>
      </c>
      <c r="P156" s="40" t="str">
        <f>P141</f>
        <v>Recette mère ► MILLE-FEUILLE meringue et chiboust pamplemousse aux fraises des bois</v>
      </c>
      <c r="Q156" s="213"/>
      <c r="R156" s="212"/>
      <c r="S156" s="211" t="str">
        <f t="shared" si="37"/>
        <v/>
      </c>
      <c r="T156" s="210"/>
      <c r="U156" s="5259"/>
      <c r="V156" s="5576">
        <v>1</v>
      </c>
      <c r="W156" s="6866"/>
      <c r="X156" s="6871"/>
      <c r="Y156" s="5882">
        <f>IFERROR(IFERROR(INDEX(Q161:AB161,MATCH(U156,Q160:AB160,0)),INDEX(Q163:AB163,MATCH(U156,Q162:AB162,0))) * T156 * IF(ISBLANK(Q156), 1, Q156), 0)</f>
        <v>0</v>
      </c>
      <c r="Z156" s="5254">
        <f>(Q156/AA140)*AA138*V156</f>
        <v>0</v>
      </c>
      <c r="AA156" s="5252">
        <f>IF(ISBLANK(AA140), 0, (Y156 * V156) * (AA138 / AA140))</f>
        <v>0</v>
      </c>
      <c r="AB156" s="5255" t="str">
        <f>IF(COUNTIF(Q160:AB160,U156)&gt;0,IF(ROUND(AA156,3)&gt;=1,ROUND(AA156,3)&amp;" L",ROUND(AA156*100,0)&amp;" cl"),IF(COUNTIF(Q162:AB162,U156)&gt;0,IF(ROUND(AA156,3)&gt;=1,ROUND(AA156,3)&amp;" Kg",ROUND(AA156*1000,0)&amp;" g"),""))</f>
        <v/>
      </c>
      <c r="AC156" s="5817" t="str">
        <f t="shared" si="41"/>
        <v>►</v>
      </c>
      <c r="AD156" s="5883">
        <f>IF(Y159=0,0,Y156*AD144*1000/Y159)</f>
        <v>0</v>
      </c>
      <c r="AE156" s="6053">
        <f>IF(ISNUMBER(Q156),Q156*AD144/Y159,0)</f>
        <v>0</v>
      </c>
      <c r="AF156" s="5894"/>
      <c r="AG156" s="5804"/>
      <c r="AH156" s="5804"/>
      <c r="AI156" s="5804"/>
      <c r="AJ156" s="5902">
        <f t="shared" si="42"/>
        <v>0</v>
      </c>
      <c r="AK156" s="5896">
        <f>IF(OR(ISTEXT(Q156),Y159=0),0,Q156*AR137)</f>
        <v>0</v>
      </c>
      <c r="AL156" s="5804"/>
      <c r="AM156" s="5805">
        <f t="shared" si="38"/>
        <v>0</v>
      </c>
      <c r="AN156" s="5805">
        <f t="shared" si="43"/>
        <v>0</v>
      </c>
      <c r="AO156" s="5804"/>
      <c r="AP156" s="5788">
        <f>IF(Y156=0,0,Y156*AR137)</f>
        <v>0</v>
      </c>
      <c r="AQ156" s="5897" t="str">
        <f>IF(COUNTIF(AD160:AD170,U156)&gt;0,IF(ROUND(AP156,3)&gt;=1,ROUND(AP156,3)&amp;" L",ROUND(AP156*100,0)&amp;" cl"),IF(COUNTIF(AD171:AD181,U156)&gt;0,IF(ROUND(AP156,3)&gt;=1,ROUND(AP156,3)&amp;" Kg",ROUND(AP156*1000,0)&amp;" g"),""))</f>
        <v/>
      </c>
      <c r="AR156" s="5898">
        <f t="shared" si="39"/>
        <v>0</v>
      </c>
      <c r="AS156" s="7383"/>
      <c r="AT156" s="4"/>
      <c r="AU156" s="4"/>
      <c r="AV156" s="4"/>
      <c r="AW156" s="5818" t="str">
        <f t="shared" si="32"/>
        <v>►</v>
      </c>
      <c r="AX156" s="5950"/>
      <c r="AY156" s="5950"/>
      <c r="AZ156" s="5950"/>
      <c r="BA156" s="5950"/>
      <c r="BB156" s="5950"/>
      <c r="BC156" s="2"/>
      <c r="BD156"/>
      <c r="BE156"/>
      <c r="BF156"/>
      <c r="BG156"/>
      <c r="BH156"/>
      <c r="BI156"/>
      <c r="BJ156"/>
      <c r="BL156" s="6057" t="s">
        <v>252</v>
      </c>
      <c r="BM156" s="5271" t="s">
        <v>864</v>
      </c>
      <c r="BN156" s="1321"/>
      <c r="BO156" s="1321"/>
      <c r="BP156" s="1321"/>
      <c r="BQ156" s="1321"/>
      <c r="BR156" s="6058"/>
      <c r="BV156"/>
      <c r="BX156" s="5">
        <v>1</v>
      </c>
    </row>
    <row r="157" spans="1:76" s="1" customFormat="1" ht="21" customHeight="1">
      <c r="A157" s="5641" t="s">
        <v>1</v>
      </c>
      <c r="B157" s="5662" t="str">
        <f t="shared" si="36"/>
        <v>►</v>
      </c>
      <c r="C157" s="5825" cm="1">
        <f t="array" ref="C157">SUMPRODUCT(LEN(D157:J157))</f>
        <v>0</v>
      </c>
      <c r="D157" s="5275"/>
      <c r="E157" s="1361"/>
      <c r="F157" s="1361"/>
      <c r="G157" s="1361"/>
      <c r="H157" s="1361"/>
      <c r="I157" s="1361"/>
      <c r="J157" s="5276"/>
      <c r="K157" s="106" t="s">
        <v>1</v>
      </c>
      <c r="L157" s="1021" t="str">
        <f t="shared" si="40"/>
        <v>►</v>
      </c>
      <c r="M157" s="41" t="str">
        <f>M142</f>
        <v>Coller la-cellule-identité.C.Coulis de mangue</v>
      </c>
      <c r="N157" s="40">
        <f>N141</f>
        <v>18</v>
      </c>
      <c r="O157" s="40" t="str">
        <f>O141</f>
        <v>assiettes</v>
      </c>
      <c r="P157" s="40" t="str">
        <f>P141</f>
        <v>Recette mère ► MILLE-FEUILLE meringue et chiboust pamplemousse aux fraises des bois</v>
      </c>
      <c r="Q157" s="213"/>
      <c r="R157" s="212"/>
      <c r="S157" s="211" t="str">
        <f t="shared" si="37"/>
        <v/>
      </c>
      <c r="T157" s="210"/>
      <c r="U157" s="5259"/>
      <c r="V157" s="5576">
        <v>1</v>
      </c>
      <c r="W157" s="6866"/>
      <c r="X157" s="6871"/>
      <c r="Y157" s="5882">
        <f>IFERROR(IFERROR(INDEX(Q161:AB161,MATCH(U157,Q160:AB160,0)),INDEX(Q163:AB163,MATCH(U157,Q162:AB162,0))) * T157 * IF(ISBLANK(Q157), 1, Q157), 0)</f>
        <v>0</v>
      </c>
      <c r="Z157" s="5254">
        <f>(Q157/AA140)*AA138*V157</f>
        <v>0</v>
      </c>
      <c r="AA157" s="5252">
        <f>IF(ISBLANK(AA140), 0, (Y157 * V157) * (AA138 / AA140))</f>
        <v>0</v>
      </c>
      <c r="AB157" s="5260" t="str">
        <f>IF(COUNTIF(Q160:AB160,U157)&gt;0,IF(ROUND(AA157,3)&gt;=1,ROUND(AA157,3)&amp;" L",ROUND(AA157*100,0)&amp;" cl"),IF(COUNTIF(Q162:AB162,U157)&gt;0,IF(ROUND(AA157,3)&gt;=1,ROUND(AA157,3)&amp;" Kg",ROUND(AA157*1000,0)&amp;" g"),""))</f>
        <v/>
      </c>
      <c r="AC157" s="5817" t="str">
        <f t="shared" si="41"/>
        <v>►</v>
      </c>
      <c r="AD157" s="5883">
        <f>IF(Y159=0,0,Y157*AD144*1000/Y159)</f>
        <v>0</v>
      </c>
      <c r="AE157" s="6053">
        <f>IF(ISNUMBER(Q157),Q157*AD144/Y159,0)</f>
        <v>0</v>
      </c>
      <c r="AF157" s="5885"/>
      <c r="AG157" s="5886"/>
      <c r="AH157" s="5886"/>
      <c r="AI157" s="5886"/>
      <c r="AJ157" s="5899">
        <f t="shared" si="42"/>
        <v>0</v>
      </c>
      <c r="AK157" s="5888">
        <f>IF(OR(ISTEXT(Q157),Y159=0),0,Q157*AR137)</f>
        <v>0</v>
      </c>
      <c r="AL157" s="5886"/>
      <c r="AM157" s="5889">
        <f t="shared" si="38"/>
        <v>0</v>
      </c>
      <c r="AN157" s="8558">
        <f t="shared" si="43"/>
        <v>0</v>
      </c>
      <c r="AO157" s="5886"/>
      <c r="AP157" s="5890">
        <f>IF(Y157=0,0,Y157*AR137)</f>
        <v>0</v>
      </c>
      <c r="AQ157" s="5891" t="str">
        <f>IF(COUNTIF(AD160:AD170,U157)&gt;0,IF(ROUND(AP157,3)&gt;=1,ROUND(AP157,3)&amp;" L",ROUND(AP157*100,0)&amp;" cl"),IF(COUNTIF(AD171:AD181,U157)&gt;0,IF(ROUND(AP157,3)&gt;=1,ROUND(AP157,3)&amp;" Kg",ROUND(AP157*1000,0)&amp;" g"),""))</f>
        <v/>
      </c>
      <c r="AR157" s="5892">
        <f t="shared" si="39"/>
        <v>0</v>
      </c>
      <c r="AS157" s="7383"/>
      <c r="AT157" s="4"/>
      <c r="AU157" s="4"/>
      <c r="AV157" s="4"/>
      <c r="AW157" s="5818" t="str">
        <f t="shared" si="32"/>
        <v>►</v>
      </c>
      <c r="AX157" s="5950"/>
      <c r="AY157" s="5950"/>
      <c r="AZ157" s="5950"/>
      <c r="BA157" s="5950"/>
      <c r="BB157" s="5950"/>
      <c r="BC157" s="2"/>
      <c r="BD157"/>
      <c r="BE157"/>
      <c r="BF157"/>
      <c r="BG157"/>
      <c r="BH157"/>
      <c r="BI157"/>
      <c r="BJ157"/>
      <c r="BL157" s="574"/>
      <c r="BM157" s="1320"/>
      <c r="BN157" s="1320"/>
      <c r="BO157" s="1320"/>
      <c r="BP157" s="1320"/>
      <c r="BQ157" s="1320"/>
      <c r="BR157" s="6059"/>
      <c r="BV157"/>
      <c r="BX157" s="5">
        <v>1</v>
      </c>
    </row>
    <row r="158" spans="1:76" s="1" customFormat="1" ht="21" customHeight="1">
      <c r="A158" s="5641" t="s">
        <v>1</v>
      </c>
      <c r="B158" s="5662" t="str">
        <f t="shared" si="36"/>
        <v>►</v>
      </c>
      <c r="C158" s="5825" cm="1">
        <f t="array" ref="C158">SUMPRODUCT(LEN(D158:J158))</f>
        <v>0</v>
      </c>
      <c r="D158" s="5275"/>
      <c r="E158" s="1361"/>
      <c r="F158" s="1361"/>
      <c r="G158" s="1361"/>
      <c r="H158" s="1361"/>
      <c r="I158" s="1361"/>
      <c r="J158" s="5276"/>
      <c r="K158" s="106" t="s">
        <v>1</v>
      </c>
      <c r="L158" s="1021" t="str">
        <f t="shared" si="40"/>
        <v>►</v>
      </c>
      <c r="M158" s="41" t="str">
        <f>M141</f>
        <v>Coller la-cellule-identité.C.Coulis de mangue</v>
      </c>
      <c r="N158" s="40">
        <f>N141</f>
        <v>18</v>
      </c>
      <c r="O158" s="40" t="str">
        <f>O141</f>
        <v>assiettes</v>
      </c>
      <c r="P158" s="40" t="str">
        <f>P141</f>
        <v>Recette mère ► MILLE-FEUILLE meringue et chiboust pamplemousse aux fraises des bois</v>
      </c>
      <c r="Q158" s="213"/>
      <c r="R158" s="212"/>
      <c r="S158" s="211" t="str">
        <f t="shared" si="37"/>
        <v/>
      </c>
      <c r="T158" s="210"/>
      <c r="U158" s="5259"/>
      <c r="V158" s="5576">
        <v>1</v>
      </c>
      <c r="W158" s="6866"/>
      <c r="X158" s="6871"/>
      <c r="Y158" s="5882">
        <f>IFERROR(IFERROR(INDEX(Q161:AB161,MATCH(U158,Q160:AB160,0)),INDEX(Q163:AB163,MATCH(U158,Q162:AB162,0))) * T158 * IF(ISBLANK(Q158), 1, Q158), 0)</f>
        <v>0</v>
      </c>
      <c r="Z158" s="5254">
        <f>(Q158/AA140)*AA138*V158</f>
        <v>0</v>
      </c>
      <c r="AA158" s="5252">
        <f>IF(ISBLANK(AA140), 0, (Y158 * V158) * (AA138 / AA140))</f>
        <v>0</v>
      </c>
      <c r="AB158" s="5255" t="str">
        <f>IF(COUNTIF(Q160:AB160,U158)&gt;0,IF(ROUND(AA158,3)&gt;=1,ROUND(AA158,3)&amp;" L",ROUND(AA158*100,0)&amp;" cl"),IF(COUNTIF(Q162:AB162,U158)&gt;0,IF(ROUND(AA158,3)&gt;=1,ROUND(AA158,3)&amp;" Kg",ROUND(AA158*1000,0)&amp;" g"),""))</f>
        <v/>
      </c>
      <c r="AC158" s="5817" t="str">
        <f t="shared" si="41"/>
        <v>►</v>
      </c>
      <c r="AD158" s="5883">
        <f>IF(Y159=0,0,Y158*AD144*1000/Y159)</f>
        <v>0</v>
      </c>
      <c r="AE158" s="6053">
        <f>IF(ISNUMBER(Q158),Q158*AD144/Y159,0)</f>
        <v>0</v>
      </c>
      <c r="AF158" s="5894"/>
      <c r="AG158" s="5804"/>
      <c r="AH158" s="5804"/>
      <c r="AI158" s="5804"/>
      <c r="AJ158" s="5902">
        <f t="shared" si="42"/>
        <v>0</v>
      </c>
      <c r="AK158" s="5896">
        <f>IF(OR(ISTEXT(Q158),Y159=0),0,Q158*AR137)</f>
        <v>0</v>
      </c>
      <c r="AL158" s="5804"/>
      <c r="AM158" s="5805">
        <f t="shared" si="38"/>
        <v>0</v>
      </c>
      <c r="AN158" s="5805">
        <f t="shared" si="43"/>
        <v>0</v>
      </c>
      <c r="AO158" s="5804"/>
      <c r="AP158" s="5788">
        <f>IF(Y158=0,0,Y158*AR137)</f>
        <v>0</v>
      </c>
      <c r="AQ158" s="5897" t="str">
        <f>IF(COUNTIF(AD160:AD170,U158)&gt;0,IF(ROUND(AP158,3)&gt;=1,ROUND(AP158,3)&amp;" L",ROUND(AP158*100,0)&amp;" cl"),IF(COUNTIF(AD171:AD181,U158)&gt;0,IF(ROUND(AP158,3)&gt;=1,ROUND(AP158,3)&amp;" Kg",ROUND(AP158*1000,0)&amp;" g"),""))</f>
        <v/>
      </c>
      <c r="AR158" s="5898">
        <f t="shared" si="39"/>
        <v>0</v>
      </c>
      <c r="AS158" s="7383"/>
      <c r="AT158" s="4"/>
      <c r="AU158" s="4"/>
      <c r="AV158" s="4"/>
      <c r="AW158" s="5818" t="str">
        <f t="shared" si="32"/>
        <v>►</v>
      </c>
      <c r="AX158" s="5950"/>
      <c r="AY158" s="5950"/>
      <c r="AZ158" s="5950"/>
      <c r="BA158" s="5950"/>
      <c r="BB158" s="5950"/>
      <c r="BC158" s="2"/>
      <c r="BD158"/>
      <c r="BE158"/>
      <c r="BF158"/>
      <c r="BG158"/>
      <c r="BH158"/>
      <c r="BI158"/>
      <c r="BJ158"/>
      <c r="BL158" s="6060" t="s">
        <v>8564</v>
      </c>
      <c r="BM158" s="1361"/>
      <c r="BN158" s="1361"/>
      <c r="BO158" s="1361"/>
      <c r="BP158" s="1361"/>
      <c r="BQ158" s="1361"/>
      <c r="BR158" s="6061"/>
      <c r="BV158"/>
      <c r="BX158" s="5">
        <v>1</v>
      </c>
    </row>
    <row r="159" spans="1:76" s="1" customFormat="1" ht="21" customHeight="1">
      <c r="A159" s="5641" t="s">
        <v>1</v>
      </c>
      <c r="B159" s="5662" t="str">
        <f t="shared" si="36"/>
        <v>A</v>
      </c>
      <c r="C159" s="5825" cm="1">
        <f t="array" ref="C159">SUMPRODUCT(LEN(D159:J159))</f>
        <v>0</v>
      </c>
      <c r="D159" s="5275"/>
      <c r="E159" s="1361"/>
      <c r="F159" s="1361"/>
      <c r="G159" s="1361"/>
      <c r="H159" s="1361"/>
      <c r="I159" s="1361"/>
      <c r="J159" s="5276"/>
      <c r="K159" s="106" t="s">
        <v>1</v>
      </c>
      <c r="L159" s="1021" t="s">
        <v>21</v>
      </c>
      <c r="M159" s="41" t="str">
        <f>M141</f>
        <v>Coller la-cellule-identité.C.Coulis de mangue</v>
      </c>
      <c r="N159" s="40">
        <f>N141</f>
        <v>18</v>
      </c>
      <c r="O159" s="40" t="str">
        <f>O141</f>
        <v>assiettes</v>
      </c>
      <c r="P159" s="40" t="str">
        <f>P141</f>
        <v>Recette mère ► MILLE-FEUILLE meringue et chiboust pamplemousse aux fraises des bois</v>
      </c>
      <c r="Q159" s="5921" t="s">
        <v>8535</v>
      </c>
      <c r="R159" s="5261"/>
      <c r="S159" s="5261"/>
      <c r="T159" s="5261"/>
      <c r="U159" s="5261"/>
      <c r="V159" s="5261"/>
      <c r="W159" s="5262" t="str">
        <f>"portion de " &amp; TEXT((Y159/Q139)*1000,"0.0") &amp; " g"</f>
        <v>portion de 17.5 g</v>
      </c>
      <c r="X159" s="5262"/>
      <c r="Y159" s="5263">
        <f>SUM(Y145:Y158)</f>
        <v>0.315</v>
      </c>
      <c r="Z159" s="5264" t="s">
        <v>1069</v>
      </c>
      <c r="AA159" s="5265">
        <f>SUM(AA145:AA158)</f>
        <v>1.75</v>
      </c>
      <c r="AB159" s="5922"/>
      <c r="AC159" s="5817" t="str">
        <f t="shared" si="41"/>
        <v>A</v>
      </c>
      <c r="AD159" s="5923">
        <f>SUM(AD145:AD158)/1000</f>
        <v>1</v>
      </c>
      <c r="AE159" s="5924" t="str">
        <f>"= "&amp;IF(AD159&gt;0,AA140 &amp; " portions de " &amp; ROUND(AD159/AA140,3) &amp; " g","")</f>
        <v>= 18 portions de 0.056 g</v>
      </c>
      <c r="AF159" s="5925"/>
      <c r="AG159" s="5926"/>
      <c r="AH159" s="5927"/>
      <c r="AI159" s="5927"/>
      <c r="AJ159" s="5928"/>
      <c r="AK159" s="5924"/>
      <c r="AL159" s="5929"/>
      <c r="AM159" s="5930"/>
      <c r="AN159" s="5930"/>
      <c r="AO159" s="5929"/>
      <c r="AP159" s="5931">
        <f>SUM(AP145:AP158)</f>
        <v>0.7875000000000002</v>
      </c>
      <c r="AQ159" s="5931"/>
      <c r="AR159" s="5932"/>
      <c r="AS159" s="7383"/>
      <c r="AT159" s="4"/>
      <c r="AU159" s="4"/>
      <c r="AV159" s="4"/>
      <c r="AW159" s="5818" t="str">
        <f t="shared" si="32"/>
        <v>A</v>
      </c>
      <c r="AX159" s="5950"/>
      <c r="AY159" s="5950"/>
      <c r="AZ159" s="5950"/>
      <c r="BA159" s="5950"/>
      <c r="BB159" s="5950"/>
      <c r="BC159" s="2"/>
      <c r="BD159"/>
      <c r="BE159"/>
      <c r="BF159"/>
      <c r="BG159"/>
      <c r="BH159"/>
      <c r="BI159"/>
      <c r="BJ159"/>
      <c r="BL159" s="6060" t="s">
        <v>8565</v>
      </c>
      <c r="BM159" s="1361"/>
      <c r="BN159" s="1361"/>
      <c r="BO159" s="1361"/>
      <c r="BP159" s="1361"/>
      <c r="BQ159" s="1361"/>
      <c r="BR159" s="6061"/>
      <c r="BT159"/>
      <c r="BU159"/>
      <c r="BV159"/>
      <c r="BX159" s="5">
        <v>1</v>
      </c>
    </row>
    <row r="160" spans="1:76" s="1" customFormat="1" ht="21" customHeight="1">
      <c r="A160" s="5641" t="s">
        <v>1</v>
      </c>
      <c r="B160" s="5662" t="str">
        <f t="shared" si="36"/>
        <v>►</v>
      </c>
      <c r="C160" s="5825" cm="1">
        <f t="array" ref="C160">SUMPRODUCT(LEN(D160:J160))</f>
        <v>0</v>
      </c>
      <c r="D160" s="5275"/>
      <c r="E160" s="1361"/>
      <c r="F160" s="1361"/>
      <c r="G160" s="1361"/>
      <c r="H160" s="1361"/>
      <c r="I160" s="1361"/>
      <c r="J160" s="5276"/>
      <c r="K160" s="106" t="s">
        <v>1</v>
      </c>
      <c r="L160" s="1021" t="s">
        <v>26</v>
      </c>
      <c r="M160" s="41" t="str">
        <f>M141</f>
        <v>Coller la-cellule-identité.C.Coulis de mangue</v>
      </c>
      <c r="N160" s="40">
        <f>N141</f>
        <v>18</v>
      </c>
      <c r="O160" s="40" t="str">
        <f>O141</f>
        <v>assiettes</v>
      </c>
      <c r="P160" s="40" t="str">
        <f>P141</f>
        <v>Recette mère ► MILLE-FEUILLE meringue et chiboust pamplemousse aux fraises des bois</v>
      </c>
      <c r="Q160" s="5129" t="s">
        <v>88</v>
      </c>
      <c r="R160" s="5129" t="s">
        <v>172</v>
      </c>
      <c r="S160" s="5129" t="s">
        <v>170</v>
      </c>
      <c r="T160" s="5129" t="s">
        <v>166</v>
      </c>
      <c r="U160" s="5131" t="s">
        <v>946</v>
      </c>
      <c r="V160" s="5131" t="s">
        <v>8011</v>
      </c>
      <c r="W160" s="5131" t="s">
        <v>124</v>
      </c>
      <c r="X160" s="6286"/>
      <c r="Y160" s="5131" t="s">
        <v>164</v>
      </c>
      <c r="Z160" s="5131" t="s">
        <v>159</v>
      </c>
      <c r="AA160" s="5131" t="s">
        <v>8012</v>
      </c>
      <c r="AB160" s="5131" t="s">
        <v>8013</v>
      </c>
      <c r="AC160" s="5933" t="str">
        <f>IF(COUNTIF(AF161:AR161,"&lt;&gt;")&gt;0,"A","►")</f>
        <v>►</v>
      </c>
      <c r="AD160" s="5934" t="s">
        <v>88</v>
      </c>
      <c r="AE160" s="5935">
        <v>1</v>
      </c>
      <c r="AF160" s="5936"/>
      <c r="AG160" s="5936"/>
      <c r="AH160" s="5936"/>
      <c r="AI160" s="5937" t="s">
        <v>8536</v>
      </c>
      <c r="AJ160" s="5805"/>
      <c r="AK160" s="5805"/>
      <c r="AL160" s="5804"/>
      <c r="AM160" s="5804"/>
      <c r="AN160" s="5804"/>
      <c r="AO160" s="5804"/>
      <c r="AP160" s="5804"/>
      <c r="AQ160" s="5804"/>
      <c r="AR160" s="5938" t="s">
        <v>8537</v>
      </c>
      <c r="AS160" s="7383"/>
      <c r="AT160" s="4"/>
      <c r="AU160" s="4"/>
      <c r="AV160" s="4"/>
      <c r="AW160" s="5818" t="str">
        <f t="shared" si="32"/>
        <v>►</v>
      </c>
      <c r="AX160" s="5950"/>
      <c r="AY160" s="5950"/>
      <c r="AZ160" s="5950"/>
      <c r="BA160" s="5950"/>
      <c r="BB160" s="5950"/>
      <c r="BC160" s="2"/>
      <c r="BD160"/>
      <c r="BE160"/>
      <c r="BF160"/>
      <c r="BG160"/>
      <c r="BH160"/>
      <c r="BI160"/>
      <c r="BJ160"/>
      <c r="BL160" s="6062" t="s">
        <v>1112</v>
      </c>
      <c r="BM160" s="1361"/>
      <c r="BN160" s="1361"/>
      <c r="BO160" s="1361"/>
      <c r="BP160" s="1361"/>
      <c r="BQ160" s="1361"/>
      <c r="BR160" s="6063"/>
      <c r="BT160"/>
      <c r="BU160"/>
      <c r="BV160"/>
      <c r="BX160" s="5">
        <v>1</v>
      </c>
    </row>
    <row r="161" spans="1:76" s="1" customFormat="1" ht="21" customHeight="1">
      <c r="A161" s="5641" t="s">
        <v>1</v>
      </c>
      <c r="B161" s="5662" t="str">
        <f t="shared" si="36"/>
        <v>►</v>
      </c>
      <c r="C161" s="5825" cm="1">
        <f t="array" ref="C161">SUMPRODUCT(LEN(D161:J161))</f>
        <v>0</v>
      </c>
      <c r="D161" s="5275"/>
      <c r="E161" s="1361"/>
      <c r="F161" s="1361"/>
      <c r="G161" s="1361"/>
      <c r="H161" s="1361"/>
      <c r="I161" s="1361"/>
      <c r="J161" s="5276"/>
      <c r="K161" s="106" t="s">
        <v>1</v>
      </c>
      <c r="L161" s="1021" t="s">
        <v>26</v>
      </c>
      <c r="M161" s="41" t="str">
        <f>M141</f>
        <v>Coller la-cellule-identité.C.Coulis de mangue</v>
      </c>
      <c r="N161" s="40">
        <f>N141</f>
        <v>18</v>
      </c>
      <c r="O161" s="40" t="str">
        <f>O141</f>
        <v>assiettes</v>
      </c>
      <c r="P161" s="40" t="str">
        <f>P141</f>
        <v>Recette mère ► MILLE-FEUILLE meringue et chiboust pamplemousse aux fraises des bois</v>
      </c>
      <c r="Q161" s="5935">
        <v>1</v>
      </c>
      <c r="R161" s="5935">
        <v>0.1</v>
      </c>
      <c r="S161" s="5943">
        <v>0.01</v>
      </c>
      <c r="T161" s="5935">
        <v>1E-3</v>
      </c>
      <c r="U161" s="5935">
        <v>0.01</v>
      </c>
      <c r="V161" s="5935">
        <v>0.1</v>
      </c>
      <c r="W161" s="5935">
        <v>0.22500000000000001</v>
      </c>
      <c r="X161" s="5935"/>
      <c r="Y161" s="5935">
        <v>0.25</v>
      </c>
      <c r="Z161" s="5935">
        <v>0.5</v>
      </c>
      <c r="AA161" s="5935">
        <v>0.33300000000000002</v>
      </c>
      <c r="AB161" s="5935">
        <v>0.2</v>
      </c>
      <c r="AC161" s="5933" t="str">
        <f>IF(COUNTIF(AF161:AR161,"&lt;&gt;")&gt;0,"A","►")</f>
        <v>►</v>
      </c>
      <c r="AD161" s="5944" t="s">
        <v>172</v>
      </c>
      <c r="AE161" s="5935">
        <v>0.1</v>
      </c>
      <c r="AF161" s="5945"/>
      <c r="AG161" s="5945"/>
      <c r="AH161" s="5945"/>
      <c r="AI161" s="5945"/>
      <c r="AJ161" s="5945"/>
      <c r="AK161" s="5945"/>
      <c r="AL161" s="5945"/>
      <c r="AM161" s="5945"/>
      <c r="AN161" s="5945"/>
      <c r="AO161" s="5945"/>
      <c r="AP161" s="5945"/>
      <c r="AQ161" s="5945"/>
      <c r="AR161" s="5946"/>
      <c r="AS161" s="7383"/>
      <c r="AT161" s="4"/>
      <c r="AU161" s="4"/>
      <c r="AV161" s="4"/>
      <c r="AW161" s="5818" t="str">
        <f t="shared" si="32"/>
        <v>►</v>
      </c>
      <c r="AX161" s="5950"/>
      <c r="AY161" s="5950"/>
      <c r="AZ161" s="5950"/>
      <c r="BA161" s="5950"/>
      <c r="BB161" s="5950"/>
      <c r="BC161" s="2"/>
      <c r="BD161"/>
      <c r="BE161"/>
      <c r="BF161"/>
      <c r="BG161"/>
      <c r="BH161"/>
      <c r="BI161"/>
      <c r="BJ161"/>
      <c r="BL161" s="6064"/>
      <c r="BM161" s="1002"/>
      <c r="BN161" s="1002" t="s">
        <v>873</v>
      </c>
      <c r="BO161" s="1003"/>
      <c r="BP161" s="1329"/>
      <c r="BQ161" s="1329"/>
      <c r="BR161" s="6065"/>
      <c r="BT161"/>
      <c r="BU161"/>
      <c r="BV161"/>
      <c r="BX161" s="5">
        <v>1</v>
      </c>
    </row>
    <row r="162" spans="1:76" s="1" customFormat="1" ht="21" customHeight="1">
      <c r="A162" s="5641" t="s">
        <v>1</v>
      </c>
      <c r="B162" s="5662" t="str">
        <f t="shared" si="36"/>
        <v>►</v>
      </c>
      <c r="C162" s="5825" cm="1">
        <f t="array" ref="C162">SUMPRODUCT(LEN(D162:J162))</f>
        <v>0</v>
      </c>
      <c r="D162" s="5275"/>
      <c r="E162" s="1361"/>
      <c r="F162" s="1361"/>
      <c r="G162" s="1361"/>
      <c r="H162" s="1361"/>
      <c r="I162" s="1361"/>
      <c r="J162" s="5276"/>
      <c r="K162" s="106" t="s">
        <v>1</v>
      </c>
      <c r="L162" s="1021" t="s">
        <v>26</v>
      </c>
      <c r="M162" s="41" t="str">
        <f>M141</f>
        <v>Coller la-cellule-identité.C.Coulis de mangue</v>
      </c>
      <c r="N162" s="40">
        <f>N141</f>
        <v>18</v>
      </c>
      <c r="O162" s="40" t="str">
        <f>O141</f>
        <v>assiettes</v>
      </c>
      <c r="P162" s="40" t="str">
        <f>P141</f>
        <v>Recette mère ► MILLE-FEUILLE meringue et chiboust pamplemousse aux fraises des bois</v>
      </c>
      <c r="Q162" s="5124" t="s">
        <v>130</v>
      </c>
      <c r="R162" s="5128" t="s">
        <v>219</v>
      </c>
      <c r="S162" s="5266" t="s">
        <v>8014</v>
      </c>
      <c r="T162" s="5267" t="s">
        <v>188</v>
      </c>
      <c r="U162" s="5132" t="s">
        <v>176</v>
      </c>
      <c r="V162" s="5132" t="s">
        <v>179</v>
      </c>
      <c r="W162" s="5268" t="s">
        <v>122</v>
      </c>
      <c r="X162" s="6289"/>
      <c r="Y162" s="5268" t="s">
        <v>113</v>
      </c>
      <c r="Z162" s="5268" t="s">
        <v>112</v>
      </c>
      <c r="AA162" s="5268" t="s">
        <v>8015</v>
      </c>
      <c r="AB162" s="5268" t="s">
        <v>8016</v>
      </c>
      <c r="AC162" s="5933" t="str">
        <f>IF(COUNTIF(AF162:AR162,"&lt;&gt;")&gt;0,"A","►")</f>
        <v>►</v>
      </c>
      <c r="AD162" s="5944" t="s">
        <v>170</v>
      </c>
      <c r="AE162" s="5935">
        <v>0.01</v>
      </c>
      <c r="AF162" s="5945"/>
      <c r="AG162" s="5945"/>
      <c r="AH162" s="5945"/>
      <c r="AI162" s="5945"/>
      <c r="AJ162" s="5945"/>
      <c r="AK162" s="5945"/>
      <c r="AL162" s="5945"/>
      <c r="AM162" s="5945"/>
      <c r="AN162" s="5945"/>
      <c r="AO162" s="5945"/>
      <c r="AP162" s="5945"/>
      <c r="AQ162" s="5945"/>
      <c r="AR162" s="5946"/>
      <c r="AS162" s="7383"/>
      <c r="AT162" s="4"/>
      <c r="AU162" s="4"/>
      <c r="AV162" s="4"/>
      <c r="AW162" s="5818" t="str">
        <f t="shared" si="32"/>
        <v>►</v>
      </c>
      <c r="AX162" s="5950"/>
      <c r="AY162" s="5950"/>
      <c r="AZ162" s="5950"/>
      <c r="BA162" s="5950"/>
      <c r="BB162" s="5950"/>
      <c r="BC162" s="2"/>
      <c r="BD162"/>
      <c r="BE162"/>
      <c r="BF162"/>
      <c r="BG162"/>
      <c r="BH162"/>
      <c r="BI162"/>
      <c r="BJ162"/>
      <c r="BL162" s="6066"/>
      <c r="BM162" s="5300"/>
      <c r="BN162" s="5301"/>
      <c r="BO162" s="5302"/>
      <c r="BP162" s="5301"/>
      <c r="BQ162" s="5301"/>
      <c r="BR162" s="6067"/>
      <c r="BT162"/>
      <c r="BU162"/>
      <c r="BV162"/>
      <c r="BX162" s="5">
        <v>1</v>
      </c>
    </row>
    <row r="163" spans="1:76" s="1" customFormat="1" ht="21" customHeight="1">
      <c r="A163" s="5641" t="s">
        <v>1</v>
      </c>
      <c r="B163" s="5662" t="str">
        <f t="shared" si="36"/>
        <v>►</v>
      </c>
      <c r="C163" s="5825" cm="1">
        <f t="array" ref="C163">SUMPRODUCT(LEN(D163:J163))</f>
        <v>0</v>
      </c>
      <c r="D163" s="5275"/>
      <c r="E163" s="1361"/>
      <c r="F163" s="1361"/>
      <c r="G163" s="1361"/>
      <c r="H163" s="1361"/>
      <c r="I163" s="1361"/>
      <c r="J163" s="5276"/>
      <c r="K163" s="106" t="s">
        <v>1</v>
      </c>
      <c r="L163" s="1021" t="s">
        <v>26</v>
      </c>
      <c r="M163" s="41" t="str">
        <f>M141</f>
        <v>Coller la-cellule-identité.C.Coulis de mangue</v>
      </c>
      <c r="N163" s="40">
        <f>N141</f>
        <v>18</v>
      </c>
      <c r="O163" s="40" t="str">
        <f>O141</f>
        <v>assiettes</v>
      </c>
      <c r="P163" s="40" t="str">
        <f>P141</f>
        <v>Recette mère ► MILLE-FEUILLE meringue et chiboust pamplemousse aux fraises des bois</v>
      </c>
      <c r="Q163" s="5949">
        <v>1E-3</v>
      </c>
      <c r="R163" s="5949">
        <v>1</v>
      </c>
      <c r="S163" s="5949">
        <v>0</v>
      </c>
      <c r="T163" s="5949">
        <v>0.25</v>
      </c>
      <c r="U163" s="5949">
        <v>0.33332999999999996</v>
      </c>
      <c r="V163" s="5949">
        <v>0.5</v>
      </c>
      <c r="W163" s="5949">
        <v>2.835E-2</v>
      </c>
      <c r="X163" s="5949"/>
      <c r="Y163" s="5949">
        <v>0.13</v>
      </c>
      <c r="Z163" s="5949">
        <v>0.2</v>
      </c>
      <c r="AA163" s="5949">
        <v>0.23</v>
      </c>
      <c r="AB163" s="5949">
        <v>0.24</v>
      </c>
      <c r="AC163" s="5933" t="str">
        <f t="shared" ref="AC163:AC172" si="44">IF(COUNTIF(AF163:AR163,"&lt;&gt;")&gt;0,"A","►")</f>
        <v>►</v>
      </c>
      <c r="AD163" s="5944" t="s">
        <v>166</v>
      </c>
      <c r="AE163" s="5935">
        <v>1E-3</v>
      </c>
      <c r="AF163" s="5945"/>
      <c r="AG163" s="5945"/>
      <c r="AH163" s="5945"/>
      <c r="AI163" s="5945"/>
      <c r="AJ163" s="5945"/>
      <c r="AK163" s="5945"/>
      <c r="AL163" s="5945"/>
      <c r="AM163" s="5945"/>
      <c r="AN163" s="5945"/>
      <c r="AO163" s="5945"/>
      <c r="AP163" s="5945"/>
      <c r="AQ163" s="5945"/>
      <c r="AR163" s="5946"/>
      <c r="AS163" s="7383"/>
      <c r="AT163" s="4"/>
      <c r="AU163" s="4"/>
      <c r="AV163" s="4"/>
      <c r="AW163" s="5818" t="str">
        <f t="shared" si="32"/>
        <v>►</v>
      </c>
      <c r="AX163" s="5950"/>
      <c r="AY163" s="5950"/>
      <c r="AZ163" s="5950"/>
      <c r="BA163" s="5950"/>
      <c r="BB163" s="5950"/>
      <c r="BC163" s="2"/>
      <c r="BD163"/>
      <c r="BE163"/>
      <c r="BF163"/>
      <c r="BG163"/>
      <c r="BH163"/>
      <c r="BI163"/>
      <c r="BJ163"/>
      <c r="BL163" s="1160"/>
      <c r="BM163"/>
      <c r="BN163"/>
      <c r="BO163"/>
      <c r="BP163"/>
      <c r="BQ163" s="141"/>
      <c r="BR163" s="409"/>
      <c r="BT163"/>
      <c r="BU163"/>
      <c r="BV163"/>
      <c r="BX163" s="5">
        <v>1</v>
      </c>
    </row>
    <row r="164" spans="1:76" s="1" customFormat="1" ht="21" customHeight="1">
      <c r="A164" s="5641" t="s">
        <v>1</v>
      </c>
      <c r="B164" s="5662" t="str">
        <f t="shared" si="36"/>
        <v>A</v>
      </c>
      <c r="C164" s="5825" cm="1">
        <f t="array" ref="C164">SUMPRODUCT(LEN(D164:J164))</f>
        <v>0</v>
      </c>
      <c r="D164" s="5275"/>
      <c r="E164" s="1361"/>
      <c r="F164" s="1361"/>
      <c r="G164" s="1361"/>
      <c r="H164" s="1361"/>
      <c r="I164" s="1361"/>
      <c r="J164" s="5276"/>
      <c r="K164" s="106" t="s">
        <v>1</v>
      </c>
      <c r="L164" s="5269" t="s">
        <v>21</v>
      </c>
      <c r="M164" s="1313" t="str">
        <f>M141</f>
        <v>Coller la-cellule-identité.C.Coulis de mangue</v>
      </c>
      <c r="N164" s="1313">
        <f>N141</f>
        <v>18</v>
      </c>
      <c r="O164" s="1313" t="str">
        <f>O141</f>
        <v>assiettes</v>
      </c>
      <c r="P164" s="1313" t="str">
        <f>P141</f>
        <v>Recette mère ► MILLE-FEUILLE meringue et chiboust pamplemousse aux fraises des bois</v>
      </c>
      <c r="Q164" s="1314" t="s">
        <v>218</v>
      </c>
      <c r="R164" s="1314">
        <v>11</v>
      </c>
      <c r="S164" s="1315" t="s">
        <v>1108</v>
      </c>
      <c r="T164" s="1316"/>
      <c r="U164" s="1316"/>
      <c r="V164" s="1317"/>
      <c r="W164" s="8541"/>
      <c r="X164" s="5957"/>
      <c r="Y164" s="5320"/>
      <c r="Z164" s="5320"/>
      <c r="AA164" s="5321" t="s">
        <v>1156</v>
      </c>
      <c r="AB164" s="5958" t="s">
        <v>1155</v>
      </c>
      <c r="AC164" s="5933" t="str">
        <f t="shared" si="44"/>
        <v>►</v>
      </c>
      <c r="AD164" s="5959" t="s">
        <v>946</v>
      </c>
      <c r="AE164" s="5935">
        <v>0.01</v>
      </c>
      <c r="AF164" s="5945"/>
      <c r="AG164" s="5945"/>
      <c r="AH164" s="5945"/>
      <c r="AI164" s="5945"/>
      <c r="AJ164" s="5945"/>
      <c r="AK164" s="5945"/>
      <c r="AL164" s="5945"/>
      <c r="AM164" s="5945"/>
      <c r="AN164" s="5945"/>
      <c r="AO164" s="5945"/>
      <c r="AP164" s="5945"/>
      <c r="AQ164" s="5945"/>
      <c r="AR164" s="5946"/>
      <c r="AS164" s="7383"/>
      <c r="AT164" s="4"/>
      <c r="AU164" s="4"/>
      <c r="AV164" s="4"/>
      <c r="AW164" s="5818" t="str">
        <f t="shared" si="32"/>
        <v>►</v>
      </c>
      <c r="AX164" s="5950"/>
      <c r="AY164" s="5950"/>
      <c r="AZ164" s="5950"/>
      <c r="BA164" s="5950"/>
      <c r="BB164" s="5950"/>
      <c r="BC164" s="2"/>
      <c r="BD164"/>
      <c r="BE164"/>
      <c r="BF164"/>
      <c r="BG164"/>
      <c r="BH164"/>
      <c r="BI164"/>
      <c r="BJ164"/>
      <c r="BL164" s="1160"/>
      <c r="BM164" s="6068"/>
      <c r="BN164" s="5320"/>
      <c r="BO164" s="5321" t="s">
        <v>1156</v>
      </c>
      <c r="BP164" s="6069" t="s">
        <v>8555</v>
      </c>
      <c r="BQ164" s="141"/>
      <c r="BR164" s="409"/>
      <c r="BT164"/>
      <c r="BU164"/>
      <c r="BV164"/>
      <c r="BX164" s="5">
        <v>1</v>
      </c>
    </row>
    <row r="165" spans="1:76" s="1" customFormat="1" ht="21" customHeight="1">
      <c r="A165" s="5641" t="s">
        <v>1</v>
      </c>
      <c r="B165" s="5662" t="str">
        <f t="shared" si="36"/>
        <v>A</v>
      </c>
      <c r="C165" s="5825" cm="1">
        <f t="array" ref="C165">SUMPRODUCT(LEN(D165:J165))</f>
        <v>0</v>
      </c>
      <c r="D165" s="5275"/>
      <c r="E165" s="1361"/>
      <c r="F165" s="1361"/>
      <c r="G165" s="1361"/>
      <c r="H165" s="1361"/>
      <c r="I165" s="1361"/>
      <c r="J165" s="5276"/>
      <c r="K165" s="106" t="s">
        <v>1</v>
      </c>
      <c r="L165" s="5270" t="s">
        <v>21</v>
      </c>
      <c r="M165" s="196" t="str">
        <f>M141</f>
        <v>Coller la-cellule-identité.C.Coulis de mangue</v>
      </c>
      <c r="N165" s="196">
        <f>N141</f>
        <v>18</v>
      </c>
      <c r="O165" s="196" t="str">
        <f>O141</f>
        <v>assiettes</v>
      </c>
      <c r="P165" s="196" t="str">
        <f>P141</f>
        <v>Recette mère ► MILLE-FEUILLE meringue et chiboust pamplemousse aux fraises des bois</v>
      </c>
      <c r="Q165" s="5815" t="s">
        <v>252</v>
      </c>
      <c r="R165" s="5271" t="s">
        <v>864</v>
      </c>
      <c r="S165" s="1321"/>
      <c r="T165" s="1321"/>
      <c r="U165" s="1321"/>
      <c r="V165" s="1321"/>
      <c r="W165" s="1321"/>
      <c r="X165" s="1322"/>
      <c r="Y165" s="5411"/>
      <c r="Z165" s="1266"/>
      <c r="AA165" s="1270" t="s">
        <v>1157</v>
      </c>
      <c r="AB165" s="5272" t="s">
        <v>1155</v>
      </c>
      <c r="AC165" s="5933" t="str">
        <f t="shared" si="44"/>
        <v>►</v>
      </c>
      <c r="AD165" s="5964" t="s">
        <v>8011</v>
      </c>
      <c r="AE165" s="5935">
        <v>0.1</v>
      </c>
      <c r="AF165" s="5945"/>
      <c r="AG165" s="5945"/>
      <c r="AH165" s="5945"/>
      <c r="AI165" s="5945"/>
      <c r="AJ165" s="5945"/>
      <c r="AK165" s="5945"/>
      <c r="AL165" s="5945"/>
      <c r="AM165" s="5945"/>
      <c r="AN165" s="5945"/>
      <c r="AO165" s="5945"/>
      <c r="AP165" s="5945"/>
      <c r="AQ165" s="5945"/>
      <c r="AR165" s="5946"/>
      <c r="AS165" s="7383"/>
      <c r="AT165" s="4"/>
      <c r="AU165" s="4"/>
      <c r="AV165" s="4"/>
      <c r="AW165" s="5818" t="str">
        <f t="shared" ref="AW165:AW228" si="45">AC165</f>
        <v>►</v>
      </c>
      <c r="AX165" s="5950"/>
      <c r="AY165" s="5950"/>
      <c r="AZ165" s="5950"/>
      <c r="BA165" s="5950"/>
      <c r="BB165" s="5950"/>
      <c r="BC165" s="2"/>
      <c r="BD165"/>
      <c r="BE165"/>
      <c r="BF165"/>
      <c r="BG165"/>
      <c r="BH165"/>
      <c r="BI165"/>
      <c r="BJ165"/>
      <c r="BL165" s="1160"/>
      <c r="BM165" s="5402"/>
      <c r="BN165" s="1266"/>
      <c r="BO165" s="1270" t="s">
        <v>1157</v>
      </c>
      <c r="BP165" s="6070" t="s">
        <v>1155</v>
      </c>
      <c r="BQ165" s="141"/>
      <c r="BR165" s="409"/>
      <c r="BT165"/>
      <c r="BU165"/>
      <c r="BV165"/>
      <c r="BX165" s="5">
        <v>1</v>
      </c>
    </row>
    <row r="166" spans="1:76" s="1" customFormat="1" ht="21" customHeight="1">
      <c r="A166" s="5641" t="s">
        <v>1</v>
      </c>
      <c r="B166" s="5662" t="str">
        <f t="shared" si="36"/>
        <v>►</v>
      </c>
      <c r="C166" s="5825" cm="1">
        <f t="array" ref="C166">SUMPRODUCT(LEN(D166:J166))</f>
        <v>0</v>
      </c>
      <c r="D166" s="5275"/>
      <c r="E166" s="1361"/>
      <c r="F166" s="1361"/>
      <c r="G166" s="1361"/>
      <c r="H166" s="1361"/>
      <c r="I166" s="1361"/>
      <c r="J166" s="5276"/>
      <c r="K166" s="106"/>
      <c r="L166" s="1021" t="str">
        <f t="shared" ref="L166:L176" si="46">IF(OR(Q166&lt;&gt;"",R166&lt;&gt; "",S166&lt;&gt;"",T166&lt;&gt;""),"A", "►")</f>
        <v>►</v>
      </c>
      <c r="M166" s="196" t="str">
        <f>M141</f>
        <v>Coller la-cellule-identité.C.Coulis de mangue</v>
      </c>
      <c r="N166" s="196">
        <f>N141</f>
        <v>18</v>
      </c>
      <c r="O166" s="196" t="str">
        <f>O141</f>
        <v>assiettes</v>
      </c>
      <c r="P166" s="196" t="str">
        <f>P141</f>
        <v>Recette mère ► MILLE-FEUILLE meringue et chiboust pamplemousse aux fraises des bois</v>
      </c>
      <c r="Q166" s="5275"/>
      <c r="R166" s="1320"/>
      <c r="S166" s="1320"/>
      <c r="T166" s="1320"/>
      <c r="U166" s="1320"/>
      <c r="V166" s="1320"/>
      <c r="W166" s="8501"/>
      <c r="X166" s="1324"/>
      <c r="Y166" s="141"/>
      <c r="Z166" s="141"/>
      <c r="AA166" s="5273" t="s">
        <v>1150</v>
      </c>
      <c r="AB166" s="5274">
        <v>3.472222222222222E-3</v>
      </c>
      <c r="AC166" s="5933" t="str">
        <f t="shared" si="44"/>
        <v>►</v>
      </c>
      <c r="AD166" s="5964" t="s">
        <v>124</v>
      </c>
      <c r="AE166" s="5935">
        <v>0.22500000000000001</v>
      </c>
      <c r="AF166" s="5945"/>
      <c r="AG166" s="5945"/>
      <c r="AH166" s="5945"/>
      <c r="AI166" s="5945"/>
      <c r="AJ166" s="5945"/>
      <c r="AK166" s="5945"/>
      <c r="AL166" s="5945"/>
      <c r="AM166" s="5945"/>
      <c r="AN166" s="5945"/>
      <c r="AO166" s="5945"/>
      <c r="AP166" s="5945"/>
      <c r="AQ166" s="5945"/>
      <c r="AR166" s="5946"/>
      <c r="AS166" s="7383"/>
      <c r="AT166" s="4"/>
      <c r="AU166" s="4"/>
      <c r="AV166" s="4"/>
      <c r="AW166" s="5818" t="str">
        <f t="shared" si="45"/>
        <v>►</v>
      </c>
      <c r="AX166" s="5950"/>
      <c r="AY166" s="5950"/>
      <c r="AZ166" s="5950"/>
      <c r="BA166" s="5950"/>
      <c r="BB166" s="5950"/>
      <c r="BC166" s="2"/>
      <c r="BD166"/>
      <c r="BE166"/>
      <c r="BF166"/>
      <c r="BG166"/>
      <c r="BH166"/>
      <c r="BI166"/>
      <c r="BJ166"/>
      <c r="BL166" s="1160"/>
      <c r="BM166" s="5394"/>
      <c r="BN166" s="141"/>
      <c r="BO166" s="5273" t="s">
        <v>1150</v>
      </c>
      <c r="BP166" s="6071">
        <v>1.7361111111111112E-2</v>
      </c>
      <c r="BQ166" s="141"/>
      <c r="BR166" s="409"/>
      <c r="BT166"/>
      <c r="BU166"/>
      <c r="BV166"/>
      <c r="BX166" s="5">
        <v>1</v>
      </c>
    </row>
    <row r="167" spans="1:76" s="1" customFormat="1" ht="21" customHeight="1">
      <c r="A167" s="5641" t="s">
        <v>1</v>
      </c>
      <c r="B167" s="5662" t="str">
        <f t="shared" si="36"/>
        <v>►</v>
      </c>
      <c r="C167" s="5825" cm="1">
        <f t="array" ref="C167">SUMPRODUCT(LEN(D167:J167))</f>
        <v>0</v>
      </c>
      <c r="D167" s="5275"/>
      <c r="E167" s="1361"/>
      <c r="F167" s="1361"/>
      <c r="G167" s="1361"/>
      <c r="H167" s="1361"/>
      <c r="I167" s="1361"/>
      <c r="J167" s="5276"/>
      <c r="K167" s="106"/>
      <c r="L167" s="1021" t="str">
        <f t="shared" si="46"/>
        <v>►</v>
      </c>
      <c r="M167" s="196" t="str">
        <f>M141</f>
        <v>Coller la-cellule-identité.C.Coulis de mangue</v>
      </c>
      <c r="N167" s="196">
        <f>N141</f>
        <v>18</v>
      </c>
      <c r="O167" s="196" t="str">
        <f>O141</f>
        <v>assiettes</v>
      </c>
      <c r="P167" s="196" t="str">
        <f>P141</f>
        <v>Recette mère ► MILLE-FEUILLE meringue et chiboust pamplemousse aux fraises des bois</v>
      </c>
      <c r="Q167" s="5275"/>
      <c r="R167" s="1361"/>
      <c r="S167" s="1361"/>
      <c r="T167" s="1361"/>
      <c r="U167" s="1361"/>
      <c r="V167" s="1361"/>
      <c r="W167" s="8502"/>
      <c r="X167" s="5276"/>
      <c r="Y167" s="141"/>
      <c r="Z167" s="141"/>
      <c r="AA167" s="5273" t="s">
        <v>1152</v>
      </c>
      <c r="AB167" s="5277">
        <v>1.0416666666666666E-2</v>
      </c>
      <c r="AC167" s="5933" t="str">
        <f t="shared" si="44"/>
        <v>►</v>
      </c>
      <c r="AD167" s="5964" t="s">
        <v>164</v>
      </c>
      <c r="AE167" s="5935">
        <v>0.25</v>
      </c>
      <c r="AF167" s="5945"/>
      <c r="AG167" s="5945"/>
      <c r="AH167" s="5945"/>
      <c r="AI167" s="5945"/>
      <c r="AJ167" s="5945"/>
      <c r="AK167" s="5945"/>
      <c r="AL167" s="5945"/>
      <c r="AM167" s="5945"/>
      <c r="AN167" s="5945"/>
      <c r="AO167" s="5945"/>
      <c r="AP167" s="5945"/>
      <c r="AQ167" s="5945"/>
      <c r="AR167" s="5946"/>
      <c r="AS167" s="7383"/>
      <c r="AT167" s="4"/>
      <c r="AU167" s="4"/>
      <c r="AV167" s="4"/>
      <c r="AW167" s="5818" t="str">
        <f t="shared" si="45"/>
        <v>►</v>
      </c>
      <c r="AX167" s="5950"/>
      <c r="AY167" s="5950"/>
      <c r="AZ167" s="5950"/>
      <c r="BA167" s="5950"/>
      <c r="BB167" s="5950"/>
      <c r="BC167" s="2"/>
      <c r="BD167"/>
      <c r="BE167"/>
      <c r="BF167"/>
      <c r="BG167"/>
      <c r="BH167"/>
      <c r="BI167"/>
      <c r="BJ167"/>
      <c r="BL167" s="1160"/>
      <c r="BM167" s="5394"/>
      <c r="BN167" s="141"/>
      <c r="BO167" s="5273" t="s">
        <v>1152</v>
      </c>
      <c r="BP167" s="6072">
        <v>1.0416666666666666E-2</v>
      </c>
      <c r="BQ167" s="141"/>
      <c r="BR167" s="409"/>
      <c r="BT167"/>
      <c r="BU167"/>
      <c r="BV167"/>
      <c r="BX167" s="5">
        <v>1</v>
      </c>
    </row>
    <row r="168" spans="1:76" s="1" customFormat="1" ht="21" customHeight="1">
      <c r="A168" s="5641" t="s">
        <v>1</v>
      </c>
      <c r="B168" s="5662" t="str">
        <f t="shared" si="36"/>
        <v>►</v>
      </c>
      <c r="C168" s="5825" cm="1">
        <f t="array" ref="C168">SUMPRODUCT(LEN(D168:J168))</f>
        <v>0</v>
      </c>
      <c r="D168" s="5275"/>
      <c r="E168" s="1361"/>
      <c r="F168" s="1361"/>
      <c r="G168" s="1361"/>
      <c r="H168" s="1361"/>
      <c r="I168" s="1361"/>
      <c r="J168" s="5276"/>
      <c r="K168" s="106"/>
      <c r="L168" s="1021" t="str">
        <f t="shared" si="46"/>
        <v>►</v>
      </c>
      <c r="M168" s="196" t="str">
        <f>M141</f>
        <v>Coller la-cellule-identité.C.Coulis de mangue</v>
      </c>
      <c r="N168" s="196">
        <f>N141</f>
        <v>18</v>
      </c>
      <c r="O168" s="196" t="str">
        <f>O141</f>
        <v>assiettes</v>
      </c>
      <c r="P168" s="196" t="str">
        <f>P141</f>
        <v>Recette mère ► MILLE-FEUILLE meringue et chiboust pamplemousse aux fraises des bois</v>
      </c>
      <c r="Q168" s="5275"/>
      <c r="R168" s="1361"/>
      <c r="S168" s="1361"/>
      <c r="T168" s="1361"/>
      <c r="U168" s="1361"/>
      <c r="V168" s="1361"/>
      <c r="W168" s="8502"/>
      <c r="X168" s="5276"/>
      <c r="Y168" s="141"/>
      <c r="Z168" s="141"/>
      <c r="AA168" s="5273" t="s">
        <v>8017</v>
      </c>
      <c r="AB168" s="5278">
        <v>2.0833333333333332E-2</v>
      </c>
      <c r="AC168" s="5933" t="str">
        <f t="shared" si="44"/>
        <v>►</v>
      </c>
      <c r="AD168" s="5964" t="s">
        <v>159</v>
      </c>
      <c r="AE168" s="5935">
        <v>0.5</v>
      </c>
      <c r="AF168" s="5945"/>
      <c r="AG168" s="5945"/>
      <c r="AH168" s="5945"/>
      <c r="AI168" s="5945"/>
      <c r="AJ168" s="5945"/>
      <c r="AK168" s="5945"/>
      <c r="AL168" s="5945"/>
      <c r="AM168" s="5945"/>
      <c r="AN168" s="5945"/>
      <c r="AO168" s="5945"/>
      <c r="AP168" s="5945"/>
      <c r="AQ168" s="5945"/>
      <c r="AR168" s="5946"/>
      <c r="AS168" s="7383"/>
      <c r="AT168" s="4"/>
      <c r="AU168" s="4"/>
      <c r="AV168" s="4"/>
      <c r="AW168" s="5818" t="str">
        <f t="shared" si="45"/>
        <v>►</v>
      </c>
      <c r="AX168" s="5950"/>
      <c r="AY168" s="5950"/>
      <c r="AZ168" s="5950"/>
      <c r="BA168" s="5950"/>
      <c r="BB168" s="5950"/>
      <c r="BC168" s="2"/>
      <c r="BD168"/>
      <c r="BE168"/>
      <c r="BF168"/>
      <c r="BG168"/>
      <c r="BH168"/>
      <c r="BI168"/>
      <c r="BJ168"/>
      <c r="BL168" s="1160"/>
      <c r="BM168" s="5394"/>
      <c r="BN168" s="141"/>
      <c r="BO168" s="5273" t="s">
        <v>8017</v>
      </c>
      <c r="BP168" s="6073">
        <v>6.25E-2</v>
      </c>
      <c r="BQ168" s="141"/>
      <c r="BR168" s="409"/>
      <c r="BT168"/>
      <c r="BU168"/>
      <c r="BV168"/>
      <c r="BX168" s="5">
        <v>1</v>
      </c>
    </row>
    <row r="169" spans="1:76" s="1" customFormat="1" ht="21" customHeight="1">
      <c r="A169" s="5641" t="s">
        <v>1</v>
      </c>
      <c r="B169" s="5662" t="str">
        <f t="shared" si="36"/>
        <v>►</v>
      </c>
      <c r="C169" s="5825" cm="1">
        <f t="array" ref="C169">SUMPRODUCT(LEN(D169:J169))</f>
        <v>0</v>
      </c>
      <c r="D169" s="5275"/>
      <c r="E169" s="1361"/>
      <c r="F169" s="1361"/>
      <c r="G169" s="1361"/>
      <c r="H169" s="1361"/>
      <c r="I169" s="1361"/>
      <c r="J169" s="5276"/>
      <c r="K169" s="106"/>
      <c r="L169" s="1021" t="str">
        <f t="shared" si="46"/>
        <v>►</v>
      </c>
      <c r="M169" s="196" t="str">
        <f>M141</f>
        <v>Coller la-cellule-identité.C.Coulis de mangue</v>
      </c>
      <c r="N169" s="196">
        <f>N141</f>
        <v>18</v>
      </c>
      <c r="O169" s="196" t="str">
        <f>O141</f>
        <v>assiettes</v>
      </c>
      <c r="P169" s="196" t="str">
        <f>P141</f>
        <v>Recette mère ► MILLE-FEUILLE meringue et chiboust pamplemousse aux fraises des bois</v>
      </c>
      <c r="Q169" s="5275"/>
      <c r="R169" s="1361"/>
      <c r="S169" s="1361"/>
      <c r="T169" s="1361"/>
      <c r="U169" s="1361"/>
      <c r="V169" s="1361"/>
      <c r="W169" s="8502"/>
      <c r="X169" s="5276"/>
      <c r="Y169" s="141"/>
      <c r="Z169" s="141"/>
      <c r="AA169" s="5279" t="s">
        <v>37</v>
      </c>
      <c r="AB169" s="5280">
        <f>AB166+AB167+AB168</f>
        <v>3.4722222222222224E-2</v>
      </c>
      <c r="AC169" s="5933" t="str">
        <f t="shared" si="44"/>
        <v>►</v>
      </c>
      <c r="AD169" s="5964" t="s">
        <v>8012</v>
      </c>
      <c r="AE169" s="5935">
        <v>0.33300000000000002</v>
      </c>
      <c r="AF169" s="5945"/>
      <c r="AG169" s="5945"/>
      <c r="AH169" s="5945"/>
      <c r="AI169" s="5945"/>
      <c r="AJ169" s="5945"/>
      <c r="AK169" s="5945"/>
      <c r="AL169" s="5945"/>
      <c r="AM169" s="5945"/>
      <c r="AN169" s="5945"/>
      <c r="AO169" s="5945"/>
      <c r="AP169" s="5945"/>
      <c r="AQ169" s="5945"/>
      <c r="AR169" s="5946"/>
      <c r="AS169" s="7383"/>
      <c r="AT169" s="4"/>
      <c r="AU169" s="4"/>
      <c r="AV169" s="4"/>
      <c r="AW169" s="5818" t="str">
        <f t="shared" si="45"/>
        <v>►</v>
      </c>
      <c r="AX169" s="5950"/>
      <c r="AY169" s="5950"/>
      <c r="AZ169" s="5950"/>
      <c r="BA169" s="5950"/>
      <c r="BB169" s="5950"/>
      <c r="BC169" s="2"/>
      <c r="BD169"/>
      <c r="BE169"/>
      <c r="BF169"/>
      <c r="BG169"/>
      <c r="BH169"/>
      <c r="BI169"/>
      <c r="BJ169"/>
      <c r="BL169" s="1160"/>
      <c r="BM169" s="5394"/>
      <c r="BN169" s="141"/>
      <c r="BO169" s="5279" t="s">
        <v>37</v>
      </c>
      <c r="BP169" s="6074">
        <f>BP166+BP167+BP168</f>
        <v>9.0277777777777776E-2</v>
      </c>
      <c r="BQ169" s="141"/>
      <c r="BR169" s="409"/>
      <c r="BT169"/>
      <c r="BU169"/>
      <c r="BV169"/>
      <c r="BX169" s="5">
        <v>1</v>
      </c>
    </row>
    <row r="170" spans="1:76" s="1" customFormat="1" ht="21" customHeight="1">
      <c r="A170" s="5641" t="s">
        <v>1</v>
      </c>
      <c r="B170" s="5662" t="str">
        <f t="shared" si="36"/>
        <v>►</v>
      </c>
      <c r="C170" s="5825" cm="1">
        <f t="array" ref="C170">SUMPRODUCT(LEN(D170:J170))</f>
        <v>0</v>
      </c>
      <c r="D170" s="5275"/>
      <c r="E170" s="1361"/>
      <c r="F170" s="1361"/>
      <c r="G170" s="1361"/>
      <c r="H170" s="1361"/>
      <c r="I170" s="1361"/>
      <c r="J170" s="5276"/>
      <c r="K170" s="106"/>
      <c r="L170" s="1021" t="str">
        <f t="shared" si="46"/>
        <v>►</v>
      </c>
      <c r="M170" s="196" t="str">
        <f>M141</f>
        <v>Coller la-cellule-identité.C.Coulis de mangue</v>
      </c>
      <c r="N170" s="196">
        <f>N141</f>
        <v>18</v>
      </c>
      <c r="O170" s="196" t="str">
        <f>O141</f>
        <v>assiettes</v>
      </c>
      <c r="P170" s="196" t="str">
        <f>P141</f>
        <v>Recette mère ► MILLE-FEUILLE meringue et chiboust pamplemousse aux fraises des bois</v>
      </c>
      <c r="Q170" s="5275"/>
      <c r="R170" s="1361"/>
      <c r="S170" s="1361"/>
      <c r="T170" s="1361"/>
      <c r="U170" s="1361"/>
      <c r="V170" s="1361"/>
      <c r="W170" s="8502"/>
      <c r="X170" s="5276"/>
      <c r="Y170" s="6896" t="s">
        <v>7498</v>
      </c>
      <c r="Z170" s="6897"/>
      <c r="AA170" s="6897"/>
      <c r="AB170" s="7150"/>
      <c r="AC170" s="5933" t="str">
        <f t="shared" si="44"/>
        <v>►</v>
      </c>
      <c r="AD170" s="5964" t="s">
        <v>8013</v>
      </c>
      <c r="AE170" s="5935">
        <v>0.2</v>
      </c>
      <c r="AF170" s="5945"/>
      <c r="AG170" s="5945"/>
      <c r="AH170" s="5945"/>
      <c r="AI170" s="5945"/>
      <c r="AJ170" s="5945"/>
      <c r="AK170" s="5945"/>
      <c r="AL170" s="5945"/>
      <c r="AM170" s="5945"/>
      <c r="AN170" s="5945"/>
      <c r="AO170" s="5945"/>
      <c r="AP170" s="5945"/>
      <c r="AQ170" s="5945"/>
      <c r="AR170" s="5946"/>
      <c r="AS170" s="7383"/>
      <c r="AT170" s="4"/>
      <c r="AU170" s="4"/>
      <c r="AV170" s="4"/>
      <c r="AW170" s="5818" t="str">
        <f t="shared" si="45"/>
        <v>►</v>
      </c>
      <c r="AX170" s="5950"/>
      <c r="AY170" s="5950"/>
      <c r="AZ170" s="5950"/>
      <c r="BA170" s="5950"/>
      <c r="BB170" s="5950"/>
      <c r="BC170" s="2"/>
      <c r="BD170"/>
      <c r="BE170"/>
      <c r="BF170"/>
      <c r="BG170"/>
      <c r="BH170"/>
      <c r="BI170"/>
      <c r="BJ170"/>
      <c r="BL170" s="1160"/>
      <c r="BM170" s="6896" t="s">
        <v>7498</v>
      </c>
      <c r="BN170" s="6897"/>
      <c r="BO170" s="6897"/>
      <c r="BP170" s="7150"/>
      <c r="BQ170" s="141"/>
      <c r="BR170" s="409"/>
      <c r="BT170"/>
      <c r="BU170"/>
      <c r="BV170"/>
      <c r="BX170" s="5">
        <v>1</v>
      </c>
    </row>
    <row r="171" spans="1:76" s="1" customFormat="1" ht="21" customHeight="1">
      <c r="A171" s="5641" t="s">
        <v>1</v>
      </c>
      <c r="B171" s="5662" t="str">
        <f t="shared" si="36"/>
        <v>►</v>
      </c>
      <c r="C171" s="5825" cm="1">
        <f t="array" ref="C171">SUMPRODUCT(LEN(D171:J171))</f>
        <v>0</v>
      </c>
      <c r="D171" s="5275"/>
      <c r="E171" s="1361"/>
      <c r="F171" s="1361"/>
      <c r="G171" s="1361"/>
      <c r="H171" s="1361"/>
      <c r="I171" s="1361"/>
      <c r="J171" s="5276"/>
      <c r="K171" s="106"/>
      <c r="L171" s="1021" t="str">
        <f t="shared" si="46"/>
        <v>►</v>
      </c>
      <c r="M171" s="196" t="str">
        <f>M141</f>
        <v>Coller la-cellule-identité.C.Coulis de mangue</v>
      </c>
      <c r="N171" s="196">
        <f>N141</f>
        <v>18</v>
      </c>
      <c r="O171" s="196" t="str">
        <f>O141</f>
        <v>assiettes</v>
      </c>
      <c r="P171" s="196" t="str">
        <f>P141</f>
        <v>Recette mère ► MILLE-FEUILLE meringue et chiboust pamplemousse aux fraises des bois</v>
      </c>
      <c r="Q171" s="5275"/>
      <c r="R171" s="1361"/>
      <c r="S171" s="1361"/>
      <c r="T171" s="1361"/>
      <c r="U171" s="1361"/>
      <c r="V171" s="1361"/>
      <c r="W171" s="8502"/>
      <c r="X171" s="5276"/>
      <c r="Y171" s="5281" t="s">
        <v>8018</v>
      </c>
      <c r="Z171" s="147"/>
      <c r="AA171" s="7151" t="s">
        <v>8019</v>
      </c>
      <c r="AB171" s="7152"/>
      <c r="AC171" s="5933" t="str">
        <f t="shared" si="44"/>
        <v>►</v>
      </c>
      <c r="AD171" s="5979" t="s">
        <v>130</v>
      </c>
      <c r="AE171" s="5949">
        <v>1E-3</v>
      </c>
      <c r="AF171" s="5945"/>
      <c r="AG171" s="5945"/>
      <c r="AH171" s="5945"/>
      <c r="AI171" s="5945"/>
      <c r="AJ171" s="5945"/>
      <c r="AK171" s="5945"/>
      <c r="AL171" s="5945"/>
      <c r="AM171" s="5945"/>
      <c r="AN171" s="5945"/>
      <c r="AO171" s="5945"/>
      <c r="AP171" s="5945"/>
      <c r="AQ171" s="5945"/>
      <c r="AR171" s="5946"/>
      <c r="AS171" s="7383"/>
      <c r="AT171" s="4"/>
      <c r="AU171" s="4"/>
      <c r="AV171" s="4"/>
      <c r="AW171" s="5818" t="str">
        <f t="shared" si="45"/>
        <v>►</v>
      </c>
      <c r="AX171" s="5950"/>
      <c r="AY171" s="5950"/>
      <c r="AZ171" s="5950"/>
      <c r="BA171" s="5950"/>
      <c r="BB171" s="5950"/>
      <c r="BC171" s="2"/>
      <c r="BD171"/>
      <c r="BE171"/>
      <c r="BF171"/>
      <c r="BG171"/>
      <c r="BH171"/>
      <c r="BI171"/>
      <c r="BJ171"/>
      <c r="BL171" s="1160"/>
      <c r="BM171" s="5281" t="s">
        <v>8018</v>
      </c>
      <c r="BN171" s="147"/>
      <c r="BO171" s="7151" t="s">
        <v>8019</v>
      </c>
      <c r="BP171" s="7152"/>
      <c r="BQ171" s="141"/>
      <c r="BR171" s="409"/>
      <c r="BT171"/>
      <c r="BU171"/>
      <c r="BV171"/>
      <c r="BX171" s="5">
        <v>1</v>
      </c>
    </row>
    <row r="172" spans="1:76" s="1" customFormat="1" ht="21" customHeight="1">
      <c r="A172" s="5641" t="s">
        <v>1</v>
      </c>
      <c r="B172" s="5662" t="str">
        <f t="shared" si="36"/>
        <v>►</v>
      </c>
      <c r="C172" s="5825" cm="1">
        <f t="array" ref="C172">SUMPRODUCT(LEN(D172:J172))</f>
        <v>0</v>
      </c>
      <c r="D172" s="5275"/>
      <c r="E172" s="1361"/>
      <c r="F172" s="1361"/>
      <c r="G172" s="1361"/>
      <c r="H172" s="1361"/>
      <c r="I172" s="1361"/>
      <c r="J172" s="5276"/>
      <c r="K172" s="106"/>
      <c r="L172" s="1021" t="str">
        <f t="shared" si="46"/>
        <v>►</v>
      </c>
      <c r="M172" s="196" t="str">
        <f>M141</f>
        <v>Coller la-cellule-identité.C.Coulis de mangue</v>
      </c>
      <c r="N172" s="196">
        <f>N141</f>
        <v>18</v>
      </c>
      <c r="O172" s="196" t="str">
        <f>O141</f>
        <v>assiettes</v>
      </c>
      <c r="P172" s="196" t="str">
        <f>P141</f>
        <v>Recette mère ► MILLE-FEUILLE meringue et chiboust pamplemousse aux fraises des bois</v>
      </c>
      <c r="Q172" s="5275"/>
      <c r="R172" s="1361"/>
      <c r="S172" s="1361"/>
      <c r="T172" s="1361"/>
      <c r="U172" s="1361"/>
      <c r="V172" s="1361"/>
      <c r="W172" s="8502"/>
      <c r="X172" s="5276"/>
      <c r="Y172" s="5282">
        <v>100</v>
      </c>
      <c r="Z172" s="147"/>
      <c r="AA172" s="6899" t="s">
        <v>8624</v>
      </c>
      <c r="AB172" s="7153"/>
      <c r="AC172" s="5933" t="str">
        <f t="shared" si="44"/>
        <v>►</v>
      </c>
      <c r="AD172" s="5980" t="s">
        <v>219</v>
      </c>
      <c r="AE172" s="5949">
        <v>1</v>
      </c>
      <c r="AF172" s="5945"/>
      <c r="AG172" s="5945"/>
      <c r="AH172" s="5945"/>
      <c r="AI172" s="5945"/>
      <c r="AJ172" s="5945"/>
      <c r="AK172" s="5945"/>
      <c r="AL172" s="5945"/>
      <c r="AM172" s="5945"/>
      <c r="AN172" s="5945"/>
      <c r="AO172" s="5945"/>
      <c r="AP172" s="5945"/>
      <c r="AQ172" s="5945"/>
      <c r="AR172" s="5946"/>
      <c r="AS172" s="7383"/>
      <c r="AT172" s="4"/>
      <c r="AU172" s="4"/>
      <c r="AV172" s="4"/>
      <c r="AW172" s="5818" t="str">
        <f t="shared" si="45"/>
        <v>►</v>
      </c>
      <c r="AX172" s="5950"/>
      <c r="AY172" s="5950"/>
      <c r="AZ172" s="5950"/>
      <c r="BA172" s="5950"/>
      <c r="BB172" s="5950"/>
      <c r="BC172" s="2"/>
      <c r="BD172"/>
      <c r="BE172"/>
      <c r="BF172"/>
      <c r="BG172"/>
      <c r="BH172"/>
      <c r="BI172"/>
      <c r="BJ172"/>
      <c r="BL172" s="1160"/>
      <c r="BM172" s="5282">
        <v>100</v>
      </c>
      <c r="BN172" s="147"/>
      <c r="BO172" s="6899" t="s">
        <v>157</v>
      </c>
      <c r="BP172" s="7153"/>
      <c r="BQ172" s="141"/>
      <c r="BR172" s="409"/>
      <c r="BT172"/>
      <c r="BU172"/>
      <c r="BV172"/>
      <c r="BX172" s="5">
        <v>1</v>
      </c>
    </row>
    <row r="173" spans="1:76" s="1" customFormat="1" ht="21" customHeight="1">
      <c r="A173" s="5641" t="s">
        <v>1</v>
      </c>
      <c r="B173" s="5662" t="str">
        <f t="shared" si="36"/>
        <v>►</v>
      </c>
      <c r="C173" s="5825" cm="1">
        <f t="array" ref="C173">SUMPRODUCT(LEN(D173:J173))</f>
        <v>0</v>
      </c>
      <c r="D173" s="5275"/>
      <c r="E173" s="1361"/>
      <c r="F173" s="1361"/>
      <c r="G173" s="1361"/>
      <c r="H173" s="1361"/>
      <c r="I173" s="1361"/>
      <c r="J173" s="5276"/>
      <c r="K173" s="106"/>
      <c r="L173" s="1021" t="str">
        <f t="shared" si="46"/>
        <v>►</v>
      </c>
      <c r="M173" s="196" t="str">
        <f>M141</f>
        <v>Coller la-cellule-identité.C.Coulis de mangue</v>
      </c>
      <c r="N173" s="196">
        <f>N141</f>
        <v>18</v>
      </c>
      <c r="O173" s="196" t="str">
        <f>O141</f>
        <v>assiettes</v>
      </c>
      <c r="P173" s="196" t="str">
        <f>P141</f>
        <v>Recette mère ► MILLE-FEUILLE meringue et chiboust pamplemousse aux fraises des bois</v>
      </c>
      <c r="Q173" s="5275"/>
      <c r="R173" s="1361"/>
      <c r="S173" s="1361"/>
      <c r="T173" s="1361"/>
      <c r="U173" s="1361"/>
      <c r="V173" s="1361"/>
      <c r="W173" s="8502"/>
      <c r="X173" s="5276"/>
      <c r="Y173" s="7379" t="s">
        <v>8625</v>
      </c>
      <c r="Z173" s="7155"/>
      <c r="AA173" s="5283" t="s">
        <v>8020</v>
      </c>
      <c r="AB173" s="5322"/>
      <c r="AC173" s="5933" t="str">
        <f>IF(COUNTIF(AH175:AO175,"&lt;&gt;")+COUNTIF(AQ175:AR175,"&lt;&gt;")&gt;0,"A","►")</f>
        <v>►</v>
      </c>
      <c r="AD173" s="5984" t="s">
        <v>188</v>
      </c>
      <c r="AE173" s="5949">
        <v>0.25</v>
      </c>
      <c r="AF173" s="5805"/>
      <c r="AG173" s="5805"/>
      <c r="AH173" s="5805"/>
      <c r="AI173" s="5985" t="s">
        <v>8570</v>
      </c>
      <c r="AJ173" s="5805"/>
      <c r="AK173" s="5805"/>
      <c r="AL173" s="5804"/>
      <c r="AM173" s="5805"/>
      <c r="AN173" s="5805"/>
      <c r="AO173" s="5804"/>
      <c r="AP173" s="5788"/>
      <c r="AQ173" s="5788"/>
      <c r="AR173" s="5898"/>
      <c r="AS173" s="7383"/>
      <c r="AT173" s="4"/>
      <c r="AU173" s="4"/>
      <c r="AV173" s="4"/>
      <c r="AW173" s="5818" t="str">
        <f t="shared" si="45"/>
        <v>►</v>
      </c>
      <c r="AX173" s="5950"/>
      <c r="AY173" s="5950"/>
      <c r="AZ173" s="5950"/>
      <c r="BA173" s="5950"/>
      <c r="BB173" s="5950"/>
      <c r="BC173" s="2"/>
      <c r="BD173"/>
      <c r="BE173"/>
      <c r="BF173"/>
      <c r="BG173"/>
      <c r="BH173"/>
      <c r="BI173"/>
      <c r="BJ173"/>
      <c r="BL173" s="1160"/>
      <c r="BM173" s="7379" t="s">
        <v>8569</v>
      </c>
      <c r="BN173" s="7155"/>
      <c r="BO173" s="5283" t="s">
        <v>8020</v>
      </c>
      <c r="BP173" s="5322"/>
      <c r="BQ173" s="141"/>
      <c r="BR173" s="409"/>
      <c r="BT173"/>
      <c r="BU173"/>
      <c r="BV173"/>
      <c r="BX173" s="5">
        <v>1</v>
      </c>
    </row>
    <row r="174" spans="1:76" s="1" customFormat="1" ht="21" customHeight="1">
      <c r="A174" s="5641" t="s">
        <v>1</v>
      </c>
      <c r="B174" s="5662" t="str">
        <f t="shared" si="36"/>
        <v>►</v>
      </c>
      <c r="C174" s="5825" cm="1">
        <f t="array" ref="C174">SUMPRODUCT(LEN(D174:J174))</f>
        <v>0</v>
      </c>
      <c r="D174" s="5275"/>
      <c r="E174" s="1361"/>
      <c r="F174" s="1361"/>
      <c r="G174" s="1361"/>
      <c r="H174" s="1361"/>
      <c r="I174" s="1361"/>
      <c r="J174" s="5276"/>
      <c r="K174" s="106"/>
      <c r="L174" s="1021" t="str">
        <f t="shared" si="46"/>
        <v>►</v>
      </c>
      <c r="M174" s="196" t="str">
        <f>M141</f>
        <v>Coller la-cellule-identité.C.Coulis de mangue</v>
      </c>
      <c r="N174" s="196">
        <f>N141</f>
        <v>18</v>
      </c>
      <c r="O174" s="196" t="str">
        <f>O141</f>
        <v>assiettes</v>
      </c>
      <c r="P174" s="196" t="str">
        <f>P141</f>
        <v>Recette mère ► MILLE-FEUILLE meringue et chiboust pamplemousse aux fraises des bois</v>
      </c>
      <c r="Q174" s="5275"/>
      <c r="R174" s="1361"/>
      <c r="S174" s="1361"/>
      <c r="T174" s="1361"/>
      <c r="U174" s="1361"/>
      <c r="V174" s="1361"/>
      <c r="W174" s="8502"/>
      <c r="X174" s="5276"/>
      <c r="Y174" s="5284"/>
      <c r="Z174" s="5285" t="s">
        <v>8021</v>
      </c>
      <c r="AA174" s="5286"/>
      <c r="AB174" s="5323">
        <f>Y174*Y172</f>
        <v>0</v>
      </c>
      <c r="AC174" s="5817" t="s">
        <v>21</v>
      </c>
      <c r="AD174" s="5984" t="s">
        <v>176</v>
      </c>
      <c r="AE174" s="5949">
        <v>0.33332999999999996</v>
      </c>
      <c r="AF174" s="5804"/>
      <c r="AG174" s="5987">
        <v>0</v>
      </c>
      <c r="AH174" s="5988" t="s">
        <v>8571</v>
      </c>
      <c r="AI174" s="5988"/>
      <c r="AJ174" s="5989"/>
      <c r="AK174" s="5988"/>
      <c r="AL174" s="5990"/>
      <c r="AM174" s="5991"/>
      <c r="AN174" s="5991"/>
      <c r="AO174" s="5990"/>
      <c r="AP174" s="5987">
        <v>0</v>
      </c>
      <c r="AQ174" s="5992" t="s">
        <v>8572</v>
      </c>
      <c r="AR174" s="5993"/>
      <c r="AS174" s="7383"/>
      <c r="AT174" s="4"/>
      <c r="AU174" s="4"/>
      <c r="AV174" s="4"/>
      <c r="AW174" s="5818" t="str">
        <f t="shared" si="45"/>
        <v>A</v>
      </c>
      <c r="AX174" s="5950"/>
      <c r="AY174" s="5950"/>
      <c r="AZ174" s="5950"/>
      <c r="BA174" s="5950"/>
      <c r="BB174" s="5950"/>
      <c r="BC174" s="2"/>
      <c r="BD174"/>
      <c r="BE174"/>
      <c r="BF174"/>
      <c r="BG174"/>
      <c r="BH174"/>
      <c r="BI174"/>
      <c r="BJ174"/>
      <c r="BL174" s="1160"/>
      <c r="BM174" s="5284">
        <v>1</v>
      </c>
      <c r="BN174" s="5285" t="s">
        <v>8021</v>
      </c>
      <c r="BO174" s="5286"/>
      <c r="BP174" s="5323">
        <f>BM174*BM172</f>
        <v>100</v>
      </c>
      <c r="BQ174" s="141"/>
      <c r="BR174" s="409"/>
      <c r="BT174"/>
      <c r="BU174"/>
      <c r="BV174"/>
      <c r="BX174" s="5">
        <v>1</v>
      </c>
    </row>
    <row r="175" spans="1:76" s="1" customFormat="1" ht="21" customHeight="1">
      <c r="A175" s="5641" t="s">
        <v>1</v>
      </c>
      <c r="B175" s="5662" t="str">
        <f t="shared" si="36"/>
        <v>►</v>
      </c>
      <c r="C175" s="5825" cm="1">
        <f t="array" ref="C175">SUMPRODUCT(LEN(D175:J175))</f>
        <v>0</v>
      </c>
      <c r="D175" s="5275"/>
      <c r="E175" s="1361"/>
      <c r="F175" s="1361"/>
      <c r="G175" s="1361"/>
      <c r="H175" s="1361"/>
      <c r="I175" s="1361"/>
      <c r="J175" s="5276"/>
      <c r="K175" s="106"/>
      <c r="L175" s="1021" t="str">
        <f t="shared" si="46"/>
        <v>►</v>
      </c>
      <c r="M175" s="196" t="str">
        <f>M141</f>
        <v>Coller la-cellule-identité.C.Coulis de mangue</v>
      </c>
      <c r="N175" s="196">
        <f>N141</f>
        <v>18</v>
      </c>
      <c r="O175" s="196" t="str">
        <f>O141</f>
        <v>assiettes</v>
      </c>
      <c r="P175" s="196" t="str">
        <f>P141</f>
        <v>Recette mère ► MILLE-FEUILLE meringue et chiboust pamplemousse aux fraises des bois</v>
      </c>
      <c r="Q175" s="5275"/>
      <c r="R175" s="1361"/>
      <c r="S175" s="1361"/>
      <c r="T175" s="1361"/>
      <c r="U175" s="1361"/>
      <c r="V175" s="1361"/>
      <c r="W175" s="8502"/>
      <c r="X175" s="5276"/>
      <c r="Y175" s="5287"/>
      <c r="Z175" s="920" t="str">
        <f>"&lt; Nb "&amp;AA172&amp;" dans 1 " &amp;Y173</f>
        <v>&lt; Nb coulis mangue dans 1 gastro 1/2</v>
      </c>
      <c r="AA175" s="5288"/>
      <c r="AB175" s="5323"/>
      <c r="AC175" s="5933" t="str">
        <f>IF(COUNTIF(AH175:AO175,"&lt;&gt;")+COUNTIF(AQ175:AR175,"&lt;&gt;")&gt;0,"A","►")</f>
        <v>►</v>
      </c>
      <c r="AD175" s="5984" t="s">
        <v>179</v>
      </c>
      <c r="AE175" s="5949">
        <v>0.5</v>
      </c>
      <c r="AF175" s="5804"/>
      <c r="AG175" s="5994" t="str">
        <f>IF(COUNTIF(AH175:AJ175,"&lt;&gt;")=0,"",MAX(AG174:AG174)+1)</f>
        <v/>
      </c>
      <c r="AH175" s="5995"/>
      <c r="AI175" s="5995"/>
      <c r="AJ175" s="5995"/>
      <c r="AK175" s="5995"/>
      <c r="AL175" s="5995"/>
      <c r="AM175" s="5995"/>
      <c r="AN175" s="5995"/>
      <c r="AO175" s="5995"/>
      <c r="AP175" s="5994" t="str">
        <f>IF(COUNTIF(AQ175:AR175,"&lt;&gt;")=0,"",MAX(AP174:AP174)+1)</f>
        <v/>
      </c>
      <c r="AQ175" s="5996"/>
      <c r="AR175" s="5997"/>
      <c r="AS175" s="7383"/>
      <c r="AT175" s="4"/>
      <c r="AU175" s="4"/>
      <c r="AV175" s="4"/>
      <c r="AW175" s="5818" t="str">
        <f t="shared" si="45"/>
        <v>►</v>
      </c>
      <c r="AX175" s="5950"/>
      <c r="AY175" s="5950"/>
      <c r="AZ175" s="5950"/>
      <c r="BA175" s="5950"/>
      <c r="BB175" s="5950"/>
      <c r="BC175" s="2"/>
      <c r="BD175"/>
      <c r="BE175"/>
      <c r="BF175"/>
      <c r="BG175"/>
      <c r="BH175"/>
      <c r="BI175"/>
      <c r="BJ175"/>
      <c r="BL175" s="1160"/>
      <c r="BM175" s="5287">
        <v>12</v>
      </c>
      <c r="BN175" s="920" t="str">
        <f>"&lt; Nb "&amp;BO172&amp;" dans 1 " &amp;BM173</f>
        <v>&lt; Nb assiettes dans 1 gastro 1/1</v>
      </c>
      <c r="BO175" s="5288"/>
      <c r="BP175" s="5323"/>
      <c r="BQ175" s="141"/>
      <c r="BR175" s="409"/>
      <c r="BT175"/>
      <c r="BU175"/>
      <c r="BV175"/>
      <c r="BX175" s="5">
        <v>1</v>
      </c>
    </row>
    <row r="176" spans="1:76" s="1" customFormat="1" ht="21" customHeight="1">
      <c r="A176" s="5641" t="s">
        <v>1</v>
      </c>
      <c r="B176" s="5662" t="str">
        <f t="shared" si="36"/>
        <v>►</v>
      </c>
      <c r="C176" s="5825" cm="1">
        <f t="array" ref="C176">SUMPRODUCT(LEN(D176:J176))</f>
        <v>0</v>
      </c>
      <c r="D176" s="5275"/>
      <c r="E176" s="1361"/>
      <c r="F176" s="1361"/>
      <c r="G176" s="1361"/>
      <c r="H176" s="1361"/>
      <c r="I176" s="1361"/>
      <c r="J176" s="5276"/>
      <c r="K176" s="106"/>
      <c r="L176" s="1021" t="str">
        <f t="shared" si="46"/>
        <v>►</v>
      </c>
      <c r="M176" s="196" t="str">
        <f>M141</f>
        <v>Coller la-cellule-identité.C.Coulis de mangue</v>
      </c>
      <c r="N176" s="196">
        <f>N141</f>
        <v>18</v>
      </c>
      <c r="O176" s="196" t="str">
        <f>O141</f>
        <v>assiettes</v>
      </c>
      <c r="P176" s="196" t="str">
        <f>P141</f>
        <v>Recette mère ► MILLE-FEUILLE meringue et chiboust pamplemousse aux fraises des bois</v>
      </c>
      <c r="Q176" s="5275"/>
      <c r="R176" s="1361"/>
      <c r="S176" s="1361"/>
      <c r="T176" s="1361"/>
      <c r="U176" s="1361"/>
      <c r="V176" s="1361"/>
      <c r="W176" s="8502"/>
      <c r="X176" s="5276"/>
      <c r="Y176" s="7167" t="str">
        <f>IF(OR(Y175="",AB174=0),"",INT(AB174/Y175) &amp; " " &amp; Y173 &amp; " de " &amp; Y175 &amp; " " &amp; AA172 &amp; IF(MOD(AB174,Y175)&gt;0," + 1 " &amp; Y173 &amp; " de " &amp; TEXT(MOD(AB174,Y175),"0.00") &amp; " " &amp; AA172,""))</f>
        <v/>
      </c>
      <c r="Z176" s="7168"/>
      <c r="AA176" s="7168"/>
      <c r="AB176" s="7169"/>
      <c r="AC176" s="5933" t="str">
        <f t="shared" ref="AC176:AC181" si="47">IF(COUNTIF(AH176:AO176,"&lt;&gt;")+COUNTIF(AQ176:AR176,"&lt;&gt;")&gt;0,"A","►")</f>
        <v>A</v>
      </c>
      <c r="AD176" s="5999" t="s">
        <v>122</v>
      </c>
      <c r="AE176" s="5949">
        <v>2.835E-2</v>
      </c>
      <c r="AF176" s="5804"/>
      <c r="AG176" s="5994">
        <f>IF(COUNTIF(AH176:AJ176,"&lt;&gt;")=0,"",MAX(AG174:AG175)+1)</f>
        <v>1</v>
      </c>
      <c r="AH176" s="5995" t="s">
        <v>8573</v>
      </c>
      <c r="AI176" s="5995"/>
      <c r="AJ176" s="5995"/>
      <c r="AK176" s="5995"/>
      <c r="AL176" s="5995"/>
      <c r="AM176" s="5995"/>
      <c r="AN176" s="5995"/>
      <c r="AO176" s="5995"/>
      <c r="AP176" s="5994">
        <f>IF(COUNTIF(AQ176:AR176,"&lt;&gt;")=0,"",MAX(AP174:AP175)+1)</f>
        <v>1</v>
      </c>
      <c r="AQ176" s="5996" t="s">
        <v>8574</v>
      </c>
      <c r="AR176" s="5997"/>
      <c r="AS176" s="7383"/>
      <c r="AT176" s="4"/>
      <c r="AU176" s="4"/>
      <c r="AV176" s="4"/>
      <c r="AW176" s="5818" t="str">
        <f t="shared" si="45"/>
        <v>A</v>
      </c>
      <c r="AX176" s="5950"/>
      <c r="AY176" s="5950"/>
      <c r="AZ176" s="5950"/>
      <c r="BA176" s="5950"/>
      <c r="BB176" s="5950"/>
      <c r="BC176" s="2"/>
      <c r="BD176"/>
      <c r="BE176"/>
      <c r="BF176"/>
      <c r="BG176"/>
      <c r="BH176"/>
      <c r="BI176"/>
      <c r="BJ176"/>
      <c r="BL176" s="1160"/>
      <c r="BM176" s="7167" t="str">
        <f>IF(OR(BM175="",BP174=0),"",INT(BP174/BM175) &amp; " " &amp; BM173 &amp; " de " &amp; BM175 &amp; " " &amp; BO172 &amp; IF(MOD(BP174,BM175)&gt;0," + 1 " &amp; BM173 &amp; " de " &amp; TEXT(MOD(BP174,BM175),"0.00") &amp; " " &amp; BO172,""))</f>
        <v>8 gastro 1/1 de 12 assiettes + 1 gastro 1/1 de 4.00 assiettes</v>
      </c>
      <c r="BN176" s="7168"/>
      <c r="BO176" s="7168"/>
      <c r="BP176" s="7169"/>
      <c r="BQ176" s="141"/>
      <c r="BR176" s="409"/>
      <c r="BT176"/>
      <c r="BU176"/>
      <c r="BV176"/>
      <c r="BX176" s="5">
        <v>1</v>
      </c>
    </row>
    <row r="177" spans="1:76" s="1" customFormat="1" ht="21" customHeight="1">
      <c r="A177" s="5641" t="s">
        <v>1</v>
      </c>
      <c r="B177" s="5662" t="str">
        <f t="shared" si="36"/>
        <v>►</v>
      </c>
      <c r="C177" s="5825" cm="1">
        <f t="array" ref="C177">SUMPRODUCT(LEN(D177:J177))</f>
        <v>0</v>
      </c>
      <c r="D177" s="5275"/>
      <c r="E177" s="1361"/>
      <c r="F177" s="1361"/>
      <c r="G177" s="1361"/>
      <c r="H177" s="1361"/>
      <c r="I177" s="1361"/>
      <c r="J177" s="5276"/>
      <c r="K177" s="106"/>
      <c r="L177" s="5289" t="s">
        <v>26</v>
      </c>
      <c r="M177" s="196" t="str">
        <f>M141</f>
        <v>Coller la-cellule-identité.C.Coulis de mangue</v>
      </c>
      <c r="N177" s="196">
        <f>N141</f>
        <v>18</v>
      </c>
      <c r="O177" s="196" t="str">
        <f>O141</f>
        <v>assiettes</v>
      </c>
      <c r="P177" s="196" t="str">
        <f>P141</f>
        <v>Recette mère ► MILLE-FEUILLE meringue et chiboust pamplemousse aux fraises des bois</v>
      </c>
      <c r="Q177" s="5290" t="s">
        <v>1112</v>
      </c>
      <c r="R177" s="1361"/>
      <c r="S177" s="1361"/>
      <c r="T177" s="1361"/>
      <c r="U177" s="1361"/>
      <c r="V177" s="1361"/>
      <c r="W177" s="8503"/>
      <c r="X177" s="5291"/>
      <c r="Y177" s="7170"/>
      <c r="Z177" s="7171"/>
      <c r="AA177" s="7171"/>
      <c r="AB177" s="7172"/>
      <c r="AC177" s="5933" t="str">
        <f t="shared" si="47"/>
        <v>►</v>
      </c>
      <c r="AD177" s="5999" t="s">
        <v>113</v>
      </c>
      <c r="AE177" s="5949">
        <v>0.13</v>
      </c>
      <c r="AF177" s="5804"/>
      <c r="AG177" s="5994" t="str">
        <f>IF(COUNTIF(AH177:AJ177,"&lt;&gt;")=0,"",MAX(AG174:AG176)+1)</f>
        <v/>
      </c>
      <c r="AH177" s="5995"/>
      <c r="AI177" s="5995"/>
      <c r="AJ177" s="5995"/>
      <c r="AK177" s="5995"/>
      <c r="AL177" s="5995"/>
      <c r="AM177" s="5995"/>
      <c r="AN177" s="5995"/>
      <c r="AO177" s="5995"/>
      <c r="AP177" s="5994" t="str">
        <f>IF(COUNTIF(AQ177:AR177,"&lt;&gt;")=0,"",MAX(AP174:AP176)+1)</f>
        <v/>
      </c>
      <c r="AQ177" s="5996"/>
      <c r="AR177" s="5997"/>
      <c r="AS177" s="7383"/>
      <c r="AT177" s="4"/>
      <c r="AU177" s="4"/>
      <c r="AV177" s="4"/>
      <c r="AW177" s="5818" t="str">
        <f t="shared" si="45"/>
        <v>►</v>
      </c>
      <c r="AX177" s="5950"/>
      <c r="AY177" s="5950"/>
      <c r="AZ177" s="5950"/>
      <c r="BA177" s="5950"/>
      <c r="BB177" s="5950"/>
      <c r="BC177" s="2"/>
      <c r="BD177"/>
      <c r="BE177"/>
      <c r="BF177"/>
      <c r="BG177"/>
      <c r="BH177"/>
      <c r="BI177"/>
      <c r="BJ177"/>
      <c r="BL177" s="1160"/>
      <c r="BM177" s="7170"/>
      <c r="BN177" s="7171"/>
      <c r="BO177" s="7171"/>
      <c r="BP177" s="7172"/>
      <c r="BQ177" s="141"/>
      <c r="BR177" s="409"/>
      <c r="BT177"/>
      <c r="BU177"/>
      <c r="BV177"/>
      <c r="BX177" s="5">
        <v>1</v>
      </c>
    </row>
    <row r="178" spans="1:76" s="1" customFormat="1" ht="21" customHeight="1">
      <c r="A178" s="5641" t="s">
        <v>1</v>
      </c>
      <c r="B178" s="5662" t="str">
        <f t="shared" si="36"/>
        <v>A</v>
      </c>
      <c r="C178" s="5825" cm="1">
        <f t="array" ref="C178">SUMPRODUCT(LEN(D178:J178))</f>
        <v>0</v>
      </c>
      <c r="D178" s="5275"/>
      <c r="E178" s="1361"/>
      <c r="F178" s="1361"/>
      <c r="G178" s="1361"/>
      <c r="H178" s="1361"/>
      <c r="I178" s="1361"/>
      <c r="J178" s="5276"/>
      <c r="K178" s="106"/>
      <c r="L178" s="5289" t="s">
        <v>21</v>
      </c>
      <c r="M178" s="196" t="str">
        <f>M141</f>
        <v>Coller la-cellule-identité.C.Coulis de mangue</v>
      </c>
      <c r="N178" s="196">
        <f>N141</f>
        <v>18</v>
      </c>
      <c r="O178" s="196" t="str">
        <f>O141</f>
        <v>assiettes</v>
      </c>
      <c r="P178" s="196" t="str">
        <f>P141</f>
        <v>Recette mère ► MILLE-FEUILLE meringue et chiboust pamplemousse aux fraises des bois</v>
      </c>
      <c r="Q178" s="5292" t="s">
        <v>8022</v>
      </c>
      <c r="R178" s="988"/>
      <c r="S178" s="988"/>
      <c r="T178" s="988"/>
      <c r="U178" s="988"/>
      <c r="V178" s="988"/>
      <c r="W178" s="8504"/>
      <c r="X178" s="1325"/>
      <c r="Y178" s="5293">
        <v>18</v>
      </c>
      <c r="Z178" s="77" t="s">
        <v>8023</v>
      </c>
      <c r="AA178" s="147"/>
      <c r="AB178" s="5324">
        <f>(Y178*Y172)/1000</f>
        <v>1.8</v>
      </c>
      <c r="AC178" s="5933" t="str">
        <f t="shared" si="47"/>
        <v>►</v>
      </c>
      <c r="AD178" s="5999" t="s">
        <v>112</v>
      </c>
      <c r="AE178" s="5949">
        <v>0.2</v>
      </c>
      <c r="AF178" s="5804"/>
      <c r="AG178" s="5994" t="str">
        <f>IF(COUNTIF(AH178:AJ178,"&lt;&gt;")=0,"",MAX(AG174:AG177)+1)</f>
        <v/>
      </c>
      <c r="AH178" s="5995"/>
      <c r="AI178" s="5995"/>
      <c r="AJ178" s="5995"/>
      <c r="AK178" s="5995"/>
      <c r="AL178" s="5995"/>
      <c r="AM178" s="5995"/>
      <c r="AN178" s="5995"/>
      <c r="AO178" s="5995"/>
      <c r="AP178" s="5994" t="str">
        <f>IF(COUNTIF(AQ178:AR178,"&lt;&gt;")=0,"",MAX(AP174:AP177)+1)</f>
        <v/>
      </c>
      <c r="AQ178" s="5996"/>
      <c r="AR178" s="5997"/>
      <c r="AS178" s="7383"/>
      <c r="AT178" s="4"/>
      <c r="AU178" s="4"/>
      <c r="AV178" s="4"/>
      <c r="AW178" s="5818" t="str">
        <f t="shared" si="45"/>
        <v>►</v>
      </c>
      <c r="AX178" s="5950"/>
      <c r="AY178" s="5950"/>
      <c r="AZ178" s="5950"/>
      <c r="BA178" s="5950"/>
      <c r="BB178" s="5950"/>
      <c r="BC178" s="2"/>
      <c r="BD178"/>
      <c r="BE178"/>
      <c r="BF178"/>
      <c r="BG178"/>
      <c r="BH178"/>
      <c r="BI178"/>
      <c r="BJ178"/>
      <c r="BL178" s="1160"/>
      <c r="BM178" s="5293">
        <v>18</v>
      </c>
      <c r="BN178" s="77" t="s">
        <v>8023</v>
      </c>
      <c r="BO178" s="147"/>
      <c r="BP178" s="5324">
        <f>(BM178*BM172)/1000</f>
        <v>1.8</v>
      </c>
      <c r="BQ178" s="141"/>
      <c r="BR178" s="409"/>
      <c r="BT178"/>
      <c r="BU178"/>
      <c r="BV178"/>
      <c r="BX178" s="5">
        <v>1</v>
      </c>
    </row>
    <row r="179" spans="1:76" s="1" customFormat="1" ht="21" customHeight="1">
      <c r="A179" s="5641" t="s">
        <v>1</v>
      </c>
      <c r="B179" s="5662" t="str">
        <f t="shared" si="36"/>
        <v>A</v>
      </c>
      <c r="C179" s="5825" cm="1">
        <f t="array" ref="C179">SUMPRODUCT(LEN(D179:J179))</f>
        <v>0</v>
      </c>
      <c r="D179" s="5275"/>
      <c r="E179" s="1361"/>
      <c r="F179" s="1361"/>
      <c r="G179" s="1361"/>
      <c r="H179" s="1361"/>
      <c r="I179" s="1361"/>
      <c r="J179" s="5276"/>
      <c r="K179" s="106"/>
      <c r="L179" s="5289" t="s">
        <v>21</v>
      </c>
      <c r="M179" s="196" t="str">
        <f>M141</f>
        <v>Coller la-cellule-identité.C.Coulis de mangue</v>
      </c>
      <c r="N179" s="196">
        <f>N141</f>
        <v>18</v>
      </c>
      <c r="O179" s="196" t="str">
        <f>O141</f>
        <v>assiettes</v>
      </c>
      <c r="P179" s="196" t="str">
        <f>P141</f>
        <v>Recette mère ► MILLE-FEUILLE meringue et chiboust pamplemousse aux fraises des bois</v>
      </c>
      <c r="Q179" s="5294" t="s">
        <v>8024</v>
      </c>
      <c r="R179" s="1449"/>
      <c r="S179" s="1449"/>
      <c r="T179" s="1449"/>
      <c r="U179" s="1449"/>
      <c r="V179" s="1449"/>
      <c r="W179" s="5410"/>
      <c r="X179" s="5295"/>
      <c r="Y179" s="5296">
        <v>0.5</v>
      </c>
      <c r="Z179" s="5297" t="str">
        <f>"poids par "&amp; Y173</f>
        <v>poids par gastro 1/2</v>
      </c>
      <c r="AA179" s="147"/>
      <c r="AB179" s="5322"/>
      <c r="AC179" s="5933" t="str">
        <f t="shared" si="47"/>
        <v>►</v>
      </c>
      <c r="AD179" s="5999" t="s">
        <v>8015</v>
      </c>
      <c r="AE179" s="5949">
        <v>0.23</v>
      </c>
      <c r="AF179" s="5804"/>
      <c r="AG179" s="5994" t="str">
        <f>IF(COUNTIF(AH179:AJ179,"&lt;&gt;")=0,"",MAX(AG174:AG178)+1)</f>
        <v/>
      </c>
      <c r="AH179" s="5995"/>
      <c r="AI179" s="5995"/>
      <c r="AJ179" s="5995"/>
      <c r="AK179" s="5995"/>
      <c r="AL179" s="5995"/>
      <c r="AM179" s="5995"/>
      <c r="AN179" s="5995"/>
      <c r="AO179" s="5995"/>
      <c r="AP179" s="5994" t="str">
        <f>IF(COUNTIF(AQ179:AR179,"&lt;&gt;")=0,"",MAX(AP174:AP178)+1)</f>
        <v/>
      </c>
      <c r="AQ179" s="5996"/>
      <c r="AR179" s="5997"/>
      <c r="AS179" s="7383"/>
      <c r="AT179" s="4"/>
      <c r="AU179" s="4"/>
      <c r="AV179" s="4"/>
      <c r="AW179" s="5818" t="str">
        <f t="shared" si="45"/>
        <v>►</v>
      </c>
      <c r="AX179" s="5950"/>
      <c r="AY179" s="5950"/>
      <c r="AZ179" s="5950"/>
      <c r="BA179" s="5950"/>
      <c r="BB179" s="5950"/>
      <c r="BC179" s="2"/>
      <c r="BD179"/>
      <c r="BE179"/>
      <c r="BF179"/>
      <c r="BG179"/>
      <c r="BH179"/>
      <c r="BI179"/>
      <c r="BJ179"/>
      <c r="BL179" s="1160"/>
      <c r="BM179" s="5296">
        <v>1.1200000000000001</v>
      </c>
      <c r="BN179" s="5297" t="str">
        <f>"poids par "&amp; BM173</f>
        <v>poids par gastro 1/1</v>
      </c>
      <c r="BO179" s="147"/>
      <c r="BP179" s="5322"/>
      <c r="BQ179" s="141"/>
      <c r="BR179" s="409"/>
      <c r="BT179"/>
      <c r="BU179"/>
      <c r="BV179"/>
      <c r="BX179" s="5">
        <v>1</v>
      </c>
    </row>
    <row r="180" spans="1:76" s="1" customFormat="1" ht="21" customHeight="1">
      <c r="A180" s="5641" t="s">
        <v>1</v>
      </c>
      <c r="B180" s="5662" t="str">
        <f t="shared" si="36"/>
        <v>A</v>
      </c>
      <c r="C180" s="5825" cm="1">
        <f t="array" ref="C180">SUMPRODUCT(LEN(D180:J180))</f>
        <v>0</v>
      </c>
      <c r="D180" s="5275"/>
      <c r="E180" s="1361"/>
      <c r="F180" s="1361"/>
      <c r="G180" s="1361"/>
      <c r="H180" s="1361"/>
      <c r="I180" s="1361"/>
      <c r="J180" s="5276"/>
      <c r="K180" s="106"/>
      <c r="L180" s="5289" t="s">
        <v>21</v>
      </c>
      <c r="M180" s="196" t="str">
        <f>M141</f>
        <v>Coller la-cellule-identité.C.Coulis de mangue</v>
      </c>
      <c r="N180" s="196">
        <f>N141</f>
        <v>18</v>
      </c>
      <c r="O180" s="196" t="str">
        <f>O141</f>
        <v>assiettes</v>
      </c>
      <c r="P180" s="196" t="str">
        <f>P141</f>
        <v>Recette mère ► MILLE-FEUILLE meringue et chiboust pamplemousse aux fraises des bois</v>
      </c>
      <c r="Q180" s="1002"/>
      <c r="R180" s="1002"/>
      <c r="S180" s="1002" t="s">
        <v>873</v>
      </c>
      <c r="T180" s="1003"/>
      <c r="U180" s="1329"/>
      <c r="V180" s="1329"/>
      <c r="W180" s="1329"/>
      <c r="X180" s="1330"/>
      <c r="Y180" s="7173" t="str">
        <f>IF(AB178=0,"",IF(Y179=0,"",INT(AB178/Y179) &amp; " " &amp; Y173 &amp; " de " &amp; Y179 &amp; " kg" &amp; IF(MOD(AB178,Y179)=0,"",IF(MOD(AB178,Y179)=Y179,""," + 1 " &amp; Y173 &amp; " de " &amp; TEXT(MOD(AB178,Y179),"0.000") &amp; " kg"))))</f>
        <v>3 gastro 1/2 de 0.5 kg + 1 gastro 1/2 de 0.300 kg</v>
      </c>
      <c r="Z180" s="7174"/>
      <c r="AA180" s="7174"/>
      <c r="AB180" s="7175"/>
      <c r="AC180" s="5933" t="str">
        <f t="shared" si="47"/>
        <v>►</v>
      </c>
      <c r="AD180" s="5999" t="s">
        <v>8016</v>
      </c>
      <c r="AE180" s="5949">
        <v>0.24</v>
      </c>
      <c r="AF180" s="5804"/>
      <c r="AG180" s="5994" t="str">
        <f>IF(COUNTIF(AH180:AJ180,"&lt;&gt;")=0,"",MAX(AG174:AG179)+1)</f>
        <v/>
      </c>
      <c r="AH180" s="5995"/>
      <c r="AI180" s="5995"/>
      <c r="AJ180" s="5995"/>
      <c r="AK180" s="5995"/>
      <c r="AL180" s="5995"/>
      <c r="AM180" s="5995"/>
      <c r="AN180" s="5995"/>
      <c r="AO180" s="5995"/>
      <c r="AP180" s="5994" t="str">
        <f>IF(COUNTIF(AQ180:AR180,"&lt;&gt;")=0,"",MAX(AP174:AP179)+1)</f>
        <v/>
      </c>
      <c r="AQ180" s="5996"/>
      <c r="AR180" s="5997"/>
      <c r="AS180" s="7383"/>
      <c r="AT180" s="4"/>
      <c r="AU180" s="4"/>
      <c r="AV180" s="4"/>
      <c r="AW180" s="5818" t="str">
        <f t="shared" si="45"/>
        <v>►</v>
      </c>
      <c r="AX180" s="5950"/>
      <c r="AY180" s="5950"/>
      <c r="AZ180" s="5950"/>
      <c r="BA180" s="5950"/>
      <c r="BB180" s="5950"/>
      <c r="BC180" s="2"/>
      <c r="BD180"/>
      <c r="BE180"/>
      <c r="BF180"/>
      <c r="BG180"/>
      <c r="BH180"/>
      <c r="BI180"/>
      <c r="BJ180"/>
      <c r="BL180" s="1160"/>
      <c r="BM180" s="7173" t="str">
        <f>IF(BP178=0,"",IF(BM179=0,"",INT(BP178/BM179) &amp; " " &amp; BM173 &amp; " de " &amp; BM179 &amp; " kg" &amp; IF(MOD(BP178,BM179)=0,"",IF(MOD(BP178,BM179)=BM179,""," + 1 " &amp; BM173 &amp; " de " &amp; TEXT(MOD(BP178,BM179),"0.000") &amp; " kg"))))</f>
        <v>1 gastro 1/1 de 1.12 kg + 1 gastro 1/1 de 0.680 kg</v>
      </c>
      <c r="BN180" s="7174"/>
      <c r="BO180" s="7174"/>
      <c r="BP180" s="7175"/>
      <c r="BQ180" s="141"/>
      <c r="BR180" s="409"/>
      <c r="BT180"/>
      <c r="BU180"/>
      <c r="BV180"/>
      <c r="BX180" s="5">
        <v>1</v>
      </c>
    </row>
    <row r="181" spans="1:76" s="1" customFormat="1" ht="21" customHeight="1">
      <c r="A181" s="5641" t="s">
        <v>1</v>
      </c>
      <c r="B181" s="5662" t="str">
        <f t="shared" si="36"/>
        <v>A</v>
      </c>
      <c r="C181" s="5825" cm="1">
        <f t="array" ref="C181">SUMPRODUCT(LEN(D181:J181))</f>
        <v>0</v>
      </c>
      <c r="D181" s="5275"/>
      <c r="E181" s="1361"/>
      <c r="F181" s="1361"/>
      <c r="G181" s="1361"/>
      <c r="H181" s="1361"/>
      <c r="I181" s="1361"/>
      <c r="J181" s="5276"/>
      <c r="K181" s="106"/>
      <c r="L181" s="1037" t="s">
        <v>21</v>
      </c>
      <c r="M181" s="5298" t="str">
        <f>M157</f>
        <v>Coller la-cellule-identité.C.Coulis de mangue</v>
      </c>
      <c r="N181" s="5298">
        <f>N157</f>
        <v>18</v>
      </c>
      <c r="O181" s="5298" t="str">
        <f>O157</f>
        <v>assiettes</v>
      </c>
      <c r="P181" s="5298"/>
      <c r="Q181" s="5299" t="s">
        <v>86</v>
      </c>
      <c r="R181" s="5300"/>
      <c r="S181" s="5301"/>
      <c r="T181" s="5302" t="s">
        <v>8025</v>
      </c>
      <c r="U181" s="5301"/>
      <c r="V181" s="5301"/>
      <c r="W181" s="8497"/>
      <c r="X181" s="5303"/>
      <c r="Y181" s="7176"/>
      <c r="Z181" s="6886"/>
      <c r="AA181" s="6886"/>
      <c r="AB181" s="7177"/>
      <c r="AC181" s="5933" t="str">
        <f t="shared" si="47"/>
        <v>►</v>
      </c>
      <c r="AD181" s="6003" t="s">
        <v>8014</v>
      </c>
      <c r="AE181" s="5949">
        <v>0</v>
      </c>
      <c r="AF181" s="5804"/>
      <c r="AG181" s="5994" t="str">
        <f>IF(COUNTIF(AH181:AJ181,"&lt;&gt;")=0,"",MAX(AG174:AG180)+1)</f>
        <v/>
      </c>
      <c r="AH181" s="5995"/>
      <c r="AI181" s="5995"/>
      <c r="AJ181" s="5995"/>
      <c r="AK181" s="5995"/>
      <c r="AL181" s="5995"/>
      <c r="AM181" s="5995"/>
      <c r="AN181" s="5995"/>
      <c r="AO181" s="5995"/>
      <c r="AP181" s="5994" t="str">
        <f>IF(COUNTIF(AQ181:AR181,"&lt;&gt;")=0,"",MAX(AP174:AP180)+1)</f>
        <v/>
      </c>
      <c r="AQ181" s="5996"/>
      <c r="AR181" s="5997"/>
      <c r="AS181" s="7383"/>
      <c r="AT181" s="4"/>
      <c r="AU181" s="4"/>
      <c r="AV181" s="4"/>
      <c r="AW181" s="5818" t="str">
        <f t="shared" si="45"/>
        <v>►</v>
      </c>
      <c r="AX181" s="5950"/>
      <c r="AY181" s="5950"/>
      <c r="AZ181" s="5950"/>
      <c r="BA181" s="5950"/>
      <c r="BB181" s="5950"/>
      <c r="BC181" s="2"/>
      <c r="BD181"/>
      <c r="BE181"/>
      <c r="BF181"/>
      <c r="BG181"/>
      <c r="BH181"/>
      <c r="BI181"/>
      <c r="BJ181"/>
      <c r="BL181" s="1160"/>
      <c r="BM181" s="7176"/>
      <c r="BN181" s="6886"/>
      <c r="BO181" s="6886"/>
      <c r="BP181" s="7177"/>
      <c r="BQ181" s="141"/>
      <c r="BR181" s="409"/>
      <c r="BT181"/>
      <c r="BU181"/>
      <c r="BV181"/>
      <c r="BX181" s="5">
        <v>1</v>
      </c>
    </row>
    <row r="182" spans="1:76" s="1" customFormat="1" ht="21" customHeight="1" thickBot="1">
      <c r="A182" s="5641" t="s">
        <v>1</v>
      </c>
      <c r="B182" s="5662" t="str">
        <f t="shared" si="36"/>
        <v>A</v>
      </c>
      <c r="C182" s="5825" cm="1">
        <f t="array" ref="C182">SUMPRODUCT(LEN(D182:J182))</f>
        <v>0</v>
      </c>
      <c r="D182" s="5275"/>
      <c r="E182" s="1361"/>
      <c r="F182" s="1361"/>
      <c r="G182" s="1361"/>
      <c r="H182" s="1361"/>
      <c r="I182" s="1361"/>
      <c r="J182" s="5276"/>
      <c r="K182" s="106"/>
      <c r="L182" s="5304" t="s">
        <v>21</v>
      </c>
      <c r="M182" s="5305"/>
      <c r="N182" s="5305"/>
      <c r="O182" s="5305"/>
      <c r="P182" s="5305"/>
      <c r="Q182" s="5306" t="s">
        <v>269</v>
      </c>
      <c r="R182" s="5307" t="str">
        <f ca="1">CELL("nomfichier")</f>
        <v>D:\Données\1.UPRT\0-UPRT.fait\1-UPRT.FR-SITE-WEB\ff-fiches-fabrications\ff.fiches.fabrication.2023\ffr.restaurant.2023\[ff.REPERTOIRE.600.LIGNES.15.xlsx]Differents.postits.FR.EN.ES</v>
      </c>
      <c r="S182" s="5308"/>
      <c r="T182" s="5308"/>
      <c r="U182" s="5308"/>
      <c r="V182" s="5308"/>
      <c r="W182" s="5308"/>
      <c r="X182" s="5308"/>
      <c r="Y182" s="5308"/>
      <c r="Z182" s="5308"/>
      <c r="AA182" s="5308"/>
      <c r="AB182" s="5309"/>
      <c r="AC182" s="5817" t="s">
        <v>21</v>
      </c>
      <c r="AD182" s="6005"/>
      <c r="AE182" s="6006"/>
      <c r="AF182" s="6006"/>
      <c r="AG182" s="6006"/>
      <c r="AH182" s="6006"/>
      <c r="AI182" s="6006"/>
      <c r="AJ182" s="6006"/>
      <c r="AK182" s="6006"/>
      <c r="AL182" s="6007"/>
      <c r="AM182" s="6007"/>
      <c r="AN182" s="6007"/>
      <c r="AO182" s="6007"/>
      <c r="AP182" s="6007"/>
      <c r="AQ182" s="6007"/>
      <c r="AR182" s="6008"/>
      <c r="AS182" s="7383"/>
      <c r="AT182" s="4"/>
      <c r="AU182" s="4"/>
      <c r="AV182" s="4"/>
      <c r="AW182" s="5818" t="str">
        <f t="shared" si="45"/>
        <v>A</v>
      </c>
      <c r="AX182" s="5950"/>
      <c r="AY182" s="5950"/>
      <c r="AZ182" s="5950"/>
      <c r="BA182" s="5950"/>
      <c r="BB182" s="5950"/>
      <c r="BC182" s="2"/>
      <c r="BD182"/>
      <c r="BE182"/>
      <c r="BF182"/>
      <c r="BG182"/>
      <c r="BH182"/>
      <c r="BI182"/>
      <c r="BJ182"/>
      <c r="BL182" s="1160"/>
      <c r="BM182" s="141"/>
      <c r="BN182" s="141"/>
      <c r="BO182" s="141"/>
      <c r="BP182" s="141"/>
      <c r="BQ182" s="141"/>
      <c r="BR182" s="409"/>
      <c r="BT182"/>
      <c r="BU182"/>
      <c r="BV182"/>
      <c r="BX182" s="5">
        <v>1</v>
      </c>
    </row>
    <row r="183" spans="1:76" s="1" customFormat="1" ht="21" customHeight="1" thickBot="1">
      <c r="A183" s="5641" t="s">
        <v>1</v>
      </c>
      <c r="B183" s="5662" t="str">
        <f t="shared" si="36"/>
        <v>A</v>
      </c>
      <c r="C183" s="5825" cm="1">
        <f t="array" ref="C183">SUMPRODUCT(LEN(D183:J183))</f>
        <v>0</v>
      </c>
      <c r="D183" s="5275"/>
      <c r="E183" s="1361"/>
      <c r="F183" s="1361"/>
      <c r="G183" s="1361"/>
      <c r="H183" s="1361"/>
      <c r="I183" s="1361"/>
      <c r="J183" s="5276"/>
      <c r="K183" s="106" t="s">
        <v>1</v>
      </c>
      <c r="L183" s="6009" t="s">
        <v>21</v>
      </c>
      <c r="M183" s="6010"/>
      <c r="N183" s="6010"/>
      <c r="O183" s="6010"/>
      <c r="P183" s="6010"/>
      <c r="Q183" s="6011"/>
      <c r="R183" s="6011"/>
      <c r="S183" s="6011"/>
      <c r="T183" s="6011"/>
      <c r="U183" s="6011"/>
      <c r="V183" s="6011"/>
      <c r="W183" s="6011"/>
      <c r="X183" s="6011"/>
      <c r="Y183" s="6011"/>
      <c r="Z183" s="6011"/>
      <c r="AA183" s="6011"/>
      <c r="AB183" s="6011"/>
      <c r="AC183" s="5817" t="s">
        <v>21</v>
      </c>
      <c r="AD183" s="6011"/>
      <c r="AE183" s="6011"/>
      <c r="AF183" s="6011"/>
      <c r="AG183" s="6011"/>
      <c r="AH183" s="6011"/>
      <c r="AI183" s="6011"/>
      <c r="AJ183" s="6011"/>
      <c r="AK183" s="6011"/>
      <c r="AL183" s="6011"/>
      <c r="AM183" s="6011"/>
      <c r="AN183" s="6011"/>
      <c r="AO183" s="6012"/>
      <c r="AP183" s="6013"/>
      <c r="AQ183" s="6013"/>
      <c r="AR183" s="6013"/>
      <c r="AS183" s="7383"/>
      <c r="AT183" s="4"/>
      <c r="AU183" s="4"/>
      <c r="AV183" s="4"/>
      <c r="AW183" s="5818" t="str">
        <f t="shared" si="45"/>
        <v>A</v>
      </c>
      <c r="AX183" s="5950"/>
      <c r="AY183" s="5950"/>
      <c r="AZ183" s="5950"/>
      <c r="BA183" s="5950"/>
      <c r="BB183" s="5950"/>
      <c r="BC183" s="2"/>
      <c r="BD183"/>
      <c r="BE183"/>
      <c r="BF183"/>
      <c r="BG183"/>
      <c r="BH183"/>
      <c r="BI183"/>
      <c r="BJ183"/>
      <c r="BL183" s="1160"/>
      <c r="BM183" s="4666" t="s">
        <v>7498</v>
      </c>
      <c r="BN183" s="141"/>
      <c r="BO183" s="141"/>
      <c r="BP183" s="4691" t="s">
        <v>8626</v>
      </c>
      <c r="BQ183" s="141"/>
      <c r="BR183" s="409"/>
      <c r="BT183"/>
      <c r="BU183"/>
      <c r="BV183"/>
      <c r="BX183" s="5">
        <v>1</v>
      </c>
    </row>
    <row r="184" spans="1:76" s="1" customFormat="1" ht="21" customHeight="1">
      <c r="A184" s="5641" t="s">
        <v>1</v>
      </c>
      <c r="B184" s="5662" t="str">
        <f t="shared" si="36"/>
        <v>A</v>
      </c>
      <c r="C184" s="5825" cm="1">
        <f t="array" ref="C184">SUMPRODUCT(LEN(D184:J184))</f>
        <v>0</v>
      </c>
      <c r="D184" s="5275"/>
      <c r="E184" s="1361"/>
      <c r="F184" s="1361"/>
      <c r="G184" s="1361"/>
      <c r="H184" s="1361"/>
      <c r="I184" s="1361"/>
      <c r="J184" s="5276"/>
      <c r="K184" s="106" t="s">
        <v>1</v>
      </c>
      <c r="L184" s="5636" t="s">
        <v>21</v>
      </c>
      <c r="M184" s="5231" t="str">
        <f>M190</f>
        <v>Coller la-cellule-identité.J.Jus de fraises des bois</v>
      </c>
      <c r="N184" s="5232">
        <f>N190</f>
        <v>18</v>
      </c>
      <c r="O184" s="5232" t="str">
        <f>O190</f>
        <v>assiettes</v>
      </c>
      <c r="P184" s="5232"/>
      <c r="Q184" s="5233" t="s">
        <v>1</v>
      </c>
      <c r="R184" s="5234" t="s">
        <v>251</v>
      </c>
      <c r="S184" s="5234"/>
      <c r="T184" s="6911" t="s">
        <v>8627</v>
      </c>
      <c r="U184" s="6911"/>
      <c r="V184" s="6911"/>
      <c r="W184" s="6911"/>
      <c r="X184" s="6911"/>
      <c r="Y184" s="6911"/>
      <c r="Z184" s="7385" t="s">
        <v>8611</v>
      </c>
      <c r="AA184" s="7385"/>
      <c r="AB184" s="6915" t="str">
        <f>UPPER(LEFT(T184,1))</f>
        <v>J</v>
      </c>
      <c r="AC184" s="5817" t="s">
        <v>21</v>
      </c>
      <c r="AD184" s="7339" t="str">
        <f>T184</f>
        <v>JUS DE FRAISES DES BOIS</v>
      </c>
      <c r="AE184" s="7340"/>
      <c r="AF184" s="7340"/>
      <c r="AG184" s="7340"/>
      <c r="AH184" s="7340"/>
      <c r="AI184" s="7340"/>
      <c r="AJ184" s="7340"/>
      <c r="AK184" s="7340"/>
      <c r="AL184" s="7340"/>
      <c r="AM184" s="7340"/>
      <c r="AN184" s="7340"/>
      <c r="AO184" s="7340"/>
      <c r="AP184" s="7340"/>
      <c r="AQ184" s="7340"/>
      <c r="AR184" s="7343">
        <f>IF(ISBLANK(AM25),AK25,AM25)</f>
        <v>0.875</v>
      </c>
      <c r="AS184" s="7383"/>
      <c r="AT184" s="4"/>
      <c r="AU184" s="4"/>
      <c r="AV184" s="4"/>
      <c r="AW184" s="5818" t="str">
        <f t="shared" si="45"/>
        <v>A</v>
      </c>
      <c r="AX184" s="5950"/>
      <c r="AY184" s="5950"/>
      <c r="AZ184" s="5950"/>
      <c r="BA184" s="5950"/>
      <c r="BB184" s="5950"/>
      <c r="BC184" s="2"/>
      <c r="BD184"/>
      <c r="BE184"/>
      <c r="BF184"/>
      <c r="BG184"/>
      <c r="BH184"/>
      <c r="BI184"/>
      <c r="BJ184"/>
      <c r="BL184" s="1160"/>
      <c r="BM184" s="6075" t="s">
        <v>3353</v>
      </c>
      <c r="BN184" s="141"/>
      <c r="BO184" s="141"/>
      <c r="BP184" s="6076" t="s">
        <v>8022</v>
      </c>
      <c r="BQ184" s="141"/>
      <c r="BR184" s="409"/>
      <c r="BT184"/>
      <c r="BU184"/>
      <c r="BV184"/>
      <c r="BX184" s="5">
        <v>1</v>
      </c>
    </row>
    <row r="185" spans="1:76" s="1" customFormat="1" ht="21" customHeight="1">
      <c r="A185" s="5641" t="s">
        <v>1</v>
      </c>
      <c r="B185" s="5662" t="str">
        <f t="shared" si="36"/>
        <v>A</v>
      </c>
      <c r="C185" s="5825" cm="1">
        <f t="array" ref="C185">SUMPRODUCT(LEN(D185:J185))</f>
        <v>0</v>
      </c>
      <c r="D185" s="5275"/>
      <c r="E185" s="1361"/>
      <c r="F185" s="1361"/>
      <c r="G185" s="1361"/>
      <c r="H185" s="1361"/>
      <c r="I185" s="1361"/>
      <c r="J185" s="5276"/>
      <c r="K185" s="106" t="s">
        <v>1</v>
      </c>
      <c r="L185" s="1018" t="s">
        <v>21</v>
      </c>
      <c r="M185" s="363" t="str">
        <f>M190</f>
        <v>Coller la-cellule-identité.J.Jus de fraises des bois</v>
      </c>
      <c r="N185" s="362"/>
      <c r="O185" s="362"/>
      <c r="P185" s="362"/>
      <c r="Q185" s="361" t="s">
        <v>245</v>
      </c>
      <c r="R185" s="360" t="s">
        <v>244</v>
      </c>
      <c r="S185" s="360"/>
      <c r="T185" s="6912"/>
      <c r="U185" s="6912"/>
      <c r="V185" s="6912"/>
      <c r="W185" s="6912"/>
      <c r="X185" s="6912"/>
      <c r="Y185" s="6912"/>
      <c r="Z185" s="7386"/>
      <c r="AA185" s="7386"/>
      <c r="AB185" s="6916"/>
      <c r="AC185" s="5817" t="s">
        <v>21</v>
      </c>
      <c r="AD185" s="7341"/>
      <c r="AE185" s="7342"/>
      <c r="AF185" s="7342"/>
      <c r="AG185" s="7342"/>
      <c r="AH185" s="7342"/>
      <c r="AI185" s="7342"/>
      <c r="AJ185" s="7342"/>
      <c r="AK185" s="7342"/>
      <c r="AL185" s="7342"/>
      <c r="AM185" s="7342"/>
      <c r="AN185" s="7342"/>
      <c r="AO185" s="7342"/>
      <c r="AP185" s="7342"/>
      <c r="AQ185" s="7342"/>
      <c r="AR185" s="7344"/>
      <c r="AS185" s="7383"/>
      <c r="AT185" s="4"/>
      <c r="AU185" s="4"/>
      <c r="AV185" s="4"/>
      <c r="AW185" s="5818" t="str">
        <f t="shared" si="45"/>
        <v>A</v>
      </c>
      <c r="AX185" s="5950"/>
      <c r="AY185" s="5950"/>
      <c r="AZ185" s="5950"/>
      <c r="BA185" s="5950"/>
      <c r="BB185" s="5950"/>
      <c r="BC185" s="2"/>
      <c r="BD185"/>
      <c r="BE185"/>
      <c r="BF185"/>
      <c r="BG185"/>
      <c r="BH185"/>
      <c r="BI185"/>
      <c r="BJ185"/>
      <c r="BL185" s="1160"/>
      <c r="BM185" s="6077" t="s">
        <v>8628</v>
      </c>
      <c r="BN185" s="141"/>
      <c r="BO185" s="141"/>
      <c r="BP185" s="6076" t="s">
        <v>8024</v>
      </c>
      <c r="BQ185" s="141"/>
      <c r="BR185" s="409"/>
      <c r="BT185"/>
      <c r="BU185"/>
      <c r="BV185"/>
      <c r="BX185" s="5">
        <v>1</v>
      </c>
    </row>
    <row r="186" spans="1:76" s="1" customFormat="1" ht="21" customHeight="1">
      <c r="A186" s="5641" t="s">
        <v>1</v>
      </c>
      <c r="B186" s="5662" t="str">
        <f t="shared" si="36"/>
        <v>A</v>
      </c>
      <c r="C186" s="5825" cm="1">
        <f t="array" ref="C186">SUMPRODUCT(LEN(D186:J186))</f>
        <v>0</v>
      </c>
      <c r="D186" s="5275"/>
      <c r="E186" s="1361"/>
      <c r="F186" s="1361"/>
      <c r="G186" s="1361"/>
      <c r="H186" s="1361"/>
      <c r="I186" s="1361"/>
      <c r="J186" s="5276"/>
      <c r="K186" s="106" t="s">
        <v>1</v>
      </c>
      <c r="L186" s="1018" t="s">
        <v>21</v>
      </c>
      <c r="M186" s="41" t="str">
        <f>M190</f>
        <v>Coller la-cellule-identité.J.Jus de fraises des bois</v>
      </c>
      <c r="N186" s="40">
        <f>N190</f>
        <v>18</v>
      </c>
      <c r="O186" s="40" t="str">
        <f>O190</f>
        <v>assiettes</v>
      </c>
      <c r="P186" s="40" t="str">
        <f>P190</f>
        <v>Recette mère ► saisissez le nom de la recette mère</v>
      </c>
      <c r="Q186" s="351"/>
      <c r="R186" s="350" t="s">
        <v>233</v>
      </c>
      <c r="S186" s="349"/>
      <c r="T186" s="348" t="s">
        <v>232</v>
      </c>
      <c r="U186" s="347" t="s">
        <v>1092</v>
      </c>
      <c r="V186" s="141"/>
      <c r="W186" s="347"/>
      <c r="X186" s="347"/>
      <c r="Y186" s="5235"/>
      <c r="Z186" s="141"/>
      <c r="AA186" s="141"/>
      <c r="AB186" s="409"/>
      <c r="AC186" s="5817" t="s">
        <v>21</v>
      </c>
      <c r="AD186" s="5826"/>
      <c r="AE186" s="5827"/>
      <c r="AF186" s="5827"/>
      <c r="AG186" s="5827"/>
      <c r="AH186" s="5827"/>
      <c r="AI186" s="5827"/>
      <c r="AJ186" s="5827"/>
      <c r="AK186" s="5828"/>
      <c r="AL186" s="5828"/>
      <c r="AM186" s="5828"/>
      <c r="AN186" s="5828"/>
      <c r="AO186" s="5828"/>
      <c r="AP186" s="5829"/>
      <c r="AQ186" s="5829" t="s">
        <v>248</v>
      </c>
      <c r="AR186" s="5830">
        <f>IF(Y208=0,0,AR184/Y208)</f>
        <v>2.5</v>
      </c>
      <c r="AS186" s="7383"/>
      <c r="AT186" s="4"/>
      <c r="AU186" s="4"/>
      <c r="AV186" s="4"/>
      <c r="AW186" s="5818" t="str">
        <f t="shared" si="45"/>
        <v>A</v>
      </c>
      <c r="AX186" s="5950"/>
      <c r="AY186" s="5950"/>
      <c r="AZ186" s="5950"/>
      <c r="BA186" s="5950"/>
      <c r="BB186" s="5950"/>
      <c r="BC186" s="2"/>
      <c r="BD186"/>
      <c r="BE186"/>
      <c r="BF186"/>
      <c r="BG186"/>
      <c r="BH186"/>
      <c r="BI186"/>
      <c r="BJ186"/>
      <c r="BL186" s="1160"/>
      <c r="BM186" s="4691" t="s">
        <v>8629</v>
      </c>
      <c r="BN186" s="141"/>
      <c r="BO186" s="141"/>
      <c r="BP186" s="6076" t="s">
        <v>8630</v>
      </c>
      <c r="BQ186" s="141"/>
      <c r="BR186" s="409"/>
      <c r="BT186"/>
      <c r="BU186"/>
      <c r="BV186"/>
      <c r="BX186" s="5">
        <v>1</v>
      </c>
    </row>
    <row r="187" spans="1:76" s="1" customFormat="1" ht="21" customHeight="1">
      <c r="A187" s="5641" t="s">
        <v>1</v>
      </c>
      <c r="B187" s="5662" t="str">
        <f t="shared" si="36"/>
        <v>A</v>
      </c>
      <c r="C187" s="5825" cm="1">
        <f t="array" ref="C187">SUMPRODUCT(LEN(D187:J187))</f>
        <v>0</v>
      </c>
      <c r="D187" s="5275"/>
      <c r="E187" s="1361"/>
      <c r="F187" s="1361"/>
      <c r="G187" s="1361"/>
      <c r="H187" s="1361"/>
      <c r="I187" s="1361"/>
      <c r="J187" s="5276"/>
      <c r="K187" s="106" t="s">
        <v>1</v>
      </c>
      <c r="L187" s="1018" t="s">
        <v>21</v>
      </c>
      <c r="M187" s="41" t="str">
        <f>M190</f>
        <v>Coller la-cellule-identité.J.Jus de fraises des bois</v>
      </c>
      <c r="N187" s="40">
        <f>N190</f>
        <v>18</v>
      </c>
      <c r="O187" s="40" t="str">
        <f>O190</f>
        <v>assiettes</v>
      </c>
      <c r="P187" s="40" t="str">
        <f>P190</f>
        <v>Recette mère ► saisissez le nom de la recette mère</v>
      </c>
      <c r="Q187" s="333" t="s">
        <v>228</v>
      </c>
      <c r="R187" s="341"/>
      <c r="S187" s="341"/>
      <c r="T187" s="340" t="s">
        <v>227</v>
      </c>
      <c r="U187" s="6901" t="str">
        <f>Q190</f>
        <v>Coller la-cellule-identité.J.Jus de fraises des bois</v>
      </c>
      <c r="V187" s="6901"/>
      <c r="W187" s="6901"/>
      <c r="X187" s="6225"/>
      <c r="Y187" s="5235"/>
      <c r="Z187" s="5236" t="s">
        <v>8008</v>
      </c>
      <c r="AA187" s="5237">
        <v>100</v>
      </c>
      <c r="AB187" s="344" t="str">
        <f>AB189</f>
        <v>couverts</v>
      </c>
      <c r="AC187" s="5817" t="s">
        <v>21</v>
      </c>
      <c r="AD187" s="5826"/>
      <c r="AE187" s="5827"/>
      <c r="AF187" s="5827"/>
      <c r="AG187" s="5827"/>
      <c r="AH187" s="5827"/>
      <c r="AI187" s="5827"/>
      <c r="AJ187" s="5827"/>
      <c r="AK187" s="5714" t="str">
        <f>IF(AM25&gt;0,"avec Poids modifié ❻","avec Poids prévu ④")</f>
        <v>avec Poids prévu ④</v>
      </c>
      <c r="AL187" s="5714"/>
      <c r="AM187" s="5714"/>
      <c r="AN187" s="5714"/>
      <c r="AO187" s="5713" t="s">
        <v>8511</v>
      </c>
      <c r="AP187" s="5713"/>
      <c r="AQ187" s="5713"/>
      <c r="AR187" s="5831"/>
      <c r="AS187" s="7383"/>
      <c r="AT187" s="4"/>
      <c r="AU187" s="4"/>
      <c r="AV187" s="4"/>
      <c r="AW187" s="5818" t="str">
        <f t="shared" si="45"/>
        <v>A</v>
      </c>
      <c r="AX187" s="5950"/>
      <c r="AY187" s="5950"/>
      <c r="AZ187" s="5950"/>
      <c r="BA187" s="5950"/>
      <c r="BB187" s="5950"/>
      <c r="BC187" s="2"/>
      <c r="BD187"/>
      <c r="BE187"/>
      <c r="BF187"/>
      <c r="BG187"/>
      <c r="BH187"/>
      <c r="BI187"/>
      <c r="BJ187"/>
      <c r="BL187" s="1160"/>
      <c r="BM187" s="4691"/>
      <c r="BN187" s="141"/>
      <c r="BO187" s="141"/>
      <c r="BP187" s="6076" t="s">
        <v>8631</v>
      </c>
      <c r="BQ187" s="141"/>
      <c r="BR187" s="409"/>
      <c r="BT187"/>
      <c r="BU187"/>
      <c r="BV187"/>
      <c r="BX187" s="5">
        <v>1</v>
      </c>
    </row>
    <row r="188" spans="1:76" s="1" customFormat="1" ht="21" customHeight="1">
      <c r="A188" s="5641" t="s">
        <v>1</v>
      </c>
      <c r="B188" s="5662" t="str">
        <f t="shared" si="36"/>
        <v>A</v>
      </c>
      <c r="C188" s="5825" cm="1">
        <f t="array" ref="C188">SUMPRODUCT(LEN(D188:J188))</f>
        <v>0</v>
      </c>
      <c r="D188" s="5275"/>
      <c r="E188" s="1361"/>
      <c r="F188" s="1361"/>
      <c r="G188" s="1361"/>
      <c r="H188" s="1361"/>
      <c r="I188" s="1361"/>
      <c r="J188" s="5276"/>
      <c r="K188" s="106" t="s">
        <v>1</v>
      </c>
      <c r="L188" s="1018" t="s">
        <v>21</v>
      </c>
      <c r="M188" s="41" t="str">
        <f>M190</f>
        <v>Coller la-cellule-identité.J.Jus de fraises des bois</v>
      </c>
      <c r="N188" s="40">
        <f>N190</f>
        <v>18</v>
      </c>
      <c r="O188" s="40" t="str">
        <f>O190</f>
        <v>assiettes</v>
      </c>
      <c r="P188" s="40" t="str">
        <f>P190</f>
        <v>Recette mère ► saisissez le nom de la recette mère</v>
      </c>
      <c r="Q188" s="5238">
        <v>18</v>
      </c>
      <c r="R188" s="5832" t="s">
        <v>157</v>
      </c>
      <c r="S188" s="333"/>
      <c r="T188" s="333"/>
      <c r="U188" s="6901"/>
      <c r="V188" s="6901"/>
      <c r="W188" s="6901"/>
      <c r="X188" s="6225"/>
      <c r="Y188" s="5239"/>
      <c r="Z188" s="141"/>
      <c r="AA188" s="141"/>
      <c r="AB188" s="409"/>
      <c r="AC188" s="5817" t="s">
        <v>21</v>
      </c>
      <c r="AD188" s="5833"/>
      <c r="AE188" s="5834"/>
      <c r="AF188" s="5834"/>
      <c r="AG188" s="5834"/>
      <c r="AH188" s="5834"/>
      <c r="AI188" s="5834"/>
      <c r="AJ188" s="5834"/>
      <c r="AK188" s="7367">
        <f>AR184</f>
        <v>0.875</v>
      </c>
      <c r="AL188" s="7367"/>
      <c r="AM188" s="7367"/>
      <c r="AN188" s="6864"/>
      <c r="AO188" s="7368">
        <f>AQ10</f>
        <v>45</v>
      </c>
      <c r="AP188" s="7369" t="str">
        <f>AR10</f>
        <v>assiettes</v>
      </c>
      <c r="AQ188" s="7369"/>
      <c r="AR188" s="7370"/>
      <c r="AS188" s="7383"/>
      <c r="AT188" s="4"/>
      <c r="AU188" s="4"/>
      <c r="AV188" s="4"/>
      <c r="AW188" s="5818" t="str">
        <f t="shared" si="45"/>
        <v>A</v>
      </c>
      <c r="AX188" s="5950"/>
      <c r="AY188" s="5950"/>
      <c r="AZ188" s="5950"/>
      <c r="BA188" s="5950"/>
      <c r="BB188" s="5950"/>
      <c r="BC188" s="2"/>
      <c r="BD188"/>
      <c r="BE188"/>
      <c r="BF188"/>
      <c r="BG188"/>
      <c r="BH188"/>
      <c r="BI188"/>
      <c r="BJ188"/>
      <c r="BL188" s="986"/>
      <c r="BM188" s="141"/>
      <c r="BN188" s="141"/>
      <c r="BO188" s="141"/>
      <c r="BP188" s="141"/>
      <c r="BQ188" s="141"/>
      <c r="BR188" s="409"/>
      <c r="BT188"/>
      <c r="BU188"/>
      <c r="BV188"/>
      <c r="BX188" s="5">
        <v>1</v>
      </c>
    </row>
    <row r="189" spans="1:76" s="1" customFormat="1" ht="21" customHeight="1">
      <c r="A189" s="5641" t="s">
        <v>1</v>
      </c>
      <c r="B189" s="5662" t="str">
        <f t="shared" si="36"/>
        <v>►</v>
      </c>
      <c r="C189" s="5825" cm="1">
        <f t="array" ref="C189">SUMPRODUCT(LEN(D189:J189))</f>
        <v>0</v>
      </c>
      <c r="D189" s="5275"/>
      <c r="E189" s="1361"/>
      <c r="F189" s="1361"/>
      <c r="G189" s="1361"/>
      <c r="H189" s="1361"/>
      <c r="I189" s="1361"/>
      <c r="J189" s="5276"/>
      <c r="K189" s="106" t="s">
        <v>1</v>
      </c>
      <c r="L189" s="1018" t="s">
        <v>26</v>
      </c>
      <c r="M189" s="41" t="str">
        <f>M190</f>
        <v>Coller la-cellule-identité.J.Jus de fraises des bois</v>
      </c>
      <c r="N189" s="40">
        <f>N190</f>
        <v>18</v>
      </c>
      <c r="O189" s="40" t="str">
        <f>O190</f>
        <v>assiettes</v>
      </c>
      <c r="P189" s="40" t="str">
        <f>P190</f>
        <v>Recette mère ► saisissez le nom de la recette mère</v>
      </c>
      <c r="Q189" s="327"/>
      <c r="R189" s="326"/>
      <c r="S189" s="326"/>
      <c r="T189" s="326"/>
      <c r="U189" s="326"/>
      <c r="V189" s="326"/>
      <c r="W189" s="5240"/>
      <c r="X189" s="8498"/>
      <c r="Y189"/>
      <c r="Z189" s="5241" t="s">
        <v>944</v>
      </c>
      <c r="AA189" s="5844">
        <v>18</v>
      </c>
      <c r="AB189" s="5242" t="s">
        <v>73</v>
      </c>
      <c r="AC189" s="5817" t="s">
        <v>21</v>
      </c>
      <c r="AD189" s="5845"/>
      <c r="AE189" s="5846"/>
      <c r="AF189" s="5846"/>
      <c r="AG189" s="5846"/>
      <c r="AH189" s="5846"/>
      <c r="AI189" s="5846"/>
      <c r="AJ189" s="5846"/>
      <c r="AK189" s="7367"/>
      <c r="AL189" s="7367"/>
      <c r="AM189" s="7367"/>
      <c r="AN189" s="6864"/>
      <c r="AO189" s="7368"/>
      <c r="AP189" s="7369"/>
      <c r="AQ189" s="7369"/>
      <c r="AR189" s="7370"/>
      <c r="AS189" s="7383"/>
      <c r="AT189" s="4"/>
      <c r="AU189" s="4"/>
      <c r="AV189" s="4"/>
      <c r="AW189" s="5818" t="str">
        <f t="shared" si="45"/>
        <v>A</v>
      </c>
      <c r="AX189" s="5950"/>
      <c r="AY189" s="5950"/>
      <c r="AZ189" s="5950"/>
      <c r="BA189" s="5950"/>
      <c r="BB189" s="5950"/>
      <c r="BC189" s="2"/>
      <c r="BD189"/>
      <c r="BE189"/>
      <c r="BF189"/>
      <c r="BG189"/>
      <c r="BH189"/>
      <c r="BI189"/>
      <c r="BJ189"/>
      <c r="BL189" s="7178" t="s">
        <v>8632</v>
      </c>
      <c r="BM189" s="7179"/>
      <c r="BN189" s="7180" t="s">
        <v>8633</v>
      </c>
      <c r="BO189" s="7180"/>
      <c r="BP189" s="141"/>
      <c r="BQ189" s="141"/>
      <c r="BR189" s="409"/>
      <c r="BT189"/>
      <c r="BU189"/>
      <c r="BV189"/>
      <c r="BX189" s="5">
        <v>1</v>
      </c>
    </row>
    <row r="190" spans="1:76" s="1" customFormat="1" ht="21" customHeight="1" thickBot="1">
      <c r="A190" s="5641" t="s">
        <v>1</v>
      </c>
      <c r="B190" s="5662" t="str">
        <f t="shared" si="36"/>
        <v>►</v>
      </c>
      <c r="C190" s="5825" cm="1">
        <f t="array" ref="C190">SUMPRODUCT(LEN(D190:J190))</f>
        <v>0</v>
      </c>
      <c r="D190" s="5275"/>
      <c r="E190" s="1361"/>
      <c r="F190" s="1361"/>
      <c r="G190" s="1361"/>
      <c r="H190" s="1361"/>
      <c r="I190" s="1361"/>
      <c r="J190" s="5276"/>
      <c r="K190" s="106" t="s">
        <v>1</v>
      </c>
      <c r="L190" s="5243" t="s">
        <v>26</v>
      </c>
      <c r="M190" s="5849" t="str">
        <f>Q190</f>
        <v>Coller la-cellule-identité.J.Jus de fraises des bois</v>
      </c>
      <c r="N190" s="5115">
        <f>Q188</f>
        <v>18</v>
      </c>
      <c r="O190" s="5115" t="str">
        <f>R188</f>
        <v>assiettes</v>
      </c>
      <c r="P190" s="5850" t="str">
        <f>V190&amp;" "&amp;W190</f>
        <v>Recette mère ► saisissez le nom de la recette mère</v>
      </c>
      <c r="Q190" s="5116" t="str">
        <f>UPPER(LEFT(Z184,1))&amp;LOWER(MID(Z184,2,999))&amp;"."&amp;UPPER(LEFT(T184,1))&amp;"."&amp;UPPER(LEFT(T184,1))&amp;LOWER(MID(T184,2,999))</f>
        <v>Coller la-cellule-identité.J.Jus de fraises des bois</v>
      </c>
      <c r="R190" s="5117" t="s">
        <v>223</v>
      </c>
      <c r="S190" s="6903" t="s">
        <v>222</v>
      </c>
      <c r="T190" s="6903"/>
      <c r="U190" s="6903"/>
      <c r="V190" s="5119" t="s">
        <v>221</v>
      </c>
      <c r="W190" s="5319" t="s">
        <v>1093</v>
      </c>
      <c r="X190" s="8499"/>
      <c r="Y190" s="141"/>
      <c r="Z190" s="141"/>
      <c r="AA190" s="141"/>
      <c r="AB190" s="409"/>
      <c r="AC190" s="5817" t="s">
        <v>21</v>
      </c>
      <c r="AD190" s="5845"/>
      <c r="AE190" s="5846"/>
      <c r="AF190" s="7358">
        <f>AK25</f>
        <v>0.875</v>
      </c>
      <c r="AG190" s="7358"/>
      <c r="AH190" s="7358"/>
      <c r="AI190" s="5859"/>
      <c r="AJ190" s="5852"/>
      <c r="AK190" s="5852"/>
      <c r="AL190" s="5853"/>
      <c r="AM190" s="5854" t="str">
        <f>IF(AF190&gt;0," avec Poids prévu ④ " &amp; AO188 &amp; " " &amp; AP188 &amp; " de","")</f>
        <v xml:space="preserve"> avec Poids prévu ④ 45 assiettes de</v>
      </c>
      <c r="AN190" s="5854"/>
      <c r="AO190" s="5855">
        <f>AF190/AO188*1000</f>
        <v>19.444444444444446</v>
      </c>
      <c r="AP190" s="5856"/>
      <c r="AQ190" s="5856"/>
      <c r="AR190" s="5831"/>
      <c r="AS190" s="7383"/>
      <c r="AT190" s="4"/>
      <c r="AU190" s="4"/>
      <c r="AV190" s="4"/>
      <c r="AW190" s="5818" t="str">
        <f t="shared" si="45"/>
        <v>A</v>
      </c>
      <c r="AX190" s="5950"/>
      <c r="AY190" s="5950"/>
      <c r="AZ190" s="5950"/>
      <c r="BA190" s="5950"/>
      <c r="BB190" s="5950"/>
      <c r="BC190" s="2"/>
      <c r="BD190"/>
      <c r="BE190"/>
      <c r="BF190"/>
      <c r="BG190"/>
      <c r="BH190"/>
      <c r="BI190"/>
      <c r="BJ190"/>
      <c r="BL190" s="7178"/>
      <c r="BM190" s="7179"/>
      <c r="BN190" s="7180"/>
      <c r="BO190" s="7180"/>
      <c r="BP190" s="141"/>
      <c r="BQ190" s="141"/>
      <c r="BR190" s="409"/>
      <c r="BT190"/>
      <c r="BU190"/>
      <c r="BV190"/>
      <c r="BX190" s="5">
        <v>1</v>
      </c>
    </row>
    <row r="191" spans="1:76" s="1" customFormat="1" ht="21" customHeight="1" thickTop="1" thickBot="1">
      <c r="A191" s="5641" t="s">
        <v>1</v>
      </c>
      <c r="B191" s="5662" t="str">
        <f t="shared" si="36"/>
        <v>►</v>
      </c>
      <c r="C191" s="5825" cm="1">
        <f t="array" ref="C191">SUMPRODUCT(LEN(D191:J191))</f>
        <v>0</v>
      </c>
      <c r="D191" s="5275"/>
      <c r="E191" s="1361"/>
      <c r="F191" s="1361"/>
      <c r="G191" s="1361"/>
      <c r="H191" s="1361"/>
      <c r="I191" s="1361"/>
      <c r="J191" s="5276"/>
      <c r="K191" s="106" t="s">
        <v>1</v>
      </c>
      <c r="L191" s="1017" t="s">
        <v>26</v>
      </c>
      <c r="M191" s="312" t="str">
        <f>M190</f>
        <v>Coller la-cellule-identité.J.Jus de fraises des bois</v>
      </c>
      <c r="N191" s="311"/>
      <c r="O191" s="311"/>
      <c r="P191" s="311" t="str">
        <f>P190</f>
        <v>Recette mère ► saisissez le nom de la recette mère</v>
      </c>
      <c r="Q191" s="310" t="s">
        <v>218</v>
      </c>
      <c r="R191" s="310" t="s">
        <v>217</v>
      </c>
      <c r="S191" s="310" t="s">
        <v>216</v>
      </c>
      <c r="T191" s="310" t="s">
        <v>215</v>
      </c>
      <c r="U191" s="309" t="s">
        <v>214</v>
      </c>
      <c r="V191" s="308" t="s">
        <v>83</v>
      </c>
      <c r="W191" s="5244" t="s">
        <v>213</v>
      </c>
      <c r="X191" s="5244" t="s">
        <v>212</v>
      </c>
      <c r="Y191" s="5245" t="s">
        <v>211</v>
      </c>
      <c r="Z191" s="1100" t="s">
        <v>210</v>
      </c>
      <c r="AA191" s="1100" t="s">
        <v>7928</v>
      </c>
      <c r="AB191" s="5246" t="s">
        <v>208</v>
      </c>
      <c r="AC191" s="5817" t="s">
        <v>21</v>
      </c>
      <c r="AD191" s="5845"/>
      <c r="AE191" s="5846"/>
      <c r="AF191" s="7359">
        <f>AM25</f>
        <v>0</v>
      </c>
      <c r="AG191" s="7359"/>
      <c r="AH191" s="7359"/>
      <c r="AI191" s="5859"/>
      <c r="AJ191" s="5860"/>
      <c r="AK191" s="5861"/>
      <c r="AL191" s="5862"/>
      <c r="AM191" s="5863" t="str">
        <f>IF(AF191&gt;0," avec poids modifié ❻ " &amp; AO188 &amp; " " &amp; AP188 &amp; " de","")</f>
        <v/>
      </c>
      <c r="AN191" s="5863"/>
      <c r="AO191" s="5864">
        <f>AF191/AO188*1000</f>
        <v>0</v>
      </c>
      <c r="AP191" s="5856"/>
      <c r="AQ191" s="5856"/>
      <c r="AR191" s="5865"/>
      <c r="AS191" s="7383"/>
      <c r="AT191" s="4"/>
      <c r="AU191" s="4"/>
      <c r="AV191" s="4"/>
      <c r="AW191" s="5818" t="str">
        <f t="shared" si="45"/>
        <v>A</v>
      </c>
      <c r="AX191" s="5950"/>
      <c r="AY191" s="5950"/>
      <c r="AZ191" s="5950"/>
      <c r="BA191" s="5950"/>
      <c r="BB191" s="5950"/>
      <c r="BC191" s="2"/>
      <c r="BD191"/>
      <c r="BE191"/>
      <c r="BF191"/>
      <c r="BG191"/>
      <c r="BH191"/>
      <c r="BI191"/>
      <c r="BJ191"/>
      <c r="BL191" s="6078" t="s">
        <v>8634</v>
      </c>
      <c r="BM191" s="141"/>
      <c r="BN191" s="141"/>
      <c r="BO191" s="141"/>
      <c r="BP191" s="141"/>
      <c r="BQ191" s="141"/>
      <c r="BR191" s="409"/>
      <c r="BT191"/>
      <c r="BU191"/>
      <c r="BV191"/>
      <c r="BX191" s="5">
        <v>1</v>
      </c>
    </row>
    <row r="192" spans="1:76" s="1" customFormat="1" ht="21" customHeight="1" thickTop="1">
      <c r="A192" s="5641" t="s">
        <v>1</v>
      </c>
      <c r="B192" s="5662" t="str">
        <f t="shared" si="36"/>
        <v>A</v>
      </c>
      <c r="C192" s="5825" cm="1">
        <f t="array" ref="C192">SUMPRODUCT(LEN(D192:J192))</f>
        <v>0</v>
      </c>
      <c r="D192" s="5275"/>
      <c r="E192" s="1361"/>
      <c r="F192" s="1361"/>
      <c r="G192" s="1361"/>
      <c r="H192" s="1361"/>
      <c r="I192" s="1361"/>
      <c r="J192" s="5276"/>
      <c r="K192" s="106" t="s">
        <v>1</v>
      </c>
      <c r="L192" s="1018" t="s">
        <v>21</v>
      </c>
      <c r="M192" s="41" t="str">
        <f>M190</f>
        <v>Coller la-cellule-identité.J.Jus de fraises des bois</v>
      </c>
      <c r="N192" s="40">
        <f>N190</f>
        <v>18</v>
      </c>
      <c r="O192" s="40" t="str">
        <f>O190</f>
        <v>assiettes</v>
      </c>
      <c r="P192" s="40" t="str">
        <f>P190</f>
        <v>Recette mère ► saisissez le nom de la recette mère</v>
      </c>
      <c r="Q192" s="5247" t="s">
        <v>198</v>
      </c>
      <c r="R192" s="298" t="s">
        <v>197</v>
      </c>
      <c r="S192" s="297"/>
      <c r="T192" s="6904" t="s">
        <v>196</v>
      </c>
      <c r="U192" s="7387" t="s">
        <v>195</v>
      </c>
      <c r="V192" s="7360" t="s">
        <v>82</v>
      </c>
      <c r="W192" s="5248" t="s">
        <v>194</v>
      </c>
      <c r="X192" s="6869" t="s">
        <v>11041</v>
      </c>
      <c r="Y192" s="7361" t="s">
        <v>929</v>
      </c>
      <c r="Z192" s="6965" t="s">
        <v>191</v>
      </c>
      <c r="AA192" s="6965" t="s">
        <v>8009</v>
      </c>
      <c r="AB192" s="7374" t="s">
        <v>8010</v>
      </c>
      <c r="AC192" s="5817" t="s">
        <v>21</v>
      </c>
      <c r="AD192" s="5866"/>
      <c r="AE192" s="5867" t="s">
        <v>8513</v>
      </c>
      <c r="AF192" s="5868"/>
      <c r="AG192" s="5869"/>
      <c r="AH192" s="5869"/>
      <c r="AI192" s="5869"/>
      <c r="AJ192" s="5869"/>
      <c r="AK192" s="5869"/>
      <c r="AL192" s="5869"/>
      <c r="AM192" s="5869"/>
      <c r="AN192" s="5869"/>
      <c r="AO192" s="5869"/>
      <c r="AP192" s="5869"/>
      <c r="AQ192" s="7375" t="s">
        <v>8010</v>
      </c>
      <c r="AR192" s="5870"/>
      <c r="AS192" s="7383"/>
      <c r="AT192" s="4"/>
      <c r="AU192" s="4"/>
      <c r="AV192" s="4"/>
      <c r="AW192" s="5818" t="str">
        <f t="shared" si="45"/>
        <v>A</v>
      </c>
      <c r="AX192" s="5950"/>
      <c r="AY192" s="5950"/>
      <c r="AZ192" s="5950"/>
      <c r="BA192" s="5950"/>
      <c r="BB192" s="5950"/>
      <c r="BC192" s="2"/>
      <c r="BD192"/>
      <c r="BE192"/>
      <c r="BF192"/>
      <c r="BG192"/>
      <c r="BH192"/>
      <c r="BI192"/>
      <c r="BJ192"/>
      <c r="BL192" s="1160"/>
      <c r="BM192" s="102"/>
      <c r="BN192" s="141"/>
      <c r="BO192" s="141"/>
      <c r="BP192" s="141"/>
      <c r="BQ192" s="141"/>
      <c r="BR192" s="409"/>
      <c r="BT192"/>
      <c r="BU192"/>
      <c r="BV192"/>
      <c r="BX192" s="5">
        <v>1</v>
      </c>
    </row>
    <row r="193" spans="1:76" s="1" customFormat="1" ht="21" customHeight="1">
      <c r="A193" s="5641" t="s">
        <v>1</v>
      </c>
      <c r="B193" s="5662" t="str">
        <f t="shared" si="36"/>
        <v>A</v>
      </c>
      <c r="C193" s="5825" cm="1">
        <f t="array" ref="C193">SUMPRODUCT(LEN(D193:J193))</f>
        <v>0</v>
      </c>
      <c r="D193" s="5275"/>
      <c r="E193" s="1361"/>
      <c r="F193" s="1361"/>
      <c r="G193" s="1361"/>
      <c r="H193" s="1361"/>
      <c r="I193" s="1361"/>
      <c r="J193" s="5276"/>
      <c r="K193" s="106" t="s">
        <v>1</v>
      </c>
      <c r="L193" s="1018" t="s">
        <v>21</v>
      </c>
      <c r="M193" s="41" t="str">
        <f>M190</f>
        <v>Coller la-cellule-identité.J.Jus de fraises des bois</v>
      </c>
      <c r="N193" s="40">
        <f>N190</f>
        <v>18</v>
      </c>
      <c r="O193" s="40" t="str">
        <f>O190</f>
        <v>assiettes</v>
      </c>
      <c r="P193" s="40" t="str">
        <f>P190</f>
        <v>Recette mère ► saisissez le nom de la recette mère</v>
      </c>
      <c r="Q193" s="5249" t="s">
        <v>184</v>
      </c>
      <c r="R193" s="286" t="s">
        <v>162</v>
      </c>
      <c r="S193" s="285" t="s">
        <v>186</v>
      </c>
      <c r="T193" s="6905"/>
      <c r="U193" s="6907"/>
      <c r="V193" s="6923"/>
      <c r="W193" s="5250" t="s">
        <v>185</v>
      </c>
      <c r="X193" s="6870" t="s">
        <v>255</v>
      </c>
      <c r="Y193" s="7362"/>
      <c r="Z193" s="6891"/>
      <c r="AA193" s="6891"/>
      <c r="AB193" s="6895"/>
      <c r="AC193" s="5817" t="s">
        <v>21</v>
      </c>
      <c r="AD193" s="5872">
        <v>1</v>
      </c>
      <c r="AE193" s="5873" t="s">
        <v>191</v>
      </c>
      <c r="AF193" s="5874"/>
      <c r="AG193" s="5875"/>
      <c r="AH193" s="5875"/>
      <c r="AI193" s="5875"/>
      <c r="AJ193" s="5875"/>
      <c r="AK193" s="5876" t="s">
        <v>191</v>
      </c>
      <c r="AL193" s="5875"/>
      <c r="AM193" s="5877" t="s">
        <v>8520</v>
      </c>
      <c r="AN193" s="5877" t="s">
        <v>11041</v>
      </c>
      <c r="AO193" s="5875"/>
      <c r="AP193" s="5875" t="s">
        <v>8521</v>
      </c>
      <c r="AQ193" s="7376"/>
      <c r="AR193" s="5878" t="s">
        <v>8522</v>
      </c>
      <c r="AS193" s="7383"/>
      <c r="AT193" s="4"/>
      <c r="AU193" s="4"/>
      <c r="AV193" s="4"/>
      <c r="AW193" s="5818" t="str">
        <f t="shared" si="45"/>
        <v>A</v>
      </c>
      <c r="AX193" s="5950"/>
      <c r="AY193" s="5950"/>
      <c r="AZ193" s="5950"/>
      <c r="BA193" s="5950"/>
      <c r="BB193" s="5950"/>
      <c r="BC193" s="2"/>
      <c r="BD193"/>
      <c r="BE193"/>
      <c r="BF193"/>
      <c r="BG193"/>
      <c r="BH193"/>
      <c r="BI193"/>
      <c r="BJ193"/>
      <c r="BL193" s="6079" t="s">
        <v>252</v>
      </c>
      <c r="BM193" s="1355"/>
      <c r="BN193" s="1355"/>
      <c r="BO193" s="1355"/>
      <c r="BP193" s="1355"/>
      <c r="BQ193" s="1356"/>
      <c r="BR193" s="6080" t="s">
        <v>1117</v>
      </c>
      <c r="BT193"/>
      <c r="BU193"/>
      <c r="BV193"/>
      <c r="BX193" s="5">
        <v>1</v>
      </c>
    </row>
    <row r="194" spans="1:76" s="1" customFormat="1" ht="21" customHeight="1">
      <c r="A194" s="5641" t="s">
        <v>1</v>
      </c>
      <c r="B194" s="5662" t="str">
        <f t="shared" si="36"/>
        <v>A</v>
      </c>
      <c r="C194" s="5825" cm="1">
        <f t="array" ref="C194">SUMPRODUCT(LEN(D194:J194))</f>
        <v>0</v>
      </c>
      <c r="D194" s="5275"/>
      <c r="E194" s="1361"/>
      <c r="F194" s="1361"/>
      <c r="G194" s="1361"/>
      <c r="H194" s="1361"/>
      <c r="I194" s="1361"/>
      <c r="J194" s="5276"/>
      <c r="K194" s="106" t="s">
        <v>1</v>
      </c>
      <c r="L194" s="1018" t="s">
        <v>21</v>
      </c>
      <c r="M194" s="41" t="str">
        <f>M190</f>
        <v>Coller la-cellule-identité.J.Jus de fraises des bois</v>
      </c>
      <c r="N194" s="40">
        <f>N190</f>
        <v>18</v>
      </c>
      <c r="O194" s="40" t="str">
        <f>O190</f>
        <v>assiettes</v>
      </c>
      <c r="P194" s="40" t="str">
        <f>P190</f>
        <v>Recette mère ► saisissez le nom de la recette mère</v>
      </c>
      <c r="Q194" s="213"/>
      <c r="R194" s="256"/>
      <c r="S194" s="211" t="str">
        <f t="shared" ref="S194:S207" si="48">IF(OR(ISTEXT(Q194), Q194&lt;=0, T194&lt;=0), "", "de")</f>
        <v/>
      </c>
      <c r="T194" s="210">
        <v>250</v>
      </c>
      <c r="U194" s="5124" t="s">
        <v>130</v>
      </c>
      <c r="V194" s="5576">
        <v>1</v>
      </c>
      <c r="W194" s="6866" t="s">
        <v>8635</v>
      </c>
      <c r="X194" s="6871"/>
      <c r="Y194" s="5882">
        <f>IFERROR(IFERROR(INDEX(Q210:AB210,MATCH(U194,Q209:AB209,0)),INDEX(Q212:AB212,MATCH(U194,Q211:AB211,0))) * T194 * IF(ISBLANK(Q194), 1, Q194), 0)</f>
        <v>0.25</v>
      </c>
      <c r="Z194" s="5251">
        <f>(Q194/AA189)*AA187*V194</f>
        <v>0</v>
      </c>
      <c r="AA194" s="5252">
        <f>IF(ISBLANK(AA189), 0, (Y194 * V194) * (AA187 / AA189))</f>
        <v>1.3888888888888888</v>
      </c>
      <c r="AB194" s="5253" t="str">
        <f>IF(COUNTIF(Q209:AB209,U194)&gt;0,IF(ROUND(AA194,3)&gt;=1,ROUND(AA194,3)&amp;" L",ROUND(AA194*100,0)&amp;" cl"),IF(COUNTIF(Q211:AB211,U194)&gt;0,IF(ROUND(AA194,3)&gt;=1,ROUND(AA194,3)&amp;" Kg",ROUND(AA194*1000,0)&amp;" g"),""))</f>
        <v>1.389 Kg</v>
      </c>
      <c r="AC194" s="5817" t="str">
        <f>IF(AD194&gt;0,"A","►")</f>
        <v>A</v>
      </c>
      <c r="AD194" s="5883">
        <f>IF(Y208=0,0,Y194*AD193*1000/Y208)</f>
        <v>714.28571428571433</v>
      </c>
      <c r="AE194" s="6053">
        <f>IF(ISNUMBER(Q194),Q194*AD193/Y208,0)</f>
        <v>0</v>
      </c>
      <c r="AF194" s="5885"/>
      <c r="AG194" s="5886"/>
      <c r="AH194" s="5886"/>
      <c r="AI194" s="5886"/>
      <c r="AJ194" s="5899" t="str">
        <f>W194</f>
        <v>fraises</v>
      </c>
      <c r="AK194" s="5888">
        <f>IF(OR(ISTEXT(Q194),Y208=0),0,Q194*AR186)</f>
        <v>0</v>
      </c>
      <c r="AL194" s="5886"/>
      <c r="AM194" s="5889">
        <f t="shared" ref="AM194:AM207" si="49">R194</f>
        <v>0</v>
      </c>
      <c r="AN194" s="8558">
        <f>X194</f>
        <v>0</v>
      </c>
      <c r="AO194" s="5886"/>
      <c r="AP194" s="5890">
        <f>IF(Y194=0,0,Y194*AR186)</f>
        <v>0.625</v>
      </c>
      <c r="AQ194" s="5891" t="str">
        <f>IF(COUNTIF(AD209:AD219,U194)&gt;0,IF(ROUND(AP194,3)&gt;=1,ROUND(AP194,3)&amp;" L",ROUND(AP194*100,0)&amp;" cl"),IF(COUNTIF(AD220:AD230,U194)&gt;0,IF(ROUND(AP194,3)&gt;=1,ROUND(AP194,3)&amp;" Kg",ROUND(AP194*1000,0)&amp;" g"),""))</f>
        <v>625 g</v>
      </c>
      <c r="AR194" s="5892" t="str">
        <f t="shared" ref="AR194:AR207" si="50">W194</f>
        <v>fraises</v>
      </c>
      <c r="AS194" s="7383"/>
      <c r="AT194" s="4"/>
      <c r="AU194" s="4"/>
      <c r="AV194" s="4"/>
      <c r="AW194" s="5818" t="str">
        <f t="shared" si="45"/>
        <v>A</v>
      </c>
      <c r="AX194" s="5950"/>
      <c r="AY194" s="5950"/>
      <c r="AZ194" s="5950"/>
      <c r="BA194" s="5950"/>
      <c r="BB194" s="5950"/>
      <c r="BC194" s="2"/>
      <c r="BD194"/>
      <c r="BE194"/>
      <c r="BF194"/>
      <c r="BG194"/>
      <c r="BH194"/>
      <c r="BI194"/>
      <c r="BJ194"/>
      <c r="BL194" s="6081" t="s">
        <v>1118</v>
      </c>
      <c r="BM194" s="6082" t="s">
        <v>1128</v>
      </c>
      <c r="BN194" s="147"/>
      <c r="BO194" s="147"/>
      <c r="BP194" s="147"/>
      <c r="BQ194" s="147"/>
      <c r="BR194" s="609"/>
      <c r="BT194"/>
      <c r="BU194"/>
      <c r="BV194"/>
      <c r="BX194" s="5">
        <v>1</v>
      </c>
    </row>
    <row r="195" spans="1:76" s="1" customFormat="1" ht="21" customHeight="1">
      <c r="A195" s="5641" t="s">
        <v>1</v>
      </c>
      <c r="B195" s="5662" t="str">
        <f t="shared" si="36"/>
        <v>A</v>
      </c>
      <c r="C195" s="5825" cm="1">
        <f t="array" ref="C195">SUMPRODUCT(LEN(D195:J195))</f>
        <v>0</v>
      </c>
      <c r="D195" s="5275"/>
      <c r="E195" s="1361"/>
      <c r="F195" s="1361"/>
      <c r="G195" s="1361"/>
      <c r="H195" s="1361"/>
      <c r="I195" s="1361"/>
      <c r="J195" s="5276"/>
      <c r="K195" s="106" t="s">
        <v>1</v>
      </c>
      <c r="L195" s="1021" t="str">
        <f t="shared" ref="L195:L207" si="51">IF(W195&lt;&gt;"","A","►")</f>
        <v>A</v>
      </c>
      <c r="M195" s="41" t="str">
        <f>M190</f>
        <v>Coller la-cellule-identité.J.Jus de fraises des bois</v>
      </c>
      <c r="N195" s="40">
        <f>N190</f>
        <v>18</v>
      </c>
      <c r="O195" s="40" t="str">
        <f>O190</f>
        <v>assiettes</v>
      </c>
      <c r="P195" s="40" t="str">
        <f>P190</f>
        <v>Recette mère ► saisissez le nom de la recette mère</v>
      </c>
      <c r="Q195" s="213"/>
      <c r="R195" s="256"/>
      <c r="S195" s="211" t="str">
        <f t="shared" si="48"/>
        <v/>
      </c>
      <c r="T195" s="210">
        <v>50</v>
      </c>
      <c r="U195" s="5124" t="s">
        <v>130</v>
      </c>
      <c r="V195" s="5576">
        <v>1</v>
      </c>
      <c r="W195" s="6866" t="s">
        <v>8636</v>
      </c>
      <c r="X195" s="6872"/>
      <c r="Y195" s="5882">
        <f>IFERROR(IFERROR(INDEX(Q210:AB210,MATCH(U195,Q209:AB209,0)),INDEX(Q212:AB212,MATCH(U195,Q211:AB211,0))) * T195 * IF(ISBLANK(Q195), 1, Q195), 0)</f>
        <v>0.05</v>
      </c>
      <c r="Z195" s="5254">
        <f>(Q195/AA189)*AA187*V195</f>
        <v>0</v>
      </c>
      <c r="AA195" s="5252">
        <f>IF(ISBLANK(AA189), 0, (Y195 * V195) * (AA187 / AA189))</f>
        <v>0.27777777777777779</v>
      </c>
      <c r="AB195" s="5255" t="str">
        <f>IF(COUNTIF(Q209:AB209,U195)&gt;0,IF(ROUND(AA195,3)&gt;=1,ROUND(AA195,3)&amp;" L",ROUND(AA195*100,0)&amp;" cl"),IF(COUNTIF(Q211:AB211,U195)&gt;0,IF(ROUND(AA195,3)&gt;=1,ROUND(AA195,3)&amp;" Kg",ROUND(AA195*1000,0)&amp;" g"),""))</f>
        <v>278 g</v>
      </c>
      <c r="AC195" s="5817" t="str">
        <f t="shared" ref="AC195:AC208" si="52">IF(AD195&gt;0,"A","►")</f>
        <v>A</v>
      </c>
      <c r="AD195" s="5883">
        <f>IF(Y208=0,0,Y195*AD193*1000/Y208)</f>
        <v>142.85714285714286</v>
      </c>
      <c r="AE195" s="6053">
        <f>IF(ISNUMBER(Q195),Q195*AD193/Y208,0)</f>
        <v>0</v>
      </c>
      <c r="AF195" s="5894"/>
      <c r="AG195" s="5804"/>
      <c r="AH195" s="5804"/>
      <c r="AI195" s="5804"/>
      <c r="AJ195" s="5902" t="str">
        <f t="shared" ref="AJ195:AJ207" si="53">W195</f>
        <v>framboises</v>
      </c>
      <c r="AK195" s="5896">
        <f>IF(OR(ISTEXT(Q195),Y208=0),0,Q195*AR186)</f>
        <v>0</v>
      </c>
      <c r="AL195" s="5804"/>
      <c r="AM195" s="5805">
        <f t="shared" si="49"/>
        <v>0</v>
      </c>
      <c r="AN195" s="5805">
        <f t="shared" ref="AN195:AN207" si="54">X195</f>
        <v>0</v>
      </c>
      <c r="AO195" s="5804"/>
      <c r="AP195" s="5788">
        <f>IF(Y195=0,0,Y195*AR186)</f>
        <v>0.125</v>
      </c>
      <c r="AQ195" s="5897" t="str">
        <f>IF(COUNTIF(AD209:AD219,U195)&gt;0,IF(ROUND(AP195,3)&gt;=1,ROUND(AP195,3)&amp;" L",ROUND(AP195*100,0)&amp;" cl"),IF(COUNTIF(AD220:AD230,U195)&gt;0,IF(ROUND(AP195,3)&gt;=1,ROUND(AP195,3)&amp;" Kg",ROUND(AP195*1000,0)&amp;" g"),""))</f>
        <v>125 g</v>
      </c>
      <c r="AR195" s="5898" t="str">
        <f t="shared" si="50"/>
        <v>framboises</v>
      </c>
      <c r="AS195" s="7383"/>
      <c r="AT195" s="4"/>
      <c r="AU195" s="4"/>
      <c r="AV195" s="4"/>
      <c r="AW195" s="5818" t="str">
        <f t="shared" si="45"/>
        <v>A</v>
      </c>
      <c r="AX195" s="5950"/>
      <c r="AY195" s="5950"/>
      <c r="AZ195" s="5950"/>
      <c r="BA195" s="5950"/>
      <c r="BB195" s="5950"/>
      <c r="BC195" s="2"/>
      <c r="BD195"/>
      <c r="BE195"/>
      <c r="BF195"/>
      <c r="BG195"/>
      <c r="BH195"/>
      <c r="BI195"/>
      <c r="BJ195"/>
      <c r="BL195" s="6081" t="s">
        <v>1118</v>
      </c>
      <c r="BM195" s="6082" t="s">
        <v>1129</v>
      </c>
      <c r="BN195" s="1361"/>
      <c r="BO195" s="1361"/>
      <c r="BP195" s="1362"/>
      <c r="BQ195" s="988"/>
      <c r="BR195" s="989"/>
      <c r="BT195"/>
      <c r="BU195"/>
      <c r="BV195"/>
      <c r="BX195" s="5">
        <v>1</v>
      </c>
    </row>
    <row r="196" spans="1:76" s="1" customFormat="1" ht="21" customHeight="1">
      <c r="A196" s="5641" t="s">
        <v>1</v>
      </c>
      <c r="B196" s="5662" t="str">
        <f t="shared" si="36"/>
        <v>A</v>
      </c>
      <c r="C196" s="5825" cm="1">
        <f t="array" ref="C196">SUMPRODUCT(LEN(D196:J196))</f>
        <v>0</v>
      </c>
      <c r="D196" s="5275"/>
      <c r="E196" s="1361"/>
      <c r="F196" s="1361"/>
      <c r="G196" s="1361"/>
      <c r="H196" s="1361"/>
      <c r="I196" s="1361"/>
      <c r="J196" s="5276"/>
      <c r="K196" s="106" t="s">
        <v>1</v>
      </c>
      <c r="L196" s="1021" t="str">
        <f t="shared" si="51"/>
        <v>A</v>
      </c>
      <c r="M196" s="41" t="str">
        <f>M190</f>
        <v>Coller la-cellule-identité.J.Jus de fraises des bois</v>
      </c>
      <c r="N196" s="40">
        <f>N190</f>
        <v>18</v>
      </c>
      <c r="O196" s="40" t="str">
        <f>O190</f>
        <v>assiettes</v>
      </c>
      <c r="P196" s="40" t="str">
        <f>P190</f>
        <v>Recette mère ► saisissez le nom de la recette mère</v>
      </c>
      <c r="Q196" s="213"/>
      <c r="R196" s="212"/>
      <c r="S196" s="211" t="str">
        <f t="shared" si="48"/>
        <v/>
      </c>
      <c r="T196" s="210">
        <v>50</v>
      </c>
      <c r="U196" s="5124" t="s">
        <v>130</v>
      </c>
      <c r="V196" s="5576">
        <v>1</v>
      </c>
      <c r="W196" s="6866" t="s">
        <v>8622</v>
      </c>
      <c r="X196" s="6871"/>
      <c r="Y196" s="5882">
        <f>IFERROR(IFERROR(INDEX(Q210:AB210,MATCH(U196,Q209:AB209,0)),INDEX(Q212:AB212,MATCH(U196,Q211:AB211,0))) * T196 * IF(ISBLANK(Q196), 1, Q196), 0)</f>
        <v>0.05</v>
      </c>
      <c r="Z196" s="5256">
        <f>(Q196/AA189)*AA187*V196</f>
        <v>0</v>
      </c>
      <c r="AA196" s="5252">
        <f>IF(ISBLANK(AA189), 0, (Y196 * V196) * (AA187 / AA189))</f>
        <v>0.27777777777777779</v>
      </c>
      <c r="AB196" s="5257" t="str">
        <f>IF(COUNTIF(Q209:AB209,U196)&gt;0,IF(ROUND(AA196,3)&gt;=1,ROUND(AA196,3)&amp;" L",ROUND(AA196*100,0)&amp;" cl"),IF(COUNTIF(Q211:AB211,U196)&gt;0,IF(ROUND(AA196,3)&gt;=1,ROUND(AA196,3)&amp;" Kg",ROUND(AA196*1000,0)&amp;" g"),""))</f>
        <v>278 g</v>
      </c>
      <c r="AC196" s="5817" t="str">
        <f t="shared" si="52"/>
        <v>A</v>
      </c>
      <c r="AD196" s="5883">
        <f>IF(Y208=0,0,Y196*AD193*1000/Y208)</f>
        <v>142.85714285714286</v>
      </c>
      <c r="AE196" s="6053">
        <f>IF(ISNUMBER(Q196),Q196*AD193/Y208,0)</f>
        <v>0</v>
      </c>
      <c r="AF196" s="5885"/>
      <c r="AG196" s="5886"/>
      <c r="AH196" s="5886"/>
      <c r="AI196" s="5886"/>
      <c r="AJ196" s="5899" t="str">
        <f t="shared" si="53"/>
        <v>sucre semoule pâtissière</v>
      </c>
      <c r="AK196" s="5888">
        <f>IF(OR(ISTEXT(Q196),Y208=0),0,Q196*AR186)</f>
        <v>0</v>
      </c>
      <c r="AL196" s="5886"/>
      <c r="AM196" s="5889">
        <f t="shared" si="49"/>
        <v>0</v>
      </c>
      <c r="AN196" s="8558">
        <f t="shared" si="54"/>
        <v>0</v>
      </c>
      <c r="AO196" s="5886"/>
      <c r="AP196" s="5890">
        <f>IF(Y196=0,0,Y196*AR186)</f>
        <v>0.125</v>
      </c>
      <c r="AQ196" s="5891" t="str">
        <f>IF(COUNTIF(AD209:AD219,U196)&gt;0,IF(ROUND(AP196,3)&gt;=1,ROUND(AP196,3)&amp;" L",ROUND(AP196*100,0)&amp;" cl"),IF(COUNTIF(AD220:AD230,U196)&gt;0,IF(ROUND(AP196,3)&gt;=1,ROUND(AP196,3)&amp;" Kg",ROUND(AP196*1000,0)&amp;" g"),""))</f>
        <v>125 g</v>
      </c>
      <c r="AR196" s="5892" t="str">
        <f t="shared" si="50"/>
        <v>sucre semoule pâtissière</v>
      </c>
      <c r="AS196" s="7383"/>
      <c r="AT196" s="4"/>
      <c r="AU196" s="4"/>
      <c r="AV196" s="4"/>
      <c r="AW196" s="5818" t="str">
        <f t="shared" si="45"/>
        <v>A</v>
      </c>
      <c r="AX196" s="5950"/>
      <c r="AY196" s="5950"/>
      <c r="AZ196" s="5950"/>
      <c r="BA196" s="5950"/>
      <c r="BB196" s="5950"/>
      <c r="BC196" s="2"/>
      <c r="BD196"/>
      <c r="BE196"/>
      <c r="BF196"/>
      <c r="BG196"/>
      <c r="BH196"/>
      <c r="BI196"/>
      <c r="BJ196"/>
      <c r="BL196" s="6081" t="s">
        <v>1118</v>
      </c>
      <c r="BM196" s="6082" t="s">
        <v>1130</v>
      </c>
      <c r="BN196" s="147"/>
      <c r="BO196" s="147"/>
      <c r="BP196" s="988"/>
      <c r="BQ196" s="988"/>
      <c r="BR196" s="989"/>
      <c r="BT196"/>
      <c r="BU196"/>
      <c r="BV196"/>
      <c r="BX196" s="5">
        <v>1</v>
      </c>
    </row>
    <row r="197" spans="1:76" s="1" customFormat="1" ht="21" customHeight="1">
      <c r="A197" s="5641" t="s">
        <v>1</v>
      </c>
      <c r="B197" s="5662" t="str">
        <f t="shared" si="36"/>
        <v>►</v>
      </c>
      <c r="C197" s="5825" cm="1">
        <f t="array" ref="C197">SUMPRODUCT(LEN(D197:J197))</f>
        <v>0</v>
      </c>
      <c r="D197" s="5275"/>
      <c r="E197" s="1361"/>
      <c r="F197" s="1361"/>
      <c r="G197" s="1361"/>
      <c r="H197" s="1361"/>
      <c r="I197" s="1361"/>
      <c r="J197" s="5276"/>
      <c r="K197" s="106" t="s">
        <v>1</v>
      </c>
      <c r="L197" s="1021" t="str">
        <f t="shared" si="51"/>
        <v>►</v>
      </c>
      <c r="M197" s="41" t="str">
        <f>M190</f>
        <v>Coller la-cellule-identité.J.Jus de fraises des bois</v>
      </c>
      <c r="N197" s="40">
        <f>N190</f>
        <v>18</v>
      </c>
      <c r="O197" s="40" t="str">
        <f>O190</f>
        <v>assiettes</v>
      </c>
      <c r="P197" s="40" t="str">
        <f>P190</f>
        <v>Recette mère ► saisissez le nom de la recette mère</v>
      </c>
      <c r="Q197" s="213"/>
      <c r="R197" s="212"/>
      <c r="S197" s="211" t="str">
        <f t="shared" si="48"/>
        <v/>
      </c>
      <c r="T197" s="210"/>
      <c r="U197" s="5259"/>
      <c r="V197" s="5576">
        <v>1</v>
      </c>
      <c r="W197" s="6866"/>
      <c r="X197" s="6871"/>
      <c r="Y197" s="5882">
        <f>IFERROR(IFERROR(INDEX(Q210:AB210,MATCH(U197,Q209:AB209,0)),INDEX(Q212:AB212,MATCH(U197,Q211:AB211,0))) * T197 * IF(ISBLANK(Q197), 1, Q197), 0)</f>
        <v>0</v>
      </c>
      <c r="Z197" s="5254">
        <f>(Q197/AA189)*AA187*V197</f>
        <v>0</v>
      </c>
      <c r="AA197" s="5252">
        <f>IF(ISBLANK(AA189), 0, (Y197 * V197) * (AA187 / AA189))</f>
        <v>0</v>
      </c>
      <c r="AB197" s="5255" t="str">
        <f>IF(COUNTIF(Q209:AB209,U197)&gt;0,IF(ROUND(AA197,3)&gt;=1,ROUND(AA197,3)&amp;" L",ROUND(AA197*100,0)&amp;" cl"),IF(COUNTIF(Q211:AB211,U197)&gt;0,IF(ROUND(AA197,3)&gt;=1,ROUND(AA197,3)&amp;" Kg",ROUND(AA197*1000,0)&amp;" g"),""))</f>
        <v/>
      </c>
      <c r="AC197" s="5817" t="str">
        <f t="shared" si="52"/>
        <v>►</v>
      </c>
      <c r="AD197" s="5883">
        <f>IF(Y208=0,0,Y197*AD193*1000/Y208)</f>
        <v>0</v>
      </c>
      <c r="AE197" s="6053">
        <f>IF(ISNUMBER(Q197),Q197*AD193/Y208,0)</f>
        <v>0</v>
      </c>
      <c r="AF197" s="5894"/>
      <c r="AG197" s="5804"/>
      <c r="AH197" s="5804"/>
      <c r="AI197" s="5804"/>
      <c r="AJ197" s="5902">
        <f t="shared" si="53"/>
        <v>0</v>
      </c>
      <c r="AK197" s="5896">
        <f>IF(OR(ISTEXT(Q197),Y208=0),0,Q197*AR186)</f>
        <v>0</v>
      </c>
      <c r="AL197" s="5804"/>
      <c r="AM197" s="5805">
        <f t="shared" si="49"/>
        <v>0</v>
      </c>
      <c r="AN197" s="5805">
        <f t="shared" si="54"/>
        <v>0</v>
      </c>
      <c r="AO197" s="5804"/>
      <c r="AP197" s="5788">
        <f>IF(Y197=0,0,Y197*AR186)</f>
        <v>0</v>
      </c>
      <c r="AQ197" s="5897" t="str">
        <f>IF(COUNTIF(AD209:AD219,U197)&gt;0,IF(ROUND(AP197,3)&gt;=1,ROUND(AP197,3)&amp;" L",ROUND(AP197*100,0)&amp;" cl"),IF(COUNTIF(AD220:AD230,U197)&gt;0,IF(ROUND(AP197,3)&gt;=1,ROUND(AP197,3)&amp;" Kg",ROUND(AP197*1000,0)&amp;" g"),""))</f>
        <v/>
      </c>
      <c r="AR197" s="5898">
        <f t="shared" si="50"/>
        <v>0</v>
      </c>
      <c r="AS197" s="7383"/>
      <c r="AT197" s="4"/>
      <c r="AU197" s="4"/>
      <c r="AV197" s="4"/>
      <c r="AW197" s="5818" t="str">
        <f t="shared" si="45"/>
        <v>►</v>
      </c>
      <c r="AX197" s="5950"/>
      <c r="AY197" s="5950"/>
      <c r="AZ197" s="5950"/>
      <c r="BA197" s="5950"/>
      <c r="BB197" s="5950"/>
      <c r="BC197" s="2"/>
      <c r="BD197"/>
      <c r="BE197"/>
      <c r="BF197"/>
      <c r="BG197"/>
      <c r="BH197"/>
      <c r="BI197"/>
      <c r="BJ197"/>
      <c r="BL197" s="986"/>
      <c r="BM197" s="1361"/>
      <c r="BN197" s="1361"/>
      <c r="BO197" s="1361"/>
      <c r="BP197" s="1361"/>
      <c r="BQ197" s="1361"/>
      <c r="BR197" s="6063" t="s">
        <v>1112</v>
      </c>
      <c r="BT197"/>
      <c r="BU197"/>
      <c r="BV197"/>
      <c r="BX197" s="5">
        <v>1</v>
      </c>
    </row>
    <row r="198" spans="1:76" s="1" customFormat="1" ht="21" customHeight="1">
      <c r="A198" s="5641" t="s">
        <v>1</v>
      </c>
      <c r="B198" s="5662" t="str">
        <f t="shared" ref="B198:B261" si="55">L198</f>
        <v>►</v>
      </c>
      <c r="C198" s="5825" cm="1">
        <f t="array" ref="C198">SUMPRODUCT(LEN(D198:J198))</f>
        <v>0</v>
      </c>
      <c r="D198" s="5275"/>
      <c r="E198" s="1361"/>
      <c r="F198" s="1361"/>
      <c r="G198" s="1361"/>
      <c r="H198" s="1361"/>
      <c r="I198" s="1361"/>
      <c r="J198" s="5276"/>
      <c r="K198" s="106" t="s">
        <v>1</v>
      </c>
      <c r="L198" s="1021" t="str">
        <f t="shared" si="51"/>
        <v>►</v>
      </c>
      <c r="M198" s="41" t="str">
        <f>M190</f>
        <v>Coller la-cellule-identité.J.Jus de fraises des bois</v>
      </c>
      <c r="N198" s="40">
        <f>N190</f>
        <v>18</v>
      </c>
      <c r="O198" s="40" t="str">
        <f>O190</f>
        <v>assiettes</v>
      </c>
      <c r="P198" s="40" t="str">
        <f>P190</f>
        <v>Recette mère ► saisissez le nom de la recette mère</v>
      </c>
      <c r="Q198" s="213"/>
      <c r="R198" s="212"/>
      <c r="S198" s="211" t="str">
        <f t="shared" si="48"/>
        <v/>
      </c>
      <c r="T198" s="210"/>
      <c r="U198" s="5259"/>
      <c r="V198" s="5576">
        <v>1</v>
      </c>
      <c r="W198" s="6866"/>
      <c r="X198" s="6871"/>
      <c r="Y198" s="5882">
        <f>IFERROR(IFERROR(INDEX(Q210:AB210,MATCH(U198,Q209:AB209,0)),INDEX(Q212:AB212,MATCH(U198,Q211:AB211,0))) * T198 * IF(ISBLANK(Q198), 1, Q198), 0)</f>
        <v>0</v>
      </c>
      <c r="Z198" s="5256">
        <f>(Q198/AA189)*AA187*V198</f>
        <v>0</v>
      </c>
      <c r="AA198" s="5252">
        <f>IF(ISBLANK(AA189), 0, (Y198 * V198) * (AA187 / AA189))</f>
        <v>0</v>
      </c>
      <c r="AB198" s="5257" t="str">
        <f>IF(COUNTIF(Q209:AB209,U198)&gt;0,IF(ROUND(AA198,3)&gt;=1,ROUND(AA198,3)&amp;" L",ROUND(AA198*100,0)&amp;" cl"),IF(COUNTIF(Q211:AB211,U198)&gt;0,IF(ROUND(AA198,3)&gt;=1,ROUND(AA198,3)&amp;" Kg",ROUND(AA198*1000,0)&amp;" g"),""))</f>
        <v/>
      </c>
      <c r="AC198" s="5817" t="str">
        <f t="shared" si="52"/>
        <v>►</v>
      </c>
      <c r="AD198" s="5883">
        <f>IF(Y208=0,0,Y198*AD193*1000/Y208)</f>
        <v>0</v>
      </c>
      <c r="AE198" s="6053">
        <f>IF(ISNUMBER(Q198),Q198*AD193/Y208,0)</f>
        <v>0</v>
      </c>
      <c r="AF198" s="5885"/>
      <c r="AG198" s="5886"/>
      <c r="AH198" s="5886"/>
      <c r="AI198" s="5886"/>
      <c r="AJ198" s="5899">
        <f t="shared" si="53"/>
        <v>0</v>
      </c>
      <c r="AK198" s="5888">
        <f>IF(OR(ISTEXT(Q198),Y208=0),0,Q198*AR186)</f>
        <v>0</v>
      </c>
      <c r="AL198" s="5886"/>
      <c r="AM198" s="5889">
        <f t="shared" si="49"/>
        <v>0</v>
      </c>
      <c r="AN198" s="8558">
        <f t="shared" si="54"/>
        <v>0</v>
      </c>
      <c r="AO198" s="5886"/>
      <c r="AP198" s="5890">
        <f>IF(Y198=0,0,Y198*AR186)</f>
        <v>0</v>
      </c>
      <c r="AQ198" s="5891" t="str">
        <f>IF(COUNTIF(AD209:AD219,U198)&gt;0,IF(ROUND(AP198,3)&gt;=1,ROUND(AP198,3)&amp;" L",ROUND(AP198*100,0)&amp;" cl"),IF(COUNTIF(AD220:AD230,U198)&gt;0,IF(ROUND(AP198,3)&gt;=1,ROUND(AP198,3)&amp;" Kg",ROUND(AP198*1000,0)&amp;" g"),""))</f>
        <v/>
      </c>
      <c r="AR198" s="5892">
        <f t="shared" si="50"/>
        <v>0</v>
      </c>
      <c r="AS198" s="7383"/>
      <c r="AT198" s="4"/>
      <c r="AU198" s="4"/>
      <c r="AV198" s="4"/>
      <c r="AW198" s="5818" t="str">
        <f t="shared" si="45"/>
        <v>►</v>
      </c>
      <c r="AX198" s="5950"/>
      <c r="AY198" s="5950"/>
      <c r="AZ198" s="5950"/>
      <c r="BA198" s="5950"/>
      <c r="BB198" s="5950"/>
      <c r="BC198" s="2"/>
      <c r="BD198"/>
      <c r="BE198"/>
      <c r="BF198"/>
      <c r="BG198"/>
      <c r="BH198"/>
      <c r="BI198"/>
      <c r="BJ198"/>
      <c r="BL198" s="6064"/>
      <c r="BM198" s="1002"/>
      <c r="BN198" s="1002" t="s">
        <v>873</v>
      </c>
      <c r="BO198" s="1003"/>
      <c r="BP198" s="1329"/>
      <c r="BQ198" s="1329"/>
      <c r="BR198" s="6065"/>
      <c r="BT198"/>
      <c r="BU198"/>
      <c r="BV198"/>
      <c r="BX198" s="5">
        <v>1</v>
      </c>
    </row>
    <row r="199" spans="1:76" s="1" customFormat="1" ht="21" customHeight="1" thickBot="1">
      <c r="A199" s="5641" t="s">
        <v>1</v>
      </c>
      <c r="B199" s="5662" t="str">
        <f t="shared" si="55"/>
        <v>►</v>
      </c>
      <c r="C199" s="5825" cm="1">
        <f t="array" ref="C199">SUMPRODUCT(LEN(D199:J199))</f>
        <v>0</v>
      </c>
      <c r="D199" s="5275"/>
      <c r="E199" s="1361"/>
      <c r="F199" s="1361"/>
      <c r="G199" s="1361"/>
      <c r="H199" s="1361"/>
      <c r="I199" s="1361"/>
      <c r="J199" s="5276"/>
      <c r="K199" s="106" t="s">
        <v>1</v>
      </c>
      <c r="L199" s="1021" t="str">
        <f t="shared" si="51"/>
        <v>►</v>
      </c>
      <c r="M199" s="41" t="str">
        <f>M190</f>
        <v>Coller la-cellule-identité.J.Jus de fraises des bois</v>
      </c>
      <c r="N199" s="40">
        <f>N190</f>
        <v>18</v>
      </c>
      <c r="O199" s="40" t="str">
        <f>O190</f>
        <v>assiettes</v>
      </c>
      <c r="P199" s="40" t="str">
        <f>P190</f>
        <v>Recette mère ► saisissez le nom de la recette mère</v>
      </c>
      <c r="Q199" s="213"/>
      <c r="R199" s="212"/>
      <c r="S199" s="211" t="str">
        <f t="shared" si="48"/>
        <v/>
      </c>
      <c r="T199" s="210"/>
      <c r="U199" s="5259"/>
      <c r="V199" s="5576">
        <v>1</v>
      </c>
      <c r="W199" s="6866"/>
      <c r="X199" s="6871"/>
      <c r="Y199" s="5882">
        <f>IFERROR(IFERROR(INDEX(Q210:AB210,MATCH(U199,Q209:AB209,0)),INDEX(Q212:AB212,MATCH(U199,Q211:AB211,0))) * T199 * IF(ISBLANK(Q199), 1, Q199), 0)</f>
        <v>0</v>
      </c>
      <c r="Z199" s="5254">
        <f>(Q199/AA189)*AA187*V199</f>
        <v>0</v>
      </c>
      <c r="AA199" s="5252">
        <f>IF(ISBLANK(AA189), 0, (Y199 * V199) * (AA187 / AA189))</f>
        <v>0</v>
      </c>
      <c r="AB199" s="5255" t="str">
        <f>IF(COUNTIF(Q209:AB209,U199)&gt;0,IF(ROUND(AA199,3)&gt;=1,ROUND(AA199,3)&amp;" L",ROUND(AA199*100,0)&amp;" cl"),IF(COUNTIF(Q211:AB211,U199)&gt;0,IF(ROUND(AA199,3)&gt;=1,ROUND(AA199,3)&amp;" Kg",ROUND(AA199*1000,0)&amp;" g"),""))</f>
        <v/>
      </c>
      <c r="AC199" s="5817" t="str">
        <f t="shared" si="52"/>
        <v>►</v>
      </c>
      <c r="AD199" s="5883">
        <f>IF(Y208=0,0,Y199*AD193*1000/Y208)</f>
        <v>0</v>
      </c>
      <c r="AE199" s="6053">
        <f>IF(ISNUMBER(Q199),Q199*AD193/Y208,0)</f>
        <v>0</v>
      </c>
      <c r="AF199" s="5894"/>
      <c r="AG199" s="5804"/>
      <c r="AH199" s="5804"/>
      <c r="AI199" s="5804"/>
      <c r="AJ199" s="5902">
        <f t="shared" si="53"/>
        <v>0</v>
      </c>
      <c r="AK199" s="5896">
        <f>IF(OR(ISTEXT(Q199),Y208=0),0,Q199*AR186)</f>
        <v>0</v>
      </c>
      <c r="AL199" s="5804"/>
      <c r="AM199" s="5805">
        <f t="shared" si="49"/>
        <v>0</v>
      </c>
      <c r="AN199" s="5805">
        <f t="shared" si="54"/>
        <v>0</v>
      </c>
      <c r="AO199" s="5804"/>
      <c r="AP199" s="5788">
        <f>IF(Y199=0,0,Y199*AR186)</f>
        <v>0</v>
      </c>
      <c r="AQ199" s="5897" t="str">
        <f>IF(COUNTIF(AD209:AD219,U199)&gt;0,IF(ROUND(AP199,3)&gt;=1,ROUND(AP199,3)&amp;" L",ROUND(AP199*100,0)&amp;" cl"),IF(COUNTIF(AD220:AD230,U199)&gt;0,IF(ROUND(AP199,3)&gt;=1,ROUND(AP199,3)&amp;" Kg",ROUND(AP199*1000,0)&amp;" g"),""))</f>
        <v/>
      </c>
      <c r="AR199" s="5898">
        <f t="shared" si="50"/>
        <v>0</v>
      </c>
      <c r="AS199" s="7383"/>
      <c r="AT199" s="4"/>
      <c r="AU199" s="4"/>
      <c r="AV199" s="4"/>
      <c r="AW199" s="5818" t="str">
        <f t="shared" si="45"/>
        <v>►</v>
      </c>
      <c r="AX199" s="5950"/>
      <c r="AY199" s="5950"/>
      <c r="AZ199" s="5950"/>
      <c r="BA199" s="5950"/>
      <c r="BB199" s="5950"/>
      <c r="BC199" s="2"/>
      <c r="BD199"/>
      <c r="BE199"/>
      <c r="BF199"/>
      <c r="BG199"/>
      <c r="BH199"/>
      <c r="BI199"/>
      <c r="BJ199"/>
      <c r="BL199" s="1005" t="s">
        <v>86</v>
      </c>
      <c r="BM199" s="1006"/>
      <c r="BN199" s="1007"/>
      <c r="BO199" s="1008"/>
      <c r="BP199" s="1007"/>
      <c r="BQ199" s="1007"/>
      <c r="BR199" s="1009"/>
      <c r="BT199"/>
      <c r="BU199"/>
      <c r="BV199"/>
      <c r="BX199" s="5">
        <v>1</v>
      </c>
    </row>
    <row r="200" spans="1:76" s="1" customFormat="1" ht="21" customHeight="1">
      <c r="A200" s="5641" t="s">
        <v>1</v>
      </c>
      <c r="B200" s="5662" t="str">
        <f t="shared" si="55"/>
        <v>►</v>
      </c>
      <c r="C200" s="5825" cm="1">
        <f t="array" ref="C200">SUMPRODUCT(LEN(D200:J200))</f>
        <v>0</v>
      </c>
      <c r="D200" s="5275"/>
      <c r="E200" s="1361"/>
      <c r="F200" s="1361"/>
      <c r="G200" s="1361"/>
      <c r="H200" s="1361"/>
      <c r="I200" s="1361"/>
      <c r="J200" s="5276"/>
      <c r="K200" s="106" t="s">
        <v>1</v>
      </c>
      <c r="L200" s="1021" t="str">
        <f t="shared" si="51"/>
        <v>►</v>
      </c>
      <c r="M200" s="41" t="str">
        <f>M190</f>
        <v>Coller la-cellule-identité.J.Jus de fraises des bois</v>
      </c>
      <c r="N200" s="40">
        <f>N190</f>
        <v>18</v>
      </c>
      <c r="O200" s="40" t="str">
        <f>O190</f>
        <v>assiettes</v>
      </c>
      <c r="P200" s="40" t="str">
        <f>P190</f>
        <v>Recette mère ► saisissez le nom de la recette mère</v>
      </c>
      <c r="Q200" s="213"/>
      <c r="R200" s="212"/>
      <c r="S200" s="211" t="str">
        <f t="shared" si="48"/>
        <v/>
      </c>
      <c r="T200" s="210"/>
      <c r="U200" s="5259"/>
      <c r="V200" s="5576">
        <v>1</v>
      </c>
      <c r="W200" s="6866"/>
      <c r="X200" s="6871"/>
      <c r="Y200" s="5882">
        <f>IFERROR(IFERROR(INDEX(Q210:AB210,MATCH(U200,Q209:AB209,0)),INDEX(Q212:AB212,MATCH(U200,Q211:AB211,0))) * T200 * IF(ISBLANK(Q200), 1, Q200), 0)</f>
        <v>0</v>
      </c>
      <c r="Z200" s="5256">
        <f>(Q200/AA189)*AA187*V200</f>
        <v>0</v>
      </c>
      <c r="AA200" s="5252">
        <f>IF(ISBLANK(AA189), 0, (Y200 * V200) * (AA187 / AA189))</f>
        <v>0</v>
      </c>
      <c r="AB200" s="5258" t="str">
        <f>IF(COUNTIF(Q209:AB209,U200)&gt;0,IF(ROUND(AA200,3)&gt;=1,ROUND(AA200,3)&amp;" L",ROUND(AA200*100,0)&amp;" cl"),IF(COUNTIF(Q211:AB211,U200)&gt;0,IF(ROUND(AA200,3)&gt;=1,ROUND(AA200,3)&amp;" Kg",ROUND(AA200*1000,0)&amp;" g"),""))</f>
        <v/>
      </c>
      <c r="AC200" s="5817" t="str">
        <f t="shared" si="52"/>
        <v>►</v>
      </c>
      <c r="AD200" s="5883">
        <f>IF(Y208=0,0,Y200*AD193*1000/Y208)</f>
        <v>0</v>
      </c>
      <c r="AE200" s="6053">
        <f>IF(ISNUMBER(Q200),Q200*AD193/Y208,0)</f>
        <v>0</v>
      </c>
      <c r="AF200" s="5885"/>
      <c r="AG200" s="5886"/>
      <c r="AH200" s="5886"/>
      <c r="AI200" s="5886"/>
      <c r="AJ200" s="5899">
        <f t="shared" si="53"/>
        <v>0</v>
      </c>
      <c r="AK200" s="5888">
        <f>IF(OR(ISTEXT(Q200),Y208=0),0,Q200*AR186)</f>
        <v>0</v>
      </c>
      <c r="AL200" s="5886"/>
      <c r="AM200" s="5889">
        <f t="shared" si="49"/>
        <v>0</v>
      </c>
      <c r="AN200" s="8558">
        <f t="shared" si="54"/>
        <v>0</v>
      </c>
      <c r="AO200" s="5886"/>
      <c r="AP200" s="5890">
        <f>IF(Y200=0,0,Y200*AR186)</f>
        <v>0</v>
      </c>
      <c r="AQ200" s="5891" t="str">
        <f>IF(COUNTIF(AD209:AD219,U200)&gt;0,IF(ROUND(AP200,3)&gt;=1,ROUND(AP200,3)&amp;" L",ROUND(AP200*100,0)&amp;" cl"),IF(COUNTIF(AD220:AD230,U200)&gt;0,IF(ROUND(AP200,3)&gt;=1,ROUND(AP200,3)&amp;" Kg",ROUND(AP200*1000,0)&amp;" g"),""))</f>
        <v/>
      </c>
      <c r="AR200" s="5892">
        <f t="shared" si="50"/>
        <v>0</v>
      </c>
      <c r="AS200" s="7383"/>
      <c r="AT200" s="4"/>
      <c r="AU200" s="4"/>
      <c r="AV200" s="4"/>
      <c r="AW200" s="5818" t="str">
        <f t="shared" si="45"/>
        <v>►</v>
      </c>
      <c r="AX200" s="5950"/>
      <c r="AY200" s="5950"/>
      <c r="AZ200" s="5950"/>
      <c r="BA200" s="5950"/>
      <c r="BB200" s="5950"/>
      <c r="BC200" s="2"/>
      <c r="BD200"/>
      <c r="BE200"/>
      <c r="BF200"/>
      <c r="BG200"/>
      <c r="BH200"/>
      <c r="BI200"/>
      <c r="BJ200"/>
      <c r="BL200" s="343"/>
      <c r="BM200"/>
      <c r="BN200"/>
      <c r="BO200"/>
      <c r="BP200"/>
      <c r="BQ200"/>
      <c r="BR200" s="762"/>
      <c r="BT200"/>
      <c r="BU200"/>
      <c r="BV200"/>
      <c r="BX200" s="5">
        <v>1</v>
      </c>
    </row>
    <row r="201" spans="1:76" s="1" customFormat="1" ht="21" customHeight="1">
      <c r="A201" s="5641" t="s">
        <v>1</v>
      </c>
      <c r="B201" s="5662" t="str">
        <f t="shared" si="55"/>
        <v>►</v>
      </c>
      <c r="C201" s="5825" cm="1">
        <f t="array" ref="C201">SUMPRODUCT(LEN(D201:J201))</f>
        <v>0</v>
      </c>
      <c r="D201" s="5275"/>
      <c r="E201" s="1361"/>
      <c r="F201" s="1361"/>
      <c r="G201" s="1361"/>
      <c r="H201" s="1361"/>
      <c r="I201" s="1361"/>
      <c r="J201" s="5276"/>
      <c r="K201" s="106" t="s">
        <v>1</v>
      </c>
      <c r="L201" s="1021" t="str">
        <f t="shared" si="51"/>
        <v>►</v>
      </c>
      <c r="M201" s="41" t="str">
        <f>M190</f>
        <v>Coller la-cellule-identité.J.Jus de fraises des bois</v>
      </c>
      <c r="N201" s="40">
        <f>N190</f>
        <v>18</v>
      </c>
      <c r="O201" s="40" t="str">
        <f>O190</f>
        <v>assiettes</v>
      </c>
      <c r="P201" s="40" t="str">
        <f>P190</f>
        <v>Recette mère ► saisissez le nom de la recette mère</v>
      </c>
      <c r="Q201" s="213"/>
      <c r="R201" s="212"/>
      <c r="S201" s="211" t="str">
        <f t="shared" si="48"/>
        <v/>
      </c>
      <c r="T201" s="210"/>
      <c r="U201" s="5259"/>
      <c r="V201" s="5576">
        <v>1</v>
      </c>
      <c r="W201" s="6866"/>
      <c r="X201" s="6871"/>
      <c r="Y201" s="5882">
        <f>IFERROR(IFERROR(INDEX(Q210:AB210,MATCH(U201,Q209:AB209,0)),INDEX(Q212:AB212,MATCH(U201,Q211:AB211,0))) * T201 * IF(ISBLANK(Q201), 1, Q201), 0)</f>
        <v>0</v>
      </c>
      <c r="Z201" s="5254">
        <f>(Q201/AA189)*AA187*V201</f>
        <v>0</v>
      </c>
      <c r="AA201" s="5252">
        <f>IF(ISBLANK(AA189), 0, (Y201 * V201) * (AA187 / AA189))</f>
        <v>0</v>
      </c>
      <c r="AB201" s="5255" t="str">
        <f>IF(COUNTIF(Q209:AB209,U201)&gt;0,IF(ROUND(AA201,3)&gt;=1,ROUND(AA201,3)&amp;" L",ROUND(AA201*100,0)&amp;" cl"),IF(COUNTIF(Q211:AB211,U201)&gt;0,IF(ROUND(AA201,3)&gt;=1,ROUND(AA201,3)&amp;" Kg",ROUND(AA201*1000,0)&amp;" g"),""))</f>
        <v/>
      </c>
      <c r="AC201" s="5817" t="str">
        <f t="shared" si="52"/>
        <v>►</v>
      </c>
      <c r="AD201" s="5883">
        <f>IF(Y208=0,0,Y201*AD193*1000/Y208)</f>
        <v>0</v>
      </c>
      <c r="AE201" s="6053">
        <f>IF(ISNUMBER(Q201),Q201*AD193/Y208,0)</f>
        <v>0</v>
      </c>
      <c r="AF201" s="5894"/>
      <c r="AG201" s="5804"/>
      <c r="AH201" s="5804"/>
      <c r="AI201" s="5804"/>
      <c r="AJ201" s="5902">
        <f t="shared" si="53"/>
        <v>0</v>
      </c>
      <c r="AK201" s="5896">
        <f>IF(OR(ISTEXT(Q201),Y208=0),0,Q201*AR186)</f>
        <v>0</v>
      </c>
      <c r="AL201" s="5804"/>
      <c r="AM201" s="5805">
        <f t="shared" si="49"/>
        <v>0</v>
      </c>
      <c r="AN201" s="5805">
        <f t="shared" si="54"/>
        <v>0</v>
      </c>
      <c r="AO201" s="5804"/>
      <c r="AP201" s="5788">
        <f>IF(Y201=0,0,Y201*AR186)</f>
        <v>0</v>
      </c>
      <c r="AQ201" s="5897" t="str">
        <f>IF(COUNTIF(AD209:AD219,U201)&gt;0,IF(ROUND(AP201,3)&gt;=1,ROUND(AP201,3)&amp;" L",ROUND(AP201*100,0)&amp;" cl"),IF(COUNTIF(AD220:AD230,U201)&gt;0,IF(ROUND(AP201,3)&gt;=1,ROUND(AP201,3)&amp;" Kg",ROUND(AP201*1000,0)&amp;" g"),""))</f>
        <v/>
      </c>
      <c r="AR201" s="5898">
        <f t="shared" si="50"/>
        <v>0</v>
      </c>
      <c r="AS201" s="7383"/>
      <c r="AT201" s="4"/>
      <c r="AU201" s="4"/>
      <c r="AV201" s="4"/>
      <c r="AW201" s="5818" t="str">
        <f t="shared" si="45"/>
        <v>►</v>
      </c>
      <c r="AX201" s="5950"/>
      <c r="AY201" s="5950"/>
      <c r="AZ201" s="5950"/>
      <c r="BA201" s="5950"/>
      <c r="BB201" s="5950"/>
      <c r="BC201" s="2"/>
      <c r="BD201"/>
      <c r="BE201"/>
      <c r="BF201"/>
      <c r="BG201"/>
      <c r="BH201"/>
      <c r="BI201"/>
      <c r="BJ201"/>
      <c r="BL201" s="6079" t="s">
        <v>252</v>
      </c>
      <c r="BM201" s="1355"/>
      <c r="BN201" s="1355"/>
      <c r="BO201" s="1355"/>
      <c r="BP201" s="1355"/>
      <c r="BQ201" s="1356"/>
      <c r="BR201" s="6080" t="s">
        <v>1144</v>
      </c>
      <c r="BT201"/>
      <c r="BU201"/>
      <c r="BV201"/>
      <c r="BX201" s="5">
        <v>1</v>
      </c>
    </row>
    <row r="202" spans="1:76" s="1" customFormat="1" ht="21" customHeight="1">
      <c r="A202" s="5641" t="s">
        <v>1</v>
      </c>
      <c r="B202" s="5662" t="str">
        <f t="shared" si="55"/>
        <v>►</v>
      </c>
      <c r="C202" s="5825" cm="1">
        <f t="array" ref="C202">SUMPRODUCT(LEN(D202:J202))</f>
        <v>0</v>
      </c>
      <c r="D202" s="5275"/>
      <c r="E202" s="1361"/>
      <c r="F202" s="1361"/>
      <c r="G202" s="1361"/>
      <c r="H202" s="1361"/>
      <c r="I202" s="1361"/>
      <c r="J202" s="5276"/>
      <c r="K202" s="106" t="s">
        <v>1</v>
      </c>
      <c r="L202" s="1021" t="str">
        <f t="shared" si="51"/>
        <v>►</v>
      </c>
      <c r="M202" s="41" t="str">
        <f>M190</f>
        <v>Coller la-cellule-identité.J.Jus de fraises des bois</v>
      </c>
      <c r="N202" s="40">
        <f>N190</f>
        <v>18</v>
      </c>
      <c r="O202" s="40" t="str">
        <f>O190</f>
        <v>assiettes</v>
      </c>
      <c r="P202" s="40" t="str">
        <f>P190</f>
        <v>Recette mère ► saisissez le nom de la recette mère</v>
      </c>
      <c r="Q202" s="213"/>
      <c r="R202" s="212"/>
      <c r="S202" s="211" t="str">
        <f t="shared" si="48"/>
        <v/>
      </c>
      <c r="T202" s="210"/>
      <c r="U202" s="5259"/>
      <c r="V202" s="5576">
        <v>1</v>
      </c>
      <c r="W202" s="6866"/>
      <c r="X202" s="6871"/>
      <c r="Y202" s="5882">
        <f>IFERROR(IFERROR(INDEX(Q210:AB210,MATCH(U202,Q209:AB209,0)),INDEX(Q212:AB212,MATCH(U202,Q211:AB211,0))) * T202 * IF(ISBLANK(Q202), 1, Q202), 0)</f>
        <v>0</v>
      </c>
      <c r="Z202" s="5256">
        <f>(Q202/AA189)*AA187*V202</f>
        <v>0</v>
      </c>
      <c r="AA202" s="5252">
        <f>IF(ISBLANK(AA189), 0, (Y202 * V202) * (AA187 / AA189))</f>
        <v>0</v>
      </c>
      <c r="AB202" s="5258" t="str">
        <f>IF(COUNTIF(Q209:AB209,U202)&gt;0,IF(ROUND(AA202,3)&gt;=1,ROUND(AA202,3)&amp;" L",ROUND(AA202*100,0)&amp;" cl"),IF(COUNTIF(Q211:AB211,U202)&gt;0,IF(ROUND(AA202,3)&gt;=1,ROUND(AA202,3)&amp;" Kg",ROUND(AA202*1000,0)&amp;" g"),""))</f>
        <v/>
      </c>
      <c r="AC202" s="5817" t="str">
        <f t="shared" si="52"/>
        <v>►</v>
      </c>
      <c r="AD202" s="5883">
        <f>IF(Y208=0,0,Y202*AD193*1000/Y208)</f>
        <v>0</v>
      </c>
      <c r="AE202" s="6053">
        <f>IF(ISNUMBER(Q202),Q202*AD193/Y208,0)</f>
        <v>0</v>
      </c>
      <c r="AF202" s="5885"/>
      <c r="AG202" s="5886"/>
      <c r="AH202" s="5886"/>
      <c r="AI202" s="5886"/>
      <c r="AJ202" s="5899">
        <f t="shared" si="53"/>
        <v>0</v>
      </c>
      <c r="AK202" s="5888">
        <f>IF(OR(ISTEXT(Q202),Y208=0),0,Q202*AR186)</f>
        <v>0</v>
      </c>
      <c r="AL202" s="5886"/>
      <c r="AM202" s="5889">
        <f t="shared" si="49"/>
        <v>0</v>
      </c>
      <c r="AN202" s="8558">
        <f t="shared" si="54"/>
        <v>0</v>
      </c>
      <c r="AO202" s="5886"/>
      <c r="AP202" s="5890">
        <f>IF(Y202=0,0,Y202*AR186)</f>
        <v>0</v>
      </c>
      <c r="AQ202" s="5891" t="str">
        <f>IF(COUNTIF(AD209:AD219,U202)&gt;0,IF(ROUND(AP202,3)&gt;=1,ROUND(AP202,3)&amp;" L",ROUND(AP202*100,0)&amp;" cl"),IF(COUNTIF(AD220:AD230,U202)&gt;0,IF(ROUND(AP202,3)&gt;=1,ROUND(AP202,3)&amp;" Kg",ROUND(AP202*1000,0)&amp;" g"),""))</f>
        <v/>
      </c>
      <c r="AR202" s="5892">
        <f t="shared" si="50"/>
        <v>0</v>
      </c>
      <c r="AS202" s="7383"/>
      <c r="AT202" s="4"/>
      <c r="AU202" s="4"/>
      <c r="AV202" s="4"/>
      <c r="AW202" s="5818" t="str">
        <f t="shared" si="45"/>
        <v>►</v>
      </c>
      <c r="AX202" s="5950"/>
      <c r="AY202" s="5950"/>
      <c r="AZ202" s="5950"/>
      <c r="BA202" s="5950"/>
      <c r="BB202" s="5950"/>
      <c r="BC202" s="2"/>
      <c r="BD202"/>
      <c r="BE202"/>
      <c r="BF202"/>
      <c r="BG202"/>
      <c r="BH202"/>
      <c r="BI202"/>
      <c r="BJ202"/>
      <c r="BL202" s="6083" t="s">
        <v>1145</v>
      </c>
      <c r="BM202" s="147"/>
      <c r="BN202" s="1375"/>
      <c r="BO202" s="102"/>
      <c r="BP202" s="102"/>
      <c r="BQ202" s="102"/>
      <c r="BR202" s="609"/>
      <c r="BT202"/>
      <c r="BU202"/>
      <c r="BV202"/>
      <c r="BX202" s="5">
        <v>1</v>
      </c>
    </row>
    <row r="203" spans="1:76" s="1" customFormat="1" ht="21" customHeight="1">
      <c r="A203" s="5641" t="s">
        <v>1</v>
      </c>
      <c r="B203" s="5662" t="str">
        <f t="shared" si="55"/>
        <v>►</v>
      </c>
      <c r="C203" s="5825" cm="1">
        <f t="array" ref="C203">SUMPRODUCT(LEN(D203:J203))</f>
        <v>0</v>
      </c>
      <c r="D203" s="5275"/>
      <c r="E203" s="1361"/>
      <c r="F203" s="1361"/>
      <c r="G203" s="1361"/>
      <c r="H203" s="1361"/>
      <c r="I203" s="1361"/>
      <c r="J203" s="5276"/>
      <c r="K203" s="106" t="s">
        <v>1</v>
      </c>
      <c r="L203" s="1021" t="str">
        <f t="shared" si="51"/>
        <v>►</v>
      </c>
      <c r="M203" s="41" t="str">
        <f>M190</f>
        <v>Coller la-cellule-identité.J.Jus de fraises des bois</v>
      </c>
      <c r="N203" s="40">
        <f>N190</f>
        <v>18</v>
      </c>
      <c r="O203" s="40" t="str">
        <f>O190</f>
        <v>assiettes</v>
      </c>
      <c r="P203" s="40" t="str">
        <f>P190</f>
        <v>Recette mère ► saisissez le nom de la recette mère</v>
      </c>
      <c r="Q203" s="213"/>
      <c r="R203" s="212"/>
      <c r="S203" s="211" t="str">
        <f t="shared" si="48"/>
        <v/>
      </c>
      <c r="T203" s="210"/>
      <c r="U203" s="5259"/>
      <c r="V203" s="5576">
        <v>1</v>
      </c>
      <c r="W203" s="6866"/>
      <c r="X203" s="6871"/>
      <c r="Y203" s="5882">
        <f>IFERROR(IFERROR(INDEX(Q210:AB210,MATCH(U203,Q209:AB209,0)),INDEX(Q212:AB212,MATCH(U203,Q211:AB211,0))) * T203 * IF(ISBLANK(Q203), 1, Q203), 0)</f>
        <v>0</v>
      </c>
      <c r="Z203" s="5254">
        <f>(Q203/AA189)*AA187*V203</f>
        <v>0</v>
      </c>
      <c r="AA203" s="5252">
        <f>IF(ISBLANK(AA189), 0, (Y203 * V203) * (AA187 / AA189))</f>
        <v>0</v>
      </c>
      <c r="AB203" s="5255" t="str">
        <f>IF(COUNTIF(Q209:AB209,U203)&gt;0,IF(ROUND(AA203,3)&gt;=1,ROUND(AA203,3)&amp;" L",ROUND(AA203*100,0)&amp;" cl"),IF(COUNTIF(Q211:AB211,U203)&gt;0,IF(ROUND(AA203,3)&gt;=1,ROUND(AA203,3)&amp;" Kg",ROUND(AA203*1000,0)&amp;" g"),""))</f>
        <v/>
      </c>
      <c r="AC203" s="5817" t="str">
        <f t="shared" si="52"/>
        <v>►</v>
      </c>
      <c r="AD203" s="5883">
        <f>IF(Y208=0,0,Y203*AD193*1000/Y208)</f>
        <v>0</v>
      </c>
      <c r="AE203" s="6053">
        <f>IF(ISNUMBER(Q203),Q203*AD193/Y208,0)</f>
        <v>0</v>
      </c>
      <c r="AF203" s="5894"/>
      <c r="AG203" s="5804"/>
      <c r="AH203" s="5804"/>
      <c r="AI203" s="5804"/>
      <c r="AJ203" s="5902">
        <f t="shared" si="53"/>
        <v>0</v>
      </c>
      <c r="AK203" s="5896">
        <f>IF(OR(ISTEXT(Q203),Y208=0),0,Q203*AR186)</f>
        <v>0</v>
      </c>
      <c r="AL203" s="5804"/>
      <c r="AM203" s="5805">
        <f t="shared" si="49"/>
        <v>0</v>
      </c>
      <c r="AN203" s="5805">
        <f t="shared" si="54"/>
        <v>0</v>
      </c>
      <c r="AO203" s="5804"/>
      <c r="AP203" s="5788">
        <f>IF(Y203=0,0,Y203*AR186)</f>
        <v>0</v>
      </c>
      <c r="AQ203" s="5897" t="str">
        <f>IF(COUNTIF(AD209:AD219,U203)&gt;0,IF(ROUND(AP203,3)&gt;=1,ROUND(AP203,3)&amp;" L",ROUND(AP203*100,0)&amp;" cl"),IF(COUNTIF(AD220:AD230,U203)&gt;0,IF(ROUND(AP203,3)&gt;=1,ROUND(AP203,3)&amp;" Kg",ROUND(AP203*1000,0)&amp;" g"),""))</f>
        <v/>
      </c>
      <c r="AR203" s="5898">
        <f t="shared" si="50"/>
        <v>0</v>
      </c>
      <c r="AS203" s="7383"/>
      <c r="AT203" s="4"/>
      <c r="AU203" s="4"/>
      <c r="AV203" s="4"/>
      <c r="AW203" s="5818" t="str">
        <f t="shared" si="45"/>
        <v>►</v>
      </c>
      <c r="AX203" s="5950"/>
      <c r="AY203" s="5950"/>
      <c r="AZ203" s="5950"/>
      <c r="BA203" s="5950"/>
      <c r="BB203" s="5950"/>
      <c r="BC203" s="2"/>
      <c r="BD203"/>
      <c r="BE203"/>
      <c r="BF203"/>
      <c r="BG203"/>
      <c r="BH203"/>
      <c r="BI203"/>
      <c r="BJ203"/>
      <c r="BL203" s="7156" t="s">
        <v>1146</v>
      </c>
      <c r="BM203" s="7085"/>
      <c r="BN203" s="7085"/>
      <c r="BO203" s="7085"/>
      <c r="BP203" s="7085"/>
      <c r="BQ203" s="7085"/>
      <c r="BR203" s="7157"/>
      <c r="BT203"/>
      <c r="BU203"/>
      <c r="BV203"/>
      <c r="BX203" s="5">
        <v>1</v>
      </c>
    </row>
    <row r="204" spans="1:76" s="1" customFormat="1" ht="21" customHeight="1">
      <c r="A204" s="5641" t="s">
        <v>1</v>
      </c>
      <c r="B204" s="5662" t="str">
        <f t="shared" si="55"/>
        <v>►</v>
      </c>
      <c r="C204" s="5825" cm="1">
        <f t="array" ref="C204">SUMPRODUCT(LEN(D204:J204))</f>
        <v>0</v>
      </c>
      <c r="D204" s="5275"/>
      <c r="E204" s="1361"/>
      <c r="F204" s="1361"/>
      <c r="G204" s="1361"/>
      <c r="H204" s="1361"/>
      <c r="I204" s="1361"/>
      <c r="J204" s="5276"/>
      <c r="K204" s="106" t="s">
        <v>1</v>
      </c>
      <c r="L204" s="1021" t="str">
        <f t="shared" si="51"/>
        <v>►</v>
      </c>
      <c r="M204" s="41" t="str">
        <f>M190</f>
        <v>Coller la-cellule-identité.J.Jus de fraises des bois</v>
      </c>
      <c r="N204" s="40">
        <f>N190</f>
        <v>18</v>
      </c>
      <c r="O204" s="40" t="str">
        <f>O190</f>
        <v>assiettes</v>
      </c>
      <c r="P204" s="40" t="str">
        <f>P190</f>
        <v>Recette mère ► saisissez le nom de la recette mère</v>
      </c>
      <c r="Q204" s="213"/>
      <c r="R204" s="212"/>
      <c r="S204" s="211" t="str">
        <f t="shared" si="48"/>
        <v/>
      </c>
      <c r="T204" s="210"/>
      <c r="U204" s="5259"/>
      <c r="V204" s="5576">
        <v>1</v>
      </c>
      <c r="W204" s="6866"/>
      <c r="X204" s="6871"/>
      <c r="Y204" s="5882">
        <f>IFERROR(IFERROR(INDEX(Q210:AB210,MATCH(U204,Q209:AB209,0)),INDEX(Q212:AB212,MATCH(U204,Q211:AB211,0))) * T204 * IF(ISBLANK(Q204), 1, Q204), 0)</f>
        <v>0</v>
      </c>
      <c r="Z204" s="5256">
        <f>(Q204/AA189)*AA187*V204</f>
        <v>0</v>
      </c>
      <c r="AA204" s="5252">
        <f>IF(ISBLANK(AA189), 0, (Y204 * V204) * (AA187 / AA189))</f>
        <v>0</v>
      </c>
      <c r="AB204" s="5260" t="str">
        <f>IF(COUNTIF(Q209:AB209,U204)&gt;0,IF(ROUND(AA204,3)&gt;=1,ROUND(AA204,3)&amp;" L",ROUND(AA204*100,0)&amp;" cl"),IF(COUNTIF(Q211:AB211,U204)&gt;0,IF(ROUND(AA204,3)&gt;=1,ROUND(AA204,3)&amp;" Kg",ROUND(AA204*1000,0)&amp;" g"),""))</f>
        <v/>
      </c>
      <c r="AC204" s="5817" t="str">
        <f t="shared" si="52"/>
        <v>►</v>
      </c>
      <c r="AD204" s="5883">
        <f>IF(Y208=0,0,Y204*AD193*1000/Y208)</f>
        <v>0</v>
      </c>
      <c r="AE204" s="6053">
        <f>IF(ISNUMBER(Q204),Q204*AD193/Y208,0)</f>
        <v>0</v>
      </c>
      <c r="AF204" s="5885"/>
      <c r="AG204" s="5886"/>
      <c r="AH204" s="5886"/>
      <c r="AI204" s="5886"/>
      <c r="AJ204" s="5899">
        <f t="shared" si="53"/>
        <v>0</v>
      </c>
      <c r="AK204" s="5888">
        <f>IF(OR(ISTEXT(Q204),Y208=0),0,Q204*AR186)</f>
        <v>0</v>
      </c>
      <c r="AL204" s="5886"/>
      <c r="AM204" s="5889">
        <f t="shared" si="49"/>
        <v>0</v>
      </c>
      <c r="AN204" s="8558">
        <f t="shared" si="54"/>
        <v>0</v>
      </c>
      <c r="AO204" s="5886"/>
      <c r="AP204" s="5890">
        <f>IF(Y204=0,0,Y204*AR186)</f>
        <v>0</v>
      </c>
      <c r="AQ204" s="5891" t="str">
        <f>IF(COUNTIF(AD209:AD219,U204)&gt;0,IF(ROUND(AP204,3)&gt;=1,ROUND(AP204,3)&amp;" L",ROUND(AP204*100,0)&amp;" cl"),IF(COUNTIF(AD220:AD230,U204)&gt;0,IF(ROUND(AP204,3)&gt;=1,ROUND(AP204,3)&amp;" Kg",ROUND(AP204*1000,0)&amp;" g"),""))</f>
        <v/>
      </c>
      <c r="AR204" s="5892">
        <f t="shared" si="50"/>
        <v>0</v>
      </c>
      <c r="AS204" s="7383"/>
      <c r="AT204" s="4"/>
      <c r="AU204" s="4"/>
      <c r="AV204" s="4"/>
      <c r="AW204" s="5818" t="str">
        <f t="shared" si="45"/>
        <v>►</v>
      </c>
      <c r="AX204" s="5950"/>
      <c r="AY204" s="5950"/>
      <c r="AZ204" s="5950"/>
      <c r="BA204" s="5950"/>
      <c r="BB204" s="5950"/>
      <c r="BC204" s="2"/>
      <c r="BD204"/>
      <c r="BE204"/>
      <c r="BF204"/>
      <c r="BG204"/>
      <c r="BH204"/>
      <c r="BI204"/>
      <c r="BJ204"/>
      <c r="BL204" s="7156"/>
      <c r="BM204" s="7085"/>
      <c r="BN204" s="7085"/>
      <c r="BO204" s="7085"/>
      <c r="BP204" s="7085"/>
      <c r="BQ204" s="7085"/>
      <c r="BR204" s="7157"/>
      <c r="BT204"/>
      <c r="BU204"/>
      <c r="BV204"/>
      <c r="BX204" s="5">
        <v>1</v>
      </c>
    </row>
    <row r="205" spans="1:76" s="1" customFormat="1" ht="21" customHeight="1">
      <c r="A205" s="5641" t="s">
        <v>1</v>
      </c>
      <c r="B205" s="5662" t="str">
        <f t="shared" si="55"/>
        <v>►</v>
      </c>
      <c r="C205" s="5825" cm="1">
        <f t="array" ref="C205">SUMPRODUCT(LEN(D205:J205))</f>
        <v>0</v>
      </c>
      <c r="D205" s="5275"/>
      <c r="E205" s="1361"/>
      <c r="F205" s="1361"/>
      <c r="G205" s="1361"/>
      <c r="H205" s="1361"/>
      <c r="I205" s="1361"/>
      <c r="J205" s="5276"/>
      <c r="K205" s="106" t="s">
        <v>1</v>
      </c>
      <c r="L205" s="1021" t="str">
        <f t="shared" si="51"/>
        <v>►</v>
      </c>
      <c r="M205" s="41" t="str">
        <f>M190</f>
        <v>Coller la-cellule-identité.J.Jus de fraises des bois</v>
      </c>
      <c r="N205" s="40">
        <f>N190</f>
        <v>18</v>
      </c>
      <c r="O205" s="40" t="str">
        <f>O190</f>
        <v>assiettes</v>
      </c>
      <c r="P205" s="40" t="str">
        <f>P190</f>
        <v>Recette mère ► saisissez le nom de la recette mère</v>
      </c>
      <c r="Q205" s="213"/>
      <c r="R205" s="212"/>
      <c r="S205" s="211" t="str">
        <f t="shared" si="48"/>
        <v/>
      </c>
      <c r="T205" s="210"/>
      <c r="U205" s="5259"/>
      <c r="V205" s="5576">
        <v>1</v>
      </c>
      <c r="W205" s="6866"/>
      <c r="X205" s="6871"/>
      <c r="Y205" s="5882">
        <f>IFERROR(IFERROR(INDEX(Q210:AB210,MATCH(U205,Q209:AB209,0)),INDEX(Q212:AB212,MATCH(U205,Q211:AB211,0))) * T205 * IF(ISBLANK(Q205), 1, Q205), 0)</f>
        <v>0</v>
      </c>
      <c r="Z205" s="5254">
        <f>(Q205/AA189)*AA187*V205</f>
        <v>0</v>
      </c>
      <c r="AA205" s="5252">
        <f>IF(ISBLANK(AA189), 0, (Y205 * V205) * (AA187 / AA189))</f>
        <v>0</v>
      </c>
      <c r="AB205" s="5255" t="str">
        <f>IF(COUNTIF(Q209:AB209,U205)&gt;0,IF(ROUND(AA205,3)&gt;=1,ROUND(AA205,3)&amp;" L",ROUND(AA205*100,0)&amp;" cl"),IF(COUNTIF(Q211:AB211,U205)&gt;0,IF(ROUND(AA205,3)&gt;=1,ROUND(AA205,3)&amp;" Kg",ROUND(AA205*1000,0)&amp;" g"),""))</f>
        <v/>
      </c>
      <c r="AC205" s="5817" t="str">
        <f t="shared" si="52"/>
        <v>►</v>
      </c>
      <c r="AD205" s="5883">
        <f>IF(Y208=0,0,Y205*AD193*1000/Y208)</f>
        <v>0</v>
      </c>
      <c r="AE205" s="6053">
        <f>IF(ISNUMBER(Q205),Q205*AD193/Y208,0)</f>
        <v>0</v>
      </c>
      <c r="AF205" s="5894"/>
      <c r="AG205" s="5804"/>
      <c r="AH205" s="5804"/>
      <c r="AI205" s="5804"/>
      <c r="AJ205" s="5902">
        <f t="shared" si="53"/>
        <v>0</v>
      </c>
      <c r="AK205" s="5896">
        <f>IF(OR(ISTEXT(Q205),Y208=0),0,Q205*AR186)</f>
        <v>0</v>
      </c>
      <c r="AL205" s="5804"/>
      <c r="AM205" s="5805">
        <f t="shared" si="49"/>
        <v>0</v>
      </c>
      <c r="AN205" s="5805">
        <f t="shared" si="54"/>
        <v>0</v>
      </c>
      <c r="AO205" s="5804"/>
      <c r="AP205" s="5788">
        <f>IF(Y205=0,0,Y205*AR186)</f>
        <v>0</v>
      </c>
      <c r="AQ205" s="5897" t="str">
        <f>IF(COUNTIF(AD209:AD219,U205)&gt;0,IF(ROUND(AP205,3)&gt;=1,ROUND(AP205,3)&amp;" L",ROUND(AP205*100,0)&amp;" cl"),IF(COUNTIF(AD220:AD230,U205)&gt;0,IF(ROUND(AP205,3)&gt;=1,ROUND(AP205,3)&amp;" Kg",ROUND(AP205*1000,0)&amp;" g"),""))</f>
        <v/>
      </c>
      <c r="AR205" s="5898">
        <f t="shared" si="50"/>
        <v>0</v>
      </c>
      <c r="AS205" s="7383"/>
      <c r="AT205" s="4"/>
      <c r="AU205" s="4"/>
      <c r="AV205" s="4"/>
      <c r="AW205" s="5818" t="str">
        <f t="shared" si="45"/>
        <v>►</v>
      </c>
      <c r="AX205" s="5950"/>
      <c r="AY205" s="5950"/>
      <c r="AZ205" s="5950"/>
      <c r="BA205" s="5950"/>
      <c r="BB205" s="5950"/>
      <c r="BC205" s="2"/>
      <c r="BD205"/>
      <c r="BE205"/>
      <c r="BF205"/>
      <c r="BG205"/>
      <c r="BH205"/>
      <c r="BI205"/>
      <c r="BJ205"/>
      <c r="BL205" s="6084" t="s">
        <v>1147</v>
      </c>
      <c r="BM205" s="988"/>
      <c r="BN205" s="988"/>
      <c r="BO205" s="988"/>
      <c r="BP205" s="988"/>
      <c r="BQ205" s="988"/>
      <c r="BR205" s="989"/>
      <c r="BT205"/>
      <c r="BU205"/>
      <c r="BV205"/>
      <c r="BX205" s="5">
        <v>1</v>
      </c>
    </row>
    <row r="206" spans="1:76" s="1" customFormat="1" ht="21" customHeight="1">
      <c r="A206" s="5641" t="s">
        <v>1</v>
      </c>
      <c r="B206" s="5662" t="str">
        <f t="shared" si="55"/>
        <v>►</v>
      </c>
      <c r="C206" s="5825" cm="1">
        <f t="array" ref="C206">SUMPRODUCT(LEN(D206:J206))</f>
        <v>0</v>
      </c>
      <c r="D206" s="5275"/>
      <c r="E206" s="1361"/>
      <c r="F206" s="1361"/>
      <c r="G206" s="1361"/>
      <c r="H206" s="1361"/>
      <c r="I206" s="1361"/>
      <c r="J206" s="5276"/>
      <c r="K206" s="106" t="s">
        <v>1</v>
      </c>
      <c r="L206" s="1021" t="str">
        <f t="shared" si="51"/>
        <v>►</v>
      </c>
      <c r="M206" s="41" t="str">
        <f>M191</f>
        <v>Coller la-cellule-identité.J.Jus de fraises des bois</v>
      </c>
      <c r="N206" s="40">
        <f>N190</f>
        <v>18</v>
      </c>
      <c r="O206" s="40" t="str">
        <f>O190</f>
        <v>assiettes</v>
      </c>
      <c r="P206" s="40" t="str">
        <f>P190</f>
        <v>Recette mère ► saisissez le nom de la recette mère</v>
      </c>
      <c r="Q206" s="213"/>
      <c r="R206" s="212"/>
      <c r="S206" s="211" t="str">
        <f t="shared" si="48"/>
        <v/>
      </c>
      <c r="T206" s="210"/>
      <c r="U206" s="5259"/>
      <c r="V206" s="5576">
        <v>1</v>
      </c>
      <c r="W206" s="6866"/>
      <c r="X206" s="6871"/>
      <c r="Y206" s="5882">
        <f>IFERROR(IFERROR(INDEX(Q210:AB210,MATCH(U206,Q209:AB209,0)),INDEX(Q212:AB212,MATCH(U206,Q211:AB211,0))) * T206 * IF(ISBLANK(Q206), 1, Q206), 0)</f>
        <v>0</v>
      </c>
      <c r="Z206" s="5254">
        <f>(Q206/AA189)*AA187*V206</f>
        <v>0</v>
      </c>
      <c r="AA206" s="5252">
        <f>IF(ISBLANK(AA189), 0, (Y206 * V206) * (AA187 / AA189))</f>
        <v>0</v>
      </c>
      <c r="AB206" s="5260" t="str">
        <f>IF(COUNTIF(Q209:AB209,U206)&gt;0,IF(ROUND(AA206,3)&gt;=1,ROUND(AA206,3)&amp;" L",ROUND(AA206*100,0)&amp;" cl"),IF(COUNTIF(Q211:AB211,U206)&gt;0,IF(ROUND(AA206,3)&gt;=1,ROUND(AA206,3)&amp;" Kg",ROUND(AA206*1000,0)&amp;" g"),""))</f>
        <v/>
      </c>
      <c r="AC206" s="5817" t="str">
        <f t="shared" si="52"/>
        <v>►</v>
      </c>
      <c r="AD206" s="5883">
        <f>IF(Y208=0,0,Y206*AD193*1000/Y208)</f>
        <v>0</v>
      </c>
      <c r="AE206" s="6053">
        <f>IF(ISNUMBER(Q206),Q206*AD193/Y208,0)</f>
        <v>0</v>
      </c>
      <c r="AF206" s="5885"/>
      <c r="AG206" s="5886"/>
      <c r="AH206" s="5886"/>
      <c r="AI206" s="5886"/>
      <c r="AJ206" s="5899">
        <f t="shared" si="53"/>
        <v>0</v>
      </c>
      <c r="AK206" s="5888">
        <f>IF(OR(ISTEXT(Q206),Y208=0),0,Q206*AR186)</f>
        <v>0</v>
      </c>
      <c r="AL206" s="5886"/>
      <c r="AM206" s="5889">
        <f t="shared" si="49"/>
        <v>0</v>
      </c>
      <c r="AN206" s="8558">
        <f t="shared" si="54"/>
        <v>0</v>
      </c>
      <c r="AO206" s="5886"/>
      <c r="AP206" s="5890">
        <f>IF(Y206=0,0,Y206*AR186)</f>
        <v>0</v>
      </c>
      <c r="AQ206" s="5891" t="str">
        <f>IF(COUNTIF(AD209:AD219,U206)&gt;0,IF(ROUND(AP206,3)&gt;=1,ROUND(AP206,3)&amp;" L",ROUND(AP206*100,0)&amp;" cl"),IF(COUNTIF(AD220:AD230,U206)&gt;0,IF(ROUND(AP206,3)&gt;=1,ROUND(AP206,3)&amp;" Kg",ROUND(AP206*1000,0)&amp;" g"),""))</f>
        <v/>
      </c>
      <c r="AR206" s="5892">
        <f t="shared" si="50"/>
        <v>0</v>
      </c>
      <c r="AS206" s="7383"/>
      <c r="AT206" s="4"/>
      <c r="AU206" s="4"/>
      <c r="AV206" s="4"/>
      <c r="AW206" s="5818" t="str">
        <f t="shared" si="45"/>
        <v>►</v>
      </c>
      <c r="AX206" s="5950"/>
      <c r="AY206" s="5950"/>
      <c r="AZ206" s="5950"/>
      <c r="BA206" s="5950"/>
      <c r="BB206" s="5950"/>
      <c r="BC206" s="2"/>
      <c r="BD206"/>
      <c r="BE206"/>
      <c r="BF206"/>
      <c r="BG206"/>
      <c r="BH206"/>
      <c r="BI206"/>
      <c r="BJ206"/>
      <c r="BL206" s="574" t="s">
        <v>1148</v>
      </c>
      <c r="BM206" s="1320"/>
      <c r="BN206" s="1320"/>
      <c r="BO206" s="1320"/>
      <c r="BP206" s="1320"/>
      <c r="BQ206" s="1320"/>
      <c r="BR206" s="6085"/>
      <c r="BT206"/>
      <c r="BU206"/>
      <c r="BV206"/>
      <c r="BX206" s="5">
        <v>1</v>
      </c>
    </row>
    <row r="207" spans="1:76" s="1" customFormat="1" ht="21" customHeight="1">
      <c r="A207" s="5641" t="s">
        <v>1</v>
      </c>
      <c r="B207" s="5662" t="str">
        <f t="shared" si="55"/>
        <v>►</v>
      </c>
      <c r="C207" s="5825" cm="1">
        <f t="array" ref="C207">SUMPRODUCT(LEN(D207:J207))</f>
        <v>0</v>
      </c>
      <c r="D207" s="5275"/>
      <c r="E207" s="1361"/>
      <c r="F207" s="1361"/>
      <c r="G207" s="1361"/>
      <c r="H207" s="1361"/>
      <c r="I207" s="1361"/>
      <c r="J207" s="5276"/>
      <c r="K207" s="106" t="s">
        <v>1</v>
      </c>
      <c r="L207" s="1021" t="str">
        <f t="shared" si="51"/>
        <v>►</v>
      </c>
      <c r="M207" s="41" t="str">
        <f>M190</f>
        <v>Coller la-cellule-identité.J.Jus de fraises des bois</v>
      </c>
      <c r="N207" s="40">
        <f>N190</f>
        <v>18</v>
      </c>
      <c r="O207" s="40" t="str">
        <f>O190</f>
        <v>assiettes</v>
      </c>
      <c r="P207" s="40" t="str">
        <f>P190</f>
        <v>Recette mère ► saisissez le nom de la recette mère</v>
      </c>
      <c r="Q207" s="213"/>
      <c r="R207" s="212"/>
      <c r="S207" s="211" t="str">
        <f t="shared" si="48"/>
        <v/>
      </c>
      <c r="T207" s="210"/>
      <c r="U207" s="5259"/>
      <c r="V207" s="5576">
        <v>1</v>
      </c>
      <c r="W207" s="6866"/>
      <c r="X207" s="6871"/>
      <c r="Y207" s="5882">
        <f>IFERROR(IFERROR(INDEX(Q210:AB210,MATCH(U207,Q209:AB209,0)),INDEX(Q212:AB212,MATCH(U207,Q211:AB211,0))) * T207 * IF(ISBLANK(Q207), 1, Q207), 0)</f>
        <v>0</v>
      </c>
      <c r="Z207" s="5254">
        <f>(Q207/AA189)*AA187*V207</f>
        <v>0</v>
      </c>
      <c r="AA207" s="5252">
        <f>IF(ISBLANK(AA189), 0, (Y207 * V207) * (AA187 / AA189))</f>
        <v>0</v>
      </c>
      <c r="AB207" s="5255" t="str">
        <f>IF(COUNTIF(Q209:AB209,U207)&gt;0,IF(ROUND(AA207,3)&gt;=1,ROUND(AA207,3)&amp;" L",ROUND(AA207*100,0)&amp;" cl"),IF(COUNTIF(Q211:AB211,U207)&gt;0,IF(ROUND(AA207,3)&gt;=1,ROUND(AA207,3)&amp;" Kg",ROUND(AA207*1000,0)&amp;" g"),""))</f>
        <v/>
      </c>
      <c r="AC207" s="5817" t="str">
        <f t="shared" si="52"/>
        <v>►</v>
      </c>
      <c r="AD207" s="5883">
        <f>IF(Y208=0,0,Y207*AD193*1000/Y208)</f>
        <v>0</v>
      </c>
      <c r="AE207" s="6053">
        <f>IF(ISNUMBER(Q207),Q207*AD193/Y208,0)</f>
        <v>0</v>
      </c>
      <c r="AF207" s="5894"/>
      <c r="AG207" s="5804"/>
      <c r="AH207" s="5804"/>
      <c r="AI207" s="5804"/>
      <c r="AJ207" s="5902">
        <f t="shared" si="53"/>
        <v>0</v>
      </c>
      <c r="AK207" s="5896">
        <f>IF(OR(ISTEXT(Q207),Y208=0),0,Q207*AR186)</f>
        <v>0</v>
      </c>
      <c r="AL207" s="5804"/>
      <c r="AM207" s="5805">
        <f t="shared" si="49"/>
        <v>0</v>
      </c>
      <c r="AN207" s="5805">
        <f t="shared" si="54"/>
        <v>0</v>
      </c>
      <c r="AO207" s="5804"/>
      <c r="AP207" s="5788">
        <f>IF(Y207=0,0,Y207*AR186)</f>
        <v>0</v>
      </c>
      <c r="AQ207" s="5897" t="str">
        <f>IF(COUNTIF(AD209:AD219,U207)&gt;0,IF(ROUND(AP207,3)&gt;=1,ROUND(AP207,3)&amp;" L",ROUND(AP207*100,0)&amp;" cl"),IF(COUNTIF(AD220:AD230,U207)&gt;0,IF(ROUND(AP207,3)&gt;=1,ROUND(AP207,3)&amp;" Kg",ROUND(AP207*1000,0)&amp;" g"),""))</f>
        <v/>
      </c>
      <c r="AR207" s="5898">
        <f t="shared" si="50"/>
        <v>0</v>
      </c>
      <c r="AS207" s="7383"/>
      <c r="AT207" s="4"/>
      <c r="AU207" s="4"/>
      <c r="AV207" s="4"/>
      <c r="AW207" s="5818" t="str">
        <f t="shared" si="45"/>
        <v>►</v>
      </c>
      <c r="AX207" s="5950"/>
      <c r="AY207" s="5950"/>
      <c r="AZ207" s="5950"/>
      <c r="BA207" s="5950"/>
      <c r="BB207" s="5950"/>
      <c r="BC207" s="2"/>
      <c r="BD207"/>
      <c r="BE207"/>
      <c r="BF207"/>
      <c r="BG207"/>
      <c r="BH207"/>
      <c r="BI207"/>
      <c r="BJ207"/>
      <c r="BL207" s="7161" t="s">
        <v>1149</v>
      </c>
      <c r="BM207" s="7162"/>
      <c r="BN207" s="7162"/>
      <c r="BO207" s="7162"/>
      <c r="BP207" s="7162"/>
      <c r="BQ207" s="7162"/>
      <c r="BR207" s="7163"/>
      <c r="BT207"/>
      <c r="BU207"/>
      <c r="BV207"/>
      <c r="BX207" s="5">
        <v>1</v>
      </c>
    </row>
    <row r="208" spans="1:76" s="1" customFormat="1" ht="21" customHeight="1">
      <c r="A208" s="5641" t="s">
        <v>1</v>
      </c>
      <c r="B208" s="5662" t="str">
        <f t="shared" si="55"/>
        <v>A</v>
      </c>
      <c r="C208" s="5825" cm="1">
        <f t="array" ref="C208">SUMPRODUCT(LEN(D208:J208))</f>
        <v>0</v>
      </c>
      <c r="D208" s="5275"/>
      <c r="E208" s="1361"/>
      <c r="F208" s="1361"/>
      <c r="G208" s="1361"/>
      <c r="H208" s="1361"/>
      <c r="I208" s="1361"/>
      <c r="J208" s="5276"/>
      <c r="K208" s="106" t="s">
        <v>1</v>
      </c>
      <c r="L208" s="1021" t="s">
        <v>21</v>
      </c>
      <c r="M208" s="41" t="str">
        <f>M190</f>
        <v>Coller la-cellule-identité.J.Jus de fraises des bois</v>
      </c>
      <c r="N208" s="40">
        <f>N190</f>
        <v>18</v>
      </c>
      <c r="O208" s="40" t="str">
        <f>O190</f>
        <v>assiettes</v>
      </c>
      <c r="P208" s="40" t="str">
        <f>P190</f>
        <v>Recette mère ► saisissez le nom de la recette mère</v>
      </c>
      <c r="Q208" s="5921" t="s">
        <v>8535</v>
      </c>
      <c r="R208" s="5261"/>
      <c r="S208" s="5261"/>
      <c r="T208" s="5261"/>
      <c r="U208" s="5261"/>
      <c r="V208" s="5261"/>
      <c r="W208" s="5262" t="str">
        <f>"portion de " &amp; TEXT((Y208/Q188)*1000,"0.0") &amp; " g"</f>
        <v>portion de 19.4 g</v>
      </c>
      <c r="X208" s="5262"/>
      <c r="Y208" s="5263">
        <f>SUM(Y194:Y207)</f>
        <v>0.35</v>
      </c>
      <c r="Z208" s="5264" t="s">
        <v>1069</v>
      </c>
      <c r="AA208" s="5265">
        <f>SUM(AA194:AA207)</f>
        <v>1.9444444444444442</v>
      </c>
      <c r="AB208" s="5922"/>
      <c r="AC208" s="5817" t="str">
        <f t="shared" si="52"/>
        <v>A</v>
      </c>
      <c r="AD208" s="5923">
        <f>SUM(AD194:AD207)/1000</f>
        <v>1.0000000000000002</v>
      </c>
      <c r="AE208" s="5924" t="str">
        <f>"= "&amp;IF(AD208&gt;0,AA189 &amp; " portions de " &amp; ROUND(AD208/AA189,3) &amp; " g","")</f>
        <v>= 18 portions de 0.056 g</v>
      </c>
      <c r="AF208" s="5925"/>
      <c r="AG208" s="5926"/>
      <c r="AH208" s="5927"/>
      <c r="AI208" s="5927"/>
      <c r="AJ208" s="5928"/>
      <c r="AK208" s="5924"/>
      <c r="AL208" s="5929"/>
      <c r="AM208" s="5930"/>
      <c r="AN208" s="5930"/>
      <c r="AO208" s="5929"/>
      <c r="AP208" s="5931">
        <f>SUM(AP194:AP207)</f>
        <v>0.875</v>
      </c>
      <c r="AQ208" s="5931"/>
      <c r="AR208" s="5932"/>
      <c r="AS208" s="7383"/>
      <c r="AT208" s="4"/>
      <c r="AU208" s="4"/>
      <c r="AV208" s="4"/>
      <c r="AW208" s="5818" t="str">
        <f t="shared" si="45"/>
        <v>A</v>
      </c>
      <c r="AX208" s="5950"/>
      <c r="AY208" s="5950"/>
      <c r="AZ208" s="5950"/>
      <c r="BA208" s="5950"/>
      <c r="BB208" s="5950"/>
      <c r="BC208" s="2"/>
      <c r="BD208"/>
      <c r="BE208"/>
      <c r="BF208"/>
      <c r="BG208"/>
      <c r="BH208"/>
      <c r="BI208"/>
      <c r="BJ208"/>
      <c r="BL208" s="7161"/>
      <c r="BM208" s="7162"/>
      <c r="BN208" s="7162"/>
      <c r="BO208" s="7162"/>
      <c r="BP208" s="7162"/>
      <c r="BQ208" s="7162"/>
      <c r="BR208" s="7163"/>
      <c r="BT208"/>
      <c r="BU208"/>
      <c r="BV208"/>
      <c r="BX208" s="5">
        <v>1</v>
      </c>
    </row>
    <row r="209" spans="1:76" s="1" customFormat="1" ht="21" customHeight="1">
      <c r="A209" s="5641" t="s">
        <v>1</v>
      </c>
      <c r="B209" s="5662" t="str">
        <f t="shared" si="55"/>
        <v>►</v>
      </c>
      <c r="C209" s="5825" cm="1">
        <f t="array" ref="C209">SUMPRODUCT(LEN(D209:J209))</f>
        <v>0</v>
      </c>
      <c r="D209" s="5275"/>
      <c r="E209" s="1361"/>
      <c r="F209" s="1361"/>
      <c r="G209" s="1361"/>
      <c r="H209" s="1361"/>
      <c r="I209" s="1361"/>
      <c r="J209" s="5276"/>
      <c r="K209" s="106" t="s">
        <v>1</v>
      </c>
      <c r="L209" s="1021" t="s">
        <v>26</v>
      </c>
      <c r="M209" s="41" t="str">
        <f>M190</f>
        <v>Coller la-cellule-identité.J.Jus de fraises des bois</v>
      </c>
      <c r="N209" s="40">
        <f>N190</f>
        <v>18</v>
      </c>
      <c r="O209" s="40" t="str">
        <f>O190</f>
        <v>assiettes</v>
      </c>
      <c r="P209" s="40" t="str">
        <f>P190</f>
        <v>Recette mère ► saisissez le nom de la recette mère</v>
      </c>
      <c r="Q209" s="5129" t="s">
        <v>88</v>
      </c>
      <c r="R209" s="5129" t="s">
        <v>172</v>
      </c>
      <c r="S209" s="5129" t="s">
        <v>170</v>
      </c>
      <c r="T209" s="5129" t="s">
        <v>166</v>
      </c>
      <c r="U209" s="5131" t="s">
        <v>946</v>
      </c>
      <c r="V209" s="5131" t="s">
        <v>8011</v>
      </c>
      <c r="W209" s="5131" t="s">
        <v>124</v>
      </c>
      <c r="X209" s="6286"/>
      <c r="Y209" s="5131" t="s">
        <v>164</v>
      </c>
      <c r="Z209" s="5131" t="s">
        <v>159</v>
      </c>
      <c r="AA209" s="5131" t="s">
        <v>8012</v>
      </c>
      <c r="AB209" s="5131" t="s">
        <v>8013</v>
      </c>
      <c r="AC209" s="5933" t="str">
        <f>IF(COUNTIF(AF210:AR210,"&lt;&gt;")&gt;0,"A","►")</f>
        <v>►</v>
      </c>
      <c r="AD209" s="5934" t="s">
        <v>88</v>
      </c>
      <c r="AE209" s="5935">
        <v>1</v>
      </c>
      <c r="AF209" s="5936"/>
      <c r="AG209" s="5936"/>
      <c r="AH209" s="5936"/>
      <c r="AI209" s="5937" t="s">
        <v>8536</v>
      </c>
      <c r="AJ209" s="5805"/>
      <c r="AK209" s="5805"/>
      <c r="AL209" s="5804"/>
      <c r="AM209" s="5804"/>
      <c r="AN209" s="5804"/>
      <c r="AO209" s="5804"/>
      <c r="AP209" s="5804"/>
      <c r="AQ209" s="5804"/>
      <c r="AR209" s="5938" t="s">
        <v>8537</v>
      </c>
      <c r="AS209" s="7383"/>
      <c r="AT209" s="4"/>
      <c r="AU209" s="4"/>
      <c r="AV209" s="4"/>
      <c r="AW209" s="5818" t="str">
        <f t="shared" si="45"/>
        <v>►</v>
      </c>
      <c r="AX209" s="5950"/>
      <c r="AY209" s="5950"/>
      <c r="AZ209" s="5950"/>
      <c r="BA209" s="5950"/>
      <c r="BB209" s="5950"/>
      <c r="BC209" s="2"/>
      <c r="BD209"/>
      <c r="BE209"/>
      <c r="BF209"/>
      <c r="BG209"/>
      <c r="BH209"/>
      <c r="BI209"/>
      <c r="BJ209"/>
      <c r="BL209" s="7161"/>
      <c r="BM209" s="7162"/>
      <c r="BN209" s="7162"/>
      <c r="BO209" s="7162"/>
      <c r="BP209" s="7162"/>
      <c r="BQ209" s="7162"/>
      <c r="BR209" s="7163"/>
      <c r="BT209"/>
      <c r="BU209"/>
      <c r="BV209"/>
      <c r="BX209" s="5">
        <v>1</v>
      </c>
    </row>
    <row r="210" spans="1:76" s="1" customFormat="1" ht="21" customHeight="1">
      <c r="A210" s="5641" t="s">
        <v>1</v>
      </c>
      <c r="B210" s="5662" t="str">
        <f t="shared" si="55"/>
        <v>►</v>
      </c>
      <c r="C210" s="5825" cm="1">
        <f t="array" ref="C210">SUMPRODUCT(LEN(D210:J210))</f>
        <v>0</v>
      </c>
      <c r="D210" s="5275"/>
      <c r="E210" s="1361"/>
      <c r="F210" s="1361"/>
      <c r="G210" s="1361"/>
      <c r="H210" s="1361"/>
      <c r="I210" s="1361"/>
      <c r="J210" s="5276"/>
      <c r="K210" s="106" t="s">
        <v>1</v>
      </c>
      <c r="L210" s="1021" t="s">
        <v>26</v>
      </c>
      <c r="M210" s="41" t="str">
        <f>M190</f>
        <v>Coller la-cellule-identité.J.Jus de fraises des bois</v>
      </c>
      <c r="N210" s="40">
        <f>N190</f>
        <v>18</v>
      </c>
      <c r="O210" s="40" t="str">
        <f>O190</f>
        <v>assiettes</v>
      </c>
      <c r="P210" s="40" t="str">
        <f>P190</f>
        <v>Recette mère ► saisissez le nom de la recette mère</v>
      </c>
      <c r="Q210" s="5935">
        <v>1</v>
      </c>
      <c r="R210" s="5935">
        <v>0.1</v>
      </c>
      <c r="S210" s="5943">
        <v>0.01</v>
      </c>
      <c r="T210" s="5935">
        <v>1E-3</v>
      </c>
      <c r="U210" s="5935">
        <v>0.01</v>
      </c>
      <c r="V210" s="5935">
        <v>0.1</v>
      </c>
      <c r="W210" s="5935">
        <v>0.22500000000000001</v>
      </c>
      <c r="X210" s="5935"/>
      <c r="Y210" s="5935">
        <v>0.25</v>
      </c>
      <c r="Z210" s="5935">
        <v>0.5</v>
      </c>
      <c r="AA210" s="5935">
        <v>0.33300000000000002</v>
      </c>
      <c r="AB210" s="5935">
        <v>0.2</v>
      </c>
      <c r="AC210" s="5933" t="str">
        <f>IF(COUNTIF(AF210:AR210,"&lt;&gt;")&gt;0,"A","►")</f>
        <v>►</v>
      </c>
      <c r="AD210" s="5944" t="s">
        <v>172</v>
      </c>
      <c r="AE210" s="5935">
        <v>0.1</v>
      </c>
      <c r="AF210" s="5945"/>
      <c r="AG210" s="5945"/>
      <c r="AH210" s="5945"/>
      <c r="AI210" s="5945"/>
      <c r="AJ210" s="5945"/>
      <c r="AK210" s="5945"/>
      <c r="AL210" s="5945"/>
      <c r="AM210" s="5945"/>
      <c r="AN210" s="5945"/>
      <c r="AO210" s="5945"/>
      <c r="AP210" s="5945"/>
      <c r="AQ210" s="5945"/>
      <c r="AR210" s="5946"/>
      <c r="AS210" s="7383"/>
      <c r="AT210" s="4"/>
      <c r="AU210" s="4"/>
      <c r="AV210" s="4"/>
      <c r="AW210" s="5818" t="str">
        <f t="shared" si="45"/>
        <v>►</v>
      </c>
      <c r="AX210" s="5950"/>
      <c r="AY210" s="5950"/>
      <c r="AZ210" s="5950"/>
      <c r="BA210" s="5950"/>
      <c r="BB210" s="5950"/>
      <c r="BC210" s="2"/>
      <c r="BD210"/>
      <c r="BE210"/>
      <c r="BF210"/>
      <c r="BG210"/>
      <c r="BH210"/>
      <c r="BI210"/>
      <c r="BJ210"/>
      <c r="BL210" s="7164"/>
      <c r="BM210" s="7165"/>
      <c r="BN210" s="7165"/>
      <c r="BO210" s="7165"/>
      <c r="BP210" s="7165"/>
      <c r="BQ210" s="7165"/>
      <c r="BR210" s="7166"/>
      <c r="BT210"/>
      <c r="BU210"/>
      <c r="BV210"/>
      <c r="BX210" s="5">
        <v>1</v>
      </c>
    </row>
    <row r="211" spans="1:76" s="1" customFormat="1" ht="21" customHeight="1" thickBot="1">
      <c r="A211" s="5641" t="s">
        <v>1</v>
      </c>
      <c r="B211" s="5662" t="str">
        <f t="shared" si="55"/>
        <v>►</v>
      </c>
      <c r="C211" s="5825" cm="1">
        <f t="array" ref="C211">SUMPRODUCT(LEN(D211:J211))</f>
        <v>0</v>
      </c>
      <c r="D211" s="5275"/>
      <c r="E211" s="1361"/>
      <c r="F211" s="1361"/>
      <c r="G211" s="1361"/>
      <c r="H211" s="1361"/>
      <c r="I211" s="1361"/>
      <c r="J211" s="5276"/>
      <c r="K211" s="106" t="s">
        <v>1</v>
      </c>
      <c r="L211" s="1021" t="s">
        <v>26</v>
      </c>
      <c r="M211" s="41" t="str">
        <f>M190</f>
        <v>Coller la-cellule-identité.J.Jus de fraises des bois</v>
      </c>
      <c r="N211" s="40">
        <f>N190</f>
        <v>18</v>
      </c>
      <c r="O211" s="40" t="str">
        <f>O190</f>
        <v>assiettes</v>
      </c>
      <c r="P211" s="40" t="str">
        <f>P190</f>
        <v>Recette mère ► saisissez le nom de la recette mère</v>
      </c>
      <c r="Q211" s="5124" t="s">
        <v>130</v>
      </c>
      <c r="R211" s="5128" t="s">
        <v>219</v>
      </c>
      <c r="S211" s="5266" t="s">
        <v>8014</v>
      </c>
      <c r="T211" s="5267" t="s">
        <v>188</v>
      </c>
      <c r="U211" s="5132" t="s">
        <v>176</v>
      </c>
      <c r="V211" s="5132" t="s">
        <v>179</v>
      </c>
      <c r="W211" s="5268" t="s">
        <v>122</v>
      </c>
      <c r="X211" s="6289"/>
      <c r="Y211" s="5268" t="s">
        <v>113</v>
      </c>
      <c r="Z211" s="5268" t="s">
        <v>112</v>
      </c>
      <c r="AA211" s="5268" t="s">
        <v>8015</v>
      </c>
      <c r="AB211" s="5268" t="s">
        <v>8016</v>
      </c>
      <c r="AC211" s="5933" t="str">
        <f>IF(COUNTIF(AF211:AR211,"&lt;&gt;")&gt;0,"A","►")</f>
        <v>►</v>
      </c>
      <c r="AD211" s="5944" t="s">
        <v>170</v>
      </c>
      <c r="AE211" s="5935">
        <v>0.01</v>
      </c>
      <c r="AF211" s="5945"/>
      <c r="AG211" s="5945"/>
      <c r="AH211" s="5945"/>
      <c r="AI211" s="5945"/>
      <c r="AJ211" s="5945"/>
      <c r="AK211" s="5945"/>
      <c r="AL211" s="5945"/>
      <c r="AM211" s="5945"/>
      <c r="AN211" s="5945"/>
      <c r="AO211" s="5945"/>
      <c r="AP211" s="5945"/>
      <c r="AQ211" s="5945"/>
      <c r="AR211" s="5946"/>
      <c r="AS211" s="7383"/>
      <c r="AT211" s="4"/>
      <c r="AU211" s="4"/>
      <c r="AV211" s="4"/>
      <c r="AW211" s="5818" t="str">
        <f t="shared" si="45"/>
        <v>►</v>
      </c>
      <c r="AX211" s="5950"/>
      <c r="AY211" s="5950"/>
      <c r="AZ211" s="5950"/>
      <c r="BA211" s="5950"/>
      <c r="BB211" s="5950"/>
      <c r="BC211" s="2"/>
      <c r="BD211"/>
      <c r="BE211"/>
      <c r="BF211"/>
      <c r="BG211"/>
      <c r="BH211"/>
      <c r="BI211"/>
      <c r="BJ211"/>
      <c r="BL211" s="1005" t="s">
        <v>86</v>
      </c>
      <c r="BM211" s="1006"/>
      <c r="BN211" s="1007"/>
      <c r="BO211" s="1008"/>
      <c r="BP211" s="1007"/>
      <c r="BQ211" s="1007"/>
      <c r="BR211" s="1009"/>
      <c r="BT211"/>
      <c r="BU211"/>
      <c r="BV211"/>
      <c r="BX211" s="5">
        <v>1</v>
      </c>
    </row>
    <row r="212" spans="1:76" s="1" customFormat="1" ht="21" customHeight="1">
      <c r="A212" s="5641" t="s">
        <v>1</v>
      </c>
      <c r="B212" s="5662" t="str">
        <f t="shared" si="55"/>
        <v>►</v>
      </c>
      <c r="C212" s="5825" cm="1">
        <f t="array" ref="C212">SUMPRODUCT(LEN(D212:J212))</f>
        <v>0</v>
      </c>
      <c r="D212" s="5275"/>
      <c r="E212" s="1361"/>
      <c r="F212" s="1361"/>
      <c r="G212" s="1361"/>
      <c r="H212" s="1361"/>
      <c r="I212" s="1361"/>
      <c r="J212" s="5276"/>
      <c r="K212" s="106" t="s">
        <v>1</v>
      </c>
      <c r="L212" s="1021" t="s">
        <v>26</v>
      </c>
      <c r="M212" s="41" t="str">
        <f>M190</f>
        <v>Coller la-cellule-identité.J.Jus de fraises des bois</v>
      </c>
      <c r="N212" s="40">
        <f>N190</f>
        <v>18</v>
      </c>
      <c r="O212" s="40" t="str">
        <f>O190</f>
        <v>assiettes</v>
      </c>
      <c r="P212" s="40" t="str">
        <f>P190</f>
        <v>Recette mère ► saisissez le nom de la recette mère</v>
      </c>
      <c r="Q212" s="5949">
        <v>1E-3</v>
      </c>
      <c r="R212" s="5949">
        <v>1</v>
      </c>
      <c r="S212" s="5949">
        <v>0</v>
      </c>
      <c r="T212" s="5949">
        <v>0.25</v>
      </c>
      <c r="U212" s="5949">
        <v>0.33332999999999996</v>
      </c>
      <c r="V212" s="5949">
        <v>0.5</v>
      </c>
      <c r="W212" s="5949">
        <v>2.835E-2</v>
      </c>
      <c r="X212" s="5949"/>
      <c r="Y212" s="5949">
        <v>0.13</v>
      </c>
      <c r="Z212" s="5949">
        <v>0.2</v>
      </c>
      <c r="AA212" s="5949">
        <v>0.23</v>
      </c>
      <c r="AB212" s="5949">
        <v>0.24</v>
      </c>
      <c r="AC212" s="5933" t="str">
        <f t="shared" ref="AC212:AC221" si="56">IF(COUNTIF(AF212:AR212,"&lt;&gt;")&gt;0,"A","►")</f>
        <v>►</v>
      </c>
      <c r="AD212" s="5944" t="s">
        <v>166</v>
      </c>
      <c r="AE212" s="5935">
        <v>1E-3</v>
      </c>
      <c r="AF212" s="5945"/>
      <c r="AG212" s="5945"/>
      <c r="AH212" s="5945"/>
      <c r="AI212" s="5945"/>
      <c r="AJ212" s="5945"/>
      <c r="AK212" s="5945"/>
      <c r="AL212" s="5945"/>
      <c r="AM212" s="5945"/>
      <c r="AN212" s="5945"/>
      <c r="AO212" s="5945"/>
      <c r="AP212" s="5945"/>
      <c r="AQ212" s="5945"/>
      <c r="AR212" s="5946"/>
      <c r="AS212" s="7383"/>
      <c r="AT212" s="4"/>
      <c r="AU212" s="4"/>
      <c r="AV212" s="4"/>
      <c r="AW212" s="5818" t="str">
        <f t="shared" si="45"/>
        <v>►</v>
      </c>
      <c r="AX212" s="5950"/>
      <c r="AY212" s="5950"/>
      <c r="AZ212" s="5950"/>
      <c r="BA212" s="5950"/>
      <c r="BB212" s="5950"/>
      <c r="BC212" s="2"/>
      <c r="BD212"/>
      <c r="BE212"/>
      <c r="BF212"/>
      <c r="BG212"/>
      <c r="BH212"/>
      <c r="BI212"/>
      <c r="BJ212"/>
      <c r="BL212" s="343"/>
      <c r="BM212"/>
      <c r="BN212"/>
      <c r="BO212"/>
      <c r="BP212"/>
      <c r="BQ212"/>
      <c r="BR212" s="762"/>
      <c r="BT212"/>
      <c r="BU212"/>
      <c r="BV212"/>
      <c r="BX212" s="5">
        <v>1</v>
      </c>
    </row>
    <row r="213" spans="1:76" s="1" customFormat="1" ht="21" customHeight="1">
      <c r="A213" s="5641" t="s">
        <v>1</v>
      </c>
      <c r="B213" s="5662" t="str">
        <f t="shared" si="55"/>
        <v>A</v>
      </c>
      <c r="C213" s="5825" cm="1">
        <f t="array" ref="C213">SUMPRODUCT(LEN(D213:J213))</f>
        <v>0</v>
      </c>
      <c r="D213" s="5275"/>
      <c r="E213" s="1361"/>
      <c r="F213" s="1361"/>
      <c r="G213" s="1361"/>
      <c r="H213" s="1361"/>
      <c r="I213" s="1361"/>
      <c r="J213" s="5276"/>
      <c r="K213" s="106" t="s">
        <v>1</v>
      </c>
      <c r="L213" s="5269" t="s">
        <v>21</v>
      </c>
      <c r="M213" s="1313" t="str">
        <f>M190</f>
        <v>Coller la-cellule-identité.J.Jus de fraises des bois</v>
      </c>
      <c r="N213" s="1313">
        <f>N190</f>
        <v>18</v>
      </c>
      <c r="O213" s="1313" t="str">
        <f>O190</f>
        <v>assiettes</v>
      </c>
      <c r="P213" s="1313" t="str">
        <f>P190</f>
        <v>Recette mère ► saisissez le nom de la recette mère</v>
      </c>
      <c r="Q213" s="1314" t="s">
        <v>218</v>
      </c>
      <c r="R213" s="1314">
        <v>11</v>
      </c>
      <c r="S213" s="1315" t="s">
        <v>1108</v>
      </c>
      <c r="T213" s="1316"/>
      <c r="U213" s="1316"/>
      <c r="V213" s="1317"/>
      <c r="W213" s="8541"/>
      <c r="X213" s="5957"/>
      <c r="Y213" s="5320"/>
      <c r="Z213" s="5320"/>
      <c r="AA213" s="5321" t="s">
        <v>1156</v>
      </c>
      <c r="AB213" s="5958" t="s">
        <v>1155</v>
      </c>
      <c r="AC213" s="5933" t="str">
        <f t="shared" si="56"/>
        <v>►</v>
      </c>
      <c r="AD213" s="5959" t="s">
        <v>946</v>
      </c>
      <c r="AE213" s="5935">
        <v>0.01</v>
      </c>
      <c r="AF213" s="5945"/>
      <c r="AG213" s="5945"/>
      <c r="AH213" s="5945"/>
      <c r="AI213" s="5945"/>
      <c r="AJ213" s="5945"/>
      <c r="AK213" s="5945"/>
      <c r="AL213" s="5945"/>
      <c r="AM213" s="5945"/>
      <c r="AN213" s="5945"/>
      <c r="AO213" s="5945"/>
      <c r="AP213" s="5945"/>
      <c r="AQ213" s="5945"/>
      <c r="AR213" s="5946"/>
      <c r="AS213" s="7383"/>
      <c r="AT213" s="4"/>
      <c r="AU213" s="4"/>
      <c r="AV213" s="4"/>
      <c r="AW213" s="5818" t="str">
        <f t="shared" si="45"/>
        <v>►</v>
      </c>
      <c r="AX213" s="5950"/>
      <c r="AY213" s="5950"/>
      <c r="AZ213" s="5950"/>
      <c r="BA213" s="5950"/>
      <c r="BB213" s="5950"/>
      <c r="BC213" s="2"/>
      <c r="BD213"/>
      <c r="BE213"/>
      <c r="BF213"/>
      <c r="BG213"/>
      <c r="BH213"/>
      <c r="BI213"/>
      <c r="BJ213"/>
      <c r="BL213" s="6079" t="s">
        <v>252</v>
      </c>
      <c r="BM213" s="1398"/>
      <c r="BN213" s="1398"/>
      <c r="BO213" s="1398"/>
      <c r="BP213" s="1398"/>
      <c r="BQ213" s="1398"/>
      <c r="BR213" s="6080" t="s">
        <v>1158</v>
      </c>
      <c r="BT213"/>
      <c r="BU213"/>
      <c r="BV213"/>
      <c r="BX213" s="5">
        <v>1</v>
      </c>
    </row>
    <row r="214" spans="1:76" s="1" customFormat="1" ht="21" customHeight="1">
      <c r="A214" s="5641" t="s">
        <v>1</v>
      </c>
      <c r="B214" s="5662" t="str">
        <f t="shared" si="55"/>
        <v>A</v>
      </c>
      <c r="C214" s="5825" cm="1">
        <f t="array" ref="C214">SUMPRODUCT(LEN(D214:J214))</f>
        <v>0</v>
      </c>
      <c r="D214" s="5275"/>
      <c r="E214" s="1361"/>
      <c r="F214" s="1361"/>
      <c r="G214" s="1361"/>
      <c r="H214" s="1361"/>
      <c r="I214" s="1361"/>
      <c r="J214" s="5276"/>
      <c r="K214" s="106" t="s">
        <v>1</v>
      </c>
      <c r="L214" s="5270" t="s">
        <v>21</v>
      </c>
      <c r="M214" s="196" t="str">
        <f>M190</f>
        <v>Coller la-cellule-identité.J.Jus de fraises des bois</v>
      </c>
      <c r="N214" s="196">
        <f>N190</f>
        <v>18</v>
      </c>
      <c r="O214" s="196" t="str">
        <f>O190</f>
        <v>assiettes</v>
      </c>
      <c r="P214" s="196" t="str">
        <f>P190</f>
        <v>Recette mère ► saisissez le nom de la recette mère</v>
      </c>
      <c r="Q214" s="5815" t="s">
        <v>252</v>
      </c>
      <c r="R214" s="5271" t="s">
        <v>864</v>
      </c>
      <c r="S214" s="1321"/>
      <c r="T214" s="1321"/>
      <c r="U214" s="1321"/>
      <c r="V214" s="1321"/>
      <c r="W214" s="1321"/>
      <c r="X214" s="1322"/>
      <c r="Y214" s="5411"/>
      <c r="Z214" s="1266"/>
      <c r="AA214" s="1270" t="s">
        <v>1157</v>
      </c>
      <c r="AB214" s="5272" t="s">
        <v>1155</v>
      </c>
      <c r="AC214" s="5933" t="str">
        <f t="shared" si="56"/>
        <v>►</v>
      </c>
      <c r="AD214" s="5964" t="s">
        <v>8011</v>
      </c>
      <c r="AE214" s="5935">
        <v>0.1</v>
      </c>
      <c r="AF214" s="5945"/>
      <c r="AG214" s="5945"/>
      <c r="AH214" s="5945"/>
      <c r="AI214" s="5945"/>
      <c r="AJ214" s="5945"/>
      <c r="AK214" s="5945"/>
      <c r="AL214" s="5945"/>
      <c r="AM214" s="5945"/>
      <c r="AN214" s="5945"/>
      <c r="AO214" s="5945"/>
      <c r="AP214" s="5945"/>
      <c r="AQ214" s="5945"/>
      <c r="AR214" s="5946"/>
      <c r="AS214" s="7383"/>
      <c r="AT214" s="4"/>
      <c r="AU214" s="4"/>
      <c r="AV214" s="4"/>
      <c r="AW214" s="5818" t="str">
        <f t="shared" si="45"/>
        <v>►</v>
      </c>
      <c r="AX214" s="5950"/>
      <c r="AY214" s="5950"/>
      <c r="AZ214" s="5950"/>
      <c r="BA214" s="5950"/>
      <c r="BB214" s="5950"/>
      <c r="BC214" s="2"/>
      <c r="BD214"/>
      <c r="BE214"/>
      <c r="BF214"/>
      <c r="BG214"/>
      <c r="BH214"/>
      <c r="BI214"/>
      <c r="BJ214"/>
      <c r="BL214" s="6086"/>
      <c r="BM214" s="1401" t="s">
        <v>1159</v>
      </c>
      <c r="BN214" s="1362"/>
      <c r="BO214" s="1362"/>
      <c r="BP214" s="1362"/>
      <c r="BQ214" s="1402" t="s">
        <v>1160</v>
      </c>
      <c r="BR214" s="6087"/>
      <c r="BT214"/>
      <c r="BU214"/>
      <c r="BV214"/>
      <c r="BX214" s="5">
        <v>1</v>
      </c>
    </row>
    <row r="215" spans="1:76" s="1" customFormat="1" ht="21" customHeight="1">
      <c r="A215" s="5641" t="s">
        <v>1</v>
      </c>
      <c r="B215" s="5662" t="str">
        <f t="shared" si="55"/>
        <v>A</v>
      </c>
      <c r="C215" s="5825" cm="1">
        <f t="array" ref="C215">SUMPRODUCT(LEN(D215:J215))</f>
        <v>0</v>
      </c>
      <c r="D215" s="5275"/>
      <c r="E215" s="1361"/>
      <c r="F215" s="1361"/>
      <c r="G215" s="1361"/>
      <c r="H215" s="1361"/>
      <c r="I215" s="1361"/>
      <c r="J215" s="5276"/>
      <c r="K215" s="106" t="s">
        <v>1</v>
      </c>
      <c r="L215" s="1021" t="str">
        <f t="shared" ref="L215:L225" si="57">IF(OR(Q215&lt;&gt;"",R215&lt;&gt; "",S215&lt;&gt;"",T215&lt;&gt;""),"A", "►")</f>
        <v>A</v>
      </c>
      <c r="M215" s="196" t="str">
        <f>M190</f>
        <v>Coller la-cellule-identité.J.Jus de fraises des bois</v>
      </c>
      <c r="N215" s="196">
        <f>N190</f>
        <v>18</v>
      </c>
      <c r="O215" s="196" t="str">
        <f>O190</f>
        <v>assiettes</v>
      </c>
      <c r="P215" s="196" t="str">
        <f>P190</f>
        <v>Recette mère ► saisissez le nom de la recette mère</v>
      </c>
      <c r="Q215" s="5275" t="s">
        <v>8637</v>
      </c>
      <c r="R215" s="1320"/>
      <c r="S215" s="1320"/>
      <c r="T215" s="1320"/>
      <c r="U215" s="1320"/>
      <c r="V215" s="1320"/>
      <c r="W215" s="8501"/>
      <c r="X215" s="1324"/>
      <c r="Y215" s="141"/>
      <c r="Z215" s="141"/>
      <c r="AA215" s="5273" t="s">
        <v>1150</v>
      </c>
      <c r="AB215" s="5274">
        <v>3.472222222222222E-3</v>
      </c>
      <c r="AC215" s="5933" t="str">
        <f t="shared" si="56"/>
        <v>►</v>
      </c>
      <c r="AD215" s="5964" t="s">
        <v>124</v>
      </c>
      <c r="AE215" s="5935">
        <v>0.22500000000000001</v>
      </c>
      <c r="AF215" s="5945"/>
      <c r="AG215" s="5945"/>
      <c r="AH215" s="5945"/>
      <c r="AI215" s="5945"/>
      <c r="AJ215" s="5945"/>
      <c r="AK215" s="5945"/>
      <c r="AL215" s="5945"/>
      <c r="AM215" s="5945"/>
      <c r="AN215" s="5945"/>
      <c r="AO215" s="5945"/>
      <c r="AP215" s="5945"/>
      <c r="AQ215" s="5945"/>
      <c r="AR215" s="5946"/>
      <c r="AS215" s="7383"/>
      <c r="AT215" s="4"/>
      <c r="AU215" s="4"/>
      <c r="AV215" s="4"/>
      <c r="AW215" s="5818" t="str">
        <f t="shared" si="45"/>
        <v>►</v>
      </c>
      <c r="AX215" s="5950"/>
      <c r="AY215" s="5950"/>
      <c r="AZ215" s="5950"/>
      <c r="BA215" s="5950"/>
      <c r="BB215" s="5950"/>
      <c r="BC215" s="2"/>
      <c r="BD215"/>
      <c r="BE215"/>
      <c r="BF215"/>
      <c r="BG215"/>
      <c r="BH215"/>
      <c r="BI215"/>
      <c r="BJ215"/>
      <c r="BL215" s="6086">
        <v>3</v>
      </c>
      <c r="BM215" s="1404" t="s">
        <v>1163</v>
      </c>
      <c r="BN215" s="988"/>
      <c r="BO215" s="988"/>
      <c r="BP215" s="988"/>
      <c r="BQ215" s="1358" t="s">
        <v>1118</v>
      </c>
      <c r="BR215" s="6088" t="s">
        <v>1162</v>
      </c>
      <c r="BT215"/>
      <c r="BU215"/>
      <c r="BV215"/>
      <c r="BX215" s="5">
        <v>1</v>
      </c>
    </row>
    <row r="216" spans="1:76" s="1" customFormat="1" ht="21" customHeight="1" thickBot="1">
      <c r="A216" s="5641" t="s">
        <v>1</v>
      </c>
      <c r="B216" s="5662" t="str">
        <f t="shared" si="55"/>
        <v>A</v>
      </c>
      <c r="C216" s="5825" cm="1">
        <f t="array" ref="C216">SUMPRODUCT(LEN(D216:J216))</f>
        <v>0</v>
      </c>
      <c r="D216" s="5275"/>
      <c r="E216" s="1361"/>
      <c r="F216" s="1361"/>
      <c r="G216" s="1361"/>
      <c r="H216" s="1361"/>
      <c r="I216" s="1361"/>
      <c r="J216" s="5276"/>
      <c r="K216" s="106"/>
      <c r="L216" s="1021" t="str">
        <f t="shared" si="57"/>
        <v>A</v>
      </c>
      <c r="M216" s="196" t="str">
        <f>M190</f>
        <v>Coller la-cellule-identité.J.Jus de fraises des bois</v>
      </c>
      <c r="N216" s="196">
        <f>N190</f>
        <v>18</v>
      </c>
      <c r="O216" s="196" t="str">
        <f>O190</f>
        <v>assiettes</v>
      </c>
      <c r="P216" s="196" t="str">
        <f>P190</f>
        <v>Recette mère ► saisissez le nom de la recette mère</v>
      </c>
      <c r="Q216" s="5275" t="s">
        <v>8638</v>
      </c>
      <c r="R216" s="1361"/>
      <c r="S216" s="1361"/>
      <c r="T216" s="1361"/>
      <c r="U216" s="1361"/>
      <c r="V216" s="1361"/>
      <c r="W216" s="8502"/>
      <c r="X216" s="5276"/>
      <c r="Y216" s="141"/>
      <c r="Z216" s="141"/>
      <c r="AA216" s="5273" t="s">
        <v>1152</v>
      </c>
      <c r="AB216" s="5277">
        <v>1.0416666666666666E-2</v>
      </c>
      <c r="AC216" s="5933" t="str">
        <f t="shared" si="56"/>
        <v>►</v>
      </c>
      <c r="AD216" s="5964" t="s">
        <v>164</v>
      </c>
      <c r="AE216" s="5935">
        <v>0.25</v>
      </c>
      <c r="AF216" s="5945"/>
      <c r="AG216" s="5945"/>
      <c r="AH216" s="5945"/>
      <c r="AI216" s="5945"/>
      <c r="AJ216" s="5945"/>
      <c r="AK216" s="5945"/>
      <c r="AL216" s="5945"/>
      <c r="AM216" s="5945"/>
      <c r="AN216" s="5945"/>
      <c r="AO216" s="5945"/>
      <c r="AP216" s="5945"/>
      <c r="AQ216" s="5945"/>
      <c r="AR216" s="5946"/>
      <c r="AS216" s="7383"/>
      <c r="AT216" s="4"/>
      <c r="AU216" s="4"/>
      <c r="AV216" s="4"/>
      <c r="AW216" s="5818" t="str">
        <f t="shared" si="45"/>
        <v>►</v>
      </c>
      <c r="AX216" s="5950"/>
      <c r="AY216" s="5950"/>
      <c r="AZ216" s="5950"/>
      <c r="BA216" s="5950"/>
      <c r="BB216" s="5950"/>
      <c r="BC216" s="2"/>
      <c r="BD216"/>
      <c r="BE216"/>
      <c r="BF216"/>
      <c r="BG216"/>
      <c r="BH216"/>
      <c r="BI216"/>
      <c r="BJ216"/>
      <c r="BL216" s="6086"/>
      <c r="BM216" s="1404" t="s">
        <v>1165</v>
      </c>
      <c r="BN216" s="988"/>
      <c r="BO216" s="988"/>
      <c r="BP216" s="988"/>
      <c r="BQ216" s="1406"/>
      <c r="BR216" s="6088" t="s">
        <v>1164</v>
      </c>
      <c r="BT216"/>
      <c r="BU216"/>
      <c r="BV216"/>
      <c r="BX216" s="5">
        <v>1</v>
      </c>
    </row>
    <row r="217" spans="1:76" s="1" customFormat="1" ht="21" customHeight="1" thickTop="1">
      <c r="A217" s="5641" t="s">
        <v>1</v>
      </c>
      <c r="B217" s="5662" t="str">
        <f t="shared" si="55"/>
        <v>A</v>
      </c>
      <c r="C217" s="5825" cm="1">
        <f t="array" ref="C217">SUMPRODUCT(LEN(D217:J217))</f>
        <v>0</v>
      </c>
      <c r="D217" s="5275"/>
      <c r="E217" s="1361"/>
      <c r="F217" s="1361"/>
      <c r="G217" s="1361"/>
      <c r="H217" s="1361"/>
      <c r="I217" s="1361"/>
      <c r="J217" s="5276"/>
      <c r="K217" s="106"/>
      <c r="L217" s="1021" t="str">
        <f t="shared" si="57"/>
        <v>A</v>
      </c>
      <c r="M217" s="196" t="str">
        <f>M190</f>
        <v>Coller la-cellule-identité.J.Jus de fraises des bois</v>
      </c>
      <c r="N217" s="196">
        <f>N190</f>
        <v>18</v>
      </c>
      <c r="O217" s="196" t="str">
        <f>O190</f>
        <v>assiettes</v>
      </c>
      <c r="P217" s="196" t="str">
        <f>P190</f>
        <v>Recette mère ► saisissez le nom de la recette mère</v>
      </c>
      <c r="Q217" s="5275" t="s">
        <v>8639</v>
      </c>
      <c r="R217" s="1361"/>
      <c r="S217" s="1361"/>
      <c r="T217" s="1361"/>
      <c r="U217" s="1361"/>
      <c r="V217" s="1361"/>
      <c r="W217" s="8502"/>
      <c r="X217" s="5276"/>
      <c r="Y217" s="141"/>
      <c r="Z217" s="141"/>
      <c r="AA217" s="5273" t="s">
        <v>8017</v>
      </c>
      <c r="AB217" s="5278">
        <v>2.0833333333333332E-2</v>
      </c>
      <c r="AC217" s="5933" t="str">
        <f t="shared" si="56"/>
        <v>►</v>
      </c>
      <c r="AD217" s="5964" t="s">
        <v>159</v>
      </c>
      <c r="AE217" s="5935">
        <v>0.5</v>
      </c>
      <c r="AF217" s="5945"/>
      <c r="AG217" s="5945"/>
      <c r="AH217" s="5945"/>
      <c r="AI217" s="5945"/>
      <c r="AJ217" s="5945"/>
      <c r="AK217" s="5945"/>
      <c r="AL217" s="5945"/>
      <c r="AM217" s="5945"/>
      <c r="AN217" s="5945"/>
      <c r="AO217" s="5945"/>
      <c r="AP217" s="5945"/>
      <c r="AQ217" s="5945"/>
      <c r="AR217" s="5946"/>
      <c r="AS217" s="7383"/>
      <c r="AT217" s="4"/>
      <c r="AU217" s="4"/>
      <c r="AV217" s="4"/>
      <c r="AW217" s="5818" t="str">
        <f t="shared" si="45"/>
        <v>►</v>
      </c>
      <c r="AX217" s="5950"/>
      <c r="AY217" s="5950"/>
      <c r="AZ217" s="5950"/>
      <c r="BA217" s="5950"/>
      <c r="BB217" s="5950"/>
      <c r="BC217" s="2"/>
      <c r="BD217"/>
      <c r="BE217"/>
      <c r="BF217"/>
      <c r="BG217"/>
      <c r="BH217"/>
      <c r="BI217"/>
      <c r="BJ217"/>
      <c r="BL217" s="6089" t="str">
        <f>SUM(BL214:BL216) &amp; " / " &amp; (COUNTA(BL214:BL216) * 3)</f>
        <v>3 / 3</v>
      </c>
      <c r="BM217" s="988" t="s">
        <v>1177</v>
      </c>
      <c r="BN217" s="988"/>
      <c r="BO217" s="988"/>
      <c r="BP217" s="988"/>
      <c r="BQ217" s="1411" t="s">
        <v>1175</v>
      </c>
      <c r="BR217" s="6088" t="s">
        <v>1176</v>
      </c>
      <c r="BT217"/>
      <c r="BU217"/>
      <c r="BV217"/>
      <c r="BX217" s="5">
        <v>1</v>
      </c>
    </row>
    <row r="218" spans="1:76" s="1" customFormat="1" ht="21" customHeight="1">
      <c r="A218" s="5641" t="s">
        <v>1</v>
      </c>
      <c r="B218" s="5662" t="str">
        <f t="shared" si="55"/>
        <v>►</v>
      </c>
      <c r="C218" s="5825" cm="1">
        <f t="array" ref="C218">SUMPRODUCT(LEN(D218:J218))</f>
        <v>0</v>
      </c>
      <c r="D218" s="5275"/>
      <c r="E218" s="1361"/>
      <c r="F218" s="1361"/>
      <c r="G218" s="1361"/>
      <c r="H218" s="1361"/>
      <c r="I218" s="1361"/>
      <c r="J218" s="5276"/>
      <c r="K218" s="106"/>
      <c r="L218" s="1021" t="str">
        <f t="shared" si="57"/>
        <v>►</v>
      </c>
      <c r="M218" s="196" t="str">
        <f>M190</f>
        <v>Coller la-cellule-identité.J.Jus de fraises des bois</v>
      </c>
      <c r="N218" s="196">
        <f>N190</f>
        <v>18</v>
      </c>
      <c r="O218" s="196" t="str">
        <f>O190</f>
        <v>assiettes</v>
      </c>
      <c r="P218" s="196" t="str">
        <f>P190</f>
        <v>Recette mère ► saisissez le nom de la recette mère</v>
      </c>
      <c r="Q218" s="5275"/>
      <c r="R218" s="1361"/>
      <c r="S218" s="1361"/>
      <c r="T218" s="1361"/>
      <c r="U218" s="1361"/>
      <c r="V218" s="1361"/>
      <c r="W218" s="8502"/>
      <c r="X218" s="5276"/>
      <c r="Y218" s="141"/>
      <c r="Z218" s="141"/>
      <c r="AA218" s="5279" t="s">
        <v>37</v>
      </c>
      <c r="AB218" s="5280">
        <f>AB215+AB216+AB217</f>
        <v>3.4722222222222224E-2</v>
      </c>
      <c r="AC218" s="5933" t="str">
        <f t="shared" si="56"/>
        <v>►</v>
      </c>
      <c r="AD218" s="5964" t="s">
        <v>8012</v>
      </c>
      <c r="AE218" s="5935">
        <v>0.33300000000000002</v>
      </c>
      <c r="AF218" s="5945"/>
      <c r="AG218" s="5945"/>
      <c r="AH218" s="5945"/>
      <c r="AI218" s="5945"/>
      <c r="AJ218" s="5945"/>
      <c r="AK218" s="5945"/>
      <c r="AL218" s="5945"/>
      <c r="AM218" s="5945"/>
      <c r="AN218" s="5945"/>
      <c r="AO218" s="5945"/>
      <c r="AP218" s="5945"/>
      <c r="AQ218" s="5945"/>
      <c r="AR218" s="5946"/>
      <c r="AS218" s="7383"/>
      <c r="AT218" s="4"/>
      <c r="AU218" s="4"/>
      <c r="AV218" s="4"/>
      <c r="AW218" s="5818" t="str">
        <f t="shared" si="45"/>
        <v>►</v>
      </c>
      <c r="AX218" s="5950"/>
      <c r="AY218" s="5950"/>
      <c r="AZ218" s="5950"/>
      <c r="BA218" s="5950"/>
      <c r="BB218" s="5950"/>
      <c r="BC218" s="2"/>
      <c r="BD218"/>
      <c r="BE218"/>
      <c r="BF218"/>
      <c r="BG218"/>
      <c r="BH218"/>
      <c r="BI218"/>
      <c r="BJ218"/>
      <c r="BL218" s="6090" t="str">
        <f>SUM(BL214:BL216) &amp;"/ "&amp;BL219</f>
        <v>3/ 24</v>
      </c>
      <c r="BM218" s="1414" t="s">
        <v>1178</v>
      </c>
      <c r="BN218" s="988"/>
      <c r="BO218" s="988"/>
      <c r="BP218" s="988"/>
      <c r="BQ218" s="1406"/>
      <c r="BR218" s="6088" t="s">
        <v>1164</v>
      </c>
      <c r="BT218"/>
      <c r="BU218"/>
      <c r="BV218"/>
      <c r="BX218" s="5">
        <v>1</v>
      </c>
    </row>
    <row r="219" spans="1:76" s="1" customFormat="1" ht="21" customHeight="1" thickBot="1">
      <c r="A219" s="5641" t="s">
        <v>1</v>
      </c>
      <c r="B219" s="5662" t="str">
        <f t="shared" si="55"/>
        <v>►</v>
      </c>
      <c r="C219" s="5825" cm="1">
        <f t="array" ref="C219">SUMPRODUCT(LEN(D219:J219))</f>
        <v>0</v>
      </c>
      <c r="D219" s="5275"/>
      <c r="E219" s="1361"/>
      <c r="F219" s="1361"/>
      <c r="G219" s="1361"/>
      <c r="H219" s="1361"/>
      <c r="I219" s="1361"/>
      <c r="J219" s="5276"/>
      <c r="K219" s="106"/>
      <c r="L219" s="1021" t="str">
        <f t="shared" si="57"/>
        <v>►</v>
      </c>
      <c r="M219" s="196" t="str">
        <f>M190</f>
        <v>Coller la-cellule-identité.J.Jus de fraises des bois</v>
      </c>
      <c r="N219" s="196">
        <f>N190</f>
        <v>18</v>
      </c>
      <c r="O219" s="196" t="str">
        <f>O190</f>
        <v>assiettes</v>
      </c>
      <c r="P219" s="196" t="str">
        <f>P190</f>
        <v>Recette mère ► saisissez le nom de la recette mère</v>
      </c>
      <c r="Q219" s="5275"/>
      <c r="R219" s="1361"/>
      <c r="S219" s="1361"/>
      <c r="T219" s="1361"/>
      <c r="U219" s="1361"/>
      <c r="V219" s="1361"/>
      <c r="W219" s="8502"/>
      <c r="X219" s="5276"/>
      <c r="Y219" s="6896" t="s">
        <v>7498</v>
      </c>
      <c r="Z219" s="6897"/>
      <c r="AA219" s="6897"/>
      <c r="AB219" s="7150"/>
      <c r="AC219" s="5933" t="str">
        <f t="shared" si="56"/>
        <v>►</v>
      </c>
      <c r="AD219" s="5964" t="s">
        <v>8013</v>
      </c>
      <c r="AE219" s="5935">
        <v>0.2</v>
      </c>
      <c r="AF219" s="5945"/>
      <c r="AG219" s="5945"/>
      <c r="AH219" s="5945"/>
      <c r="AI219" s="5945"/>
      <c r="AJ219" s="5945"/>
      <c r="AK219" s="5945"/>
      <c r="AL219" s="5945"/>
      <c r="AM219" s="5945"/>
      <c r="AN219" s="5945"/>
      <c r="AO219" s="5945"/>
      <c r="AP219" s="5945"/>
      <c r="AQ219" s="5945"/>
      <c r="AR219" s="5946"/>
      <c r="AS219" s="7383"/>
      <c r="AT219" s="4"/>
      <c r="AU219" s="4"/>
      <c r="AV219" s="4"/>
      <c r="AW219" s="5818" t="str">
        <f t="shared" si="45"/>
        <v>►</v>
      </c>
      <c r="AX219" s="5950"/>
      <c r="AY219" s="5950"/>
      <c r="AZ219" s="5950"/>
      <c r="BA219" s="5950"/>
      <c r="BB219" s="5950"/>
      <c r="BC219" s="2"/>
      <c r="BD219"/>
      <c r="BE219"/>
      <c r="BF219"/>
      <c r="BG219"/>
      <c r="BH219"/>
      <c r="BI219"/>
      <c r="BJ219"/>
      <c r="BL219" s="6091">
        <v>24</v>
      </c>
      <c r="BM219" s="1417" t="s">
        <v>1180</v>
      </c>
      <c r="BN219" s="988"/>
      <c r="BO219" s="988"/>
      <c r="BP219" s="988"/>
      <c r="BQ219" s="1415"/>
      <c r="BR219" s="6092" t="s">
        <v>1179</v>
      </c>
      <c r="BT219"/>
      <c r="BU219"/>
      <c r="BV219"/>
      <c r="BX219" s="5">
        <v>1</v>
      </c>
    </row>
    <row r="220" spans="1:76" s="1" customFormat="1" ht="21" customHeight="1" thickTop="1">
      <c r="A220" s="5641" t="s">
        <v>1</v>
      </c>
      <c r="B220" s="5662" t="str">
        <f t="shared" si="55"/>
        <v>►</v>
      </c>
      <c r="C220" s="5825" cm="1">
        <f t="array" ref="C220">SUMPRODUCT(LEN(D220:J220))</f>
        <v>0</v>
      </c>
      <c r="D220" s="5275"/>
      <c r="E220" s="1361"/>
      <c r="F220" s="1361"/>
      <c r="G220" s="1361"/>
      <c r="H220" s="1361"/>
      <c r="I220" s="1361"/>
      <c r="J220" s="5276"/>
      <c r="K220" s="106"/>
      <c r="L220" s="1021" t="str">
        <f t="shared" si="57"/>
        <v>►</v>
      </c>
      <c r="M220" s="196" t="str">
        <f>M190</f>
        <v>Coller la-cellule-identité.J.Jus de fraises des bois</v>
      </c>
      <c r="N220" s="196">
        <f>N190</f>
        <v>18</v>
      </c>
      <c r="O220" s="196" t="str">
        <f>O190</f>
        <v>assiettes</v>
      </c>
      <c r="P220" s="196" t="str">
        <f>P190</f>
        <v>Recette mère ► saisissez le nom de la recette mère</v>
      </c>
      <c r="Q220" s="5275"/>
      <c r="R220" s="1361"/>
      <c r="S220" s="1361"/>
      <c r="T220" s="1361"/>
      <c r="U220" s="1361"/>
      <c r="V220" s="1361"/>
      <c r="W220" s="8502"/>
      <c r="X220" s="5276"/>
      <c r="Y220" s="5281" t="s">
        <v>8018</v>
      </c>
      <c r="Z220" s="147"/>
      <c r="AA220" s="7151" t="s">
        <v>8019</v>
      </c>
      <c r="AB220" s="7152"/>
      <c r="AC220" s="5933" t="str">
        <f t="shared" si="56"/>
        <v>►</v>
      </c>
      <c r="AD220" s="5979" t="s">
        <v>130</v>
      </c>
      <c r="AE220" s="5949">
        <v>1E-3</v>
      </c>
      <c r="AF220" s="5945"/>
      <c r="AG220" s="5945"/>
      <c r="AH220" s="5945"/>
      <c r="AI220" s="5945"/>
      <c r="AJ220" s="5945"/>
      <c r="AK220" s="5945"/>
      <c r="AL220" s="5945"/>
      <c r="AM220" s="5945"/>
      <c r="AN220" s="5945"/>
      <c r="AO220" s="5945"/>
      <c r="AP220" s="5945"/>
      <c r="AQ220" s="5945"/>
      <c r="AR220" s="5946"/>
      <c r="AS220" s="7383"/>
      <c r="AT220" s="4"/>
      <c r="AU220" s="4"/>
      <c r="AV220" s="4"/>
      <c r="AW220" s="5818" t="str">
        <f t="shared" si="45"/>
        <v>►</v>
      </c>
      <c r="AX220" s="5950"/>
      <c r="AY220" s="5950"/>
      <c r="AZ220" s="5950"/>
      <c r="BA220" s="5950"/>
      <c r="BB220" s="5950"/>
      <c r="BC220" s="2"/>
      <c r="BD220"/>
      <c r="BE220"/>
      <c r="BF220"/>
      <c r="BG220"/>
      <c r="BH220"/>
      <c r="BI220"/>
      <c r="BJ220"/>
      <c r="BL220" s="986" t="s">
        <v>1182</v>
      </c>
      <c r="BM220" s="988"/>
      <c r="BN220" s="988"/>
      <c r="BO220" s="988"/>
      <c r="BP220" s="988"/>
      <c r="BQ220" s="1406"/>
      <c r="BR220" s="6088" t="s">
        <v>1181</v>
      </c>
      <c r="BT220"/>
      <c r="BU220"/>
      <c r="BV220"/>
      <c r="BX220" s="5">
        <v>1</v>
      </c>
    </row>
    <row r="221" spans="1:76" s="1" customFormat="1" ht="21" customHeight="1">
      <c r="A221" s="5641" t="s">
        <v>1</v>
      </c>
      <c r="B221" s="5662" t="str">
        <f t="shared" si="55"/>
        <v>►</v>
      </c>
      <c r="C221" s="5825" cm="1">
        <f t="array" ref="C221">SUMPRODUCT(LEN(D221:J221))</f>
        <v>0</v>
      </c>
      <c r="D221" s="5275"/>
      <c r="E221" s="1361"/>
      <c r="F221" s="1361"/>
      <c r="G221" s="1361"/>
      <c r="H221" s="1361"/>
      <c r="I221" s="1361"/>
      <c r="J221" s="5276"/>
      <c r="K221" s="106"/>
      <c r="L221" s="1021" t="str">
        <f t="shared" si="57"/>
        <v>►</v>
      </c>
      <c r="M221" s="196" t="str">
        <f>M190</f>
        <v>Coller la-cellule-identité.J.Jus de fraises des bois</v>
      </c>
      <c r="N221" s="196">
        <f>N190</f>
        <v>18</v>
      </c>
      <c r="O221" s="196" t="str">
        <f>O190</f>
        <v>assiettes</v>
      </c>
      <c r="P221" s="196" t="str">
        <f>P190</f>
        <v>Recette mère ► saisissez le nom de la recette mère</v>
      </c>
      <c r="Q221" s="5275"/>
      <c r="R221" s="1361"/>
      <c r="S221" s="1361"/>
      <c r="T221" s="1361"/>
      <c r="U221" s="1361"/>
      <c r="V221" s="1361"/>
      <c r="W221" s="8502"/>
      <c r="X221" s="5276"/>
      <c r="Y221" s="5282">
        <v>100</v>
      </c>
      <c r="Z221" s="147"/>
      <c r="AA221" s="6899" t="s">
        <v>8640</v>
      </c>
      <c r="AB221" s="7153"/>
      <c r="AC221" s="5933" t="str">
        <f t="shared" si="56"/>
        <v>►</v>
      </c>
      <c r="AD221" s="5980" t="s">
        <v>219</v>
      </c>
      <c r="AE221" s="5949">
        <v>1</v>
      </c>
      <c r="AF221" s="5945"/>
      <c r="AG221" s="5945"/>
      <c r="AH221" s="5945"/>
      <c r="AI221" s="5945"/>
      <c r="AJ221" s="5945"/>
      <c r="AK221" s="5945"/>
      <c r="AL221" s="5945"/>
      <c r="AM221" s="5945"/>
      <c r="AN221" s="5945"/>
      <c r="AO221" s="5945"/>
      <c r="AP221" s="5945"/>
      <c r="AQ221" s="5945"/>
      <c r="AR221" s="5946"/>
      <c r="AS221" s="7383"/>
      <c r="AT221" s="4"/>
      <c r="AU221" s="4"/>
      <c r="AV221" s="4"/>
      <c r="AW221" s="5818" t="str">
        <f t="shared" si="45"/>
        <v>►</v>
      </c>
      <c r="AX221" s="5950"/>
      <c r="AY221" s="5950"/>
      <c r="AZ221" s="5950"/>
      <c r="BA221" s="5950"/>
      <c r="BB221" s="5950"/>
      <c r="BC221" s="2"/>
      <c r="BD221"/>
      <c r="BE221"/>
      <c r="BF221"/>
      <c r="BG221"/>
      <c r="BH221"/>
      <c r="BI221"/>
      <c r="BJ221"/>
      <c r="BL221" s="6093"/>
      <c r="BM221" s="6094"/>
      <c r="BN221" s="6094"/>
      <c r="BO221" s="6095"/>
      <c r="BP221" s="6095"/>
      <c r="BQ221" s="6096"/>
      <c r="BR221" s="6097" t="s">
        <v>1183</v>
      </c>
      <c r="BT221"/>
      <c r="BU221"/>
      <c r="BV221"/>
      <c r="BX221" s="5">
        <v>1</v>
      </c>
    </row>
    <row r="222" spans="1:76" s="1" customFormat="1" ht="21" customHeight="1" thickBot="1">
      <c r="A222" s="5641" t="s">
        <v>1</v>
      </c>
      <c r="B222" s="5662" t="str">
        <f t="shared" si="55"/>
        <v>►</v>
      </c>
      <c r="C222" s="5825" cm="1">
        <f t="array" ref="C222">SUMPRODUCT(LEN(D222:J222))</f>
        <v>0</v>
      </c>
      <c r="D222" s="5275"/>
      <c r="E222" s="1361"/>
      <c r="F222" s="1361"/>
      <c r="G222" s="1361"/>
      <c r="H222" s="1361"/>
      <c r="I222" s="1361"/>
      <c r="J222" s="5276"/>
      <c r="K222" s="106"/>
      <c r="L222" s="1021" t="str">
        <f t="shared" si="57"/>
        <v>►</v>
      </c>
      <c r="M222" s="196" t="str">
        <f>M190</f>
        <v>Coller la-cellule-identité.J.Jus de fraises des bois</v>
      </c>
      <c r="N222" s="196">
        <f>N190</f>
        <v>18</v>
      </c>
      <c r="O222" s="196" t="str">
        <f>O190</f>
        <v>assiettes</v>
      </c>
      <c r="P222" s="196" t="str">
        <f>P190</f>
        <v>Recette mère ► saisissez le nom de la recette mère</v>
      </c>
      <c r="Q222" s="5275"/>
      <c r="R222" s="1361"/>
      <c r="S222" s="1361"/>
      <c r="T222" s="1361"/>
      <c r="U222" s="1361"/>
      <c r="V222" s="1361"/>
      <c r="W222" s="8502"/>
      <c r="X222" s="5276"/>
      <c r="Y222" s="7379" t="s">
        <v>8625</v>
      </c>
      <c r="Z222" s="7155"/>
      <c r="AA222" s="5283" t="s">
        <v>8020</v>
      </c>
      <c r="AB222" s="5322"/>
      <c r="AC222" s="5933" t="str">
        <f>IF(COUNTIF(AH224:AO224,"&lt;&gt;")+COUNTIF(AQ224:AR224,"&lt;&gt;")&gt;0,"A","►")</f>
        <v>►</v>
      </c>
      <c r="AD222" s="5984" t="s">
        <v>188</v>
      </c>
      <c r="AE222" s="5949">
        <v>0.25</v>
      </c>
      <c r="AF222" s="5805"/>
      <c r="AG222" s="5805"/>
      <c r="AH222" s="5805"/>
      <c r="AI222" s="5985" t="s">
        <v>8570</v>
      </c>
      <c r="AJ222" s="5805"/>
      <c r="AK222" s="5805"/>
      <c r="AL222" s="5804"/>
      <c r="AM222" s="5805"/>
      <c r="AN222" s="5805"/>
      <c r="AO222" s="5804"/>
      <c r="AP222" s="5788"/>
      <c r="AQ222" s="5788"/>
      <c r="AR222" s="5898"/>
      <c r="AS222" s="7383"/>
      <c r="AT222" s="4"/>
      <c r="AU222" s="4"/>
      <c r="AV222" s="4"/>
      <c r="AW222" s="5818" t="str">
        <f t="shared" si="45"/>
        <v>►</v>
      </c>
      <c r="AX222" s="5950"/>
      <c r="AY222" s="5950"/>
      <c r="AZ222" s="5950"/>
      <c r="BA222" s="5950"/>
      <c r="BB222" s="5950"/>
      <c r="BC222" s="2"/>
      <c r="BD222"/>
      <c r="BE222"/>
      <c r="BF222"/>
      <c r="BG222"/>
      <c r="BH222"/>
      <c r="BI222"/>
      <c r="BJ222"/>
      <c r="BL222" s="1005" t="s">
        <v>86</v>
      </c>
      <c r="BM222" s="1006"/>
      <c r="BN222" s="1007"/>
      <c r="BO222" s="1008"/>
      <c r="BP222" s="1007"/>
      <c r="BQ222" s="1007"/>
      <c r="BR222" s="1009"/>
      <c r="BT222"/>
      <c r="BU222"/>
      <c r="BV222"/>
      <c r="BX222" s="5">
        <v>1</v>
      </c>
    </row>
    <row r="223" spans="1:76" s="1" customFormat="1" ht="21" customHeight="1">
      <c r="A223" s="5641" t="s">
        <v>1</v>
      </c>
      <c r="B223" s="5662" t="str">
        <f t="shared" si="55"/>
        <v>►</v>
      </c>
      <c r="C223" s="5825" cm="1">
        <f t="array" ref="C223">SUMPRODUCT(LEN(D223:J223))</f>
        <v>0</v>
      </c>
      <c r="D223" s="5275"/>
      <c r="E223" s="1361"/>
      <c r="F223" s="1361"/>
      <c r="G223" s="1361"/>
      <c r="H223" s="1361"/>
      <c r="I223" s="1361"/>
      <c r="J223" s="5276"/>
      <c r="K223" s="106"/>
      <c r="L223" s="1021" t="str">
        <f t="shared" si="57"/>
        <v>►</v>
      </c>
      <c r="M223" s="196" t="str">
        <f>M190</f>
        <v>Coller la-cellule-identité.J.Jus de fraises des bois</v>
      </c>
      <c r="N223" s="196">
        <f>N190</f>
        <v>18</v>
      </c>
      <c r="O223" s="196" t="str">
        <f>O190</f>
        <v>assiettes</v>
      </c>
      <c r="P223" s="196" t="str">
        <f>P190</f>
        <v>Recette mère ► saisissez le nom de la recette mère</v>
      </c>
      <c r="Q223" s="5275"/>
      <c r="R223" s="1361"/>
      <c r="S223" s="1361"/>
      <c r="T223" s="1361"/>
      <c r="U223" s="1361"/>
      <c r="V223" s="1361"/>
      <c r="W223" s="8502"/>
      <c r="X223" s="5276"/>
      <c r="Y223" s="5284"/>
      <c r="Z223" s="5285" t="s">
        <v>8021</v>
      </c>
      <c r="AA223" s="5286"/>
      <c r="AB223" s="5323">
        <f>Y223*Y221</f>
        <v>0</v>
      </c>
      <c r="AC223" s="5817" t="s">
        <v>21</v>
      </c>
      <c r="AD223" s="5984" t="s">
        <v>176</v>
      </c>
      <c r="AE223" s="5949">
        <v>0.33332999999999996</v>
      </c>
      <c r="AF223" s="5804"/>
      <c r="AG223" s="5987">
        <v>0</v>
      </c>
      <c r="AH223" s="5988" t="s">
        <v>8571</v>
      </c>
      <c r="AI223" s="5988"/>
      <c r="AJ223" s="5989"/>
      <c r="AK223" s="5988"/>
      <c r="AL223" s="5990"/>
      <c r="AM223" s="5991"/>
      <c r="AN223" s="5991"/>
      <c r="AO223" s="5990"/>
      <c r="AP223" s="5987">
        <v>0</v>
      </c>
      <c r="AQ223" s="5992" t="s">
        <v>8572</v>
      </c>
      <c r="AR223" s="5993"/>
      <c r="AS223" s="7383"/>
      <c r="AT223" s="4"/>
      <c r="AU223" s="4"/>
      <c r="AV223" s="4"/>
      <c r="AW223" s="5818" t="str">
        <f t="shared" si="45"/>
        <v>A</v>
      </c>
      <c r="AX223" s="5950"/>
      <c r="AY223" s="5950"/>
      <c r="AZ223" s="5950"/>
      <c r="BA223" s="5950"/>
      <c r="BB223" s="5950"/>
      <c r="BC223" s="2"/>
      <c r="BD223"/>
      <c r="BE223"/>
      <c r="BF223"/>
      <c r="BG223"/>
      <c r="BH223"/>
      <c r="BI223"/>
      <c r="BJ223"/>
      <c r="BL223" s="343"/>
      <c r="BM223"/>
      <c r="BN223"/>
      <c r="BO223"/>
      <c r="BP223"/>
      <c r="BQ223"/>
      <c r="BR223" s="762"/>
      <c r="BT223"/>
      <c r="BU223"/>
      <c r="BV223"/>
      <c r="BX223" s="5">
        <v>1</v>
      </c>
    </row>
    <row r="224" spans="1:76" s="1" customFormat="1" ht="21" customHeight="1">
      <c r="A224" s="5641" t="s">
        <v>1</v>
      </c>
      <c r="B224" s="5662" t="str">
        <f t="shared" si="55"/>
        <v>►</v>
      </c>
      <c r="C224" s="5825" cm="1">
        <f t="array" ref="C224">SUMPRODUCT(LEN(D224:J224))</f>
        <v>0</v>
      </c>
      <c r="D224" s="5275"/>
      <c r="E224" s="1361"/>
      <c r="F224" s="1361"/>
      <c r="G224" s="1361"/>
      <c r="H224" s="1361"/>
      <c r="I224" s="1361"/>
      <c r="J224" s="5276"/>
      <c r="K224" s="106"/>
      <c r="L224" s="1021" t="str">
        <f t="shared" si="57"/>
        <v>►</v>
      </c>
      <c r="M224" s="196" t="str">
        <f>M190</f>
        <v>Coller la-cellule-identité.J.Jus de fraises des bois</v>
      </c>
      <c r="N224" s="196">
        <f>N190</f>
        <v>18</v>
      </c>
      <c r="O224" s="196" t="str">
        <f>O190</f>
        <v>assiettes</v>
      </c>
      <c r="P224" s="196" t="str">
        <f>P190</f>
        <v>Recette mère ► saisissez le nom de la recette mère</v>
      </c>
      <c r="Q224" s="5275"/>
      <c r="R224" s="1361"/>
      <c r="S224" s="1361"/>
      <c r="T224" s="1361"/>
      <c r="U224" s="1361"/>
      <c r="V224" s="1361"/>
      <c r="W224" s="8502"/>
      <c r="X224" s="5276"/>
      <c r="Y224" s="5287"/>
      <c r="Z224" s="920" t="str">
        <f>"&lt; Nb "&amp;AA221&amp;" dans 1 " &amp;Y222</f>
        <v>&lt; Nb jus de fraises dans 1 gastro 1/2</v>
      </c>
      <c r="AA224" s="5288"/>
      <c r="AB224" s="5323"/>
      <c r="AC224" s="5933" t="str">
        <f>IF(COUNTIF(AH224:AO224,"&lt;&gt;")+COUNTIF(AQ224:AR224,"&lt;&gt;")&gt;0,"A","►")</f>
        <v>►</v>
      </c>
      <c r="AD224" s="5984" t="s">
        <v>179</v>
      </c>
      <c r="AE224" s="5949">
        <v>0.5</v>
      </c>
      <c r="AF224" s="5804"/>
      <c r="AG224" s="5994" t="str">
        <f>IF(COUNTIF(AH224:AJ224,"&lt;&gt;")=0,"",MAX(AG223:AG223)+1)</f>
        <v/>
      </c>
      <c r="AH224" s="5995"/>
      <c r="AI224" s="5995"/>
      <c r="AJ224" s="5995"/>
      <c r="AK224" s="5995"/>
      <c r="AL224" s="5995"/>
      <c r="AM224" s="5995"/>
      <c r="AN224" s="5995"/>
      <c r="AO224" s="5995"/>
      <c r="AP224" s="5994" t="str">
        <f>IF(COUNTIF(AQ224:AR224,"&lt;&gt;")=0,"",MAX(AP223:AP223)+1)</f>
        <v/>
      </c>
      <c r="AQ224" s="5996"/>
      <c r="AR224" s="5997"/>
      <c r="AS224" s="7383"/>
      <c r="AT224" s="4"/>
      <c r="AU224" s="4"/>
      <c r="AV224" s="4"/>
      <c r="AW224" s="5818" t="str">
        <f t="shared" si="45"/>
        <v>►</v>
      </c>
      <c r="AX224" s="5950"/>
      <c r="AY224" s="5950"/>
      <c r="AZ224" s="5950"/>
      <c r="BA224" s="5950"/>
      <c r="BB224" s="5950"/>
      <c r="BC224" s="2"/>
      <c r="BD224"/>
      <c r="BE224"/>
      <c r="BF224"/>
      <c r="BG224"/>
      <c r="BH224"/>
      <c r="BI224"/>
      <c r="BJ224"/>
      <c r="BL224" s="6057" t="s">
        <v>252</v>
      </c>
      <c r="BM224" s="6098"/>
      <c r="BN224" s="6098"/>
      <c r="BO224" s="6098"/>
      <c r="BP224" s="6098"/>
      <c r="BQ224" s="6098"/>
      <c r="BR224" s="6099" t="s">
        <v>1158</v>
      </c>
      <c r="BT224"/>
      <c r="BU224"/>
      <c r="BV224"/>
      <c r="BX224" s="5">
        <v>1</v>
      </c>
    </row>
    <row r="225" spans="1:76" s="1" customFormat="1" ht="21" customHeight="1">
      <c r="A225" s="5641" t="s">
        <v>1</v>
      </c>
      <c r="B225" s="5662" t="str">
        <f t="shared" si="55"/>
        <v>►</v>
      </c>
      <c r="C225" s="5825" cm="1">
        <f t="array" ref="C225">SUMPRODUCT(LEN(D225:J225))</f>
        <v>0</v>
      </c>
      <c r="D225" s="5275"/>
      <c r="E225" s="1361"/>
      <c r="F225" s="1361"/>
      <c r="G225" s="1361"/>
      <c r="H225" s="1361"/>
      <c r="I225" s="1361"/>
      <c r="J225" s="5276"/>
      <c r="K225" s="106"/>
      <c r="L225" s="1021" t="str">
        <f t="shared" si="57"/>
        <v>►</v>
      </c>
      <c r="M225" s="196" t="str">
        <f>M190</f>
        <v>Coller la-cellule-identité.J.Jus de fraises des bois</v>
      </c>
      <c r="N225" s="196">
        <f>N190</f>
        <v>18</v>
      </c>
      <c r="O225" s="196" t="str">
        <f>O190</f>
        <v>assiettes</v>
      </c>
      <c r="P225" s="196" t="str">
        <f>P190</f>
        <v>Recette mère ► saisissez le nom de la recette mère</v>
      </c>
      <c r="Q225" s="5275"/>
      <c r="R225" s="1361"/>
      <c r="S225" s="1361"/>
      <c r="T225" s="1361"/>
      <c r="U225" s="1361"/>
      <c r="V225" s="1361"/>
      <c r="W225" s="8502"/>
      <c r="X225" s="5276"/>
      <c r="Y225" s="7167" t="str">
        <f>IF(OR(Y224="",AB223=0),"",INT(AB223/Y224) &amp; " " &amp; Y222 &amp; " de " &amp; Y224 &amp; " " &amp; AA221 &amp; IF(MOD(AB223,Y224)&gt;0," + 1 " &amp; Y222 &amp; " de " &amp; TEXT(MOD(AB223,Y224),"0.00") &amp; " " &amp; AA221,""))</f>
        <v/>
      </c>
      <c r="Z225" s="7168"/>
      <c r="AA225" s="7168"/>
      <c r="AB225" s="7169"/>
      <c r="AC225" s="5933" t="str">
        <f t="shared" ref="AC225:AC230" si="58">IF(COUNTIF(AH225:AO225,"&lt;&gt;")+COUNTIF(AQ225:AR225,"&lt;&gt;")&gt;0,"A","►")</f>
        <v>A</v>
      </c>
      <c r="AD225" s="5999" t="s">
        <v>122</v>
      </c>
      <c r="AE225" s="5949">
        <v>2.835E-2</v>
      </c>
      <c r="AF225" s="5804"/>
      <c r="AG225" s="5994">
        <f>IF(COUNTIF(AH225:AJ225,"&lt;&gt;")=0,"",MAX(AG223:AG224)+1)</f>
        <v>1</v>
      </c>
      <c r="AH225" s="5995" t="s">
        <v>8573</v>
      </c>
      <c r="AI225" s="5995"/>
      <c r="AJ225" s="5995"/>
      <c r="AK225" s="5995"/>
      <c r="AL225" s="5995"/>
      <c r="AM225" s="5995"/>
      <c r="AN225" s="5995"/>
      <c r="AO225" s="5995"/>
      <c r="AP225" s="5994">
        <f>IF(COUNTIF(AQ225:AR225,"&lt;&gt;")=0,"",MAX(AP223:AP224)+1)</f>
        <v>1</v>
      </c>
      <c r="AQ225" s="5996" t="s">
        <v>8574</v>
      </c>
      <c r="AR225" s="5997"/>
      <c r="AS225" s="7383"/>
      <c r="AT225" s="4"/>
      <c r="AU225" s="4"/>
      <c r="AV225" s="4"/>
      <c r="AW225" s="5818" t="str">
        <f t="shared" si="45"/>
        <v>A</v>
      </c>
      <c r="AX225" s="5950"/>
      <c r="AY225" s="5950"/>
      <c r="AZ225" s="5950"/>
      <c r="BA225" s="5950"/>
      <c r="BB225" s="5950"/>
      <c r="BC225" s="2"/>
      <c r="BD225"/>
      <c r="BE225"/>
      <c r="BF225"/>
      <c r="BG225"/>
      <c r="BH225"/>
      <c r="BI225"/>
      <c r="BJ225"/>
      <c r="BL225" s="6100"/>
      <c r="BM225" s="1435"/>
      <c r="BN225" s="1435"/>
      <c r="BO225" s="1435"/>
      <c r="BP225" s="1435"/>
      <c r="BQ225" s="1435"/>
      <c r="BR225" s="6101" t="s">
        <v>1196</v>
      </c>
      <c r="BT225"/>
      <c r="BU225"/>
      <c r="BV225"/>
      <c r="BX225" s="5">
        <v>1</v>
      </c>
    </row>
    <row r="226" spans="1:76" s="1" customFormat="1" ht="21" customHeight="1">
      <c r="A226" s="5641" t="s">
        <v>1</v>
      </c>
      <c r="B226" s="5662" t="str">
        <f t="shared" si="55"/>
        <v>►</v>
      </c>
      <c r="C226" s="5825" cm="1">
        <f t="array" ref="C226">SUMPRODUCT(LEN(D226:J226))</f>
        <v>0</v>
      </c>
      <c r="D226" s="5275"/>
      <c r="E226" s="1361"/>
      <c r="F226" s="1361"/>
      <c r="G226" s="1361"/>
      <c r="H226" s="1361"/>
      <c r="I226" s="1361"/>
      <c r="J226" s="5276"/>
      <c r="K226" s="106"/>
      <c r="L226" s="5289" t="s">
        <v>26</v>
      </c>
      <c r="M226" s="196" t="str">
        <f>M190</f>
        <v>Coller la-cellule-identité.J.Jus de fraises des bois</v>
      </c>
      <c r="N226" s="196">
        <f>N190</f>
        <v>18</v>
      </c>
      <c r="O226" s="196" t="str">
        <f>O190</f>
        <v>assiettes</v>
      </c>
      <c r="P226" s="196" t="str">
        <f>P190</f>
        <v>Recette mère ► saisissez le nom de la recette mère</v>
      </c>
      <c r="Q226" s="5290" t="s">
        <v>1112</v>
      </c>
      <c r="R226" s="1361"/>
      <c r="S226" s="1361"/>
      <c r="T226" s="1361"/>
      <c r="U226" s="1361"/>
      <c r="V226" s="1361"/>
      <c r="W226" s="8503"/>
      <c r="X226" s="5291"/>
      <c r="Y226" s="7170"/>
      <c r="Z226" s="7171"/>
      <c r="AA226" s="7171"/>
      <c r="AB226" s="7172"/>
      <c r="AC226" s="5933" t="str">
        <f t="shared" si="58"/>
        <v>►</v>
      </c>
      <c r="AD226" s="5999" t="s">
        <v>113</v>
      </c>
      <c r="AE226" s="5949">
        <v>0.13</v>
      </c>
      <c r="AF226" s="5804"/>
      <c r="AG226" s="5994" t="str">
        <f>IF(COUNTIF(AH226:AJ226,"&lt;&gt;")=0,"",MAX(AG223:AG225)+1)</f>
        <v/>
      </c>
      <c r="AH226" s="5995"/>
      <c r="AI226" s="5995"/>
      <c r="AJ226" s="5995"/>
      <c r="AK226" s="5995"/>
      <c r="AL226" s="5995"/>
      <c r="AM226" s="5995"/>
      <c r="AN226" s="5995"/>
      <c r="AO226" s="5995"/>
      <c r="AP226" s="5994" t="str">
        <f>IF(COUNTIF(AQ226:AR226,"&lt;&gt;")=0,"",MAX(AP223:AP225)+1)</f>
        <v/>
      </c>
      <c r="AQ226" s="5996"/>
      <c r="AR226" s="5997"/>
      <c r="AS226" s="7383"/>
      <c r="AT226" s="4"/>
      <c r="AU226" s="4"/>
      <c r="AV226" s="4"/>
      <c r="AW226" s="5818" t="str">
        <f t="shared" si="45"/>
        <v>►</v>
      </c>
      <c r="AX226" s="5950"/>
      <c r="AY226" s="5950"/>
      <c r="AZ226" s="5950"/>
      <c r="BA226" s="5950"/>
      <c r="BB226" s="5950"/>
      <c r="BC226" s="2"/>
      <c r="BD226"/>
      <c r="BE226"/>
      <c r="BF226"/>
      <c r="BG226"/>
      <c r="BH226"/>
      <c r="BI226"/>
      <c r="BJ226"/>
      <c r="BL226" s="6102" t="s">
        <v>1199</v>
      </c>
      <c r="BM226" s="6103" t="s">
        <v>1200</v>
      </c>
      <c r="BN226" s="1362"/>
      <c r="BO226" s="6104" t="s">
        <v>1201</v>
      </c>
      <c r="BP226" s="6105" t="s">
        <v>1202</v>
      </c>
      <c r="BQ226" s="988"/>
      <c r="BR226" s="989"/>
      <c r="BT226"/>
      <c r="BU226"/>
      <c r="BV226"/>
      <c r="BX226" s="5">
        <v>1</v>
      </c>
    </row>
    <row r="227" spans="1:76" s="1" customFormat="1" ht="21" customHeight="1">
      <c r="A227" s="5641" t="s">
        <v>1</v>
      </c>
      <c r="B227" s="5662" t="str">
        <f t="shared" si="55"/>
        <v>A</v>
      </c>
      <c r="C227" s="5825" cm="1">
        <f t="array" ref="C227">SUMPRODUCT(LEN(D227:J227))</f>
        <v>0</v>
      </c>
      <c r="D227" s="5275"/>
      <c r="E227" s="1361"/>
      <c r="F227" s="1361"/>
      <c r="G227" s="1361"/>
      <c r="H227" s="1361"/>
      <c r="I227" s="1361"/>
      <c r="J227" s="5276"/>
      <c r="K227" s="106"/>
      <c r="L227" s="5289" t="s">
        <v>21</v>
      </c>
      <c r="M227" s="196" t="str">
        <f>M190</f>
        <v>Coller la-cellule-identité.J.Jus de fraises des bois</v>
      </c>
      <c r="N227" s="196">
        <f>N190</f>
        <v>18</v>
      </c>
      <c r="O227" s="196" t="str">
        <f>O190</f>
        <v>assiettes</v>
      </c>
      <c r="P227" s="196" t="str">
        <f>P190</f>
        <v>Recette mère ► saisissez le nom de la recette mère</v>
      </c>
      <c r="Q227" s="5292" t="s">
        <v>8022</v>
      </c>
      <c r="R227" s="988"/>
      <c r="S227" s="988"/>
      <c r="T227" s="988"/>
      <c r="U227" s="988"/>
      <c r="V227" s="988"/>
      <c r="W227" s="8504"/>
      <c r="X227" s="1325"/>
      <c r="Y227" s="5293">
        <v>18</v>
      </c>
      <c r="Z227" s="77" t="s">
        <v>8023</v>
      </c>
      <c r="AA227" s="147"/>
      <c r="AB227" s="5324">
        <f>(Y227*Y221)/1000</f>
        <v>1.8</v>
      </c>
      <c r="AC227" s="5933" t="str">
        <f t="shared" si="58"/>
        <v>►</v>
      </c>
      <c r="AD227" s="5999" t="s">
        <v>112</v>
      </c>
      <c r="AE227" s="5949">
        <v>0.2</v>
      </c>
      <c r="AF227" s="5804"/>
      <c r="AG227" s="5994" t="str">
        <f>IF(COUNTIF(AH227:AJ227,"&lt;&gt;")=0,"",MAX(AG223:AG226)+1)</f>
        <v/>
      </c>
      <c r="AH227" s="5995"/>
      <c r="AI227" s="5995"/>
      <c r="AJ227" s="5995"/>
      <c r="AK227" s="5995"/>
      <c r="AL227" s="5995"/>
      <c r="AM227" s="5995"/>
      <c r="AN227" s="5995"/>
      <c r="AO227" s="5995"/>
      <c r="AP227" s="5994" t="str">
        <f>IF(COUNTIF(AQ227:AR227,"&lt;&gt;")=0,"",MAX(AP223:AP226)+1)</f>
        <v/>
      </c>
      <c r="AQ227" s="5996"/>
      <c r="AR227" s="5997"/>
      <c r="AS227" s="7383"/>
      <c r="AT227" s="4"/>
      <c r="AU227" s="4"/>
      <c r="AV227" s="4"/>
      <c r="AW227" s="5818" t="str">
        <f t="shared" si="45"/>
        <v>►</v>
      </c>
      <c r="AX227" s="5950"/>
      <c r="AY227" s="5950"/>
      <c r="AZ227" s="5950"/>
      <c r="BA227" s="5950"/>
      <c r="BB227" s="5950"/>
      <c r="BC227" s="2"/>
      <c r="BD227"/>
      <c r="BE227"/>
      <c r="BF227"/>
      <c r="BG227"/>
      <c r="BH227"/>
      <c r="BI227"/>
      <c r="BJ227"/>
      <c r="BL227" s="6106"/>
      <c r="BM227" s="6107"/>
      <c r="BN227" s="988"/>
      <c r="BO227" s="6108"/>
      <c r="BP227" s="6109"/>
      <c r="BQ227" s="1257" t="s">
        <v>1159</v>
      </c>
      <c r="BR227" s="989"/>
      <c r="BT227"/>
      <c r="BU227"/>
      <c r="BV227"/>
      <c r="BX227" s="5">
        <v>1</v>
      </c>
    </row>
    <row r="228" spans="1:76" s="1" customFormat="1" ht="21" customHeight="1">
      <c r="A228" s="5641" t="s">
        <v>1</v>
      </c>
      <c r="B228" s="5662" t="str">
        <f t="shared" si="55"/>
        <v>A</v>
      </c>
      <c r="C228" s="5825" cm="1">
        <f t="array" ref="C228">SUMPRODUCT(LEN(D228:J228))</f>
        <v>0</v>
      </c>
      <c r="D228" s="5275"/>
      <c r="E228" s="1361"/>
      <c r="F228" s="1361"/>
      <c r="G228" s="1361"/>
      <c r="H228" s="1361"/>
      <c r="I228" s="1361"/>
      <c r="J228" s="5276"/>
      <c r="K228" s="106"/>
      <c r="L228" s="5289" t="s">
        <v>21</v>
      </c>
      <c r="M228" s="196" t="str">
        <f>M190</f>
        <v>Coller la-cellule-identité.J.Jus de fraises des bois</v>
      </c>
      <c r="N228" s="196">
        <f>N190</f>
        <v>18</v>
      </c>
      <c r="O228" s="196" t="str">
        <f>O190</f>
        <v>assiettes</v>
      </c>
      <c r="P228" s="196" t="str">
        <f>P190</f>
        <v>Recette mère ► saisissez le nom de la recette mère</v>
      </c>
      <c r="Q228" s="5294" t="s">
        <v>8024</v>
      </c>
      <c r="R228" s="1449"/>
      <c r="S228" s="1449"/>
      <c r="T228" s="1449"/>
      <c r="U228" s="1449"/>
      <c r="V228" s="1449"/>
      <c r="W228" s="5410"/>
      <c r="X228" s="5295"/>
      <c r="Y228" s="5296">
        <v>0.5</v>
      </c>
      <c r="Z228" s="5297" t="str">
        <f>"poids par "&amp; Y222</f>
        <v>poids par gastro 1/2</v>
      </c>
      <c r="AA228" s="147"/>
      <c r="AB228" s="5322"/>
      <c r="AC228" s="5933" t="str">
        <f t="shared" si="58"/>
        <v>►</v>
      </c>
      <c r="AD228" s="5999" t="s">
        <v>8015</v>
      </c>
      <c r="AE228" s="5949">
        <v>0.23</v>
      </c>
      <c r="AF228" s="5804"/>
      <c r="AG228" s="5994" t="str">
        <f>IF(COUNTIF(AH228:AJ228,"&lt;&gt;")=0,"",MAX(AG223:AG227)+1)</f>
        <v/>
      </c>
      <c r="AH228" s="5995"/>
      <c r="AI228" s="5995"/>
      <c r="AJ228" s="5995"/>
      <c r="AK228" s="5995"/>
      <c r="AL228" s="5995"/>
      <c r="AM228" s="5995"/>
      <c r="AN228" s="5995"/>
      <c r="AO228" s="5995"/>
      <c r="AP228" s="5994" t="str">
        <f>IF(COUNTIF(AQ228:AR228,"&lt;&gt;")=0,"",MAX(AP223:AP227)+1)</f>
        <v/>
      </c>
      <c r="AQ228" s="5996"/>
      <c r="AR228" s="5997"/>
      <c r="AS228" s="7383"/>
      <c r="AT228" s="4"/>
      <c r="AU228" s="4"/>
      <c r="AV228" s="4"/>
      <c r="AW228" s="5818" t="str">
        <f t="shared" si="45"/>
        <v>►</v>
      </c>
      <c r="AX228" s="5950"/>
      <c r="AY228" s="5950"/>
      <c r="AZ228" s="5950"/>
      <c r="BA228" s="5950"/>
      <c r="BB228" s="5950"/>
      <c r="BC228" s="2"/>
      <c r="BD228"/>
      <c r="BE228"/>
      <c r="BF228"/>
      <c r="BG228"/>
      <c r="BH228"/>
      <c r="BI228"/>
      <c r="BJ228"/>
      <c r="BL228" s="6106">
        <v>3</v>
      </c>
      <c r="BM228" s="6107"/>
      <c r="BN228" s="988"/>
      <c r="BO228" s="6108"/>
      <c r="BP228" s="6109"/>
      <c r="BQ228" s="1257" t="s">
        <v>1163</v>
      </c>
      <c r="BR228" s="989"/>
      <c r="BT228"/>
      <c r="BU228"/>
      <c r="BV228"/>
      <c r="BX228" s="5">
        <v>1</v>
      </c>
    </row>
    <row r="229" spans="1:76" s="1" customFormat="1" ht="21" customHeight="1">
      <c r="A229" s="5641" t="s">
        <v>1</v>
      </c>
      <c r="B229" s="5662" t="str">
        <f t="shared" si="55"/>
        <v>A</v>
      </c>
      <c r="C229" s="5825" cm="1">
        <f t="array" ref="C229">SUMPRODUCT(LEN(D229:J229))</f>
        <v>0</v>
      </c>
      <c r="D229" s="5275"/>
      <c r="E229" s="1361"/>
      <c r="F229" s="1361"/>
      <c r="G229" s="1361"/>
      <c r="H229" s="1361"/>
      <c r="I229" s="1361"/>
      <c r="J229" s="5276"/>
      <c r="K229" s="106"/>
      <c r="L229" s="5289" t="s">
        <v>21</v>
      </c>
      <c r="M229" s="196" t="str">
        <f>M190</f>
        <v>Coller la-cellule-identité.J.Jus de fraises des bois</v>
      </c>
      <c r="N229" s="196">
        <f>N190</f>
        <v>18</v>
      </c>
      <c r="O229" s="196" t="str">
        <f>O190</f>
        <v>assiettes</v>
      </c>
      <c r="P229" s="196" t="str">
        <f>P190</f>
        <v>Recette mère ► saisissez le nom de la recette mère</v>
      </c>
      <c r="Q229" s="1002"/>
      <c r="R229" s="1002"/>
      <c r="S229" s="1002" t="s">
        <v>873</v>
      </c>
      <c r="T229" s="1003"/>
      <c r="U229" s="1329"/>
      <c r="V229" s="1329"/>
      <c r="W229" s="1329"/>
      <c r="X229" s="1330"/>
      <c r="Y229" s="7173" t="str">
        <f>IF(AB227=0,"",IF(Y228=0,"",INT(AB227/Y228) &amp; " " &amp; Y222 &amp; " de " &amp; Y228 &amp; " kg" &amp; IF(MOD(AB227,Y228)=0,"",IF(MOD(AB227,Y228)=Y228,""," + 1 " &amp; Y222 &amp; " de " &amp; TEXT(MOD(AB227,Y228),"0.000") &amp; " kg"))))</f>
        <v>3 gastro 1/2 de 0.5 kg + 1 gastro 1/2 de 0.300 kg</v>
      </c>
      <c r="Z229" s="7174"/>
      <c r="AA229" s="7174"/>
      <c r="AB229" s="7175"/>
      <c r="AC229" s="5933" t="str">
        <f t="shared" si="58"/>
        <v>►</v>
      </c>
      <c r="AD229" s="5999" t="s">
        <v>8016</v>
      </c>
      <c r="AE229" s="5949">
        <v>0.24</v>
      </c>
      <c r="AF229" s="5804"/>
      <c r="AG229" s="5994" t="str">
        <f>IF(COUNTIF(AH229:AJ229,"&lt;&gt;")=0,"",MAX(AG223:AG228)+1)</f>
        <v/>
      </c>
      <c r="AH229" s="5995"/>
      <c r="AI229" s="5995"/>
      <c r="AJ229" s="5995"/>
      <c r="AK229" s="5995"/>
      <c r="AL229" s="5995"/>
      <c r="AM229" s="5995"/>
      <c r="AN229" s="5995"/>
      <c r="AO229" s="5995"/>
      <c r="AP229" s="5994" t="str">
        <f>IF(COUNTIF(AQ229:AR229,"&lt;&gt;")=0,"",MAX(AP223:AP228)+1)</f>
        <v/>
      </c>
      <c r="AQ229" s="5996"/>
      <c r="AR229" s="5997"/>
      <c r="AS229" s="7383"/>
      <c r="AT229" s="4"/>
      <c r="AU229" s="4"/>
      <c r="AV229" s="4"/>
      <c r="AW229" s="5818" t="str">
        <f t="shared" ref="AW229:AW292" si="59">AC229</f>
        <v>►</v>
      </c>
      <c r="AX229" s="5950"/>
      <c r="AY229" s="5950"/>
      <c r="AZ229" s="5950"/>
      <c r="BA229" s="5950"/>
      <c r="BB229" s="5950"/>
      <c r="BC229" s="2"/>
      <c r="BD229"/>
      <c r="BE229"/>
      <c r="BF229"/>
      <c r="BG229"/>
      <c r="BH229"/>
      <c r="BI229"/>
      <c r="BJ229"/>
      <c r="BL229" s="6110" t="str">
        <f>SUM(BL227:BL228) &amp; " / " &amp; (COUNTA(BL227:BL228) * 3)</f>
        <v>3 / 3</v>
      </c>
      <c r="BM229" s="6111" t="str">
        <f>SUM(BM227:BM228) &amp; " / " &amp; (COUNTA(BM227:BM228) * 3)</f>
        <v>0 / 0</v>
      </c>
      <c r="BN229" s="988"/>
      <c r="BO229" s="6112" t="str">
        <f>SUM(BO227:BO228) &amp; " / " &amp; (COUNTA(BO227:BO228) * 3)</f>
        <v>0 / 0</v>
      </c>
      <c r="BP229" s="6111" t="str">
        <f>SUM(BP227:BP228) &amp; " / " &amp; (COUNTA(BP227:BP228) * 3)</f>
        <v>0 / 0</v>
      </c>
      <c r="BQ229" s="988" t="s">
        <v>1177</v>
      </c>
      <c r="BR229" s="989"/>
      <c r="BT229"/>
      <c r="BU229"/>
      <c r="BV229"/>
      <c r="BX229" s="5">
        <v>1</v>
      </c>
    </row>
    <row r="230" spans="1:76" s="1" customFormat="1" ht="21" customHeight="1">
      <c r="A230" s="5641" t="s">
        <v>1</v>
      </c>
      <c r="B230" s="5662" t="str">
        <f t="shared" si="55"/>
        <v>A</v>
      </c>
      <c r="C230" s="5825" cm="1">
        <f t="array" ref="C230">SUMPRODUCT(LEN(D230:J230))</f>
        <v>0</v>
      </c>
      <c r="D230" s="5275"/>
      <c r="E230" s="1361"/>
      <c r="F230" s="1361"/>
      <c r="G230" s="1361"/>
      <c r="H230" s="1361"/>
      <c r="I230" s="1361"/>
      <c r="J230" s="5276"/>
      <c r="K230" s="106"/>
      <c r="L230" s="1037" t="s">
        <v>21</v>
      </c>
      <c r="M230" s="5298" t="str">
        <f>M206</f>
        <v>Coller la-cellule-identité.J.Jus de fraises des bois</v>
      </c>
      <c r="N230" s="5298">
        <f>N206</f>
        <v>18</v>
      </c>
      <c r="O230" s="5298" t="str">
        <f>O206</f>
        <v>assiettes</v>
      </c>
      <c r="P230" s="5298"/>
      <c r="Q230" s="5299" t="s">
        <v>86</v>
      </c>
      <c r="R230" s="5300"/>
      <c r="S230" s="5301"/>
      <c r="T230" s="5302" t="s">
        <v>8025</v>
      </c>
      <c r="U230" s="5301"/>
      <c r="V230" s="5301"/>
      <c r="W230" s="8497"/>
      <c r="X230" s="5303"/>
      <c r="Y230" s="7176"/>
      <c r="Z230" s="6886"/>
      <c r="AA230" s="6886"/>
      <c r="AB230" s="7177"/>
      <c r="AC230" s="5933" t="str">
        <f t="shared" si="58"/>
        <v>►</v>
      </c>
      <c r="AD230" s="6003" t="s">
        <v>8014</v>
      </c>
      <c r="AE230" s="5949">
        <v>0</v>
      </c>
      <c r="AF230" s="5804"/>
      <c r="AG230" s="5994" t="str">
        <f>IF(COUNTIF(AH230:AJ230,"&lt;&gt;")=0,"",MAX(AG223:AG229)+1)</f>
        <v/>
      </c>
      <c r="AH230" s="5995"/>
      <c r="AI230" s="5995"/>
      <c r="AJ230" s="5995"/>
      <c r="AK230" s="5995"/>
      <c r="AL230" s="5995"/>
      <c r="AM230" s="5995"/>
      <c r="AN230" s="5995"/>
      <c r="AO230" s="5995"/>
      <c r="AP230" s="5994" t="str">
        <f>IF(COUNTIF(AQ230:AR230,"&lt;&gt;")=0,"",MAX(AP223:AP229)+1)</f>
        <v/>
      </c>
      <c r="AQ230" s="5996"/>
      <c r="AR230" s="5997"/>
      <c r="AS230" s="7383"/>
      <c r="AT230" s="4"/>
      <c r="AU230" s="4"/>
      <c r="AV230" s="4"/>
      <c r="AW230" s="5818" t="str">
        <f t="shared" si="59"/>
        <v>►</v>
      </c>
      <c r="AX230" s="5950"/>
      <c r="AY230" s="5950"/>
      <c r="AZ230" s="5950"/>
      <c r="BA230" s="5950"/>
      <c r="BB230" s="5950"/>
      <c r="BC230" s="2"/>
      <c r="BD230"/>
      <c r="BE230"/>
      <c r="BF230"/>
      <c r="BG230"/>
      <c r="BH230"/>
      <c r="BI230"/>
      <c r="BJ230"/>
      <c r="BL230" s="6113" t="str">
        <f>SUM(BL227:BL228) &amp;"/ "&amp;BL231</f>
        <v>3/ 15</v>
      </c>
      <c r="BM230" s="6114" t="str">
        <f>SUM(BM227:BM228) &amp;"/ "&amp;BM231</f>
        <v>0/ 15</v>
      </c>
      <c r="BN230" s="988"/>
      <c r="BO230" s="6115" t="str">
        <f>SUM(BO227:BO228) &amp;"/ "&amp;BO231</f>
        <v>0/ 15</v>
      </c>
      <c r="BP230" s="6114" t="str">
        <f>SUM(BP227:BP228) &amp;"/ "&amp;BP231</f>
        <v>0/ 15</v>
      </c>
      <c r="BQ230" s="1414" t="s">
        <v>1178</v>
      </c>
      <c r="BR230" s="989"/>
      <c r="BT230"/>
      <c r="BU230"/>
      <c r="BV230"/>
      <c r="BX230" s="5">
        <v>1</v>
      </c>
    </row>
    <row r="231" spans="1:76" s="1" customFormat="1" ht="21" customHeight="1" thickBot="1">
      <c r="A231" s="5641" t="s">
        <v>1</v>
      </c>
      <c r="B231" s="5662" t="str">
        <f t="shared" si="55"/>
        <v>A</v>
      </c>
      <c r="C231" s="5825" cm="1">
        <f t="array" ref="C231">SUMPRODUCT(LEN(D231:J231))</f>
        <v>0</v>
      </c>
      <c r="D231" s="5275"/>
      <c r="E231" s="1361"/>
      <c r="F231" s="1361"/>
      <c r="G231" s="1361"/>
      <c r="H231" s="1361"/>
      <c r="I231" s="1361"/>
      <c r="J231" s="5276"/>
      <c r="K231" s="106"/>
      <c r="L231" s="5304" t="s">
        <v>21</v>
      </c>
      <c r="M231" s="5305"/>
      <c r="N231" s="5305"/>
      <c r="O231" s="5305"/>
      <c r="P231" s="5305"/>
      <c r="Q231" s="5306" t="s">
        <v>269</v>
      </c>
      <c r="R231" s="5307" t="str">
        <f ca="1">CELL("nomfichier")</f>
        <v>D:\Données\1.UPRT\0-UPRT.fait\1-UPRT.FR-SITE-WEB\ff-fiches-fabrications\ff.fiches.fabrication.2023\ffr.restaurant.2023\[ff.REPERTOIRE.600.LIGNES.15.xlsx]Differents.postits.FR.EN.ES</v>
      </c>
      <c r="S231" s="5308"/>
      <c r="T231" s="5308"/>
      <c r="U231" s="5308"/>
      <c r="V231" s="5308"/>
      <c r="W231" s="5308"/>
      <c r="X231" s="5308"/>
      <c r="Y231" s="5308"/>
      <c r="Z231" s="5308"/>
      <c r="AA231" s="5308"/>
      <c r="AB231" s="5309"/>
      <c r="AC231" s="5817" t="s">
        <v>21</v>
      </c>
      <c r="AD231" s="6005"/>
      <c r="AE231" s="6006"/>
      <c r="AF231" s="6006"/>
      <c r="AG231" s="6006"/>
      <c r="AH231" s="6006"/>
      <c r="AI231" s="6006"/>
      <c r="AJ231" s="6006"/>
      <c r="AK231" s="6006"/>
      <c r="AL231" s="6007"/>
      <c r="AM231" s="6007"/>
      <c r="AN231" s="6007"/>
      <c r="AO231" s="6007"/>
      <c r="AP231" s="6007"/>
      <c r="AQ231" s="6007"/>
      <c r="AR231" s="6008"/>
      <c r="AS231" s="7383"/>
      <c r="AT231" s="4"/>
      <c r="AU231" s="4"/>
      <c r="AV231" s="4"/>
      <c r="AW231" s="5818" t="str">
        <f t="shared" si="59"/>
        <v>A</v>
      </c>
      <c r="AX231" s="5950"/>
      <c r="AY231" s="5950"/>
      <c r="AZ231" s="5950"/>
      <c r="BA231" s="5950"/>
      <c r="BB231" s="5950"/>
      <c r="BC231" s="2"/>
      <c r="BD231"/>
      <c r="BE231"/>
      <c r="BF231"/>
      <c r="BG231"/>
      <c r="BH231"/>
      <c r="BI231"/>
      <c r="BJ231"/>
      <c r="BL231" s="6116">
        <v>15</v>
      </c>
      <c r="BM231" s="6117">
        <v>15</v>
      </c>
      <c r="BN231" s="988"/>
      <c r="BO231" s="6118">
        <v>15</v>
      </c>
      <c r="BP231" s="6117">
        <v>15</v>
      </c>
      <c r="BQ231" s="1417" t="s">
        <v>1180</v>
      </c>
      <c r="BR231" s="989"/>
      <c r="BT231"/>
      <c r="BU231"/>
      <c r="BV231"/>
      <c r="BX231" s="5">
        <v>1</v>
      </c>
    </row>
    <row r="232" spans="1:76" s="1" customFormat="1" ht="21" customHeight="1" thickBot="1">
      <c r="A232" s="5641" t="s">
        <v>1</v>
      </c>
      <c r="B232" s="5662" t="str">
        <f t="shared" si="55"/>
        <v>A</v>
      </c>
      <c r="C232" s="5825" cm="1">
        <f t="array" ref="C232">SUMPRODUCT(LEN(D232:J232))</f>
        <v>0</v>
      </c>
      <c r="D232" s="5275"/>
      <c r="E232" s="1361"/>
      <c r="F232" s="1361"/>
      <c r="G232" s="1361"/>
      <c r="H232" s="1361"/>
      <c r="I232" s="1361"/>
      <c r="J232" s="5276"/>
      <c r="K232" s="106"/>
      <c r="L232" s="6009" t="s">
        <v>21</v>
      </c>
      <c r="M232" s="6010"/>
      <c r="N232" s="6010"/>
      <c r="O232" s="6010"/>
      <c r="P232" s="6010"/>
      <c r="Q232" s="6011"/>
      <c r="R232" s="6011"/>
      <c r="S232" s="6011"/>
      <c r="T232" s="6011"/>
      <c r="U232" s="6011"/>
      <c r="V232" s="6011"/>
      <c r="W232" s="6011"/>
      <c r="X232" s="6011"/>
      <c r="Y232" s="6011"/>
      <c r="Z232" s="6011"/>
      <c r="AA232" s="6011"/>
      <c r="AB232" s="6011"/>
      <c r="AC232" s="5817" t="s">
        <v>21</v>
      </c>
      <c r="AD232" s="6011"/>
      <c r="AE232" s="6011"/>
      <c r="AF232" s="6011"/>
      <c r="AG232" s="6011"/>
      <c r="AH232" s="6011"/>
      <c r="AI232" s="6011"/>
      <c r="AJ232" s="6011"/>
      <c r="AK232" s="6011"/>
      <c r="AL232" s="6011"/>
      <c r="AM232" s="6011"/>
      <c r="AN232" s="6011"/>
      <c r="AO232" s="6012"/>
      <c r="AP232" s="6013"/>
      <c r="AQ232" s="6013"/>
      <c r="AR232" s="6013"/>
      <c r="AS232" s="7383"/>
      <c r="AT232" s="4"/>
      <c r="AU232" s="4"/>
      <c r="AV232" s="4"/>
      <c r="AW232" s="5818" t="str">
        <f t="shared" si="59"/>
        <v>A</v>
      </c>
      <c r="AX232" s="5950"/>
      <c r="AY232" s="5950"/>
      <c r="AZ232" s="5950"/>
      <c r="BA232" s="5950"/>
      <c r="BB232" s="5950"/>
      <c r="BC232" s="2"/>
      <c r="BD232"/>
      <c r="BE232"/>
      <c r="BF232"/>
      <c r="BG232"/>
      <c r="BH232"/>
      <c r="BI232"/>
      <c r="BJ232"/>
      <c r="BL232" s="6119" t="s">
        <v>1203</v>
      </c>
      <c r="BM232"/>
      <c r="BN232"/>
      <c r="BO232" s="1464"/>
      <c r="BP232" s="1464"/>
      <c r="BQ232" s="1464"/>
      <c r="BR232" s="6120"/>
      <c r="BT232"/>
      <c r="BU232"/>
      <c r="BV232"/>
      <c r="BX232" s="5">
        <v>1</v>
      </c>
    </row>
    <row r="233" spans="1:76" s="1" customFormat="1" ht="21" customHeight="1">
      <c r="A233" s="5641" t="s">
        <v>1</v>
      </c>
      <c r="B233" s="5662" t="str">
        <f t="shared" si="55"/>
        <v>A</v>
      </c>
      <c r="C233" s="5825" cm="1">
        <f t="array" ref="C233">SUMPRODUCT(LEN(D233:J233))</f>
        <v>0</v>
      </c>
      <c r="D233" s="5275"/>
      <c r="E233" s="1361"/>
      <c r="F233" s="1361"/>
      <c r="G233" s="1361"/>
      <c r="H233" s="1361"/>
      <c r="I233" s="1361"/>
      <c r="J233" s="5276"/>
      <c r="K233" s="106" t="s">
        <v>1</v>
      </c>
      <c r="L233" s="5636" t="s">
        <v>21</v>
      </c>
      <c r="M233" s="5231" t="str">
        <f>M239</f>
        <v>Coller la-cellule-identité.N.Nom de votre recette</v>
      </c>
      <c r="N233" s="5232">
        <f>N239</f>
        <v>18</v>
      </c>
      <c r="O233" s="5232" t="str">
        <f>O239</f>
        <v>assiettes</v>
      </c>
      <c r="P233" s="5232"/>
      <c r="Q233" s="5233" t="s">
        <v>1</v>
      </c>
      <c r="R233" s="5234" t="s">
        <v>251</v>
      </c>
      <c r="S233" s="5234"/>
      <c r="T233" s="6911" t="s">
        <v>1090</v>
      </c>
      <c r="U233" s="6911"/>
      <c r="V233" s="6911"/>
      <c r="W233" s="6911"/>
      <c r="X233" s="6911"/>
      <c r="Y233" s="6911"/>
      <c r="Z233" s="7385" t="s">
        <v>8611</v>
      </c>
      <c r="AA233" s="7385"/>
      <c r="AB233" s="6915" t="str">
        <f>UPPER(LEFT(T233,1))</f>
        <v>N</v>
      </c>
      <c r="AC233" s="5817" t="s">
        <v>21</v>
      </c>
      <c r="AD233" s="7339" t="str">
        <f>T233</f>
        <v>NOM DE VOTRE RECETTE</v>
      </c>
      <c r="AE233" s="7340"/>
      <c r="AF233" s="7340"/>
      <c r="AG233" s="7340"/>
      <c r="AH233" s="7340"/>
      <c r="AI233" s="7340"/>
      <c r="AJ233" s="7340"/>
      <c r="AK233" s="7340"/>
      <c r="AL233" s="7340"/>
      <c r="AM233" s="7340"/>
      <c r="AN233" s="7340"/>
      <c r="AO233" s="7340"/>
      <c r="AP233" s="7340"/>
      <c r="AQ233" s="7340"/>
      <c r="AR233" s="7343">
        <f>IF(ISBLANK(AM27),AK27,AM27)</f>
        <v>0</v>
      </c>
      <c r="AS233" s="7383"/>
      <c r="AT233" s="4"/>
      <c r="AU233" s="4"/>
      <c r="AV233" s="4"/>
      <c r="AW233" s="5818" t="str">
        <f t="shared" si="59"/>
        <v>A</v>
      </c>
      <c r="AX233" s="5950"/>
      <c r="AY233" s="5950"/>
      <c r="AZ233" s="5950"/>
      <c r="BA233" s="5950"/>
      <c r="BB233" s="5950"/>
      <c r="BC233" s="2"/>
      <c r="BD233"/>
      <c r="BE233"/>
      <c r="BF233"/>
      <c r="BG233"/>
      <c r="BH233"/>
      <c r="BI233"/>
      <c r="BJ233"/>
      <c r="BL233" s="6121" t="s">
        <v>1204</v>
      </c>
      <c r="BM233"/>
      <c r="BN233"/>
      <c r="BO233" s="1464"/>
      <c r="BP233" s="1464"/>
      <c r="BQ233" s="1464"/>
      <c r="BR233" s="6120"/>
      <c r="BT233"/>
      <c r="BU233"/>
      <c r="BV233"/>
      <c r="BX233" s="5">
        <v>1</v>
      </c>
    </row>
    <row r="234" spans="1:76" s="1" customFormat="1" ht="21" customHeight="1">
      <c r="A234" s="5641" t="s">
        <v>1</v>
      </c>
      <c r="B234" s="5662" t="str">
        <f t="shared" si="55"/>
        <v>A</v>
      </c>
      <c r="C234" s="5825" cm="1">
        <f t="array" ref="C234">SUMPRODUCT(LEN(D234:J234))</f>
        <v>0</v>
      </c>
      <c r="D234" s="5275"/>
      <c r="E234" s="1361"/>
      <c r="F234" s="1361"/>
      <c r="G234" s="1361"/>
      <c r="H234" s="1361"/>
      <c r="I234" s="1361"/>
      <c r="J234" s="5276"/>
      <c r="K234" s="106" t="s">
        <v>1</v>
      </c>
      <c r="L234" s="1018" t="s">
        <v>21</v>
      </c>
      <c r="M234" s="363" t="str">
        <f>M239</f>
        <v>Coller la-cellule-identité.N.Nom de votre recette</v>
      </c>
      <c r="N234" s="362"/>
      <c r="O234" s="362"/>
      <c r="P234" s="362"/>
      <c r="Q234" s="361" t="s">
        <v>245</v>
      </c>
      <c r="R234" s="360" t="s">
        <v>244</v>
      </c>
      <c r="S234" s="360"/>
      <c r="T234" s="6912"/>
      <c r="U234" s="6912"/>
      <c r="V234" s="6912"/>
      <c r="W234" s="6912"/>
      <c r="X234" s="6912"/>
      <c r="Y234" s="6912"/>
      <c r="Z234" s="7386"/>
      <c r="AA234" s="7386"/>
      <c r="AB234" s="6916"/>
      <c r="AC234" s="5817" t="s">
        <v>21</v>
      </c>
      <c r="AD234" s="7341"/>
      <c r="AE234" s="7342"/>
      <c r="AF234" s="7342"/>
      <c r="AG234" s="7342"/>
      <c r="AH234" s="7342"/>
      <c r="AI234" s="7342"/>
      <c r="AJ234" s="7342"/>
      <c r="AK234" s="7342"/>
      <c r="AL234" s="7342"/>
      <c r="AM234" s="7342"/>
      <c r="AN234" s="7342"/>
      <c r="AO234" s="7342"/>
      <c r="AP234" s="7342"/>
      <c r="AQ234" s="7342"/>
      <c r="AR234" s="7344"/>
      <c r="AS234" s="7383"/>
      <c r="AT234" s="4"/>
      <c r="AU234" s="4"/>
      <c r="AV234" s="4"/>
      <c r="AW234" s="5818" t="str">
        <f t="shared" si="59"/>
        <v>A</v>
      </c>
      <c r="AX234" s="5950"/>
      <c r="AY234" s="5950"/>
      <c r="AZ234" s="5950"/>
      <c r="BA234" s="5950"/>
      <c r="BB234" s="5950"/>
      <c r="BC234" s="2"/>
      <c r="BD234"/>
      <c r="BE234"/>
      <c r="BF234"/>
      <c r="BG234"/>
      <c r="BH234"/>
      <c r="BI234"/>
      <c r="BJ234"/>
      <c r="BL234" s="6121" t="s">
        <v>1205</v>
      </c>
      <c r="BM234"/>
      <c r="BN234"/>
      <c r="BO234" s="1464"/>
      <c r="BP234" s="1464"/>
      <c r="BQ234" s="1464"/>
      <c r="BR234" s="6120"/>
      <c r="BT234"/>
      <c r="BU234"/>
      <c r="BV234"/>
      <c r="BX234" s="5">
        <v>1</v>
      </c>
    </row>
    <row r="235" spans="1:76" s="1" customFormat="1" ht="21" customHeight="1" thickBot="1">
      <c r="A235" s="5641" t="s">
        <v>1</v>
      </c>
      <c r="B235" s="5662" t="str">
        <f t="shared" si="55"/>
        <v>A</v>
      </c>
      <c r="C235" s="5825" cm="1">
        <f t="array" ref="C235">SUMPRODUCT(LEN(D235:J235))</f>
        <v>0</v>
      </c>
      <c r="D235" s="5275"/>
      <c r="E235" s="1361"/>
      <c r="F235" s="1361"/>
      <c r="G235" s="1361"/>
      <c r="H235" s="1361"/>
      <c r="I235" s="1361"/>
      <c r="J235" s="5276"/>
      <c r="K235" s="106" t="s">
        <v>1</v>
      </c>
      <c r="L235" s="1018" t="s">
        <v>21</v>
      </c>
      <c r="M235" s="41" t="str">
        <f>M239</f>
        <v>Coller la-cellule-identité.N.Nom de votre recette</v>
      </c>
      <c r="N235" s="40">
        <f>N239</f>
        <v>18</v>
      </c>
      <c r="O235" s="40" t="str">
        <f>O239</f>
        <v>assiettes</v>
      </c>
      <c r="P235" s="40" t="str">
        <f>P239</f>
        <v>Recette mère ► saisissez le nom de la recette mère</v>
      </c>
      <c r="Q235" s="351"/>
      <c r="R235" s="350" t="s">
        <v>233</v>
      </c>
      <c r="S235" s="349"/>
      <c r="T235" s="348" t="s">
        <v>232</v>
      </c>
      <c r="U235" s="347" t="s">
        <v>1092</v>
      </c>
      <c r="V235" s="141"/>
      <c r="W235" s="347"/>
      <c r="X235" s="347"/>
      <c r="Y235" s="5235"/>
      <c r="Z235" s="141"/>
      <c r="AA235" s="141"/>
      <c r="AB235" s="409"/>
      <c r="AC235" s="5817" t="s">
        <v>21</v>
      </c>
      <c r="AD235" s="5826"/>
      <c r="AE235" s="5827"/>
      <c r="AF235" s="5827"/>
      <c r="AG235" s="5827"/>
      <c r="AH235" s="5827"/>
      <c r="AI235" s="5827"/>
      <c r="AJ235" s="5827"/>
      <c r="AK235" s="5828"/>
      <c r="AL235" s="5828"/>
      <c r="AM235" s="5828"/>
      <c r="AN235" s="5828"/>
      <c r="AO235" s="5828"/>
      <c r="AP235" s="5829"/>
      <c r="AQ235" s="5829" t="s">
        <v>248</v>
      </c>
      <c r="AR235" s="5830">
        <f>IF(Y257=0,0,AR233/Y257)</f>
        <v>0</v>
      </c>
      <c r="AS235" s="7383"/>
      <c r="AT235" s="4"/>
      <c r="AU235" s="4"/>
      <c r="AV235" s="4"/>
      <c r="AW235" s="5818" t="str">
        <f t="shared" si="59"/>
        <v>A</v>
      </c>
      <c r="AX235" s="5950"/>
      <c r="AY235" s="5950"/>
      <c r="AZ235" s="5950"/>
      <c r="BA235" s="5950"/>
      <c r="BB235" s="5950"/>
      <c r="BC235" s="2"/>
      <c r="BD235"/>
      <c r="BE235"/>
      <c r="BF235"/>
      <c r="BG235"/>
      <c r="BH235"/>
      <c r="BI235"/>
      <c r="BJ235"/>
      <c r="BL235" s="1005" t="s">
        <v>86</v>
      </c>
      <c r="BM235" s="1006"/>
      <c r="BN235" s="1007"/>
      <c r="BO235" s="1008"/>
      <c r="BP235" s="1007"/>
      <c r="BQ235" s="1007"/>
      <c r="BR235" s="1009"/>
      <c r="BT235"/>
      <c r="BU235"/>
      <c r="BV235"/>
      <c r="BX235" s="5">
        <v>1</v>
      </c>
    </row>
    <row r="236" spans="1:76" s="1" customFormat="1" ht="21" customHeight="1">
      <c r="A236" s="5641" t="s">
        <v>1</v>
      </c>
      <c r="B236" s="5662" t="str">
        <f t="shared" si="55"/>
        <v>A</v>
      </c>
      <c r="C236" s="5825" cm="1">
        <f t="array" ref="C236">SUMPRODUCT(LEN(D236:J236))</f>
        <v>0</v>
      </c>
      <c r="D236" s="5275"/>
      <c r="E236" s="1361"/>
      <c r="F236" s="1361"/>
      <c r="G236" s="1361"/>
      <c r="H236" s="1361"/>
      <c r="I236" s="1361"/>
      <c r="J236" s="5276"/>
      <c r="K236" s="106" t="s">
        <v>1</v>
      </c>
      <c r="L236" s="1018" t="s">
        <v>21</v>
      </c>
      <c r="M236" s="41" t="str">
        <f>M239</f>
        <v>Coller la-cellule-identité.N.Nom de votre recette</v>
      </c>
      <c r="N236" s="40">
        <f>N239</f>
        <v>18</v>
      </c>
      <c r="O236" s="40" t="str">
        <f>O239</f>
        <v>assiettes</v>
      </c>
      <c r="P236" s="40" t="str">
        <f>P239</f>
        <v>Recette mère ► saisissez le nom de la recette mère</v>
      </c>
      <c r="Q236" s="333" t="s">
        <v>228</v>
      </c>
      <c r="R236" s="341"/>
      <c r="S236" s="341"/>
      <c r="T236" s="340" t="s">
        <v>227</v>
      </c>
      <c r="U236" s="6901" t="str">
        <f>Q239</f>
        <v>Coller la-cellule-identité.N.Nom de votre recette</v>
      </c>
      <c r="V236" s="6901"/>
      <c r="W236" s="6901"/>
      <c r="X236" s="6225"/>
      <c r="Y236" s="5235"/>
      <c r="Z236" s="5236" t="s">
        <v>8008</v>
      </c>
      <c r="AA236" s="5237">
        <v>100</v>
      </c>
      <c r="AB236" s="344" t="str">
        <f>AB238</f>
        <v>couverts</v>
      </c>
      <c r="AC236" s="5817" t="s">
        <v>21</v>
      </c>
      <c r="AD236" s="5826"/>
      <c r="AE236" s="5827"/>
      <c r="AF236" s="5827"/>
      <c r="AG236" s="5827"/>
      <c r="AH236" s="5827"/>
      <c r="AI236" s="5827"/>
      <c r="AJ236" s="5827"/>
      <c r="AK236" s="5714" t="str">
        <f>IF(AM27&gt;0,"avec Poids modifié ❻","avec Poids prévu ④")</f>
        <v>avec Poids prévu ④</v>
      </c>
      <c r="AL236" s="5714"/>
      <c r="AM236" s="5714"/>
      <c r="AN236" s="5714"/>
      <c r="AO236" s="5713" t="s">
        <v>8511</v>
      </c>
      <c r="AP236" s="5713"/>
      <c r="AQ236" s="5713"/>
      <c r="AR236" s="5831"/>
      <c r="AS236" s="7383"/>
      <c r="AT236" s="4"/>
      <c r="AU236" s="4"/>
      <c r="AV236" s="4"/>
      <c r="AW236" s="5818" t="str">
        <f t="shared" si="59"/>
        <v>A</v>
      </c>
      <c r="AX236" s="5950"/>
      <c r="AY236" s="5950"/>
      <c r="AZ236" s="5950"/>
      <c r="BA236" s="5950"/>
      <c r="BB236" s="5950"/>
      <c r="BC236" s="2"/>
      <c r="BD236"/>
      <c r="BE236"/>
      <c r="BF236"/>
      <c r="BG236"/>
      <c r="BH236"/>
      <c r="BI236"/>
      <c r="BJ236"/>
      <c r="BL236" s="343"/>
      <c r="BM236"/>
      <c r="BN236"/>
      <c r="BO236"/>
      <c r="BP236"/>
      <c r="BQ236"/>
      <c r="BR236" s="762"/>
      <c r="BT236"/>
      <c r="BU236"/>
      <c r="BV236"/>
      <c r="BX236" s="5">
        <v>1</v>
      </c>
    </row>
    <row r="237" spans="1:76" s="1" customFormat="1" ht="21" customHeight="1">
      <c r="A237" s="5641" t="s">
        <v>1</v>
      </c>
      <c r="B237" s="5662" t="str">
        <f t="shared" si="55"/>
        <v>A</v>
      </c>
      <c r="C237" s="5825" cm="1">
        <f t="array" ref="C237">SUMPRODUCT(LEN(D237:J237))</f>
        <v>0</v>
      </c>
      <c r="D237" s="5275"/>
      <c r="E237" s="1361"/>
      <c r="F237" s="1361"/>
      <c r="G237" s="1361"/>
      <c r="H237" s="1361"/>
      <c r="I237" s="1361"/>
      <c r="J237" s="5276"/>
      <c r="K237" s="106" t="s">
        <v>1</v>
      </c>
      <c r="L237" s="1018" t="s">
        <v>21</v>
      </c>
      <c r="M237" s="41" t="str">
        <f>M239</f>
        <v>Coller la-cellule-identité.N.Nom de votre recette</v>
      </c>
      <c r="N237" s="40">
        <f>N239</f>
        <v>18</v>
      </c>
      <c r="O237" s="40" t="str">
        <f>O239</f>
        <v>assiettes</v>
      </c>
      <c r="P237" s="40" t="str">
        <f>P239</f>
        <v>Recette mère ► saisissez le nom de la recette mère</v>
      </c>
      <c r="Q237" s="5238">
        <v>18</v>
      </c>
      <c r="R237" s="5832" t="s">
        <v>157</v>
      </c>
      <c r="S237" s="333"/>
      <c r="T237" s="333"/>
      <c r="U237" s="6901"/>
      <c r="V237" s="6901"/>
      <c r="W237" s="6901"/>
      <c r="X237" s="6225"/>
      <c r="Y237" s="5239"/>
      <c r="Z237" s="141"/>
      <c r="AA237" s="141"/>
      <c r="AB237" s="409"/>
      <c r="AC237" s="5817" t="s">
        <v>21</v>
      </c>
      <c r="AD237" s="5833"/>
      <c r="AE237" s="5834"/>
      <c r="AF237" s="5834"/>
      <c r="AG237" s="5834"/>
      <c r="AH237" s="5834"/>
      <c r="AI237" s="5834"/>
      <c r="AJ237" s="5834"/>
      <c r="AK237" s="7367">
        <f>AR233</f>
        <v>0</v>
      </c>
      <c r="AL237" s="7367"/>
      <c r="AM237" s="7367"/>
      <c r="AN237" s="6864"/>
      <c r="AO237" s="7368">
        <f>AQ10</f>
        <v>45</v>
      </c>
      <c r="AP237" s="7369" t="str">
        <f>AR10</f>
        <v>assiettes</v>
      </c>
      <c r="AQ237" s="7369"/>
      <c r="AR237" s="7370"/>
      <c r="AS237" s="7383"/>
      <c r="AT237" s="4"/>
      <c r="AU237" s="4"/>
      <c r="AV237" s="4"/>
      <c r="AW237" s="5818" t="str">
        <f t="shared" si="59"/>
        <v>A</v>
      </c>
      <c r="AX237" s="5950"/>
      <c r="AY237" s="5950"/>
      <c r="AZ237" s="5950"/>
      <c r="BA237" s="5950"/>
      <c r="BB237" s="5950"/>
      <c r="BC237" s="2"/>
      <c r="BD237"/>
      <c r="BE237"/>
      <c r="BF237"/>
      <c r="BG237"/>
      <c r="BH237"/>
      <c r="BI237"/>
      <c r="BJ237"/>
      <c r="BL237" s="6122" t="s">
        <v>8641</v>
      </c>
      <c r="BM237"/>
      <c r="BN237"/>
      <c r="BO237"/>
      <c r="BP237"/>
      <c r="BQ237"/>
      <c r="BR237" s="762"/>
      <c r="BT237"/>
      <c r="BU237"/>
      <c r="BV237"/>
      <c r="BX237" s="5">
        <v>1</v>
      </c>
    </row>
    <row r="238" spans="1:76" s="1" customFormat="1" ht="21" customHeight="1">
      <c r="A238" s="5641" t="s">
        <v>1</v>
      </c>
      <c r="B238" s="5662" t="str">
        <f t="shared" si="55"/>
        <v>►</v>
      </c>
      <c r="C238" s="5825" cm="1">
        <f t="array" ref="C238">SUMPRODUCT(LEN(D238:J238))</f>
        <v>0</v>
      </c>
      <c r="D238" s="5275"/>
      <c r="E238" s="1361"/>
      <c r="F238" s="1361"/>
      <c r="G238" s="1361"/>
      <c r="H238" s="1361"/>
      <c r="I238" s="1361"/>
      <c r="J238" s="5276"/>
      <c r="K238" s="106" t="s">
        <v>1</v>
      </c>
      <c r="L238" s="1018" t="s">
        <v>26</v>
      </c>
      <c r="M238" s="41" t="str">
        <f>M239</f>
        <v>Coller la-cellule-identité.N.Nom de votre recette</v>
      </c>
      <c r="N238" s="40">
        <f>N239</f>
        <v>18</v>
      </c>
      <c r="O238" s="40" t="str">
        <f>O239</f>
        <v>assiettes</v>
      </c>
      <c r="P238" s="40" t="str">
        <f>P239</f>
        <v>Recette mère ► saisissez le nom de la recette mère</v>
      </c>
      <c r="Q238" s="327"/>
      <c r="R238" s="326"/>
      <c r="S238" s="326"/>
      <c r="T238" s="326"/>
      <c r="U238" s="326"/>
      <c r="V238" s="326"/>
      <c r="W238" s="5240"/>
      <c r="X238" s="8498"/>
      <c r="Y238"/>
      <c r="Z238" s="5241" t="s">
        <v>944</v>
      </c>
      <c r="AA238" s="5844">
        <v>18</v>
      </c>
      <c r="AB238" s="5242" t="s">
        <v>73</v>
      </c>
      <c r="AC238" s="5817" t="s">
        <v>21</v>
      </c>
      <c r="AD238" s="5845"/>
      <c r="AE238" s="5846"/>
      <c r="AF238" s="5846"/>
      <c r="AG238" s="5846"/>
      <c r="AH238" s="5846"/>
      <c r="AI238" s="5846"/>
      <c r="AJ238" s="5846"/>
      <c r="AK238" s="7367"/>
      <c r="AL238" s="7367"/>
      <c r="AM238" s="7367"/>
      <c r="AN238" s="6864"/>
      <c r="AO238" s="7368"/>
      <c r="AP238" s="7369"/>
      <c r="AQ238" s="7369"/>
      <c r="AR238" s="7370"/>
      <c r="AS238" s="7383"/>
      <c r="AT238" s="4"/>
      <c r="AU238" s="4"/>
      <c r="AV238" s="4"/>
      <c r="AW238" s="5818" t="str">
        <f t="shared" si="59"/>
        <v>A</v>
      </c>
      <c r="AX238" s="5950"/>
      <c r="AY238" s="5950"/>
      <c r="AZ238" s="5950"/>
      <c r="BA238" s="5950"/>
      <c r="BB238" s="5950"/>
      <c r="BC238" s="2"/>
      <c r="BD238"/>
      <c r="BE238"/>
      <c r="BF238"/>
      <c r="BG238"/>
      <c r="BH238"/>
      <c r="BI238"/>
      <c r="BJ238"/>
      <c r="BL238" s="1283">
        <v>19</v>
      </c>
      <c r="BM238" s="1284">
        <v>18</v>
      </c>
      <c r="BN238" s="1284">
        <v>25</v>
      </c>
      <c r="BO238" s="1284">
        <v>16</v>
      </c>
      <c r="BP238" s="1284">
        <v>16</v>
      </c>
      <c r="BQ238" s="1284">
        <v>31</v>
      </c>
      <c r="BR238" s="1285">
        <v>36</v>
      </c>
      <c r="BT238"/>
      <c r="BU238"/>
      <c r="BV238"/>
      <c r="BX238" s="5">
        <v>1</v>
      </c>
    </row>
    <row r="239" spans="1:76" s="1" customFormat="1" ht="21" customHeight="1" thickBot="1">
      <c r="A239" s="5641" t="s">
        <v>1</v>
      </c>
      <c r="B239" s="5662" t="str">
        <f t="shared" si="55"/>
        <v>►</v>
      </c>
      <c r="C239" s="5825" cm="1">
        <f t="array" ref="C239">SUMPRODUCT(LEN(D239:J239))</f>
        <v>0</v>
      </c>
      <c r="D239" s="5275"/>
      <c r="E239" s="1361"/>
      <c r="F239" s="1361"/>
      <c r="G239" s="1361"/>
      <c r="H239" s="1361"/>
      <c r="I239" s="1361"/>
      <c r="J239" s="5276"/>
      <c r="K239" s="106" t="s">
        <v>1</v>
      </c>
      <c r="L239" s="5243" t="s">
        <v>26</v>
      </c>
      <c r="M239" s="5849" t="str">
        <f>Q239</f>
        <v>Coller la-cellule-identité.N.Nom de votre recette</v>
      </c>
      <c r="N239" s="5115">
        <f>Q237</f>
        <v>18</v>
      </c>
      <c r="O239" s="5115" t="str">
        <f>R237</f>
        <v>assiettes</v>
      </c>
      <c r="P239" s="5850" t="str">
        <f>V239&amp;" "&amp;W239</f>
        <v>Recette mère ► saisissez le nom de la recette mère</v>
      </c>
      <c r="Q239" s="5116" t="str">
        <f>UPPER(LEFT(Z233,1))&amp;LOWER(MID(Z233,2,999))&amp;"."&amp;UPPER(LEFT(T233,1))&amp;"."&amp;UPPER(LEFT(T233,1))&amp;LOWER(MID(T233,2,999))</f>
        <v>Coller la-cellule-identité.N.Nom de votre recette</v>
      </c>
      <c r="R239" s="5117" t="s">
        <v>223</v>
      </c>
      <c r="S239" s="6903" t="s">
        <v>222</v>
      </c>
      <c r="T239" s="6903"/>
      <c r="U239" s="6903"/>
      <c r="V239" s="5119" t="s">
        <v>221</v>
      </c>
      <c r="W239" s="5319" t="s">
        <v>1093</v>
      </c>
      <c r="X239" s="8499"/>
      <c r="Y239" s="141"/>
      <c r="Z239" s="141"/>
      <c r="AA239" s="141"/>
      <c r="AB239" s="409"/>
      <c r="AC239" s="5817" t="s">
        <v>21</v>
      </c>
      <c r="AD239" s="5845"/>
      <c r="AE239" s="5846"/>
      <c r="AF239" s="7358">
        <f>AK27</f>
        <v>0</v>
      </c>
      <c r="AG239" s="7358"/>
      <c r="AH239" s="7358"/>
      <c r="AI239" s="5859"/>
      <c r="AJ239" s="5852"/>
      <c r="AK239" s="5852"/>
      <c r="AL239" s="5853"/>
      <c r="AM239" s="5854" t="str">
        <f>IF(AF239&gt;0," avec Poids prévu ④ " &amp; AO237 &amp; " " &amp; AP237 &amp; " de","")</f>
        <v/>
      </c>
      <c r="AN239" s="5854"/>
      <c r="AO239" s="5855">
        <f>AF239/AO237*1000</f>
        <v>0</v>
      </c>
      <c r="AP239" s="5856"/>
      <c r="AQ239" s="5856"/>
      <c r="AR239" s="5831"/>
      <c r="AS239" s="7383"/>
      <c r="AT239" s="4"/>
      <c r="AU239" s="4"/>
      <c r="AV239" s="4"/>
      <c r="AW239" s="5818" t="str">
        <f t="shared" si="59"/>
        <v>A</v>
      </c>
      <c r="AX239" s="5950"/>
      <c r="AY239" s="5950"/>
      <c r="AZ239" s="5950"/>
      <c r="BA239" s="5950"/>
      <c r="BB239" s="5950"/>
      <c r="BC239" s="2"/>
      <c r="BD239"/>
      <c r="BE239"/>
      <c r="BF239"/>
      <c r="BG239"/>
      <c r="BH239"/>
      <c r="BI239"/>
      <c r="BJ239"/>
      <c r="BL239" s="1286">
        <f t="shared" ref="BL239:BR239" ca="1" si="60">CELL("largeur",BL239)</f>
        <v>19</v>
      </c>
      <c r="BM239" s="441">
        <f t="shared" ca="1" si="60"/>
        <v>18</v>
      </c>
      <c r="BN239" s="441">
        <f t="shared" ca="1" si="60"/>
        <v>25</v>
      </c>
      <c r="BO239" s="441">
        <f t="shared" ca="1" si="60"/>
        <v>16</v>
      </c>
      <c r="BP239" s="441">
        <f t="shared" ca="1" si="60"/>
        <v>16</v>
      </c>
      <c r="BQ239" s="441">
        <f t="shared" ca="1" si="60"/>
        <v>31</v>
      </c>
      <c r="BR239" s="1287">
        <f t="shared" ca="1" si="60"/>
        <v>36</v>
      </c>
      <c r="BT239"/>
      <c r="BU239"/>
      <c r="BV239"/>
      <c r="BX239" s="5">
        <v>1</v>
      </c>
    </row>
    <row r="240" spans="1:76" s="1" customFormat="1" ht="21" customHeight="1" thickTop="1" thickBot="1">
      <c r="A240" s="5641" t="s">
        <v>1</v>
      </c>
      <c r="B240" s="5662" t="str">
        <f t="shared" si="55"/>
        <v>►</v>
      </c>
      <c r="C240" s="5825" cm="1">
        <f t="array" ref="C240">SUMPRODUCT(LEN(D240:J240))</f>
        <v>0</v>
      </c>
      <c r="D240" s="5275"/>
      <c r="E240" s="1361"/>
      <c r="F240" s="1361"/>
      <c r="G240" s="1361"/>
      <c r="H240" s="1361"/>
      <c r="I240" s="1361"/>
      <c r="J240" s="5276"/>
      <c r="K240" s="106" t="s">
        <v>1</v>
      </c>
      <c r="L240" s="1017" t="s">
        <v>26</v>
      </c>
      <c r="M240" s="312" t="str">
        <f>M239</f>
        <v>Coller la-cellule-identité.N.Nom de votre recette</v>
      </c>
      <c r="N240" s="311"/>
      <c r="O240" s="311"/>
      <c r="P240" s="311" t="str">
        <f>P239</f>
        <v>Recette mère ► saisissez le nom de la recette mère</v>
      </c>
      <c r="Q240" s="310" t="s">
        <v>218</v>
      </c>
      <c r="R240" s="310" t="s">
        <v>217</v>
      </c>
      <c r="S240" s="310" t="s">
        <v>216</v>
      </c>
      <c r="T240" s="310" t="s">
        <v>215</v>
      </c>
      <c r="U240" s="309" t="s">
        <v>214</v>
      </c>
      <c r="V240" s="308" t="s">
        <v>83</v>
      </c>
      <c r="W240" s="5244" t="s">
        <v>213</v>
      </c>
      <c r="X240" s="5244" t="s">
        <v>212</v>
      </c>
      <c r="Y240" s="5245" t="s">
        <v>211</v>
      </c>
      <c r="Z240" s="1100" t="s">
        <v>210</v>
      </c>
      <c r="AA240" s="1100" t="s">
        <v>7928</v>
      </c>
      <c r="AB240" s="5246" t="s">
        <v>208</v>
      </c>
      <c r="AC240" s="5817" t="s">
        <v>21</v>
      </c>
      <c r="AD240" s="5845"/>
      <c r="AE240" s="5846"/>
      <c r="AF240" s="7359">
        <f>AM27</f>
        <v>0</v>
      </c>
      <c r="AG240" s="7359"/>
      <c r="AH240" s="7359"/>
      <c r="AI240" s="5859"/>
      <c r="AJ240" s="5860"/>
      <c r="AK240" s="5861"/>
      <c r="AL240" s="5862"/>
      <c r="AM240" s="5863" t="str">
        <f>IF(AF240&gt;0," avec poids modifié ❻ " &amp; AO237 &amp; " " &amp; AP237 &amp; " de","")</f>
        <v/>
      </c>
      <c r="AN240" s="5863"/>
      <c r="AO240" s="5864">
        <f>AF240/AO237*1000</f>
        <v>0</v>
      </c>
      <c r="AP240" s="5856"/>
      <c r="AQ240" s="5856"/>
      <c r="AR240" s="5865"/>
      <c r="AS240" s="7383"/>
      <c r="AT240" s="4"/>
      <c r="AU240" s="4"/>
      <c r="AV240" s="4"/>
      <c r="AW240" s="5818" t="str">
        <f t="shared" si="59"/>
        <v>A</v>
      </c>
      <c r="AX240" s="5950"/>
      <c r="AY240" s="5950"/>
      <c r="AZ240" s="5950"/>
      <c r="BA240" s="5950"/>
      <c r="BB240" s="5950"/>
      <c r="BC240" s="2"/>
      <c r="BD240"/>
      <c r="BE240"/>
      <c r="BF240"/>
      <c r="BG240"/>
      <c r="BH240"/>
      <c r="BI240"/>
      <c r="BJ240"/>
      <c r="BL240"/>
      <c r="BM240"/>
      <c r="BN240"/>
      <c r="BO240"/>
      <c r="BP240"/>
      <c r="BQ240"/>
      <c r="BR240"/>
      <c r="BT240"/>
      <c r="BU240"/>
      <c r="BV240"/>
      <c r="BX240" s="5">
        <v>1</v>
      </c>
    </row>
    <row r="241" spans="1:76" s="1" customFormat="1" ht="21" customHeight="1" thickTop="1">
      <c r="A241" s="5641" t="s">
        <v>1</v>
      </c>
      <c r="B241" s="5662" t="str">
        <f t="shared" si="55"/>
        <v>A</v>
      </c>
      <c r="C241" s="5825" cm="1">
        <f t="array" ref="C241">SUMPRODUCT(LEN(D241:J241))</f>
        <v>0</v>
      </c>
      <c r="D241" s="5275"/>
      <c r="E241" s="1361"/>
      <c r="F241" s="1361"/>
      <c r="G241" s="1361"/>
      <c r="H241" s="1361"/>
      <c r="I241" s="1361"/>
      <c r="J241" s="5276"/>
      <c r="K241" s="106" t="s">
        <v>1</v>
      </c>
      <c r="L241" s="1018" t="s">
        <v>21</v>
      </c>
      <c r="M241" s="41" t="str">
        <f>M239</f>
        <v>Coller la-cellule-identité.N.Nom de votre recette</v>
      </c>
      <c r="N241" s="40">
        <f>N239</f>
        <v>18</v>
      </c>
      <c r="O241" s="40" t="str">
        <f>O239</f>
        <v>assiettes</v>
      </c>
      <c r="P241" s="40" t="str">
        <f>P239</f>
        <v>Recette mère ► saisissez le nom de la recette mère</v>
      </c>
      <c r="Q241" s="5247" t="s">
        <v>198</v>
      </c>
      <c r="R241" s="298" t="s">
        <v>197</v>
      </c>
      <c r="S241" s="297"/>
      <c r="T241" s="6904" t="s">
        <v>196</v>
      </c>
      <c r="U241" s="7387" t="s">
        <v>195</v>
      </c>
      <c r="V241" s="7360" t="s">
        <v>82</v>
      </c>
      <c r="W241" s="5248" t="s">
        <v>194</v>
      </c>
      <c r="X241" s="6869" t="s">
        <v>11041</v>
      </c>
      <c r="Y241" s="7361" t="s">
        <v>929</v>
      </c>
      <c r="Z241" s="6965" t="s">
        <v>191</v>
      </c>
      <c r="AA241" s="6965" t="s">
        <v>8009</v>
      </c>
      <c r="AB241" s="7374" t="s">
        <v>8010</v>
      </c>
      <c r="AC241" s="5817" t="s">
        <v>21</v>
      </c>
      <c r="AD241" s="5866"/>
      <c r="AE241" s="5867" t="s">
        <v>8513</v>
      </c>
      <c r="AF241" s="5868"/>
      <c r="AG241" s="5869"/>
      <c r="AH241" s="5869"/>
      <c r="AI241" s="5869"/>
      <c r="AJ241" s="5869"/>
      <c r="AK241" s="5869"/>
      <c r="AL241" s="5869"/>
      <c r="AM241" s="5869"/>
      <c r="AN241" s="5869"/>
      <c r="AO241" s="5869"/>
      <c r="AP241" s="5869"/>
      <c r="AQ241" s="7375" t="s">
        <v>8010</v>
      </c>
      <c r="AR241" s="5870"/>
      <c r="AS241" s="7383"/>
      <c r="AT241" s="4"/>
      <c r="AU241" s="4"/>
      <c r="AV241" s="4"/>
      <c r="AW241" s="5818" t="str">
        <f t="shared" si="59"/>
        <v>A</v>
      </c>
      <c r="AX241" s="5950"/>
      <c r="AY241" s="5950"/>
      <c r="AZ241" s="5950"/>
      <c r="BA241" s="5950"/>
      <c r="BB241" s="5950"/>
      <c r="BC241" s="2"/>
      <c r="BD241"/>
      <c r="BE241"/>
      <c r="BF241"/>
      <c r="BG241"/>
      <c r="BH241"/>
      <c r="BI241"/>
      <c r="BJ241"/>
      <c r="BL241"/>
      <c r="BM241"/>
      <c r="BN241"/>
      <c r="BO241"/>
      <c r="BP241"/>
      <c r="BQ241"/>
      <c r="BR241"/>
      <c r="BT241"/>
      <c r="BU241"/>
      <c r="BV241"/>
      <c r="BX241" s="5">
        <v>1</v>
      </c>
    </row>
    <row r="242" spans="1:76" s="1" customFormat="1" ht="21" customHeight="1">
      <c r="A242" s="5641" t="s">
        <v>1</v>
      </c>
      <c r="B242" s="5662" t="str">
        <f t="shared" si="55"/>
        <v>A</v>
      </c>
      <c r="C242" s="5825" cm="1">
        <f t="array" ref="C242">SUMPRODUCT(LEN(D242:J242))</f>
        <v>0</v>
      </c>
      <c r="D242" s="5275"/>
      <c r="E242" s="1361"/>
      <c r="F242" s="1361"/>
      <c r="G242" s="1361"/>
      <c r="H242" s="1361"/>
      <c r="I242" s="1361"/>
      <c r="J242" s="5276"/>
      <c r="K242" s="106" t="s">
        <v>1</v>
      </c>
      <c r="L242" s="1018" t="s">
        <v>21</v>
      </c>
      <c r="M242" s="41" t="str">
        <f>M239</f>
        <v>Coller la-cellule-identité.N.Nom de votre recette</v>
      </c>
      <c r="N242" s="40">
        <f>N239</f>
        <v>18</v>
      </c>
      <c r="O242" s="40" t="str">
        <f>O239</f>
        <v>assiettes</v>
      </c>
      <c r="P242" s="40" t="str">
        <f>P239</f>
        <v>Recette mère ► saisissez le nom de la recette mère</v>
      </c>
      <c r="Q242" s="5249" t="s">
        <v>184</v>
      </c>
      <c r="R242" s="286" t="s">
        <v>162</v>
      </c>
      <c r="S242" s="285" t="s">
        <v>186</v>
      </c>
      <c r="T242" s="6905"/>
      <c r="U242" s="6907"/>
      <c r="V242" s="6923"/>
      <c r="W242" s="5250" t="s">
        <v>185</v>
      </c>
      <c r="X242" s="6870" t="s">
        <v>255</v>
      </c>
      <c r="Y242" s="7362"/>
      <c r="Z242" s="6891"/>
      <c r="AA242" s="6891"/>
      <c r="AB242" s="6895"/>
      <c r="AC242" s="5817" t="s">
        <v>21</v>
      </c>
      <c r="AD242" s="5872">
        <v>1</v>
      </c>
      <c r="AE242" s="5873" t="s">
        <v>191</v>
      </c>
      <c r="AF242" s="5874"/>
      <c r="AG242" s="5875"/>
      <c r="AH242" s="5875"/>
      <c r="AI242" s="5875"/>
      <c r="AJ242" s="5875"/>
      <c r="AK242" s="5876" t="s">
        <v>191</v>
      </c>
      <c r="AL242" s="5875"/>
      <c r="AM242" s="5877" t="s">
        <v>8520</v>
      </c>
      <c r="AN242" s="5877" t="s">
        <v>11041</v>
      </c>
      <c r="AO242" s="5875"/>
      <c r="AP242" s="5875" t="s">
        <v>8521</v>
      </c>
      <c r="AQ242" s="7376"/>
      <c r="AR242" s="5878" t="s">
        <v>8522</v>
      </c>
      <c r="AS242" s="7383"/>
      <c r="AT242" s="4"/>
      <c r="AU242" s="4"/>
      <c r="AV242" s="4"/>
      <c r="AW242" s="5818" t="str">
        <f t="shared" si="59"/>
        <v>A</v>
      </c>
      <c r="AX242" s="5950"/>
      <c r="AY242" s="5950"/>
      <c r="AZ242" s="5950"/>
      <c r="BA242" s="5950"/>
      <c r="BB242" s="5950"/>
      <c r="BC242" s="2"/>
      <c r="BD242"/>
      <c r="BE242"/>
      <c r="BF242"/>
      <c r="BG242"/>
      <c r="BH242"/>
      <c r="BI242"/>
      <c r="BJ242"/>
      <c r="BL242"/>
      <c r="BM242"/>
      <c r="BN242"/>
      <c r="BO242"/>
      <c r="BP242"/>
      <c r="BQ242"/>
      <c r="BR242"/>
      <c r="BT242"/>
      <c r="BU242"/>
      <c r="BV242"/>
      <c r="BX242" s="5">
        <v>1</v>
      </c>
    </row>
    <row r="243" spans="1:76" s="1" customFormat="1" ht="21" customHeight="1">
      <c r="A243" s="5641" t="s">
        <v>1</v>
      </c>
      <c r="B243" s="5662" t="str">
        <f t="shared" si="55"/>
        <v>A</v>
      </c>
      <c r="C243" s="5825" cm="1">
        <f t="array" ref="C243">SUMPRODUCT(LEN(D243:J243))</f>
        <v>0</v>
      </c>
      <c r="D243" s="5275"/>
      <c r="E243" s="1361"/>
      <c r="F243" s="1361"/>
      <c r="G243" s="1361"/>
      <c r="H243" s="1361"/>
      <c r="I243" s="1361"/>
      <c r="J243" s="5276"/>
      <c r="K243" s="106" t="s">
        <v>1</v>
      </c>
      <c r="L243" s="1018" t="s">
        <v>21</v>
      </c>
      <c r="M243" s="41" t="str">
        <f>M239</f>
        <v>Coller la-cellule-identité.N.Nom de votre recette</v>
      </c>
      <c r="N243" s="40">
        <f>N239</f>
        <v>18</v>
      </c>
      <c r="O243" s="40" t="str">
        <f>O239</f>
        <v>assiettes</v>
      </c>
      <c r="P243" s="40" t="str">
        <f>P239</f>
        <v>Recette mère ► saisissez le nom de la recette mère</v>
      </c>
      <c r="Q243" s="213"/>
      <c r="R243" s="256"/>
      <c r="S243" s="211" t="str">
        <f t="shared" ref="S243:S256" si="61">IF(OR(ISTEXT(Q243), Q243&lt;=0, T243&lt;=0), "", "de")</f>
        <v/>
      </c>
      <c r="T243" s="210"/>
      <c r="U243" s="5259"/>
      <c r="V243" s="5576">
        <v>1</v>
      </c>
      <c r="W243" s="6866"/>
      <c r="X243" s="6871"/>
      <c r="Y243" s="5882">
        <f>IFERROR(IFERROR(INDEX(Q259:AB259,MATCH(U243,Q258:AB258,0)),INDEX(Q261:AB261,MATCH(U243,Q260:AB260,0))) * T243 * IF(ISBLANK(Q243), 1, Q243), 0)</f>
        <v>0</v>
      </c>
      <c r="Z243" s="5251">
        <f>(Q243/AA238)*AA236*V243</f>
        <v>0</v>
      </c>
      <c r="AA243" s="5252">
        <f>IF(ISBLANK(AA238), 0, (Y243 * V243) * (AA236 / AA238))</f>
        <v>0</v>
      </c>
      <c r="AB243" s="5253" t="str">
        <f>IF(COUNTIF(Q258:AB258,U243)&gt;0,IF(ROUND(AA243,3)&gt;=1,ROUND(AA243,3)&amp;" L",ROUND(AA243*100,0)&amp;" cl"),IF(COUNTIF(Q260:AB260,U243)&gt;0,IF(ROUND(AA243,3)&gt;=1,ROUND(AA243,3)&amp;" Kg",ROUND(AA243*1000,0)&amp;" g"),""))</f>
        <v/>
      </c>
      <c r="AC243" s="5817" t="str">
        <f>IF(AD243&gt;0,"A","►")</f>
        <v>►</v>
      </c>
      <c r="AD243" s="5883">
        <f>IF(Y257=0,0,Y243*AD242*1000/Y257)</f>
        <v>0</v>
      </c>
      <c r="AE243" s="6053">
        <f>IF(ISNUMBER(Q243),Q243*AD242/Y257,0)</f>
        <v>0</v>
      </c>
      <c r="AF243" s="5885"/>
      <c r="AG243" s="5886"/>
      <c r="AH243" s="5886"/>
      <c r="AI243" s="5886"/>
      <c r="AJ243" s="5899">
        <f>W243</f>
        <v>0</v>
      </c>
      <c r="AK243" s="5888">
        <f>IF(OR(ISTEXT(Q243),Y257=0),0,Q243*AR235)</f>
        <v>0</v>
      </c>
      <c r="AL243" s="5886"/>
      <c r="AM243" s="5889">
        <f t="shared" ref="AM243:AM256" si="62">R243</f>
        <v>0</v>
      </c>
      <c r="AN243" s="8558">
        <f>X243</f>
        <v>0</v>
      </c>
      <c r="AO243" s="5886"/>
      <c r="AP243" s="5890">
        <f>IF(Y243=0,0,Y243*AR235)</f>
        <v>0</v>
      </c>
      <c r="AQ243" s="5891" t="str">
        <f>IF(COUNTIF(AD258:AD268,U243)&gt;0,IF(ROUND(AP243,3)&gt;=1,ROUND(AP243,3)&amp;" L",ROUND(AP243*100,0)&amp;" cl"),IF(COUNTIF(AD269:AD279,U243)&gt;0,IF(ROUND(AP243,3)&gt;=1,ROUND(AP243,3)&amp;" Kg",ROUND(AP243*1000,0)&amp;" g"),""))</f>
        <v/>
      </c>
      <c r="AR243" s="5892">
        <f t="shared" ref="AR243:AR256" si="63">W243</f>
        <v>0</v>
      </c>
      <c r="AS243" s="7383"/>
      <c r="AT243" s="4"/>
      <c r="AU243" s="4"/>
      <c r="AV243" s="4"/>
      <c r="AW243" s="5818" t="str">
        <f t="shared" si="59"/>
        <v>►</v>
      </c>
      <c r="AX243" s="5950"/>
      <c r="AY243" s="5950"/>
      <c r="AZ243" s="5950"/>
      <c r="BA243" s="5950"/>
      <c r="BB243" s="5950"/>
      <c r="BC243" s="2"/>
      <c r="BD243"/>
      <c r="BE243"/>
      <c r="BF243"/>
      <c r="BG243"/>
      <c r="BH243"/>
      <c r="BI243"/>
      <c r="BJ243"/>
      <c r="BL243"/>
      <c r="BM243"/>
      <c r="BN243"/>
      <c r="BO243"/>
      <c r="BP243"/>
      <c r="BQ243"/>
      <c r="BR243"/>
      <c r="BT243"/>
      <c r="BU243"/>
      <c r="BV243"/>
      <c r="BX243" s="5">
        <v>1</v>
      </c>
    </row>
    <row r="244" spans="1:76" s="1" customFormat="1" ht="21" customHeight="1">
      <c r="A244" s="5641" t="s">
        <v>1</v>
      </c>
      <c r="B244" s="5662" t="str">
        <f t="shared" si="55"/>
        <v>►</v>
      </c>
      <c r="C244" s="5825" cm="1">
        <f t="array" ref="C244">SUMPRODUCT(LEN(D244:J244))</f>
        <v>0</v>
      </c>
      <c r="D244" s="5275"/>
      <c r="E244" s="1361"/>
      <c r="F244" s="1361"/>
      <c r="G244" s="1361"/>
      <c r="H244" s="1361"/>
      <c r="I244" s="1361"/>
      <c r="J244" s="5276"/>
      <c r="K244" s="106" t="s">
        <v>1</v>
      </c>
      <c r="L244" s="1021" t="str">
        <f t="shared" ref="L244:L256" si="64">IF(W244&lt;&gt;"","A","►")</f>
        <v>►</v>
      </c>
      <c r="M244" s="41" t="str">
        <f>M239</f>
        <v>Coller la-cellule-identité.N.Nom de votre recette</v>
      </c>
      <c r="N244" s="40">
        <f>N239</f>
        <v>18</v>
      </c>
      <c r="O244" s="40" t="str">
        <f>O239</f>
        <v>assiettes</v>
      </c>
      <c r="P244" s="40" t="str">
        <f>P239</f>
        <v>Recette mère ► saisissez le nom de la recette mère</v>
      </c>
      <c r="Q244" s="213"/>
      <c r="R244" s="256"/>
      <c r="S244" s="211" t="str">
        <f t="shared" si="61"/>
        <v/>
      </c>
      <c r="T244" s="210"/>
      <c r="U244" s="5259"/>
      <c r="V244" s="5576">
        <v>1</v>
      </c>
      <c r="W244" s="6866"/>
      <c r="X244" s="6872"/>
      <c r="Y244" s="5882">
        <f>IFERROR(IFERROR(INDEX(Q259:AB259,MATCH(U244,Q258:AB258,0)),INDEX(Q261:AB261,MATCH(U244,Q260:AB260,0))) * T244 * IF(ISBLANK(Q244), 1, Q244), 0)</f>
        <v>0</v>
      </c>
      <c r="Z244" s="5254">
        <f>(Q244/AA238)*AA236*V244</f>
        <v>0</v>
      </c>
      <c r="AA244" s="5252">
        <f>IF(ISBLANK(AA238), 0, (Y244 * V244) * (AA236 / AA238))</f>
        <v>0</v>
      </c>
      <c r="AB244" s="5255" t="str">
        <f>IF(COUNTIF(Q258:AB258,U244)&gt;0,IF(ROUND(AA244,3)&gt;=1,ROUND(AA244,3)&amp;" L",ROUND(AA244*100,0)&amp;" cl"),IF(COUNTIF(Q260:AB260,U244)&gt;0,IF(ROUND(AA244,3)&gt;=1,ROUND(AA244,3)&amp;" Kg",ROUND(AA244*1000,0)&amp;" g"),""))</f>
        <v/>
      </c>
      <c r="AC244" s="5817" t="str">
        <f t="shared" ref="AC244:AC257" si="65">IF(AD244&gt;0,"A","►")</f>
        <v>►</v>
      </c>
      <c r="AD244" s="5883">
        <f>IF(Y257=0,0,Y244*AD242*1000/Y257)</f>
        <v>0</v>
      </c>
      <c r="AE244" s="6053">
        <f>IF(ISNUMBER(Q244),Q244*AD242/Y257,0)</f>
        <v>0</v>
      </c>
      <c r="AF244" s="5894"/>
      <c r="AG244" s="5804"/>
      <c r="AH244" s="5804"/>
      <c r="AI244" s="5804"/>
      <c r="AJ244" s="5902">
        <f t="shared" ref="AJ244:AJ256" si="66">W244</f>
        <v>0</v>
      </c>
      <c r="AK244" s="5896">
        <f>IF(OR(ISTEXT(Q244),Y257=0),0,Q244*AR235)</f>
        <v>0</v>
      </c>
      <c r="AL244" s="5804"/>
      <c r="AM244" s="5805">
        <f t="shared" si="62"/>
        <v>0</v>
      </c>
      <c r="AN244" s="5805">
        <f t="shared" ref="AN244:AN256" si="67">X244</f>
        <v>0</v>
      </c>
      <c r="AO244" s="5804"/>
      <c r="AP244" s="5788">
        <f>IF(Y244=0,0,Y244*AR235)</f>
        <v>0</v>
      </c>
      <c r="AQ244" s="5897" t="str">
        <f>IF(COUNTIF(AD258:AD268,U244)&gt;0,IF(ROUND(AP244,3)&gt;=1,ROUND(AP244,3)&amp;" L",ROUND(AP244*100,0)&amp;" cl"),IF(COUNTIF(AD269:AD279,U244)&gt;0,IF(ROUND(AP244,3)&gt;=1,ROUND(AP244,3)&amp;" Kg",ROUND(AP244*1000,0)&amp;" g"),""))</f>
        <v/>
      </c>
      <c r="AR244" s="5898">
        <f t="shared" si="63"/>
        <v>0</v>
      </c>
      <c r="AS244" s="7383"/>
      <c r="AT244" s="4"/>
      <c r="AU244" s="4"/>
      <c r="AV244" s="4"/>
      <c r="AW244" s="5818" t="str">
        <f t="shared" si="59"/>
        <v>►</v>
      </c>
      <c r="AX244" s="5950"/>
      <c r="AY244" s="5950"/>
      <c r="AZ244" s="5950"/>
      <c r="BA244" s="5950"/>
      <c r="BB244" s="5950"/>
      <c r="BC244" s="2"/>
      <c r="BD244"/>
      <c r="BE244"/>
      <c r="BF244"/>
      <c r="BG244"/>
      <c r="BH244"/>
      <c r="BI244"/>
      <c r="BJ244"/>
      <c r="BL244"/>
      <c r="BM244"/>
      <c r="BN244"/>
      <c r="BO244"/>
      <c r="BP244"/>
      <c r="BQ244"/>
      <c r="BR244"/>
      <c r="BT244"/>
      <c r="BU244"/>
      <c r="BV244"/>
      <c r="BX244" s="5">
        <v>1</v>
      </c>
    </row>
    <row r="245" spans="1:76" s="1" customFormat="1" ht="21" customHeight="1">
      <c r="A245" s="5641" t="s">
        <v>1</v>
      </c>
      <c r="B245" s="5662" t="str">
        <f t="shared" si="55"/>
        <v>►</v>
      </c>
      <c r="C245" s="5825" cm="1">
        <f t="array" ref="C245">SUMPRODUCT(LEN(D245:J245))</f>
        <v>0</v>
      </c>
      <c r="D245" s="5275"/>
      <c r="E245" s="1361"/>
      <c r="F245" s="1361"/>
      <c r="G245" s="1361"/>
      <c r="H245" s="1361"/>
      <c r="I245" s="1361"/>
      <c r="J245" s="5276"/>
      <c r="K245" s="106" t="s">
        <v>1</v>
      </c>
      <c r="L245" s="1021" t="str">
        <f t="shared" si="64"/>
        <v>►</v>
      </c>
      <c r="M245" s="41" t="str">
        <f>M239</f>
        <v>Coller la-cellule-identité.N.Nom de votre recette</v>
      </c>
      <c r="N245" s="40">
        <f>N239</f>
        <v>18</v>
      </c>
      <c r="O245" s="40" t="str">
        <f>O239</f>
        <v>assiettes</v>
      </c>
      <c r="P245" s="40" t="str">
        <f>P239</f>
        <v>Recette mère ► saisissez le nom de la recette mère</v>
      </c>
      <c r="Q245" s="213"/>
      <c r="R245" s="212"/>
      <c r="S245" s="211" t="str">
        <f t="shared" si="61"/>
        <v/>
      </c>
      <c r="T245" s="210"/>
      <c r="U245" s="5259"/>
      <c r="V245" s="5576">
        <v>1</v>
      </c>
      <c r="W245" s="6866"/>
      <c r="X245" s="6871"/>
      <c r="Y245" s="5882">
        <f>IFERROR(IFERROR(INDEX(Q259:AB259,MATCH(U245,Q258:AB258,0)),INDEX(Q261:AB261,MATCH(U245,Q260:AB260,0))) * T245 * IF(ISBLANK(Q245), 1, Q245), 0)</f>
        <v>0</v>
      </c>
      <c r="Z245" s="5256">
        <f>(Q245/AA238)*AA236*V245</f>
        <v>0</v>
      </c>
      <c r="AA245" s="5252">
        <f>IF(ISBLANK(AA238), 0, (Y245 * V245) * (AA236 / AA238))</f>
        <v>0</v>
      </c>
      <c r="AB245" s="5257" t="str">
        <f>IF(COUNTIF(Q258:AB258,U245)&gt;0,IF(ROUND(AA245,3)&gt;=1,ROUND(AA245,3)&amp;" L",ROUND(AA245*100,0)&amp;" cl"),IF(COUNTIF(Q260:AB260,U245)&gt;0,IF(ROUND(AA245,3)&gt;=1,ROUND(AA245,3)&amp;" Kg",ROUND(AA245*1000,0)&amp;" g"),""))</f>
        <v/>
      </c>
      <c r="AC245" s="5817" t="str">
        <f t="shared" si="65"/>
        <v>►</v>
      </c>
      <c r="AD245" s="5883">
        <f>IF(Y257=0,0,Y245*AD242*1000/Y257)</f>
        <v>0</v>
      </c>
      <c r="AE245" s="6053">
        <f>IF(ISNUMBER(Q245),Q245*AD242/Y257,0)</f>
        <v>0</v>
      </c>
      <c r="AF245" s="5885"/>
      <c r="AG245" s="5886"/>
      <c r="AH245" s="5886"/>
      <c r="AI245" s="5886"/>
      <c r="AJ245" s="5899">
        <f t="shared" si="66"/>
        <v>0</v>
      </c>
      <c r="AK245" s="5888">
        <f>IF(OR(ISTEXT(Q245),Y257=0),0,Q245*AR235)</f>
        <v>0</v>
      </c>
      <c r="AL245" s="5886"/>
      <c r="AM245" s="5889">
        <f t="shared" si="62"/>
        <v>0</v>
      </c>
      <c r="AN245" s="8558">
        <f t="shared" si="67"/>
        <v>0</v>
      </c>
      <c r="AO245" s="5886"/>
      <c r="AP245" s="5890">
        <f>IF(Y245=0,0,Y245*AR235)</f>
        <v>0</v>
      </c>
      <c r="AQ245" s="5891" t="str">
        <f>IF(COUNTIF(AD258:AD268,U245)&gt;0,IF(ROUND(AP245,3)&gt;=1,ROUND(AP245,3)&amp;" L",ROUND(AP245*100,0)&amp;" cl"),IF(COUNTIF(AD269:AD279,U245)&gt;0,IF(ROUND(AP245,3)&gt;=1,ROUND(AP245,3)&amp;" Kg",ROUND(AP245*1000,0)&amp;" g"),""))</f>
        <v/>
      </c>
      <c r="AR245" s="5892">
        <f t="shared" si="63"/>
        <v>0</v>
      </c>
      <c r="AS245" s="7383"/>
      <c r="AT245" s="4"/>
      <c r="AU245" s="4"/>
      <c r="AV245" s="4"/>
      <c r="AW245" s="5818" t="str">
        <f t="shared" si="59"/>
        <v>►</v>
      </c>
      <c r="AX245" s="5950"/>
      <c r="AY245" s="5950"/>
      <c r="AZ245" s="5950"/>
      <c r="BA245" s="5950"/>
      <c r="BB245" s="5950"/>
      <c r="BC245" s="2"/>
      <c r="BD245"/>
      <c r="BE245"/>
      <c r="BF245"/>
      <c r="BG245"/>
      <c r="BH245"/>
      <c r="BI245"/>
      <c r="BJ245"/>
      <c r="BL245"/>
      <c r="BM245"/>
      <c r="BN245"/>
      <c r="BO245"/>
      <c r="BP245"/>
      <c r="BQ245"/>
      <c r="BR245"/>
      <c r="BT245"/>
      <c r="BU245"/>
      <c r="BV245"/>
      <c r="BX245" s="5">
        <v>1</v>
      </c>
    </row>
    <row r="246" spans="1:76" s="1" customFormat="1" ht="21" customHeight="1">
      <c r="A246" s="5641" t="s">
        <v>1</v>
      </c>
      <c r="B246" s="5662" t="str">
        <f t="shared" si="55"/>
        <v>►</v>
      </c>
      <c r="C246" s="5825" cm="1">
        <f t="array" ref="C246">SUMPRODUCT(LEN(D246:J246))</f>
        <v>0</v>
      </c>
      <c r="D246" s="5275"/>
      <c r="E246" s="1361"/>
      <c r="F246" s="1361"/>
      <c r="G246" s="1361"/>
      <c r="H246" s="1361"/>
      <c r="I246" s="1361"/>
      <c r="J246" s="5276"/>
      <c r="K246" s="106" t="s">
        <v>1</v>
      </c>
      <c r="L246" s="1021" t="str">
        <f t="shared" si="64"/>
        <v>►</v>
      </c>
      <c r="M246" s="41" t="str">
        <f>M239</f>
        <v>Coller la-cellule-identité.N.Nom de votre recette</v>
      </c>
      <c r="N246" s="40">
        <f>N239</f>
        <v>18</v>
      </c>
      <c r="O246" s="40" t="str">
        <f>O239</f>
        <v>assiettes</v>
      </c>
      <c r="P246" s="40" t="str">
        <f>P239</f>
        <v>Recette mère ► saisissez le nom de la recette mère</v>
      </c>
      <c r="Q246" s="213"/>
      <c r="R246" s="212"/>
      <c r="S246" s="211" t="str">
        <f t="shared" si="61"/>
        <v/>
      </c>
      <c r="T246" s="210"/>
      <c r="U246" s="5259"/>
      <c r="V246" s="5576">
        <v>1</v>
      </c>
      <c r="W246" s="6866"/>
      <c r="X246" s="6871"/>
      <c r="Y246" s="5882">
        <f>IFERROR(IFERROR(INDEX(Q259:AB259,MATCH(U246,Q258:AB258,0)),INDEX(Q261:AB261,MATCH(U246,Q260:AB260,0))) * T246 * IF(ISBLANK(Q246), 1, Q246), 0)</f>
        <v>0</v>
      </c>
      <c r="Z246" s="5254">
        <f>(Q246/AA238)*AA236*V246</f>
        <v>0</v>
      </c>
      <c r="AA246" s="5252">
        <f>IF(ISBLANK(AA238), 0, (Y246 * V246) * (AA236 / AA238))</f>
        <v>0</v>
      </c>
      <c r="AB246" s="5255" t="str">
        <f>IF(COUNTIF(Q258:AB258,U246)&gt;0,IF(ROUND(AA246,3)&gt;=1,ROUND(AA246,3)&amp;" L",ROUND(AA246*100,0)&amp;" cl"),IF(COUNTIF(Q260:AB260,U246)&gt;0,IF(ROUND(AA246,3)&gt;=1,ROUND(AA246,3)&amp;" Kg",ROUND(AA246*1000,0)&amp;" g"),""))</f>
        <v/>
      </c>
      <c r="AC246" s="5817" t="str">
        <f t="shared" si="65"/>
        <v>►</v>
      </c>
      <c r="AD246" s="5883">
        <f>IF(Y257=0,0,Y246*AD242*1000/Y257)</f>
        <v>0</v>
      </c>
      <c r="AE246" s="6053">
        <f>IF(ISNUMBER(Q246),Q246*AD242/Y257,0)</f>
        <v>0</v>
      </c>
      <c r="AF246" s="5894"/>
      <c r="AG246" s="5804"/>
      <c r="AH246" s="5804"/>
      <c r="AI246" s="5804"/>
      <c r="AJ246" s="5902">
        <f t="shared" si="66"/>
        <v>0</v>
      </c>
      <c r="AK246" s="5896">
        <f>IF(OR(ISTEXT(Q246),Y257=0),0,Q246*AR235)</f>
        <v>0</v>
      </c>
      <c r="AL246" s="5804"/>
      <c r="AM246" s="5805">
        <f t="shared" si="62"/>
        <v>0</v>
      </c>
      <c r="AN246" s="5805">
        <f t="shared" si="67"/>
        <v>0</v>
      </c>
      <c r="AO246" s="5804"/>
      <c r="AP246" s="5788">
        <f>IF(Y246=0,0,Y246*AR235)</f>
        <v>0</v>
      </c>
      <c r="AQ246" s="5897" t="str">
        <f>IF(COUNTIF(AD258:AD268,U246)&gt;0,IF(ROUND(AP246,3)&gt;=1,ROUND(AP246,3)&amp;" L",ROUND(AP246*100,0)&amp;" cl"),IF(COUNTIF(AD269:AD279,U246)&gt;0,IF(ROUND(AP246,3)&gt;=1,ROUND(AP246,3)&amp;" Kg",ROUND(AP246*1000,0)&amp;" g"),""))</f>
        <v/>
      </c>
      <c r="AR246" s="5898">
        <f t="shared" si="63"/>
        <v>0</v>
      </c>
      <c r="AS246" s="7383"/>
      <c r="AT246" s="4"/>
      <c r="AU246" s="4"/>
      <c r="AV246" s="4"/>
      <c r="AW246" s="5818" t="str">
        <f t="shared" si="59"/>
        <v>►</v>
      </c>
      <c r="AX246" s="5950"/>
      <c r="AY246" s="5950"/>
      <c r="AZ246" s="5950"/>
      <c r="BA246" s="5950"/>
      <c r="BB246" s="5950"/>
      <c r="BC246" s="2"/>
      <c r="BD246"/>
      <c r="BE246"/>
      <c r="BF246"/>
      <c r="BG246"/>
      <c r="BH246"/>
      <c r="BI246"/>
      <c r="BJ246"/>
      <c r="BL246"/>
      <c r="BM246"/>
      <c r="BN246"/>
      <c r="BO246"/>
      <c r="BP246"/>
      <c r="BQ246"/>
      <c r="BR246"/>
      <c r="BT246"/>
      <c r="BU246"/>
      <c r="BV246"/>
      <c r="BX246" s="5">
        <v>1</v>
      </c>
    </row>
    <row r="247" spans="1:76" s="1" customFormat="1" ht="21" customHeight="1">
      <c r="A247" s="5641" t="s">
        <v>1</v>
      </c>
      <c r="B247" s="5662" t="str">
        <f t="shared" si="55"/>
        <v>►</v>
      </c>
      <c r="C247" s="5825" cm="1">
        <f t="array" ref="C247">SUMPRODUCT(LEN(D247:J247))</f>
        <v>0</v>
      </c>
      <c r="D247" s="5275"/>
      <c r="E247" s="1361"/>
      <c r="F247" s="1361"/>
      <c r="G247" s="1361"/>
      <c r="H247" s="1361"/>
      <c r="I247" s="1361"/>
      <c r="J247" s="5276"/>
      <c r="K247" s="106" t="s">
        <v>1</v>
      </c>
      <c r="L247" s="1021" t="str">
        <f t="shared" si="64"/>
        <v>►</v>
      </c>
      <c r="M247" s="41" t="str">
        <f>M239</f>
        <v>Coller la-cellule-identité.N.Nom de votre recette</v>
      </c>
      <c r="N247" s="40">
        <f>N239</f>
        <v>18</v>
      </c>
      <c r="O247" s="40" t="str">
        <f>O239</f>
        <v>assiettes</v>
      </c>
      <c r="P247" s="40" t="str">
        <f>P239</f>
        <v>Recette mère ► saisissez le nom de la recette mère</v>
      </c>
      <c r="Q247" s="213"/>
      <c r="R247" s="212"/>
      <c r="S247" s="211" t="str">
        <f t="shared" si="61"/>
        <v/>
      </c>
      <c r="T247" s="210"/>
      <c r="U247" s="5259"/>
      <c r="V247" s="5576">
        <v>1</v>
      </c>
      <c r="W247" s="6866"/>
      <c r="X247" s="6871"/>
      <c r="Y247" s="5882">
        <f>IFERROR(IFERROR(INDEX(Q259:AB259,MATCH(U247,Q258:AB258,0)),INDEX(Q261:AB261,MATCH(U247,Q260:AB260,0))) * T247 * IF(ISBLANK(Q247), 1, Q247), 0)</f>
        <v>0</v>
      </c>
      <c r="Z247" s="5256">
        <f>(Q247/AA238)*AA236*V247</f>
        <v>0</v>
      </c>
      <c r="AA247" s="5252">
        <f>IF(ISBLANK(AA238), 0, (Y247 * V247) * (AA236 / AA238))</f>
        <v>0</v>
      </c>
      <c r="AB247" s="5257" t="str">
        <f>IF(COUNTIF(Q258:AB258,U247)&gt;0,IF(ROUND(AA247,3)&gt;=1,ROUND(AA247,3)&amp;" L",ROUND(AA247*100,0)&amp;" cl"),IF(COUNTIF(Q260:AB260,U247)&gt;0,IF(ROUND(AA247,3)&gt;=1,ROUND(AA247,3)&amp;" Kg",ROUND(AA247*1000,0)&amp;" g"),""))</f>
        <v/>
      </c>
      <c r="AC247" s="5817" t="str">
        <f t="shared" si="65"/>
        <v>►</v>
      </c>
      <c r="AD247" s="5883">
        <f>IF(Y257=0,0,Y247*AD242*1000/Y257)</f>
        <v>0</v>
      </c>
      <c r="AE247" s="6053">
        <f>IF(ISNUMBER(Q247),Q247*AD242/Y257,0)</f>
        <v>0</v>
      </c>
      <c r="AF247" s="5885"/>
      <c r="AG247" s="5886"/>
      <c r="AH247" s="5886"/>
      <c r="AI247" s="5886"/>
      <c r="AJ247" s="5899">
        <f t="shared" si="66"/>
        <v>0</v>
      </c>
      <c r="AK247" s="5888">
        <f>IF(OR(ISTEXT(Q247),Y257=0),0,Q247*AR235)</f>
        <v>0</v>
      </c>
      <c r="AL247" s="5886"/>
      <c r="AM247" s="5889">
        <f t="shared" si="62"/>
        <v>0</v>
      </c>
      <c r="AN247" s="8558">
        <f t="shared" si="67"/>
        <v>0</v>
      </c>
      <c r="AO247" s="5886"/>
      <c r="AP247" s="5890">
        <f>IF(Y247=0,0,Y247*AR235)</f>
        <v>0</v>
      </c>
      <c r="AQ247" s="5891" t="str">
        <f>IF(COUNTIF(AD258:AD268,U247)&gt;0,IF(ROUND(AP247,3)&gt;=1,ROUND(AP247,3)&amp;" L",ROUND(AP247*100,0)&amp;" cl"),IF(COUNTIF(AD269:AD279,U247)&gt;0,IF(ROUND(AP247,3)&gt;=1,ROUND(AP247,3)&amp;" Kg",ROUND(AP247*1000,0)&amp;" g"),""))</f>
        <v/>
      </c>
      <c r="AR247" s="5892">
        <f t="shared" si="63"/>
        <v>0</v>
      </c>
      <c r="AS247" s="7383"/>
      <c r="AT247" s="4"/>
      <c r="AU247" s="4"/>
      <c r="AV247" s="4"/>
      <c r="AW247" s="5818" t="str">
        <f t="shared" si="59"/>
        <v>►</v>
      </c>
      <c r="AX247" s="5950"/>
      <c r="AY247" s="5950"/>
      <c r="AZ247" s="5950"/>
      <c r="BA247" s="5950"/>
      <c r="BB247" s="5950"/>
      <c r="BC247" s="2"/>
      <c r="BD247"/>
      <c r="BE247"/>
      <c r="BF247"/>
      <c r="BG247"/>
      <c r="BH247"/>
      <c r="BI247"/>
      <c r="BJ247"/>
      <c r="BL247"/>
      <c r="BM247"/>
      <c r="BN247"/>
      <c r="BO247"/>
      <c r="BP247"/>
      <c r="BQ247"/>
      <c r="BR247"/>
      <c r="BT247"/>
      <c r="BU247"/>
      <c r="BV247"/>
      <c r="BX247" s="5">
        <v>1</v>
      </c>
    </row>
    <row r="248" spans="1:76" s="1" customFormat="1" ht="21" customHeight="1">
      <c r="A248" s="5641" t="s">
        <v>1</v>
      </c>
      <c r="B248" s="5662" t="str">
        <f t="shared" si="55"/>
        <v>►</v>
      </c>
      <c r="C248" s="5825" cm="1">
        <f t="array" ref="C248">SUMPRODUCT(LEN(D248:J248))</f>
        <v>0</v>
      </c>
      <c r="D248" s="5275"/>
      <c r="E248" s="1361"/>
      <c r="F248" s="1361"/>
      <c r="G248" s="1361"/>
      <c r="H248" s="1361"/>
      <c r="I248" s="1361"/>
      <c r="J248" s="5276"/>
      <c r="K248" s="106" t="s">
        <v>1</v>
      </c>
      <c r="L248" s="1021" t="str">
        <f t="shared" si="64"/>
        <v>►</v>
      </c>
      <c r="M248" s="41" t="str">
        <f>M239</f>
        <v>Coller la-cellule-identité.N.Nom de votre recette</v>
      </c>
      <c r="N248" s="40">
        <f>N239</f>
        <v>18</v>
      </c>
      <c r="O248" s="40" t="str">
        <f>O239</f>
        <v>assiettes</v>
      </c>
      <c r="P248" s="40" t="str">
        <f>P239</f>
        <v>Recette mère ► saisissez le nom de la recette mère</v>
      </c>
      <c r="Q248" s="213"/>
      <c r="R248" s="212"/>
      <c r="S248" s="211" t="str">
        <f t="shared" si="61"/>
        <v/>
      </c>
      <c r="T248" s="210"/>
      <c r="U248" s="5259"/>
      <c r="V248" s="5576">
        <v>1</v>
      </c>
      <c r="W248" s="6866"/>
      <c r="X248" s="6871"/>
      <c r="Y248" s="5882">
        <f>IFERROR(IFERROR(INDEX(Q259:AB259,MATCH(U248,Q258:AB258,0)),INDEX(Q261:AB261,MATCH(U248,Q260:AB260,0))) * T248 * IF(ISBLANK(Q248), 1, Q248), 0)</f>
        <v>0</v>
      </c>
      <c r="Z248" s="5254">
        <f>(Q248/AA238)*AA236*V248</f>
        <v>0</v>
      </c>
      <c r="AA248" s="5252">
        <f>IF(ISBLANK(AA238), 0, (Y248 * V248) * (AA236 / AA238))</f>
        <v>0</v>
      </c>
      <c r="AB248" s="5255" t="str">
        <f>IF(COUNTIF(Q258:AB258,U248)&gt;0,IF(ROUND(AA248,3)&gt;=1,ROUND(AA248,3)&amp;" L",ROUND(AA248*100,0)&amp;" cl"),IF(COUNTIF(Q260:AB260,U248)&gt;0,IF(ROUND(AA248,3)&gt;=1,ROUND(AA248,3)&amp;" Kg",ROUND(AA248*1000,0)&amp;" g"),""))</f>
        <v/>
      </c>
      <c r="AC248" s="5817" t="str">
        <f t="shared" si="65"/>
        <v>►</v>
      </c>
      <c r="AD248" s="5883">
        <f>IF(Y257=0,0,Y248*AD242*1000/Y257)</f>
        <v>0</v>
      </c>
      <c r="AE248" s="6053">
        <f>IF(ISNUMBER(Q248),Q248*AD242/Y257,0)</f>
        <v>0</v>
      </c>
      <c r="AF248" s="5894"/>
      <c r="AG248" s="5804"/>
      <c r="AH248" s="5804"/>
      <c r="AI248" s="5804"/>
      <c r="AJ248" s="5902">
        <f t="shared" si="66"/>
        <v>0</v>
      </c>
      <c r="AK248" s="5896">
        <f>IF(OR(ISTEXT(Q248),Y257=0),0,Q248*AR235)</f>
        <v>0</v>
      </c>
      <c r="AL248" s="5804"/>
      <c r="AM248" s="5805">
        <f t="shared" si="62"/>
        <v>0</v>
      </c>
      <c r="AN248" s="5805">
        <f t="shared" si="67"/>
        <v>0</v>
      </c>
      <c r="AO248" s="5804"/>
      <c r="AP248" s="5788">
        <f>IF(Y248=0,0,Y248*AR235)</f>
        <v>0</v>
      </c>
      <c r="AQ248" s="5897" t="str">
        <f>IF(COUNTIF(AD258:AD268,U248)&gt;0,IF(ROUND(AP248,3)&gt;=1,ROUND(AP248,3)&amp;" L",ROUND(AP248*100,0)&amp;" cl"),IF(COUNTIF(AD269:AD279,U248)&gt;0,IF(ROUND(AP248,3)&gt;=1,ROUND(AP248,3)&amp;" Kg",ROUND(AP248*1000,0)&amp;" g"),""))</f>
        <v/>
      </c>
      <c r="AR248" s="5898">
        <f t="shared" si="63"/>
        <v>0</v>
      </c>
      <c r="AS248" s="7383"/>
      <c r="AT248" s="4"/>
      <c r="AU248" s="4"/>
      <c r="AV248" s="4"/>
      <c r="AW248" s="5818" t="str">
        <f t="shared" si="59"/>
        <v>►</v>
      </c>
      <c r="AX248" s="5950"/>
      <c r="AY248" s="5950"/>
      <c r="AZ248" s="5950"/>
      <c r="BA248" s="5950"/>
      <c r="BB248" s="5950"/>
      <c r="BC248" s="2"/>
      <c r="BD248"/>
      <c r="BE248"/>
      <c r="BF248"/>
      <c r="BG248"/>
      <c r="BH248"/>
      <c r="BI248"/>
      <c r="BJ248"/>
      <c r="BL248"/>
      <c r="BM248"/>
      <c r="BN248"/>
      <c r="BO248"/>
      <c r="BP248"/>
      <c r="BQ248"/>
      <c r="BR248"/>
      <c r="BT248"/>
      <c r="BU248"/>
      <c r="BV248"/>
      <c r="BX248" s="5">
        <v>1</v>
      </c>
    </row>
    <row r="249" spans="1:76" s="1" customFormat="1" ht="21" customHeight="1">
      <c r="A249" s="5641" t="s">
        <v>1</v>
      </c>
      <c r="B249" s="5662" t="str">
        <f t="shared" si="55"/>
        <v>►</v>
      </c>
      <c r="C249" s="5825" cm="1">
        <f t="array" ref="C249">SUMPRODUCT(LEN(D249:J249))</f>
        <v>0</v>
      </c>
      <c r="D249" s="5275"/>
      <c r="E249" s="1361"/>
      <c r="F249" s="1361"/>
      <c r="G249" s="1361"/>
      <c r="H249" s="1361"/>
      <c r="I249" s="1361"/>
      <c r="J249" s="5276"/>
      <c r="K249" s="106" t="s">
        <v>1</v>
      </c>
      <c r="L249" s="1021" t="str">
        <f t="shared" si="64"/>
        <v>►</v>
      </c>
      <c r="M249" s="41" t="str">
        <f>M239</f>
        <v>Coller la-cellule-identité.N.Nom de votre recette</v>
      </c>
      <c r="N249" s="40">
        <f>N239</f>
        <v>18</v>
      </c>
      <c r="O249" s="40" t="str">
        <f>O239</f>
        <v>assiettes</v>
      </c>
      <c r="P249" s="40" t="str">
        <f>P239</f>
        <v>Recette mère ► saisissez le nom de la recette mère</v>
      </c>
      <c r="Q249" s="213"/>
      <c r="R249" s="212"/>
      <c r="S249" s="211" t="str">
        <f t="shared" si="61"/>
        <v/>
      </c>
      <c r="T249" s="210"/>
      <c r="U249" s="5259"/>
      <c r="V249" s="5576">
        <v>1</v>
      </c>
      <c r="W249" s="6866"/>
      <c r="X249" s="6871"/>
      <c r="Y249" s="5882">
        <f>IFERROR(IFERROR(INDEX(Q259:AB259,MATCH(U249,Q258:AB258,0)),INDEX(Q261:AB261,MATCH(U249,Q260:AB260,0))) * T249 * IF(ISBLANK(Q249), 1, Q249), 0)</f>
        <v>0</v>
      </c>
      <c r="Z249" s="5256">
        <f>(Q249/AA238)*AA236*V249</f>
        <v>0</v>
      </c>
      <c r="AA249" s="5252">
        <f>IF(ISBLANK(AA238), 0, (Y249 * V249) * (AA236 / AA238))</f>
        <v>0</v>
      </c>
      <c r="AB249" s="5258" t="str">
        <f>IF(COUNTIF(Q258:AB258,U249)&gt;0,IF(ROUND(AA249,3)&gt;=1,ROUND(AA249,3)&amp;" L",ROUND(AA249*100,0)&amp;" cl"),IF(COUNTIF(Q260:AB260,U249)&gt;0,IF(ROUND(AA249,3)&gt;=1,ROUND(AA249,3)&amp;" Kg",ROUND(AA249*1000,0)&amp;" g"),""))</f>
        <v/>
      </c>
      <c r="AC249" s="5817" t="str">
        <f t="shared" si="65"/>
        <v>►</v>
      </c>
      <c r="AD249" s="5883">
        <f>IF(Y257=0,0,Y249*AD242*1000/Y257)</f>
        <v>0</v>
      </c>
      <c r="AE249" s="6053">
        <f>IF(ISNUMBER(Q249),Q249*AD242/Y257,0)</f>
        <v>0</v>
      </c>
      <c r="AF249" s="5885"/>
      <c r="AG249" s="5886"/>
      <c r="AH249" s="5886"/>
      <c r="AI249" s="5886"/>
      <c r="AJ249" s="5899">
        <f t="shared" si="66"/>
        <v>0</v>
      </c>
      <c r="AK249" s="5888">
        <f>IF(OR(ISTEXT(Q249),Y257=0),0,Q249*AR235)</f>
        <v>0</v>
      </c>
      <c r="AL249" s="5886"/>
      <c r="AM249" s="5889">
        <f t="shared" si="62"/>
        <v>0</v>
      </c>
      <c r="AN249" s="8558">
        <f t="shared" si="67"/>
        <v>0</v>
      </c>
      <c r="AO249" s="5886"/>
      <c r="AP249" s="5890">
        <f>IF(Y249=0,0,Y249*AR235)</f>
        <v>0</v>
      </c>
      <c r="AQ249" s="5891" t="str">
        <f>IF(COUNTIF(AD258:AD268,U249)&gt;0,IF(ROUND(AP249,3)&gt;=1,ROUND(AP249,3)&amp;" L",ROUND(AP249*100,0)&amp;" cl"),IF(COUNTIF(AD269:AD279,U249)&gt;0,IF(ROUND(AP249,3)&gt;=1,ROUND(AP249,3)&amp;" Kg",ROUND(AP249*1000,0)&amp;" g"),""))</f>
        <v/>
      </c>
      <c r="AR249" s="5892">
        <f t="shared" si="63"/>
        <v>0</v>
      </c>
      <c r="AS249" s="7383"/>
      <c r="AT249" s="4"/>
      <c r="AU249" s="4"/>
      <c r="AV249" s="4"/>
      <c r="AW249" s="5818" t="str">
        <f t="shared" si="59"/>
        <v>►</v>
      </c>
      <c r="AX249" s="5950"/>
      <c r="AY249" s="5950"/>
      <c r="AZ249" s="5950"/>
      <c r="BA249" s="5950"/>
      <c r="BB249" s="5950"/>
      <c r="BC249" s="2"/>
      <c r="BD249"/>
      <c r="BE249"/>
      <c r="BF249"/>
      <c r="BG249"/>
      <c r="BH249"/>
      <c r="BI249"/>
      <c r="BJ249"/>
      <c r="BL249"/>
      <c r="BM249"/>
      <c r="BN249"/>
      <c r="BO249"/>
      <c r="BP249"/>
      <c r="BQ249"/>
      <c r="BR249"/>
      <c r="BT249"/>
      <c r="BU249"/>
      <c r="BV249"/>
      <c r="BX249" s="5">
        <v>1</v>
      </c>
    </row>
    <row r="250" spans="1:76" s="1" customFormat="1" ht="21" customHeight="1">
      <c r="A250" s="5641" t="s">
        <v>1</v>
      </c>
      <c r="B250" s="5662" t="str">
        <f t="shared" si="55"/>
        <v>►</v>
      </c>
      <c r="C250" s="5825" cm="1">
        <f t="array" ref="C250">SUMPRODUCT(LEN(D250:J250))</f>
        <v>0</v>
      </c>
      <c r="D250" s="5275"/>
      <c r="E250" s="1361"/>
      <c r="F250" s="1361"/>
      <c r="G250" s="1361"/>
      <c r="H250" s="1361"/>
      <c r="I250" s="1361"/>
      <c r="J250" s="5276"/>
      <c r="K250" s="106" t="s">
        <v>1</v>
      </c>
      <c r="L250" s="1021" t="str">
        <f t="shared" si="64"/>
        <v>►</v>
      </c>
      <c r="M250" s="41" t="str">
        <f>M239</f>
        <v>Coller la-cellule-identité.N.Nom de votre recette</v>
      </c>
      <c r="N250" s="40">
        <f>N239</f>
        <v>18</v>
      </c>
      <c r="O250" s="40" t="str">
        <f>O239</f>
        <v>assiettes</v>
      </c>
      <c r="P250" s="40" t="str">
        <f>P239</f>
        <v>Recette mère ► saisissez le nom de la recette mère</v>
      </c>
      <c r="Q250" s="213"/>
      <c r="R250" s="212"/>
      <c r="S250" s="211" t="str">
        <f t="shared" si="61"/>
        <v/>
      </c>
      <c r="T250" s="210"/>
      <c r="U250" s="5259"/>
      <c r="V250" s="5576">
        <v>1</v>
      </c>
      <c r="W250" s="6866"/>
      <c r="X250" s="6871"/>
      <c r="Y250" s="5882">
        <f>IFERROR(IFERROR(INDEX(Q259:AB259,MATCH(U250,Q258:AB258,0)),INDEX(Q261:AB261,MATCH(U250,Q260:AB260,0))) * T250 * IF(ISBLANK(Q250), 1, Q250), 0)</f>
        <v>0</v>
      </c>
      <c r="Z250" s="5254">
        <f>(Q250/AA238)*AA236*V250</f>
        <v>0</v>
      </c>
      <c r="AA250" s="5252">
        <f>IF(ISBLANK(AA238), 0, (Y250 * V250) * (AA236 / AA238))</f>
        <v>0</v>
      </c>
      <c r="AB250" s="5255" t="str">
        <f>IF(COUNTIF(Q258:AB258,U250)&gt;0,IF(ROUND(AA250,3)&gt;=1,ROUND(AA250,3)&amp;" L",ROUND(AA250*100,0)&amp;" cl"),IF(COUNTIF(Q260:AB260,U250)&gt;0,IF(ROUND(AA250,3)&gt;=1,ROUND(AA250,3)&amp;" Kg",ROUND(AA250*1000,0)&amp;" g"),""))</f>
        <v/>
      </c>
      <c r="AC250" s="5817" t="str">
        <f t="shared" si="65"/>
        <v>►</v>
      </c>
      <c r="AD250" s="5883">
        <f>IF(Y257=0,0,Y250*AD242*1000/Y257)</f>
        <v>0</v>
      </c>
      <c r="AE250" s="6053">
        <f>IF(ISNUMBER(Q250),Q250*AD242/Y257,0)</f>
        <v>0</v>
      </c>
      <c r="AF250" s="5894"/>
      <c r="AG250" s="5804"/>
      <c r="AH250" s="5804"/>
      <c r="AI250" s="5804"/>
      <c r="AJ250" s="5902">
        <f t="shared" si="66"/>
        <v>0</v>
      </c>
      <c r="AK250" s="5896">
        <f>IF(OR(ISTEXT(Q250),Y257=0),0,Q250*AR235)</f>
        <v>0</v>
      </c>
      <c r="AL250" s="5804"/>
      <c r="AM250" s="5805">
        <f t="shared" si="62"/>
        <v>0</v>
      </c>
      <c r="AN250" s="5805">
        <f t="shared" si="67"/>
        <v>0</v>
      </c>
      <c r="AO250" s="5804"/>
      <c r="AP250" s="5788">
        <f>IF(Y250=0,0,Y250*AR235)</f>
        <v>0</v>
      </c>
      <c r="AQ250" s="5897" t="str">
        <f>IF(COUNTIF(AD258:AD268,U250)&gt;0,IF(ROUND(AP250,3)&gt;=1,ROUND(AP250,3)&amp;" L",ROUND(AP250*100,0)&amp;" cl"),IF(COUNTIF(AD269:AD279,U250)&gt;0,IF(ROUND(AP250,3)&gt;=1,ROUND(AP250,3)&amp;" Kg",ROUND(AP250*1000,0)&amp;" g"),""))</f>
        <v/>
      </c>
      <c r="AR250" s="5898">
        <f t="shared" si="63"/>
        <v>0</v>
      </c>
      <c r="AS250" s="7383"/>
      <c r="AT250" s="4"/>
      <c r="AU250" s="4"/>
      <c r="AV250" s="4"/>
      <c r="AW250" s="5818" t="str">
        <f t="shared" si="59"/>
        <v>►</v>
      </c>
      <c r="AX250" s="5950"/>
      <c r="AY250" s="5950"/>
      <c r="AZ250" s="5950"/>
      <c r="BA250" s="5950"/>
      <c r="BB250" s="5950"/>
      <c r="BC250" s="2"/>
      <c r="BD250"/>
      <c r="BE250"/>
      <c r="BF250"/>
      <c r="BG250"/>
      <c r="BH250"/>
      <c r="BI250"/>
      <c r="BJ250"/>
      <c r="BL250"/>
      <c r="BM250"/>
      <c r="BN250"/>
      <c r="BO250"/>
      <c r="BP250"/>
      <c r="BQ250"/>
      <c r="BR250"/>
      <c r="BT250"/>
      <c r="BU250"/>
      <c r="BV250"/>
      <c r="BX250" s="5">
        <v>1</v>
      </c>
    </row>
    <row r="251" spans="1:76" s="1" customFormat="1" ht="21" customHeight="1">
      <c r="A251" s="5641" t="s">
        <v>1</v>
      </c>
      <c r="B251" s="5662" t="str">
        <f t="shared" si="55"/>
        <v>►</v>
      </c>
      <c r="C251" s="5825" cm="1">
        <f t="array" ref="C251">SUMPRODUCT(LEN(D251:J251))</f>
        <v>0</v>
      </c>
      <c r="D251" s="5275"/>
      <c r="E251" s="1361"/>
      <c r="F251" s="1361"/>
      <c r="G251" s="1361"/>
      <c r="H251" s="1361"/>
      <c r="I251" s="1361"/>
      <c r="J251" s="5276"/>
      <c r="K251" s="106" t="s">
        <v>1</v>
      </c>
      <c r="L251" s="1021" t="str">
        <f t="shared" si="64"/>
        <v>►</v>
      </c>
      <c r="M251" s="41" t="str">
        <f>M239</f>
        <v>Coller la-cellule-identité.N.Nom de votre recette</v>
      </c>
      <c r="N251" s="40">
        <f>N239</f>
        <v>18</v>
      </c>
      <c r="O251" s="40" t="str">
        <f>O239</f>
        <v>assiettes</v>
      </c>
      <c r="P251" s="40" t="str">
        <f>P239</f>
        <v>Recette mère ► saisissez le nom de la recette mère</v>
      </c>
      <c r="Q251" s="213"/>
      <c r="R251" s="212"/>
      <c r="S251" s="211" t="str">
        <f t="shared" si="61"/>
        <v/>
      </c>
      <c r="T251" s="210"/>
      <c r="U251" s="5259"/>
      <c r="V251" s="5576">
        <v>1</v>
      </c>
      <c r="W251" s="6866"/>
      <c r="X251" s="6871"/>
      <c r="Y251" s="5882">
        <f>IFERROR(IFERROR(INDEX(Q259:AB259,MATCH(U251,Q258:AB258,0)),INDEX(Q261:AB261,MATCH(U251,Q260:AB260,0))) * T251 * IF(ISBLANK(Q251), 1, Q251), 0)</f>
        <v>0</v>
      </c>
      <c r="Z251" s="5256">
        <f>(Q251/AA238)*AA236*V251</f>
        <v>0</v>
      </c>
      <c r="AA251" s="5252">
        <f>IF(ISBLANK(AA238), 0, (Y251 * V251) * (AA236 / AA238))</f>
        <v>0</v>
      </c>
      <c r="AB251" s="5258" t="str">
        <f>IF(COUNTIF(Q258:AB258,U251)&gt;0,IF(ROUND(AA251,3)&gt;=1,ROUND(AA251,3)&amp;" L",ROUND(AA251*100,0)&amp;" cl"),IF(COUNTIF(Q260:AB260,U251)&gt;0,IF(ROUND(AA251,3)&gt;=1,ROUND(AA251,3)&amp;" Kg",ROUND(AA251*1000,0)&amp;" g"),""))</f>
        <v/>
      </c>
      <c r="AC251" s="5817" t="str">
        <f t="shared" si="65"/>
        <v>►</v>
      </c>
      <c r="AD251" s="5883">
        <f>IF(Y257=0,0,Y251*AD242*1000/Y257)</f>
        <v>0</v>
      </c>
      <c r="AE251" s="6053">
        <f>IF(ISNUMBER(Q251),Q251*AD242/Y257,0)</f>
        <v>0</v>
      </c>
      <c r="AF251" s="5885"/>
      <c r="AG251" s="5886"/>
      <c r="AH251" s="5886"/>
      <c r="AI251" s="5886"/>
      <c r="AJ251" s="5899">
        <f t="shared" si="66"/>
        <v>0</v>
      </c>
      <c r="AK251" s="5888">
        <f>IF(OR(ISTEXT(Q251),Y257=0),0,Q251*AR235)</f>
        <v>0</v>
      </c>
      <c r="AL251" s="5886"/>
      <c r="AM251" s="5889">
        <f t="shared" si="62"/>
        <v>0</v>
      </c>
      <c r="AN251" s="8558">
        <f t="shared" si="67"/>
        <v>0</v>
      </c>
      <c r="AO251" s="5886"/>
      <c r="AP251" s="5890">
        <f>IF(Y251=0,0,Y251*AR235)</f>
        <v>0</v>
      </c>
      <c r="AQ251" s="5891" t="str">
        <f>IF(COUNTIF(AD258:AD268,U251)&gt;0,IF(ROUND(AP251,3)&gt;=1,ROUND(AP251,3)&amp;" L",ROUND(AP251*100,0)&amp;" cl"),IF(COUNTIF(AD269:AD279,U251)&gt;0,IF(ROUND(AP251,3)&gt;=1,ROUND(AP251,3)&amp;" Kg",ROUND(AP251*1000,0)&amp;" g"),""))</f>
        <v/>
      </c>
      <c r="AR251" s="5892">
        <f t="shared" si="63"/>
        <v>0</v>
      </c>
      <c r="AS251" s="7383"/>
      <c r="AT251" s="4"/>
      <c r="AU251" s="4"/>
      <c r="AV251" s="4"/>
      <c r="AW251" s="5818" t="str">
        <f t="shared" si="59"/>
        <v>►</v>
      </c>
      <c r="AX251" s="5950"/>
      <c r="AY251" s="5950"/>
      <c r="AZ251" s="5950"/>
      <c r="BA251" s="5950"/>
      <c r="BB251" s="5950"/>
      <c r="BC251" s="2"/>
      <c r="BD251"/>
      <c r="BE251"/>
      <c r="BF251"/>
      <c r="BG251"/>
      <c r="BH251"/>
      <c r="BI251"/>
      <c r="BJ251"/>
      <c r="BL251"/>
      <c r="BM251"/>
      <c r="BN251"/>
      <c r="BO251"/>
      <c r="BP251"/>
      <c r="BQ251"/>
      <c r="BR251"/>
      <c r="BT251"/>
      <c r="BU251"/>
      <c r="BV251"/>
      <c r="BX251" s="5">
        <v>1</v>
      </c>
    </row>
    <row r="252" spans="1:76" s="1" customFormat="1" ht="21" customHeight="1">
      <c r="A252" s="5641" t="s">
        <v>1</v>
      </c>
      <c r="B252" s="5662" t="str">
        <f t="shared" si="55"/>
        <v>►</v>
      </c>
      <c r="C252" s="5825" cm="1">
        <f t="array" ref="C252">SUMPRODUCT(LEN(D252:J252))</f>
        <v>0</v>
      </c>
      <c r="D252" s="5275"/>
      <c r="E252" s="1361"/>
      <c r="F252" s="1361"/>
      <c r="G252" s="1361"/>
      <c r="H252" s="1361"/>
      <c r="I252" s="1361"/>
      <c r="J252" s="5276"/>
      <c r="K252" s="106" t="s">
        <v>1</v>
      </c>
      <c r="L252" s="1021" t="str">
        <f t="shared" si="64"/>
        <v>►</v>
      </c>
      <c r="M252" s="41" t="str">
        <f>M239</f>
        <v>Coller la-cellule-identité.N.Nom de votre recette</v>
      </c>
      <c r="N252" s="40">
        <f>N239</f>
        <v>18</v>
      </c>
      <c r="O252" s="40" t="str">
        <f>O239</f>
        <v>assiettes</v>
      </c>
      <c r="P252" s="40" t="str">
        <f>P239</f>
        <v>Recette mère ► saisissez le nom de la recette mère</v>
      </c>
      <c r="Q252" s="213"/>
      <c r="R252" s="212"/>
      <c r="S252" s="211" t="str">
        <f t="shared" si="61"/>
        <v/>
      </c>
      <c r="T252" s="210"/>
      <c r="U252" s="5259"/>
      <c r="V252" s="5576">
        <v>1</v>
      </c>
      <c r="W252" s="6866"/>
      <c r="X252" s="6871"/>
      <c r="Y252" s="5882">
        <f>IFERROR(IFERROR(INDEX(Q259:AB259,MATCH(U252,Q258:AB258,0)),INDEX(Q261:AB261,MATCH(U252,Q260:AB260,0))) * T252 * IF(ISBLANK(Q252), 1, Q252), 0)</f>
        <v>0</v>
      </c>
      <c r="Z252" s="5254">
        <f>(Q252/AA238)*AA236*V252</f>
        <v>0</v>
      </c>
      <c r="AA252" s="5252">
        <f>IF(ISBLANK(AA238), 0, (Y252 * V252) * (AA236 / AA238))</f>
        <v>0</v>
      </c>
      <c r="AB252" s="5255" t="str">
        <f>IF(COUNTIF(Q258:AB258,U252)&gt;0,IF(ROUND(AA252,3)&gt;=1,ROUND(AA252,3)&amp;" L",ROUND(AA252*100,0)&amp;" cl"),IF(COUNTIF(Q260:AB260,U252)&gt;0,IF(ROUND(AA252,3)&gt;=1,ROUND(AA252,3)&amp;" Kg",ROUND(AA252*1000,0)&amp;" g"),""))</f>
        <v/>
      </c>
      <c r="AC252" s="5817" t="str">
        <f t="shared" si="65"/>
        <v>►</v>
      </c>
      <c r="AD252" s="5883">
        <f>IF(Y257=0,0,Y252*AD242*1000/Y257)</f>
        <v>0</v>
      </c>
      <c r="AE252" s="6053">
        <f>IF(ISNUMBER(Q252),Q252*AD242/Y257,0)</f>
        <v>0</v>
      </c>
      <c r="AF252" s="5894"/>
      <c r="AG252" s="5804"/>
      <c r="AH252" s="5804"/>
      <c r="AI252" s="5804"/>
      <c r="AJ252" s="5902">
        <f t="shared" si="66"/>
        <v>0</v>
      </c>
      <c r="AK252" s="5896">
        <f>IF(OR(ISTEXT(Q252),Y257=0),0,Q252*AR235)</f>
        <v>0</v>
      </c>
      <c r="AL252" s="5804"/>
      <c r="AM252" s="5805">
        <f t="shared" si="62"/>
        <v>0</v>
      </c>
      <c r="AN252" s="5805">
        <f t="shared" si="67"/>
        <v>0</v>
      </c>
      <c r="AO252" s="5804"/>
      <c r="AP252" s="5788">
        <f>IF(Y252=0,0,Y252*AR235)</f>
        <v>0</v>
      </c>
      <c r="AQ252" s="5897" t="str">
        <f>IF(COUNTIF(AD258:AD268,U252)&gt;0,IF(ROUND(AP252,3)&gt;=1,ROUND(AP252,3)&amp;" L",ROUND(AP252*100,0)&amp;" cl"),IF(COUNTIF(AD269:AD279,U252)&gt;0,IF(ROUND(AP252,3)&gt;=1,ROUND(AP252,3)&amp;" Kg",ROUND(AP252*1000,0)&amp;" g"),""))</f>
        <v/>
      </c>
      <c r="AR252" s="5898">
        <f t="shared" si="63"/>
        <v>0</v>
      </c>
      <c r="AS252" s="7383"/>
      <c r="AT252" s="4"/>
      <c r="AU252" s="4"/>
      <c r="AV252" s="4"/>
      <c r="AW252" s="5818" t="str">
        <f t="shared" si="59"/>
        <v>►</v>
      </c>
      <c r="AX252" s="5950"/>
      <c r="AY252" s="5950"/>
      <c r="AZ252" s="5950"/>
      <c r="BA252" s="5950"/>
      <c r="BB252" s="5950"/>
      <c r="BC252" s="2"/>
      <c r="BD252"/>
      <c r="BE252"/>
      <c r="BF252"/>
      <c r="BG252"/>
      <c r="BH252"/>
      <c r="BI252"/>
      <c r="BJ252"/>
      <c r="BL252"/>
      <c r="BM252"/>
      <c r="BN252"/>
      <c r="BO252"/>
      <c r="BP252"/>
      <c r="BQ252"/>
      <c r="BR252"/>
      <c r="BT252"/>
      <c r="BU252"/>
      <c r="BV252"/>
      <c r="BX252" s="5">
        <v>1</v>
      </c>
    </row>
    <row r="253" spans="1:76" s="1" customFormat="1" ht="21" customHeight="1">
      <c r="A253" s="5641" t="s">
        <v>1</v>
      </c>
      <c r="B253" s="5662" t="str">
        <f t="shared" si="55"/>
        <v>►</v>
      </c>
      <c r="C253" s="5825" cm="1">
        <f t="array" ref="C253">SUMPRODUCT(LEN(D253:J253))</f>
        <v>0</v>
      </c>
      <c r="D253" s="5275"/>
      <c r="E253" s="1361"/>
      <c r="F253" s="1361"/>
      <c r="G253" s="1361"/>
      <c r="H253" s="1361"/>
      <c r="I253" s="1361"/>
      <c r="J253" s="5276"/>
      <c r="K253" s="106" t="s">
        <v>1</v>
      </c>
      <c r="L253" s="1021" t="str">
        <f t="shared" si="64"/>
        <v>►</v>
      </c>
      <c r="M253" s="41" t="str">
        <f>M239</f>
        <v>Coller la-cellule-identité.N.Nom de votre recette</v>
      </c>
      <c r="N253" s="40">
        <f>N239</f>
        <v>18</v>
      </c>
      <c r="O253" s="40" t="str">
        <f>O239</f>
        <v>assiettes</v>
      </c>
      <c r="P253" s="40" t="str">
        <f>P239</f>
        <v>Recette mère ► saisissez le nom de la recette mère</v>
      </c>
      <c r="Q253" s="213"/>
      <c r="R253" s="212"/>
      <c r="S253" s="211" t="str">
        <f t="shared" si="61"/>
        <v/>
      </c>
      <c r="T253" s="210"/>
      <c r="U253" s="5259"/>
      <c r="V253" s="5576">
        <v>1</v>
      </c>
      <c r="W253" s="6866"/>
      <c r="X253" s="6871"/>
      <c r="Y253" s="5882">
        <f>IFERROR(IFERROR(INDEX(Q259:AB259,MATCH(U253,Q258:AB258,0)),INDEX(Q261:AB261,MATCH(U253,Q260:AB260,0))) * T253 * IF(ISBLANK(Q253), 1, Q253), 0)</f>
        <v>0</v>
      </c>
      <c r="Z253" s="5256">
        <f>(Q253/AA238)*AA236*V253</f>
        <v>0</v>
      </c>
      <c r="AA253" s="5252">
        <f>IF(ISBLANK(AA238), 0, (Y253 * V253) * (AA236 / AA238))</f>
        <v>0</v>
      </c>
      <c r="AB253" s="5260" t="str">
        <f>IF(COUNTIF(Q258:AB258,U253)&gt;0,IF(ROUND(AA253,3)&gt;=1,ROUND(AA253,3)&amp;" L",ROUND(AA253*100,0)&amp;" cl"),IF(COUNTIF(Q260:AB260,U253)&gt;0,IF(ROUND(AA253,3)&gt;=1,ROUND(AA253,3)&amp;" Kg",ROUND(AA253*1000,0)&amp;" g"),""))</f>
        <v/>
      </c>
      <c r="AC253" s="5817" t="str">
        <f t="shared" si="65"/>
        <v>►</v>
      </c>
      <c r="AD253" s="5883">
        <f>IF(Y257=0,0,Y253*AD242*1000/Y257)</f>
        <v>0</v>
      </c>
      <c r="AE253" s="6053">
        <f>IF(ISNUMBER(Q253),Q253*AD242/Y257,0)</f>
        <v>0</v>
      </c>
      <c r="AF253" s="5885"/>
      <c r="AG253" s="5886"/>
      <c r="AH253" s="5886"/>
      <c r="AI253" s="5886"/>
      <c r="AJ253" s="5899">
        <f t="shared" si="66"/>
        <v>0</v>
      </c>
      <c r="AK253" s="5888">
        <f>IF(OR(ISTEXT(Q253),Y257=0),0,Q253*AR235)</f>
        <v>0</v>
      </c>
      <c r="AL253" s="5886"/>
      <c r="AM253" s="5889">
        <f t="shared" si="62"/>
        <v>0</v>
      </c>
      <c r="AN253" s="8558">
        <f t="shared" si="67"/>
        <v>0</v>
      </c>
      <c r="AO253" s="5886"/>
      <c r="AP253" s="5890">
        <f>IF(Y253=0,0,Y253*AR235)</f>
        <v>0</v>
      </c>
      <c r="AQ253" s="5891" t="str">
        <f>IF(COUNTIF(AD258:AD268,U253)&gt;0,IF(ROUND(AP253,3)&gt;=1,ROUND(AP253,3)&amp;" L",ROUND(AP253*100,0)&amp;" cl"),IF(COUNTIF(AD269:AD279,U253)&gt;0,IF(ROUND(AP253,3)&gt;=1,ROUND(AP253,3)&amp;" Kg",ROUND(AP253*1000,0)&amp;" g"),""))</f>
        <v/>
      </c>
      <c r="AR253" s="5892">
        <f t="shared" si="63"/>
        <v>0</v>
      </c>
      <c r="AS253" s="7383"/>
      <c r="AT253" s="4"/>
      <c r="AU253" s="4"/>
      <c r="AV253" s="4"/>
      <c r="AW253" s="5818" t="str">
        <f t="shared" si="59"/>
        <v>►</v>
      </c>
      <c r="AX253" s="5950"/>
      <c r="AY253" s="5950"/>
      <c r="AZ253" s="5950"/>
      <c r="BA253" s="5950"/>
      <c r="BB253" s="5950"/>
      <c r="BC253" s="2"/>
      <c r="BD253"/>
      <c r="BE253"/>
      <c r="BF253"/>
      <c r="BG253"/>
      <c r="BH253"/>
      <c r="BI253"/>
      <c r="BJ253"/>
      <c r="BL253"/>
      <c r="BM253"/>
      <c r="BN253"/>
      <c r="BO253"/>
      <c r="BP253"/>
      <c r="BQ253"/>
      <c r="BR253"/>
      <c r="BT253"/>
      <c r="BU253"/>
      <c r="BV253"/>
      <c r="BX253" s="5">
        <v>1</v>
      </c>
    </row>
    <row r="254" spans="1:76" s="1" customFormat="1" ht="21" customHeight="1">
      <c r="A254" s="5641" t="s">
        <v>1</v>
      </c>
      <c r="B254" s="5662" t="str">
        <f t="shared" si="55"/>
        <v>►</v>
      </c>
      <c r="C254" s="5825" cm="1">
        <f t="array" ref="C254">SUMPRODUCT(LEN(D254:J254))</f>
        <v>0</v>
      </c>
      <c r="D254" s="5275"/>
      <c r="E254" s="1361"/>
      <c r="F254" s="1361"/>
      <c r="G254" s="1361"/>
      <c r="H254" s="1361"/>
      <c r="I254" s="1361"/>
      <c r="J254" s="5276"/>
      <c r="K254" s="106" t="s">
        <v>1</v>
      </c>
      <c r="L254" s="1021" t="str">
        <f t="shared" si="64"/>
        <v>►</v>
      </c>
      <c r="M254" s="41" t="str">
        <f>M239</f>
        <v>Coller la-cellule-identité.N.Nom de votre recette</v>
      </c>
      <c r="N254" s="40">
        <f>N239</f>
        <v>18</v>
      </c>
      <c r="O254" s="40" t="str">
        <f>O239</f>
        <v>assiettes</v>
      </c>
      <c r="P254" s="40" t="str">
        <f>P239</f>
        <v>Recette mère ► saisissez le nom de la recette mère</v>
      </c>
      <c r="Q254" s="213"/>
      <c r="R254" s="212"/>
      <c r="S254" s="211" t="str">
        <f t="shared" si="61"/>
        <v/>
      </c>
      <c r="T254" s="210"/>
      <c r="U254" s="5259"/>
      <c r="V254" s="5576">
        <v>1</v>
      </c>
      <c r="W254" s="6866"/>
      <c r="X254" s="6871"/>
      <c r="Y254" s="5882">
        <f>IFERROR(IFERROR(INDEX(Q259:AB259,MATCH(U254,Q258:AB258,0)),INDEX(Q261:AB261,MATCH(U254,Q260:AB260,0))) * T254 * IF(ISBLANK(Q254), 1, Q254), 0)</f>
        <v>0</v>
      </c>
      <c r="Z254" s="5254">
        <f>(Q254/AA238)*AA236*V254</f>
        <v>0</v>
      </c>
      <c r="AA254" s="5252">
        <f>IF(ISBLANK(AA238), 0, (Y254 * V254) * (AA236 / AA238))</f>
        <v>0</v>
      </c>
      <c r="AB254" s="5255" t="str">
        <f>IF(COUNTIF(Q258:AB258,U254)&gt;0,IF(ROUND(AA254,3)&gt;=1,ROUND(AA254,3)&amp;" L",ROUND(AA254*100,0)&amp;" cl"),IF(COUNTIF(Q260:AB260,U254)&gt;0,IF(ROUND(AA254,3)&gt;=1,ROUND(AA254,3)&amp;" Kg",ROUND(AA254*1000,0)&amp;" g"),""))</f>
        <v/>
      </c>
      <c r="AC254" s="5817" t="str">
        <f t="shared" si="65"/>
        <v>►</v>
      </c>
      <c r="AD254" s="5883">
        <f>IF(Y257=0,0,Y254*AD242*1000/Y257)</f>
        <v>0</v>
      </c>
      <c r="AE254" s="6053">
        <f>IF(ISNUMBER(Q254),Q254*AD242/Y257,0)</f>
        <v>0</v>
      </c>
      <c r="AF254" s="5894"/>
      <c r="AG254" s="5804"/>
      <c r="AH254" s="5804"/>
      <c r="AI254" s="5804"/>
      <c r="AJ254" s="5902">
        <f t="shared" si="66"/>
        <v>0</v>
      </c>
      <c r="AK254" s="5896">
        <f>IF(OR(ISTEXT(Q254),Y257=0),0,Q254*AR235)</f>
        <v>0</v>
      </c>
      <c r="AL254" s="5804"/>
      <c r="AM254" s="5805">
        <f t="shared" si="62"/>
        <v>0</v>
      </c>
      <c r="AN254" s="5805">
        <f t="shared" si="67"/>
        <v>0</v>
      </c>
      <c r="AO254" s="5804"/>
      <c r="AP254" s="5788">
        <f>IF(Y254=0,0,Y254*AR235)</f>
        <v>0</v>
      </c>
      <c r="AQ254" s="5897" t="str">
        <f>IF(COUNTIF(AD258:AD268,U254)&gt;0,IF(ROUND(AP254,3)&gt;=1,ROUND(AP254,3)&amp;" L",ROUND(AP254*100,0)&amp;" cl"),IF(COUNTIF(AD269:AD279,U254)&gt;0,IF(ROUND(AP254,3)&gt;=1,ROUND(AP254,3)&amp;" Kg",ROUND(AP254*1000,0)&amp;" g"),""))</f>
        <v/>
      </c>
      <c r="AR254" s="5898">
        <f t="shared" si="63"/>
        <v>0</v>
      </c>
      <c r="AS254" s="7383"/>
      <c r="AT254" s="4"/>
      <c r="AU254" s="4"/>
      <c r="AV254" s="4"/>
      <c r="AW254" s="5818" t="str">
        <f t="shared" si="59"/>
        <v>►</v>
      </c>
      <c r="AX254" s="5950"/>
      <c r="AY254" s="5950"/>
      <c r="AZ254" s="5950"/>
      <c r="BA254" s="5950"/>
      <c r="BB254" s="5950"/>
      <c r="BC254" s="2"/>
      <c r="BD254"/>
      <c r="BE254"/>
      <c r="BF254"/>
      <c r="BG254"/>
      <c r="BH254"/>
      <c r="BI254"/>
      <c r="BJ254"/>
      <c r="BL254"/>
      <c r="BM254"/>
      <c r="BN254"/>
      <c r="BO254"/>
      <c r="BP254"/>
      <c r="BQ254"/>
      <c r="BR254"/>
      <c r="BT254"/>
      <c r="BU254"/>
      <c r="BV254"/>
      <c r="BX254" s="5">
        <v>1</v>
      </c>
    </row>
    <row r="255" spans="1:76" s="1" customFormat="1" ht="21" customHeight="1">
      <c r="A255" s="5641" t="s">
        <v>1</v>
      </c>
      <c r="B255" s="5662" t="str">
        <f t="shared" si="55"/>
        <v>►</v>
      </c>
      <c r="C255" s="5825" cm="1">
        <f t="array" ref="C255">SUMPRODUCT(LEN(D255:J255))</f>
        <v>0</v>
      </c>
      <c r="D255" s="5275"/>
      <c r="E255" s="1361"/>
      <c r="F255" s="1361"/>
      <c r="G255" s="1361"/>
      <c r="H255" s="1361"/>
      <c r="I255" s="1361"/>
      <c r="J255" s="5276"/>
      <c r="K255" s="106" t="s">
        <v>1</v>
      </c>
      <c r="L255" s="1021" t="str">
        <f t="shared" si="64"/>
        <v>►</v>
      </c>
      <c r="M255" s="41" t="str">
        <f>M240</f>
        <v>Coller la-cellule-identité.N.Nom de votre recette</v>
      </c>
      <c r="N255" s="40">
        <f>N239</f>
        <v>18</v>
      </c>
      <c r="O255" s="40" t="str">
        <f>O239</f>
        <v>assiettes</v>
      </c>
      <c r="P255" s="40" t="str">
        <f>P239</f>
        <v>Recette mère ► saisissez le nom de la recette mère</v>
      </c>
      <c r="Q255" s="213"/>
      <c r="R255" s="212"/>
      <c r="S255" s="211" t="str">
        <f t="shared" si="61"/>
        <v/>
      </c>
      <c r="T255" s="210"/>
      <c r="U255" s="5259"/>
      <c r="V255" s="5576">
        <v>1</v>
      </c>
      <c r="W255" s="6866"/>
      <c r="X255" s="6871"/>
      <c r="Y255" s="5882">
        <f>IFERROR(IFERROR(INDEX(Q259:AB259,MATCH(U255,Q258:AB258,0)),INDEX(Q261:AB261,MATCH(U255,Q260:AB260,0))) * T255 * IF(ISBLANK(Q255), 1, Q255), 0)</f>
        <v>0</v>
      </c>
      <c r="Z255" s="5254">
        <f>(Q255/AA238)*AA236*V255</f>
        <v>0</v>
      </c>
      <c r="AA255" s="5252">
        <f>IF(ISBLANK(AA238), 0, (Y255 * V255) * (AA236 / AA238))</f>
        <v>0</v>
      </c>
      <c r="AB255" s="5260" t="str">
        <f>IF(COUNTIF(Q258:AB258,U255)&gt;0,IF(ROUND(AA255,3)&gt;=1,ROUND(AA255,3)&amp;" L",ROUND(AA255*100,0)&amp;" cl"),IF(COUNTIF(Q260:AB260,U255)&gt;0,IF(ROUND(AA255,3)&gt;=1,ROUND(AA255,3)&amp;" Kg",ROUND(AA255*1000,0)&amp;" g"),""))</f>
        <v/>
      </c>
      <c r="AC255" s="5817" t="str">
        <f t="shared" si="65"/>
        <v>►</v>
      </c>
      <c r="AD255" s="5883">
        <f>IF(Y257=0,0,Y255*AD242*1000/Y257)</f>
        <v>0</v>
      </c>
      <c r="AE255" s="6053">
        <f>IF(ISNUMBER(Q255),Q255*AD242/Y257,0)</f>
        <v>0</v>
      </c>
      <c r="AF255" s="5885"/>
      <c r="AG255" s="5886"/>
      <c r="AH255" s="5886"/>
      <c r="AI255" s="5886"/>
      <c r="AJ255" s="5899">
        <f t="shared" si="66"/>
        <v>0</v>
      </c>
      <c r="AK255" s="5888">
        <f>IF(OR(ISTEXT(Q255),Y257=0),0,Q255*AR235)</f>
        <v>0</v>
      </c>
      <c r="AL255" s="5886"/>
      <c r="AM255" s="5889">
        <f t="shared" si="62"/>
        <v>0</v>
      </c>
      <c r="AN255" s="8558">
        <f t="shared" si="67"/>
        <v>0</v>
      </c>
      <c r="AO255" s="5886"/>
      <c r="AP255" s="5890">
        <f>IF(Y255=0,0,Y255*AR235)</f>
        <v>0</v>
      </c>
      <c r="AQ255" s="5891" t="str">
        <f>IF(COUNTIF(AD258:AD268,U255)&gt;0,IF(ROUND(AP255,3)&gt;=1,ROUND(AP255,3)&amp;" L",ROUND(AP255*100,0)&amp;" cl"),IF(COUNTIF(AD269:AD279,U255)&gt;0,IF(ROUND(AP255,3)&gt;=1,ROUND(AP255,3)&amp;" Kg",ROUND(AP255*1000,0)&amp;" g"),""))</f>
        <v/>
      </c>
      <c r="AR255" s="5892">
        <f t="shared" si="63"/>
        <v>0</v>
      </c>
      <c r="AS255" s="7383"/>
      <c r="AT255" s="4"/>
      <c r="AU255" s="4"/>
      <c r="AV255" s="4"/>
      <c r="AW255" s="5818" t="str">
        <f t="shared" si="59"/>
        <v>►</v>
      </c>
      <c r="AX255" s="5950"/>
      <c r="AY255" s="5950"/>
      <c r="AZ255" s="5950"/>
      <c r="BA255" s="5950"/>
      <c r="BB255" s="5950"/>
      <c r="BC255" s="2"/>
      <c r="BD255"/>
      <c r="BE255"/>
      <c r="BF255"/>
      <c r="BG255"/>
      <c r="BH255"/>
      <c r="BI255"/>
      <c r="BJ255"/>
      <c r="BL255"/>
      <c r="BM255"/>
      <c r="BN255"/>
      <c r="BO255"/>
      <c r="BP255"/>
      <c r="BQ255"/>
      <c r="BR255"/>
      <c r="BT255"/>
      <c r="BU255"/>
      <c r="BV255"/>
      <c r="BX255" s="5">
        <v>1</v>
      </c>
    </row>
    <row r="256" spans="1:76" s="1" customFormat="1" ht="21" customHeight="1">
      <c r="A256" s="5641" t="s">
        <v>1</v>
      </c>
      <c r="B256" s="5662" t="str">
        <f t="shared" si="55"/>
        <v>►</v>
      </c>
      <c r="C256" s="5825" cm="1">
        <f t="array" ref="C256">SUMPRODUCT(LEN(D256:J256))</f>
        <v>0</v>
      </c>
      <c r="D256" s="5275"/>
      <c r="E256" s="1361"/>
      <c r="F256" s="1361"/>
      <c r="G256" s="1361"/>
      <c r="H256" s="1361"/>
      <c r="I256" s="1361"/>
      <c r="J256" s="5276"/>
      <c r="K256" s="106" t="s">
        <v>1</v>
      </c>
      <c r="L256" s="1021" t="str">
        <f t="shared" si="64"/>
        <v>►</v>
      </c>
      <c r="M256" s="41" t="str">
        <f>M239</f>
        <v>Coller la-cellule-identité.N.Nom de votre recette</v>
      </c>
      <c r="N256" s="40">
        <f>N239</f>
        <v>18</v>
      </c>
      <c r="O256" s="40" t="str">
        <f>O239</f>
        <v>assiettes</v>
      </c>
      <c r="P256" s="40" t="str">
        <f>P239</f>
        <v>Recette mère ► saisissez le nom de la recette mère</v>
      </c>
      <c r="Q256" s="213"/>
      <c r="R256" s="212"/>
      <c r="S256" s="211" t="str">
        <f t="shared" si="61"/>
        <v/>
      </c>
      <c r="T256" s="210"/>
      <c r="U256" s="5259"/>
      <c r="V256" s="5576">
        <v>1</v>
      </c>
      <c r="W256" s="6866"/>
      <c r="X256" s="6871"/>
      <c r="Y256" s="5882">
        <f>IFERROR(IFERROR(INDEX(Q259:AB259,MATCH(U256,Q258:AB258,0)),INDEX(Q261:AB261,MATCH(U256,Q260:AB260,0))) * T256 * IF(ISBLANK(Q256), 1, Q256), 0)</f>
        <v>0</v>
      </c>
      <c r="Z256" s="5254">
        <f>(Q256/AA238)*AA236*V256</f>
        <v>0</v>
      </c>
      <c r="AA256" s="5252">
        <f>IF(ISBLANK(AA238), 0, (Y256 * V256) * (AA236 / AA238))</f>
        <v>0</v>
      </c>
      <c r="AB256" s="5255" t="str">
        <f>IF(COUNTIF(Q258:AB258,U256)&gt;0,IF(ROUND(AA256,3)&gt;=1,ROUND(AA256,3)&amp;" L",ROUND(AA256*100,0)&amp;" cl"),IF(COUNTIF(Q260:AB260,U256)&gt;0,IF(ROUND(AA256,3)&gt;=1,ROUND(AA256,3)&amp;" Kg",ROUND(AA256*1000,0)&amp;" g"),""))</f>
        <v/>
      </c>
      <c r="AC256" s="5817" t="str">
        <f t="shared" si="65"/>
        <v>►</v>
      </c>
      <c r="AD256" s="5883">
        <f>IF(Y257=0,0,Y256*AD242*1000/Y257)</f>
        <v>0</v>
      </c>
      <c r="AE256" s="6053">
        <f>IF(ISNUMBER(Q256),Q256*AD242/Y257,0)</f>
        <v>0</v>
      </c>
      <c r="AF256" s="5894"/>
      <c r="AG256" s="5804"/>
      <c r="AH256" s="5804"/>
      <c r="AI256" s="5804"/>
      <c r="AJ256" s="5902">
        <f t="shared" si="66"/>
        <v>0</v>
      </c>
      <c r="AK256" s="5896">
        <f>IF(OR(ISTEXT(Q256),Y257=0),0,Q256*AR235)</f>
        <v>0</v>
      </c>
      <c r="AL256" s="5804"/>
      <c r="AM256" s="5805">
        <f t="shared" si="62"/>
        <v>0</v>
      </c>
      <c r="AN256" s="5805">
        <f t="shared" si="67"/>
        <v>0</v>
      </c>
      <c r="AO256" s="5804"/>
      <c r="AP256" s="5788">
        <f>IF(Y256=0,0,Y256*AR235)</f>
        <v>0</v>
      </c>
      <c r="AQ256" s="5897" t="str">
        <f>IF(COUNTIF(AD258:AD268,U256)&gt;0,IF(ROUND(AP256,3)&gt;=1,ROUND(AP256,3)&amp;" L",ROUND(AP256*100,0)&amp;" cl"),IF(COUNTIF(AD269:AD279,U256)&gt;0,IF(ROUND(AP256,3)&gt;=1,ROUND(AP256,3)&amp;" Kg",ROUND(AP256*1000,0)&amp;" g"),""))</f>
        <v/>
      </c>
      <c r="AR256" s="5898">
        <f t="shared" si="63"/>
        <v>0</v>
      </c>
      <c r="AS256" s="7383"/>
      <c r="AT256" s="4"/>
      <c r="AU256" s="4"/>
      <c r="AV256" s="4"/>
      <c r="AW256" s="5818" t="str">
        <f t="shared" si="59"/>
        <v>►</v>
      </c>
      <c r="AX256" s="5950"/>
      <c r="AY256" s="5950"/>
      <c r="AZ256" s="5950"/>
      <c r="BA256" s="5950"/>
      <c r="BB256" s="5950"/>
      <c r="BC256" s="2"/>
      <c r="BD256"/>
      <c r="BE256"/>
      <c r="BF256"/>
      <c r="BG256"/>
      <c r="BH256"/>
      <c r="BI256"/>
      <c r="BJ256"/>
      <c r="BL256"/>
      <c r="BM256"/>
      <c r="BN256"/>
      <c r="BO256"/>
      <c r="BP256"/>
      <c r="BQ256"/>
      <c r="BR256"/>
      <c r="BT256"/>
      <c r="BU256"/>
      <c r="BV256"/>
      <c r="BX256" s="5">
        <v>1</v>
      </c>
    </row>
    <row r="257" spans="1:76" s="1" customFormat="1" ht="21" customHeight="1">
      <c r="A257" s="5641" t="s">
        <v>1</v>
      </c>
      <c r="B257" s="5662" t="str">
        <f t="shared" si="55"/>
        <v>A</v>
      </c>
      <c r="C257" s="5825" cm="1">
        <f t="array" ref="C257">SUMPRODUCT(LEN(D257:J257))</f>
        <v>0</v>
      </c>
      <c r="D257" s="5275"/>
      <c r="E257" s="1361"/>
      <c r="F257" s="1361"/>
      <c r="G257" s="1361"/>
      <c r="H257" s="1361"/>
      <c r="I257" s="1361"/>
      <c r="J257" s="5276"/>
      <c r="K257" s="106" t="s">
        <v>1</v>
      </c>
      <c r="L257" s="1021" t="s">
        <v>21</v>
      </c>
      <c r="M257" s="41" t="str">
        <f>M239</f>
        <v>Coller la-cellule-identité.N.Nom de votre recette</v>
      </c>
      <c r="N257" s="40">
        <f>N239</f>
        <v>18</v>
      </c>
      <c r="O257" s="40" t="str">
        <f>O239</f>
        <v>assiettes</v>
      </c>
      <c r="P257" s="40" t="str">
        <f>P239</f>
        <v>Recette mère ► saisissez le nom de la recette mère</v>
      </c>
      <c r="Q257" s="5921" t="s">
        <v>8535</v>
      </c>
      <c r="R257" s="5261"/>
      <c r="S257" s="5261"/>
      <c r="T257" s="5261"/>
      <c r="U257" s="5261"/>
      <c r="V257" s="5261"/>
      <c r="W257" s="5262" t="str">
        <f>"portion de " &amp; TEXT((Y257/Q237)*1000,"0.0") &amp; " g"</f>
        <v>portion de 0.0 g</v>
      </c>
      <c r="X257" s="5262"/>
      <c r="Y257" s="5263">
        <f>SUM(Y243:Y256)</f>
        <v>0</v>
      </c>
      <c r="Z257" s="5264" t="s">
        <v>1069</v>
      </c>
      <c r="AA257" s="5265">
        <f>SUM(AA243:AA256)</f>
        <v>0</v>
      </c>
      <c r="AB257" s="5922"/>
      <c r="AC257" s="5817" t="str">
        <f t="shared" si="65"/>
        <v>►</v>
      </c>
      <c r="AD257" s="5923">
        <f>SUM(AD243:AD256)/1000</f>
        <v>0</v>
      </c>
      <c r="AE257" s="5924" t="str">
        <f>"= "&amp;IF(AD257&gt;0,AA238 &amp; " portions de " &amp; ROUND(AD257/AA238,3) &amp; " g","")</f>
        <v xml:space="preserve">= </v>
      </c>
      <c r="AF257" s="5925"/>
      <c r="AG257" s="5926"/>
      <c r="AH257" s="5927"/>
      <c r="AI257" s="5927"/>
      <c r="AJ257" s="5928"/>
      <c r="AK257" s="5924"/>
      <c r="AL257" s="5929"/>
      <c r="AM257" s="5930"/>
      <c r="AN257" s="5930"/>
      <c r="AO257" s="5929"/>
      <c r="AP257" s="5931">
        <f>SUM(AP243:AP256)</f>
        <v>0</v>
      </c>
      <c r="AQ257" s="5931"/>
      <c r="AR257" s="5932"/>
      <c r="AS257" s="7383"/>
      <c r="AT257" s="4"/>
      <c r="AU257" s="4"/>
      <c r="AV257" s="4"/>
      <c r="AW257" s="5818" t="str">
        <f t="shared" si="59"/>
        <v>►</v>
      </c>
      <c r="AX257" s="5950"/>
      <c r="AY257" s="5950"/>
      <c r="AZ257" s="5950"/>
      <c r="BA257" s="5950"/>
      <c r="BB257" s="5950"/>
      <c r="BC257" s="2"/>
      <c r="BD257"/>
      <c r="BE257"/>
      <c r="BF257"/>
      <c r="BG257"/>
      <c r="BH257"/>
      <c r="BI257"/>
      <c r="BJ257"/>
      <c r="BL257"/>
      <c r="BM257"/>
      <c r="BN257"/>
      <c r="BO257"/>
      <c r="BP257"/>
      <c r="BQ257"/>
      <c r="BR257"/>
      <c r="BT257"/>
      <c r="BU257"/>
      <c r="BV257"/>
      <c r="BX257" s="5">
        <v>1</v>
      </c>
    </row>
    <row r="258" spans="1:76" s="1" customFormat="1" ht="21" customHeight="1">
      <c r="A258" s="5641" t="s">
        <v>1</v>
      </c>
      <c r="B258" s="5662" t="str">
        <f t="shared" si="55"/>
        <v>►</v>
      </c>
      <c r="C258" s="5825" cm="1">
        <f t="array" ref="C258">SUMPRODUCT(LEN(D258:J258))</f>
        <v>0</v>
      </c>
      <c r="D258" s="5275"/>
      <c r="E258" s="1361"/>
      <c r="F258" s="1361"/>
      <c r="G258" s="1361"/>
      <c r="H258" s="1361"/>
      <c r="I258" s="1361"/>
      <c r="J258" s="5276"/>
      <c r="K258" s="106" t="s">
        <v>1</v>
      </c>
      <c r="L258" s="1021" t="s">
        <v>26</v>
      </c>
      <c r="M258" s="41" t="str">
        <f>M239</f>
        <v>Coller la-cellule-identité.N.Nom de votre recette</v>
      </c>
      <c r="N258" s="40">
        <f>N239</f>
        <v>18</v>
      </c>
      <c r="O258" s="40" t="str">
        <f>O239</f>
        <v>assiettes</v>
      </c>
      <c r="P258" s="40" t="str">
        <f>P239</f>
        <v>Recette mère ► saisissez le nom de la recette mère</v>
      </c>
      <c r="Q258" s="5129" t="s">
        <v>88</v>
      </c>
      <c r="R258" s="5129" t="s">
        <v>172</v>
      </c>
      <c r="S258" s="5129" t="s">
        <v>170</v>
      </c>
      <c r="T258" s="5129" t="s">
        <v>166</v>
      </c>
      <c r="U258" s="5131" t="s">
        <v>946</v>
      </c>
      <c r="V258" s="5131" t="s">
        <v>8011</v>
      </c>
      <c r="W258" s="5131" t="s">
        <v>124</v>
      </c>
      <c r="X258" s="6286"/>
      <c r="Y258" s="5131" t="s">
        <v>164</v>
      </c>
      <c r="Z258" s="5131" t="s">
        <v>159</v>
      </c>
      <c r="AA258" s="5131" t="s">
        <v>8012</v>
      </c>
      <c r="AB258" s="5131" t="s">
        <v>8013</v>
      </c>
      <c r="AC258" s="5933" t="str">
        <f>IF(COUNTIF(AF259:AR259,"&lt;&gt;")&gt;0,"A","►")</f>
        <v>►</v>
      </c>
      <c r="AD258" s="5934" t="s">
        <v>88</v>
      </c>
      <c r="AE258" s="5935">
        <v>1</v>
      </c>
      <c r="AF258" s="5936"/>
      <c r="AG258" s="5936"/>
      <c r="AH258" s="5936"/>
      <c r="AI258" s="5937" t="s">
        <v>8536</v>
      </c>
      <c r="AJ258" s="5805"/>
      <c r="AK258" s="5805"/>
      <c r="AL258" s="5804"/>
      <c r="AM258" s="5804"/>
      <c r="AN258" s="5804"/>
      <c r="AO258" s="5804"/>
      <c r="AP258" s="5804"/>
      <c r="AQ258" s="5804"/>
      <c r="AR258" s="5938" t="s">
        <v>8537</v>
      </c>
      <c r="AS258" s="7383"/>
      <c r="AT258" s="4"/>
      <c r="AU258" s="4"/>
      <c r="AV258" s="4"/>
      <c r="AW258" s="5818" t="str">
        <f t="shared" si="59"/>
        <v>►</v>
      </c>
      <c r="AX258" s="5950"/>
      <c r="AY258" s="5950"/>
      <c r="AZ258" s="5950"/>
      <c r="BA258" s="5950"/>
      <c r="BB258" s="5950"/>
      <c r="BC258" s="2"/>
      <c r="BD258"/>
      <c r="BE258"/>
      <c r="BF258"/>
      <c r="BG258"/>
      <c r="BH258"/>
      <c r="BI258"/>
      <c r="BJ258"/>
      <c r="BL258"/>
      <c r="BM258"/>
      <c r="BN258"/>
      <c r="BO258"/>
      <c r="BP258"/>
      <c r="BQ258"/>
      <c r="BR258"/>
      <c r="BT258"/>
      <c r="BU258"/>
      <c r="BV258"/>
      <c r="BX258" s="5">
        <v>1</v>
      </c>
    </row>
    <row r="259" spans="1:76" s="1" customFormat="1" ht="21" customHeight="1">
      <c r="A259" s="5641" t="s">
        <v>1</v>
      </c>
      <c r="B259" s="5662" t="str">
        <f t="shared" si="55"/>
        <v>►</v>
      </c>
      <c r="C259" s="5825" cm="1">
        <f t="array" ref="C259">SUMPRODUCT(LEN(D259:J259))</f>
        <v>0</v>
      </c>
      <c r="D259" s="5275"/>
      <c r="E259" s="1361"/>
      <c r="F259" s="1361"/>
      <c r="G259" s="1361"/>
      <c r="H259" s="1361"/>
      <c r="I259" s="1361"/>
      <c r="J259" s="5276"/>
      <c r="K259" s="106" t="s">
        <v>1</v>
      </c>
      <c r="L259" s="1021" t="s">
        <v>26</v>
      </c>
      <c r="M259" s="41" t="str">
        <f>M239</f>
        <v>Coller la-cellule-identité.N.Nom de votre recette</v>
      </c>
      <c r="N259" s="40">
        <f>N239</f>
        <v>18</v>
      </c>
      <c r="O259" s="40" t="str">
        <f>O239</f>
        <v>assiettes</v>
      </c>
      <c r="P259" s="40" t="str">
        <f>P239</f>
        <v>Recette mère ► saisissez le nom de la recette mère</v>
      </c>
      <c r="Q259" s="5935">
        <v>1</v>
      </c>
      <c r="R259" s="5935">
        <v>0.1</v>
      </c>
      <c r="S259" s="5943">
        <v>0.01</v>
      </c>
      <c r="T259" s="5935">
        <v>1E-3</v>
      </c>
      <c r="U259" s="5935">
        <v>0.01</v>
      </c>
      <c r="V259" s="5935">
        <v>0.1</v>
      </c>
      <c r="W259" s="5935">
        <v>0.22500000000000001</v>
      </c>
      <c r="X259" s="5935"/>
      <c r="Y259" s="5935">
        <v>0.25</v>
      </c>
      <c r="Z259" s="5935">
        <v>0.5</v>
      </c>
      <c r="AA259" s="5935">
        <v>0.33300000000000002</v>
      </c>
      <c r="AB259" s="5935">
        <v>0.2</v>
      </c>
      <c r="AC259" s="5933" t="str">
        <f>IF(COUNTIF(AF259:AR259,"&lt;&gt;")&gt;0,"A","►")</f>
        <v>►</v>
      </c>
      <c r="AD259" s="5944" t="s">
        <v>172</v>
      </c>
      <c r="AE259" s="5935">
        <v>0.1</v>
      </c>
      <c r="AF259" s="5945"/>
      <c r="AG259" s="5945"/>
      <c r="AH259" s="5945"/>
      <c r="AI259" s="5945"/>
      <c r="AJ259" s="5945"/>
      <c r="AK259" s="5945"/>
      <c r="AL259" s="5945"/>
      <c r="AM259" s="5945"/>
      <c r="AN259" s="5945"/>
      <c r="AO259" s="5945"/>
      <c r="AP259" s="5945"/>
      <c r="AQ259" s="5945"/>
      <c r="AR259" s="5946"/>
      <c r="AS259" s="7383"/>
      <c r="AT259" s="4"/>
      <c r="AU259" s="4"/>
      <c r="AV259" s="4"/>
      <c r="AW259" s="5818" t="str">
        <f t="shared" si="59"/>
        <v>►</v>
      </c>
      <c r="AX259" s="5950"/>
      <c r="AY259" s="5950"/>
      <c r="AZ259" s="5950"/>
      <c r="BA259" s="5950"/>
      <c r="BB259" s="5950"/>
      <c r="BC259" s="2"/>
      <c r="BD259"/>
      <c r="BE259"/>
      <c r="BF259"/>
      <c r="BG259"/>
      <c r="BH259"/>
      <c r="BI259"/>
      <c r="BJ259"/>
      <c r="BK259" s="4"/>
      <c r="BL259"/>
      <c r="BM259"/>
      <c r="BN259"/>
      <c r="BO259"/>
      <c r="BP259"/>
      <c r="BQ259"/>
      <c r="BR259"/>
      <c r="BS259" s="4"/>
      <c r="BT259"/>
      <c r="BU259"/>
      <c r="BV259"/>
      <c r="BW259" s="4"/>
      <c r="BX259" s="5">
        <v>1</v>
      </c>
    </row>
    <row r="260" spans="1:76" s="1" customFormat="1" ht="21" customHeight="1">
      <c r="A260" s="5641" t="s">
        <v>1</v>
      </c>
      <c r="B260" s="5662" t="str">
        <f t="shared" si="55"/>
        <v>►</v>
      </c>
      <c r="C260" s="5825" cm="1">
        <f t="array" ref="C260">SUMPRODUCT(LEN(D260:J260))</f>
        <v>0</v>
      </c>
      <c r="D260" s="5275"/>
      <c r="E260" s="1361"/>
      <c r="F260" s="1361"/>
      <c r="G260" s="1361"/>
      <c r="H260" s="1361"/>
      <c r="I260" s="1361"/>
      <c r="J260" s="5276"/>
      <c r="K260" s="106" t="s">
        <v>1</v>
      </c>
      <c r="L260" s="1021" t="s">
        <v>26</v>
      </c>
      <c r="M260" s="41" t="str">
        <f>M239</f>
        <v>Coller la-cellule-identité.N.Nom de votre recette</v>
      </c>
      <c r="N260" s="40">
        <f>N239</f>
        <v>18</v>
      </c>
      <c r="O260" s="40" t="str">
        <f>O239</f>
        <v>assiettes</v>
      </c>
      <c r="P260" s="40" t="str">
        <f>P239</f>
        <v>Recette mère ► saisissez le nom de la recette mère</v>
      </c>
      <c r="Q260" s="5124" t="s">
        <v>130</v>
      </c>
      <c r="R260" s="5128" t="s">
        <v>219</v>
      </c>
      <c r="S260" s="5266" t="s">
        <v>8014</v>
      </c>
      <c r="T260" s="5267" t="s">
        <v>188</v>
      </c>
      <c r="U260" s="5132" t="s">
        <v>176</v>
      </c>
      <c r="V260" s="5132" t="s">
        <v>179</v>
      </c>
      <c r="W260" s="5268" t="s">
        <v>122</v>
      </c>
      <c r="X260" s="6289"/>
      <c r="Y260" s="5268" t="s">
        <v>113</v>
      </c>
      <c r="Z260" s="5268" t="s">
        <v>112</v>
      </c>
      <c r="AA260" s="5268" t="s">
        <v>8015</v>
      </c>
      <c r="AB260" s="5268" t="s">
        <v>8016</v>
      </c>
      <c r="AC260" s="5933" t="str">
        <f>IF(COUNTIF(AF260:AR260,"&lt;&gt;")&gt;0,"A","►")</f>
        <v>►</v>
      </c>
      <c r="AD260" s="5944" t="s">
        <v>170</v>
      </c>
      <c r="AE260" s="5935">
        <v>0.01</v>
      </c>
      <c r="AF260" s="5945"/>
      <c r="AG260" s="5945"/>
      <c r="AH260" s="5945"/>
      <c r="AI260" s="5945"/>
      <c r="AJ260" s="5945"/>
      <c r="AK260" s="5945"/>
      <c r="AL260" s="5945"/>
      <c r="AM260" s="5945"/>
      <c r="AN260" s="5945"/>
      <c r="AO260" s="5945"/>
      <c r="AP260" s="5945"/>
      <c r="AQ260" s="5945"/>
      <c r="AR260" s="5946"/>
      <c r="AS260" s="7383"/>
      <c r="AT260" s="4"/>
      <c r="AU260" s="4"/>
      <c r="AV260" s="4"/>
      <c r="AW260" s="5818" t="str">
        <f t="shared" si="59"/>
        <v>►</v>
      </c>
      <c r="AX260" s="5950"/>
      <c r="AY260" s="5950"/>
      <c r="AZ260" s="5950"/>
      <c r="BA260" s="5950"/>
      <c r="BB260" s="5950"/>
      <c r="BC260" s="2"/>
      <c r="BD260"/>
      <c r="BE260"/>
      <c r="BF260"/>
      <c r="BG260"/>
      <c r="BH260"/>
      <c r="BI260"/>
      <c r="BJ260"/>
      <c r="BK260" s="4"/>
      <c r="BL260"/>
      <c r="BM260"/>
      <c r="BN260"/>
      <c r="BO260"/>
      <c r="BP260"/>
      <c r="BQ260"/>
      <c r="BR260"/>
      <c r="BS260" s="4"/>
      <c r="BT260"/>
      <c r="BU260"/>
      <c r="BV260"/>
      <c r="BW260" s="4"/>
      <c r="BX260" s="5">
        <v>1</v>
      </c>
    </row>
    <row r="261" spans="1:76" ht="21" customHeight="1">
      <c r="A261" s="5641" t="s">
        <v>1</v>
      </c>
      <c r="B261" s="5662" t="str">
        <f t="shared" si="55"/>
        <v>►</v>
      </c>
      <c r="C261" s="5825" cm="1">
        <f t="array" ref="C261">SUMPRODUCT(LEN(D261:J261))</f>
        <v>0</v>
      </c>
      <c r="D261" s="5275"/>
      <c r="E261" s="1361"/>
      <c r="F261" s="1361"/>
      <c r="G261" s="1361"/>
      <c r="H261" s="1361"/>
      <c r="I261" s="1361"/>
      <c r="J261" s="5276"/>
      <c r="K261" s="106" t="s">
        <v>1</v>
      </c>
      <c r="L261" s="1021" t="s">
        <v>26</v>
      </c>
      <c r="M261" s="41" t="str">
        <f>M239</f>
        <v>Coller la-cellule-identité.N.Nom de votre recette</v>
      </c>
      <c r="N261" s="40">
        <f>N239</f>
        <v>18</v>
      </c>
      <c r="O261" s="40" t="str">
        <f>O239</f>
        <v>assiettes</v>
      </c>
      <c r="P261" s="40" t="str">
        <f>P239</f>
        <v>Recette mère ► saisissez le nom de la recette mère</v>
      </c>
      <c r="Q261" s="5949">
        <v>1E-3</v>
      </c>
      <c r="R261" s="5949">
        <v>1</v>
      </c>
      <c r="S261" s="5949">
        <v>0</v>
      </c>
      <c r="T261" s="5949">
        <v>0.25</v>
      </c>
      <c r="U261" s="5949">
        <v>0.33332999999999996</v>
      </c>
      <c r="V261" s="5949">
        <v>0.5</v>
      </c>
      <c r="W261" s="5949">
        <v>2.835E-2</v>
      </c>
      <c r="X261" s="5949"/>
      <c r="Y261" s="5949">
        <v>0.13</v>
      </c>
      <c r="Z261" s="5949">
        <v>0.2</v>
      </c>
      <c r="AA261" s="5949">
        <v>0.23</v>
      </c>
      <c r="AB261" s="5949">
        <v>0.24</v>
      </c>
      <c r="AC261" s="5933" t="str">
        <f t="shared" ref="AC261:AC270" si="68">IF(COUNTIF(AF261:AR261,"&lt;&gt;")&gt;0,"A","►")</f>
        <v>►</v>
      </c>
      <c r="AD261" s="5944" t="s">
        <v>166</v>
      </c>
      <c r="AE261" s="5935">
        <v>1E-3</v>
      </c>
      <c r="AF261" s="5945"/>
      <c r="AG261" s="5945"/>
      <c r="AH261" s="5945"/>
      <c r="AI261" s="5945"/>
      <c r="AJ261" s="5945"/>
      <c r="AK261" s="5945"/>
      <c r="AL261" s="5945"/>
      <c r="AM261" s="5945"/>
      <c r="AN261" s="5945"/>
      <c r="AO261" s="5945"/>
      <c r="AP261" s="5945"/>
      <c r="AQ261" s="5945"/>
      <c r="AR261" s="5946"/>
      <c r="AS261" s="7383"/>
      <c r="AW261" s="5818" t="str">
        <f t="shared" si="59"/>
        <v>►</v>
      </c>
      <c r="AX261" s="5950"/>
      <c r="AY261" s="5950"/>
      <c r="AZ261" s="5950"/>
      <c r="BA261" s="5950"/>
      <c r="BB261" s="5950"/>
      <c r="BC261" s="2"/>
      <c r="BX261" s="5">
        <v>1</v>
      </c>
    </row>
    <row r="262" spans="1:76" ht="21" customHeight="1">
      <c r="A262" s="5641" t="s">
        <v>1</v>
      </c>
      <c r="B262" s="5662" t="str">
        <f t="shared" ref="B262:B325" si="69">L262</f>
        <v>A</v>
      </c>
      <c r="C262" s="5825" cm="1">
        <f t="array" ref="C262">SUMPRODUCT(LEN(D262:J262))</f>
        <v>0</v>
      </c>
      <c r="D262" s="5275"/>
      <c r="E262" s="1361"/>
      <c r="F262" s="1361"/>
      <c r="G262" s="1361"/>
      <c r="H262" s="1361"/>
      <c r="I262" s="1361"/>
      <c r="J262" s="5276"/>
      <c r="K262" s="106" t="s">
        <v>1</v>
      </c>
      <c r="L262" s="5269" t="s">
        <v>21</v>
      </c>
      <c r="M262" s="1313" t="str">
        <f>M239</f>
        <v>Coller la-cellule-identité.N.Nom de votre recette</v>
      </c>
      <c r="N262" s="1313">
        <f>N239</f>
        <v>18</v>
      </c>
      <c r="O262" s="1313" t="str">
        <f>O239</f>
        <v>assiettes</v>
      </c>
      <c r="P262" s="1313" t="str">
        <f>P239</f>
        <v>Recette mère ► saisissez le nom de la recette mère</v>
      </c>
      <c r="Q262" s="1314" t="s">
        <v>218</v>
      </c>
      <c r="R262" s="1314">
        <v>11</v>
      </c>
      <c r="S262" s="1315" t="s">
        <v>1108</v>
      </c>
      <c r="T262" s="1316"/>
      <c r="U262" s="1316"/>
      <c r="V262" s="1317"/>
      <c r="W262" s="8541"/>
      <c r="X262" s="5957"/>
      <c r="Y262" s="5320"/>
      <c r="Z262" s="5320"/>
      <c r="AA262" s="5321" t="s">
        <v>1156</v>
      </c>
      <c r="AB262" s="5958" t="s">
        <v>1155</v>
      </c>
      <c r="AC262" s="5933" t="str">
        <f t="shared" si="68"/>
        <v>►</v>
      </c>
      <c r="AD262" s="5959" t="s">
        <v>946</v>
      </c>
      <c r="AE262" s="5935">
        <v>0.01</v>
      </c>
      <c r="AF262" s="5945"/>
      <c r="AG262" s="5945"/>
      <c r="AH262" s="5945"/>
      <c r="AI262" s="5945"/>
      <c r="AJ262" s="5945"/>
      <c r="AK262" s="5945"/>
      <c r="AL262" s="5945"/>
      <c r="AM262" s="5945"/>
      <c r="AN262" s="5945"/>
      <c r="AO262" s="5945"/>
      <c r="AP262" s="5945"/>
      <c r="AQ262" s="5945"/>
      <c r="AR262" s="5946"/>
      <c r="AS262" s="7383"/>
      <c r="AW262" s="5818" t="str">
        <f t="shared" si="59"/>
        <v>►</v>
      </c>
      <c r="AX262" s="5950"/>
      <c r="AY262" s="5950"/>
      <c r="AZ262" s="5950"/>
      <c r="BA262" s="5950"/>
      <c r="BB262" s="5950"/>
      <c r="BC262" s="2"/>
      <c r="BX262" s="5">
        <v>1</v>
      </c>
    </row>
    <row r="263" spans="1:76" ht="21" customHeight="1">
      <c r="A263" s="5641" t="s">
        <v>1</v>
      </c>
      <c r="B263" s="5662" t="str">
        <f t="shared" si="69"/>
        <v>A</v>
      </c>
      <c r="C263" s="5825" cm="1">
        <f t="array" ref="C263">SUMPRODUCT(LEN(D263:J263))</f>
        <v>0</v>
      </c>
      <c r="D263" s="5275"/>
      <c r="E263" s="1361"/>
      <c r="F263" s="1361"/>
      <c r="G263" s="1361"/>
      <c r="H263" s="1361"/>
      <c r="I263" s="1361"/>
      <c r="J263" s="5276"/>
      <c r="K263" s="106" t="s">
        <v>1</v>
      </c>
      <c r="L263" s="5270" t="s">
        <v>21</v>
      </c>
      <c r="M263" s="196" t="str">
        <f>M239</f>
        <v>Coller la-cellule-identité.N.Nom de votre recette</v>
      </c>
      <c r="N263" s="196">
        <f>N239</f>
        <v>18</v>
      </c>
      <c r="O263" s="196" t="str">
        <f>O239</f>
        <v>assiettes</v>
      </c>
      <c r="P263" s="196" t="str">
        <f>P239</f>
        <v>Recette mère ► saisissez le nom de la recette mère</v>
      </c>
      <c r="Q263" s="5815" t="s">
        <v>252</v>
      </c>
      <c r="R263" s="5271" t="s">
        <v>864</v>
      </c>
      <c r="S263" s="1321"/>
      <c r="T263" s="1321"/>
      <c r="U263" s="1321"/>
      <c r="V263" s="1321"/>
      <c r="W263" s="1321"/>
      <c r="X263" s="1322"/>
      <c r="Y263" s="5411"/>
      <c r="Z263" s="1266"/>
      <c r="AA263" s="1270" t="s">
        <v>1157</v>
      </c>
      <c r="AB263" s="5272" t="s">
        <v>1155</v>
      </c>
      <c r="AC263" s="5933" t="str">
        <f t="shared" si="68"/>
        <v>►</v>
      </c>
      <c r="AD263" s="5964" t="s">
        <v>8011</v>
      </c>
      <c r="AE263" s="5935">
        <v>0.1</v>
      </c>
      <c r="AF263" s="5945"/>
      <c r="AG263" s="5945"/>
      <c r="AH263" s="5945"/>
      <c r="AI263" s="5945"/>
      <c r="AJ263" s="5945"/>
      <c r="AK263" s="5945"/>
      <c r="AL263" s="5945"/>
      <c r="AM263" s="5945"/>
      <c r="AN263" s="5945"/>
      <c r="AO263" s="5945"/>
      <c r="AP263" s="5945"/>
      <c r="AQ263" s="5945"/>
      <c r="AR263" s="5946"/>
      <c r="AS263" s="7383"/>
      <c r="AW263" s="5818" t="str">
        <f t="shared" si="59"/>
        <v>►</v>
      </c>
      <c r="AX263" s="5950"/>
      <c r="AY263" s="5950"/>
      <c r="AZ263" s="5950"/>
      <c r="BA263" s="5950"/>
      <c r="BB263" s="5950"/>
      <c r="BC263" s="2"/>
      <c r="BX263" s="5">
        <v>1</v>
      </c>
    </row>
    <row r="264" spans="1:76" ht="21" customHeight="1">
      <c r="A264" s="5641" t="s">
        <v>1</v>
      </c>
      <c r="B264" s="5662" t="str">
        <f t="shared" si="69"/>
        <v>►</v>
      </c>
      <c r="C264" s="5825" cm="1">
        <f t="array" ref="C264">SUMPRODUCT(LEN(D264:J264))</f>
        <v>0</v>
      </c>
      <c r="D264" s="5275"/>
      <c r="E264" s="1361"/>
      <c r="F264" s="1361"/>
      <c r="G264" s="1361"/>
      <c r="H264" s="1361"/>
      <c r="I264" s="1361"/>
      <c r="J264" s="5276"/>
      <c r="K264" s="106" t="s">
        <v>1</v>
      </c>
      <c r="L264" s="1021" t="str">
        <f t="shared" ref="L264:L274" si="70">IF(OR(Q264&lt;&gt;"",R264&lt;&gt; "",S264&lt;&gt;"",T264&lt;&gt;""),"A", "►")</f>
        <v>►</v>
      </c>
      <c r="M264" s="196" t="str">
        <f>M239</f>
        <v>Coller la-cellule-identité.N.Nom de votre recette</v>
      </c>
      <c r="N264" s="196">
        <f>N239</f>
        <v>18</v>
      </c>
      <c r="O264" s="196" t="str">
        <f>O239</f>
        <v>assiettes</v>
      </c>
      <c r="P264" s="196" t="str">
        <f>P239</f>
        <v>Recette mère ► saisissez le nom de la recette mère</v>
      </c>
      <c r="Q264" s="5275"/>
      <c r="R264" s="1320"/>
      <c r="S264" s="1320"/>
      <c r="T264" s="1320"/>
      <c r="U264" s="1320"/>
      <c r="V264" s="1320"/>
      <c r="W264" s="8501"/>
      <c r="X264" s="1324"/>
      <c r="Y264" s="141"/>
      <c r="Z264" s="141"/>
      <c r="AA264" s="5273" t="s">
        <v>1150</v>
      </c>
      <c r="AB264" s="5274">
        <v>3.472222222222222E-3</v>
      </c>
      <c r="AC264" s="5933" t="str">
        <f t="shared" si="68"/>
        <v>►</v>
      </c>
      <c r="AD264" s="5964" t="s">
        <v>124</v>
      </c>
      <c r="AE264" s="5935">
        <v>0.22500000000000001</v>
      </c>
      <c r="AF264" s="5945"/>
      <c r="AG264" s="5945"/>
      <c r="AH264" s="5945"/>
      <c r="AI264" s="5945"/>
      <c r="AJ264" s="5945"/>
      <c r="AK264" s="5945"/>
      <c r="AL264" s="5945"/>
      <c r="AM264" s="5945"/>
      <c r="AN264" s="5945"/>
      <c r="AO264" s="5945"/>
      <c r="AP264" s="5945"/>
      <c r="AQ264" s="5945"/>
      <c r="AR264" s="5946"/>
      <c r="AS264" s="7383"/>
      <c r="AW264" s="5818" t="str">
        <f t="shared" si="59"/>
        <v>►</v>
      </c>
      <c r="AX264" s="5950"/>
      <c r="AY264" s="5950"/>
      <c r="AZ264" s="5950"/>
      <c r="BA264" s="5950"/>
      <c r="BB264" s="5950"/>
      <c r="BC264" s="2"/>
      <c r="BX264" s="5">
        <v>1</v>
      </c>
    </row>
    <row r="265" spans="1:76" ht="21" customHeight="1">
      <c r="A265" s="5641" t="s">
        <v>1</v>
      </c>
      <c r="B265" s="5662" t="str">
        <f t="shared" si="69"/>
        <v>►</v>
      </c>
      <c r="C265" s="5825" cm="1">
        <f t="array" ref="C265">SUMPRODUCT(LEN(D265:J265))</f>
        <v>0</v>
      </c>
      <c r="D265" s="5275"/>
      <c r="E265" s="1361"/>
      <c r="F265" s="1361"/>
      <c r="G265" s="1361"/>
      <c r="H265" s="1361"/>
      <c r="I265" s="1361"/>
      <c r="J265" s="5276"/>
      <c r="K265" s="106"/>
      <c r="L265" s="1021" t="str">
        <f t="shared" si="70"/>
        <v>►</v>
      </c>
      <c r="M265" s="196" t="str">
        <f>M239</f>
        <v>Coller la-cellule-identité.N.Nom de votre recette</v>
      </c>
      <c r="N265" s="196">
        <f>N239</f>
        <v>18</v>
      </c>
      <c r="O265" s="196" t="str">
        <f>O239</f>
        <v>assiettes</v>
      </c>
      <c r="P265" s="196" t="str">
        <f>P239</f>
        <v>Recette mère ► saisissez le nom de la recette mère</v>
      </c>
      <c r="Q265" s="5275"/>
      <c r="R265" s="1361"/>
      <c r="S265" s="1361"/>
      <c r="T265" s="1361"/>
      <c r="U265" s="1361"/>
      <c r="V265" s="1361"/>
      <c r="W265" s="8502"/>
      <c r="X265" s="5276"/>
      <c r="Y265" s="141"/>
      <c r="Z265" s="141"/>
      <c r="AA265" s="5273" t="s">
        <v>1152</v>
      </c>
      <c r="AB265" s="5277">
        <v>1.0416666666666666E-2</v>
      </c>
      <c r="AC265" s="5933" t="str">
        <f t="shared" si="68"/>
        <v>►</v>
      </c>
      <c r="AD265" s="5964" t="s">
        <v>164</v>
      </c>
      <c r="AE265" s="5935">
        <v>0.25</v>
      </c>
      <c r="AF265" s="5945"/>
      <c r="AG265" s="5945"/>
      <c r="AH265" s="5945"/>
      <c r="AI265" s="5945"/>
      <c r="AJ265" s="5945"/>
      <c r="AK265" s="5945"/>
      <c r="AL265" s="5945"/>
      <c r="AM265" s="5945"/>
      <c r="AN265" s="5945"/>
      <c r="AO265" s="5945"/>
      <c r="AP265" s="5945"/>
      <c r="AQ265" s="5945"/>
      <c r="AR265" s="5946"/>
      <c r="AS265" s="7383"/>
      <c r="AW265" s="5818" t="str">
        <f t="shared" si="59"/>
        <v>►</v>
      </c>
      <c r="AX265" s="5950"/>
      <c r="AY265" s="5950"/>
      <c r="AZ265" s="5950"/>
      <c r="BA265" s="5950"/>
      <c r="BB265" s="5950"/>
      <c r="BC265" s="2"/>
      <c r="BX265" s="5">
        <v>1</v>
      </c>
    </row>
    <row r="266" spans="1:76" ht="21" customHeight="1">
      <c r="A266" s="5641" t="s">
        <v>1</v>
      </c>
      <c r="B266" s="5662" t="str">
        <f t="shared" si="69"/>
        <v>►</v>
      </c>
      <c r="C266" s="5825" cm="1">
        <f t="array" ref="C266">SUMPRODUCT(LEN(D266:J266))</f>
        <v>0</v>
      </c>
      <c r="D266" s="5275"/>
      <c r="E266" s="1361"/>
      <c r="F266" s="1361"/>
      <c r="G266" s="1361"/>
      <c r="H266" s="1361"/>
      <c r="I266" s="1361"/>
      <c r="J266" s="5276"/>
      <c r="K266" s="106"/>
      <c r="L266" s="1021" t="str">
        <f t="shared" si="70"/>
        <v>►</v>
      </c>
      <c r="M266" s="196" t="str">
        <f>M239</f>
        <v>Coller la-cellule-identité.N.Nom de votre recette</v>
      </c>
      <c r="N266" s="196">
        <f>N239</f>
        <v>18</v>
      </c>
      <c r="O266" s="196" t="str">
        <f>O239</f>
        <v>assiettes</v>
      </c>
      <c r="P266" s="196" t="str">
        <f>P239</f>
        <v>Recette mère ► saisissez le nom de la recette mère</v>
      </c>
      <c r="Q266" s="5275"/>
      <c r="R266" s="1361"/>
      <c r="S266" s="1361"/>
      <c r="T266" s="1361"/>
      <c r="U266" s="1361"/>
      <c r="V266" s="1361"/>
      <c r="W266" s="8502"/>
      <c r="X266" s="5276"/>
      <c r="Y266" s="141"/>
      <c r="Z266" s="141"/>
      <c r="AA266" s="5273" t="s">
        <v>8017</v>
      </c>
      <c r="AB266" s="5278">
        <v>2.0833333333333332E-2</v>
      </c>
      <c r="AC266" s="5933" t="str">
        <f t="shared" si="68"/>
        <v>►</v>
      </c>
      <c r="AD266" s="5964" t="s">
        <v>159</v>
      </c>
      <c r="AE266" s="5935">
        <v>0.5</v>
      </c>
      <c r="AF266" s="5945"/>
      <c r="AG266" s="5945"/>
      <c r="AH266" s="5945"/>
      <c r="AI266" s="5945"/>
      <c r="AJ266" s="5945"/>
      <c r="AK266" s="5945"/>
      <c r="AL266" s="5945"/>
      <c r="AM266" s="5945"/>
      <c r="AN266" s="5945"/>
      <c r="AO266" s="5945"/>
      <c r="AP266" s="5945"/>
      <c r="AQ266" s="5945"/>
      <c r="AR266" s="5946"/>
      <c r="AS266" s="7383"/>
      <c r="AW266" s="5818" t="str">
        <f t="shared" si="59"/>
        <v>►</v>
      </c>
      <c r="AX266" s="5950"/>
      <c r="AY266" s="5950"/>
      <c r="AZ266" s="5950"/>
      <c r="BA266" s="5950"/>
      <c r="BB266" s="5950"/>
      <c r="BC266" s="2"/>
      <c r="BX266" s="5">
        <v>1</v>
      </c>
    </row>
    <row r="267" spans="1:76" ht="21" customHeight="1">
      <c r="A267" s="5641" t="s">
        <v>1</v>
      </c>
      <c r="B267" s="5662" t="str">
        <f t="shared" si="69"/>
        <v>►</v>
      </c>
      <c r="C267" s="5825" cm="1">
        <f t="array" ref="C267">SUMPRODUCT(LEN(D267:J267))</f>
        <v>0</v>
      </c>
      <c r="D267" s="5275"/>
      <c r="E267" s="1361"/>
      <c r="F267" s="1361"/>
      <c r="G267" s="1361"/>
      <c r="H267" s="1361"/>
      <c r="I267" s="1361"/>
      <c r="J267" s="5276"/>
      <c r="K267" s="106"/>
      <c r="L267" s="1021" t="str">
        <f t="shared" si="70"/>
        <v>►</v>
      </c>
      <c r="M267" s="196" t="str">
        <f>M239</f>
        <v>Coller la-cellule-identité.N.Nom de votre recette</v>
      </c>
      <c r="N267" s="196">
        <f>N239</f>
        <v>18</v>
      </c>
      <c r="O267" s="196" t="str">
        <f>O239</f>
        <v>assiettes</v>
      </c>
      <c r="P267" s="196" t="str">
        <f>P239</f>
        <v>Recette mère ► saisissez le nom de la recette mère</v>
      </c>
      <c r="Q267" s="5275"/>
      <c r="R267" s="1361"/>
      <c r="S267" s="1361"/>
      <c r="T267" s="1361"/>
      <c r="U267" s="1361"/>
      <c r="V267" s="1361"/>
      <c r="W267" s="8502"/>
      <c r="X267" s="5276"/>
      <c r="Y267" s="141"/>
      <c r="Z267" s="141"/>
      <c r="AA267" s="5279" t="s">
        <v>37</v>
      </c>
      <c r="AB267" s="5280">
        <f>AB264+AB265+AB266</f>
        <v>3.4722222222222224E-2</v>
      </c>
      <c r="AC267" s="5933" t="str">
        <f t="shared" si="68"/>
        <v>►</v>
      </c>
      <c r="AD267" s="5964" t="s">
        <v>8012</v>
      </c>
      <c r="AE267" s="5935">
        <v>0.33300000000000002</v>
      </c>
      <c r="AF267" s="5945"/>
      <c r="AG267" s="5945"/>
      <c r="AH267" s="5945"/>
      <c r="AI267" s="5945"/>
      <c r="AJ267" s="5945"/>
      <c r="AK267" s="5945"/>
      <c r="AL267" s="5945"/>
      <c r="AM267" s="5945"/>
      <c r="AN267" s="5945"/>
      <c r="AO267" s="5945"/>
      <c r="AP267" s="5945"/>
      <c r="AQ267" s="5945"/>
      <c r="AR267" s="5946"/>
      <c r="AS267" s="7383"/>
      <c r="AW267" s="5818" t="str">
        <f t="shared" si="59"/>
        <v>►</v>
      </c>
      <c r="AX267" s="5950"/>
      <c r="AY267" s="5950"/>
      <c r="AZ267" s="5950"/>
      <c r="BA267" s="5950"/>
      <c r="BB267" s="5950"/>
      <c r="BC267" s="2"/>
      <c r="BX267" s="5">
        <v>1</v>
      </c>
    </row>
    <row r="268" spans="1:76" ht="21" customHeight="1">
      <c r="A268" s="5641" t="s">
        <v>1</v>
      </c>
      <c r="B268" s="5662" t="str">
        <f t="shared" si="69"/>
        <v>►</v>
      </c>
      <c r="C268" s="5825" cm="1">
        <f t="array" ref="C268">SUMPRODUCT(LEN(D268:J268))</f>
        <v>0</v>
      </c>
      <c r="D268" s="5275"/>
      <c r="E268" s="1361"/>
      <c r="F268" s="1361"/>
      <c r="G268" s="1361"/>
      <c r="H268" s="1361"/>
      <c r="I268" s="1361"/>
      <c r="J268" s="5276"/>
      <c r="K268" s="106"/>
      <c r="L268" s="1021" t="str">
        <f t="shared" si="70"/>
        <v>►</v>
      </c>
      <c r="M268" s="196" t="str">
        <f>M239</f>
        <v>Coller la-cellule-identité.N.Nom de votre recette</v>
      </c>
      <c r="N268" s="196">
        <f>N239</f>
        <v>18</v>
      </c>
      <c r="O268" s="196" t="str">
        <f>O239</f>
        <v>assiettes</v>
      </c>
      <c r="P268" s="196" t="str">
        <f>P239</f>
        <v>Recette mère ► saisissez le nom de la recette mère</v>
      </c>
      <c r="Q268" s="5275"/>
      <c r="R268" s="1361"/>
      <c r="S268" s="1361"/>
      <c r="T268" s="1361"/>
      <c r="U268" s="1361"/>
      <c r="V268" s="1361"/>
      <c r="W268" s="8502"/>
      <c r="X268" s="5276"/>
      <c r="Y268" s="6896" t="s">
        <v>7498</v>
      </c>
      <c r="Z268" s="6897"/>
      <c r="AA268" s="6897"/>
      <c r="AB268" s="7150"/>
      <c r="AC268" s="5933" t="str">
        <f t="shared" si="68"/>
        <v>►</v>
      </c>
      <c r="AD268" s="5964" t="s">
        <v>8013</v>
      </c>
      <c r="AE268" s="5935">
        <v>0.2</v>
      </c>
      <c r="AF268" s="5945"/>
      <c r="AG268" s="5945"/>
      <c r="AH268" s="5945"/>
      <c r="AI268" s="5945"/>
      <c r="AJ268" s="5945"/>
      <c r="AK268" s="5945"/>
      <c r="AL268" s="5945"/>
      <c r="AM268" s="5945"/>
      <c r="AN268" s="5945"/>
      <c r="AO268" s="5945"/>
      <c r="AP268" s="5945"/>
      <c r="AQ268" s="5945"/>
      <c r="AR268" s="5946"/>
      <c r="AS268" s="7383"/>
      <c r="AW268" s="5818" t="str">
        <f t="shared" si="59"/>
        <v>►</v>
      </c>
      <c r="AX268" s="5950"/>
      <c r="AY268" s="5950"/>
      <c r="AZ268" s="5950"/>
      <c r="BA268" s="5950"/>
      <c r="BB268" s="5950"/>
      <c r="BC268" s="2"/>
      <c r="BX268" s="5">
        <v>1</v>
      </c>
    </row>
    <row r="269" spans="1:76" ht="21" customHeight="1">
      <c r="A269" s="5641" t="s">
        <v>1</v>
      </c>
      <c r="B269" s="5662" t="str">
        <f t="shared" si="69"/>
        <v>►</v>
      </c>
      <c r="C269" s="5825" cm="1">
        <f t="array" ref="C269">SUMPRODUCT(LEN(D269:J269))</f>
        <v>0</v>
      </c>
      <c r="D269" s="5275"/>
      <c r="E269" s="1361"/>
      <c r="F269" s="1361"/>
      <c r="G269" s="1361"/>
      <c r="H269" s="1361"/>
      <c r="I269" s="1361"/>
      <c r="J269" s="5276"/>
      <c r="K269" s="106"/>
      <c r="L269" s="1021" t="str">
        <f t="shared" si="70"/>
        <v>►</v>
      </c>
      <c r="M269" s="196" t="str">
        <f>M239</f>
        <v>Coller la-cellule-identité.N.Nom de votre recette</v>
      </c>
      <c r="N269" s="196">
        <f>N239</f>
        <v>18</v>
      </c>
      <c r="O269" s="196" t="str">
        <f>O239</f>
        <v>assiettes</v>
      </c>
      <c r="P269" s="196" t="str">
        <f>P239</f>
        <v>Recette mère ► saisissez le nom de la recette mère</v>
      </c>
      <c r="Q269" s="5275"/>
      <c r="R269" s="1361"/>
      <c r="S269" s="1361"/>
      <c r="T269" s="1361"/>
      <c r="U269" s="1361"/>
      <c r="V269" s="1361"/>
      <c r="W269" s="8502"/>
      <c r="X269" s="5276"/>
      <c r="Y269" s="5281" t="s">
        <v>8018</v>
      </c>
      <c r="Z269" s="147"/>
      <c r="AA269" s="7151" t="s">
        <v>8019</v>
      </c>
      <c r="AB269" s="7152"/>
      <c r="AC269" s="5933" t="str">
        <f t="shared" si="68"/>
        <v>►</v>
      </c>
      <c r="AD269" s="5979" t="s">
        <v>130</v>
      </c>
      <c r="AE269" s="5949">
        <v>1E-3</v>
      </c>
      <c r="AF269" s="5945"/>
      <c r="AG269" s="5945"/>
      <c r="AH269" s="5945"/>
      <c r="AI269" s="5945"/>
      <c r="AJ269" s="5945"/>
      <c r="AK269" s="5945"/>
      <c r="AL269" s="5945"/>
      <c r="AM269" s="5945"/>
      <c r="AN269" s="5945"/>
      <c r="AO269" s="5945"/>
      <c r="AP269" s="5945"/>
      <c r="AQ269" s="5945"/>
      <c r="AR269" s="5946"/>
      <c r="AS269" s="7383"/>
      <c r="AW269" s="5818" t="str">
        <f t="shared" si="59"/>
        <v>►</v>
      </c>
      <c r="AX269" s="5950"/>
      <c r="AY269" s="5950"/>
      <c r="AZ269" s="5950"/>
      <c r="BA269" s="5950"/>
      <c r="BB269" s="5950"/>
      <c r="BC269" s="2"/>
      <c r="BX269" s="5">
        <v>1</v>
      </c>
    </row>
    <row r="270" spans="1:76" ht="21" customHeight="1">
      <c r="A270" s="5641" t="s">
        <v>1</v>
      </c>
      <c r="B270" s="5662" t="str">
        <f t="shared" si="69"/>
        <v>►</v>
      </c>
      <c r="C270" s="5825" cm="1">
        <f t="array" ref="C270">SUMPRODUCT(LEN(D270:J270))</f>
        <v>0</v>
      </c>
      <c r="D270" s="5275"/>
      <c r="E270" s="1361"/>
      <c r="F270" s="1361"/>
      <c r="G270" s="1361"/>
      <c r="H270" s="1361"/>
      <c r="I270" s="1361"/>
      <c r="J270" s="5276"/>
      <c r="K270" s="106"/>
      <c r="L270" s="1021" t="str">
        <f t="shared" si="70"/>
        <v>►</v>
      </c>
      <c r="M270" s="196" t="str">
        <f>M239</f>
        <v>Coller la-cellule-identité.N.Nom de votre recette</v>
      </c>
      <c r="N270" s="196">
        <f>N239</f>
        <v>18</v>
      </c>
      <c r="O270" s="196" t="str">
        <f>O239</f>
        <v>assiettes</v>
      </c>
      <c r="P270" s="196" t="str">
        <f>P239</f>
        <v>Recette mère ► saisissez le nom de la recette mère</v>
      </c>
      <c r="Q270" s="5275"/>
      <c r="R270" s="1361"/>
      <c r="S270" s="1361"/>
      <c r="T270" s="1361"/>
      <c r="U270" s="1361"/>
      <c r="V270" s="1361"/>
      <c r="W270" s="8502"/>
      <c r="X270" s="5276"/>
      <c r="Y270" s="5282">
        <v>100</v>
      </c>
      <c r="Z270" s="147"/>
      <c r="AA270" s="6899"/>
      <c r="AB270" s="7153"/>
      <c r="AC270" s="5933" t="str">
        <f t="shared" si="68"/>
        <v>►</v>
      </c>
      <c r="AD270" s="5980" t="s">
        <v>219</v>
      </c>
      <c r="AE270" s="5949">
        <v>1</v>
      </c>
      <c r="AF270" s="5945"/>
      <c r="AG270" s="5945"/>
      <c r="AH270" s="5945"/>
      <c r="AI270" s="5945"/>
      <c r="AJ270" s="5945"/>
      <c r="AK270" s="5945"/>
      <c r="AL270" s="5945"/>
      <c r="AM270" s="5945"/>
      <c r="AN270" s="5945"/>
      <c r="AO270" s="5945"/>
      <c r="AP270" s="5945"/>
      <c r="AQ270" s="5945"/>
      <c r="AR270" s="5946"/>
      <c r="AS270" s="7383"/>
      <c r="AW270" s="5818" t="str">
        <f t="shared" si="59"/>
        <v>►</v>
      </c>
      <c r="AX270" s="5950"/>
      <c r="AY270" s="5950"/>
      <c r="AZ270" s="5950"/>
      <c r="BA270" s="5950"/>
      <c r="BB270" s="5950"/>
      <c r="BC270" s="2"/>
      <c r="BX270" s="5">
        <v>1</v>
      </c>
    </row>
    <row r="271" spans="1:76" ht="21" customHeight="1">
      <c r="A271" s="5641" t="s">
        <v>1</v>
      </c>
      <c r="B271" s="5662" t="str">
        <f t="shared" si="69"/>
        <v>►</v>
      </c>
      <c r="C271" s="5825" cm="1">
        <f t="array" ref="C271">SUMPRODUCT(LEN(D271:J271))</f>
        <v>0</v>
      </c>
      <c r="D271" s="5275"/>
      <c r="E271" s="1361"/>
      <c r="F271" s="1361"/>
      <c r="G271" s="1361"/>
      <c r="H271" s="1361"/>
      <c r="I271" s="1361"/>
      <c r="J271" s="5276"/>
      <c r="K271" s="106"/>
      <c r="L271" s="1021" t="str">
        <f t="shared" si="70"/>
        <v>►</v>
      </c>
      <c r="M271" s="196" t="str">
        <f>M239</f>
        <v>Coller la-cellule-identité.N.Nom de votre recette</v>
      </c>
      <c r="N271" s="196">
        <f>N239</f>
        <v>18</v>
      </c>
      <c r="O271" s="196" t="str">
        <f>O239</f>
        <v>assiettes</v>
      </c>
      <c r="P271" s="196" t="str">
        <f>P239</f>
        <v>Recette mère ► saisissez le nom de la recette mère</v>
      </c>
      <c r="Q271" s="5275"/>
      <c r="R271" s="1361"/>
      <c r="S271" s="1361"/>
      <c r="T271" s="1361"/>
      <c r="U271" s="1361"/>
      <c r="V271" s="1361"/>
      <c r="W271" s="8502"/>
      <c r="X271" s="5276"/>
      <c r="Y271" s="7379"/>
      <c r="Z271" s="7155"/>
      <c r="AA271" s="5283" t="s">
        <v>8020</v>
      </c>
      <c r="AB271" s="5322"/>
      <c r="AC271" s="5933" t="str">
        <f>IF(COUNTIF(AH273:AO273,"&lt;&gt;")+COUNTIF(AQ273:AR273,"&lt;&gt;")&gt;0,"A","►")</f>
        <v>►</v>
      </c>
      <c r="AD271" s="5984" t="s">
        <v>188</v>
      </c>
      <c r="AE271" s="5949">
        <v>0.25</v>
      </c>
      <c r="AF271" s="5805"/>
      <c r="AG271" s="5805"/>
      <c r="AH271" s="5805"/>
      <c r="AI271" s="5985" t="s">
        <v>8570</v>
      </c>
      <c r="AJ271" s="5805"/>
      <c r="AK271" s="5805"/>
      <c r="AL271" s="5804"/>
      <c r="AM271" s="5805"/>
      <c r="AN271" s="5805"/>
      <c r="AO271" s="5804"/>
      <c r="AP271" s="5788"/>
      <c r="AQ271" s="5788"/>
      <c r="AR271" s="5898"/>
      <c r="AS271" s="7383"/>
      <c r="AW271" s="5818" t="str">
        <f t="shared" si="59"/>
        <v>►</v>
      </c>
      <c r="AX271" s="5950"/>
      <c r="AY271" s="5950"/>
      <c r="AZ271" s="5950"/>
      <c r="BA271" s="5950"/>
      <c r="BB271" s="5950"/>
      <c r="BC271" s="2"/>
      <c r="BX271" s="5">
        <v>1</v>
      </c>
    </row>
    <row r="272" spans="1:76" ht="21" customHeight="1">
      <c r="A272" s="5641" t="s">
        <v>1</v>
      </c>
      <c r="B272" s="5662" t="str">
        <f t="shared" si="69"/>
        <v>►</v>
      </c>
      <c r="C272" s="5825" cm="1">
        <f t="array" ref="C272">SUMPRODUCT(LEN(D272:J272))</f>
        <v>0</v>
      </c>
      <c r="D272" s="5275"/>
      <c r="E272" s="1361"/>
      <c r="F272" s="1361"/>
      <c r="G272" s="1361"/>
      <c r="H272" s="1361"/>
      <c r="I272" s="1361"/>
      <c r="J272" s="5276"/>
      <c r="K272" s="106"/>
      <c r="L272" s="1021" t="str">
        <f t="shared" si="70"/>
        <v>►</v>
      </c>
      <c r="M272" s="196" t="str">
        <f>M239</f>
        <v>Coller la-cellule-identité.N.Nom de votre recette</v>
      </c>
      <c r="N272" s="196">
        <f>N239</f>
        <v>18</v>
      </c>
      <c r="O272" s="196" t="str">
        <f>O239</f>
        <v>assiettes</v>
      </c>
      <c r="P272" s="196" t="str">
        <f>P239</f>
        <v>Recette mère ► saisissez le nom de la recette mère</v>
      </c>
      <c r="Q272" s="5275"/>
      <c r="R272" s="1361"/>
      <c r="S272" s="1361"/>
      <c r="T272" s="1361"/>
      <c r="U272" s="1361"/>
      <c r="V272" s="1361"/>
      <c r="W272" s="8502"/>
      <c r="X272" s="5276"/>
      <c r="Y272" s="5284"/>
      <c r="Z272" s="5285" t="s">
        <v>8021</v>
      </c>
      <c r="AA272" s="5286"/>
      <c r="AB272" s="5323">
        <f>Y272*Y270</f>
        <v>0</v>
      </c>
      <c r="AC272" s="5817" t="s">
        <v>21</v>
      </c>
      <c r="AD272" s="5984" t="s">
        <v>176</v>
      </c>
      <c r="AE272" s="5949">
        <v>0.33332999999999996</v>
      </c>
      <c r="AF272" s="5804"/>
      <c r="AG272" s="5987">
        <v>0</v>
      </c>
      <c r="AH272" s="5988" t="s">
        <v>8571</v>
      </c>
      <c r="AI272" s="5988"/>
      <c r="AJ272" s="5989"/>
      <c r="AK272" s="5988"/>
      <c r="AL272" s="5990"/>
      <c r="AM272" s="5991"/>
      <c r="AN272" s="5991"/>
      <c r="AO272" s="5990"/>
      <c r="AP272" s="5987">
        <v>0</v>
      </c>
      <c r="AQ272" s="5992" t="s">
        <v>8572</v>
      </c>
      <c r="AR272" s="5993"/>
      <c r="AS272" s="7383"/>
      <c r="AW272" s="5818" t="str">
        <f t="shared" si="59"/>
        <v>A</v>
      </c>
      <c r="AX272" s="5950"/>
      <c r="AY272" s="5950"/>
      <c r="AZ272" s="5950"/>
      <c r="BA272" s="5950"/>
      <c r="BB272" s="5950"/>
      <c r="BC272" s="2"/>
      <c r="BX272" s="5">
        <v>1</v>
      </c>
    </row>
    <row r="273" spans="1:76" ht="21" customHeight="1">
      <c r="A273" s="5641" t="s">
        <v>1</v>
      </c>
      <c r="B273" s="5662" t="str">
        <f t="shared" si="69"/>
        <v>►</v>
      </c>
      <c r="C273" s="5825" cm="1">
        <f t="array" ref="C273">SUMPRODUCT(LEN(D273:J273))</f>
        <v>0</v>
      </c>
      <c r="D273" s="5275"/>
      <c r="E273" s="1361"/>
      <c r="F273" s="1361"/>
      <c r="G273" s="1361"/>
      <c r="H273" s="1361"/>
      <c r="I273" s="1361"/>
      <c r="J273" s="5276"/>
      <c r="K273" s="106"/>
      <c r="L273" s="1021" t="str">
        <f t="shared" si="70"/>
        <v>►</v>
      </c>
      <c r="M273" s="196" t="str">
        <f>M239</f>
        <v>Coller la-cellule-identité.N.Nom de votre recette</v>
      </c>
      <c r="N273" s="196">
        <f>N239</f>
        <v>18</v>
      </c>
      <c r="O273" s="196" t="str">
        <f>O239</f>
        <v>assiettes</v>
      </c>
      <c r="P273" s="196" t="str">
        <f>P239</f>
        <v>Recette mère ► saisissez le nom de la recette mère</v>
      </c>
      <c r="Q273" s="5275"/>
      <c r="R273" s="1361"/>
      <c r="S273" s="1361"/>
      <c r="T273" s="1361"/>
      <c r="U273" s="1361"/>
      <c r="V273" s="1361"/>
      <c r="W273" s="8502"/>
      <c r="X273" s="5276"/>
      <c r="Y273" s="5287"/>
      <c r="Z273" s="920" t="str">
        <f>"&lt; Nb "&amp;AA270&amp;" dans 1 " &amp;Y271</f>
        <v xml:space="preserve">&lt; Nb  dans 1 </v>
      </c>
      <c r="AA273" s="5288"/>
      <c r="AB273" s="5323"/>
      <c r="AC273" s="5933" t="str">
        <f>IF(COUNTIF(AH273:AO273,"&lt;&gt;")+COUNTIF(AQ273:AR273,"&lt;&gt;")&gt;0,"A","►")</f>
        <v>►</v>
      </c>
      <c r="AD273" s="5984" t="s">
        <v>179</v>
      </c>
      <c r="AE273" s="5949">
        <v>0.5</v>
      </c>
      <c r="AF273" s="5804"/>
      <c r="AG273" s="5994" t="str">
        <f>IF(COUNTIF(AH273:AJ273,"&lt;&gt;")=0,"",MAX(AG272:AG272)+1)</f>
        <v/>
      </c>
      <c r="AH273" s="5995"/>
      <c r="AI273" s="5995"/>
      <c r="AJ273" s="5995"/>
      <c r="AK273" s="5995"/>
      <c r="AL273" s="5995"/>
      <c r="AM273" s="5995"/>
      <c r="AN273" s="5995"/>
      <c r="AO273" s="5995"/>
      <c r="AP273" s="5994" t="str">
        <f>IF(COUNTIF(AQ273:AR273,"&lt;&gt;")=0,"",MAX(AP272:AP272)+1)</f>
        <v/>
      </c>
      <c r="AQ273" s="5996"/>
      <c r="AR273" s="5997"/>
      <c r="AS273" s="7383"/>
      <c r="AW273" s="5818" t="str">
        <f t="shared" si="59"/>
        <v>►</v>
      </c>
      <c r="AX273" s="5950"/>
      <c r="AY273" s="5950"/>
      <c r="AZ273" s="5950"/>
      <c r="BA273" s="5950"/>
      <c r="BB273" s="5950"/>
      <c r="BC273" s="2"/>
      <c r="BX273" s="5">
        <v>1</v>
      </c>
    </row>
    <row r="274" spans="1:76" ht="21" customHeight="1">
      <c r="A274" s="5641" t="s">
        <v>1</v>
      </c>
      <c r="B274" s="5662" t="str">
        <f t="shared" si="69"/>
        <v>►</v>
      </c>
      <c r="C274" s="5825" cm="1">
        <f t="array" ref="C274">SUMPRODUCT(LEN(D274:J274))</f>
        <v>0</v>
      </c>
      <c r="D274" s="5275"/>
      <c r="E274" s="1361"/>
      <c r="F274" s="1361"/>
      <c r="G274" s="1361"/>
      <c r="H274" s="1361"/>
      <c r="I274" s="1361"/>
      <c r="J274" s="5276"/>
      <c r="K274" s="106"/>
      <c r="L274" s="1021" t="str">
        <f t="shared" si="70"/>
        <v>►</v>
      </c>
      <c r="M274" s="196" t="str">
        <f>M239</f>
        <v>Coller la-cellule-identité.N.Nom de votre recette</v>
      </c>
      <c r="N274" s="196">
        <f>N239</f>
        <v>18</v>
      </c>
      <c r="O274" s="196" t="str">
        <f>O239</f>
        <v>assiettes</v>
      </c>
      <c r="P274" s="196" t="str">
        <f>P239</f>
        <v>Recette mère ► saisissez le nom de la recette mère</v>
      </c>
      <c r="Q274" s="5275"/>
      <c r="R274" s="1361"/>
      <c r="S274" s="1361"/>
      <c r="T274" s="1361"/>
      <c r="U274" s="1361"/>
      <c r="V274" s="1361"/>
      <c r="W274" s="8502"/>
      <c r="X274" s="5276"/>
      <c r="Y274" s="7167" t="str">
        <f>IF(OR(Y273="",AB272=0),"",INT(AB272/Y273) &amp; " " &amp; Y271 &amp; " de " &amp; Y273 &amp; " " &amp; AA270 &amp; IF(MOD(AB272,Y273)&gt;0," + 1 " &amp; Y271 &amp; " de " &amp; TEXT(MOD(AB272,Y273),"0.00") &amp; " " &amp; AA270,""))</f>
        <v/>
      </c>
      <c r="Z274" s="7168"/>
      <c r="AA274" s="7168"/>
      <c r="AB274" s="7169"/>
      <c r="AC274" s="5933" t="str">
        <f t="shared" ref="AC274:AC279" si="71">IF(COUNTIF(AH274:AO274,"&lt;&gt;")+COUNTIF(AQ274:AR274,"&lt;&gt;")&gt;0,"A","►")</f>
        <v>A</v>
      </c>
      <c r="AD274" s="5999" t="s">
        <v>122</v>
      </c>
      <c r="AE274" s="5949">
        <v>2.835E-2</v>
      </c>
      <c r="AF274" s="5804"/>
      <c r="AG274" s="5994">
        <f>IF(COUNTIF(AH274:AJ274,"&lt;&gt;")=0,"",MAX(AG272:AG273)+1)</f>
        <v>1</v>
      </c>
      <c r="AH274" s="5995" t="s">
        <v>8573</v>
      </c>
      <c r="AI274" s="5995"/>
      <c r="AJ274" s="5995"/>
      <c r="AK274" s="5995"/>
      <c r="AL274" s="5995"/>
      <c r="AM274" s="5995"/>
      <c r="AN274" s="5995"/>
      <c r="AO274" s="5995"/>
      <c r="AP274" s="5994">
        <f>IF(COUNTIF(AQ274:AR274,"&lt;&gt;")=0,"",MAX(AP272:AP273)+1)</f>
        <v>1</v>
      </c>
      <c r="AQ274" s="5996" t="s">
        <v>8574</v>
      </c>
      <c r="AR274" s="5997"/>
      <c r="AS274" s="7383"/>
      <c r="AW274" s="5818" t="str">
        <f t="shared" si="59"/>
        <v>A</v>
      </c>
      <c r="AX274" s="5950"/>
      <c r="AY274" s="5950"/>
      <c r="AZ274" s="5950"/>
      <c r="BA274" s="5950"/>
      <c r="BB274" s="5950"/>
      <c r="BC274" s="2"/>
      <c r="BX274" s="5">
        <v>1</v>
      </c>
    </row>
    <row r="275" spans="1:76" ht="21" customHeight="1">
      <c r="A275" s="5641" t="s">
        <v>1</v>
      </c>
      <c r="B275" s="5662" t="str">
        <f t="shared" si="69"/>
        <v>►</v>
      </c>
      <c r="C275" s="5825" cm="1">
        <f t="array" ref="C275">SUMPRODUCT(LEN(D275:J275))</f>
        <v>0</v>
      </c>
      <c r="D275" s="5275"/>
      <c r="E275" s="1361"/>
      <c r="F275" s="1361"/>
      <c r="G275" s="1361"/>
      <c r="H275" s="1361"/>
      <c r="I275" s="1361"/>
      <c r="J275" s="5276"/>
      <c r="K275" s="106"/>
      <c r="L275" s="5289" t="s">
        <v>26</v>
      </c>
      <c r="M275" s="196" t="str">
        <f>M239</f>
        <v>Coller la-cellule-identité.N.Nom de votre recette</v>
      </c>
      <c r="N275" s="196">
        <f>N239</f>
        <v>18</v>
      </c>
      <c r="O275" s="196" t="str">
        <f>O239</f>
        <v>assiettes</v>
      </c>
      <c r="P275" s="196" t="str">
        <f>P239</f>
        <v>Recette mère ► saisissez le nom de la recette mère</v>
      </c>
      <c r="Q275" s="5290" t="s">
        <v>1112</v>
      </c>
      <c r="R275" s="1361"/>
      <c r="S275" s="1361"/>
      <c r="T275" s="1361"/>
      <c r="U275" s="1361"/>
      <c r="V275" s="1361"/>
      <c r="W275" s="8503"/>
      <c r="X275" s="5291"/>
      <c r="Y275" s="7170"/>
      <c r="Z275" s="7171"/>
      <c r="AA275" s="7171"/>
      <c r="AB275" s="7172"/>
      <c r="AC275" s="5933" t="str">
        <f t="shared" si="71"/>
        <v>►</v>
      </c>
      <c r="AD275" s="5999" t="s">
        <v>113</v>
      </c>
      <c r="AE275" s="5949">
        <v>0.13</v>
      </c>
      <c r="AF275" s="5804"/>
      <c r="AG275" s="5994" t="str">
        <f>IF(COUNTIF(AH275:AJ275,"&lt;&gt;")=0,"",MAX(AG272:AG274)+1)</f>
        <v/>
      </c>
      <c r="AH275" s="5995"/>
      <c r="AI275" s="5995"/>
      <c r="AJ275" s="5995"/>
      <c r="AK275" s="5995"/>
      <c r="AL275" s="5995"/>
      <c r="AM275" s="5995"/>
      <c r="AN275" s="5995"/>
      <c r="AO275" s="5995"/>
      <c r="AP275" s="5994" t="str">
        <f>IF(COUNTIF(AQ275:AR275,"&lt;&gt;")=0,"",MAX(AP272:AP274)+1)</f>
        <v/>
      </c>
      <c r="AQ275" s="5996"/>
      <c r="AR275" s="5997"/>
      <c r="AS275" s="7383"/>
      <c r="AW275" s="5818" t="str">
        <f t="shared" si="59"/>
        <v>►</v>
      </c>
      <c r="AX275" s="5950"/>
      <c r="AY275" s="5950"/>
      <c r="AZ275" s="5950"/>
      <c r="BA275" s="5950"/>
      <c r="BB275" s="5950"/>
      <c r="BC275" s="2"/>
      <c r="BX275" s="5">
        <v>1</v>
      </c>
    </row>
    <row r="276" spans="1:76" ht="21" customHeight="1">
      <c r="A276" s="5641" t="s">
        <v>1</v>
      </c>
      <c r="B276" s="5662" t="str">
        <f t="shared" si="69"/>
        <v>A</v>
      </c>
      <c r="C276" s="5825" cm="1">
        <f t="array" ref="C276">SUMPRODUCT(LEN(D276:J276))</f>
        <v>0</v>
      </c>
      <c r="D276" s="5275"/>
      <c r="E276" s="1361"/>
      <c r="F276" s="1361"/>
      <c r="G276" s="1361"/>
      <c r="H276" s="1361"/>
      <c r="I276" s="1361"/>
      <c r="J276" s="5276"/>
      <c r="K276" s="106"/>
      <c r="L276" s="5289" t="s">
        <v>21</v>
      </c>
      <c r="M276" s="196" t="str">
        <f>M239</f>
        <v>Coller la-cellule-identité.N.Nom de votre recette</v>
      </c>
      <c r="N276" s="196">
        <f>N239</f>
        <v>18</v>
      </c>
      <c r="O276" s="196" t="str">
        <f>O239</f>
        <v>assiettes</v>
      </c>
      <c r="P276" s="196" t="str">
        <f>P239</f>
        <v>Recette mère ► saisissez le nom de la recette mère</v>
      </c>
      <c r="Q276" s="5292" t="s">
        <v>8022</v>
      </c>
      <c r="R276" s="988"/>
      <c r="S276" s="988"/>
      <c r="T276" s="988"/>
      <c r="U276" s="988"/>
      <c r="V276" s="988"/>
      <c r="W276" s="8504"/>
      <c r="X276" s="1325"/>
      <c r="Y276" s="5293"/>
      <c r="Z276" s="77" t="s">
        <v>8023</v>
      </c>
      <c r="AA276" s="147"/>
      <c r="AB276" s="5324">
        <f>(Y276*Y270)/1000</f>
        <v>0</v>
      </c>
      <c r="AC276" s="5933" t="str">
        <f t="shared" si="71"/>
        <v>►</v>
      </c>
      <c r="AD276" s="5999" t="s">
        <v>112</v>
      </c>
      <c r="AE276" s="5949">
        <v>0.2</v>
      </c>
      <c r="AF276" s="5804"/>
      <c r="AG276" s="5994" t="str">
        <f>IF(COUNTIF(AH276:AJ276,"&lt;&gt;")=0,"",MAX(AG272:AG275)+1)</f>
        <v/>
      </c>
      <c r="AH276" s="5995"/>
      <c r="AI276" s="5995"/>
      <c r="AJ276" s="5995"/>
      <c r="AK276" s="5995"/>
      <c r="AL276" s="5995"/>
      <c r="AM276" s="5995"/>
      <c r="AN276" s="5995"/>
      <c r="AO276" s="5995"/>
      <c r="AP276" s="5994" t="str">
        <f>IF(COUNTIF(AQ276:AR276,"&lt;&gt;")=0,"",MAX(AP272:AP275)+1)</f>
        <v/>
      </c>
      <c r="AQ276" s="5996"/>
      <c r="AR276" s="5997"/>
      <c r="AS276" s="7383"/>
      <c r="AW276" s="5818" t="str">
        <f t="shared" si="59"/>
        <v>►</v>
      </c>
      <c r="AX276" s="5950"/>
      <c r="AY276" s="5950"/>
      <c r="AZ276" s="5950"/>
      <c r="BA276" s="5950"/>
      <c r="BB276" s="5950"/>
      <c r="BC276" s="2"/>
      <c r="BX276" s="5">
        <v>1</v>
      </c>
    </row>
    <row r="277" spans="1:76" ht="21" customHeight="1">
      <c r="A277" s="5641" t="s">
        <v>1</v>
      </c>
      <c r="B277" s="5662" t="str">
        <f t="shared" si="69"/>
        <v>A</v>
      </c>
      <c r="C277" s="5825" cm="1">
        <f t="array" ref="C277">SUMPRODUCT(LEN(D277:J277))</f>
        <v>0</v>
      </c>
      <c r="D277" s="5275"/>
      <c r="E277" s="1361"/>
      <c r="F277" s="1361"/>
      <c r="G277" s="1361"/>
      <c r="H277" s="1361"/>
      <c r="I277" s="1361"/>
      <c r="J277" s="5276"/>
      <c r="K277" s="106"/>
      <c r="L277" s="5289" t="s">
        <v>21</v>
      </c>
      <c r="M277" s="196" t="str">
        <f>M239</f>
        <v>Coller la-cellule-identité.N.Nom de votre recette</v>
      </c>
      <c r="N277" s="196">
        <f>N239</f>
        <v>18</v>
      </c>
      <c r="O277" s="196" t="str">
        <f>O239</f>
        <v>assiettes</v>
      </c>
      <c r="P277" s="196" t="str">
        <f>P239</f>
        <v>Recette mère ► saisissez le nom de la recette mère</v>
      </c>
      <c r="Q277" s="5294" t="s">
        <v>8024</v>
      </c>
      <c r="R277" s="1449"/>
      <c r="S277" s="1449"/>
      <c r="T277" s="1449"/>
      <c r="U277" s="1449"/>
      <c r="V277" s="1449"/>
      <c r="W277" s="5410"/>
      <c r="X277" s="5295"/>
      <c r="Y277" s="5296"/>
      <c r="Z277" s="5297" t="str">
        <f>"poids par "&amp; Y271</f>
        <v xml:space="preserve">poids par </v>
      </c>
      <c r="AA277" s="147"/>
      <c r="AB277" s="5322"/>
      <c r="AC277" s="5933" t="str">
        <f t="shared" si="71"/>
        <v>►</v>
      </c>
      <c r="AD277" s="5999" t="s">
        <v>8015</v>
      </c>
      <c r="AE277" s="5949">
        <v>0.23</v>
      </c>
      <c r="AF277" s="5804"/>
      <c r="AG277" s="5994" t="str">
        <f>IF(COUNTIF(AH277:AJ277,"&lt;&gt;")=0,"",MAX(AG272:AG276)+1)</f>
        <v/>
      </c>
      <c r="AH277" s="5995"/>
      <c r="AI277" s="5995"/>
      <c r="AJ277" s="5995"/>
      <c r="AK277" s="5995"/>
      <c r="AL277" s="5995"/>
      <c r="AM277" s="5995"/>
      <c r="AN277" s="5995"/>
      <c r="AO277" s="5995"/>
      <c r="AP277" s="5994" t="str">
        <f>IF(COUNTIF(AQ277:AR277,"&lt;&gt;")=0,"",MAX(AP272:AP276)+1)</f>
        <v/>
      </c>
      <c r="AQ277" s="5996"/>
      <c r="AR277" s="5997"/>
      <c r="AS277" s="7383"/>
      <c r="AW277" s="5818" t="str">
        <f t="shared" si="59"/>
        <v>►</v>
      </c>
      <c r="AX277" s="5950"/>
      <c r="AY277" s="5950"/>
      <c r="AZ277" s="5950"/>
      <c r="BA277" s="5950"/>
      <c r="BB277" s="5950"/>
      <c r="BC277" s="2"/>
      <c r="BX277" s="5">
        <v>1</v>
      </c>
    </row>
    <row r="278" spans="1:76" ht="21" customHeight="1">
      <c r="A278" s="5641" t="s">
        <v>1</v>
      </c>
      <c r="B278" s="5662" t="str">
        <f t="shared" si="69"/>
        <v>A</v>
      </c>
      <c r="C278" s="5825" cm="1">
        <f t="array" ref="C278">SUMPRODUCT(LEN(D278:J278))</f>
        <v>0</v>
      </c>
      <c r="D278" s="5275"/>
      <c r="E278" s="1361"/>
      <c r="F278" s="1361"/>
      <c r="G278" s="1361"/>
      <c r="H278" s="1361"/>
      <c r="I278" s="1361"/>
      <c r="J278" s="5276"/>
      <c r="K278" s="106"/>
      <c r="L278" s="5289" t="s">
        <v>21</v>
      </c>
      <c r="M278" s="196" t="str">
        <f>M239</f>
        <v>Coller la-cellule-identité.N.Nom de votre recette</v>
      </c>
      <c r="N278" s="196">
        <f>N239</f>
        <v>18</v>
      </c>
      <c r="O278" s="196" t="str">
        <f>O239</f>
        <v>assiettes</v>
      </c>
      <c r="P278" s="196" t="str">
        <f>P239</f>
        <v>Recette mère ► saisissez le nom de la recette mère</v>
      </c>
      <c r="Q278" s="1002"/>
      <c r="R278" s="1002"/>
      <c r="S278" s="1002" t="s">
        <v>873</v>
      </c>
      <c r="T278" s="1003"/>
      <c r="U278" s="1329"/>
      <c r="V278" s="1329"/>
      <c r="W278" s="1329"/>
      <c r="X278" s="1330"/>
      <c r="Y278" s="7173" t="str">
        <f>IF(AB276=0,"",IF(Y277=0,"",INT(AB276/Y277) &amp; " " &amp; Y271 &amp; " de " &amp; Y277 &amp; " kg" &amp; IF(MOD(AB276,Y277)=0,"",IF(MOD(AB276,Y277)=Y277,""," + 1 " &amp; Y271 &amp; " de " &amp; TEXT(MOD(AB276,Y277),"0.000") &amp; " kg"))))</f>
        <v/>
      </c>
      <c r="Z278" s="7174"/>
      <c r="AA278" s="7174"/>
      <c r="AB278" s="7175"/>
      <c r="AC278" s="5933" t="str">
        <f t="shared" si="71"/>
        <v>►</v>
      </c>
      <c r="AD278" s="5999" t="s">
        <v>8016</v>
      </c>
      <c r="AE278" s="5949">
        <v>0.24</v>
      </c>
      <c r="AF278" s="5804"/>
      <c r="AG278" s="5994" t="str">
        <f>IF(COUNTIF(AH278:AJ278,"&lt;&gt;")=0,"",MAX(AG272:AG277)+1)</f>
        <v/>
      </c>
      <c r="AH278" s="5995"/>
      <c r="AI278" s="5995"/>
      <c r="AJ278" s="5995"/>
      <c r="AK278" s="5995"/>
      <c r="AL278" s="5995"/>
      <c r="AM278" s="5995"/>
      <c r="AN278" s="5995"/>
      <c r="AO278" s="5995"/>
      <c r="AP278" s="5994" t="str">
        <f>IF(COUNTIF(AQ278:AR278,"&lt;&gt;")=0,"",MAX(AP272:AP277)+1)</f>
        <v/>
      </c>
      <c r="AQ278" s="5996"/>
      <c r="AR278" s="5997"/>
      <c r="AS278" s="7383"/>
      <c r="AW278" s="5818" t="str">
        <f t="shared" si="59"/>
        <v>►</v>
      </c>
      <c r="AX278" s="5950"/>
      <c r="AY278" s="5950"/>
      <c r="AZ278" s="5950"/>
      <c r="BA278" s="5950"/>
      <c r="BB278" s="5950"/>
      <c r="BC278" s="2"/>
      <c r="BX278" s="5">
        <v>1</v>
      </c>
    </row>
    <row r="279" spans="1:76" ht="21" customHeight="1">
      <c r="A279" s="5641" t="s">
        <v>1</v>
      </c>
      <c r="B279" s="5662" t="str">
        <f t="shared" si="69"/>
        <v>A</v>
      </c>
      <c r="C279" s="5825" cm="1">
        <f t="array" ref="C279">SUMPRODUCT(LEN(D279:J279))</f>
        <v>0</v>
      </c>
      <c r="D279" s="5275"/>
      <c r="E279" s="1361"/>
      <c r="F279" s="1361"/>
      <c r="G279" s="1361"/>
      <c r="H279" s="1361"/>
      <c r="I279" s="1361"/>
      <c r="J279" s="5276"/>
      <c r="K279" s="106"/>
      <c r="L279" s="1037" t="s">
        <v>21</v>
      </c>
      <c r="M279" s="5298" t="str">
        <f>M255</f>
        <v>Coller la-cellule-identité.N.Nom de votre recette</v>
      </c>
      <c r="N279" s="5298">
        <f>N255</f>
        <v>18</v>
      </c>
      <c r="O279" s="5298" t="str">
        <f>O255</f>
        <v>assiettes</v>
      </c>
      <c r="P279" s="5298"/>
      <c r="Q279" s="5299" t="s">
        <v>86</v>
      </c>
      <c r="R279" s="5300"/>
      <c r="S279" s="5301"/>
      <c r="T279" s="5302" t="s">
        <v>8025</v>
      </c>
      <c r="U279" s="5301"/>
      <c r="V279" s="5301"/>
      <c r="W279" s="8497"/>
      <c r="X279" s="5303"/>
      <c r="Y279" s="7176"/>
      <c r="Z279" s="6886"/>
      <c r="AA279" s="6886"/>
      <c r="AB279" s="7177"/>
      <c r="AC279" s="5933" t="str">
        <f t="shared" si="71"/>
        <v>►</v>
      </c>
      <c r="AD279" s="6003" t="s">
        <v>8014</v>
      </c>
      <c r="AE279" s="5949">
        <v>0</v>
      </c>
      <c r="AF279" s="5804"/>
      <c r="AG279" s="5994" t="str">
        <f>IF(COUNTIF(AH279:AJ279,"&lt;&gt;")=0,"",MAX(AG272:AG278)+1)</f>
        <v/>
      </c>
      <c r="AH279" s="5995"/>
      <c r="AI279" s="5995"/>
      <c r="AJ279" s="5995"/>
      <c r="AK279" s="5995"/>
      <c r="AL279" s="5995"/>
      <c r="AM279" s="5995"/>
      <c r="AN279" s="5995"/>
      <c r="AO279" s="5995"/>
      <c r="AP279" s="5994" t="str">
        <f>IF(COUNTIF(AQ279:AR279,"&lt;&gt;")=0,"",MAX(AP272:AP278)+1)</f>
        <v/>
      </c>
      <c r="AQ279" s="5996"/>
      <c r="AR279" s="5997"/>
      <c r="AS279" s="7383"/>
      <c r="AW279" s="5818" t="str">
        <f t="shared" si="59"/>
        <v>►</v>
      </c>
      <c r="AX279" s="5950"/>
      <c r="AY279" s="5950"/>
      <c r="AZ279" s="5950"/>
      <c r="BA279" s="5950"/>
      <c r="BB279" s="5950"/>
      <c r="BC279" s="2"/>
      <c r="BX279" s="5">
        <v>1</v>
      </c>
    </row>
    <row r="280" spans="1:76" ht="21" customHeight="1" thickBot="1">
      <c r="A280" s="5641" t="s">
        <v>1</v>
      </c>
      <c r="B280" s="5662" t="str">
        <f t="shared" si="69"/>
        <v>A</v>
      </c>
      <c r="C280" s="5825" cm="1">
        <f t="array" ref="C280">SUMPRODUCT(LEN(D280:J280))</f>
        <v>0</v>
      </c>
      <c r="D280" s="5275"/>
      <c r="E280" s="1361"/>
      <c r="F280" s="1361"/>
      <c r="G280" s="1361"/>
      <c r="H280" s="1361"/>
      <c r="I280" s="1361"/>
      <c r="J280" s="5276"/>
      <c r="K280" s="106"/>
      <c r="L280" s="5304" t="s">
        <v>21</v>
      </c>
      <c r="M280" s="5305"/>
      <c r="N280" s="5305"/>
      <c r="O280" s="5305"/>
      <c r="P280" s="5305"/>
      <c r="Q280" s="5306" t="s">
        <v>269</v>
      </c>
      <c r="R280" s="5307" t="str">
        <f ca="1">CELL("nomfichier")</f>
        <v>D:\Données\1.UPRT\0-UPRT.fait\1-UPRT.FR-SITE-WEB\ff-fiches-fabrications\ff.fiches.fabrication.2023\ffr.restaurant.2023\[ff.REPERTOIRE.600.LIGNES.15.xlsx]Differents.postits.FR.EN.ES</v>
      </c>
      <c r="S280" s="5308"/>
      <c r="T280" s="5308"/>
      <c r="U280" s="5308"/>
      <c r="V280" s="5308"/>
      <c r="W280" s="5308"/>
      <c r="X280" s="5308"/>
      <c r="Y280" s="5308"/>
      <c r="Z280" s="5308"/>
      <c r="AA280" s="5308"/>
      <c r="AB280" s="5309"/>
      <c r="AC280" s="5817" t="s">
        <v>21</v>
      </c>
      <c r="AD280" s="6005"/>
      <c r="AE280" s="6006"/>
      <c r="AF280" s="6006"/>
      <c r="AG280" s="6006"/>
      <c r="AH280" s="6006"/>
      <c r="AI280" s="6006"/>
      <c r="AJ280" s="6006"/>
      <c r="AK280" s="6006"/>
      <c r="AL280" s="6007"/>
      <c r="AM280" s="6007"/>
      <c r="AN280" s="6007"/>
      <c r="AO280" s="6007"/>
      <c r="AP280" s="6007"/>
      <c r="AQ280" s="6007"/>
      <c r="AR280" s="6008"/>
      <c r="AS280" s="7383"/>
      <c r="AW280" s="5818" t="str">
        <f t="shared" si="59"/>
        <v>A</v>
      </c>
      <c r="AX280" s="5950"/>
      <c r="AY280" s="5950"/>
      <c r="AZ280" s="5950"/>
      <c r="BA280" s="5950"/>
      <c r="BB280" s="5950"/>
      <c r="BC280" s="2"/>
      <c r="BX280" s="5">
        <v>1</v>
      </c>
    </row>
    <row r="281" spans="1:76" ht="21" customHeight="1" thickBot="1">
      <c r="A281" s="5641" t="s">
        <v>1</v>
      </c>
      <c r="B281" s="5662" t="str">
        <f t="shared" si="69"/>
        <v>A</v>
      </c>
      <c r="C281" s="5825" cm="1">
        <f t="array" ref="C281">SUMPRODUCT(LEN(D281:J281))</f>
        <v>0</v>
      </c>
      <c r="D281" s="5275"/>
      <c r="E281" s="1361"/>
      <c r="F281" s="1361"/>
      <c r="G281" s="1361"/>
      <c r="H281" s="1361"/>
      <c r="I281" s="1361"/>
      <c r="J281" s="5276"/>
      <c r="K281" s="106"/>
      <c r="L281" s="6009" t="s">
        <v>21</v>
      </c>
      <c r="M281" s="6010"/>
      <c r="N281" s="6010"/>
      <c r="O281" s="6010"/>
      <c r="P281" s="6010"/>
      <c r="Q281" s="6011"/>
      <c r="R281" s="6011"/>
      <c r="S281" s="6011"/>
      <c r="T281" s="6011"/>
      <c r="U281" s="6011"/>
      <c r="V281" s="6011"/>
      <c r="W281" s="6011"/>
      <c r="X281" s="6011"/>
      <c r="Y281" s="6011"/>
      <c r="Z281" s="6011"/>
      <c r="AA281" s="6011"/>
      <c r="AB281" s="6011"/>
      <c r="AC281" s="5817" t="s">
        <v>21</v>
      </c>
      <c r="AD281" s="6011"/>
      <c r="AE281" s="6011"/>
      <c r="AF281" s="6011"/>
      <c r="AG281" s="6011"/>
      <c r="AH281" s="6011"/>
      <c r="AI281" s="6011"/>
      <c r="AJ281" s="6011"/>
      <c r="AK281" s="6011"/>
      <c r="AL281" s="6011"/>
      <c r="AM281" s="6011"/>
      <c r="AN281" s="6011"/>
      <c r="AO281" s="6012"/>
      <c r="AP281" s="6013"/>
      <c r="AQ281" s="6013"/>
      <c r="AR281" s="6013"/>
      <c r="AS281" s="7383"/>
      <c r="AW281" s="5818" t="str">
        <f t="shared" si="59"/>
        <v>A</v>
      </c>
      <c r="AX281" s="5950"/>
      <c r="AY281" s="5950"/>
      <c r="AZ281" s="5950"/>
      <c r="BA281" s="5950"/>
      <c r="BB281" s="5950"/>
      <c r="BC281" s="2"/>
      <c r="BX281" s="5">
        <v>1</v>
      </c>
    </row>
    <row r="282" spans="1:76" ht="21" customHeight="1">
      <c r="A282" s="5641" t="s">
        <v>1</v>
      </c>
      <c r="B282" s="5662" t="str">
        <f t="shared" si="69"/>
        <v>A</v>
      </c>
      <c r="C282" s="5825" cm="1">
        <f t="array" ref="C282">SUMPRODUCT(LEN(D282:J282))</f>
        <v>0</v>
      </c>
      <c r="D282" s="5275"/>
      <c r="E282" s="1361"/>
      <c r="F282" s="1361"/>
      <c r="G282" s="1361"/>
      <c r="H282" s="1361"/>
      <c r="I282" s="1361"/>
      <c r="J282" s="5276"/>
      <c r="K282" s="106" t="s">
        <v>1</v>
      </c>
      <c r="L282" s="5636" t="s">
        <v>21</v>
      </c>
      <c r="M282" s="5231" t="str">
        <f>M288</f>
        <v>Coller la-cellule-identité.N.Nom de votre recette</v>
      </c>
      <c r="N282" s="5232">
        <f>N288</f>
        <v>18</v>
      </c>
      <c r="O282" s="5232" t="str">
        <f>O288</f>
        <v>assiettes</v>
      </c>
      <c r="P282" s="5232"/>
      <c r="Q282" s="5233" t="s">
        <v>1</v>
      </c>
      <c r="R282" s="5234" t="s">
        <v>251</v>
      </c>
      <c r="S282" s="5234"/>
      <c r="T282" s="6911" t="s">
        <v>1090</v>
      </c>
      <c r="U282" s="6911"/>
      <c r="V282" s="6911"/>
      <c r="W282" s="6911"/>
      <c r="X282" s="6911"/>
      <c r="Y282" s="6911"/>
      <c r="Z282" s="7385" t="s">
        <v>8611</v>
      </c>
      <c r="AA282" s="7385"/>
      <c r="AB282" s="6915" t="str">
        <f>UPPER(LEFT(T282,1))</f>
        <v>N</v>
      </c>
      <c r="AC282" s="5817" t="s">
        <v>21</v>
      </c>
      <c r="AD282" s="7339" t="str">
        <f>T282</f>
        <v>NOM DE VOTRE RECETTE</v>
      </c>
      <c r="AE282" s="7340"/>
      <c r="AF282" s="7340"/>
      <c r="AG282" s="7340"/>
      <c r="AH282" s="7340"/>
      <c r="AI282" s="7340"/>
      <c r="AJ282" s="7340"/>
      <c r="AK282" s="7340"/>
      <c r="AL282" s="7340"/>
      <c r="AM282" s="7340"/>
      <c r="AN282" s="7340"/>
      <c r="AO282" s="7340"/>
      <c r="AP282" s="7340"/>
      <c r="AQ282" s="7340"/>
      <c r="AR282" s="7343">
        <f>IF(ISBLANK(AM29),AK29,AM29)</f>
        <v>0</v>
      </c>
      <c r="AS282" s="7383"/>
      <c r="AW282" s="5818" t="str">
        <f t="shared" si="59"/>
        <v>A</v>
      </c>
      <c r="AX282" s="5950"/>
      <c r="AY282" s="5950"/>
      <c r="AZ282" s="5950"/>
      <c r="BA282" s="5950"/>
      <c r="BB282" s="5950"/>
      <c r="BC282" s="2"/>
      <c r="BX282" s="5">
        <v>1</v>
      </c>
    </row>
    <row r="283" spans="1:76" ht="21" customHeight="1">
      <c r="A283" s="5641" t="s">
        <v>1</v>
      </c>
      <c r="B283" s="5662" t="str">
        <f t="shared" si="69"/>
        <v>A</v>
      </c>
      <c r="C283" s="5825" cm="1">
        <f t="array" ref="C283">SUMPRODUCT(LEN(D283:J283))</f>
        <v>0</v>
      </c>
      <c r="D283" s="5275"/>
      <c r="E283" s="1361"/>
      <c r="F283" s="1361"/>
      <c r="G283" s="1361"/>
      <c r="H283" s="1361"/>
      <c r="I283" s="1361"/>
      <c r="J283" s="5276"/>
      <c r="K283" s="106" t="s">
        <v>1</v>
      </c>
      <c r="L283" s="1018" t="s">
        <v>21</v>
      </c>
      <c r="M283" s="363" t="str">
        <f>M288</f>
        <v>Coller la-cellule-identité.N.Nom de votre recette</v>
      </c>
      <c r="N283" s="362"/>
      <c r="O283" s="362"/>
      <c r="P283" s="362"/>
      <c r="Q283" s="361" t="s">
        <v>245</v>
      </c>
      <c r="R283" s="360" t="s">
        <v>244</v>
      </c>
      <c r="S283" s="360"/>
      <c r="T283" s="6912"/>
      <c r="U283" s="6912"/>
      <c r="V283" s="6912"/>
      <c r="W283" s="6912"/>
      <c r="X283" s="6912"/>
      <c r="Y283" s="6912"/>
      <c r="Z283" s="7386"/>
      <c r="AA283" s="7386"/>
      <c r="AB283" s="6916"/>
      <c r="AC283" s="5817" t="s">
        <v>21</v>
      </c>
      <c r="AD283" s="7341"/>
      <c r="AE283" s="7342"/>
      <c r="AF283" s="7342"/>
      <c r="AG283" s="7342"/>
      <c r="AH283" s="7342"/>
      <c r="AI283" s="7342"/>
      <c r="AJ283" s="7342"/>
      <c r="AK283" s="7342"/>
      <c r="AL283" s="7342"/>
      <c r="AM283" s="7342"/>
      <c r="AN283" s="7342"/>
      <c r="AO283" s="7342"/>
      <c r="AP283" s="7342"/>
      <c r="AQ283" s="7342"/>
      <c r="AR283" s="7344"/>
      <c r="AS283" s="7383"/>
      <c r="AW283" s="5818" t="str">
        <f t="shared" si="59"/>
        <v>A</v>
      </c>
      <c r="AX283" s="5950"/>
      <c r="AY283" s="5950"/>
      <c r="AZ283" s="5950"/>
      <c r="BA283" s="5950"/>
      <c r="BB283" s="5950"/>
      <c r="BC283" s="2"/>
      <c r="BX283" s="5">
        <v>1</v>
      </c>
    </row>
    <row r="284" spans="1:76" ht="21" customHeight="1">
      <c r="A284" s="5641" t="s">
        <v>1</v>
      </c>
      <c r="B284" s="5662" t="str">
        <f t="shared" si="69"/>
        <v>A</v>
      </c>
      <c r="C284" s="5825" cm="1">
        <f t="array" ref="C284">SUMPRODUCT(LEN(D284:J284))</f>
        <v>0</v>
      </c>
      <c r="D284" s="5275"/>
      <c r="E284" s="1361"/>
      <c r="F284" s="1361"/>
      <c r="G284" s="1361"/>
      <c r="H284" s="1361"/>
      <c r="I284" s="1361"/>
      <c r="J284" s="5276"/>
      <c r="K284" s="106" t="s">
        <v>1</v>
      </c>
      <c r="L284" s="1018" t="s">
        <v>21</v>
      </c>
      <c r="M284" s="41" t="str">
        <f>M288</f>
        <v>Coller la-cellule-identité.N.Nom de votre recette</v>
      </c>
      <c r="N284" s="40">
        <f>N288</f>
        <v>18</v>
      </c>
      <c r="O284" s="40" t="str">
        <f>O288</f>
        <v>assiettes</v>
      </c>
      <c r="P284" s="40" t="str">
        <f>P288</f>
        <v>Recette mère ► saisissez le nom de la recette mère</v>
      </c>
      <c r="Q284" s="351"/>
      <c r="R284" s="350" t="s">
        <v>233</v>
      </c>
      <c r="S284" s="349"/>
      <c r="T284" s="348" t="s">
        <v>232</v>
      </c>
      <c r="U284" s="347" t="s">
        <v>1092</v>
      </c>
      <c r="V284" s="141"/>
      <c r="W284" s="347"/>
      <c r="X284" s="347"/>
      <c r="Y284" s="5235"/>
      <c r="Z284" s="141"/>
      <c r="AA284" s="141"/>
      <c r="AB284" s="409"/>
      <c r="AC284" s="5817" t="s">
        <v>21</v>
      </c>
      <c r="AD284" s="5826"/>
      <c r="AE284" s="5827"/>
      <c r="AF284" s="5827"/>
      <c r="AG284" s="5827"/>
      <c r="AH284" s="5827"/>
      <c r="AI284" s="5827"/>
      <c r="AJ284" s="5827"/>
      <c r="AK284" s="5828"/>
      <c r="AL284" s="5828"/>
      <c r="AM284" s="5828"/>
      <c r="AN284" s="5828"/>
      <c r="AO284" s="5828"/>
      <c r="AP284" s="5829"/>
      <c r="AQ284" s="5829" t="s">
        <v>248</v>
      </c>
      <c r="AR284" s="5830">
        <f>IF(Y306=0,0,AR282/Y306)</f>
        <v>0</v>
      </c>
      <c r="AS284" s="7383"/>
      <c r="AW284" s="5818" t="str">
        <f t="shared" si="59"/>
        <v>A</v>
      </c>
      <c r="AX284" s="5950"/>
      <c r="AY284" s="5950"/>
      <c r="AZ284" s="5950"/>
      <c r="BA284" s="5950"/>
      <c r="BB284" s="5950"/>
      <c r="BC284" s="2"/>
      <c r="BX284" s="5">
        <v>1</v>
      </c>
    </row>
    <row r="285" spans="1:76" ht="21" customHeight="1">
      <c r="A285" s="5641" t="s">
        <v>1</v>
      </c>
      <c r="B285" s="5662" t="str">
        <f t="shared" si="69"/>
        <v>A</v>
      </c>
      <c r="C285" s="5825" cm="1">
        <f t="array" ref="C285">SUMPRODUCT(LEN(D285:J285))</f>
        <v>0</v>
      </c>
      <c r="D285" s="5275"/>
      <c r="E285" s="1361"/>
      <c r="F285" s="1361"/>
      <c r="G285" s="1361"/>
      <c r="H285" s="1361"/>
      <c r="I285" s="1361"/>
      <c r="J285" s="5276"/>
      <c r="K285" s="106" t="s">
        <v>1</v>
      </c>
      <c r="L285" s="1018" t="s">
        <v>21</v>
      </c>
      <c r="M285" s="41" t="str">
        <f>M288</f>
        <v>Coller la-cellule-identité.N.Nom de votre recette</v>
      </c>
      <c r="N285" s="40">
        <f>N288</f>
        <v>18</v>
      </c>
      <c r="O285" s="40" t="str">
        <f>O288</f>
        <v>assiettes</v>
      </c>
      <c r="P285" s="40" t="str">
        <f>P288</f>
        <v>Recette mère ► saisissez le nom de la recette mère</v>
      </c>
      <c r="Q285" s="333" t="s">
        <v>228</v>
      </c>
      <c r="R285" s="341"/>
      <c r="S285" s="341"/>
      <c r="T285" s="340" t="s">
        <v>227</v>
      </c>
      <c r="U285" s="6901" t="str">
        <f>Q288</f>
        <v>Coller la-cellule-identité.N.Nom de votre recette</v>
      </c>
      <c r="V285" s="6901"/>
      <c r="W285" s="6901"/>
      <c r="X285" s="6225"/>
      <c r="Y285" s="5235"/>
      <c r="Z285" s="5236" t="s">
        <v>8008</v>
      </c>
      <c r="AA285" s="5237">
        <v>100</v>
      </c>
      <c r="AB285" s="344" t="str">
        <f>AB287</f>
        <v>couverts</v>
      </c>
      <c r="AC285" s="5817" t="s">
        <v>21</v>
      </c>
      <c r="AD285" s="5826"/>
      <c r="AE285" s="5827"/>
      <c r="AF285" s="5827"/>
      <c r="AG285" s="5827"/>
      <c r="AH285" s="5827"/>
      <c r="AI285" s="5827"/>
      <c r="AJ285" s="5827"/>
      <c r="AK285" s="5714" t="str">
        <f>IF(AM29&gt;0,"avec Poids modifié ❻","avec Poids prévu ④")</f>
        <v>avec Poids prévu ④</v>
      </c>
      <c r="AL285" s="5714"/>
      <c r="AM285" s="5714"/>
      <c r="AN285" s="5714"/>
      <c r="AO285" s="5713" t="s">
        <v>8511</v>
      </c>
      <c r="AP285" s="5713"/>
      <c r="AQ285" s="5713"/>
      <c r="AR285" s="5831"/>
      <c r="AS285" s="7383"/>
      <c r="AW285" s="5818" t="str">
        <f t="shared" si="59"/>
        <v>A</v>
      </c>
      <c r="AX285" s="5950"/>
      <c r="AY285" s="5950"/>
      <c r="AZ285" s="5950"/>
      <c r="BA285" s="5950"/>
      <c r="BB285" s="5950"/>
      <c r="BC285" s="2"/>
      <c r="BX285" s="5">
        <v>1</v>
      </c>
    </row>
    <row r="286" spans="1:76" ht="21" customHeight="1">
      <c r="A286" s="5641" t="s">
        <v>1</v>
      </c>
      <c r="B286" s="5662" t="str">
        <f t="shared" si="69"/>
        <v>A</v>
      </c>
      <c r="C286" s="5825" cm="1">
        <f t="array" ref="C286">SUMPRODUCT(LEN(D286:J286))</f>
        <v>0</v>
      </c>
      <c r="D286" s="5275"/>
      <c r="E286" s="1361"/>
      <c r="F286" s="1361"/>
      <c r="G286" s="1361"/>
      <c r="H286" s="1361"/>
      <c r="I286" s="1361"/>
      <c r="J286" s="5276"/>
      <c r="K286" s="106" t="s">
        <v>1</v>
      </c>
      <c r="L286" s="1018" t="s">
        <v>21</v>
      </c>
      <c r="M286" s="41" t="str">
        <f>M288</f>
        <v>Coller la-cellule-identité.N.Nom de votre recette</v>
      </c>
      <c r="N286" s="40">
        <f>N288</f>
        <v>18</v>
      </c>
      <c r="O286" s="40" t="str">
        <f>O288</f>
        <v>assiettes</v>
      </c>
      <c r="P286" s="40" t="str">
        <f>P288</f>
        <v>Recette mère ► saisissez le nom de la recette mère</v>
      </c>
      <c r="Q286" s="5238">
        <v>18</v>
      </c>
      <c r="R286" s="5832" t="s">
        <v>157</v>
      </c>
      <c r="S286" s="333"/>
      <c r="T286" s="333"/>
      <c r="U286" s="6901"/>
      <c r="V286" s="6901"/>
      <c r="W286" s="6901"/>
      <c r="X286" s="6225"/>
      <c r="Y286" s="5239"/>
      <c r="Z286" s="141"/>
      <c r="AA286" s="141"/>
      <c r="AB286" s="409"/>
      <c r="AC286" s="5817" t="s">
        <v>21</v>
      </c>
      <c r="AD286" s="5833"/>
      <c r="AE286" s="5834"/>
      <c r="AF286" s="5834"/>
      <c r="AG286" s="5834"/>
      <c r="AH286" s="5834"/>
      <c r="AI286" s="5834"/>
      <c r="AJ286" s="5834"/>
      <c r="AK286" s="7367">
        <f>AR282</f>
        <v>0</v>
      </c>
      <c r="AL286" s="7367"/>
      <c r="AM286" s="7367"/>
      <c r="AN286" s="6864"/>
      <c r="AO286" s="7368">
        <f>AQ10</f>
        <v>45</v>
      </c>
      <c r="AP286" s="7369" t="str">
        <f>AR10</f>
        <v>assiettes</v>
      </c>
      <c r="AQ286" s="7369"/>
      <c r="AR286" s="7370"/>
      <c r="AS286" s="7383"/>
      <c r="AW286" s="5818" t="str">
        <f t="shared" si="59"/>
        <v>A</v>
      </c>
      <c r="AX286" s="5950"/>
      <c r="AY286" s="5950"/>
      <c r="AZ286" s="5950"/>
      <c r="BA286" s="5950"/>
      <c r="BB286" s="5950"/>
      <c r="BC286" s="2"/>
      <c r="BX286" s="5">
        <v>1</v>
      </c>
    </row>
    <row r="287" spans="1:76" ht="21" customHeight="1">
      <c r="A287" s="5641" t="s">
        <v>1</v>
      </c>
      <c r="B287" s="5662" t="str">
        <f t="shared" si="69"/>
        <v>►</v>
      </c>
      <c r="C287" s="5825" cm="1">
        <f t="array" ref="C287">SUMPRODUCT(LEN(D287:J287))</f>
        <v>0</v>
      </c>
      <c r="D287" s="5275"/>
      <c r="E287" s="1361"/>
      <c r="F287" s="1361"/>
      <c r="G287" s="1361"/>
      <c r="H287" s="1361"/>
      <c r="I287" s="1361"/>
      <c r="J287" s="5276"/>
      <c r="K287" s="106" t="s">
        <v>1</v>
      </c>
      <c r="L287" s="1018" t="s">
        <v>26</v>
      </c>
      <c r="M287" s="41" t="str">
        <f>M288</f>
        <v>Coller la-cellule-identité.N.Nom de votre recette</v>
      </c>
      <c r="N287" s="40">
        <f>N288</f>
        <v>18</v>
      </c>
      <c r="O287" s="40" t="str">
        <f>O288</f>
        <v>assiettes</v>
      </c>
      <c r="P287" s="40" t="str">
        <f>P288</f>
        <v>Recette mère ► saisissez le nom de la recette mère</v>
      </c>
      <c r="Q287" s="327"/>
      <c r="R287" s="326"/>
      <c r="S287" s="326"/>
      <c r="T287" s="326"/>
      <c r="U287" s="326"/>
      <c r="V287" s="326"/>
      <c r="W287" s="5240"/>
      <c r="X287" s="8498"/>
      <c r="Y287"/>
      <c r="Z287" s="5241" t="s">
        <v>944</v>
      </c>
      <c r="AA287" s="5844">
        <v>18</v>
      </c>
      <c r="AB287" s="5242" t="s">
        <v>73</v>
      </c>
      <c r="AC287" s="5817" t="s">
        <v>21</v>
      </c>
      <c r="AD287" s="5845"/>
      <c r="AE287" s="5846"/>
      <c r="AF287" s="5846"/>
      <c r="AG287" s="5846"/>
      <c r="AH287" s="5846"/>
      <c r="AI287" s="5846"/>
      <c r="AJ287" s="5846"/>
      <c r="AK287" s="7367"/>
      <c r="AL287" s="7367"/>
      <c r="AM287" s="7367"/>
      <c r="AN287" s="6864"/>
      <c r="AO287" s="7368"/>
      <c r="AP287" s="7369"/>
      <c r="AQ287" s="7369"/>
      <c r="AR287" s="7370"/>
      <c r="AS287" s="7383"/>
      <c r="AW287" s="5818" t="str">
        <f t="shared" si="59"/>
        <v>A</v>
      </c>
      <c r="AX287" s="5950"/>
      <c r="AY287" s="5950"/>
      <c r="AZ287" s="5950"/>
      <c r="BA287" s="5950"/>
      <c r="BB287" s="5950"/>
      <c r="BC287" s="2"/>
      <c r="BX287" s="5">
        <v>1</v>
      </c>
    </row>
    <row r="288" spans="1:76" ht="21" customHeight="1" thickBot="1">
      <c r="A288" s="5641" t="s">
        <v>1</v>
      </c>
      <c r="B288" s="5662" t="str">
        <f t="shared" si="69"/>
        <v>►</v>
      </c>
      <c r="C288" s="5825" cm="1">
        <f t="array" ref="C288">SUMPRODUCT(LEN(D288:J288))</f>
        <v>0</v>
      </c>
      <c r="D288" s="5275"/>
      <c r="E288" s="1361"/>
      <c r="F288" s="1361"/>
      <c r="G288" s="1361"/>
      <c r="H288" s="1361"/>
      <c r="I288" s="1361"/>
      <c r="J288" s="5276"/>
      <c r="K288" s="106" t="s">
        <v>1</v>
      </c>
      <c r="L288" s="5243" t="s">
        <v>26</v>
      </c>
      <c r="M288" s="5849" t="str">
        <f>Q288</f>
        <v>Coller la-cellule-identité.N.Nom de votre recette</v>
      </c>
      <c r="N288" s="5115">
        <f>Q286</f>
        <v>18</v>
      </c>
      <c r="O288" s="5115" t="str">
        <f>R286</f>
        <v>assiettes</v>
      </c>
      <c r="P288" s="5850" t="str">
        <f>V288&amp;" "&amp;W288</f>
        <v>Recette mère ► saisissez le nom de la recette mère</v>
      </c>
      <c r="Q288" s="5116" t="str">
        <f>UPPER(LEFT(Z282,1))&amp;LOWER(MID(Z282,2,999))&amp;"."&amp;UPPER(LEFT(T282,1))&amp;"."&amp;UPPER(LEFT(T282,1))&amp;LOWER(MID(T282,2,999))</f>
        <v>Coller la-cellule-identité.N.Nom de votre recette</v>
      </c>
      <c r="R288" s="5117" t="s">
        <v>223</v>
      </c>
      <c r="S288" s="6903" t="s">
        <v>222</v>
      </c>
      <c r="T288" s="6903"/>
      <c r="U288" s="6903"/>
      <c r="V288" s="5119" t="s">
        <v>221</v>
      </c>
      <c r="W288" s="5319" t="s">
        <v>1093</v>
      </c>
      <c r="X288" s="8499"/>
      <c r="Y288" s="141"/>
      <c r="Z288" s="141"/>
      <c r="AA288" s="141"/>
      <c r="AB288" s="409"/>
      <c r="AC288" s="5817" t="s">
        <v>21</v>
      </c>
      <c r="AD288" s="5845"/>
      <c r="AE288" s="5846"/>
      <c r="AF288" s="7358">
        <f>AK29</f>
        <v>0</v>
      </c>
      <c r="AG288" s="7358"/>
      <c r="AH288" s="7358"/>
      <c r="AI288" s="5859"/>
      <c r="AJ288" s="5852"/>
      <c r="AK288" s="5852"/>
      <c r="AL288" s="5853"/>
      <c r="AM288" s="5854" t="str">
        <f>IF(AF288&gt;0," avec Poids prévu ④ " &amp; AO286 &amp; " " &amp; AP286 &amp; " de","")</f>
        <v/>
      </c>
      <c r="AN288" s="5854"/>
      <c r="AO288" s="5855">
        <f>AF288/AO286*1000</f>
        <v>0</v>
      </c>
      <c r="AP288" s="5856"/>
      <c r="AQ288" s="5856"/>
      <c r="AR288" s="5831"/>
      <c r="AS288" s="7383"/>
      <c r="AW288" s="5818" t="str">
        <f t="shared" si="59"/>
        <v>A</v>
      </c>
      <c r="AX288" s="5950"/>
      <c r="AY288" s="5950"/>
      <c r="AZ288" s="5950"/>
      <c r="BA288" s="5950"/>
      <c r="BB288" s="5950"/>
      <c r="BC288" s="2"/>
      <c r="BX288" s="5">
        <v>1</v>
      </c>
    </row>
    <row r="289" spans="1:78" ht="21" customHeight="1" thickTop="1" thickBot="1">
      <c r="A289" s="5641" t="s">
        <v>1</v>
      </c>
      <c r="B289" s="5662" t="str">
        <f t="shared" si="69"/>
        <v>►</v>
      </c>
      <c r="C289" s="5825" cm="1">
        <f t="array" ref="C289">SUMPRODUCT(LEN(D289:J289))</f>
        <v>0</v>
      </c>
      <c r="D289" s="5275"/>
      <c r="E289" s="1361"/>
      <c r="F289" s="1361"/>
      <c r="G289" s="1361"/>
      <c r="H289" s="1361"/>
      <c r="I289" s="1361"/>
      <c r="J289" s="5276"/>
      <c r="K289" s="106" t="s">
        <v>1</v>
      </c>
      <c r="L289" s="1017" t="s">
        <v>26</v>
      </c>
      <c r="M289" s="312" t="str">
        <f>M288</f>
        <v>Coller la-cellule-identité.N.Nom de votre recette</v>
      </c>
      <c r="N289" s="311"/>
      <c r="O289" s="311"/>
      <c r="P289" s="311" t="str">
        <f>P288</f>
        <v>Recette mère ► saisissez le nom de la recette mère</v>
      </c>
      <c r="Q289" s="310" t="s">
        <v>218</v>
      </c>
      <c r="R289" s="310" t="s">
        <v>217</v>
      </c>
      <c r="S289" s="310" t="s">
        <v>216</v>
      </c>
      <c r="T289" s="310" t="s">
        <v>215</v>
      </c>
      <c r="U289" s="309" t="s">
        <v>214</v>
      </c>
      <c r="V289" s="308" t="s">
        <v>83</v>
      </c>
      <c r="W289" s="5244" t="s">
        <v>213</v>
      </c>
      <c r="X289" s="5244" t="s">
        <v>212</v>
      </c>
      <c r="Y289" s="5245" t="s">
        <v>211</v>
      </c>
      <c r="Z289" s="1100" t="s">
        <v>210</v>
      </c>
      <c r="AA289" s="1100" t="s">
        <v>7928</v>
      </c>
      <c r="AB289" s="5246" t="s">
        <v>208</v>
      </c>
      <c r="AC289" s="5817" t="s">
        <v>21</v>
      </c>
      <c r="AD289" s="5845"/>
      <c r="AE289" s="5846"/>
      <c r="AF289" s="7359">
        <f>AM29</f>
        <v>0</v>
      </c>
      <c r="AG289" s="7359"/>
      <c r="AH289" s="7359"/>
      <c r="AI289" s="5859"/>
      <c r="AJ289" s="5860"/>
      <c r="AK289" s="5861"/>
      <c r="AL289" s="5862"/>
      <c r="AM289" s="5863" t="str">
        <f>IF(AF289&gt;0," avec poids modifié ❻ " &amp; AO286 &amp; " " &amp; AP286 &amp; " de","")</f>
        <v/>
      </c>
      <c r="AN289" s="5863"/>
      <c r="AO289" s="5864">
        <f>AF289/AO286*1000</f>
        <v>0</v>
      </c>
      <c r="AP289" s="5856"/>
      <c r="AQ289" s="5856"/>
      <c r="AR289" s="5865"/>
      <c r="AS289" s="7383"/>
      <c r="AW289" s="5818" t="str">
        <f t="shared" si="59"/>
        <v>A</v>
      </c>
      <c r="AX289" s="5950"/>
      <c r="AY289" s="5950"/>
      <c r="AZ289" s="5950"/>
      <c r="BA289" s="5950"/>
      <c r="BB289" s="5950"/>
      <c r="BC289" s="2"/>
      <c r="BX289" s="5">
        <v>1</v>
      </c>
    </row>
    <row r="290" spans="1:78" ht="21" customHeight="1" thickTop="1">
      <c r="A290" s="5641" t="s">
        <v>1</v>
      </c>
      <c r="B290" s="5662" t="str">
        <f t="shared" si="69"/>
        <v>A</v>
      </c>
      <c r="C290" s="5825" cm="1">
        <f t="array" ref="C290">SUMPRODUCT(LEN(D290:J290))</f>
        <v>0</v>
      </c>
      <c r="D290" s="5275"/>
      <c r="E290" s="1361"/>
      <c r="F290" s="1361"/>
      <c r="G290" s="1361"/>
      <c r="H290" s="1361"/>
      <c r="I290" s="1361"/>
      <c r="J290" s="5276"/>
      <c r="K290" s="106" t="s">
        <v>1</v>
      </c>
      <c r="L290" s="1018" t="s">
        <v>21</v>
      </c>
      <c r="M290" s="41" t="str">
        <f>M288</f>
        <v>Coller la-cellule-identité.N.Nom de votre recette</v>
      </c>
      <c r="N290" s="40">
        <f>N288</f>
        <v>18</v>
      </c>
      <c r="O290" s="40" t="str">
        <f>O288</f>
        <v>assiettes</v>
      </c>
      <c r="P290" s="40" t="str">
        <f>P288</f>
        <v>Recette mère ► saisissez le nom de la recette mère</v>
      </c>
      <c r="Q290" s="5247" t="s">
        <v>198</v>
      </c>
      <c r="R290" s="298" t="s">
        <v>197</v>
      </c>
      <c r="S290" s="297"/>
      <c r="T290" s="6904" t="s">
        <v>196</v>
      </c>
      <c r="U290" s="7387" t="s">
        <v>195</v>
      </c>
      <c r="V290" s="7360" t="s">
        <v>82</v>
      </c>
      <c r="W290" s="5248" t="s">
        <v>194</v>
      </c>
      <c r="X290" s="6869" t="s">
        <v>11041</v>
      </c>
      <c r="Y290" s="7361" t="s">
        <v>929</v>
      </c>
      <c r="Z290" s="6965" t="s">
        <v>191</v>
      </c>
      <c r="AA290" s="6965" t="s">
        <v>8009</v>
      </c>
      <c r="AB290" s="7374" t="s">
        <v>8010</v>
      </c>
      <c r="AC290" s="5817" t="s">
        <v>21</v>
      </c>
      <c r="AD290" s="5866"/>
      <c r="AE290" s="5867" t="s">
        <v>8513</v>
      </c>
      <c r="AF290" s="5868"/>
      <c r="AG290" s="5869"/>
      <c r="AH290" s="5869"/>
      <c r="AI290" s="5869"/>
      <c r="AJ290" s="5869"/>
      <c r="AK290" s="5869"/>
      <c r="AL290" s="5869"/>
      <c r="AM290" s="5869"/>
      <c r="AN290" s="5869"/>
      <c r="AO290" s="5869"/>
      <c r="AP290" s="5869"/>
      <c r="AQ290" s="7375" t="s">
        <v>8010</v>
      </c>
      <c r="AR290" s="5870"/>
      <c r="AS290" s="7383"/>
      <c r="AW290" s="5818" t="str">
        <f t="shared" si="59"/>
        <v>A</v>
      </c>
      <c r="AX290" s="5950"/>
      <c r="AY290" s="5950"/>
      <c r="AZ290" s="5950"/>
      <c r="BA290" s="5950"/>
      <c r="BB290" s="5950"/>
      <c r="BC290" s="2"/>
      <c r="BX290" s="5">
        <v>1</v>
      </c>
    </row>
    <row r="291" spans="1:78" s="2" customFormat="1" ht="21" customHeight="1">
      <c r="A291" s="5641" t="s">
        <v>1</v>
      </c>
      <c r="B291" s="5662" t="str">
        <f t="shared" si="69"/>
        <v>A</v>
      </c>
      <c r="C291" s="5825" cm="1">
        <f t="array" ref="C291">SUMPRODUCT(LEN(D291:J291))</f>
        <v>0</v>
      </c>
      <c r="D291" s="5275"/>
      <c r="E291" s="1361"/>
      <c r="F291" s="1361"/>
      <c r="G291" s="1361"/>
      <c r="H291" s="1361"/>
      <c r="I291" s="1361"/>
      <c r="J291" s="5276"/>
      <c r="K291" s="106" t="s">
        <v>1</v>
      </c>
      <c r="L291" s="1018" t="s">
        <v>21</v>
      </c>
      <c r="M291" s="41" t="str">
        <f>M288</f>
        <v>Coller la-cellule-identité.N.Nom de votre recette</v>
      </c>
      <c r="N291" s="40">
        <f>N288</f>
        <v>18</v>
      </c>
      <c r="O291" s="40" t="str">
        <f>O288</f>
        <v>assiettes</v>
      </c>
      <c r="P291" s="40" t="str">
        <f>P288</f>
        <v>Recette mère ► saisissez le nom de la recette mère</v>
      </c>
      <c r="Q291" s="5249" t="s">
        <v>184</v>
      </c>
      <c r="R291" s="286" t="s">
        <v>162</v>
      </c>
      <c r="S291" s="285" t="s">
        <v>186</v>
      </c>
      <c r="T291" s="6905"/>
      <c r="U291" s="6907"/>
      <c r="V291" s="6923"/>
      <c r="W291" s="5250" t="s">
        <v>185</v>
      </c>
      <c r="X291" s="6870" t="s">
        <v>255</v>
      </c>
      <c r="Y291" s="7362"/>
      <c r="Z291" s="6891"/>
      <c r="AA291" s="6891"/>
      <c r="AB291" s="6895"/>
      <c r="AC291" s="5817" t="s">
        <v>21</v>
      </c>
      <c r="AD291" s="5872">
        <v>1</v>
      </c>
      <c r="AE291" s="5873" t="s">
        <v>191</v>
      </c>
      <c r="AF291" s="5874"/>
      <c r="AG291" s="5875"/>
      <c r="AH291" s="5875"/>
      <c r="AI291" s="5875"/>
      <c r="AJ291" s="5875"/>
      <c r="AK291" s="5876" t="s">
        <v>191</v>
      </c>
      <c r="AL291" s="5875"/>
      <c r="AM291" s="5877" t="s">
        <v>8520</v>
      </c>
      <c r="AN291" s="5877" t="s">
        <v>11041</v>
      </c>
      <c r="AO291" s="5875"/>
      <c r="AP291" s="5875" t="s">
        <v>8521</v>
      </c>
      <c r="AQ291" s="7376"/>
      <c r="AR291" s="5878" t="s">
        <v>8522</v>
      </c>
      <c r="AS291" s="7383"/>
      <c r="AT291" s="4"/>
      <c r="AU291" s="4"/>
      <c r="AV291" s="4"/>
      <c r="AW291" s="5818" t="str">
        <f t="shared" si="59"/>
        <v>A</v>
      </c>
      <c r="AX291" s="5950"/>
      <c r="AY291" s="5950"/>
      <c r="AZ291" s="5950"/>
      <c r="BA291" s="5950"/>
      <c r="BB291" s="5950"/>
      <c r="BD291"/>
      <c r="BE291"/>
      <c r="BF291"/>
      <c r="BG291"/>
      <c r="BH291"/>
      <c r="BI291"/>
      <c r="BJ291"/>
      <c r="BL291"/>
      <c r="BM291"/>
      <c r="BN291"/>
      <c r="BO291"/>
      <c r="BP291"/>
      <c r="BQ291"/>
      <c r="BR291"/>
      <c r="BT291"/>
      <c r="BU291"/>
      <c r="BV291"/>
      <c r="BX291" s="5">
        <v>1</v>
      </c>
      <c r="BY291" s="1"/>
      <c r="BZ291" s="1"/>
    </row>
    <row r="292" spans="1:78" s="2" customFormat="1" ht="21" customHeight="1">
      <c r="A292" s="5641" t="s">
        <v>1</v>
      </c>
      <c r="B292" s="5662" t="str">
        <f t="shared" si="69"/>
        <v>A</v>
      </c>
      <c r="C292" s="5825" cm="1">
        <f t="array" ref="C292">SUMPRODUCT(LEN(D292:J292))</f>
        <v>0</v>
      </c>
      <c r="D292" s="5275"/>
      <c r="E292" s="1361"/>
      <c r="F292" s="1361"/>
      <c r="G292" s="1361"/>
      <c r="H292" s="1361"/>
      <c r="I292" s="1361"/>
      <c r="J292" s="5276"/>
      <c r="K292" s="106" t="s">
        <v>1</v>
      </c>
      <c r="L292" s="1018" t="s">
        <v>21</v>
      </c>
      <c r="M292" s="41" t="str">
        <f>M288</f>
        <v>Coller la-cellule-identité.N.Nom de votre recette</v>
      </c>
      <c r="N292" s="40">
        <f>N288</f>
        <v>18</v>
      </c>
      <c r="O292" s="40" t="str">
        <f>O288</f>
        <v>assiettes</v>
      </c>
      <c r="P292" s="40" t="str">
        <f>P288</f>
        <v>Recette mère ► saisissez le nom de la recette mère</v>
      </c>
      <c r="Q292" s="213"/>
      <c r="R292" s="256"/>
      <c r="S292" s="211" t="str">
        <f t="shared" ref="S292:S305" si="72">IF(OR(ISTEXT(Q292), Q292&lt;=0, T292&lt;=0), "", "de")</f>
        <v/>
      </c>
      <c r="T292" s="210"/>
      <c r="U292" s="5259"/>
      <c r="V292" s="5576">
        <v>1</v>
      </c>
      <c r="W292" s="6866"/>
      <c r="X292" s="6871"/>
      <c r="Y292" s="5882">
        <f>IFERROR(IFERROR(INDEX(Q308:AB308,MATCH(U292,Q307:AB307,0)),INDEX(Q310:AB310,MATCH(U292,Q309:AB309,0))) * T292 * IF(ISBLANK(Q292), 1, Q292), 0)</f>
        <v>0</v>
      </c>
      <c r="Z292" s="5251">
        <f>(Q292/AA287)*AA285*V292</f>
        <v>0</v>
      </c>
      <c r="AA292" s="5252">
        <f>IF(ISBLANK(AA287), 0, (Y292 * V292) * (AA285 / AA287))</f>
        <v>0</v>
      </c>
      <c r="AB292" s="5253" t="str">
        <f>IF(COUNTIF(Q307:AB307,U292)&gt;0,IF(ROUND(AA292,3)&gt;=1,ROUND(AA292,3)&amp;" L",ROUND(AA292*100,0)&amp;" cl"),IF(COUNTIF(Q309:AB309,U292)&gt;0,IF(ROUND(AA292,3)&gt;=1,ROUND(AA292,3)&amp;" Kg",ROUND(AA292*1000,0)&amp;" g"),""))</f>
        <v/>
      </c>
      <c r="AC292" s="5817" t="str">
        <f>IF(AD292&gt;0,"A","►")</f>
        <v>►</v>
      </c>
      <c r="AD292" s="5883">
        <f>IF(Y306=0,0,Y292*AD291*1000/Y306)</f>
        <v>0</v>
      </c>
      <c r="AE292" s="6053">
        <f>IF(ISNUMBER(Q292),Q292*AD291/Y306,0)</f>
        <v>0</v>
      </c>
      <c r="AF292" s="5885"/>
      <c r="AG292" s="5886"/>
      <c r="AH292" s="5886"/>
      <c r="AI292" s="5886"/>
      <c r="AJ292" s="5899">
        <f>W292</f>
        <v>0</v>
      </c>
      <c r="AK292" s="5888">
        <f>IF(OR(ISTEXT(Q292),Y306=0),0,Q292*AR284)</f>
        <v>0</v>
      </c>
      <c r="AL292" s="5886"/>
      <c r="AM292" s="5889">
        <f t="shared" ref="AM292:AM305" si="73">R292</f>
        <v>0</v>
      </c>
      <c r="AN292" s="8558">
        <f>X292</f>
        <v>0</v>
      </c>
      <c r="AO292" s="5886"/>
      <c r="AP292" s="5890">
        <f>IF(Y292=0,0,Y292*AR284)</f>
        <v>0</v>
      </c>
      <c r="AQ292" s="5891" t="str">
        <f>IF(COUNTIF(AD307:AD317,U292)&gt;0,IF(ROUND(AP292,3)&gt;=1,ROUND(AP292,3)&amp;" L",ROUND(AP292*100,0)&amp;" cl"),IF(COUNTIF(AD318:AD328,U292)&gt;0,IF(ROUND(AP292,3)&gt;=1,ROUND(AP292,3)&amp;" Kg",ROUND(AP292*1000,0)&amp;" g"),""))</f>
        <v/>
      </c>
      <c r="AR292" s="5892">
        <f t="shared" ref="AR292:AR305" si="74">W292</f>
        <v>0</v>
      </c>
      <c r="AS292" s="7383"/>
      <c r="AT292" s="4"/>
      <c r="AU292" s="4"/>
      <c r="AV292" s="4"/>
      <c r="AW292" s="5818" t="str">
        <f t="shared" si="59"/>
        <v>►</v>
      </c>
      <c r="AX292" s="5950"/>
      <c r="AY292" s="5950"/>
      <c r="AZ292" s="5950"/>
      <c r="BA292" s="5950"/>
      <c r="BB292" s="5950"/>
      <c r="BD292"/>
      <c r="BE292"/>
      <c r="BF292"/>
      <c r="BG292"/>
      <c r="BH292"/>
      <c r="BI292"/>
      <c r="BJ292"/>
      <c r="BL292"/>
      <c r="BM292"/>
      <c r="BN292"/>
      <c r="BO292"/>
      <c r="BP292"/>
      <c r="BQ292"/>
      <c r="BR292"/>
      <c r="BT292"/>
      <c r="BU292"/>
      <c r="BV292"/>
      <c r="BX292" s="5">
        <v>1</v>
      </c>
      <c r="BY292" s="1"/>
      <c r="BZ292" s="1"/>
    </row>
    <row r="293" spans="1:78" s="2" customFormat="1" ht="21" customHeight="1">
      <c r="A293" s="5641" t="s">
        <v>1</v>
      </c>
      <c r="B293" s="5662" t="str">
        <f t="shared" si="69"/>
        <v>►</v>
      </c>
      <c r="C293" s="5825" cm="1">
        <f t="array" ref="C293">SUMPRODUCT(LEN(D293:J293))</f>
        <v>0</v>
      </c>
      <c r="D293" s="5275"/>
      <c r="E293" s="1361"/>
      <c r="F293" s="1361"/>
      <c r="G293" s="1361"/>
      <c r="H293" s="1361"/>
      <c r="I293" s="1361"/>
      <c r="J293" s="5276"/>
      <c r="K293" s="106" t="s">
        <v>1</v>
      </c>
      <c r="L293" s="1021" t="str">
        <f t="shared" ref="L293:L305" si="75">IF(W293&lt;&gt;"","A","►")</f>
        <v>►</v>
      </c>
      <c r="M293" s="41" t="str">
        <f>M288</f>
        <v>Coller la-cellule-identité.N.Nom de votre recette</v>
      </c>
      <c r="N293" s="40">
        <f>N288</f>
        <v>18</v>
      </c>
      <c r="O293" s="40" t="str">
        <f>O288</f>
        <v>assiettes</v>
      </c>
      <c r="P293" s="40" t="str">
        <f>P288</f>
        <v>Recette mère ► saisissez le nom de la recette mère</v>
      </c>
      <c r="Q293" s="213"/>
      <c r="R293" s="256"/>
      <c r="S293" s="211" t="str">
        <f t="shared" si="72"/>
        <v/>
      </c>
      <c r="T293" s="210"/>
      <c r="U293" s="5259"/>
      <c r="V293" s="5576">
        <v>1</v>
      </c>
      <c r="W293" s="6866"/>
      <c r="X293" s="6872"/>
      <c r="Y293" s="5882">
        <f>IFERROR(IFERROR(INDEX(Q308:AB308,MATCH(U293,Q307:AB307,0)),INDEX(Q310:AB310,MATCH(U293,Q309:AB309,0))) * T293 * IF(ISBLANK(Q293), 1, Q293), 0)</f>
        <v>0</v>
      </c>
      <c r="Z293" s="5254">
        <f>(Q293/AA287)*AA285*V293</f>
        <v>0</v>
      </c>
      <c r="AA293" s="5252">
        <f>IF(ISBLANK(AA287), 0, (Y293 * V293) * (AA285 / AA287))</f>
        <v>0</v>
      </c>
      <c r="AB293" s="5255" t="str">
        <f>IF(COUNTIF(Q307:AB307,U293)&gt;0,IF(ROUND(AA293,3)&gt;=1,ROUND(AA293,3)&amp;" L",ROUND(AA293*100,0)&amp;" cl"),IF(COUNTIF(Q309:AB309,U293)&gt;0,IF(ROUND(AA293,3)&gt;=1,ROUND(AA293,3)&amp;" Kg",ROUND(AA293*1000,0)&amp;" g"),""))</f>
        <v/>
      </c>
      <c r="AC293" s="5817" t="str">
        <f t="shared" ref="AC293:AC306" si="76">IF(AD293&gt;0,"A","►")</f>
        <v>►</v>
      </c>
      <c r="AD293" s="5883">
        <f>IF(Y306=0,0,Y293*AD291*1000/Y306)</f>
        <v>0</v>
      </c>
      <c r="AE293" s="6053">
        <f>IF(ISNUMBER(Q293),Q293*AD291/Y306,0)</f>
        <v>0</v>
      </c>
      <c r="AF293" s="5894"/>
      <c r="AG293" s="5804"/>
      <c r="AH293" s="5804"/>
      <c r="AI293" s="5804"/>
      <c r="AJ293" s="5902">
        <f t="shared" ref="AJ293:AJ305" si="77">W293</f>
        <v>0</v>
      </c>
      <c r="AK293" s="5896">
        <f>IF(OR(ISTEXT(Q293),Y306=0),0,Q293*AR284)</f>
        <v>0</v>
      </c>
      <c r="AL293" s="5804"/>
      <c r="AM293" s="5805">
        <f t="shared" si="73"/>
        <v>0</v>
      </c>
      <c r="AN293" s="5805">
        <f t="shared" ref="AN293:AN305" si="78">X293</f>
        <v>0</v>
      </c>
      <c r="AO293" s="5804"/>
      <c r="AP293" s="5788">
        <f>IF(Y293=0,0,Y293*AR284)</f>
        <v>0</v>
      </c>
      <c r="AQ293" s="5897" t="str">
        <f>IF(COUNTIF(AD307:AD317,U293)&gt;0,IF(ROUND(AP293,3)&gt;=1,ROUND(AP293,3)&amp;" L",ROUND(AP293*100,0)&amp;" cl"),IF(COUNTIF(AD318:AD328,U293)&gt;0,IF(ROUND(AP293,3)&gt;=1,ROUND(AP293,3)&amp;" Kg",ROUND(AP293*1000,0)&amp;" g"),""))</f>
        <v/>
      </c>
      <c r="AR293" s="5898">
        <f t="shared" si="74"/>
        <v>0</v>
      </c>
      <c r="AS293" s="7383"/>
      <c r="AT293" s="4"/>
      <c r="AU293" s="4"/>
      <c r="AV293" s="4"/>
      <c r="AW293" s="5818" t="str">
        <f t="shared" ref="AW293:AW331" si="79">AC293</f>
        <v>►</v>
      </c>
      <c r="AX293" s="5950"/>
      <c r="AY293" s="5950"/>
      <c r="AZ293" s="5950"/>
      <c r="BA293" s="5950"/>
      <c r="BB293" s="5950"/>
      <c r="BD293"/>
      <c r="BE293"/>
      <c r="BF293"/>
      <c r="BG293"/>
      <c r="BH293"/>
      <c r="BI293"/>
      <c r="BJ293"/>
      <c r="BL293"/>
      <c r="BM293"/>
      <c r="BN293"/>
      <c r="BO293"/>
      <c r="BP293"/>
      <c r="BQ293"/>
      <c r="BR293"/>
      <c r="BT293"/>
      <c r="BU293"/>
      <c r="BV293"/>
      <c r="BX293" s="5">
        <v>1</v>
      </c>
      <c r="BY293" s="1"/>
      <c r="BZ293" s="1"/>
    </row>
    <row r="294" spans="1:78" s="2" customFormat="1" ht="21" customHeight="1">
      <c r="A294" s="5641" t="s">
        <v>1</v>
      </c>
      <c r="B294" s="5662" t="str">
        <f t="shared" si="69"/>
        <v>►</v>
      </c>
      <c r="C294" s="5825" cm="1">
        <f t="array" ref="C294">SUMPRODUCT(LEN(D294:J294))</f>
        <v>0</v>
      </c>
      <c r="D294" s="5275"/>
      <c r="E294" s="1361"/>
      <c r="F294" s="1361"/>
      <c r="G294" s="1361"/>
      <c r="H294" s="1361"/>
      <c r="I294" s="1361"/>
      <c r="J294" s="5276"/>
      <c r="K294" s="106" t="s">
        <v>1</v>
      </c>
      <c r="L294" s="1021" t="str">
        <f t="shared" si="75"/>
        <v>►</v>
      </c>
      <c r="M294" s="41" t="str">
        <f>M288</f>
        <v>Coller la-cellule-identité.N.Nom de votre recette</v>
      </c>
      <c r="N294" s="40">
        <f>N288</f>
        <v>18</v>
      </c>
      <c r="O294" s="40" t="str">
        <f>O288</f>
        <v>assiettes</v>
      </c>
      <c r="P294" s="40" t="str">
        <f>P288</f>
        <v>Recette mère ► saisissez le nom de la recette mère</v>
      </c>
      <c r="Q294" s="213"/>
      <c r="R294" s="212"/>
      <c r="S294" s="211" t="str">
        <f t="shared" si="72"/>
        <v/>
      </c>
      <c r="T294" s="210"/>
      <c r="U294" s="5259"/>
      <c r="V294" s="5576">
        <v>1</v>
      </c>
      <c r="W294" s="6866"/>
      <c r="X294" s="6871"/>
      <c r="Y294" s="5882">
        <f>IFERROR(IFERROR(INDEX(Q308:AB308,MATCH(U294,Q307:AB307,0)),INDEX(Q310:AB310,MATCH(U294,Q309:AB309,0))) * T294 * IF(ISBLANK(Q294), 1, Q294), 0)</f>
        <v>0</v>
      </c>
      <c r="Z294" s="5256">
        <f>(Q294/AA287)*AA285*V294</f>
        <v>0</v>
      </c>
      <c r="AA294" s="5252">
        <f>IF(ISBLANK(AA287), 0, (Y294 * V294) * (AA285 / AA287))</f>
        <v>0</v>
      </c>
      <c r="AB294" s="5257" t="str">
        <f>IF(COUNTIF(Q307:AB307,U294)&gt;0,IF(ROUND(AA294,3)&gt;=1,ROUND(AA294,3)&amp;" L",ROUND(AA294*100,0)&amp;" cl"),IF(COUNTIF(Q309:AB309,U294)&gt;0,IF(ROUND(AA294,3)&gt;=1,ROUND(AA294,3)&amp;" Kg",ROUND(AA294*1000,0)&amp;" g"),""))</f>
        <v/>
      </c>
      <c r="AC294" s="5817" t="str">
        <f t="shared" si="76"/>
        <v>►</v>
      </c>
      <c r="AD294" s="5883">
        <f>IF(Y306=0,0,Y294*AD291*1000/Y306)</f>
        <v>0</v>
      </c>
      <c r="AE294" s="6053">
        <f>IF(ISNUMBER(Q294),Q294*AD291/Y306,0)</f>
        <v>0</v>
      </c>
      <c r="AF294" s="5885"/>
      <c r="AG294" s="5886"/>
      <c r="AH294" s="5886"/>
      <c r="AI294" s="5886"/>
      <c r="AJ294" s="5899">
        <f t="shared" si="77"/>
        <v>0</v>
      </c>
      <c r="AK294" s="5888">
        <f>IF(OR(ISTEXT(Q294),Y306=0),0,Q294*AR284)</f>
        <v>0</v>
      </c>
      <c r="AL294" s="5886"/>
      <c r="AM294" s="5889">
        <f t="shared" si="73"/>
        <v>0</v>
      </c>
      <c r="AN294" s="8558">
        <f t="shared" si="78"/>
        <v>0</v>
      </c>
      <c r="AO294" s="5886"/>
      <c r="AP294" s="5890">
        <f>IF(Y294=0,0,Y294*AR284)</f>
        <v>0</v>
      </c>
      <c r="AQ294" s="5891" t="str">
        <f>IF(COUNTIF(AD307:AD317,U294)&gt;0,IF(ROUND(AP294,3)&gt;=1,ROUND(AP294,3)&amp;" L",ROUND(AP294*100,0)&amp;" cl"),IF(COUNTIF(AD318:AD328,U294)&gt;0,IF(ROUND(AP294,3)&gt;=1,ROUND(AP294,3)&amp;" Kg",ROUND(AP294*1000,0)&amp;" g"),""))</f>
        <v/>
      </c>
      <c r="AR294" s="5892">
        <f t="shared" si="74"/>
        <v>0</v>
      </c>
      <c r="AS294" s="7383"/>
      <c r="AT294" s="4"/>
      <c r="AU294" s="4"/>
      <c r="AV294" s="4"/>
      <c r="AW294" s="5818" t="str">
        <f t="shared" si="79"/>
        <v>►</v>
      </c>
      <c r="AX294" s="5950"/>
      <c r="AY294" s="5950"/>
      <c r="AZ294" s="5950"/>
      <c r="BA294" s="5950"/>
      <c r="BB294" s="5950"/>
      <c r="BD294"/>
      <c r="BE294"/>
      <c r="BF294"/>
      <c r="BG294"/>
      <c r="BH294"/>
      <c r="BI294"/>
      <c r="BJ294"/>
      <c r="BL294"/>
      <c r="BM294"/>
      <c r="BN294"/>
      <c r="BO294"/>
      <c r="BP294"/>
      <c r="BQ294"/>
      <c r="BR294"/>
      <c r="BT294"/>
      <c r="BU294"/>
      <c r="BV294"/>
      <c r="BX294" s="5">
        <v>1</v>
      </c>
      <c r="BY294" s="1"/>
      <c r="BZ294" s="1"/>
    </row>
    <row r="295" spans="1:78" s="2" customFormat="1" ht="21" customHeight="1">
      <c r="A295" s="5641" t="s">
        <v>1</v>
      </c>
      <c r="B295" s="5662" t="str">
        <f t="shared" si="69"/>
        <v>►</v>
      </c>
      <c r="C295" s="5825" cm="1">
        <f t="array" ref="C295">SUMPRODUCT(LEN(D295:J295))</f>
        <v>0</v>
      </c>
      <c r="D295" s="5275"/>
      <c r="E295" s="1361"/>
      <c r="F295" s="1361"/>
      <c r="G295" s="1361"/>
      <c r="H295" s="1361"/>
      <c r="I295" s="1361"/>
      <c r="J295" s="5276"/>
      <c r="K295" s="106" t="s">
        <v>1</v>
      </c>
      <c r="L295" s="1021" t="str">
        <f t="shared" si="75"/>
        <v>►</v>
      </c>
      <c r="M295" s="41" t="str">
        <f>M288</f>
        <v>Coller la-cellule-identité.N.Nom de votre recette</v>
      </c>
      <c r="N295" s="40">
        <f>N288</f>
        <v>18</v>
      </c>
      <c r="O295" s="40" t="str">
        <f>O288</f>
        <v>assiettes</v>
      </c>
      <c r="P295" s="40" t="str">
        <f>P288</f>
        <v>Recette mère ► saisissez le nom de la recette mère</v>
      </c>
      <c r="Q295" s="213"/>
      <c r="R295" s="212"/>
      <c r="S295" s="211" t="str">
        <f t="shared" si="72"/>
        <v/>
      </c>
      <c r="T295" s="210"/>
      <c r="U295" s="5259"/>
      <c r="V295" s="5576">
        <v>1</v>
      </c>
      <c r="W295" s="6866"/>
      <c r="X295" s="6871"/>
      <c r="Y295" s="5882">
        <f>IFERROR(IFERROR(INDEX(Q308:AB308,MATCH(U295,Q307:AB307,0)),INDEX(Q310:AB310,MATCH(U295,Q309:AB309,0))) * T295 * IF(ISBLANK(Q295), 1, Q295), 0)</f>
        <v>0</v>
      </c>
      <c r="Z295" s="5254">
        <f>(Q295/AA287)*AA285*V295</f>
        <v>0</v>
      </c>
      <c r="AA295" s="5252">
        <f>IF(ISBLANK(AA287), 0, (Y295 * V295) * (AA285 / AA287))</f>
        <v>0</v>
      </c>
      <c r="AB295" s="5255" t="str">
        <f>IF(COUNTIF(Q307:AB307,U295)&gt;0,IF(ROUND(AA295,3)&gt;=1,ROUND(AA295,3)&amp;" L",ROUND(AA295*100,0)&amp;" cl"),IF(COUNTIF(Q309:AB309,U295)&gt;0,IF(ROUND(AA295,3)&gt;=1,ROUND(AA295,3)&amp;" Kg",ROUND(AA295*1000,0)&amp;" g"),""))</f>
        <v/>
      </c>
      <c r="AC295" s="5817" t="str">
        <f t="shared" si="76"/>
        <v>►</v>
      </c>
      <c r="AD295" s="5883">
        <f>IF(Y306=0,0,Y295*AD291*1000/Y306)</f>
        <v>0</v>
      </c>
      <c r="AE295" s="6053">
        <f>IF(ISNUMBER(Q295),Q295*AD291/Y306,0)</f>
        <v>0</v>
      </c>
      <c r="AF295" s="5894"/>
      <c r="AG295" s="5804"/>
      <c r="AH295" s="5804"/>
      <c r="AI295" s="5804"/>
      <c r="AJ295" s="5902">
        <f t="shared" si="77"/>
        <v>0</v>
      </c>
      <c r="AK295" s="5896">
        <f>IF(OR(ISTEXT(Q295),Y306=0),0,Q295*AR284)</f>
        <v>0</v>
      </c>
      <c r="AL295" s="5804"/>
      <c r="AM295" s="5805">
        <f t="shared" si="73"/>
        <v>0</v>
      </c>
      <c r="AN295" s="5805">
        <f t="shared" si="78"/>
        <v>0</v>
      </c>
      <c r="AO295" s="5804"/>
      <c r="AP295" s="5788">
        <f>IF(Y295=0,0,Y295*AR284)</f>
        <v>0</v>
      </c>
      <c r="AQ295" s="5897" t="str">
        <f>IF(COUNTIF(AD307:AD317,U295)&gt;0,IF(ROUND(AP295,3)&gt;=1,ROUND(AP295,3)&amp;" L",ROUND(AP295*100,0)&amp;" cl"),IF(COUNTIF(AD318:AD328,U295)&gt;0,IF(ROUND(AP295,3)&gt;=1,ROUND(AP295,3)&amp;" Kg",ROUND(AP295*1000,0)&amp;" g"),""))</f>
        <v/>
      </c>
      <c r="AR295" s="5898">
        <f t="shared" si="74"/>
        <v>0</v>
      </c>
      <c r="AS295" s="7383"/>
      <c r="AT295" s="4"/>
      <c r="AU295" s="4"/>
      <c r="AV295" s="4"/>
      <c r="AW295" s="5818" t="str">
        <f t="shared" si="79"/>
        <v>►</v>
      </c>
      <c r="AX295" s="5950"/>
      <c r="AY295" s="5950"/>
      <c r="AZ295" s="5950"/>
      <c r="BA295" s="5950"/>
      <c r="BB295" s="5950"/>
      <c r="BD295"/>
      <c r="BE295"/>
      <c r="BF295"/>
      <c r="BG295"/>
      <c r="BH295"/>
      <c r="BI295"/>
      <c r="BJ295"/>
      <c r="BL295"/>
      <c r="BM295"/>
      <c r="BN295"/>
      <c r="BO295"/>
      <c r="BP295"/>
      <c r="BQ295"/>
      <c r="BR295"/>
      <c r="BT295"/>
      <c r="BU295"/>
      <c r="BV295"/>
      <c r="BX295" s="5">
        <v>1</v>
      </c>
      <c r="BY295" s="1"/>
      <c r="BZ295" s="1"/>
    </row>
    <row r="296" spans="1:78" s="2" customFormat="1" ht="21" customHeight="1">
      <c r="A296" s="5641" t="s">
        <v>1</v>
      </c>
      <c r="B296" s="5662" t="str">
        <f t="shared" si="69"/>
        <v>►</v>
      </c>
      <c r="C296" s="5825" cm="1">
        <f t="array" ref="C296">SUMPRODUCT(LEN(D296:J296))</f>
        <v>0</v>
      </c>
      <c r="D296" s="5275"/>
      <c r="E296" s="1361"/>
      <c r="F296" s="1361"/>
      <c r="G296" s="1361"/>
      <c r="H296" s="1361"/>
      <c r="I296" s="1361"/>
      <c r="J296" s="5276"/>
      <c r="K296" s="106" t="s">
        <v>1</v>
      </c>
      <c r="L296" s="1021" t="str">
        <f t="shared" si="75"/>
        <v>►</v>
      </c>
      <c r="M296" s="41" t="str">
        <f>M288</f>
        <v>Coller la-cellule-identité.N.Nom de votre recette</v>
      </c>
      <c r="N296" s="40">
        <f>N288</f>
        <v>18</v>
      </c>
      <c r="O296" s="40" t="str">
        <f>O288</f>
        <v>assiettes</v>
      </c>
      <c r="P296" s="40" t="str">
        <f>P288</f>
        <v>Recette mère ► saisissez le nom de la recette mère</v>
      </c>
      <c r="Q296" s="213"/>
      <c r="R296" s="212"/>
      <c r="S296" s="211" t="str">
        <f t="shared" si="72"/>
        <v/>
      </c>
      <c r="T296" s="210"/>
      <c r="U296" s="5259"/>
      <c r="V296" s="5576">
        <v>1</v>
      </c>
      <c r="W296" s="6866"/>
      <c r="X296" s="6871"/>
      <c r="Y296" s="5882">
        <f>IFERROR(IFERROR(INDEX(Q308:AB308,MATCH(U296,Q307:AB307,0)),INDEX(Q310:AB310,MATCH(U296,Q309:AB309,0))) * T296 * IF(ISBLANK(Q296), 1, Q296), 0)</f>
        <v>0</v>
      </c>
      <c r="Z296" s="5256">
        <f>(Q296/AA287)*AA285*V296</f>
        <v>0</v>
      </c>
      <c r="AA296" s="5252">
        <f>IF(ISBLANK(AA287), 0, (Y296 * V296) * (AA285 / AA287))</f>
        <v>0</v>
      </c>
      <c r="AB296" s="5257" t="str">
        <f>IF(COUNTIF(Q307:AB307,U296)&gt;0,IF(ROUND(AA296,3)&gt;=1,ROUND(AA296,3)&amp;" L",ROUND(AA296*100,0)&amp;" cl"),IF(COUNTIF(Q309:AB309,U296)&gt;0,IF(ROUND(AA296,3)&gt;=1,ROUND(AA296,3)&amp;" Kg",ROUND(AA296*1000,0)&amp;" g"),""))</f>
        <v/>
      </c>
      <c r="AC296" s="5817" t="str">
        <f t="shared" si="76"/>
        <v>►</v>
      </c>
      <c r="AD296" s="5883">
        <f>IF(Y306=0,0,Y296*AD291*1000/Y306)</f>
        <v>0</v>
      </c>
      <c r="AE296" s="6053">
        <f>IF(ISNUMBER(Q296),Q296*AD291/Y306,0)</f>
        <v>0</v>
      </c>
      <c r="AF296" s="5885"/>
      <c r="AG296" s="5886"/>
      <c r="AH296" s="5886"/>
      <c r="AI296" s="5886"/>
      <c r="AJ296" s="5899">
        <f t="shared" si="77"/>
        <v>0</v>
      </c>
      <c r="AK296" s="5888">
        <f>IF(OR(ISTEXT(Q296),Y306=0),0,Q296*AR284)</f>
        <v>0</v>
      </c>
      <c r="AL296" s="5886"/>
      <c r="AM296" s="5889">
        <f t="shared" si="73"/>
        <v>0</v>
      </c>
      <c r="AN296" s="8558">
        <f t="shared" si="78"/>
        <v>0</v>
      </c>
      <c r="AO296" s="5886"/>
      <c r="AP296" s="5890">
        <f>IF(Y296=0,0,Y296*AR284)</f>
        <v>0</v>
      </c>
      <c r="AQ296" s="5891" t="str">
        <f>IF(COUNTIF(AD307:AD317,U296)&gt;0,IF(ROUND(AP296,3)&gt;=1,ROUND(AP296,3)&amp;" L",ROUND(AP296*100,0)&amp;" cl"),IF(COUNTIF(AD318:AD328,U296)&gt;0,IF(ROUND(AP296,3)&gt;=1,ROUND(AP296,3)&amp;" Kg",ROUND(AP296*1000,0)&amp;" g"),""))</f>
        <v/>
      </c>
      <c r="AR296" s="5892">
        <f t="shared" si="74"/>
        <v>0</v>
      </c>
      <c r="AS296" s="7383"/>
      <c r="AT296" s="4"/>
      <c r="AU296" s="4"/>
      <c r="AV296" s="4"/>
      <c r="AW296" s="5818" t="str">
        <f t="shared" si="79"/>
        <v>►</v>
      </c>
      <c r="AX296" s="5950"/>
      <c r="AY296" s="5950"/>
      <c r="AZ296" s="5950"/>
      <c r="BA296" s="5950"/>
      <c r="BB296" s="5950"/>
      <c r="BD296"/>
      <c r="BE296"/>
      <c r="BF296"/>
      <c r="BG296"/>
      <c r="BH296"/>
      <c r="BI296"/>
      <c r="BJ296"/>
      <c r="BL296"/>
      <c r="BM296"/>
      <c r="BN296"/>
      <c r="BO296"/>
      <c r="BP296"/>
      <c r="BQ296"/>
      <c r="BR296"/>
      <c r="BT296"/>
      <c r="BU296"/>
      <c r="BV296"/>
      <c r="BX296" s="5">
        <v>1</v>
      </c>
      <c r="BY296" s="1"/>
      <c r="BZ296" s="1"/>
    </row>
    <row r="297" spans="1:78" s="2" customFormat="1" ht="21" customHeight="1">
      <c r="A297" s="5641" t="s">
        <v>1</v>
      </c>
      <c r="B297" s="5662" t="str">
        <f t="shared" si="69"/>
        <v>►</v>
      </c>
      <c r="C297" s="5825" cm="1">
        <f t="array" ref="C297">SUMPRODUCT(LEN(D297:J297))</f>
        <v>0</v>
      </c>
      <c r="D297" s="5275"/>
      <c r="E297" s="1361"/>
      <c r="F297" s="1361"/>
      <c r="G297" s="1361"/>
      <c r="H297" s="1361"/>
      <c r="I297" s="1361"/>
      <c r="J297" s="5276"/>
      <c r="K297" s="106" t="s">
        <v>1</v>
      </c>
      <c r="L297" s="1021" t="str">
        <f t="shared" si="75"/>
        <v>►</v>
      </c>
      <c r="M297" s="41" t="str">
        <f>M288</f>
        <v>Coller la-cellule-identité.N.Nom de votre recette</v>
      </c>
      <c r="N297" s="40">
        <f>N288</f>
        <v>18</v>
      </c>
      <c r="O297" s="40" t="str">
        <f>O288</f>
        <v>assiettes</v>
      </c>
      <c r="P297" s="40" t="str">
        <f>P288</f>
        <v>Recette mère ► saisissez le nom de la recette mère</v>
      </c>
      <c r="Q297" s="213"/>
      <c r="R297" s="212"/>
      <c r="S297" s="211" t="str">
        <f t="shared" si="72"/>
        <v/>
      </c>
      <c r="T297" s="210"/>
      <c r="U297" s="5259"/>
      <c r="V297" s="5576">
        <v>1</v>
      </c>
      <c r="W297" s="6866"/>
      <c r="X297" s="6871"/>
      <c r="Y297" s="5882">
        <f>IFERROR(IFERROR(INDEX(Q308:AB308,MATCH(U297,Q307:AB307,0)),INDEX(Q310:AB310,MATCH(U297,Q309:AB309,0))) * T297 * IF(ISBLANK(Q297), 1, Q297), 0)</f>
        <v>0</v>
      </c>
      <c r="Z297" s="5254">
        <f>(Q297/AA287)*AA285*V297</f>
        <v>0</v>
      </c>
      <c r="AA297" s="5252">
        <f>IF(ISBLANK(AA287), 0, (Y297 * V297) * (AA285 / AA287))</f>
        <v>0</v>
      </c>
      <c r="AB297" s="5255" t="str">
        <f>IF(COUNTIF(Q307:AB307,U297)&gt;0,IF(ROUND(AA297,3)&gt;=1,ROUND(AA297,3)&amp;" L",ROUND(AA297*100,0)&amp;" cl"),IF(COUNTIF(Q309:AB309,U297)&gt;0,IF(ROUND(AA297,3)&gt;=1,ROUND(AA297,3)&amp;" Kg",ROUND(AA297*1000,0)&amp;" g"),""))</f>
        <v/>
      </c>
      <c r="AC297" s="5817" t="str">
        <f t="shared" si="76"/>
        <v>►</v>
      </c>
      <c r="AD297" s="5883">
        <f>IF(Y306=0,0,Y297*AD291*1000/Y306)</f>
        <v>0</v>
      </c>
      <c r="AE297" s="6053">
        <f>IF(ISNUMBER(Q297),Q297*AD291/Y306,0)</f>
        <v>0</v>
      </c>
      <c r="AF297" s="5894"/>
      <c r="AG297" s="5804"/>
      <c r="AH297" s="5804"/>
      <c r="AI297" s="5804"/>
      <c r="AJ297" s="5902">
        <f t="shared" si="77"/>
        <v>0</v>
      </c>
      <c r="AK297" s="5896">
        <f>IF(OR(ISTEXT(Q297),Y306=0),0,Q297*AR284)</f>
        <v>0</v>
      </c>
      <c r="AL297" s="5804"/>
      <c r="AM297" s="5805">
        <f t="shared" si="73"/>
        <v>0</v>
      </c>
      <c r="AN297" s="5805">
        <f t="shared" si="78"/>
        <v>0</v>
      </c>
      <c r="AO297" s="5804"/>
      <c r="AP297" s="5788">
        <f>IF(Y297=0,0,Y297*AR284)</f>
        <v>0</v>
      </c>
      <c r="AQ297" s="5897" t="str">
        <f>IF(COUNTIF(AD307:AD317,U297)&gt;0,IF(ROUND(AP297,3)&gt;=1,ROUND(AP297,3)&amp;" L",ROUND(AP297*100,0)&amp;" cl"),IF(COUNTIF(AD318:AD328,U297)&gt;0,IF(ROUND(AP297,3)&gt;=1,ROUND(AP297,3)&amp;" Kg",ROUND(AP297*1000,0)&amp;" g"),""))</f>
        <v/>
      </c>
      <c r="AR297" s="5898">
        <f t="shared" si="74"/>
        <v>0</v>
      </c>
      <c r="AS297" s="7383"/>
      <c r="AT297" s="4"/>
      <c r="AU297" s="4"/>
      <c r="AV297" s="4"/>
      <c r="AW297" s="5818" t="str">
        <f t="shared" si="79"/>
        <v>►</v>
      </c>
      <c r="AX297" s="5950"/>
      <c r="AY297" s="5950"/>
      <c r="AZ297" s="5950"/>
      <c r="BA297" s="5950"/>
      <c r="BB297" s="5950"/>
      <c r="BD297"/>
      <c r="BE297"/>
      <c r="BF297"/>
      <c r="BG297"/>
      <c r="BH297"/>
      <c r="BI297"/>
      <c r="BJ297"/>
      <c r="BL297"/>
      <c r="BM297"/>
      <c r="BN297"/>
      <c r="BO297"/>
      <c r="BP297"/>
      <c r="BQ297"/>
      <c r="BR297"/>
      <c r="BT297"/>
      <c r="BU297"/>
      <c r="BV297"/>
      <c r="BX297" s="5">
        <v>1</v>
      </c>
      <c r="BY297" s="1"/>
      <c r="BZ297" s="1"/>
    </row>
    <row r="298" spans="1:78" s="2" customFormat="1" ht="21" customHeight="1">
      <c r="A298" s="5641" t="s">
        <v>1</v>
      </c>
      <c r="B298" s="5662" t="str">
        <f t="shared" si="69"/>
        <v>►</v>
      </c>
      <c r="C298" s="5825" cm="1">
        <f t="array" ref="C298">SUMPRODUCT(LEN(D298:J298))</f>
        <v>0</v>
      </c>
      <c r="D298" s="5275"/>
      <c r="E298" s="1361"/>
      <c r="F298" s="1361"/>
      <c r="G298" s="1361"/>
      <c r="H298" s="1361"/>
      <c r="I298" s="1361"/>
      <c r="J298" s="5276"/>
      <c r="K298" s="106" t="s">
        <v>1</v>
      </c>
      <c r="L298" s="1021" t="str">
        <f t="shared" si="75"/>
        <v>►</v>
      </c>
      <c r="M298" s="41" t="str">
        <f>M288</f>
        <v>Coller la-cellule-identité.N.Nom de votre recette</v>
      </c>
      <c r="N298" s="40">
        <f>N288</f>
        <v>18</v>
      </c>
      <c r="O298" s="40" t="str">
        <f>O288</f>
        <v>assiettes</v>
      </c>
      <c r="P298" s="40" t="str">
        <f>P288</f>
        <v>Recette mère ► saisissez le nom de la recette mère</v>
      </c>
      <c r="Q298" s="213"/>
      <c r="R298" s="212"/>
      <c r="S298" s="211" t="str">
        <f t="shared" si="72"/>
        <v/>
      </c>
      <c r="T298" s="210"/>
      <c r="U298" s="5259"/>
      <c r="V298" s="5576">
        <v>1</v>
      </c>
      <c r="W298" s="6866"/>
      <c r="X298" s="6871"/>
      <c r="Y298" s="5882">
        <f>IFERROR(IFERROR(INDEX(Q308:AB308,MATCH(U298,Q307:AB307,0)),INDEX(Q310:AB310,MATCH(U298,Q309:AB309,0))) * T298 * IF(ISBLANK(Q298), 1, Q298), 0)</f>
        <v>0</v>
      </c>
      <c r="Z298" s="5256">
        <f>(Q298/AA287)*AA285*V298</f>
        <v>0</v>
      </c>
      <c r="AA298" s="5252">
        <f>IF(ISBLANK(AA287), 0, (Y298 * V298) * (AA285 / AA287))</f>
        <v>0</v>
      </c>
      <c r="AB298" s="5258" t="str">
        <f>IF(COUNTIF(Q307:AB307,U298)&gt;0,IF(ROUND(AA298,3)&gt;=1,ROUND(AA298,3)&amp;" L",ROUND(AA298*100,0)&amp;" cl"),IF(COUNTIF(Q309:AB309,U298)&gt;0,IF(ROUND(AA298,3)&gt;=1,ROUND(AA298,3)&amp;" Kg",ROUND(AA298*1000,0)&amp;" g"),""))</f>
        <v/>
      </c>
      <c r="AC298" s="5817" t="str">
        <f t="shared" si="76"/>
        <v>►</v>
      </c>
      <c r="AD298" s="5883">
        <f>IF(Y306=0,0,Y298*AD291*1000/Y306)</f>
        <v>0</v>
      </c>
      <c r="AE298" s="6053">
        <f>IF(ISNUMBER(Q298),Q298*AD291/Y306,0)</f>
        <v>0</v>
      </c>
      <c r="AF298" s="5885"/>
      <c r="AG298" s="5886"/>
      <c r="AH298" s="5886"/>
      <c r="AI298" s="5886"/>
      <c r="AJ298" s="5899">
        <f t="shared" si="77"/>
        <v>0</v>
      </c>
      <c r="AK298" s="5888">
        <f>IF(OR(ISTEXT(Q298),Y306=0),0,Q298*AR284)</f>
        <v>0</v>
      </c>
      <c r="AL298" s="5886"/>
      <c r="AM298" s="5889">
        <f t="shared" si="73"/>
        <v>0</v>
      </c>
      <c r="AN298" s="8558">
        <f t="shared" si="78"/>
        <v>0</v>
      </c>
      <c r="AO298" s="5886"/>
      <c r="AP298" s="5890">
        <f>IF(Y298=0,0,Y298*AR284)</f>
        <v>0</v>
      </c>
      <c r="AQ298" s="5891" t="str">
        <f>IF(COUNTIF(AD307:AD317,U298)&gt;0,IF(ROUND(AP298,3)&gt;=1,ROUND(AP298,3)&amp;" L",ROUND(AP298*100,0)&amp;" cl"),IF(COUNTIF(AD318:AD328,U298)&gt;0,IF(ROUND(AP298,3)&gt;=1,ROUND(AP298,3)&amp;" Kg",ROUND(AP298*1000,0)&amp;" g"),""))</f>
        <v/>
      </c>
      <c r="AR298" s="5892">
        <f t="shared" si="74"/>
        <v>0</v>
      </c>
      <c r="AS298" s="7383"/>
      <c r="AT298" s="4"/>
      <c r="AU298" s="4"/>
      <c r="AV298" s="4"/>
      <c r="AW298" s="5818" t="str">
        <f t="shared" si="79"/>
        <v>►</v>
      </c>
      <c r="AX298" s="5950"/>
      <c r="AY298" s="5950"/>
      <c r="AZ298" s="5950"/>
      <c r="BA298" s="5950"/>
      <c r="BB298" s="5950"/>
      <c r="BD298"/>
      <c r="BE298"/>
      <c r="BF298"/>
      <c r="BG298"/>
      <c r="BH298"/>
      <c r="BI298"/>
      <c r="BJ298"/>
      <c r="BL298"/>
      <c r="BM298"/>
      <c r="BN298"/>
      <c r="BO298"/>
      <c r="BP298"/>
      <c r="BQ298"/>
      <c r="BR298"/>
      <c r="BT298"/>
      <c r="BU298"/>
      <c r="BV298"/>
      <c r="BX298" s="5">
        <v>1</v>
      </c>
      <c r="BY298" s="1"/>
      <c r="BZ298" s="1"/>
    </row>
    <row r="299" spans="1:78" s="2" customFormat="1" ht="21" customHeight="1">
      <c r="A299" s="5641" t="s">
        <v>1</v>
      </c>
      <c r="B299" s="5662" t="str">
        <f t="shared" si="69"/>
        <v>►</v>
      </c>
      <c r="C299" s="5825" cm="1">
        <f t="array" ref="C299">SUMPRODUCT(LEN(D299:J299))</f>
        <v>0</v>
      </c>
      <c r="D299" s="5275"/>
      <c r="E299" s="1361"/>
      <c r="F299" s="1361"/>
      <c r="G299" s="1361"/>
      <c r="H299" s="1361"/>
      <c r="I299" s="1361"/>
      <c r="J299" s="5276"/>
      <c r="K299" s="106" t="s">
        <v>1</v>
      </c>
      <c r="L299" s="1021" t="str">
        <f t="shared" si="75"/>
        <v>►</v>
      </c>
      <c r="M299" s="41" t="str">
        <f>M288</f>
        <v>Coller la-cellule-identité.N.Nom de votre recette</v>
      </c>
      <c r="N299" s="40">
        <f>N288</f>
        <v>18</v>
      </c>
      <c r="O299" s="40" t="str">
        <f>O288</f>
        <v>assiettes</v>
      </c>
      <c r="P299" s="40" t="str">
        <f>P288</f>
        <v>Recette mère ► saisissez le nom de la recette mère</v>
      </c>
      <c r="Q299" s="213"/>
      <c r="R299" s="212"/>
      <c r="S299" s="211" t="str">
        <f t="shared" si="72"/>
        <v/>
      </c>
      <c r="T299" s="210"/>
      <c r="U299" s="5259"/>
      <c r="V299" s="5576">
        <v>1</v>
      </c>
      <c r="W299" s="6866"/>
      <c r="X299" s="6871"/>
      <c r="Y299" s="5882">
        <f>IFERROR(IFERROR(INDEX(Q308:AB308,MATCH(U299,Q307:AB307,0)),INDEX(Q310:AB310,MATCH(U299,Q309:AB309,0))) * T299 * IF(ISBLANK(Q299), 1, Q299), 0)</f>
        <v>0</v>
      </c>
      <c r="Z299" s="5254">
        <f>(Q299/AA287)*AA285*V299</f>
        <v>0</v>
      </c>
      <c r="AA299" s="5252">
        <f>IF(ISBLANK(AA287), 0, (Y299 * V299) * (AA285 / AA287))</f>
        <v>0</v>
      </c>
      <c r="AB299" s="5255" t="str">
        <f>IF(COUNTIF(Q307:AB307,U299)&gt;0,IF(ROUND(AA299,3)&gt;=1,ROUND(AA299,3)&amp;" L",ROUND(AA299*100,0)&amp;" cl"),IF(COUNTIF(Q309:AB309,U299)&gt;0,IF(ROUND(AA299,3)&gt;=1,ROUND(AA299,3)&amp;" Kg",ROUND(AA299*1000,0)&amp;" g"),""))</f>
        <v/>
      </c>
      <c r="AC299" s="5817" t="str">
        <f t="shared" si="76"/>
        <v>►</v>
      </c>
      <c r="AD299" s="5883">
        <f>IF(Y306=0,0,Y299*AD291*1000/Y306)</f>
        <v>0</v>
      </c>
      <c r="AE299" s="6053">
        <f>IF(ISNUMBER(Q299),Q299*AD291/Y306,0)</f>
        <v>0</v>
      </c>
      <c r="AF299" s="5894"/>
      <c r="AG299" s="5804"/>
      <c r="AH299" s="5804"/>
      <c r="AI299" s="5804"/>
      <c r="AJ299" s="5902">
        <f t="shared" si="77"/>
        <v>0</v>
      </c>
      <c r="AK299" s="5896">
        <f>IF(OR(ISTEXT(Q299),Y306=0),0,Q299*AR284)</f>
        <v>0</v>
      </c>
      <c r="AL299" s="5804"/>
      <c r="AM299" s="5805">
        <f t="shared" si="73"/>
        <v>0</v>
      </c>
      <c r="AN299" s="5805">
        <f t="shared" si="78"/>
        <v>0</v>
      </c>
      <c r="AO299" s="5804"/>
      <c r="AP299" s="5788">
        <f>IF(Y299=0,0,Y299*AR284)</f>
        <v>0</v>
      </c>
      <c r="AQ299" s="5897" t="str">
        <f>IF(COUNTIF(AD307:AD317,U299)&gt;0,IF(ROUND(AP299,3)&gt;=1,ROUND(AP299,3)&amp;" L",ROUND(AP299*100,0)&amp;" cl"),IF(COUNTIF(AD318:AD328,U299)&gt;0,IF(ROUND(AP299,3)&gt;=1,ROUND(AP299,3)&amp;" Kg",ROUND(AP299*1000,0)&amp;" g"),""))</f>
        <v/>
      </c>
      <c r="AR299" s="5898">
        <f t="shared" si="74"/>
        <v>0</v>
      </c>
      <c r="AS299" s="7383"/>
      <c r="AT299" s="4"/>
      <c r="AU299" s="4"/>
      <c r="AV299" s="4"/>
      <c r="AW299" s="5818" t="str">
        <f t="shared" si="79"/>
        <v>►</v>
      </c>
      <c r="AX299" s="5950"/>
      <c r="AY299" s="5950"/>
      <c r="AZ299" s="5950"/>
      <c r="BA299" s="5950"/>
      <c r="BB299" s="5950"/>
      <c r="BD299"/>
      <c r="BE299"/>
      <c r="BF299"/>
      <c r="BG299"/>
      <c r="BH299"/>
      <c r="BI299"/>
      <c r="BJ299"/>
      <c r="BL299"/>
      <c r="BM299"/>
      <c r="BN299"/>
      <c r="BO299"/>
      <c r="BP299"/>
      <c r="BQ299"/>
      <c r="BR299"/>
      <c r="BT299"/>
      <c r="BU299"/>
      <c r="BV299"/>
      <c r="BX299" s="5">
        <v>1</v>
      </c>
      <c r="BY299" s="1"/>
      <c r="BZ299" s="1"/>
    </row>
    <row r="300" spans="1:78" s="2" customFormat="1" ht="21" customHeight="1">
      <c r="A300" s="5641" t="s">
        <v>1</v>
      </c>
      <c r="B300" s="5662" t="str">
        <f t="shared" si="69"/>
        <v>►</v>
      </c>
      <c r="C300" s="5825" cm="1">
        <f t="array" ref="C300">SUMPRODUCT(LEN(D300:J300))</f>
        <v>0</v>
      </c>
      <c r="D300" s="5275"/>
      <c r="E300" s="1361"/>
      <c r="F300" s="1361"/>
      <c r="G300" s="1361"/>
      <c r="H300" s="1361"/>
      <c r="I300" s="1361"/>
      <c r="J300" s="5276"/>
      <c r="K300" s="106" t="s">
        <v>1</v>
      </c>
      <c r="L300" s="1021" t="str">
        <f t="shared" si="75"/>
        <v>►</v>
      </c>
      <c r="M300" s="41" t="str">
        <f>M288</f>
        <v>Coller la-cellule-identité.N.Nom de votre recette</v>
      </c>
      <c r="N300" s="40">
        <f>N288</f>
        <v>18</v>
      </c>
      <c r="O300" s="40" t="str">
        <f>O288</f>
        <v>assiettes</v>
      </c>
      <c r="P300" s="40" t="str">
        <f>P288</f>
        <v>Recette mère ► saisissez le nom de la recette mère</v>
      </c>
      <c r="Q300" s="213"/>
      <c r="R300" s="212"/>
      <c r="S300" s="211" t="str">
        <f t="shared" si="72"/>
        <v/>
      </c>
      <c r="T300" s="210"/>
      <c r="U300" s="5259"/>
      <c r="V300" s="5576">
        <v>1</v>
      </c>
      <c r="W300" s="6866"/>
      <c r="X300" s="6871"/>
      <c r="Y300" s="5882">
        <f>IFERROR(IFERROR(INDEX(Q308:AB308,MATCH(U300,Q307:AB307,0)),INDEX(Q310:AB310,MATCH(U300,Q309:AB309,0))) * T300 * IF(ISBLANK(Q300), 1, Q300), 0)</f>
        <v>0</v>
      </c>
      <c r="Z300" s="5256">
        <f>(Q300/AA287)*AA285*V300</f>
        <v>0</v>
      </c>
      <c r="AA300" s="5252">
        <f>IF(ISBLANK(AA287), 0, (Y300 * V300) * (AA285 / AA287))</f>
        <v>0</v>
      </c>
      <c r="AB300" s="5258" t="str">
        <f>IF(COUNTIF(Q307:AB307,U300)&gt;0,IF(ROUND(AA300,3)&gt;=1,ROUND(AA300,3)&amp;" L",ROUND(AA300*100,0)&amp;" cl"),IF(COUNTIF(Q309:AB309,U300)&gt;0,IF(ROUND(AA300,3)&gt;=1,ROUND(AA300,3)&amp;" Kg",ROUND(AA300*1000,0)&amp;" g"),""))</f>
        <v/>
      </c>
      <c r="AC300" s="5817" t="str">
        <f t="shared" si="76"/>
        <v>►</v>
      </c>
      <c r="AD300" s="5883">
        <f>IF(Y306=0,0,Y300*AD291*1000/Y306)</f>
        <v>0</v>
      </c>
      <c r="AE300" s="6053">
        <f>IF(ISNUMBER(Q300),Q300*AD291/Y306,0)</f>
        <v>0</v>
      </c>
      <c r="AF300" s="5885"/>
      <c r="AG300" s="5886"/>
      <c r="AH300" s="5886"/>
      <c r="AI300" s="5886"/>
      <c r="AJ300" s="5899">
        <f t="shared" si="77"/>
        <v>0</v>
      </c>
      <c r="AK300" s="5888">
        <f>IF(OR(ISTEXT(Q300),Y306=0),0,Q300*AR284)</f>
        <v>0</v>
      </c>
      <c r="AL300" s="5886"/>
      <c r="AM300" s="5889">
        <f t="shared" si="73"/>
        <v>0</v>
      </c>
      <c r="AN300" s="8558">
        <f t="shared" si="78"/>
        <v>0</v>
      </c>
      <c r="AO300" s="5886"/>
      <c r="AP300" s="5890">
        <f>IF(Y300=0,0,Y300*AR284)</f>
        <v>0</v>
      </c>
      <c r="AQ300" s="5891" t="str">
        <f>IF(COUNTIF(AD307:AD317,U300)&gt;0,IF(ROUND(AP300,3)&gt;=1,ROUND(AP300,3)&amp;" L",ROUND(AP300*100,0)&amp;" cl"),IF(COUNTIF(AD318:AD328,U300)&gt;0,IF(ROUND(AP300,3)&gt;=1,ROUND(AP300,3)&amp;" Kg",ROUND(AP300*1000,0)&amp;" g"),""))</f>
        <v/>
      </c>
      <c r="AR300" s="5892">
        <f t="shared" si="74"/>
        <v>0</v>
      </c>
      <c r="AS300" s="7383"/>
      <c r="AT300" s="4"/>
      <c r="AU300" s="4"/>
      <c r="AV300" s="4"/>
      <c r="AW300" s="5818" t="str">
        <f t="shared" si="79"/>
        <v>►</v>
      </c>
      <c r="AX300" s="5950"/>
      <c r="AY300" s="5950"/>
      <c r="AZ300" s="5950"/>
      <c r="BA300" s="5950"/>
      <c r="BB300" s="5950"/>
      <c r="BD300"/>
      <c r="BE300"/>
      <c r="BF300"/>
      <c r="BG300"/>
      <c r="BH300"/>
      <c r="BI300"/>
      <c r="BJ300"/>
      <c r="BL300"/>
      <c r="BM300"/>
      <c r="BN300"/>
      <c r="BO300"/>
      <c r="BP300"/>
      <c r="BQ300"/>
      <c r="BR300"/>
      <c r="BT300"/>
      <c r="BU300"/>
      <c r="BV300"/>
      <c r="BX300" s="5">
        <v>1</v>
      </c>
      <c r="BY300" s="1"/>
      <c r="BZ300" s="1"/>
    </row>
    <row r="301" spans="1:78" s="2" customFormat="1" ht="21" customHeight="1">
      <c r="A301" s="5641" t="s">
        <v>1</v>
      </c>
      <c r="B301" s="5662" t="str">
        <f t="shared" si="69"/>
        <v>►</v>
      </c>
      <c r="C301" s="5825" cm="1">
        <f t="array" ref="C301">SUMPRODUCT(LEN(D301:J301))</f>
        <v>0</v>
      </c>
      <c r="D301" s="5275"/>
      <c r="E301" s="1361"/>
      <c r="F301" s="1361"/>
      <c r="G301" s="1361"/>
      <c r="H301" s="1361"/>
      <c r="I301" s="1361"/>
      <c r="J301" s="5276"/>
      <c r="K301" s="106" t="s">
        <v>1</v>
      </c>
      <c r="L301" s="1021" t="str">
        <f t="shared" si="75"/>
        <v>►</v>
      </c>
      <c r="M301" s="41" t="str">
        <f>M288</f>
        <v>Coller la-cellule-identité.N.Nom de votre recette</v>
      </c>
      <c r="N301" s="40">
        <f>N288</f>
        <v>18</v>
      </c>
      <c r="O301" s="40" t="str">
        <f>O288</f>
        <v>assiettes</v>
      </c>
      <c r="P301" s="40" t="str">
        <f>P288</f>
        <v>Recette mère ► saisissez le nom de la recette mère</v>
      </c>
      <c r="Q301" s="213"/>
      <c r="R301" s="212"/>
      <c r="S301" s="211" t="str">
        <f t="shared" si="72"/>
        <v/>
      </c>
      <c r="T301" s="210"/>
      <c r="U301" s="5259"/>
      <c r="V301" s="5576">
        <v>1</v>
      </c>
      <c r="W301" s="6866"/>
      <c r="X301" s="6871"/>
      <c r="Y301" s="5882">
        <f>IFERROR(IFERROR(INDEX(Q308:AB308,MATCH(U301,Q307:AB307,0)),INDEX(Q310:AB310,MATCH(U301,Q309:AB309,0))) * T301 * IF(ISBLANK(Q301), 1, Q301), 0)</f>
        <v>0</v>
      </c>
      <c r="Z301" s="5254">
        <f>(Q301/AA287)*AA285*V301</f>
        <v>0</v>
      </c>
      <c r="AA301" s="5252">
        <f>IF(ISBLANK(AA287), 0, (Y301 * V301) * (AA285 / AA287))</f>
        <v>0</v>
      </c>
      <c r="AB301" s="5255" t="str">
        <f>IF(COUNTIF(Q307:AB307,U301)&gt;0,IF(ROUND(AA301,3)&gt;=1,ROUND(AA301,3)&amp;" L",ROUND(AA301*100,0)&amp;" cl"),IF(COUNTIF(Q309:AB309,U301)&gt;0,IF(ROUND(AA301,3)&gt;=1,ROUND(AA301,3)&amp;" Kg",ROUND(AA301*1000,0)&amp;" g"),""))</f>
        <v/>
      </c>
      <c r="AC301" s="5817" t="str">
        <f t="shared" si="76"/>
        <v>►</v>
      </c>
      <c r="AD301" s="5883">
        <f>IF(Y306=0,0,Y301*AD291*1000/Y306)</f>
        <v>0</v>
      </c>
      <c r="AE301" s="6053">
        <f>IF(ISNUMBER(Q301),Q301*AD291/Y306,0)</f>
        <v>0</v>
      </c>
      <c r="AF301" s="5894"/>
      <c r="AG301" s="5804"/>
      <c r="AH301" s="5804"/>
      <c r="AI301" s="5804"/>
      <c r="AJ301" s="5902">
        <f t="shared" si="77"/>
        <v>0</v>
      </c>
      <c r="AK301" s="5896">
        <f>IF(OR(ISTEXT(Q301),Y306=0),0,Q301*AR284)</f>
        <v>0</v>
      </c>
      <c r="AL301" s="5804"/>
      <c r="AM301" s="5805">
        <f t="shared" si="73"/>
        <v>0</v>
      </c>
      <c r="AN301" s="5805">
        <f t="shared" si="78"/>
        <v>0</v>
      </c>
      <c r="AO301" s="5804"/>
      <c r="AP301" s="5788">
        <f>IF(Y301=0,0,Y301*AR284)</f>
        <v>0</v>
      </c>
      <c r="AQ301" s="5897" t="str">
        <f>IF(COUNTIF(AD307:AD317,U301)&gt;0,IF(ROUND(AP301,3)&gt;=1,ROUND(AP301,3)&amp;" L",ROUND(AP301*100,0)&amp;" cl"),IF(COUNTIF(AD318:AD328,U301)&gt;0,IF(ROUND(AP301,3)&gt;=1,ROUND(AP301,3)&amp;" Kg",ROUND(AP301*1000,0)&amp;" g"),""))</f>
        <v/>
      </c>
      <c r="AR301" s="5898">
        <f t="shared" si="74"/>
        <v>0</v>
      </c>
      <c r="AS301" s="7383"/>
      <c r="AT301" s="4"/>
      <c r="AU301" s="4"/>
      <c r="AV301" s="4"/>
      <c r="AW301" s="5818" t="str">
        <f t="shared" si="79"/>
        <v>►</v>
      </c>
      <c r="AX301" s="5950"/>
      <c r="AY301" s="5950"/>
      <c r="AZ301" s="5950"/>
      <c r="BA301" s="5950"/>
      <c r="BB301" s="5950"/>
      <c r="BD301"/>
      <c r="BE301"/>
      <c r="BF301"/>
      <c r="BG301"/>
      <c r="BH301"/>
      <c r="BI301"/>
      <c r="BJ301"/>
      <c r="BL301"/>
      <c r="BM301"/>
      <c r="BN301"/>
      <c r="BO301"/>
      <c r="BP301"/>
      <c r="BQ301"/>
      <c r="BR301"/>
      <c r="BT301"/>
      <c r="BU301"/>
      <c r="BV301"/>
      <c r="BX301" s="5">
        <v>1</v>
      </c>
      <c r="BY301" s="1"/>
      <c r="BZ301" s="1"/>
    </row>
    <row r="302" spans="1:78" s="2" customFormat="1" ht="21" customHeight="1">
      <c r="A302" s="5641" t="s">
        <v>1</v>
      </c>
      <c r="B302" s="5662" t="str">
        <f t="shared" si="69"/>
        <v>►</v>
      </c>
      <c r="C302" s="5825" cm="1">
        <f t="array" ref="C302">SUMPRODUCT(LEN(D302:J302))</f>
        <v>0</v>
      </c>
      <c r="D302" s="5275"/>
      <c r="E302" s="1361"/>
      <c r="F302" s="1361"/>
      <c r="G302" s="1361"/>
      <c r="H302" s="1361"/>
      <c r="I302" s="1361"/>
      <c r="J302" s="5276"/>
      <c r="K302" s="106" t="s">
        <v>1</v>
      </c>
      <c r="L302" s="1021" t="str">
        <f t="shared" si="75"/>
        <v>►</v>
      </c>
      <c r="M302" s="41" t="str">
        <f>M288</f>
        <v>Coller la-cellule-identité.N.Nom de votre recette</v>
      </c>
      <c r="N302" s="40">
        <f>N288</f>
        <v>18</v>
      </c>
      <c r="O302" s="40" t="str">
        <f>O288</f>
        <v>assiettes</v>
      </c>
      <c r="P302" s="40" t="str">
        <f>P288</f>
        <v>Recette mère ► saisissez le nom de la recette mère</v>
      </c>
      <c r="Q302" s="213"/>
      <c r="R302" s="212"/>
      <c r="S302" s="211" t="str">
        <f t="shared" si="72"/>
        <v/>
      </c>
      <c r="T302" s="210"/>
      <c r="U302" s="5259"/>
      <c r="V302" s="5576">
        <v>1</v>
      </c>
      <c r="W302" s="6866"/>
      <c r="X302" s="6871"/>
      <c r="Y302" s="5882">
        <f>IFERROR(IFERROR(INDEX(Q308:AB308,MATCH(U302,Q307:AB307,0)),INDEX(Q310:AB310,MATCH(U302,Q309:AB309,0))) * T302 * IF(ISBLANK(Q302), 1, Q302), 0)</f>
        <v>0</v>
      </c>
      <c r="Z302" s="5256">
        <f>(Q302/AA287)*AA285*V302</f>
        <v>0</v>
      </c>
      <c r="AA302" s="5252">
        <f>IF(ISBLANK(AA287), 0, (Y302 * V302) * (AA285 / AA287))</f>
        <v>0</v>
      </c>
      <c r="AB302" s="5260" t="str">
        <f>IF(COUNTIF(Q307:AB307,U302)&gt;0,IF(ROUND(AA302,3)&gt;=1,ROUND(AA302,3)&amp;" L",ROUND(AA302*100,0)&amp;" cl"),IF(COUNTIF(Q309:AB309,U302)&gt;0,IF(ROUND(AA302,3)&gt;=1,ROUND(AA302,3)&amp;" Kg",ROUND(AA302*1000,0)&amp;" g"),""))</f>
        <v/>
      </c>
      <c r="AC302" s="5817" t="str">
        <f t="shared" si="76"/>
        <v>►</v>
      </c>
      <c r="AD302" s="5883">
        <f>IF(Y306=0,0,Y302*AD291*1000/Y306)</f>
        <v>0</v>
      </c>
      <c r="AE302" s="6053">
        <f>IF(ISNUMBER(Q302),Q302*AD291/Y306,0)</f>
        <v>0</v>
      </c>
      <c r="AF302" s="5885"/>
      <c r="AG302" s="5886"/>
      <c r="AH302" s="5886"/>
      <c r="AI302" s="5886"/>
      <c r="AJ302" s="5899">
        <f t="shared" si="77"/>
        <v>0</v>
      </c>
      <c r="AK302" s="5888">
        <f>IF(OR(ISTEXT(Q302),Y306=0),0,Q302*AR284)</f>
        <v>0</v>
      </c>
      <c r="AL302" s="5886"/>
      <c r="AM302" s="5889">
        <f t="shared" si="73"/>
        <v>0</v>
      </c>
      <c r="AN302" s="8558">
        <f t="shared" si="78"/>
        <v>0</v>
      </c>
      <c r="AO302" s="5886"/>
      <c r="AP302" s="5890">
        <f>IF(Y302=0,0,Y302*AR284)</f>
        <v>0</v>
      </c>
      <c r="AQ302" s="5891" t="str">
        <f>IF(COUNTIF(AD307:AD317,U302)&gt;0,IF(ROUND(AP302,3)&gt;=1,ROUND(AP302,3)&amp;" L",ROUND(AP302*100,0)&amp;" cl"),IF(COUNTIF(AD318:AD328,U302)&gt;0,IF(ROUND(AP302,3)&gt;=1,ROUND(AP302,3)&amp;" Kg",ROUND(AP302*1000,0)&amp;" g"),""))</f>
        <v/>
      </c>
      <c r="AR302" s="5892">
        <f t="shared" si="74"/>
        <v>0</v>
      </c>
      <c r="AS302" s="7383"/>
      <c r="AT302" s="4"/>
      <c r="AU302" s="4"/>
      <c r="AV302" s="4"/>
      <c r="AW302" s="5818" t="str">
        <f t="shared" si="79"/>
        <v>►</v>
      </c>
      <c r="AX302" s="5950"/>
      <c r="AY302" s="5950"/>
      <c r="AZ302" s="5950"/>
      <c r="BA302" s="5950"/>
      <c r="BB302" s="5950"/>
      <c r="BD302"/>
      <c r="BE302"/>
      <c r="BF302"/>
      <c r="BG302"/>
      <c r="BH302"/>
      <c r="BI302"/>
      <c r="BJ302"/>
      <c r="BL302"/>
      <c r="BM302"/>
      <c r="BN302"/>
      <c r="BO302"/>
      <c r="BP302"/>
      <c r="BQ302"/>
      <c r="BR302"/>
      <c r="BT302"/>
      <c r="BU302"/>
      <c r="BV302"/>
      <c r="BX302" s="5">
        <v>1</v>
      </c>
      <c r="BY302" s="1"/>
      <c r="BZ302" s="1"/>
    </row>
    <row r="303" spans="1:78" s="2" customFormat="1" ht="21" customHeight="1">
      <c r="A303" s="5641" t="s">
        <v>1</v>
      </c>
      <c r="B303" s="5662" t="str">
        <f t="shared" si="69"/>
        <v>►</v>
      </c>
      <c r="C303" s="5825" cm="1">
        <f t="array" ref="C303">SUMPRODUCT(LEN(D303:J303))</f>
        <v>0</v>
      </c>
      <c r="D303" s="5275"/>
      <c r="E303" s="1361"/>
      <c r="F303" s="1361"/>
      <c r="G303" s="1361"/>
      <c r="H303" s="1361"/>
      <c r="I303" s="1361"/>
      <c r="J303" s="5276"/>
      <c r="K303" s="106" t="s">
        <v>1</v>
      </c>
      <c r="L303" s="1021" t="str">
        <f t="shared" si="75"/>
        <v>►</v>
      </c>
      <c r="M303" s="41" t="str">
        <f>M288</f>
        <v>Coller la-cellule-identité.N.Nom de votre recette</v>
      </c>
      <c r="N303" s="40">
        <f>N288</f>
        <v>18</v>
      </c>
      <c r="O303" s="40" t="str">
        <f>O288</f>
        <v>assiettes</v>
      </c>
      <c r="P303" s="40" t="str">
        <f>P288</f>
        <v>Recette mère ► saisissez le nom de la recette mère</v>
      </c>
      <c r="Q303" s="213"/>
      <c r="R303" s="212"/>
      <c r="S303" s="211" t="str">
        <f t="shared" si="72"/>
        <v/>
      </c>
      <c r="T303" s="210"/>
      <c r="U303" s="5259"/>
      <c r="V303" s="5576">
        <v>1</v>
      </c>
      <c r="W303" s="6866"/>
      <c r="X303" s="6871"/>
      <c r="Y303" s="5882">
        <f>IFERROR(IFERROR(INDEX(Q308:AB308,MATCH(U303,Q307:AB307,0)),INDEX(Q310:AB310,MATCH(U303,Q309:AB309,0))) * T303 * IF(ISBLANK(Q303), 1, Q303), 0)</f>
        <v>0</v>
      </c>
      <c r="Z303" s="5254">
        <f>(Q303/AA287)*AA285*V303</f>
        <v>0</v>
      </c>
      <c r="AA303" s="5252">
        <f>IF(ISBLANK(AA287), 0, (Y303 * V303) * (AA285 / AA287))</f>
        <v>0</v>
      </c>
      <c r="AB303" s="5255" t="str">
        <f>IF(COUNTIF(Q307:AB307,U303)&gt;0,IF(ROUND(AA303,3)&gt;=1,ROUND(AA303,3)&amp;" L",ROUND(AA303*100,0)&amp;" cl"),IF(COUNTIF(Q309:AB309,U303)&gt;0,IF(ROUND(AA303,3)&gt;=1,ROUND(AA303,3)&amp;" Kg",ROUND(AA303*1000,0)&amp;" g"),""))</f>
        <v/>
      </c>
      <c r="AC303" s="5817" t="str">
        <f t="shared" si="76"/>
        <v>►</v>
      </c>
      <c r="AD303" s="5883">
        <f>IF(Y306=0,0,Y303*AD291*1000/Y306)</f>
        <v>0</v>
      </c>
      <c r="AE303" s="6053">
        <f>IF(ISNUMBER(Q303),Q303*AD291/Y306,0)</f>
        <v>0</v>
      </c>
      <c r="AF303" s="5894"/>
      <c r="AG303" s="5804"/>
      <c r="AH303" s="5804"/>
      <c r="AI303" s="5804"/>
      <c r="AJ303" s="5902">
        <f t="shared" si="77"/>
        <v>0</v>
      </c>
      <c r="AK303" s="5896">
        <f>IF(OR(ISTEXT(Q303),Y306=0),0,Q303*AR284)</f>
        <v>0</v>
      </c>
      <c r="AL303" s="5804"/>
      <c r="AM303" s="5805">
        <f t="shared" si="73"/>
        <v>0</v>
      </c>
      <c r="AN303" s="5805">
        <f t="shared" si="78"/>
        <v>0</v>
      </c>
      <c r="AO303" s="5804"/>
      <c r="AP303" s="5788">
        <f>IF(Y303=0,0,Y303*AR284)</f>
        <v>0</v>
      </c>
      <c r="AQ303" s="5897" t="str">
        <f>IF(COUNTIF(AD307:AD317,U303)&gt;0,IF(ROUND(AP303,3)&gt;=1,ROUND(AP303,3)&amp;" L",ROUND(AP303*100,0)&amp;" cl"),IF(COUNTIF(AD318:AD328,U303)&gt;0,IF(ROUND(AP303,3)&gt;=1,ROUND(AP303,3)&amp;" Kg",ROUND(AP303*1000,0)&amp;" g"),""))</f>
        <v/>
      </c>
      <c r="AR303" s="5898">
        <f t="shared" si="74"/>
        <v>0</v>
      </c>
      <c r="AS303" s="7383"/>
      <c r="AT303" s="4"/>
      <c r="AU303" s="4"/>
      <c r="AV303" s="4"/>
      <c r="AW303" s="5818" t="str">
        <f t="shared" si="79"/>
        <v>►</v>
      </c>
      <c r="AX303" s="5950"/>
      <c r="AY303" s="5950"/>
      <c r="AZ303" s="5950"/>
      <c r="BA303" s="5950"/>
      <c r="BB303" s="5950"/>
      <c r="BD303"/>
      <c r="BE303"/>
      <c r="BF303"/>
      <c r="BG303"/>
      <c r="BH303"/>
      <c r="BI303"/>
      <c r="BJ303"/>
      <c r="BL303"/>
      <c r="BM303"/>
      <c r="BN303"/>
      <c r="BO303"/>
      <c r="BP303"/>
      <c r="BQ303"/>
      <c r="BR303"/>
      <c r="BT303"/>
      <c r="BU303"/>
      <c r="BV303"/>
      <c r="BX303" s="5">
        <v>1</v>
      </c>
      <c r="BY303" s="1"/>
      <c r="BZ303" s="1"/>
    </row>
    <row r="304" spans="1:78" s="2" customFormat="1" ht="21" customHeight="1">
      <c r="A304" s="5641" t="s">
        <v>1</v>
      </c>
      <c r="B304" s="5662" t="str">
        <f t="shared" si="69"/>
        <v>►</v>
      </c>
      <c r="C304" s="5825" cm="1">
        <f t="array" ref="C304">SUMPRODUCT(LEN(D304:J304))</f>
        <v>0</v>
      </c>
      <c r="D304" s="5275"/>
      <c r="E304" s="1361"/>
      <c r="F304" s="1361"/>
      <c r="G304" s="1361"/>
      <c r="H304" s="1361"/>
      <c r="I304" s="1361"/>
      <c r="J304" s="5276"/>
      <c r="K304" s="106" t="s">
        <v>1</v>
      </c>
      <c r="L304" s="1021" t="str">
        <f t="shared" si="75"/>
        <v>►</v>
      </c>
      <c r="M304" s="41" t="str">
        <f>M289</f>
        <v>Coller la-cellule-identité.N.Nom de votre recette</v>
      </c>
      <c r="N304" s="40">
        <f>N288</f>
        <v>18</v>
      </c>
      <c r="O304" s="40" t="str">
        <f>O288</f>
        <v>assiettes</v>
      </c>
      <c r="P304" s="40" t="str">
        <f>P288</f>
        <v>Recette mère ► saisissez le nom de la recette mère</v>
      </c>
      <c r="Q304" s="213"/>
      <c r="R304" s="212"/>
      <c r="S304" s="211" t="str">
        <f t="shared" si="72"/>
        <v/>
      </c>
      <c r="T304" s="210"/>
      <c r="U304" s="5259"/>
      <c r="V304" s="5576">
        <v>1</v>
      </c>
      <c r="W304" s="6866"/>
      <c r="X304" s="6871"/>
      <c r="Y304" s="5882">
        <f>IFERROR(IFERROR(INDEX(Q308:AB308,MATCH(U304,Q307:AB307,0)),INDEX(Q310:AB310,MATCH(U304,Q309:AB309,0))) * T304 * IF(ISBLANK(Q304), 1, Q304), 0)</f>
        <v>0</v>
      </c>
      <c r="Z304" s="5254">
        <f>(Q304/AA287)*AA285*V304</f>
        <v>0</v>
      </c>
      <c r="AA304" s="5252">
        <f>IF(ISBLANK(AA287), 0, (Y304 * V304) * (AA285 / AA287))</f>
        <v>0</v>
      </c>
      <c r="AB304" s="5260" t="str">
        <f>IF(COUNTIF(Q307:AB307,U304)&gt;0,IF(ROUND(AA304,3)&gt;=1,ROUND(AA304,3)&amp;" L",ROUND(AA304*100,0)&amp;" cl"),IF(COUNTIF(Q309:AB309,U304)&gt;0,IF(ROUND(AA304,3)&gt;=1,ROUND(AA304,3)&amp;" Kg",ROUND(AA304*1000,0)&amp;" g"),""))</f>
        <v/>
      </c>
      <c r="AC304" s="5817" t="str">
        <f t="shared" si="76"/>
        <v>►</v>
      </c>
      <c r="AD304" s="5883">
        <f>IF(Y306=0,0,Y304*AD291*1000/Y306)</f>
        <v>0</v>
      </c>
      <c r="AE304" s="6053">
        <f>IF(ISNUMBER(Q304),Q304*AD291/Y306,0)</f>
        <v>0</v>
      </c>
      <c r="AF304" s="5885"/>
      <c r="AG304" s="5886"/>
      <c r="AH304" s="5886"/>
      <c r="AI304" s="5886"/>
      <c r="AJ304" s="5899">
        <f t="shared" si="77"/>
        <v>0</v>
      </c>
      <c r="AK304" s="5888">
        <f>IF(OR(ISTEXT(Q304),Y306=0),0,Q304*AR284)</f>
        <v>0</v>
      </c>
      <c r="AL304" s="5886"/>
      <c r="AM304" s="5889">
        <f t="shared" si="73"/>
        <v>0</v>
      </c>
      <c r="AN304" s="8558">
        <f t="shared" si="78"/>
        <v>0</v>
      </c>
      <c r="AO304" s="5886"/>
      <c r="AP304" s="5890">
        <f>IF(Y304=0,0,Y304*AR284)</f>
        <v>0</v>
      </c>
      <c r="AQ304" s="5891" t="str">
        <f>IF(COUNTIF(AD307:AD317,U304)&gt;0,IF(ROUND(AP304,3)&gt;=1,ROUND(AP304,3)&amp;" L",ROUND(AP304*100,0)&amp;" cl"),IF(COUNTIF(AD318:AD328,U304)&gt;0,IF(ROUND(AP304,3)&gt;=1,ROUND(AP304,3)&amp;" Kg",ROUND(AP304*1000,0)&amp;" g"),""))</f>
        <v/>
      </c>
      <c r="AR304" s="5892">
        <f t="shared" si="74"/>
        <v>0</v>
      </c>
      <c r="AS304" s="7383"/>
      <c r="AT304" s="4"/>
      <c r="AU304" s="4"/>
      <c r="AV304" s="4"/>
      <c r="AW304" s="5818" t="str">
        <f t="shared" si="79"/>
        <v>►</v>
      </c>
      <c r="AX304" s="5950"/>
      <c r="AY304" s="5950"/>
      <c r="AZ304" s="5950"/>
      <c r="BA304" s="5950"/>
      <c r="BB304" s="5950"/>
      <c r="BD304"/>
      <c r="BE304"/>
      <c r="BF304"/>
      <c r="BG304"/>
      <c r="BH304"/>
      <c r="BI304"/>
      <c r="BJ304"/>
      <c r="BL304"/>
      <c r="BM304"/>
      <c r="BN304"/>
      <c r="BO304"/>
      <c r="BP304"/>
      <c r="BQ304"/>
      <c r="BR304"/>
      <c r="BT304"/>
      <c r="BU304"/>
      <c r="BV304"/>
      <c r="BX304" s="5">
        <v>1</v>
      </c>
      <c r="BY304" s="1"/>
      <c r="BZ304" s="1"/>
    </row>
    <row r="305" spans="1:78" s="2" customFormat="1" ht="21" customHeight="1">
      <c r="A305" s="5641" t="s">
        <v>1</v>
      </c>
      <c r="B305" s="5662" t="str">
        <f t="shared" si="69"/>
        <v>►</v>
      </c>
      <c r="C305" s="5825" cm="1">
        <f t="array" ref="C305">SUMPRODUCT(LEN(D305:J305))</f>
        <v>0</v>
      </c>
      <c r="D305" s="5275"/>
      <c r="E305" s="1361"/>
      <c r="F305" s="1361"/>
      <c r="G305" s="1361"/>
      <c r="H305" s="1361"/>
      <c r="I305" s="1361"/>
      <c r="J305" s="5276"/>
      <c r="K305" s="106" t="s">
        <v>1</v>
      </c>
      <c r="L305" s="1021" t="str">
        <f t="shared" si="75"/>
        <v>►</v>
      </c>
      <c r="M305" s="41" t="str">
        <f>M288</f>
        <v>Coller la-cellule-identité.N.Nom de votre recette</v>
      </c>
      <c r="N305" s="40">
        <f>N288</f>
        <v>18</v>
      </c>
      <c r="O305" s="40" t="str">
        <f>O288</f>
        <v>assiettes</v>
      </c>
      <c r="P305" s="40" t="str">
        <f>P288</f>
        <v>Recette mère ► saisissez le nom de la recette mère</v>
      </c>
      <c r="Q305" s="213"/>
      <c r="R305" s="212"/>
      <c r="S305" s="211" t="str">
        <f t="shared" si="72"/>
        <v/>
      </c>
      <c r="T305" s="210"/>
      <c r="U305" s="5259"/>
      <c r="V305" s="5576">
        <v>1</v>
      </c>
      <c r="W305" s="6866"/>
      <c r="X305" s="6871"/>
      <c r="Y305" s="5882">
        <f>IFERROR(IFERROR(INDEX(Q308:AB308,MATCH(U305,Q307:AB307,0)),INDEX(Q310:AB310,MATCH(U305,Q309:AB309,0))) * T305 * IF(ISBLANK(Q305), 1, Q305), 0)</f>
        <v>0</v>
      </c>
      <c r="Z305" s="5254">
        <f>(Q305/AA287)*AA285*V305</f>
        <v>0</v>
      </c>
      <c r="AA305" s="5252">
        <f>IF(ISBLANK(AA287), 0, (Y305 * V305) * (AA285 / AA287))</f>
        <v>0</v>
      </c>
      <c r="AB305" s="5255" t="str">
        <f>IF(COUNTIF(Q307:AB307,U305)&gt;0,IF(ROUND(AA305,3)&gt;=1,ROUND(AA305,3)&amp;" L",ROUND(AA305*100,0)&amp;" cl"),IF(COUNTIF(Q309:AB309,U305)&gt;0,IF(ROUND(AA305,3)&gt;=1,ROUND(AA305,3)&amp;" Kg",ROUND(AA305*1000,0)&amp;" g"),""))</f>
        <v/>
      </c>
      <c r="AC305" s="5817" t="str">
        <f t="shared" si="76"/>
        <v>►</v>
      </c>
      <c r="AD305" s="5883">
        <f>IF(Y306=0,0,Y305*AD291*1000/Y306)</f>
        <v>0</v>
      </c>
      <c r="AE305" s="6053">
        <f>IF(ISNUMBER(Q305),Q305*AD291/Y306,0)</f>
        <v>0</v>
      </c>
      <c r="AF305" s="5894"/>
      <c r="AG305" s="5804"/>
      <c r="AH305" s="5804"/>
      <c r="AI305" s="5804"/>
      <c r="AJ305" s="5902">
        <f t="shared" si="77"/>
        <v>0</v>
      </c>
      <c r="AK305" s="5896">
        <f>IF(OR(ISTEXT(Q305),Y306=0),0,Q305*AR284)</f>
        <v>0</v>
      </c>
      <c r="AL305" s="5804"/>
      <c r="AM305" s="5805">
        <f t="shared" si="73"/>
        <v>0</v>
      </c>
      <c r="AN305" s="5805">
        <f t="shared" si="78"/>
        <v>0</v>
      </c>
      <c r="AO305" s="5804"/>
      <c r="AP305" s="5788">
        <f>IF(Y305=0,0,Y305*AR284)</f>
        <v>0</v>
      </c>
      <c r="AQ305" s="5897" t="str">
        <f>IF(COUNTIF(AD307:AD317,U305)&gt;0,IF(ROUND(AP305,3)&gt;=1,ROUND(AP305,3)&amp;" L",ROUND(AP305*100,0)&amp;" cl"),IF(COUNTIF(AD318:AD328,U305)&gt;0,IF(ROUND(AP305,3)&gt;=1,ROUND(AP305,3)&amp;" Kg",ROUND(AP305*1000,0)&amp;" g"),""))</f>
        <v/>
      </c>
      <c r="AR305" s="5898">
        <f t="shared" si="74"/>
        <v>0</v>
      </c>
      <c r="AS305" s="7383"/>
      <c r="AT305" s="4"/>
      <c r="AU305" s="4"/>
      <c r="AV305" s="4"/>
      <c r="AW305" s="5818" t="str">
        <f t="shared" si="79"/>
        <v>►</v>
      </c>
      <c r="AX305" s="5950"/>
      <c r="AY305" s="5950"/>
      <c r="AZ305" s="5950"/>
      <c r="BA305" s="5950"/>
      <c r="BB305" s="5950"/>
      <c r="BD305"/>
      <c r="BE305"/>
      <c r="BF305"/>
      <c r="BG305"/>
      <c r="BH305"/>
      <c r="BI305"/>
      <c r="BJ305"/>
      <c r="BL305"/>
      <c r="BM305"/>
      <c r="BN305"/>
      <c r="BO305"/>
      <c r="BP305"/>
      <c r="BQ305"/>
      <c r="BR305"/>
      <c r="BT305"/>
      <c r="BU305"/>
      <c r="BV305"/>
      <c r="BX305" s="5">
        <v>1</v>
      </c>
      <c r="BY305" s="1"/>
      <c r="BZ305" s="1"/>
    </row>
    <row r="306" spans="1:78" s="2" customFormat="1" ht="21" customHeight="1">
      <c r="A306" s="5641" t="s">
        <v>1</v>
      </c>
      <c r="B306" s="5662" t="str">
        <f t="shared" si="69"/>
        <v>A</v>
      </c>
      <c r="C306" s="5825" cm="1">
        <f t="array" ref="C306">SUMPRODUCT(LEN(D306:J306))</f>
        <v>0</v>
      </c>
      <c r="D306" s="5275"/>
      <c r="E306" s="1361"/>
      <c r="F306" s="1361"/>
      <c r="G306" s="1361"/>
      <c r="H306" s="1361"/>
      <c r="I306" s="1361"/>
      <c r="J306" s="5276"/>
      <c r="K306" s="106" t="s">
        <v>1</v>
      </c>
      <c r="L306" s="1021" t="s">
        <v>21</v>
      </c>
      <c r="M306" s="41" t="str">
        <f>M288</f>
        <v>Coller la-cellule-identité.N.Nom de votre recette</v>
      </c>
      <c r="N306" s="40">
        <f>N288</f>
        <v>18</v>
      </c>
      <c r="O306" s="40" t="str">
        <f>O288</f>
        <v>assiettes</v>
      </c>
      <c r="P306" s="40" t="str">
        <f>P288</f>
        <v>Recette mère ► saisissez le nom de la recette mère</v>
      </c>
      <c r="Q306" s="5921" t="s">
        <v>8535</v>
      </c>
      <c r="R306" s="5261"/>
      <c r="S306" s="5261"/>
      <c r="T306" s="5261"/>
      <c r="U306" s="5261"/>
      <c r="V306" s="5261"/>
      <c r="W306" s="5262" t="str">
        <f>"portion de " &amp; TEXT((Y306/Q286)*1000,"0.0") &amp; " g"</f>
        <v>portion de 0.0 g</v>
      </c>
      <c r="X306" s="5262"/>
      <c r="Y306" s="5263">
        <f>SUM(Y292:Y305)</f>
        <v>0</v>
      </c>
      <c r="Z306" s="5264" t="s">
        <v>1069</v>
      </c>
      <c r="AA306" s="5265">
        <f>SUM(AA292:AA305)</f>
        <v>0</v>
      </c>
      <c r="AB306" s="5922"/>
      <c r="AC306" s="5817" t="str">
        <f t="shared" si="76"/>
        <v>►</v>
      </c>
      <c r="AD306" s="5923">
        <f>SUM(AD292:AD305)/1000</f>
        <v>0</v>
      </c>
      <c r="AE306" s="5924" t="str">
        <f>"= "&amp;IF(AD306&gt;0,AA287 &amp; " portions de " &amp; ROUND(AD306/AA287,3) &amp; " g","")</f>
        <v xml:space="preserve">= </v>
      </c>
      <c r="AF306" s="5925"/>
      <c r="AG306" s="5926"/>
      <c r="AH306" s="5927"/>
      <c r="AI306" s="5927"/>
      <c r="AJ306" s="5928"/>
      <c r="AK306" s="5924"/>
      <c r="AL306" s="5929"/>
      <c r="AM306" s="5930"/>
      <c r="AN306" s="5930"/>
      <c r="AO306" s="5929"/>
      <c r="AP306" s="5931">
        <f>SUM(AP292:AP305)</f>
        <v>0</v>
      </c>
      <c r="AQ306" s="5931"/>
      <c r="AR306" s="5932"/>
      <c r="AS306" s="7383"/>
      <c r="AT306" s="4"/>
      <c r="AU306" s="4"/>
      <c r="AV306" s="4"/>
      <c r="AW306" s="5818" t="str">
        <f t="shared" si="79"/>
        <v>►</v>
      </c>
      <c r="AX306" s="5950"/>
      <c r="AY306" s="5950"/>
      <c r="AZ306" s="5950"/>
      <c r="BA306" s="5950"/>
      <c r="BB306" s="5950"/>
      <c r="BD306"/>
      <c r="BE306"/>
      <c r="BF306"/>
      <c r="BG306"/>
      <c r="BH306"/>
      <c r="BI306"/>
      <c r="BJ306"/>
      <c r="BL306"/>
      <c r="BM306"/>
      <c r="BN306"/>
      <c r="BO306"/>
      <c r="BP306"/>
      <c r="BQ306"/>
      <c r="BR306"/>
      <c r="BT306"/>
      <c r="BU306"/>
      <c r="BV306"/>
      <c r="BX306" s="5">
        <v>1</v>
      </c>
      <c r="BY306" s="1"/>
      <c r="BZ306" s="1"/>
    </row>
    <row r="307" spans="1:78" s="2" customFormat="1" ht="21" customHeight="1">
      <c r="A307" s="5641" t="s">
        <v>1</v>
      </c>
      <c r="B307" s="5662" t="str">
        <f t="shared" si="69"/>
        <v>►</v>
      </c>
      <c r="C307" s="5825" cm="1">
        <f t="array" ref="C307">SUMPRODUCT(LEN(D307:J307))</f>
        <v>0</v>
      </c>
      <c r="D307" s="5275"/>
      <c r="E307" s="1361"/>
      <c r="F307" s="1361"/>
      <c r="G307" s="1361"/>
      <c r="H307" s="1361"/>
      <c r="I307" s="1361"/>
      <c r="J307" s="5276"/>
      <c r="K307" s="106" t="s">
        <v>1</v>
      </c>
      <c r="L307" s="1021" t="s">
        <v>26</v>
      </c>
      <c r="M307" s="41" t="str">
        <f>M288</f>
        <v>Coller la-cellule-identité.N.Nom de votre recette</v>
      </c>
      <c r="N307" s="40">
        <f>N288</f>
        <v>18</v>
      </c>
      <c r="O307" s="40" t="str">
        <f>O288</f>
        <v>assiettes</v>
      </c>
      <c r="P307" s="40" t="str">
        <f>P288</f>
        <v>Recette mère ► saisissez le nom de la recette mère</v>
      </c>
      <c r="Q307" s="5129" t="s">
        <v>88</v>
      </c>
      <c r="R307" s="5129" t="s">
        <v>172</v>
      </c>
      <c r="S307" s="5129" t="s">
        <v>170</v>
      </c>
      <c r="T307" s="5129" t="s">
        <v>166</v>
      </c>
      <c r="U307" s="5131" t="s">
        <v>946</v>
      </c>
      <c r="V307" s="5131" t="s">
        <v>8011</v>
      </c>
      <c r="W307" s="5131" t="s">
        <v>124</v>
      </c>
      <c r="X307" s="6286"/>
      <c r="Y307" s="5131" t="s">
        <v>164</v>
      </c>
      <c r="Z307" s="5131" t="s">
        <v>159</v>
      </c>
      <c r="AA307" s="5131" t="s">
        <v>8012</v>
      </c>
      <c r="AB307" s="5131" t="s">
        <v>8013</v>
      </c>
      <c r="AC307" s="5933" t="str">
        <f>IF(COUNTIF(AF308:AR308,"&lt;&gt;")&gt;0,"A","►")</f>
        <v>►</v>
      </c>
      <c r="AD307" s="5934" t="s">
        <v>88</v>
      </c>
      <c r="AE307" s="5935">
        <v>1</v>
      </c>
      <c r="AF307" s="5936"/>
      <c r="AG307" s="5936"/>
      <c r="AH307" s="5936"/>
      <c r="AI307" s="5937" t="s">
        <v>8536</v>
      </c>
      <c r="AJ307" s="5805"/>
      <c r="AK307" s="5805"/>
      <c r="AL307" s="5804"/>
      <c r="AM307" s="5804"/>
      <c r="AN307" s="5804"/>
      <c r="AO307" s="5804"/>
      <c r="AP307" s="5804"/>
      <c r="AQ307" s="5804"/>
      <c r="AR307" s="5938" t="s">
        <v>8537</v>
      </c>
      <c r="AS307" s="7383"/>
      <c r="AT307" s="4"/>
      <c r="AU307" s="4"/>
      <c r="AV307" s="4"/>
      <c r="AW307" s="5818" t="str">
        <f t="shared" si="79"/>
        <v>►</v>
      </c>
      <c r="AX307" s="5950"/>
      <c r="AY307" s="5950"/>
      <c r="AZ307" s="5950"/>
      <c r="BA307" s="5950"/>
      <c r="BB307" s="5950"/>
      <c r="BD307"/>
      <c r="BE307"/>
      <c r="BF307"/>
      <c r="BG307"/>
      <c r="BH307"/>
      <c r="BI307"/>
      <c r="BJ307"/>
      <c r="BL307"/>
      <c r="BM307"/>
      <c r="BN307"/>
      <c r="BO307"/>
      <c r="BP307"/>
      <c r="BQ307"/>
      <c r="BR307"/>
      <c r="BT307"/>
      <c r="BU307"/>
      <c r="BV307"/>
      <c r="BX307" s="5">
        <v>1</v>
      </c>
      <c r="BY307" s="1"/>
      <c r="BZ307" s="1"/>
    </row>
    <row r="308" spans="1:78" s="2" customFormat="1" ht="21" customHeight="1">
      <c r="A308" s="5641" t="s">
        <v>1</v>
      </c>
      <c r="B308" s="5662" t="str">
        <f t="shared" si="69"/>
        <v>►</v>
      </c>
      <c r="C308" s="5825" cm="1">
        <f t="array" ref="C308">SUMPRODUCT(LEN(D308:J308))</f>
        <v>0</v>
      </c>
      <c r="D308" s="5275"/>
      <c r="E308" s="1361"/>
      <c r="F308" s="1361"/>
      <c r="G308" s="1361"/>
      <c r="H308" s="1361"/>
      <c r="I308" s="1361"/>
      <c r="J308" s="5276"/>
      <c r="K308" s="106" t="s">
        <v>1</v>
      </c>
      <c r="L308" s="1021" t="s">
        <v>26</v>
      </c>
      <c r="M308" s="41" t="str">
        <f>M288</f>
        <v>Coller la-cellule-identité.N.Nom de votre recette</v>
      </c>
      <c r="N308" s="40">
        <f>N288</f>
        <v>18</v>
      </c>
      <c r="O308" s="40" t="str">
        <f>O288</f>
        <v>assiettes</v>
      </c>
      <c r="P308" s="40" t="str">
        <f>P288</f>
        <v>Recette mère ► saisissez le nom de la recette mère</v>
      </c>
      <c r="Q308" s="5935">
        <v>1</v>
      </c>
      <c r="R308" s="5935">
        <v>0.1</v>
      </c>
      <c r="S308" s="5943">
        <v>0.01</v>
      </c>
      <c r="T308" s="5935">
        <v>1E-3</v>
      </c>
      <c r="U308" s="5935">
        <v>0.01</v>
      </c>
      <c r="V308" s="5935">
        <v>0.1</v>
      </c>
      <c r="W308" s="5935">
        <v>0.22500000000000001</v>
      </c>
      <c r="X308" s="5935"/>
      <c r="Y308" s="5935">
        <v>0.25</v>
      </c>
      <c r="Z308" s="5935">
        <v>0.5</v>
      </c>
      <c r="AA308" s="5935">
        <v>0.33300000000000002</v>
      </c>
      <c r="AB308" s="5935">
        <v>0.2</v>
      </c>
      <c r="AC308" s="5933" t="str">
        <f>IF(COUNTIF(AF308:AR308,"&lt;&gt;")&gt;0,"A","►")</f>
        <v>►</v>
      </c>
      <c r="AD308" s="5944" t="s">
        <v>172</v>
      </c>
      <c r="AE308" s="5935">
        <v>0.1</v>
      </c>
      <c r="AF308" s="5945"/>
      <c r="AG308" s="5945"/>
      <c r="AH308" s="5945"/>
      <c r="AI308" s="5945"/>
      <c r="AJ308" s="5945"/>
      <c r="AK308" s="5945"/>
      <c r="AL308" s="5945"/>
      <c r="AM308" s="5945"/>
      <c r="AN308" s="5945"/>
      <c r="AO308" s="5945"/>
      <c r="AP308" s="5945"/>
      <c r="AQ308" s="5945"/>
      <c r="AR308" s="5946"/>
      <c r="AS308" s="7383"/>
      <c r="AT308" s="4"/>
      <c r="AU308" s="4"/>
      <c r="AV308" s="4"/>
      <c r="AW308" s="5818" t="str">
        <f t="shared" si="79"/>
        <v>►</v>
      </c>
      <c r="AX308" s="5950"/>
      <c r="AY308" s="5950"/>
      <c r="AZ308" s="5950"/>
      <c r="BA308" s="5950"/>
      <c r="BB308" s="5950"/>
      <c r="BD308"/>
      <c r="BE308"/>
      <c r="BF308"/>
      <c r="BG308"/>
      <c r="BH308"/>
      <c r="BI308"/>
      <c r="BJ308"/>
      <c r="BL308"/>
      <c r="BM308"/>
      <c r="BN308"/>
      <c r="BO308"/>
      <c r="BP308"/>
      <c r="BQ308"/>
      <c r="BR308"/>
      <c r="BT308"/>
      <c r="BU308"/>
      <c r="BV308"/>
      <c r="BX308" s="5">
        <v>1</v>
      </c>
      <c r="BY308" s="1"/>
      <c r="BZ308" s="1"/>
    </row>
    <row r="309" spans="1:78" s="2" customFormat="1" ht="21" customHeight="1">
      <c r="A309" s="5641" t="s">
        <v>1</v>
      </c>
      <c r="B309" s="5662" t="str">
        <f t="shared" si="69"/>
        <v>►</v>
      </c>
      <c r="C309" s="5825" cm="1">
        <f t="array" ref="C309">SUMPRODUCT(LEN(D309:J309))</f>
        <v>0</v>
      </c>
      <c r="D309" s="5275"/>
      <c r="E309" s="1361"/>
      <c r="F309" s="1361"/>
      <c r="G309" s="1361"/>
      <c r="H309" s="1361"/>
      <c r="I309" s="1361"/>
      <c r="J309" s="5276"/>
      <c r="K309" s="106" t="s">
        <v>1</v>
      </c>
      <c r="L309" s="1021" t="s">
        <v>26</v>
      </c>
      <c r="M309" s="41" t="str">
        <f>M288</f>
        <v>Coller la-cellule-identité.N.Nom de votre recette</v>
      </c>
      <c r="N309" s="40">
        <f>N288</f>
        <v>18</v>
      </c>
      <c r="O309" s="40" t="str">
        <f>O288</f>
        <v>assiettes</v>
      </c>
      <c r="P309" s="40" t="str">
        <f>P288</f>
        <v>Recette mère ► saisissez le nom de la recette mère</v>
      </c>
      <c r="Q309" s="5124" t="s">
        <v>130</v>
      </c>
      <c r="R309" s="5128" t="s">
        <v>219</v>
      </c>
      <c r="S309" s="5266" t="s">
        <v>8014</v>
      </c>
      <c r="T309" s="5267" t="s">
        <v>188</v>
      </c>
      <c r="U309" s="5132" t="s">
        <v>176</v>
      </c>
      <c r="V309" s="5132" t="s">
        <v>179</v>
      </c>
      <c r="W309" s="5268" t="s">
        <v>122</v>
      </c>
      <c r="X309" s="6289"/>
      <c r="Y309" s="5268" t="s">
        <v>113</v>
      </c>
      <c r="Z309" s="5268" t="s">
        <v>112</v>
      </c>
      <c r="AA309" s="5268" t="s">
        <v>8015</v>
      </c>
      <c r="AB309" s="5268" t="s">
        <v>8016</v>
      </c>
      <c r="AC309" s="5933" t="str">
        <f>IF(COUNTIF(AF309:AR309,"&lt;&gt;")&gt;0,"A","►")</f>
        <v>►</v>
      </c>
      <c r="AD309" s="5944" t="s">
        <v>170</v>
      </c>
      <c r="AE309" s="5935">
        <v>0.01</v>
      </c>
      <c r="AF309" s="5945"/>
      <c r="AG309" s="5945"/>
      <c r="AH309" s="5945"/>
      <c r="AI309" s="5945"/>
      <c r="AJ309" s="5945"/>
      <c r="AK309" s="5945"/>
      <c r="AL309" s="5945"/>
      <c r="AM309" s="5945"/>
      <c r="AN309" s="5945"/>
      <c r="AO309" s="5945"/>
      <c r="AP309" s="5945"/>
      <c r="AQ309" s="5945"/>
      <c r="AR309" s="5946"/>
      <c r="AS309" s="7383"/>
      <c r="AT309" s="4"/>
      <c r="AU309" s="4"/>
      <c r="AV309" s="4"/>
      <c r="AW309" s="5818" t="str">
        <f t="shared" si="79"/>
        <v>►</v>
      </c>
      <c r="AX309" s="5950"/>
      <c r="AY309" s="5950"/>
      <c r="AZ309" s="5950"/>
      <c r="BA309" s="5950"/>
      <c r="BB309" s="5950"/>
      <c r="BD309"/>
      <c r="BE309"/>
      <c r="BF309"/>
      <c r="BG309"/>
      <c r="BH309"/>
      <c r="BI309"/>
      <c r="BJ309"/>
      <c r="BL309"/>
      <c r="BM309"/>
      <c r="BN309"/>
      <c r="BO309"/>
      <c r="BP309"/>
      <c r="BQ309"/>
      <c r="BR309"/>
      <c r="BT309"/>
      <c r="BU309"/>
      <c r="BV309"/>
      <c r="BX309" s="5">
        <v>1</v>
      </c>
      <c r="BY309" s="1"/>
      <c r="BZ309" s="1"/>
    </row>
    <row r="310" spans="1:78" s="2" customFormat="1" ht="21" customHeight="1">
      <c r="A310" s="5641" t="s">
        <v>1</v>
      </c>
      <c r="B310" s="5662" t="str">
        <f t="shared" si="69"/>
        <v>►</v>
      </c>
      <c r="C310" s="5825" cm="1">
        <f t="array" ref="C310">SUMPRODUCT(LEN(D310:J310))</f>
        <v>0</v>
      </c>
      <c r="D310" s="5275"/>
      <c r="E310" s="1361"/>
      <c r="F310" s="1361"/>
      <c r="G310" s="1361"/>
      <c r="H310" s="1361"/>
      <c r="I310" s="1361"/>
      <c r="J310" s="5276"/>
      <c r="K310" s="106" t="s">
        <v>1</v>
      </c>
      <c r="L310" s="1021" t="s">
        <v>26</v>
      </c>
      <c r="M310" s="41" t="str">
        <f>M288</f>
        <v>Coller la-cellule-identité.N.Nom de votre recette</v>
      </c>
      <c r="N310" s="40">
        <f>N288</f>
        <v>18</v>
      </c>
      <c r="O310" s="40" t="str">
        <f>O288</f>
        <v>assiettes</v>
      </c>
      <c r="P310" s="40" t="str">
        <f>P288</f>
        <v>Recette mère ► saisissez le nom de la recette mère</v>
      </c>
      <c r="Q310" s="5949">
        <v>1E-3</v>
      </c>
      <c r="R310" s="5949">
        <v>1</v>
      </c>
      <c r="S310" s="5949">
        <v>0</v>
      </c>
      <c r="T310" s="5949">
        <v>0.25</v>
      </c>
      <c r="U310" s="5949">
        <v>0.33332999999999996</v>
      </c>
      <c r="V310" s="5949">
        <v>0.5</v>
      </c>
      <c r="W310" s="5949">
        <v>2.835E-2</v>
      </c>
      <c r="X310" s="5949"/>
      <c r="Y310" s="5949">
        <v>0.13</v>
      </c>
      <c r="Z310" s="5949">
        <v>0.2</v>
      </c>
      <c r="AA310" s="5949">
        <v>0.23</v>
      </c>
      <c r="AB310" s="5949">
        <v>0.24</v>
      </c>
      <c r="AC310" s="5933" t="str">
        <f t="shared" ref="AC310:AC319" si="80">IF(COUNTIF(AF310:AR310,"&lt;&gt;")&gt;0,"A","►")</f>
        <v>►</v>
      </c>
      <c r="AD310" s="5944" t="s">
        <v>166</v>
      </c>
      <c r="AE310" s="5935">
        <v>1E-3</v>
      </c>
      <c r="AF310" s="5945"/>
      <c r="AG310" s="5945"/>
      <c r="AH310" s="5945"/>
      <c r="AI310" s="5945"/>
      <c r="AJ310" s="5945"/>
      <c r="AK310" s="5945"/>
      <c r="AL310" s="5945"/>
      <c r="AM310" s="5945"/>
      <c r="AN310" s="5945"/>
      <c r="AO310" s="5945"/>
      <c r="AP310" s="5945"/>
      <c r="AQ310" s="5945"/>
      <c r="AR310" s="5946"/>
      <c r="AS310" s="7383"/>
      <c r="AT310" s="4"/>
      <c r="AU310" s="4"/>
      <c r="AV310" s="4"/>
      <c r="AW310" s="5818" t="str">
        <f t="shared" si="79"/>
        <v>►</v>
      </c>
      <c r="AX310" s="5950"/>
      <c r="AY310" s="5950"/>
      <c r="AZ310" s="5950"/>
      <c r="BA310" s="5950"/>
      <c r="BB310" s="5950"/>
      <c r="BD310"/>
      <c r="BE310"/>
      <c r="BF310"/>
      <c r="BG310"/>
      <c r="BH310"/>
      <c r="BI310"/>
      <c r="BJ310"/>
      <c r="BL310"/>
      <c r="BM310"/>
      <c r="BN310"/>
      <c r="BO310"/>
      <c r="BP310"/>
      <c r="BQ310"/>
      <c r="BR310"/>
      <c r="BT310"/>
      <c r="BU310"/>
      <c r="BV310"/>
      <c r="BX310" s="5">
        <v>1</v>
      </c>
      <c r="BY310" s="1"/>
      <c r="BZ310" s="1"/>
    </row>
    <row r="311" spans="1:78" s="2" customFormat="1" ht="21" customHeight="1">
      <c r="A311" s="5641" t="s">
        <v>1</v>
      </c>
      <c r="B311" s="5662" t="str">
        <f t="shared" si="69"/>
        <v>A</v>
      </c>
      <c r="C311" s="5825" cm="1">
        <f t="array" ref="C311">SUMPRODUCT(LEN(D311:J311))</f>
        <v>0</v>
      </c>
      <c r="D311" s="5275"/>
      <c r="E311" s="1361"/>
      <c r="F311" s="1361"/>
      <c r="G311" s="1361"/>
      <c r="H311" s="1361"/>
      <c r="I311" s="1361"/>
      <c r="J311" s="5276"/>
      <c r="K311" s="106" t="s">
        <v>1</v>
      </c>
      <c r="L311" s="5269" t="s">
        <v>21</v>
      </c>
      <c r="M311" s="1313" t="str">
        <f>M288</f>
        <v>Coller la-cellule-identité.N.Nom de votre recette</v>
      </c>
      <c r="N311" s="1313">
        <f>N288</f>
        <v>18</v>
      </c>
      <c r="O311" s="1313" t="str">
        <f>O288</f>
        <v>assiettes</v>
      </c>
      <c r="P311" s="1313" t="str">
        <f>P288</f>
        <v>Recette mère ► saisissez le nom de la recette mère</v>
      </c>
      <c r="Q311" s="1314" t="s">
        <v>218</v>
      </c>
      <c r="R311" s="1314">
        <v>11</v>
      </c>
      <c r="S311" s="1315" t="s">
        <v>1108</v>
      </c>
      <c r="T311" s="1316"/>
      <c r="U311" s="1316"/>
      <c r="V311" s="1317"/>
      <c r="W311" s="8541"/>
      <c r="X311" s="5957"/>
      <c r="Y311" s="5320"/>
      <c r="Z311" s="5320"/>
      <c r="AA311" s="5321" t="s">
        <v>1156</v>
      </c>
      <c r="AB311" s="5958" t="s">
        <v>1155</v>
      </c>
      <c r="AC311" s="5933" t="str">
        <f t="shared" si="80"/>
        <v>►</v>
      </c>
      <c r="AD311" s="5959" t="s">
        <v>946</v>
      </c>
      <c r="AE311" s="5935">
        <v>0.01</v>
      </c>
      <c r="AF311" s="5945"/>
      <c r="AG311" s="5945"/>
      <c r="AH311" s="5945"/>
      <c r="AI311" s="5945"/>
      <c r="AJ311" s="5945"/>
      <c r="AK311" s="5945"/>
      <c r="AL311" s="5945"/>
      <c r="AM311" s="5945"/>
      <c r="AN311" s="5945"/>
      <c r="AO311" s="5945"/>
      <c r="AP311" s="5945"/>
      <c r="AQ311" s="5945"/>
      <c r="AR311" s="5946"/>
      <c r="AS311" s="7383"/>
      <c r="AT311" s="4"/>
      <c r="AU311" s="4"/>
      <c r="AV311" s="4"/>
      <c r="AW311" s="5818" t="str">
        <f t="shared" si="79"/>
        <v>►</v>
      </c>
      <c r="AX311" s="5950"/>
      <c r="AY311" s="5950"/>
      <c r="AZ311" s="5950"/>
      <c r="BA311" s="5950"/>
      <c r="BB311" s="5950"/>
      <c r="BD311"/>
      <c r="BE311"/>
      <c r="BF311"/>
      <c r="BG311"/>
      <c r="BH311"/>
      <c r="BI311"/>
      <c r="BJ311"/>
      <c r="BL311"/>
      <c r="BM311"/>
      <c r="BN311"/>
      <c r="BO311"/>
      <c r="BP311"/>
      <c r="BQ311"/>
      <c r="BR311"/>
      <c r="BT311"/>
      <c r="BU311"/>
      <c r="BV311"/>
      <c r="BX311" s="5">
        <v>1</v>
      </c>
      <c r="BY311" s="1"/>
      <c r="BZ311" s="1"/>
    </row>
    <row r="312" spans="1:78" s="2" customFormat="1" ht="21" customHeight="1">
      <c r="A312" s="5641" t="s">
        <v>1</v>
      </c>
      <c r="B312" s="5662" t="str">
        <f t="shared" si="69"/>
        <v>A</v>
      </c>
      <c r="C312" s="5825" cm="1">
        <f t="array" ref="C312">SUMPRODUCT(LEN(D312:J312))</f>
        <v>0</v>
      </c>
      <c r="D312" s="5275"/>
      <c r="E312" s="1361"/>
      <c r="F312" s="1361"/>
      <c r="G312" s="1361"/>
      <c r="H312" s="1361"/>
      <c r="I312" s="1361"/>
      <c r="J312" s="5276"/>
      <c r="K312" s="106" t="s">
        <v>1</v>
      </c>
      <c r="L312" s="5270" t="s">
        <v>21</v>
      </c>
      <c r="M312" s="196" t="str">
        <f>M288</f>
        <v>Coller la-cellule-identité.N.Nom de votre recette</v>
      </c>
      <c r="N312" s="196">
        <f>N288</f>
        <v>18</v>
      </c>
      <c r="O312" s="196" t="str">
        <f>O288</f>
        <v>assiettes</v>
      </c>
      <c r="P312" s="196" t="str">
        <f>P288</f>
        <v>Recette mère ► saisissez le nom de la recette mère</v>
      </c>
      <c r="Q312" s="5815" t="s">
        <v>252</v>
      </c>
      <c r="R312" s="1321" t="s">
        <v>864</v>
      </c>
      <c r="S312" s="1321"/>
      <c r="T312" s="1321"/>
      <c r="U312" s="1321"/>
      <c r="V312" s="1321"/>
      <c r="W312" s="1321"/>
      <c r="X312" s="1322"/>
      <c r="Y312" s="5411"/>
      <c r="Z312" s="1266"/>
      <c r="AA312" s="1270" t="s">
        <v>1157</v>
      </c>
      <c r="AB312" s="5272" t="s">
        <v>1155</v>
      </c>
      <c r="AC312" s="5933" t="str">
        <f t="shared" si="80"/>
        <v>►</v>
      </c>
      <c r="AD312" s="5964" t="s">
        <v>8011</v>
      </c>
      <c r="AE312" s="5935">
        <v>0.1</v>
      </c>
      <c r="AF312" s="5945"/>
      <c r="AG312" s="5945"/>
      <c r="AH312" s="5945"/>
      <c r="AI312" s="5945"/>
      <c r="AJ312" s="5945"/>
      <c r="AK312" s="5945"/>
      <c r="AL312" s="5945"/>
      <c r="AM312" s="5945"/>
      <c r="AN312" s="5945"/>
      <c r="AO312" s="5945"/>
      <c r="AP312" s="5945"/>
      <c r="AQ312" s="5945"/>
      <c r="AR312" s="5946"/>
      <c r="AS312" s="7383"/>
      <c r="AT312" s="4"/>
      <c r="AU312" s="4"/>
      <c r="AV312" s="4"/>
      <c r="AW312" s="5818" t="str">
        <f t="shared" si="79"/>
        <v>►</v>
      </c>
      <c r="AX312" s="5950"/>
      <c r="AY312" s="5950"/>
      <c r="AZ312" s="5950"/>
      <c r="BA312" s="5950"/>
      <c r="BB312" s="5950"/>
      <c r="BD312"/>
      <c r="BE312"/>
      <c r="BF312"/>
      <c r="BG312"/>
      <c r="BH312"/>
      <c r="BI312"/>
      <c r="BJ312"/>
      <c r="BL312"/>
      <c r="BM312"/>
      <c r="BN312"/>
      <c r="BO312"/>
      <c r="BP312"/>
      <c r="BQ312"/>
      <c r="BR312"/>
      <c r="BT312"/>
      <c r="BU312"/>
      <c r="BV312"/>
      <c r="BX312" s="5">
        <v>1</v>
      </c>
      <c r="BY312" s="1"/>
      <c r="BZ312" s="1"/>
    </row>
    <row r="313" spans="1:78" s="2" customFormat="1" ht="21" customHeight="1">
      <c r="A313" s="5641" t="s">
        <v>1</v>
      </c>
      <c r="B313" s="5662" t="str">
        <f t="shared" si="69"/>
        <v>►</v>
      </c>
      <c r="C313" s="5825" cm="1">
        <f t="array" ref="C313">SUMPRODUCT(LEN(D313:J313))</f>
        <v>0</v>
      </c>
      <c r="D313" s="5275"/>
      <c r="E313" s="1361"/>
      <c r="F313" s="1361"/>
      <c r="G313" s="1361"/>
      <c r="H313" s="1361"/>
      <c r="I313" s="1361"/>
      <c r="J313" s="5276"/>
      <c r="K313" s="106" t="s">
        <v>1</v>
      </c>
      <c r="L313" s="1021" t="str">
        <f t="shared" ref="L313:L323" si="81">IF(OR(Q313&lt;&gt;"",R313&lt;&gt; "",S313&lt;&gt;"",T313&lt;&gt;""),"A", "►")</f>
        <v>►</v>
      </c>
      <c r="M313" s="196" t="str">
        <f>M288</f>
        <v>Coller la-cellule-identité.N.Nom de votre recette</v>
      </c>
      <c r="N313" s="196">
        <f>N288</f>
        <v>18</v>
      </c>
      <c r="O313" s="196" t="str">
        <f>O288</f>
        <v>assiettes</v>
      </c>
      <c r="P313" s="196" t="str">
        <f>P288</f>
        <v>Recette mère ► saisissez le nom de la recette mère</v>
      </c>
      <c r="Q313" s="5271"/>
      <c r="R313" s="1320"/>
      <c r="S313" s="1320"/>
      <c r="T313" s="1320"/>
      <c r="U313" s="1320"/>
      <c r="V313" s="1320"/>
      <c r="W313" s="8501"/>
      <c r="X313" s="1324"/>
      <c r="Y313" s="141"/>
      <c r="Z313" s="141"/>
      <c r="AA313" s="5273" t="s">
        <v>1150</v>
      </c>
      <c r="AB313" s="5274">
        <v>3.472222222222222E-3</v>
      </c>
      <c r="AC313" s="5933" t="str">
        <f t="shared" si="80"/>
        <v>►</v>
      </c>
      <c r="AD313" s="5964" t="s">
        <v>124</v>
      </c>
      <c r="AE313" s="5935">
        <v>0.22500000000000001</v>
      </c>
      <c r="AF313" s="5945"/>
      <c r="AG313" s="5945"/>
      <c r="AH313" s="5945"/>
      <c r="AI313" s="5945"/>
      <c r="AJ313" s="5945"/>
      <c r="AK313" s="5945"/>
      <c r="AL313" s="5945"/>
      <c r="AM313" s="5945"/>
      <c r="AN313" s="5945"/>
      <c r="AO313" s="5945"/>
      <c r="AP313" s="5945"/>
      <c r="AQ313" s="5945"/>
      <c r="AR313" s="5946"/>
      <c r="AS313" s="7383"/>
      <c r="AT313" s="4"/>
      <c r="AU313" s="4"/>
      <c r="AV313" s="4"/>
      <c r="AW313" s="5818" t="str">
        <f t="shared" si="79"/>
        <v>►</v>
      </c>
      <c r="AX313" s="5950"/>
      <c r="AY313" s="5950"/>
      <c r="AZ313" s="5950"/>
      <c r="BA313" s="5950"/>
      <c r="BB313" s="5950"/>
      <c r="BD313"/>
      <c r="BE313"/>
      <c r="BF313"/>
      <c r="BG313"/>
      <c r="BH313"/>
      <c r="BI313"/>
      <c r="BJ313"/>
      <c r="BL313"/>
      <c r="BM313"/>
      <c r="BN313"/>
      <c r="BO313"/>
      <c r="BP313"/>
      <c r="BQ313"/>
      <c r="BR313"/>
      <c r="BT313"/>
      <c r="BU313"/>
      <c r="BV313"/>
      <c r="BX313" s="5">
        <v>1</v>
      </c>
      <c r="BY313" s="1"/>
      <c r="BZ313" s="1"/>
    </row>
    <row r="314" spans="1:78" s="2" customFormat="1" ht="21" customHeight="1">
      <c r="A314" s="5641" t="s">
        <v>1</v>
      </c>
      <c r="B314" s="5662" t="str">
        <f t="shared" si="69"/>
        <v>►</v>
      </c>
      <c r="C314" s="5825" cm="1">
        <f t="array" ref="C314">SUMPRODUCT(LEN(D314:J314))</f>
        <v>0</v>
      </c>
      <c r="D314" s="5275"/>
      <c r="E314" s="1361"/>
      <c r="F314" s="1361"/>
      <c r="G314" s="1361"/>
      <c r="H314" s="1361"/>
      <c r="I314" s="1361"/>
      <c r="J314" s="5276"/>
      <c r="K314" s="106"/>
      <c r="L314" s="1021" t="str">
        <f t="shared" si="81"/>
        <v>►</v>
      </c>
      <c r="M314" s="196" t="str">
        <f>M288</f>
        <v>Coller la-cellule-identité.N.Nom de votre recette</v>
      </c>
      <c r="N314" s="196">
        <f>N288</f>
        <v>18</v>
      </c>
      <c r="O314" s="196" t="str">
        <f>O288</f>
        <v>assiettes</v>
      </c>
      <c r="P314" s="196" t="str">
        <f>P288</f>
        <v>Recette mère ► saisissez le nom de la recette mère</v>
      </c>
      <c r="Q314" s="5275"/>
      <c r="R314" s="1361"/>
      <c r="S314" s="1361"/>
      <c r="T314" s="1361"/>
      <c r="U314" s="1361"/>
      <c r="V314" s="1361"/>
      <c r="W314" s="8502"/>
      <c r="X314" s="5276"/>
      <c r="Y314" s="141"/>
      <c r="Z314" s="141"/>
      <c r="AA314" s="5273" t="s">
        <v>1152</v>
      </c>
      <c r="AB314" s="5277">
        <v>1.0416666666666666E-2</v>
      </c>
      <c r="AC314" s="5933" t="str">
        <f t="shared" si="80"/>
        <v>►</v>
      </c>
      <c r="AD314" s="5964" t="s">
        <v>164</v>
      </c>
      <c r="AE314" s="5935">
        <v>0.25</v>
      </c>
      <c r="AF314" s="5945"/>
      <c r="AG314" s="5945"/>
      <c r="AH314" s="5945"/>
      <c r="AI314" s="5945"/>
      <c r="AJ314" s="5945"/>
      <c r="AK314" s="5945"/>
      <c r="AL314" s="5945"/>
      <c r="AM314" s="5945"/>
      <c r="AN314" s="5945"/>
      <c r="AO314" s="5945"/>
      <c r="AP314" s="5945"/>
      <c r="AQ314" s="5945"/>
      <c r="AR314" s="5946"/>
      <c r="AS314" s="7383"/>
      <c r="AT314" s="4"/>
      <c r="AU314" s="4"/>
      <c r="AV314" s="4"/>
      <c r="AW314" s="5818" t="str">
        <f t="shared" si="79"/>
        <v>►</v>
      </c>
      <c r="AX314" s="5950"/>
      <c r="AY314" s="5950"/>
      <c r="AZ314" s="5950"/>
      <c r="BA314" s="5950"/>
      <c r="BB314" s="5950"/>
      <c r="BD314"/>
      <c r="BE314"/>
      <c r="BF314"/>
      <c r="BG314"/>
      <c r="BH314"/>
      <c r="BI314"/>
      <c r="BJ314"/>
      <c r="BL314"/>
      <c r="BM314"/>
      <c r="BN314"/>
      <c r="BO314"/>
      <c r="BP314"/>
      <c r="BQ314"/>
      <c r="BR314"/>
      <c r="BT314"/>
      <c r="BU314"/>
      <c r="BV314"/>
      <c r="BX314" s="5">
        <v>1</v>
      </c>
      <c r="BY314" s="1"/>
      <c r="BZ314" s="1"/>
    </row>
    <row r="315" spans="1:78" s="2" customFormat="1" ht="21" customHeight="1">
      <c r="A315" s="5641" t="s">
        <v>1</v>
      </c>
      <c r="B315" s="5662" t="str">
        <f t="shared" si="69"/>
        <v>►</v>
      </c>
      <c r="C315" s="5825" cm="1">
        <f t="array" ref="C315">SUMPRODUCT(LEN(D315:J315))</f>
        <v>0</v>
      </c>
      <c r="D315" s="5275"/>
      <c r="E315" s="1361"/>
      <c r="F315" s="1361"/>
      <c r="G315" s="1361"/>
      <c r="H315" s="1361"/>
      <c r="I315" s="1361"/>
      <c r="J315" s="5276"/>
      <c r="K315" s="106"/>
      <c r="L315" s="1021" t="str">
        <f t="shared" si="81"/>
        <v>►</v>
      </c>
      <c r="M315" s="196" t="str">
        <f>M288</f>
        <v>Coller la-cellule-identité.N.Nom de votre recette</v>
      </c>
      <c r="N315" s="196">
        <f>N288</f>
        <v>18</v>
      </c>
      <c r="O315" s="196" t="str">
        <f>O288</f>
        <v>assiettes</v>
      </c>
      <c r="P315" s="196" t="str">
        <f>P288</f>
        <v>Recette mère ► saisissez le nom de la recette mère</v>
      </c>
      <c r="Q315" s="5275"/>
      <c r="R315" s="1361"/>
      <c r="S315" s="1361"/>
      <c r="T315" s="1361"/>
      <c r="U315" s="1361"/>
      <c r="V315" s="1361"/>
      <c r="W315" s="8502"/>
      <c r="X315" s="5276"/>
      <c r="Y315" s="141"/>
      <c r="Z315" s="141"/>
      <c r="AA315" s="5273" t="s">
        <v>8017</v>
      </c>
      <c r="AB315" s="5278">
        <v>2.0833333333333332E-2</v>
      </c>
      <c r="AC315" s="5933" t="str">
        <f t="shared" si="80"/>
        <v>►</v>
      </c>
      <c r="AD315" s="5964" t="s">
        <v>159</v>
      </c>
      <c r="AE315" s="5935">
        <v>0.5</v>
      </c>
      <c r="AF315" s="5945"/>
      <c r="AG315" s="5945"/>
      <c r="AH315" s="5945"/>
      <c r="AI315" s="5945"/>
      <c r="AJ315" s="5945"/>
      <c r="AK315" s="5945"/>
      <c r="AL315" s="5945"/>
      <c r="AM315" s="5945"/>
      <c r="AN315" s="5945"/>
      <c r="AO315" s="5945"/>
      <c r="AP315" s="5945"/>
      <c r="AQ315" s="5945"/>
      <c r="AR315" s="5946"/>
      <c r="AS315" s="7383"/>
      <c r="AT315" s="4"/>
      <c r="AU315" s="4"/>
      <c r="AV315" s="4"/>
      <c r="AW315" s="5818" t="str">
        <f t="shared" si="79"/>
        <v>►</v>
      </c>
      <c r="AX315" s="5950"/>
      <c r="AY315" s="5950"/>
      <c r="AZ315" s="5950"/>
      <c r="BA315" s="5950"/>
      <c r="BB315" s="5950"/>
      <c r="BD315"/>
      <c r="BE315"/>
      <c r="BF315"/>
      <c r="BG315"/>
      <c r="BH315"/>
      <c r="BI315"/>
      <c r="BJ315"/>
      <c r="BL315"/>
      <c r="BM315"/>
      <c r="BN315"/>
      <c r="BO315"/>
      <c r="BP315"/>
      <c r="BQ315"/>
      <c r="BR315"/>
      <c r="BT315"/>
      <c r="BU315"/>
      <c r="BV315"/>
      <c r="BX315" s="5">
        <v>1</v>
      </c>
      <c r="BY315" s="1"/>
      <c r="BZ315" s="1"/>
    </row>
    <row r="316" spans="1:78" s="2" customFormat="1" ht="21" customHeight="1">
      <c r="A316" s="5641" t="s">
        <v>1</v>
      </c>
      <c r="B316" s="5662" t="str">
        <f t="shared" si="69"/>
        <v>►</v>
      </c>
      <c r="C316" s="5825" cm="1">
        <f t="array" ref="C316">SUMPRODUCT(LEN(D316:J316))</f>
        <v>0</v>
      </c>
      <c r="D316" s="5275"/>
      <c r="E316" s="1361"/>
      <c r="F316" s="1361"/>
      <c r="G316" s="1361"/>
      <c r="H316" s="1361"/>
      <c r="I316" s="1361"/>
      <c r="J316" s="5276"/>
      <c r="K316" s="106"/>
      <c r="L316" s="1021" t="str">
        <f t="shared" si="81"/>
        <v>►</v>
      </c>
      <c r="M316" s="196" t="str">
        <f>M288</f>
        <v>Coller la-cellule-identité.N.Nom de votre recette</v>
      </c>
      <c r="N316" s="196">
        <f>N288</f>
        <v>18</v>
      </c>
      <c r="O316" s="196" t="str">
        <f>O288</f>
        <v>assiettes</v>
      </c>
      <c r="P316" s="196" t="str">
        <f>P288</f>
        <v>Recette mère ► saisissez le nom de la recette mère</v>
      </c>
      <c r="Q316" s="5275"/>
      <c r="R316" s="1361"/>
      <c r="S316" s="1361"/>
      <c r="T316" s="1361"/>
      <c r="U316" s="1361"/>
      <c r="V316" s="1361"/>
      <c r="W316" s="8502"/>
      <c r="X316" s="5276"/>
      <c r="Y316" s="141"/>
      <c r="Z316" s="141"/>
      <c r="AA316" s="5279" t="s">
        <v>37</v>
      </c>
      <c r="AB316" s="5280">
        <f>AB313+AB314+AB315</f>
        <v>3.4722222222222224E-2</v>
      </c>
      <c r="AC316" s="5933" t="str">
        <f t="shared" si="80"/>
        <v>►</v>
      </c>
      <c r="AD316" s="5964" t="s">
        <v>8012</v>
      </c>
      <c r="AE316" s="5935">
        <v>0.33300000000000002</v>
      </c>
      <c r="AF316" s="5945"/>
      <c r="AG316" s="5945"/>
      <c r="AH316" s="5945"/>
      <c r="AI316" s="5945"/>
      <c r="AJ316" s="5945"/>
      <c r="AK316" s="5945"/>
      <c r="AL316" s="5945"/>
      <c r="AM316" s="5945"/>
      <c r="AN316" s="5945"/>
      <c r="AO316" s="5945"/>
      <c r="AP316" s="5945"/>
      <c r="AQ316" s="5945"/>
      <c r="AR316" s="5946"/>
      <c r="AS316" s="7383"/>
      <c r="AT316" s="4"/>
      <c r="AU316" s="4"/>
      <c r="AV316" s="4"/>
      <c r="AW316" s="5818" t="str">
        <f t="shared" si="79"/>
        <v>►</v>
      </c>
      <c r="AX316" s="5950"/>
      <c r="AY316" s="5950"/>
      <c r="AZ316" s="5950"/>
      <c r="BA316" s="5950"/>
      <c r="BB316" s="5950"/>
      <c r="BD316"/>
      <c r="BE316"/>
      <c r="BF316"/>
      <c r="BG316"/>
      <c r="BH316"/>
      <c r="BI316"/>
      <c r="BJ316"/>
      <c r="BL316"/>
      <c r="BM316"/>
      <c r="BN316"/>
      <c r="BO316"/>
      <c r="BP316"/>
      <c r="BQ316"/>
      <c r="BR316"/>
      <c r="BT316"/>
      <c r="BU316"/>
      <c r="BV316"/>
      <c r="BX316" s="5">
        <v>1</v>
      </c>
      <c r="BY316" s="1"/>
      <c r="BZ316" s="1"/>
    </row>
    <row r="317" spans="1:78" s="2" customFormat="1" ht="21" customHeight="1">
      <c r="A317" s="5641" t="s">
        <v>1</v>
      </c>
      <c r="B317" s="5662" t="str">
        <f t="shared" si="69"/>
        <v>►</v>
      </c>
      <c r="C317" s="5825" cm="1">
        <f t="array" ref="C317">SUMPRODUCT(LEN(D317:J317))</f>
        <v>0</v>
      </c>
      <c r="D317" s="5275"/>
      <c r="E317" s="1361"/>
      <c r="F317" s="1361"/>
      <c r="G317" s="1361"/>
      <c r="H317" s="1361"/>
      <c r="I317" s="1361"/>
      <c r="J317" s="5276"/>
      <c r="K317" s="106"/>
      <c r="L317" s="1021" t="str">
        <f t="shared" si="81"/>
        <v>►</v>
      </c>
      <c r="M317" s="196" t="str">
        <f>M288</f>
        <v>Coller la-cellule-identité.N.Nom de votre recette</v>
      </c>
      <c r="N317" s="196">
        <f>N288</f>
        <v>18</v>
      </c>
      <c r="O317" s="196" t="str">
        <f>O288</f>
        <v>assiettes</v>
      </c>
      <c r="P317" s="196" t="str">
        <f>P288</f>
        <v>Recette mère ► saisissez le nom de la recette mère</v>
      </c>
      <c r="Q317" s="5275"/>
      <c r="R317" s="1361"/>
      <c r="S317" s="1361"/>
      <c r="T317" s="1361"/>
      <c r="U317" s="1361"/>
      <c r="V317" s="1361"/>
      <c r="W317" s="8502"/>
      <c r="X317" s="5276"/>
      <c r="Y317" s="6896" t="s">
        <v>7498</v>
      </c>
      <c r="Z317" s="6897"/>
      <c r="AA317" s="6897"/>
      <c r="AB317" s="7150"/>
      <c r="AC317" s="5933" t="str">
        <f t="shared" si="80"/>
        <v>►</v>
      </c>
      <c r="AD317" s="5964" t="s">
        <v>8013</v>
      </c>
      <c r="AE317" s="5935">
        <v>0.2</v>
      </c>
      <c r="AF317" s="5945"/>
      <c r="AG317" s="5945"/>
      <c r="AH317" s="5945"/>
      <c r="AI317" s="5945"/>
      <c r="AJ317" s="5945"/>
      <c r="AK317" s="5945"/>
      <c r="AL317" s="5945"/>
      <c r="AM317" s="5945"/>
      <c r="AN317" s="5945"/>
      <c r="AO317" s="5945"/>
      <c r="AP317" s="5945"/>
      <c r="AQ317" s="5945"/>
      <c r="AR317" s="5946"/>
      <c r="AS317" s="7383"/>
      <c r="AT317" s="4"/>
      <c r="AU317" s="4"/>
      <c r="AV317" s="4"/>
      <c r="AW317" s="5818" t="str">
        <f t="shared" si="79"/>
        <v>►</v>
      </c>
      <c r="AX317" s="5950"/>
      <c r="AY317" s="5950"/>
      <c r="AZ317" s="5950"/>
      <c r="BA317" s="5950"/>
      <c r="BB317" s="5950"/>
      <c r="BD317"/>
      <c r="BE317"/>
      <c r="BF317"/>
      <c r="BG317"/>
      <c r="BH317"/>
      <c r="BI317"/>
      <c r="BJ317"/>
      <c r="BL317"/>
      <c r="BM317"/>
      <c r="BN317"/>
      <c r="BO317"/>
      <c r="BP317"/>
      <c r="BQ317"/>
      <c r="BR317"/>
      <c r="BT317"/>
      <c r="BU317"/>
      <c r="BV317"/>
      <c r="BX317" s="5">
        <v>1</v>
      </c>
      <c r="BY317" s="1"/>
      <c r="BZ317" s="1"/>
    </row>
    <row r="318" spans="1:78" s="2" customFormat="1" ht="21" customHeight="1">
      <c r="A318" s="5641" t="s">
        <v>1</v>
      </c>
      <c r="B318" s="5662" t="str">
        <f t="shared" si="69"/>
        <v>►</v>
      </c>
      <c r="C318" s="5825" cm="1">
        <f t="array" ref="C318">SUMPRODUCT(LEN(D318:J318))</f>
        <v>0</v>
      </c>
      <c r="D318" s="5275"/>
      <c r="E318" s="1361"/>
      <c r="F318" s="1361"/>
      <c r="G318" s="1361"/>
      <c r="H318" s="1361"/>
      <c r="I318" s="1361"/>
      <c r="J318" s="5276"/>
      <c r="K318" s="106"/>
      <c r="L318" s="1021" t="str">
        <f t="shared" si="81"/>
        <v>►</v>
      </c>
      <c r="M318" s="196" t="str">
        <f>M288</f>
        <v>Coller la-cellule-identité.N.Nom de votre recette</v>
      </c>
      <c r="N318" s="196">
        <f>N288</f>
        <v>18</v>
      </c>
      <c r="O318" s="196" t="str">
        <f>O288</f>
        <v>assiettes</v>
      </c>
      <c r="P318" s="196" t="str">
        <f>P288</f>
        <v>Recette mère ► saisissez le nom de la recette mère</v>
      </c>
      <c r="Q318" s="5275"/>
      <c r="R318" s="1361"/>
      <c r="S318" s="1361"/>
      <c r="T318" s="1361"/>
      <c r="U318" s="1361"/>
      <c r="V318" s="1361"/>
      <c r="W318" s="8502"/>
      <c r="X318" s="5276"/>
      <c r="Y318" s="5281" t="s">
        <v>8018</v>
      </c>
      <c r="Z318" s="147"/>
      <c r="AA318" s="7151" t="s">
        <v>8019</v>
      </c>
      <c r="AB318" s="7152"/>
      <c r="AC318" s="5933" t="str">
        <f t="shared" si="80"/>
        <v>►</v>
      </c>
      <c r="AD318" s="5979" t="s">
        <v>130</v>
      </c>
      <c r="AE318" s="5949">
        <v>1E-3</v>
      </c>
      <c r="AF318" s="5945"/>
      <c r="AG318" s="5945"/>
      <c r="AH318" s="5945"/>
      <c r="AI318" s="5945"/>
      <c r="AJ318" s="5945"/>
      <c r="AK318" s="5945"/>
      <c r="AL318" s="5945"/>
      <c r="AM318" s="5945"/>
      <c r="AN318" s="5945"/>
      <c r="AO318" s="5945"/>
      <c r="AP318" s="5945"/>
      <c r="AQ318" s="5945"/>
      <c r="AR318" s="5946"/>
      <c r="AS318" s="7383"/>
      <c r="AT318" s="4"/>
      <c r="AU318" s="4"/>
      <c r="AV318" s="4"/>
      <c r="AW318" s="5818" t="str">
        <f t="shared" si="79"/>
        <v>►</v>
      </c>
      <c r="AX318" s="5950"/>
      <c r="AY318" s="5950"/>
      <c r="AZ318" s="5950"/>
      <c r="BA318" s="5950"/>
      <c r="BB318" s="5950"/>
      <c r="BD318"/>
      <c r="BE318"/>
      <c r="BF318"/>
      <c r="BG318"/>
      <c r="BH318"/>
      <c r="BI318"/>
      <c r="BJ318"/>
      <c r="BL318"/>
      <c r="BM318"/>
      <c r="BN318"/>
      <c r="BO318"/>
      <c r="BP318"/>
      <c r="BQ318"/>
      <c r="BR318"/>
      <c r="BT318"/>
      <c r="BU318"/>
      <c r="BV318"/>
      <c r="BX318" s="5">
        <v>1</v>
      </c>
      <c r="BY318" s="1"/>
      <c r="BZ318" s="1"/>
    </row>
    <row r="319" spans="1:78" s="2" customFormat="1" ht="21" customHeight="1">
      <c r="A319" s="5641" t="s">
        <v>1</v>
      </c>
      <c r="B319" s="5662" t="str">
        <f t="shared" si="69"/>
        <v>►</v>
      </c>
      <c r="C319" s="5825" cm="1">
        <f t="array" ref="C319">SUMPRODUCT(LEN(D319:J319))</f>
        <v>0</v>
      </c>
      <c r="D319" s="5275"/>
      <c r="E319" s="1361"/>
      <c r="F319" s="1361"/>
      <c r="G319" s="1361"/>
      <c r="H319" s="1361"/>
      <c r="I319" s="1361"/>
      <c r="J319" s="5276"/>
      <c r="K319" s="106"/>
      <c r="L319" s="1021" t="str">
        <f t="shared" si="81"/>
        <v>►</v>
      </c>
      <c r="M319" s="196" t="str">
        <f>M288</f>
        <v>Coller la-cellule-identité.N.Nom de votre recette</v>
      </c>
      <c r="N319" s="196">
        <f>N288</f>
        <v>18</v>
      </c>
      <c r="O319" s="196" t="str">
        <f>O288</f>
        <v>assiettes</v>
      </c>
      <c r="P319" s="196" t="str">
        <f>P288</f>
        <v>Recette mère ► saisissez le nom de la recette mère</v>
      </c>
      <c r="Q319" s="5275"/>
      <c r="R319" s="1361"/>
      <c r="S319" s="1361"/>
      <c r="T319" s="1361"/>
      <c r="U319" s="1361"/>
      <c r="V319" s="1361"/>
      <c r="W319" s="8502"/>
      <c r="X319" s="5276"/>
      <c r="Y319" s="5282">
        <v>100</v>
      </c>
      <c r="Z319" s="147"/>
      <c r="AA319" s="6899"/>
      <c r="AB319" s="7153"/>
      <c r="AC319" s="5933" t="str">
        <f t="shared" si="80"/>
        <v>►</v>
      </c>
      <c r="AD319" s="5980" t="s">
        <v>219</v>
      </c>
      <c r="AE319" s="5949">
        <v>1</v>
      </c>
      <c r="AF319" s="5945"/>
      <c r="AG319" s="5945"/>
      <c r="AH319" s="5945"/>
      <c r="AI319" s="5945"/>
      <c r="AJ319" s="5945"/>
      <c r="AK319" s="5945"/>
      <c r="AL319" s="5945"/>
      <c r="AM319" s="5945"/>
      <c r="AN319" s="5945"/>
      <c r="AO319" s="5945"/>
      <c r="AP319" s="5945"/>
      <c r="AQ319" s="5945"/>
      <c r="AR319" s="5946"/>
      <c r="AS319" s="7383"/>
      <c r="AT319" s="4"/>
      <c r="AU319" s="4"/>
      <c r="AV319" s="4"/>
      <c r="AW319" s="5818" t="str">
        <f t="shared" si="79"/>
        <v>►</v>
      </c>
      <c r="AX319" s="5950"/>
      <c r="AY319" s="5950"/>
      <c r="AZ319" s="5950"/>
      <c r="BA319" s="5950"/>
      <c r="BB319" s="5950"/>
      <c r="BD319"/>
      <c r="BE319"/>
      <c r="BF319"/>
      <c r="BG319"/>
      <c r="BH319"/>
      <c r="BI319"/>
      <c r="BJ319"/>
      <c r="BL319"/>
      <c r="BM319"/>
      <c r="BN319"/>
      <c r="BO319"/>
      <c r="BP319"/>
      <c r="BQ319"/>
      <c r="BR319"/>
      <c r="BT319"/>
      <c r="BU319"/>
      <c r="BV319"/>
      <c r="BX319" s="5">
        <v>1</v>
      </c>
      <c r="BY319" s="1"/>
      <c r="BZ319" s="1"/>
    </row>
    <row r="320" spans="1:78" s="2" customFormat="1" ht="21" customHeight="1">
      <c r="A320" s="5641" t="s">
        <v>1</v>
      </c>
      <c r="B320" s="5662" t="str">
        <f t="shared" si="69"/>
        <v>►</v>
      </c>
      <c r="C320" s="5825" cm="1">
        <f t="array" ref="C320">SUMPRODUCT(LEN(D320:J320))</f>
        <v>0</v>
      </c>
      <c r="D320" s="5275"/>
      <c r="E320" s="1361"/>
      <c r="F320" s="1361"/>
      <c r="G320" s="1361"/>
      <c r="H320" s="1361"/>
      <c r="I320" s="1361"/>
      <c r="J320" s="5276"/>
      <c r="K320" s="106"/>
      <c r="L320" s="1021" t="str">
        <f t="shared" si="81"/>
        <v>►</v>
      </c>
      <c r="M320" s="196" t="str">
        <f>M288</f>
        <v>Coller la-cellule-identité.N.Nom de votre recette</v>
      </c>
      <c r="N320" s="196">
        <f>N288</f>
        <v>18</v>
      </c>
      <c r="O320" s="196" t="str">
        <f>O288</f>
        <v>assiettes</v>
      </c>
      <c r="P320" s="196" t="str">
        <f>P288</f>
        <v>Recette mère ► saisissez le nom de la recette mère</v>
      </c>
      <c r="Q320" s="5275"/>
      <c r="R320" s="1361"/>
      <c r="S320" s="1361"/>
      <c r="T320" s="1361"/>
      <c r="U320" s="1361"/>
      <c r="V320" s="1361"/>
      <c r="W320" s="8502"/>
      <c r="X320" s="5276"/>
      <c r="Y320" s="7379"/>
      <c r="Z320" s="7155"/>
      <c r="AA320" s="5283" t="s">
        <v>8020</v>
      </c>
      <c r="AB320" s="5322"/>
      <c r="AC320" s="5933" t="str">
        <f>IF(COUNTIF(AH322:AO322,"&lt;&gt;")+COUNTIF(AQ322:AR322,"&lt;&gt;")&gt;0,"A","►")</f>
        <v>►</v>
      </c>
      <c r="AD320" s="5984" t="s">
        <v>188</v>
      </c>
      <c r="AE320" s="5949">
        <v>0.25</v>
      </c>
      <c r="AF320" s="5805"/>
      <c r="AG320" s="5805"/>
      <c r="AH320" s="5805"/>
      <c r="AI320" s="5985" t="s">
        <v>8570</v>
      </c>
      <c r="AJ320" s="5805"/>
      <c r="AK320" s="5805"/>
      <c r="AL320" s="5804"/>
      <c r="AM320" s="5805"/>
      <c r="AN320" s="5805"/>
      <c r="AO320" s="5804"/>
      <c r="AP320" s="5788"/>
      <c r="AQ320" s="5788"/>
      <c r="AR320" s="5898"/>
      <c r="AS320" s="7383"/>
      <c r="AT320" s="4"/>
      <c r="AU320" s="4"/>
      <c r="AV320" s="4"/>
      <c r="AW320" s="5818" t="str">
        <f t="shared" si="79"/>
        <v>►</v>
      </c>
      <c r="AX320" s="5950"/>
      <c r="AY320" s="5950"/>
      <c r="AZ320" s="5950"/>
      <c r="BA320" s="5950"/>
      <c r="BB320" s="5950"/>
      <c r="BD320"/>
      <c r="BE320"/>
      <c r="BF320"/>
      <c r="BG320"/>
      <c r="BH320"/>
      <c r="BI320"/>
      <c r="BJ320"/>
      <c r="BL320"/>
      <c r="BM320"/>
      <c r="BN320"/>
      <c r="BO320"/>
      <c r="BP320"/>
      <c r="BQ320"/>
      <c r="BR320"/>
      <c r="BT320"/>
      <c r="BU320"/>
      <c r="BV320"/>
      <c r="BX320" s="5">
        <v>1</v>
      </c>
      <c r="BY320" s="1"/>
      <c r="BZ320" s="1"/>
    </row>
    <row r="321" spans="1:78" s="2" customFormat="1" ht="21" customHeight="1">
      <c r="A321" s="5641" t="s">
        <v>1</v>
      </c>
      <c r="B321" s="5662" t="str">
        <f t="shared" si="69"/>
        <v>►</v>
      </c>
      <c r="C321" s="5825" cm="1">
        <f t="array" ref="C321">SUMPRODUCT(LEN(D321:J321))</f>
        <v>0</v>
      </c>
      <c r="D321" s="5275"/>
      <c r="E321" s="1361"/>
      <c r="F321" s="1361"/>
      <c r="G321" s="1361"/>
      <c r="H321" s="1361"/>
      <c r="I321" s="1361"/>
      <c r="J321" s="5276"/>
      <c r="K321" s="106"/>
      <c r="L321" s="1021" t="str">
        <f t="shared" si="81"/>
        <v>►</v>
      </c>
      <c r="M321" s="196" t="str">
        <f>M288</f>
        <v>Coller la-cellule-identité.N.Nom de votre recette</v>
      </c>
      <c r="N321" s="196">
        <f>N288</f>
        <v>18</v>
      </c>
      <c r="O321" s="196" t="str">
        <f>O288</f>
        <v>assiettes</v>
      </c>
      <c r="P321" s="196" t="str">
        <f>P288</f>
        <v>Recette mère ► saisissez le nom de la recette mère</v>
      </c>
      <c r="Q321" s="5275"/>
      <c r="R321" s="1361"/>
      <c r="S321" s="1361"/>
      <c r="T321" s="1361"/>
      <c r="U321" s="1361"/>
      <c r="V321" s="1361"/>
      <c r="W321" s="8502"/>
      <c r="X321" s="5276"/>
      <c r="Y321" s="5284"/>
      <c r="Z321" s="5285" t="s">
        <v>8021</v>
      </c>
      <c r="AA321" s="5286"/>
      <c r="AB321" s="5323">
        <f>Y321*Y319</f>
        <v>0</v>
      </c>
      <c r="AC321" s="5817" t="s">
        <v>21</v>
      </c>
      <c r="AD321" s="5984" t="s">
        <v>176</v>
      </c>
      <c r="AE321" s="5949">
        <v>0.33332999999999996</v>
      </c>
      <c r="AF321" s="5804"/>
      <c r="AG321" s="5987">
        <v>0</v>
      </c>
      <c r="AH321" s="5988" t="s">
        <v>8571</v>
      </c>
      <c r="AI321" s="5988"/>
      <c r="AJ321" s="5989"/>
      <c r="AK321" s="5988"/>
      <c r="AL321" s="5990"/>
      <c r="AM321" s="5991"/>
      <c r="AN321" s="5991"/>
      <c r="AO321" s="5990"/>
      <c r="AP321" s="5987">
        <v>0</v>
      </c>
      <c r="AQ321" s="5992" t="s">
        <v>8572</v>
      </c>
      <c r="AR321" s="5993"/>
      <c r="AS321" s="7384"/>
      <c r="AT321" s="4"/>
      <c r="AU321" s="4"/>
      <c r="AV321" s="4"/>
      <c r="AW321" s="5818" t="str">
        <f t="shared" si="79"/>
        <v>A</v>
      </c>
      <c r="AX321" s="5950"/>
      <c r="AY321" s="5950"/>
      <c r="AZ321" s="5950"/>
      <c r="BA321" s="5950"/>
      <c r="BB321" s="5950"/>
      <c r="BD321"/>
      <c r="BE321"/>
      <c r="BF321"/>
      <c r="BG321"/>
      <c r="BH321"/>
      <c r="BI321"/>
      <c r="BJ321"/>
      <c r="BL321"/>
      <c r="BM321"/>
      <c r="BN321"/>
      <c r="BO321"/>
      <c r="BP321"/>
      <c r="BQ321"/>
      <c r="BR321"/>
      <c r="BT321"/>
      <c r="BU321"/>
      <c r="BV321"/>
      <c r="BX321" s="5">
        <v>1</v>
      </c>
      <c r="BY321" s="1"/>
      <c r="BZ321" s="1"/>
    </row>
    <row r="322" spans="1:78" s="2" customFormat="1" ht="21" customHeight="1">
      <c r="A322" s="5641" t="s">
        <v>1</v>
      </c>
      <c r="B322" s="5662" t="str">
        <f t="shared" si="69"/>
        <v>►</v>
      </c>
      <c r="C322" s="5825" cm="1">
        <f t="array" ref="C322">SUMPRODUCT(LEN(D322:J322))</f>
        <v>0</v>
      </c>
      <c r="D322" s="5275"/>
      <c r="E322" s="1361"/>
      <c r="F322" s="1361"/>
      <c r="G322" s="1361"/>
      <c r="H322" s="1361"/>
      <c r="I322" s="1361"/>
      <c r="J322" s="5276"/>
      <c r="K322" s="106"/>
      <c r="L322" s="1021" t="str">
        <f t="shared" si="81"/>
        <v>►</v>
      </c>
      <c r="M322" s="196" t="str">
        <f>M288</f>
        <v>Coller la-cellule-identité.N.Nom de votre recette</v>
      </c>
      <c r="N322" s="196">
        <f>N288</f>
        <v>18</v>
      </c>
      <c r="O322" s="196" t="str">
        <f>O288</f>
        <v>assiettes</v>
      </c>
      <c r="P322" s="196" t="str">
        <f>P288</f>
        <v>Recette mère ► saisissez le nom de la recette mère</v>
      </c>
      <c r="Q322" s="5275"/>
      <c r="R322" s="1361"/>
      <c r="S322" s="1361"/>
      <c r="T322" s="1361"/>
      <c r="U322" s="1361"/>
      <c r="V322" s="1361"/>
      <c r="W322" s="8502"/>
      <c r="X322" s="5276"/>
      <c r="Y322" s="5287"/>
      <c r="Z322" s="920" t="str">
        <f>"&lt; Nb "&amp;AA319&amp;" dans 1 " &amp;Y320</f>
        <v xml:space="preserve">&lt; Nb  dans 1 </v>
      </c>
      <c r="AA322" s="5288"/>
      <c r="AB322" s="5323"/>
      <c r="AC322" s="5933" t="str">
        <f>IF(COUNTIF(AH322:AO322,"&lt;&gt;")+COUNTIF(AQ322:AR322,"&lt;&gt;")&gt;0,"A","►")</f>
        <v>►</v>
      </c>
      <c r="AD322" s="5984" t="s">
        <v>179</v>
      </c>
      <c r="AE322" s="5949">
        <v>0.5</v>
      </c>
      <c r="AF322" s="5804"/>
      <c r="AG322" s="5994" t="str">
        <f>IF(COUNTIF(AH322:AJ322,"&lt;&gt;")=0,"",MAX(AG321:AG321)+1)</f>
        <v/>
      </c>
      <c r="AH322" s="5995"/>
      <c r="AI322" s="5995"/>
      <c r="AJ322" s="5995"/>
      <c r="AK322" s="5995"/>
      <c r="AL322" s="5995"/>
      <c r="AM322" s="5995"/>
      <c r="AN322" s="5995"/>
      <c r="AO322" s="5995"/>
      <c r="AP322" s="5994" t="str">
        <f>IF(COUNTIF(AQ322:AR322,"&lt;&gt;")=0,"",MAX(AP321:AP321)+1)</f>
        <v/>
      </c>
      <c r="AQ322" s="5996"/>
      <c r="AR322" s="5997"/>
      <c r="AS322" s="7390">
        <f>AS6</f>
        <v>8</v>
      </c>
      <c r="AT322" s="4"/>
      <c r="AU322" s="4"/>
      <c r="AV322" s="4"/>
      <c r="AW322" s="5818" t="str">
        <f t="shared" si="79"/>
        <v>►</v>
      </c>
      <c r="AX322" s="5950"/>
      <c r="AY322" s="5950"/>
      <c r="AZ322" s="5950"/>
      <c r="BA322" s="5950"/>
      <c r="BB322" s="5950"/>
      <c r="BD322"/>
      <c r="BE322"/>
      <c r="BF322"/>
      <c r="BG322"/>
      <c r="BH322"/>
      <c r="BI322"/>
      <c r="BJ322"/>
      <c r="BL322"/>
      <c r="BM322"/>
      <c r="BN322"/>
      <c r="BO322"/>
      <c r="BP322"/>
      <c r="BQ322"/>
      <c r="BR322"/>
      <c r="BT322"/>
      <c r="BU322"/>
      <c r="BV322"/>
      <c r="BX322" s="5">
        <v>1</v>
      </c>
      <c r="BY322" s="1"/>
      <c r="BZ322" s="1"/>
    </row>
    <row r="323" spans="1:78" s="2" customFormat="1" ht="21" customHeight="1">
      <c r="A323" s="5641" t="s">
        <v>1</v>
      </c>
      <c r="B323" s="5662" t="str">
        <f t="shared" si="69"/>
        <v>►</v>
      </c>
      <c r="C323" s="5825" cm="1">
        <f t="array" ref="C323">SUMPRODUCT(LEN(D323:J323))</f>
        <v>0</v>
      </c>
      <c r="D323" s="5275"/>
      <c r="E323" s="1361"/>
      <c r="F323" s="1361"/>
      <c r="G323" s="1361"/>
      <c r="H323" s="1361"/>
      <c r="I323" s="1361"/>
      <c r="J323" s="5276"/>
      <c r="K323" s="106"/>
      <c r="L323" s="1021" t="str">
        <f t="shared" si="81"/>
        <v>►</v>
      </c>
      <c r="M323" s="196" t="str">
        <f>M288</f>
        <v>Coller la-cellule-identité.N.Nom de votre recette</v>
      </c>
      <c r="N323" s="196">
        <f>N288</f>
        <v>18</v>
      </c>
      <c r="O323" s="196" t="str">
        <f>O288</f>
        <v>assiettes</v>
      </c>
      <c r="P323" s="196" t="str">
        <f>P288</f>
        <v>Recette mère ► saisissez le nom de la recette mère</v>
      </c>
      <c r="Q323" s="5275"/>
      <c r="R323" s="1361"/>
      <c r="S323" s="1361"/>
      <c r="T323" s="1361"/>
      <c r="U323" s="1361"/>
      <c r="V323" s="1361"/>
      <c r="W323" s="8502"/>
      <c r="X323" s="5276"/>
      <c r="Y323" s="7167" t="str">
        <f>IF(OR(Y322="",AB321=0),"",INT(AB321/Y322) &amp; " " &amp; Y320 &amp; " de " &amp; Y322 &amp; " " &amp; AA319 &amp; IF(MOD(AB321,Y322)&gt;0," + 1 " &amp; Y320 &amp; " de " &amp; TEXT(MOD(AB321,Y322),"0.00") &amp; " " &amp; AA319,""))</f>
        <v/>
      </c>
      <c r="Z323" s="7168"/>
      <c r="AA323" s="7168"/>
      <c r="AB323" s="7169"/>
      <c r="AC323" s="5933" t="str">
        <f t="shared" ref="AC323:AC328" si="82">IF(COUNTIF(AH323:AO323,"&lt;&gt;")+COUNTIF(AQ323:AR323,"&lt;&gt;")&gt;0,"A","►")</f>
        <v>A</v>
      </c>
      <c r="AD323" s="5999" t="s">
        <v>122</v>
      </c>
      <c r="AE323" s="5949">
        <v>2.835E-2</v>
      </c>
      <c r="AF323" s="5804"/>
      <c r="AG323" s="5994">
        <f>IF(COUNTIF(AH323:AJ323,"&lt;&gt;")=0,"",MAX(AG321:AG322)+1)</f>
        <v>1</v>
      </c>
      <c r="AH323" s="5995" t="s">
        <v>8573</v>
      </c>
      <c r="AI323" s="5995"/>
      <c r="AJ323" s="5995"/>
      <c r="AK323" s="5995"/>
      <c r="AL323" s="5995"/>
      <c r="AM323" s="5995"/>
      <c r="AN323" s="5995"/>
      <c r="AO323" s="5995"/>
      <c r="AP323" s="5994">
        <f>IF(COUNTIF(AQ323:AR323,"&lt;&gt;")=0,"",MAX(AP321:AP322)+1)</f>
        <v>1</v>
      </c>
      <c r="AQ323" s="5996" t="s">
        <v>8574</v>
      </c>
      <c r="AR323" s="5997"/>
      <c r="AS323" s="7298"/>
      <c r="AT323" s="4"/>
      <c r="AU323" s="4"/>
      <c r="AV323" s="4"/>
      <c r="AW323" s="5818" t="str">
        <f t="shared" si="79"/>
        <v>A</v>
      </c>
      <c r="AX323" s="5950"/>
      <c r="AY323" s="5950"/>
      <c r="AZ323" s="5950"/>
      <c r="BA323" s="5950"/>
      <c r="BB323" s="5950"/>
      <c r="BD323"/>
      <c r="BE323"/>
      <c r="BF323"/>
      <c r="BG323"/>
      <c r="BH323"/>
      <c r="BI323"/>
      <c r="BJ323"/>
      <c r="BL323"/>
      <c r="BM323"/>
      <c r="BN323"/>
      <c r="BO323"/>
      <c r="BP323"/>
      <c r="BQ323"/>
      <c r="BR323"/>
      <c r="BT323"/>
      <c r="BU323"/>
      <c r="BV323"/>
      <c r="BX323" s="5">
        <v>1</v>
      </c>
      <c r="BY323" s="1"/>
      <c r="BZ323" s="1"/>
    </row>
    <row r="324" spans="1:78" s="2" customFormat="1" ht="21" customHeight="1">
      <c r="A324" s="5641" t="s">
        <v>1</v>
      </c>
      <c r="B324" s="5662" t="str">
        <f t="shared" si="69"/>
        <v>►</v>
      </c>
      <c r="C324" s="5825" cm="1">
        <f t="array" ref="C324">SUMPRODUCT(LEN(D324:J324))</f>
        <v>0</v>
      </c>
      <c r="D324" s="5275"/>
      <c r="E324" s="1361"/>
      <c r="F324" s="1361"/>
      <c r="G324" s="1361"/>
      <c r="H324" s="1361"/>
      <c r="I324" s="1361"/>
      <c r="J324" s="5276"/>
      <c r="K324" s="106"/>
      <c r="L324" s="5289" t="s">
        <v>26</v>
      </c>
      <c r="M324" s="196" t="str">
        <f>M288</f>
        <v>Coller la-cellule-identité.N.Nom de votre recette</v>
      </c>
      <c r="N324" s="196">
        <f>N288</f>
        <v>18</v>
      </c>
      <c r="O324" s="196" t="str">
        <f>O288</f>
        <v>assiettes</v>
      </c>
      <c r="P324" s="196" t="str">
        <f>P288</f>
        <v>Recette mère ► saisissez le nom de la recette mère</v>
      </c>
      <c r="Q324" s="5290" t="s">
        <v>1112</v>
      </c>
      <c r="R324" s="1361"/>
      <c r="S324" s="1361"/>
      <c r="T324" s="1361"/>
      <c r="U324" s="1361"/>
      <c r="V324" s="1361"/>
      <c r="W324" s="8503"/>
      <c r="X324" s="5291"/>
      <c r="Y324" s="7170"/>
      <c r="Z324" s="7171"/>
      <c r="AA324" s="7171"/>
      <c r="AB324" s="7172"/>
      <c r="AC324" s="5933" t="str">
        <f t="shared" si="82"/>
        <v>►</v>
      </c>
      <c r="AD324" s="5999" t="s">
        <v>113</v>
      </c>
      <c r="AE324" s="5949">
        <v>0.13</v>
      </c>
      <c r="AF324" s="5804"/>
      <c r="AG324" s="5994" t="str">
        <f>IF(COUNTIF(AH324:AJ324,"&lt;&gt;")=0,"",MAX(AG321:AG323)+1)</f>
        <v/>
      </c>
      <c r="AH324" s="5995"/>
      <c r="AI324" s="5995"/>
      <c r="AJ324" s="5995"/>
      <c r="AK324" s="5995"/>
      <c r="AL324" s="5995"/>
      <c r="AM324" s="5995"/>
      <c r="AN324" s="5995"/>
      <c r="AO324" s="5995"/>
      <c r="AP324" s="5994" t="str">
        <f>IF(COUNTIF(AQ324:AR324,"&lt;&gt;")=0,"",MAX(AP321:AP323)+1)</f>
        <v/>
      </c>
      <c r="AQ324" s="5996"/>
      <c r="AR324" s="5997"/>
      <c r="AS324" s="7298"/>
      <c r="AT324" s="4"/>
      <c r="AU324" s="4"/>
      <c r="AV324" s="4"/>
      <c r="AW324" s="5818" t="str">
        <f t="shared" si="79"/>
        <v>►</v>
      </c>
      <c r="AX324" s="5950"/>
      <c r="AY324" s="5950"/>
      <c r="AZ324" s="5950"/>
      <c r="BA324" s="5950"/>
      <c r="BB324" s="5950"/>
      <c r="BD324"/>
      <c r="BE324"/>
      <c r="BF324"/>
      <c r="BG324"/>
      <c r="BH324"/>
      <c r="BI324"/>
      <c r="BJ324"/>
      <c r="BL324"/>
      <c r="BM324"/>
      <c r="BN324"/>
      <c r="BO324"/>
      <c r="BP324"/>
      <c r="BQ324"/>
      <c r="BR324"/>
      <c r="BT324"/>
      <c r="BU324"/>
      <c r="BV324"/>
      <c r="BX324" s="5">
        <v>1</v>
      </c>
      <c r="BY324" s="1"/>
      <c r="BZ324" s="1"/>
    </row>
    <row r="325" spans="1:78" s="2" customFormat="1" ht="21" customHeight="1">
      <c r="A325" s="5641" t="s">
        <v>1</v>
      </c>
      <c r="B325" s="5662" t="str">
        <f t="shared" si="69"/>
        <v>A</v>
      </c>
      <c r="C325" s="5825" cm="1">
        <f t="array" ref="C325">SUMPRODUCT(LEN(D325:J325))</f>
        <v>0</v>
      </c>
      <c r="D325" s="5275"/>
      <c r="E325" s="1361"/>
      <c r="F325" s="1361"/>
      <c r="G325" s="1361"/>
      <c r="H325" s="1361"/>
      <c r="I325" s="1361"/>
      <c r="J325" s="5276"/>
      <c r="K325" s="106"/>
      <c r="L325" s="5289" t="s">
        <v>21</v>
      </c>
      <c r="M325" s="196" t="str">
        <f>M288</f>
        <v>Coller la-cellule-identité.N.Nom de votre recette</v>
      </c>
      <c r="N325" s="196">
        <f>N288</f>
        <v>18</v>
      </c>
      <c r="O325" s="196" t="str">
        <f>O288</f>
        <v>assiettes</v>
      </c>
      <c r="P325" s="196" t="str">
        <f>P288</f>
        <v>Recette mère ► saisissez le nom de la recette mère</v>
      </c>
      <c r="Q325" s="5292" t="s">
        <v>8022</v>
      </c>
      <c r="R325" s="988"/>
      <c r="S325" s="988"/>
      <c r="T325" s="988"/>
      <c r="U325" s="988"/>
      <c r="V325" s="988"/>
      <c r="W325" s="8504"/>
      <c r="X325" s="1325"/>
      <c r="Y325" s="5293"/>
      <c r="Z325" s="77" t="s">
        <v>8023</v>
      </c>
      <c r="AA325" s="147"/>
      <c r="AB325" s="5324">
        <f>(Y325*Y319)/1000</f>
        <v>0</v>
      </c>
      <c r="AC325" s="5933" t="str">
        <f t="shared" si="82"/>
        <v>►</v>
      </c>
      <c r="AD325" s="5999" t="s">
        <v>112</v>
      </c>
      <c r="AE325" s="5949">
        <v>0.2</v>
      </c>
      <c r="AF325" s="5804"/>
      <c r="AG325" s="5994" t="str">
        <f>IF(COUNTIF(AH325:AJ325,"&lt;&gt;")=0,"",MAX(AG321:AG324)+1)</f>
        <v/>
      </c>
      <c r="AH325" s="5995"/>
      <c r="AI325" s="5995"/>
      <c r="AJ325" s="5995"/>
      <c r="AK325" s="5995"/>
      <c r="AL325" s="5995"/>
      <c r="AM325" s="5995"/>
      <c r="AN325" s="5995"/>
      <c r="AO325" s="5995"/>
      <c r="AP325" s="5994" t="str">
        <f>IF(COUNTIF(AQ325:AR325,"&lt;&gt;")=0,"",MAX(AP321:AP324)+1)</f>
        <v/>
      </c>
      <c r="AQ325" s="5996"/>
      <c r="AR325" s="5997"/>
      <c r="AS325" s="7298"/>
      <c r="AT325" s="4"/>
      <c r="AU325" s="4"/>
      <c r="AV325" s="4"/>
      <c r="AW325" s="5818" t="str">
        <f t="shared" si="79"/>
        <v>►</v>
      </c>
      <c r="AX325" s="5950"/>
      <c r="AY325" s="5950"/>
      <c r="AZ325" s="5950"/>
      <c r="BA325" s="5950"/>
      <c r="BB325" s="5950"/>
      <c r="BD325"/>
      <c r="BE325"/>
      <c r="BF325"/>
      <c r="BG325"/>
      <c r="BH325"/>
      <c r="BI325"/>
      <c r="BJ325"/>
      <c r="BL325"/>
      <c r="BM325"/>
      <c r="BN325"/>
      <c r="BO325"/>
      <c r="BP325"/>
      <c r="BQ325"/>
      <c r="BR325"/>
      <c r="BT325"/>
      <c r="BU325"/>
      <c r="BV325"/>
      <c r="BX325" s="5">
        <v>1</v>
      </c>
      <c r="BY325" s="1"/>
      <c r="BZ325" s="1"/>
    </row>
    <row r="326" spans="1:78" s="2" customFormat="1" ht="21" customHeight="1">
      <c r="A326" s="5641" t="s">
        <v>1</v>
      </c>
      <c r="B326" s="5662" t="str">
        <f>L326</f>
        <v>A</v>
      </c>
      <c r="C326" s="5825" cm="1">
        <f t="array" ref="C326">SUMPRODUCT(LEN(D326:J326))</f>
        <v>0</v>
      </c>
      <c r="D326" s="5275"/>
      <c r="E326" s="1361"/>
      <c r="F326" s="1361"/>
      <c r="G326" s="1361"/>
      <c r="H326" s="1361"/>
      <c r="I326" s="1361"/>
      <c r="J326" s="5276"/>
      <c r="K326" s="106"/>
      <c r="L326" s="5289" t="s">
        <v>21</v>
      </c>
      <c r="M326" s="196" t="str">
        <f>M288</f>
        <v>Coller la-cellule-identité.N.Nom de votre recette</v>
      </c>
      <c r="N326" s="196">
        <f>N288</f>
        <v>18</v>
      </c>
      <c r="O326" s="196" t="str">
        <f>O288</f>
        <v>assiettes</v>
      </c>
      <c r="P326" s="196" t="str">
        <f>P288</f>
        <v>Recette mère ► saisissez le nom de la recette mère</v>
      </c>
      <c r="Q326" s="5294" t="s">
        <v>8024</v>
      </c>
      <c r="R326" s="1449"/>
      <c r="S326" s="1449"/>
      <c r="T326" s="1449"/>
      <c r="U326" s="1449"/>
      <c r="V326" s="1449"/>
      <c r="W326" s="5410"/>
      <c r="X326" s="5295"/>
      <c r="Y326" s="5296"/>
      <c r="Z326" s="5297" t="str">
        <f>"poids par "&amp; Y320</f>
        <v xml:space="preserve">poids par </v>
      </c>
      <c r="AA326" s="147"/>
      <c r="AB326" s="5322"/>
      <c r="AC326" s="5933" t="str">
        <f t="shared" si="82"/>
        <v>►</v>
      </c>
      <c r="AD326" s="5999" t="s">
        <v>8015</v>
      </c>
      <c r="AE326" s="5949">
        <v>0.23</v>
      </c>
      <c r="AF326" s="5804"/>
      <c r="AG326" s="5994" t="str">
        <f>IF(COUNTIF(AH326:AJ326,"&lt;&gt;")=0,"",MAX(AG321:AG325)+1)</f>
        <v/>
      </c>
      <c r="AH326" s="5995"/>
      <c r="AI326" s="5995"/>
      <c r="AJ326" s="5995"/>
      <c r="AK326" s="5995"/>
      <c r="AL326" s="5995"/>
      <c r="AM326" s="5995"/>
      <c r="AN326" s="5995"/>
      <c r="AO326" s="5995"/>
      <c r="AP326" s="5994" t="str">
        <f>IF(COUNTIF(AQ326:AR326,"&lt;&gt;")=0,"",MAX(AP321:AP325)+1)</f>
        <v/>
      </c>
      <c r="AQ326" s="5996"/>
      <c r="AR326" s="5997"/>
      <c r="AS326" s="7298"/>
      <c r="AT326" s="4"/>
      <c r="AU326" s="4"/>
      <c r="AV326" s="4"/>
      <c r="AW326" s="5818" t="str">
        <f t="shared" si="79"/>
        <v>►</v>
      </c>
      <c r="AX326" s="5950"/>
      <c r="AY326" s="5950"/>
      <c r="AZ326" s="5950"/>
      <c r="BA326" s="5950"/>
      <c r="BB326" s="5950"/>
      <c r="BD326"/>
      <c r="BE326"/>
      <c r="BF326"/>
      <c r="BG326"/>
      <c r="BH326"/>
      <c r="BI326"/>
      <c r="BJ326"/>
      <c r="BL326"/>
      <c r="BM326"/>
      <c r="BN326"/>
      <c r="BO326"/>
      <c r="BP326"/>
      <c r="BQ326"/>
      <c r="BR326"/>
      <c r="BT326"/>
      <c r="BU326"/>
      <c r="BV326"/>
      <c r="BX326" s="5">
        <v>1</v>
      </c>
      <c r="BY326" s="1"/>
      <c r="BZ326" s="1"/>
    </row>
    <row r="327" spans="1:78" s="2" customFormat="1" ht="21" customHeight="1">
      <c r="A327" s="5641" t="s">
        <v>1</v>
      </c>
      <c r="B327" s="5662" t="str">
        <f>L327</f>
        <v>A</v>
      </c>
      <c r="C327" s="5825" cm="1">
        <f t="array" ref="C327">SUMPRODUCT(LEN(D327:J327))</f>
        <v>0</v>
      </c>
      <c r="D327" s="5275"/>
      <c r="E327" s="1361"/>
      <c r="F327" s="1361"/>
      <c r="G327" s="1361"/>
      <c r="H327" s="1361"/>
      <c r="I327" s="1361"/>
      <c r="J327" s="5276"/>
      <c r="K327" s="106"/>
      <c r="L327" s="5289" t="s">
        <v>21</v>
      </c>
      <c r="M327" s="196" t="str">
        <f>M288</f>
        <v>Coller la-cellule-identité.N.Nom de votre recette</v>
      </c>
      <c r="N327" s="196">
        <f>N288</f>
        <v>18</v>
      </c>
      <c r="O327" s="196" t="str">
        <f>O288</f>
        <v>assiettes</v>
      </c>
      <c r="P327" s="196" t="str">
        <f>P288</f>
        <v>Recette mère ► saisissez le nom de la recette mère</v>
      </c>
      <c r="Q327" s="1002"/>
      <c r="R327" s="1002"/>
      <c r="S327" s="1002" t="s">
        <v>873</v>
      </c>
      <c r="T327" s="1003"/>
      <c r="U327" s="1329"/>
      <c r="V327" s="1329"/>
      <c r="W327" s="1329"/>
      <c r="X327" s="1330"/>
      <c r="Y327" s="7173" t="str">
        <f>IF(AB325=0,"",IF(Y326=0,"",INT(AB325/Y326) &amp; " " &amp; Y320 &amp; " de " &amp; Y326 &amp; " kg" &amp; IF(MOD(AB325,Y326)=0,"",IF(MOD(AB325,Y326)=Y326,""," + 1 " &amp; Y320 &amp; " de " &amp; TEXT(MOD(AB325,Y326),"0.000") &amp; " kg"))))</f>
        <v/>
      </c>
      <c r="Z327" s="7174"/>
      <c r="AA327" s="7174"/>
      <c r="AB327" s="7175"/>
      <c r="AC327" s="5933" t="str">
        <f t="shared" si="82"/>
        <v>►</v>
      </c>
      <c r="AD327" s="5999" t="s">
        <v>8016</v>
      </c>
      <c r="AE327" s="5949">
        <v>0.24</v>
      </c>
      <c r="AF327" s="5804"/>
      <c r="AG327" s="5994" t="str">
        <f>IF(COUNTIF(AH327:AJ327,"&lt;&gt;")=0,"",MAX(AG321:AG326)+1)</f>
        <v/>
      </c>
      <c r="AH327" s="5995"/>
      <c r="AI327" s="5995"/>
      <c r="AJ327" s="5995"/>
      <c r="AK327" s="5995"/>
      <c r="AL327" s="5995"/>
      <c r="AM327" s="5995"/>
      <c r="AN327" s="5995"/>
      <c r="AO327" s="5995"/>
      <c r="AP327" s="5994" t="str">
        <f>IF(COUNTIF(AQ327:AR327,"&lt;&gt;")=0,"",MAX(AP321:AP326)+1)</f>
        <v/>
      </c>
      <c r="AQ327" s="5996"/>
      <c r="AR327" s="5997"/>
      <c r="AS327" s="7298"/>
      <c r="AT327" s="4"/>
      <c r="AU327" s="4"/>
      <c r="AV327" s="4"/>
      <c r="AW327" s="5818" t="str">
        <f t="shared" si="79"/>
        <v>►</v>
      </c>
      <c r="AX327" s="5950"/>
      <c r="AY327" s="5950"/>
      <c r="AZ327" s="5950"/>
      <c r="BA327" s="5950"/>
      <c r="BB327" s="5950"/>
      <c r="BD327"/>
      <c r="BE327"/>
      <c r="BF327"/>
      <c r="BG327"/>
      <c r="BH327"/>
      <c r="BI327"/>
      <c r="BJ327"/>
      <c r="BL327"/>
      <c r="BM327"/>
      <c r="BN327"/>
      <c r="BO327"/>
      <c r="BP327"/>
      <c r="BQ327"/>
      <c r="BR327"/>
      <c r="BT327"/>
      <c r="BU327"/>
      <c r="BV327"/>
      <c r="BX327" s="5">
        <v>1</v>
      </c>
      <c r="BY327" s="1"/>
      <c r="BZ327" s="1"/>
    </row>
    <row r="328" spans="1:78" s="2" customFormat="1" ht="21" customHeight="1">
      <c r="A328" s="5641" t="s">
        <v>1</v>
      </c>
      <c r="B328" s="5662" t="str">
        <f>L328</f>
        <v>A</v>
      </c>
      <c r="C328" s="5825" cm="1">
        <f t="array" ref="C328">SUMPRODUCT(LEN(D328:J328))</f>
        <v>0</v>
      </c>
      <c r="D328" s="5275"/>
      <c r="E328" s="1361"/>
      <c r="F328" s="1361"/>
      <c r="G328" s="1361"/>
      <c r="H328" s="1361"/>
      <c r="I328" s="1361"/>
      <c r="J328" s="5276"/>
      <c r="K328" s="106"/>
      <c r="L328" s="1037" t="s">
        <v>21</v>
      </c>
      <c r="M328" s="5298" t="str">
        <f>M304</f>
        <v>Coller la-cellule-identité.N.Nom de votre recette</v>
      </c>
      <c r="N328" s="5298">
        <f>N304</f>
        <v>18</v>
      </c>
      <c r="O328" s="5298" t="str">
        <f>O304</f>
        <v>assiettes</v>
      </c>
      <c r="P328" s="5298"/>
      <c r="Q328" s="5299" t="s">
        <v>86</v>
      </c>
      <c r="R328" s="5300"/>
      <c r="S328" s="5301"/>
      <c r="T328" s="5302" t="s">
        <v>8025</v>
      </c>
      <c r="U328" s="5301"/>
      <c r="V328" s="5301"/>
      <c r="W328" s="8542"/>
      <c r="X328" s="5303"/>
      <c r="Y328" s="7176"/>
      <c r="Z328" s="6886"/>
      <c r="AA328" s="6886"/>
      <c r="AB328" s="7177"/>
      <c r="AC328" s="5933" t="str">
        <f t="shared" si="82"/>
        <v>►</v>
      </c>
      <c r="AD328" s="6003" t="s">
        <v>8014</v>
      </c>
      <c r="AE328" s="5949">
        <v>0</v>
      </c>
      <c r="AF328" s="5804"/>
      <c r="AG328" s="5994" t="str">
        <f>IF(COUNTIF(AH328:AJ328,"&lt;&gt;")=0,"",MAX(AG321:AG327)+1)</f>
        <v/>
      </c>
      <c r="AH328" s="5995"/>
      <c r="AI328" s="5995"/>
      <c r="AJ328" s="5995"/>
      <c r="AK328" s="5995"/>
      <c r="AL328" s="5995"/>
      <c r="AM328" s="5995"/>
      <c r="AN328" s="5995"/>
      <c r="AO328" s="5995"/>
      <c r="AP328" s="5994" t="str">
        <f>IF(COUNTIF(AQ328:AR328,"&lt;&gt;")=0,"",MAX(AP321:AP327)+1)</f>
        <v/>
      </c>
      <c r="AQ328" s="5996"/>
      <c r="AR328" s="5997"/>
      <c r="AS328" s="7298"/>
      <c r="AT328" s="4"/>
      <c r="AU328" s="4"/>
      <c r="AV328" s="4"/>
      <c r="AW328" s="5818" t="str">
        <f t="shared" si="79"/>
        <v>►</v>
      </c>
      <c r="AX328" s="5950"/>
      <c r="AY328" s="5950"/>
      <c r="AZ328" s="5950"/>
      <c r="BA328" s="5950"/>
      <c r="BB328" s="5950"/>
      <c r="BD328"/>
      <c r="BE328"/>
      <c r="BF328"/>
      <c r="BG328"/>
      <c r="BH328"/>
      <c r="BI328"/>
      <c r="BJ328"/>
      <c r="BL328"/>
      <c r="BM328"/>
      <c r="BN328"/>
      <c r="BO328"/>
      <c r="BP328"/>
      <c r="BQ328"/>
      <c r="BR328"/>
      <c r="BT328"/>
      <c r="BU328"/>
      <c r="BV328"/>
      <c r="BX328" s="5">
        <v>1</v>
      </c>
      <c r="BY328" s="1"/>
      <c r="BZ328" s="1"/>
    </row>
    <row r="329" spans="1:78" s="2" customFormat="1" ht="21" customHeight="1" thickBot="1">
      <c r="A329" s="5641" t="s">
        <v>1</v>
      </c>
      <c r="B329" s="5662" t="str">
        <f>L329</f>
        <v>A</v>
      </c>
      <c r="C329" s="5825" cm="1">
        <f t="array" ref="C329">SUMPRODUCT(LEN(D329:J329))</f>
        <v>0</v>
      </c>
      <c r="D329" s="5275"/>
      <c r="E329" s="1361"/>
      <c r="F329" s="1361"/>
      <c r="G329" s="1361"/>
      <c r="H329" s="1361"/>
      <c r="I329" s="1361"/>
      <c r="J329" s="5276"/>
      <c r="K329" s="106"/>
      <c r="L329" s="5304" t="s">
        <v>21</v>
      </c>
      <c r="M329" s="5305"/>
      <c r="N329" s="5305"/>
      <c r="O329" s="5305"/>
      <c r="P329" s="5305"/>
      <c r="Q329" s="5306" t="s">
        <v>269</v>
      </c>
      <c r="R329" s="5307" t="str">
        <f ca="1">CELL("nomfichier")</f>
        <v>D:\Données\1.UPRT\0-UPRT.fait\1-UPRT.FR-SITE-WEB\ff-fiches-fabrications\ff.fiches.fabrication.2023\ffr.restaurant.2023\[ff.REPERTOIRE.600.LIGNES.15.xlsx]Differents.postits.FR.EN.ES</v>
      </c>
      <c r="S329" s="5308"/>
      <c r="T329" s="5308"/>
      <c r="U329" s="5308"/>
      <c r="V329" s="5308"/>
      <c r="W329" s="5308"/>
      <c r="X329" s="5308"/>
      <c r="Y329" s="5308"/>
      <c r="Z329" s="5308"/>
      <c r="AA329" s="5308"/>
      <c r="AB329" s="5309"/>
      <c r="AC329" s="5817" t="s">
        <v>21</v>
      </c>
      <c r="AD329" s="6005"/>
      <c r="AE329" s="6006"/>
      <c r="AF329" s="6006"/>
      <c r="AG329" s="6006"/>
      <c r="AH329" s="6006"/>
      <c r="AI329" s="6006"/>
      <c r="AJ329" s="6006"/>
      <c r="AK329" s="6006"/>
      <c r="AL329" s="6007"/>
      <c r="AM329" s="6007"/>
      <c r="AN329" s="6007"/>
      <c r="AO329" s="6007"/>
      <c r="AP329" s="6007"/>
      <c r="AQ329" s="6007"/>
      <c r="AR329" s="6008"/>
      <c r="AS329" s="7391"/>
      <c r="AT329" s="4"/>
      <c r="AU329" s="4"/>
      <c r="AV329" s="4"/>
      <c r="AW329" s="5818" t="str">
        <f t="shared" si="79"/>
        <v>A</v>
      </c>
      <c r="AX329" s="184">
        <v>11</v>
      </c>
      <c r="AY329" s="184">
        <v>11</v>
      </c>
      <c r="AZ329" s="184">
        <v>11</v>
      </c>
      <c r="BA329" s="184">
        <v>11</v>
      </c>
      <c r="BB329" s="184">
        <v>11</v>
      </c>
      <c r="BC329" s="1" t="s">
        <v>8642</v>
      </c>
      <c r="BD329"/>
      <c r="BE329"/>
      <c r="BF329"/>
      <c r="BG329"/>
      <c r="BH329"/>
      <c r="BI329"/>
      <c r="BJ329"/>
      <c r="BL329"/>
      <c r="BM329"/>
      <c r="BN329"/>
      <c r="BO329"/>
      <c r="BP329"/>
      <c r="BQ329"/>
      <c r="BR329"/>
      <c r="BT329"/>
      <c r="BU329"/>
      <c r="BV329"/>
      <c r="BX329" s="5">
        <v>1</v>
      </c>
      <c r="BY329" s="1"/>
      <c r="BZ329" s="1"/>
    </row>
    <row r="330" spans="1:78" s="2" customFormat="1" ht="21" customHeight="1">
      <c r="A330" s="5641" t="s">
        <v>1</v>
      </c>
      <c r="B330" s="6123">
        <v>3</v>
      </c>
      <c r="C330" s="6123">
        <v>9</v>
      </c>
      <c r="D330" s="6123">
        <v>12</v>
      </c>
      <c r="E330" s="6123">
        <v>12</v>
      </c>
      <c r="F330" s="6123">
        <v>3</v>
      </c>
      <c r="G330" s="6123">
        <v>9</v>
      </c>
      <c r="H330" s="6123">
        <v>12</v>
      </c>
      <c r="I330" s="6123">
        <v>13</v>
      </c>
      <c r="J330" s="6123">
        <v>40</v>
      </c>
      <c r="K330" s="106" t="s">
        <v>1</v>
      </c>
      <c r="L330" s="6123">
        <v>3</v>
      </c>
      <c r="M330" s="6123">
        <v>3</v>
      </c>
      <c r="N330" s="6123">
        <v>3</v>
      </c>
      <c r="O330" s="6123">
        <v>3</v>
      </c>
      <c r="P330" s="6123">
        <v>4</v>
      </c>
      <c r="Q330" s="6123">
        <v>12</v>
      </c>
      <c r="R330" s="6123">
        <v>12</v>
      </c>
      <c r="S330" s="6123">
        <v>3</v>
      </c>
      <c r="T330" s="6123">
        <v>9</v>
      </c>
      <c r="U330" s="6123">
        <v>12</v>
      </c>
      <c r="V330" s="6123">
        <v>13</v>
      </c>
      <c r="W330" s="6123">
        <v>40</v>
      </c>
      <c r="X330" s="6123"/>
      <c r="Y330" s="6123">
        <v>12</v>
      </c>
      <c r="Z330" s="6123">
        <v>13</v>
      </c>
      <c r="AA330" s="6123">
        <v>13</v>
      </c>
      <c r="AB330" s="6123">
        <v>12</v>
      </c>
      <c r="AC330" s="5817" t="s">
        <v>21</v>
      </c>
      <c r="AD330" s="6123">
        <v>10</v>
      </c>
      <c r="AE330" s="6123">
        <v>11</v>
      </c>
      <c r="AF330" s="6123">
        <v>3</v>
      </c>
      <c r="AG330" s="6123">
        <v>3</v>
      </c>
      <c r="AH330" s="6123">
        <v>3</v>
      </c>
      <c r="AI330" s="6123">
        <v>3</v>
      </c>
      <c r="AJ330" s="6123">
        <v>12</v>
      </c>
      <c r="AK330" s="6123">
        <v>12</v>
      </c>
      <c r="AL330" s="6123">
        <v>3</v>
      </c>
      <c r="AM330" s="6123">
        <v>12</v>
      </c>
      <c r="AN330" s="6123"/>
      <c r="AO330" s="6123">
        <v>10</v>
      </c>
      <c r="AP330" s="6123">
        <v>13</v>
      </c>
      <c r="AQ330" s="6123">
        <v>13</v>
      </c>
      <c r="AR330" s="6123">
        <v>40</v>
      </c>
      <c r="AS330" s="6123">
        <v>11</v>
      </c>
      <c r="AT330" s="4"/>
      <c r="AU330" s="4"/>
      <c r="AV330" s="4"/>
      <c r="AW330" s="6124" t="str">
        <f t="shared" si="79"/>
        <v>A</v>
      </c>
      <c r="AX330" s="91">
        <f ca="1">CELL("largeur",AX330)</f>
        <v>11</v>
      </c>
      <c r="AY330" s="91">
        <f ca="1">CELL("largeur",AY330)</f>
        <v>11</v>
      </c>
      <c r="AZ330" s="91">
        <f ca="1">CELL("largeur",AZ330)</f>
        <v>11</v>
      </c>
      <c r="BA330" s="91">
        <f ca="1">CELL("largeur",BA330)</f>
        <v>11</v>
      </c>
      <c r="BB330" s="91">
        <f ca="1">CELL("largeur",BB330)</f>
        <v>11</v>
      </c>
      <c r="BC330" s="1" t="s">
        <v>8643</v>
      </c>
      <c r="BD330"/>
      <c r="BE330"/>
      <c r="BF330"/>
      <c r="BG330"/>
      <c r="BH330"/>
      <c r="BI330"/>
      <c r="BJ330"/>
      <c r="BL330"/>
      <c r="BM330"/>
      <c r="BN330"/>
      <c r="BO330"/>
      <c r="BP330"/>
      <c r="BQ330"/>
      <c r="BR330"/>
      <c r="BT330"/>
      <c r="BU330"/>
      <c r="BV330"/>
      <c r="BX330" s="5">
        <v>1</v>
      </c>
      <c r="BY330" s="1"/>
      <c r="BZ330" s="1"/>
    </row>
    <row r="331" spans="1:78" s="2" customFormat="1" ht="21" customHeight="1" thickBot="1">
      <c r="A331" s="5641" t="s">
        <v>1</v>
      </c>
      <c r="B331" s="441">
        <f ca="1">L331</f>
        <v>3</v>
      </c>
      <c r="C331" s="441">
        <f t="shared" ref="C331:J331" ca="1" si="83">CELL("largeur",C331)</f>
        <v>9</v>
      </c>
      <c r="D331" s="441">
        <f t="shared" ca="1" si="83"/>
        <v>12</v>
      </c>
      <c r="E331" s="441">
        <f t="shared" ca="1" si="83"/>
        <v>12</v>
      </c>
      <c r="F331" s="441">
        <f t="shared" ca="1" si="83"/>
        <v>3</v>
      </c>
      <c r="G331" s="441">
        <f t="shared" ca="1" si="83"/>
        <v>9</v>
      </c>
      <c r="H331" s="441">
        <f t="shared" ca="1" si="83"/>
        <v>12</v>
      </c>
      <c r="I331" s="441">
        <f t="shared" ca="1" si="83"/>
        <v>13</v>
      </c>
      <c r="J331" s="441">
        <f t="shared" ca="1" si="83"/>
        <v>40</v>
      </c>
      <c r="K331" s="106" t="s">
        <v>1</v>
      </c>
      <c r="L331" s="441">
        <f t="shared" ref="L331:AB331" ca="1" si="84">CELL("largeur",L331)</f>
        <v>3</v>
      </c>
      <c r="M331" s="441">
        <f t="shared" ca="1" si="84"/>
        <v>3</v>
      </c>
      <c r="N331" s="441">
        <f t="shared" ca="1" si="84"/>
        <v>3</v>
      </c>
      <c r="O331" s="441">
        <f t="shared" ca="1" si="84"/>
        <v>3</v>
      </c>
      <c r="P331" s="441">
        <f t="shared" ca="1" si="84"/>
        <v>5</v>
      </c>
      <c r="Q331" s="441">
        <f t="shared" ca="1" si="84"/>
        <v>12</v>
      </c>
      <c r="R331" s="441">
        <f t="shared" ca="1" si="84"/>
        <v>12</v>
      </c>
      <c r="S331" s="441">
        <f t="shared" ca="1" si="84"/>
        <v>3</v>
      </c>
      <c r="T331" s="441">
        <f t="shared" ca="1" si="84"/>
        <v>9</v>
      </c>
      <c r="U331" s="441">
        <f t="shared" ca="1" si="84"/>
        <v>12</v>
      </c>
      <c r="V331" s="441">
        <f t="shared" ca="1" si="84"/>
        <v>13</v>
      </c>
      <c r="W331" s="441">
        <f t="shared" ca="1" si="84"/>
        <v>40</v>
      </c>
      <c r="X331" s="441"/>
      <c r="Y331" s="441">
        <f t="shared" ca="1" si="84"/>
        <v>12</v>
      </c>
      <c r="Z331" s="441">
        <f t="shared" ca="1" si="84"/>
        <v>13</v>
      </c>
      <c r="AA331" s="441">
        <f t="shared" ca="1" si="84"/>
        <v>13</v>
      </c>
      <c r="AB331" s="441">
        <f t="shared" ca="1" si="84"/>
        <v>12</v>
      </c>
      <c r="AC331" s="5817" t="s">
        <v>21</v>
      </c>
      <c r="AD331" s="441">
        <f t="shared" ref="AD331:AR331" ca="1" si="85">CELL("largeur",AD331)</f>
        <v>10</v>
      </c>
      <c r="AE331" s="441">
        <f t="shared" ca="1" si="85"/>
        <v>11</v>
      </c>
      <c r="AF331" s="441">
        <f t="shared" ca="1" si="85"/>
        <v>3</v>
      </c>
      <c r="AG331" s="441">
        <f t="shared" ca="1" si="85"/>
        <v>3</v>
      </c>
      <c r="AH331" s="441">
        <f t="shared" ca="1" si="85"/>
        <v>3</v>
      </c>
      <c r="AI331" s="441">
        <f t="shared" ca="1" si="85"/>
        <v>3</v>
      </c>
      <c r="AJ331" s="441">
        <f t="shared" ca="1" si="85"/>
        <v>12</v>
      </c>
      <c r="AK331" s="441">
        <f t="shared" ca="1" si="85"/>
        <v>12</v>
      </c>
      <c r="AL331" s="441">
        <f t="shared" ca="1" si="85"/>
        <v>3</v>
      </c>
      <c r="AM331" s="441">
        <f t="shared" ca="1" si="85"/>
        <v>12</v>
      </c>
      <c r="AN331" s="441"/>
      <c r="AO331" s="441">
        <f t="shared" ca="1" si="85"/>
        <v>10</v>
      </c>
      <c r="AP331" s="441">
        <f t="shared" ca="1" si="85"/>
        <v>13</v>
      </c>
      <c r="AQ331" s="441">
        <f t="shared" ca="1" si="85"/>
        <v>13</v>
      </c>
      <c r="AR331" s="441">
        <f t="shared" ca="1" si="85"/>
        <v>40</v>
      </c>
      <c r="AS331" s="441">
        <f ca="1">CELL("largeur",AS331)</f>
        <v>11</v>
      </c>
      <c r="AT331" s="4"/>
      <c r="AU331" s="4"/>
      <c r="AV331" s="4"/>
      <c r="AW331" s="6124" t="str">
        <f t="shared" si="79"/>
        <v>A</v>
      </c>
      <c r="BC331" s="4"/>
      <c r="BD331"/>
      <c r="BE331"/>
      <c r="BF331"/>
      <c r="BG331"/>
      <c r="BH331"/>
      <c r="BI331"/>
      <c r="BJ331"/>
      <c r="BL331"/>
      <c r="BM331"/>
      <c r="BN331"/>
      <c r="BO331"/>
      <c r="BP331"/>
      <c r="BQ331"/>
      <c r="BR331"/>
      <c r="BT331"/>
      <c r="BU331"/>
      <c r="BV331"/>
      <c r="BX331" s="5">
        <v>1</v>
      </c>
    </row>
    <row r="332" spans="1:78" s="1" customFormat="1" ht="14.45" customHeight="1">
      <c r="A332" s="5641" t="s">
        <v>1</v>
      </c>
      <c r="B332" s="4">
        <f>L332</f>
        <v>0</v>
      </c>
      <c r="C332" s="4"/>
      <c r="D332" s="473"/>
      <c r="E332" s="473"/>
      <c r="F332" s="473"/>
      <c r="G332" s="473"/>
      <c r="H332" s="473"/>
      <c r="I332" s="473"/>
      <c r="J332" s="473"/>
      <c r="K332" s="106" t="s">
        <v>1</v>
      </c>
      <c r="L332" s="4"/>
      <c r="M332" s="4"/>
      <c r="N332" s="4"/>
      <c r="O332" s="4"/>
      <c r="P332" s="4"/>
      <c r="Q332" s="4"/>
      <c r="R332" s="4"/>
      <c r="S332" s="4"/>
      <c r="T332" s="4"/>
      <c r="U332" s="4"/>
      <c r="V332" s="4"/>
      <c r="W332" s="4"/>
      <c r="X332" s="4"/>
      <c r="Y332" s="4"/>
      <c r="Z332" s="4"/>
      <c r="AA332" s="4"/>
      <c r="AB332" s="4"/>
      <c r="AC332" s="4"/>
      <c r="AD332" s="4"/>
      <c r="AE332" s="4"/>
      <c r="AF332" s="5657"/>
      <c r="AG332" s="5657"/>
      <c r="AH332" s="5657"/>
      <c r="AI332" s="5657"/>
      <c r="AJ332" s="5657"/>
      <c r="AK332" s="5657"/>
      <c r="AL332" s="5657"/>
      <c r="AM332" s="5657"/>
      <c r="AN332" s="5657"/>
      <c r="AO332"/>
      <c r="AP332" s="4"/>
      <c r="AQ332" s="4"/>
      <c r="AR332" s="4"/>
      <c r="AS332" s="5657"/>
      <c r="AT332" s="4"/>
      <c r="AU332" s="4"/>
      <c r="AV332" s="4"/>
      <c r="AW332" s="2"/>
      <c r="AX332" s="2"/>
      <c r="AY332" s="2"/>
      <c r="AZ332" s="2"/>
      <c r="BA332" s="2"/>
      <c r="BB332" s="2"/>
      <c r="BC332" s="4"/>
      <c r="BD332"/>
      <c r="BE332"/>
      <c r="BF332"/>
      <c r="BG332"/>
      <c r="BH332"/>
      <c r="BI332"/>
      <c r="BJ332"/>
      <c r="BK332" s="4"/>
      <c r="BL332"/>
      <c r="BM332"/>
      <c r="BN332"/>
      <c r="BO332"/>
      <c r="BP332"/>
      <c r="BQ332"/>
      <c r="BR332"/>
      <c r="BS332" s="4"/>
      <c r="BT332"/>
      <c r="BU332"/>
      <c r="BV332"/>
      <c r="BW332" s="4"/>
      <c r="BX332" s="5">
        <v>1</v>
      </c>
    </row>
    <row r="333" spans="1:78">
      <c r="BX333" s="5">
        <v>1</v>
      </c>
    </row>
    <row r="334" spans="1:78" ht="15.75">
      <c r="L334" s="1351"/>
      <c r="M334" s="1351"/>
      <c r="N334" s="1351"/>
      <c r="O334" s="1352" t="s">
        <v>1115</v>
      </c>
      <c r="P334" s="1352"/>
      <c r="Q334" s="1353" t="s">
        <v>8634</v>
      </c>
      <c r="R334" s="102"/>
      <c r="S334"/>
      <c r="T334"/>
      <c r="U334"/>
      <c r="V334"/>
      <c r="W334"/>
      <c r="X334"/>
      <c r="BX334" s="5">
        <v>1</v>
      </c>
    </row>
    <row r="335" spans="1:78" ht="15.75">
      <c r="L335" s="141"/>
      <c r="M335" s="141"/>
      <c r="N335" s="141"/>
      <c r="O335" s="141"/>
      <c r="P335" s="141"/>
      <c r="Q335" s="1354" t="s">
        <v>252</v>
      </c>
      <c r="R335" s="1355"/>
      <c r="S335" s="1355"/>
      <c r="T335" s="1355"/>
      <c r="U335" s="1355"/>
      <c r="V335" s="1356"/>
      <c r="W335" s="6326" t="s">
        <v>1117</v>
      </c>
      <c r="X335" s="1357"/>
      <c r="Z335" s="5657"/>
      <c r="AA335" s="5657"/>
      <c r="AB335" s="5657"/>
      <c r="AC335" s="5657"/>
      <c r="AD335" s="5657"/>
      <c r="AE335" s="5657"/>
      <c r="BX335" s="5">
        <v>1</v>
      </c>
    </row>
    <row r="336" spans="1:78" ht="15.75">
      <c r="L336" s="141"/>
      <c r="M336" s="141"/>
      <c r="N336" s="141"/>
      <c r="O336" s="141"/>
      <c r="P336" s="141"/>
      <c r="Q336" s="1358" t="s">
        <v>1118</v>
      </c>
      <c r="R336" s="6082" t="s">
        <v>1128</v>
      </c>
      <c r="S336" s="147"/>
      <c r="T336" s="147"/>
      <c r="U336" s="147"/>
      <c r="V336" s="147"/>
      <c r="W336" s="8496"/>
      <c r="X336" s="1360"/>
      <c r="Z336" s="5657"/>
      <c r="AA336" s="5657"/>
      <c r="AB336" s="5657"/>
      <c r="AC336" s="5657"/>
      <c r="AD336" s="5657"/>
      <c r="AE336" s="5657"/>
      <c r="BX336" s="5">
        <v>1</v>
      </c>
    </row>
    <row r="337" spans="12:76" ht="15.75">
      <c r="L337" s="141"/>
      <c r="M337" s="141"/>
      <c r="N337" s="141"/>
      <c r="O337" s="141"/>
      <c r="P337" s="141"/>
      <c r="Q337" s="1358" t="s">
        <v>1118</v>
      </c>
      <c r="R337" s="6082" t="s">
        <v>1129</v>
      </c>
      <c r="S337" s="1361"/>
      <c r="T337" s="1361"/>
      <c r="U337" s="1362"/>
      <c r="V337" s="988"/>
      <c r="W337" s="8504"/>
      <c r="X337" s="1325"/>
      <c r="Z337" s="5657"/>
      <c r="AA337" s="5657"/>
      <c r="AB337" s="5657"/>
      <c r="AC337" s="5657"/>
      <c r="AD337" s="5657"/>
      <c r="AE337" s="5657"/>
      <c r="BX337" s="5">
        <v>1</v>
      </c>
    </row>
    <row r="338" spans="12:76" ht="15.75">
      <c r="L338" s="141"/>
      <c r="M338" s="141"/>
      <c r="N338" s="141"/>
      <c r="O338" s="141"/>
      <c r="P338" s="141"/>
      <c r="Q338" s="1358" t="s">
        <v>1118</v>
      </c>
      <c r="R338" s="6082" t="s">
        <v>1130</v>
      </c>
      <c r="S338" s="147"/>
      <c r="T338" s="147"/>
      <c r="U338" s="988"/>
      <c r="V338" s="988"/>
      <c r="W338" s="8504"/>
      <c r="X338" s="1325"/>
      <c r="Z338" s="5657"/>
      <c r="AA338" s="5657"/>
      <c r="AB338" s="5657"/>
      <c r="AC338" s="5657"/>
      <c r="AD338" s="5657"/>
      <c r="AE338" s="5657"/>
      <c r="BX338" s="5">
        <v>1</v>
      </c>
    </row>
    <row r="339" spans="12:76" ht="15.75">
      <c r="L339" s="141"/>
      <c r="M339" s="141"/>
      <c r="N339" s="141"/>
      <c r="O339" s="141"/>
      <c r="P339" s="141"/>
      <c r="Q339" s="1358" t="s">
        <v>1118</v>
      </c>
      <c r="R339" s="6082" t="s">
        <v>1131</v>
      </c>
      <c r="S339" s="147"/>
      <c r="T339" s="147"/>
      <c r="U339" s="988"/>
      <c r="V339" s="988"/>
      <c r="W339" s="8504"/>
      <c r="X339" s="1325"/>
      <c r="Z339" s="5657"/>
      <c r="AA339" s="5657"/>
      <c r="AB339" s="5657"/>
      <c r="AC339" s="5657"/>
      <c r="AD339" s="5657"/>
      <c r="AE339" s="5657"/>
      <c r="BX339" s="5">
        <v>1</v>
      </c>
    </row>
    <row r="340" spans="12:76" ht="15.75">
      <c r="L340" s="141"/>
      <c r="M340" s="141"/>
      <c r="N340" s="141"/>
      <c r="O340" s="141"/>
      <c r="P340" s="141"/>
      <c r="Q340" s="1358" t="s">
        <v>1118</v>
      </c>
      <c r="R340" s="6082" t="s">
        <v>1132</v>
      </c>
      <c r="S340" s="147"/>
      <c r="T340" s="147"/>
      <c r="U340" s="988"/>
      <c r="V340" s="988"/>
      <c r="W340" s="8504"/>
      <c r="X340" s="1325"/>
      <c r="Z340" s="5657"/>
      <c r="AA340" s="5657"/>
      <c r="AB340" s="5657"/>
      <c r="AC340" s="5657"/>
      <c r="AD340" s="5657"/>
      <c r="AE340" s="5657"/>
      <c r="BX340" s="5">
        <v>1</v>
      </c>
    </row>
    <row r="341" spans="12:76" ht="15.75">
      <c r="L341" s="141"/>
      <c r="M341" s="141"/>
      <c r="N341" s="141"/>
      <c r="O341" s="141"/>
      <c r="P341" s="141"/>
      <c r="Q341" s="1358" t="s">
        <v>1118</v>
      </c>
      <c r="R341" s="1359" t="s">
        <v>1126</v>
      </c>
      <c r="S341" s="147"/>
      <c r="T341" s="1361"/>
      <c r="U341" s="988"/>
      <c r="V341" s="988"/>
      <c r="W341" s="8504"/>
      <c r="X341" s="1325"/>
      <c r="Z341" s="5657"/>
      <c r="AA341" s="5657"/>
      <c r="AB341" s="5657"/>
      <c r="AC341" s="5657"/>
      <c r="AD341" s="5657"/>
      <c r="AE341" s="5657"/>
      <c r="BX341" s="5">
        <v>1</v>
      </c>
    </row>
    <row r="342" spans="12:76" ht="15.75">
      <c r="L342" s="141"/>
      <c r="M342" s="141"/>
      <c r="N342" s="141"/>
      <c r="O342" s="141"/>
      <c r="P342" s="141"/>
      <c r="Q342" s="1358" t="s">
        <v>1118</v>
      </c>
      <c r="R342" s="6082" t="s">
        <v>1127</v>
      </c>
      <c r="S342" s="147"/>
      <c r="T342" s="147"/>
      <c r="U342" s="988"/>
      <c r="V342" s="988"/>
      <c r="W342" s="8504"/>
      <c r="X342" s="1325"/>
      <c r="Z342" s="5657"/>
      <c r="AA342" s="5657"/>
      <c r="AB342" s="5657"/>
      <c r="AC342" s="5657"/>
      <c r="AD342" s="5657"/>
      <c r="AE342" s="5657"/>
      <c r="BX342" s="5">
        <v>1</v>
      </c>
    </row>
    <row r="343" spans="12:76" ht="15.75">
      <c r="L343" s="141"/>
      <c r="M343" s="141"/>
      <c r="N343" s="141"/>
      <c r="O343" s="141"/>
      <c r="P343" s="141"/>
      <c r="Q343" s="1358" t="s">
        <v>1118</v>
      </c>
      <c r="R343" s="6082" t="s">
        <v>1135</v>
      </c>
      <c r="S343" s="147"/>
      <c r="T343" s="147"/>
      <c r="U343" s="988"/>
      <c r="V343" s="988"/>
      <c r="W343" s="8504"/>
      <c r="X343" s="1325"/>
      <c r="Z343" s="5657"/>
      <c r="AA343" s="5657"/>
      <c r="AB343" s="5657"/>
      <c r="AC343" s="5657"/>
      <c r="AD343" s="5657"/>
      <c r="AE343" s="5657"/>
      <c r="BX343" s="5">
        <v>1</v>
      </c>
    </row>
    <row r="344" spans="12:76" ht="15.75">
      <c r="L344" s="141"/>
      <c r="M344" s="141"/>
      <c r="N344" s="141"/>
      <c r="O344" s="141"/>
      <c r="P344" s="141"/>
      <c r="Q344" s="1358" t="s">
        <v>1118</v>
      </c>
      <c r="R344" s="6082" t="s">
        <v>1136</v>
      </c>
      <c r="S344" s="147"/>
      <c r="T344" s="147"/>
      <c r="U344" s="988"/>
      <c r="V344" s="988"/>
      <c r="W344" s="8504"/>
      <c r="X344" s="1325"/>
      <c r="Z344" s="5657"/>
      <c r="AA344" s="5657"/>
      <c r="AB344" s="5657"/>
      <c r="AC344" s="5657"/>
      <c r="AD344" s="5657"/>
      <c r="AE344" s="5657"/>
      <c r="BX344" s="5">
        <v>1</v>
      </c>
    </row>
    <row r="345" spans="12:76" ht="15.75">
      <c r="L345" s="141"/>
      <c r="M345" s="141"/>
      <c r="N345" s="141"/>
      <c r="O345" s="141"/>
      <c r="P345" s="141"/>
      <c r="Q345" s="1358" t="s">
        <v>1118</v>
      </c>
      <c r="R345" s="6082" t="s">
        <v>1137</v>
      </c>
      <c r="S345" s="147"/>
      <c r="T345" s="147"/>
      <c r="U345" s="988"/>
      <c r="V345" s="988"/>
      <c r="W345" s="8504"/>
      <c r="X345" s="1325"/>
      <c r="Z345" s="5657"/>
      <c r="AA345" s="5657"/>
      <c r="AB345" s="5657"/>
      <c r="AC345" s="5657"/>
      <c r="AD345" s="5657"/>
      <c r="AE345" s="5657"/>
      <c r="BX345" s="5">
        <v>1</v>
      </c>
    </row>
    <row r="346" spans="12:76" ht="15.75">
      <c r="L346" s="141"/>
      <c r="M346" s="141"/>
      <c r="N346" s="141"/>
      <c r="O346" s="141"/>
      <c r="P346" s="141"/>
      <c r="Q346" s="1358" t="s">
        <v>1118</v>
      </c>
      <c r="R346" s="6082" t="s">
        <v>1138</v>
      </c>
      <c r="S346" s="147"/>
      <c r="T346" s="147"/>
      <c r="U346" s="988"/>
      <c r="V346" s="988"/>
      <c r="W346" s="8504"/>
      <c r="X346" s="1325"/>
      <c r="Z346" s="5657"/>
      <c r="AA346" s="5657"/>
      <c r="AB346" s="5657"/>
      <c r="AC346" s="5657"/>
      <c r="AD346" s="5657"/>
      <c r="AE346" s="5657"/>
      <c r="BX346" s="5">
        <v>1</v>
      </c>
    </row>
    <row r="347" spans="12:76" ht="15.75">
      <c r="L347" s="141"/>
      <c r="M347" s="141"/>
      <c r="N347" s="141"/>
      <c r="O347" s="141"/>
      <c r="P347" s="141"/>
      <c r="Q347" s="1358" t="s">
        <v>1118</v>
      </c>
      <c r="R347" s="6082" t="s">
        <v>1139</v>
      </c>
      <c r="S347" s="147"/>
      <c r="T347" s="147"/>
      <c r="U347" s="988"/>
      <c r="V347" s="988"/>
      <c r="W347" s="8504"/>
      <c r="X347" s="1325"/>
      <c r="Z347" s="5657"/>
      <c r="AA347" s="5657"/>
      <c r="AB347" s="5657"/>
      <c r="AC347" s="5657"/>
      <c r="AD347" s="5657"/>
      <c r="AE347" s="5657"/>
      <c r="BX347" s="5">
        <v>1</v>
      </c>
    </row>
    <row r="348" spans="12:76" ht="15.75">
      <c r="L348" s="141"/>
      <c r="M348" s="141"/>
      <c r="N348" s="141"/>
      <c r="O348" s="141"/>
      <c r="P348" s="141"/>
      <c r="Q348" s="1358" t="s">
        <v>1118</v>
      </c>
      <c r="R348" s="6082" t="s">
        <v>1140</v>
      </c>
      <c r="S348" s="147"/>
      <c r="T348" s="147"/>
      <c r="U348" s="988"/>
      <c r="V348" s="988"/>
      <c r="W348" s="8504"/>
      <c r="X348" s="1325"/>
      <c r="Z348" s="5657"/>
      <c r="AA348" s="5657"/>
      <c r="AB348" s="5657"/>
      <c r="AC348" s="5657"/>
      <c r="AD348" s="5657"/>
      <c r="AE348" s="5657"/>
      <c r="BX348" s="5">
        <v>1</v>
      </c>
    </row>
    <row r="349" spans="12:76" ht="15.75">
      <c r="L349" s="141"/>
      <c r="M349" s="141"/>
      <c r="N349" s="141"/>
      <c r="O349" s="141"/>
      <c r="P349" s="141"/>
      <c r="Q349" s="5292"/>
      <c r="R349" s="1361"/>
      <c r="S349" s="1361"/>
      <c r="T349" s="1361"/>
      <c r="U349" s="1361"/>
      <c r="V349" s="1361"/>
      <c r="W349" s="8503" t="s">
        <v>1112</v>
      </c>
      <c r="X349" s="5291"/>
      <c r="Z349" s="5657"/>
      <c r="AA349" s="5657"/>
      <c r="AB349" s="5657"/>
      <c r="AC349" s="5657"/>
      <c r="AD349" s="5657"/>
      <c r="AE349" s="5657"/>
      <c r="BX349" s="5">
        <v>1</v>
      </c>
    </row>
    <row r="350" spans="12:76" ht="15.75">
      <c r="L350" s="141"/>
      <c r="M350" s="141"/>
      <c r="N350" s="141"/>
      <c r="O350" s="141"/>
      <c r="P350" s="141"/>
      <c r="Q350" s="1002"/>
      <c r="R350" s="1002"/>
      <c r="S350" s="1002" t="s">
        <v>873</v>
      </c>
      <c r="T350" s="1003"/>
      <c r="U350" s="1329"/>
      <c r="V350" s="1329"/>
      <c r="W350" s="1329"/>
      <c r="X350" s="1330"/>
      <c r="Z350" s="5657"/>
      <c r="AA350" s="5657"/>
      <c r="AB350" s="5657"/>
      <c r="AC350" s="5657"/>
      <c r="AD350" s="5657"/>
      <c r="AE350" s="5657"/>
      <c r="BX350" s="5">
        <v>1</v>
      </c>
    </row>
    <row r="351" spans="12:76" ht="16.5" thickBot="1">
      <c r="L351" s="141"/>
      <c r="M351" s="141"/>
      <c r="N351" s="141"/>
      <c r="O351" s="141"/>
      <c r="P351" s="141"/>
      <c r="Q351" s="1332" t="s">
        <v>86</v>
      </c>
      <c r="R351" s="1006"/>
      <c r="S351" s="1007"/>
      <c r="T351" s="1008"/>
      <c r="U351" s="1007"/>
      <c r="V351" s="1007"/>
      <c r="W351" s="1007"/>
      <c r="X351" s="1333"/>
      <c r="BX351" s="5">
        <v>1</v>
      </c>
    </row>
    <row r="352" spans="12:76">
      <c r="L352" s="141"/>
      <c r="M352" s="141"/>
      <c r="N352" s="141"/>
      <c r="O352" s="141"/>
      <c r="P352" s="141"/>
      <c r="Q352" s="141"/>
      <c r="R352" s="141"/>
      <c r="S352" s="141"/>
      <c r="T352" s="141"/>
      <c r="U352" s="141"/>
      <c r="V352" s="141"/>
      <c r="W352" s="141"/>
      <c r="X352" s="141"/>
      <c r="BX352" s="5">
        <v>1</v>
      </c>
    </row>
    <row r="353" spans="12:76">
      <c r="L353" s="141"/>
      <c r="M353" s="141"/>
      <c r="N353" s="141"/>
      <c r="O353" s="141"/>
      <c r="P353" s="141"/>
      <c r="Q353" s="141"/>
      <c r="R353" s="141"/>
      <c r="S353" s="141"/>
      <c r="T353" s="141"/>
      <c r="U353" s="141"/>
      <c r="V353" s="141"/>
      <c r="W353" s="141"/>
      <c r="X353" s="141"/>
      <c r="BX353" s="5">
        <v>1</v>
      </c>
    </row>
    <row r="354" spans="12:76" ht="15.75">
      <c r="L354" s="141"/>
      <c r="M354" s="141"/>
      <c r="N354" s="141"/>
      <c r="O354" s="141"/>
      <c r="P354" s="141"/>
      <c r="Q354" s="1354" t="s">
        <v>252</v>
      </c>
      <c r="R354" s="1355"/>
      <c r="S354" s="1355"/>
      <c r="T354" s="1355"/>
      <c r="U354" s="1355"/>
      <c r="V354" s="1356"/>
      <c r="W354" s="6326" t="s">
        <v>1144</v>
      </c>
      <c r="X354" s="1357" t="s">
        <v>1144</v>
      </c>
      <c r="BX354" s="5">
        <v>1</v>
      </c>
    </row>
    <row r="355" spans="12:76" ht="15.75">
      <c r="L355" s="141"/>
      <c r="M355" s="141"/>
      <c r="N355" s="141"/>
      <c r="O355" s="141"/>
      <c r="P355" s="141"/>
      <c r="Q355" s="6125" t="s">
        <v>1145</v>
      </c>
      <c r="R355" s="147"/>
      <c r="S355" s="1375"/>
      <c r="T355" s="102"/>
      <c r="U355" s="102"/>
      <c r="V355" s="102"/>
      <c r="W355" s="8496"/>
      <c r="X355" s="1360"/>
      <c r="BX355" s="5">
        <v>1</v>
      </c>
    </row>
    <row r="356" spans="12:76" ht="15" customHeight="1">
      <c r="L356" s="141"/>
      <c r="M356" s="141"/>
      <c r="N356" s="141"/>
      <c r="O356" s="141"/>
      <c r="P356" s="141"/>
      <c r="Q356" s="7084" t="s">
        <v>1146</v>
      </c>
      <c r="R356" s="8548"/>
      <c r="S356" s="8548"/>
      <c r="T356" s="8548"/>
      <c r="U356" s="8548"/>
      <c r="V356" s="8548"/>
      <c r="W356" s="8548"/>
      <c r="X356" s="7086"/>
      <c r="BX356" s="5">
        <v>1</v>
      </c>
    </row>
    <row r="357" spans="12:76">
      <c r="L357" s="141"/>
      <c r="M357" s="141"/>
      <c r="N357" s="141"/>
      <c r="O357" s="141"/>
      <c r="P357" s="141"/>
      <c r="Q357" s="7084"/>
      <c r="R357" s="8548"/>
      <c r="S357" s="8548"/>
      <c r="T357" s="8548"/>
      <c r="U357" s="8548"/>
      <c r="V357" s="8548"/>
      <c r="W357" s="8548"/>
      <c r="X357" s="7086"/>
      <c r="BX357" s="5">
        <v>1</v>
      </c>
    </row>
    <row r="358" spans="12:76">
      <c r="L358" s="141"/>
      <c r="M358" s="141"/>
      <c r="N358" s="141"/>
      <c r="O358" s="141"/>
      <c r="P358" s="141"/>
      <c r="Q358" s="7084"/>
      <c r="R358" s="8548"/>
      <c r="S358" s="8548"/>
      <c r="T358" s="8548"/>
      <c r="U358" s="8548"/>
      <c r="V358" s="8548"/>
      <c r="W358" s="8548"/>
      <c r="X358" s="7086"/>
      <c r="BX358" s="5">
        <v>1</v>
      </c>
    </row>
    <row r="359" spans="12:76" ht="15.75">
      <c r="L359" s="141"/>
      <c r="M359" s="141"/>
      <c r="N359" s="141"/>
      <c r="O359" s="141"/>
      <c r="P359" s="141"/>
      <c r="Q359" s="6126" t="s">
        <v>1147</v>
      </c>
      <c r="R359" s="988"/>
      <c r="S359" s="988"/>
      <c r="T359" s="988"/>
      <c r="U359" s="988"/>
      <c r="V359" s="988"/>
      <c r="W359" s="8504"/>
      <c r="X359" s="1325"/>
      <c r="BX359" s="5">
        <v>1</v>
      </c>
    </row>
    <row r="360" spans="12:76" ht="15.75">
      <c r="L360" s="141"/>
      <c r="M360" s="141"/>
      <c r="N360" s="141"/>
      <c r="O360" s="141"/>
      <c r="P360" s="141"/>
      <c r="Q360" s="5271" t="s">
        <v>1148</v>
      </c>
      <c r="R360" s="1320"/>
      <c r="S360" s="1320"/>
      <c r="T360" s="1320"/>
      <c r="U360" s="1320"/>
      <c r="V360" s="1320"/>
      <c r="W360" s="8500"/>
      <c r="X360" s="1377"/>
      <c r="BX360" s="5">
        <v>1</v>
      </c>
    </row>
    <row r="361" spans="12:76" ht="15" customHeight="1">
      <c r="L361" s="141"/>
      <c r="M361" s="141"/>
      <c r="N361" s="141"/>
      <c r="O361" s="141"/>
      <c r="P361" s="141"/>
      <c r="Q361" s="8543" t="s">
        <v>1149</v>
      </c>
      <c r="R361" s="8544"/>
      <c r="S361" s="8544"/>
      <c r="T361" s="8544"/>
      <c r="U361" s="8544"/>
      <c r="V361" s="8544"/>
      <c r="W361" s="8546"/>
      <c r="X361" s="8545"/>
      <c r="BX361" s="5">
        <v>1</v>
      </c>
    </row>
    <row r="362" spans="12:76" ht="15" customHeight="1">
      <c r="L362" s="141"/>
      <c r="M362" s="141"/>
      <c r="N362" s="141"/>
      <c r="O362" s="141"/>
      <c r="P362" s="141"/>
      <c r="Q362" s="7087"/>
      <c r="R362" s="8547"/>
      <c r="S362" s="8547"/>
      <c r="T362" s="8547"/>
      <c r="U362" s="8547"/>
      <c r="V362" s="8547"/>
      <c r="W362" s="8547"/>
      <c r="X362" s="7089"/>
      <c r="BX362" s="5">
        <v>1</v>
      </c>
    </row>
    <row r="363" spans="12:76" ht="15" customHeight="1">
      <c r="L363" s="141"/>
      <c r="M363" s="141"/>
      <c r="N363" s="141"/>
      <c r="O363" s="141"/>
      <c r="P363" s="141"/>
      <c r="Q363" s="7087"/>
      <c r="R363" s="8547"/>
      <c r="S363" s="8547"/>
      <c r="T363" s="8547"/>
      <c r="U363" s="8547"/>
      <c r="V363" s="8547"/>
      <c r="W363" s="8547"/>
      <c r="X363" s="7089"/>
      <c r="BX363" s="5">
        <v>1</v>
      </c>
    </row>
    <row r="364" spans="12:76" ht="15" customHeight="1">
      <c r="L364" s="141"/>
      <c r="M364" s="141"/>
      <c r="N364" s="141"/>
      <c r="O364" s="141"/>
      <c r="P364" s="141"/>
      <c r="Q364" s="7087"/>
      <c r="R364" s="8547"/>
      <c r="S364" s="8547"/>
      <c r="T364" s="8547"/>
      <c r="U364" s="8547"/>
      <c r="V364" s="8547"/>
      <c r="W364" s="8547"/>
      <c r="X364" s="7089"/>
      <c r="BX364" s="5">
        <v>1</v>
      </c>
    </row>
    <row r="365" spans="12:76" ht="15.75" customHeight="1">
      <c r="L365" s="141"/>
      <c r="M365" s="141"/>
      <c r="N365" s="141"/>
      <c r="O365" s="141"/>
      <c r="P365" s="141"/>
      <c r="Q365" s="7090"/>
      <c r="R365" s="7091"/>
      <c r="S365" s="7091"/>
      <c r="T365" s="7091"/>
      <c r="U365" s="7091"/>
      <c r="V365" s="7091"/>
      <c r="W365" s="7091"/>
      <c r="X365" s="7092"/>
      <c r="BX365" s="5">
        <v>1</v>
      </c>
    </row>
    <row r="366" spans="12:76" ht="15.75">
      <c r="L366" s="141"/>
      <c r="M366" s="141"/>
      <c r="N366" s="141"/>
      <c r="O366" s="141"/>
      <c r="P366" s="141"/>
      <c r="Q366" s="5292"/>
      <c r="R366" s="1361"/>
      <c r="S366" s="1361"/>
      <c r="T366" s="1361"/>
      <c r="U366" s="1361"/>
      <c r="V366" s="1361"/>
      <c r="W366" s="8503" t="s">
        <v>1112</v>
      </c>
      <c r="X366" s="5291" t="s">
        <v>1112</v>
      </c>
      <c r="BX366" s="5">
        <v>1</v>
      </c>
    </row>
    <row r="367" spans="12:76" ht="15.75">
      <c r="L367" s="141"/>
      <c r="M367" s="141"/>
      <c r="N367" s="141"/>
      <c r="O367" s="141"/>
      <c r="P367" s="141"/>
      <c r="Q367" s="5292" t="s">
        <v>8022</v>
      </c>
      <c r="R367" s="988"/>
      <c r="S367" s="988"/>
      <c r="T367" s="988"/>
      <c r="U367" s="988"/>
      <c r="V367" s="988"/>
      <c r="W367" s="8504"/>
      <c r="X367" s="1325"/>
      <c r="BX367" s="5">
        <v>1</v>
      </c>
    </row>
    <row r="368" spans="12:76" ht="15.75">
      <c r="L368" s="141"/>
      <c r="M368" s="141"/>
      <c r="N368" s="141"/>
      <c r="O368" s="141"/>
      <c r="P368" s="141"/>
      <c r="Q368" s="5294" t="s">
        <v>8024</v>
      </c>
      <c r="R368" s="1449"/>
      <c r="S368" s="1449"/>
      <c r="T368" s="1449"/>
      <c r="U368" s="1449"/>
      <c r="V368" s="1449"/>
      <c r="W368" s="5410"/>
      <c r="X368" s="5295"/>
      <c r="BX368" s="5">
        <v>1</v>
      </c>
    </row>
    <row r="369" spans="12:76" ht="15.75">
      <c r="L369" s="141"/>
      <c r="M369" s="141"/>
      <c r="N369" s="141"/>
      <c r="O369" s="141"/>
      <c r="P369" s="141"/>
      <c r="Q369" s="1002"/>
      <c r="R369" s="1002"/>
      <c r="S369" s="1002" t="s">
        <v>873</v>
      </c>
      <c r="T369" s="1003"/>
      <c r="U369" s="1329"/>
      <c r="V369" s="1329"/>
      <c r="W369" s="1329"/>
      <c r="X369" s="1330"/>
      <c r="BX369" s="5">
        <v>1</v>
      </c>
    </row>
    <row r="370" spans="12:76" ht="16.5" thickBot="1">
      <c r="L370" s="141"/>
      <c r="M370" s="141"/>
      <c r="N370" s="141"/>
      <c r="O370" s="141"/>
      <c r="P370" s="141"/>
      <c r="Q370" s="1332" t="s">
        <v>86</v>
      </c>
      <c r="R370" s="1006"/>
      <c r="S370" s="1007"/>
      <c r="T370" s="1008"/>
      <c r="U370" s="1007"/>
      <c r="V370" s="1007"/>
      <c r="W370" s="1007"/>
      <c r="X370" s="1333"/>
      <c r="BX370" s="5">
        <v>1</v>
      </c>
    </row>
    <row r="371" spans="12:76">
      <c r="L371" s="141"/>
      <c r="M371" s="141"/>
      <c r="N371" s="141"/>
      <c r="O371" s="141"/>
      <c r="P371" s="141"/>
      <c r="Q371" s="141"/>
      <c r="R371" s="141"/>
      <c r="S371" s="141"/>
      <c r="T371" s="141"/>
      <c r="U371" s="141"/>
      <c r="V371" s="141"/>
      <c r="W371" s="141"/>
      <c r="X371" s="141"/>
      <c r="BX371" s="5">
        <v>1</v>
      </c>
    </row>
    <row r="372" spans="12:76">
      <c r="L372" s="141"/>
      <c r="M372" s="141"/>
      <c r="N372" s="141"/>
      <c r="O372" s="141"/>
      <c r="P372" s="141"/>
      <c r="Q372" s="141"/>
      <c r="R372" s="141"/>
      <c r="S372" s="141"/>
      <c r="T372" s="141"/>
      <c r="U372" s="141"/>
      <c r="V372" s="141"/>
      <c r="W372" s="141"/>
      <c r="X372" s="141"/>
      <c r="BX372" s="5">
        <v>1</v>
      </c>
    </row>
    <row r="373" spans="12:76" ht="15.75">
      <c r="L373" s="141"/>
      <c r="M373" s="141"/>
      <c r="N373" s="141"/>
      <c r="O373" s="141"/>
      <c r="P373" s="141"/>
      <c r="Q373" s="1354" t="s">
        <v>252</v>
      </c>
      <c r="R373" s="1398"/>
      <c r="S373" s="1398"/>
      <c r="T373" s="1398"/>
      <c r="U373" s="1398"/>
      <c r="V373" s="1398"/>
      <c r="W373" s="6326"/>
      <c r="X373" s="1357" t="s">
        <v>1158</v>
      </c>
      <c r="BX373" s="5">
        <v>1</v>
      </c>
    </row>
    <row r="374" spans="12:76" ht="15.75">
      <c r="L374" s="141"/>
      <c r="M374" s="141"/>
      <c r="N374" s="141"/>
      <c r="O374" s="141"/>
      <c r="P374" s="141"/>
      <c r="Q374" s="6127"/>
      <c r="R374" s="1401" t="s">
        <v>1159</v>
      </c>
      <c r="S374" s="1362"/>
      <c r="T374" s="1362"/>
      <c r="U374" s="1362"/>
      <c r="V374" s="1402" t="s">
        <v>1160</v>
      </c>
      <c r="W374" s="8505"/>
      <c r="X374" s="1403"/>
      <c r="BX374" s="5">
        <v>1</v>
      </c>
    </row>
    <row r="375" spans="12:76" ht="15.75">
      <c r="L375" s="141"/>
      <c r="M375" s="141"/>
      <c r="N375" s="141"/>
      <c r="O375" s="141"/>
      <c r="P375" s="141"/>
      <c r="Q375" s="6127">
        <v>3</v>
      </c>
      <c r="R375" s="1404" t="s">
        <v>1163</v>
      </c>
      <c r="S375" s="988"/>
      <c r="T375" s="988"/>
      <c r="U375" s="988"/>
      <c r="V375" s="1358" t="s">
        <v>1118</v>
      </c>
      <c r="W375" s="8506" t="s">
        <v>1162</v>
      </c>
      <c r="X375" s="1405"/>
      <c r="BX375" s="5">
        <v>1</v>
      </c>
    </row>
    <row r="376" spans="12:76" ht="18.75">
      <c r="L376" s="141"/>
      <c r="M376" s="141"/>
      <c r="N376" s="141"/>
      <c r="O376" s="141"/>
      <c r="P376" s="141"/>
      <c r="Q376" s="6127"/>
      <c r="R376" s="1404" t="s">
        <v>1165</v>
      </c>
      <c r="S376" s="988"/>
      <c r="T376" s="988"/>
      <c r="U376" s="988"/>
      <c r="V376" s="1406"/>
      <c r="W376" s="8506" t="s">
        <v>1164</v>
      </c>
      <c r="X376" s="1405"/>
      <c r="BX376" s="5">
        <v>1</v>
      </c>
    </row>
    <row r="377" spans="12:76" ht="15.75">
      <c r="L377" s="141"/>
      <c r="M377" s="141"/>
      <c r="N377" s="141"/>
      <c r="O377" s="141"/>
      <c r="P377" s="141"/>
      <c r="Q377" s="6127">
        <v>1</v>
      </c>
      <c r="R377" s="1404" t="s">
        <v>1167</v>
      </c>
      <c r="S377" s="988"/>
      <c r="T377" s="988"/>
      <c r="U377" s="988"/>
      <c r="V377" s="1407"/>
      <c r="W377" s="8507" t="s">
        <v>1166</v>
      </c>
      <c r="X377" s="1408"/>
      <c r="BX377" s="5">
        <v>1</v>
      </c>
    </row>
    <row r="378" spans="12:76" ht="18.75">
      <c r="L378" s="141"/>
      <c r="M378" s="141"/>
      <c r="N378" s="141"/>
      <c r="O378" s="141"/>
      <c r="P378" s="141"/>
      <c r="Q378" s="6127"/>
      <c r="R378" s="1404" t="s">
        <v>1168</v>
      </c>
      <c r="S378" s="988"/>
      <c r="T378" s="988"/>
      <c r="U378" s="988"/>
      <c r="V378" s="1406"/>
      <c r="W378" s="8506" t="s">
        <v>1162</v>
      </c>
      <c r="X378" s="1405"/>
      <c r="BX378" s="5">
        <v>1</v>
      </c>
    </row>
    <row r="379" spans="12:76" ht="18.75">
      <c r="L379" s="141"/>
      <c r="M379" s="141"/>
      <c r="N379" s="141"/>
      <c r="O379" s="141"/>
      <c r="P379" s="141"/>
      <c r="Q379" s="6127"/>
      <c r="R379" s="1404" t="s">
        <v>1170</v>
      </c>
      <c r="S379" s="988"/>
      <c r="T379" s="988"/>
      <c r="U379" s="988"/>
      <c r="V379" s="1406"/>
      <c r="W379" s="8506" t="s">
        <v>1169</v>
      </c>
      <c r="X379" s="1405"/>
      <c r="BX379" s="5">
        <v>1</v>
      </c>
    </row>
    <row r="380" spans="12:76" ht="15.75">
      <c r="L380" s="141"/>
      <c r="M380" s="141"/>
      <c r="N380" s="141"/>
      <c r="O380" s="141"/>
      <c r="P380" s="141"/>
      <c r="Q380" s="6127"/>
      <c r="R380" s="1404" t="s">
        <v>1172</v>
      </c>
      <c r="S380" s="988"/>
      <c r="T380" s="988"/>
      <c r="U380" s="988"/>
      <c r="V380" s="6128" t="s">
        <v>1171</v>
      </c>
      <c r="W380" s="8506" t="s">
        <v>1164</v>
      </c>
      <c r="X380" s="1405"/>
      <c r="BX380" s="5">
        <v>1</v>
      </c>
    </row>
    <row r="381" spans="12:76" ht="16.5" thickBot="1">
      <c r="L381" s="141"/>
      <c r="M381" s="141"/>
      <c r="N381" s="141"/>
      <c r="O381" s="141"/>
      <c r="P381" s="141"/>
      <c r="Q381" s="6129"/>
      <c r="R381" s="1404" t="s">
        <v>1174</v>
      </c>
      <c r="S381" s="988"/>
      <c r="T381" s="988"/>
      <c r="U381" s="988"/>
      <c r="V381" s="1407"/>
      <c r="W381" s="8508" t="s">
        <v>1173</v>
      </c>
      <c r="X381" s="1409"/>
      <c r="BX381" s="5">
        <v>1</v>
      </c>
    </row>
    <row r="382" spans="12:76" ht="16.5" thickTop="1">
      <c r="L382" s="141"/>
      <c r="M382" s="141"/>
      <c r="N382" s="141"/>
      <c r="O382" s="141"/>
      <c r="P382" s="141"/>
      <c r="Q382" s="1412" t="str">
        <f>SUM(Q374:Q381) &amp; " / " &amp; (COUNTA(Q374:Q381) * 3)</f>
        <v>4 / 6</v>
      </c>
      <c r="R382" s="988" t="s">
        <v>1177</v>
      </c>
      <c r="S382" s="988"/>
      <c r="T382" s="988"/>
      <c r="U382" s="988"/>
      <c r="V382" s="1411" t="s">
        <v>1175</v>
      </c>
      <c r="W382" s="8506" t="s">
        <v>1176</v>
      </c>
      <c r="X382" s="1405"/>
      <c r="BX382" s="5">
        <v>1</v>
      </c>
    </row>
    <row r="383" spans="12:76" ht="18.75">
      <c r="L383" s="141"/>
      <c r="M383" s="141"/>
      <c r="N383" s="141"/>
      <c r="O383" s="141"/>
      <c r="P383" s="141"/>
      <c r="Q383" s="6130" t="str">
        <f>SUM(Q374:Q381) &amp;"/ "&amp;Q384</f>
        <v>4/ 24</v>
      </c>
      <c r="R383" s="1414" t="s">
        <v>1178</v>
      </c>
      <c r="S383" s="988"/>
      <c r="T383" s="988"/>
      <c r="U383" s="988"/>
      <c r="V383" s="1406"/>
      <c r="W383" s="8506" t="s">
        <v>1164</v>
      </c>
      <c r="X383" s="1405"/>
      <c r="BX383" s="5">
        <v>1</v>
      </c>
    </row>
    <row r="384" spans="12:76" ht="19.5" thickBot="1">
      <c r="L384" s="141"/>
      <c r="M384" s="141"/>
      <c r="N384" s="141"/>
      <c r="O384" s="141"/>
      <c r="P384" s="141"/>
      <c r="Q384" s="1416">
        <v>24</v>
      </c>
      <c r="R384" s="1417" t="s">
        <v>1180</v>
      </c>
      <c r="S384" s="988"/>
      <c r="T384" s="988"/>
      <c r="U384" s="988"/>
      <c r="V384" s="1415"/>
      <c r="W384" s="8508" t="s">
        <v>1179</v>
      </c>
      <c r="X384" s="1409"/>
      <c r="BX384" s="5">
        <v>1</v>
      </c>
    </row>
    <row r="385" spans="12:76" ht="19.5" thickTop="1">
      <c r="L385" s="141"/>
      <c r="M385" s="141"/>
      <c r="N385" s="141"/>
      <c r="O385" s="141"/>
      <c r="P385" s="141"/>
      <c r="Q385" s="1418" t="s">
        <v>1182</v>
      </c>
      <c r="R385" s="988"/>
      <c r="S385" s="988"/>
      <c r="T385" s="988"/>
      <c r="U385" s="988"/>
      <c r="V385" s="1406"/>
      <c r="W385" s="8506" t="s">
        <v>1181</v>
      </c>
      <c r="X385" s="1405"/>
      <c r="BX385" s="5">
        <v>1</v>
      </c>
    </row>
    <row r="386" spans="12:76" ht="18.75">
      <c r="L386" s="141"/>
      <c r="M386" s="141"/>
      <c r="N386" s="141"/>
      <c r="O386" s="141"/>
      <c r="P386" s="141"/>
      <c r="Q386" s="5271"/>
      <c r="R386" s="1320"/>
      <c r="S386" s="1320"/>
      <c r="T386" s="988"/>
      <c r="U386" s="988"/>
      <c r="V386" s="1406"/>
      <c r="W386" s="8509" t="s">
        <v>1183</v>
      </c>
      <c r="X386" s="1419"/>
      <c r="BX386" s="5">
        <v>1</v>
      </c>
    </row>
    <row r="387" spans="12:76">
      <c r="L387" s="141"/>
      <c r="M387" s="141"/>
      <c r="N387" s="141"/>
      <c r="O387" s="141"/>
      <c r="P387" s="141"/>
      <c r="Q387" s="6131"/>
      <c r="R387" s="1460"/>
      <c r="S387" s="1460"/>
      <c r="T387" s="1460"/>
      <c r="U387" s="1460"/>
      <c r="V387" s="1460"/>
      <c r="W387" s="6327" t="s">
        <v>1112</v>
      </c>
      <c r="X387" s="6132"/>
      <c r="BX387" s="5">
        <v>1</v>
      </c>
    </row>
    <row r="388" spans="12:76" ht="15.75">
      <c r="L388" s="141"/>
      <c r="M388" s="141"/>
      <c r="N388" s="141"/>
      <c r="O388" s="141"/>
      <c r="P388" s="141"/>
      <c r="Q388" s="1002"/>
      <c r="R388" s="1002"/>
      <c r="S388" s="1002" t="s">
        <v>873</v>
      </c>
      <c r="T388" s="1003"/>
      <c r="U388" s="1329"/>
      <c r="V388" s="1329"/>
      <c r="W388" s="1329"/>
      <c r="X388" s="1330"/>
      <c r="BX388" s="5">
        <v>1</v>
      </c>
    </row>
    <row r="389" spans="12:76" ht="16.5" thickBot="1">
      <c r="L389" s="141"/>
      <c r="M389" s="141"/>
      <c r="N389" s="141"/>
      <c r="O389" s="141"/>
      <c r="P389" s="141"/>
      <c r="Q389" s="1332" t="s">
        <v>86</v>
      </c>
      <c r="R389" s="1006"/>
      <c r="S389" s="1007"/>
      <c r="T389" s="1008"/>
      <c r="U389" s="1007"/>
      <c r="V389" s="1007"/>
      <c r="W389" s="1007"/>
      <c r="X389" s="1333"/>
      <c r="BX389" s="5">
        <v>1</v>
      </c>
    </row>
    <row r="390" spans="12:76">
      <c r="L390" s="141"/>
      <c r="M390" s="141"/>
      <c r="N390" s="141"/>
      <c r="O390" s="141"/>
      <c r="P390" s="141"/>
      <c r="Q390" s="141"/>
      <c r="R390" s="141"/>
      <c r="S390" s="141"/>
      <c r="T390" s="141"/>
      <c r="U390" s="141"/>
      <c r="V390" s="141"/>
      <c r="W390" s="141"/>
      <c r="X390" s="141"/>
      <c r="BX390" s="5">
        <v>1</v>
      </c>
    </row>
    <row r="391" spans="12:76">
      <c r="L391" s="141"/>
      <c r="M391" s="141"/>
      <c r="N391" s="141"/>
      <c r="O391" s="141"/>
      <c r="P391" s="141"/>
      <c r="Q391" s="141"/>
      <c r="R391" s="141"/>
      <c r="S391" s="141"/>
      <c r="T391" s="141"/>
      <c r="U391" s="141"/>
      <c r="V391" s="141"/>
      <c r="W391" s="141"/>
      <c r="X391" s="141"/>
      <c r="BX391" s="5">
        <v>1</v>
      </c>
    </row>
    <row r="392" spans="12:76" ht="15.75">
      <c r="L392" s="141"/>
      <c r="M392" s="141"/>
      <c r="N392" s="141"/>
      <c r="O392" s="141"/>
      <c r="P392" s="141"/>
      <c r="Q392" s="5815" t="s">
        <v>252</v>
      </c>
      <c r="R392" s="6098"/>
      <c r="S392" s="6098"/>
      <c r="T392" s="6098"/>
      <c r="U392" s="6098"/>
      <c r="V392" s="6098"/>
      <c r="W392" s="6325" t="s">
        <v>1158</v>
      </c>
      <c r="X392" s="6133" t="s">
        <v>1158</v>
      </c>
      <c r="BX392" s="5">
        <v>1</v>
      </c>
    </row>
    <row r="393" spans="12:76">
      <c r="L393" s="141"/>
      <c r="M393" s="141"/>
      <c r="N393" s="141"/>
      <c r="O393" s="141"/>
      <c r="P393" s="141"/>
      <c r="Q393" s="1435"/>
      <c r="R393" s="1435"/>
      <c r="S393" s="1435"/>
      <c r="T393" s="1435"/>
      <c r="U393" s="1435"/>
      <c r="V393" s="1435"/>
      <c r="W393" s="6328" t="s">
        <v>1196</v>
      </c>
      <c r="X393" s="6134" t="s">
        <v>1196</v>
      </c>
      <c r="BX393" s="5">
        <v>1</v>
      </c>
    </row>
    <row r="394" spans="12:76" ht="15.75">
      <c r="L394" s="141"/>
      <c r="M394" s="141"/>
      <c r="N394" s="141"/>
      <c r="O394" s="141"/>
      <c r="P394" s="141"/>
      <c r="Q394" s="6135" t="s">
        <v>1199</v>
      </c>
      <c r="R394" s="6103" t="s">
        <v>1200</v>
      </c>
      <c r="S394" s="1362"/>
      <c r="T394" s="6104" t="s">
        <v>1201</v>
      </c>
      <c r="U394" s="6105" t="s">
        <v>1202</v>
      </c>
      <c r="V394" s="988"/>
      <c r="W394" s="8504"/>
      <c r="X394" s="1325"/>
      <c r="BX394" s="5">
        <v>1</v>
      </c>
    </row>
    <row r="395" spans="12:76" ht="15.75">
      <c r="L395" s="141"/>
      <c r="M395" s="141"/>
      <c r="N395" s="141"/>
      <c r="O395" s="141"/>
      <c r="P395" s="141"/>
      <c r="Q395" s="6136"/>
      <c r="R395" s="6107"/>
      <c r="S395" s="988"/>
      <c r="T395" s="6108"/>
      <c r="U395" s="6109"/>
      <c r="V395" s="1257" t="s">
        <v>1159</v>
      </c>
      <c r="W395" s="8504"/>
      <c r="X395" s="1325"/>
      <c r="BX395" s="5">
        <v>1</v>
      </c>
    </row>
    <row r="396" spans="12:76" ht="15.75">
      <c r="L396" s="141"/>
      <c r="M396" s="141"/>
      <c r="N396" s="141"/>
      <c r="O396" s="141"/>
      <c r="P396" s="141"/>
      <c r="Q396" s="6136">
        <v>3</v>
      </c>
      <c r="R396" s="6107"/>
      <c r="S396" s="988"/>
      <c r="T396" s="6108"/>
      <c r="U396" s="6109"/>
      <c r="V396" s="1257" t="s">
        <v>1163</v>
      </c>
      <c r="W396" s="8504"/>
      <c r="X396" s="1325"/>
      <c r="BX396" s="5">
        <v>1</v>
      </c>
    </row>
    <row r="397" spans="12:76" ht="15.75">
      <c r="L397" s="141"/>
      <c r="M397" s="141"/>
      <c r="N397" s="141"/>
      <c r="O397" s="141"/>
      <c r="P397" s="141"/>
      <c r="Q397" s="6136"/>
      <c r="R397" s="6107"/>
      <c r="S397" s="988"/>
      <c r="T397" s="6108"/>
      <c r="U397" s="6109"/>
      <c r="V397" s="1257" t="s">
        <v>1165</v>
      </c>
      <c r="W397" s="8504"/>
      <c r="X397" s="1325"/>
      <c r="BX397" s="5">
        <v>1</v>
      </c>
    </row>
    <row r="398" spans="12:76" ht="15.75">
      <c r="L398" s="141"/>
      <c r="M398" s="141"/>
      <c r="N398" s="141"/>
      <c r="O398" s="141"/>
      <c r="P398" s="141"/>
      <c r="Q398" s="6136">
        <v>2</v>
      </c>
      <c r="R398" s="6107"/>
      <c r="S398" s="988"/>
      <c r="T398" s="6108"/>
      <c r="U398" s="6109"/>
      <c r="V398" s="1257" t="s">
        <v>1167</v>
      </c>
      <c r="W398" s="8504"/>
      <c r="X398" s="1325"/>
      <c r="BX398" s="5">
        <v>1</v>
      </c>
    </row>
    <row r="399" spans="12:76" ht="15.75">
      <c r="L399" s="141"/>
      <c r="M399" s="141"/>
      <c r="N399" s="141"/>
      <c r="O399" s="141"/>
      <c r="P399" s="141"/>
      <c r="Q399" s="6137"/>
      <c r="R399" s="6138"/>
      <c r="S399" s="988"/>
      <c r="T399" s="6139"/>
      <c r="U399" s="6140"/>
      <c r="V399" s="1257" t="s">
        <v>1170</v>
      </c>
      <c r="W399" s="8504"/>
      <c r="X399" s="1325"/>
      <c r="BX399" s="5">
        <v>1</v>
      </c>
    </row>
    <row r="400" spans="12:76" ht="15.75">
      <c r="L400" s="141"/>
      <c r="M400" s="141"/>
      <c r="N400" s="141"/>
      <c r="O400" s="141"/>
      <c r="P400" s="141"/>
      <c r="Q400" s="6112" t="str">
        <f>SUM(Q395:Q399) &amp; " / " &amp; (COUNTA(Q395:Q399) * 3)</f>
        <v>5 / 6</v>
      </c>
      <c r="R400" s="6111" t="str">
        <f>SUM(R395:R399) &amp; " / " &amp; (COUNTA(R395:R399) * 3)</f>
        <v>0 / 0</v>
      </c>
      <c r="S400" s="988"/>
      <c r="T400" s="6112" t="str">
        <f>SUM(T395:T399) &amp; " / " &amp; (COUNTA(T395:T399) * 3)</f>
        <v>0 / 0</v>
      </c>
      <c r="U400" s="6111" t="str">
        <f>SUM(U395:U399) &amp; " / " &amp; (COUNTA(U395:U399) * 3)</f>
        <v>0 / 0</v>
      </c>
      <c r="V400" s="988" t="s">
        <v>1177</v>
      </c>
      <c r="W400" s="8504"/>
      <c r="X400" s="1325"/>
      <c r="BX400" s="5">
        <v>1</v>
      </c>
    </row>
    <row r="401" spans="12:76" ht="15.75">
      <c r="L401" s="141"/>
      <c r="M401" s="141"/>
      <c r="N401" s="141"/>
      <c r="O401" s="141"/>
      <c r="P401" s="141"/>
      <c r="Q401" s="6115" t="str">
        <f>SUM(Q395:Q399) &amp;"/ "&amp;Q402</f>
        <v>5/ 15</v>
      </c>
      <c r="R401" s="6114" t="str">
        <f>SUM(R395:R399) &amp;"/ "&amp;R402</f>
        <v>0/ 15</v>
      </c>
      <c r="S401" s="988"/>
      <c r="T401" s="6115" t="str">
        <f>SUM(T395:T399) &amp;"/ "&amp;T402</f>
        <v>0/ 15</v>
      </c>
      <c r="U401" s="6114" t="str">
        <f>SUM(U395:U399) &amp;"/ "&amp;U402</f>
        <v>0/ 15</v>
      </c>
      <c r="V401" s="1414" t="s">
        <v>1178</v>
      </c>
      <c r="W401" s="8504"/>
      <c r="X401" s="1325"/>
      <c r="BX401" s="5">
        <v>1</v>
      </c>
    </row>
    <row r="402" spans="12:76" ht="15.75">
      <c r="L402" s="141"/>
      <c r="M402" s="141"/>
      <c r="N402" s="141"/>
      <c r="O402" s="141"/>
      <c r="P402" s="141"/>
      <c r="Q402" s="6118">
        <v>15</v>
      </c>
      <c r="R402" s="6117">
        <v>15</v>
      </c>
      <c r="S402" s="988"/>
      <c r="T402" s="6118">
        <v>15</v>
      </c>
      <c r="U402" s="6117">
        <v>15</v>
      </c>
      <c r="V402" s="1417" t="s">
        <v>1180</v>
      </c>
      <c r="W402" s="8504"/>
      <c r="X402" s="1325"/>
      <c r="BX402" s="5">
        <v>1</v>
      </c>
    </row>
    <row r="403" spans="12:76" ht="15.75">
      <c r="L403" s="141"/>
      <c r="M403" s="141"/>
      <c r="N403" s="141"/>
      <c r="O403" s="141"/>
      <c r="P403" s="141"/>
      <c r="Q403" s="6141" t="s">
        <v>1203</v>
      </c>
      <c r="R403"/>
      <c r="S403"/>
      <c r="T403" s="1464"/>
      <c r="U403" s="1464"/>
      <c r="V403" s="1464"/>
      <c r="W403" s="8510"/>
      <c r="X403" s="1465"/>
      <c r="BX403" s="5">
        <v>1</v>
      </c>
    </row>
    <row r="404" spans="12:76" ht="15.75">
      <c r="L404" s="141"/>
      <c r="M404" s="141"/>
      <c r="N404" s="141"/>
      <c r="O404" s="141"/>
      <c r="P404" s="141"/>
      <c r="Q404" s="6142" t="s">
        <v>1204</v>
      </c>
      <c r="R404"/>
      <c r="S404"/>
      <c r="T404" s="1464"/>
      <c r="U404" s="1464"/>
      <c r="V404" s="1464"/>
      <c r="W404" s="8510"/>
      <c r="X404" s="1465"/>
      <c r="BX404" s="5">
        <v>1</v>
      </c>
    </row>
    <row r="405" spans="12:76" ht="15.75">
      <c r="L405" s="141"/>
      <c r="M405" s="141"/>
      <c r="N405" s="141"/>
      <c r="O405" s="141"/>
      <c r="P405" s="141"/>
      <c r="Q405" s="6142" t="s">
        <v>1205</v>
      </c>
      <c r="R405"/>
      <c r="S405"/>
      <c r="T405" s="1464"/>
      <c r="U405" s="1464"/>
      <c r="V405" s="1464"/>
      <c r="W405" s="8510"/>
      <c r="X405" s="1465"/>
      <c r="BX405" s="5">
        <v>1</v>
      </c>
    </row>
    <row r="406" spans="12:76">
      <c r="L406" s="141"/>
      <c r="M406" s="141"/>
      <c r="N406" s="141"/>
      <c r="O406" s="141"/>
      <c r="P406" s="141"/>
      <c r="Q406" s="6131"/>
      <c r="R406" s="1460"/>
      <c r="S406" s="1460"/>
      <c r="T406" s="1460"/>
      <c r="U406" s="1460"/>
      <c r="V406" s="1460"/>
      <c r="W406" s="6327" t="s">
        <v>1112</v>
      </c>
      <c r="X406" s="6132" t="s">
        <v>1112</v>
      </c>
      <c r="BX406" s="5">
        <v>1</v>
      </c>
    </row>
    <row r="407" spans="12:76" ht="15.75">
      <c r="L407" s="141"/>
      <c r="M407" s="141"/>
      <c r="N407" s="141"/>
      <c r="O407" s="141"/>
      <c r="P407" s="141"/>
      <c r="Q407" s="1002"/>
      <c r="R407" s="1002"/>
      <c r="S407" s="1002" t="s">
        <v>873</v>
      </c>
      <c r="T407" s="1003"/>
      <c r="U407" s="1329"/>
      <c r="V407" s="1329"/>
      <c r="W407" s="1329"/>
      <c r="X407" s="1330"/>
      <c r="BX407" s="5">
        <v>1</v>
      </c>
    </row>
    <row r="408" spans="12:76" ht="16.5" thickBot="1">
      <c r="L408" s="141"/>
      <c r="M408" s="141"/>
      <c r="N408" s="141"/>
      <c r="O408" s="141"/>
      <c r="P408" s="141"/>
      <c r="Q408" s="1332" t="s">
        <v>86</v>
      </c>
      <c r="R408" s="1006"/>
      <c r="S408" s="1007"/>
      <c r="T408" s="1008"/>
      <c r="U408" s="1007"/>
      <c r="V408" s="1007"/>
      <c r="W408" s="1007"/>
      <c r="X408" s="1333"/>
      <c r="BX408" s="5">
        <v>1</v>
      </c>
    </row>
    <row r="409" spans="12:76">
      <c r="L409" s="141"/>
      <c r="M409" s="141"/>
      <c r="N409" s="141"/>
      <c r="O409" s="141"/>
      <c r="P409" s="141"/>
      <c r="Q409" s="141"/>
      <c r="R409" s="141"/>
      <c r="S409" s="141"/>
      <c r="T409" s="141"/>
      <c r="U409" s="141"/>
      <c r="V409" s="141"/>
      <c r="W409" s="141"/>
      <c r="X409" s="141"/>
      <c r="BX409" s="5">
        <v>1</v>
      </c>
    </row>
    <row r="410" spans="12:76">
      <c r="L410" s="141"/>
      <c r="M410" s="141"/>
      <c r="N410" s="141"/>
      <c r="O410" s="141"/>
      <c r="P410" s="141"/>
      <c r="Q410" s="141"/>
      <c r="R410" s="141"/>
      <c r="S410" s="141"/>
      <c r="T410" s="141"/>
      <c r="U410" s="141"/>
      <c r="V410" s="141"/>
      <c r="W410" s="141"/>
      <c r="X410" s="141"/>
      <c r="BX410" s="5">
        <v>1</v>
      </c>
    </row>
    <row r="411" spans="12:76" ht="15.75">
      <c r="L411" s="141"/>
      <c r="M411" s="141"/>
      <c r="N411" s="141"/>
      <c r="O411" s="141"/>
      <c r="P411" s="141"/>
      <c r="Q411" s="1354" t="s">
        <v>252</v>
      </c>
      <c r="R411" s="1355"/>
      <c r="S411" s="1355"/>
      <c r="T411" s="1355"/>
      <c r="U411" s="1355"/>
      <c r="V411" s="1356"/>
      <c r="W411" s="6326" t="s">
        <v>1117</v>
      </c>
      <c r="X411" s="1357"/>
      <c r="BX411" s="5">
        <v>1</v>
      </c>
    </row>
    <row r="412" spans="12:76">
      <c r="L412" s="141"/>
      <c r="M412" s="141"/>
      <c r="N412" s="141"/>
      <c r="O412" s="141"/>
      <c r="P412" s="141"/>
      <c r="Q412" s="1517" t="s">
        <v>1185</v>
      </c>
      <c r="R412" s="1425" t="s">
        <v>1186</v>
      </c>
      <c r="S412" s="1426"/>
      <c r="T412" s="1426" t="s">
        <v>1187</v>
      </c>
      <c r="U412" s="1426" t="s">
        <v>1188</v>
      </c>
      <c r="V412" s="1426" t="s">
        <v>1189</v>
      </c>
      <c r="W412" s="1426" t="s">
        <v>1190</v>
      </c>
      <c r="X412" s="6143"/>
      <c r="BX412" s="5">
        <v>1</v>
      </c>
    </row>
    <row r="413" spans="12:76" ht="15.75">
      <c r="L413" s="141"/>
      <c r="M413" s="141"/>
      <c r="N413" s="141"/>
      <c r="O413" s="141"/>
      <c r="P413" s="141"/>
      <c r="Q413" s="6144"/>
      <c r="R413" s="1429">
        <v>2.4305555555555556E-2</v>
      </c>
      <c r="S413" s="141"/>
      <c r="T413" s="1389">
        <v>100</v>
      </c>
      <c r="U413" s="1430">
        <v>0.6</v>
      </c>
      <c r="V413" s="1431" t="s">
        <v>1191</v>
      </c>
      <c r="W413" s="8511" t="s">
        <v>1192</v>
      </c>
      <c r="X413" s="1432"/>
      <c r="BX413" s="5">
        <v>1</v>
      </c>
    </row>
    <row r="414" spans="12:76" ht="15.75">
      <c r="L414" s="141"/>
      <c r="M414" s="141"/>
      <c r="N414" s="141"/>
      <c r="O414" s="141"/>
      <c r="P414" s="141"/>
      <c r="Q414" s="6144" t="s">
        <v>1193</v>
      </c>
      <c r="R414" s="1429">
        <v>1.0416666666666666E-2</v>
      </c>
      <c r="S414" s="141"/>
      <c r="T414" s="1389">
        <v>100</v>
      </c>
      <c r="U414" s="1430">
        <v>0.6</v>
      </c>
      <c r="V414" s="1431" t="s">
        <v>1194</v>
      </c>
      <c r="W414" s="8511" t="s">
        <v>1195</v>
      </c>
      <c r="X414" s="1432"/>
      <c r="BX414" s="5">
        <v>1</v>
      </c>
    </row>
    <row r="415" spans="12:76" ht="15.75">
      <c r="L415" s="141"/>
      <c r="M415" s="141"/>
      <c r="N415" s="141"/>
      <c r="O415" s="141"/>
      <c r="P415" s="141"/>
      <c r="Q415" s="6144" t="s">
        <v>1197</v>
      </c>
      <c r="R415" s="1429">
        <v>5.2083333333333301E-2</v>
      </c>
      <c r="S415" s="141"/>
      <c r="T415" s="1389">
        <v>100</v>
      </c>
      <c r="U415" s="1430">
        <v>0.6</v>
      </c>
      <c r="V415" s="1431" t="s">
        <v>1191</v>
      </c>
      <c r="W415" s="8511" t="s">
        <v>1198</v>
      </c>
      <c r="X415" s="1432"/>
      <c r="BX415" s="5">
        <v>1</v>
      </c>
    </row>
    <row r="416" spans="12:76" ht="15.75">
      <c r="L416" s="141"/>
      <c r="M416" s="141"/>
      <c r="N416" s="141"/>
      <c r="O416" s="141"/>
      <c r="P416" s="141"/>
      <c r="Q416" s="6144" t="s">
        <v>157</v>
      </c>
      <c r="R416" s="1429">
        <v>9.375E-2</v>
      </c>
      <c r="S416" s="141"/>
      <c r="T416" s="1389">
        <v>100</v>
      </c>
      <c r="U416" s="1430">
        <v>0.6</v>
      </c>
      <c r="V416" s="1431" t="s">
        <v>1194</v>
      </c>
      <c r="W416" s="8511" t="s">
        <v>1218</v>
      </c>
      <c r="X416" s="1432"/>
      <c r="BX416" s="5">
        <v>1</v>
      </c>
    </row>
    <row r="417" spans="12:76" ht="15.75">
      <c r="L417" s="141"/>
      <c r="M417" s="141"/>
      <c r="N417" s="141"/>
      <c r="O417" s="141"/>
      <c r="P417" s="141"/>
      <c r="Q417" s="6145"/>
      <c r="R417" s="1442">
        <f>SUM(R413:R416)</f>
        <v>0.18055555555555552</v>
      </c>
      <c r="S417" s="1385"/>
      <c r="T417" s="1385"/>
      <c r="U417" s="1385"/>
      <c r="V417" s="1385"/>
      <c r="W417" s="8512"/>
      <c r="X417" s="1443"/>
      <c r="BX417" s="5">
        <v>1</v>
      </c>
    </row>
    <row r="418" spans="12:76" ht="15.75">
      <c r="L418" s="141"/>
      <c r="M418" s="141"/>
      <c r="N418" s="141"/>
      <c r="O418" s="141"/>
      <c r="P418" s="141"/>
      <c r="Q418" s="1369" t="s">
        <v>864</v>
      </c>
      <c r="R418" s="1321"/>
      <c r="S418" s="1321"/>
      <c r="T418" s="1321"/>
      <c r="U418" s="1321"/>
      <c r="V418" s="1321"/>
      <c r="W418" s="6329"/>
      <c r="X418" s="1370"/>
      <c r="BX418" s="5">
        <v>1</v>
      </c>
    </row>
    <row r="419" spans="12:76" ht="15.75">
      <c r="L419" s="141"/>
      <c r="M419" s="141"/>
      <c r="N419" s="141"/>
      <c r="O419" s="141"/>
      <c r="P419" s="141"/>
      <c r="Q419" s="5292"/>
      <c r="R419" s="988"/>
      <c r="S419" s="988"/>
      <c r="T419" s="988"/>
      <c r="U419" s="988"/>
      <c r="V419" s="988"/>
      <c r="W419" s="8504"/>
      <c r="X419" s="1325"/>
      <c r="BX419" s="5">
        <v>1</v>
      </c>
    </row>
    <row r="420" spans="12:76" ht="15.75">
      <c r="L420" s="141"/>
      <c r="M420" s="141"/>
      <c r="N420" s="141"/>
      <c r="O420" s="141"/>
      <c r="P420" s="141"/>
      <c r="Q420" s="5292"/>
      <c r="R420" s="988"/>
      <c r="S420" s="988"/>
      <c r="T420" s="988"/>
      <c r="U420" s="988"/>
      <c r="V420" s="988"/>
      <c r="W420" s="8504"/>
      <c r="X420" s="1325"/>
      <c r="BX420" s="5">
        <v>1</v>
      </c>
    </row>
    <row r="421" spans="12:76" ht="15.75">
      <c r="L421" s="141"/>
      <c r="M421" s="141"/>
      <c r="N421" s="141"/>
      <c r="O421" s="141"/>
      <c r="P421" s="141"/>
      <c r="Q421" s="5292"/>
      <c r="R421" s="988"/>
      <c r="S421" s="988"/>
      <c r="T421" s="988"/>
      <c r="U421" s="988"/>
      <c r="V421" s="988"/>
      <c r="W421" s="8504"/>
      <c r="X421" s="1325"/>
      <c r="BX421" s="5">
        <v>1</v>
      </c>
    </row>
    <row r="422" spans="12:76" ht="15.75">
      <c r="L422" s="141"/>
      <c r="M422" s="141"/>
      <c r="N422" s="141"/>
      <c r="O422" s="141"/>
      <c r="P422" s="141"/>
      <c r="Q422" s="5292"/>
      <c r="R422" s="988"/>
      <c r="S422" s="988"/>
      <c r="T422" s="988"/>
      <c r="U422" s="988"/>
      <c r="V422" s="988"/>
      <c r="W422" s="8504"/>
      <c r="X422" s="1325"/>
      <c r="BX422" s="5">
        <v>1</v>
      </c>
    </row>
    <row r="423" spans="12:76" ht="15.75">
      <c r="L423" s="141"/>
      <c r="M423" s="141"/>
      <c r="N423" s="141"/>
      <c r="O423" s="141"/>
      <c r="P423" s="141"/>
      <c r="Q423" s="5292"/>
      <c r="R423" s="988"/>
      <c r="S423" s="988"/>
      <c r="T423" s="988"/>
      <c r="U423" s="988"/>
      <c r="V423" s="988"/>
      <c r="W423" s="8504"/>
      <c r="X423" s="1325"/>
      <c r="BX423" s="5">
        <v>1</v>
      </c>
    </row>
    <row r="424" spans="12:76" ht="15.75">
      <c r="L424" s="141"/>
      <c r="M424" s="141"/>
      <c r="N424" s="141"/>
      <c r="O424" s="141"/>
      <c r="P424" s="141"/>
      <c r="Q424" s="5292"/>
      <c r="R424" s="988"/>
      <c r="S424" s="988"/>
      <c r="T424" s="988"/>
      <c r="U424" s="988"/>
      <c r="V424" s="988"/>
      <c r="W424" s="8504"/>
      <c r="X424" s="1325"/>
      <c r="BX424" s="5">
        <v>1</v>
      </c>
    </row>
    <row r="425" spans="12:76">
      <c r="L425" s="141"/>
      <c r="M425" s="141"/>
      <c r="N425" s="141"/>
      <c r="O425" s="141"/>
      <c r="P425" s="141"/>
      <c r="Q425" s="6131"/>
      <c r="R425" s="1460"/>
      <c r="S425" s="1460"/>
      <c r="T425" s="1460"/>
      <c r="U425" s="1460"/>
      <c r="V425" s="1460"/>
      <c r="W425" s="6327" t="s">
        <v>1112</v>
      </c>
      <c r="X425" s="6132"/>
      <c r="BX425" s="5">
        <v>1</v>
      </c>
    </row>
    <row r="426" spans="12:76" ht="15.75">
      <c r="L426" s="141"/>
      <c r="M426" s="141"/>
      <c r="N426" s="141"/>
      <c r="O426" s="141"/>
      <c r="P426" s="141"/>
      <c r="Q426" s="6146"/>
      <c r="R426" s="1002"/>
      <c r="S426" s="1002" t="s">
        <v>873</v>
      </c>
      <c r="T426" s="1003"/>
      <c r="U426" s="1329"/>
      <c r="V426" s="1329"/>
      <c r="W426" s="1329"/>
      <c r="X426" s="1330"/>
      <c r="BX426" s="5">
        <v>1</v>
      </c>
    </row>
    <row r="427" spans="12:76" ht="16.5" thickBot="1">
      <c r="L427" s="141"/>
      <c r="M427" s="141"/>
      <c r="N427" s="141"/>
      <c r="O427" s="141"/>
      <c r="P427" s="141"/>
      <c r="Q427" s="1457" t="s">
        <v>86</v>
      </c>
      <c r="R427" s="1006"/>
      <c r="S427" s="1007"/>
      <c r="T427" s="1008"/>
      <c r="U427" s="1007"/>
      <c r="V427" s="1007"/>
      <c r="W427" s="1007"/>
      <c r="X427" s="1333"/>
      <c r="BX427" s="5">
        <v>1</v>
      </c>
    </row>
    <row r="428" spans="12:76">
      <c r="L428" s="141"/>
      <c r="M428" s="141"/>
      <c r="N428" s="141"/>
      <c r="O428" s="141"/>
      <c r="P428" s="141"/>
      <c r="Q428" s="141"/>
      <c r="R428" s="141"/>
      <c r="S428" s="141"/>
      <c r="T428" s="141"/>
      <c r="U428" s="141"/>
      <c r="V428" s="141"/>
      <c r="W428" s="141"/>
      <c r="X428" s="141"/>
      <c r="BX428" s="5">
        <v>1</v>
      </c>
    </row>
    <row r="429" spans="12:76">
      <c r="L429" s="141"/>
      <c r="M429" s="141"/>
      <c r="N429" s="141"/>
      <c r="O429" s="141"/>
      <c r="P429" s="141"/>
      <c r="Q429" s="141"/>
      <c r="R429" s="141"/>
      <c r="S429" s="141"/>
      <c r="T429" s="141"/>
      <c r="U429" s="141"/>
      <c r="V429" s="141"/>
      <c r="W429" s="141"/>
      <c r="X429" s="141"/>
      <c r="BX429" s="5">
        <v>1</v>
      </c>
    </row>
    <row r="430" spans="12:76" ht="15.75">
      <c r="L430" s="141"/>
      <c r="M430" s="141"/>
      <c r="N430" s="141"/>
      <c r="O430" s="141"/>
      <c r="P430" s="141"/>
      <c r="Q430" s="1354" t="s">
        <v>252</v>
      </c>
      <c r="R430" s="1355"/>
      <c r="S430" s="1355"/>
      <c r="T430" s="1355"/>
      <c r="U430" s="1355"/>
      <c r="V430" s="1356"/>
      <c r="W430" s="6326" t="s">
        <v>1117</v>
      </c>
      <c r="X430" s="1357"/>
      <c r="BX430" s="5">
        <v>1</v>
      </c>
    </row>
    <row r="431" spans="12:76" ht="15.75">
      <c r="L431" s="141"/>
      <c r="M431" s="141"/>
      <c r="N431" s="141"/>
      <c r="O431" s="141"/>
      <c r="P431" s="141"/>
      <c r="Q431" s="6147">
        <v>3.472222222222222E-3</v>
      </c>
      <c r="R431" s="1385" t="s">
        <v>1150</v>
      </c>
      <c r="S431" s="77"/>
      <c r="T431" s="77"/>
      <c r="U431" s="77"/>
      <c r="V431" s="1386">
        <v>100</v>
      </c>
      <c r="W431" s="8513" t="s">
        <v>1151</v>
      </c>
      <c r="X431" s="1387"/>
      <c r="BX431" s="5">
        <v>1</v>
      </c>
    </row>
    <row r="432" spans="12:76" ht="15.75">
      <c r="L432" s="141"/>
      <c r="M432" s="141"/>
      <c r="N432" s="141"/>
      <c r="O432" s="141"/>
      <c r="P432" s="141"/>
      <c r="Q432" s="6148">
        <v>1.0416666666666666E-2</v>
      </c>
      <c r="R432" s="1385" t="s">
        <v>1152</v>
      </c>
      <c r="S432" s="77"/>
      <c r="T432" s="77"/>
      <c r="U432" s="77"/>
      <c r="V432" s="1389">
        <v>90</v>
      </c>
      <c r="W432" s="8514" t="s">
        <v>1153</v>
      </c>
      <c r="X432" s="1390"/>
      <c r="BX432" s="5">
        <v>1</v>
      </c>
    </row>
    <row r="433" spans="12:76" ht="18.75">
      <c r="L433" s="141"/>
      <c r="M433" s="141"/>
      <c r="N433" s="141"/>
      <c r="O433" s="141"/>
      <c r="P433" s="141"/>
      <c r="Q433" s="6149">
        <v>2.0833333333333332E-2</v>
      </c>
      <c r="R433" s="1385" t="s">
        <v>1154</v>
      </c>
      <c r="S433" s="988"/>
      <c r="T433" s="988"/>
      <c r="U433" s="988"/>
      <c r="V433" s="1392" t="s">
        <v>1155</v>
      </c>
      <c r="W433" s="8515" t="s">
        <v>1156</v>
      </c>
      <c r="X433" s="1393"/>
      <c r="BX433" s="5">
        <v>1</v>
      </c>
    </row>
    <row r="434" spans="12:76" ht="18.75">
      <c r="L434" s="141"/>
      <c r="M434" s="141"/>
      <c r="N434" s="141"/>
      <c r="O434" s="141"/>
      <c r="P434" s="141"/>
      <c r="Q434" s="6150">
        <f>Q431+Q432+Q433</f>
        <v>3.4722222222222224E-2</v>
      </c>
      <c r="R434" s="1395" t="s">
        <v>37</v>
      </c>
      <c r="S434" s="988"/>
      <c r="T434" s="988"/>
      <c r="U434" s="988"/>
      <c r="V434" s="1396" t="s">
        <v>1155</v>
      </c>
      <c r="W434" s="8516" t="s">
        <v>1157</v>
      </c>
      <c r="X434" s="1397"/>
      <c r="BX434" s="5">
        <v>1</v>
      </c>
    </row>
    <row r="435" spans="12:76" ht="15.75">
      <c r="L435" s="141"/>
      <c r="M435" s="141"/>
      <c r="N435" s="141"/>
      <c r="O435" s="141"/>
      <c r="P435" s="141"/>
      <c r="Q435" s="1369" t="s">
        <v>864</v>
      </c>
      <c r="R435" s="1321"/>
      <c r="S435" s="1321"/>
      <c r="T435" s="1321"/>
      <c r="U435" s="1321"/>
      <c r="V435" s="1321"/>
      <c r="W435" s="6329"/>
      <c r="X435" s="1370"/>
      <c r="BK435"/>
      <c r="BX435" s="5">
        <v>1</v>
      </c>
    </row>
    <row r="436" spans="12:76" ht="15.75">
      <c r="L436" s="141"/>
      <c r="M436" s="141"/>
      <c r="N436" s="141"/>
      <c r="O436" s="141"/>
      <c r="P436" s="141"/>
      <c r="Q436" s="5292"/>
      <c r="R436" s="988"/>
      <c r="S436" s="988"/>
      <c r="T436" s="988"/>
      <c r="U436" s="988"/>
      <c r="V436" s="988"/>
      <c r="W436" s="8504"/>
      <c r="X436" s="1325"/>
      <c r="BX436" s="5">
        <v>1</v>
      </c>
    </row>
    <row r="437" spans="12:76" ht="15.75">
      <c r="L437" s="141"/>
      <c r="M437" s="141"/>
      <c r="N437" s="141"/>
      <c r="O437" s="141"/>
      <c r="P437" s="141"/>
      <c r="Q437" s="5292"/>
      <c r="R437" s="988"/>
      <c r="S437" s="988"/>
      <c r="T437" s="988"/>
      <c r="U437" s="988"/>
      <c r="V437" s="988"/>
      <c r="W437" s="8504"/>
      <c r="X437" s="1325"/>
      <c r="BX437" s="5">
        <v>1</v>
      </c>
    </row>
    <row r="438" spans="12:76" ht="15.75">
      <c r="L438" s="141"/>
      <c r="M438" s="141"/>
      <c r="N438" s="141"/>
      <c r="O438" s="141"/>
      <c r="P438" s="141"/>
      <c r="Q438" s="5292"/>
      <c r="R438" s="988"/>
      <c r="S438" s="988"/>
      <c r="T438" s="988"/>
      <c r="U438" s="988"/>
      <c r="V438" s="988"/>
      <c r="W438" s="8504"/>
      <c r="X438" s="1325"/>
      <c r="BX438" s="5">
        <v>1</v>
      </c>
    </row>
    <row r="439" spans="12:76" ht="15.75">
      <c r="L439" s="141"/>
      <c r="M439" s="141"/>
      <c r="N439" s="141"/>
      <c r="O439" s="141"/>
      <c r="P439" s="141"/>
      <c r="Q439" s="5292"/>
      <c r="R439" s="988"/>
      <c r="S439" s="988"/>
      <c r="T439" s="988"/>
      <c r="U439" s="988"/>
      <c r="V439" s="988"/>
      <c r="W439" s="8504"/>
      <c r="X439" s="1325"/>
      <c r="BX439" s="5">
        <v>1</v>
      </c>
    </row>
    <row r="440" spans="12:76" ht="15.75">
      <c r="L440" s="141"/>
      <c r="M440" s="141"/>
      <c r="N440" s="141"/>
      <c r="O440" s="141"/>
      <c r="P440" s="141"/>
      <c r="Q440" s="5292"/>
      <c r="R440" s="988"/>
      <c r="S440" s="988"/>
      <c r="T440" s="988"/>
      <c r="U440" s="988"/>
      <c r="V440" s="988"/>
      <c r="W440" s="8504"/>
      <c r="X440" s="1325"/>
      <c r="BX440" s="5">
        <v>1</v>
      </c>
    </row>
    <row r="441" spans="12:76" ht="15.75">
      <c r="L441" s="141"/>
      <c r="M441" s="141"/>
      <c r="N441" s="141"/>
      <c r="O441" s="141"/>
      <c r="P441" s="141"/>
      <c r="Q441" s="5292"/>
      <c r="R441" s="988"/>
      <c r="S441" s="988"/>
      <c r="T441" s="988"/>
      <c r="U441" s="988"/>
      <c r="V441" s="988"/>
      <c r="W441" s="8504"/>
      <c r="X441" s="1325"/>
      <c r="BX441" s="5">
        <v>1</v>
      </c>
    </row>
    <row r="442" spans="12:76" ht="15.75">
      <c r="L442" s="141"/>
      <c r="M442" s="141"/>
      <c r="N442" s="141"/>
      <c r="O442" s="141"/>
      <c r="P442" s="141"/>
      <c r="Q442" s="5292"/>
      <c r="R442" s="1361"/>
      <c r="S442" s="1361"/>
      <c r="T442" s="1361"/>
      <c r="U442" s="1361"/>
      <c r="V442" s="1361"/>
      <c r="W442" s="8503" t="s">
        <v>1112</v>
      </c>
      <c r="X442" s="5291"/>
      <c r="BX442" s="5">
        <v>1</v>
      </c>
    </row>
    <row r="443" spans="12:76" ht="15.75">
      <c r="L443" s="141"/>
      <c r="M443" s="141"/>
      <c r="N443" s="141"/>
      <c r="O443" s="141"/>
      <c r="P443" s="141"/>
      <c r="Q443" s="5292" t="s">
        <v>8022</v>
      </c>
      <c r="R443" s="988"/>
      <c r="S443" s="988"/>
      <c r="T443" s="988"/>
      <c r="U443" s="988"/>
      <c r="V443" s="988"/>
      <c r="W443" s="8504"/>
      <c r="X443" s="1325"/>
      <c r="BX443" s="5">
        <v>1</v>
      </c>
    </row>
    <row r="444" spans="12:76" ht="15.75">
      <c r="L444" s="141"/>
      <c r="M444" s="141"/>
      <c r="N444" s="141"/>
      <c r="O444" s="141"/>
      <c r="P444" s="141"/>
      <c r="Q444" s="5294" t="s">
        <v>8024</v>
      </c>
      <c r="R444" s="1449"/>
      <c r="S444" s="1449"/>
      <c r="T444" s="1449"/>
      <c r="U444" s="1449"/>
      <c r="V444" s="1449"/>
      <c r="W444" s="5410"/>
      <c r="X444" s="5295"/>
      <c r="BX444" s="5">
        <v>1</v>
      </c>
    </row>
    <row r="445" spans="12:76" ht="15.75">
      <c r="L445" s="141"/>
      <c r="M445" s="141"/>
      <c r="N445" s="141"/>
      <c r="O445" s="141"/>
      <c r="P445" s="141"/>
      <c r="Q445" s="1002"/>
      <c r="R445" s="1002"/>
      <c r="S445" s="1002" t="s">
        <v>873</v>
      </c>
      <c r="T445" s="1003"/>
      <c r="U445" s="1329"/>
      <c r="V445" s="1329"/>
      <c r="W445" s="1329"/>
      <c r="X445" s="1330"/>
      <c r="BX445" s="5">
        <v>1</v>
      </c>
    </row>
    <row r="446" spans="12:76" ht="16.5" thickBot="1">
      <c r="L446" s="141"/>
      <c r="M446" s="141"/>
      <c r="N446" s="141"/>
      <c r="O446" s="141"/>
      <c r="P446" s="141"/>
      <c r="Q446" s="1332" t="s">
        <v>86</v>
      </c>
      <c r="R446" s="1006"/>
      <c r="S446" s="1007"/>
      <c r="T446" s="1008"/>
      <c r="U446" s="1007"/>
      <c r="V446" s="1007"/>
      <c r="W446" s="1007"/>
      <c r="X446" s="1333"/>
      <c r="BX446" s="5">
        <v>1</v>
      </c>
    </row>
    <row r="447" spans="12:76">
      <c r="L447" s="141"/>
      <c r="M447" s="141"/>
      <c r="N447" s="141"/>
      <c r="O447" s="141"/>
      <c r="P447" s="141"/>
      <c r="Q447" s="141"/>
      <c r="R447" s="141"/>
      <c r="S447" s="141"/>
      <c r="T447" s="141"/>
      <c r="U447" s="141"/>
      <c r="V447" s="141"/>
      <c r="W447" s="141"/>
      <c r="X447" s="141"/>
      <c r="BX447" s="5">
        <v>1</v>
      </c>
    </row>
    <row r="448" spans="12:76">
      <c r="L448" s="141"/>
      <c r="M448" s="141"/>
      <c r="N448" s="141"/>
      <c r="O448" s="141"/>
      <c r="P448" s="141"/>
      <c r="Q448" s="141"/>
      <c r="R448" s="141"/>
      <c r="S448" s="141"/>
      <c r="T448" s="141"/>
      <c r="U448" s="141"/>
      <c r="V448" s="141"/>
      <c r="W448" s="141"/>
      <c r="X448" s="141"/>
      <c r="BX448" s="5">
        <v>1</v>
      </c>
    </row>
    <row r="449" spans="12:76" ht="15.75">
      <c r="L449" s="141"/>
      <c r="M449" s="141"/>
      <c r="N449" s="141"/>
      <c r="O449" s="141"/>
      <c r="P449" s="141"/>
      <c r="Q449" s="1354" t="s">
        <v>252</v>
      </c>
      <c r="R449" s="6151"/>
      <c r="S449" s="6151"/>
      <c r="T449" s="6151"/>
      <c r="U449" s="6151"/>
      <c r="V449" s="6152"/>
      <c r="W449" s="6325"/>
      <c r="X449" s="6133" t="s">
        <v>1280</v>
      </c>
      <c r="BX449" s="5">
        <v>1</v>
      </c>
    </row>
    <row r="450" spans="12:76">
      <c r="L450" s="141"/>
      <c r="M450" s="141"/>
      <c r="N450" s="141"/>
      <c r="O450" s="141"/>
      <c r="P450" s="141"/>
      <c r="Q450" s="1554" t="s">
        <v>198</v>
      </c>
      <c r="R450" s="7070" t="s">
        <v>196</v>
      </c>
      <c r="S450" s="7071" t="s">
        <v>929</v>
      </c>
      <c r="T450" s="7073" t="s">
        <v>195</v>
      </c>
      <c r="U450" s="7075" t="s">
        <v>183</v>
      </c>
      <c r="V450" s="7077" t="s">
        <v>1282</v>
      </c>
      <c r="W450" s="7093" t="s">
        <v>185</v>
      </c>
      <c r="X450" s="7095"/>
      <c r="BX450" s="5">
        <v>1</v>
      </c>
    </row>
    <row r="451" spans="12:76">
      <c r="L451" s="141"/>
      <c r="M451" s="141"/>
      <c r="N451" s="141"/>
      <c r="O451" s="141"/>
      <c r="P451" s="141"/>
      <c r="Q451" s="5249" t="s">
        <v>191</v>
      </c>
      <c r="R451" s="6905"/>
      <c r="S451" s="7072"/>
      <c r="T451" s="7074"/>
      <c r="U451" s="7076"/>
      <c r="V451" s="7078"/>
      <c r="W451" s="7096"/>
      <c r="X451" s="7098"/>
      <c r="BX451" s="5">
        <v>1</v>
      </c>
    </row>
    <row r="452" spans="12:76" ht="15.75">
      <c r="L452" s="141"/>
      <c r="M452" s="141"/>
      <c r="N452" s="141"/>
      <c r="O452" s="141"/>
      <c r="P452" s="141"/>
      <c r="Q452" s="1561"/>
      <c r="R452" s="210">
        <v>350</v>
      </c>
      <c r="S452" s="6153">
        <f>IFERROR(INDEX(Q458:W458,MATCH(T452,Q457:W457,0)) * R452 * IF(ISBLANK(Q452), 1, Q452), 0)</f>
        <v>0.35000000000000003</v>
      </c>
      <c r="T452" s="5124" t="s">
        <v>130</v>
      </c>
      <c r="U452" s="1562">
        <v>16</v>
      </c>
      <c r="V452" s="1563">
        <f>((S452-(S452*U452%)))</f>
        <v>0.29400000000000004</v>
      </c>
      <c r="W452" s="6339" t="s">
        <v>177</v>
      </c>
      <c r="X452" s="1564"/>
      <c r="BX452" s="5">
        <v>1</v>
      </c>
    </row>
    <row r="453" spans="12:76" ht="15.75">
      <c r="L453" s="141"/>
      <c r="M453" s="141"/>
      <c r="N453" s="141"/>
      <c r="O453" s="141"/>
      <c r="P453" s="141"/>
      <c r="Q453" s="1568"/>
      <c r="R453" s="1569">
        <v>1.2</v>
      </c>
      <c r="S453" s="6153">
        <f>IFERROR(INDEX(Q458:W458,MATCH(T453,Q457:W457,0)) * R453 * IF(ISBLANK(Q453), 1, Q453), 0)</f>
        <v>1.2</v>
      </c>
      <c r="T453" s="5133" t="s">
        <v>219</v>
      </c>
      <c r="U453" s="1570">
        <v>22</v>
      </c>
      <c r="V453" s="1563">
        <f>((S453-(S453*U453%)))</f>
        <v>0.93599999999999994</v>
      </c>
      <c r="W453" s="6340" t="s">
        <v>174</v>
      </c>
      <c r="X453" s="1571"/>
      <c r="BX453" s="5">
        <v>1</v>
      </c>
    </row>
    <row r="454" spans="12:76" ht="15.75">
      <c r="L454" s="141"/>
      <c r="M454" s="141"/>
      <c r="N454" s="141"/>
      <c r="O454" s="141"/>
      <c r="P454" s="141"/>
      <c r="Q454" s="1568">
        <v>2</v>
      </c>
      <c r="R454" s="210">
        <v>50</v>
      </c>
      <c r="S454" s="6153">
        <f>IFERROR(INDEX(Q458:W458,MATCH(T454,Q457:W457,0)) * R454 * IF(ISBLANK(Q454), 1, Q454), 0)</f>
        <v>0.1</v>
      </c>
      <c r="T454" s="5124" t="s">
        <v>130</v>
      </c>
      <c r="U454" s="1570"/>
      <c r="V454" s="1563">
        <f>((S454-(S454*U454%)))</f>
        <v>0.1</v>
      </c>
      <c r="W454" s="6341" t="s">
        <v>1286</v>
      </c>
      <c r="X454" s="1575"/>
      <c r="BX454" s="5">
        <v>1</v>
      </c>
    </row>
    <row r="455" spans="12:76" ht="15.75">
      <c r="L455" s="141"/>
      <c r="M455" s="141"/>
      <c r="N455" s="141"/>
      <c r="O455" s="141"/>
      <c r="P455" s="141"/>
      <c r="Q455" s="1568"/>
      <c r="R455" s="210">
        <v>1</v>
      </c>
      <c r="S455" s="6153">
        <f>IFERROR(INDEX(Q458:W458,MATCH(T455,Q457:W457,0)) * R455 * IF(ISBLANK(Q455), 1, Q455), 0)</f>
        <v>0.5</v>
      </c>
      <c r="T455" s="5131" t="s">
        <v>159</v>
      </c>
      <c r="U455" s="1570"/>
      <c r="V455" s="1563">
        <f>((S455-(S455*U455%)))</f>
        <v>0.5</v>
      </c>
      <c r="W455" s="6340" t="s">
        <v>1289</v>
      </c>
      <c r="X455" s="1571"/>
      <c r="BX455" s="5">
        <v>1</v>
      </c>
    </row>
    <row r="456" spans="12:76" ht="15.75">
      <c r="L456" s="141"/>
      <c r="M456" s="141"/>
      <c r="N456" s="141"/>
      <c r="O456" s="141"/>
      <c r="P456" s="141"/>
      <c r="Q456" s="1581" t="s">
        <v>1294</v>
      </c>
      <c r="R456" s="988"/>
      <c r="S456" s="988"/>
      <c r="T456" s="988"/>
      <c r="U456" s="988"/>
      <c r="V456" s="988"/>
      <c r="W456" s="8517" t="s">
        <v>1295</v>
      </c>
      <c r="X456" s="1582"/>
      <c r="BX456" s="5">
        <v>1</v>
      </c>
    </row>
    <row r="457" spans="12:76" ht="15.75">
      <c r="L457" s="141"/>
      <c r="M457" s="141"/>
      <c r="N457" s="141"/>
      <c r="O457" s="141"/>
      <c r="P457" s="141"/>
      <c r="Q457" s="5133" t="s">
        <v>219</v>
      </c>
      <c r="R457" s="5124" t="s">
        <v>130</v>
      </c>
      <c r="S457" s="1583"/>
      <c r="T457" s="5131" t="s">
        <v>159</v>
      </c>
      <c r="U457" s="5131" t="s">
        <v>164</v>
      </c>
      <c r="V457" s="5124" t="s">
        <v>88</v>
      </c>
      <c r="W457" s="8549" t="s">
        <v>170</v>
      </c>
      <c r="X457" s="8551"/>
      <c r="BX457" s="5">
        <v>1</v>
      </c>
    </row>
    <row r="458" spans="12:76" ht="15.75">
      <c r="L458" s="141"/>
      <c r="M458" s="141"/>
      <c r="N458" s="141"/>
      <c r="O458" s="141"/>
      <c r="P458" s="141"/>
      <c r="Q458" s="6154">
        <v>1</v>
      </c>
      <c r="R458" s="6154">
        <v>1E-3</v>
      </c>
      <c r="S458" s="1583"/>
      <c r="T458" s="6155">
        <v>0.5</v>
      </c>
      <c r="U458" s="6154">
        <v>0.25</v>
      </c>
      <c r="V458" s="1587">
        <v>1</v>
      </c>
      <c r="W458" s="8550">
        <v>0.01</v>
      </c>
      <c r="X458" s="8552"/>
      <c r="BX458" s="5">
        <v>1</v>
      </c>
    </row>
    <row r="459" spans="12:76" ht="15.75">
      <c r="L459" s="141"/>
      <c r="M459" s="141"/>
      <c r="N459" s="141"/>
      <c r="O459" s="141"/>
      <c r="P459" s="141"/>
      <c r="Q459" s="5292"/>
      <c r="R459" s="988"/>
      <c r="S459" s="988"/>
      <c r="T459" s="988"/>
      <c r="U459" s="988"/>
      <c r="V459" s="988"/>
      <c r="W459" s="8504"/>
      <c r="X459" s="1325"/>
      <c r="BX459" s="5">
        <v>1</v>
      </c>
    </row>
    <row r="460" spans="12:76" ht="15.75">
      <c r="L460" s="141"/>
      <c r="M460" s="141"/>
      <c r="N460" s="141"/>
      <c r="O460" s="141"/>
      <c r="P460" s="141"/>
      <c r="Q460" s="1369" t="s">
        <v>864</v>
      </c>
      <c r="R460" s="1321"/>
      <c r="S460" s="1321"/>
      <c r="T460" s="1321"/>
      <c r="U460" s="1321"/>
      <c r="V460" s="1321"/>
      <c r="W460" s="6329"/>
      <c r="X460" s="1370"/>
      <c r="BX460" s="5">
        <v>1</v>
      </c>
    </row>
    <row r="461" spans="12:76">
      <c r="L461" s="141"/>
      <c r="M461" s="141"/>
      <c r="N461" s="141"/>
      <c r="O461" s="141"/>
      <c r="P461" s="141"/>
      <c r="Q461" s="6156"/>
      <c r="R461" s="1595"/>
      <c r="S461" s="1596"/>
      <c r="T461" s="1596"/>
      <c r="U461" s="1596"/>
      <c r="V461" s="1596"/>
      <c r="W461" s="8518"/>
      <c r="X461" s="1597"/>
      <c r="BX461" s="5">
        <v>1</v>
      </c>
    </row>
    <row r="462" spans="12:76" ht="15.75">
      <c r="L462" s="141"/>
      <c r="M462" s="141"/>
      <c r="N462" s="141"/>
      <c r="O462" s="141"/>
      <c r="P462" s="141"/>
      <c r="Q462" s="5292"/>
      <c r="R462" s="988"/>
      <c r="S462" s="988"/>
      <c r="T462" s="988"/>
      <c r="U462" s="988"/>
      <c r="V462" s="988"/>
      <c r="W462" s="8504"/>
      <c r="X462" s="1325"/>
      <c r="BX462" s="5">
        <v>1</v>
      </c>
    </row>
    <row r="463" spans="12:76">
      <c r="L463" s="141"/>
      <c r="M463" s="141"/>
      <c r="N463" s="141"/>
      <c r="O463" s="141"/>
      <c r="P463" s="141"/>
      <c r="Q463" s="6131"/>
      <c r="R463" s="997"/>
      <c r="S463" s="997"/>
      <c r="T463" s="997"/>
      <c r="U463" s="997"/>
      <c r="V463" s="997"/>
      <c r="W463" s="6327" t="s">
        <v>1112</v>
      </c>
      <c r="X463" s="6132"/>
      <c r="BX463" s="5">
        <v>1</v>
      </c>
    </row>
    <row r="464" spans="12:76" ht="15.75">
      <c r="L464" s="141"/>
      <c r="M464" s="141"/>
      <c r="N464" s="141"/>
      <c r="O464" s="141"/>
      <c r="P464" s="141"/>
      <c r="Q464" s="6146"/>
      <c r="R464" s="1002"/>
      <c r="S464" s="1002" t="s">
        <v>873</v>
      </c>
      <c r="T464" s="1003"/>
      <c r="U464" s="1329"/>
      <c r="V464" s="1329"/>
      <c r="W464" s="1329"/>
      <c r="X464" s="1330"/>
      <c r="BX464" s="5">
        <v>1</v>
      </c>
    </row>
    <row r="465" spans="12:76" ht="16.5" thickBot="1">
      <c r="L465" s="141"/>
      <c r="M465" s="141"/>
      <c r="N465" s="141"/>
      <c r="O465" s="141"/>
      <c r="P465" s="141"/>
      <c r="Q465" s="1332" t="s">
        <v>86</v>
      </c>
      <c r="R465" s="1006"/>
      <c r="S465" s="1007"/>
      <c r="T465" s="1008"/>
      <c r="U465" s="1007"/>
      <c r="V465" s="1007"/>
      <c r="W465" s="1007"/>
      <c r="X465" s="1333"/>
      <c r="BX465" s="5">
        <v>1</v>
      </c>
    </row>
    <row r="466" spans="12:76">
      <c r="L466" s="141"/>
      <c r="M466" s="141"/>
      <c r="N466" s="141"/>
      <c r="O466" s="141"/>
      <c r="P466" s="141"/>
      <c r="Q466"/>
      <c r="R466"/>
      <c r="S466"/>
      <c r="T466"/>
      <c r="U466"/>
      <c r="V466"/>
      <c r="W466"/>
      <c r="X466"/>
      <c r="BX466" s="5">
        <v>1</v>
      </c>
    </row>
    <row r="467" spans="12:76">
      <c r="L467" s="141"/>
      <c r="M467" s="141"/>
      <c r="N467" s="141"/>
      <c r="O467" s="141"/>
      <c r="P467" s="141"/>
      <c r="Q467" s="141"/>
      <c r="R467" s="141"/>
      <c r="S467" s="141"/>
      <c r="T467" s="141"/>
      <c r="U467" s="141"/>
      <c r="V467" s="141"/>
      <c r="W467" s="141"/>
      <c r="X467" s="141"/>
      <c r="BX467" s="5">
        <v>1</v>
      </c>
    </row>
    <row r="468" spans="12:76" ht="15.75">
      <c r="L468" s="141"/>
      <c r="M468" s="141"/>
      <c r="N468" s="141"/>
      <c r="O468" s="141"/>
      <c r="P468" s="141"/>
      <c r="Q468" s="1354" t="s">
        <v>252</v>
      </c>
      <c r="R468" s="1355"/>
      <c r="S468" s="1355"/>
      <c r="T468" s="1355"/>
      <c r="U468" s="1355"/>
      <c r="V468" s="1356"/>
      <c r="W468" s="6326"/>
      <c r="X468" s="1357" t="s">
        <v>1117</v>
      </c>
      <c r="BX468" s="5">
        <v>1</v>
      </c>
    </row>
    <row r="469" spans="12:76" ht="15.75">
      <c r="L469" s="141"/>
      <c r="M469" s="141"/>
      <c r="N469" s="141"/>
      <c r="O469" s="141"/>
      <c r="P469" s="141"/>
      <c r="Q469" s="6157" t="s">
        <v>1208</v>
      </c>
      <c r="R469" s="1249" t="s">
        <v>1186</v>
      </c>
      <c r="S469" s="1249"/>
      <c r="T469" s="1470" t="s">
        <v>1209</v>
      </c>
      <c r="U469" s="1470" t="s">
        <v>1210</v>
      </c>
      <c r="V469" s="997"/>
      <c r="W469" s="8519" t="s">
        <v>1211</v>
      </c>
      <c r="X469" s="1471"/>
      <c r="BX469" s="5">
        <v>1</v>
      </c>
    </row>
    <row r="470" spans="12:76" ht="15.75">
      <c r="L470" s="141"/>
      <c r="M470" s="141"/>
      <c r="N470" s="141"/>
      <c r="O470" s="141"/>
      <c r="P470" s="141"/>
      <c r="Q470" s="6158" t="s">
        <v>1212</v>
      </c>
      <c r="R470" s="1474">
        <v>4.1666666666666699E-2</v>
      </c>
      <c r="S470" s="1475"/>
      <c r="T470" s="1475">
        <v>220</v>
      </c>
      <c r="U470" s="1476" t="s">
        <v>1213</v>
      </c>
      <c r="V470" s="997"/>
      <c r="W470" s="8520"/>
      <c r="X470" s="1477"/>
      <c r="BX470" s="5">
        <v>1</v>
      </c>
    </row>
    <row r="471" spans="12:76" ht="15.75">
      <c r="L471" s="141"/>
      <c r="M471" s="141"/>
      <c r="N471" s="141"/>
      <c r="O471" s="141"/>
      <c r="P471" s="141"/>
      <c r="Q471" s="1479" t="s">
        <v>1208</v>
      </c>
      <c r="R471" s="1480"/>
      <c r="S471" s="1480"/>
      <c r="T471" s="1480" t="s">
        <v>1214</v>
      </c>
      <c r="U471" s="1481" t="s">
        <v>1215</v>
      </c>
      <c r="V471" s="1481"/>
      <c r="W471" s="8520"/>
      <c r="X471" s="1477"/>
      <c r="BX471" s="5">
        <v>1</v>
      </c>
    </row>
    <row r="472" spans="12:76" ht="15.75">
      <c r="L472" s="141"/>
      <c r="M472" s="141"/>
      <c r="N472" s="141"/>
      <c r="O472" s="141"/>
      <c r="P472" s="141"/>
      <c r="Q472" s="1482" t="s">
        <v>1216</v>
      </c>
      <c r="R472" s="1483"/>
      <c r="S472" s="1484"/>
      <c r="T472" s="1484">
        <v>250</v>
      </c>
      <c r="U472" s="1485" t="s">
        <v>1217</v>
      </c>
      <c r="V472" s="1485"/>
      <c r="W472" s="8520"/>
      <c r="X472" s="1477"/>
      <c r="BX472" s="5">
        <v>1</v>
      </c>
    </row>
    <row r="473" spans="12:76" ht="15.75">
      <c r="L473" s="141"/>
      <c r="M473" s="141"/>
      <c r="N473" s="141"/>
      <c r="O473" s="141"/>
      <c r="P473" s="141"/>
      <c r="Q473" s="1479" t="s">
        <v>1208</v>
      </c>
      <c r="R473" s="1480"/>
      <c r="S473" s="1480"/>
      <c r="T473" s="1480" t="s">
        <v>1214</v>
      </c>
      <c r="U473" s="1481" t="s">
        <v>1215</v>
      </c>
      <c r="V473" s="1481"/>
      <c r="W473" s="8520"/>
      <c r="X473" s="1477"/>
      <c r="BX473" s="5">
        <v>1</v>
      </c>
    </row>
    <row r="474" spans="12:76" ht="15.75">
      <c r="L474" s="141"/>
      <c r="M474" s="141"/>
      <c r="N474" s="141"/>
      <c r="O474" s="141"/>
      <c r="P474" s="141"/>
      <c r="Q474" s="1482" t="s">
        <v>1216</v>
      </c>
      <c r="R474" s="1483">
        <v>4.8611111111111112E-3</v>
      </c>
      <c r="S474" s="1484"/>
      <c r="T474" s="1484">
        <v>250</v>
      </c>
      <c r="U474" s="1485" t="s">
        <v>1219</v>
      </c>
      <c r="V474" s="1485"/>
      <c r="W474" s="8520"/>
      <c r="X474" s="1477"/>
      <c r="BX474" s="5">
        <v>1</v>
      </c>
    </row>
    <row r="475" spans="12:76" ht="15.75">
      <c r="L475" s="141"/>
      <c r="M475" s="141"/>
      <c r="N475" s="141"/>
      <c r="O475" s="141"/>
      <c r="P475" s="141"/>
      <c r="Q475" s="1479" t="s">
        <v>1208</v>
      </c>
      <c r="R475" s="1480"/>
      <c r="S475" s="1480"/>
      <c r="T475" s="1480" t="s">
        <v>1214</v>
      </c>
      <c r="U475" s="1481" t="s">
        <v>1215</v>
      </c>
      <c r="V475" s="1481"/>
      <c r="W475" s="8520"/>
      <c r="X475" s="1477"/>
      <c r="BX475" s="5">
        <v>1</v>
      </c>
    </row>
    <row r="476" spans="12:76" ht="15.75">
      <c r="L476" s="141"/>
      <c r="M476" s="141"/>
      <c r="N476" s="141"/>
      <c r="O476" s="141"/>
      <c r="P476" s="141"/>
      <c r="Q476" s="1482" t="s">
        <v>1216</v>
      </c>
      <c r="R476" s="1483">
        <v>0.10416666666666667</v>
      </c>
      <c r="S476" s="1484"/>
      <c r="T476" s="1484">
        <v>170</v>
      </c>
      <c r="U476" s="1485" t="s">
        <v>1220</v>
      </c>
      <c r="V476" s="1485"/>
      <c r="W476" s="8520"/>
      <c r="X476" s="1477"/>
      <c r="BX476" s="5">
        <v>1</v>
      </c>
    </row>
    <row r="477" spans="12:76" ht="15.75">
      <c r="L477" s="141"/>
      <c r="M477" s="141"/>
      <c r="N477" s="141"/>
      <c r="O477" s="141"/>
      <c r="P477" s="141"/>
      <c r="Q477" s="1479" t="s">
        <v>1208</v>
      </c>
      <c r="R477" s="1480"/>
      <c r="S477" s="1480"/>
      <c r="T477" s="1480" t="s">
        <v>1214</v>
      </c>
      <c r="U477" s="1481" t="s">
        <v>1221</v>
      </c>
      <c r="V477" s="1481"/>
      <c r="W477" s="8520"/>
      <c r="X477" s="1477"/>
      <c r="BX477" s="5">
        <v>1</v>
      </c>
    </row>
    <row r="478" spans="12:76" ht="15.75">
      <c r="L478" s="141"/>
      <c r="M478" s="141"/>
      <c r="N478" s="141"/>
      <c r="O478" s="141"/>
      <c r="P478" s="141"/>
      <c r="Q478" s="1482" t="s">
        <v>1216</v>
      </c>
      <c r="R478" s="1483">
        <v>4.8611111111111112E-3</v>
      </c>
      <c r="S478" s="1484"/>
      <c r="T478" s="1484">
        <v>100</v>
      </c>
      <c r="U478" s="1485"/>
      <c r="V478" s="1485"/>
      <c r="W478" s="8520"/>
      <c r="X478" s="1477"/>
      <c r="BX478" s="5">
        <v>1</v>
      </c>
    </row>
    <row r="479" spans="12:76" ht="15.75">
      <c r="L479" s="141"/>
      <c r="M479" s="141"/>
      <c r="N479" s="141"/>
      <c r="O479" s="141"/>
      <c r="P479" s="141"/>
      <c r="Q479" s="1479" t="s">
        <v>1208</v>
      </c>
      <c r="R479" s="1480"/>
      <c r="S479" s="1480"/>
      <c r="T479" s="1480" t="s">
        <v>1214</v>
      </c>
      <c r="U479" s="1481" t="s">
        <v>1224</v>
      </c>
      <c r="V479" s="1481"/>
      <c r="W479" s="8520"/>
      <c r="X479" s="1477"/>
      <c r="BX479" s="5">
        <v>1</v>
      </c>
    </row>
    <row r="480" spans="12:76" ht="15.75">
      <c r="L480" s="141"/>
      <c r="M480" s="141"/>
      <c r="N480" s="141"/>
      <c r="O480" s="141"/>
      <c r="P480" s="141"/>
      <c r="Q480" s="6158" t="s">
        <v>1216</v>
      </c>
      <c r="R480" s="1474">
        <v>4.8611111111111112E-3</v>
      </c>
      <c r="S480" s="1475"/>
      <c r="T480" s="1475">
        <v>110</v>
      </c>
      <c r="U480" s="1476"/>
      <c r="V480" s="1476"/>
      <c r="W480" s="8520"/>
      <c r="X480" s="1477"/>
      <c r="BX480" s="5">
        <v>1</v>
      </c>
    </row>
    <row r="481" spans="12:76" ht="15.75">
      <c r="L481" s="141"/>
      <c r="M481" s="141"/>
      <c r="N481" s="141"/>
      <c r="O481" s="141"/>
      <c r="P481" s="141"/>
      <c r="Q481" s="6159" t="s">
        <v>8022</v>
      </c>
      <c r="R481" s="6160"/>
      <c r="S481" s="6160"/>
      <c r="T481" s="6160"/>
      <c r="U481" s="6160"/>
      <c r="V481" s="6160"/>
      <c r="W481" s="6160"/>
      <c r="X481" s="6161"/>
      <c r="BX481" s="5">
        <v>1</v>
      </c>
    </row>
    <row r="482" spans="12:76" ht="15.75">
      <c r="L482" s="141"/>
      <c r="M482" s="141"/>
      <c r="N482" s="141"/>
      <c r="O482" s="141"/>
      <c r="P482" s="141"/>
      <c r="Q482" s="5294" t="s">
        <v>8024</v>
      </c>
      <c r="R482" s="1449"/>
      <c r="S482" s="1449"/>
      <c r="T482" s="1449"/>
      <c r="U482" s="1449"/>
      <c r="V482" s="1449"/>
      <c r="W482" s="5410"/>
      <c r="X482" s="5295"/>
      <c r="BX482" s="5">
        <v>1</v>
      </c>
    </row>
    <row r="483" spans="12:76" ht="15.75">
      <c r="L483" s="141"/>
      <c r="M483" s="141"/>
      <c r="N483" s="141"/>
      <c r="O483" s="141"/>
      <c r="P483" s="141"/>
      <c r="Q483" s="6146"/>
      <c r="R483" s="1002"/>
      <c r="S483" s="1002" t="s">
        <v>873</v>
      </c>
      <c r="T483" s="1003"/>
      <c r="U483" s="1329"/>
      <c r="V483" s="1329"/>
      <c r="W483" s="1329"/>
      <c r="X483" s="1330"/>
      <c r="BX483" s="5">
        <v>1</v>
      </c>
    </row>
    <row r="484" spans="12:76" ht="16.5" thickBot="1">
      <c r="L484" s="141"/>
      <c r="M484" s="141"/>
      <c r="N484" s="141"/>
      <c r="O484" s="141"/>
      <c r="P484" s="141"/>
      <c r="Q484" s="1332" t="s">
        <v>86</v>
      </c>
      <c r="R484" s="1006"/>
      <c r="S484" s="1007"/>
      <c r="T484" s="1008"/>
      <c r="U484" s="1007"/>
      <c r="V484" s="1007"/>
      <c r="W484" s="1007"/>
      <c r="X484" s="1333"/>
      <c r="BX484" s="5">
        <v>1</v>
      </c>
    </row>
    <row r="485" spans="12:76">
      <c r="L485" s="141"/>
      <c r="M485" s="141"/>
      <c r="N485" s="141"/>
      <c r="O485" s="141"/>
      <c r="P485" s="141"/>
      <c r="Q485"/>
      <c r="R485"/>
      <c r="S485"/>
      <c r="T485"/>
      <c r="U485"/>
      <c r="V485"/>
      <c r="W485"/>
      <c r="X485"/>
      <c r="BX485" s="5">
        <v>1</v>
      </c>
    </row>
    <row r="486" spans="12:76">
      <c r="L486" s="141"/>
      <c r="M486" s="141"/>
      <c r="N486" s="141"/>
      <c r="O486" s="141"/>
      <c r="P486" s="141"/>
      <c r="Q486" s="141"/>
      <c r="R486" s="141"/>
      <c r="S486" s="141"/>
      <c r="T486" s="141"/>
      <c r="U486" s="141"/>
      <c r="V486" s="141"/>
      <c r="W486" s="141"/>
      <c r="X486" s="141"/>
      <c r="BX486" s="5">
        <v>1</v>
      </c>
    </row>
    <row r="487" spans="12:76" ht="15.75">
      <c r="L487" s="141"/>
      <c r="M487" s="141"/>
      <c r="N487" s="141"/>
      <c r="O487" s="141"/>
      <c r="P487" s="141"/>
      <c r="Q487" s="1354" t="s">
        <v>252</v>
      </c>
      <c r="R487" s="1355"/>
      <c r="S487" s="1355"/>
      <c r="T487" s="1355"/>
      <c r="U487" s="1355"/>
      <c r="V487" s="1356"/>
      <c r="W487" s="6326"/>
      <c r="X487" s="1357" t="s">
        <v>1117</v>
      </c>
      <c r="BX487" s="5">
        <v>1</v>
      </c>
    </row>
    <row r="488" spans="12:76" ht="15.75">
      <c r="L488" s="141"/>
      <c r="M488" s="141"/>
      <c r="N488" s="141"/>
      <c r="O488" s="141"/>
      <c r="P488" s="141"/>
      <c r="Q488" s="1411" t="s">
        <v>1175</v>
      </c>
      <c r="R488" s="1487">
        <v>1.7361111111111112E-2</v>
      </c>
      <c r="S488" s="1488"/>
      <c r="T488" s="1488">
        <v>3</v>
      </c>
      <c r="U488" s="1489" t="s">
        <v>1223</v>
      </c>
      <c r="V488" s="1534"/>
      <c r="W488" s="8521"/>
      <c r="X488" s="1535"/>
      <c r="BX488" s="5">
        <v>1</v>
      </c>
    </row>
    <row r="489" spans="12:76" ht="15.75">
      <c r="L489" s="141"/>
      <c r="M489" s="141"/>
      <c r="N489" s="141"/>
      <c r="O489" s="141"/>
      <c r="P489" s="141"/>
      <c r="Q489" s="1411" t="s">
        <v>1175</v>
      </c>
      <c r="R489" s="1487">
        <v>1.7361111111111112E-2</v>
      </c>
      <c r="S489" s="1488"/>
      <c r="T489" s="1488">
        <v>3</v>
      </c>
      <c r="U489" s="1148" t="s">
        <v>1264</v>
      </c>
      <c r="V489" s="1148"/>
      <c r="W489" s="8522"/>
      <c r="X489" s="1490"/>
      <c r="BX489" s="5">
        <v>1</v>
      </c>
    </row>
    <row r="490" spans="12:76" ht="15.75">
      <c r="L490" s="141"/>
      <c r="M490" s="141"/>
      <c r="N490" s="141"/>
      <c r="O490" s="141"/>
      <c r="P490" s="141"/>
      <c r="Q490" s="1411" t="s">
        <v>1175</v>
      </c>
      <c r="R490" s="1487">
        <v>5.9027777777777797E-2</v>
      </c>
      <c r="S490" s="1488"/>
      <c r="T490" s="1488">
        <v>3</v>
      </c>
      <c r="U490" s="1148" t="s">
        <v>1225</v>
      </c>
      <c r="V490" s="1148"/>
      <c r="W490" s="8522"/>
      <c r="X490" s="1490"/>
      <c r="BX490" s="5">
        <v>1</v>
      </c>
    </row>
    <row r="491" spans="12:76" ht="15.75">
      <c r="L491" s="141"/>
      <c r="M491" s="141"/>
      <c r="N491" s="141"/>
      <c r="O491" s="141"/>
      <c r="P491" s="141"/>
      <c r="Q491" s="1411" t="s">
        <v>1175</v>
      </c>
      <c r="R491" s="1487">
        <v>2.4305555555555556E-2</v>
      </c>
      <c r="S491" s="1488"/>
      <c r="T491" s="1488">
        <v>3</v>
      </c>
      <c r="U491" s="1148" t="s">
        <v>1226</v>
      </c>
      <c r="V491" s="1148"/>
      <c r="W491" s="8522"/>
      <c r="X491" s="1490"/>
      <c r="BX491" s="5">
        <v>1</v>
      </c>
    </row>
    <row r="492" spans="12:76" ht="15.75">
      <c r="L492" s="141"/>
      <c r="M492" s="141"/>
      <c r="N492" s="141"/>
      <c r="O492" s="141"/>
      <c r="P492" s="141"/>
      <c r="Q492" s="1411" t="s">
        <v>1175</v>
      </c>
      <c r="R492" s="1487">
        <v>1.0416666666666666E-2</v>
      </c>
      <c r="S492" s="1488"/>
      <c r="T492" s="1488">
        <v>170</v>
      </c>
      <c r="U492" s="1148" t="s">
        <v>1227</v>
      </c>
      <c r="V492" s="1148"/>
      <c r="W492" s="8522"/>
      <c r="X492" s="1490"/>
      <c r="BX492" s="5">
        <v>1</v>
      </c>
    </row>
    <row r="493" spans="12:76" ht="15.75">
      <c r="L493" s="141"/>
      <c r="M493" s="141"/>
      <c r="N493" s="141"/>
      <c r="O493" s="141"/>
      <c r="P493" s="141"/>
      <c r="Q493" s="1411" t="s">
        <v>1175</v>
      </c>
      <c r="R493" s="1487">
        <v>6.9444444444444441E-3</v>
      </c>
      <c r="S493" s="1488"/>
      <c r="T493" s="1488">
        <v>150</v>
      </c>
      <c r="U493" s="1148" t="s">
        <v>1217</v>
      </c>
      <c r="V493" s="1148"/>
      <c r="W493" s="8522"/>
      <c r="X493" s="1490"/>
      <c r="BX493" s="5">
        <v>1</v>
      </c>
    </row>
    <row r="494" spans="12:76" ht="15.75">
      <c r="L494" s="141"/>
      <c r="M494" s="141"/>
      <c r="N494" s="141"/>
      <c r="O494" s="141"/>
      <c r="P494" s="141"/>
      <c r="Q494" s="1411" t="s">
        <v>1175</v>
      </c>
      <c r="R494" s="1487">
        <v>0.10069444444444445</v>
      </c>
      <c r="S494" s="1488"/>
      <c r="T494" s="1488">
        <v>120</v>
      </c>
      <c r="U494" s="1148" t="s">
        <v>1228</v>
      </c>
      <c r="V494" s="1120"/>
      <c r="W494" s="8523"/>
      <c r="X494" s="1491"/>
      <c r="BX494" s="5">
        <v>1</v>
      </c>
    </row>
    <row r="495" spans="12:76" ht="15.75">
      <c r="L495" s="141"/>
      <c r="M495" s="141"/>
      <c r="N495" s="141"/>
      <c r="O495" s="141"/>
      <c r="P495" s="141"/>
      <c r="Q495" s="1411" t="s">
        <v>1175</v>
      </c>
      <c r="R495" s="1487">
        <v>1.3888888888888888E-2</v>
      </c>
      <c r="S495" s="1488"/>
      <c r="T495" s="1488">
        <v>120</v>
      </c>
      <c r="U495" s="1148" t="s">
        <v>1265</v>
      </c>
      <c r="V495" s="1120"/>
      <c r="W495" s="8523"/>
      <c r="X495" s="1491"/>
      <c r="BX495" s="5">
        <v>1</v>
      </c>
    </row>
    <row r="496" spans="12:76" ht="15.75">
      <c r="L496" s="141"/>
      <c r="M496" s="141"/>
      <c r="N496" s="141"/>
      <c r="O496" s="141"/>
      <c r="P496" s="141"/>
      <c r="Q496" s="1411" t="s">
        <v>1175</v>
      </c>
      <c r="R496" s="1487">
        <v>2.4305555555555556E-2</v>
      </c>
      <c r="S496" s="1488"/>
      <c r="T496" s="1488"/>
      <c r="U496" s="1148" t="s">
        <v>1267</v>
      </c>
      <c r="V496" s="1120"/>
      <c r="W496" s="8523"/>
      <c r="X496" s="1491"/>
      <c r="BX496" s="5">
        <v>1</v>
      </c>
    </row>
    <row r="497" spans="12:76" ht="15.75">
      <c r="L497" s="141"/>
      <c r="M497" s="141"/>
      <c r="N497" s="141"/>
      <c r="O497" s="141"/>
      <c r="P497" s="141"/>
      <c r="Q497" s="1411" t="s">
        <v>1175</v>
      </c>
      <c r="R497" s="1487">
        <v>7.2916666666666671E-2</v>
      </c>
      <c r="S497" s="1488"/>
      <c r="T497" s="1539" t="s">
        <v>1268</v>
      </c>
      <c r="U497" s="1148" t="s">
        <v>1269</v>
      </c>
      <c r="V497" s="1120"/>
      <c r="W497" s="8523"/>
      <c r="X497" s="1491"/>
      <c r="BX497" s="5">
        <v>1</v>
      </c>
    </row>
    <row r="498" spans="12:76" ht="15.75">
      <c r="L498" s="141"/>
      <c r="M498" s="141"/>
      <c r="N498" s="141"/>
      <c r="O498" s="141"/>
      <c r="P498" s="141"/>
      <c r="Q498" s="1411" t="s">
        <v>1175</v>
      </c>
      <c r="R498" s="1487"/>
      <c r="S498" s="1492" t="s">
        <v>1271</v>
      </c>
      <c r="T498" s="1389">
        <v>65</v>
      </c>
      <c r="U498" s="1493" t="s">
        <v>1272</v>
      </c>
      <c r="V498" s="1120"/>
      <c r="W498" s="8523"/>
      <c r="X498" s="1491"/>
      <c r="BX498" s="5">
        <v>1</v>
      </c>
    </row>
    <row r="499" spans="12:76" ht="15.75">
      <c r="L499" s="141"/>
      <c r="M499" s="141"/>
      <c r="N499" s="141"/>
      <c r="O499" s="141"/>
      <c r="P499" s="141"/>
      <c r="Q499" s="1411" t="s">
        <v>1175</v>
      </c>
      <c r="R499" s="1487"/>
      <c r="S499" s="1497" t="s">
        <v>1271</v>
      </c>
      <c r="T499" s="1386">
        <v>3</v>
      </c>
      <c r="U499" s="1498" t="s">
        <v>1273</v>
      </c>
      <c r="V499" s="1120"/>
      <c r="W499" s="8523"/>
      <c r="X499" s="1491"/>
      <c r="BX499" s="5">
        <v>1</v>
      </c>
    </row>
    <row r="500" spans="12:76" ht="15.75">
      <c r="L500" s="141"/>
      <c r="M500" s="141"/>
      <c r="N500" s="141"/>
      <c r="O500" s="141"/>
      <c r="P500" s="141"/>
      <c r="Q500" s="1540" t="s">
        <v>37</v>
      </c>
      <c r="R500" s="1442">
        <f>SUM(R488:R499)</f>
        <v>0.34722222222222227</v>
      </c>
      <c r="S500"/>
      <c r="T500"/>
      <c r="U500"/>
      <c r="V500" s="1120"/>
      <c r="W500" s="8523"/>
      <c r="X500" s="1491"/>
      <c r="BX500" s="5">
        <v>1</v>
      </c>
    </row>
    <row r="501" spans="12:76">
      <c r="L501" s="141"/>
      <c r="M501" s="141"/>
      <c r="N501" s="141"/>
      <c r="O501" s="141"/>
      <c r="P501" s="141"/>
      <c r="Q501" s="6131"/>
      <c r="R501" s="997"/>
      <c r="S501" s="997"/>
      <c r="T501" s="997"/>
      <c r="U501" s="997"/>
      <c r="V501" s="997"/>
      <c r="W501" s="6327"/>
      <c r="X501" s="6132" t="s">
        <v>1112</v>
      </c>
      <c r="BX501" s="5">
        <v>1</v>
      </c>
    </row>
    <row r="502" spans="12:76" ht="15.75">
      <c r="L502" s="141"/>
      <c r="M502" s="141"/>
      <c r="N502" s="141"/>
      <c r="O502" s="141"/>
      <c r="P502" s="141"/>
      <c r="Q502" s="6146"/>
      <c r="R502" s="1002"/>
      <c r="S502" s="1002" t="s">
        <v>873</v>
      </c>
      <c r="T502" s="1003"/>
      <c r="U502" s="1329"/>
      <c r="V502" s="1329"/>
      <c r="W502" s="1329"/>
      <c r="X502" s="1330"/>
      <c r="BX502" s="5">
        <v>1</v>
      </c>
    </row>
    <row r="503" spans="12:76" ht="16.5" thickBot="1">
      <c r="L503" s="141"/>
      <c r="M503" s="141"/>
      <c r="N503" s="141"/>
      <c r="O503" s="141"/>
      <c r="P503" s="141"/>
      <c r="Q503" s="1332" t="s">
        <v>86</v>
      </c>
      <c r="R503" s="1006"/>
      <c r="S503" s="1007"/>
      <c r="T503" s="1008"/>
      <c r="U503" s="1007"/>
      <c r="V503" s="1007"/>
      <c r="W503" s="1007"/>
      <c r="X503" s="1333"/>
      <c r="BX503" s="5">
        <v>1</v>
      </c>
    </row>
    <row r="504" spans="12:76">
      <c r="L504" s="141"/>
      <c r="M504" s="141"/>
      <c r="N504" s="141"/>
      <c r="O504" s="141"/>
      <c r="P504" s="141"/>
      <c r="Q504" s="141"/>
      <c r="R504" s="141"/>
      <c r="S504" s="141"/>
      <c r="T504" s="141"/>
      <c r="U504" s="141"/>
      <c r="V504" s="141"/>
      <c r="W504" s="141"/>
      <c r="X504" s="141"/>
      <c r="BX504" s="5">
        <v>1</v>
      </c>
    </row>
    <row r="505" spans="12:76">
      <c r="L505" s="141"/>
      <c r="M505" s="141"/>
      <c r="N505" s="141"/>
      <c r="O505" s="141"/>
      <c r="P505" s="141"/>
      <c r="Q505" s="141"/>
      <c r="R505" s="141"/>
      <c r="S505" s="141"/>
      <c r="T505" s="141"/>
      <c r="U505" s="141"/>
      <c r="V505" s="141"/>
      <c r="W505" s="141"/>
      <c r="X505" s="141"/>
      <c r="BX505" s="5">
        <v>1</v>
      </c>
    </row>
    <row r="506" spans="12:76" ht="15.75">
      <c r="L506" s="141"/>
      <c r="M506" s="141"/>
      <c r="N506" s="141"/>
      <c r="O506" s="141"/>
      <c r="P506" s="141"/>
      <c r="Q506" s="1354" t="s">
        <v>252</v>
      </c>
      <c r="R506" s="1355"/>
      <c r="S506" s="1355"/>
      <c r="T506" s="1355"/>
      <c r="U506" s="1355"/>
      <c r="V506" s="1356"/>
      <c r="W506" s="6326"/>
      <c r="X506" s="1357" t="s">
        <v>1229</v>
      </c>
      <c r="BX506" s="5">
        <v>1</v>
      </c>
    </row>
    <row r="507" spans="12:76" ht="15.75">
      <c r="L507" s="141"/>
      <c r="M507" s="141"/>
      <c r="N507" s="141"/>
      <c r="O507" s="141"/>
      <c r="P507" s="141"/>
      <c r="Q507" s="5271"/>
      <c r="R507" s="612" t="s">
        <v>1231</v>
      </c>
      <c r="S507" s="147"/>
      <c r="T507" s="147"/>
      <c r="U507" s="102"/>
      <c r="V507" s="102"/>
      <c r="W507" s="8524"/>
      <c r="X507" s="1494" t="s">
        <v>1232</v>
      </c>
      <c r="BX507" s="5">
        <v>1</v>
      </c>
    </row>
    <row r="508" spans="12:76">
      <c r="L508" s="141"/>
      <c r="M508" s="141"/>
      <c r="N508" s="141"/>
      <c r="O508" s="141"/>
      <c r="P508" s="141"/>
      <c r="Q508" s="6162"/>
      <c r="R508" s="1500">
        <v>16</v>
      </c>
      <c r="S508" s="141"/>
      <c r="T508" s="1501" t="s">
        <v>1234</v>
      </c>
      <c r="U508" t="s">
        <v>1235</v>
      </c>
      <c r="V508" s="147"/>
      <c r="W508" s="8488"/>
      <c r="X508" s="1326" t="s">
        <v>1236</v>
      </c>
      <c r="BX508" s="5">
        <v>1</v>
      </c>
    </row>
    <row r="509" spans="12:76" ht="15.75">
      <c r="L509" s="141"/>
      <c r="M509" s="141"/>
      <c r="N509" s="141"/>
      <c r="O509" s="141"/>
      <c r="P509" s="141"/>
      <c r="Q509" s="6163"/>
      <c r="R509" s="1506" t="s">
        <v>1237</v>
      </c>
      <c r="S509" s="1506"/>
      <c r="T509" s="1507">
        <v>32</v>
      </c>
      <c r="U509" s="1508" t="str">
        <f>T508</f>
        <v xml:space="preserve">portions </v>
      </c>
      <c r="V509" s="988"/>
      <c r="W509" s="8488"/>
      <c r="X509" s="1326" t="s">
        <v>1238</v>
      </c>
      <c r="BX509" s="5">
        <v>1</v>
      </c>
    </row>
    <row r="510" spans="12:76" ht="15.75">
      <c r="L510" s="141"/>
      <c r="M510" s="141"/>
      <c r="N510" s="141"/>
      <c r="O510" s="141"/>
      <c r="P510" s="141"/>
      <c r="Q510" s="6164"/>
      <c r="R510" s="1512" t="s">
        <v>1239</v>
      </c>
      <c r="S510" s="141"/>
      <c r="T510" s="1513" t="str">
        <f>R510</f>
        <v>Gastro</v>
      </c>
      <c r="U510" s="1514" t="s">
        <v>1240</v>
      </c>
      <c r="V510" s="988"/>
      <c r="W510" s="8488"/>
      <c r="X510" s="1326" t="s">
        <v>1241</v>
      </c>
      <c r="BX510" s="5">
        <v>1</v>
      </c>
    </row>
    <row r="511" spans="12:76" ht="15.75">
      <c r="L511" s="141"/>
      <c r="M511" s="141"/>
      <c r="N511" s="141"/>
      <c r="O511" s="141"/>
      <c r="P511" s="141"/>
      <c r="Q511" s="1358" t="s">
        <v>1118</v>
      </c>
      <c r="R511" s="1512">
        <v>1</v>
      </c>
      <c r="S511" s="141"/>
      <c r="T511" s="1515">
        <f>(R511/R508)*T509</f>
        <v>2</v>
      </c>
      <c r="U511" s="1516" t="s">
        <v>1242</v>
      </c>
      <c r="V511" s="988"/>
      <c r="W511" s="8488"/>
      <c r="X511" s="1326" t="s">
        <v>1243</v>
      </c>
      <c r="BX511" s="5">
        <v>1</v>
      </c>
    </row>
    <row r="512" spans="12:76" ht="15.75">
      <c r="L512" s="141"/>
      <c r="M512" s="141"/>
      <c r="N512" s="141"/>
      <c r="O512" s="141"/>
      <c r="P512" s="141"/>
      <c r="Q512" s="1358" t="s">
        <v>1118</v>
      </c>
      <c r="R512" s="1512">
        <v>1</v>
      </c>
      <c r="S512" s="141"/>
      <c r="T512" s="1515">
        <f>(R512/R508)*T509</f>
        <v>2</v>
      </c>
      <c r="U512" s="1516" t="s">
        <v>1244</v>
      </c>
      <c r="V512" s="988"/>
      <c r="W512" s="8488"/>
      <c r="X512" s="1326" t="s">
        <v>1245</v>
      </c>
      <c r="BX512" s="5">
        <v>1</v>
      </c>
    </row>
    <row r="513" spans="12:76" ht="15.75">
      <c r="L513" s="141"/>
      <c r="M513" s="141"/>
      <c r="N513" s="141"/>
      <c r="O513" s="141"/>
      <c r="P513" s="141"/>
      <c r="Q513" s="1358" t="s">
        <v>1118</v>
      </c>
      <c r="R513" s="1512">
        <v>1</v>
      </c>
      <c r="S513" s="141"/>
      <c r="T513" s="1515">
        <f>(R513/R508)*T509</f>
        <v>2</v>
      </c>
      <c r="U513" s="1516" t="s">
        <v>1246</v>
      </c>
      <c r="V513" s="988"/>
      <c r="W513" s="8488"/>
      <c r="X513" s="1326" t="s">
        <v>1247</v>
      </c>
      <c r="BX513" s="5">
        <v>1</v>
      </c>
    </row>
    <row r="514" spans="12:76" ht="15.75">
      <c r="L514" s="141"/>
      <c r="M514" s="141"/>
      <c r="N514" s="141"/>
      <c r="O514" s="141"/>
      <c r="P514" s="141"/>
      <c r="Q514" s="1358" t="s">
        <v>1118</v>
      </c>
      <c r="R514" s="1512">
        <v>1</v>
      </c>
      <c r="S514" s="141"/>
      <c r="T514" s="1515">
        <f>(R514/R508)*T509</f>
        <v>2</v>
      </c>
      <c r="U514" s="1516" t="s">
        <v>1248</v>
      </c>
      <c r="V514" s="988"/>
      <c r="W514" s="8488"/>
      <c r="X514" s="1326" t="s">
        <v>1249</v>
      </c>
      <c r="BX514" s="5">
        <v>1</v>
      </c>
    </row>
    <row r="515" spans="12:76" ht="15.75">
      <c r="L515" s="141"/>
      <c r="M515" s="141"/>
      <c r="N515" s="141"/>
      <c r="O515" s="141"/>
      <c r="P515" s="141"/>
      <c r="Q515" s="1358" t="s">
        <v>1118</v>
      </c>
      <c r="R515" s="1512">
        <v>1</v>
      </c>
      <c r="S515" s="141"/>
      <c r="T515" s="1515">
        <f>(R515/R508)*T509</f>
        <v>2</v>
      </c>
      <c r="U515" s="1516" t="s">
        <v>1250</v>
      </c>
      <c r="V515" s="988"/>
      <c r="W515" s="8488"/>
      <c r="X515" s="1326" t="s">
        <v>1251</v>
      </c>
      <c r="BX515" s="5">
        <v>1</v>
      </c>
    </row>
    <row r="516" spans="12:76" ht="15.75">
      <c r="L516" s="141"/>
      <c r="M516" s="141"/>
      <c r="N516" s="141"/>
      <c r="O516" s="141"/>
      <c r="P516" s="141"/>
      <c r="Q516" s="1518" t="s">
        <v>1252</v>
      </c>
      <c r="R516" s="1512">
        <v>1</v>
      </c>
      <c r="S516" s="141"/>
      <c r="T516" s="1515">
        <f>(R516/R508)*T509</f>
        <v>2</v>
      </c>
      <c r="U516" s="988"/>
      <c r="V516" s="988"/>
      <c r="W516" s="8488"/>
      <c r="X516" s="1326" t="s">
        <v>1253</v>
      </c>
      <c r="BX516" s="5">
        <v>1</v>
      </c>
    </row>
    <row r="517" spans="12:76" ht="15.75">
      <c r="L517" s="141"/>
      <c r="M517" s="141"/>
      <c r="N517" s="141"/>
      <c r="O517" s="141"/>
      <c r="P517" s="141"/>
      <c r="Q517" s="1518" t="s">
        <v>1252</v>
      </c>
      <c r="R517" s="1512">
        <v>1</v>
      </c>
      <c r="S517" s="141"/>
      <c r="T517" s="1515">
        <f>(R517/R508)*T509</f>
        <v>2</v>
      </c>
      <c r="U517" s="988"/>
      <c r="V517" s="988"/>
      <c r="W517" s="8488"/>
      <c r="X517" s="1326"/>
      <c r="BX517" s="5">
        <v>1</v>
      </c>
    </row>
    <row r="518" spans="12:76" ht="15.75">
      <c r="L518" s="141"/>
      <c r="M518" s="141"/>
      <c r="N518" s="141"/>
      <c r="O518" s="141"/>
      <c r="P518" s="141"/>
      <c r="Q518" s="1518" t="s">
        <v>1252</v>
      </c>
      <c r="R518" s="1512">
        <v>1</v>
      </c>
      <c r="S518" s="141"/>
      <c r="T518" s="1515">
        <f>(R518/R508)*T509</f>
        <v>2</v>
      </c>
      <c r="U518" s="988"/>
      <c r="V518" s="988"/>
      <c r="W518" s="8488"/>
      <c r="X518" s="1326"/>
      <c r="BX518" s="5">
        <v>1</v>
      </c>
    </row>
    <row r="519" spans="12:76" ht="15.75">
      <c r="L519" s="141"/>
      <c r="M519" s="141"/>
      <c r="N519" s="141"/>
      <c r="O519" s="141"/>
      <c r="P519" s="141"/>
      <c r="Q519" s="6159" t="s">
        <v>8022</v>
      </c>
      <c r="R519" s="6160"/>
      <c r="S519" s="6160"/>
      <c r="T519" s="6160"/>
      <c r="U519" s="6160"/>
      <c r="V519" s="6160"/>
      <c r="W519" s="6160"/>
      <c r="X519" s="6161"/>
      <c r="BX519" s="5">
        <v>1</v>
      </c>
    </row>
    <row r="520" spans="12:76" ht="15.75">
      <c r="L520" s="141"/>
      <c r="M520" s="141"/>
      <c r="N520" s="141"/>
      <c r="O520" s="141"/>
      <c r="P520" s="141"/>
      <c r="Q520" s="5294" t="s">
        <v>8024</v>
      </c>
      <c r="R520" s="1449"/>
      <c r="S520" s="1449"/>
      <c r="T520" s="1449"/>
      <c r="U520" s="1449"/>
      <c r="V520" s="1449"/>
      <c r="W520" s="5410"/>
      <c r="X520" s="5295"/>
      <c r="BX520" s="5">
        <v>1</v>
      </c>
    </row>
    <row r="521" spans="12:76" ht="15.75">
      <c r="L521" s="141"/>
      <c r="M521" s="141"/>
      <c r="N521" s="141"/>
      <c r="O521" s="141"/>
      <c r="P521" s="141"/>
      <c r="Q521" s="1002"/>
      <c r="R521" s="1002"/>
      <c r="S521" s="1002" t="s">
        <v>873</v>
      </c>
      <c r="T521" s="1003"/>
      <c r="U521" s="1329"/>
      <c r="V521" s="1329"/>
      <c r="W521" s="1329"/>
      <c r="X521" s="1330"/>
      <c r="BX521" s="5">
        <v>1</v>
      </c>
    </row>
    <row r="522" spans="12:76" ht="16.5" thickBot="1">
      <c r="L522" s="141"/>
      <c r="M522" s="141"/>
      <c r="N522" s="141"/>
      <c r="O522" s="141"/>
      <c r="P522" s="141"/>
      <c r="Q522" s="1332" t="s">
        <v>86</v>
      </c>
      <c r="R522" s="1006"/>
      <c r="S522" s="1007"/>
      <c r="T522" s="1008"/>
      <c r="U522" s="1007"/>
      <c r="V522" s="1007"/>
      <c r="W522" s="1007"/>
      <c r="X522" s="1333"/>
      <c r="BX522" s="5">
        <v>1</v>
      </c>
    </row>
    <row r="523" spans="12:76">
      <c r="L523" s="141"/>
      <c r="M523" s="141"/>
      <c r="N523" s="141"/>
      <c r="O523" s="141"/>
      <c r="P523" s="141"/>
      <c r="Q523"/>
      <c r="R523"/>
      <c r="S523"/>
      <c r="T523"/>
      <c r="U523"/>
      <c r="V523"/>
      <c r="W523"/>
      <c r="X523"/>
      <c r="BX523" s="5">
        <v>1</v>
      </c>
    </row>
    <row r="524" spans="12:76">
      <c r="L524" s="141"/>
      <c r="M524" s="141"/>
      <c r="N524" s="141"/>
      <c r="O524" s="141"/>
      <c r="P524" s="141"/>
      <c r="Q524" s="141"/>
      <c r="R524" s="141"/>
      <c r="S524" s="141"/>
      <c r="T524" s="141"/>
      <c r="U524" s="141"/>
      <c r="V524" s="141"/>
      <c r="W524" s="141"/>
      <c r="X524" s="141"/>
      <c r="BX524" s="5">
        <v>1</v>
      </c>
    </row>
    <row r="525" spans="12:76" ht="15.75">
      <c r="L525" s="141"/>
      <c r="M525" s="141"/>
      <c r="N525" s="141"/>
      <c r="O525" s="141"/>
      <c r="P525" s="141"/>
      <c r="Q525" s="1354" t="s">
        <v>252</v>
      </c>
      <c r="R525" s="1355"/>
      <c r="S525" s="1355"/>
      <c r="T525" s="1355"/>
      <c r="U525" s="1355"/>
      <c r="V525" s="1356"/>
      <c r="W525" s="6326"/>
      <c r="X525" s="1357" t="s">
        <v>1274</v>
      </c>
      <c r="BX525" s="5">
        <v>1</v>
      </c>
    </row>
    <row r="526" spans="12:76" ht="15.75">
      <c r="L526" s="141"/>
      <c r="M526" s="141"/>
      <c r="N526" s="141"/>
      <c r="O526" s="141"/>
      <c r="P526" s="141"/>
      <c r="Q526" s="6165" t="s">
        <v>1275</v>
      </c>
      <c r="R526" s="1542" t="s">
        <v>1276</v>
      </c>
      <c r="S526" s="1543"/>
      <c r="T526" s="1544" t="s">
        <v>1277</v>
      </c>
      <c r="U526" s="1542" t="s">
        <v>21</v>
      </c>
      <c r="V526" s="1542" t="s">
        <v>1278</v>
      </c>
      <c r="W526" s="6264" t="s">
        <v>1279</v>
      </c>
      <c r="X526" s="1545"/>
      <c r="BX526" s="5">
        <v>1</v>
      </c>
    </row>
    <row r="527" spans="12:76" ht="15.75">
      <c r="L527" s="141"/>
      <c r="M527" s="141"/>
      <c r="N527" s="141"/>
      <c r="O527" s="141"/>
      <c r="P527" s="141"/>
      <c r="Q527" s="6166" t="str">
        <f>"cellule "&amp;ADDRESS(ROW(W527),COLUMN(W527),4)&amp;"  vous pouvez saisir un autre poids"</f>
        <v>cellule W527  vous pouvez saisir un autre poids</v>
      </c>
      <c r="R527" s="1547"/>
      <c r="S527" s="1548"/>
      <c r="T527" s="102"/>
      <c r="U527" s="1547"/>
      <c r="V527"/>
      <c r="W527" s="8525">
        <v>1</v>
      </c>
      <c r="X527" s="1549"/>
      <c r="BX527" s="5">
        <v>1</v>
      </c>
    </row>
    <row r="528" spans="12:76">
      <c r="L528" s="141"/>
      <c r="M528" s="141"/>
      <c r="N528" s="141"/>
      <c r="O528" s="141"/>
      <c r="P528" s="141"/>
      <c r="Q528" s="6167">
        <v>100</v>
      </c>
      <c r="R528" s="6168">
        <v>120</v>
      </c>
      <c r="S528" s="1552"/>
      <c r="T528" s="6168">
        <v>180</v>
      </c>
      <c r="U528" s="6168">
        <v>180</v>
      </c>
      <c r="V528" s="6168">
        <v>200</v>
      </c>
      <c r="W528" s="8526" t="s">
        <v>1281</v>
      </c>
      <c r="X528" s="1553"/>
      <c r="BX528" s="5">
        <v>1</v>
      </c>
    </row>
    <row r="529" spans="12:76" ht="15.75">
      <c r="L529" s="141"/>
      <c r="M529" s="141"/>
      <c r="N529" s="141"/>
      <c r="O529" s="141"/>
      <c r="P529" s="141"/>
      <c r="Q529" s="6169">
        <f>IF(MOD(W527*1000/Q528,1)=0,W527*1000/Q528,IF(MOD(W527*1000/Q528,1)&lt;0.5,INT(W527*1000/Q528),INT(W527*1000/Q528)+1))</f>
        <v>10</v>
      </c>
      <c r="R529" s="1556">
        <f>IF(MOD(W527*1000/R528,1)=0,W527*1000/R528,IF(MOD(W527*1000/R528,1)&lt;0.5,INT(W527*1000/R528),INT(W527*1000/R528)+1))</f>
        <v>8</v>
      </c>
      <c r="S529" s="1557"/>
      <c r="T529" s="1556">
        <f>IF(MOD(W527*1000/T528,1)=0,W527*1000/T528,IF(MOD(W527*1000/T528,1)&lt;0.5,INT(W527*1000/T528),INT(W527*1000/T528)+1))</f>
        <v>6</v>
      </c>
      <c r="U529" s="1556">
        <f>IF(MOD(W527*1000/U528,1)=0,W527*1000/U528,IF(MOD(W527*1000/U528,1)&lt;0.5,INT(W527*1000/U528),INT(W527*1000/U528)+1))</f>
        <v>6</v>
      </c>
      <c r="V529" s="1556">
        <f>IF(MOD(W527*1000/V528,1)=0,W527*1000/V528,IF(MOD(W527*1000/V528,1)&lt;0.5,INT(W527*1000/V528),INT(W527*1000/V528)+1))</f>
        <v>5</v>
      </c>
      <c r="W529" s="8527" t="s">
        <v>1283</v>
      </c>
      <c r="X529" s="1558"/>
      <c r="BX529" s="5">
        <v>1</v>
      </c>
    </row>
    <row r="530" spans="12:76" ht="15.75">
      <c r="L530" s="141"/>
      <c r="M530" s="141"/>
      <c r="N530" s="141"/>
      <c r="O530" s="141"/>
      <c r="P530" s="141"/>
      <c r="Q530" s="6166" t="str">
        <f>"cellule "&amp;ADDRESS(ROW(W530),COLUMN(W530),4)&amp;"  vous pouvez saisir un autre poids"</f>
        <v>cellule W530  vous pouvez saisir un autre poids</v>
      </c>
      <c r="R530" s="1552"/>
      <c r="S530" s="1559"/>
      <c r="T530" s="141"/>
      <c r="U530" s="1552"/>
      <c r="V530"/>
      <c r="W530" s="8528">
        <v>1</v>
      </c>
      <c r="X530" s="1560"/>
      <c r="BX530" s="5">
        <v>1</v>
      </c>
    </row>
    <row r="531" spans="12:76">
      <c r="L531" s="141"/>
      <c r="M531" s="141"/>
      <c r="N531" s="141"/>
      <c r="O531" s="141"/>
      <c r="P531" s="141"/>
      <c r="Q531" s="6170">
        <v>10</v>
      </c>
      <c r="R531" s="1512">
        <v>8</v>
      </c>
      <c r="S531" s="1566"/>
      <c r="T531" s="1512">
        <v>5</v>
      </c>
      <c r="U531" s="1512">
        <v>6</v>
      </c>
      <c r="V531" s="1512">
        <v>10</v>
      </c>
      <c r="W531" s="8529" t="s">
        <v>1284</v>
      </c>
      <c r="X531" s="1567"/>
      <c r="BX531" s="5">
        <v>1</v>
      </c>
    </row>
    <row r="532" spans="12:76">
      <c r="L532" s="141"/>
      <c r="M532" s="141"/>
      <c r="N532" s="141"/>
      <c r="O532" s="141"/>
      <c r="P532" s="141"/>
      <c r="Q532" s="6171">
        <f>W530/Q531*1000</f>
        <v>100</v>
      </c>
      <c r="R532" s="1573">
        <f>W530/R531*1000</f>
        <v>125</v>
      </c>
      <c r="S532" s="1574"/>
      <c r="T532" s="1573">
        <f>W530/T531*1000</f>
        <v>200</v>
      </c>
      <c r="U532" s="1573">
        <f>W530/U531*1000</f>
        <v>166.66666666666666</v>
      </c>
      <c r="V532" s="1573">
        <f>W530/V531*1000</f>
        <v>100</v>
      </c>
      <c r="W532" s="8527" t="s">
        <v>1285</v>
      </c>
      <c r="X532" s="1558"/>
      <c r="BX532" s="5">
        <v>1</v>
      </c>
    </row>
    <row r="533" spans="12:76" ht="15.75">
      <c r="L533" s="141"/>
      <c r="M533" s="141"/>
      <c r="N533" s="141"/>
      <c r="O533" s="141"/>
      <c r="P533" s="141"/>
      <c r="Q533" s="6172" t="s">
        <v>1279</v>
      </c>
      <c r="R533" s="1577"/>
      <c r="S533" s="1578" t="s">
        <v>1287</v>
      </c>
      <c r="T533" s="1577"/>
      <c r="U533" s="1577"/>
      <c r="V533" s="1578" t="s">
        <v>1288</v>
      </c>
      <c r="W533" s="8504"/>
      <c r="X533" s="1325"/>
      <c r="BX533" s="5">
        <v>1</v>
      </c>
    </row>
    <row r="534" spans="12:76" ht="15.75">
      <c r="L534" s="141"/>
      <c r="M534" s="141"/>
      <c r="N534" s="141"/>
      <c r="O534" s="141"/>
      <c r="P534" s="141"/>
      <c r="Q534" s="6172" t="s">
        <v>1290</v>
      </c>
      <c r="R534" s="1577"/>
      <c r="S534" s="1579" t="s">
        <v>1291</v>
      </c>
      <c r="T534" s="1577"/>
      <c r="U534" s="1577"/>
      <c r="V534" s="1578" t="s">
        <v>1292</v>
      </c>
      <c r="W534" s="8530" t="s">
        <v>1293</v>
      </c>
      <c r="X534" s="1580" t="s">
        <v>1293</v>
      </c>
      <c r="BX534" s="5">
        <v>1</v>
      </c>
    </row>
    <row r="535" spans="12:76" ht="15.75">
      <c r="L535" s="141"/>
      <c r="M535" s="141"/>
      <c r="N535" s="141"/>
      <c r="O535" s="141"/>
      <c r="P535" s="141"/>
      <c r="Q535" s="1369" t="s">
        <v>864</v>
      </c>
      <c r="R535" s="1321"/>
      <c r="S535" s="1321"/>
      <c r="T535" s="1321"/>
      <c r="U535" s="1321"/>
      <c r="V535" s="1321"/>
      <c r="W535" s="6329"/>
      <c r="X535" s="1370"/>
      <c r="BX535" s="5">
        <v>1</v>
      </c>
    </row>
    <row r="536" spans="12:76" ht="15.75">
      <c r="L536" s="141"/>
      <c r="M536" s="141"/>
      <c r="N536" s="141"/>
      <c r="O536" s="141"/>
      <c r="P536" s="141"/>
      <c r="Q536" s="5292"/>
      <c r="R536" s="988"/>
      <c r="S536" s="988"/>
      <c r="T536" s="988"/>
      <c r="U536" s="988"/>
      <c r="V536" s="988"/>
      <c r="W536" s="8504"/>
      <c r="X536" s="1325"/>
      <c r="BX536" s="5">
        <v>1</v>
      </c>
    </row>
    <row r="537" spans="12:76" ht="15.75">
      <c r="L537" s="141"/>
      <c r="M537" s="141"/>
      <c r="N537" s="141"/>
      <c r="O537" s="141"/>
      <c r="P537" s="141"/>
      <c r="Q537" s="5292"/>
      <c r="R537" s="988"/>
      <c r="S537" s="988"/>
      <c r="T537" s="988"/>
      <c r="U537" s="988"/>
      <c r="V537" s="988"/>
      <c r="W537" s="8504"/>
      <c r="X537" s="1325"/>
      <c r="BX537" s="5">
        <v>1</v>
      </c>
    </row>
    <row r="538" spans="12:76" ht="15.75">
      <c r="L538" s="141"/>
      <c r="M538" s="141"/>
      <c r="N538" s="141"/>
      <c r="O538" s="141"/>
      <c r="P538" s="141"/>
      <c r="Q538" s="5292"/>
      <c r="R538" s="988"/>
      <c r="S538" s="988"/>
      <c r="T538" s="988"/>
      <c r="U538" s="988"/>
      <c r="V538" s="988"/>
      <c r="W538" s="8504"/>
      <c r="X538" s="1325"/>
      <c r="BX538" s="5">
        <v>1</v>
      </c>
    </row>
    <row r="539" spans="12:76">
      <c r="L539" s="141"/>
      <c r="M539" s="141"/>
      <c r="N539" s="141"/>
      <c r="O539" s="141"/>
      <c r="P539" s="141"/>
      <c r="Q539" s="6131"/>
      <c r="R539" s="997"/>
      <c r="S539" s="997"/>
      <c r="T539" s="997"/>
      <c r="U539" s="997"/>
      <c r="V539" s="997"/>
      <c r="W539" s="6327" t="s">
        <v>1112</v>
      </c>
      <c r="X539" s="6132" t="s">
        <v>1112</v>
      </c>
      <c r="BX539" s="5">
        <v>1</v>
      </c>
    </row>
    <row r="540" spans="12:76" ht="15.75">
      <c r="L540" s="141"/>
      <c r="M540" s="141"/>
      <c r="N540" s="141"/>
      <c r="O540" s="141"/>
      <c r="P540" s="141"/>
      <c r="Q540" s="6146"/>
      <c r="R540" s="1002"/>
      <c r="S540" s="1002" t="s">
        <v>873</v>
      </c>
      <c r="T540" s="1003"/>
      <c r="U540" s="1329"/>
      <c r="V540" s="1329"/>
      <c r="W540" s="1329"/>
      <c r="X540" s="1330"/>
      <c r="BX540" s="5">
        <v>1</v>
      </c>
    </row>
    <row r="541" spans="12:76" ht="16.5" thickBot="1">
      <c r="L541" s="141"/>
      <c r="M541" s="141"/>
      <c r="N541" s="141"/>
      <c r="O541" s="141"/>
      <c r="P541" s="141"/>
      <c r="Q541" s="1332" t="s">
        <v>86</v>
      </c>
      <c r="R541" s="1006"/>
      <c r="S541" s="1007"/>
      <c r="T541" s="1008"/>
      <c r="U541" s="1007"/>
      <c r="V541" s="1007"/>
      <c r="W541" s="1007"/>
      <c r="X541" s="1333"/>
      <c r="BX541" s="5">
        <v>1</v>
      </c>
    </row>
    <row r="542" spans="12:76">
      <c r="L542" s="141"/>
      <c r="M542" s="141"/>
      <c r="N542" s="141"/>
      <c r="O542" s="141"/>
      <c r="P542" s="141"/>
      <c r="Q542"/>
      <c r="R542"/>
      <c r="S542"/>
      <c r="T542"/>
      <c r="U542"/>
      <c r="V542"/>
      <c r="W542"/>
      <c r="X542"/>
      <c r="BX542" s="5">
        <v>1</v>
      </c>
    </row>
    <row r="543" spans="12:76">
      <c r="L543" s="141"/>
      <c r="M543" s="141"/>
      <c r="N543" s="141"/>
      <c r="O543" s="141"/>
      <c r="P543" s="141"/>
      <c r="Q543" s="141"/>
      <c r="R543" s="141"/>
      <c r="S543" s="141"/>
      <c r="T543" s="141"/>
      <c r="U543" s="141"/>
      <c r="V543" s="141"/>
      <c r="W543" s="141"/>
      <c r="X543" s="141"/>
      <c r="BX543" s="5">
        <v>1</v>
      </c>
    </row>
    <row r="544" spans="12:76" ht="15.75">
      <c r="L544" s="141"/>
      <c r="M544" s="141"/>
      <c r="N544" s="141"/>
      <c r="O544" s="141"/>
      <c r="P544" s="141"/>
      <c r="Q544" s="1354" t="s">
        <v>252</v>
      </c>
      <c r="R544" s="6151"/>
      <c r="S544" s="6151"/>
      <c r="T544" s="6151"/>
      <c r="U544" s="6151"/>
      <c r="V544" s="6152"/>
      <c r="W544" s="6325"/>
      <c r="X544" s="6133" t="s">
        <v>1256</v>
      </c>
      <c r="BX544" s="5">
        <v>1</v>
      </c>
    </row>
    <row r="545" spans="12:76" ht="15.75">
      <c r="L545" s="141"/>
      <c r="M545" s="141"/>
      <c r="N545" s="141"/>
      <c r="O545" s="141"/>
      <c r="P545" s="141"/>
      <c r="Q545" s="6173" t="s">
        <v>1296</v>
      </c>
      <c r="R545" s="1590"/>
      <c r="S545" s="1591"/>
      <c r="T545" s="1592"/>
      <c r="U545" s="1591"/>
      <c r="V545" s="1591"/>
      <c r="W545" s="8531"/>
      <c r="X545" s="1593"/>
      <c r="BX545" s="5">
        <v>1</v>
      </c>
    </row>
    <row r="546" spans="12:76" ht="15.75">
      <c r="L546" s="141"/>
      <c r="M546" s="141"/>
      <c r="N546" s="141"/>
      <c r="O546" s="141"/>
      <c r="P546" s="141"/>
      <c r="Q546" s="5271"/>
      <c r="R546" s="102"/>
      <c r="S546" s="102"/>
      <c r="T546" s="102"/>
      <c r="U546" s="1525" t="s">
        <v>1255</v>
      </c>
      <c r="V546" s="102"/>
      <c r="W546" s="8532"/>
      <c r="X546" s="1598"/>
      <c r="BX546" s="5">
        <v>1</v>
      </c>
    </row>
    <row r="547" spans="12:76">
      <c r="L547" s="141"/>
      <c r="M547" s="141"/>
      <c r="N547" s="141"/>
      <c r="O547" s="141"/>
      <c r="P547" s="141"/>
      <c r="Q547" s="6174" t="s">
        <v>1257</v>
      </c>
      <c r="R547" s="1528" t="s">
        <v>1258</v>
      </c>
      <c r="S547" s="7082" t="s">
        <v>162</v>
      </c>
      <c r="T547" s="7082"/>
      <c r="U547" s="1529" t="s">
        <v>1259</v>
      </c>
      <c r="V547"/>
      <c r="W547" s="8533" t="s">
        <v>1185</v>
      </c>
      <c r="X547" s="1530"/>
      <c r="BX547" s="5">
        <v>1</v>
      </c>
    </row>
    <row r="548" spans="12:76" ht="15.75">
      <c r="L548" s="141"/>
      <c r="M548" s="141"/>
      <c r="N548" s="141"/>
      <c r="O548" s="141"/>
      <c r="P548" s="141"/>
      <c r="Q548" s="7067">
        <v>750</v>
      </c>
      <c r="R548" s="1531">
        <v>1</v>
      </c>
      <c r="S548" s="7068" t="s">
        <v>1260</v>
      </c>
      <c r="T548" s="7068"/>
      <c r="U548" s="1532">
        <v>16</v>
      </c>
      <c r="V548" s="1401">
        <f>R548*Q548</f>
        <v>750</v>
      </c>
      <c r="W548" s="8495" t="s">
        <v>1261</v>
      </c>
      <c r="X548" s="1533"/>
      <c r="BX548" s="5">
        <v>1</v>
      </c>
    </row>
    <row r="549" spans="12:76" ht="15.75" customHeight="1">
      <c r="L549" s="141"/>
      <c r="M549" s="141"/>
      <c r="N549" s="141"/>
      <c r="O549" s="141"/>
      <c r="P549" s="141"/>
      <c r="Q549" s="7067"/>
      <c r="R549" s="6175">
        <v>120</v>
      </c>
      <c r="S549" s="260" t="s">
        <v>1262</v>
      </c>
      <c r="T549" s="1174"/>
      <c r="U549" s="6176">
        <v>1.2</v>
      </c>
      <c r="V549" s="1536">
        <f>(R549*Q548)/1000</f>
        <v>90</v>
      </c>
      <c r="W549" s="8553" t="s">
        <v>1263</v>
      </c>
      <c r="X549" s="7392"/>
      <c r="BX549" s="5">
        <v>1</v>
      </c>
    </row>
    <row r="550" spans="12:76" ht="15.75">
      <c r="L550" s="141"/>
      <c r="M550" s="141"/>
      <c r="N550" s="141"/>
      <c r="O550" s="141"/>
      <c r="P550" s="141"/>
      <c r="Q550" s="6177" t="str">
        <f>INT(V548/U548) &amp; " " &amp; W548 &amp; " de " &amp; U548 &amp; " " &amp; S548 &amp; IF(MOD(V548,U548)&gt;0, " + 1 "&amp;W548&amp;" de " &amp; TEXT(MOD(V548,U548), "0.00") &amp; " " &amp; S548, "")</f>
        <v>46 Assiette(s) de 16 madeleine(s) + 1 Assiette(s) de 14.00 madeleine(s)</v>
      </c>
      <c r="R550" s="141"/>
      <c r="S550" s="141"/>
      <c r="T550" s="141"/>
      <c r="U550" s="141"/>
      <c r="V550" s="988"/>
      <c r="W550" s="8553"/>
      <c r="X550" s="7392"/>
      <c r="BX550" s="5">
        <v>1</v>
      </c>
    </row>
    <row r="551" spans="12:76" ht="15.75">
      <c r="L551" s="141"/>
      <c r="M551" s="141"/>
      <c r="N551" s="141"/>
      <c r="O551" s="141"/>
      <c r="P551" s="141"/>
      <c r="Q551" s="6178" t="str">
        <f>IF(MOD(V549, U549) = 0, INT(V549/U549) &amp; " " &amp; W548 &amp; " de " &amp; U549 &amp; " kg", INT(V549/U549) &amp; " " &amp; W548 &amp; " de " &amp; U549 &amp; " kg" &amp; " + 1 "&amp;W548&amp;" de " &amp; TEXT(MOD(V549, U549), "0.00") &amp; " kg")</f>
        <v>75 Assiette(s) de 1.2 kg + 1 Assiette(s) de 0.00 kg</v>
      </c>
      <c r="R551" s="141"/>
      <c r="S551" s="141"/>
      <c r="T551" s="141"/>
      <c r="U551" s="141"/>
      <c r="V551" s="988"/>
      <c r="W551" s="8553"/>
      <c r="X551" s="7392"/>
      <c r="BX551" s="5">
        <v>1</v>
      </c>
    </row>
    <row r="552" spans="12:76" ht="15.75">
      <c r="L552" s="141"/>
      <c r="M552" s="141"/>
      <c r="N552" s="141"/>
      <c r="O552" s="141"/>
      <c r="P552" s="141"/>
      <c r="Q552" s="5292"/>
      <c r="R552" s="988"/>
      <c r="S552" s="988"/>
      <c r="T552" s="988"/>
      <c r="U552" s="988"/>
      <c r="V552" s="988"/>
      <c r="W552" s="8504"/>
      <c r="X552" s="1325"/>
      <c r="BX552" s="5">
        <v>1</v>
      </c>
    </row>
    <row r="553" spans="12:76" ht="15.75">
      <c r="L553" s="141"/>
      <c r="M553" s="141"/>
      <c r="N553" s="141"/>
      <c r="O553" s="141"/>
      <c r="P553" s="141"/>
      <c r="Q553" s="1369" t="s">
        <v>864</v>
      </c>
      <c r="R553" s="1321"/>
      <c r="S553" s="1321"/>
      <c r="T553" s="1321"/>
      <c r="U553" s="1321"/>
      <c r="V553" s="1321"/>
      <c r="W553" s="6329"/>
      <c r="X553" s="1370"/>
      <c r="BX553" s="5">
        <v>1</v>
      </c>
    </row>
    <row r="554" spans="12:76" ht="15.75">
      <c r="L554" s="141"/>
      <c r="M554" s="141"/>
      <c r="N554" s="141"/>
      <c r="O554" s="141"/>
      <c r="P554" s="141"/>
      <c r="Q554" s="6145"/>
      <c r="R554" s="1385"/>
      <c r="S554" s="1385"/>
      <c r="T554" s="1385"/>
      <c r="U554" s="1385"/>
      <c r="V554" s="1385"/>
      <c r="W554" s="8512"/>
      <c r="X554" s="1443"/>
      <c r="BX554" s="5">
        <v>1</v>
      </c>
    </row>
    <row r="555" spans="12:76" ht="15.75">
      <c r="L555" s="141"/>
      <c r="M555" s="141"/>
      <c r="N555" s="141"/>
      <c r="O555" s="141"/>
      <c r="P555" s="141"/>
      <c r="Q555" s="6145"/>
      <c r="R555" s="1385"/>
      <c r="S555" s="1385"/>
      <c r="T555" s="1385"/>
      <c r="U555" s="1385"/>
      <c r="V555" s="1385"/>
      <c r="W555" s="8512"/>
      <c r="X555" s="1443"/>
      <c r="BX555" s="5">
        <v>1</v>
      </c>
    </row>
    <row r="556" spans="12:76" ht="15.75">
      <c r="L556" s="141"/>
      <c r="M556" s="141"/>
      <c r="N556" s="141"/>
      <c r="O556" s="141"/>
      <c r="P556" s="141"/>
      <c r="Q556" s="6145"/>
      <c r="R556" s="1385"/>
      <c r="S556" s="1385"/>
      <c r="T556" s="1385"/>
      <c r="U556" s="1385"/>
      <c r="V556" s="1385"/>
      <c r="W556" s="8512"/>
      <c r="X556" s="1443"/>
      <c r="BX556" s="5">
        <v>1</v>
      </c>
    </row>
    <row r="557" spans="12:76" ht="15.75">
      <c r="L557" s="141"/>
      <c r="M557" s="141"/>
      <c r="N557" s="141"/>
      <c r="O557" s="141"/>
      <c r="P557" s="141"/>
      <c r="Q557" s="6145"/>
      <c r="R557" s="1385"/>
      <c r="S557" s="1385"/>
      <c r="T557" s="1385"/>
      <c r="U557" s="1385"/>
      <c r="V557" s="1385"/>
      <c r="W557" s="8512"/>
      <c r="X557" s="1443"/>
      <c r="BX557" s="5">
        <v>1</v>
      </c>
    </row>
    <row r="558" spans="12:76">
      <c r="L558" s="141"/>
      <c r="M558" s="141"/>
      <c r="N558" s="141"/>
      <c r="O558" s="141"/>
      <c r="P558" s="141"/>
      <c r="Q558" s="6131"/>
      <c r="R558" s="997"/>
      <c r="S558" s="997"/>
      <c r="T558" s="997"/>
      <c r="U558" s="997"/>
      <c r="V558" s="997"/>
      <c r="W558" s="6327"/>
      <c r="X558" s="6132" t="s">
        <v>1112</v>
      </c>
      <c r="BX558" s="5">
        <v>1</v>
      </c>
    </row>
    <row r="559" spans="12:76" ht="15.75">
      <c r="L559" s="141"/>
      <c r="M559" s="141"/>
      <c r="N559" s="141"/>
      <c r="O559" s="141"/>
      <c r="P559" s="141"/>
      <c r="Q559" s="6146"/>
      <c r="R559" s="1002"/>
      <c r="S559" s="1002" t="s">
        <v>873</v>
      </c>
      <c r="T559" s="1003"/>
      <c r="U559" s="1329"/>
      <c r="V559" s="1329"/>
      <c r="W559" s="1329"/>
      <c r="X559" s="1330"/>
      <c r="BX559" s="5">
        <v>1</v>
      </c>
    </row>
    <row r="560" spans="12:76" ht="16.5" thickBot="1">
      <c r="L560" s="141"/>
      <c r="M560" s="141"/>
      <c r="N560" s="141"/>
      <c r="O560" s="141"/>
      <c r="P560" s="141"/>
      <c r="Q560" s="1332" t="s">
        <v>86</v>
      </c>
      <c r="R560" s="1006"/>
      <c r="S560" s="1007"/>
      <c r="T560" s="1008"/>
      <c r="U560" s="1007"/>
      <c r="V560" s="1007"/>
      <c r="W560" s="1007"/>
      <c r="X560" s="1333"/>
      <c r="BX560" s="5">
        <v>1</v>
      </c>
    </row>
    <row r="561" spans="12:76">
      <c r="L561" s="141"/>
      <c r="M561" s="141"/>
      <c r="N561" s="141"/>
      <c r="O561" s="141"/>
      <c r="P561" s="141"/>
      <c r="Q561"/>
      <c r="R561"/>
      <c r="S561"/>
      <c r="T561"/>
      <c r="U561"/>
      <c r="V561"/>
      <c r="W561"/>
      <c r="X561"/>
      <c r="BX561" s="5">
        <v>1</v>
      </c>
    </row>
    <row r="562" spans="12:76">
      <c r="L562" s="141"/>
      <c r="M562" s="141"/>
      <c r="N562" s="141"/>
      <c r="O562" s="141"/>
      <c r="P562" s="141"/>
      <c r="Q562" s="141"/>
      <c r="R562" s="141"/>
      <c r="S562" s="141"/>
      <c r="T562" s="141"/>
      <c r="U562" s="141"/>
      <c r="V562" s="141"/>
      <c r="W562" s="141"/>
      <c r="X562" s="141"/>
      <c r="BX562" s="5">
        <v>1</v>
      </c>
    </row>
    <row r="563" spans="12:76" ht="15.75">
      <c r="L563" s="141"/>
      <c r="M563" s="141"/>
      <c r="N563" s="141"/>
      <c r="O563" s="141"/>
      <c r="P563" s="141"/>
      <c r="Q563" s="1354" t="s">
        <v>252</v>
      </c>
      <c r="R563" s="6151"/>
      <c r="S563" s="6151"/>
      <c r="T563" s="6151"/>
      <c r="U563" s="6151"/>
      <c r="V563" s="6152"/>
      <c r="W563" s="6325"/>
      <c r="X563" s="6133" t="s">
        <v>1298</v>
      </c>
      <c r="BX563" s="5">
        <v>1</v>
      </c>
    </row>
    <row r="564" spans="12:76" ht="15.75">
      <c r="L564" s="141"/>
      <c r="M564" s="141"/>
      <c r="N564" s="141"/>
      <c r="O564" s="141"/>
      <c r="P564" s="141"/>
      <c r="Q564" s="5271"/>
      <c r="R564" s="147"/>
      <c r="S564" s="147"/>
      <c r="T564" s="147"/>
      <c r="U564" s="147"/>
      <c r="V564" s="147"/>
      <c r="W564" s="8530"/>
      <c r="X564" s="1580" t="s">
        <v>1293</v>
      </c>
      <c r="BX564" s="5">
        <v>1</v>
      </c>
    </row>
    <row r="565" spans="12:76" ht="15.75">
      <c r="L565" s="141"/>
      <c r="M565" s="141"/>
      <c r="N565" s="141"/>
      <c r="O565" s="141"/>
      <c r="P565" s="141"/>
      <c r="Q565" s="6179"/>
      <c r="R565" s="1601" t="s">
        <v>762</v>
      </c>
      <c r="S565" s="988"/>
      <c r="T565" s="1602">
        <v>2</v>
      </c>
      <c r="U565" s="1603"/>
      <c r="V565" s="1604">
        <v>10</v>
      </c>
      <c r="W565" s="8534" t="s">
        <v>751</v>
      </c>
      <c r="X565" s="6180"/>
      <c r="BX565" s="5">
        <v>1</v>
      </c>
    </row>
    <row r="566" spans="12:76" ht="15.75">
      <c r="L566" s="141"/>
      <c r="M566" s="141"/>
      <c r="N566" s="141"/>
      <c r="O566" s="141"/>
      <c r="P566" s="141"/>
      <c r="Q566" s="6181"/>
      <c r="R566" s="6182" t="s">
        <v>759</v>
      </c>
      <c r="S566" s="988"/>
      <c r="T566" s="1606">
        <v>1</v>
      </c>
      <c r="U566" s="1607"/>
      <c r="V566" s="1608">
        <v>15</v>
      </c>
      <c r="W566" s="8535" t="s">
        <v>752</v>
      </c>
      <c r="X566" s="1609"/>
      <c r="BX566" s="5">
        <v>1</v>
      </c>
    </row>
    <row r="567" spans="12:76" ht="15.75">
      <c r="L567" s="141"/>
      <c r="M567" s="141"/>
      <c r="N567" s="141"/>
      <c r="O567" s="141"/>
      <c r="P567" s="141"/>
      <c r="Q567" s="6183"/>
      <c r="R567" s="1611" t="s">
        <v>765</v>
      </c>
      <c r="S567" s="988"/>
      <c r="T567" s="1612">
        <f>IF(T565=0,0,IF(T566=0,0,T565-T566))</f>
        <v>1</v>
      </c>
      <c r="U567" s="1613"/>
      <c r="V567" s="1614">
        <f>IF(V565=0,0,IF(V566=0,0,V566-V565))</f>
        <v>5</v>
      </c>
      <c r="W567" s="8536" t="s">
        <v>754</v>
      </c>
      <c r="X567" s="1615"/>
      <c r="BX567" s="5">
        <v>1</v>
      </c>
    </row>
    <row r="568" spans="12:76" ht="15.75">
      <c r="L568" s="141"/>
      <c r="M568" s="141"/>
      <c r="N568" s="141"/>
      <c r="O568" s="141"/>
      <c r="P568" s="141"/>
      <c r="Q568" s="6183"/>
      <c r="R568" s="1611" t="s">
        <v>768</v>
      </c>
      <c r="S568" s="988"/>
      <c r="T568" s="1616">
        <f>IF(T565=0,0,T567/T565)</f>
        <v>0.5</v>
      </c>
      <c r="U568" s="1617"/>
      <c r="V568" s="1618">
        <f>IF(V565=0,0,IF(ISBLANK(V565),0,(V567/V565)*100))</f>
        <v>50</v>
      </c>
      <c r="W568" s="8536" t="s">
        <v>753</v>
      </c>
      <c r="X568" s="1615"/>
      <c r="BX568" s="5">
        <v>1</v>
      </c>
    </row>
    <row r="569" spans="12:76" ht="15.75">
      <c r="L569" s="141"/>
      <c r="M569" s="141"/>
      <c r="N569" s="141"/>
      <c r="O569" s="141"/>
      <c r="P569" s="141"/>
      <c r="Q569" s="6181"/>
      <c r="R569" s="6182" t="s">
        <v>764</v>
      </c>
      <c r="S569" s="988"/>
      <c r="T569" s="1619">
        <v>50</v>
      </c>
      <c r="U569" s="1603"/>
      <c r="V569" s="1604">
        <v>10</v>
      </c>
      <c r="W569" s="8534" t="s">
        <v>751</v>
      </c>
      <c r="X569" s="6180"/>
      <c r="BX569" s="5">
        <v>1</v>
      </c>
    </row>
    <row r="570" spans="12:76" ht="15.75">
      <c r="L570" s="141"/>
      <c r="M570" s="141"/>
      <c r="N570" s="141"/>
      <c r="O570" s="141"/>
      <c r="P570" s="141"/>
      <c r="Q570" s="6183"/>
      <c r="R570" s="1611" t="s">
        <v>765</v>
      </c>
      <c r="S570" s="988"/>
      <c r="T570" s="1612">
        <f>T565*T569%</f>
        <v>1</v>
      </c>
      <c r="U570" s="1620"/>
      <c r="V570" s="1621">
        <v>50</v>
      </c>
      <c r="W570" s="8537" t="s">
        <v>753</v>
      </c>
      <c r="X570" s="1622"/>
      <c r="BX570" s="5">
        <v>1</v>
      </c>
    </row>
    <row r="571" spans="12:76" ht="15.75">
      <c r="L571" s="141"/>
      <c r="M571" s="141"/>
      <c r="N571" s="141"/>
      <c r="O571" s="141"/>
      <c r="P571" s="141"/>
      <c r="Q571" s="6183"/>
      <c r="R571" s="1611" t="s">
        <v>773</v>
      </c>
      <c r="S571" s="988"/>
      <c r="T571" s="1612">
        <f>T565-T570</f>
        <v>1</v>
      </c>
      <c r="U571" s="1613"/>
      <c r="V571" s="1614">
        <f>V569*V570%</f>
        <v>5</v>
      </c>
      <c r="W571" s="8536" t="s">
        <v>754</v>
      </c>
      <c r="X571" s="1615"/>
      <c r="BX571" s="5">
        <v>1</v>
      </c>
    </row>
    <row r="572" spans="12:76" ht="15.75">
      <c r="L572" s="141"/>
      <c r="M572" s="141"/>
      <c r="N572" s="141"/>
      <c r="O572" s="141"/>
      <c r="P572" s="141"/>
      <c r="Q572" s="5292"/>
      <c r="R572" s="1257"/>
      <c r="S572" s="988"/>
      <c r="T572" s="1623"/>
      <c r="U572" s="1624"/>
      <c r="V572" s="1614">
        <f>((V569*V570)/100)+V569</f>
        <v>15</v>
      </c>
      <c r="W572" s="8536" t="s">
        <v>752</v>
      </c>
      <c r="X572" s="1615"/>
      <c r="BX572" s="5">
        <v>1</v>
      </c>
    </row>
    <row r="573" spans="12:76" ht="15.75">
      <c r="L573" s="141"/>
      <c r="M573" s="141"/>
      <c r="N573" s="141"/>
      <c r="O573" s="141"/>
      <c r="P573" s="141"/>
      <c r="Q573" s="1369" t="s">
        <v>864</v>
      </c>
      <c r="R573" s="1321"/>
      <c r="S573" s="1321"/>
      <c r="T573" s="1321"/>
      <c r="U573" s="1321"/>
      <c r="V573" s="1321"/>
      <c r="W573" s="6329"/>
      <c r="X573" s="1370"/>
      <c r="BX573" s="5">
        <v>1</v>
      </c>
    </row>
    <row r="574" spans="12:76" ht="15.75">
      <c r="L574" s="141"/>
      <c r="M574" s="141"/>
      <c r="N574" s="141"/>
      <c r="O574" s="141"/>
      <c r="P574" s="141"/>
      <c r="Q574" s="6145"/>
      <c r="R574" s="1385"/>
      <c r="S574" s="1385"/>
      <c r="T574" s="1385"/>
      <c r="U574" s="1385"/>
      <c r="V574" s="1385"/>
      <c r="W574" s="8512"/>
      <c r="X574" s="1443"/>
      <c r="BX574" s="5">
        <v>1</v>
      </c>
    </row>
    <row r="575" spans="12:76" ht="15.75">
      <c r="L575" s="141"/>
      <c r="M575" s="141"/>
      <c r="N575" s="141"/>
      <c r="O575" s="141"/>
      <c r="P575" s="141"/>
      <c r="Q575" s="6145"/>
      <c r="R575" s="1385"/>
      <c r="S575" s="1385"/>
      <c r="T575" s="1385"/>
      <c r="U575" s="1385"/>
      <c r="V575" s="1385"/>
      <c r="W575" s="8512"/>
      <c r="X575" s="1443"/>
      <c r="BX575" s="5">
        <v>1</v>
      </c>
    </row>
    <row r="576" spans="12:76" ht="15.75">
      <c r="L576" s="141"/>
      <c r="M576" s="141"/>
      <c r="N576" s="141"/>
      <c r="O576" s="141"/>
      <c r="P576" s="141"/>
      <c r="Q576" s="6145"/>
      <c r="R576" s="1385"/>
      <c r="S576" s="1385"/>
      <c r="T576" s="1385"/>
      <c r="U576" s="1385"/>
      <c r="V576" s="1385"/>
      <c r="W576" s="8512"/>
      <c r="X576" s="1443"/>
      <c r="BX576" s="5">
        <v>1</v>
      </c>
    </row>
    <row r="577" spans="1:78">
      <c r="L577" s="141"/>
      <c r="M577" s="141"/>
      <c r="N577" s="141"/>
      <c r="O577" s="141"/>
      <c r="P577" s="141"/>
      <c r="Q577" s="6131"/>
      <c r="R577" s="997"/>
      <c r="S577" s="997"/>
      <c r="T577" s="997"/>
      <c r="U577" s="997"/>
      <c r="V577" s="997"/>
      <c r="W577" s="6327"/>
      <c r="X577" s="6132" t="s">
        <v>1112</v>
      </c>
      <c r="BX577" s="5">
        <v>1</v>
      </c>
    </row>
    <row r="578" spans="1:78" ht="15.75">
      <c r="L578" s="141"/>
      <c r="M578" s="141"/>
      <c r="N578" s="141"/>
      <c r="O578" s="141"/>
      <c r="P578" s="141"/>
      <c r="Q578" s="6146"/>
      <c r="R578" s="1002"/>
      <c r="S578" s="1002" t="s">
        <v>873</v>
      </c>
      <c r="T578" s="1003"/>
      <c r="U578" s="1329"/>
      <c r="V578" s="1329"/>
      <c r="W578" s="1329"/>
      <c r="X578" s="1330"/>
      <c r="BX578" s="5">
        <v>1</v>
      </c>
    </row>
    <row r="579" spans="1:78" ht="16.5" thickBot="1">
      <c r="L579" s="141"/>
      <c r="M579" s="141"/>
      <c r="N579" s="141"/>
      <c r="O579" s="141"/>
      <c r="P579" s="141"/>
      <c r="Q579" s="1332" t="s">
        <v>86</v>
      </c>
      <c r="R579" s="1006"/>
      <c r="S579" s="1007"/>
      <c r="T579" s="1008"/>
      <c r="U579" s="1007"/>
      <c r="V579" s="1007"/>
      <c r="W579" s="1007"/>
      <c r="X579" s="1333"/>
      <c r="BX579" s="5">
        <v>1</v>
      </c>
    </row>
    <row r="580" spans="1:78">
      <c r="L580" s="141"/>
      <c r="M580" s="141"/>
      <c r="N580" s="141"/>
      <c r="O580" s="141"/>
      <c r="P580" s="141"/>
      <c r="Q580"/>
      <c r="R580"/>
      <c r="S580"/>
      <c r="T580"/>
      <c r="U580"/>
      <c r="V580"/>
      <c r="W580"/>
      <c r="X580"/>
      <c r="BX580" s="5">
        <v>1</v>
      </c>
    </row>
    <row r="581" spans="1:78">
      <c r="L581"/>
      <c r="M581"/>
      <c r="N581"/>
      <c r="O581"/>
      <c r="P581"/>
      <c r="Q581"/>
      <c r="R581"/>
      <c r="S581"/>
      <c r="T581"/>
      <c r="U581"/>
      <c r="V581"/>
      <c r="W581"/>
      <c r="X581"/>
      <c r="BX581" s="5">
        <v>1</v>
      </c>
    </row>
    <row r="582" spans="1:78">
      <c r="L582"/>
      <c r="M582"/>
      <c r="N582"/>
      <c r="O582"/>
      <c r="P582"/>
      <c r="Q582"/>
      <c r="R582"/>
      <c r="S582"/>
      <c r="T582"/>
      <c r="U582"/>
      <c r="V582"/>
      <c r="W582"/>
      <c r="X582"/>
      <c r="BX582" s="10" t="s">
        <v>0</v>
      </c>
      <c r="BY582" s="6184"/>
      <c r="BZ582" s="6184"/>
    </row>
    <row r="583" spans="1:78">
      <c r="A583" s="5">
        <v>1</v>
      </c>
      <c r="B583" s="5">
        <v>1</v>
      </c>
      <c r="C583" s="5">
        <v>1</v>
      </c>
      <c r="D583" s="5">
        <v>1</v>
      </c>
      <c r="E583" s="5">
        <v>1</v>
      </c>
      <c r="F583" s="5">
        <v>1</v>
      </c>
      <c r="G583" s="5">
        <v>1</v>
      </c>
      <c r="H583" s="5">
        <v>1</v>
      </c>
      <c r="I583" s="5">
        <v>1</v>
      </c>
      <c r="J583" s="5">
        <v>1</v>
      </c>
      <c r="K583" s="5">
        <v>1</v>
      </c>
      <c r="L583" s="5">
        <v>1</v>
      </c>
      <c r="M583" s="5">
        <v>1</v>
      </c>
      <c r="N583" s="5">
        <v>1</v>
      </c>
      <c r="O583" s="5">
        <v>1</v>
      </c>
      <c r="P583" s="5"/>
      <c r="Q583" s="5">
        <v>1</v>
      </c>
      <c r="R583" s="5">
        <v>1</v>
      </c>
      <c r="S583" s="5">
        <v>1</v>
      </c>
      <c r="T583" s="5">
        <v>1</v>
      </c>
      <c r="U583" s="5">
        <v>1</v>
      </c>
      <c r="V583" s="5">
        <v>1</v>
      </c>
      <c r="W583" s="5">
        <v>1</v>
      </c>
      <c r="X583" s="5"/>
      <c r="Y583" s="5">
        <v>1</v>
      </c>
      <c r="Z583" s="5">
        <v>1</v>
      </c>
      <c r="AA583" s="5">
        <v>1</v>
      </c>
      <c r="AB583" s="5">
        <v>1</v>
      </c>
      <c r="AC583" s="5">
        <v>1</v>
      </c>
      <c r="AD583" s="5">
        <v>1</v>
      </c>
      <c r="AE583" s="5">
        <v>1</v>
      </c>
      <c r="AF583" s="5">
        <v>1</v>
      </c>
      <c r="AG583" s="5">
        <v>1</v>
      </c>
      <c r="AH583" s="5">
        <v>1</v>
      </c>
      <c r="AI583" s="5">
        <v>1</v>
      </c>
      <c r="AJ583" s="5">
        <v>1</v>
      </c>
      <c r="AK583" s="5">
        <v>1</v>
      </c>
      <c r="AL583" s="5">
        <v>1</v>
      </c>
      <c r="AM583" s="5">
        <v>1</v>
      </c>
      <c r="AN583" s="5"/>
      <c r="AO583" s="5">
        <v>1</v>
      </c>
      <c r="AP583" s="5">
        <v>1</v>
      </c>
      <c r="AQ583" s="5">
        <v>1</v>
      </c>
      <c r="AR583" s="5">
        <v>1</v>
      </c>
      <c r="AS583" s="5">
        <v>1</v>
      </c>
      <c r="AT583" s="5">
        <v>1</v>
      </c>
      <c r="AU583" s="5"/>
      <c r="AV583" s="5"/>
      <c r="AW583" s="5">
        <v>1</v>
      </c>
      <c r="AX583" s="5">
        <v>1</v>
      </c>
      <c r="AY583" s="5">
        <v>1</v>
      </c>
      <c r="AZ583" s="5">
        <v>1</v>
      </c>
      <c r="BA583" s="5">
        <v>1</v>
      </c>
      <c r="BB583" s="5">
        <v>1</v>
      </c>
      <c r="BC583" s="5">
        <v>1</v>
      </c>
      <c r="BD583" s="5">
        <v>1</v>
      </c>
      <c r="BE583" s="5">
        <v>1</v>
      </c>
      <c r="BF583" s="5">
        <v>1</v>
      </c>
      <c r="BG583" s="5">
        <v>1</v>
      </c>
      <c r="BH583" s="5">
        <v>1</v>
      </c>
      <c r="BI583" s="5">
        <v>1</v>
      </c>
      <c r="BJ583" s="5">
        <v>1</v>
      </c>
      <c r="BK583" s="5">
        <v>1</v>
      </c>
      <c r="BL583" s="5">
        <v>1</v>
      </c>
      <c r="BM583" s="5">
        <v>1</v>
      </c>
      <c r="BN583" s="5">
        <v>1</v>
      </c>
      <c r="BO583" s="5">
        <v>1</v>
      </c>
      <c r="BP583" s="5">
        <v>1</v>
      </c>
      <c r="BQ583" s="5">
        <v>1</v>
      </c>
      <c r="BR583" s="5">
        <v>1</v>
      </c>
      <c r="BS583" s="5">
        <v>1</v>
      </c>
      <c r="BT583" s="5">
        <v>1</v>
      </c>
      <c r="BU583" s="5">
        <v>1</v>
      </c>
      <c r="BV583" s="5">
        <v>1</v>
      </c>
      <c r="BW583" s="5">
        <v>1</v>
      </c>
      <c r="BX583" s="9" t="str">
        <f>ADDRESS(ROW(),COLUMN(),4)</f>
        <v>BX583</v>
      </c>
      <c r="BY583" s="8"/>
      <c r="BZ583" s="7" t="str">
        <f>ADDRESS(ROW(),COLUMN(),4)</f>
        <v>BZ583</v>
      </c>
    </row>
  </sheetData>
  <autoFilter ref="AW5:AX332" xr:uid="{49958FF0-4033-4E13-A095-66BB060CF70B}"/>
  <mergeCells count="322">
    <mergeCell ref="Q357:X358"/>
    <mergeCell ref="X450:X451"/>
    <mergeCell ref="X549:X551"/>
    <mergeCell ref="S547:T547"/>
    <mergeCell ref="Q548:Q549"/>
    <mergeCell ref="S548:T548"/>
    <mergeCell ref="W549:W551"/>
    <mergeCell ref="AN19:AR20"/>
    <mergeCell ref="AN21:AR22"/>
    <mergeCell ref="AN23:AR24"/>
    <mergeCell ref="AN25:AR26"/>
    <mergeCell ref="AN27:AR28"/>
    <mergeCell ref="AN29:AR30"/>
    <mergeCell ref="R450:R451"/>
    <mergeCell ref="S450:S451"/>
    <mergeCell ref="T450:T451"/>
    <mergeCell ref="U450:U451"/>
    <mergeCell ref="V450:V451"/>
    <mergeCell ref="W450:W451"/>
    <mergeCell ref="Q362:X365"/>
    <mergeCell ref="Q356:X356"/>
    <mergeCell ref="AQ290:AQ291"/>
    <mergeCell ref="Y317:AB317"/>
    <mergeCell ref="AA318:AB318"/>
    <mergeCell ref="AA319:AB319"/>
    <mergeCell ref="Y320:Z320"/>
    <mergeCell ref="AS322:AS329"/>
    <mergeCell ref="Y323:AB324"/>
    <mergeCell ref="Y327:AB328"/>
    <mergeCell ref="AF289:AH289"/>
    <mergeCell ref="T290:T291"/>
    <mergeCell ref="U290:U291"/>
    <mergeCell ref="V290:V291"/>
    <mergeCell ref="Y290:Y291"/>
    <mergeCell ref="Z290:Z291"/>
    <mergeCell ref="AA290:AA291"/>
    <mergeCell ref="AB290:AB291"/>
    <mergeCell ref="U285:W286"/>
    <mergeCell ref="AK286:AM287"/>
    <mergeCell ref="AO286:AO287"/>
    <mergeCell ref="AP286:AR287"/>
    <mergeCell ref="S288:U288"/>
    <mergeCell ref="AF288:AH288"/>
    <mergeCell ref="Y278:AB279"/>
    <mergeCell ref="T282:Y283"/>
    <mergeCell ref="Z282:AA283"/>
    <mergeCell ref="AB282:AB283"/>
    <mergeCell ref="AD282:AQ283"/>
    <mergeCell ref="AR282:AR283"/>
    <mergeCell ref="AQ241:AQ242"/>
    <mergeCell ref="Y268:AB268"/>
    <mergeCell ref="AA269:AB269"/>
    <mergeCell ref="AA270:AB270"/>
    <mergeCell ref="Y271:Z271"/>
    <mergeCell ref="Y274:AB275"/>
    <mergeCell ref="S239:U239"/>
    <mergeCell ref="AF239:AH239"/>
    <mergeCell ref="AF240:AH240"/>
    <mergeCell ref="T241:T242"/>
    <mergeCell ref="U241:U242"/>
    <mergeCell ref="V241:V242"/>
    <mergeCell ref="Y241:Y242"/>
    <mergeCell ref="Z241:Z242"/>
    <mergeCell ref="AA241:AA242"/>
    <mergeCell ref="AB241:AB242"/>
    <mergeCell ref="AD233:AQ234"/>
    <mergeCell ref="AR233:AR234"/>
    <mergeCell ref="U236:W237"/>
    <mergeCell ref="AK237:AM238"/>
    <mergeCell ref="AO237:AO238"/>
    <mergeCell ref="AP237:AR238"/>
    <mergeCell ref="Y222:Z222"/>
    <mergeCell ref="Y225:AB226"/>
    <mergeCell ref="Y229:AB230"/>
    <mergeCell ref="T233:Y234"/>
    <mergeCell ref="Z233:AA234"/>
    <mergeCell ref="AB233:AB234"/>
    <mergeCell ref="AQ192:AQ193"/>
    <mergeCell ref="BL203:BR204"/>
    <mergeCell ref="BL207:BR210"/>
    <mergeCell ref="Y219:AB219"/>
    <mergeCell ref="AA220:AB220"/>
    <mergeCell ref="AA221:AB221"/>
    <mergeCell ref="AF191:AH191"/>
    <mergeCell ref="T192:T193"/>
    <mergeCell ref="U192:U193"/>
    <mergeCell ref="V192:V193"/>
    <mergeCell ref="Y192:Y193"/>
    <mergeCell ref="Z192:Z193"/>
    <mergeCell ref="AA192:AA193"/>
    <mergeCell ref="AB192:AB193"/>
    <mergeCell ref="U187:W188"/>
    <mergeCell ref="AK188:AM189"/>
    <mergeCell ref="AO188:AO189"/>
    <mergeCell ref="AP188:AR189"/>
    <mergeCell ref="BL189:BM190"/>
    <mergeCell ref="BN189:BO190"/>
    <mergeCell ref="S190:U190"/>
    <mergeCell ref="AF190:AH190"/>
    <mergeCell ref="Y180:AB181"/>
    <mergeCell ref="BM180:BP181"/>
    <mergeCell ref="T184:Y185"/>
    <mergeCell ref="Z184:AA185"/>
    <mergeCell ref="AB184:AB185"/>
    <mergeCell ref="AD184:AQ185"/>
    <mergeCell ref="AR184:AR185"/>
    <mergeCell ref="AA172:AB172"/>
    <mergeCell ref="BO172:BP172"/>
    <mergeCell ref="Y173:Z173"/>
    <mergeCell ref="BM173:BN173"/>
    <mergeCell ref="Y176:AB177"/>
    <mergeCell ref="BM176:BP177"/>
    <mergeCell ref="AB143:AB144"/>
    <mergeCell ref="AQ143:AQ144"/>
    <mergeCell ref="BM148:BM153"/>
    <mergeCell ref="Y170:AB170"/>
    <mergeCell ref="BM170:BP170"/>
    <mergeCell ref="AA171:AB171"/>
    <mergeCell ref="BO171:BP171"/>
    <mergeCell ref="S141:U141"/>
    <mergeCell ref="AF141:AH141"/>
    <mergeCell ref="BO141:BO142"/>
    <mergeCell ref="AF142:AH142"/>
    <mergeCell ref="T143:T144"/>
    <mergeCell ref="U143:U144"/>
    <mergeCell ref="V143:V144"/>
    <mergeCell ref="Y143:Y144"/>
    <mergeCell ref="Z143:Z144"/>
    <mergeCell ref="AA143:AA144"/>
    <mergeCell ref="T135:Y136"/>
    <mergeCell ref="Z135:AA136"/>
    <mergeCell ref="AB135:AB136"/>
    <mergeCell ref="AD135:AQ136"/>
    <mergeCell ref="AR135:AR136"/>
    <mergeCell ref="U138:W139"/>
    <mergeCell ref="AK139:AM140"/>
    <mergeCell ref="AO139:AO140"/>
    <mergeCell ref="AP139:AR140"/>
    <mergeCell ref="AA123:AB123"/>
    <mergeCell ref="Y124:Z124"/>
    <mergeCell ref="BL124:BL130"/>
    <mergeCell ref="Y127:AB128"/>
    <mergeCell ref="Y131:AB132"/>
    <mergeCell ref="BL132:BR133"/>
    <mergeCell ref="AQ94:AQ95"/>
    <mergeCell ref="BL102:BL105"/>
    <mergeCell ref="BM114:BR114"/>
    <mergeCell ref="Y121:AB121"/>
    <mergeCell ref="BL121:BR122"/>
    <mergeCell ref="AA122:AB122"/>
    <mergeCell ref="AF93:AH93"/>
    <mergeCell ref="T94:T95"/>
    <mergeCell ref="U94:U95"/>
    <mergeCell ref="V94:V95"/>
    <mergeCell ref="Y94:Y95"/>
    <mergeCell ref="Z94:Z95"/>
    <mergeCell ref="AA94:AA95"/>
    <mergeCell ref="AB94:AB95"/>
    <mergeCell ref="U89:W90"/>
    <mergeCell ref="AK90:AM91"/>
    <mergeCell ref="AO90:AO91"/>
    <mergeCell ref="AP90:AR91"/>
    <mergeCell ref="S92:U92"/>
    <mergeCell ref="AF92:AH92"/>
    <mergeCell ref="BL75:BL84"/>
    <mergeCell ref="BM75:BM76"/>
    <mergeCell ref="Y78:AB79"/>
    <mergeCell ref="Y82:AB83"/>
    <mergeCell ref="T86:Y87"/>
    <mergeCell ref="Z86:AA87"/>
    <mergeCell ref="AB86:AB87"/>
    <mergeCell ref="AD86:AQ87"/>
    <mergeCell ref="AR86:AR87"/>
    <mergeCell ref="AS86:AS321"/>
    <mergeCell ref="BO52:BO53"/>
    <mergeCell ref="BP52:BP53"/>
    <mergeCell ref="BM63:BO64"/>
    <mergeCell ref="BP63:BP64"/>
    <mergeCell ref="BQ63:BR64"/>
    <mergeCell ref="BD68:BJ69"/>
    <mergeCell ref="BL69:BL73"/>
    <mergeCell ref="BM70:BR71"/>
    <mergeCell ref="Z45:Z46"/>
    <mergeCell ref="AA45:AA46"/>
    <mergeCell ref="AB45:AB46"/>
    <mergeCell ref="AQ45:AQ46"/>
    <mergeCell ref="AS45:AS84"/>
    <mergeCell ref="BD47:BJ48"/>
    <mergeCell ref="Y72:AB72"/>
    <mergeCell ref="AA73:AB73"/>
    <mergeCell ref="AA74:AB74"/>
    <mergeCell ref="Y75:Z75"/>
    <mergeCell ref="BP41:BP42"/>
    <mergeCell ref="BQ41:BQ42"/>
    <mergeCell ref="BD42:BJ45"/>
    <mergeCell ref="S43:U43"/>
    <mergeCell ref="AF43:AH43"/>
    <mergeCell ref="AF44:AH44"/>
    <mergeCell ref="T45:T46"/>
    <mergeCell ref="U45:U46"/>
    <mergeCell ref="V45:V46"/>
    <mergeCell ref="Y45:Y46"/>
    <mergeCell ref="AS37:AS44"/>
    <mergeCell ref="BE38:BE39"/>
    <mergeCell ref="BF38:BF39"/>
    <mergeCell ref="BG38:BG39"/>
    <mergeCell ref="U40:W41"/>
    <mergeCell ref="AK41:AM42"/>
    <mergeCell ref="AO41:AO42"/>
    <mergeCell ref="AP41:AR42"/>
    <mergeCell ref="C37:C38"/>
    <mergeCell ref="T37:Y38"/>
    <mergeCell ref="Z37:AA38"/>
    <mergeCell ref="AB37:AB38"/>
    <mergeCell ref="AD37:AQ38"/>
    <mergeCell ref="AR37:AR38"/>
    <mergeCell ref="BD29:BJ31"/>
    <mergeCell ref="AX31:BB32"/>
    <mergeCell ref="BD32:BJ34"/>
    <mergeCell ref="BE35:BG36"/>
    <mergeCell ref="BH35:BJ36"/>
    <mergeCell ref="AA29:AA30"/>
    <mergeCell ref="AD29:AD30"/>
    <mergeCell ref="AE29:AF30"/>
    <mergeCell ref="AJ29:AJ30"/>
    <mergeCell ref="AK29:AL30"/>
    <mergeCell ref="AM29:AM30"/>
    <mergeCell ref="Q29:Q30"/>
    <mergeCell ref="R29:R30"/>
    <mergeCell ref="U29:U30"/>
    <mergeCell ref="V29:V30"/>
    <mergeCell ref="Y29:Y30"/>
    <mergeCell ref="Z29:Z30"/>
    <mergeCell ref="AE27:AF28"/>
    <mergeCell ref="AJ27:AJ28"/>
    <mergeCell ref="AK27:AL28"/>
    <mergeCell ref="AM27:AM28"/>
    <mergeCell ref="D28:G28"/>
    <mergeCell ref="BD26:BJ28"/>
    <mergeCell ref="Q27:Q28"/>
    <mergeCell ref="R27:R28"/>
    <mergeCell ref="U27:U28"/>
    <mergeCell ref="V27:V28"/>
    <mergeCell ref="Y27:Y28"/>
    <mergeCell ref="Z27:Z28"/>
    <mergeCell ref="AA27:AA28"/>
    <mergeCell ref="AD27:AD28"/>
    <mergeCell ref="AA25:AA26"/>
    <mergeCell ref="AD25:AD26"/>
    <mergeCell ref="AE25:AF26"/>
    <mergeCell ref="AJ25:AJ26"/>
    <mergeCell ref="AK25:AL26"/>
    <mergeCell ref="AM25:AM26"/>
    <mergeCell ref="AJ23:AJ24"/>
    <mergeCell ref="AK23:AL24"/>
    <mergeCell ref="AM23:AM24"/>
    <mergeCell ref="Q25:Q26"/>
    <mergeCell ref="R25:R26"/>
    <mergeCell ref="U25:U26"/>
    <mergeCell ref="V25:V26"/>
    <mergeCell ref="Y25:Y26"/>
    <mergeCell ref="Z25:Z26"/>
    <mergeCell ref="Q23:Q24"/>
    <mergeCell ref="R23:R24"/>
    <mergeCell ref="U23:U24"/>
    <mergeCell ref="V23:V24"/>
    <mergeCell ref="Y23:Y24"/>
    <mergeCell ref="Z23:Z24"/>
    <mergeCell ref="AA23:AA24"/>
    <mergeCell ref="AD23:AD24"/>
    <mergeCell ref="AE23:AF24"/>
    <mergeCell ref="AA21:AA22"/>
    <mergeCell ref="AD21:AD22"/>
    <mergeCell ref="AE21:AF22"/>
    <mergeCell ref="AJ21:AJ22"/>
    <mergeCell ref="AK21:AL22"/>
    <mergeCell ref="AM21:AM22"/>
    <mergeCell ref="Q21:Q22"/>
    <mergeCell ref="R21:R22"/>
    <mergeCell ref="U21:U22"/>
    <mergeCell ref="V21:V22"/>
    <mergeCell ref="Y21:Y22"/>
    <mergeCell ref="Z21:Z22"/>
    <mergeCell ref="AD19:AD20"/>
    <mergeCell ref="AE19:AF20"/>
    <mergeCell ref="AJ19:AJ20"/>
    <mergeCell ref="AK19:AL20"/>
    <mergeCell ref="AM19:AM20"/>
    <mergeCell ref="R19:R20"/>
    <mergeCell ref="U19:U20"/>
    <mergeCell ref="V19:V20"/>
    <mergeCell ref="Y19:Y20"/>
    <mergeCell ref="Z19:Z20"/>
    <mergeCell ref="AA19:AA20"/>
    <mergeCell ref="BT9:BV9"/>
    <mergeCell ref="AL10:AP11"/>
    <mergeCell ref="AQ10:AQ11"/>
    <mergeCell ref="AR10:AR11"/>
    <mergeCell ref="BD11:BJ11"/>
    <mergeCell ref="Q16:V17"/>
    <mergeCell ref="Y16:AB17"/>
    <mergeCell ref="AM16:AM18"/>
    <mergeCell ref="AS16:AS33"/>
    <mergeCell ref="Q19:Q20"/>
    <mergeCell ref="C8:J8"/>
    <mergeCell ref="Q8:Q9"/>
    <mergeCell ref="R8:AO9"/>
    <mergeCell ref="AP8:AQ9"/>
    <mergeCell ref="AR8:AR9"/>
    <mergeCell ref="BD8:BJ8"/>
    <mergeCell ref="D9:J9"/>
    <mergeCell ref="BD9:BJ10"/>
    <mergeCell ref="B3:J4"/>
    <mergeCell ref="BD5:BJ7"/>
    <mergeCell ref="BL5:BR7"/>
    <mergeCell ref="C6:J7"/>
    <mergeCell ref="Q6:Q7"/>
    <mergeCell ref="R6:AO7"/>
    <mergeCell ref="AP6:AQ7"/>
    <mergeCell ref="AR6:AR7"/>
    <mergeCell ref="AS6:AS13"/>
    <mergeCell ref="AX6:BB7"/>
  </mergeCells>
  <phoneticPr fontId="121" type="noConversion"/>
  <conditionalFormatting sqref="V47:V60">
    <cfRule type="cellIs" dxfId="164" priority="59" operator="notEqual">
      <formula>1</formula>
    </cfRule>
  </conditionalFormatting>
  <conditionalFormatting sqref="V96:V109">
    <cfRule type="cellIs" dxfId="163" priority="58" operator="notEqual">
      <formula>1</formula>
    </cfRule>
  </conditionalFormatting>
  <conditionalFormatting sqref="V145:V158">
    <cfRule type="cellIs" dxfId="162" priority="57" operator="notEqual">
      <formula>1</formula>
    </cfRule>
  </conditionalFormatting>
  <conditionalFormatting sqref="V194:V207">
    <cfRule type="cellIs" dxfId="161" priority="56" operator="notEqual">
      <formula>1</formula>
    </cfRule>
  </conditionalFormatting>
  <conditionalFormatting sqref="V243:V256">
    <cfRule type="cellIs" dxfId="160" priority="55" operator="notEqual">
      <formula>1</formula>
    </cfRule>
  </conditionalFormatting>
  <conditionalFormatting sqref="V292:V305">
    <cfRule type="cellIs" dxfId="159" priority="54" operator="notEqual">
      <formula>1</formula>
    </cfRule>
  </conditionalFormatting>
  <conditionalFormatting sqref="BM77:BM78">
    <cfRule type="cellIs" dxfId="158" priority="53" operator="notEqual">
      <formula>1</formula>
    </cfRule>
  </conditionalFormatting>
  <conditionalFormatting sqref="AU46:AU64">
    <cfRule type="expression" dxfId="61" priority="49">
      <formula>LEFT(AU46,1)="⚠"</formula>
    </cfRule>
    <cfRule type="expression" dxfId="60" priority="50">
      <formula>LEFT(AU46,4)="info"</formula>
    </cfRule>
    <cfRule type="expression" dxfId="59" priority="51">
      <formula>LEFT(AU46,1)="⚠"</formula>
    </cfRule>
    <cfRule type="expression" dxfId="58" priority="52">
      <formula>LEFT(AU46,4)="info"</formula>
    </cfRule>
  </conditionalFormatting>
  <conditionalFormatting sqref="X47 X49:X60">
    <cfRule type="expression" dxfId="57" priority="47">
      <formula>LEFT(X47,1)="⚠"</formula>
    </cfRule>
    <cfRule type="expression" dxfId="56" priority="48">
      <formula>LEFT(X47,4)="info"</formula>
    </cfRule>
  </conditionalFormatting>
  <conditionalFormatting sqref="X47 X49:X60">
    <cfRule type="expression" dxfId="55" priority="45">
      <formula>LEFT(X47,1)="⚠"</formula>
    </cfRule>
    <cfRule type="expression" dxfId="54" priority="46">
      <formula>LEFT(X47,4)="info"</formula>
    </cfRule>
  </conditionalFormatting>
  <conditionalFormatting sqref="X48">
    <cfRule type="expression" dxfId="53" priority="43">
      <formula>LEFT(X48,1)="⚠"</formula>
    </cfRule>
    <cfRule type="expression" dxfId="52" priority="44">
      <formula>LEFT(X48,4)="info"</formula>
    </cfRule>
  </conditionalFormatting>
  <conditionalFormatting sqref="X48">
    <cfRule type="expression" dxfId="51" priority="41">
      <formula>LEFT(X48,1)="⚠"</formula>
    </cfRule>
    <cfRule type="expression" dxfId="50" priority="42">
      <formula>LEFT(X48,4)="info"</formula>
    </cfRule>
  </conditionalFormatting>
  <conditionalFormatting sqref="X96 X98:X109">
    <cfRule type="expression" dxfId="49" priority="39">
      <formula>LEFT(X96,1)="⚠"</formula>
    </cfRule>
    <cfRule type="expression" dxfId="48" priority="40">
      <formula>LEFT(X96,4)="info"</formula>
    </cfRule>
  </conditionalFormatting>
  <conditionalFormatting sqref="X96 X98:X109">
    <cfRule type="expression" dxfId="47" priority="37">
      <formula>LEFT(X96,1)="⚠"</formula>
    </cfRule>
    <cfRule type="expression" dxfId="46" priority="38">
      <formula>LEFT(X96,4)="info"</formula>
    </cfRule>
  </conditionalFormatting>
  <conditionalFormatting sqref="X97">
    <cfRule type="expression" dxfId="45" priority="35">
      <formula>LEFT(X97,1)="⚠"</formula>
    </cfRule>
    <cfRule type="expression" dxfId="44" priority="36">
      <formula>LEFT(X97,4)="info"</formula>
    </cfRule>
  </conditionalFormatting>
  <conditionalFormatting sqref="X97">
    <cfRule type="expression" dxfId="43" priority="33">
      <formula>LEFT(X97,1)="⚠"</formula>
    </cfRule>
    <cfRule type="expression" dxfId="42" priority="34">
      <formula>LEFT(X97,4)="info"</formula>
    </cfRule>
  </conditionalFormatting>
  <conditionalFormatting sqref="X145 X147:X158">
    <cfRule type="expression" dxfId="41" priority="31">
      <formula>LEFT(X145,1)="⚠"</formula>
    </cfRule>
    <cfRule type="expression" dxfId="40" priority="32">
      <formula>LEFT(X145,4)="info"</formula>
    </cfRule>
  </conditionalFormatting>
  <conditionalFormatting sqref="X145 X147:X158">
    <cfRule type="expression" dxfId="39" priority="29">
      <formula>LEFT(X145,1)="⚠"</formula>
    </cfRule>
    <cfRule type="expression" dxfId="38" priority="30">
      <formula>LEFT(X145,4)="info"</formula>
    </cfRule>
  </conditionalFormatting>
  <conditionalFormatting sqref="X146">
    <cfRule type="expression" dxfId="37" priority="27">
      <formula>LEFT(X146,1)="⚠"</formula>
    </cfRule>
    <cfRule type="expression" dxfId="36" priority="28">
      <formula>LEFT(X146,4)="info"</formula>
    </cfRule>
  </conditionalFormatting>
  <conditionalFormatting sqref="X146">
    <cfRule type="expression" dxfId="35" priority="25">
      <formula>LEFT(X146,1)="⚠"</formula>
    </cfRule>
    <cfRule type="expression" dxfId="34" priority="26">
      <formula>LEFT(X146,4)="info"</formula>
    </cfRule>
  </conditionalFormatting>
  <conditionalFormatting sqref="X194 X196:X207">
    <cfRule type="expression" dxfId="33" priority="23">
      <formula>LEFT(X194,1)="⚠"</formula>
    </cfRule>
    <cfRule type="expression" dxfId="32" priority="24">
      <formula>LEFT(X194,4)="info"</formula>
    </cfRule>
  </conditionalFormatting>
  <conditionalFormatting sqref="X194 X196:X207">
    <cfRule type="expression" dxfId="31" priority="21">
      <formula>LEFT(X194,1)="⚠"</formula>
    </cfRule>
    <cfRule type="expression" dxfId="30" priority="22">
      <formula>LEFT(X194,4)="info"</formula>
    </cfRule>
  </conditionalFormatting>
  <conditionalFormatting sqref="X195">
    <cfRule type="expression" dxfId="29" priority="19">
      <formula>LEFT(X195,1)="⚠"</formula>
    </cfRule>
    <cfRule type="expression" dxfId="28" priority="20">
      <formula>LEFT(X195,4)="info"</formula>
    </cfRule>
  </conditionalFormatting>
  <conditionalFormatting sqref="X195">
    <cfRule type="expression" dxfId="27" priority="17">
      <formula>LEFT(X195,1)="⚠"</formula>
    </cfRule>
    <cfRule type="expression" dxfId="26" priority="18">
      <formula>LEFT(X195,4)="info"</formula>
    </cfRule>
  </conditionalFormatting>
  <conditionalFormatting sqref="X243 X245:X256">
    <cfRule type="expression" dxfId="25" priority="15">
      <formula>LEFT(X243,1)="⚠"</formula>
    </cfRule>
    <cfRule type="expression" dxfId="24" priority="16">
      <formula>LEFT(X243,4)="info"</formula>
    </cfRule>
  </conditionalFormatting>
  <conditionalFormatting sqref="X243 X245:X256">
    <cfRule type="expression" dxfId="23" priority="13">
      <formula>LEFT(X243,1)="⚠"</formula>
    </cfRule>
    <cfRule type="expression" dxfId="22" priority="14">
      <formula>LEFT(X243,4)="info"</formula>
    </cfRule>
  </conditionalFormatting>
  <conditionalFormatting sqref="X244">
    <cfRule type="expression" dxfId="21" priority="11">
      <formula>LEFT(X244,1)="⚠"</formula>
    </cfRule>
    <cfRule type="expression" dxfId="20" priority="12">
      <formula>LEFT(X244,4)="info"</formula>
    </cfRule>
  </conditionalFormatting>
  <conditionalFormatting sqref="X244">
    <cfRule type="expression" dxfId="19" priority="9">
      <formula>LEFT(X244,1)="⚠"</formula>
    </cfRule>
    <cfRule type="expression" dxfId="18" priority="10">
      <formula>LEFT(X244,4)="info"</formula>
    </cfRule>
  </conditionalFormatting>
  <conditionalFormatting sqref="X292 X294:X305">
    <cfRule type="expression" dxfId="17" priority="7">
      <formula>LEFT(X292,1)="⚠"</formula>
    </cfRule>
    <cfRule type="expression" dxfId="16" priority="8">
      <formula>LEFT(X292,4)="info"</formula>
    </cfRule>
  </conditionalFormatting>
  <conditionalFormatting sqref="X292 X294:X305">
    <cfRule type="expression" dxfId="15" priority="5">
      <formula>LEFT(X292,1)="⚠"</formula>
    </cfRule>
    <cfRule type="expression" dxfId="14" priority="6">
      <formula>LEFT(X292,4)="info"</formula>
    </cfRule>
  </conditionalFormatting>
  <conditionalFormatting sqref="X293">
    <cfRule type="expression" dxfId="13" priority="3">
      <formula>LEFT(X293,1)="⚠"</formula>
    </cfRule>
    <cfRule type="expression" dxfId="12" priority="4">
      <formula>LEFT(X293,4)="info"</formula>
    </cfRule>
  </conditionalFormatting>
  <conditionalFormatting sqref="X293">
    <cfRule type="expression" dxfId="11" priority="1">
      <formula>LEFT(X293,1)="⚠"</formula>
    </cfRule>
    <cfRule type="expression" dxfId="10" priority="2">
      <formula>LEFT(X293,4)="info"</formula>
    </cfRule>
  </conditionalFormatting>
  <hyperlinks>
    <hyperlink ref="BT6" r:id="rId1" xr:uid="{E04B3A41-8923-49CC-B483-512B8E0C7D7D}"/>
    <hyperlink ref="BE60" r:id="rId2" xr:uid="{1ACB6DD5-5D34-4B98-99BD-0E9A1BA33CD4}"/>
  </hyperlinks>
  <printOptions horizontalCentered="1"/>
  <pageMargins left="0.19685039370078741" right="0.19685039370078741" top="0.15748031496062992" bottom="0.15748031496062992" header="0.11811023622047245" footer="0.11811023622047245"/>
  <pageSetup paperSize="9" scale="33" orientation="landscape" r:id="rId3"/>
  <rowBreaks count="3" manualBreakCount="3">
    <brk id="84" max="16383" man="1"/>
    <brk id="182" max="16383" man="1"/>
    <brk id="263" min="1" max="40" man="1"/>
  </rowBreaks>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F3E1-C780-4F0C-8354-78BC325C2062}">
  <dimension ref="A1:AN286"/>
  <sheetViews>
    <sheetView topLeftCell="A5" zoomScale="75" zoomScaleNormal="75" workbookViewId="0">
      <selection activeCell="AD13" sqref="AD13"/>
    </sheetView>
  </sheetViews>
  <sheetFormatPr baseColWidth="10" defaultColWidth="11.42578125" defaultRowHeight="15"/>
  <cols>
    <col min="1" max="1" width="11.42578125" style="632"/>
    <col min="2" max="2" width="18.7109375" style="632" customWidth="1"/>
    <col min="3" max="3" width="19.5703125" style="632" customWidth="1"/>
    <col min="4" max="4" width="16" style="632" customWidth="1"/>
    <col min="5" max="6" width="11.42578125" style="632"/>
    <col min="7" max="7" width="12" style="632" bestFit="1" customWidth="1"/>
    <col min="8" max="8" width="17.140625" style="632" customWidth="1"/>
    <col min="9" max="12" width="11.42578125" style="632"/>
    <col min="13" max="13" width="18.5703125" style="632" customWidth="1"/>
    <col min="14" max="14" width="11.42578125" style="632"/>
    <col min="15" max="15" width="19.5703125" style="632" customWidth="1"/>
    <col min="16" max="16" width="14.140625" style="632" bestFit="1" customWidth="1"/>
    <col min="17" max="19" width="11.42578125" style="632"/>
    <col min="20" max="21" width="11.7109375" style="632" bestFit="1" customWidth="1"/>
    <col min="22" max="22" width="18.140625" style="632" customWidth="1"/>
    <col min="23" max="25" width="16" style="632" customWidth="1"/>
    <col min="26" max="26" width="14.28515625" style="632" customWidth="1"/>
    <col min="27" max="27" width="15.28515625" style="632" customWidth="1"/>
    <col min="28" max="28" width="16" style="632" customWidth="1"/>
    <col min="29" max="29" width="14.140625" style="632" customWidth="1"/>
    <col min="30" max="37" width="11.42578125" style="632"/>
    <col min="38" max="38" width="7.5703125" style="187" customWidth="1"/>
    <col min="39" max="39" width="11.42578125" style="1"/>
    <col min="40" max="40" width="43.5703125" style="1" customWidth="1"/>
    <col min="41" max="16384" width="11.42578125" style="632"/>
  </cols>
  <sheetData>
    <row r="1" spans="1:40" ht="30" customHeight="1">
      <c r="A1" s="9" t="str">
        <f>ADDRESS(ROW(),COLUMN(),4)</f>
        <v>A1</v>
      </c>
      <c r="B1" s="4744"/>
      <c r="C1" s="4744"/>
      <c r="D1" s="4744"/>
      <c r="E1" s="4744"/>
      <c r="F1" s="4744"/>
      <c r="G1" s="4744"/>
      <c r="H1" s="4744"/>
      <c r="I1" s="4744"/>
      <c r="J1" s="4744"/>
      <c r="K1" s="4744"/>
      <c r="L1" s="4744"/>
      <c r="M1" s="4744"/>
      <c r="N1" s="4744"/>
      <c r="O1" s="4744"/>
      <c r="P1" s="4836"/>
      <c r="Q1" s="4836"/>
      <c r="R1" s="4836"/>
      <c r="S1" s="4836"/>
      <c r="T1" s="4836"/>
      <c r="U1" s="4746"/>
      <c r="V1" s="4746"/>
      <c r="W1" s="4746"/>
      <c r="X1" s="4746"/>
      <c r="Y1" s="4746"/>
      <c r="Z1" s="4746"/>
      <c r="AA1" s="4746"/>
      <c r="AB1" s="4746"/>
      <c r="AC1" s="4746"/>
      <c r="AD1" s="4746"/>
      <c r="AE1" s="4746"/>
      <c r="AF1" s="4746"/>
      <c r="AG1" s="4746"/>
      <c r="AH1" s="4746"/>
      <c r="AI1" s="4746"/>
      <c r="AJ1" s="4837"/>
      <c r="AK1" s="4837"/>
      <c r="AL1" s="4838">
        <v>1</v>
      </c>
      <c r="AM1" s="5443" t="str">
        <f>SUBSTITUTE(ADDRESS(1,COLUMN(),4),"1","")</f>
        <v>AM</v>
      </c>
      <c r="AN1" s="5442" t="str">
        <f>SUBSTITUTE(ADDRESS(1,COLUMN(),4),"1","")</f>
        <v>AN</v>
      </c>
    </row>
    <row r="2" spans="1:40" ht="30" customHeight="1">
      <c r="A2" s="4744"/>
      <c r="B2" s="4839" t="s">
        <v>7352</v>
      </c>
      <c r="C2" s="4744"/>
      <c r="D2" s="4744"/>
      <c r="E2" s="4744"/>
      <c r="F2" s="4744"/>
      <c r="G2" s="4744"/>
      <c r="H2" s="4744"/>
      <c r="I2" s="4836"/>
      <c r="J2" s="4744"/>
      <c r="K2" s="4744"/>
      <c r="L2" s="4744"/>
      <c r="M2" s="4744"/>
      <c r="N2" s="4744"/>
      <c r="O2" s="4836"/>
      <c r="P2" s="4836"/>
      <c r="Q2" s="4836"/>
      <c r="R2" s="4836"/>
      <c r="S2" s="4836"/>
      <c r="T2" s="4746"/>
      <c r="U2" s="4746"/>
      <c r="V2" s="4746"/>
      <c r="W2" s="4746"/>
      <c r="X2" s="7394" t="s">
        <v>7353</v>
      </c>
      <c r="Y2" s="7394"/>
      <c r="Z2" s="7394"/>
      <c r="AA2" s="7394"/>
      <c r="AB2" s="7394"/>
      <c r="AC2" s="7394"/>
      <c r="AD2" s="4746"/>
      <c r="AE2" s="4746"/>
      <c r="AF2" s="4746"/>
      <c r="AG2" s="4746"/>
      <c r="AH2" s="4746"/>
      <c r="AI2" s="4746"/>
      <c r="AJ2" s="4837"/>
      <c r="AK2" s="4837"/>
      <c r="AL2" s="4838">
        <v>1</v>
      </c>
      <c r="AM2" s="4840"/>
      <c r="AN2" s="4840" t="s">
        <v>295</v>
      </c>
    </row>
    <row r="3" spans="1:40" ht="30" customHeight="1">
      <c r="A3" s="4744"/>
      <c r="B3" s="4751" t="s">
        <v>7354</v>
      </c>
      <c r="C3" s="4748"/>
      <c r="D3" s="4744"/>
      <c r="E3" s="4744"/>
      <c r="F3" s="4744"/>
      <c r="G3" s="4744"/>
      <c r="H3" s="4744"/>
      <c r="I3" s="4836"/>
      <c r="J3" s="4744"/>
      <c r="K3" s="4744"/>
      <c r="L3" s="4744"/>
      <c r="M3" s="4744"/>
      <c r="N3" s="4744"/>
      <c r="O3" s="4836"/>
      <c r="P3" s="4836"/>
      <c r="Q3" s="4836"/>
      <c r="R3" s="4836"/>
      <c r="S3" s="4836"/>
      <c r="T3" s="4746"/>
      <c r="U3" s="4746"/>
      <c r="V3" s="4749"/>
      <c r="W3" s="4749"/>
      <c r="X3" s="7394"/>
      <c r="Y3" s="7394"/>
      <c r="Z3" s="7394"/>
      <c r="AA3" s="7394"/>
      <c r="AB3" s="7394"/>
      <c r="AC3" s="7394"/>
      <c r="AD3" s="4746"/>
      <c r="AE3" s="4746"/>
      <c r="AF3" s="4746"/>
      <c r="AG3" s="4746"/>
      <c r="AH3" s="4746"/>
      <c r="AI3" s="4746"/>
      <c r="AJ3" s="4837"/>
      <c r="AK3" s="4837"/>
      <c r="AL3" s="4838">
        <v>1</v>
      </c>
      <c r="AM3" s="4841">
        <f ca="1">COUNTA(A1:AL286) + COUNTBLANK(A1:AL286)</f>
        <v>10869</v>
      </c>
      <c r="AN3" s="4840" t="str">
        <f>"cellules entre"&amp;" " &amp;A1&amp;" et  "&amp;AL286</f>
        <v>cellules entre A1 et  AL286</v>
      </c>
    </row>
    <row r="4" spans="1:40" ht="30" customHeight="1">
      <c r="A4" s="4744"/>
      <c r="B4" s="4751"/>
      <c r="C4" s="4748"/>
      <c r="D4" s="4744"/>
      <c r="E4" s="4744"/>
      <c r="F4" s="4744"/>
      <c r="G4" s="4744"/>
      <c r="H4" s="4744"/>
      <c r="I4" s="4836"/>
      <c r="J4" s="4744"/>
      <c r="K4" s="4744"/>
      <c r="L4" s="4744"/>
      <c r="M4" s="4744"/>
      <c r="N4" s="4744"/>
      <c r="O4" s="4836"/>
      <c r="P4" s="4836"/>
      <c r="Q4" s="4836"/>
      <c r="R4" s="4836"/>
      <c r="S4" s="4836"/>
      <c r="T4" s="4746"/>
      <c r="U4" s="4746"/>
      <c r="V4" s="1671"/>
      <c r="W4" s="1671"/>
      <c r="X4" s="1671"/>
      <c r="Y4" s="4842" t="s">
        <v>7355</v>
      </c>
      <c r="Z4" s="4746"/>
      <c r="AA4" s="4746"/>
      <c r="AB4" s="4746"/>
      <c r="AC4" s="4746"/>
      <c r="AD4" s="4746"/>
      <c r="AE4" s="4746"/>
      <c r="AF4" s="4746"/>
      <c r="AG4" s="4746"/>
      <c r="AH4" s="4746"/>
      <c r="AI4" s="4746"/>
      <c r="AJ4" s="4837"/>
      <c r="AK4" s="4837"/>
      <c r="AL4" s="4838">
        <v>1</v>
      </c>
      <c r="AM4" s="4841">
        <f ca="1">COUNTA(A1:AL286)</f>
        <v>1010</v>
      </c>
      <c r="AN4" s="4840" t="s">
        <v>291</v>
      </c>
    </row>
    <row r="5" spans="1:40" ht="30" customHeight="1">
      <c r="A5" s="4744"/>
      <c r="B5" s="4751" t="s">
        <v>7356</v>
      </c>
      <c r="C5" s="4748"/>
      <c r="D5" s="4744"/>
      <c r="E5" s="4744"/>
      <c r="F5" s="4744"/>
      <c r="G5" s="4744"/>
      <c r="H5" s="4744"/>
      <c r="I5" s="4836"/>
      <c r="J5" s="4744"/>
      <c r="K5" s="4744"/>
      <c r="L5" s="4744"/>
      <c r="M5" s="4744"/>
      <c r="N5" s="4744"/>
      <c r="O5" s="4836"/>
      <c r="P5" s="4836"/>
      <c r="Q5" s="4836"/>
      <c r="R5" s="4836"/>
      <c r="S5" s="4836"/>
      <c r="T5" s="4746"/>
      <c r="U5" s="4746"/>
      <c r="V5" s="1671"/>
      <c r="W5" s="1671"/>
      <c r="X5" s="1671"/>
      <c r="Y5" s="4746"/>
      <c r="Z5" s="4746"/>
      <c r="AA5" s="4746"/>
      <c r="AB5" s="4746"/>
      <c r="AC5" s="4746"/>
      <c r="AD5" s="4746"/>
      <c r="AE5" s="4746"/>
      <c r="AF5" s="4746"/>
      <c r="AG5" s="4746"/>
      <c r="AH5" s="4746"/>
      <c r="AI5" s="4746"/>
      <c r="AJ5" s="4837"/>
      <c r="AK5" s="4837"/>
      <c r="AL5" s="4838">
        <v>1</v>
      </c>
      <c r="AM5" s="4841">
        <f ca="1">COUNTBLANK(A1:AL286)</f>
        <v>9859</v>
      </c>
      <c r="AN5" s="4840" t="s">
        <v>288</v>
      </c>
    </row>
    <row r="6" spans="1:40" ht="30" customHeight="1">
      <c r="A6" s="4744"/>
      <c r="B6" s="4751" t="s">
        <v>7357</v>
      </c>
      <c r="C6" s="4748"/>
      <c r="D6" s="4744"/>
      <c r="E6" s="4744"/>
      <c r="F6" s="4744"/>
      <c r="G6" s="4744"/>
      <c r="H6" s="4744"/>
      <c r="I6" s="4836"/>
      <c r="J6" s="4744"/>
      <c r="K6" s="4744"/>
      <c r="L6" s="4744"/>
      <c r="M6" s="4744"/>
      <c r="N6" s="4744"/>
      <c r="O6" s="4836"/>
      <c r="P6" s="4836"/>
      <c r="Q6" s="4836"/>
      <c r="R6" s="4836"/>
      <c r="S6" s="4836"/>
      <c r="T6" s="4746"/>
      <c r="U6" s="4746"/>
      <c r="V6" s="1671"/>
      <c r="W6" s="1671"/>
      <c r="X6" s="1671"/>
      <c r="Y6" s="4842" t="s">
        <v>8399</v>
      </c>
      <c r="Z6" s="4746"/>
      <c r="AA6" s="4746"/>
      <c r="AB6" s="4746"/>
      <c r="AC6" s="4746"/>
      <c r="AD6" s="4746"/>
      <c r="AE6" s="4746"/>
      <c r="AF6" s="4746"/>
      <c r="AG6" s="4746"/>
      <c r="AH6" s="4746"/>
      <c r="AI6" s="4746"/>
      <c r="AJ6" s="4837"/>
      <c r="AK6" s="4837"/>
      <c r="AL6" s="4838">
        <v>1</v>
      </c>
      <c r="AM6" s="4841">
        <f>SUM(AL1:AL284)+2</f>
        <v>278</v>
      </c>
      <c r="AN6" s="4840" t="s">
        <v>286</v>
      </c>
    </row>
    <row r="7" spans="1:40" ht="30" customHeight="1">
      <c r="A7" s="4744"/>
      <c r="B7" s="4751" t="s">
        <v>7358</v>
      </c>
      <c r="C7" s="4748"/>
      <c r="D7" s="4744"/>
      <c r="E7" s="4744"/>
      <c r="F7" s="4744"/>
      <c r="G7" s="4744"/>
      <c r="H7" s="4744"/>
      <c r="I7" s="4836"/>
      <c r="J7" s="4744"/>
      <c r="K7" s="4744"/>
      <c r="L7" s="4744"/>
      <c r="M7" s="4744"/>
      <c r="N7" s="4744"/>
      <c r="O7" s="4836"/>
      <c r="P7" s="4836"/>
      <c r="Q7" s="4836"/>
      <c r="R7" s="4836"/>
      <c r="S7" s="4836"/>
      <c r="T7" s="4746"/>
      <c r="U7" s="4746"/>
      <c r="V7" s="1671"/>
      <c r="W7" s="1671"/>
      <c r="X7" s="1671"/>
      <c r="Y7" s="4842"/>
      <c r="Z7" s="4746"/>
      <c r="AA7" s="4746"/>
      <c r="AB7" s="4746"/>
      <c r="AC7" s="4746"/>
      <c r="AD7" s="4746"/>
      <c r="AE7" s="4746"/>
      <c r="AF7" s="4746"/>
      <c r="AG7" s="4746"/>
      <c r="AH7" s="4746"/>
      <c r="AI7" s="4746"/>
      <c r="AJ7" s="4837"/>
      <c r="AK7" s="4837"/>
      <c r="AL7" s="4838">
        <v>1</v>
      </c>
      <c r="AM7" s="4841">
        <f>SUM(A286:AK286)+1</f>
        <v>38</v>
      </c>
      <c r="AN7" s="4840" t="s">
        <v>284</v>
      </c>
    </row>
    <row r="8" spans="1:40" ht="30" customHeight="1">
      <c r="A8" s="4744"/>
      <c r="B8" s="4751"/>
      <c r="C8" s="4748"/>
      <c r="D8" s="4744"/>
      <c r="E8" s="4744"/>
      <c r="F8" s="4744"/>
      <c r="G8" s="4744"/>
      <c r="H8" s="4744"/>
      <c r="I8" s="4836"/>
      <c r="J8" s="4744"/>
      <c r="K8" s="4744"/>
      <c r="L8" s="4744"/>
      <c r="M8" s="4744"/>
      <c r="N8" s="4744"/>
      <c r="O8" s="4836"/>
      <c r="P8" s="4836"/>
      <c r="Q8" s="4836"/>
      <c r="R8" s="4836"/>
      <c r="S8" s="4836"/>
      <c r="T8" s="4746"/>
      <c r="U8" s="4746"/>
      <c r="V8" s="1671"/>
      <c r="W8" s="1671"/>
      <c r="X8" s="1671"/>
      <c r="Y8" s="1671" t="str">
        <f ca="1">"Page "&amp;_xlfn.SHEET()&amp;" sur "&amp;_xlfn.SHEETS()</f>
        <v>Page 11 sur 28</v>
      </c>
      <c r="Z8" s="4746"/>
      <c r="AA8" s="4746"/>
      <c r="AB8" s="4746"/>
      <c r="AC8" s="4746"/>
      <c r="AD8" s="4746"/>
      <c r="AE8" s="4746"/>
      <c r="AF8" s="4746"/>
      <c r="AG8" s="4746"/>
      <c r="AH8" s="4746"/>
      <c r="AI8" s="4746"/>
      <c r="AJ8" s="4837"/>
      <c r="AK8" s="4837"/>
      <c r="AL8" s="4838">
        <v>1</v>
      </c>
    </row>
    <row r="9" spans="1:40" ht="30" customHeight="1">
      <c r="A9" s="4744"/>
      <c r="B9" s="4751" t="s">
        <v>7359</v>
      </c>
      <c r="C9" s="4748"/>
      <c r="D9" s="4744"/>
      <c r="E9" s="4744"/>
      <c r="F9" s="4744"/>
      <c r="G9" s="4744"/>
      <c r="H9" s="4744"/>
      <c r="I9" s="4836"/>
      <c r="J9" s="4744"/>
      <c r="K9" s="4744"/>
      <c r="L9" s="4744"/>
      <c r="M9" s="4744"/>
      <c r="N9" s="4744"/>
      <c r="O9" s="4836"/>
      <c r="P9" s="4836"/>
      <c r="Q9" s="4836"/>
      <c r="R9" s="4836"/>
      <c r="S9" s="4836"/>
      <c r="T9" s="4746"/>
      <c r="U9" s="4746"/>
      <c r="V9" s="1671"/>
      <c r="W9" s="1671"/>
      <c r="X9" s="1671"/>
      <c r="Y9" s="4746"/>
      <c r="Z9" s="4842"/>
      <c r="AA9" s="4746"/>
      <c r="AB9" s="4746"/>
      <c r="AC9" s="4746"/>
      <c r="AD9" s="4746"/>
      <c r="AE9" s="4746"/>
      <c r="AF9" s="4746"/>
      <c r="AG9" s="4746"/>
      <c r="AH9" s="4746"/>
      <c r="AI9" s="4746"/>
      <c r="AJ9" s="4837"/>
      <c r="AK9" s="4837"/>
      <c r="AL9" s="4838">
        <v>1</v>
      </c>
    </row>
    <row r="10" spans="1:40" ht="30" customHeight="1">
      <c r="A10" s="4744"/>
      <c r="B10" s="4751" t="s">
        <v>7360</v>
      </c>
      <c r="C10" s="4748"/>
      <c r="D10" s="4744"/>
      <c r="E10" s="4744"/>
      <c r="F10" s="4744"/>
      <c r="G10" s="4744"/>
      <c r="H10" s="4744"/>
      <c r="I10" s="4836"/>
      <c r="J10" s="4744"/>
      <c r="K10" s="4744"/>
      <c r="L10" s="4744"/>
      <c r="M10" s="4744"/>
      <c r="N10" s="4744"/>
      <c r="O10" s="4836"/>
      <c r="P10" s="4836"/>
      <c r="Q10" s="4836"/>
      <c r="R10" s="4836"/>
      <c r="S10" s="4836"/>
      <c r="T10" s="4746"/>
      <c r="U10" s="4746"/>
      <c r="V10" s="1671"/>
      <c r="W10" s="1671"/>
      <c r="X10" s="1671"/>
      <c r="Y10" s="4843" t="s">
        <v>7361</v>
      </c>
      <c r="Z10" s="4842"/>
      <c r="AA10" s="4746"/>
      <c r="AB10" s="4746"/>
      <c r="AC10" s="4746"/>
      <c r="AD10" s="4746"/>
      <c r="AE10" s="4746"/>
      <c r="AF10" s="4746"/>
      <c r="AG10" s="4746"/>
      <c r="AH10" s="4746"/>
      <c r="AI10" s="4746"/>
      <c r="AJ10" s="4837"/>
      <c r="AK10" s="4837"/>
      <c r="AL10" s="4838">
        <v>1</v>
      </c>
    </row>
    <row r="11" spans="1:40" ht="30" customHeight="1">
      <c r="A11" s="4744"/>
      <c r="B11" s="4751" t="s">
        <v>7362</v>
      </c>
      <c r="C11" s="4748"/>
      <c r="D11" s="4744"/>
      <c r="E11" s="4744"/>
      <c r="F11" s="4744"/>
      <c r="G11" s="4744"/>
      <c r="H11" s="4744"/>
      <c r="I11" s="4836"/>
      <c r="J11" s="4744"/>
      <c r="K11" s="4744"/>
      <c r="L11" s="4744"/>
      <c r="M11" s="4744"/>
      <c r="N11" s="4744"/>
      <c r="O11" s="4836"/>
      <c r="P11" s="4836"/>
      <c r="Q11" s="4836"/>
      <c r="R11" s="4836"/>
      <c r="S11" s="4836"/>
      <c r="T11" s="4746"/>
      <c r="U11" s="4746"/>
      <c r="V11" s="1671"/>
      <c r="W11" s="1671"/>
      <c r="X11" s="1671"/>
      <c r="Y11" s="4746"/>
      <c r="Z11" s="4842"/>
      <c r="AA11" s="4746"/>
      <c r="AB11" s="4746"/>
      <c r="AC11" s="4746"/>
      <c r="AD11" s="4746"/>
      <c r="AE11" s="4746"/>
      <c r="AF11" s="4746"/>
      <c r="AG11" s="4746"/>
      <c r="AH11" s="4746"/>
      <c r="AI11" s="4746"/>
      <c r="AJ11" s="4837"/>
      <c r="AK11" s="4837"/>
      <c r="AL11" s="4838">
        <v>1</v>
      </c>
    </row>
    <row r="12" spans="1:40" ht="30" customHeight="1">
      <c r="A12" s="4744"/>
      <c r="B12" s="4751" t="s">
        <v>7363</v>
      </c>
      <c r="C12" s="4748"/>
      <c r="D12" s="4744"/>
      <c r="E12" s="4744"/>
      <c r="F12" s="4744"/>
      <c r="G12" s="4744"/>
      <c r="H12" s="4744"/>
      <c r="I12" s="4836"/>
      <c r="J12" s="4744"/>
      <c r="K12" s="4744"/>
      <c r="L12" s="4744"/>
      <c r="M12" s="4744"/>
      <c r="N12" s="4744"/>
      <c r="O12" s="4836"/>
      <c r="P12" s="4836"/>
      <c r="Q12" s="4836"/>
      <c r="R12" s="4836"/>
      <c r="S12" s="4836"/>
      <c r="T12" s="4746"/>
      <c r="U12" s="4746"/>
      <c r="V12" s="1671"/>
      <c r="W12" s="1671"/>
      <c r="X12" s="1671"/>
      <c r="Y12" s="4746"/>
      <c r="Z12" s="4842"/>
      <c r="AA12" s="4746"/>
      <c r="AB12" s="4746"/>
      <c r="AC12" s="4746"/>
      <c r="AD12" s="4746"/>
      <c r="AE12" s="4746"/>
      <c r="AF12" s="4746"/>
      <c r="AG12" s="4746"/>
      <c r="AH12" s="4746"/>
      <c r="AI12" s="4746"/>
      <c r="AJ12" s="4837"/>
      <c r="AK12" s="4837"/>
      <c r="AL12" s="4838">
        <v>1</v>
      </c>
    </row>
    <row r="13" spans="1:40" ht="30" customHeight="1">
      <c r="A13" s="4744"/>
      <c r="B13" s="4751"/>
      <c r="C13" s="4748"/>
      <c r="D13" s="4744"/>
      <c r="E13" s="4744"/>
      <c r="F13" s="4744"/>
      <c r="G13" s="4744"/>
      <c r="H13" s="4744"/>
      <c r="I13" s="4836"/>
      <c r="J13" s="4744"/>
      <c r="K13" s="4744"/>
      <c r="L13" s="4744"/>
      <c r="M13" s="4744"/>
      <c r="N13" s="4744"/>
      <c r="O13" s="4836"/>
      <c r="P13" s="4836"/>
      <c r="Q13" s="4836"/>
      <c r="R13" s="4836"/>
      <c r="S13" s="4836"/>
      <c r="T13" s="4746"/>
      <c r="U13" s="4746"/>
      <c r="V13" s="1671"/>
      <c r="W13" s="1671"/>
      <c r="X13" s="1671"/>
      <c r="Y13" s="4746"/>
      <c r="Z13" s="4842"/>
      <c r="AA13" s="4746"/>
      <c r="AB13" s="4746"/>
      <c r="AC13" s="4746"/>
      <c r="AD13" s="4746"/>
      <c r="AE13" s="4746"/>
      <c r="AF13" s="4746"/>
      <c r="AG13" s="4746"/>
      <c r="AH13" s="4746"/>
      <c r="AI13" s="4746"/>
      <c r="AJ13" s="4837"/>
      <c r="AK13" s="4837"/>
      <c r="AL13" s="4838">
        <v>1</v>
      </c>
    </row>
    <row r="14" spans="1:40" ht="30" customHeight="1">
      <c r="A14" s="4744"/>
      <c r="B14" s="4751" t="s">
        <v>7364</v>
      </c>
      <c r="C14" s="4748"/>
      <c r="D14" s="4744"/>
      <c r="E14" s="4744"/>
      <c r="F14" s="4744"/>
      <c r="G14" s="4744"/>
      <c r="H14" s="4744"/>
      <c r="I14" s="4836"/>
      <c r="J14" s="4744"/>
      <c r="K14" s="4744"/>
      <c r="L14" s="4744"/>
      <c r="M14" s="4744"/>
      <c r="N14" s="4744"/>
      <c r="O14" s="4836"/>
      <c r="P14" s="4836"/>
      <c r="Q14" s="4836"/>
      <c r="R14" s="4836"/>
      <c r="S14" s="4836"/>
      <c r="T14" s="4746"/>
      <c r="U14" s="4746"/>
      <c r="V14" s="1671"/>
      <c r="W14" s="1671"/>
      <c r="X14" s="1671"/>
      <c r="Y14" s="4746"/>
      <c r="Z14" s="4842"/>
      <c r="AA14" s="4746"/>
      <c r="AB14" s="4746"/>
      <c r="AC14" s="4746"/>
      <c r="AD14" s="4746"/>
      <c r="AE14" s="4746"/>
      <c r="AF14" s="4746"/>
      <c r="AG14" s="4746"/>
      <c r="AH14" s="4746"/>
      <c r="AI14" s="4746"/>
      <c r="AJ14" s="4837"/>
      <c r="AK14" s="4837"/>
      <c r="AL14" s="4838">
        <v>1</v>
      </c>
    </row>
    <row r="15" spans="1:40" ht="30" customHeight="1">
      <c r="A15" s="4744"/>
      <c r="B15" s="4751" t="s">
        <v>7365</v>
      </c>
      <c r="C15" s="4748"/>
      <c r="D15" s="4744"/>
      <c r="E15" s="4744"/>
      <c r="F15" s="4744"/>
      <c r="G15" s="4744"/>
      <c r="H15" s="4744"/>
      <c r="I15" s="4836"/>
      <c r="J15" s="4744"/>
      <c r="K15" s="4744"/>
      <c r="L15" s="4744"/>
      <c r="M15" s="4744"/>
      <c r="N15" s="4744"/>
      <c r="O15" s="4836"/>
      <c r="P15" s="4836"/>
      <c r="Q15" s="4836"/>
      <c r="R15" s="4836"/>
      <c r="S15" s="4836"/>
      <c r="T15" s="4746"/>
      <c r="U15" s="4746"/>
      <c r="V15" s="1671"/>
      <c r="W15" s="1671"/>
      <c r="X15" s="1671"/>
      <c r="Y15" s="4746"/>
      <c r="Z15" s="4842"/>
      <c r="AA15" s="4746"/>
      <c r="AB15" s="4746"/>
      <c r="AC15" s="4746"/>
      <c r="AD15" s="4746"/>
      <c r="AE15" s="4746"/>
      <c r="AF15" s="4746"/>
      <c r="AG15" s="4746"/>
      <c r="AH15" s="4746"/>
      <c r="AI15" s="4746"/>
      <c r="AJ15" s="4837"/>
      <c r="AK15" s="4837"/>
      <c r="AL15" s="4838">
        <v>1</v>
      </c>
    </row>
    <row r="16" spans="1:40" ht="30" customHeight="1">
      <c r="A16" s="4744"/>
      <c r="B16" s="4751"/>
      <c r="C16" s="4748"/>
      <c r="D16" s="4744"/>
      <c r="E16" s="4744"/>
      <c r="F16" s="4744"/>
      <c r="G16" s="4744"/>
      <c r="H16" s="4744"/>
      <c r="I16" s="4836"/>
      <c r="J16" s="4744"/>
      <c r="K16" s="4744"/>
      <c r="L16" s="4744"/>
      <c r="M16" s="4744"/>
      <c r="N16" s="4744"/>
      <c r="O16" s="4836"/>
      <c r="P16" s="4836"/>
      <c r="Q16" s="4836"/>
      <c r="R16" s="4836"/>
      <c r="S16" s="4836"/>
      <c r="T16" s="4746"/>
      <c r="U16" s="4746"/>
      <c r="V16" s="1671"/>
      <c r="W16" s="1671"/>
      <c r="X16" s="1671"/>
      <c r="Y16" s="4746"/>
      <c r="Z16" s="4842"/>
      <c r="AA16" s="4746"/>
      <c r="AB16" s="4746"/>
      <c r="AC16" s="4746"/>
      <c r="AD16" s="4746"/>
      <c r="AE16" s="4746"/>
      <c r="AF16" s="4746"/>
      <c r="AG16" s="4746"/>
      <c r="AH16" s="4746"/>
      <c r="AI16" s="4746"/>
      <c r="AJ16" s="4837"/>
      <c r="AK16" s="4837"/>
      <c r="AL16" s="4838">
        <v>1</v>
      </c>
    </row>
    <row r="17" spans="1:38" ht="30" customHeight="1">
      <c r="A17" s="4744"/>
      <c r="B17" s="4751" t="s">
        <v>7366</v>
      </c>
      <c r="C17" s="4748"/>
      <c r="D17" s="4744"/>
      <c r="E17" s="4744"/>
      <c r="F17" s="4744"/>
      <c r="G17" s="4744"/>
      <c r="H17" s="4744"/>
      <c r="I17" s="4836"/>
      <c r="J17" s="4744"/>
      <c r="K17" s="4744"/>
      <c r="L17" s="4744"/>
      <c r="M17" s="4744"/>
      <c r="N17" s="4744"/>
      <c r="O17" s="4836"/>
      <c r="P17" s="4836"/>
      <c r="Q17" s="4836"/>
      <c r="R17" s="4836"/>
      <c r="S17" s="4836"/>
      <c r="T17" s="4746"/>
      <c r="U17" s="4746"/>
      <c r="V17" s="1671"/>
      <c r="W17" s="1671"/>
      <c r="X17" s="1671"/>
      <c r="Y17" s="4746"/>
      <c r="Z17" s="4842"/>
      <c r="AA17" s="4746"/>
      <c r="AB17" s="4746"/>
      <c r="AC17" s="4746"/>
      <c r="AD17" s="4746"/>
      <c r="AE17" s="4746"/>
      <c r="AF17" s="4746"/>
      <c r="AG17" s="4746"/>
      <c r="AH17" s="4746"/>
      <c r="AI17" s="4746"/>
      <c r="AJ17" s="4837"/>
      <c r="AK17" s="4837"/>
      <c r="AL17" s="4838">
        <v>1</v>
      </c>
    </row>
    <row r="18" spans="1:38" ht="30" customHeight="1">
      <c r="A18" s="4744"/>
      <c r="B18" s="4751" t="s">
        <v>7367</v>
      </c>
      <c r="C18" s="4748"/>
      <c r="D18" s="4744"/>
      <c r="E18" s="4744"/>
      <c r="F18" s="4744"/>
      <c r="G18" s="4744"/>
      <c r="H18" s="4744"/>
      <c r="I18" s="4836"/>
      <c r="J18" s="4744"/>
      <c r="K18" s="4744"/>
      <c r="L18" s="4744"/>
      <c r="M18" s="4744"/>
      <c r="N18" s="4744"/>
      <c r="O18" s="4836"/>
      <c r="P18" s="4836"/>
      <c r="Q18" s="4836"/>
      <c r="R18" s="4836"/>
      <c r="S18" s="4836"/>
      <c r="T18" s="4746"/>
      <c r="U18" s="4746"/>
      <c r="V18" s="1671"/>
      <c r="W18" s="1671"/>
      <c r="X18" s="1671"/>
      <c r="Y18" s="4746"/>
      <c r="Z18" s="4842"/>
      <c r="AA18" s="4746"/>
      <c r="AB18" s="4746"/>
      <c r="AC18" s="4746"/>
      <c r="AD18" s="4746"/>
      <c r="AE18" s="4746"/>
      <c r="AF18" s="4746"/>
      <c r="AG18" s="4746"/>
      <c r="AH18" s="4746"/>
      <c r="AI18" s="4746"/>
      <c r="AJ18" s="4837"/>
      <c r="AK18" s="4837"/>
      <c r="AL18" s="4838">
        <v>1</v>
      </c>
    </row>
    <row r="19" spans="1:38" ht="30" customHeight="1">
      <c r="A19" s="4744"/>
      <c r="B19" s="4751" t="s">
        <v>7368</v>
      </c>
      <c r="C19" s="4748"/>
      <c r="D19" s="4744"/>
      <c r="E19" s="4744"/>
      <c r="F19" s="4744"/>
      <c r="G19" s="4744"/>
      <c r="H19" s="4744"/>
      <c r="I19" s="4836"/>
      <c r="J19" s="4744"/>
      <c r="K19" s="4744"/>
      <c r="L19" s="4744"/>
      <c r="M19" s="4744"/>
      <c r="N19" s="4744"/>
      <c r="O19" s="4836"/>
      <c r="P19" s="4836"/>
      <c r="Q19" s="4836"/>
      <c r="R19" s="4836"/>
      <c r="S19" s="4836"/>
      <c r="T19" s="4746"/>
      <c r="U19" s="4746"/>
      <c r="V19" s="1671"/>
      <c r="W19" s="1671"/>
      <c r="X19" s="1671"/>
      <c r="Y19" s="4746"/>
      <c r="Z19" s="4842"/>
      <c r="AA19" s="4746"/>
      <c r="AB19" s="4746"/>
      <c r="AC19" s="4746"/>
      <c r="AD19" s="4746"/>
      <c r="AE19" s="4746"/>
      <c r="AF19" s="4746"/>
      <c r="AG19" s="4746"/>
      <c r="AH19" s="4746"/>
      <c r="AI19" s="4746"/>
      <c r="AJ19" s="4837"/>
      <c r="AK19" s="4837"/>
      <c r="AL19" s="4838">
        <v>1</v>
      </c>
    </row>
    <row r="20" spans="1:38" ht="30" customHeight="1">
      <c r="A20" s="4744"/>
      <c r="B20" s="4751"/>
      <c r="C20" s="4748"/>
      <c r="D20" s="4744"/>
      <c r="E20" s="4744"/>
      <c r="F20" s="4744"/>
      <c r="G20" s="4744"/>
      <c r="H20" s="4744"/>
      <c r="I20" s="4836"/>
      <c r="J20" s="4744"/>
      <c r="K20" s="4744"/>
      <c r="L20" s="4744"/>
      <c r="M20" s="4744"/>
      <c r="N20" s="4744"/>
      <c r="O20" s="4836"/>
      <c r="P20" s="4836"/>
      <c r="Q20" s="4836"/>
      <c r="R20" s="4836"/>
      <c r="S20" s="4836"/>
      <c r="T20" s="4746"/>
      <c r="U20" s="4746"/>
      <c r="V20" s="1671"/>
      <c r="W20" s="1671"/>
      <c r="X20" s="1671"/>
      <c r="Y20" s="4746"/>
      <c r="Z20" s="4842"/>
      <c r="AA20" s="4746"/>
      <c r="AB20" s="4746"/>
      <c r="AC20" s="4746"/>
      <c r="AD20" s="4746"/>
      <c r="AE20" s="4746"/>
      <c r="AF20" s="4746"/>
      <c r="AG20" s="4746"/>
      <c r="AH20" s="4746"/>
      <c r="AI20" s="4746"/>
      <c r="AJ20" s="4837"/>
      <c r="AK20" s="4837"/>
      <c r="AL20" s="4838">
        <v>1</v>
      </c>
    </row>
    <row r="21" spans="1:38" ht="30" customHeight="1">
      <c r="A21" s="4744"/>
      <c r="B21" s="4751" t="s">
        <v>7369</v>
      </c>
      <c r="C21" s="4748"/>
      <c r="D21" s="4744"/>
      <c r="E21" s="4744"/>
      <c r="F21" s="4744"/>
      <c r="G21" s="4744"/>
      <c r="H21" s="4744"/>
      <c r="I21" s="4836"/>
      <c r="J21" s="4744"/>
      <c r="K21" s="4744"/>
      <c r="L21" s="4744"/>
      <c r="M21" s="4744"/>
      <c r="N21" s="4744"/>
      <c r="O21" s="4836"/>
      <c r="P21" s="4836"/>
      <c r="Q21" s="4836"/>
      <c r="R21" s="4836"/>
      <c r="S21" s="4836"/>
      <c r="T21" s="4746"/>
      <c r="U21" s="4746"/>
      <c r="V21" s="1671"/>
      <c r="W21" s="1671"/>
      <c r="X21" s="1671"/>
      <c r="Y21" s="4746"/>
      <c r="Z21" s="4842"/>
      <c r="AA21" s="4746"/>
      <c r="AB21" s="4746"/>
      <c r="AC21" s="4746"/>
      <c r="AD21" s="4746"/>
      <c r="AE21" s="4746"/>
      <c r="AF21" s="4746"/>
      <c r="AG21" s="4746"/>
      <c r="AH21" s="4746"/>
      <c r="AI21" s="4746"/>
      <c r="AJ21" s="4837"/>
      <c r="AK21" s="4837"/>
      <c r="AL21" s="4838">
        <v>1</v>
      </c>
    </row>
    <row r="22" spans="1:38" ht="30" customHeight="1">
      <c r="A22" s="4744"/>
      <c r="B22" s="4751" t="s">
        <v>7370</v>
      </c>
      <c r="C22" s="4748"/>
      <c r="D22" s="4744"/>
      <c r="E22" s="4744"/>
      <c r="F22" s="4744"/>
      <c r="G22" s="4744"/>
      <c r="H22" s="4744"/>
      <c r="I22" s="4836"/>
      <c r="J22" s="4744"/>
      <c r="K22" s="4744"/>
      <c r="L22" s="4744"/>
      <c r="M22" s="4744"/>
      <c r="N22" s="4744"/>
      <c r="O22" s="4836"/>
      <c r="P22" s="4836"/>
      <c r="Q22" s="4836"/>
      <c r="R22" s="4836"/>
      <c r="S22" s="4836"/>
      <c r="T22" s="4746"/>
      <c r="U22" s="4746"/>
      <c r="V22" s="1671"/>
      <c r="W22" s="1671"/>
      <c r="X22" s="1671"/>
      <c r="Y22" s="4746"/>
      <c r="Z22" s="4842"/>
      <c r="AA22" s="4746"/>
      <c r="AB22" s="4746"/>
      <c r="AC22" s="4746"/>
      <c r="AD22" s="4746"/>
      <c r="AE22" s="4746"/>
      <c r="AF22" s="4746"/>
      <c r="AG22" s="4746"/>
      <c r="AH22" s="4746"/>
      <c r="AI22" s="4746"/>
      <c r="AJ22" s="4837"/>
      <c r="AK22" s="4837"/>
      <c r="AL22" s="4838">
        <v>1</v>
      </c>
    </row>
    <row r="23" spans="1:38" ht="30" customHeight="1">
      <c r="A23" s="4744"/>
      <c r="B23" s="4751"/>
      <c r="C23" s="4748"/>
      <c r="D23" s="4744"/>
      <c r="E23" s="4744"/>
      <c r="F23" s="4744"/>
      <c r="G23" s="4744"/>
      <c r="H23" s="4744"/>
      <c r="I23" s="4836"/>
      <c r="J23" s="4744"/>
      <c r="K23" s="4744"/>
      <c r="L23" s="4744"/>
      <c r="M23" s="4744"/>
      <c r="N23" s="4744"/>
      <c r="O23" s="4836"/>
      <c r="P23" s="4836"/>
      <c r="Q23" s="4836"/>
      <c r="R23" s="4836"/>
      <c r="S23" s="4836"/>
      <c r="T23" s="4746"/>
      <c r="U23" s="4746"/>
      <c r="V23" s="1671"/>
      <c r="W23" s="1671"/>
      <c r="X23" s="1671"/>
      <c r="Y23" s="4746"/>
      <c r="Z23" s="4842"/>
      <c r="AA23" s="4746"/>
      <c r="AB23" s="4746"/>
      <c r="AC23" s="4746"/>
      <c r="AD23" s="4746"/>
      <c r="AE23" s="4746"/>
      <c r="AF23" s="4746"/>
      <c r="AG23" s="4746"/>
      <c r="AH23" s="4746"/>
      <c r="AI23" s="4746"/>
      <c r="AJ23" s="4837"/>
      <c r="AK23" s="4837"/>
      <c r="AL23" s="4838">
        <v>1</v>
      </c>
    </row>
    <row r="24" spans="1:38" ht="30" customHeight="1">
      <c r="A24" s="4744"/>
      <c r="B24" s="4844" t="s">
        <v>7371</v>
      </c>
      <c r="C24" s="4748"/>
      <c r="D24" s="4744"/>
      <c r="E24" s="4744"/>
      <c r="F24" s="4744"/>
      <c r="G24" s="4744"/>
      <c r="H24" s="4744"/>
      <c r="I24" s="4836"/>
      <c r="J24" s="4744"/>
      <c r="K24" s="4744"/>
      <c r="L24" s="4744"/>
      <c r="M24" s="4744"/>
      <c r="N24" s="4744"/>
      <c r="O24" s="4836"/>
      <c r="P24" s="4836"/>
      <c r="Q24" s="4836"/>
      <c r="R24" s="4836"/>
      <c r="S24" s="4836"/>
      <c r="T24" s="4746"/>
      <c r="U24" s="4746"/>
      <c r="V24" s="1671"/>
      <c r="W24" s="4845" t="s">
        <v>7372</v>
      </c>
      <c r="X24" s="1671"/>
      <c r="Y24" s="4746"/>
      <c r="Z24" s="4842"/>
      <c r="AA24" s="4746"/>
      <c r="AB24" s="4746"/>
      <c r="AC24" s="4746"/>
      <c r="AD24" s="4746"/>
      <c r="AE24" s="4746"/>
      <c r="AF24" s="4746"/>
      <c r="AG24" s="4746"/>
      <c r="AH24" s="4746"/>
      <c r="AI24" s="4746"/>
      <c r="AJ24" s="4837"/>
      <c r="AK24" s="4837"/>
      <c r="AL24" s="4838">
        <v>1</v>
      </c>
    </row>
    <row r="25" spans="1:38" ht="30" customHeight="1">
      <c r="A25" s="4744"/>
      <c r="B25" s="4844" t="s">
        <v>7373</v>
      </c>
      <c r="C25" s="4748"/>
      <c r="D25" s="4744"/>
      <c r="E25" s="4744"/>
      <c r="F25" s="4744"/>
      <c r="G25" s="4744"/>
      <c r="H25" s="4744"/>
      <c r="I25" s="4836"/>
      <c r="J25" s="4744"/>
      <c r="K25" s="4744"/>
      <c r="L25" s="4744"/>
      <c r="M25" s="4744"/>
      <c r="N25" s="4744"/>
      <c r="O25" s="4836"/>
      <c r="P25" s="4836"/>
      <c r="Q25" s="4836"/>
      <c r="R25" s="4836"/>
      <c r="S25" s="4836"/>
      <c r="T25" s="4746"/>
      <c r="U25" s="4746"/>
      <c r="V25" s="1671"/>
      <c r="W25" s="4845" t="s">
        <v>7374</v>
      </c>
      <c r="X25" s="1671"/>
      <c r="Y25" s="4746"/>
      <c r="Z25" s="4842"/>
      <c r="AA25" s="4746"/>
      <c r="AB25" s="4746"/>
      <c r="AC25" s="4746"/>
      <c r="AD25" s="4746"/>
      <c r="AE25" s="4746"/>
      <c r="AF25" s="4746"/>
      <c r="AG25" s="4746"/>
      <c r="AH25" s="4746"/>
      <c r="AI25" s="4746"/>
      <c r="AJ25" s="4837"/>
      <c r="AK25" s="4837"/>
      <c r="AL25" s="4838">
        <v>1</v>
      </c>
    </row>
    <row r="26" spans="1:38" ht="30" customHeight="1">
      <c r="A26" s="4744"/>
      <c r="B26" s="4844" t="s">
        <v>7375</v>
      </c>
      <c r="C26" s="4748"/>
      <c r="D26" s="4744"/>
      <c r="E26" s="4744"/>
      <c r="F26" s="4744"/>
      <c r="G26" s="4744"/>
      <c r="H26" s="4744"/>
      <c r="I26" s="4836"/>
      <c r="J26" s="4744"/>
      <c r="K26" s="4744"/>
      <c r="L26" s="4744"/>
      <c r="M26" s="4744"/>
      <c r="N26" s="4744"/>
      <c r="O26" s="4836"/>
      <c r="P26" s="4836"/>
      <c r="Q26" s="4836"/>
      <c r="R26" s="4836"/>
      <c r="S26" s="4836"/>
      <c r="T26" s="4746"/>
      <c r="U26" s="4746"/>
      <c r="V26" s="1671"/>
      <c r="W26" s="4845" t="s">
        <v>7376</v>
      </c>
      <c r="X26" s="1671"/>
      <c r="Y26" s="4746"/>
      <c r="Z26" s="4842"/>
      <c r="AA26" s="4746"/>
      <c r="AB26" s="4746"/>
      <c r="AC26" s="4746"/>
      <c r="AD26" s="4746"/>
      <c r="AE26" s="4746"/>
      <c r="AF26" s="4746"/>
      <c r="AG26" s="4746"/>
      <c r="AH26" s="4746"/>
      <c r="AI26" s="4746"/>
      <c r="AJ26" s="4837"/>
      <c r="AK26" s="4837"/>
      <c r="AL26" s="4838">
        <v>1</v>
      </c>
    </row>
    <row r="27" spans="1:38" ht="30" customHeight="1">
      <c r="A27" s="4744"/>
      <c r="B27" s="4846" t="s">
        <v>7377</v>
      </c>
      <c r="C27" s="4847"/>
      <c r="D27" s="4848"/>
      <c r="E27" s="4848"/>
      <c r="F27" s="4848"/>
      <c r="G27" s="4849" t="s">
        <v>7378</v>
      </c>
      <c r="H27" s="4850"/>
      <c r="I27" s="4851"/>
      <c r="J27" s="4850"/>
      <c r="K27" s="4850"/>
      <c r="L27" s="4850"/>
      <c r="M27" s="4850"/>
      <c r="N27" s="4850"/>
      <c r="O27" s="4852"/>
      <c r="P27" s="4852"/>
      <c r="Q27" s="4852"/>
      <c r="R27" s="4852"/>
      <c r="S27" s="4852"/>
      <c r="T27" s="4746"/>
      <c r="U27" s="4746"/>
      <c r="V27" s="1671"/>
      <c r="W27" s="4845" t="s">
        <v>7379</v>
      </c>
      <c r="X27" s="1671"/>
      <c r="Y27" s="4746"/>
      <c r="Z27" s="4842"/>
      <c r="AA27" s="4746"/>
      <c r="AB27" s="4746"/>
      <c r="AC27" s="4746"/>
      <c r="AD27" s="4746"/>
      <c r="AE27" s="4746"/>
      <c r="AF27" s="4746"/>
      <c r="AG27" s="4746"/>
      <c r="AH27" s="4746"/>
      <c r="AI27" s="4746"/>
      <c r="AJ27" s="4837"/>
      <c r="AK27" s="4837"/>
      <c r="AL27" s="4838">
        <v>1</v>
      </c>
    </row>
    <row r="28" spans="1:38" ht="30" customHeight="1">
      <c r="A28" s="4744"/>
      <c r="B28" s="4751"/>
      <c r="C28" s="4748"/>
      <c r="D28" s="4744"/>
      <c r="E28" s="4744"/>
      <c r="F28" s="4744"/>
      <c r="G28" s="4744"/>
      <c r="H28" s="4744"/>
      <c r="I28" s="4836"/>
      <c r="J28" s="4744"/>
      <c r="K28" s="4744"/>
      <c r="L28" s="4744"/>
      <c r="M28" s="4744"/>
      <c r="N28" s="4744"/>
      <c r="O28" s="4836"/>
      <c r="P28" s="4836"/>
      <c r="Q28" s="4836"/>
      <c r="R28" s="4836"/>
      <c r="S28" s="4836"/>
      <c r="T28" s="4746"/>
      <c r="U28" s="4746"/>
      <c r="V28" s="1671"/>
      <c r="W28" s="1671"/>
      <c r="X28" s="1671"/>
      <c r="Y28" s="4746"/>
      <c r="Z28" s="4842"/>
      <c r="AA28" s="4837"/>
      <c r="AB28" s="4837"/>
      <c r="AC28" s="4837"/>
      <c r="AD28" s="4746"/>
      <c r="AE28" s="4746"/>
      <c r="AF28" s="4746"/>
      <c r="AG28" s="4746"/>
      <c r="AH28" s="4746"/>
      <c r="AI28" s="4746"/>
      <c r="AJ28" s="4837"/>
      <c r="AK28" s="4837"/>
      <c r="AL28" s="4838">
        <v>1</v>
      </c>
    </row>
    <row r="29" spans="1:38" ht="30" customHeight="1">
      <c r="A29" s="4744"/>
      <c r="B29" s="4844" t="s">
        <v>7380</v>
      </c>
      <c r="C29" s="4748"/>
      <c r="D29" s="4744"/>
      <c r="E29" s="4744"/>
      <c r="F29" s="4744"/>
      <c r="G29" s="4744"/>
      <c r="H29" s="4744"/>
      <c r="I29" s="4836"/>
      <c r="J29" s="4744"/>
      <c r="K29" s="4744"/>
      <c r="L29" s="4744"/>
      <c r="M29" s="4744"/>
      <c r="N29" s="4744"/>
      <c r="O29" s="4836"/>
      <c r="P29" s="4836"/>
      <c r="Q29" s="4836"/>
      <c r="R29" s="4836"/>
      <c r="S29" s="4836"/>
      <c r="T29" s="4746"/>
      <c r="U29" s="4746"/>
      <c r="V29" s="1671"/>
      <c r="W29" s="1671"/>
      <c r="X29" s="1671"/>
      <c r="Y29" s="4746"/>
      <c r="Z29" s="4842"/>
      <c r="AA29" s="4837"/>
      <c r="AB29" s="4837"/>
      <c r="AC29" s="4837"/>
      <c r="AD29" s="4746"/>
      <c r="AE29" s="4746"/>
      <c r="AF29" s="4746"/>
      <c r="AG29" s="4746"/>
      <c r="AH29" s="4746"/>
      <c r="AI29" s="4746"/>
      <c r="AJ29" s="4837"/>
      <c r="AK29" s="4837"/>
      <c r="AL29" s="4838">
        <v>1</v>
      </c>
    </row>
    <row r="30" spans="1:38" ht="30" customHeight="1">
      <c r="A30" s="4744"/>
      <c r="B30" s="4844" t="s">
        <v>7381</v>
      </c>
      <c r="C30" s="4748"/>
      <c r="D30" s="4744"/>
      <c r="E30" s="4744"/>
      <c r="F30" s="4744"/>
      <c r="G30" s="4744"/>
      <c r="H30" s="4744"/>
      <c r="I30" s="4836"/>
      <c r="J30" s="4744"/>
      <c r="K30" s="4744"/>
      <c r="L30" s="4744"/>
      <c r="M30" s="4744"/>
      <c r="N30" s="4744"/>
      <c r="O30" s="4836"/>
      <c r="P30" s="4836"/>
      <c r="Q30" s="4836"/>
      <c r="R30" s="4836"/>
      <c r="S30" s="4836"/>
      <c r="T30" s="4746"/>
      <c r="U30" s="4746"/>
      <c r="V30" s="1671"/>
      <c r="W30" s="1671"/>
      <c r="X30" s="1671"/>
      <c r="Y30" s="4746"/>
      <c r="Z30" s="4842"/>
      <c r="AA30" s="4837"/>
      <c r="AB30" s="4837"/>
      <c r="AC30" s="4837"/>
      <c r="AD30" s="4746"/>
      <c r="AE30" s="4746"/>
      <c r="AF30" s="4746"/>
      <c r="AG30" s="4746"/>
      <c r="AH30" s="4746"/>
      <c r="AI30" s="4746"/>
      <c r="AJ30" s="4837"/>
      <c r="AK30" s="4837"/>
      <c r="AL30" s="4838">
        <v>1</v>
      </c>
    </row>
    <row r="31" spans="1:38" ht="30" customHeight="1">
      <c r="A31" s="4744"/>
      <c r="B31" s="4751"/>
      <c r="C31" s="4748"/>
      <c r="D31" s="4744"/>
      <c r="E31" s="4744"/>
      <c r="F31" s="4744"/>
      <c r="G31" s="4744"/>
      <c r="H31" s="4744"/>
      <c r="I31" s="4836"/>
      <c r="J31" s="4744"/>
      <c r="K31" s="4744"/>
      <c r="L31" s="4744"/>
      <c r="M31" s="4744"/>
      <c r="N31" s="4744"/>
      <c r="O31" s="4836"/>
      <c r="P31" s="4836"/>
      <c r="Q31" s="4836"/>
      <c r="R31" s="4836"/>
      <c r="S31" s="4836"/>
      <c r="T31" s="4746"/>
      <c r="U31" s="4746"/>
      <c r="V31" s="1671"/>
      <c r="W31" s="1671"/>
      <c r="X31" s="1671"/>
      <c r="Y31" s="4746"/>
      <c r="Z31" s="4842"/>
      <c r="AA31" s="4837"/>
      <c r="AB31" s="4837"/>
      <c r="AC31" s="4837"/>
      <c r="AD31" s="4746"/>
      <c r="AE31" s="4746"/>
      <c r="AF31" s="4746"/>
      <c r="AG31" s="4746"/>
      <c r="AH31" s="4746"/>
      <c r="AI31" s="4746"/>
      <c r="AJ31" s="4837"/>
      <c r="AK31" s="4837"/>
      <c r="AL31" s="4838">
        <v>1</v>
      </c>
    </row>
    <row r="32" spans="1:38" ht="30" customHeight="1">
      <c r="A32" s="4744"/>
      <c r="B32" s="4844" t="s">
        <v>7382</v>
      </c>
      <c r="C32" s="4748"/>
      <c r="D32" s="4744"/>
      <c r="E32" s="4744"/>
      <c r="F32" s="4744"/>
      <c r="G32" s="4744"/>
      <c r="H32" s="4744"/>
      <c r="I32" s="4836"/>
      <c r="J32" s="4744"/>
      <c r="K32" s="4744"/>
      <c r="L32" s="4744"/>
      <c r="M32" s="4744"/>
      <c r="N32" s="4744"/>
      <c r="O32" s="4836"/>
      <c r="P32" s="4836"/>
      <c r="Q32" s="4836"/>
      <c r="R32" s="4836"/>
      <c r="S32" s="4836"/>
      <c r="T32" s="4746"/>
      <c r="U32" s="4746"/>
      <c r="V32" s="1671"/>
      <c r="W32" s="1671"/>
      <c r="X32" s="1671"/>
      <c r="Y32" s="4746"/>
      <c r="Z32" s="4842"/>
      <c r="AA32" s="4837"/>
      <c r="AB32" s="4837"/>
      <c r="AC32" s="4837"/>
      <c r="AD32" s="4746"/>
      <c r="AE32" s="4746"/>
      <c r="AF32" s="4746"/>
      <c r="AG32" s="4746"/>
      <c r="AH32" s="4746"/>
      <c r="AI32" s="4746"/>
      <c r="AJ32" s="4837"/>
      <c r="AK32" s="4837"/>
      <c r="AL32" s="4838">
        <v>1</v>
      </c>
    </row>
    <row r="33" spans="1:38" ht="30" customHeight="1">
      <c r="A33" s="4744"/>
      <c r="B33" s="4844" t="s">
        <v>7383</v>
      </c>
      <c r="C33" s="4853"/>
      <c r="D33" s="4853"/>
      <c r="E33" s="4853"/>
      <c r="F33" s="4853"/>
      <c r="G33" s="4853"/>
      <c r="H33" s="4853"/>
      <c r="I33" s="4853"/>
      <c r="J33" s="4853"/>
      <c r="K33" s="4853"/>
      <c r="L33" s="4853"/>
      <c r="M33" s="4853"/>
      <c r="N33" s="4853"/>
      <c r="O33" s="4853"/>
      <c r="P33" s="4853"/>
      <c r="Q33" s="4853"/>
      <c r="R33" s="4853"/>
      <c r="S33" s="4853"/>
      <c r="T33" s="4853"/>
      <c r="U33" s="4853"/>
      <c r="V33" s="4853"/>
      <c r="W33" s="4853"/>
      <c r="X33" s="4853"/>
      <c r="Y33" s="4746"/>
      <c r="Z33" s="4842"/>
      <c r="AA33" s="4746"/>
      <c r="AB33" s="4746"/>
      <c r="AC33" s="4746"/>
      <c r="AD33" s="4746"/>
      <c r="AE33" s="4746"/>
      <c r="AF33" s="4746"/>
      <c r="AG33" s="4746"/>
      <c r="AH33" s="4746"/>
      <c r="AI33" s="4746"/>
      <c r="AJ33" s="4837"/>
      <c r="AK33" s="4837"/>
      <c r="AL33" s="4838">
        <v>1</v>
      </c>
    </row>
    <row r="34" spans="1:38" ht="30" customHeight="1">
      <c r="A34" s="4744"/>
      <c r="B34" s="4844" t="s">
        <v>7384</v>
      </c>
      <c r="C34" s="4853"/>
      <c r="D34" s="4853"/>
      <c r="E34" s="4853"/>
      <c r="F34" s="4853"/>
      <c r="G34" s="4853"/>
      <c r="H34" s="4853"/>
      <c r="I34" s="4853"/>
      <c r="J34" s="4853"/>
      <c r="K34" s="4853"/>
      <c r="L34" s="4853"/>
      <c r="M34" s="4853"/>
      <c r="N34" s="4853"/>
      <c r="O34" s="4853"/>
      <c r="P34" s="4853"/>
      <c r="Q34" s="4853"/>
      <c r="R34" s="4853"/>
      <c r="S34" s="4853"/>
      <c r="T34" s="4853"/>
      <c r="U34" s="4853"/>
      <c r="V34" s="4853"/>
      <c r="W34" s="4853"/>
      <c r="X34" s="4853"/>
      <c r="Y34" s="4746"/>
      <c r="Z34" s="4842"/>
      <c r="AA34" s="4746"/>
      <c r="AB34" s="4746"/>
      <c r="AC34" s="4746"/>
      <c r="AD34" s="4746"/>
      <c r="AE34" s="4746"/>
      <c r="AF34" s="4746"/>
      <c r="AG34" s="4746"/>
      <c r="AH34" s="4746"/>
      <c r="AI34" s="4746"/>
      <c r="AJ34" s="4837"/>
      <c r="AK34" s="4837"/>
      <c r="AL34" s="4838">
        <v>1</v>
      </c>
    </row>
    <row r="35" spans="1:38" ht="30" customHeight="1">
      <c r="A35" s="4744"/>
      <c r="B35" s="4844"/>
      <c r="C35" s="4853"/>
      <c r="D35" s="4853"/>
      <c r="E35" s="4853"/>
      <c r="F35" s="4853"/>
      <c r="G35" s="4853"/>
      <c r="H35" s="4853"/>
      <c r="I35" s="4853"/>
      <c r="J35" s="4853"/>
      <c r="K35" s="4853"/>
      <c r="L35" s="4853"/>
      <c r="M35" s="4853"/>
      <c r="N35" s="4853"/>
      <c r="O35" s="4853"/>
      <c r="P35" s="4853"/>
      <c r="Q35" s="4853"/>
      <c r="R35" s="4853"/>
      <c r="S35" s="4853"/>
      <c r="T35" s="4853"/>
      <c r="U35" s="4853"/>
      <c r="V35" s="4853"/>
      <c r="W35" s="4853"/>
      <c r="X35" s="4853"/>
      <c r="Y35" s="4746"/>
      <c r="Z35" s="4842"/>
      <c r="AA35" s="4746"/>
      <c r="AB35" s="4746"/>
      <c r="AC35" s="4746"/>
      <c r="AD35" s="4746"/>
      <c r="AE35" s="4746"/>
      <c r="AF35" s="4746"/>
      <c r="AG35" s="4746"/>
      <c r="AH35" s="4746"/>
      <c r="AI35" s="4746"/>
      <c r="AJ35" s="4837"/>
      <c r="AK35" s="4837"/>
      <c r="AL35" s="4838">
        <v>1</v>
      </c>
    </row>
    <row r="36" spans="1:38" ht="30" customHeight="1">
      <c r="A36" s="4744"/>
      <c r="B36" s="4854"/>
      <c r="C36" s="4854"/>
      <c r="D36" s="4855" t="s">
        <v>7385</v>
      </c>
      <c r="E36" s="4854"/>
      <c r="F36" s="4854"/>
      <c r="G36" s="4854"/>
      <c r="H36" s="4854"/>
      <c r="I36" s="4854"/>
      <c r="J36" s="4854"/>
      <c r="K36" s="4854"/>
      <c r="L36" s="4854"/>
      <c r="M36" s="4854"/>
      <c r="N36" s="4854"/>
      <c r="O36" s="4856"/>
      <c r="P36" s="4856"/>
      <c r="Q36" s="4856"/>
      <c r="R36" s="4856"/>
      <c r="S36" s="4856"/>
      <c r="T36" s="4857"/>
      <c r="U36" s="4857"/>
      <c r="V36" s="4857"/>
      <c r="W36" s="4857"/>
      <c r="X36" s="4857"/>
      <c r="Y36" s="4746"/>
      <c r="Z36" s="4842"/>
      <c r="AA36" s="4746"/>
      <c r="AB36" s="4746"/>
      <c r="AC36" s="4746"/>
      <c r="AD36" s="4746"/>
      <c r="AE36" s="4746"/>
      <c r="AF36" s="4746"/>
      <c r="AG36" s="4746"/>
      <c r="AH36" s="4746"/>
      <c r="AI36" s="4746"/>
      <c r="AJ36" s="4837"/>
      <c r="AK36" s="4837"/>
      <c r="AL36" s="4838">
        <v>1</v>
      </c>
    </row>
    <row r="37" spans="1:38" ht="30" customHeight="1">
      <c r="A37" s="4744"/>
      <c r="B37" s="4744"/>
      <c r="C37" s="4744"/>
      <c r="D37" s="4858"/>
      <c r="E37" s="4744"/>
      <c r="F37" s="4744"/>
      <c r="G37" s="4744"/>
      <c r="H37" s="4744"/>
      <c r="I37" s="4744"/>
      <c r="J37" s="4744"/>
      <c r="K37" s="4744"/>
      <c r="L37" s="4744"/>
      <c r="M37" s="4744"/>
      <c r="N37" s="4744"/>
      <c r="O37" s="4821"/>
      <c r="P37" s="4821"/>
      <c r="Q37" s="4821"/>
      <c r="R37" s="4821"/>
      <c r="S37" s="4821"/>
      <c r="T37" s="4746"/>
      <c r="U37" s="4746"/>
      <c r="V37" s="4746"/>
      <c r="W37" s="4746"/>
      <c r="X37" s="4746"/>
      <c r="Y37" s="4749"/>
      <c r="Z37" s="4746"/>
      <c r="AA37" s="4746"/>
      <c r="AB37" s="4746"/>
      <c r="AC37" s="4746"/>
      <c r="AD37" s="4746"/>
      <c r="AE37" s="4746"/>
      <c r="AF37" s="4746"/>
      <c r="AG37" s="4746"/>
      <c r="AH37" s="4746"/>
      <c r="AI37" s="4746"/>
      <c r="AJ37" s="4837"/>
      <c r="AK37" s="4837"/>
      <c r="AL37" s="4838">
        <v>1</v>
      </c>
    </row>
    <row r="38" spans="1:38" ht="30" customHeight="1">
      <c r="A38" s="4744"/>
      <c r="B38" s="4744"/>
      <c r="C38" s="4744"/>
      <c r="D38" s="4858"/>
      <c r="E38" s="4744"/>
      <c r="F38" s="4744"/>
      <c r="G38" s="4744"/>
      <c r="H38" s="4744"/>
      <c r="I38" s="4744"/>
      <c r="J38" s="4744"/>
      <c r="K38" s="4744"/>
      <c r="L38" s="4744"/>
      <c r="M38" s="4744"/>
      <c r="N38" s="4744"/>
      <c r="O38" s="4821"/>
      <c r="P38" s="4821"/>
      <c r="Q38" s="4821"/>
      <c r="R38" s="4821"/>
      <c r="S38" s="4821"/>
      <c r="T38" s="4746"/>
      <c r="U38" s="4746"/>
      <c r="V38" s="4746"/>
      <c r="W38" s="4746"/>
      <c r="X38" s="4746"/>
      <c r="Y38" s="4749"/>
      <c r="Z38" s="4746"/>
      <c r="AA38" s="4746"/>
      <c r="AB38" s="4746"/>
      <c r="AC38" s="4746"/>
      <c r="AD38" s="4746"/>
      <c r="AE38" s="4746"/>
      <c r="AF38" s="4746"/>
      <c r="AG38" s="4746"/>
      <c r="AH38" s="4746"/>
      <c r="AI38" s="4746"/>
      <c r="AJ38" s="4837"/>
      <c r="AK38" s="4837"/>
      <c r="AL38" s="4838">
        <v>1</v>
      </c>
    </row>
    <row r="39" spans="1:38" ht="30" customHeight="1">
      <c r="A39" s="4744"/>
      <c r="B39" s="4747" t="s">
        <v>7386</v>
      </c>
      <c r="C39" s="4744"/>
      <c r="D39" s="4744"/>
      <c r="E39" s="4744"/>
      <c r="F39" s="4744"/>
      <c r="G39" s="4744"/>
      <c r="H39" s="4744"/>
      <c r="I39" s="4821"/>
      <c r="J39" s="4744"/>
      <c r="K39" s="4744"/>
      <c r="L39" s="4744"/>
      <c r="M39" s="4744"/>
      <c r="N39" s="4744"/>
      <c r="O39" s="4821"/>
      <c r="P39" s="4821"/>
      <c r="Q39" s="4821"/>
      <c r="R39" s="4821"/>
      <c r="S39" s="4821"/>
      <c r="T39" s="4746"/>
      <c r="U39" s="4746"/>
      <c r="V39" s="4746"/>
      <c r="W39" s="4746"/>
      <c r="X39" s="4746"/>
      <c r="Y39" s="1671"/>
      <c r="Z39" s="4746"/>
      <c r="AA39" s="4746"/>
      <c r="AB39" s="4746"/>
      <c r="AC39" s="4746"/>
      <c r="AD39" s="4746"/>
      <c r="AE39" s="4746"/>
      <c r="AF39" s="4746"/>
      <c r="AG39" s="4746"/>
      <c r="AH39" s="4746"/>
      <c r="AI39" s="4746"/>
      <c r="AJ39" s="4837"/>
      <c r="AK39" s="4837"/>
      <c r="AL39" s="4838">
        <v>1</v>
      </c>
    </row>
    <row r="40" spans="1:38" ht="30" customHeight="1">
      <c r="A40" s="4744"/>
      <c r="B40" s="4859" t="s">
        <v>7387</v>
      </c>
      <c r="C40" s="4860"/>
      <c r="D40" s="4861"/>
      <c r="E40" s="4861"/>
      <c r="F40" s="4861"/>
      <c r="G40" s="4861"/>
      <c r="H40" s="4861"/>
      <c r="I40" s="4862"/>
      <c r="J40" s="4861"/>
      <c r="K40" s="4744"/>
      <c r="L40" s="4744"/>
      <c r="M40" s="4744"/>
      <c r="N40" s="4744"/>
      <c r="O40" s="4821"/>
      <c r="P40" s="4821"/>
      <c r="Q40" s="4821"/>
      <c r="R40" s="4821"/>
      <c r="S40" s="4821"/>
      <c r="T40" s="4746"/>
      <c r="U40" s="4746"/>
      <c r="V40" s="4746"/>
      <c r="W40" s="4746"/>
      <c r="X40" s="4746"/>
      <c r="Y40" s="1671"/>
      <c r="Z40" s="4746"/>
      <c r="AA40" s="4746"/>
      <c r="AB40" s="4746"/>
      <c r="AC40" s="4746"/>
      <c r="AD40" s="4746"/>
      <c r="AE40" s="4746"/>
      <c r="AF40" s="4746"/>
      <c r="AG40" s="4746"/>
      <c r="AH40" s="4746"/>
      <c r="AI40" s="4746"/>
      <c r="AJ40" s="4837"/>
      <c r="AK40" s="4837"/>
      <c r="AL40" s="4838">
        <v>1</v>
      </c>
    </row>
    <row r="41" spans="1:38" ht="30" customHeight="1">
      <c r="A41" s="4744"/>
      <c r="B41" s="4859"/>
      <c r="C41" s="4860"/>
      <c r="D41" s="4861"/>
      <c r="E41" s="4861"/>
      <c r="F41" s="4861"/>
      <c r="G41" s="4861"/>
      <c r="H41" s="4861"/>
      <c r="I41" s="4861"/>
      <c r="J41" s="4861"/>
      <c r="K41" s="4861"/>
      <c r="L41" s="4861"/>
      <c r="M41" s="4861"/>
      <c r="N41" s="4861"/>
      <c r="O41" s="4861"/>
      <c r="P41" s="4821"/>
      <c r="Q41" s="4821"/>
      <c r="R41" s="4821"/>
      <c r="S41" s="4821"/>
      <c r="T41" s="4746"/>
      <c r="U41" s="4746"/>
      <c r="V41" s="4746"/>
      <c r="W41" s="4746"/>
      <c r="X41" s="4746"/>
      <c r="Y41" s="1671"/>
      <c r="Z41" s="4746"/>
      <c r="AA41" s="4746"/>
      <c r="AB41" s="4746"/>
      <c r="AC41" s="4746"/>
      <c r="AD41" s="4837"/>
      <c r="AE41" s="4837"/>
      <c r="AF41" s="4837"/>
      <c r="AG41" s="4837"/>
      <c r="AH41" s="4837"/>
      <c r="AI41" s="4837"/>
      <c r="AJ41" s="4837"/>
      <c r="AK41" s="4837"/>
      <c r="AL41" s="4838">
        <v>1</v>
      </c>
    </row>
    <row r="42" spans="1:38" ht="30" customHeight="1">
      <c r="A42" s="4744"/>
      <c r="B42" s="4751" t="s">
        <v>7388</v>
      </c>
      <c r="C42" s="4860"/>
      <c r="D42" s="4861"/>
      <c r="E42" s="4861"/>
      <c r="F42" s="4861"/>
      <c r="G42" s="4861"/>
      <c r="H42" s="4861"/>
      <c r="I42" s="4861"/>
      <c r="J42" s="4861"/>
      <c r="K42" s="4861"/>
      <c r="L42" s="4861"/>
      <c r="M42" s="4861"/>
      <c r="N42" s="4861"/>
      <c r="O42" s="4861"/>
      <c r="P42" s="4821"/>
      <c r="Q42" s="4821"/>
      <c r="R42" s="4821"/>
      <c r="S42" s="4821"/>
      <c r="T42" s="4746"/>
      <c r="U42" s="4863" t="s">
        <v>7389</v>
      </c>
      <c r="V42" s="4746"/>
      <c r="W42" s="4746"/>
      <c r="X42" s="4746"/>
      <c r="Y42" s="1671"/>
      <c r="Z42" s="4746"/>
      <c r="AA42" s="4746"/>
      <c r="AB42" s="4746"/>
      <c r="AC42" s="4746"/>
      <c r="AD42" s="4837"/>
      <c r="AE42" s="4837"/>
      <c r="AF42" s="4837"/>
      <c r="AG42" s="4837"/>
      <c r="AH42" s="4837"/>
      <c r="AI42" s="4837"/>
      <c r="AJ42" s="4837"/>
      <c r="AK42" s="4837"/>
      <c r="AL42" s="4838">
        <v>1</v>
      </c>
    </row>
    <row r="43" spans="1:38" ht="30" customHeight="1">
      <c r="A43" s="4744"/>
      <c r="B43" s="4751" t="s">
        <v>7390</v>
      </c>
      <c r="C43" s="4860"/>
      <c r="D43" s="4861"/>
      <c r="E43" s="4861"/>
      <c r="F43" s="4861"/>
      <c r="G43" s="4861"/>
      <c r="H43" s="4861"/>
      <c r="I43" s="4861"/>
      <c r="J43" s="4861"/>
      <c r="K43" s="4861"/>
      <c r="L43" s="4861"/>
      <c r="M43" s="4861"/>
      <c r="N43" s="4861"/>
      <c r="O43" s="4861"/>
      <c r="P43" s="4821"/>
      <c r="Q43" s="4821"/>
      <c r="R43" s="4821"/>
      <c r="S43" s="4821"/>
      <c r="T43" s="4746"/>
      <c r="U43" s="4863" t="s">
        <v>7391</v>
      </c>
      <c r="V43" s="4746"/>
      <c r="W43" s="4746"/>
      <c r="X43" s="4746"/>
      <c r="Y43" s="1671"/>
      <c r="Z43" s="4746"/>
      <c r="AA43" s="4746"/>
      <c r="AB43" s="4746"/>
      <c r="AC43" s="4746"/>
      <c r="AD43" s="4837"/>
      <c r="AE43" s="4837"/>
      <c r="AF43" s="4837"/>
      <c r="AG43" s="4837"/>
      <c r="AH43" s="4837"/>
      <c r="AI43" s="4837"/>
      <c r="AJ43" s="4837"/>
      <c r="AK43" s="4837"/>
      <c r="AL43" s="4838">
        <v>1</v>
      </c>
    </row>
    <row r="44" spans="1:38" ht="30" customHeight="1">
      <c r="A44" s="4744"/>
      <c r="B44" s="4751"/>
      <c r="C44" s="4860"/>
      <c r="D44" s="4861"/>
      <c r="E44" s="4861"/>
      <c r="F44" s="4861"/>
      <c r="G44" s="4861"/>
      <c r="H44" s="4861"/>
      <c r="I44" s="4861"/>
      <c r="J44" s="4861"/>
      <c r="K44" s="4861"/>
      <c r="L44" s="4861"/>
      <c r="M44" s="4861"/>
      <c r="N44" s="4861"/>
      <c r="O44" s="4861"/>
      <c r="P44" s="4821"/>
      <c r="Q44" s="4821"/>
      <c r="R44" s="4821"/>
      <c r="S44" s="4821"/>
      <c r="T44" s="4746"/>
      <c r="U44" s="4863" t="s">
        <v>7392</v>
      </c>
      <c r="V44" s="4746"/>
      <c r="W44" s="4746"/>
      <c r="X44" s="4746"/>
      <c r="Y44" s="1671"/>
      <c r="Z44" s="4746"/>
      <c r="AA44" s="4746"/>
      <c r="AB44" s="4746"/>
      <c r="AC44" s="4746"/>
      <c r="AD44" s="4837"/>
      <c r="AE44" s="4837"/>
      <c r="AF44" s="4837"/>
      <c r="AG44" s="4837"/>
      <c r="AH44" s="4837"/>
      <c r="AI44" s="4837"/>
      <c r="AJ44" s="4837"/>
      <c r="AK44" s="4837"/>
      <c r="AL44" s="4838">
        <v>1</v>
      </c>
    </row>
    <row r="45" spans="1:38" ht="30" customHeight="1">
      <c r="A45" s="4744"/>
      <c r="B45" s="4864" t="s">
        <v>7393</v>
      </c>
      <c r="C45" s="4860"/>
      <c r="D45" s="4861"/>
      <c r="E45" s="4861"/>
      <c r="F45" s="4861"/>
      <c r="G45" s="4861"/>
      <c r="H45" s="4861"/>
      <c r="I45" s="4861"/>
      <c r="J45" s="4861"/>
      <c r="K45" s="4861"/>
      <c r="L45" s="4861"/>
      <c r="M45" s="4861"/>
      <c r="N45" s="4861"/>
      <c r="O45" s="4861"/>
      <c r="P45" s="4821"/>
      <c r="Q45" s="4821"/>
      <c r="R45" s="4821"/>
      <c r="S45" s="4821"/>
      <c r="T45" s="4746"/>
      <c r="U45" s="4863" t="s">
        <v>7394</v>
      </c>
      <c r="V45" s="4746"/>
      <c r="W45" s="4746"/>
      <c r="X45" s="4746"/>
      <c r="Y45" s="1671"/>
      <c r="Z45" s="4746"/>
      <c r="AA45" s="4746"/>
      <c r="AB45" s="4746"/>
      <c r="AC45" s="4746"/>
      <c r="AD45" s="4837"/>
      <c r="AE45" s="4837"/>
      <c r="AF45" s="4837"/>
      <c r="AG45" s="4837"/>
      <c r="AH45" s="4837"/>
      <c r="AI45" s="4837"/>
      <c r="AJ45" s="4837"/>
      <c r="AK45" s="4837"/>
      <c r="AL45" s="4838">
        <v>1</v>
      </c>
    </row>
    <row r="46" spans="1:38" ht="30" customHeight="1">
      <c r="A46" s="4744"/>
      <c r="B46" s="4864" t="s">
        <v>7395</v>
      </c>
      <c r="C46" s="4860"/>
      <c r="D46" s="4861"/>
      <c r="E46" s="4861"/>
      <c r="F46" s="4861"/>
      <c r="G46" s="4861"/>
      <c r="H46" s="4861"/>
      <c r="I46" s="4861"/>
      <c r="J46" s="4861"/>
      <c r="K46" s="4861"/>
      <c r="L46" s="4861"/>
      <c r="M46" s="4861"/>
      <c r="N46" s="4861"/>
      <c r="O46" s="4861"/>
      <c r="P46" s="4821"/>
      <c r="Q46" s="4821"/>
      <c r="R46" s="4821"/>
      <c r="S46" s="4821"/>
      <c r="T46" s="4746"/>
      <c r="U46" s="4863" t="s">
        <v>7396</v>
      </c>
      <c r="V46" s="4746"/>
      <c r="W46" s="4746"/>
      <c r="X46" s="4746"/>
      <c r="Y46" s="1671"/>
      <c r="Z46" s="4746"/>
      <c r="AA46" s="4746"/>
      <c r="AB46" s="4746"/>
      <c r="AC46" s="4746"/>
      <c r="AD46" s="4837"/>
      <c r="AE46" s="4837"/>
      <c r="AF46" s="4837"/>
      <c r="AG46" s="4837"/>
      <c r="AH46" s="4837"/>
      <c r="AI46" s="4837"/>
      <c r="AJ46" s="4837"/>
      <c r="AK46" s="4837"/>
      <c r="AL46" s="4838">
        <v>1</v>
      </c>
    </row>
    <row r="47" spans="1:38" ht="30" customHeight="1">
      <c r="A47" s="4744"/>
      <c r="B47" s="4864" t="s">
        <v>7397</v>
      </c>
      <c r="C47" s="4860"/>
      <c r="D47" s="4861"/>
      <c r="E47" s="4861"/>
      <c r="F47" s="4861"/>
      <c r="G47" s="4861"/>
      <c r="H47" s="4861"/>
      <c r="I47" s="4861"/>
      <c r="J47" s="4861"/>
      <c r="K47" s="4861"/>
      <c r="L47" s="4861"/>
      <c r="M47" s="4861"/>
      <c r="N47" s="4861"/>
      <c r="O47" s="4861"/>
      <c r="P47" s="4821"/>
      <c r="Q47" s="4821"/>
      <c r="R47" s="4821"/>
      <c r="S47" s="4821"/>
      <c r="T47" s="4746"/>
      <c r="U47" s="4863" t="s">
        <v>7398</v>
      </c>
      <c r="V47" s="4746"/>
      <c r="W47" s="4746"/>
      <c r="X47" s="4746"/>
      <c r="Y47" s="1671"/>
      <c r="Z47" s="4746"/>
      <c r="AA47" s="4746"/>
      <c r="AB47" s="4746"/>
      <c r="AC47" s="4746"/>
      <c r="AD47" s="4837"/>
      <c r="AE47" s="4837"/>
      <c r="AF47" s="4837"/>
      <c r="AG47" s="4837"/>
      <c r="AH47" s="4837"/>
      <c r="AI47" s="4837"/>
      <c r="AJ47" s="4837"/>
      <c r="AK47" s="4837"/>
      <c r="AL47" s="4838">
        <v>1</v>
      </c>
    </row>
    <row r="48" spans="1:38" ht="30" customHeight="1">
      <c r="A48" s="4744"/>
      <c r="B48" s="4864"/>
      <c r="C48" s="4860"/>
      <c r="D48" s="4861"/>
      <c r="E48" s="4861"/>
      <c r="F48" s="4861"/>
      <c r="G48" s="4861"/>
      <c r="H48" s="4861"/>
      <c r="I48" s="4861"/>
      <c r="J48" s="4861"/>
      <c r="K48" s="4861"/>
      <c r="L48" s="4861"/>
      <c r="M48" s="4861"/>
      <c r="N48" s="4861"/>
      <c r="O48" s="4861"/>
      <c r="P48" s="4821"/>
      <c r="Q48" s="4821"/>
      <c r="R48" s="4821"/>
      <c r="S48" s="4821"/>
      <c r="T48" s="4746"/>
      <c r="U48" s="4863"/>
      <c r="V48" s="4746"/>
      <c r="W48" s="4746"/>
      <c r="X48" s="4746"/>
      <c r="Y48" s="1671"/>
      <c r="Z48" s="4746"/>
      <c r="AA48" s="4746"/>
      <c r="AB48" s="4746"/>
      <c r="AC48" s="4746"/>
      <c r="AD48" s="4837"/>
      <c r="AE48" s="4837"/>
      <c r="AF48" s="4837"/>
      <c r="AG48" s="4837"/>
      <c r="AH48" s="4837"/>
      <c r="AI48" s="4837"/>
      <c r="AJ48" s="4837"/>
      <c r="AK48" s="4837"/>
      <c r="AL48" s="4838">
        <v>1</v>
      </c>
    </row>
    <row r="49" spans="1:38" ht="30" customHeight="1">
      <c r="A49" s="4744"/>
      <c r="B49" s="4752" t="s">
        <v>7399</v>
      </c>
      <c r="C49" s="4860"/>
      <c r="D49" s="4861"/>
      <c r="E49" s="4861"/>
      <c r="F49" s="4861"/>
      <c r="G49" s="4861"/>
      <c r="H49" s="4861"/>
      <c r="I49" s="4861"/>
      <c r="J49" s="4861"/>
      <c r="K49" s="4861"/>
      <c r="L49" s="4861"/>
      <c r="M49" s="4861"/>
      <c r="N49" s="4861"/>
      <c r="O49" s="4861"/>
      <c r="P49" s="4821"/>
      <c r="Q49" s="4821"/>
      <c r="R49" s="4821"/>
      <c r="S49" s="4821"/>
      <c r="T49" s="4746"/>
      <c r="U49" s="4746"/>
      <c r="V49" s="4746"/>
      <c r="W49" s="4746"/>
      <c r="X49" s="4746"/>
      <c r="Y49" s="1671"/>
      <c r="Z49" s="4746"/>
      <c r="AA49" s="4746"/>
      <c r="AB49" s="4746"/>
      <c r="AC49" s="4746"/>
      <c r="AD49" s="4837"/>
      <c r="AE49" s="4837"/>
      <c r="AF49" s="4837"/>
      <c r="AG49" s="4837"/>
      <c r="AH49" s="4837"/>
      <c r="AI49" s="4837"/>
      <c r="AJ49" s="4837"/>
      <c r="AK49" s="4837"/>
      <c r="AL49" s="4838">
        <v>1</v>
      </c>
    </row>
    <row r="50" spans="1:38" ht="30" customHeight="1">
      <c r="A50" s="4744"/>
      <c r="B50" s="4752" t="s">
        <v>7400</v>
      </c>
      <c r="C50" s="4860"/>
      <c r="D50" s="4861"/>
      <c r="E50" s="4861"/>
      <c r="F50" s="4861"/>
      <c r="G50" s="4861"/>
      <c r="H50" s="4861"/>
      <c r="I50" s="4861"/>
      <c r="J50" s="4861"/>
      <c r="K50" s="4861"/>
      <c r="L50" s="4861"/>
      <c r="M50" s="4861"/>
      <c r="N50" s="4861"/>
      <c r="O50" s="4861"/>
      <c r="P50" s="4821"/>
      <c r="Q50" s="4821"/>
      <c r="R50" s="4821"/>
      <c r="S50" s="4821"/>
      <c r="T50" s="4746"/>
      <c r="U50" s="4746"/>
      <c r="V50" s="4746"/>
      <c r="W50" s="4746"/>
      <c r="X50" s="4746"/>
      <c r="Y50" s="1671"/>
      <c r="Z50" s="4746"/>
      <c r="AA50" s="4746"/>
      <c r="AB50" s="4746"/>
      <c r="AC50" s="4746"/>
      <c r="AD50" s="4837"/>
      <c r="AE50" s="4837"/>
      <c r="AF50" s="4837"/>
      <c r="AG50" s="4837"/>
      <c r="AH50" s="4837"/>
      <c r="AI50" s="4837"/>
      <c r="AJ50" s="4837"/>
      <c r="AK50" s="4837"/>
      <c r="AL50" s="4838">
        <v>1</v>
      </c>
    </row>
    <row r="51" spans="1:38" ht="30" customHeight="1">
      <c r="A51" s="4744"/>
      <c r="B51" s="4752" t="s">
        <v>7401</v>
      </c>
      <c r="C51" s="4860"/>
      <c r="D51" s="4861"/>
      <c r="E51" s="4861"/>
      <c r="F51" s="4861"/>
      <c r="G51" s="4861"/>
      <c r="H51" s="4861"/>
      <c r="I51" s="4861"/>
      <c r="J51" s="4861"/>
      <c r="K51" s="4861"/>
      <c r="L51" s="4861"/>
      <c r="M51" s="4861"/>
      <c r="N51" s="4861"/>
      <c r="O51" s="4861"/>
      <c r="P51" s="4821"/>
      <c r="Q51" s="4821"/>
      <c r="R51" s="4821"/>
      <c r="S51" s="4821"/>
      <c r="T51" s="4746"/>
      <c r="U51" s="4746"/>
      <c r="V51" s="4746"/>
      <c r="W51" s="4746"/>
      <c r="X51" s="4746"/>
      <c r="Y51" s="1671"/>
      <c r="Z51" s="4746"/>
      <c r="AA51" s="4746"/>
      <c r="AB51" s="4746"/>
      <c r="AC51" s="4746"/>
      <c r="AD51" s="4837"/>
      <c r="AE51" s="4837"/>
      <c r="AF51" s="4837"/>
      <c r="AG51" s="4837"/>
      <c r="AH51" s="4837"/>
      <c r="AI51" s="4837"/>
      <c r="AJ51" s="4837"/>
      <c r="AK51" s="4837"/>
      <c r="AL51" s="4838">
        <v>1</v>
      </c>
    </row>
    <row r="52" spans="1:38" ht="30" customHeight="1">
      <c r="A52" s="4744"/>
      <c r="B52" s="4864"/>
      <c r="C52" s="4860"/>
      <c r="D52" s="4861"/>
      <c r="E52" s="4861"/>
      <c r="F52" s="4861"/>
      <c r="G52" s="4861"/>
      <c r="H52" s="4861"/>
      <c r="I52" s="4861"/>
      <c r="J52" s="4861"/>
      <c r="K52" s="4861"/>
      <c r="L52" s="4861"/>
      <c r="M52" s="4861"/>
      <c r="N52" s="4861"/>
      <c r="O52" s="4861"/>
      <c r="P52" s="4821"/>
      <c r="Q52" s="4821"/>
      <c r="R52" s="4821"/>
      <c r="S52" s="4821"/>
      <c r="T52" s="4746"/>
      <c r="U52" s="4746"/>
      <c r="V52" s="4746"/>
      <c r="W52" s="4746"/>
      <c r="X52" s="4746"/>
      <c r="Y52" s="1671"/>
      <c r="Z52" s="4746"/>
      <c r="AA52" s="4746"/>
      <c r="AB52" s="4746"/>
      <c r="AC52" s="4746"/>
      <c r="AD52" s="4837"/>
      <c r="AE52" s="4837"/>
      <c r="AF52" s="4837"/>
      <c r="AG52" s="4837"/>
      <c r="AH52" s="4837"/>
      <c r="AI52" s="4837"/>
      <c r="AJ52" s="4837"/>
      <c r="AK52" s="4837"/>
      <c r="AL52" s="4838">
        <v>1</v>
      </c>
    </row>
    <row r="53" spans="1:38" ht="30" customHeight="1">
      <c r="A53" s="4744"/>
      <c r="B53" s="4864"/>
      <c r="C53" s="4860"/>
      <c r="D53" s="4861"/>
      <c r="E53" s="4861"/>
      <c r="F53" s="4861"/>
      <c r="G53" s="4861"/>
      <c r="H53" s="4861"/>
      <c r="I53" s="4861"/>
      <c r="J53" s="4861"/>
      <c r="K53" s="4861"/>
      <c r="L53" s="4861"/>
      <c r="M53" s="4861"/>
      <c r="N53" s="4861"/>
      <c r="O53" s="4861"/>
      <c r="P53" s="4821"/>
      <c r="Q53" s="4821"/>
      <c r="R53" s="4821"/>
      <c r="S53" s="4821"/>
      <c r="T53" s="4746"/>
      <c r="U53" s="4746"/>
      <c r="V53" s="4746"/>
      <c r="W53" s="4746"/>
      <c r="X53" s="4746"/>
      <c r="Y53" s="1671"/>
      <c r="Z53" s="4746"/>
      <c r="AA53" s="4746"/>
      <c r="AB53" s="4746"/>
      <c r="AC53" s="4746"/>
      <c r="AD53" s="4837"/>
      <c r="AE53" s="4837"/>
      <c r="AF53" s="4837"/>
      <c r="AG53" s="4837"/>
      <c r="AH53" s="4837"/>
      <c r="AI53" s="4837"/>
      <c r="AJ53" s="4837"/>
      <c r="AK53" s="4837"/>
      <c r="AL53" s="4838">
        <v>1</v>
      </c>
    </row>
    <row r="54" spans="1:38" ht="30" customHeight="1">
      <c r="A54" s="4744"/>
      <c r="B54" s="4864"/>
      <c r="C54" s="4860"/>
      <c r="D54" s="4861"/>
      <c r="E54" s="4861"/>
      <c r="F54" s="4861"/>
      <c r="G54" s="4861"/>
      <c r="H54" s="4861"/>
      <c r="I54" s="4861"/>
      <c r="J54" s="4861"/>
      <c r="K54" s="4861"/>
      <c r="L54" s="4861"/>
      <c r="M54" s="4861"/>
      <c r="N54" s="4861"/>
      <c r="O54" s="4861"/>
      <c r="P54" s="4821"/>
      <c r="Q54" s="4821"/>
      <c r="R54" s="4821"/>
      <c r="S54" s="4821"/>
      <c r="T54" s="4746"/>
      <c r="U54" s="4746"/>
      <c r="V54" s="4746"/>
      <c r="W54" s="4746"/>
      <c r="X54" s="4746"/>
      <c r="Y54" s="1671"/>
      <c r="Z54" s="4746"/>
      <c r="AA54" s="4746"/>
      <c r="AB54" s="4746"/>
      <c r="AC54" s="4746"/>
      <c r="AD54" s="4837"/>
      <c r="AE54" s="4837"/>
      <c r="AF54" s="4837"/>
      <c r="AG54" s="4837"/>
      <c r="AH54" s="4837"/>
      <c r="AI54" s="4837"/>
      <c r="AJ54" s="4837"/>
      <c r="AK54" s="4837"/>
      <c r="AL54" s="4838">
        <v>1</v>
      </c>
    </row>
    <row r="55" spans="1:38" ht="30" customHeight="1">
      <c r="A55" s="4744"/>
      <c r="B55" s="4865" t="s">
        <v>7402</v>
      </c>
      <c r="C55" s="4866"/>
      <c r="D55" s="4867"/>
      <c r="E55" s="4861"/>
      <c r="F55" s="4861"/>
      <c r="G55" s="4861"/>
      <c r="H55" s="4861"/>
      <c r="I55" s="4861"/>
      <c r="J55" s="4861"/>
      <c r="K55" s="4861"/>
      <c r="L55" s="4861"/>
      <c r="M55" s="4861"/>
      <c r="N55" s="4861"/>
      <c r="O55" s="4861"/>
      <c r="P55" s="4821"/>
      <c r="Q55" s="4821"/>
      <c r="R55" s="4821"/>
      <c r="S55" s="4821"/>
      <c r="T55" s="4746"/>
      <c r="U55" s="4746"/>
      <c r="V55" s="4746"/>
      <c r="W55" s="4746"/>
      <c r="X55" s="4746"/>
      <c r="Y55" s="1671"/>
      <c r="Z55" s="4746"/>
      <c r="AA55" s="4746"/>
      <c r="AB55" s="4746"/>
      <c r="AC55" s="4746"/>
      <c r="AD55" s="4837"/>
      <c r="AE55" s="4837"/>
      <c r="AF55" s="4837"/>
      <c r="AG55" s="4837"/>
      <c r="AH55" s="4837"/>
      <c r="AI55" s="4837"/>
      <c r="AJ55" s="4837"/>
      <c r="AK55" s="4837"/>
      <c r="AL55" s="4838">
        <v>1</v>
      </c>
    </row>
    <row r="56" spans="1:38" ht="30" customHeight="1">
      <c r="A56" s="4744"/>
      <c r="B56" s="4752"/>
      <c r="C56" s="4865" t="s">
        <v>7403</v>
      </c>
      <c r="D56" s="4867"/>
      <c r="E56" s="4861"/>
      <c r="F56" s="4861"/>
      <c r="G56" s="4861"/>
      <c r="H56" s="4861"/>
      <c r="I56" s="4861"/>
      <c r="J56" s="4861"/>
      <c r="K56" s="4861"/>
      <c r="L56" s="4861"/>
      <c r="M56" s="4861"/>
      <c r="N56" s="4861"/>
      <c r="O56" s="4861"/>
      <c r="P56" s="4821"/>
      <c r="Q56" s="4821"/>
      <c r="R56" s="4821"/>
      <c r="S56" s="4821"/>
      <c r="T56" s="4746"/>
      <c r="U56" s="4746"/>
      <c r="V56" s="4746"/>
      <c r="W56" s="4746"/>
      <c r="X56" s="4746"/>
      <c r="Y56" s="1671"/>
      <c r="Z56" s="4746"/>
      <c r="AA56" s="4746"/>
      <c r="AB56" s="4746"/>
      <c r="AC56" s="4746"/>
      <c r="AD56" s="4837"/>
      <c r="AE56" s="4837"/>
      <c r="AF56" s="4837"/>
      <c r="AG56" s="4837"/>
      <c r="AH56" s="4837"/>
      <c r="AI56" s="4837"/>
      <c r="AJ56" s="4837"/>
      <c r="AK56" s="4837"/>
      <c r="AL56" s="4838">
        <v>1</v>
      </c>
    </row>
    <row r="57" spans="1:38" ht="30" customHeight="1">
      <c r="A57" s="4744"/>
      <c r="B57" s="4752"/>
      <c r="C57" s="4865" t="s">
        <v>7404</v>
      </c>
      <c r="D57" s="4867"/>
      <c r="E57" s="4861"/>
      <c r="F57" s="4861"/>
      <c r="G57" s="4861"/>
      <c r="H57" s="4861"/>
      <c r="I57" s="4861"/>
      <c r="J57" s="4861"/>
      <c r="K57" s="4861"/>
      <c r="L57" s="4861"/>
      <c r="M57" s="4861"/>
      <c r="N57" s="4861"/>
      <c r="O57" s="4861"/>
      <c r="P57" s="4821"/>
      <c r="Q57" s="4821"/>
      <c r="R57" s="4821"/>
      <c r="S57" s="4821"/>
      <c r="T57" s="4746"/>
      <c r="U57" s="4746"/>
      <c r="V57" s="4746"/>
      <c r="W57" s="4746"/>
      <c r="X57" s="4746"/>
      <c r="Y57" s="1671"/>
      <c r="Z57" s="4746"/>
      <c r="AA57" s="4746"/>
      <c r="AB57" s="4746"/>
      <c r="AC57" s="4746"/>
      <c r="AD57" s="4837"/>
      <c r="AE57" s="4837"/>
      <c r="AF57" s="4837"/>
      <c r="AG57" s="4837"/>
      <c r="AH57" s="4837"/>
      <c r="AI57" s="4837"/>
      <c r="AJ57" s="4837"/>
      <c r="AK57" s="4837"/>
      <c r="AL57" s="4838">
        <v>1</v>
      </c>
    </row>
    <row r="58" spans="1:38" ht="30" customHeight="1">
      <c r="A58" s="4744"/>
      <c r="B58" s="4859"/>
      <c r="C58" s="4861"/>
      <c r="D58" s="4861"/>
      <c r="E58" s="4861"/>
      <c r="F58" s="4861"/>
      <c r="G58" s="4861"/>
      <c r="H58" s="4861"/>
      <c r="I58" s="4861"/>
      <c r="J58" s="4861"/>
      <c r="K58" s="4861"/>
      <c r="L58" s="4861"/>
      <c r="M58" s="4861"/>
      <c r="N58" s="4861"/>
      <c r="O58" s="4861"/>
      <c r="P58" s="4821"/>
      <c r="Q58" s="4821"/>
      <c r="R58" s="4821"/>
      <c r="S58" s="4821"/>
      <c r="T58" s="4746"/>
      <c r="U58" s="4746"/>
      <c r="V58" s="4746"/>
      <c r="W58" s="4746"/>
      <c r="X58" s="4746"/>
      <c r="Y58" s="1671"/>
      <c r="Z58" s="4746"/>
      <c r="AA58" s="4746"/>
      <c r="AB58" s="4746"/>
      <c r="AC58" s="4746"/>
      <c r="AD58" s="4837"/>
      <c r="AE58" s="4837"/>
      <c r="AF58" s="4837"/>
      <c r="AG58" s="4837"/>
      <c r="AH58" s="4837"/>
      <c r="AI58" s="4837"/>
      <c r="AJ58" s="4837"/>
      <c r="AK58" s="4837"/>
      <c r="AL58" s="4838">
        <v>1</v>
      </c>
    </row>
    <row r="59" spans="1:38" ht="30" customHeight="1">
      <c r="A59" s="4744"/>
      <c r="B59" s="4859"/>
      <c r="C59" s="4751" t="s">
        <v>7405</v>
      </c>
      <c r="D59" s="4868"/>
      <c r="E59" s="4868"/>
      <c r="F59" s="4861"/>
      <c r="G59" s="4861"/>
      <c r="H59" s="4861"/>
      <c r="I59" s="4861"/>
      <c r="J59" s="4861"/>
      <c r="K59" s="4861"/>
      <c r="L59" s="4861"/>
      <c r="M59" s="4861"/>
      <c r="N59" s="4861"/>
      <c r="O59" s="4861"/>
      <c r="P59" s="4821"/>
      <c r="Q59" s="4821"/>
      <c r="R59" s="4821"/>
      <c r="S59" s="4863" t="s">
        <v>7406</v>
      </c>
      <c r="T59" s="4863"/>
      <c r="U59" s="4863"/>
      <c r="V59" s="4863"/>
      <c r="W59" s="4746"/>
      <c r="X59" s="4746"/>
      <c r="Y59" s="1671"/>
      <c r="Z59" s="4746"/>
      <c r="AA59" s="4746"/>
      <c r="AB59" s="4746"/>
      <c r="AC59" s="4746"/>
      <c r="AD59" s="4837"/>
      <c r="AE59" s="4837"/>
      <c r="AF59" s="4837"/>
      <c r="AG59" s="4837"/>
      <c r="AH59" s="4837"/>
      <c r="AI59" s="4837"/>
      <c r="AJ59" s="4837"/>
      <c r="AK59" s="4837"/>
      <c r="AL59" s="4838">
        <v>1</v>
      </c>
    </row>
    <row r="60" spans="1:38" ht="30" customHeight="1">
      <c r="A60" s="4744"/>
      <c r="B60" s="4859"/>
      <c r="C60" s="4868"/>
      <c r="D60" s="4869" t="s">
        <v>7407</v>
      </c>
      <c r="E60" s="4868"/>
      <c r="F60" s="4861"/>
      <c r="G60" s="4861"/>
      <c r="H60" s="4861"/>
      <c r="I60" s="4861"/>
      <c r="J60" s="4861"/>
      <c r="K60" s="4861"/>
      <c r="L60" s="4861"/>
      <c r="M60" s="4861"/>
      <c r="N60" s="4861"/>
      <c r="O60" s="4861"/>
      <c r="P60" s="4821"/>
      <c r="Q60" s="4821"/>
      <c r="R60" s="4821"/>
      <c r="S60" s="4821"/>
      <c r="T60" s="4863" t="s">
        <v>7408</v>
      </c>
      <c r="U60" s="4863"/>
      <c r="V60" s="4863"/>
      <c r="W60" s="4746"/>
      <c r="X60" s="4746"/>
      <c r="Y60" s="4746"/>
      <c r="Z60" s="4746"/>
      <c r="AA60" s="4746"/>
      <c r="AB60" s="4746"/>
      <c r="AC60" s="4746"/>
      <c r="AD60" s="4837"/>
      <c r="AE60" s="4837"/>
      <c r="AF60" s="4837"/>
      <c r="AG60" s="4837"/>
      <c r="AH60" s="4837"/>
      <c r="AI60" s="4837"/>
      <c r="AJ60" s="4837"/>
      <c r="AK60" s="4837"/>
      <c r="AL60" s="4838">
        <v>1</v>
      </c>
    </row>
    <row r="61" spans="1:38" ht="30" customHeight="1">
      <c r="A61" s="4744"/>
      <c r="B61" s="4859"/>
      <c r="C61" s="4868"/>
      <c r="D61" s="4869" t="s">
        <v>7409</v>
      </c>
      <c r="E61" s="4868"/>
      <c r="F61" s="4861"/>
      <c r="G61" s="4861"/>
      <c r="H61" s="4861"/>
      <c r="I61" s="4861"/>
      <c r="J61" s="4861"/>
      <c r="K61" s="4861"/>
      <c r="L61" s="4861"/>
      <c r="M61" s="4861"/>
      <c r="N61" s="4861"/>
      <c r="O61" s="4861"/>
      <c r="P61" s="4821"/>
      <c r="Q61" s="4821"/>
      <c r="R61" s="4821"/>
      <c r="S61" s="4821"/>
      <c r="T61" s="4863" t="s">
        <v>7410</v>
      </c>
      <c r="U61" s="4863"/>
      <c r="V61" s="4863"/>
      <c r="W61" s="4746"/>
      <c r="X61" s="4746"/>
      <c r="Y61" s="4746"/>
      <c r="Z61" s="4746"/>
      <c r="AA61" s="4746"/>
      <c r="AB61" s="4746"/>
      <c r="AC61" s="4746"/>
      <c r="AD61" s="4837"/>
      <c r="AE61" s="4837"/>
      <c r="AF61" s="4837"/>
      <c r="AG61" s="4837"/>
      <c r="AH61" s="4837"/>
      <c r="AI61" s="4837"/>
      <c r="AJ61" s="4837"/>
      <c r="AK61" s="4837"/>
      <c r="AL61" s="4838">
        <v>1</v>
      </c>
    </row>
    <row r="62" spans="1:38" ht="30" customHeight="1">
      <c r="A62" s="4744"/>
      <c r="B62" s="4859"/>
      <c r="C62" s="4868"/>
      <c r="D62" s="4869" t="s">
        <v>7411</v>
      </c>
      <c r="E62" s="4868"/>
      <c r="F62" s="4861"/>
      <c r="G62" s="4861"/>
      <c r="H62" s="4861"/>
      <c r="I62" s="4861"/>
      <c r="J62" s="4861"/>
      <c r="K62" s="4861"/>
      <c r="L62" s="4861"/>
      <c r="M62" s="4861"/>
      <c r="N62" s="4861"/>
      <c r="O62" s="4861"/>
      <c r="P62" s="4821"/>
      <c r="Q62" s="4821"/>
      <c r="R62" s="4821"/>
      <c r="S62" s="4821"/>
      <c r="T62" s="4863" t="s">
        <v>7412</v>
      </c>
      <c r="U62" s="4863"/>
      <c r="V62" s="4863"/>
      <c r="W62" s="4746"/>
      <c r="X62" s="4746"/>
      <c r="Y62" s="4746"/>
      <c r="Z62" s="4746"/>
      <c r="AA62" s="4746"/>
      <c r="AB62" s="4746"/>
      <c r="AC62" s="4746"/>
      <c r="AD62" s="4837"/>
      <c r="AE62" s="4837"/>
      <c r="AF62" s="4837"/>
      <c r="AG62" s="4837"/>
      <c r="AH62" s="4837"/>
      <c r="AI62" s="4837"/>
      <c r="AJ62" s="4837"/>
      <c r="AK62" s="4837"/>
      <c r="AL62" s="4838">
        <v>1</v>
      </c>
    </row>
    <row r="63" spans="1:38" ht="30" customHeight="1">
      <c r="A63" s="4744"/>
      <c r="B63" s="4859"/>
      <c r="C63" s="4868"/>
      <c r="D63" s="4869" t="s">
        <v>7413</v>
      </c>
      <c r="E63" s="4868"/>
      <c r="F63" s="4861"/>
      <c r="G63" s="4861"/>
      <c r="H63" s="4861"/>
      <c r="I63" s="4861"/>
      <c r="J63" s="4861"/>
      <c r="K63" s="4861"/>
      <c r="L63" s="4861"/>
      <c r="M63" s="4861"/>
      <c r="N63" s="4861"/>
      <c r="O63" s="4861"/>
      <c r="P63" s="4821"/>
      <c r="Q63" s="4821"/>
      <c r="R63" s="4821"/>
      <c r="S63" s="4821"/>
      <c r="T63" s="4863" t="s">
        <v>7414</v>
      </c>
      <c r="U63" s="4863"/>
      <c r="V63" s="4863"/>
      <c r="W63" s="4746"/>
      <c r="X63" s="4746"/>
      <c r="Y63" s="4746"/>
      <c r="Z63" s="4746"/>
      <c r="AA63" s="4746"/>
      <c r="AB63" s="4746"/>
      <c r="AC63" s="4746"/>
      <c r="AD63" s="4837"/>
      <c r="AE63" s="4837"/>
      <c r="AF63" s="4837"/>
      <c r="AG63" s="4837"/>
      <c r="AH63" s="4837"/>
      <c r="AI63" s="4837"/>
      <c r="AJ63" s="4837"/>
      <c r="AK63" s="4837"/>
      <c r="AL63" s="4838">
        <v>1</v>
      </c>
    </row>
    <row r="64" spans="1:38" ht="30" customHeight="1">
      <c r="A64" s="4744"/>
      <c r="B64" s="4859"/>
      <c r="C64" s="4868"/>
      <c r="D64" s="4869" t="s">
        <v>7415</v>
      </c>
      <c r="E64" s="4868"/>
      <c r="F64" s="4861"/>
      <c r="G64" s="4861"/>
      <c r="H64" s="4861"/>
      <c r="I64" s="4861"/>
      <c r="J64" s="4861"/>
      <c r="K64" s="4861"/>
      <c r="L64" s="4861"/>
      <c r="M64" s="4861"/>
      <c r="N64" s="4861"/>
      <c r="O64" s="4861"/>
      <c r="P64" s="4861"/>
      <c r="Q64" s="4821"/>
      <c r="R64" s="4821"/>
      <c r="S64" s="4821"/>
      <c r="T64" s="4863" t="s">
        <v>7416</v>
      </c>
      <c r="U64" s="4863"/>
      <c r="V64" s="4863"/>
      <c r="W64" s="4746"/>
      <c r="X64" s="4746"/>
      <c r="Y64" s="4746"/>
      <c r="Z64" s="4746"/>
      <c r="AA64" s="4746"/>
      <c r="AB64" s="4746"/>
      <c r="AC64" s="4746"/>
      <c r="AD64" s="4837"/>
      <c r="AE64" s="4837"/>
      <c r="AF64" s="4837"/>
      <c r="AG64" s="4837"/>
      <c r="AH64" s="4837"/>
      <c r="AI64" s="4837"/>
      <c r="AJ64" s="4837"/>
      <c r="AK64" s="4837"/>
      <c r="AL64" s="4838">
        <v>1</v>
      </c>
    </row>
    <row r="65" spans="1:38" ht="30" customHeight="1">
      <c r="A65" s="4744"/>
      <c r="B65" s="4859"/>
      <c r="C65" s="4860"/>
      <c r="D65" s="4861"/>
      <c r="E65" s="4861"/>
      <c r="F65" s="4861"/>
      <c r="G65" s="4861"/>
      <c r="H65" s="4861"/>
      <c r="I65" s="4861"/>
      <c r="J65" s="4861"/>
      <c r="K65" s="4861"/>
      <c r="L65" s="4861"/>
      <c r="M65" s="4861"/>
      <c r="N65" s="4861"/>
      <c r="O65" s="4861"/>
      <c r="P65" s="4821"/>
      <c r="Q65" s="4821"/>
      <c r="R65" s="4821"/>
      <c r="S65" s="4821"/>
      <c r="T65" s="4746"/>
      <c r="U65" s="4746"/>
      <c r="V65" s="4746"/>
      <c r="W65" s="4746"/>
      <c r="X65" s="4746"/>
      <c r="Y65" s="1671"/>
      <c r="Z65" s="4746"/>
      <c r="AA65" s="4746"/>
      <c r="AB65" s="4746"/>
      <c r="AC65" s="4746"/>
      <c r="AD65" s="4837"/>
      <c r="AE65" s="4837"/>
      <c r="AF65" s="4837"/>
      <c r="AG65" s="4837"/>
      <c r="AH65" s="4837"/>
      <c r="AI65" s="4837"/>
      <c r="AJ65" s="4837"/>
      <c r="AK65" s="4837"/>
      <c r="AL65" s="4838">
        <v>1</v>
      </c>
    </row>
    <row r="66" spans="1:38" s="1" customFormat="1" ht="30" customHeight="1">
      <c r="A66" s="4744"/>
      <c r="B66" s="4744"/>
      <c r="C66" s="7395" t="s">
        <v>7417</v>
      </c>
      <c r="D66" s="4859" t="s">
        <v>7418</v>
      </c>
      <c r="E66" s="4859"/>
      <c r="F66" s="4859"/>
      <c r="G66" s="4751"/>
      <c r="H66" s="4751"/>
      <c r="I66" s="4751"/>
      <c r="J66" s="4751"/>
      <c r="K66" s="4751"/>
      <c r="L66" s="4861"/>
      <c r="M66" s="4861"/>
      <c r="N66" s="4861"/>
      <c r="O66" s="4861"/>
      <c r="P66" s="4821"/>
      <c r="Q66" s="4821"/>
      <c r="R66" s="4821"/>
      <c r="S66" s="4821"/>
      <c r="T66" s="4746"/>
      <c r="U66" s="4746"/>
      <c r="V66" s="4746"/>
      <c r="W66" s="4746"/>
      <c r="X66" s="4751"/>
      <c r="Y66" s="4751"/>
      <c r="Z66" s="4751"/>
      <c r="AA66" s="4751"/>
      <c r="AB66" s="4751"/>
      <c r="AC66" s="4751"/>
      <c r="AD66" s="4837"/>
      <c r="AE66" s="4837"/>
      <c r="AF66" s="4837"/>
      <c r="AG66" s="4837"/>
      <c r="AH66" s="4837"/>
      <c r="AI66" s="4837"/>
      <c r="AJ66" s="4837"/>
      <c r="AK66" s="4837"/>
      <c r="AL66" s="4838">
        <v>1</v>
      </c>
    </row>
    <row r="67" spans="1:38" s="1" customFormat="1" ht="30" customHeight="1">
      <c r="A67" s="4744"/>
      <c r="B67" s="4744"/>
      <c r="C67" s="7395"/>
      <c r="D67" s="4859"/>
      <c r="E67" s="4859"/>
      <c r="F67" s="4859"/>
      <c r="G67" s="4751"/>
      <c r="H67" s="4751"/>
      <c r="I67" s="4751"/>
      <c r="J67" s="4751"/>
      <c r="K67" s="4751"/>
      <c r="L67" s="4751"/>
      <c r="M67" s="4861"/>
      <c r="N67" s="4861"/>
      <c r="O67" s="4861"/>
      <c r="P67" s="4821"/>
      <c r="Q67" s="4821"/>
      <c r="R67" s="4821"/>
      <c r="S67" s="4821"/>
      <c r="T67" s="4746"/>
      <c r="U67" s="4746"/>
      <c r="V67" s="4746"/>
      <c r="W67" s="4746"/>
      <c r="X67" s="4751"/>
      <c r="Y67" s="4751"/>
      <c r="Z67" s="4751"/>
      <c r="AA67" s="4751"/>
      <c r="AB67" s="4751"/>
      <c r="AC67" s="4746"/>
      <c r="AD67" s="4837"/>
      <c r="AE67" s="4837"/>
      <c r="AF67" s="4837"/>
      <c r="AG67" s="4837"/>
      <c r="AH67" s="4837"/>
      <c r="AI67" s="4837"/>
      <c r="AJ67" s="4837"/>
      <c r="AK67" s="4837"/>
      <c r="AL67" s="4838">
        <v>1</v>
      </c>
    </row>
    <row r="68" spans="1:38" s="1" customFormat="1" ht="30" customHeight="1">
      <c r="A68" s="4744"/>
      <c r="B68" s="4744"/>
      <c r="C68" s="5137">
        <v>45751</v>
      </c>
      <c r="D68" s="4871">
        <v>1</v>
      </c>
      <c r="E68" s="4859" t="s">
        <v>7419</v>
      </c>
      <c r="F68" s="4859"/>
      <c r="G68" s="4751"/>
      <c r="H68" s="4751"/>
      <c r="I68" s="4751"/>
      <c r="J68" s="4751"/>
      <c r="K68" s="4751"/>
      <c r="L68" s="4751"/>
      <c r="M68" s="7405" t="s">
        <v>7420</v>
      </c>
      <c r="N68" s="7405"/>
      <c r="O68" s="7405"/>
      <c r="P68" s="7405"/>
      <c r="Q68" s="7405"/>
      <c r="R68" s="7405"/>
      <c r="S68" s="7405"/>
      <c r="T68" s="7405"/>
      <c r="U68" s="7405"/>
      <c r="V68" s="7405"/>
      <c r="W68" s="7405"/>
      <c r="X68" s="4751"/>
      <c r="Y68" s="4751"/>
      <c r="Z68" s="4751"/>
      <c r="AA68" s="4751"/>
      <c r="AB68" s="4751"/>
      <c r="AC68" s="4746"/>
      <c r="AD68" s="4837"/>
      <c r="AE68" s="4837"/>
      <c r="AF68" s="4837"/>
      <c r="AG68" s="4837"/>
      <c r="AH68" s="4837"/>
      <c r="AI68" s="4837"/>
      <c r="AJ68" s="4837"/>
      <c r="AK68" s="4837"/>
      <c r="AL68" s="4838">
        <v>1</v>
      </c>
    </row>
    <row r="69" spans="1:38" s="1" customFormat="1" ht="30" customHeight="1">
      <c r="A69" s="4744"/>
      <c r="B69" s="4744"/>
      <c r="C69" s="4870">
        <v>45747</v>
      </c>
      <c r="D69" s="4871">
        <v>2</v>
      </c>
      <c r="E69" s="4859" t="s">
        <v>7421</v>
      </c>
      <c r="F69" s="4859"/>
      <c r="G69" s="4751"/>
      <c r="H69" s="4751"/>
      <c r="I69" s="4751"/>
      <c r="J69" s="4751"/>
      <c r="K69" s="4751"/>
      <c r="L69" s="4751"/>
      <c r="M69" s="7405"/>
      <c r="N69" s="7405"/>
      <c r="O69" s="7405"/>
      <c r="P69" s="7405"/>
      <c r="Q69" s="7405"/>
      <c r="R69" s="7405"/>
      <c r="S69" s="7405"/>
      <c r="T69" s="7405"/>
      <c r="U69" s="7405"/>
      <c r="V69" s="7405"/>
      <c r="W69" s="7405"/>
      <c r="X69" s="4751"/>
      <c r="Y69" s="4751"/>
      <c r="Z69" s="4751"/>
      <c r="AA69" s="4751"/>
      <c r="AB69" s="4751"/>
      <c r="AC69" s="4746"/>
      <c r="AD69" s="4837"/>
      <c r="AE69" s="4837"/>
      <c r="AF69" s="4837"/>
      <c r="AG69" s="4837"/>
      <c r="AH69" s="4837"/>
      <c r="AI69" s="4837"/>
      <c r="AJ69" s="4837"/>
      <c r="AK69" s="4837"/>
      <c r="AL69" s="4838">
        <v>1</v>
      </c>
    </row>
    <row r="70" spans="1:38" s="1" customFormat="1" ht="30" customHeight="1">
      <c r="A70" s="4744"/>
      <c r="B70" s="4744"/>
      <c r="C70" s="4870">
        <v>45717</v>
      </c>
      <c r="D70" s="4871">
        <v>3</v>
      </c>
      <c r="E70" s="4859" t="s">
        <v>7422</v>
      </c>
      <c r="F70" s="4859"/>
      <c r="G70" s="4751"/>
      <c r="H70" s="4751"/>
      <c r="I70" s="4751"/>
      <c r="J70" s="4751"/>
      <c r="K70" s="4751"/>
      <c r="L70" s="4751"/>
      <c r="M70" s="4751"/>
      <c r="N70" s="4751"/>
      <c r="O70" s="4751"/>
      <c r="P70" s="4751"/>
      <c r="Q70" s="4751"/>
      <c r="R70" s="4751"/>
      <c r="S70" s="4751"/>
      <c r="T70" s="4751"/>
      <c r="U70" s="4751"/>
      <c r="V70" s="4751"/>
      <c r="W70" s="4751"/>
      <c r="X70" s="4751"/>
      <c r="Y70" s="4751"/>
      <c r="Z70" s="4751"/>
      <c r="AA70" s="4751"/>
      <c r="AB70" s="4751"/>
      <c r="AC70" s="4746"/>
      <c r="AD70" s="4837"/>
      <c r="AE70" s="4837"/>
      <c r="AF70" s="4837"/>
      <c r="AG70" s="4837"/>
      <c r="AH70" s="4837"/>
      <c r="AI70" s="4837"/>
      <c r="AJ70" s="4837"/>
      <c r="AK70" s="4837"/>
      <c r="AL70" s="4838">
        <v>1</v>
      </c>
    </row>
    <row r="71" spans="1:38" s="1" customFormat="1" ht="30" customHeight="1">
      <c r="A71" s="4744"/>
      <c r="B71" s="4744"/>
      <c r="C71" s="5137">
        <v>45751</v>
      </c>
      <c r="D71" s="4871">
        <v>4</v>
      </c>
      <c r="E71" s="4859" t="s">
        <v>7423</v>
      </c>
      <c r="F71" s="4859"/>
      <c r="G71" s="4751"/>
      <c r="H71" s="4751"/>
      <c r="I71" s="4751"/>
      <c r="J71" s="4751"/>
      <c r="K71" s="4751"/>
      <c r="L71" s="4751"/>
      <c r="M71" s="7405" t="s">
        <v>7850</v>
      </c>
      <c r="N71" s="7405"/>
      <c r="O71" s="7405"/>
      <c r="P71" s="7405"/>
      <c r="Q71" s="7405"/>
      <c r="R71" s="7405"/>
      <c r="S71" s="7405"/>
      <c r="T71" s="7405"/>
      <c r="U71" s="7405"/>
      <c r="V71" s="7405"/>
      <c r="W71" s="7405"/>
      <c r="X71" s="4751"/>
      <c r="Y71" s="4751"/>
      <c r="Z71" s="4751"/>
      <c r="AA71" s="4751"/>
      <c r="AB71" s="4746"/>
      <c r="AC71" s="4746"/>
      <c r="AD71" s="4837"/>
      <c r="AE71" s="4837"/>
      <c r="AF71" s="4837"/>
      <c r="AG71" s="4837"/>
      <c r="AH71" s="4837"/>
      <c r="AI71" s="4837"/>
      <c r="AJ71" s="4837"/>
      <c r="AK71" s="4837"/>
      <c r="AL71" s="4838">
        <v>1</v>
      </c>
    </row>
    <row r="72" spans="1:38" s="1" customFormat="1" ht="30" customHeight="1">
      <c r="A72" s="4744"/>
      <c r="B72" s="4744"/>
      <c r="C72" s="4870"/>
      <c r="D72" s="4871"/>
      <c r="E72" s="4859"/>
      <c r="F72" s="4859"/>
      <c r="G72" s="4751"/>
      <c r="H72" s="4751"/>
      <c r="I72" s="4751"/>
      <c r="J72" s="4751"/>
      <c r="K72" s="4751"/>
      <c r="L72" s="4751"/>
      <c r="M72" s="7405"/>
      <c r="N72" s="7405"/>
      <c r="O72" s="7405"/>
      <c r="P72" s="7405"/>
      <c r="Q72" s="7405"/>
      <c r="R72" s="7405"/>
      <c r="S72" s="7405"/>
      <c r="T72" s="7405"/>
      <c r="U72" s="7405"/>
      <c r="V72" s="7405"/>
      <c r="W72" s="7405"/>
      <c r="X72" s="4751"/>
      <c r="Y72" s="4751"/>
      <c r="Z72" s="4751"/>
      <c r="AA72" s="4751"/>
      <c r="AB72" s="4746"/>
      <c r="AC72" s="4746"/>
      <c r="AD72" s="4837"/>
      <c r="AE72" s="4837"/>
      <c r="AF72" s="4837"/>
      <c r="AG72" s="4837"/>
      <c r="AH72" s="4837"/>
      <c r="AI72" s="4837"/>
      <c r="AJ72" s="4837"/>
      <c r="AK72" s="4837"/>
      <c r="AL72" s="4838">
        <v>1</v>
      </c>
    </row>
    <row r="73" spans="1:38" s="1" customFormat="1" ht="30" customHeight="1">
      <c r="A73" s="4744"/>
      <c r="B73" s="4744"/>
      <c r="C73" s="4870"/>
      <c r="D73" s="4859" t="s">
        <v>7852</v>
      </c>
      <c r="E73" s="4859"/>
      <c r="F73" s="4859"/>
      <c r="G73" s="4751"/>
      <c r="H73" s="4821"/>
      <c r="I73" s="4821"/>
      <c r="J73" s="4821"/>
      <c r="K73" s="4821"/>
      <c r="L73" s="4821"/>
      <c r="M73" s="4821"/>
      <c r="N73" s="4821"/>
      <c r="O73" s="4821"/>
      <c r="P73" s="4821"/>
      <c r="Q73" s="4821"/>
      <c r="R73" s="4821"/>
      <c r="S73" s="4821"/>
      <c r="T73" s="4746"/>
      <c r="U73" s="4746"/>
      <c r="V73" s="4746"/>
      <c r="W73" s="4746"/>
      <c r="X73" s="4746"/>
      <c r="Y73" s="1671"/>
      <c r="Z73" s="4746"/>
      <c r="AA73" s="4746"/>
      <c r="AB73" s="4746"/>
      <c r="AC73" s="4746"/>
      <c r="AD73" s="4837"/>
      <c r="AE73" s="4837"/>
      <c r="AF73" s="4837"/>
      <c r="AG73" s="4837"/>
      <c r="AH73" s="4837"/>
      <c r="AI73" s="4837"/>
      <c r="AJ73" s="4837"/>
      <c r="AK73" s="4837"/>
      <c r="AL73" s="4838">
        <v>1</v>
      </c>
    </row>
    <row r="74" spans="1:38" s="1" customFormat="1" ht="30" customHeight="1">
      <c r="A74" s="4744"/>
      <c r="B74" s="4744"/>
      <c r="C74" s="4870"/>
      <c r="D74" s="4859"/>
      <c r="E74" s="4859"/>
      <c r="F74" s="4859"/>
      <c r="G74" s="4751"/>
      <c r="H74" s="4751"/>
      <c r="I74" s="4751"/>
      <c r="J74" s="4751"/>
      <c r="K74" s="4861"/>
      <c r="L74" s="4861"/>
      <c r="M74" s="4861"/>
      <c r="N74" s="4861"/>
      <c r="O74" s="4861"/>
      <c r="P74" s="4861"/>
      <c r="Q74" s="4861"/>
      <c r="R74" s="4861"/>
      <c r="S74" s="4821"/>
      <c r="T74" s="4746"/>
      <c r="U74" s="4746"/>
      <c r="V74" s="4746"/>
      <c r="W74" s="4746"/>
      <c r="X74" s="4873" t="s">
        <v>7424</v>
      </c>
      <c r="Y74" s="4746"/>
      <c r="Z74" s="4746"/>
      <c r="AA74" s="4746"/>
      <c r="AB74" s="4746"/>
      <c r="AC74" s="4746"/>
      <c r="AD74" s="4837"/>
      <c r="AE74" s="4837"/>
      <c r="AF74" s="4837"/>
      <c r="AG74" s="4837"/>
      <c r="AH74" s="4837"/>
      <c r="AI74" s="4837"/>
      <c r="AJ74" s="4837"/>
      <c r="AK74" s="4837"/>
      <c r="AL74" s="4838">
        <v>1</v>
      </c>
    </row>
    <row r="75" spans="1:38" s="1" customFormat="1" ht="30" customHeight="1">
      <c r="A75" s="4744"/>
      <c r="B75" s="4744"/>
      <c r="C75" s="4870">
        <v>45747</v>
      </c>
      <c r="D75" s="4871">
        <v>5</v>
      </c>
      <c r="E75" s="4859" t="s">
        <v>7853</v>
      </c>
      <c r="F75" s="4859"/>
      <c r="G75" s="4751"/>
      <c r="H75" s="4751"/>
      <c r="I75" s="4751"/>
      <c r="J75" s="4751"/>
      <c r="K75" s="4861"/>
      <c r="L75" s="4861"/>
      <c r="M75" s="4861"/>
      <c r="N75" s="4861"/>
      <c r="O75" s="4861"/>
      <c r="P75" s="4861"/>
      <c r="Q75" s="4861"/>
      <c r="R75" s="4861"/>
      <c r="S75" s="4821"/>
      <c r="T75" s="4746"/>
      <c r="U75" s="4746"/>
      <c r="V75" s="4746"/>
      <c r="W75" s="4746"/>
      <c r="X75" s="4873" t="s">
        <v>7425</v>
      </c>
      <c r="Y75" s="4746"/>
      <c r="Z75" s="4746"/>
      <c r="AA75" s="4746"/>
      <c r="AB75" s="4746"/>
      <c r="AC75" s="4746"/>
      <c r="AD75" s="4837"/>
      <c r="AE75" s="4837"/>
      <c r="AF75" s="4837"/>
      <c r="AG75" s="4837"/>
      <c r="AH75" s="4837"/>
      <c r="AI75" s="4837"/>
      <c r="AJ75" s="4837"/>
      <c r="AK75" s="4837"/>
      <c r="AL75" s="4838">
        <v>1</v>
      </c>
    </row>
    <row r="76" spans="1:38" s="1" customFormat="1" ht="30" customHeight="1">
      <c r="A76" s="4744"/>
      <c r="B76" s="4744"/>
      <c r="C76" s="4870"/>
      <c r="D76" s="4871"/>
      <c r="E76" s="4859" t="s">
        <v>7854</v>
      </c>
      <c r="F76" s="4859"/>
      <c r="G76" s="4751"/>
      <c r="H76" s="4751"/>
      <c r="I76" s="4751"/>
      <c r="J76" s="4751"/>
      <c r="K76" s="4861"/>
      <c r="L76" s="4861"/>
      <c r="M76" s="4861"/>
      <c r="N76" s="4861"/>
      <c r="O76" s="4861"/>
      <c r="P76" s="4861"/>
      <c r="Q76" s="4861"/>
      <c r="R76" s="4861"/>
      <c r="S76" s="4821"/>
      <c r="T76" s="4746"/>
      <c r="U76" s="4746"/>
      <c r="V76" s="4746"/>
      <c r="W76" s="4746"/>
      <c r="X76" s="4873" t="s">
        <v>7426</v>
      </c>
      <c r="Y76" s="4746"/>
      <c r="Z76" s="4746"/>
      <c r="AA76" s="4746"/>
      <c r="AB76" s="4746"/>
      <c r="AC76" s="4746"/>
      <c r="AD76" s="4837"/>
      <c r="AE76" s="4837"/>
      <c r="AF76" s="4837"/>
      <c r="AG76" s="4837"/>
      <c r="AH76" s="4837"/>
      <c r="AI76" s="4837"/>
      <c r="AJ76" s="4837"/>
      <c r="AK76" s="4837"/>
      <c r="AL76" s="4838"/>
    </row>
    <row r="77" spans="1:38" s="1" customFormat="1" ht="30" customHeight="1">
      <c r="A77" s="4744"/>
      <c r="B77" s="4744"/>
      <c r="C77" s="4870"/>
      <c r="D77" s="4871"/>
      <c r="E77" s="4859" t="s">
        <v>7855</v>
      </c>
      <c r="F77" s="4859"/>
      <c r="G77" s="4751"/>
      <c r="H77" s="4751"/>
      <c r="I77" s="4751"/>
      <c r="J77" s="4751"/>
      <c r="K77" s="4861"/>
      <c r="L77" s="4861"/>
      <c r="M77" s="4861"/>
      <c r="N77" s="4861"/>
      <c r="O77" s="4861"/>
      <c r="P77" s="4861"/>
      <c r="Q77" s="4861"/>
      <c r="R77" s="4861"/>
      <c r="S77" s="4821"/>
      <c r="T77" s="4746"/>
      <c r="U77" s="4746"/>
      <c r="V77" s="4746"/>
      <c r="W77" s="4746"/>
      <c r="X77" s="4873"/>
      <c r="Y77" s="4746"/>
      <c r="Z77" s="4746"/>
      <c r="AA77" s="4746"/>
      <c r="AB77" s="4746"/>
      <c r="AC77" s="4746"/>
      <c r="AD77" s="4837"/>
      <c r="AE77" s="4837"/>
      <c r="AF77" s="4837"/>
      <c r="AG77" s="4837"/>
      <c r="AH77" s="4837"/>
      <c r="AI77" s="4837"/>
      <c r="AJ77" s="4837"/>
      <c r="AK77" s="4837"/>
      <c r="AL77" s="4838"/>
    </row>
    <row r="78" spans="1:38" s="1" customFormat="1" ht="30" customHeight="1">
      <c r="A78" s="4744"/>
      <c r="B78" s="4744"/>
      <c r="C78" s="4872"/>
      <c r="D78" s="4871"/>
      <c r="E78" s="5159" t="s">
        <v>7851</v>
      </c>
      <c r="F78" s="4859"/>
      <c r="G78" s="4751"/>
      <c r="H78" s="4751"/>
      <c r="I78" s="4751"/>
      <c r="J78" s="4751"/>
      <c r="K78" s="4859"/>
      <c r="L78" s="4859"/>
      <c r="M78" s="4861"/>
      <c r="N78" s="4859"/>
      <c r="O78" s="4861"/>
      <c r="P78" s="4861"/>
      <c r="Q78" s="4861"/>
      <c r="R78" s="4861"/>
      <c r="S78" s="4821"/>
      <c r="T78" s="4746"/>
      <c r="U78" s="4746"/>
      <c r="V78" s="4746"/>
      <c r="W78" s="4746"/>
      <c r="X78" s="4873" t="s">
        <v>7427</v>
      </c>
      <c r="Y78" s="4746"/>
      <c r="Z78" s="4746"/>
      <c r="AA78" s="4746"/>
      <c r="AB78" s="4746"/>
      <c r="AC78" s="4746"/>
      <c r="AD78" s="4837"/>
      <c r="AE78" s="4837"/>
      <c r="AF78" s="4837"/>
      <c r="AG78" s="4837"/>
      <c r="AH78" s="4837"/>
      <c r="AI78" s="4837"/>
      <c r="AJ78" s="4837"/>
      <c r="AK78" s="4837"/>
      <c r="AL78" s="4838">
        <v>1</v>
      </c>
    </row>
    <row r="79" spans="1:38" s="1" customFormat="1" ht="30" customHeight="1">
      <c r="A79" s="4744"/>
      <c r="B79" s="4744"/>
      <c r="C79" s="4872"/>
      <c r="D79" s="4871"/>
      <c r="E79" s="4859"/>
      <c r="F79" s="4859"/>
      <c r="G79" s="4751"/>
      <c r="H79" s="4751"/>
      <c r="I79" s="4751"/>
      <c r="J79" s="4751"/>
      <c r="K79" s="4859"/>
      <c r="L79" s="4859"/>
      <c r="M79" s="4861"/>
      <c r="N79" s="4859"/>
      <c r="O79" s="4861"/>
      <c r="P79" s="4861"/>
      <c r="Q79" s="4861"/>
      <c r="R79" s="4861"/>
      <c r="S79" s="4821"/>
      <c r="T79" s="4746"/>
      <c r="U79" s="4746"/>
      <c r="V79" s="4746"/>
      <c r="W79" s="4746"/>
      <c r="X79" s="4873" t="s">
        <v>7428</v>
      </c>
      <c r="Y79" s="4746"/>
      <c r="Z79" s="4746"/>
      <c r="AA79" s="4746"/>
      <c r="AB79" s="4746"/>
      <c r="AC79" s="4746"/>
      <c r="AD79" s="4837"/>
      <c r="AE79" s="4837"/>
      <c r="AF79" s="4837"/>
      <c r="AG79" s="4837"/>
      <c r="AH79" s="4837"/>
      <c r="AI79" s="4837"/>
      <c r="AJ79" s="4837"/>
      <c r="AK79" s="4837"/>
      <c r="AL79" s="4838"/>
    </row>
    <row r="80" spans="1:38" s="1" customFormat="1" ht="30" customHeight="1">
      <c r="A80" s="4744"/>
      <c r="B80" s="4744"/>
      <c r="C80" s="5137">
        <v>45751</v>
      </c>
      <c r="D80" s="4871">
        <v>6</v>
      </c>
      <c r="E80" s="4859" t="s">
        <v>7866</v>
      </c>
      <c r="F80" s="4751"/>
      <c r="G80" s="4861"/>
      <c r="H80" s="4861"/>
      <c r="I80" s="4751"/>
      <c r="J80" s="4751"/>
      <c r="K80" s="4859"/>
      <c r="L80" s="4859"/>
      <c r="M80" s="4861"/>
      <c r="N80" s="4859"/>
      <c r="O80" s="4861"/>
      <c r="P80" s="4861"/>
      <c r="Q80" s="4861"/>
      <c r="R80" s="4861"/>
      <c r="S80" s="4821"/>
      <c r="T80" s="4746"/>
      <c r="U80" s="4746"/>
      <c r="V80" s="4746"/>
      <c r="W80" s="4746"/>
      <c r="X80" s="4873" t="s">
        <v>7429</v>
      </c>
      <c r="Y80" s="4746"/>
      <c r="Z80" s="4746"/>
      <c r="AA80" s="4746"/>
      <c r="AB80" s="4746"/>
      <c r="AC80" s="4746"/>
      <c r="AD80" s="4837"/>
      <c r="AE80" s="4837"/>
      <c r="AF80" s="4837"/>
      <c r="AG80" s="4837"/>
      <c r="AH80" s="4837"/>
      <c r="AI80" s="4837"/>
      <c r="AJ80" s="4837"/>
      <c r="AK80" s="4837"/>
      <c r="AL80" s="4838">
        <v>1</v>
      </c>
    </row>
    <row r="81" spans="1:38" s="1" customFormat="1" ht="30" customHeight="1">
      <c r="A81" s="4744"/>
      <c r="B81" s="4744"/>
      <c r="C81" s="5137"/>
      <c r="D81" s="4871">
        <v>7</v>
      </c>
      <c r="E81" s="4859" t="s">
        <v>7865</v>
      </c>
      <c r="F81" s="4751"/>
      <c r="G81" s="4861"/>
      <c r="H81" s="4861"/>
      <c r="I81" s="4751"/>
      <c r="J81" s="4751"/>
      <c r="K81" s="4859"/>
      <c r="L81" s="4859"/>
      <c r="M81" s="4861"/>
      <c r="N81" s="4859"/>
      <c r="O81" s="4861"/>
      <c r="P81" s="4861"/>
      <c r="Q81" s="4861"/>
      <c r="R81" s="4861"/>
      <c r="S81" s="4821"/>
      <c r="T81" s="4746"/>
      <c r="U81" s="4746"/>
      <c r="V81" s="4746"/>
      <c r="W81" s="4746"/>
      <c r="X81" s="4873" t="s">
        <v>7430</v>
      </c>
      <c r="Y81" s="4746"/>
      <c r="Z81" s="4746"/>
      <c r="AA81" s="4746"/>
      <c r="AB81" s="4746"/>
      <c r="AC81" s="4746"/>
      <c r="AD81" s="4837"/>
      <c r="AE81" s="4837"/>
      <c r="AF81" s="4837"/>
      <c r="AG81" s="4837"/>
      <c r="AH81" s="4837"/>
      <c r="AI81" s="4837"/>
      <c r="AJ81" s="4837"/>
      <c r="AK81" s="4837"/>
      <c r="AL81" s="4838"/>
    </row>
    <row r="82" spans="1:38" s="1" customFormat="1" ht="30" customHeight="1">
      <c r="A82" s="4744"/>
      <c r="B82" s="4744"/>
      <c r="C82" s="4859"/>
      <c r="D82" s="4873"/>
      <c r="E82" s="4874" t="s">
        <v>7867</v>
      </c>
      <c r="F82" s="4751"/>
      <c r="G82" s="4861"/>
      <c r="H82" s="4861"/>
      <c r="I82" s="4751"/>
      <c r="J82" s="4751"/>
      <c r="K82" s="4861"/>
      <c r="L82" s="4861"/>
      <c r="M82" s="4861"/>
      <c r="N82" s="4861"/>
      <c r="O82" s="4861"/>
      <c r="P82" s="4861"/>
      <c r="Q82" s="4861"/>
      <c r="R82" s="4861"/>
      <c r="S82" s="4821"/>
      <c r="T82" s="4746"/>
      <c r="U82" s="4746"/>
      <c r="V82" s="4746"/>
      <c r="W82" s="4746"/>
      <c r="X82" s="4873" t="s">
        <v>7431</v>
      </c>
      <c r="Y82" s="4861"/>
      <c r="Z82" s="4861"/>
      <c r="AA82" s="4746"/>
      <c r="AB82" s="4746"/>
      <c r="AC82" s="4746"/>
      <c r="AD82" s="4837"/>
      <c r="AE82" s="4837"/>
      <c r="AF82" s="4837"/>
      <c r="AG82" s="4837"/>
      <c r="AH82" s="4837"/>
      <c r="AI82" s="4837"/>
      <c r="AJ82" s="4837"/>
      <c r="AK82" s="4837"/>
      <c r="AL82" s="4838">
        <v>1</v>
      </c>
    </row>
    <row r="83" spans="1:38" s="1" customFormat="1" ht="30" customHeight="1">
      <c r="A83" s="4744"/>
      <c r="B83" s="4744"/>
      <c r="C83" s="4859"/>
      <c r="D83" s="4873"/>
      <c r="E83" s="4874" t="s">
        <v>7444</v>
      </c>
      <c r="F83" s="4751"/>
      <c r="G83" s="4861"/>
      <c r="H83" s="4861"/>
      <c r="I83" s="4751"/>
      <c r="J83" s="4751"/>
      <c r="K83" s="4861"/>
      <c r="L83" s="4861"/>
      <c r="M83" s="4861"/>
      <c r="N83" s="4861"/>
      <c r="O83" s="4861"/>
      <c r="P83" s="4861"/>
      <c r="Q83" s="4861"/>
      <c r="R83" s="4861"/>
      <c r="S83" s="4821"/>
      <c r="T83" s="4746"/>
      <c r="U83" s="4746"/>
      <c r="V83" s="4746"/>
      <c r="W83" s="4746"/>
      <c r="X83" s="4876" t="s">
        <v>42</v>
      </c>
      <c r="Y83" s="4877"/>
      <c r="Z83" s="4877"/>
      <c r="AA83" s="4746"/>
      <c r="AB83" s="4746"/>
      <c r="AC83" s="4746"/>
      <c r="AD83" s="4837"/>
      <c r="AE83" s="4837"/>
      <c r="AF83" s="4837"/>
      <c r="AG83" s="4837"/>
      <c r="AH83" s="4837"/>
      <c r="AI83" s="4837"/>
      <c r="AJ83" s="4837"/>
      <c r="AK83" s="4837"/>
      <c r="AL83" s="4838">
        <v>1</v>
      </c>
    </row>
    <row r="84" spans="1:38" s="1" customFormat="1" ht="30" customHeight="1">
      <c r="A84" s="4744"/>
      <c r="B84" s="4751"/>
      <c r="C84" s="4859"/>
      <c r="D84" s="4873"/>
      <c r="E84" s="4874" t="s">
        <v>7868</v>
      </c>
      <c r="F84" s="4751"/>
      <c r="G84" s="4861"/>
      <c r="H84" s="4751"/>
      <c r="I84" s="4751"/>
      <c r="J84" s="4751"/>
      <c r="K84" s="4861"/>
      <c r="L84" s="4861"/>
      <c r="M84" s="4861"/>
      <c r="N84" s="4861"/>
      <c r="O84" s="4861"/>
      <c r="P84" s="4861"/>
      <c r="Q84" s="4861"/>
      <c r="R84" s="4861"/>
      <c r="S84" s="4821"/>
      <c r="T84" s="4746"/>
      <c r="U84" s="4746"/>
      <c r="V84" s="4746"/>
      <c r="W84" s="4746"/>
      <c r="X84" s="4878" t="s">
        <v>7432</v>
      </c>
      <c r="Y84" s="4861"/>
      <c r="Z84" s="4861"/>
      <c r="AA84" s="4746"/>
      <c r="AB84" s="4746"/>
      <c r="AC84" s="4746"/>
      <c r="AD84" s="4837"/>
      <c r="AE84" s="4837"/>
      <c r="AF84" s="4837"/>
      <c r="AG84" s="4837"/>
      <c r="AH84" s="4837"/>
      <c r="AI84" s="4837"/>
      <c r="AJ84" s="4837"/>
      <c r="AK84" s="4837"/>
      <c r="AL84" s="4838">
        <v>1</v>
      </c>
    </row>
    <row r="85" spans="1:38" s="1" customFormat="1" ht="30" customHeight="1">
      <c r="A85" s="4744"/>
      <c r="B85" s="4744"/>
      <c r="C85" s="4859"/>
      <c r="D85" s="4873"/>
      <c r="E85" s="4874" t="s">
        <v>7803</v>
      </c>
      <c r="F85" s="4751"/>
      <c r="G85" s="4861"/>
      <c r="H85" s="4751"/>
      <c r="I85" s="4751"/>
      <c r="J85" s="4751"/>
      <c r="K85" s="4861"/>
      <c r="L85" s="4861"/>
      <c r="M85" s="4861"/>
      <c r="N85" s="4861"/>
      <c r="O85" s="4861"/>
      <c r="P85" s="4861"/>
      <c r="Q85" s="4861"/>
      <c r="R85" s="4861"/>
      <c r="S85" s="4821"/>
      <c r="T85" s="4746"/>
      <c r="U85" s="4746"/>
      <c r="V85" s="4861"/>
      <c r="W85" s="4861"/>
      <c r="X85" s="4878" t="s">
        <v>7433</v>
      </c>
      <c r="Y85" s="4746"/>
      <c r="Z85" s="4746"/>
      <c r="AA85" s="4861"/>
      <c r="AB85" s="4861"/>
      <c r="AC85" s="4861"/>
      <c r="AD85" s="4837"/>
      <c r="AE85" s="4837"/>
      <c r="AF85" s="4837"/>
      <c r="AG85" s="4837"/>
      <c r="AH85" s="4837"/>
      <c r="AI85" s="4837"/>
      <c r="AJ85" s="4837"/>
      <c r="AK85" s="4837"/>
      <c r="AL85" s="4838">
        <v>1</v>
      </c>
    </row>
    <row r="86" spans="1:38" s="1" customFormat="1" ht="30" customHeight="1">
      <c r="A86" s="4744"/>
      <c r="B86" s="4744"/>
      <c r="C86" s="4859"/>
      <c r="D86" s="4873"/>
      <c r="E86" s="5159" t="s">
        <v>7870</v>
      </c>
      <c r="F86" s="4751"/>
      <c r="G86" s="4861"/>
      <c r="H86" s="4751"/>
      <c r="I86" s="4751"/>
      <c r="J86" s="4751"/>
      <c r="K86" s="4861"/>
      <c r="L86" s="4861"/>
      <c r="M86" s="4861"/>
      <c r="N86" s="4861"/>
      <c r="O86" s="4861"/>
      <c r="P86" s="4861"/>
      <c r="Q86" s="4861"/>
      <c r="R86" s="4861"/>
      <c r="S86" s="4821"/>
      <c r="T86" s="4746"/>
      <c r="U86" s="4746"/>
      <c r="V86" s="4861"/>
      <c r="W86" s="4861"/>
      <c r="X86" s="4878" t="s">
        <v>7434</v>
      </c>
      <c r="Y86" s="4746"/>
      <c r="Z86" s="4746"/>
      <c r="AA86" s="4861"/>
      <c r="AB86" s="4861"/>
      <c r="AC86" s="4861"/>
      <c r="AD86" s="4837"/>
      <c r="AE86" s="4837"/>
      <c r="AF86" s="4837"/>
      <c r="AG86" s="4837"/>
      <c r="AH86" s="4837"/>
      <c r="AI86" s="4837"/>
      <c r="AJ86" s="4837"/>
      <c r="AK86" s="4837"/>
      <c r="AL86" s="4838"/>
    </row>
    <row r="87" spans="1:38" s="1" customFormat="1" ht="30" customHeight="1">
      <c r="A87" s="4744"/>
      <c r="B87" s="4744"/>
      <c r="C87" s="4859"/>
      <c r="D87" s="4873"/>
      <c r="E87" s="5159" t="s">
        <v>7869</v>
      </c>
      <c r="F87" s="4751"/>
      <c r="G87" s="4861"/>
      <c r="H87" s="4751"/>
      <c r="I87" s="4751"/>
      <c r="J87" s="4751"/>
      <c r="K87" s="4861"/>
      <c r="L87" s="4861"/>
      <c r="M87" s="4861"/>
      <c r="N87" s="4861"/>
      <c r="O87" s="4861"/>
      <c r="P87" s="4861"/>
      <c r="Q87" s="4861"/>
      <c r="R87" s="4861"/>
      <c r="S87" s="4821"/>
      <c r="T87" s="4746"/>
      <c r="U87" s="4746"/>
      <c r="V87" s="4861"/>
      <c r="W87" s="4861"/>
      <c r="X87" s="4878" t="s">
        <v>7435</v>
      </c>
      <c r="Y87" s="4746"/>
      <c r="Z87" s="4746"/>
      <c r="AA87" s="4861"/>
      <c r="AB87" s="4861"/>
      <c r="AC87" s="4861"/>
      <c r="AD87" s="4837"/>
      <c r="AE87" s="4837"/>
      <c r="AF87" s="4837"/>
      <c r="AG87" s="4837"/>
      <c r="AH87" s="4837"/>
      <c r="AI87" s="4837"/>
      <c r="AJ87" s="4837"/>
      <c r="AK87" s="4837"/>
      <c r="AL87" s="4838"/>
    </row>
    <row r="88" spans="1:38" s="1" customFormat="1" ht="30" customHeight="1">
      <c r="A88" s="4744"/>
      <c r="B88" s="4744"/>
      <c r="C88" s="4859"/>
      <c r="D88" s="4873"/>
      <c r="E88" s="5159" t="s">
        <v>7871</v>
      </c>
      <c r="F88" s="4751"/>
      <c r="G88" s="4861"/>
      <c r="H88" s="4751"/>
      <c r="I88" s="4751"/>
      <c r="J88" s="4751"/>
      <c r="K88" s="4861"/>
      <c r="L88" s="4861"/>
      <c r="M88" s="4861"/>
      <c r="N88" s="4861"/>
      <c r="O88" s="4861"/>
      <c r="P88" s="4861"/>
      <c r="Q88" s="4861"/>
      <c r="R88" s="4861"/>
      <c r="S88" s="4821"/>
      <c r="T88" s="4746"/>
      <c r="U88" s="4746"/>
      <c r="V88" s="4861"/>
      <c r="W88" s="4861"/>
      <c r="X88" s="4878" t="s">
        <v>7436</v>
      </c>
      <c r="Y88" s="4746"/>
      <c r="Z88" s="4746"/>
      <c r="AA88" s="4861"/>
      <c r="AB88" s="4861"/>
      <c r="AC88" s="4861"/>
      <c r="AD88" s="4837"/>
      <c r="AE88" s="4837"/>
      <c r="AF88" s="4837"/>
      <c r="AG88" s="4837"/>
      <c r="AH88" s="4837"/>
      <c r="AI88" s="4837"/>
      <c r="AJ88" s="4837"/>
      <c r="AK88" s="4837"/>
      <c r="AL88" s="4838"/>
    </row>
    <row r="89" spans="1:38" s="1" customFormat="1" ht="30" customHeight="1">
      <c r="A89" s="4744"/>
      <c r="B89" s="4744"/>
      <c r="C89" s="4859"/>
      <c r="D89" s="4873"/>
      <c r="E89" s="4874"/>
      <c r="F89" s="4751"/>
      <c r="G89" s="4861"/>
      <c r="H89" s="4751"/>
      <c r="I89" s="4751"/>
      <c r="J89" s="4751"/>
      <c r="K89" s="4861"/>
      <c r="L89" s="4861"/>
      <c r="M89" s="4861"/>
      <c r="N89" s="4861"/>
      <c r="O89" s="4861"/>
      <c r="P89" s="4861"/>
      <c r="Q89" s="4861"/>
      <c r="R89" s="4861"/>
      <c r="S89" s="4821"/>
      <c r="T89" s="4746"/>
      <c r="U89" s="4746"/>
      <c r="V89" s="4861"/>
      <c r="W89" s="4861"/>
      <c r="X89" s="4878" t="s">
        <v>7437</v>
      </c>
      <c r="Y89" s="4746"/>
      <c r="Z89" s="4746"/>
      <c r="AA89" s="4746"/>
      <c r="AB89" s="4746"/>
      <c r="AC89" s="4861"/>
      <c r="AD89" s="4837"/>
      <c r="AE89" s="4837"/>
      <c r="AF89" s="4837"/>
      <c r="AG89" s="4837"/>
      <c r="AH89" s="4837"/>
      <c r="AI89" s="4837"/>
      <c r="AJ89" s="4837"/>
      <c r="AK89" s="4837"/>
      <c r="AL89" s="4838"/>
    </row>
    <row r="90" spans="1:38" s="1" customFormat="1" ht="30" customHeight="1">
      <c r="A90" s="4744"/>
      <c r="B90" s="4744"/>
      <c r="C90" s="4870"/>
      <c r="D90" s="4871"/>
      <c r="E90" s="4859"/>
      <c r="F90" s="4859"/>
      <c r="G90" s="4751"/>
      <c r="H90" s="4751"/>
      <c r="I90" s="4751"/>
      <c r="J90" s="4875"/>
      <c r="K90" s="4861"/>
      <c r="L90" s="4861"/>
      <c r="M90" s="4861"/>
      <c r="N90" s="4861"/>
      <c r="O90" s="4861"/>
      <c r="P90" s="4861"/>
      <c r="Q90" s="4861"/>
      <c r="R90" s="4861"/>
      <c r="S90" s="4821"/>
      <c r="T90" s="4746"/>
      <c r="U90" s="4746"/>
      <c r="V90" s="4861"/>
      <c r="W90" s="4861"/>
      <c r="X90" s="4878" t="s">
        <v>7438</v>
      </c>
      <c r="Y90" s="4746"/>
      <c r="Z90" s="4746"/>
      <c r="AA90" s="4746"/>
      <c r="AB90" s="4746"/>
      <c r="AC90" s="4861"/>
      <c r="AD90" s="4837"/>
      <c r="AE90" s="4837"/>
      <c r="AF90" s="4837"/>
      <c r="AG90" s="4837"/>
      <c r="AH90" s="4837"/>
      <c r="AI90" s="4837"/>
      <c r="AJ90" s="4837"/>
      <c r="AK90" s="4837"/>
      <c r="AL90" s="4838">
        <v>1</v>
      </c>
    </row>
    <row r="91" spans="1:38" s="1" customFormat="1" ht="30" customHeight="1">
      <c r="A91" s="4744"/>
      <c r="B91" s="4744"/>
      <c r="C91" s="4870">
        <v>45711</v>
      </c>
      <c r="D91" s="4871">
        <v>8</v>
      </c>
      <c r="E91" s="4859" t="s">
        <v>7445</v>
      </c>
      <c r="F91" s="4859"/>
      <c r="G91" s="4751"/>
      <c r="H91" s="4751"/>
      <c r="I91" s="4751"/>
      <c r="J91" s="4751"/>
      <c r="K91" s="4861"/>
      <c r="L91" s="4861"/>
      <c r="M91" s="4861"/>
      <c r="N91" s="4861"/>
      <c r="O91" s="4861"/>
      <c r="P91" s="4861"/>
      <c r="Q91" s="4861"/>
      <c r="R91" s="4861"/>
      <c r="S91" s="4821"/>
      <c r="T91" s="4746"/>
      <c r="U91" s="4746"/>
      <c r="V91" s="4861"/>
      <c r="W91" s="4861"/>
      <c r="X91" s="4878" t="s">
        <v>7439</v>
      </c>
      <c r="Y91" s="4746"/>
      <c r="Z91" s="4746"/>
      <c r="AA91" s="4746"/>
      <c r="AB91" s="4746"/>
      <c r="AC91" s="4861"/>
      <c r="AD91" s="4837"/>
      <c r="AE91" s="4837"/>
      <c r="AF91" s="4837"/>
      <c r="AG91" s="4837"/>
      <c r="AH91" s="4837"/>
      <c r="AI91" s="4837"/>
      <c r="AJ91" s="4837"/>
      <c r="AK91" s="4837"/>
      <c r="AL91" s="4838">
        <v>1</v>
      </c>
    </row>
    <row r="92" spans="1:38" s="1" customFormat="1" ht="30" customHeight="1">
      <c r="A92" s="4744"/>
      <c r="B92" s="4744"/>
      <c r="C92" s="4870"/>
      <c r="D92" s="4871"/>
      <c r="E92" s="4874" t="s">
        <v>7446</v>
      </c>
      <c r="F92" s="4859"/>
      <c r="G92" s="4751"/>
      <c r="H92" s="4751"/>
      <c r="I92" s="4751"/>
      <c r="J92" s="4751"/>
      <c r="K92" s="4861"/>
      <c r="L92" s="4861"/>
      <c r="M92" s="4861"/>
      <c r="N92" s="4861"/>
      <c r="O92" s="4861"/>
      <c r="P92" s="4861"/>
      <c r="Q92" s="4861"/>
      <c r="R92" s="4746"/>
      <c r="S92" s="4821"/>
      <c r="T92" s="4746"/>
      <c r="U92" s="4746"/>
      <c r="V92" s="4746"/>
      <c r="W92" s="4746"/>
      <c r="X92" s="4746"/>
      <c r="Y92" s="4746"/>
      <c r="Z92" s="4746"/>
      <c r="AA92" s="4746"/>
      <c r="AB92" s="4746"/>
      <c r="AC92" s="4746"/>
      <c r="AD92" s="4837"/>
      <c r="AE92" s="4837"/>
      <c r="AF92" s="4837"/>
      <c r="AG92" s="4837"/>
      <c r="AH92" s="4837"/>
      <c r="AI92" s="4837"/>
      <c r="AJ92" s="4837"/>
      <c r="AK92" s="4837"/>
      <c r="AL92" s="4838">
        <v>1</v>
      </c>
    </row>
    <row r="93" spans="1:38" s="1" customFormat="1" ht="30" customHeight="1">
      <c r="A93" s="4744"/>
      <c r="B93" s="4744"/>
      <c r="C93" s="4870"/>
      <c r="D93" s="4871"/>
      <c r="E93" s="4859"/>
      <c r="F93" s="4859"/>
      <c r="G93" s="4751"/>
      <c r="H93" s="4751"/>
      <c r="I93" s="4751"/>
      <c r="J93" s="4751"/>
      <c r="K93" s="4873"/>
      <c r="L93" s="4861"/>
      <c r="M93" s="4861"/>
      <c r="N93" s="4861"/>
      <c r="O93" s="4861"/>
      <c r="P93" s="4861"/>
      <c r="Q93" s="4861"/>
      <c r="R93" s="4746"/>
      <c r="S93" s="4821"/>
      <c r="T93" s="4746"/>
      <c r="U93" s="4746"/>
      <c r="V93" s="4746"/>
      <c r="W93" s="4746"/>
      <c r="X93" s="4746"/>
      <c r="Y93" s="4746"/>
      <c r="Z93" s="4746"/>
      <c r="AA93" s="4746"/>
      <c r="AB93" s="4746"/>
      <c r="AC93" s="4746"/>
      <c r="AD93" s="4837"/>
      <c r="AE93" s="4837"/>
      <c r="AF93" s="4837"/>
      <c r="AG93" s="4837"/>
      <c r="AH93" s="4837"/>
      <c r="AI93" s="4837"/>
      <c r="AJ93" s="4837"/>
      <c r="AK93" s="4837"/>
      <c r="AL93" s="4838">
        <v>1</v>
      </c>
    </row>
    <row r="94" spans="1:38" s="1" customFormat="1" ht="30" customHeight="1">
      <c r="A94" s="4744"/>
      <c r="B94" s="4744"/>
      <c r="C94" s="4870">
        <v>45711</v>
      </c>
      <c r="D94" s="4871">
        <v>9</v>
      </c>
      <c r="E94" s="4859" t="s">
        <v>7447</v>
      </c>
      <c r="F94" s="4859"/>
      <c r="G94" s="4751"/>
      <c r="H94" s="4751"/>
      <c r="I94" s="4751"/>
      <c r="J94" s="4751"/>
      <c r="K94" s="4873"/>
      <c r="L94" s="4861"/>
      <c r="M94" s="4861"/>
      <c r="N94" s="4861"/>
      <c r="O94" s="4861"/>
      <c r="P94" s="4861"/>
      <c r="Q94" s="4861"/>
      <c r="R94" s="4746"/>
      <c r="S94" s="4821"/>
      <c r="T94" s="4746"/>
      <c r="U94" s="4746"/>
      <c r="V94" s="4746"/>
      <c r="W94" s="4746"/>
      <c r="X94" s="4746"/>
      <c r="Y94" s="4746"/>
      <c r="Z94" s="4746"/>
      <c r="AA94" s="4746"/>
      <c r="AB94" s="4746"/>
      <c r="AC94" s="4746"/>
      <c r="AD94" s="4837"/>
      <c r="AE94" s="4837"/>
      <c r="AF94" s="4837"/>
      <c r="AG94" s="4837"/>
      <c r="AH94" s="4837"/>
      <c r="AI94" s="4837"/>
      <c r="AJ94" s="4837"/>
      <c r="AK94" s="4837"/>
      <c r="AL94" s="4838">
        <v>1</v>
      </c>
    </row>
    <row r="95" spans="1:38" s="1" customFormat="1" ht="30" customHeight="1">
      <c r="A95" s="4744"/>
      <c r="B95" s="4744"/>
      <c r="C95" s="4870">
        <v>45711</v>
      </c>
      <c r="D95" s="4871">
        <v>10</v>
      </c>
      <c r="E95" s="4859" t="s">
        <v>7448</v>
      </c>
      <c r="F95" s="4859"/>
      <c r="G95" s="4751"/>
      <c r="H95" s="4751"/>
      <c r="I95" s="4751"/>
      <c r="J95" s="4751"/>
      <c r="K95" s="4751"/>
      <c r="L95" s="4861"/>
      <c r="M95" s="4861"/>
      <c r="N95" s="4861"/>
      <c r="O95" s="4861"/>
      <c r="P95" s="4861"/>
      <c r="Q95" s="4861"/>
      <c r="R95" s="4746"/>
      <c r="S95" s="4821"/>
      <c r="T95" s="4746"/>
      <c r="U95" s="4746"/>
      <c r="V95" s="4746"/>
      <c r="W95" s="4746"/>
      <c r="X95" s="4746"/>
      <c r="Y95" s="4746"/>
      <c r="Z95" s="4746"/>
      <c r="AA95" s="4746"/>
      <c r="AB95" s="4746"/>
      <c r="AC95" s="4746"/>
      <c r="AD95" s="4837"/>
      <c r="AE95" s="4837"/>
      <c r="AF95" s="4837"/>
      <c r="AG95" s="4837"/>
      <c r="AH95" s="4837"/>
      <c r="AI95" s="4837"/>
      <c r="AJ95" s="4837"/>
      <c r="AK95" s="4837"/>
      <c r="AL95" s="4838">
        <v>1</v>
      </c>
    </row>
    <row r="96" spans="1:38" s="1" customFormat="1" ht="30" customHeight="1">
      <c r="A96" s="4744"/>
      <c r="B96" s="4744"/>
      <c r="C96" s="4870">
        <v>45711</v>
      </c>
      <c r="D96" s="4871">
        <v>11</v>
      </c>
      <c r="E96" s="4859" t="s">
        <v>1099</v>
      </c>
      <c r="F96" s="4859"/>
      <c r="G96" s="4751"/>
      <c r="H96" s="4751"/>
      <c r="I96" s="4751"/>
      <c r="J96" s="4751"/>
      <c r="K96" s="4751"/>
      <c r="L96" s="4861"/>
      <c r="M96" s="4861"/>
      <c r="N96" s="4861"/>
      <c r="O96" s="4861"/>
      <c r="P96" s="4861"/>
      <c r="Q96" s="4861"/>
      <c r="R96" s="4746"/>
      <c r="S96" s="4821"/>
      <c r="T96" s="4746"/>
      <c r="U96" s="4746"/>
      <c r="V96" s="4746"/>
      <c r="W96" s="4746"/>
      <c r="X96" s="4746"/>
      <c r="Y96" s="4746"/>
      <c r="Z96" s="4746"/>
      <c r="AA96" s="4746"/>
      <c r="AB96" s="4746"/>
      <c r="AC96" s="4746"/>
      <c r="AD96" s="4837"/>
      <c r="AE96" s="4837"/>
      <c r="AF96" s="4837"/>
      <c r="AG96" s="4837"/>
      <c r="AH96" s="4837"/>
      <c r="AI96" s="4837"/>
      <c r="AJ96" s="4837"/>
      <c r="AK96" s="4837"/>
      <c r="AL96" s="4838">
        <v>1</v>
      </c>
    </row>
    <row r="97" spans="1:38" s="1" customFormat="1" ht="30" customHeight="1">
      <c r="A97" s="4744"/>
      <c r="B97" s="4744"/>
      <c r="C97" s="4870"/>
      <c r="D97" s="4871"/>
      <c r="E97" s="4859"/>
      <c r="F97" s="4859"/>
      <c r="G97" s="4751"/>
      <c r="H97" s="4751"/>
      <c r="I97" s="4861"/>
      <c r="J97" s="4861"/>
      <c r="K97" s="4861"/>
      <c r="L97" s="4861"/>
      <c r="M97" s="4861"/>
      <c r="N97" s="4861"/>
      <c r="O97" s="4861"/>
      <c r="P97" s="4861"/>
      <c r="Q97" s="4861"/>
      <c r="R97" s="4746"/>
      <c r="S97" s="4821"/>
      <c r="T97" s="4746"/>
      <c r="U97" s="4746"/>
      <c r="V97" s="4746"/>
      <c r="W97" s="4746"/>
      <c r="X97" s="4746"/>
      <c r="Y97" s="4746"/>
      <c r="Z97" s="4746"/>
      <c r="AA97" s="4746"/>
      <c r="AB97" s="4746"/>
      <c r="AC97" s="4746"/>
      <c r="AD97" s="4837"/>
      <c r="AE97" s="4837"/>
      <c r="AF97" s="4837"/>
      <c r="AG97" s="4837"/>
      <c r="AH97" s="4837"/>
      <c r="AI97" s="4837"/>
      <c r="AJ97" s="4837"/>
      <c r="AK97" s="4837"/>
      <c r="AL97" s="4838">
        <v>1</v>
      </c>
    </row>
    <row r="98" spans="1:38" s="1" customFormat="1" ht="30" customHeight="1">
      <c r="A98" s="4744"/>
      <c r="B98" s="4744"/>
      <c r="C98" s="4870">
        <v>45711</v>
      </c>
      <c r="D98" s="4871">
        <v>12</v>
      </c>
      <c r="E98" s="4859" t="s">
        <v>7449</v>
      </c>
      <c r="F98" s="4859"/>
      <c r="G98" s="4751"/>
      <c r="H98" s="4751"/>
      <c r="I98" s="4861"/>
      <c r="J98" s="4861"/>
      <c r="K98" s="4861"/>
      <c r="L98" s="4861"/>
      <c r="M98" s="4861"/>
      <c r="N98" s="4861"/>
      <c r="O98" s="4861"/>
      <c r="P98" s="4861"/>
      <c r="Q98" s="4861"/>
      <c r="R98" s="4746"/>
      <c r="S98" s="4821"/>
      <c r="T98" s="4746"/>
      <c r="U98" s="4746"/>
      <c r="V98" s="4746"/>
      <c r="W98" s="4746"/>
      <c r="X98" s="4746"/>
      <c r="Y98" s="4746"/>
      <c r="Z98" s="4746"/>
      <c r="AA98" s="4746"/>
      <c r="AB98" s="4746"/>
      <c r="AC98" s="4746"/>
      <c r="AD98" s="4837"/>
      <c r="AE98" s="4837"/>
      <c r="AF98" s="4837"/>
      <c r="AG98" s="4837"/>
      <c r="AH98" s="4837"/>
      <c r="AI98" s="4837"/>
      <c r="AJ98" s="4837"/>
      <c r="AK98" s="4837"/>
      <c r="AL98" s="4838">
        <v>1</v>
      </c>
    </row>
    <row r="99" spans="1:38" s="1" customFormat="1" ht="30" customHeight="1">
      <c r="A99" s="4744"/>
      <c r="B99" s="4744"/>
      <c r="C99" s="4870">
        <v>45711</v>
      </c>
      <c r="D99" s="4871">
        <v>13</v>
      </c>
      <c r="E99" s="4859" t="s">
        <v>7450</v>
      </c>
      <c r="F99" s="4859"/>
      <c r="G99" s="4751"/>
      <c r="H99" s="4751"/>
      <c r="I99" s="4861"/>
      <c r="J99" s="4861"/>
      <c r="K99" s="4861"/>
      <c r="L99" s="4861"/>
      <c r="M99" s="4861"/>
      <c r="N99" s="4861"/>
      <c r="O99" s="4861"/>
      <c r="P99" s="4821"/>
      <c r="Q99" s="4821"/>
      <c r="R99" s="4821"/>
      <c r="S99" s="4821"/>
      <c r="T99" s="4746"/>
      <c r="U99" s="4746"/>
      <c r="V99" s="4746"/>
      <c r="W99" s="4746"/>
      <c r="X99" s="4746"/>
      <c r="Y99" s="1671"/>
      <c r="Z99" s="4746"/>
      <c r="AA99" s="4746"/>
      <c r="AB99" s="4746"/>
      <c r="AC99" s="4746"/>
      <c r="AD99" s="4837"/>
      <c r="AE99" s="4837"/>
      <c r="AF99" s="4837"/>
      <c r="AG99" s="4837"/>
      <c r="AH99" s="4837"/>
      <c r="AI99" s="4837"/>
      <c r="AJ99" s="4837"/>
      <c r="AK99" s="4837"/>
      <c r="AL99" s="4838">
        <v>1</v>
      </c>
    </row>
    <row r="100" spans="1:38" s="1" customFormat="1" ht="30" customHeight="1">
      <c r="A100" s="4744"/>
      <c r="B100" s="4744"/>
      <c r="C100" s="4870">
        <v>45711</v>
      </c>
      <c r="D100" s="4871">
        <v>14</v>
      </c>
      <c r="E100" s="4859" t="s">
        <v>7451</v>
      </c>
      <c r="F100" s="4859"/>
      <c r="G100" s="4751"/>
      <c r="H100" s="4751"/>
      <c r="I100" s="4861"/>
      <c r="J100" s="4861"/>
      <c r="K100" s="4861"/>
      <c r="L100" s="4861"/>
      <c r="M100" s="4861"/>
      <c r="N100" s="4861"/>
      <c r="O100" s="4861"/>
      <c r="P100" s="4821"/>
      <c r="Q100" s="4821"/>
      <c r="R100" s="4821"/>
      <c r="S100" s="4879" t="s">
        <v>7440</v>
      </c>
      <c r="T100" s="4880"/>
      <c r="U100" s="4881"/>
      <c r="V100" s="4881"/>
      <c r="W100" s="4881"/>
      <c r="X100" s="4881"/>
      <c r="Y100" s="4881"/>
      <c r="Z100" s="4881"/>
      <c r="AA100" s="4881"/>
      <c r="AB100" s="4881"/>
      <c r="AC100" s="4881"/>
      <c r="AD100" s="4881"/>
      <c r="AE100" s="4881"/>
      <c r="AF100" s="4881"/>
      <c r="AG100" s="4881"/>
      <c r="AH100" s="4881"/>
      <c r="AI100" s="4882"/>
      <c r="AJ100" s="4837"/>
      <c r="AK100" s="4837"/>
      <c r="AL100" s="4838">
        <v>1</v>
      </c>
    </row>
    <row r="101" spans="1:38" s="1" customFormat="1" ht="30" customHeight="1">
      <c r="A101" s="4744"/>
      <c r="B101" s="4744"/>
      <c r="C101" s="4870">
        <v>45711</v>
      </c>
      <c r="D101" s="4871">
        <v>15</v>
      </c>
      <c r="E101" s="4859" t="s">
        <v>7452</v>
      </c>
      <c r="F101" s="4859"/>
      <c r="G101" s="4751"/>
      <c r="H101" s="4751"/>
      <c r="I101" s="4861"/>
      <c r="J101" s="4861"/>
      <c r="K101" s="4861"/>
      <c r="L101" s="4861"/>
      <c r="M101" s="4861"/>
      <c r="N101" s="4861"/>
      <c r="O101" s="4861"/>
      <c r="P101" s="4821"/>
      <c r="Q101" s="4821"/>
      <c r="R101" s="4821"/>
      <c r="S101" s="4883"/>
      <c r="T101" s="4884" t="s">
        <v>7441</v>
      </c>
      <c r="U101" s="4885"/>
      <c r="V101" s="4886"/>
      <c r="W101" s="4886"/>
      <c r="X101" s="4886"/>
      <c r="Y101" s="4886"/>
      <c r="Z101" s="4886"/>
      <c r="AA101" s="4886"/>
      <c r="AB101" s="4886"/>
      <c r="AC101" s="4886"/>
      <c r="AD101" s="4886"/>
      <c r="AE101" s="4886"/>
      <c r="AF101" s="4886"/>
      <c r="AG101" s="4886"/>
      <c r="AH101" s="4886"/>
      <c r="AI101" s="4887"/>
      <c r="AJ101" s="4837"/>
      <c r="AK101" s="4837"/>
      <c r="AL101" s="4838">
        <v>1</v>
      </c>
    </row>
    <row r="102" spans="1:38" s="1" customFormat="1" ht="30" customHeight="1">
      <c r="A102" s="4744"/>
      <c r="B102" s="4744"/>
      <c r="C102" s="4870">
        <v>45711</v>
      </c>
      <c r="D102" s="4871">
        <v>16</v>
      </c>
      <c r="E102" s="4859" t="s">
        <v>7453</v>
      </c>
      <c r="F102" s="4859"/>
      <c r="G102" s="4751"/>
      <c r="H102" s="4751"/>
      <c r="I102" s="4861"/>
      <c r="J102" s="4861"/>
      <c r="K102" s="4861"/>
      <c r="L102" s="4861"/>
      <c r="M102" s="4861"/>
      <c r="N102" s="4861"/>
      <c r="O102" s="4861"/>
      <c r="P102" s="4821"/>
      <c r="Q102" s="4821"/>
      <c r="R102" s="4821"/>
      <c r="S102" s="4883"/>
      <c r="T102" s="4884" t="s">
        <v>7442</v>
      </c>
      <c r="U102" s="4885"/>
      <c r="V102" s="4886"/>
      <c r="W102" s="4886"/>
      <c r="X102" s="4886"/>
      <c r="Y102" s="4886"/>
      <c r="Z102" s="4886"/>
      <c r="AA102" s="4886"/>
      <c r="AB102" s="4886"/>
      <c r="AC102" s="4886"/>
      <c r="AD102" s="4886"/>
      <c r="AE102" s="4886"/>
      <c r="AF102" s="4886"/>
      <c r="AG102" s="4886"/>
      <c r="AH102" s="4886"/>
      <c r="AI102" s="4887"/>
      <c r="AJ102" s="4837"/>
      <c r="AK102" s="4837"/>
      <c r="AL102" s="4838">
        <v>1</v>
      </c>
    </row>
    <row r="103" spans="1:38" s="1" customFormat="1" ht="30" customHeight="1">
      <c r="A103" s="4744"/>
      <c r="B103" s="4744"/>
      <c r="C103" s="4870">
        <v>45711</v>
      </c>
      <c r="D103" s="4871">
        <v>17</v>
      </c>
      <c r="E103" s="4859" t="s">
        <v>7454</v>
      </c>
      <c r="F103" s="4859"/>
      <c r="G103" s="4751"/>
      <c r="H103" s="4751"/>
      <c r="I103" s="4861"/>
      <c r="J103" s="4861"/>
      <c r="K103" s="4861"/>
      <c r="L103" s="4861"/>
      <c r="M103" s="4861"/>
      <c r="N103" s="4861"/>
      <c r="O103" s="4861"/>
      <c r="P103" s="4821"/>
      <c r="Q103" s="4821"/>
      <c r="R103" s="4821"/>
      <c r="S103" s="4821"/>
      <c r="T103" s="4746"/>
      <c r="U103" s="4746"/>
      <c r="V103" s="4746"/>
      <c r="W103" s="4746"/>
      <c r="X103" s="4746"/>
      <c r="Y103" s="1671"/>
      <c r="Z103" s="4746"/>
      <c r="AA103" s="4746"/>
      <c r="AB103" s="4746"/>
      <c r="AC103" s="4746"/>
      <c r="AD103" s="4837"/>
      <c r="AE103" s="4837"/>
      <c r="AF103" s="4837"/>
      <c r="AG103" s="4837"/>
      <c r="AH103" s="4837"/>
      <c r="AI103" s="4837"/>
      <c r="AJ103" s="4837"/>
      <c r="AK103" s="4837"/>
      <c r="AL103" s="4838">
        <v>1</v>
      </c>
    </row>
    <row r="104" spans="1:38" s="1" customFormat="1" ht="30" customHeight="1">
      <c r="A104" s="4744"/>
      <c r="B104" s="4744"/>
      <c r="C104" s="4870">
        <v>45711</v>
      </c>
      <c r="D104" s="4871">
        <v>18</v>
      </c>
      <c r="E104" s="4859" t="s">
        <v>7455</v>
      </c>
      <c r="F104" s="4859"/>
      <c r="G104" s="4751"/>
      <c r="H104" s="4751"/>
      <c r="I104" s="4861"/>
      <c r="J104" s="4861"/>
      <c r="K104" s="4861"/>
      <c r="L104" s="4861"/>
      <c r="M104" s="4861"/>
      <c r="N104" s="4861"/>
      <c r="O104" s="4861"/>
      <c r="P104" s="4821"/>
      <c r="Q104" s="4821"/>
      <c r="R104" s="4821"/>
      <c r="S104" s="4821"/>
      <c r="T104" s="4746"/>
      <c r="U104" s="4746"/>
      <c r="V104" s="4746"/>
      <c r="W104" s="4746"/>
      <c r="X104" s="4746"/>
      <c r="Y104" s="1671"/>
      <c r="Z104" s="4746"/>
      <c r="AA104" s="4746"/>
      <c r="AB104" s="4746"/>
      <c r="AC104" s="4746"/>
      <c r="AD104" s="4837"/>
      <c r="AE104" s="4837"/>
      <c r="AF104" s="4837"/>
      <c r="AG104" s="4837"/>
      <c r="AH104" s="4837"/>
      <c r="AI104" s="4837"/>
      <c r="AJ104" s="4837"/>
      <c r="AK104" s="4837"/>
      <c r="AL104" s="4838">
        <v>1</v>
      </c>
    </row>
    <row r="105" spans="1:38" s="1" customFormat="1" ht="30" customHeight="1">
      <c r="A105" s="4744"/>
      <c r="B105" s="4744"/>
      <c r="C105" s="4870">
        <v>45711</v>
      </c>
      <c r="D105" s="4871">
        <v>19</v>
      </c>
      <c r="E105" s="4859" t="s">
        <v>7456</v>
      </c>
      <c r="F105" s="4859"/>
      <c r="G105" s="4751"/>
      <c r="H105" s="4861"/>
      <c r="I105" s="4861"/>
      <c r="J105" s="4861"/>
      <c r="K105" s="4861"/>
      <c r="L105" s="4861"/>
      <c r="M105" s="4861"/>
      <c r="N105" s="4861"/>
      <c r="O105" s="4861"/>
      <c r="P105" s="4821"/>
      <c r="Q105" s="4821"/>
      <c r="R105" s="4821"/>
      <c r="S105" s="4821"/>
      <c r="T105" s="4746"/>
      <c r="U105" s="4746"/>
      <c r="V105" s="4746"/>
      <c r="W105" s="4746"/>
      <c r="X105" s="4746"/>
      <c r="Y105" s="1671"/>
      <c r="Z105" s="4746"/>
      <c r="AA105" s="4746"/>
      <c r="AB105" s="4746"/>
      <c r="AC105" s="4746"/>
      <c r="AD105" s="4837"/>
      <c r="AE105" s="4837"/>
      <c r="AF105" s="4837"/>
      <c r="AG105" s="4837"/>
      <c r="AH105" s="4837"/>
      <c r="AI105" s="4837"/>
      <c r="AJ105" s="4837"/>
      <c r="AK105" s="4837"/>
      <c r="AL105" s="4838">
        <v>1</v>
      </c>
    </row>
    <row r="106" spans="1:38" s="1" customFormat="1" ht="30" customHeight="1">
      <c r="A106" s="4744"/>
      <c r="B106" s="4744"/>
      <c r="C106" s="4870"/>
      <c r="D106" s="4871"/>
      <c r="E106" s="4859"/>
      <c r="F106" s="4859"/>
      <c r="G106" s="4751"/>
      <c r="H106" s="4751"/>
      <c r="I106" s="4861"/>
      <c r="J106" s="4861"/>
      <c r="K106" s="4861"/>
      <c r="L106" s="4861"/>
      <c r="M106" s="4861"/>
      <c r="N106" s="4861"/>
      <c r="O106" s="4861"/>
      <c r="P106" s="4821"/>
      <c r="Q106" s="4821"/>
      <c r="R106" s="4821"/>
      <c r="S106" s="4821"/>
      <c r="T106" s="4746"/>
      <c r="U106" s="4746"/>
      <c r="V106" s="4746"/>
      <c r="W106" s="4746"/>
      <c r="X106" s="4746"/>
      <c r="Y106" s="1671"/>
      <c r="Z106" s="4746"/>
      <c r="AA106" s="4746"/>
      <c r="AB106" s="4746"/>
      <c r="AC106" s="4746"/>
      <c r="AD106" s="4837"/>
      <c r="AE106" s="4837"/>
      <c r="AF106" s="4837"/>
      <c r="AG106" s="4837"/>
      <c r="AH106" s="4837"/>
      <c r="AI106" s="4837"/>
      <c r="AJ106" s="4837"/>
      <c r="AK106" s="4837"/>
      <c r="AL106" s="4838">
        <v>1</v>
      </c>
    </row>
    <row r="107" spans="1:38" s="1" customFormat="1" ht="30" customHeight="1">
      <c r="A107" s="4744"/>
      <c r="B107" s="4744"/>
      <c r="C107" s="4859"/>
      <c r="D107" s="4859" t="s">
        <v>7457</v>
      </c>
      <c r="E107" s="4861"/>
      <c r="F107" s="4751"/>
      <c r="G107" s="4861"/>
      <c r="H107" s="4861"/>
      <c r="I107" s="4861"/>
      <c r="J107" s="4861"/>
      <c r="K107" s="4861"/>
      <c r="L107" s="4861"/>
      <c r="M107" s="4861"/>
      <c r="N107" s="4861"/>
      <c r="O107" s="4861"/>
      <c r="P107" s="4821"/>
      <c r="Q107" s="4821"/>
      <c r="R107" s="4821"/>
      <c r="S107" s="4821"/>
      <c r="T107" s="4746"/>
      <c r="U107" s="4746"/>
      <c r="V107" s="4746"/>
      <c r="W107" s="4746"/>
      <c r="X107" s="4746"/>
      <c r="Y107" s="1671"/>
      <c r="Z107" s="4746"/>
      <c r="AA107" s="4746"/>
      <c r="AB107" s="4746"/>
      <c r="AC107" s="4746"/>
      <c r="AD107" s="4837"/>
      <c r="AE107" s="4837"/>
      <c r="AF107" s="4837"/>
      <c r="AG107" s="4837"/>
      <c r="AH107" s="4837"/>
      <c r="AI107" s="4837"/>
      <c r="AJ107" s="4837"/>
      <c r="AK107" s="4837"/>
      <c r="AL107" s="4838">
        <v>1</v>
      </c>
    </row>
    <row r="108" spans="1:38" s="1" customFormat="1" ht="30" customHeight="1">
      <c r="A108" s="4744"/>
      <c r="B108" s="4744"/>
      <c r="C108" s="4859"/>
      <c r="D108" s="4873" t="s">
        <v>42</v>
      </c>
      <c r="E108" s="4861"/>
      <c r="F108" s="4751"/>
      <c r="G108" s="4861"/>
      <c r="H108" s="4861"/>
      <c r="I108" s="4861"/>
      <c r="J108" s="4861"/>
      <c r="K108" s="4861"/>
      <c r="L108" s="4861"/>
      <c r="M108" s="4888" t="s">
        <v>7458</v>
      </c>
      <c r="N108" s="4889"/>
      <c r="O108" s="4890"/>
      <c r="P108" s="4746"/>
      <c r="Q108" s="4746"/>
      <c r="R108" s="4746"/>
      <c r="S108" s="4746"/>
      <c r="T108" s="4746"/>
      <c r="U108" s="4746"/>
      <c r="V108" s="4746"/>
      <c r="W108" s="4746"/>
      <c r="X108" s="4746"/>
      <c r="Y108" s="1671"/>
      <c r="Z108" s="4746"/>
      <c r="AA108" s="4746"/>
      <c r="AB108" s="4746"/>
      <c r="AC108" s="4746"/>
      <c r="AD108" s="4837"/>
      <c r="AE108" s="4837"/>
      <c r="AF108" s="4837"/>
      <c r="AG108" s="4837"/>
      <c r="AH108" s="4837"/>
      <c r="AI108" s="4837"/>
      <c r="AJ108" s="4837"/>
      <c r="AK108" s="4837"/>
      <c r="AL108" s="4838">
        <v>1</v>
      </c>
    </row>
    <row r="109" spans="1:38" s="1" customFormat="1" ht="30" customHeight="1">
      <c r="A109" s="4744"/>
      <c r="B109" s="4891" t="s">
        <v>7459</v>
      </c>
      <c r="C109" s="4860"/>
      <c r="D109" s="4861"/>
      <c r="E109" s="4861"/>
      <c r="F109" s="4861"/>
      <c r="G109" s="4861"/>
      <c r="H109" s="4861"/>
      <c r="I109" s="4861"/>
      <c r="J109" s="4861"/>
      <c r="K109" s="4861"/>
      <c r="L109" s="4861"/>
      <c r="M109" s="4892" t="s">
        <v>7460</v>
      </c>
      <c r="N109" s="4893"/>
      <c r="O109" s="4894"/>
      <c r="P109" s="4821"/>
      <c r="Q109" s="4821"/>
      <c r="R109" s="4821"/>
      <c r="S109" s="4895" t="s">
        <v>7461</v>
      </c>
      <c r="T109" s="4821"/>
      <c r="U109" s="4821"/>
      <c r="V109" s="4821"/>
      <c r="W109" s="4746"/>
      <c r="X109" s="4746"/>
      <c r="Y109" s="1671"/>
      <c r="Z109" s="4746"/>
      <c r="AA109" s="4746"/>
      <c r="AB109" s="4746"/>
      <c r="AC109" s="4746"/>
      <c r="AD109" s="4837"/>
      <c r="AE109" s="4837"/>
      <c r="AF109" s="4837"/>
      <c r="AG109" s="4837"/>
      <c r="AH109" s="4837"/>
      <c r="AI109" s="4837"/>
      <c r="AJ109" s="4837"/>
      <c r="AK109" s="4837"/>
      <c r="AL109" s="4838">
        <v>1</v>
      </c>
    </row>
    <row r="110" spans="1:38" s="1" customFormat="1" ht="30" customHeight="1">
      <c r="A110" s="4744"/>
      <c r="B110" s="4896" t="s">
        <v>305</v>
      </c>
      <c r="C110" s="4746"/>
      <c r="D110" s="4746"/>
      <c r="E110" s="4746"/>
      <c r="F110" s="4746"/>
      <c r="G110" s="4746"/>
      <c r="H110" s="4746"/>
      <c r="I110" s="4746"/>
      <c r="J110" s="4746"/>
      <c r="K110" s="4861"/>
      <c r="L110" s="4861"/>
      <c r="M110" s="4897" t="s">
        <v>7462</v>
      </c>
      <c r="N110" s="4898"/>
      <c r="O110" s="4899"/>
      <c r="P110" s="4821"/>
      <c r="Q110" s="4821"/>
      <c r="R110" s="4821"/>
      <c r="S110" s="4821"/>
      <c r="T110" s="4900" t="s">
        <v>7463</v>
      </c>
      <c r="U110" s="4842" t="s">
        <v>7464</v>
      </c>
      <c r="V110" s="4821"/>
      <c r="W110" s="4746"/>
      <c r="X110" s="4901" t="s">
        <v>7465</v>
      </c>
      <c r="Y110" s="4821"/>
      <c r="Z110" s="4821"/>
      <c r="AA110" s="4821"/>
      <c r="AB110" s="4821"/>
      <c r="AC110" s="4821"/>
      <c r="AD110" s="4821"/>
      <c r="AE110" s="4821"/>
      <c r="AF110" s="4821"/>
      <c r="AG110" s="4821"/>
      <c r="AH110" s="4821"/>
      <c r="AI110" s="4821"/>
      <c r="AJ110" s="4821"/>
      <c r="AK110" s="4821"/>
      <c r="AL110" s="4838">
        <v>1</v>
      </c>
    </row>
    <row r="111" spans="1:38" s="1" customFormat="1" ht="30" customHeight="1">
      <c r="A111" s="4744"/>
      <c r="B111" s="4896" t="s">
        <v>7466</v>
      </c>
      <c r="C111" s="4746"/>
      <c r="D111" s="4746"/>
      <c r="E111" s="4746"/>
      <c r="F111" s="4746"/>
      <c r="G111" s="4746"/>
      <c r="H111" s="4746"/>
      <c r="I111" s="4746"/>
      <c r="J111" s="4746"/>
      <c r="K111" s="4861"/>
      <c r="L111" s="4861"/>
      <c r="M111" s="7388" t="s">
        <v>7467</v>
      </c>
      <c r="N111" s="4902" t="s">
        <v>7468</v>
      </c>
      <c r="O111" s="4903"/>
      <c r="P111" s="4821"/>
      <c r="Q111" s="4821"/>
      <c r="R111" s="4821"/>
      <c r="S111" s="4821"/>
      <c r="T111" s="4821"/>
      <c r="U111" s="4821"/>
      <c r="V111" s="4821"/>
      <c r="W111" s="4746"/>
      <c r="X111" s="4821"/>
      <c r="Y111" s="4821"/>
      <c r="Z111" s="4821"/>
      <c r="AA111" s="4821"/>
      <c r="AB111" s="4821"/>
      <c r="AC111" s="4821"/>
      <c r="AD111" s="4821"/>
      <c r="AE111" s="4821"/>
      <c r="AF111" s="4821"/>
      <c r="AG111" s="4821"/>
      <c r="AH111" s="4821"/>
      <c r="AI111" s="4821"/>
      <c r="AJ111" s="4821"/>
      <c r="AK111" s="4821"/>
      <c r="AL111" s="4838">
        <v>1</v>
      </c>
    </row>
    <row r="112" spans="1:38" s="1" customFormat="1" ht="30" customHeight="1">
      <c r="A112" s="4744"/>
      <c r="B112" s="4904" t="s">
        <v>309</v>
      </c>
      <c r="C112" s="4746"/>
      <c r="D112" s="4904" t="s">
        <v>21</v>
      </c>
      <c r="E112" s="4746"/>
      <c r="F112" s="4746"/>
      <c r="G112" s="4746"/>
      <c r="H112" s="4746"/>
      <c r="I112" s="4746"/>
      <c r="J112" s="4746"/>
      <c r="K112" s="4861"/>
      <c r="L112" s="4861"/>
      <c r="M112" s="7388"/>
      <c r="N112" s="4902" t="s">
        <v>7469</v>
      </c>
      <c r="O112" s="4903"/>
      <c r="P112" s="4821"/>
      <c r="Q112" s="4821"/>
      <c r="R112" s="4821"/>
      <c r="S112" s="4746"/>
      <c r="T112" s="4900" t="s">
        <v>7463</v>
      </c>
      <c r="U112" s="4842" t="s">
        <v>7470</v>
      </c>
      <c r="V112" s="4746"/>
      <c r="W112" s="4746"/>
      <c r="X112" s="4821"/>
      <c r="Y112" s="4821"/>
      <c r="Z112" s="4821"/>
      <c r="AA112" s="4821"/>
      <c r="AB112" s="4821"/>
      <c r="AC112" s="4821"/>
      <c r="AD112" s="4821"/>
      <c r="AE112" s="4821"/>
      <c r="AF112" s="4821"/>
      <c r="AG112" s="4821"/>
      <c r="AH112" s="4821"/>
      <c r="AI112" s="4821"/>
      <c r="AJ112" s="4821"/>
      <c r="AK112" s="4821"/>
      <c r="AL112" s="4838">
        <v>1</v>
      </c>
    </row>
    <row r="113" spans="1:40" s="1" customFormat="1" ht="30" customHeight="1">
      <c r="A113" s="4744"/>
      <c r="B113" s="4896" t="s">
        <v>315</v>
      </c>
      <c r="C113" s="4746"/>
      <c r="D113" s="4746"/>
      <c r="E113" s="4746"/>
      <c r="F113" s="4746"/>
      <c r="G113" s="4746"/>
      <c r="H113" s="4746"/>
      <c r="I113" s="4746"/>
      <c r="J113" s="4746"/>
      <c r="K113" s="4861"/>
      <c r="L113" s="4861"/>
      <c r="M113" s="7388"/>
      <c r="N113" s="4902" t="s">
        <v>7471</v>
      </c>
      <c r="O113" s="4903"/>
      <c r="P113" s="4821"/>
      <c r="Q113" s="4821"/>
      <c r="R113" s="4821"/>
      <c r="S113" s="4746"/>
      <c r="T113" s="4895" t="s">
        <v>7472</v>
      </c>
      <c r="U113" s="4746"/>
      <c r="V113" s="4746"/>
      <c r="W113" s="4746"/>
      <c r="X113" s="4821"/>
      <c r="Y113" s="4821"/>
      <c r="Z113" s="4821"/>
      <c r="AA113" s="4821"/>
      <c r="AB113" s="4821"/>
      <c r="AC113" s="4821"/>
      <c r="AD113" s="4821"/>
      <c r="AE113" s="4821"/>
      <c r="AF113" s="4821"/>
      <c r="AG113" s="4821"/>
      <c r="AH113" s="4821"/>
      <c r="AI113" s="4821"/>
      <c r="AJ113" s="4821"/>
      <c r="AK113" s="4821"/>
      <c r="AL113" s="4838">
        <v>1</v>
      </c>
    </row>
    <row r="114" spans="1:40" s="1" customFormat="1" ht="30" customHeight="1">
      <c r="A114" s="4744"/>
      <c r="B114" s="4896" t="s">
        <v>318</v>
      </c>
      <c r="C114" s="4746"/>
      <c r="D114" s="4746"/>
      <c r="E114" s="4746"/>
      <c r="F114" s="4746"/>
      <c r="G114" s="4746"/>
      <c r="H114" s="4746"/>
      <c r="I114" s="4746"/>
      <c r="J114" s="4746"/>
      <c r="K114" s="4861"/>
      <c r="L114" s="4861"/>
      <c r="M114" s="7388"/>
      <c r="N114" s="4902" t="s">
        <v>7473</v>
      </c>
      <c r="O114" s="4903"/>
      <c r="P114" s="4821"/>
      <c r="Q114" s="4821"/>
      <c r="R114" s="4821"/>
      <c r="S114" s="4746"/>
      <c r="T114" s="4900" t="s">
        <v>7463</v>
      </c>
      <c r="U114" s="4842" t="s">
        <v>7474</v>
      </c>
      <c r="V114" s="4746"/>
      <c r="W114" s="4746"/>
      <c r="X114" s="4821"/>
      <c r="Y114" s="4905" t="s">
        <v>7475</v>
      </c>
      <c r="Z114" s="4821"/>
      <c r="AA114" s="4821"/>
      <c r="AB114" s="4821"/>
      <c r="AC114" s="4821"/>
      <c r="AD114" s="4821"/>
      <c r="AE114" s="4821"/>
      <c r="AF114" s="4821"/>
      <c r="AG114" s="4821"/>
      <c r="AH114" s="4821"/>
      <c r="AI114" s="4821"/>
      <c r="AJ114" s="4821"/>
      <c r="AK114" s="4821"/>
      <c r="AL114" s="4838">
        <v>1</v>
      </c>
    </row>
    <row r="115" spans="1:40" s="1" customFormat="1" ht="30" customHeight="1">
      <c r="A115" s="4744"/>
      <c r="B115" s="4896" t="s">
        <v>321</v>
      </c>
      <c r="C115" s="4746"/>
      <c r="D115" s="4746"/>
      <c r="E115" s="4746"/>
      <c r="F115" s="4746"/>
      <c r="G115" s="4746"/>
      <c r="H115" s="4746"/>
      <c r="I115" s="4746"/>
      <c r="J115" s="4746"/>
      <c r="K115" s="4861"/>
      <c r="L115" s="4861"/>
      <c r="M115" s="7388"/>
      <c r="N115" s="4902" t="s">
        <v>7476</v>
      </c>
      <c r="O115" s="4903"/>
      <c r="P115" s="4821"/>
      <c r="Q115" s="4821"/>
      <c r="R115" s="4821"/>
      <c r="S115" s="4746"/>
      <c r="T115" s="4746"/>
      <c r="U115" s="4906" t="s">
        <v>7477</v>
      </c>
      <c r="V115" s="4746"/>
      <c r="W115" s="4906" t="s">
        <v>7478</v>
      </c>
      <c r="X115" s="4821"/>
      <c r="Y115" s="4906" t="s">
        <v>7479</v>
      </c>
      <c r="Z115" s="4821"/>
      <c r="AA115" s="4906"/>
      <c r="AB115" s="4821"/>
      <c r="AC115" s="4821"/>
      <c r="AD115" s="4821"/>
      <c r="AE115" s="4821"/>
      <c r="AF115" s="4821"/>
      <c r="AG115" s="4821"/>
      <c r="AH115" s="4821"/>
      <c r="AI115" s="4821"/>
      <c r="AJ115" s="4821"/>
      <c r="AK115" s="4821"/>
      <c r="AL115" s="4838">
        <v>1</v>
      </c>
    </row>
    <row r="116" spans="1:40" s="1" customFormat="1" ht="30" customHeight="1">
      <c r="A116" s="4744"/>
      <c r="B116" s="4746"/>
      <c r="C116" s="4746"/>
      <c r="D116" s="4746"/>
      <c r="E116" s="4746"/>
      <c r="F116" s="4746"/>
      <c r="G116" s="4746"/>
      <c r="H116" s="4746"/>
      <c r="I116" s="4746"/>
      <c r="J116" s="4746"/>
      <c r="K116" s="4861"/>
      <c r="L116" s="4861"/>
      <c r="M116" s="7406"/>
      <c r="N116" s="4907" t="s">
        <v>7480</v>
      </c>
      <c r="O116" s="4908"/>
      <c r="P116" s="4821"/>
      <c r="Q116" s="4821"/>
      <c r="R116" s="4821"/>
      <c r="S116" s="4746"/>
      <c r="T116" s="4746"/>
      <c r="U116" s="4906" t="s">
        <v>7481</v>
      </c>
      <c r="V116" s="4746"/>
      <c r="W116" s="4906" t="s">
        <v>7482</v>
      </c>
      <c r="X116" s="4821"/>
      <c r="Y116" s="4906" t="s">
        <v>7483</v>
      </c>
      <c r="Z116" s="4821"/>
      <c r="AA116" s="4906" t="s">
        <v>7484</v>
      </c>
      <c r="AB116" s="4821"/>
      <c r="AC116" s="4821"/>
      <c r="AD116" s="4821"/>
      <c r="AE116" s="4821"/>
      <c r="AF116" s="4821"/>
      <c r="AG116" s="4821"/>
      <c r="AH116" s="4821"/>
      <c r="AI116" s="4821"/>
      <c r="AJ116" s="4821"/>
      <c r="AK116" s="4821"/>
      <c r="AL116" s="4838">
        <v>1</v>
      </c>
    </row>
    <row r="117" spans="1:40" s="1" customFormat="1" ht="30" customHeight="1">
      <c r="A117" s="4744"/>
      <c r="B117" s="4859"/>
      <c r="C117" s="4860"/>
      <c r="D117" s="4861"/>
      <c r="E117" s="4861"/>
      <c r="F117" s="4861"/>
      <c r="G117" s="4861"/>
      <c r="H117" s="4861"/>
      <c r="I117" s="4861"/>
      <c r="J117" s="4861"/>
      <c r="K117" s="4861"/>
      <c r="L117" s="4861"/>
      <c r="M117" s="4861"/>
      <c r="N117" s="4861"/>
      <c r="O117" s="4861"/>
      <c r="P117" s="4821"/>
      <c r="Q117" s="4821"/>
      <c r="R117" s="4821"/>
      <c r="S117" s="4821"/>
      <c r="T117" s="4821"/>
      <c r="U117" s="4821"/>
      <c r="V117" s="4821"/>
      <c r="W117" s="4821"/>
      <c r="X117" s="4821"/>
      <c r="Y117" s="4821"/>
      <c r="Z117" s="4821"/>
      <c r="AA117" s="4821"/>
      <c r="AB117" s="4821"/>
      <c r="AC117" s="4821"/>
      <c r="AD117" s="4821"/>
      <c r="AE117" s="4821"/>
      <c r="AF117" s="4821"/>
      <c r="AG117" s="4821"/>
      <c r="AH117" s="4821"/>
      <c r="AI117" s="4821"/>
      <c r="AJ117" s="4821"/>
      <c r="AK117" s="4821"/>
      <c r="AL117" s="4838">
        <v>1</v>
      </c>
    </row>
    <row r="118" spans="1:40" s="1" customFormat="1" ht="30" customHeight="1">
      <c r="A118" s="4744"/>
      <c r="B118" s="4759"/>
      <c r="C118" s="4909" t="s">
        <v>7485</v>
      </c>
      <c r="D118" s="4909"/>
      <c r="E118" s="4909"/>
      <c r="F118" s="4757"/>
      <c r="G118" s="4757"/>
      <c r="H118" s="4757"/>
      <c r="I118" s="4757"/>
      <c r="J118" s="4757"/>
      <c r="K118" s="4757"/>
      <c r="L118" s="4757"/>
      <c r="M118" s="4757"/>
      <c r="N118" s="4759"/>
      <c r="O118" s="4759"/>
      <c r="P118" s="4759"/>
      <c r="Q118" s="4821"/>
      <c r="R118" s="4821"/>
      <c r="S118" s="4821"/>
      <c r="T118" s="4821"/>
      <c r="U118" s="4821"/>
      <c r="V118" s="4821"/>
      <c r="W118" s="4821"/>
      <c r="X118" s="4821"/>
      <c r="Y118" s="4821"/>
      <c r="Z118" s="4821"/>
      <c r="AA118" s="4821"/>
      <c r="AB118" s="4821"/>
      <c r="AC118" s="4821"/>
      <c r="AD118" s="4821"/>
      <c r="AE118" s="4821"/>
      <c r="AF118" s="4821"/>
      <c r="AG118" s="4821"/>
      <c r="AH118" s="4821"/>
      <c r="AI118" s="4837"/>
      <c r="AJ118" s="4837"/>
      <c r="AK118" s="4837"/>
      <c r="AL118" s="4838">
        <v>1</v>
      </c>
    </row>
    <row r="119" spans="1:40" s="1" customFormat="1" ht="30" customHeight="1">
      <c r="A119" s="4744"/>
      <c r="B119" s="4910" t="s">
        <v>7486</v>
      </c>
      <c r="C119" s="4911"/>
      <c r="D119" s="4757"/>
      <c r="E119" s="4757"/>
      <c r="F119" s="4757"/>
      <c r="G119" s="4757"/>
      <c r="H119" s="4912" t="s">
        <v>7487</v>
      </c>
      <c r="I119" s="4757"/>
      <c r="J119" s="4757"/>
      <c r="K119" s="4757"/>
      <c r="L119" s="4757"/>
      <c r="M119" s="4757"/>
      <c r="N119" s="4759"/>
      <c r="O119" s="4759"/>
      <c r="P119" s="4759"/>
      <c r="Q119" s="4821"/>
      <c r="R119" s="4821"/>
      <c r="S119" s="4821"/>
      <c r="T119" s="4821"/>
      <c r="U119" s="4821"/>
      <c r="V119" s="4821"/>
      <c r="W119" s="4821"/>
      <c r="X119" s="4821"/>
      <c r="Y119" s="4821"/>
      <c r="Z119" s="4821"/>
      <c r="AA119" s="4821"/>
      <c r="AB119" s="4821"/>
      <c r="AC119" s="4821"/>
      <c r="AD119" s="4821"/>
      <c r="AE119" s="4821"/>
      <c r="AF119" s="4821"/>
      <c r="AG119" s="4821"/>
      <c r="AH119" s="4821"/>
      <c r="AI119" s="4837"/>
      <c r="AJ119" s="4837"/>
      <c r="AK119" s="4837"/>
      <c r="AL119" s="4838">
        <v>1</v>
      </c>
    </row>
    <row r="120" spans="1:40" s="1" customFormat="1" ht="30" customHeight="1">
      <c r="A120" s="4744"/>
      <c r="B120" s="4910"/>
      <c r="C120" s="4913" t="s">
        <v>7488</v>
      </c>
      <c r="D120" s="4913"/>
      <c r="E120" s="4913"/>
      <c r="F120" s="4913"/>
      <c r="G120" s="4913"/>
      <c r="H120" s="4913"/>
      <c r="I120" s="4913"/>
      <c r="J120" s="4913"/>
      <c r="K120" s="4913"/>
      <c r="L120" s="4913"/>
      <c r="M120" s="4913"/>
      <c r="N120" s="4913"/>
      <c r="O120" s="4913"/>
      <c r="P120" s="4913"/>
      <c r="Q120" s="4821"/>
      <c r="R120" s="4821"/>
      <c r="S120" s="4821"/>
      <c r="T120" s="4821"/>
      <c r="U120" s="4821"/>
      <c r="V120" s="4821"/>
      <c r="W120" s="4821"/>
      <c r="X120" s="4821"/>
      <c r="Y120" s="4821"/>
      <c r="Z120" s="4821"/>
      <c r="AA120" s="4821"/>
      <c r="AB120" s="4821"/>
      <c r="AC120" s="4821"/>
      <c r="AD120" s="4821"/>
      <c r="AE120" s="4821"/>
      <c r="AF120" s="4821"/>
      <c r="AG120" s="4821"/>
      <c r="AH120" s="4821"/>
      <c r="AI120" s="4837"/>
      <c r="AJ120" s="4837"/>
      <c r="AK120" s="4837"/>
      <c r="AL120" s="4838">
        <v>1</v>
      </c>
    </row>
    <row r="121" spans="1:40" s="1" customFormat="1" ht="30" customHeight="1">
      <c r="A121" s="4744"/>
      <c r="B121" s="4910"/>
      <c r="C121" s="4911"/>
      <c r="D121" s="4911"/>
      <c r="E121" s="4911"/>
      <c r="F121" s="4911"/>
      <c r="G121" s="4911"/>
      <c r="H121" s="4911"/>
      <c r="I121" s="4911"/>
      <c r="J121" s="4911"/>
      <c r="K121" s="4911"/>
      <c r="L121" s="4911"/>
      <c r="M121" s="4911"/>
      <c r="N121" s="4911"/>
      <c r="O121" s="4911"/>
      <c r="P121" s="4911"/>
      <c r="Q121" s="4821"/>
      <c r="R121" s="4821"/>
      <c r="S121" s="4821"/>
      <c r="T121" s="4821"/>
      <c r="U121" s="4821"/>
      <c r="V121" s="4821"/>
      <c r="W121" s="4821"/>
      <c r="X121" s="4821"/>
      <c r="Y121" s="4821"/>
      <c r="Z121" s="4821"/>
      <c r="AA121" s="4821"/>
      <c r="AB121" s="4821"/>
      <c r="AC121" s="4821"/>
      <c r="AD121" s="4821"/>
      <c r="AE121" s="4821"/>
      <c r="AF121" s="4821"/>
      <c r="AG121" s="4821"/>
      <c r="AH121" s="4821"/>
      <c r="AI121" s="4837"/>
      <c r="AJ121" s="4837"/>
      <c r="AK121" s="4837"/>
      <c r="AL121" s="4838">
        <v>1</v>
      </c>
    </row>
    <row r="122" spans="1:40" s="1" customFormat="1" ht="30" customHeight="1">
      <c r="A122" s="4744"/>
      <c r="B122" s="4859"/>
      <c r="C122" s="4860"/>
      <c r="D122" s="4861"/>
      <c r="E122" s="4861"/>
      <c r="F122" s="4861"/>
      <c r="G122" s="4861"/>
      <c r="H122" s="4861"/>
      <c r="I122" s="4861"/>
      <c r="J122" s="4861"/>
      <c r="K122" s="4861"/>
      <c r="L122" s="4861"/>
      <c r="M122" s="4861"/>
      <c r="N122" s="4861"/>
      <c r="O122" s="4861"/>
      <c r="P122" s="4821"/>
      <c r="Q122" s="4821"/>
      <c r="R122" s="4821"/>
      <c r="S122" s="4821"/>
      <c r="T122" s="4821"/>
      <c r="U122" s="4821"/>
      <c r="V122" s="4821"/>
      <c r="W122" s="4821"/>
      <c r="X122" s="4821"/>
      <c r="Y122" s="4821"/>
      <c r="Z122" s="4821"/>
      <c r="AA122" s="4821"/>
      <c r="AB122" s="4821"/>
      <c r="AC122" s="4821"/>
      <c r="AD122" s="4821"/>
      <c r="AE122" s="4821"/>
      <c r="AF122" s="4821"/>
      <c r="AG122" s="4821"/>
      <c r="AH122" s="4821"/>
      <c r="AI122" s="4837"/>
      <c r="AJ122" s="4837"/>
      <c r="AK122" s="4837"/>
      <c r="AL122" s="4838">
        <v>1</v>
      </c>
    </row>
    <row r="123" spans="1:40" s="4766" customFormat="1" ht="39.950000000000003" customHeight="1">
      <c r="A123" s="4744"/>
      <c r="B123" s="4767"/>
      <c r="C123" s="4765" t="s">
        <v>7489</v>
      </c>
      <c r="D123" s="4757"/>
      <c r="E123" s="4765"/>
      <c r="F123" s="4759"/>
      <c r="G123" s="4759"/>
      <c r="H123" s="4757"/>
      <c r="I123" s="4759"/>
      <c r="J123" s="4759"/>
      <c r="K123" s="4759"/>
      <c r="L123" s="4759"/>
      <c r="M123" s="4759"/>
      <c r="N123" s="4759"/>
      <c r="O123" s="4759"/>
      <c r="P123" s="4759"/>
      <c r="Q123" s="4821"/>
      <c r="R123" s="4821"/>
      <c r="S123" s="4821"/>
      <c r="T123" s="4746"/>
      <c r="U123" s="4746"/>
      <c r="V123" s="4746"/>
      <c r="W123" s="4746"/>
      <c r="X123" s="4746"/>
      <c r="Y123" s="1671"/>
      <c r="Z123" s="4746"/>
      <c r="AA123" s="4746"/>
      <c r="AB123" s="4746"/>
      <c r="AC123" s="4746"/>
      <c r="AD123" s="4746"/>
      <c r="AE123" s="4746"/>
      <c r="AF123" s="4746"/>
      <c r="AG123" s="4746"/>
      <c r="AH123" s="4746"/>
      <c r="AI123" s="4837"/>
      <c r="AJ123" s="4837"/>
      <c r="AK123" s="4837"/>
      <c r="AL123" s="4838">
        <v>1</v>
      </c>
      <c r="AM123" s="1"/>
      <c r="AN123" s="1"/>
    </row>
    <row r="124" spans="1:40" s="4766" customFormat="1" ht="39.950000000000003" customHeight="1">
      <c r="A124" s="4744"/>
      <c r="B124" s="4767"/>
      <c r="C124" s="4765" t="s">
        <v>7490</v>
      </c>
      <c r="D124" s="4757"/>
      <c r="E124" s="4765"/>
      <c r="F124" s="4757"/>
      <c r="G124" s="4757"/>
      <c r="H124" s="4757"/>
      <c r="I124" s="4759"/>
      <c r="J124" s="4759"/>
      <c r="K124" s="4759"/>
      <c r="L124" s="4759"/>
      <c r="M124" s="4759"/>
      <c r="N124" s="4759"/>
      <c r="O124" s="4759"/>
      <c r="P124" s="4759"/>
      <c r="Q124" s="4821"/>
      <c r="R124" s="4821"/>
      <c r="S124" s="4821"/>
      <c r="T124" s="4746"/>
      <c r="U124" s="4746"/>
      <c r="V124" s="4746"/>
      <c r="W124" s="4746"/>
      <c r="X124" s="4746"/>
      <c r="Y124" s="1671"/>
      <c r="Z124" s="4746"/>
      <c r="AA124" s="4746"/>
      <c r="AB124" s="4746"/>
      <c r="AC124" s="4746"/>
      <c r="AD124" s="4746"/>
      <c r="AE124" s="4746"/>
      <c r="AF124" s="4746"/>
      <c r="AG124" s="4746"/>
      <c r="AH124" s="4746"/>
      <c r="AI124" s="4837"/>
      <c r="AJ124" s="4837"/>
      <c r="AK124" s="4837"/>
      <c r="AL124" s="4838">
        <v>1</v>
      </c>
      <c r="AM124" s="1"/>
      <c r="AN124" s="1"/>
    </row>
    <row r="125" spans="1:40" s="4766" customFormat="1" ht="39.950000000000003" customHeight="1">
      <c r="A125" s="4744"/>
      <c r="B125" s="4767"/>
      <c r="C125" s="4765" t="s">
        <v>7491</v>
      </c>
      <c r="D125" s="4757"/>
      <c r="E125" s="4765"/>
      <c r="F125" s="4757"/>
      <c r="G125" s="4757"/>
      <c r="H125" s="4757"/>
      <c r="I125" s="4759"/>
      <c r="J125" s="4759"/>
      <c r="K125" s="4759"/>
      <c r="L125" s="4759"/>
      <c r="M125" s="4759"/>
      <c r="N125" s="4759"/>
      <c r="O125" s="4759"/>
      <c r="P125" s="4759"/>
      <c r="Q125" s="4821"/>
      <c r="R125" s="4821"/>
      <c r="S125" s="4821"/>
      <c r="T125" s="4746"/>
      <c r="U125" s="4746"/>
      <c r="V125" s="4746"/>
      <c r="W125" s="4746"/>
      <c r="X125" s="4746"/>
      <c r="Y125" s="1671"/>
      <c r="Z125" s="4746"/>
      <c r="AA125" s="4746"/>
      <c r="AB125" s="4746"/>
      <c r="AC125" s="4746"/>
      <c r="AD125" s="4746"/>
      <c r="AE125" s="4746"/>
      <c r="AF125" s="4746"/>
      <c r="AG125" s="4746"/>
      <c r="AH125" s="4746"/>
      <c r="AI125" s="4837"/>
      <c r="AJ125" s="4837"/>
      <c r="AK125" s="4837"/>
      <c r="AL125" s="4838">
        <v>1</v>
      </c>
      <c r="AM125" s="1"/>
      <c r="AN125" s="1"/>
    </row>
    <row r="126" spans="1:40" s="4766" customFormat="1" ht="39.950000000000003" customHeight="1">
      <c r="A126" s="4744"/>
      <c r="B126" s="4767"/>
      <c r="C126" s="4765" t="s">
        <v>7492</v>
      </c>
      <c r="D126" s="4757"/>
      <c r="E126" s="4765"/>
      <c r="F126" s="4757"/>
      <c r="G126" s="4757"/>
      <c r="H126" s="4757"/>
      <c r="I126" s="4759"/>
      <c r="J126" s="4759"/>
      <c r="K126" s="4759"/>
      <c r="L126" s="4759"/>
      <c r="M126" s="4759"/>
      <c r="N126" s="4759"/>
      <c r="O126" s="4759"/>
      <c r="P126" s="4759"/>
      <c r="Q126" s="4821"/>
      <c r="R126" s="4821"/>
      <c r="S126" s="4821"/>
      <c r="T126" s="4746"/>
      <c r="U126" s="4746"/>
      <c r="V126" s="4746"/>
      <c r="W126" s="4746"/>
      <c r="X126" s="4746"/>
      <c r="Y126" s="1671"/>
      <c r="Z126" s="4746"/>
      <c r="AA126" s="4746"/>
      <c r="AB126" s="4746"/>
      <c r="AC126" s="4746"/>
      <c r="AD126" s="4746"/>
      <c r="AE126" s="4746"/>
      <c r="AF126" s="4746"/>
      <c r="AG126" s="4746"/>
      <c r="AH126" s="4746"/>
      <c r="AI126" s="4837"/>
      <c r="AJ126" s="4837"/>
      <c r="AK126" s="4837"/>
      <c r="AL126" s="4838">
        <v>1</v>
      </c>
      <c r="AM126" s="1"/>
      <c r="AN126" s="1"/>
    </row>
    <row r="127" spans="1:40" s="4766" customFormat="1" ht="39.950000000000003" customHeight="1">
      <c r="A127" s="4744"/>
      <c r="B127" s="4757"/>
      <c r="C127" s="4757" t="s">
        <v>7493</v>
      </c>
      <c r="D127" s="4757"/>
      <c r="E127" s="4757"/>
      <c r="F127" s="4757"/>
      <c r="G127" s="4757"/>
      <c r="H127" s="4759"/>
      <c r="I127" s="4759"/>
      <c r="J127" s="4759"/>
      <c r="K127" s="4759"/>
      <c r="L127" s="4759"/>
      <c r="M127" s="4759"/>
      <c r="N127" s="4759"/>
      <c r="O127" s="4759"/>
      <c r="P127" s="4759"/>
      <c r="Q127" s="4821"/>
      <c r="R127" s="4821"/>
      <c r="S127" s="4821"/>
      <c r="T127" s="4746"/>
      <c r="U127" s="4746"/>
      <c r="V127" s="4746"/>
      <c r="W127" s="4746"/>
      <c r="X127" s="4746"/>
      <c r="Y127" s="1671"/>
      <c r="Z127" s="4746"/>
      <c r="AA127" s="4746"/>
      <c r="AB127" s="4746"/>
      <c r="AC127" s="4746"/>
      <c r="AD127" s="4746"/>
      <c r="AE127" s="4746"/>
      <c r="AF127" s="4746"/>
      <c r="AG127" s="4746"/>
      <c r="AH127" s="4746"/>
      <c r="AI127" s="4837"/>
      <c r="AJ127" s="4837"/>
      <c r="AK127" s="4837"/>
      <c r="AL127" s="4838">
        <v>1</v>
      </c>
      <c r="AM127" s="1"/>
      <c r="AN127" s="1"/>
    </row>
    <row r="128" spans="1:40" s="4766" customFormat="1" ht="39.950000000000003" customHeight="1">
      <c r="A128" s="4744"/>
      <c r="B128" s="4759"/>
      <c r="C128" s="4759"/>
      <c r="D128" s="4759"/>
      <c r="E128" s="4759"/>
      <c r="F128" s="4759"/>
      <c r="G128" s="4759"/>
      <c r="H128" s="4759"/>
      <c r="I128" s="4759"/>
      <c r="J128" s="4759"/>
      <c r="K128" s="4759"/>
      <c r="L128" s="4759"/>
      <c r="M128" s="4759"/>
      <c r="N128" s="4759"/>
      <c r="O128" s="4759"/>
      <c r="P128" s="4759"/>
      <c r="Q128" s="4821"/>
      <c r="R128" s="4821"/>
      <c r="S128" s="4821"/>
      <c r="T128" s="4746"/>
      <c r="U128" s="4746"/>
      <c r="V128" s="4746"/>
      <c r="W128" s="4746"/>
      <c r="X128" s="4746"/>
      <c r="Y128" s="1671"/>
      <c r="Z128" s="4746"/>
      <c r="AA128" s="4746"/>
      <c r="AB128" s="4746"/>
      <c r="AC128" s="4746"/>
      <c r="AD128" s="4746"/>
      <c r="AE128" s="4746"/>
      <c r="AF128" s="4746"/>
      <c r="AG128" s="4746"/>
      <c r="AH128" s="4746"/>
      <c r="AI128" s="4837"/>
      <c r="AJ128" s="4837"/>
      <c r="AK128" s="4837"/>
      <c r="AL128" s="4838">
        <v>1</v>
      </c>
      <c r="AM128" s="1"/>
      <c r="AN128" s="1"/>
    </row>
    <row r="129" spans="1:40" ht="30" customHeight="1">
      <c r="A129" s="4746"/>
      <c r="B129" s="4746"/>
      <c r="C129" s="4746"/>
      <c r="D129" s="4746"/>
      <c r="E129" s="4746"/>
      <c r="F129" s="4746"/>
      <c r="G129" s="4746"/>
      <c r="H129" s="4746"/>
      <c r="I129" s="4746"/>
      <c r="J129" s="4746"/>
      <c r="K129" s="4746"/>
      <c r="L129" s="4746"/>
      <c r="M129" s="4746"/>
      <c r="N129" s="4746"/>
      <c r="O129" s="4746"/>
      <c r="P129" s="4746"/>
      <c r="Q129" s="4821"/>
      <c r="R129" s="4821"/>
      <c r="S129" s="4821"/>
      <c r="T129" s="4746"/>
      <c r="U129" s="4746"/>
      <c r="V129" s="4746"/>
      <c r="W129" s="4746"/>
      <c r="X129" s="4746"/>
      <c r="Y129" s="1671"/>
      <c r="Z129" s="4746"/>
      <c r="AA129" s="4746"/>
      <c r="AB129" s="4746"/>
      <c r="AC129" s="4746"/>
      <c r="AD129" s="4837"/>
      <c r="AE129" s="4837"/>
      <c r="AF129" s="4837"/>
      <c r="AG129" s="4837"/>
      <c r="AH129" s="4837"/>
      <c r="AI129" s="4837"/>
      <c r="AJ129" s="4837"/>
      <c r="AK129" s="4837"/>
      <c r="AL129" s="4838">
        <v>1</v>
      </c>
    </row>
    <row r="130" spans="1:40" s="4766" customFormat="1" ht="39.950000000000003" customHeight="1">
      <c r="A130" s="4744"/>
      <c r="B130" s="4914"/>
      <c r="C130" s="4859" t="s">
        <v>7494</v>
      </c>
      <c r="D130" s="4859"/>
      <c r="E130" s="4746"/>
      <c r="F130" s="4746"/>
      <c r="G130" s="4746"/>
      <c r="H130" s="4746"/>
      <c r="I130" s="4746"/>
      <c r="J130" s="4746"/>
      <c r="K130" s="4746"/>
      <c r="L130" s="4746"/>
      <c r="M130" s="4746"/>
      <c r="N130" s="4746"/>
      <c r="O130" s="4746"/>
      <c r="P130" s="4746"/>
      <c r="Q130" s="4746"/>
      <c r="R130" s="4746"/>
      <c r="S130" s="4746"/>
      <c r="T130" s="4746"/>
      <c r="U130" s="4746"/>
      <c r="V130" s="4746"/>
      <c r="W130" s="4746"/>
      <c r="X130" s="4746"/>
      <c r="Y130" s="4746"/>
      <c r="Z130" s="4746"/>
      <c r="AA130" s="4746"/>
      <c r="AB130" s="4746"/>
      <c r="AC130" s="4746"/>
      <c r="AD130" s="4746"/>
      <c r="AE130" s="4746"/>
      <c r="AF130" s="4746"/>
      <c r="AG130" s="4746"/>
      <c r="AH130" s="4746"/>
      <c r="AI130" s="4837"/>
      <c r="AJ130" s="4837"/>
      <c r="AK130" s="4837"/>
      <c r="AL130" s="4838">
        <v>1</v>
      </c>
      <c r="AM130" s="1"/>
      <c r="AN130" s="1"/>
    </row>
    <row r="131" spans="1:40" s="4766" customFormat="1" ht="39.950000000000003" customHeight="1">
      <c r="A131" s="4744"/>
      <c r="B131" s="4914"/>
      <c r="C131" s="4859" t="s">
        <v>7495</v>
      </c>
      <c r="D131" s="4859"/>
      <c r="E131" s="4746"/>
      <c r="F131" s="4746"/>
      <c r="G131" s="4746"/>
      <c r="H131" s="4746"/>
      <c r="I131" s="4746"/>
      <c r="J131" s="4746"/>
      <c r="K131" s="4746"/>
      <c r="L131" s="4746"/>
      <c r="M131" s="4746"/>
      <c r="N131" s="4746"/>
      <c r="O131" s="4746"/>
      <c r="P131" s="4746"/>
      <c r="Q131" s="4746"/>
      <c r="R131" s="4746"/>
      <c r="S131" s="4746"/>
      <c r="T131" s="4746"/>
      <c r="U131" s="4746"/>
      <c r="V131" s="4746"/>
      <c r="W131" s="4746"/>
      <c r="X131" s="4746"/>
      <c r="Y131" s="4746"/>
      <c r="Z131" s="4746"/>
      <c r="AA131" s="4746"/>
      <c r="AB131" s="4746"/>
      <c r="AC131" s="4746"/>
      <c r="AD131" s="4746"/>
      <c r="AE131" s="4746"/>
      <c r="AF131" s="4746"/>
      <c r="AG131" s="4746"/>
      <c r="AH131" s="4746"/>
      <c r="AI131" s="4837"/>
      <c r="AJ131" s="4837"/>
      <c r="AK131" s="4837"/>
      <c r="AL131" s="4838">
        <v>1</v>
      </c>
      <c r="AM131" s="1"/>
      <c r="AN131" s="1"/>
    </row>
    <row r="132" spans="1:40" s="4766" customFormat="1" ht="39.950000000000003" customHeight="1">
      <c r="A132" s="4744"/>
      <c r="B132" s="4844" t="s">
        <v>7496</v>
      </c>
      <c r="C132" s="4748"/>
      <c r="D132" s="4744"/>
      <c r="E132" s="4744"/>
      <c r="F132" s="4744"/>
      <c r="G132" s="4744"/>
      <c r="H132" s="4744"/>
      <c r="I132" s="4915"/>
      <c r="J132" s="4744"/>
      <c r="K132" s="4744"/>
      <c r="L132" s="4744"/>
      <c r="M132" s="4744"/>
      <c r="N132" s="4744"/>
      <c r="O132" s="4915"/>
      <c r="P132" s="4915"/>
      <c r="Q132" s="4915"/>
      <c r="R132" s="4915"/>
      <c r="S132" s="4915"/>
      <c r="T132" s="4746"/>
      <c r="U132" s="4746"/>
      <c r="V132" s="4746"/>
      <c r="W132" s="4746"/>
      <c r="X132" s="4746"/>
      <c r="Y132" s="4746"/>
      <c r="Z132" s="4746"/>
      <c r="AA132" s="4746"/>
      <c r="AB132" s="4746"/>
      <c r="AC132" s="4746"/>
      <c r="AD132" s="4746"/>
      <c r="AE132" s="4746"/>
      <c r="AF132" s="4746"/>
      <c r="AG132" s="4746"/>
      <c r="AH132" s="4746"/>
      <c r="AI132" s="4837"/>
      <c r="AJ132" s="4837"/>
      <c r="AK132" s="4837"/>
      <c r="AL132" s="4838">
        <v>1</v>
      </c>
      <c r="AM132" s="1"/>
      <c r="AN132" s="1"/>
    </row>
    <row r="133" spans="1:40" s="4766" customFormat="1" ht="39.950000000000003" customHeight="1">
      <c r="A133" s="4744"/>
      <c r="B133" s="4844" t="s">
        <v>7497</v>
      </c>
      <c r="C133" s="4748"/>
      <c r="D133" s="4744"/>
      <c r="E133" s="4744"/>
      <c r="F133" s="4744"/>
      <c r="G133" s="4744"/>
      <c r="H133" s="4744"/>
      <c r="I133" s="4915"/>
      <c r="J133" s="4744"/>
      <c r="K133" s="4744"/>
      <c r="L133" s="4744"/>
      <c r="M133" s="4744"/>
      <c r="N133" s="4744"/>
      <c r="O133" s="4915"/>
      <c r="P133" s="4915"/>
      <c r="Q133" s="4915"/>
      <c r="R133" s="4915"/>
      <c r="S133" s="4915"/>
      <c r="T133" s="4746"/>
      <c r="U133" s="4746"/>
      <c r="V133" s="4746"/>
      <c r="W133" s="4746"/>
      <c r="X133" s="4746"/>
      <c r="Y133" s="4746"/>
      <c r="Z133" s="4746"/>
      <c r="AA133" s="4746"/>
      <c r="AB133" s="4746"/>
      <c r="AC133" s="4746"/>
      <c r="AD133" s="4746"/>
      <c r="AE133" s="4746"/>
      <c r="AF133" s="4746"/>
      <c r="AG133" s="4746"/>
      <c r="AH133" s="4746"/>
      <c r="AI133" s="4837"/>
      <c r="AJ133" s="4837"/>
      <c r="AK133" s="4837"/>
      <c r="AL133" s="4838">
        <v>1</v>
      </c>
      <c r="AM133" s="1"/>
      <c r="AN133" s="1"/>
    </row>
    <row r="134" spans="1:40" ht="25.5">
      <c r="A134" s="4744"/>
      <c r="B134" s="4916"/>
      <c r="C134" s="4917"/>
      <c r="D134" s="4917"/>
      <c r="E134" s="4917"/>
      <c r="F134" s="4918"/>
      <c r="G134" s="4918"/>
      <c r="H134" s="4918"/>
      <c r="I134" s="4918"/>
      <c r="J134" s="4746"/>
      <c r="K134" s="4746"/>
      <c r="L134" s="4746"/>
      <c r="M134" s="4746"/>
      <c r="N134" s="4746"/>
      <c r="O134" s="4746"/>
      <c r="P134" s="4837"/>
      <c r="Q134" s="4915"/>
      <c r="R134" s="4915"/>
      <c r="S134" s="4915"/>
      <c r="T134" s="4746"/>
      <c r="U134" s="4746"/>
      <c r="V134" s="4746"/>
      <c r="W134" s="4746"/>
      <c r="X134" s="4746"/>
      <c r="Y134" s="4746"/>
      <c r="Z134" s="4746"/>
      <c r="AA134" s="4746"/>
      <c r="AB134" s="4746"/>
      <c r="AC134" s="4746"/>
      <c r="AD134" s="4746"/>
      <c r="AE134" s="4746"/>
      <c r="AF134" s="4746"/>
      <c r="AG134" s="4746"/>
      <c r="AH134" s="4746"/>
      <c r="AI134" s="4837"/>
      <c r="AJ134" s="4837"/>
      <c r="AK134" s="4837"/>
      <c r="AL134" s="4838">
        <v>1</v>
      </c>
    </row>
    <row r="135" spans="1:40" ht="26.25">
      <c r="A135" s="4744"/>
      <c r="B135" s="4821"/>
      <c r="C135" s="4821"/>
      <c r="D135" s="4821"/>
      <c r="E135" s="4821"/>
      <c r="F135" s="4746"/>
      <c r="G135" s="4746"/>
      <c r="H135" s="4746"/>
      <c r="I135" s="4746"/>
      <c r="J135" s="4746"/>
      <c r="K135" s="1671"/>
      <c r="L135" s="4746"/>
      <c r="M135" s="4746"/>
      <c r="N135" s="4746"/>
      <c r="O135" s="4746"/>
      <c r="P135" s="4837"/>
      <c r="Q135" s="4915"/>
      <c r="R135" s="4915"/>
      <c r="S135" s="4915"/>
      <c r="T135" s="4746"/>
      <c r="U135" s="4746"/>
      <c r="V135" s="4746"/>
      <c r="W135" s="4746"/>
      <c r="X135" s="4746"/>
      <c r="Y135" s="4746"/>
      <c r="Z135" s="4746"/>
      <c r="AA135" s="4746"/>
      <c r="AB135" s="4746"/>
      <c r="AC135" s="4746"/>
      <c r="AD135" s="4746"/>
      <c r="AE135" s="4746"/>
      <c r="AF135" s="4746"/>
      <c r="AG135" s="4746"/>
      <c r="AH135" s="4746"/>
      <c r="AI135" s="4837"/>
      <c r="AJ135" s="4837"/>
      <c r="AK135" s="4837"/>
      <c r="AL135" s="4838">
        <v>1</v>
      </c>
    </row>
    <row r="136" spans="1:40" ht="21">
      <c r="A136" s="4744"/>
      <c r="B136" s="7407" t="s">
        <v>7498</v>
      </c>
      <c r="C136" s="7407"/>
      <c r="D136" s="7407"/>
      <c r="E136" s="7407"/>
      <c r="F136" s="7407"/>
      <c r="G136" s="4919" t="s">
        <v>1185</v>
      </c>
      <c r="H136" s="4920"/>
      <c r="I136" s="4920"/>
      <c r="J136" s="4920"/>
      <c r="K136" s="4920"/>
      <c r="L136" s="4920"/>
      <c r="M136" s="4920"/>
      <c r="N136" s="4921" t="s">
        <v>7499</v>
      </c>
      <c r="O136" s="4922"/>
      <c r="P136" s="4923"/>
      <c r="Q136" s="4915"/>
      <c r="R136" s="4915"/>
      <c r="S136" s="4915"/>
      <c r="T136" s="4746"/>
      <c r="U136" s="4746"/>
      <c r="V136" s="4746"/>
      <c r="W136" s="4746"/>
      <c r="X136" s="4746"/>
      <c r="Y136" s="4746"/>
      <c r="Z136" s="4746"/>
      <c r="AA136" s="4746"/>
      <c r="AB136" s="4746"/>
      <c r="AC136" s="4746"/>
      <c r="AD136" s="4746"/>
      <c r="AE136" s="4746"/>
      <c r="AF136" s="4746"/>
      <c r="AG136" s="4746"/>
      <c r="AH136" s="4746"/>
      <c r="AI136" s="4837"/>
      <c r="AJ136" s="4837"/>
      <c r="AK136" s="4837"/>
      <c r="AL136" s="4838">
        <v>1</v>
      </c>
    </row>
    <row r="137" spans="1:40" ht="21">
      <c r="A137" s="4744"/>
      <c r="B137" s="4924" t="s">
        <v>1257</v>
      </c>
      <c r="C137" s="4925" t="s">
        <v>1258</v>
      </c>
      <c r="D137" s="7408" t="s">
        <v>162</v>
      </c>
      <c r="E137" s="7408"/>
      <c r="F137" s="4926"/>
      <c r="G137" s="4927" t="s">
        <v>7500</v>
      </c>
      <c r="H137" s="4928"/>
      <c r="I137" s="4929"/>
      <c r="J137" s="4929"/>
      <c r="K137" s="4929"/>
      <c r="L137" s="4929"/>
      <c r="M137" s="4929"/>
      <c r="N137" s="4929"/>
      <c r="O137" s="4930"/>
      <c r="P137" s="4931"/>
      <c r="Q137" s="4915"/>
      <c r="R137" s="4915"/>
      <c r="S137" s="4915"/>
      <c r="T137" s="4746"/>
      <c r="U137" s="4746"/>
      <c r="V137" s="4746"/>
      <c r="W137" s="4746"/>
      <c r="X137" s="4746"/>
      <c r="Y137" s="4746"/>
      <c r="Z137" s="4746"/>
      <c r="AA137" s="4746"/>
      <c r="AB137" s="4746"/>
      <c r="AC137" s="4746"/>
      <c r="AD137" s="4746"/>
      <c r="AE137" s="4746"/>
      <c r="AF137" s="4746"/>
      <c r="AG137" s="4746"/>
      <c r="AH137" s="4746"/>
      <c r="AI137" s="4837"/>
      <c r="AJ137" s="4837"/>
      <c r="AK137" s="4837"/>
      <c r="AL137" s="4838">
        <v>1</v>
      </c>
    </row>
    <row r="138" spans="1:40" ht="21">
      <c r="A138" s="4744"/>
      <c r="B138" s="7409">
        <v>1250</v>
      </c>
      <c r="C138" s="4932">
        <v>1</v>
      </c>
      <c r="D138" s="7410" t="s">
        <v>3167</v>
      </c>
      <c r="E138" s="7410"/>
      <c r="F138" s="4933">
        <f>C138*B138</f>
        <v>1250</v>
      </c>
      <c r="G138" s="4934" t="str">
        <f>INT(F138/N138) &amp; " " &amp; G137 &amp; " de " &amp; N138 &amp; " " &amp; D138 &amp; IF(MOD(F138,N138)&gt;0, " + 1 contenant de " &amp; TEXT(MOD(F138,N138), "0.00") &amp; " " &amp; D138, "")</f>
        <v>178 Barquette(s) de 7 tranches + 1 contenant de 4.00 tranches</v>
      </c>
      <c r="H138" s="4926"/>
      <c r="I138" s="4935"/>
      <c r="J138" s="4936"/>
      <c r="K138" s="4936"/>
      <c r="L138" s="4936"/>
      <c r="M138" s="4936"/>
      <c r="N138" s="4937">
        <v>7</v>
      </c>
      <c r="O138" s="4929" t="str">
        <f>D138</f>
        <v>tranches</v>
      </c>
      <c r="P138" s="4938"/>
      <c r="Q138" s="4915"/>
      <c r="R138" s="4915"/>
      <c r="S138" s="4915"/>
      <c r="T138" s="4746"/>
      <c r="U138" s="4746"/>
      <c r="V138" s="4746"/>
      <c r="W138" s="4746"/>
      <c r="X138" s="4746"/>
      <c r="Y138" s="4746"/>
      <c r="Z138" s="4746"/>
      <c r="AA138" s="4746"/>
      <c r="AB138" s="4746"/>
      <c r="AC138" s="4746"/>
      <c r="AD138" s="4746"/>
      <c r="AE138" s="4746"/>
      <c r="AF138" s="4746"/>
      <c r="AG138" s="4746"/>
      <c r="AH138" s="4746"/>
      <c r="AI138" s="4837"/>
      <c r="AJ138" s="4837"/>
      <c r="AK138" s="4837"/>
      <c r="AL138" s="4838">
        <v>1</v>
      </c>
    </row>
    <row r="139" spans="1:40" ht="21">
      <c r="A139" s="4744"/>
      <c r="B139" s="7409"/>
      <c r="C139" s="4939">
        <v>130</v>
      </c>
      <c r="D139" s="4940" t="s">
        <v>1262</v>
      </c>
      <c r="E139" s="4941"/>
      <c r="F139" s="4942">
        <f>(C139*B138)/1000</f>
        <v>162.5</v>
      </c>
      <c r="G139" s="1297" t="str">
        <f>INT(F139/N139) &amp; " " &amp; G137 &amp; " de " &amp; N139 &amp; " kg" &amp; IF(MOD(F139,N139)=0, "", IF(MOD(F139,N139)=N139, "", " + 1 contenant de " &amp; TEXT(MOD(F139,N139), "0.00") &amp; " kg"))</f>
        <v>125 Barquette(s) de 1.3 kg + 1 contenant de 1.30 kg</v>
      </c>
      <c r="H139" s="4943"/>
      <c r="I139" s="4929"/>
      <c r="J139" s="4926"/>
      <c r="K139" s="4926"/>
      <c r="L139" s="4926"/>
      <c r="M139" s="4926"/>
      <c r="N139" s="4944">
        <v>1.3</v>
      </c>
      <c r="O139" s="4930"/>
      <c r="P139" s="4931"/>
      <c r="Q139" s="4915"/>
      <c r="R139" s="4915"/>
      <c r="S139" s="4915"/>
      <c r="T139" s="4746"/>
      <c r="U139" s="4746"/>
      <c r="V139" s="4746"/>
      <c r="W139" s="4746"/>
      <c r="X139" s="4746"/>
      <c r="Y139" s="4746"/>
      <c r="Z139" s="4746"/>
      <c r="AA139" s="4746"/>
      <c r="AB139" s="4746"/>
      <c r="AC139" s="4746"/>
      <c r="AD139" s="4746"/>
      <c r="AE139" s="4746"/>
      <c r="AF139" s="4746"/>
      <c r="AG139" s="4746"/>
      <c r="AH139" s="4746"/>
      <c r="AI139" s="4837"/>
      <c r="AJ139" s="4837"/>
      <c r="AK139" s="4837"/>
      <c r="AL139" s="4838">
        <v>1</v>
      </c>
    </row>
    <row r="140" spans="1:40" ht="21">
      <c r="A140" s="4744"/>
      <c r="B140" s="4945" t="s">
        <v>7501</v>
      </c>
      <c r="C140" s="4946"/>
      <c r="D140" s="4946"/>
      <c r="E140" s="4946"/>
      <c r="F140" s="4946"/>
      <c r="G140" s="4946"/>
      <c r="H140" s="4946"/>
      <c r="I140" s="4946"/>
      <c r="J140" s="4946"/>
      <c r="K140" s="4946"/>
      <c r="L140" s="4946"/>
      <c r="M140" s="4946"/>
      <c r="N140" s="4947"/>
      <c r="O140" s="4948"/>
      <c r="P140" s="4949"/>
      <c r="Q140" s="4915"/>
      <c r="R140" s="4915"/>
      <c r="S140" s="4915"/>
      <c r="T140" s="4746"/>
      <c r="U140" s="4746"/>
      <c r="V140" s="4746"/>
      <c r="W140" s="4746"/>
      <c r="X140" s="4746"/>
      <c r="Y140" s="4746"/>
      <c r="Z140" s="4746"/>
      <c r="AA140" s="4746"/>
      <c r="AB140" s="4746"/>
      <c r="AC140" s="4746"/>
      <c r="AD140" s="4746"/>
      <c r="AE140" s="4746"/>
      <c r="AF140" s="4746"/>
      <c r="AG140" s="4746"/>
      <c r="AH140" s="4746"/>
      <c r="AI140" s="4837"/>
      <c r="AJ140" s="4837"/>
      <c r="AK140" s="4837"/>
      <c r="AL140" s="4838">
        <v>1</v>
      </c>
    </row>
    <row r="141" spans="1:40" ht="21">
      <c r="A141" s="4744"/>
      <c r="B141" s="4950"/>
      <c r="C141" s="4951"/>
      <c r="D141" s="4952"/>
      <c r="E141" s="4952"/>
      <c r="F141" s="4953"/>
      <c r="G141" s="4954"/>
      <c r="H141" s="4955"/>
      <c r="I141" s="4956"/>
      <c r="J141" s="4957"/>
      <c r="K141" s="4957"/>
      <c r="L141" s="4957"/>
      <c r="M141" s="4957"/>
      <c r="N141" s="4958"/>
      <c r="O141" s="4959"/>
      <c r="P141" s="4960"/>
      <c r="Q141" s="4915"/>
      <c r="R141" s="4915"/>
      <c r="S141" s="4915"/>
      <c r="T141" s="4746"/>
      <c r="U141" s="4746"/>
      <c r="V141" s="4746"/>
      <c r="W141" s="4746"/>
      <c r="X141" s="4746"/>
      <c r="Y141" s="4746"/>
      <c r="Z141" s="4746"/>
      <c r="AA141" s="4746"/>
      <c r="AB141" s="4746"/>
      <c r="AC141" s="4746"/>
      <c r="AD141" s="4746"/>
      <c r="AE141" s="4746"/>
      <c r="AF141" s="4746"/>
      <c r="AG141" s="4746"/>
      <c r="AH141" s="4746"/>
      <c r="AI141" s="4837"/>
      <c r="AJ141" s="4837"/>
      <c r="AK141" s="4837"/>
      <c r="AL141" s="4838">
        <v>1</v>
      </c>
    </row>
    <row r="142" spans="1:40" ht="27">
      <c r="A142" s="4744"/>
      <c r="B142" s="4961"/>
      <c r="C142" s="4744"/>
      <c r="D142" s="4744"/>
      <c r="E142" s="4744"/>
      <c r="F142" s="4744"/>
      <c r="G142" s="4744"/>
      <c r="H142" s="4744"/>
      <c r="I142" s="4915"/>
      <c r="J142" s="4744"/>
      <c r="K142" s="4744"/>
      <c r="L142" s="4744"/>
      <c r="M142" s="4744"/>
      <c r="N142" s="4744"/>
      <c r="O142" s="4915"/>
      <c r="P142" s="4915"/>
      <c r="Q142" s="4915"/>
      <c r="R142" s="4915"/>
      <c r="S142" s="4915"/>
      <c r="T142" s="4746"/>
      <c r="U142" s="4746"/>
      <c r="V142" s="4746"/>
      <c r="W142" s="4746"/>
      <c r="X142" s="4746"/>
      <c r="Y142" s="4746"/>
      <c r="Z142" s="4746"/>
      <c r="AA142" s="4746"/>
      <c r="AB142" s="4746"/>
      <c r="AC142" s="4746"/>
      <c r="AD142" s="4746"/>
      <c r="AE142" s="4746"/>
      <c r="AF142" s="4746"/>
      <c r="AG142" s="4746"/>
      <c r="AH142" s="4746"/>
      <c r="AI142" s="4837"/>
      <c r="AJ142" s="4837"/>
      <c r="AK142" s="4837"/>
      <c r="AL142" s="4838">
        <v>1</v>
      </c>
    </row>
    <row r="143" spans="1:40" s="1" customFormat="1" ht="30" customHeight="1">
      <c r="A143" s="4744"/>
      <c r="B143" s="4962" t="s">
        <v>7502</v>
      </c>
      <c r="C143" s="4963"/>
      <c r="D143" s="4963"/>
      <c r="E143" s="4963"/>
      <c r="F143" s="4963"/>
      <c r="G143" s="4963"/>
      <c r="H143" s="4963"/>
      <c r="I143" s="4963"/>
      <c r="J143" s="4963"/>
      <c r="K143" s="4861" t="s">
        <v>1</v>
      </c>
      <c r="L143" s="4861"/>
      <c r="M143" s="4861"/>
      <c r="N143" s="4861"/>
      <c r="O143" s="4861"/>
      <c r="P143" s="4821"/>
      <c r="Q143" s="4821"/>
      <c r="R143" s="4821"/>
      <c r="S143" s="4821"/>
      <c r="T143" s="4821"/>
      <c r="U143" s="4821"/>
      <c r="V143" s="4821"/>
      <c r="W143" s="4821"/>
      <c r="X143" s="4821"/>
      <c r="Y143" s="4821"/>
      <c r="Z143" s="4821"/>
      <c r="AA143" s="4821"/>
      <c r="AB143" s="4821"/>
      <c r="AC143" s="4821"/>
      <c r="AD143" s="4821"/>
      <c r="AE143" s="4821"/>
      <c r="AF143" s="4837"/>
      <c r="AG143" s="4837"/>
      <c r="AH143" s="4837"/>
      <c r="AI143" s="4837"/>
      <c r="AJ143" s="4837"/>
      <c r="AK143" s="4837"/>
      <c r="AL143" s="4838">
        <v>1</v>
      </c>
    </row>
    <row r="144" spans="1:40" s="1" customFormat="1" ht="30" customHeight="1">
      <c r="A144" s="4744"/>
      <c r="B144" s="4964" t="s">
        <v>7503</v>
      </c>
      <c r="C144" s="4963"/>
      <c r="D144" s="4963"/>
      <c r="E144" s="4963"/>
      <c r="F144" s="4963"/>
      <c r="G144" s="4963"/>
      <c r="H144" s="4963"/>
      <c r="I144" s="4963"/>
      <c r="J144" s="4963"/>
      <c r="K144" s="4861" t="s">
        <v>1</v>
      </c>
      <c r="L144" s="4861"/>
      <c r="M144" s="4861"/>
      <c r="N144" s="4861"/>
      <c r="O144" s="4861"/>
      <c r="P144" s="4821"/>
      <c r="Q144" s="4821"/>
      <c r="R144" s="4821"/>
      <c r="S144" s="4821"/>
      <c r="T144" s="4821"/>
      <c r="U144" s="4821"/>
      <c r="V144" s="4821"/>
      <c r="W144" s="4821"/>
      <c r="X144" s="4821"/>
      <c r="Y144" s="4821"/>
      <c r="Z144" s="4821"/>
      <c r="AA144" s="4821"/>
      <c r="AB144" s="4821"/>
      <c r="AC144" s="4821"/>
      <c r="AD144" s="4821"/>
      <c r="AE144" s="4821"/>
      <c r="AF144" s="4837"/>
      <c r="AG144" s="4837"/>
      <c r="AH144" s="4837"/>
      <c r="AI144" s="4837"/>
      <c r="AJ144" s="4837"/>
      <c r="AK144" s="4837"/>
      <c r="AL144" s="4838">
        <v>1</v>
      </c>
    </row>
    <row r="145" spans="1:38" s="1" customFormat="1" ht="30" customHeight="1">
      <c r="A145" s="4744"/>
      <c r="B145" s="4964" t="s">
        <v>7504</v>
      </c>
      <c r="C145" s="4963"/>
      <c r="D145" s="4963"/>
      <c r="E145" s="4963"/>
      <c r="F145" s="4963"/>
      <c r="G145" s="4963"/>
      <c r="H145" s="4963"/>
      <c r="I145" s="4963"/>
      <c r="J145" s="4963"/>
      <c r="K145" s="4861" t="s">
        <v>1</v>
      </c>
      <c r="L145" s="4861"/>
      <c r="M145" s="4861"/>
      <c r="N145" s="4861"/>
      <c r="O145" s="4861"/>
      <c r="P145" s="4821"/>
      <c r="Q145" s="4821"/>
      <c r="R145" s="4821"/>
      <c r="S145" s="4821"/>
      <c r="T145" s="4821"/>
      <c r="U145" s="4821"/>
      <c r="V145" s="4821"/>
      <c r="W145" s="4821"/>
      <c r="X145" s="4821"/>
      <c r="Y145" s="4821"/>
      <c r="Z145" s="4821"/>
      <c r="AA145" s="4821"/>
      <c r="AB145" s="4821"/>
      <c r="AC145" s="4821"/>
      <c r="AD145" s="4821"/>
      <c r="AE145" s="4821"/>
      <c r="AF145" s="4837"/>
      <c r="AG145" s="4837"/>
      <c r="AH145" s="4837"/>
      <c r="AI145" s="4837"/>
      <c r="AJ145" s="4837"/>
      <c r="AK145" s="4837"/>
      <c r="AL145" s="4838">
        <v>1</v>
      </c>
    </row>
    <row r="146" spans="1:38" s="1" customFormat="1" ht="30" customHeight="1">
      <c r="A146" s="4744"/>
      <c r="B146" s="4964" t="s">
        <v>7505</v>
      </c>
      <c r="C146" s="4963"/>
      <c r="D146" s="4963"/>
      <c r="E146" s="4963"/>
      <c r="F146" s="4963"/>
      <c r="G146" s="4963"/>
      <c r="H146" s="4963"/>
      <c r="I146" s="4963"/>
      <c r="J146" s="4963"/>
      <c r="K146" s="4861" t="s">
        <v>1</v>
      </c>
      <c r="L146" s="4861"/>
      <c r="M146" s="4861"/>
      <c r="N146" s="4861"/>
      <c r="O146" s="4861"/>
      <c r="P146" s="4821"/>
      <c r="Q146" s="4821"/>
      <c r="R146" s="4821"/>
      <c r="S146" s="4821"/>
      <c r="T146" s="4821"/>
      <c r="U146" s="4821"/>
      <c r="V146" s="4821"/>
      <c r="W146" s="4821"/>
      <c r="X146" s="4821"/>
      <c r="Y146" s="4821"/>
      <c r="Z146" s="4821"/>
      <c r="AA146" s="4821"/>
      <c r="AB146" s="4821"/>
      <c r="AC146" s="4821"/>
      <c r="AD146" s="4821"/>
      <c r="AE146" s="4821"/>
      <c r="AF146" s="4837"/>
      <c r="AG146" s="4837"/>
      <c r="AH146" s="4837"/>
      <c r="AI146" s="4837"/>
      <c r="AJ146" s="4837"/>
      <c r="AK146" s="4837"/>
      <c r="AL146" s="4838">
        <v>1</v>
      </c>
    </row>
    <row r="147" spans="1:38" s="1" customFormat="1" ht="30" customHeight="1">
      <c r="A147" s="4744"/>
      <c r="B147" s="4965" t="s">
        <v>7506</v>
      </c>
      <c r="C147" s="4963"/>
      <c r="D147" s="4963"/>
      <c r="E147" s="4963"/>
      <c r="F147" s="4963"/>
      <c r="G147" s="4963"/>
      <c r="H147" s="4963"/>
      <c r="I147" s="4963"/>
      <c r="J147" s="4963"/>
      <c r="K147" s="4861" t="s">
        <v>1</v>
      </c>
      <c r="L147" s="4861"/>
      <c r="M147" s="4861"/>
      <c r="N147" s="4861"/>
      <c r="O147" s="4861"/>
      <c r="P147" s="4821"/>
      <c r="Q147" s="4821"/>
      <c r="R147" s="4821"/>
      <c r="S147" s="4821"/>
      <c r="T147" s="4821"/>
      <c r="U147" s="4821"/>
      <c r="V147" s="4821"/>
      <c r="W147" s="4821"/>
      <c r="X147" s="4821"/>
      <c r="Y147" s="4821"/>
      <c r="Z147" s="4821"/>
      <c r="AA147" s="4821"/>
      <c r="AB147" s="4821"/>
      <c r="AC147" s="4821"/>
      <c r="AD147" s="4821"/>
      <c r="AE147" s="4821"/>
      <c r="AF147" s="4837"/>
      <c r="AG147" s="4837"/>
      <c r="AH147" s="4837"/>
      <c r="AI147" s="4837"/>
      <c r="AJ147" s="4837"/>
      <c r="AK147" s="4837"/>
      <c r="AL147" s="4838">
        <v>1</v>
      </c>
    </row>
    <row r="148" spans="1:38" s="1" customFormat="1" ht="30" customHeight="1">
      <c r="A148" s="4744"/>
      <c r="B148" s="4964" t="s">
        <v>7507</v>
      </c>
      <c r="C148" s="4963"/>
      <c r="D148" s="4963"/>
      <c r="E148" s="4963"/>
      <c r="F148" s="4963"/>
      <c r="G148" s="4963"/>
      <c r="H148" s="4963"/>
      <c r="I148" s="4963"/>
      <c r="J148" s="4963"/>
      <c r="K148" s="4861" t="s">
        <v>1</v>
      </c>
      <c r="L148" s="4861"/>
      <c r="M148" s="4861"/>
      <c r="N148" s="4861"/>
      <c r="O148" s="4861"/>
      <c r="P148" s="4821"/>
      <c r="Q148" s="4821"/>
      <c r="R148" s="4821"/>
      <c r="S148" s="4821"/>
      <c r="T148" s="4821"/>
      <c r="U148" s="4821"/>
      <c r="V148" s="4821"/>
      <c r="W148" s="4821"/>
      <c r="X148" s="4821"/>
      <c r="Y148" s="4821"/>
      <c r="Z148" s="4821"/>
      <c r="AA148" s="4821"/>
      <c r="AB148" s="4821"/>
      <c r="AC148" s="4821"/>
      <c r="AD148" s="4821"/>
      <c r="AE148" s="4821"/>
      <c r="AF148" s="4837"/>
      <c r="AG148" s="4837"/>
      <c r="AH148" s="4837"/>
      <c r="AI148" s="4837"/>
      <c r="AJ148" s="4837"/>
      <c r="AK148" s="4837"/>
      <c r="AL148" s="4838">
        <v>1</v>
      </c>
    </row>
    <row r="149" spans="1:38" s="1" customFormat="1" ht="30" customHeight="1">
      <c r="A149" s="4744"/>
      <c r="B149" s="4966" t="s">
        <v>7508</v>
      </c>
      <c r="C149" s="4963"/>
      <c r="D149" s="4963"/>
      <c r="E149" s="4963"/>
      <c r="F149" s="4963"/>
      <c r="G149" s="4963"/>
      <c r="H149" s="4963"/>
      <c r="I149" s="4963"/>
      <c r="J149" s="4963"/>
      <c r="K149" s="4861" t="s">
        <v>1</v>
      </c>
      <c r="L149" s="4861"/>
      <c r="M149" s="4861"/>
      <c r="N149" s="4861"/>
      <c r="O149" s="4861"/>
      <c r="P149" s="4821"/>
      <c r="Q149" s="4821"/>
      <c r="R149" s="4821"/>
      <c r="S149" s="4821"/>
      <c r="T149" s="4821"/>
      <c r="U149" s="4821"/>
      <c r="V149" s="4821"/>
      <c r="W149" s="4821"/>
      <c r="X149" s="4821"/>
      <c r="Y149" s="4821"/>
      <c r="Z149" s="4821"/>
      <c r="AA149" s="4821"/>
      <c r="AB149" s="4821"/>
      <c r="AC149" s="4821"/>
      <c r="AD149" s="4821"/>
      <c r="AE149" s="4821"/>
      <c r="AF149" s="4837"/>
      <c r="AG149" s="4837"/>
      <c r="AH149" s="4837"/>
      <c r="AI149" s="4837"/>
      <c r="AJ149" s="4837"/>
      <c r="AK149" s="4837"/>
      <c r="AL149" s="4838">
        <v>1</v>
      </c>
    </row>
    <row r="150" spans="1:38" s="1" customFormat="1" ht="30" customHeight="1">
      <c r="A150" s="4744"/>
      <c r="B150" s="4964" t="s">
        <v>7509</v>
      </c>
      <c r="C150" s="4963"/>
      <c r="D150" s="4963"/>
      <c r="E150" s="4963"/>
      <c r="F150" s="4963"/>
      <c r="G150" s="4963"/>
      <c r="H150" s="4963"/>
      <c r="I150" s="4963"/>
      <c r="J150" s="4963"/>
      <c r="K150" s="4861" t="s">
        <v>1</v>
      </c>
      <c r="L150" s="4861"/>
      <c r="M150" s="4861"/>
      <c r="N150" s="4861"/>
      <c r="O150" s="4861"/>
      <c r="P150" s="4821"/>
      <c r="Q150" s="4821"/>
      <c r="R150" s="4821"/>
      <c r="S150" s="4821"/>
      <c r="T150" s="4821"/>
      <c r="U150" s="4821"/>
      <c r="V150" s="4821"/>
      <c r="W150" s="4821"/>
      <c r="X150" s="4821"/>
      <c r="Y150" s="4821"/>
      <c r="Z150" s="4821"/>
      <c r="AA150" s="4821"/>
      <c r="AB150" s="4821"/>
      <c r="AC150" s="4821"/>
      <c r="AD150" s="4821"/>
      <c r="AE150" s="4821"/>
      <c r="AF150" s="4837"/>
      <c r="AG150" s="4837"/>
      <c r="AH150" s="4837"/>
      <c r="AI150" s="4837"/>
      <c r="AJ150" s="4837"/>
      <c r="AK150" s="4837"/>
      <c r="AL150" s="4838">
        <v>1</v>
      </c>
    </row>
    <row r="151" spans="1:38" s="1" customFormat="1" ht="30" customHeight="1">
      <c r="A151" s="4744"/>
      <c r="B151" s="4963"/>
      <c r="C151" s="4963"/>
      <c r="D151" s="4963"/>
      <c r="E151" s="4963"/>
      <c r="F151" s="4963"/>
      <c r="G151" s="4963"/>
      <c r="H151" s="4963"/>
      <c r="I151" s="4963"/>
      <c r="J151" s="4963"/>
      <c r="K151" s="4861" t="s">
        <v>1</v>
      </c>
      <c r="L151" s="4861"/>
      <c r="M151" s="4861"/>
      <c r="N151" s="4861"/>
      <c r="O151" s="4861"/>
      <c r="P151" s="4821"/>
      <c r="Q151" s="4821"/>
      <c r="R151" s="4821"/>
      <c r="S151" s="4821"/>
      <c r="T151" s="4821"/>
      <c r="U151" s="4821"/>
      <c r="V151" s="4821"/>
      <c r="W151" s="4821"/>
      <c r="X151" s="4821"/>
      <c r="Y151" s="4821"/>
      <c r="Z151" s="4821"/>
      <c r="AA151" s="4821"/>
      <c r="AB151" s="4821"/>
      <c r="AC151" s="4821"/>
      <c r="AD151" s="4821"/>
      <c r="AE151" s="4821"/>
      <c r="AF151" s="4837"/>
      <c r="AG151" s="4837"/>
      <c r="AH151" s="4837"/>
      <c r="AI151" s="4837"/>
      <c r="AJ151" s="4837"/>
      <c r="AK151" s="4837"/>
      <c r="AL151" s="4838">
        <v>1</v>
      </c>
    </row>
    <row r="152" spans="1:38" s="1" customFormat="1" ht="30" customHeight="1">
      <c r="A152" s="4744"/>
      <c r="B152" s="4964" t="s">
        <v>7510</v>
      </c>
      <c r="C152" s="4963"/>
      <c r="D152" s="4963"/>
      <c r="E152" s="4963"/>
      <c r="F152" s="4963"/>
      <c r="G152" s="4963"/>
      <c r="H152" s="4963"/>
      <c r="I152" s="4963"/>
      <c r="J152" s="4963"/>
      <c r="K152" s="4861" t="s">
        <v>1</v>
      </c>
      <c r="L152" s="4861"/>
      <c r="M152" s="4861"/>
      <c r="N152" s="4861"/>
      <c r="O152" s="4861"/>
      <c r="P152" s="4821"/>
      <c r="Q152" s="4821"/>
      <c r="R152" s="4821"/>
      <c r="S152" s="4821"/>
      <c r="T152" s="4821"/>
      <c r="U152" s="4821"/>
      <c r="V152" s="4821"/>
      <c r="W152" s="4821"/>
      <c r="X152" s="4821"/>
      <c r="Y152" s="4821"/>
      <c r="Z152" s="4821"/>
      <c r="AA152" s="4821"/>
      <c r="AB152" s="4821"/>
      <c r="AC152" s="4821"/>
      <c r="AD152" s="4821"/>
      <c r="AE152" s="4821"/>
      <c r="AF152" s="4837"/>
      <c r="AG152" s="4837"/>
      <c r="AH152" s="4837"/>
      <c r="AI152" s="4837"/>
      <c r="AJ152" s="4837"/>
      <c r="AK152" s="4837"/>
      <c r="AL152" s="4838">
        <v>1</v>
      </c>
    </row>
    <row r="153" spans="1:38" s="1" customFormat="1" ht="30" customHeight="1">
      <c r="A153" s="4744"/>
      <c r="B153" s="4965" t="s">
        <v>7511</v>
      </c>
      <c r="C153" s="4963"/>
      <c r="D153" s="4963"/>
      <c r="E153" s="4963"/>
      <c r="F153" s="4963"/>
      <c r="G153" s="4963"/>
      <c r="H153" s="4963"/>
      <c r="I153" s="4963"/>
      <c r="J153" s="4963"/>
      <c r="K153" s="4861" t="s">
        <v>1</v>
      </c>
      <c r="L153" s="4861"/>
      <c r="M153" s="4861"/>
      <c r="N153" s="4861"/>
      <c r="O153" s="4861"/>
      <c r="P153" s="4821"/>
      <c r="Q153" s="4821"/>
      <c r="R153" s="4821"/>
      <c r="S153" s="4821"/>
      <c r="T153" s="4821"/>
      <c r="U153" s="4821"/>
      <c r="V153" s="4821"/>
      <c r="W153" s="4821"/>
      <c r="X153" s="4821"/>
      <c r="Y153" s="4821"/>
      <c r="Z153" s="4821"/>
      <c r="AA153" s="4821"/>
      <c r="AB153" s="4821"/>
      <c r="AC153" s="4821"/>
      <c r="AD153" s="4821"/>
      <c r="AE153" s="4821"/>
      <c r="AF153" s="4837"/>
      <c r="AG153" s="4837"/>
      <c r="AH153" s="4837"/>
      <c r="AI153" s="4837"/>
      <c r="AJ153" s="4837"/>
      <c r="AK153" s="4837"/>
      <c r="AL153" s="4838">
        <v>1</v>
      </c>
    </row>
    <row r="154" spans="1:38" s="1" customFormat="1" ht="30" customHeight="1">
      <c r="A154" s="4744"/>
      <c r="B154" s="4964"/>
      <c r="C154" s="4963"/>
      <c r="D154" s="4963"/>
      <c r="E154" s="4963"/>
      <c r="F154" s="4963"/>
      <c r="G154" s="4963"/>
      <c r="H154" s="4963"/>
      <c r="I154" s="4963"/>
      <c r="J154" s="4963"/>
      <c r="K154" s="4861" t="s">
        <v>1</v>
      </c>
      <c r="L154" s="4861"/>
      <c r="M154" s="4861"/>
      <c r="N154" s="4861"/>
      <c r="O154" s="4861"/>
      <c r="P154" s="4821"/>
      <c r="Q154" s="4821"/>
      <c r="R154" s="4821"/>
      <c r="S154" s="4821"/>
      <c r="T154" s="4821"/>
      <c r="U154" s="4821"/>
      <c r="V154" s="4821"/>
      <c r="W154" s="4821"/>
      <c r="X154" s="4821"/>
      <c r="Y154" s="4821"/>
      <c r="Z154" s="4821"/>
      <c r="AA154" s="4821"/>
      <c r="AB154" s="4821"/>
      <c r="AC154" s="4821"/>
      <c r="AD154" s="4821"/>
      <c r="AE154" s="4821"/>
      <c r="AF154" s="4837"/>
      <c r="AG154" s="4837"/>
      <c r="AH154" s="4837"/>
      <c r="AI154" s="4837"/>
      <c r="AJ154" s="4837"/>
      <c r="AK154" s="4837"/>
      <c r="AL154" s="4838">
        <v>1</v>
      </c>
    </row>
    <row r="155" spans="1:38" s="1" customFormat="1" ht="30" customHeight="1">
      <c r="A155" s="4744"/>
      <c r="B155" s="4964" t="s">
        <v>7512</v>
      </c>
      <c r="C155" s="4963"/>
      <c r="D155" s="4963"/>
      <c r="E155" s="4963"/>
      <c r="F155" s="4963"/>
      <c r="G155" s="4963"/>
      <c r="H155" s="4963"/>
      <c r="I155" s="4963"/>
      <c r="J155" s="4963"/>
      <c r="K155" s="4861" t="s">
        <v>1</v>
      </c>
      <c r="L155" s="4861"/>
      <c r="M155" s="4861"/>
      <c r="N155" s="4861"/>
      <c r="O155" s="4861"/>
      <c r="P155" s="4821"/>
      <c r="Q155" s="4821"/>
      <c r="R155" s="4821"/>
      <c r="S155" s="4821"/>
      <c r="T155" s="4821"/>
      <c r="U155" s="4821"/>
      <c r="V155" s="4821"/>
      <c r="W155" s="4821"/>
      <c r="X155" s="4821"/>
      <c r="Y155" s="4821"/>
      <c r="Z155" s="4821"/>
      <c r="AA155" s="4821"/>
      <c r="AB155" s="4821"/>
      <c r="AC155" s="4821"/>
      <c r="AD155" s="4821"/>
      <c r="AE155" s="4821"/>
      <c r="AF155" s="4837"/>
      <c r="AG155" s="4837"/>
      <c r="AH155" s="4837"/>
      <c r="AI155" s="4837"/>
      <c r="AJ155" s="4837"/>
      <c r="AK155" s="4837"/>
      <c r="AL155" s="4838">
        <v>1</v>
      </c>
    </row>
    <row r="156" spans="1:38" s="1" customFormat="1" ht="30" customHeight="1">
      <c r="A156" s="4744"/>
      <c r="B156" s="4965" t="s">
        <v>7513</v>
      </c>
      <c r="C156" s="4963"/>
      <c r="D156" s="4963"/>
      <c r="E156" s="4963"/>
      <c r="F156" s="4963"/>
      <c r="G156" s="4963"/>
      <c r="H156" s="4963"/>
      <c r="I156" s="4963"/>
      <c r="J156" s="4963"/>
      <c r="K156" s="4861" t="s">
        <v>1</v>
      </c>
      <c r="L156" s="4861"/>
      <c r="M156" s="4861"/>
      <c r="N156" s="4861"/>
      <c r="O156" s="4861"/>
      <c r="P156" s="4821"/>
      <c r="Q156" s="4821"/>
      <c r="R156" s="4821"/>
      <c r="S156" s="4821"/>
      <c r="T156" s="4821"/>
      <c r="U156" s="4821"/>
      <c r="V156" s="4821"/>
      <c r="W156" s="4821"/>
      <c r="X156" s="4821"/>
      <c r="Y156" s="4821"/>
      <c r="Z156" s="4821"/>
      <c r="AA156" s="4821"/>
      <c r="AB156" s="4821"/>
      <c r="AC156" s="4821"/>
      <c r="AD156" s="4821"/>
      <c r="AE156" s="4821"/>
      <c r="AF156" s="4837"/>
      <c r="AG156" s="4837"/>
      <c r="AH156" s="4837"/>
      <c r="AI156" s="4837"/>
      <c r="AJ156" s="4837"/>
      <c r="AK156" s="4837"/>
      <c r="AL156" s="4838">
        <v>1</v>
      </c>
    </row>
    <row r="157" spans="1:38" s="1" customFormat="1" ht="30" customHeight="1">
      <c r="A157" s="4744"/>
      <c r="B157" s="4965" t="s">
        <v>7514</v>
      </c>
      <c r="C157" s="4963"/>
      <c r="D157" s="4963"/>
      <c r="E157" s="4963"/>
      <c r="F157" s="4963"/>
      <c r="G157" s="4963"/>
      <c r="H157" s="4963"/>
      <c r="I157" s="4963"/>
      <c r="J157" s="4963"/>
      <c r="K157" s="4861" t="s">
        <v>1</v>
      </c>
      <c r="L157" s="4861"/>
      <c r="M157" s="4861"/>
      <c r="N157" s="4746"/>
      <c r="O157" s="4746"/>
      <c r="P157" s="4821"/>
      <c r="Q157" s="4821"/>
      <c r="R157" s="4821"/>
      <c r="S157" s="4821"/>
      <c r="T157" s="4821"/>
      <c r="U157" s="4821"/>
      <c r="V157" s="4821"/>
      <c r="W157" s="4821"/>
      <c r="X157" s="4821"/>
      <c r="Y157" s="4821"/>
      <c r="Z157" s="4821"/>
      <c r="AA157" s="4821"/>
      <c r="AB157" s="4821"/>
      <c r="AC157" s="4821"/>
      <c r="AD157" s="4821"/>
      <c r="AE157" s="4821"/>
      <c r="AF157" s="4837"/>
      <c r="AG157" s="4837"/>
      <c r="AH157" s="4837"/>
      <c r="AI157" s="4837"/>
      <c r="AJ157" s="4837"/>
      <c r="AK157" s="4837"/>
      <c r="AL157" s="4838">
        <v>1</v>
      </c>
    </row>
    <row r="158" spans="1:38" s="1" customFormat="1" ht="30" customHeight="1">
      <c r="A158" s="4744"/>
      <c r="B158" s="4964" t="s">
        <v>7515</v>
      </c>
      <c r="C158" s="4963"/>
      <c r="D158" s="4963"/>
      <c r="E158" s="4963"/>
      <c r="F158" s="4963"/>
      <c r="G158" s="4963"/>
      <c r="H158" s="4963"/>
      <c r="I158" s="4963"/>
      <c r="J158" s="4963"/>
      <c r="K158" s="4861"/>
      <c r="L158" s="4861"/>
      <c r="M158" s="4861"/>
      <c r="N158" s="4746"/>
      <c r="O158" s="4746"/>
      <c r="P158" s="4821"/>
      <c r="Q158" s="4821"/>
      <c r="R158" s="4821"/>
      <c r="S158" s="4821"/>
      <c r="T158" s="4821"/>
      <c r="U158" s="4821"/>
      <c r="V158" s="4821"/>
      <c r="W158" s="4821"/>
      <c r="X158" s="4821"/>
      <c r="Y158" s="4821"/>
      <c r="Z158" s="4821"/>
      <c r="AA158" s="4821"/>
      <c r="AB158" s="4821"/>
      <c r="AC158" s="4821"/>
      <c r="AD158" s="4821"/>
      <c r="AE158" s="4821"/>
      <c r="AF158" s="4837"/>
      <c r="AG158" s="4837"/>
      <c r="AH158" s="4837"/>
      <c r="AI158" s="4837"/>
      <c r="AJ158" s="4837"/>
      <c r="AK158" s="4837"/>
      <c r="AL158" s="4838">
        <v>1</v>
      </c>
    </row>
    <row r="159" spans="1:38" s="1" customFormat="1" ht="30" customHeight="1">
      <c r="A159" s="4744"/>
      <c r="B159" s="4965" t="s">
        <v>7516</v>
      </c>
      <c r="C159" s="4963"/>
      <c r="D159" s="4963"/>
      <c r="E159" s="4963"/>
      <c r="F159" s="4963"/>
      <c r="G159" s="4963"/>
      <c r="H159" s="4963"/>
      <c r="I159" s="4963"/>
      <c r="J159" s="4963"/>
      <c r="K159" s="4861"/>
      <c r="L159" s="4861"/>
      <c r="M159" s="4861"/>
      <c r="N159" s="4746"/>
      <c r="O159" s="4746"/>
      <c r="P159" s="4821"/>
      <c r="Q159" s="4821"/>
      <c r="R159" s="4821"/>
      <c r="S159" s="4821"/>
      <c r="T159" s="4821"/>
      <c r="U159" s="4821"/>
      <c r="V159" s="4821"/>
      <c r="W159" s="4821"/>
      <c r="X159" s="4821"/>
      <c r="Y159" s="4821"/>
      <c r="Z159" s="4821"/>
      <c r="AA159" s="4821"/>
      <c r="AB159" s="4821"/>
      <c r="AC159" s="4821"/>
      <c r="AD159" s="4821"/>
      <c r="AE159" s="4821"/>
      <c r="AF159" s="4837"/>
      <c r="AG159" s="4837"/>
      <c r="AH159" s="4837"/>
      <c r="AI159" s="4837"/>
      <c r="AJ159" s="4837"/>
      <c r="AK159" s="4837"/>
      <c r="AL159" s="4838">
        <v>1</v>
      </c>
    </row>
    <row r="160" spans="1:38" s="1" customFormat="1" ht="27">
      <c r="A160" s="4744"/>
      <c r="B160" s="4961"/>
      <c r="C160" s="4744"/>
      <c r="D160" s="4744"/>
      <c r="E160" s="4744"/>
      <c r="F160" s="4744"/>
      <c r="G160" s="4744"/>
      <c r="H160" s="4744"/>
      <c r="I160" s="4915"/>
      <c r="J160" s="4744"/>
      <c r="K160" s="4744"/>
      <c r="L160" s="4744"/>
      <c r="M160" s="4744"/>
      <c r="N160" s="4744"/>
      <c r="O160" s="4915"/>
      <c r="P160" s="4915"/>
      <c r="Q160" s="4915"/>
      <c r="R160" s="4915"/>
      <c r="S160" s="4915"/>
      <c r="T160" s="4746"/>
      <c r="U160" s="4746"/>
      <c r="V160" s="4746"/>
      <c r="W160" s="4746"/>
      <c r="X160" s="4746"/>
      <c r="Y160" s="4746"/>
      <c r="Z160" s="4746"/>
      <c r="AA160" s="4746"/>
      <c r="AB160" s="4746"/>
      <c r="AC160" s="4746"/>
      <c r="AD160" s="4746"/>
      <c r="AE160" s="4746"/>
      <c r="AF160" s="4746"/>
      <c r="AG160" s="4746"/>
      <c r="AH160" s="4746"/>
      <c r="AI160" s="4837"/>
      <c r="AJ160" s="4837"/>
      <c r="AK160" s="4837"/>
      <c r="AL160" s="4838">
        <v>1</v>
      </c>
    </row>
    <row r="161" spans="1:40" s="1" customFormat="1" ht="26.25">
      <c r="A161" s="4744"/>
      <c r="B161" s="4967" t="s">
        <v>7517</v>
      </c>
      <c r="C161" s="4968"/>
      <c r="D161" s="4969"/>
      <c r="E161" s="4916"/>
      <c r="F161" s="4970"/>
      <c r="G161" s="4970"/>
      <c r="H161" s="4970"/>
      <c r="I161" s="4970"/>
      <c r="J161" s="4971"/>
      <c r="K161" s="4971"/>
      <c r="L161" s="4746"/>
      <c r="M161" s="4746"/>
      <c r="N161" s="4746"/>
      <c r="O161" s="4746"/>
      <c r="P161" s="4837"/>
      <c r="Q161" s="4915"/>
      <c r="R161" s="4915"/>
      <c r="S161" s="4915"/>
      <c r="T161" s="4746"/>
      <c r="U161" s="4746"/>
      <c r="V161" s="4746"/>
      <c r="W161" s="4746"/>
      <c r="X161" s="4746"/>
      <c r="Y161" s="4746"/>
      <c r="Z161" s="4746"/>
      <c r="AA161" s="4746"/>
      <c r="AB161" s="4746"/>
      <c r="AC161" s="4746"/>
      <c r="AD161" s="4746"/>
      <c r="AE161" s="4746"/>
      <c r="AF161" s="4746"/>
      <c r="AG161" s="4746"/>
      <c r="AH161" s="4746"/>
      <c r="AI161" s="4837"/>
      <c r="AJ161" s="4837"/>
      <c r="AK161" s="4837"/>
      <c r="AL161" s="4838">
        <v>1</v>
      </c>
    </row>
    <row r="162" spans="1:40" s="1" customFormat="1" ht="26.25">
      <c r="A162" s="4744"/>
      <c r="B162" s="4972" t="s">
        <v>7518</v>
      </c>
      <c r="C162" s="4973"/>
      <c r="D162" s="4974"/>
      <c r="E162" s="4975"/>
      <c r="F162" s="4975"/>
      <c r="G162" s="4975"/>
      <c r="H162" s="4975"/>
      <c r="I162" s="4975"/>
      <c r="J162" s="4975"/>
      <c r="K162" s="4971">
        <v>1</v>
      </c>
      <c r="L162" s="4746"/>
      <c r="M162" s="4746"/>
      <c r="N162" s="4746"/>
      <c r="O162" s="4746"/>
      <c r="P162" s="4837"/>
      <c r="Q162" s="4915"/>
      <c r="R162" s="4915"/>
      <c r="S162" s="4915"/>
      <c r="T162" s="4746"/>
      <c r="U162" s="4746"/>
      <c r="V162" s="4746"/>
      <c r="W162" s="4746"/>
      <c r="X162" s="4746"/>
      <c r="Y162" s="4746"/>
      <c r="Z162" s="4746"/>
      <c r="AA162" s="4746"/>
      <c r="AB162" s="4746"/>
      <c r="AC162" s="4746"/>
      <c r="AD162" s="4746"/>
      <c r="AE162" s="4746"/>
      <c r="AF162" s="4746"/>
      <c r="AG162" s="4746"/>
      <c r="AH162" s="4746"/>
      <c r="AI162" s="4837"/>
      <c r="AJ162" s="4837"/>
      <c r="AK162" s="4837"/>
      <c r="AL162" s="4838">
        <v>1</v>
      </c>
    </row>
    <row r="163" spans="1:40" s="1" customFormat="1" ht="26.25">
      <c r="A163" s="4744"/>
      <c r="B163" s="4976" t="s">
        <v>7519</v>
      </c>
      <c r="C163" s="4973"/>
      <c r="D163" s="4974"/>
      <c r="E163" s="4975"/>
      <c r="F163" s="4975"/>
      <c r="G163" s="4975"/>
      <c r="H163" s="4975"/>
      <c r="I163" s="4975"/>
      <c r="J163" s="4975"/>
      <c r="K163" s="4971">
        <v>1</v>
      </c>
      <c r="L163" s="4746"/>
      <c r="M163" s="4746"/>
      <c r="N163" s="4746"/>
      <c r="O163" s="4746"/>
      <c r="P163" s="4837"/>
      <c r="Q163" s="4915"/>
      <c r="R163" s="4915"/>
      <c r="S163" s="4915"/>
      <c r="T163" s="4746"/>
      <c r="U163" s="4746"/>
      <c r="V163" s="4746"/>
      <c r="W163" s="4746"/>
      <c r="X163" s="4746"/>
      <c r="Y163" s="4746"/>
      <c r="Z163" s="4746"/>
      <c r="AA163" s="4746"/>
      <c r="AB163" s="4746"/>
      <c r="AC163" s="4746"/>
      <c r="AD163" s="4746"/>
      <c r="AE163" s="4746"/>
      <c r="AF163" s="4746"/>
      <c r="AG163" s="4746"/>
      <c r="AH163" s="4746"/>
      <c r="AI163" s="4837"/>
      <c r="AJ163" s="4837"/>
      <c r="AK163" s="4837"/>
      <c r="AL163" s="4838">
        <v>1</v>
      </c>
    </row>
    <row r="164" spans="1:40" s="1" customFormat="1" ht="26.25">
      <c r="A164" s="4744"/>
      <c r="B164" s="4977" t="s">
        <v>7520</v>
      </c>
      <c r="C164" s="4968"/>
      <c r="D164" s="4978"/>
      <c r="E164" s="4916"/>
      <c r="F164" s="4979" t="s">
        <v>7521</v>
      </c>
      <c r="G164" s="4970"/>
      <c r="H164" s="4970"/>
      <c r="I164" s="4970"/>
      <c r="J164" s="4971"/>
      <c r="K164" s="4971"/>
      <c r="L164" s="4746"/>
      <c r="M164" s="4746"/>
      <c r="N164" s="4746"/>
      <c r="O164" s="4746"/>
      <c r="P164" s="4837"/>
      <c r="Q164" s="4915"/>
      <c r="R164" s="4915"/>
      <c r="S164" s="4915"/>
      <c r="T164" s="4746"/>
      <c r="U164" s="4746"/>
      <c r="V164" s="4746"/>
      <c r="W164" s="4746"/>
      <c r="X164" s="4746"/>
      <c r="Y164" s="4746"/>
      <c r="Z164" s="4746"/>
      <c r="AA164" s="4746"/>
      <c r="AB164" s="4746"/>
      <c r="AC164" s="4746"/>
      <c r="AD164" s="4746"/>
      <c r="AE164" s="4746"/>
      <c r="AF164" s="4746"/>
      <c r="AG164" s="4746"/>
      <c r="AH164" s="4746"/>
      <c r="AI164" s="4837"/>
      <c r="AJ164" s="4837"/>
      <c r="AK164" s="4837"/>
      <c r="AL164" s="4838">
        <v>1</v>
      </c>
    </row>
    <row r="165" spans="1:40" s="1" customFormat="1" ht="26.25">
      <c r="A165" s="4744"/>
      <c r="B165" s="4980"/>
      <c r="C165" s="4981" t="s">
        <v>7522</v>
      </c>
      <c r="D165" s="4978"/>
      <c r="E165" s="4916"/>
      <c r="F165" s="4970"/>
      <c r="G165" s="4970"/>
      <c r="H165" s="4970"/>
      <c r="I165" s="4970"/>
      <c r="J165" s="4971">
        <v>1</v>
      </c>
      <c r="K165" s="4971">
        <v>1</v>
      </c>
      <c r="L165" s="4746"/>
      <c r="M165" s="4746"/>
      <c r="N165" s="4746"/>
      <c r="O165" s="4746"/>
      <c r="P165" s="4837"/>
      <c r="Q165" s="4915"/>
      <c r="R165" s="4915"/>
      <c r="S165" s="4915"/>
      <c r="T165" s="4746"/>
      <c r="U165" s="4746"/>
      <c r="V165" s="4746"/>
      <c r="W165" s="4746"/>
      <c r="X165" s="4746"/>
      <c r="Y165" s="4746"/>
      <c r="Z165" s="4746"/>
      <c r="AA165" s="4746"/>
      <c r="AB165" s="4746"/>
      <c r="AC165" s="4746"/>
      <c r="AD165" s="4746"/>
      <c r="AE165" s="4746"/>
      <c r="AF165" s="4746"/>
      <c r="AG165" s="4746"/>
      <c r="AH165" s="4746"/>
      <c r="AI165" s="4837"/>
      <c r="AJ165" s="4837"/>
      <c r="AK165" s="4837"/>
      <c r="AL165" s="4838">
        <v>1</v>
      </c>
    </row>
    <row r="166" spans="1:40" s="1" customFormat="1" ht="26.25">
      <c r="A166" s="4744"/>
      <c r="B166" s="4982" t="str">
        <f>IF(B165="","",IF(AND(CODE(LEFT(B165,1))=66,CODE(RIGHT(B165,1))=90),"",CHOOSE(MATCH((LEN(B165)&amp;CODE(RIGHT(B165,1)))*1,{165;190;265;290},1),CHAR(CODE(B165)+1),"AA",LEFT(B165,1)&amp;CHAR(CODE(RIGHT(B165,1))+1),"BA",LEFT(B165,2)&amp;CHAR(CODE(RIGHT(B165,1))+1))))</f>
        <v/>
      </c>
      <c r="C166" s="4983" t="str">
        <f ca="1">_xlfn.FORMULATEXT(B166)</f>
        <v>=SI(B165="";"";SI(ET(CODE(GAUCHE(B165;1))=66;CODE(DROITE(B165;1))=90);"";CHOISIR(EQUIV((NBCAR(B165)&amp;CODE(DROITE(B165;1)))*1;{165;190;265;290};1);CAR(CODE(B165)+1);"AA";GAUCHE(B165;1)&amp;CAR(CODE(DROITE(B165;1))+1);"BA";GAUCHE(B165;2)&amp;CAR(CODE(DROITE(B165;1))+1))))</v>
      </c>
      <c r="D166" s="4978"/>
      <c r="E166" s="4916"/>
      <c r="F166" s="4970"/>
      <c r="G166" s="4970"/>
      <c r="H166" s="4970"/>
      <c r="I166" s="4970"/>
      <c r="J166" s="4971"/>
      <c r="K166" s="4971"/>
      <c r="L166" s="4746"/>
      <c r="M166" s="4746"/>
      <c r="N166" s="4746"/>
      <c r="O166" s="4746"/>
      <c r="P166" s="4837"/>
      <c r="Q166" s="4915"/>
      <c r="R166" s="4915"/>
      <c r="S166" s="4915"/>
      <c r="T166" s="4746"/>
      <c r="U166" s="4746"/>
      <c r="V166" s="4746"/>
      <c r="W166" s="4746"/>
      <c r="X166" s="4746"/>
      <c r="Y166" s="4746"/>
      <c r="Z166" s="4746"/>
      <c r="AA166" s="4746"/>
      <c r="AB166" s="4746"/>
      <c r="AC166" s="4746"/>
      <c r="AD166" s="4746"/>
      <c r="AE166" s="4746"/>
      <c r="AF166" s="4746"/>
      <c r="AG166" s="4746"/>
      <c r="AH166" s="4746"/>
      <c r="AI166" s="4837"/>
      <c r="AJ166" s="4837"/>
      <c r="AK166" s="4837"/>
      <c r="AL166" s="4838">
        <v>1</v>
      </c>
    </row>
    <row r="167" spans="1:40" s="1" customFormat="1" ht="26.25">
      <c r="A167" s="4744"/>
      <c r="B167" s="4982"/>
      <c r="C167" s="4983"/>
      <c r="D167" s="4978"/>
      <c r="E167" s="4916"/>
      <c r="F167" s="4970"/>
      <c r="G167" s="4970"/>
      <c r="H167" s="4970"/>
      <c r="I167" s="4970"/>
      <c r="J167" s="4971"/>
      <c r="K167" s="4971"/>
      <c r="L167" s="4746"/>
      <c r="M167" s="4746"/>
      <c r="N167" s="4746"/>
      <c r="O167" s="4746"/>
      <c r="P167" s="4837"/>
      <c r="Q167" s="4915"/>
      <c r="R167" s="4915"/>
      <c r="S167" s="4915"/>
      <c r="T167" s="4746"/>
      <c r="U167" s="4746"/>
      <c r="V167" s="4746"/>
      <c r="W167" s="4746"/>
      <c r="X167" s="4746"/>
      <c r="Y167" s="4746"/>
      <c r="Z167" s="4746"/>
      <c r="AA167" s="4746"/>
      <c r="AB167" s="4746"/>
      <c r="AC167" s="4746"/>
      <c r="AD167" s="4746"/>
      <c r="AE167" s="4746"/>
      <c r="AF167" s="4746"/>
      <c r="AG167" s="4746"/>
      <c r="AH167" s="4746"/>
      <c r="AI167" s="4837"/>
      <c r="AJ167" s="4837"/>
      <c r="AK167" s="4837"/>
      <c r="AL167" s="4838">
        <v>1</v>
      </c>
    </row>
    <row r="168" spans="1:40" s="1" customFormat="1" ht="26.25">
      <c r="A168" s="4744"/>
      <c r="B168" s="4967" t="s">
        <v>1045</v>
      </c>
      <c r="C168" s="4967"/>
      <c r="D168" s="4967"/>
      <c r="E168" s="4967"/>
      <c r="F168" s="4967"/>
      <c r="G168" s="4967"/>
      <c r="H168" s="4746"/>
      <c r="I168" s="4918"/>
      <c r="J168" s="4746"/>
      <c r="K168" s="4746"/>
      <c r="L168" s="4746"/>
      <c r="M168" s="4746"/>
      <c r="N168" s="4746"/>
      <c r="O168" s="4746"/>
      <c r="P168" s="4837"/>
      <c r="Q168" s="4915"/>
      <c r="R168" s="4915"/>
      <c r="S168" s="4915"/>
      <c r="T168" s="4746"/>
      <c r="U168" s="4746"/>
      <c r="V168" s="4746"/>
      <c r="W168" s="4746"/>
      <c r="X168" s="4746"/>
      <c r="Y168" s="4746"/>
      <c r="Z168" s="4746"/>
      <c r="AA168" s="4746"/>
      <c r="AB168" s="4746"/>
      <c r="AC168" s="4746"/>
      <c r="AD168" s="4746"/>
      <c r="AE168" s="4746"/>
      <c r="AF168" s="4746"/>
      <c r="AG168" s="4746"/>
      <c r="AH168" s="4746"/>
      <c r="AI168" s="4837"/>
      <c r="AJ168" s="4837"/>
      <c r="AK168" s="4837"/>
      <c r="AL168" s="4838">
        <v>1</v>
      </c>
    </row>
    <row r="169" spans="1:40" s="1" customFormat="1" ht="26.25">
      <c r="A169" s="4744"/>
      <c r="B169" s="4967" t="s">
        <v>7523</v>
      </c>
      <c r="C169" s="4967"/>
      <c r="D169" s="4967"/>
      <c r="E169" s="4967"/>
      <c r="F169" s="4967"/>
      <c r="G169" s="4967"/>
      <c r="H169" s="4746"/>
      <c r="I169" s="4918"/>
      <c r="J169" s="4746"/>
      <c r="K169" s="4746"/>
      <c r="L169" s="4746"/>
      <c r="M169" s="4746"/>
      <c r="N169" s="4746"/>
      <c r="O169" s="4746"/>
      <c r="P169" s="4837"/>
      <c r="Q169" s="4915"/>
      <c r="R169" s="4915"/>
      <c r="S169" s="4915"/>
      <c r="T169" s="4746"/>
      <c r="U169" s="4746"/>
      <c r="V169" s="4746"/>
      <c r="W169" s="4746"/>
      <c r="X169" s="4746"/>
      <c r="Y169" s="4746"/>
      <c r="Z169" s="4746"/>
      <c r="AA169" s="4746"/>
      <c r="AB169" s="4746"/>
      <c r="AC169" s="4746"/>
      <c r="AD169" s="4746"/>
      <c r="AE169" s="4746"/>
      <c r="AF169" s="4746"/>
      <c r="AG169" s="4746"/>
      <c r="AH169" s="4746"/>
      <c r="AI169" s="4837"/>
      <c r="AJ169" s="4837"/>
      <c r="AK169" s="4837"/>
      <c r="AL169" s="4838">
        <v>1</v>
      </c>
    </row>
    <row r="170" spans="1:40" s="1" customFormat="1" ht="26.25">
      <c r="A170" s="4744"/>
      <c r="B170" s="4984" t="s">
        <v>255</v>
      </c>
      <c r="C170" s="4967" t="s">
        <v>7524</v>
      </c>
      <c r="D170" s="4918"/>
      <c r="E170" s="4918"/>
      <c r="F170" s="4918"/>
      <c r="G170" s="4918"/>
      <c r="H170" s="4746"/>
      <c r="I170" s="4918"/>
      <c r="J170" s="4746"/>
      <c r="K170" s="4746"/>
      <c r="L170" s="4746"/>
      <c r="M170" s="4746"/>
      <c r="N170" s="4746"/>
      <c r="O170" s="4746"/>
      <c r="P170" s="4837"/>
      <c r="Q170" s="4915"/>
      <c r="R170" s="4915"/>
      <c r="S170" s="4915"/>
      <c r="T170" s="4746"/>
      <c r="U170" s="4746"/>
      <c r="V170" s="4746"/>
      <c r="W170" s="4746"/>
      <c r="X170" s="4746"/>
      <c r="Y170" s="4746"/>
      <c r="Z170" s="4746"/>
      <c r="AA170" s="4746"/>
      <c r="AB170" s="4746"/>
      <c r="AC170" s="4746"/>
      <c r="AD170" s="4746"/>
      <c r="AE170" s="4746"/>
      <c r="AF170" s="4746"/>
      <c r="AG170" s="4746"/>
      <c r="AH170" s="4746"/>
      <c r="AI170" s="4837"/>
      <c r="AJ170" s="4837"/>
      <c r="AK170" s="4837"/>
      <c r="AL170" s="4838">
        <v>1</v>
      </c>
    </row>
    <row r="171" spans="1:40" s="1" customFormat="1" ht="26.25">
      <c r="A171" s="4744"/>
      <c r="B171" s="4985" t="str">
        <f>IF(COLUMN()-COLUMN(B171)+1&lt;=26, CHAR(64+COLUMN()-COLUMN(B171)+1), CHAR(64+INT((COLUMN()-COLUMN(B171))/26))&amp;CHAR(64+MOD(COLUMN()-COLUMN(B171)-1,26)+1))</f>
        <v>A</v>
      </c>
      <c r="C171" s="4980" t="s">
        <v>1802</v>
      </c>
      <c r="D171" s="4980" t="s">
        <v>1896</v>
      </c>
      <c r="E171" s="4980" t="s">
        <v>1753</v>
      </c>
      <c r="F171" s="4980" t="s">
        <v>7525</v>
      </c>
      <c r="G171" s="4918"/>
      <c r="H171" s="4746"/>
      <c r="I171" s="4918"/>
      <c r="J171" s="4746"/>
      <c r="K171" s="4746"/>
      <c r="L171" s="4746"/>
      <c r="M171" s="4746"/>
      <c r="N171" s="4746"/>
      <c r="O171" s="4746"/>
      <c r="P171" s="4837"/>
      <c r="Q171" s="4915"/>
      <c r="R171" s="4915"/>
      <c r="S171" s="4915"/>
      <c r="T171" s="4746"/>
      <c r="U171" s="4746"/>
      <c r="V171" s="4746"/>
      <c r="W171" s="4746"/>
      <c r="X171" s="4746"/>
      <c r="Y171" s="4746"/>
      <c r="Z171" s="4746"/>
      <c r="AA171" s="4746"/>
      <c r="AB171" s="4746"/>
      <c r="AC171" s="4746"/>
      <c r="AD171" s="4746"/>
      <c r="AE171" s="4746"/>
      <c r="AF171" s="4746"/>
      <c r="AG171" s="4746"/>
      <c r="AH171" s="4746"/>
      <c r="AI171" s="4837"/>
      <c r="AJ171" s="4837"/>
      <c r="AK171" s="4837"/>
      <c r="AL171" s="4838">
        <v>1</v>
      </c>
    </row>
    <row r="172" spans="1:40" s="1" customFormat="1" ht="26.25">
      <c r="A172" s="4744"/>
      <c r="B172" s="4967" t="s">
        <v>7526</v>
      </c>
      <c r="C172" s="4969"/>
      <c r="D172" s="4917"/>
      <c r="E172" s="4917"/>
      <c r="F172" s="4917"/>
      <c r="G172" s="4917"/>
      <c r="H172" s="4917"/>
      <c r="I172" s="4917"/>
      <c r="J172" s="4746"/>
      <c r="K172" s="4746"/>
      <c r="L172" s="4746"/>
      <c r="M172" s="4746"/>
      <c r="N172" s="4746"/>
      <c r="O172" s="4746"/>
      <c r="P172" s="4837"/>
      <c r="Q172" s="4915"/>
      <c r="R172" s="4915"/>
      <c r="S172" s="4915"/>
      <c r="T172" s="4746"/>
      <c r="U172" s="4746"/>
      <c r="V172" s="4746"/>
      <c r="W172" s="4746"/>
      <c r="X172" s="4746"/>
      <c r="Y172" s="4746"/>
      <c r="Z172" s="4746"/>
      <c r="AA172" s="4746"/>
      <c r="AB172" s="4746"/>
      <c r="AC172" s="4746"/>
      <c r="AD172" s="4746"/>
      <c r="AE172" s="4746"/>
      <c r="AF172" s="4746"/>
      <c r="AG172" s="4746"/>
      <c r="AH172" s="4746"/>
      <c r="AI172" s="4837"/>
      <c r="AJ172" s="4837"/>
      <c r="AK172" s="4837"/>
      <c r="AL172" s="4838">
        <v>1</v>
      </c>
    </row>
    <row r="173" spans="1:40" s="1" customFormat="1" ht="26.25">
      <c r="A173" s="4744"/>
      <c r="B173" s="4982"/>
      <c r="C173" s="4983"/>
      <c r="D173" s="4978"/>
      <c r="E173" s="4916"/>
      <c r="F173" s="4970"/>
      <c r="G173" s="4970"/>
      <c r="H173" s="4970"/>
      <c r="I173" s="4970"/>
      <c r="J173" s="4971"/>
      <c r="K173" s="4971"/>
      <c r="L173" s="4746"/>
      <c r="M173" s="4746"/>
      <c r="N173" s="4746"/>
      <c r="O173" s="4746"/>
      <c r="P173" s="4837"/>
      <c r="Q173" s="4915"/>
      <c r="R173" s="4915"/>
      <c r="S173" s="4915"/>
      <c r="T173" s="4746"/>
      <c r="U173" s="4746"/>
      <c r="V173" s="4746"/>
      <c r="W173" s="4746"/>
      <c r="X173" s="4746"/>
      <c r="Y173" s="4746"/>
      <c r="Z173" s="4746"/>
      <c r="AA173" s="4746"/>
      <c r="AB173" s="4746"/>
      <c r="AC173" s="4746"/>
      <c r="AD173" s="4746"/>
      <c r="AE173" s="4746"/>
      <c r="AF173" s="4746"/>
      <c r="AG173" s="4746"/>
      <c r="AH173" s="4746"/>
      <c r="AI173" s="4837"/>
      <c r="AJ173" s="4837"/>
      <c r="AK173" s="4837"/>
      <c r="AL173" s="4838">
        <v>1</v>
      </c>
    </row>
    <row r="174" spans="1:40" s="1" customFormat="1" ht="26.25">
      <c r="A174" s="4744"/>
      <c r="B174" s="4982"/>
      <c r="C174" s="4983"/>
      <c r="D174" s="4978"/>
      <c r="E174" s="4916"/>
      <c r="F174" s="4970"/>
      <c r="G174" s="4970"/>
      <c r="H174" s="4970"/>
      <c r="I174" s="4970"/>
      <c r="J174" s="4971"/>
      <c r="K174" s="4971"/>
      <c r="L174" s="4746"/>
      <c r="M174" s="4746"/>
      <c r="N174" s="4746"/>
      <c r="O174" s="4746"/>
      <c r="P174" s="4837"/>
      <c r="Q174" s="4915"/>
      <c r="R174" s="4915"/>
      <c r="S174" s="4915"/>
      <c r="T174" s="4746"/>
      <c r="U174" s="4746"/>
      <c r="V174" s="4746"/>
      <c r="W174" s="4746"/>
      <c r="X174" s="4746"/>
      <c r="Y174" s="4746"/>
      <c r="Z174" s="4746"/>
      <c r="AA174" s="4746"/>
      <c r="AB174" s="4746"/>
      <c r="AC174" s="4746"/>
      <c r="AD174" s="4746"/>
      <c r="AE174" s="4746"/>
      <c r="AF174" s="4746"/>
      <c r="AG174" s="4746"/>
      <c r="AH174" s="4746"/>
      <c r="AI174" s="4837"/>
      <c r="AJ174" s="4837"/>
      <c r="AK174" s="4837"/>
      <c r="AL174" s="4838">
        <v>1</v>
      </c>
    </row>
    <row r="175" spans="1:40" s="4766" customFormat="1" ht="40.5" customHeight="1">
      <c r="A175" s="4744"/>
      <c r="B175" s="4986" t="s">
        <v>7527</v>
      </c>
      <c r="C175" s="4744"/>
      <c r="D175" s="4744"/>
      <c r="E175" s="4744"/>
      <c r="F175" s="4744"/>
      <c r="G175" s="4744"/>
      <c r="H175" s="4744"/>
      <c r="I175" s="4821"/>
      <c r="J175" s="4744"/>
      <c r="K175" s="4744"/>
      <c r="L175" s="4744"/>
      <c r="M175" s="4744"/>
      <c r="N175" s="4744"/>
      <c r="O175" s="4821"/>
      <c r="P175" s="4821"/>
      <c r="Q175" s="4821"/>
      <c r="R175" s="4821"/>
      <c r="S175" s="4821"/>
      <c r="T175" s="4986" t="s">
        <v>7528</v>
      </c>
      <c r="U175" s="4746"/>
      <c r="V175" s="4746"/>
      <c r="W175" s="4746"/>
      <c r="X175" s="4746"/>
      <c r="Y175" s="4746"/>
      <c r="Z175" s="4987"/>
      <c r="AA175" s="4987"/>
      <c r="AB175" s="4987"/>
      <c r="AC175" s="4987"/>
      <c r="AD175" s="4987"/>
      <c r="AE175" s="4987"/>
      <c r="AF175" s="4987"/>
      <c r="AG175" s="4987"/>
      <c r="AH175" s="4988"/>
      <c r="AI175" s="4988"/>
      <c r="AJ175" s="4746"/>
      <c r="AK175" s="4746"/>
      <c r="AL175" s="4838">
        <v>1</v>
      </c>
      <c r="AM175" s="1"/>
      <c r="AN175" s="1"/>
    </row>
    <row r="176" spans="1:40" s="4766" customFormat="1" ht="40.5" customHeight="1">
      <c r="A176" s="4744"/>
      <c r="B176" s="4961"/>
      <c r="C176" s="4895" t="s">
        <v>7529</v>
      </c>
      <c r="D176" s="4744"/>
      <c r="E176" s="4989" t="s">
        <v>7530</v>
      </c>
      <c r="F176" s="4821"/>
      <c r="G176" s="4990" t="s">
        <v>7531</v>
      </c>
      <c r="H176" s="4744"/>
      <c r="I176" s="4821"/>
      <c r="J176" s="4751" t="s">
        <v>7532</v>
      </c>
      <c r="K176" s="4744"/>
      <c r="L176" s="4744"/>
      <c r="M176" s="4744"/>
      <c r="N176" s="4744"/>
      <c r="O176" s="4821"/>
      <c r="P176" s="4821"/>
      <c r="Q176" s="4821"/>
      <c r="R176" s="4821"/>
      <c r="S176" s="4821"/>
      <c r="T176" s="4991" t="s">
        <v>7533</v>
      </c>
      <c r="U176" s="4992"/>
      <c r="V176" s="4993">
        <v>15.5</v>
      </c>
      <c r="W176" s="4746"/>
      <c r="X176" s="4994">
        <v>15.5</v>
      </c>
      <c r="Y176" s="4746"/>
      <c r="Z176" s="4987"/>
      <c r="AA176" s="4987"/>
      <c r="AB176" s="4987"/>
      <c r="AC176" s="4987"/>
      <c r="AD176" s="4987"/>
      <c r="AE176" s="4987"/>
      <c r="AF176" s="4987"/>
      <c r="AG176" s="4987"/>
      <c r="AH176" s="4988"/>
      <c r="AI176" s="4988"/>
      <c r="AJ176" s="4746"/>
      <c r="AK176" s="4746"/>
      <c r="AL176" s="4838">
        <v>1</v>
      </c>
      <c r="AM176" s="1"/>
      <c r="AN176" s="1"/>
    </row>
    <row r="177" spans="1:40" s="4766" customFormat="1" ht="40.5" customHeight="1">
      <c r="A177" s="4744"/>
      <c r="B177" s="4961"/>
      <c r="C177" s="4895" t="s">
        <v>7534</v>
      </c>
      <c r="D177" s="4744"/>
      <c r="E177" s="4989" t="s">
        <v>7535</v>
      </c>
      <c r="F177" s="4821"/>
      <c r="G177" s="4990" t="s">
        <v>7536</v>
      </c>
      <c r="H177" s="4744"/>
      <c r="I177" s="4821"/>
      <c r="J177" s="4751" t="s">
        <v>7537</v>
      </c>
      <c r="K177" s="4744"/>
      <c r="L177" s="4744"/>
      <c r="M177" s="4744"/>
      <c r="N177" s="4744"/>
      <c r="O177" s="4821"/>
      <c r="P177" s="4821"/>
      <c r="Q177" s="4821"/>
      <c r="R177" s="4821"/>
      <c r="S177" s="4821"/>
      <c r="T177" s="4995" t="s">
        <v>7538</v>
      </c>
      <c r="U177" s="4992"/>
      <c r="V177" s="4989" t="s">
        <v>608</v>
      </c>
      <c r="W177" s="4746"/>
      <c r="X177" s="4996" t="s">
        <v>1034</v>
      </c>
      <c r="Y177" s="4746"/>
      <c r="Z177" s="4987"/>
      <c r="AA177" s="4987"/>
      <c r="AB177" s="4987"/>
      <c r="AC177" s="4987"/>
      <c r="AD177" s="4987"/>
      <c r="AE177" s="4987"/>
      <c r="AF177" s="4987"/>
      <c r="AG177" s="4987"/>
      <c r="AH177" s="4988"/>
      <c r="AI177" s="4988"/>
      <c r="AJ177" s="4746"/>
      <c r="AK177" s="4746"/>
      <c r="AL177" s="4838">
        <v>1</v>
      </c>
      <c r="AM177" s="1"/>
      <c r="AN177" s="1"/>
    </row>
    <row r="178" spans="1:40" s="4766" customFormat="1" ht="40.5" customHeight="1">
      <c r="A178" s="4744"/>
      <c r="B178" s="4961"/>
      <c r="C178" s="4744"/>
      <c r="D178" s="4744"/>
      <c r="E178" s="4744"/>
      <c r="F178" s="4744"/>
      <c r="G178" s="4744"/>
      <c r="H178" s="4744"/>
      <c r="I178" s="4821"/>
      <c r="J178" s="4744"/>
      <c r="K178" s="4744"/>
      <c r="L178" s="4744"/>
      <c r="M178" s="4744"/>
      <c r="N178" s="4744"/>
      <c r="O178" s="4821"/>
      <c r="P178" s="4821"/>
      <c r="Q178" s="4821"/>
      <c r="R178" s="4821"/>
      <c r="S178" s="4821"/>
      <c r="T178" s="4746"/>
      <c r="U178" s="4746"/>
      <c r="V178" s="4746"/>
      <c r="W178" s="4746"/>
      <c r="X178" s="4746"/>
      <c r="Y178" s="4746"/>
      <c r="Z178" s="4987"/>
      <c r="AA178" s="4987"/>
      <c r="AB178" s="4987"/>
      <c r="AC178" s="4987"/>
      <c r="AD178" s="4987"/>
      <c r="AE178" s="4987"/>
      <c r="AF178" s="4987"/>
      <c r="AG178" s="4987"/>
      <c r="AH178" s="4988"/>
      <c r="AI178" s="4988"/>
      <c r="AJ178" s="4746"/>
      <c r="AK178" s="4746"/>
      <c r="AL178" s="4838">
        <v>1</v>
      </c>
      <c r="AM178" s="1"/>
      <c r="AN178" s="1"/>
    </row>
    <row r="179" spans="1:40" s="4766" customFormat="1" ht="40.5" customHeight="1">
      <c r="A179" s="4744"/>
      <c r="B179" s="4986" t="s">
        <v>7539</v>
      </c>
      <c r="C179" s="4744"/>
      <c r="D179" s="4744"/>
      <c r="E179" s="4744"/>
      <c r="F179" s="4744"/>
      <c r="G179" s="4744"/>
      <c r="H179" s="4744"/>
      <c r="I179" s="4821"/>
      <c r="J179" s="4744"/>
      <c r="K179" s="4744"/>
      <c r="L179" s="4744"/>
      <c r="M179" s="4744"/>
      <c r="N179" s="4744"/>
      <c r="O179" s="4821"/>
      <c r="P179" s="4821"/>
      <c r="Q179" s="4821"/>
      <c r="R179" s="4821"/>
      <c r="S179" s="4821"/>
      <c r="T179" s="4746"/>
      <c r="U179" s="4746"/>
      <c r="V179" s="4746"/>
      <c r="W179" s="4746"/>
      <c r="X179" s="4746"/>
      <c r="Y179" s="4746"/>
      <c r="Z179" s="4746"/>
      <c r="AA179" s="4746"/>
      <c r="AB179" s="4746"/>
      <c r="AC179" s="4746"/>
      <c r="AD179" s="4746"/>
      <c r="AE179" s="4746"/>
      <c r="AF179" s="4746"/>
      <c r="AG179" s="4746"/>
      <c r="AH179" s="4746"/>
      <c r="AI179" s="4746"/>
      <c r="AJ179" s="4746"/>
      <c r="AK179" s="4746"/>
      <c r="AL179" s="4838">
        <v>1</v>
      </c>
      <c r="AM179" s="1"/>
      <c r="AN179" s="1"/>
    </row>
    <row r="180" spans="1:40" s="4766" customFormat="1" ht="40.5" customHeight="1">
      <c r="A180" s="4744"/>
      <c r="B180" s="4961"/>
      <c r="C180" s="4997" t="s">
        <v>7540</v>
      </c>
      <c r="D180" s="4744"/>
      <c r="E180" s="4744"/>
      <c r="F180" s="4744"/>
      <c r="G180" s="4744"/>
      <c r="H180" s="4998" t="s">
        <v>7541</v>
      </c>
      <c r="I180" s="4998"/>
      <c r="J180" s="4744"/>
      <c r="K180" s="4744"/>
      <c r="L180" s="4744"/>
      <c r="M180" s="4744"/>
      <c r="N180" s="4744"/>
      <c r="O180" s="4821"/>
      <c r="P180" s="4821"/>
      <c r="Q180" s="4821"/>
      <c r="R180" s="4821"/>
      <c r="S180" s="4999" t="s">
        <v>7542</v>
      </c>
      <c r="T180" s="4999"/>
      <c r="U180" s="4746"/>
      <c r="V180" s="4746"/>
      <c r="W180" s="4746"/>
      <c r="X180" s="4746"/>
      <c r="Y180" s="5000" t="s">
        <v>7543</v>
      </c>
      <c r="Z180" s="4746"/>
      <c r="AA180" s="4746"/>
      <c r="AB180" s="4746"/>
      <c r="AC180" s="4746"/>
      <c r="AD180" s="4746"/>
      <c r="AE180" s="4746"/>
      <c r="AF180" s="4746"/>
      <c r="AG180" s="4746"/>
      <c r="AH180" s="4746"/>
      <c r="AI180" s="4746"/>
      <c r="AJ180" s="4746"/>
      <c r="AK180" s="4746"/>
      <c r="AL180" s="4838">
        <v>1</v>
      </c>
      <c r="AM180" s="1"/>
      <c r="AN180" s="1"/>
    </row>
    <row r="181" spans="1:40" s="4766" customFormat="1" ht="40.5" customHeight="1">
      <c r="A181" s="4744"/>
      <c r="B181" s="4961"/>
      <c r="C181" s="5001" t="s">
        <v>7544</v>
      </c>
      <c r="D181" s="4744"/>
      <c r="E181" s="4744"/>
      <c r="F181" s="4744"/>
      <c r="G181" s="4744"/>
      <c r="H181" s="5002" t="s">
        <v>7545</v>
      </c>
      <c r="I181" s="5002"/>
      <c r="J181" s="4744"/>
      <c r="K181" s="4744"/>
      <c r="L181" s="4744"/>
      <c r="M181" s="4744"/>
      <c r="N181" s="4744"/>
      <c r="O181" s="4821"/>
      <c r="P181" s="4821"/>
      <c r="Q181" s="4821"/>
      <c r="R181" s="4821"/>
      <c r="S181" s="5003" t="s">
        <v>7546</v>
      </c>
      <c r="T181" s="5003"/>
      <c r="U181" s="4746"/>
      <c r="V181" s="4746"/>
      <c r="W181" s="4746"/>
      <c r="X181" s="4746"/>
      <c r="Y181" s="5004" t="s">
        <v>7547</v>
      </c>
      <c r="Z181" s="4746"/>
      <c r="AA181" s="4746"/>
      <c r="AB181" s="4746"/>
      <c r="AC181" s="4746"/>
      <c r="AD181" s="4746"/>
      <c r="AE181" s="4746"/>
      <c r="AF181" s="4746"/>
      <c r="AG181" s="4746"/>
      <c r="AH181" s="4746"/>
      <c r="AI181" s="4746"/>
      <c r="AJ181" s="4746"/>
      <c r="AK181" s="4746"/>
      <c r="AL181" s="4838">
        <v>1</v>
      </c>
      <c r="AM181" s="1"/>
      <c r="AN181" s="1"/>
    </row>
    <row r="182" spans="1:40" s="4766" customFormat="1" ht="40.5" customHeight="1">
      <c r="A182" s="4744"/>
      <c r="B182" s="4961"/>
      <c r="C182" s="5005" t="s">
        <v>7548</v>
      </c>
      <c r="D182" s="4744"/>
      <c r="E182" s="4744"/>
      <c r="F182" s="4744"/>
      <c r="G182" s="4744"/>
      <c r="H182" s="4744"/>
      <c r="I182" s="4821"/>
      <c r="J182" s="4744"/>
      <c r="K182" s="4744"/>
      <c r="L182" s="4744"/>
      <c r="M182" s="4744"/>
      <c r="N182" s="4744"/>
      <c r="O182" s="4821"/>
      <c r="P182" s="4821"/>
      <c r="Q182" s="4821"/>
      <c r="R182" s="4821"/>
      <c r="S182" s="4821"/>
      <c r="T182" s="4746"/>
      <c r="U182" s="4746"/>
      <c r="V182" s="4746"/>
      <c r="W182" s="4746"/>
      <c r="X182" s="4746"/>
      <c r="Y182" s="4746"/>
      <c r="Z182" s="4746"/>
      <c r="AA182" s="4746"/>
      <c r="AB182" s="4746"/>
      <c r="AC182" s="4746"/>
      <c r="AD182" s="4746"/>
      <c r="AE182" s="4746"/>
      <c r="AF182" s="4746"/>
      <c r="AG182" s="4746"/>
      <c r="AH182" s="4746"/>
      <c r="AI182" s="4746"/>
      <c r="AJ182" s="4746"/>
      <c r="AK182" s="4746"/>
      <c r="AL182" s="4838">
        <v>1</v>
      </c>
      <c r="AM182" s="1"/>
      <c r="AN182" s="1"/>
    </row>
    <row r="183" spans="1:40" ht="27">
      <c r="A183" s="4744"/>
      <c r="B183" s="4961"/>
      <c r="C183" s="4744"/>
      <c r="D183" s="4744"/>
      <c r="E183" s="4744"/>
      <c r="F183" s="4744"/>
      <c r="G183" s="4744"/>
      <c r="H183" s="4744"/>
      <c r="I183" s="4915"/>
      <c r="J183" s="4744"/>
      <c r="K183" s="4744"/>
      <c r="L183" s="4744"/>
      <c r="M183" s="4744"/>
      <c r="N183" s="4744"/>
      <c r="O183" s="4915"/>
      <c r="P183" s="4915"/>
      <c r="Q183" s="4915"/>
      <c r="R183" s="4915"/>
      <c r="S183" s="4915"/>
      <c r="T183" s="4746"/>
      <c r="U183" s="4746"/>
      <c r="V183" s="4746"/>
      <c r="W183" s="4746"/>
      <c r="X183" s="4746"/>
      <c r="Y183" s="4746"/>
      <c r="Z183" s="4746"/>
      <c r="AA183" s="4746"/>
      <c r="AB183" s="4746"/>
      <c r="AC183" s="4746"/>
      <c r="AD183" s="4746"/>
      <c r="AE183" s="4746"/>
      <c r="AF183" s="4746"/>
      <c r="AG183" s="4746"/>
      <c r="AH183" s="4746"/>
      <c r="AI183" s="4837"/>
      <c r="AJ183" s="4837"/>
      <c r="AK183" s="4837"/>
      <c r="AL183" s="4838">
        <v>1</v>
      </c>
    </row>
    <row r="184" spans="1:40" customFormat="1" ht="30" customHeight="1">
      <c r="A184" s="4971"/>
      <c r="B184" s="4971"/>
      <c r="C184" s="4971"/>
      <c r="D184" s="5006" t="s">
        <v>7549</v>
      </c>
      <c r="E184" s="5006"/>
      <c r="F184" s="5006"/>
      <c r="G184" s="5006"/>
      <c r="H184" s="5006"/>
      <c r="I184" s="5006"/>
      <c r="J184" s="5006"/>
      <c r="K184" s="5006"/>
      <c r="L184" s="5006"/>
      <c r="M184" s="5006"/>
      <c r="N184" s="5006"/>
      <c r="O184" s="5006"/>
      <c r="P184" s="4971"/>
      <c r="Q184" s="4971"/>
      <c r="R184" s="4971"/>
      <c r="S184" s="4971"/>
      <c r="T184" s="4971"/>
      <c r="U184" s="4971"/>
      <c r="V184" s="4971"/>
      <c r="W184" s="4971"/>
      <c r="X184" s="4971"/>
      <c r="Y184" s="4821"/>
      <c r="Z184" s="4821"/>
      <c r="AA184" s="4821"/>
      <c r="AB184" s="4821"/>
      <c r="AC184" s="4821"/>
      <c r="AD184" s="4821"/>
      <c r="AE184" s="4821"/>
      <c r="AF184" s="4821"/>
      <c r="AG184" s="4821"/>
      <c r="AH184" s="4821"/>
      <c r="AI184" s="4821"/>
      <c r="AJ184" s="4837"/>
      <c r="AK184" s="4837"/>
      <c r="AL184" s="4838">
        <v>1</v>
      </c>
      <c r="AM184" s="1"/>
      <c r="AN184" s="1"/>
    </row>
    <row r="185" spans="1:40" customFormat="1" ht="30" customHeight="1">
      <c r="A185" s="4971"/>
      <c r="B185" s="4971"/>
      <c r="C185" s="4971"/>
      <c r="D185" s="5006" t="s">
        <v>7550</v>
      </c>
      <c r="E185" s="5006"/>
      <c r="F185" s="5006"/>
      <c r="G185" s="5006"/>
      <c r="H185" s="5006"/>
      <c r="I185" s="5006"/>
      <c r="J185" s="5006"/>
      <c r="K185" s="5006"/>
      <c r="L185" s="5006"/>
      <c r="M185" s="5006"/>
      <c r="N185" s="5006"/>
      <c r="O185" s="5006"/>
      <c r="P185" s="4971"/>
      <c r="Q185" s="4971"/>
      <c r="R185" s="4971"/>
      <c r="S185" s="4971"/>
      <c r="T185" s="4971"/>
      <c r="U185" s="4971"/>
      <c r="V185" s="4971"/>
      <c r="W185" s="4971"/>
      <c r="X185" s="4971"/>
      <c r="Y185" s="4821"/>
      <c r="Z185" s="4821"/>
      <c r="AA185" s="4821"/>
      <c r="AB185" s="4821"/>
      <c r="AC185" s="4821"/>
      <c r="AD185" s="4821"/>
      <c r="AE185" s="4821"/>
      <c r="AF185" s="4821"/>
      <c r="AG185" s="4821"/>
      <c r="AH185" s="4821"/>
      <c r="AI185" s="4821"/>
      <c r="AJ185" s="4837"/>
      <c r="AK185" s="4837"/>
      <c r="AL185" s="4838">
        <v>1</v>
      </c>
      <c r="AM185" s="1"/>
      <c r="AN185" s="1"/>
    </row>
    <row r="186" spans="1:40" customFormat="1" ht="30" customHeight="1">
      <c r="A186" s="4971"/>
      <c r="B186" s="4971"/>
      <c r="C186" s="4971"/>
      <c r="D186" s="5006" t="s">
        <v>7551</v>
      </c>
      <c r="E186" s="5006"/>
      <c r="F186" s="5006"/>
      <c r="G186" s="5006"/>
      <c r="H186" s="5006"/>
      <c r="I186" s="5006"/>
      <c r="J186" s="5006"/>
      <c r="K186" s="5006"/>
      <c r="L186" s="5006"/>
      <c r="M186" s="5006"/>
      <c r="N186" s="5006"/>
      <c r="O186" s="5006"/>
      <c r="P186" s="4971"/>
      <c r="Q186" s="4971"/>
      <c r="R186" s="4971"/>
      <c r="S186" s="4971"/>
      <c r="T186" s="4971"/>
      <c r="U186" s="4971"/>
      <c r="V186" s="4971"/>
      <c r="W186" s="4971"/>
      <c r="X186" s="4971"/>
      <c r="Y186" s="4821"/>
      <c r="Z186" s="4821"/>
      <c r="AA186" s="4821"/>
      <c r="AB186" s="4821"/>
      <c r="AC186" s="4821"/>
      <c r="AD186" s="4821"/>
      <c r="AE186" s="4821"/>
      <c r="AF186" s="4821"/>
      <c r="AG186" s="4821"/>
      <c r="AH186" s="4821"/>
      <c r="AI186" s="4821"/>
      <c r="AJ186" s="4837"/>
      <c r="AK186" s="4837"/>
      <c r="AL186" s="4838">
        <v>1</v>
      </c>
      <c r="AM186" s="1"/>
      <c r="AN186" s="1"/>
    </row>
    <row r="187" spans="1:40" customFormat="1" ht="30" customHeight="1">
      <c r="A187" s="4971"/>
      <c r="B187" s="4971"/>
      <c r="C187" s="4971"/>
      <c r="D187" s="5006" t="s">
        <v>7552</v>
      </c>
      <c r="E187" s="5006"/>
      <c r="F187" s="5006"/>
      <c r="G187" s="5006"/>
      <c r="H187" s="5006"/>
      <c r="I187" s="5006"/>
      <c r="J187" s="5006"/>
      <c r="K187" s="5006"/>
      <c r="L187" s="5006"/>
      <c r="M187" s="5006"/>
      <c r="N187" s="5006"/>
      <c r="O187" s="5006"/>
      <c r="P187" s="4971"/>
      <c r="Q187" s="4971"/>
      <c r="R187" s="4971"/>
      <c r="S187" s="4971"/>
      <c r="T187" s="4971"/>
      <c r="U187" s="4971"/>
      <c r="V187" s="4971"/>
      <c r="W187" s="4971"/>
      <c r="X187" s="4971"/>
      <c r="Y187" s="4821"/>
      <c r="Z187" s="4821"/>
      <c r="AA187" s="4821"/>
      <c r="AB187" s="4821"/>
      <c r="AC187" s="4821"/>
      <c r="AD187" s="4821"/>
      <c r="AE187" s="4821"/>
      <c r="AF187" s="4821"/>
      <c r="AG187" s="4821"/>
      <c r="AH187" s="4821"/>
      <c r="AI187" s="4821"/>
      <c r="AJ187" s="4837"/>
      <c r="AK187" s="4837"/>
      <c r="AL187" s="4838">
        <v>1</v>
      </c>
      <c r="AM187" s="1"/>
      <c r="AN187" s="1"/>
    </row>
    <row r="188" spans="1:40" customFormat="1" ht="30" customHeight="1">
      <c r="A188" s="4971"/>
      <c r="B188" s="4971"/>
      <c r="C188" s="4971"/>
      <c r="D188" s="5007" t="s">
        <v>7553</v>
      </c>
      <c r="E188" s="5006"/>
      <c r="F188" s="5008"/>
      <c r="G188" s="5006"/>
      <c r="H188" s="5006"/>
      <c r="I188" s="5006"/>
      <c r="J188" s="5006"/>
      <c r="K188" s="5008"/>
      <c r="L188" s="5008"/>
      <c r="M188" s="5008"/>
      <c r="N188" s="5008"/>
      <c r="O188" s="5008"/>
      <c r="P188" s="4971"/>
      <c r="Q188" s="4971"/>
      <c r="R188" s="4971"/>
      <c r="S188" s="4971"/>
      <c r="T188" s="4971"/>
      <c r="U188" s="4971"/>
      <c r="V188" s="4971"/>
      <c r="W188" s="4971"/>
      <c r="X188" s="4971"/>
      <c r="Y188" s="4821"/>
      <c r="Z188" s="4821"/>
      <c r="AA188" s="4821"/>
      <c r="AB188" s="4821"/>
      <c r="AC188" s="4821"/>
      <c r="AD188" s="4821"/>
      <c r="AE188" s="4821"/>
      <c r="AF188" s="4821"/>
      <c r="AG188" s="4821"/>
      <c r="AH188" s="4821"/>
      <c r="AI188" s="4821"/>
      <c r="AJ188" s="4837"/>
      <c r="AK188" s="4837"/>
      <c r="AL188" s="4838">
        <v>1</v>
      </c>
      <c r="AM188" s="1"/>
      <c r="AN188" s="1"/>
    </row>
    <row r="189" spans="1:40" customFormat="1" ht="30" customHeight="1">
      <c r="A189" s="4971"/>
      <c r="B189" s="4971"/>
      <c r="C189" s="4971"/>
      <c r="D189" s="4971"/>
      <c r="E189" s="4971"/>
      <c r="F189" s="4971"/>
      <c r="G189" s="4971"/>
      <c r="H189" s="4971"/>
      <c r="I189" s="4971"/>
      <c r="J189" s="4971"/>
      <c r="K189" s="4971"/>
      <c r="L189" s="4971"/>
      <c r="M189" s="4971"/>
      <c r="N189" s="4971"/>
      <c r="O189" s="4971"/>
      <c r="P189" s="4971"/>
      <c r="Q189" s="4971"/>
      <c r="R189" s="4971"/>
      <c r="S189" s="4971"/>
      <c r="T189" s="4971"/>
      <c r="U189" s="4971"/>
      <c r="V189" s="4971"/>
      <c r="W189" s="4971"/>
      <c r="X189" s="4971"/>
      <c r="Y189" s="4821"/>
      <c r="Z189" s="4821"/>
      <c r="AA189" s="4821"/>
      <c r="AB189" s="4821"/>
      <c r="AC189" s="4821"/>
      <c r="AD189" s="4821"/>
      <c r="AE189" s="4821"/>
      <c r="AF189" s="4821"/>
      <c r="AG189" s="4821"/>
      <c r="AH189" s="4821"/>
      <c r="AI189" s="4821"/>
      <c r="AJ189" s="4837"/>
      <c r="AK189" s="4837"/>
      <c r="AL189" s="4838">
        <v>1</v>
      </c>
      <c r="AM189" s="1"/>
      <c r="AN189" s="1"/>
    </row>
    <row r="190" spans="1:40" customFormat="1" ht="30" customHeight="1">
      <c r="A190" s="4971"/>
      <c r="B190" s="4971"/>
      <c r="C190" s="4971"/>
      <c r="D190" s="5144" t="s">
        <v>7554</v>
      </c>
      <c r="E190" s="5144"/>
      <c r="F190" s="5144"/>
      <c r="G190" s="5144"/>
      <c r="H190" s="5147" t="s">
        <v>7555</v>
      </c>
      <c r="I190" s="5147" t="s">
        <v>7555</v>
      </c>
      <c r="J190" s="5147" t="s">
        <v>7555</v>
      </c>
      <c r="K190" s="5147" t="s">
        <v>7555</v>
      </c>
      <c r="L190" s="5144"/>
      <c r="M190" s="5144"/>
      <c r="N190" s="5144"/>
      <c r="O190" s="4971"/>
      <c r="P190" s="4971"/>
      <c r="Q190" s="4971"/>
      <c r="R190" s="4971"/>
      <c r="S190" s="4971"/>
      <c r="T190" s="4971"/>
      <c r="U190" s="4971"/>
      <c r="V190" s="4971"/>
      <c r="W190" s="4971"/>
      <c r="X190" s="5009"/>
      <c r="Y190" s="4821"/>
      <c r="Z190" s="4821"/>
      <c r="AA190" s="4821"/>
      <c r="AB190" s="4821"/>
      <c r="AC190" s="4821"/>
      <c r="AD190" s="4821"/>
      <c r="AE190" s="4821"/>
      <c r="AF190" s="4821"/>
      <c r="AG190" s="4821"/>
      <c r="AH190" s="4821"/>
      <c r="AI190" s="4821"/>
      <c r="AJ190" s="4837"/>
      <c r="AK190" s="4837"/>
      <c r="AL190" s="4838">
        <v>1</v>
      </c>
      <c r="AM190" s="1"/>
      <c r="AN190" s="1"/>
    </row>
    <row r="191" spans="1:40" customFormat="1" ht="30" customHeight="1">
      <c r="A191" s="4971"/>
      <c r="B191" s="4971"/>
      <c r="C191" s="4971"/>
      <c r="D191" s="5143" t="s">
        <v>7841</v>
      </c>
      <c r="E191" s="5144"/>
      <c r="F191" s="5144"/>
      <c r="G191" s="5144"/>
      <c r="H191" s="5144"/>
      <c r="I191" s="5144"/>
      <c r="J191" s="5144"/>
      <c r="K191" s="5144"/>
      <c r="L191" s="5144"/>
      <c r="M191" s="5144"/>
      <c r="N191" s="5144"/>
      <c r="O191" s="4971"/>
      <c r="P191" s="4971"/>
      <c r="Q191" s="4971"/>
      <c r="R191" s="4971"/>
      <c r="S191" s="4971"/>
      <c r="T191" s="4971"/>
      <c r="U191" s="4971"/>
      <c r="V191" s="4971"/>
      <c r="W191" s="4971"/>
      <c r="X191" s="5009"/>
      <c r="Y191" s="4821"/>
      <c r="Z191" s="4821"/>
      <c r="AA191" s="4821"/>
      <c r="AB191" s="4821"/>
      <c r="AC191" s="4821"/>
      <c r="AD191" s="4821"/>
      <c r="AE191" s="4821"/>
      <c r="AF191" s="4821"/>
      <c r="AG191" s="4821"/>
      <c r="AH191" s="4821"/>
      <c r="AI191" s="4821"/>
      <c r="AJ191" s="4971"/>
      <c r="AK191" s="4971"/>
      <c r="AL191" s="4838">
        <v>1</v>
      </c>
      <c r="AM191" s="1"/>
      <c r="AN191" s="1"/>
    </row>
    <row r="192" spans="1:40" customFormat="1" ht="30" customHeight="1">
      <c r="A192" s="4971"/>
      <c r="B192" s="4971"/>
      <c r="C192" s="4971"/>
      <c r="D192" s="5144" t="s">
        <v>7556</v>
      </c>
      <c r="E192" s="5144"/>
      <c r="F192" s="5144"/>
      <c r="G192" s="5144"/>
      <c r="H192" s="5144"/>
      <c r="I192" s="5144"/>
      <c r="J192" s="5144"/>
      <c r="K192" s="5144"/>
      <c r="L192" s="5144"/>
      <c r="M192" s="5144"/>
      <c r="N192" s="5144"/>
      <c r="O192" s="4971"/>
      <c r="P192" s="4971"/>
      <c r="Q192" s="4971"/>
      <c r="R192" s="4971"/>
      <c r="S192" s="4971"/>
      <c r="T192" s="4971"/>
      <c r="U192" s="4971"/>
      <c r="V192" s="4971"/>
      <c r="W192" s="4971"/>
      <c r="X192" s="4971"/>
      <c r="Y192" s="4821"/>
      <c r="Z192" s="4821"/>
      <c r="AA192" s="4821"/>
      <c r="AB192" s="4821"/>
      <c r="AC192" s="4821"/>
      <c r="AD192" s="4821"/>
      <c r="AE192" s="4821"/>
      <c r="AF192" s="4821"/>
      <c r="AG192" s="4821"/>
      <c r="AH192" s="4821"/>
      <c r="AI192" s="4821"/>
      <c r="AJ192" s="4971"/>
      <c r="AK192" s="4971"/>
      <c r="AL192" s="4838">
        <v>1</v>
      </c>
      <c r="AM192" s="1"/>
      <c r="AN192" s="1"/>
    </row>
    <row r="193" spans="1:40" customFormat="1" ht="30" customHeight="1">
      <c r="A193" s="4971"/>
      <c r="B193" s="4971"/>
      <c r="C193" s="4971"/>
      <c r="D193" s="5148" t="s">
        <v>7557</v>
      </c>
      <c r="E193" s="5144"/>
      <c r="F193" s="5144"/>
      <c r="G193" s="5144"/>
      <c r="H193" s="5144"/>
      <c r="I193" s="5144"/>
      <c r="J193" s="5144"/>
      <c r="K193" s="5144"/>
      <c r="L193" s="5144"/>
      <c r="M193" s="5144"/>
      <c r="N193" s="5144"/>
      <c r="O193" s="4971"/>
      <c r="P193" s="4971"/>
      <c r="Q193" s="4971"/>
      <c r="R193" s="4971"/>
      <c r="S193" s="4971"/>
      <c r="T193" s="4971"/>
      <c r="U193" s="4971"/>
      <c r="V193" s="4971"/>
      <c r="W193" s="4971"/>
      <c r="X193" s="4971"/>
      <c r="Y193" s="4821"/>
      <c r="Z193" s="4821"/>
      <c r="AA193" s="4821"/>
      <c r="AB193" s="4821"/>
      <c r="AC193" s="4821"/>
      <c r="AD193" s="4821"/>
      <c r="AE193" s="4821"/>
      <c r="AF193" s="4821"/>
      <c r="AG193" s="4821"/>
      <c r="AH193" s="4821"/>
      <c r="AI193" s="4821"/>
      <c r="AJ193" s="4971"/>
      <c r="AK193" s="4971"/>
      <c r="AL193" s="4838">
        <v>1</v>
      </c>
      <c r="AM193" s="1"/>
      <c r="AN193" s="1"/>
    </row>
    <row r="194" spans="1:40" customFormat="1" ht="30" customHeight="1">
      <c r="A194" s="4971"/>
      <c r="B194" s="4971"/>
      <c r="C194" s="4971"/>
      <c r="D194" s="5145" t="s">
        <v>7558</v>
      </c>
      <c r="E194" s="5144"/>
      <c r="F194" s="5144"/>
      <c r="G194" s="5144"/>
      <c r="H194" s="5144"/>
      <c r="I194" s="5144"/>
      <c r="J194" s="5144"/>
      <c r="K194" s="5144"/>
      <c r="L194" s="5144"/>
      <c r="M194" s="5144"/>
      <c r="N194" s="5144"/>
      <c r="O194" s="4971"/>
      <c r="P194" s="4971"/>
      <c r="Q194" s="4971"/>
      <c r="R194" s="4971"/>
      <c r="S194" s="4971"/>
      <c r="T194" s="4971"/>
      <c r="U194" s="4971"/>
      <c r="V194" s="4971"/>
      <c r="W194" s="4971"/>
      <c r="X194" s="4971"/>
      <c r="Y194" s="4821"/>
      <c r="Z194" s="4821"/>
      <c r="AA194" s="4821"/>
      <c r="AB194" s="4821"/>
      <c r="AC194" s="4821"/>
      <c r="AD194" s="4821"/>
      <c r="AE194" s="4821"/>
      <c r="AF194" s="4821"/>
      <c r="AG194" s="4821"/>
      <c r="AH194" s="4821"/>
      <c r="AI194" s="4821"/>
      <c r="AJ194" s="4971"/>
      <c r="AK194" s="4971"/>
      <c r="AL194" s="4838">
        <v>1</v>
      </c>
      <c r="AM194" s="1"/>
      <c r="AN194" s="1"/>
    </row>
    <row r="195" spans="1:40" customFormat="1" ht="30" customHeight="1">
      <c r="A195" s="4971"/>
      <c r="B195" s="4971"/>
      <c r="C195" s="4971"/>
      <c r="D195" s="4971"/>
      <c r="E195" s="4971"/>
      <c r="F195" s="4971"/>
      <c r="G195" s="4971"/>
      <c r="H195" s="4971"/>
      <c r="I195" s="4971"/>
      <c r="J195" s="4971"/>
      <c r="K195" s="4971"/>
      <c r="L195" s="4971"/>
      <c r="M195" s="4971"/>
      <c r="N195" s="4971"/>
      <c r="O195" s="4971"/>
      <c r="P195" s="4971"/>
      <c r="Q195" s="4971"/>
      <c r="R195" s="4971"/>
      <c r="S195" s="4971"/>
      <c r="T195" s="4971"/>
      <c r="U195" s="4971"/>
      <c r="V195" s="4971"/>
      <c r="W195" s="4971"/>
      <c r="X195" s="4971"/>
      <c r="Y195" s="4821"/>
      <c r="Z195" s="4821"/>
      <c r="AA195" s="4821"/>
      <c r="AB195" s="4821"/>
      <c r="AC195" s="4821"/>
      <c r="AD195" s="4821"/>
      <c r="AE195" s="4821"/>
      <c r="AF195" s="4821"/>
      <c r="AG195" s="4821"/>
      <c r="AH195" s="4821"/>
      <c r="AI195" s="4821"/>
      <c r="AJ195" s="4971"/>
      <c r="AK195" s="4971"/>
      <c r="AL195" s="4838">
        <v>1</v>
      </c>
      <c r="AM195" s="1"/>
      <c r="AN195" s="1"/>
    </row>
    <row r="196" spans="1:40" customFormat="1" ht="30" customHeight="1">
      <c r="A196" s="4971"/>
      <c r="B196" s="4971"/>
      <c r="C196" s="4971"/>
      <c r="D196" s="5143" t="s">
        <v>7559</v>
      </c>
      <c r="E196" s="5144"/>
      <c r="F196" s="5144"/>
      <c r="G196" s="5144"/>
      <c r="H196" s="5144"/>
      <c r="I196" s="5144"/>
      <c r="J196" s="5144"/>
      <c r="K196" s="5144"/>
      <c r="L196" s="5144"/>
      <c r="M196" s="5144"/>
      <c r="N196" s="4971"/>
      <c r="O196" s="4971"/>
      <c r="P196" s="4971"/>
      <c r="Q196" s="4971"/>
      <c r="R196" s="4971"/>
      <c r="S196" s="4971"/>
      <c r="T196" s="4971"/>
      <c r="U196" s="4971"/>
      <c r="V196" s="4971"/>
      <c r="W196" s="4971"/>
      <c r="X196" s="4971"/>
      <c r="Y196" s="4821"/>
      <c r="Z196" s="4821"/>
      <c r="AA196" s="4821"/>
      <c r="AB196" s="4821"/>
      <c r="AC196" s="4821"/>
      <c r="AD196" s="4821"/>
      <c r="AE196" s="4821"/>
      <c r="AF196" s="4821"/>
      <c r="AG196" s="4821"/>
      <c r="AH196" s="4821"/>
      <c r="AI196" s="4821"/>
      <c r="AJ196" s="4971"/>
      <c r="AK196" s="4971"/>
      <c r="AL196" s="4838">
        <v>1</v>
      </c>
      <c r="AM196" s="1"/>
      <c r="AN196" s="1"/>
    </row>
    <row r="197" spans="1:40" customFormat="1" ht="30" customHeight="1">
      <c r="A197" s="4971"/>
      <c r="B197" s="4971"/>
      <c r="C197" s="4971"/>
      <c r="D197" s="5144" t="s">
        <v>7560</v>
      </c>
      <c r="E197" s="5144"/>
      <c r="F197" s="5144"/>
      <c r="G197" s="5144"/>
      <c r="H197" s="5144"/>
      <c r="I197" s="5144"/>
      <c r="J197" s="5144"/>
      <c r="K197" s="5144"/>
      <c r="L197" s="5144"/>
      <c r="M197" s="5144"/>
      <c r="N197" s="4971"/>
      <c r="O197" s="4971"/>
      <c r="P197" s="4971"/>
      <c r="Q197" s="4971"/>
      <c r="R197" s="4971"/>
      <c r="S197" s="4971"/>
      <c r="T197" s="4971"/>
      <c r="U197" s="4971"/>
      <c r="V197" s="4971"/>
      <c r="W197" s="4971"/>
      <c r="X197" s="4971"/>
      <c r="Y197" s="4821"/>
      <c r="Z197" s="4821"/>
      <c r="AA197" s="4821"/>
      <c r="AB197" s="4821"/>
      <c r="AC197" s="4821"/>
      <c r="AD197" s="4821"/>
      <c r="AE197" s="4821"/>
      <c r="AF197" s="4821"/>
      <c r="AG197" s="4821"/>
      <c r="AH197" s="4821"/>
      <c r="AI197" s="4821"/>
      <c r="AJ197" s="4971"/>
      <c r="AK197" s="4971"/>
      <c r="AL197" s="4838">
        <v>1</v>
      </c>
      <c r="AM197" s="1"/>
      <c r="AN197" s="1"/>
    </row>
    <row r="198" spans="1:40" customFormat="1" ht="30" customHeight="1">
      <c r="A198" s="4971"/>
      <c r="B198" s="4971"/>
      <c r="C198" s="4971"/>
      <c r="D198" s="5144" t="s">
        <v>7561</v>
      </c>
      <c r="E198" s="5144"/>
      <c r="F198" s="5144"/>
      <c r="G198" s="5144"/>
      <c r="H198" s="5144"/>
      <c r="I198" s="5144"/>
      <c r="J198" s="5144"/>
      <c r="K198" s="5144"/>
      <c r="L198" s="5144"/>
      <c r="M198" s="5144"/>
      <c r="N198" s="4971"/>
      <c r="O198" s="4971"/>
      <c r="P198" s="4971"/>
      <c r="Q198" s="4971"/>
      <c r="R198" s="4971"/>
      <c r="S198" s="4971"/>
      <c r="T198" s="4971"/>
      <c r="U198" s="4971"/>
      <c r="V198" s="4971"/>
      <c r="W198" s="4971"/>
      <c r="X198" s="4971"/>
      <c r="Y198" s="4821"/>
      <c r="Z198" s="4821"/>
      <c r="AA198" s="4821"/>
      <c r="AB198" s="4821"/>
      <c r="AC198" s="4821"/>
      <c r="AD198" s="4821"/>
      <c r="AE198" s="4821"/>
      <c r="AF198" s="4821"/>
      <c r="AG198" s="4821"/>
      <c r="AH198" s="4821"/>
      <c r="AI198" s="4821"/>
      <c r="AJ198" s="4971"/>
      <c r="AK198" s="4971"/>
      <c r="AL198" s="4838">
        <v>1</v>
      </c>
      <c r="AM198" s="1"/>
      <c r="AN198" s="1"/>
    </row>
    <row r="199" spans="1:40" customFormat="1" ht="30" customHeight="1">
      <c r="A199" s="4971"/>
      <c r="B199" s="4971"/>
      <c r="C199" s="4971"/>
      <c r="D199" s="5144" t="s">
        <v>7562</v>
      </c>
      <c r="E199" s="5144"/>
      <c r="F199" s="5144"/>
      <c r="G199" s="5144"/>
      <c r="H199" s="5144"/>
      <c r="I199" s="5144"/>
      <c r="J199" s="5144"/>
      <c r="K199" s="5144"/>
      <c r="L199" s="5144"/>
      <c r="M199" s="5144"/>
      <c r="N199" s="4971"/>
      <c r="O199" s="4971"/>
      <c r="P199" s="4971"/>
      <c r="Q199" s="4971"/>
      <c r="R199" s="4971"/>
      <c r="S199" s="4971"/>
      <c r="T199" s="4971"/>
      <c r="U199" s="4971"/>
      <c r="V199" s="4971"/>
      <c r="W199" s="4971"/>
      <c r="X199" s="4971"/>
      <c r="Y199" s="4821"/>
      <c r="Z199" s="4821"/>
      <c r="AA199" s="4821"/>
      <c r="AB199" s="4821"/>
      <c r="AC199" s="4821"/>
      <c r="AD199" s="4821"/>
      <c r="AE199" s="4821"/>
      <c r="AF199" s="4821"/>
      <c r="AG199" s="4821"/>
      <c r="AH199" s="4821"/>
      <c r="AI199" s="4821"/>
      <c r="AJ199" s="4971"/>
      <c r="AK199" s="4971"/>
      <c r="AL199" s="4838">
        <v>1</v>
      </c>
      <c r="AM199" s="1"/>
      <c r="AN199" s="1"/>
    </row>
    <row r="200" spans="1:40" customFormat="1" ht="30" customHeight="1">
      <c r="A200" s="4971"/>
      <c r="B200" s="4971"/>
      <c r="C200" s="4971"/>
      <c r="D200" s="5144" t="s">
        <v>7563</v>
      </c>
      <c r="E200" s="5144"/>
      <c r="F200" s="5144"/>
      <c r="G200" s="5144"/>
      <c r="H200" s="5144"/>
      <c r="I200" s="5144"/>
      <c r="J200" s="5144"/>
      <c r="K200" s="5144"/>
      <c r="L200" s="5144"/>
      <c r="M200" s="5144"/>
      <c r="N200" s="4971"/>
      <c r="O200" s="4971"/>
      <c r="P200" s="4971"/>
      <c r="Q200" s="4971"/>
      <c r="R200" s="4971"/>
      <c r="S200" s="4971"/>
      <c r="T200" s="4971"/>
      <c r="U200" s="4971"/>
      <c r="V200" s="4971"/>
      <c r="W200" s="4971"/>
      <c r="X200" s="4971"/>
      <c r="Y200" s="4821"/>
      <c r="Z200" s="4821"/>
      <c r="AA200" s="4821"/>
      <c r="AB200" s="4821"/>
      <c r="AC200" s="4821"/>
      <c r="AD200" s="4821"/>
      <c r="AE200" s="4821"/>
      <c r="AF200" s="4821"/>
      <c r="AG200" s="4821"/>
      <c r="AH200" s="4821"/>
      <c r="AI200" s="4821"/>
      <c r="AJ200" s="4971"/>
      <c r="AK200" s="4971"/>
      <c r="AL200" s="4838">
        <v>1</v>
      </c>
      <c r="AM200" s="1"/>
      <c r="AN200" s="1"/>
    </row>
    <row r="201" spans="1:40" customFormat="1" ht="30" customHeight="1">
      <c r="A201" s="4971"/>
      <c r="B201" s="4971"/>
      <c r="C201" s="4971"/>
      <c r="D201" s="5144" t="s">
        <v>7564</v>
      </c>
      <c r="E201" s="5144"/>
      <c r="F201" s="5144"/>
      <c r="G201" s="5144"/>
      <c r="H201" s="5144"/>
      <c r="I201" s="5144"/>
      <c r="J201" s="5144"/>
      <c r="K201" s="5144"/>
      <c r="L201" s="5144"/>
      <c r="M201" s="5144"/>
      <c r="N201" s="4971"/>
      <c r="O201" s="4971"/>
      <c r="P201" s="4971"/>
      <c r="Q201" s="4971"/>
      <c r="R201" s="4971"/>
      <c r="S201" s="4971"/>
      <c r="T201" s="4971"/>
      <c r="U201" s="4971"/>
      <c r="V201" s="4971"/>
      <c r="W201" s="4971"/>
      <c r="X201" s="4971"/>
      <c r="Y201" s="4971"/>
      <c r="Z201" s="4971"/>
      <c r="AA201" s="4971"/>
      <c r="AB201" s="4971"/>
      <c r="AC201" s="4971"/>
      <c r="AD201" s="4971"/>
      <c r="AE201" s="4971"/>
      <c r="AF201" s="4971"/>
      <c r="AG201" s="4971"/>
      <c r="AH201" s="4971"/>
      <c r="AI201" s="4971"/>
      <c r="AJ201" s="4971"/>
      <c r="AK201" s="4971"/>
      <c r="AL201" s="4838">
        <v>1</v>
      </c>
      <c r="AM201" s="1"/>
      <c r="AN201" s="1"/>
    </row>
    <row r="202" spans="1:40" customFormat="1" ht="30" customHeight="1">
      <c r="A202" s="4971"/>
      <c r="B202" s="4971"/>
      <c r="C202" s="4971"/>
      <c r="D202" s="5145" t="s">
        <v>7565</v>
      </c>
      <c r="E202" s="5144"/>
      <c r="F202" s="5144"/>
      <c r="G202" s="5144"/>
      <c r="H202" s="5144"/>
      <c r="I202" s="5144"/>
      <c r="J202" s="5144"/>
      <c r="K202" s="5144"/>
      <c r="L202" s="5144"/>
      <c r="M202" s="5144"/>
      <c r="N202" s="4971"/>
      <c r="O202" s="4971"/>
      <c r="P202" s="4971"/>
      <c r="Q202" s="4971"/>
      <c r="R202" s="4971"/>
      <c r="S202" s="4971"/>
      <c r="T202" s="4971"/>
      <c r="U202" s="4971"/>
      <c r="V202" s="4971"/>
      <c r="W202" s="4971"/>
      <c r="X202" s="4971"/>
      <c r="Y202" s="4971"/>
      <c r="Z202" s="4971"/>
      <c r="AA202" s="4971"/>
      <c r="AB202" s="4971"/>
      <c r="AC202" s="4971"/>
      <c r="AD202" s="4971"/>
      <c r="AE202" s="4971"/>
      <c r="AF202" s="4971"/>
      <c r="AG202" s="4971"/>
      <c r="AH202" s="4971"/>
      <c r="AI202" s="4971"/>
      <c r="AJ202" s="4971"/>
      <c r="AK202" s="4971"/>
      <c r="AL202" s="4838">
        <v>1</v>
      </c>
      <c r="AM202" s="1"/>
      <c r="AN202" s="1"/>
    </row>
    <row r="203" spans="1:40" customFormat="1" ht="30" customHeight="1">
      <c r="A203" s="4971"/>
      <c r="B203" s="4971"/>
      <c r="C203" s="4971"/>
      <c r="D203" s="5145" t="s">
        <v>7566</v>
      </c>
      <c r="E203" s="5144"/>
      <c r="F203" s="5144"/>
      <c r="G203" s="5144"/>
      <c r="H203" s="5144"/>
      <c r="I203" s="5144"/>
      <c r="J203" s="5144"/>
      <c r="K203" s="5144"/>
      <c r="L203" s="5144"/>
      <c r="M203" s="5144"/>
      <c r="N203" s="4971"/>
      <c r="O203" s="4971"/>
      <c r="P203" s="4971"/>
      <c r="Q203" s="4971"/>
      <c r="R203" s="4971"/>
      <c r="S203" s="4971"/>
      <c r="T203" s="4971"/>
      <c r="U203" s="4971"/>
      <c r="V203" s="4971"/>
      <c r="W203" s="4971"/>
      <c r="X203" s="4971"/>
      <c r="Y203" s="4971"/>
      <c r="Z203" s="4971"/>
      <c r="AA203" s="4971"/>
      <c r="AB203" s="4971"/>
      <c r="AC203" s="4971"/>
      <c r="AD203" s="4971"/>
      <c r="AE203" s="4971"/>
      <c r="AF203" s="4971"/>
      <c r="AG203" s="4971"/>
      <c r="AH203" s="4971"/>
      <c r="AI203" s="4971"/>
      <c r="AJ203" s="4971"/>
      <c r="AK203" s="4971"/>
      <c r="AL203" s="4838">
        <v>1</v>
      </c>
      <c r="AM203" s="1"/>
      <c r="AN203" s="1"/>
    </row>
    <row r="204" spans="1:40" customFormat="1" ht="30" customHeight="1">
      <c r="A204" s="4971"/>
      <c r="B204" s="4971"/>
      <c r="C204" s="4971"/>
      <c r="D204" s="4971"/>
      <c r="E204" s="4971"/>
      <c r="F204" s="4971"/>
      <c r="G204" s="4971"/>
      <c r="H204" s="4971"/>
      <c r="I204" s="4971"/>
      <c r="J204" s="4971"/>
      <c r="K204" s="4971"/>
      <c r="L204" s="4971"/>
      <c r="M204" s="4971"/>
      <c r="N204" s="4971"/>
      <c r="O204" s="4971"/>
      <c r="P204" s="4971"/>
      <c r="Q204" s="4971"/>
      <c r="R204" s="4971"/>
      <c r="S204" s="4971"/>
      <c r="T204" s="4971"/>
      <c r="U204" s="4971"/>
      <c r="V204" s="4971"/>
      <c r="W204" s="4971"/>
      <c r="X204" s="4971"/>
      <c r="Y204" s="4971"/>
      <c r="Z204" s="4971"/>
      <c r="AA204" s="4971"/>
      <c r="AB204" s="4971"/>
      <c r="AC204" s="4971"/>
      <c r="AD204" s="4971"/>
      <c r="AE204" s="4971"/>
      <c r="AF204" s="4971"/>
      <c r="AG204" s="4971"/>
      <c r="AH204" s="4971"/>
      <c r="AI204" s="4971"/>
      <c r="AJ204" s="4971"/>
      <c r="AK204" s="4971"/>
      <c r="AL204" s="4838">
        <v>1</v>
      </c>
      <c r="AM204" s="1"/>
      <c r="AN204" s="1"/>
    </row>
    <row r="205" spans="1:40" customFormat="1" ht="30" customHeight="1">
      <c r="A205" s="4971"/>
      <c r="B205" s="4971"/>
      <c r="C205" s="4971"/>
      <c r="D205" s="5138" t="s">
        <v>7567</v>
      </c>
      <c r="E205" s="5139"/>
      <c r="F205" s="5139"/>
      <c r="G205" s="5139"/>
      <c r="H205" s="5139"/>
      <c r="I205" s="5139"/>
      <c r="J205" s="5139"/>
      <c r="K205" s="5139"/>
      <c r="L205" s="5139"/>
      <c r="M205" s="5139"/>
      <c r="N205" s="4971"/>
      <c r="O205" s="4971"/>
      <c r="P205" s="4971"/>
      <c r="Q205" s="4971"/>
      <c r="R205" s="4971"/>
      <c r="S205" s="4971"/>
      <c r="T205" s="4971"/>
      <c r="U205" s="4971"/>
      <c r="V205" s="4971"/>
      <c r="W205" s="4971"/>
      <c r="X205" s="4971"/>
      <c r="Y205" s="4971"/>
      <c r="Z205" s="4971"/>
      <c r="AA205" s="4971"/>
      <c r="AB205" s="4971"/>
      <c r="AC205" s="4971"/>
      <c r="AD205" s="4971"/>
      <c r="AE205" s="4971"/>
      <c r="AF205" s="4971"/>
      <c r="AG205" s="4971"/>
      <c r="AH205" s="4971"/>
      <c r="AI205" s="4971"/>
      <c r="AJ205" s="4971"/>
      <c r="AK205" s="4971"/>
      <c r="AL205" s="4838">
        <v>1</v>
      </c>
      <c r="AM205" s="1"/>
      <c r="AN205" s="1"/>
    </row>
    <row r="206" spans="1:40" customFormat="1" ht="30" customHeight="1">
      <c r="A206" s="4971"/>
      <c r="B206" s="4971"/>
      <c r="C206" s="4971"/>
      <c r="D206" s="5140" t="s">
        <v>7568</v>
      </c>
      <c r="E206" s="5139"/>
      <c r="F206" s="5139"/>
      <c r="G206" s="5139"/>
      <c r="H206" s="5139"/>
      <c r="I206" s="5139"/>
      <c r="J206" s="5139"/>
      <c r="K206" s="5139"/>
      <c r="L206" s="5139"/>
      <c r="M206" s="5139"/>
      <c r="N206" s="4971"/>
      <c r="O206" s="4971"/>
      <c r="P206" s="4971"/>
      <c r="Q206" s="4971"/>
      <c r="R206" s="4971"/>
      <c r="S206" s="4971"/>
      <c r="T206" s="4971"/>
      <c r="U206" s="4971"/>
      <c r="V206" s="4971"/>
      <c r="W206" s="4971"/>
      <c r="X206" s="4971"/>
      <c r="Y206" s="4971"/>
      <c r="Z206" s="4971"/>
      <c r="AA206" s="4971"/>
      <c r="AB206" s="4971"/>
      <c r="AC206" s="4971"/>
      <c r="AD206" s="4971"/>
      <c r="AE206" s="4971"/>
      <c r="AF206" s="4971"/>
      <c r="AG206" s="4971"/>
      <c r="AH206" s="4971"/>
      <c r="AI206" s="4971"/>
      <c r="AJ206" s="4971"/>
      <c r="AK206" s="4971"/>
      <c r="AL206" s="4838">
        <v>1</v>
      </c>
      <c r="AM206" s="1"/>
      <c r="AN206" s="1"/>
    </row>
    <row r="207" spans="1:40" customFormat="1" ht="30" customHeight="1">
      <c r="A207" s="4971"/>
      <c r="B207" s="4971"/>
      <c r="C207" s="4971"/>
      <c r="D207" s="5140" t="s">
        <v>7569</v>
      </c>
      <c r="E207" s="5139"/>
      <c r="F207" s="5139"/>
      <c r="G207" s="5139"/>
      <c r="H207" s="5139"/>
      <c r="I207" s="5139"/>
      <c r="J207" s="5139"/>
      <c r="K207" s="5139"/>
      <c r="L207" s="5139"/>
      <c r="M207" s="5139"/>
      <c r="N207" s="4971"/>
      <c r="O207" s="4971"/>
      <c r="P207" s="4971"/>
      <c r="Q207" s="4971"/>
      <c r="R207" s="4971"/>
      <c r="S207" s="4971"/>
      <c r="T207" s="4971"/>
      <c r="U207" s="4971"/>
      <c r="V207" s="4971"/>
      <c r="W207" s="4971"/>
      <c r="X207" s="4971"/>
      <c r="Y207" s="4971"/>
      <c r="Z207" s="4971"/>
      <c r="AA207" s="4971"/>
      <c r="AB207" s="4971"/>
      <c r="AC207" s="4971"/>
      <c r="AD207" s="4971"/>
      <c r="AE207" s="4971"/>
      <c r="AF207" s="4971"/>
      <c r="AG207" s="4971"/>
      <c r="AH207" s="4971"/>
      <c r="AI207" s="4971"/>
      <c r="AJ207" s="4971"/>
      <c r="AK207" s="4971"/>
      <c r="AL207" s="4838">
        <v>1</v>
      </c>
      <c r="AM207" s="1"/>
      <c r="AN207" s="1"/>
    </row>
    <row r="208" spans="1:40" customFormat="1" ht="30" customHeight="1">
      <c r="A208" s="4971"/>
      <c r="B208" s="4971"/>
      <c r="C208" s="4971"/>
      <c r="D208" s="5140" t="s">
        <v>7570</v>
      </c>
      <c r="E208" s="5139"/>
      <c r="F208" s="5139"/>
      <c r="G208" s="5139"/>
      <c r="H208" s="5139"/>
      <c r="I208" s="5139"/>
      <c r="J208" s="5139"/>
      <c r="K208" s="5139"/>
      <c r="L208" s="5139"/>
      <c r="M208" s="5139"/>
      <c r="N208" s="4971"/>
      <c r="O208" s="4971"/>
      <c r="P208" s="4971"/>
      <c r="Q208" s="4971"/>
      <c r="R208" s="4971"/>
      <c r="S208" s="4971"/>
      <c r="T208" s="4971"/>
      <c r="U208" s="4971"/>
      <c r="V208" s="4971"/>
      <c r="W208" s="4971"/>
      <c r="X208" s="4971"/>
      <c r="Y208" s="4971"/>
      <c r="Z208" s="4971"/>
      <c r="AA208" s="4971"/>
      <c r="AB208" s="4971"/>
      <c r="AC208" s="4971"/>
      <c r="AD208" s="4971"/>
      <c r="AE208" s="4971"/>
      <c r="AF208" s="4971"/>
      <c r="AG208" s="4971"/>
      <c r="AH208" s="4971"/>
      <c r="AI208" s="4971"/>
      <c r="AJ208" s="4971"/>
      <c r="AK208" s="4971"/>
      <c r="AL208" s="4838">
        <v>1</v>
      </c>
      <c r="AM208" s="1"/>
      <c r="AN208" s="1"/>
    </row>
    <row r="209" spans="1:40" customFormat="1" ht="30" customHeight="1">
      <c r="A209" s="4971"/>
      <c r="B209" s="4971"/>
      <c r="C209" s="4971"/>
      <c r="D209" s="5141" t="s">
        <v>7571</v>
      </c>
      <c r="E209" s="5139"/>
      <c r="F209" s="5139"/>
      <c r="G209" s="5139"/>
      <c r="H209" s="5139"/>
      <c r="I209" s="5139"/>
      <c r="J209" s="5139"/>
      <c r="K209" s="5139"/>
      <c r="L209" s="5139"/>
      <c r="M209" s="5139"/>
      <c r="N209" s="4971"/>
      <c r="O209" s="4971"/>
      <c r="P209" s="4971"/>
      <c r="Q209" s="4971"/>
      <c r="R209" s="4971"/>
      <c r="S209" s="4971"/>
      <c r="T209" s="4971"/>
      <c r="U209" s="4971"/>
      <c r="V209" s="4971"/>
      <c r="W209" s="4971"/>
      <c r="X209" s="4971"/>
      <c r="Y209" s="4971"/>
      <c r="Z209" s="4971"/>
      <c r="AA209" s="4971"/>
      <c r="AB209" s="4971"/>
      <c r="AC209" s="4971"/>
      <c r="AD209" s="4971"/>
      <c r="AE209" s="4971"/>
      <c r="AF209" s="4971"/>
      <c r="AG209" s="4971"/>
      <c r="AH209" s="4971"/>
      <c r="AI209" s="4971"/>
      <c r="AJ209" s="4971"/>
      <c r="AK209" s="4971"/>
      <c r="AL209" s="4838">
        <v>1</v>
      </c>
      <c r="AM209" s="1"/>
      <c r="AN209" s="1"/>
    </row>
    <row r="210" spans="1:40" customFormat="1" ht="30" customHeight="1">
      <c r="A210" s="4971"/>
      <c r="B210" s="4971"/>
      <c r="C210" s="4971"/>
      <c r="D210" s="5142" t="s">
        <v>7572</v>
      </c>
      <c r="E210" s="5139"/>
      <c r="F210" s="5139"/>
      <c r="G210" s="5139"/>
      <c r="H210" s="5139"/>
      <c r="I210" s="5139"/>
      <c r="J210" s="5139"/>
      <c r="K210" s="5139"/>
      <c r="L210" s="5139"/>
      <c r="M210" s="5139"/>
      <c r="N210" s="4971"/>
      <c r="O210" s="4971"/>
      <c r="P210" s="4971"/>
      <c r="Q210" s="4971"/>
      <c r="R210" s="4971"/>
      <c r="S210" s="4971"/>
      <c r="T210" s="4971"/>
      <c r="U210" s="4971"/>
      <c r="V210" s="4971"/>
      <c r="W210" s="4971"/>
      <c r="X210" s="4971"/>
      <c r="Y210" s="4971"/>
      <c r="Z210" s="4971"/>
      <c r="AA210" s="4971"/>
      <c r="AB210" s="4971"/>
      <c r="AC210" s="4971"/>
      <c r="AD210" s="4971"/>
      <c r="AE210" s="4971"/>
      <c r="AF210" s="4971"/>
      <c r="AG210" s="4971"/>
      <c r="AH210" s="4971"/>
      <c r="AI210" s="4971"/>
      <c r="AJ210" s="4971"/>
      <c r="AK210" s="4971"/>
      <c r="AL210" s="4838">
        <v>1</v>
      </c>
      <c r="AM210" s="1"/>
      <c r="AN210" s="1"/>
    </row>
    <row r="211" spans="1:40" customFormat="1" ht="30" customHeight="1">
      <c r="A211" s="4971"/>
      <c r="B211" s="4971"/>
      <c r="C211" s="4971"/>
      <c r="D211" s="5142" t="s">
        <v>7573</v>
      </c>
      <c r="E211" s="5139"/>
      <c r="F211" s="5139"/>
      <c r="G211" s="5139"/>
      <c r="H211" s="5139"/>
      <c r="I211" s="5139"/>
      <c r="J211" s="5139"/>
      <c r="K211" s="5139"/>
      <c r="L211" s="5139"/>
      <c r="M211" s="5139"/>
      <c r="N211" s="4971"/>
      <c r="O211" s="4971"/>
      <c r="P211" s="4971"/>
      <c r="Q211" s="4971"/>
      <c r="R211" s="4971"/>
      <c r="S211" s="4971"/>
      <c r="T211" s="4971"/>
      <c r="U211" s="4971"/>
      <c r="V211" s="4971"/>
      <c r="W211" s="4971"/>
      <c r="X211" s="4971"/>
      <c r="Y211" s="4971"/>
      <c r="Z211" s="4971"/>
      <c r="AA211" s="4971"/>
      <c r="AB211" s="4971"/>
      <c r="AC211" s="4971"/>
      <c r="AD211" s="4971"/>
      <c r="AE211" s="4971"/>
      <c r="AF211" s="4971"/>
      <c r="AG211" s="4971"/>
      <c r="AH211" s="4971"/>
      <c r="AI211" s="4971"/>
      <c r="AJ211" s="4971"/>
      <c r="AK211" s="4971"/>
      <c r="AL211" s="4838">
        <v>1</v>
      </c>
      <c r="AM211" s="1"/>
      <c r="AN211" s="1"/>
    </row>
    <row r="212" spans="1:40" customFormat="1" ht="30" customHeight="1">
      <c r="A212" s="4971"/>
      <c r="B212" s="4971"/>
      <c r="C212" s="4971"/>
      <c r="D212" s="4971"/>
      <c r="E212" s="4971"/>
      <c r="F212" s="4971"/>
      <c r="G212" s="4971"/>
      <c r="H212" s="4971"/>
      <c r="I212" s="4971"/>
      <c r="J212" s="4971"/>
      <c r="K212" s="4971"/>
      <c r="L212" s="4971"/>
      <c r="M212" s="4971"/>
      <c r="N212" s="4971"/>
      <c r="O212" s="4971"/>
      <c r="P212" s="4971"/>
      <c r="Q212" s="4971"/>
      <c r="R212" s="4971"/>
      <c r="S212" s="4971"/>
      <c r="T212" s="4971"/>
      <c r="U212" s="4971"/>
      <c r="V212" s="4971"/>
      <c r="W212" s="4971"/>
      <c r="X212" s="4971"/>
      <c r="Y212" s="4971"/>
      <c r="Z212" s="4971"/>
      <c r="AA212" s="4971"/>
      <c r="AB212" s="4971"/>
      <c r="AC212" s="4971"/>
      <c r="AD212" s="4971"/>
      <c r="AE212" s="4971"/>
      <c r="AF212" s="4971"/>
      <c r="AG212" s="4971"/>
      <c r="AH212" s="4971"/>
      <c r="AI212" s="4971"/>
      <c r="AJ212" s="4971"/>
      <c r="AK212" s="4971"/>
      <c r="AL212" s="4838">
        <v>1</v>
      </c>
      <c r="AM212" s="1"/>
      <c r="AN212" s="1"/>
    </row>
    <row r="213" spans="1:40" customFormat="1" ht="30" customHeight="1">
      <c r="A213" s="4971"/>
      <c r="B213" s="4971"/>
      <c r="C213" s="4971"/>
      <c r="D213" s="5146" t="s">
        <v>7839</v>
      </c>
      <c r="E213" s="5146"/>
      <c r="F213" s="5146"/>
      <c r="G213" s="5146"/>
      <c r="H213" s="5146"/>
      <c r="I213" s="5146"/>
      <c r="J213" s="5146"/>
      <c r="K213" s="5146"/>
      <c r="L213" s="5146"/>
      <c r="M213" s="5146"/>
      <c r="N213" s="4971"/>
      <c r="O213" s="4971"/>
      <c r="P213" s="4971"/>
      <c r="Q213" s="4971"/>
      <c r="R213" s="4971"/>
      <c r="S213" s="4971"/>
      <c r="T213" s="4971"/>
      <c r="U213" s="4971"/>
      <c r="V213" s="4971"/>
      <c r="W213" s="4971"/>
      <c r="X213" s="4971"/>
      <c r="Y213" s="4971"/>
      <c r="Z213" s="4971"/>
      <c r="AA213" s="4971"/>
      <c r="AB213" s="4971"/>
      <c r="AC213" s="4971"/>
      <c r="AD213" s="4971"/>
      <c r="AE213" s="4971"/>
      <c r="AF213" s="4971"/>
      <c r="AG213" s="4971"/>
      <c r="AH213" s="4971"/>
      <c r="AI213" s="4971"/>
      <c r="AJ213" s="4971"/>
      <c r="AK213" s="4971"/>
      <c r="AL213" s="4838">
        <v>1</v>
      </c>
      <c r="AM213" s="1"/>
      <c r="AN213" s="1"/>
    </row>
    <row r="214" spans="1:40" customFormat="1" ht="30" customHeight="1">
      <c r="A214" s="4971"/>
      <c r="B214" s="4971"/>
      <c r="C214" s="4971"/>
      <c r="D214" s="5146" t="s">
        <v>7574</v>
      </c>
      <c r="E214" s="5146"/>
      <c r="F214" s="5146"/>
      <c r="G214" s="5146"/>
      <c r="H214" s="5146"/>
      <c r="I214" s="5146"/>
      <c r="J214" s="5146"/>
      <c r="K214" s="5146"/>
      <c r="L214" s="5146"/>
      <c r="M214" s="5146"/>
      <c r="N214" s="4971"/>
      <c r="O214" s="4971"/>
      <c r="P214" s="4971"/>
      <c r="Q214" s="4971"/>
      <c r="R214" s="4971"/>
      <c r="S214" s="4971"/>
      <c r="T214" s="4971"/>
      <c r="U214" s="4971"/>
      <c r="V214" s="4971"/>
      <c r="W214" s="4971"/>
      <c r="X214" s="4971"/>
      <c r="Y214" s="4971"/>
      <c r="Z214" s="4971"/>
      <c r="AA214" s="4971"/>
      <c r="AB214" s="4971"/>
      <c r="AC214" s="4971"/>
      <c r="AD214" s="4971"/>
      <c r="AE214" s="4971"/>
      <c r="AF214" s="4971"/>
      <c r="AG214" s="4971"/>
      <c r="AH214" s="4971"/>
      <c r="AI214" s="4971"/>
      <c r="AJ214" s="4971"/>
      <c r="AK214" s="4971"/>
      <c r="AL214" s="4838">
        <v>1</v>
      </c>
      <c r="AM214" s="1"/>
      <c r="AN214" s="1"/>
    </row>
    <row r="215" spans="1:40" customFormat="1" ht="30" customHeight="1">
      <c r="A215" s="4971"/>
      <c r="B215" s="4971"/>
      <c r="C215" s="4971"/>
      <c r="D215" s="5146" t="s">
        <v>7840</v>
      </c>
      <c r="E215" s="5146"/>
      <c r="F215" s="5146"/>
      <c r="G215" s="5146"/>
      <c r="H215" s="5146"/>
      <c r="I215" s="5146"/>
      <c r="J215" s="5146"/>
      <c r="K215" s="5146"/>
      <c r="L215" s="5146"/>
      <c r="M215" s="5146"/>
      <c r="N215" s="4971"/>
      <c r="O215" s="4971"/>
      <c r="P215" s="4971"/>
      <c r="Q215" s="4971"/>
      <c r="R215" s="4971"/>
      <c r="S215" s="4971"/>
      <c r="T215" s="4971"/>
      <c r="U215" s="4971"/>
      <c r="V215" s="4971"/>
      <c r="W215" s="4971"/>
      <c r="X215" s="4971"/>
      <c r="Y215" s="4971"/>
      <c r="Z215" s="4971"/>
      <c r="AA215" s="4971"/>
      <c r="AB215" s="4971"/>
      <c r="AC215" s="4971"/>
      <c r="AD215" s="4971"/>
      <c r="AE215" s="4971"/>
      <c r="AF215" s="4971"/>
      <c r="AG215" s="4971"/>
      <c r="AH215" s="4971"/>
      <c r="AI215" s="4971"/>
      <c r="AJ215" s="4971"/>
      <c r="AK215" s="4971"/>
      <c r="AL215" s="4838">
        <v>1</v>
      </c>
      <c r="AM215" s="1"/>
      <c r="AN215" s="1"/>
    </row>
    <row r="216" spans="1:40" customFormat="1" ht="30" customHeight="1">
      <c r="A216" s="4971"/>
      <c r="B216" s="4971"/>
      <c r="C216" s="4971"/>
      <c r="D216" s="5146" t="s">
        <v>7575</v>
      </c>
      <c r="E216" s="5146"/>
      <c r="F216" s="5146"/>
      <c r="G216" s="5146"/>
      <c r="H216" s="5146"/>
      <c r="I216" s="5146"/>
      <c r="J216" s="5146"/>
      <c r="K216" s="5146"/>
      <c r="L216" s="5146"/>
      <c r="M216" s="5146"/>
      <c r="N216" s="4971"/>
      <c r="O216" s="4971"/>
      <c r="P216" s="4971"/>
      <c r="Q216" s="4971"/>
      <c r="R216" s="4971"/>
      <c r="S216" s="4971"/>
      <c r="T216" s="4971"/>
      <c r="U216" s="4971"/>
      <c r="V216" s="4971"/>
      <c r="W216" s="4971"/>
      <c r="X216" s="4971"/>
      <c r="Y216" s="4971"/>
      <c r="Z216" s="4971"/>
      <c r="AA216" s="4971"/>
      <c r="AB216" s="4971"/>
      <c r="AC216" s="4971"/>
      <c r="AD216" s="4971"/>
      <c r="AE216" s="4971"/>
      <c r="AF216" s="4971"/>
      <c r="AG216" s="4971"/>
      <c r="AH216" s="4971"/>
      <c r="AI216" s="4971"/>
      <c r="AJ216" s="4971"/>
      <c r="AK216" s="4971"/>
      <c r="AL216" s="4838">
        <v>1</v>
      </c>
      <c r="AM216" s="1"/>
      <c r="AN216" s="1"/>
    </row>
    <row r="217" spans="1:40" customFormat="1" ht="30" customHeight="1">
      <c r="A217" s="4971"/>
      <c r="B217" s="4971"/>
      <c r="C217" s="4971"/>
      <c r="D217" s="5146"/>
      <c r="E217" s="5146"/>
      <c r="F217" s="5146"/>
      <c r="G217" s="5146"/>
      <c r="H217" s="5146"/>
      <c r="I217" s="5146"/>
      <c r="J217" s="5146"/>
      <c r="K217" s="5146"/>
      <c r="L217" s="5146"/>
      <c r="M217" s="5146"/>
      <c r="N217" s="4971"/>
      <c r="O217" s="4971"/>
      <c r="P217" s="4971"/>
      <c r="Q217" s="4971"/>
      <c r="R217" s="4971"/>
      <c r="S217" s="4971"/>
      <c r="T217" s="4971"/>
      <c r="U217" s="4971"/>
      <c r="V217" s="4971"/>
      <c r="W217" s="4971"/>
      <c r="X217" s="4971"/>
      <c r="Y217" s="4971"/>
      <c r="Z217" s="4971"/>
      <c r="AA217" s="4971"/>
      <c r="AB217" s="4971"/>
      <c r="AC217" s="4971"/>
      <c r="AD217" s="4971"/>
      <c r="AE217" s="4971"/>
      <c r="AF217" s="4971"/>
      <c r="AG217" s="4971"/>
      <c r="AH217" s="4971"/>
      <c r="AI217" s="4971"/>
      <c r="AJ217" s="4971"/>
      <c r="AK217" s="4971"/>
      <c r="AL217" s="4838">
        <v>1</v>
      </c>
      <c r="AM217" s="1"/>
      <c r="AN217" s="1"/>
    </row>
    <row r="218" spans="1:40" customFormat="1" ht="30" customHeight="1">
      <c r="A218" s="4971"/>
      <c r="B218" s="4971"/>
      <c r="C218" s="4971"/>
      <c r="D218" s="4971"/>
      <c r="E218" s="4971"/>
      <c r="F218" s="4971"/>
      <c r="G218" s="4971"/>
      <c r="H218" s="4971"/>
      <c r="I218" s="4971"/>
      <c r="J218" s="4971"/>
      <c r="K218" s="4971"/>
      <c r="L218" s="4971"/>
      <c r="M218" s="4971"/>
      <c r="N218" s="4971"/>
      <c r="O218" s="4971"/>
      <c r="P218" s="4971"/>
      <c r="Q218" s="4971"/>
      <c r="R218" s="4971"/>
      <c r="S218" s="4971"/>
      <c r="T218" s="4971"/>
      <c r="U218" s="4971"/>
      <c r="V218" s="4971"/>
      <c r="W218" s="4971"/>
      <c r="X218" s="4971"/>
      <c r="Y218" s="4971"/>
      <c r="Z218" s="4971"/>
      <c r="AA218" s="4971"/>
      <c r="AB218" s="4971"/>
      <c r="AC218" s="4971"/>
      <c r="AD218" s="4971"/>
      <c r="AE218" s="4971"/>
      <c r="AF218" s="4971"/>
      <c r="AG218" s="4971"/>
      <c r="AH218" s="4971"/>
      <c r="AI218" s="4971"/>
      <c r="AJ218" s="4971"/>
      <c r="AK218" s="4971"/>
      <c r="AL218" s="4838">
        <v>1</v>
      </c>
      <c r="AM218" s="1"/>
      <c r="AN218" s="1"/>
    </row>
    <row r="219" spans="1:40" ht="15.75" thickBot="1">
      <c r="A219" s="4744"/>
      <c r="B219" s="4971"/>
      <c r="C219" s="4971"/>
      <c r="D219" s="4971"/>
      <c r="E219" s="4971"/>
      <c r="F219" s="4971"/>
      <c r="G219" s="4971"/>
      <c r="H219" s="4971"/>
      <c r="I219" s="4971"/>
      <c r="J219" s="4971"/>
      <c r="K219" s="4971"/>
      <c r="L219" s="4971"/>
      <c r="M219" s="4971"/>
      <c r="N219" s="4971"/>
      <c r="O219" s="4971"/>
      <c r="P219" s="4971"/>
      <c r="Q219" s="4971"/>
      <c r="R219" s="4971"/>
      <c r="S219" s="4971"/>
      <c r="T219" s="4971"/>
      <c r="U219" s="4971"/>
      <c r="V219" s="4971"/>
      <c r="W219" s="4971"/>
      <c r="X219" s="4971"/>
      <c r="Y219" s="4971"/>
      <c r="Z219" s="4971"/>
      <c r="AA219" s="4971"/>
      <c r="AB219" s="4971"/>
      <c r="AC219" s="4971"/>
      <c r="AD219" s="4971"/>
      <c r="AE219" s="4971"/>
      <c r="AF219" s="4971"/>
      <c r="AG219" s="4971"/>
      <c r="AH219" s="4971"/>
      <c r="AI219" s="4971"/>
      <c r="AJ219" s="4971"/>
      <c r="AK219" s="4971"/>
      <c r="AL219" s="4838">
        <v>1</v>
      </c>
    </row>
    <row r="220" spans="1:40" s="5014" customFormat="1" ht="30" customHeight="1">
      <c r="A220" s="5010"/>
      <c r="B220" s="4971"/>
      <c r="C220" s="4971"/>
      <c r="D220" s="7396" t="s">
        <v>7576</v>
      </c>
      <c r="E220" s="7397"/>
      <c r="F220" s="7397"/>
      <c r="G220" s="7397"/>
      <c r="H220" s="7397"/>
      <c r="I220" s="7397"/>
      <c r="J220" s="7397"/>
      <c r="K220" s="4723"/>
      <c r="L220" s="4971"/>
      <c r="M220" s="4971"/>
      <c r="N220" s="4971"/>
      <c r="O220" s="4971"/>
      <c r="P220" s="5011" t="s">
        <v>7577</v>
      </c>
      <c r="Q220" s="5012"/>
      <c r="R220" s="5012"/>
      <c r="S220" s="5012"/>
      <c r="T220" s="5012"/>
      <c r="U220" s="5012"/>
      <c r="V220" s="5012"/>
      <c r="W220" s="5013"/>
      <c r="X220" s="4971"/>
      <c r="Y220" s="4971"/>
      <c r="Z220" s="4971"/>
      <c r="AA220" s="4971"/>
      <c r="AB220" s="4971"/>
      <c r="AC220" s="4971"/>
      <c r="AD220" s="4971"/>
      <c r="AE220" s="4971"/>
      <c r="AF220" s="4971"/>
      <c r="AG220" s="4971"/>
      <c r="AH220" s="4971"/>
      <c r="AI220" s="4971"/>
      <c r="AJ220" s="4971"/>
      <c r="AK220" s="4971"/>
      <c r="AL220" s="4838">
        <v>1</v>
      </c>
      <c r="AM220" s="1"/>
      <c r="AN220" s="1"/>
    </row>
    <row r="221" spans="1:40" s="5014" customFormat="1" ht="30" customHeight="1">
      <c r="A221" s="5010"/>
      <c r="B221" s="4971"/>
      <c r="C221" s="4971"/>
      <c r="D221" s="5015" t="s">
        <v>7578</v>
      </c>
      <c r="E221" s="5016"/>
      <c r="F221" s="5016"/>
      <c r="G221" s="5016"/>
      <c r="H221" s="5016"/>
      <c r="I221" s="5016"/>
      <c r="J221" s="5016"/>
      <c r="K221" s="409"/>
      <c r="L221" s="4971"/>
      <c r="M221" s="4971"/>
      <c r="N221" s="4971"/>
      <c r="O221" s="4971"/>
      <c r="P221" s="5017" t="s">
        <v>7579</v>
      </c>
      <c r="Q221" s="5018"/>
      <c r="R221" s="5018"/>
      <c r="S221" s="5018"/>
      <c r="T221" s="5018"/>
      <c r="U221" s="5018"/>
      <c r="V221" s="5018"/>
      <c r="W221" s="5019"/>
      <c r="X221" s="4971"/>
      <c r="Y221" s="4971"/>
      <c r="Z221" s="4971"/>
      <c r="AA221" s="4971"/>
      <c r="AB221" s="4971"/>
      <c r="AC221" s="4971"/>
      <c r="AD221" s="4971"/>
      <c r="AE221" s="4971"/>
      <c r="AF221" s="4971"/>
      <c r="AG221" s="4971"/>
      <c r="AH221" s="4971"/>
      <c r="AI221" s="4971"/>
      <c r="AJ221" s="4971"/>
      <c r="AK221" s="4971"/>
      <c r="AL221" s="4838">
        <v>1</v>
      </c>
      <c r="AM221" s="1"/>
      <c r="AN221" s="1"/>
    </row>
    <row r="222" spans="1:40" s="5014" customFormat="1" ht="30" customHeight="1">
      <c r="A222" s="5010"/>
      <c r="B222" s="4971"/>
      <c r="C222" s="4971"/>
      <c r="D222" s="5015"/>
      <c r="E222" s="1699"/>
      <c r="F222" s="1699"/>
      <c r="G222" s="1699"/>
      <c r="H222" s="1699"/>
      <c r="I222" s="1699"/>
      <c r="J222" s="1699"/>
      <c r="K222" s="5020"/>
      <c r="L222" s="4971"/>
      <c r="M222" s="4971"/>
      <c r="N222" s="4971"/>
      <c r="O222" s="4971"/>
      <c r="P222" s="5021"/>
      <c r="Q222" s="5022"/>
      <c r="R222" s="5022"/>
      <c r="S222" s="5022"/>
      <c r="T222" s="5022"/>
      <c r="U222" s="5022"/>
      <c r="V222" s="5022"/>
      <c r="W222" s="5023"/>
      <c r="X222" s="4971"/>
      <c r="Y222" s="4971"/>
      <c r="Z222" s="4971"/>
      <c r="AA222" s="4971"/>
      <c r="AB222" s="4971"/>
      <c r="AC222" s="4971"/>
      <c r="AD222" s="4971"/>
      <c r="AE222" s="4971"/>
      <c r="AF222" s="4971"/>
      <c r="AG222" s="4971"/>
      <c r="AH222" s="4971"/>
      <c r="AI222" s="4971"/>
      <c r="AJ222" s="4971"/>
      <c r="AK222" s="4971"/>
      <c r="AL222" s="4838">
        <v>1</v>
      </c>
      <c r="AM222" s="1"/>
      <c r="AN222" s="1"/>
    </row>
    <row r="223" spans="1:40" s="5014" customFormat="1" ht="30" customHeight="1">
      <c r="A223" s="5010"/>
      <c r="B223" s="4971"/>
      <c r="C223" s="4971"/>
      <c r="D223" s="5015" t="s">
        <v>7580</v>
      </c>
      <c r="E223" s="1699"/>
      <c r="F223" s="1699"/>
      <c r="G223" s="1699"/>
      <c r="H223" s="1699"/>
      <c r="I223" s="1699"/>
      <c r="J223" s="1699"/>
      <c r="K223" s="5020"/>
      <c r="L223" s="4971"/>
      <c r="M223" s="4971"/>
      <c r="N223" s="4971"/>
      <c r="O223" s="4971"/>
      <c r="P223" s="1160"/>
      <c r="Q223" s="141"/>
      <c r="R223" s="141"/>
      <c r="S223" s="141"/>
      <c r="T223" s="141"/>
      <c r="U223" s="141"/>
      <c r="V223" s="141"/>
      <c r="W223" s="409"/>
      <c r="X223" s="4971"/>
      <c r="Y223" s="4971"/>
      <c r="Z223" s="4971"/>
      <c r="AA223" s="4971"/>
      <c r="AB223" s="4971"/>
      <c r="AC223" s="4971"/>
      <c r="AD223" s="4971"/>
      <c r="AE223" s="4971"/>
      <c r="AF223" s="4971"/>
      <c r="AG223" s="4971"/>
      <c r="AH223" s="4971"/>
      <c r="AI223" s="4971"/>
      <c r="AJ223" s="4971"/>
      <c r="AK223" s="4971"/>
      <c r="AL223" s="4838">
        <v>1</v>
      </c>
      <c r="AM223" s="1"/>
      <c r="AN223" s="1"/>
    </row>
    <row r="224" spans="1:40" s="5014" customFormat="1" ht="30" customHeight="1">
      <c r="A224" s="5010"/>
      <c r="B224" s="4971"/>
      <c r="C224" s="4971"/>
      <c r="D224" s="5015"/>
      <c r="E224" s="1706"/>
      <c r="F224" s="1706"/>
      <c r="G224" s="1706"/>
      <c r="H224" s="1706"/>
      <c r="I224" s="1706"/>
      <c r="J224" s="1673"/>
      <c r="K224" s="409"/>
      <c r="L224" s="4971"/>
      <c r="M224" s="4971"/>
      <c r="N224" s="4971"/>
      <c r="O224" s="4971"/>
      <c r="P224" s="1160"/>
      <c r="Q224" s="141"/>
      <c r="R224" s="141"/>
      <c r="S224" s="141"/>
      <c r="T224" s="141"/>
      <c r="U224" s="141"/>
      <c r="V224" s="141"/>
      <c r="W224" s="409"/>
      <c r="X224" s="4971"/>
      <c r="Y224" s="4971"/>
      <c r="Z224" s="4971"/>
      <c r="AA224" s="4971"/>
      <c r="AB224" s="4971"/>
      <c r="AC224" s="4971"/>
      <c r="AD224" s="4971"/>
      <c r="AE224" s="4971"/>
      <c r="AF224" s="4971"/>
      <c r="AG224" s="4971"/>
      <c r="AH224" s="4971"/>
      <c r="AI224" s="4971"/>
      <c r="AJ224" s="4971"/>
      <c r="AK224" s="4971"/>
      <c r="AL224" s="4838">
        <v>1</v>
      </c>
      <c r="AM224" s="1"/>
      <c r="AN224" s="1"/>
    </row>
    <row r="225" spans="1:40" s="5014" customFormat="1" ht="30" customHeight="1">
      <c r="A225" s="5010"/>
      <c r="B225" s="4971"/>
      <c r="C225" s="4971"/>
      <c r="D225" s="5015"/>
      <c r="E225" s="1706"/>
      <c r="F225" s="1706"/>
      <c r="G225" s="1706"/>
      <c r="H225" s="1706"/>
      <c r="I225" s="1706"/>
      <c r="J225" s="1673"/>
      <c r="K225" s="409"/>
      <c r="L225" s="4971"/>
      <c r="M225" s="4971"/>
      <c r="N225" s="4971"/>
      <c r="O225" s="4971"/>
      <c r="P225" s="1160"/>
      <c r="Q225" s="141"/>
      <c r="R225" s="141"/>
      <c r="S225" s="141"/>
      <c r="T225" s="141"/>
      <c r="U225" s="141"/>
      <c r="V225" s="141"/>
      <c r="W225" s="409"/>
      <c r="X225" s="4971"/>
      <c r="Y225" s="4971"/>
      <c r="Z225" s="4971"/>
      <c r="AA225" s="4971"/>
      <c r="AB225" s="4971"/>
      <c r="AC225" s="4971"/>
      <c r="AD225" s="4971"/>
      <c r="AE225" s="4971"/>
      <c r="AF225" s="4971"/>
      <c r="AG225" s="4971"/>
      <c r="AH225" s="4971"/>
      <c r="AI225" s="4971"/>
      <c r="AJ225" s="4971"/>
      <c r="AK225" s="4971"/>
      <c r="AL225" s="4838">
        <v>1</v>
      </c>
      <c r="AM225" s="1"/>
      <c r="AN225" s="1"/>
    </row>
    <row r="226" spans="1:40" s="5014" customFormat="1" ht="30" customHeight="1">
      <c r="A226" s="5010"/>
      <c r="B226" s="4971"/>
      <c r="C226" s="4971"/>
      <c r="D226" s="5015"/>
      <c r="E226" s="1706"/>
      <c r="F226" s="1706"/>
      <c r="G226" s="1706"/>
      <c r="H226" s="1706"/>
      <c r="I226" s="1706"/>
      <c r="J226" s="1673"/>
      <c r="K226" s="409"/>
      <c r="L226" s="4971"/>
      <c r="M226" s="4971"/>
      <c r="N226" s="4971"/>
      <c r="O226" s="4971"/>
      <c r="P226" s="1160"/>
      <c r="Q226" s="141"/>
      <c r="R226" s="141"/>
      <c r="S226" s="141"/>
      <c r="T226" s="141"/>
      <c r="U226" s="141"/>
      <c r="V226" s="141"/>
      <c r="W226" s="409"/>
      <c r="X226" s="4971"/>
      <c r="Y226" s="4971"/>
      <c r="Z226" s="4971"/>
      <c r="AA226" s="4971"/>
      <c r="AB226" s="4971"/>
      <c r="AC226" s="4971"/>
      <c r="AD226" s="4971"/>
      <c r="AE226" s="4971"/>
      <c r="AF226" s="4971"/>
      <c r="AG226" s="4971"/>
      <c r="AH226" s="4971"/>
      <c r="AI226" s="4971"/>
      <c r="AJ226" s="4971"/>
      <c r="AK226" s="4971"/>
      <c r="AL226" s="4838">
        <v>1</v>
      </c>
      <c r="AM226" s="1"/>
      <c r="AN226" s="1"/>
    </row>
    <row r="227" spans="1:40" s="5014" customFormat="1" ht="30" customHeight="1">
      <c r="A227" s="5010"/>
      <c r="B227" s="4971"/>
      <c r="C227" s="4971"/>
      <c r="D227" s="7398" t="s">
        <v>7581</v>
      </c>
      <c r="E227" s="7399"/>
      <c r="F227" s="7399"/>
      <c r="G227" s="7399"/>
      <c r="H227" s="7399"/>
      <c r="I227" s="7399"/>
      <c r="J227" s="7399"/>
      <c r="K227" s="7400"/>
      <c r="L227" s="4971"/>
      <c r="M227" s="4971"/>
      <c r="N227" s="4971"/>
      <c r="O227" s="4971"/>
      <c r="P227" s="1160"/>
      <c r="Q227" s="141"/>
      <c r="R227" s="141"/>
      <c r="S227" s="141"/>
      <c r="T227" s="141"/>
      <c r="U227" s="141"/>
      <c r="V227" s="141"/>
      <c r="W227" s="409"/>
      <c r="X227" s="4971"/>
      <c r="Y227" s="4971"/>
      <c r="Z227" s="4746"/>
      <c r="AA227" s="4746"/>
      <c r="AB227" s="4746"/>
      <c r="AC227" s="4746"/>
      <c r="AD227" s="4746"/>
      <c r="AE227" s="4746"/>
      <c r="AF227" s="4746"/>
      <c r="AG227" s="4746"/>
      <c r="AH227" s="4746"/>
      <c r="AI227" s="4746"/>
      <c r="AJ227" s="4746"/>
      <c r="AK227" s="4746"/>
      <c r="AL227" s="4838">
        <v>1</v>
      </c>
      <c r="AM227" s="1"/>
      <c r="AN227" s="1"/>
    </row>
    <row r="228" spans="1:40" s="5014" customFormat="1" ht="30" customHeight="1" thickBot="1">
      <c r="A228" s="5010"/>
      <c r="B228" s="4971"/>
      <c r="C228" s="4971"/>
      <c r="D228" s="7401"/>
      <c r="E228" s="7402"/>
      <c r="F228" s="7402"/>
      <c r="G228" s="7402"/>
      <c r="H228" s="7402"/>
      <c r="I228" s="7402"/>
      <c r="J228" s="7402"/>
      <c r="K228" s="7403"/>
      <c r="L228" s="4971"/>
      <c r="M228" s="4971"/>
      <c r="N228" s="4971"/>
      <c r="O228" s="4971"/>
      <c r="P228" s="5024"/>
      <c r="Q228" s="4741"/>
      <c r="R228" s="4741"/>
      <c r="S228" s="4741"/>
      <c r="T228" s="4741"/>
      <c r="U228" s="4741"/>
      <c r="V228" s="4741"/>
      <c r="W228" s="399"/>
      <c r="X228" s="4971"/>
      <c r="Y228" s="4971"/>
      <c r="Z228" s="4987"/>
      <c r="AA228" s="4987"/>
      <c r="AB228" s="4987"/>
      <c r="AC228" s="4987"/>
      <c r="AD228" s="4987"/>
      <c r="AE228" s="4987"/>
      <c r="AF228" s="4987"/>
      <c r="AG228" s="4987"/>
      <c r="AH228" s="4988"/>
      <c r="AI228" s="4988"/>
      <c r="AJ228" s="4746"/>
      <c r="AK228" s="4746"/>
      <c r="AL228" s="4838">
        <v>1</v>
      </c>
      <c r="AM228" s="1"/>
      <c r="AN228" s="1"/>
    </row>
    <row r="229" spans="1:40">
      <c r="A229" s="4744"/>
      <c r="B229" s="4971"/>
      <c r="C229" s="4971"/>
      <c r="D229" s="4971"/>
      <c r="E229" s="4971"/>
      <c r="F229" s="4971"/>
      <c r="G229" s="4971"/>
      <c r="H229" s="4971"/>
      <c r="I229" s="4971"/>
      <c r="J229" s="4971"/>
      <c r="K229" s="4971"/>
      <c r="L229" s="4971"/>
      <c r="M229" s="4971"/>
      <c r="N229" s="4971"/>
      <c r="O229" s="4971"/>
      <c r="P229" s="4971"/>
      <c r="Q229" s="4971"/>
      <c r="R229" s="4971"/>
      <c r="S229" s="4971"/>
      <c r="T229" s="4971"/>
      <c r="U229" s="4971"/>
      <c r="V229" s="4971"/>
      <c r="W229" s="4971"/>
      <c r="X229" s="4971"/>
      <c r="Y229" s="4971"/>
      <c r="Z229" s="4987"/>
      <c r="AA229" s="4987"/>
      <c r="AB229" s="4987"/>
      <c r="AC229" s="4987"/>
      <c r="AD229" s="4987"/>
      <c r="AE229" s="4987"/>
      <c r="AF229" s="4987"/>
      <c r="AG229" s="4987"/>
      <c r="AH229" s="4988"/>
      <c r="AI229" s="4988"/>
      <c r="AJ229" s="4746"/>
      <c r="AK229" s="4746"/>
      <c r="AL229" s="4838">
        <v>1</v>
      </c>
    </row>
    <row r="230" spans="1:40">
      <c r="A230" s="4744"/>
      <c r="B230" s="4971"/>
      <c r="C230" s="4744"/>
      <c r="D230" s="4744"/>
      <c r="E230" s="4744"/>
      <c r="F230" s="4744"/>
      <c r="G230" s="4744"/>
      <c r="H230" s="4744"/>
      <c r="I230" s="4744"/>
      <c r="J230" s="4744"/>
      <c r="K230" s="4744"/>
      <c r="L230" s="4744"/>
      <c r="M230" s="4744"/>
      <c r="N230" s="4744"/>
      <c r="O230" s="4744"/>
      <c r="P230" s="4744"/>
      <c r="Q230" s="4744"/>
      <c r="R230" s="4744"/>
      <c r="S230" s="4744"/>
      <c r="T230" s="4744"/>
      <c r="U230" s="4744"/>
      <c r="V230" s="4744"/>
      <c r="W230" s="4744"/>
      <c r="X230" s="4971"/>
      <c r="Y230" s="4971"/>
      <c r="Z230" s="4987"/>
      <c r="AA230" s="4987"/>
      <c r="AB230" s="4987"/>
      <c r="AC230" s="4987"/>
      <c r="AD230" s="4987"/>
      <c r="AE230" s="4987"/>
      <c r="AF230" s="4987"/>
      <c r="AG230" s="4987"/>
      <c r="AH230" s="4988"/>
      <c r="AI230" s="4988"/>
      <c r="AJ230" s="4746"/>
      <c r="AK230" s="4746"/>
      <c r="AL230" s="4838">
        <v>1</v>
      </c>
    </row>
    <row r="231" spans="1:40" customFormat="1" ht="30" customHeight="1">
      <c r="A231" s="4971">
        <v>1</v>
      </c>
      <c r="B231" s="4971">
        <v>1</v>
      </c>
      <c r="C231" s="7404" t="s">
        <v>269</v>
      </c>
      <c r="D231" s="7404"/>
      <c r="E231" s="4753" t="str">
        <f ca="1">CELL("nomfichier")</f>
        <v>D:\Données\1.UPRT\0-UPRT.fait\1-UPRT.FR-SITE-WEB\ff-fiches-fabrications\ff.fiches.fabrication.2023\ffr.restaurant.2023\[ff.REPERTOIRE.600.LIGNES.15.xlsx]Differents.postits.FR.EN.ES</v>
      </c>
      <c r="F231" s="4754"/>
      <c r="G231" s="4754"/>
      <c r="H231" s="4754"/>
      <c r="I231" s="4754"/>
      <c r="J231" s="5025"/>
      <c r="K231" s="4754"/>
      <c r="L231" s="4754"/>
      <c r="M231" s="4754"/>
      <c r="N231" s="4754"/>
      <c r="O231" s="4754"/>
      <c r="P231" s="4754"/>
      <c r="Q231" s="4754"/>
      <c r="R231" s="4754"/>
      <c r="S231" s="4754"/>
      <c r="T231" s="4754"/>
      <c r="U231" s="4754"/>
      <c r="V231" s="4754"/>
      <c r="W231" s="4754"/>
      <c r="X231" s="4754"/>
      <c r="Y231" s="4971"/>
      <c r="Z231" s="4987"/>
      <c r="AA231" s="4987"/>
      <c r="AB231" s="4987"/>
      <c r="AC231" s="4987"/>
      <c r="AD231" s="4987"/>
      <c r="AE231" s="4987"/>
      <c r="AF231" s="4987"/>
      <c r="AG231" s="4987"/>
      <c r="AH231" s="4988"/>
      <c r="AI231" s="4988"/>
      <c r="AJ231" s="4746"/>
      <c r="AK231" s="4746"/>
      <c r="AL231" s="4838">
        <v>1</v>
      </c>
      <c r="AM231" s="1"/>
      <c r="AN231" s="1"/>
    </row>
    <row r="232" spans="1:40">
      <c r="A232" s="4744"/>
      <c r="B232" s="4744"/>
      <c r="C232" s="4744"/>
      <c r="D232" s="4744"/>
      <c r="E232" s="4744"/>
      <c r="F232" s="4744"/>
      <c r="G232" s="4744"/>
      <c r="H232" s="4744"/>
      <c r="I232" s="4744"/>
      <c r="J232" s="4744"/>
      <c r="K232" s="4744"/>
      <c r="L232" s="4744"/>
      <c r="M232" s="4744"/>
      <c r="N232" s="4744"/>
      <c r="O232" s="4744"/>
      <c r="P232" s="4744"/>
      <c r="Q232" s="4744"/>
      <c r="R232" s="4744"/>
      <c r="S232" s="4744"/>
      <c r="T232" s="4744"/>
      <c r="U232" s="4744"/>
      <c r="V232" s="4744"/>
      <c r="W232" s="4744"/>
      <c r="X232" s="4744"/>
      <c r="Y232" s="4744"/>
      <c r="Z232" s="4987"/>
      <c r="AA232" s="4987"/>
      <c r="AB232" s="4987"/>
      <c r="AC232" s="4987"/>
      <c r="AD232" s="4987"/>
      <c r="AE232" s="4987"/>
      <c r="AF232" s="4987"/>
      <c r="AG232" s="4987"/>
      <c r="AH232" s="4988"/>
      <c r="AI232" s="4988"/>
      <c r="AJ232" s="4746"/>
      <c r="AK232" s="4746"/>
      <c r="AL232" s="4838">
        <v>1</v>
      </c>
    </row>
    <row r="233" spans="1:40" s="4766" customFormat="1" ht="40.5" customHeight="1">
      <c r="A233" s="4744"/>
      <c r="B233" s="4961"/>
      <c r="C233" s="4744"/>
      <c r="D233" s="4744"/>
      <c r="E233" s="4744"/>
      <c r="F233" s="4744"/>
      <c r="G233" s="4744"/>
      <c r="H233" s="4744"/>
      <c r="I233" s="4915"/>
      <c r="J233" s="4744"/>
      <c r="K233" s="4744"/>
      <c r="L233" s="4744"/>
      <c r="M233" s="4744"/>
      <c r="N233" s="4744"/>
      <c r="O233" s="4915"/>
      <c r="P233" s="4915"/>
      <c r="Q233" s="4915"/>
      <c r="R233" s="4915"/>
      <c r="S233" s="4915"/>
      <c r="T233" s="4746"/>
      <c r="U233" s="4746"/>
      <c r="V233" s="4746"/>
      <c r="W233" s="4746"/>
      <c r="X233" s="4746"/>
      <c r="Y233" s="4746"/>
      <c r="Z233" s="4746"/>
      <c r="AA233" s="4746"/>
      <c r="AB233" s="4746"/>
      <c r="AC233" s="4746"/>
      <c r="AD233" s="4746"/>
      <c r="AE233" s="4746"/>
      <c r="AF233" s="4746"/>
      <c r="AG233" s="4987"/>
      <c r="AH233" s="4988"/>
      <c r="AI233" s="4988"/>
      <c r="AJ233" s="4746"/>
      <c r="AK233" s="4746"/>
      <c r="AL233" s="4838">
        <v>1</v>
      </c>
      <c r="AM233" s="1"/>
      <c r="AN233" s="1"/>
    </row>
    <row r="234" spans="1:40" s="4766" customFormat="1" ht="40.5" customHeight="1">
      <c r="A234" s="4744"/>
      <c r="B234" s="4961"/>
      <c r="C234" s="5026" t="s">
        <v>367</v>
      </c>
      <c r="D234" s="5027"/>
      <c r="E234" s="5027"/>
      <c r="F234" s="5027"/>
      <c r="G234" s="4915"/>
      <c r="H234" s="4915"/>
      <c r="I234" s="4915"/>
      <c r="J234" s="4915"/>
      <c r="K234" s="4915"/>
      <c r="L234" s="4915"/>
      <c r="M234" s="4915"/>
      <c r="N234" s="4915"/>
      <c r="O234" s="5028" t="s">
        <v>7582</v>
      </c>
      <c r="P234" s="4915"/>
      <c r="Q234" s="4915"/>
      <c r="R234" s="4915"/>
      <c r="S234" s="4915"/>
      <c r="T234" s="4746"/>
      <c r="U234" s="5029"/>
      <c r="V234" s="4746"/>
      <c r="W234" s="4746"/>
      <c r="X234" s="4746"/>
      <c r="Y234" s="4746"/>
      <c r="Z234" s="5000"/>
      <c r="AA234" s="4746"/>
      <c r="AB234" s="4746"/>
      <c r="AC234" s="4746"/>
      <c r="AD234" s="4746"/>
      <c r="AE234" s="4746"/>
      <c r="AF234" s="4746"/>
      <c r="AG234" s="4987"/>
      <c r="AH234" s="4988"/>
      <c r="AI234" s="4988"/>
      <c r="AJ234" s="4746"/>
      <c r="AK234" s="4746"/>
      <c r="AL234" s="4838">
        <v>1</v>
      </c>
      <c r="AM234" s="1"/>
      <c r="AN234" s="1"/>
    </row>
    <row r="235" spans="1:40" s="4766" customFormat="1" ht="40.5" customHeight="1">
      <c r="A235" s="4744"/>
      <c r="B235" s="4961"/>
      <c r="C235" s="5030" t="s">
        <v>7583</v>
      </c>
      <c r="D235" s="5027"/>
      <c r="E235" s="5027"/>
      <c r="F235" s="5027"/>
      <c r="G235" s="5029"/>
      <c r="H235" s="5031"/>
      <c r="I235" s="5027"/>
      <c r="J235" s="5027"/>
      <c r="K235" s="4744"/>
      <c r="L235" s="4744"/>
      <c r="M235" s="4744"/>
      <c r="N235" s="4744"/>
      <c r="O235" s="4915"/>
      <c r="P235" s="4915"/>
      <c r="Q235" s="4915"/>
      <c r="R235" s="4915"/>
      <c r="S235" s="4915"/>
      <c r="T235" s="4746"/>
      <c r="U235" s="4746"/>
      <c r="V235" s="4746"/>
      <c r="W235" s="4746"/>
      <c r="X235" s="4746"/>
      <c r="Y235" s="4746"/>
      <c r="Z235" s="5004"/>
      <c r="AA235" s="4746"/>
      <c r="AB235" s="4746"/>
      <c r="AC235" s="4746"/>
      <c r="AD235" s="4746"/>
      <c r="AE235" s="4746"/>
      <c r="AF235" s="4746"/>
      <c r="AG235" s="4987"/>
      <c r="AH235" s="4988"/>
      <c r="AI235" s="4988"/>
      <c r="AJ235" s="4746"/>
      <c r="AK235" s="4746"/>
      <c r="AL235" s="4838">
        <v>1</v>
      </c>
      <c r="AM235" s="1"/>
      <c r="AN235" s="1"/>
    </row>
    <row r="236" spans="1:40" s="4766" customFormat="1" ht="40.5" customHeight="1">
      <c r="A236" s="4744"/>
      <c r="B236" s="4961"/>
      <c r="C236" s="5032" t="s">
        <v>376</v>
      </c>
      <c r="D236" s="5027"/>
      <c r="E236" s="5027"/>
      <c r="F236" s="5027"/>
      <c r="G236" s="5029"/>
      <c r="H236" s="5031"/>
      <c r="I236" s="5027"/>
      <c r="J236" s="5027"/>
      <c r="K236" s="4744"/>
      <c r="L236" s="4744"/>
      <c r="M236" s="4744"/>
      <c r="N236" s="4744"/>
      <c r="O236" s="4915"/>
      <c r="P236" s="4915"/>
      <c r="Q236" s="4915"/>
      <c r="R236" s="4915"/>
      <c r="S236" s="4915"/>
      <c r="T236" s="4746"/>
      <c r="U236" s="4746"/>
      <c r="V236" s="4746"/>
      <c r="W236" s="4746"/>
      <c r="X236" s="4746"/>
      <c r="Y236" s="4746"/>
      <c r="Z236" s="4746"/>
      <c r="AA236" s="4746"/>
      <c r="AB236" s="4746"/>
      <c r="AC236" s="4746"/>
      <c r="AD236" s="4746"/>
      <c r="AE236" s="4746"/>
      <c r="AF236" s="4746"/>
      <c r="AG236" s="4987"/>
      <c r="AH236" s="4988"/>
      <c r="AI236" s="4988"/>
      <c r="AJ236" s="4746"/>
      <c r="AK236" s="4746"/>
      <c r="AL236" s="4838">
        <v>1</v>
      </c>
      <c r="AM236" s="1"/>
      <c r="AN236" s="1"/>
    </row>
    <row r="237" spans="1:40" s="4766" customFormat="1" ht="40.5" customHeight="1">
      <c r="A237" s="4744"/>
      <c r="B237" s="4961"/>
      <c r="C237" s="5033" t="s">
        <v>7584</v>
      </c>
      <c r="D237" s="4744"/>
      <c r="E237" s="4744"/>
      <c r="F237" s="4744"/>
      <c r="G237" s="4744"/>
      <c r="H237" s="4744"/>
      <c r="I237" s="4915"/>
      <c r="J237" s="4744"/>
      <c r="K237" s="4744"/>
      <c r="L237" s="4744"/>
      <c r="M237" s="4744"/>
      <c r="N237" s="4744"/>
      <c r="O237" s="4915"/>
      <c r="P237" s="4915"/>
      <c r="Q237" s="4915"/>
      <c r="R237" s="4915"/>
      <c r="S237" s="4915"/>
      <c r="T237" s="4746"/>
      <c r="U237" s="4746"/>
      <c r="V237" s="4981" t="s">
        <v>7585</v>
      </c>
      <c r="W237" s="4992"/>
      <c r="X237" s="4992"/>
      <c r="Y237" s="4992"/>
      <c r="Z237" s="4992"/>
      <c r="AA237" s="4992"/>
      <c r="AB237" s="4992"/>
      <c r="AC237" s="4746"/>
      <c r="AD237" s="4746"/>
      <c r="AE237" s="4746"/>
      <c r="AF237" s="4746"/>
      <c r="AG237" s="4987"/>
      <c r="AH237" s="4988"/>
      <c r="AI237" s="4988"/>
      <c r="AJ237" s="4746"/>
      <c r="AK237" s="4746"/>
      <c r="AL237" s="4838">
        <v>1</v>
      </c>
      <c r="AM237" s="1"/>
      <c r="AN237" s="1"/>
    </row>
    <row r="238" spans="1:40" s="4766" customFormat="1" ht="40.5" customHeight="1">
      <c r="A238" s="4744"/>
      <c r="B238" s="4961"/>
      <c r="C238" s="5033" t="s">
        <v>7586</v>
      </c>
      <c r="D238" s="4744"/>
      <c r="E238" s="4744"/>
      <c r="F238" s="4744"/>
      <c r="G238" s="4744"/>
      <c r="H238" s="4744"/>
      <c r="I238" s="4915"/>
      <c r="J238" s="4744"/>
      <c r="K238" s="4744"/>
      <c r="L238" s="4744"/>
      <c r="M238" s="4744"/>
      <c r="N238" s="4744"/>
      <c r="O238" s="4915"/>
      <c r="P238" s="4915"/>
      <c r="Q238" s="4915"/>
      <c r="R238" s="4915"/>
      <c r="S238" s="4915"/>
      <c r="T238" s="4746"/>
      <c r="U238" s="4746"/>
      <c r="V238" s="5034" t="s">
        <v>7587</v>
      </c>
      <c r="W238" s="4963"/>
      <c r="X238" s="4963"/>
      <c r="Y238" s="4963"/>
      <c r="Z238" s="4963"/>
      <c r="AA238" s="4963"/>
      <c r="AB238" s="4963"/>
      <c r="AC238" s="4746" t="s">
        <v>1</v>
      </c>
      <c r="AD238" s="4746"/>
      <c r="AE238" s="4746"/>
      <c r="AF238" s="4746"/>
      <c r="AG238" s="4987"/>
      <c r="AH238" s="4988"/>
      <c r="AI238" s="4988"/>
      <c r="AJ238" s="4746"/>
      <c r="AK238" s="4746"/>
      <c r="AL238" s="4838">
        <v>1</v>
      </c>
      <c r="AM238" s="1"/>
      <c r="AN238" s="1"/>
    </row>
    <row r="239" spans="1:40" s="4766" customFormat="1" ht="40.5" customHeight="1">
      <c r="A239" s="4744"/>
      <c r="B239" s="4961"/>
      <c r="C239" s="5035" t="s">
        <v>7588</v>
      </c>
      <c r="D239" s="4744"/>
      <c r="E239" s="4744"/>
      <c r="F239" s="4744"/>
      <c r="G239" s="4744"/>
      <c r="H239" s="4744"/>
      <c r="I239" s="4915"/>
      <c r="J239" s="4744"/>
      <c r="K239" s="4744"/>
      <c r="L239" s="4744"/>
      <c r="M239" s="4744"/>
      <c r="N239" s="4744"/>
      <c r="O239" s="4915"/>
      <c r="P239" s="4915"/>
      <c r="Q239" s="4915"/>
      <c r="R239" s="4915"/>
      <c r="S239" s="4915"/>
      <c r="T239" s="4746"/>
      <c r="U239" s="4746"/>
      <c r="V239" s="4746"/>
      <c r="W239" s="4746"/>
      <c r="X239" s="4746"/>
      <c r="Y239" s="4746"/>
      <c r="Z239" s="4746"/>
      <c r="AA239" s="4746"/>
      <c r="AB239" s="4746"/>
      <c r="AC239" s="4746"/>
      <c r="AD239" s="4746"/>
      <c r="AE239" s="4746"/>
      <c r="AF239" s="4746"/>
      <c r="AG239" s="4987"/>
      <c r="AH239" s="4988"/>
      <c r="AI239" s="4988"/>
      <c r="AJ239" s="4746"/>
      <c r="AK239" s="4746"/>
      <c r="AL239" s="4838">
        <v>1</v>
      </c>
      <c r="AM239" s="1"/>
      <c r="AN239" s="1"/>
    </row>
    <row r="240" spans="1:40" s="4766" customFormat="1" ht="40.5" customHeight="1">
      <c r="A240" s="4744"/>
      <c r="B240" s="4961"/>
      <c r="C240" s="5035" t="s">
        <v>7589</v>
      </c>
      <c r="D240" s="4744"/>
      <c r="E240" s="4744"/>
      <c r="F240" s="4744"/>
      <c r="G240" s="4744"/>
      <c r="H240" s="4744"/>
      <c r="I240" s="4915"/>
      <c r="J240" s="4744"/>
      <c r="K240" s="4744"/>
      <c r="L240" s="4744"/>
      <c r="M240" s="4744"/>
      <c r="N240" s="4744"/>
      <c r="O240" s="4915"/>
      <c r="P240" s="4915"/>
      <c r="Q240" s="4915"/>
      <c r="R240" s="4915"/>
      <c r="S240" s="4915"/>
      <c r="T240" s="4746"/>
      <c r="U240" s="4746"/>
      <c r="V240" s="4746"/>
      <c r="W240" s="4746"/>
      <c r="X240" s="4746"/>
      <c r="Y240" s="4746"/>
      <c r="Z240" s="4746"/>
      <c r="AA240" s="4746"/>
      <c r="AB240" s="4746"/>
      <c r="AC240" s="4746"/>
      <c r="AD240" s="4746"/>
      <c r="AE240" s="4746"/>
      <c r="AF240" s="4746"/>
      <c r="AG240" s="4987"/>
      <c r="AH240" s="4988"/>
      <c r="AI240" s="4988"/>
      <c r="AJ240" s="4746"/>
      <c r="AK240" s="4746"/>
      <c r="AL240" s="4838">
        <v>1</v>
      </c>
      <c r="AM240" s="1"/>
      <c r="AN240" s="1"/>
    </row>
    <row r="241" spans="1:40" s="4766" customFormat="1" ht="40.5" customHeight="1">
      <c r="A241" s="4744"/>
      <c r="B241" s="4961"/>
      <c r="C241" s="5036" t="s">
        <v>7590</v>
      </c>
      <c r="D241" s="5036" t="s">
        <v>7591</v>
      </c>
      <c r="E241" s="5036" t="s">
        <v>7592</v>
      </c>
      <c r="F241" s="5036" t="s">
        <v>7593</v>
      </c>
      <c r="G241" s="5036" t="s">
        <v>7594</v>
      </c>
      <c r="H241" s="5036" t="s">
        <v>7595</v>
      </c>
      <c r="I241" s="5036" t="s">
        <v>7596</v>
      </c>
      <c r="J241" s="5036" t="s">
        <v>7597</v>
      </c>
      <c r="K241" s="5036" t="s">
        <v>7598</v>
      </c>
      <c r="L241" s="5036" t="s">
        <v>7599</v>
      </c>
      <c r="M241" s="5036" t="s">
        <v>7600</v>
      </c>
      <c r="N241" s="5036" t="s">
        <v>7601</v>
      </c>
      <c r="O241" s="5036" t="s">
        <v>7602</v>
      </c>
      <c r="P241" s="4915"/>
      <c r="Q241" s="5036" t="s">
        <v>7603</v>
      </c>
      <c r="R241" s="5036" t="s">
        <v>7604</v>
      </c>
      <c r="S241" s="5036" t="s">
        <v>7605</v>
      </c>
      <c r="T241" s="5036" t="s">
        <v>7606</v>
      </c>
      <c r="U241" s="5036" t="s">
        <v>7607</v>
      </c>
      <c r="V241" s="5036" t="s">
        <v>7608</v>
      </c>
      <c r="W241" s="5036" t="s">
        <v>7609</v>
      </c>
      <c r="X241" s="5036" t="s">
        <v>7610</v>
      </c>
      <c r="Y241" s="5036" t="s">
        <v>7611</v>
      </c>
      <c r="Z241" s="5036" t="s">
        <v>7612</v>
      </c>
      <c r="AA241" s="5036" t="s">
        <v>7613</v>
      </c>
      <c r="AB241" s="5036" t="s">
        <v>7614</v>
      </c>
      <c r="AC241" s="5036" t="s">
        <v>7615</v>
      </c>
      <c r="AD241" s="4746"/>
      <c r="AE241" s="4746"/>
      <c r="AF241" s="4746"/>
      <c r="AG241" s="4987"/>
      <c r="AH241" s="4988"/>
      <c r="AI241" s="4988"/>
      <c r="AJ241" s="4746"/>
      <c r="AK241" s="4746"/>
      <c r="AL241" s="4838">
        <v>1</v>
      </c>
      <c r="AM241" s="1"/>
      <c r="AN241" s="1"/>
    </row>
    <row r="242" spans="1:40" s="4766" customFormat="1" ht="40.5" customHeight="1">
      <c r="A242" s="4744"/>
      <c r="B242" s="4961"/>
      <c r="C242" s="5036" t="s">
        <v>7616</v>
      </c>
      <c r="D242" s="5036" t="s">
        <v>7617</v>
      </c>
      <c r="E242" s="5036" t="s">
        <v>7618</v>
      </c>
      <c r="F242" s="5036" t="s">
        <v>7619</v>
      </c>
      <c r="G242" s="5036" t="s">
        <v>7620</v>
      </c>
      <c r="H242" s="5036" t="s">
        <v>7621</v>
      </c>
      <c r="I242" s="5036" t="s">
        <v>7622</v>
      </c>
      <c r="J242" s="5036" t="s">
        <v>7623</v>
      </c>
      <c r="K242" s="5036" t="s">
        <v>7624</v>
      </c>
      <c r="L242" s="5036" t="s">
        <v>7625</v>
      </c>
      <c r="M242" s="5036" t="s">
        <v>7626</v>
      </c>
      <c r="N242" s="5036" t="s">
        <v>7627</v>
      </c>
      <c r="O242" s="5036" t="s">
        <v>7628</v>
      </c>
      <c r="P242" s="5037"/>
      <c r="Q242" s="5036" t="s">
        <v>7629</v>
      </c>
      <c r="R242" s="5036" t="s">
        <v>7630</v>
      </c>
      <c r="S242" s="5036" t="s">
        <v>7631</v>
      </c>
      <c r="T242" s="5036" t="s">
        <v>7632</v>
      </c>
      <c r="U242" s="5036" t="s">
        <v>7633</v>
      </c>
      <c r="V242" s="5036" t="s">
        <v>7634</v>
      </c>
      <c r="W242" s="5036" t="s">
        <v>7635</v>
      </c>
      <c r="X242" s="5036" t="s">
        <v>7636</v>
      </c>
      <c r="Y242" s="5036" t="s">
        <v>7637</v>
      </c>
      <c r="Z242" s="5036" t="s">
        <v>7638</v>
      </c>
      <c r="AA242" s="5036" t="s">
        <v>7639</v>
      </c>
      <c r="AB242" s="5036" t="s">
        <v>7640</v>
      </c>
      <c r="AC242" s="5036" t="s">
        <v>7641</v>
      </c>
      <c r="AD242" s="4746"/>
      <c r="AE242" s="4746"/>
      <c r="AF242" s="4746"/>
      <c r="AG242" s="4987"/>
      <c r="AH242" s="4988"/>
      <c r="AI242" s="4988"/>
      <c r="AJ242" s="4746"/>
      <c r="AK242" s="4746"/>
      <c r="AL242" s="4838">
        <v>1</v>
      </c>
      <c r="AM242" s="1"/>
      <c r="AN242" s="1"/>
    </row>
    <row r="243" spans="1:40" s="4766" customFormat="1" ht="40.5" customHeight="1">
      <c r="A243" s="4744"/>
      <c r="B243" s="4961"/>
      <c r="C243" s="5037"/>
      <c r="D243" s="5037"/>
      <c r="E243" s="5037"/>
      <c r="F243" s="5037"/>
      <c r="G243" s="5037"/>
      <c r="H243" s="5037"/>
      <c r="I243" s="5037"/>
      <c r="J243" s="5037"/>
      <c r="K243" s="5037"/>
      <c r="L243" s="5037"/>
      <c r="M243" s="4744"/>
      <c r="N243" s="4744"/>
      <c r="O243" s="4744"/>
      <c r="P243" s="4744"/>
      <c r="Q243" s="4744"/>
      <c r="R243" s="4744"/>
      <c r="S243" s="4744"/>
      <c r="T243" s="4744"/>
      <c r="U243" s="4744"/>
      <c r="V243" s="4744"/>
      <c r="W243" s="4744"/>
      <c r="X243" s="4744"/>
      <c r="Y243" s="4744"/>
      <c r="Z243" s="4746"/>
      <c r="AA243" s="4746"/>
      <c r="AB243" s="4746"/>
      <c r="AC243" s="4746"/>
      <c r="AD243" s="4746"/>
      <c r="AE243" s="4746"/>
      <c r="AF243" s="4746"/>
      <c r="AG243" s="4987"/>
      <c r="AH243" s="4988"/>
      <c r="AI243" s="4988"/>
      <c r="AJ243" s="4746"/>
      <c r="AK243" s="4746"/>
      <c r="AL243" s="4838">
        <v>1</v>
      </c>
      <c r="AM243" s="1"/>
      <c r="AN243" s="1"/>
    </row>
    <row r="244" spans="1:40" s="4766" customFormat="1" ht="40.5" customHeight="1">
      <c r="A244" s="4744"/>
      <c r="B244" s="4961"/>
      <c r="C244" s="5036" t="s">
        <v>7603</v>
      </c>
      <c r="D244" s="5036" t="s">
        <v>7604</v>
      </c>
      <c r="E244" s="5036" t="s">
        <v>7605</v>
      </c>
      <c r="F244" s="5036" t="s">
        <v>7606</v>
      </c>
      <c r="G244" s="5036" t="s">
        <v>7607</v>
      </c>
      <c r="H244" s="5036" t="s">
        <v>7608</v>
      </c>
      <c r="I244" s="5036" t="s">
        <v>7609</v>
      </c>
      <c r="J244" s="5036" t="s">
        <v>7610</v>
      </c>
      <c r="K244" s="5036" t="s">
        <v>7611</v>
      </c>
      <c r="L244" s="5036" t="s">
        <v>7612</v>
      </c>
      <c r="M244" s="5036" t="s">
        <v>7613</v>
      </c>
      <c r="N244" s="5036" t="s">
        <v>7614</v>
      </c>
      <c r="O244" s="5036" t="s">
        <v>7615</v>
      </c>
      <c r="P244" s="4744"/>
      <c r="Q244" s="5036" t="s">
        <v>7642</v>
      </c>
      <c r="R244" s="5036" t="s">
        <v>7643</v>
      </c>
      <c r="S244" s="5036" t="s">
        <v>7644</v>
      </c>
      <c r="T244" s="5036" t="s">
        <v>7645</v>
      </c>
      <c r="U244" s="5036" t="s">
        <v>7646</v>
      </c>
      <c r="V244" s="5036" t="s">
        <v>7647</v>
      </c>
      <c r="W244" s="5036" t="s">
        <v>7648</v>
      </c>
      <c r="X244" s="5036" t="s">
        <v>7649</v>
      </c>
      <c r="Y244" s="5036" t="s">
        <v>7649</v>
      </c>
      <c r="Z244" s="5036" t="s">
        <v>7650</v>
      </c>
      <c r="AA244" s="5036" t="s">
        <v>7651</v>
      </c>
      <c r="AB244" s="5036" t="s">
        <v>7652</v>
      </c>
      <c r="AC244" s="5036" t="s">
        <v>7653</v>
      </c>
      <c r="AD244" s="5036" t="s">
        <v>7654</v>
      </c>
      <c r="AE244" s="4746"/>
      <c r="AF244" s="4746"/>
      <c r="AG244" s="4987"/>
      <c r="AH244" s="4988"/>
      <c r="AI244" s="4988"/>
      <c r="AJ244" s="4746"/>
      <c r="AK244" s="4746"/>
      <c r="AL244" s="4838">
        <v>1</v>
      </c>
      <c r="AM244" s="1"/>
      <c r="AN244" s="1"/>
    </row>
    <row r="245" spans="1:40" s="4766" customFormat="1" ht="40.5" customHeight="1">
      <c r="A245" s="4744"/>
      <c r="B245" s="4961"/>
      <c r="C245" s="5036" t="s">
        <v>7629</v>
      </c>
      <c r="D245" s="5036" t="s">
        <v>7630</v>
      </c>
      <c r="E245" s="5036" t="s">
        <v>7631</v>
      </c>
      <c r="F245" s="5036" t="s">
        <v>7632</v>
      </c>
      <c r="G245" s="5036" t="s">
        <v>7633</v>
      </c>
      <c r="H245" s="5036" t="s">
        <v>7634</v>
      </c>
      <c r="I245" s="5036" t="s">
        <v>7635</v>
      </c>
      <c r="J245" s="5036" t="s">
        <v>7636</v>
      </c>
      <c r="K245" s="5036" t="s">
        <v>7637</v>
      </c>
      <c r="L245" s="5036" t="s">
        <v>7638</v>
      </c>
      <c r="M245" s="5036" t="s">
        <v>7639</v>
      </c>
      <c r="N245" s="5036" t="s">
        <v>7640</v>
      </c>
      <c r="O245" s="5036" t="s">
        <v>7641</v>
      </c>
      <c r="P245" s="4744"/>
      <c r="Q245" s="5036" t="s">
        <v>7655</v>
      </c>
      <c r="R245" s="5036" t="s">
        <v>7656</v>
      </c>
      <c r="S245" s="5036" t="s">
        <v>7657</v>
      </c>
      <c r="T245" s="5036" t="s">
        <v>7658</v>
      </c>
      <c r="U245" s="5036" t="s">
        <v>7659</v>
      </c>
      <c r="V245" s="5036" t="s">
        <v>7659</v>
      </c>
      <c r="W245" s="5036" t="s">
        <v>7660</v>
      </c>
      <c r="X245" s="5036" t="s">
        <v>7661</v>
      </c>
      <c r="Y245" s="5036" t="s">
        <v>7662</v>
      </c>
      <c r="Z245" s="5036" t="s">
        <v>7663</v>
      </c>
      <c r="AA245" s="5036" t="s">
        <v>7664</v>
      </c>
      <c r="AB245" s="5036" t="s">
        <v>7665</v>
      </c>
      <c r="AC245" s="5036" t="s">
        <v>7666</v>
      </c>
      <c r="AD245" s="5036"/>
      <c r="AE245" s="4746"/>
      <c r="AF245" s="4746"/>
      <c r="AG245" s="4987"/>
      <c r="AH245" s="4988"/>
      <c r="AI245" s="4988"/>
      <c r="AJ245" s="4746"/>
      <c r="AK245" s="4746"/>
      <c r="AL245" s="4838">
        <v>1</v>
      </c>
      <c r="AM245" s="1"/>
      <c r="AN245" s="1"/>
    </row>
    <row r="246" spans="1:40" s="4766" customFormat="1" ht="40.5" customHeight="1">
      <c r="A246" s="4744"/>
      <c r="B246" s="4961"/>
      <c r="C246" s="5037"/>
      <c r="D246" s="5037"/>
      <c r="E246" s="5037"/>
      <c r="F246" s="5037"/>
      <c r="G246" s="5037"/>
      <c r="H246" s="5037"/>
      <c r="I246" s="5037"/>
      <c r="J246" s="5037"/>
      <c r="K246" s="5037"/>
      <c r="L246" s="5037"/>
      <c r="M246" s="4744"/>
      <c r="N246" s="4744"/>
      <c r="O246" s="4744"/>
      <c r="P246" s="4744"/>
      <c r="Q246" s="4744"/>
      <c r="R246" s="4744"/>
      <c r="S246" s="4744"/>
      <c r="T246" s="4744"/>
      <c r="U246" s="4744"/>
      <c r="V246" s="4744"/>
      <c r="W246" s="4744"/>
      <c r="X246" s="4744"/>
      <c r="Y246" s="4744"/>
      <c r="Z246" s="4746"/>
      <c r="AA246" s="4746"/>
      <c r="AB246" s="4746"/>
      <c r="AC246" s="4746"/>
      <c r="AD246" s="4746"/>
      <c r="AE246" s="4746"/>
      <c r="AF246" s="4746"/>
      <c r="AG246" s="4987"/>
      <c r="AH246" s="4988"/>
      <c r="AI246" s="4988"/>
      <c r="AJ246" s="4746"/>
      <c r="AK246" s="4746"/>
      <c r="AL246" s="4838">
        <v>1</v>
      </c>
      <c r="AM246" s="1"/>
      <c r="AN246" s="1"/>
    </row>
    <row r="247" spans="1:40" s="4766" customFormat="1" ht="40.5" customHeight="1">
      <c r="A247" s="4744"/>
      <c r="B247" s="4961"/>
      <c r="C247" s="5038" t="s">
        <v>2564</v>
      </c>
      <c r="D247" s="5038" t="s">
        <v>2572</v>
      </c>
      <c r="E247" s="5038" t="s">
        <v>2580</v>
      </c>
      <c r="F247" s="5038" t="s">
        <v>7667</v>
      </c>
      <c r="G247" s="5038" t="s">
        <v>7668</v>
      </c>
      <c r="H247" s="5038" t="s">
        <v>7669</v>
      </c>
      <c r="I247" s="5038" t="s">
        <v>7670</v>
      </c>
      <c r="J247" s="5038" t="s">
        <v>7671</v>
      </c>
      <c r="K247" s="5038" t="s">
        <v>7672</v>
      </c>
      <c r="L247" s="5038" t="s">
        <v>7673</v>
      </c>
      <c r="M247" s="5038" t="s">
        <v>7674</v>
      </c>
      <c r="N247" s="5038" t="s">
        <v>7675</v>
      </c>
      <c r="O247" s="5038" t="s">
        <v>7676</v>
      </c>
      <c r="P247" s="4744"/>
      <c r="Q247" s="5039" t="s">
        <v>7677</v>
      </c>
      <c r="R247" s="5039" t="s">
        <v>1807</v>
      </c>
      <c r="S247" s="5039" t="s">
        <v>1901</v>
      </c>
      <c r="T247" s="5039" t="s">
        <v>739</v>
      </c>
      <c r="U247" s="5039" t="s">
        <v>744</v>
      </c>
      <c r="V247" s="5039" t="s">
        <v>746</v>
      </c>
      <c r="W247" s="5039" t="s">
        <v>2468</v>
      </c>
      <c r="X247" s="5039" t="s">
        <v>2521</v>
      </c>
      <c r="Y247" s="5039" t="s">
        <v>3454</v>
      </c>
      <c r="Z247" s="5039" t="s">
        <v>3466</v>
      </c>
      <c r="AA247" s="5039" t="s">
        <v>3471</v>
      </c>
      <c r="AB247" s="4746"/>
      <c r="AC247" s="4746"/>
      <c r="AD247" s="4746"/>
      <c r="AE247" s="4746"/>
      <c r="AF247" s="4746"/>
      <c r="AG247" s="4987"/>
      <c r="AH247" s="4988"/>
      <c r="AI247" s="4988"/>
      <c r="AJ247" s="4746"/>
      <c r="AK247" s="4746"/>
      <c r="AL247" s="4838">
        <v>1</v>
      </c>
      <c r="AM247" s="1"/>
      <c r="AN247" s="1"/>
    </row>
    <row r="248" spans="1:40" s="4766" customFormat="1" ht="40.5" customHeight="1">
      <c r="A248" s="4744"/>
      <c r="B248" s="4961"/>
      <c r="C248" s="5038" t="s">
        <v>7678</v>
      </c>
      <c r="D248" s="5038" t="s">
        <v>7679</v>
      </c>
      <c r="E248" s="5038" t="s">
        <v>7680</v>
      </c>
      <c r="F248" s="5038" t="s">
        <v>7681</v>
      </c>
      <c r="G248" s="5038" t="s">
        <v>7682</v>
      </c>
      <c r="H248" s="5038" t="s">
        <v>7683</v>
      </c>
      <c r="I248" s="5038" t="s">
        <v>7684</v>
      </c>
      <c r="J248" s="5038" t="s">
        <v>7685</v>
      </c>
      <c r="K248" s="5038" t="s">
        <v>7686</v>
      </c>
      <c r="L248" s="5038" t="s">
        <v>7687</v>
      </c>
      <c r="M248" s="5038" t="s">
        <v>7688</v>
      </c>
      <c r="N248" s="5038" t="s">
        <v>7688</v>
      </c>
      <c r="O248" s="5038" t="s">
        <v>7689</v>
      </c>
      <c r="P248" s="4744"/>
      <c r="Q248" s="5039" t="s">
        <v>3476</v>
      </c>
      <c r="R248" s="5039" t="s">
        <v>3482</v>
      </c>
      <c r="S248" s="5039" t="s">
        <v>3490</v>
      </c>
      <c r="T248" s="5039" t="s">
        <v>7690</v>
      </c>
      <c r="U248" s="5039" t="s">
        <v>7691</v>
      </c>
      <c r="V248" s="5039" t="s">
        <v>7692</v>
      </c>
      <c r="W248" s="5039" t="s">
        <v>7693</v>
      </c>
      <c r="X248" s="5039" t="s">
        <v>7694</v>
      </c>
      <c r="Y248" s="5039" t="s">
        <v>7695</v>
      </c>
      <c r="Z248" s="5039" t="s">
        <v>7696</v>
      </c>
      <c r="AA248" s="5039"/>
      <c r="AB248" s="4746"/>
      <c r="AC248" s="4746"/>
      <c r="AD248" s="4746"/>
      <c r="AE248" s="4746"/>
      <c r="AF248" s="4746"/>
      <c r="AG248" s="4987"/>
      <c r="AH248" s="4988"/>
      <c r="AI248" s="4988"/>
      <c r="AJ248" s="4746"/>
      <c r="AK248" s="4746"/>
      <c r="AL248" s="4838">
        <v>1</v>
      </c>
      <c r="AM248" s="1"/>
      <c r="AN248" s="1"/>
    </row>
    <row r="249" spans="1:40" s="4766" customFormat="1" ht="40.5" customHeight="1">
      <c r="A249" s="4744"/>
      <c r="B249" s="4961"/>
      <c r="C249" s="5037"/>
      <c r="D249" s="5037"/>
      <c r="E249" s="5037"/>
      <c r="F249" s="5037"/>
      <c r="G249" s="5037"/>
      <c r="H249" s="5037"/>
      <c r="I249" s="5037"/>
      <c r="J249" s="5037"/>
      <c r="K249" s="5037"/>
      <c r="L249" s="5037"/>
      <c r="M249" s="4744"/>
      <c r="N249" s="4744"/>
      <c r="O249" s="4744"/>
      <c r="P249" s="4744"/>
      <c r="Q249" s="4744"/>
      <c r="R249" s="4744"/>
      <c r="S249" s="4744"/>
      <c r="T249" s="4744"/>
      <c r="U249" s="4744"/>
      <c r="V249" s="4744"/>
      <c r="W249" s="4744"/>
      <c r="X249" s="4744"/>
      <c r="Y249" s="4744"/>
      <c r="Z249" s="4746"/>
      <c r="AA249" s="4746"/>
      <c r="AB249" s="4746"/>
      <c r="AC249" s="4746"/>
      <c r="AD249" s="4746"/>
      <c r="AE249" s="4746"/>
      <c r="AF249" s="4746"/>
      <c r="AG249" s="4987"/>
      <c r="AH249" s="4988"/>
      <c r="AI249" s="4988"/>
      <c r="AJ249" s="4746"/>
      <c r="AK249" s="4746"/>
      <c r="AL249" s="4838">
        <v>1</v>
      </c>
      <c r="AM249" s="1"/>
      <c r="AN249" s="1"/>
    </row>
    <row r="250" spans="1:40" s="4766" customFormat="1" ht="40.5" customHeight="1">
      <c r="A250" s="4744"/>
      <c r="B250" s="4961"/>
      <c r="C250" s="5039" t="s">
        <v>7697</v>
      </c>
      <c r="D250" s="5039" t="s">
        <v>7698</v>
      </c>
      <c r="E250" s="5039" t="s">
        <v>7699</v>
      </c>
      <c r="F250" s="5039" t="s">
        <v>194</v>
      </c>
      <c r="G250" s="5039" t="s">
        <v>198</v>
      </c>
      <c r="H250" s="5039" t="s">
        <v>197</v>
      </c>
      <c r="I250" s="5039" t="s">
        <v>7700</v>
      </c>
      <c r="J250" s="5039" t="s">
        <v>7701</v>
      </c>
      <c r="K250" s="5039" t="s">
        <v>1001</v>
      </c>
      <c r="L250" s="5039" t="s">
        <v>7702</v>
      </c>
      <c r="M250" s="5039" t="s">
        <v>7703</v>
      </c>
      <c r="N250" s="4744"/>
      <c r="O250" s="4744"/>
      <c r="P250" s="4744"/>
      <c r="Q250" s="5039" t="s">
        <v>7704</v>
      </c>
      <c r="R250" s="5039" t="s">
        <v>7705</v>
      </c>
      <c r="S250" s="5039" t="s">
        <v>7706</v>
      </c>
      <c r="T250" s="5039" t="s">
        <v>7707</v>
      </c>
      <c r="U250" s="5039" t="s">
        <v>7708</v>
      </c>
      <c r="V250" s="5039" t="s">
        <v>7709</v>
      </c>
      <c r="W250" s="5039" t="s">
        <v>7710</v>
      </c>
      <c r="X250" s="5039" t="s">
        <v>7711</v>
      </c>
      <c r="Y250" s="5039" t="s">
        <v>7712</v>
      </c>
      <c r="Z250" s="5039" t="s">
        <v>7713</v>
      </c>
      <c r="AA250" s="4746"/>
      <c r="AB250" s="4746"/>
      <c r="AC250" s="4746"/>
      <c r="AD250" s="4746"/>
      <c r="AE250" s="4746"/>
      <c r="AF250" s="4746"/>
      <c r="AG250" s="4987"/>
      <c r="AH250" s="4988"/>
      <c r="AI250" s="4988"/>
      <c r="AJ250" s="4746"/>
      <c r="AK250" s="4746"/>
      <c r="AL250" s="4838">
        <v>1</v>
      </c>
      <c r="AM250" s="1"/>
      <c r="AN250" s="1"/>
    </row>
    <row r="251" spans="1:40" s="4766" customFormat="1" ht="40.5" customHeight="1">
      <c r="A251" s="4744"/>
      <c r="B251" s="4961"/>
      <c r="C251" s="5037"/>
      <c r="D251" s="5037"/>
      <c r="E251" s="5037"/>
      <c r="F251" s="5037"/>
      <c r="G251" s="5037"/>
      <c r="H251" s="5037"/>
      <c r="I251" s="5037"/>
      <c r="J251" s="5037"/>
      <c r="K251" s="5037"/>
      <c r="L251" s="5037"/>
      <c r="M251" s="4744"/>
      <c r="N251" s="4744"/>
      <c r="O251" s="5037"/>
      <c r="P251" s="5037"/>
      <c r="Q251" s="5037"/>
      <c r="R251" s="5037"/>
      <c r="S251" s="5037"/>
      <c r="T251" s="5037"/>
      <c r="U251" s="5037"/>
      <c r="V251" s="5037"/>
      <c r="W251" s="5037"/>
      <c r="X251" s="5037"/>
      <c r="Y251" s="4746"/>
      <c r="Z251" s="4746"/>
      <c r="AA251" s="4746"/>
      <c r="AB251" s="4746"/>
      <c r="AC251" s="4746"/>
      <c r="AD251" s="4746"/>
      <c r="AE251" s="4746"/>
      <c r="AF251" s="4746"/>
      <c r="AG251" s="4987"/>
      <c r="AH251" s="4988"/>
      <c r="AI251" s="4988"/>
      <c r="AJ251" s="4746"/>
      <c r="AK251" s="4746"/>
      <c r="AL251" s="4838">
        <v>1</v>
      </c>
      <c r="AM251" s="1"/>
      <c r="AN251" s="1"/>
    </row>
    <row r="252" spans="1:40" s="4766" customFormat="1" ht="40.5" customHeight="1">
      <c r="A252" s="4744"/>
      <c r="B252" s="4961"/>
      <c r="C252" s="4869" t="s">
        <v>7714</v>
      </c>
      <c r="D252" s="4744"/>
      <c r="E252" s="4744"/>
      <c r="F252" s="4744"/>
      <c r="G252" s="4744"/>
      <c r="H252" s="4744"/>
      <c r="I252" s="4915"/>
      <c r="J252" s="4744"/>
      <c r="K252" s="4744"/>
      <c r="L252" s="4744"/>
      <c r="M252" s="4744"/>
      <c r="N252" s="4744"/>
      <c r="O252" s="4915"/>
      <c r="P252" s="4915"/>
      <c r="Q252" s="4915"/>
      <c r="R252" s="4915"/>
      <c r="S252" s="4915"/>
      <c r="T252" s="4746"/>
      <c r="U252" s="4746"/>
      <c r="V252" s="4746"/>
      <c r="W252" s="4746"/>
      <c r="X252" s="4746"/>
      <c r="Y252" s="4746"/>
      <c r="Z252" s="4746"/>
      <c r="AA252" s="4746"/>
      <c r="AB252" s="4746"/>
      <c r="AC252" s="4746"/>
      <c r="AD252" s="4746"/>
      <c r="AE252" s="4746"/>
      <c r="AF252" s="4746"/>
      <c r="AG252" s="4987"/>
      <c r="AH252" s="4988"/>
      <c r="AI252" s="4988"/>
      <c r="AJ252" s="4746"/>
      <c r="AK252" s="4746"/>
      <c r="AL252" s="4838">
        <v>1</v>
      </c>
      <c r="AM252" s="1"/>
      <c r="AN252" s="1"/>
    </row>
    <row r="253" spans="1:40" s="4766" customFormat="1" ht="40.5" customHeight="1">
      <c r="A253" s="4744"/>
      <c r="B253" s="4961"/>
      <c r="C253" s="4869" t="s">
        <v>7715</v>
      </c>
      <c r="D253" s="4744"/>
      <c r="E253" s="4744"/>
      <c r="F253" s="4744"/>
      <c r="G253" s="4744"/>
      <c r="H253" s="4744"/>
      <c r="I253" s="4915"/>
      <c r="J253" s="4744"/>
      <c r="K253" s="4744"/>
      <c r="L253" s="4744"/>
      <c r="M253" s="4744"/>
      <c r="N253" s="4744"/>
      <c r="O253" s="4915"/>
      <c r="P253" s="4915"/>
      <c r="Q253" s="4915"/>
      <c r="R253" s="4915"/>
      <c r="S253" s="4915"/>
      <c r="T253" s="4746"/>
      <c r="U253" s="4746"/>
      <c r="V253" s="4746"/>
      <c r="W253" s="4746"/>
      <c r="X253" s="4746"/>
      <c r="Y253" s="4746"/>
      <c r="Z253" s="4746"/>
      <c r="AA253" s="4746"/>
      <c r="AB253" s="4746"/>
      <c r="AC253" s="4746"/>
      <c r="AD253" s="4746"/>
      <c r="AE253" s="4746"/>
      <c r="AF253" s="4746"/>
      <c r="AG253" s="4987"/>
      <c r="AH253" s="4988"/>
      <c r="AI253" s="4988"/>
      <c r="AJ253" s="4746"/>
      <c r="AK253" s="4746"/>
      <c r="AL253" s="4838">
        <v>1</v>
      </c>
      <c r="AM253" s="1"/>
      <c r="AN253" s="1"/>
    </row>
    <row r="254" spans="1:40" s="4766" customFormat="1" ht="40.5" customHeight="1">
      <c r="A254" s="4744"/>
      <c r="B254" s="4961"/>
      <c r="C254" s="4869" t="s">
        <v>7716</v>
      </c>
      <c r="D254" s="4744"/>
      <c r="E254" s="4744"/>
      <c r="F254" s="4744"/>
      <c r="G254" s="4744"/>
      <c r="H254" s="4744"/>
      <c r="I254" s="4915"/>
      <c r="J254" s="4744"/>
      <c r="K254" s="4744"/>
      <c r="L254" s="4744"/>
      <c r="M254" s="4744"/>
      <c r="N254" s="4744"/>
      <c r="O254" s="4915"/>
      <c r="P254" s="4915"/>
      <c r="Q254" s="4915"/>
      <c r="R254" s="4915"/>
      <c r="S254" s="4915"/>
      <c r="T254" s="4746"/>
      <c r="U254" s="4746"/>
      <c r="V254" s="4746"/>
      <c r="W254" s="4746"/>
      <c r="X254" s="4746"/>
      <c r="Y254" s="4746"/>
      <c r="Z254" s="4746"/>
      <c r="AA254" s="4746"/>
      <c r="AB254" s="4746"/>
      <c r="AC254" s="4746"/>
      <c r="AD254" s="4746"/>
      <c r="AE254" s="4746"/>
      <c r="AF254" s="4746"/>
      <c r="AG254" s="4987"/>
      <c r="AH254" s="4988"/>
      <c r="AI254" s="4988"/>
      <c r="AJ254" s="4746"/>
      <c r="AK254" s="4746"/>
      <c r="AL254" s="4838">
        <v>1</v>
      </c>
      <c r="AM254" s="1"/>
      <c r="AN254" s="1"/>
    </row>
    <row r="255" spans="1:40" s="4766" customFormat="1" ht="40.5" customHeight="1">
      <c r="A255" s="4744"/>
      <c r="B255" s="4961"/>
      <c r="C255" s="5040" t="s">
        <v>7717</v>
      </c>
      <c r="D255" s="5040" t="s">
        <v>7718</v>
      </c>
      <c r="E255" s="5040" t="s">
        <v>7719</v>
      </c>
      <c r="F255" s="5040" t="s">
        <v>7720</v>
      </c>
      <c r="G255" s="5040" t="s">
        <v>7721</v>
      </c>
      <c r="H255" s="5040" t="s">
        <v>7722</v>
      </c>
      <c r="I255" s="5040" t="s">
        <v>7723</v>
      </c>
      <c r="J255" s="5040" t="s">
        <v>7724</v>
      </c>
      <c r="K255" s="5040" t="s">
        <v>7725</v>
      </c>
      <c r="L255" s="5040" t="s">
        <v>7726</v>
      </c>
      <c r="M255" s="5040" t="s">
        <v>7727</v>
      </c>
      <c r="N255" s="5040"/>
      <c r="O255" s="5040"/>
      <c r="P255" s="5041"/>
      <c r="Q255" s="5041"/>
      <c r="R255" s="5041"/>
      <c r="S255" s="4915"/>
      <c r="T255" s="4746"/>
      <c r="U255" s="4746"/>
      <c r="V255" s="4746"/>
      <c r="W255" s="4746"/>
      <c r="X255" s="4746"/>
      <c r="Y255" s="4746"/>
      <c r="Z255" s="4746"/>
      <c r="AA255" s="4746"/>
      <c r="AB255" s="4746"/>
      <c r="AC255" s="4746"/>
      <c r="AD255" s="4746"/>
      <c r="AE255" s="4746"/>
      <c r="AF255" s="4746"/>
      <c r="AG255" s="4987"/>
      <c r="AH255" s="4988"/>
      <c r="AI255" s="4988"/>
      <c r="AJ255" s="4746"/>
      <c r="AK255" s="4746"/>
      <c r="AL255" s="4838">
        <v>1</v>
      </c>
      <c r="AM255" s="1"/>
      <c r="AN255" s="1"/>
    </row>
    <row r="256" spans="1:40" s="4766" customFormat="1" ht="40.5" customHeight="1">
      <c r="A256" s="4744"/>
      <c r="B256" s="4961"/>
      <c r="C256" s="5042" t="s">
        <v>7728</v>
      </c>
      <c r="D256" s="5042" t="s">
        <v>7729</v>
      </c>
      <c r="E256" s="5042" t="s">
        <v>7730</v>
      </c>
      <c r="F256" s="5042"/>
      <c r="G256" s="5042" t="s">
        <v>7731</v>
      </c>
      <c r="H256" s="5042"/>
      <c r="I256" s="5042" t="s">
        <v>7732</v>
      </c>
      <c r="J256" s="5042"/>
      <c r="K256" s="5042" t="s">
        <v>7733</v>
      </c>
      <c r="L256" s="5042"/>
      <c r="M256" s="5042" t="s">
        <v>7734</v>
      </c>
      <c r="N256" s="5042" t="s">
        <v>7735</v>
      </c>
      <c r="O256" s="5042"/>
      <c r="P256" s="5042" t="s">
        <v>7736</v>
      </c>
      <c r="Q256" s="5042"/>
      <c r="R256" s="5042" t="s">
        <v>7737</v>
      </c>
      <c r="S256" s="4915"/>
      <c r="T256" s="4746"/>
      <c r="U256" s="4746"/>
      <c r="V256" s="4746"/>
      <c r="W256" s="4746"/>
      <c r="X256" s="4746"/>
      <c r="Y256" s="4746"/>
      <c r="Z256" s="4746"/>
      <c r="AA256" s="4746"/>
      <c r="AB256" s="4746"/>
      <c r="AC256" s="4746"/>
      <c r="AD256" s="4746"/>
      <c r="AE256" s="4746"/>
      <c r="AF256" s="4746"/>
      <c r="AG256" s="4987"/>
      <c r="AH256" s="4988"/>
      <c r="AI256" s="4988"/>
      <c r="AJ256" s="4746"/>
      <c r="AK256" s="4746"/>
      <c r="AL256" s="4838">
        <v>1</v>
      </c>
      <c r="AM256" s="1"/>
      <c r="AN256" s="1"/>
    </row>
    <row r="257" spans="1:40" s="4766" customFormat="1" ht="40.5" customHeight="1">
      <c r="A257" s="4744"/>
      <c r="B257" s="4961"/>
      <c r="C257" s="4869" t="s">
        <v>7738</v>
      </c>
      <c r="D257" s="4744"/>
      <c r="E257" s="4744"/>
      <c r="F257" s="4744"/>
      <c r="G257" s="4744"/>
      <c r="H257" s="4744"/>
      <c r="I257" s="4915"/>
      <c r="J257" s="4744"/>
      <c r="K257" s="4744"/>
      <c r="L257" s="4744"/>
      <c r="M257" s="4744"/>
      <c r="N257" s="4744"/>
      <c r="O257" s="4915"/>
      <c r="P257" s="4915"/>
      <c r="Q257" s="4915"/>
      <c r="R257" s="4915"/>
      <c r="S257" s="4915"/>
      <c r="T257" s="4746"/>
      <c r="U257" s="4746"/>
      <c r="V257" s="4746"/>
      <c r="W257" s="4746"/>
      <c r="X257" s="4746"/>
      <c r="Y257" s="4746"/>
      <c r="Z257" s="4746"/>
      <c r="AA257" s="4746"/>
      <c r="AB257" s="4746"/>
      <c r="AC257" s="4746"/>
      <c r="AD257" s="4746"/>
      <c r="AE257" s="4746"/>
      <c r="AF257" s="4746"/>
      <c r="AG257" s="4987"/>
      <c r="AH257" s="4988"/>
      <c r="AI257" s="4988"/>
      <c r="AJ257" s="4746"/>
      <c r="AK257" s="4746"/>
      <c r="AL257" s="4838">
        <v>1</v>
      </c>
      <c r="AM257" s="1"/>
      <c r="AN257" s="1"/>
    </row>
    <row r="258" spans="1:40" s="4766" customFormat="1" ht="40.5" customHeight="1">
      <c r="A258" s="4744"/>
      <c r="B258" s="4961"/>
      <c r="C258" s="5035"/>
      <c r="D258" s="4744"/>
      <c r="E258" s="4744"/>
      <c r="F258" s="4744"/>
      <c r="G258" s="4744"/>
      <c r="H258" s="4744"/>
      <c r="I258" s="4915"/>
      <c r="J258" s="4744"/>
      <c r="K258" s="4744"/>
      <c r="L258" s="4744"/>
      <c r="M258" s="4744"/>
      <c r="N258" s="4744"/>
      <c r="O258" s="4915"/>
      <c r="P258" s="4915"/>
      <c r="Q258" s="4915"/>
      <c r="R258" s="4915"/>
      <c r="S258" s="4915"/>
      <c r="T258" s="4746"/>
      <c r="U258" s="4746"/>
      <c r="V258" s="4746"/>
      <c r="W258" s="4746"/>
      <c r="X258" s="4746"/>
      <c r="Y258" s="4746"/>
      <c r="Z258" s="4746"/>
      <c r="AA258" s="4746"/>
      <c r="AB258" s="4746"/>
      <c r="AC258" s="4746"/>
      <c r="AD258" s="4746"/>
      <c r="AE258" s="4746"/>
      <c r="AF258" s="4746"/>
      <c r="AG258" s="4987"/>
      <c r="AH258" s="4988"/>
      <c r="AI258" s="4988"/>
      <c r="AJ258" s="4746"/>
      <c r="AK258" s="4746"/>
      <c r="AL258" s="4838">
        <v>1</v>
      </c>
      <c r="AM258" s="1"/>
      <c r="AN258" s="1"/>
    </row>
    <row r="259" spans="1:40" s="5046" customFormat="1" ht="40.5" customHeight="1">
      <c r="A259" s="5010"/>
      <c r="B259" s="4986" t="s">
        <v>7739</v>
      </c>
      <c r="C259" s="5010"/>
      <c r="D259" s="5010"/>
      <c r="E259" s="5010"/>
      <c r="F259" s="5010"/>
      <c r="G259" s="5043" t="s">
        <v>7740</v>
      </c>
      <c r="H259" s="5010"/>
      <c r="I259" s="4915"/>
      <c r="J259" s="5010"/>
      <c r="K259" s="5010"/>
      <c r="L259" s="5010"/>
      <c r="M259" s="5010"/>
      <c r="N259" s="5010"/>
      <c r="O259" s="4915"/>
      <c r="P259" s="4915"/>
      <c r="Q259" s="4915"/>
      <c r="R259" s="4915"/>
      <c r="S259" s="4915"/>
      <c r="T259" s="4987"/>
      <c r="U259" s="4746"/>
      <c r="V259" s="5044" t="s">
        <v>7741</v>
      </c>
      <c r="W259" s="5045"/>
      <c r="X259" s="5045"/>
      <c r="Y259" s="5045"/>
      <c r="Z259" s="4781"/>
      <c r="AA259" s="4781"/>
      <c r="AB259" s="4781"/>
      <c r="AC259" s="4746" t="s">
        <v>1</v>
      </c>
      <c r="AD259" s="4746"/>
      <c r="AE259" s="4746"/>
      <c r="AF259" s="4746"/>
      <c r="AG259" s="4987"/>
      <c r="AH259" s="4988"/>
      <c r="AI259" s="4988"/>
      <c r="AJ259" s="4746"/>
      <c r="AK259" s="4746"/>
      <c r="AL259" s="4838">
        <v>1</v>
      </c>
      <c r="AM259" s="1"/>
      <c r="AN259" s="1"/>
    </row>
    <row r="260" spans="1:40" s="5046" customFormat="1" ht="40.5" customHeight="1">
      <c r="A260" s="5010"/>
      <c r="B260" s="5047" t="s">
        <v>7742</v>
      </c>
      <c r="C260" s="5047" t="s">
        <v>7743</v>
      </c>
      <c r="D260" s="5047" t="s">
        <v>7744</v>
      </c>
      <c r="E260" s="5047"/>
      <c r="F260" s="5047" t="s">
        <v>7745</v>
      </c>
      <c r="G260" s="5047" t="s">
        <v>7746</v>
      </c>
      <c r="H260" s="5048" t="s">
        <v>3380</v>
      </c>
      <c r="I260" s="5047" t="s">
        <v>7747</v>
      </c>
      <c r="J260" s="5047" t="s">
        <v>7748</v>
      </c>
      <c r="K260" s="5047" t="s">
        <v>7749</v>
      </c>
      <c r="L260" s="5047"/>
      <c r="M260" s="5047"/>
      <c r="N260" s="5047"/>
      <c r="O260" s="5047" t="s">
        <v>7750</v>
      </c>
      <c r="P260" s="5047" t="s">
        <v>7751</v>
      </c>
      <c r="Q260" s="5047" t="s">
        <v>2995</v>
      </c>
      <c r="R260" s="5047" t="s">
        <v>7752</v>
      </c>
      <c r="S260" s="5047" t="s">
        <v>7753</v>
      </c>
      <c r="T260" s="5047" t="s">
        <v>26</v>
      </c>
      <c r="U260" s="5047" t="s">
        <v>262</v>
      </c>
      <c r="V260" s="5047" t="s">
        <v>7754</v>
      </c>
      <c r="W260" s="5047" t="s">
        <v>255</v>
      </c>
      <c r="X260" s="5047" t="s">
        <v>7755</v>
      </c>
      <c r="Y260" s="5047"/>
      <c r="Z260" s="4746"/>
      <c r="AA260" s="4746"/>
      <c r="AB260" s="4746"/>
      <c r="AC260" s="4746"/>
      <c r="AD260" s="4746"/>
      <c r="AE260" s="4746"/>
      <c r="AF260" s="4746"/>
      <c r="AG260" s="4987"/>
      <c r="AH260" s="4988"/>
      <c r="AI260" s="4988"/>
      <c r="AJ260" s="4746"/>
      <c r="AK260" s="4746"/>
      <c r="AL260" s="4838">
        <v>1</v>
      </c>
      <c r="AM260" s="1"/>
      <c r="AN260" s="1"/>
    </row>
    <row r="261" spans="1:40" s="5046" customFormat="1" ht="40.5" customHeight="1">
      <c r="A261" s="5010"/>
      <c r="B261" s="5010"/>
      <c r="C261" s="5049" t="s">
        <v>7756</v>
      </c>
      <c r="D261" s="5050" t="s">
        <v>7757</v>
      </c>
      <c r="E261" s="5047"/>
      <c r="F261" s="5047"/>
      <c r="G261" s="5047"/>
      <c r="H261" s="5047"/>
      <c r="I261" s="5047"/>
      <c r="J261" s="5047"/>
      <c r="K261" s="5047"/>
      <c r="L261" s="5047"/>
      <c r="M261" s="5047"/>
      <c r="N261" s="5047"/>
      <c r="O261" s="5047"/>
      <c r="P261" s="5047"/>
      <c r="Q261" s="5047"/>
      <c r="R261" s="5047"/>
      <c r="S261" s="5047"/>
      <c r="T261" s="5047"/>
      <c r="U261" s="5047"/>
      <c r="V261" s="5047"/>
      <c r="W261" s="5047"/>
      <c r="X261" s="5047"/>
      <c r="Y261" s="5047"/>
      <c r="Z261" s="4746"/>
      <c r="AA261" s="4746"/>
      <c r="AB261" s="4746"/>
      <c r="AC261" s="4746"/>
      <c r="AD261" s="4746"/>
      <c r="AE261" s="4746"/>
      <c r="AF261" s="4746"/>
      <c r="AG261" s="4987"/>
      <c r="AH261" s="4988"/>
      <c r="AI261" s="4988"/>
      <c r="AJ261" s="4746"/>
      <c r="AK261" s="4746"/>
      <c r="AL261" s="4838">
        <v>1</v>
      </c>
      <c r="AM261" s="1"/>
      <c r="AN261" s="1"/>
    </row>
    <row r="262" spans="1:40" s="5046" customFormat="1" ht="40.5" customHeight="1">
      <c r="A262" s="5010"/>
      <c r="B262" s="5010"/>
      <c r="C262" s="5049"/>
      <c r="D262" s="5050" t="s">
        <v>7758</v>
      </c>
      <c r="E262" s="5047"/>
      <c r="F262" s="5047"/>
      <c r="G262" s="5047"/>
      <c r="H262" s="5047"/>
      <c r="I262" s="5047"/>
      <c r="J262" s="5047"/>
      <c r="K262" s="5047"/>
      <c r="L262" s="5047"/>
      <c r="M262" s="5047"/>
      <c r="N262" s="5047"/>
      <c r="O262" s="5047"/>
      <c r="P262" s="5047"/>
      <c r="Q262" s="5047"/>
      <c r="R262" s="5047"/>
      <c r="S262" s="5047"/>
      <c r="T262" s="5047"/>
      <c r="U262" s="5047"/>
      <c r="V262" s="5047"/>
      <c r="W262" s="5047"/>
      <c r="X262" s="5047"/>
      <c r="Y262" s="5047"/>
      <c r="Z262" s="4746"/>
      <c r="AA262" s="4746"/>
      <c r="AB262" s="4746"/>
      <c r="AC262" s="4746"/>
      <c r="AD262" s="4746"/>
      <c r="AE262" s="4746"/>
      <c r="AF262" s="4746"/>
      <c r="AG262" s="4987"/>
      <c r="AH262" s="4988"/>
      <c r="AI262" s="4988"/>
      <c r="AJ262" s="4746"/>
      <c r="AK262" s="4746"/>
      <c r="AL262" s="4838">
        <v>1</v>
      </c>
      <c r="AM262" s="1"/>
      <c r="AN262" s="1"/>
    </row>
    <row r="263" spans="1:40" s="5046" customFormat="1" ht="40.5" customHeight="1">
      <c r="A263" s="5010"/>
      <c r="B263" s="5010"/>
      <c r="C263" s="5049"/>
      <c r="D263" s="5050" t="s">
        <v>7759</v>
      </c>
      <c r="E263" s="5047"/>
      <c r="F263" s="5047"/>
      <c r="G263" s="5047"/>
      <c r="H263" s="5047"/>
      <c r="I263" s="5047"/>
      <c r="J263" s="5047"/>
      <c r="K263" s="5047"/>
      <c r="L263" s="5047"/>
      <c r="M263" s="5047"/>
      <c r="N263" s="5047"/>
      <c r="O263" s="5047"/>
      <c r="P263" s="5047"/>
      <c r="Q263" s="5047"/>
      <c r="R263" s="5047"/>
      <c r="S263" s="5047"/>
      <c r="T263" s="5047"/>
      <c r="U263" s="5047"/>
      <c r="V263" s="5047"/>
      <c r="W263" s="5047"/>
      <c r="X263" s="5047"/>
      <c r="Y263" s="5047"/>
      <c r="Z263" s="4746"/>
      <c r="AA263" s="4746"/>
      <c r="AB263" s="4746"/>
      <c r="AC263" s="4746"/>
      <c r="AD263" s="4746"/>
      <c r="AE263" s="4746"/>
      <c r="AF263" s="4746"/>
      <c r="AG263" s="4987"/>
      <c r="AH263" s="4988"/>
      <c r="AI263" s="4988"/>
      <c r="AJ263" s="4746"/>
      <c r="AK263" s="4746"/>
      <c r="AL263" s="4838">
        <v>1</v>
      </c>
      <c r="AM263" s="1"/>
      <c r="AN263" s="1"/>
    </row>
    <row r="264" spans="1:40" s="5046" customFormat="1" ht="40.5" customHeight="1">
      <c r="A264" s="5010"/>
      <c r="B264" s="5010"/>
      <c r="C264" s="5051"/>
      <c r="D264" s="5052" t="s">
        <v>7760</v>
      </c>
      <c r="E264" s="5047"/>
      <c r="F264" s="5047"/>
      <c r="G264" s="5047"/>
      <c r="H264" s="5047"/>
      <c r="I264" s="5047"/>
      <c r="J264" s="5047"/>
      <c r="K264" s="5047"/>
      <c r="L264" s="5047"/>
      <c r="M264" s="5047"/>
      <c r="N264" s="5047"/>
      <c r="O264" s="5047"/>
      <c r="P264" s="5047"/>
      <c r="Q264" s="5047"/>
      <c r="R264" s="5047"/>
      <c r="S264" s="5047"/>
      <c r="T264" s="5047"/>
      <c r="U264" s="5047"/>
      <c r="V264" s="5047"/>
      <c r="W264" s="5047"/>
      <c r="X264" s="5047"/>
      <c r="Y264" s="5047"/>
      <c r="Z264" s="4746"/>
      <c r="AA264" s="4746"/>
      <c r="AB264" s="4746"/>
      <c r="AC264" s="4746"/>
      <c r="AD264" s="4746"/>
      <c r="AE264" s="4746"/>
      <c r="AF264" s="4746"/>
      <c r="AG264" s="4987"/>
      <c r="AH264" s="4988"/>
      <c r="AI264" s="4988"/>
      <c r="AJ264" s="4746"/>
      <c r="AK264" s="4746"/>
      <c r="AL264" s="4838">
        <v>1</v>
      </c>
      <c r="AM264" s="1"/>
      <c r="AN264" s="1"/>
    </row>
    <row r="265" spans="1:40" s="5046" customFormat="1" ht="40.5" customHeight="1">
      <c r="A265" s="5010"/>
      <c r="B265" s="5010"/>
      <c r="C265" s="5049"/>
      <c r="D265" s="5050" t="s">
        <v>7761</v>
      </c>
      <c r="E265" s="5047"/>
      <c r="F265" s="5047"/>
      <c r="G265" s="5047"/>
      <c r="H265" s="5047"/>
      <c r="I265" s="5047"/>
      <c r="J265" s="5047"/>
      <c r="K265" s="5047"/>
      <c r="L265" s="5047"/>
      <c r="M265" s="5047"/>
      <c r="N265" s="5047"/>
      <c r="O265" s="5047"/>
      <c r="P265" s="5047"/>
      <c r="Q265" s="5047"/>
      <c r="R265" s="5047"/>
      <c r="S265" s="5047"/>
      <c r="T265" s="5047"/>
      <c r="U265" s="5047"/>
      <c r="V265" s="5047"/>
      <c r="W265" s="5047"/>
      <c r="X265" s="5047"/>
      <c r="Y265" s="5047"/>
      <c r="Z265" s="4746"/>
      <c r="AA265" s="4746"/>
      <c r="AB265" s="4746"/>
      <c r="AC265" s="4746"/>
      <c r="AD265" s="4746"/>
      <c r="AE265" s="4746"/>
      <c r="AF265" s="4746"/>
      <c r="AG265" s="4987"/>
      <c r="AH265" s="4988"/>
      <c r="AI265" s="4988"/>
      <c r="AJ265" s="4746"/>
      <c r="AK265" s="4746"/>
      <c r="AL265" s="4838">
        <v>1</v>
      </c>
      <c r="AM265" s="1"/>
      <c r="AN265" s="1"/>
    </row>
    <row r="266" spans="1:40" s="5046" customFormat="1" ht="40.5" customHeight="1">
      <c r="A266" s="5010"/>
      <c r="B266" s="5010"/>
      <c r="C266" s="5049"/>
      <c r="D266" s="5050" t="s">
        <v>7762</v>
      </c>
      <c r="E266" s="5047"/>
      <c r="F266" s="5047"/>
      <c r="G266" s="5047"/>
      <c r="H266" s="5047"/>
      <c r="I266" s="5047"/>
      <c r="J266" s="5047"/>
      <c r="K266" s="5047"/>
      <c r="L266" s="5047"/>
      <c r="M266" s="5047"/>
      <c r="N266" s="5047"/>
      <c r="O266" s="5047"/>
      <c r="P266" s="5047"/>
      <c r="Q266" s="5047"/>
      <c r="R266" s="5047"/>
      <c r="S266" s="5047"/>
      <c r="T266" s="5047"/>
      <c r="U266" s="5047"/>
      <c r="V266" s="5047"/>
      <c r="W266" s="5047"/>
      <c r="X266" s="5047"/>
      <c r="Y266" s="5047"/>
      <c r="Z266" s="4746"/>
      <c r="AA266" s="4746"/>
      <c r="AB266" s="4746"/>
      <c r="AC266" s="4746"/>
      <c r="AD266" s="4746"/>
      <c r="AE266" s="4746"/>
      <c r="AF266" s="4746"/>
      <c r="AG266" s="4987"/>
      <c r="AH266" s="4988"/>
      <c r="AI266" s="4988"/>
      <c r="AJ266" s="4746"/>
      <c r="AK266" s="4746"/>
      <c r="AL266" s="4838">
        <v>1</v>
      </c>
      <c r="AM266" s="1"/>
      <c r="AN266" s="1"/>
    </row>
    <row r="267" spans="1:40" s="5046" customFormat="1" ht="40.5" customHeight="1">
      <c r="A267" s="5010"/>
      <c r="B267" s="4986"/>
      <c r="C267" s="5010"/>
      <c r="D267" s="5010"/>
      <c r="E267" s="5010"/>
      <c r="F267" s="5010"/>
      <c r="G267" s="5010"/>
      <c r="H267" s="5010"/>
      <c r="I267" s="4915"/>
      <c r="J267" s="5010"/>
      <c r="K267" s="5010"/>
      <c r="L267" s="5010"/>
      <c r="M267" s="5010"/>
      <c r="N267" s="5010"/>
      <c r="O267" s="4915"/>
      <c r="P267" s="4915"/>
      <c r="Q267" s="4915"/>
      <c r="R267" s="4915"/>
      <c r="S267" s="4915"/>
      <c r="T267" s="4987"/>
      <c r="U267" s="4986"/>
      <c r="V267" s="5053"/>
      <c r="W267" s="5047"/>
      <c r="X267" s="5047"/>
      <c r="Y267" s="5047"/>
      <c r="Z267" s="4746"/>
      <c r="AA267" s="4746"/>
      <c r="AB267" s="4746"/>
      <c r="AC267" s="4746"/>
      <c r="AD267" s="4746"/>
      <c r="AE267" s="4746"/>
      <c r="AF267" s="4746"/>
      <c r="AG267" s="4987"/>
      <c r="AH267" s="4988"/>
      <c r="AI267" s="4988"/>
      <c r="AJ267" s="4746"/>
      <c r="AK267" s="4746"/>
      <c r="AL267" s="4838">
        <v>1</v>
      </c>
      <c r="AM267" s="1"/>
      <c r="AN267" s="1"/>
    </row>
    <row r="268" spans="1:40" s="5046" customFormat="1" ht="40.5" customHeight="1">
      <c r="A268" s="5010"/>
      <c r="B268" s="4986"/>
      <c r="C268" s="5010"/>
      <c r="D268" s="5010"/>
      <c r="E268" s="5010"/>
      <c r="F268" s="5010"/>
      <c r="G268" s="5010"/>
      <c r="H268" s="5010"/>
      <c r="I268" s="4915"/>
      <c r="J268" s="5010"/>
      <c r="K268" s="5010"/>
      <c r="L268" s="5010"/>
      <c r="M268" s="5010"/>
      <c r="N268" s="5010"/>
      <c r="O268" s="4915"/>
      <c r="P268" s="4915"/>
      <c r="Q268" s="4915"/>
      <c r="R268" s="4915"/>
      <c r="S268" s="4915"/>
      <c r="T268" s="4987"/>
      <c r="U268" s="4986"/>
      <c r="V268" s="5053"/>
      <c r="W268" s="5047"/>
      <c r="X268" s="5047"/>
      <c r="Y268" s="5047"/>
      <c r="Z268" s="4746"/>
      <c r="AA268" s="4746"/>
      <c r="AB268" s="4746"/>
      <c r="AC268" s="4746"/>
      <c r="AD268" s="4746"/>
      <c r="AE268" s="4746"/>
      <c r="AF268" s="4746"/>
      <c r="AG268" s="4987"/>
      <c r="AH268" s="4988"/>
      <c r="AI268" s="4988"/>
      <c r="AJ268" s="4746"/>
      <c r="AK268" s="4746"/>
      <c r="AL268" s="4838">
        <v>1</v>
      </c>
      <c r="AM268" s="1"/>
      <c r="AN268" s="1"/>
    </row>
    <row r="269" spans="1:40" s="5046" customFormat="1" ht="40.5" customHeight="1">
      <c r="A269" s="5010"/>
      <c r="B269" s="4986"/>
      <c r="C269" s="5010"/>
      <c r="D269" s="5010"/>
      <c r="E269" s="5010"/>
      <c r="F269" s="5010"/>
      <c r="G269" s="5010"/>
      <c r="H269" s="5010"/>
      <c r="I269" s="4915"/>
      <c r="J269" s="5010"/>
      <c r="K269" s="5010"/>
      <c r="L269" s="5010"/>
      <c r="M269" s="5010"/>
      <c r="N269" s="5010"/>
      <c r="O269" s="4915"/>
      <c r="P269" s="4915"/>
      <c r="Q269" s="4915"/>
      <c r="R269" s="4915"/>
      <c r="S269" s="4915"/>
      <c r="T269" s="4987"/>
      <c r="U269" s="4986"/>
      <c r="V269" s="5053"/>
      <c r="W269" s="5047"/>
      <c r="X269" s="5047"/>
      <c r="Y269" s="5047"/>
      <c r="Z269" s="4746"/>
      <c r="AA269" s="4746"/>
      <c r="AB269" s="4746"/>
      <c r="AC269" s="4746"/>
      <c r="AD269" s="4746"/>
      <c r="AE269" s="4746"/>
      <c r="AF269" s="4746"/>
      <c r="AG269" s="4987"/>
      <c r="AH269" s="4988"/>
      <c r="AI269" s="4988"/>
      <c r="AJ269" s="4746"/>
      <c r="AK269" s="4746"/>
      <c r="AL269" s="4838">
        <v>1</v>
      </c>
      <c r="AM269" s="1"/>
      <c r="AN269" s="1"/>
    </row>
    <row r="270" spans="1:40" s="4766" customFormat="1" ht="40.5" customHeight="1">
      <c r="A270" s="4744"/>
      <c r="B270" s="4986" t="s">
        <v>7763</v>
      </c>
      <c r="C270" s="4744"/>
      <c r="D270" s="4744"/>
      <c r="E270" s="4744"/>
      <c r="F270" s="4744"/>
      <c r="G270" s="4744"/>
      <c r="H270" s="4744"/>
      <c r="I270" s="4915"/>
      <c r="J270" s="4744"/>
      <c r="K270" s="4744"/>
      <c r="L270" s="4744"/>
      <c r="M270" s="4744"/>
      <c r="N270" s="4744"/>
      <c r="O270" s="4915"/>
      <c r="P270" s="4915"/>
      <c r="Q270" s="4915"/>
      <c r="R270" s="4915"/>
      <c r="S270" s="4915"/>
      <c r="T270" s="4746"/>
      <c r="U270" s="4746"/>
      <c r="V270" s="4746"/>
      <c r="W270" s="4746"/>
      <c r="X270" s="4746"/>
      <c r="Y270" s="4746"/>
      <c r="Z270" s="4746"/>
      <c r="AA270" s="4746"/>
      <c r="AB270" s="4746"/>
      <c r="AC270" s="4746"/>
      <c r="AD270" s="4746"/>
      <c r="AE270" s="4746"/>
      <c r="AF270" s="4746"/>
      <c r="AG270" s="4746"/>
      <c r="AH270" s="4746"/>
      <c r="AI270" s="4746"/>
      <c r="AJ270" s="4746"/>
      <c r="AK270" s="4746"/>
      <c r="AL270" s="4838">
        <v>1</v>
      </c>
      <c r="AM270" s="1"/>
      <c r="AN270" s="1"/>
    </row>
    <row r="271" spans="1:40" s="4766" customFormat="1" ht="40.5" customHeight="1">
      <c r="A271" s="4744"/>
      <c r="B271" s="4961"/>
      <c r="C271" s="5054" t="s">
        <v>1807</v>
      </c>
      <c r="D271" s="5055" t="s">
        <v>1901</v>
      </c>
      <c r="E271" s="5056" t="s">
        <v>739</v>
      </c>
      <c r="F271" s="5057" t="s">
        <v>744</v>
      </c>
      <c r="G271" s="5058" t="s">
        <v>746</v>
      </c>
      <c r="H271" s="5059" t="s">
        <v>2468</v>
      </c>
      <c r="I271" s="5060" t="s">
        <v>2521</v>
      </c>
      <c r="J271" s="5061" t="s">
        <v>3454</v>
      </c>
      <c r="K271" s="5062" t="s">
        <v>3466</v>
      </c>
      <c r="L271" s="4744"/>
      <c r="M271" s="4744"/>
      <c r="N271" s="4744"/>
      <c r="O271" s="5063" t="s">
        <v>3471</v>
      </c>
      <c r="P271" s="5064" t="s">
        <v>3476</v>
      </c>
      <c r="Q271" s="5065" t="s">
        <v>3482</v>
      </c>
      <c r="R271" s="5066" t="s">
        <v>3490</v>
      </c>
      <c r="S271" s="5057" t="s">
        <v>7690</v>
      </c>
      <c r="T271" s="5067" t="s">
        <v>7691</v>
      </c>
      <c r="U271" s="5068" t="s">
        <v>7692</v>
      </c>
      <c r="V271" s="5069" t="s">
        <v>7693</v>
      </c>
      <c r="W271" s="5070" t="s">
        <v>7694</v>
      </c>
      <c r="X271" s="5071" t="s">
        <v>7695</v>
      </c>
      <c r="Y271" s="5056" t="s">
        <v>7696</v>
      </c>
      <c r="Z271" s="4746"/>
      <c r="AA271" s="4746"/>
      <c r="AB271" s="4746"/>
      <c r="AC271" s="4746"/>
      <c r="AD271" s="4746"/>
      <c r="AE271" s="4746"/>
      <c r="AF271" s="4746"/>
      <c r="AG271" s="4746"/>
      <c r="AH271" s="4746"/>
      <c r="AI271" s="4746"/>
      <c r="AJ271" s="4746"/>
      <c r="AK271" s="4746"/>
      <c r="AL271" s="4838">
        <v>1</v>
      </c>
      <c r="AM271" s="1"/>
      <c r="AN271" s="1"/>
    </row>
    <row r="272" spans="1:40" s="4766" customFormat="1" ht="40.5" customHeight="1">
      <c r="A272" s="4744"/>
      <c r="B272" s="4961"/>
      <c r="C272" s="4744"/>
      <c r="D272" s="4744"/>
      <c r="E272" s="4744"/>
      <c r="F272" s="4744"/>
      <c r="G272" s="4744"/>
      <c r="H272" s="4744"/>
      <c r="I272" s="4915"/>
      <c r="J272" s="4744"/>
      <c r="K272" s="4744"/>
      <c r="L272" s="4744"/>
      <c r="M272" s="4744"/>
      <c r="N272" s="4744"/>
      <c r="O272" s="4915"/>
      <c r="P272" s="4915"/>
      <c r="Q272" s="4915"/>
      <c r="R272" s="4915"/>
      <c r="S272" s="4915"/>
      <c r="T272" s="4746"/>
      <c r="U272" s="4746"/>
      <c r="V272" s="4746"/>
      <c r="W272" s="4746"/>
      <c r="X272" s="4746"/>
      <c r="Y272" s="4746"/>
      <c r="Z272" s="4746"/>
      <c r="AA272" s="4746"/>
      <c r="AB272" s="4746"/>
      <c r="AC272" s="4746"/>
      <c r="AD272" s="4746"/>
      <c r="AE272" s="4746"/>
      <c r="AF272" s="4746"/>
      <c r="AG272" s="4746"/>
      <c r="AH272" s="4746"/>
      <c r="AI272" s="4746"/>
      <c r="AJ272" s="4746"/>
      <c r="AK272" s="4746"/>
      <c r="AL272" s="4838">
        <v>1</v>
      </c>
      <c r="AM272" s="1"/>
      <c r="AN272" s="1"/>
    </row>
    <row r="273" spans="1:40" s="4766" customFormat="1" ht="40.5" customHeight="1">
      <c r="A273" s="4744"/>
      <c r="B273" s="4961"/>
      <c r="C273" s="5072" t="s">
        <v>1807</v>
      </c>
      <c r="D273" s="5072" t="s">
        <v>1901</v>
      </c>
      <c r="E273" s="5072" t="s">
        <v>739</v>
      </c>
      <c r="F273" s="5072" t="s">
        <v>744</v>
      </c>
      <c r="G273" s="5072" t="s">
        <v>746</v>
      </c>
      <c r="H273" s="5072" t="s">
        <v>2468</v>
      </c>
      <c r="I273" s="5072" t="s">
        <v>2521</v>
      </c>
      <c r="J273" s="5072" t="s">
        <v>3454</v>
      </c>
      <c r="K273" s="5072" t="s">
        <v>3466</v>
      </c>
      <c r="L273" s="4744"/>
      <c r="M273" s="4744"/>
      <c r="N273" s="4744"/>
      <c r="O273" s="5072" t="s">
        <v>3471</v>
      </c>
      <c r="P273" s="5072" t="s">
        <v>3476</v>
      </c>
      <c r="Q273" s="5072" t="s">
        <v>3482</v>
      </c>
      <c r="R273" s="5072" t="s">
        <v>3490</v>
      </c>
      <c r="S273" s="5072" t="s">
        <v>7690</v>
      </c>
      <c r="T273" s="5072" t="s">
        <v>7691</v>
      </c>
      <c r="U273" s="5072" t="s">
        <v>7692</v>
      </c>
      <c r="V273" s="5072" t="s">
        <v>7693</v>
      </c>
      <c r="W273" s="5072" t="s">
        <v>7694</v>
      </c>
      <c r="X273" s="5072" t="s">
        <v>7695</v>
      </c>
      <c r="Y273" s="5072" t="s">
        <v>7696</v>
      </c>
      <c r="Z273" s="4744"/>
      <c r="AA273" s="4744"/>
      <c r="AB273" s="4744"/>
      <c r="AC273" s="4744"/>
      <c r="AD273" s="4744"/>
      <c r="AE273" s="4744"/>
      <c r="AF273" s="4744"/>
      <c r="AG273" s="4744"/>
      <c r="AH273" s="4744"/>
      <c r="AI273" s="4744"/>
      <c r="AJ273" s="4744"/>
      <c r="AK273" s="4744"/>
      <c r="AL273" s="4838">
        <v>1</v>
      </c>
      <c r="AM273" s="1"/>
      <c r="AN273" s="1"/>
    </row>
    <row r="274" spans="1:40" s="4766" customFormat="1" ht="40.5" customHeight="1">
      <c r="A274" s="4744"/>
      <c r="B274" s="4961"/>
      <c r="C274" s="4744"/>
      <c r="D274" s="4744"/>
      <c r="E274" s="4744"/>
      <c r="F274" s="4744"/>
      <c r="G274" s="4744"/>
      <c r="H274" s="4744"/>
      <c r="I274" s="4915"/>
      <c r="J274" s="4744"/>
      <c r="K274" s="4744"/>
      <c r="L274" s="4744"/>
      <c r="M274" s="4744"/>
      <c r="N274" s="4744"/>
      <c r="O274" s="4915"/>
      <c r="P274" s="4915"/>
      <c r="Q274" s="4915"/>
      <c r="R274" s="4915"/>
      <c r="S274" s="4915"/>
      <c r="T274" s="4746"/>
      <c r="U274" s="4746"/>
      <c r="V274" s="4746"/>
      <c r="W274" s="4746"/>
      <c r="X274" s="4746"/>
      <c r="Y274" s="4746"/>
      <c r="Z274" s="4746"/>
      <c r="AA274" s="4746"/>
      <c r="AB274" s="4746"/>
      <c r="AC274" s="4746"/>
      <c r="AD274" s="4746"/>
      <c r="AE274" s="4746"/>
      <c r="AF274" s="4746"/>
      <c r="AG274" s="4987"/>
      <c r="AH274" s="4988"/>
      <c r="AI274" s="4988"/>
      <c r="AJ274" s="4746"/>
      <c r="AK274" s="4746"/>
      <c r="AL274" s="4838">
        <v>1</v>
      </c>
      <c r="AM274" s="1"/>
      <c r="AN274" s="1"/>
    </row>
    <row r="275" spans="1:40" s="4766" customFormat="1" ht="40.5" customHeight="1">
      <c r="A275" s="4744"/>
      <c r="B275" s="4961"/>
      <c r="C275" s="5073">
        <v>1</v>
      </c>
      <c r="D275" s="5073" t="s">
        <v>7764</v>
      </c>
      <c r="E275" s="5073" t="s">
        <v>7765</v>
      </c>
      <c r="F275" s="5073" t="s">
        <v>7766</v>
      </c>
      <c r="G275" s="5073" t="s">
        <v>7767</v>
      </c>
      <c r="H275" s="5073" t="s">
        <v>7768</v>
      </c>
      <c r="I275" s="5073" t="s">
        <v>7769</v>
      </c>
      <c r="J275" s="5073" t="s">
        <v>7770</v>
      </c>
      <c r="K275" s="5073" t="s">
        <v>7771</v>
      </c>
      <c r="L275" s="4744"/>
      <c r="M275" s="4744"/>
      <c r="N275" s="4744"/>
      <c r="O275" s="5073" t="s">
        <v>7772</v>
      </c>
      <c r="P275" s="5073" t="s">
        <v>7773</v>
      </c>
      <c r="Q275" s="5073" t="s">
        <v>7774</v>
      </c>
      <c r="R275" s="5073" t="s">
        <v>7775</v>
      </c>
      <c r="S275" s="5073" t="s">
        <v>7776</v>
      </c>
      <c r="T275" s="5073" t="s">
        <v>7777</v>
      </c>
      <c r="U275" s="5073" t="s">
        <v>7778</v>
      </c>
      <c r="V275" s="5073" t="s">
        <v>7779</v>
      </c>
      <c r="W275" s="5073" t="s">
        <v>7780</v>
      </c>
      <c r="X275" s="5073" t="s">
        <v>7781</v>
      </c>
      <c r="Y275" s="5073" t="s">
        <v>7782</v>
      </c>
      <c r="Z275" s="5074">
        <v>15.5</v>
      </c>
      <c r="AA275" s="4746"/>
      <c r="AB275" s="4746"/>
      <c r="AC275" s="4746"/>
      <c r="AD275" s="4746"/>
      <c r="AE275" s="4746"/>
      <c r="AF275" s="4746"/>
      <c r="AG275" s="4987"/>
      <c r="AH275" s="4988"/>
      <c r="AI275" s="4988"/>
      <c r="AJ275" s="4746"/>
      <c r="AK275" s="4746"/>
      <c r="AL275" s="4838">
        <v>1</v>
      </c>
      <c r="AM275" s="1"/>
      <c r="AN275" s="1"/>
    </row>
    <row r="276" spans="1:40" s="4766" customFormat="1" ht="40.5" customHeight="1">
      <c r="A276" s="4744"/>
      <c r="B276" s="4961"/>
      <c r="C276" s="4744"/>
      <c r="D276" s="4744"/>
      <c r="E276" s="4744"/>
      <c r="F276" s="4744"/>
      <c r="G276" s="4744"/>
      <c r="H276" s="4744"/>
      <c r="I276" s="4915"/>
      <c r="J276" s="4744"/>
      <c r="K276" s="4744"/>
      <c r="L276" s="4744"/>
      <c r="M276" s="4744"/>
      <c r="N276" s="4744"/>
      <c r="O276" s="4915"/>
      <c r="P276" s="4915"/>
      <c r="Q276" s="4915"/>
      <c r="R276" s="4915"/>
      <c r="S276" s="4915"/>
      <c r="T276" s="4746"/>
      <c r="U276" s="4746"/>
      <c r="V276" s="4746"/>
      <c r="W276" s="4746"/>
      <c r="X276" s="4746"/>
      <c r="Y276" s="4746"/>
      <c r="Z276" s="4989" t="s">
        <v>7783</v>
      </c>
      <c r="AA276" s="4746"/>
      <c r="AB276" s="4746"/>
      <c r="AC276" s="4746"/>
      <c r="AD276" s="4746"/>
      <c r="AE276" s="4746"/>
      <c r="AF276" s="4746"/>
      <c r="AG276" s="4987"/>
      <c r="AH276" s="4988"/>
      <c r="AI276" s="4988"/>
      <c r="AJ276" s="4746"/>
      <c r="AK276" s="4746"/>
      <c r="AL276" s="4838">
        <v>1</v>
      </c>
      <c r="AM276" s="1"/>
      <c r="AN276" s="1"/>
    </row>
    <row r="277" spans="1:40" s="4766" customFormat="1" ht="40.5" customHeight="1">
      <c r="A277" s="4744"/>
      <c r="B277" s="4961"/>
      <c r="C277" s="5075">
        <v>1</v>
      </c>
      <c r="D277" s="5076">
        <v>2</v>
      </c>
      <c r="E277" s="5075">
        <v>3</v>
      </c>
      <c r="F277" s="5076">
        <v>4</v>
      </c>
      <c r="G277" s="5075">
        <v>5</v>
      </c>
      <c r="H277" s="5076">
        <v>6</v>
      </c>
      <c r="I277" s="5075">
        <v>7</v>
      </c>
      <c r="J277" s="5076">
        <v>8</v>
      </c>
      <c r="K277" s="5075">
        <v>9</v>
      </c>
      <c r="L277" s="4744"/>
      <c r="M277" s="4744"/>
      <c r="N277" s="4744"/>
      <c r="O277" s="5076">
        <v>10</v>
      </c>
      <c r="P277" s="5075">
        <v>11</v>
      </c>
      <c r="Q277" s="5076">
        <v>12</v>
      </c>
      <c r="R277" s="5075">
        <v>13</v>
      </c>
      <c r="S277" s="5076">
        <v>14</v>
      </c>
      <c r="T277" s="5075">
        <v>15</v>
      </c>
      <c r="U277" s="5076">
        <v>16</v>
      </c>
      <c r="V277" s="5075">
        <v>17</v>
      </c>
      <c r="W277" s="5076">
        <v>18</v>
      </c>
      <c r="X277" s="5075">
        <v>19</v>
      </c>
      <c r="Y277" s="5076">
        <v>20</v>
      </c>
      <c r="Z277" s="4746"/>
      <c r="AA277" s="4746"/>
      <c r="AB277" s="4746"/>
      <c r="AC277" s="4746"/>
      <c r="AD277" s="4746"/>
      <c r="AE277" s="4746"/>
      <c r="AF277" s="4746"/>
      <c r="AG277" s="4987"/>
      <c r="AH277" s="4988"/>
      <c r="AI277" s="4988"/>
      <c r="AJ277" s="4746"/>
      <c r="AK277" s="4746"/>
      <c r="AL277" s="4838">
        <v>1</v>
      </c>
      <c r="AM277" s="1"/>
      <c r="AN277" s="1"/>
    </row>
    <row r="278" spans="1:40" s="5046" customFormat="1" ht="40.5" customHeight="1">
      <c r="A278" s="5010"/>
      <c r="B278" s="4986"/>
      <c r="C278" s="5010"/>
      <c r="D278" s="5010"/>
      <c r="E278" s="5010"/>
      <c r="F278" s="5010"/>
      <c r="G278" s="5010"/>
      <c r="H278" s="5010"/>
      <c r="I278" s="4915"/>
      <c r="J278" s="5010"/>
      <c r="K278" s="5010"/>
      <c r="L278" s="5010"/>
      <c r="M278" s="5010"/>
      <c r="N278" s="5010"/>
      <c r="O278" s="4915"/>
      <c r="P278" s="4915"/>
      <c r="Q278" s="4915"/>
      <c r="R278" s="4915"/>
      <c r="S278" s="4915"/>
      <c r="T278" s="4987"/>
      <c r="U278" s="4986"/>
      <c r="V278" s="5053"/>
      <c r="W278" s="5047"/>
      <c r="X278" s="5047"/>
      <c r="Y278" s="5047"/>
      <c r="Z278" s="4746"/>
      <c r="AA278" s="4746"/>
      <c r="AB278" s="4746"/>
      <c r="AC278" s="4746"/>
      <c r="AD278" s="4746"/>
      <c r="AE278" s="4746"/>
      <c r="AF278" s="4746"/>
      <c r="AG278" s="4987"/>
      <c r="AH278" s="4988"/>
      <c r="AI278" s="4988"/>
      <c r="AJ278" s="4746"/>
      <c r="AK278" s="4746"/>
      <c r="AL278" s="4838">
        <v>1</v>
      </c>
      <c r="AM278" s="1"/>
      <c r="AN278" s="1"/>
    </row>
    <row r="279" spans="1:40" s="5046" customFormat="1" ht="40.5" customHeight="1">
      <c r="A279" s="5010"/>
      <c r="B279" s="5077"/>
      <c r="C279" s="5078" t="s">
        <v>7784</v>
      </c>
      <c r="D279" s="5079"/>
      <c r="E279" s="4987"/>
      <c r="F279" s="5080" t="s">
        <v>7785</v>
      </c>
      <c r="G279" s="5081"/>
      <c r="H279" s="5081"/>
      <c r="I279" s="5081"/>
      <c r="J279" s="5081"/>
      <c r="K279" s="5081"/>
      <c r="L279" s="4915"/>
      <c r="M279" s="4915"/>
      <c r="N279" s="4915"/>
      <c r="O279" s="4915"/>
      <c r="P279" s="4987"/>
      <c r="Q279" s="4987"/>
      <c r="R279" s="4915"/>
      <c r="S279" s="4915"/>
      <c r="T279" s="4987"/>
      <c r="U279" s="4987"/>
      <c r="V279" s="5053"/>
      <c r="W279" s="5047"/>
      <c r="X279" s="5047"/>
      <c r="Y279" s="5047"/>
      <c r="Z279" s="5082" t="s">
        <v>1175</v>
      </c>
      <c r="AA279" s="4746"/>
      <c r="AB279" s="4746"/>
      <c r="AC279" s="4746"/>
      <c r="AD279" s="4746"/>
      <c r="AE279" s="4746"/>
      <c r="AF279" s="4746"/>
      <c r="AG279" s="4987"/>
      <c r="AH279" s="4988"/>
      <c r="AI279" s="4988"/>
      <c r="AJ279" s="4746"/>
      <c r="AK279" s="4746"/>
      <c r="AL279" s="4838">
        <v>1</v>
      </c>
      <c r="AM279" s="1"/>
      <c r="AN279" s="1"/>
    </row>
    <row r="280" spans="1:40" s="5046" customFormat="1" ht="40.5" customHeight="1">
      <c r="A280" s="5010"/>
      <c r="B280" s="5077"/>
      <c r="C280" s="5083">
        <v>3</v>
      </c>
      <c r="D280" s="5079"/>
      <c r="E280" s="5010"/>
      <c r="F280" s="5010"/>
      <c r="G280" s="5010"/>
      <c r="H280" s="4915"/>
      <c r="I280" s="4915"/>
      <c r="J280" s="4915"/>
      <c r="K280" s="4915"/>
      <c r="L280" s="4915"/>
      <c r="M280" s="4915"/>
      <c r="N280" s="4915"/>
      <c r="O280" s="4915"/>
      <c r="P280" s="4915"/>
      <c r="Q280" s="4915"/>
      <c r="R280" s="4915"/>
      <c r="S280" s="4915"/>
      <c r="T280" s="4987"/>
      <c r="U280" s="4987"/>
      <c r="V280" s="5053"/>
      <c r="W280" s="5047"/>
      <c r="X280" s="5047"/>
      <c r="Y280" s="5047"/>
      <c r="Z280" s="4746"/>
      <c r="AA280" s="4746"/>
      <c r="AB280" s="4746"/>
      <c r="AC280" s="4746"/>
      <c r="AD280" s="4746"/>
      <c r="AE280" s="4746"/>
      <c r="AF280" s="4746"/>
      <c r="AG280" s="4987"/>
      <c r="AH280" s="4988"/>
      <c r="AI280" s="4988"/>
      <c r="AJ280" s="4746"/>
      <c r="AK280" s="4746"/>
      <c r="AL280" s="4838">
        <v>1</v>
      </c>
      <c r="AM280" s="1"/>
      <c r="AN280" s="1"/>
    </row>
    <row r="281" spans="1:40" s="5046" customFormat="1" ht="40.5" customHeight="1">
      <c r="A281" s="5010"/>
      <c r="B281" s="5077"/>
      <c r="C281" s="5010"/>
      <c r="D281" s="5010"/>
      <c r="E281" s="5010"/>
      <c r="F281" s="5010"/>
      <c r="G281" s="5010"/>
      <c r="H281" s="5084" t="s">
        <v>7786</v>
      </c>
      <c r="I281" s="5085"/>
      <c r="J281" s="5085"/>
      <c r="K281" s="5010"/>
      <c r="L281" s="5010"/>
      <c r="M281" s="5010"/>
      <c r="N281" s="5010"/>
      <c r="O281" s="4915"/>
      <c r="P281" s="4915"/>
      <c r="Q281" s="5086" t="s">
        <v>7787</v>
      </c>
      <c r="R281" s="5087" t="s">
        <v>7788</v>
      </c>
      <c r="S281" s="5088" t="s">
        <v>7789</v>
      </c>
      <c r="T281" s="4987"/>
      <c r="U281" s="4987"/>
      <c r="V281" s="5053"/>
      <c r="W281" s="5047"/>
      <c r="X281" s="5047"/>
      <c r="Y281" s="5047"/>
      <c r="Z281" s="4746"/>
      <c r="AA281" s="4746"/>
      <c r="AB281" s="4746"/>
      <c r="AC281" s="4746"/>
      <c r="AD281" s="4746"/>
      <c r="AE281" s="4746"/>
      <c r="AF281" s="4746"/>
      <c r="AG281" s="4987"/>
      <c r="AH281" s="4988"/>
      <c r="AI281" s="4988"/>
      <c r="AJ281" s="4746"/>
      <c r="AK281" s="4746"/>
      <c r="AL281" s="4838">
        <v>1</v>
      </c>
      <c r="AM281" s="1"/>
      <c r="AN281" s="1"/>
    </row>
    <row r="282" spans="1:40" s="5046" customFormat="1" ht="40.5" customHeight="1">
      <c r="A282" s="5010"/>
      <c r="B282" s="5077"/>
      <c r="C282" s="5089" t="s">
        <v>7790</v>
      </c>
      <c r="D282" s="5010"/>
      <c r="E282" s="5090"/>
      <c r="F282" s="5010"/>
      <c r="G282" s="5010"/>
      <c r="H282" s="5091" t="s">
        <v>7791</v>
      </c>
      <c r="I282" s="5091" t="s">
        <v>7792</v>
      </c>
      <c r="J282" s="5091" t="s">
        <v>7793</v>
      </c>
      <c r="K282" s="5047" t="s">
        <v>7794</v>
      </c>
      <c r="L282" s="5047"/>
      <c r="M282" s="5047"/>
      <c r="N282" s="5047"/>
      <c r="O282" s="4987"/>
      <c r="P282" s="4987"/>
      <c r="Q282" s="5089" t="s">
        <v>7795</v>
      </c>
      <c r="R282" s="4987"/>
      <c r="S282" s="4987"/>
      <c r="T282" s="4987"/>
      <c r="U282" s="4987"/>
      <c r="V282" s="5053"/>
      <c r="W282" s="5047"/>
      <c r="X282" s="5047"/>
      <c r="Y282" s="5047"/>
      <c r="Z282" s="4987"/>
      <c r="AA282" s="4987"/>
      <c r="AB282" s="4987"/>
      <c r="AC282" s="4987"/>
      <c r="AD282" s="4987"/>
      <c r="AE282" s="4987"/>
      <c r="AF282" s="4987"/>
      <c r="AG282" s="4987"/>
      <c r="AH282" s="4988"/>
      <c r="AI282" s="4988"/>
      <c r="AJ282" s="4746"/>
      <c r="AK282" s="4746"/>
      <c r="AL282" s="4838">
        <v>1</v>
      </c>
      <c r="AM282" s="1"/>
      <c r="AN282" s="1"/>
    </row>
    <row r="283" spans="1:40" s="5046" customFormat="1" ht="40.5" customHeight="1">
      <c r="A283" s="5010"/>
      <c r="B283" s="5077"/>
      <c r="C283" s="5089" t="s">
        <v>7796</v>
      </c>
      <c r="D283" s="5010"/>
      <c r="E283" s="5090"/>
      <c r="F283" s="5010"/>
      <c r="G283" s="5010"/>
      <c r="H283" s="5091" t="s">
        <v>7797</v>
      </c>
      <c r="I283" s="5091" t="s">
        <v>7798</v>
      </c>
      <c r="J283" s="5091" t="s">
        <v>7799</v>
      </c>
      <c r="K283" s="5047" t="s">
        <v>7800</v>
      </c>
      <c r="L283" s="5047"/>
      <c r="M283" s="5047"/>
      <c r="N283" s="5047"/>
      <c r="O283" s="4915"/>
      <c r="P283" s="4915"/>
      <c r="Q283" s="5086" t="s">
        <v>2180</v>
      </c>
      <c r="R283" s="5087" t="s">
        <v>7801</v>
      </c>
      <c r="S283" s="5087" t="s">
        <v>7802</v>
      </c>
      <c r="T283" s="4987"/>
      <c r="U283" s="4987"/>
      <c r="V283" s="5053"/>
      <c r="W283" s="5047"/>
      <c r="X283" s="5047"/>
      <c r="Y283" s="5047"/>
      <c r="Z283" s="5047"/>
      <c r="AA283" s="5047"/>
      <c r="AB283" s="5047"/>
      <c r="AC283" s="5047"/>
      <c r="AD283" s="5047"/>
      <c r="AE283" s="5047"/>
      <c r="AF283" s="4987"/>
      <c r="AG283" s="4987"/>
      <c r="AH283" s="4988"/>
      <c r="AI283" s="4988"/>
      <c r="AJ283" s="4746"/>
      <c r="AK283" s="4746"/>
      <c r="AL283" s="4838">
        <v>1</v>
      </c>
      <c r="AM283" s="1"/>
      <c r="AN283" s="1"/>
    </row>
    <row r="284" spans="1:40" s="5046" customFormat="1" ht="40.5" customHeight="1">
      <c r="A284" s="5010"/>
      <c r="B284" s="5077"/>
      <c r="C284" s="5089"/>
      <c r="D284" s="5010"/>
      <c r="E284" s="5089"/>
      <c r="F284" s="5092"/>
      <c r="G284" s="5089"/>
      <c r="H284" s="5089"/>
      <c r="I284" s="5010"/>
      <c r="J284" s="5010"/>
      <c r="K284" s="5010"/>
      <c r="L284" s="5010"/>
      <c r="M284" s="5010"/>
      <c r="N284" s="5010"/>
      <c r="O284" s="5010"/>
      <c r="P284" s="5010"/>
      <c r="Q284" s="5010"/>
      <c r="R284" s="5010"/>
      <c r="S284" s="4987"/>
      <c r="T284" s="4987"/>
      <c r="U284" s="4987"/>
      <c r="V284" s="5053"/>
      <c r="W284" s="5047"/>
      <c r="X284" s="5047"/>
      <c r="Y284" s="5047"/>
      <c r="Z284" s="5047"/>
      <c r="AA284" s="5047"/>
      <c r="AB284" s="5047"/>
      <c r="AC284" s="5047"/>
      <c r="AD284" s="5047"/>
      <c r="AE284" s="5047"/>
      <c r="AF284" s="4987"/>
      <c r="AG284" s="4987"/>
      <c r="AH284" s="4988"/>
      <c r="AI284" s="4988"/>
      <c r="AJ284" s="4746"/>
      <c r="AK284" s="4746"/>
      <c r="AL284" s="4838">
        <v>1</v>
      </c>
      <c r="AM284" s="1"/>
      <c r="AN284" s="1"/>
    </row>
    <row r="285" spans="1:40">
      <c r="AL285" s="15" t="s">
        <v>0</v>
      </c>
      <c r="AM285" s="187"/>
      <c r="AN285" s="187"/>
    </row>
    <row r="286" spans="1:40">
      <c r="A286" s="4838">
        <v>1</v>
      </c>
      <c r="B286" s="4838">
        <v>1</v>
      </c>
      <c r="C286" s="4838">
        <v>1</v>
      </c>
      <c r="D286" s="4838">
        <v>1</v>
      </c>
      <c r="E286" s="4838">
        <v>1</v>
      </c>
      <c r="F286" s="4838">
        <v>1</v>
      </c>
      <c r="G286" s="4838">
        <v>1</v>
      </c>
      <c r="H286" s="4838">
        <v>1</v>
      </c>
      <c r="I286" s="4838">
        <v>1</v>
      </c>
      <c r="J286" s="4838">
        <v>1</v>
      </c>
      <c r="K286" s="4838">
        <v>1</v>
      </c>
      <c r="L286" s="4838">
        <v>1</v>
      </c>
      <c r="M286" s="4838">
        <v>1</v>
      </c>
      <c r="N286" s="4838">
        <v>1</v>
      </c>
      <c r="O286" s="4838">
        <v>1</v>
      </c>
      <c r="P286" s="4838">
        <v>1</v>
      </c>
      <c r="Q286" s="4838">
        <v>1</v>
      </c>
      <c r="R286" s="4838">
        <v>1</v>
      </c>
      <c r="S286" s="4838">
        <v>1</v>
      </c>
      <c r="T286" s="4838">
        <v>1</v>
      </c>
      <c r="U286" s="4838">
        <v>1</v>
      </c>
      <c r="V286" s="4838">
        <v>1</v>
      </c>
      <c r="W286" s="4838">
        <v>1</v>
      </c>
      <c r="X286" s="4838">
        <v>1</v>
      </c>
      <c r="Y286" s="4838">
        <v>1</v>
      </c>
      <c r="Z286" s="4838">
        <v>1</v>
      </c>
      <c r="AA286" s="4838">
        <v>1</v>
      </c>
      <c r="AB286" s="4838">
        <v>1</v>
      </c>
      <c r="AC286" s="4838">
        <v>1</v>
      </c>
      <c r="AD286" s="4838">
        <v>1</v>
      </c>
      <c r="AE286" s="4838">
        <v>1</v>
      </c>
      <c r="AF286" s="4838">
        <v>1</v>
      </c>
      <c r="AG286" s="4838">
        <v>1</v>
      </c>
      <c r="AH286" s="4838">
        <v>1</v>
      </c>
      <c r="AI286" s="4838">
        <v>1</v>
      </c>
      <c r="AJ286" s="4838">
        <v>1</v>
      </c>
      <c r="AK286" s="4838">
        <v>1</v>
      </c>
      <c r="AL286" s="9" t="str">
        <f>ADDRESS(ROW(),COLUMN(),4)</f>
        <v>AL286</v>
      </c>
      <c r="AM286" s="8"/>
      <c r="AN286" s="7" t="str">
        <f>ADDRESS(ROW(),COLUMN(),4)</f>
        <v>AN286</v>
      </c>
    </row>
  </sheetData>
  <mergeCells count="12">
    <mergeCell ref="X2:AC3"/>
    <mergeCell ref="C66:C67"/>
    <mergeCell ref="D220:J220"/>
    <mergeCell ref="D227:K228"/>
    <mergeCell ref="C231:D231"/>
    <mergeCell ref="M71:W72"/>
    <mergeCell ref="M68:W69"/>
    <mergeCell ref="M111:M116"/>
    <mergeCell ref="B136:F136"/>
    <mergeCell ref="D137:E137"/>
    <mergeCell ref="B138:B139"/>
    <mergeCell ref="D138:E138"/>
  </mergeCells>
  <hyperlinks>
    <hyperlink ref="D194" r:id="rId1" display="https://www.extensis.com/fr-fr/blog/les-10-polices-alternatives-%C3%A0-helvetica" xr:uid="{07410D39-38A1-4398-B3B1-5AC35F5D8ECD}"/>
    <hyperlink ref="D202" r:id="rId2" display="https://fr.wikipedia.org/wiki/Calibri" xr:uid="{41EFAED8-A8E6-4E02-A200-4E6A6CE795C1}"/>
    <hyperlink ref="D203" r:id="rId3" display="https://kulturegeek.fr/news-224456/microsoft-police-voudriez-remplacer-calibri" xr:uid="{B58CAA93-1E68-41B3-9B59-5D718E8C02E1}"/>
    <hyperlink ref="D188" r:id="rId4" display="https://fr.wikipedia.org/wiki/Helvetica" xr:uid="{7BF809A0-EA27-41CB-9B1F-8D0F6CA8F1E3}"/>
    <hyperlink ref="D209" r:id="rId5" display="https://laruche.wizbii.com/17703-meilleure-police-ecriture-cv" xr:uid="{B20E9330-B6FD-4F22-BF25-97E3F68CBC03}"/>
    <hyperlink ref="D210" r:id="rId6" display="https://laruche.wizbii.com/17703-meilleure-police-ecriture-cv" xr:uid="{01196ABD-A4A2-4F7C-9DA7-8F1554C8A83B}"/>
    <hyperlink ref="D211" r:id="rId7" display="https://www.google.com/search?client=firefox-b-d&amp;cs=1&amp;sxsrf=AJOqlzWtAThXL_uLX0Izw5bcGDDqWJW1UA:1673858052794&amp;q=Quelle+est+la+police+d%27%C3%A9criture+la+plus+classe+%3F&amp;sa=X&amp;ved=2ahUKEwjYj4iV18v8AhXtTaQEHYpNBZ0Qzmd6BAgBEAU" xr:uid="{D9964F5D-7F80-4F87-9D74-53B3E1E74F2D}"/>
    <hyperlink ref="D193" r:id="rId8" xr:uid="{813081BF-5974-4A96-BC8F-210D41BFF78B}"/>
    <hyperlink ref="C120" r:id="rId9" xr:uid="{3F724CE5-423C-44E9-B040-2E9E759FECB6}"/>
    <hyperlink ref="V259" r:id="rId10" xr:uid="{A8FD79AD-5E63-4E97-B086-4201F5EE454D}"/>
    <hyperlink ref="U112" r:id="rId11" xr:uid="{AF3A78DD-5A3F-4607-973C-BD82FB5EA255}"/>
    <hyperlink ref="B147" r:id="rId12" xr:uid="{5DF65FC8-0979-4440-9FB0-29C0E5D86E8D}"/>
    <hyperlink ref="B153" r:id="rId13" xr:uid="{7DB33DAA-90B6-4FC5-9665-C7081C09B3CD}"/>
    <hyperlink ref="B156" r:id="rId14" xr:uid="{56F6DD8E-E452-4747-AB76-F3412DF20E23}"/>
    <hyperlink ref="B157" r:id="rId15" xr:uid="{581FA614-8709-4762-A31A-1E9AFB156C2F}"/>
    <hyperlink ref="B159" r:id="rId16" xr:uid="{CAB4EA23-F907-4A46-99CD-D3F702B7E9FD}"/>
    <hyperlink ref="V238" r:id="rId17" xr:uid="{E3264E72-B1BB-47AE-9EFC-5A9057789510}"/>
    <hyperlink ref="G27" r:id="rId18" xr:uid="{3F9E4EAD-A2FC-40F7-AC03-5B3EE333ECFD}"/>
    <hyperlink ref="X83" r:id="rId19" xr:uid="{58022F35-6865-484E-BCAA-77EC6024F45A}"/>
    <hyperlink ref="B162" r:id="rId20" xr:uid="{352BA012-1740-4E7B-B5CF-813E1723E0F3}"/>
  </hyperlinks>
  <pageMargins left="0.7" right="0.7" top="0.75" bottom="0.75" header="0.3" footer="0.3"/>
  <pageSetup paperSize="9" orientation="portrait"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A241-C75B-4C97-8527-505245626C3E}">
  <dimension ref="A1:CM423"/>
  <sheetViews>
    <sheetView showZeros="0" topLeftCell="A17" zoomScaleNormal="100" workbookViewId="0">
      <selection activeCell="AV37" sqref="AV37"/>
    </sheetView>
  </sheetViews>
  <sheetFormatPr baseColWidth="10" defaultRowHeight="15"/>
  <cols>
    <col min="1" max="1" width="2.85546875" customWidth="1"/>
    <col min="2" max="2" width="4.7109375" customWidth="1"/>
    <col min="3" max="6" width="3.7109375" customWidth="1"/>
    <col min="7" max="8" width="12.7109375" customWidth="1"/>
    <col min="9" max="9" width="3.7109375" customWidth="1"/>
    <col min="10" max="10" width="9.7109375" customWidth="1"/>
    <col min="11" max="12" width="12.7109375" customWidth="1"/>
    <col min="13" max="13" width="40.7109375" customWidth="1"/>
    <col min="14" max="14" width="12.7109375" customWidth="1"/>
    <col min="15" max="17" width="13.7109375" customWidth="1"/>
    <col min="18" max="18" width="5.140625" customWidth="1"/>
    <col min="19" max="19" width="4.7109375" customWidth="1"/>
    <col min="20" max="23" width="3.7109375" customWidth="1"/>
    <col min="24" max="25" width="12.7109375" customWidth="1"/>
    <col min="26" max="26" width="3.7109375" customWidth="1"/>
    <col min="27" max="27" width="9.7109375" customWidth="1"/>
    <col min="28" max="29" width="12.7109375" customWidth="1"/>
    <col min="30" max="30" width="40.7109375" customWidth="1"/>
    <col min="31" max="31" width="12.7109375" customWidth="1"/>
    <col min="32" max="34" width="13.7109375" customWidth="1"/>
    <col min="35" max="35" width="5.140625" customWidth="1"/>
    <col min="36" max="36" width="4.7109375" customWidth="1"/>
    <col min="37" max="40" width="3.7109375" customWidth="1"/>
    <col min="41" max="42" width="12.7109375" customWidth="1"/>
    <col min="43" max="43" width="3.7109375" customWidth="1"/>
    <col min="44" max="44" width="9.7109375" customWidth="1"/>
    <col min="45" max="46" width="12.7109375" customWidth="1"/>
    <col min="47" max="47" width="40.7109375" customWidth="1"/>
    <col min="48" max="48" width="12.7109375" customWidth="1"/>
    <col min="49" max="51" width="13.7109375" customWidth="1"/>
    <col min="52" max="52" width="5.140625" customWidth="1"/>
    <col min="53" max="54" width="13.7109375" style="2" customWidth="1"/>
    <col min="55" max="55" width="2.140625" style="2" customWidth="1"/>
    <col min="56" max="57" width="13.7109375" style="2" customWidth="1"/>
    <col min="58" max="58" width="2.140625" style="2" customWidth="1"/>
    <col min="59" max="60" width="13.7109375" style="2" customWidth="1"/>
    <col min="61" max="61" width="2.140625" style="2" customWidth="1"/>
    <col min="62" max="63" width="13.7109375" style="2" customWidth="1"/>
    <col min="64" max="64" width="2.140625" style="2" customWidth="1"/>
    <col min="65" max="66" width="13.7109375" style="2" customWidth="1"/>
    <col min="67" max="67" width="2.140625" style="2" customWidth="1"/>
    <col min="68" max="69" width="13.7109375" style="2" customWidth="1"/>
    <col min="70" max="70" width="2.7109375" style="2" customWidth="1"/>
    <col min="71" max="72" width="12.7109375" style="2" customWidth="1"/>
    <col min="73" max="73" width="5.140625" style="2" customWidth="1"/>
    <col min="74" max="88" width="11.42578125" style="2"/>
    <col min="89" max="89" width="8.7109375" style="2" customWidth="1"/>
    <col min="90" max="90" width="11.42578125" style="1"/>
    <col min="91" max="91" width="43.5703125" style="1" customWidth="1"/>
  </cols>
  <sheetData>
    <row r="1" spans="1:91" ht="19.5" customHeight="1" thickBot="1">
      <c r="A1" s="9" t="str">
        <f>ADDRESS(ROW(),COLUMN(),4)</f>
        <v>A1</v>
      </c>
      <c r="B1" s="5093">
        <v>4</v>
      </c>
      <c r="C1" s="5093">
        <v>3</v>
      </c>
      <c r="D1" s="5093">
        <v>3</v>
      </c>
      <c r="E1" s="5093">
        <v>3</v>
      </c>
      <c r="F1" s="5093">
        <v>3</v>
      </c>
      <c r="G1" s="5093">
        <v>12</v>
      </c>
      <c r="H1" s="5093">
        <v>12</v>
      </c>
      <c r="I1" s="5093">
        <v>3</v>
      </c>
      <c r="J1" s="5093">
        <v>9</v>
      </c>
      <c r="K1" s="5093">
        <v>12</v>
      </c>
      <c r="L1" s="5093">
        <v>12</v>
      </c>
      <c r="M1" s="5093">
        <v>40</v>
      </c>
      <c r="N1" s="5093">
        <v>12</v>
      </c>
      <c r="O1" s="5093">
        <v>13</v>
      </c>
      <c r="P1" s="5093">
        <v>13</v>
      </c>
      <c r="Q1" s="5093">
        <v>13</v>
      </c>
      <c r="R1" s="5094" t="s">
        <v>1</v>
      </c>
      <c r="S1" s="5093">
        <v>4</v>
      </c>
      <c r="T1" s="5093">
        <v>3</v>
      </c>
      <c r="U1" s="5093">
        <v>3</v>
      </c>
      <c r="V1" s="5093">
        <v>3</v>
      </c>
      <c r="W1" s="5093">
        <v>3</v>
      </c>
      <c r="X1" s="5093">
        <v>12</v>
      </c>
      <c r="Y1" s="5093">
        <v>12</v>
      </c>
      <c r="Z1" s="5093">
        <v>3</v>
      </c>
      <c r="AA1" s="5093">
        <v>9</v>
      </c>
      <c r="AB1" s="5093">
        <v>12</v>
      </c>
      <c r="AC1" s="5093">
        <v>12</v>
      </c>
      <c r="AD1" s="5093">
        <v>40</v>
      </c>
      <c r="AE1" s="5093">
        <v>12</v>
      </c>
      <c r="AF1" s="5093">
        <v>13</v>
      </c>
      <c r="AG1" s="5093">
        <v>13</v>
      </c>
      <c r="AH1" s="5093">
        <v>13</v>
      </c>
      <c r="AI1" s="5094" t="s">
        <v>1</v>
      </c>
      <c r="AJ1" s="5093">
        <v>4</v>
      </c>
      <c r="AK1" s="5093">
        <v>3</v>
      </c>
      <c r="AL1" s="5093">
        <v>3</v>
      </c>
      <c r="AM1" s="5093">
        <v>3</v>
      </c>
      <c r="AN1" s="5093">
        <v>3</v>
      </c>
      <c r="AO1" s="5093">
        <v>12</v>
      </c>
      <c r="AP1" s="5093">
        <v>12</v>
      </c>
      <c r="AQ1" s="5093">
        <v>3</v>
      </c>
      <c r="AR1" s="5093">
        <v>9</v>
      </c>
      <c r="AS1" s="5093">
        <v>12</v>
      </c>
      <c r="AT1" s="5093">
        <v>12</v>
      </c>
      <c r="AU1" s="5093">
        <v>40</v>
      </c>
      <c r="AV1" s="5093">
        <v>12</v>
      </c>
      <c r="AW1" s="5093">
        <v>13</v>
      </c>
      <c r="AX1" s="5093">
        <v>13</v>
      </c>
      <c r="AY1" s="5093">
        <v>13</v>
      </c>
      <c r="AZ1" s="5094" t="s">
        <v>1</v>
      </c>
      <c r="BA1" s="5443" t="str">
        <f>SUBSTITUTE(ADDRESS(1,COLUMN(),4),"1","")</f>
        <v>BA</v>
      </c>
      <c r="BB1" s="5443" t="str">
        <f>SUBSTITUTE(ADDRESS(1,COLUMN(),4),"1","")</f>
        <v>BB</v>
      </c>
      <c r="BD1" s="5443" t="str">
        <f>SUBSTITUTE(ADDRESS(1,COLUMN(),4),"1","")</f>
        <v>BD</v>
      </c>
      <c r="BE1" s="5443" t="str">
        <f>SUBSTITUTE(ADDRESS(1,COLUMN(),4),"1","")</f>
        <v>BE</v>
      </c>
      <c r="BG1" s="5443" t="str">
        <f>SUBSTITUTE(ADDRESS(1,COLUMN(),4),"1","")</f>
        <v>BG</v>
      </c>
      <c r="BH1" s="5443" t="str">
        <f>SUBSTITUTE(ADDRESS(1,COLUMN(),4),"1","")</f>
        <v>BH</v>
      </c>
      <c r="BJ1" s="5443" t="str">
        <f>SUBSTITUTE(ADDRESS(1,COLUMN(),4),"1","")</f>
        <v>BJ</v>
      </c>
      <c r="BK1" s="5443" t="str">
        <f>SUBSTITUTE(ADDRESS(1,COLUMN(),4),"1","")</f>
        <v>BK</v>
      </c>
      <c r="BM1" s="5443" t="str">
        <f>SUBSTITUTE(ADDRESS(1,COLUMN(),4),"1","")</f>
        <v>BM</v>
      </c>
      <c r="BN1" s="5443" t="str">
        <f>SUBSTITUTE(ADDRESS(1,COLUMN(),4),"1","")</f>
        <v>BN</v>
      </c>
      <c r="BP1" s="5443" t="str">
        <f>SUBSTITUTE(ADDRESS(1,COLUMN(),4),"1","")</f>
        <v>BP</v>
      </c>
      <c r="BQ1" s="5443" t="str">
        <f>SUBSTITUTE(ADDRESS(1,COLUMN(),4),"1","")</f>
        <v>BQ</v>
      </c>
      <c r="BR1" s="442"/>
      <c r="BS1" s="442" t="str">
        <f t="shared" ref="BS1:CJ1" si="0">SUBSTITUTE(ADDRESS(1,COLUMN(),4),"1","")</f>
        <v>BS</v>
      </c>
      <c r="BT1" s="442" t="str">
        <f t="shared" si="0"/>
        <v>BT</v>
      </c>
      <c r="BU1" s="442" t="str">
        <f t="shared" si="0"/>
        <v>BU</v>
      </c>
      <c r="BV1" s="442" t="str">
        <f t="shared" si="0"/>
        <v>BV</v>
      </c>
      <c r="BW1" s="442" t="str">
        <f t="shared" si="0"/>
        <v>BW</v>
      </c>
      <c r="BX1" s="442" t="str">
        <f t="shared" si="0"/>
        <v>BX</v>
      </c>
      <c r="BY1" s="442" t="str">
        <f t="shared" si="0"/>
        <v>BY</v>
      </c>
      <c r="BZ1" s="442" t="str">
        <f t="shared" si="0"/>
        <v>BZ</v>
      </c>
      <c r="CA1" s="442" t="str">
        <f t="shared" si="0"/>
        <v>CA</v>
      </c>
      <c r="CB1" s="442" t="str">
        <f t="shared" si="0"/>
        <v>CB</v>
      </c>
      <c r="CC1" s="442" t="str">
        <f t="shared" si="0"/>
        <v>CC</v>
      </c>
      <c r="CD1" s="442" t="str">
        <f t="shared" si="0"/>
        <v>CD</v>
      </c>
      <c r="CE1" s="442" t="str">
        <f t="shared" si="0"/>
        <v>CE</v>
      </c>
      <c r="CF1" s="442" t="str">
        <f t="shared" si="0"/>
        <v>CF</v>
      </c>
      <c r="CG1" s="442" t="str">
        <f t="shared" si="0"/>
        <v>CG</v>
      </c>
      <c r="CH1" s="442" t="str">
        <f t="shared" si="0"/>
        <v>CH</v>
      </c>
      <c r="CI1" s="442" t="str">
        <f t="shared" si="0"/>
        <v>CI</v>
      </c>
      <c r="CJ1" s="442" t="str">
        <f t="shared" si="0"/>
        <v>CJ</v>
      </c>
      <c r="CK1" s="5">
        <v>1</v>
      </c>
      <c r="CL1" s="442" t="str">
        <f>SUBSTITUTE(ADDRESS(1,COLUMN(),4),"1","")</f>
        <v>CL</v>
      </c>
      <c r="CM1" s="5497" t="str">
        <f>SUBSTITUTE(ADDRESS(1,COLUMN(),4),"1","")</f>
        <v>CM</v>
      </c>
    </row>
    <row r="2" spans="1:91" s="5096" customFormat="1" ht="15" customHeight="1" thickBot="1">
      <c r="B2" s="7423" t="s">
        <v>252</v>
      </c>
      <c r="C2" s="5097"/>
      <c r="D2" s="5098"/>
      <c r="E2" s="4721"/>
      <c r="F2" s="4721"/>
      <c r="G2" s="4721"/>
      <c r="H2" s="4721"/>
      <c r="I2" s="4721"/>
      <c r="J2" s="4721"/>
      <c r="K2" s="5099" t="s">
        <v>1300</v>
      </c>
      <c r="L2" s="5098"/>
      <c r="M2" s="5100"/>
      <c r="N2" s="5100"/>
      <c r="O2" s="5101"/>
      <c r="P2" s="7426" t="s">
        <v>7804</v>
      </c>
      <c r="Q2" s="7427"/>
      <c r="R2" s="5094" t="s">
        <v>1</v>
      </c>
      <c r="S2" s="7423" t="s">
        <v>252</v>
      </c>
      <c r="T2" s="5097"/>
      <c r="U2" s="5098"/>
      <c r="V2" s="4721"/>
      <c r="W2" s="4721"/>
      <c r="X2" s="4721"/>
      <c r="Y2" s="4721"/>
      <c r="Z2" s="4721"/>
      <c r="AA2" s="4721"/>
      <c r="AB2" s="5099" t="s">
        <v>1300</v>
      </c>
      <c r="AC2" s="5098"/>
      <c r="AD2" s="5100"/>
      <c r="AE2" s="5100"/>
      <c r="AF2" s="5101"/>
      <c r="AG2" s="7426" t="s">
        <v>7804</v>
      </c>
      <c r="AH2" s="7427"/>
      <c r="AI2" s="5094" t="s">
        <v>1</v>
      </c>
      <c r="AJ2" s="7423" t="s">
        <v>252</v>
      </c>
      <c r="AK2" s="5097"/>
      <c r="AL2" s="5098"/>
      <c r="AM2" s="4721"/>
      <c r="AN2" s="4721"/>
      <c r="AO2" s="4721"/>
      <c r="AP2" s="4721"/>
      <c r="AQ2" s="4721"/>
      <c r="AR2" s="4721"/>
      <c r="AS2" s="5099" t="s">
        <v>1300</v>
      </c>
      <c r="AT2" s="5098"/>
      <c r="AU2" s="5100"/>
      <c r="AV2" s="5100"/>
      <c r="AW2" s="5101"/>
      <c r="AX2" s="7426" t="s">
        <v>7804</v>
      </c>
      <c r="AY2" s="7427"/>
      <c r="AZ2" s="5094" t="s">
        <v>1</v>
      </c>
      <c r="BA2" s="91">
        <f ca="1">CELL("largeur",BA2)</f>
        <v>13</v>
      </c>
      <c r="BB2" s="91">
        <f ca="1">CELL("largeur",BB2)</f>
        <v>13</v>
      </c>
      <c r="BC2" s="2"/>
      <c r="BD2" s="91">
        <f ca="1">CELL("largeur",BD2)</f>
        <v>13</v>
      </c>
      <c r="BE2" s="91">
        <f ca="1">CELL("largeur",BE2)</f>
        <v>13</v>
      </c>
      <c r="BF2" s="2"/>
      <c r="BG2" s="91">
        <f ca="1">CELL("largeur",BG2)</f>
        <v>13</v>
      </c>
      <c r="BH2" s="91">
        <f ca="1">CELL("largeur",BH2)</f>
        <v>13</v>
      </c>
      <c r="BI2" s="2"/>
      <c r="BJ2" s="91">
        <f ca="1">CELL("largeur",BJ2)</f>
        <v>13</v>
      </c>
      <c r="BK2" s="91">
        <f ca="1">CELL("largeur",BK2)</f>
        <v>13</v>
      </c>
      <c r="BL2" s="2"/>
      <c r="BM2" s="91">
        <f ca="1">CELL("largeur",BM2)</f>
        <v>13</v>
      </c>
      <c r="BN2" s="91">
        <f ca="1">CELL("largeur",BN2)</f>
        <v>13</v>
      </c>
      <c r="BO2" s="2"/>
      <c r="BP2" s="91">
        <f ca="1">CELL("largeur",BP2)</f>
        <v>13</v>
      </c>
      <c r="BQ2" s="91">
        <f ca="1">CELL("largeur",BQ2)</f>
        <v>13</v>
      </c>
      <c r="BR2" s="91"/>
      <c r="BS2" s="91">
        <f t="shared" ref="BS2:CJ2" ca="1" si="1">CELL("largeur",BS2)</f>
        <v>12</v>
      </c>
      <c r="BT2" s="91">
        <f t="shared" ca="1" si="1"/>
        <v>12</v>
      </c>
      <c r="BU2" s="91">
        <f t="shared" ca="1" si="1"/>
        <v>4</v>
      </c>
      <c r="BV2" s="91">
        <f t="shared" ca="1" si="1"/>
        <v>11</v>
      </c>
      <c r="BW2" s="91">
        <f t="shared" ca="1" si="1"/>
        <v>11</v>
      </c>
      <c r="BX2" s="91">
        <f t="shared" ca="1" si="1"/>
        <v>11</v>
      </c>
      <c r="BY2" s="91">
        <f t="shared" ca="1" si="1"/>
        <v>11</v>
      </c>
      <c r="BZ2" s="91">
        <f t="shared" ca="1" si="1"/>
        <v>11</v>
      </c>
      <c r="CA2" s="91">
        <f t="shared" ca="1" si="1"/>
        <v>11</v>
      </c>
      <c r="CB2" s="91">
        <f t="shared" ca="1" si="1"/>
        <v>11</v>
      </c>
      <c r="CC2" s="91">
        <f t="shared" ca="1" si="1"/>
        <v>11</v>
      </c>
      <c r="CD2" s="91">
        <f t="shared" ca="1" si="1"/>
        <v>11</v>
      </c>
      <c r="CE2" s="91">
        <f t="shared" ca="1" si="1"/>
        <v>11</v>
      </c>
      <c r="CF2" s="91">
        <f t="shared" ca="1" si="1"/>
        <v>11</v>
      </c>
      <c r="CG2" s="91">
        <f t="shared" ca="1" si="1"/>
        <v>11</v>
      </c>
      <c r="CH2" s="91">
        <f t="shared" ca="1" si="1"/>
        <v>11</v>
      </c>
      <c r="CI2" s="91">
        <f t="shared" ca="1" si="1"/>
        <v>11</v>
      </c>
      <c r="CJ2" s="91">
        <f t="shared" ca="1" si="1"/>
        <v>11</v>
      </c>
      <c r="CK2" s="5">
        <v>1</v>
      </c>
      <c r="CL2" s="440"/>
      <c r="CM2" s="440" t="s">
        <v>295</v>
      </c>
    </row>
    <row r="3" spans="1:91" ht="15" customHeight="1">
      <c r="B3" s="7424"/>
      <c r="C3" s="5102"/>
      <c r="D3" s="5103"/>
      <c r="E3" s="141"/>
      <c r="F3" s="141"/>
      <c r="G3" s="141"/>
      <c r="H3" s="141"/>
      <c r="I3" s="141"/>
      <c r="J3" s="141"/>
      <c r="K3" s="7200" t="s">
        <v>1544</v>
      </c>
      <c r="L3" s="7200"/>
      <c r="M3" s="5104"/>
      <c r="N3" s="5104"/>
      <c r="O3" s="141"/>
      <c r="P3" s="7419" t="s">
        <v>21</v>
      </c>
      <c r="Q3" s="7420"/>
      <c r="R3" s="5094" t="s">
        <v>1</v>
      </c>
      <c r="S3" s="7424"/>
      <c r="T3" s="5102"/>
      <c r="U3" s="5103"/>
      <c r="V3" s="141"/>
      <c r="W3" s="141"/>
      <c r="X3" s="141"/>
      <c r="Y3" s="141"/>
      <c r="Z3" s="141"/>
      <c r="AA3" s="141"/>
      <c r="AB3" s="7200" t="s">
        <v>1544</v>
      </c>
      <c r="AC3" s="7200"/>
      <c r="AD3" s="5104"/>
      <c r="AE3" s="5104"/>
      <c r="AF3" s="141"/>
      <c r="AG3" s="7419" t="s">
        <v>1802</v>
      </c>
      <c r="AH3" s="7420"/>
      <c r="AI3" s="5094" t="s">
        <v>1</v>
      </c>
      <c r="AJ3" s="7424"/>
      <c r="AK3" s="5102"/>
      <c r="AL3" s="5103"/>
      <c r="AM3" s="141"/>
      <c r="AN3" s="141"/>
      <c r="AO3" s="141"/>
      <c r="AP3" s="141"/>
      <c r="AQ3" s="141"/>
      <c r="AR3" s="141"/>
      <c r="AS3" s="7200" t="s">
        <v>1544</v>
      </c>
      <c r="AT3" s="7200"/>
      <c r="AU3" s="5104"/>
      <c r="AV3" s="5104"/>
      <c r="AW3" s="141"/>
      <c r="AX3" s="7419" t="s">
        <v>1896</v>
      </c>
      <c r="AY3" s="7420"/>
      <c r="AZ3" s="5094" t="s">
        <v>1</v>
      </c>
      <c r="BA3" s="141"/>
      <c r="BB3" s="141"/>
      <c r="BC3" s="141"/>
      <c r="BD3" s="141"/>
      <c r="BE3" s="141"/>
      <c r="BF3" s="141"/>
      <c r="BG3" s="141"/>
      <c r="BH3" s="141"/>
      <c r="BI3" s="141"/>
      <c r="BJ3" s="141"/>
      <c r="BK3" s="141"/>
      <c r="BL3" s="141"/>
      <c r="BM3" s="141"/>
      <c r="BN3" s="141"/>
      <c r="BO3" s="141"/>
      <c r="BP3" s="141"/>
      <c r="BQ3" s="141"/>
      <c r="BR3" s="141"/>
      <c r="BS3" s="5640"/>
      <c r="BT3" s="5640"/>
      <c r="BU3" s="5640"/>
      <c r="BV3" s="5640"/>
      <c r="BW3" s="5640"/>
      <c r="BX3" s="5640"/>
      <c r="BY3" s="5640"/>
      <c r="BZ3" s="5640"/>
      <c r="CA3" s="5640"/>
      <c r="CB3" s="5640"/>
      <c r="CC3" s="5640"/>
      <c r="CD3" s="5640"/>
      <c r="CJ3" s="106"/>
      <c r="CK3" s="5">
        <v>1</v>
      </c>
      <c r="CL3" s="430">
        <f ca="1">COUNTA(A1:CK423) + COUNTBLANK(A1:CK423)</f>
        <v>37647</v>
      </c>
      <c r="CM3" s="429" t="str">
        <f>"cellules entre"&amp;" " &amp;A1&amp;" et  "&amp;CK423</f>
        <v>cellules entre A1 et  CK423</v>
      </c>
    </row>
    <row r="4" spans="1:91" ht="21" customHeight="1">
      <c r="B4" s="7424"/>
      <c r="C4" s="5102"/>
      <c r="D4" s="5105"/>
      <c r="E4" s="141"/>
      <c r="F4" s="141"/>
      <c r="G4" s="141"/>
      <c r="H4" s="141"/>
      <c r="I4" s="141"/>
      <c r="J4" s="141"/>
      <c r="K4" s="7201"/>
      <c r="L4" s="7201"/>
      <c r="M4" s="5106"/>
      <c r="N4" s="5106"/>
      <c r="O4" s="5107"/>
      <c r="P4" s="7419"/>
      <c r="Q4" s="7420"/>
      <c r="R4" s="5094" t="s">
        <v>1</v>
      </c>
      <c r="S4" s="7424"/>
      <c r="T4" s="5102"/>
      <c r="U4" s="5105"/>
      <c r="V4" s="141"/>
      <c r="W4" s="141"/>
      <c r="X4" s="141"/>
      <c r="Y4" s="141"/>
      <c r="Z4" s="141"/>
      <c r="AA4" s="141"/>
      <c r="AB4" s="7201"/>
      <c r="AC4" s="7201"/>
      <c r="AD4" s="5106"/>
      <c r="AE4" s="5106"/>
      <c r="AF4" s="5107"/>
      <c r="AG4" s="7419"/>
      <c r="AH4" s="7420"/>
      <c r="AI4" s="5094" t="s">
        <v>1</v>
      </c>
      <c r="AJ4" s="7424"/>
      <c r="AK4" s="5102"/>
      <c r="AL4" s="5105"/>
      <c r="AM4" s="141"/>
      <c r="AN4" s="141"/>
      <c r="AO4" s="141"/>
      <c r="AP4" s="141"/>
      <c r="AQ4" s="141"/>
      <c r="AR4" s="141"/>
      <c r="AS4" s="7201"/>
      <c r="AT4" s="7201"/>
      <c r="AU4" s="5106"/>
      <c r="AV4" s="5106"/>
      <c r="AW4" s="5107"/>
      <c r="AX4" s="7419"/>
      <c r="AY4" s="7420"/>
      <c r="AZ4" s="5094" t="s">
        <v>1</v>
      </c>
      <c r="BA4" s="141"/>
      <c r="BB4" s="141"/>
      <c r="BC4" s="141"/>
      <c r="BD4" s="141"/>
      <c r="BE4" s="141"/>
      <c r="BF4" s="141"/>
      <c r="BG4" s="141"/>
      <c r="BH4" s="141"/>
      <c r="BI4" s="141"/>
      <c r="BJ4" s="141"/>
      <c r="BK4" s="141"/>
      <c r="BL4" s="141"/>
      <c r="BM4" s="141"/>
      <c r="BN4" s="141"/>
      <c r="BO4" s="141"/>
      <c r="BP4" s="141"/>
      <c r="BQ4" s="141"/>
      <c r="BR4" s="141"/>
      <c r="BS4" s="5640"/>
      <c r="BT4" s="5640"/>
      <c r="BU4" s="5640"/>
      <c r="BV4" s="5640"/>
      <c r="BW4" s="97"/>
      <c r="BX4" s="97"/>
      <c r="BY4" s="97"/>
      <c r="BZ4" s="97"/>
      <c r="CA4" s="97"/>
      <c r="CB4" s="97"/>
      <c r="CC4" s="97"/>
      <c r="CD4" s="97"/>
      <c r="CE4" s="97"/>
      <c r="CF4" s="97"/>
      <c r="CG4" s="97"/>
      <c r="CH4" s="97"/>
      <c r="CI4" s="97"/>
      <c r="CJ4" s="106"/>
      <c r="CK4" s="5">
        <v>1</v>
      </c>
      <c r="CL4" s="430">
        <f ca="1">COUNTA(A1:CK423)</f>
        <v>2880</v>
      </c>
      <c r="CM4" s="429" t="s">
        <v>291</v>
      </c>
    </row>
    <row r="5" spans="1:91" ht="21.75" customHeight="1">
      <c r="B5" s="7424"/>
      <c r="C5" s="5102"/>
      <c r="D5" s="7421" t="s">
        <v>7805</v>
      </c>
      <c r="E5" s="7421"/>
      <c r="F5" s="7421"/>
      <c r="G5" s="7421"/>
      <c r="H5" s="7421"/>
      <c r="I5" s="7421"/>
      <c r="J5" s="7421"/>
      <c r="K5" s="7421"/>
      <c r="L5" s="7421"/>
      <c r="M5" s="7421"/>
      <c r="N5" s="7421"/>
      <c r="O5" s="7421"/>
      <c r="P5" s="7419"/>
      <c r="Q5" s="7420"/>
      <c r="R5" s="5094" t="s">
        <v>1</v>
      </c>
      <c r="S5" s="7424"/>
      <c r="T5" s="5102"/>
      <c r="U5" s="7421" t="s">
        <v>7805</v>
      </c>
      <c r="V5" s="7421"/>
      <c r="W5" s="7421"/>
      <c r="X5" s="7421"/>
      <c r="Y5" s="7421"/>
      <c r="Z5" s="7421"/>
      <c r="AA5" s="7421"/>
      <c r="AB5" s="7421"/>
      <c r="AC5" s="7421"/>
      <c r="AD5" s="7421"/>
      <c r="AE5" s="7421"/>
      <c r="AF5" s="7421"/>
      <c r="AG5" s="7419"/>
      <c r="AH5" s="7420"/>
      <c r="AI5" s="5094" t="s">
        <v>1</v>
      </c>
      <c r="AJ5" s="7424"/>
      <c r="AK5" s="5102"/>
      <c r="AL5" s="7421" t="s">
        <v>7805</v>
      </c>
      <c r="AM5" s="7421"/>
      <c r="AN5" s="7421"/>
      <c r="AO5" s="7421"/>
      <c r="AP5" s="7421"/>
      <c r="AQ5" s="7421"/>
      <c r="AR5" s="7421"/>
      <c r="AS5" s="7421"/>
      <c r="AT5" s="7421"/>
      <c r="AU5" s="7421"/>
      <c r="AV5" s="7421"/>
      <c r="AW5" s="7421"/>
      <c r="AX5" s="7419"/>
      <c r="AY5" s="7420"/>
      <c r="AZ5" s="5094" t="s">
        <v>1</v>
      </c>
      <c r="BA5" s="141"/>
      <c r="BB5" s="141"/>
      <c r="BC5" s="141"/>
      <c r="BD5" s="141"/>
      <c r="BE5" s="141"/>
      <c r="BF5" s="141"/>
      <c r="BG5" s="141"/>
      <c r="BH5" s="141"/>
      <c r="BI5" s="141"/>
      <c r="BJ5" s="141"/>
      <c r="BK5" s="141"/>
      <c r="BL5" s="141"/>
      <c r="BM5" s="141"/>
      <c r="BN5" s="141"/>
      <c r="BO5" s="141"/>
      <c r="BP5" s="141"/>
      <c r="BQ5" s="141"/>
      <c r="BR5" s="141"/>
      <c r="BS5" s="5640"/>
      <c r="BT5" s="5640"/>
      <c r="BU5" s="5640"/>
      <c r="BV5" s="5640"/>
      <c r="BW5" s="97"/>
      <c r="BX5" s="97"/>
      <c r="BY5" s="97"/>
      <c r="BZ5" s="97"/>
      <c r="CA5" s="97"/>
      <c r="CB5" s="97"/>
      <c r="CC5" s="97"/>
      <c r="CD5" s="97"/>
      <c r="CE5" s="97"/>
      <c r="CF5" s="97"/>
      <c r="CG5" s="97"/>
      <c r="CH5" s="97"/>
      <c r="CI5" s="97"/>
      <c r="CJ5" s="106"/>
      <c r="CK5" s="5">
        <v>1</v>
      </c>
      <c r="CL5" s="430">
        <f ca="1">COUNTBLANK(A1:CK423)</f>
        <v>34767</v>
      </c>
      <c r="CM5" s="429" t="s">
        <v>288</v>
      </c>
    </row>
    <row r="6" spans="1:91" ht="33" customHeight="1">
      <c r="B6" s="7424"/>
      <c r="C6" s="5102"/>
      <c r="D6" s="7421"/>
      <c r="E6" s="7421"/>
      <c r="F6" s="7421"/>
      <c r="G6" s="7421"/>
      <c r="H6" s="7421"/>
      <c r="I6" s="7421"/>
      <c r="J6" s="7421"/>
      <c r="K6" s="7421"/>
      <c r="L6" s="7421"/>
      <c r="M6" s="7421"/>
      <c r="N6" s="7421"/>
      <c r="O6" s="7421"/>
      <c r="P6" s="7419"/>
      <c r="Q6" s="7420"/>
      <c r="R6" s="5094" t="s">
        <v>1</v>
      </c>
      <c r="S6" s="7424"/>
      <c r="T6" s="5102"/>
      <c r="U6" s="7421"/>
      <c r="V6" s="7421"/>
      <c r="W6" s="7421"/>
      <c r="X6" s="7421"/>
      <c r="Y6" s="7421"/>
      <c r="Z6" s="7421"/>
      <c r="AA6" s="7421"/>
      <c r="AB6" s="7421"/>
      <c r="AC6" s="7421"/>
      <c r="AD6" s="7421"/>
      <c r="AE6" s="7421"/>
      <c r="AF6" s="7421"/>
      <c r="AG6" s="7419"/>
      <c r="AH6" s="7420"/>
      <c r="AI6" s="5094" t="s">
        <v>1</v>
      </c>
      <c r="AJ6" s="7424"/>
      <c r="AK6" s="5102"/>
      <c r="AL6" s="7421"/>
      <c r="AM6" s="7421"/>
      <c r="AN6" s="7421"/>
      <c r="AO6" s="7421"/>
      <c r="AP6" s="7421"/>
      <c r="AQ6" s="7421"/>
      <c r="AR6" s="7421"/>
      <c r="AS6" s="7421"/>
      <c r="AT6" s="7421"/>
      <c r="AU6" s="7421"/>
      <c r="AV6" s="7421"/>
      <c r="AW6" s="7421"/>
      <c r="AX6" s="7419"/>
      <c r="AY6" s="7420"/>
      <c r="AZ6" s="5094" t="s">
        <v>1</v>
      </c>
      <c r="BA6" s="141"/>
      <c r="BB6" s="141"/>
      <c r="BC6" s="141"/>
      <c r="BD6" s="141"/>
      <c r="BE6" s="141"/>
      <c r="BF6" s="141"/>
      <c r="BG6" s="141"/>
      <c r="BH6" s="141"/>
      <c r="BI6" s="141"/>
      <c r="BJ6" s="141"/>
      <c r="BK6" s="141"/>
      <c r="BL6" s="141"/>
      <c r="BM6" s="141"/>
      <c r="BN6" s="141"/>
      <c r="BO6" s="141"/>
      <c r="BP6" s="141"/>
      <c r="BQ6" s="141"/>
      <c r="BR6" s="141"/>
      <c r="BS6" s="5640"/>
      <c r="BT6" s="5640"/>
      <c r="BU6" s="5640"/>
      <c r="BV6" s="5640"/>
      <c r="BW6" s="97"/>
      <c r="BX6" s="97"/>
      <c r="BY6" s="97"/>
      <c r="BZ6" s="97"/>
      <c r="CA6" s="97"/>
      <c r="CB6" s="97"/>
      <c r="CC6" s="97"/>
      <c r="CD6" s="97"/>
      <c r="CE6" s="97"/>
      <c r="CF6" s="97"/>
      <c r="CG6" s="97"/>
      <c r="CH6" s="97"/>
      <c r="CI6" s="97"/>
      <c r="CJ6" s="106"/>
      <c r="CK6" s="5">
        <v>1</v>
      </c>
      <c r="CL6" s="430">
        <f>SUM(CK1:CK421)+2</f>
        <v>423</v>
      </c>
      <c r="CM6" s="429" t="s">
        <v>286</v>
      </c>
    </row>
    <row r="7" spans="1:91" ht="18" customHeight="1" thickBot="1">
      <c r="B7" s="7425"/>
      <c r="C7" s="5108"/>
      <c r="D7" s="7422"/>
      <c r="E7" s="7422"/>
      <c r="F7" s="7422"/>
      <c r="G7" s="7422"/>
      <c r="H7" s="7422"/>
      <c r="I7" s="7422"/>
      <c r="J7" s="7422"/>
      <c r="K7" s="7422"/>
      <c r="L7" s="7422"/>
      <c r="M7" s="7422"/>
      <c r="N7" s="7422"/>
      <c r="O7" s="7422"/>
      <c r="P7" s="5635"/>
      <c r="Q7" s="5109"/>
      <c r="R7" s="5094" t="s">
        <v>1</v>
      </c>
      <c r="S7" s="7425"/>
      <c r="T7" s="5108"/>
      <c r="U7" s="7422"/>
      <c r="V7" s="7422"/>
      <c r="W7" s="7422"/>
      <c r="X7" s="7422"/>
      <c r="Y7" s="7422"/>
      <c r="Z7" s="7422"/>
      <c r="AA7" s="7422"/>
      <c r="AB7" s="7422"/>
      <c r="AC7" s="7422"/>
      <c r="AD7" s="7422"/>
      <c r="AE7" s="7422"/>
      <c r="AF7" s="7422"/>
      <c r="AG7" s="5635"/>
      <c r="AH7" s="5109"/>
      <c r="AI7" s="5094" t="s">
        <v>1</v>
      </c>
      <c r="AJ7" s="7425"/>
      <c r="AK7" s="5108"/>
      <c r="AL7" s="7422"/>
      <c r="AM7" s="7422"/>
      <c r="AN7" s="7422"/>
      <c r="AO7" s="7422"/>
      <c r="AP7" s="7422"/>
      <c r="AQ7" s="7422"/>
      <c r="AR7" s="7422"/>
      <c r="AS7" s="7422"/>
      <c r="AT7" s="7422"/>
      <c r="AU7" s="7422"/>
      <c r="AV7" s="7422"/>
      <c r="AW7" s="7422"/>
      <c r="AX7" s="5635"/>
      <c r="AY7" s="5109"/>
      <c r="AZ7" s="5094" t="s">
        <v>1</v>
      </c>
      <c r="BA7" s="141"/>
      <c r="BB7" s="141"/>
      <c r="BC7" s="141"/>
      <c r="BD7" s="141"/>
      <c r="BE7" s="141"/>
      <c r="BF7" s="141"/>
      <c r="BG7" s="141"/>
      <c r="BH7" s="141"/>
      <c r="BI7" s="141"/>
      <c r="BJ7" s="141"/>
      <c r="BK7" s="141"/>
      <c r="BL7" s="141"/>
      <c r="BM7" s="141"/>
      <c r="BN7" s="141"/>
      <c r="BO7" s="141"/>
      <c r="BP7" s="141"/>
      <c r="BQ7" s="141"/>
      <c r="BR7" s="141"/>
      <c r="BS7" s="5640"/>
      <c r="BT7" s="5640"/>
      <c r="BU7" s="5640"/>
      <c r="BV7" s="5640"/>
      <c r="BW7" s="97"/>
      <c r="BX7" s="97"/>
      <c r="BY7" s="97"/>
      <c r="BZ7" s="97"/>
      <c r="CA7" s="97"/>
      <c r="CB7" s="97"/>
      <c r="CC7" s="97"/>
      <c r="CD7" s="97"/>
      <c r="CE7" s="97"/>
      <c r="CF7" s="97"/>
      <c r="CG7" s="97"/>
      <c r="CH7" s="97"/>
      <c r="CI7" s="97"/>
      <c r="CJ7" s="106"/>
      <c r="CK7" s="5">
        <v>1</v>
      </c>
      <c r="CL7" s="430">
        <f>SUM(A423:CJ423)+1</f>
        <v>89</v>
      </c>
      <c r="CM7" s="429" t="s">
        <v>284</v>
      </c>
    </row>
    <row r="8" spans="1:91" ht="33" customHeight="1">
      <c r="B8" s="91" t="s">
        <v>21</v>
      </c>
      <c r="C8" s="91"/>
      <c r="D8" s="5110" t="s">
        <v>269</v>
      </c>
      <c r="E8" s="5111" t="str">
        <f ca="1">CELL("nomfichier")</f>
        <v>D:\Données\1.UPRT\0-UPRT.fait\1-UPRT.FR-SITE-WEB\ff-fiches-fabrications\ff.fiches.fabrication.2023\ffr.restaurant.2023\[ff.REPERTOIRE.600.LIGNES.15.xlsx]Differents.postits.FR.EN.ES</v>
      </c>
      <c r="F8" s="5111"/>
      <c r="G8" s="5111"/>
      <c r="H8" s="5111"/>
      <c r="I8" s="5111"/>
      <c r="J8" s="5111"/>
      <c r="K8" s="331"/>
      <c r="L8" s="331"/>
      <c r="M8" s="331"/>
      <c r="N8" s="331"/>
      <c r="O8" s="331"/>
      <c r="P8" s="331"/>
      <c r="Q8" s="331"/>
      <c r="R8" s="5094" t="s">
        <v>1</v>
      </c>
      <c r="S8" s="91" t="s">
        <v>21</v>
      </c>
      <c r="T8" s="91"/>
      <c r="U8" s="5110" t="s">
        <v>269</v>
      </c>
      <c r="V8" s="5111" t="str">
        <f ca="1">CELL("nomfichier")</f>
        <v>D:\Données\1.UPRT\0-UPRT.fait\1-UPRT.FR-SITE-WEB\ff-fiches-fabrications\ff.fiches.fabrication.2023\ffr.restaurant.2023\[ff.REPERTOIRE.600.LIGNES.15.xlsx]Differents.postits.FR.EN.ES</v>
      </c>
      <c r="W8" s="5111"/>
      <c r="X8" s="5111"/>
      <c r="Y8" s="5111"/>
      <c r="Z8" s="5111"/>
      <c r="AA8" s="5111"/>
      <c r="AB8" s="331"/>
      <c r="AC8" s="331"/>
      <c r="AD8" s="331"/>
      <c r="AE8" s="331"/>
      <c r="AF8" s="331"/>
      <c r="AG8" s="331"/>
      <c r="AH8" s="331"/>
      <c r="AI8" s="5094" t="s">
        <v>1</v>
      </c>
      <c r="AJ8" s="91" t="s">
        <v>21</v>
      </c>
      <c r="AK8" s="91"/>
      <c r="AL8" s="5110" t="s">
        <v>269</v>
      </c>
      <c r="AM8" s="5111" t="str">
        <f ca="1">CELL("nomfichier")</f>
        <v>D:\Données\1.UPRT\0-UPRT.fait\1-UPRT.FR-SITE-WEB\ff-fiches-fabrications\ff.fiches.fabrication.2023\ffr.restaurant.2023\[ff.REPERTOIRE.600.LIGNES.15.xlsx]Differents.postits.FR.EN.ES</v>
      </c>
      <c r="AN8" s="5111"/>
      <c r="AO8" s="5111"/>
      <c r="AP8" s="5111"/>
      <c r="AQ8" s="5111"/>
      <c r="AR8" s="5111"/>
      <c r="AS8" s="331"/>
      <c r="AT8" s="331"/>
      <c r="AU8" s="331"/>
      <c r="AV8" s="331"/>
      <c r="AW8" s="331"/>
      <c r="AX8" s="331"/>
      <c r="AY8" s="331"/>
      <c r="AZ8" s="5094" t="s">
        <v>1</v>
      </c>
      <c r="BA8" s="141"/>
      <c r="BB8" s="141"/>
      <c r="BC8" s="141"/>
      <c r="BD8" s="141"/>
      <c r="BE8" s="141"/>
      <c r="BF8" s="141"/>
      <c r="BG8" s="141"/>
      <c r="BH8" s="141"/>
      <c r="BI8" s="141"/>
      <c r="BJ8" s="141"/>
      <c r="BK8" s="141"/>
      <c r="BL8" s="141"/>
      <c r="BM8" s="141"/>
      <c r="BN8" s="141"/>
      <c r="BO8" s="141"/>
      <c r="BP8" s="141"/>
      <c r="BQ8" s="141"/>
      <c r="BR8" s="141"/>
      <c r="BS8" s="5640"/>
      <c r="BT8" s="5640"/>
      <c r="BU8" s="5640"/>
      <c r="BV8" s="5640"/>
      <c r="BW8" s="97" t="s">
        <v>3493</v>
      </c>
      <c r="BX8" s="106"/>
      <c r="BY8" s="106"/>
      <c r="BZ8" s="106"/>
      <c r="CA8" s="106"/>
      <c r="CB8" s="5640"/>
      <c r="CC8" s="5640"/>
      <c r="CD8" s="5640"/>
      <c r="CE8" s="97" t="s">
        <v>3505</v>
      </c>
      <c r="CF8" s="97"/>
      <c r="CG8" s="97"/>
      <c r="CH8" s="97"/>
      <c r="CI8" s="97"/>
      <c r="CJ8" s="106"/>
      <c r="CK8" s="5">
        <v>1</v>
      </c>
    </row>
    <row r="9" spans="1:91" s="187" customFormat="1" ht="15.75" customHeight="1">
      <c r="A9"/>
      <c r="B9" s="141"/>
      <c r="C9" s="141"/>
      <c r="D9" s="5112" t="s">
        <v>7806</v>
      </c>
      <c r="E9" s="141"/>
      <c r="F9" s="141"/>
      <c r="G9" s="141"/>
      <c r="H9" s="141"/>
      <c r="I9" s="141"/>
      <c r="J9" s="141"/>
      <c r="K9" s="331"/>
      <c r="L9" s="331"/>
      <c r="M9" s="331"/>
      <c r="N9" s="331"/>
      <c r="O9" s="331"/>
      <c r="P9" s="331"/>
      <c r="Q9" s="331"/>
      <c r="R9" s="141"/>
      <c r="S9" s="141"/>
      <c r="T9" s="141"/>
      <c r="U9" s="5112" t="s">
        <v>7806</v>
      </c>
      <c r="V9" s="141"/>
      <c r="W9" s="141"/>
      <c r="X9" s="141"/>
      <c r="Y9" s="141"/>
      <c r="Z9" s="141"/>
      <c r="AA9" s="141"/>
      <c r="AB9" s="331"/>
      <c r="AC9" s="331"/>
      <c r="AD9" s="331"/>
      <c r="AE9" s="331"/>
      <c r="AF9" s="331"/>
      <c r="AG9" s="331"/>
      <c r="AH9" s="331"/>
      <c r="AI9" s="141"/>
      <c r="AJ9" s="141"/>
      <c r="AK9" s="141"/>
      <c r="AL9" s="5112" t="s">
        <v>7806</v>
      </c>
      <c r="AM9" s="141"/>
      <c r="AN9" s="141"/>
      <c r="AO9" s="141"/>
      <c r="AP9" s="141"/>
      <c r="AQ9" s="141"/>
      <c r="AR9" s="141"/>
      <c r="AS9" s="331"/>
      <c r="AT9" s="331"/>
      <c r="AU9" s="331"/>
      <c r="AV9" s="331"/>
      <c r="AW9" s="331"/>
      <c r="AX9" s="331"/>
      <c r="AY9" s="331"/>
      <c r="AZ9" s="141"/>
      <c r="BA9" s="141"/>
      <c r="BB9" s="141"/>
      <c r="BC9" s="141"/>
      <c r="BD9" s="141"/>
      <c r="BE9" s="141"/>
      <c r="BF9" s="141"/>
      <c r="BG9" s="141"/>
      <c r="BH9" s="141"/>
      <c r="BI9" s="141"/>
      <c r="BJ9" s="141"/>
      <c r="BK9" s="141"/>
      <c r="BL9" s="141"/>
      <c r="BM9" s="141"/>
      <c r="BN9" s="141"/>
      <c r="BO9" s="141"/>
      <c r="BP9" s="141"/>
      <c r="BQ9" s="141"/>
      <c r="BR9" s="141"/>
      <c r="BS9" s="5640"/>
      <c r="BT9" s="5640"/>
      <c r="BU9" s="5640"/>
      <c r="BV9" s="5640"/>
      <c r="BW9" s="2642" t="s">
        <v>627</v>
      </c>
      <c r="BX9" s="7414" t="s">
        <v>3494</v>
      </c>
      <c r="BY9" s="7414"/>
      <c r="BZ9" s="7414"/>
      <c r="CA9" s="106"/>
      <c r="CB9" s="5640"/>
      <c r="CC9" s="5640"/>
      <c r="CD9" s="5640"/>
      <c r="CE9" s="2642" t="s">
        <v>627</v>
      </c>
      <c r="CF9" s="2641" t="s">
        <v>3507</v>
      </c>
      <c r="CG9" s="97"/>
      <c r="CH9" s="97"/>
      <c r="CI9" s="147"/>
      <c r="CJ9" s="106"/>
      <c r="CK9" s="5">
        <v>1</v>
      </c>
      <c r="CL9" s="1"/>
      <c r="CM9" s="1"/>
    </row>
    <row r="10" spans="1:91" s="187" customFormat="1" ht="33" customHeight="1">
      <c r="A10"/>
      <c r="B10" s="141"/>
      <c r="C10" s="141"/>
      <c r="D10" s="5112" t="s">
        <v>7807</v>
      </c>
      <c r="E10" s="141"/>
      <c r="F10" s="141"/>
      <c r="G10" s="141"/>
      <c r="H10" s="141"/>
      <c r="I10" s="141"/>
      <c r="J10" s="141"/>
      <c r="K10" s="331"/>
      <c r="L10" s="331"/>
      <c r="M10" s="331"/>
      <c r="N10" s="104" t="s">
        <v>8442</v>
      </c>
      <c r="O10" s="331"/>
      <c r="P10" s="331"/>
      <c r="Q10" s="331"/>
      <c r="R10" s="5094" t="s">
        <v>1</v>
      </c>
      <c r="S10" s="141"/>
      <c r="T10" s="141"/>
      <c r="U10" s="5112" t="s">
        <v>7807</v>
      </c>
      <c r="V10" s="141"/>
      <c r="W10" s="141"/>
      <c r="X10" s="141"/>
      <c r="Y10" s="141"/>
      <c r="Z10" s="141"/>
      <c r="AA10" s="141"/>
      <c r="AB10" s="331"/>
      <c r="AC10" s="331"/>
      <c r="AD10" s="331"/>
      <c r="AE10" s="104" t="s">
        <v>8442</v>
      </c>
      <c r="AF10" s="331"/>
      <c r="AG10" s="331"/>
      <c r="AH10" s="331"/>
      <c r="AI10" s="5094" t="s">
        <v>1</v>
      </c>
      <c r="AJ10" s="141"/>
      <c r="AK10" s="141"/>
      <c r="AL10" s="5112" t="s">
        <v>7807</v>
      </c>
      <c r="AM10" s="141"/>
      <c r="AN10" s="141"/>
      <c r="AO10" s="141"/>
      <c r="AP10" s="141"/>
      <c r="AQ10" s="141"/>
      <c r="AR10" s="141"/>
      <c r="AS10" s="331"/>
      <c r="AT10" s="331"/>
      <c r="AU10" s="331"/>
      <c r="AV10" s="104" t="s">
        <v>8442</v>
      </c>
      <c r="AW10" s="331"/>
      <c r="AX10" s="331"/>
      <c r="AY10" s="331"/>
      <c r="AZ10" s="5094" t="s">
        <v>1</v>
      </c>
      <c r="BA10" s="141"/>
      <c r="BB10" s="141"/>
      <c r="BC10" s="141"/>
      <c r="BD10" s="141"/>
      <c r="BE10" s="141"/>
      <c r="BF10" s="141"/>
      <c r="BG10" s="141"/>
      <c r="BH10" s="141"/>
      <c r="BI10" s="141"/>
      <c r="BJ10" s="141"/>
      <c r="BK10" s="141"/>
      <c r="BL10" s="141"/>
      <c r="BM10" s="141"/>
      <c r="BN10" s="141"/>
      <c r="BO10" s="141"/>
      <c r="BP10" s="141"/>
      <c r="BQ10" s="141"/>
      <c r="BR10" s="141"/>
      <c r="BS10" s="5640"/>
      <c r="BT10" s="5640"/>
      <c r="BU10" s="5640"/>
      <c r="BV10" s="5640"/>
      <c r="BW10" s="97" t="s">
        <v>3495</v>
      </c>
      <c r="BX10" s="106"/>
      <c r="BY10" s="106"/>
      <c r="BZ10" s="106"/>
      <c r="CA10" s="106"/>
      <c r="CB10" s="5640"/>
      <c r="CC10" s="5640"/>
      <c r="CD10" s="5640"/>
      <c r="CE10" s="97" t="s">
        <v>3509</v>
      </c>
      <c r="CF10" s="97"/>
      <c r="CG10" s="97"/>
      <c r="CH10" s="97"/>
      <c r="CI10" s="147"/>
      <c r="CJ10" s="106"/>
      <c r="CK10" s="5">
        <v>1</v>
      </c>
      <c r="CL10" s="1"/>
      <c r="CM10" s="1"/>
    </row>
    <row r="11" spans="1:91" s="187" customFormat="1" ht="15.75" customHeight="1">
      <c r="A11"/>
      <c r="B11" s="141"/>
      <c r="C11" s="141"/>
      <c r="D11" s="5112" t="s">
        <v>7808</v>
      </c>
      <c r="E11" s="141"/>
      <c r="F11" s="141"/>
      <c r="G11" s="141"/>
      <c r="H11" s="141"/>
      <c r="I11" s="141"/>
      <c r="J11" s="141"/>
      <c r="K11" s="331"/>
      <c r="L11" s="331"/>
      <c r="M11" s="331"/>
      <c r="N11" s="5499" t="s">
        <v>80</v>
      </c>
      <c r="O11" s="331"/>
      <c r="P11" s="331"/>
      <c r="Q11" s="331"/>
      <c r="R11" s="5094" t="s">
        <v>1</v>
      </c>
      <c r="S11" s="141"/>
      <c r="T11" s="141"/>
      <c r="U11" s="5112" t="s">
        <v>7808</v>
      </c>
      <c r="V11" s="141"/>
      <c r="W11" s="141"/>
      <c r="X11" s="141"/>
      <c r="Y11" s="141"/>
      <c r="Z11" s="141"/>
      <c r="AA11" s="141"/>
      <c r="AB11" s="331"/>
      <c r="AC11" s="331"/>
      <c r="AD11" s="331"/>
      <c r="AE11" s="5499" t="s">
        <v>80</v>
      </c>
      <c r="AF11" s="331"/>
      <c r="AG11" s="331"/>
      <c r="AH11" s="331"/>
      <c r="AI11" s="5094" t="s">
        <v>1</v>
      </c>
      <c r="AJ11" s="141"/>
      <c r="AK11" s="141"/>
      <c r="AL11" s="5112" t="s">
        <v>7808</v>
      </c>
      <c r="AM11" s="141"/>
      <c r="AN11" s="141"/>
      <c r="AO11" s="141"/>
      <c r="AP11" s="141"/>
      <c r="AQ11" s="141"/>
      <c r="AR11" s="141"/>
      <c r="AS11" s="331"/>
      <c r="AT11" s="331"/>
      <c r="AU11" s="331"/>
      <c r="AV11" s="5499" t="s">
        <v>80</v>
      </c>
      <c r="AW11" s="331"/>
      <c r="AX11" s="331"/>
      <c r="AY11" s="331"/>
      <c r="AZ11" s="5094" t="s">
        <v>1</v>
      </c>
      <c r="BA11" s="141"/>
      <c r="BB11" s="141"/>
      <c r="BC11" s="141"/>
      <c r="BD11" s="141"/>
      <c r="BE11" s="141"/>
      <c r="BF11" s="141"/>
      <c r="BG11" s="141"/>
      <c r="BH11" s="141"/>
      <c r="BI11" s="141"/>
      <c r="BJ11" s="141"/>
      <c r="BK11" s="141"/>
      <c r="BL11" s="141"/>
      <c r="BM11" s="141"/>
      <c r="BN11" s="141"/>
      <c r="BO11" s="141"/>
      <c r="BP11" s="141"/>
      <c r="BQ11" s="141"/>
      <c r="BR11" s="141"/>
      <c r="BS11" s="5640"/>
      <c r="BT11" s="5640"/>
      <c r="BU11" s="5640"/>
      <c r="BV11" s="5640"/>
      <c r="BW11" s="2642" t="s">
        <v>627</v>
      </c>
      <c r="BX11" s="7414" t="s">
        <v>3496</v>
      </c>
      <c r="BY11" s="7414"/>
      <c r="BZ11" s="7414"/>
      <c r="CA11" s="106"/>
      <c r="CB11" s="5640"/>
      <c r="CC11" s="5640"/>
      <c r="CD11" s="5640"/>
      <c r="CE11" s="2642" t="s">
        <v>627</v>
      </c>
      <c r="CF11" s="2641" t="s">
        <v>3510</v>
      </c>
      <c r="CG11" s="97"/>
      <c r="CH11" s="97"/>
      <c r="CI11" s="106"/>
      <c r="CJ11" s="106"/>
      <c r="CK11" s="5">
        <v>1</v>
      </c>
      <c r="CL11" s="1"/>
      <c r="CM11" s="1"/>
    </row>
    <row r="12" spans="1:91" s="187" customFormat="1" ht="33" customHeight="1">
      <c r="A12"/>
      <c r="B12" s="141"/>
      <c r="C12" s="141"/>
      <c r="D12" s="5112" t="s">
        <v>7809</v>
      </c>
      <c r="E12" s="141"/>
      <c r="F12" s="141"/>
      <c r="G12" s="141"/>
      <c r="H12" s="141"/>
      <c r="I12" s="141"/>
      <c r="J12" s="141"/>
      <c r="K12" s="331"/>
      <c r="L12" s="331"/>
      <c r="M12" s="331"/>
      <c r="N12" s="104" t="s">
        <v>8441</v>
      </c>
      <c r="O12" s="331"/>
      <c r="P12" s="331"/>
      <c r="Q12" s="331"/>
      <c r="R12" s="5094" t="s">
        <v>1</v>
      </c>
      <c r="S12" s="141"/>
      <c r="T12" s="141"/>
      <c r="U12" s="5112" t="s">
        <v>7809</v>
      </c>
      <c r="V12" s="141"/>
      <c r="W12" s="141"/>
      <c r="X12" s="141"/>
      <c r="Y12" s="141"/>
      <c r="Z12" s="141"/>
      <c r="AA12" s="141"/>
      <c r="AB12" s="331"/>
      <c r="AC12" s="331"/>
      <c r="AD12" s="331"/>
      <c r="AE12" s="104" t="s">
        <v>8441</v>
      </c>
      <c r="AF12" s="331"/>
      <c r="AG12" s="331"/>
      <c r="AH12" s="331"/>
      <c r="AI12" s="5094" t="s">
        <v>1</v>
      </c>
      <c r="AJ12" s="141"/>
      <c r="AK12" s="141"/>
      <c r="AL12" s="5112" t="s">
        <v>7809</v>
      </c>
      <c r="AM12" s="141"/>
      <c r="AN12" s="141"/>
      <c r="AO12" s="141"/>
      <c r="AP12" s="141"/>
      <c r="AQ12" s="141"/>
      <c r="AR12" s="141"/>
      <c r="AS12" s="331"/>
      <c r="AT12" s="331"/>
      <c r="AU12" s="331"/>
      <c r="AV12" s="104" t="s">
        <v>8441</v>
      </c>
      <c r="AW12" s="331"/>
      <c r="AX12" s="331"/>
      <c r="AY12" s="331"/>
      <c r="AZ12" s="5094" t="s">
        <v>1</v>
      </c>
      <c r="BA12" s="141"/>
      <c r="BB12" s="141"/>
      <c r="BC12" s="141"/>
      <c r="BD12" s="141"/>
      <c r="BE12" s="141"/>
      <c r="BF12" s="141"/>
      <c r="BG12" s="141"/>
      <c r="BH12" s="141"/>
      <c r="BI12" s="141"/>
      <c r="BJ12" s="141"/>
      <c r="BK12" s="141"/>
      <c r="BL12" s="141"/>
      <c r="BM12" s="141"/>
      <c r="BN12" s="141"/>
      <c r="BO12" s="141"/>
      <c r="BP12" s="141"/>
      <c r="BQ12" s="141"/>
      <c r="BR12" s="141"/>
      <c r="BS12" s="5640"/>
      <c r="BT12" s="5640"/>
      <c r="BU12" s="5640"/>
      <c r="BV12" s="5640"/>
      <c r="BW12" s="97" t="s">
        <v>3497</v>
      </c>
      <c r="BX12" s="106"/>
      <c r="BY12" s="106"/>
      <c r="BZ12" s="106"/>
      <c r="CA12" s="106"/>
      <c r="CB12" s="5640"/>
      <c r="CC12" s="5640"/>
      <c r="CD12" s="5640"/>
      <c r="CE12" s="97" t="s">
        <v>3512</v>
      </c>
      <c r="CF12" s="97"/>
      <c r="CG12" s="97"/>
      <c r="CH12" s="97"/>
      <c r="CI12" s="106"/>
      <c r="CJ12" s="106"/>
      <c r="CK12" s="5">
        <v>1</v>
      </c>
      <c r="CL12" s="1"/>
    </row>
    <row r="13" spans="1:91" s="187" customFormat="1" ht="15.75" customHeight="1" thickBot="1">
      <c r="A13"/>
      <c r="B13" s="141"/>
      <c r="C13" s="141"/>
      <c r="D13" s="1697" t="s">
        <v>7446</v>
      </c>
      <c r="E13" s="141"/>
      <c r="F13" s="141"/>
      <c r="G13" s="141"/>
      <c r="H13" s="141"/>
      <c r="I13" s="141"/>
      <c r="J13" s="141"/>
      <c r="K13" s="331"/>
      <c r="L13" s="331"/>
      <c r="M13" s="331"/>
      <c r="N13" s="331"/>
      <c r="O13" s="331"/>
      <c r="P13" s="331"/>
      <c r="Q13" s="331"/>
      <c r="R13" s="5094" t="s">
        <v>1</v>
      </c>
      <c r="S13" s="141"/>
      <c r="T13" s="141"/>
      <c r="U13" s="1697" t="s">
        <v>7446</v>
      </c>
      <c r="V13" s="141"/>
      <c r="W13" s="141"/>
      <c r="X13" s="141"/>
      <c r="Y13" s="141"/>
      <c r="Z13" s="141"/>
      <c r="AA13" s="141"/>
      <c r="AB13" s="331"/>
      <c r="AC13" s="331"/>
      <c r="AD13" s="331"/>
      <c r="AE13" s="331"/>
      <c r="AF13" s="331"/>
      <c r="AG13" s="331"/>
      <c r="AH13" s="331"/>
      <c r="AI13" s="5094" t="s">
        <v>1</v>
      </c>
      <c r="AJ13" s="141"/>
      <c r="AK13" s="141"/>
      <c r="AL13" s="1697" t="s">
        <v>7446</v>
      </c>
      <c r="AM13" s="141"/>
      <c r="AN13" s="141"/>
      <c r="AO13" s="141"/>
      <c r="AP13" s="141"/>
      <c r="AQ13" s="141"/>
      <c r="AR13" s="141"/>
      <c r="AS13" s="331"/>
      <c r="AT13" s="331"/>
      <c r="AU13" s="331"/>
      <c r="AV13" s="331"/>
      <c r="AW13" s="331"/>
      <c r="AX13" s="331"/>
      <c r="AY13" s="331"/>
      <c r="AZ13" s="5094" t="s">
        <v>1</v>
      </c>
      <c r="BA13" s="141"/>
      <c r="BB13" s="141"/>
      <c r="BC13" s="141"/>
      <c r="BD13" s="141"/>
      <c r="BE13" s="141"/>
      <c r="BF13" s="141"/>
      <c r="BG13" s="141"/>
      <c r="BH13" s="141"/>
      <c r="BI13" s="141"/>
      <c r="BJ13" s="141"/>
      <c r="BK13" s="141"/>
      <c r="BL13" s="141"/>
      <c r="BM13" s="141"/>
      <c r="BN13" s="141"/>
      <c r="BO13" s="141"/>
      <c r="BP13" s="141"/>
      <c r="BQ13" s="141"/>
      <c r="BR13" s="141"/>
      <c r="BS13" s="5640"/>
      <c r="BT13" s="5640"/>
      <c r="BU13" s="5640"/>
      <c r="BV13" s="5640"/>
      <c r="BW13" s="2642" t="s">
        <v>627</v>
      </c>
      <c r="BX13" s="7414" t="s">
        <v>3500</v>
      </c>
      <c r="BY13" s="7414"/>
      <c r="BZ13" s="7414"/>
      <c r="CA13" s="106"/>
      <c r="CB13" s="5640"/>
      <c r="CC13" s="5640"/>
      <c r="CD13" s="5640"/>
      <c r="CE13" s="2642" t="s">
        <v>627</v>
      </c>
      <c r="CF13" s="2641" t="s">
        <v>3514</v>
      </c>
      <c r="CG13" s="147"/>
      <c r="CH13" s="147"/>
      <c r="CI13" s="106"/>
      <c r="CJ13" s="106"/>
      <c r="CK13" s="5">
        <v>1</v>
      </c>
      <c r="CL13" s="1"/>
    </row>
    <row r="14" spans="1:91" s="187" customFormat="1" ht="33" customHeight="1" thickTop="1">
      <c r="A14"/>
      <c r="B14" s="5393" t="str">
        <f>SUBSTITUTE(ADDRESS(1,COLUMN(),4),"1","")</f>
        <v>B</v>
      </c>
      <c r="C14" s="372" t="s">
        <v>261</v>
      </c>
      <c r="D14" s="372"/>
      <c r="E14" s="372"/>
      <c r="F14" s="372"/>
      <c r="G14" s="372"/>
      <c r="H14" s="372"/>
      <c r="I14" s="331"/>
      <c r="J14" s="331"/>
      <c r="K14" s="331"/>
      <c r="L14" s="331"/>
      <c r="M14" s="331"/>
      <c r="N14" s="331"/>
      <c r="O14" s="331"/>
      <c r="P14" s="331"/>
      <c r="Q14" s="5393" t="str">
        <f>SUBSTITUTE(ADDRESS(1,COLUMN(),4),"1","")</f>
        <v>Q</v>
      </c>
      <c r="R14" s="331"/>
      <c r="S14" s="5393" t="str">
        <f>SUBSTITUTE(ADDRESS(1,COLUMN(),4),"1","")</f>
        <v>S</v>
      </c>
      <c r="T14" s="372" t="s">
        <v>261</v>
      </c>
      <c r="U14" s="372"/>
      <c r="V14" s="372"/>
      <c r="W14" s="372"/>
      <c r="X14" s="372"/>
      <c r="Y14" s="372"/>
      <c r="Z14" s="331"/>
      <c r="AA14" s="331"/>
      <c r="AB14" s="331"/>
      <c r="AC14" s="331"/>
      <c r="AD14" s="331"/>
      <c r="AE14" s="331"/>
      <c r="AF14" s="331"/>
      <c r="AG14" s="331"/>
      <c r="AH14" s="5393" t="str">
        <f>SUBSTITUTE(ADDRESS(1,COLUMN(),4),"1","")</f>
        <v>AH</v>
      </c>
      <c r="AI14" s="331"/>
      <c r="AJ14" s="5393" t="str">
        <f>SUBSTITUTE(ADDRESS(1,COLUMN(),4),"1","")</f>
        <v>AJ</v>
      </c>
      <c r="AK14" s="372" t="s">
        <v>261</v>
      </c>
      <c r="AL14" s="372"/>
      <c r="AM14" s="372"/>
      <c r="AN14" s="372"/>
      <c r="AO14" s="372"/>
      <c r="AP14" s="372"/>
      <c r="AQ14" s="331"/>
      <c r="AR14" s="331"/>
      <c r="AS14" s="331"/>
      <c r="AT14" s="331"/>
      <c r="AU14" s="331"/>
      <c r="AV14" s="331"/>
      <c r="AW14" s="331"/>
      <c r="AX14" s="331"/>
      <c r="AY14" s="5393" t="str">
        <f>SUBSTITUTE(ADDRESS(1,COLUMN(),4),"1","")</f>
        <v>AY</v>
      </c>
      <c r="AZ14" s="331"/>
      <c r="BA14" s="141"/>
      <c r="BB14" s="141"/>
      <c r="BC14" s="141"/>
      <c r="BD14" s="141"/>
      <c r="BE14" s="141"/>
      <c r="BF14" s="141"/>
      <c r="BG14" s="141"/>
      <c r="BH14" s="141"/>
      <c r="BI14" s="141"/>
      <c r="BJ14" s="141"/>
      <c r="BK14" s="141"/>
      <c r="BL14" s="141"/>
      <c r="BM14" s="141"/>
      <c r="BN14" s="141"/>
      <c r="BO14" s="141"/>
      <c r="BP14" s="141"/>
      <c r="BQ14" s="141"/>
      <c r="BR14" s="141"/>
      <c r="BS14" s="97"/>
      <c r="BT14" s="97"/>
      <c r="BU14" s="97"/>
      <c r="BV14" s="97"/>
      <c r="BW14" s="97" t="s">
        <v>3502</v>
      </c>
      <c r="BX14" s="97"/>
      <c r="BY14" s="97"/>
      <c r="BZ14" s="97"/>
      <c r="CA14" s="97"/>
      <c r="CB14" s="5640"/>
      <c r="CC14" s="5640"/>
      <c r="CD14" s="5640"/>
      <c r="CE14" s="97" t="s">
        <v>3516</v>
      </c>
      <c r="CF14" s="102"/>
      <c r="CG14" s="147"/>
      <c r="CH14" s="147"/>
      <c r="CI14" s="106"/>
      <c r="CJ14" s="106"/>
      <c r="CK14" s="5">
        <v>1</v>
      </c>
      <c r="CL14" s="1"/>
    </row>
    <row r="15" spans="1:91" s="187" customFormat="1" ht="15.75" customHeight="1" thickBot="1">
      <c r="A15"/>
      <c r="B15" s="5470" t="s">
        <v>26</v>
      </c>
      <c r="C15" s="373" t="s">
        <v>8389</v>
      </c>
      <c r="D15" s="375"/>
      <c r="E15" s="375"/>
      <c r="F15" s="375"/>
      <c r="G15" s="375"/>
      <c r="H15" s="371"/>
      <c r="I15"/>
      <c r="J15"/>
      <c r="K15"/>
      <c r="L15"/>
      <c r="M15"/>
      <c r="N15"/>
      <c r="O15"/>
      <c r="P15"/>
      <c r="Q15"/>
      <c r="R15" s="5094" t="s">
        <v>1</v>
      </c>
      <c r="S15" s="5470" t="s">
        <v>26</v>
      </c>
      <c r="T15" s="373" t="s">
        <v>8389</v>
      </c>
      <c r="U15" s="375"/>
      <c r="V15" s="375"/>
      <c r="W15" s="375"/>
      <c r="X15" s="375"/>
      <c r="Y15" s="371"/>
      <c r="Z15"/>
      <c r="AA15"/>
      <c r="AB15"/>
      <c r="AC15"/>
      <c r="AD15"/>
      <c r="AE15"/>
      <c r="AF15"/>
      <c r="AG15"/>
      <c r="AH15"/>
      <c r="AI15" s="5094" t="s">
        <v>1</v>
      </c>
      <c r="AJ15" s="5470" t="s">
        <v>26</v>
      </c>
      <c r="AK15" s="373" t="s">
        <v>8389</v>
      </c>
      <c r="AL15" s="375"/>
      <c r="AM15" s="375"/>
      <c r="AN15" s="375"/>
      <c r="AO15" s="375"/>
      <c r="AP15" s="371"/>
      <c r="AQ15"/>
      <c r="AR15"/>
      <c r="AS15"/>
      <c r="AT15"/>
      <c r="AU15"/>
      <c r="AV15"/>
      <c r="AW15"/>
      <c r="AX15"/>
      <c r="AY15"/>
      <c r="AZ15" s="5094" t="s">
        <v>1</v>
      </c>
      <c r="BA15" s="141"/>
      <c r="BB15" s="141"/>
      <c r="BC15" s="141"/>
      <c r="BD15" s="141"/>
      <c r="BE15" s="141"/>
      <c r="BF15" s="141"/>
      <c r="BG15" s="141"/>
      <c r="BH15" s="141"/>
      <c r="BI15" s="141"/>
      <c r="BJ15" s="141"/>
      <c r="BK15" s="141"/>
      <c r="BL15" s="141"/>
      <c r="BM15" s="141"/>
      <c r="BN15" s="141"/>
      <c r="BO15" s="141"/>
      <c r="BP15" s="141"/>
      <c r="BQ15" s="141"/>
      <c r="BR15" s="141"/>
      <c r="BS15" s="97"/>
      <c r="BT15" s="97"/>
      <c r="BU15" s="97"/>
      <c r="BV15" s="97"/>
      <c r="BW15" s="2642" t="s">
        <v>627</v>
      </c>
      <c r="BX15" s="2641" t="s">
        <v>3503</v>
      </c>
      <c r="BY15" s="97"/>
      <c r="BZ15" s="97"/>
      <c r="CA15" s="106"/>
      <c r="CB15" s="5640"/>
      <c r="CC15" s="5640"/>
      <c r="CD15" s="5640"/>
      <c r="CE15" s="2642" t="s">
        <v>627</v>
      </c>
      <c r="CF15" s="2641" t="s">
        <v>3517</v>
      </c>
      <c r="CG15" s="97"/>
      <c r="CH15" s="97"/>
      <c r="CI15" s="106"/>
      <c r="CJ15" s="106"/>
      <c r="CK15" s="5">
        <v>1</v>
      </c>
      <c r="CL15" s="1"/>
    </row>
    <row r="16" spans="1:91" s="187" customFormat="1" ht="33" customHeight="1" thickTop="1" thickBot="1">
      <c r="A16"/>
      <c r="B16" s="5113" t="s">
        <v>266</v>
      </c>
      <c r="C16" s="5113" t="s">
        <v>265</v>
      </c>
      <c r="D16" s="5113" t="s">
        <v>264</v>
      </c>
      <c r="E16" s="5113" t="s">
        <v>263</v>
      </c>
      <c r="F16" s="5113" t="s">
        <v>218</v>
      </c>
      <c r="G16" s="5113" t="s">
        <v>217</v>
      </c>
      <c r="H16" s="5113" t="s">
        <v>216</v>
      </c>
      <c r="I16" s="5113" t="s">
        <v>215</v>
      </c>
      <c r="J16" s="5113" t="s">
        <v>214</v>
      </c>
      <c r="K16" s="5113" t="s">
        <v>83</v>
      </c>
      <c r="L16" s="5114" t="s">
        <v>213</v>
      </c>
      <c r="M16" s="5113" t="s">
        <v>212</v>
      </c>
      <c r="N16" s="5113" t="s">
        <v>211</v>
      </c>
      <c r="O16" s="5113" t="s">
        <v>210</v>
      </c>
      <c r="P16" s="5113" t="s">
        <v>7928</v>
      </c>
      <c r="Q16" s="5113" t="s">
        <v>208</v>
      </c>
      <c r="R16" s="5094" t="s">
        <v>1</v>
      </c>
      <c r="S16" s="5113" t="s">
        <v>266</v>
      </c>
      <c r="T16" s="5113" t="s">
        <v>265</v>
      </c>
      <c r="U16" s="5113" t="s">
        <v>264</v>
      </c>
      <c r="V16" s="5113" t="s">
        <v>263</v>
      </c>
      <c r="W16" s="5113" t="s">
        <v>218</v>
      </c>
      <c r="X16" s="5113" t="s">
        <v>217</v>
      </c>
      <c r="Y16" s="5113" t="s">
        <v>216</v>
      </c>
      <c r="Z16" s="5113" t="s">
        <v>215</v>
      </c>
      <c r="AA16" s="5113" t="s">
        <v>214</v>
      </c>
      <c r="AB16" s="5113" t="s">
        <v>83</v>
      </c>
      <c r="AC16" s="5114" t="s">
        <v>213</v>
      </c>
      <c r="AD16" s="5113" t="s">
        <v>212</v>
      </c>
      <c r="AE16" s="5113" t="s">
        <v>211</v>
      </c>
      <c r="AF16" s="5113" t="s">
        <v>210</v>
      </c>
      <c r="AG16" s="5113" t="s">
        <v>7928</v>
      </c>
      <c r="AH16" s="5113" t="s">
        <v>208</v>
      </c>
      <c r="AI16" s="5094" t="s">
        <v>1</v>
      </c>
      <c r="AJ16" s="5113" t="s">
        <v>266</v>
      </c>
      <c r="AK16" s="5113" t="s">
        <v>265</v>
      </c>
      <c r="AL16" s="5113" t="s">
        <v>264</v>
      </c>
      <c r="AM16" s="5113" t="s">
        <v>263</v>
      </c>
      <c r="AN16" s="5113" t="s">
        <v>218</v>
      </c>
      <c r="AO16" s="5113" t="s">
        <v>217</v>
      </c>
      <c r="AP16" s="5113" t="s">
        <v>216</v>
      </c>
      <c r="AQ16" s="5113" t="s">
        <v>215</v>
      </c>
      <c r="AR16" s="5113" t="s">
        <v>214</v>
      </c>
      <c r="AS16" s="5113" t="s">
        <v>83</v>
      </c>
      <c r="AT16" s="5114" t="s">
        <v>213</v>
      </c>
      <c r="AU16" s="5113" t="s">
        <v>212</v>
      </c>
      <c r="AV16" s="5113" t="s">
        <v>211</v>
      </c>
      <c r="AW16" s="5113" t="s">
        <v>210</v>
      </c>
      <c r="AX16" s="5113" t="s">
        <v>7928</v>
      </c>
      <c r="AY16" s="5113" t="s">
        <v>208</v>
      </c>
      <c r="AZ16" s="5094" t="s">
        <v>1</v>
      </c>
      <c r="BA16" s="141"/>
      <c r="BB16" s="141"/>
      <c r="BC16" s="141"/>
      <c r="BD16" s="141"/>
      <c r="BE16" s="141"/>
      <c r="BF16" s="141"/>
      <c r="BG16" s="141"/>
      <c r="BH16" s="141"/>
      <c r="BI16" s="141"/>
      <c r="BJ16" s="141"/>
      <c r="BK16" s="141"/>
      <c r="BL16" s="141"/>
      <c r="BM16" s="141"/>
      <c r="BN16" s="141"/>
      <c r="BO16" s="141"/>
      <c r="BP16" s="141"/>
      <c r="BQ16" s="141"/>
      <c r="BR16" s="141"/>
      <c r="BS16" s="97"/>
      <c r="BT16" s="97"/>
      <c r="BU16" s="97"/>
      <c r="BV16" s="97"/>
      <c r="BW16" s="97"/>
      <c r="BX16" s="97"/>
      <c r="BY16" s="97"/>
      <c r="BZ16" s="97"/>
      <c r="CA16" s="97"/>
      <c r="CB16" s="97"/>
      <c r="CC16" s="97"/>
      <c r="CD16" s="97"/>
      <c r="CE16" s="147"/>
      <c r="CF16" s="147"/>
      <c r="CG16" s="97"/>
      <c r="CH16" s="97"/>
      <c r="CI16" s="106"/>
      <c r="CJ16" s="106"/>
      <c r="CK16" s="5">
        <v>1</v>
      </c>
      <c r="CL16" s="1"/>
    </row>
    <row r="17" spans="1:91" s="187" customFormat="1" ht="16.5" customHeight="1" thickTop="1">
      <c r="A17"/>
      <c r="B17"/>
      <c r="C17"/>
      <c r="D17"/>
      <c r="E17"/>
      <c r="F17"/>
      <c r="G17"/>
      <c r="H17"/>
      <c r="I17"/>
      <c r="J17"/>
      <c r="K17"/>
      <c r="L17"/>
      <c r="M17"/>
      <c r="N17"/>
      <c r="O17"/>
      <c r="P17"/>
      <c r="Q17"/>
      <c r="R17" s="5094" t="s">
        <v>1</v>
      </c>
      <c r="S17"/>
      <c r="T17"/>
      <c r="U17"/>
      <c r="V17"/>
      <c r="W17"/>
      <c r="X17"/>
      <c r="Y17"/>
      <c r="Z17"/>
      <c r="AA17"/>
      <c r="AB17"/>
      <c r="AC17"/>
      <c r="AD17"/>
      <c r="AE17"/>
      <c r="AF17"/>
      <c r="AG17"/>
      <c r="AH17"/>
      <c r="AI17" s="5094" t="s">
        <v>1</v>
      </c>
      <c r="AJ17"/>
      <c r="AK17"/>
      <c r="AL17"/>
      <c r="AM17"/>
      <c r="AN17"/>
      <c r="AO17"/>
      <c r="AP17"/>
      <c r="AQ17"/>
      <c r="AR17"/>
      <c r="AS17"/>
      <c r="AT17"/>
      <c r="AU17"/>
      <c r="AV17"/>
      <c r="AW17"/>
      <c r="AX17"/>
      <c r="AY17"/>
      <c r="AZ17" s="5094" t="s">
        <v>1</v>
      </c>
      <c r="BA17" s="141"/>
      <c r="BB17" s="141"/>
      <c r="BC17" s="141"/>
      <c r="BD17" s="141"/>
      <c r="BE17" s="141"/>
      <c r="BF17" s="141"/>
      <c r="BG17" s="141"/>
      <c r="BH17" s="141"/>
      <c r="BI17" s="141"/>
      <c r="BJ17" s="141"/>
      <c r="BK17" s="141"/>
      <c r="BL17" s="141"/>
      <c r="BM17" s="141"/>
      <c r="BN17" s="141"/>
      <c r="BO17" s="141"/>
      <c r="BP17" s="141"/>
      <c r="BQ17" s="141"/>
      <c r="BR17" s="141"/>
      <c r="BS17" s="97"/>
      <c r="BT17" s="97"/>
      <c r="BU17" s="97"/>
      <c r="BV17" s="97"/>
      <c r="BW17" s="97"/>
      <c r="BX17" s="97"/>
      <c r="BY17" s="97"/>
      <c r="BZ17" s="97"/>
      <c r="CA17" s="97"/>
      <c r="CB17" s="97"/>
      <c r="CC17" s="97"/>
      <c r="CD17" s="97"/>
      <c r="CE17" s="147"/>
      <c r="CF17" s="147"/>
      <c r="CG17" s="102"/>
      <c r="CH17" s="102"/>
      <c r="CI17" s="106"/>
      <c r="CJ17" s="106"/>
      <c r="CK17" s="5">
        <v>1</v>
      </c>
      <c r="CL17" s="1"/>
    </row>
    <row r="18" spans="1:91" s="187" customFormat="1" ht="30.75" customHeight="1">
      <c r="A18"/>
      <c r="B18" s="7415" t="s">
        <v>8439</v>
      </c>
      <c r="C18" s="7416"/>
      <c r="D18" s="7416"/>
      <c r="E18" s="7416"/>
      <c r="F18" s="7417"/>
      <c r="G18" s="7417"/>
      <c r="H18" s="7417"/>
      <c r="I18" s="7417"/>
      <c r="J18" s="7417"/>
      <c r="K18" s="7416"/>
      <c r="L18" s="7416"/>
      <c r="M18" s="7416"/>
      <c r="N18" s="7416"/>
      <c r="O18" s="7416"/>
      <c r="P18" s="7416"/>
      <c r="Q18" s="7418"/>
      <c r="R18" s="5094" t="s">
        <v>1</v>
      </c>
      <c r="S18" s="7415" t="s">
        <v>8439</v>
      </c>
      <c r="T18" s="7416"/>
      <c r="U18" s="7416"/>
      <c r="V18" s="7416"/>
      <c r="W18" s="7417"/>
      <c r="X18" s="7417"/>
      <c r="Y18" s="7417"/>
      <c r="Z18" s="7417"/>
      <c r="AA18" s="7417"/>
      <c r="AB18" s="7416"/>
      <c r="AC18" s="7416"/>
      <c r="AD18" s="7416"/>
      <c r="AE18" s="7416"/>
      <c r="AF18" s="7416"/>
      <c r="AG18" s="7416"/>
      <c r="AH18" s="7418"/>
      <c r="AI18" s="5094" t="s">
        <v>1</v>
      </c>
      <c r="AJ18" s="7415" t="s">
        <v>8439</v>
      </c>
      <c r="AK18" s="7416"/>
      <c r="AL18" s="7416"/>
      <c r="AM18" s="7416"/>
      <c r="AN18" s="7417"/>
      <c r="AO18" s="7417"/>
      <c r="AP18" s="7417"/>
      <c r="AQ18" s="7417"/>
      <c r="AR18" s="7417"/>
      <c r="AS18" s="7416"/>
      <c r="AT18" s="7416"/>
      <c r="AU18" s="7416"/>
      <c r="AV18" s="7416"/>
      <c r="AW18" s="7416"/>
      <c r="AX18" s="7416"/>
      <c r="AY18" s="7418"/>
      <c r="AZ18" s="5094" t="s">
        <v>1</v>
      </c>
      <c r="BA18" s="141"/>
      <c r="BB18" s="141"/>
      <c r="BC18" s="141"/>
      <c r="BD18" s="141"/>
      <c r="BE18" s="141"/>
      <c r="BF18" s="141"/>
      <c r="BG18" s="141"/>
      <c r="BH18" s="141"/>
      <c r="BI18" s="141"/>
      <c r="BJ18" s="141"/>
      <c r="BK18" s="141"/>
      <c r="BL18" s="141"/>
      <c r="BM18" s="141"/>
      <c r="BN18" s="141"/>
      <c r="BO18" s="141"/>
      <c r="BP18" s="141"/>
      <c r="BQ18" s="141"/>
      <c r="BR18" s="141"/>
      <c r="BS18" s="97"/>
      <c r="BT18" s="97"/>
      <c r="BU18" s="97"/>
      <c r="BV18" s="97"/>
      <c r="BW18" s="97"/>
      <c r="BX18" s="97"/>
      <c r="BY18" s="97"/>
      <c r="BZ18" s="97"/>
      <c r="CA18" s="97"/>
      <c r="CB18" s="97"/>
      <c r="CC18" s="97"/>
      <c r="CD18" s="97"/>
      <c r="CE18" s="147"/>
      <c r="CF18" s="147"/>
      <c r="CG18" s="97"/>
      <c r="CH18" s="97"/>
      <c r="CI18" s="106"/>
      <c r="CJ18" s="106"/>
      <c r="CK18" s="5">
        <v>1</v>
      </c>
      <c r="CL18" s="1"/>
    </row>
    <row r="19" spans="1:91" s="187" customFormat="1" ht="15.75" customHeight="1">
      <c r="A19"/>
      <c r="B19" s="147"/>
      <c r="C19" s="147"/>
      <c r="D19" s="147"/>
      <c r="E19" s="147"/>
      <c r="F19" s="147"/>
      <c r="G19" s="147"/>
      <c r="H19" s="147"/>
      <c r="I19" s="147"/>
      <c r="J19" s="147"/>
      <c r="K19" s="147"/>
      <c r="L19" s="147"/>
      <c r="M19" s="147"/>
      <c r="N19" s="147"/>
      <c r="O19" s="147"/>
      <c r="P19" s="147"/>
      <c r="Q19" s="147"/>
      <c r="R19" s="5095" t="s">
        <v>1</v>
      </c>
      <c r="S19" s="147"/>
      <c r="T19" s="147"/>
      <c r="U19" s="147"/>
      <c r="V19" s="147"/>
      <c r="W19" s="147"/>
      <c r="X19" s="147"/>
      <c r="Y19" s="147"/>
      <c r="Z19" s="147"/>
      <c r="AA19" s="147"/>
      <c r="AB19" s="147"/>
      <c r="AC19" s="147"/>
      <c r="AD19" s="147"/>
      <c r="AE19" s="147"/>
      <c r="AF19" s="147"/>
      <c r="AG19" s="147"/>
      <c r="AH19" s="147"/>
      <c r="AI19" s="5095" t="s">
        <v>1</v>
      </c>
      <c r="AJ19" s="147"/>
      <c r="AK19" s="147"/>
      <c r="AL19" s="147"/>
      <c r="AM19" s="147"/>
      <c r="AN19" s="147"/>
      <c r="AO19" s="147"/>
      <c r="AP19" s="147"/>
      <c r="AQ19" s="147"/>
      <c r="AR19" s="147"/>
      <c r="AS19" s="147"/>
      <c r="AT19" s="147"/>
      <c r="AU19" s="147"/>
      <c r="AV19" s="147"/>
      <c r="AW19" s="147"/>
      <c r="AX19" s="147"/>
      <c r="AY19" s="147"/>
      <c r="AZ19" s="5095" t="s">
        <v>1</v>
      </c>
      <c r="BA19" s="141"/>
      <c r="BB19" s="141"/>
      <c r="BC19" s="141"/>
      <c r="BD19" s="141"/>
      <c r="BE19" s="141"/>
      <c r="BF19" s="141"/>
      <c r="BG19" s="141"/>
      <c r="BH19" s="141"/>
      <c r="BI19" s="141"/>
      <c r="BJ19" s="141"/>
      <c r="BK19" s="141"/>
      <c r="BL19" s="141"/>
      <c r="BM19" s="141"/>
      <c r="BN19" s="141"/>
      <c r="BO19" s="141"/>
      <c r="BP19" s="141"/>
      <c r="BQ19" s="141"/>
      <c r="BR19" s="141"/>
      <c r="BS19" s="97"/>
      <c r="BT19" s="97"/>
      <c r="BU19" s="97"/>
      <c r="BV19" s="97"/>
      <c r="BW19" s="97"/>
      <c r="BX19" s="97"/>
      <c r="BY19" s="97"/>
      <c r="BZ19" s="97"/>
      <c r="CA19" s="97"/>
      <c r="CB19" s="97"/>
      <c r="CC19" s="97"/>
      <c r="CD19" s="97"/>
      <c r="CE19" s="97"/>
      <c r="CF19" s="97"/>
      <c r="CG19" s="97"/>
      <c r="CH19" s="97"/>
      <c r="CI19" s="97"/>
      <c r="CJ19" s="97"/>
      <c r="CK19" s="5">
        <v>1</v>
      </c>
      <c r="CL19" s="1"/>
    </row>
    <row r="20" spans="1:91" s="187" customFormat="1" ht="21" customHeight="1" thickBot="1">
      <c r="A20"/>
      <c r="B20" s="5095"/>
      <c r="C20" s="5095"/>
      <c r="D20" s="5095"/>
      <c r="E20" s="5095"/>
      <c r="F20" s="5095"/>
      <c r="G20" s="5095"/>
      <c r="H20" s="5095"/>
      <c r="I20" s="5095"/>
      <c r="J20" s="5095"/>
      <c r="K20" s="5095"/>
      <c r="L20" s="5095"/>
      <c r="M20" s="5095"/>
      <c r="N20" s="5095"/>
      <c r="O20" s="5095"/>
      <c r="P20" s="5095"/>
      <c r="Q20" s="5095"/>
      <c r="R20" s="5095"/>
      <c r="S20" s="5095"/>
      <c r="T20" s="5095"/>
      <c r="U20" s="5095"/>
      <c r="V20" s="5095"/>
      <c r="W20" s="5095"/>
      <c r="X20" s="5095"/>
      <c r="Y20" s="5095"/>
      <c r="Z20" s="5095"/>
      <c r="AA20" s="5095"/>
      <c r="AB20" s="5095"/>
      <c r="AC20" s="5095"/>
      <c r="AD20" s="5095"/>
      <c r="AE20" s="5095"/>
      <c r="AF20" s="5095"/>
      <c r="AG20" s="5095"/>
      <c r="AH20" s="5095"/>
      <c r="AI20" s="5095"/>
      <c r="AJ20" s="5095"/>
      <c r="AK20" s="5095"/>
      <c r="AL20" s="5095"/>
      <c r="AM20" s="5095"/>
      <c r="AN20" s="5095"/>
      <c r="AO20" s="5095"/>
      <c r="AP20" s="5095"/>
      <c r="AQ20" s="5095"/>
      <c r="AR20" s="5095"/>
      <c r="AS20" s="5095"/>
      <c r="AT20" s="5095"/>
      <c r="AU20" s="5095"/>
      <c r="AV20" s="5095"/>
      <c r="AW20" s="5095"/>
      <c r="AX20" s="5095"/>
      <c r="AY20" s="5095"/>
      <c r="AZ20" s="5095"/>
      <c r="BA20" s="5638" t="s">
        <v>8034</v>
      </c>
      <c r="BB20" s="5639"/>
      <c r="BC20" s="97"/>
      <c r="BD20" s="5638"/>
      <c r="BE20" s="5639"/>
      <c r="BF20" s="97"/>
      <c r="BG20" s="5638"/>
      <c r="BH20" s="5639"/>
      <c r="BI20" s="97"/>
      <c r="BJ20" s="5638"/>
      <c r="BK20" s="5639"/>
      <c r="BL20" s="97"/>
      <c r="BM20" s="5638"/>
      <c r="BN20" s="5639"/>
      <c r="BO20" s="97"/>
      <c r="BP20" s="5638"/>
      <c r="BQ20" s="5639"/>
      <c r="BR20" s="97"/>
      <c r="BS20" s="106">
        <v>1</v>
      </c>
      <c r="BT20" s="106">
        <v>1</v>
      </c>
      <c r="BU20" s="97"/>
      <c r="BV20" s="7413" t="s">
        <v>3498</v>
      </c>
      <c r="BW20" s="7413"/>
      <c r="BX20" s="7413"/>
      <c r="BY20" s="7413"/>
      <c r="BZ20" s="7413"/>
      <c r="CA20" s="7413"/>
      <c r="CB20" s="7413"/>
      <c r="CC20" s="7413"/>
      <c r="CD20" s="97"/>
      <c r="CE20" s="97"/>
      <c r="CF20" s="97"/>
      <c r="CG20" s="97"/>
      <c r="CH20" s="97"/>
      <c r="CI20" s="97"/>
      <c r="CJ20" s="97"/>
      <c r="CK20" s="5">
        <v>1</v>
      </c>
      <c r="CL20" s="1"/>
      <c r="CM20" s="1"/>
    </row>
    <row r="21" spans="1:91" s="187" customFormat="1" ht="21" customHeight="1">
      <c r="A21"/>
      <c r="B21" s="5464"/>
      <c r="C21" s="5231"/>
      <c r="D21" s="5232"/>
      <c r="E21" s="5232"/>
      <c r="F21" s="5384"/>
      <c r="G21" s="5609"/>
      <c r="H21" s="5610"/>
      <c r="I21" s="5610"/>
      <c r="J21" s="5611"/>
      <c r="K21" s="5611"/>
      <c r="L21" s="5611"/>
      <c r="M21" s="5611"/>
      <c r="N21" s="5611"/>
      <c r="O21" s="5612"/>
      <c r="P21" s="5612"/>
      <c r="Q21" s="5613"/>
      <c r="R21" s="5094" t="s">
        <v>1</v>
      </c>
      <c r="S21" s="5464"/>
      <c r="T21" s="5231"/>
      <c r="U21" s="5232"/>
      <c r="V21" s="5232"/>
      <c r="W21" s="5384"/>
      <c r="X21" s="5609"/>
      <c r="Y21" s="5610"/>
      <c r="Z21" s="5610"/>
      <c r="AA21" s="5611"/>
      <c r="AB21" s="5611"/>
      <c r="AC21" s="5611"/>
      <c r="AD21" s="5611"/>
      <c r="AE21" s="5611"/>
      <c r="AF21" s="5612"/>
      <c r="AG21" s="5612"/>
      <c r="AH21" s="5613"/>
      <c r="AI21" s="5094" t="s">
        <v>1</v>
      </c>
      <c r="AJ21" s="5464"/>
      <c r="AK21" s="5231"/>
      <c r="AL21" s="5232"/>
      <c r="AM21" s="5232"/>
      <c r="AN21" s="5384"/>
      <c r="AO21" s="5609"/>
      <c r="AP21" s="5610"/>
      <c r="AQ21" s="5610"/>
      <c r="AR21" s="5611"/>
      <c r="AS21" s="5611"/>
      <c r="AT21" s="5611"/>
      <c r="AU21" s="5611"/>
      <c r="AV21" s="5611"/>
      <c r="AW21" s="5612"/>
      <c r="AX21" s="5612"/>
      <c r="AY21" s="5613"/>
      <c r="AZ21" s="5094" t="s">
        <v>1</v>
      </c>
      <c r="BA21" s="7198" t="s">
        <v>1542</v>
      </c>
      <c r="BB21" s="7198"/>
      <c r="BC21" s="2"/>
      <c r="BD21" s="7215" t="s">
        <v>1543</v>
      </c>
      <c r="BE21" s="7215"/>
      <c r="BF21" s="2"/>
      <c r="BG21" s="7200" t="s">
        <v>1544</v>
      </c>
      <c r="BH21" s="7200"/>
      <c r="BI21" s="2"/>
      <c r="BJ21" s="7202" t="s">
        <v>1545</v>
      </c>
      <c r="BK21" s="7202"/>
      <c r="BL21" s="2"/>
      <c r="BM21" s="7188" t="s">
        <v>8039</v>
      </c>
      <c r="BN21" s="7188"/>
      <c r="BO21" s="4"/>
      <c r="BP21" s="7190" t="s">
        <v>8040</v>
      </c>
      <c r="BQ21" s="7190"/>
      <c r="BR21" s="2"/>
      <c r="BS21" s="1630" t="s">
        <v>1312</v>
      </c>
      <c r="BT21" s="97"/>
      <c r="BU21" s="2"/>
      <c r="BV21" s="2645"/>
      <c r="BW21" s="2645"/>
      <c r="BX21" s="2645"/>
      <c r="BY21" s="2645"/>
      <c r="BZ21" s="2645"/>
      <c r="CA21" s="2645"/>
      <c r="CB21" s="2646" t="str">
        <f ca="1">"Page "&amp;_xlfn.SHEET()&amp;" sur "&amp;_xlfn.SHEETS()</f>
        <v>Page 12 sur 28</v>
      </c>
      <c r="CC21" s="2646"/>
      <c r="CD21" s="2"/>
      <c r="CE21" s="5508" t="s">
        <v>3755</v>
      </c>
      <c r="CF21" s="5509" t="s">
        <v>3755</v>
      </c>
      <c r="CG21" s="5501" t="s">
        <v>3620</v>
      </c>
      <c r="CH21" s="5508" t="s">
        <v>3620</v>
      </c>
      <c r="CI21" s="5500">
        <v>0</v>
      </c>
      <c r="CJ21" s="2"/>
      <c r="CK21" s="5">
        <v>1</v>
      </c>
      <c r="CL21" s="1"/>
      <c r="CM21" s="1"/>
    </row>
    <row r="22" spans="1:91" s="187" customFormat="1" ht="21" customHeight="1">
      <c r="A22"/>
      <c r="B22" s="1018"/>
      <c r="C22" s="363"/>
      <c r="D22" s="362"/>
      <c r="E22" s="362"/>
      <c r="F22" s="5385"/>
      <c r="G22" s="5614"/>
      <c r="H22" s="5615"/>
      <c r="I22" s="5615"/>
      <c r="J22" s="5616"/>
      <c r="K22" s="5616"/>
      <c r="L22" s="5616"/>
      <c r="M22" s="5616"/>
      <c r="N22" s="5616"/>
      <c r="O22" s="5617"/>
      <c r="P22" s="5617"/>
      <c r="Q22" s="5618"/>
      <c r="R22" s="5094" t="s">
        <v>1</v>
      </c>
      <c r="S22" s="1018"/>
      <c r="T22" s="363"/>
      <c r="U22" s="362"/>
      <c r="V22" s="362"/>
      <c r="W22" s="5385"/>
      <c r="X22" s="5614"/>
      <c r="Y22" s="5615"/>
      <c r="Z22" s="5615"/>
      <c r="AA22" s="5616"/>
      <c r="AB22" s="5616"/>
      <c r="AC22" s="5616"/>
      <c r="AD22" s="5616"/>
      <c r="AE22" s="5616"/>
      <c r="AF22" s="5617"/>
      <c r="AG22" s="5617"/>
      <c r="AH22" s="5618"/>
      <c r="AI22" s="5094" t="s">
        <v>1</v>
      </c>
      <c r="AJ22" s="1018"/>
      <c r="AK22" s="363"/>
      <c r="AL22" s="362"/>
      <c r="AM22" s="362"/>
      <c r="AN22" s="5385"/>
      <c r="AO22" s="5614"/>
      <c r="AP22" s="5615"/>
      <c r="AQ22" s="5615"/>
      <c r="AR22" s="5616"/>
      <c r="AS22" s="5616"/>
      <c r="AT22" s="5616"/>
      <c r="AU22" s="5616"/>
      <c r="AV22" s="5616"/>
      <c r="AW22" s="5617"/>
      <c r="AX22" s="5617"/>
      <c r="AY22" s="5618"/>
      <c r="AZ22" s="5094" t="s">
        <v>1</v>
      </c>
      <c r="BA22" s="7199"/>
      <c r="BB22" s="7199"/>
      <c r="BC22" s="2"/>
      <c r="BD22" s="7042"/>
      <c r="BE22" s="7042"/>
      <c r="BF22" s="2"/>
      <c r="BG22" s="7201"/>
      <c r="BH22" s="7201"/>
      <c r="BI22" s="2"/>
      <c r="BJ22" s="7203"/>
      <c r="BK22" s="7203"/>
      <c r="BL22" s="2"/>
      <c r="BM22" s="7189"/>
      <c r="BN22" s="7189"/>
      <c r="BO22" s="4"/>
      <c r="BP22" s="7191"/>
      <c r="BQ22" s="7191"/>
      <c r="BR22" s="2"/>
      <c r="BS22" s="7206" t="s">
        <v>1323</v>
      </c>
      <c r="BT22" s="7206"/>
      <c r="BU22" s="2"/>
      <c r="BV22" s="2647">
        <v>1</v>
      </c>
      <c r="BW22" s="2648">
        <v>2</v>
      </c>
      <c r="BX22" s="5498">
        <v>3</v>
      </c>
      <c r="BY22" s="2649">
        <v>4</v>
      </c>
      <c r="BZ22" s="2650">
        <v>5</v>
      </c>
      <c r="CA22" s="2651">
        <v>6</v>
      </c>
      <c r="CB22" s="2652">
        <v>7</v>
      </c>
      <c r="CC22" s="2653">
        <v>8</v>
      </c>
      <c r="CD22" s="2"/>
      <c r="CE22" s="5517" t="s">
        <v>3763</v>
      </c>
      <c r="CF22" s="5518" t="s">
        <v>3763</v>
      </c>
      <c r="CG22" s="5501" t="s">
        <v>3764</v>
      </c>
      <c r="CH22" s="5517" t="s">
        <v>3764</v>
      </c>
      <c r="CI22" s="5500">
        <v>255</v>
      </c>
      <c r="CJ22" s="2"/>
      <c r="CK22" s="5">
        <v>1</v>
      </c>
      <c r="CL22" s="1"/>
      <c r="CM22" s="1"/>
    </row>
    <row r="23" spans="1:91" s="187" customFormat="1" ht="21" customHeight="1" thickBot="1">
      <c r="A23"/>
      <c r="B23" s="1018"/>
      <c r="C23" s="5399"/>
      <c r="D23" s="5400"/>
      <c r="E23" s="5400"/>
      <c r="F23" s="5401"/>
      <c r="G23" s="351"/>
      <c r="H23" s="350"/>
      <c r="I23" s="349"/>
      <c r="J23" s="348"/>
      <c r="K23" s="347"/>
      <c r="L23" s="141"/>
      <c r="M23" s="347"/>
      <c r="N23" s="5235"/>
      <c r="O23" s="141"/>
      <c r="P23" s="141"/>
      <c r="Q23" s="409"/>
      <c r="R23" s="5094" t="s">
        <v>1</v>
      </c>
      <c r="S23" s="1018"/>
      <c r="T23" s="5399"/>
      <c r="U23" s="5400"/>
      <c r="V23" s="5400"/>
      <c r="W23" s="5401"/>
      <c r="X23" s="351"/>
      <c r="Y23" s="350"/>
      <c r="Z23" s="349"/>
      <c r="AA23" s="348"/>
      <c r="AB23" s="347"/>
      <c r="AC23" s="141"/>
      <c r="AD23" s="347"/>
      <c r="AE23" s="5235"/>
      <c r="AF23" s="141"/>
      <c r="AG23" s="141"/>
      <c r="AH23" s="409"/>
      <c r="AI23" s="5094" t="s">
        <v>1</v>
      </c>
      <c r="AJ23" s="1018"/>
      <c r="AK23" s="5399"/>
      <c r="AL23" s="5400"/>
      <c r="AM23" s="5400"/>
      <c r="AN23" s="5401"/>
      <c r="AO23" s="351"/>
      <c r="AP23" s="350"/>
      <c r="AQ23" s="349"/>
      <c r="AR23" s="348"/>
      <c r="AS23" s="347"/>
      <c r="AT23" s="141"/>
      <c r="AU23" s="347"/>
      <c r="AV23" s="5235"/>
      <c r="AW23" s="141"/>
      <c r="AX23" s="141"/>
      <c r="AY23" s="409"/>
      <c r="AZ23" s="5094" t="s">
        <v>1</v>
      </c>
      <c r="BA23" s="2"/>
      <c r="BB23" s="2"/>
      <c r="BC23" s="2"/>
      <c r="BD23" s="2"/>
      <c r="BE23" s="2"/>
      <c r="BF23" s="2"/>
      <c r="BG23" s="2"/>
      <c r="BH23" s="2"/>
      <c r="BI23" s="2"/>
      <c r="BJ23" s="2"/>
      <c r="BK23" s="2"/>
      <c r="BL23" s="2"/>
      <c r="BM23" s="2"/>
      <c r="BN23" s="2"/>
      <c r="BO23" s="4"/>
      <c r="BP23" s="2"/>
      <c r="BQ23" s="2"/>
      <c r="BR23" s="2"/>
      <c r="BS23" s="7430" t="s">
        <v>1324</v>
      </c>
      <c r="BT23" s="7431"/>
      <c r="BU23" s="2"/>
      <c r="BV23" s="2655">
        <v>9</v>
      </c>
      <c r="BW23" s="2656">
        <v>10</v>
      </c>
      <c r="BX23" s="2657">
        <v>11</v>
      </c>
      <c r="BY23" s="2658">
        <v>12</v>
      </c>
      <c r="BZ23" s="2659">
        <v>13</v>
      </c>
      <c r="CA23" s="2660">
        <v>14</v>
      </c>
      <c r="CB23" s="2661">
        <v>15</v>
      </c>
      <c r="CC23" s="2662">
        <v>16</v>
      </c>
      <c r="CD23" s="2"/>
      <c r="CE23" s="5526" t="s">
        <v>3773</v>
      </c>
      <c r="CF23" s="5527" t="s">
        <v>3773</v>
      </c>
      <c r="CG23" s="5501" t="s">
        <v>3774</v>
      </c>
      <c r="CH23" s="5526" t="s">
        <v>3774</v>
      </c>
      <c r="CI23" s="5500">
        <v>255</v>
      </c>
      <c r="CJ23" s="2"/>
      <c r="CK23" s="5">
        <v>1</v>
      </c>
      <c r="CL23" s="1"/>
      <c r="CM23" s="1"/>
    </row>
    <row r="24" spans="1:91" s="187" customFormat="1" ht="21" customHeight="1">
      <c r="A24"/>
      <c r="B24" s="1018"/>
      <c r="C24" s="41"/>
      <c r="D24" s="40"/>
      <c r="E24" s="40"/>
      <c r="F24" s="5386"/>
      <c r="G24" s="333"/>
      <c r="H24" s="341"/>
      <c r="I24" s="341"/>
      <c r="J24" s="340"/>
      <c r="K24" s="5619"/>
      <c r="L24" s="5619"/>
      <c r="M24" s="5619"/>
      <c r="N24" s="5235"/>
      <c r="O24" s="5236"/>
      <c r="P24" s="5237"/>
      <c r="Q24" s="5620"/>
      <c r="R24" s="5094" t="s">
        <v>1</v>
      </c>
      <c r="S24" s="1018"/>
      <c r="T24" s="41"/>
      <c r="U24" s="40"/>
      <c r="V24" s="40"/>
      <c r="W24" s="5386"/>
      <c r="X24" s="333"/>
      <c r="Y24" s="341"/>
      <c r="Z24" s="341"/>
      <c r="AA24" s="340"/>
      <c r="AB24" s="5619"/>
      <c r="AC24" s="5619"/>
      <c r="AD24" s="5619"/>
      <c r="AE24" s="5235"/>
      <c r="AF24" s="5236"/>
      <c r="AG24" s="5237"/>
      <c r="AH24" s="5620"/>
      <c r="AI24" s="5094" t="s">
        <v>1</v>
      </c>
      <c r="AJ24" s="1018"/>
      <c r="AK24" s="41"/>
      <c r="AL24" s="40"/>
      <c r="AM24" s="40"/>
      <c r="AN24" s="5386"/>
      <c r="AO24" s="333"/>
      <c r="AP24" s="341"/>
      <c r="AQ24" s="341"/>
      <c r="AR24" s="340"/>
      <c r="AS24" s="5619"/>
      <c r="AT24" s="5619"/>
      <c r="AU24" s="5619"/>
      <c r="AV24" s="5235"/>
      <c r="AW24" s="5236"/>
      <c r="AX24" s="5237"/>
      <c r="AY24" s="5620"/>
      <c r="AZ24" s="5094" t="s">
        <v>1</v>
      </c>
      <c r="BA24" s="7217" t="s">
        <v>8041</v>
      </c>
      <c r="BB24" s="7217"/>
      <c r="BC24" s="2"/>
      <c r="BD24" s="6935" t="s">
        <v>8042</v>
      </c>
      <c r="BE24" s="6935"/>
      <c r="BF24" s="2"/>
      <c r="BG24" s="7200" t="s">
        <v>8043</v>
      </c>
      <c r="BH24" s="7200"/>
      <c r="BI24" s="2"/>
      <c r="BJ24" s="7202" t="s">
        <v>8044</v>
      </c>
      <c r="BK24" s="7202"/>
      <c r="BL24" s="2"/>
      <c r="BM24" s="7188" t="s">
        <v>8049</v>
      </c>
      <c r="BN24" s="7188"/>
      <c r="BO24" s="4"/>
      <c r="BP24" s="7190" t="s">
        <v>8050</v>
      </c>
      <c r="BQ24" s="7190"/>
      <c r="BR24" s="2"/>
      <c r="BS24" s="7432"/>
      <c r="BT24" s="7210"/>
      <c r="BU24" s="2"/>
      <c r="BV24" s="2663">
        <v>17</v>
      </c>
      <c r="BW24" s="2664">
        <v>18</v>
      </c>
      <c r="BX24" s="2665">
        <v>19</v>
      </c>
      <c r="BY24" s="2666">
        <v>20</v>
      </c>
      <c r="BZ24" s="2667">
        <v>21</v>
      </c>
      <c r="CA24" s="2668">
        <v>22</v>
      </c>
      <c r="CB24" s="2669">
        <v>23</v>
      </c>
      <c r="CC24" s="2670">
        <v>24</v>
      </c>
      <c r="CD24" s="2"/>
      <c r="CE24" s="5536" t="s">
        <v>3783</v>
      </c>
      <c r="CF24" s="5537" t="s">
        <v>3783</v>
      </c>
      <c r="CG24" s="5501" t="s">
        <v>3784</v>
      </c>
      <c r="CH24" s="5536" t="s">
        <v>3784</v>
      </c>
      <c r="CI24" s="5500">
        <v>0</v>
      </c>
      <c r="CJ24" s="2"/>
      <c r="CK24" s="5">
        <v>1</v>
      </c>
      <c r="CL24" s="1"/>
      <c r="CM24" s="1"/>
    </row>
    <row r="25" spans="1:91" s="187" customFormat="1" ht="21" customHeight="1">
      <c r="A25"/>
      <c r="B25" s="1018"/>
      <c r="C25" s="41"/>
      <c r="D25" s="40"/>
      <c r="E25" s="40"/>
      <c r="F25" s="5386"/>
      <c r="G25" s="5238"/>
      <c r="H25" s="5455"/>
      <c r="I25" s="333"/>
      <c r="J25" s="333"/>
      <c r="K25" s="5619"/>
      <c r="L25" s="5619"/>
      <c r="M25" s="5619"/>
      <c r="N25" s="5239"/>
      <c r="O25" s="141"/>
      <c r="P25" s="5392"/>
      <c r="Q25" s="5391"/>
      <c r="R25" s="5094" t="s">
        <v>1</v>
      </c>
      <c r="S25" s="1018"/>
      <c r="T25" s="41"/>
      <c r="U25" s="40"/>
      <c r="V25" s="40"/>
      <c r="W25" s="5386"/>
      <c r="X25" s="5238"/>
      <c r="Y25" s="5455"/>
      <c r="Z25" s="333"/>
      <c r="AA25" s="333"/>
      <c r="AB25" s="5619"/>
      <c r="AC25" s="5619"/>
      <c r="AD25" s="5619"/>
      <c r="AE25" s="5239"/>
      <c r="AF25" s="141"/>
      <c r="AG25" s="5392"/>
      <c r="AH25" s="5391"/>
      <c r="AI25" s="5094" t="s">
        <v>1</v>
      </c>
      <c r="AJ25" s="1018"/>
      <c r="AK25" s="41"/>
      <c r="AL25" s="40"/>
      <c r="AM25" s="40"/>
      <c r="AN25" s="5386"/>
      <c r="AO25" s="5238"/>
      <c r="AP25" s="5455"/>
      <c r="AQ25" s="333"/>
      <c r="AR25" s="333"/>
      <c r="AS25" s="5619"/>
      <c r="AT25" s="5619"/>
      <c r="AU25" s="5619"/>
      <c r="AV25" s="5239"/>
      <c r="AW25" s="141"/>
      <c r="AX25" s="5392"/>
      <c r="AY25" s="5391"/>
      <c r="AZ25" s="5094" t="s">
        <v>1</v>
      </c>
      <c r="BA25" s="7218"/>
      <c r="BB25" s="7218"/>
      <c r="BC25" s="2"/>
      <c r="BD25" s="6936"/>
      <c r="BE25" s="6936"/>
      <c r="BF25" s="2"/>
      <c r="BG25" s="7201"/>
      <c r="BH25" s="7201"/>
      <c r="BI25" s="2"/>
      <c r="BJ25" s="7203"/>
      <c r="BK25" s="7203"/>
      <c r="BL25" s="2"/>
      <c r="BM25" s="7189"/>
      <c r="BN25" s="7189"/>
      <c r="BO25" s="4"/>
      <c r="BP25" s="7191"/>
      <c r="BQ25" s="7191"/>
      <c r="BR25" s="2"/>
      <c r="BS25" s="7211"/>
      <c r="BT25" s="7212"/>
      <c r="BU25" s="2"/>
      <c r="BV25" s="2671">
        <v>25</v>
      </c>
      <c r="BW25" s="2672">
        <v>26</v>
      </c>
      <c r="BX25" s="2673">
        <v>27</v>
      </c>
      <c r="BY25" s="2674">
        <v>28</v>
      </c>
      <c r="BZ25" s="2675">
        <v>29</v>
      </c>
      <c r="CA25" s="2676">
        <v>30</v>
      </c>
      <c r="CB25" s="2677">
        <v>31</v>
      </c>
      <c r="CC25" s="2678">
        <v>32</v>
      </c>
      <c r="CD25" s="2"/>
      <c r="CE25" s="5546" t="s">
        <v>3527</v>
      </c>
      <c r="CF25" s="5547" t="s">
        <v>3527</v>
      </c>
      <c r="CG25" s="5501" t="s">
        <v>3528</v>
      </c>
      <c r="CH25" s="5546" t="s">
        <v>3528</v>
      </c>
      <c r="CI25" s="5500">
        <v>128</v>
      </c>
      <c r="CJ25" s="2"/>
      <c r="CK25" s="5">
        <v>1</v>
      </c>
      <c r="CL25" s="1"/>
      <c r="CM25" s="1"/>
    </row>
    <row r="26" spans="1:91" s="187" customFormat="1" ht="21" customHeight="1" thickBot="1">
      <c r="A26"/>
      <c r="B26" s="1018"/>
      <c r="C26" s="41"/>
      <c r="D26" s="40"/>
      <c r="E26" s="40"/>
      <c r="F26" s="5386"/>
      <c r="G26" s="5397"/>
      <c r="H26" s="5396"/>
      <c r="I26" s="326"/>
      <c r="J26" s="326"/>
      <c r="K26" s="326"/>
      <c r="L26" s="326"/>
      <c r="M26" s="5240"/>
      <c r="N26"/>
      <c r="O26" s="5241"/>
      <c r="P26" s="5376"/>
      <c r="Q26" s="5242"/>
      <c r="R26" s="5094" t="s">
        <v>1</v>
      </c>
      <c r="S26" s="1018"/>
      <c r="T26" s="41"/>
      <c r="U26" s="40"/>
      <c r="V26" s="40"/>
      <c r="W26" s="5386"/>
      <c r="X26" s="5397"/>
      <c r="Y26" s="5396"/>
      <c r="Z26" s="326"/>
      <c r="AA26" s="326"/>
      <c r="AB26" s="326"/>
      <c r="AC26" s="326"/>
      <c r="AD26" s="5240"/>
      <c r="AE26"/>
      <c r="AF26" s="5241"/>
      <c r="AG26" s="5376"/>
      <c r="AH26" s="5242"/>
      <c r="AI26" s="5094" t="s">
        <v>1</v>
      </c>
      <c r="AJ26" s="1018"/>
      <c r="AK26" s="41"/>
      <c r="AL26" s="40"/>
      <c r="AM26" s="40"/>
      <c r="AN26" s="5386"/>
      <c r="AO26" s="5397"/>
      <c r="AP26" s="5396"/>
      <c r="AQ26" s="326"/>
      <c r="AR26" s="326"/>
      <c r="AS26" s="326"/>
      <c r="AT26" s="326"/>
      <c r="AU26" s="5240"/>
      <c r="AV26"/>
      <c r="AW26" s="5241"/>
      <c r="AX26" s="5376"/>
      <c r="AY26" s="5242"/>
      <c r="AZ26" s="5094" t="s">
        <v>1</v>
      </c>
      <c r="BA26" s="2"/>
      <c r="BB26" s="2"/>
      <c r="BC26" s="2"/>
      <c r="BD26" s="2"/>
      <c r="BE26" s="2"/>
      <c r="BF26" s="2"/>
      <c r="BG26" s="2"/>
      <c r="BH26" s="2"/>
      <c r="BI26" s="2"/>
      <c r="BJ26" s="2"/>
      <c r="BK26" s="2"/>
      <c r="BL26" s="2"/>
      <c r="BM26" s="2"/>
      <c r="BN26" s="2"/>
      <c r="BO26" s="4"/>
      <c r="BP26" s="2"/>
      <c r="BQ26" s="2"/>
      <c r="BR26" s="2"/>
      <c r="BS26" s="1631" t="s">
        <v>1336</v>
      </c>
      <c r="BT26" s="1631"/>
      <c r="BU26" s="2"/>
      <c r="BV26" s="2680">
        <v>33</v>
      </c>
      <c r="BW26" s="2681">
        <v>34</v>
      </c>
      <c r="BX26" s="2682">
        <v>35</v>
      </c>
      <c r="BY26" s="2683">
        <v>36</v>
      </c>
      <c r="BZ26" s="2684">
        <v>37</v>
      </c>
      <c r="CA26" s="2685">
        <v>38</v>
      </c>
      <c r="CB26" s="2686">
        <v>39</v>
      </c>
      <c r="CC26" s="2687">
        <v>40</v>
      </c>
      <c r="CD26" s="2"/>
      <c r="CE26" s="5504" t="s">
        <v>3537</v>
      </c>
      <c r="CF26" s="5553" t="s">
        <v>3537</v>
      </c>
      <c r="CG26" s="5501" t="s">
        <v>3538</v>
      </c>
      <c r="CH26" s="5504" t="s">
        <v>3538</v>
      </c>
      <c r="CI26" s="5500">
        <v>128</v>
      </c>
      <c r="CJ26" s="2"/>
      <c r="CK26" s="5">
        <v>1</v>
      </c>
      <c r="CL26" s="1"/>
      <c r="CM26" s="1"/>
    </row>
    <row r="27" spans="1:91" s="187" customFormat="1" ht="21" customHeight="1" thickBot="1">
      <c r="A27"/>
      <c r="B27" s="5243"/>
      <c r="C27" s="5379"/>
      <c r="D27" s="5380"/>
      <c r="E27" s="5379"/>
      <c r="F27" s="5381"/>
      <c r="G27" s="5484"/>
      <c r="H27" s="5485"/>
      <c r="I27" s="5118"/>
      <c r="J27" s="5118"/>
      <c r="K27" s="5118"/>
      <c r="L27" s="5119"/>
      <c r="M27" s="5319"/>
      <c r="N27" s="141"/>
      <c r="O27" s="141"/>
      <c r="P27" s="141"/>
      <c r="Q27" s="5390"/>
      <c r="R27" s="5094" t="s">
        <v>1</v>
      </c>
      <c r="S27" s="5243"/>
      <c r="T27" s="5379"/>
      <c r="U27" s="5380"/>
      <c r="V27" s="5379"/>
      <c r="W27" s="5381"/>
      <c r="X27" s="5484"/>
      <c r="Y27" s="5485"/>
      <c r="Z27" s="5118"/>
      <c r="AA27" s="5118"/>
      <c r="AB27" s="5118"/>
      <c r="AC27" s="5119"/>
      <c r="AD27" s="5319"/>
      <c r="AE27" s="141"/>
      <c r="AF27" s="141"/>
      <c r="AG27" s="141"/>
      <c r="AH27" s="5390"/>
      <c r="AI27" s="5094" t="s">
        <v>1</v>
      </c>
      <c r="AJ27" s="5243"/>
      <c r="AK27" s="5379"/>
      <c r="AL27" s="5380"/>
      <c r="AM27" s="5379"/>
      <c r="AN27" s="5381"/>
      <c r="AO27" s="5484"/>
      <c r="AP27" s="5485"/>
      <c r="AQ27" s="5118"/>
      <c r="AR27" s="5118"/>
      <c r="AS27" s="5118"/>
      <c r="AT27" s="5119"/>
      <c r="AU27" s="5319"/>
      <c r="AV27" s="141"/>
      <c r="AW27" s="141"/>
      <c r="AX27" s="141"/>
      <c r="AY27" s="5390"/>
      <c r="AZ27" s="5094" t="s">
        <v>1</v>
      </c>
      <c r="BA27" s="7213" t="s">
        <v>8051</v>
      </c>
      <c r="BB27" s="7213"/>
      <c r="BC27" s="2"/>
      <c r="BD27" s="7215" t="s">
        <v>8052</v>
      </c>
      <c r="BE27" s="7215"/>
      <c r="BF27" s="2"/>
      <c r="BG27" s="7200" t="s">
        <v>8053</v>
      </c>
      <c r="BH27" s="7200"/>
      <c r="BI27" s="2"/>
      <c r="BJ27" s="7202" t="s">
        <v>8054</v>
      </c>
      <c r="BK27" s="7202"/>
      <c r="BL27" s="2"/>
      <c r="BM27" s="7188" t="s">
        <v>8060</v>
      </c>
      <c r="BN27" s="7188"/>
      <c r="BO27" s="4"/>
      <c r="BP27" s="7190" t="s">
        <v>8061</v>
      </c>
      <c r="BQ27" s="7190"/>
      <c r="BR27" s="2"/>
      <c r="BS27" s="7428" t="s">
        <v>1337</v>
      </c>
      <c r="BT27" s="7429"/>
      <c r="BU27" s="2"/>
      <c r="BV27" s="2688">
        <v>41</v>
      </c>
      <c r="BW27" s="2689">
        <v>42</v>
      </c>
      <c r="BX27" s="2690">
        <v>43</v>
      </c>
      <c r="BY27" s="2691">
        <v>44</v>
      </c>
      <c r="BZ27" s="2692">
        <v>45</v>
      </c>
      <c r="CA27" s="2693">
        <v>46</v>
      </c>
      <c r="CB27" s="2694">
        <v>47</v>
      </c>
      <c r="CC27" s="2695">
        <v>48</v>
      </c>
      <c r="CD27" s="2"/>
      <c r="CE27" s="5513" t="s">
        <v>3546</v>
      </c>
      <c r="CF27" s="5514" t="s">
        <v>3546</v>
      </c>
      <c r="CG27" s="5501" t="s">
        <v>3547</v>
      </c>
      <c r="CH27" s="5513" t="s">
        <v>3547</v>
      </c>
      <c r="CI27" s="5500">
        <v>0</v>
      </c>
      <c r="CJ27" s="2"/>
      <c r="CK27" s="5">
        <v>1</v>
      </c>
      <c r="CL27" s="1"/>
      <c r="CM27" s="1"/>
    </row>
    <row r="28" spans="1:91" s="187" customFormat="1" ht="21" customHeight="1" thickTop="1" thickBot="1">
      <c r="A28"/>
      <c r="B28" s="1017"/>
      <c r="C28" s="5382"/>
      <c r="D28" s="5382"/>
      <c r="E28" s="5382"/>
      <c r="F28" s="5383"/>
      <c r="G28" s="310"/>
      <c r="H28" s="310"/>
      <c r="I28" s="310"/>
      <c r="J28" s="310"/>
      <c r="K28" s="309"/>
      <c r="L28" s="308"/>
      <c r="M28" s="5244"/>
      <c r="N28" s="5245"/>
      <c r="O28" s="1100"/>
      <c r="P28" s="1100"/>
      <c r="Q28" s="5246"/>
      <c r="R28" s="5094" t="s">
        <v>1</v>
      </c>
      <c r="S28" s="1017"/>
      <c r="T28" s="5382"/>
      <c r="U28" s="5382"/>
      <c r="V28" s="5382"/>
      <c r="W28" s="5383"/>
      <c r="X28" s="310"/>
      <c r="Y28" s="310"/>
      <c r="Z28" s="310"/>
      <c r="AA28" s="310"/>
      <c r="AB28" s="309"/>
      <c r="AC28" s="308"/>
      <c r="AD28" s="5244"/>
      <c r="AE28" s="5245"/>
      <c r="AF28" s="1100"/>
      <c r="AG28" s="1100"/>
      <c r="AH28" s="5246"/>
      <c r="AI28" s="5094" t="s">
        <v>1</v>
      </c>
      <c r="AJ28" s="1017"/>
      <c r="AK28" s="5382"/>
      <c r="AL28" s="5382"/>
      <c r="AM28" s="5382"/>
      <c r="AN28" s="5383"/>
      <c r="AO28" s="310"/>
      <c r="AP28" s="310"/>
      <c r="AQ28" s="310"/>
      <c r="AR28" s="310"/>
      <c r="AS28" s="309"/>
      <c r="AT28" s="308"/>
      <c r="AU28" s="5244"/>
      <c r="AV28" s="5245"/>
      <c r="AW28" s="1100"/>
      <c r="AX28" s="1100"/>
      <c r="AY28" s="5246"/>
      <c r="AZ28" s="5094" t="s">
        <v>1</v>
      </c>
      <c r="BA28" s="7214"/>
      <c r="BB28" s="7214"/>
      <c r="BC28" s="2"/>
      <c r="BD28" s="7042"/>
      <c r="BE28" s="7042"/>
      <c r="BF28" s="2"/>
      <c r="BG28" s="7201"/>
      <c r="BH28" s="7201"/>
      <c r="BI28" s="2"/>
      <c r="BJ28" s="7203"/>
      <c r="BK28" s="7203"/>
      <c r="BL28" s="2"/>
      <c r="BM28" s="7189"/>
      <c r="BN28" s="7189"/>
      <c r="BO28" s="4"/>
      <c r="BP28" s="7191"/>
      <c r="BQ28" s="7191"/>
      <c r="BR28" s="2"/>
      <c r="BS28" s="7225"/>
      <c r="BT28" s="7226"/>
      <c r="BU28" s="2"/>
      <c r="BV28" s="2696">
        <v>49</v>
      </c>
      <c r="BW28" s="2697">
        <v>50</v>
      </c>
      <c r="BX28" s="2698">
        <v>51</v>
      </c>
      <c r="BY28" s="2699">
        <v>52</v>
      </c>
      <c r="BZ28" s="2700">
        <v>53</v>
      </c>
      <c r="CA28" s="2701">
        <v>54</v>
      </c>
      <c r="CB28" s="2702">
        <v>55</v>
      </c>
      <c r="CC28" s="2703">
        <v>56</v>
      </c>
      <c r="CD28" s="2"/>
      <c r="CE28" s="5522" t="s">
        <v>3556</v>
      </c>
      <c r="CF28" s="5523" t="s">
        <v>3556</v>
      </c>
      <c r="CG28" s="5501" t="s">
        <v>3557</v>
      </c>
      <c r="CH28" s="5522" t="s">
        <v>3557</v>
      </c>
      <c r="CI28" s="5500">
        <v>0</v>
      </c>
      <c r="CJ28" s="2"/>
      <c r="CK28" s="5">
        <v>1</v>
      </c>
      <c r="CL28" s="1"/>
      <c r="CM28" s="1"/>
    </row>
    <row r="29" spans="1:91" s="187" customFormat="1" ht="21" customHeight="1" thickTop="1" thickBot="1">
      <c r="A29"/>
      <c r="B29" s="1018"/>
      <c r="C29" s="41"/>
      <c r="D29" s="40"/>
      <c r="E29" s="41"/>
      <c r="F29" s="5386"/>
      <c r="G29" s="5247"/>
      <c r="H29" s="298"/>
      <c r="I29" s="297"/>
      <c r="J29" s="5621"/>
      <c r="K29" s="5622"/>
      <c r="L29" s="5623"/>
      <c r="M29" s="5248"/>
      <c r="N29" s="5624"/>
      <c r="O29" s="5625"/>
      <c r="P29" s="5625"/>
      <c r="Q29" s="5626"/>
      <c r="R29" s="5094" t="s">
        <v>1</v>
      </c>
      <c r="S29" s="1018"/>
      <c r="T29" s="41"/>
      <c r="U29" s="40"/>
      <c r="V29" s="41"/>
      <c r="W29" s="5386"/>
      <c r="X29" s="5247"/>
      <c r="Y29" s="298"/>
      <c r="Z29" s="297"/>
      <c r="AA29" s="5621"/>
      <c r="AB29" s="5622"/>
      <c r="AC29" s="5623"/>
      <c r="AD29" s="5248"/>
      <c r="AE29" s="5624"/>
      <c r="AF29" s="5625"/>
      <c r="AG29" s="5625"/>
      <c r="AH29" s="5626"/>
      <c r="AI29" s="5094" t="s">
        <v>1</v>
      </c>
      <c r="AJ29" s="1018"/>
      <c r="AK29" s="41"/>
      <c r="AL29" s="40"/>
      <c r="AM29" s="41"/>
      <c r="AN29" s="5386"/>
      <c r="AO29" s="5247"/>
      <c r="AP29" s="298"/>
      <c r="AQ29" s="297"/>
      <c r="AR29" s="5621"/>
      <c r="AS29" s="5622"/>
      <c r="AT29" s="5623"/>
      <c r="AU29" s="5248"/>
      <c r="AV29" s="5624"/>
      <c r="AW29" s="5625"/>
      <c r="AX29" s="5625"/>
      <c r="AY29" s="5626"/>
      <c r="AZ29" s="5094" t="s">
        <v>1</v>
      </c>
      <c r="BA29" s="2"/>
      <c r="BB29" s="2"/>
      <c r="BC29" s="2"/>
      <c r="BD29" s="2"/>
      <c r="BE29" s="2"/>
      <c r="BF29" s="2"/>
      <c r="BG29"/>
      <c r="BH29"/>
      <c r="BI29" s="2"/>
      <c r="BJ29" s="2"/>
      <c r="BK29" s="2"/>
      <c r="BL29" s="2"/>
      <c r="BM29" s="2"/>
      <c r="BN29" s="2"/>
      <c r="BO29" s="4"/>
      <c r="BP29" s="2"/>
      <c r="BQ29" s="2"/>
      <c r="BR29" s="2"/>
      <c r="BS29" s="1128">
        <v>1</v>
      </c>
      <c r="BT29" s="1128">
        <v>1</v>
      </c>
      <c r="BU29" s="2"/>
      <c r="BV29" s="7433" t="s">
        <v>3515</v>
      </c>
      <c r="BW29" s="7433"/>
      <c r="BX29" s="7433"/>
      <c r="BY29" s="7433"/>
      <c r="BZ29" s="7433"/>
      <c r="CA29" s="7433"/>
      <c r="CB29" s="7433"/>
      <c r="CC29" s="7433"/>
      <c r="CD29" s="2"/>
      <c r="CE29" s="5532" t="s">
        <v>3565</v>
      </c>
      <c r="CF29" s="5533" t="s">
        <v>3565</v>
      </c>
      <c r="CG29" s="5501" t="s">
        <v>3566</v>
      </c>
      <c r="CH29" s="5532" t="s">
        <v>3566</v>
      </c>
      <c r="CI29" s="5500">
        <v>0</v>
      </c>
      <c r="CJ29" s="2"/>
      <c r="CK29" s="5">
        <v>1</v>
      </c>
      <c r="CL29" s="1"/>
      <c r="CM29" s="1"/>
    </row>
    <row r="30" spans="1:91" s="187" customFormat="1" ht="21" customHeight="1">
      <c r="A30"/>
      <c r="B30" s="1018"/>
      <c r="C30" s="41"/>
      <c r="D30" s="40"/>
      <c r="E30" s="41"/>
      <c r="F30" s="5386"/>
      <c r="G30" s="5249"/>
      <c r="H30" s="286"/>
      <c r="I30" s="285"/>
      <c r="J30" s="5627"/>
      <c r="K30" s="5628"/>
      <c r="L30" s="5629"/>
      <c r="M30" s="5250"/>
      <c r="N30" s="5630"/>
      <c r="O30" s="5631"/>
      <c r="P30" s="5631"/>
      <c r="Q30" s="5632"/>
      <c r="R30" s="5094" t="s">
        <v>1</v>
      </c>
      <c r="S30" s="1018"/>
      <c r="T30" s="41"/>
      <c r="U30" s="40"/>
      <c r="V30" s="41"/>
      <c r="W30" s="5386"/>
      <c r="X30" s="5249"/>
      <c r="Y30" s="286"/>
      <c r="Z30" s="285"/>
      <c r="AA30" s="5627"/>
      <c r="AB30" s="5628"/>
      <c r="AC30" s="5629"/>
      <c r="AD30" s="5250"/>
      <c r="AE30" s="5630"/>
      <c r="AF30" s="5631"/>
      <c r="AG30" s="5631"/>
      <c r="AH30" s="5632"/>
      <c r="AI30" s="5094" t="s">
        <v>1</v>
      </c>
      <c r="AJ30" s="1018"/>
      <c r="AK30" s="41"/>
      <c r="AL30" s="40"/>
      <c r="AM30" s="41"/>
      <c r="AN30" s="5386"/>
      <c r="AO30" s="5249"/>
      <c r="AP30" s="286"/>
      <c r="AQ30" s="285"/>
      <c r="AR30" s="5627"/>
      <c r="AS30" s="5628"/>
      <c r="AT30" s="5629"/>
      <c r="AU30" s="5250"/>
      <c r="AV30" s="5630"/>
      <c r="AW30" s="5631"/>
      <c r="AX30" s="5631"/>
      <c r="AY30" s="5632"/>
      <c r="AZ30" s="5094" t="s">
        <v>1</v>
      </c>
      <c r="BA30" s="7227" t="s">
        <v>8062</v>
      </c>
      <c r="BB30" s="7227"/>
      <c r="BC30" s="2"/>
      <c r="BD30" s="6935" t="s">
        <v>8063</v>
      </c>
      <c r="BE30" s="6935"/>
      <c r="BF30" s="2"/>
      <c r="BG30" s="7200" t="s">
        <v>8064</v>
      </c>
      <c r="BH30" s="7200"/>
      <c r="BI30" s="2"/>
      <c r="BJ30" s="7202" t="s">
        <v>8065</v>
      </c>
      <c r="BK30" s="7202"/>
      <c r="BL30" s="2"/>
      <c r="BM30" s="7188" t="s">
        <v>8071</v>
      </c>
      <c r="BN30" s="7188"/>
      <c r="BO30" s="4"/>
      <c r="BP30" s="7190" t="s">
        <v>8072</v>
      </c>
      <c r="BQ30" s="7190"/>
      <c r="BR30" s="2"/>
      <c r="BS30" s="7411" t="s">
        <v>1349</v>
      </c>
      <c r="BT30" s="7412"/>
      <c r="BU30" s="2"/>
      <c r="BV30" s="7434"/>
      <c r="BW30" s="7434"/>
      <c r="BX30" s="7434"/>
      <c r="BY30" s="7434"/>
      <c r="BZ30" s="7434"/>
      <c r="CA30" s="7434"/>
      <c r="CB30" s="7434"/>
      <c r="CC30" s="7434"/>
      <c r="CD30" s="2"/>
      <c r="CE30" s="5542" t="s">
        <v>3574</v>
      </c>
      <c r="CF30" s="5543" t="s">
        <v>3574</v>
      </c>
      <c r="CG30" s="5501" t="s">
        <v>1019</v>
      </c>
      <c r="CH30" s="5542" t="s">
        <v>1019</v>
      </c>
      <c r="CI30" s="5500">
        <v>204</v>
      </c>
      <c r="CJ30" s="2"/>
      <c r="CK30" s="5">
        <v>1</v>
      </c>
      <c r="CL30" s="1"/>
      <c r="CM30" s="1"/>
    </row>
    <row r="31" spans="1:91" s="187" customFormat="1" ht="21" customHeight="1">
      <c r="A31"/>
      <c r="B31" s="5120"/>
      <c r="C31" s="5121"/>
      <c r="D31" s="5121"/>
      <c r="E31" s="5121"/>
      <c r="F31" s="5121"/>
      <c r="G31" s="5122"/>
      <c r="H31" s="5122"/>
      <c r="I31" s="5122"/>
      <c r="J31" s="5123"/>
      <c r="K31" s="5122"/>
      <c r="L31" s="5122"/>
      <c r="M31" s="5122"/>
      <c r="N31" s="5122"/>
      <c r="O31" s="5122"/>
      <c r="P31" s="5122"/>
      <c r="Q31" s="5122"/>
      <c r="R31" s="5094" t="s">
        <v>1</v>
      </c>
      <c r="S31" s="5120"/>
      <c r="T31" s="5121"/>
      <c r="U31" s="5121"/>
      <c r="V31" s="5121"/>
      <c r="W31" s="5121"/>
      <c r="X31" s="5122"/>
      <c r="Y31" s="5122"/>
      <c r="Z31" s="5122"/>
      <c r="AA31" s="5123"/>
      <c r="AB31" s="5122"/>
      <c r="AC31" s="5122"/>
      <c r="AD31" s="5122"/>
      <c r="AE31" s="5122"/>
      <c r="AF31" s="5122"/>
      <c r="AG31" s="5122"/>
      <c r="AH31" s="5122"/>
      <c r="AI31" s="5094" t="s">
        <v>1</v>
      </c>
      <c r="AJ31" s="5120"/>
      <c r="AK31" s="5121"/>
      <c r="AL31" s="5121"/>
      <c r="AM31" s="5121"/>
      <c r="AN31" s="5121"/>
      <c r="AO31" s="5122"/>
      <c r="AP31" s="5122"/>
      <c r="AQ31" s="5122"/>
      <c r="AR31" s="5123"/>
      <c r="AS31" s="5122"/>
      <c r="AT31" s="5122"/>
      <c r="AU31" s="5122"/>
      <c r="AV31" s="5122"/>
      <c r="AW31" s="5122"/>
      <c r="AX31" s="5122"/>
      <c r="AY31" s="5122"/>
      <c r="AZ31" s="5094" t="s">
        <v>1</v>
      </c>
      <c r="BA31" s="7228"/>
      <c r="BB31" s="7228"/>
      <c r="BC31" s="2"/>
      <c r="BD31" s="6936"/>
      <c r="BE31" s="6936"/>
      <c r="BF31" s="2"/>
      <c r="BG31" s="7201"/>
      <c r="BH31" s="7201"/>
      <c r="BI31" s="2"/>
      <c r="BJ31" s="7203"/>
      <c r="BK31" s="7203"/>
      <c r="BL31" s="2"/>
      <c r="BM31" s="7189"/>
      <c r="BN31" s="7189"/>
      <c r="BO31" s="4"/>
      <c r="BP31" s="7191"/>
      <c r="BQ31" s="7191"/>
      <c r="BR31" s="2"/>
      <c r="BS31" s="7439" t="s">
        <v>1359</v>
      </c>
      <c r="BT31" s="7231"/>
      <c r="BU31" s="2"/>
      <c r="BV31" s="7435" t="s">
        <v>3498</v>
      </c>
      <c r="BW31" s="7436"/>
      <c r="BX31" s="7436"/>
      <c r="BY31" s="7436"/>
      <c r="BZ31" s="7436"/>
      <c r="CA31" s="7436"/>
      <c r="CB31" s="7436"/>
      <c r="CC31" s="7437"/>
      <c r="CD31" s="2"/>
      <c r="CE31" s="5549" t="s">
        <v>3583</v>
      </c>
      <c r="CF31" s="5550" t="s">
        <v>3583</v>
      </c>
      <c r="CG31" s="5501" t="s">
        <v>1013</v>
      </c>
      <c r="CH31" s="5549" t="s">
        <v>1013</v>
      </c>
      <c r="CI31" s="5500">
        <v>204</v>
      </c>
      <c r="CJ31" s="2"/>
      <c r="CK31" s="5">
        <v>1</v>
      </c>
      <c r="CL31" s="1"/>
      <c r="CM31" s="1"/>
    </row>
    <row r="32" spans="1:91" s="187" customFormat="1" ht="21" customHeight="1" thickBot="1">
      <c r="A32"/>
      <c r="B32" s="1334" t="s">
        <v>21</v>
      </c>
      <c r="C32" s="5125"/>
      <c r="D32" s="5125"/>
      <c r="E32" s="5125"/>
      <c r="F32" s="5125"/>
      <c r="G32" s="5126" t="s">
        <v>8440</v>
      </c>
      <c r="H32" s="5126"/>
      <c r="I32" s="5126"/>
      <c r="J32" s="5126"/>
      <c r="K32" s="5126"/>
      <c r="L32" s="5126"/>
      <c r="M32" s="5126"/>
      <c r="N32" s="5126"/>
      <c r="O32" s="5126"/>
      <c r="P32" s="5126"/>
      <c r="Q32" s="5633" t="s">
        <v>262</v>
      </c>
      <c r="R32" s="5094" t="s">
        <v>1</v>
      </c>
      <c r="S32" s="1334" t="s">
        <v>21</v>
      </c>
      <c r="T32" s="5125"/>
      <c r="U32" s="5125"/>
      <c r="V32" s="5125"/>
      <c r="W32" s="5125"/>
      <c r="X32" s="5126" t="s">
        <v>8440</v>
      </c>
      <c r="Y32" s="5126"/>
      <c r="Z32" s="5126"/>
      <c r="AA32" s="5126"/>
      <c r="AB32" s="5126"/>
      <c r="AC32" s="5126"/>
      <c r="AD32" s="5126"/>
      <c r="AE32" s="5126"/>
      <c r="AF32" s="5126"/>
      <c r="AG32" s="5126"/>
      <c r="AH32" s="5633" t="s">
        <v>262</v>
      </c>
      <c r="AI32" s="5094" t="s">
        <v>1</v>
      </c>
      <c r="AJ32" s="1334" t="s">
        <v>21</v>
      </c>
      <c r="AK32" s="5125"/>
      <c r="AL32" s="5125"/>
      <c r="AM32" s="5125"/>
      <c r="AN32" s="5125"/>
      <c r="AO32" s="5126" t="s">
        <v>8440</v>
      </c>
      <c r="AP32" s="5126"/>
      <c r="AQ32" s="5126"/>
      <c r="AR32" s="5126"/>
      <c r="AS32" s="5126"/>
      <c r="AT32" s="5126"/>
      <c r="AU32" s="5126"/>
      <c r="AV32" s="5126"/>
      <c r="AW32" s="5126"/>
      <c r="AX32" s="5126"/>
      <c r="AY32" s="5633" t="s">
        <v>262</v>
      </c>
      <c r="AZ32" s="5094" t="s">
        <v>1</v>
      </c>
      <c r="BA32" s="2"/>
      <c r="BB32" s="2"/>
      <c r="BC32" s="2"/>
      <c r="BD32" s="2"/>
      <c r="BE32" s="2"/>
      <c r="BF32" s="2"/>
      <c r="BG32" s="2"/>
      <c r="BH32" s="2"/>
      <c r="BI32" s="2"/>
      <c r="BJ32" s="2"/>
      <c r="BK32" s="2"/>
      <c r="BL32" s="2"/>
      <c r="BM32" s="2"/>
      <c r="BN32" s="2"/>
      <c r="BO32" s="4"/>
      <c r="BP32" s="2"/>
      <c r="BQ32" s="2"/>
      <c r="BR32" s="2"/>
      <c r="BS32" s="2704" t="s">
        <v>1360</v>
      </c>
      <c r="BT32" s="5318"/>
      <c r="BU32" s="2"/>
      <c r="BV32" s="5500" t="s">
        <v>7810</v>
      </c>
      <c r="BW32" s="5501" t="s">
        <v>7811</v>
      </c>
      <c r="BX32" s="5502" t="s">
        <v>3657</v>
      </c>
      <c r="BY32" s="5503" t="s">
        <v>3657</v>
      </c>
      <c r="BZ32" s="5504" t="s">
        <v>3537</v>
      </c>
      <c r="CA32" s="5505" t="s">
        <v>3537</v>
      </c>
      <c r="CB32" s="5506" t="s">
        <v>3679</v>
      </c>
      <c r="CC32" s="5507" t="s">
        <v>3679</v>
      </c>
      <c r="CD32" s="2"/>
      <c r="CE32" s="5556" t="s">
        <v>3592</v>
      </c>
      <c r="CF32" s="5557" t="s">
        <v>3592</v>
      </c>
      <c r="CG32" s="5501" t="s">
        <v>1030</v>
      </c>
      <c r="CH32" s="5556" t="s">
        <v>1030</v>
      </c>
      <c r="CI32" s="5500">
        <v>255</v>
      </c>
      <c r="CJ32" s="2"/>
      <c r="CK32" s="5">
        <v>1</v>
      </c>
      <c r="CL32" s="1"/>
      <c r="CM32" s="1"/>
    </row>
    <row r="33" spans="1:91" s="187" customFormat="1" ht="21" customHeight="1">
      <c r="A33"/>
      <c r="B33" s="5120"/>
      <c r="C33" s="5121"/>
      <c r="D33" s="5121"/>
      <c r="E33" s="5121"/>
      <c r="F33" s="5121"/>
      <c r="G33" s="5122"/>
      <c r="H33" s="5122"/>
      <c r="I33" s="5122"/>
      <c r="J33" s="5122"/>
      <c r="K33" s="5122"/>
      <c r="L33" s="5122"/>
      <c r="M33" s="5122"/>
      <c r="N33" s="5122"/>
      <c r="O33" s="5122"/>
      <c r="P33" s="5122"/>
      <c r="Q33" s="5634"/>
      <c r="R33" s="5094" t="s">
        <v>1</v>
      </c>
      <c r="S33" s="5120"/>
      <c r="T33" s="5121"/>
      <c r="U33" s="5121"/>
      <c r="V33" s="5121"/>
      <c r="W33" s="5121"/>
      <c r="X33" s="5122"/>
      <c r="Y33" s="5122"/>
      <c r="Z33" s="5122"/>
      <c r="AA33" s="5122"/>
      <c r="AB33" s="5122"/>
      <c r="AC33" s="5122"/>
      <c r="AD33" s="5122"/>
      <c r="AE33" s="5122"/>
      <c r="AF33" s="5122"/>
      <c r="AG33" s="5122"/>
      <c r="AH33" s="5634"/>
      <c r="AI33" s="5094" t="s">
        <v>1</v>
      </c>
      <c r="AJ33" s="5120"/>
      <c r="AK33" s="5121"/>
      <c r="AL33" s="5121"/>
      <c r="AM33" s="5121"/>
      <c r="AN33" s="5121"/>
      <c r="AO33" s="5122"/>
      <c r="AP33" s="5122"/>
      <c r="AQ33" s="5122"/>
      <c r="AR33" s="5122"/>
      <c r="AS33" s="5122"/>
      <c r="AT33" s="5122"/>
      <c r="AU33" s="5122"/>
      <c r="AV33" s="5122"/>
      <c r="AW33" s="5122"/>
      <c r="AX33" s="5122"/>
      <c r="AY33" s="5634"/>
      <c r="AZ33" s="5094" t="s">
        <v>1</v>
      </c>
      <c r="BA33" s="7237" t="s">
        <v>8073</v>
      </c>
      <c r="BB33" s="7237"/>
      <c r="BC33" s="2"/>
      <c r="BD33" s="6935" t="s">
        <v>8074</v>
      </c>
      <c r="BE33" s="6935"/>
      <c r="BF33" s="2"/>
      <c r="BG33" s="7200" t="s">
        <v>8075</v>
      </c>
      <c r="BH33" s="7200"/>
      <c r="BI33" s="2"/>
      <c r="BJ33" s="7202" t="s">
        <v>8076</v>
      </c>
      <c r="BK33" s="7202"/>
      <c r="BL33" s="2"/>
      <c r="BM33" s="7188" t="s">
        <v>8082</v>
      </c>
      <c r="BN33" s="7188"/>
      <c r="BO33" s="4"/>
      <c r="BP33" s="7190" t="s">
        <v>8083</v>
      </c>
      <c r="BQ33" s="7190"/>
      <c r="BR33" s="2"/>
      <c r="BS33" s="7438" t="s">
        <v>1361</v>
      </c>
      <c r="BT33" s="7233"/>
      <c r="BU33" s="2"/>
      <c r="BV33" s="5510" t="s">
        <v>3525</v>
      </c>
      <c r="BW33" s="5501" t="s">
        <v>3525</v>
      </c>
      <c r="BX33" s="5511" t="s">
        <v>3667</v>
      </c>
      <c r="BY33" s="5512" t="s">
        <v>3667</v>
      </c>
      <c r="BZ33" s="5513" t="s">
        <v>3546</v>
      </c>
      <c r="CA33" s="5514" t="s">
        <v>3546</v>
      </c>
      <c r="CB33" s="5515" t="s">
        <v>3688</v>
      </c>
      <c r="CC33" s="5516" t="s">
        <v>3688</v>
      </c>
      <c r="CD33" s="2"/>
      <c r="CE33" s="5562" t="s">
        <v>3601</v>
      </c>
      <c r="CF33" s="5563" t="s">
        <v>3601</v>
      </c>
      <c r="CG33" s="5501" t="s">
        <v>3602</v>
      </c>
      <c r="CH33" s="5562" t="s">
        <v>3602</v>
      </c>
      <c r="CI33" s="5500">
        <v>153</v>
      </c>
      <c r="CJ33" s="2"/>
      <c r="CK33" s="5">
        <v>1</v>
      </c>
      <c r="CL33" s="1"/>
      <c r="CM33" s="1"/>
    </row>
    <row r="34" spans="1:91" s="187" customFormat="1" ht="21" customHeight="1">
      <c r="A34"/>
      <c r="B34" s="5120"/>
      <c r="C34" s="5121"/>
      <c r="D34" s="5121"/>
      <c r="E34" s="5121"/>
      <c r="F34" s="5121"/>
      <c r="G34" s="5122"/>
      <c r="H34" s="5122"/>
      <c r="I34" s="5122"/>
      <c r="J34" s="5122"/>
      <c r="K34" s="5122"/>
      <c r="L34" s="5122"/>
      <c r="M34" s="5122"/>
      <c r="N34" s="5122"/>
      <c r="O34" s="5122"/>
      <c r="P34" s="5122"/>
      <c r="Q34" s="5634"/>
      <c r="R34" s="5094" t="s">
        <v>1</v>
      </c>
      <c r="S34" s="5120"/>
      <c r="T34" s="5121"/>
      <c r="U34" s="5121"/>
      <c r="V34" s="5121"/>
      <c r="W34" s="5121"/>
      <c r="X34" s="5122"/>
      <c r="Y34" s="5122"/>
      <c r="Z34" s="5122"/>
      <c r="AA34" s="5122"/>
      <c r="AB34" s="5122"/>
      <c r="AC34" s="5122"/>
      <c r="AD34" s="5122"/>
      <c r="AE34" s="5122"/>
      <c r="AF34" s="5122"/>
      <c r="AG34" s="5122"/>
      <c r="AH34" s="5634"/>
      <c r="AI34" s="5094" t="s">
        <v>1</v>
      </c>
      <c r="AJ34" s="5120"/>
      <c r="AK34" s="5121"/>
      <c r="AL34" s="5121"/>
      <c r="AM34" s="5121"/>
      <c r="AN34" s="5121"/>
      <c r="AO34" s="5122"/>
      <c r="AP34" s="5122"/>
      <c r="AQ34" s="5122"/>
      <c r="AR34" s="5122"/>
      <c r="AS34" s="5122"/>
      <c r="AT34" s="5122"/>
      <c r="AU34" s="5122"/>
      <c r="AV34" s="5122"/>
      <c r="AW34" s="5122"/>
      <c r="AX34" s="5122"/>
      <c r="AY34" s="5634"/>
      <c r="AZ34" s="5094" t="s">
        <v>1</v>
      </c>
      <c r="BA34" s="7238"/>
      <c r="BB34" s="7238"/>
      <c r="BC34" s="2"/>
      <c r="BD34" s="6936"/>
      <c r="BE34" s="6936"/>
      <c r="BF34" s="2"/>
      <c r="BG34" s="7201"/>
      <c r="BH34" s="7201"/>
      <c r="BI34" s="2"/>
      <c r="BJ34" s="7203"/>
      <c r="BK34" s="7203"/>
      <c r="BL34" s="2"/>
      <c r="BM34" s="7189"/>
      <c r="BN34" s="7189"/>
      <c r="BO34" s="4"/>
      <c r="BP34" s="7191"/>
      <c r="BQ34" s="7191"/>
      <c r="BR34" s="2"/>
      <c r="BS34" s="2704" t="s">
        <v>1371</v>
      </c>
      <c r="BT34" s="5318"/>
      <c r="BU34" s="2"/>
      <c r="BV34" s="5500" t="s">
        <v>3535</v>
      </c>
      <c r="BW34" s="5519" t="s">
        <v>3535</v>
      </c>
      <c r="BX34" s="5520" t="s">
        <v>3677</v>
      </c>
      <c r="BY34" s="5521" t="s">
        <v>3677</v>
      </c>
      <c r="BZ34" s="5522" t="s">
        <v>3556</v>
      </c>
      <c r="CA34" s="5523" t="s">
        <v>3556</v>
      </c>
      <c r="CB34" s="5524" t="s">
        <v>3698</v>
      </c>
      <c r="CC34" s="5525" t="s">
        <v>3698</v>
      </c>
      <c r="CD34" s="2"/>
      <c r="CE34" s="5568" t="s">
        <v>3611</v>
      </c>
      <c r="CF34" s="5569" t="s">
        <v>3611</v>
      </c>
      <c r="CG34" s="5501" t="s">
        <v>3612</v>
      </c>
      <c r="CH34" s="5568" t="s">
        <v>3612</v>
      </c>
      <c r="CI34" s="5500">
        <v>255</v>
      </c>
      <c r="CJ34" s="2"/>
      <c r="CK34" s="5">
        <v>1</v>
      </c>
      <c r="CL34" s="1"/>
      <c r="CM34" s="1"/>
    </row>
    <row r="35" spans="1:91" s="187" customFormat="1" ht="21" customHeight="1" thickBot="1">
      <c r="A35"/>
      <c r="B35" s="5120"/>
      <c r="C35" s="5121"/>
      <c r="D35" s="5121"/>
      <c r="E35" s="5121"/>
      <c r="F35" s="5121"/>
      <c r="G35" s="5122"/>
      <c r="H35" s="5122"/>
      <c r="I35" s="5122"/>
      <c r="J35" s="5122"/>
      <c r="K35" s="5122"/>
      <c r="L35" s="5122"/>
      <c r="M35" s="5122"/>
      <c r="N35" s="5122"/>
      <c r="O35" s="5122"/>
      <c r="P35" s="5122"/>
      <c r="Q35" s="5634"/>
      <c r="R35" s="5094" t="s">
        <v>1</v>
      </c>
      <c r="S35" s="5120"/>
      <c r="T35" s="5121"/>
      <c r="U35" s="5121"/>
      <c r="V35" s="5121"/>
      <c r="W35" s="5121"/>
      <c r="X35" s="5122"/>
      <c r="Y35" s="5122"/>
      <c r="Z35" s="5122"/>
      <c r="AA35" s="5122"/>
      <c r="AB35" s="5122"/>
      <c r="AC35" s="5122"/>
      <c r="AD35" s="5122"/>
      <c r="AE35" s="5122"/>
      <c r="AF35" s="5122"/>
      <c r="AG35" s="5122"/>
      <c r="AH35" s="5634"/>
      <c r="AI35" s="5094" t="s">
        <v>1</v>
      </c>
      <c r="AJ35" s="5120"/>
      <c r="AK35" s="5121"/>
      <c r="AL35" s="5121"/>
      <c r="AM35" s="5121"/>
      <c r="AN35" s="5121"/>
      <c r="AO35" s="5122"/>
      <c r="AP35" s="5122"/>
      <c r="AQ35" s="5122"/>
      <c r="AR35" s="5122"/>
      <c r="AS35" s="5122"/>
      <c r="AT35" s="5122"/>
      <c r="AU35" s="5122"/>
      <c r="AV35" s="5122"/>
      <c r="AW35" s="5122"/>
      <c r="AX35" s="5122"/>
      <c r="AY35" s="5634"/>
      <c r="AZ35" s="5094" t="s">
        <v>1</v>
      </c>
      <c r="BA35" s="2"/>
      <c r="BB35" s="2"/>
      <c r="BC35" s="2"/>
      <c r="BD35" s="2"/>
      <c r="BE35" s="2"/>
      <c r="BF35" s="2"/>
      <c r="BG35" s="2"/>
      <c r="BH35" s="2"/>
      <c r="BI35" s="2"/>
      <c r="BJ35" s="2"/>
      <c r="BK35" s="2"/>
      <c r="BL35" s="2"/>
      <c r="BM35" s="2"/>
      <c r="BN35" s="2"/>
      <c r="BO35" s="4"/>
      <c r="BP35" s="2"/>
      <c r="BQ35" s="2"/>
      <c r="BR35" s="2"/>
      <c r="BS35" s="7438" t="s">
        <v>1372</v>
      </c>
      <c r="BT35" s="7233"/>
      <c r="BU35" s="2"/>
      <c r="BV35" s="5528" t="s">
        <v>3544</v>
      </c>
      <c r="BW35" s="5529" t="s">
        <v>3544</v>
      </c>
      <c r="BX35" s="5530" t="s">
        <v>3686</v>
      </c>
      <c r="BY35" s="5531" t="s">
        <v>3686</v>
      </c>
      <c r="BZ35" s="5532" t="s">
        <v>3565</v>
      </c>
      <c r="CA35" s="5533" t="s">
        <v>3565</v>
      </c>
      <c r="CB35" s="5534" t="s">
        <v>3707</v>
      </c>
      <c r="CC35" s="5535" t="s">
        <v>3707</v>
      </c>
      <c r="CD35" s="2"/>
      <c r="CE35" s="5574" t="s">
        <v>3621</v>
      </c>
      <c r="CF35" s="5575" t="s">
        <v>3621</v>
      </c>
      <c r="CG35" s="5501" t="s">
        <v>3622</v>
      </c>
      <c r="CH35" s="5574" t="s">
        <v>3622</v>
      </c>
      <c r="CI35" s="5500">
        <v>204</v>
      </c>
      <c r="CJ35" s="2"/>
      <c r="CK35" s="5">
        <v>1</v>
      </c>
      <c r="CL35" s="1"/>
      <c r="CM35" s="1"/>
    </row>
    <row r="36" spans="1:91" s="187" customFormat="1" ht="21" customHeight="1">
      <c r="A36"/>
      <c r="B36" s="5120"/>
      <c r="C36" s="5121"/>
      <c r="D36" s="5121"/>
      <c r="E36" s="5121"/>
      <c r="F36" s="5121"/>
      <c r="G36" s="5122"/>
      <c r="H36" s="5122"/>
      <c r="I36" s="5122"/>
      <c r="J36" s="5122"/>
      <c r="K36" s="5122"/>
      <c r="L36" s="5122"/>
      <c r="M36" s="5122"/>
      <c r="N36" s="5122"/>
      <c r="O36" s="5122"/>
      <c r="P36" s="5122"/>
      <c r="Q36" s="5634"/>
      <c r="R36" s="5094" t="s">
        <v>1</v>
      </c>
      <c r="S36" s="5120"/>
      <c r="T36" s="5121"/>
      <c r="U36" s="5121"/>
      <c r="V36" s="5121"/>
      <c r="W36" s="5121"/>
      <c r="X36" s="5122"/>
      <c r="Y36" s="5122"/>
      <c r="Z36" s="5122"/>
      <c r="AA36" s="5122"/>
      <c r="AB36" s="5122"/>
      <c r="AC36" s="5122"/>
      <c r="AD36" s="5122"/>
      <c r="AE36" s="5122"/>
      <c r="AF36" s="5122"/>
      <c r="AG36" s="5122"/>
      <c r="AH36" s="5634"/>
      <c r="AI36" s="5094" t="s">
        <v>1</v>
      </c>
      <c r="AJ36" s="5120"/>
      <c r="AK36" s="5121"/>
      <c r="AL36" s="5121"/>
      <c r="AM36" s="5121"/>
      <c r="AN36" s="5121"/>
      <c r="AO36" s="5122"/>
      <c r="AP36" s="5122"/>
      <c r="AQ36" s="5122"/>
      <c r="AR36" s="5122"/>
      <c r="AS36" s="5122"/>
      <c r="AT36" s="5122"/>
      <c r="AU36" s="5122"/>
      <c r="AV36" s="5122"/>
      <c r="AW36" s="5122"/>
      <c r="AX36" s="5122"/>
      <c r="AY36" s="5634"/>
      <c r="AZ36" s="5094" t="s">
        <v>1</v>
      </c>
      <c r="BA36" s="7234" t="s">
        <v>8084</v>
      </c>
      <c r="BB36" s="7234"/>
      <c r="BC36" s="2"/>
      <c r="BD36" s="6935" t="s">
        <v>8085</v>
      </c>
      <c r="BE36" s="6935"/>
      <c r="BF36" s="2"/>
      <c r="BG36" s="7200" t="s">
        <v>8086</v>
      </c>
      <c r="BH36" s="7200"/>
      <c r="BI36" s="2"/>
      <c r="BJ36" s="7202" t="s">
        <v>8087</v>
      </c>
      <c r="BK36" s="7202"/>
      <c r="BL36" s="2"/>
      <c r="BM36" s="7188" t="s">
        <v>8092</v>
      </c>
      <c r="BN36" s="7188"/>
      <c r="BO36" s="4"/>
      <c r="BP36" s="7190" t="s">
        <v>8093</v>
      </c>
      <c r="BQ36" s="7190"/>
      <c r="BR36" s="2"/>
      <c r="BS36" s="2704" t="s">
        <v>1373</v>
      </c>
      <c r="BT36" s="5318"/>
      <c r="BU36" s="2"/>
      <c r="BV36" s="5538" t="s">
        <v>3554</v>
      </c>
      <c r="BW36" s="5539" t="s">
        <v>3554</v>
      </c>
      <c r="BX36" s="5540" t="s">
        <v>3696</v>
      </c>
      <c r="BY36" s="5541" t="s">
        <v>3696</v>
      </c>
      <c r="BZ36" s="5542" t="s">
        <v>3574</v>
      </c>
      <c r="CA36" s="5543" t="s">
        <v>3574</v>
      </c>
      <c r="CB36" s="5544" t="s">
        <v>3717</v>
      </c>
      <c r="CC36" s="5545" t="s">
        <v>3717</v>
      </c>
      <c r="CD36" s="2"/>
      <c r="CE36" s="5581" t="s">
        <v>3631</v>
      </c>
      <c r="CF36" s="5582" t="s">
        <v>3631</v>
      </c>
      <c r="CG36" s="5501" t="s">
        <v>3632</v>
      </c>
      <c r="CH36" s="5581" t="s">
        <v>3632</v>
      </c>
      <c r="CI36" s="5500">
        <v>255</v>
      </c>
      <c r="CJ36" s="2"/>
      <c r="CK36" s="5">
        <v>1</v>
      </c>
      <c r="CL36" s="1"/>
      <c r="CM36" s="1"/>
    </row>
    <row r="37" spans="1:91" s="187" customFormat="1" ht="21" customHeight="1">
      <c r="A37"/>
      <c r="B37" s="5120"/>
      <c r="C37" s="5121"/>
      <c r="D37" s="5121"/>
      <c r="E37" s="5121"/>
      <c r="F37" s="5121"/>
      <c r="G37" s="5122"/>
      <c r="H37" s="5122"/>
      <c r="I37" s="5122"/>
      <c r="J37" s="5122"/>
      <c r="K37" s="5122"/>
      <c r="L37" s="5122"/>
      <c r="M37" s="5122"/>
      <c r="N37" s="5122"/>
      <c r="O37" s="5122"/>
      <c r="P37" s="5122"/>
      <c r="Q37" s="5634"/>
      <c r="R37" s="5094" t="s">
        <v>1</v>
      </c>
      <c r="S37" s="5120"/>
      <c r="T37" s="5121"/>
      <c r="U37" s="5121"/>
      <c r="V37" s="5121"/>
      <c r="W37" s="5121"/>
      <c r="X37" s="5122"/>
      <c r="Y37" s="5122"/>
      <c r="Z37" s="5122"/>
      <c r="AA37" s="5122"/>
      <c r="AB37" s="5122"/>
      <c r="AC37" s="5122"/>
      <c r="AD37" s="5122"/>
      <c r="AE37" s="5122"/>
      <c r="AF37" s="5122"/>
      <c r="AG37" s="5122"/>
      <c r="AH37" s="5634"/>
      <c r="AI37" s="5094" t="s">
        <v>1</v>
      </c>
      <c r="AJ37" s="5120"/>
      <c r="AK37" s="5121"/>
      <c r="AL37" s="5121"/>
      <c r="AM37" s="5121"/>
      <c r="AN37" s="5121"/>
      <c r="AO37" s="5122"/>
      <c r="AP37" s="5122"/>
      <c r="AQ37" s="5122"/>
      <c r="AR37" s="5122"/>
      <c r="AS37" s="5122"/>
      <c r="AT37" s="5122"/>
      <c r="AU37" s="5122"/>
      <c r="AV37" s="5122"/>
      <c r="AW37" s="5122"/>
      <c r="AX37" s="5122"/>
      <c r="AY37" s="5634"/>
      <c r="AZ37" s="5094" t="s">
        <v>1</v>
      </c>
      <c r="BA37" s="7235"/>
      <c r="BB37" s="7235"/>
      <c r="BC37" s="2"/>
      <c r="BD37" s="6936"/>
      <c r="BE37" s="6936"/>
      <c r="BF37" s="2"/>
      <c r="BG37" s="7201"/>
      <c r="BH37" s="7201"/>
      <c r="BI37" s="2"/>
      <c r="BJ37" s="7203"/>
      <c r="BK37" s="7203"/>
      <c r="BL37" s="2"/>
      <c r="BM37" s="7189"/>
      <c r="BN37" s="7189"/>
      <c r="BO37" s="4"/>
      <c r="BP37" s="7191"/>
      <c r="BQ37" s="7191"/>
      <c r="BR37" s="2"/>
      <c r="BS37" s="2704" t="s">
        <v>1383</v>
      </c>
      <c r="BT37" s="5318"/>
      <c r="BU37" s="2"/>
      <c r="BV37" s="5548" t="s">
        <v>3564</v>
      </c>
      <c r="BW37" s="5523" t="s">
        <v>3564</v>
      </c>
      <c r="BX37" s="5542" t="s">
        <v>3706</v>
      </c>
      <c r="BY37" s="5543" t="s">
        <v>3706</v>
      </c>
      <c r="BZ37" s="5549" t="s">
        <v>3583</v>
      </c>
      <c r="CA37" s="5550" t="s">
        <v>3583</v>
      </c>
      <c r="CB37" s="5551" t="s">
        <v>3727</v>
      </c>
      <c r="CC37" s="5552" t="s">
        <v>3727</v>
      </c>
      <c r="CD37" s="2"/>
      <c r="CE37" s="5585" t="s">
        <v>3640</v>
      </c>
      <c r="CF37" s="5586" t="s">
        <v>3640</v>
      </c>
      <c r="CG37" s="5501" t="s">
        <v>3641</v>
      </c>
      <c r="CH37" s="5585" t="s">
        <v>3641</v>
      </c>
      <c r="CI37" s="5500">
        <v>51</v>
      </c>
      <c r="CJ37" s="2"/>
      <c r="CK37" s="5">
        <v>1</v>
      </c>
      <c r="CL37" s="1"/>
      <c r="CM37" s="1"/>
    </row>
    <row r="38" spans="1:91" s="187" customFormat="1" ht="21" customHeight="1" thickBot="1">
      <c r="A38"/>
      <c r="B38" s="5120"/>
      <c r="C38" s="5121"/>
      <c r="D38" s="5121"/>
      <c r="E38" s="5121"/>
      <c r="F38" s="5121"/>
      <c r="G38" s="5122"/>
      <c r="H38" s="5122"/>
      <c r="I38" s="5122"/>
      <c r="J38" s="5122"/>
      <c r="K38" s="5122"/>
      <c r="L38" s="5122"/>
      <c r="M38" s="5122"/>
      <c r="N38" s="5122"/>
      <c r="O38" s="5122"/>
      <c r="P38" s="5122"/>
      <c r="Q38" s="5634"/>
      <c r="R38" s="5094" t="s">
        <v>1</v>
      </c>
      <c r="S38" s="5120"/>
      <c r="T38" s="5121"/>
      <c r="U38" s="5121"/>
      <c r="V38" s="5121"/>
      <c r="W38" s="5121"/>
      <c r="X38" s="5122"/>
      <c r="Y38" s="5122"/>
      <c r="Z38" s="5122"/>
      <c r="AA38" s="5122"/>
      <c r="AB38" s="5122"/>
      <c r="AC38" s="5122"/>
      <c r="AD38" s="5122"/>
      <c r="AE38" s="5122"/>
      <c r="AF38" s="5122"/>
      <c r="AG38" s="5122"/>
      <c r="AH38" s="5634"/>
      <c r="AI38" s="5094" t="s">
        <v>1</v>
      </c>
      <c r="AJ38" s="5120"/>
      <c r="AK38" s="5121"/>
      <c r="AL38" s="5121"/>
      <c r="AM38" s="5121"/>
      <c r="AN38" s="5121"/>
      <c r="AO38" s="5122"/>
      <c r="AP38" s="5122"/>
      <c r="AQ38" s="5122"/>
      <c r="AR38" s="5122"/>
      <c r="AS38" s="5122"/>
      <c r="AT38" s="5122"/>
      <c r="AU38" s="5122"/>
      <c r="AV38" s="5122"/>
      <c r="AW38" s="5122"/>
      <c r="AX38" s="5122"/>
      <c r="AY38" s="5634"/>
      <c r="AZ38" s="5094" t="s">
        <v>1</v>
      </c>
      <c r="BA38" s="2"/>
      <c r="BB38" s="2"/>
      <c r="BC38" s="2"/>
      <c r="BD38" s="2"/>
      <c r="BE38" s="2"/>
      <c r="BF38" s="2"/>
      <c r="BG38" s="2"/>
      <c r="BH38" s="2"/>
      <c r="BI38" s="2"/>
      <c r="BJ38" s="2"/>
      <c r="BK38" s="2"/>
      <c r="BL38" s="2"/>
      <c r="BM38" s="2"/>
      <c r="BN38" s="2"/>
      <c r="BO38" s="4"/>
      <c r="BP38" s="2"/>
      <c r="BQ38" s="2"/>
      <c r="BR38" s="2"/>
      <c r="BS38" s="7438" t="s">
        <v>1384</v>
      </c>
      <c r="BT38" s="7233"/>
      <c r="BU38" s="2"/>
      <c r="BV38" s="5526" t="s">
        <v>3573</v>
      </c>
      <c r="BW38" s="5527" t="s">
        <v>3573</v>
      </c>
      <c r="BX38" s="5554" t="s">
        <v>3715</v>
      </c>
      <c r="BY38" s="5555" t="s">
        <v>3715</v>
      </c>
      <c r="BZ38" s="5556" t="s">
        <v>3592</v>
      </c>
      <c r="CA38" s="5557" t="s">
        <v>3592</v>
      </c>
      <c r="CB38" s="5558" t="s">
        <v>7813</v>
      </c>
      <c r="CC38" s="5559" t="s">
        <v>7813</v>
      </c>
      <c r="CD38" s="2"/>
      <c r="CE38" s="5591" t="s">
        <v>3649</v>
      </c>
      <c r="CF38" s="5592" t="s">
        <v>3649</v>
      </c>
      <c r="CG38" s="5501" t="s">
        <v>3650</v>
      </c>
      <c r="CH38" s="5591" t="s">
        <v>3650</v>
      </c>
      <c r="CI38" s="5500">
        <v>51</v>
      </c>
      <c r="CJ38" s="2"/>
      <c r="CK38" s="5">
        <v>1</v>
      </c>
      <c r="CL38" s="1"/>
      <c r="CM38" s="1"/>
    </row>
    <row r="39" spans="1:91" s="187" customFormat="1" ht="21" customHeight="1">
      <c r="A39"/>
      <c r="B39" s="5120"/>
      <c r="C39" s="5121"/>
      <c r="D39" s="5121"/>
      <c r="E39" s="5121"/>
      <c r="F39" s="5121"/>
      <c r="G39" s="5122"/>
      <c r="H39" s="5122"/>
      <c r="I39" s="5122"/>
      <c r="J39" s="5122"/>
      <c r="K39" s="5122"/>
      <c r="L39" s="5122"/>
      <c r="M39" s="5122"/>
      <c r="N39" s="5122"/>
      <c r="O39" s="5122"/>
      <c r="P39" s="5122"/>
      <c r="Q39" s="5634"/>
      <c r="R39" s="5094" t="s">
        <v>1</v>
      </c>
      <c r="S39" s="5120"/>
      <c r="T39" s="5121"/>
      <c r="U39" s="5121"/>
      <c r="V39" s="5121"/>
      <c r="W39" s="5121"/>
      <c r="X39" s="5122"/>
      <c r="Y39" s="5122"/>
      <c r="Z39" s="5122"/>
      <c r="AA39" s="5122"/>
      <c r="AB39" s="5122"/>
      <c r="AC39" s="5122"/>
      <c r="AD39" s="5122"/>
      <c r="AE39" s="5122"/>
      <c r="AF39" s="5122"/>
      <c r="AG39" s="5122"/>
      <c r="AH39" s="5634"/>
      <c r="AI39" s="5094" t="s">
        <v>1</v>
      </c>
      <c r="AJ39" s="5120"/>
      <c r="AK39" s="5121"/>
      <c r="AL39" s="5121"/>
      <c r="AM39" s="5121"/>
      <c r="AN39" s="5121"/>
      <c r="AO39" s="5122"/>
      <c r="AP39" s="5122"/>
      <c r="AQ39" s="5122"/>
      <c r="AR39" s="5122"/>
      <c r="AS39" s="5122"/>
      <c r="AT39" s="5122"/>
      <c r="AU39" s="5122"/>
      <c r="AV39" s="5122"/>
      <c r="AW39" s="5122"/>
      <c r="AX39" s="5122"/>
      <c r="AY39" s="5634"/>
      <c r="AZ39" s="5094" t="s">
        <v>1</v>
      </c>
      <c r="BA39" s="7247" t="s">
        <v>8094</v>
      </c>
      <c r="BB39" s="7247"/>
      <c r="BC39" s="2"/>
      <c r="BD39" s="6935" t="s">
        <v>8031</v>
      </c>
      <c r="BE39" s="6935"/>
      <c r="BF39" s="2"/>
      <c r="BG39" s="7200" t="s">
        <v>8095</v>
      </c>
      <c r="BH39" s="7200"/>
      <c r="BI39" s="2"/>
      <c r="BJ39" s="7202" t="s">
        <v>8096</v>
      </c>
      <c r="BK39" s="7202"/>
      <c r="BL39" s="2"/>
      <c r="BM39" s="7188" t="s">
        <v>8102</v>
      </c>
      <c r="BN39" s="7188"/>
      <c r="BO39" s="4"/>
      <c r="BP39" s="7190" t="s">
        <v>8103</v>
      </c>
      <c r="BQ39" s="7190"/>
      <c r="BR39" s="2"/>
      <c r="BS39" s="2704" t="s">
        <v>1385</v>
      </c>
      <c r="BT39" s="5318"/>
      <c r="BU39" s="2"/>
      <c r="BV39" s="5517" t="s">
        <v>3581</v>
      </c>
      <c r="BW39" s="5518" t="s">
        <v>3581</v>
      </c>
      <c r="BX39" s="5560" t="s">
        <v>3725</v>
      </c>
      <c r="BY39" s="5561" t="s">
        <v>3725</v>
      </c>
      <c r="BZ39" s="5562" t="s">
        <v>3601</v>
      </c>
      <c r="CA39" s="5563" t="s">
        <v>3601</v>
      </c>
      <c r="CB39" s="5564" t="s">
        <v>3737</v>
      </c>
      <c r="CC39" s="5565" t="s">
        <v>3737</v>
      </c>
      <c r="CD39" s="2"/>
      <c r="CE39" s="5593" t="s">
        <v>3659</v>
      </c>
      <c r="CF39" s="5594" t="s">
        <v>3659</v>
      </c>
      <c r="CG39" s="5501" t="s">
        <v>3660</v>
      </c>
      <c r="CH39" s="5593" t="s">
        <v>3660</v>
      </c>
      <c r="CI39" s="5500">
        <v>153</v>
      </c>
      <c r="CJ39" s="2"/>
      <c r="CK39" s="5">
        <v>1</v>
      </c>
      <c r="CL39" s="1"/>
      <c r="CM39" s="1"/>
    </row>
    <row r="40" spans="1:91" s="187" customFormat="1" ht="21" customHeight="1">
      <c r="A40"/>
      <c r="B40" s="5120"/>
      <c r="C40" s="5121"/>
      <c r="D40" s="5121"/>
      <c r="E40" s="5121"/>
      <c r="F40" s="5121"/>
      <c r="G40" s="5122"/>
      <c r="H40" s="5122"/>
      <c r="I40" s="5122"/>
      <c r="J40" s="5122"/>
      <c r="K40" s="5122"/>
      <c r="L40" s="5122"/>
      <c r="M40" s="5122"/>
      <c r="N40" s="5122"/>
      <c r="O40" s="5122"/>
      <c r="P40" s="5122"/>
      <c r="Q40" s="5634"/>
      <c r="R40" s="5094" t="s">
        <v>1</v>
      </c>
      <c r="S40" s="5120"/>
      <c r="T40" s="5121"/>
      <c r="U40" s="5121"/>
      <c r="V40" s="5121"/>
      <c r="W40" s="5121"/>
      <c r="X40" s="5122"/>
      <c r="Y40" s="5122"/>
      <c r="Z40" s="5122"/>
      <c r="AA40" s="5122"/>
      <c r="AB40" s="5122"/>
      <c r="AC40" s="5122"/>
      <c r="AD40" s="5122"/>
      <c r="AE40" s="5122"/>
      <c r="AF40" s="5122"/>
      <c r="AG40" s="5122"/>
      <c r="AH40" s="5634"/>
      <c r="AI40" s="5094" t="s">
        <v>1</v>
      </c>
      <c r="AJ40" s="5120"/>
      <c r="AK40" s="5121"/>
      <c r="AL40" s="5121"/>
      <c r="AM40" s="5121"/>
      <c r="AN40" s="5121"/>
      <c r="AO40" s="5122"/>
      <c r="AP40" s="5122"/>
      <c r="AQ40" s="5122"/>
      <c r="AR40" s="5122"/>
      <c r="AS40" s="5122"/>
      <c r="AT40" s="5122"/>
      <c r="AU40" s="5122"/>
      <c r="AV40" s="5122"/>
      <c r="AW40" s="5122"/>
      <c r="AX40" s="5122"/>
      <c r="AY40" s="5634"/>
      <c r="AZ40" s="5094" t="s">
        <v>1</v>
      </c>
      <c r="BA40" s="7248"/>
      <c r="BB40" s="7248"/>
      <c r="BC40" s="2"/>
      <c r="BD40" s="6936"/>
      <c r="BE40" s="6936"/>
      <c r="BF40" s="2"/>
      <c r="BG40" s="7201"/>
      <c r="BH40" s="7201"/>
      <c r="BI40" s="2"/>
      <c r="BJ40" s="7203"/>
      <c r="BK40" s="7203"/>
      <c r="BL40" s="2"/>
      <c r="BM40" s="7189"/>
      <c r="BN40" s="7189"/>
      <c r="BO40" s="4"/>
      <c r="BP40" s="7191"/>
      <c r="BQ40" s="7191"/>
      <c r="BR40" s="2"/>
      <c r="BS40" s="7438" t="s">
        <v>1396</v>
      </c>
      <c r="BT40" s="7233"/>
      <c r="BU40" s="2"/>
      <c r="BV40" s="5536" t="s">
        <v>3590</v>
      </c>
      <c r="BW40" s="5537" t="s">
        <v>3590</v>
      </c>
      <c r="BX40" s="5566" t="s">
        <v>3735</v>
      </c>
      <c r="BY40" s="5567" t="s">
        <v>3735</v>
      </c>
      <c r="BZ40" s="5568" t="s">
        <v>3611</v>
      </c>
      <c r="CA40" s="5569" t="s">
        <v>3611</v>
      </c>
      <c r="CB40" s="5570" t="s">
        <v>3747</v>
      </c>
      <c r="CC40" s="5571" t="s">
        <v>3747</v>
      </c>
      <c r="CD40" s="2"/>
      <c r="CE40" s="5595" t="s">
        <v>3669</v>
      </c>
      <c r="CF40" s="5596" t="s">
        <v>3669</v>
      </c>
      <c r="CG40" s="5501" t="s">
        <v>3670</v>
      </c>
      <c r="CH40" s="5595" t="s">
        <v>3670</v>
      </c>
      <c r="CI40" s="5500">
        <v>255</v>
      </c>
      <c r="CJ40" s="2"/>
      <c r="CK40" s="5">
        <v>1</v>
      </c>
      <c r="CL40" s="1"/>
      <c r="CM40" s="1"/>
    </row>
    <row r="41" spans="1:91" s="187" customFormat="1" ht="21" customHeight="1" thickBot="1">
      <c r="A41"/>
      <c r="B41" s="5120"/>
      <c r="C41" s="5121"/>
      <c r="D41" s="5121"/>
      <c r="E41" s="5121"/>
      <c r="F41" s="5121"/>
      <c r="G41" s="5122"/>
      <c r="H41" s="5122"/>
      <c r="I41" s="5122"/>
      <c r="J41" s="5122"/>
      <c r="K41" s="5122"/>
      <c r="L41" s="5122"/>
      <c r="M41" s="5122"/>
      <c r="N41" s="5122"/>
      <c r="O41" s="5122"/>
      <c r="P41" s="5122"/>
      <c r="Q41" s="5634"/>
      <c r="R41" s="5094" t="s">
        <v>1</v>
      </c>
      <c r="S41" s="5120"/>
      <c r="T41" s="5121"/>
      <c r="U41" s="5121"/>
      <c r="V41" s="5121"/>
      <c r="W41" s="5121"/>
      <c r="X41" s="5122"/>
      <c r="Y41" s="5122"/>
      <c r="Z41" s="5122"/>
      <c r="AA41" s="5122"/>
      <c r="AB41" s="5122"/>
      <c r="AC41" s="5122"/>
      <c r="AD41" s="5122"/>
      <c r="AE41" s="5122"/>
      <c r="AF41" s="5122"/>
      <c r="AG41" s="5122"/>
      <c r="AH41" s="5634"/>
      <c r="AI41" s="5094" t="s">
        <v>1</v>
      </c>
      <c r="AJ41" s="5120"/>
      <c r="AK41" s="5121"/>
      <c r="AL41" s="5121"/>
      <c r="AM41" s="5121"/>
      <c r="AN41" s="5121"/>
      <c r="AO41" s="5122"/>
      <c r="AP41" s="5122"/>
      <c r="AQ41" s="5122"/>
      <c r="AR41" s="5122"/>
      <c r="AS41" s="5122"/>
      <c r="AT41" s="5122"/>
      <c r="AU41" s="5122"/>
      <c r="AV41" s="5122"/>
      <c r="AW41" s="5122"/>
      <c r="AX41" s="5122"/>
      <c r="AY41" s="5634"/>
      <c r="AZ41" s="5094" t="s">
        <v>1</v>
      </c>
      <c r="BA41" s="2"/>
      <c r="BB41" s="2"/>
      <c r="BC41" s="2"/>
      <c r="BD41" s="2"/>
      <c r="BE41" s="2"/>
      <c r="BF41" s="2"/>
      <c r="BG41" s="2"/>
      <c r="BH41" s="2"/>
      <c r="BI41" s="2"/>
      <c r="BJ41" s="2"/>
      <c r="BK41" s="2"/>
      <c r="BL41" s="2"/>
      <c r="BM41" s="2"/>
      <c r="BN41" s="2"/>
      <c r="BO41" s="4"/>
      <c r="BP41" s="2"/>
      <c r="BQ41" s="2"/>
      <c r="BR41" s="2"/>
      <c r="BS41" s="7245" t="s">
        <v>1397</v>
      </c>
      <c r="BT41" s="7246"/>
      <c r="BU41" s="2"/>
      <c r="BV41" s="5504" t="s">
        <v>3599</v>
      </c>
      <c r="BW41" s="5505" t="s">
        <v>3599</v>
      </c>
      <c r="BX41" s="5572" t="s">
        <v>3745</v>
      </c>
      <c r="BY41" s="5573" t="s">
        <v>3745</v>
      </c>
      <c r="BZ41" s="5574" t="s">
        <v>3621</v>
      </c>
      <c r="CA41" s="5575" t="s">
        <v>3621</v>
      </c>
      <c r="CB41" s="5530" t="s">
        <v>3756</v>
      </c>
      <c r="CC41" s="5531" t="s">
        <v>3756</v>
      </c>
      <c r="CD41" s="2"/>
      <c r="CE41" s="5506" t="s">
        <v>3679</v>
      </c>
      <c r="CF41" s="5507" t="s">
        <v>3679</v>
      </c>
      <c r="CG41" s="5501" t="s">
        <v>3680</v>
      </c>
      <c r="CH41" s="5506" t="s">
        <v>3680</v>
      </c>
      <c r="CI41" s="5500">
        <v>255</v>
      </c>
      <c r="CJ41" s="2"/>
      <c r="CK41" s="5">
        <v>1</v>
      </c>
      <c r="CL41" s="1"/>
      <c r="CM41" s="1"/>
    </row>
    <row r="42" spans="1:91" s="187" customFormat="1" ht="21" customHeight="1" thickBot="1">
      <c r="A42"/>
      <c r="B42" s="5120"/>
      <c r="C42" s="5121"/>
      <c r="D42" s="5121"/>
      <c r="E42" s="5121"/>
      <c r="F42" s="5121"/>
      <c r="G42" s="5122"/>
      <c r="H42" s="5122"/>
      <c r="I42" s="5122"/>
      <c r="J42" s="5122"/>
      <c r="K42" s="5122"/>
      <c r="L42" s="5122"/>
      <c r="M42" s="5122"/>
      <c r="N42" s="5122"/>
      <c r="O42" s="5122"/>
      <c r="P42" s="5122"/>
      <c r="Q42" s="5634"/>
      <c r="R42" s="5094" t="s">
        <v>1</v>
      </c>
      <c r="S42" s="5120"/>
      <c r="T42" s="5121"/>
      <c r="U42" s="5121"/>
      <c r="V42" s="5121"/>
      <c r="W42" s="5121"/>
      <c r="X42" s="5122"/>
      <c r="Y42" s="5122"/>
      <c r="Z42" s="5122"/>
      <c r="AA42" s="5122"/>
      <c r="AB42" s="5122"/>
      <c r="AC42" s="5122"/>
      <c r="AD42" s="5122"/>
      <c r="AE42" s="5122"/>
      <c r="AF42" s="5122"/>
      <c r="AG42" s="5122"/>
      <c r="AH42" s="5634"/>
      <c r="AI42" s="5094" t="s">
        <v>1</v>
      </c>
      <c r="AJ42" s="5120"/>
      <c r="AK42" s="5121"/>
      <c r="AL42" s="5121"/>
      <c r="AM42" s="5121"/>
      <c r="AN42" s="5121"/>
      <c r="AO42" s="5122"/>
      <c r="AP42" s="5122"/>
      <c r="AQ42" s="5122"/>
      <c r="AR42" s="5122"/>
      <c r="AS42" s="5122"/>
      <c r="AT42" s="5122"/>
      <c r="AU42" s="5122"/>
      <c r="AV42" s="5122"/>
      <c r="AW42" s="5122"/>
      <c r="AX42" s="5122"/>
      <c r="AY42" s="5634"/>
      <c r="AZ42" s="5094" t="s">
        <v>1</v>
      </c>
      <c r="BA42" s="7241" t="s">
        <v>8104</v>
      </c>
      <c r="BB42" s="7241"/>
      <c r="BC42" s="2"/>
      <c r="BD42" s="6935" t="s">
        <v>8105</v>
      </c>
      <c r="BE42" s="6935"/>
      <c r="BF42" s="2"/>
      <c r="BG42" s="7200" t="s">
        <v>8106</v>
      </c>
      <c r="BH42" s="7200"/>
      <c r="BI42" s="2"/>
      <c r="BJ42" s="7202" t="s">
        <v>8107</v>
      </c>
      <c r="BK42" s="7202"/>
      <c r="BL42" s="2"/>
      <c r="BM42" s="7188" t="s">
        <v>8113</v>
      </c>
      <c r="BN42" s="7188"/>
      <c r="BO42" s="4"/>
      <c r="BP42" s="7190" t="s">
        <v>8114</v>
      </c>
      <c r="BQ42" s="7190"/>
      <c r="BR42" s="2"/>
      <c r="BS42" s="5577">
        <v>12</v>
      </c>
      <c r="BT42" s="5578">
        <v>12</v>
      </c>
      <c r="BU42" s="2"/>
      <c r="BV42" s="5579" t="s">
        <v>3609</v>
      </c>
      <c r="BW42" s="5580" t="s">
        <v>3609</v>
      </c>
      <c r="BX42" s="5508" t="s">
        <v>3755</v>
      </c>
      <c r="BY42" s="5509" t="s">
        <v>3755</v>
      </c>
      <c r="BZ42" s="5581" t="s">
        <v>3631</v>
      </c>
      <c r="CA42" s="5582" t="s">
        <v>3631</v>
      </c>
      <c r="CB42" s="5583" t="s">
        <v>3765</v>
      </c>
      <c r="CC42" s="5584" t="s">
        <v>3765</v>
      </c>
      <c r="CD42" s="2"/>
      <c r="CE42" s="5515" t="s">
        <v>3688</v>
      </c>
      <c r="CF42" s="5516" t="s">
        <v>3688</v>
      </c>
      <c r="CG42" s="5501" t="s">
        <v>3689</v>
      </c>
      <c r="CH42" s="5515" t="s">
        <v>3689</v>
      </c>
      <c r="CI42" s="5500">
        <v>255</v>
      </c>
      <c r="CJ42" s="2"/>
      <c r="CK42" s="5">
        <v>1</v>
      </c>
      <c r="CL42" s="1"/>
      <c r="CM42" s="1"/>
    </row>
    <row r="43" spans="1:91" s="187" customFormat="1" ht="21" customHeight="1">
      <c r="A43"/>
      <c r="B43" s="5120"/>
      <c r="C43" s="5121"/>
      <c r="D43" s="5121"/>
      <c r="E43" s="5121"/>
      <c r="F43" s="5121"/>
      <c r="G43" s="5122"/>
      <c r="H43" s="5122"/>
      <c r="I43" s="5122"/>
      <c r="J43" s="5122"/>
      <c r="K43" s="5122"/>
      <c r="L43" s="5122"/>
      <c r="M43" s="5122"/>
      <c r="N43" s="5122"/>
      <c r="O43" s="5122"/>
      <c r="P43" s="5122"/>
      <c r="Q43" s="5634"/>
      <c r="R43" s="5094" t="s">
        <v>1</v>
      </c>
      <c r="S43" s="5120"/>
      <c r="T43" s="5121"/>
      <c r="U43" s="5121"/>
      <c r="V43" s="5121"/>
      <c r="W43" s="5121"/>
      <c r="X43" s="5122"/>
      <c r="Y43" s="5122"/>
      <c r="Z43" s="5122"/>
      <c r="AA43" s="5122"/>
      <c r="AB43" s="5122"/>
      <c r="AC43" s="5122"/>
      <c r="AD43" s="5122"/>
      <c r="AE43" s="5122"/>
      <c r="AF43" s="5122"/>
      <c r="AG43" s="5122"/>
      <c r="AH43" s="5634"/>
      <c r="AI43" s="5094" t="s">
        <v>1</v>
      </c>
      <c r="AJ43" s="5120"/>
      <c r="AK43" s="5121"/>
      <c r="AL43" s="5121"/>
      <c r="AM43" s="5121"/>
      <c r="AN43" s="5121"/>
      <c r="AO43" s="5122"/>
      <c r="AP43" s="5122"/>
      <c r="AQ43" s="5122"/>
      <c r="AR43" s="5122"/>
      <c r="AS43" s="5122"/>
      <c r="AT43" s="5122"/>
      <c r="AU43" s="5122"/>
      <c r="AV43" s="5122"/>
      <c r="AW43" s="5122"/>
      <c r="AX43" s="5122"/>
      <c r="AY43" s="5634"/>
      <c r="AZ43" s="5094" t="s">
        <v>1</v>
      </c>
      <c r="BA43" s="7242"/>
      <c r="BB43" s="7242"/>
      <c r="BC43" s="2"/>
      <c r="BD43" s="6936"/>
      <c r="BE43" s="6936"/>
      <c r="BF43" s="2"/>
      <c r="BG43" s="7201"/>
      <c r="BH43" s="7201"/>
      <c r="BI43" s="2"/>
      <c r="BJ43" s="7203"/>
      <c r="BK43" s="7203"/>
      <c r="BL43" s="2"/>
      <c r="BM43" s="7189"/>
      <c r="BN43" s="7189"/>
      <c r="BO43" s="4"/>
      <c r="BP43" s="7191"/>
      <c r="BQ43" s="7191"/>
      <c r="BR43" s="2"/>
      <c r="BS43" s="2"/>
      <c r="BT43" s="2"/>
      <c r="BU43" s="2"/>
      <c r="BV43" s="5508" t="s">
        <v>3619</v>
      </c>
      <c r="BW43" s="5509" t="s">
        <v>3619</v>
      </c>
      <c r="BX43" s="5517" t="s">
        <v>3763</v>
      </c>
      <c r="BY43" s="5518" t="s">
        <v>3763</v>
      </c>
      <c r="BZ43" s="5585" t="s">
        <v>3640</v>
      </c>
      <c r="CA43" s="5586" t="s">
        <v>3640</v>
      </c>
      <c r="CB43" s="5587" t="s">
        <v>3775</v>
      </c>
      <c r="CC43" s="5588" t="s">
        <v>3775</v>
      </c>
      <c r="CD43" s="2"/>
      <c r="CE43" s="5524" t="s">
        <v>3698</v>
      </c>
      <c r="CF43" s="5525" t="s">
        <v>3698</v>
      </c>
      <c r="CG43" s="5501" t="s">
        <v>3699</v>
      </c>
      <c r="CH43" s="5524" t="s">
        <v>3699</v>
      </c>
      <c r="CI43" s="5500">
        <v>102</v>
      </c>
      <c r="CJ43" s="2"/>
      <c r="CK43" s="5">
        <v>1</v>
      </c>
      <c r="CL43" s="1"/>
      <c r="CM43" s="1"/>
    </row>
    <row r="44" spans="1:91" s="187" customFormat="1" ht="21" customHeight="1" thickBot="1">
      <c r="A44"/>
      <c r="B44" s="5120"/>
      <c r="C44" s="5121"/>
      <c r="D44" s="5121"/>
      <c r="E44" s="5121"/>
      <c r="F44" s="5121"/>
      <c r="G44" s="5122"/>
      <c r="H44" s="5122"/>
      <c r="I44" s="5122"/>
      <c r="J44" s="5122"/>
      <c r="K44" s="5122"/>
      <c r="L44" s="5122"/>
      <c r="M44" s="5122"/>
      <c r="N44" s="5122"/>
      <c r="O44" s="5122"/>
      <c r="P44" s="5122"/>
      <c r="Q44" s="5634"/>
      <c r="R44" s="5094" t="s">
        <v>1</v>
      </c>
      <c r="S44" s="5120"/>
      <c r="T44" s="5121"/>
      <c r="U44" s="5121"/>
      <c r="V44" s="5121"/>
      <c r="W44" s="5121"/>
      <c r="X44" s="5122"/>
      <c r="Y44" s="5122"/>
      <c r="Z44" s="5122"/>
      <c r="AA44" s="5122"/>
      <c r="AB44" s="5122"/>
      <c r="AC44" s="5122"/>
      <c r="AD44" s="5122"/>
      <c r="AE44" s="5122"/>
      <c r="AF44" s="5122"/>
      <c r="AG44" s="5122"/>
      <c r="AH44" s="5634"/>
      <c r="AI44" s="5094" t="s">
        <v>1</v>
      </c>
      <c r="AJ44" s="5120"/>
      <c r="AK44" s="5121"/>
      <c r="AL44" s="5121"/>
      <c r="AM44" s="5121"/>
      <c r="AN44" s="5121"/>
      <c r="AO44" s="5122"/>
      <c r="AP44" s="5122"/>
      <c r="AQ44" s="5122"/>
      <c r="AR44" s="5122"/>
      <c r="AS44" s="5122"/>
      <c r="AT44" s="5122"/>
      <c r="AU44" s="5122"/>
      <c r="AV44" s="5122"/>
      <c r="AW44" s="5122"/>
      <c r="AX44" s="5122"/>
      <c r="AY44" s="5634"/>
      <c r="AZ44" s="5094" t="s">
        <v>1</v>
      </c>
      <c r="BA44" s="2"/>
      <c r="BB44" s="2"/>
      <c r="BC44" s="2"/>
      <c r="BD44" s="2"/>
      <c r="BE44" s="2"/>
      <c r="BF44" s="2"/>
      <c r="BG44" s="2"/>
      <c r="BH44" s="2"/>
      <c r="BI44" s="2"/>
      <c r="BJ44" s="2"/>
      <c r="BK44" s="2"/>
      <c r="BL44" s="2"/>
      <c r="BM44" s="2"/>
      <c r="BN44" s="2"/>
      <c r="BO44" s="4"/>
      <c r="BP44" s="2"/>
      <c r="BQ44" s="2"/>
      <c r="BR44" s="2"/>
      <c r="BS44" s="2"/>
      <c r="BT44" s="2"/>
      <c r="BU44" s="2"/>
      <c r="BV44" s="5589" t="s">
        <v>3629</v>
      </c>
      <c r="BW44" s="5590" t="s">
        <v>3629</v>
      </c>
      <c r="BX44" s="5526" t="s">
        <v>3773</v>
      </c>
      <c r="BY44" s="5527" t="s">
        <v>3773</v>
      </c>
      <c r="BZ44" s="5591" t="s">
        <v>3649</v>
      </c>
      <c r="CA44" s="5592" t="s">
        <v>3649</v>
      </c>
      <c r="CB44" s="5500">
        <v>1</v>
      </c>
      <c r="CC44" s="5500">
        <v>1</v>
      </c>
      <c r="CD44" s="2"/>
      <c r="CE44" s="5534" t="s">
        <v>3707</v>
      </c>
      <c r="CF44" s="5535" t="s">
        <v>3707</v>
      </c>
      <c r="CG44" s="5501" t="s">
        <v>3708</v>
      </c>
      <c r="CH44" s="5534" t="s">
        <v>3708</v>
      </c>
      <c r="CI44" s="5500">
        <v>150</v>
      </c>
      <c r="CJ44" s="2"/>
      <c r="CK44" s="5">
        <v>1</v>
      </c>
      <c r="CL44" s="1"/>
      <c r="CM44" s="1"/>
    </row>
    <row r="45" spans="1:91" s="187" customFormat="1" ht="21" customHeight="1">
      <c r="A45"/>
      <c r="B45" s="5120"/>
      <c r="C45" s="5121"/>
      <c r="D45" s="5121"/>
      <c r="E45" s="5121"/>
      <c r="F45" s="5121"/>
      <c r="G45" s="5122"/>
      <c r="H45" s="5122"/>
      <c r="I45" s="5122"/>
      <c r="J45" s="5122"/>
      <c r="K45" s="5122"/>
      <c r="L45" s="5122"/>
      <c r="M45" s="5122"/>
      <c r="N45" s="5122"/>
      <c r="O45" s="5122"/>
      <c r="P45" s="5122"/>
      <c r="Q45" s="5634"/>
      <c r="R45" s="5094" t="s">
        <v>1</v>
      </c>
      <c r="S45" s="5120"/>
      <c r="T45" s="5121"/>
      <c r="U45" s="5121"/>
      <c r="V45" s="5121"/>
      <c r="W45" s="5121"/>
      <c r="X45" s="5122"/>
      <c r="Y45" s="5122"/>
      <c r="Z45" s="5122"/>
      <c r="AA45" s="5122"/>
      <c r="AB45" s="5122"/>
      <c r="AC45" s="5122"/>
      <c r="AD45" s="5122"/>
      <c r="AE45" s="5122"/>
      <c r="AF45" s="5122"/>
      <c r="AG45" s="5122"/>
      <c r="AH45" s="5634"/>
      <c r="AI45" s="5094" t="s">
        <v>1</v>
      </c>
      <c r="AJ45" s="5120"/>
      <c r="AK45" s="5121"/>
      <c r="AL45" s="5121"/>
      <c r="AM45" s="5121"/>
      <c r="AN45" s="5121"/>
      <c r="AO45" s="5122"/>
      <c r="AP45" s="5122"/>
      <c r="AQ45" s="5122"/>
      <c r="AR45" s="5122"/>
      <c r="AS45" s="5122"/>
      <c r="AT45" s="5122"/>
      <c r="AU45" s="5122"/>
      <c r="AV45" s="5122"/>
      <c r="AW45" s="5122"/>
      <c r="AX45" s="5122"/>
      <c r="AY45" s="5634"/>
      <c r="AZ45" s="5094" t="s">
        <v>1</v>
      </c>
      <c r="BA45" s="7215" t="s">
        <v>8115</v>
      </c>
      <c r="BB45" s="7215"/>
      <c r="BC45" s="2"/>
      <c r="BD45" s="7215" t="s">
        <v>8116</v>
      </c>
      <c r="BE45" s="7215"/>
      <c r="BF45" s="2"/>
      <c r="BG45" s="7200" t="s">
        <v>8117</v>
      </c>
      <c r="BH45" s="7200"/>
      <c r="BI45" s="2"/>
      <c r="BJ45" s="7202" t="s">
        <v>8118</v>
      </c>
      <c r="BK45" s="7202"/>
      <c r="BL45" s="2"/>
      <c r="BM45" s="7188" t="s">
        <v>8124</v>
      </c>
      <c r="BN45" s="7188"/>
      <c r="BO45" s="4"/>
      <c r="BP45" s="7190" t="s">
        <v>8125</v>
      </c>
      <c r="BQ45" s="7190"/>
      <c r="BR45" s="2"/>
      <c r="BS45" s="2"/>
      <c r="BT45" s="2"/>
      <c r="BU45" s="2"/>
      <c r="BV45" s="5546" t="s">
        <v>3639</v>
      </c>
      <c r="BW45" s="5547" t="s">
        <v>3639</v>
      </c>
      <c r="BX45" s="5536" t="s">
        <v>3783</v>
      </c>
      <c r="BY45" s="5537" t="s">
        <v>3783</v>
      </c>
      <c r="BZ45" s="5593" t="s">
        <v>3659</v>
      </c>
      <c r="CA45" s="5594" t="s">
        <v>3659</v>
      </c>
      <c r="CB45" s="5500">
        <v>1</v>
      </c>
      <c r="CC45" s="5500">
        <v>1</v>
      </c>
      <c r="CD45" s="2"/>
      <c r="CE45" s="5544" t="s">
        <v>3717</v>
      </c>
      <c r="CF45" s="5545" t="s">
        <v>3717</v>
      </c>
      <c r="CG45" s="5501" t="s">
        <v>3718</v>
      </c>
      <c r="CH45" s="5544" t="s">
        <v>3718</v>
      </c>
      <c r="CI45" s="5500">
        <v>0</v>
      </c>
      <c r="CJ45" s="2"/>
      <c r="CK45" s="5">
        <v>1</v>
      </c>
      <c r="CL45" s="1"/>
      <c r="CM45" s="1"/>
    </row>
    <row r="46" spans="1:91" s="187" customFormat="1" ht="21" customHeight="1">
      <c r="A46"/>
      <c r="B46" s="5120"/>
      <c r="C46" s="5121"/>
      <c r="D46" s="5121"/>
      <c r="E46" s="5121"/>
      <c r="F46" s="5121"/>
      <c r="G46" s="5122"/>
      <c r="H46" s="5122"/>
      <c r="I46" s="5122"/>
      <c r="J46" s="5122"/>
      <c r="K46" s="5122"/>
      <c r="L46" s="5122"/>
      <c r="M46" s="5122"/>
      <c r="N46" s="5122"/>
      <c r="O46" s="5122"/>
      <c r="P46" s="5122"/>
      <c r="Q46" s="5634"/>
      <c r="R46" s="5094" t="s">
        <v>1</v>
      </c>
      <c r="S46" s="5120"/>
      <c r="T46" s="5121"/>
      <c r="U46" s="5121"/>
      <c r="V46" s="5121"/>
      <c r="W46" s="5121"/>
      <c r="X46" s="5122"/>
      <c r="Y46" s="5122"/>
      <c r="Z46" s="5122"/>
      <c r="AA46" s="5122"/>
      <c r="AB46" s="5122"/>
      <c r="AC46" s="5122"/>
      <c r="AD46" s="5122"/>
      <c r="AE46" s="5122"/>
      <c r="AF46" s="5122"/>
      <c r="AG46" s="5122"/>
      <c r="AH46" s="5634"/>
      <c r="AI46" s="5094" t="s">
        <v>1</v>
      </c>
      <c r="AJ46" s="5120"/>
      <c r="AK46" s="5121"/>
      <c r="AL46" s="5121"/>
      <c r="AM46" s="5121"/>
      <c r="AN46" s="5121"/>
      <c r="AO46" s="5122"/>
      <c r="AP46" s="5122"/>
      <c r="AQ46" s="5122"/>
      <c r="AR46" s="5122"/>
      <c r="AS46" s="5122"/>
      <c r="AT46" s="5122"/>
      <c r="AU46" s="5122"/>
      <c r="AV46" s="5122"/>
      <c r="AW46" s="5122"/>
      <c r="AX46" s="5122"/>
      <c r="AY46" s="5634"/>
      <c r="AZ46" s="5094" t="s">
        <v>1</v>
      </c>
      <c r="BA46" s="7042"/>
      <c r="BB46" s="7042"/>
      <c r="BC46" s="2"/>
      <c r="BD46" s="7042"/>
      <c r="BE46" s="7042"/>
      <c r="BF46" s="2"/>
      <c r="BG46" s="7201"/>
      <c r="BH46" s="7201"/>
      <c r="BI46" s="2"/>
      <c r="BJ46" s="7203"/>
      <c r="BK46" s="7203"/>
      <c r="BL46" s="2"/>
      <c r="BM46" s="7189"/>
      <c r="BN46" s="7189"/>
      <c r="BO46" s="4"/>
      <c r="BP46" s="7191"/>
      <c r="BQ46" s="7191"/>
      <c r="BR46" s="2"/>
      <c r="BS46" s="2"/>
      <c r="BT46" s="2"/>
      <c r="BU46" s="2"/>
      <c r="BV46" s="5513" t="s">
        <v>3648</v>
      </c>
      <c r="BW46" s="5514" t="s">
        <v>3648</v>
      </c>
      <c r="BX46" s="5546" t="s">
        <v>3527</v>
      </c>
      <c r="BY46" s="5547" t="s">
        <v>3527</v>
      </c>
      <c r="BZ46" s="5595" t="s">
        <v>3669</v>
      </c>
      <c r="CA46" s="5596" t="s">
        <v>3669</v>
      </c>
      <c r="CB46" s="5500">
        <v>1</v>
      </c>
      <c r="CC46" s="5130">
        <v>1</v>
      </c>
      <c r="CD46" s="2"/>
      <c r="CE46" s="5564" t="s">
        <v>3737</v>
      </c>
      <c r="CF46" s="5565" t="s">
        <v>3737</v>
      </c>
      <c r="CG46" s="5501" t="s">
        <v>3738</v>
      </c>
      <c r="CH46" s="5564" t="s">
        <v>3738</v>
      </c>
      <c r="CI46" s="5500">
        <v>51</v>
      </c>
      <c r="CJ46" s="2"/>
      <c r="CK46" s="5">
        <v>1</v>
      </c>
      <c r="CL46" s="1"/>
      <c r="CM46" s="1"/>
    </row>
    <row r="47" spans="1:91" s="187" customFormat="1" ht="21" customHeight="1" thickBot="1">
      <c r="A47"/>
      <c r="B47" s="5120"/>
      <c r="C47" s="5121"/>
      <c r="D47" s="5121"/>
      <c r="E47" s="5121"/>
      <c r="F47" s="5121"/>
      <c r="G47" s="5122"/>
      <c r="H47" s="5122"/>
      <c r="I47" s="5122"/>
      <c r="J47" s="5122"/>
      <c r="K47" s="5122"/>
      <c r="L47" s="5122"/>
      <c r="M47" s="5122"/>
      <c r="N47" s="5122"/>
      <c r="O47" s="5122"/>
      <c r="P47" s="5122"/>
      <c r="Q47" s="5634"/>
      <c r="R47" s="5094" t="s">
        <v>1</v>
      </c>
      <c r="S47" s="5120"/>
      <c r="T47" s="5121"/>
      <c r="U47" s="5121"/>
      <c r="V47" s="5121"/>
      <c r="W47" s="5121"/>
      <c r="X47" s="5122"/>
      <c r="Y47" s="5122"/>
      <c r="Z47" s="5122"/>
      <c r="AA47" s="5122"/>
      <c r="AB47" s="5122"/>
      <c r="AC47" s="5122"/>
      <c r="AD47" s="5122"/>
      <c r="AE47" s="5122"/>
      <c r="AF47" s="5122"/>
      <c r="AG47" s="5122"/>
      <c r="AH47" s="5634"/>
      <c r="AI47" s="5094" t="s">
        <v>1</v>
      </c>
      <c r="AJ47" s="5120"/>
      <c r="AK47" s="5121"/>
      <c r="AL47" s="5121"/>
      <c r="AM47" s="5121"/>
      <c r="AN47" s="5121"/>
      <c r="AO47" s="5122"/>
      <c r="AP47" s="5122"/>
      <c r="AQ47" s="5122"/>
      <c r="AR47" s="5122"/>
      <c r="AS47" s="5122"/>
      <c r="AT47" s="5122"/>
      <c r="AU47" s="5122"/>
      <c r="AV47" s="5122"/>
      <c r="AW47" s="5122"/>
      <c r="AX47" s="5122"/>
      <c r="AY47" s="5634"/>
      <c r="AZ47" s="5094" t="s">
        <v>1</v>
      </c>
      <c r="BA47" s="2"/>
      <c r="BB47" s="2"/>
      <c r="BC47" s="2"/>
      <c r="BD47" s="2"/>
      <c r="BE47" s="2"/>
      <c r="BF47" s="2"/>
      <c r="BG47" s="2"/>
      <c r="BH47" s="2"/>
      <c r="BI47" s="2"/>
      <c r="BJ47" s="2"/>
      <c r="BK47" s="2"/>
      <c r="BL47" s="2"/>
      <c r="BM47" s="2"/>
      <c r="BN47" s="2"/>
      <c r="BO47" s="4"/>
      <c r="BP47" s="2"/>
      <c r="BQ47" s="2"/>
      <c r="BR47" s="2"/>
      <c r="BS47" s="2"/>
      <c r="BT47" s="2"/>
      <c r="BU47" s="2"/>
      <c r="BV47" s="1128">
        <v>1</v>
      </c>
      <c r="BW47" s="1128">
        <v>1</v>
      </c>
      <c r="BX47" s="1128">
        <v>1</v>
      </c>
      <c r="BY47" s="1128">
        <v>1</v>
      </c>
      <c r="BZ47" s="1128">
        <v>1</v>
      </c>
      <c r="CA47" s="1128">
        <v>1</v>
      </c>
      <c r="CB47" s="1128">
        <v>1</v>
      </c>
      <c r="CC47" s="1128">
        <v>1</v>
      </c>
      <c r="CD47" s="2"/>
      <c r="CE47" s="5570" t="s">
        <v>3747</v>
      </c>
      <c r="CF47" s="5571" t="s">
        <v>3747</v>
      </c>
      <c r="CG47" s="5501" t="s">
        <v>3748</v>
      </c>
      <c r="CH47" s="5570" t="s">
        <v>3748</v>
      </c>
      <c r="CI47" s="5500">
        <v>153</v>
      </c>
      <c r="CJ47" s="2"/>
      <c r="CK47" s="5">
        <v>1</v>
      </c>
      <c r="CL47" s="1"/>
      <c r="CM47" s="1"/>
    </row>
    <row r="48" spans="1:91" s="187" customFormat="1" ht="21" customHeight="1">
      <c r="A48"/>
      <c r="B48" s="5120"/>
      <c r="C48" s="5121"/>
      <c r="D48" s="5121"/>
      <c r="E48" s="5121"/>
      <c r="F48" s="5121"/>
      <c r="G48" s="5122"/>
      <c r="H48" s="5122"/>
      <c r="I48" s="5122"/>
      <c r="J48" s="5122"/>
      <c r="K48" s="5122"/>
      <c r="L48" s="5122"/>
      <c r="M48" s="5122"/>
      <c r="N48" s="5122"/>
      <c r="O48" s="5122"/>
      <c r="P48" s="5122"/>
      <c r="Q48" s="5634"/>
      <c r="R48" s="5094" t="s">
        <v>1</v>
      </c>
      <c r="S48" s="5120"/>
      <c r="T48" s="5121"/>
      <c r="U48" s="5121"/>
      <c r="V48" s="5121"/>
      <c r="W48" s="5121"/>
      <c r="X48" s="5122"/>
      <c r="Y48" s="5122"/>
      <c r="Z48" s="5122"/>
      <c r="AA48" s="5122"/>
      <c r="AB48" s="5122"/>
      <c r="AC48" s="5122"/>
      <c r="AD48" s="5122"/>
      <c r="AE48" s="5122"/>
      <c r="AF48" s="5122"/>
      <c r="AG48" s="5122"/>
      <c r="AH48" s="5634"/>
      <c r="AI48" s="5094" t="s">
        <v>1</v>
      </c>
      <c r="AJ48" s="5120"/>
      <c r="AK48" s="5121"/>
      <c r="AL48" s="5121"/>
      <c r="AM48" s="5121"/>
      <c r="AN48" s="5121"/>
      <c r="AO48" s="5122"/>
      <c r="AP48" s="5122"/>
      <c r="AQ48" s="5122"/>
      <c r="AR48" s="5122"/>
      <c r="AS48" s="5122"/>
      <c r="AT48" s="5122"/>
      <c r="AU48" s="5122"/>
      <c r="AV48" s="5122"/>
      <c r="AW48" s="5122"/>
      <c r="AX48" s="5122"/>
      <c r="AY48" s="5634"/>
      <c r="AZ48" s="5094" t="s">
        <v>1</v>
      </c>
      <c r="BA48" s="7251" t="s">
        <v>8126</v>
      </c>
      <c r="BB48" s="7251"/>
      <c r="BC48" s="2"/>
      <c r="BD48" s="7215" t="s">
        <v>8127</v>
      </c>
      <c r="BE48" s="7215"/>
      <c r="BF48" s="2"/>
      <c r="BG48" s="7200" t="s">
        <v>8128</v>
      </c>
      <c r="BH48" s="7200"/>
      <c r="BI48" s="2"/>
      <c r="BJ48" s="7202" t="s">
        <v>8129</v>
      </c>
      <c r="BK48" s="7202"/>
      <c r="BL48" s="2"/>
      <c r="BM48" s="7188" t="s">
        <v>8135</v>
      </c>
      <c r="BN48" s="7188"/>
      <c r="BO48" s="4"/>
      <c r="BP48" s="7190" t="s">
        <v>8136</v>
      </c>
      <c r="BQ48" s="7190"/>
      <c r="BR48" s="2"/>
      <c r="BS48" s="2"/>
      <c r="BT48" s="2"/>
      <c r="BU48" s="2"/>
      <c r="BV48" s="5500" t="s">
        <v>7818</v>
      </c>
      <c r="BW48" s="5501" t="s">
        <v>7819</v>
      </c>
      <c r="BX48" s="5500" t="s">
        <v>7820</v>
      </c>
      <c r="BY48" s="5597" t="s">
        <v>7821</v>
      </c>
      <c r="BZ48" s="5598" t="s">
        <v>7822</v>
      </c>
      <c r="CA48" s="5599" t="s">
        <v>6177</v>
      </c>
      <c r="CB48" s="5600" t="s">
        <v>4430</v>
      </c>
      <c r="CC48" s="5601" t="s">
        <v>7823</v>
      </c>
      <c r="CD48" s="2"/>
      <c r="CE48" s="5530" t="s">
        <v>3756</v>
      </c>
      <c r="CF48" s="5531" t="s">
        <v>3756</v>
      </c>
      <c r="CG48" s="5501" t="s">
        <v>3687</v>
      </c>
      <c r="CH48" s="5530" t="s">
        <v>3687</v>
      </c>
      <c r="CI48" s="5500">
        <v>153</v>
      </c>
      <c r="CJ48" s="2"/>
      <c r="CK48" s="5">
        <v>1</v>
      </c>
      <c r="CL48" s="1"/>
      <c r="CM48" s="1"/>
    </row>
    <row r="49" spans="1:91" s="187" customFormat="1" ht="21" customHeight="1">
      <c r="A49"/>
      <c r="B49" s="5120"/>
      <c r="C49" s="5121"/>
      <c r="D49" s="5121"/>
      <c r="E49" s="5121"/>
      <c r="F49" s="5121"/>
      <c r="G49" s="5122"/>
      <c r="H49" s="5122"/>
      <c r="I49" s="5122"/>
      <c r="J49" s="5122"/>
      <c r="K49" s="5122"/>
      <c r="L49" s="5122"/>
      <c r="M49" s="5122"/>
      <c r="N49" s="5122"/>
      <c r="O49" s="5122"/>
      <c r="P49" s="5122"/>
      <c r="Q49" s="5634"/>
      <c r="R49" s="5094" t="s">
        <v>1</v>
      </c>
      <c r="S49" s="5120"/>
      <c r="T49" s="5121"/>
      <c r="U49" s="5121"/>
      <c r="V49" s="5121"/>
      <c r="W49" s="5121"/>
      <c r="X49" s="5122"/>
      <c r="Y49" s="5122"/>
      <c r="Z49" s="5122"/>
      <c r="AA49" s="5122"/>
      <c r="AB49" s="5122"/>
      <c r="AC49" s="5122"/>
      <c r="AD49" s="5122"/>
      <c r="AE49" s="5122"/>
      <c r="AF49" s="5122"/>
      <c r="AG49" s="5122"/>
      <c r="AH49" s="5634"/>
      <c r="AI49" s="5094" t="s">
        <v>1</v>
      </c>
      <c r="AJ49" s="5120"/>
      <c r="AK49" s="5121"/>
      <c r="AL49" s="5121"/>
      <c r="AM49" s="5121"/>
      <c r="AN49" s="5121"/>
      <c r="AO49" s="5122"/>
      <c r="AP49" s="5122"/>
      <c r="AQ49" s="5122"/>
      <c r="AR49" s="5122"/>
      <c r="AS49" s="5122"/>
      <c r="AT49" s="5122"/>
      <c r="AU49" s="5122"/>
      <c r="AV49" s="5122"/>
      <c r="AW49" s="5122"/>
      <c r="AX49" s="5122"/>
      <c r="AY49" s="5634"/>
      <c r="AZ49" s="5094" t="s">
        <v>1</v>
      </c>
      <c r="BA49" s="7252"/>
      <c r="BB49" s="7252"/>
      <c r="BC49" s="2"/>
      <c r="BD49" s="7042"/>
      <c r="BE49" s="7042"/>
      <c r="BF49" s="2"/>
      <c r="BG49" s="7201"/>
      <c r="BH49" s="7201"/>
      <c r="BI49" s="2"/>
      <c r="BJ49" s="7203"/>
      <c r="BK49" s="7203"/>
      <c r="BL49" s="2"/>
      <c r="BM49" s="7189"/>
      <c r="BN49" s="7189"/>
      <c r="BO49" s="4"/>
      <c r="BP49" s="7191"/>
      <c r="BQ49" s="7191"/>
      <c r="BR49" s="2"/>
      <c r="BS49" s="2"/>
      <c r="BT49" s="2"/>
      <c r="BU49" s="2"/>
      <c r="BV49" s="5602" t="s">
        <v>7824</v>
      </c>
      <c r="BW49" s="5501" t="s">
        <v>3525</v>
      </c>
      <c r="BX49" s="5500" t="s">
        <v>7825</v>
      </c>
      <c r="BY49" s="5602" t="s">
        <v>7825</v>
      </c>
      <c r="BZ49" s="5500">
        <v>0</v>
      </c>
      <c r="CA49" s="5500">
        <v>0</v>
      </c>
      <c r="CB49" s="5500">
        <v>0</v>
      </c>
      <c r="CC49" s="5601" t="s">
        <v>7826</v>
      </c>
      <c r="CD49" s="2"/>
      <c r="CE49" s="5583" t="s">
        <v>3765</v>
      </c>
      <c r="CF49" s="5584" t="s">
        <v>3765</v>
      </c>
      <c r="CG49" s="5501" t="s">
        <v>3766</v>
      </c>
      <c r="CH49" s="5583" t="s">
        <v>3766</v>
      </c>
      <c r="CI49" s="5500">
        <v>51</v>
      </c>
      <c r="CJ49" s="2"/>
      <c r="CK49" s="5">
        <v>1</v>
      </c>
      <c r="CL49" s="1"/>
      <c r="CM49" s="1"/>
    </row>
    <row r="50" spans="1:91" s="187" customFormat="1" ht="21" customHeight="1" thickBot="1">
      <c r="A50"/>
      <c r="B50" s="5120"/>
      <c r="C50" s="5121"/>
      <c r="D50" s="5121"/>
      <c r="E50" s="5121"/>
      <c r="F50" s="5121"/>
      <c r="G50" s="5122"/>
      <c r="H50" s="5122"/>
      <c r="I50" s="5122"/>
      <c r="J50" s="5122"/>
      <c r="K50" s="5122"/>
      <c r="L50" s="5122"/>
      <c r="M50" s="5122"/>
      <c r="N50" s="5122"/>
      <c r="O50" s="5122"/>
      <c r="P50" s="5122"/>
      <c r="Q50" s="5634"/>
      <c r="R50" s="5094" t="s">
        <v>1</v>
      </c>
      <c r="S50" s="5120"/>
      <c r="T50" s="5121"/>
      <c r="U50" s="5121"/>
      <c r="V50" s="5121"/>
      <c r="W50" s="5121"/>
      <c r="X50" s="5122"/>
      <c r="Y50" s="5122"/>
      <c r="Z50" s="5122"/>
      <c r="AA50" s="5122"/>
      <c r="AB50" s="5122"/>
      <c r="AC50" s="5122"/>
      <c r="AD50" s="5122"/>
      <c r="AE50" s="5122"/>
      <c r="AF50" s="5122"/>
      <c r="AG50" s="5122"/>
      <c r="AH50" s="5634"/>
      <c r="AI50" s="5094" t="s">
        <v>1</v>
      </c>
      <c r="AJ50" s="5120"/>
      <c r="AK50" s="5121"/>
      <c r="AL50" s="5121"/>
      <c r="AM50" s="5121"/>
      <c r="AN50" s="5121"/>
      <c r="AO50" s="5122"/>
      <c r="AP50" s="5122"/>
      <c r="AQ50" s="5122"/>
      <c r="AR50" s="5122"/>
      <c r="AS50" s="5122"/>
      <c r="AT50" s="5122"/>
      <c r="AU50" s="5122"/>
      <c r="AV50" s="5122"/>
      <c r="AW50" s="5122"/>
      <c r="AX50" s="5122"/>
      <c r="AY50" s="5634"/>
      <c r="AZ50" s="5094" t="s">
        <v>1</v>
      </c>
      <c r="BA50" s="2"/>
      <c r="BB50" s="2"/>
      <c r="BC50" s="2"/>
      <c r="BD50" s="2"/>
      <c r="BE50" s="2"/>
      <c r="BF50" s="2"/>
      <c r="BG50" s="2"/>
      <c r="BH50" s="2"/>
      <c r="BI50" s="2"/>
      <c r="BJ50" s="2"/>
      <c r="BK50" s="2"/>
      <c r="BL50" s="2"/>
      <c r="BM50" s="2"/>
      <c r="BN50" s="2"/>
      <c r="BO50" s="4"/>
      <c r="BP50" s="2"/>
      <c r="BQ50" s="2"/>
      <c r="BR50" s="2"/>
      <c r="BS50" s="2"/>
      <c r="BT50" s="2"/>
      <c r="BU50" s="2"/>
      <c r="BV50" s="5500" t="s">
        <v>3613</v>
      </c>
      <c r="BW50" s="5519" t="s">
        <v>3535</v>
      </c>
      <c r="BX50" s="5500" t="s">
        <v>7827</v>
      </c>
      <c r="BY50" s="5500" t="s">
        <v>7827</v>
      </c>
      <c r="BZ50" s="5500">
        <v>255</v>
      </c>
      <c r="CA50" s="5500">
        <v>255</v>
      </c>
      <c r="CB50" s="5500">
        <v>255</v>
      </c>
      <c r="CC50" s="5601" t="s">
        <v>7828</v>
      </c>
      <c r="CD50" s="2"/>
      <c r="CE50" s="5587" t="s">
        <v>3775</v>
      </c>
      <c r="CF50" s="5588" t="s">
        <v>3775</v>
      </c>
      <c r="CG50" s="5501" t="s">
        <v>3776</v>
      </c>
      <c r="CH50" s="5587" t="s">
        <v>3776</v>
      </c>
      <c r="CI50" s="5500">
        <v>51</v>
      </c>
      <c r="CJ50" s="2"/>
      <c r="CK50" s="5">
        <v>1</v>
      </c>
      <c r="CL50" s="1"/>
      <c r="CM50" s="1"/>
    </row>
    <row r="51" spans="1:91" s="187" customFormat="1" ht="21" customHeight="1">
      <c r="A51"/>
      <c r="B51" s="5120"/>
      <c r="C51" s="5121"/>
      <c r="D51" s="5121"/>
      <c r="E51" s="5121"/>
      <c r="F51" s="5121"/>
      <c r="G51" s="5122"/>
      <c r="H51" s="5122"/>
      <c r="I51" s="5122"/>
      <c r="J51" s="5122"/>
      <c r="K51" s="5122"/>
      <c r="L51" s="5122"/>
      <c r="M51" s="5122"/>
      <c r="N51" s="5122"/>
      <c r="O51" s="5122"/>
      <c r="P51" s="5122"/>
      <c r="Q51" s="5634"/>
      <c r="R51" s="5094" t="s">
        <v>1</v>
      </c>
      <c r="S51" s="5120"/>
      <c r="T51" s="5121"/>
      <c r="U51" s="5121"/>
      <c r="V51" s="5121"/>
      <c r="W51" s="5121"/>
      <c r="X51" s="5122"/>
      <c r="Y51" s="5122"/>
      <c r="Z51" s="5122"/>
      <c r="AA51" s="5122"/>
      <c r="AB51" s="5122"/>
      <c r="AC51" s="5122"/>
      <c r="AD51" s="5122"/>
      <c r="AE51" s="5122"/>
      <c r="AF51" s="5122"/>
      <c r="AG51" s="5122"/>
      <c r="AH51" s="5634"/>
      <c r="AI51" s="5094" t="s">
        <v>1</v>
      </c>
      <c r="AJ51" s="5120"/>
      <c r="AK51" s="5121"/>
      <c r="AL51" s="5121"/>
      <c r="AM51" s="5121"/>
      <c r="AN51" s="5121"/>
      <c r="AO51" s="5122"/>
      <c r="AP51" s="5122"/>
      <c r="AQ51" s="5122"/>
      <c r="AR51" s="5122"/>
      <c r="AS51" s="5122"/>
      <c r="AT51" s="5122"/>
      <c r="AU51" s="5122"/>
      <c r="AV51" s="5122"/>
      <c r="AW51" s="5122"/>
      <c r="AX51" s="5122"/>
      <c r="AY51" s="5634"/>
      <c r="AZ51" s="5094" t="s">
        <v>1</v>
      </c>
      <c r="BA51" s="7256" t="s">
        <v>8137</v>
      </c>
      <c r="BB51" s="7256"/>
      <c r="BC51" s="2"/>
      <c r="BD51" s="6935" t="s">
        <v>8138</v>
      </c>
      <c r="BE51" s="6935"/>
      <c r="BF51" s="2"/>
      <c r="BG51" s="7200" t="s">
        <v>8139</v>
      </c>
      <c r="BH51" s="7200"/>
      <c r="BI51" s="2"/>
      <c r="BJ51" s="7202" t="s">
        <v>8140</v>
      </c>
      <c r="BK51" s="7202"/>
      <c r="BL51" s="2"/>
      <c r="BM51" s="7188" t="s">
        <v>8146</v>
      </c>
      <c r="BN51" s="7188"/>
      <c r="BO51" s="4"/>
      <c r="BP51" s="7190" t="s">
        <v>8147</v>
      </c>
      <c r="BQ51" s="7190"/>
      <c r="BR51" s="2"/>
      <c r="BS51" s="2"/>
      <c r="BT51" s="2"/>
      <c r="BU51" s="2"/>
      <c r="BV51" s="5528" t="s">
        <v>5131</v>
      </c>
      <c r="BW51" s="5529" t="s">
        <v>3544</v>
      </c>
      <c r="BX51" s="5500" t="s">
        <v>7829</v>
      </c>
      <c r="BY51" s="5528" t="s">
        <v>7829</v>
      </c>
      <c r="BZ51" s="5500">
        <v>255</v>
      </c>
      <c r="CA51" s="5500">
        <v>0</v>
      </c>
      <c r="CB51" s="5500">
        <v>0</v>
      </c>
      <c r="CC51" s="5601" t="s">
        <v>7830</v>
      </c>
      <c r="CD51" s="2"/>
      <c r="CE51" s="2"/>
      <c r="CF51" s="2"/>
      <c r="CG51" s="2"/>
      <c r="CH51" s="2"/>
      <c r="CI51" s="2"/>
      <c r="CJ51" s="2"/>
      <c r="CK51" s="5">
        <v>1</v>
      </c>
      <c r="CL51" s="1"/>
      <c r="CM51" s="1"/>
    </row>
    <row r="52" spans="1:91" s="187" customFormat="1" ht="21" customHeight="1">
      <c r="A52"/>
      <c r="B52" s="5120"/>
      <c r="C52" s="5121"/>
      <c r="D52" s="5121"/>
      <c r="E52" s="5121"/>
      <c r="F52" s="5121"/>
      <c r="G52" s="5122"/>
      <c r="H52" s="5122"/>
      <c r="I52" s="5122"/>
      <c r="J52" s="5122"/>
      <c r="K52" s="5122"/>
      <c r="L52" s="5122"/>
      <c r="M52" s="5122"/>
      <c r="N52" s="5122"/>
      <c r="O52" s="5122"/>
      <c r="P52" s="5122"/>
      <c r="Q52" s="5634"/>
      <c r="R52" s="5094" t="s">
        <v>1</v>
      </c>
      <c r="S52" s="5120"/>
      <c r="T52" s="5121"/>
      <c r="U52" s="5121"/>
      <c r="V52" s="5121"/>
      <c r="W52" s="5121"/>
      <c r="X52" s="5122"/>
      <c r="Y52" s="5122"/>
      <c r="Z52" s="5122"/>
      <c r="AA52" s="5122"/>
      <c r="AB52" s="5122"/>
      <c r="AC52" s="5122"/>
      <c r="AD52" s="5122"/>
      <c r="AE52" s="5122"/>
      <c r="AF52" s="5122"/>
      <c r="AG52" s="5122"/>
      <c r="AH52" s="5634"/>
      <c r="AI52" s="5094" t="s">
        <v>1</v>
      </c>
      <c r="AJ52" s="5120"/>
      <c r="AK52" s="5121"/>
      <c r="AL52" s="5121"/>
      <c r="AM52" s="5121"/>
      <c r="AN52" s="5121"/>
      <c r="AO52" s="5122"/>
      <c r="AP52" s="5122"/>
      <c r="AQ52" s="5122"/>
      <c r="AR52" s="5122"/>
      <c r="AS52" s="5122"/>
      <c r="AT52" s="5122"/>
      <c r="AU52" s="5122"/>
      <c r="AV52" s="5122"/>
      <c r="AW52" s="5122"/>
      <c r="AX52" s="5122"/>
      <c r="AY52" s="5634"/>
      <c r="AZ52" s="5094" t="s">
        <v>1</v>
      </c>
      <c r="BA52" s="7257"/>
      <c r="BB52" s="7257"/>
      <c r="BC52" s="2"/>
      <c r="BD52" s="6936"/>
      <c r="BE52" s="6936"/>
      <c r="BF52" s="2"/>
      <c r="BG52" s="7201"/>
      <c r="BH52" s="7201"/>
      <c r="BI52" s="2"/>
      <c r="BJ52" s="7203"/>
      <c r="BK52" s="7203"/>
      <c r="BL52" s="2"/>
      <c r="BM52" s="7189"/>
      <c r="BN52" s="7189"/>
      <c r="BO52" s="4"/>
      <c r="BP52" s="7191"/>
      <c r="BQ52" s="7191"/>
      <c r="BR52" s="2"/>
      <c r="BS52" s="2"/>
      <c r="BT52" s="2"/>
      <c r="BU52" s="2"/>
      <c r="BV52" s="5538" t="s">
        <v>6177</v>
      </c>
      <c r="BW52" s="5539" t="s">
        <v>3554</v>
      </c>
      <c r="BX52" s="5500" t="s">
        <v>7831</v>
      </c>
      <c r="BY52" s="5538" t="s">
        <v>7831</v>
      </c>
      <c r="BZ52" s="5500">
        <v>0</v>
      </c>
      <c r="CA52" s="5500">
        <v>255</v>
      </c>
      <c r="CB52" s="5500">
        <v>0</v>
      </c>
      <c r="CC52" s="5601" t="s">
        <v>7832</v>
      </c>
      <c r="CD52" s="2"/>
      <c r="CE52" s="2"/>
      <c r="CF52" s="2"/>
      <c r="CG52" s="2"/>
      <c r="CH52" s="2"/>
      <c r="CI52" s="2"/>
      <c r="CJ52" s="2"/>
      <c r="CK52" s="5">
        <v>1</v>
      </c>
      <c r="CL52" s="1"/>
      <c r="CM52" s="1"/>
    </row>
    <row r="53" spans="1:91" s="187" customFormat="1" ht="21" customHeight="1" thickBot="1">
      <c r="A53"/>
      <c r="B53" s="5120"/>
      <c r="C53" s="5121"/>
      <c r="D53" s="5121"/>
      <c r="E53" s="5121"/>
      <c r="F53" s="5121"/>
      <c r="G53" s="5122"/>
      <c r="H53" s="5122"/>
      <c r="I53" s="5122"/>
      <c r="J53" s="5122"/>
      <c r="K53" s="5122"/>
      <c r="L53" s="5122"/>
      <c r="M53" s="5122"/>
      <c r="N53" s="5122"/>
      <c r="O53" s="5122"/>
      <c r="P53" s="5122"/>
      <c r="Q53" s="5634"/>
      <c r="R53" s="5094" t="s">
        <v>1</v>
      </c>
      <c r="S53" s="5120"/>
      <c r="T53" s="5121"/>
      <c r="U53" s="5121"/>
      <c r="V53" s="5121"/>
      <c r="W53" s="5121"/>
      <c r="X53" s="5122"/>
      <c r="Y53" s="5122"/>
      <c r="Z53" s="5122"/>
      <c r="AA53" s="5122"/>
      <c r="AB53" s="5122"/>
      <c r="AC53" s="5122"/>
      <c r="AD53" s="5122"/>
      <c r="AE53" s="5122"/>
      <c r="AF53" s="5122"/>
      <c r="AG53" s="5122"/>
      <c r="AH53" s="5634"/>
      <c r="AI53" s="5094" t="s">
        <v>1</v>
      </c>
      <c r="AJ53" s="5120"/>
      <c r="AK53" s="5121"/>
      <c r="AL53" s="5121"/>
      <c r="AM53" s="5121"/>
      <c r="AN53" s="5121"/>
      <c r="AO53" s="5122"/>
      <c r="AP53" s="5122"/>
      <c r="AQ53" s="5122"/>
      <c r="AR53" s="5122"/>
      <c r="AS53" s="5122"/>
      <c r="AT53" s="5122"/>
      <c r="AU53" s="5122"/>
      <c r="AV53" s="5122"/>
      <c r="AW53" s="5122"/>
      <c r="AX53" s="5122"/>
      <c r="AY53" s="5634"/>
      <c r="AZ53" s="5094" t="s">
        <v>1</v>
      </c>
      <c r="BA53" s="2"/>
      <c r="BB53" s="2"/>
      <c r="BC53" s="2"/>
      <c r="BD53" s="2"/>
      <c r="BE53" s="2"/>
      <c r="BF53" s="2"/>
      <c r="BG53" s="2"/>
      <c r="BH53" s="2"/>
      <c r="BI53" s="2"/>
      <c r="BJ53" s="2"/>
      <c r="BK53" s="2"/>
      <c r="BL53" s="2"/>
      <c r="BM53" s="2"/>
      <c r="BN53" s="2"/>
      <c r="BO53" s="4"/>
      <c r="BP53" s="2"/>
      <c r="BQ53" s="2"/>
      <c r="BR53" s="2"/>
      <c r="BS53" s="2"/>
      <c r="BT53" s="2"/>
      <c r="BU53" s="2"/>
      <c r="BV53" s="5548" t="s">
        <v>4430</v>
      </c>
      <c r="BW53" s="5523" t="s">
        <v>3564</v>
      </c>
      <c r="BX53" s="5500" t="s">
        <v>3557</v>
      </c>
      <c r="BY53" s="5548" t="s">
        <v>3557</v>
      </c>
      <c r="BZ53" s="5500">
        <v>0</v>
      </c>
      <c r="CA53" s="5500">
        <v>0</v>
      </c>
      <c r="CB53" s="5500">
        <v>255</v>
      </c>
      <c r="CC53" s="5601" t="s">
        <v>7833</v>
      </c>
      <c r="CD53" s="2"/>
      <c r="CE53" s="2"/>
      <c r="CF53" s="2"/>
      <c r="CG53" s="2"/>
      <c r="CH53" s="2"/>
      <c r="CI53" s="2"/>
      <c r="CJ53" s="2"/>
      <c r="CK53" s="5">
        <v>1</v>
      </c>
      <c r="CL53" s="1"/>
      <c r="CM53" s="1"/>
    </row>
    <row r="54" spans="1:91" s="187" customFormat="1" ht="21" customHeight="1">
      <c r="A54"/>
      <c r="B54" s="5120"/>
      <c r="C54" s="5121"/>
      <c r="D54" s="5121"/>
      <c r="E54" s="5121"/>
      <c r="F54" s="5121"/>
      <c r="G54" s="5122"/>
      <c r="H54" s="5122"/>
      <c r="I54" s="5122"/>
      <c r="J54" s="5122"/>
      <c r="K54" s="5122"/>
      <c r="L54" s="5122"/>
      <c r="M54" s="5122"/>
      <c r="N54" s="5122"/>
      <c r="O54" s="5122"/>
      <c r="P54" s="5122"/>
      <c r="Q54" s="5634"/>
      <c r="R54" s="5094" t="s">
        <v>1</v>
      </c>
      <c r="S54" s="5120"/>
      <c r="T54" s="5121"/>
      <c r="U54" s="5121"/>
      <c r="V54" s="5121"/>
      <c r="W54" s="5121"/>
      <c r="X54" s="5122"/>
      <c r="Y54" s="5122"/>
      <c r="Z54" s="5122"/>
      <c r="AA54" s="5122"/>
      <c r="AB54" s="5122"/>
      <c r="AC54" s="5122"/>
      <c r="AD54" s="5122"/>
      <c r="AE54" s="5122"/>
      <c r="AF54" s="5122"/>
      <c r="AG54" s="5122"/>
      <c r="AH54" s="5634"/>
      <c r="AI54" s="5094" t="s">
        <v>1</v>
      </c>
      <c r="AJ54" s="5120"/>
      <c r="AK54" s="5121"/>
      <c r="AL54" s="5121"/>
      <c r="AM54" s="5121"/>
      <c r="AN54" s="5121"/>
      <c r="AO54" s="5122"/>
      <c r="AP54" s="5122"/>
      <c r="AQ54" s="5122"/>
      <c r="AR54" s="5122"/>
      <c r="AS54" s="5122"/>
      <c r="AT54" s="5122"/>
      <c r="AU54" s="5122"/>
      <c r="AV54" s="5122"/>
      <c r="AW54" s="5122"/>
      <c r="AX54" s="5122"/>
      <c r="AY54" s="5634"/>
      <c r="AZ54" s="5094" t="s">
        <v>1</v>
      </c>
      <c r="BA54" s="7254" t="s">
        <v>8148</v>
      </c>
      <c r="BB54" s="7254"/>
      <c r="BC54" s="2"/>
      <c r="BD54" s="7215" t="s">
        <v>8149</v>
      </c>
      <c r="BE54" s="7215"/>
      <c r="BF54" s="2"/>
      <c r="BG54" s="7200" t="s">
        <v>8150</v>
      </c>
      <c r="BH54" s="7200"/>
      <c r="BI54" s="2"/>
      <c r="BJ54" s="7202" t="s">
        <v>8151</v>
      </c>
      <c r="BK54" s="7202"/>
      <c r="BL54" s="2"/>
      <c r="BM54" s="7188" t="s">
        <v>8157</v>
      </c>
      <c r="BN54" s="7188"/>
      <c r="BO54" s="4"/>
      <c r="BP54" s="7190" t="s">
        <v>8158</v>
      </c>
      <c r="BQ54" s="7190"/>
      <c r="BR54" s="2"/>
      <c r="BS54" s="2"/>
      <c r="BT54" s="2"/>
      <c r="BU54" s="2"/>
      <c r="BV54" s="5526" t="s">
        <v>3801</v>
      </c>
      <c r="BW54" s="5527" t="s">
        <v>3573</v>
      </c>
      <c r="BX54" s="5500" t="s">
        <v>3774</v>
      </c>
      <c r="BY54" s="5526" t="s">
        <v>3774</v>
      </c>
      <c r="BZ54" s="5500">
        <v>255</v>
      </c>
      <c r="CA54" s="5500">
        <v>255</v>
      </c>
      <c r="CB54" s="5500">
        <v>0</v>
      </c>
      <c r="CC54" s="5601" t="s">
        <v>7834</v>
      </c>
      <c r="CD54" s="2"/>
      <c r="CE54" s="2"/>
      <c r="CF54" s="2"/>
      <c r="CG54" s="2"/>
      <c r="CH54" s="2"/>
      <c r="CI54" s="2"/>
      <c r="CJ54" s="2"/>
      <c r="CK54" s="5">
        <v>1</v>
      </c>
      <c r="CL54" s="1"/>
      <c r="CM54" s="1"/>
    </row>
    <row r="55" spans="1:91" s="187" customFormat="1" ht="21" customHeight="1">
      <c r="A55"/>
      <c r="B55" s="5120"/>
      <c r="C55" s="5121"/>
      <c r="D55" s="5121"/>
      <c r="E55" s="5121"/>
      <c r="F55" s="5121"/>
      <c r="G55" s="5122"/>
      <c r="H55" s="5122"/>
      <c r="I55" s="5122"/>
      <c r="J55" s="5122"/>
      <c r="K55" s="5122"/>
      <c r="L55" s="5122"/>
      <c r="M55" s="5122"/>
      <c r="N55" s="5122"/>
      <c r="O55" s="5122"/>
      <c r="P55" s="5122"/>
      <c r="Q55" s="5634"/>
      <c r="R55" s="5094" t="s">
        <v>1</v>
      </c>
      <c r="S55" s="5120"/>
      <c r="T55" s="5121"/>
      <c r="U55" s="5121"/>
      <c r="V55" s="5121"/>
      <c r="W55" s="5121"/>
      <c r="X55" s="5122"/>
      <c r="Y55" s="5122"/>
      <c r="Z55" s="5122"/>
      <c r="AA55" s="5122"/>
      <c r="AB55" s="5122"/>
      <c r="AC55" s="5122"/>
      <c r="AD55" s="5122"/>
      <c r="AE55" s="5122"/>
      <c r="AF55" s="5122"/>
      <c r="AG55" s="5122"/>
      <c r="AH55" s="5634"/>
      <c r="AI55" s="5094" t="s">
        <v>1</v>
      </c>
      <c r="AJ55" s="5120"/>
      <c r="AK55" s="5121"/>
      <c r="AL55" s="5121"/>
      <c r="AM55" s="5121"/>
      <c r="AN55" s="5121"/>
      <c r="AO55" s="5122"/>
      <c r="AP55" s="5122"/>
      <c r="AQ55" s="5122"/>
      <c r="AR55" s="5122"/>
      <c r="AS55" s="5122"/>
      <c r="AT55" s="5122"/>
      <c r="AU55" s="5122"/>
      <c r="AV55" s="5122"/>
      <c r="AW55" s="5122"/>
      <c r="AX55" s="5122"/>
      <c r="AY55" s="5634"/>
      <c r="AZ55" s="5094" t="s">
        <v>1</v>
      </c>
      <c r="BA55" s="7255"/>
      <c r="BB55" s="7255"/>
      <c r="BC55" s="2"/>
      <c r="BD55" s="7042"/>
      <c r="BE55" s="7042"/>
      <c r="BF55" s="2"/>
      <c r="BG55" s="7201"/>
      <c r="BH55" s="7201"/>
      <c r="BI55" s="2"/>
      <c r="BJ55" s="7203"/>
      <c r="BK55" s="7203"/>
      <c r="BL55" s="2"/>
      <c r="BM55" s="7189"/>
      <c r="BN55" s="7189"/>
      <c r="BO55" s="4"/>
      <c r="BP55" s="7191"/>
      <c r="BQ55" s="7191"/>
      <c r="BR55" s="2"/>
      <c r="BS55" s="2"/>
      <c r="BT55" s="2"/>
      <c r="BU55" s="2"/>
      <c r="BV55" s="5517" t="s">
        <v>4970</v>
      </c>
      <c r="BW55" s="5518" t="s">
        <v>3581</v>
      </c>
      <c r="BX55" s="5500" t="s">
        <v>3764</v>
      </c>
      <c r="BY55" s="5517" t="s">
        <v>3764</v>
      </c>
      <c r="BZ55" s="5500">
        <v>255</v>
      </c>
      <c r="CA55" s="5500">
        <v>0</v>
      </c>
      <c r="CB55" s="5500">
        <v>255</v>
      </c>
      <c r="CC55" s="5601" t="s">
        <v>7835</v>
      </c>
      <c r="CD55" s="2"/>
      <c r="CE55" s="2"/>
      <c r="CF55" s="2"/>
      <c r="CG55" s="2"/>
      <c r="CH55" s="2"/>
      <c r="CI55" s="2"/>
      <c r="CJ55" s="2"/>
      <c r="CK55" s="5">
        <v>1</v>
      </c>
      <c r="CL55" s="1"/>
      <c r="CM55" s="1"/>
    </row>
    <row r="56" spans="1:91" s="187" customFormat="1" ht="21" customHeight="1" thickBot="1">
      <c r="A56"/>
      <c r="B56" s="5120"/>
      <c r="C56" s="5121"/>
      <c r="D56" s="5121"/>
      <c r="E56" s="5121"/>
      <c r="F56" s="5121"/>
      <c r="G56" s="5122"/>
      <c r="H56" s="5122"/>
      <c r="I56" s="5122"/>
      <c r="J56" s="5122"/>
      <c r="K56" s="5122"/>
      <c r="L56" s="5122"/>
      <c r="M56" s="5122"/>
      <c r="N56" s="5122"/>
      <c r="O56" s="5122"/>
      <c r="P56" s="5122"/>
      <c r="Q56" s="5634"/>
      <c r="R56" s="5094" t="s">
        <v>1</v>
      </c>
      <c r="S56" s="5120"/>
      <c r="T56" s="5121"/>
      <c r="U56" s="5121"/>
      <c r="V56" s="5121"/>
      <c r="W56" s="5121"/>
      <c r="X56" s="5122"/>
      <c r="Y56" s="5122"/>
      <c r="Z56" s="5122"/>
      <c r="AA56" s="5122"/>
      <c r="AB56" s="5122"/>
      <c r="AC56" s="5122"/>
      <c r="AD56" s="5122"/>
      <c r="AE56" s="5122"/>
      <c r="AF56" s="5122"/>
      <c r="AG56" s="5122"/>
      <c r="AH56" s="5634"/>
      <c r="AI56" s="5094" t="s">
        <v>1</v>
      </c>
      <c r="AJ56" s="5120"/>
      <c r="AK56" s="5121"/>
      <c r="AL56" s="5121"/>
      <c r="AM56" s="5121"/>
      <c r="AN56" s="5121"/>
      <c r="AO56" s="5122"/>
      <c r="AP56" s="5122"/>
      <c r="AQ56" s="5122"/>
      <c r="AR56" s="5122"/>
      <c r="AS56" s="5122"/>
      <c r="AT56" s="5122"/>
      <c r="AU56" s="5122"/>
      <c r="AV56" s="5122"/>
      <c r="AW56" s="5122"/>
      <c r="AX56" s="5122"/>
      <c r="AY56" s="5634"/>
      <c r="AZ56" s="5094" t="s">
        <v>1</v>
      </c>
      <c r="BA56" s="2"/>
      <c r="BB56" s="2"/>
      <c r="BC56" s="2"/>
      <c r="BD56" s="2"/>
      <c r="BE56" s="2"/>
      <c r="BF56" s="2"/>
      <c r="BG56" s="2"/>
      <c r="BH56" s="2"/>
      <c r="BI56" s="2"/>
      <c r="BJ56" s="2"/>
      <c r="BK56" s="2"/>
      <c r="BL56" s="2"/>
      <c r="BM56" s="2"/>
      <c r="BN56" s="2"/>
      <c r="BO56" s="4"/>
      <c r="BP56" s="2"/>
      <c r="BQ56" s="2"/>
      <c r="BR56" s="2"/>
      <c r="BS56" s="2"/>
      <c r="BT56" s="2"/>
      <c r="BU56" s="2"/>
      <c r="BV56" s="5536" t="s">
        <v>5321</v>
      </c>
      <c r="BW56" s="5537" t="s">
        <v>3590</v>
      </c>
      <c r="BX56" s="5500" t="s">
        <v>3784</v>
      </c>
      <c r="BY56" s="5536" t="s">
        <v>3784</v>
      </c>
      <c r="BZ56" s="5500">
        <v>0</v>
      </c>
      <c r="CA56" s="5500">
        <v>255</v>
      </c>
      <c r="CB56" s="5500">
        <v>255</v>
      </c>
      <c r="CC56" s="5601" t="s">
        <v>7836</v>
      </c>
      <c r="CD56" s="2"/>
      <c r="CE56" s="2"/>
      <c r="CF56" s="2"/>
      <c r="CG56" s="2"/>
      <c r="CH56" s="2"/>
      <c r="CI56" s="2"/>
      <c r="CJ56" s="2"/>
      <c r="CK56" s="5">
        <v>1</v>
      </c>
      <c r="CL56" s="1"/>
      <c r="CM56" s="1"/>
    </row>
    <row r="57" spans="1:91" s="187" customFormat="1" ht="21" customHeight="1">
      <c r="A57"/>
      <c r="B57" s="5120"/>
      <c r="C57" s="5121"/>
      <c r="D57" s="5121"/>
      <c r="E57" s="5121"/>
      <c r="F57" s="5121"/>
      <c r="G57" s="5122"/>
      <c r="H57" s="5122"/>
      <c r="I57" s="5122"/>
      <c r="J57" s="5122"/>
      <c r="K57" s="5122"/>
      <c r="L57" s="5122"/>
      <c r="M57" s="5122"/>
      <c r="N57" s="5122"/>
      <c r="O57" s="5122"/>
      <c r="P57" s="5122"/>
      <c r="Q57" s="5634"/>
      <c r="R57" s="5094" t="s">
        <v>1</v>
      </c>
      <c r="S57" s="5120"/>
      <c r="T57" s="5121"/>
      <c r="U57" s="5121"/>
      <c r="V57" s="5121"/>
      <c r="W57" s="5121"/>
      <c r="X57" s="5122"/>
      <c r="Y57" s="5122"/>
      <c r="Z57" s="5122"/>
      <c r="AA57" s="5122"/>
      <c r="AB57" s="5122"/>
      <c r="AC57" s="5122"/>
      <c r="AD57" s="5122"/>
      <c r="AE57" s="5122"/>
      <c r="AF57" s="5122"/>
      <c r="AG57" s="5122"/>
      <c r="AH57" s="5634"/>
      <c r="AI57" s="5094" t="s">
        <v>1</v>
      </c>
      <c r="AJ57" s="5120"/>
      <c r="AK57" s="5121"/>
      <c r="AL57" s="5121"/>
      <c r="AM57" s="5121"/>
      <c r="AN57" s="5121"/>
      <c r="AO57" s="5122"/>
      <c r="AP57" s="5122"/>
      <c r="AQ57" s="5122"/>
      <c r="AR57" s="5122"/>
      <c r="AS57" s="5122"/>
      <c r="AT57" s="5122"/>
      <c r="AU57" s="5122"/>
      <c r="AV57" s="5122"/>
      <c r="AW57" s="5122"/>
      <c r="AX57" s="5122"/>
      <c r="AY57" s="5634"/>
      <c r="AZ57" s="5094" t="s">
        <v>1</v>
      </c>
      <c r="BA57" s="7258" t="s">
        <v>8159</v>
      </c>
      <c r="BB57" s="7258"/>
      <c r="BC57" s="2"/>
      <c r="BD57" s="6935" t="s">
        <v>8160</v>
      </c>
      <c r="BE57" s="6935"/>
      <c r="BF57" s="2"/>
      <c r="BG57" s="7200" t="s">
        <v>8161</v>
      </c>
      <c r="BH57" s="7200"/>
      <c r="BI57" s="2"/>
      <c r="BJ57" s="7202" t="s">
        <v>8162</v>
      </c>
      <c r="BK57" s="7202"/>
      <c r="BL57" s="2"/>
      <c r="BM57" s="7188" t="s">
        <v>8168</v>
      </c>
      <c r="BN57" s="7188"/>
      <c r="BO57" s="4"/>
      <c r="BP57" s="7190" t="s">
        <v>8169</v>
      </c>
      <c r="BQ57" s="7190"/>
      <c r="BR57" s="2"/>
      <c r="BS57" s="2"/>
      <c r="BT57" s="2"/>
      <c r="BU57" s="2"/>
      <c r="BV57" s="5508" t="s">
        <v>3619</v>
      </c>
      <c r="BW57" s="5509" t="s">
        <v>3619</v>
      </c>
      <c r="BX57" s="5500" t="s">
        <v>3620</v>
      </c>
      <c r="BY57" s="5508" t="s">
        <v>3620</v>
      </c>
      <c r="BZ57" s="5500">
        <v>0</v>
      </c>
      <c r="CA57" s="5500">
        <v>0</v>
      </c>
      <c r="CB57" s="5500">
        <v>128</v>
      </c>
      <c r="CC57" s="5501" t="s">
        <v>3619</v>
      </c>
      <c r="CD57" s="2"/>
      <c r="CE57" s="5136" t="s">
        <v>7837</v>
      </c>
      <c r="CF57" s="5135"/>
      <c r="CG57" s="5135"/>
      <c r="CH57" s="5135"/>
      <c r="CI57" s="5135"/>
      <c r="CJ57" s="2"/>
      <c r="CK57" s="5">
        <v>1</v>
      </c>
      <c r="CL57" s="1"/>
      <c r="CM57" s="1"/>
    </row>
    <row r="58" spans="1:91" s="187" customFormat="1" ht="21" customHeight="1">
      <c r="A58"/>
      <c r="B58" s="5120"/>
      <c r="C58" s="5121"/>
      <c r="D58" s="5121"/>
      <c r="E58" s="5121"/>
      <c r="F58" s="5121"/>
      <c r="G58" s="5122"/>
      <c r="H58" s="5122"/>
      <c r="I58" s="5122"/>
      <c r="J58" s="5122"/>
      <c r="K58" s="5122"/>
      <c r="L58" s="5122"/>
      <c r="M58" s="5122"/>
      <c r="N58" s="5122"/>
      <c r="O58" s="5122"/>
      <c r="P58" s="5122"/>
      <c r="Q58" s="5634"/>
      <c r="R58" s="5094" t="s">
        <v>1</v>
      </c>
      <c r="S58" s="5120"/>
      <c r="T58" s="5121"/>
      <c r="U58" s="5121"/>
      <c r="V58" s="5121"/>
      <c r="W58" s="5121"/>
      <c r="X58" s="5122"/>
      <c r="Y58" s="5122"/>
      <c r="Z58" s="5122"/>
      <c r="AA58" s="5122"/>
      <c r="AB58" s="5122"/>
      <c r="AC58" s="5122"/>
      <c r="AD58" s="5122"/>
      <c r="AE58" s="5122"/>
      <c r="AF58" s="5122"/>
      <c r="AG58" s="5122"/>
      <c r="AH58" s="5634"/>
      <c r="AI58" s="5094" t="s">
        <v>1</v>
      </c>
      <c r="AJ58" s="5120"/>
      <c r="AK58" s="5121"/>
      <c r="AL58" s="5121"/>
      <c r="AM58" s="5121"/>
      <c r="AN58" s="5121"/>
      <c r="AO58" s="5122"/>
      <c r="AP58" s="5122"/>
      <c r="AQ58" s="5122"/>
      <c r="AR58" s="5122"/>
      <c r="AS58" s="5122"/>
      <c r="AT58" s="5122"/>
      <c r="AU58" s="5122"/>
      <c r="AV58" s="5122"/>
      <c r="AW58" s="5122"/>
      <c r="AX58" s="5122"/>
      <c r="AY58" s="5634"/>
      <c r="AZ58" s="5094" t="s">
        <v>1</v>
      </c>
      <c r="BA58" s="7249"/>
      <c r="BB58" s="7249"/>
      <c r="BC58" s="2"/>
      <c r="BD58" s="6936"/>
      <c r="BE58" s="6936"/>
      <c r="BF58" s="2"/>
      <c r="BG58" s="7201"/>
      <c r="BH58" s="7201"/>
      <c r="BI58" s="2"/>
      <c r="BJ58" s="7203"/>
      <c r="BK58" s="7203"/>
      <c r="BL58" s="2"/>
      <c r="BM58" s="7189"/>
      <c r="BN58" s="7189"/>
      <c r="BO58" s="4"/>
      <c r="BP58" s="7191"/>
      <c r="BQ58" s="7191"/>
      <c r="BR58" s="2"/>
      <c r="BS58" s="2"/>
      <c r="BT58" s="2"/>
      <c r="BU58" s="2"/>
      <c r="BV58" s="5589" t="s">
        <v>3629</v>
      </c>
      <c r="BW58" s="5590" t="s">
        <v>3629</v>
      </c>
      <c r="BX58" s="5500" t="s">
        <v>3630</v>
      </c>
      <c r="BY58" s="5603" t="s">
        <v>3630</v>
      </c>
      <c r="BZ58" s="5500">
        <v>128</v>
      </c>
      <c r="CA58" s="5500">
        <v>128</v>
      </c>
      <c r="CB58" s="5500">
        <v>0</v>
      </c>
      <c r="CC58" s="5501" t="s">
        <v>3629</v>
      </c>
      <c r="CD58" s="2"/>
      <c r="CE58" s="5136" t="s">
        <v>7838</v>
      </c>
      <c r="CF58" s="5135"/>
      <c r="CG58" s="5135"/>
      <c r="CH58" s="5135"/>
      <c r="CI58" s="5135"/>
      <c r="CJ58" s="2"/>
      <c r="CK58" s="5">
        <v>1</v>
      </c>
      <c r="CL58" s="1"/>
      <c r="CM58" s="1"/>
    </row>
    <row r="59" spans="1:91" s="187" customFormat="1" ht="21" customHeight="1" thickBot="1">
      <c r="A59"/>
      <c r="B59" s="5120"/>
      <c r="C59" s="5121"/>
      <c r="D59" s="5121"/>
      <c r="E59" s="5121"/>
      <c r="F59" s="5121"/>
      <c r="G59" s="5122"/>
      <c r="H59" s="5122"/>
      <c r="I59" s="5122"/>
      <c r="J59" s="5122"/>
      <c r="K59" s="5122"/>
      <c r="L59" s="5122"/>
      <c r="M59" s="5122"/>
      <c r="N59" s="5122"/>
      <c r="O59" s="5122"/>
      <c r="P59" s="5122"/>
      <c r="Q59" s="5634"/>
      <c r="R59" s="5094" t="s">
        <v>1</v>
      </c>
      <c r="S59" s="5120"/>
      <c r="T59" s="5121"/>
      <c r="U59" s="5121"/>
      <c r="V59" s="5121"/>
      <c r="W59" s="5121"/>
      <c r="X59" s="5122"/>
      <c r="Y59" s="5122"/>
      <c r="Z59" s="5122"/>
      <c r="AA59" s="5122"/>
      <c r="AB59" s="5122"/>
      <c r="AC59" s="5122"/>
      <c r="AD59" s="5122"/>
      <c r="AE59" s="5122"/>
      <c r="AF59" s="5122"/>
      <c r="AG59" s="5122"/>
      <c r="AH59" s="5634"/>
      <c r="AI59" s="5094" t="s">
        <v>1</v>
      </c>
      <c r="AJ59" s="5120"/>
      <c r="AK59" s="5121"/>
      <c r="AL59" s="5121"/>
      <c r="AM59" s="5121"/>
      <c r="AN59" s="5121"/>
      <c r="AO59" s="5122"/>
      <c r="AP59" s="5122"/>
      <c r="AQ59" s="5122"/>
      <c r="AR59" s="5122"/>
      <c r="AS59" s="5122"/>
      <c r="AT59" s="5122"/>
      <c r="AU59" s="5122"/>
      <c r="AV59" s="5122"/>
      <c r="AW59" s="5122"/>
      <c r="AX59" s="5122"/>
      <c r="AY59" s="5634"/>
      <c r="AZ59" s="5094" t="s">
        <v>1</v>
      </c>
      <c r="BA59" s="2"/>
      <c r="BB59" s="2"/>
      <c r="BC59" s="2"/>
      <c r="BD59" s="2"/>
      <c r="BE59" s="2"/>
      <c r="BF59" s="2"/>
      <c r="BG59" s="2"/>
      <c r="BH59" s="2"/>
      <c r="BI59" s="2"/>
      <c r="BJ59" s="2"/>
      <c r="BK59" s="2"/>
      <c r="BL59" s="2"/>
      <c r="BM59" s="2"/>
      <c r="BN59" s="2"/>
      <c r="BO59" s="4"/>
      <c r="BP59" s="2"/>
      <c r="BQ59" s="2"/>
      <c r="BR59" s="2"/>
      <c r="BS59" s="2"/>
      <c r="BT59" s="2"/>
      <c r="BU59" s="2"/>
      <c r="BV59" s="5546" t="s">
        <v>3639</v>
      </c>
      <c r="BW59" s="5547" t="s">
        <v>3639</v>
      </c>
      <c r="BX59" s="5500" t="s">
        <v>3528</v>
      </c>
      <c r="BY59" s="5604" t="s">
        <v>3528</v>
      </c>
      <c r="BZ59" s="5500">
        <v>128</v>
      </c>
      <c r="CA59" s="5500">
        <v>0</v>
      </c>
      <c r="CB59" s="5500">
        <v>128</v>
      </c>
      <c r="CC59" s="5501" t="s">
        <v>3639</v>
      </c>
      <c r="CD59" s="2"/>
      <c r="CE59" s="1"/>
      <c r="CF59" s="1"/>
      <c r="CG59" s="1"/>
      <c r="CH59" s="1"/>
      <c r="CI59" s="473">
        <v>1</v>
      </c>
      <c r="CJ59" s="473">
        <v>1</v>
      </c>
      <c r="CK59" s="5">
        <v>1</v>
      </c>
      <c r="CL59" s="1"/>
      <c r="CM59" s="1"/>
    </row>
    <row r="60" spans="1:91" s="187" customFormat="1" ht="21" customHeight="1">
      <c r="A60"/>
      <c r="B60" s="5120"/>
      <c r="C60" s="5121"/>
      <c r="D60" s="5121"/>
      <c r="E60" s="5121"/>
      <c r="F60" s="5121"/>
      <c r="G60" s="5122"/>
      <c r="H60" s="5122"/>
      <c r="I60" s="5122"/>
      <c r="J60" s="5122"/>
      <c r="K60" s="5122"/>
      <c r="L60" s="5122"/>
      <c r="M60" s="5122"/>
      <c r="N60" s="5122"/>
      <c r="O60" s="5122"/>
      <c r="P60" s="5122"/>
      <c r="Q60" s="5634"/>
      <c r="R60" s="5094" t="s">
        <v>1</v>
      </c>
      <c r="S60" s="5120"/>
      <c r="T60" s="5121"/>
      <c r="U60" s="5121"/>
      <c r="V60" s="5121"/>
      <c r="W60" s="5121"/>
      <c r="X60" s="5122"/>
      <c r="Y60" s="5122"/>
      <c r="Z60" s="5122"/>
      <c r="AA60" s="5122"/>
      <c r="AB60" s="5122"/>
      <c r="AC60" s="5122"/>
      <c r="AD60" s="5122"/>
      <c r="AE60" s="5122"/>
      <c r="AF60" s="5122"/>
      <c r="AG60" s="5122"/>
      <c r="AH60" s="5634"/>
      <c r="AI60" s="5094" t="s">
        <v>1</v>
      </c>
      <c r="AJ60" s="5120"/>
      <c r="AK60" s="5121"/>
      <c r="AL60" s="5121"/>
      <c r="AM60" s="5121"/>
      <c r="AN60" s="5121"/>
      <c r="AO60" s="5122"/>
      <c r="AP60" s="5122"/>
      <c r="AQ60" s="5122"/>
      <c r="AR60" s="5122"/>
      <c r="AS60" s="5122"/>
      <c r="AT60" s="5122"/>
      <c r="AU60" s="5122"/>
      <c r="AV60" s="5122"/>
      <c r="AW60" s="5122"/>
      <c r="AX60" s="5122"/>
      <c r="AY60" s="5634"/>
      <c r="AZ60" s="5094" t="s">
        <v>1</v>
      </c>
      <c r="BA60" s="7261" t="s">
        <v>8170</v>
      </c>
      <c r="BB60" s="7261"/>
      <c r="BC60" s="2"/>
      <c r="BD60" s="6935" t="s">
        <v>8171</v>
      </c>
      <c r="BE60" s="6935"/>
      <c r="BF60" s="2"/>
      <c r="BG60" s="7200" t="s">
        <v>8172</v>
      </c>
      <c r="BH60" s="7200"/>
      <c r="BI60" s="2"/>
      <c r="BJ60" s="7202" t="s">
        <v>8173</v>
      </c>
      <c r="BK60" s="7202"/>
      <c r="BL60" s="2"/>
      <c r="BM60" s="7188" t="s">
        <v>8179</v>
      </c>
      <c r="BN60" s="7188"/>
      <c r="BO60" s="4"/>
      <c r="BP60" s="7190" t="s">
        <v>8180</v>
      </c>
      <c r="BQ60" s="7190"/>
      <c r="BR60" s="2"/>
      <c r="BS60" s="2"/>
      <c r="BT60" s="2"/>
      <c r="BU60" s="2"/>
      <c r="BV60" s="5513" t="s">
        <v>3648</v>
      </c>
      <c r="BW60" s="5514" t="s">
        <v>3648</v>
      </c>
      <c r="BX60" s="5500" t="s">
        <v>3547</v>
      </c>
      <c r="BY60" s="5605" t="s">
        <v>3547</v>
      </c>
      <c r="BZ60" s="5500">
        <v>0</v>
      </c>
      <c r="CA60" s="5500">
        <v>128</v>
      </c>
      <c r="CB60" s="5500">
        <v>128</v>
      </c>
      <c r="CC60" s="5501" t="s">
        <v>3648</v>
      </c>
      <c r="CD60" s="2"/>
      <c r="CE60" s="2"/>
      <c r="CF60" s="2"/>
      <c r="CG60" s="2"/>
      <c r="CH60" s="2"/>
      <c r="CI60" s="2"/>
      <c r="CJ60" s="2"/>
      <c r="CK60" s="5">
        <v>1</v>
      </c>
      <c r="CL60" s="1"/>
      <c r="CM60" s="1"/>
    </row>
    <row r="61" spans="1:91" s="187" customFormat="1" ht="21" customHeight="1">
      <c r="A61"/>
      <c r="B61" s="5120"/>
      <c r="C61" s="5121"/>
      <c r="D61" s="5121"/>
      <c r="E61" s="5121"/>
      <c r="F61" s="5121"/>
      <c r="G61" s="5122"/>
      <c r="H61" s="5122"/>
      <c r="I61" s="5122"/>
      <c r="J61" s="5122"/>
      <c r="K61" s="5122"/>
      <c r="L61" s="5122"/>
      <c r="M61" s="5122"/>
      <c r="N61" s="5122"/>
      <c r="O61" s="5122"/>
      <c r="P61" s="5122"/>
      <c r="Q61" s="5634"/>
      <c r="R61" s="5094" t="s">
        <v>1</v>
      </c>
      <c r="S61" s="5120"/>
      <c r="T61" s="5121"/>
      <c r="U61" s="5121"/>
      <c r="V61" s="5121"/>
      <c r="W61" s="5121"/>
      <c r="X61" s="5122"/>
      <c r="Y61" s="5122"/>
      <c r="Z61" s="5122"/>
      <c r="AA61" s="5122"/>
      <c r="AB61" s="5122"/>
      <c r="AC61" s="5122"/>
      <c r="AD61" s="5122"/>
      <c r="AE61" s="5122"/>
      <c r="AF61" s="5122"/>
      <c r="AG61" s="5122"/>
      <c r="AH61" s="5634"/>
      <c r="AI61" s="5094" t="s">
        <v>1</v>
      </c>
      <c r="AJ61" s="5120"/>
      <c r="AK61" s="5121"/>
      <c r="AL61" s="5121"/>
      <c r="AM61" s="5121"/>
      <c r="AN61" s="5121"/>
      <c r="AO61" s="5122"/>
      <c r="AP61" s="5122"/>
      <c r="AQ61" s="5122"/>
      <c r="AR61" s="5122"/>
      <c r="AS61" s="5122"/>
      <c r="AT61" s="5122"/>
      <c r="AU61" s="5122"/>
      <c r="AV61" s="5122"/>
      <c r="AW61" s="5122"/>
      <c r="AX61" s="5122"/>
      <c r="AY61" s="5634"/>
      <c r="AZ61" s="5094" t="s">
        <v>1</v>
      </c>
      <c r="BA61" s="7262"/>
      <c r="BB61" s="7262"/>
      <c r="BC61" s="2"/>
      <c r="BD61" s="6936"/>
      <c r="BE61" s="6936"/>
      <c r="BF61" s="2"/>
      <c r="BG61" s="7201"/>
      <c r="BH61" s="7201"/>
      <c r="BI61" s="2"/>
      <c r="BJ61" s="7203"/>
      <c r="BK61" s="7203"/>
      <c r="BL61" s="2"/>
      <c r="BM61" s="7189"/>
      <c r="BN61" s="7189"/>
      <c r="BO61" s="4"/>
      <c r="BP61" s="7191"/>
      <c r="BQ61" s="7191"/>
      <c r="BR61" s="2"/>
      <c r="BS61" s="2"/>
      <c r="BT61" s="2"/>
      <c r="BU61" s="2"/>
      <c r="BV61" s="5502" t="s">
        <v>3657</v>
      </c>
      <c r="BW61" s="5503" t="s">
        <v>3657</v>
      </c>
      <c r="BX61" s="5500" t="s">
        <v>3658</v>
      </c>
      <c r="BY61" s="5502" t="s">
        <v>3658</v>
      </c>
      <c r="BZ61" s="5500">
        <v>192</v>
      </c>
      <c r="CA61" s="5500">
        <v>192</v>
      </c>
      <c r="CB61" s="5500">
        <v>192</v>
      </c>
      <c r="CC61" s="5501" t="s">
        <v>3657</v>
      </c>
      <c r="CD61" s="2"/>
      <c r="CE61" s="2"/>
      <c r="CF61" s="2"/>
      <c r="CG61" s="2"/>
      <c r="CH61" s="2"/>
      <c r="CI61" s="2"/>
      <c r="CJ61" s="2"/>
      <c r="CK61" s="5">
        <v>1</v>
      </c>
      <c r="CL61" s="1"/>
      <c r="CM61" s="1"/>
    </row>
    <row r="62" spans="1:91" s="187" customFormat="1" ht="21" customHeight="1" thickBot="1">
      <c r="A62"/>
      <c r="B62" s="5120"/>
      <c r="C62" s="5121"/>
      <c r="D62" s="5121"/>
      <c r="E62" s="5121"/>
      <c r="F62" s="5121"/>
      <c r="G62" s="5122"/>
      <c r="H62" s="5122"/>
      <c r="I62" s="5122"/>
      <c r="J62" s="5122"/>
      <c r="K62" s="5122"/>
      <c r="L62" s="5122"/>
      <c r="M62" s="5122"/>
      <c r="N62" s="5122"/>
      <c r="O62" s="5122"/>
      <c r="P62" s="5122"/>
      <c r="Q62" s="5634"/>
      <c r="R62" s="5094" t="s">
        <v>1</v>
      </c>
      <c r="S62" s="5120"/>
      <c r="T62" s="5121"/>
      <c r="U62" s="5121"/>
      <c r="V62" s="5121"/>
      <c r="W62" s="5121"/>
      <c r="X62" s="5122"/>
      <c r="Y62" s="5122"/>
      <c r="Z62" s="5122"/>
      <c r="AA62" s="5122"/>
      <c r="AB62" s="5122"/>
      <c r="AC62" s="5122"/>
      <c r="AD62" s="5122"/>
      <c r="AE62" s="5122"/>
      <c r="AF62" s="5122"/>
      <c r="AG62" s="5122"/>
      <c r="AH62" s="5634"/>
      <c r="AI62" s="5094" t="s">
        <v>1</v>
      </c>
      <c r="AJ62" s="5120"/>
      <c r="AK62" s="5121"/>
      <c r="AL62" s="5121"/>
      <c r="AM62" s="5121"/>
      <c r="AN62" s="5121"/>
      <c r="AO62" s="5122"/>
      <c r="AP62" s="5122"/>
      <c r="AQ62" s="5122"/>
      <c r="AR62" s="5122"/>
      <c r="AS62" s="5122"/>
      <c r="AT62" s="5122"/>
      <c r="AU62" s="5122"/>
      <c r="AV62" s="5122"/>
      <c r="AW62" s="5122"/>
      <c r="AX62" s="5122"/>
      <c r="AY62" s="5634"/>
      <c r="AZ62" s="5094" t="s">
        <v>1</v>
      </c>
      <c r="BA62" s="2"/>
      <c r="BB62" s="2"/>
      <c r="BC62" s="2"/>
      <c r="BD62" s="2"/>
      <c r="BE62" s="2"/>
      <c r="BF62" s="2"/>
      <c r="BG62" s="2"/>
      <c r="BH62" s="2"/>
      <c r="BI62" s="2"/>
      <c r="BJ62" s="2"/>
      <c r="BK62" s="2"/>
      <c r="BL62" s="2"/>
      <c r="BM62" s="2"/>
      <c r="BN62" s="2"/>
      <c r="BO62" s="4"/>
      <c r="BP62" s="2"/>
      <c r="BQ62" s="2"/>
      <c r="BR62" s="2"/>
      <c r="BS62" s="2"/>
      <c r="BT62" s="2"/>
      <c r="BU62" s="2"/>
      <c r="BV62" s="5511" t="s">
        <v>3667</v>
      </c>
      <c r="BW62" s="5512" t="s">
        <v>3667</v>
      </c>
      <c r="BX62" s="5500" t="s">
        <v>3668</v>
      </c>
      <c r="BY62" s="5511" t="s">
        <v>3668</v>
      </c>
      <c r="BZ62" s="5500">
        <v>128</v>
      </c>
      <c r="CA62" s="5500">
        <v>128</v>
      </c>
      <c r="CB62" s="5500">
        <v>128</v>
      </c>
      <c r="CC62" s="5501" t="s">
        <v>3667</v>
      </c>
      <c r="CD62" s="2"/>
      <c r="CE62" s="2"/>
      <c r="CF62" s="2"/>
      <c r="CG62" s="2"/>
      <c r="CH62" s="2"/>
      <c r="CI62" s="2"/>
      <c r="CJ62" s="2"/>
      <c r="CK62" s="5">
        <v>1</v>
      </c>
      <c r="CL62" s="1"/>
      <c r="CM62" s="1"/>
    </row>
    <row r="63" spans="1:91" s="187" customFormat="1" ht="21" customHeight="1">
      <c r="A63"/>
      <c r="B63" s="5120"/>
      <c r="C63" s="5121"/>
      <c r="D63" s="5121"/>
      <c r="E63" s="5121"/>
      <c r="F63" s="5121"/>
      <c r="G63" s="5122"/>
      <c r="H63" s="5122"/>
      <c r="I63" s="5122"/>
      <c r="J63" s="5122"/>
      <c r="K63" s="5122"/>
      <c r="L63" s="5122"/>
      <c r="M63" s="5122"/>
      <c r="N63" s="5122"/>
      <c r="O63" s="5122"/>
      <c r="P63" s="5122"/>
      <c r="Q63" s="5634"/>
      <c r="R63" s="5094" t="s">
        <v>1</v>
      </c>
      <c r="S63" s="5120"/>
      <c r="T63" s="5121"/>
      <c r="U63" s="5121"/>
      <c r="V63" s="5121"/>
      <c r="W63" s="5121"/>
      <c r="X63" s="5122"/>
      <c r="Y63" s="5122"/>
      <c r="Z63" s="5122"/>
      <c r="AA63" s="5122"/>
      <c r="AB63" s="5122"/>
      <c r="AC63" s="5122"/>
      <c r="AD63" s="5122"/>
      <c r="AE63" s="5122"/>
      <c r="AF63" s="5122"/>
      <c r="AG63" s="5122"/>
      <c r="AH63" s="5634"/>
      <c r="AI63" s="5094" t="s">
        <v>1</v>
      </c>
      <c r="AJ63" s="5120"/>
      <c r="AK63" s="5121"/>
      <c r="AL63" s="5121"/>
      <c r="AM63" s="5121"/>
      <c r="AN63" s="5121"/>
      <c r="AO63" s="5122"/>
      <c r="AP63" s="5122"/>
      <c r="AQ63" s="5122"/>
      <c r="AR63" s="5122"/>
      <c r="AS63" s="5122"/>
      <c r="AT63" s="5122"/>
      <c r="AU63" s="5122"/>
      <c r="AV63" s="5122"/>
      <c r="AW63" s="5122"/>
      <c r="AX63" s="5122"/>
      <c r="AY63" s="5634"/>
      <c r="AZ63" s="5094" t="s">
        <v>1</v>
      </c>
      <c r="BA63" s="7265" t="s">
        <v>8181</v>
      </c>
      <c r="BB63" s="7265"/>
      <c r="BC63" s="2"/>
      <c r="BD63" s="6935" t="s">
        <v>8182</v>
      </c>
      <c r="BE63" s="6935"/>
      <c r="BF63" s="2"/>
      <c r="BG63" s="7200" t="s">
        <v>8183</v>
      </c>
      <c r="BH63" s="7200"/>
      <c r="BI63" s="2"/>
      <c r="BJ63" s="7202" t="s">
        <v>8184</v>
      </c>
      <c r="BK63" s="7202"/>
      <c r="BL63" s="2"/>
      <c r="BM63" s="7188" t="s">
        <v>8190</v>
      </c>
      <c r="BN63" s="7188"/>
      <c r="BO63" s="4"/>
      <c r="BP63" s="7190" t="s">
        <v>8191</v>
      </c>
      <c r="BQ63" s="7190"/>
      <c r="BR63" s="2"/>
      <c r="BS63" s="2"/>
      <c r="BT63" s="2"/>
      <c r="BU63" s="2"/>
      <c r="BV63" s="5606" t="s">
        <v>3677</v>
      </c>
      <c r="BW63" s="5521" t="s">
        <v>3677</v>
      </c>
      <c r="BX63" s="5500" t="s">
        <v>3678</v>
      </c>
      <c r="BY63" s="5520" t="s">
        <v>3678</v>
      </c>
      <c r="BZ63" s="5500">
        <v>153</v>
      </c>
      <c r="CA63" s="5500">
        <v>153</v>
      </c>
      <c r="CB63" s="5500">
        <v>255</v>
      </c>
      <c r="CC63" s="5501" t="s">
        <v>3677</v>
      </c>
      <c r="CD63" s="2"/>
      <c r="CE63" s="2"/>
      <c r="CF63" s="2"/>
      <c r="CG63" s="2"/>
      <c r="CH63" s="2"/>
      <c r="CI63" s="2"/>
      <c r="CJ63" s="2"/>
      <c r="CK63" s="5">
        <v>1</v>
      </c>
      <c r="CL63" s="1"/>
      <c r="CM63" s="1"/>
    </row>
    <row r="64" spans="1:91" s="187" customFormat="1" ht="21" customHeight="1">
      <c r="A64"/>
      <c r="B64" s="5120"/>
      <c r="C64" s="5121"/>
      <c r="D64" s="5121"/>
      <c r="E64" s="5121"/>
      <c r="F64" s="5121"/>
      <c r="G64" s="5122"/>
      <c r="H64" s="5122"/>
      <c r="I64" s="5122"/>
      <c r="J64" s="5122"/>
      <c r="K64" s="5122"/>
      <c r="L64" s="5122"/>
      <c r="M64" s="5122"/>
      <c r="N64" s="5122"/>
      <c r="O64" s="5122"/>
      <c r="P64" s="5122"/>
      <c r="Q64" s="5634"/>
      <c r="R64" s="5094" t="s">
        <v>1</v>
      </c>
      <c r="S64" s="5120"/>
      <c r="T64" s="5121"/>
      <c r="U64" s="5121"/>
      <c r="V64" s="5121"/>
      <c r="W64" s="5121"/>
      <c r="X64" s="5122"/>
      <c r="Y64" s="5122"/>
      <c r="Z64" s="5122"/>
      <c r="AA64" s="5122"/>
      <c r="AB64" s="5122"/>
      <c r="AC64" s="5122"/>
      <c r="AD64" s="5122"/>
      <c r="AE64" s="5122"/>
      <c r="AF64" s="5122"/>
      <c r="AG64" s="5122"/>
      <c r="AH64" s="5634"/>
      <c r="AI64" s="5094" t="s">
        <v>1</v>
      </c>
      <c r="AJ64" s="5120"/>
      <c r="AK64" s="5121"/>
      <c r="AL64" s="5121"/>
      <c r="AM64" s="5121"/>
      <c r="AN64" s="5121"/>
      <c r="AO64" s="5122"/>
      <c r="AP64" s="5122"/>
      <c r="AQ64" s="5122"/>
      <c r="AR64" s="5122"/>
      <c r="AS64" s="5122"/>
      <c r="AT64" s="5122"/>
      <c r="AU64" s="5122"/>
      <c r="AV64" s="5122"/>
      <c r="AW64" s="5122"/>
      <c r="AX64" s="5122"/>
      <c r="AY64" s="5634"/>
      <c r="AZ64" s="5094" t="s">
        <v>1</v>
      </c>
      <c r="BA64" s="7266"/>
      <c r="BB64" s="7266"/>
      <c r="BC64" s="2"/>
      <c r="BD64" s="6936"/>
      <c r="BE64" s="6936"/>
      <c r="BF64" s="2"/>
      <c r="BG64" s="7201"/>
      <c r="BH64" s="7201"/>
      <c r="BI64" s="2"/>
      <c r="BJ64" s="7203"/>
      <c r="BK64" s="7203"/>
      <c r="BL64" s="2"/>
      <c r="BM64" s="7189"/>
      <c r="BN64" s="7189"/>
      <c r="BO64" s="4"/>
      <c r="BP64" s="7191"/>
      <c r="BQ64" s="7191"/>
      <c r="BR64" s="2"/>
      <c r="BS64" s="2"/>
      <c r="BT64" s="2"/>
      <c r="BU64" s="2"/>
      <c r="BV64" s="5530" t="s">
        <v>3686</v>
      </c>
      <c r="BW64" s="5531" t="s">
        <v>3686</v>
      </c>
      <c r="BX64" s="5500" t="s">
        <v>3687</v>
      </c>
      <c r="BY64" s="5607" t="s">
        <v>3687</v>
      </c>
      <c r="BZ64" s="5500">
        <v>153</v>
      </c>
      <c r="CA64" s="5500">
        <v>51</v>
      </c>
      <c r="CB64" s="5500">
        <v>102</v>
      </c>
      <c r="CC64" s="5501" t="s">
        <v>3686</v>
      </c>
      <c r="CD64" s="2"/>
      <c r="CE64" s="2"/>
      <c r="CF64" s="2"/>
      <c r="CG64" s="2"/>
      <c r="CH64" s="2"/>
      <c r="CI64" s="2"/>
      <c r="CJ64" s="2"/>
      <c r="CK64" s="5">
        <v>1</v>
      </c>
      <c r="CL64" s="1"/>
      <c r="CM64" s="1"/>
    </row>
    <row r="65" spans="1:91" s="187" customFormat="1" ht="21" customHeight="1" thickBot="1">
      <c r="A65"/>
      <c r="B65" s="5120"/>
      <c r="C65" s="5121"/>
      <c r="D65" s="5121"/>
      <c r="E65" s="5121"/>
      <c r="F65" s="5121"/>
      <c r="G65" s="5122"/>
      <c r="H65" s="5122"/>
      <c r="I65" s="5122"/>
      <c r="J65" s="5122"/>
      <c r="K65" s="5122"/>
      <c r="L65" s="5122"/>
      <c r="M65" s="5122"/>
      <c r="N65" s="5122"/>
      <c r="O65" s="5122"/>
      <c r="P65" s="5122"/>
      <c r="Q65" s="5634"/>
      <c r="R65" s="5094" t="s">
        <v>1</v>
      </c>
      <c r="S65" s="5120"/>
      <c r="T65" s="5121"/>
      <c r="U65" s="5121"/>
      <c r="V65" s="5121"/>
      <c r="W65" s="5121"/>
      <c r="X65" s="5122"/>
      <c r="Y65" s="5122"/>
      <c r="Z65" s="5122"/>
      <c r="AA65" s="5122"/>
      <c r="AB65" s="5122"/>
      <c r="AC65" s="5122"/>
      <c r="AD65" s="5122"/>
      <c r="AE65" s="5122"/>
      <c r="AF65" s="5122"/>
      <c r="AG65" s="5122"/>
      <c r="AH65" s="5634"/>
      <c r="AI65" s="5094" t="s">
        <v>1</v>
      </c>
      <c r="AJ65" s="5120"/>
      <c r="AK65" s="5121"/>
      <c r="AL65" s="5121"/>
      <c r="AM65" s="5121"/>
      <c r="AN65" s="5121"/>
      <c r="AO65" s="5122"/>
      <c r="AP65" s="5122"/>
      <c r="AQ65" s="5122"/>
      <c r="AR65" s="5122"/>
      <c r="AS65" s="5122"/>
      <c r="AT65" s="5122"/>
      <c r="AU65" s="5122"/>
      <c r="AV65" s="5122"/>
      <c r="AW65" s="5122"/>
      <c r="AX65" s="5122"/>
      <c r="AY65" s="5634"/>
      <c r="AZ65" s="5094" t="s">
        <v>1</v>
      </c>
      <c r="BA65" s="2"/>
      <c r="BB65" s="2"/>
      <c r="BC65" s="2"/>
      <c r="BD65" s="2"/>
      <c r="BE65" s="2"/>
      <c r="BF65" s="2"/>
      <c r="BG65" s="2"/>
      <c r="BH65" s="2"/>
      <c r="BI65" s="2"/>
      <c r="BJ65" s="2"/>
      <c r="BK65" s="2"/>
      <c r="BL65" s="2"/>
      <c r="BM65" s="2"/>
      <c r="BN65" s="2"/>
      <c r="BO65" s="4"/>
      <c r="BP65" s="2"/>
      <c r="BQ65" s="2"/>
      <c r="BR65" s="2"/>
      <c r="BS65" s="2"/>
      <c r="BT65" s="2"/>
      <c r="BU65" s="2"/>
      <c r="BV65" s="5134"/>
      <c r="BW65" s="5135"/>
      <c r="BX65" s="5134"/>
      <c r="BY65" s="5134"/>
      <c r="BZ65" s="5134"/>
      <c r="CA65" s="5134"/>
      <c r="CB65" s="5134"/>
      <c r="CC65" s="5135"/>
      <c r="CD65" s="2"/>
      <c r="CE65" s="2"/>
      <c r="CF65" s="2"/>
      <c r="CG65" s="2"/>
      <c r="CH65" s="2"/>
      <c r="CI65" s="2"/>
      <c r="CJ65" s="2"/>
      <c r="CK65" s="5">
        <v>1</v>
      </c>
      <c r="CL65" s="1"/>
      <c r="CM65" s="1"/>
    </row>
    <row r="66" spans="1:91" s="187" customFormat="1" ht="21" customHeight="1">
      <c r="A66"/>
      <c r="B66" s="5120"/>
      <c r="C66" s="5121"/>
      <c r="D66" s="5121"/>
      <c r="E66" s="5121"/>
      <c r="F66" s="5121"/>
      <c r="G66" s="5122"/>
      <c r="H66" s="5122"/>
      <c r="I66" s="5122"/>
      <c r="J66" s="5122"/>
      <c r="K66" s="5122"/>
      <c r="L66" s="5122"/>
      <c r="M66" s="5122"/>
      <c r="N66" s="5122"/>
      <c r="O66" s="5122"/>
      <c r="P66" s="5122"/>
      <c r="Q66" s="5634"/>
      <c r="R66" s="5094" t="s">
        <v>1</v>
      </c>
      <c r="S66" s="5120"/>
      <c r="T66" s="5121"/>
      <c r="U66" s="5121"/>
      <c r="V66" s="5121"/>
      <c r="W66" s="5121"/>
      <c r="X66" s="5122"/>
      <c r="Y66" s="5122"/>
      <c r="Z66" s="5122"/>
      <c r="AA66" s="5122"/>
      <c r="AB66" s="5122"/>
      <c r="AC66" s="5122"/>
      <c r="AD66" s="5122"/>
      <c r="AE66" s="5122"/>
      <c r="AF66" s="5122"/>
      <c r="AG66" s="5122"/>
      <c r="AH66" s="5634"/>
      <c r="AI66" s="5094" t="s">
        <v>1</v>
      </c>
      <c r="AJ66" s="5120"/>
      <c r="AK66" s="5121"/>
      <c r="AL66" s="5121"/>
      <c r="AM66" s="5121"/>
      <c r="AN66" s="5121"/>
      <c r="AO66" s="5122"/>
      <c r="AP66" s="5122"/>
      <c r="AQ66" s="5122"/>
      <c r="AR66" s="5122"/>
      <c r="AS66" s="5122"/>
      <c r="AT66" s="5122"/>
      <c r="AU66" s="5122"/>
      <c r="AV66" s="5122"/>
      <c r="AW66" s="5122"/>
      <c r="AX66" s="5122"/>
      <c r="AY66" s="5634"/>
      <c r="AZ66" s="5094" t="s">
        <v>1</v>
      </c>
      <c r="BA66" s="7263" t="s">
        <v>8192</v>
      </c>
      <c r="BB66" s="7263"/>
      <c r="BC66" s="2"/>
      <c r="BD66" s="7215" t="s">
        <v>8193</v>
      </c>
      <c r="BE66" s="7215"/>
      <c r="BF66" s="2"/>
      <c r="BG66" s="7200" t="s">
        <v>8194</v>
      </c>
      <c r="BH66" s="7200"/>
      <c r="BI66" s="2"/>
      <c r="BJ66" s="7202" t="s">
        <v>8195</v>
      </c>
      <c r="BK66" s="7202"/>
      <c r="BL66" s="2"/>
      <c r="BM66" s="7188" t="s">
        <v>8201</v>
      </c>
      <c r="BN66" s="7188"/>
      <c r="BO66" s="4"/>
      <c r="BP66" s="7190" t="s">
        <v>8202</v>
      </c>
      <c r="BQ66" s="7190"/>
      <c r="BR66" s="2"/>
      <c r="BS66" s="2"/>
      <c r="BT66" s="2"/>
      <c r="BU66" s="2"/>
      <c r="BV66" s="5542" t="s">
        <v>3706</v>
      </c>
      <c r="BW66" s="5543" t="s">
        <v>3706</v>
      </c>
      <c r="BX66" s="5500" t="s">
        <v>1019</v>
      </c>
      <c r="BY66" s="5542" t="s">
        <v>1019</v>
      </c>
      <c r="BZ66" s="5500">
        <v>204</v>
      </c>
      <c r="CA66" s="5500">
        <v>255</v>
      </c>
      <c r="CB66" s="5500">
        <v>255</v>
      </c>
      <c r="CC66" s="5501" t="s">
        <v>3706</v>
      </c>
      <c r="CD66" s="2"/>
      <c r="CE66" s="2"/>
      <c r="CF66" s="2"/>
      <c r="CG66" s="2"/>
      <c r="CH66" s="2"/>
      <c r="CI66" s="2"/>
      <c r="CJ66" s="2"/>
      <c r="CK66" s="5">
        <v>1</v>
      </c>
      <c r="CL66" s="1"/>
      <c r="CM66" s="1"/>
    </row>
    <row r="67" spans="1:91" s="187" customFormat="1" ht="21" customHeight="1">
      <c r="A67"/>
      <c r="B67" s="5120"/>
      <c r="C67" s="5121"/>
      <c r="D67" s="5121"/>
      <c r="E67" s="5121"/>
      <c r="F67" s="5121"/>
      <c r="G67" s="5122"/>
      <c r="H67" s="5122"/>
      <c r="I67" s="5122"/>
      <c r="J67" s="5122"/>
      <c r="K67" s="5122"/>
      <c r="L67" s="5122"/>
      <c r="M67" s="5122"/>
      <c r="N67" s="5122"/>
      <c r="O67" s="5122"/>
      <c r="P67" s="5122"/>
      <c r="Q67" s="5634"/>
      <c r="R67" s="5094" t="s">
        <v>1</v>
      </c>
      <c r="S67" s="5120"/>
      <c r="T67" s="5121"/>
      <c r="U67" s="5121"/>
      <c r="V67" s="5121"/>
      <c r="W67" s="5121"/>
      <c r="X67" s="5122"/>
      <c r="Y67" s="5122"/>
      <c r="Z67" s="5122"/>
      <c r="AA67" s="5122"/>
      <c r="AB67" s="5122"/>
      <c r="AC67" s="5122"/>
      <c r="AD67" s="5122"/>
      <c r="AE67" s="5122"/>
      <c r="AF67" s="5122"/>
      <c r="AG67" s="5122"/>
      <c r="AH67" s="5634"/>
      <c r="AI67" s="5094" t="s">
        <v>1</v>
      </c>
      <c r="AJ67" s="5120"/>
      <c r="AK67" s="5121"/>
      <c r="AL67" s="5121"/>
      <c r="AM67" s="5121"/>
      <c r="AN67" s="5121"/>
      <c r="AO67" s="5122"/>
      <c r="AP67" s="5122"/>
      <c r="AQ67" s="5122"/>
      <c r="AR67" s="5122"/>
      <c r="AS67" s="5122"/>
      <c r="AT67" s="5122"/>
      <c r="AU67" s="5122"/>
      <c r="AV67" s="5122"/>
      <c r="AW67" s="5122"/>
      <c r="AX67" s="5122"/>
      <c r="AY67" s="5634"/>
      <c r="AZ67" s="5094" t="s">
        <v>1</v>
      </c>
      <c r="BA67" s="7264"/>
      <c r="BB67" s="7264"/>
      <c r="BC67" s="2"/>
      <c r="BD67" s="7042"/>
      <c r="BE67" s="7042"/>
      <c r="BF67" s="2"/>
      <c r="BG67" s="7201"/>
      <c r="BH67" s="7201"/>
      <c r="BI67" s="2"/>
      <c r="BJ67" s="7203"/>
      <c r="BK67" s="7203"/>
      <c r="BL67" s="2"/>
      <c r="BM67" s="7189"/>
      <c r="BN67" s="7189"/>
      <c r="BO67" s="4"/>
      <c r="BP67" s="7191"/>
      <c r="BQ67" s="7191"/>
      <c r="BR67" s="2"/>
      <c r="BS67" s="2"/>
      <c r="BT67" s="2"/>
      <c r="BU67" s="2"/>
      <c r="BV67" s="5554" t="s">
        <v>3715</v>
      </c>
      <c r="BW67" s="5555" t="s">
        <v>3715</v>
      </c>
      <c r="BX67" s="5500" t="s">
        <v>3716</v>
      </c>
      <c r="BY67" s="5554" t="s">
        <v>3716</v>
      </c>
      <c r="BZ67" s="5500">
        <v>102</v>
      </c>
      <c r="CA67" s="5500">
        <v>0</v>
      </c>
      <c r="CB67" s="5500">
        <v>102</v>
      </c>
      <c r="CC67" s="5501" t="s">
        <v>3715</v>
      </c>
      <c r="CD67" s="2"/>
      <c r="CE67" s="2"/>
      <c r="CF67" s="2"/>
      <c r="CG67" s="2"/>
      <c r="CH67" s="2"/>
      <c r="CI67" s="2"/>
      <c r="CJ67" s="2"/>
      <c r="CK67" s="5">
        <v>1</v>
      </c>
      <c r="CL67" s="1"/>
      <c r="CM67" s="1"/>
    </row>
    <row r="68" spans="1:91" s="187" customFormat="1" ht="21" customHeight="1" thickBot="1">
      <c r="A68"/>
      <c r="B68" s="5120"/>
      <c r="C68" s="5121"/>
      <c r="D68" s="5121"/>
      <c r="E68" s="5121"/>
      <c r="F68" s="5121"/>
      <c r="G68" s="5122"/>
      <c r="H68" s="5122"/>
      <c r="I68" s="5122"/>
      <c r="J68" s="5122"/>
      <c r="K68" s="5122"/>
      <c r="L68" s="5122"/>
      <c r="M68" s="5122"/>
      <c r="N68" s="5122"/>
      <c r="O68" s="5122"/>
      <c r="P68" s="5122"/>
      <c r="Q68" s="5634"/>
      <c r="R68" s="5094" t="s">
        <v>1</v>
      </c>
      <c r="S68" s="5120"/>
      <c r="T68" s="5121"/>
      <c r="U68" s="5121"/>
      <c r="V68" s="5121"/>
      <c r="W68" s="5121"/>
      <c r="X68" s="5122"/>
      <c r="Y68" s="5122"/>
      <c r="Z68" s="5122"/>
      <c r="AA68" s="5122"/>
      <c r="AB68" s="5122"/>
      <c r="AC68" s="5122"/>
      <c r="AD68" s="5122"/>
      <c r="AE68" s="5122"/>
      <c r="AF68" s="5122"/>
      <c r="AG68" s="5122"/>
      <c r="AH68" s="5634"/>
      <c r="AI68" s="5094" t="s">
        <v>1</v>
      </c>
      <c r="AJ68" s="5120"/>
      <c r="AK68" s="5121"/>
      <c r="AL68" s="5121"/>
      <c r="AM68" s="5121"/>
      <c r="AN68" s="5121"/>
      <c r="AO68" s="5122"/>
      <c r="AP68" s="5122"/>
      <c r="AQ68" s="5122"/>
      <c r="AR68" s="5122"/>
      <c r="AS68" s="5122"/>
      <c r="AT68" s="5122"/>
      <c r="AU68" s="5122"/>
      <c r="AV68" s="5122"/>
      <c r="AW68" s="5122"/>
      <c r="AX68" s="5122"/>
      <c r="AY68" s="5634"/>
      <c r="AZ68" s="5094" t="s">
        <v>1</v>
      </c>
      <c r="BA68" s="2"/>
      <c r="BB68" s="2"/>
      <c r="BC68" s="2"/>
      <c r="BD68" s="2"/>
      <c r="BE68" s="2"/>
      <c r="BF68" s="2"/>
      <c r="BG68" s="2"/>
      <c r="BH68" s="2"/>
      <c r="BI68" s="2"/>
      <c r="BJ68" s="2"/>
      <c r="BK68" s="2"/>
      <c r="BL68" s="2"/>
      <c r="BM68" s="2"/>
      <c r="BN68" s="2"/>
      <c r="BO68" s="4"/>
      <c r="BP68" s="2"/>
      <c r="BQ68" s="2"/>
      <c r="BR68" s="2"/>
      <c r="BS68" s="2"/>
      <c r="BT68" s="2"/>
      <c r="BU68" s="2"/>
      <c r="BV68" s="5560" t="s">
        <v>3725</v>
      </c>
      <c r="BW68" s="5561" t="s">
        <v>3725</v>
      </c>
      <c r="BX68" s="5500" t="s">
        <v>3726</v>
      </c>
      <c r="BY68" s="5560" t="s">
        <v>3726</v>
      </c>
      <c r="BZ68" s="5500">
        <v>255</v>
      </c>
      <c r="CA68" s="5500">
        <v>128</v>
      </c>
      <c r="CB68" s="5500">
        <v>128</v>
      </c>
      <c r="CC68" s="5501" t="s">
        <v>3725</v>
      </c>
      <c r="CD68" s="2"/>
      <c r="CE68" s="2"/>
      <c r="CF68" s="2"/>
      <c r="CG68" s="2"/>
      <c r="CH68" s="2"/>
      <c r="CI68" s="2"/>
      <c r="CJ68" s="2"/>
      <c r="CK68" s="5">
        <v>1</v>
      </c>
      <c r="CL68" s="1"/>
      <c r="CM68" s="1"/>
    </row>
    <row r="69" spans="1:91" s="187" customFormat="1" ht="21" customHeight="1">
      <c r="A69"/>
      <c r="B69" s="5120"/>
      <c r="C69" s="5121"/>
      <c r="D69" s="5121"/>
      <c r="E69" s="5121"/>
      <c r="F69" s="5121"/>
      <c r="G69" s="5122"/>
      <c r="H69" s="5122"/>
      <c r="I69" s="5122"/>
      <c r="J69" s="5122"/>
      <c r="K69" s="5122"/>
      <c r="L69" s="5122"/>
      <c r="M69" s="5122"/>
      <c r="N69" s="5122"/>
      <c r="O69" s="5122"/>
      <c r="P69" s="5122"/>
      <c r="Q69" s="5634"/>
      <c r="R69" s="5608">
        <v>5</v>
      </c>
      <c r="S69" s="5120"/>
      <c r="T69" s="5121"/>
      <c r="U69" s="5121"/>
      <c r="V69" s="5121"/>
      <c r="W69" s="5121"/>
      <c r="X69" s="5122"/>
      <c r="Y69" s="5122"/>
      <c r="Z69" s="5122"/>
      <c r="AA69" s="5122"/>
      <c r="AB69" s="5122"/>
      <c r="AC69" s="5122"/>
      <c r="AD69" s="5122"/>
      <c r="AE69" s="5122"/>
      <c r="AF69" s="5122"/>
      <c r="AG69" s="5122"/>
      <c r="AH69" s="5634"/>
      <c r="AI69" s="5608">
        <v>5</v>
      </c>
      <c r="AJ69" s="5120"/>
      <c r="AK69" s="5121"/>
      <c r="AL69" s="5121"/>
      <c r="AM69" s="5121"/>
      <c r="AN69" s="5121"/>
      <c r="AO69" s="5122"/>
      <c r="AP69" s="5122"/>
      <c r="AQ69" s="5122"/>
      <c r="AR69" s="5122"/>
      <c r="AS69" s="5122"/>
      <c r="AT69" s="5122"/>
      <c r="AU69" s="5122"/>
      <c r="AV69" s="5122"/>
      <c r="AW69" s="5122"/>
      <c r="AX69" s="5122"/>
      <c r="AY69" s="5634"/>
      <c r="AZ69" s="5608">
        <v>5</v>
      </c>
      <c r="BA69" s="7268" t="s">
        <v>8203</v>
      </c>
      <c r="BB69" s="7268"/>
      <c r="BC69" s="2"/>
      <c r="BD69" s="6935" t="s">
        <v>8204</v>
      </c>
      <c r="BE69" s="6935"/>
      <c r="BF69" s="2"/>
      <c r="BG69" s="7200" t="s">
        <v>8205</v>
      </c>
      <c r="BH69" s="7200"/>
      <c r="BI69" s="2"/>
      <c r="BJ69" s="7202" t="s">
        <v>8206</v>
      </c>
      <c r="BK69" s="7202"/>
      <c r="BL69" s="2"/>
      <c r="BM69" s="7188" t="s">
        <v>8211</v>
      </c>
      <c r="BN69" s="7188"/>
      <c r="BO69" s="4"/>
      <c r="BP69" s="7190" t="s">
        <v>8212</v>
      </c>
      <c r="BQ69" s="7190"/>
      <c r="BR69" s="2"/>
      <c r="BS69" s="2"/>
      <c r="BT69" s="2"/>
      <c r="BU69" s="2"/>
      <c r="BV69" s="5566" t="s">
        <v>3735</v>
      </c>
      <c r="BW69" s="5567" t="s">
        <v>3735</v>
      </c>
      <c r="BX69" s="5500" t="s">
        <v>3736</v>
      </c>
      <c r="BY69" s="5566" t="s">
        <v>3736</v>
      </c>
      <c r="BZ69" s="5500">
        <v>0</v>
      </c>
      <c r="CA69" s="5500">
        <v>102</v>
      </c>
      <c r="CB69" s="5500">
        <v>204</v>
      </c>
      <c r="CC69" s="5501" t="s">
        <v>3735</v>
      </c>
      <c r="CD69" s="2"/>
      <c r="CE69" s="2"/>
      <c r="CF69" s="2"/>
      <c r="CG69" s="2"/>
      <c r="CH69" s="2"/>
      <c r="CI69" s="2"/>
      <c r="CJ69" s="2"/>
      <c r="CK69" s="5">
        <v>1</v>
      </c>
      <c r="CL69" s="1"/>
      <c r="CM69" s="1"/>
    </row>
    <row r="70" spans="1:91" s="187" customFormat="1" ht="21" customHeight="1">
      <c r="A70"/>
      <c r="B70" s="5120"/>
      <c r="C70" s="5121"/>
      <c r="D70" s="5121"/>
      <c r="E70" s="5121"/>
      <c r="F70" s="5121"/>
      <c r="G70" s="5122"/>
      <c r="H70" s="5122"/>
      <c r="I70" s="5122"/>
      <c r="J70" s="5122"/>
      <c r="K70" s="5122"/>
      <c r="L70" s="5122"/>
      <c r="M70" s="5122"/>
      <c r="N70" s="5122"/>
      <c r="O70" s="5122"/>
      <c r="P70" s="5122"/>
      <c r="Q70" s="5634"/>
      <c r="R70" s="5094" t="s">
        <v>1</v>
      </c>
      <c r="S70" s="5120"/>
      <c r="T70" s="5121"/>
      <c r="U70" s="5121"/>
      <c r="V70" s="5121"/>
      <c r="W70" s="5121"/>
      <c r="X70" s="5122"/>
      <c r="Y70" s="5122"/>
      <c r="Z70" s="5122"/>
      <c r="AA70" s="5122"/>
      <c r="AB70" s="5122"/>
      <c r="AC70" s="5122"/>
      <c r="AD70" s="5122"/>
      <c r="AE70" s="5122"/>
      <c r="AF70" s="5122"/>
      <c r="AG70" s="5122"/>
      <c r="AH70" s="5634"/>
      <c r="AI70" s="5094" t="s">
        <v>1</v>
      </c>
      <c r="AJ70" s="5120"/>
      <c r="AK70" s="5121"/>
      <c r="AL70" s="5121"/>
      <c r="AM70" s="5121"/>
      <c r="AN70" s="5121"/>
      <c r="AO70" s="5122"/>
      <c r="AP70" s="5122"/>
      <c r="AQ70" s="5122"/>
      <c r="AR70" s="5122"/>
      <c r="AS70" s="5122"/>
      <c r="AT70" s="5122"/>
      <c r="AU70" s="5122"/>
      <c r="AV70" s="5122"/>
      <c r="AW70" s="5122"/>
      <c r="AX70" s="5122"/>
      <c r="AY70" s="5634"/>
      <c r="AZ70" s="5094" t="s">
        <v>1</v>
      </c>
      <c r="BA70" s="7269"/>
      <c r="BB70" s="7269"/>
      <c r="BC70" s="2"/>
      <c r="BD70" s="6936"/>
      <c r="BE70" s="6936"/>
      <c r="BF70" s="2"/>
      <c r="BG70" s="7201"/>
      <c r="BH70" s="7201"/>
      <c r="BI70" s="2"/>
      <c r="BJ70" s="7203"/>
      <c r="BK70" s="7203"/>
      <c r="BL70" s="2"/>
      <c r="BM70" s="7189"/>
      <c r="BN70" s="7189"/>
      <c r="BO70" s="4"/>
      <c r="BP70" s="7191"/>
      <c r="BQ70" s="7191"/>
      <c r="BR70" s="2"/>
      <c r="BS70" s="2"/>
      <c r="BT70" s="2"/>
      <c r="BU70" s="2"/>
      <c r="BV70" s="5572" t="s">
        <v>3745</v>
      </c>
      <c r="BW70" s="5573" t="s">
        <v>3745</v>
      </c>
      <c r="BX70" s="5500" t="s">
        <v>3746</v>
      </c>
      <c r="BY70" s="5572" t="s">
        <v>3746</v>
      </c>
      <c r="BZ70" s="5500">
        <v>204</v>
      </c>
      <c r="CA70" s="5500">
        <v>204</v>
      </c>
      <c r="CB70" s="5500">
        <v>255</v>
      </c>
      <c r="CC70" s="5501" t="s">
        <v>3745</v>
      </c>
      <c r="CD70" s="2"/>
      <c r="CE70" s="2"/>
      <c r="CF70" s="2"/>
      <c r="CG70" s="2"/>
      <c r="CH70" s="2"/>
      <c r="CI70" s="2"/>
      <c r="CJ70" s="2"/>
      <c r="CK70" s="5">
        <v>1</v>
      </c>
      <c r="CL70" s="1"/>
      <c r="CM70" s="1"/>
    </row>
    <row r="71" spans="1:91" s="187" customFormat="1" ht="21" customHeight="1" thickBot="1">
      <c r="A71"/>
      <c r="B71" s="5120"/>
      <c r="C71" s="5121"/>
      <c r="D71" s="5121"/>
      <c r="E71" s="5121"/>
      <c r="F71" s="5121"/>
      <c r="G71" s="5122"/>
      <c r="H71" s="5122"/>
      <c r="I71" s="5122"/>
      <c r="J71" s="5122"/>
      <c r="K71" s="5122"/>
      <c r="L71" s="5122"/>
      <c r="M71" s="5122"/>
      <c r="N71" s="5122"/>
      <c r="O71" s="5122"/>
      <c r="P71" s="5122"/>
      <c r="Q71" s="5634"/>
      <c r="R71" s="5094" t="s">
        <v>1</v>
      </c>
      <c r="S71" s="5120"/>
      <c r="T71" s="5121"/>
      <c r="U71" s="5121"/>
      <c r="V71" s="5121"/>
      <c r="W71" s="5121"/>
      <c r="X71" s="5122"/>
      <c r="Y71" s="5122"/>
      <c r="Z71" s="5122"/>
      <c r="AA71" s="5122"/>
      <c r="AB71" s="5122"/>
      <c r="AC71" s="5122"/>
      <c r="AD71" s="5122"/>
      <c r="AE71" s="5122"/>
      <c r="AF71" s="5122"/>
      <c r="AG71" s="5122"/>
      <c r="AH71" s="5634"/>
      <c r="AI71" s="5094" t="s">
        <v>1</v>
      </c>
      <c r="AJ71" s="5120"/>
      <c r="AK71" s="5121"/>
      <c r="AL71" s="5121"/>
      <c r="AM71" s="5121"/>
      <c r="AN71" s="5121"/>
      <c r="AO71" s="5122"/>
      <c r="AP71" s="5122"/>
      <c r="AQ71" s="5122"/>
      <c r="AR71" s="5122"/>
      <c r="AS71" s="5122"/>
      <c r="AT71" s="5122"/>
      <c r="AU71" s="5122"/>
      <c r="AV71" s="5122"/>
      <c r="AW71" s="5122"/>
      <c r="AX71" s="5122"/>
      <c r="AY71" s="5634"/>
      <c r="AZ71" s="5094" t="s">
        <v>1</v>
      </c>
      <c r="BA71" s="2"/>
      <c r="BB71" s="2"/>
      <c r="BC71" s="2"/>
      <c r="BD71" s="2"/>
      <c r="BE71" s="2"/>
      <c r="BF71" s="2"/>
      <c r="BG71" s="2"/>
      <c r="BH71" s="2"/>
      <c r="BI71" s="2"/>
      <c r="BJ71" s="2"/>
      <c r="BK71" s="2"/>
      <c r="BL71" s="2"/>
      <c r="BM71" s="2"/>
      <c r="BN71" s="2"/>
      <c r="BO71" s="4"/>
      <c r="BP71" s="2"/>
      <c r="BQ71" s="2"/>
      <c r="BR71" s="2"/>
      <c r="BS71" s="2"/>
      <c r="BT71" s="2"/>
      <c r="BU71" s="2"/>
      <c r="BV71" s="2"/>
      <c r="BW71" s="2"/>
      <c r="BX71" s="2"/>
      <c r="BY71" s="2"/>
      <c r="BZ71" s="2"/>
      <c r="CA71" s="2"/>
      <c r="CB71" s="2"/>
      <c r="CC71" s="2"/>
      <c r="CD71" s="2"/>
      <c r="CE71" s="2"/>
      <c r="CF71" s="2"/>
      <c r="CG71" s="2"/>
      <c r="CH71" s="2"/>
      <c r="CI71" s="2"/>
      <c r="CJ71" s="2"/>
      <c r="CK71" s="5">
        <v>1</v>
      </c>
      <c r="CL71" s="1"/>
      <c r="CM71" s="1"/>
    </row>
    <row r="72" spans="1:91" s="187" customFormat="1" ht="21" customHeight="1">
      <c r="A72"/>
      <c r="B72" s="5120"/>
      <c r="C72" s="5121"/>
      <c r="D72" s="5121"/>
      <c r="E72" s="5121"/>
      <c r="F72" s="5121"/>
      <c r="G72" s="5122"/>
      <c r="H72" s="5122"/>
      <c r="I72" s="5122"/>
      <c r="J72" s="5122"/>
      <c r="K72" s="5122"/>
      <c r="L72" s="5122"/>
      <c r="M72" s="5122"/>
      <c r="N72" s="5122"/>
      <c r="O72" s="5122"/>
      <c r="P72" s="5122"/>
      <c r="Q72" s="5634"/>
      <c r="R72" s="5094" t="s">
        <v>1</v>
      </c>
      <c r="S72" s="5120"/>
      <c r="T72" s="5121"/>
      <c r="U72" s="5121"/>
      <c r="V72" s="5121"/>
      <c r="W72" s="5121"/>
      <c r="X72" s="5122"/>
      <c r="Y72" s="5122"/>
      <c r="Z72" s="5122"/>
      <c r="AA72" s="5122"/>
      <c r="AB72" s="5122"/>
      <c r="AC72" s="5122"/>
      <c r="AD72" s="5122"/>
      <c r="AE72" s="5122"/>
      <c r="AF72" s="5122"/>
      <c r="AG72" s="5122"/>
      <c r="AH72" s="5634"/>
      <c r="AI72" s="5094" t="s">
        <v>1</v>
      </c>
      <c r="AJ72" s="5120"/>
      <c r="AK72" s="5121"/>
      <c r="AL72" s="5121"/>
      <c r="AM72" s="5121"/>
      <c r="AN72" s="5121"/>
      <c r="AO72" s="5122"/>
      <c r="AP72" s="5122"/>
      <c r="AQ72" s="5122"/>
      <c r="AR72" s="5122"/>
      <c r="AS72" s="5122"/>
      <c r="AT72" s="5122"/>
      <c r="AU72" s="5122"/>
      <c r="AV72" s="5122"/>
      <c r="AW72" s="5122"/>
      <c r="AX72" s="5122"/>
      <c r="AY72" s="5634"/>
      <c r="AZ72" s="5094" t="s">
        <v>1</v>
      </c>
      <c r="BA72" s="7267" t="s">
        <v>8213</v>
      </c>
      <c r="BB72" s="7267"/>
      <c r="BC72" s="2"/>
      <c r="BD72" s="6935" t="s">
        <v>8214</v>
      </c>
      <c r="BE72" s="6935"/>
      <c r="BF72" s="2"/>
      <c r="BG72" s="7200" t="s">
        <v>8215</v>
      </c>
      <c r="BH72" s="7200"/>
      <c r="BI72" s="2"/>
      <c r="BJ72" s="7202" t="s">
        <v>8216</v>
      </c>
      <c r="BK72" s="7202"/>
      <c r="BL72" s="2"/>
      <c r="BM72" s="7188" t="s">
        <v>8221</v>
      </c>
      <c r="BN72" s="7188"/>
      <c r="BO72" s="4"/>
      <c r="BP72" s="7190" t="s">
        <v>8222</v>
      </c>
      <c r="BQ72" s="7190"/>
      <c r="BR72" s="2"/>
      <c r="BS72" s="2"/>
      <c r="BT72" s="2"/>
      <c r="BU72" s="2"/>
      <c r="BV72" s="2"/>
      <c r="BW72" s="2"/>
      <c r="BX72" s="2"/>
      <c r="BY72" s="2"/>
      <c r="BZ72" s="2"/>
      <c r="CA72" s="2"/>
      <c r="CB72" s="2"/>
      <c r="CC72" s="2"/>
      <c r="CD72" s="2"/>
      <c r="CE72" s="2"/>
      <c r="CF72" s="2"/>
      <c r="CG72" s="2"/>
      <c r="CH72" s="2"/>
      <c r="CI72" s="2"/>
      <c r="CJ72" s="2"/>
      <c r="CK72" s="5">
        <v>1</v>
      </c>
      <c r="CL72" s="1"/>
      <c r="CM72" s="1"/>
    </row>
    <row r="73" spans="1:91" s="187" customFormat="1" ht="21" customHeight="1">
      <c r="A73"/>
      <c r="B73" s="5120"/>
      <c r="C73" s="5121"/>
      <c r="D73" s="5121"/>
      <c r="E73" s="5121"/>
      <c r="F73" s="5121"/>
      <c r="G73" s="5122"/>
      <c r="H73" s="5122"/>
      <c r="I73" s="5122"/>
      <c r="J73" s="5122"/>
      <c r="K73" s="5122"/>
      <c r="L73" s="5122"/>
      <c r="M73" s="5122"/>
      <c r="N73" s="5122"/>
      <c r="O73" s="5122"/>
      <c r="P73" s="5122"/>
      <c r="Q73" s="5634"/>
      <c r="R73" s="5094" t="s">
        <v>1</v>
      </c>
      <c r="S73" s="5120"/>
      <c r="T73" s="5121"/>
      <c r="U73" s="5121"/>
      <c r="V73" s="5121"/>
      <c r="W73" s="5121"/>
      <c r="X73" s="5122"/>
      <c r="Y73" s="5122"/>
      <c r="Z73" s="5122"/>
      <c r="AA73" s="5122"/>
      <c r="AB73" s="5122"/>
      <c r="AC73" s="5122"/>
      <c r="AD73" s="5122"/>
      <c r="AE73" s="5122"/>
      <c r="AF73" s="5122"/>
      <c r="AG73" s="5122"/>
      <c r="AH73" s="5634"/>
      <c r="AI73" s="5094" t="s">
        <v>1</v>
      </c>
      <c r="AJ73" s="5120"/>
      <c r="AK73" s="5121"/>
      <c r="AL73" s="5121"/>
      <c r="AM73" s="5121"/>
      <c r="AN73" s="5121"/>
      <c r="AO73" s="5122"/>
      <c r="AP73" s="5122"/>
      <c r="AQ73" s="5122"/>
      <c r="AR73" s="5122"/>
      <c r="AS73" s="5122"/>
      <c r="AT73" s="5122"/>
      <c r="AU73" s="5122"/>
      <c r="AV73" s="5122"/>
      <c r="AW73" s="5122"/>
      <c r="AX73" s="5122"/>
      <c r="AY73" s="5634"/>
      <c r="AZ73" s="5094" t="s">
        <v>1</v>
      </c>
      <c r="BA73" s="7220"/>
      <c r="BB73" s="7220"/>
      <c r="BC73" s="2"/>
      <c r="BD73" s="6936"/>
      <c r="BE73" s="6936"/>
      <c r="BF73" s="2"/>
      <c r="BG73" s="7201"/>
      <c r="BH73" s="7201"/>
      <c r="BI73" s="2"/>
      <c r="BJ73" s="7203"/>
      <c r="BK73" s="7203"/>
      <c r="BL73" s="2"/>
      <c r="BM73" s="7189"/>
      <c r="BN73" s="7189"/>
      <c r="BO73" s="4"/>
      <c r="BP73" s="7191"/>
      <c r="BQ73" s="7191"/>
      <c r="BR73" s="2"/>
      <c r="BS73" s="2"/>
      <c r="BT73" s="2"/>
      <c r="BU73" s="2"/>
      <c r="BV73" s="2"/>
      <c r="BW73" s="2"/>
      <c r="BX73" s="2"/>
      <c r="BY73" s="2"/>
      <c r="BZ73" s="2"/>
      <c r="CA73" s="2"/>
      <c r="CB73" s="2"/>
      <c r="CC73" s="2"/>
      <c r="CD73" s="2"/>
      <c r="CE73" s="2"/>
      <c r="CF73" s="2"/>
      <c r="CG73" s="2"/>
      <c r="CH73" s="2"/>
      <c r="CI73" s="2"/>
      <c r="CJ73" s="2"/>
      <c r="CK73" s="5">
        <v>1</v>
      </c>
      <c r="CL73" s="1"/>
      <c r="CM73" s="1"/>
    </row>
    <row r="74" spans="1:91" s="187" customFormat="1" ht="21" customHeight="1" thickBot="1">
      <c r="A74"/>
      <c r="B74" s="5120"/>
      <c r="C74" s="5121"/>
      <c r="D74" s="5121"/>
      <c r="E74" s="5121"/>
      <c r="F74" s="5121"/>
      <c r="G74" s="5122"/>
      <c r="H74" s="5122"/>
      <c r="I74" s="5122"/>
      <c r="J74" s="5122"/>
      <c r="K74" s="5122"/>
      <c r="L74" s="5122"/>
      <c r="M74" s="5122"/>
      <c r="N74" s="5122"/>
      <c r="O74" s="5122"/>
      <c r="P74" s="5122"/>
      <c r="Q74" s="5634"/>
      <c r="R74" s="5094" t="s">
        <v>1</v>
      </c>
      <c r="S74" s="5120"/>
      <c r="T74" s="5121"/>
      <c r="U74" s="5121"/>
      <c r="V74" s="5121"/>
      <c r="W74" s="5121"/>
      <c r="X74" s="5122"/>
      <c r="Y74" s="5122"/>
      <c r="Z74" s="5122"/>
      <c r="AA74" s="5122"/>
      <c r="AB74" s="5122"/>
      <c r="AC74" s="5122"/>
      <c r="AD74" s="5122"/>
      <c r="AE74" s="5122"/>
      <c r="AF74" s="5122"/>
      <c r="AG74" s="5122"/>
      <c r="AH74" s="5634"/>
      <c r="AI74" s="5094" t="s">
        <v>1</v>
      </c>
      <c r="AJ74" s="5120"/>
      <c r="AK74" s="5121"/>
      <c r="AL74" s="5121"/>
      <c r="AM74" s="5121"/>
      <c r="AN74" s="5121"/>
      <c r="AO74" s="5122"/>
      <c r="AP74" s="5122"/>
      <c r="AQ74" s="5122"/>
      <c r="AR74" s="5122"/>
      <c r="AS74" s="5122"/>
      <c r="AT74" s="5122"/>
      <c r="AU74" s="5122"/>
      <c r="AV74" s="5122"/>
      <c r="AW74" s="5122"/>
      <c r="AX74" s="5122"/>
      <c r="AY74" s="5634"/>
      <c r="AZ74" s="5094" t="s">
        <v>1</v>
      </c>
      <c r="BA74" s="2"/>
      <c r="BB74" s="2"/>
      <c r="BC74" s="2"/>
      <c r="BD74" s="2"/>
      <c r="BE74" s="2"/>
      <c r="BF74" s="2"/>
      <c r="BG74" s="2"/>
      <c r="BH74" s="2"/>
      <c r="BI74" s="2"/>
      <c r="BJ74" s="2"/>
      <c r="BK74" s="2"/>
      <c r="BL74" s="2"/>
      <c r="BM74"/>
      <c r="BN74"/>
      <c r="BO74" s="4"/>
      <c r="BP74"/>
      <c r="BQ74"/>
      <c r="BR74" s="2"/>
      <c r="BS74" s="2"/>
      <c r="BT74" s="2"/>
      <c r="BU74" s="2"/>
      <c r="BV74" s="2"/>
      <c r="BW74" s="2"/>
      <c r="BX74" s="2"/>
      <c r="BY74" s="2"/>
      <c r="BZ74" s="2"/>
      <c r="CA74" s="2"/>
      <c r="CB74" s="2"/>
      <c r="CC74" s="2"/>
      <c r="CD74" s="2"/>
      <c r="CE74" s="2"/>
      <c r="CF74" s="2"/>
      <c r="CG74" s="2"/>
      <c r="CH74" s="2"/>
      <c r="CI74" s="2"/>
      <c r="CJ74" s="2"/>
      <c r="CK74" s="5">
        <v>1</v>
      </c>
      <c r="CL74" s="1"/>
      <c r="CM74" s="1"/>
    </row>
    <row r="75" spans="1:91" s="187" customFormat="1" ht="21" customHeight="1">
      <c r="A75"/>
      <c r="B75" s="5120"/>
      <c r="C75" s="5121"/>
      <c r="D75" s="5121"/>
      <c r="E75" s="5121"/>
      <c r="F75" s="5121"/>
      <c r="G75" s="5122"/>
      <c r="H75" s="5122"/>
      <c r="I75" s="5122"/>
      <c r="J75" s="5122"/>
      <c r="K75" s="5122"/>
      <c r="L75" s="5122"/>
      <c r="M75" s="5122"/>
      <c r="N75" s="5122"/>
      <c r="O75" s="5122"/>
      <c r="P75" s="5122"/>
      <c r="Q75" s="5634"/>
      <c r="R75" s="5094" t="s">
        <v>1</v>
      </c>
      <c r="S75" s="5120"/>
      <c r="T75" s="5121"/>
      <c r="U75" s="5121"/>
      <c r="V75" s="5121"/>
      <c r="W75" s="5121"/>
      <c r="X75" s="5122"/>
      <c r="Y75" s="5122"/>
      <c r="Z75" s="5122"/>
      <c r="AA75" s="5122"/>
      <c r="AB75" s="5122"/>
      <c r="AC75" s="5122"/>
      <c r="AD75" s="5122"/>
      <c r="AE75" s="5122"/>
      <c r="AF75" s="5122"/>
      <c r="AG75" s="5122"/>
      <c r="AH75" s="5634"/>
      <c r="AI75" s="5094" t="s">
        <v>1</v>
      </c>
      <c r="AJ75" s="5120"/>
      <c r="AK75" s="5121"/>
      <c r="AL75" s="5121"/>
      <c r="AM75" s="5121"/>
      <c r="AN75" s="5121"/>
      <c r="AO75" s="5122"/>
      <c r="AP75" s="5122"/>
      <c r="AQ75" s="5122"/>
      <c r="AR75" s="5122"/>
      <c r="AS75" s="5122"/>
      <c r="AT75" s="5122"/>
      <c r="AU75" s="5122"/>
      <c r="AV75" s="5122"/>
      <c r="AW75" s="5122"/>
      <c r="AX75" s="5122"/>
      <c r="AY75" s="5634"/>
      <c r="AZ75" s="5094" t="s">
        <v>1</v>
      </c>
      <c r="BA75" s="7272" t="s">
        <v>8223</v>
      </c>
      <c r="BB75" s="7272"/>
      <c r="BC75" s="2"/>
      <c r="BD75" s="6935" t="s">
        <v>8224</v>
      </c>
      <c r="BE75" s="6935"/>
      <c r="BF75" s="2"/>
      <c r="BG75" s="7200" t="s">
        <v>8225</v>
      </c>
      <c r="BH75" s="7200"/>
      <c r="BI75" s="2"/>
      <c r="BJ75" s="7202" t="s">
        <v>8226</v>
      </c>
      <c r="BK75" s="7202"/>
      <c r="BL75" s="2"/>
      <c r="BM75" s="7188" t="s">
        <v>8231</v>
      </c>
      <c r="BN75" s="7188"/>
      <c r="BO75" s="4"/>
      <c r="BP75" s="7190" t="s">
        <v>8232</v>
      </c>
      <c r="BQ75" s="7190"/>
      <c r="BR75" s="2"/>
      <c r="BS75" s="2"/>
      <c r="BT75" s="2"/>
      <c r="BU75" s="2"/>
      <c r="BV75" s="2"/>
      <c r="BW75" s="2"/>
      <c r="BX75" s="2"/>
      <c r="BY75" s="2"/>
      <c r="BZ75" s="2"/>
      <c r="CA75" s="2"/>
      <c r="CB75" s="2"/>
      <c r="CC75" s="2"/>
      <c r="CD75" s="2"/>
      <c r="CE75" s="2"/>
      <c r="CF75" s="2"/>
      <c r="CG75" s="2"/>
      <c r="CH75" s="2"/>
      <c r="CI75" s="2"/>
      <c r="CJ75" s="2"/>
      <c r="CK75" s="5">
        <v>1</v>
      </c>
      <c r="CL75" s="1"/>
      <c r="CM75" s="1"/>
    </row>
    <row r="76" spans="1:91" s="187" customFormat="1" ht="21" customHeight="1">
      <c r="A76"/>
      <c r="B76" s="5120"/>
      <c r="C76" s="5121"/>
      <c r="D76" s="5121"/>
      <c r="E76" s="5121"/>
      <c r="F76" s="5121"/>
      <c r="G76" s="5122"/>
      <c r="H76" s="5122"/>
      <c r="I76" s="5122"/>
      <c r="J76" s="5122"/>
      <c r="K76" s="5122"/>
      <c r="L76" s="5122"/>
      <c r="M76" s="5122"/>
      <c r="N76" s="5122"/>
      <c r="O76" s="5122"/>
      <c r="P76" s="5122"/>
      <c r="Q76" s="5634"/>
      <c r="R76" s="5094" t="s">
        <v>1</v>
      </c>
      <c r="S76" s="5120"/>
      <c r="T76" s="5121"/>
      <c r="U76" s="5121"/>
      <c r="V76" s="5121"/>
      <c r="W76" s="5121"/>
      <c r="X76" s="5122"/>
      <c r="Y76" s="5122"/>
      <c r="Z76" s="5122"/>
      <c r="AA76" s="5122"/>
      <c r="AB76" s="5122"/>
      <c r="AC76" s="5122"/>
      <c r="AD76" s="5122"/>
      <c r="AE76" s="5122"/>
      <c r="AF76" s="5122"/>
      <c r="AG76" s="5122"/>
      <c r="AH76" s="5634"/>
      <c r="AI76" s="5094" t="s">
        <v>1</v>
      </c>
      <c r="AJ76" s="5120"/>
      <c r="AK76" s="5121"/>
      <c r="AL76" s="5121"/>
      <c r="AM76" s="5121"/>
      <c r="AN76" s="5121"/>
      <c r="AO76" s="5122"/>
      <c r="AP76" s="5122"/>
      <c r="AQ76" s="5122"/>
      <c r="AR76" s="5122"/>
      <c r="AS76" s="5122"/>
      <c r="AT76" s="5122"/>
      <c r="AU76" s="5122"/>
      <c r="AV76" s="5122"/>
      <c r="AW76" s="5122"/>
      <c r="AX76" s="5122"/>
      <c r="AY76" s="5634"/>
      <c r="AZ76" s="5094" t="s">
        <v>1</v>
      </c>
      <c r="BA76" s="7273"/>
      <c r="BB76" s="7273"/>
      <c r="BC76" s="2"/>
      <c r="BD76" s="6936"/>
      <c r="BE76" s="6936"/>
      <c r="BF76" s="2"/>
      <c r="BG76" s="7201"/>
      <c r="BH76" s="7201"/>
      <c r="BI76" s="2"/>
      <c r="BJ76" s="7203"/>
      <c r="BK76" s="7203"/>
      <c r="BL76" s="2"/>
      <c r="BM76" s="7189"/>
      <c r="BN76" s="7189"/>
      <c r="BO76" s="4"/>
      <c r="BP76" s="7191"/>
      <c r="BQ76" s="7191"/>
      <c r="BR76" s="2"/>
      <c r="BS76" s="2"/>
      <c r="BT76" s="2"/>
      <c r="BU76" s="2"/>
      <c r="BV76" s="2"/>
      <c r="BW76" s="2"/>
      <c r="BX76" s="2"/>
      <c r="BY76" s="2"/>
      <c r="BZ76" s="2"/>
      <c r="CA76" s="2"/>
      <c r="CB76" s="2"/>
      <c r="CC76" s="2"/>
      <c r="CD76" s="2"/>
      <c r="CE76" s="2"/>
      <c r="CF76" s="2"/>
      <c r="CG76" s="2"/>
      <c r="CH76" s="2"/>
      <c r="CI76" s="2"/>
      <c r="CJ76" s="2"/>
      <c r="CK76" s="5">
        <v>1</v>
      </c>
      <c r="CL76" s="1"/>
      <c r="CM76" s="1"/>
    </row>
    <row r="77" spans="1:91" s="187" customFormat="1" ht="21" customHeight="1" thickBot="1">
      <c r="A77"/>
      <c r="B77" s="5120"/>
      <c r="C77" s="5121"/>
      <c r="D77" s="5121"/>
      <c r="E77" s="5121"/>
      <c r="F77" s="5121"/>
      <c r="G77" s="5122"/>
      <c r="H77" s="5122"/>
      <c r="I77" s="5122"/>
      <c r="J77" s="5122"/>
      <c r="K77" s="5122"/>
      <c r="L77" s="5122"/>
      <c r="M77" s="5122"/>
      <c r="N77" s="5122"/>
      <c r="O77" s="5122"/>
      <c r="P77" s="5122"/>
      <c r="Q77" s="5634"/>
      <c r="R77" s="5094" t="s">
        <v>1</v>
      </c>
      <c r="S77" s="5120"/>
      <c r="T77" s="5121"/>
      <c r="U77" s="5121"/>
      <c r="V77" s="5121"/>
      <c r="W77" s="5121"/>
      <c r="X77" s="5122"/>
      <c r="Y77" s="5122"/>
      <c r="Z77" s="5122"/>
      <c r="AA77" s="5122"/>
      <c r="AB77" s="5122"/>
      <c r="AC77" s="5122"/>
      <c r="AD77" s="5122"/>
      <c r="AE77" s="5122"/>
      <c r="AF77" s="5122"/>
      <c r="AG77" s="5122"/>
      <c r="AH77" s="5634"/>
      <c r="AI77" s="5094" t="s">
        <v>1</v>
      </c>
      <c r="AJ77" s="5120"/>
      <c r="AK77" s="5121"/>
      <c r="AL77" s="5121"/>
      <c r="AM77" s="5121"/>
      <c r="AN77" s="5121"/>
      <c r="AO77" s="5122"/>
      <c r="AP77" s="5122"/>
      <c r="AQ77" s="5122"/>
      <c r="AR77" s="5122"/>
      <c r="AS77" s="5122"/>
      <c r="AT77" s="5122"/>
      <c r="AU77" s="5122"/>
      <c r="AV77" s="5122"/>
      <c r="AW77" s="5122"/>
      <c r="AX77" s="5122"/>
      <c r="AY77" s="5634"/>
      <c r="AZ77" s="5094" t="s">
        <v>1</v>
      </c>
      <c r="BA77" s="2"/>
      <c r="BB77" s="2"/>
      <c r="BC77" s="2"/>
      <c r="BD77" s="2"/>
      <c r="BE77" s="2"/>
      <c r="BF77" s="2"/>
      <c r="BG77" s="2"/>
      <c r="BH77" s="2"/>
      <c r="BI77" s="2"/>
      <c r="BJ77"/>
      <c r="BK77"/>
      <c r="BL77" s="2"/>
      <c r="BM77"/>
      <c r="BN77"/>
      <c r="BO77" s="4"/>
      <c r="BP77"/>
      <c r="BQ77"/>
      <c r="BR77" s="2"/>
      <c r="BS77" s="2"/>
      <c r="BT77" s="2"/>
      <c r="BU77" s="2"/>
      <c r="BV77" s="2"/>
      <c r="BW77" s="2"/>
      <c r="BX77" s="2"/>
      <c r="BY77" s="2"/>
      <c r="BZ77" s="2"/>
      <c r="CA77" s="2"/>
      <c r="CB77" s="2"/>
      <c r="CC77" s="2"/>
      <c r="CD77" s="2"/>
      <c r="CE77" s="2"/>
      <c r="CF77" s="2"/>
      <c r="CG77" s="2"/>
      <c r="CH77" s="2"/>
      <c r="CI77" s="2"/>
      <c r="CJ77" s="2"/>
      <c r="CK77" s="5">
        <v>1</v>
      </c>
      <c r="CL77" s="1"/>
      <c r="CM77" s="1"/>
    </row>
    <row r="78" spans="1:91" s="187" customFormat="1" ht="21" customHeight="1">
      <c r="A78"/>
      <c r="B78" s="5120"/>
      <c r="C78" s="5121"/>
      <c r="D78" s="5121"/>
      <c r="E78" s="5121"/>
      <c r="F78" s="5121"/>
      <c r="G78" s="5122"/>
      <c r="H78" s="5122"/>
      <c r="I78" s="5122"/>
      <c r="J78" s="5122"/>
      <c r="K78" s="5122"/>
      <c r="L78" s="5122"/>
      <c r="M78" s="5122"/>
      <c r="N78" s="5122"/>
      <c r="O78" s="5122"/>
      <c r="P78" s="5122"/>
      <c r="Q78" s="5634"/>
      <c r="R78" s="5094" t="s">
        <v>1</v>
      </c>
      <c r="S78" s="5120"/>
      <c r="T78" s="5121"/>
      <c r="U78" s="5121"/>
      <c r="V78" s="5121"/>
      <c r="W78" s="5121"/>
      <c r="X78" s="5122"/>
      <c r="Y78" s="5122"/>
      <c r="Z78" s="5122"/>
      <c r="AA78" s="5122"/>
      <c r="AB78" s="5122"/>
      <c r="AC78" s="5122"/>
      <c r="AD78" s="5122"/>
      <c r="AE78" s="5122"/>
      <c r="AF78" s="5122"/>
      <c r="AG78" s="5122"/>
      <c r="AH78" s="5634"/>
      <c r="AI78" s="5094" t="s">
        <v>1</v>
      </c>
      <c r="AJ78" s="5120"/>
      <c r="AK78" s="5121"/>
      <c r="AL78" s="5121"/>
      <c r="AM78" s="5121"/>
      <c r="AN78" s="5121"/>
      <c r="AO78" s="5122"/>
      <c r="AP78" s="5122"/>
      <c r="AQ78" s="5122"/>
      <c r="AR78" s="5122"/>
      <c r="AS78" s="5122"/>
      <c r="AT78" s="5122"/>
      <c r="AU78" s="5122"/>
      <c r="AV78" s="5122"/>
      <c r="AW78" s="5122"/>
      <c r="AX78" s="5122"/>
      <c r="AY78" s="5634"/>
      <c r="AZ78" s="5094" t="s">
        <v>1</v>
      </c>
      <c r="BA78" s="7270" t="s">
        <v>8233</v>
      </c>
      <c r="BB78" s="7270"/>
      <c r="BC78" s="2"/>
      <c r="BD78" s="6935" t="s">
        <v>8234</v>
      </c>
      <c r="BE78" s="6935"/>
      <c r="BF78" s="2"/>
      <c r="BG78" s="7200" t="s">
        <v>8235</v>
      </c>
      <c r="BH78" s="7200"/>
      <c r="BI78" s="2"/>
      <c r="BJ78" s="7202" t="s">
        <v>8236</v>
      </c>
      <c r="BK78" s="7202"/>
      <c r="BL78" s="2"/>
      <c r="BM78" s="7188" t="s">
        <v>8241</v>
      </c>
      <c r="BN78" s="7188"/>
      <c r="BO78" s="4"/>
      <c r="BP78" s="7190" t="s">
        <v>8242</v>
      </c>
      <c r="BQ78" s="7190"/>
      <c r="BR78" s="2"/>
      <c r="BS78" s="2"/>
      <c r="BT78" s="2"/>
      <c r="BU78" s="2"/>
      <c r="BV78" s="2"/>
      <c r="BW78" s="2"/>
      <c r="BX78" s="2"/>
      <c r="BY78" s="2"/>
      <c r="BZ78" s="2"/>
      <c r="CA78" s="2"/>
      <c r="CB78" s="2"/>
      <c r="CC78" s="2"/>
      <c r="CD78" s="2"/>
      <c r="CE78" s="2"/>
      <c r="CF78" s="2"/>
      <c r="CG78" s="2"/>
      <c r="CH78" s="2"/>
      <c r="CI78" s="2"/>
      <c r="CJ78" s="2"/>
      <c r="CK78" s="5">
        <v>1</v>
      </c>
      <c r="CL78" s="1"/>
      <c r="CM78" s="1"/>
    </row>
    <row r="79" spans="1:91" s="187" customFormat="1" ht="21" customHeight="1">
      <c r="A79"/>
      <c r="B79" s="5120"/>
      <c r="C79" s="5121"/>
      <c r="D79" s="5121"/>
      <c r="E79" s="5121"/>
      <c r="F79" s="5121"/>
      <c r="G79" s="5122"/>
      <c r="H79" s="5122"/>
      <c r="I79" s="5122"/>
      <c r="J79" s="5122"/>
      <c r="K79" s="5122"/>
      <c r="L79" s="5122"/>
      <c r="M79" s="5122"/>
      <c r="N79" s="5122"/>
      <c r="O79" s="5122"/>
      <c r="P79" s="5122"/>
      <c r="Q79" s="5634"/>
      <c r="R79" s="5094" t="s">
        <v>1</v>
      </c>
      <c r="S79" s="5120"/>
      <c r="T79" s="5121"/>
      <c r="U79" s="5121"/>
      <c r="V79" s="5121"/>
      <c r="W79" s="5121"/>
      <c r="X79" s="5122"/>
      <c r="Y79" s="5122"/>
      <c r="Z79" s="5122"/>
      <c r="AA79" s="5122"/>
      <c r="AB79" s="5122"/>
      <c r="AC79" s="5122"/>
      <c r="AD79" s="5122"/>
      <c r="AE79" s="5122"/>
      <c r="AF79" s="5122"/>
      <c r="AG79" s="5122"/>
      <c r="AH79" s="5634"/>
      <c r="AI79" s="5094" t="s">
        <v>1</v>
      </c>
      <c r="AJ79" s="5120"/>
      <c r="AK79" s="5121"/>
      <c r="AL79" s="5121"/>
      <c r="AM79" s="5121"/>
      <c r="AN79" s="5121"/>
      <c r="AO79" s="5122"/>
      <c r="AP79" s="5122"/>
      <c r="AQ79" s="5122"/>
      <c r="AR79" s="5122"/>
      <c r="AS79" s="5122"/>
      <c r="AT79" s="5122"/>
      <c r="AU79" s="5122"/>
      <c r="AV79" s="5122"/>
      <c r="AW79" s="5122"/>
      <c r="AX79" s="5122"/>
      <c r="AY79" s="5634"/>
      <c r="AZ79" s="5094" t="s">
        <v>1</v>
      </c>
      <c r="BA79" s="7271"/>
      <c r="BB79" s="7271"/>
      <c r="BC79" s="2"/>
      <c r="BD79" s="6936"/>
      <c r="BE79" s="6936"/>
      <c r="BF79" s="2"/>
      <c r="BG79" s="7201"/>
      <c r="BH79" s="7201"/>
      <c r="BI79" s="2"/>
      <c r="BJ79" s="7203"/>
      <c r="BK79" s="7203"/>
      <c r="BL79" s="2"/>
      <c r="BM79" s="7189"/>
      <c r="BN79" s="7189"/>
      <c r="BO79" s="4"/>
      <c r="BP79" s="7191"/>
      <c r="BQ79" s="7191"/>
      <c r="BR79" s="2"/>
      <c r="BS79" s="2"/>
      <c r="BT79" s="2"/>
      <c r="BU79" s="2"/>
      <c r="BV79" s="2"/>
      <c r="BW79" s="2"/>
      <c r="BX79" s="2"/>
      <c r="BY79" s="2"/>
      <c r="BZ79" s="2"/>
      <c r="CA79" s="2"/>
      <c r="CB79" s="2"/>
      <c r="CC79" s="2"/>
      <c r="CD79" s="2"/>
      <c r="CE79" s="2"/>
      <c r="CF79" s="2"/>
      <c r="CG79" s="2"/>
      <c r="CH79" s="2"/>
      <c r="CI79" s="2"/>
      <c r="CJ79" s="2"/>
      <c r="CK79" s="5">
        <v>1</v>
      </c>
      <c r="CL79" s="1"/>
      <c r="CM79" s="1"/>
    </row>
    <row r="80" spans="1:91" s="187" customFormat="1" ht="21" customHeight="1" thickBot="1">
      <c r="A80"/>
      <c r="B80" s="5120"/>
      <c r="C80" s="5121"/>
      <c r="D80" s="5121"/>
      <c r="E80" s="5121"/>
      <c r="F80" s="5121"/>
      <c r="G80" s="5122"/>
      <c r="H80" s="5122"/>
      <c r="I80" s="5122"/>
      <c r="J80" s="5122"/>
      <c r="K80" s="5122"/>
      <c r="L80" s="5122"/>
      <c r="M80" s="5122"/>
      <c r="N80" s="5122"/>
      <c r="O80" s="5122"/>
      <c r="P80" s="5122"/>
      <c r="Q80" s="5634"/>
      <c r="R80" s="5094" t="s">
        <v>1</v>
      </c>
      <c r="S80" s="5120"/>
      <c r="T80" s="5121"/>
      <c r="U80" s="5121"/>
      <c r="V80" s="5121"/>
      <c r="W80" s="5121"/>
      <c r="X80" s="5122"/>
      <c r="Y80" s="5122"/>
      <c r="Z80" s="5122"/>
      <c r="AA80" s="5122"/>
      <c r="AB80" s="5122"/>
      <c r="AC80" s="5122"/>
      <c r="AD80" s="5122"/>
      <c r="AE80" s="5122"/>
      <c r="AF80" s="5122"/>
      <c r="AG80" s="5122"/>
      <c r="AH80" s="5634"/>
      <c r="AI80" s="5094" t="s">
        <v>1</v>
      </c>
      <c r="AJ80" s="5120"/>
      <c r="AK80" s="5121"/>
      <c r="AL80" s="5121"/>
      <c r="AM80" s="5121"/>
      <c r="AN80" s="5121"/>
      <c r="AO80" s="5122"/>
      <c r="AP80" s="5122"/>
      <c r="AQ80" s="5122"/>
      <c r="AR80" s="5122"/>
      <c r="AS80" s="5122"/>
      <c r="AT80" s="5122"/>
      <c r="AU80" s="5122"/>
      <c r="AV80" s="5122"/>
      <c r="AW80" s="5122"/>
      <c r="AX80" s="5122"/>
      <c r="AY80" s="5634"/>
      <c r="AZ80" s="5094" t="s">
        <v>1</v>
      </c>
      <c r="BA80" s="2"/>
      <c r="BB80" s="2"/>
      <c r="BC80" s="2"/>
      <c r="BD80" s="2"/>
      <c r="BE80" s="2"/>
      <c r="BF80" s="2"/>
      <c r="BG80"/>
      <c r="BH80"/>
      <c r="BI80" s="2"/>
      <c r="BJ80"/>
      <c r="BK80"/>
      <c r="BL80" s="2"/>
      <c r="BM80"/>
      <c r="BN80"/>
      <c r="BO80" s="4"/>
      <c r="BP80"/>
      <c r="BQ80"/>
      <c r="BR80" s="2"/>
      <c r="BS80" s="2"/>
      <c r="BT80" s="2"/>
      <c r="BU80" s="2"/>
      <c r="BV80" s="2"/>
      <c r="BW80" s="2"/>
      <c r="BX80" s="2"/>
      <c r="BY80" s="2"/>
      <c r="BZ80" s="2"/>
      <c r="CA80" s="2"/>
      <c r="CB80" s="2"/>
      <c r="CC80" s="2"/>
      <c r="CD80" s="2"/>
      <c r="CE80" s="2"/>
      <c r="CF80" s="2"/>
      <c r="CG80" s="2"/>
      <c r="CH80" s="2"/>
      <c r="CI80" s="2"/>
      <c r="CJ80" s="2"/>
      <c r="CK80" s="5">
        <v>1</v>
      </c>
      <c r="CL80" s="1"/>
      <c r="CM80" s="1"/>
    </row>
    <row r="81" spans="1:91" s="187" customFormat="1" ht="21" customHeight="1">
      <c r="A81"/>
      <c r="B81" s="5120"/>
      <c r="C81" s="5121"/>
      <c r="D81" s="5121"/>
      <c r="E81" s="5121"/>
      <c r="F81" s="5121"/>
      <c r="G81" s="5122"/>
      <c r="H81" s="5122"/>
      <c r="I81" s="5122"/>
      <c r="J81" s="5122"/>
      <c r="K81" s="5122"/>
      <c r="L81" s="5122"/>
      <c r="M81" s="5122"/>
      <c r="N81" s="5122"/>
      <c r="O81" s="5122"/>
      <c r="P81" s="5122"/>
      <c r="Q81" s="5634"/>
      <c r="R81" s="5094" t="s">
        <v>1</v>
      </c>
      <c r="S81" s="5120"/>
      <c r="T81" s="5121"/>
      <c r="U81" s="5121"/>
      <c r="V81" s="5121"/>
      <c r="W81" s="5121"/>
      <c r="X81" s="5122"/>
      <c r="Y81" s="5122"/>
      <c r="Z81" s="5122"/>
      <c r="AA81" s="5122"/>
      <c r="AB81" s="5122"/>
      <c r="AC81" s="5122"/>
      <c r="AD81" s="5122"/>
      <c r="AE81" s="5122"/>
      <c r="AF81" s="5122"/>
      <c r="AG81" s="5122"/>
      <c r="AH81" s="5634"/>
      <c r="AI81" s="5094" t="s">
        <v>1</v>
      </c>
      <c r="AJ81" s="5120"/>
      <c r="AK81" s="5121"/>
      <c r="AL81" s="5121"/>
      <c r="AM81" s="5121"/>
      <c r="AN81" s="5121"/>
      <c r="AO81" s="5122"/>
      <c r="AP81" s="5122"/>
      <c r="AQ81" s="5122"/>
      <c r="AR81" s="5122"/>
      <c r="AS81" s="5122"/>
      <c r="AT81" s="5122"/>
      <c r="AU81" s="5122"/>
      <c r="AV81" s="5122"/>
      <c r="AW81" s="5122"/>
      <c r="AX81" s="5122"/>
      <c r="AY81" s="5634"/>
      <c r="AZ81" s="5094" t="s">
        <v>1</v>
      </c>
      <c r="BA81" s="7198" t="s">
        <v>8243</v>
      </c>
      <c r="BB81" s="7198"/>
      <c r="BC81" s="2"/>
      <c r="BD81" s="6935" t="s">
        <v>8244</v>
      </c>
      <c r="BE81" s="6935"/>
      <c r="BF81" s="2"/>
      <c r="BG81" s="7200" t="s">
        <v>8245</v>
      </c>
      <c r="BH81" s="7200"/>
      <c r="BI81" s="2"/>
      <c r="BJ81" s="7202" t="s">
        <v>8246</v>
      </c>
      <c r="BK81" s="7202"/>
      <c r="BL81" s="2"/>
      <c r="BM81" s="7188" t="s">
        <v>8251</v>
      </c>
      <c r="BN81" s="7188"/>
      <c r="BO81" s="4"/>
      <c r="BP81" s="7190" t="s">
        <v>8252</v>
      </c>
      <c r="BQ81" s="7190"/>
      <c r="BR81" s="2"/>
      <c r="BS81" s="2"/>
      <c r="BT81" s="2"/>
      <c r="BU81" s="2"/>
      <c r="BV81" s="2"/>
      <c r="BW81" s="2"/>
      <c r="BX81" s="2"/>
      <c r="BY81" s="2"/>
      <c r="BZ81" s="2"/>
      <c r="CA81" s="2"/>
      <c r="CB81" s="2"/>
      <c r="CC81" s="2"/>
      <c r="CD81" s="2"/>
      <c r="CE81" s="2"/>
      <c r="CF81" s="2"/>
      <c r="CG81" s="2"/>
      <c r="CH81" s="2"/>
      <c r="CI81" s="2"/>
      <c r="CJ81" s="2"/>
      <c r="CK81" s="5">
        <v>1</v>
      </c>
      <c r="CL81" s="1"/>
      <c r="CM81" s="1"/>
    </row>
    <row r="82" spans="1:91" s="187" customFormat="1" ht="21" customHeight="1">
      <c r="A82"/>
      <c r="B82" s="5120"/>
      <c r="C82" s="5121"/>
      <c r="D82" s="5121"/>
      <c r="E82" s="5121"/>
      <c r="F82" s="5121"/>
      <c r="G82" s="5122"/>
      <c r="H82" s="5122"/>
      <c r="I82" s="5122"/>
      <c r="J82" s="5122"/>
      <c r="K82" s="5122"/>
      <c r="L82" s="5122"/>
      <c r="M82" s="5122"/>
      <c r="N82" s="5122"/>
      <c r="O82" s="5122"/>
      <c r="P82" s="5122"/>
      <c r="Q82" s="5634"/>
      <c r="R82" s="5094" t="s">
        <v>1</v>
      </c>
      <c r="S82" s="5120"/>
      <c r="T82" s="5121"/>
      <c r="U82" s="5121"/>
      <c r="V82" s="5121"/>
      <c r="W82" s="5121"/>
      <c r="X82" s="5122"/>
      <c r="Y82" s="5122"/>
      <c r="Z82" s="5122"/>
      <c r="AA82" s="5122"/>
      <c r="AB82" s="5122"/>
      <c r="AC82" s="5122"/>
      <c r="AD82" s="5122"/>
      <c r="AE82" s="5122"/>
      <c r="AF82" s="5122"/>
      <c r="AG82" s="5122"/>
      <c r="AH82" s="5634"/>
      <c r="AI82" s="5094" t="s">
        <v>1</v>
      </c>
      <c r="AJ82" s="5120"/>
      <c r="AK82" s="5121"/>
      <c r="AL82" s="5121"/>
      <c r="AM82" s="5121"/>
      <c r="AN82" s="5121"/>
      <c r="AO82" s="5122"/>
      <c r="AP82" s="5122"/>
      <c r="AQ82" s="5122"/>
      <c r="AR82" s="5122"/>
      <c r="AS82" s="5122"/>
      <c r="AT82" s="5122"/>
      <c r="AU82" s="5122"/>
      <c r="AV82" s="5122"/>
      <c r="AW82" s="5122"/>
      <c r="AX82" s="5122"/>
      <c r="AY82" s="5634"/>
      <c r="AZ82" s="5094" t="s">
        <v>1</v>
      </c>
      <c r="BA82" s="7199"/>
      <c r="BB82" s="7199"/>
      <c r="BC82" s="2"/>
      <c r="BD82" s="6936"/>
      <c r="BE82" s="6936"/>
      <c r="BF82" s="2"/>
      <c r="BG82" s="7201"/>
      <c r="BH82" s="7201"/>
      <c r="BI82" s="2"/>
      <c r="BJ82" s="7203"/>
      <c r="BK82" s="7203"/>
      <c r="BL82" s="2"/>
      <c r="BM82" s="7189"/>
      <c r="BN82" s="7189"/>
      <c r="BO82" s="4"/>
      <c r="BP82" s="7191"/>
      <c r="BQ82" s="7191"/>
      <c r="BR82" s="2"/>
      <c r="BS82" s="2"/>
      <c r="BT82" s="2"/>
      <c r="BU82" s="2"/>
      <c r="BV82" s="2"/>
      <c r="BW82" s="2"/>
      <c r="BX82" s="2"/>
      <c r="BY82" s="2"/>
      <c r="BZ82" s="2"/>
      <c r="CA82" s="2"/>
      <c r="CB82" s="2"/>
      <c r="CC82" s="2"/>
      <c r="CD82" s="2"/>
      <c r="CE82" s="2"/>
      <c r="CF82" s="2"/>
      <c r="CG82" s="2"/>
      <c r="CH82" s="2"/>
      <c r="CI82" s="2"/>
      <c r="CJ82" s="2"/>
      <c r="CK82" s="5">
        <v>1</v>
      </c>
      <c r="CL82" s="1"/>
      <c r="CM82" s="1"/>
    </row>
    <row r="83" spans="1:91" s="187" customFormat="1" ht="21" customHeight="1" thickBot="1">
      <c r="A83"/>
      <c r="B83" s="5120"/>
      <c r="C83" s="5121"/>
      <c r="D83" s="5121"/>
      <c r="E83" s="5121"/>
      <c r="F83" s="5121"/>
      <c r="G83" s="5122"/>
      <c r="H83" s="5122"/>
      <c r="I83" s="5122"/>
      <c r="J83" s="5122"/>
      <c r="K83" s="5122"/>
      <c r="L83" s="5122"/>
      <c r="M83" s="5122"/>
      <c r="N83" s="5122"/>
      <c r="O83" s="5122"/>
      <c r="P83" s="5122"/>
      <c r="Q83" s="5634"/>
      <c r="R83" s="5094" t="s">
        <v>1</v>
      </c>
      <c r="S83" s="5120"/>
      <c r="T83" s="5121"/>
      <c r="U83" s="5121"/>
      <c r="V83" s="5121"/>
      <c r="W83" s="5121"/>
      <c r="X83" s="5122"/>
      <c r="Y83" s="5122"/>
      <c r="Z83" s="5122"/>
      <c r="AA83" s="5122"/>
      <c r="AB83" s="5122"/>
      <c r="AC83" s="5122"/>
      <c r="AD83" s="5122"/>
      <c r="AE83" s="5122"/>
      <c r="AF83" s="5122"/>
      <c r="AG83" s="5122"/>
      <c r="AH83" s="5634"/>
      <c r="AI83" s="5094" t="s">
        <v>1</v>
      </c>
      <c r="AJ83" s="5120"/>
      <c r="AK83" s="5121"/>
      <c r="AL83" s="5121"/>
      <c r="AM83" s="5121"/>
      <c r="AN83" s="5121"/>
      <c r="AO83" s="5122"/>
      <c r="AP83" s="5122"/>
      <c r="AQ83" s="5122"/>
      <c r="AR83" s="5122"/>
      <c r="AS83" s="5122"/>
      <c r="AT83" s="5122"/>
      <c r="AU83" s="5122"/>
      <c r="AV83" s="5122"/>
      <c r="AW83" s="5122"/>
      <c r="AX83" s="5122"/>
      <c r="AY83" s="5634"/>
      <c r="AZ83" s="5094" t="s">
        <v>1</v>
      </c>
      <c r="BA83" s="2"/>
      <c r="BB83" s="2"/>
      <c r="BC83" s="2"/>
      <c r="BD83" s="2"/>
      <c r="BE83" s="2"/>
      <c r="BF83" s="2"/>
      <c r="BG83"/>
      <c r="BH83"/>
      <c r="BI83" s="2"/>
      <c r="BJ83"/>
      <c r="BK83"/>
      <c r="BL83" s="2"/>
      <c r="BM83"/>
      <c r="BN83"/>
      <c r="BO83" s="2"/>
      <c r="BP83"/>
      <c r="BQ83"/>
      <c r="BR83" s="2"/>
      <c r="BS83" s="2"/>
      <c r="BT83" s="2"/>
      <c r="BU83" s="2"/>
      <c r="BV83" s="2"/>
      <c r="BW83" s="2"/>
      <c r="BX83" s="2"/>
      <c r="BY83" s="2"/>
      <c r="BZ83" s="2"/>
      <c r="CA83" s="2"/>
      <c r="CB83" s="2"/>
      <c r="CC83" s="2"/>
      <c r="CD83" s="2"/>
      <c r="CE83" s="2"/>
      <c r="CF83" s="2"/>
      <c r="CG83" s="2"/>
      <c r="CH83" s="2"/>
      <c r="CI83" s="2"/>
      <c r="CJ83" s="2"/>
      <c r="CK83" s="5">
        <v>1</v>
      </c>
      <c r="CL83" s="1"/>
      <c r="CM83" s="1"/>
    </row>
    <row r="84" spans="1:91" s="187" customFormat="1" ht="21" customHeight="1">
      <c r="A84"/>
      <c r="B84" s="5120"/>
      <c r="C84" s="5121"/>
      <c r="D84" s="5121"/>
      <c r="E84" s="5121"/>
      <c r="F84" s="5121"/>
      <c r="G84" s="5122"/>
      <c r="H84" s="5122"/>
      <c r="I84" s="5122"/>
      <c r="J84" s="5122"/>
      <c r="K84" s="5122"/>
      <c r="L84" s="5122"/>
      <c r="M84" s="5122"/>
      <c r="N84" s="5122"/>
      <c r="O84" s="5122"/>
      <c r="P84" s="5122"/>
      <c r="Q84" s="5634"/>
      <c r="R84" s="5094" t="s">
        <v>1</v>
      </c>
      <c r="S84" s="5120"/>
      <c r="T84" s="5121"/>
      <c r="U84" s="5121"/>
      <c r="V84" s="5121"/>
      <c r="W84" s="5121"/>
      <c r="X84" s="5122"/>
      <c r="Y84" s="5122"/>
      <c r="Z84" s="5122"/>
      <c r="AA84" s="5122"/>
      <c r="AB84" s="5122"/>
      <c r="AC84" s="5122"/>
      <c r="AD84" s="5122"/>
      <c r="AE84" s="5122"/>
      <c r="AF84" s="5122"/>
      <c r="AG84" s="5122"/>
      <c r="AH84" s="5634"/>
      <c r="AI84" s="5094" t="s">
        <v>1</v>
      </c>
      <c r="AJ84" s="5120"/>
      <c r="AK84" s="5121"/>
      <c r="AL84" s="5121"/>
      <c r="AM84" s="5121"/>
      <c r="AN84" s="5121"/>
      <c r="AO84" s="5122"/>
      <c r="AP84" s="5122"/>
      <c r="AQ84" s="5122"/>
      <c r="AR84" s="5122"/>
      <c r="AS84" s="5122"/>
      <c r="AT84" s="5122"/>
      <c r="AU84" s="5122"/>
      <c r="AV84" s="5122"/>
      <c r="AW84" s="5122"/>
      <c r="AX84" s="5122"/>
      <c r="AY84" s="5634"/>
      <c r="AZ84" s="5094" t="s">
        <v>1</v>
      </c>
      <c r="BA84" s="7198" t="s">
        <v>8253</v>
      </c>
      <c r="BB84" s="7198"/>
      <c r="BC84" s="2"/>
      <c r="BD84" s="7215" t="s">
        <v>8254</v>
      </c>
      <c r="BE84" s="7215"/>
      <c r="BF84" s="2"/>
      <c r="BG84" s="7200" t="s">
        <v>8255</v>
      </c>
      <c r="BH84" s="7200"/>
      <c r="BI84" s="2"/>
      <c r="BJ84" s="7202" t="s">
        <v>8162</v>
      </c>
      <c r="BK84" s="720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5">
        <v>1</v>
      </c>
      <c r="CL84" s="1"/>
      <c r="CM84" s="1"/>
    </row>
    <row r="85" spans="1:91" s="187" customFormat="1" ht="21" customHeight="1">
      <c r="A85"/>
      <c r="B85" s="5120"/>
      <c r="C85" s="5121"/>
      <c r="D85" s="5121"/>
      <c r="E85" s="5121"/>
      <c r="F85" s="5121"/>
      <c r="G85" s="5122"/>
      <c r="H85" s="5122"/>
      <c r="I85" s="5122"/>
      <c r="J85" s="5122"/>
      <c r="K85" s="5122"/>
      <c r="L85" s="5122"/>
      <c r="M85" s="5122"/>
      <c r="N85" s="5122"/>
      <c r="O85" s="5122"/>
      <c r="P85" s="5122"/>
      <c r="Q85" s="5634"/>
      <c r="R85" s="5094" t="s">
        <v>1</v>
      </c>
      <c r="S85" s="5120"/>
      <c r="T85" s="5121"/>
      <c r="U85" s="5121"/>
      <c r="V85" s="5121"/>
      <c r="W85" s="5121"/>
      <c r="X85" s="5122"/>
      <c r="Y85" s="5122"/>
      <c r="Z85" s="5122"/>
      <c r="AA85" s="5122"/>
      <c r="AB85" s="5122"/>
      <c r="AC85" s="5122"/>
      <c r="AD85" s="5122"/>
      <c r="AE85" s="5122"/>
      <c r="AF85" s="5122"/>
      <c r="AG85" s="5122"/>
      <c r="AH85" s="5634"/>
      <c r="AI85" s="5094" t="s">
        <v>1</v>
      </c>
      <c r="AJ85" s="5120"/>
      <c r="AK85" s="5121"/>
      <c r="AL85" s="5121"/>
      <c r="AM85" s="5121"/>
      <c r="AN85" s="5121"/>
      <c r="AO85" s="5122"/>
      <c r="AP85" s="5122"/>
      <c r="AQ85" s="5122"/>
      <c r="AR85" s="5122"/>
      <c r="AS85" s="5122"/>
      <c r="AT85" s="5122"/>
      <c r="AU85" s="5122"/>
      <c r="AV85" s="5122"/>
      <c r="AW85" s="5122"/>
      <c r="AX85" s="5122"/>
      <c r="AY85" s="5634"/>
      <c r="AZ85" s="5094" t="s">
        <v>1</v>
      </c>
      <c r="BA85" s="7199"/>
      <c r="BB85" s="7199"/>
      <c r="BC85" s="2"/>
      <c r="BD85" s="7042"/>
      <c r="BE85" s="7042"/>
      <c r="BF85" s="2"/>
      <c r="BG85" s="7201"/>
      <c r="BH85" s="7201"/>
      <c r="BI85" s="2"/>
      <c r="BJ85" s="7203"/>
      <c r="BK85" s="7203"/>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5">
        <v>1</v>
      </c>
      <c r="CL85" s="1"/>
      <c r="CM85" s="1"/>
    </row>
    <row r="86" spans="1:91" s="187" customFormat="1" ht="21" customHeight="1" thickBot="1">
      <c r="A86"/>
      <c r="B86" s="5120"/>
      <c r="C86" s="5121"/>
      <c r="D86" s="5121"/>
      <c r="E86" s="5121"/>
      <c r="F86" s="5121"/>
      <c r="G86" s="5122"/>
      <c r="H86" s="5122"/>
      <c r="I86" s="5122"/>
      <c r="J86" s="5122"/>
      <c r="K86" s="5122"/>
      <c r="L86" s="5122"/>
      <c r="M86" s="5122"/>
      <c r="N86" s="5122"/>
      <c r="O86" s="5122"/>
      <c r="P86" s="5122"/>
      <c r="Q86" s="5634"/>
      <c r="R86" s="5094" t="s">
        <v>1</v>
      </c>
      <c r="S86" s="5120"/>
      <c r="T86" s="5121"/>
      <c r="U86" s="5121"/>
      <c r="V86" s="5121"/>
      <c r="W86" s="5121"/>
      <c r="X86" s="5122"/>
      <c r="Y86" s="5122"/>
      <c r="Z86" s="5122"/>
      <c r="AA86" s="5122"/>
      <c r="AB86" s="5122"/>
      <c r="AC86" s="5122"/>
      <c r="AD86" s="5122"/>
      <c r="AE86" s="5122"/>
      <c r="AF86" s="5122"/>
      <c r="AG86" s="5122"/>
      <c r="AH86" s="5634"/>
      <c r="AI86" s="5094" t="s">
        <v>1</v>
      </c>
      <c r="AJ86" s="5120"/>
      <c r="AK86" s="5121"/>
      <c r="AL86" s="5121"/>
      <c r="AM86" s="5121"/>
      <c r="AN86" s="5121"/>
      <c r="AO86" s="5122"/>
      <c r="AP86" s="5122"/>
      <c r="AQ86" s="5122"/>
      <c r="AR86" s="5122"/>
      <c r="AS86" s="5122"/>
      <c r="AT86" s="5122"/>
      <c r="AU86" s="5122"/>
      <c r="AV86" s="5122"/>
      <c r="AW86" s="5122"/>
      <c r="AX86" s="5122"/>
      <c r="AY86" s="5634"/>
      <c r="AZ86" s="5094" t="s">
        <v>1</v>
      </c>
      <c r="BA86" s="2"/>
      <c r="BB86" s="2"/>
      <c r="BC86" s="2"/>
      <c r="BD86" s="2"/>
      <c r="BE86" s="2"/>
      <c r="BF86" s="2"/>
      <c r="BG86"/>
      <c r="BH86"/>
      <c r="BI86" s="2"/>
      <c r="BJ86"/>
      <c r="BK86"/>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5">
        <v>1</v>
      </c>
      <c r="CL86" s="1"/>
      <c r="CM86" s="1"/>
    </row>
    <row r="87" spans="1:91" s="187" customFormat="1" ht="21" customHeight="1">
      <c r="A87"/>
      <c r="B87" s="5120"/>
      <c r="C87" s="5121"/>
      <c r="D87" s="5121"/>
      <c r="E87" s="5121"/>
      <c r="F87" s="5121"/>
      <c r="G87" s="5122"/>
      <c r="H87" s="5122"/>
      <c r="I87" s="5122"/>
      <c r="J87" s="5122"/>
      <c r="K87" s="5122"/>
      <c r="L87" s="5122"/>
      <c r="M87" s="5122"/>
      <c r="N87" s="5122"/>
      <c r="O87" s="5122"/>
      <c r="P87" s="5122"/>
      <c r="Q87" s="5634"/>
      <c r="R87" s="5094" t="s">
        <v>1</v>
      </c>
      <c r="S87" s="5120"/>
      <c r="T87" s="5121"/>
      <c r="U87" s="5121"/>
      <c r="V87" s="5121"/>
      <c r="W87" s="5121"/>
      <c r="X87" s="5122"/>
      <c r="Y87" s="5122"/>
      <c r="Z87" s="5122"/>
      <c r="AA87" s="5122"/>
      <c r="AB87" s="5122"/>
      <c r="AC87" s="5122"/>
      <c r="AD87" s="5122"/>
      <c r="AE87" s="5122"/>
      <c r="AF87" s="5122"/>
      <c r="AG87" s="5122"/>
      <c r="AH87" s="5634"/>
      <c r="AI87" s="5094" t="s">
        <v>1</v>
      </c>
      <c r="AJ87" s="5120"/>
      <c r="AK87" s="5121"/>
      <c r="AL87" s="5121"/>
      <c r="AM87" s="5121"/>
      <c r="AN87" s="5121"/>
      <c r="AO87" s="5122"/>
      <c r="AP87" s="5122"/>
      <c r="AQ87" s="5122"/>
      <c r="AR87" s="5122"/>
      <c r="AS87" s="5122"/>
      <c r="AT87" s="5122"/>
      <c r="AU87" s="5122"/>
      <c r="AV87" s="5122"/>
      <c r="AW87" s="5122"/>
      <c r="AX87" s="5122"/>
      <c r="AY87" s="5634"/>
      <c r="AZ87" s="5094" t="s">
        <v>1</v>
      </c>
      <c r="BA87" s="7198" t="s">
        <v>8259</v>
      </c>
      <c r="BB87" s="7198"/>
      <c r="BC87" s="2"/>
      <c r="BD87" s="6935" t="s">
        <v>8260</v>
      </c>
      <c r="BE87" s="6935"/>
      <c r="BF87" s="2"/>
      <c r="BG87" s="7200" t="s">
        <v>8261</v>
      </c>
      <c r="BH87" s="7200"/>
      <c r="BI87" s="2"/>
      <c r="BJ87" s="7202" t="s">
        <v>8262</v>
      </c>
      <c r="BK87" s="720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5">
        <v>1</v>
      </c>
      <c r="CL87" s="1"/>
      <c r="CM87" s="1"/>
    </row>
    <row r="88" spans="1:91" s="187" customFormat="1" ht="21" customHeight="1">
      <c r="A88"/>
      <c r="B88" s="5120"/>
      <c r="C88" s="5121"/>
      <c r="D88" s="5121"/>
      <c r="E88" s="5121"/>
      <c r="F88" s="5121"/>
      <c r="G88" s="5122"/>
      <c r="H88" s="5122"/>
      <c r="I88" s="5122"/>
      <c r="J88" s="5122"/>
      <c r="K88" s="5122"/>
      <c r="L88" s="5122"/>
      <c r="M88" s="5122"/>
      <c r="N88" s="5122"/>
      <c r="O88" s="5122"/>
      <c r="P88" s="5122"/>
      <c r="Q88" s="5634"/>
      <c r="R88" s="5094" t="s">
        <v>1</v>
      </c>
      <c r="S88" s="5120"/>
      <c r="T88" s="5121"/>
      <c r="U88" s="5121"/>
      <c r="V88" s="5121"/>
      <c r="W88" s="5121"/>
      <c r="X88" s="5122"/>
      <c r="Y88" s="5122"/>
      <c r="Z88" s="5122"/>
      <c r="AA88" s="5122"/>
      <c r="AB88" s="5122"/>
      <c r="AC88" s="5122"/>
      <c r="AD88" s="5122"/>
      <c r="AE88" s="5122"/>
      <c r="AF88" s="5122"/>
      <c r="AG88" s="5122"/>
      <c r="AH88" s="5634"/>
      <c r="AI88" s="5094" t="s">
        <v>1</v>
      </c>
      <c r="AJ88" s="5120"/>
      <c r="AK88" s="5121"/>
      <c r="AL88" s="5121"/>
      <c r="AM88" s="5121"/>
      <c r="AN88" s="5121"/>
      <c r="AO88" s="5122"/>
      <c r="AP88" s="5122"/>
      <c r="AQ88" s="5122"/>
      <c r="AR88" s="5122"/>
      <c r="AS88" s="5122"/>
      <c r="AT88" s="5122"/>
      <c r="AU88" s="5122"/>
      <c r="AV88" s="5122"/>
      <c r="AW88" s="5122"/>
      <c r="AX88" s="5122"/>
      <c r="AY88" s="5634"/>
      <c r="AZ88" s="5094" t="s">
        <v>1</v>
      </c>
      <c r="BA88" s="7199"/>
      <c r="BB88" s="7199"/>
      <c r="BC88" s="2"/>
      <c r="BD88" s="6936"/>
      <c r="BE88" s="6936"/>
      <c r="BF88" s="2"/>
      <c r="BG88" s="7201"/>
      <c r="BH88" s="7201"/>
      <c r="BI88" s="2"/>
      <c r="BJ88" s="7203"/>
      <c r="BK88" s="7203"/>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5">
        <v>1</v>
      </c>
      <c r="CL88" s="1"/>
      <c r="CM88" s="1"/>
    </row>
    <row r="89" spans="1:91" s="187" customFormat="1" ht="21" customHeight="1" thickBot="1">
      <c r="A89"/>
      <c r="B89" s="5120"/>
      <c r="C89" s="5121"/>
      <c r="D89" s="5121"/>
      <c r="E89" s="5121"/>
      <c r="F89" s="5121"/>
      <c r="G89" s="5122"/>
      <c r="H89" s="5122"/>
      <c r="I89" s="5122"/>
      <c r="J89" s="5122"/>
      <c r="K89" s="5122"/>
      <c r="L89" s="5122"/>
      <c r="M89" s="5122"/>
      <c r="N89" s="5122"/>
      <c r="O89" s="5122"/>
      <c r="P89" s="5122"/>
      <c r="Q89" s="5634"/>
      <c r="R89" s="5094" t="s">
        <v>1</v>
      </c>
      <c r="S89" s="5120"/>
      <c r="T89" s="5121"/>
      <c r="U89" s="5121"/>
      <c r="V89" s="5121"/>
      <c r="W89" s="5121"/>
      <c r="X89" s="5122"/>
      <c r="Y89" s="5122"/>
      <c r="Z89" s="5122"/>
      <c r="AA89" s="5122"/>
      <c r="AB89" s="5122"/>
      <c r="AC89" s="5122"/>
      <c r="AD89" s="5122"/>
      <c r="AE89" s="5122"/>
      <c r="AF89" s="5122"/>
      <c r="AG89" s="5122"/>
      <c r="AH89" s="5634"/>
      <c r="AI89" s="5094" t="s">
        <v>1</v>
      </c>
      <c r="AJ89" s="5120"/>
      <c r="AK89" s="5121"/>
      <c r="AL89" s="5121"/>
      <c r="AM89" s="5121"/>
      <c r="AN89" s="5121"/>
      <c r="AO89" s="5122"/>
      <c r="AP89" s="5122"/>
      <c r="AQ89" s="5122"/>
      <c r="AR89" s="5122"/>
      <c r="AS89" s="5122"/>
      <c r="AT89" s="5122"/>
      <c r="AU89" s="5122"/>
      <c r="AV89" s="5122"/>
      <c r="AW89" s="5122"/>
      <c r="AX89" s="5122"/>
      <c r="AY89" s="5634"/>
      <c r="AZ89" s="5094" t="s">
        <v>1</v>
      </c>
      <c r="BA89" s="2"/>
      <c r="BB89" s="2"/>
      <c r="BC89" s="2"/>
      <c r="BD89" s="2"/>
      <c r="BE89" s="2"/>
      <c r="BF89" s="2"/>
      <c r="BG89"/>
      <c r="BH89"/>
      <c r="BI89" s="2"/>
      <c r="BJ89"/>
      <c r="BK89"/>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5">
        <v>1</v>
      </c>
      <c r="CL89" s="1"/>
      <c r="CM89" s="1"/>
    </row>
    <row r="90" spans="1:91" s="187" customFormat="1" ht="21" customHeight="1">
      <c r="A90"/>
      <c r="B90" s="5120"/>
      <c r="C90" s="5121"/>
      <c r="D90" s="5121"/>
      <c r="E90" s="5121"/>
      <c r="F90" s="5121"/>
      <c r="G90" s="5122"/>
      <c r="H90" s="5122"/>
      <c r="I90" s="5122"/>
      <c r="J90" s="5122"/>
      <c r="K90" s="5122"/>
      <c r="L90" s="5122"/>
      <c r="M90" s="5122"/>
      <c r="N90" s="5122"/>
      <c r="O90" s="5122"/>
      <c r="P90" s="5122"/>
      <c r="Q90" s="5634"/>
      <c r="R90" s="5094" t="s">
        <v>1</v>
      </c>
      <c r="S90" s="5120"/>
      <c r="T90" s="5121"/>
      <c r="U90" s="5121"/>
      <c r="V90" s="5121"/>
      <c r="W90" s="5121"/>
      <c r="X90" s="5122"/>
      <c r="Y90" s="5122"/>
      <c r="Z90" s="5122"/>
      <c r="AA90" s="5122"/>
      <c r="AB90" s="5122"/>
      <c r="AC90" s="5122"/>
      <c r="AD90" s="5122"/>
      <c r="AE90" s="5122"/>
      <c r="AF90" s="5122"/>
      <c r="AG90" s="5122"/>
      <c r="AH90" s="5634"/>
      <c r="AI90" s="5094" t="s">
        <v>1</v>
      </c>
      <c r="AJ90" s="5120"/>
      <c r="AK90" s="5121"/>
      <c r="AL90" s="5121"/>
      <c r="AM90" s="5121"/>
      <c r="AN90" s="5121"/>
      <c r="AO90" s="5122"/>
      <c r="AP90" s="5122"/>
      <c r="AQ90" s="5122"/>
      <c r="AR90" s="5122"/>
      <c r="AS90" s="5122"/>
      <c r="AT90" s="5122"/>
      <c r="AU90" s="5122"/>
      <c r="AV90" s="5122"/>
      <c r="AW90" s="5122"/>
      <c r="AX90" s="5122"/>
      <c r="AY90" s="5634"/>
      <c r="AZ90" s="5094" t="s">
        <v>1</v>
      </c>
      <c r="BA90" s="7198" t="s">
        <v>8266</v>
      </c>
      <c r="BB90" s="7198"/>
      <c r="BC90" s="2"/>
      <c r="BD90" s="6935" t="s">
        <v>8267</v>
      </c>
      <c r="BE90" s="6935"/>
      <c r="BF90" s="2"/>
      <c r="BG90" s="7200" t="s">
        <v>8268</v>
      </c>
      <c r="BH90" s="7200"/>
      <c r="BI90" s="2"/>
      <c r="BJ90" s="7202" t="s">
        <v>8269</v>
      </c>
      <c r="BK90" s="720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5">
        <v>1</v>
      </c>
      <c r="CL90" s="1"/>
      <c r="CM90" s="1"/>
    </row>
    <row r="91" spans="1:91" s="187" customFormat="1" ht="21" customHeight="1">
      <c r="A91"/>
      <c r="B91" s="5120"/>
      <c r="C91" s="5121"/>
      <c r="D91" s="5121"/>
      <c r="E91" s="5121"/>
      <c r="F91" s="5121"/>
      <c r="G91" s="5122"/>
      <c r="H91" s="5122"/>
      <c r="I91" s="5122"/>
      <c r="J91" s="5122"/>
      <c r="K91" s="5122"/>
      <c r="L91" s="5122"/>
      <c r="M91" s="5122"/>
      <c r="N91" s="5122"/>
      <c r="O91" s="5122"/>
      <c r="P91" s="5122"/>
      <c r="Q91" s="5634"/>
      <c r="R91" s="5094" t="s">
        <v>1</v>
      </c>
      <c r="S91" s="5120"/>
      <c r="T91" s="5121"/>
      <c r="U91" s="5121"/>
      <c r="V91" s="5121"/>
      <c r="W91" s="5121"/>
      <c r="X91" s="5122"/>
      <c r="Y91" s="5122"/>
      <c r="Z91" s="5122"/>
      <c r="AA91" s="5122"/>
      <c r="AB91" s="5122"/>
      <c r="AC91" s="5122"/>
      <c r="AD91" s="5122"/>
      <c r="AE91" s="5122"/>
      <c r="AF91" s="5122"/>
      <c r="AG91" s="5122"/>
      <c r="AH91" s="5634"/>
      <c r="AI91" s="5094" t="s">
        <v>1</v>
      </c>
      <c r="AJ91" s="5120"/>
      <c r="AK91" s="5121"/>
      <c r="AL91" s="5121"/>
      <c r="AM91" s="5121"/>
      <c r="AN91" s="5121"/>
      <c r="AO91" s="5122"/>
      <c r="AP91" s="5122"/>
      <c r="AQ91" s="5122"/>
      <c r="AR91" s="5122"/>
      <c r="AS91" s="5122"/>
      <c r="AT91" s="5122"/>
      <c r="AU91" s="5122"/>
      <c r="AV91" s="5122"/>
      <c r="AW91" s="5122"/>
      <c r="AX91" s="5122"/>
      <c r="AY91" s="5634"/>
      <c r="AZ91" s="5094" t="s">
        <v>1</v>
      </c>
      <c r="BA91" s="7199"/>
      <c r="BB91" s="7199"/>
      <c r="BC91" s="2"/>
      <c r="BD91" s="6936"/>
      <c r="BE91" s="6936"/>
      <c r="BF91" s="2"/>
      <c r="BG91" s="7201"/>
      <c r="BH91" s="7201"/>
      <c r="BI91" s="2"/>
      <c r="BJ91" s="7203"/>
      <c r="BK91" s="7203"/>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5">
        <v>1</v>
      </c>
      <c r="CL91" s="1"/>
      <c r="CM91" s="1"/>
    </row>
    <row r="92" spans="1:91" s="187" customFormat="1" ht="21" customHeight="1" thickBot="1">
      <c r="A92"/>
      <c r="B92" s="5120"/>
      <c r="C92" s="5121"/>
      <c r="D92" s="5121"/>
      <c r="E92" s="5121"/>
      <c r="F92" s="5121"/>
      <c r="G92" s="5122"/>
      <c r="H92" s="5122"/>
      <c r="I92" s="5122"/>
      <c r="J92" s="5122"/>
      <c r="K92" s="5122"/>
      <c r="L92" s="5122"/>
      <c r="M92" s="5122"/>
      <c r="N92" s="5122"/>
      <c r="O92" s="5122"/>
      <c r="P92" s="5122"/>
      <c r="Q92" s="5634"/>
      <c r="R92" s="5094" t="s">
        <v>1</v>
      </c>
      <c r="S92" s="5120"/>
      <c r="T92" s="5121"/>
      <c r="U92" s="5121"/>
      <c r="V92" s="5121"/>
      <c r="W92" s="5121"/>
      <c r="X92" s="5122"/>
      <c r="Y92" s="5122"/>
      <c r="Z92" s="5122"/>
      <c r="AA92" s="5122"/>
      <c r="AB92" s="5122"/>
      <c r="AC92" s="5122"/>
      <c r="AD92" s="5122"/>
      <c r="AE92" s="5122"/>
      <c r="AF92" s="5122"/>
      <c r="AG92" s="5122"/>
      <c r="AH92" s="5634"/>
      <c r="AI92" s="5094" t="s">
        <v>1</v>
      </c>
      <c r="AJ92" s="5120"/>
      <c r="AK92" s="5121"/>
      <c r="AL92" s="5121"/>
      <c r="AM92" s="5121"/>
      <c r="AN92" s="5121"/>
      <c r="AO92" s="5122"/>
      <c r="AP92" s="5122"/>
      <c r="AQ92" s="5122"/>
      <c r="AR92" s="5122"/>
      <c r="AS92" s="5122"/>
      <c r="AT92" s="5122"/>
      <c r="AU92" s="5122"/>
      <c r="AV92" s="5122"/>
      <c r="AW92" s="5122"/>
      <c r="AX92" s="5122"/>
      <c r="AY92" s="5634"/>
      <c r="AZ92" s="5094" t="s">
        <v>1</v>
      </c>
      <c r="BA92" s="2"/>
      <c r="BB92" s="2"/>
      <c r="BC92" s="2"/>
      <c r="BD92" s="2"/>
      <c r="BE92" s="2"/>
      <c r="BF92" s="2"/>
      <c r="BG92"/>
      <c r="BH92"/>
      <c r="BI92" s="2"/>
      <c r="BJ92"/>
      <c r="BK9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5">
        <v>1</v>
      </c>
      <c r="CL92" s="1"/>
      <c r="CM92" s="1"/>
    </row>
    <row r="93" spans="1:91" s="187" customFormat="1" ht="21" customHeight="1">
      <c r="A93"/>
      <c r="B93" s="5120"/>
      <c r="C93" s="5121"/>
      <c r="D93" s="5121"/>
      <c r="E93" s="5121"/>
      <c r="F93" s="5121"/>
      <c r="G93" s="5122"/>
      <c r="H93" s="5122"/>
      <c r="I93" s="5122"/>
      <c r="J93" s="5122"/>
      <c r="K93" s="5122"/>
      <c r="L93" s="5122"/>
      <c r="M93" s="5122"/>
      <c r="N93" s="5122"/>
      <c r="O93" s="5122"/>
      <c r="P93" s="5122"/>
      <c r="Q93" s="5634"/>
      <c r="R93" s="5094" t="s">
        <v>1</v>
      </c>
      <c r="S93" s="5120"/>
      <c r="T93" s="5121"/>
      <c r="U93" s="5121"/>
      <c r="V93" s="5121"/>
      <c r="W93" s="5121"/>
      <c r="X93" s="5122"/>
      <c r="Y93" s="5122"/>
      <c r="Z93" s="5122"/>
      <c r="AA93" s="5122"/>
      <c r="AB93" s="5122"/>
      <c r="AC93" s="5122"/>
      <c r="AD93" s="5122"/>
      <c r="AE93" s="5122"/>
      <c r="AF93" s="5122"/>
      <c r="AG93" s="5122"/>
      <c r="AH93" s="5634"/>
      <c r="AI93" s="5094" t="s">
        <v>1</v>
      </c>
      <c r="AJ93" s="5120"/>
      <c r="AK93" s="5121"/>
      <c r="AL93" s="5121"/>
      <c r="AM93" s="5121"/>
      <c r="AN93" s="5121"/>
      <c r="AO93" s="5122"/>
      <c r="AP93" s="5122"/>
      <c r="AQ93" s="5122"/>
      <c r="AR93" s="5122"/>
      <c r="AS93" s="5122"/>
      <c r="AT93" s="5122"/>
      <c r="AU93" s="5122"/>
      <c r="AV93" s="5122"/>
      <c r="AW93" s="5122"/>
      <c r="AX93" s="5122"/>
      <c r="AY93" s="5634"/>
      <c r="AZ93" s="5094" t="s">
        <v>1</v>
      </c>
      <c r="BA93" s="7198" t="s">
        <v>8272</v>
      </c>
      <c r="BB93" s="7198"/>
      <c r="BC93" s="2"/>
      <c r="BD93" s="6935" t="s">
        <v>8273</v>
      </c>
      <c r="BE93" s="6935"/>
      <c r="BF93" s="2"/>
      <c r="BG93" s="7200" t="s">
        <v>8274</v>
      </c>
      <c r="BH93" s="7200"/>
      <c r="BI93" s="2"/>
      <c r="BJ93" s="7202" t="s">
        <v>8275</v>
      </c>
      <c r="BK93" s="720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5">
        <v>1</v>
      </c>
      <c r="CL93" s="1"/>
      <c r="CM93" s="1"/>
    </row>
    <row r="94" spans="1:91" s="187" customFormat="1" ht="21" customHeight="1">
      <c r="A94"/>
      <c r="B94" s="5120"/>
      <c r="C94" s="5121"/>
      <c r="D94" s="5121"/>
      <c r="E94" s="5121"/>
      <c r="F94" s="5121"/>
      <c r="G94" s="5122"/>
      <c r="H94" s="5122"/>
      <c r="I94" s="5122"/>
      <c r="J94" s="5122"/>
      <c r="K94" s="5122"/>
      <c r="L94" s="5122"/>
      <c r="M94" s="5122"/>
      <c r="N94" s="5122"/>
      <c r="O94" s="5122"/>
      <c r="P94" s="5122"/>
      <c r="Q94" s="5634"/>
      <c r="R94" s="5094" t="s">
        <v>1</v>
      </c>
      <c r="S94" s="5120"/>
      <c r="T94" s="5121"/>
      <c r="U94" s="5121"/>
      <c r="V94" s="5121"/>
      <c r="W94" s="5121"/>
      <c r="X94" s="5122"/>
      <c r="Y94" s="5122"/>
      <c r="Z94" s="5122"/>
      <c r="AA94" s="5122"/>
      <c r="AB94" s="5122"/>
      <c r="AC94" s="5122"/>
      <c r="AD94" s="5122"/>
      <c r="AE94" s="5122"/>
      <c r="AF94" s="5122"/>
      <c r="AG94" s="5122"/>
      <c r="AH94" s="5634"/>
      <c r="AI94" s="5094" t="s">
        <v>1</v>
      </c>
      <c r="AJ94" s="5120"/>
      <c r="AK94" s="5121"/>
      <c r="AL94" s="5121"/>
      <c r="AM94" s="5121"/>
      <c r="AN94" s="5121"/>
      <c r="AO94" s="5122"/>
      <c r="AP94" s="5122"/>
      <c r="AQ94" s="5122"/>
      <c r="AR94" s="5122"/>
      <c r="AS94" s="5122"/>
      <c r="AT94" s="5122"/>
      <c r="AU94" s="5122"/>
      <c r="AV94" s="5122"/>
      <c r="AW94" s="5122"/>
      <c r="AX94" s="5122"/>
      <c r="AY94" s="5634"/>
      <c r="AZ94" s="5094" t="s">
        <v>1</v>
      </c>
      <c r="BA94" s="7199"/>
      <c r="BB94" s="7199"/>
      <c r="BC94" s="2"/>
      <c r="BD94" s="6936"/>
      <c r="BE94" s="6936"/>
      <c r="BF94" s="2"/>
      <c r="BG94" s="7201"/>
      <c r="BH94" s="7201"/>
      <c r="BI94" s="2"/>
      <c r="BJ94" s="7203"/>
      <c r="BK94" s="7203"/>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5">
        <v>1</v>
      </c>
      <c r="CL94" s="1"/>
      <c r="CM94" s="1"/>
    </row>
    <row r="95" spans="1:91" s="187" customFormat="1" ht="21" customHeight="1" thickBot="1">
      <c r="A95"/>
      <c r="B95" s="5120"/>
      <c r="C95" s="5121"/>
      <c r="D95" s="5121"/>
      <c r="E95" s="5121"/>
      <c r="F95" s="5121"/>
      <c r="G95" s="5122"/>
      <c r="H95" s="5122"/>
      <c r="I95" s="5122"/>
      <c r="J95" s="5122"/>
      <c r="K95" s="5122"/>
      <c r="L95" s="5122"/>
      <c r="M95" s="5122"/>
      <c r="N95" s="5122"/>
      <c r="O95" s="5122"/>
      <c r="P95" s="5122"/>
      <c r="Q95" s="5634"/>
      <c r="R95" s="5094" t="s">
        <v>1</v>
      </c>
      <c r="S95" s="5120"/>
      <c r="T95" s="5121"/>
      <c r="U95" s="5121"/>
      <c r="V95" s="5121"/>
      <c r="W95" s="5121"/>
      <c r="X95" s="5122"/>
      <c r="Y95" s="5122"/>
      <c r="Z95" s="5122"/>
      <c r="AA95" s="5122"/>
      <c r="AB95" s="5122"/>
      <c r="AC95" s="5122"/>
      <c r="AD95" s="5122"/>
      <c r="AE95" s="5122"/>
      <c r="AF95" s="5122"/>
      <c r="AG95" s="5122"/>
      <c r="AH95" s="5634"/>
      <c r="AI95" s="5094" t="s">
        <v>1</v>
      </c>
      <c r="AJ95" s="5120"/>
      <c r="AK95" s="5121"/>
      <c r="AL95" s="5121"/>
      <c r="AM95" s="5121"/>
      <c r="AN95" s="5121"/>
      <c r="AO95" s="5122"/>
      <c r="AP95" s="5122"/>
      <c r="AQ95" s="5122"/>
      <c r="AR95" s="5122"/>
      <c r="AS95" s="5122"/>
      <c r="AT95" s="5122"/>
      <c r="AU95" s="5122"/>
      <c r="AV95" s="5122"/>
      <c r="AW95" s="5122"/>
      <c r="AX95" s="5122"/>
      <c r="AY95" s="5634"/>
      <c r="AZ95" s="5094" t="s">
        <v>1</v>
      </c>
      <c r="BA95" s="2"/>
      <c r="BB95" s="2"/>
      <c r="BC95" s="2"/>
      <c r="BD95" s="2"/>
      <c r="BE95" s="2"/>
      <c r="BF95" s="2"/>
      <c r="BG95"/>
      <c r="BH95"/>
      <c r="BI95" s="2"/>
      <c r="BJ95"/>
      <c r="BK95"/>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5">
        <v>1</v>
      </c>
      <c r="CL95" s="1"/>
      <c r="CM95" s="1"/>
    </row>
    <row r="96" spans="1:91" s="187" customFormat="1" ht="21" customHeight="1">
      <c r="A96"/>
      <c r="B96" s="5120"/>
      <c r="C96" s="5121"/>
      <c r="D96" s="5121"/>
      <c r="E96" s="5121"/>
      <c r="F96" s="5121"/>
      <c r="G96" s="5122"/>
      <c r="H96" s="5122"/>
      <c r="I96" s="5122"/>
      <c r="J96" s="5122"/>
      <c r="K96" s="5122"/>
      <c r="L96" s="5122"/>
      <c r="M96" s="5122"/>
      <c r="N96" s="5122"/>
      <c r="O96" s="5122"/>
      <c r="P96" s="5122"/>
      <c r="Q96" s="5634"/>
      <c r="R96" s="5094" t="s">
        <v>1</v>
      </c>
      <c r="S96" s="5120"/>
      <c r="T96" s="5121"/>
      <c r="U96" s="5121"/>
      <c r="V96" s="5121"/>
      <c r="W96" s="5121"/>
      <c r="X96" s="5122"/>
      <c r="Y96" s="5122"/>
      <c r="Z96" s="5122"/>
      <c r="AA96" s="5122"/>
      <c r="AB96" s="5122"/>
      <c r="AC96" s="5122"/>
      <c r="AD96" s="5122"/>
      <c r="AE96" s="5122"/>
      <c r="AF96" s="5122"/>
      <c r="AG96" s="5122"/>
      <c r="AH96" s="5634"/>
      <c r="AI96" s="5094" t="s">
        <v>1</v>
      </c>
      <c r="AJ96" s="5120"/>
      <c r="AK96" s="5121"/>
      <c r="AL96" s="5121"/>
      <c r="AM96" s="5121"/>
      <c r="AN96" s="5121"/>
      <c r="AO96" s="5122"/>
      <c r="AP96" s="5122"/>
      <c r="AQ96" s="5122"/>
      <c r="AR96" s="5122"/>
      <c r="AS96" s="5122"/>
      <c r="AT96" s="5122"/>
      <c r="AU96" s="5122"/>
      <c r="AV96" s="5122"/>
      <c r="AW96" s="5122"/>
      <c r="AX96" s="5122"/>
      <c r="AY96" s="5634"/>
      <c r="AZ96" s="5094" t="s">
        <v>1</v>
      </c>
      <c r="BA96" s="7198" t="s">
        <v>8278</v>
      </c>
      <c r="BB96" s="7198"/>
      <c r="BC96" s="2"/>
      <c r="BD96" s="6935" t="s">
        <v>8279</v>
      </c>
      <c r="BE96" s="6935"/>
      <c r="BF96" s="2"/>
      <c r="BG96" s="7200" t="s">
        <v>8280</v>
      </c>
      <c r="BH96" s="7200"/>
      <c r="BI96" s="2"/>
      <c r="BJ96" s="7202" t="s">
        <v>8281</v>
      </c>
      <c r="BK96" s="720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5">
        <v>1</v>
      </c>
      <c r="CL96" s="1"/>
      <c r="CM96" s="1"/>
    </row>
    <row r="97" spans="1:91" s="187" customFormat="1" ht="21" customHeight="1">
      <c r="A97"/>
      <c r="B97" s="5120"/>
      <c r="C97" s="5121"/>
      <c r="D97" s="5121"/>
      <c r="E97" s="5121"/>
      <c r="F97" s="5121"/>
      <c r="G97" s="5122"/>
      <c r="H97" s="5122"/>
      <c r="I97" s="5122"/>
      <c r="J97" s="5122"/>
      <c r="K97" s="5122"/>
      <c r="L97" s="5122"/>
      <c r="M97" s="5122"/>
      <c r="N97" s="5122"/>
      <c r="O97" s="5122"/>
      <c r="P97" s="5122"/>
      <c r="Q97" s="5634"/>
      <c r="R97" s="5094" t="s">
        <v>1</v>
      </c>
      <c r="S97" s="5120"/>
      <c r="T97" s="5121"/>
      <c r="U97" s="5121"/>
      <c r="V97" s="5121"/>
      <c r="W97" s="5121"/>
      <c r="X97" s="5122"/>
      <c r="Y97" s="5122"/>
      <c r="Z97" s="5122"/>
      <c r="AA97" s="5122"/>
      <c r="AB97" s="5122"/>
      <c r="AC97" s="5122"/>
      <c r="AD97" s="5122"/>
      <c r="AE97" s="5122"/>
      <c r="AF97" s="5122"/>
      <c r="AG97" s="5122"/>
      <c r="AH97" s="5634"/>
      <c r="AI97" s="5094" t="s">
        <v>1</v>
      </c>
      <c r="AJ97" s="5120"/>
      <c r="AK97" s="5121"/>
      <c r="AL97" s="5121"/>
      <c r="AM97" s="5121"/>
      <c r="AN97" s="5121"/>
      <c r="AO97" s="5122"/>
      <c r="AP97" s="5122"/>
      <c r="AQ97" s="5122"/>
      <c r="AR97" s="5122"/>
      <c r="AS97" s="5122"/>
      <c r="AT97" s="5122"/>
      <c r="AU97" s="5122"/>
      <c r="AV97" s="5122"/>
      <c r="AW97" s="5122"/>
      <c r="AX97" s="5122"/>
      <c r="AY97" s="5634"/>
      <c r="AZ97" s="5094" t="s">
        <v>1</v>
      </c>
      <c r="BA97" s="7199"/>
      <c r="BB97" s="7199"/>
      <c r="BC97" s="2"/>
      <c r="BD97" s="6936"/>
      <c r="BE97" s="6936"/>
      <c r="BF97" s="2"/>
      <c r="BG97" s="7201"/>
      <c r="BH97" s="7201"/>
      <c r="BI97" s="2"/>
      <c r="BJ97" s="7203"/>
      <c r="BK97" s="7203"/>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5">
        <v>1</v>
      </c>
      <c r="CL97" s="1"/>
      <c r="CM97" s="1"/>
    </row>
    <row r="98" spans="1:91" s="187" customFormat="1" ht="21" customHeight="1" thickBot="1">
      <c r="A98"/>
      <c r="B98" s="5120"/>
      <c r="C98" s="5121"/>
      <c r="D98" s="5121"/>
      <c r="E98" s="5121"/>
      <c r="F98" s="5121"/>
      <c r="G98" s="5122"/>
      <c r="H98" s="5122"/>
      <c r="I98" s="5122"/>
      <c r="J98" s="5122"/>
      <c r="K98" s="5122"/>
      <c r="L98" s="5122"/>
      <c r="M98" s="5122"/>
      <c r="N98" s="5122"/>
      <c r="O98" s="5122"/>
      <c r="P98" s="5122"/>
      <c r="Q98" s="5634"/>
      <c r="R98" s="5094" t="s">
        <v>1</v>
      </c>
      <c r="S98" s="5120"/>
      <c r="T98" s="5121"/>
      <c r="U98" s="5121"/>
      <c r="V98" s="5121"/>
      <c r="W98" s="5121"/>
      <c r="X98" s="5122"/>
      <c r="Y98" s="5122"/>
      <c r="Z98" s="5122"/>
      <c r="AA98" s="5122"/>
      <c r="AB98" s="5122"/>
      <c r="AC98" s="5122"/>
      <c r="AD98" s="5122"/>
      <c r="AE98" s="5122"/>
      <c r="AF98" s="5122"/>
      <c r="AG98" s="5122"/>
      <c r="AH98" s="5634"/>
      <c r="AI98" s="5094" t="s">
        <v>1</v>
      </c>
      <c r="AJ98" s="5120"/>
      <c r="AK98" s="5121"/>
      <c r="AL98" s="5121"/>
      <c r="AM98" s="5121"/>
      <c r="AN98" s="5121"/>
      <c r="AO98" s="5122"/>
      <c r="AP98" s="5122"/>
      <c r="AQ98" s="5122"/>
      <c r="AR98" s="5122"/>
      <c r="AS98" s="5122"/>
      <c r="AT98" s="5122"/>
      <c r="AU98" s="5122"/>
      <c r="AV98" s="5122"/>
      <c r="AW98" s="5122"/>
      <c r="AX98" s="5122"/>
      <c r="AY98" s="5634"/>
      <c r="AZ98" s="5094" t="s">
        <v>1</v>
      </c>
      <c r="BA98" s="2"/>
      <c r="BB98" s="2"/>
      <c r="BC98" s="2"/>
      <c r="BD98" s="2"/>
      <c r="BE98" s="2"/>
      <c r="BF98" s="2"/>
      <c r="BG98"/>
      <c r="BH98"/>
      <c r="BI98" s="2"/>
      <c r="BJ98"/>
      <c r="BK98"/>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5">
        <v>1</v>
      </c>
      <c r="CL98" s="1"/>
      <c r="CM98" s="1"/>
    </row>
    <row r="99" spans="1:91" s="187" customFormat="1" ht="21" customHeight="1">
      <c r="A99"/>
      <c r="B99" s="5120"/>
      <c r="C99" s="5121"/>
      <c r="D99" s="5121"/>
      <c r="E99" s="5121"/>
      <c r="F99" s="5121"/>
      <c r="G99" s="5122"/>
      <c r="H99" s="5122"/>
      <c r="I99" s="5122"/>
      <c r="J99" s="5122"/>
      <c r="K99" s="5122"/>
      <c r="L99" s="5122"/>
      <c r="M99" s="5122"/>
      <c r="N99" s="5122"/>
      <c r="O99" s="5122"/>
      <c r="P99" s="5122"/>
      <c r="Q99" s="5634"/>
      <c r="R99" s="5094" t="s">
        <v>1</v>
      </c>
      <c r="S99" s="5120"/>
      <c r="T99" s="5121"/>
      <c r="U99" s="5121"/>
      <c r="V99" s="5121"/>
      <c r="W99" s="5121"/>
      <c r="X99" s="5122"/>
      <c r="Y99" s="5122"/>
      <c r="Z99" s="5122"/>
      <c r="AA99" s="5122"/>
      <c r="AB99" s="5122"/>
      <c r="AC99" s="5122"/>
      <c r="AD99" s="5122"/>
      <c r="AE99" s="5122"/>
      <c r="AF99" s="5122"/>
      <c r="AG99" s="5122"/>
      <c r="AH99" s="5634"/>
      <c r="AI99" s="5094" t="s">
        <v>1</v>
      </c>
      <c r="AJ99" s="5120"/>
      <c r="AK99" s="5121"/>
      <c r="AL99" s="5121"/>
      <c r="AM99" s="5121"/>
      <c r="AN99" s="5121"/>
      <c r="AO99" s="5122"/>
      <c r="AP99" s="5122"/>
      <c r="AQ99" s="5122"/>
      <c r="AR99" s="5122"/>
      <c r="AS99" s="5122"/>
      <c r="AT99" s="5122"/>
      <c r="AU99" s="5122"/>
      <c r="AV99" s="5122"/>
      <c r="AW99" s="5122"/>
      <c r="AX99" s="5122"/>
      <c r="AY99" s="5634"/>
      <c r="AZ99" s="5094" t="s">
        <v>1</v>
      </c>
      <c r="BA99" s="7198" t="s">
        <v>8284</v>
      </c>
      <c r="BB99" s="7198"/>
      <c r="BC99" s="2"/>
      <c r="BD99" s="6935" t="s">
        <v>8285</v>
      </c>
      <c r="BE99" s="6935"/>
      <c r="BF99" s="2"/>
      <c r="BG99" s="7200" t="s">
        <v>8286</v>
      </c>
      <c r="BH99" s="7200"/>
      <c r="BI99" s="2"/>
      <c r="BJ99" s="7202" t="s">
        <v>8287</v>
      </c>
      <c r="BK99" s="720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5">
        <v>1</v>
      </c>
      <c r="CL99" s="1"/>
      <c r="CM99" s="1"/>
    </row>
    <row r="100" spans="1:91" s="187" customFormat="1" ht="21" customHeight="1">
      <c r="A100"/>
      <c r="B100" s="5120"/>
      <c r="C100" s="5121"/>
      <c r="D100" s="5121"/>
      <c r="E100" s="5121"/>
      <c r="F100" s="5121"/>
      <c r="G100" s="5122"/>
      <c r="H100" s="5122"/>
      <c r="I100" s="5122"/>
      <c r="J100" s="5122"/>
      <c r="K100" s="5122"/>
      <c r="L100" s="5122"/>
      <c r="M100" s="5122"/>
      <c r="N100" s="5122"/>
      <c r="O100" s="5122"/>
      <c r="P100" s="5122"/>
      <c r="Q100" s="5634"/>
      <c r="R100" s="5094" t="s">
        <v>1</v>
      </c>
      <c r="S100" s="5120"/>
      <c r="T100" s="5121"/>
      <c r="U100" s="5121"/>
      <c r="V100" s="5121"/>
      <c r="W100" s="5121"/>
      <c r="X100" s="5122"/>
      <c r="Y100" s="5122"/>
      <c r="Z100" s="5122"/>
      <c r="AA100" s="5122"/>
      <c r="AB100" s="5122"/>
      <c r="AC100" s="5122"/>
      <c r="AD100" s="5122"/>
      <c r="AE100" s="5122"/>
      <c r="AF100" s="5122"/>
      <c r="AG100" s="5122"/>
      <c r="AH100" s="5634"/>
      <c r="AI100" s="5094" t="s">
        <v>1</v>
      </c>
      <c r="AJ100" s="5120"/>
      <c r="AK100" s="5121"/>
      <c r="AL100" s="5121"/>
      <c r="AM100" s="5121"/>
      <c r="AN100" s="5121"/>
      <c r="AO100" s="5122"/>
      <c r="AP100" s="5122"/>
      <c r="AQ100" s="5122"/>
      <c r="AR100" s="5122"/>
      <c r="AS100" s="5122"/>
      <c r="AT100" s="5122"/>
      <c r="AU100" s="5122"/>
      <c r="AV100" s="5122"/>
      <c r="AW100" s="5122"/>
      <c r="AX100" s="5122"/>
      <c r="AY100" s="5634"/>
      <c r="AZ100" s="5094" t="s">
        <v>1</v>
      </c>
      <c r="BA100" s="7199"/>
      <c r="BB100" s="7199"/>
      <c r="BC100" s="2"/>
      <c r="BD100" s="6936"/>
      <c r="BE100" s="6936"/>
      <c r="BF100" s="2"/>
      <c r="BG100" s="7201"/>
      <c r="BH100" s="7201"/>
      <c r="BI100" s="2"/>
      <c r="BJ100" s="7203"/>
      <c r="BK100" s="7203"/>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5">
        <v>1</v>
      </c>
      <c r="CL100" s="1"/>
      <c r="CM100" s="1"/>
    </row>
    <row r="101" spans="1:91" s="187" customFormat="1" ht="21" customHeight="1" thickBot="1">
      <c r="A101"/>
      <c r="B101" s="5120"/>
      <c r="C101" s="5121"/>
      <c r="D101" s="5121"/>
      <c r="E101" s="5121"/>
      <c r="F101" s="5121"/>
      <c r="G101" s="5122"/>
      <c r="H101" s="5122"/>
      <c r="I101" s="5122"/>
      <c r="J101" s="5122"/>
      <c r="K101" s="5122"/>
      <c r="L101" s="5122"/>
      <c r="M101" s="5122"/>
      <c r="N101" s="5122"/>
      <c r="O101" s="5122"/>
      <c r="P101" s="5122"/>
      <c r="Q101" s="5634"/>
      <c r="R101" s="5094" t="s">
        <v>1</v>
      </c>
      <c r="S101" s="5120"/>
      <c r="T101" s="5121"/>
      <c r="U101" s="5121"/>
      <c r="V101" s="5121"/>
      <c r="W101" s="5121"/>
      <c r="X101" s="5122"/>
      <c r="Y101" s="5122"/>
      <c r="Z101" s="5122"/>
      <c r="AA101" s="5122"/>
      <c r="AB101" s="5122"/>
      <c r="AC101" s="5122"/>
      <c r="AD101" s="5122"/>
      <c r="AE101" s="5122"/>
      <c r="AF101" s="5122"/>
      <c r="AG101" s="5122"/>
      <c r="AH101" s="5634"/>
      <c r="AI101" s="5094" t="s">
        <v>1</v>
      </c>
      <c r="AJ101" s="5120"/>
      <c r="AK101" s="5121"/>
      <c r="AL101" s="5121"/>
      <c r="AM101" s="5121"/>
      <c r="AN101" s="5121"/>
      <c r="AO101" s="5122"/>
      <c r="AP101" s="5122"/>
      <c r="AQ101" s="5122"/>
      <c r="AR101" s="5122"/>
      <c r="AS101" s="5122"/>
      <c r="AT101" s="5122"/>
      <c r="AU101" s="5122"/>
      <c r="AV101" s="5122"/>
      <c r="AW101" s="5122"/>
      <c r="AX101" s="5122"/>
      <c r="AY101" s="5634"/>
      <c r="AZ101" s="5094" t="s">
        <v>1</v>
      </c>
      <c r="BA101" s="2"/>
      <c r="BB101" s="2"/>
      <c r="BC101" s="2"/>
      <c r="BD101" s="2"/>
      <c r="BE101" s="2"/>
      <c r="BF101" s="2"/>
      <c r="BG101"/>
      <c r="BH101"/>
      <c r="BI101" s="2"/>
      <c r="BJ101"/>
      <c r="BK101"/>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5">
        <v>1</v>
      </c>
      <c r="CL101" s="1"/>
      <c r="CM101" s="1"/>
    </row>
    <row r="102" spans="1:91" s="187" customFormat="1" ht="21" customHeight="1">
      <c r="A102"/>
      <c r="B102" s="5120"/>
      <c r="C102" s="5121"/>
      <c r="D102" s="5121"/>
      <c r="E102" s="5121"/>
      <c r="F102" s="5121"/>
      <c r="G102" s="5122"/>
      <c r="H102" s="5122"/>
      <c r="I102" s="5122"/>
      <c r="J102" s="5122"/>
      <c r="K102" s="5122"/>
      <c r="L102" s="5122"/>
      <c r="M102" s="5122"/>
      <c r="N102" s="5122"/>
      <c r="O102" s="5122"/>
      <c r="P102" s="5122"/>
      <c r="Q102" s="5634"/>
      <c r="R102" s="5094" t="s">
        <v>1</v>
      </c>
      <c r="S102" s="5120"/>
      <c r="T102" s="5121"/>
      <c r="U102" s="5121"/>
      <c r="V102" s="5121"/>
      <c r="W102" s="5121"/>
      <c r="X102" s="5122"/>
      <c r="Y102" s="5122"/>
      <c r="Z102" s="5122"/>
      <c r="AA102" s="5122"/>
      <c r="AB102" s="5122"/>
      <c r="AC102" s="5122"/>
      <c r="AD102" s="5122"/>
      <c r="AE102" s="5122"/>
      <c r="AF102" s="5122"/>
      <c r="AG102" s="5122"/>
      <c r="AH102" s="5634"/>
      <c r="AI102" s="5094" t="s">
        <v>1</v>
      </c>
      <c r="AJ102" s="5120"/>
      <c r="AK102" s="5121"/>
      <c r="AL102" s="5121"/>
      <c r="AM102" s="5121"/>
      <c r="AN102" s="5121"/>
      <c r="AO102" s="5122"/>
      <c r="AP102" s="5122"/>
      <c r="AQ102" s="5122"/>
      <c r="AR102" s="5122"/>
      <c r="AS102" s="5122"/>
      <c r="AT102" s="5122"/>
      <c r="AU102" s="5122"/>
      <c r="AV102" s="5122"/>
      <c r="AW102" s="5122"/>
      <c r="AX102" s="5122"/>
      <c r="AY102" s="5634"/>
      <c r="AZ102" s="5094" t="s">
        <v>1</v>
      </c>
      <c r="BA102" s="7198" t="s">
        <v>8290</v>
      </c>
      <c r="BB102" s="7198"/>
      <c r="BC102" s="2"/>
      <c r="BD102" s="6935" t="s">
        <v>8291</v>
      </c>
      <c r="BE102" s="6935"/>
      <c r="BF102" s="2"/>
      <c r="BG102" s="7200" t="s">
        <v>8292</v>
      </c>
      <c r="BH102" s="7200"/>
      <c r="BI102" s="2"/>
      <c r="BJ102" s="7202" t="s">
        <v>8293</v>
      </c>
      <c r="BK102" s="720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5">
        <v>1</v>
      </c>
      <c r="CL102" s="1"/>
      <c r="CM102" s="1"/>
    </row>
    <row r="103" spans="1:91" s="187" customFormat="1" ht="21" customHeight="1">
      <c r="A103"/>
      <c r="B103" s="5120"/>
      <c r="C103" s="5121"/>
      <c r="D103" s="5121"/>
      <c r="E103" s="5121"/>
      <c r="F103" s="5121"/>
      <c r="G103" s="5122"/>
      <c r="H103" s="5122"/>
      <c r="I103" s="5122"/>
      <c r="J103" s="5122"/>
      <c r="K103" s="5122"/>
      <c r="L103" s="5122"/>
      <c r="M103" s="5122"/>
      <c r="N103" s="5122"/>
      <c r="O103" s="5122"/>
      <c r="P103" s="5122"/>
      <c r="Q103" s="5634"/>
      <c r="R103" s="5094" t="s">
        <v>1</v>
      </c>
      <c r="S103" s="5120"/>
      <c r="T103" s="5121"/>
      <c r="U103" s="5121"/>
      <c r="V103" s="5121"/>
      <c r="W103" s="5121"/>
      <c r="X103" s="5122"/>
      <c r="Y103" s="5122"/>
      <c r="Z103" s="5122"/>
      <c r="AA103" s="5122"/>
      <c r="AB103" s="5122"/>
      <c r="AC103" s="5122"/>
      <c r="AD103" s="5122"/>
      <c r="AE103" s="5122"/>
      <c r="AF103" s="5122"/>
      <c r="AG103" s="5122"/>
      <c r="AH103" s="5634"/>
      <c r="AI103" s="5094" t="s">
        <v>1</v>
      </c>
      <c r="AJ103" s="5120"/>
      <c r="AK103" s="5121"/>
      <c r="AL103" s="5121"/>
      <c r="AM103" s="5121"/>
      <c r="AN103" s="5121"/>
      <c r="AO103" s="5122"/>
      <c r="AP103" s="5122"/>
      <c r="AQ103" s="5122"/>
      <c r="AR103" s="5122"/>
      <c r="AS103" s="5122"/>
      <c r="AT103" s="5122"/>
      <c r="AU103" s="5122"/>
      <c r="AV103" s="5122"/>
      <c r="AW103" s="5122"/>
      <c r="AX103" s="5122"/>
      <c r="AY103" s="5634"/>
      <c r="AZ103" s="5094" t="s">
        <v>1</v>
      </c>
      <c r="BA103" s="7199"/>
      <c r="BB103" s="7199"/>
      <c r="BC103" s="2"/>
      <c r="BD103" s="6936"/>
      <c r="BE103" s="6936"/>
      <c r="BF103" s="2"/>
      <c r="BG103" s="7201"/>
      <c r="BH103" s="7201"/>
      <c r="BI103" s="2"/>
      <c r="BJ103" s="7203"/>
      <c r="BK103" s="7203"/>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5">
        <v>1</v>
      </c>
      <c r="CL103" s="1"/>
      <c r="CM103" s="1"/>
    </row>
    <row r="104" spans="1:91" s="187" customFormat="1" ht="21" customHeight="1" thickBot="1">
      <c r="A104"/>
      <c r="B104" s="5120"/>
      <c r="C104" s="5121"/>
      <c r="D104" s="5121"/>
      <c r="E104" s="5121"/>
      <c r="F104" s="5121"/>
      <c r="G104" s="5122"/>
      <c r="H104" s="5122"/>
      <c r="I104" s="5122"/>
      <c r="J104" s="5122"/>
      <c r="K104" s="5122"/>
      <c r="L104" s="5122"/>
      <c r="M104" s="5122"/>
      <c r="N104" s="5122"/>
      <c r="O104" s="5122"/>
      <c r="P104" s="5122"/>
      <c r="Q104" s="5634"/>
      <c r="R104" s="5094" t="s">
        <v>1</v>
      </c>
      <c r="S104" s="5120"/>
      <c r="T104" s="5121"/>
      <c r="U104" s="5121"/>
      <c r="V104" s="5121"/>
      <c r="W104" s="5121"/>
      <c r="X104" s="5122"/>
      <c r="Y104" s="5122"/>
      <c r="Z104" s="5122"/>
      <c r="AA104" s="5122"/>
      <c r="AB104" s="5122"/>
      <c r="AC104" s="5122"/>
      <c r="AD104" s="5122"/>
      <c r="AE104" s="5122"/>
      <c r="AF104" s="5122"/>
      <c r="AG104" s="5122"/>
      <c r="AH104" s="5634"/>
      <c r="AI104" s="5094" t="s">
        <v>1</v>
      </c>
      <c r="AJ104" s="5120"/>
      <c r="AK104" s="5121"/>
      <c r="AL104" s="5121"/>
      <c r="AM104" s="5121"/>
      <c r="AN104" s="5121"/>
      <c r="AO104" s="5122"/>
      <c r="AP104" s="5122"/>
      <c r="AQ104" s="5122"/>
      <c r="AR104" s="5122"/>
      <c r="AS104" s="5122"/>
      <c r="AT104" s="5122"/>
      <c r="AU104" s="5122"/>
      <c r="AV104" s="5122"/>
      <c r="AW104" s="5122"/>
      <c r="AX104" s="5122"/>
      <c r="AY104" s="5634"/>
      <c r="AZ104" s="5094" t="s">
        <v>1</v>
      </c>
      <c r="BA104" s="2"/>
      <c r="BB104" s="2"/>
      <c r="BC104" s="2"/>
      <c r="BD104" s="2"/>
      <c r="BE104" s="2"/>
      <c r="BF104" s="2"/>
      <c r="BG104"/>
      <c r="BH104"/>
      <c r="BI104" s="2"/>
      <c r="BJ104"/>
      <c r="BK104"/>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5">
        <v>1</v>
      </c>
      <c r="CL104" s="1"/>
      <c r="CM104" s="1"/>
    </row>
    <row r="105" spans="1:91" s="187" customFormat="1" ht="21" customHeight="1">
      <c r="A105"/>
      <c r="B105" s="5120"/>
      <c r="C105" s="5121"/>
      <c r="D105" s="5121"/>
      <c r="E105" s="5121"/>
      <c r="F105" s="5121"/>
      <c r="G105" s="5122"/>
      <c r="H105" s="5122"/>
      <c r="I105" s="5122"/>
      <c r="J105" s="5122"/>
      <c r="K105" s="5122"/>
      <c r="L105" s="5122"/>
      <c r="M105" s="5122"/>
      <c r="N105" s="5122"/>
      <c r="O105" s="5122"/>
      <c r="P105" s="5122"/>
      <c r="Q105" s="5634"/>
      <c r="R105" s="5094" t="s">
        <v>1</v>
      </c>
      <c r="S105" s="5120"/>
      <c r="T105" s="5121"/>
      <c r="U105" s="5121"/>
      <c r="V105" s="5121"/>
      <c r="W105" s="5121"/>
      <c r="X105" s="5122"/>
      <c r="Y105" s="5122"/>
      <c r="Z105" s="5122"/>
      <c r="AA105" s="5122"/>
      <c r="AB105" s="5122"/>
      <c r="AC105" s="5122"/>
      <c r="AD105" s="5122"/>
      <c r="AE105" s="5122"/>
      <c r="AF105" s="5122"/>
      <c r="AG105" s="5122"/>
      <c r="AH105" s="5634"/>
      <c r="AI105" s="5094" t="s">
        <v>1</v>
      </c>
      <c r="AJ105" s="5120"/>
      <c r="AK105" s="5121"/>
      <c r="AL105" s="5121"/>
      <c r="AM105" s="5121"/>
      <c r="AN105" s="5121"/>
      <c r="AO105" s="5122"/>
      <c r="AP105" s="5122"/>
      <c r="AQ105" s="5122"/>
      <c r="AR105" s="5122"/>
      <c r="AS105" s="5122"/>
      <c r="AT105" s="5122"/>
      <c r="AU105" s="5122"/>
      <c r="AV105" s="5122"/>
      <c r="AW105" s="5122"/>
      <c r="AX105" s="5122"/>
      <c r="AY105" s="5634"/>
      <c r="AZ105" s="5094" t="s">
        <v>1</v>
      </c>
      <c r="BA105" s="7198" t="s">
        <v>8296</v>
      </c>
      <c r="BB105" s="7198"/>
      <c r="BC105" s="2"/>
      <c r="BD105" s="6935" t="s">
        <v>8297</v>
      </c>
      <c r="BE105" s="6935"/>
      <c r="BF105" s="2"/>
      <c r="BG105" s="7200" t="s">
        <v>8298</v>
      </c>
      <c r="BH105" s="7200"/>
      <c r="BI105" s="2"/>
      <c r="BJ105" s="7202" t="s">
        <v>8299</v>
      </c>
      <c r="BK105" s="720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5">
        <v>1</v>
      </c>
      <c r="CL105" s="1"/>
      <c r="CM105" s="1"/>
    </row>
    <row r="106" spans="1:91" s="187" customFormat="1" ht="21" customHeight="1">
      <c r="A106"/>
      <c r="B106" s="5120"/>
      <c r="C106" s="5121"/>
      <c r="D106" s="5121"/>
      <c r="E106" s="5121"/>
      <c r="F106" s="5121"/>
      <c r="G106" s="5122"/>
      <c r="H106" s="5122"/>
      <c r="I106" s="5122"/>
      <c r="J106" s="5122"/>
      <c r="K106" s="5122"/>
      <c r="L106" s="5122"/>
      <c r="M106" s="5122"/>
      <c r="N106" s="5122"/>
      <c r="O106" s="5122"/>
      <c r="P106" s="5122"/>
      <c r="Q106" s="5634"/>
      <c r="R106" s="5094" t="s">
        <v>1</v>
      </c>
      <c r="S106" s="5120"/>
      <c r="T106" s="5121"/>
      <c r="U106" s="5121"/>
      <c r="V106" s="5121"/>
      <c r="W106" s="5121"/>
      <c r="X106" s="5122"/>
      <c r="Y106" s="5122"/>
      <c r="Z106" s="5122"/>
      <c r="AA106" s="5122"/>
      <c r="AB106" s="5122"/>
      <c r="AC106" s="5122"/>
      <c r="AD106" s="5122"/>
      <c r="AE106" s="5122"/>
      <c r="AF106" s="5122"/>
      <c r="AG106" s="5122"/>
      <c r="AH106" s="5634"/>
      <c r="AI106" s="5094" t="s">
        <v>1</v>
      </c>
      <c r="AJ106" s="5120"/>
      <c r="AK106" s="5121"/>
      <c r="AL106" s="5121"/>
      <c r="AM106" s="5121"/>
      <c r="AN106" s="5121"/>
      <c r="AO106" s="5122"/>
      <c r="AP106" s="5122"/>
      <c r="AQ106" s="5122"/>
      <c r="AR106" s="5122"/>
      <c r="AS106" s="5122"/>
      <c r="AT106" s="5122"/>
      <c r="AU106" s="5122"/>
      <c r="AV106" s="5122"/>
      <c r="AW106" s="5122"/>
      <c r="AX106" s="5122"/>
      <c r="AY106" s="5634"/>
      <c r="AZ106" s="5094" t="s">
        <v>1</v>
      </c>
      <c r="BA106" s="7199"/>
      <c r="BB106" s="7199"/>
      <c r="BC106" s="2"/>
      <c r="BD106" s="6936"/>
      <c r="BE106" s="6936"/>
      <c r="BF106" s="2"/>
      <c r="BG106" s="7201"/>
      <c r="BH106" s="7201"/>
      <c r="BI106" s="2"/>
      <c r="BJ106" s="7203"/>
      <c r="BK106" s="7203"/>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5">
        <v>1</v>
      </c>
      <c r="CL106" s="1"/>
      <c r="CM106" s="1"/>
    </row>
    <row r="107" spans="1:91" s="187" customFormat="1" ht="21" customHeight="1" thickBot="1">
      <c r="A107"/>
      <c r="B107" s="5120"/>
      <c r="C107" s="5121"/>
      <c r="D107" s="5121"/>
      <c r="E107" s="5121"/>
      <c r="F107" s="5121"/>
      <c r="G107" s="5122"/>
      <c r="H107" s="5122"/>
      <c r="I107" s="5122"/>
      <c r="J107" s="5122"/>
      <c r="K107" s="5122"/>
      <c r="L107" s="5122"/>
      <c r="M107" s="5122"/>
      <c r="N107" s="5122"/>
      <c r="O107" s="5122"/>
      <c r="P107" s="5122"/>
      <c r="Q107" s="5634"/>
      <c r="R107" s="5094" t="s">
        <v>1</v>
      </c>
      <c r="S107" s="5120"/>
      <c r="T107" s="5121"/>
      <c r="U107" s="5121"/>
      <c r="V107" s="5121"/>
      <c r="W107" s="5121"/>
      <c r="X107" s="5122"/>
      <c r="Y107" s="5122"/>
      <c r="Z107" s="5122"/>
      <c r="AA107" s="5122"/>
      <c r="AB107" s="5122"/>
      <c r="AC107" s="5122"/>
      <c r="AD107" s="5122"/>
      <c r="AE107" s="5122"/>
      <c r="AF107" s="5122"/>
      <c r="AG107" s="5122"/>
      <c r="AH107" s="5634"/>
      <c r="AI107" s="5094" t="s">
        <v>1</v>
      </c>
      <c r="AJ107" s="5120"/>
      <c r="AK107" s="5121"/>
      <c r="AL107" s="5121"/>
      <c r="AM107" s="5121"/>
      <c r="AN107" s="5121"/>
      <c r="AO107" s="5122"/>
      <c r="AP107" s="5122"/>
      <c r="AQ107" s="5122"/>
      <c r="AR107" s="5122"/>
      <c r="AS107" s="5122"/>
      <c r="AT107" s="5122"/>
      <c r="AU107" s="5122"/>
      <c r="AV107" s="5122"/>
      <c r="AW107" s="5122"/>
      <c r="AX107" s="5122"/>
      <c r="AY107" s="5634"/>
      <c r="AZ107" s="5094" t="s">
        <v>1</v>
      </c>
      <c r="BA107" s="2"/>
      <c r="BB107" s="2"/>
      <c r="BC107" s="2"/>
      <c r="BD107" s="2"/>
      <c r="BE107" s="2"/>
      <c r="BF107" s="2"/>
      <c r="BG107"/>
      <c r="BH107"/>
      <c r="BI107" s="2"/>
      <c r="BJ107"/>
      <c r="BK107"/>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5">
        <v>1</v>
      </c>
      <c r="CL107" s="1"/>
      <c r="CM107" s="1"/>
    </row>
    <row r="108" spans="1:91" s="187" customFormat="1" ht="21" customHeight="1">
      <c r="A108"/>
      <c r="B108" s="5120"/>
      <c r="C108" s="5121"/>
      <c r="D108" s="5121"/>
      <c r="E108" s="5121"/>
      <c r="F108" s="5121"/>
      <c r="G108" s="5122"/>
      <c r="H108" s="5122"/>
      <c r="I108" s="5122"/>
      <c r="J108" s="5122"/>
      <c r="K108" s="5122"/>
      <c r="L108" s="5122"/>
      <c r="M108" s="5122"/>
      <c r="N108" s="5122"/>
      <c r="O108" s="5122"/>
      <c r="P108" s="5122"/>
      <c r="Q108" s="5634"/>
      <c r="R108" s="5094" t="s">
        <v>1</v>
      </c>
      <c r="S108" s="5120"/>
      <c r="T108" s="5121"/>
      <c r="U108" s="5121"/>
      <c r="V108" s="5121"/>
      <c r="W108" s="5121"/>
      <c r="X108" s="5122"/>
      <c r="Y108" s="5122"/>
      <c r="Z108" s="5122"/>
      <c r="AA108" s="5122"/>
      <c r="AB108" s="5122"/>
      <c r="AC108" s="5122"/>
      <c r="AD108" s="5122"/>
      <c r="AE108" s="5122"/>
      <c r="AF108" s="5122"/>
      <c r="AG108" s="5122"/>
      <c r="AH108" s="5634"/>
      <c r="AI108" s="5094" t="s">
        <v>1</v>
      </c>
      <c r="AJ108" s="5120"/>
      <c r="AK108" s="5121"/>
      <c r="AL108" s="5121"/>
      <c r="AM108" s="5121"/>
      <c r="AN108" s="5121"/>
      <c r="AO108" s="5122"/>
      <c r="AP108" s="5122"/>
      <c r="AQ108" s="5122"/>
      <c r="AR108" s="5122"/>
      <c r="AS108" s="5122"/>
      <c r="AT108" s="5122"/>
      <c r="AU108" s="5122"/>
      <c r="AV108" s="5122"/>
      <c r="AW108" s="5122"/>
      <c r="AX108" s="5122"/>
      <c r="AY108" s="5634"/>
      <c r="AZ108" s="5094" t="s">
        <v>1</v>
      </c>
      <c r="BA108" s="2"/>
      <c r="BB108" s="2"/>
      <c r="BC108" s="2"/>
      <c r="BD108" s="6935" t="s">
        <v>8302</v>
      </c>
      <c r="BE108" s="6935"/>
      <c r="BF108" s="2"/>
      <c r="BG108" s="7200" t="s">
        <v>8043</v>
      </c>
      <c r="BH108" s="7200"/>
      <c r="BI108" s="2"/>
      <c r="BJ108" s="7202" t="s">
        <v>8303</v>
      </c>
      <c r="BK108" s="720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5">
        <v>1</v>
      </c>
      <c r="CL108" s="1"/>
      <c r="CM108" s="1"/>
    </row>
    <row r="109" spans="1:91" s="187" customFormat="1" ht="21" customHeight="1">
      <c r="A109"/>
      <c r="B109" s="5120"/>
      <c r="C109" s="5121"/>
      <c r="D109" s="5121"/>
      <c r="E109" s="5121"/>
      <c r="F109" s="5121"/>
      <c r="G109" s="5122"/>
      <c r="H109" s="5122"/>
      <c r="I109" s="5122"/>
      <c r="J109" s="5122"/>
      <c r="K109" s="5122"/>
      <c r="L109" s="5122"/>
      <c r="M109" s="5122"/>
      <c r="N109" s="5122"/>
      <c r="O109" s="5122"/>
      <c r="P109" s="5122"/>
      <c r="Q109" s="5634"/>
      <c r="R109" s="5094" t="s">
        <v>1</v>
      </c>
      <c r="S109" s="5120"/>
      <c r="T109" s="5121"/>
      <c r="U109" s="5121"/>
      <c r="V109" s="5121"/>
      <c r="W109" s="5121"/>
      <c r="X109" s="5122"/>
      <c r="Y109" s="5122"/>
      <c r="Z109" s="5122"/>
      <c r="AA109" s="5122"/>
      <c r="AB109" s="5122"/>
      <c r="AC109" s="5122"/>
      <c r="AD109" s="5122"/>
      <c r="AE109" s="5122"/>
      <c r="AF109" s="5122"/>
      <c r="AG109" s="5122"/>
      <c r="AH109" s="5634"/>
      <c r="AI109" s="5094" t="s">
        <v>1</v>
      </c>
      <c r="AJ109" s="5120"/>
      <c r="AK109" s="5121"/>
      <c r="AL109" s="5121"/>
      <c r="AM109" s="5121"/>
      <c r="AN109" s="5121"/>
      <c r="AO109" s="5122"/>
      <c r="AP109" s="5122"/>
      <c r="AQ109" s="5122"/>
      <c r="AR109" s="5122"/>
      <c r="AS109" s="5122"/>
      <c r="AT109" s="5122"/>
      <c r="AU109" s="5122"/>
      <c r="AV109" s="5122"/>
      <c r="AW109" s="5122"/>
      <c r="AX109" s="5122"/>
      <c r="AY109" s="5634"/>
      <c r="AZ109" s="5094" t="s">
        <v>1</v>
      </c>
      <c r="BA109" s="2"/>
      <c r="BB109" s="2"/>
      <c r="BC109" s="2"/>
      <c r="BD109" s="6936"/>
      <c r="BE109" s="6936"/>
      <c r="BF109" s="2"/>
      <c r="BG109" s="7201"/>
      <c r="BH109" s="7201"/>
      <c r="BI109" s="2"/>
      <c r="BJ109" s="7203"/>
      <c r="BK109" s="7203"/>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5">
        <v>1</v>
      </c>
      <c r="CL109" s="1"/>
      <c r="CM109" s="1"/>
    </row>
    <row r="110" spans="1:91" s="187" customFormat="1" ht="21" customHeight="1" thickBot="1">
      <c r="A110"/>
      <c r="B110" s="5120"/>
      <c r="C110" s="5121"/>
      <c r="D110" s="5121"/>
      <c r="E110" s="5121"/>
      <c r="F110" s="5121"/>
      <c r="G110" s="5122"/>
      <c r="H110" s="5122"/>
      <c r="I110" s="5122"/>
      <c r="J110" s="5122"/>
      <c r="K110" s="5122"/>
      <c r="L110" s="5122"/>
      <c r="M110" s="5122"/>
      <c r="N110" s="5122"/>
      <c r="O110" s="5122"/>
      <c r="P110" s="5122"/>
      <c r="Q110" s="5634"/>
      <c r="R110" s="5094" t="s">
        <v>1</v>
      </c>
      <c r="S110" s="5120"/>
      <c r="T110" s="5121"/>
      <c r="U110" s="5121"/>
      <c r="V110" s="5121"/>
      <c r="W110" s="5121"/>
      <c r="X110" s="5122"/>
      <c r="Y110" s="5122"/>
      <c r="Z110" s="5122"/>
      <c r="AA110" s="5122"/>
      <c r="AB110" s="5122"/>
      <c r="AC110" s="5122"/>
      <c r="AD110" s="5122"/>
      <c r="AE110" s="5122"/>
      <c r="AF110" s="5122"/>
      <c r="AG110" s="5122"/>
      <c r="AH110" s="5634"/>
      <c r="AI110" s="5094" t="s">
        <v>1</v>
      </c>
      <c r="AJ110" s="5120"/>
      <c r="AK110" s="5121"/>
      <c r="AL110" s="5121"/>
      <c r="AM110" s="5121"/>
      <c r="AN110" s="5121"/>
      <c r="AO110" s="5122"/>
      <c r="AP110" s="5122"/>
      <c r="AQ110" s="5122"/>
      <c r="AR110" s="5122"/>
      <c r="AS110" s="5122"/>
      <c r="AT110" s="5122"/>
      <c r="AU110" s="5122"/>
      <c r="AV110" s="5122"/>
      <c r="AW110" s="5122"/>
      <c r="AX110" s="5122"/>
      <c r="AY110" s="5634"/>
      <c r="AZ110" s="5094" t="s">
        <v>1</v>
      </c>
      <c r="BA110" s="2"/>
      <c r="BB110" s="2"/>
      <c r="BC110" s="2"/>
      <c r="BD110" s="2"/>
      <c r="BE110" s="2"/>
      <c r="BF110" s="2"/>
      <c r="BG110" s="2"/>
      <c r="BH110" s="2"/>
      <c r="BI110" s="2"/>
      <c r="BJ110"/>
      <c r="BK110"/>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5">
        <v>1</v>
      </c>
      <c r="CL110" s="1"/>
      <c r="CM110" s="1"/>
    </row>
    <row r="111" spans="1:91" s="187" customFormat="1" ht="21" customHeight="1">
      <c r="A111"/>
      <c r="B111" s="5120"/>
      <c r="C111" s="5121"/>
      <c r="D111" s="5121"/>
      <c r="E111" s="5121"/>
      <c r="F111" s="5121"/>
      <c r="G111" s="5122"/>
      <c r="H111" s="5122"/>
      <c r="I111" s="5122"/>
      <c r="J111" s="5122"/>
      <c r="K111" s="5122"/>
      <c r="L111" s="5122"/>
      <c r="M111" s="5122"/>
      <c r="N111" s="5122"/>
      <c r="O111" s="5122"/>
      <c r="P111" s="5122"/>
      <c r="Q111" s="5634"/>
      <c r="R111" s="5094" t="s">
        <v>1</v>
      </c>
      <c r="S111" s="5120"/>
      <c r="T111" s="5121"/>
      <c r="U111" s="5121"/>
      <c r="V111" s="5121"/>
      <c r="W111" s="5121"/>
      <c r="X111" s="5122"/>
      <c r="Y111" s="5122"/>
      <c r="Z111" s="5122"/>
      <c r="AA111" s="5122"/>
      <c r="AB111" s="5122"/>
      <c r="AC111" s="5122"/>
      <c r="AD111" s="5122"/>
      <c r="AE111" s="5122"/>
      <c r="AF111" s="5122"/>
      <c r="AG111" s="5122"/>
      <c r="AH111" s="5634"/>
      <c r="AI111" s="5094" t="s">
        <v>1</v>
      </c>
      <c r="AJ111" s="5120"/>
      <c r="AK111" s="5121"/>
      <c r="AL111" s="5121"/>
      <c r="AM111" s="5121"/>
      <c r="AN111" s="5121"/>
      <c r="AO111" s="5122"/>
      <c r="AP111" s="5122"/>
      <c r="AQ111" s="5122"/>
      <c r="AR111" s="5122"/>
      <c r="AS111" s="5122"/>
      <c r="AT111" s="5122"/>
      <c r="AU111" s="5122"/>
      <c r="AV111" s="5122"/>
      <c r="AW111" s="5122"/>
      <c r="AX111" s="5122"/>
      <c r="AY111" s="5634"/>
      <c r="AZ111" s="5094" t="s">
        <v>1</v>
      </c>
      <c r="BA111" s="2"/>
      <c r="BB111" s="2"/>
      <c r="BC111" s="2"/>
      <c r="BD111" s="6935" t="s">
        <v>8306</v>
      </c>
      <c r="BE111" s="6935"/>
      <c r="BF111" s="2"/>
      <c r="BG111" s="2"/>
      <c r="BH111" s="2"/>
      <c r="BI111" s="2"/>
      <c r="BJ111" s="7202" t="s">
        <v>8044</v>
      </c>
      <c r="BK111" s="720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5">
        <v>1</v>
      </c>
      <c r="CL111" s="1"/>
      <c r="CM111" s="1"/>
    </row>
    <row r="112" spans="1:91" s="187" customFormat="1" ht="21" customHeight="1">
      <c r="A112"/>
      <c r="B112" s="5120"/>
      <c r="C112" s="5121"/>
      <c r="D112" s="5121"/>
      <c r="E112" s="5121"/>
      <c r="F112" s="5121"/>
      <c r="G112" s="5122"/>
      <c r="H112" s="5122"/>
      <c r="I112" s="5122"/>
      <c r="J112" s="5122"/>
      <c r="K112" s="5122"/>
      <c r="L112" s="5122"/>
      <c r="M112" s="5122"/>
      <c r="N112" s="5122"/>
      <c r="O112" s="5122"/>
      <c r="P112" s="5122"/>
      <c r="Q112" s="5634"/>
      <c r="R112" s="5094" t="s">
        <v>1</v>
      </c>
      <c r="S112" s="5120"/>
      <c r="T112" s="5121"/>
      <c r="U112" s="5121"/>
      <c r="V112" s="5121"/>
      <c r="W112" s="5121"/>
      <c r="X112" s="5122"/>
      <c r="Y112" s="5122"/>
      <c r="Z112" s="5122"/>
      <c r="AA112" s="5122"/>
      <c r="AB112" s="5122"/>
      <c r="AC112" s="5122"/>
      <c r="AD112" s="5122"/>
      <c r="AE112" s="5122"/>
      <c r="AF112" s="5122"/>
      <c r="AG112" s="5122"/>
      <c r="AH112" s="5634"/>
      <c r="AI112" s="5094" t="s">
        <v>1</v>
      </c>
      <c r="AJ112" s="5120"/>
      <c r="AK112" s="5121"/>
      <c r="AL112" s="5121"/>
      <c r="AM112" s="5121"/>
      <c r="AN112" s="5121"/>
      <c r="AO112" s="5122"/>
      <c r="AP112" s="5122"/>
      <c r="AQ112" s="5122"/>
      <c r="AR112" s="5122"/>
      <c r="AS112" s="5122"/>
      <c r="AT112" s="5122"/>
      <c r="AU112" s="5122"/>
      <c r="AV112" s="5122"/>
      <c r="AW112" s="5122"/>
      <c r="AX112" s="5122"/>
      <c r="AY112" s="5634"/>
      <c r="AZ112" s="5094" t="s">
        <v>1</v>
      </c>
      <c r="BA112" s="2"/>
      <c r="BB112" s="2"/>
      <c r="BC112" s="2"/>
      <c r="BD112" s="6936"/>
      <c r="BE112" s="6936"/>
      <c r="BF112" s="2"/>
      <c r="BG112" s="2"/>
      <c r="BH112" s="2"/>
      <c r="BI112" s="2"/>
      <c r="BJ112" s="7203"/>
      <c r="BK112" s="7203"/>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5">
        <v>1</v>
      </c>
      <c r="CL112" s="1"/>
      <c r="CM112" s="1"/>
    </row>
    <row r="113" spans="1:91" s="187" customFormat="1" ht="21" customHeight="1" thickBot="1">
      <c r="A113"/>
      <c r="B113" s="5120"/>
      <c r="C113" s="5121"/>
      <c r="D113" s="5121"/>
      <c r="E113" s="5121"/>
      <c r="F113" s="5121"/>
      <c r="G113" s="5122"/>
      <c r="H113" s="5122"/>
      <c r="I113" s="5122"/>
      <c r="J113" s="5122"/>
      <c r="K113" s="5122"/>
      <c r="L113" s="5122"/>
      <c r="M113" s="5122"/>
      <c r="N113" s="5122"/>
      <c r="O113" s="5122"/>
      <c r="P113" s="5122"/>
      <c r="Q113" s="5634"/>
      <c r="R113" s="5094" t="s">
        <v>1</v>
      </c>
      <c r="S113" s="5120"/>
      <c r="T113" s="5121"/>
      <c r="U113" s="5121"/>
      <c r="V113" s="5121"/>
      <c r="W113" s="5121"/>
      <c r="X113" s="5122"/>
      <c r="Y113" s="5122"/>
      <c r="Z113" s="5122"/>
      <c r="AA113" s="5122"/>
      <c r="AB113" s="5122"/>
      <c r="AC113" s="5122"/>
      <c r="AD113" s="5122"/>
      <c r="AE113" s="5122"/>
      <c r="AF113" s="5122"/>
      <c r="AG113" s="5122"/>
      <c r="AH113" s="5634"/>
      <c r="AI113" s="5094" t="s">
        <v>1</v>
      </c>
      <c r="AJ113" s="5120"/>
      <c r="AK113" s="5121"/>
      <c r="AL113" s="5121"/>
      <c r="AM113" s="5121"/>
      <c r="AN113" s="5121"/>
      <c r="AO113" s="5122"/>
      <c r="AP113" s="5122"/>
      <c r="AQ113" s="5122"/>
      <c r="AR113" s="5122"/>
      <c r="AS113" s="5122"/>
      <c r="AT113" s="5122"/>
      <c r="AU113" s="5122"/>
      <c r="AV113" s="5122"/>
      <c r="AW113" s="5122"/>
      <c r="AX113" s="5122"/>
      <c r="AY113" s="5634"/>
      <c r="AZ113" s="5094" t="s">
        <v>1</v>
      </c>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5">
        <v>1</v>
      </c>
      <c r="CL113" s="1"/>
      <c r="CM113" s="1"/>
    </row>
    <row r="114" spans="1:91" s="187" customFormat="1" ht="21" customHeight="1">
      <c r="A114"/>
      <c r="B114" s="5120"/>
      <c r="C114" s="5121"/>
      <c r="D114" s="5121"/>
      <c r="E114" s="5121"/>
      <c r="F114" s="5121"/>
      <c r="G114" s="5122"/>
      <c r="H114" s="5122"/>
      <c r="I114" s="5122"/>
      <c r="J114" s="5122"/>
      <c r="K114" s="5122"/>
      <c r="L114" s="5122"/>
      <c r="M114" s="5122"/>
      <c r="N114" s="5122"/>
      <c r="O114" s="5122"/>
      <c r="P114" s="5122"/>
      <c r="Q114" s="5634"/>
      <c r="R114" s="5094" t="s">
        <v>1</v>
      </c>
      <c r="S114" s="5120"/>
      <c r="T114" s="5121"/>
      <c r="U114" s="5121"/>
      <c r="V114" s="5121"/>
      <c r="W114" s="5121"/>
      <c r="X114" s="5122"/>
      <c r="Y114" s="5122"/>
      <c r="Z114" s="5122"/>
      <c r="AA114" s="5122"/>
      <c r="AB114" s="5122"/>
      <c r="AC114" s="5122"/>
      <c r="AD114" s="5122"/>
      <c r="AE114" s="5122"/>
      <c r="AF114" s="5122"/>
      <c r="AG114" s="5122"/>
      <c r="AH114" s="5634"/>
      <c r="AI114" s="5094" t="s">
        <v>1</v>
      </c>
      <c r="AJ114" s="5120"/>
      <c r="AK114" s="5121"/>
      <c r="AL114" s="5121"/>
      <c r="AM114" s="5121"/>
      <c r="AN114" s="5121"/>
      <c r="AO114" s="5122"/>
      <c r="AP114" s="5122"/>
      <c r="AQ114" s="5122"/>
      <c r="AR114" s="5122"/>
      <c r="AS114" s="5122"/>
      <c r="AT114" s="5122"/>
      <c r="AU114" s="5122"/>
      <c r="AV114" s="5122"/>
      <c r="AW114" s="5122"/>
      <c r="AX114" s="5122"/>
      <c r="AY114" s="5634"/>
      <c r="AZ114" s="5094" t="s">
        <v>1</v>
      </c>
      <c r="BA114" s="2"/>
      <c r="BB114" s="2"/>
      <c r="BC114" s="2"/>
      <c r="BD114" s="6935" t="s">
        <v>8309</v>
      </c>
      <c r="BE114" s="6935"/>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5">
        <v>1</v>
      </c>
      <c r="CL114" s="1"/>
      <c r="CM114" s="1"/>
    </row>
    <row r="115" spans="1:91" s="187" customFormat="1" ht="21" customHeight="1">
      <c r="A115"/>
      <c r="B115" s="5120"/>
      <c r="C115" s="5121"/>
      <c r="D115" s="5121"/>
      <c r="E115" s="5121"/>
      <c r="F115" s="5121"/>
      <c r="G115" s="5122"/>
      <c r="H115" s="5122"/>
      <c r="I115" s="5122"/>
      <c r="J115" s="5122"/>
      <c r="K115" s="5122"/>
      <c r="L115" s="5122"/>
      <c r="M115" s="5122"/>
      <c r="N115" s="5122"/>
      <c r="O115" s="5122"/>
      <c r="P115" s="5122"/>
      <c r="Q115" s="5634"/>
      <c r="R115" s="5094" t="s">
        <v>1</v>
      </c>
      <c r="S115" s="5120"/>
      <c r="T115" s="5121"/>
      <c r="U115" s="5121"/>
      <c r="V115" s="5121"/>
      <c r="W115" s="5121"/>
      <c r="X115" s="5122"/>
      <c r="Y115" s="5122"/>
      <c r="Z115" s="5122"/>
      <c r="AA115" s="5122"/>
      <c r="AB115" s="5122"/>
      <c r="AC115" s="5122"/>
      <c r="AD115" s="5122"/>
      <c r="AE115" s="5122"/>
      <c r="AF115" s="5122"/>
      <c r="AG115" s="5122"/>
      <c r="AH115" s="5634"/>
      <c r="AI115" s="5094" t="s">
        <v>1</v>
      </c>
      <c r="AJ115" s="5120"/>
      <c r="AK115" s="5121"/>
      <c r="AL115" s="5121"/>
      <c r="AM115" s="5121"/>
      <c r="AN115" s="5121"/>
      <c r="AO115" s="5122"/>
      <c r="AP115" s="5122"/>
      <c r="AQ115" s="5122"/>
      <c r="AR115" s="5122"/>
      <c r="AS115" s="5122"/>
      <c r="AT115" s="5122"/>
      <c r="AU115" s="5122"/>
      <c r="AV115" s="5122"/>
      <c r="AW115" s="5122"/>
      <c r="AX115" s="5122"/>
      <c r="AY115" s="5634"/>
      <c r="AZ115" s="5094" t="s">
        <v>1</v>
      </c>
      <c r="BA115" s="2"/>
      <c r="BB115" s="2"/>
      <c r="BC115" s="2"/>
      <c r="BD115" s="6936"/>
      <c r="BE115" s="6936"/>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5">
        <v>1</v>
      </c>
      <c r="CL115" s="1"/>
      <c r="CM115" s="1"/>
    </row>
    <row r="116" spans="1:91" s="187" customFormat="1" ht="21" customHeight="1" thickBot="1">
      <c r="A116"/>
      <c r="B116" s="5120"/>
      <c r="C116" s="5121"/>
      <c r="D116" s="5121"/>
      <c r="E116" s="5121"/>
      <c r="F116" s="5121"/>
      <c r="G116" s="5122"/>
      <c r="H116" s="5122"/>
      <c r="I116" s="5122"/>
      <c r="J116" s="5122"/>
      <c r="K116" s="5122"/>
      <c r="L116" s="5122"/>
      <c r="M116" s="5122"/>
      <c r="N116" s="5122"/>
      <c r="O116" s="5122"/>
      <c r="P116" s="5122"/>
      <c r="Q116" s="5634"/>
      <c r="R116" s="5094" t="s">
        <v>1</v>
      </c>
      <c r="S116" s="5120"/>
      <c r="T116" s="5121"/>
      <c r="U116" s="5121"/>
      <c r="V116" s="5121"/>
      <c r="W116" s="5121"/>
      <c r="X116" s="5122"/>
      <c r="Y116" s="5122"/>
      <c r="Z116" s="5122"/>
      <c r="AA116" s="5122"/>
      <c r="AB116" s="5122"/>
      <c r="AC116" s="5122"/>
      <c r="AD116" s="5122"/>
      <c r="AE116" s="5122"/>
      <c r="AF116" s="5122"/>
      <c r="AG116" s="5122"/>
      <c r="AH116" s="5634"/>
      <c r="AI116" s="5094" t="s">
        <v>1</v>
      </c>
      <c r="AJ116" s="5120"/>
      <c r="AK116" s="5121"/>
      <c r="AL116" s="5121"/>
      <c r="AM116" s="5121"/>
      <c r="AN116" s="5121"/>
      <c r="AO116" s="5122"/>
      <c r="AP116" s="5122"/>
      <c r="AQ116" s="5122"/>
      <c r="AR116" s="5122"/>
      <c r="AS116" s="5122"/>
      <c r="AT116" s="5122"/>
      <c r="AU116" s="5122"/>
      <c r="AV116" s="5122"/>
      <c r="AW116" s="5122"/>
      <c r="AX116" s="5122"/>
      <c r="AY116" s="5634"/>
      <c r="AZ116" s="5094" t="s">
        <v>1</v>
      </c>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5">
        <v>1</v>
      </c>
      <c r="CL116" s="1"/>
      <c r="CM116" s="1"/>
    </row>
    <row r="117" spans="1:91" s="187" customFormat="1" ht="21" customHeight="1">
      <c r="A117"/>
      <c r="B117" s="5120"/>
      <c r="C117" s="5121"/>
      <c r="D117" s="5121"/>
      <c r="E117" s="5121"/>
      <c r="F117" s="5121"/>
      <c r="G117" s="5122"/>
      <c r="H117" s="5122"/>
      <c r="I117" s="5122"/>
      <c r="J117" s="5122"/>
      <c r="K117" s="5122"/>
      <c r="L117" s="5122"/>
      <c r="M117" s="5122"/>
      <c r="N117" s="5122"/>
      <c r="O117" s="5122"/>
      <c r="P117" s="5122"/>
      <c r="Q117" s="5634"/>
      <c r="R117" s="5094" t="s">
        <v>1</v>
      </c>
      <c r="S117" s="5120"/>
      <c r="T117" s="5121"/>
      <c r="U117" s="5121"/>
      <c r="V117" s="5121"/>
      <c r="W117" s="5121"/>
      <c r="X117" s="5122"/>
      <c r="Y117" s="5122"/>
      <c r="Z117" s="5122"/>
      <c r="AA117" s="5122"/>
      <c r="AB117" s="5122"/>
      <c r="AC117" s="5122"/>
      <c r="AD117" s="5122"/>
      <c r="AE117" s="5122"/>
      <c r="AF117" s="5122"/>
      <c r="AG117" s="5122"/>
      <c r="AH117" s="5634"/>
      <c r="AI117" s="5094" t="s">
        <v>1</v>
      </c>
      <c r="AJ117" s="5120"/>
      <c r="AK117" s="5121"/>
      <c r="AL117" s="5121"/>
      <c r="AM117" s="5121"/>
      <c r="AN117" s="5121"/>
      <c r="AO117" s="5122"/>
      <c r="AP117" s="5122"/>
      <c r="AQ117" s="5122"/>
      <c r="AR117" s="5122"/>
      <c r="AS117" s="5122"/>
      <c r="AT117" s="5122"/>
      <c r="AU117" s="5122"/>
      <c r="AV117" s="5122"/>
      <c r="AW117" s="5122"/>
      <c r="AX117" s="5122"/>
      <c r="AY117" s="5634"/>
      <c r="AZ117" s="5094" t="s">
        <v>1</v>
      </c>
      <c r="BA117" s="2"/>
      <c r="BB117" s="2"/>
      <c r="BC117" s="2"/>
      <c r="BD117" s="6935" t="s">
        <v>8312</v>
      </c>
      <c r="BE117" s="6935"/>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5">
        <v>1</v>
      </c>
      <c r="CL117" s="1"/>
      <c r="CM117" s="1"/>
    </row>
    <row r="118" spans="1:91" s="187" customFormat="1" ht="21" customHeight="1">
      <c r="A118"/>
      <c r="B118" s="5120"/>
      <c r="C118" s="5121"/>
      <c r="D118" s="5121"/>
      <c r="E118" s="5121"/>
      <c r="F118" s="5121"/>
      <c r="G118" s="5122"/>
      <c r="H118" s="5122"/>
      <c r="I118" s="5122"/>
      <c r="J118" s="5122"/>
      <c r="K118" s="5122"/>
      <c r="L118" s="5122"/>
      <c r="M118" s="5122"/>
      <c r="N118" s="5122"/>
      <c r="O118" s="5122"/>
      <c r="P118" s="5122"/>
      <c r="Q118" s="5634"/>
      <c r="R118" s="5094" t="s">
        <v>1</v>
      </c>
      <c r="S118" s="5120"/>
      <c r="T118" s="5121"/>
      <c r="U118" s="5121"/>
      <c r="V118" s="5121"/>
      <c r="W118" s="5121"/>
      <c r="X118" s="5122"/>
      <c r="Y118" s="5122"/>
      <c r="Z118" s="5122"/>
      <c r="AA118" s="5122"/>
      <c r="AB118" s="5122"/>
      <c r="AC118" s="5122"/>
      <c r="AD118" s="5122"/>
      <c r="AE118" s="5122"/>
      <c r="AF118" s="5122"/>
      <c r="AG118" s="5122"/>
      <c r="AH118" s="5634"/>
      <c r="AI118" s="5094" t="s">
        <v>1</v>
      </c>
      <c r="AJ118" s="5120"/>
      <c r="AK118" s="5121"/>
      <c r="AL118" s="5121"/>
      <c r="AM118" s="5121"/>
      <c r="AN118" s="5121"/>
      <c r="AO118" s="5122"/>
      <c r="AP118" s="5122"/>
      <c r="AQ118" s="5122"/>
      <c r="AR118" s="5122"/>
      <c r="AS118" s="5122"/>
      <c r="AT118" s="5122"/>
      <c r="AU118" s="5122"/>
      <c r="AV118" s="5122"/>
      <c r="AW118" s="5122"/>
      <c r="AX118" s="5122"/>
      <c r="AY118" s="5634"/>
      <c r="AZ118" s="5094" t="s">
        <v>1</v>
      </c>
      <c r="BA118" s="2"/>
      <c r="BB118" s="2"/>
      <c r="BC118" s="2"/>
      <c r="BD118" s="6936"/>
      <c r="BE118" s="6936"/>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5">
        <v>1</v>
      </c>
      <c r="CL118" s="1"/>
      <c r="CM118" s="1"/>
    </row>
    <row r="119" spans="1:91" s="187" customFormat="1" ht="21" customHeight="1" thickBot="1">
      <c r="A119"/>
      <c r="B119" s="5120"/>
      <c r="C119" s="5121"/>
      <c r="D119" s="5121"/>
      <c r="E119" s="5121"/>
      <c r="F119" s="5121"/>
      <c r="G119" s="5122"/>
      <c r="H119" s="5122"/>
      <c r="I119" s="5122"/>
      <c r="J119" s="5122"/>
      <c r="K119" s="5122"/>
      <c r="L119" s="5122"/>
      <c r="M119" s="5122"/>
      <c r="N119" s="5122"/>
      <c r="O119" s="5122"/>
      <c r="P119" s="5122"/>
      <c r="Q119" s="5634"/>
      <c r="R119" s="5094" t="s">
        <v>1</v>
      </c>
      <c r="S119" s="5120"/>
      <c r="T119" s="5121"/>
      <c r="U119" s="5121"/>
      <c r="V119" s="5121"/>
      <c r="W119" s="5121"/>
      <c r="X119" s="5122"/>
      <c r="Y119" s="5122"/>
      <c r="Z119" s="5122"/>
      <c r="AA119" s="5122"/>
      <c r="AB119" s="5122"/>
      <c r="AC119" s="5122"/>
      <c r="AD119" s="5122"/>
      <c r="AE119" s="5122"/>
      <c r="AF119" s="5122"/>
      <c r="AG119" s="5122"/>
      <c r="AH119" s="5634"/>
      <c r="AI119" s="5094" t="s">
        <v>1</v>
      </c>
      <c r="AJ119" s="5120"/>
      <c r="AK119" s="5121"/>
      <c r="AL119" s="5121"/>
      <c r="AM119" s="5121"/>
      <c r="AN119" s="5121"/>
      <c r="AO119" s="5122"/>
      <c r="AP119" s="5122"/>
      <c r="AQ119" s="5122"/>
      <c r="AR119" s="5122"/>
      <c r="AS119" s="5122"/>
      <c r="AT119" s="5122"/>
      <c r="AU119" s="5122"/>
      <c r="AV119" s="5122"/>
      <c r="AW119" s="5122"/>
      <c r="AX119" s="5122"/>
      <c r="AY119" s="5634"/>
      <c r="AZ119" s="5094" t="s">
        <v>1</v>
      </c>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5">
        <v>1</v>
      </c>
      <c r="CL119" s="1"/>
      <c r="CM119" s="1"/>
    </row>
    <row r="120" spans="1:91" s="187" customFormat="1" ht="21" customHeight="1">
      <c r="A120"/>
      <c r="B120" s="5120"/>
      <c r="C120" s="5121"/>
      <c r="D120" s="5121"/>
      <c r="E120" s="5121"/>
      <c r="F120" s="5121"/>
      <c r="G120" s="5122"/>
      <c r="H120" s="5122"/>
      <c r="I120" s="5122"/>
      <c r="J120" s="5122"/>
      <c r="K120" s="5122"/>
      <c r="L120" s="5122"/>
      <c r="M120" s="5122"/>
      <c r="N120" s="5122"/>
      <c r="O120" s="5122"/>
      <c r="P120" s="5122"/>
      <c r="Q120" s="5634"/>
      <c r="R120" s="5094" t="s">
        <v>1</v>
      </c>
      <c r="S120" s="5120"/>
      <c r="T120" s="5121"/>
      <c r="U120" s="5121"/>
      <c r="V120" s="5121"/>
      <c r="W120" s="5121"/>
      <c r="X120" s="5122"/>
      <c r="Y120" s="5122"/>
      <c r="Z120" s="5122"/>
      <c r="AA120" s="5122"/>
      <c r="AB120" s="5122"/>
      <c r="AC120" s="5122"/>
      <c r="AD120" s="5122"/>
      <c r="AE120" s="5122"/>
      <c r="AF120" s="5122"/>
      <c r="AG120" s="5122"/>
      <c r="AH120" s="5634"/>
      <c r="AI120" s="5094" t="s">
        <v>1</v>
      </c>
      <c r="AJ120" s="5120"/>
      <c r="AK120" s="5121"/>
      <c r="AL120" s="5121"/>
      <c r="AM120" s="5121"/>
      <c r="AN120" s="5121"/>
      <c r="AO120" s="5122"/>
      <c r="AP120" s="5122"/>
      <c r="AQ120" s="5122"/>
      <c r="AR120" s="5122"/>
      <c r="AS120" s="5122"/>
      <c r="AT120" s="5122"/>
      <c r="AU120" s="5122"/>
      <c r="AV120" s="5122"/>
      <c r="AW120" s="5122"/>
      <c r="AX120" s="5122"/>
      <c r="AY120" s="5634"/>
      <c r="AZ120" s="5094" t="s">
        <v>1</v>
      </c>
      <c r="BA120" s="2"/>
      <c r="BB120" s="2"/>
      <c r="BC120" s="2"/>
      <c r="BD120" s="6935" t="s">
        <v>8315</v>
      </c>
      <c r="BE120" s="6935"/>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5">
        <v>1</v>
      </c>
      <c r="CL120" s="1"/>
      <c r="CM120" s="1"/>
    </row>
    <row r="121" spans="1:91" s="187" customFormat="1" ht="21" customHeight="1">
      <c r="A121"/>
      <c r="B121" s="5120"/>
      <c r="C121" s="5121"/>
      <c r="D121" s="5121"/>
      <c r="E121" s="5121"/>
      <c r="F121" s="5121"/>
      <c r="G121" s="5122"/>
      <c r="H121" s="5122"/>
      <c r="I121" s="5122"/>
      <c r="J121" s="5122"/>
      <c r="K121" s="5122"/>
      <c r="L121" s="5122"/>
      <c r="M121" s="5122"/>
      <c r="N121" s="5122"/>
      <c r="O121" s="5122"/>
      <c r="P121" s="5122"/>
      <c r="Q121" s="5634"/>
      <c r="R121" s="5094" t="s">
        <v>1</v>
      </c>
      <c r="S121" s="5120"/>
      <c r="T121" s="5121"/>
      <c r="U121" s="5121"/>
      <c r="V121" s="5121"/>
      <c r="W121" s="5121"/>
      <c r="X121" s="5122"/>
      <c r="Y121" s="5122"/>
      <c r="Z121" s="5122"/>
      <c r="AA121" s="5122"/>
      <c r="AB121" s="5122"/>
      <c r="AC121" s="5122"/>
      <c r="AD121" s="5122"/>
      <c r="AE121" s="5122"/>
      <c r="AF121" s="5122"/>
      <c r="AG121" s="5122"/>
      <c r="AH121" s="5634"/>
      <c r="AI121" s="5094" t="s">
        <v>1</v>
      </c>
      <c r="AJ121" s="5120"/>
      <c r="AK121" s="5121"/>
      <c r="AL121" s="5121"/>
      <c r="AM121" s="5121"/>
      <c r="AN121" s="5121"/>
      <c r="AO121" s="5122"/>
      <c r="AP121" s="5122"/>
      <c r="AQ121" s="5122"/>
      <c r="AR121" s="5122"/>
      <c r="AS121" s="5122"/>
      <c r="AT121" s="5122"/>
      <c r="AU121" s="5122"/>
      <c r="AV121" s="5122"/>
      <c r="AW121" s="5122"/>
      <c r="AX121" s="5122"/>
      <c r="AY121" s="5634"/>
      <c r="AZ121" s="5094" t="s">
        <v>1</v>
      </c>
      <c r="BA121" s="2"/>
      <c r="BB121" s="2"/>
      <c r="BC121" s="2"/>
      <c r="BD121" s="6936"/>
      <c r="BE121" s="6936"/>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5">
        <v>1</v>
      </c>
      <c r="CL121" s="1"/>
      <c r="CM121" s="1"/>
    </row>
    <row r="122" spans="1:91" s="187" customFormat="1" ht="21" customHeight="1" thickBot="1">
      <c r="A122"/>
      <c r="B122" s="5120"/>
      <c r="C122" s="5121"/>
      <c r="D122" s="5121"/>
      <c r="E122" s="5121"/>
      <c r="F122" s="5121"/>
      <c r="G122" s="5122"/>
      <c r="H122" s="5122"/>
      <c r="I122" s="5122"/>
      <c r="J122" s="5122"/>
      <c r="K122" s="5122"/>
      <c r="L122" s="5122"/>
      <c r="M122" s="5122"/>
      <c r="N122" s="5122"/>
      <c r="O122" s="5122"/>
      <c r="P122" s="5122"/>
      <c r="Q122" s="5634"/>
      <c r="R122" s="5094" t="s">
        <v>1</v>
      </c>
      <c r="S122" s="5120"/>
      <c r="T122" s="5121"/>
      <c r="U122" s="5121"/>
      <c r="V122" s="5121"/>
      <c r="W122" s="5121"/>
      <c r="X122" s="5122"/>
      <c r="Y122" s="5122"/>
      <c r="Z122" s="5122"/>
      <c r="AA122" s="5122"/>
      <c r="AB122" s="5122"/>
      <c r="AC122" s="5122"/>
      <c r="AD122" s="5122"/>
      <c r="AE122" s="5122"/>
      <c r="AF122" s="5122"/>
      <c r="AG122" s="5122"/>
      <c r="AH122" s="5634"/>
      <c r="AI122" s="5094" t="s">
        <v>1</v>
      </c>
      <c r="AJ122" s="5120"/>
      <c r="AK122" s="5121"/>
      <c r="AL122" s="5121"/>
      <c r="AM122" s="5121"/>
      <c r="AN122" s="5121"/>
      <c r="AO122" s="5122"/>
      <c r="AP122" s="5122"/>
      <c r="AQ122" s="5122"/>
      <c r="AR122" s="5122"/>
      <c r="AS122" s="5122"/>
      <c r="AT122" s="5122"/>
      <c r="AU122" s="5122"/>
      <c r="AV122" s="5122"/>
      <c r="AW122" s="5122"/>
      <c r="AX122" s="5122"/>
      <c r="AY122" s="5634"/>
      <c r="AZ122" s="5094" t="s">
        <v>1</v>
      </c>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5">
        <v>1</v>
      </c>
      <c r="CL122" s="1"/>
      <c r="CM122" s="1"/>
    </row>
    <row r="123" spans="1:91" s="187" customFormat="1" ht="21" customHeight="1">
      <c r="A123"/>
      <c r="B123" s="5120"/>
      <c r="C123" s="5121"/>
      <c r="D123" s="5121"/>
      <c r="E123" s="5121"/>
      <c r="F123" s="5121"/>
      <c r="G123" s="5122"/>
      <c r="H123" s="5122"/>
      <c r="I123" s="5122"/>
      <c r="J123" s="5122"/>
      <c r="K123" s="5122"/>
      <c r="L123" s="5122"/>
      <c r="M123" s="5122"/>
      <c r="N123" s="5122"/>
      <c r="O123" s="5122"/>
      <c r="P123" s="5122"/>
      <c r="Q123" s="5634"/>
      <c r="R123" s="5094" t="s">
        <v>1</v>
      </c>
      <c r="S123" s="5120"/>
      <c r="T123" s="5121"/>
      <c r="U123" s="5121"/>
      <c r="V123" s="5121"/>
      <c r="W123" s="5121"/>
      <c r="X123" s="5122"/>
      <c r="Y123" s="5122"/>
      <c r="Z123" s="5122"/>
      <c r="AA123" s="5122"/>
      <c r="AB123" s="5122"/>
      <c r="AC123" s="5122"/>
      <c r="AD123" s="5122"/>
      <c r="AE123" s="5122"/>
      <c r="AF123" s="5122"/>
      <c r="AG123" s="5122"/>
      <c r="AH123" s="5634"/>
      <c r="AI123" s="5094" t="s">
        <v>1</v>
      </c>
      <c r="AJ123" s="5120"/>
      <c r="AK123" s="5121"/>
      <c r="AL123" s="5121"/>
      <c r="AM123" s="5121"/>
      <c r="AN123" s="5121"/>
      <c r="AO123" s="5122"/>
      <c r="AP123" s="5122"/>
      <c r="AQ123" s="5122"/>
      <c r="AR123" s="5122"/>
      <c r="AS123" s="5122"/>
      <c r="AT123" s="5122"/>
      <c r="AU123" s="5122"/>
      <c r="AV123" s="5122"/>
      <c r="AW123" s="5122"/>
      <c r="AX123" s="5122"/>
      <c r="AY123" s="5634"/>
      <c r="AZ123" s="5094" t="s">
        <v>1</v>
      </c>
      <c r="BA123" s="2"/>
      <c r="BB123" s="2"/>
      <c r="BC123" s="2"/>
      <c r="BD123" s="6935" t="s">
        <v>8318</v>
      </c>
      <c r="BE123" s="6935"/>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5">
        <v>1</v>
      </c>
      <c r="CL123" s="1"/>
      <c r="CM123" s="1"/>
    </row>
    <row r="124" spans="1:91" s="187" customFormat="1" ht="21" customHeight="1">
      <c r="A124"/>
      <c r="B124" s="5120"/>
      <c r="C124" s="5121"/>
      <c r="D124" s="5121"/>
      <c r="E124" s="5121"/>
      <c r="F124" s="5121"/>
      <c r="G124" s="5122"/>
      <c r="H124" s="5122"/>
      <c r="I124" s="5122"/>
      <c r="J124" s="5122"/>
      <c r="K124" s="5122"/>
      <c r="L124" s="5122"/>
      <c r="M124" s="5122"/>
      <c r="N124" s="5122"/>
      <c r="O124" s="5122"/>
      <c r="P124" s="5122"/>
      <c r="Q124" s="5634"/>
      <c r="R124" s="5094" t="s">
        <v>1</v>
      </c>
      <c r="S124" s="5120"/>
      <c r="T124" s="5121"/>
      <c r="U124" s="5121"/>
      <c r="V124" s="5121"/>
      <c r="W124" s="5121"/>
      <c r="X124" s="5122"/>
      <c r="Y124" s="5122"/>
      <c r="Z124" s="5122"/>
      <c r="AA124" s="5122"/>
      <c r="AB124" s="5122"/>
      <c r="AC124" s="5122"/>
      <c r="AD124" s="5122"/>
      <c r="AE124" s="5122"/>
      <c r="AF124" s="5122"/>
      <c r="AG124" s="5122"/>
      <c r="AH124" s="5634"/>
      <c r="AI124" s="5094" t="s">
        <v>1</v>
      </c>
      <c r="AJ124" s="5120"/>
      <c r="AK124" s="5121"/>
      <c r="AL124" s="5121"/>
      <c r="AM124" s="5121"/>
      <c r="AN124" s="5121"/>
      <c r="AO124" s="5122"/>
      <c r="AP124" s="5122"/>
      <c r="AQ124" s="5122"/>
      <c r="AR124" s="5122"/>
      <c r="AS124" s="5122"/>
      <c r="AT124" s="5122"/>
      <c r="AU124" s="5122"/>
      <c r="AV124" s="5122"/>
      <c r="AW124" s="5122"/>
      <c r="AX124" s="5122"/>
      <c r="AY124" s="5634"/>
      <c r="AZ124" s="5094" t="s">
        <v>1</v>
      </c>
      <c r="BA124" s="2"/>
      <c r="BB124" s="2"/>
      <c r="BC124" s="2"/>
      <c r="BD124" s="6936"/>
      <c r="BE124" s="6936"/>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5">
        <v>1</v>
      </c>
      <c r="CL124" s="1"/>
      <c r="CM124" s="1"/>
    </row>
    <row r="125" spans="1:91" s="187" customFormat="1" ht="21" customHeight="1">
      <c r="A125"/>
      <c r="B125" s="5120"/>
      <c r="C125" s="5121"/>
      <c r="D125" s="5121"/>
      <c r="E125" s="5121"/>
      <c r="F125" s="5121"/>
      <c r="G125" s="5122"/>
      <c r="H125" s="5122"/>
      <c r="I125" s="5122"/>
      <c r="J125" s="5122"/>
      <c r="K125" s="5122"/>
      <c r="L125" s="5122"/>
      <c r="M125" s="5122"/>
      <c r="N125" s="5122"/>
      <c r="O125" s="5122"/>
      <c r="P125" s="5122"/>
      <c r="Q125" s="5634"/>
      <c r="R125" s="5094" t="s">
        <v>1</v>
      </c>
      <c r="S125" s="5120"/>
      <c r="T125" s="5121"/>
      <c r="U125" s="5121"/>
      <c r="V125" s="5121"/>
      <c r="W125" s="5121"/>
      <c r="X125" s="5122"/>
      <c r="Y125" s="5122"/>
      <c r="Z125" s="5122"/>
      <c r="AA125" s="5122"/>
      <c r="AB125" s="5122"/>
      <c r="AC125" s="5122"/>
      <c r="AD125" s="5122"/>
      <c r="AE125" s="5122"/>
      <c r="AF125" s="5122"/>
      <c r="AG125" s="5122"/>
      <c r="AH125" s="5634"/>
      <c r="AI125" s="5094" t="s">
        <v>1</v>
      </c>
      <c r="AJ125" s="5120"/>
      <c r="AK125" s="5121"/>
      <c r="AL125" s="5121"/>
      <c r="AM125" s="5121"/>
      <c r="AN125" s="5121"/>
      <c r="AO125" s="5122"/>
      <c r="AP125" s="5122"/>
      <c r="AQ125" s="5122"/>
      <c r="AR125" s="5122"/>
      <c r="AS125" s="5122"/>
      <c r="AT125" s="5122"/>
      <c r="AU125" s="5122"/>
      <c r="AV125" s="5122"/>
      <c r="AW125" s="5122"/>
      <c r="AX125" s="5122"/>
      <c r="AY125" s="5634"/>
      <c r="AZ125" s="5094" t="s">
        <v>1</v>
      </c>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5">
        <v>1</v>
      </c>
      <c r="CL125" s="1"/>
      <c r="CM125" s="1"/>
    </row>
    <row r="126" spans="1:91" s="187" customFormat="1" ht="21" customHeight="1">
      <c r="A126"/>
      <c r="B126" s="5120"/>
      <c r="C126" s="5121"/>
      <c r="D126" s="5121"/>
      <c r="E126" s="5121"/>
      <c r="F126" s="5121"/>
      <c r="G126" s="5122"/>
      <c r="H126" s="5122"/>
      <c r="I126" s="5122"/>
      <c r="J126" s="5122"/>
      <c r="K126" s="5122"/>
      <c r="L126" s="5122"/>
      <c r="M126" s="5122"/>
      <c r="N126" s="5122"/>
      <c r="O126" s="5122"/>
      <c r="P126" s="5122"/>
      <c r="Q126" s="5634"/>
      <c r="R126" s="5094" t="s">
        <v>1</v>
      </c>
      <c r="S126" s="5120"/>
      <c r="T126" s="5121"/>
      <c r="U126" s="5121"/>
      <c r="V126" s="5121"/>
      <c r="W126" s="5121"/>
      <c r="X126" s="5122"/>
      <c r="Y126" s="5122"/>
      <c r="Z126" s="5122"/>
      <c r="AA126" s="5122"/>
      <c r="AB126" s="5122"/>
      <c r="AC126" s="5122"/>
      <c r="AD126" s="5122"/>
      <c r="AE126" s="5122"/>
      <c r="AF126" s="5122"/>
      <c r="AG126" s="5122"/>
      <c r="AH126" s="5634"/>
      <c r="AI126" s="5094" t="s">
        <v>1</v>
      </c>
      <c r="AJ126" s="5120"/>
      <c r="AK126" s="5121"/>
      <c r="AL126" s="5121"/>
      <c r="AM126" s="5121"/>
      <c r="AN126" s="5121"/>
      <c r="AO126" s="5122"/>
      <c r="AP126" s="5122"/>
      <c r="AQ126" s="5122"/>
      <c r="AR126" s="5122"/>
      <c r="AS126" s="5122"/>
      <c r="AT126" s="5122"/>
      <c r="AU126" s="5122"/>
      <c r="AV126" s="5122"/>
      <c r="AW126" s="5122"/>
      <c r="AX126" s="5122"/>
      <c r="AY126" s="5634"/>
      <c r="AZ126" s="5094" t="s">
        <v>1</v>
      </c>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5">
        <v>1</v>
      </c>
      <c r="CL126" s="1"/>
      <c r="CM126" s="1"/>
    </row>
    <row r="127" spans="1:91" s="187" customFormat="1" ht="21" customHeight="1">
      <c r="A127"/>
      <c r="B127" s="5120"/>
      <c r="C127" s="5121"/>
      <c r="D127" s="5121"/>
      <c r="E127" s="5121"/>
      <c r="F127" s="5121"/>
      <c r="G127" s="5122"/>
      <c r="H127" s="5122"/>
      <c r="I127" s="5122"/>
      <c r="J127" s="5122"/>
      <c r="K127" s="5122"/>
      <c r="L127" s="5122"/>
      <c r="M127" s="5122"/>
      <c r="N127" s="5122"/>
      <c r="O127" s="5122"/>
      <c r="P127" s="5122"/>
      <c r="Q127" s="5634"/>
      <c r="R127" s="5094" t="s">
        <v>1</v>
      </c>
      <c r="S127" s="5120"/>
      <c r="T127" s="5121"/>
      <c r="U127" s="5121"/>
      <c r="V127" s="5121"/>
      <c r="W127" s="5121"/>
      <c r="X127" s="5122"/>
      <c r="Y127" s="5122"/>
      <c r="Z127" s="5122"/>
      <c r="AA127" s="5122"/>
      <c r="AB127" s="5122"/>
      <c r="AC127" s="5122"/>
      <c r="AD127" s="5122"/>
      <c r="AE127" s="5122"/>
      <c r="AF127" s="5122"/>
      <c r="AG127" s="5122"/>
      <c r="AH127" s="5634"/>
      <c r="AI127" s="5094" t="s">
        <v>1</v>
      </c>
      <c r="AJ127" s="5120"/>
      <c r="AK127" s="5121"/>
      <c r="AL127" s="5121"/>
      <c r="AM127" s="5121"/>
      <c r="AN127" s="5121"/>
      <c r="AO127" s="5122"/>
      <c r="AP127" s="5122"/>
      <c r="AQ127" s="5122"/>
      <c r="AR127" s="5122"/>
      <c r="AS127" s="5122"/>
      <c r="AT127" s="5122"/>
      <c r="AU127" s="5122"/>
      <c r="AV127" s="5122"/>
      <c r="AW127" s="5122"/>
      <c r="AX127" s="5122"/>
      <c r="AY127" s="5634"/>
      <c r="AZ127" s="5094" t="s">
        <v>1</v>
      </c>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5">
        <v>1</v>
      </c>
      <c r="CL127" s="1"/>
      <c r="CM127" s="1"/>
    </row>
    <row r="128" spans="1:91" s="187" customFormat="1" ht="21" customHeight="1">
      <c r="A128"/>
      <c r="B128" s="5120"/>
      <c r="C128" s="5121"/>
      <c r="D128" s="5121"/>
      <c r="E128" s="5121"/>
      <c r="F128" s="5121"/>
      <c r="G128" s="5122"/>
      <c r="H128" s="5122"/>
      <c r="I128" s="5122"/>
      <c r="J128" s="5122"/>
      <c r="K128" s="5122"/>
      <c r="L128" s="5122"/>
      <c r="M128" s="5122"/>
      <c r="N128" s="5122"/>
      <c r="O128" s="5122"/>
      <c r="P128" s="5122"/>
      <c r="Q128" s="5634"/>
      <c r="R128" s="5094" t="s">
        <v>1</v>
      </c>
      <c r="S128" s="5120"/>
      <c r="T128" s="5121"/>
      <c r="U128" s="5121"/>
      <c r="V128" s="5121"/>
      <c r="W128" s="5121"/>
      <c r="X128" s="5122"/>
      <c r="Y128" s="5122"/>
      <c r="Z128" s="5122"/>
      <c r="AA128" s="5122"/>
      <c r="AB128" s="5122"/>
      <c r="AC128" s="5122"/>
      <c r="AD128" s="5122"/>
      <c r="AE128" s="5122"/>
      <c r="AF128" s="5122"/>
      <c r="AG128" s="5122"/>
      <c r="AH128" s="5634"/>
      <c r="AI128" s="5094" t="s">
        <v>1</v>
      </c>
      <c r="AJ128" s="5120"/>
      <c r="AK128" s="5121"/>
      <c r="AL128" s="5121"/>
      <c r="AM128" s="5121"/>
      <c r="AN128" s="5121"/>
      <c r="AO128" s="5122"/>
      <c r="AP128" s="5122"/>
      <c r="AQ128" s="5122"/>
      <c r="AR128" s="5122"/>
      <c r="AS128" s="5122"/>
      <c r="AT128" s="5122"/>
      <c r="AU128" s="5122"/>
      <c r="AV128" s="5122"/>
      <c r="AW128" s="5122"/>
      <c r="AX128" s="5122"/>
      <c r="AY128" s="5634"/>
      <c r="AZ128" s="5094" t="s">
        <v>1</v>
      </c>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5">
        <v>1</v>
      </c>
      <c r="CL128" s="1"/>
      <c r="CM128" s="1"/>
    </row>
    <row r="129" spans="1:91" s="187" customFormat="1" ht="21" customHeight="1">
      <c r="A129"/>
      <c r="B129" s="5120"/>
      <c r="C129" s="5121"/>
      <c r="D129" s="5121"/>
      <c r="E129" s="5121"/>
      <c r="F129" s="5121"/>
      <c r="G129" s="5122"/>
      <c r="H129" s="5122"/>
      <c r="I129" s="5122"/>
      <c r="J129" s="5122"/>
      <c r="K129" s="5122"/>
      <c r="L129" s="5122"/>
      <c r="M129" s="5122"/>
      <c r="N129" s="5122"/>
      <c r="O129" s="5122"/>
      <c r="P129" s="5122"/>
      <c r="Q129" s="5634"/>
      <c r="R129" s="5094" t="s">
        <v>1</v>
      </c>
      <c r="S129" s="5120"/>
      <c r="T129" s="5121"/>
      <c r="U129" s="5121"/>
      <c r="V129" s="5121"/>
      <c r="W129" s="5121"/>
      <c r="X129" s="5122"/>
      <c r="Y129" s="5122"/>
      <c r="Z129" s="5122"/>
      <c r="AA129" s="5122"/>
      <c r="AB129" s="5122"/>
      <c r="AC129" s="5122"/>
      <c r="AD129" s="5122"/>
      <c r="AE129" s="5122"/>
      <c r="AF129" s="5122"/>
      <c r="AG129" s="5122"/>
      <c r="AH129" s="5634"/>
      <c r="AI129" s="5094" t="s">
        <v>1</v>
      </c>
      <c r="AJ129" s="5120"/>
      <c r="AK129" s="5121"/>
      <c r="AL129" s="5121"/>
      <c r="AM129" s="5121"/>
      <c r="AN129" s="5121"/>
      <c r="AO129" s="5122"/>
      <c r="AP129" s="5122"/>
      <c r="AQ129" s="5122"/>
      <c r="AR129" s="5122"/>
      <c r="AS129" s="5122"/>
      <c r="AT129" s="5122"/>
      <c r="AU129" s="5122"/>
      <c r="AV129" s="5122"/>
      <c r="AW129" s="5122"/>
      <c r="AX129" s="5122"/>
      <c r="AY129" s="5634"/>
      <c r="AZ129" s="5094" t="s">
        <v>1</v>
      </c>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5">
        <v>1</v>
      </c>
      <c r="CL129" s="1"/>
      <c r="CM129" s="1"/>
    </row>
    <row r="130" spans="1:91" s="187" customFormat="1" ht="21" customHeight="1">
      <c r="A130"/>
      <c r="B130" s="5120"/>
      <c r="C130" s="5121"/>
      <c r="D130" s="5121"/>
      <c r="E130" s="5121"/>
      <c r="F130" s="5121"/>
      <c r="G130" s="5122"/>
      <c r="H130" s="5122"/>
      <c r="I130" s="5122"/>
      <c r="J130" s="5122"/>
      <c r="K130" s="5122"/>
      <c r="L130" s="5122"/>
      <c r="M130" s="5122"/>
      <c r="N130" s="5122"/>
      <c r="O130" s="5122"/>
      <c r="P130" s="5122"/>
      <c r="Q130" s="5634"/>
      <c r="R130" s="5094" t="s">
        <v>1</v>
      </c>
      <c r="S130" s="5120"/>
      <c r="T130" s="5121"/>
      <c r="U130" s="5121"/>
      <c r="V130" s="5121"/>
      <c r="W130" s="5121"/>
      <c r="X130" s="5122"/>
      <c r="Y130" s="5122"/>
      <c r="Z130" s="5122"/>
      <c r="AA130" s="5122"/>
      <c r="AB130" s="5122"/>
      <c r="AC130" s="5122"/>
      <c r="AD130" s="5122"/>
      <c r="AE130" s="5122"/>
      <c r="AF130" s="5122"/>
      <c r="AG130" s="5122"/>
      <c r="AH130" s="5634"/>
      <c r="AI130" s="5094" t="s">
        <v>1</v>
      </c>
      <c r="AJ130" s="5120"/>
      <c r="AK130" s="5121"/>
      <c r="AL130" s="5121"/>
      <c r="AM130" s="5121"/>
      <c r="AN130" s="5121"/>
      <c r="AO130" s="5122"/>
      <c r="AP130" s="5122"/>
      <c r="AQ130" s="5122"/>
      <c r="AR130" s="5122"/>
      <c r="AS130" s="5122"/>
      <c r="AT130" s="5122"/>
      <c r="AU130" s="5122"/>
      <c r="AV130" s="5122"/>
      <c r="AW130" s="5122"/>
      <c r="AX130" s="5122"/>
      <c r="AY130" s="5634"/>
      <c r="AZ130" s="5094" t="s">
        <v>1</v>
      </c>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5">
        <v>1</v>
      </c>
      <c r="CL130" s="1"/>
      <c r="CM130" s="1"/>
    </row>
    <row r="131" spans="1:91" s="187" customFormat="1" ht="21" customHeight="1">
      <c r="A131"/>
      <c r="B131" s="5120"/>
      <c r="C131" s="5121"/>
      <c r="D131" s="5121"/>
      <c r="E131" s="5121"/>
      <c r="F131" s="5121"/>
      <c r="G131" s="5122"/>
      <c r="H131" s="5122"/>
      <c r="I131" s="5122"/>
      <c r="J131" s="5122"/>
      <c r="K131" s="5122"/>
      <c r="L131" s="5122"/>
      <c r="M131" s="5122"/>
      <c r="N131" s="5122"/>
      <c r="O131" s="5122"/>
      <c r="P131" s="5122"/>
      <c r="Q131" s="5634"/>
      <c r="R131" s="5094" t="s">
        <v>1</v>
      </c>
      <c r="S131" s="5120"/>
      <c r="T131" s="5121"/>
      <c r="U131" s="5121"/>
      <c r="V131" s="5121"/>
      <c r="W131" s="5121"/>
      <c r="X131" s="5122"/>
      <c r="Y131" s="5122"/>
      <c r="Z131" s="5122"/>
      <c r="AA131" s="5122"/>
      <c r="AB131" s="5122"/>
      <c r="AC131" s="5122"/>
      <c r="AD131" s="5122"/>
      <c r="AE131" s="5122"/>
      <c r="AF131" s="5122"/>
      <c r="AG131" s="5122"/>
      <c r="AH131" s="5634"/>
      <c r="AI131" s="5094" t="s">
        <v>1</v>
      </c>
      <c r="AJ131" s="5120"/>
      <c r="AK131" s="5121"/>
      <c r="AL131" s="5121"/>
      <c r="AM131" s="5121"/>
      <c r="AN131" s="5121"/>
      <c r="AO131" s="5122"/>
      <c r="AP131" s="5122"/>
      <c r="AQ131" s="5122"/>
      <c r="AR131" s="5122"/>
      <c r="AS131" s="5122"/>
      <c r="AT131" s="5122"/>
      <c r="AU131" s="5122"/>
      <c r="AV131" s="5122"/>
      <c r="AW131" s="5122"/>
      <c r="AX131" s="5122"/>
      <c r="AY131" s="5634"/>
      <c r="AZ131" s="5094" t="s">
        <v>1</v>
      </c>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5">
        <v>1</v>
      </c>
      <c r="CL131" s="1"/>
      <c r="CM131" s="1"/>
    </row>
    <row r="132" spans="1:91" s="187" customFormat="1" ht="21" customHeight="1">
      <c r="A132"/>
      <c r="B132" s="5120"/>
      <c r="C132" s="5121"/>
      <c r="D132" s="5121"/>
      <c r="E132" s="5121"/>
      <c r="F132" s="5121"/>
      <c r="G132" s="5122"/>
      <c r="H132" s="5122"/>
      <c r="I132" s="5122"/>
      <c r="J132" s="5122"/>
      <c r="K132" s="5122"/>
      <c r="L132" s="5122"/>
      <c r="M132" s="5122"/>
      <c r="N132" s="5122"/>
      <c r="O132" s="5122"/>
      <c r="P132" s="5122"/>
      <c r="Q132" s="5634"/>
      <c r="R132" s="5094" t="s">
        <v>1</v>
      </c>
      <c r="S132" s="5120"/>
      <c r="T132" s="5121"/>
      <c r="U132" s="5121"/>
      <c r="V132" s="5121"/>
      <c r="W132" s="5121"/>
      <c r="X132" s="5122"/>
      <c r="Y132" s="5122"/>
      <c r="Z132" s="5122"/>
      <c r="AA132" s="5122"/>
      <c r="AB132" s="5122"/>
      <c r="AC132" s="5122"/>
      <c r="AD132" s="5122"/>
      <c r="AE132" s="5122"/>
      <c r="AF132" s="5122"/>
      <c r="AG132" s="5122"/>
      <c r="AH132" s="5634"/>
      <c r="AI132" s="5094" t="s">
        <v>1</v>
      </c>
      <c r="AJ132" s="5120"/>
      <c r="AK132" s="5121"/>
      <c r="AL132" s="5121"/>
      <c r="AM132" s="5121"/>
      <c r="AN132" s="5121"/>
      <c r="AO132" s="5122"/>
      <c r="AP132" s="5122"/>
      <c r="AQ132" s="5122"/>
      <c r="AR132" s="5122"/>
      <c r="AS132" s="5122"/>
      <c r="AT132" s="5122"/>
      <c r="AU132" s="5122"/>
      <c r="AV132" s="5122"/>
      <c r="AW132" s="5122"/>
      <c r="AX132" s="5122"/>
      <c r="AY132" s="5634"/>
      <c r="AZ132" s="5094" t="s">
        <v>1</v>
      </c>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5">
        <v>1</v>
      </c>
      <c r="CL132" s="1"/>
      <c r="CM132" s="1"/>
    </row>
    <row r="133" spans="1:91" s="187" customFormat="1" ht="21" customHeight="1">
      <c r="A133"/>
      <c r="B133" s="5120"/>
      <c r="C133" s="5121"/>
      <c r="D133" s="5121"/>
      <c r="E133" s="5121"/>
      <c r="F133" s="5121"/>
      <c r="G133" s="5122"/>
      <c r="H133" s="5122"/>
      <c r="I133" s="5122"/>
      <c r="J133" s="5122"/>
      <c r="K133" s="5122"/>
      <c r="L133" s="5122"/>
      <c r="M133" s="5122"/>
      <c r="N133" s="5122"/>
      <c r="O133" s="5122"/>
      <c r="P133" s="5122"/>
      <c r="Q133" s="5634"/>
      <c r="R133" s="5094" t="s">
        <v>1</v>
      </c>
      <c r="S133" s="5120"/>
      <c r="T133" s="5121"/>
      <c r="U133" s="5121"/>
      <c r="V133" s="5121"/>
      <c r="W133" s="5121"/>
      <c r="X133" s="5122"/>
      <c r="Y133" s="5122"/>
      <c r="Z133" s="5122"/>
      <c r="AA133" s="5122"/>
      <c r="AB133" s="5122"/>
      <c r="AC133" s="5122"/>
      <c r="AD133" s="5122"/>
      <c r="AE133" s="5122"/>
      <c r="AF133" s="5122"/>
      <c r="AG133" s="5122"/>
      <c r="AH133" s="5634"/>
      <c r="AI133" s="5094" t="s">
        <v>1</v>
      </c>
      <c r="AJ133" s="5120"/>
      <c r="AK133" s="5121"/>
      <c r="AL133" s="5121"/>
      <c r="AM133" s="5121"/>
      <c r="AN133" s="5121"/>
      <c r="AO133" s="5122"/>
      <c r="AP133" s="5122"/>
      <c r="AQ133" s="5122"/>
      <c r="AR133" s="5122"/>
      <c r="AS133" s="5122"/>
      <c r="AT133" s="5122"/>
      <c r="AU133" s="5122"/>
      <c r="AV133" s="5122"/>
      <c r="AW133" s="5122"/>
      <c r="AX133" s="5122"/>
      <c r="AY133" s="5634"/>
      <c r="AZ133" s="5094" t="s">
        <v>1</v>
      </c>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5">
        <v>1</v>
      </c>
      <c r="CL133" s="1"/>
      <c r="CM133" s="1"/>
    </row>
    <row r="134" spans="1:91" s="187" customFormat="1" ht="21" customHeight="1">
      <c r="A134"/>
      <c r="B134" s="5120"/>
      <c r="C134" s="5121"/>
      <c r="D134" s="5121"/>
      <c r="E134" s="5121"/>
      <c r="F134" s="5121"/>
      <c r="G134" s="5122"/>
      <c r="H134" s="5122"/>
      <c r="I134" s="5122"/>
      <c r="J134" s="5122"/>
      <c r="K134" s="5122"/>
      <c r="L134" s="5122"/>
      <c r="M134" s="5122"/>
      <c r="N134" s="5122"/>
      <c r="O134" s="5122"/>
      <c r="P134" s="5122"/>
      <c r="Q134" s="5634"/>
      <c r="R134" s="5094" t="s">
        <v>1</v>
      </c>
      <c r="S134" s="5120"/>
      <c r="T134" s="5121"/>
      <c r="U134" s="5121"/>
      <c r="V134" s="5121"/>
      <c r="W134" s="5121"/>
      <c r="X134" s="5122"/>
      <c r="Y134" s="5122"/>
      <c r="Z134" s="5122"/>
      <c r="AA134" s="5122"/>
      <c r="AB134" s="5122"/>
      <c r="AC134" s="5122"/>
      <c r="AD134" s="5122"/>
      <c r="AE134" s="5122"/>
      <c r="AF134" s="5122"/>
      <c r="AG134" s="5122"/>
      <c r="AH134" s="5634"/>
      <c r="AI134" s="5094" t="s">
        <v>1</v>
      </c>
      <c r="AJ134" s="5120"/>
      <c r="AK134" s="5121"/>
      <c r="AL134" s="5121"/>
      <c r="AM134" s="5121"/>
      <c r="AN134" s="5121"/>
      <c r="AO134" s="5122"/>
      <c r="AP134" s="5122"/>
      <c r="AQ134" s="5122"/>
      <c r="AR134" s="5122"/>
      <c r="AS134" s="5122"/>
      <c r="AT134" s="5122"/>
      <c r="AU134" s="5122"/>
      <c r="AV134" s="5122"/>
      <c r="AW134" s="5122"/>
      <c r="AX134" s="5122"/>
      <c r="AY134" s="5634"/>
      <c r="AZ134" s="5094" t="s">
        <v>1</v>
      </c>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5">
        <v>1</v>
      </c>
      <c r="CL134" s="1"/>
      <c r="CM134" s="1"/>
    </row>
    <row r="135" spans="1:91" s="187" customFormat="1" ht="21" customHeight="1">
      <c r="A135"/>
      <c r="B135" s="5120"/>
      <c r="C135" s="5121"/>
      <c r="D135" s="5121"/>
      <c r="E135" s="5121"/>
      <c r="F135" s="5121"/>
      <c r="G135" s="5122"/>
      <c r="H135" s="5122"/>
      <c r="I135" s="5122"/>
      <c r="J135" s="5122"/>
      <c r="K135" s="5122"/>
      <c r="L135" s="5122"/>
      <c r="M135" s="5122"/>
      <c r="N135" s="5122"/>
      <c r="O135" s="5122"/>
      <c r="P135" s="5122"/>
      <c r="Q135" s="5634"/>
      <c r="R135" s="5094" t="s">
        <v>1</v>
      </c>
      <c r="S135" s="5120"/>
      <c r="T135" s="5121"/>
      <c r="U135" s="5121"/>
      <c r="V135" s="5121"/>
      <c r="W135" s="5121"/>
      <c r="X135" s="5122"/>
      <c r="Y135" s="5122"/>
      <c r="Z135" s="5122"/>
      <c r="AA135" s="5122"/>
      <c r="AB135" s="5122"/>
      <c r="AC135" s="5122"/>
      <c r="AD135" s="5122"/>
      <c r="AE135" s="5122"/>
      <c r="AF135" s="5122"/>
      <c r="AG135" s="5122"/>
      <c r="AH135" s="5634"/>
      <c r="AI135" s="5094" t="s">
        <v>1</v>
      </c>
      <c r="AJ135" s="5120"/>
      <c r="AK135" s="5121"/>
      <c r="AL135" s="5121"/>
      <c r="AM135" s="5121"/>
      <c r="AN135" s="5121"/>
      <c r="AO135" s="5122"/>
      <c r="AP135" s="5122"/>
      <c r="AQ135" s="5122"/>
      <c r="AR135" s="5122"/>
      <c r="AS135" s="5122"/>
      <c r="AT135" s="5122"/>
      <c r="AU135" s="5122"/>
      <c r="AV135" s="5122"/>
      <c r="AW135" s="5122"/>
      <c r="AX135" s="5122"/>
      <c r="AY135" s="5634"/>
      <c r="AZ135" s="5094" t="s">
        <v>1</v>
      </c>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5">
        <v>1</v>
      </c>
      <c r="CL135" s="1"/>
      <c r="CM135" s="1"/>
    </row>
    <row r="136" spans="1:91" s="187" customFormat="1" ht="21" customHeight="1">
      <c r="A136"/>
      <c r="B136" s="5120"/>
      <c r="C136" s="5121"/>
      <c r="D136" s="5121"/>
      <c r="E136" s="5121"/>
      <c r="F136" s="5121"/>
      <c r="G136" s="5122"/>
      <c r="H136" s="5122"/>
      <c r="I136" s="5122"/>
      <c r="J136" s="5122"/>
      <c r="K136" s="5122"/>
      <c r="L136" s="5122"/>
      <c r="M136" s="5122"/>
      <c r="N136" s="5122"/>
      <c r="O136" s="5122"/>
      <c r="P136" s="5122"/>
      <c r="Q136" s="5634"/>
      <c r="R136" s="5094" t="s">
        <v>1</v>
      </c>
      <c r="S136" s="5120"/>
      <c r="T136" s="5121"/>
      <c r="U136" s="5121"/>
      <c r="V136" s="5121"/>
      <c r="W136" s="5121"/>
      <c r="X136" s="5122"/>
      <c r="Y136" s="5122"/>
      <c r="Z136" s="5122"/>
      <c r="AA136" s="5122"/>
      <c r="AB136" s="5122"/>
      <c r="AC136" s="5122"/>
      <c r="AD136" s="5122"/>
      <c r="AE136" s="5122"/>
      <c r="AF136" s="5122"/>
      <c r="AG136" s="5122"/>
      <c r="AH136" s="5634"/>
      <c r="AI136" s="5094" t="s">
        <v>1</v>
      </c>
      <c r="AJ136" s="5120"/>
      <c r="AK136" s="5121"/>
      <c r="AL136" s="5121"/>
      <c r="AM136" s="5121"/>
      <c r="AN136" s="5121"/>
      <c r="AO136" s="5122"/>
      <c r="AP136" s="5122"/>
      <c r="AQ136" s="5122"/>
      <c r="AR136" s="5122"/>
      <c r="AS136" s="5122"/>
      <c r="AT136" s="5122"/>
      <c r="AU136" s="5122"/>
      <c r="AV136" s="5122"/>
      <c r="AW136" s="5122"/>
      <c r="AX136" s="5122"/>
      <c r="AY136" s="5634"/>
      <c r="AZ136" s="5094" t="s">
        <v>1</v>
      </c>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5">
        <v>1</v>
      </c>
      <c r="CL136" s="1"/>
      <c r="CM136" s="1"/>
    </row>
    <row r="137" spans="1:91" s="187" customFormat="1" ht="21" customHeight="1">
      <c r="A137"/>
      <c r="B137" s="5120"/>
      <c r="C137" s="5121"/>
      <c r="D137" s="5121"/>
      <c r="E137" s="5121"/>
      <c r="F137" s="5121"/>
      <c r="G137" s="5122"/>
      <c r="H137" s="5122"/>
      <c r="I137" s="5122"/>
      <c r="J137" s="5122"/>
      <c r="K137" s="5122"/>
      <c r="L137" s="5122"/>
      <c r="M137" s="5122"/>
      <c r="N137" s="5122"/>
      <c r="O137" s="5122"/>
      <c r="P137" s="5122"/>
      <c r="Q137" s="5634"/>
      <c r="R137" s="5094" t="s">
        <v>1</v>
      </c>
      <c r="S137" s="5120"/>
      <c r="T137" s="5121"/>
      <c r="U137" s="5121"/>
      <c r="V137" s="5121"/>
      <c r="W137" s="5121"/>
      <c r="X137" s="5122"/>
      <c r="Y137" s="5122"/>
      <c r="Z137" s="5122"/>
      <c r="AA137" s="5122"/>
      <c r="AB137" s="5122"/>
      <c r="AC137" s="5122"/>
      <c r="AD137" s="5122"/>
      <c r="AE137" s="5122"/>
      <c r="AF137" s="5122"/>
      <c r="AG137" s="5122"/>
      <c r="AH137" s="5634"/>
      <c r="AI137" s="5094" t="s">
        <v>1</v>
      </c>
      <c r="AJ137" s="5120"/>
      <c r="AK137" s="5121"/>
      <c r="AL137" s="5121"/>
      <c r="AM137" s="5121"/>
      <c r="AN137" s="5121"/>
      <c r="AO137" s="5122"/>
      <c r="AP137" s="5122"/>
      <c r="AQ137" s="5122"/>
      <c r="AR137" s="5122"/>
      <c r="AS137" s="5122"/>
      <c r="AT137" s="5122"/>
      <c r="AU137" s="5122"/>
      <c r="AV137" s="5122"/>
      <c r="AW137" s="5122"/>
      <c r="AX137" s="5122"/>
      <c r="AY137" s="5634"/>
      <c r="AZ137" s="5094" t="s">
        <v>1</v>
      </c>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5">
        <v>1</v>
      </c>
      <c r="CL137" s="1"/>
      <c r="CM137" s="1"/>
    </row>
    <row r="138" spans="1:91" s="187" customFormat="1" ht="21" customHeight="1">
      <c r="A138"/>
      <c r="B138" s="5120"/>
      <c r="C138" s="5121"/>
      <c r="D138" s="5121"/>
      <c r="E138" s="5121"/>
      <c r="F138" s="5121"/>
      <c r="G138" s="5122"/>
      <c r="H138" s="5122"/>
      <c r="I138" s="5122"/>
      <c r="J138" s="5122"/>
      <c r="K138" s="5122"/>
      <c r="L138" s="5122"/>
      <c r="M138" s="5122"/>
      <c r="N138" s="5122"/>
      <c r="O138" s="5122"/>
      <c r="P138" s="5122"/>
      <c r="Q138" s="5634"/>
      <c r="R138" s="5094" t="s">
        <v>1</v>
      </c>
      <c r="S138" s="5120"/>
      <c r="T138" s="5121"/>
      <c r="U138" s="5121"/>
      <c r="V138" s="5121"/>
      <c r="W138" s="5121"/>
      <c r="X138" s="5122"/>
      <c r="Y138" s="5122"/>
      <c r="Z138" s="5122"/>
      <c r="AA138" s="5122"/>
      <c r="AB138" s="5122"/>
      <c r="AC138" s="5122"/>
      <c r="AD138" s="5122"/>
      <c r="AE138" s="5122"/>
      <c r="AF138" s="5122"/>
      <c r="AG138" s="5122"/>
      <c r="AH138" s="5634"/>
      <c r="AI138" s="5094" t="s">
        <v>1</v>
      </c>
      <c r="AJ138" s="5120"/>
      <c r="AK138" s="5121"/>
      <c r="AL138" s="5121"/>
      <c r="AM138" s="5121"/>
      <c r="AN138" s="5121"/>
      <c r="AO138" s="5122"/>
      <c r="AP138" s="5122"/>
      <c r="AQ138" s="5122"/>
      <c r="AR138" s="5122"/>
      <c r="AS138" s="5122"/>
      <c r="AT138" s="5122"/>
      <c r="AU138" s="5122"/>
      <c r="AV138" s="5122"/>
      <c r="AW138" s="5122"/>
      <c r="AX138" s="5122"/>
      <c r="AY138" s="5634"/>
      <c r="AZ138" s="5094" t="s">
        <v>1</v>
      </c>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5">
        <v>1</v>
      </c>
      <c r="CL138" s="1"/>
      <c r="CM138" s="1"/>
    </row>
    <row r="139" spans="1:91" s="187" customFormat="1" ht="21" customHeight="1">
      <c r="A139"/>
      <c r="B139" s="5120"/>
      <c r="C139" s="5121"/>
      <c r="D139" s="5121"/>
      <c r="E139" s="5121"/>
      <c r="F139" s="5121"/>
      <c r="G139" s="5122"/>
      <c r="H139" s="5122"/>
      <c r="I139" s="5122"/>
      <c r="J139" s="5122"/>
      <c r="K139" s="5122"/>
      <c r="L139" s="5122"/>
      <c r="M139" s="5122"/>
      <c r="N139" s="5122"/>
      <c r="O139" s="5122"/>
      <c r="P139" s="5122"/>
      <c r="Q139" s="5634"/>
      <c r="R139" s="5094" t="s">
        <v>1</v>
      </c>
      <c r="S139" s="5120"/>
      <c r="T139" s="5121"/>
      <c r="U139" s="5121"/>
      <c r="V139" s="5121"/>
      <c r="W139" s="5121"/>
      <c r="X139" s="5122"/>
      <c r="Y139" s="5122"/>
      <c r="Z139" s="5122"/>
      <c r="AA139" s="5122"/>
      <c r="AB139" s="5122"/>
      <c r="AC139" s="5122"/>
      <c r="AD139" s="5122"/>
      <c r="AE139" s="5122"/>
      <c r="AF139" s="5122"/>
      <c r="AG139" s="5122"/>
      <c r="AH139" s="5634"/>
      <c r="AI139" s="5094" t="s">
        <v>1</v>
      </c>
      <c r="AJ139" s="5120"/>
      <c r="AK139" s="5121"/>
      <c r="AL139" s="5121"/>
      <c r="AM139" s="5121"/>
      <c r="AN139" s="5121"/>
      <c r="AO139" s="5122"/>
      <c r="AP139" s="5122"/>
      <c r="AQ139" s="5122"/>
      <c r="AR139" s="5122"/>
      <c r="AS139" s="5122"/>
      <c r="AT139" s="5122"/>
      <c r="AU139" s="5122"/>
      <c r="AV139" s="5122"/>
      <c r="AW139" s="5122"/>
      <c r="AX139" s="5122"/>
      <c r="AY139" s="5634"/>
      <c r="AZ139" s="5094" t="s">
        <v>1</v>
      </c>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5">
        <v>1</v>
      </c>
      <c r="CL139" s="1"/>
      <c r="CM139" s="1"/>
    </row>
    <row r="140" spans="1:91" s="187" customFormat="1" ht="21" customHeight="1">
      <c r="A140"/>
      <c r="B140" s="5120"/>
      <c r="C140" s="5121"/>
      <c r="D140" s="5121"/>
      <c r="E140" s="5121"/>
      <c r="F140" s="5121"/>
      <c r="G140" s="5122"/>
      <c r="H140" s="5122"/>
      <c r="I140" s="5122"/>
      <c r="J140" s="5122"/>
      <c r="K140" s="5122"/>
      <c r="L140" s="5122"/>
      <c r="M140" s="5122"/>
      <c r="N140" s="5122"/>
      <c r="O140" s="5122"/>
      <c r="P140" s="5122"/>
      <c r="Q140" s="5634"/>
      <c r="R140" s="5094" t="s">
        <v>1</v>
      </c>
      <c r="S140" s="5120"/>
      <c r="T140" s="5121"/>
      <c r="U140" s="5121"/>
      <c r="V140" s="5121"/>
      <c r="W140" s="5121"/>
      <c r="X140" s="5122"/>
      <c r="Y140" s="5122"/>
      <c r="Z140" s="5122"/>
      <c r="AA140" s="5122"/>
      <c r="AB140" s="5122"/>
      <c r="AC140" s="5122"/>
      <c r="AD140" s="5122"/>
      <c r="AE140" s="5122"/>
      <c r="AF140" s="5122"/>
      <c r="AG140" s="5122"/>
      <c r="AH140" s="5634"/>
      <c r="AI140" s="5094" t="s">
        <v>1</v>
      </c>
      <c r="AJ140" s="5120"/>
      <c r="AK140" s="5121"/>
      <c r="AL140" s="5121"/>
      <c r="AM140" s="5121"/>
      <c r="AN140" s="5121"/>
      <c r="AO140" s="5122"/>
      <c r="AP140" s="5122"/>
      <c r="AQ140" s="5122"/>
      <c r="AR140" s="5122"/>
      <c r="AS140" s="5122"/>
      <c r="AT140" s="5122"/>
      <c r="AU140" s="5122"/>
      <c r="AV140" s="5122"/>
      <c r="AW140" s="5122"/>
      <c r="AX140" s="5122"/>
      <c r="AY140" s="5634"/>
      <c r="AZ140" s="5094" t="s">
        <v>1</v>
      </c>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5">
        <v>1</v>
      </c>
      <c r="CL140" s="1"/>
      <c r="CM140" s="1"/>
    </row>
    <row r="141" spans="1:91" s="187" customFormat="1" ht="21" customHeight="1">
      <c r="A141"/>
      <c r="B141" s="5120"/>
      <c r="C141" s="5121"/>
      <c r="D141" s="5121"/>
      <c r="E141" s="5121"/>
      <c r="F141" s="5121"/>
      <c r="G141" s="5122"/>
      <c r="H141" s="5122"/>
      <c r="I141" s="5122"/>
      <c r="J141" s="5122"/>
      <c r="K141" s="5122"/>
      <c r="L141" s="5122"/>
      <c r="M141" s="5122"/>
      <c r="N141" s="5122"/>
      <c r="O141" s="5122"/>
      <c r="P141" s="5122"/>
      <c r="Q141" s="5634"/>
      <c r="R141" s="5094" t="s">
        <v>1</v>
      </c>
      <c r="S141" s="5120"/>
      <c r="T141" s="5121"/>
      <c r="U141" s="5121"/>
      <c r="V141" s="5121"/>
      <c r="W141" s="5121"/>
      <c r="X141" s="5122"/>
      <c r="Y141" s="5122"/>
      <c r="Z141" s="5122"/>
      <c r="AA141" s="5122"/>
      <c r="AB141" s="5122"/>
      <c r="AC141" s="5122"/>
      <c r="AD141" s="5122"/>
      <c r="AE141" s="5122"/>
      <c r="AF141" s="5122"/>
      <c r="AG141" s="5122"/>
      <c r="AH141" s="5634"/>
      <c r="AI141" s="5094" t="s">
        <v>1</v>
      </c>
      <c r="AJ141" s="5120"/>
      <c r="AK141" s="5121"/>
      <c r="AL141" s="5121"/>
      <c r="AM141" s="5121"/>
      <c r="AN141" s="5121"/>
      <c r="AO141" s="5122"/>
      <c r="AP141" s="5122"/>
      <c r="AQ141" s="5122"/>
      <c r="AR141" s="5122"/>
      <c r="AS141" s="5122"/>
      <c r="AT141" s="5122"/>
      <c r="AU141" s="5122"/>
      <c r="AV141" s="5122"/>
      <c r="AW141" s="5122"/>
      <c r="AX141" s="5122"/>
      <c r="AY141" s="5634"/>
      <c r="AZ141" s="5094" t="s">
        <v>1</v>
      </c>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5">
        <v>1</v>
      </c>
      <c r="CL141" s="1"/>
      <c r="CM141" s="1"/>
    </row>
    <row r="142" spans="1:91" s="187" customFormat="1" ht="21" customHeight="1">
      <c r="A142"/>
      <c r="B142" s="5120"/>
      <c r="C142" s="5121"/>
      <c r="D142" s="5121"/>
      <c r="E142" s="5121"/>
      <c r="F142" s="5121"/>
      <c r="G142" s="5122"/>
      <c r="H142" s="5122"/>
      <c r="I142" s="5122"/>
      <c r="J142" s="5122"/>
      <c r="K142" s="5122"/>
      <c r="L142" s="5122"/>
      <c r="M142" s="5122"/>
      <c r="N142" s="5122"/>
      <c r="O142" s="5122"/>
      <c r="P142" s="5122"/>
      <c r="Q142" s="5634"/>
      <c r="R142" s="5094" t="s">
        <v>1</v>
      </c>
      <c r="S142" s="5120"/>
      <c r="T142" s="5121"/>
      <c r="U142" s="5121"/>
      <c r="V142" s="5121"/>
      <c r="W142" s="5121"/>
      <c r="X142" s="5122"/>
      <c r="Y142" s="5122"/>
      <c r="Z142" s="5122"/>
      <c r="AA142" s="5122"/>
      <c r="AB142" s="5122"/>
      <c r="AC142" s="5122"/>
      <c r="AD142" s="5122"/>
      <c r="AE142" s="5122"/>
      <c r="AF142" s="5122"/>
      <c r="AG142" s="5122"/>
      <c r="AH142" s="5634"/>
      <c r="AI142" s="5094" t="s">
        <v>1</v>
      </c>
      <c r="AJ142" s="5120"/>
      <c r="AK142" s="5121"/>
      <c r="AL142" s="5121"/>
      <c r="AM142" s="5121"/>
      <c r="AN142" s="5121"/>
      <c r="AO142" s="5122"/>
      <c r="AP142" s="5122"/>
      <c r="AQ142" s="5122"/>
      <c r="AR142" s="5122"/>
      <c r="AS142" s="5122"/>
      <c r="AT142" s="5122"/>
      <c r="AU142" s="5122"/>
      <c r="AV142" s="5122"/>
      <c r="AW142" s="5122"/>
      <c r="AX142" s="5122"/>
      <c r="AY142" s="5634"/>
      <c r="AZ142" s="5094" t="s">
        <v>1</v>
      </c>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5">
        <v>1</v>
      </c>
      <c r="CL142" s="1"/>
      <c r="CM142" s="1"/>
    </row>
    <row r="143" spans="1:91" s="187" customFormat="1" ht="21" customHeight="1">
      <c r="A143"/>
      <c r="B143" s="5120"/>
      <c r="C143" s="5121"/>
      <c r="D143" s="5121"/>
      <c r="E143" s="5121"/>
      <c r="F143" s="5121"/>
      <c r="G143" s="5122"/>
      <c r="H143" s="5122"/>
      <c r="I143" s="5122"/>
      <c r="J143" s="5122"/>
      <c r="K143" s="5122"/>
      <c r="L143" s="5122"/>
      <c r="M143" s="5122"/>
      <c r="N143" s="5122"/>
      <c r="O143" s="5122"/>
      <c r="P143" s="5122"/>
      <c r="Q143" s="5634"/>
      <c r="R143" s="5094" t="s">
        <v>1</v>
      </c>
      <c r="S143" s="5120"/>
      <c r="T143" s="5121"/>
      <c r="U143" s="5121"/>
      <c r="V143" s="5121"/>
      <c r="W143" s="5121"/>
      <c r="X143" s="5122"/>
      <c r="Y143" s="5122"/>
      <c r="Z143" s="5122"/>
      <c r="AA143" s="5122"/>
      <c r="AB143" s="5122"/>
      <c r="AC143" s="5122"/>
      <c r="AD143" s="5122"/>
      <c r="AE143" s="5122"/>
      <c r="AF143" s="5122"/>
      <c r="AG143" s="5122"/>
      <c r="AH143" s="5634"/>
      <c r="AI143" s="5094" t="s">
        <v>1</v>
      </c>
      <c r="AJ143" s="5120"/>
      <c r="AK143" s="5121"/>
      <c r="AL143" s="5121"/>
      <c r="AM143" s="5121"/>
      <c r="AN143" s="5121"/>
      <c r="AO143" s="5122"/>
      <c r="AP143" s="5122"/>
      <c r="AQ143" s="5122"/>
      <c r="AR143" s="5122"/>
      <c r="AS143" s="5122"/>
      <c r="AT143" s="5122"/>
      <c r="AU143" s="5122"/>
      <c r="AV143" s="5122"/>
      <c r="AW143" s="5122"/>
      <c r="AX143" s="5122"/>
      <c r="AY143" s="5634"/>
      <c r="AZ143" s="5094" t="s">
        <v>1</v>
      </c>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5">
        <v>1</v>
      </c>
      <c r="CL143" s="1"/>
      <c r="CM143" s="1"/>
    </row>
    <row r="144" spans="1:91" s="187" customFormat="1" ht="21" customHeight="1">
      <c r="A144"/>
      <c r="B144" s="5120"/>
      <c r="C144" s="5121"/>
      <c r="D144" s="5121"/>
      <c r="E144" s="5121"/>
      <c r="F144" s="5121"/>
      <c r="G144" s="5122"/>
      <c r="H144" s="5122"/>
      <c r="I144" s="5122"/>
      <c r="J144" s="5122"/>
      <c r="K144" s="5122"/>
      <c r="L144" s="5122"/>
      <c r="M144" s="5122"/>
      <c r="N144" s="5122"/>
      <c r="O144" s="5122"/>
      <c r="P144" s="5122"/>
      <c r="Q144" s="5634"/>
      <c r="R144" s="5094" t="s">
        <v>1</v>
      </c>
      <c r="S144" s="5120"/>
      <c r="T144" s="5121"/>
      <c r="U144" s="5121"/>
      <c r="V144" s="5121"/>
      <c r="W144" s="5121"/>
      <c r="X144" s="5122"/>
      <c r="Y144" s="5122"/>
      <c r="Z144" s="5122"/>
      <c r="AA144" s="5122"/>
      <c r="AB144" s="5122"/>
      <c r="AC144" s="5122"/>
      <c r="AD144" s="5122"/>
      <c r="AE144" s="5122"/>
      <c r="AF144" s="5122"/>
      <c r="AG144" s="5122"/>
      <c r="AH144" s="5634"/>
      <c r="AI144" s="5094" t="s">
        <v>1</v>
      </c>
      <c r="AJ144" s="5120"/>
      <c r="AK144" s="5121"/>
      <c r="AL144" s="5121"/>
      <c r="AM144" s="5121"/>
      <c r="AN144" s="5121"/>
      <c r="AO144" s="5122"/>
      <c r="AP144" s="5122"/>
      <c r="AQ144" s="5122"/>
      <c r="AR144" s="5122"/>
      <c r="AS144" s="5122"/>
      <c r="AT144" s="5122"/>
      <c r="AU144" s="5122"/>
      <c r="AV144" s="5122"/>
      <c r="AW144" s="5122"/>
      <c r="AX144" s="5122"/>
      <c r="AY144" s="5634"/>
      <c r="AZ144" s="5094" t="s">
        <v>1</v>
      </c>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5">
        <v>1</v>
      </c>
      <c r="CL144" s="1"/>
      <c r="CM144" s="1"/>
    </row>
    <row r="145" spans="1:91" s="187" customFormat="1" ht="21" customHeight="1">
      <c r="A145"/>
      <c r="B145" s="5120"/>
      <c r="C145" s="5121"/>
      <c r="D145" s="5121"/>
      <c r="E145" s="5121"/>
      <c r="F145" s="5121"/>
      <c r="G145" s="5122"/>
      <c r="H145" s="5122"/>
      <c r="I145" s="5122"/>
      <c r="J145" s="5122"/>
      <c r="K145" s="5122"/>
      <c r="L145" s="5122"/>
      <c r="M145" s="5122"/>
      <c r="N145" s="5122"/>
      <c r="O145" s="5122"/>
      <c r="P145" s="5122"/>
      <c r="Q145" s="5634"/>
      <c r="R145" s="5094" t="s">
        <v>1</v>
      </c>
      <c r="S145" s="5120"/>
      <c r="T145" s="5121"/>
      <c r="U145" s="5121"/>
      <c r="V145" s="5121"/>
      <c r="W145" s="5121"/>
      <c r="X145" s="5122"/>
      <c r="Y145" s="5122"/>
      <c r="Z145" s="5122"/>
      <c r="AA145" s="5122"/>
      <c r="AB145" s="5122"/>
      <c r="AC145" s="5122"/>
      <c r="AD145" s="5122"/>
      <c r="AE145" s="5122"/>
      <c r="AF145" s="5122"/>
      <c r="AG145" s="5122"/>
      <c r="AH145" s="5634"/>
      <c r="AI145" s="5094" t="s">
        <v>1</v>
      </c>
      <c r="AJ145" s="5120"/>
      <c r="AK145" s="5121"/>
      <c r="AL145" s="5121"/>
      <c r="AM145" s="5121"/>
      <c r="AN145" s="5121"/>
      <c r="AO145" s="5122"/>
      <c r="AP145" s="5122"/>
      <c r="AQ145" s="5122"/>
      <c r="AR145" s="5122"/>
      <c r="AS145" s="5122"/>
      <c r="AT145" s="5122"/>
      <c r="AU145" s="5122"/>
      <c r="AV145" s="5122"/>
      <c r="AW145" s="5122"/>
      <c r="AX145" s="5122"/>
      <c r="AY145" s="5634"/>
      <c r="AZ145" s="5094" t="s">
        <v>1</v>
      </c>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5">
        <v>1</v>
      </c>
      <c r="CL145" s="1"/>
      <c r="CM145" s="1"/>
    </row>
    <row r="146" spans="1:91" s="187" customFormat="1" ht="21" customHeight="1">
      <c r="A146"/>
      <c r="B146" s="5120"/>
      <c r="C146" s="5121"/>
      <c r="D146" s="5121"/>
      <c r="E146" s="5121"/>
      <c r="F146" s="5121"/>
      <c r="G146" s="5122"/>
      <c r="H146" s="5122"/>
      <c r="I146" s="5122"/>
      <c r="J146" s="5122"/>
      <c r="K146" s="5122"/>
      <c r="L146" s="5122"/>
      <c r="M146" s="5122"/>
      <c r="N146" s="5122"/>
      <c r="O146" s="5122"/>
      <c r="P146" s="5122"/>
      <c r="Q146" s="5634"/>
      <c r="R146" s="5094" t="s">
        <v>1</v>
      </c>
      <c r="S146" s="5120"/>
      <c r="T146" s="5121"/>
      <c r="U146" s="5121"/>
      <c r="V146" s="5121"/>
      <c r="W146" s="5121"/>
      <c r="X146" s="5122"/>
      <c r="Y146" s="5122"/>
      <c r="Z146" s="5122"/>
      <c r="AA146" s="5122"/>
      <c r="AB146" s="5122"/>
      <c r="AC146" s="5122"/>
      <c r="AD146" s="5122"/>
      <c r="AE146" s="5122"/>
      <c r="AF146" s="5122"/>
      <c r="AG146" s="5122"/>
      <c r="AH146" s="5634"/>
      <c r="AI146" s="5094" t="s">
        <v>1</v>
      </c>
      <c r="AJ146" s="5120"/>
      <c r="AK146" s="5121"/>
      <c r="AL146" s="5121"/>
      <c r="AM146" s="5121"/>
      <c r="AN146" s="5121"/>
      <c r="AO146" s="5122"/>
      <c r="AP146" s="5122"/>
      <c r="AQ146" s="5122"/>
      <c r="AR146" s="5122"/>
      <c r="AS146" s="5122"/>
      <c r="AT146" s="5122"/>
      <c r="AU146" s="5122"/>
      <c r="AV146" s="5122"/>
      <c r="AW146" s="5122"/>
      <c r="AX146" s="5122"/>
      <c r="AY146" s="5634"/>
      <c r="AZ146" s="5094" t="s">
        <v>1</v>
      </c>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5">
        <v>1</v>
      </c>
      <c r="CL146" s="1"/>
      <c r="CM146" s="1"/>
    </row>
    <row r="147" spans="1:91" s="187" customFormat="1" ht="21" customHeight="1">
      <c r="A147"/>
      <c r="B147" s="5120"/>
      <c r="C147" s="5121"/>
      <c r="D147" s="5121"/>
      <c r="E147" s="5121"/>
      <c r="F147" s="5121"/>
      <c r="G147" s="5122"/>
      <c r="H147" s="5122"/>
      <c r="I147" s="5122"/>
      <c r="J147" s="5122"/>
      <c r="K147" s="5122"/>
      <c r="L147" s="5122"/>
      <c r="M147" s="5122"/>
      <c r="N147" s="5122"/>
      <c r="O147" s="5122"/>
      <c r="P147" s="5122"/>
      <c r="Q147" s="5634"/>
      <c r="R147" s="5094" t="s">
        <v>1</v>
      </c>
      <c r="S147" s="5120"/>
      <c r="T147" s="5121"/>
      <c r="U147" s="5121"/>
      <c r="V147" s="5121"/>
      <c r="W147" s="5121"/>
      <c r="X147" s="5122"/>
      <c r="Y147" s="5122"/>
      <c r="Z147" s="5122"/>
      <c r="AA147" s="5122"/>
      <c r="AB147" s="5122"/>
      <c r="AC147" s="5122"/>
      <c r="AD147" s="5122"/>
      <c r="AE147" s="5122"/>
      <c r="AF147" s="5122"/>
      <c r="AG147" s="5122"/>
      <c r="AH147" s="5634"/>
      <c r="AI147" s="5094" t="s">
        <v>1</v>
      </c>
      <c r="AJ147" s="5120"/>
      <c r="AK147" s="5121"/>
      <c r="AL147" s="5121"/>
      <c r="AM147" s="5121"/>
      <c r="AN147" s="5121"/>
      <c r="AO147" s="5122"/>
      <c r="AP147" s="5122"/>
      <c r="AQ147" s="5122"/>
      <c r="AR147" s="5122"/>
      <c r="AS147" s="5122"/>
      <c r="AT147" s="5122"/>
      <c r="AU147" s="5122"/>
      <c r="AV147" s="5122"/>
      <c r="AW147" s="5122"/>
      <c r="AX147" s="5122"/>
      <c r="AY147" s="5634"/>
      <c r="AZ147" s="5094" t="s">
        <v>1</v>
      </c>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5">
        <v>1</v>
      </c>
      <c r="CL147" s="1"/>
      <c r="CM147" s="1"/>
    </row>
    <row r="148" spans="1:91" s="187" customFormat="1" ht="21" customHeight="1">
      <c r="A148"/>
      <c r="B148" s="5120"/>
      <c r="C148" s="5121"/>
      <c r="D148" s="5121"/>
      <c r="E148" s="5121"/>
      <c r="F148" s="5121"/>
      <c r="G148" s="5122"/>
      <c r="H148" s="5122"/>
      <c r="I148" s="5122"/>
      <c r="J148" s="5122"/>
      <c r="K148" s="5122"/>
      <c r="L148" s="5122"/>
      <c r="M148" s="5122"/>
      <c r="N148" s="5122"/>
      <c r="O148" s="5122"/>
      <c r="P148" s="5122"/>
      <c r="Q148" s="5634"/>
      <c r="R148" s="5094" t="s">
        <v>1</v>
      </c>
      <c r="S148" s="5120"/>
      <c r="T148" s="5121"/>
      <c r="U148" s="5121"/>
      <c r="V148" s="5121"/>
      <c r="W148" s="5121"/>
      <c r="X148" s="5122"/>
      <c r="Y148" s="5122"/>
      <c r="Z148" s="5122"/>
      <c r="AA148" s="5122"/>
      <c r="AB148" s="5122"/>
      <c r="AC148" s="5122"/>
      <c r="AD148" s="5122"/>
      <c r="AE148" s="5122"/>
      <c r="AF148" s="5122"/>
      <c r="AG148" s="5122"/>
      <c r="AH148" s="5634"/>
      <c r="AI148" s="5094" t="s">
        <v>1</v>
      </c>
      <c r="AJ148" s="5120"/>
      <c r="AK148" s="5121"/>
      <c r="AL148" s="5121"/>
      <c r="AM148" s="5121"/>
      <c r="AN148" s="5121"/>
      <c r="AO148" s="5122"/>
      <c r="AP148" s="5122"/>
      <c r="AQ148" s="5122"/>
      <c r="AR148" s="5122"/>
      <c r="AS148" s="5122"/>
      <c r="AT148" s="5122"/>
      <c r="AU148" s="5122"/>
      <c r="AV148" s="5122"/>
      <c r="AW148" s="5122"/>
      <c r="AX148" s="5122"/>
      <c r="AY148" s="5634"/>
      <c r="AZ148" s="5094" t="s">
        <v>1</v>
      </c>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5">
        <v>1</v>
      </c>
      <c r="CL148" s="1"/>
      <c r="CM148" s="1"/>
    </row>
    <row r="149" spans="1:91" s="187" customFormat="1" ht="21" customHeight="1">
      <c r="A149"/>
      <c r="B149" s="5120"/>
      <c r="C149" s="5121"/>
      <c r="D149" s="5121"/>
      <c r="E149" s="5121"/>
      <c r="F149" s="5121"/>
      <c r="G149" s="5122"/>
      <c r="H149" s="5122"/>
      <c r="I149" s="5122"/>
      <c r="J149" s="5122"/>
      <c r="K149" s="5122"/>
      <c r="L149" s="5122"/>
      <c r="M149" s="5122"/>
      <c r="N149" s="5122"/>
      <c r="O149" s="5122"/>
      <c r="P149" s="5122"/>
      <c r="Q149" s="5634"/>
      <c r="R149" s="5094" t="s">
        <v>1</v>
      </c>
      <c r="S149" s="5120"/>
      <c r="T149" s="5121"/>
      <c r="U149" s="5121"/>
      <c r="V149" s="5121"/>
      <c r="W149" s="5121"/>
      <c r="X149" s="5122"/>
      <c r="Y149" s="5122"/>
      <c r="Z149" s="5122"/>
      <c r="AA149" s="5122"/>
      <c r="AB149" s="5122"/>
      <c r="AC149" s="5122"/>
      <c r="AD149" s="5122"/>
      <c r="AE149" s="5122"/>
      <c r="AF149" s="5122"/>
      <c r="AG149" s="5122"/>
      <c r="AH149" s="5634"/>
      <c r="AI149" s="5094" t="s">
        <v>1</v>
      </c>
      <c r="AJ149" s="5120"/>
      <c r="AK149" s="5121"/>
      <c r="AL149" s="5121"/>
      <c r="AM149" s="5121"/>
      <c r="AN149" s="5121"/>
      <c r="AO149" s="5122"/>
      <c r="AP149" s="5122"/>
      <c r="AQ149" s="5122"/>
      <c r="AR149" s="5122"/>
      <c r="AS149" s="5122"/>
      <c r="AT149" s="5122"/>
      <c r="AU149" s="5122"/>
      <c r="AV149" s="5122"/>
      <c r="AW149" s="5122"/>
      <c r="AX149" s="5122"/>
      <c r="AY149" s="5634"/>
      <c r="AZ149" s="5094" t="s">
        <v>1</v>
      </c>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5">
        <v>1</v>
      </c>
      <c r="CL149" s="1"/>
      <c r="CM149" s="1"/>
    </row>
    <row r="150" spans="1:91" s="187" customFormat="1" ht="21" customHeight="1">
      <c r="A150"/>
      <c r="B150" s="5120"/>
      <c r="C150" s="5121"/>
      <c r="D150" s="5121"/>
      <c r="E150" s="5121"/>
      <c r="F150" s="5121"/>
      <c r="G150" s="5122"/>
      <c r="H150" s="5122"/>
      <c r="I150" s="5122"/>
      <c r="J150" s="5122"/>
      <c r="K150" s="5122"/>
      <c r="L150" s="5122"/>
      <c r="M150" s="5122"/>
      <c r="N150" s="5122"/>
      <c r="O150" s="5122"/>
      <c r="P150" s="5122"/>
      <c r="Q150" s="5634"/>
      <c r="R150" s="5094" t="s">
        <v>1</v>
      </c>
      <c r="S150" s="5120"/>
      <c r="T150" s="5121"/>
      <c r="U150" s="5121"/>
      <c r="V150" s="5121"/>
      <c r="W150" s="5121"/>
      <c r="X150" s="5122"/>
      <c r="Y150" s="5122"/>
      <c r="Z150" s="5122"/>
      <c r="AA150" s="5122"/>
      <c r="AB150" s="5122"/>
      <c r="AC150" s="5122"/>
      <c r="AD150" s="5122"/>
      <c r="AE150" s="5122"/>
      <c r="AF150" s="5122"/>
      <c r="AG150" s="5122"/>
      <c r="AH150" s="5634"/>
      <c r="AI150" s="5094" t="s">
        <v>1</v>
      </c>
      <c r="AJ150" s="5120"/>
      <c r="AK150" s="5121"/>
      <c r="AL150" s="5121"/>
      <c r="AM150" s="5121"/>
      <c r="AN150" s="5121"/>
      <c r="AO150" s="5122"/>
      <c r="AP150" s="5122"/>
      <c r="AQ150" s="5122"/>
      <c r="AR150" s="5122"/>
      <c r="AS150" s="5122"/>
      <c r="AT150" s="5122"/>
      <c r="AU150" s="5122"/>
      <c r="AV150" s="5122"/>
      <c r="AW150" s="5122"/>
      <c r="AX150" s="5122"/>
      <c r="AY150" s="5634"/>
      <c r="AZ150" s="5094" t="s">
        <v>1</v>
      </c>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5">
        <v>1</v>
      </c>
      <c r="CL150" s="1"/>
      <c r="CM150" s="1"/>
    </row>
    <row r="151" spans="1:91" s="187" customFormat="1" ht="21" customHeight="1">
      <c r="A151"/>
      <c r="B151" s="5120"/>
      <c r="C151" s="5121"/>
      <c r="D151" s="5121"/>
      <c r="E151" s="5121"/>
      <c r="F151" s="5121"/>
      <c r="G151" s="5122"/>
      <c r="H151" s="5122"/>
      <c r="I151" s="5122"/>
      <c r="J151" s="5122"/>
      <c r="K151" s="5122"/>
      <c r="L151" s="5122"/>
      <c r="M151" s="5122"/>
      <c r="N151" s="5122"/>
      <c r="O151" s="5122"/>
      <c r="P151" s="5122"/>
      <c r="Q151" s="5634"/>
      <c r="R151" s="5094" t="s">
        <v>1</v>
      </c>
      <c r="S151" s="5120"/>
      <c r="T151" s="5121"/>
      <c r="U151" s="5121"/>
      <c r="V151" s="5121"/>
      <c r="W151" s="5121"/>
      <c r="X151" s="5122"/>
      <c r="Y151" s="5122"/>
      <c r="Z151" s="5122"/>
      <c r="AA151" s="5122"/>
      <c r="AB151" s="5122"/>
      <c r="AC151" s="5122"/>
      <c r="AD151" s="5122"/>
      <c r="AE151" s="5122"/>
      <c r="AF151" s="5122"/>
      <c r="AG151" s="5122"/>
      <c r="AH151" s="5634"/>
      <c r="AI151" s="5094" t="s">
        <v>1</v>
      </c>
      <c r="AJ151" s="5120"/>
      <c r="AK151" s="5121"/>
      <c r="AL151" s="5121"/>
      <c r="AM151" s="5121"/>
      <c r="AN151" s="5121"/>
      <c r="AO151" s="5122"/>
      <c r="AP151" s="5122"/>
      <c r="AQ151" s="5122"/>
      <c r="AR151" s="5122"/>
      <c r="AS151" s="5122"/>
      <c r="AT151" s="5122"/>
      <c r="AU151" s="5122"/>
      <c r="AV151" s="5122"/>
      <c r="AW151" s="5122"/>
      <c r="AX151" s="5122"/>
      <c r="AY151" s="5634"/>
      <c r="AZ151" s="5094" t="s">
        <v>1</v>
      </c>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5">
        <v>1</v>
      </c>
      <c r="CL151" s="1"/>
      <c r="CM151" s="1"/>
    </row>
    <row r="152" spans="1:91" s="187" customFormat="1" ht="21" customHeight="1">
      <c r="A152"/>
      <c r="B152" s="5120"/>
      <c r="C152" s="5121"/>
      <c r="D152" s="5121"/>
      <c r="E152" s="5121"/>
      <c r="F152" s="5121"/>
      <c r="G152" s="5122"/>
      <c r="H152" s="5122"/>
      <c r="I152" s="5122"/>
      <c r="J152" s="5122"/>
      <c r="K152" s="5122"/>
      <c r="L152" s="5122"/>
      <c r="M152" s="5122"/>
      <c r="N152" s="5122"/>
      <c r="O152" s="5122"/>
      <c r="P152" s="5122"/>
      <c r="Q152" s="5634"/>
      <c r="R152" s="5094" t="s">
        <v>1</v>
      </c>
      <c r="S152" s="5120"/>
      <c r="T152" s="5121"/>
      <c r="U152" s="5121"/>
      <c r="V152" s="5121"/>
      <c r="W152" s="5121"/>
      <c r="X152" s="5122"/>
      <c r="Y152" s="5122"/>
      <c r="Z152" s="5122"/>
      <c r="AA152" s="5122"/>
      <c r="AB152" s="5122"/>
      <c r="AC152" s="5122"/>
      <c r="AD152" s="5122"/>
      <c r="AE152" s="5122"/>
      <c r="AF152" s="5122"/>
      <c r="AG152" s="5122"/>
      <c r="AH152" s="5634"/>
      <c r="AI152" s="5094" t="s">
        <v>1</v>
      </c>
      <c r="AJ152" s="5120"/>
      <c r="AK152" s="5121"/>
      <c r="AL152" s="5121"/>
      <c r="AM152" s="5121"/>
      <c r="AN152" s="5121"/>
      <c r="AO152" s="5122"/>
      <c r="AP152" s="5122"/>
      <c r="AQ152" s="5122"/>
      <c r="AR152" s="5122"/>
      <c r="AS152" s="5122"/>
      <c r="AT152" s="5122"/>
      <c r="AU152" s="5122"/>
      <c r="AV152" s="5122"/>
      <c r="AW152" s="5122"/>
      <c r="AX152" s="5122"/>
      <c r="AY152" s="5634"/>
      <c r="AZ152" s="5094" t="s">
        <v>1</v>
      </c>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5">
        <v>1</v>
      </c>
      <c r="CL152" s="1"/>
      <c r="CM152" s="1"/>
    </row>
    <row r="153" spans="1:91" s="187" customFormat="1" ht="21" customHeight="1">
      <c r="A153"/>
      <c r="B153" s="5120"/>
      <c r="C153" s="5121"/>
      <c r="D153" s="5121"/>
      <c r="E153" s="5121"/>
      <c r="F153" s="5121"/>
      <c r="G153" s="5122"/>
      <c r="H153" s="5122"/>
      <c r="I153" s="5122"/>
      <c r="J153" s="5122"/>
      <c r="K153" s="5122"/>
      <c r="L153" s="5122"/>
      <c r="M153" s="5122"/>
      <c r="N153" s="5122"/>
      <c r="O153" s="5122"/>
      <c r="P153" s="5122"/>
      <c r="Q153" s="5634"/>
      <c r="R153" s="5094" t="s">
        <v>1</v>
      </c>
      <c r="S153" s="5120"/>
      <c r="T153" s="5121"/>
      <c r="U153" s="5121"/>
      <c r="V153" s="5121"/>
      <c r="W153" s="5121"/>
      <c r="X153" s="5122"/>
      <c r="Y153" s="5122"/>
      <c r="Z153" s="5122"/>
      <c r="AA153" s="5122"/>
      <c r="AB153" s="5122"/>
      <c r="AC153" s="5122"/>
      <c r="AD153" s="5122"/>
      <c r="AE153" s="5122"/>
      <c r="AF153" s="5122"/>
      <c r="AG153" s="5122"/>
      <c r="AH153" s="5634"/>
      <c r="AI153" s="5094" t="s">
        <v>1</v>
      </c>
      <c r="AJ153" s="5120"/>
      <c r="AK153" s="5121"/>
      <c r="AL153" s="5121"/>
      <c r="AM153" s="5121"/>
      <c r="AN153" s="5121"/>
      <c r="AO153" s="5122"/>
      <c r="AP153" s="5122"/>
      <c r="AQ153" s="5122"/>
      <c r="AR153" s="5122"/>
      <c r="AS153" s="5122"/>
      <c r="AT153" s="5122"/>
      <c r="AU153" s="5122"/>
      <c r="AV153" s="5122"/>
      <c r="AW153" s="5122"/>
      <c r="AX153" s="5122"/>
      <c r="AY153" s="5634"/>
      <c r="AZ153" s="5094" t="s">
        <v>1</v>
      </c>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5">
        <v>1</v>
      </c>
      <c r="CL153" s="1"/>
      <c r="CM153" s="1"/>
    </row>
    <row r="154" spans="1:91" s="187" customFormat="1" ht="21" customHeight="1">
      <c r="A154"/>
      <c r="B154" s="5120"/>
      <c r="C154" s="5121"/>
      <c r="D154" s="5121"/>
      <c r="E154" s="5121"/>
      <c r="F154" s="5121"/>
      <c r="G154" s="5122"/>
      <c r="H154" s="5122"/>
      <c r="I154" s="5122"/>
      <c r="J154" s="5122"/>
      <c r="K154" s="5122"/>
      <c r="L154" s="5122"/>
      <c r="M154" s="5122"/>
      <c r="N154" s="5122"/>
      <c r="O154" s="5122"/>
      <c r="P154" s="5122"/>
      <c r="Q154" s="5634"/>
      <c r="R154" s="5094" t="s">
        <v>1</v>
      </c>
      <c r="S154" s="5120"/>
      <c r="T154" s="5121"/>
      <c r="U154" s="5121"/>
      <c r="V154" s="5121"/>
      <c r="W154" s="5121"/>
      <c r="X154" s="5122"/>
      <c r="Y154" s="5122"/>
      <c r="Z154" s="5122"/>
      <c r="AA154" s="5122"/>
      <c r="AB154" s="5122"/>
      <c r="AC154" s="5122"/>
      <c r="AD154" s="5122"/>
      <c r="AE154" s="5122"/>
      <c r="AF154" s="5122"/>
      <c r="AG154" s="5122"/>
      <c r="AH154" s="5634"/>
      <c r="AI154" s="5094" t="s">
        <v>1</v>
      </c>
      <c r="AJ154" s="5120"/>
      <c r="AK154" s="5121"/>
      <c r="AL154" s="5121"/>
      <c r="AM154" s="5121"/>
      <c r="AN154" s="5121"/>
      <c r="AO154" s="5122"/>
      <c r="AP154" s="5122"/>
      <c r="AQ154" s="5122"/>
      <c r="AR154" s="5122"/>
      <c r="AS154" s="5122"/>
      <c r="AT154" s="5122"/>
      <c r="AU154" s="5122"/>
      <c r="AV154" s="5122"/>
      <c r="AW154" s="5122"/>
      <c r="AX154" s="5122"/>
      <c r="AY154" s="5634"/>
      <c r="AZ154" s="5094" t="s">
        <v>1</v>
      </c>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5">
        <v>1</v>
      </c>
      <c r="CL154" s="1"/>
      <c r="CM154" s="1"/>
    </row>
    <row r="155" spans="1:91" s="187" customFormat="1" ht="21" customHeight="1">
      <c r="A155"/>
      <c r="B155" s="5120"/>
      <c r="C155" s="5121"/>
      <c r="D155" s="5121"/>
      <c r="E155" s="5121"/>
      <c r="F155" s="5121"/>
      <c r="G155" s="5122"/>
      <c r="H155" s="5122"/>
      <c r="I155" s="5122"/>
      <c r="J155" s="5122"/>
      <c r="K155" s="5122"/>
      <c r="L155" s="5122"/>
      <c r="M155" s="5122"/>
      <c r="N155" s="5122"/>
      <c r="O155" s="5122"/>
      <c r="P155" s="5122"/>
      <c r="Q155" s="5634"/>
      <c r="R155" s="5094" t="s">
        <v>1</v>
      </c>
      <c r="S155" s="5120"/>
      <c r="T155" s="5121"/>
      <c r="U155" s="5121"/>
      <c r="V155" s="5121"/>
      <c r="W155" s="5121"/>
      <c r="X155" s="5122"/>
      <c r="Y155" s="5122"/>
      <c r="Z155" s="5122"/>
      <c r="AA155" s="5122"/>
      <c r="AB155" s="5122"/>
      <c r="AC155" s="5122"/>
      <c r="AD155" s="5122"/>
      <c r="AE155" s="5122"/>
      <c r="AF155" s="5122"/>
      <c r="AG155" s="5122"/>
      <c r="AH155" s="5634"/>
      <c r="AI155" s="5094" t="s">
        <v>1</v>
      </c>
      <c r="AJ155" s="5120"/>
      <c r="AK155" s="5121"/>
      <c r="AL155" s="5121"/>
      <c r="AM155" s="5121"/>
      <c r="AN155" s="5121"/>
      <c r="AO155" s="5122"/>
      <c r="AP155" s="5122"/>
      <c r="AQ155" s="5122"/>
      <c r="AR155" s="5122"/>
      <c r="AS155" s="5122"/>
      <c r="AT155" s="5122"/>
      <c r="AU155" s="5122"/>
      <c r="AV155" s="5122"/>
      <c r="AW155" s="5122"/>
      <c r="AX155" s="5122"/>
      <c r="AY155" s="5634"/>
      <c r="AZ155" s="5094" t="s">
        <v>1</v>
      </c>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5">
        <v>1</v>
      </c>
      <c r="CL155" s="1"/>
      <c r="CM155" s="1"/>
    </row>
    <row r="156" spans="1:91" s="187" customFormat="1" ht="21" customHeight="1">
      <c r="A156"/>
      <c r="B156" s="5120"/>
      <c r="C156" s="5121"/>
      <c r="D156" s="5121"/>
      <c r="E156" s="5121"/>
      <c r="F156" s="5121"/>
      <c r="G156" s="5122"/>
      <c r="H156" s="5122"/>
      <c r="I156" s="5122"/>
      <c r="J156" s="5122"/>
      <c r="K156" s="5122"/>
      <c r="L156" s="5122"/>
      <c r="M156" s="5122"/>
      <c r="N156" s="5122"/>
      <c r="O156" s="5122"/>
      <c r="P156" s="5122"/>
      <c r="Q156" s="5634"/>
      <c r="R156" s="5094" t="s">
        <v>1</v>
      </c>
      <c r="S156" s="5120"/>
      <c r="T156" s="5121"/>
      <c r="U156" s="5121"/>
      <c r="V156" s="5121"/>
      <c r="W156" s="5121"/>
      <c r="X156" s="5122"/>
      <c r="Y156" s="5122"/>
      <c r="Z156" s="5122"/>
      <c r="AA156" s="5122"/>
      <c r="AB156" s="5122"/>
      <c r="AC156" s="5122"/>
      <c r="AD156" s="5122"/>
      <c r="AE156" s="5122"/>
      <c r="AF156" s="5122"/>
      <c r="AG156" s="5122"/>
      <c r="AH156" s="5634"/>
      <c r="AI156" s="5094" t="s">
        <v>1</v>
      </c>
      <c r="AJ156" s="5120"/>
      <c r="AK156" s="5121"/>
      <c r="AL156" s="5121"/>
      <c r="AM156" s="5121"/>
      <c r="AN156" s="5121"/>
      <c r="AO156" s="5122"/>
      <c r="AP156" s="5122"/>
      <c r="AQ156" s="5122"/>
      <c r="AR156" s="5122"/>
      <c r="AS156" s="5122"/>
      <c r="AT156" s="5122"/>
      <c r="AU156" s="5122"/>
      <c r="AV156" s="5122"/>
      <c r="AW156" s="5122"/>
      <c r="AX156" s="5122"/>
      <c r="AY156" s="5634"/>
      <c r="AZ156" s="5094" t="s">
        <v>1</v>
      </c>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5">
        <v>1</v>
      </c>
      <c r="CL156" s="1"/>
      <c r="CM156" s="1"/>
    </row>
    <row r="157" spans="1:91" s="187" customFormat="1" ht="21" customHeight="1">
      <c r="A157"/>
      <c r="B157" s="5120"/>
      <c r="C157" s="5121"/>
      <c r="D157" s="5121"/>
      <c r="E157" s="5121"/>
      <c r="F157" s="5121"/>
      <c r="G157" s="5122"/>
      <c r="H157" s="5122"/>
      <c r="I157" s="5122"/>
      <c r="J157" s="5122"/>
      <c r="K157" s="5122"/>
      <c r="L157" s="5122"/>
      <c r="M157" s="5122"/>
      <c r="N157" s="5122"/>
      <c r="O157" s="5122"/>
      <c r="P157" s="5122"/>
      <c r="Q157" s="5634"/>
      <c r="R157" s="5094" t="s">
        <v>1</v>
      </c>
      <c r="S157" s="5120"/>
      <c r="T157" s="5121"/>
      <c r="U157" s="5121"/>
      <c r="V157" s="5121"/>
      <c r="W157" s="5121"/>
      <c r="X157" s="5122"/>
      <c r="Y157" s="5122"/>
      <c r="Z157" s="5122"/>
      <c r="AA157" s="5122"/>
      <c r="AB157" s="5122"/>
      <c r="AC157" s="5122"/>
      <c r="AD157" s="5122"/>
      <c r="AE157" s="5122"/>
      <c r="AF157" s="5122"/>
      <c r="AG157" s="5122"/>
      <c r="AH157" s="5634"/>
      <c r="AI157" s="5094" t="s">
        <v>1</v>
      </c>
      <c r="AJ157" s="5120"/>
      <c r="AK157" s="5121"/>
      <c r="AL157" s="5121"/>
      <c r="AM157" s="5121"/>
      <c r="AN157" s="5121"/>
      <c r="AO157" s="5122"/>
      <c r="AP157" s="5122"/>
      <c r="AQ157" s="5122"/>
      <c r="AR157" s="5122"/>
      <c r="AS157" s="5122"/>
      <c r="AT157" s="5122"/>
      <c r="AU157" s="5122"/>
      <c r="AV157" s="5122"/>
      <c r="AW157" s="5122"/>
      <c r="AX157" s="5122"/>
      <c r="AY157" s="5634"/>
      <c r="AZ157" s="5094" t="s">
        <v>1</v>
      </c>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5">
        <v>1</v>
      </c>
      <c r="CL157" s="1"/>
      <c r="CM157" s="1"/>
    </row>
    <row r="158" spans="1:91" s="187" customFormat="1" ht="21" customHeight="1">
      <c r="A158"/>
      <c r="B158" s="5120"/>
      <c r="C158" s="5121"/>
      <c r="D158" s="5121"/>
      <c r="E158" s="5121"/>
      <c r="F158" s="5121"/>
      <c r="G158" s="5122"/>
      <c r="H158" s="5122"/>
      <c r="I158" s="5122"/>
      <c r="J158" s="5122"/>
      <c r="K158" s="5122"/>
      <c r="L158" s="5122"/>
      <c r="M158" s="5122"/>
      <c r="N158" s="5122"/>
      <c r="O158" s="5122"/>
      <c r="P158" s="5122"/>
      <c r="Q158" s="5634"/>
      <c r="R158" s="5094" t="s">
        <v>1</v>
      </c>
      <c r="S158" s="5120"/>
      <c r="T158" s="5121"/>
      <c r="U158" s="5121"/>
      <c r="V158" s="5121"/>
      <c r="W158" s="5121"/>
      <c r="X158" s="5122"/>
      <c r="Y158" s="5122"/>
      <c r="Z158" s="5122"/>
      <c r="AA158" s="5122"/>
      <c r="AB158" s="5122"/>
      <c r="AC158" s="5122"/>
      <c r="AD158" s="5122"/>
      <c r="AE158" s="5122"/>
      <c r="AF158" s="5122"/>
      <c r="AG158" s="5122"/>
      <c r="AH158" s="5634"/>
      <c r="AI158" s="5094" t="s">
        <v>1</v>
      </c>
      <c r="AJ158" s="5120"/>
      <c r="AK158" s="5121"/>
      <c r="AL158" s="5121"/>
      <c r="AM158" s="5121"/>
      <c r="AN158" s="5121"/>
      <c r="AO158" s="5122"/>
      <c r="AP158" s="5122"/>
      <c r="AQ158" s="5122"/>
      <c r="AR158" s="5122"/>
      <c r="AS158" s="5122"/>
      <c r="AT158" s="5122"/>
      <c r="AU158" s="5122"/>
      <c r="AV158" s="5122"/>
      <c r="AW158" s="5122"/>
      <c r="AX158" s="5122"/>
      <c r="AY158" s="5634"/>
      <c r="AZ158" s="5094" t="s">
        <v>1</v>
      </c>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5">
        <v>1</v>
      </c>
      <c r="CL158" s="1"/>
      <c r="CM158" s="1"/>
    </row>
    <row r="159" spans="1:91" s="187" customFormat="1" ht="21" customHeight="1">
      <c r="A159"/>
      <c r="B159" s="5120"/>
      <c r="C159" s="5121"/>
      <c r="D159" s="5121"/>
      <c r="E159" s="5121"/>
      <c r="F159" s="5121"/>
      <c r="G159" s="5122"/>
      <c r="H159" s="5122"/>
      <c r="I159" s="5122"/>
      <c r="J159" s="5122"/>
      <c r="K159" s="5122"/>
      <c r="L159" s="5122"/>
      <c r="M159" s="5122"/>
      <c r="N159" s="5122"/>
      <c r="O159" s="5122"/>
      <c r="P159" s="5122"/>
      <c r="Q159" s="5634"/>
      <c r="R159" s="5094" t="s">
        <v>1</v>
      </c>
      <c r="S159" s="5120"/>
      <c r="T159" s="5121"/>
      <c r="U159" s="5121"/>
      <c r="V159" s="5121"/>
      <c r="W159" s="5121"/>
      <c r="X159" s="5122"/>
      <c r="Y159" s="5122"/>
      <c r="Z159" s="5122"/>
      <c r="AA159" s="5122"/>
      <c r="AB159" s="5122"/>
      <c r="AC159" s="5122"/>
      <c r="AD159" s="5122"/>
      <c r="AE159" s="5122"/>
      <c r="AF159" s="5122"/>
      <c r="AG159" s="5122"/>
      <c r="AH159" s="5634"/>
      <c r="AI159" s="5094" t="s">
        <v>1</v>
      </c>
      <c r="AJ159" s="5120"/>
      <c r="AK159" s="5121"/>
      <c r="AL159" s="5121"/>
      <c r="AM159" s="5121"/>
      <c r="AN159" s="5121"/>
      <c r="AO159" s="5122"/>
      <c r="AP159" s="5122"/>
      <c r="AQ159" s="5122"/>
      <c r="AR159" s="5122"/>
      <c r="AS159" s="5122"/>
      <c r="AT159" s="5122"/>
      <c r="AU159" s="5122"/>
      <c r="AV159" s="5122"/>
      <c r="AW159" s="5122"/>
      <c r="AX159" s="5122"/>
      <c r="AY159" s="5634"/>
      <c r="AZ159" s="5094" t="s">
        <v>1</v>
      </c>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5">
        <v>1</v>
      </c>
      <c r="CL159" s="1"/>
      <c r="CM159" s="1"/>
    </row>
    <row r="160" spans="1:91" s="187" customFormat="1" ht="21" customHeight="1">
      <c r="A160"/>
      <c r="B160" s="5120"/>
      <c r="C160" s="5121"/>
      <c r="D160" s="5121"/>
      <c r="E160" s="5121"/>
      <c r="F160" s="5121"/>
      <c r="G160" s="5122"/>
      <c r="H160" s="5122"/>
      <c r="I160" s="5122"/>
      <c r="J160" s="5122"/>
      <c r="K160" s="5122"/>
      <c r="L160" s="5122"/>
      <c r="M160" s="5122"/>
      <c r="N160" s="5122"/>
      <c r="O160" s="5122"/>
      <c r="P160" s="5122"/>
      <c r="Q160" s="5634"/>
      <c r="R160" s="5094" t="s">
        <v>1</v>
      </c>
      <c r="S160" s="5120"/>
      <c r="T160" s="5121"/>
      <c r="U160" s="5121"/>
      <c r="V160" s="5121"/>
      <c r="W160" s="5121"/>
      <c r="X160" s="5122"/>
      <c r="Y160" s="5122"/>
      <c r="Z160" s="5122"/>
      <c r="AA160" s="5122"/>
      <c r="AB160" s="5122"/>
      <c r="AC160" s="5122"/>
      <c r="AD160" s="5122"/>
      <c r="AE160" s="5122"/>
      <c r="AF160" s="5122"/>
      <c r="AG160" s="5122"/>
      <c r="AH160" s="5634"/>
      <c r="AI160" s="5094" t="s">
        <v>1</v>
      </c>
      <c r="AJ160" s="5120"/>
      <c r="AK160" s="5121"/>
      <c r="AL160" s="5121"/>
      <c r="AM160" s="5121"/>
      <c r="AN160" s="5121"/>
      <c r="AO160" s="5122"/>
      <c r="AP160" s="5122"/>
      <c r="AQ160" s="5122"/>
      <c r="AR160" s="5122"/>
      <c r="AS160" s="5122"/>
      <c r="AT160" s="5122"/>
      <c r="AU160" s="5122"/>
      <c r="AV160" s="5122"/>
      <c r="AW160" s="5122"/>
      <c r="AX160" s="5122"/>
      <c r="AY160" s="5634"/>
      <c r="AZ160" s="5094" t="s">
        <v>1</v>
      </c>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5">
        <v>1</v>
      </c>
      <c r="CL160" s="1"/>
      <c r="CM160" s="1"/>
    </row>
    <row r="161" spans="1:91" s="187" customFormat="1" ht="21" customHeight="1">
      <c r="A161"/>
      <c r="B161" s="5120"/>
      <c r="C161" s="5121"/>
      <c r="D161" s="5121"/>
      <c r="E161" s="5121"/>
      <c r="F161" s="5121"/>
      <c r="G161" s="5122"/>
      <c r="H161" s="5122"/>
      <c r="I161" s="5122"/>
      <c r="J161" s="5122"/>
      <c r="K161" s="5122"/>
      <c r="L161" s="5122"/>
      <c r="M161" s="5122"/>
      <c r="N161" s="5122"/>
      <c r="O161" s="5122"/>
      <c r="P161" s="5122"/>
      <c r="Q161" s="5634"/>
      <c r="R161" s="5094" t="s">
        <v>1</v>
      </c>
      <c r="S161" s="5120"/>
      <c r="T161" s="5121"/>
      <c r="U161" s="5121"/>
      <c r="V161" s="5121"/>
      <c r="W161" s="5121"/>
      <c r="X161" s="5122"/>
      <c r="Y161" s="5122"/>
      <c r="Z161" s="5122"/>
      <c r="AA161" s="5122"/>
      <c r="AB161" s="5122"/>
      <c r="AC161" s="5122"/>
      <c r="AD161" s="5122"/>
      <c r="AE161" s="5122"/>
      <c r="AF161" s="5122"/>
      <c r="AG161" s="5122"/>
      <c r="AH161" s="5634"/>
      <c r="AI161" s="5094" t="s">
        <v>1</v>
      </c>
      <c r="AJ161" s="5120"/>
      <c r="AK161" s="5121"/>
      <c r="AL161" s="5121"/>
      <c r="AM161" s="5121"/>
      <c r="AN161" s="5121"/>
      <c r="AO161" s="5122"/>
      <c r="AP161" s="5122"/>
      <c r="AQ161" s="5122"/>
      <c r="AR161" s="5122"/>
      <c r="AS161" s="5122"/>
      <c r="AT161" s="5122"/>
      <c r="AU161" s="5122"/>
      <c r="AV161" s="5122"/>
      <c r="AW161" s="5122"/>
      <c r="AX161" s="5122"/>
      <c r="AY161" s="5634"/>
      <c r="AZ161" s="5094" t="s">
        <v>1</v>
      </c>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5">
        <v>1</v>
      </c>
      <c r="CL161" s="1"/>
      <c r="CM161" s="1"/>
    </row>
    <row r="162" spans="1:91" s="187" customFormat="1" ht="21" customHeight="1">
      <c r="A162"/>
      <c r="B162" s="5120"/>
      <c r="C162" s="5121"/>
      <c r="D162" s="5121"/>
      <c r="E162" s="5121"/>
      <c r="F162" s="5121"/>
      <c r="G162" s="5122"/>
      <c r="H162" s="5122"/>
      <c r="I162" s="5122"/>
      <c r="J162" s="5122"/>
      <c r="K162" s="5122"/>
      <c r="L162" s="5122"/>
      <c r="M162" s="5122"/>
      <c r="N162" s="5122"/>
      <c r="O162" s="5122"/>
      <c r="P162" s="5122"/>
      <c r="Q162" s="5634"/>
      <c r="R162" s="5094" t="s">
        <v>1</v>
      </c>
      <c r="S162" s="5120"/>
      <c r="T162" s="5121"/>
      <c r="U162" s="5121"/>
      <c r="V162" s="5121"/>
      <c r="W162" s="5121"/>
      <c r="X162" s="5122"/>
      <c r="Y162" s="5122"/>
      <c r="Z162" s="5122"/>
      <c r="AA162" s="5122"/>
      <c r="AB162" s="5122"/>
      <c r="AC162" s="5122"/>
      <c r="AD162" s="5122"/>
      <c r="AE162" s="5122"/>
      <c r="AF162" s="5122"/>
      <c r="AG162" s="5122"/>
      <c r="AH162" s="5634"/>
      <c r="AI162" s="5094" t="s">
        <v>1</v>
      </c>
      <c r="AJ162" s="5120"/>
      <c r="AK162" s="5121"/>
      <c r="AL162" s="5121"/>
      <c r="AM162" s="5121"/>
      <c r="AN162" s="5121"/>
      <c r="AO162" s="5122"/>
      <c r="AP162" s="5122"/>
      <c r="AQ162" s="5122"/>
      <c r="AR162" s="5122"/>
      <c r="AS162" s="5122"/>
      <c r="AT162" s="5122"/>
      <c r="AU162" s="5122"/>
      <c r="AV162" s="5122"/>
      <c r="AW162" s="5122"/>
      <c r="AX162" s="5122"/>
      <c r="AY162" s="5634"/>
      <c r="AZ162" s="5094" t="s">
        <v>1</v>
      </c>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5">
        <v>1</v>
      </c>
      <c r="CL162" s="1"/>
      <c r="CM162" s="1"/>
    </row>
    <row r="163" spans="1:91" s="187" customFormat="1" ht="21" customHeight="1">
      <c r="A163"/>
      <c r="B163" s="5120"/>
      <c r="C163" s="5121"/>
      <c r="D163" s="5121"/>
      <c r="E163" s="5121"/>
      <c r="F163" s="5121"/>
      <c r="G163" s="5122"/>
      <c r="H163" s="5122"/>
      <c r="I163" s="5122"/>
      <c r="J163" s="5122"/>
      <c r="K163" s="5122"/>
      <c r="L163" s="5122"/>
      <c r="M163" s="5122"/>
      <c r="N163" s="5122"/>
      <c r="O163" s="5122"/>
      <c r="P163" s="5122"/>
      <c r="Q163" s="5634"/>
      <c r="R163" s="5094" t="s">
        <v>1</v>
      </c>
      <c r="S163" s="5120"/>
      <c r="T163" s="5121"/>
      <c r="U163" s="5121"/>
      <c r="V163" s="5121"/>
      <c r="W163" s="5121"/>
      <c r="X163" s="5122"/>
      <c r="Y163" s="5122"/>
      <c r="Z163" s="5122"/>
      <c r="AA163" s="5122"/>
      <c r="AB163" s="5122"/>
      <c r="AC163" s="5122"/>
      <c r="AD163" s="5122"/>
      <c r="AE163" s="5122"/>
      <c r="AF163" s="5122"/>
      <c r="AG163" s="5122"/>
      <c r="AH163" s="5634"/>
      <c r="AI163" s="5094" t="s">
        <v>1</v>
      </c>
      <c r="AJ163" s="5120"/>
      <c r="AK163" s="5121"/>
      <c r="AL163" s="5121"/>
      <c r="AM163" s="5121"/>
      <c r="AN163" s="5121"/>
      <c r="AO163" s="5122"/>
      <c r="AP163" s="5122"/>
      <c r="AQ163" s="5122"/>
      <c r="AR163" s="5122"/>
      <c r="AS163" s="5122"/>
      <c r="AT163" s="5122"/>
      <c r="AU163" s="5122"/>
      <c r="AV163" s="5122"/>
      <c r="AW163" s="5122"/>
      <c r="AX163" s="5122"/>
      <c r="AY163" s="5634"/>
      <c r="AZ163" s="5094" t="s">
        <v>1</v>
      </c>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5">
        <v>1</v>
      </c>
      <c r="CL163" s="1"/>
      <c r="CM163" s="1"/>
    </row>
    <row r="164" spans="1:91" s="187" customFormat="1" ht="21" customHeight="1">
      <c r="A164"/>
      <c r="B164" s="5120"/>
      <c r="C164" s="5121"/>
      <c r="D164" s="5121"/>
      <c r="E164" s="5121"/>
      <c r="F164" s="5121"/>
      <c r="G164" s="5122"/>
      <c r="H164" s="5122"/>
      <c r="I164" s="5122"/>
      <c r="J164" s="5122"/>
      <c r="K164" s="5122"/>
      <c r="L164" s="5122"/>
      <c r="M164" s="5122"/>
      <c r="N164" s="5122"/>
      <c r="O164" s="5122"/>
      <c r="P164" s="5122"/>
      <c r="Q164" s="5634"/>
      <c r="R164" s="5094" t="s">
        <v>1</v>
      </c>
      <c r="S164" s="5120"/>
      <c r="T164" s="5121"/>
      <c r="U164" s="5121"/>
      <c r="V164" s="5121"/>
      <c r="W164" s="5121"/>
      <c r="X164" s="5122"/>
      <c r="Y164" s="5122"/>
      <c r="Z164" s="5122"/>
      <c r="AA164" s="5122"/>
      <c r="AB164" s="5122"/>
      <c r="AC164" s="5122"/>
      <c r="AD164" s="5122"/>
      <c r="AE164" s="5122"/>
      <c r="AF164" s="5122"/>
      <c r="AG164" s="5122"/>
      <c r="AH164" s="5634"/>
      <c r="AI164" s="5094" t="s">
        <v>1</v>
      </c>
      <c r="AJ164" s="5120"/>
      <c r="AK164" s="5121"/>
      <c r="AL164" s="5121"/>
      <c r="AM164" s="5121"/>
      <c r="AN164" s="5121"/>
      <c r="AO164" s="5122"/>
      <c r="AP164" s="5122"/>
      <c r="AQ164" s="5122"/>
      <c r="AR164" s="5122"/>
      <c r="AS164" s="5122"/>
      <c r="AT164" s="5122"/>
      <c r="AU164" s="5122"/>
      <c r="AV164" s="5122"/>
      <c r="AW164" s="5122"/>
      <c r="AX164" s="5122"/>
      <c r="AY164" s="5634"/>
      <c r="AZ164" s="5094" t="s">
        <v>1</v>
      </c>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5">
        <v>1</v>
      </c>
      <c r="CL164" s="1"/>
      <c r="CM164" s="1"/>
    </row>
    <row r="165" spans="1:91" s="187" customFormat="1" ht="21" customHeight="1">
      <c r="A165"/>
      <c r="B165" s="5120"/>
      <c r="C165" s="5121"/>
      <c r="D165" s="5121"/>
      <c r="E165" s="5121"/>
      <c r="F165" s="5121"/>
      <c r="G165" s="5122"/>
      <c r="H165" s="5122"/>
      <c r="I165" s="5122"/>
      <c r="J165" s="5122"/>
      <c r="K165" s="5122"/>
      <c r="L165" s="5122"/>
      <c r="M165" s="5122"/>
      <c r="N165" s="5122"/>
      <c r="O165" s="5122"/>
      <c r="P165" s="5122"/>
      <c r="Q165" s="5634"/>
      <c r="R165" s="5094" t="s">
        <v>1</v>
      </c>
      <c r="S165" s="5120"/>
      <c r="T165" s="5121"/>
      <c r="U165" s="5121"/>
      <c r="V165" s="5121"/>
      <c r="W165" s="5121"/>
      <c r="X165" s="5122"/>
      <c r="Y165" s="5122"/>
      <c r="Z165" s="5122"/>
      <c r="AA165" s="5122"/>
      <c r="AB165" s="5122"/>
      <c r="AC165" s="5122"/>
      <c r="AD165" s="5122"/>
      <c r="AE165" s="5122"/>
      <c r="AF165" s="5122"/>
      <c r="AG165" s="5122"/>
      <c r="AH165" s="5634"/>
      <c r="AI165" s="5094" t="s">
        <v>1</v>
      </c>
      <c r="AJ165" s="5120"/>
      <c r="AK165" s="5121"/>
      <c r="AL165" s="5121"/>
      <c r="AM165" s="5121"/>
      <c r="AN165" s="5121"/>
      <c r="AO165" s="5122"/>
      <c r="AP165" s="5122"/>
      <c r="AQ165" s="5122"/>
      <c r="AR165" s="5122"/>
      <c r="AS165" s="5122"/>
      <c r="AT165" s="5122"/>
      <c r="AU165" s="5122"/>
      <c r="AV165" s="5122"/>
      <c r="AW165" s="5122"/>
      <c r="AX165" s="5122"/>
      <c r="AY165" s="5634"/>
      <c r="AZ165" s="5094" t="s">
        <v>1</v>
      </c>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5">
        <v>1</v>
      </c>
      <c r="CL165" s="1"/>
      <c r="CM165" s="1"/>
    </row>
    <row r="166" spans="1:91" s="187" customFormat="1" ht="21" customHeight="1">
      <c r="A166"/>
      <c r="B166" s="5120"/>
      <c r="C166" s="5121"/>
      <c r="D166" s="5121"/>
      <c r="E166" s="5121"/>
      <c r="F166" s="5121"/>
      <c r="G166" s="5122"/>
      <c r="H166" s="5122"/>
      <c r="I166" s="5122"/>
      <c r="J166" s="5122"/>
      <c r="K166" s="5122"/>
      <c r="L166" s="5122"/>
      <c r="M166" s="5122"/>
      <c r="N166" s="5122"/>
      <c r="O166" s="5122"/>
      <c r="P166" s="5122"/>
      <c r="Q166" s="5634"/>
      <c r="R166" s="5094" t="s">
        <v>1</v>
      </c>
      <c r="S166" s="5120"/>
      <c r="T166" s="5121"/>
      <c r="U166" s="5121"/>
      <c r="V166" s="5121"/>
      <c r="W166" s="5121"/>
      <c r="X166" s="5122"/>
      <c r="Y166" s="5122"/>
      <c r="Z166" s="5122"/>
      <c r="AA166" s="5122"/>
      <c r="AB166" s="5122"/>
      <c r="AC166" s="5122"/>
      <c r="AD166" s="5122"/>
      <c r="AE166" s="5122"/>
      <c r="AF166" s="5122"/>
      <c r="AG166" s="5122"/>
      <c r="AH166" s="5634"/>
      <c r="AI166" s="5094" t="s">
        <v>1</v>
      </c>
      <c r="AJ166" s="5120"/>
      <c r="AK166" s="5121"/>
      <c r="AL166" s="5121"/>
      <c r="AM166" s="5121"/>
      <c r="AN166" s="5121"/>
      <c r="AO166" s="5122"/>
      <c r="AP166" s="5122"/>
      <c r="AQ166" s="5122"/>
      <c r="AR166" s="5122"/>
      <c r="AS166" s="5122"/>
      <c r="AT166" s="5122"/>
      <c r="AU166" s="5122"/>
      <c r="AV166" s="5122"/>
      <c r="AW166" s="5122"/>
      <c r="AX166" s="5122"/>
      <c r="AY166" s="5634"/>
      <c r="AZ166" s="5094" t="s">
        <v>1</v>
      </c>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5">
        <v>1</v>
      </c>
      <c r="CL166" s="1"/>
      <c r="CM166" s="1"/>
    </row>
    <row r="167" spans="1:91" s="187" customFormat="1" ht="21" customHeight="1">
      <c r="A167"/>
      <c r="B167" s="5120"/>
      <c r="C167" s="5121"/>
      <c r="D167" s="5121"/>
      <c r="E167" s="5121"/>
      <c r="F167" s="5121"/>
      <c r="G167" s="5122"/>
      <c r="H167" s="5122"/>
      <c r="I167" s="5122"/>
      <c r="J167" s="5122"/>
      <c r="K167" s="5122"/>
      <c r="L167" s="5122"/>
      <c r="M167" s="5122"/>
      <c r="N167" s="5122"/>
      <c r="O167" s="5122"/>
      <c r="P167" s="5122"/>
      <c r="Q167" s="5634"/>
      <c r="R167" s="5094" t="s">
        <v>1</v>
      </c>
      <c r="S167" s="5120"/>
      <c r="T167" s="5121"/>
      <c r="U167" s="5121"/>
      <c r="V167" s="5121"/>
      <c r="W167" s="5121"/>
      <c r="X167" s="5122"/>
      <c r="Y167" s="5122"/>
      <c r="Z167" s="5122"/>
      <c r="AA167" s="5122"/>
      <c r="AB167" s="5122"/>
      <c r="AC167" s="5122"/>
      <c r="AD167" s="5122"/>
      <c r="AE167" s="5122"/>
      <c r="AF167" s="5122"/>
      <c r="AG167" s="5122"/>
      <c r="AH167" s="5634"/>
      <c r="AI167" s="5094" t="s">
        <v>1</v>
      </c>
      <c r="AJ167" s="5120"/>
      <c r="AK167" s="5121"/>
      <c r="AL167" s="5121"/>
      <c r="AM167" s="5121"/>
      <c r="AN167" s="5121"/>
      <c r="AO167" s="5122"/>
      <c r="AP167" s="5122"/>
      <c r="AQ167" s="5122"/>
      <c r="AR167" s="5122"/>
      <c r="AS167" s="5122"/>
      <c r="AT167" s="5122"/>
      <c r="AU167" s="5122"/>
      <c r="AV167" s="5122"/>
      <c r="AW167" s="5122"/>
      <c r="AX167" s="5122"/>
      <c r="AY167" s="5634"/>
      <c r="AZ167" s="5094" t="s">
        <v>1</v>
      </c>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5">
        <v>1</v>
      </c>
      <c r="CL167" s="1"/>
      <c r="CM167" s="1"/>
    </row>
    <row r="168" spans="1:91" s="187" customFormat="1" ht="21" customHeight="1">
      <c r="A168"/>
      <c r="B168" s="5120"/>
      <c r="C168" s="5121"/>
      <c r="D168" s="5121"/>
      <c r="E168" s="5121"/>
      <c r="F168" s="5121"/>
      <c r="G168" s="5122"/>
      <c r="H168" s="5122"/>
      <c r="I168" s="5122"/>
      <c r="J168" s="5122"/>
      <c r="K168" s="5122"/>
      <c r="L168" s="5122"/>
      <c r="M168" s="5122"/>
      <c r="N168" s="5122"/>
      <c r="O168" s="5122"/>
      <c r="P168" s="5122"/>
      <c r="Q168" s="5634"/>
      <c r="R168" s="5094" t="s">
        <v>1</v>
      </c>
      <c r="S168" s="5120"/>
      <c r="T168" s="5121"/>
      <c r="U168" s="5121"/>
      <c r="V168" s="5121"/>
      <c r="W168" s="5121"/>
      <c r="X168" s="5122"/>
      <c r="Y168" s="5122"/>
      <c r="Z168" s="5122"/>
      <c r="AA168" s="5122"/>
      <c r="AB168" s="5122"/>
      <c r="AC168" s="5122"/>
      <c r="AD168" s="5122"/>
      <c r="AE168" s="5122"/>
      <c r="AF168" s="5122"/>
      <c r="AG168" s="5122"/>
      <c r="AH168" s="5634"/>
      <c r="AI168" s="5094" t="s">
        <v>1</v>
      </c>
      <c r="AJ168" s="5120"/>
      <c r="AK168" s="5121"/>
      <c r="AL168" s="5121"/>
      <c r="AM168" s="5121"/>
      <c r="AN168" s="5121"/>
      <c r="AO168" s="5122"/>
      <c r="AP168" s="5122"/>
      <c r="AQ168" s="5122"/>
      <c r="AR168" s="5122"/>
      <c r="AS168" s="5122"/>
      <c r="AT168" s="5122"/>
      <c r="AU168" s="5122"/>
      <c r="AV168" s="5122"/>
      <c r="AW168" s="5122"/>
      <c r="AX168" s="5122"/>
      <c r="AY168" s="5634"/>
      <c r="AZ168" s="5094" t="s">
        <v>1</v>
      </c>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5">
        <v>1</v>
      </c>
      <c r="CL168" s="1"/>
      <c r="CM168" s="1"/>
    </row>
    <row r="169" spans="1:91" s="187" customFormat="1" ht="21" customHeight="1">
      <c r="A169"/>
      <c r="B169" s="5120"/>
      <c r="C169" s="5121"/>
      <c r="D169" s="5121"/>
      <c r="E169" s="5121"/>
      <c r="F169" s="5121"/>
      <c r="G169" s="5122"/>
      <c r="H169" s="5122"/>
      <c r="I169" s="5122"/>
      <c r="J169" s="5122"/>
      <c r="K169" s="5122"/>
      <c r="L169" s="5122"/>
      <c r="M169" s="5122"/>
      <c r="N169" s="5122"/>
      <c r="O169" s="5122"/>
      <c r="P169" s="5122"/>
      <c r="Q169" s="5634"/>
      <c r="R169" s="5094" t="s">
        <v>1</v>
      </c>
      <c r="S169" s="5120"/>
      <c r="T169" s="5121"/>
      <c r="U169" s="5121"/>
      <c r="V169" s="5121"/>
      <c r="W169" s="5121"/>
      <c r="X169" s="5122"/>
      <c r="Y169" s="5122"/>
      <c r="Z169" s="5122"/>
      <c r="AA169" s="5122"/>
      <c r="AB169" s="5122"/>
      <c r="AC169" s="5122"/>
      <c r="AD169" s="5122"/>
      <c r="AE169" s="5122"/>
      <c r="AF169" s="5122"/>
      <c r="AG169" s="5122"/>
      <c r="AH169" s="5634"/>
      <c r="AI169" s="5094" t="s">
        <v>1</v>
      </c>
      <c r="AJ169" s="5120"/>
      <c r="AK169" s="5121"/>
      <c r="AL169" s="5121"/>
      <c r="AM169" s="5121"/>
      <c r="AN169" s="5121"/>
      <c r="AO169" s="5122"/>
      <c r="AP169" s="5122"/>
      <c r="AQ169" s="5122"/>
      <c r="AR169" s="5122"/>
      <c r="AS169" s="5122"/>
      <c r="AT169" s="5122"/>
      <c r="AU169" s="5122"/>
      <c r="AV169" s="5122"/>
      <c r="AW169" s="5122"/>
      <c r="AX169" s="5122"/>
      <c r="AY169" s="5634"/>
      <c r="AZ169" s="5094" t="s">
        <v>1</v>
      </c>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5">
        <v>1</v>
      </c>
      <c r="CL169" s="1"/>
      <c r="CM169" s="1"/>
    </row>
    <row r="170" spans="1:91" s="187" customFormat="1" ht="21" customHeight="1">
      <c r="A170"/>
      <c r="B170" s="5120"/>
      <c r="C170" s="5121"/>
      <c r="D170" s="5121"/>
      <c r="E170" s="5121"/>
      <c r="F170" s="5121"/>
      <c r="G170" s="5122"/>
      <c r="H170" s="5122"/>
      <c r="I170" s="5122"/>
      <c r="J170" s="5122"/>
      <c r="K170" s="5122"/>
      <c r="L170" s="5122"/>
      <c r="M170" s="5122"/>
      <c r="N170" s="5122"/>
      <c r="O170" s="5122"/>
      <c r="P170" s="5122"/>
      <c r="Q170" s="5634"/>
      <c r="R170" s="5094" t="s">
        <v>1</v>
      </c>
      <c r="S170" s="5120"/>
      <c r="T170" s="5121"/>
      <c r="U170" s="5121"/>
      <c r="V170" s="5121"/>
      <c r="W170" s="5121"/>
      <c r="X170" s="5122"/>
      <c r="Y170" s="5122"/>
      <c r="Z170" s="5122"/>
      <c r="AA170" s="5122"/>
      <c r="AB170" s="5122"/>
      <c r="AC170" s="5122"/>
      <c r="AD170" s="5122"/>
      <c r="AE170" s="5122"/>
      <c r="AF170" s="5122"/>
      <c r="AG170" s="5122"/>
      <c r="AH170" s="5634"/>
      <c r="AI170" s="5094" t="s">
        <v>1</v>
      </c>
      <c r="AJ170" s="5120"/>
      <c r="AK170" s="5121"/>
      <c r="AL170" s="5121"/>
      <c r="AM170" s="5121"/>
      <c r="AN170" s="5121"/>
      <c r="AO170" s="5122"/>
      <c r="AP170" s="5122"/>
      <c r="AQ170" s="5122"/>
      <c r="AR170" s="5122"/>
      <c r="AS170" s="5122"/>
      <c r="AT170" s="5122"/>
      <c r="AU170" s="5122"/>
      <c r="AV170" s="5122"/>
      <c r="AW170" s="5122"/>
      <c r="AX170" s="5122"/>
      <c r="AY170" s="5634"/>
      <c r="AZ170" s="5094" t="s">
        <v>1</v>
      </c>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5">
        <v>1</v>
      </c>
    </row>
    <row r="171" spans="1:91" s="187" customFormat="1" ht="21" customHeight="1">
      <c r="A171"/>
      <c r="B171" s="5120"/>
      <c r="C171" s="5121"/>
      <c r="D171" s="5121"/>
      <c r="E171" s="5121"/>
      <c r="F171" s="5121"/>
      <c r="G171" s="5122"/>
      <c r="H171" s="5122"/>
      <c r="I171" s="5122"/>
      <c r="J171" s="5122"/>
      <c r="K171" s="5122"/>
      <c r="L171" s="5122"/>
      <c r="M171" s="5122"/>
      <c r="N171" s="5122"/>
      <c r="O171" s="5122"/>
      <c r="P171" s="5122"/>
      <c r="Q171" s="5634"/>
      <c r="R171" s="5094" t="s">
        <v>1</v>
      </c>
      <c r="S171" s="5120"/>
      <c r="T171" s="5121"/>
      <c r="U171" s="5121"/>
      <c r="V171" s="5121"/>
      <c r="W171" s="5121"/>
      <c r="X171" s="5122"/>
      <c r="Y171" s="5122"/>
      <c r="Z171" s="5122"/>
      <c r="AA171" s="5122"/>
      <c r="AB171" s="5122"/>
      <c r="AC171" s="5122"/>
      <c r="AD171" s="5122"/>
      <c r="AE171" s="5122"/>
      <c r="AF171" s="5122"/>
      <c r="AG171" s="5122"/>
      <c r="AH171" s="5634"/>
      <c r="AI171" s="5094" t="s">
        <v>1</v>
      </c>
      <c r="AJ171" s="5120"/>
      <c r="AK171" s="5121"/>
      <c r="AL171" s="5121"/>
      <c r="AM171" s="5121"/>
      <c r="AN171" s="5121"/>
      <c r="AO171" s="5122"/>
      <c r="AP171" s="5122"/>
      <c r="AQ171" s="5122"/>
      <c r="AR171" s="5122"/>
      <c r="AS171" s="5122"/>
      <c r="AT171" s="5122"/>
      <c r="AU171" s="5122"/>
      <c r="AV171" s="5122"/>
      <c r="AW171" s="5122"/>
      <c r="AX171" s="5122"/>
      <c r="AY171" s="5634"/>
      <c r="AZ171" s="5094" t="s">
        <v>1</v>
      </c>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5">
        <v>1</v>
      </c>
      <c r="CL171" s="1"/>
      <c r="CM171" s="1"/>
    </row>
    <row r="172" spans="1:91" s="187" customFormat="1" ht="21" customHeight="1">
      <c r="A172"/>
      <c r="B172" s="5120"/>
      <c r="C172" s="5121"/>
      <c r="D172" s="5121"/>
      <c r="E172" s="5121"/>
      <c r="F172" s="5121"/>
      <c r="G172" s="5122"/>
      <c r="H172" s="5122"/>
      <c r="I172" s="5122"/>
      <c r="J172" s="5122"/>
      <c r="K172" s="5122"/>
      <c r="L172" s="5122"/>
      <c r="M172" s="5122"/>
      <c r="N172" s="5122"/>
      <c r="O172" s="5122"/>
      <c r="P172" s="5122"/>
      <c r="Q172" s="5634"/>
      <c r="R172" s="5094" t="s">
        <v>1</v>
      </c>
      <c r="S172" s="5120"/>
      <c r="T172" s="5121"/>
      <c r="U172" s="5121"/>
      <c r="V172" s="5121"/>
      <c r="W172" s="5121"/>
      <c r="X172" s="5122"/>
      <c r="Y172" s="5122"/>
      <c r="Z172" s="5122"/>
      <c r="AA172" s="5122"/>
      <c r="AB172" s="5122"/>
      <c r="AC172" s="5122"/>
      <c r="AD172" s="5122"/>
      <c r="AE172" s="5122"/>
      <c r="AF172" s="5122"/>
      <c r="AG172" s="5122"/>
      <c r="AH172" s="5634"/>
      <c r="AI172" s="5094" t="s">
        <v>1</v>
      </c>
      <c r="AJ172" s="5120"/>
      <c r="AK172" s="5121"/>
      <c r="AL172" s="5121"/>
      <c r="AM172" s="5121"/>
      <c r="AN172" s="5121"/>
      <c r="AO172" s="5122"/>
      <c r="AP172" s="5122"/>
      <c r="AQ172" s="5122"/>
      <c r="AR172" s="5122"/>
      <c r="AS172" s="5122"/>
      <c r="AT172" s="5122"/>
      <c r="AU172" s="5122"/>
      <c r="AV172" s="5122"/>
      <c r="AW172" s="5122"/>
      <c r="AX172" s="5122"/>
      <c r="AY172" s="5634"/>
      <c r="AZ172" s="5094" t="s">
        <v>1</v>
      </c>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5">
        <v>1</v>
      </c>
      <c r="CL172" s="1"/>
      <c r="CM172" s="1"/>
    </row>
    <row r="173" spans="1:91" s="187" customFormat="1" ht="21" customHeight="1">
      <c r="A173"/>
      <c r="B173" s="5120"/>
      <c r="C173" s="5121"/>
      <c r="D173" s="5121"/>
      <c r="E173" s="5121"/>
      <c r="F173" s="5121"/>
      <c r="G173" s="5122"/>
      <c r="H173" s="5122"/>
      <c r="I173" s="5122"/>
      <c r="J173" s="5122"/>
      <c r="K173" s="5122"/>
      <c r="L173" s="5122"/>
      <c r="M173" s="5122"/>
      <c r="N173" s="5122"/>
      <c r="O173" s="5122"/>
      <c r="P173" s="5122"/>
      <c r="Q173" s="5634"/>
      <c r="R173" s="5094" t="s">
        <v>1</v>
      </c>
      <c r="S173" s="5120"/>
      <c r="T173" s="5121"/>
      <c r="U173" s="5121"/>
      <c r="V173" s="5121"/>
      <c r="W173" s="5121"/>
      <c r="X173" s="5122"/>
      <c r="Y173" s="5122"/>
      <c r="Z173" s="5122"/>
      <c r="AA173" s="5122"/>
      <c r="AB173" s="5122"/>
      <c r="AC173" s="5122"/>
      <c r="AD173" s="5122"/>
      <c r="AE173" s="5122"/>
      <c r="AF173" s="5122"/>
      <c r="AG173" s="5122"/>
      <c r="AH173" s="5634"/>
      <c r="AI173" s="5094" t="s">
        <v>1</v>
      </c>
      <c r="AJ173" s="5120"/>
      <c r="AK173" s="5121"/>
      <c r="AL173" s="5121"/>
      <c r="AM173" s="5121"/>
      <c r="AN173" s="5121"/>
      <c r="AO173" s="5122"/>
      <c r="AP173" s="5122"/>
      <c r="AQ173" s="5122"/>
      <c r="AR173" s="5122"/>
      <c r="AS173" s="5122"/>
      <c r="AT173" s="5122"/>
      <c r="AU173" s="5122"/>
      <c r="AV173" s="5122"/>
      <c r="AW173" s="5122"/>
      <c r="AX173" s="5122"/>
      <c r="AY173" s="5634"/>
      <c r="AZ173" s="5094" t="s">
        <v>1</v>
      </c>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5">
        <v>1</v>
      </c>
      <c r="CL173" s="1"/>
      <c r="CM173" s="1"/>
    </row>
    <row r="174" spans="1:91" s="187" customFormat="1" ht="21" customHeight="1">
      <c r="A174"/>
      <c r="B174" s="5120"/>
      <c r="C174" s="5121"/>
      <c r="D174" s="5121"/>
      <c r="E174" s="5121"/>
      <c r="F174" s="5121"/>
      <c r="G174" s="5122"/>
      <c r="H174" s="5122"/>
      <c r="I174" s="5122"/>
      <c r="J174" s="5122"/>
      <c r="K174" s="5122"/>
      <c r="L174" s="5122"/>
      <c r="M174" s="5122"/>
      <c r="N174" s="5122"/>
      <c r="O174" s="5122"/>
      <c r="P174" s="5122"/>
      <c r="Q174" s="5634"/>
      <c r="R174" s="5094" t="s">
        <v>1</v>
      </c>
      <c r="S174" s="5120"/>
      <c r="T174" s="5121"/>
      <c r="U174" s="5121"/>
      <c r="V174" s="5121"/>
      <c r="W174" s="5121"/>
      <c r="X174" s="5122"/>
      <c r="Y174" s="5122"/>
      <c r="Z174" s="5122"/>
      <c r="AA174" s="5122"/>
      <c r="AB174" s="5122"/>
      <c r="AC174" s="5122"/>
      <c r="AD174" s="5122"/>
      <c r="AE174" s="5122"/>
      <c r="AF174" s="5122"/>
      <c r="AG174" s="5122"/>
      <c r="AH174" s="5634"/>
      <c r="AI174" s="5094" t="s">
        <v>1</v>
      </c>
      <c r="AJ174" s="5120"/>
      <c r="AK174" s="5121"/>
      <c r="AL174" s="5121"/>
      <c r="AM174" s="5121"/>
      <c r="AN174" s="5121"/>
      <c r="AO174" s="5122"/>
      <c r="AP174" s="5122"/>
      <c r="AQ174" s="5122"/>
      <c r="AR174" s="5122"/>
      <c r="AS174" s="5122"/>
      <c r="AT174" s="5122"/>
      <c r="AU174" s="5122"/>
      <c r="AV174" s="5122"/>
      <c r="AW174" s="5122"/>
      <c r="AX174" s="5122"/>
      <c r="AY174" s="5634"/>
      <c r="AZ174" s="5094" t="s">
        <v>1</v>
      </c>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5">
        <v>1</v>
      </c>
      <c r="CL174" s="1"/>
      <c r="CM174" s="1"/>
    </row>
    <row r="175" spans="1:91" s="187" customFormat="1" ht="21" customHeight="1">
      <c r="A175"/>
      <c r="B175" s="5120"/>
      <c r="C175" s="5121"/>
      <c r="D175" s="5121"/>
      <c r="E175" s="5121"/>
      <c r="F175" s="5121"/>
      <c r="G175" s="5122"/>
      <c r="H175" s="5122"/>
      <c r="I175" s="5122"/>
      <c r="J175" s="5122"/>
      <c r="K175" s="5122"/>
      <c r="L175" s="5122"/>
      <c r="M175" s="5122"/>
      <c r="N175" s="5122"/>
      <c r="O175" s="5122"/>
      <c r="P175" s="5122"/>
      <c r="Q175" s="5634"/>
      <c r="R175" s="5094" t="s">
        <v>1</v>
      </c>
      <c r="S175" s="5120"/>
      <c r="T175" s="5121"/>
      <c r="U175" s="5121"/>
      <c r="V175" s="5121"/>
      <c r="W175" s="5121"/>
      <c r="X175" s="5122"/>
      <c r="Y175" s="5122"/>
      <c r="Z175" s="5122"/>
      <c r="AA175" s="5122"/>
      <c r="AB175" s="5122"/>
      <c r="AC175" s="5122"/>
      <c r="AD175" s="5122"/>
      <c r="AE175" s="5122"/>
      <c r="AF175" s="5122"/>
      <c r="AG175" s="5122"/>
      <c r="AH175" s="5634"/>
      <c r="AI175" s="5094" t="s">
        <v>1</v>
      </c>
      <c r="AJ175" s="5120"/>
      <c r="AK175" s="5121"/>
      <c r="AL175" s="5121"/>
      <c r="AM175" s="5121"/>
      <c r="AN175" s="5121"/>
      <c r="AO175" s="5122"/>
      <c r="AP175" s="5122"/>
      <c r="AQ175" s="5122"/>
      <c r="AR175" s="5122"/>
      <c r="AS175" s="5122"/>
      <c r="AT175" s="5122"/>
      <c r="AU175" s="5122"/>
      <c r="AV175" s="5122"/>
      <c r="AW175" s="5122"/>
      <c r="AX175" s="5122"/>
      <c r="AY175" s="5634"/>
      <c r="AZ175" s="5094" t="s">
        <v>1</v>
      </c>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5">
        <v>1</v>
      </c>
      <c r="CL175" s="1"/>
      <c r="CM175" s="1"/>
    </row>
    <row r="176" spans="1:91" s="187" customFormat="1" ht="21" customHeight="1">
      <c r="A176"/>
      <c r="B176" s="5120"/>
      <c r="C176" s="5121"/>
      <c r="D176" s="5121"/>
      <c r="E176" s="5121"/>
      <c r="F176" s="5121"/>
      <c r="G176" s="5122"/>
      <c r="H176" s="5122"/>
      <c r="I176" s="5122"/>
      <c r="J176" s="5122"/>
      <c r="K176" s="5122"/>
      <c r="L176" s="5122"/>
      <c r="M176" s="5122"/>
      <c r="N176" s="5122"/>
      <c r="O176" s="5122"/>
      <c r="P176" s="5122"/>
      <c r="Q176" s="5634"/>
      <c r="R176" s="5094" t="s">
        <v>1</v>
      </c>
      <c r="S176" s="5120"/>
      <c r="T176" s="5121"/>
      <c r="U176" s="5121"/>
      <c r="V176" s="5121"/>
      <c r="W176" s="5121"/>
      <c r="X176" s="5122"/>
      <c r="Y176" s="5122"/>
      <c r="Z176" s="5122"/>
      <c r="AA176" s="5122"/>
      <c r="AB176" s="5122"/>
      <c r="AC176" s="5122"/>
      <c r="AD176" s="5122"/>
      <c r="AE176" s="5122"/>
      <c r="AF176" s="5122"/>
      <c r="AG176" s="5122"/>
      <c r="AH176" s="5634"/>
      <c r="AI176" s="5094" t="s">
        <v>1</v>
      </c>
      <c r="AJ176" s="5120"/>
      <c r="AK176" s="5121"/>
      <c r="AL176" s="5121"/>
      <c r="AM176" s="5121"/>
      <c r="AN176" s="5121"/>
      <c r="AO176" s="5122"/>
      <c r="AP176" s="5122"/>
      <c r="AQ176" s="5122"/>
      <c r="AR176" s="5122"/>
      <c r="AS176" s="5122"/>
      <c r="AT176" s="5122"/>
      <c r="AU176" s="5122"/>
      <c r="AV176" s="5122"/>
      <c r="AW176" s="5122"/>
      <c r="AX176" s="5122"/>
      <c r="AY176" s="5634"/>
      <c r="AZ176" s="5094" t="s">
        <v>1</v>
      </c>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5">
        <v>1</v>
      </c>
      <c r="CL176" s="1"/>
      <c r="CM176" s="1"/>
    </row>
    <row r="177" spans="1:91" s="187" customFormat="1" ht="21" customHeight="1">
      <c r="A177"/>
      <c r="B177" s="5120"/>
      <c r="C177" s="5121"/>
      <c r="D177" s="5121"/>
      <c r="E177" s="5121"/>
      <c r="F177" s="5121"/>
      <c r="G177" s="5122"/>
      <c r="H177" s="5122"/>
      <c r="I177" s="5122"/>
      <c r="J177" s="5122"/>
      <c r="K177" s="5122"/>
      <c r="L177" s="5122"/>
      <c r="M177" s="5122"/>
      <c r="N177" s="5122"/>
      <c r="O177" s="5122"/>
      <c r="P177" s="5122"/>
      <c r="Q177" s="5634"/>
      <c r="R177" s="5094" t="s">
        <v>1</v>
      </c>
      <c r="S177" s="5120"/>
      <c r="T177" s="5121"/>
      <c r="U177" s="5121"/>
      <c r="V177" s="5121"/>
      <c r="W177" s="5121"/>
      <c r="X177" s="5122"/>
      <c r="Y177" s="5122"/>
      <c r="Z177" s="5122"/>
      <c r="AA177" s="5122"/>
      <c r="AB177" s="5122"/>
      <c r="AC177" s="5122"/>
      <c r="AD177" s="5122"/>
      <c r="AE177" s="5122"/>
      <c r="AF177" s="5122"/>
      <c r="AG177" s="5122"/>
      <c r="AH177" s="5634"/>
      <c r="AI177" s="5094" t="s">
        <v>1</v>
      </c>
      <c r="AJ177" s="5120"/>
      <c r="AK177" s="5121"/>
      <c r="AL177" s="5121"/>
      <c r="AM177" s="5121"/>
      <c r="AN177" s="5121"/>
      <c r="AO177" s="5122"/>
      <c r="AP177" s="5122"/>
      <c r="AQ177" s="5122"/>
      <c r="AR177" s="5122"/>
      <c r="AS177" s="5122"/>
      <c r="AT177" s="5122"/>
      <c r="AU177" s="5122"/>
      <c r="AV177" s="5122"/>
      <c r="AW177" s="5122"/>
      <c r="AX177" s="5122"/>
      <c r="AY177" s="5634"/>
      <c r="AZ177" s="5094" t="s">
        <v>1</v>
      </c>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5">
        <v>1</v>
      </c>
      <c r="CL177" s="1"/>
      <c r="CM177" s="1"/>
    </row>
    <row r="178" spans="1:91" s="187" customFormat="1" ht="21" customHeight="1">
      <c r="A178"/>
      <c r="B178" s="5120"/>
      <c r="C178" s="5121"/>
      <c r="D178" s="5121"/>
      <c r="E178" s="5121"/>
      <c r="F178" s="5121"/>
      <c r="G178" s="5122"/>
      <c r="H178" s="5122"/>
      <c r="I178" s="5122"/>
      <c r="J178" s="5122"/>
      <c r="K178" s="5122"/>
      <c r="L178" s="5122"/>
      <c r="M178" s="5122"/>
      <c r="N178" s="5122"/>
      <c r="O178" s="5122"/>
      <c r="P178" s="5122"/>
      <c r="Q178" s="5634"/>
      <c r="R178" s="5094" t="s">
        <v>1</v>
      </c>
      <c r="S178" s="5120"/>
      <c r="T178" s="5121"/>
      <c r="U178" s="5121"/>
      <c r="V178" s="5121"/>
      <c r="W178" s="5121"/>
      <c r="X178" s="5122"/>
      <c r="Y178" s="5122"/>
      <c r="Z178" s="5122"/>
      <c r="AA178" s="5122"/>
      <c r="AB178" s="5122"/>
      <c r="AC178" s="5122"/>
      <c r="AD178" s="5122"/>
      <c r="AE178" s="5122"/>
      <c r="AF178" s="5122"/>
      <c r="AG178" s="5122"/>
      <c r="AH178" s="5634"/>
      <c r="AI178" s="5094" t="s">
        <v>1</v>
      </c>
      <c r="AJ178" s="5120"/>
      <c r="AK178" s="5121"/>
      <c r="AL178" s="5121"/>
      <c r="AM178" s="5121"/>
      <c r="AN178" s="5121"/>
      <c r="AO178" s="5122"/>
      <c r="AP178" s="5122"/>
      <c r="AQ178" s="5122"/>
      <c r="AR178" s="5122"/>
      <c r="AS178" s="5122"/>
      <c r="AT178" s="5122"/>
      <c r="AU178" s="5122"/>
      <c r="AV178" s="5122"/>
      <c r="AW178" s="5122"/>
      <c r="AX178" s="5122"/>
      <c r="AY178" s="5634"/>
      <c r="AZ178" s="5094" t="s">
        <v>1</v>
      </c>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5">
        <v>1</v>
      </c>
      <c r="CL178" s="1"/>
      <c r="CM178" s="1"/>
    </row>
    <row r="179" spans="1:91" s="187" customFormat="1" ht="21" customHeight="1">
      <c r="A179"/>
      <c r="B179" s="5120"/>
      <c r="C179" s="5121"/>
      <c r="D179" s="5121"/>
      <c r="E179" s="5121"/>
      <c r="F179" s="5121"/>
      <c r="G179" s="5122"/>
      <c r="H179" s="5122"/>
      <c r="I179" s="5122"/>
      <c r="J179" s="5122"/>
      <c r="K179" s="5122"/>
      <c r="L179" s="5122"/>
      <c r="M179" s="5122"/>
      <c r="N179" s="5122"/>
      <c r="O179" s="5122"/>
      <c r="P179" s="5122"/>
      <c r="Q179" s="5634"/>
      <c r="R179" s="5094" t="s">
        <v>1</v>
      </c>
      <c r="S179" s="5120"/>
      <c r="T179" s="5121"/>
      <c r="U179" s="5121"/>
      <c r="V179" s="5121"/>
      <c r="W179" s="5121"/>
      <c r="X179" s="5122"/>
      <c r="Y179" s="5122"/>
      <c r="Z179" s="5122"/>
      <c r="AA179" s="5122"/>
      <c r="AB179" s="5122"/>
      <c r="AC179" s="5122"/>
      <c r="AD179" s="5122"/>
      <c r="AE179" s="5122"/>
      <c r="AF179" s="5122"/>
      <c r="AG179" s="5122"/>
      <c r="AH179" s="5634"/>
      <c r="AI179" s="5094" t="s">
        <v>1</v>
      </c>
      <c r="AJ179" s="5120"/>
      <c r="AK179" s="5121"/>
      <c r="AL179" s="5121"/>
      <c r="AM179" s="5121"/>
      <c r="AN179" s="5121"/>
      <c r="AO179" s="5122"/>
      <c r="AP179" s="5122"/>
      <c r="AQ179" s="5122"/>
      <c r="AR179" s="5122"/>
      <c r="AS179" s="5122"/>
      <c r="AT179" s="5122"/>
      <c r="AU179" s="5122"/>
      <c r="AV179" s="5122"/>
      <c r="AW179" s="5122"/>
      <c r="AX179" s="5122"/>
      <c r="AY179" s="5634"/>
      <c r="AZ179" s="5094" t="s">
        <v>1</v>
      </c>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5">
        <v>1</v>
      </c>
      <c r="CL179" s="1"/>
      <c r="CM179" s="1"/>
    </row>
    <row r="180" spans="1:91" s="187" customFormat="1" ht="21" customHeight="1">
      <c r="A180"/>
      <c r="B180" s="5120"/>
      <c r="C180" s="5121"/>
      <c r="D180" s="5121"/>
      <c r="E180" s="5121"/>
      <c r="F180" s="5121"/>
      <c r="G180" s="5122"/>
      <c r="H180" s="5122"/>
      <c r="I180" s="5122"/>
      <c r="J180" s="5122"/>
      <c r="K180" s="5122"/>
      <c r="L180" s="5122"/>
      <c r="M180" s="5122"/>
      <c r="N180" s="5122"/>
      <c r="O180" s="5122"/>
      <c r="P180" s="5122"/>
      <c r="Q180" s="5634"/>
      <c r="R180" s="5094" t="s">
        <v>1</v>
      </c>
      <c r="S180" s="5120"/>
      <c r="T180" s="5121"/>
      <c r="U180" s="5121"/>
      <c r="V180" s="5121"/>
      <c r="W180" s="5121"/>
      <c r="X180" s="5122"/>
      <c r="Y180" s="5122"/>
      <c r="Z180" s="5122"/>
      <c r="AA180" s="5122"/>
      <c r="AB180" s="5122"/>
      <c r="AC180" s="5122"/>
      <c r="AD180" s="5122"/>
      <c r="AE180" s="5122"/>
      <c r="AF180" s="5122"/>
      <c r="AG180" s="5122"/>
      <c r="AH180" s="5634"/>
      <c r="AI180" s="5094" t="s">
        <v>1</v>
      </c>
      <c r="AJ180" s="5120"/>
      <c r="AK180" s="5121"/>
      <c r="AL180" s="5121"/>
      <c r="AM180" s="5121"/>
      <c r="AN180" s="5121"/>
      <c r="AO180" s="5122"/>
      <c r="AP180" s="5122"/>
      <c r="AQ180" s="5122"/>
      <c r="AR180" s="5122"/>
      <c r="AS180" s="5122"/>
      <c r="AT180" s="5122"/>
      <c r="AU180" s="5122"/>
      <c r="AV180" s="5122"/>
      <c r="AW180" s="5122"/>
      <c r="AX180" s="5122"/>
      <c r="AY180" s="5634"/>
      <c r="AZ180" s="5094" t="s">
        <v>1</v>
      </c>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5">
        <v>1</v>
      </c>
      <c r="CL180" s="1"/>
      <c r="CM180" s="1"/>
    </row>
    <row r="181" spans="1:91" s="187" customFormat="1" ht="21" customHeight="1">
      <c r="A181"/>
      <c r="B181" s="5120"/>
      <c r="C181" s="5121"/>
      <c r="D181" s="5121"/>
      <c r="E181" s="5121"/>
      <c r="F181" s="5121"/>
      <c r="G181" s="5122"/>
      <c r="H181" s="5122"/>
      <c r="I181" s="5122"/>
      <c r="J181" s="5122"/>
      <c r="K181" s="5122"/>
      <c r="L181" s="5122"/>
      <c r="M181" s="5122"/>
      <c r="N181" s="5122"/>
      <c r="O181" s="5122"/>
      <c r="P181" s="5122"/>
      <c r="Q181" s="5634"/>
      <c r="R181" s="5094" t="s">
        <v>1</v>
      </c>
      <c r="S181" s="5120"/>
      <c r="T181" s="5121"/>
      <c r="U181" s="5121"/>
      <c r="V181" s="5121"/>
      <c r="W181" s="5121"/>
      <c r="X181" s="5122"/>
      <c r="Y181" s="5122"/>
      <c r="Z181" s="5122"/>
      <c r="AA181" s="5122"/>
      <c r="AB181" s="5122"/>
      <c r="AC181" s="5122"/>
      <c r="AD181" s="5122"/>
      <c r="AE181" s="5122"/>
      <c r="AF181" s="5122"/>
      <c r="AG181" s="5122"/>
      <c r="AH181" s="5634"/>
      <c r="AI181" s="5094" t="s">
        <v>1</v>
      </c>
      <c r="AJ181" s="5120"/>
      <c r="AK181" s="5121"/>
      <c r="AL181" s="5121"/>
      <c r="AM181" s="5121"/>
      <c r="AN181" s="5121"/>
      <c r="AO181" s="5122"/>
      <c r="AP181" s="5122"/>
      <c r="AQ181" s="5122"/>
      <c r="AR181" s="5122"/>
      <c r="AS181" s="5122"/>
      <c r="AT181" s="5122"/>
      <c r="AU181" s="5122"/>
      <c r="AV181" s="5122"/>
      <c r="AW181" s="5122"/>
      <c r="AX181" s="5122"/>
      <c r="AY181" s="5634"/>
      <c r="AZ181" s="5094" t="s">
        <v>1</v>
      </c>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5">
        <v>1</v>
      </c>
      <c r="CL181" s="1"/>
      <c r="CM181" s="1"/>
    </row>
    <row r="182" spans="1:91" s="187" customFormat="1" ht="21" customHeight="1">
      <c r="A182"/>
      <c r="B182" s="5120"/>
      <c r="C182" s="5121"/>
      <c r="D182" s="5121"/>
      <c r="E182" s="5121"/>
      <c r="F182" s="5121"/>
      <c r="G182" s="5122"/>
      <c r="H182" s="5122"/>
      <c r="I182" s="5122"/>
      <c r="J182" s="5122"/>
      <c r="K182" s="5122"/>
      <c r="L182" s="5122"/>
      <c r="M182" s="5122"/>
      <c r="N182" s="5122"/>
      <c r="O182" s="5122"/>
      <c r="P182" s="5122"/>
      <c r="Q182" s="5634"/>
      <c r="R182" s="5094" t="s">
        <v>1</v>
      </c>
      <c r="S182" s="5120"/>
      <c r="T182" s="5121"/>
      <c r="U182" s="5121"/>
      <c r="V182" s="5121"/>
      <c r="W182" s="5121"/>
      <c r="X182" s="5122"/>
      <c r="Y182" s="5122"/>
      <c r="Z182" s="5122"/>
      <c r="AA182" s="5122"/>
      <c r="AB182" s="5122"/>
      <c r="AC182" s="5122"/>
      <c r="AD182" s="5122"/>
      <c r="AE182" s="5122"/>
      <c r="AF182" s="5122"/>
      <c r="AG182" s="5122"/>
      <c r="AH182" s="5634"/>
      <c r="AI182" s="5094" t="s">
        <v>1</v>
      </c>
      <c r="AJ182" s="5120"/>
      <c r="AK182" s="5121"/>
      <c r="AL182" s="5121"/>
      <c r="AM182" s="5121"/>
      <c r="AN182" s="5121"/>
      <c r="AO182" s="5122"/>
      <c r="AP182" s="5122"/>
      <c r="AQ182" s="5122"/>
      <c r="AR182" s="5122"/>
      <c r="AS182" s="5122"/>
      <c r="AT182" s="5122"/>
      <c r="AU182" s="5122"/>
      <c r="AV182" s="5122"/>
      <c r="AW182" s="5122"/>
      <c r="AX182" s="5122"/>
      <c r="AY182" s="5634"/>
      <c r="AZ182" s="5094" t="s">
        <v>1</v>
      </c>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5">
        <v>1</v>
      </c>
      <c r="CL182" s="1"/>
      <c r="CM182" s="1"/>
    </row>
    <row r="183" spans="1:91" s="187" customFormat="1" ht="21" customHeight="1">
      <c r="A183"/>
      <c r="B183" s="5120"/>
      <c r="C183" s="5121"/>
      <c r="D183" s="5121"/>
      <c r="E183" s="5121"/>
      <c r="F183" s="5121"/>
      <c r="G183" s="5122"/>
      <c r="H183" s="5122"/>
      <c r="I183" s="5122"/>
      <c r="J183" s="5122"/>
      <c r="K183" s="5122"/>
      <c r="L183" s="5122"/>
      <c r="M183" s="5122"/>
      <c r="N183" s="5122"/>
      <c r="O183" s="5122"/>
      <c r="P183" s="5122"/>
      <c r="Q183" s="5634"/>
      <c r="R183" s="5094" t="s">
        <v>1</v>
      </c>
      <c r="S183" s="5120"/>
      <c r="T183" s="5121"/>
      <c r="U183" s="5121"/>
      <c r="V183" s="5121"/>
      <c r="W183" s="5121"/>
      <c r="X183" s="5122"/>
      <c r="Y183" s="5122"/>
      <c r="Z183" s="5122"/>
      <c r="AA183" s="5122"/>
      <c r="AB183" s="5122"/>
      <c r="AC183" s="5122"/>
      <c r="AD183" s="5122"/>
      <c r="AE183" s="5122"/>
      <c r="AF183" s="5122"/>
      <c r="AG183" s="5122"/>
      <c r="AH183" s="5634"/>
      <c r="AI183" s="5094" t="s">
        <v>1</v>
      </c>
      <c r="AJ183" s="5120"/>
      <c r="AK183" s="5121"/>
      <c r="AL183" s="5121"/>
      <c r="AM183" s="5121"/>
      <c r="AN183" s="5121"/>
      <c r="AO183" s="5122"/>
      <c r="AP183" s="5122"/>
      <c r="AQ183" s="5122"/>
      <c r="AR183" s="5122"/>
      <c r="AS183" s="5122"/>
      <c r="AT183" s="5122"/>
      <c r="AU183" s="5122"/>
      <c r="AV183" s="5122"/>
      <c r="AW183" s="5122"/>
      <c r="AX183" s="5122"/>
      <c r="AY183" s="5634"/>
      <c r="AZ183" s="5094" t="s">
        <v>1</v>
      </c>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5">
        <v>1</v>
      </c>
      <c r="CL183" s="1"/>
      <c r="CM183" s="1"/>
    </row>
    <row r="184" spans="1:91" s="187" customFormat="1" ht="21" customHeight="1">
      <c r="A184"/>
      <c r="B184" s="5120"/>
      <c r="C184" s="5121"/>
      <c r="D184" s="5121"/>
      <c r="E184" s="5121"/>
      <c r="F184" s="5121"/>
      <c r="G184" s="5122"/>
      <c r="H184" s="5122"/>
      <c r="I184" s="5122"/>
      <c r="J184" s="5122"/>
      <c r="K184" s="5122"/>
      <c r="L184" s="5122"/>
      <c r="M184" s="5122"/>
      <c r="N184" s="5122"/>
      <c r="O184" s="5122"/>
      <c r="P184" s="5122"/>
      <c r="Q184" s="5634"/>
      <c r="R184" s="5094" t="s">
        <v>1</v>
      </c>
      <c r="S184" s="5120"/>
      <c r="T184" s="5121"/>
      <c r="U184" s="5121"/>
      <c r="V184" s="5121"/>
      <c r="W184" s="5121"/>
      <c r="X184" s="5122"/>
      <c r="Y184" s="5122"/>
      <c r="Z184" s="5122"/>
      <c r="AA184" s="5122"/>
      <c r="AB184" s="5122"/>
      <c r="AC184" s="5122"/>
      <c r="AD184" s="5122"/>
      <c r="AE184" s="5122"/>
      <c r="AF184" s="5122"/>
      <c r="AG184" s="5122"/>
      <c r="AH184" s="5634"/>
      <c r="AI184" s="5094" t="s">
        <v>1</v>
      </c>
      <c r="AJ184" s="5120"/>
      <c r="AK184" s="5121"/>
      <c r="AL184" s="5121"/>
      <c r="AM184" s="5121"/>
      <c r="AN184" s="5121"/>
      <c r="AO184" s="5122"/>
      <c r="AP184" s="5122"/>
      <c r="AQ184" s="5122"/>
      <c r="AR184" s="5122"/>
      <c r="AS184" s="5122"/>
      <c r="AT184" s="5122"/>
      <c r="AU184" s="5122"/>
      <c r="AV184" s="5122"/>
      <c r="AW184" s="5122"/>
      <c r="AX184" s="5122"/>
      <c r="AY184" s="5634"/>
      <c r="AZ184" s="5094" t="s">
        <v>1</v>
      </c>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5">
        <v>1</v>
      </c>
      <c r="CL184" s="1"/>
      <c r="CM184" s="1"/>
    </row>
    <row r="185" spans="1:91" s="187" customFormat="1" ht="21" customHeight="1">
      <c r="A185"/>
      <c r="B185" s="5120"/>
      <c r="C185" s="5121"/>
      <c r="D185" s="5121"/>
      <c r="E185" s="5121"/>
      <c r="F185" s="5121"/>
      <c r="G185" s="5122"/>
      <c r="H185" s="5122"/>
      <c r="I185" s="5122"/>
      <c r="J185" s="5122"/>
      <c r="K185" s="5122"/>
      <c r="L185" s="5122"/>
      <c r="M185" s="5122"/>
      <c r="N185" s="5122"/>
      <c r="O185" s="5122"/>
      <c r="P185" s="5122"/>
      <c r="Q185" s="5634"/>
      <c r="R185" s="5094" t="s">
        <v>1</v>
      </c>
      <c r="S185" s="5120"/>
      <c r="T185" s="5121"/>
      <c r="U185" s="5121"/>
      <c r="V185" s="5121"/>
      <c r="W185" s="5121"/>
      <c r="X185" s="5122"/>
      <c r="Y185" s="5122"/>
      <c r="Z185" s="5122"/>
      <c r="AA185" s="5122"/>
      <c r="AB185" s="5122"/>
      <c r="AC185" s="5122"/>
      <c r="AD185" s="5122"/>
      <c r="AE185" s="5122"/>
      <c r="AF185" s="5122"/>
      <c r="AG185" s="5122"/>
      <c r="AH185" s="5634"/>
      <c r="AI185" s="5094" t="s">
        <v>1</v>
      </c>
      <c r="AJ185" s="5120"/>
      <c r="AK185" s="5121"/>
      <c r="AL185" s="5121"/>
      <c r="AM185" s="5121"/>
      <c r="AN185" s="5121"/>
      <c r="AO185" s="5122"/>
      <c r="AP185" s="5122"/>
      <c r="AQ185" s="5122"/>
      <c r="AR185" s="5122"/>
      <c r="AS185" s="5122"/>
      <c r="AT185" s="5122"/>
      <c r="AU185" s="5122"/>
      <c r="AV185" s="5122"/>
      <c r="AW185" s="5122"/>
      <c r="AX185" s="5122"/>
      <c r="AY185" s="5634"/>
      <c r="AZ185" s="5094" t="s">
        <v>1</v>
      </c>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5">
        <v>1</v>
      </c>
      <c r="CL185" s="1"/>
      <c r="CM185" s="1"/>
    </row>
    <row r="186" spans="1:91" s="187" customFormat="1" ht="21" customHeight="1">
      <c r="A186"/>
      <c r="B186" s="5120"/>
      <c r="C186" s="5121"/>
      <c r="D186" s="5121"/>
      <c r="E186" s="5121"/>
      <c r="F186" s="5121"/>
      <c r="G186" s="5122"/>
      <c r="H186" s="5122"/>
      <c r="I186" s="5122"/>
      <c r="J186" s="5122"/>
      <c r="K186" s="5122"/>
      <c r="L186" s="5122"/>
      <c r="M186" s="5122"/>
      <c r="N186" s="5122"/>
      <c r="O186" s="5122"/>
      <c r="P186" s="5122"/>
      <c r="Q186" s="5634"/>
      <c r="R186" s="5094" t="s">
        <v>1</v>
      </c>
      <c r="S186" s="5120"/>
      <c r="T186" s="5121"/>
      <c r="U186" s="5121"/>
      <c r="V186" s="5121"/>
      <c r="W186" s="5121"/>
      <c r="X186" s="5122"/>
      <c r="Y186" s="5122"/>
      <c r="Z186" s="5122"/>
      <c r="AA186" s="5122"/>
      <c r="AB186" s="5122"/>
      <c r="AC186" s="5122"/>
      <c r="AD186" s="5122"/>
      <c r="AE186" s="5122"/>
      <c r="AF186" s="5122"/>
      <c r="AG186" s="5122"/>
      <c r="AH186" s="5634"/>
      <c r="AI186" s="5094" t="s">
        <v>1</v>
      </c>
      <c r="AJ186" s="5120"/>
      <c r="AK186" s="5121"/>
      <c r="AL186" s="5121"/>
      <c r="AM186" s="5121"/>
      <c r="AN186" s="5121"/>
      <c r="AO186" s="5122"/>
      <c r="AP186" s="5122"/>
      <c r="AQ186" s="5122"/>
      <c r="AR186" s="5122"/>
      <c r="AS186" s="5122"/>
      <c r="AT186" s="5122"/>
      <c r="AU186" s="5122"/>
      <c r="AV186" s="5122"/>
      <c r="AW186" s="5122"/>
      <c r="AX186" s="5122"/>
      <c r="AY186" s="5634"/>
      <c r="AZ186" s="5094" t="s">
        <v>1</v>
      </c>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5">
        <v>1</v>
      </c>
      <c r="CL186" s="1"/>
      <c r="CM186" s="1"/>
    </row>
    <row r="187" spans="1:91" s="187" customFormat="1" ht="21" customHeight="1">
      <c r="A187"/>
      <c r="B187" s="5120"/>
      <c r="C187" s="5121"/>
      <c r="D187" s="5121"/>
      <c r="E187" s="5121"/>
      <c r="F187" s="5121"/>
      <c r="G187" s="5122"/>
      <c r="H187" s="5122"/>
      <c r="I187" s="5122"/>
      <c r="J187" s="5122"/>
      <c r="K187" s="5122"/>
      <c r="L187" s="5122"/>
      <c r="M187" s="5122"/>
      <c r="N187" s="5122"/>
      <c r="O187" s="5122"/>
      <c r="P187" s="5122"/>
      <c r="Q187" s="5634"/>
      <c r="R187" s="5094" t="s">
        <v>1</v>
      </c>
      <c r="S187" s="5120"/>
      <c r="T187" s="5121"/>
      <c r="U187" s="5121"/>
      <c r="V187" s="5121"/>
      <c r="W187" s="5121"/>
      <c r="X187" s="5122"/>
      <c r="Y187" s="5122"/>
      <c r="Z187" s="5122"/>
      <c r="AA187" s="5122"/>
      <c r="AB187" s="5122"/>
      <c r="AC187" s="5122"/>
      <c r="AD187" s="5122"/>
      <c r="AE187" s="5122"/>
      <c r="AF187" s="5122"/>
      <c r="AG187" s="5122"/>
      <c r="AH187" s="5634"/>
      <c r="AI187" s="5094" t="s">
        <v>1</v>
      </c>
      <c r="AJ187" s="5120"/>
      <c r="AK187" s="5121"/>
      <c r="AL187" s="5121"/>
      <c r="AM187" s="5121"/>
      <c r="AN187" s="5121"/>
      <c r="AO187" s="5122"/>
      <c r="AP187" s="5122"/>
      <c r="AQ187" s="5122"/>
      <c r="AR187" s="5122"/>
      <c r="AS187" s="5122"/>
      <c r="AT187" s="5122"/>
      <c r="AU187" s="5122"/>
      <c r="AV187" s="5122"/>
      <c r="AW187" s="5122"/>
      <c r="AX187" s="5122"/>
      <c r="AY187" s="5634"/>
      <c r="AZ187" s="5094" t="s">
        <v>1</v>
      </c>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5">
        <v>1</v>
      </c>
      <c r="CL187" s="1"/>
      <c r="CM187" s="1"/>
    </row>
    <row r="188" spans="1:91" s="187" customFormat="1" ht="21" customHeight="1">
      <c r="A188"/>
      <c r="B188" s="5120"/>
      <c r="C188" s="5121"/>
      <c r="D188" s="5121"/>
      <c r="E188" s="5121"/>
      <c r="F188" s="5121"/>
      <c r="G188" s="5122"/>
      <c r="H188" s="5122"/>
      <c r="I188" s="5122"/>
      <c r="J188" s="5122"/>
      <c r="K188" s="5122"/>
      <c r="L188" s="5122"/>
      <c r="M188" s="5122"/>
      <c r="N188" s="5122"/>
      <c r="O188" s="5122"/>
      <c r="P188" s="5122"/>
      <c r="Q188" s="5634"/>
      <c r="R188" s="5094" t="s">
        <v>1</v>
      </c>
      <c r="S188" s="5120"/>
      <c r="T188" s="5121"/>
      <c r="U188" s="5121"/>
      <c r="V188" s="5121"/>
      <c r="W188" s="5121"/>
      <c r="X188" s="5122"/>
      <c r="Y188" s="5122"/>
      <c r="Z188" s="5122"/>
      <c r="AA188" s="5122"/>
      <c r="AB188" s="5122"/>
      <c r="AC188" s="5122"/>
      <c r="AD188" s="5122"/>
      <c r="AE188" s="5122"/>
      <c r="AF188" s="5122"/>
      <c r="AG188" s="5122"/>
      <c r="AH188" s="5634"/>
      <c r="AI188" s="5094" t="s">
        <v>1</v>
      </c>
      <c r="AJ188" s="5120"/>
      <c r="AK188" s="5121"/>
      <c r="AL188" s="5121"/>
      <c r="AM188" s="5121"/>
      <c r="AN188" s="5121"/>
      <c r="AO188" s="5122"/>
      <c r="AP188" s="5122"/>
      <c r="AQ188" s="5122"/>
      <c r="AR188" s="5122"/>
      <c r="AS188" s="5122"/>
      <c r="AT188" s="5122"/>
      <c r="AU188" s="5122"/>
      <c r="AV188" s="5122"/>
      <c r="AW188" s="5122"/>
      <c r="AX188" s="5122"/>
      <c r="AY188" s="5634"/>
      <c r="AZ188" s="5094" t="s">
        <v>1</v>
      </c>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5">
        <v>1</v>
      </c>
      <c r="CL188" s="1"/>
      <c r="CM188" s="1"/>
    </row>
    <row r="189" spans="1:91" s="187" customFormat="1" ht="21" customHeight="1">
      <c r="A189"/>
      <c r="B189" s="5120"/>
      <c r="C189" s="5121"/>
      <c r="D189" s="5121"/>
      <c r="E189" s="5121"/>
      <c r="F189" s="5121"/>
      <c r="G189" s="5122"/>
      <c r="H189" s="5122"/>
      <c r="I189" s="5122"/>
      <c r="J189" s="5122"/>
      <c r="K189" s="5122"/>
      <c r="L189" s="5122"/>
      <c r="M189" s="5122"/>
      <c r="N189" s="5122"/>
      <c r="O189" s="5122"/>
      <c r="P189" s="5122"/>
      <c r="Q189" s="5634"/>
      <c r="R189" s="5094" t="s">
        <v>1</v>
      </c>
      <c r="S189" s="5120"/>
      <c r="T189" s="5121"/>
      <c r="U189" s="5121"/>
      <c r="V189" s="5121"/>
      <c r="W189" s="5121"/>
      <c r="X189" s="5122"/>
      <c r="Y189" s="5122"/>
      <c r="Z189" s="5122"/>
      <c r="AA189" s="5122"/>
      <c r="AB189" s="5122"/>
      <c r="AC189" s="5122"/>
      <c r="AD189" s="5122"/>
      <c r="AE189" s="5122"/>
      <c r="AF189" s="5122"/>
      <c r="AG189" s="5122"/>
      <c r="AH189" s="5634"/>
      <c r="AI189" s="5094" t="s">
        <v>1</v>
      </c>
      <c r="AJ189" s="5120"/>
      <c r="AK189" s="5121"/>
      <c r="AL189" s="5121"/>
      <c r="AM189" s="5121"/>
      <c r="AN189" s="5121"/>
      <c r="AO189" s="5122"/>
      <c r="AP189" s="5122"/>
      <c r="AQ189" s="5122"/>
      <c r="AR189" s="5122"/>
      <c r="AS189" s="5122"/>
      <c r="AT189" s="5122"/>
      <c r="AU189" s="5122"/>
      <c r="AV189" s="5122"/>
      <c r="AW189" s="5122"/>
      <c r="AX189" s="5122"/>
      <c r="AY189" s="5634"/>
      <c r="AZ189" s="5094" t="s">
        <v>1</v>
      </c>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5">
        <v>1</v>
      </c>
      <c r="CL189" s="1"/>
      <c r="CM189" s="1"/>
    </row>
    <row r="190" spans="1:91" s="187" customFormat="1" ht="21" customHeight="1">
      <c r="A190"/>
      <c r="B190" s="5120"/>
      <c r="C190" s="5121"/>
      <c r="D190" s="5121"/>
      <c r="E190" s="5121"/>
      <c r="F190" s="5121"/>
      <c r="G190" s="5122"/>
      <c r="H190" s="5122"/>
      <c r="I190" s="5122"/>
      <c r="J190" s="5122"/>
      <c r="K190" s="5122"/>
      <c r="L190" s="5122"/>
      <c r="M190" s="5122"/>
      <c r="N190" s="5122"/>
      <c r="O190" s="5122"/>
      <c r="P190" s="5122"/>
      <c r="Q190" s="5634"/>
      <c r="R190" s="5094" t="s">
        <v>1</v>
      </c>
      <c r="S190" s="5120"/>
      <c r="T190" s="5121"/>
      <c r="U190" s="5121"/>
      <c r="V190" s="5121"/>
      <c r="W190" s="5121"/>
      <c r="X190" s="5122"/>
      <c r="Y190" s="5122"/>
      <c r="Z190" s="5122"/>
      <c r="AA190" s="5122"/>
      <c r="AB190" s="5122"/>
      <c r="AC190" s="5122"/>
      <c r="AD190" s="5122"/>
      <c r="AE190" s="5122"/>
      <c r="AF190" s="5122"/>
      <c r="AG190" s="5122"/>
      <c r="AH190" s="5634"/>
      <c r="AI190" s="5094" t="s">
        <v>1</v>
      </c>
      <c r="AJ190" s="5120"/>
      <c r="AK190" s="5121"/>
      <c r="AL190" s="5121"/>
      <c r="AM190" s="5121"/>
      <c r="AN190" s="5121"/>
      <c r="AO190" s="5122"/>
      <c r="AP190" s="5122"/>
      <c r="AQ190" s="5122"/>
      <c r="AR190" s="5122"/>
      <c r="AS190" s="5122"/>
      <c r="AT190" s="5122"/>
      <c r="AU190" s="5122"/>
      <c r="AV190" s="5122"/>
      <c r="AW190" s="5122"/>
      <c r="AX190" s="5122"/>
      <c r="AY190" s="5634"/>
      <c r="AZ190" s="5094" t="s">
        <v>1</v>
      </c>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5">
        <v>1</v>
      </c>
      <c r="CL190" s="1"/>
      <c r="CM190" s="1"/>
    </row>
    <row r="191" spans="1:91" s="187" customFormat="1" ht="21" customHeight="1">
      <c r="A191"/>
      <c r="B191" s="5120"/>
      <c r="C191" s="5121"/>
      <c r="D191" s="5121"/>
      <c r="E191" s="5121"/>
      <c r="F191" s="5121"/>
      <c r="G191" s="5122"/>
      <c r="H191" s="5122"/>
      <c r="I191" s="5122"/>
      <c r="J191" s="5122"/>
      <c r="K191" s="5122"/>
      <c r="L191" s="5122"/>
      <c r="M191" s="5122"/>
      <c r="N191" s="5122"/>
      <c r="O191" s="5122"/>
      <c r="P191" s="5122"/>
      <c r="Q191" s="5634"/>
      <c r="R191" s="5094" t="s">
        <v>1</v>
      </c>
      <c r="S191" s="5120"/>
      <c r="T191" s="5121"/>
      <c r="U191" s="5121"/>
      <c r="V191" s="5121"/>
      <c r="W191" s="5121"/>
      <c r="X191" s="5122"/>
      <c r="Y191" s="5122"/>
      <c r="Z191" s="5122"/>
      <c r="AA191" s="5122"/>
      <c r="AB191" s="5122"/>
      <c r="AC191" s="5122"/>
      <c r="AD191" s="5122"/>
      <c r="AE191" s="5122"/>
      <c r="AF191" s="5122"/>
      <c r="AG191" s="5122"/>
      <c r="AH191" s="5634"/>
      <c r="AI191" s="5094" t="s">
        <v>1</v>
      </c>
      <c r="AJ191" s="5120"/>
      <c r="AK191" s="5121"/>
      <c r="AL191" s="5121"/>
      <c r="AM191" s="5121"/>
      <c r="AN191" s="5121"/>
      <c r="AO191" s="5122"/>
      <c r="AP191" s="5122"/>
      <c r="AQ191" s="5122"/>
      <c r="AR191" s="5122"/>
      <c r="AS191" s="5122"/>
      <c r="AT191" s="5122"/>
      <c r="AU191" s="5122"/>
      <c r="AV191" s="5122"/>
      <c r="AW191" s="5122"/>
      <c r="AX191" s="5122"/>
      <c r="AY191" s="5634"/>
      <c r="AZ191" s="5094" t="s">
        <v>1</v>
      </c>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5">
        <v>1</v>
      </c>
      <c r="CL191" s="1"/>
      <c r="CM191" s="1"/>
    </row>
    <row r="192" spans="1:91" s="187" customFormat="1" ht="21" customHeight="1">
      <c r="A192"/>
      <c r="B192" s="5120"/>
      <c r="C192" s="5121"/>
      <c r="D192" s="5121"/>
      <c r="E192" s="5121"/>
      <c r="F192" s="5121"/>
      <c r="G192" s="5122"/>
      <c r="H192" s="5122"/>
      <c r="I192" s="5122"/>
      <c r="J192" s="5122"/>
      <c r="K192" s="5122"/>
      <c r="L192" s="5122"/>
      <c r="M192" s="5122"/>
      <c r="N192" s="5122"/>
      <c r="O192" s="5122"/>
      <c r="P192" s="5122"/>
      <c r="Q192" s="5634"/>
      <c r="R192" s="5094" t="s">
        <v>1</v>
      </c>
      <c r="S192" s="5120"/>
      <c r="T192" s="5121"/>
      <c r="U192" s="5121"/>
      <c r="V192" s="5121"/>
      <c r="W192" s="5121"/>
      <c r="X192" s="5122"/>
      <c r="Y192" s="5122"/>
      <c r="Z192" s="5122"/>
      <c r="AA192" s="5122"/>
      <c r="AB192" s="5122"/>
      <c r="AC192" s="5122"/>
      <c r="AD192" s="5122"/>
      <c r="AE192" s="5122"/>
      <c r="AF192" s="5122"/>
      <c r="AG192" s="5122"/>
      <c r="AH192" s="5634"/>
      <c r="AI192" s="5094" t="s">
        <v>1</v>
      </c>
      <c r="AJ192" s="5120"/>
      <c r="AK192" s="5121"/>
      <c r="AL192" s="5121"/>
      <c r="AM192" s="5121"/>
      <c r="AN192" s="5121"/>
      <c r="AO192" s="5122"/>
      <c r="AP192" s="5122"/>
      <c r="AQ192" s="5122"/>
      <c r="AR192" s="5122"/>
      <c r="AS192" s="5122"/>
      <c r="AT192" s="5122"/>
      <c r="AU192" s="5122"/>
      <c r="AV192" s="5122"/>
      <c r="AW192" s="5122"/>
      <c r="AX192" s="5122"/>
      <c r="AY192" s="5634"/>
      <c r="AZ192" s="5094" t="s">
        <v>1</v>
      </c>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5">
        <v>1</v>
      </c>
      <c r="CL192" s="1"/>
      <c r="CM192" s="1"/>
    </row>
    <row r="193" spans="1:91" s="187" customFormat="1" ht="21" customHeight="1">
      <c r="A193"/>
      <c r="B193" s="5120"/>
      <c r="C193" s="5121"/>
      <c r="D193" s="5121"/>
      <c r="E193" s="5121"/>
      <c r="F193" s="5121"/>
      <c r="G193" s="5122"/>
      <c r="H193" s="5122"/>
      <c r="I193" s="5122"/>
      <c r="J193" s="5122"/>
      <c r="K193" s="5122"/>
      <c r="L193" s="5122"/>
      <c r="M193" s="5122"/>
      <c r="N193" s="5122"/>
      <c r="O193" s="5122"/>
      <c r="P193" s="5122"/>
      <c r="Q193" s="5634"/>
      <c r="R193" s="5094" t="s">
        <v>1</v>
      </c>
      <c r="S193" s="5120"/>
      <c r="T193" s="5121"/>
      <c r="U193" s="5121"/>
      <c r="V193" s="5121"/>
      <c r="W193" s="5121"/>
      <c r="X193" s="5122"/>
      <c r="Y193" s="5122"/>
      <c r="Z193" s="5122"/>
      <c r="AA193" s="5122"/>
      <c r="AB193" s="5122"/>
      <c r="AC193" s="5122"/>
      <c r="AD193" s="5122"/>
      <c r="AE193" s="5122"/>
      <c r="AF193" s="5122"/>
      <c r="AG193" s="5122"/>
      <c r="AH193" s="5634"/>
      <c r="AI193" s="5094" t="s">
        <v>1</v>
      </c>
      <c r="AJ193" s="5120"/>
      <c r="AK193" s="5121"/>
      <c r="AL193" s="5121"/>
      <c r="AM193" s="5121"/>
      <c r="AN193" s="5121"/>
      <c r="AO193" s="5122"/>
      <c r="AP193" s="5122"/>
      <c r="AQ193" s="5122"/>
      <c r="AR193" s="5122"/>
      <c r="AS193" s="5122"/>
      <c r="AT193" s="5122"/>
      <c r="AU193" s="5122"/>
      <c r="AV193" s="5122"/>
      <c r="AW193" s="5122"/>
      <c r="AX193" s="5122"/>
      <c r="AY193" s="5634"/>
      <c r="AZ193" s="5094" t="s">
        <v>1</v>
      </c>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5">
        <v>1</v>
      </c>
      <c r="CL193" s="1"/>
      <c r="CM193" s="1"/>
    </row>
    <row r="194" spans="1:91" s="187" customFormat="1" ht="21" customHeight="1">
      <c r="A194"/>
      <c r="B194" s="5120"/>
      <c r="C194" s="5121"/>
      <c r="D194" s="5121"/>
      <c r="E194" s="5121"/>
      <c r="F194" s="5121"/>
      <c r="G194" s="5122"/>
      <c r="H194" s="5122"/>
      <c r="I194" s="5122"/>
      <c r="J194" s="5122"/>
      <c r="K194" s="5122"/>
      <c r="L194" s="5122"/>
      <c r="M194" s="5122"/>
      <c r="N194" s="5122"/>
      <c r="O194" s="5122"/>
      <c r="P194" s="5122"/>
      <c r="Q194" s="5634"/>
      <c r="R194" s="5094" t="s">
        <v>1</v>
      </c>
      <c r="S194" s="5120"/>
      <c r="T194" s="5121"/>
      <c r="U194" s="5121"/>
      <c r="V194" s="5121"/>
      <c r="W194" s="5121"/>
      <c r="X194" s="5122"/>
      <c r="Y194" s="5122"/>
      <c r="Z194" s="5122"/>
      <c r="AA194" s="5122"/>
      <c r="AB194" s="5122"/>
      <c r="AC194" s="5122"/>
      <c r="AD194" s="5122"/>
      <c r="AE194" s="5122"/>
      <c r="AF194" s="5122"/>
      <c r="AG194" s="5122"/>
      <c r="AH194" s="5634"/>
      <c r="AI194" s="5094" t="s">
        <v>1</v>
      </c>
      <c r="AJ194" s="5120"/>
      <c r="AK194" s="5121"/>
      <c r="AL194" s="5121"/>
      <c r="AM194" s="5121"/>
      <c r="AN194" s="5121"/>
      <c r="AO194" s="5122"/>
      <c r="AP194" s="5122"/>
      <c r="AQ194" s="5122"/>
      <c r="AR194" s="5122"/>
      <c r="AS194" s="5122"/>
      <c r="AT194" s="5122"/>
      <c r="AU194" s="5122"/>
      <c r="AV194" s="5122"/>
      <c r="AW194" s="5122"/>
      <c r="AX194" s="5122"/>
      <c r="AY194" s="5634"/>
      <c r="AZ194" s="5094" t="s">
        <v>1</v>
      </c>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5">
        <v>1</v>
      </c>
      <c r="CL194" s="1"/>
      <c r="CM194" s="1"/>
    </row>
    <row r="195" spans="1:91" s="187" customFormat="1" ht="21" customHeight="1">
      <c r="A195"/>
      <c r="B195" s="5120"/>
      <c r="C195" s="5121"/>
      <c r="D195" s="5121"/>
      <c r="E195" s="5121"/>
      <c r="F195" s="5121"/>
      <c r="G195" s="5122"/>
      <c r="H195" s="5122"/>
      <c r="I195" s="5122"/>
      <c r="J195" s="5122"/>
      <c r="K195" s="5122"/>
      <c r="L195" s="5122"/>
      <c r="M195" s="5122"/>
      <c r="N195" s="5122"/>
      <c r="O195" s="5122"/>
      <c r="P195" s="5122"/>
      <c r="Q195" s="5634"/>
      <c r="R195" s="5094" t="s">
        <v>1</v>
      </c>
      <c r="S195" s="5120"/>
      <c r="T195" s="5121"/>
      <c r="U195" s="5121"/>
      <c r="V195" s="5121"/>
      <c r="W195" s="5121"/>
      <c r="X195" s="5122"/>
      <c r="Y195" s="5122"/>
      <c r="Z195" s="5122"/>
      <c r="AA195" s="5122"/>
      <c r="AB195" s="5122"/>
      <c r="AC195" s="5122"/>
      <c r="AD195" s="5122"/>
      <c r="AE195" s="5122"/>
      <c r="AF195" s="5122"/>
      <c r="AG195" s="5122"/>
      <c r="AH195" s="5634"/>
      <c r="AI195" s="5094" t="s">
        <v>1</v>
      </c>
      <c r="AJ195" s="5120"/>
      <c r="AK195" s="5121"/>
      <c r="AL195" s="5121"/>
      <c r="AM195" s="5121"/>
      <c r="AN195" s="5121"/>
      <c r="AO195" s="5122"/>
      <c r="AP195" s="5122"/>
      <c r="AQ195" s="5122"/>
      <c r="AR195" s="5122"/>
      <c r="AS195" s="5122"/>
      <c r="AT195" s="5122"/>
      <c r="AU195" s="5122"/>
      <c r="AV195" s="5122"/>
      <c r="AW195" s="5122"/>
      <c r="AX195" s="5122"/>
      <c r="AY195" s="5634"/>
      <c r="AZ195" s="5094" t="s">
        <v>1</v>
      </c>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5">
        <v>1</v>
      </c>
      <c r="CL195" s="1"/>
      <c r="CM195" s="1"/>
    </row>
    <row r="196" spans="1:91" s="187" customFormat="1" ht="21" customHeight="1">
      <c r="A196"/>
      <c r="B196" s="5120"/>
      <c r="C196" s="5121"/>
      <c r="D196" s="5121"/>
      <c r="E196" s="5121"/>
      <c r="F196" s="5121"/>
      <c r="G196" s="5122"/>
      <c r="H196" s="5122"/>
      <c r="I196" s="5122"/>
      <c r="J196" s="5122"/>
      <c r="K196" s="5122"/>
      <c r="L196" s="5122"/>
      <c r="M196" s="5122"/>
      <c r="N196" s="5122"/>
      <c r="O196" s="5122"/>
      <c r="P196" s="5122"/>
      <c r="Q196" s="5634"/>
      <c r="R196" s="5094" t="s">
        <v>1</v>
      </c>
      <c r="S196" s="5120"/>
      <c r="T196" s="5121"/>
      <c r="U196" s="5121"/>
      <c r="V196" s="5121"/>
      <c r="W196" s="5121"/>
      <c r="X196" s="5122"/>
      <c r="Y196" s="5122"/>
      <c r="Z196" s="5122"/>
      <c r="AA196" s="5122"/>
      <c r="AB196" s="5122"/>
      <c r="AC196" s="5122"/>
      <c r="AD196" s="5122"/>
      <c r="AE196" s="5122"/>
      <c r="AF196" s="5122"/>
      <c r="AG196" s="5122"/>
      <c r="AH196" s="5634"/>
      <c r="AI196" s="5094" t="s">
        <v>1</v>
      </c>
      <c r="AJ196" s="5120"/>
      <c r="AK196" s="5121"/>
      <c r="AL196" s="5121"/>
      <c r="AM196" s="5121"/>
      <c r="AN196" s="5121"/>
      <c r="AO196" s="5122"/>
      <c r="AP196" s="5122"/>
      <c r="AQ196" s="5122"/>
      <c r="AR196" s="5122"/>
      <c r="AS196" s="5122"/>
      <c r="AT196" s="5122"/>
      <c r="AU196" s="5122"/>
      <c r="AV196" s="5122"/>
      <c r="AW196" s="5122"/>
      <c r="AX196" s="5122"/>
      <c r="AY196" s="5634"/>
      <c r="AZ196" s="5094" t="s">
        <v>1</v>
      </c>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5">
        <v>1</v>
      </c>
      <c r="CL196" s="1"/>
      <c r="CM196" s="1"/>
    </row>
    <row r="197" spans="1:91" s="187" customFormat="1" ht="21" customHeight="1">
      <c r="A197"/>
      <c r="B197" s="5120"/>
      <c r="C197" s="5121"/>
      <c r="D197" s="5121"/>
      <c r="E197" s="5121"/>
      <c r="F197" s="5121"/>
      <c r="G197" s="5122"/>
      <c r="H197" s="5122"/>
      <c r="I197" s="5122"/>
      <c r="J197" s="5122"/>
      <c r="K197" s="5122"/>
      <c r="L197" s="5122"/>
      <c r="M197" s="5122"/>
      <c r="N197" s="5122"/>
      <c r="O197" s="5122"/>
      <c r="P197" s="5122"/>
      <c r="Q197" s="5634"/>
      <c r="R197" s="5094" t="s">
        <v>1</v>
      </c>
      <c r="S197" s="5120"/>
      <c r="T197" s="5121"/>
      <c r="U197" s="5121"/>
      <c r="V197" s="5121"/>
      <c r="W197" s="5121"/>
      <c r="X197" s="5122"/>
      <c r="Y197" s="5122"/>
      <c r="Z197" s="5122"/>
      <c r="AA197" s="5122"/>
      <c r="AB197" s="5122"/>
      <c r="AC197" s="5122"/>
      <c r="AD197" s="5122"/>
      <c r="AE197" s="5122"/>
      <c r="AF197" s="5122"/>
      <c r="AG197" s="5122"/>
      <c r="AH197" s="5634"/>
      <c r="AI197" s="5094" t="s">
        <v>1</v>
      </c>
      <c r="AJ197" s="5120"/>
      <c r="AK197" s="5121"/>
      <c r="AL197" s="5121"/>
      <c r="AM197" s="5121"/>
      <c r="AN197" s="5121"/>
      <c r="AO197" s="5122"/>
      <c r="AP197" s="5122"/>
      <c r="AQ197" s="5122"/>
      <c r="AR197" s="5122"/>
      <c r="AS197" s="5122"/>
      <c r="AT197" s="5122"/>
      <c r="AU197" s="5122"/>
      <c r="AV197" s="5122"/>
      <c r="AW197" s="5122"/>
      <c r="AX197" s="5122"/>
      <c r="AY197" s="5634"/>
      <c r="AZ197" s="5094" t="s">
        <v>1</v>
      </c>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5">
        <v>1</v>
      </c>
      <c r="CL197" s="1"/>
      <c r="CM197" s="1"/>
    </row>
    <row r="198" spans="1:91" s="187" customFormat="1" ht="21" customHeight="1">
      <c r="B198" s="5120"/>
      <c r="C198" s="5121"/>
      <c r="D198" s="5121"/>
      <c r="E198" s="5121"/>
      <c r="F198" s="5121"/>
      <c r="G198" s="5122"/>
      <c r="H198" s="5122"/>
      <c r="I198" s="5122"/>
      <c r="J198" s="5122"/>
      <c r="K198" s="5122"/>
      <c r="L198" s="5122"/>
      <c r="M198" s="5122"/>
      <c r="N198" s="5122"/>
      <c r="O198" s="5122"/>
      <c r="P198" s="5122"/>
      <c r="Q198" s="5634"/>
      <c r="R198" s="5094" t="s">
        <v>1</v>
      </c>
      <c r="S198" s="5120"/>
      <c r="T198" s="5121"/>
      <c r="U198" s="5121"/>
      <c r="V198" s="5121"/>
      <c r="W198" s="5121"/>
      <c r="X198" s="5122"/>
      <c r="Y198" s="5122"/>
      <c r="Z198" s="5122"/>
      <c r="AA198" s="5122"/>
      <c r="AB198" s="5122"/>
      <c r="AC198" s="5122"/>
      <c r="AD198" s="5122"/>
      <c r="AE198" s="5122"/>
      <c r="AF198" s="5122"/>
      <c r="AG198" s="5122"/>
      <c r="AH198" s="5634"/>
      <c r="AI198" s="5094" t="s">
        <v>1</v>
      </c>
      <c r="AJ198" s="5120"/>
      <c r="AK198" s="5121"/>
      <c r="AL198" s="5121"/>
      <c r="AM198" s="5121"/>
      <c r="AN198" s="5121"/>
      <c r="AO198" s="5122"/>
      <c r="AP198" s="5122"/>
      <c r="AQ198" s="5122"/>
      <c r="AR198" s="5122"/>
      <c r="AS198" s="5122"/>
      <c r="AT198" s="5122"/>
      <c r="AU198" s="5122"/>
      <c r="AV198" s="5122"/>
      <c r="AW198" s="5122"/>
      <c r="AX198" s="5122"/>
      <c r="AY198" s="5634"/>
      <c r="AZ198" s="5094" t="s">
        <v>1</v>
      </c>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5">
        <v>1</v>
      </c>
      <c r="CL198" s="1"/>
      <c r="CM198" s="1"/>
    </row>
    <row r="199" spans="1:91" s="187" customFormat="1" ht="21" customHeight="1">
      <c r="B199" s="5120"/>
      <c r="C199" s="5121"/>
      <c r="D199" s="5121"/>
      <c r="E199" s="5121"/>
      <c r="F199" s="5121"/>
      <c r="G199" s="5122"/>
      <c r="H199" s="5122"/>
      <c r="I199" s="5122"/>
      <c r="J199" s="5122"/>
      <c r="K199" s="5122"/>
      <c r="L199" s="5122"/>
      <c r="M199" s="5122"/>
      <c r="N199" s="5122"/>
      <c r="O199" s="5122"/>
      <c r="P199" s="5122"/>
      <c r="Q199" s="5634"/>
      <c r="R199" s="5094" t="s">
        <v>1</v>
      </c>
      <c r="S199" s="5120"/>
      <c r="T199" s="5121"/>
      <c r="U199" s="5121"/>
      <c r="V199" s="5121"/>
      <c r="W199" s="5121"/>
      <c r="X199" s="5122"/>
      <c r="Y199" s="5122"/>
      <c r="Z199" s="5122"/>
      <c r="AA199" s="5122"/>
      <c r="AB199" s="5122"/>
      <c r="AC199" s="5122"/>
      <c r="AD199" s="5122"/>
      <c r="AE199" s="5122"/>
      <c r="AF199" s="5122"/>
      <c r="AG199" s="5122"/>
      <c r="AH199" s="5634"/>
      <c r="AI199" s="5094" t="s">
        <v>1</v>
      </c>
      <c r="AJ199" s="5120"/>
      <c r="AK199" s="5121"/>
      <c r="AL199" s="5121"/>
      <c r="AM199" s="5121"/>
      <c r="AN199" s="5121"/>
      <c r="AO199" s="5122"/>
      <c r="AP199" s="5122"/>
      <c r="AQ199" s="5122"/>
      <c r="AR199" s="5122"/>
      <c r="AS199" s="5122"/>
      <c r="AT199" s="5122"/>
      <c r="AU199" s="5122"/>
      <c r="AV199" s="5122"/>
      <c r="AW199" s="5122"/>
      <c r="AX199" s="5122"/>
      <c r="AY199" s="5634"/>
      <c r="AZ199" s="5094" t="s">
        <v>1</v>
      </c>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5">
        <v>1</v>
      </c>
      <c r="CL199" s="1"/>
      <c r="CM199" s="1"/>
    </row>
    <row r="200" spans="1:91" s="187" customFormat="1" ht="21" customHeight="1">
      <c r="B200" s="5120"/>
      <c r="C200" s="5121"/>
      <c r="D200" s="5121"/>
      <c r="E200" s="5121"/>
      <c r="F200" s="5121"/>
      <c r="G200" s="5122"/>
      <c r="H200" s="5122"/>
      <c r="I200" s="5122"/>
      <c r="J200" s="5122"/>
      <c r="K200" s="5122"/>
      <c r="L200" s="5122"/>
      <c r="M200" s="5122"/>
      <c r="N200" s="5122"/>
      <c r="O200" s="5122"/>
      <c r="P200" s="5122"/>
      <c r="Q200" s="5634"/>
      <c r="R200" s="5094" t="s">
        <v>1</v>
      </c>
      <c r="S200" s="5120"/>
      <c r="T200" s="5121"/>
      <c r="U200" s="5121"/>
      <c r="V200" s="5121"/>
      <c r="W200" s="5121"/>
      <c r="X200" s="5122"/>
      <c r="Y200" s="5122"/>
      <c r="Z200" s="5122"/>
      <c r="AA200" s="5122"/>
      <c r="AB200" s="5122"/>
      <c r="AC200" s="5122"/>
      <c r="AD200" s="5122"/>
      <c r="AE200" s="5122"/>
      <c r="AF200" s="5122"/>
      <c r="AG200" s="5122"/>
      <c r="AH200" s="5634"/>
      <c r="AI200" s="5094" t="s">
        <v>1</v>
      </c>
      <c r="AJ200" s="5120"/>
      <c r="AK200" s="5121"/>
      <c r="AL200" s="5121"/>
      <c r="AM200" s="5121"/>
      <c r="AN200" s="5121"/>
      <c r="AO200" s="5122"/>
      <c r="AP200" s="5122"/>
      <c r="AQ200" s="5122"/>
      <c r="AR200" s="5122"/>
      <c r="AS200" s="5122"/>
      <c r="AT200" s="5122"/>
      <c r="AU200" s="5122"/>
      <c r="AV200" s="5122"/>
      <c r="AW200" s="5122"/>
      <c r="AX200" s="5122"/>
      <c r="AY200" s="5634"/>
      <c r="AZ200" s="5094" t="s">
        <v>1</v>
      </c>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5">
        <v>1</v>
      </c>
      <c r="CL200" s="1"/>
      <c r="CM200" s="1"/>
    </row>
    <row r="201" spans="1:91" s="187" customFormat="1" ht="21" customHeight="1">
      <c r="B201" s="5120"/>
      <c r="C201" s="5121"/>
      <c r="D201" s="5121"/>
      <c r="E201" s="5121"/>
      <c r="F201" s="5121"/>
      <c r="G201" s="5122"/>
      <c r="H201" s="5122"/>
      <c r="I201" s="5122"/>
      <c r="J201" s="5122"/>
      <c r="K201" s="5122"/>
      <c r="L201" s="5122"/>
      <c r="M201" s="5122"/>
      <c r="N201" s="5122"/>
      <c r="O201" s="5122"/>
      <c r="P201" s="5122"/>
      <c r="Q201" s="5634"/>
      <c r="R201" s="5094" t="s">
        <v>1</v>
      </c>
      <c r="S201" s="5120"/>
      <c r="T201" s="5121"/>
      <c r="U201" s="5121"/>
      <c r="V201" s="5121"/>
      <c r="W201" s="5121"/>
      <c r="X201" s="5122"/>
      <c r="Y201" s="5122"/>
      <c r="Z201" s="5122"/>
      <c r="AA201" s="5122"/>
      <c r="AB201" s="5122"/>
      <c r="AC201" s="5122"/>
      <c r="AD201" s="5122"/>
      <c r="AE201" s="5122"/>
      <c r="AF201" s="5122"/>
      <c r="AG201" s="5122"/>
      <c r="AH201" s="5634"/>
      <c r="AI201" s="5094" t="s">
        <v>1</v>
      </c>
      <c r="AJ201" s="5120"/>
      <c r="AK201" s="5121"/>
      <c r="AL201" s="5121"/>
      <c r="AM201" s="5121"/>
      <c r="AN201" s="5121"/>
      <c r="AO201" s="5122"/>
      <c r="AP201" s="5122"/>
      <c r="AQ201" s="5122"/>
      <c r="AR201" s="5122"/>
      <c r="AS201" s="5122"/>
      <c r="AT201" s="5122"/>
      <c r="AU201" s="5122"/>
      <c r="AV201" s="5122"/>
      <c r="AW201" s="5122"/>
      <c r="AX201" s="5122"/>
      <c r="AY201" s="5634"/>
      <c r="AZ201" s="5094" t="s">
        <v>1</v>
      </c>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5">
        <v>1</v>
      </c>
      <c r="CL201" s="1"/>
      <c r="CM201" s="1"/>
    </row>
    <row r="202" spans="1:91" s="187" customFormat="1" ht="21" customHeight="1">
      <c r="B202" s="5120"/>
      <c r="C202" s="5121"/>
      <c r="D202" s="5121"/>
      <c r="E202" s="5121"/>
      <c r="F202" s="5121"/>
      <c r="G202" s="5122"/>
      <c r="H202" s="5122"/>
      <c r="I202" s="5122"/>
      <c r="J202" s="5122"/>
      <c r="K202" s="5122"/>
      <c r="L202" s="5122"/>
      <c r="M202" s="5122"/>
      <c r="N202" s="5122"/>
      <c r="O202" s="5122"/>
      <c r="P202" s="5122"/>
      <c r="Q202" s="5634"/>
      <c r="R202" s="5094" t="s">
        <v>1</v>
      </c>
      <c r="S202" s="5120"/>
      <c r="T202" s="5121"/>
      <c r="U202" s="5121"/>
      <c r="V202" s="5121"/>
      <c r="W202" s="5121"/>
      <c r="X202" s="5122"/>
      <c r="Y202" s="5122"/>
      <c r="Z202" s="5122"/>
      <c r="AA202" s="5122"/>
      <c r="AB202" s="5122"/>
      <c r="AC202" s="5122"/>
      <c r="AD202" s="5122"/>
      <c r="AE202" s="5122"/>
      <c r="AF202" s="5122"/>
      <c r="AG202" s="5122"/>
      <c r="AH202" s="5634"/>
      <c r="AI202" s="5094" t="s">
        <v>1</v>
      </c>
      <c r="AJ202" s="5120"/>
      <c r="AK202" s="5121"/>
      <c r="AL202" s="5121"/>
      <c r="AM202" s="5121"/>
      <c r="AN202" s="5121"/>
      <c r="AO202" s="5122"/>
      <c r="AP202" s="5122"/>
      <c r="AQ202" s="5122"/>
      <c r="AR202" s="5122"/>
      <c r="AS202" s="5122"/>
      <c r="AT202" s="5122"/>
      <c r="AU202" s="5122"/>
      <c r="AV202" s="5122"/>
      <c r="AW202" s="5122"/>
      <c r="AX202" s="5122"/>
      <c r="AY202" s="5634"/>
      <c r="AZ202" s="5094" t="s">
        <v>1</v>
      </c>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5">
        <v>1</v>
      </c>
      <c r="CL202" s="1"/>
      <c r="CM202" s="1"/>
    </row>
    <row r="203" spans="1:91" s="187" customFormat="1" ht="21" customHeight="1">
      <c r="B203" s="5120"/>
      <c r="C203" s="5121"/>
      <c r="D203" s="5121"/>
      <c r="E203" s="5121"/>
      <c r="F203" s="5121"/>
      <c r="G203" s="5122"/>
      <c r="H203" s="5122"/>
      <c r="I203" s="5122"/>
      <c r="J203" s="5122"/>
      <c r="K203" s="5122"/>
      <c r="L203" s="5122"/>
      <c r="M203" s="5122"/>
      <c r="N203" s="5122"/>
      <c r="O203" s="5122"/>
      <c r="P203" s="5122"/>
      <c r="Q203" s="5634"/>
      <c r="R203" s="5094" t="s">
        <v>1</v>
      </c>
      <c r="S203" s="5120"/>
      <c r="T203" s="5121"/>
      <c r="U203" s="5121"/>
      <c r="V203" s="5121"/>
      <c r="W203" s="5121"/>
      <c r="X203" s="5122"/>
      <c r="Y203" s="5122"/>
      <c r="Z203" s="5122"/>
      <c r="AA203" s="5122"/>
      <c r="AB203" s="5122"/>
      <c r="AC203" s="5122"/>
      <c r="AD203" s="5122"/>
      <c r="AE203" s="5122"/>
      <c r="AF203" s="5122"/>
      <c r="AG203" s="5122"/>
      <c r="AH203" s="5634"/>
      <c r="AI203" s="5094" t="s">
        <v>1</v>
      </c>
      <c r="AJ203" s="5120"/>
      <c r="AK203" s="5121"/>
      <c r="AL203" s="5121"/>
      <c r="AM203" s="5121"/>
      <c r="AN203" s="5121"/>
      <c r="AO203" s="5122"/>
      <c r="AP203" s="5122"/>
      <c r="AQ203" s="5122"/>
      <c r="AR203" s="5122"/>
      <c r="AS203" s="5122"/>
      <c r="AT203" s="5122"/>
      <c r="AU203" s="5122"/>
      <c r="AV203" s="5122"/>
      <c r="AW203" s="5122"/>
      <c r="AX203" s="5122"/>
      <c r="AY203" s="5634"/>
      <c r="AZ203" s="5094" t="s">
        <v>1</v>
      </c>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5">
        <v>1</v>
      </c>
      <c r="CL203" s="1"/>
      <c r="CM203" s="1"/>
    </row>
    <row r="204" spans="1:91" s="187" customFormat="1" ht="21" customHeight="1">
      <c r="B204" s="5120"/>
      <c r="C204" s="5121"/>
      <c r="D204" s="5121"/>
      <c r="E204" s="5121"/>
      <c r="F204" s="5121"/>
      <c r="G204" s="5122"/>
      <c r="H204" s="5122"/>
      <c r="I204" s="5122"/>
      <c r="J204" s="5122"/>
      <c r="K204" s="5122"/>
      <c r="L204" s="5122"/>
      <c r="M204" s="5122"/>
      <c r="N204" s="5122"/>
      <c r="O204" s="5122"/>
      <c r="P204" s="5122"/>
      <c r="Q204" s="5634"/>
      <c r="R204" s="5094" t="s">
        <v>1</v>
      </c>
      <c r="S204" s="5120"/>
      <c r="T204" s="5121"/>
      <c r="U204" s="5121"/>
      <c r="V204" s="5121"/>
      <c r="W204" s="5121"/>
      <c r="X204" s="5122"/>
      <c r="Y204" s="5122"/>
      <c r="Z204" s="5122"/>
      <c r="AA204" s="5122"/>
      <c r="AB204" s="5122"/>
      <c r="AC204" s="5122"/>
      <c r="AD204" s="5122"/>
      <c r="AE204" s="5122"/>
      <c r="AF204" s="5122"/>
      <c r="AG204" s="5122"/>
      <c r="AH204" s="5634"/>
      <c r="AI204" s="5094" t="s">
        <v>1</v>
      </c>
      <c r="AJ204" s="5120"/>
      <c r="AK204" s="5121"/>
      <c r="AL204" s="5121"/>
      <c r="AM204" s="5121"/>
      <c r="AN204" s="5121"/>
      <c r="AO204" s="5122"/>
      <c r="AP204" s="5122"/>
      <c r="AQ204" s="5122"/>
      <c r="AR204" s="5122"/>
      <c r="AS204" s="5122"/>
      <c r="AT204" s="5122"/>
      <c r="AU204" s="5122"/>
      <c r="AV204" s="5122"/>
      <c r="AW204" s="5122"/>
      <c r="AX204" s="5122"/>
      <c r="AY204" s="5634"/>
      <c r="AZ204" s="5094" t="s">
        <v>1</v>
      </c>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5">
        <v>1</v>
      </c>
      <c r="CL204" s="1"/>
      <c r="CM204" s="1"/>
    </row>
    <row r="205" spans="1:91" s="187" customFormat="1" ht="21" customHeight="1">
      <c r="B205" s="5120"/>
      <c r="C205" s="5121"/>
      <c r="D205" s="5121"/>
      <c r="E205" s="5121"/>
      <c r="F205" s="5121"/>
      <c r="G205" s="5122"/>
      <c r="H205" s="5122"/>
      <c r="I205" s="5122"/>
      <c r="J205" s="5122"/>
      <c r="K205" s="5122"/>
      <c r="L205" s="5122"/>
      <c r="M205" s="5122"/>
      <c r="N205" s="5122"/>
      <c r="O205" s="5122"/>
      <c r="P205" s="5122"/>
      <c r="Q205" s="5634"/>
      <c r="R205" s="5094" t="s">
        <v>1</v>
      </c>
      <c r="S205" s="5120"/>
      <c r="T205" s="5121"/>
      <c r="U205" s="5121"/>
      <c r="V205" s="5121"/>
      <c r="W205" s="5121"/>
      <c r="X205" s="5122"/>
      <c r="Y205" s="5122"/>
      <c r="Z205" s="5122"/>
      <c r="AA205" s="5122"/>
      <c r="AB205" s="5122"/>
      <c r="AC205" s="5122"/>
      <c r="AD205" s="5122"/>
      <c r="AE205" s="5122"/>
      <c r="AF205" s="5122"/>
      <c r="AG205" s="5122"/>
      <c r="AH205" s="5634"/>
      <c r="AI205" s="5094" t="s">
        <v>1</v>
      </c>
      <c r="AJ205" s="5120"/>
      <c r="AK205" s="5121"/>
      <c r="AL205" s="5121"/>
      <c r="AM205" s="5121"/>
      <c r="AN205" s="5121"/>
      <c r="AO205" s="5122"/>
      <c r="AP205" s="5122"/>
      <c r="AQ205" s="5122"/>
      <c r="AR205" s="5122"/>
      <c r="AS205" s="5122"/>
      <c r="AT205" s="5122"/>
      <c r="AU205" s="5122"/>
      <c r="AV205" s="5122"/>
      <c r="AW205" s="5122"/>
      <c r="AX205" s="5122"/>
      <c r="AY205" s="5634"/>
      <c r="AZ205" s="5094" t="s">
        <v>1</v>
      </c>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5">
        <v>1</v>
      </c>
      <c r="CL205" s="1"/>
      <c r="CM205" s="1"/>
    </row>
    <row r="206" spans="1:91" s="187" customFormat="1" ht="21" customHeight="1">
      <c r="B206" s="5120"/>
      <c r="C206" s="5121"/>
      <c r="D206" s="5121"/>
      <c r="E206" s="5121"/>
      <c r="F206" s="5121"/>
      <c r="G206" s="5122"/>
      <c r="H206" s="5122"/>
      <c r="I206" s="5122"/>
      <c r="J206" s="5122"/>
      <c r="K206" s="5122"/>
      <c r="L206" s="5122"/>
      <c r="M206" s="5122"/>
      <c r="N206" s="5122"/>
      <c r="O206" s="5122"/>
      <c r="P206" s="5122"/>
      <c r="Q206" s="5634"/>
      <c r="R206" s="5094" t="s">
        <v>1</v>
      </c>
      <c r="S206" s="5120"/>
      <c r="T206" s="5121"/>
      <c r="U206" s="5121"/>
      <c r="V206" s="5121"/>
      <c r="W206" s="5121"/>
      <c r="X206" s="5122"/>
      <c r="Y206" s="5122"/>
      <c r="Z206" s="5122"/>
      <c r="AA206" s="5122"/>
      <c r="AB206" s="5122"/>
      <c r="AC206" s="5122"/>
      <c r="AD206" s="5122"/>
      <c r="AE206" s="5122"/>
      <c r="AF206" s="5122"/>
      <c r="AG206" s="5122"/>
      <c r="AH206" s="5634"/>
      <c r="AI206" s="5094" t="s">
        <v>1</v>
      </c>
      <c r="AJ206" s="5120"/>
      <c r="AK206" s="5121"/>
      <c r="AL206" s="5121"/>
      <c r="AM206" s="5121"/>
      <c r="AN206" s="5121"/>
      <c r="AO206" s="5122"/>
      <c r="AP206" s="5122"/>
      <c r="AQ206" s="5122"/>
      <c r="AR206" s="5122"/>
      <c r="AS206" s="5122"/>
      <c r="AT206" s="5122"/>
      <c r="AU206" s="5122"/>
      <c r="AV206" s="5122"/>
      <c r="AW206" s="5122"/>
      <c r="AX206" s="5122"/>
      <c r="AY206" s="5634"/>
      <c r="AZ206" s="5094" t="s">
        <v>1</v>
      </c>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5">
        <v>1</v>
      </c>
      <c r="CL206" s="1"/>
      <c r="CM206" s="1"/>
    </row>
    <row r="207" spans="1:91" s="187" customFormat="1" ht="21" customHeight="1">
      <c r="B207" s="5120"/>
      <c r="C207" s="5121"/>
      <c r="D207" s="5121"/>
      <c r="E207" s="5121"/>
      <c r="F207" s="5121"/>
      <c r="G207" s="5122"/>
      <c r="H207" s="5122"/>
      <c r="I207" s="5122"/>
      <c r="J207" s="5122"/>
      <c r="K207" s="5122"/>
      <c r="L207" s="5122"/>
      <c r="M207" s="5122"/>
      <c r="N207" s="5122"/>
      <c r="O207" s="5122"/>
      <c r="P207" s="5122"/>
      <c r="Q207" s="5634"/>
      <c r="R207" s="5094" t="s">
        <v>1</v>
      </c>
      <c r="S207" s="5120"/>
      <c r="T207" s="5121"/>
      <c r="U207" s="5121"/>
      <c r="V207" s="5121"/>
      <c r="W207" s="5121"/>
      <c r="X207" s="5122"/>
      <c r="Y207" s="5122"/>
      <c r="Z207" s="5122"/>
      <c r="AA207" s="5122"/>
      <c r="AB207" s="5122"/>
      <c r="AC207" s="5122"/>
      <c r="AD207" s="5122"/>
      <c r="AE207" s="5122"/>
      <c r="AF207" s="5122"/>
      <c r="AG207" s="5122"/>
      <c r="AH207" s="5634"/>
      <c r="AI207" s="5094" t="s">
        <v>1</v>
      </c>
      <c r="AJ207" s="5120"/>
      <c r="AK207" s="5121"/>
      <c r="AL207" s="5121"/>
      <c r="AM207" s="5121"/>
      <c r="AN207" s="5121"/>
      <c r="AO207" s="5122"/>
      <c r="AP207" s="5122"/>
      <c r="AQ207" s="5122"/>
      <c r="AR207" s="5122"/>
      <c r="AS207" s="5122"/>
      <c r="AT207" s="5122"/>
      <c r="AU207" s="5122"/>
      <c r="AV207" s="5122"/>
      <c r="AW207" s="5122"/>
      <c r="AX207" s="5122"/>
      <c r="AY207" s="5634"/>
      <c r="AZ207" s="5094" t="s">
        <v>1</v>
      </c>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5">
        <v>1</v>
      </c>
      <c r="CL207" s="1"/>
      <c r="CM207" s="1"/>
    </row>
    <row r="208" spans="1:91" s="187" customFormat="1" ht="21" customHeight="1">
      <c r="B208" s="5120"/>
      <c r="C208" s="5121"/>
      <c r="D208" s="5121"/>
      <c r="E208" s="5121"/>
      <c r="F208" s="5121"/>
      <c r="G208" s="5122"/>
      <c r="H208" s="5122"/>
      <c r="I208" s="5122"/>
      <c r="J208" s="5122"/>
      <c r="K208" s="5122"/>
      <c r="L208" s="5122"/>
      <c r="M208" s="5122"/>
      <c r="N208" s="5122"/>
      <c r="O208" s="5122"/>
      <c r="P208" s="5122"/>
      <c r="Q208" s="5634"/>
      <c r="R208" s="5094" t="s">
        <v>1</v>
      </c>
      <c r="S208" s="5120"/>
      <c r="T208" s="5121"/>
      <c r="U208" s="5121"/>
      <c r="V208" s="5121"/>
      <c r="W208" s="5121"/>
      <c r="X208" s="5122"/>
      <c r="Y208" s="5122"/>
      <c r="Z208" s="5122"/>
      <c r="AA208" s="5122"/>
      <c r="AB208" s="5122"/>
      <c r="AC208" s="5122"/>
      <c r="AD208" s="5122"/>
      <c r="AE208" s="5122"/>
      <c r="AF208" s="5122"/>
      <c r="AG208" s="5122"/>
      <c r="AH208" s="5634"/>
      <c r="AI208" s="5094" t="s">
        <v>1</v>
      </c>
      <c r="AJ208" s="5120"/>
      <c r="AK208" s="5121"/>
      <c r="AL208" s="5121"/>
      <c r="AM208" s="5121"/>
      <c r="AN208" s="5121"/>
      <c r="AO208" s="5122"/>
      <c r="AP208" s="5122"/>
      <c r="AQ208" s="5122"/>
      <c r="AR208" s="5122"/>
      <c r="AS208" s="5122"/>
      <c r="AT208" s="5122"/>
      <c r="AU208" s="5122"/>
      <c r="AV208" s="5122"/>
      <c r="AW208" s="5122"/>
      <c r="AX208" s="5122"/>
      <c r="AY208" s="5634"/>
      <c r="AZ208" s="5094" t="s">
        <v>1</v>
      </c>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5">
        <v>1</v>
      </c>
      <c r="CL208" s="1"/>
      <c r="CM208" s="1"/>
    </row>
    <row r="209" spans="2:91" s="187" customFormat="1" ht="21" customHeight="1">
      <c r="B209" s="5120"/>
      <c r="C209" s="5121"/>
      <c r="D209" s="5121"/>
      <c r="E209" s="5121"/>
      <c r="F209" s="5121"/>
      <c r="G209" s="5122"/>
      <c r="H209" s="5122"/>
      <c r="I209" s="5122"/>
      <c r="J209" s="5122"/>
      <c r="K209" s="5122"/>
      <c r="L209" s="5122"/>
      <c r="M209" s="5122"/>
      <c r="N209" s="5122"/>
      <c r="O209" s="5122"/>
      <c r="P209" s="5122"/>
      <c r="Q209" s="5634"/>
      <c r="R209" s="5094" t="s">
        <v>1</v>
      </c>
      <c r="S209" s="5120"/>
      <c r="T209" s="5121"/>
      <c r="U209" s="5121"/>
      <c r="V209" s="5121"/>
      <c r="W209" s="5121"/>
      <c r="X209" s="5122"/>
      <c r="Y209" s="5122"/>
      <c r="Z209" s="5122"/>
      <c r="AA209" s="5122"/>
      <c r="AB209" s="5122"/>
      <c r="AC209" s="5122"/>
      <c r="AD209" s="5122"/>
      <c r="AE209" s="5122"/>
      <c r="AF209" s="5122"/>
      <c r="AG209" s="5122"/>
      <c r="AH209" s="5634"/>
      <c r="AI209" s="5094" t="s">
        <v>1</v>
      </c>
      <c r="AJ209" s="5120"/>
      <c r="AK209" s="5121"/>
      <c r="AL209" s="5121"/>
      <c r="AM209" s="5121"/>
      <c r="AN209" s="5121"/>
      <c r="AO209" s="5122"/>
      <c r="AP209" s="5122"/>
      <c r="AQ209" s="5122"/>
      <c r="AR209" s="5122"/>
      <c r="AS209" s="5122"/>
      <c r="AT209" s="5122"/>
      <c r="AU209" s="5122"/>
      <c r="AV209" s="5122"/>
      <c r="AW209" s="5122"/>
      <c r="AX209" s="5122"/>
      <c r="AY209" s="5634"/>
      <c r="AZ209" s="5094" t="s">
        <v>1</v>
      </c>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5">
        <v>1</v>
      </c>
      <c r="CL209" s="1"/>
      <c r="CM209" s="1"/>
    </row>
    <row r="210" spans="2:91" s="187" customFormat="1" ht="21" customHeight="1">
      <c r="B210" s="5120"/>
      <c r="C210" s="5121"/>
      <c r="D210" s="5121"/>
      <c r="E210" s="5121"/>
      <c r="F210" s="5121"/>
      <c r="G210" s="5122"/>
      <c r="H210" s="5122"/>
      <c r="I210" s="5122"/>
      <c r="J210" s="5122"/>
      <c r="K210" s="5122"/>
      <c r="L210" s="5122"/>
      <c r="M210" s="5122"/>
      <c r="N210" s="5122"/>
      <c r="O210" s="5122"/>
      <c r="P210" s="5122"/>
      <c r="Q210" s="5634"/>
      <c r="R210" s="5094" t="s">
        <v>1</v>
      </c>
      <c r="S210" s="5120"/>
      <c r="T210" s="5121"/>
      <c r="U210" s="5121"/>
      <c r="V210" s="5121"/>
      <c r="W210" s="5121"/>
      <c r="X210" s="5122"/>
      <c r="Y210" s="5122"/>
      <c r="Z210" s="5122"/>
      <c r="AA210" s="5122"/>
      <c r="AB210" s="5122"/>
      <c r="AC210" s="5122"/>
      <c r="AD210" s="5122"/>
      <c r="AE210" s="5122"/>
      <c r="AF210" s="5122"/>
      <c r="AG210" s="5122"/>
      <c r="AH210" s="5634"/>
      <c r="AI210" s="5094" t="s">
        <v>1</v>
      </c>
      <c r="AJ210" s="5120"/>
      <c r="AK210" s="5121"/>
      <c r="AL210" s="5121"/>
      <c r="AM210" s="5121"/>
      <c r="AN210" s="5121"/>
      <c r="AO210" s="5122"/>
      <c r="AP210" s="5122"/>
      <c r="AQ210" s="5122"/>
      <c r="AR210" s="5122"/>
      <c r="AS210" s="5122"/>
      <c r="AT210" s="5122"/>
      <c r="AU210" s="5122"/>
      <c r="AV210" s="5122"/>
      <c r="AW210" s="5122"/>
      <c r="AX210" s="5122"/>
      <c r="AY210" s="5634"/>
      <c r="AZ210" s="5094" t="s">
        <v>1</v>
      </c>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5">
        <v>1</v>
      </c>
      <c r="CL210" s="1"/>
      <c r="CM210" s="1"/>
    </row>
    <row r="211" spans="2:91" s="187" customFormat="1" ht="21" customHeight="1">
      <c r="B211" s="5120"/>
      <c r="C211" s="5121"/>
      <c r="D211" s="5121"/>
      <c r="E211" s="5121"/>
      <c r="F211" s="5121"/>
      <c r="G211" s="5122"/>
      <c r="H211" s="5122"/>
      <c r="I211" s="5122"/>
      <c r="J211" s="5122"/>
      <c r="K211" s="5122"/>
      <c r="L211" s="5122"/>
      <c r="M211" s="5122"/>
      <c r="N211" s="5122"/>
      <c r="O211" s="5122"/>
      <c r="P211" s="5122"/>
      <c r="Q211" s="5634"/>
      <c r="R211" s="5094" t="s">
        <v>1</v>
      </c>
      <c r="S211" s="5120"/>
      <c r="T211" s="5121"/>
      <c r="U211" s="5121"/>
      <c r="V211" s="5121"/>
      <c r="W211" s="5121"/>
      <c r="X211" s="5122"/>
      <c r="Y211" s="5122"/>
      <c r="Z211" s="5122"/>
      <c r="AA211" s="5122"/>
      <c r="AB211" s="5122"/>
      <c r="AC211" s="5122"/>
      <c r="AD211" s="5122"/>
      <c r="AE211" s="5122"/>
      <c r="AF211" s="5122"/>
      <c r="AG211" s="5122"/>
      <c r="AH211" s="5634"/>
      <c r="AI211" s="5094" t="s">
        <v>1</v>
      </c>
      <c r="AJ211" s="5120"/>
      <c r="AK211" s="5121"/>
      <c r="AL211" s="5121"/>
      <c r="AM211" s="5121"/>
      <c r="AN211" s="5121"/>
      <c r="AO211" s="5122"/>
      <c r="AP211" s="5122"/>
      <c r="AQ211" s="5122"/>
      <c r="AR211" s="5122"/>
      <c r="AS211" s="5122"/>
      <c r="AT211" s="5122"/>
      <c r="AU211" s="5122"/>
      <c r="AV211" s="5122"/>
      <c r="AW211" s="5122"/>
      <c r="AX211" s="5122"/>
      <c r="AY211" s="5634"/>
      <c r="AZ211" s="5094" t="s">
        <v>1</v>
      </c>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5">
        <v>1</v>
      </c>
      <c r="CL211" s="1"/>
      <c r="CM211" s="1"/>
    </row>
    <row r="212" spans="2:91" s="187" customFormat="1" ht="21" customHeight="1">
      <c r="B212" s="5120"/>
      <c r="C212" s="5121"/>
      <c r="D212" s="5121"/>
      <c r="E212" s="5121"/>
      <c r="F212" s="5121"/>
      <c r="G212" s="5122"/>
      <c r="H212" s="5122"/>
      <c r="I212" s="5122"/>
      <c r="J212" s="5122"/>
      <c r="K212" s="5122"/>
      <c r="L212" s="5122"/>
      <c r="M212" s="5122"/>
      <c r="N212" s="5122"/>
      <c r="O212" s="5122"/>
      <c r="P212" s="5122"/>
      <c r="Q212" s="5634"/>
      <c r="R212" s="5094" t="s">
        <v>1</v>
      </c>
      <c r="S212" s="5120"/>
      <c r="T212" s="5121"/>
      <c r="U212" s="5121"/>
      <c r="V212" s="5121"/>
      <c r="W212" s="5121"/>
      <c r="X212" s="5122"/>
      <c r="Y212" s="5122"/>
      <c r="Z212" s="5122"/>
      <c r="AA212" s="5122"/>
      <c r="AB212" s="5122"/>
      <c r="AC212" s="5122"/>
      <c r="AD212" s="5122"/>
      <c r="AE212" s="5122"/>
      <c r="AF212" s="5122"/>
      <c r="AG212" s="5122"/>
      <c r="AH212" s="5634"/>
      <c r="AI212" s="5094" t="s">
        <v>1</v>
      </c>
      <c r="AJ212" s="5120"/>
      <c r="AK212" s="5121"/>
      <c r="AL212" s="5121"/>
      <c r="AM212" s="5121"/>
      <c r="AN212" s="5121"/>
      <c r="AO212" s="5122"/>
      <c r="AP212" s="5122"/>
      <c r="AQ212" s="5122"/>
      <c r="AR212" s="5122"/>
      <c r="AS212" s="5122"/>
      <c r="AT212" s="5122"/>
      <c r="AU212" s="5122"/>
      <c r="AV212" s="5122"/>
      <c r="AW212" s="5122"/>
      <c r="AX212" s="5122"/>
      <c r="AY212" s="5634"/>
      <c r="AZ212" s="5094" t="s">
        <v>1</v>
      </c>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5">
        <v>1</v>
      </c>
      <c r="CL212" s="1"/>
      <c r="CM212" s="1"/>
    </row>
    <row r="213" spans="2:91" s="187" customFormat="1" ht="21" customHeight="1">
      <c r="B213" s="5120"/>
      <c r="C213" s="5121"/>
      <c r="D213" s="5121"/>
      <c r="E213" s="5121"/>
      <c r="F213" s="5121"/>
      <c r="G213" s="5122"/>
      <c r="H213" s="5122"/>
      <c r="I213" s="5122"/>
      <c r="J213" s="5122"/>
      <c r="K213" s="5122"/>
      <c r="L213" s="5122"/>
      <c r="M213" s="5122"/>
      <c r="N213" s="5122"/>
      <c r="O213" s="5122"/>
      <c r="P213" s="5122"/>
      <c r="Q213" s="5634"/>
      <c r="R213" s="5094" t="s">
        <v>1</v>
      </c>
      <c r="S213" s="5120"/>
      <c r="T213" s="5121"/>
      <c r="U213" s="5121"/>
      <c r="V213" s="5121"/>
      <c r="W213" s="5121"/>
      <c r="X213" s="5122"/>
      <c r="Y213" s="5122"/>
      <c r="Z213" s="5122"/>
      <c r="AA213" s="5122"/>
      <c r="AB213" s="5122"/>
      <c r="AC213" s="5122"/>
      <c r="AD213" s="5122"/>
      <c r="AE213" s="5122"/>
      <c r="AF213" s="5122"/>
      <c r="AG213" s="5122"/>
      <c r="AH213" s="5634"/>
      <c r="AI213" s="5094" t="s">
        <v>1</v>
      </c>
      <c r="AJ213" s="5120"/>
      <c r="AK213" s="5121"/>
      <c r="AL213" s="5121"/>
      <c r="AM213" s="5121"/>
      <c r="AN213" s="5121"/>
      <c r="AO213" s="5122"/>
      <c r="AP213" s="5122"/>
      <c r="AQ213" s="5122"/>
      <c r="AR213" s="5122"/>
      <c r="AS213" s="5122"/>
      <c r="AT213" s="5122"/>
      <c r="AU213" s="5122"/>
      <c r="AV213" s="5122"/>
      <c r="AW213" s="5122"/>
      <c r="AX213" s="5122"/>
      <c r="AY213" s="5634"/>
      <c r="AZ213" s="5094" t="s">
        <v>1</v>
      </c>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5">
        <v>1</v>
      </c>
      <c r="CL213" s="1"/>
      <c r="CM213" s="1"/>
    </row>
    <row r="214" spans="2:91" s="187" customFormat="1" ht="21" customHeight="1">
      <c r="B214" s="5120"/>
      <c r="C214" s="5121"/>
      <c r="D214" s="5121"/>
      <c r="E214" s="5121"/>
      <c r="F214" s="5121"/>
      <c r="G214" s="5122"/>
      <c r="H214" s="5122"/>
      <c r="I214" s="5122"/>
      <c r="J214" s="5122"/>
      <c r="K214" s="5122"/>
      <c r="L214" s="5122"/>
      <c r="M214" s="5122"/>
      <c r="N214" s="5122"/>
      <c r="O214" s="5122"/>
      <c r="P214" s="5122"/>
      <c r="Q214" s="5634"/>
      <c r="R214" s="5094" t="s">
        <v>1</v>
      </c>
      <c r="S214" s="5120"/>
      <c r="T214" s="5121"/>
      <c r="U214" s="5121"/>
      <c r="V214" s="5121"/>
      <c r="W214" s="5121"/>
      <c r="X214" s="5122"/>
      <c r="Y214" s="5122"/>
      <c r="Z214" s="5122"/>
      <c r="AA214" s="5122"/>
      <c r="AB214" s="5122"/>
      <c r="AC214" s="5122"/>
      <c r="AD214" s="5122"/>
      <c r="AE214" s="5122"/>
      <c r="AF214" s="5122"/>
      <c r="AG214" s="5122"/>
      <c r="AH214" s="5634"/>
      <c r="AI214" s="5094" t="s">
        <v>1</v>
      </c>
      <c r="AJ214" s="5120"/>
      <c r="AK214" s="5121"/>
      <c r="AL214" s="5121"/>
      <c r="AM214" s="5121"/>
      <c r="AN214" s="5121"/>
      <c r="AO214" s="5122"/>
      <c r="AP214" s="5122"/>
      <c r="AQ214" s="5122"/>
      <c r="AR214" s="5122"/>
      <c r="AS214" s="5122"/>
      <c r="AT214" s="5122"/>
      <c r="AU214" s="5122"/>
      <c r="AV214" s="5122"/>
      <c r="AW214" s="5122"/>
      <c r="AX214" s="5122"/>
      <c r="AY214" s="5634"/>
      <c r="AZ214" s="5094" t="s">
        <v>1</v>
      </c>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5">
        <v>1</v>
      </c>
      <c r="CL214" s="1"/>
      <c r="CM214" s="1"/>
    </row>
    <row r="215" spans="2:91" s="187" customFormat="1" ht="21" customHeight="1">
      <c r="B215" s="5120"/>
      <c r="C215" s="5121"/>
      <c r="D215" s="5121"/>
      <c r="E215" s="5121"/>
      <c r="F215" s="5121"/>
      <c r="G215" s="5122"/>
      <c r="H215" s="5122"/>
      <c r="I215" s="5122"/>
      <c r="J215" s="5122"/>
      <c r="K215" s="5122"/>
      <c r="L215" s="5122"/>
      <c r="M215" s="5122"/>
      <c r="N215" s="5122"/>
      <c r="O215" s="5122"/>
      <c r="P215" s="5122"/>
      <c r="Q215" s="5634"/>
      <c r="R215" s="5094" t="s">
        <v>1</v>
      </c>
      <c r="S215" s="5120"/>
      <c r="T215" s="5121"/>
      <c r="U215" s="5121"/>
      <c r="V215" s="5121"/>
      <c r="W215" s="5121"/>
      <c r="X215" s="5122"/>
      <c r="Y215" s="5122"/>
      <c r="Z215" s="5122"/>
      <c r="AA215" s="5122"/>
      <c r="AB215" s="5122"/>
      <c r="AC215" s="5122"/>
      <c r="AD215" s="5122"/>
      <c r="AE215" s="5122"/>
      <c r="AF215" s="5122"/>
      <c r="AG215" s="5122"/>
      <c r="AH215" s="5634"/>
      <c r="AI215" s="5094" t="s">
        <v>1</v>
      </c>
      <c r="AJ215" s="5120"/>
      <c r="AK215" s="5121"/>
      <c r="AL215" s="5121"/>
      <c r="AM215" s="5121"/>
      <c r="AN215" s="5121"/>
      <c r="AO215" s="5122"/>
      <c r="AP215" s="5122"/>
      <c r="AQ215" s="5122"/>
      <c r="AR215" s="5122"/>
      <c r="AS215" s="5122"/>
      <c r="AT215" s="5122"/>
      <c r="AU215" s="5122"/>
      <c r="AV215" s="5122"/>
      <c r="AW215" s="5122"/>
      <c r="AX215" s="5122"/>
      <c r="AY215" s="5634"/>
      <c r="AZ215" s="5094" t="s">
        <v>1</v>
      </c>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5">
        <v>1</v>
      </c>
      <c r="CL215" s="1"/>
      <c r="CM215" s="1"/>
    </row>
    <row r="216" spans="2:91" s="187" customFormat="1" ht="21" customHeight="1">
      <c r="B216" s="5120"/>
      <c r="C216" s="5121"/>
      <c r="D216" s="5121"/>
      <c r="E216" s="5121"/>
      <c r="F216" s="5121"/>
      <c r="G216" s="5122"/>
      <c r="H216" s="5122"/>
      <c r="I216" s="5122"/>
      <c r="J216" s="5122"/>
      <c r="K216" s="5122"/>
      <c r="L216" s="5122"/>
      <c r="M216" s="5122"/>
      <c r="N216" s="5122"/>
      <c r="O216" s="5122"/>
      <c r="P216" s="5122"/>
      <c r="Q216" s="5634"/>
      <c r="R216" s="5094" t="s">
        <v>1</v>
      </c>
      <c r="S216" s="5120"/>
      <c r="T216" s="5121"/>
      <c r="U216" s="5121"/>
      <c r="V216" s="5121"/>
      <c r="W216" s="5121"/>
      <c r="X216" s="5122"/>
      <c r="Y216" s="5122"/>
      <c r="Z216" s="5122"/>
      <c r="AA216" s="5122"/>
      <c r="AB216" s="5122"/>
      <c r="AC216" s="5122"/>
      <c r="AD216" s="5122"/>
      <c r="AE216" s="5122"/>
      <c r="AF216" s="5122"/>
      <c r="AG216" s="5122"/>
      <c r="AH216" s="5634"/>
      <c r="AI216" s="5094" t="s">
        <v>1</v>
      </c>
      <c r="AJ216" s="5120"/>
      <c r="AK216" s="5121"/>
      <c r="AL216" s="5121"/>
      <c r="AM216" s="5121"/>
      <c r="AN216" s="5121"/>
      <c r="AO216" s="5122"/>
      <c r="AP216" s="5122"/>
      <c r="AQ216" s="5122"/>
      <c r="AR216" s="5122"/>
      <c r="AS216" s="5122"/>
      <c r="AT216" s="5122"/>
      <c r="AU216" s="5122"/>
      <c r="AV216" s="5122"/>
      <c r="AW216" s="5122"/>
      <c r="AX216" s="5122"/>
      <c r="AY216" s="5634"/>
      <c r="AZ216" s="5094" t="s">
        <v>1</v>
      </c>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5">
        <v>1</v>
      </c>
      <c r="CL216" s="1"/>
      <c r="CM216" s="1"/>
    </row>
    <row r="217" spans="2:91" s="187" customFormat="1" ht="21" customHeight="1">
      <c r="B217" s="5120"/>
      <c r="C217" s="5121"/>
      <c r="D217" s="5121"/>
      <c r="E217" s="5121"/>
      <c r="F217" s="5121"/>
      <c r="G217" s="5122"/>
      <c r="H217" s="5122"/>
      <c r="I217" s="5122"/>
      <c r="J217" s="5122"/>
      <c r="K217" s="5122"/>
      <c r="L217" s="5122"/>
      <c r="M217" s="5122"/>
      <c r="N217" s="5122"/>
      <c r="O217" s="5122"/>
      <c r="P217" s="5122"/>
      <c r="Q217" s="5634"/>
      <c r="R217" s="5094" t="s">
        <v>1</v>
      </c>
      <c r="S217" s="5120"/>
      <c r="T217" s="5121"/>
      <c r="U217" s="5121"/>
      <c r="V217" s="5121"/>
      <c r="W217" s="5121"/>
      <c r="X217" s="5122"/>
      <c r="Y217" s="5122"/>
      <c r="Z217" s="5122"/>
      <c r="AA217" s="5122"/>
      <c r="AB217" s="5122"/>
      <c r="AC217" s="5122"/>
      <c r="AD217" s="5122"/>
      <c r="AE217" s="5122"/>
      <c r="AF217" s="5122"/>
      <c r="AG217" s="5122"/>
      <c r="AH217" s="5634"/>
      <c r="AI217" s="5094" t="s">
        <v>1</v>
      </c>
      <c r="AJ217" s="5120"/>
      <c r="AK217" s="5121"/>
      <c r="AL217" s="5121"/>
      <c r="AM217" s="5121"/>
      <c r="AN217" s="5121"/>
      <c r="AO217" s="5122"/>
      <c r="AP217" s="5122"/>
      <c r="AQ217" s="5122"/>
      <c r="AR217" s="5122"/>
      <c r="AS217" s="5122"/>
      <c r="AT217" s="5122"/>
      <c r="AU217" s="5122"/>
      <c r="AV217" s="5122"/>
      <c r="AW217" s="5122"/>
      <c r="AX217" s="5122"/>
      <c r="AY217" s="5634"/>
      <c r="AZ217" s="5094" t="s">
        <v>1</v>
      </c>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5">
        <v>1</v>
      </c>
      <c r="CL217" s="1"/>
      <c r="CM217" s="1"/>
    </row>
    <row r="218" spans="2:91" s="187" customFormat="1" ht="21" customHeight="1">
      <c r="B218" s="5120"/>
      <c r="C218" s="5121"/>
      <c r="D218" s="5121"/>
      <c r="E218" s="5121"/>
      <c r="F218" s="5121"/>
      <c r="G218" s="5122"/>
      <c r="H218" s="5122"/>
      <c r="I218" s="5122"/>
      <c r="J218" s="5122"/>
      <c r="K218" s="5122"/>
      <c r="L218" s="5122"/>
      <c r="M218" s="5122"/>
      <c r="N218" s="5122"/>
      <c r="O218" s="5122"/>
      <c r="P218" s="5122"/>
      <c r="Q218" s="5634"/>
      <c r="R218" s="5094" t="s">
        <v>1</v>
      </c>
      <c r="S218" s="5120"/>
      <c r="T218" s="5121"/>
      <c r="U218" s="5121"/>
      <c r="V218" s="5121"/>
      <c r="W218" s="5121"/>
      <c r="X218" s="5122"/>
      <c r="Y218" s="5122"/>
      <c r="Z218" s="5122"/>
      <c r="AA218" s="5122"/>
      <c r="AB218" s="5122"/>
      <c r="AC218" s="5122"/>
      <c r="AD218" s="5122"/>
      <c r="AE218" s="5122"/>
      <c r="AF218" s="5122"/>
      <c r="AG218" s="5122"/>
      <c r="AH218" s="5634"/>
      <c r="AI218" s="5094" t="s">
        <v>1</v>
      </c>
      <c r="AJ218" s="5120"/>
      <c r="AK218" s="5121"/>
      <c r="AL218" s="5121"/>
      <c r="AM218" s="5121"/>
      <c r="AN218" s="5121"/>
      <c r="AO218" s="5122"/>
      <c r="AP218" s="5122"/>
      <c r="AQ218" s="5122"/>
      <c r="AR218" s="5122"/>
      <c r="AS218" s="5122"/>
      <c r="AT218" s="5122"/>
      <c r="AU218" s="5122"/>
      <c r="AV218" s="5122"/>
      <c r="AW218" s="5122"/>
      <c r="AX218" s="5122"/>
      <c r="AY218" s="5634"/>
      <c r="AZ218" s="5094" t="s">
        <v>1</v>
      </c>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5">
        <v>1</v>
      </c>
      <c r="CL218" s="1"/>
      <c r="CM218" s="1"/>
    </row>
    <row r="219" spans="2:91" s="187" customFormat="1" ht="21" customHeight="1">
      <c r="B219" s="5120"/>
      <c r="C219" s="5121"/>
      <c r="D219" s="5121"/>
      <c r="E219" s="5121"/>
      <c r="F219" s="5121"/>
      <c r="G219" s="5122"/>
      <c r="H219" s="5122"/>
      <c r="I219" s="5122"/>
      <c r="J219" s="5122"/>
      <c r="K219" s="5122"/>
      <c r="L219" s="5122"/>
      <c r="M219" s="5122"/>
      <c r="N219" s="5122"/>
      <c r="O219" s="5122"/>
      <c r="P219" s="5122"/>
      <c r="Q219" s="5634"/>
      <c r="R219" s="5094" t="s">
        <v>1</v>
      </c>
      <c r="S219" s="5120"/>
      <c r="T219" s="5121"/>
      <c r="U219" s="5121"/>
      <c r="V219" s="5121"/>
      <c r="W219" s="5121"/>
      <c r="X219" s="5122"/>
      <c r="Y219" s="5122"/>
      <c r="Z219" s="5122"/>
      <c r="AA219" s="5122"/>
      <c r="AB219" s="5122"/>
      <c r="AC219" s="5122"/>
      <c r="AD219" s="5122"/>
      <c r="AE219" s="5122"/>
      <c r="AF219" s="5122"/>
      <c r="AG219" s="5122"/>
      <c r="AH219" s="5634"/>
      <c r="AI219" s="5094" t="s">
        <v>1</v>
      </c>
      <c r="AJ219" s="5120"/>
      <c r="AK219" s="5121"/>
      <c r="AL219" s="5121"/>
      <c r="AM219" s="5121"/>
      <c r="AN219" s="5121"/>
      <c r="AO219" s="5122"/>
      <c r="AP219" s="5122"/>
      <c r="AQ219" s="5122"/>
      <c r="AR219" s="5122"/>
      <c r="AS219" s="5122"/>
      <c r="AT219" s="5122"/>
      <c r="AU219" s="5122"/>
      <c r="AV219" s="5122"/>
      <c r="AW219" s="5122"/>
      <c r="AX219" s="5122"/>
      <c r="AY219" s="5634"/>
      <c r="AZ219" s="5094" t="s">
        <v>1</v>
      </c>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5">
        <v>1</v>
      </c>
      <c r="CL219" s="1"/>
      <c r="CM219" s="1"/>
    </row>
    <row r="220" spans="2:91" s="187" customFormat="1" ht="21" customHeight="1">
      <c r="B220" s="5120"/>
      <c r="C220" s="5121"/>
      <c r="D220" s="5121"/>
      <c r="E220" s="5121"/>
      <c r="F220" s="5121"/>
      <c r="G220" s="5122"/>
      <c r="H220" s="5122"/>
      <c r="I220" s="5122"/>
      <c r="J220" s="5122"/>
      <c r="K220" s="5122"/>
      <c r="L220" s="5122"/>
      <c r="M220" s="5122"/>
      <c r="N220" s="5122"/>
      <c r="O220" s="5122"/>
      <c r="P220" s="5122"/>
      <c r="Q220" s="5634"/>
      <c r="R220" s="5094" t="s">
        <v>1</v>
      </c>
      <c r="S220" s="5120"/>
      <c r="T220" s="5121"/>
      <c r="U220" s="5121"/>
      <c r="V220" s="5121"/>
      <c r="W220" s="5121"/>
      <c r="X220" s="5122"/>
      <c r="Y220" s="5122"/>
      <c r="Z220" s="5122"/>
      <c r="AA220" s="5122"/>
      <c r="AB220" s="5122"/>
      <c r="AC220" s="5122"/>
      <c r="AD220" s="5122"/>
      <c r="AE220" s="5122"/>
      <c r="AF220" s="5122"/>
      <c r="AG220" s="5122"/>
      <c r="AH220" s="5634"/>
      <c r="AI220" s="5094" t="s">
        <v>1</v>
      </c>
      <c r="AJ220" s="5120"/>
      <c r="AK220" s="5121"/>
      <c r="AL220" s="5121"/>
      <c r="AM220" s="5121"/>
      <c r="AN220" s="5121"/>
      <c r="AO220" s="5122"/>
      <c r="AP220" s="5122"/>
      <c r="AQ220" s="5122"/>
      <c r="AR220" s="5122"/>
      <c r="AS220" s="5122"/>
      <c r="AT220" s="5122"/>
      <c r="AU220" s="5122"/>
      <c r="AV220" s="5122"/>
      <c r="AW220" s="5122"/>
      <c r="AX220" s="5122"/>
      <c r="AY220" s="5634"/>
      <c r="AZ220" s="5094" t="s">
        <v>1</v>
      </c>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5">
        <v>1</v>
      </c>
      <c r="CL220" s="1"/>
      <c r="CM220" s="1"/>
    </row>
    <row r="221" spans="2:91" s="187" customFormat="1" ht="21" customHeight="1">
      <c r="B221" s="5120"/>
      <c r="C221" s="5121"/>
      <c r="D221" s="5121"/>
      <c r="E221" s="5121"/>
      <c r="F221" s="5121"/>
      <c r="G221" s="5122"/>
      <c r="H221" s="5122"/>
      <c r="I221" s="5122"/>
      <c r="J221" s="5122"/>
      <c r="K221" s="5122"/>
      <c r="L221" s="5122"/>
      <c r="M221" s="5122"/>
      <c r="N221" s="5122"/>
      <c r="O221" s="5122"/>
      <c r="P221" s="5122"/>
      <c r="Q221" s="5634"/>
      <c r="R221" s="5094" t="s">
        <v>1</v>
      </c>
      <c r="S221" s="5120"/>
      <c r="T221" s="5121"/>
      <c r="U221" s="5121"/>
      <c r="V221" s="5121"/>
      <c r="W221" s="5121"/>
      <c r="X221" s="5122"/>
      <c r="Y221" s="5122"/>
      <c r="Z221" s="5122"/>
      <c r="AA221" s="5122"/>
      <c r="AB221" s="5122"/>
      <c r="AC221" s="5122"/>
      <c r="AD221" s="5122"/>
      <c r="AE221" s="5122"/>
      <c r="AF221" s="5122"/>
      <c r="AG221" s="5122"/>
      <c r="AH221" s="5634"/>
      <c r="AI221" s="5094" t="s">
        <v>1</v>
      </c>
      <c r="AJ221" s="5120"/>
      <c r="AK221" s="5121"/>
      <c r="AL221" s="5121"/>
      <c r="AM221" s="5121"/>
      <c r="AN221" s="5121"/>
      <c r="AO221" s="5122"/>
      <c r="AP221" s="5122"/>
      <c r="AQ221" s="5122"/>
      <c r="AR221" s="5122"/>
      <c r="AS221" s="5122"/>
      <c r="AT221" s="5122"/>
      <c r="AU221" s="5122"/>
      <c r="AV221" s="5122"/>
      <c r="AW221" s="5122"/>
      <c r="AX221" s="5122"/>
      <c r="AY221" s="5634"/>
      <c r="AZ221" s="5094" t="s">
        <v>1</v>
      </c>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5">
        <v>1</v>
      </c>
      <c r="CL221" s="1"/>
      <c r="CM221" s="1"/>
    </row>
    <row r="222" spans="2:91" s="187" customFormat="1" ht="21" customHeight="1">
      <c r="B222" s="5120"/>
      <c r="C222" s="5121"/>
      <c r="D222" s="5121"/>
      <c r="E222" s="5121"/>
      <c r="F222" s="5121"/>
      <c r="G222" s="5122"/>
      <c r="H222" s="5122"/>
      <c r="I222" s="5122"/>
      <c r="J222" s="5122"/>
      <c r="K222" s="5122"/>
      <c r="L222" s="5122"/>
      <c r="M222" s="5122"/>
      <c r="N222" s="5122"/>
      <c r="O222" s="5122"/>
      <c r="P222" s="5122"/>
      <c r="Q222" s="5634"/>
      <c r="R222" s="5094" t="s">
        <v>1</v>
      </c>
      <c r="S222" s="5120"/>
      <c r="T222" s="5121"/>
      <c r="U222" s="5121"/>
      <c r="V222" s="5121"/>
      <c r="W222" s="5121"/>
      <c r="X222" s="5122"/>
      <c r="Y222" s="5122"/>
      <c r="Z222" s="5122"/>
      <c r="AA222" s="5122"/>
      <c r="AB222" s="5122"/>
      <c r="AC222" s="5122"/>
      <c r="AD222" s="5122"/>
      <c r="AE222" s="5122"/>
      <c r="AF222" s="5122"/>
      <c r="AG222" s="5122"/>
      <c r="AH222" s="5634"/>
      <c r="AI222" s="5094" t="s">
        <v>1</v>
      </c>
      <c r="AJ222" s="5120"/>
      <c r="AK222" s="5121"/>
      <c r="AL222" s="5121"/>
      <c r="AM222" s="5121"/>
      <c r="AN222" s="5121"/>
      <c r="AO222" s="5122"/>
      <c r="AP222" s="5122"/>
      <c r="AQ222" s="5122"/>
      <c r="AR222" s="5122"/>
      <c r="AS222" s="5122"/>
      <c r="AT222" s="5122"/>
      <c r="AU222" s="5122"/>
      <c r="AV222" s="5122"/>
      <c r="AW222" s="5122"/>
      <c r="AX222" s="5122"/>
      <c r="AY222" s="5634"/>
      <c r="AZ222" s="5094" t="s">
        <v>1</v>
      </c>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5">
        <v>1</v>
      </c>
      <c r="CL222" s="1"/>
      <c r="CM222" s="1"/>
    </row>
    <row r="223" spans="2:91" s="187" customFormat="1" ht="21" customHeight="1">
      <c r="B223" s="5120"/>
      <c r="C223" s="5121"/>
      <c r="D223" s="5121"/>
      <c r="E223" s="5121"/>
      <c r="F223" s="5121"/>
      <c r="G223" s="5122"/>
      <c r="H223" s="5122"/>
      <c r="I223" s="5122"/>
      <c r="J223" s="5122"/>
      <c r="K223" s="5122"/>
      <c r="L223" s="5122"/>
      <c r="M223" s="5122"/>
      <c r="N223" s="5122"/>
      <c r="O223" s="5122"/>
      <c r="P223" s="5122"/>
      <c r="Q223" s="5634"/>
      <c r="R223" s="5094" t="s">
        <v>1</v>
      </c>
      <c r="S223" s="5120"/>
      <c r="T223" s="5121"/>
      <c r="U223" s="5121"/>
      <c r="V223" s="5121"/>
      <c r="W223" s="5121"/>
      <c r="X223" s="5122"/>
      <c r="Y223" s="5122"/>
      <c r="Z223" s="5122"/>
      <c r="AA223" s="5122"/>
      <c r="AB223" s="5122"/>
      <c r="AC223" s="5122"/>
      <c r="AD223" s="5122"/>
      <c r="AE223" s="5122"/>
      <c r="AF223" s="5122"/>
      <c r="AG223" s="5122"/>
      <c r="AH223" s="5634"/>
      <c r="AI223" s="5094" t="s">
        <v>1</v>
      </c>
      <c r="AJ223" s="5120"/>
      <c r="AK223" s="5121"/>
      <c r="AL223" s="5121"/>
      <c r="AM223" s="5121"/>
      <c r="AN223" s="5121"/>
      <c r="AO223" s="5122"/>
      <c r="AP223" s="5122"/>
      <c r="AQ223" s="5122"/>
      <c r="AR223" s="5122"/>
      <c r="AS223" s="5122"/>
      <c r="AT223" s="5122"/>
      <c r="AU223" s="5122"/>
      <c r="AV223" s="5122"/>
      <c r="AW223" s="5122"/>
      <c r="AX223" s="5122"/>
      <c r="AY223" s="5634"/>
      <c r="AZ223" s="5094" t="s">
        <v>1</v>
      </c>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5">
        <v>1</v>
      </c>
      <c r="CL223" s="1"/>
      <c r="CM223" s="1"/>
    </row>
    <row r="224" spans="2:91" s="187" customFormat="1" ht="21" customHeight="1">
      <c r="B224" s="5120"/>
      <c r="C224" s="5121"/>
      <c r="D224" s="5121"/>
      <c r="E224" s="5121"/>
      <c r="F224" s="5121"/>
      <c r="G224" s="5122"/>
      <c r="H224" s="5122"/>
      <c r="I224" s="5122"/>
      <c r="J224" s="5122"/>
      <c r="K224" s="5122"/>
      <c r="L224" s="5122"/>
      <c r="M224" s="5122"/>
      <c r="N224" s="5122"/>
      <c r="O224" s="5122"/>
      <c r="P224" s="5122"/>
      <c r="Q224" s="5634"/>
      <c r="R224" s="5094" t="s">
        <v>1</v>
      </c>
      <c r="S224" s="5120"/>
      <c r="T224" s="5121"/>
      <c r="U224" s="5121"/>
      <c r="V224" s="5121"/>
      <c r="W224" s="5121"/>
      <c r="X224" s="5122"/>
      <c r="Y224" s="5122"/>
      <c r="Z224" s="5122"/>
      <c r="AA224" s="5122"/>
      <c r="AB224" s="5122"/>
      <c r="AC224" s="5122"/>
      <c r="AD224" s="5122"/>
      <c r="AE224" s="5122"/>
      <c r="AF224" s="5122"/>
      <c r="AG224" s="5122"/>
      <c r="AH224" s="5634"/>
      <c r="AI224" s="5094" t="s">
        <v>1</v>
      </c>
      <c r="AJ224" s="5120"/>
      <c r="AK224" s="5121"/>
      <c r="AL224" s="5121"/>
      <c r="AM224" s="5121"/>
      <c r="AN224" s="5121"/>
      <c r="AO224" s="5122"/>
      <c r="AP224" s="5122"/>
      <c r="AQ224" s="5122"/>
      <c r="AR224" s="5122"/>
      <c r="AS224" s="5122"/>
      <c r="AT224" s="5122"/>
      <c r="AU224" s="5122"/>
      <c r="AV224" s="5122"/>
      <c r="AW224" s="5122"/>
      <c r="AX224" s="5122"/>
      <c r="AY224" s="5634"/>
      <c r="AZ224" s="5094" t="s">
        <v>1</v>
      </c>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5">
        <v>1</v>
      </c>
      <c r="CL224" s="1"/>
      <c r="CM224" s="1"/>
    </row>
    <row r="225" spans="2:91" s="187" customFormat="1" ht="21" customHeight="1">
      <c r="B225" s="5120"/>
      <c r="C225" s="5121"/>
      <c r="D225" s="5121"/>
      <c r="E225" s="5121"/>
      <c r="F225" s="5121"/>
      <c r="G225" s="5122"/>
      <c r="H225" s="5122"/>
      <c r="I225" s="5122"/>
      <c r="J225" s="5122"/>
      <c r="K225" s="5122"/>
      <c r="L225" s="5122"/>
      <c r="M225" s="5122"/>
      <c r="N225" s="5122"/>
      <c r="O225" s="5122"/>
      <c r="P225" s="5122"/>
      <c r="Q225" s="5634"/>
      <c r="R225" s="5094" t="s">
        <v>1</v>
      </c>
      <c r="S225" s="5120"/>
      <c r="T225" s="5121"/>
      <c r="U225" s="5121"/>
      <c r="V225" s="5121"/>
      <c r="W225" s="5121"/>
      <c r="X225" s="5122"/>
      <c r="Y225" s="5122"/>
      <c r="Z225" s="5122"/>
      <c r="AA225" s="5122"/>
      <c r="AB225" s="5122"/>
      <c r="AC225" s="5122"/>
      <c r="AD225" s="5122"/>
      <c r="AE225" s="5122"/>
      <c r="AF225" s="5122"/>
      <c r="AG225" s="5122"/>
      <c r="AH225" s="5634"/>
      <c r="AI225" s="5094" t="s">
        <v>1</v>
      </c>
      <c r="AJ225" s="5120"/>
      <c r="AK225" s="5121"/>
      <c r="AL225" s="5121"/>
      <c r="AM225" s="5121"/>
      <c r="AN225" s="5121"/>
      <c r="AO225" s="5122"/>
      <c r="AP225" s="5122"/>
      <c r="AQ225" s="5122"/>
      <c r="AR225" s="5122"/>
      <c r="AS225" s="5122"/>
      <c r="AT225" s="5122"/>
      <c r="AU225" s="5122"/>
      <c r="AV225" s="5122"/>
      <c r="AW225" s="5122"/>
      <c r="AX225" s="5122"/>
      <c r="AY225" s="5634"/>
      <c r="AZ225" s="5094" t="s">
        <v>1</v>
      </c>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5">
        <v>1</v>
      </c>
      <c r="CL225" s="1"/>
      <c r="CM225" s="1"/>
    </row>
    <row r="226" spans="2:91" s="187" customFormat="1" ht="21" customHeight="1">
      <c r="B226" s="5120"/>
      <c r="C226" s="5121"/>
      <c r="D226" s="5121"/>
      <c r="E226" s="5121"/>
      <c r="F226" s="5121"/>
      <c r="G226" s="5122"/>
      <c r="H226" s="5122"/>
      <c r="I226" s="5122"/>
      <c r="J226" s="5122"/>
      <c r="K226" s="5122"/>
      <c r="L226" s="5122"/>
      <c r="M226" s="5122"/>
      <c r="N226" s="5122"/>
      <c r="O226" s="5122"/>
      <c r="P226" s="5122"/>
      <c r="Q226" s="5634"/>
      <c r="R226" s="5094" t="s">
        <v>1</v>
      </c>
      <c r="S226" s="5120"/>
      <c r="T226" s="5121"/>
      <c r="U226" s="5121"/>
      <c r="V226" s="5121"/>
      <c r="W226" s="5121"/>
      <c r="X226" s="5122"/>
      <c r="Y226" s="5122"/>
      <c r="Z226" s="5122"/>
      <c r="AA226" s="5122"/>
      <c r="AB226" s="5122"/>
      <c r="AC226" s="5122"/>
      <c r="AD226" s="5122"/>
      <c r="AE226" s="5122"/>
      <c r="AF226" s="5122"/>
      <c r="AG226" s="5122"/>
      <c r="AH226" s="5634"/>
      <c r="AI226" s="5094" t="s">
        <v>1</v>
      </c>
      <c r="AJ226" s="5120"/>
      <c r="AK226" s="5121"/>
      <c r="AL226" s="5121"/>
      <c r="AM226" s="5121"/>
      <c r="AN226" s="5121"/>
      <c r="AO226" s="5122"/>
      <c r="AP226" s="5122"/>
      <c r="AQ226" s="5122"/>
      <c r="AR226" s="5122"/>
      <c r="AS226" s="5122"/>
      <c r="AT226" s="5122"/>
      <c r="AU226" s="5122"/>
      <c r="AV226" s="5122"/>
      <c r="AW226" s="5122"/>
      <c r="AX226" s="5122"/>
      <c r="AY226" s="5634"/>
      <c r="AZ226" s="5094" t="s">
        <v>1</v>
      </c>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5">
        <v>1</v>
      </c>
      <c r="CL226" s="1"/>
      <c r="CM226" s="1"/>
    </row>
    <row r="227" spans="2:91" s="187" customFormat="1" ht="21" customHeight="1">
      <c r="B227" s="5120"/>
      <c r="C227" s="5121"/>
      <c r="D227" s="5121"/>
      <c r="E227" s="5121"/>
      <c r="F227" s="5121"/>
      <c r="G227" s="5122"/>
      <c r="H227" s="5122"/>
      <c r="I227" s="5122"/>
      <c r="J227" s="5122"/>
      <c r="K227" s="5122"/>
      <c r="L227" s="5122"/>
      <c r="M227" s="5122"/>
      <c r="N227" s="5122"/>
      <c r="O227" s="5122"/>
      <c r="P227" s="5122"/>
      <c r="Q227" s="5634"/>
      <c r="R227" s="5094" t="s">
        <v>1</v>
      </c>
      <c r="S227" s="5120"/>
      <c r="T227" s="5121"/>
      <c r="U227" s="5121"/>
      <c r="V227" s="5121"/>
      <c r="W227" s="5121"/>
      <c r="X227" s="5122"/>
      <c r="Y227" s="5122"/>
      <c r="Z227" s="5122"/>
      <c r="AA227" s="5122"/>
      <c r="AB227" s="5122"/>
      <c r="AC227" s="5122"/>
      <c r="AD227" s="5122"/>
      <c r="AE227" s="5122"/>
      <c r="AF227" s="5122"/>
      <c r="AG227" s="5122"/>
      <c r="AH227" s="5634"/>
      <c r="AI227" s="5094" t="s">
        <v>1</v>
      </c>
      <c r="AJ227" s="5120"/>
      <c r="AK227" s="5121"/>
      <c r="AL227" s="5121"/>
      <c r="AM227" s="5121"/>
      <c r="AN227" s="5121"/>
      <c r="AO227" s="5122"/>
      <c r="AP227" s="5122"/>
      <c r="AQ227" s="5122"/>
      <c r="AR227" s="5122"/>
      <c r="AS227" s="5122"/>
      <c r="AT227" s="5122"/>
      <c r="AU227" s="5122"/>
      <c r="AV227" s="5122"/>
      <c r="AW227" s="5122"/>
      <c r="AX227" s="5122"/>
      <c r="AY227" s="5634"/>
      <c r="AZ227" s="5094" t="s">
        <v>1</v>
      </c>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5">
        <v>1</v>
      </c>
      <c r="CL227" s="1"/>
      <c r="CM227" s="1"/>
    </row>
    <row r="228" spans="2:91" s="187" customFormat="1" ht="21" customHeight="1">
      <c r="B228" s="5120"/>
      <c r="C228" s="5121"/>
      <c r="D228" s="5121"/>
      <c r="E228" s="5121"/>
      <c r="F228" s="5121"/>
      <c r="G228" s="5122"/>
      <c r="H228" s="5122"/>
      <c r="I228" s="5122"/>
      <c r="J228" s="5122"/>
      <c r="K228" s="5122"/>
      <c r="L228" s="5122"/>
      <c r="M228" s="5122"/>
      <c r="N228" s="5122"/>
      <c r="O228" s="5122"/>
      <c r="P228" s="5122"/>
      <c r="Q228" s="5634"/>
      <c r="R228" s="5094" t="s">
        <v>1</v>
      </c>
      <c r="S228" s="5120"/>
      <c r="T228" s="5121"/>
      <c r="U228" s="5121"/>
      <c r="V228" s="5121"/>
      <c r="W228" s="5121"/>
      <c r="X228" s="5122"/>
      <c r="Y228" s="5122"/>
      <c r="Z228" s="5122"/>
      <c r="AA228" s="5122"/>
      <c r="AB228" s="5122"/>
      <c r="AC228" s="5122"/>
      <c r="AD228" s="5122"/>
      <c r="AE228" s="5122"/>
      <c r="AF228" s="5122"/>
      <c r="AG228" s="5122"/>
      <c r="AH228" s="5634"/>
      <c r="AI228" s="5094" t="s">
        <v>1</v>
      </c>
      <c r="AJ228" s="5120"/>
      <c r="AK228" s="5121"/>
      <c r="AL228" s="5121"/>
      <c r="AM228" s="5121"/>
      <c r="AN228" s="5121"/>
      <c r="AO228" s="5122"/>
      <c r="AP228" s="5122"/>
      <c r="AQ228" s="5122"/>
      <c r="AR228" s="5122"/>
      <c r="AS228" s="5122"/>
      <c r="AT228" s="5122"/>
      <c r="AU228" s="5122"/>
      <c r="AV228" s="5122"/>
      <c r="AW228" s="5122"/>
      <c r="AX228" s="5122"/>
      <c r="AY228" s="5634"/>
      <c r="AZ228" s="5094" t="s">
        <v>1</v>
      </c>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5">
        <v>1</v>
      </c>
      <c r="CL228" s="1"/>
      <c r="CM228" s="1"/>
    </row>
    <row r="229" spans="2:91" s="187" customFormat="1" ht="21" customHeight="1">
      <c r="B229" s="5120"/>
      <c r="C229" s="5121"/>
      <c r="D229" s="5121"/>
      <c r="E229" s="5121"/>
      <c r="F229" s="5121"/>
      <c r="G229" s="5122"/>
      <c r="H229" s="5122"/>
      <c r="I229" s="5122"/>
      <c r="J229" s="5122"/>
      <c r="K229" s="5122"/>
      <c r="L229" s="5122"/>
      <c r="M229" s="5122"/>
      <c r="N229" s="5122"/>
      <c r="O229" s="5122"/>
      <c r="P229" s="5122"/>
      <c r="Q229" s="5634"/>
      <c r="R229" s="5094" t="s">
        <v>1</v>
      </c>
      <c r="S229" s="5120"/>
      <c r="T229" s="5121"/>
      <c r="U229" s="5121"/>
      <c r="V229" s="5121"/>
      <c r="W229" s="5121"/>
      <c r="X229" s="5122"/>
      <c r="Y229" s="5122"/>
      <c r="Z229" s="5122"/>
      <c r="AA229" s="5122"/>
      <c r="AB229" s="5122"/>
      <c r="AC229" s="5122"/>
      <c r="AD229" s="5122"/>
      <c r="AE229" s="5122"/>
      <c r="AF229" s="5122"/>
      <c r="AG229" s="5122"/>
      <c r="AH229" s="5634"/>
      <c r="AI229" s="5094" t="s">
        <v>1</v>
      </c>
      <c r="AJ229" s="5120"/>
      <c r="AK229" s="5121"/>
      <c r="AL229" s="5121"/>
      <c r="AM229" s="5121"/>
      <c r="AN229" s="5121"/>
      <c r="AO229" s="5122"/>
      <c r="AP229" s="5122"/>
      <c r="AQ229" s="5122"/>
      <c r="AR229" s="5122"/>
      <c r="AS229" s="5122"/>
      <c r="AT229" s="5122"/>
      <c r="AU229" s="5122"/>
      <c r="AV229" s="5122"/>
      <c r="AW229" s="5122"/>
      <c r="AX229" s="5122"/>
      <c r="AY229" s="5634"/>
      <c r="AZ229" s="5094" t="s">
        <v>1</v>
      </c>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5">
        <v>1</v>
      </c>
      <c r="CL229" s="1"/>
      <c r="CM229" s="1"/>
    </row>
    <row r="230" spans="2:91" s="187" customFormat="1" ht="21" customHeight="1">
      <c r="B230" s="5120"/>
      <c r="C230" s="5121"/>
      <c r="D230" s="5121"/>
      <c r="E230" s="5121"/>
      <c r="F230" s="5121"/>
      <c r="G230" s="5122"/>
      <c r="H230" s="5122"/>
      <c r="I230" s="5122"/>
      <c r="J230" s="5122"/>
      <c r="K230" s="5122"/>
      <c r="L230" s="5122"/>
      <c r="M230" s="5122"/>
      <c r="N230" s="5122"/>
      <c r="O230" s="5122"/>
      <c r="P230" s="5122"/>
      <c r="Q230" s="5634"/>
      <c r="R230" s="5094" t="s">
        <v>1</v>
      </c>
      <c r="S230" s="5120"/>
      <c r="T230" s="5121"/>
      <c r="U230" s="5121"/>
      <c r="V230" s="5121"/>
      <c r="W230" s="5121"/>
      <c r="X230" s="5122"/>
      <c r="Y230" s="5122"/>
      <c r="Z230" s="5122"/>
      <c r="AA230" s="5122"/>
      <c r="AB230" s="5122"/>
      <c r="AC230" s="5122"/>
      <c r="AD230" s="5122"/>
      <c r="AE230" s="5122"/>
      <c r="AF230" s="5122"/>
      <c r="AG230" s="5122"/>
      <c r="AH230" s="5634"/>
      <c r="AI230" s="5094" t="s">
        <v>1</v>
      </c>
      <c r="AJ230" s="5120"/>
      <c r="AK230" s="5121"/>
      <c r="AL230" s="5121"/>
      <c r="AM230" s="5121"/>
      <c r="AN230" s="5121"/>
      <c r="AO230" s="5122"/>
      <c r="AP230" s="5122"/>
      <c r="AQ230" s="5122"/>
      <c r="AR230" s="5122"/>
      <c r="AS230" s="5122"/>
      <c r="AT230" s="5122"/>
      <c r="AU230" s="5122"/>
      <c r="AV230" s="5122"/>
      <c r="AW230" s="5122"/>
      <c r="AX230" s="5122"/>
      <c r="AY230" s="5634"/>
      <c r="AZ230" s="5094" t="s">
        <v>1</v>
      </c>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5">
        <v>1</v>
      </c>
      <c r="CL230" s="1"/>
      <c r="CM230" s="1"/>
    </row>
    <row r="231" spans="2:91" s="187" customFormat="1" ht="21" customHeight="1">
      <c r="B231" s="5120"/>
      <c r="C231" s="5121"/>
      <c r="D231" s="5121"/>
      <c r="E231" s="5121"/>
      <c r="F231" s="5121"/>
      <c r="G231" s="5122"/>
      <c r="H231" s="5122"/>
      <c r="I231" s="5122"/>
      <c r="J231" s="5122"/>
      <c r="K231" s="5122"/>
      <c r="L231" s="5122"/>
      <c r="M231" s="5122"/>
      <c r="N231" s="5122"/>
      <c r="O231" s="5122"/>
      <c r="P231" s="5122"/>
      <c r="Q231" s="5634"/>
      <c r="R231" s="5094" t="s">
        <v>1</v>
      </c>
      <c r="S231" s="5120"/>
      <c r="T231" s="5121"/>
      <c r="U231" s="5121"/>
      <c r="V231" s="5121"/>
      <c r="W231" s="5121"/>
      <c r="X231" s="5122"/>
      <c r="Y231" s="5122"/>
      <c r="Z231" s="5122"/>
      <c r="AA231" s="5122"/>
      <c r="AB231" s="5122"/>
      <c r="AC231" s="5122"/>
      <c r="AD231" s="5122"/>
      <c r="AE231" s="5122"/>
      <c r="AF231" s="5122"/>
      <c r="AG231" s="5122"/>
      <c r="AH231" s="5634"/>
      <c r="AI231" s="5094" t="s">
        <v>1</v>
      </c>
      <c r="AJ231" s="5120"/>
      <c r="AK231" s="5121"/>
      <c r="AL231" s="5121"/>
      <c r="AM231" s="5121"/>
      <c r="AN231" s="5121"/>
      <c r="AO231" s="5122"/>
      <c r="AP231" s="5122"/>
      <c r="AQ231" s="5122"/>
      <c r="AR231" s="5122"/>
      <c r="AS231" s="5122"/>
      <c r="AT231" s="5122"/>
      <c r="AU231" s="5122"/>
      <c r="AV231" s="5122"/>
      <c r="AW231" s="5122"/>
      <c r="AX231" s="5122"/>
      <c r="AY231" s="5634"/>
      <c r="AZ231" s="5094" t="s">
        <v>1</v>
      </c>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5">
        <v>1</v>
      </c>
      <c r="CL231" s="1"/>
      <c r="CM231" s="1"/>
    </row>
    <row r="232" spans="2:91" s="187" customFormat="1" ht="21" customHeight="1">
      <c r="B232" s="5120"/>
      <c r="C232" s="5121"/>
      <c r="D232" s="5121"/>
      <c r="E232" s="5121"/>
      <c r="F232" s="5121"/>
      <c r="G232" s="5122"/>
      <c r="H232" s="5122"/>
      <c r="I232" s="5122"/>
      <c r="J232" s="5122"/>
      <c r="K232" s="5122"/>
      <c r="L232" s="5122"/>
      <c r="M232" s="5122"/>
      <c r="N232" s="5122"/>
      <c r="O232" s="5122"/>
      <c r="P232" s="5122"/>
      <c r="Q232" s="5634"/>
      <c r="R232" s="5094" t="s">
        <v>1</v>
      </c>
      <c r="S232" s="5120"/>
      <c r="T232" s="5121"/>
      <c r="U232" s="5121"/>
      <c r="V232" s="5121"/>
      <c r="W232" s="5121"/>
      <c r="X232" s="5122"/>
      <c r="Y232" s="5122"/>
      <c r="Z232" s="5122"/>
      <c r="AA232" s="5122"/>
      <c r="AB232" s="5122"/>
      <c r="AC232" s="5122"/>
      <c r="AD232" s="5122"/>
      <c r="AE232" s="5122"/>
      <c r="AF232" s="5122"/>
      <c r="AG232" s="5122"/>
      <c r="AH232" s="5634"/>
      <c r="AI232" s="5094" t="s">
        <v>1</v>
      </c>
      <c r="AJ232" s="5120"/>
      <c r="AK232" s="5121"/>
      <c r="AL232" s="5121"/>
      <c r="AM232" s="5121"/>
      <c r="AN232" s="5121"/>
      <c r="AO232" s="5122"/>
      <c r="AP232" s="5122"/>
      <c r="AQ232" s="5122"/>
      <c r="AR232" s="5122"/>
      <c r="AS232" s="5122"/>
      <c r="AT232" s="5122"/>
      <c r="AU232" s="5122"/>
      <c r="AV232" s="5122"/>
      <c r="AW232" s="5122"/>
      <c r="AX232" s="5122"/>
      <c r="AY232" s="5634"/>
      <c r="AZ232" s="5094" t="s">
        <v>1</v>
      </c>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5">
        <v>1</v>
      </c>
      <c r="CL232" s="1"/>
      <c r="CM232" s="1"/>
    </row>
    <row r="233" spans="2:91" s="187" customFormat="1" ht="21" customHeight="1">
      <c r="B233" s="5120"/>
      <c r="C233" s="5121"/>
      <c r="D233" s="5121"/>
      <c r="E233" s="5121"/>
      <c r="F233" s="5121"/>
      <c r="G233" s="5122"/>
      <c r="H233" s="5122"/>
      <c r="I233" s="5122"/>
      <c r="J233" s="5122"/>
      <c r="K233" s="5122"/>
      <c r="L233" s="5122"/>
      <c r="M233" s="5122"/>
      <c r="N233" s="5122"/>
      <c r="O233" s="5122"/>
      <c r="P233" s="5122"/>
      <c r="Q233" s="5634"/>
      <c r="R233" s="5094" t="s">
        <v>1</v>
      </c>
      <c r="S233" s="5120"/>
      <c r="T233" s="5121"/>
      <c r="U233" s="5121"/>
      <c r="V233" s="5121"/>
      <c r="W233" s="5121"/>
      <c r="X233" s="5122"/>
      <c r="Y233" s="5122"/>
      <c r="Z233" s="5122"/>
      <c r="AA233" s="5122"/>
      <c r="AB233" s="5122"/>
      <c r="AC233" s="5122"/>
      <c r="AD233" s="5122"/>
      <c r="AE233" s="5122"/>
      <c r="AF233" s="5122"/>
      <c r="AG233" s="5122"/>
      <c r="AH233" s="5634"/>
      <c r="AI233" s="5094" t="s">
        <v>1</v>
      </c>
      <c r="AJ233" s="5120"/>
      <c r="AK233" s="5121"/>
      <c r="AL233" s="5121"/>
      <c r="AM233" s="5121"/>
      <c r="AN233" s="5121"/>
      <c r="AO233" s="5122"/>
      <c r="AP233" s="5122"/>
      <c r="AQ233" s="5122"/>
      <c r="AR233" s="5122"/>
      <c r="AS233" s="5122"/>
      <c r="AT233" s="5122"/>
      <c r="AU233" s="5122"/>
      <c r="AV233" s="5122"/>
      <c r="AW233" s="5122"/>
      <c r="AX233" s="5122"/>
      <c r="AY233" s="5634"/>
      <c r="AZ233" s="5094" t="s">
        <v>1</v>
      </c>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5">
        <v>1</v>
      </c>
      <c r="CL233" s="1"/>
      <c r="CM233" s="1"/>
    </row>
    <row r="234" spans="2:91" s="187" customFormat="1" ht="21" customHeight="1">
      <c r="B234" s="5120"/>
      <c r="C234" s="5121"/>
      <c r="D234" s="5121"/>
      <c r="E234" s="5121"/>
      <c r="F234" s="5121"/>
      <c r="G234" s="5122"/>
      <c r="H234" s="5122"/>
      <c r="I234" s="5122"/>
      <c r="J234" s="5122"/>
      <c r="K234" s="5122"/>
      <c r="L234" s="5122"/>
      <c r="M234" s="5122"/>
      <c r="N234" s="5122"/>
      <c r="O234" s="5122"/>
      <c r="P234" s="5122"/>
      <c r="Q234" s="5634"/>
      <c r="R234" s="5094" t="s">
        <v>1</v>
      </c>
      <c r="S234" s="5120"/>
      <c r="T234" s="5121"/>
      <c r="U234" s="5121"/>
      <c r="V234" s="5121"/>
      <c r="W234" s="5121"/>
      <c r="X234" s="5122"/>
      <c r="Y234" s="5122"/>
      <c r="Z234" s="5122"/>
      <c r="AA234" s="5122"/>
      <c r="AB234" s="5122"/>
      <c r="AC234" s="5122"/>
      <c r="AD234" s="5122"/>
      <c r="AE234" s="5122"/>
      <c r="AF234" s="5122"/>
      <c r="AG234" s="5122"/>
      <c r="AH234" s="5634"/>
      <c r="AI234" s="5094" t="s">
        <v>1</v>
      </c>
      <c r="AJ234" s="5120"/>
      <c r="AK234" s="5121"/>
      <c r="AL234" s="5121"/>
      <c r="AM234" s="5121"/>
      <c r="AN234" s="5121"/>
      <c r="AO234" s="5122"/>
      <c r="AP234" s="5122"/>
      <c r="AQ234" s="5122"/>
      <c r="AR234" s="5122"/>
      <c r="AS234" s="5122"/>
      <c r="AT234" s="5122"/>
      <c r="AU234" s="5122"/>
      <c r="AV234" s="5122"/>
      <c r="AW234" s="5122"/>
      <c r="AX234" s="5122"/>
      <c r="AY234" s="5634"/>
      <c r="AZ234" s="5094" t="s">
        <v>1</v>
      </c>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5">
        <v>1</v>
      </c>
      <c r="CL234" s="1"/>
      <c r="CM234" s="1"/>
    </row>
    <row r="235" spans="2:91" s="187" customFormat="1" ht="21" customHeight="1">
      <c r="B235" s="5120"/>
      <c r="C235" s="5121"/>
      <c r="D235" s="5121"/>
      <c r="E235" s="5121"/>
      <c r="F235" s="5121"/>
      <c r="G235" s="5122"/>
      <c r="H235" s="5122"/>
      <c r="I235" s="5122"/>
      <c r="J235" s="5122"/>
      <c r="K235" s="5122"/>
      <c r="L235" s="5122"/>
      <c r="M235" s="5122"/>
      <c r="N235" s="5122"/>
      <c r="O235" s="5122"/>
      <c r="P235" s="5122"/>
      <c r="Q235" s="5634"/>
      <c r="R235" s="5094" t="s">
        <v>1</v>
      </c>
      <c r="S235" s="5120"/>
      <c r="T235" s="5121"/>
      <c r="U235" s="5121"/>
      <c r="V235" s="5121"/>
      <c r="W235" s="5121"/>
      <c r="X235" s="5122"/>
      <c r="Y235" s="5122"/>
      <c r="Z235" s="5122"/>
      <c r="AA235" s="5122"/>
      <c r="AB235" s="5122"/>
      <c r="AC235" s="5122"/>
      <c r="AD235" s="5122"/>
      <c r="AE235" s="5122"/>
      <c r="AF235" s="5122"/>
      <c r="AG235" s="5122"/>
      <c r="AH235" s="5634"/>
      <c r="AI235" s="5094" t="s">
        <v>1</v>
      </c>
      <c r="AJ235" s="5120"/>
      <c r="AK235" s="5121"/>
      <c r="AL235" s="5121"/>
      <c r="AM235" s="5121"/>
      <c r="AN235" s="5121"/>
      <c r="AO235" s="5122"/>
      <c r="AP235" s="5122"/>
      <c r="AQ235" s="5122"/>
      <c r="AR235" s="5122"/>
      <c r="AS235" s="5122"/>
      <c r="AT235" s="5122"/>
      <c r="AU235" s="5122"/>
      <c r="AV235" s="5122"/>
      <c r="AW235" s="5122"/>
      <c r="AX235" s="5122"/>
      <c r="AY235" s="5634"/>
      <c r="AZ235" s="5094" t="s">
        <v>1</v>
      </c>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5">
        <v>1</v>
      </c>
      <c r="CL235" s="1"/>
      <c r="CM235" s="1"/>
    </row>
    <row r="236" spans="2:91" s="187" customFormat="1" ht="21" customHeight="1">
      <c r="B236" s="5120"/>
      <c r="C236" s="5121"/>
      <c r="D236" s="5121"/>
      <c r="E236" s="5121"/>
      <c r="F236" s="5121"/>
      <c r="G236" s="5122"/>
      <c r="H236" s="5122"/>
      <c r="I236" s="5122"/>
      <c r="J236" s="5122"/>
      <c r="K236" s="5122"/>
      <c r="L236" s="5122"/>
      <c r="M236" s="5122"/>
      <c r="N236" s="5122"/>
      <c r="O236" s="5122"/>
      <c r="P236" s="5122"/>
      <c r="Q236" s="5634"/>
      <c r="R236" s="5094" t="s">
        <v>1</v>
      </c>
      <c r="S236" s="5120"/>
      <c r="T236" s="5121"/>
      <c r="U236" s="5121"/>
      <c r="V236" s="5121"/>
      <c r="W236" s="5121"/>
      <c r="X236" s="5122"/>
      <c r="Y236" s="5122"/>
      <c r="Z236" s="5122"/>
      <c r="AA236" s="5122"/>
      <c r="AB236" s="5122"/>
      <c r="AC236" s="5122"/>
      <c r="AD236" s="5122"/>
      <c r="AE236" s="5122"/>
      <c r="AF236" s="5122"/>
      <c r="AG236" s="5122"/>
      <c r="AH236" s="5634"/>
      <c r="AI236" s="5094" t="s">
        <v>1</v>
      </c>
      <c r="AJ236" s="5120"/>
      <c r="AK236" s="5121"/>
      <c r="AL236" s="5121"/>
      <c r="AM236" s="5121"/>
      <c r="AN236" s="5121"/>
      <c r="AO236" s="5122"/>
      <c r="AP236" s="5122"/>
      <c r="AQ236" s="5122"/>
      <c r="AR236" s="5122"/>
      <c r="AS236" s="5122"/>
      <c r="AT236" s="5122"/>
      <c r="AU236" s="5122"/>
      <c r="AV236" s="5122"/>
      <c r="AW236" s="5122"/>
      <c r="AX236" s="5122"/>
      <c r="AY236" s="5634"/>
      <c r="AZ236" s="5094" t="s">
        <v>1</v>
      </c>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5">
        <v>1</v>
      </c>
      <c r="CL236" s="1"/>
      <c r="CM236" s="1"/>
    </row>
    <row r="237" spans="2:91" s="187" customFormat="1" ht="21" customHeight="1">
      <c r="B237" s="5120"/>
      <c r="C237" s="5121"/>
      <c r="D237" s="5121"/>
      <c r="E237" s="5121"/>
      <c r="F237" s="5121"/>
      <c r="G237" s="5122"/>
      <c r="H237" s="5122"/>
      <c r="I237" s="5122"/>
      <c r="J237" s="5122"/>
      <c r="K237" s="5122"/>
      <c r="L237" s="5122"/>
      <c r="M237" s="5122"/>
      <c r="N237" s="5122"/>
      <c r="O237" s="5122"/>
      <c r="P237" s="5122"/>
      <c r="Q237" s="5634"/>
      <c r="R237" s="5094" t="s">
        <v>1</v>
      </c>
      <c r="S237" s="5120"/>
      <c r="T237" s="5121"/>
      <c r="U237" s="5121"/>
      <c r="V237" s="5121"/>
      <c r="W237" s="5121"/>
      <c r="X237" s="5122"/>
      <c r="Y237" s="5122"/>
      <c r="Z237" s="5122"/>
      <c r="AA237" s="5122"/>
      <c r="AB237" s="5122"/>
      <c r="AC237" s="5122"/>
      <c r="AD237" s="5122"/>
      <c r="AE237" s="5122"/>
      <c r="AF237" s="5122"/>
      <c r="AG237" s="5122"/>
      <c r="AH237" s="5634"/>
      <c r="AI237" s="5094" t="s">
        <v>1</v>
      </c>
      <c r="AJ237" s="5120"/>
      <c r="AK237" s="5121"/>
      <c r="AL237" s="5121"/>
      <c r="AM237" s="5121"/>
      <c r="AN237" s="5121"/>
      <c r="AO237" s="5122"/>
      <c r="AP237" s="5122"/>
      <c r="AQ237" s="5122"/>
      <c r="AR237" s="5122"/>
      <c r="AS237" s="5122"/>
      <c r="AT237" s="5122"/>
      <c r="AU237" s="5122"/>
      <c r="AV237" s="5122"/>
      <c r="AW237" s="5122"/>
      <c r="AX237" s="5122"/>
      <c r="AY237" s="5634"/>
      <c r="AZ237" s="5094" t="s">
        <v>1</v>
      </c>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5">
        <v>1</v>
      </c>
      <c r="CL237" s="1"/>
      <c r="CM237" s="1"/>
    </row>
    <row r="238" spans="2:91" s="187" customFormat="1" ht="21" customHeight="1">
      <c r="B238" s="5120"/>
      <c r="C238" s="5121"/>
      <c r="D238" s="5121"/>
      <c r="E238" s="5121"/>
      <c r="F238" s="5121"/>
      <c r="G238" s="5122"/>
      <c r="H238" s="5122"/>
      <c r="I238" s="5122"/>
      <c r="J238" s="5122"/>
      <c r="K238" s="5122"/>
      <c r="L238" s="5122"/>
      <c r="M238" s="5122"/>
      <c r="N238" s="5122"/>
      <c r="O238" s="5122"/>
      <c r="P238" s="5122"/>
      <c r="Q238" s="5634"/>
      <c r="R238" s="5094" t="s">
        <v>1</v>
      </c>
      <c r="S238" s="5120"/>
      <c r="T238" s="5121"/>
      <c r="U238" s="5121"/>
      <c r="V238" s="5121"/>
      <c r="W238" s="5121"/>
      <c r="X238" s="5122"/>
      <c r="Y238" s="5122"/>
      <c r="Z238" s="5122"/>
      <c r="AA238" s="5122"/>
      <c r="AB238" s="5122"/>
      <c r="AC238" s="5122"/>
      <c r="AD238" s="5122"/>
      <c r="AE238" s="5122"/>
      <c r="AF238" s="5122"/>
      <c r="AG238" s="5122"/>
      <c r="AH238" s="5634"/>
      <c r="AI238" s="5094" t="s">
        <v>1</v>
      </c>
      <c r="AJ238" s="5120"/>
      <c r="AK238" s="5121"/>
      <c r="AL238" s="5121"/>
      <c r="AM238" s="5121"/>
      <c r="AN238" s="5121"/>
      <c r="AO238" s="5122"/>
      <c r="AP238" s="5122"/>
      <c r="AQ238" s="5122"/>
      <c r="AR238" s="5122"/>
      <c r="AS238" s="5122"/>
      <c r="AT238" s="5122"/>
      <c r="AU238" s="5122"/>
      <c r="AV238" s="5122"/>
      <c r="AW238" s="5122"/>
      <c r="AX238" s="5122"/>
      <c r="AY238" s="5634"/>
      <c r="AZ238" s="5094" t="s">
        <v>1</v>
      </c>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5">
        <v>1</v>
      </c>
      <c r="CL238" s="1"/>
      <c r="CM238" s="1"/>
    </row>
    <row r="239" spans="2:91" s="187" customFormat="1" ht="21" customHeight="1">
      <c r="B239" s="5120"/>
      <c r="C239" s="5121"/>
      <c r="D239" s="5121"/>
      <c r="E239" s="5121"/>
      <c r="F239" s="5121"/>
      <c r="G239" s="5122"/>
      <c r="H239" s="5122"/>
      <c r="I239" s="5122"/>
      <c r="J239" s="5122"/>
      <c r="K239" s="5122"/>
      <c r="L239" s="5122"/>
      <c r="M239" s="5122"/>
      <c r="N239" s="5122"/>
      <c r="O239" s="5122"/>
      <c r="P239" s="5122"/>
      <c r="Q239" s="5634"/>
      <c r="R239" s="5094" t="s">
        <v>1</v>
      </c>
      <c r="S239" s="5120"/>
      <c r="T239" s="5121"/>
      <c r="U239" s="5121"/>
      <c r="V239" s="5121"/>
      <c r="W239" s="5121"/>
      <c r="X239" s="5122"/>
      <c r="Y239" s="5122"/>
      <c r="Z239" s="5122"/>
      <c r="AA239" s="5122"/>
      <c r="AB239" s="5122"/>
      <c r="AC239" s="5122"/>
      <c r="AD239" s="5122"/>
      <c r="AE239" s="5122"/>
      <c r="AF239" s="5122"/>
      <c r="AG239" s="5122"/>
      <c r="AH239" s="5634"/>
      <c r="AI239" s="5094" t="s">
        <v>1</v>
      </c>
      <c r="AJ239" s="5120"/>
      <c r="AK239" s="5121"/>
      <c r="AL239" s="5121"/>
      <c r="AM239" s="5121"/>
      <c r="AN239" s="5121"/>
      <c r="AO239" s="5122"/>
      <c r="AP239" s="5122"/>
      <c r="AQ239" s="5122"/>
      <c r="AR239" s="5122"/>
      <c r="AS239" s="5122"/>
      <c r="AT239" s="5122"/>
      <c r="AU239" s="5122"/>
      <c r="AV239" s="5122"/>
      <c r="AW239" s="5122"/>
      <c r="AX239" s="5122"/>
      <c r="AY239" s="5634"/>
      <c r="AZ239" s="5094" t="s">
        <v>1</v>
      </c>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5">
        <v>1</v>
      </c>
      <c r="CL239" s="1"/>
      <c r="CM239" s="1"/>
    </row>
    <row r="240" spans="2:91" s="187" customFormat="1" ht="21" customHeight="1">
      <c r="B240" s="5120"/>
      <c r="C240" s="5121"/>
      <c r="D240" s="5121"/>
      <c r="E240" s="5121"/>
      <c r="F240" s="5121"/>
      <c r="G240" s="5122"/>
      <c r="H240" s="5122"/>
      <c r="I240" s="5122"/>
      <c r="J240" s="5122"/>
      <c r="K240" s="5122"/>
      <c r="L240" s="5122"/>
      <c r="M240" s="5122"/>
      <c r="N240" s="5122"/>
      <c r="O240" s="5122"/>
      <c r="P240" s="5122"/>
      <c r="Q240" s="5634"/>
      <c r="R240" s="5094" t="s">
        <v>1</v>
      </c>
      <c r="S240" s="5120"/>
      <c r="T240" s="5121"/>
      <c r="U240" s="5121"/>
      <c r="V240" s="5121"/>
      <c r="W240" s="5121"/>
      <c r="X240" s="5122"/>
      <c r="Y240" s="5122"/>
      <c r="Z240" s="5122"/>
      <c r="AA240" s="5122"/>
      <c r="AB240" s="5122"/>
      <c r="AC240" s="5122"/>
      <c r="AD240" s="5122"/>
      <c r="AE240" s="5122"/>
      <c r="AF240" s="5122"/>
      <c r="AG240" s="5122"/>
      <c r="AH240" s="5634"/>
      <c r="AI240" s="5094" t="s">
        <v>1</v>
      </c>
      <c r="AJ240" s="5120"/>
      <c r="AK240" s="5121"/>
      <c r="AL240" s="5121"/>
      <c r="AM240" s="5121"/>
      <c r="AN240" s="5121"/>
      <c r="AO240" s="5122"/>
      <c r="AP240" s="5122"/>
      <c r="AQ240" s="5122"/>
      <c r="AR240" s="5122"/>
      <c r="AS240" s="5122"/>
      <c r="AT240" s="5122"/>
      <c r="AU240" s="5122"/>
      <c r="AV240" s="5122"/>
      <c r="AW240" s="5122"/>
      <c r="AX240" s="5122"/>
      <c r="AY240" s="5634"/>
      <c r="AZ240" s="5094" t="s">
        <v>1</v>
      </c>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5">
        <v>1</v>
      </c>
      <c r="CL240" s="1"/>
      <c r="CM240" s="1"/>
    </row>
    <row r="241" spans="2:91" s="187" customFormat="1" ht="21" customHeight="1">
      <c r="B241" s="5120"/>
      <c r="C241" s="5121"/>
      <c r="D241" s="5121"/>
      <c r="E241" s="5121"/>
      <c r="F241" s="5121"/>
      <c r="G241" s="5122"/>
      <c r="H241" s="5122"/>
      <c r="I241" s="5122"/>
      <c r="J241" s="5122"/>
      <c r="K241" s="5122"/>
      <c r="L241" s="5122"/>
      <c r="M241" s="5122"/>
      <c r="N241" s="5122"/>
      <c r="O241" s="5122"/>
      <c r="P241" s="5122"/>
      <c r="Q241" s="5634"/>
      <c r="R241" s="5094" t="s">
        <v>1</v>
      </c>
      <c r="S241" s="5120"/>
      <c r="T241" s="5121"/>
      <c r="U241" s="5121"/>
      <c r="V241" s="5121"/>
      <c r="W241" s="5121"/>
      <c r="X241" s="5122"/>
      <c r="Y241" s="5122"/>
      <c r="Z241" s="5122"/>
      <c r="AA241" s="5122"/>
      <c r="AB241" s="5122"/>
      <c r="AC241" s="5122"/>
      <c r="AD241" s="5122"/>
      <c r="AE241" s="5122"/>
      <c r="AF241" s="5122"/>
      <c r="AG241" s="5122"/>
      <c r="AH241" s="5634"/>
      <c r="AI241" s="5094" t="s">
        <v>1</v>
      </c>
      <c r="AJ241" s="5120"/>
      <c r="AK241" s="5121"/>
      <c r="AL241" s="5121"/>
      <c r="AM241" s="5121"/>
      <c r="AN241" s="5121"/>
      <c r="AO241" s="5122"/>
      <c r="AP241" s="5122"/>
      <c r="AQ241" s="5122"/>
      <c r="AR241" s="5122"/>
      <c r="AS241" s="5122"/>
      <c r="AT241" s="5122"/>
      <c r="AU241" s="5122"/>
      <c r="AV241" s="5122"/>
      <c r="AW241" s="5122"/>
      <c r="AX241" s="5122"/>
      <c r="AY241" s="5634"/>
      <c r="AZ241" s="5094" t="s">
        <v>1</v>
      </c>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5">
        <v>1</v>
      </c>
      <c r="CL241" s="1"/>
      <c r="CM241" s="1"/>
    </row>
    <row r="242" spans="2:91" s="187" customFormat="1" ht="21" customHeight="1">
      <c r="B242" s="5120"/>
      <c r="C242" s="5121"/>
      <c r="D242" s="5121"/>
      <c r="E242" s="5121"/>
      <c r="F242" s="5121"/>
      <c r="G242" s="5122"/>
      <c r="H242" s="5122"/>
      <c r="I242" s="5122"/>
      <c r="J242" s="5122"/>
      <c r="K242" s="5122"/>
      <c r="L242" s="5122"/>
      <c r="M242" s="5122"/>
      <c r="N242" s="5122"/>
      <c r="O242" s="5122"/>
      <c r="P242" s="5122"/>
      <c r="Q242" s="5634"/>
      <c r="R242" s="5094" t="s">
        <v>1</v>
      </c>
      <c r="S242" s="5120"/>
      <c r="T242" s="5121"/>
      <c r="U242" s="5121"/>
      <c r="V242" s="5121"/>
      <c r="W242" s="5121"/>
      <c r="X242" s="5122"/>
      <c r="Y242" s="5122"/>
      <c r="Z242" s="5122"/>
      <c r="AA242" s="5122"/>
      <c r="AB242" s="5122"/>
      <c r="AC242" s="5122"/>
      <c r="AD242" s="5122"/>
      <c r="AE242" s="5122"/>
      <c r="AF242" s="5122"/>
      <c r="AG242" s="5122"/>
      <c r="AH242" s="5634"/>
      <c r="AI242" s="5094" t="s">
        <v>1</v>
      </c>
      <c r="AJ242" s="5120"/>
      <c r="AK242" s="5121"/>
      <c r="AL242" s="5121"/>
      <c r="AM242" s="5121"/>
      <c r="AN242" s="5121"/>
      <c r="AO242" s="5122"/>
      <c r="AP242" s="5122"/>
      <c r="AQ242" s="5122"/>
      <c r="AR242" s="5122"/>
      <c r="AS242" s="5122"/>
      <c r="AT242" s="5122"/>
      <c r="AU242" s="5122"/>
      <c r="AV242" s="5122"/>
      <c r="AW242" s="5122"/>
      <c r="AX242" s="5122"/>
      <c r="AY242" s="5634"/>
      <c r="AZ242" s="5094" t="s">
        <v>1</v>
      </c>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5">
        <v>1</v>
      </c>
      <c r="CL242" s="1"/>
      <c r="CM242" s="1"/>
    </row>
    <row r="243" spans="2:91" s="187" customFormat="1" ht="21" customHeight="1">
      <c r="B243" s="5120"/>
      <c r="C243" s="5121"/>
      <c r="D243" s="5121"/>
      <c r="E243" s="5121"/>
      <c r="F243" s="5121"/>
      <c r="G243" s="5122"/>
      <c r="H243" s="5122"/>
      <c r="I243" s="5122"/>
      <c r="J243" s="5122"/>
      <c r="K243" s="5122"/>
      <c r="L243" s="5122"/>
      <c r="M243" s="5122"/>
      <c r="N243" s="5122"/>
      <c r="O243" s="5122"/>
      <c r="P243" s="5122"/>
      <c r="Q243" s="5634"/>
      <c r="R243" s="5094" t="s">
        <v>1</v>
      </c>
      <c r="S243" s="5120"/>
      <c r="T243" s="5121"/>
      <c r="U243" s="5121"/>
      <c r="V243" s="5121"/>
      <c r="W243" s="5121"/>
      <c r="X243" s="5122"/>
      <c r="Y243" s="5122"/>
      <c r="Z243" s="5122"/>
      <c r="AA243" s="5122"/>
      <c r="AB243" s="5122"/>
      <c r="AC243" s="5122"/>
      <c r="AD243" s="5122"/>
      <c r="AE243" s="5122"/>
      <c r="AF243" s="5122"/>
      <c r="AG243" s="5122"/>
      <c r="AH243" s="5634"/>
      <c r="AI243" s="5094" t="s">
        <v>1</v>
      </c>
      <c r="AJ243" s="5120"/>
      <c r="AK243" s="5121"/>
      <c r="AL243" s="5121"/>
      <c r="AM243" s="5121"/>
      <c r="AN243" s="5121"/>
      <c r="AO243" s="5122"/>
      <c r="AP243" s="5122"/>
      <c r="AQ243" s="5122"/>
      <c r="AR243" s="5122"/>
      <c r="AS243" s="5122"/>
      <c r="AT243" s="5122"/>
      <c r="AU243" s="5122"/>
      <c r="AV243" s="5122"/>
      <c r="AW243" s="5122"/>
      <c r="AX243" s="5122"/>
      <c r="AY243" s="5634"/>
      <c r="AZ243" s="5094" t="s">
        <v>1</v>
      </c>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5">
        <v>1</v>
      </c>
      <c r="CL243" s="1"/>
      <c r="CM243" s="1"/>
    </row>
    <row r="244" spans="2:91" s="187" customFormat="1" ht="21" customHeight="1">
      <c r="B244" s="5120"/>
      <c r="C244" s="5121"/>
      <c r="D244" s="5121"/>
      <c r="E244" s="5121"/>
      <c r="F244" s="5121"/>
      <c r="G244" s="5122"/>
      <c r="H244" s="5122"/>
      <c r="I244" s="5122"/>
      <c r="J244" s="5122"/>
      <c r="K244" s="5122"/>
      <c r="L244" s="5122"/>
      <c r="M244" s="5122"/>
      <c r="N244" s="5122"/>
      <c r="O244" s="5122"/>
      <c r="P244" s="5122"/>
      <c r="Q244" s="5634"/>
      <c r="R244" s="5094" t="s">
        <v>1</v>
      </c>
      <c r="S244" s="5120"/>
      <c r="T244" s="5121"/>
      <c r="U244" s="5121"/>
      <c r="V244" s="5121"/>
      <c r="W244" s="5121"/>
      <c r="X244" s="5122"/>
      <c r="Y244" s="5122"/>
      <c r="Z244" s="5122"/>
      <c r="AA244" s="5122"/>
      <c r="AB244" s="5122"/>
      <c r="AC244" s="5122"/>
      <c r="AD244" s="5122"/>
      <c r="AE244" s="5122"/>
      <c r="AF244" s="5122"/>
      <c r="AG244" s="5122"/>
      <c r="AH244" s="5634"/>
      <c r="AI244" s="5094" t="s">
        <v>1</v>
      </c>
      <c r="AJ244" s="5120"/>
      <c r="AK244" s="5121"/>
      <c r="AL244" s="5121"/>
      <c r="AM244" s="5121"/>
      <c r="AN244" s="5121"/>
      <c r="AO244" s="5122"/>
      <c r="AP244" s="5122"/>
      <c r="AQ244" s="5122"/>
      <c r="AR244" s="5122"/>
      <c r="AS244" s="5122"/>
      <c r="AT244" s="5122"/>
      <c r="AU244" s="5122"/>
      <c r="AV244" s="5122"/>
      <c r="AW244" s="5122"/>
      <c r="AX244" s="5122"/>
      <c r="AY244" s="5634"/>
      <c r="AZ244" s="5094" t="s">
        <v>1</v>
      </c>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5">
        <v>1</v>
      </c>
      <c r="CL244" s="1"/>
      <c r="CM244" s="1"/>
    </row>
    <row r="245" spans="2:91" s="187" customFormat="1" ht="21" customHeight="1">
      <c r="B245" s="5120"/>
      <c r="C245" s="5121"/>
      <c r="D245" s="5121"/>
      <c r="E245" s="5121"/>
      <c r="F245" s="5121"/>
      <c r="G245" s="5122"/>
      <c r="H245" s="5122"/>
      <c r="I245" s="5122"/>
      <c r="J245" s="5122"/>
      <c r="K245" s="5122"/>
      <c r="L245" s="5122"/>
      <c r="M245" s="5122"/>
      <c r="N245" s="5122"/>
      <c r="O245" s="5122"/>
      <c r="P245" s="5122"/>
      <c r="Q245" s="5634"/>
      <c r="R245" s="5094" t="s">
        <v>1</v>
      </c>
      <c r="S245" s="5120"/>
      <c r="T245" s="5121"/>
      <c r="U245" s="5121"/>
      <c r="V245" s="5121"/>
      <c r="W245" s="5121"/>
      <c r="X245" s="5122"/>
      <c r="Y245" s="5122"/>
      <c r="Z245" s="5122"/>
      <c r="AA245" s="5122"/>
      <c r="AB245" s="5122"/>
      <c r="AC245" s="5122"/>
      <c r="AD245" s="5122"/>
      <c r="AE245" s="5122"/>
      <c r="AF245" s="5122"/>
      <c r="AG245" s="5122"/>
      <c r="AH245" s="5634"/>
      <c r="AI245" s="5094" t="s">
        <v>1</v>
      </c>
      <c r="AJ245" s="5120"/>
      <c r="AK245" s="5121"/>
      <c r="AL245" s="5121"/>
      <c r="AM245" s="5121"/>
      <c r="AN245" s="5121"/>
      <c r="AO245" s="5122"/>
      <c r="AP245" s="5122"/>
      <c r="AQ245" s="5122"/>
      <c r="AR245" s="5122"/>
      <c r="AS245" s="5122"/>
      <c r="AT245" s="5122"/>
      <c r="AU245" s="5122"/>
      <c r="AV245" s="5122"/>
      <c r="AW245" s="5122"/>
      <c r="AX245" s="5122"/>
      <c r="AY245" s="5634"/>
      <c r="AZ245" s="5094" t="s">
        <v>1</v>
      </c>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5">
        <v>1</v>
      </c>
      <c r="CL245" s="1"/>
      <c r="CM245" s="1"/>
    </row>
    <row r="246" spans="2:91" s="187" customFormat="1" ht="21" customHeight="1">
      <c r="B246" s="5120"/>
      <c r="C246" s="5121"/>
      <c r="D246" s="5121"/>
      <c r="E246" s="5121"/>
      <c r="F246" s="5121"/>
      <c r="G246" s="5122"/>
      <c r="H246" s="5122"/>
      <c r="I246" s="5122"/>
      <c r="J246" s="5122"/>
      <c r="K246" s="5122"/>
      <c r="L246" s="5122"/>
      <c r="M246" s="5122"/>
      <c r="N246" s="5122"/>
      <c r="O246" s="5122"/>
      <c r="P246" s="5122"/>
      <c r="Q246" s="5634"/>
      <c r="R246" s="5094" t="s">
        <v>1</v>
      </c>
      <c r="S246" s="5120"/>
      <c r="T246" s="5121"/>
      <c r="U246" s="5121"/>
      <c r="V246" s="5121"/>
      <c r="W246" s="5121"/>
      <c r="X246" s="5122"/>
      <c r="Y246" s="5122"/>
      <c r="Z246" s="5122"/>
      <c r="AA246" s="5122"/>
      <c r="AB246" s="5122"/>
      <c r="AC246" s="5122"/>
      <c r="AD246" s="5122"/>
      <c r="AE246" s="5122"/>
      <c r="AF246" s="5122"/>
      <c r="AG246" s="5122"/>
      <c r="AH246" s="5634"/>
      <c r="AI246" s="5094" t="s">
        <v>1</v>
      </c>
      <c r="AJ246" s="5120"/>
      <c r="AK246" s="5121"/>
      <c r="AL246" s="5121"/>
      <c r="AM246" s="5121"/>
      <c r="AN246" s="5121"/>
      <c r="AO246" s="5122"/>
      <c r="AP246" s="5122"/>
      <c r="AQ246" s="5122"/>
      <c r="AR246" s="5122"/>
      <c r="AS246" s="5122"/>
      <c r="AT246" s="5122"/>
      <c r="AU246" s="5122"/>
      <c r="AV246" s="5122"/>
      <c r="AW246" s="5122"/>
      <c r="AX246" s="5122"/>
      <c r="AY246" s="5634"/>
      <c r="AZ246" s="5094" t="s">
        <v>1</v>
      </c>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5">
        <v>1</v>
      </c>
      <c r="CL246" s="1"/>
      <c r="CM246" s="1"/>
    </row>
    <row r="247" spans="2:91" s="187" customFormat="1" ht="21" customHeight="1">
      <c r="B247" s="5120"/>
      <c r="C247" s="5121"/>
      <c r="D247" s="5121"/>
      <c r="E247" s="5121"/>
      <c r="F247" s="5121"/>
      <c r="G247" s="5122"/>
      <c r="H247" s="5122"/>
      <c r="I247" s="5122"/>
      <c r="J247" s="5122"/>
      <c r="K247" s="5122"/>
      <c r="L247" s="5122"/>
      <c r="M247" s="5122"/>
      <c r="N247" s="5122"/>
      <c r="O247" s="5122"/>
      <c r="P247" s="5122"/>
      <c r="Q247" s="5634"/>
      <c r="R247" s="5094" t="s">
        <v>1</v>
      </c>
      <c r="S247" s="5120"/>
      <c r="T247" s="5121"/>
      <c r="U247" s="5121"/>
      <c r="V247" s="5121"/>
      <c r="W247" s="5121"/>
      <c r="X247" s="5122"/>
      <c r="Y247" s="5122"/>
      <c r="Z247" s="5122"/>
      <c r="AA247" s="5122"/>
      <c r="AB247" s="5122"/>
      <c r="AC247" s="5122"/>
      <c r="AD247" s="5122"/>
      <c r="AE247" s="5122"/>
      <c r="AF247" s="5122"/>
      <c r="AG247" s="5122"/>
      <c r="AH247" s="5634"/>
      <c r="AI247" s="5094" t="s">
        <v>1</v>
      </c>
      <c r="AJ247" s="5120"/>
      <c r="AK247" s="5121"/>
      <c r="AL247" s="5121"/>
      <c r="AM247" s="5121"/>
      <c r="AN247" s="5121"/>
      <c r="AO247" s="5122"/>
      <c r="AP247" s="5122"/>
      <c r="AQ247" s="5122"/>
      <c r="AR247" s="5122"/>
      <c r="AS247" s="5122"/>
      <c r="AT247" s="5122"/>
      <c r="AU247" s="5122"/>
      <c r="AV247" s="5122"/>
      <c r="AW247" s="5122"/>
      <c r="AX247" s="5122"/>
      <c r="AY247" s="5634"/>
      <c r="AZ247" s="5094" t="s">
        <v>1</v>
      </c>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5">
        <v>1</v>
      </c>
      <c r="CL247" s="1"/>
      <c r="CM247" s="1"/>
    </row>
    <row r="248" spans="2:91" s="187" customFormat="1" ht="21" customHeight="1">
      <c r="B248" s="5120"/>
      <c r="C248" s="5121"/>
      <c r="D248" s="5121"/>
      <c r="E248" s="5121"/>
      <c r="F248" s="5121"/>
      <c r="G248" s="5122"/>
      <c r="H248" s="5122"/>
      <c r="I248" s="5122"/>
      <c r="J248" s="5122"/>
      <c r="K248" s="5122"/>
      <c r="L248" s="5122"/>
      <c r="M248" s="5122"/>
      <c r="N248" s="5122"/>
      <c r="O248" s="5122"/>
      <c r="P248" s="5122"/>
      <c r="Q248" s="5634"/>
      <c r="R248" s="5094" t="s">
        <v>1</v>
      </c>
      <c r="S248" s="5120"/>
      <c r="T248" s="5121"/>
      <c r="U248" s="5121"/>
      <c r="V248" s="5121"/>
      <c r="W248" s="5121"/>
      <c r="X248" s="5122"/>
      <c r="Y248" s="5122"/>
      <c r="Z248" s="5122"/>
      <c r="AA248" s="5122"/>
      <c r="AB248" s="5122"/>
      <c r="AC248" s="5122"/>
      <c r="AD248" s="5122"/>
      <c r="AE248" s="5122"/>
      <c r="AF248" s="5122"/>
      <c r="AG248" s="5122"/>
      <c r="AH248" s="5634"/>
      <c r="AI248" s="5094" t="s">
        <v>1</v>
      </c>
      <c r="AJ248" s="5120"/>
      <c r="AK248" s="5121"/>
      <c r="AL248" s="5121"/>
      <c r="AM248" s="5121"/>
      <c r="AN248" s="5121"/>
      <c r="AO248" s="5122"/>
      <c r="AP248" s="5122"/>
      <c r="AQ248" s="5122"/>
      <c r="AR248" s="5122"/>
      <c r="AS248" s="5122"/>
      <c r="AT248" s="5122"/>
      <c r="AU248" s="5122"/>
      <c r="AV248" s="5122"/>
      <c r="AW248" s="5122"/>
      <c r="AX248" s="5122"/>
      <c r="AY248" s="5634"/>
      <c r="AZ248" s="5094" t="s">
        <v>1</v>
      </c>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5">
        <v>1</v>
      </c>
      <c r="CL248" s="1"/>
      <c r="CM248" s="1"/>
    </row>
    <row r="249" spans="2:91" s="187" customFormat="1" ht="21" customHeight="1">
      <c r="B249" s="5120"/>
      <c r="C249" s="5121"/>
      <c r="D249" s="5121"/>
      <c r="E249" s="5121"/>
      <c r="F249" s="5121"/>
      <c r="G249" s="5122"/>
      <c r="H249" s="5122"/>
      <c r="I249" s="5122"/>
      <c r="J249" s="5122"/>
      <c r="K249" s="5122"/>
      <c r="L249" s="5122"/>
      <c r="M249" s="5122"/>
      <c r="N249" s="5122"/>
      <c r="O249" s="5122"/>
      <c r="P249" s="5122"/>
      <c r="Q249" s="5634"/>
      <c r="R249" s="5094" t="s">
        <v>1</v>
      </c>
      <c r="S249" s="5120"/>
      <c r="T249" s="5121"/>
      <c r="U249" s="5121"/>
      <c r="V249" s="5121"/>
      <c r="W249" s="5121"/>
      <c r="X249" s="5122"/>
      <c r="Y249" s="5122"/>
      <c r="Z249" s="5122"/>
      <c r="AA249" s="5122"/>
      <c r="AB249" s="5122"/>
      <c r="AC249" s="5122"/>
      <c r="AD249" s="5122"/>
      <c r="AE249" s="5122"/>
      <c r="AF249" s="5122"/>
      <c r="AG249" s="5122"/>
      <c r="AH249" s="5634"/>
      <c r="AI249" s="5094" t="s">
        <v>1</v>
      </c>
      <c r="AJ249" s="5120"/>
      <c r="AK249" s="5121"/>
      <c r="AL249" s="5121"/>
      <c r="AM249" s="5121"/>
      <c r="AN249" s="5121"/>
      <c r="AO249" s="5122"/>
      <c r="AP249" s="5122"/>
      <c r="AQ249" s="5122"/>
      <c r="AR249" s="5122"/>
      <c r="AS249" s="5122"/>
      <c r="AT249" s="5122"/>
      <c r="AU249" s="5122"/>
      <c r="AV249" s="5122"/>
      <c r="AW249" s="5122"/>
      <c r="AX249" s="5122"/>
      <c r="AY249" s="5634"/>
      <c r="AZ249" s="5094" t="s">
        <v>1</v>
      </c>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5">
        <v>1</v>
      </c>
      <c r="CL249" s="1"/>
      <c r="CM249" s="1"/>
    </row>
    <row r="250" spans="2:91" s="187" customFormat="1" ht="21" customHeight="1">
      <c r="B250" s="5120"/>
      <c r="C250" s="5121"/>
      <c r="D250" s="5121"/>
      <c r="E250" s="5121"/>
      <c r="F250" s="5121"/>
      <c r="G250" s="5122"/>
      <c r="H250" s="5122"/>
      <c r="I250" s="5122"/>
      <c r="J250" s="5122"/>
      <c r="K250" s="5122"/>
      <c r="L250" s="5122"/>
      <c r="M250" s="5122"/>
      <c r="N250" s="5122"/>
      <c r="O250" s="5122"/>
      <c r="P250" s="5122"/>
      <c r="Q250" s="5634"/>
      <c r="R250" s="5094" t="s">
        <v>1</v>
      </c>
      <c r="S250" s="5120"/>
      <c r="T250" s="5121"/>
      <c r="U250" s="5121"/>
      <c r="V250" s="5121"/>
      <c r="W250" s="5121"/>
      <c r="X250" s="5122"/>
      <c r="Y250" s="5122"/>
      <c r="Z250" s="5122"/>
      <c r="AA250" s="5122"/>
      <c r="AB250" s="5122"/>
      <c r="AC250" s="5122"/>
      <c r="AD250" s="5122"/>
      <c r="AE250" s="5122"/>
      <c r="AF250" s="5122"/>
      <c r="AG250" s="5122"/>
      <c r="AH250" s="5634"/>
      <c r="AI250" s="5094" t="s">
        <v>1</v>
      </c>
      <c r="AJ250" s="5120"/>
      <c r="AK250" s="5121"/>
      <c r="AL250" s="5121"/>
      <c r="AM250" s="5121"/>
      <c r="AN250" s="5121"/>
      <c r="AO250" s="5122"/>
      <c r="AP250" s="5122"/>
      <c r="AQ250" s="5122"/>
      <c r="AR250" s="5122"/>
      <c r="AS250" s="5122"/>
      <c r="AT250" s="5122"/>
      <c r="AU250" s="5122"/>
      <c r="AV250" s="5122"/>
      <c r="AW250" s="5122"/>
      <c r="AX250" s="5122"/>
      <c r="AY250" s="5634"/>
      <c r="AZ250" s="5094" t="s">
        <v>1</v>
      </c>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5">
        <v>1</v>
      </c>
      <c r="CL250" s="1"/>
      <c r="CM250" s="1"/>
    </row>
    <row r="251" spans="2:91" s="187" customFormat="1" ht="21" customHeight="1">
      <c r="B251" s="5120"/>
      <c r="C251" s="5121"/>
      <c r="D251" s="5121"/>
      <c r="E251" s="5121"/>
      <c r="F251" s="5121"/>
      <c r="G251" s="5122"/>
      <c r="H251" s="5122"/>
      <c r="I251" s="5122"/>
      <c r="J251" s="5122"/>
      <c r="K251" s="5122"/>
      <c r="L251" s="5122"/>
      <c r="M251" s="5122"/>
      <c r="N251" s="5122"/>
      <c r="O251" s="5122"/>
      <c r="P251" s="5122"/>
      <c r="Q251" s="5634"/>
      <c r="R251" s="5094" t="s">
        <v>1</v>
      </c>
      <c r="S251" s="5120"/>
      <c r="T251" s="5121"/>
      <c r="U251" s="5121"/>
      <c r="V251" s="5121"/>
      <c r="W251" s="5121"/>
      <c r="X251" s="5122"/>
      <c r="Y251" s="5122"/>
      <c r="Z251" s="5122"/>
      <c r="AA251" s="5122"/>
      <c r="AB251" s="5122"/>
      <c r="AC251" s="5122"/>
      <c r="AD251" s="5122"/>
      <c r="AE251" s="5122"/>
      <c r="AF251" s="5122"/>
      <c r="AG251" s="5122"/>
      <c r="AH251" s="5634"/>
      <c r="AI251" s="5094" t="s">
        <v>1</v>
      </c>
      <c r="AJ251" s="5120"/>
      <c r="AK251" s="5121"/>
      <c r="AL251" s="5121"/>
      <c r="AM251" s="5121"/>
      <c r="AN251" s="5121"/>
      <c r="AO251" s="5122"/>
      <c r="AP251" s="5122"/>
      <c r="AQ251" s="5122"/>
      <c r="AR251" s="5122"/>
      <c r="AS251" s="5122"/>
      <c r="AT251" s="5122"/>
      <c r="AU251" s="5122"/>
      <c r="AV251" s="5122"/>
      <c r="AW251" s="5122"/>
      <c r="AX251" s="5122"/>
      <c r="AY251" s="5634"/>
      <c r="AZ251" s="5094" t="s">
        <v>1</v>
      </c>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5">
        <v>1</v>
      </c>
      <c r="CL251" s="1"/>
      <c r="CM251" s="1"/>
    </row>
    <row r="252" spans="2:91" s="187" customFormat="1" ht="21" customHeight="1">
      <c r="B252" s="5120"/>
      <c r="C252" s="5121"/>
      <c r="D252" s="5121"/>
      <c r="E252" s="5121"/>
      <c r="F252" s="5121"/>
      <c r="G252" s="5122"/>
      <c r="H252" s="5122"/>
      <c r="I252" s="5122"/>
      <c r="J252" s="5122"/>
      <c r="K252" s="5122"/>
      <c r="L252" s="5122"/>
      <c r="M252" s="5122"/>
      <c r="N252" s="5122"/>
      <c r="O252" s="5122"/>
      <c r="P252" s="5122"/>
      <c r="Q252" s="5634"/>
      <c r="R252" s="5094" t="s">
        <v>1</v>
      </c>
      <c r="S252" s="5120"/>
      <c r="T252" s="5121"/>
      <c r="U252" s="5121"/>
      <c r="V252" s="5121"/>
      <c r="W252" s="5121"/>
      <c r="X252" s="5122"/>
      <c r="Y252" s="5122"/>
      <c r="Z252" s="5122"/>
      <c r="AA252" s="5122"/>
      <c r="AB252" s="5122"/>
      <c r="AC252" s="5122"/>
      <c r="AD252" s="5122"/>
      <c r="AE252" s="5122"/>
      <c r="AF252" s="5122"/>
      <c r="AG252" s="5122"/>
      <c r="AH252" s="5634"/>
      <c r="AI252" s="5094" t="s">
        <v>1</v>
      </c>
      <c r="AJ252" s="5120"/>
      <c r="AK252" s="5121"/>
      <c r="AL252" s="5121"/>
      <c r="AM252" s="5121"/>
      <c r="AN252" s="5121"/>
      <c r="AO252" s="5122"/>
      <c r="AP252" s="5122"/>
      <c r="AQ252" s="5122"/>
      <c r="AR252" s="5122"/>
      <c r="AS252" s="5122"/>
      <c r="AT252" s="5122"/>
      <c r="AU252" s="5122"/>
      <c r="AV252" s="5122"/>
      <c r="AW252" s="5122"/>
      <c r="AX252" s="5122"/>
      <c r="AY252" s="5634"/>
      <c r="AZ252" s="5094" t="s">
        <v>1</v>
      </c>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5">
        <v>1</v>
      </c>
      <c r="CL252" s="1"/>
      <c r="CM252" s="1"/>
    </row>
    <row r="253" spans="2:91" s="187" customFormat="1" ht="21" customHeight="1">
      <c r="B253" s="5120"/>
      <c r="C253" s="5121"/>
      <c r="D253" s="5121"/>
      <c r="E253" s="5121"/>
      <c r="F253" s="5121"/>
      <c r="G253" s="5122"/>
      <c r="H253" s="5122"/>
      <c r="I253" s="5122"/>
      <c r="J253" s="5122"/>
      <c r="K253" s="5122"/>
      <c r="L253" s="5122"/>
      <c r="M253" s="5122"/>
      <c r="N253" s="5122"/>
      <c r="O253" s="5122"/>
      <c r="P253" s="5122"/>
      <c r="Q253" s="5634"/>
      <c r="R253" s="5094" t="s">
        <v>1</v>
      </c>
      <c r="S253" s="5120"/>
      <c r="T253" s="5121"/>
      <c r="U253" s="5121"/>
      <c r="V253" s="5121"/>
      <c r="W253" s="5121"/>
      <c r="X253" s="5122"/>
      <c r="Y253" s="5122"/>
      <c r="Z253" s="5122"/>
      <c r="AA253" s="5122"/>
      <c r="AB253" s="5122"/>
      <c r="AC253" s="5122"/>
      <c r="AD253" s="5122"/>
      <c r="AE253" s="5122"/>
      <c r="AF253" s="5122"/>
      <c r="AG253" s="5122"/>
      <c r="AH253" s="5634"/>
      <c r="AI253" s="5094" t="s">
        <v>1</v>
      </c>
      <c r="AJ253" s="5120"/>
      <c r="AK253" s="5121"/>
      <c r="AL253" s="5121"/>
      <c r="AM253" s="5121"/>
      <c r="AN253" s="5121"/>
      <c r="AO253" s="5122"/>
      <c r="AP253" s="5122"/>
      <c r="AQ253" s="5122"/>
      <c r="AR253" s="5122"/>
      <c r="AS253" s="5122"/>
      <c r="AT253" s="5122"/>
      <c r="AU253" s="5122"/>
      <c r="AV253" s="5122"/>
      <c r="AW253" s="5122"/>
      <c r="AX253" s="5122"/>
      <c r="AY253" s="5634"/>
      <c r="AZ253" s="5094" t="s">
        <v>1</v>
      </c>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5">
        <v>1</v>
      </c>
      <c r="CL253" s="1"/>
      <c r="CM253" s="1"/>
    </row>
    <row r="254" spans="2:91" s="187" customFormat="1" ht="21" customHeight="1">
      <c r="B254" s="5120"/>
      <c r="C254" s="5121"/>
      <c r="D254" s="5121"/>
      <c r="E254" s="5121"/>
      <c r="F254" s="5121"/>
      <c r="G254" s="5122"/>
      <c r="H254" s="5122"/>
      <c r="I254" s="5122"/>
      <c r="J254" s="5122"/>
      <c r="K254" s="5122"/>
      <c r="L254" s="5122"/>
      <c r="M254" s="5122"/>
      <c r="N254" s="5122"/>
      <c r="O254" s="5122"/>
      <c r="P254" s="5122"/>
      <c r="Q254" s="5634"/>
      <c r="R254" s="5094" t="s">
        <v>1</v>
      </c>
      <c r="S254" s="5120"/>
      <c r="T254" s="5121"/>
      <c r="U254" s="5121"/>
      <c r="V254" s="5121"/>
      <c r="W254" s="5121"/>
      <c r="X254" s="5122"/>
      <c r="Y254" s="5122"/>
      <c r="Z254" s="5122"/>
      <c r="AA254" s="5122"/>
      <c r="AB254" s="5122"/>
      <c r="AC254" s="5122"/>
      <c r="AD254" s="5122"/>
      <c r="AE254" s="5122"/>
      <c r="AF254" s="5122"/>
      <c r="AG254" s="5122"/>
      <c r="AH254" s="5634"/>
      <c r="AI254" s="5094" t="s">
        <v>1</v>
      </c>
      <c r="AJ254" s="5120"/>
      <c r="AK254" s="5121"/>
      <c r="AL254" s="5121"/>
      <c r="AM254" s="5121"/>
      <c r="AN254" s="5121"/>
      <c r="AO254" s="5122"/>
      <c r="AP254" s="5122"/>
      <c r="AQ254" s="5122"/>
      <c r="AR254" s="5122"/>
      <c r="AS254" s="5122"/>
      <c r="AT254" s="5122"/>
      <c r="AU254" s="5122"/>
      <c r="AV254" s="5122"/>
      <c r="AW254" s="5122"/>
      <c r="AX254" s="5122"/>
      <c r="AY254" s="5634"/>
      <c r="AZ254" s="5094" t="s">
        <v>1</v>
      </c>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5">
        <v>1</v>
      </c>
      <c r="CL254" s="1"/>
      <c r="CM254" s="1"/>
    </row>
    <row r="255" spans="2:91" s="187" customFormat="1" ht="21" customHeight="1">
      <c r="B255" s="5120"/>
      <c r="C255" s="5121"/>
      <c r="D255" s="5121"/>
      <c r="E255" s="5121"/>
      <c r="F255" s="5121"/>
      <c r="G255" s="5122"/>
      <c r="H255" s="5122"/>
      <c r="I255" s="5122"/>
      <c r="J255" s="5122"/>
      <c r="K255" s="5122"/>
      <c r="L255" s="5122"/>
      <c r="M255" s="5122"/>
      <c r="N255" s="5122"/>
      <c r="O255" s="5122"/>
      <c r="P255" s="5122"/>
      <c r="Q255" s="5634"/>
      <c r="R255" s="5094" t="s">
        <v>1</v>
      </c>
      <c r="S255" s="5120"/>
      <c r="T255" s="5121"/>
      <c r="U255" s="5121"/>
      <c r="V255" s="5121"/>
      <c r="W255" s="5121"/>
      <c r="X255" s="5122"/>
      <c r="Y255" s="5122"/>
      <c r="Z255" s="5122"/>
      <c r="AA255" s="5122"/>
      <c r="AB255" s="5122"/>
      <c r="AC255" s="5122"/>
      <c r="AD255" s="5122"/>
      <c r="AE255" s="5122"/>
      <c r="AF255" s="5122"/>
      <c r="AG255" s="5122"/>
      <c r="AH255" s="5634"/>
      <c r="AI255" s="5094" t="s">
        <v>1</v>
      </c>
      <c r="AJ255" s="5120"/>
      <c r="AK255" s="5121"/>
      <c r="AL255" s="5121"/>
      <c r="AM255" s="5121"/>
      <c r="AN255" s="5121"/>
      <c r="AO255" s="5122"/>
      <c r="AP255" s="5122"/>
      <c r="AQ255" s="5122"/>
      <c r="AR255" s="5122"/>
      <c r="AS255" s="5122"/>
      <c r="AT255" s="5122"/>
      <c r="AU255" s="5122"/>
      <c r="AV255" s="5122"/>
      <c r="AW255" s="5122"/>
      <c r="AX255" s="5122"/>
      <c r="AY255" s="5634"/>
      <c r="AZ255" s="5094" t="s">
        <v>1</v>
      </c>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5">
        <v>1</v>
      </c>
      <c r="CL255" s="1"/>
      <c r="CM255" s="1"/>
    </row>
    <row r="256" spans="2:91" s="187" customFormat="1" ht="21" customHeight="1">
      <c r="B256" s="5120"/>
      <c r="C256" s="5121"/>
      <c r="D256" s="5121"/>
      <c r="E256" s="5121"/>
      <c r="F256" s="5121"/>
      <c r="G256" s="5122"/>
      <c r="H256" s="5122"/>
      <c r="I256" s="5122"/>
      <c r="J256" s="5122"/>
      <c r="K256" s="5122"/>
      <c r="L256" s="5122"/>
      <c r="M256" s="5122"/>
      <c r="N256" s="5122"/>
      <c r="O256" s="5122"/>
      <c r="P256" s="5122"/>
      <c r="Q256" s="5634"/>
      <c r="R256" s="5094" t="s">
        <v>1</v>
      </c>
      <c r="S256" s="5120"/>
      <c r="T256" s="5121"/>
      <c r="U256" s="5121"/>
      <c r="V256" s="5121"/>
      <c r="W256" s="5121"/>
      <c r="X256" s="5122"/>
      <c r="Y256" s="5122"/>
      <c r="Z256" s="5122"/>
      <c r="AA256" s="5122"/>
      <c r="AB256" s="5122"/>
      <c r="AC256" s="5122"/>
      <c r="AD256" s="5122"/>
      <c r="AE256" s="5122"/>
      <c r="AF256" s="5122"/>
      <c r="AG256" s="5122"/>
      <c r="AH256" s="5634"/>
      <c r="AI256" s="5094" t="s">
        <v>1</v>
      </c>
      <c r="AJ256" s="5120"/>
      <c r="AK256" s="5121"/>
      <c r="AL256" s="5121"/>
      <c r="AM256" s="5121"/>
      <c r="AN256" s="5121"/>
      <c r="AO256" s="5122"/>
      <c r="AP256" s="5122"/>
      <c r="AQ256" s="5122"/>
      <c r="AR256" s="5122"/>
      <c r="AS256" s="5122"/>
      <c r="AT256" s="5122"/>
      <c r="AU256" s="5122"/>
      <c r="AV256" s="5122"/>
      <c r="AW256" s="5122"/>
      <c r="AX256" s="5122"/>
      <c r="AY256" s="5634"/>
      <c r="AZ256" s="5094" t="s">
        <v>1</v>
      </c>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5">
        <v>1</v>
      </c>
      <c r="CL256" s="1"/>
      <c r="CM256" s="1"/>
    </row>
    <row r="257" spans="2:91" s="187" customFormat="1" ht="21" customHeight="1">
      <c r="B257" s="5120"/>
      <c r="C257" s="5121"/>
      <c r="D257" s="5121"/>
      <c r="E257" s="5121"/>
      <c r="F257" s="5121"/>
      <c r="G257" s="5122"/>
      <c r="H257" s="5122"/>
      <c r="I257" s="5122"/>
      <c r="J257" s="5122"/>
      <c r="K257" s="5122"/>
      <c r="L257" s="5122"/>
      <c r="M257" s="5122"/>
      <c r="N257" s="5122"/>
      <c r="O257" s="5122"/>
      <c r="P257" s="5122"/>
      <c r="Q257" s="5634"/>
      <c r="R257" s="5094" t="s">
        <v>1</v>
      </c>
      <c r="S257" s="5120"/>
      <c r="T257" s="5121"/>
      <c r="U257" s="5121"/>
      <c r="V257" s="5121"/>
      <c r="W257" s="5121"/>
      <c r="X257" s="5122"/>
      <c r="Y257" s="5122"/>
      <c r="Z257" s="5122"/>
      <c r="AA257" s="5122"/>
      <c r="AB257" s="5122"/>
      <c r="AC257" s="5122"/>
      <c r="AD257" s="5122"/>
      <c r="AE257" s="5122"/>
      <c r="AF257" s="5122"/>
      <c r="AG257" s="5122"/>
      <c r="AH257" s="5634"/>
      <c r="AI257" s="5094" t="s">
        <v>1</v>
      </c>
      <c r="AJ257" s="5120"/>
      <c r="AK257" s="5121"/>
      <c r="AL257" s="5121"/>
      <c r="AM257" s="5121"/>
      <c r="AN257" s="5121"/>
      <c r="AO257" s="5122"/>
      <c r="AP257" s="5122"/>
      <c r="AQ257" s="5122"/>
      <c r="AR257" s="5122"/>
      <c r="AS257" s="5122"/>
      <c r="AT257" s="5122"/>
      <c r="AU257" s="5122"/>
      <c r="AV257" s="5122"/>
      <c r="AW257" s="5122"/>
      <c r="AX257" s="5122"/>
      <c r="AY257" s="5634"/>
      <c r="AZ257" s="5094" t="s">
        <v>1</v>
      </c>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5">
        <v>1</v>
      </c>
      <c r="CL257" s="1"/>
      <c r="CM257" s="1"/>
    </row>
    <row r="258" spans="2:91" s="187" customFormat="1" ht="21" customHeight="1">
      <c r="B258" s="5120"/>
      <c r="C258" s="5121"/>
      <c r="D258" s="5121"/>
      <c r="E258" s="5121"/>
      <c r="F258" s="5121"/>
      <c r="G258" s="5122"/>
      <c r="H258" s="5122"/>
      <c r="I258" s="5122"/>
      <c r="J258" s="5122"/>
      <c r="K258" s="5122"/>
      <c r="L258" s="5122"/>
      <c r="M258" s="5122"/>
      <c r="N258" s="5122"/>
      <c r="O258" s="5122"/>
      <c r="P258" s="5122"/>
      <c r="Q258" s="5634"/>
      <c r="R258" s="5094" t="s">
        <v>1</v>
      </c>
      <c r="S258" s="5120"/>
      <c r="T258" s="5121"/>
      <c r="U258" s="5121"/>
      <c r="V258" s="5121"/>
      <c r="W258" s="5121"/>
      <c r="X258" s="5122"/>
      <c r="Y258" s="5122"/>
      <c r="Z258" s="5122"/>
      <c r="AA258" s="5122"/>
      <c r="AB258" s="5122"/>
      <c r="AC258" s="5122"/>
      <c r="AD258" s="5122"/>
      <c r="AE258" s="5122"/>
      <c r="AF258" s="5122"/>
      <c r="AG258" s="5122"/>
      <c r="AH258" s="5634"/>
      <c r="AI258" s="5094" t="s">
        <v>1</v>
      </c>
      <c r="AJ258" s="5120"/>
      <c r="AK258" s="5121"/>
      <c r="AL258" s="5121"/>
      <c r="AM258" s="5121"/>
      <c r="AN258" s="5121"/>
      <c r="AO258" s="5122"/>
      <c r="AP258" s="5122"/>
      <c r="AQ258" s="5122"/>
      <c r="AR258" s="5122"/>
      <c r="AS258" s="5122"/>
      <c r="AT258" s="5122"/>
      <c r="AU258" s="5122"/>
      <c r="AV258" s="5122"/>
      <c r="AW258" s="5122"/>
      <c r="AX258" s="5122"/>
      <c r="AY258" s="5634"/>
      <c r="AZ258" s="5094" t="s">
        <v>1</v>
      </c>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5">
        <v>1</v>
      </c>
      <c r="CL258" s="1"/>
      <c r="CM258" s="1"/>
    </row>
    <row r="259" spans="2:91" s="187" customFormat="1" ht="21" customHeight="1">
      <c r="B259" s="5120"/>
      <c r="C259" s="5121"/>
      <c r="D259" s="5121"/>
      <c r="E259" s="5121"/>
      <c r="F259" s="5121"/>
      <c r="G259" s="5122"/>
      <c r="H259" s="5122"/>
      <c r="I259" s="5122"/>
      <c r="J259" s="5122"/>
      <c r="K259" s="5122"/>
      <c r="L259" s="5122"/>
      <c r="M259" s="5122"/>
      <c r="N259" s="5122"/>
      <c r="O259" s="5122"/>
      <c r="P259" s="5122"/>
      <c r="Q259" s="5634"/>
      <c r="R259" s="5094" t="s">
        <v>1</v>
      </c>
      <c r="S259" s="5120"/>
      <c r="T259" s="5121"/>
      <c r="U259" s="5121"/>
      <c r="V259" s="5121"/>
      <c r="W259" s="5121"/>
      <c r="X259" s="5122"/>
      <c r="Y259" s="5122"/>
      <c r="Z259" s="5122"/>
      <c r="AA259" s="5122"/>
      <c r="AB259" s="5122"/>
      <c r="AC259" s="5122"/>
      <c r="AD259" s="5122"/>
      <c r="AE259" s="5122"/>
      <c r="AF259" s="5122"/>
      <c r="AG259" s="5122"/>
      <c r="AH259" s="5634"/>
      <c r="AI259" s="5094" t="s">
        <v>1</v>
      </c>
      <c r="AJ259" s="5120"/>
      <c r="AK259" s="5121"/>
      <c r="AL259" s="5121"/>
      <c r="AM259" s="5121"/>
      <c r="AN259" s="5121"/>
      <c r="AO259" s="5122"/>
      <c r="AP259" s="5122"/>
      <c r="AQ259" s="5122"/>
      <c r="AR259" s="5122"/>
      <c r="AS259" s="5122"/>
      <c r="AT259" s="5122"/>
      <c r="AU259" s="5122"/>
      <c r="AV259" s="5122"/>
      <c r="AW259" s="5122"/>
      <c r="AX259" s="5122"/>
      <c r="AY259" s="5634"/>
      <c r="AZ259" s="5094" t="s">
        <v>1</v>
      </c>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5">
        <v>1</v>
      </c>
      <c r="CL259" s="1"/>
      <c r="CM259" s="1"/>
    </row>
    <row r="260" spans="2:91" s="187" customFormat="1" ht="21" customHeight="1">
      <c r="B260" s="5120"/>
      <c r="C260" s="5121"/>
      <c r="D260" s="5121"/>
      <c r="E260" s="5121"/>
      <c r="F260" s="5121"/>
      <c r="G260" s="5122"/>
      <c r="H260" s="5122"/>
      <c r="I260" s="5122"/>
      <c r="J260" s="5122"/>
      <c r="K260" s="5122"/>
      <c r="L260" s="5122"/>
      <c r="M260" s="5122"/>
      <c r="N260" s="5122"/>
      <c r="O260" s="5122"/>
      <c r="P260" s="5122"/>
      <c r="Q260" s="5634"/>
      <c r="R260" s="5094" t="s">
        <v>1</v>
      </c>
      <c r="S260" s="5120"/>
      <c r="T260" s="5121"/>
      <c r="U260" s="5121"/>
      <c r="V260" s="5121"/>
      <c r="W260" s="5121"/>
      <c r="X260" s="5122"/>
      <c r="Y260" s="5122"/>
      <c r="Z260" s="5122"/>
      <c r="AA260" s="5122"/>
      <c r="AB260" s="5122"/>
      <c r="AC260" s="5122"/>
      <c r="AD260" s="5122"/>
      <c r="AE260" s="5122"/>
      <c r="AF260" s="5122"/>
      <c r="AG260" s="5122"/>
      <c r="AH260" s="5634"/>
      <c r="AI260" s="5094" t="s">
        <v>1</v>
      </c>
      <c r="AJ260" s="5120"/>
      <c r="AK260" s="5121"/>
      <c r="AL260" s="5121"/>
      <c r="AM260" s="5121"/>
      <c r="AN260" s="5121"/>
      <c r="AO260" s="5122"/>
      <c r="AP260" s="5122"/>
      <c r="AQ260" s="5122"/>
      <c r="AR260" s="5122"/>
      <c r="AS260" s="5122"/>
      <c r="AT260" s="5122"/>
      <c r="AU260" s="5122"/>
      <c r="AV260" s="5122"/>
      <c r="AW260" s="5122"/>
      <c r="AX260" s="5122"/>
      <c r="AY260" s="5634"/>
      <c r="AZ260" s="5094" t="s">
        <v>1</v>
      </c>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5">
        <v>1</v>
      </c>
      <c r="CL260" s="1"/>
      <c r="CM260" s="1"/>
    </row>
    <row r="261" spans="2:91" s="187" customFormat="1" ht="21" customHeight="1">
      <c r="B261" s="5120"/>
      <c r="C261" s="5121"/>
      <c r="D261" s="5121"/>
      <c r="E261" s="5121"/>
      <c r="F261" s="5121"/>
      <c r="G261" s="5122"/>
      <c r="H261" s="5122"/>
      <c r="I261" s="5122"/>
      <c r="J261" s="5122"/>
      <c r="K261" s="5122"/>
      <c r="L261" s="5122"/>
      <c r="M261" s="5122"/>
      <c r="N261" s="5122"/>
      <c r="O261" s="5122"/>
      <c r="P261" s="5122"/>
      <c r="Q261" s="5634"/>
      <c r="R261" s="5094" t="s">
        <v>1</v>
      </c>
      <c r="S261" s="5120"/>
      <c r="T261" s="5121"/>
      <c r="U261" s="5121"/>
      <c r="V261" s="5121"/>
      <c r="W261" s="5121"/>
      <c r="X261" s="5122"/>
      <c r="Y261" s="5122"/>
      <c r="Z261" s="5122"/>
      <c r="AA261" s="5122"/>
      <c r="AB261" s="5122"/>
      <c r="AC261" s="5122"/>
      <c r="AD261" s="5122"/>
      <c r="AE261" s="5122"/>
      <c r="AF261" s="5122"/>
      <c r="AG261" s="5122"/>
      <c r="AH261" s="5634"/>
      <c r="AI261" s="5094" t="s">
        <v>1</v>
      </c>
      <c r="AJ261" s="5120"/>
      <c r="AK261" s="5121"/>
      <c r="AL261" s="5121"/>
      <c r="AM261" s="5121"/>
      <c r="AN261" s="5121"/>
      <c r="AO261" s="5122"/>
      <c r="AP261" s="5122"/>
      <c r="AQ261" s="5122"/>
      <c r="AR261" s="5122"/>
      <c r="AS261" s="5122"/>
      <c r="AT261" s="5122"/>
      <c r="AU261" s="5122"/>
      <c r="AV261" s="5122"/>
      <c r="AW261" s="5122"/>
      <c r="AX261" s="5122"/>
      <c r="AY261" s="5634"/>
      <c r="AZ261" s="5094" t="s">
        <v>1</v>
      </c>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5">
        <v>1</v>
      </c>
      <c r="CL261" s="1"/>
      <c r="CM261" s="1"/>
    </row>
    <row r="262" spans="2:91" s="187" customFormat="1" ht="21" customHeight="1">
      <c r="B262" s="5120"/>
      <c r="C262" s="5121"/>
      <c r="D262" s="5121"/>
      <c r="E262" s="5121"/>
      <c r="F262" s="5121"/>
      <c r="G262" s="5122"/>
      <c r="H262" s="5122"/>
      <c r="I262" s="5122"/>
      <c r="J262" s="5122"/>
      <c r="K262" s="5122"/>
      <c r="L262" s="5122"/>
      <c r="M262" s="5122"/>
      <c r="N262" s="5122"/>
      <c r="O262" s="5122"/>
      <c r="P262" s="5122"/>
      <c r="Q262" s="5634"/>
      <c r="R262" s="5094" t="s">
        <v>1</v>
      </c>
      <c r="S262" s="5120"/>
      <c r="T262" s="5121"/>
      <c r="U262" s="5121"/>
      <c r="V262" s="5121"/>
      <c r="W262" s="5121"/>
      <c r="X262" s="5122"/>
      <c r="Y262" s="5122"/>
      <c r="Z262" s="5122"/>
      <c r="AA262" s="5122"/>
      <c r="AB262" s="5122"/>
      <c r="AC262" s="5122"/>
      <c r="AD262" s="5122"/>
      <c r="AE262" s="5122"/>
      <c r="AF262" s="5122"/>
      <c r="AG262" s="5122"/>
      <c r="AH262" s="5634"/>
      <c r="AI262" s="5094" t="s">
        <v>1</v>
      </c>
      <c r="AJ262" s="5120"/>
      <c r="AK262" s="5121"/>
      <c r="AL262" s="5121"/>
      <c r="AM262" s="5121"/>
      <c r="AN262" s="5121"/>
      <c r="AO262" s="5122"/>
      <c r="AP262" s="5122"/>
      <c r="AQ262" s="5122"/>
      <c r="AR262" s="5122"/>
      <c r="AS262" s="5122"/>
      <c r="AT262" s="5122"/>
      <c r="AU262" s="5122"/>
      <c r="AV262" s="5122"/>
      <c r="AW262" s="5122"/>
      <c r="AX262" s="5122"/>
      <c r="AY262" s="5634"/>
      <c r="AZ262" s="5094" t="s">
        <v>1</v>
      </c>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5">
        <v>1</v>
      </c>
      <c r="CL262" s="1"/>
      <c r="CM262" s="1"/>
    </row>
    <row r="263" spans="2:91" s="187" customFormat="1" ht="21" customHeight="1">
      <c r="B263" s="5120"/>
      <c r="C263" s="5121"/>
      <c r="D263" s="5121"/>
      <c r="E263" s="5121"/>
      <c r="F263" s="5121"/>
      <c r="G263" s="5122"/>
      <c r="H263" s="5122"/>
      <c r="I263" s="5122"/>
      <c r="J263" s="5122"/>
      <c r="K263" s="5122"/>
      <c r="L263" s="5122"/>
      <c r="M263" s="5122"/>
      <c r="N263" s="5122"/>
      <c r="O263" s="5122"/>
      <c r="P263" s="5122"/>
      <c r="Q263" s="5634"/>
      <c r="R263" s="5094" t="s">
        <v>1</v>
      </c>
      <c r="S263" s="5120"/>
      <c r="T263" s="5121"/>
      <c r="U263" s="5121"/>
      <c r="V263" s="5121"/>
      <c r="W263" s="5121"/>
      <c r="X263" s="5122"/>
      <c r="Y263" s="5122"/>
      <c r="Z263" s="5122"/>
      <c r="AA263" s="5122"/>
      <c r="AB263" s="5122"/>
      <c r="AC263" s="5122"/>
      <c r="AD263" s="5122"/>
      <c r="AE263" s="5122"/>
      <c r="AF263" s="5122"/>
      <c r="AG263" s="5122"/>
      <c r="AH263" s="5634"/>
      <c r="AI263" s="5094" t="s">
        <v>1</v>
      </c>
      <c r="AJ263" s="5120"/>
      <c r="AK263" s="5121"/>
      <c r="AL263" s="5121"/>
      <c r="AM263" s="5121"/>
      <c r="AN263" s="5121"/>
      <c r="AO263" s="5122"/>
      <c r="AP263" s="5122"/>
      <c r="AQ263" s="5122"/>
      <c r="AR263" s="5122"/>
      <c r="AS263" s="5122"/>
      <c r="AT263" s="5122"/>
      <c r="AU263" s="5122"/>
      <c r="AV263" s="5122"/>
      <c r="AW263" s="5122"/>
      <c r="AX263" s="5122"/>
      <c r="AY263" s="5634"/>
      <c r="AZ263" s="5094" t="s">
        <v>1</v>
      </c>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5">
        <v>1</v>
      </c>
      <c r="CL263" s="1"/>
      <c r="CM263" s="1"/>
    </row>
    <row r="264" spans="2:91" s="187" customFormat="1" ht="21" customHeight="1">
      <c r="B264" s="5120"/>
      <c r="C264" s="5121"/>
      <c r="D264" s="5121"/>
      <c r="E264" s="5121"/>
      <c r="F264" s="5121"/>
      <c r="G264" s="5122"/>
      <c r="H264" s="5122"/>
      <c r="I264" s="5122"/>
      <c r="J264" s="5122"/>
      <c r="K264" s="5122"/>
      <c r="L264" s="5122"/>
      <c r="M264" s="5122"/>
      <c r="N264" s="5122"/>
      <c r="O264" s="5122"/>
      <c r="P264" s="5122"/>
      <c r="Q264" s="5634"/>
      <c r="R264" s="5094" t="s">
        <v>1</v>
      </c>
      <c r="S264" s="5120"/>
      <c r="T264" s="5121"/>
      <c r="U264" s="5121"/>
      <c r="V264" s="5121"/>
      <c r="W264" s="5121"/>
      <c r="X264" s="5122"/>
      <c r="Y264" s="5122"/>
      <c r="Z264" s="5122"/>
      <c r="AA264" s="5122"/>
      <c r="AB264" s="5122"/>
      <c r="AC264" s="5122"/>
      <c r="AD264" s="5122"/>
      <c r="AE264" s="5122"/>
      <c r="AF264" s="5122"/>
      <c r="AG264" s="5122"/>
      <c r="AH264" s="5634"/>
      <c r="AI264" s="5094" t="s">
        <v>1</v>
      </c>
      <c r="AJ264" s="5120"/>
      <c r="AK264" s="5121"/>
      <c r="AL264" s="5121"/>
      <c r="AM264" s="5121"/>
      <c r="AN264" s="5121"/>
      <c r="AO264" s="5122"/>
      <c r="AP264" s="5122"/>
      <c r="AQ264" s="5122"/>
      <c r="AR264" s="5122"/>
      <c r="AS264" s="5122"/>
      <c r="AT264" s="5122"/>
      <c r="AU264" s="5122"/>
      <c r="AV264" s="5122"/>
      <c r="AW264" s="5122"/>
      <c r="AX264" s="5122"/>
      <c r="AY264" s="5634"/>
      <c r="AZ264" s="5094" t="s">
        <v>1</v>
      </c>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5">
        <v>1</v>
      </c>
      <c r="CL264" s="1"/>
      <c r="CM264" s="1"/>
    </row>
    <row r="265" spans="2:91" s="187" customFormat="1" ht="21" customHeight="1">
      <c r="B265" s="5120"/>
      <c r="C265" s="5121"/>
      <c r="D265" s="5121"/>
      <c r="E265" s="5121"/>
      <c r="F265" s="5121"/>
      <c r="G265" s="5122"/>
      <c r="H265" s="5122"/>
      <c r="I265" s="5122"/>
      <c r="J265" s="5122"/>
      <c r="K265" s="5122"/>
      <c r="L265" s="5122"/>
      <c r="M265" s="5122"/>
      <c r="N265" s="5122"/>
      <c r="O265" s="5122"/>
      <c r="P265" s="5122"/>
      <c r="Q265" s="5634"/>
      <c r="R265" s="5094" t="s">
        <v>1</v>
      </c>
      <c r="S265" s="5120"/>
      <c r="T265" s="5121"/>
      <c r="U265" s="5121"/>
      <c r="V265" s="5121"/>
      <c r="W265" s="5121"/>
      <c r="X265" s="5122"/>
      <c r="Y265" s="5122"/>
      <c r="Z265" s="5122"/>
      <c r="AA265" s="5122"/>
      <c r="AB265" s="5122"/>
      <c r="AC265" s="5122"/>
      <c r="AD265" s="5122"/>
      <c r="AE265" s="5122"/>
      <c r="AF265" s="5122"/>
      <c r="AG265" s="5122"/>
      <c r="AH265" s="5634"/>
      <c r="AI265" s="5094" t="s">
        <v>1</v>
      </c>
      <c r="AJ265" s="5120"/>
      <c r="AK265" s="5121"/>
      <c r="AL265" s="5121"/>
      <c r="AM265" s="5121"/>
      <c r="AN265" s="5121"/>
      <c r="AO265" s="5122"/>
      <c r="AP265" s="5122"/>
      <c r="AQ265" s="5122"/>
      <c r="AR265" s="5122"/>
      <c r="AS265" s="5122"/>
      <c r="AT265" s="5122"/>
      <c r="AU265" s="5122"/>
      <c r="AV265" s="5122"/>
      <c r="AW265" s="5122"/>
      <c r="AX265" s="5122"/>
      <c r="AY265" s="5634"/>
      <c r="AZ265" s="5094" t="s">
        <v>1</v>
      </c>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5">
        <v>1</v>
      </c>
      <c r="CL265" s="1"/>
      <c r="CM265" s="1"/>
    </row>
    <row r="266" spans="2:91" s="187" customFormat="1" ht="21" customHeight="1">
      <c r="B266" s="5120"/>
      <c r="C266" s="5121"/>
      <c r="D266" s="5121"/>
      <c r="E266" s="5121"/>
      <c r="F266" s="5121"/>
      <c r="G266" s="5122"/>
      <c r="H266" s="5122"/>
      <c r="I266" s="5122"/>
      <c r="J266" s="5122"/>
      <c r="K266" s="5122"/>
      <c r="L266" s="5122"/>
      <c r="M266" s="5122"/>
      <c r="N266" s="5122"/>
      <c r="O266" s="5122"/>
      <c r="P266" s="5122"/>
      <c r="Q266" s="5634"/>
      <c r="R266" s="5094" t="s">
        <v>1</v>
      </c>
      <c r="S266" s="5120"/>
      <c r="T266" s="5121"/>
      <c r="U266" s="5121"/>
      <c r="V266" s="5121"/>
      <c r="W266" s="5121"/>
      <c r="X266" s="5122"/>
      <c r="Y266" s="5122"/>
      <c r="Z266" s="5122"/>
      <c r="AA266" s="5122"/>
      <c r="AB266" s="5122"/>
      <c r="AC266" s="5122"/>
      <c r="AD266" s="5122"/>
      <c r="AE266" s="5122"/>
      <c r="AF266" s="5122"/>
      <c r="AG266" s="5122"/>
      <c r="AH266" s="5634"/>
      <c r="AI266" s="5094" t="s">
        <v>1</v>
      </c>
      <c r="AJ266" s="5120"/>
      <c r="AK266" s="5121"/>
      <c r="AL266" s="5121"/>
      <c r="AM266" s="5121"/>
      <c r="AN266" s="5121"/>
      <c r="AO266" s="5122"/>
      <c r="AP266" s="5122"/>
      <c r="AQ266" s="5122"/>
      <c r="AR266" s="5122"/>
      <c r="AS266" s="5122"/>
      <c r="AT266" s="5122"/>
      <c r="AU266" s="5122"/>
      <c r="AV266" s="5122"/>
      <c r="AW266" s="5122"/>
      <c r="AX266" s="5122"/>
      <c r="AY266" s="5634"/>
      <c r="AZ266" s="5094" t="s">
        <v>1</v>
      </c>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5">
        <v>1</v>
      </c>
      <c r="CL266" s="1"/>
      <c r="CM266" s="1"/>
    </row>
    <row r="267" spans="2:91" s="187" customFormat="1" ht="21" customHeight="1">
      <c r="B267" s="5120"/>
      <c r="C267" s="5121"/>
      <c r="D267" s="5121"/>
      <c r="E267" s="5121"/>
      <c r="F267" s="5121"/>
      <c r="G267" s="5122"/>
      <c r="H267" s="5122"/>
      <c r="I267" s="5122"/>
      <c r="J267" s="5122"/>
      <c r="K267" s="5122"/>
      <c r="L267" s="5122"/>
      <c r="M267" s="5122"/>
      <c r="N267" s="5122"/>
      <c r="O267" s="5122"/>
      <c r="P267" s="5122"/>
      <c r="Q267" s="5634"/>
      <c r="R267" s="5094" t="s">
        <v>1</v>
      </c>
      <c r="S267" s="5120"/>
      <c r="T267" s="5121"/>
      <c r="U267" s="5121"/>
      <c r="V267" s="5121"/>
      <c r="W267" s="5121"/>
      <c r="X267" s="5122"/>
      <c r="Y267" s="5122"/>
      <c r="Z267" s="5122"/>
      <c r="AA267" s="5122"/>
      <c r="AB267" s="5122"/>
      <c r="AC267" s="5122"/>
      <c r="AD267" s="5122"/>
      <c r="AE267" s="5122"/>
      <c r="AF267" s="5122"/>
      <c r="AG267" s="5122"/>
      <c r="AH267" s="5634"/>
      <c r="AI267" s="5094" t="s">
        <v>1</v>
      </c>
      <c r="AJ267" s="5120"/>
      <c r="AK267" s="5121"/>
      <c r="AL267" s="5121"/>
      <c r="AM267" s="5121"/>
      <c r="AN267" s="5121"/>
      <c r="AO267" s="5122"/>
      <c r="AP267" s="5122"/>
      <c r="AQ267" s="5122"/>
      <c r="AR267" s="5122"/>
      <c r="AS267" s="5122"/>
      <c r="AT267" s="5122"/>
      <c r="AU267" s="5122"/>
      <c r="AV267" s="5122"/>
      <c r="AW267" s="5122"/>
      <c r="AX267" s="5122"/>
      <c r="AY267" s="5634"/>
      <c r="AZ267" s="5094" t="s">
        <v>1</v>
      </c>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5">
        <v>1</v>
      </c>
      <c r="CL267" s="1"/>
      <c r="CM267" s="1"/>
    </row>
    <row r="268" spans="2:91" s="187" customFormat="1" ht="21" customHeight="1">
      <c r="B268" s="5120"/>
      <c r="C268" s="5121"/>
      <c r="D268" s="5121"/>
      <c r="E268" s="5121"/>
      <c r="F268" s="5121"/>
      <c r="G268" s="5122"/>
      <c r="H268" s="5122"/>
      <c r="I268" s="5122"/>
      <c r="J268" s="5122"/>
      <c r="K268" s="5122"/>
      <c r="L268" s="5122"/>
      <c r="M268" s="5122"/>
      <c r="N268" s="5122"/>
      <c r="O268" s="5122"/>
      <c r="P268" s="5122"/>
      <c r="Q268" s="5634"/>
      <c r="R268" s="5094" t="s">
        <v>1</v>
      </c>
      <c r="S268" s="5120"/>
      <c r="T268" s="5121"/>
      <c r="U268" s="5121"/>
      <c r="V268" s="5121"/>
      <c r="W268" s="5121"/>
      <c r="X268" s="5122"/>
      <c r="Y268" s="5122"/>
      <c r="Z268" s="5122"/>
      <c r="AA268" s="5122"/>
      <c r="AB268" s="5122"/>
      <c r="AC268" s="5122"/>
      <c r="AD268" s="5122"/>
      <c r="AE268" s="5122"/>
      <c r="AF268" s="5122"/>
      <c r="AG268" s="5122"/>
      <c r="AH268" s="5634"/>
      <c r="AI268" s="5094" t="s">
        <v>1</v>
      </c>
      <c r="AJ268" s="5120"/>
      <c r="AK268" s="5121"/>
      <c r="AL268" s="5121"/>
      <c r="AM268" s="5121"/>
      <c r="AN268" s="5121"/>
      <c r="AO268" s="5122"/>
      <c r="AP268" s="5122"/>
      <c r="AQ268" s="5122"/>
      <c r="AR268" s="5122"/>
      <c r="AS268" s="5122"/>
      <c r="AT268" s="5122"/>
      <c r="AU268" s="5122"/>
      <c r="AV268" s="5122"/>
      <c r="AW268" s="5122"/>
      <c r="AX268" s="5122"/>
      <c r="AY268" s="5634"/>
      <c r="AZ268" s="5094" t="s">
        <v>1</v>
      </c>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5">
        <v>1</v>
      </c>
      <c r="CL268" s="1"/>
      <c r="CM268" s="1"/>
    </row>
    <row r="269" spans="2:91" s="187" customFormat="1" ht="21" customHeight="1">
      <c r="B269" s="5120"/>
      <c r="C269" s="5121"/>
      <c r="D269" s="5121"/>
      <c r="E269" s="5121"/>
      <c r="F269" s="5121"/>
      <c r="G269" s="5122"/>
      <c r="H269" s="5122"/>
      <c r="I269" s="5122"/>
      <c r="J269" s="5122"/>
      <c r="K269" s="5122"/>
      <c r="L269" s="5122"/>
      <c r="M269" s="5122"/>
      <c r="N269" s="5122"/>
      <c r="O269" s="5122"/>
      <c r="P269" s="5122"/>
      <c r="Q269" s="5634"/>
      <c r="R269" s="5094" t="s">
        <v>1</v>
      </c>
      <c r="S269" s="5120"/>
      <c r="T269" s="5121"/>
      <c r="U269" s="5121"/>
      <c r="V269" s="5121"/>
      <c r="W269" s="5121"/>
      <c r="X269" s="5122"/>
      <c r="Y269" s="5122"/>
      <c r="Z269" s="5122"/>
      <c r="AA269" s="5122"/>
      <c r="AB269" s="5122"/>
      <c r="AC269" s="5122"/>
      <c r="AD269" s="5122"/>
      <c r="AE269" s="5122"/>
      <c r="AF269" s="5122"/>
      <c r="AG269" s="5122"/>
      <c r="AH269" s="5634"/>
      <c r="AI269" s="5094" t="s">
        <v>1</v>
      </c>
      <c r="AJ269" s="5120"/>
      <c r="AK269" s="5121"/>
      <c r="AL269" s="5121"/>
      <c r="AM269" s="5121"/>
      <c r="AN269" s="5121"/>
      <c r="AO269" s="5122"/>
      <c r="AP269" s="5122"/>
      <c r="AQ269" s="5122"/>
      <c r="AR269" s="5122"/>
      <c r="AS269" s="5122"/>
      <c r="AT269" s="5122"/>
      <c r="AU269" s="5122"/>
      <c r="AV269" s="5122"/>
      <c r="AW269" s="5122"/>
      <c r="AX269" s="5122"/>
      <c r="AY269" s="5634"/>
      <c r="AZ269" s="5094" t="s">
        <v>1</v>
      </c>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5">
        <v>1</v>
      </c>
      <c r="CL269" s="1"/>
      <c r="CM269" s="1"/>
    </row>
    <row r="270" spans="2:91" s="187" customFormat="1" ht="21" customHeight="1">
      <c r="B270" s="5120"/>
      <c r="C270" s="5121"/>
      <c r="D270" s="5121"/>
      <c r="E270" s="5121"/>
      <c r="F270" s="5121"/>
      <c r="G270" s="5122"/>
      <c r="H270" s="5122"/>
      <c r="I270" s="5122"/>
      <c r="J270" s="5122"/>
      <c r="K270" s="5122"/>
      <c r="L270" s="5122"/>
      <c r="M270" s="5122"/>
      <c r="N270" s="5122"/>
      <c r="O270" s="5122"/>
      <c r="P270" s="5122"/>
      <c r="Q270" s="5634"/>
      <c r="R270" s="5094" t="s">
        <v>1</v>
      </c>
      <c r="S270" s="5120"/>
      <c r="T270" s="5121"/>
      <c r="U270" s="5121"/>
      <c r="V270" s="5121"/>
      <c r="W270" s="5121"/>
      <c r="X270" s="5122"/>
      <c r="Y270" s="5122"/>
      <c r="Z270" s="5122"/>
      <c r="AA270" s="5122"/>
      <c r="AB270" s="5122"/>
      <c r="AC270" s="5122"/>
      <c r="AD270" s="5122"/>
      <c r="AE270" s="5122"/>
      <c r="AF270" s="5122"/>
      <c r="AG270" s="5122"/>
      <c r="AH270" s="5634"/>
      <c r="AI270" s="5094" t="s">
        <v>1</v>
      </c>
      <c r="AJ270" s="5120"/>
      <c r="AK270" s="5121"/>
      <c r="AL270" s="5121"/>
      <c r="AM270" s="5121"/>
      <c r="AN270" s="5121"/>
      <c r="AO270" s="5122"/>
      <c r="AP270" s="5122"/>
      <c r="AQ270" s="5122"/>
      <c r="AR270" s="5122"/>
      <c r="AS270" s="5122"/>
      <c r="AT270" s="5122"/>
      <c r="AU270" s="5122"/>
      <c r="AV270" s="5122"/>
      <c r="AW270" s="5122"/>
      <c r="AX270" s="5122"/>
      <c r="AY270" s="5634"/>
      <c r="AZ270" s="5094" t="s">
        <v>1</v>
      </c>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5">
        <v>1</v>
      </c>
      <c r="CL270" s="1"/>
      <c r="CM270" s="1"/>
    </row>
    <row r="271" spans="2:91" s="187" customFormat="1" ht="21" customHeight="1">
      <c r="B271" s="5120"/>
      <c r="C271" s="5121"/>
      <c r="D271" s="5121"/>
      <c r="E271" s="5121"/>
      <c r="F271" s="5121"/>
      <c r="G271" s="5122"/>
      <c r="H271" s="5122"/>
      <c r="I271" s="5122"/>
      <c r="J271" s="5122"/>
      <c r="K271" s="5122"/>
      <c r="L271" s="5122"/>
      <c r="M271" s="5122"/>
      <c r="N271" s="5122"/>
      <c r="O271" s="5122"/>
      <c r="P271" s="5122"/>
      <c r="Q271" s="5634"/>
      <c r="R271" s="5094" t="s">
        <v>1</v>
      </c>
      <c r="S271" s="5120"/>
      <c r="T271" s="5121"/>
      <c r="U271" s="5121"/>
      <c r="V271" s="5121"/>
      <c r="W271" s="5121"/>
      <c r="X271" s="5122"/>
      <c r="Y271" s="5122"/>
      <c r="Z271" s="5122"/>
      <c r="AA271" s="5122"/>
      <c r="AB271" s="5122"/>
      <c r="AC271" s="5122"/>
      <c r="AD271" s="5122"/>
      <c r="AE271" s="5122"/>
      <c r="AF271" s="5122"/>
      <c r="AG271" s="5122"/>
      <c r="AH271" s="5634"/>
      <c r="AI271" s="5094" t="s">
        <v>1</v>
      </c>
      <c r="AJ271" s="5120"/>
      <c r="AK271" s="5121"/>
      <c r="AL271" s="5121"/>
      <c r="AM271" s="5121"/>
      <c r="AN271" s="5121"/>
      <c r="AO271" s="5122"/>
      <c r="AP271" s="5122"/>
      <c r="AQ271" s="5122"/>
      <c r="AR271" s="5122"/>
      <c r="AS271" s="5122"/>
      <c r="AT271" s="5122"/>
      <c r="AU271" s="5122"/>
      <c r="AV271" s="5122"/>
      <c r="AW271" s="5122"/>
      <c r="AX271" s="5122"/>
      <c r="AY271" s="5634"/>
      <c r="AZ271" s="5094" t="s">
        <v>1</v>
      </c>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5">
        <v>1</v>
      </c>
      <c r="CL271" s="1"/>
      <c r="CM271" s="1"/>
    </row>
    <row r="272" spans="2:91" s="187" customFormat="1" ht="21" customHeight="1">
      <c r="B272" s="5120"/>
      <c r="C272" s="5121"/>
      <c r="D272" s="5121"/>
      <c r="E272" s="5121"/>
      <c r="F272" s="5121"/>
      <c r="G272" s="5122"/>
      <c r="H272" s="5122"/>
      <c r="I272" s="5122"/>
      <c r="J272" s="5122"/>
      <c r="K272" s="5122"/>
      <c r="L272" s="5122"/>
      <c r="M272" s="5122"/>
      <c r="N272" s="5122"/>
      <c r="O272" s="5122"/>
      <c r="P272" s="5122"/>
      <c r="Q272" s="5634"/>
      <c r="R272" s="5094" t="s">
        <v>1</v>
      </c>
      <c r="S272" s="5120"/>
      <c r="T272" s="5121"/>
      <c r="U272" s="5121"/>
      <c r="V272" s="5121"/>
      <c r="W272" s="5121"/>
      <c r="X272" s="5122"/>
      <c r="Y272" s="5122"/>
      <c r="Z272" s="5122"/>
      <c r="AA272" s="5122"/>
      <c r="AB272" s="5122"/>
      <c r="AC272" s="5122"/>
      <c r="AD272" s="5122"/>
      <c r="AE272" s="5122"/>
      <c r="AF272" s="5122"/>
      <c r="AG272" s="5122"/>
      <c r="AH272" s="5634"/>
      <c r="AI272" s="5094" t="s">
        <v>1</v>
      </c>
      <c r="AJ272" s="5120"/>
      <c r="AK272" s="5121"/>
      <c r="AL272" s="5121"/>
      <c r="AM272" s="5121"/>
      <c r="AN272" s="5121"/>
      <c r="AO272" s="5122"/>
      <c r="AP272" s="5122"/>
      <c r="AQ272" s="5122"/>
      <c r="AR272" s="5122"/>
      <c r="AS272" s="5122"/>
      <c r="AT272" s="5122"/>
      <c r="AU272" s="5122"/>
      <c r="AV272" s="5122"/>
      <c r="AW272" s="5122"/>
      <c r="AX272" s="5122"/>
      <c r="AY272" s="5634"/>
      <c r="AZ272" s="5094" t="s">
        <v>1</v>
      </c>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5">
        <v>1</v>
      </c>
      <c r="CL272" s="1"/>
      <c r="CM272" s="1"/>
    </row>
    <row r="273" spans="2:91" s="187" customFormat="1" ht="21" customHeight="1">
      <c r="B273" s="5120"/>
      <c r="C273" s="5121"/>
      <c r="D273" s="5121"/>
      <c r="E273" s="5121"/>
      <c r="F273" s="5121"/>
      <c r="G273" s="5122"/>
      <c r="H273" s="5122"/>
      <c r="I273" s="5122"/>
      <c r="J273" s="5122"/>
      <c r="K273" s="5122"/>
      <c r="L273" s="5122"/>
      <c r="M273" s="5122"/>
      <c r="N273" s="5122"/>
      <c r="O273" s="5122"/>
      <c r="P273" s="5122"/>
      <c r="Q273" s="5634"/>
      <c r="R273" s="5094" t="s">
        <v>1</v>
      </c>
      <c r="S273" s="5120"/>
      <c r="T273" s="5121"/>
      <c r="U273" s="5121"/>
      <c r="V273" s="5121"/>
      <c r="W273" s="5121"/>
      <c r="X273" s="5122"/>
      <c r="Y273" s="5122"/>
      <c r="Z273" s="5122"/>
      <c r="AA273" s="5122"/>
      <c r="AB273" s="5122"/>
      <c r="AC273" s="5122"/>
      <c r="AD273" s="5122"/>
      <c r="AE273" s="5122"/>
      <c r="AF273" s="5122"/>
      <c r="AG273" s="5122"/>
      <c r="AH273" s="5634"/>
      <c r="AI273" s="5094" t="s">
        <v>1</v>
      </c>
      <c r="AJ273" s="5120"/>
      <c r="AK273" s="5121"/>
      <c r="AL273" s="5121"/>
      <c r="AM273" s="5121"/>
      <c r="AN273" s="5121"/>
      <c r="AO273" s="5122"/>
      <c r="AP273" s="5122"/>
      <c r="AQ273" s="5122"/>
      <c r="AR273" s="5122"/>
      <c r="AS273" s="5122"/>
      <c r="AT273" s="5122"/>
      <c r="AU273" s="5122"/>
      <c r="AV273" s="5122"/>
      <c r="AW273" s="5122"/>
      <c r="AX273" s="5122"/>
      <c r="AY273" s="5634"/>
      <c r="AZ273" s="5094" t="s">
        <v>1</v>
      </c>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5">
        <v>1</v>
      </c>
      <c r="CL273" s="1"/>
      <c r="CM273" s="1"/>
    </row>
    <row r="274" spans="2:91" s="187" customFormat="1" ht="21" customHeight="1">
      <c r="B274" s="5120"/>
      <c r="C274" s="5121"/>
      <c r="D274" s="5121"/>
      <c r="E274" s="5121"/>
      <c r="F274" s="5121"/>
      <c r="G274" s="5122"/>
      <c r="H274" s="5122"/>
      <c r="I274" s="5122"/>
      <c r="J274" s="5122"/>
      <c r="K274" s="5122"/>
      <c r="L274" s="5122"/>
      <c r="M274" s="5122"/>
      <c r="N274" s="5122"/>
      <c r="O274" s="5122"/>
      <c r="P274" s="5122"/>
      <c r="Q274" s="5634"/>
      <c r="R274" s="5094" t="s">
        <v>1</v>
      </c>
      <c r="S274" s="5120"/>
      <c r="T274" s="5121"/>
      <c r="U274" s="5121"/>
      <c r="V274" s="5121"/>
      <c r="W274" s="5121"/>
      <c r="X274" s="5122"/>
      <c r="Y274" s="5122"/>
      <c r="Z274" s="5122"/>
      <c r="AA274" s="5122"/>
      <c r="AB274" s="5122"/>
      <c r="AC274" s="5122"/>
      <c r="AD274" s="5122"/>
      <c r="AE274" s="5122"/>
      <c r="AF274" s="5122"/>
      <c r="AG274" s="5122"/>
      <c r="AH274" s="5634"/>
      <c r="AI274" s="5094" t="s">
        <v>1</v>
      </c>
      <c r="AJ274" s="5120"/>
      <c r="AK274" s="5121"/>
      <c r="AL274" s="5121"/>
      <c r="AM274" s="5121"/>
      <c r="AN274" s="5121"/>
      <c r="AO274" s="5122"/>
      <c r="AP274" s="5122"/>
      <c r="AQ274" s="5122"/>
      <c r="AR274" s="5122"/>
      <c r="AS274" s="5122"/>
      <c r="AT274" s="5122"/>
      <c r="AU274" s="5122"/>
      <c r="AV274" s="5122"/>
      <c r="AW274" s="5122"/>
      <c r="AX274" s="5122"/>
      <c r="AY274" s="5634"/>
      <c r="AZ274" s="5094" t="s">
        <v>1</v>
      </c>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5">
        <v>1</v>
      </c>
      <c r="CL274" s="1"/>
      <c r="CM274" s="1"/>
    </row>
    <row r="275" spans="2:91" s="187" customFormat="1" ht="21" customHeight="1">
      <c r="B275" s="5120"/>
      <c r="C275" s="5121"/>
      <c r="D275" s="5121"/>
      <c r="E275" s="5121"/>
      <c r="F275" s="5121"/>
      <c r="G275" s="5122"/>
      <c r="H275" s="5122"/>
      <c r="I275" s="5122"/>
      <c r="J275" s="5122"/>
      <c r="K275" s="5122"/>
      <c r="L275" s="5122"/>
      <c r="M275" s="5122"/>
      <c r="N275" s="5122"/>
      <c r="O275" s="5122"/>
      <c r="P275" s="5122"/>
      <c r="Q275" s="5634"/>
      <c r="R275" s="5094" t="s">
        <v>1</v>
      </c>
      <c r="S275" s="5120"/>
      <c r="T275" s="5121"/>
      <c r="U275" s="5121"/>
      <c r="V275" s="5121"/>
      <c r="W275" s="5121"/>
      <c r="X275" s="5122"/>
      <c r="Y275" s="5122"/>
      <c r="Z275" s="5122"/>
      <c r="AA275" s="5122"/>
      <c r="AB275" s="5122"/>
      <c r="AC275" s="5122"/>
      <c r="AD275" s="5122"/>
      <c r="AE275" s="5122"/>
      <c r="AF275" s="5122"/>
      <c r="AG275" s="5122"/>
      <c r="AH275" s="5634"/>
      <c r="AI275" s="5094" t="s">
        <v>1</v>
      </c>
      <c r="AJ275" s="5120"/>
      <c r="AK275" s="5121"/>
      <c r="AL275" s="5121"/>
      <c r="AM275" s="5121"/>
      <c r="AN275" s="5121"/>
      <c r="AO275" s="5122"/>
      <c r="AP275" s="5122"/>
      <c r="AQ275" s="5122"/>
      <c r="AR275" s="5122"/>
      <c r="AS275" s="5122"/>
      <c r="AT275" s="5122"/>
      <c r="AU275" s="5122"/>
      <c r="AV275" s="5122"/>
      <c r="AW275" s="5122"/>
      <c r="AX275" s="5122"/>
      <c r="AY275" s="5634"/>
      <c r="AZ275" s="5094" t="s">
        <v>1</v>
      </c>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5">
        <v>1</v>
      </c>
      <c r="CL275" s="1"/>
      <c r="CM275" s="1"/>
    </row>
    <row r="276" spans="2:91" s="187" customFormat="1" ht="21" customHeight="1">
      <c r="B276" s="5120"/>
      <c r="C276" s="5121"/>
      <c r="D276" s="5121"/>
      <c r="E276" s="5121"/>
      <c r="F276" s="5121"/>
      <c r="G276" s="5122"/>
      <c r="H276" s="5122"/>
      <c r="I276" s="5122"/>
      <c r="J276" s="5122"/>
      <c r="K276" s="5122"/>
      <c r="L276" s="5122"/>
      <c r="M276" s="5122"/>
      <c r="N276" s="5122"/>
      <c r="O276" s="5122"/>
      <c r="P276" s="5122"/>
      <c r="Q276" s="5634"/>
      <c r="R276" s="5094" t="s">
        <v>1</v>
      </c>
      <c r="S276" s="5120"/>
      <c r="T276" s="5121"/>
      <c r="U276" s="5121"/>
      <c r="V276" s="5121"/>
      <c r="W276" s="5121"/>
      <c r="X276" s="5122"/>
      <c r="Y276" s="5122"/>
      <c r="Z276" s="5122"/>
      <c r="AA276" s="5122"/>
      <c r="AB276" s="5122"/>
      <c r="AC276" s="5122"/>
      <c r="AD276" s="5122"/>
      <c r="AE276" s="5122"/>
      <c r="AF276" s="5122"/>
      <c r="AG276" s="5122"/>
      <c r="AH276" s="5634"/>
      <c r="AI276" s="5094" t="s">
        <v>1</v>
      </c>
      <c r="AJ276" s="5120"/>
      <c r="AK276" s="5121"/>
      <c r="AL276" s="5121"/>
      <c r="AM276" s="5121"/>
      <c r="AN276" s="5121"/>
      <c r="AO276" s="5122"/>
      <c r="AP276" s="5122"/>
      <c r="AQ276" s="5122"/>
      <c r="AR276" s="5122"/>
      <c r="AS276" s="5122"/>
      <c r="AT276" s="5122"/>
      <c r="AU276" s="5122"/>
      <c r="AV276" s="5122"/>
      <c r="AW276" s="5122"/>
      <c r="AX276" s="5122"/>
      <c r="AY276" s="5634"/>
      <c r="AZ276" s="5094" t="s">
        <v>1</v>
      </c>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5">
        <v>1</v>
      </c>
      <c r="CL276" s="1"/>
      <c r="CM276" s="1"/>
    </row>
    <row r="277" spans="2:91" s="187" customFormat="1" ht="21" customHeight="1">
      <c r="B277" s="5120"/>
      <c r="C277" s="5121"/>
      <c r="D277" s="5121"/>
      <c r="E277" s="5121"/>
      <c r="F277" s="5121"/>
      <c r="G277" s="5122"/>
      <c r="H277" s="5122"/>
      <c r="I277" s="5122"/>
      <c r="J277" s="5122"/>
      <c r="K277" s="5122"/>
      <c r="L277" s="5122"/>
      <c r="M277" s="5122"/>
      <c r="N277" s="5122"/>
      <c r="O277" s="5122"/>
      <c r="P277" s="5122"/>
      <c r="Q277" s="5634"/>
      <c r="R277" s="5094" t="s">
        <v>1</v>
      </c>
      <c r="S277" s="5120"/>
      <c r="T277" s="5121"/>
      <c r="U277" s="5121"/>
      <c r="V277" s="5121"/>
      <c r="W277" s="5121"/>
      <c r="X277" s="5122"/>
      <c r="Y277" s="5122"/>
      <c r="Z277" s="5122"/>
      <c r="AA277" s="5122"/>
      <c r="AB277" s="5122"/>
      <c r="AC277" s="5122"/>
      <c r="AD277" s="5122"/>
      <c r="AE277" s="5122"/>
      <c r="AF277" s="5122"/>
      <c r="AG277" s="5122"/>
      <c r="AH277" s="5634"/>
      <c r="AI277" s="5094" t="s">
        <v>1</v>
      </c>
      <c r="AJ277" s="5120"/>
      <c r="AK277" s="5121"/>
      <c r="AL277" s="5121"/>
      <c r="AM277" s="5121"/>
      <c r="AN277" s="5121"/>
      <c r="AO277" s="5122"/>
      <c r="AP277" s="5122"/>
      <c r="AQ277" s="5122"/>
      <c r="AR277" s="5122"/>
      <c r="AS277" s="5122"/>
      <c r="AT277" s="5122"/>
      <c r="AU277" s="5122"/>
      <c r="AV277" s="5122"/>
      <c r="AW277" s="5122"/>
      <c r="AX277" s="5122"/>
      <c r="AY277" s="5634"/>
      <c r="AZ277" s="5094" t="s">
        <v>1</v>
      </c>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5">
        <v>1</v>
      </c>
      <c r="CL277" s="1"/>
      <c r="CM277" s="1"/>
    </row>
    <row r="278" spans="2:91" s="187" customFormat="1" ht="21" customHeight="1">
      <c r="B278" s="5120"/>
      <c r="C278" s="5121"/>
      <c r="D278" s="5121"/>
      <c r="E278" s="5121"/>
      <c r="F278" s="5121"/>
      <c r="G278" s="5122"/>
      <c r="H278" s="5122"/>
      <c r="I278" s="5122"/>
      <c r="J278" s="5122"/>
      <c r="K278" s="5122"/>
      <c r="L278" s="5122"/>
      <c r="M278" s="5122"/>
      <c r="N278" s="5122"/>
      <c r="O278" s="5122"/>
      <c r="P278" s="5122"/>
      <c r="Q278" s="5634"/>
      <c r="R278" s="5094" t="s">
        <v>1</v>
      </c>
      <c r="S278" s="5120"/>
      <c r="T278" s="5121"/>
      <c r="U278" s="5121"/>
      <c r="V278" s="5121"/>
      <c r="W278" s="5121"/>
      <c r="X278" s="5122"/>
      <c r="Y278" s="5122"/>
      <c r="Z278" s="5122"/>
      <c r="AA278" s="5122"/>
      <c r="AB278" s="5122"/>
      <c r="AC278" s="5122"/>
      <c r="AD278" s="5122"/>
      <c r="AE278" s="5122"/>
      <c r="AF278" s="5122"/>
      <c r="AG278" s="5122"/>
      <c r="AH278" s="5634"/>
      <c r="AI278" s="5094" t="s">
        <v>1</v>
      </c>
      <c r="AJ278" s="5120"/>
      <c r="AK278" s="5121"/>
      <c r="AL278" s="5121"/>
      <c r="AM278" s="5121"/>
      <c r="AN278" s="5121"/>
      <c r="AO278" s="5122"/>
      <c r="AP278" s="5122"/>
      <c r="AQ278" s="5122"/>
      <c r="AR278" s="5122"/>
      <c r="AS278" s="5122"/>
      <c r="AT278" s="5122"/>
      <c r="AU278" s="5122"/>
      <c r="AV278" s="5122"/>
      <c r="AW278" s="5122"/>
      <c r="AX278" s="5122"/>
      <c r="AY278" s="5634"/>
      <c r="AZ278" s="5094" t="s">
        <v>1</v>
      </c>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5">
        <v>1</v>
      </c>
      <c r="CL278" s="1"/>
      <c r="CM278" s="1"/>
    </row>
    <row r="279" spans="2:91" s="187" customFormat="1" ht="21" customHeight="1">
      <c r="B279" s="5120"/>
      <c r="C279" s="5121"/>
      <c r="D279" s="5121"/>
      <c r="E279" s="5121"/>
      <c r="F279" s="5121"/>
      <c r="G279" s="5122"/>
      <c r="H279" s="5122"/>
      <c r="I279" s="5122"/>
      <c r="J279" s="5122"/>
      <c r="K279" s="5122"/>
      <c r="L279" s="5122"/>
      <c r="M279" s="5122"/>
      <c r="N279" s="5122"/>
      <c r="O279" s="5122"/>
      <c r="P279" s="5122"/>
      <c r="Q279" s="5634"/>
      <c r="R279" s="5094" t="s">
        <v>1</v>
      </c>
      <c r="S279" s="5120"/>
      <c r="T279" s="5121"/>
      <c r="U279" s="5121"/>
      <c r="V279" s="5121"/>
      <c r="W279" s="5121"/>
      <c r="X279" s="5122"/>
      <c r="Y279" s="5122"/>
      <c r="Z279" s="5122"/>
      <c r="AA279" s="5122"/>
      <c r="AB279" s="5122"/>
      <c r="AC279" s="5122"/>
      <c r="AD279" s="5122"/>
      <c r="AE279" s="5122"/>
      <c r="AF279" s="5122"/>
      <c r="AG279" s="5122"/>
      <c r="AH279" s="5634"/>
      <c r="AI279" s="5094" t="s">
        <v>1</v>
      </c>
      <c r="AJ279" s="5120"/>
      <c r="AK279" s="5121"/>
      <c r="AL279" s="5121"/>
      <c r="AM279" s="5121"/>
      <c r="AN279" s="5121"/>
      <c r="AO279" s="5122"/>
      <c r="AP279" s="5122"/>
      <c r="AQ279" s="5122"/>
      <c r="AR279" s="5122"/>
      <c r="AS279" s="5122"/>
      <c r="AT279" s="5122"/>
      <c r="AU279" s="5122"/>
      <c r="AV279" s="5122"/>
      <c r="AW279" s="5122"/>
      <c r="AX279" s="5122"/>
      <c r="AY279" s="5634"/>
      <c r="AZ279" s="5094" t="s">
        <v>1</v>
      </c>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5">
        <v>1</v>
      </c>
      <c r="CL279" s="1"/>
      <c r="CM279" s="1"/>
    </row>
    <row r="280" spans="2:91" s="187" customFormat="1" ht="21" customHeight="1">
      <c r="B280" s="5120"/>
      <c r="C280" s="5121"/>
      <c r="D280" s="5121"/>
      <c r="E280" s="5121"/>
      <c r="F280" s="5121"/>
      <c r="G280" s="5122"/>
      <c r="H280" s="5122"/>
      <c r="I280" s="5122"/>
      <c r="J280" s="5122"/>
      <c r="K280" s="5122"/>
      <c r="L280" s="5122"/>
      <c r="M280" s="5122"/>
      <c r="N280" s="5122"/>
      <c r="O280" s="5122"/>
      <c r="P280" s="5122"/>
      <c r="Q280" s="5634"/>
      <c r="R280" s="5094" t="s">
        <v>1</v>
      </c>
      <c r="S280" s="5120"/>
      <c r="T280" s="5121"/>
      <c r="U280" s="5121"/>
      <c r="V280" s="5121"/>
      <c r="W280" s="5121"/>
      <c r="X280" s="5122"/>
      <c r="Y280" s="5122"/>
      <c r="Z280" s="5122"/>
      <c r="AA280" s="5122"/>
      <c r="AB280" s="5122"/>
      <c r="AC280" s="5122"/>
      <c r="AD280" s="5122"/>
      <c r="AE280" s="5122"/>
      <c r="AF280" s="5122"/>
      <c r="AG280" s="5122"/>
      <c r="AH280" s="5634"/>
      <c r="AI280" s="5094" t="s">
        <v>1</v>
      </c>
      <c r="AJ280" s="5120"/>
      <c r="AK280" s="5121"/>
      <c r="AL280" s="5121"/>
      <c r="AM280" s="5121"/>
      <c r="AN280" s="5121"/>
      <c r="AO280" s="5122"/>
      <c r="AP280" s="5122"/>
      <c r="AQ280" s="5122"/>
      <c r="AR280" s="5122"/>
      <c r="AS280" s="5122"/>
      <c r="AT280" s="5122"/>
      <c r="AU280" s="5122"/>
      <c r="AV280" s="5122"/>
      <c r="AW280" s="5122"/>
      <c r="AX280" s="5122"/>
      <c r="AY280" s="5634"/>
      <c r="AZ280" s="5094" t="s">
        <v>1</v>
      </c>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5">
        <v>1</v>
      </c>
      <c r="CL280" s="1"/>
      <c r="CM280" s="1"/>
    </row>
    <row r="281" spans="2:91" s="187" customFormat="1" ht="21" customHeight="1">
      <c r="B281" s="5120"/>
      <c r="C281" s="5121"/>
      <c r="D281" s="5121"/>
      <c r="E281" s="5121"/>
      <c r="F281" s="5121"/>
      <c r="G281" s="5122"/>
      <c r="H281" s="5122"/>
      <c r="I281" s="5122"/>
      <c r="J281" s="5122"/>
      <c r="K281" s="5122"/>
      <c r="L281" s="5122"/>
      <c r="M281" s="5122"/>
      <c r="N281" s="5122"/>
      <c r="O281" s="5122"/>
      <c r="P281" s="5122"/>
      <c r="Q281" s="5634"/>
      <c r="R281" s="5094" t="s">
        <v>1</v>
      </c>
      <c r="S281" s="5120"/>
      <c r="T281" s="5121"/>
      <c r="U281" s="5121"/>
      <c r="V281" s="5121"/>
      <c r="W281" s="5121"/>
      <c r="X281" s="5122"/>
      <c r="Y281" s="5122"/>
      <c r="Z281" s="5122"/>
      <c r="AA281" s="5122"/>
      <c r="AB281" s="5122"/>
      <c r="AC281" s="5122"/>
      <c r="AD281" s="5122"/>
      <c r="AE281" s="5122"/>
      <c r="AF281" s="5122"/>
      <c r="AG281" s="5122"/>
      <c r="AH281" s="5634"/>
      <c r="AI281" s="5094" t="s">
        <v>1</v>
      </c>
      <c r="AJ281" s="5120"/>
      <c r="AK281" s="5121"/>
      <c r="AL281" s="5121"/>
      <c r="AM281" s="5121"/>
      <c r="AN281" s="5121"/>
      <c r="AO281" s="5122"/>
      <c r="AP281" s="5122"/>
      <c r="AQ281" s="5122"/>
      <c r="AR281" s="5122"/>
      <c r="AS281" s="5122"/>
      <c r="AT281" s="5122"/>
      <c r="AU281" s="5122"/>
      <c r="AV281" s="5122"/>
      <c r="AW281" s="5122"/>
      <c r="AX281" s="5122"/>
      <c r="AY281" s="5634"/>
      <c r="AZ281" s="5094" t="s">
        <v>1</v>
      </c>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5">
        <v>1</v>
      </c>
      <c r="CL281" s="1"/>
      <c r="CM281" s="1"/>
    </row>
    <row r="282" spans="2:91" s="187" customFormat="1" ht="21" customHeight="1">
      <c r="B282" s="5120"/>
      <c r="C282" s="5121"/>
      <c r="D282" s="5121"/>
      <c r="E282" s="5121"/>
      <c r="F282" s="5121"/>
      <c r="G282" s="5122"/>
      <c r="H282" s="5122"/>
      <c r="I282" s="5122"/>
      <c r="J282" s="5122"/>
      <c r="K282" s="5122"/>
      <c r="L282" s="5122"/>
      <c r="M282" s="5122"/>
      <c r="N282" s="5122"/>
      <c r="O282" s="5122"/>
      <c r="P282" s="5122"/>
      <c r="Q282" s="5634"/>
      <c r="R282" s="5094" t="s">
        <v>1</v>
      </c>
      <c r="S282" s="5120"/>
      <c r="T282" s="5121"/>
      <c r="U282" s="5121"/>
      <c r="V282" s="5121"/>
      <c r="W282" s="5121"/>
      <c r="X282" s="5122"/>
      <c r="Y282" s="5122"/>
      <c r="Z282" s="5122"/>
      <c r="AA282" s="5122"/>
      <c r="AB282" s="5122"/>
      <c r="AC282" s="5122"/>
      <c r="AD282" s="5122"/>
      <c r="AE282" s="5122"/>
      <c r="AF282" s="5122"/>
      <c r="AG282" s="5122"/>
      <c r="AH282" s="5634"/>
      <c r="AI282" s="5094" t="s">
        <v>1</v>
      </c>
      <c r="AJ282" s="5120"/>
      <c r="AK282" s="5121"/>
      <c r="AL282" s="5121"/>
      <c r="AM282" s="5121"/>
      <c r="AN282" s="5121"/>
      <c r="AO282" s="5122"/>
      <c r="AP282" s="5122"/>
      <c r="AQ282" s="5122"/>
      <c r="AR282" s="5122"/>
      <c r="AS282" s="5122"/>
      <c r="AT282" s="5122"/>
      <c r="AU282" s="5122"/>
      <c r="AV282" s="5122"/>
      <c r="AW282" s="5122"/>
      <c r="AX282" s="5122"/>
      <c r="AY282" s="5634"/>
      <c r="AZ282" s="5094" t="s">
        <v>1</v>
      </c>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5">
        <v>1</v>
      </c>
      <c r="CL282" s="1"/>
      <c r="CM282" s="1"/>
    </row>
    <row r="283" spans="2:91" s="187" customFormat="1" ht="21" customHeight="1">
      <c r="B283" s="5120"/>
      <c r="C283" s="5121"/>
      <c r="D283" s="5121"/>
      <c r="E283" s="5121"/>
      <c r="F283" s="5121"/>
      <c r="G283" s="5122"/>
      <c r="H283" s="5122"/>
      <c r="I283" s="5122"/>
      <c r="J283" s="5122"/>
      <c r="K283" s="5122"/>
      <c r="L283" s="5122"/>
      <c r="M283" s="5122"/>
      <c r="N283" s="5122"/>
      <c r="O283" s="5122"/>
      <c r="P283" s="5122"/>
      <c r="Q283" s="5634"/>
      <c r="R283" s="5094" t="s">
        <v>1</v>
      </c>
      <c r="S283" s="5120"/>
      <c r="T283" s="5121"/>
      <c r="U283" s="5121"/>
      <c r="V283" s="5121"/>
      <c r="W283" s="5121"/>
      <c r="X283" s="5122"/>
      <c r="Y283" s="5122"/>
      <c r="Z283" s="5122"/>
      <c r="AA283" s="5122"/>
      <c r="AB283" s="5122"/>
      <c r="AC283" s="5122"/>
      <c r="AD283" s="5122"/>
      <c r="AE283" s="5122"/>
      <c r="AF283" s="5122"/>
      <c r="AG283" s="5122"/>
      <c r="AH283" s="5634"/>
      <c r="AI283" s="5094" t="s">
        <v>1</v>
      </c>
      <c r="AJ283" s="5120"/>
      <c r="AK283" s="5121"/>
      <c r="AL283" s="5121"/>
      <c r="AM283" s="5121"/>
      <c r="AN283" s="5121"/>
      <c r="AO283" s="5122"/>
      <c r="AP283" s="5122"/>
      <c r="AQ283" s="5122"/>
      <c r="AR283" s="5122"/>
      <c r="AS283" s="5122"/>
      <c r="AT283" s="5122"/>
      <c r="AU283" s="5122"/>
      <c r="AV283" s="5122"/>
      <c r="AW283" s="5122"/>
      <c r="AX283" s="5122"/>
      <c r="AY283" s="5634"/>
      <c r="AZ283" s="5094" t="s">
        <v>1</v>
      </c>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5">
        <v>1</v>
      </c>
      <c r="CL283" s="1"/>
      <c r="CM283" s="1"/>
    </row>
    <row r="284" spans="2:91" s="187" customFormat="1" ht="21" customHeight="1">
      <c r="B284" s="5120"/>
      <c r="C284" s="5121"/>
      <c r="D284" s="5121"/>
      <c r="E284" s="5121"/>
      <c r="F284" s="5121"/>
      <c r="G284" s="5122"/>
      <c r="H284" s="5122"/>
      <c r="I284" s="5122"/>
      <c r="J284" s="5122"/>
      <c r="K284" s="5122"/>
      <c r="L284" s="5122"/>
      <c r="M284" s="5122"/>
      <c r="N284" s="5122"/>
      <c r="O284" s="5122"/>
      <c r="P284" s="5122"/>
      <c r="Q284" s="5634"/>
      <c r="R284" s="5094" t="s">
        <v>1</v>
      </c>
      <c r="S284" s="5120"/>
      <c r="T284" s="5121"/>
      <c r="U284" s="5121"/>
      <c r="V284" s="5121"/>
      <c r="W284" s="5121"/>
      <c r="X284" s="5122"/>
      <c r="Y284" s="5122"/>
      <c r="Z284" s="5122"/>
      <c r="AA284" s="5122"/>
      <c r="AB284" s="5122"/>
      <c r="AC284" s="5122"/>
      <c r="AD284" s="5122"/>
      <c r="AE284" s="5122"/>
      <c r="AF284" s="5122"/>
      <c r="AG284" s="5122"/>
      <c r="AH284" s="5634"/>
      <c r="AI284" s="5094" t="s">
        <v>1</v>
      </c>
      <c r="AJ284" s="5120"/>
      <c r="AK284" s="5121"/>
      <c r="AL284" s="5121"/>
      <c r="AM284" s="5121"/>
      <c r="AN284" s="5121"/>
      <c r="AO284" s="5122"/>
      <c r="AP284" s="5122"/>
      <c r="AQ284" s="5122"/>
      <c r="AR284" s="5122"/>
      <c r="AS284" s="5122"/>
      <c r="AT284" s="5122"/>
      <c r="AU284" s="5122"/>
      <c r="AV284" s="5122"/>
      <c r="AW284" s="5122"/>
      <c r="AX284" s="5122"/>
      <c r="AY284" s="5634"/>
      <c r="AZ284" s="5094" t="s">
        <v>1</v>
      </c>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5">
        <v>1</v>
      </c>
      <c r="CL284" s="1"/>
      <c r="CM284" s="1"/>
    </row>
    <row r="285" spans="2:91" s="187" customFormat="1" ht="21" customHeight="1">
      <c r="B285" s="5120"/>
      <c r="C285" s="5121"/>
      <c r="D285" s="5121"/>
      <c r="E285" s="5121"/>
      <c r="F285" s="5121"/>
      <c r="G285" s="5122"/>
      <c r="H285" s="5122"/>
      <c r="I285" s="5122"/>
      <c r="J285" s="5122"/>
      <c r="K285" s="5122"/>
      <c r="L285" s="5122"/>
      <c r="M285" s="5122"/>
      <c r="N285" s="5122"/>
      <c r="O285" s="5122"/>
      <c r="P285" s="5122"/>
      <c r="Q285" s="5634"/>
      <c r="R285" s="5094" t="s">
        <v>1</v>
      </c>
      <c r="S285" s="5120"/>
      <c r="T285" s="5121"/>
      <c r="U285" s="5121"/>
      <c r="V285" s="5121"/>
      <c r="W285" s="5121"/>
      <c r="X285" s="5122"/>
      <c r="Y285" s="5122"/>
      <c r="Z285" s="5122"/>
      <c r="AA285" s="5122"/>
      <c r="AB285" s="5122"/>
      <c r="AC285" s="5122"/>
      <c r="AD285" s="5122"/>
      <c r="AE285" s="5122"/>
      <c r="AF285" s="5122"/>
      <c r="AG285" s="5122"/>
      <c r="AH285" s="5634"/>
      <c r="AI285" s="5094" t="s">
        <v>1</v>
      </c>
      <c r="AJ285" s="5120"/>
      <c r="AK285" s="5121"/>
      <c r="AL285" s="5121"/>
      <c r="AM285" s="5121"/>
      <c r="AN285" s="5121"/>
      <c r="AO285" s="5122"/>
      <c r="AP285" s="5122"/>
      <c r="AQ285" s="5122"/>
      <c r="AR285" s="5122"/>
      <c r="AS285" s="5122"/>
      <c r="AT285" s="5122"/>
      <c r="AU285" s="5122"/>
      <c r="AV285" s="5122"/>
      <c r="AW285" s="5122"/>
      <c r="AX285" s="5122"/>
      <c r="AY285" s="5634"/>
      <c r="AZ285" s="5094" t="s">
        <v>1</v>
      </c>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5">
        <v>1</v>
      </c>
      <c r="CL285" s="1"/>
      <c r="CM285" s="1"/>
    </row>
    <row r="286" spans="2:91" s="187" customFormat="1" ht="21" customHeight="1">
      <c r="B286" s="5120"/>
      <c r="C286" s="5121"/>
      <c r="D286" s="5121"/>
      <c r="E286" s="5121"/>
      <c r="F286" s="5121"/>
      <c r="G286" s="5122"/>
      <c r="H286" s="5122"/>
      <c r="I286" s="5122"/>
      <c r="J286" s="5122"/>
      <c r="K286" s="5122"/>
      <c r="L286" s="5122"/>
      <c r="M286" s="5122"/>
      <c r="N286" s="5122"/>
      <c r="O286" s="5122"/>
      <c r="P286" s="5122"/>
      <c r="Q286" s="5634"/>
      <c r="R286" s="5094" t="s">
        <v>1</v>
      </c>
      <c r="S286" s="5120"/>
      <c r="T286" s="5121"/>
      <c r="U286" s="5121"/>
      <c r="V286" s="5121"/>
      <c r="W286" s="5121"/>
      <c r="X286" s="5122"/>
      <c r="Y286" s="5122"/>
      <c r="Z286" s="5122"/>
      <c r="AA286" s="5122"/>
      <c r="AB286" s="5122"/>
      <c r="AC286" s="5122"/>
      <c r="AD286" s="5122"/>
      <c r="AE286" s="5122"/>
      <c r="AF286" s="5122"/>
      <c r="AG286" s="5122"/>
      <c r="AH286" s="5634"/>
      <c r="AI286" s="5094" t="s">
        <v>1</v>
      </c>
      <c r="AJ286" s="5120"/>
      <c r="AK286" s="5121"/>
      <c r="AL286" s="5121"/>
      <c r="AM286" s="5121"/>
      <c r="AN286" s="5121"/>
      <c r="AO286" s="5122"/>
      <c r="AP286" s="5122"/>
      <c r="AQ286" s="5122"/>
      <c r="AR286" s="5122"/>
      <c r="AS286" s="5122"/>
      <c r="AT286" s="5122"/>
      <c r="AU286" s="5122"/>
      <c r="AV286" s="5122"/>
      <c r="AW286" s="5122"/>
      <c r="AX286" s="5122"/>
      <c r="AY286" s="5634"/>
      <c r="AZ286" s="5094" t="s">
        <v>1</v>
      </c>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5">
        <v>1</v>
      </c>
      <c r="CL286" s="1"/>
      <c r="CM286" s="1"/>
    </row>
    <row r="287" spans="2:91" s="187" customFormat="1" ht="21" customHeight="1">
      <c r="B287" s="5120"/>
      <c r="C287" s="5121"/>
      <c r="D287" s="5121"/>
      <c r="E287" s="5121"/>
      <c r="F287" s="5121"/>
      <c r="G287" s="5122"/>
      <c r="H287" s="5122"/>
      <c r="I287" s="5122"/>
      <c r="J287" s="5122"/>
      <c r="K287" s="5122"/>
      <c r="L287" s="5122"/>
      <c r="M287" s="5122"/>
      <c r="N287" s="5122"/>
      <c r="O287" s="5122"/>
      <c r="P287" s="5122"/>
      <c r="Q287" s="5634"/>
      <c r="R287" s="5094" t="s">
        <v>1</v>
      </c>
      <c r="S287" s="5120"/>
      <c r="T287" s="5121"/>
      <c r="U287" s="5121"/>
      <c r="V287" s="5121"/>
      <c r="W287" s="5121"/>
      <c r="X287" s="5122"/>
      <c r="Y287" s="5122"/>
      <c r="Z287" s="5122"/>
      <c r="AA287" s="5122"/>
      <c r="AB287" s="5122"/>
      <c r="AC287" s="5122"/>
      <c r="AD287" s="5122"/>
      <c r="AE287" s="5122"/>
      <c r="AF287" s="5122"/>
      <c r="AG287" s="5122"/>
      <c r="AH287" s="5634"/>
      <c r="AI287" s="5094" t="s">
        <v>1</v>
      </c>
      <c r="AJ287" s="5120"/>
      <c r="AK287" s="5121"/>
      <c r="AL287" s="5121"/>
      <c r="AM287" s="5121"/>
      <c r="AN287" s="5121"/>
      <c r="AO287" s="5122"/>
      <c r="AP287" s="5122"/>
      <c r="AQ287" s="5122"/>
      <c r="AR287" s="5122"/>
      <c r="AS287" s="5122"/>
      <c r="AT287" s="5122"/>
      <c r="AU287" s="5122"/>
      <c r="AV287" s="5122"/>
      <c r="AW287" s="5122"/>
      <c r="AX287" s="5122"/>
      <c r="AY287" s="5634"/>
      <c r="AZ287" s="5094" t="s">
        <v>1</v>
      </c>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5">
        <v>1</v>
      </c>
      <c r="CL287" s="1"/>
      <c r="CM287" s="1"/>
    </row>
    <row r="288" spans="2:91" s="187" customFormat="1" ht="21" customHeight="1">
      <c r="B288" s="5120"/>
      <c r="C288" s="5121"/>
      <c r="D288" s="5121"/>
      <c r="E288" s="5121"/>
      <c r="F288" s="5121"/>
      <c r="G288" s="5122"/>
      <c r="H288" s="5122"/>
      <c r="I288" s="5122"/>
      <c r="J288" s="5122"/>
      <c r="K288" s="5122"/>
      <c r="L288" s="5122"/>
      <c r="M288" s="5122"/>
      <c r="N288" s="5122"/>
      <c r="O288" s="5122"/>
      <c r="P288" s="5122"/>
      <c r="Q288" s="5634"/>
      <c r="R288" s="5094" t="s">
        <v>1</v>
      </c>
      <c r="S288" s="5120"/>
      <c r="T288" s="5121"/>
      <c r="U288" s="5121"/>
      <c r="V288" s="5121"/>
      <c r="W288" s="5121"/>
      <c r="X288" s="5122"/>
      <c r="Y288" s="5122"/>
      <c r="Z288" s="5122"/>
      <c r="AA288" s="5122"/>
      <c r="AB288" s="5122"/>
      <c r="AC288" s="5122"/>
      <c r="AD288" s="5122"/>
      <c r="AE288" s="5122"/>
      <c r="AF288" s="5122"/>
      <c r="AG288" s="5122"/>
      <c r="AH288" s="5634"/>
      <c r="AI288" s="5094" t="s">
        <v>1</v>
      </c>
      <c r="AJ288" s="5120"/>
      <c r="AK288" s="5121"/>
      <c r="AL288" s="5121"/>
      <c r="AM288" s="5121"/>
      <c r="AN288" s="5121"/>
      <c r="AO288" s="5122"/>
      <c r="AP288" s="5122"/>
      <c r="AQ288" s="5122"/>
      <c r="AR288" s="5122"/>
      <c r="AS288" s="5122"/>
      <c r="AT288" s="5122"/>
      <c r="AU288" s="5122"/>
      <c r="AV288" s="5122"/>
      <c r="AW288" s="5122"/>
      <c r="AX288" s="5122"/>
      <c r="AY288" s="5634"/>
      <c r="AZ288" s="5094" t="s">
        <v>1</v>
      </c>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5">
        <v>1</v>
      </c>
      <c r="CL288" s="1"/>
      <c r="CM288" s="1"/>
    </row>
    <row r="289" spans="2:91" s="187" customFormat="1" ht="21" customHeight="1">
      <c r="B289" s="5120"/>
      <c r="C289" s="5121"/>
      <c r="D289" s="5121"/>
      <c r="E289" s="5121"/>
      <c r="F289" s="5121"/>
      <c r="G289" s="5122"/>
      <c r="H289" s="5122"/>
      <c r="I289" s="5122"/>
      <c r="J289" s="5122"/>
      <c r="K289" s="5122"/>
      <c r="L289" s="5122"/>
      <c r="M289" s="5122"/>
      <c r="N289" s="5122"/>
      <c r="O289" s="5122"/>
      <c r="P289" s="5122"/>
      <c r="Q289" s="5634"/>
      <c r="R289" s="5094" t="s">
        <v>1</v>
      </c>
      <c r="S289" s="5120"/>
      <c r="T289" s="5121"/>
      <c r="U289" s="5121"/>
      <c r="V289" s="5121"/>
      <c r="W289" s="5121"/>
      <c r="X289" s="5122"/>
      <c r="Y289" s="5122"/>
      <c r="Z289" s="5122"/>
      <c r="AA289" s="5122"/>
      <c r="AB289" s="5122"/>
      <c r="AC289" s="5122"/>
      <c r="AD289" s="5122"/>
      <c r="AE289" s="5122"/>
      <c r="AF289" s="5122"/>
      <c r="AG289" s="5122"/>
      <c r="AH289" s="5634"/>
      <c r="AI289" s="5094" t="s">
        <v>1</v>
      </c>
      <c r="AJ289" s="5120"/>
      <c r="AK289" s="5121"/>
      <c r="AL289" s="5121"/>
      <c r="AM289" s="5121"/>
      <c r="AN289" s="5121"/>
      <c r="AO289" s="5122"/>
      <c r="AP289" s="5122"/>
      <c r="AQ289" s="5122"/>
      <c r="AR289" s="5122"/>
      <c r="AS289" s="5122"/>
      <c r="AT289" s="5122"/>
      <c r="AU289" s="5122"/>
      <c r="AV289" s="5122"/>
      <c r="AW289" s="5122"/>
      <c r="AX289" s="5122"/>
      <c r="AY289" s="5634"/>
      <c r="AZ289" s="5094" t="s">
        <v>1</v>
      </c>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5">
        <v>1</v>
      </c>
      <c r="CL289" s="1"/>
      <c r="CM289" s="1"/>
    </row>
    <row r="290" spans="2:91" s="187" customFormat="1" ht="21" customHeight="1">
      <c r="B290" s="5120"/>
      <c r="C290" s="5121"/>
      <c r="D290" s="5121"/>
      <c r="E290" s="5121"/>
      <c r="F290" s="5121"/>
      <c r="G290" s="5122"/>
      <c r="H290" s="5122"/>
      <c r="I290" s="5122"/>
      <c r="J290" s="5122"/>
      <c r="K290" s="5122"/>
      <c r="L290" s="5122"/>
      <c r="M290" s="5122"/>
      <c r="N290" s="5122"/>
      <c r="O290" s="5122"/>
      <c r="P290" s="5122"/>
      <c r="Q290" s="5634"/>
      <c r="R290" s="5094" t="s">
        <v>1</v>
      </c>
      <c r="S290" s="5120"/>
      <c r="T290" s="5121"/>
      <c r="U290" s="5121"/>
      <c r="V290" s="5121"/>
      <c r="W290" s="5121"/>
      <c r="X290" s="5122"/>
      <c r="Y290" s="5122"/>
      <c r="Z290" s="5122"/>
      <c r="AA290" s="5122"/>
      <c r="AB290" s="5122"/>
      <c r="AC290" s="5122"/>
      <c r="AD290" s="5122"/>
      <c r="AE290" s="5122"/>
      <c r="AF290" s="5122"/>
      <c r="AG290" s="5122"/>
      <c r="AH290" s="5634"/>
      <c r="AI290" s="5094" t="s">
        <v>1</v>
      </c>
      <c r="AJ290" s="5120"/>
      <c r="AK290" s="5121"/>
      <c r="AL290" s="5121"/>
      <c r="AM290" s="5121"/>
      <c r="AN290" s="5121"/>
      <c r="AO290" s="5122"/>
      <c r="AP290" s="5122"/>
      <c r="AQ290" s="5122"/>
      <c r="AR290" s="5122"/>
      <c r="AS290" s="5122"/>
      <c r="AT290" s="5122"/>
      <c r="AU290" s="5122"/>
      <c r="AV290" s="5122"/>
      <c r="AW290" s="5122"/>
      <c r="AX290" s="5122"/>
      <c r="AY290" s="5634"/>
      <c r="AZ290" s="5094" t="s">
        <v>1</v>
      </c>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5">
        <v>1</v>
      </c>
      <c r="CL290" s="1"/>
      <c r="CM290" s="1"/>
    </row>
    <row r="291" spans="2:91" s="187" customFormat="1" ht="21" customHeight="1">
      <c r="B291" s="5120"/>
      <c r="C291" s="5121"/>
      <c r="D291" s="5121"/>
      <c r="E291" s="5121"/>
      <c r="F291" s="5121"/>
      <c r="G291" s="5122"/>
      <c r="H291" s="5122"/>
      <c r="I291" s="5122"/>
      <c r="J291" s="5122"/>
      <c r="K291" s="5122"/>
      <c r="L291" s="5122"/>
      <c r="M291" s="5122"/>
      <c r="N291" s="5122"/>
      <c r="O291" s="5122"/>
      <c r="P291" s="5122"/>
      <c r="Q291" s="5634"/>
      <c r="R291" s="5094" t="s">
        <v>1</v>
      </c>
      <c r="S291" s="5120"/>
      <c r="T291" s="5121"/>
      <c r="U291" s="5121"/>
      <c r="V291" s="5121"/>
      <c r="W291" s="5121"/>
      <c r="X291" s="5122"/>
      <c r="Y291" s="5122"/>
      <c r="Z291" s="5122"/>
      <c r="AA291" s="5122"/>
      <c r="AB291" s="5122"/>
      <c r="AC291" s="5122"/>
      <c r="AD291" s="5122"/>
      <c r="AE291" s="5122"/>
      <c r="AF291" s="5122"/>
      <c r="AG291" s="5122"/>
      <c r="AH291" s="5634"/>
      <c r="AI291" s="5094" t="s">
        <v>1</v>
      </c>
      <c r="AJ291" s="5120"/>
      <c r="AK291" s="5121"/>
      <c r="AL291" s="5121"/>
      <c r="AM291" s="5121"/>
      <c r="AN291" s="5121"/>
      <c r="AO291" s="5122"/>
      <c r="AP291" s="5122"/>
      <c r="AQ291" s="5122"/>
      <c r="AR291" s="5122"/>
      <c r="AS291" s="5122"/>
      <c r="AT291" s="5122"/>
      <c r="AU291" s="5122"/>
      <c r="AV291" s="5122"/>
      <c r="AW291" s="5122"/>
      <c r="AX291" s="5122"/>
      <c r="AY291" s="5634"/>
      <c r="AZ291" s="5094" t="s">
        <v>1</v>
      </c>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5">
        <v>1</v>
      </c>
      <c r="CL291" s="1"/>
      <c r="CM291" s="1"/>
    </row>
    <row r="292" spans="2:91" s="187" customFormat="1" ht="21" customHeight="1">
      <c r="B292" s="5120"/>
      <c r="C292" s="5121"/>
      <c r="D292" s="5121"/>
      <c r="E292" s="5121"/>
      <c r="F292" s="5121"/>
      <c r="G292" s="5122"/>
      <c r="H292" s="5122"/>
      <c r="I292" s="5122"/>
      <c r="J292" s="5122"/>
      <c r="K292" s="5122"/>
      <c r="L292" s="5122"/>
      <c r="M292" s="5122"/>
      <c r="N292" s="5122"/>
      <c r="O292" s="5122"/>
      <c r="P292" s="5122"/>
      <c r="Q292" s="5634"/>
      <c r="R292" s="5094" t="s">
        <v>1</v>
      </c>
      <c r="S292" s="5120"/>
      <c r="T292" s="5121"/>
      <c r="U292" s="5121"/>
      <c r="V292" s="5121"/>
      <c r="W292" s="5121"/>
      <c r="X292" s="5122"/>
      <c r="Y292" s="5122"/>
      <c r="Z292" s="5122"/>
      <c r="AA292" s="5122"/>
      <c r="AB292" s="5122"/>
      <c r="AC292" s="5122"/>
      <c r="AD292" s="5122"/>
      <c r="AE292" s="5122"/>
      <c r="AF292" s="5122"/>
      <c r="AG292" s="5122"/>
      <c r="AH292" s="5634"/>
      <c r="AI292" s="5094" t="s">
        <v>1</v>
      </c>
      <c r="AJ292" s="5120"/>
      <c r="AK292" s="5121"/>
      <c r="AL292" s="5121"/>
      <c r="AM292" s="5121"/>
      <c r="AN292" s="5121"/>
      <c r="AO292" s="5122"/>
      <c r="AP292" s="5122"/>
      <c r="AQ292" s="5122"/>
      <c r="AR292" s="5122"/>
      <c r="AS292" s="5122"/>
      <c r="AT292" s="5122"/>
      <c r="AU292" s="5122"/>
      <c r="AV292" s="5122"/>
      <c r="AW292" s="5122"/>
      <c r="AX292" s="5122"/>
      <c r="AY292" s="5634"/>
      <c r="AZ292" s="5094" t="s">
        <v>1</v>
      </c>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5">
        <v>1</v>
      </c>
      <c r="CL292" s="1"/>
      <c r="CM292" s="1"/>
    </row>
    <row r="293" spans="2:91" s="187" customFormat="1" ht="21" customHeight="1">
      <c r="B293" s="5120"/>
      <c r="C293" s="5121"/>
      <c r="D293" s="5121"/>
      <c r="E293" s="5121"/>
      <c r="F293" s="5121"/>
      <c r="G293" s="5122"/>
      <c r="H293" s="5122"/>
      <c r="I293" s="5122"/>
      <c r="J293" s="5122"/>
      <c r="K293" s="5122"/>
      <c r="L293" s="5122"/>
      <c r="M293" s="5122"/>
      <c r="N293" s="5122"/>
      <c r="O293" s="5122"/>
      <c r="P293" s="5122"/>
      <c r="Q293" s="5634"/>
      <c r="R293" s="5094" t="s">
        <v>1</v>
      </c>
      <c r="S293" s="5120"/>
      <c r="T293" s="5121"/>
      <c r="U293" s="5121"/>
      <c r="V293" s="5121"/>
      <c r="W293" s="5121"/>
      <c r="X293" s="5122"/>
      <c r="Y293" s="5122"/>
      <c r="Z293" s="5122"/>
      <c r="AA293" s="5122"/>
      <c r="AB293" s="5122"/>
      <c r="AC293" s="5122"/>
      <c r="AD293" s="5122"/>
      <c r="AE293" s="5122"/>
      <c r="AF293" s="5122"/>
      <c r="AG293" s="5122"/>
      <c r="AH293" s="5634"/>
      <c r="AI293" s="5094" t="s">
        <v>1</v>
      </c>
      <c r="AJ293" s="5120"/>
      <c r="AK293" s="5121"/>
      <c r="AL293" s="5121"/>
      <c r="AM293" s="5121"/>
      <c r="AN293" s="5121"/>
      <c r="AO293" s="5122"/>
      <c r="AP293" s="5122"/>
      <c r="AQ293" s="5122"/>
      <c r="AR293" s="5122"/>
      <c r="AS293" s="5122"/>
      <c r="AT293" s="5122"/>
      <c r="AU293" s="5122"/>
      <c r="AV293" s="5122"/>
      <c r="AW293" s="5122"/>
      <c r="AX293" s="5122"/>
      <c r="AY293" s="5634"/>
      <c r="AZ293" s="5094" t="s">
        <v>1</v>
      </c>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5">
        <v>1</v>
      </c>
      <c r="CL293" s="1"/>
      <c r="CM293" s="1"/>
    </row>
    <row r="294" spans="2:91" s="187" customFormat="1" ht="21" customHeight="1">
      <c r="B294" s="5120"/>
      <c r="C294" s="5121"/>
      <c r="D294" s="5121"/>
      <c r="E294" s="5121"/>
      <c r="F294" s="5121"/>
      <c r="G294" s="5122"/>
      <c r="H294" s="5122"/>
      <c r="I294" s="5122"/>
      <c r="J294" s="5122"/>
      <c r="K294" s="5122"/>
      <c r="L294" s="5122"/>
      <c r="M294" s="5122"/>
      <c r="N294" s="5122"/>
      <c r="O294" s="5122"/>
      <c r="P294" s="5122"/>
      <c r="Q294" s="5634"/>
      <c r="R294" s="5094" t="s">
        <v>1</v>
      </c>
      <c r="S294" s="5120"/>
      <c r="T294" s="5121"/>
      <c r="U294" s="5121"/>
      <c r="V294" s="5121"/>
      <c r="W294" s="5121"/>
      <c r="X294" s="5122"/>
      <c r="Y294" s="5122"/>
      <c r="Z294" s="5122"/>
      <c r="AA294" s="5122"/>
      <c r="AB294" s="5122"/>
      <c r="AC294" s="5122"/>
      <c r="AD294" s="5122"/>
      <c r="AE294" s="5122"/>
      <c r="AF294" s="5122"/>
      <c r="AG294" s="5122"/>
      <c r="AH294" s="5634"/>
      <c r="AI294" s="5094" t="s">
        <v>1</v>
      </c>
      <c r="AJ294" s="5120"/>
      <c r="AK294" s="5121"/>
      <c r="AL294" s="5121"/>
      <c r="AM294" s="5121"/>
      <c r="AN294" s="5121"/>
      <c r="AO294" s="5122"/>
      <c r="AP294" s="5122"/>
      <c r="AQ294" s="5122"/>
      <c r="AR294" s="5122"/>
      <c r="AS294" s="5122"/>
      <c r="AT294" s="5122"/>
      <c r="AU294" s="5122"/>
      <c r="AV294" s="5122"/>
      <c r="AW294" s="5122"/>
      <c r="AX294" s="5122"/>
      <c r="AY294" s="5634"/>
      <c r="AZ294" s="5094" t="s">
        <v>1</v>
      </c>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5">
        <v>1</v>
      </c>
      <c r="CL294" s="1"/>
      <c r="CM294" s="1"/>
    </row>
    <row r="295" spans="2:91" s="187" customFormat="1" ht="21" customHeight="1">
      <c r="B295" s="5120"/>
      <c r="C295" s="5121"/>
      <c r="D295" s="5121"/>
      <c r="E295" s="5121"/>
      <c r="F295" s="5121"/>
      <c r="G295" s="5122"/>
      <c r="H295" s="5122"/>
      <c r="I295" s="5122"/>
      <c r="J295" s="5122"/>
      <c r="K295" s="5122"/>
      <c r="L295" s="5122"/>
      <c r="M295" s="5122"/>
      <c r="N295" s="5122"/>
      <c r="O295" s="5122"/>
      <c r="P295" s="5122"/>
      <c r="Q295" s="5634"/>
      <c r="R295" s="5094" t="s">
        <v>1</v>
      </c>
      <c r="S295" s="5120"/>
      <c r="T295" s="5121"/>
      <c r="U295" s="5121"/>
      <c r="V295" s="5121"/>
      <c r="W295" s="5121"/>
      <c r="X295" s="5122"/>
      <c r="Y295" s="5122"/>
      <c r="Z295" s="5122"/>
      <c r="AA295" s="5122"/>
      <c r="AB295" s="5122"/>
      <c r="AC295" s="5122"/>
      <c r="AD295" s="5122"/>
      <c r="AE295" s="5122"/>
      <c r="AF295" s="5122"/>
      <c r="AG295" s="5122"/>
      <c r="AH295" s="5634"/>
      <c r="AI295" s="5094" t="s">
        <v>1</v>
      </c>
      <c r="AJ295" s="5120"/>
      <c r="AK295" s="5121"/>
      <c r="AL295" s="5121"/>
      <c r="AM295" s="5121"/>
      <c r="AN295" s="5121"/>
      <c r="AO295" s="5122"/>
      <c r="AP295" s="5122"/>
      <c r="AQ295" s="5122"/>
      <c r="AR295" s="5122"/>
      <c r="AS295" s="5122"/>
      <c r="AT295" s="5122"/>
      <c r="AU295" s="5122"/>
      <c r="AV295" s="5122"/>
      <c r="AW295" s="5122"/>
      <c r="AX295" s="5122"/>
      <c r="AY295" s="5634"/>
      <c r="AZ295" s="5094" t="s">
        <v>1</v>
      </c>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5">
        <v>1</v>
      </c>
      <c r="CL295" s="1"/>
      <c r="CM295" s="1"/>
    </row>
    <row r="296" spans="2:91" s="187" customFormat="1" ht="21" customHeight="1">
      <c r="B296" s="5120"/>
      <c r="C296" s="5121"/>
      <c r="D296" s="5121"/>
      <c r="E296" s="5121"/>
      <c r="F296" s="5121"/>
      <c r="G296" s="5122"/>
      <c r="H296" s="5122"/>
      <c r="I296" s="5122"/>
      <c r="J296" s="5122"/>
      <c r="K296" s="5122"/>
      <c r="L296" s="5122"/>
      <c r="M296" s="5122"/>
      <c r="N296" s="5122"/>
      <c r="O296" s="5122"/>
      <c r="P296" s="5122"/>
      <c r="Q296" s="5634"/>
      <c r="R296" s="5094" t="s">
        <v>1</v>
      </c>
      <c r="S296" s="5120"/>
      <c r="T296" s="5121"/>
      <c r="U296" s="5121"/>
      <c r="V296" s="5121"/>
      <c r="W296" s="5121"/>
      <c r="X296" s="5122"/>
      <c r="Y296" s="5122"/>
      <c r="Z296" s="5122"/>
      <c r="AA296" s="5122"/>
      <c r="AB296" s="5122"/>
      <c r="AC296" s="5122"/>
      <c r="AD296" s="5122"/>
      <c r="AE296" s="5122"/>
      <c r="AF296" s="5122"/>
      <c r="AG296" s="5122"/>
      <c r="AH296" s="5634"/>
      <c r="AI296" s="5094" t="s">
        <v>1</v>
      </c>
      <c r="AJ296" s="5120"/>
      <c r="AK296" s="5121"/>
      <c r="AL296" s="5121"/>
      <c r="AM296" s="5121"/>
      <c r="AN296" s="5121"/>
      <c r="AO296" s="5122"/>
      <c r="AP296" s="5122"/>
      <c r="AQ296" s="5122"/>
      <c r="AR296" s="5122"/>
      <c r="AS296" s="5122"/>
      <c r="AT296" s="5122"/>
      <c r="AU296" s="5122"/>
      <c r="AV296" s="5122"/>
      <c r="AW296" s="5122"/>
      <c r="AX296" s="5122"/>
      <c r="AY296" s="5634"/>
      <c r="AZ296" s="5094" t="s">
        <v>1</v>
      </c>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5">
        <v>1</v>
      </c>
      <c r="CL296" s="1"/>
      <c r="CM296" s="1"/>
    </row>
    <row r="297" spans="2:91" s="187" customFormat="1" ht="21" customHeight="1">
      <c r="B297" s="5120"/>
      <c r="C297" s="5121"/>
      <c r="D297" s="5121"/>
      <c r="E297" s="5121"/>
      <c r="F297" s="5121"/>
      <c r="G297" s="5122"/>
      <c r="H297" s="5122"/>
      <c r="I297" s="5122"/>
      <c r="J297" s="5122"/>
      <c r="K297" s="5122"/>
      <c r="L297" s="5122"/>
      <c r="M297" s="5122"/>
      <c r="N297" s="5122"/>
      <c r="O297" s="5122"/>
      <c r="P297" s="5122"/>
      <c r="Q297" s="5634"/>
      <c r="R297" s="5094" t="s">
        <v>1</v>
      </c>
      <c r="S297" s="5120"/>
      <c r="T297" s="5121"/>
      <c r="U297" s="5121"/>
      <c r="V297" s="5121"/>
      <c r="W297" s="5121"/>
      <c r="X297" s="5122"/>
      <c r="Y297" s="5122"/>
      <c r="Z297" s="5122"/>
      <c r="AA297" s="5122"/>
      <c r="AB297" s="5122"/>
      <c r="AC297" s="5122"/>
      <c r="AD297" s="5122"/>
      <c r="AE297" s="5122"/>
      <c r="AF297" s="5122"/>
      <c r="AG297" s="5122"/>
      <c r="AH297" s="5634"/>
      <c r="AI297" s="5094" t="s">
        <v>1</v>
      </c>
      <c r="AJ297" s="5120"/>
      <c r="AK297" s="5121"/>
      <c r="AL297" s="5121"/>
      <c r="AM297" s="5121"/>
      <c r="AN297" s="5121"/>
      <c r="AO297" s="5122"/>
      <c r="AP297" s="5122"/>
      <c r="AQ297" s="5122"/>
      <c r="AR297" s="5122"/>
      <c r="AS297" s="5122"/>
      <c r="AT297" s="5122"/>
      <c r="AU297" s="5122"/>
      <c r="AV297" s="5122"/>
      <c r="AW297" s="5122"/>
      <c r="AX297" s="5122"/>
      <c r="AY297" s="5634"/>
      <c r="AZ297" s="5094" t="s">
        <v>1</v>
      </c>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5">
        <v>1</v>
      </c>
      <c r="CL297" s="1"/>
      <c r="CM297" s="1"/>
    </row>
    <row r="298" spans="2:91" s="187" customFormat="1" ht="21" customHeight="1">
      <c r="B298" s="5120"/>
      <c r="C298" s="5121"/>
      <c r="D298" s="5121"/>
      <c r="E298" s="5121"/>
      <c r="F298" s="5121"/>
      <c r="G298" s="5122"/>
      <c r="H298" s="5122"/>
      <c r="I298" s="5122"/>
      <c r="J298" s="5122"/>
      <c r="K298" s="5122"/>
      <c r="L298" s="5122"/>
      <c r="M298" s="5122"/>
      <c r="N298" s="5122"/>
      <c r="O298" s="5122"/>
      <c r="P298" s="5122"/>
      <c r="Q298" s="5634"/>
      <c r="R298" s="5094" t="s">
        <v>1</v>
      </c>
      <c r="S298" s="5120"/>
      <c r="T298" s="5121"/>
      <c r="U298" s="5121"/>
      <c r="V298" s="5121"/>
      <c r="W298" s="5121"/>
      <c r="X298" s="5122"/>
      <c r="Y298" s="5122"/>
      <c r="Z298" s="5122"/>
      <c r="AA298" s="5122"/>
      <c r="AB298" s="5122"/>
      <c r="AC298" s="5122"/>
      <c r="AD298" s="5122"/>
      <c r="AE298" s="5122"/>
      <c r="AF298" s="5122"/>
      <c r="AG298" s="5122"/>
      <c r="AH298" s="5634"/>
      <c r="AI298" s="5094" t="s">
        <v>1</v>
      </c>
      <c r="AJ298" s="5120"/>
      <c r="AK298" s="5121"/>
      <c r="AL298" s="5121"/>
      <c r="AM298" s="5121"/>
      <c r="AN298" s="5121"/>
      <c r="AO298" s="5122"/>
      <c r="AP298" s="5122"/>
      <c r="AQ298" s="5122"/>
      <c r="AR298" s="5122"/>
      <c r="AS298" s="5122"/>
      <c r="AT298" s="5122"/>
      <c r="AU298" s="5122"/>
      <c r="AV298" s="5122"/>
      <c r="AW298" s="5122"/>
      <c r="AX298" s="5122"/>
      <c r="AY298" s="5634"/>
      <c r="AZ298" s="5094" t="s">
        <v>1</v>
      </c>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5">
        <v>1</v>
      </c>
      <c r="CL298" s="1"/>
      <c r="CM298" s="1"/>
    </row>
    <row r="299" spans="2:91" s="187" customFormat="1" ht="21" customHeight="1">
      <c r="B299" s="5120"/>
      <c r="C299" s="5121"/>
      <c r="D299" s="5121"/>
      <c r="E299" s="5121"/>
      <c r="F299" s="5121"/>
      <c r="G299" s="5122"/>
      <c r="H299" s="5122"/>
      <c r="I299" s="5122"/>
      <c r="J299" s="5122"/>
      <c r="K299" s="5122"/>
      <c r="L299" s="5122"/>
      <c r="M299" s="5122"/>
      <c r="N299" s="5122"/>
      <c r="O299" s="5122"/>
      <c r="P299" s="5122"/>
      <c r="Q299" s="5634"/>
      <c r="R299" s="5094" t="s">
        <v>1</v>
      </c>
      <c r="S299" s="5120"/>
      <c r="T299" s="5121"/>
      <c r="U299" s="5121"/>
      <c r="V299" s="5121"/>
      <c r="W299" s="5121"/>
      <c r="X299" s="5122"/>
      <c r="Y299" s="5122"/>
      <c r="Z299" s="5122"/>
      <c r="AA299" s="5122"/>
      <c r="AB299" s="5122"/>
      <c r="AC299" s="5122"/>
      <c r="AD299" s="5122"/>
      <c r="AE299" s="5122"/>
      <c r="AF299" s="5122"/>
      <c r="AG299" s="5122"/>
      <c r="AH299" s="5634"/>
      <c r="AI299" s="5094" t="s">
        <v>1</v>
      </c>
      <c r="AJ299" s="5120"/>
      <c r="AK299" s="5121"/>
      <c r="AL299" s="5121"/>
      <c r="AM299" s="5121"/>
      <c r="AN299" s="5121"/>
      <c r="AO299" s="5122"/>
      <c r="AP299" s="5122"/>
      <c r="AQ299" s="5122"/>
      <c r="AR299" s="5122"/>
      <c r="AS299" s="5122"/>
      <c r="AT299" s="5122"/>
      <c r="AU299" s="5122"/>
      <c r="AV299" s="5122"/>
      <c r="AW299" s="5122"/>
      <c r="AX299" s="5122"/>
      <c r="AY299" s="5634"/>
      <c r="AZ299" s="5094" t="s">
        <v>1</v>
      </c>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5">
        <v>1</v>
      </c>
      <c r="CL299" s="1"/>
      <c r="CM299" s="1"/>
    </row>
    <row r="300" spans="2:91" s="187" customFormat="1" ht="21" customHeight="1">
      <c r="B300" s="5120"/>
      <c r="C300" s="5121"/>
      <c r="D300" s="5121"/>
      <c r="E300" s="5121"/>
      <c r="F300" s="5121"/>
      <c r="G300" s="5122"/>
      <c r="H300" s="5122"/>
      <c r="I300" s="5122"/>
      <c r="J300" s="5122"/>
      <c r="K300" s="5122"/>
      <c r="L300" s="5122"/>
      <c r="M300" s="5122"/>
      <c r="N300" s="5122"/>
      <c r="O300" s="5122"/>
      <c r="P300" s="5122"/>
      <c r="Q300" s="5634"/>
      <c r="R300" s="5094" t="s">
        <v>1</v>
      </c>
      <c r="S300" s="5120"/>
      <c r="T300" s="5121"/>
      <c r="U300" s="5121"/>
      <c r="V300" s="5121"/>
      <c r="W300" s="5121"/>
      <c r="X300" s="5122"/>
      <c r="Y300" s="5122"/>
      <c r="Z300" s="5122"/>
      <c r="AA300" s="5122"/>
      <c r="AB300" s="5122"/>
      <c r="AC300" s="5122"/>
      <c r="AD300" s="5122"/>
      <c r="AE300" s="5122"/>
      <c r="AF300" s="5122"/>
      <c r="AG300" s="5122"/>
      <c r="AH300" s="5634"/>
      <c r="AI300" s="5094" t="s">
        <v>1</v>
      </c>
      <c r="AJ300" s="5120"/>
      <c r="AK300" s="5121"/>
      <c r="AL300" s="5121"/>
      <c r="AM300" s="5121"/>
      <c r="AN300" s="5121"/>
      <c r="AO300" s="5122"/>
      <c r="AP300" s="5122"/>
      <c r="AQ300" s="5122"/>
      <c r="AR300" s="5122"/>
      <c r="AS300" s="5122"/>
      <c r="AT300" s="5122"/>
      <c r="AU300" s="5122"/>
      <c r="AV300" s="5122"/>
      <c r="AW300" s="5122"/>
      <c r="AX300" s="5122"/>
      <c r="AY300" s="5634"/>
      <c r="AZ300" s="5094" t="s">
        <v>1</v>
      </c>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5">
        <v>1</v>
      </c>
      <c r="CL300" s="1"/>
      <c r="CM300" s="1"/>
    </row>
    <row r="301" spans="2:91" s="187" customFormat="1" ht="21" customHeight="1">
      <c r="B301" s="5120"/>
      <c r="C301" s="5121"/>
      <c r="D301" s="5121"/>
      <c r="E301" s="5121"/>
      <c r="F301" s="5121"/>
      <c r="G301" s="5122"/>
      <c r="H301" s="5122"/>
      <c r="I301" s="5122"/>
      <c r="J301" s="5122"/>
      <c r="K301" s="5122"/>
      <c r="L301" s="5122"/>
      <c r="M301" s="5122"/>
      <c r="N301" s="5122"/>
      <c r="O301" s="5122"/>
      <c r="P301" s="5122"/>
      <c r="Q301" s="5634"/>
      <c r="R301" s="5094" t="s">
        <v>1</v>
      </c>
      <c r="S301" s="5120"/>
      <c r="T301" s="5121"/>
      <c r="U301" s="5121"/>
      <c r="V301" s="5121"/>
      <c r="W301" s="5121"/>
      <c r="X301" s="5122"/>
      <c r="Y301" s="5122"/>
      <c r="Z301" s="5122"/>
      <c r="AA301" s="5122"/>
      <c r="AB301" s="5122"/>
      <c r="AC301" s="5122"/>
      <c r="AD301" s="5122"/>
      <c r="AE301" s="5122"/>
      <c r="AF301" s="5122"/>
      <c r="AG301" s="5122"/>
      <c r="AH301" s="5634"/>
      <c r="AI301" s="5094" t="s">
        <v>1</v>
      </c>
      <c r="AJ301" s="5120"/>
      <c r="AK301" s="5121"/>
      <c r="AL301" s="5121"/>
      <c r="AM301" s="5121"/>
      <c r="AN301" s="5121"/>
      <c r="AO301" s="5122"/>
      <c r="AP301" s="5122"/>
      <c r="AQ301" s="5122"/>
      <c r="AR301" s="5122"/>
      <c r="AS301" s="5122"/>
      <c r="AT301" s="5122"/>
      <c r="AU301" s="5122"/>
      <c r="AV301" s="5122"/>
      <c r="AW301" s="5122"/>
      <c r="AX301" s="5122"/>
      <c r="AY301" s="5634"/>
      <c r="AZ301" s="5094" t="s">
        <v>1</v>
      </c>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5">
        <v>1</v>
      </c>
      <c r="CL301" s="1"/>
      <c r="CM301" s="1"/>
    </row>
    <row r="302" spans="2:91" s="187" customFormat="1" ht="21" customHeight="1">
      <c r="B302" s="5120"/>
      <c r="C302" s="5121"/>
      <c r="D302" s="5121"/>
      <c r="E302" s="5121"/>
      <c r="F302" s="5121"/>
      <c r="G302" s="5122"/>
      <c r="H302" s="5122"/>
      <c r="I302" s="5122"/>
      <c r="J302" s="5122"/>
      <c r="K302" s="5122"/>
      <c r="L302" s="5122"/>
      <c r="M302" s="5122"/>
      <c r="N302" s="5122"/>
      <c r="O302" s="5122"/>
      <c r="P302" s="5122"/>
      <c r="Q302" s="5634"/>
      <c r="R302" s="5094" t="s">
        <v>1</v>
      </c>
      <c r="S302" s="5120"/>
      <c r="T302" s="5121"/>
      <c r="U302" s="5121"/>
      <c r="V302" s="5121"/>
      <c r="W302" s="5121"/>
      <c r="X302" s="5122"/>
      <c r="Y302" s="5122"/>
      <c r="Z302" s="5122"/>
      <c r="AA302" s="5122"/>
      <c r="AB302" s="5122"/>
      <c r="AC302" s="5122"/>
      <c r="AD302" s="5122"/>
      <c r="AE302" s="5122"/>
      <c r="AF302" s="5122"/>
      <c r="AG302" s="5122"/>
      <c r="AH302" s="5634"/>
      <c r="AI302" s="5094" t="s">
        <v>1</v>
      </c>
      <c r="AJ302" s="5120"/>
      <c r="AK302" s="5121"/>
      <c r="AL302" s="5121"/>
      <c r="AM302" s="5121"/>
      <c r="AN302" s="5121"/>
      <c r="AO302" s="5122"/>
      <c r="AP302" s="5122"/>
      <c r="AQ302" s="5122"/>
      <c r="AR302" s="5122"/>
      <c r="AS302" s="5122"/>
      <c r="AT302" s="5122"/>
      <c r="AU302" s="5122"/>
      <c r="AV302" s="5122"/>
      <c r="AW302" s="5122"/>
      <c r="AX302" s="5122"/>
      <c r="AY302" s="5634"/>
      <c r="AZ302" s="5094" t="s">
        <v>1</v>
      </c>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5">
        <v>1</v>
      </c>
      <c r="CL302" s="1"/>
      <c r="CM302" s="1"/>
    </row>
    <row r="303" spans="2:91" s="187" customFormat="1" ht="21" customHeight="1">
      <c r="B303" s="5120"/>
      <c r="C303" s="5121"/>
      <c r="D303" s="5121"/>
      <c r="E303" s="5121"/>
      <c r="F303" s="5121"/>
      <c r="G303" s="5122"/>
      <c r="H303" s="5122"/>
      <c r="I303" s="5122"/>
      <c r="J303" s="5122"/>
      <c r="K303" s="5122"/>
      <c r="L303" s="5122"/>
      <c r="M303" s="5122"/>
      <c r="N303" s="5122"/>
      <c r="O303" s="5122"/>
      <c r="P303" s="5122"/>
      <c r="Q303" s="5634"/>
      <c r="R303" s="5094" t="s">
        <v>1</v>
      </c>
      <c r="S303" s="5120"/>
      <c r="T303" s="5121"/>
      <c r="U303" s="5121"/>
      <c r="V303" s="5121"/>
      <c r="W303" s="5121"/>
      <c r="X303" s="5122"/>
      <c r="Y303" s="5122"/>
      <c r="Z303" s="5122"/>
      <c r="AA303" s="5122"/>
      <c r="AB303" s="5122"/>
      <c r="AC303" s="5122"/>
      <c r="AD303" s="5122"/>
      <c r="AE303" s="5122"/>
      <c r="AF303" s="5122"/>
      <c r="AG303" s="5122"/>
      <c r="AH303" s="5634"/>
      <c r="AI303" s="5094" t="s">
        <v>1</v>
      </c>
      <c r="AJ303" s="5120"/>
      <c r="AK303" s="5121"/>
      <c r="AL303" s="5121"/>
      <c r="AM303" s="5121"/>
      <c r="AN303" s="5121"/>
      <c r="AO303" s="5122"/>
      <c r="AP303" s="5122"/>
      <c r="AQ303" s="5122"/>
      <c r="AR303" s="5122"/>
      <c r="AS303" s="5122"/>
      <c r="AT303" s="5122"/>
      <c r="AU303" s="5122"/>
      <c r="AV303" s="5122"/>
      <c r="AW303" s="5122"/>
      <c r="AX303" s="5122"/>
      <c r="AY303" s="5634"/>
      <c r="AZ303" s="5094" t="s">
        <v>1</v>
      </c>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5">
        <v>1</v>
      </c>
      <c r="CL303" s="1"/>
      <c r="CM303" s="1"/>
    </row>
    <row r="304" spans="2:91" s="187" customFormat="1" ht="21" customHeight="1">
      <c r="B304" s="5120"/>
      <c r="C304" s="5121"/>
      <c r="D304" s="5121"/>
      <c r="E304" s="5121"/>
      <c r="F304" s="5121"/>
      <c r="G304" s="5122"/>
      <c r="H304" s="5122"/>
      <c r="I304" s="5122"/>
      <c r="J304" s="5122"/>
      <c r="K304" s="5122"/>
      <c r="L304" s="5122"/>
      <c r="M304" s="5122"/>
      <c r="N304" s="5122"/>
      <c r="O304" s="5122"/>
      <c r="P304" s="5122"/>
      <c r="Q304" s="5634"/>
      <c r="R304" s="5094" t="s">
        <v>1</v>
      </c>
      <c r="S304" s="5120"/>
      <c r="T304" s="5121"/>
      <c r="U304" s="5121"/>
      <c r="V304" s="5121"/>
      <c r="W304" s="5121"/>
      <c r="X304" s="5122"/>
      <c r="Y304" s="5122"/>
      <c r="Z304" s="5122"/>
      <c r="AA304" s="5122"/>
      <c r="AB304" s="5122"/>
      <c r="AC304" s="5122"/>
      <c r="AD304" s="5122"/>
      <c r="AE304" s="5122"/>
      <c r="AF304" s="5122"/>
      <c r="AG304" s="5122"/>
      <c r="AH304" s="5634"/>
      <c r="AI304" s="5094" t="s">
        <v>1</v>
      </c>
      <c r="AJ304" s="5120"/>
      <c r="AK304" s="5121"/>
      <c r="AL304" s="5121"/>
      <c r="AM304" s="5121"/>
      <c r="AN304" s="5121"/>
      <c r="AO304" s="5122"/>
      <c r="AP304" s="5122"/>
      <c r="AQ304" s="5122"/>
      <c r="AR304" s="5122"/>
      <c r="AS304" s="5122"/>
      <c r="AT304" s="5122"/>
      <c r="AU304" s="5122"/>
      <c r="AV304" s="5122"/>
      <c r="AW304" s="5122"/>
      <c r="AX304" s="5122"/>
      <c r="AY304" s="5634"/>
      <c r="AZ304" s="5094" t="s">
        <v>1</v>
      </c>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5">
        <v>1</v>
      </c>
      <c r="CL304" s="1"/>
      <c r="CM304" s="1"/>
    </row>
    <row r="305" spans="2:91" s="187" customFormat="1" ht="21" customHeight="1">
      <c r="B305" s="5120"/>
      <c r="C305" s="5121"/>
      <c r="D305" s="5121"/>
      <c r="E305" s="5121"/>
      <c r="F305" s="5121"/>
      <c r="G305" s="5122"/>
      <c r="H305" s="5122"/>
      <c r="I305" s="5122"/>
      <c r="J305" s="5122"/>
      <c r="K305" s="5122"/>
      <c r="L305" s="5122"/>
      <c r="M305" s="5122"/>
      <c r="N305" s="5122"/>
      <c r="O305" s="5122"/>
      <c r="P305" s="5122"/>
      <c r="Q305" s="5634"/>
      <c r="R305" s="5094" t="s">
        <v>1</v>
      </c>
      <c r="S305" s="5120"/>
      <c r="T305" s="5121"/>
      <c r="U305" s="5121"/>
      <c r="V305" s="5121"/>
      <c r="W305" s="5121"/>
      <c r="X305" s="5122"/>
      <c r="Y305" s="5122"/>
      <c r="Z305" s="5122"/>
      <c r="AA305" s="5122"/>
      <c r="AB305" s="5122"/>
      <c r="AC305" s="5122"/>
      <c r="AD305" s="5122"/>
      <c r="AE305" s="5122"/>
      <c r="AF305" s="5122"/>
      <c r="AG305" s="5122"/>
      <c r="AH305" s="5634"/>
      <c r="AI305" s="5094" t="s">
        <v>1</v>
      </c>
      <c r="AJ305" s="5120"/>
      <c r="AK305" s="5121"/>
      <c r="AL305" s="5121"/>
      <c r="AM305" s="5121"/>
      <c r="AN305" s="5121"/>
      <c r="AO305" s="5122"/>
      <c r="AP305" s="5122"/>
      <c r="AQ305" s="5122"/>
      <c r="AR305" s="5122"/>
      <c r="AS305" s="5122"/>
      <c r="AT305" s="5122"/>
      <c r="AU305" s="5122"/>
      <c r="AV305" s="5122"/>
      <c r="AW305" s="5122"/>
      <c r="AX305" s="5122"/>
      <c r="AY305" s="5634"/>
      <c r="AZ305" s="5094" t="s">
        <v>1</v>
      </c>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5">
        <v>1</v>
      </c>
      <c r="CL305" s="1"/>
      <c r="CM305" s="1"/>
    </row>
    <row r="306" spans="2:91" s="187" customFormat="1" ht="21" customHeight="1">
      <c r="B306" s="5120"/>
      <c r="C306" s="5121"/>
      <c r="D306" s="5121"/>
      <c r="E306" s="5121"/>
      <c r="F306" s="5121"/>
      <c r="G306" s="5122"/>
      <c r="H306" s="5122"/>
      <c r="I306" s="5122"/>
      <c r="J306" s="5122"/>
      <c r="K306" s="5122"/>
      <c r="L306" s="5122"/>
      <c r="M306" s="5122"/>
      <c r="N306" s="5122"/>
      <c r="O306" s="5122"/>
      <c r="P306" s="5122"/>
      <c r="Q306" s="5634"/>
      <c r="R306" s="5094" t="s">
        <v>1</v>
      </c>
      <c r="S306" s="5120"/>
      <c r="T306" s="5121"/>
      <c r="U306" s="5121"/>
      <c r="V306" s="5121"/>
      <c r="W306" s="5121"/>
      <c r="X306" s="5122"/>
      <c r="Y306" s="5122"/>
      <c r="Z306" s="5122"/>
      <c r="AA306" s="5122"/>
      <c r="AB306" s="5122"/>
      <c r="AC306" s="5122"/>
      <c r="AD306" s="5122"/>
      <c r="AE306" s="5122"/>
      <c r="AF306" s="5122"/>
      <c r="AG306" s="5122"/>
      <c r="AH306" s="5634"/>
      <c r="AI306" s="5094" t="s">
        <v>1</v>
      </c>
      <c r="AJ306" s="5120"/>
      <c r="AK306" s="5121"/>
      <c r="AL306" s="5121"/>
      <c r="AM306" s="5121"/>
      <c r="AN306" s="5121"/>
      <c r="AO306" s="5122"/>
      <c r="AP306" s="5122"/>
      <c r="AQ306" s="5122"/>
      <c r="AR306" s="5122"/>
      <c r="AS306" s="5122"/>
      <c r="AT306" s="5122"/>
      <c r="AU306" s="5122"/>
      <c r="AV306" s="5122"/>
      <c r="AW306" s="5122"/>
      <c r="AX306" s="5122"/>
      <c r="AY306" s="5634"/>
      <c r="AZ306" s="5094" t="s">
        <v>1</v>
      </c>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5">
        <v>1</v>
      </c>
      <c r="CL306" s="1"/>
      <c r="CM306" s="1"/>
    </row>
    <row r="307" spans="2:91" s="187" customFormat="1" ht="21" customHeight="1">
      <c r="B307" s="5120"/>
      <c r="C307" s="5121"/>
      <c r="D307" s="5121"/>
      <c r="E307" s="5121"/>
      <c r="F307" s="5121"/>
      <c r="G307" s="5122"/>
      <c r="H307" s="5122"/>
      <c r="I307" s="5122"/>
      <c r="J307" s="5122"/>
      <c r="K307" s="5122"/>
      <c r="L307" s="5122"/>
      <c r="M307" s="5122"/>
      <c r="N307" s="5122"/>
      <c r="O307" s="5122"/>
      <c r="P307" s="5122"/>
      <c r="Q307" s="5634"/>
      <c r="R307" s="5094" t="s">
        <v>1</v>
      </c>
      <c r="S307" s="5120"/>
      <c r="T307" s="5121"/>
      <c r="U307" s="5121"/>
      <c r="V307" s="5121"/>
      <c r="W307" s="5121"/>
      <c r="X307" s="5122"/>
      <c r="Y307" s="5122"/>
      <c r="Z307" s="5122"/>
      <c r="AA307" s="5122"/>
      <c r="AB307" s="5122"/>
      <c r="AC307" s="5122"/>
      <c r="AD307" s="5122"/>
      <c r="AE307" s="5122"/>
      <c r="AF307" s="5122"/>
      <c r="AG307" s="5122"/>
      <c r="AH307" s="5634"/>
      <c r="AI307" s="5094" t="s">
        <v>1</v>
      </c>
      <c r="AJ307" s="5120"/>
      <c r="AK307" s="5121"/>
      <c r="AL307" s="5121"/>
      <c r="AM307" s="5121"/>
      <c r="AN307" s="5121"/>
      <c r="AO307" s="5122"/>
      <c r="AP307" s="5122"/>
      <c r="AQ307" s="5122"/>
      <c r="AR307" s="5122"/>
      <c r="AS307" s="5122"/>
      <c r="AT307" s="5122"/>
      <c r="AU307" s="5122"/>
      <c r="AV307" s="5122"/>
      <c r="AW307" s="5122"/>
      <c r="AX307" s="5122"/>
      <c r="AY307" s="5634"/>
      <c r="AZ307" s="5094" t="s">
        <v>1</v>
      </c>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5">
        <v>1</v>
      </c>
      <c r="CL307" s="1"/>
      <c r="CM307" s="1"/>
    </row>
    <row r="308" spans="2:91" s="187" customFormat="1" ht="21" customHeight="1">
      <c r="B308" s="5120"/>
      <c r="C308" s="5121"/>
      <c r="D308" s="5121"/>
      <c r="E308" s="5121"/>
      <c r="F308" s="5121"/>
      <c r="G308" s="5122"/>
      <c r="H308" s="5122"/>
      <c r="I308" s="5122"/>
      <c r="J308" s="5122"/>
      <c r="K308" s="5122"/>
      <c r="L308" s="5122"/>
      <c r="M308" s="5122"/>
      <c r="N308" s="5122"/>
      <c r="O308" s="5122"/>
      <c r="P308" s="5122"/>
      <c r="Q308" s="5634"/>
      <c r="R308" s="5094" t="s">
        <v>1</v>
      </c>
      <c r="S308" s="5120"/>
      <c r="T308" s="5121"/>
      <c r="U308" s="5121"/>
      <c r="V308" s="5121"/>
      <c r="W308" s="5121"/>
      <c r="X308" s="5122"/>
      <c r="Y308" s="5122"/>
      <c r="Z308" s="5122"/>
      <c r="AA308" s="5122"/>
      <c r="AB308" s="5122"/>
      <c r="AC308" s="5122"/>
      <c r="AD308" s="5122"/>
      <c r="AE308" s="5122"/>
      <c r="AF308" s="5122"/>
      <c r="AG308" s="5122"/>
      <c r="AH308" s="5634"/>
      <c r="AI308" s="5094" t="s">
        <v>1</v>
      </c>
      <c r="AJ308" s="5120"/>
      <c r="AK308" s="5121"/>
      <c r="AL308" s="5121"/>
      <c r="AM308" s="5121"/>
      <c r="AN308" s="5121"/>
      <c r="AO308" s="5122"/>
      <c r="AP308" s="5122"/>
      <c r="AQ308" s="5122"/>
      <c r="AR308" s="5122"/>
      <c r="AS308" s="5122"/>
      <c r="AT308" s="5122"/>
      <c r="AU308" s="5122"/>
      <c r="AV308" s="5122"/>
      <c r="AW308" s="5122"/>
      <c r="AX308" s="5122"/>
      <c r="AY308" s="5634"/>
      <c r="AZ308" s="5094" t="s">
        <v>1</v>
      </c>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5">
        <v>1</v>
      </c>
      <c r="CL308" s="1"/>
      <c r="CM308" s="1"/>
    </row>
    <row r="309" spans="2:91" s="187" customFormat="1" ht="21" customHeight="1">
      <c r="B309" s="5120"/>
      <c r="C309" s="5121"/>
      <c r="D309" s="5121"/>
      <c r="E309" s="5121"/>
      <c r="F309" s="5121"/>
      <c r="G309" s="5122"/>
      <c r="H309" s="5122"/>
      <c r="I309" s="5122"/>
      <c r="J309" s="5122"/>
      <c r="K309" s="5122"/>
      <c r="L309" s="5122"/>
      <c r="M309" s="5122"/>
      <c r="N309" s="5122"/>
      <c r="O309" s="5122"/>
      <c r="P309" s="5122"/>
      <c r="Q309" s="5634"/>
      <c r="R309" s="5094" t="s">
        <v>1</v>
      </c>
      <c r="S309" s="5120"/>
      <c r="T309" s="5121"/>
      <c r="U309" s="5121"/>
      <c r="V309" s="5121"/>
      <c r="W309" s="5121"/>
      <c r="X309" s="5122"/>
      <c r="Y309" s="5122"/>
      <c r="Z309" s="5122"/>
      <c r="AA309" s="5122"/>
      <c r="AB309" s="5122"/>
      <c r="AC309" s="5122"/>
      <c r="AD309" s="5122"/>
      <c r="AE309" s="5122"/>
      <c r="AF309" s="5122"/>
      <c r="AG309" s="5122"/>
      <c r="AH309" s="5634"/>
      <c r="AI309" s="5094" t="s">
        <v>1</v>
      </c>
      <c r="AJ309" s="5120"/>
      <c r="AK309" s="5121"/>
      <c r="AL309" s="5121"/>
      <c r="AM309" s="5121"/>
      <c r="AN309" s="5121"/>
      <c r="AO309" s="5122"/>
      <c r="AP309" s="5122"/>
      <c r="AQ309" s="5122"/>
      <c r="AR309" s="5122"/>
      <c r="AS309" s="5122"/>
      <c r="AT309" s="5122"/>
      <c r="AU309" s="5122"/>
      <c r="AV309" s="5122"/>
      <c r="AW309" s="5122"/>
      <c r="AX309" s="5122"/>
      <c r="AY309" s="5634"/>
      <c r="AZ309" s="5094" t="s">
        <v>1</v>
      </c>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5">
        <v>1</v>
      </c>
      <c r="CL309" s="1"/>
      <c r="CM309" s="1"/>
    </row>
    <row r="310" spans="2:91" s="187" customFormat="1" ht="21" customHeight="1">
      <c r="B310" s="5120"/>
      <c r="C310" s="5121"/>
      <c r="D310" s="5121"/>
      <c r="E310" s="5121"/>
      <c r="F310" s="5121"/>
      <c r="G310" s="5122"/>
      <c r="H310" s="5122"/>
      <c r="I310" s="5122"/>
      <c r="J310" s="5122"/>
      <c r="K310" s="5122"/>
      <c r="L310" s="5122"/>
      <c r="M310" s="5122"/>
      <c r="N310" s="5122"/>
      <c r="O310" s="5122"/>
      <c r="P310" s="5122"/>
      <c r="Q310" s="5634"/>
      <c r="R310" s="5094" t="s">
        <v>1</v>
      </c>
      <c r="S310" s="5120"/>
      <c r="T310" s="5121"/>
      <c r="U310" s="5121"/>
      <c r="V310" s="5121"/>
      <c r="W310" s="5121"/>
      <c r="X310" s="5122"/>
      <c r="Y310" s="5122"/>
      <c r="Z310" s="5122"/>
      <c r="AA310" s="5122"/>
      <c r="AB310" s="5122"/>
      <c r="AC310" s="5122"/>
      <c r="AD310" s="5122"/>
      <c r="AE310" s="5122"/>
      <c r="AF310" s="5122"/>
      <c r="AG310" s="5122"/>
      <c r="AH310" s="5634"/>
      <c r="AI310" s="5094" t="s">
        <v>1</v>
      </c>
      <c r="AJ310" s="5120"/>
      <c r="AK310" s="5121"/>
      <c r="AL310" s="5121"/>
      <c r="AM310" s="5121"/>
      <c r="AN310" s="5121"/>
      <c r="AO310" s="5122"/>
      <c r="AP310" s="5122"/>
      <c r="AQ310" s="5122"/>
      <c r="AR310" s="5122"/>
      <c r="AS310" s="5122"/>
      <c r="AT310" s="5122"/>
      <c r="AU310" s="5122"/>
      <c r="AV310" s="5122"/>
      <c r="AW310" s="5122"/>
      <c r="AX310" s="5122"/>
      <c r="AY310" s="5634"/>
      <c r="AZ310" s="5094" t="s">
        <v>1</v>
      </c>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5">
        <v>1</v>
      </c>
      <c r="CL310" s="1"/>
      <c r="CM310" s="1"/>
    </row>
    <row r="311" spans="2:91" s="187" customFormat="1" ht="21" customHeight="1">
      <c r="B311" s="5120"/>
      <c r="C311" s="5121"/>
      <c r="D311" s="5121"/>
      <c r="E311" s="5121"/>
      <c r="F311" s="5121"/>
      <c r="G311" s="5122"/>
      <c r="H311" s="5122"/>
      <c r="I311" s="5122"/>
      <c r="J311" s="5122"/>
      <c r="K311" s="5122"/>
      <c r="L311" s="5122"/>
      <c r="M311" s="5122"/>
      <c r="N311" s="5122"/>
      <c r="O311" s="5122"/>
      <c r="P311" s="5122"/>
      <c r="Q311" s="5634"/>
      <c r="R311" s="5094" t="s">
        <v>1</v>
      </c>
      <c r="S311" s="5120"/>
      <c r="T311" s="5121"/>
      <c r="U311" s="5121"/>
      <c r="V311" s="5121"/>
      <c r="W311" s="5121"/>
      <c r="X311" s="5122"/>
      <c r="Y311" s="5122"/>
      <c r="Z311" s="5122"/>
      <c r="AA311" s="5122"/>
      <c r="AB311" s="5122"/>
      <c r="AC311" s="5122"/>
      <c r="AD311" s="5122"/>
      <c r="AE311" s="5122"/>
      <c r="AF311" s="5122"/>
      <c r="AG311" s="5122"/>
      <c r="AH311" s="5634"/>
      <c r="AI311" s="5094" t="s">
        <v>1</v>
      </c>
      <c r="AJ311" s="5120"/>
      <c r="AK311" s="5121"/>
      <c r="AL311" s="5121"/>
      <c r="AM311" s="5121"/>
      <c r="AN311" s="5121"/>
      <c r="AO311" s="5122"/>
      <c r="AP311" s="5122"/>
      <c r="AQ311" s="5122"/>
      <c r="AR311" s="5122"/>
      <c r="AS311" s="5122"/>
      <c r="AT311" s="5122"/>
      <c r="AU311" s="5122"/>
      <c r="AV311" s="5122"/>
      <c r="AW311" s="5122"/>
      <c r="AX311" s="5122"/>
      <c r="AY311" s="5634"/>
      <c r="AZ311" s="5094" t="s">
        <v>1</v>
      </c>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5">
        <v>1</v>
      </c>
      <c r="CL311" s="1"/>
      <c r="CM311" s="1"/>
    </row>
    <row r="312" spans="2:91" s="187" customFormat="1" ht="21" customHeight="1">
      <c r="B312" s="5120"/>
      <c r="C312" s="5121"/>
      <c r="D312" s="5121"/>
      <c r="E312" s="5121"/>
      <c r="F312" s="5121"/>
      <c r="G312" s="5122"/>
      <c r="H312" s="5122"/>
      <c r="I312" s="5122"/>
      <c r="J312" s="5122"/>
      <c r="K312" s="5122"/>
      <c r="L312" s="5122"/>
      <c r="M312" s="5122"/>
      <c r="N312" s="5122"/>
      <c r="O312" s="5122"/>
      <c r="P312" s="5122"/>
      <c r="Q312" s="5634"/>
      <c r="R312" s="5094" t="s">
        <v>1</v>
      </c>
      <c r="S312" s="5120"/>
      <c r="T312" s="5121"/>
      <c r="U312" s="5121"/>
      <c r="V312" s="5121"/>
      <c r="W312" s="5121"/>
      <c r="X312" s="5122"/>
      <c r="Y312" s="5122"/>
      <c r="Z312" s="5122"/>
      <c r="AA312" s="5122"/>
      <c r="AB312" s="5122"/>
      <c r="AC312" s="5122"/>
      <c r="AD312" s="5122"/>
      <c r="AE312" s="5122"/>
      <c r="AF312" s="5122"/>
      <c r="AG312" s="5122"/>
      <c r="AH312" s="5634"/>
      <c r="AI312" s="5094" t="s">
        <v>1</v>
      </c>
      <c r="AJ312" s="5120"/>
      <c r="AK312" s="5121"/>
      <c r="AL312" s="5121"/>
      <c r="AM312" s="5121"/>
      <c r="AN312" s="5121"/>
      <c r="AO312" s="5122"/>
      <c r="AP312" s="5122"/>
      <c r="AQ312" s="5122"/>
      <c r="AR312" s="5122"/>
      <c r="AS312" s="5122"/>
      <c r="AT312" s="5122"/>
      <c r="AU312" s="5122"/>
      <c r="AV312" s="5122"/>
      <c r="AW312" s="5122"/>
      <c r="AX312" s="5122"/>
      <c r="AY312" s="5634"/>
      <c r="AZ312" s="5094" t="s">
        <v>1</v>
      </c>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5">
        <v>1</v>
      </c>
      <c r="CL312" s="1"/>
      <c r="CM312" s="1"/>
    </row>
    <row r="313" spans="2:91" s="187" customFormat="1" ht="21" customHeight="1">
      <c r="B313" s="5120"/>
      <c r="C313" s="5121"/>
      <c r="D313" s="5121"/>
      <c r="E313" s="5121"/>
      <c r="F313" s="5121"/>
      <c r="G313" s="5122"/>
      <c r="H313" s="5122"/>
      <c r="I313" s="5122"/>
      <c r="J313" s="5122"/>
      <c r="K313" s="5122"/>
      <c r="L313" s="5122"/>
      <c r="M313" s="5122"/>
      <c r="N313" s="5122"/>
      <c r="O313" s="5122"/>
      <c r="P313" s="5122"/>
      <c r="Q313" s="5634"/>
      <c r="R313" s="5094" t="s">
        <v>1</v>
      </c>
      <c r="S313" s="5120"/>
      <c r="T313" s="5121"/>
      <c r="U313" s="5121"/>
      <c r="V313" s="5121"/>
      <c r="W313" s="5121"/>
      <c r="X313" s="5122"/>
      <c r="Y313" s="5122"/>
      <c r="Z313" s="5122"/>
      <c r="AA313" s="5122"/>
      <c r="AB313" s="5122"/>
      <c r="AC313" s="5122"/>
      <c r="AD313" s="5122"/>
      <c r="AE313" s="5122"/>
      <c r="AF313" s="5122"/>
      <c r="AG313" s="5122"/>
      <c r="AH313" s="5634"/>
      <c r="AI313" s="5094" t="s">
        <v>1</v>
      </c>
      <c r="AJ313" s="5120"/>
      <c r="AK313" s="5121"/>
      <c r="AL313" s="5121"/>
      <c r="AM313" s="5121"/>
      <c r="AN313" s="5121"/>
      <c r="AO313" s="5122"/>
      <c r="AP313" s="5122"/>
      <c r="AQ313" s="5122"/>
      <c r="AR313" s="5122"/>
      <c r="AS313" s="5122"/>
      <c r="AT313" s="5122"/>
      <c r="AU313" s="5122"/>
      <c r="AV313" s="5122"/>
      <c r="AW313" s="5122"/>
      <c r="AX313" s="5122"/>
      <c r="AY313" s="5634"/>
      <c r="AZ313" s="5094" t="s">
        <v>1</v>
      </c>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5">
        <v>1</v>
      </c>
      <c r="CL313" s="1"/>
      <c r="CM313" s="1"/>
    </row>
    <row r="314" spans="2:91" s="187" customFormat="1" ht="21" customHeight="1">
      <c r="B314" s="5120"/>
      <c r="C314" s="5121"/>
      <c r="D314" s="5121"/>
      <c r="E314" s="5121"/>
      <c r="F314" s="5121"/>
      <c r="G314" s="5122"/>
      <c r="H314" s="5122"/>
      <c r="I314" s="5122"/>
      <c r="J314" s="5122"/>
      <c r="K314" s="5122"/>
      <c r="L314" s="5122"/>
      <c r="M314" s="5122"/>
      <c r="N314" s="5122"/>
      <c r="O314" s="5122"/>
      <c r="P314" s="5122"/>
      <c r="Q314" s="5634"/>
      <c r="R314" s="5094" t="s">
        <v>1</v>
      </c>
      <c r="S314" s="5120"/>
      <c r="T314" s="5121"/>
      <c r="U314" s="5121"/>
      <c r="V314" s="5121"/>
      <c r="W314" s="5121"/>
      <c r="X314" s="5122"/>
      <c r="Y314" s="5122"/>
      <c r="Z314" s="5122"/>
      <c r="AA314" s="5122"/>
      <c r="AB314" s="5122"/>
      <c r="AC314" s="5122"/>
      <c r="AD314" s="5122"/>
      <c r="AE314" s="5122"/>
      <c r="AF314" s="5122"/>
      <c r="AG314" s="5122"/>
      <c r="AH314" s="5634"/>
      <c r="AI314" s="5094" t="s">
        <v>1</v>
      </c>
      <c r="AJ314" s="5120"/>
      <c r="AK314" s="5121"/>
      <c r="AL314" s="5121"/>
      <c r="AM314" s="5121"/>
      <c r="AN314" s="5121"/>
      <c r="AO314" s="5122"/>
      <c r="AP314" s="5122"/>
      <c r="AQ314" s="5122"/>
      <c r="AR314" s="5122"/>
      <c r="AS314" s="5122"/>
      <c r="AT314" s="5122"/>
      <c r="AU314" s="5122"/>
      <c r="AV314" s="5122"/>
      <c r="AW314" s="5122"/>
      <c r="AX314" s="5122"/>
      <c r="AY314" s="5634"/>
      <c r="AZ314" s="5094" t="s">
        <v>1</v>
      </c>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5">
        <v>1</v>
      </c>
      <c r="CL314" s="1"/>
      <c r="CM314" s="1"/>
    </row>
    <row r="315" spans="2:91" s="187" customFormat="1" ht="21" customHeight="1">
      <c r="B315" s="5120"/>
      <c r="C315" s="5121"/>
      <c r="D315" s="5121"/>
      <c r="E315" s="5121"/>
      <c r="F315" s="5121"/>
      <c r="G315" s="5122"/>
      <c r="H315" s="5122"/>
      <c r="I315" s="5122"/>
      <c r="J315" s="5122"/>
      <c r="K315" s="5122"/>
      <c r="L315" s="5122"/>
      <c r="M315" s="5122"/>
      <c r="N315" s="5122"/>
      <c r="O315" s="5122"/>
      <c r="P315" s="5122"/>
      <c r="Q315" s="5634"/>
      <c r="R315" s="5094" t="s">
        <v>1</v>
      </c>
      <c r="S315" s="5120"/>
      <c r="T315" s="5121"/>
      <c r="U315" s="5121"/>
      <c r="V315" s="5121"/>
      <c r="W315" s="5121"/>
      <c r="X315" s="5122"/>
      <c r="Y315" s="5122"/>
      <c r="Z315" s="5122"/>
      <c r="AA315" s="5122"/>
      <c r="AB315" s="5122"/>
      <c r="AC315" s="5122"/>
      <c r="AD315" s="5122"/>
      <c r="AE315" s="5122"/>
      <c r="AF315" s="5122"/>
      <c r="AG315" s="5122"/>
      <c r="AH315" s="5634"/>
      <c r="AI315" s="5094" t="s">
        <v>1</v>
      </c>
      <c r="AJ315" s="5120"/>
      <c r="AK315" s="5121"/>
      <c r="AL315" s="5121"/>
      <c r="AM315" s="5121"/>
      <c r="AN315" s="5121"/>
      <c r="AO315" s="5122"/>
      <c r="AP315" s="5122"/>
      <c r="AQ315" s="5122"/>
      <c r="AR315" s="5122"/>
      <c r="AS315" s="5122"/>
      <c r="AT315" s="5122"/>
      <c r="AU315" s="5122"/>
      <c r="AV315" s="5122"/>
      <c r="AW315" s="5122"/>
      <c r="AX315" s="5122"/>
      <c r="AY315" s="5634"/>
      <c r="AZ315" s="5094" t="s">
        <v>1</v>
      </c>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5">
        <v>1</v>
      </c>
      <c r="CL315" s="1"/>
      <c r="CM315" s="1"/>
    </row>
    <row r="316" spans="2:91" s="187" customFormat="1" ht="21" customHeight="1">
      <c r="B316" s="5120"/>
      <c r="C316" s="5121"/>
      <c r="D316" s="5121"/>
      <c r="E316" s="5121"/>
      <c r="F316" s="5121"/>
      <c r="G316" s="5122"/>
      <c r="H316" s="5122"/>
      <c r="I316" s="5122"/>
      <c r="J316" s="5122"/>
      <c r="K316" s="5122"/>
      <c r="L316" s="5122"/>
      <c r="M316" s="5122"/>
      <c r="N316" s="5122"/>
      <c r="O316" s="5122"/>
      <c r="P316" s="5122"/>
      <c r="Q316" s="5634"/>
      <c r="R316" s="5094" t="s">
        <v>1</v>
      </c>
      <c r="S316" s="5120"/>
      <c r="T316" s="5121"/>
      <c r="U316" s="5121"/>
      <c r="V316" s="5121"/>
      <c r="W316" s="5121"/>
      <c r="X316" s="5122"/>
      <c r="Y316" s="5122"/>
      <c r="Z316" s="5122"/>
      <c r="AA316" s="5122"/>
      <c r="AB316" s="5122"/>
      <c r="AC316" s="5122"/>
      <c r="AD316" s="5122"/>
      <c r="AE316" s="5122"/>
      <c r="AF316" s="5122"/>
      <c r="AG316" s="5122"/>
      <c r="AH316" s="5634"/>
      <c r="AI316" s="5094" t="s">
        <v>1</v>
      </c>
      <c r="AJ316" s="5120"/>
      <c r="AK316" s="5121"/>
      <c r="AL316" s="5121"/>
      <c r="AM316" s="5121"/>
      <c r="AN316" s="5121"/>
      <c r="AO316" s="5122"/>
      <c r="AP316" s="5122"/>
      <c r="AQ316" s="5122"/>
      <c r="AR316" s="5122"/>
      <c r="AS316" s="5122"/>
      <c r="AT316" s="5122"/>
      <c r="AU316" s="5122"/>
      <c r="AV316" s="5122"/>
      <c r="AW316" s="5122"/>
      <c r="AX316" s="5122"/>
      <c r="AY316" s="5634"/>
      <c r="AZ316" s="5094" t="s">
        <v>1</v>
      </c>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5">
        <v>1</v>
      </c>
      <c r="CL316" s="1"/>
      <c r="CM316" s="1"/>
    </row>
    <row r="317" spans="2:91" s="187" customFormat="1" ht="21" customHeight="1">
      <c r="B317" s="5120"/>
      <c r="C317" s="5121"/>
      <c r="D317" s="5121"/>
      <c r="E317" s="5121"/>
      <c r="F317" s="5121"/>
      <c r="G317" s="5122"/>
      <c r="H317" s="5122"/>
      <c r="I317" s="5122"/>
      <c r="J317" s="5122"/>
      <c r="K317" s="5122"/>
      <c r="L317" s="5122"/>
      <c r="M317" s="5122"/>
      <c r="N317" s="5122"/>
      <c r="O317" s="5122"/>
      <c r="P317" s="5122"/>
      <c r="Q317" s="5634"/>
      <c r="R317" s="5094" t="s">
        <v>1</v>
      </c>
      <c r="S317" s="5120"/>
      <c r="T317" s="5121"/>
      <c r="U317" s="5121"/>
      <c r="V317" s="5121"/>
      <c r="W317" s="5121"/>
      <c r="X317" s="5122"/>
      <c r="Y317" s="5122"/>
      <c r="Z317" s="5122"/>
      <c r="AA317" s="5122"/>
      <c r="AB317" s="5122"/>
      <c r="AC317" s="5122"/>
      <c r="AD317" s="5122"/>
      <c r="AE317" s="5122"/>
      <c r="AF317" s="5122"/>
      <c r="AG317" s="5122"/>
      <c r="AH317" s="5634"/>
      <c r="AI317" s="5094" t="s">
        <v>1</v>
      </c>
      <c r="AJ317" s="5120"/>
      <c r="AK317" s="5121"/>
      <c r="AL317" s="5121"/>
      <c r="AM317" s="5121"/>
      <c r="AN317" s="5121"/>
      <c r="AO317" s="5122"/>
      <c r="AP317" s="5122"/>
      <c r="AQ317" s="5122"/>
      <c r="AR317" s="5122"/>
      <c r="AS317" s="5122"/>
      <c r="AT317" s="5122"/>
      <c r="AU317" s="5122"/>
      <c r="AV317" s="5122"/>
      <c r="AW317" s="5122"/>
      <c r="AX317" s="5122"/>
      <c r="AY317" s="5634"/>
      <c r="AZ317" s="5094" t="s">
        <v>1</v>
      </c>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5">
        <v>1</v>
      </c>
      <c r="CL317" s="1"/>
      <c r="CM317" s="1"/>
    </row>
    <row r="318" spans="2:91" s="187" customFormat="1" ht="21" customHeight="1">
      <c r="B318" s="5120"/>
      <c r="C318" s="5121"/>
      <c r="D318" s="5121"/>
      <c r="E318" s="5121"/>
      <c r="F318" s="5121"/>
      <c r="G318" s="5122"/>
      <c r="H318" s="5122"/>
      <c r="I318" s="5122"/>
      <c r="J318" s="5122"/>
      <c r="K318" s="5122"/>
      <c r="L318" s="5122"/>
      <c r="M318" s="5122"/>
      <c r="N318" s="5122"/>
      <c r="O318" s="5122"/>
      <c r="P318" s="5122"/>
      <c r="Q318" s="5634"/>
      <c r="R318" s="5094" t="s">
        <v>1</v>
      </c>
      <c r="S318" s="5120"/>
      <c r="T318" s="5121"/>
      <c r="U318" s="5121"/>
      <c r="V318" s="5121"/>
      <c r="W318" s="5121"/>
      <c r="X318" s="5122"/>
      <c r="Y318" s="5122"/>
      <c r="Z318" s="5122"/>
      <c r="AA318" s="5122"/>
      <c r="AB318" s="5122"/>
      <c r="AC318" s="5122"/>
      <c r="AD318" s="5122"/>
      <c r="AE318" s="5122"/>
      <c r="AF318" s="5122"/>
      <c r="AG318" s="5122"/>
      <c r="AH318" s="5634"/>
      <c r="AI318" s="5094" t="s">
        <v>1</v>
      </c>
      <c r="AJ318" s="5120"/>
      <c r="AK318" s="5121"/>
      <c r="AL318" s="5121"/>
      <c r="AM318" s="5121"/>
      <c r="AN318" s="5121"/>
      <c r="AO318" s="5122"/>
      <c r="AP318" s="5122"/>
      <c r="AQ318" s="5122"/>
      <c r="AR318" s="5122"/>
      <c r="AS318" s="5122"/>
      <c r="AT318" s="5122"/>
      <c r="AU318" s="5122"/>
      <c r="AV318" s="5122"/>
      <c r="AW318" s="5122"/>
      <c r="AX318" s="5122"/>
      <c r="AY318" s="5634"/>
      <c r="AZ318" s="5094" t="s">
        <v>1</v>
      </c>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5">
        <v>1</v>
      </c>
      <c r="CL318" s="1"/>
      <c r="CM318" s="1"/>
    </row>
    <row r="319" spans="2:91" s="187" customFormat="1" ht="21" customHeight="1">
      <c r="B319" s="5120"/>
      <c r="C319" s="5121"/>
      <c r="D319" s="5121"/>
      <c r="E319" s="5121"/>
      <c r="F319" s="5121"/>
      <c r="G319" s="5122"/>
      <c r="H319" s="5122"/>
      <c r="I319" s="5122"/>
      <c r="J319" s="5122"/>
      <c r="K319" s="5122"/>
      <c r="L319" s="5122"/>
      <c r="M319" s="5122"/>
      <c r="N319" s="5122"/>
      <c r="O319" s="5122"/>
      <c r="P319" s="5122"/>
      <c r="Q319" s="5634"/>
      <c r="R319" s="5094" t="s">
        <v>1</v>
      </c>
      <c r="S319" s="5120"/>
      <c r="T319" s="5121"/>
      <c r="U319" s="5121"/>
      <c r="V319" s="5121"/>
      <c r="W319" s="5121"/>
      <c r="X319" s="5122"/>
      <c r="Y319" s="5122"/>
      <c r="Z319" s="5122"/>
      <c r="AA319" s="5122"/>
      <c r="AB319" s="5122"/>
      <c r="AC319" s="5122"/>
      <c r="AD319" s="5122"/>
      <c r="AE319" s="5122"/>
      <c r="AF319" s="5122"/>
      <c r="AG319" s="5122"/>
      <c r="AH319" s="5634"/>
      <c r="AI319" s="5094" t="s">
        <v>1</v>
      </c>
      <c r="AJ319" s="5120"/>
      <c r="AK319" s="5121"/>
      <c r="AL319" s="5121"/>
      <c r="AM319" s="5121"/>
      <c r="AN319" s="5121"/>
      <c r="AO319" s="5122"/>
      <c r="AP319" s="5122"/>
      <c r="AQ319" s="5122"/>
      <c r="AR319" s="5122"/>
      <c r="AS319" s="5122"/>
      <c r="AT319" s="5122"/>
      <c r="AU319" s="5122"/>
      <c r="AV319" s="5122"/>
      <c r="AW319" s="5122"/>
      <c r="AX319" s="5122"/>
      <c r="AY319" s="5634"/>
      <c r="AZ319" s="5094" t="s">
        <v>1</v>
      </c>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5">
        <v>1</v>
      </c>
      <c r="CL319" s="1"/>
      <c r="CM319" s="1"/>
    </row>
    <row r="320" spans="2:91" s="187" customFormat="1" ht="21" customHeight="1">
      <c r="B320" s="5120"/>
      <c r="C320" s="5121"/>
      <c r="D320" s="5121"/>
      <c r="E320" s="5121"/>
      <c r="F320" s="5121"/>
      <c r="G320" s="5122"/>
      <c r="H320" s="5122"/>
      <c r="I320" s="5122"/>
      <c r="J320" s="5122"/>
      <c r="K320" s="5122"/>
      <c r="L320" s="5122"/>
      <c r="M320" s="5122"/>
      <c r="N320" s="5122"/>
      <c r="O320" s="5122"/>
      <c r="P320" s="5122"/>
      <c r="Q320" s="5634"/>
      <c r="R320" s="5094" t="s">
        <v>1</v>
      </c>
      <c r="S320" s="5120"/>
      <c r="T320" s="5121"/>
      <c r="U320" s="5121"/>
      <c r="V320" s="5121"/>
      <c r="W320" s="5121"/>
      <c r="X320" s="5122"/>
      <c r="Y320" s="5122"/>
      <c r="Z320" s="5122"/>
      <c r="AA320" s="5122"/>
      <c r="AB320" s="5122"/>
      <c r="AC320" s="5122"/>
      <c r="AD320" s="5122"/>
      <c r="AE320" s="5122"/>
      <c r="AF320" s="5122"/>
      <c r="AG320" s="5122"/>
      <c r="AH320" s="5634"/>
      <c r="AI320" s="5094" t="s">
        <v>1</v>
      </c>
      <c r="AJ320" s="5120"/>
      <c r="AK320" s="5121"/>
      <c r="AL320" s="5121"/>
      <c r="AM320" s="5121"/>
      <c r="AN320" s="5121"/>
      <c r="AO320" s="5122"/>
      <c r="AP320" s="5122"/>
      <c r="AQ320" s="5122"/>
      <c r="AR320" s="5122"/>
      <c r="AS320" s="5122"/>
      <c r="AT320" s="5122"/>
      <c r="AU320" s="5122"/>
      <c r="AV320" s="5122"/>
      <c r="AW320" s="5122"/>
      <c r="AX320" s="5122"/>
      <c r="AY320" s="5634"/>
      <c r="AZ320" s="5094" t="s">
        <v>1</v>
      </c>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5">
        <v>1</v>
      </c>
      <c r="CL320" s="1"/>
      <c r="CM320" s="1"/>
    </row>
    <row r="321" spans="2:91" s="187" customFormat="1" ht="21" customHeight="1">
      <c r="B321" s="5120"/>
      <c r="C321" s="5121"/>
      <c r="D321" s="5121"/>
      <c r="E321" s="5121"/>
      <c r="F321" s="5121"/>
      <c r="G321" s="5122"/>
      <c r="H321" s="5122"/>
      <c r="I321" s="5122"/>
      <c r="J321" s="5122"/>
      <c r="K321" s="5122"/>
      <c r="L321" s="5122"/>
      <c r="M321" s="5122"/>
      <c r="N321" s="5122"/>
      <c r="O321" s="5122"/>
      <c r="P321" s="5122"/>
      <c r="Q321" s="5634"/>
      <c r="R321" s="5094" t="s">
        <v>1</v>
      </c>
      <c r="S321" s="5120"/>
      <c r="T321" s="5121"/>
      <c r="U321" s="5121"/>
      <c r="V321" s="5121"/>
      <c r="W321" s="5121"/>
      <c r="X321" s="5122"/>
      <c r="Y321" s="5122"/>
      <c r="Z321" s="5122"/>
      <c r="AA321" s="5122"/>
      <c r="AB321" s="5122"/>
      <c r="AC321" s="5122"/>
      <c r="AD321" s="5122"/>
      <c r="AE321" s="5122"/>
      <c r="AF321" s="5122"/>
      <c r="AG321" s="5122"/>
      <c r="AH321" s="5634"/>
      <c r="AI321" s="5094" t="s">
        <v>1</v>
      </c>
      <c r="AJ321" s="5120"/>
      <c r="AK321" s="5121"/>
      <c r="AL321" s="5121"/>
      <c r="AM321" s="5121"/>
      <c r="AN321" s="5121"/>
      <c r="AO321" s="5122"/>
      <c r="AP321" s="5122"/>
      <c r="AQ321" s="5122"/>
      <c r="AR321" s="5122"/>
      <c r="AS321" s="5122"/>
      <c r="AT321" s="5122"/>
      <c r="AU321" s="5122"/>
      <c r="AV321" s="5122"/>
      <c r="AW321" s="5122"/>
      <c r="AX321" s="5122"/>
      <c r="AY321" s="5634"/>
      <c r="AZ321" s="5094" t="s">
        <v>1</v>
      </c>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5">
        <v>1</v>
      </c>
      <c r="CL321" s="1"/>
      <c r="CM321" s="1"/>
    </row>
    <row r="322" spans="2:91" s="187" customFormat="1" ht="21" customHeight="1">
      <c r="B322" s="5120"/>
      <c r="C322" s="5121"/>
      <c r="D322" s="5121"/>
      <c r="E322" s="5121"/>
      <c r="F322" s="5121"/>
      <c r="G322" s="5122"/>
      <c r="H322" s="5122"/>
      <c r="I322" s="5122"/>
      <c r="J322" s="5122"/>
      <c r="K322" s="5122"/>
      <c r="L322" s="5122"/>
      <c r="M322" s="5122"/>
      <c r="N322" s="5122"/>
      <c r="O322" s="5122"/>
      <c r="P322" s="5122"/>
      <c r="Q322" s="5634"/>
      <c r="R322" s="5094" t="s">
        <v>1</v>
      </c>
      <c r="S322" s="5120"/>
      <c r="T322" s="5121"/>
      <c r="U322" s="5121"/>
      <c r="V322" s="5121"/>
      <c r="W322" s="5121"/>
      <c r="X322" s="5122"/>
      <c r="Y322" s="5122"/>
      <c r="Z322" s="5122"/>
      <c r="AA322" s="5122"/>
      <c r="AB322" s="5122"/>
      <c r="AC322" s="5122"/>
      <c r="AD322" s="5122"/>
      <c r="AE322" s="5122"/>
      <c r="AF322" s="5122"/>
      <c r="AG322" s="5122"/>
      <c r="AH322" s="5634"/>
      <c r="AI322" s="5094" t="s">
        <v>1</v>
      </c>
      <c r="AJ322" s="5120"/>
      <c r="AK322" s="5121"/>
      <c r="AL322" s="5121"/>
      <c r="AM322" s="5121"/>
      <c r="AN322" s="5121"/>
      <c r="AO322" s="5122"/>
      <c r="AP322" s="5122"/>
      <c r="AQ322" s="5122"/>
      <c r="AR322" s="5122"/>
      <c r="AS322" s="5122"/>
      <c r="AT322" s="5122"/>
      <c r="AU322" s="5122"/>
      <c r="AV322" s="5122"/>
      <c r="AW322" s="5122"/>
      <c r="AX322" s="5122"/>
      <c r="AY322" s="5634"/>
      <c r="AZ322" s="5094" t="s">
        <v>1</v>
      </c>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5">
        <v>1</v>
      </c>
      <c r="CL322" s="1"/>
      <c r="CM322" s="1"/>
    </row>
    <row r="323" spans="2:91" s="187" customFormat="1" ht="21" customHeight="1">
      <c r="B323" s="5120"/>
      <c r="C323" s="5121"/>
      <c r="D323" s="5121"/>
      <c r="E323" s="5121"/>
      <c r="F323" s="5121"/>
      <c r="G323" s="5122"/>
      <c r="H323" s="5122"/>
      <c r="I323" s="5122"/>
      <c r="J323" s="5122"/>
      <c r="K323" s="5122"/>
      <c r="L323" s="5122"/>
      <c r="M323" s="5122"/>
      <c r="N323" s="5122"/>
      <c r="O323" s="5122"/>
      <c r="P323" s="5122"/>
      <c r="Q323" s="5634"/>
      <c r="R323" s="5094" t="s">
        <v>1</v>
      </c>
      <c r="S323" s="5120"/>
      <c r="T323" s="5121"/>
      <c r="U323" s="5121"/>
      <c r="V323" s="5121"/>
      <c r="W323" s="5121"/>
      <c r="X323" s="5122"/>
      <c r="Y323" s="5122"/>
      <c r="Z323" s="5122"/>
      <c r="AA323" s="5122"/>
      <c r="AB323" s="5122"/>
      <c r="AC323" s="5122"/>
      <c r="AD323" s="5122"/>
      <c r="AE323" s="5122"/>
      <c r="AF323" s="5122"/>
      <c r="AG323" s="5122"/>
      <c r="AH323" s="5634"/>
      <c r="AI323" s="5094" t="s">
        <v>1</v>
      </c>
      <c r="AJ323" s="5120"/>
      <c r="AK323" s="5121"/>
      <c r="AL323" s="5121"/>
      <c r="AM323" s="5121"/>
      <c r="AN323" s="5121"/>
      <c r="AO323" s="5122"/>
      <c r="AP323" s="5122"/>
      <c r="AQ323" s="5122"/>
      <c r="AR323" s="5122"/>
      <c r="AS323" s="5122"/>
      <c r="AT323" s="5122"/>
      <c r="AU323" s="5122"/>
      <c r="AV323" s="5122"/>
      <c r="AW323" s="5122"/>
      <c r="AX323" s="5122"/>
      <c r="AY323" s="5634"/>
      <c r="AZ323" s="5094" t="s">
        <v>1</v>
      </c>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5">
        <v>1</v>
      </c>
      <c r="CL323" s="1"/>
      <c r="CM323" s="1"/>
    </row>
    <row r="324" spans="2:91" s="187" customFormat="1" ht="21" customHeight="1">
      <c r="B324" s="5120"/>
      <c r="C324" s="5121"/>
      <c r="D324" s="5121"/>
      <c r="E324" s="5121"/>
      <c r="F324" s="5121"/>
      <c r="G324" s="5122"/>
      <c r="H324" s="5122"/>
      <c r="I324" s="5122"/>
      <c r="J324" s="5122"/>
      <c r="K324" s="5122"/>
      <c r="L324" s="5122"/>
      <c r="M324" s="5122"/>
      <c r="N324" s="5122"/>
      <c r="O324" s="5122"/>
      <c r="P324" s="5122"/>
      <c r="Q324" s="5634"/>
      <c r="R324" s="5094" t="s">
        <v>1</v>
      </c>
      <c r="S324" s="5120"/>
      <c r="T324" s="5121"/>
      <c r="U324" s="5121"/>
      <c r="V324" s="5121"/>
      <c r="W324" s="5121"/>
      <c r="X324" s="5122"/>
      <c r="Y324" s="5122"/>
      <c r="Z324" s="5122"/>
      <c r="AA324" s="5122"/>
      <c r="AB324" s="5122"/>
      <c r="AC324" s="5122"/>
      <c r="AD324" s="5122"/>
      <c r="AE324" s="5122"/>
      <c r="AF324" s="5122"/>
      <c r="AG324" s="5122"/>
      <c r="AH324" s="5634"/>
      <c r="AI324" s="5094" t="s">
        <v>1</v>
      </c>
      <c r="AJ324" s="5120"/>
      <c r="AK324" s="5121"/>
      <c r="AL324" s="5121"/>
      <c r="AM324" s="5121"/>
      <c r="AN324" s="5121"/>
      <c r="AO324" s="5122"/>
      <c r="AP324" s="5122"/>
      <c r="AQ324" s="5122"/>
      <c r="AR324" s="5122"/>
      <c r="AS324" s="5122"/>
      <c r="AT324" s="5122"/>
      <c r="AU324" s="5122"/>
      <c r="AV324" s="5122"/>
      <c r="AW324" s="5122"/>
      <c r="AX324" s="5122"/>
      <c r="AY324" s="5634"/>
      <c r="AZ324" s="5094" t="s">
        <v>1</v>
      </c>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5">
        <v>1</v>
      </c>
      <c r="CL324" s="1"/>
      <c r="CM324" s="1"/>
    </row>
    <row r="325" spans="2:91" s="187" customFormat="1" ht="21" customHeight="1">
      <c r="B325" s="5120"/>
      <c r="C325" s="5121"/>
      <c r="D325" s="5121"/>
      <c r="E325" s="5121"/>
      <c r="F325" s="5121"/>
      <c r="G325" s="5122"/>
      <c r="H325" s="5122"/>
      <c r="I325" s="5122"/>
      <c r="J325" s="5122"/>
      <c r="K325" s="5122"/>
      <c r="L325" s="5122"/>
      <c r="M325" s="5122"/>
      <c r="N325" s="5122"/>
      <c r="O325" s="5122"/>
      <c r="P325" s="5122"/>
      <c r="Q325" s="5634"/>
      <c r="R325" s="5094" t="s">
        <v>1</v>
      </c>
      <c r="S325" s="5120"/>
      <c r="T325" s="5121"/>
      <c r="U325" s="5121"/>
      <c r="V325" s="5121"/>
      <c r="W325" s="5121"/>
      <c r="X325" s="5122"/>
      <c r="Y325" s="5122"/>
      <c r="Z325" s="5122"/>
      <c r="AA325" s="5122"/>
      <c r="AB325" s="5122"/>
      <c r="AC325" s="5122"/>
      <c r="AD325" s="5122"/>
      <c r="AE325" s="5122"/>
      <c r="AF325" s="5122"/>
      <c r="AG325" s="5122"/>
      <c r="AH325" s="5634"/>
      <c r="AI325" s="5094" t="s">
        <v>1</v>
      </c>
      <c r="AJ325" s="5120"/>
      <c r="AK325" s="5121"/>
      <c r="AL325" s="5121"/>
      <c r="AM325" s="5121"/>
      <c r="AN325" s="5121"/>
      <c r="AO325" s="5122"/>
      <c r="AP325" s="5122"/>
      <c r="AQ325" s="5122"/>
      <c r="AR325" s="5122"/>
      <c r="AS325" s="5122"/>
      <c r="AT325" s="5122"/>
      <c r="AU325" s="5122"/>
      <c r="AV325" s="5122"/>
      <c r="AW325" s="5122"/>
      <c r="AX325" s="5122"/>
      <c r="AY325" s="5634"/>
      <c r="AZ325" s="5094" t="s">
        <v>1</v>
      </c>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5">
        <v>1</v>
      </c>
      <c r="CL325" s="1"/>
      <c r="CM325" s="1"/>
    </row>
    <row r="326" spans="2:91" s="187" customFormat="1" ht="21" customHeight="1">
      <c r="B326" s="5120"/>
      <c r="C326" s="5121"/>
      <c r="D326" s="5121"/>
      <c r="E326" s="5121"/>
      <c r="F326" s="5121"/>
      <c r="G326" s="5122"/>
      <c r="H326" s="5122"/>
      <c r="I326" s="5122"/>
      <c r="J326" s="5122"/>
      <c r="K326" s="5122"/>
      <c r="L326" s="5122"/>
      <c r="M326" s="5122"/>
      <c r="N326" s="5122"/>
      <c r="O326" s="5122"/>
      <c r="P326" s="5122"/>
      <c r="Q326" s="5634"/>
      <c r="R326" s="5094" t="s">
        <v>1</v>
      </c>
      <c r="S326" s="5120"/>
      <c r="T326" s="5121"/>
      <c r="U326" s="5121"/>
      <c r="V326" s="5121"/>
      <c r="W326" s="5121"/>
      <c r="X326" s="5122"/>
      <c r="Y326" s="5122"/>
      <c r="Z326" s="5122"/>
      <c r="AA326" s="5122"/>
      <c r="AB326" s="5122"/>
      <c r="AC326" s="5122"/>
      <c r="AD326" s="5122"/>
      <c r="AE326" s="5122"/>
      <c r="AF326" s="5122"/>
      <c r="AG326" s="5122"/>
      <c r="AH326" s="5634"/>
      <c r="AI326" s="5094" t="s">
        <v>1</v>
      </c>
      <c r="AJ326" s="5120"/>
      <c r="AK326" s="5121"/>
      <c r="AL326" s="5121"/>
      <c r="AM326" s="5121"/>
      <c r="AN326" s="5121"/>
      <c r="AO326" s="5122"/>
      <c r="AP326" s="5122"/>
      <c r="AQ326" s="5122"/>
      <c r="AR326" s="5122"/>
      <c r="AS326" s="5122"/>
      <c r="AT326" s="5122"/>
      <c r="AU326" s="5122"/>
      <c r="AV326" s="5122"/>
      <c r="AW326" s="5122"/>
      <c r="AX326" s="5122"/>
      <c r="AY326" s="5634"/>
      <c r="AZ326" s="5094" t="s">
        <v>1</v>
      </c>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5">
        <v>1</v>
      </c>
      <c r="CL326" s="1"/>
      <c r="CM326" s="1"/>
    </row>
    <row r="327" spans="2:91" s="187" customFormat="1" ht="21" customHeight="1">
      <c r="B327" s="5120"/>
      <c r="C327" s="5121"/>
      <c r="D327" s="5121"/>
      <c r="E327" s="5121"/>
      <c r="F327" s="5121"/>
      <c r="G327" s="5122"/>
      <c r="H327" s="5122"/>
      <c r="I327" s="5122"/>
      <c r="J327" s="5122"/>
      <c r="K327" s="5122"/>
      <c r="L327" s="5122"/>
      <c r="M327" s="5122"/>
      <c r="N327" s="5122"/>
      <c r="O327" s="5122"/>
      <c r="P327" s="5122"/>
      <c r="Q327" s="5634"/>
      <c r="R327" s="5094" t="s">
        <v>1</v>
      </c>
      <c r="S327" s="5120"/>
      <c r="T327" s="5121"/>
      <c r="U327" s="5121"/>
      <c r="V327" s="5121"/>
      <c r="W327" s="5121"/>
      <c r="X327" s="5122"/>
      <c r="Y327" s="5122"/>
      <c r="Z327" s="5122"/>
      <c r="AA327" s="5122"/>
      <c r="AB327" s="5122"/>
      <c r="AC327" s="5122"/>
      <c r="AD327" s="5122"/>
      <c r="AE327" s="5122"/>
      <c r="AF327" s="5122"/>
      <c r="AG327" s="5122"/>
      <c r="AH327" s="5634"/>
      <c r="AI327" s="5094" t="s">
        <v>1</v>
      </c>
      <c r="AJ327" s="5120"/>
      <c r="AK327" s="5121"/>
      <c r="AL327" s="5121"/>
      <c r="AM327" s="5121"/>
      <c r="AN327" s="5121"/>
      <c r="AO327" s="5122"/>
      <c r="AP327" s="5122"/>
      <c r="AQ327" s="5122"/>
      <c r="AR327" s="5122"/>
      <c r="AS327" s="5122"/>
      <c r="AT327" s="5122"/>
      <c r="AU327" s="5122"/>
      <c r="AV327" s="5122"/>
      <c r="AW327" s="5122"/>
      <c r="AX327" s="5122"/>
      <c r="AY327" s="5634"/>
      <c r="AZ327" s="5094" t="s">
        <v>1</v>
      </c>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5">
        <v>1</v>
      </c>
      <c r="CL327" s="1"/>
      <c r="CM327" s="1"/>
    </row>
    <row r="328" spans="2:91" s="187" customFormat="1" ht="21" customHeight="1">
      <c r="B328" s="5120"/>
      <c r="C328" s="5121"/>
      <c r="D328" s="5121"/>
      <c r="E328" s="5121"/>
      <c r="F328" s="5121"/>
      <c r="G328" s="5122"/>
      <c r="H328" s="5122"/>
      <c r="I328" s="5122"/>
      <c r="J328" s="5122"/>
      <c r="K328" s="5122"/>
      <c r="L328" s="5122"/>
      <c r="M328" s="5122"/>
      <c r="N328" s="5122"/>
      <c r="O328" s="5122"/>
      <c r="P328" s="5122"/>
      <c r="Q328" s="5634"/>
      <c r="R328" s="5094" t="s">
        <v>1</v>
      </c>
      <c r="S328" s="5120"/>
      <c r="T328" s="5121"/>
      <c r="U328" s="5121"/>
      <c r="V328" s="5121"/>
      <c r="W328" s="5121"/>
      <c r="X328" s="5122"/>
      <c r="Y328" s="5122"/>
      <c r="Z328" s="5122"/>
      <c r="AA328" s="5122"/>
      <c r="AB328" s="5122"/>
      <c r="AC328" s="5122"/>
      <c r="AD328" s="5122"/>
      <c r="AE328" s="5122"/>
      <c r="AF328" s="5122"/>
      <c r="AG328" s="5122"/>
      <c r="AH328" s="5634"/>
      <c r="AI328" s="5094" t="s">
        <v>1</v>
      </c>
      <c r="AJ328" s="5120"/>
      <c r="AK328" s="5121"/>
      <c r="AL328" s="5121"/>
      <c r="AM328" s="5121"/>
      <c r="AN328" s="5121"/>
      <c r="AO328" s="5122"/>
      <c r="AP328" s="5122"/>
      <c r="AQ328" s="5122"/>
      <c r="AR328" s="5122"/>
      <c r="AS328" s="5122"/>
      <c r="AT328" s="5122"/>
      <c r="AU328" s="5122"/>
      <c r="AV328" s="5122"/>
      <c r="AW328" s="5122"/>
      <c r="AX328" s="5122"/>
      <c r="AY328" s="5634"/>
      <c r="AZ328" s="5094" t="s">
        <v>1</v>
      </c>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5">
        <v>1</v>
      </c>
      <c r="CL328" s="1"/>
      <c r="CM328" s="1"/>
    </row>
    <row r="329" spans="2:91" s="187" customFormat="1" ht="21" customHeight="1">
      <c r="B329" s="5120"/>
      <c r="C329" s="5121"/>
      <c r="D329" s="5121"/>
      <c r="E329" s="5121"/>
      <c r="F329" s="5121"/>
      <c r="G329" s="5122"/>
      <c r="H329" s="5122"/>
      <c r="I329" s="5122"/>
      <c r="J329" s="5122"/>
      <c r="K329" s="5122"/>
      <c r="L329" s="5122"/>
      <c r="M329" s="5122"/>
      <c r="N329" s="5122"/>
      <c r="O329" s="5122"/>
      <c r="P329" s="5122"/>
      <c r="Q329" s="5634"/>
      <c r="R329" s="5094" t="s">
        <v>1</v>
      </c>
      <c r="S329" s="5120"/>
      <c r="T329" s="5121"/>
      <c r="U329" s="5121"/>
      <c r="V329" s="5121"/>
      <c r="W329" s="5121"/>
      <c r="X329" s="5122"/>
      <c r="Y329" s="5122"/>
      <c r="Z329" s="5122"/>
      <c r="AA329" s="5122"/>
      <c r="AB329" s="5122"/>
      <c r="AC329" s="5122"/>
      <c r="AD329" s="5122"/>
      <c r="AE329" s="5122"/>
      <c r="AF329" s="5122"/>
      <c r="AG329" s="5122"/>
      <c r="AH329" s="5634"/>
      <c r="AI329" s="5094" t="s">
        <v>1</v>
      </c>
      <c r="AJ329" s="5120"/>
      <c r="AK329" s="5121"/>
      <c r="AL329" s="5121"/>
      <c r="AM329" s="5121"/>
      <c r="AN329" s="5121"/>
      <c r="AO329" s="5122"/>
      <c r="AP329" s="5122"/>
      <c r="AQ329" s="5122"/>
      <c r="AR329" s="5122"/>
      <c r="AS329" s="5122"/>
      <c r="AT329" s="5122"/>
      <c r="AU329" s="5122"/>
      <c r="AV329" s="5122"/>
      <c r="AW329" s="5122"/>
      <c r="AX329" s="5122"/>
      <c r="AY329" s="5634"/>
      <c r="AZ329" s="5094" t="s">
        <v>1</v>
      </c>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5">
        <v>1</v>
      </c>
      <c r="CL329" s="1"/>
      <c r="CM329" s="1"/>
    </row>
    <row r="330" spans="2:91" s="187" customFormat="1" ht="21" customHeight="1">
      <c r="B330" s="5120"/>
      <c r="C330" s="5121"/>
      <c r="D330" s="5121"/>
      <c r="E330" s="5121"/>
      <c r="F330" s="5121"/>
      <c r="G330" s="5122"/>
      <c r="H330" s="5122"/>
      <c r="I330" s="5122"/>
      <c r="J330" s="5122"/>
      <c r="K330" s="5122"/>
      <c r="L330" s="5122"/>
      <c r="M330" s="5122"/>
      <c r="N330" s="5122"/>
      <c r="O330" s="5122"/>
      <c r="P330" s="5122"/>
      <c r="Q330" s="5634"/>
      <c r="R330" s="5094" t="s">
        <v>1</v>
      </c>
      <c r="S330" s="5120"/>
      <c r="T330" s="5121"/>
      <c r="U330" s="5121"/>
      <c r="V330" s="5121"/>
      <c r="W330" s="5121"/>
      <c r="X330" s="5122"/>
      <c r="Y330" s="5122"/>
      <c r="Z330" s="5122"/>
      <c r="AA330" s="5122"/>
      <c r="AB330" s="5122"/>
      <c r="AC330" s="5122"/>
      <c r="AD330" s="5122"/>
      <c r="AE330" s="5122"/>
      <c r="AF330" s="5122"/>
      <c r="AG330" s="5122"/>
      <c r="AH330" s="5634"/>
      <c r="AI330" s="5094" t="s">
        <v>1</v>
      </c>
      <c r="AJ330" s="5120"/>
      <c r="AK330" s="5121"/>
      <c r="AL330" s="5121"/>
      <c r="AM330" s="5121"/>
      <c r="AN330" s="5121"/>
      <c r="AO330" s="5122"/>
      <c r="AP330" s="5122"/>
      <c r="AQ330" s="5122"/>
      <c r="AR330" s="5122"/>
      <c r="AS330" s="5122"/>
      <c r="AT330" s="5122"/>
      <c r="AU330" s="5122"/>
      <c r="AV330" s="5122"/>
      <c r="AW330" s="5122"/>
      <c r="AX330" s="5122"/>
      <c r="AY330" s="5634"/>
      <c r="AZ330" s="5094" t="s">
        <v>1</v>
      </c>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5">
        <v>1</v>
      </c>
      <c r="CL330" s="1"/>
      <c r="CM330" s="1"/>
    </row>
    <row r="331" spans="2:91" s="187" customFormat="1" ht="21" customHeight="1">
      <c r="B331" s="5120"/>
      <c r="C331" s="5121"/>
      <c r="D331" s="5121"/>
      <c r="E331" s="5121"/>
      <c r="F331" s="5121"/>
      <c r="G331" s="5122"/>
      <c r="H331" s="5122"/>
      <c r="I331" s="5122"/>
      <c r="J331" s="5122"/>
      <c r="K331" s="5122"/>
      <c r="L331" s="5122"/>
      <c r="M331" s="5122"/>
      <c r="N331" s="5122"/>
      <c r="O331" s="5122"/>
      <c r="P331" s="5122"/>
      <c r="Q331" s="5634"/>
      <c r="R331" s="5094" t="s">
        <v>1</v>
      </c>
      <c r="S331" s="5120"/>
      <c r="T331" s="5121"/>
      <c r="U331" s="5121"/>
      <c r="V331" s="5121"/>
      <c r="W331" s="5121"/>
      <c r="X331" s="5122"/>
      <c r="Y331" s="5122"/>
      <c r="Z331" s="5122"/>
      <c r="AA331" s="5122"/>
      <c r="AB331" s="5122"/>
      <c r="AC331" s="5122"/>
      <c r="AD331" s="5122"/>
      <c r="AE331" s="5122"/>
      <c r="AF331" s="5122"/>
      <c r="AG331" s="5122"/>
      <c r="AH331" s="5634"/>
      <c r="AI331" s="5094" t="s">
        <v>1</v>
      </c>
      <c r="AJ331" s="5120"/>
      <c r="AK331" s="5121"/>
      <c r="AL331" s="5121"/>
      <c r="AM331" s="5121"/>
      <c r="AN331" s="5121"/>
      <c r="AO331" s="5122"/>
      <c r="AP331" s="5122"/>
      <c r="AQ331" s="5122"/>
      <c r="AR331" s="5122"/>
      <c r="AS331" s="5122"/>
      <c r="AT331" s="5122"/>
      <c r="AU331" s="5122"/>
      <c r="AV331" s="5122"/>
      <c r="AW331" s="5122"/>
      <c r="AX331" s="5122"/>
      <c r="AY331" s="5634"/>
      <c r="AZ331" s="5094" t="s">
        <v>1</v>
      </c>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5">
        <v>1</v>
      </c>
      <c r="CL331" s="1"/>
      <c r="CM331" s="1"/>
    </row>
    <row r="332" spans="2:91" s="187" customFormat="1" ht="21" customHeight="1">
      <c r="B332" s="5120"/>
      <c r="C332" s="5121"/>
      <c r="D332" s="5121"/>
      <c r="E332" s="5121"/>
      <c r="F332" s="5121"/>
      <c r="G332" s="5122"/>
      <c r="H332" s="5122"/>
      <c r="I332" s="5122"/>
      <c r="J332" s="5122"/>
      <c r="K332" s="5122"/>
      <c r="L332" s="5122"/>
      <c r="M332" s="5122"/>
      <c r="N332" s="5122"/>
      <c r="O332" s="5122"/>
      <c r="P332" s="5122"/>
      <c r="Q332" s="5634"/>
      <c r="R332" s="5094" t="s">
        <v>1</v>
      </c>
      <c r="S332" s="5120"/>
      <c r="T332" s="5121"/>
      <c r="U332" s="5121"/>
      <c r="V332" s="5121"/>
      <c r="W332" s="5121"/>
      <c r="X332" s="5122"/>
      <c r="Y332" s="5122"/>
      <c r="Z332" s="5122"/>
      <c r="AA332" s="5122"/>
      <c r="AB332" s="5122"/>
      <c r="AC332" s="5122"/>
      <c r="AD332" s="5122"/>
      <c r="AE332" s="5122"/>
      <c r="AF332" s="5122"/>
      <c r="AG332" s="5122"/>
      <c r="AH332" s="5634"/>
      <c r="AI332" s="5094" t="s">
        <v>1</v>
      </c>
      <c r="AJ332" s="5120"/>
      <c r="AK332" s="5121"/>
      <c r="AL332" s="5121"/>
      <c r="AM332" s="5121"/>
      <c r="AN332" s="5121"/>
      <c r="AO332" s="5122"/>
      <c r="AP332" s="5122"/>
      <c r="AQ332" s="5122"/>
      <c r="AR332" s="5122"/>
      <c r="AS332" s="5122"/>
      <c r="AT332" s="5122"/>
      <c r="AU332" s="5122"/>
      <c r="AV332" s="5122"/>
      <c r="AW332" s="5122"/>
      <c r="AX332" s="5122"/>
      <c r="AY332" s="5634"/>
      <c r="AZ332" s="5094" t="s">
        <v>1</v>
      </c>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5">
        <v>1</v>
      </c>
      <c r="CL332" s="1"/>
      <c r="CM332" s="1"/>
    </row>
    <row r="333" spans="2:91" s="187" customFormat="1" ht="21" customHeight="1">
      <c r="B333" s="5120"/>
      <c r="C333" s="5121"/>
      <c r="D333" s="5121"/>
      <c r="E333" s="5121"/>
      <c r="F333" s="5121"/>
      <c r="G333" s="5122"/>
      <c r="H333" s="5122"/>
      <c r="I333" s="5122"/>
      <c r="J333" s="5122"/>
      <c r="K333" s="5122"/>
      <c r="L333" s="5122"/>
      <c r="M333" s="5122"/>
      <c r="N333" s="5122"/>
      <c r="O333" s="5122"/>
      <c r="P333" s="5122"/>
      <c r="Q333" s="5634"/>
      <c r="R333" s="5094" t="s">
        <v>1</v>
      </c>
      <c r="S333" s="5120"/>
      <c r="T333" s="5121"/>
      <c r="U333" s="5121"/>
      <c r="V333" s="5121"/>
      <c r="W333" s="5121"/>
      <c r="X333" s="5122"/>
      <c r="Y333" s="5122"/>
      <c r="Z333" s="5122"/>
      <c r="AA333" s="5122"/>
      <c r="AB333" s="5122"/>
      <c r="AC333" s="5122"/>
      <c r="AD333" s="5122"/>
      <c r="AE333" s="5122"/>
      <c r="AF333" s="5122"/>
      <c r="AG333" s="5122"/>
      <c r="AH333" s="5634"/>
      <c r="AI333" s="5094" t="s">
        <v>1</v>
      </c>
      <c r="AJ333" s="5120"/>
      <c r="AK333" s="5121"/>
      <c r="AL333" s="5121"/>
      <c r="AM333" s="5121"/>
      <c r="AN333" s="5121"/>
      <c r="AO333" s="5122"/>
      <c r="AP333" s="5122"/>
      <c r="AQ333" s="5122"/>
      <c r="AR333" s="5122"/>
      <c r="AS333" s="5122"/>
      <c r="AT333" s="5122"/>
      <c r="AU333" s="5122"/>
      <c r="AV333" s="5122"/>
      <c r="AW333" s="5122"/>
      <c r="AX333" s="5122"/>
      <c r="AY333" s="5634"/>
      <c r="AZ333" s="5094" t="s">
        <v>1</v>
      </c>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5">
        <v>1</v>
      </c>
      <c r="CL333" s="1"/>
      <c r="CM333" s="1"/>
    </row>
    <row r="334" spans="2:91" s="187" customFormat="1" ht="21" customHeight="1">
      <c r="B334" s="5120"/>
      <c r="C334" s="5121"/>
      <c r="D334" s="5121"/>
      <c r="E334" s="5121"/>
      <c r="F334" s="5121"/>
      <c r="G334" s="5122"/>
      <c r="H334" s="5122"/>
      <c r="I334" s="5122"/>
      <c r="J334" s="5122"/>
      <c r="K334" s="5122"/>
      <c r="L334" s="5122"/>
      <c r="M334" s="5122"/>
      <c r="N334" s="5122"/>
      <c r="O334" s="5122"/>
      <c r="P334" s="5122"/>
      <c r="Q334" s="5634"/>
      <c r="R334" s="5094" t="s">
        <v>1</v>
      </c>
      <c r="S334" s="5120"/>
      <c r="T334" s="5121"/>
      <c r="U334" s="5121"/>
      <c r="V334" s="5121"/>
      <c r="W334" s="5121"/>
      <c r="X334" s="5122"/>
      <c r="Y334" s="5122"/>
      <c r="Z334" s="5122"/>
      <c r="AA334" s="5122"/>
      <c r="AB334" s="5122"/>
      <c r="AC334" s="5122"/>
      <c r="AD334" s="5122"/>
      <c r="AE334" s="5122"/>
      <c r="AF334" s="5122"/>
      <c r="AG334" s="5122"/>
      <c r="AH334" s="5634"/>
      <c r="AI334" s="5094" t="s">
        <v>1</v>
      </c>
      <c r="AJ334" s="5120"/>
      <c r="AK334" s="5121"/>
      <c r="AL334" s="5121"/>
      <c r="AM334" s="5121"/>
      <c r="AN334" s="5121"/>
      <c r="AO334" s="5122"/>
      <c r="AP334" s="5122"/>
      <c r="AQ334" s="5122"/>
      <c r="AR334" s="5122"/>
      <c r="AS334" s="5122"/>
      <c r="AT334" s="5122"/>
      <c r="AU334" s="5122"/>
      <c r="AV334" s="5122"/>
      <c r="AW334" s="5122"/>
      <c r="AX334" s="5122"/>
      <c r="AY334" s="5634"/>
      <c r="AZ334" s="5094" t="s">
        <v>1</v>
      </c>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5">
        <v>1</v>
      </c>
      <c r="CL334" s="1"/>
      <c r="CM334" s="1"/>
    </row>
    <row r="335" spans="2:91" s="187" customFormat="1" ht="21" customHeight="1">
      <c r="B335" s="5120"/>
      <c r="C335" s="5121"/>
      <c r="D335" s="5121"/>
      <c r="E335" s="5121"/>
      <c r="F335" s="5121"/>
      <c r="G335" s="5122"/>
      <c r="H335" s="5122"/>
      <c r="I335" s="5122"/>
      <c r="J335" s="5122"/>
      <c r="K335" s="5122"/>
      <c r="L335" s="5122"/>
      <c r="M335" s="5122"/>
      <c r="N335" s="5122"/>
      <c r="O335" s="5122"/>
      <c r="P335" s="5122"/>
      <c r="Q335" s="5634"/>
      <c r="R335" s="5094" t="s">
        <v>1</v>
      </c>
      <c r="S335" s="5120"/>
      <c r="T335" s="5121"/>
      <c r="U335" s="5121"/>
      <c r="V335" s="5121"/>
      <c r="W335" s="5121"/>
      <c r="X335" s="5122"/>
      <c r="Y335" s="5122"/>
      <c r="Z335" s="5122"/>
      <c r="AA335" s="5122"/>
      <c r="AB335" s="5122"/>
      <c r="AC335" s="5122"/>
      <c r="AD335" s="5122"/>
      <c r="AE335" s="5122"/>
      <c r="AF335" s="5122"/>
      <c r="AG335" s="5122"/>
      <c r="AH335" s="5634"/>
      <c r="AI335" s="5094" t="s">
        <v>1</v>
      </c>
      <c r="AJ335" s="5120"/>
      <c r="AK335" s="5121"/>
      <c r="AL335" s="5121"/>
      <c r="AM335" s="5121"/>
      <c r="AN335" s="5121"/>
      <c r="AO335" s="5122"/>
      <c r="AP335" s="5122"/>
      <c r="AQ335" s="5122"/>
      <c r="AR335" s="5122"/>
      <c r="AS335" s="5122"/>
      <c r="AT335" s="5122"/>
      <c r="AU335" s="5122"/>
      <c r="AV335" s="5122"/>
      <c r="AW335" s="5122"/>
      <c r="AX335" s="5122"/>
      <c r="AY335" s="5634"/>
      <c r="AZ335" s="5094" t="s">
        <v>1</v>
      </c>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5">
        <v>1</v>
      </c>
      <c r="CL335" s="1"/>
      <c r="CM335" s="1"/>
    </row>
    <row r="336" spans="2:91" s="187" customFormat="1" ht="21" customHeight="1">
      <c r="B336" s="5120"/>
      <c r="C336" s="5121"/>
      <c r="D336" s="5121"/>
      <c r="E336" s="5121"/>
      <c r="F336" s="5121"/>
      <c r="G336" s="5122"/>
      <c r="H336" s="5122"/>
      <c r="I336" s="5122"/>
      <c r="J336" s="5122"/>
      <c r="K336" s="5122"/>
      <c r="L336" s="5122"/>
      <c r="M336" s="5122"/>
      <c r="N336" s="5122"/>
      <c r="O336" s="5122"/>
      <c r="P336" s="5122"/>
      <c r="Q336" s="5634"/>
      <c r="R336" s="5094" t="s">
        <v>1</v>
      </c>
      <c r="S336" s="5120"/>
      <c r="T336" s="5121"/>
      <c r="U336" s="5121"/>
      <c r="V336" s="5121"/>
      <c r="W336" s="5121"/>
      <c r="X336" s="5122"/>
      <c r="Y336" s="5122"/>
      <c r="Z336" s="5122"/>
      <c r="AA336" s="5122"/>
      <c r="AB336" s="5122"/>
      <c r="AC336" s="5122"/>
      <c r="AD336" s="5122"/>
      <c r="AE336" s="5122"/>
      <c r="AF336" s="5122"/>
      <c r="AG336" s="5122"/>
      <c r="AH336" s="5634"/>
      <c r="AI336" s="5094" t="s">
        <v>1</v>
      </c>
      <c r="AJ336" s="5120"/>
      <c r="AK336" s="5121"/>
      <c r="AL336" s="5121"/>
      <c r="AM336" s="5121"/>
      <c r="AN336" s="5121"/>
      <c r="AO336" s="5122"/>
      <c r="AP336" s="5122"/>
      <c r="AQ336" s="5122"/>
      <c r="AR336" s="5122"/>
      <c r="AS336" s="5122"/>
      <c r="AT336" s="5122"/>
      <c r="AU336" s="5122"/>
      <c r="AV336" s="5122"/>
      <c r="AW336" s="5122"/>
      <c r="AX336" s="5122"/>
      <c r="AY336" s="5634"/>
      <c r="AZ336" s="5094" t="s">
        <v>1</v>
      </c>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5">
        <v>1</v>
      </c>
      <c r="CL336" s="1"/>
      <c r="CM336" s="1"/>
    </row>
    <row r="337" spans="2:91" s="187" customFormat="1" ht="21" customHeight="1">
      <c r="B337" s="5120"/>
      <c r="C337" s="5121"/>
      <c r="D337" s="5121"/>
      <c r="E337" s="5121"/>
      <c r="F337" s="5121"/>
      <c r="G337" s="5122"/>
      <c r="H337" s="5122"/>
      <c r="I337" s="5122"/>
      <c r="J337" s="5122"/>
      <c r="K337" s="5122"/>
      <c r="L337" s="5122"/>
      <c r="M337" s="5122"/>
      <c r="N337" s="5122"/>
      <c r="O337" s="5122"/>
      <c r="P337" s="5122"/>
      <c r="Q337" s="5634"/>
      <c r="R337" s="5094" t="s">
        <v>1</v>
      </c>
      <c r="S337" s="5120"/>
      <c r="T337" s="5121"/>
      <c r="U337" s="5121"/>
      <c r="V337" s="5121"/>
      <c r="W337" s="5121"/>
      <c r="X337" s="5122"/>
      <c r="Y337" s="5122"/>
      <c r="Z337" s="5122"/>
      <c r="AA337" s="5122"/>
      <c r="AB337" s="5122"/>
      <c r="AC337" s="5122"/>
      <c r="AD337" s="5122"/>
      <c r="AE337" s="5122"/>
      <c r="AF337" s="5122"/>
      <c r="AG337" s="5122"/>
      <c r="AH337" s="5634"/>
      <c r="AI337" s="5094" t="s">
        <v>1</v>
      </c>
      <c r="AJ337" s="5120"/>
      <c r="AK337" s="5121"/>
      <c r="AL337" s="5121"/>
      <c r="AM337" s="5121"/>
      <c r="AN337" s="5121"/>
      <c r="AO337" s="5122"/>
      <c r="AP337" s="5122"/>
      <c r="AQ337" s="5122"/>
      <c r="AR337" s="5122"/>
      <c r="AS337" s="5122"/>
      <c r="AT337" s="5122"/>
      <c r="AU337" s="5122"/>
      <c r="AV337" s="5122"/>
      <c r="AW337" s="5122"/>
      <c r="AX337" s="5122"/>
      <c r="AY337" s="5634"/>
      <c r="AZ337" s="5094" t="s">
        <v>1</v>
      </c>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5">
        <v>1</v>
      </c>
      <c r="CL337" s="1"/>
      <c r="CM337" s="1"/>
    </row>
    <row r="338" spans="2:91" s="187" customFormat="1" ht="21" customHeight="1">
      <c r="B338" s="5120"/>
      <c r="C338" s="5121"/>
      <c r="D338" s="5121"/>
      <c r="E338" s="5121"/>
      <c r="F338" s="5121"/>
      <c r="G338" s="5122"/>
      <c r="H338" s="5122"/>
      <c r="I338" s="5122"/>
      <c r="J338" s="5122"/>
      <c r="K338" s="5122"/>
      <c r="L338" s="5122"/>
      <c r="M338" s="5122"/>
      <c r="N338" s="5122"/>
      <c r="O338" s="5122"/>
      <c r="P338" s="5122"/>
      <c r="Q338" s="5634"/>
      <c r="R338" s="5094" t="s">
        <v>1</v>
      </c>
      <c r="S338" s="5120"/>
      <c r="T338" s="5121"/>
      <c r="U338" s="5121"/>
      <c r="V338" s="5121"/>
      <c r="W338" s="5121"/>
      <c r="X338" s="5122"/>
      <c r="Y338" s="5122"/>
      <c r="Z338" s="5122"/>
      <c r="AA338" s="5122"/>
      <c r="AB338" s="5122"/>
      <c r="AC338" s="5122"/>
      <c r="AD338" s="5122"/>
      <c r="AE338" s="5122"/>
      <c r="AF338" s="5122"/>
      <c r="AG338" s="5122"/>
      <c r="AH338" s="5634"/>
      <c r="AI338" s="5094" t="s">
        <v>1</v>
      </c>
      <c r="AJ338" s="5120"/>
      <c r="AK338" s="5121"/>
      <c r="AL338" s="5121"/>
      <c r="AM338" s="5121"/>
      <c r="AN338" s="5121"/>
      <c r="AO338" s="5122"/>
      <c r="AP338" s="5122"/>
      <c r="AQ338" s="5122"/>
      <c r="AR338" s="5122"/>
      <c r="AS338" s="5122"/>
      <c r="AT338" s="5122"/>
      <c r="AU338" s="5122"/>
      <c r="AV338" s="5122"/>
      <c r="AW338" s="5122"/>
      <c r="AX338" s="5122"/>
      <c r="AY338" s="5634"/>
      <c r="AZ338" s="5094" t="s">
        <v>1</v>
      </c>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5">
        <v>1</v>
      </c>
      <c r="CL338" s="1"/>
      <c r="CM338" s="1"/>
    </row>
    <row r="339" spans="2:91" s="187" customFormat="1" ht="21" customHeight="1">
      <c r="B339" s="5120"/>
      <c r="C339" s="5121"/>
      <c r="D339" s="5121"/>
      <c r="E339" s="5121"/>
      <c r="F339" s="5121"/>
      <c r="G339" s="5122"/>
      <c r="H339" s="5122"/>
      <c r="I339" s="5122"/>
      <c r="J339" s="5122"/>
      <c r="K339" s="5122"/>
      <c r="L339" s="5122"/>
      <c r="M339" s="5122"/>
      <c r="N339" s="5122"/>
      <c r="O339" s="5122"/>
      <c r="P339" s="5122"/>
      <c r="Q339" s="5634"/>
      <c r="R339" s="5094" t="s">
        <v>1</v>
      </c>
      <c r="S339" s="5120"/>
      <c r="T339" s="5121"/>
      <c r="U339" s="5121"/>
      <c r="V339" s="5121"/>
      <c r="W339" s="5121"/>
      <c r="X339" s="5122"/>
      <c r="Y339" s="5122"/>
      <c r="Z339" s="5122"/>
      <c r="AA339" s="5122"/>
      <c r="AB339" s="5122"/>
      <c r="AC339" s="5122"/>
      <c r="AD339" s="5122"/>
      <c r="AE339" s="5122"/>
      <c r="AF339" s="5122"/>
      <c r="AG339" s="5122"/>
      <c r="AH339" s="5634"/>
      <c r="AI339" s="5094" t="s">
        <v>1</v>
      </c>
      <c r="AJ339" s="5120"/>
      <c r="AK339" s="5121"/>
      <c r="AL339" s="5121"/>
      <c r="AM339" s="5121"/>
      <c r="AN339" s="5121"/>
      <c r="AO339" s="5122"/>
      <c r="AP339" s="5122"/>
      <c r="AQ339" s="5122"/>
      <c r="AR339" s="5122"/>
      <c r="AS339" s="5122"/>
      <c r="AT339" s="5122"/>
      <c r="AU339" s="5122"/>
      <c r="AV339" s="5122"/>
      <c r="AW339" s="5122"/>
      <c r="AX339" s="5122"/>
      <c r="AY339" s="5634"/>
      <c r="AZ339" s="5094" t="s">
        <v>1</v>
      </c>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5">
        <v>1</v>
      </c>
      <c r="CL339" s="1"/>
      <c r="CM339" s="1"/>
    </row>
    <row r="340" spans="2:91" s="187" customFormat="1" ht="21" customHeight="1">
      <c r="B340" s="5120"/>
      <c r="C340" s="5121"/>
      <c r="D340" s="5121"/>
      <c r="E340" s="5121"/>
      <c r="F340" s="5121"/>
      <c r="G340" s="5122"/>
      <c r="H340" s="5122"/>
      <c r="I340" s="5122"/>
      <c r="J340" s="5122"/>
      <c r="K340" s="5122"/>
      <c r="L340" s="5122"/>
      <c r="M340" s="5122"/>
      <c r="N340" s="5122"/>
      <c r="O340" s="5122"/>
      <c r="P340" s="5122"/>
      <c r="Q340" s="5634"/>
      <c r="R340" s="5094" t="s">
        <v>1</v>
      </c>
      <c r="S340" s="5120"/>
      <c r="T340" s="5121"/>
      <c r="U340" s="5121"/>
      <c r="V340" s="5121"/>
      <c r="W340" s="5121"/>
      <c r="X340" s="5122"/>
      <c r="Y340" s="5122"/>
      <c r="Z340" s="5122"/>
      <c r="AA340" s="5122"/>
      <c r="AB340" s="5122"/>
      <c r="AC340" s="5122"/>
      <c r="AD340" s="5122"/>
      <c r="AE340" s="5122"/>
      <c r="AF340" s="5122"/>
      <c r="AG340" s="5122"/>
      <c r="AH340" s="5634"/>
      <c r="AI340" s="5094" t="s">
        <v>1</v>
      </c>
      <c r="AJ340" s="5120"/>
      <c r="AK340" s="5121"/>
      <c r="AL340" s="5121"/>
      <c r="AM340" s="5121"/>
      <c r="AN340" s="5121"/>
      <c r="AO340" s="5122"/>
      <c r="AP340" s="5122"/>
      <c r="AQ340" s="5122"/>
      <c r="AR340" s="5122"/>
      <c r="AS340" s="5122"/>
      <c r="AT340" s="5122"/>
      <c r="AU340" s="5122"/>
      <c r="AV340" s="5122"/>
      <c r="AW340" s="5122"/>
      <c r="AX340" s="5122"/>
      <c r="AY340" s="5634"/>
      <c r="AZ340" s="5094" t="s">
        <v>1</v>
      </c>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5">
        <v>1</v>
      </c>
      <c r="CL340" s="1"/>
      <c r="CM340" s="1"/>
    </row>
    <row r="341" spans="2:91" s="187" customFormat="1" ht="21" customHeight="1">
      <c r="B341" s="5120"/>
      <c r="C341" s="5121"/>
      <c r="D341" s="5121"/>
      <c r="E341" s="5121"/>
      <c r="F341" s="5121"/>
      <c r="G341" s="5122"/>
      <c r="H341" s="5122"/>
      <c r="I341" s="5122"/>
      <c r="J341" s="5122"/>
      <c r="K341" s="5122"/>
      <c r="L341" s="5122"/>
      <c r="M341" s="5122"/>
      <c r="N341" s="5122"/>
      <c r="O341" s="5122"/>
      <c r="P341" s="5122"/>
      <c r="Q341" s="5634"/>
      <c r="R341" s="5094" t="s">
        <v>1</v>
      </c>
      <c r="S341" s="5120"/>
      <c r="T341" s="5121"/>
      <c r="U341" s="5121"/>
      <c r="V341" s="5121"/>
      <c r="W341" s="5121"/>
      <c r="X341" s="5122"/>
      <c r="Y341" s="5122"/>
      <c r="Z341" s="5122"/>
      <c r="AA341" s="5122"/>
      <c r="AB341" s="5122"/>
      <c r="AC341" s="5122"/>
      <c r="AD341" s="5122"/>
      <c r="AE341" s="5122"/>
      <c r="AF341" s="5122"/>
      <c r="AG341" s="5122"/>
      <c r="AH341" s="5634"/>
      <c r="AI341" s="5094" t="s">
        <v>1</v>
      </c>
      <c r="AJ341" s="5120"/>
      <c r="AK341" s="5121"/>
      <c r="AL341" s="5121"/>
      <c r="AM341" s="5121"/>
      <c r="AN341" s="5121"/>
      <c r="AO341" s="5122"/>
      <c r="AP341" s="5122"/>
      <c r="AQ341" s="5122"/>
      <c r="AR341" s="5122"/>
      <c r="AS341" s="5122"/>
      <c r="AT341" s="5122"/>
      <c r="AU341" s="5122"/>
      <c r="AV341" s="5122"/>
      <c r="AW341" s="5122"/>
      <c r="AX341" s="5122"/>
      <c r="AY341" s="5634"/>
      <c r="AZ341" s="5094" t="s">
        <v>1</v>
      </c>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5">
        <v>1</v>
      </c>
      <c r="CL341" s="1"/>
      <c r="CM341" s="1"/>
    </row>
    <row r="342" spans="2:91" s="187" customFormat="1" ht="21" customHeight="1">
      <c r="B342" s="5120"/>
      <c r="C342" s="5121"/>
      <c r="D342" s="5121"/>
      <c r="E342" s="5121"/>
      <c r="F342" s="5121"/>
      <c r="G342" s="5122"/>
      <c r="H342" s="5122"/>
      <c r="I342" s="5122"/>
      <c r="J342" s="5122"/>
      <c r="K342" s="5122"/>
      <c r="L342" s="5122"/>
      <c r="M342" s="5122"/>
      <c r="N342" s="5122"/>
      <c r="O342" s="5122"/>
      <c r="P342" s="5122"/>
      <c r="Q342" s="5634"/>
      <c r="R342" s="5094" t="s">
        <v>1</v>
      </c>
      <c r="S342" s="5120"/>
      <c r="T342" s="5121"/>
      <c r="U342" s="5121"/>
      <c r="V342" s="5121"/>
      <c r="W342" s="5121"/>
      <c r="X342" s="5122"/>
      <c r="Y342" s="5122"/>
      <c r="Z342" s="5122"/>
      <c r="AA342" s="5122"/>
      <c r="AB342" s="5122"/>
      <c r="AC342" s="5122"/>
      <c r="AD342" s="5122"/>
      <c r="AE342" s="5122"/>
      <c r="AF342" s="5122"/>
      <c r="AG342" s="5122"/>
      <c r="AH342" s="5634"/>
      <c r="AI342" s="5094" t="s">
        <v>1</v>
      </c>
      <c r="AJ342" s="5120"/>
      <c r="AK342" s="5121"/>
      <c r="AL342" s="5121"/>
      <c r="AM342" s="5121"/>
      <c r="AN342" s="5121"/>
      <c r="AO342" s="5122"/>
      <c r="AP342" s="5122"/>
      <c r="AQ342" s="5122"/>
      <c r="AR342" s="5122"/>
      <c r="AS342" s="5122"/>
      <c r="AT342" s="5122"/>
      <c r="AU342" s="5122"/>
      <c r="AV342" s="5122"/>
      <c r="AW342" s="5122"/>
      <c r="AX342" s="5122"/>
      <c r="AY342" s="5634"/>
      <c r="AZ342" s="5094" t="s">
        <v>1</v>
      </c>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5">
        <v>1</v>
      </c>
      <c r="CL342" s="1"/>
      <c r="CM342" s="1"/>
    </row>
    <row r="343" spans="2:91" s="187" customFormat="1" ht="21" customHeight="1">
      <c r="B343" s="5120"/>
      <c r="C343" s="5121"/>
      <c r="D343" s="5121"/>
      <c r="E343" s="5121"/>
      <c r="F343" s="5121"/>
      <c r="G343" s="5122"/>
      <c r="H343" s="5122"/>
      <c r="I343" s="5122"/>
      <c r="J343" s="5122"/>
      <c r="K343" s="5122"/>
      <c r="L343" s="5122"/>
      <c r="M343" s="5122"/>
      <c r="N343" s="5122"/>
      <c r="O343" s="5122"/>
      <c r="P343" s="5122"/>
      <c r="Q343" s="5634"/>
      <c r="R343" s="5094" t="s">
        <v>1</v>
      </c>
      <c r="S343" s="5120"/>
      <c r="T343" s="5121"/>
      <c r="U343" s="5121"/>
      <c r="V343" s="5121"/>
      <c r="W343" s="5121"/>
      <c r="X343" s="5122"/>
      <c r="Y343" s="5122"/>
      <c r="Z343" s="5122"/>
      <c r="AA343" s="5122"/>
      <c r="AB343" s="5122"/>
      <c r="AC343" s="5122"/>
      <c r="AD343" s="5122"/>
      <c r="AE343" s="5122"/>
      <c r="AF343" s="5122"/>
      <c r="AG343" s="5122"/>
      <c r="AH343" s="5634"/>
      <c r="AI343" s="5094" t="s">
        <v>1</v>
      </c>
      <c r="AJ343" s="5120"/>
      <c r="AK343" s="5121"/>
      <c r="AL343" s="5121"/>
      <c r="AM343" s="5121"/>
      <c r="AN343" s="5121"/>
      <c r="AO343" s="5122"/>
      <c r="AP343" s="5122"/>
      <c r="AQ343" s="5122"/>
      <c r="AR343" s="5122"/>
      <c r="AS343" s="5122"/>
      <c r="AT343" s="5122"/>
      <c r="AU343" s="5122"/>
      <c r="AV343" s="5122"/>
      <c r="AW343" s="5122"/>
      <c r="AX343" s="5122"/>
      <c r="AY343" s="5634"/>
      <c r="AZ343" s="5094" t="s">
        <v>1</v>
      </c>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5">
        <v>1</v>
      </c>
      <c r="CL343" s="1"/>
      <c r="CM343" s="1"/>
    </row>
    <row r="344" spans="2:91" s="187" customFormat="1" ht="21" customHeight="1">
      <c r="B344" s="5120"/>
      <c r="C344" s="5121"/>
      <c r="D344" s="5121"/>
      <c r="E344" s="5121"/>
      <c r="F344" s="5121"/>
      <c r="G344" s="5122"/>
      <c r="H344" s="5122"/>
      <c r="I344" s="5122"/>
      <c r="J344" s="5122"/>
      <c r="K344" s="5122"/>
      <c r="L344" s="5122"/>
      <c r="M344" s="5122"/>
      <c r="N344" s="5122"/>
      <c r="O344" s="5122"/>
      <c r="P344" s="5122"/>
      <c r="Q344" s="5634"/>
      <c r="R344" s="5094" t="s">
        <v>1</v>
      </c>
      <c r="S344" s="5120"/>
      <c r="T344" s="5121"/>
      <c r="U344" s="5121"/>
      <c r="V344" s="5121"/>
      <c r="W344" s="5121"/>
      <c r="X344" s="5122"/>
      <c r="Y344" s="5122"/>
      <c r="Z344" s="5122"/>
      <c r="AA344" s="5122"/>
      <c r="AB344" s="5122"/>
      <c r="AC344" s="5122"/>
      <c r="AD344" s="5122"/>
      <c r="AE344" s="5122"/>
      <c r="AF344" s="5122"/>
      <c r="AG344" s="5122"/>
      <c r="AH344" s="5634"/>
      <c r="AI344" s="5094" t="s">
        <v>1</v>
      </c>
      <c r="AJ344" s="5120"/>
      <c r="AK344" s="5121"/>
      <c r="AL344" s="5121"/>
      <c r="AM344" s="5121"/>
      <c r="AN344" s="5121"/>
      <c r="AO344" s="5122"/>
      <c r="AP344" s="5122"/>
      <c r="AQ344" s="5122"/>
      <c r="AR344" s="5122"/>
      <c r="AS344" s="5122"/>
      <c r="AT344" s="5122"/>
      <c r="AU344" s="5122"/>
      <c r="AV344" s="5122"/>
      <c r="AW344" s="5122"/>
      <c r="AX344" s="5122"/>
      <c r="AY344" s="5634"/>
      <c r="AZ344" s="5094" t="s">
        <v>1</v>
      </c>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5">
        <v>1</v>
      </c>
      <c r="CL344" s="1"/>
      <c r="CM344" s="1"/>
    </row>
    <row r="345" spans="2:91" s="187" customFormat="1" ht="21" customHeight="1">
      <c r="B345" s="5120"/>
      <c r="C345" s="5121"/>
      <c r="D345" s="5121"/>
      <c r="E345" s="5121"/>
      <c r="F345" s="5121"/>
      <c r="G345" s="5122"/>
      <c r="H345" s="5122"/>
      <c r="I345" s="5122"/>
      <c r="J345" s="5122"/>
      <c r="K345" s="5122"/>
      <c r="L345" s="5122"/>
      <c r="M345" s="5122"/>
      <c r="N345" s="5122"/>
      <c r="O345" s="5122"/>
      <c r="P345" s="5122"/>
      <c r="Q345" s="5634"/>
      <c r="R345" s="5094" t="s">
        <v>1</v>
      </c>
      <c r="S345" s="5120"/>
      <c r="T345" s="5121"/>
      <c r="U345" s="5121"/>
      <c r="V345" s="5121"/>
      <c r="W345" s="5121"/>
      <c r="X345" s="5122"/>
      <c r="Y345" s="5122"/>
      <c r="Z345" s="5122"/>
      <c r="AA345" s="5122"/>
      <c r="AB345" s="5122"/>
      <c r="AC345" s="5122"/>
      <c r="AD345" s="5122"/>
      <c r="AE345" s="5122"/>
      <c r="AF345" s="5122"/>
      <c r="AG345" s="5122"/>
      <c r="AH345" s="5634"/>
      <c r="AI345" s="5094" t="s">
        <v>1</v>
      </c>
      <c r="AJ345" s="5120"/>
      <c r="AK345" s="5121"/>
      <c r="AL345" s="5121"/>
      <c r="AM345" s="5121"/>
      <c r="AN345" s="5121"/>
      <c r="AO345" s="5122"/>
      <c r="AP345" s="5122"/>
      <c r="AQ345" s="5122"/>
      <c r="AR345" s="5122"/>
      <c r="AS345" s="5122"/>
      <c r="AT345" s="5122"/>
      <c r="AU345" s="5122"/>
      <c r="AV345" s="5122"/>
      <c r="AW345" s="5122"/>
      <c r="AX345" s="5122"/>
      <c r="AY345" s="5634"/>
      <c r="AZ345" s="5094" t="s">
        <v>1</v>
      </c>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5">
        <v>1</v>
      </c>
      <c r="CL345" s="1"/>
      <c r="CM345" s="1"/>
    </row>
    <row r="346" spans="2:91" s="187" customFormat="1" ht="21" customHeight="1">
      <c r="B346" s="5120"/>
      <c r="C346" s="5121"/>
      <c r="D346" s="5121"/>
      <c r="E346" s="5121"/>
      <c r="F346" s="5121"/>
      <c r="G346" s="5122"/>
      <c r="H346" s="5122"/>
      <c r="I346" s="5122"/>
      <c r="J346" s="5122"/>
      <c r="K346" s="5122"/>
      <c r="L346" s="5122"/>
      <c r="M346" s="5122"/>
      <c r="N346" s="5122"/>
      <c r="O346" s="5122"/>
      <c r="P346" s="5122"/>
      <c r="Q346" s="5634"/>
      <c r="R346" s="5094" t="s">
        <v>1</v>
      </c>
      <c r="S346" s="5120"/>
      <c r="T346" s="5121"/>
      <c r="U346" s="5121"/>
      <c r="V346" s="5121"/>
      <c r="W346" s="5121"/>
      <c r="X346" s="5122"/>
      <c r="Y346" s="5122"/>
      <c r="Z346" s="5122"/>
      <c r="AA346" s="5122"/>
      <c r="AB346" s="5122"/>
      <c r="AC346" s="5122"/>
      <c r="AD346" s="5122"/>
      <c r="AE346" s="5122"/>
      <c r="AF346" s="5122"/>
      <c r="AG346" s="5122"/>
      <c r="AH346" s="5634"/>
      <c r="AI346" s="5094" t="s">
        <v>1</v>
      </c>
      <c r="AJ346" s="5120"/>
      <c r="AK346" s="5121"/>
      <c r="AL346" s="5121"/>
      <c r="AM346" s="5121"/>
      <c r="AN346" s="5121"/>
      <c r="AO346" s="5122"/>
      <c r="AP346" s="5122"/>
      <c r="AQ346" s="5122"/>
      <c r="AR346" s="5122"/>
      <c r="AS346" s="5122"/>
      <c r="AT346" s="5122"/>
      <c r="AU346" s="5122"/>
      <c r="AV346" s="5122"/>
      <c r="AW346" s="5122"/>
      <c r="AX346" s="5122"/>
      <c r="AY346" s="5634"/>
      <c r="AZ346" s="5094" t="s">
        <v>1</v>
      </c>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5">
        <v>1</v>
      </c>
      <c r="CL346" s="1"/>
      <c r="CM346" s="1"/>
    </row>
    <row r="347" spans="2:91" s="187" customFormat="1" ht="21" customHeight="1">
      <c r="B347" s="5120"/>
      <c r="C347" s="5121"/>
      <c r="D347" s="5121"/>
      <c r="E347" s="5121"/>
      <c r="F347" s="5121"/>
      <c r="G347" s="5122"/>
      <c r="H347" s="5122"/>
      <c r="I347" s="5122"/>
      <c r="J347" s="5122"/>
      <c r="K347" s="5122"/>
      <c r="L347" s="5122"/>
      <c r="M347" s="5122"/>
      <c r="N347" s="5122"/>
      <c r="O347" s="5122"/>
      <c r="P347" s="5122"/>
      <c r="Q347" s="5634"/>
      <c r="R347" s="5094" t="s">
        <v>1</v>
      </c>
      <c r="S347" s="5120"/>
      <c r="T347" s="5121"/>
      <c r="U347" s="5121"/>
      <c r="V347" s="5121"/>
      <c r="W347" s="5121"/>
      <c r="X347" s="5122"/>
      <c r="Y347" s="5122"/>
      <c r="Z347" s="5122"/>
      <c r="AA347" s="5122"/>
      <c r="AB347" s="5122"/>
      <c r="AC347" s="5122"/>
      <c r="AD347" s="5122"/>
      <c r="AE347" s="5122"/>
      <c r="AF347" s="5122"/>
      <c r="AG347" s="5122"/>
      <c r="AH347" s="5634"/>
      <c r="AI347" s="5094" t="s">
        <v>1</v>
      </c>
      <c r="AJ347" s="5120"/>
      <c r="AK347" s="5121"/>
      <c r="AL347" s="5121"/>
      <c r="AM347" s="5121"/>
      <c r="AN347" s="5121"/>
      <c r="AO347" s="5122"/>
      <c r="AP347" s="5122"/>
      <c r="AQ347" s="5122"/>
      <c r="AR347" s="5122"/>
      <c r="AS347" s="5122"/>
      <c r="AT347" s="5122"/>
      <c r="AU347" s="5122"/>
      <c r="AV347" s="5122"/>
      <c r="AW347" s="5122"/>
      <c r="AX347" s="5122"/>
      <c r="AY347" s="5634"/>
      <c r="AZ347" s="5094" t="s">
        <v>1</v>
      </c>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5">
        <v>1</v>
      </c>
      <c r="CL347" s="1"/>
      <c r="CM347" s="1"/>
    </row>
    <row r="348" spans="2:91" s="187" customFormat="1" ht="21" customHeight="1">
      <c r="B348" s="5120"/>
      <c r="C348" s="5121"/>
      <c r="D348" s="5121"/>
      <c r="E348" s="5121"/>
      <c r="F348" s="5121"/>
      <c r="G348" s="5122"/>
      <c r="H348" s="5122"/>
      <c r="I348" s="5122"/>
      <c r="J348" s="5122"/>
      <c r="K348" s="5122"/>
      <c r="L348" s="5122"/>
      <c r="M348" s="5122"/>
      <c r="N348" s="5122"/>
      <c r="O348" s="5122"/>
      <c r="P348" s="5122"/>
      <c r="Q348" s="5634"/>
      <c r="R348" s="5094" t="s">
        <v>1</v>
      </c>
      <c r="S348" s="5120"/>
      <c r="T348" s="5121"/>
      <c r="U348" s="5121"/>
      <c r="V348" s="5121"/>
      <c r="W348" s="5121"/>
      <c r="X348" s="5122"/>
      <c r="Y348" s="5122"/>
      <c r="Z348" s="5122"/>
      <c r="AA348" s="5122"/>
      <c r="AB348" s="5122"/>
      <c r="AC348" s="5122"/>
      <c r="AD348" s="5122"/>
      <c r="AE348" s="5122"/>
      <c r="AF348" s="5122"/>
      <c r="AG348" s="5122"/>
      <c r="AH348" s="5634"/>
      <c r="AI348" s="5094" t="s">
        <v>1</v>
      </c>
      <c r="AJ348" s="5120"/>
      <c r="AK348" s="5121"/>
      <c r="AL348" s="5121"/>
      <c r="AM348" s="5121"/>
      <c r="AN348" s="5121"/>
      <c r="AO348" s="5122"/>
      <c r="AP348" s="5122"/>
      <c r="AQ348" s="5122"/>
      <c r="AR348" s="5122"/>
      <c r="AS348" s="5122"/>
      <c r="AT348" s="5122"/>
      <c r="AU348" s="5122"/>
      <c r="AV348" s="5122"/>
      <c r="AW348" s="5122"/>
      <c r="AX348" s="5122"/>
      <c r="AY348" s="5634"/>
      <c r="AZ348" s="5094" t="s">
        <v>1</v>
      </c>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5">
        <v>1</v>
      </c>
      <c r="CL348" s="1"/>
      <c r="CM348" s="1"/>
    </row>
    <row r="349" spans="2:91" s="187" customFormat="1" ht="21" customHeight="1">
      <c r="B349" s="5120"/>
      <c r="C349" s="5121"/>
      <c r="D349" s="5121"/>
      <c r="E349" s="5121"/>
      <c r="F349" s="5121"/>
      <c r="G349" s="5122"/>
      <c r="H349" s="5122"/>
      <c r="I349" s="5122"/>
      <c r="J349" s="5122"/>
      <c r="K349" s="5122"/>
      <c r="L349" s="5122"/>
      <c r="M349" s="5122"/>
      <c r="N349" s="5122"/>
      <c r="O349" s="5122"/>
      <c r="P349" s="5122"/>
      <c r="Q349" s="5634"/>
      <c r="R349" s="5094" t="s">
        <v>1</v>
      </c>
      <c r="S349" s="5120"/>
      <c r="T349" s="5121"/>
      <c r="U349" s="5121"/>
      <c r="V349" s="5121"/>
      <c r="W349" s="5121"/>
      <c r="X349" s="5122"/>
      <c r="Y349" s="5122"/>
      <c r="Z349" s="5122"/>
      <c r="AA349" s="5122"/>
      <c r="AB349" s="5122"/>
      <c r="AC349" s="5122"/>
      <c r="AD349" s="5122"/>
      <c r="AE349" s="5122"/>
      <c r="AF349" s="5122"/>
      <c r="AG349" s="5122"/>
      <c r="AH349" s="5634"/>
      <c r="AI349" s="5094" t="s">
        <v>1</v>
      </c>
      <c r="AJ349" s="5120"/>
      <c r="AK349" s="5121"/>
      <c r="AL349" s="5121"/>
      <c r="AM349" s="5121"/>
      <c r="AN349" s="5121"/>
      <c r="AO349" s="5122"/>
      <c r="AP349" s="5122"/>
      <c r="AQ349" s="5122"/>
      <c r="AR349" s="5122"/>
      <c r="AS349" s="5122"/>
      <c r="AT349" s="5122"/>
      <c r="AU349" s="5122"/>
      <c r="AV349" s="5122"/>
      <c r="AW349" s="5122"/>
      <c r="AX349" s="5122"/>
      <c r="AY349" s="5634"/>
      <c r="AZ349" s="5094" t="s">
        <v>1</v>
      </c>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5">
        <v>1</v>
      </c>
      <c r="CL349" s="1"/>
      <c r="CM349" s="1"/>
    </row>
    <row r="350" spans="2:91" s="187" customFormat="1" ht="21" customHeight="1">
      <c r="B350" s="5120"/>
      <c r="C350" s="5121"/>
      <c r="D350" s="5121"/>
      <c r="E350" s="5121"/>
      <c r="F350" s="5121"/>
      <c r="G350" s="5122"/>
      <c r="H350" s="5122"/>
      <c r="I350" s="5122"/>
      <c r="J350" s="5122"/>
      <c r="K350" s="5122"/>
      <c r="L350" s="5122"/>
      <c r="M350" s="5122"/>
      <c r="N350" s="5122"/>
      <c r="O350" s="5122"/>
      <c r="P350" s="5122"/>
      <c r="Q350" s="5634"/>
      <c r="R350" s="5094" t="s">
        <v>1</v>
      </c>
      <c r="S350" s="5120"/>
      <c r="T350" s="5121"/>
      <c r="U350" s="5121"/>
      <c r="V350" s="5121"/>
      <c r="W350" s="5121"/>
      <c r="X350" s="5122"/>
      <c r="Y350" s="5122"/>
      <c r="Z350" s="5122"/>
      <c r="AA350" s="5122"/>
      <c r="AB350" s="5122"/>
      <c r="AC350" s="5122"/>
      <c r="AD350" s="5122"/>
      <c r="AE350" s="5122"/>
      <c r="AF350" s="5122"/>
      <c r="AG350" s="5122"/>
      <c r="AH350" s="5634"/>
      <c r="AI350" s="5094" t="s">
        <v>1</v>
      </c>
      <c r="AJ350" s="5120"/>
      <c r="AK350" s="5121"/>
      <c r="AL350" s="5121"/>
      <c r="AM350" s="5121"/>
      <c r="AN350" s="5121"/>
      <c r="AO350" s="5122"/>
      <c r="AP350" s="5122"/>
      <c r="AQ350" s="5122"/>
      <c r="AR350" s="5122"/>
      <c r="AS350" s="5122"/>
      <c r="AT350" s="5122"/>
      <c r="AU350" s="5122"/>
      <c r="AV350" s="5122"/>
      <c r="AW350" s="5122"/>
      <c r="AX350" s="5122"/>
      <c r="AY350" s="5634"/>
      <c r="AZ350" s="5094" t="s">
        <v>1</v>
      </c>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5">
        <v>1</v>
      </c>
      <c r="CL350" s="1"/>
      <c r="CM350" s="1"/>
    </row>
    <row r="351" spans="2:91" s="187" customFormat="1" ht="21" customHeight="1">
      <c r="B351" s="5120"/>
      <c r="C351" s="5121"/>
      <c r="D351" s="5121"/>
      <c r="E351" s="5121"/>
      <c r="F351" s="5121"/>
      <c r="G351" s="5122"/>
      <c r="H351" s="5122"/>
      <c r="I351" s="5122"/>
      <c r="J351" s="5122"/>
      <c r="K351" s="5122"/>
      <c r="L351" s="5122"/>
      <c r="M351" s="5122"/>
      <c r="N351" s="5122"/>
      <c r="O351" s="5122"/>
      <c r="P351" s="5122"/>
      <c r="Q351" s="5634"/>
      <c r="R351" s="5094" t="s">
        <v>1</v>
      </c>
      <c r="S351" s="5120"/>
      <c r="T351" s="5121"/>
      <c r="U351" s="5121"/>
      <c r="V351" s="5121"/>
      <c r="W351" s="5121"/>
      <c r="X351" s="5122"/>
      <c r="Y351" s="5122"/>
      <c r="Z351" s="5122"/>
      <c r="AA351" s="5122"/>
      <c r="AB351" s="5122"/>
      <c r="AC351" s="5122"/>
      <c r="AD351" s="5122"/>
      <c r="AE351" s="5122"/>
      <c r="AF351" s="5122"/>
      <c r="AG351" s="5122"/>
      <c r="AH351" s="5634"/>
      <c r="AI351" s="5094" t="s">
        <v>1</v>
      </c>
      <c r="AJ351" s="5120"/>
      <c r="AK351" s="5121"/>
      <c r="AL351" s="5121"/>
      <c r="AM351" s="5121"/>
      <c r="AN351" s="5121"/>
      <c r="AO351" s="5122"/>
      <c r="AP351" s="5122"/>
      <c r="AQ351" s="5122"/>
      <c r="AR351" s="5122"/>
      <c r="AS351" s="5122"/>
      <c r="AT351" s="5122"/>
      <c r="AU351" s="5122"/>
      <c r="AV351" s="5122"/>
      <c r="AW351" s="5122"/>
      <c r="AX351" s="5122"/>
      <c r="AY351" s="5634"/>
      <c r="AZ351" s="5094" t="s">
        <v>1</v>
      </c>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5">
        <v>1</v>
      </c>
      <c r="CL351" s="1"/>
      <c r="CM351" s="1"/>
    </row>
    <row r="352" spans="2:91" s="187" customFormat="1" ht="21" customHeight="1">
      <c r="B352" s="5120"/>
      <c r="C352" s="5121"/>
      <c r="D352" s="5121"/>
      <c r="E352" s="5121"/>
      <c r="F352" s="5121"/>
      <c r="G352" s="5122"/>
      <c r="H352" s="5122"/>
      <c r="I352" s="5122"/>
      <c r="J352" s="5122"/>
      <c r="K352" s="5122"/>
      <c r="L352" s="5122"/>
      <c r="M352" s="5122"/>
      <c r="N352" s="5122"/>
      <c r="O352" s="5122"/>
      <c r="P352" s="5122"/>
      <c r="Q352" s="5634"/>
      <c r="R352" s="5094" t="s">
        <v>1</v>
      </c>
      <c r="S352" s="5120"/>
      <c r="T352" s="5121"/>
      <c r="U352" s="5121"/>
      <c r="V352" s="5121"/>
      <c r="W352" s="5121"/>
      <c r="X352" s="5122"/>
      <c r="Y352" s="5122"/>
      <c r="Z352" s="5122"/>
      <c r="AA352" s="5122"/>
      <c r="AB352" s="5122"/>
      <c r="AC352" s="5122"/>
      <c r="AD352" s="5122"/>
      <c r="AE352" s="5122"/>
      <c r="AF352" s="5122"/>
      <c r="AG352" s="5122"/>
      <c r="AH352" s="5634"/>
      <c r="AI352" s="5094" t="s">
        <v>1</v>
      </c>
      <c r="AJ352" s="5120"/>
      <c r="AK352" s="5121"/>
      <c r="AL352" s="5121"/>
      <c r="AM352" s="5121"/>
      <c r="AN352" s="5121"/>
      <c r="AO352" s="5122"/>
      <c r="AP352" s="5122"/>
      <c r="AQ352" s="5122"/>
      <c r="AR352" s="5122"/>
      <c r="AS352" s="5122"/>
      <c r="AT352" s="5122"/>
      <c r="AU352" s="5122"/>
      <c r="AV352" s="5122"/>
      <c r="AW352" s="5122"/>
      <c r="AX352" s="5122"/>
      <c r="AY352" s="5634"/>
      <c r="AZ352" s="5094" t="s">
        <v>1</v>
      </c>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5">
        <v>1</v>
      </c>
      <c r="CL352" s="1"/>
      <c r="CM352" s="1"/>
    </row>
    <row r="353" spans="2:91" s="187" customFormat="1" ht="21" customHeight="1">
      <c r="B353" s="5120"/>
      <c r="C353" s="5121"/>
      <c r="D353" s="5121"/>
      <c r="E353" s="5121"/>
      <c r="F353" s="5121"/>
      <c r="G353" s="5122"/>
      <c r="H353" s="5122"/>
      <c r="I353" s="5122"/>
      <c r="J353" s="5122"/>
      <c r="K353" s="5122"/>
      <c r="L353" s="5122"/>
      <c r="M353" s="5122"/>
      <c r="N353" s="5122"/>
      <c r="O353" s="5122"/>
      <c r="P353" s="5122"/>
      <c r="Q353" s="5634"/>
      <c r="R353" s="5094" t="s">
        <v>1</v>
      </c>
      <c r="S353" s="5120"/>
      <c r="T353" s="5121"/>
      <c r="U353" s="5121"/>
      <c r="V353" s="5121"/>
      <c r="W353" s="5121"/>
      <c r="X353" s="5122"/>
      <c r="Y353" s="5122"/>
      <c r="Z353" s="5122"/>
      <c r="AA353" s="5122"/>
      <c r="AB353" s="5122"/>
      <c r="AC353" s="5122"/>
      <c r="AD353" s="5122"/>
      <c r="AE353" s="5122"/>
      <c r="AF353" s="5122"/>
      <c r="AG353" s="5122"/>
      <c r="AH353" s="5634"/>
      <c r="AI353" s="5094" t="s">
        <v>1</v>
      </c>
      <c r="AJ353" s="5120"/>
      <c r="AK353" s="5121"/>
      <c r="AL353" s="5121"/>
      <c r="AM353" s="5121"/>
      <c r="AN353" s="5121"/>
      <c r="AO353" s="5122"/>
      <c r="AP353" s="5122"/>
      <c r="AQ353" s="5122"/>
      <c r="AR353" s="5122"/>
      <c r="AS353" s="5122"/>
      <c r="AT353" s="5122"/>
      <c r="AU353" s="5122"/>
      <c r="AV353" s="5122"/>
      <c r="AW353" s="5122"/>
      <c r="AX353" s="5122"/>
      <c r="AY353" s="5634"/>
      <c r="AZ353" s="5094" t="s">
        <v>1</v>
      </c>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5">
        <v>1</v>
      </c>
      <c r="CL353" s="1"/>
      <c r="CM353" s="1"/>
    </row>
    <row r="354" spans="2:91" s="187" customFormat="1" ht="21" customHeight="1">
      <c r="B354" s="5120"/>
      <c r="C354" s="5121"/>
      <c r="D354" s="5121"/>
      <c r="E354" s="5121"/>
      <c r="F354" s="5121"/>
      <c r="G354" s="5122"/>
      <c r="H354" s="5122"/>
      <c r="I354" s="5122"/>
      <c r="J354" s="5122"/>
      <c r="K354" s="5122"/>
      <c r="L354" s="5122"/>
      <c r="M354" s="5122"/>
      <c r="N354" s="5122"/>
      <c r="O354" s="5122"/>
      <c r="P354" s="5122"/>
      <c r="Q354" s="5634"/>
      <c r="R354" s="5094" t="s">
        <v>1</v>
      </c>
      <c r="S354" s="5120"/>
      <c r="T354" s="5121"/>
      <c r="U354" s="5121"/>
      <c r="V354" s="5121"/>
      <c r="W354" s="5121"/>
      <c r="X354" s="5122"/>
      <c r="Y354" s="5122"/>
      <c r="Z354" s="5122"/>
      <c r="AA354" s="5122"/>
      <c r="AB354" s="5122"/>
      <c r="AC354" s="5122"/>
      <c r="AD354" s="5122"/>
      <c r="AE354" s="5122"/>
      <c r="AF354" s="5122"/>
      <c r="AG354" s="5122"/>
      <c r="AH354" s="5634"/>
      <c r="AI354" s="5094" t="s">
        <v>1</v>
      </c>
      <c r="AJ354" s="5120"/>
      <c r="AK354" s="5121"/>
      <c r="AL354" s="5121"/>
      <c r="AM354" s="5121"/>
      <c r="AN354" s="5121"/>
      <c r="AO354" s="5122"/>
      <c r="AP354" s="5122"/>
      <c r="AQ354" s="5122"/>
      <c r="AR354" s="5122"/>
      <c r="AS354" s="5122"/>
      <c r="AT354" s="5122"/>
      <c r="AU354" s="5122"/>
      <c r="AV354" s="5122"/>
      <c r="AW354" s="5122"/>
      <c r="AX354" s="5122"/>
      <c r="AY354" s="5634"/>
      <c r="AZ354" s="5094" t="s">
        <v>1</v>
      </c>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5">
        <v>1</v>
      </c>
      <c r="CL354" s="1"/>
      <c r="CM354" s="1"/>
    </row>
    <row r="355" spans="2:91" s="187" customFormat="1" ht="21" customHeight="1">
      <c r="B355" s="5120"/>
      <c r="C355" s="5121"/>
      <c r="D355" s="5121"/>
      <c r="E355" s="5121"/>
      <c r="F355" s="5121"/>
      <c r="G355" s="5122"/>
      <c r="H355" s="5122"/>
      <c r="I355" s="5122"/>
      <c r="J355" s="5122"/>
      <c r="K355" s="5122"/>
      <c r="L355" s="5122"/>
      <c r="M355" s="5122"/>
      <c r="N355" s="5122"/>
      <c r="O355" s="5122"/>
      <c r="P355" s="5122"/>
      <c r="Q355" s="5634"/>
      <c r="R355" s="5094" t="s">
        <v>1</v>
      </c>
      <c r="S355" s="5120"/>
      <c r="T355" s="5121"/>
      <c r="U355" s="5121"/>
      <c r="V355" s="5121"/>
      <c r="W355" s="5121"/>
      <c r="X355" s="5122"/>
      <c r="Y355" s="5122"/>
      <c r="Z355" s="5122"/>
      <c r="AA355" s="5122"/>
      <c r="AB355" s="5122"/>
      <c r="AC355" s="5122"/>
      <c r="AD355" s="5122"/>
      <c r="AE355" s="5122"/>
      <c r="AF355" s="5122"/>
      <c r="AG355" s="5122"/>
      <c r="AH355" s="5634"/>
      <c r="AI355" s="5094" t="s">
        <v>1</v>
      </c>
      <c r="AJ355" s="5120"/>
      <c r="AK355" s="5121"/>
      <c r="AL355" s="5121"/>
      <c r="AM355" s="5121"/>
      <c r="AN355" s="5121"/>
      <c r="AO355" s="5122"/>
      <c r="AP355" s="5122"/>
      <c r="AQ355" s="5122"/>
      <c r="AR355" s="5122"/>
      <c r="AS355" s="5122"/>
      <c r="AT355" s="5122"/>
      <c r="AU355" s="5122"/>
      <c r="AV355" s="5122"/>
      <c r="AW355" s="5122"/>
      <c r="AX355" s="5122"/>
      <c r="AY355" s="5634"/>
      <c r="AZ355" s="5094" t="s">
        <v>1</v>
      </c>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5">
        <v>1</v>
      </c>
      <c r="CL355" s="1"/>
      <c r="CM355" s="1"/>
    </row>
    <row r="356" spans="2:91" s="187" customFormat="1" ht="21" customHeight="1">
      <c r="B356" s="5120"/>
      <c r="C356" s="5121"/>
      <c r="D356" s="5121"/>
      <c r="E356" s="5121"/>
      <c r="F356" s="5121"/>
      <c r="G356" s="5122"/>
      <c r="H356" s="5122"/>
      <c r="I356" s="5122"/>
      <c r="J356" s="5122"/>
      <c r="K356" s="5122"/>
      <c r="L356" s="5122"/>
      <c r="M356" s="5122"/>
      <c r="N356" s="5122"/>
      <c r="O356" s="5122"/>
      <c r="P356" s="5122"/>
      <c r="Q356" s="5634"/>
      <c r="R356" s="5094" t="s">
        <v>1</v>
      </c>
      <c r="S356" s="5120"/>
      <c r="T356" s="5121"/>
      <c r="U356" s="5121"/>
      <c r="V356" s="5121"/>
      <c r="W356" s="5121"/>
      <c r="X356" s="5122"/>
      <c r="Y356" s="5122"/>
      <c r="Z356" s="5122"/>
      <c r="AA356" s="5122"/>
      <c r="AB356" s="5122"/>
      <c r="AC356" s="5122"/>
      <c r="AD356" s="5122"/>
      <c r="AE356" s="5122"/>
      <c r="AF356" s="5122"/>
      <c r="AG356" s="5122"/>
      <c r="AH356" s="5634"/>
      <c r="AI356" s="5094" t="s">
        <v>1</v>
      </c>
      <c r="AJ356" s="5120"/>
      <c r="AK356" s="5121"/>
      <c r="AL356" s="5121"/>
      <c r="AM356" s="5121"/>
      <c r="AN356" s="5121"/>
      <c r="AO356" s="5122"/>
      <c r="AP356" s="5122"/>
      <c r="AQ356" s="5122"/>
      <c r="AR356" s="5122"/>
      <c r="AS356" s="5122"/>
      <c r="AT356" s="5122"/>
      <c r="AU356" s="5122"/>
      <c r="AV356" s="5122"/>
      <c r="AW356" s="5122"/>
      <c r="AX356" s="5122"/>
      <c r="AY356" s="5634"/>
      <c r="AZ356" s="5094" t="s">
        <v>1</v>
      </c>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5">
        <v>1</v>
      </c>
      <c r="CL356" s="1"/>
      <c r="CM356" s="1"/>
    </row>
    <row r="357" spans="2:91" s="187" customFormat="1" ht="21" customHeight="1">
      <c r="B357" s="5120"/>
      <c r="C357" s="5121"/>
      <c r="D357" s="5121"/>
      <c r="E357" s="5121"/>
      <c r="F357" s="5121"/>
      <c r="G357" s="5122"/>
      <c r="H357" s="5122"/>
      <c r="I357" s="5122"/>
      <c r="J357" s="5122"/>
      <c r="K357" s="5122"/>
      <c r="L357" s="5122"/>
      <c r="M357" s="5122"/>
      <c r="N357" s="5122"/>
      <c r="O357" s="5122"/>
      <c r="P357" s="5122"/>
      <c r="Q357" s="5634"/>
      <c r="R357" s="5094" t="s">
        <v>1</v>
      </c>
      <c r="S357" s="5120"/>
      <c r="T357" s="5121"/>
      <c r="U357" s="5121"/>
      <c r="V357" s="5121"/>
      <c r="W357" s="5121"/>
      <c r="X357" s="5122"/>
      <c r="Y357" s="5122"/>
      <c r="Z357" s="5122"/>
      <c r="AA357" s="5122"/>
      <c r="AB357" s="5122"/>
      <c r="AC357" s="5122"/>
      <c r="AD357" s="5122"/>
      <c r="AE357" s="5122"/>
      <c r="AF357" s="5122"/>
      <c r="AG357" s="5122"/>
      <c r="AH357" s="5634"/>
      <c r="AI357" s="5094" t="s">
        <v>1</v>
      </c>
      <c r="AJ357" s="5120"/>
      <c r="AK357" s="5121"/>
      <c r="AL357" s="5121"/>
      <c r="AM357" s="5121"/>
      <c r="AN357" s="5121"/>
      <c r="AO357" s="5122"/>
      <c r="AP357" s="5122"/>
      <c r="AQ357" s="5122"/>
      <c r="AR357" s="5122"/>
      <c r="AS357" s="5122"/>
      <c r="AT357" s="5122"/>
      <c r="AU357" s="5122"/>
      <c r="AV357" s="5122"/>
      <c r="AW357" s="5122"/>
      <c r="AX357" s="5122"/>
      <c r="AY357" s="5634"/>
      <c r="AZ357" s="5094" t="s">
        <v>1</v>
      </c>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5">
        <v>1</v>
      </c>
      <c r="CL357" s="1"/>
      <c r="CM357" s="1"/>
    </row>
    <row r="358" spans="2:91" s="187" customFormat="1" ht="21" customHeight="1">
      <c r="B358" s="5120"/>
      <c r="C358" s="5121"/>
      <c r="D358" s="5121"/>
      <c r="E358" s="5121"/>
      <c r="F358" s="5121"/>
      <c r="G358" s="5122"/>
      <c r="H358" s="5122"/>
      <c r="I358" s="5122"/>
      <c r="J358" s="5122"/>
      <c r="K358" s="5122"/>
      <c r="L358" s="5122"/>
      <c r="M358" s="5122"/>
      <c r="N358" s="5122"/>
      <c r="O358" s="5122"/>
      <c r="P358" s="5122"/>
      <c r="Q358" s="5634"/>
      <c r="R358" s="5094" t="s">
        <v>1</v>
      </c>
      <c r="S358" s="5120"/>
      <c r="T358" s="5121"/>
      <c r="U358" s="5121"/>
      <c r="V358" s="5121"/>
      <c r="W358" s="5121"/>
      <c r="X358" s="5122"/>
      <c r="Y358" s="5122"/>
      <c r="Z358" s="5122"/>
      <c r="AA358" s="5122"/>
      <c r="AB358" s="5122"/>
      <c r="AC358" s="5122"/>
      <c r="AD358" s="5122"/>
      <c r="AE358" s="5122"/>
      <c r="AF358" s="5122"/>
      <c r="AG358" s="5122"/>
      <c r="AH358" s="5634"/>
      <c r="AI358" s="5094" t="s">
        <v>1</v>
      </c>
      <c r="AJ358" s="5120"/>
      <c r="AK358" s="5121"/>
      <c r="AL358" s="5121"/>
      <c r="AM358" s="5121"/>
      <c r="AN358" s="5121"/>
      <c r="AO358" s="5122"/>
      <c r="AP358" s="5122"/>
      <c r="AQ358" s="5122"/>
      <c r="AR358" s="5122"/>
      <c r="AS358" s="5122"/>
      <c r="AT358" s="5122"/>
      <c r="AU358" s="5122"/>
      <c r="AV358" s="5122"/>
      <c r="AW358" s="5122"/>
      <c r="AX358" s="5122"/>
      <c r="AY358" s="5634"/>
      <c r="AZ358" s="5094" t="s">
        <v>1</v>
      </c>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5">
        <v>1</v>
      </c>
      <c r="CL358" s="1"/>
      <c r="CM358" s="1"/>
    </row>
    <row r="359" spans="2:91" s="187" customFormat="1" ht="21" customHeight="1">
      <c r="B359" s="5120"/>
      <c r="C359" s="5121"/>
      <c r="D359" s="5121"/>
      <c r="E359" s="5121"/>
      <c r="F359" s="5121"/>
      <c r="G359" s="5122"/>
      <c r="H359" s="5122"/>
      <c r="I359" s="5122"/>
      <c r="J359" s="5122"/>
      <c r="K359" s="5122"/>
      <c r="L359" s="5122"/>
      <c r="M359" s="5122"/>
      <c r="N359" s="5122"/>
      <c r="O359" s="5122"/>
      <c r="P359" s="5122"/>
      <c r="Q359" s="5634"/>
      <c r="R359" s="5094" t="s">
        <v>1</v>
      </c>
      <c r="S359" s="5120"/>
      <c r="T359" s="5121"/>
      <c r="U359" s="5121"/>
      <c r="V359" s="5121"/>
      <c r="W359" s="5121"/>
      <c r="X359" s="5122"/>
      <c r="Y359" s="5122"/>
      <c r="Z359" s="5122"/>
      <c r="AA359" s="5122"/>
      <c r="AB359" s="5122"/>
      <c r="AC359" s="5122"/>
      <c r="AD359" s="5122"/>
      <c r="AE359" s="5122"/>
      <c r="AF359" s="5122"/>
      <c r="AG359" s="5122"/>
      <c r="AH359" s="5634"/>
      <c r="AI359" s="5094" t="s">
        <v>1</v>
      </c>
      <c r="AJ359" s="5120"/>
      <c r="AK359" s="5121"/>
      <c r="AL359" s="5121"/>
      <c r="AM359" s="5121"/>
      <c r="AN359" s="5121"/>
      <c r="AO359" s="5122"/>
      <c r="AP359" s="5122"/>
      <c r="AQ359" s="5122"/>
      <c r="AR359" s="5122"/>
      <c r="AS359" s="5122"/>
      <c r="AT359" s="5122"/>
      <c r="AU359" s="5122"/>
      <c r="AV359" s="5122"/>
      <c r="AW359" s="5122"/>
      <c r="AX359" s="5122"/>
      <c r="AY359" s="5634"/>
      <c r="AZ359" s="5094" t="s">
        <v>1</v>
      </c>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5">
        <v>1</v>
      </c>
      <c r="CL359" s="1"/>
      <c r="CM359" s="1"/>
    </row>
    <row r="360" spans="2:91" s="187" customFormat="1" ht="21" customHeight="1">
      <c r="B360" s="5120"/>
      <c r="C360" s="5121"/>
      <c r="D360" s="5121"/>
      <c r="E360" s="5121"/>
      <c r="F360" s="5121"/>
      <c r="G360" s="5122"/>
      <c r="H360" s="5122"/>
      <c r="I360" s="5122"/>
      <c r="J360" s="5122"/>
      <c r="K360" s="5122"/>
      <c r="L360" s="5122"/>
      <c r="M360" s="5122"/>
      <c r="N360" s="5122"/>
      <c r="O360" s="5122"/>
      <c r="P360" s="5122"/>
      <c r="Q360" s="5634"/>
      <c r="R360" s="5094" t="s">
        <v>1</v>
      </c>
      <c r="S360" s="5120"/>
      <c r="T360" s="5121"/>
      <c r="U360" s="5121"/>
      <c r="V360" s="5121"/>
      <c r="W360" s="5121"/>
      <c r="X360" s="5122"/>
      <c r="Y360" s="5122"/>
      <c r="Z360" s="5122"/>
      <c r="AA360" s="5122"/>
      <c r="AB360" s="5122"/>
      <c r="AC360" s="5122"/>
      <c r="AD360" s="5122"/>
      <c r="AE360" s="5122"/>
      <c r="AF360" s="5122"/>
      <c r="AG360" s="5122"/>
      <c r="AH360" s="5634"/>
      <c r="AI360" s="5094" t="s">
        <v>1</v>
      </c>
      <c r="AJ360" s="5120"/>
      <c r="AK360" s="5121"/>
      <c r="AL360" s="5121"/>
      <c r="AM360" s="5121"/>
      <c r="AN360" s="5121"/>
      <c r="AO360" s="5122"/>
      <c r="AP360" s="5122"/>
      <c r="AQ360" s="5122"/>
      <c r="AR360" s="5122"/>
      <c r="AS360" s="5122"/>
      <c r="AT360" s="5122"/>
      <c r="AU360" s="5122"/>
      <c r="AV360" s="5122"/>
      <c r="AW360" s="5122"/>
      <c r="AX360" s="5122"/>
      <c r="AY360" s="5634"/>
      <c r="AZ360" s="5094" t="s">
        <v>1</v>
      </c>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5">
        <v>1</v>
      </c>
      <c r="CL360" s="1"/>
      <c r="CM360" s="1"/>
    </row>
    <row r="361" spans="2:91" s="187" customFormat="1" ht="21" customHeight="1">
      <c r="B361" s="5120"/>
      <c r="C361" s="5121"/>
      <c r="D361" s="5121"/>
      <c r="E361" s="5121"/>
      <c r="F361" s="5121"/>
      <c r="G361" s="5122"/>
      <c r="H361" s="5122"/>
      <c r="I361" s="5122"/>
      <c r="J361" s="5122"/>
      <c r="K361" s="5122"/>
      <c r="L361" s="5122"/>
      <c r="M361" s="5122"/>
      <c r="N361" s="5122"/>
      <c r="O361" s="5122"/>
      <c r="P361" s="5122"/>
      <c r="Q361" s="5634"/>
      <c r="R361" s="5094" t="s">
        <v>1</v>
      </c>
      <c r="S361" s="5120"/>
      <c r="T361" s="5121"/>
      <c r="U361" s="5121"/>
      <c r="V361" s="5121"/>
      <c r="W361" s="5121"/>
      <c r="X361" s="5122"/>
      <c r="Y361" s="5122"/>
      <c r="Z361" s="5122"/>
      <c r="AA361" s="5122"/>
      <c r="AB361" s="5122"/>
      <c r="AC361" s="5122"/>
      <c r="AD361" s="5122"/>
      <c r="AE361" s="5122"/>
      <c r="AF361" s="5122"/>
      <c r="AG361" s="5122"/>
      <c r="AH361" s="5634"/>
      <c r="AI361" s="5094" t="s">
        <v>1</v>
      </c>
      <c r="AJ361" s="5120"/>
      <c r="AK361" s="5121"/>
      <c r="AL361" s="5121"/>
      <c r="AM361" s="5121"/>
      <c r="AN361" s="5121"/>
      <c r="AO361" s="5122"/>
      <c r="AP361" s="5122"/>
      <c r="AQ361" s="5122"/>
      <c r="AR361" s="5122"/>
      <c r="AS361" s="5122"/>
      <c r="AT361" s="5122"/>
      <c r="AU361" s="5122"/>
      <c r="AV361" s="5122"/>
      <c r="AW361" s="5122"/>
      <c r="AX361" s="5122"/>
      <c r="AY361" s="5634"/>
      <c r="AZ361" s="5094" t="s">
        <v>1</v>
      </c>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5">
        <v>1</v>
      </c>
      <c r="CL361" s="1"/>
      <c r="CM361" s="1"/>
    </row>
    <row r="362" spans="2:91" s="187" customFormat="1" ht="21" customHeight="1">
      <c r="B362" s="5120"/>
      <c r="C362" s="5121"/>
      <c r="D362" s="5121"/>
      <c r="E362" s="5121"/>
      <c r="F362" s="5121"/>
      <c r="G362" s="5122"/>
      <c r="H362" s="5122"/>
      <c r="I362" s="5122"/>
      <c r="J362" s="5122"/>
      <c r="K362" s="5122"/>
      <c r="L362" s="5122"/>
      <c r="M362" s="5122"/>
      <c r="N362" s="5122"/>
      <c r="O362" s="5122"/>
      <c r="P362" s="5122"/>
      <c r="Q362" s="5634"/>
      <c r="R362" s="5094" t="s">
        <v>1</v>
      </c>
      <c r="S362" s="5120"/>
      <c r="T362" s="5121"/>
      <c r="U362" s="5121"/>
      <c r="V362" s="5121"/>
      <c r="W362" s="5121"/>
      <c r="X362" s="5122"/>
      <c r="Y362" s="5122"/>
      <c r="Z362" s="5122"/>
      <c r="AA362" s="5122"/>
      <c r="AB362" s="5122"/>
      <c r="AC362" s="5122"/>
      <c r="AD362" s="5122"/>
      <c r="AE362" s="5122"/>
      <c r="AF362" s="5122"/>
      <c r="AG362" s="5122"/>
      <c r="AH362" s="5634"/>
      <c r="AI362" s="5094" t="s">
        <v>1</v>
      </c>
      <c r="AJ362" s="5120"/>
      <c r="AK362" s="5121"/>
      <c r="AL362" s="5121"/>
      <c r="AM362" s="5121"/>
      <c r="AN362" s="5121"/>
      <c r="AO362" s="5122"/>
      <c r="AP362" s="5122"/>
      <c r="AQ362" s="5122"/>
      <c r="AR362" s="5122"/>
      <c r="AS362" s="5122"/>
      <c r="AT362" s="5122"/>
      <c r="AU362" s="5122"/>
      <c r="AV362" s="5122"/>
      <c r="AW362" s="5122"/>
      <c r="AX362" s="5122"/>
      <c r="AY362" s="5634"/>
      <c r="AZ362" s="5094" t="s">
        <v>1</v>
      </c>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5">
        <v>1</v>
      </c>
      <c r="CL362" s="1"/>
      <c r="CM362" s="1"/>
    </row>
    <row r="363" spans="2:91" s="187" customFormat="1" ht="21" customHeight="1">
      <c r="B363" s="5120"/>
      <c r="C363" s="5121"/>
      <c r="D363" s="5121"/>
      <c r="E363" s="5121"/>
      <c r="F363" s="5121"/>
      <c r="G363" s="5122"/>
      <c r="H363" s="5122"/>
      <c r="I363" s="5122"/>
      <c r="J363" s="5122"/>
      <c r="K363" s="5122"/>
      <c r="L363" s="5122"/>
      <c r="M363" s="5122"/>
      <c r="N363" s="5122"/>
      <c r="O363" s="5122"/>
      <c r="P363" s="5122"/>
      <c r="Q363" s="5634"/>
      <c r="R363" s="5094" t="s">
        <v>1</v>
      </c>
      <c r="S363" s="5120"/>
      <c r="T363" s="5121"/>
      <c r="U363" s="5121"/>
      <c r="V363" s="5121"/>
      <c r="W363" s="5121"/>
      <c r="X363" s="5122"/>
      <c r="Y363" s="5122"/>
      <c r="Z363" s="5122"/>
      <c r="AA363" s="5122"/>
      <c r="AB363" s="5122"/>
      <c r="AC363" s="5122"/>
      <c r="AD363" s="5122"/>
      <c r="AE363" s="5122"/>
      <c r="AF363" s="5122"/>
      <c r="AG363" s="5122"/>
      <c r="AH363" s="5634"/>
      <c r="AI363" s="5094" t="s">
        <v>1</v>
      </c>
      <c r="AJ363" s="5120"/>
      <c r="AK363" s="5121"/>
      <c r="AL363" s="5121"/>
      <c r="AM363" s="5121"/>
      <c r="AN363" s="5121"/>
      <c r="AO363" s="5122"/>
      <c r="AP363" s="5122"/>
      <c r="AQ363" s="5122"/>
      <c r="AR363" s="5122"/>
      <c r="AS363" s="5122"/>
      <c r="AT363" s="5122"/>
      <c r="AU363" s="5122"/>
      <c r="AV363" s="5122"/>
      <c r="AW363" s="5122"/>
      <c r="AX363" s="5122"/>
      <c r="AY363" s="5634"/>
      <c r="AZ363" s="5094" t="s">
        <v>1</v>
      </c>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5">
        <v>1</v>
      </c>
      <c r="CL363" s="1"/>
      <c r="CM363" s="1"/>
    </row>
    <row r="364" spans="2:91" s="187" customFormat="1" ht="21" customHeight="1">
      <c r="B364" s="5120"/>
      <c r="C364" s="5121"/>
      <c r="D364" s="5121"/>
      <c r="E364" s="5121"/>
      <c r="F364" s="5121"/>
      <c r="G364" s="5122"/>
      <c r="H364" s="5122"/>
      <c r="I364" s="5122"/>
      <c r="J364" s="5122"/>
      <c r="K364" s="5122"/>
      <c r="L364" s="5122"/>
      <c r="M364" s="5122"/>
      <c r="N364" s="5122"/>
      <c r="O364" s="5122"/>
      <c r="P364" s="5122"/>
      <c r="Q364" s="5634"/>
      <c r="R364" s="5094" t="s">
        <v>1</v>
      </c>
      <c r="S364" s="5120"/>
      <c r="T364" s="5121"/>
      <c r="U364" s="5121"/>
      <c r="V364" s="5121"/>
      <c r="W364" s="5121"/>
      <c r="X364" s="5122"/>
      <c r="Y364" s="5122"/>
      <c r="Z364" s="5122"/>
      <c r="AA364" s="5122"/>
      <c r="AB364" s="5122"/>
      <c r="AC364" s="5122"/>
      <c r="AD364" s="5122"/>
      <c r="AE364" s="5122"/>
      <c r="AF364" s="5122"/>
      <c r="AG364" s="5122"/>
      <c r="AH364" s="5634"/>
      <c r="AI364" s="5094" t="s">
        <v>1</v>
      </c>
      <c r="AJ364" s="5120"/>
      <c r="AK364" s="5121"/>
      <c r="AL364" s="5121"/>
      <c r="AM364" s="5121"/>
      <c r="AN364" s="5121"/>
      <c r="AO364" s="5122"/>
      <c r="AP364" s="5122"/>
      <c r="AQ364" s="5122"/>
      <c r="AR364" s="5122"/>
      <c r="AS364" s="5122"/>
      <c r="AT364" s="5122"/>
      <c r="AU364" s="5122"/>
      <c r="AV364" s="5122"/>
      <c r="AW364" s="5122"/>
      <c r="AX364" s="5122"/>
      <c r="AY364" s="5634"/>
      <c r="AZ364" s="5094" t="s">
        <v>1</v>
      </c>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5">
        <v>1</v>
      </c>
      <c r="CL364" s="1"/>
      <c r="CM364" s="1"/>
    </row>
    <row r="365" spans="2:91" s="187" customFormat="1" ht="21" customHeight="1">
      <c r="B365" s="5120"/>
      <c r="C365" s="5121"/>
      <c r="D365" s="5121"/>
      <c r="E365" s="5121"/>
      <c r="F365" s="5121"/>
      <c r="G365" s="5122"/>
      <c r="H365" s="5122"/>
      <c r="I365" s="5122"/>
      <c r="J365" s="5122"/>
      <c r="K365" s="5122"/>
      <c r="L365" s="5122"/>
      <c r="M365" s="5122"/>
      <c r="N365" s="5122"/>
      <c r="O365" s="5122"/>
      <c r="P365" s="5122"/>
      <c r="Q365" s="5634"/>
      <c r="R365" s="5094" t="s">
        <v>1</v>
      </c>
      <c r="S365" s="5120"/>
      <c r="T365" s="5121"/>
      <c r="U365" s="5121"/>
      <c r="V365" s="5121"/>
      <c r="W365" s="5121"/>
      <c r="X365" s="5122"/>
      <c r="Y365" s="5122"/>
      <c r="Z365" s="5122"/>
      <c r="AA365" s="5122"/>
      <c r="AB365" s="5122"/>
      <c r="AC365" s="5122"/>
      <c r="AD365" s="5122"/>
      <c r="AE365" s="5122"/>
      <c r="AF365" s="5122"/>
      <c r="AG365" s="5122"/>
      <c r="AH365" s="5634"/>
      <c r="AI365" s="5094" t="s">
        <v>1</v>
      </c>
      <c r="AJ365" s="5120"/>
      <c r="AK365" s="5121"/>
      <c r="AL365" s="5121"/>
      <c r="AM365" s="5121"/>
      <c r="AN365" s="5121"/>
      <c r="AO365" s="5122"/>
      <c r="AP365" s="5122"/>
      <c r="AQ365" s="5122"/>
      <c r="AR365" s="5122"/>
      <c r="AS365" s="5122"/>
      <c r="AT365" s="5122"/>
      <c r="AU365" s="5122"/>
      <c r="AV365" s="5122"/>
      <c r="AW365" s="5122"/>
      <c r="AX365" s="5122"/>
      <c r="AY365" s="5634"/>
      <c r="AZ365" s="5094" t="s">
        <v>1</v>
      </c>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5">
        <v>1</v>
      </c>
      <c r="CL365" s="1"/>
      <c r="CM365" s="1"/>
    </row>
    <row r="366" spans="2:91" s="187" customFormat="1" ht="21" customHeight="1">
      <c r="B366" s="5120"/>
      <c r="C366" s="5121"/>
      <c r="D366" s="5121"/>
      <c r="E366" s="5121"/>
      <c r="F366" s="5121"/>
      <c r="G366" s="5122"/>
      <c r="H366" s="5122"/>
      <c r="I366" s="5122"/>
      <c r="J366" s="5122"/>
      <c r="K366" s="5122"/>
      <c r="L366" s="5122"/>
      <c r="M366" s="5122"/>
      <c r="N366" s="5122"/>
      <c r="O366" s="5122"/>
      <c r="P366" s="5122"/>
      <c r="Q366" s="5634"/>
      <c r="R366" s="5094" t="s">
        <v>1</v>
      </c>
      <c r="S366" s="5120"/>
      <c r="T366" s="5121"/>
      <c r="U366" s="5121"/>
      <c r="V366" s="5121"/>
      <c r="W366" s="5121"/>
      <c r="X366" s="5122"/>
      <c r="Y366" s="5122"/>
      <c r="Z366" s="5122"/>
      <c r="AA366" s="5122"/>
      <c r="AB366" s="5122"/>
      <c r="AC366" s="5122"/>
      <c r="AD366" s="5122"/>
      <c r="AE366" s="5122"/>
      <c r="AF366" s="5122"/>
      <c r="AG366" s="5122"/>
      <c r="AH366" s="5634"/>
      <c r="AI366" s="5094" t="s">
        <v>1</v>
      </c>
      <c r="AJ366" s="5120"/>
      <c r="AK366" s="5121"/>
      <c r="AL366" s="5121"/>
      <c r="AM366" s="5121"/>
      <c r="AN366" s="5121"/>
      <c r="AO366" s="5122"/>
      <c r="AP366" s="5122"/>
      <c r="AQ366" s="5122"/>
      <c r="AR366" s="5122"/>
      <c r="AS366" s="5122"/>
      <c r="AT366" s="5122"/>
      <c r="AU366" s="5122"/>
      <c r="AV366" s="5122"/>
      <c r="AW366" s="5122"/>
      <c r="AX366" s="5122"/>
      <c r="AY366" s="5634"/>
      <c r="AZ366" s="5094" t="s">
        <v>1</v>
      </c>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5">
        <v>1</v>
      </c>
      <c r="CL366" s="1"/>
      <c r="CM366" s="1"/>
    </row>
    <row r="367" spans="2:91" s="187" customFormat="1" ht="21" customHeight="1">
      <c r="B367" s="5120"/>
      <c r="C367" s="5121"/>
      <c r="D367" s="5121"/>
      <c r="E367" s="5121"/>
      <c r="F367" s="5121"/>
      <c r="G367" s="5122"/>
      <c r="H367" s="5122"/>
      <c r="I367" s="5122"/>
      <c r="J367" s="5122"/>
      <c r="K367" s="5122"/>
      <c r="L367" s="5122"/>
      <c r="M367" s="5122"/>
      <c r="N367" s="5122"/>
      <c r="O367" s="5122"/>
      <c r="P367" s="5122"/>
      <c r="Q367" s="5634"/>
      <c r="R367" s="5094" t="s">
        <v>1</v>
      </c>
      <c r="S367" s="5120"/>
      <c r="T367" s="5121"/>
      <c r="U367" s="5121"/>
      <c r="V367" s="5121"/>
      <c r="W367" s="5121"/>
      <c r="X367" s="5122"/>
      <c r="Y367" s="5122"/>
      <c r="Z367" s="5122"/>
      <c r="AA367" s="5122"/>
      <c r="AB367" s="5122"/>
      <c r="AC367" s="5122"/>
      <c r="AD367" s="5122"/>
      <c r="AE367" s="5122"/>
      <c r="AF367" s="5122"/>
      <c r="AG367" s="5122"/>
      <c r="AH367" s="5634"/>
      <c r="AI367" s="5094" t="s">
        <v>1</v>
      </c>
      <c r="AJ367" s="5120"/>
      <c r="AK367" s="5121"/>
      <c r="AL367" s="5121"/>
      <c r="AM367" s="5121"/>
      <c r="AN367" s="5121"/>
      <c r="AO367" s="5122"/>
      <c r="AP367" s="5122"/>
      <c r="AQ367" s="5122"/>
      <c r="AR367" s="5122"/>
      <c r="AS367" s="5122"/>
      <c r="AT367" s="5122"/>
      <c r="AU367" s="5122"/>
      <c r="AV367" s="5122"/>
      <c r="AW367" s="5122"/>
      <c r="AX367" s="5122"/>
      <c r="AY367" s="5634"/>
      <c r="AZ367" s="5094" t="s">
        <v>1</v>
      </c>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5">
        <v>1</v>
      </c>
      <c r="CL367" s="1"/>
      <c r="CM367" s="1"/>
    </row>
    <row r="368" spans="2:91" s="187" customFormat="1" ht="21" customHeight="1">
      <c r="B368" s="5120"/>
      <c r="C368" s="5121"/>
      <c r="D368" s="5121"/>
      <c r="E368" s="5121"/>
      <c r="F368" s="5121"/>
      <c r="G368" s="5122"/>
      <c r="H368" s="5122"/>
      <c r="I368" s="5122"/>
      <c r="J368" s="5122"/>
      <c r="K368" s="5122"/>
      <c r="L368" s="5122"/>
      <c r="M368" s="5122"/>
      <c r="N368" s="5122"/>
      <c r="O368" s="5122"/>
      <c r="P368" s="5122"/>
      <c r="Q368" s="5634"/>
      <c r="R368" s="5094" t="s">
        <v>1</v>
      </c>
      <c r="S368" s="5120"/>
      <c r="T368" s="5121"/>
      <c r="U368" s="5121"/>
      <c r="V368" s="5121"/>
      <c r="W368" s="5121"/>
      <c r="X368" s="5122"/>
      <c r="Y368" s="5122"/>
      <c r="Z368" s="5122"/>
      <c r="AA368" s="5122"/>
      <c r="AB368" s="5122"/>
      <c r="AC368" s="5122"/>
      <c r="AD368" s="5122"/>
      <c r="AE368" s="5122"/>
      <c r="AF368" s="5122"/>
      <c r="AG368" s="5122"/>
      <c r="AH368" s="5634"/>
      <c r="AI368" s="5094" t="s">
        <v>1</v>
      </c>
      <c r="AJ368" s="5120"/>
      <c r="AK368" s="5121"/>
      <c r="AL368" s="5121"/>
      <c r="AM368" s="5121"/>
      <c r="AN368" s="5121"/>
      <c r="AO368" s="5122"/>
      <c r="AP368" s="5122"/>
      <c r="AQ368" s="5122"/>
      <c r="AR368" s="5122"/>
      <c r="AS368" s="5122"/>
      <c r="AT368" s="5122"/>
      <c r="AU368" s="5122"/>
      <c r="AV368" s="5122"/>
      <c r="AW368" s="5122"/>
      <c r="AX368" s="5122"/>
      <c r="AY368" s="5634"/>
      <c r="AZ368" s="5094" t="s">
        <v>1</v>
      </c>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5">
        <v>1</v>
      </c>
      <c r="CL368" s="1"/>
      <c r="CM368" s="1"/>
    </row>
    <row r="369" spans="2:91" s="187" customFormat="1" ht="21" customHeight="1">
      <c r="B369" s="5120"/>
      <c r="C369" s="5121"/>
      <c r="D369" s="5121"/>
      <c r="E369" s="5121"/>
      <c r="F369" s="5121"/>
      <c r="G369" s="5122"/>
      <c r="H369" s="5122"/>
      <c r="I369" s="5122"/>
      <c r="J369" s="5122"/>
      <c r="K369" s="5122"/>
      <c r="L369" s="5122"/>
      <c r="M369" s="5122"/>
      <c r="N369" s="5122"/>
      <c r="O369" s="5122"/>
      <c r="P369" s="5122"/>
      <c r="Q369" s="5634"/>
      <c r="R369" s="5094" t="s">
        <v>1</v>
      </c>
      <c r="S369" s="5120"/>
      <c r="T369" s="5121"/>
      <c r="U369" s="5121"/>
      <c r="V369" s="5121"/>
      <c r="W369" s="5121"/>
      <c r="X369" s="5122"/>
      <c r="Y369" s="5122"/>
      <c r="Z369" s="5122"/>
      <c r="AA369" s="5122"/>
      <c r="AB369" s="5122"/>
      <c r="AC369" s="5122"/>
      <c r="AD369" s="5122"/>
      <c r="AE369" s="5122"/>
      <c r="AF369" s="5122"/>
      <c r="AG369" s="5122"/>
      <c r="AH369" s="5634"/>
      <c r="AI369" s="5094" t="s">
        <v>1</v>
      </c>
      <c r="AJ369" s="5120"/>
      <c r="AK369" s="5121"/>
      <c r="AL369" s="5121"/>
      <c r="AM369" s="5121"/>
      <c r="AN369" s="5121"/>
      <c r="AO369" s="5122"/>
      <c r="AP369" s="5122"/>
      <c r="AQ369" s="5122"/>
      <c r="AR369" s="5122"/>
      <c r="AS369" s="5122"/>
      <c r="AT369" s="5122"/>
      <c r="AU369" s="5122"/>
      <c r="AV369" s="5122"/>
      <c r="AW369" s="5122"/>
      <c r="AX369" s="5122"/>
      <c r="AY369" s="5634"/>
      <c r="AZ369" s="5094" t="s">
        <v>1</v>
      </c>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5">
        <v>1</v>
      </c>
      <c r="CL369" s="1"/>
      <c r="CM369" s="1"/>
    </row>
    <row r="370" spans="2:91" s="187" customFormat="1" ht="21" customHeight="1">
      <c r="B370" s="5120"/>
      <c r="C370" s="5121"/>
      <c r="D370" s="5121"/>
      <c r="E370" s="5121"/>
      <c r="F370" s="5121"/>
      <c r="G370" s="5122"/>
      <c r="H370" s="5122"/>
      <c r="I370" s="5122"/>
      <c r="J370" s="5122"/>
      <c r="K370" s="5122"/>
      <c r="L370" s="5122"/>
      <c r="M370" s="5122"/>
      <c r="N370" s="5122"/>
      <c r="O370" s="5122"/>
      <c r="P370" s="5122"/>
      <c r="Q370" s="5634"/>
      <c r="R370" s="5094" t="s">
        <v>1</v>
      </c>
      <c r="S370" s="5120"/>
      <c r="T370" s="5121"/>
      <c r="U370" s="5121"/>
      <c r="V370" s="5121"/>
      <c r="W370" s="5121"/>
      <c r="X370" s="5122"/>
      <c r="Y370" s="5122"/>
      <c r="Z370" s="5122"/>
      <c r="AA370" s="5122"/>
      <c r="AB370" s="5122"/>
      <c r="AC370" s="5122"/>
      <c r="AD370" s="5122"/>
      <c r="AE370" s="5122"/>
      <c r="AF370" s="5122"/>
      <c r="AG370" s="5122"/>
      <c r="AH370" s="5634"/>
      <c r="AI370" s="5094" t="s">
        <v>1</v>
      </c>
      <c r="AJ370" s="5120"/>
      <c r="AK370" s="5121"/>
      <c r="AL370" s="5121"/>
      <c r="AM370" s="5121"/>
      <c r="AN370" s="5121"/>
      <c r="AO370" s="5122"/>
      <c r="AP370" s="5122"/>
      <c r="AQ370" s="5122"/>
      <c r="AR370" s="5122"/>
      <c r="AS370" s="5122"/>
      <c r="AT370" s="5122"/>
      <c r="AU370" s="5122"/>
      <c r="AV370" s="5122"/>
      <c r="AW370" s="5122"/>
      <c r="AX370" s="5122"/>
      <c r="AY370" s="5634"/>
      <c r="AZ370" s="5094" t="s">
        <v>1</v>
      </c>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5">
        <v>1</v>
      </c>
      <c r="CL370" s="1"/>
      <c r="CM370" s="1"/>
    </row>
    <row r="371" spans="2:91" s="187" customFormat="1" ht="21" customHeight="1">
      <c r="B371" s="5120"/>
      <c r="C371" s="5121"/>
      <c r="D371" s="5121"/>
      <c r="E371" s="5121"/>
      <c r="F371" s="5121"/>
      <c r="G371" s="5122"/>
      <c r="H371" s="5122"/>
      <c r="I371" s="5122"/>
      <c r="J371" s="5122"/>
      <c r="K371" s="5122"/>
      <c r="L371" s="5122"/>
      <c r="M371" s="5122"/>
      <c r="N371" s="5122"/>
      <c r="O371" s="5122"/>
      <c r="P371" s="5122"/>
      <c r="Q371" s="5634"/>
      <c r="R371" s="5094" t="s">
        <v>1</v>
      </c>
      <c r="S371" s="5120"/>
      <c r="T371" s="5121"/>
      <c r="U371" s="5121"/>
      <c r="V371" s="5121"/>
      <c r="W371" s="5121"/>
      <c r="X371" s="5122"/>
      <c r="Y371" s="5122"/>
      <c r="Z371" s="5122"/>
      <c r="AA371" s="5122"/>
      <c r="AB371" s="5122"/>
      <c r="AC371" s="5122"/>
      <c r="AD371" s="5122"/>
      <c r="AE371" s="5122"/>
      <c r="AF371" s="5122"/>
      <c r="AG371" s="5122"/>
      <c r="AH371" s="5634"/>
      <c r="AI371" s="5094" t="s">
        <v>1</v>
      </c>
      <c r="AJ371" s="5120"/>
      <c r="AK371" s="5121"/>
      <c r="AL371" s="5121"/>
      <c r="AM371" s="5121"/>
      <c r="AN371" s="5121"/>
      <c r="AO371" s="5122"/>
      <c r="AP371" s="5122"/>
      <c r="AQ371" s="5122"/>
      <c r="AR371" s="5122"/>
      <c r="AS371" s="5122"/>
      <c r="AT371" s="5122"/>
      <c r="AU371" s="5122"/>
      <c r="AV371" s="5122"/>
      <c r="AW371" s="5122"/>
      <c r="AX371" s="5122"/>
      <c r="AY371" s="5634"/>
      <c r="AZ371" s="5094" t="s">
        <v>1</v>
      </c>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5">
        <v>1</v>
      </c>
      <c r="CL371" s="1"/>
      <c r="CM371" s="1"/>
    </row>
    <row r="372" spans="2:91" s="187" customFormat="1" ht="21" customHeight="1">
      <c r="B372" s="5120"/>
      <c r="C372" s="5121"/>
      <c r="D372" s="5121"/>
      <c r="E372" s="5121"/>
      <c r="F372" s="5121"/>
      <c r="G372" s="5122"/>
      <c r="H372" s="5122"/>
      <c r="I372" s="5122"/>
      <c r="J372" s="5122"/>
      <c r="K372" s="5122"/>
      <c r="L372" s="5122"/>
      <c r="M372" s="5122"/>
      <c r="N372" s="5122"/>
      <c r="O372" s="5122"/>
      <c r="P372" s="5122"/>
      <c r="Q372" s="5634"/>
      <c r="R372" s="5094" t="s">
        <v>1</v>
      </c>
      <c r="S372" s="5120"/>
      <c r="T372" s="5121"/>
      <c r="U372" s="5121"/>
      <c r="V372" s="5121"/>
      <c r="W372" s="5121"/>
      <c r="X372" s="5122"/>
      <c r="Y372" s="5122"/>
      <c r="Z372" s="5122"/>
      <c r="AA372" s="5122"/>
      <c r="AB372" s="5122"/>
      <c r="AC372" s="5122"/>
      <c r="AD372" s="5122"/>
      <c r="AE372" s="5122"/>
      <c r="AF372" s="5122"/>
      <c r="AG372" s="5122"/>
      <c r="AH372" s="5634"/>
      <c r="AI372" s="5094" t="s">
        <v>1</v>
      </c>
      <c r="AJ372" s="5120"/>
      <c r="AK372" s="5121"/>
      <c r="AL372" s="5121"/>
      <c r="AM372" s="5121"/>
      <c r="AN372" s="5121"/>
      <c r="AO372" s="5122"/>
      <c r="AP372" s="5122"/>
      <c r="AQ372" s="5122"/>
      <c r="AR372" s="5122"/>
      <c r="AS372" s="5122"/>
      <c r="AT372" s="5122"/>
      <c r="AU372" s="5122"/>
      <c r="AV372" s="5122"/>
      <c r="AW372" s="5122"/>
      <c r="AX372" s="5122"/>
      <c r="AY372" s="5634"/>
      <c r="AZ372" s="5094" t="s">
        <v>1</v>
      </c>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5">
        <v>1</v>
      </c>
      <c r="CL372" s="1"/>
      <c r="CM372" s="1"/>
    </row>
    <row r="373" spans="2:91" s="187" customFormat="1" ht="21" customHeight="1">
      <c r="B373" s="5120"/>
      <c r="C373" s="5121"/>
      <c r="D373" s="5121"/>
      <c r="E373" s="5121"/>
      <c r="F373" s="5121"/>
      <c r="G373" s="5122"/>
      <c r="H373" s="5122"/>
      <c r="I373" s="5122"/>
      <c r="J373" s="5122"/>
      <c r="K373" s="5122"/>
      <c r="L373" s="5122"/>
      <c r="M373" s="5122"/>
      <c r="N373" s="5122"/>
      <c r="O373" s="5122"/>
      <c r="P373" s="5122"/>
      <c r="Q373" s="5634"/>
      <c r="R373" s="5094" t="s">
        <v>1</v>
      </c>
      <c r="S373" s="5120"/>
      <c r="T373" s="5121"/>
      <c r="U373" s="5121"/>
      <c r="V373" s="5121"/>
      <c r="W373" s="5121"/>
      <c r="X373" s="5122"/>
      <c r="Y373" s="5122"/>
      <c r="Z373" s="5122"/>
      <c r="AA373" s="5122"/>
      <c r="AB373" s="5122"/>
      <c r="AC373" s="5122"/>
      <c r="AD373" s="5122"/>
      <c r="AE373" s="5122"/>
      <c r="AF373" s="5122"/>
      <c r="AG373" s="5122"/>
      <c r="AH373" s="5634"/>
      <c r="AI373" s="5094" t="s">
        <v>1</v>
      </c>
      <c r="AJ373" s="5120"/>
      <c r="AK373" s="5121"/>
      <c r="AL373" s="5121"/>
      <c r="AM373" s="5121"/>
      <c r="AN373" s="5121"/>
      <c r="AO373" s="5122"/>
      <c r="AP373" s="5122"/>
      <c r="AQ373" s="5122"/>
      <c r="AR373" s="5122"/>
      <c r="AS373" s="5122"/>
      <c r="AT373" s="5122"/>
      <c r="AU373" s="5122"/>
      <c r="AV373" s="5122"/>
      <c r="AW373" s="5122"/>
      <c r="AX373" s="5122"/>
      <c r="AY373" s="5634"/>
      <c r="AZ373" s="5094" t="s">
        <v>1</v>
      </c>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5">
        <v>1</v>
      </c>
      <c r="CL373" s="1"/>
      <c r="CM373" s="1"/>
    </row>
    <row r="374" spans="2:91" s="187" customFormat="1" ht="21" customHeight="1">
      <c r="B374" s="5120"/>
      <c r="C374" s="5121"/>
      <c r="D374" s="5121"/>
      <c r="E374" s="5121"/>
      <c r="F374" s="5121"/>
      <c r="G374" s="5122"/>
      <c r="H374" s="5122"/>
      <c r="I374" s="5122"/>
      <c r="J374" s="5122"/>
      <c r="K374" s="5122"/>
      <c r="L374" s="5122"/>
      <c r="M374" s="5122"/>
      <c r="N374" s="5122"/>
      <c r="O374" s="5122"/>
      <c r="P374" s="5122"/>
      <c r="Q374" s="5634"/>
      <c r="R374" s="5094" t="s">
        <v>1</v>
      </c>
      <c r="S374" s="5120"/>
      <c r="T374" s="5121"/>
      <c r="U374" s="5121"/>
      <c r="V374" s="5121"/>
      <c r="W374" s="5121"/>
      <c r="X374" s="5122"/>
      <c r="Y374" s="5122"/>
      <c r="Z374" s="5122"/>
      <c r="AA374" s="5122"/>
      <c r="AB374" s="5122"/>
      <c r="AC374" s="5122"/>
      <c r="AD374" s="5122"/>
      <c r="AE374" s="5122"/>
      <c r="AF374" s="5122"/>
      <c r="AG374" s="5122"/>
      <c r="AH374" s="5634"/>
      <c r="AI374" s="5094" t="s">
        <v>1</v>
      </c>
      <c r="AJ374" s="5120"/>
      <c r="AK374" s="5121"/>
      <c r="AL374" s="5121"/>
      <c r="AM374" s="5121"/>
      <c r="AN374" s="5121"/>
      <c r="AO374" s="5122"/>
      <c r="AP374" s="5122"/>
      <c r="AQ374" s="5122"/>
      <c r="AR374" s="5122"/>
      <c r="AS374" s="5122"/>
      <c r="AT374" s="5122"/>
      <c r="AU374" s="5122"/>
      <c r="AV374" s="5122"/>
      <c r="AW374" s="5122"/>
      <c r="AX374" s="5122"/>
      <c r="AY374" s="5634"/>
      <c r="AZ374" s="5094" t="s">
        <v>1</v>
      </c>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5">
        <v>1</v>
      </c>
      <c r="CL374" s="1"/>
      <c r="CM374" s="1"/>
    </row>
    <row r="375" spans="2:91" s="187" customFormat="1" ht="21" customHeight="1">
      <c r="B375" s="5120"/>
      <c r="C375" s="5121"/>
      <c r="D375" s="5121"/>
      <c r="E375" s="5121"/>
      <c r="F375" s="5121"/>
      <c r="G375" s="5122"/>
      <c r="H375" s="5122"/>
      <c r="I375" s="5122"/>
      <c r="J375" s="5122"/>
      <c r="K375" s="5122"/>
      <c r="L375" s="5122"/>
      <c r="M375" s="5122"/>
      <c r="N375" s="5122"/>
      <c r="O375" s="5122"/>
      <c r="P375" s="5122"/>
      <c r="Q375" s="5634"/>
      <c r="R375" s="5094" t="s">
        <v>1</v>
      </c>
      <c r="S375" s="5120"/>
      <c r="T375" s="5121"/>
      <c r="U375" s="5121"/>
      <c r="V375" s="5121"/>
      <c r="W375" s="5121"/>
      <c r="X375" s="5122"/>
      <c r="Y375" s="5122"/>
      <c r="Z375" s="5122"/>
      <c r="AA375" s="5122"/>
      <c r="AB375" s="5122"/>
      <c r="AC375" s="5122"/>
      <c r="AD375" s="5122"/>
      <c r="AE375" s="5122"/>
      <c r="AF375" s="5122"/>
      <c r="AG375" s="5122"/>
      <c r="AH375" s="5634"/>
      <c r="AI375" s="5094" t="s">
        <v>1</v>
      </c>
      <c r="AJ375" s="5120"/>
      <c r="AK375" s="5121"/>
      <c r="AL375" s="5121"/>
      <c r="AM375" s="5121"/>
      <c r="AN375" s="5121"/>
      <c r="AO375" s="5122"/>
      <c r="AP375" s="5122"/>
      <c r="AQ375" s="5122"/>
      <c r="AR375" s="5122"/>
      <c r="AS375" s="5122"/>
      <c r="AT375" s="5122"/>
      <c r="AU375" s="5122"/>
      <c r="AV375" s="5122"/>
      <c r="AW375" s="5122"/>
      <c r="AX375" s="5122"/>
      <c r="AY375" s="5634"/>
      <c r="AZ375" s="5094" t="s">
        <v>1</v>
      </c>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5">
        <v>1</v>
      </c>
      <c r="CL375" s="1"/>
      <c r="CM375" s="1"/>
    </row>
    <row r="376" spans="2:91" s="187" customFormat="1" ht="21" customHeight="1">
      <c r="B376" s="5120"/>
      <c r="C376" s="5121"/>
      <c r="D376" s="5121"/>
      <c r="E376" s="5121"/>
      <c r="F376" s="5121"/>
      <c r="G376" s="5122"/>
      <c r="H376" s="5122"/>
      <c r="I376" s="5122"/>
      <c r="J376" s="5122"/>
      <c r="K376" s="5122"/>
      <c r="L376" s="5122"/>
      <c r="M376" s="5122"/>
      <c r="N376" s="5122"/>
      <c r="O376" s="5122"/>
      <c r="P376" s="5122"/>
      <c r="Q376" s="5634"/>
      <c r="R376" s="5094" t="s">
        <v>1</v>
      </c>
      <c r="S376" s="5120"/>
      <c r="T376" s="5121"/>
      <c r="U376" s="5121"/>
      <c r="V376" s="5121"/>
      <c r="W376" s="5121"/>
      <c r="X376" s="5122"/>
      <c r="Y376" s="5122"/>
      <c r="Z376" s="5122"/>
      <c r="AA376" s="5122"/>
      <c r="AB376" s="5122"/>
      <c r="AC376" s="5122"/>
      <c r="AD376" s="5122"/>
      <c r="AE376" s="5122"/>
      <c r="AF376" s="5122"/>
      <c r="AG376" s="5122"/>
      <c r="AH376" s="5634"/>
      <c r="AI376" s="5094" t="s">
        <v>1</v>
      </c>
      <c r="AJ376" s="5120"/>
      <c r="AK376" s="5121"/>
      <c r="AL376" s="5121"/>
      <c r="AM376" s="5121"/>
      <c r="AN376" s="5121"/>
      <c r="AO376" s="5122"/>
      <c r="AP376" s="5122"/>
      <c r="AQ376" s="5122"/>
      <c r="AR376" s="5122"/>
      <c r="AS376" s="5122"/>
      <c r="AT376" s="5122"/>
      <c r="AU376" s="5122"/>
      <c r="AV376" s="5122"/>
      <c r="AW376" s="5122"/>
      <c r="AX376" s="5122"/>
      <c r="AY376" s="5634"/>
      <c r="AZ376" s="5094" t="s">
        <v>1</v>
      </c>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5">
        <v>1</v>
      </c>
      <c r="CL376" s="1"/>
      <c r="CM376" s="1"/>
    </row>
    <row r="377" spans="2:91" s="187" customFormat="1" ht="21" customHeight="1">
      <c r="B377" s="5120"/>
      <c r="C377" s="5121"/>
      <c r="D377" s="5121"/>
      <c r="E377" s="5121"/>
      <c r="F377" s="5121"/>
      <c r="G377" s="5122"/>
      <c r="H377" s="5122"/>
      <c r="I377" s="5122"/>
      <c r="J377" s="5122"/>
      <c r="K377" s="5122"/>
      <c r="L377" s="5122"/>
      <c r="M377" s="5122"/>
      <c r="N377" s="5122"/>
      <c r="O377" s="5122"/>
      <c r="P377" s="5122"/>
      <c r="Q377" s="5634"/>
      <c r="R377" s="5094" t="s">
        <v>1</v>
      </c>
      <c r="S377" s="5120"/>
      <c r="T377" s="5121"/>
      <c r="U377" s="5121"/>
      <c r="V377" s="5121"/>
      <c r="W377" s="5121"/>
      <c r="X377" s="5122"/>
      <c r="Y377" s="5122"/>
      <c r="Z377" s="5122"/>
      <c r="AA377" s="5122"/>
      <c r="AB377" s="5122"/>
      <c r="AC377" s="5122"/>
      <c r="AD377" s="5122"/>
      <c r="AE377" s="5122"/>
      <c r="AF377" s="5122"/>
      <c r="AG377" s="5122"/>
      <c r="AH377" s="5634"/>
      <c r="AI377" s="5094" t="s">
        <v>1</v>
      </c>
      <c r="AJ377" s="5120"/>
      <c r="AK377" s="5121"/>
      <c r="AL377" s="5121"/>
      <c r="AM377" s="5121"/>
      <c r="AN377" s="5121"/>
      <c r="AO377" s="5122"/>
      <c r="AP377" s="5122"/>
      <c r="AQ377" s="5122"/>
      <c r="AR377" s="5122"/>
      <c r="AS377" s="5122"/>
      <c r="AT377" s="5122"/>
      <c r="AU377" s="5122"/>
      <c r="AV377" s="5122"/>
      <c r="AW377" s="5122"/>
      <c r="AX377" s="5122"/>
      <c r="AY377" s="5634"/>
      <c r="AZ377" s="5094" t="s">
        <v>1</v>
      </c>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5">
        <v>1</v>
      </c>
      <c r="CL377" s="1"/>
      <c r="CM377" s="1"/>
    </row>
    <row r="378" spans="2:91" s="187" customFormat="1" ht="21" customHeight="1">
      <c r="B378" s="5120"/>
      <c r="C378" s="5121"/>
      <c r="D378" s="5121"/>
      <c r="E378" s="5121"/>
      <c r="F378" s="5121"/>
      <c r="G378" s="5122"/>
      <c r="H378" s="5122"/>
      <c r="I378" s="5122"/>
      <c r="J378" s="5122"/>
      <c r="K378" s="5122"/>
      <c r="L378" s="5122"/>
      <c r="M378" s="5122"/>
      <c r="N378" s="5122"/>
      <c r="O378" s="5122"/>
      <c r="P378" s="5122"/>
      <c r="Q378" s="5634"/>
      <c r="R378" s="5094" t="s">
        <v>1</v>
      </c>
      <c r="S378" s="5120"/>
      <c r="T378" s="5121"/>
      <c r="U378" s="5121"/>
      <c r="V378" s="5121"/>
      <c r="W378" s="5121"/>
      <c r="X378" s="5122"/>
      <c r="Y378" s="5122"/>
      <c r="Z378" s="5122"/>
      <c r="AA378" s="5122"/>
      <c r="AB378" s="5122"/>
      <c r="AC378" s="5122"/>
      <c r="AD378" s="5122"/>
      <c r="AE378" s="5122"/>
      <c r="AF378" s="5122"/>
      <c r="AG378" s="5122"/>
      <c r="AH378" s="5634"/>
      <c r="AI378" s="5094" t="s">
        <v>1</v>
      </c>
      <c r="AJ378" s="5120"/>
      <c r="AK378" s="5121"/>
      <c r="AL378" s="5121"/>
      <c r="AM378" s="5121"/>
      <c r="AN378" s="5121"/>
      <c r="AO378" s="5122"/>
      <c r="AP378" s="5122"/>
      <c r="AQ378" s="5122"/>
      <c r="AR378" s="5122"/>
      <c r="AS378" s="5122"/>
      <c r="AT378" s="5122"/>
      <c r="AU378" s="5122"/>
      <c r="AV378" s="5122"/>
      <c r="AW378" s="5122"/>
      <c r="AX378" s="5122"/>
      <c r="AY378" s="5634"/>
      <c r="AZ378" s="5094" t="s">
        <v>1</v>
      </c>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5">
        <v>1</v>
      </c>
      <c r="CL378" s="1"/>
      <c r="CM378" s="1"/>
    </row>
    <row r="379" spans="2:91" s="187" customFormat="1" ht="21" customHeight="1">
      <c r="B379" s="5120"/>
      <c r="C379" s="5121"/>
      <c r="D379" s="5121"/>
      <c r="E379" s="5121"/>
      <c r="F379" s="5121"/>
      <c r="G379" s="5122"/>
      <c r="H379" s="5122"/>
      <c r="I379" s="5122"/>
      <c r="J379" s="5122"/>
      <c r="K379" s="5122"/>
      <c r="L379" s="5122"/>
      <c r="M379" s="5122"/>
      <c r="N379" s="5122"/>
      <c r="O379" s="5122"/>
      <c r="P379" s="5122"/>
      <c r="Q379" s="5634"/>
      <c r="R379" s="5094" t="s">
        <v>1</v>
      </c>
      <c r="S379" s="5120"/>
      <c r="T379" s="5121"/>
      <c r="U379" s="5121"/>
      <c r="V379" s="5121"/>
      <c r="W379" s="5121"/>
      <c r="X379" s="5122"/>
      <c r="Y379" s="5122"/>
      <c r="Z379" s="5122"/>
      <c r="AA379" s="5122"/>
      <c r="AB379" s="5122"/>
      <c r="AC379" s="5122"/>
      <c r="AD379" s="5122"/>
      <c r="AE379" s="5122"/>
      <c r="AF379" s="5122"/>
      <c r="AG379" s="5122"/>
      <c r="AH379" s="5634"/>
      <c r="AI379" s="5094" t="s">
        <v>1</v>
      </c>
      <c r="AJ379" s="5120"/>
      <c r="AK379" s="5121"/>
      <c r="AL379" s="5121"/>
      <c r="AM379" s="5121"/>
      <c r="AN379" s="5121"/>
      <c r="AO379" s="5122"/>
      <c r="AP379" s="5122"/>
      <c r="AQ379" s="5122"/>
      <c r="AR379" s="5122"/>
      <c r="AS379" s="5122"/>
      <c r="AT379" s="5122"/>
      <c r="AU379" s="5122"/>
      <c r="AV379" s="5122"/>
      <c r="AW379" s="5122"/>
      <c r="AX379" s="5122"/>
      <c r="AY379" s="5634"/>
      <c r="AZ379" s="5094" t="s">
        <v>1</v>
      </c>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5">
        <v>1</v>
      </c>
      <c r="CL379" s="1"/>
      <c r="CM379" s="1"/>
    </row>
    <row r="380" spans="2:91" s="187" customFormat="1" ht="21" customHeight="1">
      <c r="B380" s="5120"/>
      <c r="C380" s="5121"/>
      <c r="D380" s="5121"/>
      <c r="E380" s="5121"/>
      <c r="F380" s="5121"/>
      <c r="G380" s="5122"/>
      <c r="H380" s="5122"/>
      <c r="I380" s="5122"/>
      <c r="J380" s="5122"/>
      <c r="K380" s="5122"/>
      <c r="L380" s="5122"/>
      <c r="M380" s="5122"/>
      <c r="N380" s="5122"/>
      <c r="O380" s="5122"/>
      <c r="P380" s="5122"/>
      <c r="Q380" s="5634"/>
      <c r="R380" s="5094" t="s">
        <v>1</v>
      </c>
      <c r="S380" s="5120"/>
      <c r="T380" s="5121"/>
      <c r="U380" s="5121"/>
      <c r="V380" s="5121"/>
      <c r="W380" s="5121"/>
      <c r="X380" s="5122"/>
      <c r="Y380" s="5122"/>
      <c r="Z380" s="5122"/>
      <c r="AA380" s="5122"/>
      <c r="AB380" s="5122"/>
      <c r="AC380" s="5122"/>
      <c r="AD380" s="5122"/>
      <c r="AE380" s="5122"/>
      <c r="AF380" s="5122"/>
      <c r="AG380" s="5122"/>
      <c r="AH380" s="5634"/>
      <c r="AI380" s="5094" t="s">
        <v>1</v>
      </c>
      <c r="AJ380" s="5120"/>
      <c r="AK380" s="5121"/>
      <c r="AL380" s="5121"/>
      <c r="AM380" s="5121"/>
      <c r="AN380" s="5121"/>
      <c r="AO380" s="5122"/>
      <c r="AP380" s="5122"/>
      <c r="AQ380" s="5122"/>
      <c r="AR380" s="5122"/>
      <c r="AS380" s="5122"/>
      <c r="AT380" s="5122"/>
      <c r="AU380" s="5122"/>
      <c r="AV380" s="5122"/>
      <c r="AW380" s="5122"/>
      <c r="AX380" s="5122"/>
      <c r="AY380" s="5634"/>
      <c r="AZ380" s="5094" t="s">
        <v>1</v>
      </c>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5">
        <v>1</v>
      </c>
      <c r="CL380" s="1"/>
      <c r="CM380" s="1"/>
    </row>
    <row r="381" spans="2:91" s="187" customFormat="1" ht="21" customHeight="1">
      <c r="B381" s="5120"/>
      <c r="C381" s="5121"/>
      <c r="D381" s="5121"/>
      <c r="E381" s="5121"/>
      <c r="F381" s="5121"/>
      <c r="G381" s="5122"/>
      <c r="H381" s="5122"/>
      <c r="I381" s="5122"/>
      <c r="J381" s="5122"/>
      <c r="K381" s="5122"/>
      <c r="L381" s="5122"/>
      <c r="M381" s="5122"/>
      <c r="N381" s="5122"/>
      <c r="O381" s="5122"/>
      <c r="P381" s="5122"/>
      <c r="Q381" s="5634"/>
      <c r="R381" s="5094" t="s">
        <v>1</v>
      </c>
      <c r="S381" s="5120"/>
      <c r="T381" s="5121"/>
      <c r="U381" s="5121"/>
      <c r="V381" s="5121"/>
      <c r="W381" s="5121"/>
      <c r="X381" s="5122"/>
      <c r="Y381" s="5122"/>
      <c r="Z381" s="5122"/>
      <c r="AA381" s="5122"/>
      <c r="AB381" s="5122"/>
      <c r="AC381" s="5122"/>
      <c r="AD381" s="5122"/>
      <c r="AE381" s="5122"/>
      <c r="AF381" s="5122"/>
      <c r="AG381" s="5122"/>
      <c r="AH381" s="5634"/>
      <c r="AI381" s="5094" t="s">
        <v>1</v>
      </c>
      <c r="AJ381" s="5120"/>
      <c r="AK381" s="5121"/>
      <c r="AL381" s="5121"/>
      <c r="AM381" s="5121"/>
      <c r="AN381" s="5121"/>
      <c r="AO381" s="5122"/>
      <c r="AP381" s="5122"/>
      <c r="AQ381" s="5122"/>
      <c r="AR381" s="5122"/>
      <c r="AS381" s="5122"/>
      <c r="AT381" s="5122"/>
      <c r="AU381" s="5122"/>
      <c r="AV381" s="5122"/>
      <c r="AW381" s="5122"/>
      <c r="AX381" s="5122"/>
      <c r="AY381" s="5634"/>
      <c r="AZ381" s="5094" t="s">
        <v>1</v>
      </c>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5">
        <v>1</v>
      </c>
      <c r="CL381" s="1"/>
      <c r="CM381" s="1"/>
    </row>
    <row r="382" spans="2:91" s="187" customFormat="1" ht="21" customHeight="1">
      <c r="B382" s="5120"/>
      <c r="C382" s="5121"/>
      <c r="D382" s="5121"/>
      <c r="E382" s="5121"/>
      <c r="F382" s="5121"/>
      <c r="G382" s="5122"/>
      <c r="H382" s="5122"/>
      <c r="I382" s="5122"/>
      <c r="J382" s="5122"/>
      <c r="K382" s="5122"/>
      <c r="L382" s="5122"/>
      <c r="M382" s="5122"/>
      <c r="N382" s="5122"/>
      <c r="O382" s="5122"/>
      <c r="P382" s="5122"/>
      <c r="Q382" s="5634"/>
      <c r="R382" s="5094" t="s">
        <v>1</v>
      </c>
      <c r="S382" s="5120"/>
      <c r="T382" s="5121"/>
      <c r="U382" s="5121"/>
      <c r="V382" s="5121"/>
      <c r="W382" s="5121"/>
      <c r="X382" s="5122"/>
      <c r="Y382" s="5122"/>
      <c r="Z382" s="5122"/>
      <c r="AA382" s="5122"/>
      <c r="AB382" s="5122"/>
      <c r="AC382" s="5122"/>
      <c r="AD382" s="5122"/>
      <c r="AE382" s="5122"/>
      <c r="AF382" s="5122"/>
      <c r="AG382" s="5122"/>
      <c r="AH382" s="5634"/>
      <c r="AI382" s="5094" t="s">
        <v>1</v>
      </c>
      <c r="AJ382" s="5120"/>
      <c r="AK382" s="5121"/>
      <c r="AL382" s="5121"/>
      <c r="AM382" s="5121"/>
      <c r="AN382" s="5121"/>
      <c r="AO382" s="5122"/>
      <c r="AP382" s="5122"/>
      <c r="AQ382" s="5122"/>
      <c r="AR382" s="5122"/>
      <c r="AS382" s="5122"/>
      <c r="AT382" s="5122"/>
      <c r="AU382" s="5122"/>
      <c r="AV382" s="5122"/>
      <c r="AW382" s="5122"/>
      <c r="AX382" s="5122"/>
      <c r="AY382" s="5634"/>
      <c r="AZ382" s="5094" t="s">
        <v>1</v>
      </c>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5">
        <v>1</v>
      </c>
      <c r="CL382" s="1"/>
      <c r="CM382" s="1"/>
    </row>
    <row r="383" spans="2:91" s="187" customFormat="1" ht="21" customHeight="1">
      <c r="B383" s="5120"/>
      <c r="C383" s="5121"/>
      <c r="D383" s="5121"/>
      <c r="E383" s="5121"/>
      <c r="F383" s="5121"/>
      <c r="G383" s="5122"/>
      <c r="H383" s="5122"/>
      <c r="I383" s="5122"/>
      <c r="J383" s="5122"/>
      <c r="K383" s="5122"/>
      <c r="L383" s="5122"/>
      <c r="M383" s="5122"/>
      <c r="N383" s="5122"/>
      <c r="O383" s="5122"/>
      <c r="P383" s="5122"/>
      <c r="Q383" s="5634"/>
      <c r="R383" s="5094" t="s">
        <v>1</v>
      </c>
      <c r="S383" s="5120"/>
      <c r="T383" s="5121"/>
      <c r="U383" s="5121"/>
      <c r="V383" s="5121"/>
      <c r="W383" s="5121"/>
      <c r="X383" s="5122"/>
      <c r="Y383" s="5122"/>
      <c r="Z383" s="5122"/>
      <c r="AA383" s="5122"/>
      <c r="AB383" s="5122"/>
      <c r="AC383" s="5122"/>
      <c r="AD383" s="5122"/>
      <c r="AE383" s="5122"/>
      <c r="AF383" s="5122"/>
      <c r="AG383" s="5122"/>
      <c r="AH383" s="5634"/>
      <c r="AI383" s="5094" t="s">
        <v>1</v>
      </c>
      <c r="AJ383" s="5120"/>
      <c r="AK383" s="5121"/>
      <c r="AL383" s="5121"/>
      <c r="AM383" s="5121"/>
      <c r="AN383" s="5121"/>
      <c r="AO383" s="5122"/>
      <c r="AP383" s="5122"/>
      <c r="AQ383" s="5122"/>
      <c r="AR383" s="5122"/>
      <c r="AS383" s="5122"/>
      <c r="AT383" s="5122"/>
      <c r="AU383" s="5122"/>
      <c r="AV383" s="5122"/>
      <c r="AW383" s="5122"/>
      <c r="AX383" s="5122"/>
      <c r="AY383" s="5634"/>
      <c r="AZ383" s="5094" t="s">
        <v>1</v>
      </c>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5">
        <v>1</v>
      </c>
      <c r="CL383" s="1"/>
      <c r="CM383" s="1"/>
    </row>
    <row r="384" spans="2:91" s="187" customFormat="1" ht="21" customHeight="1">
      <c r="B384" s="5120"/>
      <c r="C384" s="5121"/>
      <c r="D384" s="5121"/>
      <c r="E384" s="5121"/>
      <c r="F384" s="5121"/>
      <c r="G384" s="5122"/>
      <c r="H384" s="5122"/>
      <c r="I384" s="5122"/>
      <c r="J384" s="5122"/>
      <c r="K384" s="5122"/>
      <c r="L384" s="5122"/>
      <c r="M384" s="5122"/>
      <c r="N384" s="5122"/>
      <c r="O384" s="5122"/>
      <c r="P384" s="5122"/>
      <c r="Q384" s="5634"/>
      <c r="R384" s="5094" t="s">
        <v>1</v>
      </c>
      <c r="S384" s="5120"/>
      <c r="T384" s="5121"/>
      <c r="U384" s="5121"/>
      <c r="V384" s="5121"/>
      <c r="W384" s="5121"/>
      <c r="X384" s="5122"/>
      <c r="Y384" s="5122"/>
      <c r="Z384" s="5122"/>
      <c r="AA384" s="5122"/>
      <c r="AB384" s="5122"/>
      <c r="AC384" s="5122"/>
      <c r="AD384" s="5122"/>
      <c r="AE384" s="5122"/>
      <c r="AF384" s="5122"/>
      <c r="AG384" s="5122"/>
      <c r="AH384" s="5634"/>
      <c r="AI384" s="5094" t="s">
        <v>1</v>
      </c>
      <c r="AJ384" s="5120"/>
      <c r="AK384" s="5121"/>
      <c r="AL384" s="5121"/>
      <c r="AM384" s="5121"/>
      <c r="AN384" s="5121"/>
      <c r="AO384" s="5122"/>
      <c r="AP384" s="5122"/>
      <c r="AQ384" s="5122"/>
      <c r="AR384" s="5122"/>
      <c r="AS384" s="5122"/>
      <c r="AT384" s="5122"/>
      <c r="AU384" s="5122"/>
      <c r="AV384" s="5122"/>
      <c r="AW384" s="5122"/>
      <c r="AX384" s="5122"/>
      <c r="AY384" s="5634"/>
      <c r="AZ384" s="5094" t="s">
        <v>1</v>
      </c>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5">
        <v>1</v>
      </c>
      <c r="CL384" s="1"/>
      <c r="CM384" s="1"/>
    </row>
    <row r="385" spans="2:91" s="187" customFormat="1" ht="21" customHeight="1">
      <c r="B385" s="5120"/>
      <c r="C385" s="5121"/>
      <c r="D385" s="5121"/>
      <c r="E385" s="5121"/>
      <c r="F385" s="5121"/>
      <c r="G385" s="5122"/>
      <c r="H385" s="5122"/>
      <c r="I385" s="5122"/>
      <c r="J385" s="5122"/>
      <c r="K385" s="5122"/>
      <c r="L385" s="5122"/>
      <c r="M385" s="5122"/>
      <c r="N385" s="5122"/>
      <c r="O385" s="5122"/>
      <c r="P385" s="5122"/>
      <c r="Q385" s="5634"/>
      <c r="R385" s="5094" t="s">
        <v>1</v>
      </c>
      <c r="S385" s="5120"/>
      <c r="T385" s="5121"/>
      <c r="U385" s="5121"/>
      <c r="V385" s="5121"/>
      <c r="W385" s="5121"/>
      <c r="X385" s="5122"/>
      <c r="Y385" s="5122"/>
      <c r="Z385" s="5122"/>
      <c r="AA385" s="5122"/>
      <c r="AB385" s="5122"/>
      <c r="AC385" s="5122"/>
      <c r="AD385" s="5122"/>
      <c r="AE385" s="5122"/>
      <c r="AF385" s="5122"/>
      <c r="AG385" s="5122"/>
      <c r="AH385" s="5634"/>
      <c r="AI385" s="5094" t="s">
        <v>1</v>
      </c>
      <c r="AJ385" s="5120"/>
      <c r="AK385" s="5121"/>
      <c r="AL385" s="5121"/>
      <c r="AM385" s="5121"/>
      <c r="AN385" s="5121"/>
      <c r="AO385" s="5122"/>
      <c r="AP385" s="5122"/>
      <c r="AQ385" s="5122"/>
      <c r="AR385" s="5122"/>
      <c r="AS385" s="5122"/>
      <c r="AT385" s="5122"/>
      <c r="AU385" s="5122"/>
      <c r="AV385" s="5122"/>
      <c r="AW385" s="5122"/>
      <c r="AX385" s="5122"/>
      <c r="AY385" s="5634"/>
      <c r="AZ385" s="5094" t="s">
        <v>1</v>
      </c>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5">
        <v>1</v>
      </c>
      <c r="CL385" s="1"/>
      <c r="CM385" s="1"/>
    </row>
    <row r="386" spans="2:91" s="187" customFormat="1" ht="21" customHeight="1">
      <c r="B386" s="5120"/>
      <c r="C386" s="5121"/>
      <c r="D386" s="5121"/>
      <c r="E386" s="5121"/>
      <c r="F386" s="5121"/>
      <c r="G386" s="5122"/>
      <c r="H386" s="5122"/>
      <c r="I386" s="5122"/>
      <c r="J386" s="5122"/>
      <c r="K386" s="5122"/>
      <c r="L386" s="5122"/>
      <c r="M386" s="5122"/>
      <c r="N386" s="5122"/>
      <c r="O386" s="5122"/>
      <c r="P386" s="5122"/>
      <c r="Q386" s="5634"/>
      <c r="R386" s="5094" t="s">
        <v>1</v>
      </c>
      <c r="S386" s="5120"/>
      <c r="T386" s="5121"/>
      <c r="U386" s="5121"/>
      <c r="V386" s="5121"/>
      <c r="W386" s="5121"/>
      <c r="X386" s="5122"/>
      <c r="Y386" s="5122"/>
      <c r="Z386" s="5122"/>
      <c r="AA386" s="5122"/>
      <c r="AB386" s="5122"/>
      <c r="AC386" s="5122"/>
      <c r="AD386" s="5122"/>
      <c r="AE386" s="5122"/>
      <c r="AF386" s="5122"/>
      <c r="AG386" s="5122"/>
      <c r="AH386" s="5634"/>
      <c r="AI386" s="5094" t="s">
        <v>1</v>
      </c>
      <c r="AJ386" s="5120"/>
      <c r="AK386" s="5121"/>
      <c r="AL386" s="5121"/>
      <c r="AM386" s="5121"/>
      <c r="AN386" s="5121"/>
      <c r="AO386" s="5122"/>
      <c r="AP386" s="5122"/>
      <c r="AQ386" s="5122"/>
      <c r="AR386" s="5122"/>
      <c r="AS386" s="5122"/>
      <c r="AT386" s="5122"/>
      <c r="AU386" s="5122"/>
      <c r="AV386" s="5122"/>
      <c r="AW386" s="5122"/>
      <c r="AX386" s="5122"/>
      <c r="AY386" s="5634"/>
      <c r="AZ386" s="5094" t="s">
        <v>1</v>
      </c>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5">
        <v>1</v>
      </c>
      <c r="CL386" s="1"/>
      <c r="CM386" s="1"/>
    </row>
    <row r="387" spans="2:91" s="187" customFormat="1" ht="21" customHeight="1">
      <c r="B387" s="5120"/>
      <c r="C387" s="5121"/>
      <c r="D387" s="5121"/>
      <c r="E387" s="5121"/>
      <c r="F387" s="5121"/>
      <c r="G387" s="5122"/>
      <c r="H387" s="5122"/>
      <c r="I387" s="5122"/>
      <c r="J387" s="5122"/>
      <c r="K387" s="5122"/>
      <c r="L387" s="5122"/>
      <c r="M387" s="5122"/>
      <c r="N387" s="5122"/>
      <c r="O387" s="5122"/>
      <c r="P387" s="5122"/>
      <c r="Q387" s="5634"/>
      <c r="R387" s="5094" t="s">
        <v>1</v>
      </c>
      <c r="S387" s="5120"/>
      <c r="T387" s="5121"/>
      <c r="U387" s="5121"/>
      <c r="V387" s="5121"/>
      <c r="W387" s="5121"/>
      <c r="X387" s="5122"/>
      <c r="Y387" s="5122"/>
      <c r="Z387" s="5122"/>
      <c r="AA387" s="5122"/>
      <c r="AB387" s="5122"/>
      <c r="AC387" s="5122"/>
      <c r="AD387" s="5122"/>
      <c r="AE387" s="5122"/>
      <c r="AF387" s="5122"/>
      <c r="AG387" s="5122"/>
      <c r="AH387" s="5634"/>
      <c r="AI387" s="5094" t="s">
        <v>1</v>
      </c>
      <c r="AJ387" s="5120"/>
      <c r="AK387" s="5121"/>
      <c r="AL387" s="5121"/>
      <c r="AM387" s="5121"/>
      <c r="AN387" s="5121"/>
      <c r="AO387" s="5122"/>
      <c r="AP387" s="5122"/>
      <c r="AQ387" s="5122"/>
      <c r="AR387" s="5122"/>
      <c r="AS387" s="5122"/>
      <c r="AT387" s="5122"/>
      <c r="AU387" s="5122"/>
      <c r="AV387" s="5122"/>
      <c r="AW387" s="5122"/>
      <c r="AX387" s="5122"/>
      <c r="AY387" s="5634"/>
      <c r="AZ387" s="5094" t="s">
        <v>1</v>
      </c>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5">
        <v>1</v>
      </c>
      <c r="CL387" s="1"/>
      <c r="CM387" s="1"/>
    </row>
    <row r="388" spans="2:91" s="187" customFormat="1" ht="21" customHeight="1">
      <c r="B388" s="5120"/>
      <c r="C388" s="5121"/>
      <c r="D388" s="5121"/>
      <c r="E388" s="5121"/>
      <c r="F388" s="5121"/>
      <c r="G388" s="5122"/>
      <c r="H388" s="5122"/>
      <c r="I388" s="5122"/>
      <c r="J388" s="5122"/>
      <c r="K388" s="5122"/>
      <c r="L388" s="5122"/>
      <c r="M388" s="5122"/>
      <c r="N388" s="5122"/>
      <c r="O388" s="5122"/>
      <c r="P388" s="5122"/>
      <c r="Q388" s="5634"/>
      <c r="R388" s="5094" t="s">
        <v>1</v>
      </c>
      <c r="S388" s="5120"/>
      <c r="T388" s="5121"/>
      <c r="U388" s="5121"/>
      <c r="V388" s="5121"/>
      <c r="W388" s="5121"/>
      <c r="X388" s="5122"/>
      <c r="Y388" s="5122"/>
      <c r="Z388" s="5122"/>
      <c r="AA388" s="5122"/>
      <c r="AB388" s="5122"/>
      <c r="AC388" s="5122"/>
      <c r="AD388" s="5122"/>
      <c r="AE388" s="5122"/>
      <c r="AF388" s="5122"/>
      <c r="AG388" s="5122"/>
      <c r="AH388" s="5634"/>
      <c r="AI388" s="5094" t="s">
        <v>1</v>
      </c>
      <c r="AJ388" s="5120"/>
      <c r="AK388" s="5121"/>
      <c r="AL388" s="5121"/>
      <c r="AM388" s="5121"/>
      <c r="AN388" s="5121"/>
      <c r="AO388" s="5122"/>
      <c r="AP388" s="5122"/>
      <c r="AQ388" s="5122"/>
      <c r="AR388" s="5122"/>
      <c r="AS388" s="5122"/>
      <c r="AT388" s="5122"/>
      <c r="AU388" s="5122"/>
      <c r="AV388" s="5122"/>
      <c r="AW388" s="5122"/>
      <c r="AX388" s="5122"/>
      <c r="AY388" s="5634"/>
      <c r="AZ388" s="5094" t="s">
        <v>1</v>
      </c>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5">
        <v>1</v>
      </c>
      <c r="CL388" s="1"/>
      <c r="CM388" s="1"/>
    </row>
    <row r="389" spans="2:91" s="187" customFormat="1" ht="21" customHeight="1">
      <c r="B389" s="5120"/>
      <c r="C389" s="5121"/>
      <c r="D389" s="5121"/>
      <c r="E389" s="5121"/>
      <c r="F389" s="5121"/>
      <c r="G389" s="5122"/>
      <c r="H389" s="5122"/>
      <c r="I389" s="5122"/>
      <c r="J389" s="5122"/>
      <c r="K389" s="5122"/>
      <c r="L389" s="5122"/>
      <c r="M389" s="5122"/>
      <c r="N389" s="5122"/>
      <c r="O389" s="5122"/>
      <c r="P389" s="5122"/>
      <c r="Q389" s="5634"/>
      <c r="R389" s="5094" t="s">
        <v>1</v>
      </c>
      <c r="S389" s="5120"/>
      <c r="T389" s="5121"/>
      <c r="U389" s="5121"/>
      <c r="V389" s="5121"/>
      <c r="W389" s="5121"/>
      <c r="X389" s="5122"/>
      <c r="Y389" s="5122"/>
      <c r="Z389" s="5122"/>
      <c r="AA389" s="5122"/>
      <c r="AB389" s="5122"/>
      <c r="AC389" s="5122"/>
      <c r="AD389" s="5122"/>
      <c r="AE389" s="5122"/>
      <c r="AF389" s="5122"/>
      <c r="AG389" s="5122"/>
      <c r="AH389" s="5634"/>
      <c r="AI389" s="5094" t="s">
        <v>1</v>
      </c>
      <c r="AJ389" s="5120"/>
      <c r="AK389" s="5121"/>
      <c r="AL389" s="5121"/>
      <c r="AM389" s="5121"/>
      <c r="AN389" s="5121"/>
      <c r="AO389" s="5122"/>
      <c r="AP389" s="5122"/>
      <c r="AQ389" s="5122"/>
      <c r="AR389" s="5122"/>
      <c r="AS389" s="5122"/>
      <c r="AT389" s="5122"/>
      <c r="AU389" s="5122"/>
      <c r="AV389" s="5122"/>
      <c r="AW389" s="5122"/>
      <c r="AX389" s="5122"/>
      <c r="AY389" s="5634"/>
      <c r="AZ389" s="5094" t="s">
        <v>1</v>
      </c>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5">
        <v>1</v>
      </c>
      <c r="CL389" s="1"/>
      <c r="CM389" s="1"/>
    </row>
    <row r="390" spans="2:91" s="187" customFormat="1" ht="21" customHeight="1">
      <c r="B390" s="5120"/>
      <c r="C390" s="5121"/>
      <c r="D390" s="5121"/>
      <c r="E390" s="5121"/>
      <c r="F390" s="5121"/>
      <c r="G390" s="5122"/>
      <c r="H390" s="5122"/>
      <c r="I390" s="5122"/>
      <c r="J390" s="5122"/>
      <c r="K390" s="5122"/>
      <c r="L390" s="5122"/>
      <c r="M390" s="5122"/>
      <c r="N390" s="5122"/>
      <c r="O390" s="5122"/>
      <c r="P390" s="5122"/>
      <c r="Q390" s="5634"/>
      <c r="R390" s="5094" t="s">
        <v>1</v>
      </c>
      <c r="S390" s="5120"/>
      <c r="T390" s="5121"/>
      <c r="U390" s="5121"/>
      <c r="V390" s="5121"/>
      <c r="W390" s="5121"/>
      <c r="X390" s="5122"/>
      <c r="Y390" s="5122"/>
      <c r="Z390" s="5122"/>
      <c r="AA390" s="5122"/>
      <c r="AB390" s="5122"/>
      <c r="AC390" s="5122"/>
      <c r="AD390" s="5122"/>
      <c r="AE390" s="5122"/>
      <c r="AF390" s="5122"/>
      <c r="AG390" s="5122"/>
      <c r="AH390" s="5634"/>
      <c r="AI390" s="5094" t="s">
        <v>1</v>
      </c>
      <c r="AJ390" s="5120"/>
      <c r="AK390" s="5121"/>
      <c r="AL390" s="5121"/>
      <c r="AM390" s="5121"/>
      <c r="AN390" s="5121"/>
      <c r="AO390" s="5122"/>
      <c r="AP390" s="5122"/>
      <c r="AQ390" s="5122"/>
      <c r="AR390" s="5122"/>
      <c r="AS390" s="5122"/>
      <c r="AT390" s="5122"/>
      <c r="AU390" s="5122"/>
      <c r="AV390" s="5122"/>
      <c r="AW390" s="5122"/>
      <c r="AX390" s="5122"/>
      <c r="AY390" s="5634"/>
      <c r="AZ390" s="5094" t="s">
        <v>1</v>
      </c>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5">
        <v>1</v>
      </c>
      <c r="CL390" s="1"/>
      <c r="CM390" s="1"/>
    </row>
    <row r="391" spans="2:91" s="187" customFormat="1" ht="21" customHeight="1">
      <c r="B391" s="5120"/>
      <c r="C391" s="5121"/>
      <c r="D391" s="5121"/>
      <c r="E391" s="5121"/>
      <c r="F391" s="5121"/>
      <c r="G391" s="5122"/>
      <c r="H391" s="5122"/>
      <c r="I391" s="5122"/>
      <c r="J391" s="5122"/>
      <c r="K391" s="5122"/>
      <c r="L391" s="5122"/>
      <c r="M391" s="5122"/>
      <c r="N391" s="5122"/>
      <c r="O391" s="5122"/>
      <c r="P391" s="5122"/>
      <c r="Q391" s="5634"/>
      <c r="R391" s="5094" t="s">
        <v>1</v>
      </c>
      <c r="S391" s="5120"/>
      <c r="T391" s="5121"/>
      <c r="U391" s="5121"/>
      <c r="V391" s="5121"/>
      <c r="W391" s="5121"/>
      <c r="X391" s="5122"/>
      <c r="Y391" s="5122"/>
      <c r="Z391" s="5122"/>
      <c r="AA391" s="5122"/>
      <c r="AB391" s="5122"/>
      <c r="AC391" s="5122"/>
      <c r="AD391" s="5122"/>
      <c r="AE391" s="5122"/>
      <c r="AF391" s="5122"/>
      <c r="AG391" s="5122"/>
      <c r="AH391" s="5634"/>
      <c r="AI391" s="5094" t="s">
        <v>1</v>
      </c>
      <c r="AJ391" s="5120"/>
      <c r="AK391" s="5121"/>
      <c r="AL391" s="5121"/>
      <c r="AM391" s="5121"/>
      <c r="AN391" s="5121"/>
      <c r="AO391" s="5122"/>
      <c r="AP391" s="5122"/>
      <c r="AQ391" s="5122"/>
      <c r="AR391" s="5122"/>
      <c r="AS391" s="5122"/>
      <c r="AT391" s="5122"/>
      <c r="AU391" s="5122"/>
      <c r="AV391" s="5122"/>
      <c r="AW391" s="5122"/>
      <c r="AX391" s="5122"/>
      <c r="AY391" s="5634"/>
      <c r="AZ391" s="5094" t="s">
        <v>1</v>
      </c>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5">
        <v>1</v>
      </c>
      <c r="CL391" s="1"/>
      <c r="CM391" s="1"/>
    </row>
    <row r="392" spans="2:91" s="187" customFormat="1" ht="21" customHeight="1">
      <c r="B392" s="5120"/>
      <c r="C392" s="5121"/>
      <c r="D392" s="5121"/>
      <c r="E392" s="5121"/>
      <c r="F392" s="5121"/>
      <c r="G392" s="5122"/>
      <c r="H392" s="5122"/>
      <c r="I392" s="5122"/>
      <c r="J392" s="5122"/>
      <c r="K392" s="5122"/>
      <c r="L392" s="5122"/>
      <c r="M392" s="5122"/>
      <c r="N392" s="5122"/>
      <c r="O392" s="5122"/>
      <c r="P392" s="5122"/>
      <c r="Q392" s="5634"/>
      <c r="R392" s="5094" t="s">
        <v>1</v>
      </c>
      <c r="S392" s="5120"/>
      <c r="T392" s="5121"/>
      <c r="U392" s="5121"/>
      <c r="V392" s="5121"/>
      <c r="W392" s="5121"/>
      <c r="X392" s="5122"/>
      <c r="Y392" s="5122"/>
      <c r="Z392" s="5122"/>
      <c r="AA392" s="5122"/>
      <c r="AB392" s="5122"/>
      <c r="AC392" s="5122"/>
      <c r="AD392" s="5122"/>
      <c r="AE392" s="5122"/>
      <c r="AF392" s="5122"/>
      <c r="AG392" s="5122"/>
      <c r="AH392" s="5634"/>
      <c r="AI392" s="5094" t="s">
        <v>1</v>
      </c>
      <c r="AJ392" s="5120"/>
      <c r="AK392" s="5121"/>
      <c r="AL392" s="5121"/>
      <c r="AM392" s="5121"/>
      <c r="AN392" s="5121"/>
      <c r="AO392" s="5122"/>
      <c r="AP392" s="5122"/>
      <c r="AQ392" s="5122"/>
      <c r="AR392" s="5122"/>
      <c r="AS392" s="5122"/>
      <c r="AT392" s="5122"/>
      <c r="AU392" s="5122"/>
      <c r="AV392" s="5122"/>
      <c r="AW392" s="5122"/>
      <c r="AX392" s="5122"/>
      <c r="AY392" s="5634"/>
      <c r="AZ392" s="5094" t="s">
        <v>1</v>
      </c>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5">
        <v>1</v>
      </c>
      <c r="CL392" s="1"/>
      <c r="CM392" s="1"/>
    </row>
    <row r="393" spans="2:91" s="187" customFormat="1" ht="21" customHeight="1">
      <c r="B393" s="5120"/>
      <c r="C393" s="5121"/>
      <c r="D393" s="5121"/>
      <c r="E393" s="5121"/>
      <c r="F393" s="5121"/>
      <c r="G393" s="5122"/>
      <c r="H393" s="5122"/>
      <c r="I393" s="5122"/>
      <c r="J393" s="5122"/>
      <c r="K393" s="5122"/>
      <c r="L393" s="5122"/>
      <c r="M393" s="5122"/>
      <c r="N393" s="5122"/>
      <c r="O393" s="5122"/>
      <c r="P393" s="5122"/>
      <c r="Q393" s="5634"/>
      <c r="R393" s="5094" t="s">
        <v>1</v>
      </c>
      <c r="S393" s="5120"/>
      <c r="T393" s="5121"/>
      <c r="U393" s="5121"/>
      <c r="V393" s="5121"/>
      <c r="W393" s="5121"/>
      <c r="X393" s="5122"/>
      <c r="Y393" s="5122"/>
      <c r="Z393" s="5122"/>
      <c r="AA393" s="5122"/>
      <c r="AB393" s="5122"/>
      <c r="AC393" s="5122"/>
      <c r="AD393" s="5122"/>
      <c r="AE393" s="5122"/>
      <c r="AF393" s="5122"/>
      <c r="AG393" s="5122"/>
      <c r="AH393" s="5634"/>
      <c r="AI393" s="5094" t="s">
        <v>1</v>
      </c>
      <c r="AJ393" s="5120"/>
      <c r="AK393" s="5121"/>
      <c r="AL393" s="5121"/>
      <c r="AM393" s="5121"/>
      <c r="AN393" s="5121"/>
      <c r="AO393" s="5122"/>
      <c r="AP393" s="5122"/>
      <c r="AQ393" s="5122"/>
      <c r="AR393" s="5122"/>
      <c r="AS393" s="5122"/>
      <c r="AT393" s="5122"/>
      <c r="AU393" s="5122"/>
      <c r="AV393" s="5122"/>
      <c r="AW393" s="5122"/>
      <c r="AX393" s="5122"/>
      <c r="AY393" s="5634"/>
      <c r="AZ393" s="5094" t="s">
        <v>1</v>
      </c>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5">
        <v>1</v>
      </c>
      <c r="CL393" s="1"/>
      <c r="CM393" s="1"/>
    </row>
    <row r="394" spans="2:91" s="187" customFormat="1" ht="21" customHeight="1">
      <c r="B394" s="5120"/>
      <c r="C394" s="5121"/>
      <c r="D394" s="5121"/>
      <c r="E394" s="5121"/>
      <c r="F394" s="5121"/>
      <c r="G394" s="5122"/>
      <c r="H394" s="5122"/>
      <c r="I394" s="5122"/>
      <c r="J394" s="5122"/>
      <c r="K394" s="5122"/>
      <c r="L394" s="5122"/>
      <c r="M394" s="5122"/>
      <c r="N394" s="5122"/>
      <c r="O394" s="5122"/>
      <c r="P394" s="5122"/>
      <c r="Q394" s="5634"/>
      <c r="R394" s="5094" t="s">
        <v>1</v>
      </c>
      <c r="S394" s="5120"/>
      <c r="T394" s="5121"/>
      <c r="U394" s="5121"/>
      <c r="V394" s="5121"/>
      <c r="W394" s="5121"/>
      <c r="X394" s="5122"/>
      <c r="Y394" s="5122"/>
      <c r="Z394" s="5122"/>
      <c r="AA394" s="5122"/>
      <c r="AB394" s="5122"/>
      <c r="AC394" s="5122"/>
      <c r="AD394" s="5122"/>
      <c r="AE394" s="5122"/>
      <c r="AF394" s="5122"/>
      <c r="AG394" s="5122"/>
      <c r="AH394" s="5634"/>
      <c r="AI394" s="5094" t="s">
        <v>1</v>
      </c>
      <c r="AJ394" s="5120"/>
      <c r="AK394" s="5121"/>
      <c r="AL394" s="5121"/>
      <c r="AM394" s="5121"/>
      <c r="AN394" s="5121"/>
      <c r="AO394" s="5122"/>
      <c r="AP394" s="5122"/>
      <c r="AQ394" s="5122"/>
      <c r="AR394" s="5122"/>
      <c r="AS394" s="5122"/>
      <c r="AT394" s="5122"/>
      <c r="AU394" s="5122"/>
      <c r="AV394" s="5122"/>
      <c r="AW394" s="5122"/>
      <c r="AX394" s="5122"/>
      <c r="AY394" s="5634"/>
      <c r="AZ394" s="5094" t="s">
        <v>1</v>
      </c>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5">
        <v>1</v>
      </c>
      <c r="CL394" s="1"/>
      <c r="CM394" s="1"/>
    </row>
    <row r="395" spans="2:91" s="187" customFormat="1" ht="21" customHeight="1">
      <c r="B395" s="5120"/>
      <c r="C395" s="5121"/>
      <c r="D395" s="5121"/>
      <c r="E395" s="5121"/>
      <c r="F395" s="5121"/>
      <c r="G395" s="5122"/>
      <c r="H395" s="5122"/>
      <c r="I395" s="5122"/>
      <c r="J395" s="5122"/>
      <c r="K395" s="5122"/>
      <c r="L395" s="5122"/>
      <c r="M395" s="5122"/>
      <c r="N395" s="5122"/>
      <c r="O395" s="5122"/>
      <c r="P395" s="5122"/>
      <c r="Q395" s="5634"/>
      <c r="R395" s="5094" t="s">
        <v>1</v>
      </c>
      <c r="S395" s="5120"/>
      <c r="T395" s="5121"/>
      <c r="U395" s="5121"/>
      <c r="V395" s="5121"/>
      <c r="W395" s="5121"/>
      <c r="X395" s="5122"/>
      <c r="Y395" s="5122"/>
      <c r="Z395" s="5122"/>
      <c r="AA395" s="5122"/>
      <c r="AB395" s="5122"/>
      <c r="AC395" s="5122"/>
      <c r="AD395" s="5122"/>
      <c r="AE395" s="5122"/>
      <c r="AF395" s="5122"/>
      <c r="AG395" s="5122"/>
      <c r="AH395" s="5634"/>
      <c r="AI395" s="5094" t="s">
        <v>1</v>
      </c>
      <c r="AJ395" s="5120"/>
      <c r="AK395" s="5121"/>
      <c r="AL395" s="5121"/>
      <c r="AM395" s="5121"/>
      <c r="AN395" s="5121"/>
      <c r="AO395" s="5122"/>
      <c r="AP395" s="5122"/>
      <c r="AQ395" s="5122"/>
      <c r="AR395" s="5122"/>
      <c r="AS395" s="5122"/>
      <c r="AT395" s="5122"/>
      <c r="AU395" s="5122"/>
      <c r="AV395" s="5122"/>
      <c r="AW395" s="5122"/>
      <c r="AX395" s="5122"/>
      <c r="AY395" s="5634"/>
      <c r="AZ395" s="5094" t="s">
        <v>1</v>
      </c>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5">
        <v>1</v>
      </c>
      <c r="CL395" s="1"/>
      <c r="CM395" s="1"/>
    </row>
    <row r="396" spans="2:91" s="187" customFormat="1" ht="21" customHeight="1">
      <c r="B396" s="5120"/>
      <c r="C396" s="5121"/>
      <c r="D396" s="5121"/>
      <c r="E396" s="5121"/>
      <c r="F396" s="5121"/>
      <c r="G396" s="5122"/>
      <c r="H396" s="5122"/>
      <c r="I396" s="5122"/>
      <c r="J396" s="5122"/>
      <c r="K396" s="5122"/>
      <c r="L396" s="5122"/>
      <c r="M396" s="5122"/>
      <c r="N396" s="5122"/>
      <c r="O396" s="5122"/>
      <c r="P396" s="5122"/>
      <c r="Q396" s="5634"/>
      <c r="R396" s="5094" t="s">
        <v>1</v>
      </c>
      <c r="S396" s="5120"/>
      <c r="T396" s="5121"/>
      <c r="U396" s="5121"/>
      <c r="V396" s="5121"/>
      <c r="W396" s="5121"/>
      <c r="X396" s="5122"/>
      <c r="Y396" s="5122"/>
      <c r="Z396" s="5122"/>
      <c r="AA396" s="5122"/>
      <c r="AB396" s="5122"/>
      <c r="AC396" s="5122"/>
      <c r="AD396" s="5122"/>
      <c r="AE396" s="5122"/>
      <c r="AF396" s="5122"/>
      <c r="AG396" s="5122"/>
      <c r="AH396" s="5634"/>
      <c r="AI396" s="5094" t="s">
        <v>1</v>
      </c>
      <c r="AJ396" s="5120"/>
      <c r="AK396" s="5121"/>
      <c r="AL396" s="5121"/>
      <c r="AM396" s="5121"/>
      <c r="AN396" s="5121"/>
      <c r="AO396" s="5122"/>
      <c r="AP396" s="5122"/>
      <c r="AQ396" s="5122"/>
      <c r="AR396" s="5122"/>
      <c r="AS396" s="5122"/>
      <c r="AT396" s="5122"/>
      <c r="AU396" s="5122"/>
      <c r="AV396" s="5122"/>
      <c r="AW396" s="5122"/>
      <c r="AX396" s="5122"/>
      <c r="AY396" s="5634"/>
      <c r="AZ396" s="5094" t="s">
        <v>1</v>
      </c>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5">
        <v>1</v>
      </c>
      <c r="CL396" s="1"/>
      <c r="CM396" s="1"/>
    </row>
    <row r="397" spans="2:91" s="187" customFormat="1" ht="21" customHeight="1">
      <c r="B397" s="5120"/>
      <c r="C397" s="5121"/>
      <c r="D397" s="5121"/>
      <c r="E397" s="5121"/>
      <c r="F397" s="5121"/>
      <c r="G397" s="5122"/>
      <c r="H397" s="5122"/>
      <c r="I397" s="5122"/>
      <c r="J397" s="5122"/>
      <c r="K397" s="5122"/>
      <c r="L397" s="5122"/>
      <c r="M397" s="5122"/>
      <c r="N397" s="5122"/>
      <c r="O397" s="5122"/>
      <c r="P397" s="5122"/>
      <c r="Q397" s="5634"/>
      <c r="R397" s="5094" t="s">
        <v>1</v>
      </c>
      <c r="S397" s="5120"/>
      <c r="T397" s="5121"/>
      <c r="U397" s="5121"/>
      <c r="V397" s="5121"/>
      <c r="W397" s="5121"/>
      <c r="X397" s="5122"/>
      <c r="Y397" s="5122"/>
      <c r="Z397" s="5122"/>
      <c r="AA397" s="5122"/>
      <c r="AB397" s="5122"/>
      <c r="AC397" s="5122"/>
      <c r="AD397" s="5122"/>
      <c r="AE397" s="5122"/>
      <c r="AF397" s="5122"/>
      <c r="AG397" s="5122"/>
      <c r="AH397" s="5634"/>
      <c r="AI397" s="5094" t="s">
        <v>1</v>
      </c>
      <c r="AJ397" s="5120"/>
      <c r="AK397" s="5121"/>
      <c r="AL397" s="5121"/>
      <c r="AM397" s="5121"/>
      <c r="AN397" s="5121"/>
      <c r="AO397" s="5122"/>
      <c r="AP397" s="5122"/>
      <c r="AQ397" s="5122"/>
      <c r="AR397" s="5122"/>
      <c r="AS397" s="5122"/>
      <c r="AT397" s="5122"/>
      <c r="AU397" s="5122"/>
      <c r="AV397" s="5122"/>
      <c r="AW397" s="5122"/>
      <c r="AX397" s="5122"/>
      <c r="AY397" s="5634"/>
      <c r="AZ397" s="5094" t="s">
        <v>1</v>
      </c>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5">
        <v>1</v>
      </c>
      <c r="CL397" s="1"/>
      <c r="CM397" s="1"/>
    </row>
    <row r="398" spans="2:91" s="187" customFormat="1" ht="21" customHeight="1">
      <c r="B398" s="5120"/>
      <c r="C398" s="5121"/>
      <c r="D398" s="5121"/>
      <c r="E398" s="5121"/>
      <c r="F398" s="5121"/>
      <c r="G398" s="5122"/>
      <c r="H398" s="5122"/>
      <c r="I398" s="5122"/>
      <c r="J398" s="5122"/>
      <c r="K398" s="5122"/>
      <c r="L398" s="5122"/>
      <c r="M398" s="5122"/>
      <c r="N398" s="5122"/>
      <c r="O398" s="5122"/>
      <c r="P398" s="5122"/>
      <c r="Q398" s="5634"/>
      <c r="R398" s="5094" t="s">
        <v>1</v>
      </c>
      <c r="S398" s="5120"/>
      <c r="T398" s="5121"/>
      <c r="U398" s="5121"/>
      <c r="V398" s="5121"/>
      <c r="W398" s="5121"/>
      <c r="X398" s="5122"/>
      <c r="Y398" s="5122"/>
      <c r="Z398" s="5122"/>
      <c r="AA398" s="5122"/>
      <c r="AB398" s="5122"/>
      <c r="AC398" s="5122"/>
      <c r="AD398" s="5122"/>
      <c r="AE398" s="5122"/>
      <c r="AF398" s="5122"/>
      <c r="AG398" s="5122"/>
      <c r="AH398" s="5634"/>
      <c r="AI398" s="5094" t="s">
        <v>1</v>
      </c>
      <c r="AJ398" s="5120"/>
      <c r="AK398" s="5121"/>
      <c r="AL398" s="5121"/>
      <c r="AM398" s="5121"/>
      <c r="AN398" s="5121"/>
      <c r="AO398" s="5122"/>
      <c r="AP398" s="5122"/>
      <c r="AQ398" s="5122"/>
      <c r="AR398" s="5122"/>
      <c r="AS398" s="5122"/>
      <c r="AT398" s="5122"/>
      <c r="AU398" s="5122"/>
      <c r="AV398" s="5122"/>
      <c r="AW398" s="5122"/>
      <c r="AX398" s="5122"/>
      <c r="AY398" s="5634"/>
      <c r="AZ398" s="5094" t="s">
        <v>1</v>
      </c>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5">
        <v>1</v>
      </c>
      <c r="CL398" s="1"/>
      <c r="CM398" s="1"/>
    </row>
    <row r="399" spans="2:91" s="187" customFormat="1" ht="21" customHeight="1">
      <c r="B399" s="5120"/>
      <c r="C399" s="5121"/>
      <c r="D399" s="5121"/>
      <c r="E399" s="5121"/>
      <c r="F399" s="5121"/>
      <c r="G399" s="5122"/>
      <c r="H399" s="5122"/>
      <c r="I399" s="5122"/>
      <c r="J399" s="5122"/>
      <c r="K399" s="5122"/>
      <c r="L399" s="5122"/>
      <c r="M399" s="5122"/>
      <c r="N399" s="5122"/>
      <c r="O399" s="5122"/>
      <c r="P399" s="5122"/>
      <c r="Q399" s="5634"/>
      <c r="R399" s="5094" t="s">
        <v>1</v>
      </c>
      <c r="S399" s="5120"/>
      <c r="T399" s="5121"/>
      <c r="U399" s="5121"/>
      <c r="V399" s="5121"/>
      <c r="W399" s="5121"/>
      <c r="X399" s="5122"/>
      <c r="Y399" s="5122"/>
      <c r="Z399" s="5122"/>
      <c r="AA399" s="5122"/>
      <c r="AB399" s="5122"/>
      <c r="AC399" s="5122"/>
      <c r="AD399" s="5122"/>
      <c r="AE399" s="5122"/>
      <c r="AF399" s="5122"/>
      <c r="AG399" s="5122"/>
      <c r="AH399" s="5634"/>
      <c r="AI399" s="5094" t="s">
        <v>1</v>
      </c>
      <c r="AJ399" s="5120"/>
      <c r="AK399" s="5121"/>
      <c r="AL399" s="5121"/>
      <c r="AM399" s="5121"/>
      <c r="AN399" s="5121"/>
      <c r="AO399" s="5122"/>
      <c r="AP399" s="5122"/>
      <c r="AQ399" s="5122"/>
      <c r="AR399" s="5122"/>
      <c r="AS399" s="5122"/>
      <c r="AT399" s="5122"/>
      <c r="AU399" s="5122"/>
      <c r="AV399" s="5122"/>
      <c r="AW399" s="5122"/>
      <c r="AX399" s="5122"/>
      <c r="AY399" s="5634"/>
      <c r="AZ399" s="5094" t="s">
        <v>1</v>
      </c>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5">
        <v>1</v>
      </c>
      <c r="CL399" s="1"/>
      <c r="CM399" s="1"/>
    </row>
    <row r="400" spans="2:91" s="187" customFormat="1" ht="21" customHeight="1">
      <c r="B400" s="5120"/>
      <c r="C400" s="5121"/>
      <c r="D400" s="5121"/>
      <c r="E400" s="5121"/>
      <c r="F400" s="5121"/>
      <c r="G400" s="5122"/>
      <c r="H400" s="5122"/>
      <c r="I400" s="5122"/>
      <c r="J400" s="5122"/>
      <c r="K400" s="5122"/>
      <c r="L400" s="5122"/>
      <c r="M400" s="5122"/>
      <c r="N400" s="5122"/>
      <c r="O400" s="5122"/>
      <c r="P400" s="5122"/>
      <c r="Q400" s="5634"/>
      <c r="R400" s="5094" t="s">
        <v>1</v>
      </c>
      <c r="S400" s="5120"/>
      <c r="T400" s="5121"/>
      <c r="U400" s="5121"/>
      <c r="V400" s="5121"/>
      <c r="W400" s="5121"/>
      <c r="X400" s="5122"/>
      <c r="Y400" s="5122"/>
      <c r="Z400" s="5122"/>
      <c r="AA400" s="5122"/>
      <c r="AB400" s="5122"/>
      <c r="AC400" s="5122"/>
      <c r="AD400" s="5122"/>
      <c r="AE400" s="5122"/>
      <c r="AF400" s="5122"/>
      <c r="AG400" s="5122"/>
      <c r="AH400" s="5634"/>
      <c r="AI400" s="5094" t="s">
        <v>1</v>
      </c>
      <c r="AJ400" s="5120"/>
      <c r="AK400" s="5121"/>
      <c r="AL400" s="5121"/>
      <c r="AM400" s="5121"/>
      <c r="AN400" s="5121"/>
      <c r="AO400" s="5122"/>
      <c r="AP400" s="5122"/>
      <c r="AQ400" s="5122"/>
      <c r="AR400" s="5122"/>
      <c r="AS400" s="5122"/>
      <c r="AT400" s="5122"/>
      <c r="AU400" s="5122"/>
      <c r="AV400" s="5122"/>
      <c r="AW400" s="5122"/>
      <c r="AX400" s="5122"/>
      <c r="AY400" s="5634"/>
      <c r="AZ400" s="5094" t="s">
        <v>1</v>
      </c>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5">
        <v>1</v>
      </c>
      <c r="CL400" s="1"/>
      <c r="CM400" s="1"/>
    </row>
    <row r="401" spans="2:91" s="187" customFormat="1" ht="21" customHeight="1">
      <c r="B401" s="5120"/>
      <c r="C401" s="5121"/>
      <c r="D401" s="5121"/>
      <c r="E401" s="5121"/>
      <c r="F401" s="5121"/>
      <c r="G401" s="5122"/>
      <c r="H401" s="5122"/>
      <c r="I401" s="5122"/>
      <c r="J401" s="5122"/>
      <c r="K401" s="5122"/>
      <c r="L401" s="5122"/>
      <c r="M401" s="5122"/>
      <c r="N401" s="5122"/>
      <c r="O401" s="5122"/>
      <c r="P401" s="5122"/>
      <c r="Q401" s="5634"/>
      <c r="R401" s="5094" t="s">
        <v>1</v>
      </c>
      <c r="S401" s="5120"/>
      <c r="T401" s="5121"/>
      <c r="U401" s="5121"/>
      <c r="V401" s="5121"/>
      <c r="W401" s="5121"/>
      <c r="X401" s="5122"/>
      <c r="Y401" s="5122"/>
      <c r="Z401" s="5122"/>
      <c r="AA401" s="5122"/>
      <c r="AB401" s="5122"/>
      <c r="AC401" s="5122"/>
      <c r="AD401" s="5122"/>
      <c r="AE401" s="5122"/>
      <c r="AF401" s="5122"/>
      <c r="AG401" s="5122"/>
      <c r="AH401" s="5634"/>
      <c r="AI401" s="5094" t="s">
        <v>1</v>
      </c>
      <c r="AJ401" s="5120"/>
      <c r="AK401" s="5121"/>
      <c r="AL401" s="5121"/>
      <c r="AM401" s="5121"/>
      <c r="AN401" s="5121"/>
      <c r="AO401" s="5122"/>
      <c r="AP401" s="5122"/>
      <c r="AQ401" s="5122"/>
      <c r="AR401" s="5122"/>
      <c r="AS401" s="5122"/>
      <c r="AT401" s="5122"/>
      <c r="AU401" s="5122"/>
      <c r="AV401" s="5122"/>
      <c r="AW401" s="5122"/>
      <c r="AX401" s="5122"/>
      <c r="AY401" s="5634"/>
      <c r="AZ401" s="5094" t="s">
        <v>1</v>
      </c>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5">
        <v>1</v>
      </c>
      <c r="CL401" s="1"/>
      <c r="CM401" s="1"/>
    </row>
    <row r="402" spans="2:91" s="187" customFormat="1" ht="21" customHeight="1">
      <c r="B402" s="5120"/>
      <c r="C402" s="5121"/>
      <c r="D402" s="5121"/>
      <c r="E402" s="5121"/>
      <c r="F402" s="5121"/>
      <c r="G402" s="5122"/>
      <c r="H402" s="5122"/>
      <c r="I402" s="5122"/>
      <c r="J402" s="5122"/>
      <c r="K402" s="5122"/>
      <c r="L402" s="5122"/>
      <c r="M402" s="5122"/>
      <c r="N402" s="5122"/>
      <c r="O402" s="5122"/>
      <c r="P402" s="5122"/>
      <c r="Q402" s="5634"/>
      <c r="R402" s="5094" t="s">
        <v>1</v>
      </c>
      <c r="S402" s="5120"/>
      <c r="T402" s="5121"/>
      <c r="U402" s="5121"/>
      <c r="V402" s="5121"/>
      <c r="W402" s="5121"/>
      <c r="X402" s="5122"/>
      <c r="Y402" s="5122"/>
      <c r="Z402" s="5122"/>
      <c r="AA402" s="5122"/>
      <c r="AB402" s="5122"/>
      <c r="AC402" s="5122"/>
      <c r="AD402" s="5122"/>
      <c r="AE402" s="5122"/>
      <c r="AF402" s="5122"/>
      <c r="AG402" s="5122"/>
      <c r="AH402" s="5634"/>
      <c r="AI402" s="5094" t="s">
        <v>1</v>
      </c>
      <c r="AJ402" s="5120"/>
      <c r="AK402" s="5121"/>
      <c r="AL402" s="5121"/>
      <c r="AM402" s="5121"/>
      <c r="AN402" s="5121"/>
      <c r="AO402" s="5122"/>
      <c r="AP402" s="5122"/>
      <c r="AQ402" s="5122"/>
      <c r="AR402" s="5122"/>
      <c r="AS402" s="5122"/>
      <c r="AT402" s="5122"/>
      <c r="AU402" s="5122"/>
      <c r="AV402" s="5122"/>
      <c r="AW402" s="5122"/>
      <c r="AX402" s="5122"/>
      <c r="AY402" s="5634"/>
      <c r="AZ402" s="5094" t="s">
        <v>1</v>
      </c>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5">
        <v>1</v>
      </c>
      <c r="CL402" s="1"/>
      <c r="CM402" s="1"/>
    </row>
    <row r="403" spans="2:91" s="187" customFormat="1" ht="21" customHeight="1">
      <c r="B403" s="5120"/>
      <c r="C403" s="5121"/>
      <c r="D403" s="5121"/>
      <c r="E403" s="5121"/>
      <c r="F403" s="5121"/>
      <c r="G403" s="5122"/>
      <c r="H403" s="5122"/>
      <c r="I403" s="5122"/>
      <c r="J403" s="5122"/>
      <c r="K403" s="5122"/>
      <c r="L403" s="5122"/>
      <c r="M403" s="5122"/>
      <c r="N403" s="5122"/>
      <c r="O403" s="5122"/>
      <c r="P403" s="5122"/>
      <c r="Q403" s="5634"/>
      <c r="R403" s="5094" t="s">
        <v>1</v>
      </c>
      <c r="S403" s="5120"/>
      <c r="T403" s="5121"/>
      <c r="U403" s="5121"/>
      <c r="V403" s="5121"/>
      <c r="W403" s="5121"/>
      <c r="X403" s="5122"/>
      <c r="Y403" s="5122"/>
      <c r="Z403" s="5122"/>
      <c r="AA403" s="5122"/>
      <c r="AB403" s="5122"/>
      <c r="AC403" s="5122"/>
      <c r="AD403" s="5122"/>
      <c r="AE403" s="5122"/>
      <c r="AF403" s="5122"/>
      <c r="AG403" s="5122"/>
      <c r="AH403" s="5634"/>
      <c r="AI403" s="5094" t="s">
        <v>1</v>
      </c>
      <c r="AJ403" s="5120"/>
      <c r="AK403" s="5121"/>
      <c r="AL403" s="5121"/>
      <c r="AM403" s="5121"/>
      <c r="AN403" s="5121"/>
      <c r="AO403" s="5122"/>
      <c r="AP403" s="5122"/>
      <c r="AQ403" s="5122"/>
      <c r="AR403" s="5122"/>
      <c r="AS403" s="5122"/>
      <c r="AT403" s="5122"/>
      <c r="AU403" s="5122"/>
      <c r="AV403" s="5122"/>
      <c r="AW403" s="5122"/>
      <c r="AX403" s="5122"/>
      <c r="AY403" s="5634"/>
      <c r="AZ403" s="5094" t="s">
        <v>1</v>
      </c>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5">
        <v>1</v>
      </c>
      <c r="CL403" s="1"/>
      <c r="CM403" s="1"/>
    </row>
    <row r="404" spans="2:91" s="187" customFormat="1" ht="21" customHeight="1">
      <c r="B404" s="5120"/>
      <c r="C404" s="5121"/>
      <c r="D404" s="5121"/>
      <c r="E404" s="5121"/>
      <c r="F404" s="5121"/>
      <c r="G404" s="5122"/>
      <c r="H404" s="5122"/>
      <c r="I404" s="5122"/>
      <c r="J404" s="5122"/>
      <c r="K404" s="5122"/>
      <c r="L404" s="5122"/>
      <c r="M404" s="5122"/>
      <c r="N404" s="5122"/>
      <c r="O404" s="5122"/>
      <c r="P404" s="5122"/>
      <c r="Q404" s="5634"/>
      <c r="R404" s="5094" t="s">
        <v>1</v>
      </c>
      <c r="S404" s="5120"/>
      <c r="T404" s="5121"/>
      <c r="U404" s="5121"/>
      <c r="V404" s="5121"/>
      <c r="W404" s="5121"/>
      <c r="X404" s="5122"/>
      <c r="Y404" s="5122"/>
      <c r="Z404" s="5122"/>
      <c r="AA404" s="5122"/>
      <c r="AB404" s="5122"/>
      <c r="AC404" s="5122"/>
      <c r="AD404" s="5122"/>
      <c r="AE404" s="5122"/>
      <c r="AF404" s="5122"/>
      <c r="AG404" s="5122"/>
      <c r="AH404" s="5634"/>
      <c r="AI404" s="5094" t="s">
        <v>1</v>
      </c>
      <c r="AJ404" s="5120"/>
      <c r="AK404" s="5121"/>
      <c r="AL404" s="5121"/>
      <c r="AM404" s="5121"/>
      <c r="AN404" s="5121"/>
      <c r="AO404" s="5122"/>
      <c r="AP404" s="5122"/>
      <c r="AQ404" s="5122"/>
      <c r="AR404" s="5122"/>
      <c r="AS404" s="5122"/>
      <c r="AT404" s="5122"/>
      <c r="AU404" s="5122"/>
      <c r="AV404" s="5122"/>
      <c r="AW404" s="5122"/>
      <c r="AX404" s="5122"/>
      <c r="AY404" s="5634"/>
      <c r="AZ404" s="5094" t="s">
        <v>1</v>
      </c>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5">
        <v>1</v>
      </c>
      <c r="CL404" s="1"/>
      <c r="CM404" s="1"/>
    </row>
    <row r="405" spans="2:91" s="187" customFormat="1" ht="21" customHeight="1">
      <c r="B405" s="5120"/>
      <c r="C405" s="5121"/>
      <c r="D405" s="5121"/>
      <c r="E405" s="5121"/>
      <c r="F405" s="5121"/>
      <c r="G405" s="5122"/>
      <c r="H405" s="5122"/>
      <c r="I405" s="5122"/>
      <c r="J405" s="5122"/>
      <c r="K405" s="5122"/>
      <c r="L405" s="5122"/>
      <c r="M405" s="5122"/>
      <c r="N405" s="5122"/>
      <c r="O405" s="5122"/>
      <c r="P405" s="5122"/>
      <c r="Q405" s="5634"/>
      <c r="R405" s="5094" t="s">
        <v>1</v>
      </c>
      <c r="S405" s="5120"/>
      <c r="T405" s="5121"/>
      <c r="U405" s="5121"/>
      <c r="V405" s="5121"/>
      <c r="W405" s="5121"/>
      <c r="X405" s="5122"/>
      <c r="Y405" s="5122"/>
      <c r="Z405" s="5122"/>
      <c r="AA405" s="5122"/>
      <c r="AB405" s="5122"/>
      <c r="AC405" s="5122"/>
      <c r="AD405" s="5122"/>
      <c r="AE405" s="5122"/>
      <c r="AF405" s="5122"/>
      <c r="AG405" s="5122"/>
      <c r="AH405" s="5634"/>
      <c r="AI405" s="5094" t="s">
        <v>1</v>
      </c>
      <c r="AJ405" s="5120"/>
      <c r="AK405" s="5121"/>
      <c r="AL405" s="5121"/>
      <c r="AM405" s="5121"/>
      <c r="AN405" s="5121"/>
      <c r="AO405" s="5122"/>
      <c r="AP405" s="5122"/>
      <c r="AQ405" s="5122"/>
      <c r="AR405" s="5122"/>
      <c r="AS405" s="5122"/>
      <c r="AT405" s="5122"/>
      <c r="AU405" s="5122"/>
      <c r="AV405" s="5122"/>
      <c r="AW405" s="5122"/>
      <c r="AX405" s="5122"/>
      <c r="AY405" s="5634"/>
      <c r="AZ405" s="5094" t="s">
        <v>1</v>
      </c>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5">
        <v>1</v>
      </c>
      <c r="CL405" s="1"/>
      <c r="CM405" s="1"/>
    </row>
    <row r="406" spans="2:91" s="187" customFormat="1" ht="21" customHeight="1">
      <c r="B406" s="5120"/>
      <c r="C406" s="5121"/>
      <c r="D406" s="5121"/>
      <c r="E406" s="5121"/>
      <c r="F406" s="5121"/>
      <c r="G406" s="5122"/>
      <c r="H406" s="5122"/>
      <c r="I406" s="5122"/>
      <c r="J406" s="5122"/>
      <c r="K406" s="5122"/>
      <c r="L406" s="5122"/>
      <c r="M406" s="5122"/>
      <c r="N406" s="5122"/>
      <c r="O406" s="5122"/>
      <c r="P406" s="5122"/>
      <c r="Q406" s="5634"/>
      <c r="R406" s="5094" t="s">
        <v>1</v>
      </c>
      <c r="S406" s="5120"/>
      <c r="T406" s="5121"/>
      <c r="U406" s="5121"/>
      <c r="V406" s="5121"/>
      <c r="W406" s="5121"/>
      <c r="X406" s="5122"/>
      <c r="Y406" s="5122"/>
      <c r="Z406" s="5122"/>
      <c r="AA406" s="5122"/>
      <c r="AB406" s="5122"/>
      <c r="AC406" s="5122"/>
      <c r="AD406" s="5122"/>
      <c r="AE406" s="5122"/>
      <c r="AF406" s="5122"/>
      <c r="AG406" s="5122"/>
      <c r="AH406" s="5634"/>
      <c r="AI406" s="5094" t="s">
        <v>1</v>
      </c>
      <c r="AJ406" s="5120"/>
      <c r="AK406" s="5121"/>
      <c r="AL406" s="5121"/>
      <c r="AM406" s="5121"/>
      <c r="AN406" s="5121"/>
      <c r="AO406" s="5122"/>
      <c r="AP406" s="5122"/>
      <c r="AQ406" s="5122"/>
      <c r="AR406" s="5122"/>
      <c r="AS406" s="5122"/>
      <c r="AT406" s="5122"/>
      <c r="AU406" s="5122"/>
      <c r="AV406" s="5122"/>
      <c r="AW406" s="5122"/>
      <c r="AX406" s="5122"/>
      <c r="AY406" s="5634"/>
      <c r="AZ406" s="5094" t="s">
        <v>1</v>
      </c>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5">
        <v>1</v>
      </c>
      <c r="CL406" s="1"/>
      <c r="CM406" s="1"/>
    </row>
    <row r="407" spans="2:91" s="187" customFormat="1" ht="21" customHeight="1">
      <c r="B407" s="5120"/>
      <c r="C407" s="5121"/>
      <c r="D407" s="5121"/>
      <c r="E407" s="5121"/>
      <c r="F407" s="5121"/>
      <c r="G407" s="5122"/>
      <c r="H407" s="5122"/>
      <c r="I407" s="5122"/>
      <c r="J407" s="5122"/>
      <c r="K407" s="5122"/>
      <c r="L407" s="5122"/>
      <c r="M407" s="5122"/>
      <c r="N407" s="5122"/>
      <c r="O407" s="5122"/>
      <c r="P407" s="5122"/>
      <c r="Q407" s="5634"/>
      <c r="R407" s="5094" t="s">
        <v>1</v>
      </c>
      <c r="S407" s="5120"/>
      <c r="T407" s="5121"/>
      <c r="U407" s="5121"/>
      <c r="V407" s="5121"/>
      <c r="W407" s="5121"/>
      <c r="X407" s="5122"/>
      <c r="Y407" s="5122"/>
      <c r="Z407" s="5122"/>
      <c r="AA407" s="5122"/>
      <c r="AB407" s="5122"/>
      <c r="AC407" s="5122"/>
      <c r="AD407" s="5122"/>
      <c r="AE407" s="5122"/>
      <c r="AF407" s="5122"/>
      <c r="AG407" s="5122"/>
      <c r="AH407" s="5634"/>
      <c r="AI407" s="5094" t="s">
        <v>1</v>
      </c>
      <c r="AJ407" s="5120"/>
      <c r="AK407" s="5121"/>
      <c r="AL407" s="5121"/>
      <c r="AM407" s="5121"/>
      <c r="AN407" s="5121"/>
      <c r="AO407" s="5122"/>
      <c r="AP407" s="5122"/>
      <c r="AQ407" s="5122"/>
      <c r="AR407" s="5122"/>
      <c r="AS407" s="5122"/>
      <c r="AT407" s="5122"/>
      <c r="AU407" s="5122"/>
      <c r="AV407" s="5122"/>
      <c r="AW407" s="5122"/>
      <c r="AX407" s="5122"/>
      <c r="AY407" s="5634"/>
      <c r="AZ407" s="5094" t="s">
        <v>1</v>
      </c>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5">
        <v>1</v>
      </c>
      <c r="CL407" s="1"/>
      <c r="CM407" s="1"/>
    </row>
    <row r="408" spans="2:91" s="187" customFormat="1" ht="21" customHeight="1">
      <c r="B408" s="5120"/>
      <c r="C408" s="5121"/>
      <c r="D408" s="5121"/>
      <c r="E408" s="5121"/>
      <c r="F408" s="5121"/>
      <c r="G408" s="5122"/>
      <c r="H408" s="5122"/>
      <c r="I408" s="5122"/>
      <c r="J408" s="5122"/>
      <c r="K408" s="5122"/>
      <c r="L408" s="5122"/>
      <c r="M408" s="5122"/>
      <c r="N408" s="5122"/>
      <c r="O408" s="5122"/>
      <c r="P408" s="5122"/>
      <c r="Q408" s="5634"/>
      <c r="R408" s="5094" t="s">
        <v>1</v>
      </c>
      <c r="S408" s="5120"/>
      <c r="T408" s="5121"/>
      <c r="U408" s="5121"/>
      <c r="V408" s="5121"/>
      <c r="W408" s="5121"/>
      <c r="X408" s="5122"/>
      <c r="Y408" s="5122"/>
      <c r="Z408" s="5122"/>
      <c r="AA408" s="5122"/>
      <c r="AB408" s="5122"/>
      <c r="AC408" s="5122"/>
      <c r="AD408" s="5122"/>
      <c r="AE408" s="5122"/>
      <c r="AF408" s="5122"/>
      <c r="AG408" s="5122"/>
      <c r="AH408" s="5634"/>
      <c r="AI408" s="5094" t="s">
        <v>1</v>
      </c>
      <c r="AJ408" s="5120"/>
      <c r="AK408" s="5121"/>
      <c r="AL408" s="5121"/>
      <c r="AM408" s="5121"/>
      <c r="AN408" s="5121"/>
      <c r="AO408" s="5122"/>
      <c r="AP408" s="5122"/>
      <c r="AQ408" s="5122"/>
      <c r="AR408" s="5122"/>
      <c r="AS408" s="5122"/>
      <c r="AT408" s="5122"/>
      <c r="AU408" s="5122"/>
      <c r="AV408" s="5122"/>
      <c r="AW408" s="5122"/>
      <c r="AX408" s="5122"/>
      <c r="AY408" s="5634"/>
      <c r="AZ408" s="5094" t="s">
        <v>1</v>
      </c>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5">
        <v>1</v>
      </c>
      <c r="CL408" s="1"/>
      <c r="CM408" s="1"/>
    </row>
    <row r="409" spans="2:91" s="187" customFormat="1" ht="21" customHeight="1">
      <c r="B409" s="5120"/>
      <c r="C409" s="5121"/>
      <c r="D409" s="5121"/>
      <c r="E409" s="5121"/>
      <c r="F409" s="5121"/>
      <c r="G409" s="5122"/>
      <c r="H409" s="5122"/>
      <c r="I409" s="5122"/>
      <c r="J409" s="5122"/>
      <c r="K409" s="5122"/>
      <c r="L409" s="5122"/>
      <c r="M409" s="5122"/>
      <c r="N409" s="5122"/>
      <c r="O409" s="5122"/>
      <c r="P409" s="5122"/>
      <c r="Q409" s="5634"/>
      <c r="R409" s="5094" t="s">
        <v>1</v>
      </c>
      <c r="S409" s="5120"/>
      <c r="T409" s="5121"/>
      <c r="U409" s="5121"/>
      <c r="V409" s="5121"/>
      <c r="W409" s="5121"/>
      <c r="X409" s="5122"/>
      <c r="Y409" s="5122"/>
      <c r="Z409" s="5122"/>
      <c r="AA409" s="5122"/>
      <c r="AB409" s="5122"/>
      <c r="AC409" s="5122"/>
      <c r="AD409" s="5122"/>
      <c r="AE409" s="5122"/>
      <c r="AF409" s="5122"/>
      <c r="AG409" s="5122"/>
      <c r="AH409" s="5634"/>
      <c r="AI409" s="5094" t="s">
        <v>1</v>
      </c>
      <c r="AJ409" s="5120"/>
      <c r="AK409" s="5121"/>
      <c r="AL409" s="5121"/>
      <c r="AM409" s="5121"/>
      <c r="AN409" s="5121"/>
      <c r="AO409" s="5122"/>
      <c r="AP409" s="5122"/>
      <c r="AQ409" s="5122"/>
      <c r="AR409" s="5122"/>
      <c r="AS409" s="5122"/>
      <c r="AT409" s="5122"/>
      <c r="AU409" s="5122"/>
      <c r="AV409" s="5122"/>
      <c r="AW409" s="5122"/>
      <c r="AX409" s="5122"/>
      <c r="AY409" s="5634"/>
      <c r="AZ409" s="5094" t="s">
        <v>1</v>
      </c>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5">
        <v>1</v>
      </c>
      <c r="CL409" s="1"/>
      <c r="CM409" s="1"/>
    </row>
    <row r="410" spans="2:91" s="187" customFormat="1" ht="21" customHeight="1">
      <c r="B410" s="5120"/>
      <c r="C410" s="5121"/>
      <c r="D410" s="5121"/>
      <c r="E410" s="5121"/>
      <c r="F410" s="5121"/>
      <c r="G410" s="5122"/>
      <c r="H410" s="5122"/>
      <c r="I410" s="5122"/>
      <c r="J410" s="5122"/>
      <c r="K410" s="5122"/>
      <c r="L410" s="5122"/>
      <c r="M410" s="5122"/>
      <c r="N410" s="5122"/>
      <c r="O410" s="5122"/>
      <c r="P410" s="5122"/>
      <c r="Q410" s="5634"/>
      <c r="R410" s="5094" t="s">
        <v>1</v>
      </c>
      <c r="S410" s="5120"/>
      <c r="T410" s="5121"/>
      <c r="U410" s="5121"/>
      <c r="V410" s="5121"/>
      <c r="W410" s="5121"/>
      <c r="X410" s="5122"/>
      <c r="Y410" s="5122"/>
      <c r="Z410" s="5122"/>
      <c r="AA410" s="5122"/>
      <c r="AB410" s="5122"/>
      <c r="AC410" s="5122"/>
      <c r="AD410" s="5122"/>
      <c r="AE410" s="5122"/>
      <c r="AF410" s="5122"/>
      <c r="AG410" s="5122"/>
      <c r="AH410" s="5634"/>
      <c r="AI410" s="5094" t="s">
        <v>1</v>
      </c>
      <c r="AJ410" s="5120"/>
      <c r="AK410" s="5121"/>
      <c r="AL410" s="5121"/>
      <c r="AM410" s="5121"/>
      <c r="AN410" s="5121"/>
      <c r="AO410" s="5122"/>
      <c r="AP410" s="5122"/>
      <c r="AQ410" s="5122"/>
      <c r="AR410" s="5122"/>
      <c r="AS410" s="5122"/>
      <c r="AT410" s="5122"/>
      <c r="AU410" s="5122"/>
      <c r="AV410" s="5122"/>
      <c r="AW410" s="5122"/>
      <c r="AX410" s="5122"/>
      <c r="AY410" s="5634"/>
      <c r="AZ410" s="5094" t="s">
        <v>1</v>
      </c>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5">
        <v>1</v>
      </c>
      <c r="CL410" s="1"/>
      <c r="CM410" s="1"/>
    </row>
    <row r="411" spans="2:91" s="187" customFormat="1" ht="21" customHeight="1">
      <c r="B411" s="5120"/>
      <c r="C411" s="5121"/>
      <c r="D411" s="5121"/>
      <c r="E411" s="5121"/>
      <c r="F411" s="5121"/>
      <c r="G411" s="5122"/>
      <c r="H411" s="5122"/>
      <c r="I411" s="5122"/>
      <c r="J411" s="5122"/>
      <c r="K411" s="5122"/>
      <c r="L411" s="5122"/>
      <c r="M411" s="5122"/>
      <c r="N411" s="5122"/>
      <c r="O411" s="5122"/>
      <c r="P411" s="5122"/>
      <c r="Q411" s="5634"/>
      <c r="R411" s="5094" t="s">
        <v>1</v>
      </c>
      <c r="S411" s="5120"/>
      <c r="T411" s="5121"/>
      <c r="U411" s="5121"/>
      <c r="V411" s="5121"/>
      <c r="W411" s="5121"/>
      <c r="X411" s="5122"/>
      <c r="Y411" s="5122"/>
      <c r="Z411" s="5122"/>
      <c r="AA411" s="5122"/>
      <c r="AB411" s="5122"/>
      <c r="AC411" s="5122"/>
      <c r="AD411" s="5122"/>
      <c r="AE411" s="5122"/>
      <c r="AF411" s="5122"/>
      <c r="AG411" s="5122"/>
      <c r="AH411" s="5634"/>
      <c r="AI411" s="5094" t="s">
        <v>1</v>
      </c>
      <c r="AJ411" s="5120"/>
      <c r="AK411" s="5121"/>
      <c r="AL411" s="5121"/>
      <c r="AM411" s="5121"/>
      <c r="AN411" s="5121"/>
      <c r="AO411" s="5122"/>
      <c r="AP411" s="5122"/>
      <c r="AQ411" s="5122"/>
      <c r="AR411" s="5122"/>
      <c r="AS411" s="5122"/>
      <c r="AT411" s="5122"/>
      <c r="AU411" s="5122"/>
      <c r="AV411" s="5122"/>
      <c r="AW411" s="5122"/>
      <c r="AX411" s="5122"/>
      <c r="AY411" s="5634"/>
      <c r="AZ411" s="5094" t="s">
        <v>1</v>
      </c>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5">
        <v>1</v>
      </c>
      <c r="CL411" s="1"/>
      <c r="CM411" s="1"/>
    </row>
    <row r="412" spans="2:91" s="187" customFormat="1" ht="21" customHeight="1">
      <c r="B412" s="5120"/>
      <c r="C412" s="5121"/>
      <c r="D412" s="5121"/>
      <c r="E412" s="5121"/>
      <c r="F412" s="5121"/>
      <c r="G412" s="5122"/>
      <c r="H412" s="5122"/>
      <c r="I412" s="5122"/>
      <c r="J412" s="5122"/>
      <c r="K412" s="5122"/>
      <c r="L412" s="5122"/>
      <c r="M412" s="5122"/>
      <c r="N412" s="5122"/>
      <c r="O412" s="5122"/>
      <c r="P412" s="5122"/>
      <c r="Q412" s="5634"/>
      <c r="R412" s="5094" t="s">
        <v>1</v>
      </c>
      <c r="S412" s="5120"/>
      <c r="T412" s="5121"/>
      <c r="U412" s="5121"/>
      <c r="V412" s="5121"/>
      <c r="W412" s="5121"/>
      <c r="X412" s="5122"/>
      <c r="Y412" s="5122"/>
      <c r="Z412" s="5122"/>
      <c r="AA412" s="5122"/>
      <c r="AB412" s="5122"/>
      <c r="AC412" s="5122"/>
      <c r="AD412" s="5122"/>
      <c r="AE412" s="5122"/>
      <c r="AF412" s="5122"/>
      <c r="AG412" s="5122"/>
      <c r="AH412" s="5634"/>
      <c r="AI412" s="5094" t="s">
        <v>1</v>
      </c>
      <c r="AJ412" s="5120"/>
      <c r="AK412" s="5121"/>
      <c r="AL412" s="5121"/>
      <c r="AM412" s="5121"/>
      <c r="AN412" s="5121"/>
      <c r="AO412" s="5122"/>
      <c r="AP412" s="5122"/>
      <c r="AQ412" s="5122"/>
      <c r="AR412" s="5122"/>
      <c r="AS412" s="5122"/>
      <c r="AT412" s="5122"/>
      <c r="AU412" s="5122"/>
      <c r="AV412" s="5122"/>
      <c r="AW412" s="5122"/>
      <c r="AX412" s="5122"/>
      <c r="AY412" s="5634"/>
      <c r="AZ412" s="5094" t="s">
        <v>1</v>
      </c>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5">
        <v>1</v>
      </c>
      <c r="CL412" s="1"/>
      <c r="CM412" s="1"/>
    </row>
    <row r="413" spans="2:91" s="187" customFormat="1" ht="21" customHeight="1">
      <c r="B413" s="5120"/>
      <c r="C413" s="5121"/>
      <c r="D413" s="5121"/>
      <c r="E413" s="5121"/>
      <c r="F413" s="5121"/>
      <c r="G413" s="5122"/>
      <c r="H413" s="5122"/>
      <c r="I413" s="5122"/>
      <c r="J413" s="5122"/>
      <c r="K413" s="5122"/>
      <c r="L413" s="5122"/>
      <c r="M413" s="5122"/>
      <c r="N413" s="5122"/>
      <c r="O413" s="5122"/>
      <c r="P413" s="5122"/>
      <c r="Q413" s="5634"/>
      <c r="R413" s="5094" t="s">
        <v>1</v>
      </c>
      <c r="S413" s="5120"/>
      <c r="T413" s="5121"/>
      <c r="U413" s="5121"/>
      <c r="V413" s="5121"/>
      <c r="W413" s="5121"/>
      <c r="X413" s="5122"/>
      <c r="Y413" s="5122"/>
      <c r="Z413" s="5122"/>
      <c r="AA413" s="5122"/>
      <c r="AB413" s="5122"/>
      <c r="AC413" s="5122"/>
      <c r="AD413" s="5122"/>
      <c r="AE413" s="5122"/>
      <c r="AF413" s="5122"/>
      <c r="AG413" s="5122"/>
      <c r="AH413" s="5634"/>
      <c r="AI413" s="5094" t="s">
        <v>1</v>
      </c>
      <c r="AJ413" s="5120"/>
      <c r="AK413" s="5121"/>
      <c r="AL413" s="5121"/>
      <c r="AM413" s="5121"/>
      <c r="AN413" s="5121"/>
      <c r="AO413" s="5122"/>
      <c r="AP413" s="5122"/>
      <c r="AQ413" s="5122"/>
      <c r="AR413" s="5122"/>
      <c r="AS413" s="5122"/>
      <c r="AT413" s="5122"/>
      <c r="AU413" s="5122"/>
      <c r="AV413" s="5122"/>
      <c r="AW413" s="5122"/>
      <c r="AX413" s="5122"/>
      <c r="AY413" s="5634"/>
      <c r="AZ413" s="5094" t="s">
        <v>1</v>
      </c>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5">
        <v>1</v>
      </c>
      <c r="CL413" s="1"/>
      <c r="CM413" s="1"/>
    </row>
    <row r="414" spans="2:91" s="187" customFormat="1" ht="21" customHeight="1">
      <c r="B414" s="5120"/>
      <c r="C414" s="5121"/>
      <c r="D414" s="5121"/>
      <c r="E414" s="5121"/>
      <c r="F414" s="5121"/>
      <c r="G414" s="5122"/>
      <c r="H414" s="5122"/>
      <c r="I414" s="5122"/>
      <c r="J414" s="5122"/>
      <c r="K414" s="5122"/>
      <c r="L414" s="5122"/>
      <c r="M414" s="5122"/>
      <c r="N414" s="5122"/>
      <c r="O414" s="5122"/>
      <c r="P414" s="5122"/>
      <c r="Q414" s="5634"/>
      <c r="R414" s="5094" t="s">
        <v>1</v>
      </c>
      <c r="S414" s="5120"/>
      <c r="T414" s="5121"/>
      <c r="U414" s="5121"/>
      <c r="V414" s="5121"/>
      <c r="W414" s="5121"/>
      <c r="X414" s="5122"/>
      <c r="Y414" s="5122"/>
      <c r="Z414" s="5122"/>
      <c r="AA414" s="5122"/>
      <c r="AB414" s="5122"/>
      <c r="AC414" s="5122"/>
      <c r="AD414" s="5122"/>
      <c r="AE414" s="5122"/>
      <c r="AF414" s="5122"/>
      <c r="AG414" s="5122"/>
      <c r="AH414" s="5634"/>
      <c r="AI414" s="5094" t="s">
        <v>1</v>
      </c>
      <c r="AJ414" s="5120"/>
      <c r="AK414" s="5121"/>
      <c r="AL414" s="5121"/>
      <c r="AM414" s="5121"/>
      <c r="AN414" s="5121"/>
      <c r="AO414" s="5122"/>
      <c r="AP414" s="5122"/>
      <c r="AQ414" s="5122"/>
      <c r="AR414" s="5122"/>
      <c r="AS414" s="5122"/>
      <c r="AT414" s="5122"/>
      <c r="AU414" s="5122"/>
      <c r="AV414" s="5122"/>
      <c r="AW414" s="5122"/>
      <c r="AX414" s="5122"/>
      <c r="AY414" s="5634"/>
      <c r="AZ414" s="5094" t="s">
        <v>1</v>
      </c>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5">
        <v>1</v>
      </c>
      <c r="CL414" s="1"/>
      <c r="CM414" s="1"/>
    </row>
    <row r="415" spans="2:91" s="187" customFormat="1" ht="21" customHeight="1">
      <c r="B415" s="5120"/>
      <c r="C415" s="5121"/>
      <c r="D415" s="5121"/>
      <c r="E415" s="5121"/>
      <c r="F415" s="5121"/>
      <c r="G415" s="5122"/>
      <c r="H415" s="5122"/>
      <c r="I415" s="5122"/>
      <c r="J415" s="5122"/>
      <c r="K415" s="5122"/>
      <c r="L415" s="5122"/>
      <c r="M415" s="5122"/>
      <c r="N415" s="5122"/>
      <c r="O415" s="5122"/>
      <c r="P415" s="5122"/>
      <c r="Q415" s="5634"/>
      <c r="R415" s="5094" t="s">
        <v>1</v>
      </c>
      <c r="S415" s="5120"/>
      <c r="T415" s="5121"/>
      <c r="U415" s="5121"/>
      <c r="V415" s="5121"/>
      <c r="W415" s="5121"/>
      <c r="X415" s="5122"/>
      <c r="Y415" s="5122"/>
      <c r="Z415" s="5122"/>
      <c r="AA415" s="5122"/>
      <c r="AB415" s="5122"/>
      <c r="AC415" s="5122"/>
      <c r="AD415" s="5122"/>
      <c r="AE415" s="5122"/>
      <c r="AF415" s="5122"/>
      <c r="AG415" s="5122"/>
      <c r="AH415" s="5634"/>
      <c r="AI415" s="5094" t="s">
        <v>1</v>
      </c>
      <c r="AJ415" s="5120"/>
      <c r="AK415" s="5121"/>
      <c r="AL415" s="5121"/>
      <c r="AM415" s="5121"/>
      <c r="AN415" s="5121"/>
      <c r="AO415" s="5122"/>
      <c r="AP415" s="5122"/>
      <c r="AQ415" s="5122"/>
      <c r="AR415" s="5122"/>
      <c r="AS415" s="5122"/>
      <c r="AT415" s="5122"/>
      <c r="AU415" s="5122"/>
      <c r="AV415" s="5122"/>
      <c r="AW415" s="5122"/>
      <c r="AX415" s="5122"/>
      <c r="AY415" s="5634"/>
      <c r="AZ415" s="5094" t="s">
        <v>1</v>
      </c>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5">
        <v>1</v>
      </c>
      <c r="CL415" s="1"/>
      <c r="CM415" s="1"/>
    </row>
    <row r="416" spans="2:91" s="187" customFormat="1" ht="21" customHeight="1">
      <c r="B416" s="5120"/>
      <c r="C416" s="5121"/>
      <c r="D416" s="5121"/>
      <c r="E416" s="5121"/>
      <c r="F416" s="5121"/>
      <c r="G416" s="5122"/>
      <c r="H416" s="5122"/>
      <c r="I416" s="5122"/>
      <c r="J416" s="5122"/>
      <c r="K416" s="5122"/>
      <c r="L416" s="5122"/>
      <c r="M416" s="5122"/>
      <c r="N416" s="5122"/>
      <c r="O416" s="5122"/>
      <c r="P416" s="5122"/>
      <c r="Q416" s="5634"/>
      <c r="R416" s="5094" t="s">
        <v>1</v>
      </c>
      <c r="S416" s="5120"/>
      <c r="T416" s="5121"/>
      <c r="U416" s="5121"/>
      <c r="V416" s="5121"/>
      <c r="W416" s="5121"/>
      <c r="X416" s="5122"/>
      <c r="Y416" s="5122"/>
      <c r="Z416" s="5122"/>
      <c r="AA416" s="5122"/>
      <c r="AB416" s="5122"/>
      <c r="AC416" s="5122"/>
      <c r="AD416" s="5122"/>
      <c r="AE416" s="5122"/>
      <c r="AF416" s="5122"/>
      <c r="AG416" s="5122"/>
      <c r="AH416" s="5634"/>
      <c r="AI416" s="5094" t="s">
        <v>1</v>
      </c>
      <c r="AJ416" s="5120"/>
      <c r="AK416" s="5121"/>
      <c r="AL416" s="5121"/>
      <c r="AM416" s="5121"/>
      <c r="AN416" s="5121"/>
      <c r="AO416" s="5122"/>
      <c r="AP416" s="5122"/>
      <c r="AQ416" s="5122"/>
      <c r="AR416" s="5122"/>
      <c r="AS416" s="5122"/>
      <c r="AT416" s="5122"/>
      <c r="AU416" s="5122"/>
      <c r="AV416" s="5122"/>
      <c r="AW416" s="5122"/>
      <c r="AX416" s="5122"/>
      <c r="AY416" s="5634"/>
      <c r="AZ416" s="5094" t="s">
        <v>1</v>
      </c>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5">
        <v>1</v>
      </c>
      <c r="CL416" s="1"/>
      <c r="CM416" s="1"/>
    </row>
    <row r="417" spans="1:91" s="187" customFormat="1" ht="21" customHeight="1">
      <c r="B417" s="5120"/>
      <c r="C417" s="5121"/>
      <c r="D417" s="5121"/>
      <c r="E417" s="5121"/>
      <c r="F417" s="5121"/>
      <c r="G417" s="5122"/>
      <c r="H417" s="5122"/>
      <c r="I417" s="5122"/>
      <c r="J417" s="5122"/>
      <c r="K417" s="5122"/>
      <c r="L417" s="5122"/>
      <c r="M417" s="5122"/>
      <c r="N417" s="5122"/>
      <c r="O417" s="5122"/>
      <c r="P417" s="5122"/>
      <c r="Q417" s="5634"/>
      <c r="R417" s="5094" t="s">
        <v>1</v>
      </c>
      <c r="S417" s="5120"/>
      <c r="T417" s="5121"/>
      <c r="U417" s="5121"/>
      <c r="V417" s="5121"/>
      <c r="W417" s="5121"/>
      <c r="X417" s="5122"/>
      <c r="Y417" s="5122"/>
      <c r="Z417" s="5122"/>
      <c r="AA417" s="5122"/>
      <c r="AB417" s="5122"/>
      <c r="AC417" s="5122"/>
      <c r="AD417" s="5122"/>
      <c r="AE417" s="5122"/>
      <c r="AF417" s="5122"/>
      <c r="AG417" s="5122"/>
      <c r="AH417" s="5634"/>
      <c r="AI417" s="5094" t="s">
        <v>1</v>
      </c>
      <c r="AJ417" s="5120"/>
      <c r="AK417" s="5121"/>
      <c r="AL417" s="5121"/>
      <c r="AM417" s="5121"/>
      <c r="AN417" s="5121"/>
      <c r="AO417" s="5122"/>
      <c r="AP417" s="5122"/>
      <c r="AQ417" s="5122"/>
      <c r="AR417" s="5122"/>
      <c r="AS417" s="5122"/>
      <c r="AT417" s="5122"/>
      <c r="AU417" s="5122"/>
      <c r="AV417" s="5122"/>
      <c r="AW417" s="5122"/>
      <c r="AX417" s="5122"/>
      <c r="AY417" s="5634"/>
      <c r="AZ417" s="5094" t="s">
        <v>1</v>
      </c>
      <c r="BA417" s="2"/>
      <c r="BB417" s="2"/>
      <c r="BC417" s="2"/>
      <c r="BD417" s="2"/>
      <c r="BE417" s="2"/>
      <c r="BF417" s="2"/>
      <c r="BG417" s="2"/>
      <c r="BH417" s="2"/>
      <c r="BI417" s="2"/>
      <c r="BJ417" s="2"/>
      <c r="BK417" s="2"/>
      <c r="BL417" s="2"/>
      <c r="BM417" s="2"/>
      <c r="BN417" s="2"/>
      <c r="BO417" s="2"/>
      <c r="BP417" s="2"/>
      <c r="BQ417" s="2"/>
      <c r="BR417"/>
      <c r="BS417" s="2"/>
      <c r="BT417" s="2"/>
      <c r="BU417" s="2"/>
      <c r="BV417" s="2"/>
      <c r="BW417" s="2"/>
      <c r="BX417" s="2"/>
      <c r="BY417" s="2"/>
      <c r="BZ417" s="2"/>
      <c r="CA417" s="2"/>
      <c r="CB417" s="2"/>
      <c r="CC417" s="2"/>
      <c r="CD417" s="2"/>
      <c r="CE417"/>
      <c r="CF417"/>
      <c r="CG417"/>
      <c r="CH417"/>
      <c r="CI417"/>
      <c r="CJ417"/>
      <c r="CK417" s="5">
        <v>1</v>
      </c>
      <c r="CL417" s="1"/>
      <c r="CM417" s="1"/>
    </row>
    <row r="418" spans="1:91" s="187" customFormat="1" ht="21" customHeight="1">
      <c r="B418" s="5120"/>
      <c r="C418" s="5121"/>
      <c r="D418" s="5121"/>
      <c r="E418" s="5121"/>
      <c r="F418" s="5121"/>
      <c r="G418" s="5122"/>
      <c r="H418" s="5122"/>
      <c r="I418" s="5122"/>
      <c r="J418" s="5122"/>
      <c r="K418" s="5122"/>
      <c r="L418" s="5122"/>
      <c r="M418" s="5122"/>
      <c r="N418" s="5122"/>
      <c r="O418" s="5122"/>
      <c r="P418" s="5122"/>
      <c r="Q418" s="5634"/>
      <c r="R418" s="5094" t="s">
        <v>1</v>
      </c>
      <c r="S418" s="5120"/>
      <c r="T418" s="5121"/>
      <c r="U418" s="5121"/>
      <c r="V418" s="5121"/>
      <c r="W418" s="5121"/>
      <c r="X418" s="5122"/>
      <c r="Y418" s="5122"/>
      <c r="Z418" s="5122"/>
      <c r="AA418" s="5122"/>
      <c r="AB418" s="5122"/>
      <c r="AC418" s="5122"/>
      <c r="AD418" s="5122"/>
      <c r="AE418" s="5122"/>
      <c r="AF418" s="5122"/>
      <c r="AG418" s="5122"/>
      <c r="AH418" s="5634"/>
      <c r="AI418" s="5094" t="s">
        <v>1</v>
      </c>
      <c r="AJ418" s="5120"/>
      <c r="AK418" s="5121"/>
      <c r="AL418" s="5121"/>
      <c r="AM418" s="5121"/>
      <c r="AN418" s="5121"/>
      <c r="AO418" s="5122"/>
      <c r="AP418" s="5122"/>
      <c r="AQ418" s="5122"/>
      <c r="AR418" s="5122"/>
      <c r="AS418" s="5122"/>
      <c r="AT418" s="5122"/>
      <c r="AU418" s="5122"/>
      <c r="AV418" s="5122"/>
      <c r="AW418" s="5122"/>
      <c r="AX418" s="5122"/>
      <c r="AY418" s="5634"/>
      <c r="AZ418" s="5094" t="s">
        <v>1</v>
      </c>
      <c r="BA418" s="2"/>
      <c r="BB418" s="2"/>
      <c r="BC418" s="2"/>
      <c r="BD418" s="2"/>
      <c r="BE418" s="2"/>
      <c r="BF418" s="2"/>
      <c r="BG418" s="2"/>
      <c r="BH418" s="2"/>
      <c r="BI418" s="2"/>
      <c r="BJ418" s="2"/>
      <c r="BK418" s="2"/>
      <c r="BL418" s="2"/>
      <c r="BM418" s="2"/>
      <c r="BN418" s="2"/>
      <c r="BO418" s="2"/>
      <c r="BP418" s="2"/>
      <c r="BQ418" s="2"/>
      <c r="BR418"/>
      <c r="BS418" s="2"/>
      <c r="BT418" s="2"/>
      <c r="BU418" s="2"/>
      <c r="BV418" s="2"/>
      <c r="BW418" s="2"/>
      <c r="BX418" s="2"/>
      <c r="BY418" s="2"/>
      <c r="BZ418" s="2"/>
      <c r="CA418" s="2"/>
      <c r="CB418" s="2"/>
      <c r="CC418" s="2"/>
      <c r="CD418" s="2"/>
      <c r="CE418"/>
      <c r="CF418"/>
      <c r="CG418"/>
      <c r="CH418"/>
      <c r="CI418"/>
      <c r="CJ418"/>
      <c r="CK418" s="5">
        <v>1</v>
      </c>
      <c r="CL418" s="1"/>
      <c r="CM418" s="1"/>
    </row>
    <row r="419" spans="1:91" s="187" customFormat="1" ht="21" customHeight="1">
      <c r="B419" s="5120"/>
      <c r="C419" s="5121"/>
      <c r="D419" s="5121"/>
      <c r="E419" s="5121"/>
      <c r="F419" s="5121"/>
      <c r="G419" s="5122"/>
      <c r="H419" s="5122"/>
      <c r="I419" s="5122"/>
      <c r="J419" s="5122"/>
      <c r="K419" s="5122"/>
      <c r="L419" s="5122"/>
      <c r="M419" s="5122"/>
      <c r="N419" s="5122"/>
      <c r="O419" s="5122"/>
      <c r="P419" s="5122"/>
      <c r="Q419" s="5634"/>
      <c r="R419" s="5094" t="s">
        <v>1</v>
      </c>
      <c r="S419" s="5120"/>
      <c r="T419" s="5121"/>
      <c r="U419" s="5121"/>
      <c r="V419" s="5121"/>
      <c r="W419" s="5121"/>
      <c r="X419" s="5122"/>
      <c r="Y419" s="5122"/>
      <c r="Z419" s="5122"/>
      <c r="AA419" s="5122"/>
      <c r="AB419" s="5122"/>
      <c r="AC419" s="5122"/>
      <c r="AD419" s="5122"/>
      <c r="AE419" s="5122"/>
      <c r="AF419" s="5122"/>
      <c r="AG419" s="5122"/>
      <c r="AH419" s="5634"/>
      <c r="AI419" s="5094" t="s">
        <v>1</v>
      </c>
      <c r="AJ419" s="5120"/>
      <c r="AK419" s="5121"/>
      <c r="AL419" s="5121"/>
      <c r="AM419" s="5121"/>
      <c r="AN419" s="5121"/>
      <c r="AO419" s="5122"/>
      <c r="AP419" s="5122"/>
      <c r="AQ419" s="5122"/>
      <c r="AR419" s="5122"/>
      <c r="AS419" s="5122"/>
      <c r="AT419" s="5122"/>
      <c r="AU419" s="5122"/>
      <c r="AV419" s="5122"/>
      <c r="AW419" s="5122"/>
      <c r="AX419" s="5122"/>
      <c r="AY419" s="5634"/>
      <c r="AZ419" s="5094" t="s">
        <v>1</v>
      </c>
      <c r="BA419" s="2"/>
      <c r="BB419" s="2"/>
      <c r="BC419" s="2"/>
      <c r="BD419" s="2"/>
      <c r="BE419" s="2"/>
      <c r="BF419" s="2"/>
      <c r="BG419" s="2"/>
      <c r="BH419" s="2"/>
      <c r="BI419" s="2"/>
      <c r="BJ419" s="2"/>
      <c r="BK419" s="2"/>
      <c r="BL419" s="2"/>
      <c r="BM419" s="2"/>
      <c r="BN419" s="2"/>
      <c r="BO419" s="2"/>
      <c r="BP419" s="2"/>
      <c r="BQ419" s="2"/>
      <c r="BR419"/>
      <c r="BS419" s="2"/>
      <c r="BT419" s="2"/>
      <c r="BU419" s="2"/>
      <c r="BV419" s="2"/>
      <c r="BW419" s="2"/>
      <c r="BX419" s="2"/>
      <c r="BY419" s="2"/>
      <c r="BZ419" s="2"/>
      <c r="CA419" s="2"/>
      <c r="CB419" s="2"/>
      <c r="CC419" s="2"/>
      <c r="CD419" s="2"/>
      <c r="CE419"/>
      <c r="CF419"/>
      <c r="CG419"/>
      <c r="CH419"/>
      <c r="CI419"/>
      <c r="CJ419"/>
      <c r="CK419" s="5">
        <v>1</v>
      </c>
      <c r="CL419" s="1"/>
      <c r="CM419" s="1"/>
    </row>
    <row r="420" spans="1:91" s="187" customFormat="1" ht="21" customHeight="1">
      <c r="B420" s="19" t="str">
        <f t="shared" ref="B420:AY420" si="2">SUBSTITUTE(ADDRESS(1,COLUMN(),4),"1","")</f>
        <v>B</v>
      </c>
      <c r="C420" s="19" t="str">
        <f t="shared" si="2"/>
        <v>C</v>
      </c>
      <c r="D420" s="19" t="str">
        <f t="shared" si="2"/>
        <v>D</v>
      </c>
      <c r="E420" s="19" t="str">
        <f t="shared" si="2"/>
        <v>E</v>
      </c>
      <c r="F420" s="19" t="str">
        <f t="shared" si="2"/>
        <v>F</v>
      </c>
      <c r="G420" s="19" t="str">
        <f t="shared" si="2"/>
        <v>G</v>
      </c>
      <c r="H420" s="19" t="str">
        <f t="shared" si="2"/>
        <v>H</v>
      </c>
      <c r="I420" s="19" t="str">
        <f t="shared" si="2"/>
        <v>I</v>
      </c>
      <c r="J420" s="19" t="str">
        <f t="shared" si="2"/>
        <v>J</v>
      </c>
      <c r="K420" s="19" t="str">
        <f t="shared" si="2"/>
        <v>K</v>
      </c>
      <c r="L420" s="19" t="str">
        <f t="shared" si="2"/>
        <v>L</v>
      </c>
      <c r="M420" s="19" t="str">
        <f t="shared" si="2"/>
        <v>M</v>
      </c>
      <c r="N420" s="19" t="str">
        <f t="shared" si="2"/>
        <v>N</v>
      </c>
      <c r="O420" s="19" t="str">
        <f t="shared" si="2"/>
        <v>O</v>
      </c>
      <c r="P420" s="19" t="str">
        <f t="shared" si="2"/>
        <v>P</v>
      </c>
      <c r="Q420" s="19" t="str">
        <f t="shared" si="2"/>
        <v>Q</v>
      </c>
      <c r="R420" s="5094" t="s">
        <v>1</v>
      </c>
      <c r="S420" s="19" t="str">
        <f t="shared" si="2"/>
        <v>S</v>
      </c>
      <c r="T420" s="19" t="str">
        <f t="shared" si="2"/>
        <v>T</v>
      </c>
      <c r="U420" s="19" t="str">
        <f t="shared" si="2"/>
        <v>U</v>
      </c>
      <c r="V420" s="19" t="str">
        <f t="shared" si="2"/>
        <v>V</v>
      </c>
      <c r="W420" s="19" t="str">
        <f t="shared" si="2"/>
        <v>W</v>
      </c>
      <c r="X420" s="19" t="str">
        <f t="shared" si="2"/>
        <v>X</v>
      </c>
      <c r="Y420" s="19" t="str">
        <f t="shared" si="2"/>
        <v>Y</v>
      </c>
      <c r="Z420" s="19" t="str">
        <f t="shared" si="2"/>
        <v>Z</v>
      </c>
      <c r="AA420" s="19" t="str">
        <f t="shared" si="2"/>
        <v>AA</v>
      </c>
      <c r="AB420" s="19" t="str">
        <f t="shared" si="2"/>
        <v>AB</v>
      </c>
      <c r="AC420" s="19" t="str">
        <f t="shared" si="2"/>
        <v>AC</v>
      </c>
      <c r="AD420" s="19" t="str">
        <f t="shared" si="2"/>
        <v>AD</v>
      </c>
      <c r="AE420" s="19" t="str">
        <f t="shared" si="2"/>
        <v>AE</v>
      </c>
      <c r="AF420" s="19" t="str">
        <f t="shared" si="2"/>
        <v>AF</v>
      </c>
      <c r="AG420" s="19" t="str">
        <f t="shared" si="2"/>
        <v>AG</v>
      </c>
      <c r="AH420" s="19" t="str">
        <f t="shared" si="2"/>
        <v>AH</v>
      </c>
      <c r="AI420" s="5094" t="s">
        <v>1</v>
      </c>
      <c r="AJ420" s="19" t="str">
        <f t="shared" si="2"/>
        <v>AJ</v>
      </c>
      <c r="AK420" s="19" t="str">
        <f t="shared" si="2"/>
        <v>AK</v>
      </c>
      <c r="AL420" s="19" t="str">
        <f t="shared" si="2"/>
        <v>AL</v>
      </c>
      <c r="AM420" s="19" t="str">
        <f t="shared" si="2"/>
        <v>AM</v>
      </c>
      <c r="AN420" s="19" t="str">
        <f t="shared" si="2"/>
        <v>AN</v>
      </c>
      <c r="AO420" s="19" t="str">
        <f t="shared" si="2"/>
        <v>AO</v>
      </c>
      <c r="AP420" s="19" t="str">
        <f t="shared" si="2"/>
        <v>AP</v>
      </c>
      <c r="AQ420" s="19" t="str">
        <f t="shared" si="2"/>
        <v>AQ</v>
      </c>
      <c r="AR420" s="19" t="str">
        <f t="shared" si="2"/>
        <v>AR</v>
      </c>
      <c r="AS420" s="19" t="str">
        <f t="shared" si="2"/>
        <v>AS</v>
      </c>
      <c r="AT420" s="19" t="str">
        <f t="shared" si="2"/>
        <v>AT</v>
      </c>
      <c r="AU420" s="19" t="str">
        <f t="shared" si="2"/>
        <v>AU</v>
      </c>
      <c r="AV420" s="19" t="str">
        <f t="shared" si="2"/>
        <v>AV</v>
      </c>
      <c r="AW420" s="19" t="str">
        <f t="shared" si="2"/>
        <v>AW</v>
      </c>
      <c r="AX420" s="19" t="str">
        <f t="shared" si="2"/>
        <v>AX</v>
      </c>
      <c r="AY420" s="19" t="str">
        <f t="shared" si="2"/>
        <v>AY</v>
      </c>
      <c r="AZ420" s="5094" t="s">
        <v>1</v>
      </c>
      <c r="BA420" s="2"/>
      <c r="BB420" s="2"/>
      <c r="BC420" s="2"/>
      <c r="BD420" s="2"/>
      <c r="BE420" s="2"/>
      <c r="BF420" s="2"/>
      <c r="BG420" s="2"/>
      <c r="BH420" s="2"/>
      <c r="BI420" s="2"/>
      <c r="BJ420" s="2"/>
      <c r="BK420" s="2"/>
      <c r="BL420" s="2"/>
      <c r="BM420" s="2"/>
      <c r="BN420" s="2"/>
      <c r="BO420" s="2"/>
      <c r="BP420" s="2"/>
      <c r="BQ420" s="2"/>
      <c r="BR420"/>
      <c r="BS420" s="2"/>
      <c r="BT420" s="2"/>
      <c r="BU420" s="2"/>
      <c r="BV420" s="2"/>
      <c r="BW420" s="2"/>
      <c r="BX420" s="2"/>
      <c r="BY420" s="2"/>
      <c r="BZ420" s="2"/>
      <c r="CA420" s="2"/>
      <c r="CB420" s="2"/>
      <c r="CC420" s="2"/>
      <c r="CD420" s="2"/>
      <c r="CE420"/>
      <c r="CF420"/>
      <c r="CG420"/>
      <c r="CH420"/>
      <c r="CI420"/>
      <c r="CJ420"/>
      <c r="CK420" s="5">
        <v>1</v>
      </c>
      <c r="CL420" s="1"/>
      <c r="CM420" s="1"/>
    </row>
    <row r="421" spans="1:91" s="187" customFormat="1" ht="21" customHeight="1">
      <c r="B421" s="15">
        <f t="shared" ref="B421:AY421" ca="1" si="3">CELL("largeur",B421)</f>
        <v>4</v>
      </c>
      <c r="C421" s="15">
        <f t="shared" ca="1" si="3"/>
        <v>3</v>
      </c>
      <c r="D421" s="15">
        <f t="shared" ca="1" si="3"/>
        <v>3</v>
      </c>
      <c r="E421" s="15">
        <f t="shared" ca="1" si="3"/>
        <v>3</v>
      </c>
      <c r="F421" s="15">
        <f t="shared" ca="1" si="3"/>
        <v>3</v>
      </c>
      <c r="G421" s="15">
        <f t="shared" ca="1" si="3"/>
        <v>12</v>
      </c>
      <c r="H421" s="15">
        <f t="shared" ca="1" si="3"/>
        <v>12</v>
      </c>
      <c r="I421" s="15">
        <f t="shared" ca="1" si="3"/>
        <v>3</v>
      </c>
      <c r="J421" s="15">
        <f t="shared" ca="1" si="3"/>
        <v>9</v>
      </c>
      <c r="K421" s="15">
        <f t="shared" ca="1" si="3"/>
        <v>12</v>
      </c>
      <c r="L421" s="15">
        <f t="shared" ca="1" si="3"/>
        <v>12</v>
      </c>
      <c r="M421" s="15">
        <f t="shared" ca="1" si="3"/>
        <v>40</v>
      </c>
      <c r="N421" s="15">
        <f t="shared" ca="1" si="3"/>
        <v>12</v>
      </c>
      <c r="O421" s="15">
        <f t="shared" ca="1" si="3"/>
        <v>13</v>
      </c>
      <c r="P421" s="15">
        <f t="shared" ca="1" si="3"/>
        <v>13</v>
      </c>
      <c r="Q421" s="15">
        <f t="shared" ca="1" si="3"/>
        <v>13</v>
      </c>
      <c r="R421" s="5094" t="s">
        <v>1</v>
      </c>
      <c r="S421" s="15">
        <f t="shared" ca="1" si="3"/>
        <v>4</v>
      </c>
      <c r="T421" s="15">
        <f t="shared" ca="1" si="3"/>
        <v>3</v>
      </c>
      <c r="U421" s="15">
        <f t="shared" ca="1" si="3"/>
        <v>3</v>
      </c>
      <c r="V421" s="15">
        <f t="shared" ca="1" si="3"/>
        <v>3</v>
      </c>
      <c r="W421" s="15">
        <f t="shared" ca="1" si="3"/>
        <v>3</v>
      </c>
      <c r="X421" s="15">
        <f t="shared" ca="1" si="3"/>
        <v>12</v>
      </c>
      <c r="Y421" s="15">
        <f t="shared" ca="1" si="3"/>
        <v>12</v>
      </c>
      <c r="Z421" s="15">
        <f t="shared" ca="1" si="3"/>
        <v>3</v>
      </c>
      <c r="AA421" s="15">
        <f t="shared" ca="1" si="3"/>
        <v>9</v>
      </c>
      <c r="AB421" s="15">
        <f t="shared" ca="1" si="3"/>
        <v>12</v>
      </c>
      <c r="AC421" s="15">
        <f t="shared" ca="1" si="3"/>
        <v>12</v>
      </c>
      <c r="AD421" s="15">
        <f t="shared" ca="1" si="3"/>
        <v>40</v>
      </c>
      <c r="AE421" s="15">
        <f t="shared" ca="1" si="3"/>
        <v>12</v>
      </c>
      <c r="AF421" s="15">
        <f t="shared" ca="1" si="3"/>
        <v>13</v>
      </c>
      <c r="AG421" s="15">
        <f t="shared" ca="1" si="3"/>
        <v>13</v>
      </c>
      <c r="AH421" s="15">
        <f t="shared" ca="1" si="3"/>
        <v>13</v>
      </c>
      <c r="AI421" s="5094" t="s">
        <v>1</v>
      </c>
      <c r="AJ421" s="15">
        <f t="shared" ca="1" si="3"/>
        <v>4</v>
      </c>
      <c r="AK421" s="15">
        <f t="shared" ca="1" si="3"/>
        <v>3</v>
      </c>
      <c r="AL421" s="15">
        <f t="shared" ca="1" si="3"/>
        <v>3</v>
      </c>
      <c r="AM421" s="15">
        <f t="shared" ca="1" si="3"/>
        <v>3</v>
      </c>
      <c r="AN421" s="15">
        <f t="shared" ca="1" si="3"/>
        <v>3</v>
      </c>
      <c r="AO421" s="15">
        <f t="shared" ca="1" si="3"/>
        <v>12</v>
      </c>
      <c r="AP421" s="15">
        <f t="shared" ca="1" si="3"/>
        <v>12</v>
      </c>
      <c r="AQ421" s="15">
        <f t="shared" ca="1" si="3"/>
        <v>3</v>
      </c>
      <c r="AR421" s="15">
        <f t="shared" ca="1" si="3"/>
        <v>9</v>
      </c>
      <c r="AS421" s="15">
        <f t="shared" ca="1" si="3"/>
        <v>12</v>
      </c>
      <c r="AT421" s="15">
        <f t="shared" ca="1" si="3"/>
        <v>12</v>
      </c>
      <c r="AU421" s="15">
        <f t="shared" ca="1" si="3"/>
        <v>40</v>
      </c>
      <c r="AV421" s="15">
        <f t="shared" ca="1" si="3"/>
        <v>12</v>
      </c>
      <c r="AW421" s="15">
        <f t="shared" ca="1" si="3"/>
        <v>13</v>
      </c>
      <c r="AX421" s="15">
        <f t="shared" ca="1" si="3"/>
        <v>13</v>
      </c>
      <c r="AY421" s="15">
        <f t="shared" ca="1" si="3"/>
        <v>13</v>
      </c>
      <c r="AZ421" s="5094" t="s">
        <v>1</v>
      </c>
      <c r="BA421" s="2"/>
      <c r="BB421" s="2"/>
      <c r="BC421" s="2"/>
      <c r="BD421" s="2"/>
      <c r="BE421" s="2"/>
      <c r="BF421" s="2"/>
      <c r="BG421" s="2"/>
      <c r="BH421" s="2"/>
      <c r="BI421" s="2"/>
      <c r="BJ421" s="2"/>
      <c r="BK421" s="2"/>
      <c r="BL421" s="2"/>
      <c r="BM421" s="2"/>
      <c r="BN421" s="2"/>
      <c r="BO421" s="2"/>
      <c r="BP421" s="2"/>
      <c r="BQ421" s="2"/>
      <c r="BR421"/>
      <c r="BS421" s="2"/>
      <c r="BT421" s="2"/>
      <c r="BU421" s="2"/>
      <c r="BV421" s="2"/>
      <c r="BW421" s="2"/>
      <c r="BX421" s="2"/>
      <c r="BY421" s="2"/>
      <c r="BZ421" s="2"/>
      <c r="CA421" s="2"/>
      <c r="CB421" s="2"/>
      <c r="CC421" s="2"/>
      <c r="CD421" s="2"/>
      <c r="CE421"/>
      <c r="CF421"/>
      <c r="CG421"/>
      <c r="CH421"/>
      <c r="CI421"/>
      <c r="CJ421"/>
      <c r="CK421" s="5">
        <v>1</v>
      </c>
      <c r="CL421" s="1"/>
      <c r="CM421" s="1"/>
    </row>
    <row r="422" spans="1:91" ht="21" customHeight="1" thickBot="1">
      <c r="B422" s="12">
        <v>4</v>
      </c>
      <c r="C422" s="12">
        <v>3</v>
      </c>
      <c r="D422" s="12">
        <v>3</v>
      </c>
      <c r="E422" s="12">
        <v>3</v>
      </c>
      <c r="F422" s="12">
        <v>3</v>
      </c>
      <c r="G422" s="12">
        <v>12</v>
      </c>
      <c r="H422" s="12">
        <v>12</v>
      </c>
      <c r="I422" s="12">
        <v>3</v>
      </c>
      <c r="J422" s="12">
        <v>9</v>
      </c>
      <c r="K422" s="12">
        <v>12</v>
      </c>
      <c r="L422" s="12">
        <v>12</v>
      </c>
      <c r="M422" s="12">
        <v>40</v>
      </c>
      <c r="N422" s="12">
        <v>12</v>
      </c>
      <c r="O422" s="12">
        <v>13</v>
      </c>
      <c r="P422" s="12">
        <v>13</v>
      </c>
      <c r="Q422" s="12">
        <v>13</v>
      </c>
      <c r="R422" s="5094" t="s">
        <v>1</v>
      </c>
      <c r="S422" s="12">
        <v>4</v>
      </c>
      <c r="T422" s="12">
        <v>3</v>
      </c>
      <c r="U422" s="12">
        <v>3</v>
      </c>
      <c r="V422" s="12">
        <v>3</v>
      </c>
      <c r="W422" s="12">
        <v>3</v>
      </c>
      <c r="X422" s="12">
        <v>12</v>
      </c>
      <c r="Y422" s="12">
        <v>12</v>
      </c>
      <c r="Z422" s="12">
        <v>3</v>
      </c>
      <c r="AA422" s="12">
        <v>9</v>
      </c>
      <c r="AB422" s="12">
        <v>12</v>
      </c>
      <c r="AC422" s="12">
        <v>12</v>
      </c>
      <c r="AD422" s="12">
        <v>40</v>
      </c>
      <c r="AE422" s="12">
        <v>12</v>
      </c>
      <c r="AF422" s="12">
        <v>13</v>
      </c>
      <c r="AG422" s="12">
        <v>13</v>
      </c>
      <c r="AH422" s="12">
        <v>13</v>
      </c>
      <c r="AI422" s="5094" t="s">
        <v>1</v>
      </c>
      <c r="AJ422" s="12">
        <v>4</v>
      </c>
      <c r="AK422" s="12">
        <v>3</v>
      </c>
      <c r="AL422" s="12">
        <v>3</v>
      </c>
      <c r="AM422" s="12">
        <v>3</v>
      </c>
      <c r="AN422" s="12">
        <v>3</v>
      </c>
      <c r="AO422" s="12">
        <v>12</v>
      </c>
      <c r="AP422" s="12">
        <v>12</v>
      </c>
      <c r="AQ422" s="12">
        <v>3</v>
      </c>
      <c r="AR422" s="12">
        <v>9</v>
      </c>
      <c r="AS422" s="12">
        <v>12</v>
      </c>
      <c r="AT422" s="12">
        <v>12</v>
      </c>
      <c r="AU422" s="12">
        <v>40</v>
      </c>
      <c r="AV422" s="12">
        <v>12</v>
      </c>
      <c r="AW422" s="12">
        <v>13</v>
      </c>
      <c r="AX422" s="12">
        <v>13</v>
      </c>
      <c r="AY422" s="12">
        <v>13</v>
      </c>
      <c r="AZ422" s="5094" t="s">
        <v>1</v>
      </c>
      <c r="BR422"/>
      <c r="CE422"/>
      <c r="CF422"/>
      <c r="CG422"/>
      <c r="CH422"/>
      <c r="CI422"/>
      <c r="CJ422"/>
      <c r="CK422" s="10" t="s">
        <v>0</v>
      </c>
    </row>
    <row r="423" spans="1:91">
      <c r="A423" s="5">
        <v>1</v>
      </c>
      <c r="B423" s="5">
        <v>1</v>
      </c>
      <c r="C423" s="5">
        <v>1</v>
      </c>
      <c r="D423" s="5">
        <v>1</v>
      </c>
      <c r="E423" s="5">
        <v>1</v>
      </c>
      <c r="F423" s="5">
        <v>1</v>
      </c>
      <c r="G423" s="5">
        <v>1</v>
      </c>
      <c r="H423" s="5">
        <v>1</v>
      </c>
      <c r="I423" s="5">
        <v>1</v>
      </c>
      <c r="J423" s="5">
        <v>1</v>
      </c>
      <c r="K423" s="5">
        <v>1</v>
      </c>
      <c r="L423" s="5">
        <v>1</v>
      </c>
      <c r="M423" s="5">
        <v>1</v>
      </c>
      <c r="N423" s="5">
        <v>1</v>
      </c>
      <c r="O423" s="5">
        <v>1</v>
      </c>
      <c r="P423" s="5">
        <v>1</v>
      </c>
      <c r="Q423" s="5">
        <v>1</v>
      </c>
      <c r="R423" s="5">
        <v>1</v>
      </c>
      <c r="S423" s="5">
        <v>1</v>
      </c>
      <c r="T423" s="5">
        <v>1</v>
      </c>
      <c r="U423" s="5">
        <v>1</v>
      </c>
      <c r="V423" s="5">
        <v>1</v>
      </c>
      <c r="W423" s="5">
        <v>1</v>
      </c>
      <c r="X423" s="5">
        <v>1</v>
      </c>
      <c r="Y423" s="5">
        <v>1</v>
      </c>
      <c r="Z423" s="5">
        <v>1</v>
      </c>
      <c r="AA423" s="5">
        <v>1</v>
      </c>
      <c r="AB423" s="5">
        <v>1</v>
      </c>
      <c r="AC423" s="5">
        <v>1</v>
      </c>
      <c r="AD423" s="5">
        <v>1</v>
      </c>
      <c r="AE423" s="5">
        <v>1</v>
      </c>
      <c r="AF423" s="5">
        <v>1</v>
      </c>
      <c r="AG423" s="5">
        <v>1</v>
      </c>
      <c r="AH423" s="5">
        <v>1</v>
      </c>
      <c r="AI423" s="5">
        <v>1</v>
      </c>
      <c r="AJ423" s="5">
        <v>1</v>
      </c>
      <c r="AK423" s="5">
        <v>1</v>
      </c>
      <c r="AL423" s="5">
        <v>1</v>
      </c>
      <c r="AM423" s="5">
        <v>1</v>
      </c>
      <c r="AN423" s="5">
        <v>1</v>
      </c>
      <c r="AO423" s="5">
        <v>1</v>
      </c>
      <c r="AP423" s="5">
        <v>1</v>
      </c>
      <c r="AQ423" s="5">
        <v>1</v>
      </c>
      <c r="AR423" s="5">
        <v>1</v>
      </c>
      <c r="AS423" s="5">
        <v>1</v>
      </c>
      <c r="AT423" s="5">
        <v>1</v>
      </c>
      <c r="AU423" s="5">
        <v>1</v>
      </c>
      <c r="AV423" s="5">
        <v>1</v>
      </c>
      <c r="AW423" s="5">
        <v>1</v>
      </c>
      <c r="AX423" s="5">
        <v>1</v>
      </c>
      <c r="AY423" s="5">
        <v>1</v>
      </c>
      <c r="AZ423" s="5">
        <v>1</v>
      </c>
      <c r="BA423" s="5">
        <v>1</v>
      </c>
      <c r="BB423" s="5">
        <v>1</v>
      </c>
      <c r="BC423" s="5">
        <v>1</v>
      </c>
      <c r="BD423" s="5">
        <v>1</v>
      </c>
      <c r="BE423" s="5">
        <v>1</v>
      </c>
      <c r="BF423" s="5">
        <v>1</v>
      </c>
      <c r="BG423" s="5">
        <v>1</v>
      </c>
      <c r="BH423" s="5">
        <v>1</v>
      </c>
      <c r="BI423" s="5">
        <v>1</v>
      </c>
      <c r="BJ423" s="5">
        <v>1</v>
      </c>
      <c r="BK423" s="5">
        <v>1</v>
      </c>
      <c r="BL423" s="5">
        <v>1</v>
      </c>
      <c r="BM423" s="5">
        <v>1</v>
      </c>
      <c r="BN423" s="5">
        <v>1</v>
      </c>
      <c r="BO423" s="5">
        <v>1</v>
      </c>
      <c r="BP423" s="5">
        <v>1</v>
      </c>
      <c r="BQ423" s="5">
        <v>1</v>
      </c>
      <c r="BR423" s="5">
        <v>1</v>
      </c>
      <c r="BS423" s="5">
        <v>1</v>
      </c>
      <c r="BT423" s="5">
        <v>1</v>
      </c>
      <c r="BU423" s="5">
        <v>1</v>
      </c>
      <c r="BV423" s="5">
        <v>1</v>
      </c>
      <c r="BW423" s="5">
        <v>1</v>
      </c>
      <c r="BX423" s="5">
        <v>1</v>
      </c>
      <c r="BY423" s="5">
        <v>1</v>
      </c>
      <c r="BZ423" s="5">
        <v>1</v>
      </c>
      <c r="CA423" s="5">
        <v>1</v>
      </c>
      <c r="CB423" s="5">
        <v>1</v>
      </c>
      <c r="CC423" s="5">
        <v>1</v>
      </c>
      <c r="CD423" s="5">
        <v>1</v>
      </c>
      <c r="CE423" s="5">
        <v>1</v>
      </c>
      <c r="CF423" s="5">
        <v>1</v>
      </c>
      <c r="CG423" s="5">
        <v>1</v>
      </c>
      <c r="CH423" s="5">
        <v>1</v>
      </c>
      <c r="CI423" s="5">
        <v>1</v>
      </c>
      <c r="CJ423" s="5">
        <v>1</v>
      </c>
      <c r="CK423" s="9" t="str">
        <f>ADDRESS(ROW(),COLUMN(),4)</f>
        <v>CK423</v>
      </c>
      <c r="CL423" s="8"/>
      <c r="CM423" s="7" t="str">
        <f>ADDRESS(ROW(),COLUMN(),4)</f>
        <v>CM423</v>
      </c>
    </row>
  </sheetData>
  <mergeCells count="201">
    <mergeCell ref="BM78:BN79"/>
    <mergeCell ref="BP78:BQ79"/>
    <mergeCell ref="BM81:BN82"/>
    <mergeCell ref="BP81:BQ82"/>
    <mergeCell ref="BM24:BN25"/>
    <mergeCell ref="BP24:BQ25"/>
    <mergeCell ref="BM27:BN28"/>
    <mergeCell ref="BP27:BQ28"/>
    <mergeCell ref="BM30:BN31"/>
    <mergeCell ref="BP30:BQ31"/>
    <mergeCell ref="BM36:BN37"/>
    <mergeCell ref="BP36:BQ37"/>
    <mergeCell ref="BM33:BN34"/>
    <mergeCell ref="BP33:BQ34"/>
    <mergeCell ref="BP48:BQ49"/>
    <mergeCell ref="BM48:BN49"/>
    <mergeCell ref="BV29:CC30"/>
    <mergeCell ref="BV31:CC31"/>
    <mergeCell ref="BS33:BT33"/>
    <mergeCell ref="BS35:BT35"/>
    <mergeCell ref="BS38:BT38"/>
    <mergeCell ref="BS40:BT40"/>
    <mergeCell ref="BD120:BE121"/>
    <mergeCell ref="BD123:BE124"/>
    <mergeCell ref="BS31:BT31"/>
    <mergeCell ref="BG90:BH91"/>
    <mergeCell ref="BJ90:BK91"/>
    <mergeCell ref="BG63:BH64"/>
    <mergeCell ref="BJ63:BK64"/>
    <mergeCell ref="BG51:BH52"/>
    <mergeCell ref="BJ51:BK52"/>
    <mergeCell ref="BG39:BH40"/>
    <mergeCell ref="BJ39:BK40"/>
    <mergeCell ref="BM45:BN46"/>
    <mergeCell ref="BP45:BQ46"/>
    <mergeCell ref="BS41:BT41"/>
    <mergeCell ref="BM42:BN43"/>
    <mergeCell ref="BP42:BQ43"/>
    <mergeCell ref="BM39:BN40"/>
    <mergeCell ref="BP39:BQ40"/>
    <mergeCell ref="BA105:BB106"/>
    <mergeCell ref="BD105:BE106"/>
    <mergeCell ref="BG105:BH106"/>
    <mergeCell ref="BJ105:BK106"/>
    <mergeCell ref="BD108:BE109"/>
    <mergeCell ref="BG108:BH109"/>
    <mergeCell ref="BJ108:BK109"/>
    <mergeCell ref="BD99:BE100"/>
    <mergeCell ref="BG99:BH100"/>
    <mergeCell ref="BJ99:BK100"/>
    <mergeCell ref="BA102:BB103"/>
    <mergeCell ref="BD102:BE103"/>
    <mergeCell ref="BG102:BH103"/>
    <mergeCell ref="BJ102:BK103"/>
    <mergeCell ref="BD63:BE64"/>
    <mergeCell ref="BA93:BB94"/>
    <mergeCell ref="BD93:BE94"/>
    <mergeCell ref="BG93:BH94"/>
    <mergeCell ref="BJ93:BK94"/>
    <mergeCell ref="BG84:BH85"/>
    <mergeCell ref="BJ84:BK85"/>
    <mergeCell ref="BA87:BB88"/>
    <mergeCell ref="BD87:BE88"/>
    <mergeCell ref="BG87:BH88"/>
    <mergeCell ref="BJ87:BK88"/>
    <mergeCell ref="BA78:BB79"/>
    <mergeCell ref="BD78:BE79"/>
    <mergeCell ref="BG78:BH79"/>
    <mergeCell ref="BJ78:BK79"/>
    <mergeCell ref="BA81:BB82"/>
    <mergeCell ref="BD81:BE82"/>
    <mergeCell ref="BG81:BH82"/>
    <mergeCell ref="BJ81:BK82"/>
    <mergeCell ref="BG69:BH70"/>
    <mergeCell ref="BJ69:BK70"/>
    <mergeCell ref="BA72:BB73"/>
    <mergeCell ref="BD72:BE73"/>
    <mergeCell ref="BG72:BH73"/>
    <mergeCell ref="BJ72:BK73"/>
    <mergeCell ref="BJ75:BK76"/>
    <mergeCell ref="BJ36:BK37"/>
    <mergeCell ref="BA42:BB43"/>
    <mergeCell ref="BD42:BE43"/>
    <mergeCell ref="BG42:BH43"/>
    <mergeCell ref="BJ42:BK43"/>
    <mergeCell ref="BA66:BB67"/>
    <mergeCell ref="BD66:BE67"/>
    <mergeCell ref="BG66:BH67"/>
    <mergeCell ref="BJ66:BK67"/>
    <mergeCell ref="BG57:BH58"/>
    <mergeCell ref="BJ57:BK58"/>
    <mergeCell ref="BA60:BB61"/>
    <mergeCell ref="BD60:BE61"/>
    <mergeCell ref="BG60:BH61"/>
    <mergeCell ref="BJ60:BK61"/>
    <mergeCell ref="BA57:BB58"/>
    <mergeCell ref="BD57:BE58"/>
    <mergeCell ref="BJ54:BK55"/>
    <mergeCell ref="BG45:BH46"/>
    <mergeCell ref="BJ45:BK46"/>
    <mergeCell ref="BA48:BB49"/>
    <mergeCell ref="BD48:BE49"/>
    <mergeCell ref="BJ48:BK49"/>
    <mergeCell ref="BJ24:BK25"/>
    <mergeCell ref="BA27:BB28"/>
    <mergeCell ref="BD27:BE28"/>
    <mergeCell ref="BG27:BH28"/>
    <mergeCell ref="BJ27:BK28"/>
    <mergeCell ref="BA30:BB31"/>
    <mergeCell ref="BD30:BE31"/>
    <mergeCell ref="BG30:BH31"/>
    <mergeCell ref="BJ30:BK31"/>
    <mergeCell ref="BA24:BB25"/>
    <mergeCell ref="BD24:BE25"/>
    <mergeCell ref="BA39:BB40"/>
    <mergeCell ref="BD39:BE40"/>
    <mergeCell ref="BJ33:BK34"/>
    <mergeCell ref="BG54:BH55"/>
    <mergeCell ref="BD51:BE52"/>
    <mergeCell ref="BA45:BB46"/>
    <mergeCell ref="BD45:BE46"/>
    <mergeCell ref="BD33:BE34"/>
    <mergeCell ref="BG33:BH34"/>
    <mergeCell ref="BA33:BB34"/>
    <mergeCell ref="BD36:BE37"/>
    <mergeCell ref="BG36:BH37"/>
    <mergeCell ref="BA51:BB52"/>
    <mergeCell ref="BA36:BB37"/>
    <mergeCell ref="BG48:BH49"/>
    <mergeCell ref="BA21:BB22"/>
    <mergeCell ref="BD21:BE22"/>
    <mergeCell ref="BG21:BH22"/>
    <mergeCell ref="BJ21:BK22"/>
    <mergeCell ref="BM75:BN76"/>
    <mergeCell ref="BP75:BQ76"/>
    <mergeCell ref="BM72:BN73"/>
    <mergeCell ref="BP72:BQ73"/>
    <mergeCell ref="BM69:BN70"/>
    <mergeCell ref="BP69:BQ70"/>
    <mergeCell ref="BM66:BN67"/>
    <mergeCell ref="BP66:BQ67"/>
    <mergeCell ref="BM63:BN64"/>
    <mergeCell ref="BP63:BQ64"/>
    <mergeCell ref="BM60:BN61"/>
    <mergeCell ref="BP60:BQ61"/>
    <mergeCell ref="BM57:BN58"/>
    <mergeCell ref="BP57:BQ58"/>
    <mergeCell ref="BM54:BN55"/>
    <mergeCell ref="BP54:BQ55"/>
    <mergeCell ref="BM51:BN52"/>
    <mergeCell ref="BP51:BQ52"/>
    <mergeCell ref="BA54:BB55"/>
    <mergeCell ref="BD54:BE55"/>
    <mergeCell ref="AJ2:AJ7"/>
    <mergeCell ref="BS27:BT28"/>
    <mergeCell ref="BS23:BT25"/>
    <mergeCell ref="BM21:BN22"/>
    <mergeCell ref="BP21:BQ22"/>
    <mergeCell ref="BD111:BE112"/>
    <mergeCell ref="BJ111:BK112"/>
    <mergeCell ref="BD114:BE115"/>
    <mergeCell ref="BD117:BE118"/>
    <mergeCell ref="BA99:BB100"/>
    <mergeCell ref="BA96:BB97"/>
    <mergeCell ref="BD96:BE97"/>
    <mergeCell ref="BG96:BH97"/>
    <mergeCell ref="BJ96:BK97"/>
    <mergeCell ref="BA90:BB91"/>
    <mergeCell ref="BD90:BE91"/>
    <mergeCell ref="BA84:BB85"/>
    <mergeCell ref="BD84:BE85"/>
    <mergeCell ref="BA75:BB76"/>
    <mergeCell ref="BD75:BE76"/>
    <mergeCell ref="BG75:BH76"/>
    <mergeCell ref="BA69:BB70"/>
    <mergeCell ref="BD69:BE70"/>
    <mergeCell ref="BA63:BB64"/>
    <mergeCell ref="BS30:BT30"/>
    <mergeCell ref="BG24:BH25"/>
    <mergeCell ref="BS22:BT22"/>
    <mergeCell ref="BV20:CC20"/>
    <mergeCell ref="BX13:BZ13"/>
    <mergeCell ref="B18:Q18"/>
    <mergeCell ref="BX9:BZ9"/>
    <mergeCell ref="BX11:BZ11"/>
    <mergeCell ref="P3:Q6"/>
    <mergeCell ref="D5:O7"/>
    <mergeCell ref="B2:B7"/>
    <mergeCell ref="S2:S7"/>
    <mergeCell ref="K3:L4"/>
    <mergeCell ref="P2:Q2"/>
    <mergeCell ref="AX2:AY2"/>
    <mergeCell ref="AS3:AT4"/>
    <mergeCell ref="AX3:AY6"/>
    <mergeCell ref="AL5:AW7"/>
    <mergeCell ref="AJ18:AY18"/>
    <mergeCell ref="AG2:AH2"/>
    <mergeCell ref="AB3:AC4"/>
    <mergeCell ref="U5:AF7"/>
    <mergeCell ref="AG3:AH6"/>
    <mergeCell ref="S18:AH18"/>
  </mergeCells>
  <phoneticPr fontId="121" type="noConversion"/>
  <hyperlinks>
    <hyperlink ref="BX15" r:id="rId1" xr:uid="{4E9207F3-929F-4A49-80DD-F389472C914C}"/>
    <hyperlink ref="CF9" r:id="rId2" xr:uid="{6D7DBD48-97CC-4908-9DA5-B3E4A3F597A7}"/>
    <hyperlink ref="CF11" r:id="rId3" xr:uid="{F39FBEAA-C699-4DE1-981B-4A41F1FF9EB7}"/>
    <hyperlink ref="CF13" r:id="rId4" xr:uid="{7DAE9C87-FB9A-42EB-96D6-C69BF180DC6D}"/>
    <hyperlink ref="BX11" r:id="rId5" xr:uid="{AEC85EA7-D458-4CB3-BD95-F2396851309B}"/>
    <hyperlink ref="BX9" r:id="rId6" xr:uid="{7F9EDF79-13CC-472A-ACBA-C05DF1AA61E6}"/>
    <hyperlink ref="BX13" r:id="rId7" xr:uid="{12339A92-2DD4-4559-99B9-AFC1397E9FB5}"/>
    <hyperlink ref="CF15" r:id="rId8" xr:uid="{83802223-90C2-4D6F-B9DE-E24F419651D7}"/>
    <hyperlink ref="BV29" r:id="rId9" xr:uid="{1D8E2349-6B8D-4A48-9F26-7340507B0E6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1E50D-0C03-433E-8717-32FD92D3DD57}">
  <dimension ref="A1:CN247"/>
  <sheetViews>
    <sheetView showZeros="0" topLeftCell="AJ33" zoomScaleNormal="100" workbookViewId="0">
      <selection activeCell="AR143" activeCellId="2" sqref="B143:B144 W143:W144 AR143:AR144"/>
    </sheetView>
  </sheetViews>
  <sheetFormatPr baseColWidth="10" defaultColWidth="11.42578125" defaultRowHeight="15.75"/>
  <cols>
    <col min="1" max="1" width="3" style="530" customWidth="1"/>
    <col min="2" max="2" width="4.140625" style="530" customWidth="1"/>
    <col min="3" max="3" width="13.28515625" style="530" customWidth="1"/>
    <col min="4" max="4" width="21.28515625" style="530" customWidth="1"/>
    <col min="5" max="8" width="13.28515625" style="530" customWidth="1"/>
    <col min="9" max="9" width="17.140625" style="530" customWidth="1"/>
    <col min="10" max="10" width="19" style="530" customWidth="1"/>
    <col min="11" max="12" width="16.7109375" style="530" customWidth="1"/>
    <col min="13" max="13" width="18.28515625" style="530" customWidth="1"/>
    <col min="14" max="16" width="16.7109375" style="530" customWidth="1"/>
    <col min="17" max="22" width="11.42578125" style="530"/>
    <col min="23" max="23" width="4.140625" style="530" customWidth="1"/>
    <col min="24" max="24" width="13.28515625" style="530" customWidth="1"/>
    <col min="25" max="25" width="21.28515625" style="530" customWidth="1"/>
    <col min="26" max="29" width="13.28515625" style="530" customWidth="1"/>
    <col min="30" max="30" width="17.140625" style="530" customWidth="1"/>
    <col min="31" max="31" width="19" style="530" customWidth="1"/>
    <col min="32" max="33" width="16.7109375" style="530" customWidth="1"/>
    <col min="34" max="34" width="18.28515625" style="530" customWidth="1"/>
    <col min="35" max="37" width="16.7109375" style="530" customWidth="1"/>
    <col min="38" max="42" width="11.42578125" style="530"/>
    <col min="43" max="43" width="4.85546875" style="530" customWidth="1"/>
    <col min="44" max="44" width="4.140625" style="530" customWidth="1"/>
    <col min="45" max="45" width="13.28515625" style="530" customWidth="1"/>
    <col min="46" max="46" width="21.28515625" style="530" customWidth="1"/>
    <col min="47" max="50" width="13.28515625" style="530" customWidth="1"/>
    <col min="51" max="51" width="17.140625" style="530" customWidth="1"/>
    <col min="52" max="52" width="19" style="530" customWidth="1"/>
    <col min="53" max="54" width="16.7109375" style="530" customWidth="1"/>
    <col min="55" max="55" width="18.28515625" style="530" customWidth="1"/>
    <col min="56" max="58" width="16.7109375" style="530" customWidth="1"/>
    <col min="59" max="16384" width="11.42578125" style="530"/>
  </cols>
  <sheetData>
    <row r="1" spans="1:92" s="504" customFormat="1" ht="15">
      <c r="A1" s="502">
        <v>1</v>
      </c>
      <c r="B1" s="931"/>
      <c r="C1" s="932">
        <v>1</v>
      </c>
      <c r="D1" s="932">
        <v>1</v>
      </c>
      <c r="E1" s="932">
        <v>1</v>
      </c>
      <c r="F1" s="932">
        <v>1</v>
      </c>
      <c r="G1" s="932">
        <v>1</v>
      </c>
      <c r="H1" s="932">
        <v>1</v>
      </c>
      <c r="I1" s="932">
        <v>1</v>
      </c>
      <c r="J1" s="932">
        <v>1</v>
      </c>
      <c r="K1" s="932">
        <v>1</v>
      </c>
      <c r="L1" s="932">
        <v>1</v>
      </c>
      <c r="M1" s="932">
        <v>1</v>
      </c>
      <c r="N1" s="932">
        <v>1</v>
      </c>
      <c r="O1" s="932">
        <v>1</v>
      </c>
      <c r="P1" s="932">
        <v>1</v>
      </c>
      <c r="Q1" s="932">
        <v>1</v>
      </c>
      <c r="R1" s="932">
        <v>1</v>
      </c>
      <c r="S1" s="933"/>
      <c r="T1" s="934" t="s">
        <v>498</v>
      </c>
      <c r="U1" s="503" t="str">
        <f>$BK$247</f>
        <v>BK247</v>
      </c>
      <c r="W1" s="931"/>
      <c r="X1" s="932">
        <v>1</v>
      </c>
      <c r="Y1" s="932">
        <v>1</v>
      </c>
      <c r="Z1" s="932">
        <v>1</v>
      </c>
      <c r="AA1" s="932">
        <v>1</v>
      </c>
      <c r="AB1" s="932">
        <v>1</v>
      </c>
      <c r="AC1" s="932">
        <v>1</v>
      </c>
      <c r="AD1" s="932">
        <v>1</v>
      </c>
      <c r="AE1" s="932">
        <v>1</v>
      </c>
      <c r="AF1" s="932">
        <v>1</v>
      </c>
      <c r="AG1" s="932">
        <v>1</v>
      </c>
      <c r="AH1" s="932">
        <v>1</v>
      </c>
      <c r="AI1" s="932">
        <v>1</v>
      </c>
      <c r="AJ1" s="932">
        <v>1</v>
      </c>
      <c r="AK1" s="932">
        <v>1</v>
      </c>
      <c r="AL1" s="932">
        <v>1</v>
      </c>
      <c r="AM1" s="932">
        <v>1</v>
      </c>
      <c r="AN1" s="933"/>
      <c r="AP1" s="508"/>
      <c r="AR1" s="931"/>
      <c r="AS1" s="932">
        <v>1</v>
      </c>
      <c r="AT1" s="932">
        <v>1</v>
      </c>
      <c r="AU1" s="932">
        <v>1</v>
      </c>
      <c r="AV1" s="932">
        <v>1</v>
      </c>
      <c r="AW1" s="932">
        <v>1</v>
      </c>
      <c r="AX1" s="932">
        <v>1</v>
      </c>
      <c r="AY1" s="932">
        <v>1</v>
      </c>
      <c r="AZ1" s="932">
        <v>1</v>
      </c>
      <c r="BA1" s="932">
        <v>1</v>
      </c>
      <c r="BB1" s="932">
        <v>1</v>
      </c>
      <c r="BC1" s="932">
        <v>1</v>
      </c>
      <c r="BD1" s="932">
        <v>1</v>
      </c>
      <c r="BE1" s="932">
        <v>1</v>
      </c>
      <c r="BF1" s="932">
        <v>1</v>
      </c>
      <c r="BG1" s="932">
        <v>1</v>
      </c>
      <c r="BH1" s="932">
        <v>1</v>
      </c>
      <c r="BI1" s="933"/>
      <c r="BJ1" s="934" t="s">
        <v>498</v>
      </c>
      <c r="BK1" s="503" t="str">
        <f>$BK$247</f>
        <v>BK247</v>
      </c>
      <c r="CM1" s="934" t="s">
        <v>498</v>
      </c>
      <c r="CN1" s="503">
        <f>AP247</f>
        <v>0</v>
      </c>
    </row>
    <row r="2" spans="1:92" s="504" customFormat="1" ht="29.25">
      <c r="A2" s="502">
        <v>1</v>
      </c>
      <c r="B2" s="505"/>
      <c r="C2" s="506" t="s">
        <v>499</v>
      </c>
      <c r="D2" s="507"/>
      <c r="E2" s="507"/>
      <c r="F2" s="507"/>
      <c r="G2" s="507"/>
      <c r="H2" s="507"/>
      <c r="I2" s="507"/>
      <c r="J2" s="507"/>
      <c r="K2" s="507"/>
      <c r="L2" s="507"/>
      <c r="M2" s="507"/>
      <c r="N2" s="507"/>
      <c r="O2" s="507"/>
      <c r="P2" s="507"/>
      <c r="Q2" s="507"/>
      <c r="R2" s="507"/>
      <c r="S2" s="507"/>
      <c r="T2" s="507"/>
      <c r="U2" s="508"/>
      <c r="W2" s="505"/>
      <c r="X2" s="506" t="s">
        <v>794</v>
      </c>
      <c r="Y2" s="507"/>
      <c r="Z2" s="507"/>
      <c r="AA2" s="507"/>
      <c r="AB2" s="507"/>
      <c r="AC2" s="507"/>
      <c r="AD2" s="507"/>
      <c r="AE2" s="507"/>
      <c r="AF2" s="507"/>
      <c r="AG2" s="507"/>
      <c r="AH2" s="507"/>
      <c r="AI2" s="507"/>
      <c r="AJ2" s="507"/>
      <c r="AK2" s="507"/>
      <c r="AL2" s="507"/>
      <c r="AM2" s="507"/>
      <c r="AN2" s="507"/>
      <c r="AO2" s="507"/>
      <c r="AP2" s="508"/>
      <c r="AR2" s="505"/>
      <c r="AS2" s="506" t="s">
        <v>795</v>
      </c>
      <c r="AT2" s="507"/>
      <c r="AU2" s="507"/>
      <c r="AV2" s="507"/>
      <c r="AW2" s="507"/>
      <c r="AX2" s="507"/>
      <c r="AY2" s="507"/>
      <c r="AZ2" s="507"/>
      <c r="BA2" s="507"/>
      <c r="BB2" s="507"/>
      <c r="BC2" s="507"/>
      <c r="BD2" s="507"/>
      <c r="BE2" s="507"/>
      <c r="BF2" s="507"/>
      <c r="BG2" s="507"/>
      <c r="BH2" s="507"/>
      <c r="BI2" s="507"/>
      <c r="BJ2" s="507"/>
      <c r="BK2" s="508"/>
    </row>
    <row r="3" spans="1:92" s="504" customFormat="1" ht="29.25">
      <c r="A3" s="502">
        <v>1</v>
      </c>
      <c r="B3" s="505"/>
      <c r="C3" s="506" t="s">
        <v>500</v>
      </c>
      <c r="D3" s="509"/>
      <c r="E3" s="509"/>
      <c r="F3" s="509"/>
      <c r="G3" s="509"/>
      <c r="H3" s="509"/>
      <c r="I3" s="509"/>
      <c r="J3" s="509"/>
      <c r="K3" s="509"/>
      <c r="L3" s="507"/>
      <c r="M3" s="507"/>
      <c r="N3" s="512" t="s">
        <v>503</v>
      </c>
      <c r="O3" s="507"/>
      <c r="P3" s="507"/>
      <c r="Q3" s="507"/>
      <c r="R3" s="507"/>
      <c r="S3" s="507"/>
      <c r="T3" s="507"/>
      <c r="U3" s="508"/>
      <c r="W3" s="505"/>
      <c r="X3" s="506" t="s">
        <v>796</v>
      </c>
      <c r="Y3" s="509"/>
      <c r="Z3" s="509"/>
      <c r="AA3" s="509"/>
      <c r="AB3" s="509"/>
      <c r="AC3" s="509"/>
      <c r="AD3" s="509"/>
      <c r="AE3" s="509"/>
      <c r="AF3" s="509"/>
      <c r="AG3" s="507"/>
      <c r="AH3" s="507"/>
      <c r="AI3" s="507"/>
      <c r="AJ3" s="507"/>
      <c r="AK3" s="507"/>
      <c r="AL3" s="507"/>
      <c r="AM3" s="507"/>
      <c r="AN3" s="507"/>
      <c r="AO3" s="507"/>
      <c r="AP3" s="508"/>
      <c r="AR3" s="505"/>
      <c r="AS3" s="506" t="s">
        <v>797</v>
      </c>
      <c r="AT3" s="509"/>
      <c r="AU3" s="509"/>
      <c r="AV3" s="509"/>
      <c r="AW3" s="509"/>
      <c r="AX3" s="509"/>
      <c r="AY3" s="509"/>
      <c r="AZ3" s="509"/>
      <c r="BA3" s="509"/>
      <c r="BB3" s="507"/>
      <c r="BC3" s="507"/>
      <c r="BD3" s="507"/>
      <c r="BE3" s="507"/>
      <c r="BF3" s="507"/>
      <c r="BG3" s="507"/>
      <c r="BH3" s="507"/>
      <c r="BI3" s="507"/>
      <c r="BJ3" s="507"/>
      <c r="BK3" s="508"/>
    </row>
    <row r="4" spans="1:92" s="504" customFormat="1" ht="29.25">
      <c r="A4" s="502">
        <v>1</v>
      </c>
      <c r="B4" s="505"/>
      <c r="C4" s="506" t="s">
        <v>501</v>
      </c>
      <c r="D4" s="510"/>
      <c r="E4" s="510"/>
      <c r="F4" s="510"/>
      <c r="G4" s="510"/>
      <c r="H4" s="510"/>
      <c r="I4" s="510"/>
      <c r="J4" s="510"/>
      <c r="K4" s="510"/>
      <c r="L4" s="510"/>
      <c r="M4" s="510"/>
      <c r="N4" s="512" t="s">
        <v>798</v>
      </c>
      <c r="O4" s="510"/>
      <c r="P4" s="510"/>
      <c r="Q4" s="510"/>
      <c r="R4" s="510"/>
      <c r="S4" s="510"/>
      <c r="T4" s="510"/>
      <c r="U4" s="511"/>
      <c r="W4" s="505"/>
      <c r="X4" s="506" t="s">
        <v>799</v>
      </c>
      <c r="Y4" s="510"/>
      <c r="Z4" s="510"/>
      <c r="AA4" s="510"/>
      <c r="AB4" s="510"/>
      <c r="AC4" s="510"/>
      <c r="AD4" s="510"/>
      <c r="AE4" s="510"/>
      <c r="AF4" s="510"/>
      <c r="AG4" s="510"/>
      <c r="AH4" s="510"/>
      <c r="AI4" s="510"/>
      <c r="AJ4" s="510"/>
      <c r="AK4" s="510"/>
      <c r="AL4" s="510"/>
      <c r="AM4" s="510"/>
      <c r="AN4" s="510"/>
      <c r="AO4" s="510"/>
      <c r="AP4" s="511"/>
      <c r="AR4" s="505"/>
      <c r="AS4" s="506" t="s">
        <v>800</v>
      </c>
      <c r="AT4" s="510"/>
      <c r="AU4" s="510"/>
      <c r="AV4" s="510"/>
      <c r="AW4" s="510"/>
      <c r="AX4" s="510"/>
      <c r="AY4" s="510"/>
      <c r="AZ4" s="510"/>
      <c r="BA4" s="510"/>
      <c r="BB4" s="510"/>
      <c r="BC4" s="510"/>
      <c r="BD4" s="510"/>
      <c r="BE4" s="510"/>
      <c r="BF4" s="510"/>
      <c r="BG4" s="510"/>
      <c r="BH4" s="510"/>
      <c r="BI4" s="510"/>
      <c r="BJ4" s="510"/>
      <c r="BK4" s="511"/>
    </row>
    <row r="5" spans="1:92" s="504" customFormat="1" ht="29.25">
      <c r="A5" s="502"/>
      <c r="B5" s="505"/>
      <c r="C5" s="506" t="s">
        <v>502</v>
      </c>
      <c r="D5" s="510"/>
      <c r="E5" s="510"/>
      <c r="F5" s="510"/>
      <c r="G5" s="510"/>
      <c r="H5" s="510"/>
      <c r="I5" s="510"/>
      <c r="J5" s="510"/>
      <c r="K5" s="510"/>
      <c r="L5" s="510"/>
      <c r="M5" s="510"/>
      <c r="O5" s="510"/>
      <c r="P5" s="510"/>
      <c r="Q5" s="510"/>
      <c r="R5" s="510"/>
      <c r="S5" s="510"/>
      <c r="T5" s="510"/>
      <c r="U5" s="511"/>
      <c r="W5" s="505"/>
      <c r="X5" s="506" t="s">
        <v>801</v>
      </c>
      <c r="Y5" s="510"/>
      <c r="Z5" s="510"/>
      <c r="AA5" s="510"/>
      <c r="AB5" s="510"/>
      <c r="AC5" s="510"/>
      <c r="AD5" s="510"/>
      <c r="AE5" s="510"/>
      <c r="AF5" s="510"/>
      <c r="AG5" s="510"/>
      <c r="AH5" s="510"/>
      <c r="AI5" s="510"/>
      <c r="AJ5" s="510"/>
      <c r="AK5" s="510"/>
      <c r="AL5" s="510"/>
      <c r="AM5" s="510"/>
      <c r="AN5" s="510"/>
      <c r="AO5" s="510"/>
      <c r="AP5" s="511"/>
      <c r="AR5" s="505"/>
      <c r="AS5" s="506" t="s">
        <v>802</v>
      </c>
      <c r="AT5" s="510"/>
      <c r="AU5" s="510"/>
      <c r="AV5" s="510"/>
      <c r="AW5" s="510"/>
      <c r="AX5" s="510"/>
      <c r="AY5" s="510"/>
      <c r="AZ5" s="510"/>
      <c r="BA5" s="510"/>
      <c r="BB5" s="510"/>
      <c r="BC5" s="510"/>
      <c r="BD5" s="512"/>
      <c r="BE5" s="510"/>
      <c r="BF5" s="510"/>
      <c r="BG5" s="510"/>
      <c r="BH5" s="510"/>
      <c r="BI5" s="510"/>
      <c r="BJ5" s="510"/>
      <c r="BK5" s="511"/>
    </row>
    <row r="6" spans="1:92" s="504" customFormat="1" ht="29.25">
      <c r="A6" s="502"/>
      <c r="B6" s="505"/>
      <c r="C6" s="506" t="s">
        <v>504</v>
      </c>
      <c r="D6" s="510"/>
      <c r="E6" s="510"/>
      <c r="F6" s="510"/>
      <c r="G6" s="510"/>
      <c r="H6" s="510"/>
      <c r="I6" s="510"/>
      <c r="J6" s="510"/>
      <c r="K6" s="510"/>
      <c r="L6" s="510"/>
      <c r="M6" s="510"/>
      <c r="N6" s="510"/>
      <c r="O6" s="510"/>
      <c r="P6" s="510"/>
      <c r="Q6" s="510"/>
      <c r="R6" s="510"/>
      <c r="S6" s="510"/>
      <c r="T6" s="510"/>
      <c r="U6" s="511"/>
      <c r="W6" s="505"/>
      <c r="X6" s="506"/>
      <c r="Y6" s="510"/>
      <c r="Z6" s="510"/>
      <c r="AA6" s="510"/>
      <c r="AB6" s="510"/>
      <c r="AC6" s="510"/>
      <c r="AD6" s="510"/>
      <c r="AE6" s="510"/>
      <c r="AF6" s="510"/>
      <c r="AG6" s="510"/>
      <c r="AH6" s="510"/>
      <c r="AI6" s="510"/>
      <c r="AJ6" s="510"/>
      <c r="AK6" s="510"/>
      <c r="AL6" s="510"/>
      <c r="AM6" s="510"/>
      <c r="AN6" s="510"/>
      <c r="AO6" s="510"/>
      <c r="AP6" s="511"/>
      <c r="AR6" s="505"/>
      <c r="AS6" s="506"/>
      <c r="AT6" s="510"/>
      <c r="AU6" s="510"/>
      <c r="AV6" s="510"/>
      <c r="AW6" s="510"/>
      <c r="AX6" s="510"/>
      <c r="AY6" s="510"/>
      <c r="AZ6" s="510"/>
      <c r="BA6" s="510"/>
      <c r="BB6" s="510"/>
      <c r="BC6" s="510"/>
      <c r="BD6" s="510"/>
      <c r="BE6" s="510"/>
      <c r="BF6" s="510"/>
      <c r="BG6" s="510"/>
      <c r="BH6" s="510"/>
      <c r="BI6" s="510"/>
      <c r="BJ6" s="510"/>
      <c r="BK6" s="511"/>
    </row>
    <row r="7" spans="1:92" s="504" customFormat="1" ht="29.25">
      <c r="A7" s="502"/>
      <c r="B7" s="505"/>
      <c r="C7" s="506" t="s">
        <v>505</v>
      </c>
      <c r="D7" s="510"/>
      <c r="E7" s="510"/>
      <c r="F7" s="510"/>
      <c r="G7" s="510"/>
      <c r="H7" s="510"/>
      <c r="I7" s="510"/>
      <c r="J7" s="510"/>
      <c r="K7" s="510"/>
      <c r="L7" s="510"/>
      <c r="M7" s="510"/>
      <c r="N7" s="510"/>
      <c r="O7" s="510"/>
      <c r="P7" s="510"/>
      <c r="Q7" s="510"/>
      <c r="R7" s="510"/>
      <c r="S7" s="510"/>
      <c r="T7" s="510"/>
      <c r="U7" s="511"/>
      <c r="W7" s="505"/>
      <c r="X7" s="506" t="s">
        <v>803</v>
      </c>
      <c r="Y7" s="510"/>
      <c r="Z7" s="510"/>
      <c r="AA7" s="510"/>
      <c r="AB7" s="510"/>
      <c r="AC7" s="510"/>
      <c r="AD7" s="510"/>
      <c r="AE7" s="510"/>
      <c r="AF7" s="510"/>
      <c r="AG7" s="510"/>
      <c r="AH7" s="510"/>
      <c r="AI7" s="510"/>
      <c r="AJ7" s="510"/>
      <c r="AK7" s="510"/>
      <c r="AL7" s="510"/>
      <c r="AM7" s="510"/>
      <c r="AN7" s="510"/>
      <c r="AO7" s="510"/>
      <c r="AP7" s="511"/>
      <c r="AR7" s="505"/>
      <c r="AS7" s="506" t="s">
        <v>804</v>
      </c>
      <c r="AT7" s="510"/>
      <c r="AU7" s="510"/>
      <c r="AV7" s="510"/>
      <c r="AW7" s="510"/>
      <c r="AX7" s="510"/>
      <c r="AY7" s="510"/>
      <c r="AZ7" s="510"/>
      <c r="BA7" s="510"/>
      <c r="BB7" s="510"/>
      <c r="BC7" s="510"/>
      <c r="BD7" s="510"/>
      <c r="BE7" s="510"/>
      <c r="BF7" s="510"/>
      <c r="BG7" s="510"/>
      <c r="BH7" s="510"/>
      <c r="BI7" s="510"/>
      <c r="BJ7" s="510"/>
      <c r="BK7" s="511"/>
    </row>
    <row r="8" spans="1:92" s="504" customFormat="1" ht="29.25">
      <c r="A8" s="502"/>
      <c r="B8" s="505"/>
      <c r="C8" s="506"/>
      <c r="D8" s="510"/>
      <c r="E8" s="510"/>
      <c r="F8" s="510"/>
      <c r="G8" s="510"/>
      <c r="H8" s="510"/>
      <c r="I8" s="510"/>
      <c r="J8" s="510"/>
      <c r="K8" s="510"/>
      <c r="L8" s="510"/>
      <c r="M8" s="510"/>
      <c r="N8" s="510"/>
      <c r="O8" s="510"/>
      <c r="P8" s="510"/>
      <c r="Q8" s="510"/>
      <c r="R8" s="510"/>
      <c r="S8" s="510"/>
      <c r="T8" s="510"/>
      <c r="U8" s="511"/>
      <c r="W8" s="505"/>
      <c r="X8" s="506" t="s">
        <v>805</v>
      </c>
      <c r="Y8" s="510"/>
      <c r="Z8" s="510"/>
      <c r="AA8" s="510"/>
      <c r="AB8" s="510"/>
      <c r="AC8" s="510"/>
      <c r="AD8" s="510"/>
      <c r="AE8" s="510"/>
      <c r="AF8" s="510"/>
      <c r="AG8" s="510"/>
      <c r="AH8" s="510"/>
      <c r="AI8" s="510"/>
      <c r="AJ8" s="510"/>
      <c r="AK8" s="510"/>
      <c r="AL8" s="510"/>
      <c r="AM8" s="510"/>
      <c r="AN8" s="510"/>
      <c r="AO8" s="510"/>
      <c r="AP8" s="511"/>
      <c r="AR8" s="505"/>
      <c r="AS8" s="506" t="s">
        <v>806</v>
      </c>
      <c r="AT8" s="510"/>
      <c r="AU8" s="510"/>
      <c r="AV8" s="510"/>
      <c r="AW8" s="510"/>
      <c r="AX8" s="510"/>
      <c r="AY8" s="510"/>
      <c r="AZ8" s="510"/>
      <c r="BA8" s="510"/>
      <c r="BB8" s="510"/>
      <c r="BC8" s="510"/>
      <c r="BD8" s="510"/>
      <c r="BE8" s="510"/>
      <c r="BF8" s="510"/>
      <c r="BG8" s="510"/>
      <c r="BH8" s="510"/>
      <c r="BI8" s="510"/>
      <c r="BJ8" s="510"/>
      <c r="BK8" s="511"/>
    </row>
    <row r="9" spans="1:92" s="504" customFormat="1" ht="29.25">
      <c r="A9" s="502"/>
      <c r="B9" s="505"/>
      <c r="C9" s="506" t="s">
        <v>506</v>
      </c>
      <c r="D9" s="510"/>
      <c r="E9" s="510"/>
      <c r="F9" s="510"/>
      <c r="G9" s="510"/>
      <c r="H9" s="510"/>
      <c r="I9" s="510"/>
      <c r="J9" s="510"/>
      <c r="K9" s="510"/>
      <c r="L9" s="510"/>
      <c r="M9" s="510"/>
      <c r="N9" s="510"/>
      <c r="O9" s="510"/>
      <c r="P9" s="510"/>
      <c r="Q9" s="510"/>
      <c r="R9" s="510"/>
      <c r="S9" s="510"/>
      <c r="T9" s="510"/>
      <c r="U9" s="511"/>
      <c r="W9" s="505"/>
      <c r="X9" s="506"/>
      <c r="Y9" s="510"/>
      <c r="Z9" s="510"/>
      <c r="AA9" s="510"/>
      <c r="AB9" s="510"/>
      <c r="AC9" s="510"/>
      <c r="AD9" s="510"/>
      <c r="AE9" s="510"/>
      <c r="AF9" s="510"/>
      <c r="AG9" s="510"/>
      <c r="AH9" s="510"/>
      <c r="AI9" s="510"/>
      <c r="AJ9" s="510"/>
      <c r="AK9" s="510"/>
      <c r="AL9" s="510"/>
      <c r="AM9" s="510"/>
      <c r="AN9" s="510"/>
      <c r="AO9" s="510"/>
      <c r="AP9" s="511"/>
      <c r="AR9" s="505"/>
      <c r="AS9" s="506"/>
      <c r="AT9" s="510"/>
      <c r="AU9" s="510"/>
      <c r="AV9" s="510"/>
      <c r="AW9" s="510"/>
      <c r="AX9" s="510"/>
      <c r="AY9" s="510"/>
      <c r="AZ9" s="510"/>
      <c r="BA9" s="510"/>
      <c r="BB9" s="510"/>
      <c r="BC9" s="510"/>
      <c r="BD9" s="510"/>
      <c r="BE9" s="510"/>
      <c r="BF9" s="510"/>
      <c r="BG9" s="510"/>
      <c r="BH9" s="510"/>
      <c r="BI9" s="510"/>
      <c r="BJ9" s="510"/>
      <c r="BK9" s="511"/>
    </row>
    <row r="10" spans="1:92" s="504" customFormat="1" ht="29.25">
      <c r="A10" s="502"/>
      <c r="B10" s="505"/>
      <c r="C10" s="506" t="s">
        <v>507</v>
      </c>
      <c r="D10" s="510"/>
      <c r="E10" s="510"/>
      <c r="F10" s="510"/>
      <c r="G10" s="510"/>
      <c r="H10" s="510"/>
      <c r="I10" s="510"/>
      <c r="J10" s="510"/>
      <c r="K10" s="510"/>
      <c r="L10" s="510"/>
      <c r="M10" s="510"/>
      <c r="N10" s="510"/>
      <c r="O10" s="510"/>
      <c r="P10" s="510"/>
      <c r="Q10" s="510"/>
      <c r="R10" s="510"/>
      <c r="S10" s="510"/>
      <c r="T10" s="510"/>
      <c r="U10" s="511"/>
      <c r="W10" s="505"/>
      <c r="X10" s="506" t="s">
        <v>807</v>
      </c>
      <c r="Y10" s="510"/>
      <c r="Z10" s="510"/>
      <c r="AA10" s="510"/>
      <c r="AB10" s="510"/>
      <c r="AC10" s="510"/>
      <c r="AD10" s="510"/>
      <c r="AE10" s="510"/>
      <c r="AF10" s="510"/>
      <c r="AG10" s="510"/>
      <c r="AH10" s="510"/>
      <c r="AI10" s="510"/>
      <c r="AJ10" s="510"/>
      <c r="AK10" s="510"/>
      <c r="AL10" s="510"/>
      <c r="AM10" s="510"/>
      <c r="AN10" s="510"/>
      <c r="AO10" s="510"/>
      <c r="AP10" s="511"/>
      <c r="AR10" s="505"/>
      <c r="AS10" s="506" t="s">
        <v>808</v>
      </c>
      <c r="AT10" s="510"/>
      <c r="AU10" s="510"/>
      <c r="AV10" s="510"/>
      <c r="AW10" s="510"/>
      <c r="AX10" s="510"/>
      <c r="AY10" s="510"/>
      <c r="AZ10" s="510"/>
      <c r="BA10" s="510"/>
      <c r="BB10" s="510"/>
      <c r="BC10" s="510"/>
      <c r="BD10" s="510"/>
      <c r="BE10" s="510"/>
      <c r="BF10" s="510"/>
      <c r="BG10" s="510"/>
      <c r="BH10" s="510"/>
      <c r="BI10" s="510"/>
      <c r="BJ10" s="510"/>
      <c r="BK10" s="511"/>
    </row>
    <row r="11" spans="1:92" s="504" customFormat="1" ht="29.25">
      <c r="A11" s="502"/>
      <c r="B11" s="505"/>
      <c r="C11" s="506" t="s">
        <v>508</v>
      </c>
      <c r="D11" s="510"/>
      <c r="E11" s="510"/>
      <c r="F11" s="510"/>
      <c r="G11" s="510"/>
      <c r="H11" s="510"/>
      <c r="I11" s="510"/>
      <c r="J11" s="510"/>
      <c r="K11" s="510"/>
      <c r="L11" s="510"/>
      <c r="M11" s="510"/>
      <c r="N11" s="510"/>
      <c r="O11" s="510"/>
      <c r="P11" s="510"/>
      <c r="Q11" s="510"/>
      <c r="R11" s="510"/>
      <c r="S11" s="510"/>
      <c r="T11" s="510"/>
      <c r="U11" s="511"/>
      <c r="W11" s="505"/>
      <c r="X11" s="506" t="s">
        <v>809</v>
      </c>
      <c r="Y11" s="510"/>
      <c r="Z11" s="510"/>
      <c r="AA11" s="510"/>
      <c r="AB11" s="510"/>
      <c r="AC11" s="510"/>
      <c r="AD11" s="510"/>
      <c r="AE11" s="510"/>
      <c r="AF11" s="510"/>
      <c r="AG11" s="510"/>
      <c r="AH11" s="510"/>
      <c r="AI11" s="510"/>
      <c r="AJ11" s="510"/>
      <c r="AK11" s="510"/>
      <c r="AL11" s="510"/>
      <c r="AM11" s="510"/>
      <c r="AN11" s="510"/>
      <c r="AO11" s="510"/>
      <c r="AP11" s="511"/>
      <c r="AR11" s="505"/>
      <c r="AS11" s="506" t="s">
        <v>810</v>
      </c>
      <c r="AT11" s="510"/>
      <c r="AU11" s="510"/>
      <c r="AV11" s="510"/>
      <c r="AW11" s="510"/>
      <c r="AX11" s="510"/>
      <c r="AY11" s="510"/>
      <c r="AZ11" s="510"/>
      <c r="BA11" s="510"/>
      <c r="BB11" s="510"/>
      <c r="BC11" s="510"/>
      <c r="BD11" s="510"/>
      <c r="BE11" s="510"/>
      <c r="BF11" s="510"/>
      <c r="BG11" s="510"/>
      <c r="BH11" s="510"/>
      <c r="BI11" s="510"/>
      <c r="BJ11" s="510"/>
      <c r="BK11" s="511"/>
    </row>
    <row r="12" spans="1:92" s="504" customFormat="1" ht="29.25">
      <c r="A12" s="502"/>
      <c r="B12" s="505"/>
      <c r="C12" s="506" t="s">
        <v>509</v>
      </c>
      <c r="D12" s="510"/>
      <c r="E12" s="510"/>
      <c r="F12" s="510"/>
      <c r="G12" s="510"/>
      <c r="H12" s="510"/>
      <c r="I12" s="510"/>
      <c r="J12" s="510"/>
      <c r="K12" s="510"/>
      <c r="L12" s="510"/>
      <c r="M12" s="510"/>
      <c r="N12" s="510"/>
      <c r="O12" s="510"/>
      <c r="P12" s="510"/>
      <c r="Q12" s="510"/>
      <c r="R12" s="510"/>
      <c r="S12" s="510"/>
      <c r="T12" s="510"/>
      <c r="U12" s="511"/>
      <c r="W12" s="505"/>
      <c r="X12" s="506"/>
      <c r="Y12" s="510"/>
      <c r="Z12" s="510"/>
      <c r="AA12" s="510"/>
      <c r="AB12" s="510"/>
      <c r="AC12" s="510"/>
      <c r="AD12" s="510"/>
      <c r="AE12" s="510"/>
      <c r="AF12" s="510"/>
      <c r="AG12" s="510"/>
      <c r="AH12" s="510"/>
      <c r="AI12" s="510"/>
      <c r="AJ12" s="510"/>
      <c r="AK12" s="510"/>
      <c r="AL12" s="510"/>
      <c r="AM12" s="510"/>
      <c r="AN12" s="510"/>
      <c r="AO12" s="510"/>
      <c r="AP12" s="511"/>
      <c r="AR12" s="505"/>
      <c r="AS12" s="506"/>
      <c r="AT12" s="510"/>
      <c r="AU12" s="510"/>
      <c r="AV12" s="510"/>
      <c r="AW12" s="510"/>
      <c r="AX12" s="510"/>
      <c r="AY12" s="510"/>
      <c r="AZ12" s="510"/>
      <c r="BA12" s="510"/>
      <c r="BB12" s="510"/>
      <c r="BC12" s="510"/>
      <c r="BD12" s="510"/>
      <c r="BE12" s="510"/>
      <c r="BF12" s="510"/>
      <c r="BG12" s="510"/>
      <c r="BH12" s="510"/>
      <c r="BI12" s="510"/>
      <c r="BJ12" s="510"/>
      <c r="BK12" s="511"/>
    </row>
    <row r="13" spans="1:92" s="504" customFormat="1" ht="29.25">
      <c r="A13" s="502"/>
      <c r="B13" s="505"/>
      <c r="C13" s="506"/>
      <c r="D13" s="510"/>
      <c r="E13" s="510"/>
      <c r="F13" s="510"/>
      <c r="G13" s="510"/>
      <c r="H13" s="510"/>
      <c r="I13" s="510"/>
      <c r="J13" s="510"/>
      <c r="K13" s="510"/>
      <c r="L13" s="510"/>
      <c r="M13" s="510"/>
      <c r="N13" s="510"/>
      <c r="O13" s="510"/>
      <c r="P13" s="510"/>
      <c r="Q13" s="510"/>
      <c r="R13" s="510"/>
      <c r="S13" s="510"/>
      <c r="T13" s="510"/>
      <c r="U13" s="511"/>
      <c r="W13" s="505"/>
      <c r="X13" s="506" t="s">
        <v>811</v>
      </c>
      <c r="Y13" s="510"/>
      <c r="Z13" s="510"/>
      <c r="AA13" s="510"/>
      <c r="AB13" s="510"/>
      <c r="AC13" s="510"/>
      <c r="AD13" s="510"/>
      <c r="AE13" s="510"/>
      <c r="AF13" s="510"/>
      <c r="AG13" s="510"/>
      <c r="AH13" s="510"/>
      <c r="AI13" s="510"/>
      <c r="AJ13" s="510"/>
      <c r="AK13" s="510"/>
      <c r="AL13" s="510"/>
      <c r="AM13" s="510"/>
      <c r="AN13" s="510"/>
      <c r="AO13" s="510"/>
      <c r="AP13" s="511"/>
      <c r="AR13" s="505"/>
      <c r="AS13" s="506" t="s">
        <v>812</v>
      </c>
      <c r="AT13" s="510"/>
      <c r="AU13" s="510"/>
      <c r="AV13" s="510"/>
      <c r="AW13" s="510"/>
      <c r="AX13" s="510"/>
      <c r="AY13" s="510"/>
      <c r="AZ13" s="510"/>
      <c r="BA13" s="510"/>
      <c r="BB13" s="510"/>
      <c r="BC13" s="510"/>
      <c r="BD13" s="510"/>
      <c r="BE13" s="510"/>
      <c r="BF13" s="510"/>
      <c r="BG13" s="510"/>
      <c r="BH13" s="510"/>
      <c r="BI13" s="510"/>
      <c r="BJ13" s="510"/>
      <c r="BK13" s="511"/>
    </row>
    <row r="14" spans="1:92" s="504" customFormat="1" ht="29.25">
      <c r="A14" s="502"/>
      <c r="B14" s="505"/>
      <c r="C14" s="506" t="s">
        <v>510</v>
      </c>
      <c r="D14" s="510"/>
      <c r="E14" s="510"/>
      <c r="F14" s="510"/>
      <c r="G14" s="510"/>
      <c r="H14" s="510"/>
      <c r="I14" s="510"/>
      <c r="J14" s="510"/>
      <c r="K14" s="510"/>
      <c r="L14" s="510"/>
      <c r="M14" s="510"/>
      <c r="N14" s="510"/>
      <c r="O14" s="510"/>
      <c r="P14" s="510"/>
      <c r="Q14" s="510"/>
      <c r="R14" s="510"/>
      <c r="S14" s="510"/>
      <c r="T14" s="510"/>
      <c r="U14" s="511"/>
      <c r="W14" s="505"/>
      <c r="X14" s="506" t="s">
        <v>813</v>
      </c>
      <c r="Y14" s="510"/>
      <c r="Z14" s="510"/>
      <c r="AA14" s="510"/>
      <c r="AB14" s="510"/>
      <c r="AC14" s="510"/>
      <c r="AD14" s="510"/>
      <c r="AE14" s="510"/>
      <c r="AF14" s="510"/>
      <c r="AG14" s="510"/>
      <c r="AH14" s="510"/>
      <c r="AI14" s="510"/>
      <c r="AJ14" s="510"/>
      <c r="AK14" s="510"/>
      <c r="AL14" s="510"/>
      <c r="AM14" s="510"/>
      <c r="AN14" s="510"/>
      <c r="AO14" s="510"/>
      <c r="AP14" s="511"/>
      <c r="AR14" s="505"/>
      <c r="AS14" s="506" t="s">
        <v>814</v>
      </c>
      <c r="AT14" s="510"/>
      <c r="AU14" s="510"/>
      <c r="AV14" s="510"/>
      <c r="AW14" s="510"/>
      <c r="AX14" s="510"/>
      <c r="AY14" s="510"/>
      <c r="AZ14" s="510"/>
      <c r="BA14" s="510"/>
      <c r="BB14" s="510"/>
      <c r="BC14" s="510"/>
      <c r="BD14" s="510"/>
      <c r="BE14" s="510"/>
      <c r="BF14" s="510"/>
      <c r="BG14" s="510"/>
      <c r="BH14" s="510"/>
      <c r="BI14" s="510"/>
      <c r="BJ14" s="510"/>
      <c r="BK14" s="511"/>
    </row>
    <row r="15" spans="1:92" s="504" customFormat="1" ht="29.25">
      <c r="A15" s="502"/>
      <c r="B15" s="505"/>
      <c r="C15" s="506" t="s">
        <v>511</v>
      </c>
      <c r="D15" s="510"/>
      <c r="E15" s="510"/>
      <c r="F15" s="510"/>
      <c r="G15" s="510"/>
      <c r="H15" s="510"/>
      <c r="I15" s="510"/>
      <c r="J15" s="510"/>
      <c r="K15" s="510"/>
      <c r="L15" s="510"/>
      <c r="M15" s="510"/>
      <c r="N15" s="510"/>
      <c r="O15" s="510"/>
      <c r="P15" s="510"/>
      <c r="Q15" s="510"/>
      <c r="R15" s="510"/>
      <c r="S15" s="510"/>
      <c r="T15" s="510"/>
      <c r="U15" s="511"/>
      <c r="W15" s="505"/>
      <c r="X15" s="506"/>
      <c r="Y15" s="510"/>
      <c r="Z15" s="510"/>
      <c r="AA15" s="510"/>
      <c r="AB15" s="510"/>
      <c r="AC15" s="510"/>
      <c r="AD15" s="510"/>
      <c r="AE15" s="510"/>
      <c r="AF15" s="510"/>
      <c r="AG15" s="510"/>
      <c r="AH15" s="510"/>
      <c r="AI15" s="510"/>
      <c r="AJ15" s="510"/>
      <c r="AK15" s="510"/>
      <c r="AL15" s="510"/>
      <c r="AM15" s="510"/>
      <c r="AN15" s="510"/>
      <c r="AO15" s="510"/>
      <c r="AP15" s="511"/>
      <c r="AR15" s="505"/>
      <c r="AS15" s="506"/>
      <c r="AT15" s="510"/>
      <c r="AU15" s="510"/>
      <c r="AV15" s="510"/>
      <c r="AW15" s="510"/>
      <c r="AX15" s="510"/>
      <c r="AY15" s="510"/>
      <c r="AZ15" s="510"/>
      <c r="BA15" s="510"/>
      <c r="BB15" s="510"/>
      <c r="BC15" s="510"/>
      <c r="BD15" s="510"/>
      <c r="BE15" s="510"/>
      <c r="BF15" s="510"/>
      <c r="BG15" s="510"/>
      <c r="BH15" s="510"/>
      <c r="BI15" s="510"/>
      <c r="BJ15" s="510"/>
      <c r="BK15" s="511"/>
    </row>
    <row r="16" spans="1:92" s="504" customFormat="1" ht="29.25">
      <c r="A16" s="502"/>
      <c r="B16" s="505"/>
      <c r="C16" s="506"/>
      <c r="D16" s="510"/>
      <c r="E16" s="510"/>
      <c r="F16" s="510"/>
      <c r="G16" s="510"/>
      <c r="H16" s="510"/>
      <c r="I16" s="510"/>
      <c r="J16" s="510"/>
      <c r="K16" s="510"/>
      <c r="L16" s="510"/>
      <c r="M16" s="510"/>
      <c r="N16" s="510"/>
      <c r="O16" s="510"/>
      <c r="P16" s="510"/>
      <c r="Q16" s="510"/>
      <c r="R16" s="510"/>
      <c r="S16" s="510"/>
      <c r="T16" s="510"/>
      <c r="U16" s="511"/>
      <c r="W16" s="505"/>
      <c r="X16" s="506" t="s">
        <v>815</v>
      </c>
      <c r="Y16" s="510"/>
      <c r="Z16" s="510"/>
      <c r="AA16" s="510"/>
      <c r="AB16" s="510"/>
      <c r="AC16" s="510"/>
      <c r="AD16" s="510"/>
      <c r="AE16" s="510"/>
      <c r="AF16" s="510"/>
      <c r="AG16" s="510"/>
      <c r="AH16" s="510"/>
      <c r="AI16" s="510"/>
      <c r="AJ16" s="510"/>
      <c r="AK16" s="510"/>
      <c r="AL16" s="510"/>
      <c r="AM16" s="510"/>
      <c r="AN16" s="510"/>
      <c r="AO16" s="510"/>
      <c r="AP16" s="511"/>
      <c r="AR16" s="505"/>
      <c r="AS16" s="506" t="s">
        <v>816</v>
      </c>
      <c r="AT16" s="510"/>
      <c r="AU16" s="510"/>
      <c r="AV16" s="510"/>
      <c r="AW16" s="510"/>
      <c r="AX16" s="510"/>
      <c r="AY16" s="510"/>
      <c r="AZ16" s="510"/>
      <c r="BA16" s="510"/>
      <c r="BB16" s="510"/>
      <c r="BC16" s="510"/>
      <c r="BD16" s="510"/>
      <c r="BE16" s="510"/>
      <c r="BF16" s="510"/>
      <c r="BG16" s="510"/>
      <c r="BH16" s="510"/>
      <c r="BI16" s="510"/>
      <c r="BJ16" s="510"/>
      <c r="BK16" s="511"/>
    </row>
    <row r="17" spans="1:63" s="504" customFormat="1" ht="29.25">
      <c r="A17" s="502"/>
      <c r="B17" s="505"/>
      <c r="C17" s="506" t="s">
        <v>512</v>
      </c>
      <c r="D17" s="510"/>
      <c r="E17" s="510"/>
      <c r="F17" s="510"/>
      <c r="G17" s="510"/>
      <c r="H17" s="510"/>
      <c r="I17" s="510"/>
      <c r="J17" s="510"/>
      <c r="K17" s="510"/>
      <c r="L17" s="510"/>
      <c r="M17" s="510"/>
      <c r="N17" s="510"/>
      <c r="O17" s="510"/>
      <c r="P17" s="510"/>
      <c r="Q17" s="510"/>
      <c r="R17" s="510"/>
      <c r="S17" s="510"/>
      <c r="T17" s="510"/>
      <c r="U17" s="511"/>
      <c r="W17" s="505"/>
      <c r="X17" s="506" t="s">
        <v>817</v>
      </c>
      <c r="Y17" s="510"/>
      <c r="Z17" s="510"/>
      <c r="AA17" s="510"/>
      <c r="AB17" s="510"/>
      <c r="AC17" s="510"/>
      <c r="AD17" s="510"/>
      <c r="AE17" s="510"/>
      <c r="AF17" s="510"/>
      <c r="AG17" s="510"/>
      <c r="AH17" s="510"/>
      <c r="AI17" s="510"/>
      <c r="AJ17" s="510"/>
      <c r="AK17" s="510"/>
      <c r="AL17" s="510"/>
      <c r="AM17" s="510"/>
      <c r="AN17" s="510"/>
      <c r="AO17" s="510"/>
      <c r="AP17" s="511"/>
      <c r="AR17" s="505"/>
      <c r="AS17" s="506" t="s">
        <v>818</v>
      </c>
      <c r="AT17" s="510"/>
      <c r="AU17" s="510"/>
      <c r="AV17" s="510"/>
      <c r="AW17" s="510"/>
      <c r="AX17" s="510"/>
      <c r="AY17" s="510"/>
      <c r="AZ17" s="510"/>
      <c r="BA17" s="510"/>
      <c r="BB17" s="510"/>
      <c r="BC17" s="510"/>
      <c r="BD17" s="510"/>
      <c r="BE17" s="510"/>
      <c r="BF17" s="510"/>
      <c r="BG17" s="510"/>
      <c r="BH17" s="510"/>
      <c r="BI17" s="510"/>
      <c r="BJ17" s="510"/>
      <c r="BK17" s="511"/>
    </row>
    <row r="18" spans="1:63" s="504" customFormat="1" ht="29.25">
      <c r="A18" s="502"/>
      <c r="B18" s="505"/>
      <c r="C18" s="506"/>
      <c r="D18" s="510"/>
      <c r="E18" s="510"/>
      <c r="F18" s="510"/>
      <c r="G18" s="510"/>
      <c r="H18" s="510"/>
      <c r="I18" s="510"/>
      <c r="J18" s="510"/>
      <c r="K18" s="510"/>
      <c r="L18" s="510"/>
      <c r="M18" s="510"/>
      <c r="N18" s="510"/>
      <c r="O18" s="510"/>
      <c r="P18" s="510"/>
      <c r="Q18" s="510"/>
      <c r="R18" s="510"/>
      <c r="S18" s="510"/>
      <c r="T18" s="510"/>
      <c r="U18" s="511"/>
      <c r="W18" s="505"/>
      <c r="X18" s="506"/>
      <c r="Y18" s="510"/>
      <c r="Z18" s="510"/>
      <c r="AA18" s="510"/>
      <c r="AB18" s="510"/>
      <c r="AC18" s="510"/>
      <c r="AD18" s="510"/>
      <c r="AE18" s="510"/>
      <c r="AF18" s="510"/>
      <c r="AG18" s="510"/>
      <c r="AH18" s="510"/>
      <c r="AI18" s="510"/>
      <c r="AJ18" s="510"/>
      <c r="AK18" s="510"/>
      <c r="AL18" s="510"/>
      <c r="AM18" s="510"/>
      <c r="AN18" s="510"/>
      <c r="AO18" s="510"/>
      <c r="AP18" s="511"/>
      <c r="AR18" s="505"/>
      <c r="AS18" s="506"/>
      <c r="AT18" s="510"/>
      <c r="AU18" s="510"/>
      <c r="AV18" s="510"/>
      <c r="AW18" s="510"/>
      <c r="AX18" s="510"/>
      <c r="AY18" s="510"/>
      <c r="AZ18" s="510"/>
      <c r="BA18" s="510"/>
      <c r="BB18" s="510"/>
      <c r="BC18" s="510"/>
      <c r="BD18" s="510"/>
      <c r="BE18" s="510"/>
      <c r="BF18" s="510"/>
      <c r="BG18" s="510"/>
      <c r="BH18" s="510"/>
      <c r="BI18" s="510"/>
      <c r="BJ18" s="510"/>
      <c r="BK18" s="511"/>
    </row>
    <row r="19" spans="1:63" s="504" customFormat="1" ht="29.25">
      <c r="A19" s="502"/>
      <c r="B19" s="505"/>
      <c r="C19" s="513" t="s">
        <v>513</v>
      </c>
      <c r="D19" s="510"/>
      <c r="E19" s="510"/>
      <c r="F19" s="510"/>
      <c r="G19" s="510"/>
      <c r="H19" s="510"/>
      <c r="I19" s="510"/>
      <c r="J19" s="510"/>
      <c r="K19" s="510"/>
      <c r="L19" s="510"/>
      <c r="M19" s="510"/>
      <c r="N19" s="510"/>
      <c r="O19" s="510"/>
      <c r="P19" s="510"/>
      <c r="Q19" s="510"/>
      <c r="R19" s="510"/>
      <c r="S19" s="510"/>
      <c r="T19" s="510"/>
      <c r="U19" s="511"/>
      <c r="W19" s="505"/>
      <c r="X19" s="513" t="s">
        <v>819</v>
      </c>
      <c r="Y19" s="510"/>
      <c r="Z19" s="510"/>
      <c r="AA19" s="510"/>
      <c r="AB19" s="510"/>
      <c r="AC19" s="510"/>
      <c r="AD19" s="510"/>
      <c r="AE19" s="510"/>
      <c r="AF19" s="510"/>
      <c r="AG19" s="510"/>
      <c r="AH19" s="510"/>
      <c r="AI19" s="510"/>
      <c r="AJ19" s="510"/>
      <c r="AK19" s="510"/>
      <c r="AL19" s="510"/>
      <c r="AM19" s="510"/>
      <c r="AN19" s="510"/>
      <c r="AO19" s="510"/>
      <c r="AP19" s="511"/>
      <c r="AR19" s="505"/>
      <c r="AS19" s="513" t="s">
        <v>820</v>
      </c>
      <c r="AT19" s="510"/>
      <c r="AU19" s="510"/>
      <c r="AV19" s="510"/>
      <c r="AW19" s="510"/>
      <c r="AX19" s="510"/>
      <c r="AY19" s="510"/>
      <c r="AZ19" s="510"/>
      <c r="BA19" s="510"/>
      <c r="BB19" s="510"/>
      <c r="BC19" s="510"/>
      <c r="BD19" s="510"/>
      <c r="BE19" s="510"/>
      <c r="BF19" s="510"/>
      <c r="BG19" s="510"/>
      <c r="BH19" s="510"/>
      <c r="BI19" s="510"/>
      <c r="BJ19" s="510"/>
      <c r="BK19" s="511"/>
    </row>
    <row r="20" spans="1:63" s="504" customFormat="1" ht="29.25">
      <c r="A20" s="502"/>
      <c r="B20" s="505"/>
      <c r="C20" s="506" t="s">
        <v>514</v>
      </c>
      <c r="D20" s="510"/>
      <c r="E20" s="510"/>
      <c r="F20" s="510"/>
      <c r="G20" s="510"/>
      <c r="H20" s="510"/>
      <c r="I20" s="510"/>
      <c r="J20" s="510"/>
      <c r="K20" s="510"/>
      <c r="L20" s="510"/>
      <c r="M20" s="510"/>
      <c r="N20" s="510"/>
      <c r="O20" s="510"/>
      <c r="P20" s="510"/>
      <c r="Q20" s="510"/>
      <c r="R20" s="510"/>
      <c r="S20" s="510"/>
      <c r="T20" s="510"/>
      <c r="U20" s="511"/>
      <c r="W20" s="505"/>
      <c r="X20" s="506" t="s">
        <v>821</v>
      </c>
      <c r="Y20" s="510"/>
      <c r="Z20" s="510"/>
      <c r="AA20" s="510"/>
      <c r="AB20" s="510"/>
      <c r="AC20" s="510"/>
      <c r="AD20" s="510"/>
      <c r="AE20" s="510"/>
      <c r="AF20" s="510"/>
      <c r="AG20" s="510"/>
      <c r="AH20" s="510"/>
      <c r="AI20" s="510"/>
      <c r="AJ20" s="510"/>
      <c r="AK20" s="510"/>
      <c r="AL20" s="510"/>
      <c r="AM20" s="510"/>
      <c r="AN20" s="510"/>
      <c r="AO20" s="510"/>
      <c r="AP20" s="511"/>
      <c r="AR20" s="505"/>
      <c r="AS20" s="506" t="s">
        <v>822</v>
      </c>
      <c r="AT20" s="510"/>
      <c r="AU20" s="510"/>
      <c r="AV20" s="510"/>
      <c r="AW20" s="510"/>
      <c r="AX20" s="510"/>
      <c r="AY20" s="510"/>
      <c r="AZ20" s="510"/>
      <c r="BA20" s="510"/>
      <c r="BB20" s="510"/>
      <c r="BC20" s="510"/>
      <c r="BD20" s="510"/>
      <c r="BE20" s="510"/>
      <c r="BF20" s="510"/>
      <c r="BG20" s="510"/>
      <c r="BH20" s="510"/>
      <c r="BI20" s="510"/>
      <c r="BJ20" s="510"/>
      <c r="BK20" s="511"/>
    </row>
    <row r="21" spans="1:63" s="504" customFormat="1" ht="29.25">
      <c r="A21" s="502"/>
      <c r="B21" s="505"/>
      <c r="C21" s="506" t="s">
        <v>515</v>
      </c>
      <c r="D21" s="510"/>
      <c r="E21" s="510"/>
      <c r="F21" s="510"/>
      <c r="G21" s="510"/>
      <c r="H21" s="510"/>
      <c r="I21" s="510"/>
      <c r="J21" s="510"/>
      <c r="K21" s="510"/>
      <c r="L21" s="510"/>
      <c r="M21" s="510"/>
      <c r="N21" s="510"/>
      <c r="O21" s="510"/>
      <c r="P21" s="510"/>
      <c r="Q21" s="510"/>
      <c r="R21" s="510"/>
      <c r="S21" s="510"/>
      <c r="T21" s="510"/>
      <c r="U21" s="511"/>
      <c r="W21" s="505"/>
      <c r="X21" s="506" t="s">
        <v>823</v>
      </c>
      <c r="Y21" s="510"/>
      <c r="Z21" s="510"/>
      <c r="AA21" s="510"/>
      <c r="AB21" s="510"/>
      <c r="AC21" s="510"/>
      <c r="AD21" s="510"/>
      <c r="AE21" s="510"/>
      <c r="AF21" s="510"/>
      <c r="AG21" s="510"/>
      <c r="AH21" s="510"/>
      <c r="AI21" s="510"/>
      <c r="AJ21" s="510"/>
      <c r="AK21" s="510"/>
      <c r="AL21" s="510"/>
      <c r="AM21" s="510"/>
      <c r="AN21" s="510"/>
      <c r="AO21" s="510"/>
      <c r="AP21" s="511"/>
      <c r="AR21" s="505"/>
      <c r="AS21" s="506" t="s">
        <v>824</v>
      </c>
      <c r="AT21" s="510"/>
      <c r="AU21" s="510"/>
      <c r="AV21" s="510"/>
      <c r="AW21" s="510"/>
      <c r="AX21" s="510"/>
      <c r="AY21" s="510"/>
      <c r="AZ21" s="510"/>
      <c r="BA21" s="510"/>
      <c r="BB21" s="510"/>
      <c r="BC21" s="510"/>
      <c r="BD21" s="510"/>
      <c r="BE21" s="510"/>
      <c r="BF21" s="510"/>
      <c r="BG21" s="510"/>
      <c r="BH21" s="510"/>
      <c r="BI21" s="510"/>
      <c r="BJ21" s="510"/>
      <c r="BK21" s="511"/>
    </row>
    <row r="22" spans="1:63" s="504" customFormat="1" ht="29.25">
      <c r="A22" s="502"/>
      <c r="B22" s="505"/>
      <c r="C22" s="506" t="s">
        <v>516</v>
      </c>
      <c r="D22" s="510"/>
      <c r="E22" s="510"/>
      <c r="F22" s="510"/>
      <c r="G22" s="510"/>
      <c r="H22" s="510"/>
      <c r="I22" s="510"/>
      <c r="J22" s="510"/>
      <c r="K22" s="510"/>
      <c r="L22" s="510"/>
      <c r="M22" s="510"/>
      <c r="N22" s="510"/>
      <c r="O22" s="510"/>
      <c r="P22" s="510"/>
      <c r="Q22" s="510"/>
      <c r="R22" s="510"/>
      <c r="S22" s="510"/>
      <c r="T22" s="510"/>
      <c r="U22" s="511"/>
      <c r="W22" s="505"/>
      <c r="X22" s="506" t="s">
        <v>825</v>
      </c>
      <c r="Y22" s="510"/>
      <c r="Z22" s="510"/>
      <c r="AA22" s="510"/>
      <c r="AB22" s="510"/>
      <c r="AC22" s="510"/>
      <c r="AD22" s="510"/>
      <c r="AE22" s="510"/>
      <c r="AF22" s="510"/>
      <c r="AG22" s="510"/>
      <c r="AH22" s="510"/>
      <c r="AI22" s="510"/>
      <c r="AJ22" s="510"/>
      <c r="AK22" s="510"/>
      <c r="AL22" s="510"/>
      <c r="AM22" s="510"/>
      <c r="AN22" s="510"/>
      <c r="AO22" s="510"/>
      <c r="AP22" s="511"/>
      <c r="AR22" s="505"/>
      <c r="AS22" s="506" t="s">
        <v>826</v>
      </c>
      <c r="AT22" s="510"/>
      <c r="AU22" s="510"/>
      <c r="AV22" s="510"/>
      <c r="AW22" s="510"/>
      <c r="AX22" s="510"/>
      <c r="AY22" s="510"/>
      <c r="AZ22" s="510"/>
      <c r="BA22" s="510"/>
      <c r="BB22" s="510"/>
      <c r="BC22" s="510"/>
      <c r="BD22" s="510"/>
      <c r="BE22" s="510"/>
      <c r="BF22" s="510"/>
      <c r="BG22" s="510"/>
      <c r="BH22" s="510"/>
      <c r="BI22" s="510"/>
      <c r="BJ22" s="510"/>
      <c r="BK22" s="511"/>
    </row>
    <row r="23" spans="1:63" s="504" customFormat="1" ht="29.25">
      <c r="A23" s="502"/>
      <c r="B23" s="505"/>
      <c r="C23" s="506" t="s">
        <v>517</v>
      </c>
      <c r="D23" s="510"/>
      <c r="E23" s="510"/>
      <c r="F23" s="510"/>
      <c r="G23" s="510"/>
      <c r="H23" s="510"/>
      <c r="I23" s="510"/>
      <c r="J23" s="510"/>
      <c r="K23" s="510"/>
      <c r="L23" s="510"/>
      <c r="M23" s="510"/>
      <c r="N23" s="510"/>
      <c r="O23" s="510"/>
      <c r="P23" s="510"/>
      <c r="Q23" s="510"/>
      <c r="R23" s="510"/>
      <c r="S23" s="510"/>
      <c r="T23" s="510"/>
      <c r="U23" s="511"/>
      <c r="W23" s="505"/>
      <c r="X23" s="506"/>
      <c r="Y23" s="510"/>
      <c r="Z23" s="510"/>
      <c r="AA23" s="510"/>
      <c r="AB23" s="510"/>
      <c r="AC23" s="510"/>
      <c r="AD23" s="510"/>
      <c r="AE23" s="510"/>
      <c r="AF23" s="510"/>
      <c r="AG23" s="510"/>
      <c r="AH23" s="510"/>
      <c r="AI23" s="510"/>
      <c r="AJ23" s="510"/>
      <c r="AK23" s="510"/>
      <c r="AL23" s="510"/>
      <c r="AM23" s="510"/>
      <c r="AN23" s="510"/>
      <c r="AO23" s="510"/>
      <c r="AP23" s="511"/>
      <c r="AR23" s="505"/>
      <c r="AS23" s="506"/>
      <c r="AT23" s="510"/>
      <c r="AU23" s="510"/>
      <c r="AV23" s="510"/>
      <c r="AW23" s="510"/>
      <c r="AX23" s="510"/>
      <c r="AY23" s="510"/>
      <c r="AZ23" s="510"/>
      <c r="BA23" s="510"/>
      <c r="BB23" s="510"/>
      <c r="BC23" s="510"/>
      <c r="BD23" s="510"/>
      <c r="BE23" s="510"/>
      <c r="BF23" s="510"/>
      <c r="BG23" s="510"/>
      <c r="BH23" s="510"/>
      <c r="BI23" s="510"/>
      <c r="BJ23" s="510"/>
      <c r="BK23" s="511"/>
    </row>
    <row r="24" spans="1:63" s="504" customFormat="1" ht="29.25">
      <c r="A24" s="502"/>
      <c r="B24" s="505"/>
      <c r="C24" s="506"/>
      <c r="D24" s="510"/>
      <c r="E24" s="510"/>
      <c r="F24" s="510"/>
      <c r="G24" s="510"/>
      <c r="H24" s="510"/>
      <c r="I24" s="510"/>
      <c r="J24" s="510"/>
      <c r="K24" s="510"/>
      <c r="L24" s="510"/>
      <c r="M24" s="510"/>
      <c r="N24" s="510"/>
      <c r="O24" s="510"/>
      <c r="P24" s="510"/>
      <c r="Q24" s="510"/>
      <c r="R24" s="510"/>
      <c r="S24" s="510"/>
      <c r="T24" s="510"/>
      <c r="U24" s="511"/>
      <c r="W24" s="505"/>
      <c r="X24" s="506" t="s">
        <v>827</v>
      </c>
      <c r="Y24" s="510"/>
      <c r="Z24" s="510"/>
      <c r="AA24" s="510"/>
      <c r="AB24" s="510"/>
      <c r="AC24" s="510"/>
      <c r="AD24" s="510"/>
      <c r="AE24" s="510"/>
      <c r="AF24" s="510"/>
      <c r="AG24" s="510"/>
      <c r="AH24" s="510"/>
      <c r="AI24" s="510"/>
      <c r="AJ24" s="510"/>
      <c r="AK24" s="510"/>
      <c r="AL24" s="510"/>
      <c r="AM24" s="510"/>
      <c r="AN24" s="510"/>
      <c r="AO24" s="510"/>
      <c r="AP24" s="511"/>
      <c r="AR24" s="505"/>
      <c r="AS24" s="506" t="s">
        <v>828</v>
      </c>
      <c r="AT24" s="510"/>
      <c r="AU24" s="510"/>
      <c r="AV24" s="510"/>
      <c r="AW24" s="510"/>
      <c r="AX24" s="510"/>
      <c r="AY24" s="510"/>
      <c r="AZ24" s="510"/>
      <c r="BA24" s="510"/>
      <c r="BB24" s="510"/>
      <c r="BC24" s="510"/>
      <c r="BD24" s="510"/>
      <c r="BE24" s="510"/>
      <c r="BF24" s="510"/>
      <c r="BG24" s="510"/>
      <c r="BH24" s="510"/>
      <c r="BI24" s="510"/>
      <c r="BJ24" s="510"/>
      <c r="BK24" s="511"/>
    </row>
    <row r="25" spans="1:63" s="504" customFormat="1" ht="29.25">
      <c r="A25" s="502"/>
      <c r="B25" s="505"/>
      <c r="C25" s="506" t="s">
        <v>518</v>
      </c>
      <c r="D25" s="510"/>
      <c r="E25" s="510"/>
      <c r="F25" s="510"/>
      <c r="G25" s="510"/>
      <c r="H25" s="510"/>
      <c r="I25" s="510"/>
      <c r="J25" s="510"/>
      <c r="K25" s="510"/>
      <c r="L25" s="510"/>
      <c r="M25" s="510"/>
      <c r="N25" s="510"/>
      <c r="O25" s="510"/>
      <c r="P25" s="510"/>
      <c r="Q25" s="510"/>
      <c r="R25" s="510"/>
      <c r="S25" s="510"/>
      <c r="T25" s="510"/>
      <c r="U25" s="511"/>
      <c r="W25" s="505"/>
      <c r="X25" s="506" t="s">
        <v>829</v>
      </c>
      <c r="Y25" s="510"/>
      <c r="Z25" s="510"/>
      <c r="AA25" s="510"/>
      <c r="AB25" s="510"/>
      <c r="AC25" s="510"/>
      <c r="AD25" s="510"/>
      <c r="AE25" s="510"/>
      <c r="AF25" s="510"/>
      <c r="AG25" s="510"/>
      <c r="AH25" s="510"/>
      <c r="AI25" s="510"/>
      <c r="AJ25" s="510"/>
      <c r="AK25" s="510"/>
      <c r="AL25" s="510"/>
      <c r="AM25" s="510"/>
      <c r="AN25" s="510"/>
      <c r="AO25" s="510"/>
      <c r="AP25" s="511"/>
      <c r="AR25" s="505"/>
      <c r="AS25" s="506" t="s">
        <v>830</v>
      </c>
      <c r="AT25" s="510"/>
      <c r="AU25" s="510"/>
      <c r="AV25" s="510"/>
      <c r="AW25" s="510"/>
      <c r="AX25" s="510"/>
      <c r="AY25" s="510"/>
      <c r="AZ25" s="510"/>
      <c r="BA25" s="510"/>
      <c r="BB25" s="510"/>
      <c r="BC25" s="510"/>
      <c r="BD25" s="510"/>
      <c r="BE25" s="510"/>
      <c r="BF25" s="510"/>
      <c r="BG25" s="510"/>
      <c r="BH25" s="510"/>
      <c r="BI25" s="510"/>
      <c r="BJ25" s="510"/>
      <c r="BK25" s="511"/>
    </row>
    <row r="26" spans="1:63" s="504" customFormat="1" ht="29.25">
      <c r="A26" s="502"/>
      <c r="B26" s="505"/>
      <c r="C26" s="506" t="s">
        <v>519</v>
      </c>
      <c r="D26" s="510"/>
      <c r="E26" s="510"/>
      <c r="F26" s="510"/>
      <c r="G26" s="510"/>
      <c r="H26" s="510"/>
      <c r="I26" s="510"/>
      <c r="J26" s="510"/>
      <c r="K26" s="510"/>
      <c r="L26" s="510"/>
      <c r="M26" s="510"/>
      <c r="N26" s="510"/>
      <c r="O26" s="510"/>
      <c r="P26" s="510"/>
      <c r="Q26" s="510"/>
      <c r="R26" s="510"/>
      <c r="S26" s="510"/>
      <c r="T26" s="510"/>
      <c r="U26" s="511"/>
      <c r="W26" s="505"/>
      <c r="X26" s="506"/>
      <c r="Y26" s="510"/>
      <c r="Z26" s="510"/>
      <c r="AA26" s="510"/>
      <c r="AB26" s="510"/>
      <c r="AC26" s="510"/>
      <c r="AD26" s="510"/>
      <c r="AE26" s="510"/>
      <c r="AF26" s="510"/>
      <c r="AG26" s="510"/>
      <c r="AH26" s="510"/>
      <c r="AI26" s="510"/>
      <c r="AJ26" s="510"/>
      <c r="AK26" s="510"/>
      <c r="AL26" s="510"/>
      <c r="AM26" s="510"/>
      <c r="AN26" s="510"/>
      <c r="AO26" s="510"/>
      <c r="AP26" s="511"/>
      <c r="AR26" s="505"/>
      <c r="AS26" s="506"/>
      <c r="AT26" s="510"/>
      <c r="AU26" s="510"/>
      <c r="AV26" s="510"/>
      <c r="AW26" s="510"/>
      <c r="AX26" s="510"/>
      <c r="AY26" s="510"/>
      <c r="AZ26" s="510"/>
      <c r="BA26" s="510"/>
      <c r="BB26" s="510"/>
      <c r="BC26" s="510"/>
      <c r="BD26" s="510"/>
      <c r="BE26" s="510"/>
      <c r="BF26" s="510"/>
      <c r="BG26" s="510"/>
      <c r="BH26" s="510"/>
      <c r="BI26" s="510"/>
      <c r="BJ26" s="510"/>
      <c r="BK26" s="511"/>
    </row>
    <row r="27" spans="1:63" s="504" customFormat="1" ht="29.25">
      <c r="A27" s="502"/>
      <c r="B27" s="505"/>
      <c r="C27" s="7540">
        <v>45587</v>
      </c>
      <c r="D27" s="7540"/>
      <c r="E27" s="7540"/>
      <c r="F27" s="510"/>
      <c r="G27" s="510"/>
      <c r="H27" s="510"/>
      <c r="I27" s="510"/>
      <c r="J27" s="510"/>
      <c r="K27" s="510"/>
      <c r="L27" s="510"/>
      <c r="M27" s="510"/>
      <c r="N27" s="510"/>
      <c r="O27" s="510"/>
      <c r="P27" s="510"/>
      <c r="Q27" s="510"/>
      <c r="R27" s="510"/>
      <c r="S27" s="510"/>
      <c r="T27" s="510"/>
      <c r="U27" s="511"/>
      <c r="W27" s="505"/>
      <c r="X27" s="514" t="s">
        <v>831</v>
      </c>
      <c r="Y27" s="514"/>
      <c r="Z27" s="514"/>
      <c r="AA27" s="102" t="s">
        <v>58</v>
      </c>
      <c r="AB27" s="510"/>
      <c r="AC27" s="510"/>
      <c r="AD27" s="510"/>
      <c r="AE27" s="510"/>
      <c r="AF27" s="510"/>
      <c r="AG27" s="510"/>
      <c r="AH27" s="510"/>
      <c r="AI27" s="510"/>
      <c r="AJ27" s="510"/>
      <c r="AK27" s="510"/>
      <c r="AL27" s="510"/>
      <c r="AM27" s="510"/>
      <c r="AN27" s="510"/>
      <c r="AO27" s="510"/>
      <c r="AP27" s="511"/>
      <c r="AR27" s="505"/>
      <c r="AS27" s="935" t="s">
        <v>832</v>
      </c>
      <c r="AT27" s="935"/>
      <c r="AU27" s="935"/>
      <c r="AV27" s="510"/>
      <c r="AW27" t="s">
        <v>45</v>
      </c>
      <c r="AX27" s="510"/>
      <c r="AY27" s="510"/>
      <c r="AZ27" s="510"/>
      <c r="BA27" s="510"/>
      <c r="BB27" s="510"/>
      <c r="BC27" s="510"/>
      <c r="BD27" s="510"/>
      <c r="BE27" s="510"/>
      <c r="BF27" s="510"/>
      <c r="BG27" s="510"/>
      <c r="BH27" s="510"/>
      <c r="BI27" s="510"/>
      <c r="BJ27" s="510"/>
      <c r="BK27" s="511"/>
    </row>
    <row r="28" spans="1:63" s="504" customFormat="1" ht="29.25">
      <c r="A28" s="502"/>
      <c r="B28" s="505"/>
      <c r="C28" s="514"/>
      <c r="D28" s="514"/>
      <c r="E28" s="514"/>
      <c r="F28" s="510"/>
      <c r="G28" s="510"/>
      <c r="H28" s="510"/>
      <c r="I28" s="510"/>
      <c r="J28" s="510"/>
      <c r="K28" s="510"/>
      <c r="L28" s="510"/>
      <c r="M28" s="510"/>
      <c r="N28" s="510"/>
      <c r="O28" s="510"/>
      <c r="P28" s="510"/>
      <c r="Q28" s="510"/>
      <c r="R28" s="510"/>
      <c r="S28" s="510"/>
      <c r="T28" s="510"/>
      <c r="U28" s="511"/>
      <c r="W28" s="505"/>
      <c r="X28" s="514" t="s">
        <v>833</v>
      </c>
      <c r="Y28" s="514"/>
      <c r="Z28" s="514"/>
      <c r="AA28" s="148" t="s">
        <v>42</v>
      </c>
      <c r="AB28" s="510"/>
      <c r="AC28" s="510"/>
      <c r="AD28" s="510"/>
      <c r="AE28" s="510"/>
      <c r="AF28" s="510"/>
      <c r="AG28" s="510"/>
      <c r="AH28" s="510"/>
      <c r="AI28" s="510"/>
      <c r="AJ28" s="510"/>
      <c r="AK28" s="510"/>
      <c r="AL28" s="510"/>
      <c r="AM28" s="510"/>
      <c r="AN28" s="510"/>
      <c r="AO28" s="510"/>
      <c r="AP28" s="511"/>
      <c r="AR28" s="505"/>
      <c r="AS28" s="514" t="s">
        <v>833</v>
      </c>
      <c r="AT28" s="514"/>
      <c r="AU28" s="514"/>
      <c r="AV28" s="510"/>
      <c r="AW28" s="148" t="s">
        <v>42</v>
      </c>
      <c r="AX28" s="510"/>
      <c r="AY28" s="510"/>
      <c r="AZ28" s="510"/>
      <c r="BA28" s="510"/>
      <c r="BB28" s="510"/>
      <c r="BC28" s="510"/>
      <c r="BD28" s="510"/>
      <c r="BE28" s="510"/>
      <c r="BF28" s="510"/>
      <c r="BG28" s="510"/>
      <c r="BH28" s="510"/>
      <c r="BI28" s="510"/>
      <c r="BJ28" s="510"/>
      <c r="BK28" s="511"/>
    </row>
    <row r="29" spans="1:63" s="504" customFormat="1" ht="29.25">
      <c r="A29" s="502"/>
      <c r="B29" s="505"/>
      <c r="C29" s="514"/>
      <c r="D29" s="514"/>
      <c r="E29" s="514"/>
      <c r="F29" s="510"/>
      <c r="G29" s="510"/>
      <c r="H29" s="510"/>
      <c r="I29" s="510"/>
      <c r="J29" s="510"/>
      <c r="K29" s="510"/>
      <c r="L29" s="510"/>
      <c r="M29" s="510"/>
      <c r="N29" s="510"/>
      <c r="O29" s="510"/>
      <c r="P29" s="510"/>
      <c r="Q29" s="510"/>
      <c r="R29" s="510"/>
      <c r="S29" s="510"/>
      <c r="T29" s="510"/>
      <c r="U29" s="511"/>
      <c r="W29" s="505"/>
      <c r="X29" s="514" t="s">
        <v>834</v>
      </c>
      <c r="Y29" s="514"/>
      <c r="Z29" s="514"/>
      <c r="AA29" s="510"/>
      <c r="AB29" s="510"/>
      <c r="AC29" s="510"/>
      <c r="AD29" s="510"/>
      <c r="AE29" s="510"/>
      <c r="AF29" s="510"/>
      <c r="AG29" s="510"/>
      <c r="AH29" s="510"/>
      <c r="AI29" s="510"/>
      <c r="AJ29" s="510"/>
      <c r="AK29" s="510"/>
      <c r="AL29" s="510"/>
      <c r="AM29" s="510"/>
      <c r="AN29" s="510"/>
      <c r="AO29" s="510"/>
      <c r="AP29" s="511"/>
      <c r="AR29" s="505"/>
      <c r="AS29" s="514" t="s">
        <v>835</v>
      </c>
      <c r="AT29" s="514"/>
      <c r="AU29" s="514"/>
      <c r="AV29" s="510"/>
      <c r="AW29" s="510"/>
      <c r="AX29" s="510"/>
      <c r="AY29" s="510"/>
      <c r="AZ29" s="510"/>
      <c r="BA29" s="510"/>
      <c r="BB29" s="510"/>
      <c r="BC29" s="510"/>
      <c r="BD29" s="510"/>
      <c r="BE29" s="510"/>
      <c r="BF29" s="510"/>
      <c r="BG29" s="510"/>
      <c r="BH29" s="510"/>
      <c r="BI29" s="510"/>
      <c r="BJ29" s="510"/>
      <c r="BK29" s="511"/>
    </row>
    <row r="30" spans="1:63" s="504" customFormat="1" ht="29.25">
      <c r="A30" s="502"/>
      <c r="B30" s="505"/>
      <c r="C30" s="514"/>
      <c r="D30" s="514"/>
      <c r="E30" s="514"/>
      <c r="F30" s="510"/>
      <c r="G30" s="510"/>
      <c r="H30" s="510"/>
      <c r="I30" s="510"/>
      <c r="J30" s="510"/>
      <c r="K30" s="510"/>
      <c r="L30" s="510"/>
      <c r="M30" s="510"/>
      <c r="N30" s="510"/>
      <c r="O30" s="510"/>
      <c r="P30" s="510"/>
      <c r="Q30" s="510"/>
      <c r="R30" s="510"/>
      <c r="S30" s="510"/>
      <c r="T30" s="510"/>
      <c r="U30" s="511"/>
      <c r="W30" s="505"/>
      <c r="X30" s="514"/>
      <c r="Y30" s="514"/>
      <c r="Z30" s="514"/>
      <c r="AA30" s="510"/>
      <c r="AB30" s="510"/>
      <c r="AC30" s="510"/>
      <c r="AD30" s="510"/>
      <c r="AE30" s="510"/>
      <c r="AF30" s="510"/>
      <c r="AG30" s="510"/>
      <c r="AH30" s="510"/>
      <c r="AI30" s="510"/>
      <c r="AJ30" s="510"/>
      <c r="AK30" s="510"/>
      <c r="AL30" s="510"/>
      <c r="AM30" s="510"/>
      <c r="AN30" s="510"/>
      <c r="AO30" s="510"/>
      <c r="AP30" s="511"/>
      <c r="AR30" s="505"/>
      <c r="AS30" s="514"/>
      <c r="AT30" s="514"/>
      <c r="AU30" s="514"/>
      <c r="AV30" s="510"/>
      <c r="AW30" s="510"/>
      <c r="AX30" s="510"/>
      <c r="AY30" s="510"/>
      <c r="AZ30" s="510"/>
      <c r="BA30" s="510"/>
      <c r="BB30" s="510"/>
      <c r="BC30" s="510"/>
      <c r="BD30" s="510"/>
      <c r="BE30" s="510"/>
      <c r="BF30" s="510"/>
      <c r="BG30" s="510"/>
      <c r="BH30" s="510"/>
      <c r="BI30" s="510"/>
      <c r="BJ30" s="510"/>
      <c r="BK30" s="511"/>
    </row>
    <row r="31" spans="1:63" s="504" customFormat="1" ht="18.75">
      <c r="A31" s="502"/>
      <c r="B31" s="505"/>
      <c r="C31" s="515" t="s">
        <v>269</v>
      </c>
      <c r="D31" s="516" t="str">
        <f ca="1">CELL("nomfichier")</f>
        <v>D:\Données\1.UPRT\0-UPRT.fait\1-UPRT.FR-SITE-WEB\ff-fiches-fabrications\ff.fiches.fabrication.2023\ffr.restaurant.2023\[ff.REPERTOIRE.600.LIGNES.15.xlsx]Differents.postits.FR.EN.ES</v>
      </c>
      <c r="E31" s="510"/>
      <c r="F31" s="510"/>
      <c r="G31" s="510"/>
      <c r="H31" s="510"/>
      <c r="I31" s="510"/>
      <c r="J31" s="510"/>
      <c r="K31" s="510"/>
      <c r="L31" s="510"/>
      <c r="M31" s="510"/>
      <c r="N31" s="510"/>
      <c r="O31" s="510"/>
      <c r="P31" s="510"/>
      <c r="Q31" s="510"/>
      <c r="R31" s="510"/>
      <c r="S31" s="510"/>
      <c r="T31" s="510"/>
      <c r="U31" s="511"/>
      <c r="W31" s="505"/>
      <c r="X31" s="515" t="s">
        <v>269</v>
      </c>
      <c r="Y31" s="516" t="str">
        <f ca="1">CELL("nomfichier")</f>
        <v>D:\Données\1.UPRT\0-UPRT.fait\1-UPRT.FR-SITE-WEB\ff-fiches-fabrications\ff.fiches.fabrication.2023\ffr.restaurant.2023\[ff.REPERTOIRE.600.LIGNES.15.xlsx]Differents.postits.FR.EN.ES</v>
      </c>
      <c r="Z31" s="510"/>
      <c r="AA31" s="510"/>
      <c r="AB31" s="510"/>
      <c r="AC31" s="510"/>
      <c r="AD31" s="510"/>
      <c r="AE31" s="510"/>
      <c r="AF31" s="510"/>
      <c r="AG31" s="510"/>
      <c r="AH31" s="510"/>
      <c r="AI31" s="510"/>
      <c r="AJ31" s="510"/>
      <c r="AK31" s="510"/>
      <c r="AL31" s="510"/>
      <c r="AM31" s="510"/>
      <c r="AN31" s="510"/>
      <c r="AO31" s="510"/>
      <c r="AP31" s="511"/>
      <c r="AR31" s="505"/>
      <c r="AS31" s="515" t="s">
        <v>269</v>
      </c>
      <c r="AT31" s="516" t="str">
        <f ca="1">CELL("nomfichier")</f>
        <v>D:\Données\1.UPRT\0-UPRT.fait\1-UPRT.FR-SITE-WEB\ff-fiches-fabrications\ff.fiches.fabrication.2023\ffr.restaurant.2023\[ff.REPERTOIRE.600.LIGNES.15.xlsx]Differents.postits.FR.EN.ES</v>
      </c>
      <c r="AU31" s="510"/>
      <c r="AV31" s="510"/>
      <c r="AW31" s="510"/>
      <c r="AX31" s="510"/>
      <c r="AY31" s="510"/>
      <c r="AZ31" s="510"/>
      <c r="BA31" s="510"/>
      <c r="BB31" s="510"/>
      <c r="BC31" s="510"/>
      <c r="BD31" s="510"/>
      <c r="BE31" s="510"/>
      <c r="BF31" s="510"/>
      <c r="BG31" s="510"/>
      <c r="BH31" s="510"/>
      <c r="BI31" s="510"/>
      <c r="BJ31" s="510"/>
      <c r="BK31" s="511"/>
    </row>
    <row r="32" spans="1:63" s="504" customFormat="1" ht="18.75">
      <c r="A32" s="502"/>
      <c r="B32" s="505"/>
      <c r="C32" s="516"/>
      <c r="D32" s="516"/>
      <c r="E32" s="510"/>
      <c r="F32" s="510"/>
      <c r="G32" s="510"/>
      <c r="H32" s="510"/>
      <c r="I32" s="510"/>
      <c r="J32" s="510"/>
      <c r="K32" s="510"/>
      <c r="L32" s="510"/>
      <c r="M32" s="510"/>
      <c r="N32" s="510"/>
      <c r="O32" s="510"/>
      <c r="P32" s="510"/>
      <c r="Q32" s="510"/>
      <c r="R32" s="510"/>
      <c r="S32" s="510"/>
      <c r="T32" s="510"/>
      <c r="U32" s="511"/>
      <c r="W32" s="505"/>
      <c r="X32" s="516"/>
      <c r="Y32" s="516"/>
      <c r="Z32" s="510"/>
      <c r="AA32" s="510"/>
      <c r="AB32" s="510"/>
      <c r="AC32" s="510"/>
      <c r="AD32" s="510"/>
      <c r="AE32" s="510"/>
      <c r="AF32" s="510"/>
      <c r="AG32" s="510"/>
      <c r="AH32" s="510"/>
      <c r="AI32" s="510"/>
      <c r="AJ32" s="510"/>
      <c r="AK32" s="510"/>
      <c r="AL32" s="510"/>
      <c r="AM32" s="510"/>
      <c r="AN32" s="510"/>
      <c r="AO32" s="510"/>
      <c r="AP32" s="511"/>
      <c r="AR32" s="505"/>
      <c r="AS32" s="516"/>
      <c r="AT32" s="516"/>
      <c r="AU32" s="510"/>
      <c r="AV32" s="510"/>
      <c r="AW32" s="510"/>
      <c r="AX32" s="510"/>
      <c r="AY32" s="510"/>
      <c r="AZ32" s="510"/>
      <c r="BA32" s="510"/>
      <c r="BB32" s="510"/>
      <c r="BC32" s="510"/>
      <c r="BD32" s="510"/>
      <c r="BE32" s="510"/>
      <c r="BF32" s="510"/>
      <c r="BG32" s="510"/>
      <c r="BH32" s="510"/>
      <c r="BI32" s="510"/>
      <c r="BJ32" s="510"/>
      <c r="BK32" s="511"/>
    </row>
    <row r="33" spans="1:63" s="504" customFormat="1" ht="18.75">
      <c r="A33" s="502"/>
      <c r="B33" s="505"/>
      <c r="C33" s="517"/>
      <c r="D33" s="516"/>
      <c r="E33" s="510"/>
      <c r="F33" s="510"/>
      <c r="G33" s="510"/>
      <c r="H33" s="510"/>
      <c r="I33" s="518" t="s">
        <v>520</v>
      </c>
      <c r="J33" s="519" t="s">
        <v>521</v>
      </c>
      <c r="K33" s="510"/>
      <c r="L33" s="510"/>
      <c r="M33" s="510"/>
      <c r="N33" s="510"/>
      <c r="O33" s="510"/>
      <c r="P33" s="510"/>
      <c r="Q33" s="510"/>
      <c r="R33" s="510"/>
      <c r="S33" s="510"/>
      <c r="T33" s="510"/>
      <c r="U33" s="511"/>
      <c r="W33" s="505"/>
      <c r="X33" s="517"/>
      <c r="Y33" s="516"/>
      <c r="Z33" s="510"/>
      <c r="AA33" s="510"/>
      <c r="AB33" s="510"/>
      <c r="AC33" s="510"/>
      <c r="AD33" s="518" t="s">
        <v>520</v>
      </c>
      <c r="AE33" s="519" t="s">
        <v>521</v>
      </c>
      <c r="AF33" s="510"/>
      <c r="AG33" s="510"/>
      <c r="AH33" s="510"/>
      <c r="AI33" s="510"/>
      <c r="AJ33" s="510"/>
      <c r="AK33" s="510"/>
      <c r="AL33" s="510"/>
      <c r="AM33" s="510"/>
      <c r="AN33" s="510"/>
      <c r="AO33" s="510"/>
      <c r="AP33" s="511"/>
      <c r="AR33" s="505"/>
      <c r="AS33" s="517"/>
      <c r="AT33" s="516"/>
      <c r="AU33" s="510"/>
      <c r="AV33" s="510"/>
      <c r="AW33" s="510"/>
      <c r="AX33" s="510"/>
      <c r="AY33" s="518" t="s">
        <v>520</v>
      </c>
      <c r="AZ33" s="519" t="s">
        <v>521</v>
      </c>
      <c r="BA33" s="510"/>
      <c r="BB33" s="510"/>
      <c r="BC33" s="510"/>
      <c r="BD33" s="510"/>
      <c r="BE33" s="510"/>
      <c r="BF33" s="510"/>
      <c r="BG33" s="510"/>
      <c r="BH33" s="510"/>
      <c r="BI33" s="510"/>
      <c r="BJ33" s="510"/>
      <c r="BK33" s="511"/>
    </row>
    <row r="34" spans="1:63" s="504" customFormat="1" ht="18.75">
      <c r="A34" s="502"/>
      <c r="B34" s="505"/>
      <c r="C34" s="516"/>
      <c r="D34" s="516"/>
      <c r="E34" s="510"/>
      <c r="F34" s="510"/>
      <c r="G34" s="510"/>
      <c r="H34" s="510"/>
      <c r="I34" s="510"/>
      <c r="J34" s="510"/>
      <c r="K34" s="510"/>
      <c r="L34" s="510"/>
      <c r="M34" s="510"/>
      <c r="N34" s="510"/>
      <c r="O34" s="510"/>
      <c r="P34" s="510"/>
      <c r="Q34" s="510"/>
      <c r="R34" s="510"/>
      <c r="S34" s="510"/>
      <c r="T34" s="510"/>
      <c r="U34" s="511"/>
      <c r="W34" s="505"/>
      <c r="X34" s="516"/>
      <c r="Y34" s="516"/>
      <c r="Z34" s="510"/>
      <c r="AA34" s="510"/>
      <c r="AB34" s="510"/>
      <c r="AC34" s="510"/>
      <c r="AD34" s="510"/>
      <c r="AE34" s="510"/>
      <c r="AF34" s="510"/>
      <c r="AG34" s="510"/>
      <c r="AH34" s="510"/>
      <c r="AI34" s="510"/>
      <c r="AJ34" s="510"/>
      <c r="AK34" s="510"/>
      <c r="AL34" s="510"/>
      <c r="AM34" s="510"/>
      <c r="AN34" s="510"/>
      <c r="AO34" s="510"/>
      <c r="AP34" s="511"/>
      <c r="AR34" s="505"/>
      <c r="AS34" s="516"/>
      <c r="AT34" s="516"/>
      <c r="AU34" s="510"/>
      <c r="AV34" s="510"/>
      <c r="AW34" s="510"/>
      <c r="AX34" s="510"/>
      <c r="AY34" s="510"/>
      <c r="AZ34" s="510"/>
      <c r="BA34" s="510"/>
      <c r="BB34" s="510"/>
      <c r="BC34" s="510"/>
      <c r="BD34" s="510"/>
      <c r="BE34" s="510"/>
      <c r="BF34" s="510"/>
      <c r="BG34" s="510"/>
      <c r="BH34" s="510"/>
      <c r="BI34" s="510"/>
      <c r="BJ34" s="510"/>
      <c r="BK34" s="511"/>
    </row>
    <row r="35" spans="1:63" s="504" customFormat="1" ht="18.75">
      <c r="A35" s="502"/>
      <c r="B35" s="505"/>
      <c r="C35" s="520"/>
      <c r="D35" s="520"/>
      <c r="E35" s="521" t="s">
        <v>522</v>
      </c>
      <c r="F35" s="519" t="s">
        <v>523</v>
      </c>
      <c r="G35" s="510"/>
      <c r="H35" s="510"/>
      <c r="I35" s="510"/>
      <c r="J35" s="510"/>
      <c r="K35" s="510"/>
      <c r="L35" s="510"/>
      <c r="M35" s="510"/>
      <c r="N35" s="522" t="s">
        <v>524</v>
      </c>
      <c r="O35" s="523" t="s">
        <v>438</v>
      </c>
      <c r="P35" s="510"/>
      <c r="Q35" s="510"/>
      <c r="R35" s="510"/>
      <c r="S35" s="510"/>
      <c r="T35" s="510"/>
      <c r="U35" s="511"/>
      <c r="W35" s="505"/>
      <c r="X35" s="520"/>
      <c r="Y35" s="520"/>
      <c r="Z35" s="521" t="s">
        <v>525</v>
      </c>
      <c r="AA35" s="519" t="s">
        <v>523</v>
      </c>
      <c r="AB35" s="510"/>
      <c r="AC35" s="510"/>
      <c r="AD35" s="510"/>
      <c r="AE35" s="510"/>
      <c r="AF35" s="510"/>
      <c r="AG35" s="510"/>
      <c r="AH35" s="510"/>
      <c r="AI35" s="522" t="s">
        <v>526</v>
      </c>
      <c r="AJ35" s="523" t="s">
        <v>438</v>
      </c>
      <c r="AK35" s="510"/>
      <c r="AL35" s="510"/>
      <c r="AM35" s="510"/>
      <c r="AN35" s="510"/>
      <c r="AO35" s="510"/>
      <c r="AP35" s="511"/>
      <c r="AR35" s="505"/>
      <c r="AS35" s="520"/>
      <c r="AT35" s="520"/>
      <c r="AU35" s="521" t="s">
        <v>522</v>
      </c>
      <c r="AV35" s="519" t="s">
        <v>523</v>
      </c>
      <c r="AW35" s="510"/>
      <c r="AX35" s="510"/>
      <c r="AY35" s="510"/>
      <c r="AZ35" s="510"/>
      <c r="BA35" s="510"/>
      <c r="BB35" s="510"/>
      <c r="BC35" s="510"/>
      <c r="BD35" s="522" t="s">
        <v>524</v>
      </c>
      <c r="BE35" s="523" t="s">
        <v>438</v>
      </c>
      <c r="BF35" s="510"/>
      <c r="BG35" s="510"/>
      <c r="BH35" s="510"/>
      <c r="BI35" s="510"/>
      <c r="BJ35" s="510"/>
      <c r="BK35" s="511"/>
    </row>
    <row r="36" spans="1:63" s="504" customFormat="1" ht="18.75">
      <c r="A36" s="502"/>
      <c r="B36" s="505"/>
      <c r="C36" s="509"/>
      <c r="D36" s="510"/>
      <c r="E36" s="524"/>
      <c r="F36" s="510"/>
      <c r="G36" s="510"/>
      <c r="H36" s="510"/>
      <c r="I36" s="510"/>
      <c r="J36" s="510"/>
      <c r="K36" s="525"/>
      <c r="L36" s="510"/>
      <c r="M36" s="510"/>
      <c r="N36" s="510"/>
      <c r="O36" s="510"/>
      <c r="P36" s="510"/>
      <c r="Q36" s="510"/>
      <c r="R36" s="510"/>
      <c r="S36" s="510"/>
      <c r="T36" s="510"/>
      <c r="U36" s="511"/>
      <c r="W36" s="505"/>
      <c r="X36" s="509"/>
      <c r="Y36" s="510"/>
      <c r="Z36" s="524"/>
      <c r="AA36" s="510"/>
      <c r="AB36" s="510"/>
      <c r="AC36" s="510"/>
      <c r="AD36" s="510"/>
      <c r="AE36" s="510"/>
      <c r="AF36" s="525"/>
      <c r="AG36" s="510"/>
      <c r="AH36" s="510"/>
      <c r="AI36" s="510"/>
      <c r="AJ36" s="510"/>
      <c r="AK36" s="510"/>
      <c r="AL36" s="510"/>
      <c r="AM36" s="510"/>
      <c r="AN36" s="510"/>
      <c r="AO36" s="510"/>
      <c r="AP36" s="511"/>
      <c r="AR36" s="505"/>
      <c r="AS36" s="509"/>
      <c r="AT36" s="510"/>
      <c r="AU36" s="524"/>
      <c r="AV36" s="510"/>
      <c r="AW36" s="510"/>
      <c r="AX36" s="510"/>
      <c r="AY36" s="510"/>
      <c r="AZ36" s="510"/>
      <c r="BA36" s="525"/>
      <c r="BB36" s="510"/>
      <c r="BC36" s="510"/>
      <c r="BD36" s="510"/>
      <c r="BE36" s="510"/>
      <c r="BF36" s="510"/>
      <c r="BG36" s="510"/>
      <c r="BH36" s="510"/>
      <c r="BI36" s="510"/>
      <c r="BJ36" s="510"/>
      <c r="BK36" s="511"/>
    </row>
    <row r="37" spans="1:63" s="504" customFormat="1" ht="18.75">
      <c r="A37" s="502"/>
      <c r="B37" s="505"/>
      <c r="C37" s="509"/>
      <c r="D37" s="520"/>
      <c r="E37" s="481" t="s">
        <v>527</v>
      </c>
      <c r="F37" s="519" t="s">
        <v>528</v>
      </c>
      <c r="G37" s="510"/>
      <c r="H37" s="510"/>
      <c r="I37" s="510"/>
      <c r="J37" s="510"/>
      <c r="K37" s="525"/>
      <c r="L37" s="510"/>
      <c r="M37" s="510"/>
      <c r="N37" s="510"/>
      <c r="O37" s="510"/>
      <c r="P37" s="510"/>
      <c r="Q37" s="510"/>
      <c r="R37" s="510"/>
      <c r="S37" s="510"/>
      <c r="T37" s="510"/>
      <c r="U37" s="511"/>
      <c r="W37" s="505"/>
      <c r="X37" s="509"/>
      <c r="Y37" s="520"/>
      <c r="Z37" s="481" t="s">
        <v>529</v>
      </c>
      <c r="AA37" s="519" t="s">
        <v>528</v>
      </c>
      <c r="AB37" s="510"/>
      <c r="AC37" s="510"/>
      <c r="AD37" s="510"/>
      <c r="AE37" s="510"/>
      <c r="AF37" s="525"/>
      <c r="AG37" s="510"/>
      <c r="AH37" s="510"/>
      <c r="AI37" s="510"/>
      <c r="AJ37" s="510"/>
      <c r="AK37" s="510"/>
      <c r="AL37" s="510"/>
      <c r="AM37" s="510"/>
      <c r="AN37" s="510"/>
      <c r="AO37" s="510"/>
      <c r="AP37" s="511"/>
      <c r="AR37" s="505"/>
      <c r="AS37" s="509"/>
      <c r="AT37" s="520"/>
      <c r="AU37" s="481" t="s">
        <v>527</v>
      </c>
      <c r="AV37" s="519" t="s">
        <v>528</v>
      </c>
      <c r="AW37" s="510"/>
      <c r="AX37" s="510"/>
      <c r="AY37" s="510"/>
      <c r="AZ37" s="510"/>
      <c r="BA37" s="525"/>
      <c r="BB37" s="510"/>
      <c r="BC37" s="510"/>
      <c r="BD37" s="510"/>
      <c r="BE37" s="510"/>
      <c r="BF37" s="510"/>
      <c r="BG37" s="510"/>
      <c r="BH37" s="510"/>
      <c r="BI37" s="510"/>
      <c r="BJ37" s="510"/>
      <c r="BK37" s="511"/>
    </row>
    <row r="38" spans="1:63" s="504" customFormat="1" ht="18.75">
      <c r="A38" s="502"/>
      <c r="B38" s="505"/>
      <c r="C38" s="509"/>
      <c r="D38" s="520"/>
      <c r="E38" s="481"/>
      <c r="F38" s="519"/>
      <c r="G38" s="510"/>
      <c r="H38" s="510"/>
      <c r="I38" s="510"/>
      <c r="J38" s="510"/>
      <c r="K38" s="525"/>
      <c r="L38" s="510"/>
      <c r="M38" s="510"/>
      <c r="N38" s="510"/>
      <c r="O38" s="510"/>
      <c r="P38" s="510"/>
      <c r="Q38" s="510"/>
      <c r="R38" s="510"/>
      <c r="S38" s="510"/>
      <c r="T38" s="510"/>
      <c r="U38" s="511"/>
      <c r="W38" s="505"/>
      <c r="X38" s="509"/>
      <c r="Y38" s="520"/>
      <c r="Z38" s="481"/>
      <c r="AA38" s="519"/>
      <c r="AB38" s="510"/>
      <c r="AC38" s="510"/>
      <c r="AD38" s="510"/>
      <c r="AE38" s="510"/>
      <c r="AF38" s="525"/>
      <c r="AG38" s="510"/>
      <c r="AH38" s="510"/>
      <c r="AI38" s="510"/>
      <c r="AJ38" s="510"/>
      <c r="AK38" s="510"/>
      <c r="AL38" s="510"/>
      <c r="AM38" s="510"/>
      <c r="AN38" s="510"/>
      <c r="AO38" s="510"/>
      <c r="AP38" s="511"/>
      <c r="AR38" s="505"/>
      <c r="AS38" s="509"/>
      <c r="AT38" s="520"/>
      <c r="AU38" s="481"/>
      <c r="AV38" s="519"/>
      <c r="AW38" s="510"/>
      <c r="AX38" s="510"/>
      <c r="AY38" s="510"/>
      <c r="AZ38" s="510"/>
      <c r="BA38" s="525"/>
      <c r="BB38" s="510"/>
      <c r="BC38" s="510"/>
      <c r="BD38" s="510"/>
      <c r="BE38" s="510"/>
      <c r="BF38" s="510"/>
      <c r="BG38" s="510"/>
      <c r="BH38" s="510"/>
      <c r="BI38" s="510"/>
      <c r="BJ38" s="510"/>
      <c r="BK38" s="511"/>
    </row>
    <row r="39" spans="1:63" s="504" customFormat="1" ht="18.75">
      <c r="A39" s="502"/>
      <c r="B39" s="505"/>
      <c r="C39" s="509"/>
      <c r="D39" s="520"/>
      <c r="E39" s="525" t="s">
        <v>530</v>
      </c>
      <c r="F39" s="519"/>
      <c r="G39" s="510"/>
      <c r="H39" s="510"/>
      <c r="I39" s="510"/>
      <c r="J39" s="510"/>
      <c r="K39" s="525"/>
      <c r="L39" s="510"/>
      <c r="M39" s="510"/>
      <c r="N39" s="510"/>
      <c r="O39" s="510"/>
      <c r="P39" s="510"/>
      <c r="Q39" s="510"/>
      <c r="R39" s="510"/>
      <c r="S39" s="510"/>
      <c r="T39" s="510"/>
      <c r="U39" s="511"/>
      <c r="W39" s="505"/>
      <c r="X39" s="509"/>
      <c r="Y39" s="520"/>
      <c r="Z39" s="525" t="s">
        <v>531</v>
      </c>
      <c r="AA39" s="519"/>
      <c r="AB39" s="510"/>
      <c r="AC39" s="510"/>
      <c r="AD39" s="510"/>
      <c r="AE39" s="510"/>
      <c r="AF39" s="525"/>
      <c r="AG39" s="510"/>
      <c r="AH39" s="510"/>
      <c r="AI39" s="510"/>
      <c r="AJ39" s="510"/>
      <c r="AK39" s="510"/>
      <c r="AL39" s="510"/>
      <c r="AM39" s="510"/>
      <c r="AN39" s="510"/>
      <c r="AO39" s="510"/>
      <c r="AP39" s="511"/>
      <c r="AR39" s="505"/>
      <c r="AS39" s="509"/>
      <c r="AT39" s="520"/>
      <c r="AU39" s="525" t="s">
        <v>530</v>
      </c>
      <c r="AV39" s="519"/>
      <c r="AW39" s="510"/>
      <c r="AX39" s="510"/>
      <c r="AY39" s="510"/>
      <c r="AZ39" s="510"/>
      <c r="BA39" s="525"/>
      <c r="BB39" s="510"/>
      <c r="BC39" s="510"/>
      <c r="BD39" s="510"/>
      <c r="BE39" s="510"/>
      <c r="BF39" s="510"/>
      <c r="BG39" s="510"/>
      <c r="BH39" s="510"/>
      <c r="BI39" s="510"/>
      <c r="BJ39" s="510"/>
      <c r="BK39" s="511"/>
    </row>
    <row r="40" spans="1:63" s="504" customFormat="1" ht="18.75">
      <c r="A40" s="502"/>
      <c r="B40" s="505"/>
      <c r="C40" s="509"/>
      <c r="D40" s="510"/>
      <c r="E40" s="525" t="s">
        <v>532</v>
      </c>
      <c r="F40" s="510"/>
      <c r="G40" s="510"/>
      <c r="H40" s="510"/>
      <c r="I40" s="510"/>
      <c r="J40" s="510"/>
      <c r="K40" s="510"/>
      <c r="L40" s="510"/>
      <c r="M40" s="510"/>
      <c r="N40" s="510"/>
      <c r="O40" s="510"/>
      <c r="P40" s="510"/>
      <c r="Q40" s="510"/>
      <c r="R40" s="510"/>
      <c r="S40" s="510"/>
      <c r="T40" s="510"/>
      <c r="U40" s="511"/>
      <c r="W40" s="505"/>
      <c r="X40" s="509"/>
      <c r="Y40" s="510"/>
      <c r="Z40" s="525" t="s">
        <v>533</v>
      </c>
      <c r="AA40" s="510"/>
      <c r="AB40" s="510"/>
      <c r="AC40" s="510"/>
      <c r="AD40" s="510"/>
      <c r="AE40" s="510"/>
      <c r="AF40" s="510"/>
      <c r="AG40" s="510"/>
      <c r="AH40" s="510"/>
      <c r="AI40" s="510"/>
      <c r="AJ40" s="510"/>
      <c r="AK40" s="510"/>
      <c r="AL40" s="510"/>
      <c r="AM40" s="510"/>
      <c r="AN40" s="510"/>
      <c r="AO40" s="510"/>
      <c r="AP40" s="511"/>
      <c r="AR40" s="505"/>
      <c r="AS40" s="509"/>
      <c r="AT40" s="510"/>
      <c r="AU40" s="525" t="s">
        <v>532</v>
      </c>
      <c r="AV40" s="510"/>
      <c r="AW40" s="510"/>
      <c r="AX40" s="510"/>
      <c r="AY40" s="510"/>
      <c r="AZ40" s="510"/>
      <c r="BA40" s="510"/>
      <c r="BB40" s="510"/>
      <c r="BC40" s="510"/>
      <c r="BD40" s="510"/>
      <c r="BE40" s="510"/>
      <c r="BF40" s="510"/>
      <c r="BG40" s="510"/>
      <c r="BH40" s="510"/>
      <c r="BI40" s="510"/>
      <c r="BJ40" s="510"/>
      <c r="BK40" s="511"/>
    </row>
    <row r="41" spans="1:63" s="504" customFormat="1" ht="18.75">
      <c r="A41" s="502"/>
      <c r="B41" s="505"/>
      <c r="C41" s="509"/>
      <c r="D41" s="510"/>
      <c r="E41" s="525"/>
      <c r="F41" s="510"/>
      <c r="G41" s="510"/>
      <c r="H41" s="510"/>
      <c r="I41" s="510"/>
      <c r="J41" s="510"/>
      <c r="K41" s="510"/>
      <c r="L41" s="510"/>
      <c r="M41" s="510"/>
      <c r="N41" s="510"/>
      <c r="O41" s="510"/>
      <c r="P41" s="510"/>
      <c r="Q41" s="510"/>
      <c r="R41" s="510"/>
      <c r="S41" s="510"/>
      <c r="T41" s="510"/>
      <c r="U41" s="511"/>
      <c r="W41" s="505"/>
      <c r="X41" s="509"/>
      <c r="Y41" s="510"/>
      <c r="Z41" s="525"/>
      <c r="AA41" s="510"/>
      <c r="AB41" s="510"/>
      <c r="AC41" s="510"/>
      <c r="AD41" s="510"/>
      <c r="AE41" s="510"/>
      <c r="AF41" s="510"/>
      <c r="AG41" s="510"/>
      <c r="AH41" s="510"/>
      <c r="AI41" s="510"/>
      <c r="AJ41" s="510"/>
      <c r="AK41" s="510"/>
      <c r="AL41" s="510"/>
      <c r="AM41" s="510"/>
      <c r="AN41" s="510"/>
      <c r="AO41" s="510"/>
      <c r="AP41" s="511"/>
      <c r="AR41" s="505"/>
      <c r="AS41" s="509"/>
      <c r="AT41" s="510"/>
      <c r="AU41" s="525"/>
      <c r="AV41" s="510"/>
      <c r="AW41" s="510"/>
      <c r="AX41" s="510"/>
      <c r="AY41" s="510"/>
      <c r="AZ41" s="510"/>
      <c r="BA41" s="510"/>
      <c r="BB41" s="510"/>
      <c r="BC41" s="510"/>
      <c r="BD41" s="510"/>
      <c r="BE41" s="510"/>
      <c r="BF41" s="510"/>
      <c r="BG41" s="510"/>
      <c r="BH41" s="510"/>
      <c r="BI41" s="510"/>
      <c r="BJ41" s="510"/>
      <c r="BK41" s="511"/>
    </row>
    <row r="42" spans="1:63" s="504" customFormat="1" ht="18.75">
      <c r="A42" s="502">
        <v>1</v>
      </c>
      <c r="B42" s="526"/>
      <c r="C42" s="527" t="s">
        <v>534</v>
      </c>
      <c r="D42" s="527"/>
      <c r="E42" s="528"/>
      <c r="F42" s="528"/>
      <c r="G42" s="528"/>
      <c r="H42" s="528"/>
      <c r="I42" s="528"/>
      <c r="J42" s="528"/>
      <c r="K42" s="510"/>
      <c r="L42" s="510"/>
      <c r="M42" s="510"/>
      <c r="N42" s="510"/>
      <c r="O42" s="510"/>
      <c r="P42" s="510"/>
      <c r="Q42" s="510"/>
      <c r="R42" s="510"/>
      <c r="S42" s="510"/>
      <c r="T42" s="510"/>
      <c r="U42" s="511"/>
      <c r="W42" s="526"/>
      <c r="X42" s="527" t="s">
        <v>535</v>
      </c>
      <c r="Y42" s="527"/>
      <c r="Z42" s="528"/>
      <c r="AA42" s="528"/>
      <c r="AB42" s="528"/>
      <c r="AC42" s="528"/>
      <c r="AD42" s="528"/>
      <c r="AE42" s="528"/>
      <c r="AF42" s="510"/>
      <c r="AG42" s="510"/>
      <c r="AH42" s="510"/>
      <c r="AI42" s="510"/>
      <c r="AJ42" s="510"/>
      <c r="AK42" s="510"/>
      <c r="AL42" s="510"/>
      <c r="AM42" s="510"/>
      <c r="AN42" s="510"/>
      <c r="AO42" s="510"/>
      <c r="AP42" s="511"/>
      <c r="AR42" s="526"/>
      <c r="AS42" s="527" t="s">
        <v>534</v>
      </c>
      <c r="AT42" s="527"/>
      <c r="AU42" s="528"/>
      <c r="AV42" s="528"/>
      <c r="AW42" s="528"/>
      <c r="AX42" s="528"/>
      <c r="AY42" s="528"/>
      <c r="AZ42" s="528"/>
      <c r="BA42" s="510"/>
      <c r="BB42" s="510"/>
      <c r="BC42" s="510"/>
      <c r="BD42" s="510"/>
      <c r="BE42" s="510"/>
      <c r="BF42" s="510"/>
      <c r="BG42" s="510"/>
      <c r="BH42" s="510"/>
      <c r="BI42" s="510"/>
      <c r="BJ42" s="510"/>
      <c r="BK42" s="511"/>
    </row>
    <row r="43" spans="1:63" s="504" customFormat="1" ht="18.75">
      <c r="A43" s="502"/>
      <c r="B43" s="526"/>
      <c r="C43" s="527"/>
      <c r="D43" s="527" t="s">
        <v>536</v>
      </c>
      <c r="E43" s="528"/>
      <c r="F43" s="528"/>
      <c r="G43" s="528"/>
      <c r="H43" s="528"/>
      <c r="I43" s="528"/>
      <c r="J43" s="528"/>
      <c r="K43" s="510"/>
      <c r="L43" s="510"/>
      <c r="M43" s="510"/>
      <c r="N43" s="510"/>
      <c r="O43" s="510"/>
      <c r="P43" s="510"/>
      <c r="Q43" s="510"/>
      <c r="R43" s="510"/>
      <c r="S43" s="510"/>
      <c r="T43" s="510"/>
      <c r="U43" s="511"/>
      <c r="W43" s="526"/>
      <c r="X43" s="527"/>
      <c r="Y43" s="527" t="s">
        <v>537</v>
      </c>
      <c r="Z43" s="528"/>
      <c r="AA43" s="528"/>
      <c r="AB43" s="528"/>
      <c r="AC43" s="528"/>
      <c r="AD43" s="528"/>
      <c r="AE43" s="528"/>
      <c r="AF43" s="510"/>
      <c r="AG43" s="510"/>
      <c r="AH43" s="510"/>
      <c r="AI43" s="510"/>
      <c r="AJ43" s="510"/>
      <c r="AK43" s="510"/>
      <c r="AL43" s="510"/>
      <c r="AM43" s="510"/>
      <c r="AN43" s="510"/>
      <c r="AO43" s="510"/>
      <c r="AP43" s="511"/>
      <c r="AR43" s="526"/>
      <c r="AS43" s="527"/>
      <c r="AT43" s="527" t="s">
        <v>536</v>
      </c>
      <c r="AU43" s="528"/>
      <c r="AV43" s="528"/>
      <c r="AW43" s="528"/>
      <c r="AX43" s="528"/>
      <c r="AY43" s="528"/>
      <c r="AZ43" s="528"/>
      <c r="BA43" s="510"/>
      <c r="BB43" s="510"/>
      <c r="BC43" s="510"/>
      <c r="BD43" s="510"/>
      <c r="BE43" s="510"/>
      <c r="BF43" s="510"/>
      <c r="BG43" s="510"/>
      <c r="BH43" s="510"/>
      <c r="BI43" s="510"/>
      <c r="BJ43" s="510"/>
      <c r="BK43" s="511"/>
    </row>
    <row r="44" spans="1:63">
      <c r="A44" s="502"/>
      <c r="B44" s="505"/>
      <c r="C44" s="502"/>
      <c r="D44" s="502"/>
      <c r="E44" s="502"/>
      <c r="F44" s="502"/>
      <c r="G44" s="502"/>
      <c r="H44" s="502"/>
      <c r="I44" s="502"/>
      <c r="J44" s="502"/>
      <c r="K44" s="502"/>
      <c r="L44" s="331"/>
      <c r="M44" s="331"/>
      <c r="N44" s="331"/>
      <c r="O44" s="331"/>
      <c r="P44" s="331"/>
      <c r="Q44" s="331"/>
      <c r="R44" s="331"/>
      <c r="S44" s="331"/>
      <c r="T44" s="331"/>
      <c r="U44" s="529"/>
      <c r="W44" s="505"/>
      <c r="X44" s="502"/>
      <c r="Y44" s="502"/>
      <c r="Z44" s="502"/>
      <c r="AA44" s="502"/>
      <c r="AB44" s="502"/>
      <c r="AC44" s="502"/>
      <c r="AD44" s="502"/>
      <c r="AE44" s="502"/>
      <c r="AF44" s="502"/>
      <c r="AG44" s="331"/>
      <c r="AH44" s="331"/>
      <c r="AI44" s="331"/>
      <c r="AJ44" s="331"/>
      <c r="AK44" s="331"/>
      <c r="AL44" s="331"/>
      <c r="AM44" s="331"/>
      <c r="AN44" s="331"/>
      <c r="AO44" s="331"/>
      <c r="AP44" s="529"/>
      <c r="AR44" s="505"/>
      <c r="AS44" s="502"/>
      <c r="AT44" s="502"/>
      <c r="AU44" s="502"/>
      <c r="AV44" s="502"/>
      <c r="AW44" s="502"/>
      <c r="AX44" s="502"/>
      <c r="AY44" s="502"/>
      <c r="AZ44" s="502"/>
      <c r="BA44" s="502"/>
      <c r="BB44" s="331"/>
      <c r="BC44" s="331"/>
      <c r="BD44" s="331"/>
      <c r="BE44" s="331"/>
      <c r="BF44" s="331"/>
      <c r="BG44" s="331"/>
      <c r="BH44" s="331"/>
      <c r="BI44" s="331"/>
      <c r="BJ44" s="331"/>
      <c r="BK44" s="529"/>
    </row>
    <row r="45" spans="1:63">
      <c r="B45" s="936" t="s">
        <v>252</v>
      </c>
      <c r="C45" s="455" t="s">
        <v>538</v>
      </c>
      <c r="F45" s="455"/>
      <c r="G45" s="455"/>
      <c r="H45" s="455"/>
      <c r="I45" s="502"/>
      <c r="J45" s="502"/>
      <c r="K45" s="502"/>
      <c r="L45" s="331"/>
      <c r="M45" s="331"/>
      <c r="N45" s="331"/>
      <c r="O45" s="331"/>
      <c r="P45" s="331"/>
      <c r="Q45" s="331"/>
      <c r="R45" s="331"/>
      <c r="S45" s="331"/>
      <c r="T45" s="331"/>
      <c r="U45" s="529"/>
      <c r="W45" s="936" t="s">
        <v>252</v>
      </c>
      <c r="X45" s="455" t="s">
        <v>539</v>
      </c>
      <c r="AA45" s="455"/>
      <c r="AB45" s="455"/>
      <c r="AC45" s="455"/>
      <c r="AD45" s="502"/>
      <c r="AE45" s="502"/>
      <c r="AF45" s="502"/>
      <c r="AG45" s="331"/>
      <c r="AH45" s="331"/>
      <c r="AI45" s="331"/>
      <c r="AJ45" s="331"/>
      <c r="AK45" s="331"/>
      <c r="AL45" s="331"/>
      <c r="AM45" s="331"/>
      <c r="AN45" s="331"/>
      <c r="AO45" s="331"/>
      <c r="AP45" s="529"/>
      <c r="AR45" s="936" t="s">
        <v>252</v>
      </c>
      <c r="AS45" s="455" t="s">
        <v>538</v>
      </c>
      <c r="AV45" s="455"/>
      <c r="AW45" s="455"/>
      <c r="AX45" s="455"/>
      <c r="AY45" s="502"/>
      <c r="AZ45" s="502"/>
      <c r="BA45" s="502"/>
      <c r="BB45" s="331"/>
      <c r="BC45" s="331"/>
      <c r="BD45" s="331"/>
      <c r="BE45" s="331"/>
      <c r="BF45" s="331"/>
      <c r="BG45" s="331"/>
      <c r="BH45" s="331"/>
      <c r="BI45" s="331"/>
      <c r="BJ45" s="331"/>
      <c r="BK45" s="529"/>
    </row>
    <row r="46" spans="1:63" ht="16.5" thickBot="1">
      <c r="B46" s="505">
        <v>1</v>
      </c>
      <c r="C46" s="502">
        <v>1</v>
      </c>
      <c r="D46" s="502">
        <v>1</v>
      </c>
      <c r="E46" s="502">
        <v>1</v>
      </c>
      <c r="F46" s="502">
        <v>1</v>
      </c>
      <c r="G46" s="502">
        <v>1</v>
      </c>
      <c r="H46" s="502">
        <v>1</v>
      </c>
      <c r="I46" s="331"/>
      <c r="J46" s="331"/>
      <c r="K46" s="331"/>
      <c r="L46" s="331"/>
      <c r="M46" s="331"/>
      <c r="N46" s="331"/>
      <c r="O46" s="331"/>
      <c r="P46" s="331"/>
      <c r="Q46" s="331"/>
      <c r="R46" s="331"/>
      <c r="S46" s="331"/>
      <c r="T46" s="331"/>
      <c r="U46" s="529"/>
      <c r="W46" s="505">
        <v>1</v>
      </c>
      <c r="X46" s="502">
        <v>1</v>
      </c>
      <c r="Y46" s="502">
        <v>1</v>
      </c>
      <c r="Z46" s="502">
        <v>1</v>
      </c>
      <c r="AA46" s="502">
        <v>1</v>
      </c>
      <c r="AB46" s="502">
        <v>1</v>
      </c>
      <c r="AC46" s="502">
        <v>1</v>
      </c>
      <c r="AD46" s="331"/>
      <c r="AE46" s="331"/>
      <c r="AF46" s="331"/>
      <c r="AG46" s="331"/>
      <c r="AH46" s="331"/>
      <c r="AI46" s="331"/>
      <c r="AJ46" s="331"/>
      <c r="AK46" s="331"/>
      <c r="AL46" s="331"/>
      <c r="AM46" s="331"/>
      <c r="AN46" s="331"/>
      <c r="AO46" s="331"/>
      <c r="AP46" s="529"/>
      <c r="AR46" s="505">
        <v>1</v>
      </c>
      <c r="AS46" s="502">
        <v>1</v>
      </c>
      <c r="AT46" s="502">
        <v>1</v>
      </c>
      <c r="AU46" s="502">
        <v>1</v>
      </c>
      <c r="AV46" s="502">
        <v>1</v>
      </c>
      <c r="AW46" s="502">
        <v>1</v>
      </c>
      <c r="AX46" s="502">
        <v>1</v>
      </c>
      <c r="AY46" s="331"/>
      <c r="AZ46" s="331"/>
      <c r="BA46" s="331"/>
      <c r="BB46" s="331"/>
      <c r="BC46" s="331"/>
      <c r="BD46" s="331"/>
      <c r="BE46" s="331"/>
      <c r="BF46" s="331"/>
      <c r="BG46" s="331"/>
      <c r="BH46" s="331"/>
      <c r="BI46" s="331"/>
      <c r="BJ46" s="331"/>
      <c r="BK46" s="529"/>
    </row>
    <row r="47" spans="1:63" ht="18.75" customHeight="1">
      <c r="B47" s="7498" t="s">
        <v>252</v>
      </c>
      <c r="C47" s="7541" t="s">
        <v>540</v>
      </c>
      <c r="D47" s="7541"/>
      <c r="E47" s="7541"/>
      <c r="F47" s="7541"/>
      <c r="G47" s="7541"/>
      <c r="H47" s="7542"/>
      <c r="I47" s="331"/>
      <c r="J47" s="331"/>
      <c r="K47" s="331"/>
      <c r="L47" s="331"/>
      <c r="M47" s="331"/>
      <c r="N47" s="331"/>
      <c r="O47" s="331"/>
      <c r="P47" s="331"/>
      <c r="Q47" s="331"/>
      <c r="R47" s="331"/>
      <c r="S47" s="331"/>
      <c r="T47" s="331"/>
      <c r="U47" s="529"/>
      <c r="W47" s="7498" t="s">
        <v>252</v>
      </c>
      <c r="X47" s="7541" t="s">
        <v>541</v>
      </c>
      <c r="Y47" s="7541"/>
      <c r="Z47" s="7541"/>
      <c r="AA47" s="7541"/>
      <c r="AB47" s="7541"/>
      <c r="AC47" s="7542"/>
      <c r="AD47" s="331"/>
      <c r="AE47" s="331"/>
      <c r="AF47" s="331"/>
      <c r="AG47" s="331"/>
      <c r="AH47" s="331"/>
      <c r="AI47" s="331"/>
      <c r="AJ47" s="331"/>
      <c r="AK47" s="331"/>
      <c r="AL47" s="331"/>
      <c r="AM47" s="331"/>
      <c r="AN47" s="331"/>
      <c r="AO47" s="331"/>
      <c r="AP47" s="529"/>
      <c r="AR47" s="7498" t="s">
        <v>252</v>
      </c>
      <c r="AS47" s="7541" t="s">
        <v>540</v>
      </c>
      <c r="AT47" s="7541"/>
      <c r="AU47" s="7541"/>
      <c r="AV47" s="7541"/>
      <c r="AW47" s="7541"/>
      <c r="AX47" s="7542"/>
      <c r="AY47" s="331"/>
      <c r="AZ47" s="331"/>
      <c r="BA47" s="331"/>
      <c r="BB47" s="331"/>
      <c r="BC47" s="331"/>
      <c r="BD47" s="331"/>
      <c r="BE47" s="331"/>
      <c r="BF47" s="331"/>
      <c r="BG47" s="331"/>
      <c r="BH47" s="331"/>
      <c r="BI47" s="331"/>
      <c r="BJ47" s="331"/>
      <c r="BK47" s="529"/>
    </row>
    <row r="48" spans="1:63">
      <c r="B48" s="7499"/>
      <c r="C48" s="7543"/>
      <c r="D48" s="7543"/>
      <c r="E48" s="7543"/>
      <c r="F48" s="7543"/>
      <c r="G48" s="7543"/>
      <c r="H48" s="7544"/>
      <c r="I48" s="331"/>
      <c r="J48" s="331"/>
      <c r="K48" s="331"/>
      <c r="L48" s="331"/>
      <c r="M48" s="331"/>
      <c r="N48" s="532" t="s">
        <v>542</v>
      </c>
      <c r="O48" s="533"/>
      <c r="P48" s="533"/>
      <c r="Q48" s="533"/>
      <c r="R48" s="502"/>
      <c r="S48" s="502"/>
      <c r="T48" s="331"/>
      <c r="U48" s="529"/>
      <c r="W48" s="7499"/>
      <c r="X48" s="7543"/>
      <c r="Y48" s="7543"/>
      <c r="Z48" s="7543"/>
      <c r="AA48" s="7543"/>
      <c r="AB48" s="7543"/>
      <c r="AC48" s="7544"/>
      <c r="AD48" s="331"/>
      <c r="AE48" s="331"/>
      <c r="AF48" s="331"/>
      <c r="AG48" s="331"/>
      <c r="AH48" s="331"/>
      <c r="AI48" s="532" t="s">
        <v>542</v>
      </c>
      <c r="AJ48" s="533"/>
      <c r="AK48" s="533"/>
      <c r="AL48" s="533"/>
      <c r="AM48" s="502"/>
      <c r="AN48" s="502"/>
      <c r="AO48" s="331"/>
      <c r="AP48" s="529"/>
      <c r="AR48" s="7499"/>
      <c r="AS48" s="7543"/>
      <c r="AT48" s="7543"/>
      <c r="AU48" s="7543"/>
      <c r="AV48" s="7543"/>
      <c r="AW48" s="7543"/>
      <c r="AX48" s="7544"/>
      <c r="AY48" s="331"/>
      <c r="AZ48" s="331"/>
      <c r="BA48" s="331"/>
      <c r="BB48" s="331"/>
      <c r="BC48" s="331"/>
      <c r="BD48" s="532" t="s">
        <v>542</v>
      </c>
      <c r="BE48" s="533"/>
      <c r="BF48" s="533"/>
      <c r="BG48" s="533"/>
      <c r="BH48" s="502"/>
      <c r="BI48" s="502"/>
      <c r="BJ48" s="331"/>
      <c r="BK48" s="529"/>
    </row>
    <row r="49" spans="2:63">
      <c r="B49" s="7545" t="str">
        <f>C47</f>
        <v>Quelques liens hypertexte internes exemple de formules</v>
      </c>
      <c r="C49" s="534" t="str">
        <f>ADDRESS(ROW(),COLUMN(),4)</f>
        <v>C49</v>
      </c>
      <c r="D49" s="535" t="str">
        <f>_xlfn.UNICHAR(128269)</f>
        <v>🔍</v>
      </c>
      <c r="E49" s="536" t="str">
        <f ca="1">_xlfn.FORMULATEXT(D49)</f>
        <v>=UNICAR(128269)</v>
      </c>
      <c r="F49" s="536"/>
      <c r="G49" s="536"/>
      <c r="H49" s="537"/>
      <c r="I49" s="331"/>
      <c r="J49" s="331"/>
      <c r="K49" s="331"/>
      <c r="L49" s="331"/>
      <c r="M49" s="331"/>
      <c r="N49" s="532" t="s">
        <v>543</v>
      </c>
      <c r="O49" s="533"/>
      <c r="P49" s="533"/>
      <c r="Q49" s="533"/>
      <c r="R49" s="502"/>
      <c r="S49" s="502"/>
      <c r="T49" s="331"/>
      <c r="U49" s="529"/>
      <c r="W49" s="7545" t="str">
        <f>X47</f>
        <v>Some internal hyperlinks - sample formulas</v>
      </c>
      <c r="X49" s="534" t="str">
        <f>ADDRESS(ROW(),COLUMN(),4)</f>
        <v>X49</v>
      </c>
      <c r="Y49" s="535" t="str">
        <f>_xlfn.UNICHAR(128269)</f>
        <v>🔍</v>
      </c>
      <c r="Z49" s="536" t="str">
        <f ca="1">_xlfn.FORMULATEXT(Y49)</f>
        <v>=UNICAR(128269)</v>
      </c>
      <c r="AA49" s="536"/>
      <c r="AB49" s="536"/>
      <c r="AC49" s="537"/>
      <c r="AD49" s="331"/>
      <c r="AE49" s="331"/>
      <c r="AF49" s="331"/>
      <c r="AG49" s="331"/>
      <c r="AH49" s="331"/>
      <c r="AI49" s="532" t="s">
        <v>543</v>
      </c>
      <c r="AJ49" s="533"/>
      <c r="AK49" s="533"/>
      <c r="AL49" s="533"/>
      <c r="AM49" s="502"/>
      <c r="AN49" s="502"/>
      <c r="AO49" s="331"/>
      <c r="AP49" s="529"/>
      <c r="AR49" s="7545" t="str">
        <f>AS47</f>
        <v>Quelques liens hypertexte internes exemple de formules</v>
      </c>
      <c r="AS49" s="534" t="str">
        <f>ADDRESS(ROW(),COLUMN(),4)</f>
        <v>AS49</v>
      </c>
      <c r="AT49" s="535" t="str">
        <f>_xlfn.UNICHAR(128269)</f>
        <v>🔍</v>
      </c>
      <c r="AU49" s="536" t="str">
        <f ca="1">_xlfn.FORMULATEXT(AT49)</f>
        <v>=UNICAR(128269)</v>
      </c>
      <c r="AV49" s="536"/>
      <c r="AW49" s="536"/>
      <c r="AX49" s="537"/>
      <c r="AY49" s="331"/>
      <c r="AZ49" s="331"/>
      <c r="BA49" s="331"/>
      <c r="BB49" s="331"/>
      <c r="BC49" s="331"/>
      <c r="BD49" s="532" t="s">
        <v>543</v>
      </c>
      <c r="BE49" s="533"/>
      <c r="BF49" s="533"/>
      <c r="BG49" s="533"/>
      <c r="BH49" s="502"/>
      <c r="BI49" s="502"/>
      <c r="BJ49" s="331"/>
      <c r="BK49" s="529"/>
    </row>
    <row r="50" spans="2:63">
      <c r="B50" s="7545"/>
      <c r="C50" s="538" t="s">
        <v>544</v>
      </c>
      <c r="D50" s="539"/>
      <c r="E50" s="538"/>
      <c r="F50" s="538"/>
      <c r="G50" s="538"/>
      <c r="H50" s="540"/>
      <c r="I50" s="331"/>
      <c r="J50" s="331"/>
      <c r="K50" s="331"/>
      <c r="L50" s="331"/>
      <c r="M50" s="331"/>
      <c r="N50" s="541" t="s">
        <v>545</v>
      </c>
      <c r="O50" s="502"/>
      <c r="P50" s="502"/>
      <c r="Q50" s="502"/>
      <c r="R50" s="502"/>
      <c r="S50" s="502"/>
      <c r="T50" s="331"/>
      <c r="U50" s="529"/>
      <c r="W50" s="7545"/>
      <c r="X50" s="538" t="s">
        <v>546</v>
      </c>
      <c r="Y50" s="539"/>
      <c r="Z50" s="538"/>
      <c r="AA50" s="538"/>
      <c r="AB50" s="538"/>
      <c r="AC50" s="540"/>
      <c r="AD50" s="331"/>
      <c r="AE50" s="331"/>
      <c r="AF50" s="331"/>
      <c r="AG50" s="331"/>
      <c r="AH50" s="331"/>
      <c r="AI50" s="541" t="s">
        <v>545</v>
      </c>
      <c r="AJ50" s="502"/>
      <c r="AK50" s="502"/>
      <c r="AL50" s="502"/>
      <c r="AM50" s="502"/>
      <c r="AN50" s="502"/>
      <c r="AO50" s="331"/>
      <c r="AP50" s="529"/>
      <c r="AR50" s="7545"/>
      <c r="AS50" s="538" t="s">
        <v>544</v>
      </c>
      <c r="AT50" s="539"/>
      <c r="AU50" s="538"/>
      <c r="AV50" s="538"/>
      <c r="AW50" s="538"/>
      <c r="AX50" s="540"/>
      <c r="AY50" s="331"/>
      <c r="AZ50" s="331"/>
      <c r="BA50" s="331"/>
      <c r="BB50" s="331"/>
      <c r="BC50" s="331"/>
      <c r="BD50" s="541" t="s">
        <v>545</v>
      </c>
      <c r="BE50" s="502"/>
      <c r="BF50" s="502"/>
      <c r="BG50" s="502"/>
      <c r="BH50" s="502"/>
      <c r="BI50" s="502"/>
      <c r="BJ50" s="331"/>
      <c r="BK50" s="529"/>
    </row>
    <row r="51" spans="2:63">
      <c r="B51" s="7545"/>
      <c r="C51" s="536" t="s">
        <v>547</v>
      </c>
      <c r="D51" s="535"/>
      <c r="E51" s="536"/>
      <c r="F51" s="536"/>
      <c r="G51" s="536"/>
      <c r="H51" s="537"/>
      <c r="I51" s="331"/>
      <c r="J51" s="331"/>
      <c r="K51" s="331"/>
      <c r="L51" s="331"/>
      <c r="M51" s="331"/>
      <c r="N51" s="542" t="s">
        <v>548</v>
      </c>
      <c r="O51" s="502"/>
      <c r="P51" s="502"/>
      <c r="Q51" s="502"/>
      <c r="R51" s="502"/>
      <c r="S51" s="502"/>
      <c r="T51" s="331"/>
      <c r="U51" s="529"/>
      <c r="W51" s="7545"/>
      <c r="X51" s="536" t="s">
        <v>549</v>
      </c>
      <c r="Y51" s="535"/>
      <c r="Z51" s="536"/>
      <c r="AA51" s="536"/>
      <c r="AB51" s="536"/>
      <c r="AC51" s="537"/>
      <c r="AD51" s="331"/>
      <c r="AE51" s="331"/>
      <c r="AF51" s="331"/>
      <c r="AG51" s="331"/>
      <c r="AH51" s="331"/>
      <c r="AI51" s="542" t="s">
        <v>548</v>
      </c>
      <c r="AJ51" s="502"/>
      <c r="AK51" s="502"/>
      <c r="AL51" s="502"/>
      <c r="AM51" s="502"/>
      <c r="AN51" s="502"/>
      <c r="AO51" s="331"/>
      <c r="AP51" s="529"/>
      <c r="AR51" s="7545"/>
      <c r="AS51" s="536" t="s">
        <v>547</v>
      </c>
      <c r="AT51" s="535"/>
      <c r="AU51" s="536"/>
      <c r="AV51" s="536"/>
      <c r="AW51" s="536"/>
      <c r="AX51" s="537"/>
      <c r="AY51" s="331"/>
      <c r="AZ51" s="331"/>
      <c r="BA51" s="331"/>
      <c r="BB51" s="331"/>
      <c r="BC51" s="331"/>
      <c r="BD51" s="542" t="s">
        <v>548</v>
      </c>
      <c r="BE51" s="502"/>
      <c r="BF51" s="502"/>
      <c r="BG51" s="502"/>
      <c r="BH51" s="502"/>
      <c r="BI51" s="502"/>
      <c r="BJ51" s="331"/>
      <c r="BK51" s="529"/>
    </row>
    <row r="52" spans="2:63">
      <c r="B52" s="7545"/>
      <c r="C52" s="543" t="s">
        <v>550</v>
      </c>
      <c r="D52" s="535"/>
      <c r="E52" s="536"/>
      <c r="F52" s="536"/>
      <c r="G52" s="536"/>
      <c r="H52" s="537"/>
      <c r="I52" s="331"/>
      <c r="J52" s="331"/>
      <c r="K52" s="331"/>
      <c r="L52" s="331"/>
      <c r="M52" s="331"/>
      <c r="N52" s="541" t="s">
        <v>551</v>
      </c>
      <c r="O52" s="502"/>
      <c r="P52" s="502"/>
      <c r="Q52" s="502"/>
      <c r="R52" s="502"/>
      <c r="S52" s="502"/>
      <c r="T52" s="331"/>
      <c r="U52" s="529"/>
      <c r="W52" s="7545"/>
      <c r="X52" s="543" t="s">
        <v>552</v>
      </c>
      <c r="Y52" s="535"/>
      <c r="Z52" s="536"/>
      <c r="AA52" s="536"/>
      <c r="AB52" s="536"/>
      <c r="AC52" s="537"/>
      <c r="AD52" s="331"/>
      <c r="AE52" s="331"/>
      <c r="AF52" s="331"/>
      <c r="AG52" s="331"/>
      <c r="AH52" s="331"/>
      <c r="AI52" s="541" t="s">
        <v>551</v>
      </c>
      <c r="AJ52" s="502"/>
      <c r="AK52" s="502"/>
      <c r="AL52" s="502"/>
      <c r="AM52" s="502"/>
      <c r="AN52" s="502"/>
      <c r="AO52" s="331"/>
      <c r="AP52" s="529"/>
      <c r="AR52" s="7545"/>
      <c r="AS52" s="543" t="s">
        <v>550</v>
      </c>
      <c r="AT52" s="535"/>
      <c r="AU52" s="536"/>
      <c r="AV52" s="536"/>
      <c r="AW52" s="536"/>
      <c r="AX52" s="537"/>
      <c r="AY52" s="331"/>
      <c r="AZ52" s="331"/>
      <c r="BA52" s="331"/>
      <c r="BB52" s="331"/>
      <c r="BC52" s="331"/>
      <c r="BD52" s="541" t="s">
        <v>551</v>
      </c>
      <c r="BE52" s="502"/>
      <c r="BF52" s="502"/>
      <c r="BG52" s="502"/>
      <c r="BH52" s="502"/>
      <c r="BI52" s="502"/>
      <c r="BJ52" s="331"/>
      <c r="BK52" s="529"/>
    </row>
    <row r="53" spans="2:63">
      <c r="B53" s="7545"/>
      <c r="C53" s="543"/>
      <c r="D53" s="535"/>
      <c r="E53" s="536"/>
      <c r="F53" s="536"/>
      <c r="G53" s="536"/>
      <c r="H53" s="537"/>
      <c r="I53" s="331"/>
      <c r="J53" s="331"/>
      <c r="K53" s="331"/>
      <c r="L53" s="331"/>
      <c r="M53" s="331"/>
      <c r="N53" s="541" t="s">
        <v>553</v>
      </c>
      <c r="O53" s="502"/>
      <c r="P53" s="502"/>
      <c r="Q53" s="502"/>
      <c r="R53" s="502"/>
      <c r="S53" s="502"/>
      <c r="T53" s="331"/>
      <c r="U53" s="529"/>
      <c r="W53" s="7545"/>
      <c r="X53" s="543"/>
      <c r="Y53" s="535"/>
      <c r="Z53" s="536"/>
      <c r="AA53" s="536"/>
      <c r="AB53" s="536"/>
      <c r="AC53" s="537"/>
      <c r="AD53" s="331"/>
      <c r="AE53" s="331"/>
      <c r="AF53" s="331"/>
      <c r="AG53" s="331"/>
      <c r="AH53" s="331"/>
      <c r="AI53" s="541" t="s">
        <v>553</v>
      </c>
      <c r="AJ53" s="502"/>
      <c r="AK53" s="502"/>
      <c r="AL53" s="502"/>
      <c r="AM53" s="502"/>
      <c r="AN53" s="502"/>
      <c r="AO53" s="331"/>
      <c r="AP53" s="529"/>
      <c r="AR53" s="7545"/>
      <c r="AS53" s="543"/>
      <c r="AT53" s="535"/>
      <c r="AU53" s="536"/>
      <c r="AV53" s="536"/>
      <c r="AW53" s="536"/>
      <c r="AX53" s="537"/>
      <c r="AY53" s="331"/>
      <c r="AZ53" s="331"/>
      <c r="BA53" s="331"/>
      <c r="BB53" s="331"/>
      <c r="BC53" s="331"/>
      <c r="BD53" s="541" t="s">
        <v>553</v>
      </c>
      <c r="BE53" s="502"/>
      <c r="BF53" s="502"/>
      <c r="BG53" s="502"/>
      <c r="BH53" s="502"/>
      <c r="BI53" s="502"/>
      <c r="BJ53" s="331"/>
      <c r="BK53" s="529"/>
    </row>
    <row r="54" spans="2:63">
      <c r="B54" s="7545"/>
      <c r="C54" s="7547" t="s">
        <v>554</v>
      </c>
      <c r="D54" s="7547"/>
      <c r="E54" s="7547"/>
      <c r="F54" s="7547"/>
      <c r="G54" s="7547"/>
      <c r="H54" s="7548"/>
      <c r="I54" s="331"/>
      <c r="J54" s="331"/>
      <c r="K54" s="331"/>
      <c r="L54" s="331"/>
      <c r="M54" s="331"/>
      <c r="N54" s="502">
        <v>1</v>
      </c>
      <c r="O54" s="502">
        <v>1</v>
      </c>
      <c r="P54" s="502">
        <v>1</v>
      </c>
      <c r="Q54" s="502">
        <v>1</v>
      </c>
      <c r="R54" s="502">
        <v>1</v>
      </c>
      <c r="S54" s="502">
        <v>1</v>
      </c>
      <c r="T54" s="331"/>
      <c r="U54" s="529"/>
      <c r="W54" s="7545"/>
      <c r="X54" s="7547" t="s">
        <v>555</v>
      </c>
      <c r="Y54" s="7547"/>
      <c r="Z54" s="7547"/>
      <c r="AA54" s="7547"/>
      <c r="AB54" s="7547"/>
      <c r="AC54" s="7548"/>
      <c r="AD54" s="331"/>
      <c r="AE54" s="331"/>
      <c r="AF54" s="331"/>
      <c r="AG54" s="331"/>
      <c r="AH54" s="331"/>
      <c r="AI54" s="502">
        <v>1</v>
      </c>
      <c r="AJ54" s="502">
        <v>1</v>
      </c>
      <c r="AK54" s="502">
        <v>1</v>
      </c>
      <c r="AL54" s="502">
        <v>1</v>
      </c>
      <c r="AM54" s="502">
        <v>1</v>
      </c>
      <c r="AN54" s="502">
        <v>1</v>
      </c>
      <c r="AO54" s="331"/>
      <c r="AP54" s="529"/>
      <c r="AR54" s="7545"/>
      <c r="AS54" s="7547" t="s">
        <v>554</v>
      </c>
      <c r="AT54" s="7547"/>
      <c r="AU54" s="7547"/>
      <c r="AV54" s="7547"/>
      <c r="AW54" s="7547"/>
      <c r="AX54" s="7548"/>
      <c r="AY54" s="331"/>
      <c r="AZ54" s="331"/>
      <c r="BA54" s="331"/>
      <c r="BB54" s="331"/>
      <c r="BC54" s="331"/>
      <c r="BD54" s="502">
        <v>1</v>
      </c>
      <c r="BE54" s="502">
        <v>1</v>
      </c>
      <c r="BF54" s="502">
        <v>1</v>
      </c>
      <c r="BG54" s="502">
        <v>1</v>
      </c>
      <c r="BH54" s="502">
        <v>1</v>
      </c>
      <c r="BI54" s="502">
        <v>1</v>
      </c>
      <c r="BJ54" s="331"/>
      <c r="BK54" s="529"/>
    </row>
    <row r="55" spans="2:63">
      <c r="B55" s="7545"/>
      <c r="C55" s="7547"/>
      <c r="D55" s="7547"/>
      <c r="E55" s="7547"/>
      <c r="F55" s="7547"/>
      <c r="G55" s="7547"/>
      <c r="H55" s="7548"/>
      <c r="I55" s="331"/>
      <c r="J55" s="331"/>
      <c r="K55" s="331"/>
      <c r="L55" s="331"/>
      <c r="M55" s="331"/>
      <c r="N55" s="544" t="s">
        <v>556</v>
      </c>
      <c r="O55" s="545"/>
      <c r="P55" s="546" t="s">
        <v>557</v>
      </c>
      <c r="Q55" s="545"/>
      <c r="R55" s="502"/>
      <c r="S55" s="502"/>
      <c r="T55" s="331"/>
      <c r="U55" s="529"/>
      <c r="W55" s="7545"/>
      <c r="X55" s="7547"/>
      <c r="Y55" s="7547"/>
      <c r="Z55" s="7547"/>
      <c r="AA55" s="7547"/>
      <c r="AB55" s="7547"/>
      <c r="AC55" s="7548"/>
      <c r="AD55" s="331"/>
      <c r="AE55" s="331"/>
      <c r="AF55" s="331"/>
      <c r="AG55" s="331"/>
      <c r="AH55" s="331"/>
      <c r="AI55" s="544" t="s">
        <v>556</v>
      </c>
      <c r="AJ55" s="545"/>
      <c r="AK55" s="546" t="s">
        <v>557</v>
      </c>
      <c r="AL55" s="545"/>
      <c r="AM55" s="502"/>
      <c r="AN55" s="502"/>
      <c r="AO55" s="331"/>
      <c r="AP55" s="529"/>
      <c r="AR55" s="7545"/>
      <c r="AS55" s="7547"/>
      <c r="AT55" s="7547"/>
      <c r="AU55" s="7547"/>
      <c r="AV55" s="7547"/>
      <c r="AW55" s="7547"/>
      <c r="AX55" s="7548"/>
      <c r="AY55" s="331"/>
      <c r="AZ55" s="331"/>
      <c r="BA55" s="331"/>
      <c r="BB55" s="331"/>
      <c r="BC55" s="331"/>
      <c r="BD55" s="544" t="s">
        <v>556</v>
      </c>
      <c r="BE55" s="545"/>
      <c r="BF55" s="546" t="s">
        <v>557</v>
      </c>
      <c r="BG55" s="545"/>
      <c r="BH55" s="502"/>
      <c r="BI55" s="502"/>
      <c r="BJ55" s="331"/>
      <c r="BK55" s="529"/>
    </row>
    <row r="56" spans="2:63">
      <c r="B56" s="7545"/>
      <c r="C56" s="547" t="s">
        <v>558</v>
      </c>
      <c r="D56" s="536"/>
      <c r="E56" s="536" t="s">
        <v>559</v>
      </c>
      <c r="F56" s="536"/>
      <c r="G56" s="536"/>
      <c r="H56" s="537"/>
      <c r="I56" s="331"/>
      <c r="J56" s="331"/>
      <c r="K56" s="331"/>
      <c r="L56" s="331"/>
      <c r="M56" s="331"/>
      <c r="N56" s="548" t="s">
        <v>560</v>
      </c>
      <c r="O56" s="548" t="s">
        <v>561</v>
      </c>
      <c r="P56" s="548" t="s">
        <v>562</v>
      </c>
      <c r="Q56" s="545" t="s">
        <v>563</v>
      </c>
      <c r="R56" s="502"/>
      <c r="S56" s="502"/>
      <c r="T56" s="331"/>
      <c r="U56" s="529"/>
      <c r="W56" s="7545"/>
      <c r="X56" s="547" t="s">
        <v>564</v>
      </c>
      <c r="Y56" s="536"/>
      <c r="Z56" s="536" t="s">
        <v>565</v>
      </c>
      <c r="AA56" s="536"/>
      <c r="AB56" s="536"/>
      <c r="AC56" s="537"/>
      <c r="AD56" s="331"/>
      <c r="AE56" s="331"/>
      <c r="AF56" s="331"/>
      <c r="AG56" s="331"/>
      <c r="AH56" s="331"/>
      <c r="AI56" s="548" t="s">
        <v>560</v>
      </c>
      <c r="AJ56" s="548" t="s">
        <v>561</v>
      </c>
      <c r="AK56" s="548" t="s">
        <v>562</v>
      </c>
      <c r="AL56" s="545" t="s">
        <v>563</v>
      </c>
      <c r="AM56" s="502"/>
      <c r="AN56" s="502"/>
      <c r="AO56" s="331"/>
      <c r="AP56" s="529"/>
      <c r="AR56" s="7545"/>
      <c r="AS56" s="547" t="s">
        <v>558</v>
      </c>
      <c r="AT56" s="536"/>
      <c r="AU56" s="536" t="s">
        <v>559</v>
      </c>
      <c r="AV56" s="536"/>
      <c r="AW56" s="536"/>
      <c r="AX56" s="537"/>
      <c r="AY56" s="331"/>
      <c r="AZ56" s="331"/>
      <c r="BA56" s="331"/>
      <c r="BB56" s="331"/>
      <c r="BC56" s="331"/>
      <c r="BD56" s="548" t="s">
        <v>560</v>
      </c>
      <c r="BE56" s="548" t="s">
        <v>561</v>
      </c>
      <c r="BF56" s="548" t="s">
        <v>562</v>
      </c>
      <c r="BG56" s="545" t="s">
        <v>563</v>
      </c>
      <c r="BH56" s="502"/>
      <c r="BI56" s="502"/>
      <c r="BJ56" s="331"/>
      <c r="BK56" s="529"/>
    </row>
    <row r="57" spans="2:63">
      <c r="B57" s="7545"/>
      <c r="C57" s="549" t="str">
        <f>HYPERLINK("#"&amp;ADDRESS(ROW(C49),COLUMN(C49),4))</f>
        <v>#C49</v>
      </c>
      <c r="D57" s="550" t="str">
        <f ca="1">_xlfn.FORMULATEXT(C57)</f>
        <v>=LIEN_HYPERTEXTE("#"&amp;ADRESSE(LIGNE(C49);COLONNE(C49);4))</v>
      </c>
      <c r="E57" s="550"/>
      <c r="F57" s="550"/>
      <c r="G57" s="550"/>
      <c r="H57" s="551"/>
      <c r="I57" s="331"/>
      <c r="J57" s="331"/>
      <c r="K57" s="331"/>
      <c r="L57" s="331"/>
      <c r="M57" s="331"/>
      <c r="N57" s="545" t="s">
        <v>566</v>
      </c>
      <c r="O57" s="545" t="s">
        <v>567</v>
      </c>
      <c r="P57" s="552" t="str">
        <f>N57 &amp; " " &amp; O57</f>
        <v>Robert Spière</v>
      </c>
      <c r="Q57" s="553" t="str">
        <f ca="1">_xlfn.FORMULATEXT(P57)</f>
        <v>=N57 &amp; " " &amp; O57</v>
      </c>
      <c r="R57" s="502"/>
      <c r="S57" s="502"/>
      <c r="T57" s="331"/>
      <c r="U57" s="529"/>
      <c r="W57" s="7545"/>
      <c r="X57" s="549" t="str">
        <f>HYPERLINK("#"&amp;ADDRESS(ROW(X49),COLUMN(X49),4))</f>
        <v>#X49</v>
      </c>
      <c r="Y57" s="550" t="str">
        <f ca="1">_xlfn.FORMULATEXT(X57)</f>
        <v>=LIEN_HYPERTEXTE("#"&amp;ADRESSE(LIGNE(X49);COLONNE(X49);4))</v>
      </c>
      <c r="Z57" s="550"/>
      <c r="AA57" s="550"/>
      <c r="AB57" s="550"/>
      <c r="AC57" s="551"/>
      <c r="AD57" s="331"/>
      <c r="AE57" s="331"/>
      <c r="AF57" s="331"/>
      <c r="AG57" s="331"/>
      <c r="AH57" s="331"/>
      <c r="AI57" s="545" t="s">
        <v>566</v>
      </c>
      <c r="AJ57" s="545" t="s">
        <v>567</v>
      </c>
      <c r="AK57" s="552" t="str">
        <f>AI57 &amp; " " &amp; AJ57</f>
        <v>Robert Spière</v>
      </c>
      <c r="AL57" s="553" t="str">
        <f ca="1">_xlfn.FORMULATEXT(AK57)</f>
        <v>=AI57 &amp; " " &amp; AJ57</v>
      </c>
      <c r="AM57" s="502"/>
      <c r="AN57" s="502"/>
      <c r="AO57" s="331"/>
      <c r="AP57" s="529"/>
      <c r="AR57" s="7545"/>
      <c r="AS57" s="549" t="str">
        <f>HYPERLINK("#"&amp;ADDRESS(ROW(AS49),COLUMN(AS49),4))</f>
        <v>#AS49</v>
      </c>
      <c r="AT57" s="550" t="str">
        <f ca="1">_xlfn.FORMULATEXT(AS57)</f>
        <v>=LIEN_HYPERTEXTE("#"&amp;ADRESSE(LIGNE(AS49);COLONNE(AS49);4))</v>
      </c>
      <c r="AU57" s="550"/>
      <c r="AV57" s="550"/>
      <c r="AW57" s="550"/>
      <c r="AX57" s="551"/>
      <c r="AY57" s="331"/>
      <c r="AZ57" s="331"/>
      <c r="BA57" s="331"/>
      <c r="BB57" s="331"/>
      <c r="BC57" s="331"/>
      <c r="BD57" s="545" t="s">
        <v>566</v>
      </c>
      <c r="BE57" s="545" t="s">
        <v>567</v>
      </c>
      <c r="BF57" s="552" t="str">
        <f>BD57 &amp; " " &amp; BE57</f>
        <v>Robert Spière</v>
      </c>
      <c r="BG57" s="553" t="str">
        <f ca="1">_xlfn.FORMULATEXT(BF57)</f>
        <v>=BD57 &amp; " " &amp; BE57</v>
      </c>
      <c r="BH57" s="502"/>
      <c r="BI57" s="502"/>
      <c r="BJ57" s="331"/>
      <c r="BK57" s="529"/>
    </row>
    <row r="58" spans="2:63">
      <c r="B58" s="7545"/>
      <c r="C58" s="554"/>
      <c r="D58" s="550"/>
      <c r="E58" s="550"/>
      <c r="F58" s="550"/>
      <c r="G58" s="550"/>
      <c r="H58" s="551"/>
      <c r="I58" s="331"/>
      <c r="J58" s="331"/>
      <c r="K58" s="331"/>
      <c r="L58" s="331"/>
      <c r="M58" s="331"/>
      <c r="N58" s="545" t="s">
        <v>568</v>
      </c>
      <c r="O58" s="545" t="s">
        <v>569</v>
      </c>
      <c r="P58" s="552" t="str">
        <f>_xlfn.CONCAT(N58," ",O58)</f>
        <v>Guillaume Tell</v>
      </c>
      <c r="Q58" s="553" t="str">
        <f ca="1">_xlfn.FORMULATEXT(P58)</f>
        <v>=CONCAT(N58;" ";O58)</v>
      </c>
      <c r="R58" s="502"/>
      <c r="S58" s="502"/>
      <c r="T58" s="331"/>
      <c r="U58" s="529"/>
      <c r="W58" s="7545"/>
      <c r="X58" s="554"/>
      <c r="Y58" s="550"/>
      <c r="Z58" s="550"/>
      <c r="AA58" s="550"/>
      <c r="AB58" s="550"/>
      <c r="AC58" s="551"/>
      <c r="AD58" s="331"/>
      <c r="AE58" s="331"/>
      <c r="AF58" s="331"/>
      <c r="AG58" s="331"/>
      <c r="AH58" s="331"/>
      <c r="AI58" s="545" t="s">
        <v>568</v>
      </c>
      <c r="AJ58" s="545" t="s">
        <v>569</v>
      </c>
      <c r="AK58" s="552" t="str">
        <f>_xlfn.CONCAT(AI58," ",AJ58)</f>
        <v>Guillaume Tell</v>
      </c>
      <c r="AL58" s="553" t="str">
        <f ca="1">_xlfn.FORMULATEXT(AK58)</f>
        <v>=CONCAT(AI58;" ";AJ58)</v>
      </c>
      <c r="AM58" s="502"/>
      <c r="AN58" s="502"/>
      <c r="AO58" s="331"/>
      <c r="AP58" s="529"/>
      <c r="AR58" s="7545"/>
      <c r="AS58" s="554"/>
      <c r="AT58" s="550"/>
      <c r="AU58" s="550"/>
      <c r="AV58" s="550"/>
      <c r="AW58" s="550"/>
      <c r="AX58" s="551"/>
      <c r="AY58" s="331"/>
      <c r="AZ58" s="331"/>
      <c r="BA58" s="331"/>
      <c r="BB58" s="331"/>
      <c r="BC58" s="331"/>
      <c r="BD58" s="545" t="s">
        <v>568</v>
      </c>
      <c r="BE58" s="545" t="s">
        <v>569</v>
      </c>
      <c r="BF58" s="552" t="str">
        <f>_xlfn.CONCAT(BD58," ",BE58)</f>
        <v>Guillaume Tell</v>
      </c>
      <c r="BG58" s="553" t="str">
        <f ca="1">_xlfn.FORMULATEXT(BF58)</f>
        <v>=CONCAT(BD58;" ";BE58)</v>
      </c>
      <c r="BH58" s="502"/>
      <c r="BI58" s="502"/>
      <c r="BJ58" s="331"/>
      <c r="BK58" s="529"/>
    </row>
    <row r="59" spans="2:63">
      <c r="B59" s="7545"/>
      <c r="C59" s="554"/>
      <c r="D59" s="536"/>
      <c r="E59" s="536"/>
      <c r="F59" s="536"/>
      <c r="G59" s="536"/>
      <c r="H59" s="537"/>
      <c r="I59" s="331"/>
      <c r="J59" s="331"/>
      <c r="K59" s="331"/>
      <c r="L59" s="331"/>
      <c r="M59" s="331"/>
      <c r="N59" s="502">
        <v>1</v>
      </c>
      <c r="O59" s="502">
        <v>1</v>
      </c>
      <c r="P59" s="502">
        <v>1</v>
      </c>
      <c r="Q59" s="502">
        <v>1</v>
      </c>
      <c r="R59" s="502"/>
      <c r="S59" s="502"/>
      <c r="T59" s="331"/>
      <c r="U59" s="529"/>
      <c r="W59" s="7545"/>
      <c r="X59" s="554"/>
      <c r="Y59" s="536"/>
      <c r="Z59" s="536"/>
      <c r="AA59" s="536"/>
      <c r="AB59" s="536"/>
      <c r="AC59" s="537"/>
      <c r="AD59" s="331"/>
      <c r="AE59" s="331"/>
      <c r="AF59" s="331"/>
      <c r="AG59" s="331"/>
      <c r="AH59" s="331"/>
      <c r="AI59" s="502">
        <v>1</v>
      </c>
      <c r="AJ59" s="502">
        <v>1</v>
      </c>
      <c r="AK59" s="502">
        <v>1</v>
      </c>
      <c r="AL59" s="502">
        <v>1</v>
      </c>
      <c r="AM59" s="502"/>
      <c r="AN59" s="502"/>
      <c r="AO59" s="331"/>
      <c r="AP59" s="529"/>
      <c r="AR59" s="7545"/>
      <c r="AS59" s="554"/>
      <c r="AT59" s="536"/>
      <c r="AU59" s="536"/>
      <c r="AV59" s="536"/>
      <c r="AW59" s="536"/>
      <c r="AX59" s="537"/>
      <c r="AY59" s="331"/>
      <c r="AZ59" s="331"/>
      <c r="BA59" s="331"/>
      <c r="BB59" s="331"/>
      <c r="BC59" s="331"/>
      <c r="BD59" s="502">
        <v>1</v>
      </c>
      <c r="BE59" s="502">
        <v>1</v>
      </c>
      <c r="BF59" s="502">
        <v>1</v>
      </c>
      <c r="BG59" s="502">
        <v>1</v>
      </c>
      <c r="BH59" s="502"/>
      <c r="BI59" s="502"/>
      <c r="BJ59" s="331"/>
      <c r="BK59" s="529"/>
    </row>
    <row r="60" spans="2:63">
      <c r="B60" s="7545"/>
      <c r="C60" s="555" t="str">
        <f>HYPERLINK("#"&amp;ADDRESS(ROW(C49),COLUMN(C49),4)," 🔗 Lien")</f>
        <v xml:space="preserve"> 🔗 Lien</v>
      </c>
      <c r="D60" s="7549" t="str">
        <f ca="1">_xlfn.FORMULATEXT(C60)</f>
        <v>=LIEN_HYPERTEXTE("#"&amp;ADRESSE(LIGNE(C49);COLONNE(C49);4);" 🔗 Lien")</v>
      </c>
      <c r="E60" s="7549"/>
      <c r="F60" s="7549"/>
      <c r="G60" s="7549"/>
      <c r="H60" s="7550"/>
      <c r="I60" s="331"/>
      <c r="J60" s="331"/>
      <c r="K60" s="331"/>
      <c r="L60" s="331"/>
      <c r="M60" s="331"/>
      <c r="N60" s="548" t="s">
        <v>570</v>
      </c>
      <c r="O60" s="544" t="s">
        <v>571</v>
      </c>
      <c r="P60" s="556"/>
      <c r="Q60" s="545" t="s">
        <v>563</v>
      </c>
      <c r="R60" s="502"/>
      <c r="S60" s="502"/>
      <c r="T60" s="331"/>
      <c r="U60" s="529"/>
      <c r="W60" s="7545"/>
      <c r="X60" s="555" t="str">
        <f>HYPERLINK("#"&amp;ADDRESS(ROW(X49),COLUMN(X49),4)," 🔗 Lien")</f>
        <v xml:space="preserve"> 🔗 Lien</v>
      </c>
      <c r="Y60" s="7549" t="str">
        <f ca="1">_xlfn.FORMULATEXT(X60)</f>
        <v>=LIEN_HYPERTEXTE("#"&amp;ADRESSE(LIGNE(X49);COLONNE(X49);4);" 🔗 Lien")</v>
      </c>
      <c r="Z60" s="7549"/>
      <c r="AA60" s="7549"/>
      <c r="AB60" s="7549"/>
      <c r="AC60" s="7550"/>
      <c r="AD60" s="331"/>
      <c r="AE60" s="331"/>
      <c r="AF60" s="331"/>
      <c r="AG60" s="331"/>
      <c r="AH60" s="331"/>
      <c r="AI60" s="548" t="s">
        <v>570</v>
      </c>
      <c r="AJ60" s="544" t="s">
        <v>571</v>
      </c>
      <c r="AK60" s="556"/>
      <c r="AL60" s="545" t="s">
        <v>563</v>
      </c>
      <c r="AM60" s="502"/>
      <c r="AN60" s="502"/>
      <c r="AO60" s="331"/>
      <c r="AP60" s="529"/>
      <c r="AR60" s="7545"/>
      <c r="AS60" s="555" t="str">
        <f>HYPERLINK("#"&amp;ADDRESS(ROW(AS49),COLUMN(AS49),4)," 🔗 Lien")</f>
        <v xml:space="preserve"> 🔗 Lien</v>
      </c>
      <c r="AT60" s="7549" t="str">
        <f ca="1">_xlfn.FORMULATEXT(AS60)</f>
        <v>=LIEN_HYPERTEXTE("#"&amp;ADRESSE(LIGNE(AS49);COLONNE(AS49);4);" 🔗 Lien")</v>
      </c>
      <c r="AU60" s="7549"/>
      <c r="AV60" s="7549"/>
      <c r="AW60" s="7549"/>
      <c r="AX60" s="7550"/>
      <c r="AY60" s="331"/>
      <c r="AZ60" s="331"/>
      <c r="BA60" s="331"/>
      <c r="BB60" s="331"/>
      <c r="BC60" s="331"/>
      <c r="BD60" s="548" t="s">
        <v>570</v>
      </c>
      <c r="BE60" s="544" t="s">
        <v>571</v>
      </c>
      <c r="BF60" s="556"/>
      <c r="BG60" s="545" t="s">
        <v>563</v>
      </c>
      <c r="BH60" s="502"/>
      <c r="BI60" s="502"/>
      <c r="BJ60" s="331"/>
      <c r="BK60" s="529"/>
    </row>
    <row r="61" spans="2:63">
      <c r="B61" s="7545"/>
      <c r="C61" s="554"/>
      <c r="D61" s="7549"/>
      <c r="E61" s="7549"/>
      <c r="F61" s="7549"/>
      <c r="G61" s="7549"/>
      <c r="H61" s="7550"/>
      <c r="I61" s="331"/>
      <c r="J61" s="331"/>
      <c r="K61" s="331"/>
      <c r="L61" s="331"/>
      <c r="M61" s="331"/>
      <c r="N61" s="545" t="s">
        <v>572</v>
      </c>
      <c r="O61" s="557" t="str">
        <f>LEFT(N61,SEARCH(" ",N61)-1)</f>
        <v>Guillaume</v>
      </c>
      <c r="P61" s="553" t="s">
        <v>573</v>
      </c>
      <c r="Q61" s="502"/>
      <c r="R61" s="502"/>
      <c r="S61" s="502">
        <v>1</v>
      </c>
      <c r="T61" s="331"/>
      <c r="U61" s="529"/>
      <c r="W61" s="7545"/>
      <c r="X61" s="554"/>
      <c r="Y61" s="7549"/>
      <c r="Z61" s="7549"/>
      <c r="AA61" s="7549"/>
      <c r="AB61" s="7549"/>
      <c r="AC61" s="7550"/>
      <c r="AD61" s="331"/>
      <c r="AE61" s="331"/>
      <c r="AF61" s="331"/>
      <c r="AG61" s="331"/>
      <c r="AH61" s="331"/>
      <c r="AI61" s="545" t="s">
        <v>572</v>
      </c>
      <c r="AJ61" s="557" t="str">
        <f>LEFT(AI61,SEARCH(" ",AI61)-1)</f>
        <v>Guillaume</v>
      </c>
      <c r="AK61" s="553" t="s">
        <v>573</v>
      </c>
      <c r="AL61" s="502"/>
      <c r="AM61" s="502"/>
      <c r="AN61" s="502">
        <v>1</v>
      </c>
      <c r="AO61" s="331"/>
      <c r="AP61" s="529"/>
      <c r="AR61" s="7545"/>
      <c r="AS61" s="554"/>
      <c r="AT61" s="7549"/>
      <c r="AU61" s="7549"/>
      <c r="AV61" s="7549"/>
      <c r="AW61" s="7549"/>
      <c r="AX61" s="7550"/>
      <c r="AY61" s="331"/>
      <c r="AZ61" s="331"/>
      <c r="BA61" s="331"/>
      <c r="BB61" s="331"/>
      <c r="BC61" s="331"/>
      <c r="BD61" s="545" t="s">
        <v>572</v>
      </c>
      <c r="BE61" s="557" t="str">
        <f>LEFT(BD61,SEARCH(" ",BD61)-1)</f>
        <v>Guillaume</v>
      </c>
      <c r="BF61" s="553" t="s">
        <v>573</v>
      </c>
      <c r="BG61" s="502"/>
      <c r="BH61" s="502"/>
      <c r="BI61" s="502">
        <v>1</v>
      </c>
      <c r="BJ61" s="331"/>
      <c r="BK61" s="529"/>
    </row>
    <row r="62" spans="2:63">
      <c r="B62" s="7545"/>
      <c r="C62" s="554"/>
      <c r="D62" s="558"/>
      <c r="E62" s="558"/>
      <c r="F62" s="558"/>
      <c r="G62" s="558"/>
      <c r="H62" s="559"/>
      <c r="I62" s="331"/>
      <c r="J62" s="331"/>
      <c r="K62" s="331"/>
      <c r="L62" s="331"/>
      <c r="M62" s="331"/>
      <c r="N62" s="545" t="s">
        <v>572</v>
      </c>
      <c r="O62" s="557" t="str">
        <f>RIGHT(N62,LEN(N62)-SEARCH(" ",N62))</f>
        <v>Tell</v>
      </c>
      <c r="P62" s="553" t="str">
        <f ca="1">_xlfn.FORMULATEXT(O62)</f>
        <v>=DROITE(N62;NBCAR(N62)-CHERCHE(" ";N62))</v>
      </c>
      <c r="Q62" s="502"/>
      <c r="R62" s="502"/>
      <c r="S62" s="502">
        <v>1</v>
      </c>
      <c r="T62" s="331"/>
      <c r="U62" s="529"/>
      <c r="W62" s="7545"/>
      <c r="X62" s="554"/>
      <c r="Y62" s="558"/>
      <c r="Z62" s="558"/>
      <c r="AA62" s="558"/>
      <c r="AB62" s="558"/>
      <c r="AC62" s="559"/>
      <c r="AD62" s="331"/>
      <c r="AE62" s="331"/>
      <c r="AF62" s="331"/>
      <c r="AG62" s="331"/>
      <c r="AH62" s="331"/>
      <c r="AI62" s="545" t="s">
        <v>572</v>
      </c>
      <c r="AJ62" s="557" t="str">
        <f>RIGHT(AI62,LEN(AI62)-SEARCH(" ",AI62))</f>
        <v>Tell</v>
      </c>
      <c r="AK62" s="553" t="str">
        <f ca="1">_xlfn.FORMULATEXT(AJ62)</f>
        <v>=DROITE(AI62;NBCAR(AI62)-CHERCHE(" ";AI62))</v>
      </c>
      <c r="AL62" s="502"/>
      <c r="AM62" s="502"/>
      <c r="AN62" s="502">
        <v>1</v>
      </c>
      <c r="AO62" s="331"/>
      <c r="AP62" s="529"/>
      <c r="AR62" s="7545"/>
      <c r="AS62" s="554"/>
      <c r="AT62" s="558"/>
      <c r="AU62" s="558"/>
      <c r="AV62" s="558"/>
      <c r="AW62" s="558"/>
      <c r="AX62" s="559"/>
      <c r="AY62" s="331"/>
      <c r="AZ62" s="331"/>
      <c r="BA62" s="331"/>
      <c r="BB62" s="331"/>
      <c r="BC62" s="331"/>
      <c r="BD62" s="545" t="s">
        <v>572</v>
      </c>
      <c r="BE62" s="557" t="str">
        <f>RIGHT(BD62,LEN(BD62)-SEARCH(" ",BD62))</f>
        <v>Tell</v>
      </c>
      <c r="BF62" s="553" t="str">
        <f ca="1">_xlfn.FORMULATEXT(BE62)</f>
        <v>=DROITE(BD62;NBCAR(BD62)-CHERCHE(" ";BD62))</v>
      </c>
      <c r="BG62" s="502"/>
      <c r="BH62" s="502"/>
      <c r="BI62" s="502">
        <v>1</v>
      </c>
      <c r="BJ62" s="331"/>
      <c r="BK62" s="529"/>
    </row>
    <row r="63" spans="2:63">
      <c r="B63" s="7545"/>
      <c r="C63" s="555" t="str">
        <f>HYPERLINK("#"&amp;ADDRESS(ROW(C49),COLUMN(C49),4)," 🔗 ICI")</f>
        <v xml:space="preserve"> 🔗 ICI</v>
      </c>
      <c r="D63" s="7536" t="str">
        <f ca="1">_xlfn.FORMULATEXT(C63)</f>
        <v>=LIEN_HYPERTEXTE("#"&amp;ADRESSE(LIGNE(C49);COLONNE(C49);4);" 🔗 ICI")</v>
      </c>
      <c r="E63" s="7536"/>
      <c r="F63" s="7536"/>
      <c r="G63" s="7536"/>
      <c r="H63" s="7537"/>
      <c r="I63" s="331"/>
      <c r="J63" s="331"/>
      <c r="K63" s="331"/>
      <c r="L63" s="331"/>
      <c r="M63" s="331"/>
      <c r="N63" s="5413" t="s">
        <v>574</v>
      </c>
      <c r="O63" s="560" t="str">
        <f>LEFT(N63,SEARCH(",",N63)-1)</f>
        <v>Guillaume</v>
      </c>
      <c r="P63" s="553" t="str">
        <f ca="1">_xlfn.FORMULATEXT(O63)</f>
        <v>=GAUCHE(N63;CHERCHE(",";N63)-1)</v>
      </c>
      <c r="Q63" s="553"/>
      <c r="R63" s="545"/>
      <c r="S63" s="545"/>
      <c r="T63" s="331"/>
      <c r="U63" s="529"/>
      <c r="W63" s="7545"/>
      <c r="X63" s="555" t="str">
        <f>HYPERLINK("#"&amp;ADDRESS(ROW(X49),COLUMN(X49),4)," 🔗 ICI")</f>
        <v xml:space="preserve"> 🔗 ICI</v>
      </c>
      <c r="Y63" s="7536" t="str">
        <f ca="1">_xlfn.FORMULATEXT(X63)</f>
        <v>=LIEN_HYPERTEXTE("#"&amp;ADRESSE(LIGNE(X49);COLONNE(X49);4);" 🔗 ICI")</v>
      </c>
      <c r="Z63" s="7536"/>
      <c r="AA63" s="7536"/>
      <c r="AB63" s="7536"/>
      <c r="AC63" s="7537"/>
      <c r="AD63" s="331"/>
      <c r="AE63" s="331"/>
      <c r="AF63" s="331"/>
      <c r="AG63" s="331"/>
      <c r="AH63" s="331"/>
      <c r="AI63" s="5413" t="s">
        <v>574</v>
      </c>
      <c r="AJ63" s="560" t="str">
        <f>LEFT(AI63,SEARCH(",",AI63)-1)</f>
        <v>Guillaume</v>
      </c>
      <c r="AK63" s="553" t="str">
        <f ca="1">_xlfn.FORMULATEXT(AJ63)</f>
        <v>=GAUCHE(AI63;CHERCHE(",";AI63)-1)</v>
      </c>
      <c r="AL63" s="553"/>
      <c r="AM63" s="545"/>
      <c r="AN63" s="545"/>
      <c r="AO63" s="331"/>
      <c r="AP63" s="529"/>
      <c r="AR63" s="7545"/>
      <c r="AS63" s="555" t="str">
        <f>HYPERLINK("#"&amp;ADDRESS(ROW(AS49),COLUMN(AS49),4)," 🔗 ICI")</f>
        <v xml:space="preserve"> 🔗 ICI</v>
      </c>
      <c r="AT63" s="7536" t="str">
        <f ca="1">_xlfn.FORMULATEXT(AS63)</f>
        <v>=LIEN_HYPERTEXTE("#"&amp;ADRESSE(LIGNE(AS49);COLONNE(AS49);4);" 🔗 ICI")</v>
      </c>
      <c r="AU63" s="7536"/>
      <c r="AV63" s="7536"/>
      <c r="AW63" s="7536"/>
      <c r="AX63" s="7537"/>
      <c r="AY63" s="331"/>
      <c r="AZ63" s="331"/>
      <c r="BA63" s="331"/>
      <c r="BB63" s="331"/>
      <c r="BC63" s="331"/>
      <c r="BD63" s="5413" t="s">
        <v>574</v>
      </c>
      <c r="BE63" s="560" t="str">
        <f>LEFT(BD63,SEARCH(",",BD63)-1)</f>
        <v>Guillaume</v>
      </c>
      <c r="BF63" s="553" t="str">
        <f ca="1">_xlfn.FORMULATEXT(BE63)</f>
        <v>=GAUCHE(BD63;CHERCHE(",";BD63)-1)</v>
      </c>
      <c r="BG63" s="553"/>
      <c r="BH63" s="545"/>
      <c r="BI63" s="545"/>
      <c r="BJ63" s="331"/>
      <c r="BK63" s="529"/>
    </row>
    <row r="64" spans="2:63">
      <c r="B64" s="7545"/>
      <c r="C64" s="554"/>
      <c r="D64" s="7536"/>
      <c r="E64" s="7536"/>
      <c r="F64" s="7536"/>
      <c r="G64" s="7536"/>
      <c r="H64" s="7537"/>
      <c r="I64" s="331"/>
      <c r="J64" s="331"/>
      <c r="K64" s="331"/>
      <c r="L64" s="331"/>
      <c r="M64" s="331"/>
      <c r="N64" s="502">
        <v>1</v>
      </c>
      <c r="O64" s="560" t="str">
        <f>RIGHT(N63,LEN(N63)-SEARCH(",",N63))</f>
        <v>Tell</v>
      </c>
      <c r="P64" s="553" t="str">
        <f ca="1">_xlfn.FORMULATEXT(O64)</f>
        <v>=DROITE(N63;NBCAR(N63)-CHERCHE(",";N63))</v>
      </c>
      <c r="T64" s="331"/>
      <c r="U64" s="529"/>
      <c r="W64" s="7545"/>
      <c r="X64" s="554"/>
      <c r="Y64" s="7536"/>
      <c r="Z64" s="7536"/>
      <c r="AA64" s="7536"/>
      <c r="AB64" s="7536"/>
      <c r="AC64" s="7537"/>
      <c r="AD64" s="331"/>
      <c r="AE64" s="331"/>
      <c r="AF64" s="331"/>
      <c r="AG64" s="331"/>
      <c r="AH64" s="331"/>
      <c r="AI64" s="502">
        <v>1</v>
      </c>
      <c r="AJ64" s="560" t="str">
        <f>RIGHT(AI63,LEN(AI63)-SEARCH(",",AI63))</f>
        <v>Tell</v>
      </c>
      <c r="AK64" s="553" t="str">
        <f ca="1">_xlfn.FORMULATEXT(AJ64)</f>
        <v>=DROITE(AI63;NBCAR(AI63)-CHERCHE(",";AI63))</v>
      </c>
      <c r="AO64" s="331"/>
      <c r="AP64" s="529"/>
      <c r="AR64" s="7545"/>
      <c r="AS64" s="554"/>
      <c r="AT64" s="7536"/>
      <c r="AU64" s="7536"/>
      <c r="AV64" s="7536"/>
      <c r="AW64" s="7536"/>
      <c r="AX64" s="7537"/>
      <c r="AY64" s="331"/>
      <c r="AZ64" s="331"/>
      <c r="BA64" s="331"/>
      <c r="BB64" s="331"/>
      <c r="BC64" s="331"/>
      <c r="BD64" s="502">
        <v>1</v>
      </c>
      <c r="BE64" s="560" t="str">
        <f>RIGHT(BD63,LEN(BD63)-SEARCH(",",BD63))</f>
        <v>Tell</v>
      </c>
      <c r="BF64" s="553" t="str">
        <f ca="1">_xlfn.FORMULATEXT(BE64)</f>
        <v>=DROITE(BD63;NBCAR(BD63)-CHERCHE(",";BD63))</v>
      </c>
      <c r="BJ64" s="331"/>
      <c r="BK64" s="529"/>
    </row>
    <row r="65" spans="2:63">
      <c r="B65" s="7545"/>
      <c r="C65" s="554"/>
      <c r="D65" s="553"/>
      <c r="E65" s="553"/>
      <c r="F65" s="553"/>
      <c r="G65" s="553"/>
      <c r="H65" s="561"/>
      <c r="I65" s="331"/>
      <c r="J65" s="331"/>
      <c r="K65" s="331"/>
      <c r="L65" s="331"/>
      <c r="M65" s="331"/>
      <c r="N65" s="502">
        <v>1</v>
      </c>
      <c r="O65" s="545" t="s">
        <v>575</v>
      </c>
      <c r="P65" s="502"/>
      <c r="Q65" s="502"/>
      <c r="R65" s="502"/>
      <c r="S65" s="502"/>
      <c r="T65" s="331"/>
      <c r="U65" s="529"/>
      <c r="W65" s="7545"/>
      <c r="X65" s="554"/>
      <c r="Y65" s="553"/>
      <c r="Z65" s="553"/>
      <c r="AA65" s="553"/>
      <c r="AB65" s="553"/>
      <c r="AC65" s="561"/>
      <c r="AD65" s="331"/>
      <c r="AE65" s="331"/>
      <c r="AF65" s="331"/>
      <c r="AG65" s="331"/>
      <c r="AH65" s="331"/>
      <c r="AI65" s="502">
        <v>1</v>
      </c>
      <c r="AJ65" s="545" t="s">
        <v>575</v>
      </c>
      <c r="AK65" s="502"/>
      <c r="AL65" s="502"/>
      <c r="AM65" s="502"/>
      <c r="AN65" s="502"/>
      <c r="AO65" s="331"/>
      <c r="AP65" s="529"/>
      <c r="AR65" s="7545"/>
      <c r="AS65" s="554"/>
      <c r="AT65" s="553"/>
      <c r="AU65" s="553"/>
      <c r="AV65" s="553"/>
      <c r="AW65" s="553"/>
      <c r="AX65" s="561"/>
      <c r="AY65" s="331"/>
      <c r="AZ65" s="331"/>
      <c r="BA65" s="331"/>
      <c r="BB65" s="331"/>
      <c r="BC65" s="331"/>
      <c r="BD65" s="502">
        <v>1</v>
      </c>
      <c r="BE65" s="545" t="s">
        <v>575</v>
      </c>
      <c r="BF65" s="502"/>
      <c r="BG65" s="502"/>
      <c r="BH65" s="502"/>
      <c r="BI65" s="502"/>
      <c r="BJ65" s="331"/>
      <c r="BK65" s="529"/>
    </row>
    <row r="66" spans="2:63">
      <c r="B66" s="7545"/>
      <c r="C66" s="562" t="str">
        <f>HYPERLINK("#"&amp;ADDRESS(ROW(C49),COLUMN(C49),4)," 🔗 "&amp;ADDRESS(ROW(C49),COLUMN(C49),4))</f>
        <v xml:space="preserve"> 🔗 C49</v>
      </c>
      <c r="D66" s="7536" t="str">
        <f ca="1">_xlfn.FORMULATEXT(C66)</f>
        <v>=LIEN_HYPERTEXTE("#"&amp;ADRESSE(LIGNE(C49);COLONNE(C49);4);" 🔗 "&amp;ADRESSE(LIGNE(C49);COLONNE(C49);4))</v>
      </c>
      <c r="E66" s="7536"/>
      <c r="F66" s="7536"/>
      <c r="G66" s="7536"/>
      <c r="H66" s="7537"/>
      <c r="I66" s="331"/>
      <c r="J66" s="331"/>
      <c r="K66" s="331"/>
      <c r="L66" s="331"/>
      <c r="M66" s="331"/>
      <c r="O66" s="502"/>
      <c r="P66" s="563"/>
      <c r="Q66" s="564" t="s">
        <v>576</v>
      </c>
      <c r="R66" s="565" t="s">
        <v>577</v>
      </c>
      <c r="S66" s="563"/>
      <c r="T66" s="331"/>
      <c r="U66" s="529"/>
      <c r="W66" s="7545"/>
      <c r="X66" s="562" t="str">
        <f>HYPERLINK("#"&amp;ADDRESS(ROW(X49),COLUMN(X49),4)," 🔗 "&amp;ADDRESS(ROW(X49),COLUMN(X49),4))</f>
        <v xml:space="preserve"> 🔗 X49</v>
      </c>
      <c r="Y66" s="7536" t="str">
        <f ca="1">_xlfn.FORMULATEXT(X66)</f>
        <v>=LIEN_HYPERTEXTE("#"&amp;ADRESSE(LIGNE(X49);COLONNE(X49);4);" 🔗 "&amp;ADRESSE(LIGNE(X49);COLONNE(X49);4))</v>
      </c>
      <c r="Z66" s="7536"/>
      <c r="AA66" s="7536"/>
      <c r="AB66" s="7536"/>
      <c r="AC66" s="7537"/>
      <c r="AD66" s="331"/>
      <c r="AE66" s="331"/>
      <c r="AF66" s="331"/>
      <c r="AG66" s="331"/>
      <c r="AH66" s="331"/>
      <c r="AJ66" s="502"/>
      <c r="AK66" s="563"/>
      <c r="AL66" s="564" t="s">
        <v>576</v>
      </c>
      <c r="AM66" s="565" t="s">
        <v>577</v>
      </c>
      <c r="AN66" s="563"/>
      <c r="AO66" s="331"/>
      <c r="AP66" s="529"/>
      <c r="AR66" s="7545"/>
      <c r="AS66" s="562" t="str">
        <f>HYPERLINK("#"&amp;ADDRESS(ROW(AS49),COLUMN(AS49),4)," 🔗 "&amp;ADDRESS(ROW(AS49),COLUMN(AS49),4))</f>
        <v xml:space="preserve"> 🔗 AS49</v>
      </c>
      <c r="AT66" s="7536" t="str">
        <f ca="1">_xlfn.FORMULATEXT(AS66)</f>
        <v>=LIEN_HYPERTEXTE("#"&amp;ADRESSE(LIGNE(AS49);COLONNE(AS49);4);" 🔗 "&amp;ADRESSE(LIGNE(AS49);COLONNE(AS49);4))</v>
      </c>
      <c r="AU66" s="7536"/>
      <c r="AV66" s="7536"/>
      <c r="AW66" s="7536"/>
      <c r="AX66" s="7537"/>
      <c r="AY66" s="331"/>
      <c r="AZ66" s="331"/>
      <c r="BA66" s="331"/>
      <c r="BB66" s="331"/>
      <c r="BC66" s="331"/>
      <c r="BE66" s="502"/>
      <c r="BF66" s="563"/>
      <c r="BG66" s="564" t="s">
        <v>576</v>
      </c>
      <c r="BH66" s="565" t="s">
        <v>577</v>
      </c>
      <c r="BI66" s="563"/>
      <c r="BJ66" s="331"/>
      <c r="BK66" s="529"/>
    </row>
    <row r="67" spans="2:63">
      <c r="B67" s="7545"/>
      <c r="C67" s="554"/>
      <c r="D67" s="7536"/>
      <c r="E67" s="7536"/>
      <c r="F67" s="7536"/>
      <c r="G67" s="7536"/>
      <c r="H67" s="7537"/>
      <c r="I67" s="331"/>
      <c r="J67" s="331"/>
      <c r="K67" s="331"/>
      <c r="L67" s="331"/>
      <c r="M67" s="331"/>
      <c r="N67" s="331"/>
      <c r="O67" s="331"/>
      <c r="P67" s="331"/>
      <c r="Q67" s="331"/>
      <c r="R67" s="331"/>
      <c r="S67" s="331"/>
      <c r="T67" s="331"/>
      <c r="U67" s="529"/>
      <c r="W67" s="7545"/>
      <c r="X67" s="554"/>
      <c r="Y67" s="7536"/>
      <c r="Z67" s="7536"/>
      <c r="AA67" s="7536"/>
      <c r="AB67" s="7536"/>
      <c r="AC67" s="7537"/>
      <c r="AD67" s="331"/>
      <c r="AE67" s="331"/>
      <c r="AF67" s="331"/>
      <c r="AG67" s="331"/>
      <c r="AH67" s="331"/>
      <c r="AI67" s="331"/>
      <c r="AJ67" s="331"/>
      <c r="AK67" s="331"/>
      <c r="AL67" s="331"/>
      <c r="AM67" s="331"/>
      <c r="AN67" s="331"/>
      <c r="AO67" s="331"/>
      <c r="AP67" s="529"/>
      <c r="AR67" s="7545"/>
      <c r="AS67" s="554"/>
      <c r="AT67" s="7536"/>
      <c r="AU67" s="7536"/>
      <c r="AV67" s="7536"/>
      <c r="AW67" s="7536"/>
      <c r="AX67" s="7537"/>
      <c r="AY67" s="331"/>
      <c r="AZ67" s="331"/>
      <c r="BA67" s="331"/>
      <c r="BB67" s="331"/>
      <c r="BC67" s="331"/>
      <c r="BD67" s="331"/>
      <c r="BE67" s="331"/>
      <c r="BF67" s="331"/>
      <c r="BG67" s="331"/>
      <c r="BH67" s="331"/>
      <c r="BI67" s="331"/>
      <c r="BJ67" s="331"/>
      <c r="BK67" s="529"/>
    </row>
    <row r="68" spans="2:63" ht="16.5" thickBot="1">
      <c r="B68" s="7545"/>
      <c r="C68" s="554"/>
      <c r="D68" s="536"/>
      <c r="E68" s="536"/>
      <c r="F68" s="536"/>
      <c r="G68" s="536"/>
      <c r="H68" s="537"/>
      <c r="I68" s="331"/>
      <c r="J68" s="331"/>
      <c r="K68" s="331"/>
      <c r="L68" s="331"/>
      <c r="M68" s="331"/>
      <c r="N68" s="331"/>
      <c r="O68" s="331"/>
      <c r="P68" s="331"/>
      <c r="Q68" s="331"/>
      <c r="R68" s="331"/>
      <c r="S68" s="331"/>
      <c r="T68" s="331"/>
      <c r="U68" s="529"/>
      <c r="W68" s="7545"/>
      <c r="X68" s="554"/>
      <c r="Y68" s="536"/>
      <c r="Z68" s="536"/>
      <c r="AA68" s="536"/>
      <c r="AB68" s="536"/>
      <c r="AC68" s="537"/>
      <c r="AD68" s="331"/>
      <c r="AE68" s="331"/>
      <c r="AF68" s="331"/>
      <c r="AG68" s="331"/>
      <c r="AH68" s="331"/>
      <c r="AI68" s="331"/>
      <c r="AJ68" s="331"/>
      <c r="AK68" s="331"/>
      <c r="AL68" s="331"/>
      <c r="AM68" s="331"/>
      <c r="AN68" s="331"/>
      <c r="AO68" s="331"/>
      <c r="AP68" s="529"/>
      <c r="AR68" s="7545"/>
      <c r="AS68" s="554"/>
      <c r="AT68" s="536"/>
      <c r="AU68" s="536"/>
      <c r="AV68" s="536"/>
      <c r="AW68" s="536"/>
      <c r="AX68" s="537"/>
      <c r="AY68" s="331"/>
      <c r="AZ68" s="331"/>
      <c r="BA68" s="331"/>
      <c r="BB68" s="331"/>
      <c r="BC68" s="331"/>
      <c r="BD68" s="331"/>
      <c r="BE68" s="331"/>
      <c r="BF68" s="331"/>
      <c r="BG68" s="331"/>
      <c r="BH68" s="331"/>
      <c r="BI68" s="331"/>
      <c r="BJ68" s="331"/>
      <c r="BK68" s="529"/>
    </row>
    <row r="69" spans="2:63">
      <c r="B69" s="7545"/>
      <c r="C69" s="562" t="str">
        <f>HYPERLINK("#"&amp;ADDRESS(ROW(C49),COLUMN(C49),4),"◀"&amp;ADDRESS(ROW(C49),COLUMN(C49),4))</f>
        <v>◀C49</v>
      </c>
      <c r="D69" s="7532" t="str">
        <f ca="1">_xlfn.FORMULATEXT(C69)</f>
        <v>=LIEN_HYPERTEXTE("#"&amp;ADRESSE(LIGNE(C49);COLONNE(C49);4);"◀"&amp;ADRESSE(LIGNE(C49);COLONNE(C49);4))</v>
      </c>
      <c r="E69" s="7532"/>
      <c r="F69" s="7532"/>
      <c r="G69" s="7532"/>
      <c r="H69" s="7533"/>
      <c r="I69" s="331"/>
      <c r="J69" s="566" t="s">
        <v>578</v>
      </c>
      <c r="K69" s="567"/>
      <c r="L69" s="567"/>
      <c r="M69" s="567"/>
      <c r="N69" s="567"/>
      <c r="O69" s="567"/>
      <c r="P69" s="568"/>
      <c r="Q69" s="331"/>
      <c r="R69" s="331"/>
      <c r="S69" s="331"/>
      <c r="T69" s="331"/>
      <c r="U69" s="529"/>
      <c r="W69" s="7545"/>
      <c r="X69" s="562" t="str">
        <f>HYPERLINK("#"&amp;ADDRESS(ROW(X49),COLUMN(X49),4),"◀"&amp;ADDRESS(ROW(X49),COLUMN(X49),4))</f>
        <v>◀X49</v>
      </c>
      <c r="Y69" s="7532" t="str">
        <f ca="1">_xlfn.FORMULATEXT(X69)</f>
        <v>=LIEN_HYPERTEXTE("#"&amp;ADRESSE(LIGNE(X49);COLONNE(X49);4);"◀"&amp;ADRESSE(LIGNE(X49);COLONNE(X49);4))</v>
      </c>
      <c r="Z69" s="7532"/>
      <c r="AA69" s="7532"/>
      <c r="AB69" s="7532"/>
      <c r="AC69" s="7533"/>
      <c r="AD69" s="331"/>
      <c r="AE69" s="566" t="s">
        <v>578</v>
      </c>
      <c r="AF69" s="567"/>
      <c r="AG69" s="567"/>
      <c r="AH69" s="567"/>
      <c r="AI69" s="567"/>
      <c r="AJ69" s="567"/>
      <c r="AK69" s="568"/>
      <c r="AL69" s="331"/>
      <c r="AM69" s="331"/>
      <c r="AN69" s="331"/>
      <c r="AO69" s="331"/>
      <c r="AP69" s="529"/>
      <c r="AR69" s="7545"/>
      <c r="AS69" s="562" t="str">
        <f>HYPERLINK("#"&amp;ADDRESS(ROW(AS49),COLUMN(AS49),4),"◀"&amp;ADDRESS(ROW(AS49),COLUMN(AS49),4))</f>
        <v>◀AS49</v>
      </c>
      <c r="AT69" s="7532" t="str">
        <f ca="1">_xlfn.FORMULATEXT(AS69)</f>
        <v>=LIEN_HYPERTEXTE("#"&amp;ADRESSE(LIGNE(AS49);COLONNE(AS49);4);"◀"&amp;ADRESSE(LIGNE(AS49);COLONNE(AS49);4))</v>
      </c>
      <c r="AU69" s="7532"/>
      <c r="AV69" s="7532"/>
      <c r="AW69" s="7532"/>
      <c r="AX69" s="7533"/>
      <c r="AY69" s="331"/>
      <c r="AZ69" s="566" t="s">
        <v>578</v>
      </c>
      <c r="BA69" s="567"/>
      <c r="BB69" s="567"/>
      <c r="BC69" s="567"/>
      <c r="BD69" s="567"/>
      <c r="BE69" s="567"/>
      <c r="BF69" s="568"/>
      <c r="BG69" s="331"/>
      <c r="BH69" s="331"/>
      <c r="BI69" s="331"/>
      <c r="BJ69" s="331"/>
      <c r="BK69" s="529"/>
    </row>
    <row r="70" spans="2:63">
      <c r="B70" s="7545"/>
      <c r="C70" s="554"/>
      <c r="D70" s="7532"/>
      <c r="E70" s="7532"/>
      <c r="F70" s="7532"/>
      <c r="G70" s="7532"/>
      <c r="H70" s="7533"/>
      <c r="I70" s="331"/>
      <c r="J70" s="569" t="s">
        <v>579</v>
      </c>
      <c r="K70" s="570"/>
      <c r="L70" s="570"/>
      <c r="M70" s="570"/>
      <c r="N70" s="570"/>
      <c r="O70" s="570"/>
      <c r="P70" s="571"/>
      <c r="Q70" s="331"/>
      <c r="R70" s="331"/>
      <c r="S70" s="331"/>
      <c r="T70" s="331"/>
      <c r="U70" s="529"/>
      <c r="W70" s="7545"/>
      <c r="X70" s="554"/>
      <c r="Y70" s="7532"/>
      <c r="Z70" s="7532"/>
      <c r="AA70" s="7532"/>
      <c r="AB70" s="7532"/>
      <c r="AC70" s="7533"/>
      <c r="AD70" s="331"/>
      <c r="AE70" s="569" t="s">
        <v>579</v>
      </c>
      <c r="AF70" s="570"/>
      <c r="AG70" s="570"/>
      <c r="AH70" s="570"/>
      <c r="AI70" s="570"/>
      <c r="AJ70" s="570"/>
      <c r="AK70" s="571"/>
      <c r="AL70" s="331"/>
      <c r="AM70" s="331"/>
      <c r="AN70" s="331"/>
      <c r="AO70" s="331"/>
      <c r="AP70" s="529"/>
      <c r="AR70" s="7545"/>
      <c r="AS70" s="554"/>
      <c r="AT70" s="7532"/>
      <c r="AU70" s="7532"/>
      <c r="AV70" s="7532"/>
      <c r="AW70" s="7532"/>
      <c r="AX70" s="7533"/>
      <c r="AY70" s="331"/>
      <c r="AZ70" s="569" t="s">
        <v>579</v>
      </c>
      <c r="BA70" s="570"/>
      <c r="BB70" s="570"/>
      <c r="BC70" s="570"/>
      <c r="BD70" s="570"/>
      <c r="BE70" s="570"/>
      <c r="BF70" s="571"/>
      <c r="BG70" s="331"/>
      <c r="BH70" s="331"/>
      <c r="BI70" s="331"/>
      <c r="BJ70" s="331"/>
      <c r="BK70" s="529"/>
    </row>
    <row r="71" spans="2:63">
      <c r="B71" s="7545"/>
      <c r="C71" s="554"/>
      <c r="D71" s="558"/>
      <c r="E71" s="558"/>
      <c r="F71" s="558"/>
      <c r="G71" s="558"/>
      <c r="H71" s="559"/>
      <c r="I71" s="331"/>
      <c r="J71" s="569" t="s">
        <v>580</v>
      </c>
      <c r="K71" s="570"/>
      <c r="L71" s="570"/>
      <c r="M71" s="570"/>
      <c r="N71" s="570"/>
      <c r="O71" s="570"/>
      <c r="P71" s="571"/>
      <c r="Q71" s="331"/>
      <c r="R71" s="331"/>
      <c r="S71" s="331"/>
      <c r="T71" s="331"/>
      <c r="U71" s="529"/>
      <c r="W71" s="7545"/>
      <c r="X71" s="554"/>
      <c r="Y71" s="558"/>
      <c r="Z71" s="558"/>
      <c r="AA71" s="558"/>
      <c r="AB71" s="558"/>
      <c r="AC71" s="559"/>
      <c r="AD71" s="331"/>
      <c r="AE71" s="569" t="s">
        <v>580</v>
      </c>
      <c r="AF71" s="570"/>
      <c r="AG71" s="570"/>
      <c r="AH71" s="570"/>
      <c r="AI71" s="570"/>
      <c r="AJ71" s="570"/>
      <c r="AK71" s="571"/>
      <c r="AL71" s="331"/>
      <c r="AM71" s="331"/>
      <c r="AN71" s="331"/>
      <c r="AO71" s="331"/>
      <c r="AP71" s="529"/>
      <c r="AR71" s="7545"/>
      <c r="AS71" s="554"/>
      <c r="AT71" s="558"/>
      <c r="AU71" s="558"/>
      <c r="AV71" s="558"/>
      <c r="AW71" s="558"/>
      <c r="AX71" s="559"/>
      <c r="AY71" s="331"/>
      <c r="AZ71" s="569" t="s">
        <v>580</v>
      </c>
      <c r="BA71" s="570"/>
      <c r="BB71" s="570"/>
      <c r="BC71" s="570"/>
      <c r="BD71" s="570"/>
      <c r="BE71" s="570"/>
      <c r="BF71" s="571"/>
      <c r="BG71" s="331"/>
      <c r="BH71" s="331"/>
      <c r="BI71" s="331"/>
      <c r="BJ71" s="331"/>
      <c r="BK71" s="529"/>
    </row>
    <row r="72" spans="2:63">
      <c r="B72" s="7545"/>
      <c r="C72" s="562" t="str">
        <f>HYPERLINK("#"&amp;ADDRESS(ROW(C49),COLUMN(C49),4),_xlfn.UNICHAR(128269)&amp;ADDRESS(ROW(C49),COLUMN(C49),4))</f>
        <v>🔍C49</v>
      </c>
      <c r="D72" s="7534" t="str">
        <f ca="1">_xlfn.FORMULATEXT(C72)</f>
        <v>=LIEN_HYPERTEXTE("#"&amp;ADRESSE(LIGNE(C49);COLONNE(C49);4);UNICAR(128269)&amp;ADRESSE(LIGNE(C49);COLONNE(C49);4))</v>
      </c>
      <c r="E72" s="7534"/>
      <c r="F72" s="7534"/>
      <c r="G72" s="7534"/>
      <c r="H72" s="7535"/>
      <c r="I72" s="331"/>
      <c r="J72" s="569" t="s">
        <v>581</v>
      </c>
      <c r="K72" s="570"/>
      <c r="L72" s="570"/>
      <c r="M72" s="570"/>
      <c r="N72" s="570"/>
      <c r="O72" s="570"/>
      <c r="P72" s="571"/>
      <c r="Q72" s="331"/>
      <c r="R72" s="331"/>
      <c r="S72" s="331"/>
      <c r="T72" s="331"/>
      <c r="U72" s="529"/>
      <c r="W72" s="7545"/>
      <c r="X72" s="562" t="str">
        <f>HYPERLINK("#"&amp;ADDRESS(ROW(X49),COLUMN(X49),4),_xlfn.UNICHAR(128269)&amp;ADDRESS(ROW(X49),COLUMN(X49),4))</f>
        <v>🔍X49</v>
      </c>
      <c r="Y72" s="7534" t="str">
        <f ca="1">_xlfn.FORMULATEXT(X72)</f>
        <v>=LIEN_HYPERTEXTE("#"&amp;ADRESSE(LIGNE(X49);COLONNE(X49);4);UNICAR(128269)&amp;ADRESSE(LIGNE(X49);COLONNE(X49);4))</v>
      </c>
      <c r="Z72" s="7534"/>
      <c r="AA72" s="7534"/>
      <c r="AB72" s="7534"/>
      <c r="AC72" s="7535"/>
      <c r="AD72" s="331"/>
      <c r="AE72" s="569" t="s">
        <v>581</v>
      </c>
      <c r="AF72" s="570"/>
      <c r="AG72" s="570"/>
      <c r="AH72" s="570"/>
      <c r="AI72" s="570"/>
      <c r="AJ72" s="570"/>
      <c r="AK72" s="571"/>
      <c r="AL72" s="331"/>
      <c r="AM72" s="331"/>
      <c r="AN72" s="331"/>
      <c r="AO72" s="331"/>
      <c r="AP72" s="529"/>
      <c r="AR72" s="7545"/>
      <c r="AS72" s="562" t="str">
        <f>HYPERLINK("#"&amp;ADDRESS(ROW(AS49),COLUMN(AS49),4),_xlfn.UNICHAR(128269)&amp;ADDRESS(ROW(AS49),COLUMN(AS49),4))</f>
        <v>🔍AS49</v>
      </c>
      <c r="AT72" s="7534" t="str">
        <f ca="1">_xlfn.FORMULATEXT(AS72)</f>
        <v>=LIEN_HYPERTEXTE("#"&amp;ADRESSE(LIGNE(AS49);COLONNE(AS49);4);UNICAR(128269)&amp;ADRESSE(LIGNE(AS49);COLONNE(AS49);4))</v>
      </c>
      <c r="AU72" s="7534"/>
      <c r="AV72" s="7534"/>
      <c r="AW72" s="7534"/>
      <c r="AX72" s="7535"/>
      <c r="AY72" s="331"/>
      <c r="AZ72" s="569" t="s">
        <v>581</v>
      </c>
      <c r="BA72" s="570"/>
      <c r="BB72" s="570"/>
      <c r="BC72" s="570"/>
      <c r="BD72" s="570"/>
      <c r="BE72" s="570"/>
      <c r="BF72" s="571"/>
      <c r="BG72" s="331"/>
      <c r="BH72" s="331"/>
      <c r="BI72" s="331"/>
      <c r="BJ72" s="331"/>
      <c r="BK72" s="529"/>
    </row>
    <row r="73" spans="2:63">
      <c r="B73" s="7545"/>
      <c r="C73" s="554"/>
      <c r="D73" s="7534"/>
      <c r="E73" s="7534"/>
      <c r="F73" s="7534"/>
      <c r="G73" s="7534"/>
      <c r="H73" s="7535"/>
      <c r="I73" s="331"/>
      <c r="J73" s="574" t="s">
        <v>582</v>
      </c>
      <c r="K73" s="575"/>
      <c r="L73" s="575"/>
      <c r="M73" s="575"/>
      <c r="N73" s="575"/>
      <c r="O73" s="575"/>
      <c r="P73" s="576"/>
      <c r="Q73" s="331"/>
      <c r="R73" s="331"/>
      <c r="S73" s="331"/>
      <c r="T73" s="331"/>
      <c r="U73" s="529"/>
      <c r="W73" s="7545"/>
      <c r="X73" s="554"/>
      <c r="Y73" s="7534"/>
      <c r="Z73" s="7534"/>
      <c r="AA73" s="7534"/>
      <c r="AB73" s="7534"/>
      <c r="AC73" s="7535"/>
      <c r="AD73" s="331"/>
      <c r="AE73" s="574" t="s">
        <v>582</v>
      </c>
      <c r="AF73" s="575"/>
      <c r="AG73" s="575"/>
      <c r="AH73" s="575"/>
      <c r="AI73" s="575"/>
      <c r="AJ73" s="575"/>
      <c r="AK73" s="576"/>
      <c r="AL73" s="331"/>
      <c r="AM73" s="331"/>
      <c r="AN73" s="331"/>
      <c r="AO73" s="331"/>
      <c r="AP73" s="529"/>
      <c r="AR73" s="7545"/>
      <c r="AS73" s="554"/>
      <c r="AT73" s="7534"/>
      <c r="AU73" s="7534"/>
      <c r="AV73" s="7534"/>
      <c r="AW73" s="7534"/>
      <c r="AX73" s="7535"/>
      <c r="AY73" s="331"/>
      <c r="AZ73" s="574" t="s">
        <v>582</v>
      </c>
      <c r="BA73" s="575"/>
      <c r="BB73" s="575"/>
      <c r="BC73" s="575"/>
      <c r="BD73" s="575"/>
      <c r="BE73" s="575"/>
      <c r="BF73" s="576"/>
      <c r="BG73" s="331"/>
      <c r="BH73" s="331"/>
      <c r="BI73" s="331"/>
      <c r="BJ73" s="331"/>
      <c r="BK73" s="529"/>
    </row>
    <row r="74" spans="2:63">
      <c r="B74" s="7545"/>
      <c r="C74" s="554"/>
      <c r="D74" s="572"/>
      <c r="E74" s="572"/>
      <c r="F74" s="572"/>
      <c r="G74" s="572"/>
      <c r="H74" s="573"/>
      <c r="I74" s="331"/>
      <c r="J74" s="577">
        <v>14</v>
      </c>
      <c r="K74" s="578">
        <v>14</v>
      </c>
      <c r="L74" s="578">
        <v>14</v>
      </c>
      <c r="M74" s="578">
        <v>14</v>
      </c>
      <c r="N74" s="578">
        <v>14</v>
      </c>
      <c r="O74" s="578">
        <v>14</v>
      </c>
      <c r="P74" s="579">
        <v>14</v>
      </c>
      <c r="Q74" s="580" t="s">
        <v>583</v>
      </c>
      <c r="R74" s="502"/>
      <c r="S74" s="502"/>
      <c r="T74" s="331"/>
      <c r="U74" s="529"/>
      <c r="W74" s="7545"/>
      <c r="X74" s="554"/>
      <c r="Y74" s="572"/>
      <c r="Z74" s="572"/>
      <c r="AA74" s="572"/>
      <c r="AB74" s="572"/>
      <c r="AC74" s="573"/>
      <c r="AD74" s="331"/>
      <c r="AE74" s="577">
        <v>14</v>
      </c>
      <c r="AF74" s="578">
        <v>14</v>
      </c>
      <c r="AG74" s="578">
        <v>14</v>
      </c>
      <c r="AH74" s="578">
        <v>14</v>
      </c>
      <c r="AI74" s="578">
        <v>14</v>
      </c>
      <c r="AJ74" s="578">
        <v>14</v>
      </c>
      <c r="AK74" s="579">
        <v>14</v>
      </c>
      <c r="AL74" s="580" t="s">
        <v>583</v>
      </c>
      <c r="AM74" s="502"/>
      <c r="AN74" s="502"/>
      <c r="AO74" s="331"/>
      <c r="AP74" s="529"/>
      <c r="AR74" s="7545"/>
      <c r="AS74" s="554"/>
      <c r="AT74" s="572"/>
      <c r="AU74" s="572"/>
      <c r="AV74" s="572"/>
      <c r="AW74" s="572"/>
      <c r="AX74" s="573"/>
      <c r="AY74" s="331"/>
      <c r="AZ74" s="577">
        <v>14</v>
      </c>
      <c r="BA74" s="578">
        <v>14</v>
      </c>
      <c r="BB74" s="578">
        <v>14</v>
      </c>
      <c r="BC74" s="578">
        <v>14</v>
      </c>
      <c r="BD74" s="578">
        <v>14</v>
      </c>
      <c r="BE74" s="578">
        <v>14</v>
      </c>
      <c r="BF74" s="579">
        <v>14</v>
      </c>
      <c r="BG74" s="580" t="s">
        <v>583</v>
      </c>
      <c r="BH74" s="502"/>
      <c r="BI74" s="502"/>
      <c r="BJ74" s="331"/>
      <c r="BK74" s="529"/>
    </row>
    <row r="75" spans="2:63" ht="16.5" thickBot="1">
      <c r="B75" s="7545"/>
      <c r="C75" s="581"/>
      <c r="D75" s="582" t="s">
        <v>584</v>
      </c>
      <c r="E75" s="583" t="str">
        <f>C49</f>
        <v>C49</v>
      </c>
      <c r="F75" s="584" t="s">
        <v>585</v>
      </c>
      <c r="G75" s="583"/>
      <c r="H75" s="585"/>
      <c r="I75" s="331"/>
      <c r="J75" s="586">
        <f t="shared" ref="J75:O75" ca="1" si="0">CELL("largeur",J75)</f>
        <v>18</v>
      </c>
      <c r="K75" s="587">
        <f t="shared" ca="1" si="0"/>
        <v>16</v>
      </c>
      <c r="L75" s="587">
        <f t="shared" ca="1" si="0"/>
        <v>16</v>
      </c>
      <c r="M75" s="587">
        <f t="shared" ca="1" si="0"/>
        <v>18</v>
      </c>
      <c r="N75" s="587">
        <f t="shared" ca="1" si="0"/>
        <v>16</v>
      </c>
      <c r="O75" s="587">
        <f t="shared" ca="1" si="0"/>
        <v>16</v>
      </c>
      <c r="P75" s="588">
        <f ca="1">CELL("largeur",P75)</f>
        <v>16</v>
      </c>
      <c r="Q75" s="580" t="s">
        <v>586</v>
      </c>
      <c r="R75" s="502"/>
      <c r="S75" s="502"/>
      <c r="T75" s="331"/>
      <c r="U75" s="529"/>
      <c r="W75" s="7545"/>
      <c r="X75" s="581"/>
      <c r="Y75" s="582" t="s">
        <v>587</v>
      </c>
      <c r="Z75" s="583" t="str">
        <f>X49</f>
        <v>X49</v>
      </c>
      <c r="AA75" s="584" t="s">
        <v>588</v>
      </c>
      <c r="AB75" s="583"/>
      <c r="AC75" s="585"/>
      <c r="AD75" s="331"/>
      <c r="AE75" s="586">
        <f t="shared" ref="AE75:AJ75" ca="1" si="1">CELL("largeur",AE75)</f>
        <v>18</v>
      </c>
      <c r="AF75" s="587">
        <f t="shared" ca="1" si="1"/>
        <v>16</v>
      </c>
      <c r="AG75" s="587">
        <f t="shared" ca="1" si="1"/>
        <v>16</v>
      </c>
      <c r="AH75" s="587">
        <f t="shared" ca="1" si="1"/>
        <v>18</v>
      </c>
      <c r="AI75" s="587">
        <f t="shared" ca="1" si="1"/>
        <v>16</v>
      </c>
      <c r="AJ75" s="587">
        <f t="shared" ca="1" si="1"/>
        <v>16</v>
      </c>
      <c r="AK75" s="588">
        <f ca="1">CELL("largeur",AK75)</f>
        <v>16</v>
      </c>
      <c r="AL75" s="580" t="s">
        <v>586</v>
      </c>
      <c r="AM75" s="502"/>
      <c r="AN75" s="502"/>
      <c r="AO75" s="331"/>
      <c r="AP75" s="529"/>
      <c r="AR75" s="7545"/>
      <c r="AS75" s="581"/>
      <c r="AT75" s="582" t="s">
        <v>584</v>
      </c>
      <c r="AU75" s="583" t="str">
        <f>AS49</f>
        <v>AS49</v>
      </c>
      <c r="AV75" s="584" t="s">
        <v>585</v>
      </c>
      <c r="AW75" s="583"/>
      <c r="AX75" s="585"/>
      <c r="AY75" s="331"/>
      <c r="AZ75" s="586">
        <f t="shared" ref="AZ75:BE75" ca="1" si="2">CELL("largeur",AZ75)</f>
        <v>18</v>
      </c>
      <c r="BA75" s="587">
        <f t="shared" ca="1" si="2"/>
        <v>16</v>
      </c>
      <c r="BB75" s="587">
        <f t="shared" ca="1" si="2"/>
        <v>16</v>
      </c>
      <c r="BC75" s="587">
        <f t="shared" ca="1" si="2"/>
        <v>18</v>
      </c>
      <c r="BD75" s="587">
        <f t="shared" ca="1" si="2"/>
        <v>16</v>
      </c>
      <c r="BE75" s="587">
        <f t="shared" ca="1" si="2"/>
        <v>16</v>
      </c>
      <c r="BF75" s="588">
        <f ca="1">CELL("largeur",BF75)</f>
        <v>16</v>
      </c>
      <c r="BG75" s="580" t="s">
        <v>586</v>
      </c>
      <c r="BH75" s="502"/>
      <c r="BI75" s="502"/>
      <c r="BJ75" s="331"/>
      <c r="BK75" s="529"/>
    </row>
    <row r="76" spans="2:63">
      <c r="B76" s="7545"/>
      <c r="C76" s="7538" t="s">
        <v>589</v>
      </c>
      <c r="D76" s="7538"/>
      <c r="E76" s="7538"/>
      <c r="F76" s="7538"/>
      <c r="G76" s="7538"/>
      <c r="H76" s="7539"/>
      <c r="I76" s="331"/>
      <c r="K76" s="331"/>
      <c r="L76" s="331"/>
      <c r="M76" s="331"/>
      <c r="N76" s="331"/>
      <c r="O76" s="331"/>
      <c r="P76" s="331"/>
      <c r="Q76" s="331"/>
      <c r="R76" s="331"/>
      <c r="S76" s="331"/>
      <c r="T76" s="331"/>
      <c r="U76" s="529"/>
      <c r="W76" s="7545"/>
      <c r="X76" s="7538" t="s">
        <v>590</v>
      </c>
      <c r="Y76" s="7538"/>
      <c r="Z76" s="7538"/>
      <c r="AA76" s="7538"/>
      <c r="AB76" s="7538"/>
      <c r="AC76" s="7539"/>
      <c r="AD76" s="331"/>
      <c r="AF76" s="331"/>
      <c r="AG76" s="331"/>
      <c r="AH76" s="331"/>
      <c r="AI76" s="331"/>
      <c r="AJ76" s="331"/>
      <c r="AK76" s="331"/>
      <c r="AL76" s="331"/>
      <c r="AM76" s="331"/>
      <c r="AN76" s="331"/>
      <c r="AO76" s="331"/>
      <c r="AP76" s="529"/>
      <c r="AR76" s="7545"/>
      <c r="AS76" s="7538" t="s">
        <v>589</v>
      </c>
      <c r="AT76" s="7538"/>
      <c r="AU76" s="7538"/>
      <c r="AV76" s="7538"/>
      <c r="AW76" s="7538"/>
      <c r="AX76" s="7539"/>
      <c r="AY76" s="331"/>
      <c r="BA76" s="331"/>
      <c r="BB76" s="331"/>
      <c r="BC76" s="331"/>
      <c r="BD76" s="331"/>
      <c r="BE76" s="331"/>
      <c r="BF76" s="331"/>
      <c r="BG76" s="331"/>
      <c r="BH76" s="331"/>
      <c r="BI76" s="331"/>
      <c r="BJ76" s="331"/>
      <c r="BK76" s="529"/>
    </row>
    <row r="77" spans="2:63">
      <c r="B77" s="7545"/>
      <c r="C77" s="7538"/>
      <c r="D77" s="7538"/>
      <c r="E77" s="7538"/>
      <c r="F77" s="7538"/>
      <c r="G77" s="7538"/>
      <c r="H77" s="7539"/>
      <c r="I77" s="331"/>
      <c r="J77" s="589" t="s">
        <v>591</v>
      </c>
      <c r="K77" s="590"/>
      <c r="L77" s="590"/>
      <c r="M77" s="331"/>
      <c r="N77" s="331"/>
      <c r="O77" s="331"/>
      <c r="P77" s="331"/>
      <c r="Q77" s="331"/>
      <c r="R77" s="331"/>
      <c r="S77" s="331"/>
      <c r="T77" s="331"/>
      <c r="U77" s="529"/>
      <c r="W77" s="7545"/>
      <c r="X77" s="7538"/>
      <c r="Y77" s="7538"/>
      <c r="Z77" s="7538"/>
      <c r="AA77" s="7538"/>
      <c r="AB77" s="7538"/>
      <c r="AC77" s="7539"/>
      <c r="AD77" s="331"/>
      <c r="AE77" s="589" t="s">
        <v>591</v>
      </c>
      <c r="AF77" s="590"/>
      <c r="AG77" s="590"/>
      <c r="AH77" s="331"/>
      <c r="AI77" s="331"/>
      <c r="AJ77" s="331"/>
      <c r="AK77" s="331"/>
      <c r="AL77" s="331"/>
      <c r="AM77" s="331"/>
      <c r="AN77" s="331"/>
      <c r="AO77" s="331"/>
      <c r="AP77" s="529"/>
      <c r="AR77" s="7545"/>
      <c r="AS77" s="7538"/>
      <c r="AT77" s="7538"/>
      <c r="AU77" s="7538"/>
      <c r="AV77" s="7538"/>
      <c r="AW77" s="7538"/>
      <c r="AX77" s="7539"/>
      <c r="AY77" s="331"/>
      <c r="AZ77" s="589" t="s">
        <v>591</v>
      </c>
      <c r="BA77" s="590"/>
      <c r="BB77" s="590"/>
      <c r="BC77" s="331"/>
      <c r="BD77" s="331"/>
      <c r="BE77" s="331"/>
      <c r="BF77" s="331"/>
      <c r="BG77" s="331"/>
      <c r="BH77" s="331"/>
      <c r="BI77" s="331"/>
      <c r="BJ77" s="331"/>
      <c r="BK77" s="529"/>
    </row>
    <row r="78" spans="2:63">
      <c r="B78" s="7545"/>
      <c r="C78" s="554"/>
      <c r="D78" s="591"/>
      <c r="E78" s="591"/>
      <c r="F78" s="591"/>
      <c r="G78" s="591"/>
      <c r="H78" s="592"/>
      <c r="I78" s="331"/>
      <c r="J78" s="593" t="s">
        <v>592</v>
      </c>
      <c r="K78" s="331"/>
      <c r="L78" s="331"/>
      <c r="M78" s="331"/>
      <c r="N78" s="538"/>
      <c r="O78" s="594"/>
      <c r="P78" s="595" t="s">
        <v>593</v>
      </c>
      <c r="Q78" s="565" t="s">
        <v>594</v>
      </c>
      <c r="R78" s="596"/>
      <c r="S78" s="596"/>
      <c r="T78" s="331"/>
      <c r="U78" s="529"/>
      <c r="W78" s="7545"/>
      <c r="X78" s="554"/>
      <c r="Y78" s="591"/>
      <c r="Z78" s="591"/>
      <c r="AA78" s="591"/>
      <c r="AB78" s="591"/>
      <c r="AC78" s="592"/>
      <c r="AD78" s="331"/>
      <c r="AE78" s="593" t="s">
        <v>592</v>
      </c>
      <c r="AF78" s="331"/>
      <c r="AG78" s="331"/>
      <c r="AH78" s="331"/>
      <c r="AI78" s="538"/>
      <c r="AJ78" s="594"/>
      <c r="AK78" s="595" t="s">
        <v>593</v>
      </c>
      <c r="AL78" s="565" t="s">
        <v>594</v>
      </c>
      <c r="AM78" s="596"/>
      <c r="AN78" s="596"/>
      <c r="AO78" s="331"/>
      <c r="AP78" s="529"/>
      <c r="AR78" s="7545"/>
      <c r="AS78" s="554"/>
      <c r="AT78" s="591"/>
      <c r="AU78" s="591"/>
      <c r="AV78" s="591"/>
      <c r="AW78" s="591"/>
      <c r="AX78" s="592"/>
      <c r="AY78" s="331"/>
      <c r="AZ78" s="593" t="s">
        <v>592</v>
      </c>
      <c r="BA78" s="331"/>
      <c r="BB78" s="331"/>
      <c r="BC78" s="331"/>
      <c r="BD78" s="538"/>
      <c r="BE78" s="594"/>
      <c r="BF78" s="595" t="s">
        <v>593</v>
      </c>
      <c r="BG78" s="565" t="s">
        <v>594</v>
      </c>
      <c r="BH78" s="596"/>
      <c r="BI78" s="596"/>
      <c r="BJ78" s="331"/>
      <c r="BK78" s="529"/>
    </row>
    <row r="79" spans="2:63" ht="16.5" thickBot="1">
      <c r="B79" s="7545"/>
      <c r="C79" s="597" t="s">
        <v>595</v>
      </c>
      <c r="D79" s="591"/>
      <c r="E79" s="591"/>
      <c r="F79" s="591"/>
      <c r="G79" s="591"/>
      <c r="H79" s="592"/>
      <c r="I79" s="331"/>
      <c r="J79" s="598" t="s">
        <v>596</v>
      </c>
      <c r="K79" s="331"/>
      <c r="L79" s="331"/>
      <c r="M79" s="331"/>
      <c r="N79" s="502">
        <v>1</v>
      </c>
      <c r="O79" s="502">
        <v>1</v>
      </c>
      <c r="P79" s="502">
        <v>1</v>
      </c>
      <c r="Q79" s="502">
        <v>1</v>
      </c>
      <c r="R79" s="502">
        <v>1</v>
      </c>
      <c r="S79" s="502">
        <v>1</v>
      </c>
      <c r="T79" s="331"/>
      <c r="U79" s="529"/>
      <c r="W79" s="7545"/>
      <c r="X79" s="597" t="s">
        <v>597</v>
      </c>
      <c r="Y79" s="591"/>
      <c r="Z79" s="591"/>
      <c r="AA79" s="591"/>
      <c r="AB79" s="591"/>
      <c r="AC79" s="592"/>
      <c r="AD79" s="331"/>
      <c r="AE79" s="598" t="s">
        <v>596</v>
      </c>
      <c r="AF79" s="331"/>
      <c r="AG79" s="331"/>
      <c r="AH79" s="331"/>
      <c r="AI79" s="502">
        <v>1</v>
      </c>
      <c r="AJ79" s="502">
        <v>1</v>
      </c>
      <c r="AK79" s="502">
        <v>1</v>
      </c>
      <c r="AL79" s="502">
        <v>1</v>
      </c>
      <c r="AM79" s="502">
        <v>1</v>
      </c>
      <c r="AN79" s="502">
        <v>1</v>
      </c>
      <c r="AO79" s="331"/>
      <c r="AP79" s="529"/>
      <c r="AR79" s="7545"/>
      <c r="AS79" s="597" t="s">
        <v>595</v>
      </c>
      <c r="AT79" s="591"/>
      <c r="AU79" s="591"/>
      <c r="AV79" s="591"/>
      <c r="AW79" s="591"/>
      <c r="AX79" s="592"/>
      <c r="AY79" s="331"/>
      <c r="AZ79" s="598" t="s">
        <v>596</v>
      </c>
      <c r="BA79" s="331"/>
      <c r="BB79" s="331"/>
      <c r="BC79" s="331"/>
      <c r="BD79" s="502">
        <v>1</v>
      </c>
      <c r="BE79" s="502">
        <v>1</v>
      </c>
      <c r="BF79" s="502">
        <v>1</v>
      </c>
      <c r="BG79" s="502">
        <v>1</v>
      </c>
      <c r="BH79" s="502">
        <v>1</v>
      </c>
      <c r="BI79" s="502">
        <v>1</v>
      </c>
      <c r="BJ79" s="331"/>
      <c r="BK79" s="529"/>
    </row>
    <row r="80" spans="2:63">
      <c r="B80" s="7545"/>
      <c r="C80" s="599" t="s">
        <v>598</v>
      </c>
      <c r="D80" s="600"/>
      <c r="E80" s="600"/>
      <c r="F80" s="600"/>
      <c r="G80" s="591"/>
      <c r="H80" s="592"/>
      <c r="I80" s="331"/>
      <c r="J80" s="601" t="s">
        <v>599</v>
      </c>
      <c r="K80" s="331"/>
      <c r="L80" s="331"/>
      <c r="M80" s="331"/>
      <c r="N80" s="602" t="s">
        <v>252</v>
      </c>
      <c r="O80" s="7530" t="s">
        <v>600</v>
      </c>
      <c r="P80" s="7530"/>
      <c r="Q80" s="7530"/>
      <c r="R80" s="7530"/>
      <c r="S80" s="7531"/>
      <c r="T80" s="331"/>
      <c r="U80" s="529"/>
      <c r="W80" s="7545"/>
      <c r="X80" s="599" t="s">
        <v>601</v>
      </c>
      <c r="Y80" s="600"/>
      <c r="Z80" s="600"/>
      <c r="AA80" s="600"/>
      <c r="AB80" s="591"/>
      <c r="AC80" s="592"/>
      <c r="AD80" s="331"/>
      <c r="AE80" s="601" t="s">
        <v>599</v>
      </c>
      <c r="AF80" s="331"/>
      <c r="AG80" s="331"/>
      <c r="AH80" s="331"/>
      <c r="AI80" s="602" t="s">
        <v>252</v>
      </c>
      <c r="AJ80" s="7530" t="s">
        <v>600</v>
      </c>
      <c r="AK80" s="7530"/>
      <c r="AL80" s="7530"/>
      <c r="AM80" s="7530"/>
      <c r="AN80" s="7531"/>
      <c r="AO80" s="331"/>
      <c r="AP80" s="529"/>
      <c r="AR80" s="7545"/>
      <c r="AS80" s="599" t="s">
        <v>598</v>
      </c>
      <c r="AT80" s="600"/>
      <c r="AU80" s="600"/>
      <c r="AV80" s="600"/>
      <c r="AW80" s="591"/>
      <c r="AX80" s="592"/>
      <c r="AY80" s="331"/>
      <c r="AZ80" s="601" t="s">
        <v>599</v>
      </c>
      <c r="BA80" s="331"/>
      <c r="BB80" s="331"/>
      <c r="BC80" s="331"/>
      <c r="BD80" s="602" t="s">
        <v>252</v>
      </c>
      <c r="BE80" s="7530" t="s">
        <v>600</v>
      </c>
      <c r="BF80" s="7530"/>
      <c r="BG80" s="7530"/>
      <c r="BH80" s="7530"/>
      <c r="BI80" s="7531"/>
      <c r="BJ80" s="331"/>
      <c r="BK80" s="529"/>
    </row>
    <row r="81" spans="2:63">
      <c r="B81" s="7545"/>
      <c r="C81" s="7551" t="s">
        <v>602</v>
      </c>
      <c r="D81" s="7551"/>
      <c r="E81" s="7551"/>
      <c r="F81" s="7551"/>
      <c r="G81" s="7551"/>
      <c r="H81" s="7552"/>
      <c r="I81" s="331"/>
      <c r="J81" s="603" t="s">
        <v>603</v>
      </c>
      <c r="K81" s="331"/>
      <c r="L81" s="331"/>
      <c r="M81" s="331"/>
      <c r="N81" s="7528">
        <v>3</v>
      </c>
      <c r="O81"/>
      <c r="P81" s="604" t="s">
        <v>604</v>
      </c>
      <c r="Q81" s="605" t="s">
        <v>605</v>
      </c>
      <c r="R81" s="606"/>
      <c r="S81" s="607"/>
      <c r="T81" s="331"/>
      <c r="U81" s="529"/>
      <c r="W81" s="7545"/>
      <c r="X81" s="7551" t="s">
        <v>606</v>
      </c>
      <c r="Y81" s="7551"/>
      <c r="Z81" s="7551"/>
      <c r="AA81" s="7551"/>
      <c r="AB81" s="7551"/>
      <c r="AC81" s="7552"/>
      <c r="AD81" s="331"/>
      <c r="AE81" s="603" t="s">
        <v>603</v>
      </c>
      <c r="AF81" s="331"/>
      <c r="AG81" s="331"/>
      <c r="AH81" s="331"/>
      <c r="AI81" s="7528">
        <v>3</v>
      </c>
      <c r="AJ81"/>
      <c r="AK81" s="604" t="s">
        <v>604</v>
      </c>
      <c r="AL81" s="605" t="s">
        <v>605</v>
      </c>
      <c r="AM81" s="606"/>
      <c r="AN81" s="607"/>
      <c r="AO81" s="331"/>
      <c r="AP81" s="529"/>
      <c r="AR81" s="7545"/>
      <c r="AS81" s="7551" t="s">
        <v>602</v>
      </c>
      <c r="AT81" s="7551"/>
      <c r="AU81" s="7551"/>
      <c r="AV81" s="7551"/>
      <c r="AW81" s="7551"/>
      <c r="AX81" s="7552"/>
      <c r="AY81" s="331"/>
      <c r="AZ81" s="603" t="s">
        <v>603</v>
      </c>
      <c r="BA81" s="331"/>
      <c r="BB81" s="331"/>
      <c r="BC81" s="331"/>
      <c r="BD81" s="7528">
        <v>3</v>
      </c>
      <c r="BE81"/>
      <c r="BF81" s="604" t="s">
        <v>604</v>
      </c>
      <c r="BG81" s="605" t="s">
        <v>605</v>
      </c>
      <c r="BH81" s="606"/>
      <c r="BI81" s="607"/>
      <c r="BJ81" s="331"/>
      <c r="BK81" s="529"/>
    </row>
    <row r="82" spans="2:63">
      <c r="B82" s="7545"/>
      <c r="C82" s="7551"/>
      <c r="D82" s="7551"/>
      <c r="E82" s="7551"/>
      <c r="F82" s="7551"/>
      <c r="G82" s="7551"/>
      <c r="H82" s="7552"/>
      <c r="I82" s="331"/>
      <c r="J82" s="608" t="s">
        <v>607</v>
      </c>
      <c r="K82" s="331"/>
      <c r="L82" s="331"/>
      <c r="M82" s="331"/>
      <c r="N82" s="7528"/>
      <c r="O82" s="147"/>
      <c r="P82" s="147"/>
      <c r="Q82" s="147"/>
      <c r="R82" s="147"/>
      <c r="S82" s="609"/>
      <c r="T82" s="331"/>
      <c r="U82" s="529"/>
      <c r="W82" s="7545"/>
      <c r="X82" s="7551"/>
      <c r="Y82" s="7551"/>
      <c r="Z82" s="7551"/>
      <c r="AA82" s="7551"/>
      <c r="AB82" s="7551"/>
      <c r="AC82" s="7552"/>
      <c r="AD82" s="331"/>
      <c r="AE82" s="608" t="s">
        <v>607</v>
      </c>
      <c r="AF82" s="331"/>
      <c r="AG82" s="331"/>
      <c r="AH82" s="331"/>
      <c r="AI82" s="7528"/>
      <c r="AJ82" s="147"/>
      <c r="AK82" s="147"/>
      <c r="AL82" s="147"/>
      <c r="AM82" s="147"/>
      <c r="AN82" s="609"/>
      <c r="AO82" s="331"/>
      <c r="AP82" s="529"/>
      <c r="AR82" s="7545"/>
      <c r="AS82" s="7551"/>
      <c r="AT82" s="7551"/>
      <c r="AU82" s="7551"/>
      <c r="AV82" s="7551"/>
      <c r="AW82" s="7551"/>
      <c r="AX82" s="7552"/>
      <c r="AY82" s="331"/>
      <c r="AZ82" s="608" t="s">
        <v>607</v>
      </c>
      <c r="BA82" s="331"/>
      <c r="BB82" s="331"/>
      <c r="BC82" s="331"/>
      <c r="BD82" s="7528"/>
      <c r="BE82" s="147"/>
      <c r="BF82" s="147"/>
      <c r="BG82" s="147"/>
      <c r="BH82" s="147"/>
      <c r="BI82" s="609"/>
      <c r="BJ82" s="331"/>
      <c r="BK82" s="529"/>
    </row>
    <row r="83" spans="2:63">
      <c r="B83" s="7545"/>
      <c r="C83" s="610"/>
      <c r="D83" s="591"/>
      <c r="E83" s="591"/>
      <c r="F83" s="591"/>
      <c r="G83" s="591"/>
      <c r="H83" s="592"/>
      <c r="I83" s="331"/>
      <c r="J83" s="611" t="s">
        <v>608</v>
      </c>
      <c r="K83" s="331"/>
      <c r="L83" s="331"/>
      <c r="M83" s="331"/>
      <c r="N83" s="7528"/>
      <c r="O83" s="141"/>
      <c r="P83" s="141"/>
      <c r="Q83" s="612" t="s">
        <v>609</v>
      </c>
      <c r="R83" s="613">
        <v>6</v>
      </c>
      <c r="S83" s="409"/>
      <c r="T83" s="331"/>
      <c r="U83" s="529"/>
      <c r="W83" s="7545"/>
      <c r="X83" s="610"/>
      <c r="Y83" s="591"/>
      <c r="Z83" s="591"/>
      <c r="AA83" s="591"/>
      <c r="AB83" s="591"/>
      <c r="AC83" s="592"/>
      <c r="AD83" s="331"/>
      <c r="AE83" s="611" t="s">
        <v>608</v>
      </c>
      <c r="AF83" s="331"/>
      <c r="AG83" s="331"/>
      <c r="AH83" s="331"/>
      <c r="AI83" s="7528"/>
      <c r="AJ83" s="141"/>
      <c r="AK83" s="141"/>
      <c r="AL83" s="612" t="s">
        <v>609</v>
      </c>
      <c r="AM83" s="613">
        <v>6</v>
      </c>
      <c r="AN83" s="409"/>
      <c r="AO83" s="331"/>
      <c r="AP83" s="529"/>
      <c r="AR83" s="7545"/>
      <c r="AS83" s="610"/>
      <c r="AT83" s="591"/>
      <c r="AU83" s="591"/>
      <c r="AV83" s="591"/>
      <c r="AW83" s="591"/>
      <c r="AX83" s="592"/>
      <c r="AY83" s="331"/>
      <c r="AZ83" s="611" t="s">
        <v>608</v>
      </c>
      <c r="BA83" s="331"/>
      <c r="BB83" s="331"/>
      <c r="BC83" s="331"/>
      <c r="BD83" s="7528"/>
      <c r="BE83" s="141"/>
      <c r="BF83" s="141"/>
      <c r="BG83" s="612" t="s">
        <v>609</v>
      </c>
      <c r="BH83" s="613">
        <v>6</v>
      </c>
      <c r="BI83" s="409"/>
      <c r="BJ83" s="331"/>
      <c r="BK83" s="529"/>
    </row>
    <row r="84" spans="2:63">
      <c r="B84" s="7545"/>
      <c r="C84" s="614" t="str">
        <f>HYPERLINK("# c131",_xlfn.UNICHAR(128269)&amp;" 🔗 Lien")</f>
        <v>🔍 🔗 Lien</v>
      </c>
      <c r="D84" s="615" t="str">
        <f ca="1">_xlfn.FORMULATEXT(C84)</f>
        <v>=LIEN_HYPERTEXTE("# c131";UNICAR(128269)&amp;" 🔗 Lien")</v>
      </c>
      <c r="E84" s="536"/>
      <c r="F84" s="536"/>
      <c r="G84" s="536"/>
      <c r="H84" s="537"/>
      <c r="I84" s="331"/>
      <c r="J84" s="616" t="s">
        <v>610</v>
      </c>
      <c r="K84" s="331"/>
      <c r="L84" s="331"/>
      <c r="M84" s="331"/>
      <c r="N84" s="7528"/>
      <c r="O84" s="141"/>
      <c r="P84" s="141"/>
      <c r="Q84" s="612" t="s">
        <v>611</v>
      </c>
      <c r="R84" s="613">
        <v>4</v>
      </c>
      <c r="S84" s="409"/>
      <c r="T84" s="331"/>
      <c r="U84" s="529"/>
      <c r="W84" s="7545"/>
      <c r="X84" s="614" t="str">
        <f>HYPERLINK("# c131",_xlfn.UNICHAR(128269)&amp;" 🔗 Lien")</f>
        <v>🔍 🔗 Lien</v>
      </c>
      <c r="Y84" s="615" t="str">
        <f ca="1">_xlfn.FORMULATEXT(X84)</f>
        <v>=LIEN_HYPERTEXTE("# c131";UNICAR(128269)&amp;" 🔗 Lien")</v>
      </c>
      <c r="Z84" s="536"/>
      <c r="AA84" s="536"/>
      <c r="AB84" s="536"/>
      <c r="AC84" s="537"/>
      <c r="AD84" s="331"/>
      <c r="AE84" s="616" t="s">
        <v>610</v>
      </c>
      <c r="AF84" s="331"/>
      <c r="AG84" s="331"/>
      <c r="AH84" s="331"/>
      <c r="AI84" s="7528"/>
      <c r="AJ84" s="141"/>
      <c r="AK84" s="141"/>
      <c r="AL84" s="612" t="s">
        <v>611</v>
      </c>
      <c r="AM84" s="613">
        <v>4</v>
      </c>
      <c r="AN84" s="409"/>
      <c r="AO84" s="331"/>
      <c r="AP84" s="529"/>
      <c r="AR84" s="7545"/>
      <c r="AS84" s="614" t="str">
        <f>HYPERLINK("# c131",_xlfn.UNICHAR(128269)&amp;" 🔗 Lien")</f>
        <v>🔍 🔗 Lien</v>
      </c>
      <c r="AT84" s="615" t="str">
        <f ca="1">_xlfn.FORMULATEXT(AS84)</f>
        <v>=LIEN_HYPERTEXTE("# c131";UNICAR(128269)&amp;" 🔗 Lien")</v>
      </c>
      <c r="AU84" s="536"/>
      <c r="AV84" s="536"/>
      <c r="AW84" s="536"/>
      <c r="AX84" s="537"/>
      <c r="AY84" s="331"/>
      <c r="AZ84" s="616" t="s">
        <v>610</v>
      </c>
      <c r="BA84" s="331"/>
      <c r="BB84" s="331"/>
      <c r="BC84" s="331"/>
      <c r="BD84" s="7528"/>
      <c r="BE84" s="141"/>
      <c r="BF84" s="141"/>
      <c r="BG84" s="612" t="s">
        <v>611</v>
      </c>
      <c r="BH84" s="613">
        <v>4</v>
      </c>
      <c r="BI84" s="409"/>
      <c r="BJ84" s="331"/>
      <c r="BK84" s="529"/>
    </row>
    <row r="85" spans="2:63">
      <c r="B85" s="7545"/>
      <c r="C85" s="617"/>
      <c r="D85" s="615"/>
      <c r="E85" s="536"/>
      <c r="F85" s="536"/>
      <c r="G85" s="536"/>
      <c r="H85" s="537"/>
      <c r="I85" s="331"/>
      <c r="J85" s="618" t="s">
        <v>612</v>
      </c>
      <c r="K85" s="331"/>
      <c r="L85" s="331"/>
      <c r="M85" s="331"/>
      <c r="N85" s="7528"/>
      <c r="O85" s="141"/>
      <c r="P85" s="141"/>
      <c r="Q85" s="141" t="s">
        <v>613</v>
      </c>
      <c r="R85" s="331" t="str">
        <f>MID(Q81,R83,R84)</f>
        <v>4522</v>
      </c>
      <c r="S85" s="409"/>
      <c r="T85" s="331"/>
      <c r="U85" s="529"/>
      <c r="W85" s="7545"/>
      <c r="X85" s="617"/>
      <c r="Y85" s="615"/>
      <c r="Z85" s="536"/>
      <c r="AA85" s="536"/>
      <c r="AB85" s="536"/>
      <c r="AC85" s="537"/>
      <c r="AD85" s="331"/>
      <c r="AE85" s="618" t="s">
        <v>612</v>
      </c>
      <c r="AF85" s="331"/>
      <c r="AG85" s="331"/>
      <c r="AH85" s="331"/>
      <c r="AI85" s="7528"/>
      <c r="AJ85" s="141"/>
      <c r="AK85" s="141"/>
      <c r="AL85" s="141" t="s">
        <v>613</v>
      </c>
      <c r="AM85" s="331" t="str">
        <f>MID(AL81,AM83,AM84)</f>
        <v>4522</v>
      </c>
      <c r="AN85" s="409"/>
      <c r="AO85" s="331"/>
      <c r="AP85" s="529"/>
      <c r="AR85" s="7545"/>
      <c r="AS85" s="617"/>
      <c r="AT85" s="615"/>
      <c r="AU85" s="536"/>
      <c r="AV85" s="536"/>
      <c r="AW85" s="536"/>
      <c r="AX85" s="537"/>
      <c r="AY85" s="331"/>
      <c r="AZ85" s="618" t="s">
        <v>612</v>
      </c>
      <c r="BA85" s="331"/>
      <c r="BB85" s="331"/>
      <c r="BC85" s="331"/>
      <c r="BD85" s="7528"/>
      <c r="BE85" s="141"/>
      <c r="BF85" s="141"/>
      <c r="BG85" s="141" t="s">
        <v>613</v>
      </c>
      <c r="BH85" s="331" t="str">
        <f>MID(BG81,BH83,BH84)</f>
        <v>4522</v>
      </c>
      <c r="BI85" s="409"/>
      <c r="BJ85" s="331"/>
      <c r="BK85" s="529"/>
    </row>
    <row r="86" spans="2:63">
      <c r="B86" s="7545"/>
      <c r="C86" s="614" t="str">
        <f>HYPERLINK("#c131",_xlfn.UNICHAR(128269)&amp;"La bas")</f>
        <v>🔍La bas</v>
      </c>
      <c r="D86" s="615" t="str">
        <f ca="1">_xlfn.FORMULATEXT(C86)</f>
        <v>=LIEN_HYPERTEXTE("#c131";UNICAR(128269)&amp;"La bas")</v>
      </c>
      <c r="E86" s="536"/>
      <c r="F86" s="536"/>
      <c r="G86" s="536"/>
      <c r="H86" s="537"/>
      <c r="I86" s="331"/>
      <c r="J86" s="619" t="s">
        <v>614</v>
      </c>
      <c r="K86" s="331"/>
      <c r="L86" s="331"/>
      <c r="M86" s="331"/>
      <c r="N86" s="7528"/>
      <c r="O86" s="141"/>
      <c r="P86" s="141"/>
      <c r="Q86" s="141"/>
      <c r="R86" s="141"/>
      <c r="S86" s="409"/>
      <c r="T86" s="331"/>
      <c r="U86" s="529"/>
      <c r="W86" s="7545"/>
      <c r="X86" s="614" t="str">
        <f>HYPERLINK("#c131",_xlfn.UNICHAR(128269)&amp;"La bas")</f>
        <v>🔍La bas</v>
      </c>
      <c r="Y86" s="615" t="str">
        <f ca="1">_xlfn.FORMULATEXT(X86)</f>
        <v>=LIEN_HYPERTEXTE("#c131";UNICAR(128269)&amp;"La bas")</v>
      </c>
      <c r="Z86" s="536"/>
      <c r="AA86" s="536"/>
      <c r="AB86" s="536"/>
      <c r="AC86" s="537"/>
      <c r="AD86" s="331"/>
      <c r="AE86" s="619" t="s">
        <v>614</v>
      </c>
      <c r="AF86" s="331"/>
      <c r="AG86" s="331"/>
      <c r="AH86" s="331"/>
      <c r="AI86" s="7528"/>
      <c r="AJ86" s="141"/>
      <c r="AK86" s="141"/>
      <c r="AL86" s="141"/>
      <c r="AM86" s="141"/>
      <c r="AN86" s="409"/>
      <c r="AO86" s="331"/>
      <c r="AP86" s="529"/>
      <c r="AR86" s="7545"/>
      <c r="AS86" s="614" t="str">
        <f>HYPERLINK("#c131",_xlfn.UNICHAR(128269)&amp;"La bas")</f>
        <v>🔍La bas</v>
      </c>
      <c r="AT86" s="615" t="str">
        <f ca="1">_xlfn.FORMULATEXT(AS86)</f>
        <v>=LIEN_HYPERTEXTE("#c131";UNICAR(128269)&amp;"La bas")</v>
      </c>
      <c r="AU86" s="536"/>
      <c r="AV86" s="536"/>
      <c r="AW86" s="536"/>
      <c r="AX86" s="537"/>
      <c r="AY86" s="331"/>
      <c r="AZ86" s="619" t="s">
        <v>614</v>
      </c>
      <c r="BA86" s="331"/>
      <c r="BB86" s="331"/>
      <c r="BC86" s="331"/>
      <c r="BD86" s="7528"/>
      <c r="BE86" s="141"/>
      <c r="BF86" s="141"/>
      <c r="BG86" s="141"/>
      <c r="BH86" s="141"/>
      <c r="BI86" s="409"/>
      <c r="BJ86" s="331"/>
      <c r="BK86" s="529"/>
    </row>
    <row r="87" spans="2:63">
      <c r="B87" s="7545"/>
      <c r="C87" s="617"/>
      <c r="D87" s="615"/>
      <c r="E87" s="536"/>
      <c r="F87" s="536"/>
      <c r="G87" s="536"/>
      <c r="H87" s="537"/>
      <c r="I87" s="331"/>
      <c r="J87" s="620" t="s">
        <v>615</v>
      </c>
      <c r="K87" s="331"/>
      <c r="L87" s="331"/>
      <c r="M87" s="331"/>
      <c r="N87" s="7528"/>
      <c r="O87" s="7524" t="s">
        <v>616</v>
      </c>
      <c r="P87" s="7524"/>
      <c r="Q87" s="7524"/>
      <c r="R87" s="7524"/>
      <c r="S87" s="7525"/>
      <c r="T87" s="331"/>
      <c r="U87" s="529"/>
      <c r="W87" s="7545"/>
      <c r="X87" s="617"/>
      <c r="Y87" s="615"/>
      <c r="Z87" s="536"/>
      <c r="AA87" s="536"/>
      <c r="AB87" s="536"/>
      <c r="AC87" s="537"/>
      <c r="AD87" s="331"/>
      <c r="AE87" s="620" t="s">
        <v>615</v>
      </c>
      <c r="AF87" s="331"/>
      <c r="AG87" s="331"/>
      <c r="AH87" s="331"/>
      <c r="AI87" s="7528"/>
      <c r="AJ87" s="7524" t="s">
        <v>616</v>
      </c>
      <c r="AK87" s="7524"/>
      <c r="AL87" s="7524"/>
      <c r="AM87" s="7524"/>
      <c r="AN87" s="7525"/>
      <c r="AO87" s="331"/>
      <c r="AP87" s="529"/>
      <c r="AR87" s="7545"/>
      <c r="AS87" s="617"/>
      <c r="AT87" s="615"/>
      <c r="AU87" s="536"/>
      <c r="AV87" s="536"/>
      <c r="AW87" s="536"/>
      <c r="AX87" s="537"/>
      <c r="AY87" s="331"/>
      <c r="AZ87" s="620" t="s">
        <v>615</v>
      </c>
      <c r="BA87" s="331"/>
      <c r="BB87" s="331"/>
      <c r="BC87" s="331"/>
      <c r="BD87" s="7528"/>
      <c r="BE87" s="7524" t="s">
        <v>616</v>
      </c>
      <c r="BF87" s="7524"/>
      <c r="BG87" s="7524"/>
      <c r="BH87" s="7524"/>
      <c r="BI87" s="7525"/>
      <c r="BJ87" s="331"/>
      <c r="BK87" s="529"/>
    </row>
    <row r="88" spans="2:63">
      <c r="B88" s="7545"/>
      <c r="C88" s="621" t="str">
        <f>HYPERLINK("# c131"," 🔗 Cliquez")</f>
        <v xml:space="preserve"> 🔗 Cliquez</v>
      </c>
      <c r="D88" s="615" t="str">
        <f ca="1">_xlfn.FORMULATEXT(C88)</f>
        <v>=LIEN_HYPERTEXTE("# c131";" 🔗 Cliquez")</v>
      </c>
      <c r="E88" s="536"/>
      <c r="F88" s="536"/>
      <c r="G88" s="536"/>
      <c r="H88" s="537"/>
      <c r="I88" s="331"/>
      <c r="J88" s="622" t="s">
        <v>617</v>
      </c>
      <c r="K88" s="331"/>
      <c r="L88" s="331"/>
      <c r="M88" s="331"/>
      <c r="N88" s="7528"/>
      <c r="O88" s="7524"/>
      <c r="P88" s="7524"/>
      <c r="Q88" s="7524"/>
      <c r="R88" s="7524"/>
      <c r="S88" s="7525"/>
      <c r="T88" s="331"/>
      <c r="U88" s="529"/>
      <c r="W88" s="7545"/>
      <c r="X88" s="621" t="str">
        <f>HYPERLINK("# c131"," 🔗 Cliquez")</f>
        <v xml:space="preserve"> 🔗 Cliquez</v>
      </c>
      <c r="Y88" s="615" t="str">
        <f ca="1">_xlfn.FORMULATEXT(X88)</f>
        <v>=LIEN_HYPERTEXTE("# c131";" 🔗 Cliquez")</v>
      </c>
      <c r="Z88" s="536"/>
      <c r="AA88" s="536"/>
      <c r="AB88" s="536"/>
      <c r="AC88" s="537"/>
      <c r="AD88" s="331"/>
      <c r="AE88" s="622" t="s">
        <v>617</v>
      </c>
      <c r="AF88" s="331"/>
      <c r="AG88" s="331"/>
      <c r="AH88" s="331"/>
      <c r="AI88" s="7528"/>
      <c r="AJ88" s="7524"/>
      <c r="AK88" s="7524"/>
      <c r="AL88" s="7524"/>
      <c r="AM88" s="7524"/>
      <c r="AN88" s="7525"/>
      <c r="AO88" s="331"/>
      <c r="AP88" s="529"/>
      <c r="AR88" s="7545"/>
      <c r="AS88" s="621" t="str">
        <f>HYPERLINK("# c131"," 🔗 Cliquez")</f>
        <v xml:space="preserve"> 🔗 Cliquez</v>
      </c>
      <c r="AT88" s="615" t="str">
        <f ca="1">_xlfn.FORMULATEXT(AS88)</f>
        <v>=LIEN_HYPERTEXTE("# c131";" 🔗 Cliquez")</v>
      </c>
      <c r="AU88" s="536"/>
      <c r="AV88" s="536"/>
      <c r="AW88" s="536"/>
      <c r="AX88" s="537"/>
      <c r="AY88" s="331"/>
      <c r="AZ88" s="622" t="s">
        <v>617</v>
      </c>
      <c r="BA88" s="331"/>
      <c r="BB88" s="331"/>
      <c r="BC88" s="331"/>
      <c r="BD88" s="7528"/>
      <c r="BE88" s="7524"/>
      <c r="BF88" s="7524"/>
      <c r="BG88" s="7524"/>
      <c r="BH88" s="7524"/>
      <c r="BI88" s="7525"/>
      <c r="BJ88" s="331"/>
      <c r="BK88" s="529"/>
    </row>
    <row r="89" spans="2:63">
      <c r="B89" s="7545"/>
      <c r="C89" s="536"/>
      <c r="D89" s="536"/>
      <c r="E89" s="536"/>
      <c r="F89" s="536"/>
      <c r="G89" s="536"/>
      <c r="H89" s="537"/>
      <c r="I89" s="331"/>
      <c r="J89" s="623" t="s">
        <v>618</v>
      </c>
      <c r="K89" s="331"/>
      <c r="L89" s="331"/>
      <c r="M89" s="331"/>
      <c r="N89" s="7528"/>
      <c r="O89" s="624">
        <v>11</v>
      </c>
      <c r="P89" s="624">
        <v>11</v>
      </c>
      <c r="Q89" s="624">
        <v>11</v>
      </c>
      <c r="R89" s="624">
        <v>11</v>
      </c>
      <c r="S89" s="625">
        <v>11</v>
      </c>
      <c r="T89" s="331"/>
      <c r="U89" s="529"/>
      <c r="W89" s="7545"/>
      <c r="X89" s="536"/>
      <c r="Y89" s="536"/>
      <c r="Z89" s="536"/>
      <c r="AA89" s="536"/>
      <c r="AB89" s="536"/>
      <c r="AC89" s="537"/>
      <c r="AD89" s="331"/>
      <c r="AE89" s="623" t="s">
        <v>618</v>
      </c>
      <c r="AF89" s="331"/>
      <c r="AG89" s="331"/>
      <c r="AH89" s="331"/>
      <c r="AI89" s="7528"/>
      <c r="AJ89" s="624">
        <v>11</v>
      </c>
      <c r="AK89" s="624">
        <v>11</v>
      </c>
      <c r="AL89" s="624">
        <v>11</v>
      </c>
      <c r="AM89" s="624">
        <v>11</v>
      </c>
      <c r="AN89" s="625">
        <v>11</v>
      </c>
      <c r="AO89" s="331"/>
      <c r="AP89" s="529"/>
      <c r="AR89" s="7545"/>
      <c r="AS89" s="536"/>
      <c r="AT89" s="536"/>
      <c r="AU89" s="536"/>
      <c r="AV89" s="536"/>
      <c r="AW89" s="536"/>
      <c r="AX89" s="537"/>
      <c r="AY89" s="331"/>
      <c r="AZ89" s="623" t="s">
        <v>618</v>
      </c>
      <c r="BA89" s="331"/>
      <c r="BB89" s="331"/>
      <c r="BC89" s="331"/>
      <c r="BD89" s="7528"/>
      <c r="BE89" s="624">
        <v>11</v>
      </c>
      <c r="BF89" s="624">
        <v>11</v>
      </c>
      <c r="BG89" s="624">
        <v>11</v>
      </c>
      <c r="BH89" s="624">
        <v>11</v>
      </c>
      <c r="BI89" s="625">
        <v>11</v>
      </c>
      <c r="BJ89" s="331"/>
      <c r="BK89" s="529"/>
    </row>
    <row r="90" spans="2:63" ht="16.5" thickBot="1">
      <c r="B90" s="7545"/>
      <c r="C90" s="589" t="s">
        <v>619</v>
      </c>
      <c r="D90" s="538"/>
      <c r="E90" s="538"/>
      <c r="F90" s="538"/>
      <c r="G90" s="538"/>
      <c r="H90" s="537"/>
      <c r="I90" s="331"/>
      <c r="J90" s="626" t="s">
        <v>620</v>
      </c>
      <c r="K90" s="331"/>
      <c r="L90" s="331"/>
      <c r="M90" s="331"/>
      <c r="N90" s="7529"/>
      <c r="O90" s="587">
        <f ca="1">CELL("largeur",O90)</f>
        <v>16</v>
      </c>
      <c r="P90" s="587">
        <f ca="1">CELL("largeur",P90)</f>
        <v>16</v>
      </c>
      <c r="Q90" s="587">
        <f ca="1">CELL("largeur",Q90)</f>
        <v>11</v>
      </c>
      <c r="R90" s="587">
        <f ca="1">CELL("largeur",R90)</f>
        <v>11</v>
      </c>
      <c r="S90" s="588">
        <f ca="1">CELL("largeur",S90)</f>
        <v>11</v>
      </c>
      <c r="T90" s="331"/>
      <c r="U90" s="529"/>
      <c r="W90" s="7545"/>
      <c r="X90" s="589" t="s">
        <v>621</v>
      </c>
      <c r="Y90" s="538"/>
      <c r="Z90" s="538"/>
      <c r="AA90" s="538"/>
      <c r="AB90" s="538"/>
      <c r="AC90" s="537"/>
      <c r="AD90" s="331"/>
      <c r="AE90" s="626" t="s">
        <v>620</v>
      </c>
      <c r="AF90" s="331"/>
      <c r="AG90" s="331"/>
      <c r="AH90" s="331"/>
      <c r="AI90" s="7529"/>
      <c r="AJ90" s="587">
        <f ca="1">CELL("largeur",AJ90)</f>
        <v>16</v>
      </c>
      <c r="AK90" s="587">
        <f ca="1">CELL("largeur",AK90)</f>
        <v>16</v>
      </c>
      <c r="AL90" s="587">
        <f ca="1">CELL("largeur",AL90)</f>
        <v>11</v>
      </c>
      <c r="AM90" s="587">
        <f ca="1">CELL("largeur",AM90)</f>
        <v>11</v>
      </c>
      <c r="AN90" s="588">
        <f ca="1">CELL("largeur",AN90)</f>
        <v>11</v>
      </c>
      <c r="AO90" s="331"/>
      <c r="AP90" s="529"/>
      <c r="AR90" s="7545"/>
      <c r="AS90" s="589" t="s">
        <v>619</v>
      </c>
      <c r="AT90" s="538"/>
      <c r="AU90" s="538"/>
      <c r="AV90" s="538"/>
      <c r="AW90" s="538"/>
      <c r="AX90" s="537"/>
      <c r="AY90" s="331"/>
      <c r="AZ90" s="626" t="s">
        <v>620</v>
      </c>
      <c r="BA90" s="331"/>
      <c r="BB90" s="331"/>
      <c r="BC90" s="331"/>
      <c r="BD90" s="7529"/>
      <c r="BE90" s="587">
        <f ca="1">CELL("largeur",BE90)</f>
        <v>16</v>
      </c>
      <c r="BF90" s="587">
        <f ca="1">CELL("largeur",BF90)</f>
        <v>16</v>
      </c>
      <c r="BG90" s="587">
        <f ca="1">CELL("largeur",BG90)</f>
        <v>11</v>
      </c>
      <c r="BH90" s="587">
        <f ca="1">CELL("largeur",BH90)</f>
        <v>11</v>
      </c>
      <c r="BI90" s="588">
        <f ca="1">CELL("largeur",BI90)</f>
        <v>11</v>
      </c>
      <c r="BJ90" s="331"/>
      <c r="BK90" s="529"/>
    </row>
    <row r="91" spans="2:63" ht="18.75">
      <c r="B91" s="7545"/>
      <c r="C91" s="627" t="s">
        <v>622</v>
      </c>
      <c r="D91" s="536"/>
      <c r="E91" s="536"/>
      <c r="F91" s="536"/>
      <c r="G91" s="536"/>
      <c r="H91" s="537"/>
      <c r="I91" s="331"/>
      <c r="J91" s="628" t="s">
        <v>623</v>
      </c>
      <c r="K91" s="331"/>
      <c r="L91" s="331"/>
      <c r="M91" s="331"/>
      <c r="N91" s="331"/>
      <c r="O91" s="331"/>
      <c r="P91" s="331"/>
      <c r="Q91" s="331"/>
      <c r="R91" s="331"/>
      <c r="S91" s="331"/>
      <c r="T91" s="331"/>
      <c r="U91" s="529"/>
      <c r="W91" s="7545"/>
      <c r="X91" s="627" t="s">
        <v>622</v>
      </c>
      <c r="Y91" s="536"/>
      <c r="Z91" s="536"/>
      <c r="AA91" s="536"/>
      <c r="AB91" s="536"/>
      <c r="AC91" s="537"/>
      <c r="AD91" s="331"/>
      <c r="AE91" s="628" t="s">
        <v>623</v>
      </c>
      <c r="AF91" s="331"/>
      <c r="AG91" s="331"/>
      <c r="AH91" s="331"/>
      <c r="AI91" s="331"/>
      <c r="AJ91" s="331"/>
      <c r="AK91" s="331"/>
      <c r="AL91" s="331"/>
      <c r="AM91" s="331"/>
      <c r="AN91" s="331"/>
      <c r="AO91" s="331"/>
      <c r="AP91" s="529"/>
      <c r="AR91" s="7545"/>
      <c r="AS91" s="627" t="s">
        <v>622</v>
      </c>
      <c r="AT91" s="536"/>
      <c r="AU91" s="536"/>
      <c r="AV91" s="536"/>
      <c r="AW91" s="536"/>
      <c r="AX91" s="537"/>
      <c r="AY91" s="331"/>
      <c r="AZ91" s="628" t="s">
        <v>623</v>
      </c>
      <c r="BA91" s="331"/>
      <c r="BB91" s="331"/>
      <c r="BC91" s="331"/>
      <c r="BD91" s="331"/>
      <c r="BE91" s="331"/>
      <c r="BF91" s="331"/>
      <c r="BG91" s="331"/>
      <c r="BH91" s="331"/>
      <c r="BI91" s="331"/>
      <c r="BJ91" s="331"/>
      <c r="BK91" s="529"/>
    </row>
    <row r="92" spans="2:63">
      <c r="B92" s="7545"/>
      <c r="C92" s="629"/>
      <c r="D92" s="536"/>
      <c r="E92" s="536"/>
      <c r="F92" s="536"/>
      <c r="G92" s="536"/>
      <c r="H92" s="537"/>
      <c r="I92" s="331"/>
      <c r="J92" s="630" t="s">
        <v>624</v>
      </c>
      <c r="K92" s="331"/>
      <c r="L92" s="331"/>
      <c r="M92" s="331"/>
      <c r="N92" s="331"/>
      <c r="O92" s="331"/>
      <c r="P92" s="331"/>
      <c r="Q92" s="331"/>
      <c r="R92" s="331"/>
      <c r="S92" s="331"/>
      <c r="T92" s="331"/>
      <c r="U92" s="529"/>
      <c r="W92" s="7545"/>
      <c r="X92" s="629"/>
      <c r="Y92" s="536"/>
      <c r="Z92" s="536"/>
      <c r="AA92" s="536"/>
      <c r="AB92" s="536"/>
      <c r="AC92" s="537"/>
      <c r="AD92" s="331"/>
      <c r="AE92" s="630" t="s">
        <v>624</v>
      </c>
      <c r="AF92" s="331"/>
      <c r="AG92" s="331"/>
      <c r="AH92" s="331"/>
      <c r="AI92" s="331"/>
      <c r="AJ92" s="331"/>
      <c r="AK92" s="331"/>
      <c r="AL92" s="331"/>
      <c r="AM92" s="331"/>
      <c r="AN92" s="331"/>
      <c r="AO92" s="331"/>
      <c r="AP92" s="529"/>
      <c r="AR92" s="7545"/>
      <c r="AS92" s="629"/>
      <c r="AT92" s="536"/>
      <c r="AU92" s="536"/>
      <c r="AV92" s="536"/>
      <c r="AW92" s="536"/>
      <c r="AX92" s="537"/>
      <c r="AY92" s="331"/>
      <c r="AZ92" s="630" t="s">
        <v>624</v>
      </c>
      <c r="BA92" s="331"/>
      <c r="BB92" s="331"/>
      <c r="BC92" s="331"/>
      <c r="BD92" s="331"/>
      <c r="BE92" s="331"/>
      <c r="BF92" s="331"/>
      <c r="BG92" s="331"/>
      <c r="BH92" s="331"/>
      <c r="BI92" s="331"/>
      <c r="BJ92" s="331"/>
      <c r="BK92" s="529"/>
    </row>
    <row r="93" spans="2:63" ht="18.75">
      <c r="B93" s="7545"/>
      <c r="C93" s="631" t="s">
        <v>625</v>
      </c>
      <c r="D93" s="536"/>
      <c r="E93" s="536"/>
      <c r="F93" s="536"/>
      <c r="G93" s="536"/>
      <c r="H93" s="537"/>
      <c r="I93" s="331"/>
      <c r="J93" s="632" t="s">
        <v>626</v>
      </c>
      <c r="K93" s="331"/>
      <c r="L93" s="331"/>
      <c r="M93" s="331"/>
      <c r="N93" s="633" t="s">
        <v>627</v>
      </c>
      <c r="O93" s="7526" t="s">
        <v>628</v>
      </c>
      <c r="P93" s="7526"/>
      <c r="Q93" s="7526"/>
      <c r="R93" s="7526"/>
      <c r="S93" s="7526"/>
      <c r="T93" s="7526"/>
      <c r="U93" s="7527"/>
      <c r="W93" s="7545"/>
      <c r="X93" s="631" t="s">
        <v>625</v>
      </c>
      <c r="Y93" s="536"/>
      <c r="Z93" s="536"/>
      <c r="AA93" s="536"/>
      <c r="AB93" s="536"/>
      <c r="AC93" s="537"/>
      <c r="AD93" s="331"/>
      <c r="AE93" s="632" t="s">
        <v>626</v>
      </c>
      <c r="AF93" s="331"/>
      <c r="AG93" s="331"/>
      <c r="AH93" s="331"/>
      <c r="AI93" s="633" t="s">
        <v>627</v>
      </c>
      <c r="AJ93" s="7526" t="s">
        <v>628</v>
      </c>
      <c r="AK93" s="7526"/>
      <c r="AL93" s="7526"/>
      <c r="AM93" s="7526"/>
      <c r="AN93" s="7526"/>
      <c r="AO93" s="7526"/>
      <c r="AP93" s="7527"/>
      <c r="AR93" s="7545"/>
      <c r="AS93" s="631" t="s">
        <v>625</v>
      </c>
      <c r="AT93" s="536"/>
      <c r="AU93" s="536"/>
      <c r="AV93" s="536"/>
      <c r="AW93" s="536"/>
      <c r="AX93" s="537"/>
      <c r="AY93" s="331"/>
      <c r="AZ93" s="632" t="s">
        <v>626</v>
      </c>
      <c r="BA93" s="331"/>
      <c r="BB93" s="331"/>
      <c r="BC93" s="331"/>
      <c r="BD93" s="633" t="s">
        <v>627</v>
      </c>
      <c r="BE93" s="7526" t="s">
        <v>628</v>
      </c>
      <c r="BF93" s="7526"/>
      <c r="BG93" s="7526"/>
      <c r="BH93" s="7526"/>
      <c r="BI93" s="7526"/>
      <c r="BJ93" s="7526"/>
      <c r="BK93" s="7527"/>
    </row>
    <row r="94" spans="2:63" ht="18.75">
      <c r="B94" s="7545"/>
      <c r="C94" s="536"/>
      <c r="D94" s="536"/>
      <c r="E94" s="536"/>
      <c r="F94" s="536"/>
      <c r="G94" s="536"/>
      <c r="H94" s="537"/>
      <c r="I94" s="331"/>
      <c r="J94" s="634" t="s">
        <v>629</v>
      </c>
      <c r="K94" s="331"/>
      <c r="L94" s="331"/>
      <c r="M94" s="331"/>
      <c r="N94" s="633" t="s">
        <v>627</v>
      </c>
      <c r="O94" s="7526" t="s">
        <v>630</v>
      </c>
      <c r="P94" s="7526"/>
      <c r="Q94" s="7526"/>
      <c r="R94" s="7526"/>
      <c r="S94" s="7526"/>
      <c r="T94" s="7526"/>
      <c r="U94" s="7527"/>
      <c r="W94" s="7545"/>
      <c r="X94" s="536"/>
      <c r="Y94" s="536"/>
      <c r="Z94" s="536"/>
      <c r="AA94" s="536"/>
      <c r="AB94" s="536"/>
      <c r="AC94" s="537"/>
      <c r="AD94" s="331"/>
      <c r="AE94" s="634" t="s">
        <v>629</v>
      </c>
      <c r="AF94" s="331"/>
      <c r="AG94" s="331"/>
      <c r="AH94" s="331"/>
      <c r="AI94" s="633" t="s">
        <v>627</v>
      </c>
      <c r="AJ94" s="7526" t="s">
        <v>630</v>
      </c>
      <c r="AK94" s="7526"/>
      <c r="AL94" s="7526"/>
      <c r="AM94" s="7526"/>
      <c r="AN94" s="7526"/>
      <c r="AO94" s="7526"/>
      <c r="AP94" s="7527"/>
      <c r="AR94" s="7545"/>
      <c r="AS94" s="536"/>
      <c r="AT94" s="536"/>
      <c r="AU94" s="536"/>
      <c r="AV94" s="536"/>
      <c r="AW94" s="536"/>
      <c r="AX94" s="537"/>
      <c r="AY94" s="331"/>
      <c r="AZ94" s="634" t="s">
        <v>629</v>
      </c>
      <c r="BA94" s="331"/>
      <c r="BB94" s="331"/>
      <c r="BC94" s="331"/>
      <c r="BD94" s="633" t="s">
        <v>627</v>
      </c>
      <c r="BE94" s="7526" t="s">
        <v>630</v>
      </c>
      <c r="BF94" s="7526"/>
      <c r="BG94" s="7526"/>
      <c r="BH94" s="7526"/>
      <c r="BI94" s="7526"/>
      <c r="BJ94" s="7526"/>
      <c r="BK94" s="7527"/>
    </row>
    <row r="95" spans="2:63">
      <c r="B95" s="7545"/>
      <c r="C95" s="536" t="s">
        <v>631</v>
      </c>
      <c r="D95" s="536" t="s">
        <v>632</v>
      </c>
      <c r="E95" s="536"/>
      <c r="F95" s="536"/>
      <c r="G95" s="536"/>
      <c r="H95" s="537"/>
      <c r="I95" s="331"/>
      <c r="J95" s="635" t="s">
        <v>633</v>
      </c>
      <c r="K95" s="331"/>
      <c r="L95" s="331"/>
      <c r="M95" s="331"/>
      <c r="N95" s="331"/>
      <c r="O95" s="331"/>
      <c r="P95" s="331"/>
      <c r="Q95" s="331"/>
      <c r="R95" s="331"/>
      <c r="S95" s="331"/>
      <c r="T95" s="331"/>
      <c r="U95" s="529"/>
      <c r="W95" s="7545"/>
      <c r="X95" s="536" t="s">
        <v>631</v>
      </c>
      <c r="Y95" s="536" t="s">
        <v>632</v>
      </c>
      <c r="Z95" s="536"/>
      <c r="AA95" s="536"/>
      <c r="AB95" s="536"/>
      <c r="AC95" s="537"/>
      <c r="AD95" s="331"/>
      <c r="AE95" s="635" t="s">
        <v>633</v>
      </c>
      <c r="AF95" s="331"/>
      <c r="AG95" s="331"/>
      <c r="AH95" s="331"/>
      <c r="AI95" s="331"/>
      <c r="AJ95" s="331"/>
      <c r="AK95" s="331"/>
      <c r="AL95" s="331"/>
      <c r="AM95" s="331"/>
      <c r="AN95" s="331"/>
      <c r="AO95" s="331"/>
      <c r="AP95" s="529"/>
      <c r="AR95" s="7545"/>
      <c r="AS95" s="536" t="s">
        <v>631</v>
      </c>
      <c r="AT95" s="536" t="s">
        <v>632</v>
      </c>
      <c r="AU95" s="536"/>
      <c r="AV95" s="536"/>
      <c r="AW95" s="536"/>
      <c r="AX95" s="537"/>
      <c r="AY95" s="331"/>
      <c r="AZ95" s="635" t="s">
        <v>633</v>
      </c>
      <c r="BA95" s="331"/>
      <c r="BB95" s="331"/>
      <c r="BC95" s="331"/>
      <c r="BD95" s="331"/>
      <c r="BE95" s="331"/>
      <c r="BF95" s="331"/>
      <c r="BG95" s="331"/>
      <c r="BH95" s="331"/>
      <c r="BI95" s="331"/>
      <c r="BJ95" s="331"/>
      <c r="BK95" s="529"/>
    </row>
    <row r="96" spans="2:63">
      <c r="B96" s="7545"/>
      <c r="C96" s="536"/>
      <c r="D96" s="536"/>
      <c r="E96" s="536"/>
      <c r="F96" s="536"/>
      <c r="G96" s="536"/>
      <c r="H96" s="537"/>
      <c r="I96" s="331"/>
      <c r="J96" s="636" t="s">
        <v>634</v>
      </c>
      <c r="K96" s="331"/>
      <c r="L96" s="331"/>
      <c r="M96" s="331"/>
      <c r="N96" s="331"/>
      <c r="O96" s="331"/>
      <c r="P96" s="331"/>
      <c r="Q96" s="331"/>
      <c r="R96" s="331"/>
      <c r="S96" s="331"/>
      <c r="T96" s="331"/>
      <c r="U96" s="529"/>
      <c r="W96" s="7545"/>
      <c r="X96" s="536"/>
      <c r="Y96" s="536"/>
      <c r="Z96" s="536"/>
      <c r="AA96" s="536"/>
      <c r="AB96" s="536"/>
      <c r="AC96" s="537"/>
      <c r="AD96" s="331"/>
      <c r="AE96" s="636" t="s">
        <v>634</v>
      </c>
      <c r="AF96" s="331"/>
      <c r="AG96" s="331"/>
      <c r="AH96" s="331"/>
      <c r="AI96" s="331"/>
      <c r="AJ96" s="331"/>
      <c r="AK96" s="331"/>
      <c r="AL96" s="331"/>
      <c r="AM96" s="331"/>
      <c r="AN96" s="331"/>
      <c r="AO96" s="331"/>
      <c r="AP96" s="529"/>
      <c r="AR96" s="7545"/>
      <c r="AS96" s="536"/>
      <c r="AT96" s="536"/>
      <c r="AU96" s="536"/>
      <c r="AV96" s="536"/>
      <c r="AW96" s="536"/>
      <c r="AX96" s="537"/>
      <c r="AY96" s="331"/>
      <c r="AZ96" s="636" t="s">
        <v>634</v>
      </c>
      <c r="BA96" s="331"/>
      <c r="BB96" s="331"/>
      <c r="BC96" s="331"/>
      <c r="BD96" s="331"/>
      <c r="BE96" s="331"/>
      <c r="BF96" s="331"/>
      <c r="BG96" s="331"/>
      <c r="BH96" s="331"/>
      <c r="BI96" s="331"/>
      <c r="BJ96" s="331"/>
      <c r="BK96" s="529"/>
    </row>
    <row r="97" spans="1:63">
      <c r="B97" s="7545"/>
      <c r="C97" s="536" t="s">
        <v>635</v>
      </c>
      <c r="D97" s="536"/>
      <c r="E97" s="536"/>
      <c r="F97" s="536"/>
      <c r="G97" s="536"/>
      <c r="H97" s="537"/>
      <c r="I97" s="331"/>
      <c r="J97" s="637" t="s">
        <v>636</v>
      </c>
      <c r="K97" s="331"/>
      <c r="L97" s="331"/>
      <c r="M97" s="331"/>
      <c r="N97" s="331"/>
      <c r="O97" s="331"/>
      <c r="P97" s="331"/>
      <c r="Q97" s="331"/>
      <c r="R97" s="331"/>
      <c r="S97" s="331"/>
      <c r="T97" s="331"/>
      <c r="U97" s="529"/>
      <c r="W97" s="7545"/>
      <c r="X97" s="536" t="s">
        <v>637</v>
      </c>
      <c r="Y97" s="536"/>
      <c r="Z97" s="536"/>
      <c r="AA97" s="536"/>
      <c r="AB97" s="536"/>
      <c r="AC97" s="537"/>
      <c r="AD97" s="331"/>
      <c r="AE97" s="637" t="s">
        <v>636</v>
      </c>
      <c r="AF97" s="331"/>
      <c r="AG97" s="331"/>
      <c r="AH97" s="331"/>
      <c r="AI97" s="331"/>
      <c r="AJ97" s="331"/>
      <c r="AK97" s="331"/>
      <c r="AL97" s="331"/>
      <c r="AM97" s="331"/>
      <c r="AN97" s="331"/>
      <c r="AO97" s="331"/>
      <c r="AP97" s="529"/>
      <c r="AR97" s="7545"/>
      <c r="AS97" s="536" t="s">
        <v>635</v>
      </c>
      <c r="AT97" s="536"/>
      <c r="AU97" s="536"/>
      <c r="AV97" s="536"/>
      <c r="AW97" s="536"/>
      <c r="AX97" s="537"/>
      <c r="AY97" s="331"/>
      <c r="AZ97" s="637" t="s">
        <v>636</v>
      </c>
      <c r="BA97" s="331"/>
      <c r="BB97" s="331"/>
      <c r="BC97" s="331"/>
      <c r="BD97" s="331"/>
      <c r="BE97" s="331"/>
      <c r="BF97" s="331"/>
      <c r="BG97" s="331"/>
      <c r="BH97" s="331"/>
      <c r="BI97" s="331"/>
      <c r="BJ97" s="331"/>
      <c r="BK97" s="529"/>
    </row>
    <row r="98" spans="1:63">
      <c r="B98" s="7545"/>
      <c r="C98" s="536"/>
      <c r="D98" s="638" t="s">
        <v>638</v>
      </c>
      <c r="E98" s="536"/>
      <c r="F98" s="638" t="s">
        <v>639</v>
      </c>
      <c r="G98" s="536"/>
      <c r="H98" s="537" t="s">
        <v>1</v>
      </c>
      <c r="I98" s="331"/>
      <c r="J98" s="639" t="s">
        <v>640</v>
      </c>
      <c r="K98" s="331"/>
      <c r="L98" s="331"/>
      <c r="M98" s="331"/>
      <c r="N98" s="331"/>
      <c r="O98" s="331"/>
      <c r="P98" s="331"/>
      <c r="Q98" s="331"/>
      <c r="R98" s="331"/>
      <c r="S98" s="331"/>
      <c r="T98" s="331"/>
      <c r="U98" s="529"/>
      <c r="W98" s="7545"/>
      <c r="X98" s="536"/>
      <c r="Y98" s="638" t="s">
        <v>638</v>
      </c>
      <c r="Z98" s="536"/>
      <c r="AA98" s="638" t="s">
        <v>639</v>
      </c>
      <c r="AB98" s="536"/>
      <c r="AC98" s="537" t="s">
        <v>1</v>
      </c>
      <c r="AD98" s="331"/>
      <c r="AE98" s="639" t="s">
        <v>640</v>
      </c>
      <c r="AF98" s="331"/>
      <c r="AG98" s="331"/>
      <c r="AH98" s="331"/>
      <c r="AI98" s="331"/>
      <c r="AJ98" s="331"/>
      <c r="AK98" s="331"/>
      <c r="AL98" s="331"/>
      <c r="AM98" s="331"/>
      <c r="AN98" s="331"/>
      <c r="AO98" s="331"/>
      <c r="AP98" s="529"/>
      <c r="AR98" s="7545"/>
      <c r="AS98" s="536"/>
      <c r="AT98" s="638" t="s">
        <v>638</v>
      </c>
      <c r="AU98" s="536"/>
      <c r="AV98" s="638" t="s">
        <v>639</v>
      </c>
      <c r="AW98" s="536"/>
      <c r="AX98" s="537" t="s">
        <v>1</v>
      </c>
      <c r="AY98" s="331"/>
      <c r="AZ98" s="639" t="s">
        <v>640</v>
      </c>
      <c r="BA98" s="331"/>
      <c r="BB98" s="331"/>
      <c r="BC98" s="331"/>
      <c r="BD98" s="331"/>
      <c r="BE98" s="331"/>
      <c r="BF98" s="331"/>
      <c r="BG98" s="331"/>
      <c r="BH98" s="331"/>
      <c r="BI98" s="331"/>
      <c r="BJ98" s="331"/>
      <c r="BK98" s="529"/>
    </row>
    <row r="99" spans="1:63">
      <c r="B99" s="7545"/>
      <c r="C99" s="536" t="s">
        <v>641</v>
      </c>
      <c r="D99" s="536"/>
      <c r="E99" s="536"/>
      <c r="F99" s="536"/>
      <c r="G99" s="536"/>
      <c r="H99" s="537"/>
      <c r="I99" s="331"/>
      <c r="J99" s="640" t="s">
        <v>642</v>
      </c>
      <c r="K99" s="331"/>
      <c r="L99" s="331"/>
      <c r="M99" s="331"/>
      <c r="N99" s="331"/>
      <c r="O99" s="331"/>
      <c r="P99" s="331"/>
      <c r="Q99" s="331"/>
      <c r="R99" s="331"/>
      <c r="S99" s="331"/>
      <c r="T99" s="331"/>
      <c r="U99" s="529"/>
      <c r="W99" s="7545"/>
      <c r="X99" s="536" t="s">
        <v>643</v>
      </c>
      <c r="Y99" s="536"/>
      <c r="Z99" s="536"/>
      <c r="AA99" s="536"/>
      <c r="AB99" s="536"/>
      <c r="AC99" s="537"/>
      <c r="AD99" s="331"/>
      <c r="AE99" s="640" t="s">
        <v>642</v>
      </c>
      <c r="AF99" s="331"/>
      <c r="AG99" s="331"/>
      <c r="AH99" s="331"/>
      <c r="AI99" s="331"/>
      <c r="AJ99" s="331"/>
      <c r="AK99" s="331"/>
      <c r="AL99" s="331"/>
      <c r="AM99" s="331"/>
      <c r="AN99" s="331"/>
      <c r="AO99" s="331"/>
      <c r="AP99" s="529"/>
      <c r="AR99" s="7545"/>
      <c r="AS99" s="536" t="s">
        <v>641</v>
      </c>
      <c r="AT99" s="536"/>
      <c r="AU99" s="536"/>
      <c r="AV99" s="536"/>
      <c r="AW99" s="536"/>
      <c r="AX99" s="537"/>
      <c r="AY99" s="331"/>
      <c r="AZ99" s="640" t="s">
        <v>642</v>
      </c>
      <c r="BA99" s="331"/>
      <c r="BB99" s="331"/>
      <c r="BC99" s="331"/>
      <c r="BD99" s="331"/>
      <c r="BE99" s="331"/>
      <c r="BF99" s="331"/>
      <c r="BG99" s="331"/>
      <c r="BH99" s="331"/>
      <c r="BI99" s="331"/>
      <c r="BJ99" s="331"/>
      <c r="BK99" s="529"/>
    </row>
    <row r="100" spans="1:63">
      <c r="B100" s="7545"/>
      <c r="C100" s="536"/>
      <c r="D100" s="638" t="s">
        <v>644</v>
      </c>
      <c r="E100" s="536"/>
      <c r="F100" s="638" t="s">
        <v>645</v>
      </c>
      <c r="G100" s="536"/>
      <c r="H100" s="537"/>
      <c r="I100" s="331"/>
      <c r="J100" s="641" t="s">
        <v>646</v>
      </c>
      <c r="K100" s="331"/>
      <c r="L100" s="331"/>
      <c r="M100" s="331"/>
      <c r="N100" s="331"/>
      <c r="O100" s="331"/>
      <c r="P100" s="331"/>
      <c r="Q100" s="331"/>
      <c r="R100" s="331"/>
      <c r="S100" s="331"/>
      <c r="T100" s="331"/>
      <c r="U100" s="529"/>
      <c r="W100" s="7545"/>
      <c r="X100" s="536"/>
      <c r="Y100" s="638" t="s">
        <v>644</v>
      </c>
      <c r="Z100" s="536"/>
      <c r="AA100" s="638" t="s">
        <v>645</v>
      </c>
      <c r="AB100" s="536"/>
      <c r="AC100" s="537"/>
      <c r="AD100" s="331"/>
      <c r="AE100" s="641" t="s">
        <v>646</v>
      </c>
      <c r="AF100" s="331"/>
      <c r="AG100" s="331"/>
      <c r="AH100" s="331"/>
      <c r="AI100" s="331"/>
      <c r="AJ100" s="331"/>
      <c r="AK100" s="331"/>
      <c r="AL100" s="331"/>
      <c r="AM100" s="331"/>
      <c r="AN100" s="331"/>
      <c r="AO100" s="331"/>
      <c r="AP100" s="529"/>
      <c r="AR100" s="7545"/>
      <c r="AS100" s="536"/>
      <c r="AT100" s="638" t="s">
        <v>644</v>
      </c>
      <c r="AU100" s="536"/>
      <c r="AV100" s="638" t="s">
        <v>645</v>
      </c>
      <c r="AW100" s="536"/>
      <c r="AX100" s="537"/>
      <c r="AY100" s="331"/>
      <c r="AZ100" s="641" t="s">
        <v>646</v>
      </c>
      <c r="BA100" s="331"/>
      <c r="BB100" s="331"/>
      <c r="BC100" s="331"/>
      <c r="BD100" s="331"/>
      <c r="BE100" s="331"/>
      <c r="BF100" s="331"/>
      <c r="BG100" s="331"/>
      <c r="BH100" s="331"/>
      <c r="BI100" s="331"/>
      <c r="BJ100" s="331"/>
      <c r="BK100" s="529"/>
    </row>
    <row r="101" spans="1:63">
      <c r="B101" s="7545"/>
      <c r="C101" s="536"/>
      <c r="D101" s="638"/>
      <c r="E101" s="536"/>
      <c r="F101" s="638"/>
      <c r="G101" s="536"/>
      <c r="H101" s="537"/>
      <c r="I101" s="331"/>
      <c r="J101" s="642" t="s">
        <v>647</v>
      </c>
      <c r="K101" s="331"/>
      <c r="L101" s="331"/>
      <c r="M101" s="331"/>
      <c r="N101" s="331"/>
      <c r="O101" s="331"/>
      <c r="P101" s="331"/>
      <c r="Q101" s="331"/>
      <c r="R101" s="331"/>
      <c r="S101" s="331"/>
      <c r="T101" s="331"/>
      <c r="U101" s="529"/>
      <c r="W101" s="7545"/>
      <c r="X101" s="536"/>
      <c r="Y101" s="638"/>
      <c r="Z101" s="536"/>
      <c r="AA101" s="638"/>
      <c r="AB101" s="536"/>
      <c r="AC101" s="537"/>
      <c r="AD101" s="331"/>
      <c r="AE101" s="642" t="s">
        <v>647</v>
      </c>
      <c r="AF101" s="331"/>
      <c r="AG101" s="331"/>
      <c r="AH101" s="331"/>
      <c r="AI101" s="331"/>
      <c r="AJ101" s="331"/>
      <c r="AK101" s="331"/>
      <c r="AL101" s="331"/>
      <c r="AM101" s="331"/>
      <c r="AN101" s="331"/>
      <c r="AO101" s="331"/>
      <c r="AP101" s="529"/>
      <c r="AR101" s="7545"/>
      <c r="AS101" s="536"/>
      <c r="AT101" s="638"/>
      <c r="AU101" s="536"/>
      <c r="AV101" s="638"/>
      <c r="AW101" s="536"/>
      <c r="AX101" s="537"/>
      <c r="AY101" s="331"/>
      <c r="AZ101" s="642" t="s">
        <v>647</v>
      </c>
      <c r="BA101" s="331"/>
      <c r="BB101" s="331"/>
      <c r="BC101" s="331"/>
      <c r="BD101" s="331"/>
      <c r="BE101" s="331"/>
      <c r="BF101" s="331"/>
      <c r="BG101" s="331"/>
      <c r="BH101" s="331"/>
      <c r="BI101" s="331"/>
      <c r="BJ101" s="331"/>
      <c r="BK101" s="529"/>
    </row>
    <row r="102" spans="1:63">
      <c r="B102" s="7545"/>
      <c r="C102" s="536"/>
      <c r="D102" s="638"/>
      <c r="E102" s="643" t="s">
        <v>648</v>
      </c>
      <c r="F102" s="638" t="s">
        <v>649</v>
      </c>
      <c r="G102" s="536"/>
      <c r="H102" s="537"/>
      <c r="I102" s="331"/>
      <c r="J102" s="331"/>
      <c r="K102" s="331"/>
      <c r="L102" s="331"/>
      <c r="M102" s="331"/>
      <c r="N102" s="331"/>
      <c r="O102" s="331"/>
      <c r="P102" s="331"/>
      <c r="Q102" s="331"/>
      <c r="R102" s="331"/>
      <c r="S102" s="331"/>
      <c r="T102" s="331"/>
      <c r="U102" s="529"/>
      <c r="W102" s="7545"/>
      <c r="X102" s="536"/>
      <c r="Y102" s="638"/>
      <c r="Z102" s="643" t="s">
        <v>650</v>
      </c>
      <c r="AA102" s="638" t="s">
        <v>649</v>
      </c>
      <c r="AB102" s="536"/>
      <c r="AC102" s="537"/>
      <c r="AD102" s="331"/>
      <c r="AE102" s="331"/>
      <c r="AF102" s="331"/>
      <c r="AG102" s="331"/>
      <c r="AH102" s="331"/>
      <c r="AI102" s="331"/>
      <c r="AJ102" s="331"/>
      <c r="AK102" s="331"/>
      <c r="AL102" s="331"/>
      <c r="AM102" s="331"/>
      <c r="AN102" s="331"/>
      <c r="AO102" s="331"/>
      <c r="AP102" s="529"/>
      <c r="AR102" s="7545"/>
      <c r="AS102" s="536"/>
      <c r="AT102" s="638"/>
      <c r="AU102" s="643" t="s">
        <v>648</v>
      </c>
      <c r="AV102" s="638" t="s">
        <v>649</v>
      </c>
      <c r="AW102" s="536"/>
      <c r="AX102" s="537"/>
      <c r="AY102" s="331"/>
      <c r="AZ102" s="331"/>
      <c r="BA102" s="331"/>
      <c r="BB102" s="331"/>
      <c r="BC102" s="331"/>
      <c r="BD102" s="331"/>
      <c r="BE102" s="331"/>
      <c r="BF102" s="331"/>
      <c r="BG102" s="331"/>
      <c r="BH102" s="331"/>
      <c r="BI102" s="331"/>
      <c r="BJ102" s="331"/>
      <c r="BK102" s="529"/>
    </row>
    <row r="103" spans="1:63">
      <c r="B103" s="7545"/>
      <c r="C103" s="536"/>
      <c r="D103" s="638"/>
      <c r="E103" s="536"/>
      <c r="F103" s="638"/>
      <c r="G103" s="536"/>
      <c r="H103" s="537"/>
      <c r="I103" s="331"/>
      <c r="J103" s="331"/>
      <c r="K103" s="331"/>
      <c r="L103" s="331"/>
      <c r="M103" s="331"/>
      <c r="N103" s="331"/>
      <c r="O103" s="331"/>
      <c r="P103" s="331"/>
      <c r="Q103" s="331"/>
      <c r="R103" s="331"/>
      <c r="S103" s="331"/>
      <c r="T103" s="331"/>
      <c r="U103" s="529"/>
      <c r="W103" s="7545"/>
      <c r="X103" s="536"/>
      <c r="Y103" s="638"/>
      <c r="Z103" s="536"/>
      <c r="AA103" s="638"/>
      <c r="AB103" s="536"/>
      <c r="AC103" s="537"/>
      <c r="AD103" s="331"/>
      <c r="AE103" s="331"/>
      <c r="AF103" s="331"/>
      <c r="AG103" s="331"/>
      <c r="AH103" s="331"/>
      <c r="AI103" s="331"/>
      <c r="AJ103" s="331"/>
      <c r="AK103" s="331"/>
      <c r="AL103" s="331"/>
      <c r="AM103" s="331"/>
      <c r="AN103" s="331"/>
      <c r="AO103" s="331"/>
      <c r="AP103" s="529"/>
      <c r="AR103" s="7545"/>
      <c r="AS103" s="536"/>
      <c r="AT103" s="638"/>
      <c r="AU103" s="536"/>
      <c r="AV103" s="638"/>
      <c r="AW103" s="536"/>
      <c r="AX103" s="537"/>
      <c r="AY103" s="331"/>
      <c r="AZ103" s="331"/>
      <c r="BA103" s="331"/>
      <c r="BB103" s="331"/>
      <c r="BC103" s="331"/>
      <c r="BD103" s="331"/>
      <c r="BE103" s="331"/>
      <c r="BF103" s="331"/>
      <c r="BG103" s="331"/>
      <c r="BH103" s="331"/>
      <c r="BI103" s="331"/>
      <c r="BJ103" s="331"/>
      <c r="BK103" s="529"/>
    </row>
    <row r="104" spans="1:63">
      <c r="B104" s="7545"/>
      <c r="C104" s="536" t="s">
        <v>651</v>
      </c>
      <c r="D104" s="638"/>
      <c r="E104" s="536"/>
      <c r="F104" s="638"/>
      <c r="G104" s="536"/>
      <c r="H104" s="537"/>
      <c r="I104" s="331"/>
      <c r="J104" s="331"/>
      <c r="K104" s="331"/>
      <c r="L104" s="331"/>
      <c r="M104" s="331"/>
      <c r="N104" s="331"/>
      <c r="O104" s="331"/>
      <c r="P104" s="331"/>
      <c r="Q104" s="331"/>
      <c r="R104" s="331"/>
      <c r="S104" s="331"/>
      <c r="T104" s="331"/>
      <c r="U104" s="529"/>
      <c r="W104" s="7545"/>
      <c r="X104" s="536" t="s">
        <v>652</v>
      </c>
      <c r="Y104" s="638"/>
      <c r="Z104" s="536"/>
      <c r="AA104" s="638"/>
      <c r="AB104" s="536"/>
      <c r="AC104" s="537"/>
      <c r="AD104" s="331"/>
      <c r="AE104" s="331"/>
      <c r="AF104" s="331"/>
      <c r="AG104" s="331"/>
      <c r="AH104" s="331"/>
      <c r="AI104" s="331"/>
      <c r="AJ104" s="331"/>
      <c r="AK104" s="331"/>
      <c r="AL104" s="331"/>
      <c r="AM104" s="331"/>
      <c r="AN104" s="331"/>
      <c r="AO104" s="331"/>
      <c r="AP104" s="529"/>
      <c r="AR104" s="7545"/>
      <c r="AS104" s="536" t="s">
        <v>651</v>
      </c>
      <c r="AT104" s="638"/>
      <c r="AU104" s="536"/>
      <c r="AV104" s="638"/>
      <c r="AW104" s="536"/>
      <c r="AX104" s="537"/>
      <c r="AY104" s="331"/>
      <c r="AZ104" s="331"/>
      <c r="BA104" s="331"/>
      <c r="BB104" s="331"/>
      <c r="BC104" s="331"/>
      <c r="BD104" s="331"/>
      <c r="BE104" s="331"/>
      <c r="BF104" s="331"/>
      <c r="BG104" s="331"/>
      <c r="BH104" s="331"/>
      <c r="BI104" s="331"/>
      <c r="BJ104" s="331"/>
      <c r="BK104" s="529"/>
    </row>
    <row r="105" spans="1:63">
      <c r="B105" s="7545"/>
      <c r="C105" s="536"/>
      <c r="D105" s="638" t="s">
        <v>653</v>
      </c>
      <c r="E105" s="536"/>
      <c r="F105" s="638"/>
      <c r="G105" s="536"/>
      <c r="H105" s="537" t="s">
        <v>1</v>
      </c>
      <c r="I105" s="331"/>
      <c r="J105" s="331"/>
      <c r="K105" s="331"/>
      <c r="L105" s="331"/>
      <c r="M105" s="331"/>
      <c r="N105" s="331"/>
      <c r="O105" s="331"/>
      <c r="P105" s="331"/>
      <c r="Q105" s="331"/>
      <c r="R105" s="331"/>
      <c r="S105" s="331"/>
      <c r="T105" s="331"/>
      <c r="U105" s="529"/>
      <c r="W105" s="7545"/>
      <c r="X105" s="536"/>
      <c r="Y105" s="638" t="s">
        <v>653</v>
      </c>
      <c r="Z105" s="536"/>
      <c r="AA105" s="638"/>
      <c r="AB105" s="536"/>
      <c r="AC105" s="537" t="s">
        <v>1</v>
      </c>
      <c r="AD105" s="331"/>
      <c r="AE105" s="331"/>
      <c r="AF105" s="331"/>
      <c r="AG105" s="331"/>
      <c r="AH105" s="331"/>
      <c r="AI105" s="331"/>
      <c r="AJ105" s="331"/>
      <c r="AK105" s="331"/>
      <c r="AL105" s="331"/>
      <c r="AM105" s="331"/>
      <c r="AN105" s="331"/>
      <c r="AO105" s="331"/>
      <c r="AP105" s="529"/>
      <c r="AR105" s="7545"/>
      <c r="AS105" s="536"/>
      <c r="AT105" s="638" t="s">
        <v>653</v>
      </c>
      <c r="AU105" s="536"/>
      <c r="AV105" s="638"/>
      <c r="AW105" s="536"/>
      <c r="AX105" s="537" t="s">
        <v>1</v>
      </c>
      <c r="AY105" s="331"/>
      <c r="AZ105" s="331"/>
      <c r="BA105" s="331"/>
      <c r="BB105" s="331"/>
      <c r="BC105" s="331"/>
      <c r="BD105" s="331"/>
      <c r="BE105" s="331"/>
      <c r="BF105" s="331"/>
      <c r="BG105" s="331"/>
      <c r="BH105" s="331"/>
      <c r="BI105" s="331"/>
      <c r="BJ105" s="331"/>
      <c r="BK105" s="529"/>
    </row>
    <row r="106" spans="1:63" ht="16.5" thickBot="1">
      <c r="B106" s="7546"/>
      <c r="C106" s="644"/>
      <c r="D106" s="644"/>
      <c r="E106" s="644"/>
      <c r="F106" s="644"/>
      <c r="G106" s="644"/>
      <c r="H106" s="645"/>
      <c r="I106" s="331"/>
      <c r="J106" s="331"/>
      <c r="K106" s="331"/>
      <c r="L106" s="331"/>
      <c r="M106" s="331"/>
      <c r="N106" s="331"/>
      <c r="O106" s="331"/>
      <c r="P106" s="331"/>
      <c r="Q106" s="331"/>
      <c r="R106" s="331"/>
      <c r="S106" s="331"/>
      <c r="T106" s="331"/>
      <c r="U106" s="529"/>
      <c r="W106" s="7546"/>
      <c r="X106" s="644"/>
      <c r="Y106" s="644"/>
      <c r="Z106" s="644"/>
      <c r="AA106" s="644"/>
      <c r="AB106" s="644"/>
      <c r="AC106" s="645"/>
      <c r="AD106" s="331"/>
      <c r="AE106" s="331"/>
      <c r="AF106" s="331"/>
      <c r="AG106" s="331"/>
      <c r="AH106" s="331"/>
      <c r="AI106" s="331"/>
      <c r="AJ106" s="331"/>
      <c r="AK106" s="331"/>
      <c r="AL106" s="331"/>
      <c r="AM106" s="331"/>
      <c r="AN106" s="331"/>
      <c r="AO106" s="331"/>
      <c r="AP106" s="529"/>
      <c r="AR106" s="7546"/>
      <c r="AS106" s="644"/>
      <c r="AT106" s="644"/>
      <c r="AU106" s="644"/>
      <c r="AV106" s="644"/>
      <c r="AW106" s="644"/>
      <c r="AX106" s="645"/>
      <c r="AY106" s="331"/>
      <c r="AZ106" s="331"/>
      <c r="BA106" s="331"/>
      <c r="BB106" s="331"/>
      <c r="BC106" s="331"/>
      <c r="BD106" s="331"/>
      <c r="BE106" s="331"/>
      <c r="BF106" s="331"/>
      <c r="BG106" s="331"/>
      <c r="BH106" s="331"/>
      <c r="BI106" s="331"/>
      <c r="BJ106" s="331"/>
      <c r="BK106" s="529"/>
    </row>
    <row r="107" spans="1:63" ht="23.25">
      <c r="A107" s="502">
        <v>1</v>
      </c>
      <c r="B107" s="505"/>
      <c r="C107" s="509"/>
      <c r="D107" s="509"/>
      <c r="E107" s="509"/>
      <c r="F107" s="509"/>
      <c r="G107" s="509"/>
      <c r="H107" s="646"/>
      <c r="I107" s="646"/>
      <c r="J107" s="532" t="s">
        <v>654</v>
      </c>
      <c r="K107" s="590"/>
      <c r="L107" s="590"/>
      <c r="M107" s="590"/>
      <c r="N107" s="331"/>
      <c r="O107" s="647" t="s">
        <v>655</v>
      </c>
      <c r="P107" s="648"/>
      <c r="Q107" s="648"/>
      <c r="R107" s="502"/>
      <c r="S107" s="331"/>
      <c r="T107" s="331"/>
      <c r="U107" s="529"/>
      <c r="W107" s="505"/>
      <c r="X107" s="509"/>
      <c r="Y107" s="509"/>
      <c r="Z107" s="509"/>
      <c r="AA107" s="509"/>
      <c r="AB107" s="509"/>
      <c r="AC107" s="646"/>
      <c r="AD107" s="646"/>
      <c r="AE107" s="532" t="s">
        <v>656</v>
      </c>
      <c r="AF107" s="590"/>
      <c r="AG107" s="590"/>
      <c r="AH107" s="590"/>
      <c r="AI107" s="331"/>
      <c r="AJ107" s="647" t="s">
        <v>657</v>
      </c>
      <c r="AK107" s="648"/>
      <c r="AL107" s="648"/>
      <c r="AM107" s="502"/>
      <c r="AN107" s="331"/>
      <c r="AO107" s="331"/>
      <c r="AP107" s="529"/>
      <c r="AR107" s="505"/>
      <c r="AS107" s="509"/>
      <c r="AT107" s="509"/>
      <c r="AU107" s="509"/>
      <c r="AV107" s="509"/>
      <c r="AW107" s="509"/>
      <c r="AX107" s="646"/>
      <c r="AY107" s="646"/>
      <c r="AZ107" s="532" t="s">
        <v>654</v>
      </c>
      <c r="BA107" s="590"/>
      <c r="BB107" s="590"/>
      <c r="BC107" s="590"/>
      <c r="BD107" s="331"/>
      <c r="BE107" s="647" t="s">
        <v>655</v>
      </c>
      <c r="BF107" s="648"/>
      <c r="BG107" s="648"/>
      <c r="BH107" s="502"/>
      <c r="BI107" s="331"/>
      <c r="BJ107" s="331"/>
      <c r="BK107" s="529"/>
    </row>
    <row r="108" spans="1:63" ht="18.75">
      <c r="A108" s="502">
        <v>1</v>
      </c>
      <c r="B108" s="505"/>
      <c r="C108" s="649" t="s">
        <v>658</v>
      </c>
      <c r="D108" s="650"/>
      <c r="E108" s="650"/>
      <c r="F108" s="650"/>
      <c r="G108" s="650"/>
      <c r="H108" s="509"/>
      <c r="I108" s="509"/>
      <c r="J108" s="532" t="s">
        <v>659</v>
      </c>
      <c r="K108" s="590"/>
      <c r="L108" s="590"/>
      <c r="M108" s="590"/>
      <c r="N108" s="331"/>
      <c r="O108" s="7522" t="s">
        <v>660</v>
      </c>
      <c r="P108" s="7523" t="s">
        <v>661</v>
      </c>
      <c r="Q108" s="331"/>
      <c r="R108" s="331"/>
      <c r="S108" s="331"/>
      <c r="T108" s="331"/>
      <c r="U108" s="529"/>
      <c r="W108" s="505"/>
      <c r="X108" s="649" t="s">
        <v>662</v>
      </c>
      <c r="Y108" s="650"/>
      <c r="Z108" s="650"/>
      <c r="AA108" s="650"/>
      <c r="AB108" s="650"/>
      <c r="AC108" s="509"/>
      <c r="AD108" s="509"/>
      <c r="AE108" s="532" t="s">
        <v>663</v>
      </c>
      <c r="AF108" s="590"/>
      <c r="AG108" s="590"/>
      <c r="AH108" s="590"/>
      <c r="AI108" s="331"/>
      <c r="AJ108" s="7522" t="s">
        <v>660</v>
      </c>
      <c r="AK108" s="7523" t="s">
        <v>661</v>
      </c>
      <c r="AL108" s="331"/>
      <c r="AM108" s="331"/>
      <c r="AN108" s="331"/>
      <c r="AO108" s="331"/>
      <c r="AP108" s="529"/>
      <c r="AR108" s="505"/>
      <c r="AS108" s="649" t="s">
        <v>658</v>
      </c>
      <c r="AT108" s="650"/>
      <c r="AU108" s="650"/>
      <c r="AV108" s="650"/>
      <c r="AW108" s="650"/>
      <c r="AX108" s="509"/>
      <c r="AY108" s="509"/>
      <c r="AZ108" s="532" t="s">
        <v>659</v>
      </c>
      <c r="BA108" s="590"/>
      <c r="BB108" s="590"/>
      <c r="BC108" s="590"/>
      <c r="BD108" s="331"/>
      <c r="BE108" s="7522" t="s">
        <v>660</v>
      </c>
      <c r="BF108" s="7523" t="s">
        <v>661</v>
      </c>
      <c r="BG108" s="331"/>
      <c r="BH108" s="331"/>
      <c r="BI108" s="331"/>
      <c r="BJ108" s="331"/>
      <c r="BK108" s="529"/>
    </row>
    <row r="109" spans="1:63">
      <c r="A109" s="502">
        <v>1</v>
      </c>
      <c r="B109" s="505"/>
      <c r="C109" s="650" t="s">
        <v>664</v>
      </c>
      <c r="D109" s="650"/>
      <c r="E109" s="650"/>
      <c r="F109" s="650"/>
      <c r="G109" s="650"/>
      <c r="H109" s="651" t="s">
        <v>665</v>
      </c>
      <c r="I109" s="652" t="b">
        <f>IF(H110=D136,E119/(100-F120)*100)</f>
        <v>0</v>
      </c>
      <c r="J109" s="615" t="str">
        <f ca="1">_xlfn.FORMULATEXT(I109)</f>
        <v>=SI(H110=D136;E119/(100-F120)*100)</v>
      </c>
      <c r="K109" s="331"/>
      <c r="L109" s="331"/>
      <c r="M109" s="331"/>
      <c r="N109" s="331"/>
      <c r="O109" s="7522"/>
      <c r="P109" s="7523"/>
      <c r="Q109" s="331"/>
      <c r="R109" s="331"/>
      <c r="S109" s="331"/>
      <c r="T109" s="331"/>
      <c r="U109" s="529"/>
      <c r="W109" s="505"/>
      <c r="X109" s="650" t="s">
        <v>666</v>
      </c>
      <c r="Y109" s="650"/>
      <c r="Z109" s="650"/>
      <c r="AA109" s="650"/>
      <c r="AB109" s="650"/>
      <c r="AC109" s="651" t="s">
        <v>665</v>
      </c>
      <c r="AD109" s="652" t="b">
        <f>IF(AC110=Y136,Z119/(100-AA120)*100)</f>
        <v>0</v>
      </c>
      <c r="AE109" s="615" t="str">
        <f ca="1">_xlfn.FORMULATEXT(AD109)</f>
        <v>=SI(AC110=Y136;Z119/(100-AA120)*100)</v>
      </c>
      <c r="AF109" s="331"/>
      <c r="AG109" s="331"/>
      <c r="AH109" s="331"/>
      <c r="AI109" s="331"/>
      <c r="AJ109" s="7522"/>
      <c r="AK109" s="7523"/>
      <c r="AL109" s="331"/>
      <c r="AM109" s="331"/>
      <c r="AN109" s="331"/>
      <c r="AO109" s="331"/>
      <c r="AP109" s="529"/>
      <c r="AR109" s="505"/>
      <c r="AS109" s="650" t="s">
        <v>664</v>
      </c>
      <c r="AT109" s="650"/>
      <c r="AU109" s="650"/>
      <c r="AV109" s="650"/>
      <c r="AW109" s="650"/>
      <c r="AX109" s="651" t="s">
        <v>665</v>
      </c>
      <c r="AY109" s="652" t="b">
        <f>IF(AX110=AT136,AU119/(100-AV120)*100)</f>
        <v>0</v>
      </c>
      <c r="AZ109" s="615" t="str">
        <f ca="1">_xlfn.FORMULATEXT(AY109)</f>
        <v>=SI(AX110=AT136;AU119/(100-AV120)*100)</v>
      </c>
      <c r="BA109" s="331"/>
      <c r="BB109" s="331"/>
      <c r="BC109" s="331"/>
      <c r="BD109" s="331"/>
      <c r="BE109" s="7522"/>
      <c r="BF109" s="7523"/>
      <c r="BG109" s="331"/>
      <c r="BH109" s="331"/>
      <c r="BI109" s="331"/>
      <c r="BJ109" s="331"/>
      <c r="BK109" s="529"/>
    </row>
    <row r="110" spans="1:63">
      <c r="A110" s="502">
        <v>1</v>
      </c>
      <c r="B110" s="505"/>
      <c r="C110" s="650" t="s">
        <v>667</v>
      </c>
      <c r="D110" s="650"/>
      <c r="E110" s="650"/>
      <c r="F110" s="650"/>
      <c r="G110" s="650"/>
      <c r="H110" s="653" t="s">
        <v>668</v>
      </c>
      <c r="I110" s="652">
        <f>IF(H119=D136,E119-(E119*F120%))</f>
        <v>0.625</v>
      </c>
      <c r="J110" s="615" t="str">
        <f ca="1">_xlfn.FORMULATEXT(I110)</f>
        <v>=SI(H119=D136;E119-(E119*F120%))</v>
      </c>
      <c r="K110" s="331"/>
      <c r="L110" s="331"/>
      <c r="M110" s="331"/>
      <c r="N110" s="331"/>
      <c r="O110" s="502">
        <v>1</v>
      </c>
      <c r="P110" s="331"/>
      <c r="Q110" s="331"/>
      <c r="R110" s="331"/>
      <c r="S110" s="331"/>
      <c r="T110" s="331"/>
      <c r="U110" s="529"/>
      <c r="W110" s="505"/>
      <c r="X110" s="650" t="s">
        <v>669</v>
      </c>
      <c r="Y110" s="650"/>
      <c r="Z110" s="650"/>
      <c r="AA110" s="650"/>
      <c r="AB110" s="650"/>
      <c r="AC110" s="653" t="s">
        <v>668</v>
      </c>
      <c r="AD110" s="652">
        <f>IF(AC119=Y136,Z119-(Z119*AA120%))</f>
        <v>0.625</v>
      </c>
      <c r="AE110" s="615" t="str">
        <f ca="1">_xlfn.FORMULATEXT(AD110)</f>
        <v>=SI(AC119=Y136;Z119-(Z119*AA120%))</v>
      </c>
      <c r="AF110" s="331"/>
      <c r="AG110" s="331"/>
      <c r="AH110" s="331"/>
      <c r="AI110" s="331"/>
      <c r="AJ110" s="502">
        <v>1</v>
      </c>
      <c r="AK110" s="331"/>
      <c r="AL110" s="331"/>
      <c r="AM110" s="331"/>
      <c r="AN110" s="331"/>
      <c r="AO110" s="331"/>
      <c r="AP110" s="529"/>
      <c r="AR110" s="505"/>
      <c r="AS110" s="650" t="s">
        <v>667</v>
      </c>
      <c r="AT110" s="650"/>
      <c r="AU110" s="650"/>
      <c r="AV110" s="650"/>
      <c r="AW110" s="650"/>
      <c r="AX110" s="653" t="s">
        <v>668</v>
      </c>
      <c r="AY110" s="652">
        <f>IF(AX119=AT136,AU119-(AU119*AV120%))</f>
        <v>0.625</v>
      </c>
      <c r="AZ110" s="615" t="str">
        <f ca="1">_xlfn.FORMULATEXT(AY110)</f>
        <v>=SI(AX119=AT136;AU119-(AU119*AV120%))</v>
      </c>
      <c r="BA110" s="331"/>
      <c r="BB110" s="331"/>
      <c r="BC110" s="331"/>
      <c r="BD110" s="331"/>
      <c r="BE110" s="502">
        <v>1</v>
      </c>
      <c r="BF110" s="331"/>
      <c r="BG110" s="331"/>
      <c r="BH110" s="331"/>
      <c r="BI110" s="331"/>
      <c r="BJ110" s="331"/>
      <c r="BK110" s="529"/>
    </row>
    <row r="111" spans="1:63" ht="16.5" thickBot="1">
      <c r="A111" s="502">
        <v>1</v>
      </c>
      <c r="B111" s="505"/>
      <c r="C111" s="502">
        <v>1</v>
      </c>
      <c r="D111" s="502">
        <v>1</v>
      </c>
      <c r="E111" s="502">
        <v>1</v>
      </c>
      <c r="F111" s="502">
        <v>1</v>
      </c>
      <c r="G111" s="502">
        <v>1</v>
      </c>
      <c r="H111" s="502">
        <v>1</v>
      </c>
      <c r="I111" s="502">
        <v>1</v>
      </c>
      <c r="J111" s="654"/>
      <c r="K111" s="331"/>
      <c r="L111" s="331"/>
      <c r="M111" s="331"/>
      <c r="N111" s="331"/>
      <c r="O111" s="7520" t="s">
        <v>670</v>
      </c>
      <c r="P111" s="331"/>
      <c r="Q111" s="331"/>
      <c r="R111" s="331"/>
      <c r="S111" s="331"/>
      <c r="T111" s="331"/>
      <c r="U111" s="529"/>
      <c r="W111" s="505"/>
      <c r="X111" s="502">
        <v>1</v>
      </c>
      <c r="Y111" s="502">
        <v>1</v>
      </c>
      <c r="Z111" s="502">
        <v>1</v>
      </c>
      <c r="AA111" s="502">
        <v>1</v>
      </c>
      <c r="AB111" s="502">
        <v>1</v>
      </c>
      <c r="AC111" s="502">
        <v>1</v>
      </c>
      <c r="AD111" s="502">
        <v>1</v>
      </c>
      <c r="AE111" s="654"/>
      <c r="AF111" s="331"/>
      <c r="AG111" s="331"/>
      <c r="AH111" s="331"/>
      <c r="AI111" s="331"/>
      <c r="AJ111" s="7520" t="s">
        <v>670</v>
      </c>
      <c r="AK111" s="331"/>
      <c r="AL111" s="331"/>
      <c r="AM111" s="331"/>
      <c r="AN111" s="331"/>
      <c r="AO111" s="331"/>
      <c r="AP111" s="529"/>
      <c r="AR111" s="505"/>
      <c r="AS111" s="502">
        <v>1</v>
      </c>
      <c r="AT111" s="502">
        <v>1</v>
      </c>
      <c r="AU111" s="502">
        <v>1</v>
      </c>
      <c r="AV111" s="502">
        <v>1</v>
      </c>
      <c r="AW111" s="502">
        <v>1</v>
      </c>
      <c r="AX111" s="502">
        <v>1</v>
      </c>
      <c r="AY111" s="502">
        <v>1</v>
      </c>
      <c r="AZ111" s="654"/>
      <c r="BA111" s="331"/>
      <c r="BB111" s="331"/>
      <c r="BC111" s="331"/>
      <c r="BD111" s="331"/>
      <c r="BE111" s="7520" t="s">
        <v>670</v>
      </c>
      <c r="BF111" s="331"/>
      <c r="BG111" s="331"/>
      <c r="BH111" s="331"/>
      <c r="BI111" s="331"/>
      <c r="BJ111" s="331"/>
      <c r="BK111" s="529"/>
    </row>
    <row r="112" spans="1:63" ht="23.25">
      <c r="A112" s="502">
        <v>1</v>
      </c>
      <c r="B112" s="7498" t="s">
        <v>252</v>
      </c>
      <c r="C112" s="7521" t="s">
        <v>671</v>
      </c>
      <c r="D112" s="7521"/>
      <c r="E112" s="7521"/>
      <c r="F112" s="7521"/>
      <c r="G112" s="655"/>
      <c r="H112" s="656" t="str">
        <f>E120</f>
        <v>❻ %  de PERTE &gt;</v>
      </c>
      <c r="I112" s="657" t="str">
        <f>_xlfn.UNICHAR(128269)&amp;"Cliquez sur les loupes"</f>
        <v>🔍Cliquez sur les loupes</v>
      </c>
      <c r="J112" s="648"/>
      <c r="K112" s="658" t="s">
        <v>563</v>
      </c>
      <c r="L112" s="589"/>
      <c r="M112" s="590"/>
      <c r="N112" s="331"/>
      <c r="O112" s="7520"/>
      <c r="P112" s="331"/>
      <c r="Q112" s="331"/>
      <c r="R112" s="331"/>
      <c r="S112" s="331"/>
      <c r="T112" s="331"/>
      <c r="U112" s="529"/>
      <c r="W112" s="7498" t="s">
        <v>252</v>
      </c>
      <c r="X112" s="7521" t="s">
        <v>672</v>
      </c>
      <c r="Y112" s="7521"/>
      <c r="Z112" s="7521"/>
      <c r="AA112" s="7521"/>
      <c r="AB112" s="655"/>
      <c r="AC112" s="656" t="str">
        <f>Z120</f>
        <v>❻ %  de PERTE &gt;</v>
      </c>
      <c r="AD112" s="657" t="str">
        <f>_xlfn.UNICHAR(128269)&amp;"Cliquez sur les loupes"</f>
        <v>🔍Cliquez sur les loupes</v>
      </c>
      <c r="AE112" s="648"/>
      <c r="AF112" s="658" t="s">
        <v>673</v>
      </c>
      <c r="AG112" s="589"/>
      <c r="AH112" s="590"/>
      <c r="AI112" s="331"/>
      <c r="AJ112" s="7520"/>
      <c r="AK112" s="331"/>
      <c r="AL112" s="331"/>
      <c r="AM112" s="331"/>
      <c r="AN112" s="331"/>
      <c r="AO112" s="331"/>
      <c r="AP112" s="529"/>
      <c r="AR112" s="7498" t="s">
        <v>252</v>
      </c>
      <c r="AS112" s="7521" t="s">
        <v>671</v>
      </c>
      <c r="AT112" s="7521"/>
      <c r="AU112" s="7521"/>
      <c r="AV112" s="7521"/>
      <c r="AW112" s="655"/>
      <c r="AX112" s="656" t="str">
        <f>AU120</f>
        <v>❻ %  de PERTE &gt;</v>
      </c>
      <c r="AY112" s="657" t="str">
        <f>_xlfn.UNICHAR(128269)&amp;"Cliquez sur les loupes"</f>
        <v>🔍Cliquez sur les loupes</v>
      </c>
      <c r="AZ112" s="648"/>
      <c r="BA112" s="658" t="s">
        <v>563</v>
      </c>
      <c r="BB112" s="589"/>
      <c r="BC112" s="590"/>
      <c r="BD112" s="331"/>
      <c r="BE112" s="7520"/>
      <c r="BF112" s="331"/>
      <c r="BG112" s="331"/>
      <c r="BH112" s="331"/>
      <c r="BI112" s="331"/>
      <c r="BJ112" s="331"/>
      <c r="BK112" s="529"/>
    </row>
    <row r="113" spans="1:63">
      <c r="A113" s="502">
        <v>1</v>
      </c>
      <c r="B113" s="7499"/>
      <c r="C113" s="659"/>
      <c r="D113" s="659"/>
      <c r="E113" s="660"/>
      <c r="F113" s="661" t="s">
        <v>674</v>
      </c>
      <c r="G113" s="662" t="str">
        <f>IF(F119=D135,"CRU- Brut ou à cuire","CUIT - Net à servir")</f>
        <v>CRU- Brut ou à cuire</v>
      </c>
      <c r="H113" s="663"/>
      <c r="I113" s="664" t="str">
        <f>HYPERLINK("#"&amp;ADDRESS(ROW(G113),COLUMN(G113),4),_xlfn.UNICHAR(128269)&amp;"cellule "&amp;ADDRESS(ROW(G113),COLUMN(G113),4))</f>
        <v>🔍cellule G113</v>
      </c>
      <c r="J113" s="665" t="str">
        <f>G113</f>
        <v>CRU- Brut ou à cuire</v>
      </c>
      <c r="K113" s="615" t="str">
        <f ca="1">_xlfn.FORMULATEXT(G113)</f>
        <v>=SI(F119=D135;"CRU- Brut ou à cuire";"CUIT - Net à servir")</v>
      </c>
      <c r="L113" s="543"/>
      <c r="M113" s="331"/>
      <c r="N113" s="331"/>
      <c r="O113" s="502">
        <v>1</v>
      </c>
      <c r="P113" s="331"/>
      <c r="Q113" s="331"/>
      <c r="R113" s="331"/>
      <c r="S113" s="331"/>
      <c r="T113" s="331"/>
      <c r="U113" s="529"/>
      <c r="W113" s="7499"/>
      <c r="X113" s="659"/>
      <c r="Y113" s="659"/>
      <c r="Z113" s="660"/>
      <c r="AA113" s="661" t="s">
        <v>675</v>
      </c>
      <c r="AB113" s="662" t="str">
        <f>IF(AA119=Y135,"CRU- Brut ou à cuire","CUIT - Net à servir")</f>
        <v>CRU- Brut ou à cuire</v>
      </c>
      <c r="AC113" s="663"/>
      <c r="AD113" s="664" t="str">
        <f>HYPERLINK("#"&amp;ADDRESS(ROW(AB113),COLUMN(AB113),4),_xlfn.UNICHAR(128269)&amp;"cellule "&amp;ADDRESS(ROW(AB113),COLUMN(AB113),4))</f>
        <v>🔍cellule AB113</v>
      </c>
      <c r="AE113" s="665" t="str">
        <f>AB113</f>
        <v>CRU- Brut ou à cuire</v>
      </c>
      <c r="AF113" s="615" t="str">
        <f ca="1">_xlfn.FORMULATEXT(AB113)</f>
        <v>=SI(AA119=Y135;"CRU- Brut ou à cuire";"CUIT - Net à servir")</v>
      </c>
      <c r="AG113" s="543"/>
      <c r="AH113" s="331"/>
      <c r="AI113" s="331"/>
      <c r="AJ113" s="502">
        <v>1</v>
      </c>
      <c r="AK113" s="331"/>
      <c r="AL113" s="331"/>
      <c r="AM113" s="331"/>
      <c r="AN113" s="331"/>
      <c r="AO113" s="331"/>
      <c r="AP113" s="529"/>
      <c r="AR113" s="7499"/>
      <c r="AS113" s="659"/>
      <c r="AT113" s="659"/>
      <c r="AU113" s="660"/>
      <c r="AV113" s="661" t="s">
        <v>674</v>
      </c>
      <c r="AW113" s="662" t="str">
        <f>IF(AV119=AT135,"CRU- Brut ou à cuire","CUIT - Net à servir")</f>
        <v>CRU- Brut ou à cuire</v>
      </c>
      <c r="AX113" s="663"/>
      <c r="AY113" s="664" t="str">
        <f>HYPERLINK("#"&amp;ADDRESS(ROW(AW113),COLUMN(AW113),4),_xlfn.UNICHAR(128269)&amp;"cellule "&amp;ADDRESS(ROW(AW113),COLUMN(AW113),4))</f>
        <v>🔍cellule AW113</v>
      </c>
      <c r="AZ113" s="665" t="str">
        <f>AW113</f>
        <v>CRU- Brut ou à cuire</v>
      </c>
      <c r="BA113" s="615" t="str">
        <f ca="1">_xlfn.FORMULATEXT(AW113)</f>
        <v>=SI(AV119=AT135;"CRU- Brut ou à cuire";"CUIT - Net à servir")</v>
      </c>
      <c r="BB113" s="543"/>
      <c r="BC113" s="331"/>
      <c r="BD113" s="331"/>
      <c r="BE113" s="502">
        <v>1</v>
      </c>
      <c r="BF113" s="331"/>
      <c r="BG113" s="331"/>
      <c r="BH113" s="331"/>
      <c r="BI113" s="331"/>
      <c r="BJ113" s="331"/>
      <c r="BK113" s="529"/>
    </row>
    <row r="114" spans="1:63" ht="23.25">
      <c r="A114" s="502">
        <v>1</v>
      </c>
      <c r="B114" s="7516">
        <v>3</v>
      </c>
      <c r="C114" s="7491" t="str">
        <f>D116</f>
        <v>Sautés en morceaux service au poids</v>
      </c>
      <c r="D114" s="7491"/>
      <c r="E114" s="7491"/>
      <c r="F114" s="7491"/>
      <c r="G114" s="7491"/>
      <c r="H114" s="7492"/>
      <c r="I114" s="664" t="str">
        <f>HYPERLINK("#"&amp;ADDRESS(ROW(E115),COLUMN(E115),4),_xlfn.UNICHAR(128269)&amp;"cellule "&amp;ADDRESS(ROW(E115),COLUMN(E115),4))</f>
        <v>🔍cellule E115</v>
      </c>
      <c r="J114" s="666">
        <f>E115</f>
        <v>46</v>
      </c>
      <c r="K114" s="615" t="str">
        <f ca="1">_xlfn.FORMULATEXT(E115)</f>
        <v>=ENT(E125/E119)</v>
      </c>
      <c r="L114" s="543"/>
      <c r="M114" s="331"/>
      <c r="N114" s="331"/>
      <c r="O114" s="502">
        <v>1</v>
      </c>
      <c r="P114" s="331"/>
      <c r="Q114" s="331"/>
      <c r="R114" s="331"/>
      <c r="S114" s="331"/>
      <c r="T114" s="331"/>
      <c r="U114" s="529"/>
      <c r="W114" s="7516">
        <v>3</v>
      </c>
      <c r="X114" s="7491" t="str">
        <f>Y116</f>
        <v>Sautéed in pieces, served by weight</v>
      </c>
      <c r="Y114" s="7491"/>
      <c r="Z114" s="7491"/>
      <c r="AA114" s="7491"/>
      <c r="AB114" s="7491"/>
      <c r="AC114" s="7492"/>
      <c r="AD114" s="664" t="str">
        <f>HYPERLINK("#"&amp;ADDRESS(ROW(Z115),COLUMN(Z115),4),_xlfn.UNICHAR(128269)&amp;"cellule "&amp;ADDRESS(ROW(Z115),COLUMN(Z115),4))</f>
        <v>🔍cellule Z115</v>
      </c>
      <c r="AE114" s="666">
        <f>Z115</f>
        <v>46</v>
      </c>
      <c r="AF114" s="615" t="str">
        <f ca="1">_xlfn.FORMULATEXT(Z115)</f>
        <v>=ENT(Z125/Z119)</v>
      </c>
      <c r="AG114" s="543"/>
      <c r="AH114" s="331"/>
      <c r="AI114" s="331"/>
      <c r="AJ114" s="502">
        <v>1</v>
      </c>
      <c r="AK114" s="331"/>
      <c r="AL114" s="331"/>
      <c r="AM114" s="331"/>
      <c r="AN114" s="331"/>
      <c r="AO114" s="331"/>
      <c r="AP114" s="529"/>
      <c r="AR114" s="7516">
        <v>3</v>
      </c>
      <c r="AS114" s="7491" t="str">
        <f>AT116</f>
        <v>Sautés en morceaux service au poids</v>
      </c>
      <c r="AT114" s="7491"/>
      <c r="AU114" s="7491"/>
      <c r="AV114" s="7491"/>
      <c r="AW114" s="7491"/>
      <c r="AX114" s="7492"/>
      <c r="AY114" s="664" t="str">
        <f>HYPERLINK("#"&amp;ADDRESS(ROW(AU115),COLUMN(AU115),4),_xlfn.UNICHAR(128269)&amp;"cellule "&amp;ADDRESS(ROW(AU115),COLUMN(AU115),4))</f>
        <v>🔍cellule AU115</v>
      </c>
      <c r="AZ114" s="666">
        <f>AU115</f>
        <v>46</v>
      </c>
      <c r="BA114" s="615" t="str">
        <f ca="1">_xlfn.FORMULATEXT(AU115)</f>
        <v>=ENT(AU125/AU119)</v>
      </c>
      <c r="BB114" s="543"/>
      <c r="BC114" s="331"/>
      <c r="BD114" s="331"/>
      <c r="BE114" s="502">
        <v>1</v>
      </c>
      <c r="BF114" s="331"/>
      <c r="BG114" s="331"/>
      <c r="BH114" s="331"/>
      <c r="BI114" s="331"/>
      <c r="BJ114" s="331"/>
      <c r="BK114" s="529"/>
    </row>
    <row r="115" spans="1:63">
      <c r="A115" s="502">
        <v>1</v>
      </c>
      <c r="B115" s="7516"/>
      <c r="C115" s="667"/>
      <c r="D115" s="668" t="s">
        <v>676</v>
      </c>
      <c r="E115" s="669">
        <f>INT(E125/E119)</f>
        <v>46</v>
      </c>
      <c r="F115" s="670">
        <f>IF(E115=0,0,IF(E126=0,0,E119))</f>
        <v>1.25</v>
      </c>
      <c r="G115" s="671" t="str">
        <f>IF(F115*E115=0,"1 de",IF(E125=0,0,IF(E119=0,0,IF(F115*E115=E125,"",IF(H115&gt;0,"Plus 1 de")))))</f>
        <v>Plus 1 de</v>
      </c>
      <c r="H115" s="672">
        <f>IF(E119=0,0,IF(F115*E115=E125,"",MOD(E125,E119)))</f>
        <v>0.10000000000000142</v>
      </c>
      <c r="I115" s="664" t="str">
        <f>HYPERLINK("#"&amp;ADDRESS(ROW(F115),COLUMN(F115),4),_xlfn.UNICHAR(128269)&amp;"cellule "&amp;ADDRESS(ROW(F115),COLUMN(F115),4))</f>
        <v>🔍cellule F115</v>
      </c>
      <c r="J115" s="673">
        <f>F115</f>
        <v>1.25</v>
      </c>
      <c r="K115" s="615" t="str">
        <f ca="1">_xlfn.FORMULATEXT(F115)</f>
        <v>=SI(E115=0;0;SI(E126=0;0;E119))</v>
      </c>
      <c r="L115" s="543"/>
      <c r="M115" s="331"/>
      <c r="N115" s="331"/>
      <c r="O115" s="543"/>
      <c r="P115" s="331"/>
      <c r="Q115" s="331"/>
      <c r="R115" s="331"/>
      <c r="S115" s="331"/>
      <c r="T115" s="331"/>
      <c r="U115" s="529"/>
      <c r="W115" s="7516"/>
      <c r="X115" s="667"/>
      <c r="Y115" s="668" t="s">
        <v>676</v>
      </c>
      <c r="Z115" s="669">
        <f>INT(Z125/Z119)</f>
        <v>46</v>
      </c>
      <c r="AA115" s="670">
        <f>IF(Z115=0,0,IF(Z126=0,0,Z119))</f>
        <v>1.25</v>
      </c>
      <c r="AB115" s="671" t="str">
        <f>IF(AA115*Z115=0,"1 de",IF(Z125=0,0,IF(Z119=0,0,IF(AA115*Z115=Z125,"",IF(AC115&gt;0,"Plus 1 de")))))</f>
        <v>Plus 1 de</v>
      </c>
      <c r="AC115" s="672">
        <f>IF(Z119=0,0,IF(AA115*Z115=Z125,"",MOD(Z125,Z119)))</f>
        <v>0.10000000000000142</v>
      </c>
      <c r="AD115" s="664" t="str">
        <f>HYPERLINK("#"&amp;ADDRESS(ROW(AA115),COLUMN(AA115),4),_xlfn.UNICHAR(128269)&amp;"cellule "&amp;ADDRESS(ROW(AA115),COLUMN(AA115),4))</f>
        <v>🔍cellule AA115</v>
      </c>
      <c r="AE115" s="673">
        <f>AA115</f>
        <v>1.25</v>
      </c>
      <c r="AF115" s="615" t="str">
        <f ca="1">_xlfn.FORMULATEXT(AA115)</f>
        <v>=SI(Z115=0;0;SI(Z126=0;0;Z119))</v>
      </c>
      <c r="AG115" s="543"/>
      <c r="AH115" s="331"/>
      <c r="AI115" s="331"/>
      <c r="AJ115" s="543"/>
      <c r="AK115" s="331"/>
      <c r="AL115" s="331"/>
      <c r="AM115" s="331"/>
      <c r="AN115" s="331"/>
      <c r="AO115" s="331"/>
      <c r="AP115" s="529"/>
      <c r="AR115" s="7516"/>
      <c r="AS115" s="667"/>
      <c r="AT115" s="668" t="s">
        <v>676</v>
      </c>
      <c r="AU115" s="669">
        <f>INT(AU125/AU119)</f>
        <v>46</v>
      </c>
      <c r="AV115" s="670">
        <f>IF(AU115=0,0,IF(AU126=0,0,AU119))</f>
        <v>1.25</v>
      </c>
      <c r="AW115" s="671" t="str">
        <f>IF(AV115*AU115=0,"1 de",IF(AU125=0,0,IF(AU119=0,0,IF(AV115*AU115=AU125,"",IF(AX115&gt;0,"Plus 1 de")))))</f>
        <v>Plus 1 de</v>
      </c>
      <c r="AX115" s="672">
        <f>IF(AU119=0,0,IF(AV115*AU115=AU125,"",MOD(AU125,AU119)))</f>
        <v>0.10000000000000142</v>
      </c>
      <c r="AY115" s="664" t="str">
        <f>HYPERLINK("#"&amp;ADDRESS(ROW(AV115),COLUMN(AV115),4),_xlfn.UNICHAR(128269)&amp;"cellule "&amp;ADDRESS(ROW(AV115),COLUMN(AV115),4))</f>
        <v>🔍cellule AV115</v>
      </c>
      <c r="AZ115" s="673">
        <f>AV115</f>
        <v>1.25</v>
      </c>
      <c r="BA115" s="615" t="str">
        <f ca="1">_xlfn.FORMULATEXT(AV115)</f>
        <v>=SI(AU115=0;0;SI(AU126=0;0;AU119))</v>
      </c>
      <c r="BB115" s="543"/>
      <c r="BC115" s="331"/>
      <c r="BD115" s="331"/>
      <c r="BE115" s="543"/>
      <c r="BF115" s="331"/>
      <c r="BG115" s="331"/>
      <c r="BH115" s="331"/>
      <c r="BI115" s="331"/>
      <c r="BJ115" s="331"/>
      <c r="BK115" s="529"/>
    </row>
    <row r="116" spans="1:63" ht="18.75">
      <c r="A116" s="502">
        <v>1</v>
      </c>
      <c r="B116" s="7516"/>
      <c r="C116" s="5462" t="s">
        <v>677</v>
      </c>
      <c r="D116" s="674" t="s">
        <v>678</v>
      </c>
      <c r="E116" s="675"/>
      <c r="F116" s="543"/>
      <c r="G116" s="543"/>
      <c r="H116" s="676"/>
      <c r="I116" s="664" t="str">
        <f>HYPERLINK("#"&amp;ADDRESS(ROW(G115),COLUMN(G115),4),_xlfn.UNICHAR(128269)&amp;"cellule "&amp;ADDRESS(ROW(G115),COLUMN(G115),4))</f>
        <v>🔍cellule G115</v>
      </c>
      <c r="J116" s="677" t="str">
        <f>HYPERLINK("# G31",G115)</f>
        <v>Plus 1 de</v>
      </c>
      <c r="K116" s="615" t="str">
        <f ca="1">_xlfn.FORMULATEXT(G115)</f>
        <v>=SI(F115*E115=0;"1 de";SI(E125=0;0;SI(E119=0;0;SI(F115*E115=E125;"";SI(H115&gt;0;"Plus 1 de")))))</v>
      </c>
      <c r="L116" s="543"/>
      <c r="M116" s="331"/>
      <c r="N116" s="331"/>
      <c r="O116" s="543"/>
      <c r="P116" s="331"/>
      <c r="Q116" s="331"/>
      <c r="R116" s="331"/>
      <c r="S116" s="331"/>
      <c r="T116" s="331"/>
      <c r="U116" s="529"/>
      <c r="W116" s="7516"/>
      <c r="X116" s="5462" t="s">
        <v>677</v>
      </c>
      <c r="Y116" s="674" t="s">
        <v>679</v>
      </c>
      <c r="Z116" s="675"/>
      <c r="AA116" s="543"/>
      <c r="AB116" s="543"/>
      <c r="AC116" s="676"/>
      <c r="AD116" s="664" t="str">
        <f>HYPERLINK("#"&amp;ADDRESS(ROW(AB115),COLUMN(AB115),4),_xlfn.UNICHAR(128269)&amp;"cellule "&amp;ADDRESS(ROW(AB115),COLUMN(AB115),4))</f>
        <v>🔍cellule AB115</v>
      </c>
      <c r="AE116" s="677" t="str">
        <f>HYPERLINK("# G31",AB115)</f>
        <v>Plus 1 de</v>
      </c>
      <c r="AF116" s="615" t="str">
        <f ca="1">_xlfn.FORMULATEXT(AB115)</f>
        <v>=SI(AA115*Z115=0;"1 de";SI(Z125=0;0;SI(Z119=0;0;SI(AA115*Z115=Z125;"";SI(AC115&gt;0;"Plus 1 de")))))</v>
      </c>
      <c r="AG116" s="543"/>
      <c r="AH116" s="331"/>
      <c r="AI116" s="331"/>
      <c r="AJ116" s="543"/>
      <c r="AK116" s="331"/>
      <c r="AL116" s="331"/>
      <c r="AM116" s="331"/>
      <c r="AN116" s="331"/>
      <c r="AO116" s="331"/>
      <c r="AP116" s="529"/>
      <c r="AR116" s="7516"/>
      <c r="AS116" s="5462" t="s">
        <v>677</v>
      </c>
      <c r="AT116" s="674" t="s">
        <v>678</v>
      </c>
      <c r="AU116" s="675"/>
      <c r="AV116" s="543"/>
      <c r="AW116" s="543"/>
      <c r="AX116" s="676"/>
      <c r="AY116" s="664" t="str">
        <f>HYPERLINK("#"&amp;ADDRESS(ROW(AW115),COLUMN(AW115),4),_xlfn.UNICHAR(128269)&amp;"cellule "&amp;ADDRESS(ROW(AW115),COLUMN(AW115),4))</f>
        <v>🔍cellule AW115</v>
      </c>
      <c r="AZ116" s="677" t="str">
        <f>HYPERLINK("# G31",AW115)</f>
        <v>Plus 1 de</v>
      </c>
      <c r="BA116" s="615" t="str">
        <f ca="1">_xlfn.FORMULATEXT(AW115)</f>
        <v>=SI(AV115*AU115=0;"1 de";SI(AU125=0;0;SI(AU119=0;0;SI(AV115*AU115=AU125;"";SI(AX115&gt;0;"Plus 1 de")))))</v>
      </c>
      <c r="BB116" s="543"/>
      <c r="BC116" s="331"/>
      <c r="BD116" s="331"/>
      <c r="BE116" s="543"/>
      <c r="BF116" s="331"/>
      <c r="BG116" s="331"/>
      <c r="BH116" s="331"/>
      <c r="BI116" s="331"/>
      <c r="BJ116" s="331"/>
      <c r="BK116" s="529"/>
    </row>
    <row r="117" spans="1:63">
      <c r="A117" s="502">
        <v>1</v>
      </c>
      <c r="B117" s="7516"/>
      <c r="C117" s="543"/>
      <c r="D117" s="543"/>
      <c r="E117" s="678" t="s">
        <v>680</v>
      </c>
      <c r="F117" s="7518" t="s">
        <v>681</v>
      </c>
      <c r="G117" s="7518"/>
      <c r="H117" s="7519"/>
      <c r="I117" s="664" t="str">
        <f>HYPERLINK("#"&amp;ADDRESS(ROW(H115),COLUMN(H115),4),_xlfn.UNICHAR(128269)&amp;"cellule "&amp;ADDRESS(ROW(H115),COLUMN(H115),4))</f>
        <v>🔍cellule H115</v>
      </c>
      <c r="J117" s="679">
        <f>H115</f>
        <v>0.10000000000000142</v>
      </c>
      <c r="K117" s="615" t="str">
        <f ca="1">_xlfn.FORMULATEXT(H115)</f>
        <v>=SI(E119=0;0;SI(F115*E115=E125;"";MOD(E125;E119)))</v>
      </c>
      <c r="L117" s="543"/>
      <c r="M117" s="331"/>
      <c r="N117" s="331"/>
      <c r="O117" s="543"/>
      <c r="P117" s="331"/>
      <c r="Q117" s="331"/>
      <c r="R117" s="331"/>
      <c r="S117" s="331"/>
      <c r="T117" s="331"/>
      <c r="U117" s="529"/>
      <c r="W117" s="7516"/>
      <c r="X117" s="543"/>
      <c r="Y117" s="543"/>
      <c r="Z117" s="678" t="s">
        <v>682</v>
      </c>
      <c r="AA117" s="7518" t="s">
        <v>683</v>
      </c>
      <c r="AB117" s="7518"/>
      <c r="AC117" s="7519"/>
      <c r="AD117" s="664" t="str">
        <f>HYPERLINK("#"&amp;ADDRESS(ROW(AC115),COLUMN(AC115),4),_xlfn.UNICHAR(128269)&amp;"cellule "&amp;ADDRESS(ROW(AC115),COLUMN(AC115),4))</f>
        <v>🔍cellule AC115</v>
      </c>
      <c r="AE117" s="679">
        <f>AC115</f>
        <v>0.10000000000000142</v>
      </c>
      <c r="AF117" s="615" t="str">
        <f ca="1">_xlfn.FORMULATEXT(AC115)</f>
        <v>=SI(Z119=0;0;SI(AA115*Z115=Z125;"";MOD(Z125;Z119)))</v>
      </c>
      <c r="AG117" s="543"/>
      <c r="AH117" s="331"/>
      <c r="AI117" s="331"/>
      <c r="AJ117" s="543"/>
      <c r="AK117" s="331"/>
      <c r="AL117" s="331"/>
      <c r="AM117" s="331"/>
      <c r="AN117" s="331"/>
      <c r="AO117" s="331"/>
      <c r="AP117" s="529"/>
      <c r="AR117" s="7516"/>
      <c r="AS117" s="543"/>
      <c r="AT117" s="543"/>
      <c r="AU117" s="678" t="s">
        <v>680</v>
      </c>
      <c r="AV117" s="7518" t="s">
        <v>681</v>
      </c>
      <c r="AW117" s="7518"/>
      <c r="AX117" s="7519"/>
      <c r="AY117" s="664" t="str">
        <f>HYPERLINK("#"&amp;ADDRESS(ROW(AX115),COLUMN(AX115),4),_xlfn.UNICHAR(128269)&amp;"cellule "&amp;ADDRESS(ROW(AX115),COLUMN(AX115),4))</f>
        <v>🔍cellule AX115</v>
      </c>
      <c r="AZ117" s="679">
        <f>AX115</f>
        <v>0.10000000000000142</v>
      </c>
      <c r="BA117" s="615" t="str">
        <f ca="1">_xlfn.FORMULATEXT(AX115)</f>
        <v>=SI(AU119=0;0;SI(AV115*AU115=AU125;"";MOD(AU125;AU119)))</v>
      </c>
      <c r="BB117" s="543"/>
      <c r="BC117" s="331"/>
      <c r="BD117" s="331"/>
      <c r="BE117" s="543"/>
      <c r="BF117" s="331"/>
      <c r="BG117" s="331"/>
      <c r="BH117" s="331"/>
      <c r="BI117" s="331"/>
      <c r="BJ117" s="331"/>
      <c r="BK117" s="529"/>
    </row>
    <row r="118" spans="1:63">
      <c r="A118" s="502">
        <v>1</v>
      </c>
      <c r="B118" s="7516"/>
      <c r="C118" s="543"/>
      <c r="D118" s="680"/>
      <c r="E118" s="681"/>
      <c r="F118" s="682" t="s">
        <v>684</v>
      </c>
      <c r="G118" s="680"/>
      <c r="H118" s="676"/>
      <c r="I118" s="536"/>
      <c r="J118" s="683"/>
      <c r="K118" s="543"/>
      <c r="L118" s="543"/>
      <c r="M118" s="331"/>
      <c r="N118" s="331"/>
      <c r="O118" s="543"/>
      <c r="P118" s="331"/>
      <c r="Q118" s="331"/>
      <c r="R118" s="331"/>
      <c r="S118" s="331"/>
      <c r="T118" s="331"/>
      <c r="U118" s="529"/>
      <c r="W118" s="7516"/>
      <c r="X118" s="543"/>
      <c r="Y118" s="680"/>
      <c r="Z118" s="681"/>
      <c r="AA118" s="682" t="s">
        <v>684</v>
      </c>
      <c r="AB118" s="680"/>
      <c r="AC118" s="676"/>
      <c r="AD118" s="536"/>
      <c r="AE118" s="683"/>
      <c r="AF118" s="543"/>
      <c r="AG118" s="543"/>
      <c r="AH118" s="331"/>
      <c r="AI118" s="331"/>
      <c r="AJ118" s="543"/>
      <c r="AK118" s="331"/>
      <c r="AL118" s="331"/>
      <c r="AM118" s="331"/>
      <c r="AN118" s="331"/>
      <c r="AO118" s="331"/>
      <c r="AP118" s="529"/>
      <c r="AR118" s="7516"/>
      <c r="AS118" s="543"/>
      <c r="AT118" s="680"/>
      <c r="AU118" s="681"/>
      <c r="AV118" s="682" t="s">
        <v>684</v>
      </c>
      <c r="AW118" s="680"/>
      <c r="AX118" s="676"/>
      <c r="AY118" s="536"/>
      <c r="AZ118" s="683"/>
      <c r="BA118" s="543"/>
      <c r="BB118" s="543"/>
      <c r="BC118" s="331"/>
      <c r="BD118" s="331"/>
      <c r="BE118" s="543"/>
      <c r="BF118" s="331"/>
      <c r="BG118" s="331"/>
      <c r="BH118" s="331"/>
      <c r="BI118" s="331"/>
      <c r="BJ118" s="331"/>
      <c r="BK118" s="529"/>
    </row>
    <row r="119" spans="1:63">
      <c r="A119" s="502">
        <v>1</v>
      </c>
      <c r="B119" s="7516"/>
      <c r="C119" s="684"/>
      <c r="D119" s="685" t="s">
        <v>685</v>
      </c>
      <c r="E119" s="686">
        <v>1.25</v>
      </c>
      <c r="F119" s="687" t="s">
        <v>686</v>
      </c>
      <c r="G119" s="688">
        <f>IF(F119=D135,E119-(E119*F120%),IF(F119=D136,E119/(100-F120)*100))</f>
        <v>0.625</v>
      </c>
      <c r="H119" s="689" t="str">
        <f>H122</f>
        <v>cuit</v>
      </c>
      <c r="I119" s="664" t="str">
        <f>HYPERLINK("#"&amp;ADDRESS(ROW(G119),COLUMN(G119),4),_xlfn.UNICHAR(128269)&amp;"cellule "&amp;ADDRESS(ROW(G119),COLUMN(G119),4))</f>
        <v>🔍cellule G119</v>
      </c>
      <c r="J119" s="652">
        <f>G119</f>
        <v>0.625</v>
      </c>
      <c r="K119" s="615" t="str">
        <f ca="1">_xlfn.FORMULATEXT(G119)</f>
        <v>=SI(F119=D135;E119-(E119*F120%);SI(F119=D136;E119/(100-F120)*100))</v>
      </c>
      <c r="L119" s="543"/>
      <c r="M119" s="331"/>
      <c r="N119" s="331"/>
      <c r="O119" s="543"/>
      <c r="P119" s="331"/>
      <c r="Q119" s="331"/>
      <c r="R119" s="331"/>
      <c r="S119" s="331"/>
      <c r="T119" s="331"/>
      <c r="U119" s="529"/>
      <c r="W119" s="7516"/>
      <c r="X119" s="684"/>
      <c r="Y119" s="685" t="s">
        <v>687</v>
      </c>
      <c r="Z119" s="686">
        <v>1.25</v>
      </c>
      <c r="AA119" s="687" t="s">
        <v>686</v>
      </c>
      <c r="AB119" s="688">
        <f>IF(AA119=Y135,Z119-(Z119*AA120%),IF(AA119=Y136,Z119/(100-AA120)*100))</f>
        <v>0.625</v>
      </c>
      <c r="AC119" s="689" t="str">
        <f>AC122</f>
        <v>cuit</v>
      </c>
      <c r="AD119" s="664" t="str">
        <f>HYPERLINK("#"&amp;ADDRESS(ROW(AB119),COLUMN(AB119),4),_xlfn.UNICHAR(128269)&amp;"cellule "&amp;ADDRESS(ROW(AB119),COLUMN(AB119),4))</f>
        <v>🔍cellule AB119</v>
      </c>
      <c r="AE119" s="652">
        <f>AB119</f>
        <v>0.625</v>
      </c>
      <c r="AF119" s="615" t="str">
        <f ca="1">_xlfn.FORMULATEXT(AB119)</f>
        <v>=SI(AA119=Y135;Z119-(Z119*AA120%);SI(AA119=Y136;Z119/(100-AA120)*100))</v>
      </c>
      <c r="AG119" s="543"/>
      <c r="AH119" s="331"/>
      <c r="AI119" s="331"/>
      <c r="AJ119" s="543"/>
      <c r="AK119" s="331"/>
      <c r="AL119" s="331"/>
      <c r="AM119" s="331"/>
      <c r="AN119" s="331"/>
      <c r="AO119" s="331"/>
      <c r="AP119" s="529"/>
      <c r="AR119" s="7516"/>
      <c r="AS119" s="684"/>
      <c r="AT119" s="685" t="s">
        <v>685</v>
      </c>
      <c r="AU119" s="686">
        <v>1.25</v>
      </c>
      <c r="AV119" s="687" t="s">
        <v>686</v>
      </c>
      <c r="AW119" s="688">
        <f>IF(AV119=AT135,AU119-(AU119*AV120%),IF(AV119=AT136,AU119/(100-AV120)*100))</f>
        <v>0.625</v>
      </c>
      <c r="AX119" s="689" t="str">
        <f>AX122</f>
        <v>cuit</v>
      </c>
      <c r="AY119" s="664" t="str">
        <f>HYPERLINK("#"&amp;ADDRESS(ROW(AW119),COLUMN(AW119),4),_xlfn.UNICHAR(128269)&amp;"cellule "&amp;ADDRESS(ROW(AW119),COLUMN(AW119),4))</f>
        <v>🔍cellule AW119</v>
      </c>
      <c r="AZ119" s="652">
        <f>AW119</f>
        <v>0.625</v>
      </c>
      <c r="BA119" s="615" t="str">
        <f ca="1">_xlfn.FORMULATEXT(AW119)</f>
        <v>=SI(AV119=AT135;AU119-(AU119*AV120%);SI(AV119=AT136;AU119/(100-AV120)*100))</v>
      </c>
      <c r="BB119" s="543"/>
      <c r="BC119" s="331"/>
      <c r="BD119" s="331"/>
      <c r="BE119" s="543"/>
      <c r="BF119" s="331"/>
      <c r="BG119" s="331"/>
      <c r="BH119" s="331"/>
      <c r="BI119" s="331"/>
      <c r="BJ119" s="331"/>
      <c r="BK119" s="529"/>
    </row>
    <row r="120" spans="1:63">
      <c r="A120" s="502">
        <v>1</v>
      </c>
      <c r="B120" s="7516"/>
      <c r="C120" s="543"/>
      <c r="D120" s="648"/>
      <c r="E120" s="690" t="str">
        <f>IF(F122=D136,"❻ % de BONI &gt;",IF(F122=D135,"❻ %  de PERTE &gt;",IF(ISBLANK(F120),0)))</f>
        <v>❻ %  de PERTE &gt;</v>
      </c>
      <c r="F120" s="691">
        <v>50</v>
      </c>
      <c r="G120" s="543"/>
      <c r="H120" s="676"/>
      <c r="I120" s="664" t="str">
        <f>HYPERLINK("#"&amp;ADDRESS(ROW(E120),COLUMN(E120),4),_xlfn.UNICHAR(128269)&amp;"cellule "&amp;ADDRESS(ROW(E120),COLUMN(E120),4))</f>
        <v>🔍cellule E120</v>
      </c>
      <c r="J120" s="692" t="str">
        <f>E120</f>
        <v>❻ %  de PERTE &gt;</v>
      </c>
      <c r="K120" s="615" t="str">
        <f ca="1">_xlfn.FORMULATEXT(E120)</f>
        <v>=SI(F122=D136;"❻ % de BONI &gt;";SI(F122=D135;"❻ %  de PERTE &gt;";SI(ESTVIDE(F120);0)))</v>
      </c>
      <c r="L120" s="543"/>
      <c r="M120" s="331"/>
      <c r="N120" s="331"/>
      <c r="O120" s="543"/>
      <c r="P120" s="331"/>
      <c r="Q120" s="331"/>
      <c r="R120" s="331"/>
      <c r="S120" s="331"/>
      <c r="T120" s="331"/>
      <c r="U120" s="529"/>
      <c r="W120" s="7516"/>
      <c r="X120" s="543"/>
      <c r="Y120" s="648"/>
      <c r="Z120" s="690" t="str">
        <f>IF(AA122=Y136,"❻ % de BONI &gt;",IF(AA122=Y135,"❻ %  de PERTE &gt;",IF(ISBLANK(AA120),0)))</f>
        <v>❻ %  de PERTE &gt;</v>
      </c>
      <c r="AA120" s="691">
        <v>50</v>
      </c>
      <c r="AB120" s="543"/>
      <c r="AC120" s="676"/>
      <c r="AD120" s="664" t="str">
        <f>HYPERLINK("#"&amp;ADDRESS(ROW(Z120),COLUMN(Z120),4),_xlfn.UNICHAR(128269)&amp;"cellule "&amp;ADDRESS(ROW(Z120),COLUMN(Z120),4))</f>
        <v>🔍cellule Z120</v>
      </c>
      <c r="AE120" s="692" t="str">
        <f>Z120</f>
        <v>❻ %  de PERTE &gt;</v>
      </c>
      <c r="AF120" s="615" t="str">
        <f ca="1">_xlfn.FORMULATEXT(Z120)</f>
        <v>=SI(AA122=Y136;"❻ % de BONI &gt;";SI(AA122=Y135;"❻ %  de PERTE &gt;";SI(ESTVIDE(AA120);0)))</v>
      </c>
      <c r="AG120" s="543"/>
      <c r="AH120" s="331"/>
      <c r="AI120" s="331"/>
      <c r="AJ120" s="543"/>
      <c r="AK120" s="331"/>
      <c r="AL120" s="331"/>
      <c r="AM120" s="331"/>
      <c r="AN120" s="331"/>
      <c r="AO120" s="331"/>
      <c r="AP120" s="529"/>
      <c r="AR120" s="7516"/>
      <c r="AS120" s="543"/>
      <c r="AT120" s="648"/>
      <c r="AU120" s="690" t="str">
        <f>IF(AV122=AT136,"❻ % de BONI &gt;",IF(AV122=AT135,"❻ %  de PERTE &gt;",IF(ISBLANK(AV120),0)))</f>
        <v>❻ %  de PERTE &gt;</v>
      </c>
      <c r="AV120" s="691">
        <v>50</v>
      </c>
      <c r="AW120" s="543"/>
      <c r="AX120" s="676"/>
      <c r="AY120" s="664" t="str">
        <f>HYPERLINK("#"&amp;ADDRESS(ROW(AU120),COLUMN(AU120),4),_xlfn.UNICHAR(128269)&amp;"cellule "&amp;ADDRESS(ROW(AU120),COLUMN(AU120),4))</f>
        <v>🔍cellule AU120</v>
      </c>
      <c r="AZ120" s="692" t="str">
        <f>AU120</f>
        <v>❻ %  de PERTE &gt;</v>
      </c>
      <c r="BA120" s="615" t="str">
        <f ca="1">_xlfn.FORMULATEXT(AU120)</f>
        <v>=SI(AV122=AT136;"❻ % de BONI &gt;";SI(AV122=AT135;"❻ %  de PERTE &gt;";SI(ESTVIDE(AV120);0)))</v>
      </c>
      <c r="BB120" s="543"/>
      <c r="BC120" s="331"/>
      <c r="BD120" s="331"/>
      <c r="BE120" s="543"/>
      <c r="BF120" s="331"/>
      <c r="BG120" s="331"/>
      <c r="BH120" s="331"/>
      <c r="BI120" s="331"/>
      <c r="BJ120" s="331"/>
      <c r="BK120" s="529"/>
    </row>
    <row r="121" spans="1:63">
      <c r="A121" s="502">
        <v>1</v>
      </c>
      <c r="B121" s="7516"/>
      <c r="C121" s="543"/>
      <c r="D121" s="543"/>
      <c r="E121" s="543"/>
      <c r="F121" s="543"/>
      <c r="G121" s="543"/>
      <c r="H121" s="676"/>
      <c r="I121" s="536"/>
      <c r="J121" s="683"/>
      <c r="K121" s="543"/>
      <c r="L121" s="543"/>
      <c r="M121" s="331"/>
      <c r="N121" s="331"/>
      <c r="O121" s="543"/>
      <c r="P121" s="331"/>
      <c r="Q121" s="331"/>
      <c r="R121" s="331"/>
      <c r="S121" s="331"/>
      <c r="T121" s="331"/>
      <c r="U121" s="529"/>
      <c r="W121" s="7516"/>
      <c r="X121" s="543"/>
      <c r="Y121" s="543"/>
      <c r="Z121" s="543"/>
      <c r="AA121" s="543"/>
      <c r="AB121" s="543"/>
      <c r="AC121" s="676"/>
      <c r="AD121" s="536"/>
      <c r="AE121" s="683"/>
      <c r="AF121" s="543"/>
      <c r="AG121" s="543"/>
      <c r="AH121" s="331"/>
      <c r="AI121" s="331"/>
      <c r="AJ121" s="543"/>
      <c r="AK121" s="331"/>
      <c r="AL121" s="331"/>
      <c r="AM121" s="331"/>
      <c r="AN121" s="331"/>
      <c r="AO121" s="331"/>
      <c r="AP121" s="529"/>
      <c r="AR121" s="7516"/>
      <c r="AS121" s="543"/>
      <c r="AT121" s="543"/>
      <c r="AU121" s="543"/>
      <c r="AV121" s="543"/>
      <c r="AW121" s="543"/>
      <c r="AX121" s="676"/>
      <c r="AY121" s="536"/>
      <c r="AZ121" s="683"/>
      <c r="BA121" s="543"/>
      <c r="BB121" s="543"/>
      <c r="BC121" s="331"/>
      <c r="BD121" s="331"/>
      <c r="BE121" s="543"/>
      <c r="BF121" s="331"/>
      <c r="BG121" s="331"/>
      <c r="BH121" s="331"/>
      <c r="BI121" s="331"/>
      <c r="BJ121" s="331"/>
      <c r="BK121" s="529"/>
    </row>
    <row r="122" spans="1:63">
      <c r="A122" s="502">
        <v>1</v>
      </c>
      <c r="B122" s="7516"/>
      <c r="C122" s="543"/>
      <c r="D122" s="693" t="s">
        <v>688</v>
      </c>
      <c r="E122" s="694">
        <v>4.8000000000000001E-2</v>
      </c>
      <c r="F122" s="695" t="str">
        <f>F119</f>
        <v>cru</v>
      </c>
      <c r="G122" s="688">
        <f>IF(F122=D135,E122-(E122*F120%),IF(F122=D136,E122/(100-F120)*100))</f>
        <v>2.4E-2</v>
      </c>
      <c r="H122" s="696" t="str">
        <f>IF(F122=D135,D136,D135)</f>
        <v>cuit</v>
      </c>
      <c r="I122" s="664" t="str">
        <f>HYPERLINK("#"&amp;ADDRESS(ROW(G122),COLUMN(G122),4),_xlfn.UNICHAR(128269)&amp;"cellule "&amp;ADDRESS(ROW(G122),COLUMN(G122),4))</f>
        <v>🔍cellule G122</v>
      </c>
      <c r="J122" s="652">
        <f>G122</f>
        <v>2.4E-2</v>
      </c>
      <c r="K122" s="615" t="str">
        <f ca="1">_xlfn.FORMULATEXT(G122)</f>
        <v>=SI(F122=D135;E122-(E122*F120%);SI(F122=D136;E122/(100-F120)*100))</v>
      </c>
      <c r="L122" s="543"/>
      <c r="M122" s="331"/>
      <c r="N122" s="331"/>
      <c r="O122" s="543"/>
      <c r="P122" s="331"/>
      <c r="Q122" s="331"/>
      <c r="R122" s="331"/>
      <c r="S122" s="331"/>
      <c r="T122" s="331"/>
      <c r="U122" s="529"/>
      <c r="W122" s="7516"/>
      <c r="X122" s="543"/>
      <c r="Y122" s="693" t="s">
        <v>688</v>
      </c>
      <c r="Z122" s="694">
        <v>4.8000000000000001E-2</v>
      </c>
      <c r="AA122" s="695" t="str">
        <f>AA119</f>
        <v>cru</v>
      </c>
      <c r="AB122" s="688">
        <f>IF(AA122=Y135,Z122-(Z122*AA120%),IF(AA122=Y136,Z122/(100-AA120)*100))</f>
        <v>2.4E-2</v>
      </c>
      <c r="AC122" s="696" t="str">
        <f>IF(AA122=Y135,Y136,Y135)</f>
        <v>cuit</v>
      </c>
      <c r="AD122" s="664" t="str">
        <f>HYPERLINK("#"&amp;ADDRESS(ROW(AB122),COLUMN(AB122),4),_xlfn.UNICHAR(128269)&amp;"cellule "&amp;ADDRESS(ROW(AB122),COLUMN(AB122),4))</f>
        <v>🔍cellule AB122</v>
      </c>
      <c r="AE122" s="652">
        <f>AB122</f>
        <v>2.4E-2</v>
      </c>
      <c r="AF122" s="615" t="str">
        <f ca="1">_xlfn.FORMULATEXT(AB122)</f>
        <v>=SI(AA122=Y135;Z122-(Z122*AA120%);SI(AA122=Y136;Z122/(100-AA120)*100))</v>
      </c>
      <c r="AG122" s="543"/>
      <c r="AH122" s="331"/>
      <c r="AI122" s="331"/>
      <c r="AJ122" s="543"/>
      <c r="AK122" s="331"/>
      <c r="AL122" s="331"/>
      <c r="AM122" s="331"/>
      <c r="AN122" s="331"/>
      <c r="AO122" s="331"/>
      <c r="AP122" s="529"/>
      <c r="AR122" s="7516"/>
      <c r="AS122" s="543"/>
      <c r="AT122" s="693" t="s">
        <v>688</v>
      </c>
      <c r="AU122" s="694">
        <v>4.8000000000000001E-2</v>
      </c>
      <c r="AV122" s="695" t="str">
        <f>AV119</f>
        <v>cru</v>
      </c>
      <c r="AW122" s="688">
        <f>IF(AV122=AT135,AU122-(AU122*AV120%),IF(AV122=AT136,AU122/(100-AV120)*100))</f>
        <v>2.4E-2</v>
      </c>
      <c r="AX122" s="696" t="str">
        <f>IF(AV122=AT135,AT136,AT135)</f>
        <v>cuit</v>
      </c>
      <c r="AY122" s="664" t="str">
        <f>HYPERLINK("#"&amp;ADDRESS(ROW(AW122),COLUMN(AW122),4),_xlfn.UNICHAR(128269)&amp;"cellule "&amp;ADDRESS(ROW(AW122),COLUMN(AW122),4))</f>
        <v>🔍cellule AW122</v>
      </c>
      <c r="AZ122" s="652">
        <f>AW122</f>
        <v>2.4E-2</v>
      </c>
      <c r="BA122" s="615" t="str">
        <f ca="1">_xlfn.FORMULATEXT(AW122)</f>
        <v>=SI(AV122=AT135;AU122-(AU122*AV120%);SI(AV122=AT136;AU122/(100-AV120)*100))</v>
      </c>
      <c r="BB122" s="543"/>
      <c r="BC122" s="331"/>
      <c r="BD122" s="331"/>
      <c r="BE122" s="543"/>
      <c r="BF122" s="331"/>
      <c r="BG122" s="331"/>
      <c r="BH122" s="331"/>
      <c r="BI122" s="331"/>
      <c r="BJ122" s="331"/>
      <c r="BK122" s="529"/>
    </row>
    <row r="123" spans="1:63">
      <c r="A123" s="502">
        <v>1</v>
      </c>
      <c r="B123" s="7516"/>
      <c r="C123" s="543"/>
      <c r="D123" s="697" t="s">
        <v>689</v>
      </c>
      <c r="E123" s="698">
        <v>1200</v>
      </c>
      <c r="F123" s="699" t="s">
        <v>73</v>
      </c>
      <c r="G123" s="543"/>
      <c r="H123" s="700"/>
      <c r="I123" s="536"/>
      <c r="J123" s="683"/>
      <c r="K123" s="543"/>
      <c r="L123" s="543"/>
      <c r="M123" s="331"/>
      <c r="N123" s="331"/>
      <c r="O123" s="543"/>
      <c r="P123" s="331"/>
      <c r="Q123" s="331"/>
      <c r="R123" s="331"/>
      <c r="S123" s="331"/>
      <c r="T123" s="331"/>
      <c r="U123" s="529"/>
      <c r="W123" s="7516"/>
      <c r="X123" s="543"/>
      <c r="Y123" s="697" t="s">
        <v>690</v>
      </c>
      <c r="Z123" s="698">
        <v>1200</v>
      </c>
      <c r="AA123" s="699" t="s">
        <v>73</v>
      </c>
      <c r="AB123" s="543"/>
      <c r="AC123" s="700"/>
      <c r="AD123" s="536"/>
      <c r="AE123" s="683"/>
      <c r="AF123" s="543"/>
      <c r="AG123" s="543"/>
      <c r="AH123" s="331"/>
      <c r="AI123" s="331"/>
      <c r="AJ123" s="543"/>
      <c r="AK123" s="331"/>
      <c r="AL123" s="331"/>
      <c r="AM123" s="331"/>
      <c r="AN123" s="331"/>
      <c r="AO123" s="331"/>
      <c r="AP123" s="529"/>
      <c r="AR123" s="7516"/>
      <c r="AS123" s="543"/>
      <c r="AT123" s="697" t="s">
        <v>689</v>
      </c>
      <c r="AU123" s="698">
        <v>1200</v>
      </c>
      <c r="AV123" s="699" t="s">
        <v>73</v>
      </c>
      <c r="AW123" s="543"/>
      <c r="AX123" s="700"/>
      <c r="AY123" s="536"/>
      <c r="AZ123" s="683"/>
      <c r="BA123" s="543"/>
      <c r="BB123" s="543"/>
      <c r="BC123" s="331"/>
      <c r="BD123" s="331"/>
      <c r="BE123" s="543"/>
      <c r="BF123" s="331"/>
      <c r="BG123" s="331"/>
      <c r="BH123" s="331"/>
      <c r="BI123" s="331"/>
      <c r="BJ123" s="331"/>
      <c r="BK123" s="529"/>
    </row>
    <row r="124" spans="1:63">
      <c r="A124" s="502">
        <v>1</v>
      </c>
      <c r="B124" s="7516"/>
      <c r="C124" s="543"/>
      <c r="D124" s="543"/>
      <c r="E124" s="543"/>
      <c r="F124" s="543"/>
      <c r="G124" s="543"/>
      <c r="H124" s="676"/>
      <c r="I124" s="536"/>
      <c r="J124" s="683"/>
      <c r="K124" s="543"/>
      <c r="L124" s="543"/>
      <c r="M124" s="331"/>
      <c r="N124" s="331"/>
      <c r="O124" s="543"/>
      <c r="P124" s="331"/>
      <c r="Q124" s="331"/>
      <c r="R124" s="331"/>
      <c r="S124" s="331"/>
      <c r="T124" s="331"/>
      <c r="U124" s="529"/>
      <c r="W124" s="7516"/>
      <c r="X124" s="543"/>
      <c r="Y124" s="543"/>
      <c r="Z124" s="543"/>
      <c r="AA124" s="543"/>
      <c r="AB124" s="543"/>
      <c r="AC124" s="676"/>
      <c r="AD124" s="536"/>
      <c r="AE124" s="683"/>
      <c r="AF124" s="543"/>
      <c r="AG124" s="543"/>
      <c r="AH124" s="331"/>
      <c r="AI124" s="331"/>
      <c r="AJ124" s="543"/>
      <c r="AK124" s="331"/>
      <c r="AL124" s="331"/>
      <c r="AM124" s="331"/>
      <c r="AN124" s="331"/>
      <c r="AO124" s="331"/>
      <c r="AP124" s="529"/>
      <c r="AR124" s="7516"/>
      <c r="AS124" s="543"/>
      <c r="AT124" s="543"/>
      <c r="AU124" s="543"/>
      <c r="AV124" s="543"/>
      <c r="AW124" s="543"/>
      <c r="AX124" s="676"/>
      <c r="AY124" s="536"/>
      <c r="AZ124" s="683"/>
      <c r="BA124" s="543"/>
      <c r="BB124" s="543"/>
      <c r="BC124" s="331"/>
      <c r="BD124" s="331"/>
      <c r="BE124" s="543"/>
      <c r="BF124" s="331"/>
      <c r="BG124" s="331"/>
      <c r="BH124" s="331"/>
      <c r="BI124" s="331"/>
      <c r="BJ124" s="331"/>
      <c r="BK124" s="529"/>
    </row>
    <row r="125" spans="1:63">
      <c r="A125" s="502">
        <v>1</v>
      </c>
      <c r="B125" s="7516"/>
      <c r="C125" s="543"/>
      <c r="D125" s="701" t="s">
        <v>691</v>
      </c>
      <c r="E125" s="702">
        <f>IF(E119=0,0,E122*E123)</f>
        <v>57.6</v>
      </c>
      <c r="F125" s="703" t="str">
        <f>F119</f>
        <v>cru</v>
      </c>
      <c r="G125" s="704">
        <f>IF(E119=0,0,G122*E123)</f>
        <v>28.8</v>
      </c>
      <c r="H125" s="705" t="str">
        <f>H122</f>
        <v>cuit</v>
      </c>
      <c r="I125" s="664" t="str">
        <f>HYPERLINK("#"&amp;ADDRESS(ROW(E125),COLUMN(E125),4),_xlfn.UNICHAR(128269)&amp;"cellule "&amp;ADDRESS(ROW(E125),COLUMN(E125),4))</f>
        <v>🔍cellule E125</v>
      </c>
      <c r="J125" s="702">
        <f>E125</f>
        <v>57.6</v>
      </c>
      <c r="K125" s="615" t="str">
        <f ca="1">_xlfn.FORMULATEXT(E125)</f>
        <v>=SI(E119=0;0;E122*E123)</v>
      </c>
      <c r="L125" s="543"/>
      <c r="M125" s="331"/>
      <c r="N125" s="331"/>
      <c r="O125" s="543"/>
      <c r="P125" s="331"/>
      <c r="Q125" s="331"/>
      <c r="R125" s="331"/>
      <c r="S125" s="331"/>
      <c r="T125" s="331"/>
      <c r="U125" s="529"/>
      <c r="W125" s="7516"/>
      <c r="X125" s="543"/>
      <c r="Y125" s="701" t="s">
        <v>692</v>
      </c>
      <c r="Z125" s="702">
        <f>IF(Z119=0,0,Z122*Z123)</f>
        <v>57.6</v>
      </c>
      <c r="AA125" s="703" t="str">
        <f>AA119</f>
        <v>cru</v>
      </c>
      <c r="AB125" s="704">
        <f>IF(Z119=0,0,AB122*Z123)</f>
        <v>28.8</v>
      </c>
      <c r="AC125" s="705" t="str">
        <f>AC122</f>
        <v>cuit</v>
      </c>
      <c r="AD125" s="664" t="str">
        <f>HYPERLINK("#"&amp;ADDRESS(ROW(Z125),COLUMN(Z125),4),_xlfn.UNICHAR(128269)&amp;"cellule "&amp;ADDRESS(ROW(Z125),COLUMN(Z125),4))</f>
        <v>🔍cellule Z125</v>
      </c>
      <c r="AE125" s="702">
        <f>Z125</f>
        <v>57.6</v>
      </c>
      <c r="AF125" s="615" t="str">
        <f ca="1">_xlfn.FORMULATEXT(Z125)</f>
        <v>=SI(Z119=0;0;Z122*Z123)</v>
      </c>
      <c r="AG125" s="543"/>
      <c r="AH125" s="331"/>
      <c r="AI125" s="331"/>
      <c r="AJ125" s="543"/>
      <c r="AK125" s="331"/>
      <c r="AL125" s="331"/>
      <c r="AM125" s="331"/>
      <c r="AN125" s="331"/>
      <c r="AO125" s="331"/>
      <c r="AP125" s="529"/>
      <c r="AR125" s="7516"/>
      <c r="AS125" s="543"/>
      <c r="AT125" s="701" t="s">
        <v>691</v>
      </c>
      <c r="AU125" s="702">
        <f>IF(AU119=0,0,AU122*AU123)</f>
        <v>57.6</v>
      </c>
      <c r="AV125" s="703" t="str">
        <f>AV119</f>
        <v>cru</v>
      </c>
      <c r="AW125" s="704">
        <f>IF(AU119=0,0,AW122*AU123)</f>
        <v>28.8</v>
      </c>
      <c r="AX125" s="705" t="str">
        <f>AX122</f>
        <v>cuit</v>
      </c>
      <c r="AY125" s="664" t="str">
        <f>HYPERLINK("#"&amp;ADDRESS(ROW(AU125),COLUMN(AU125),4),_xlfn.UNICHAR(128269)&amp;"cellule "&amp;ADDRESS(ROW(AU125),COLUMN(AU125),4))</f>
        <v>🔍cellule AU125</v>
      </c>
      <c r="AZ125" s="702">
        <f>AU125</f>
        <v>57.6</v>
      </c>
      <c r="BA125" s="615" t="str">
        <f ca="1">_xlfn.FORMULATEXT(AU125)</f>
        <v>=SI(AU119=0;0;AU122*AU123)</v>
      </c>
      <c r="BB125" s="543"/>
      <c r="BC125" s="331"/>
      <c r="BD125" s="331"/>
      <c r="BE125" s="543"/>
      <c r="BF125" s="331"/>
      <c r="BG125" s="331"/>
      <c r="BH125" s="331"/>
      <c r="BI125" s="331"/>
      <c r="BJ125" s="331"/>
      <c r="BK125" s="529"/>
    </row>
    <row r="126" spans="1:63">
      <c r="A126" s="502">
        <v>1</v>
      </c>
      <c r="B126" s="7516"/>
      <c r="C126" s="648"/>
      <c r="D126" s="706" t="s">
        <v>693</v>
      </c>
      <c r="E126" s="707">
        <f>IF(E119=0,0,IF(MOD(E125,E119)&gt;MOD(E125,E119)/2,INT(E125/E119)+1,INT(E125/E119)))</f>
        <v>47</v>
      </c>
      <c r="F126" s="708" t="s">
        <v>694</v>
      </c>
      <c r="G126" s="709">
        <f>IF(ISBLANK(E122),0,E119/E122)</f>
        <v>26.041666666666668</v>
      </c>
      <c r="H126" s="676"/>
      <c r="I126" s="664" t="str">
        <f>HYPERLINK("#"&amp;ADDRESS(ROW(E126),COLUMN(E126),4),_xlfn.UNICHAR(128269)&amp;"cellule "&amp;ADDRESS(ROW(E126),COLUMN(E126),4))</f>
        <v>🔍cellule E126</v>
      </c>
      <c r="J126" s="707">
        <f>E126</f>
        <v>47</v>
      </c>
      <c r="K126" s="615" t="str">
        <f ca="1">_xlfn.FORMULATEXT(E126)</f>
        <v>=SI(E119=0;0;SI(MOD(E125;E119)&gt;MOD(E125;E119)/2;ENT(E125/E119)+1;ENT(E125/E119)))</v>
      </c>
      <c r="L126" s="543"/>
      <c r="M126" s="331"/>
      <c r="N126" s="331"/>
      <c r="O126" s="543"/>
      <c r="P126" s="331"/>
      <c r="Q126" s="331"/>
      <c r="R126" s="331"/>
      <c r="S126" s="331"/>
      <c r="T126" s="331"/>
      <c r="U126" s="529"/>
      <c r="W126" s="7516"/>
      <c r="X126" s="648"/>
      <c r="Y126" s="706" t="s">
        <v>695</v>
      </c>
      <c r="Z126" s="707">
        <f>IF(Z119=0,0,IF(MOD(Z125,Z119)&gt;MOD(Z125,Z119)/2,INT(Z125/Z119)+1,INT(Z125/Z119)))</f>
        <v>47</v>
      </c>
      <c r="AA126" s="708" t="s">
        <v>696</v>
      </c>
      <c r="AB126" s="709">
        <f>IF(ISBLANK(Z122),0,Z119/Z122)</f>
        <v>26.041666666666668</v>
      </c>
      <c r="AC126" s="676"/>
      <c r="AD126" s="664" t="str">
        <f>HYPERLINK("#"&amp;ADDRESS(ROW(Z126),COLUMN(Z126),4),_xlfn.UNICHAR(128269)&amp;"cellule "&amp;ADDRESS(ROW(Z126),COLUMN(Z126),4))</f>
        <v>🔍cellule Z126</v>
      </c>
      <c r="AE126" s="707">
        <f>Z126</f>
        <v>47</v>
      </c>
      <c r="AF126" s="615" t="str">
        <f ca="1">_xlfn.FORMULATEXT(Z126)</f>
        <v>=SI(Z119=0;0;SI(MOD(Z125;Z119)&gt;MOD(Z125;Z119)/2;ENT(Z125/Z119)+1;ENT(Z125/Z119)))</v>
      </c>
      <c r="AG126" s="543"/>
      <c r="AH126" s="331"/>
      <c r="AI126" s="331"/>
      <c r="AJ126" s="543"/>
      <c r="AK126" s="331"/>
      <c r="AL126" s="331"/>
      <c r="AM126" s="331"/>
      <c r="AN126" s="331"/>
      <c r="AO126" s="331"/>
      <c r="AP126" s="529"/>
      <c r="AR126" s="7516"/>
      <c r="AS126" s="648"/>
      <c r="AT126" s="706" t="s">
        <v>693</v>
      </c>
      <c r="AU126" s="707">
        <f>IF(AU119=0,0,IF(MOD(AU125,AU119)&gt;MOD(AU125,AU119)/2,INT(AU125/AU119)+1,INT(AU125/AU119)))</f>
        <v>47</v>
      </c>
      <c r="AV126" s="708" t="s">
        <v>694</v>
      </c>
      <c r="AW126" s="709">
        <f>IF(ISBLANK(AU122),0,AU119/AU122)</f>
        <v>26.041666666666668</v>
      </c>
      <c r="AX126" s="676"/>
      <c r="AY126" s="664" t="str">
        <f>HYPERLINK("#"&amp;ADDRESS(ROW(AU126),COLUMN(AU126),4),_xlfn.UNICHAR(128269)&amp;"cellule "&amp;ADDRESS(ROW(AU126),COLUMN(AU126),4))</f>
        <v>🔍cellule AU126</v>
      </c>
      <c r="AZ126" s="707">
        <f>AU126</f>
        <v>47</v>
      </c>
      <c r="BA126" s="615" t="str">
        <f ca="1">_xlfn.FORMULATEXT(AU126)</f>
        <v>=SI(AU119=0;0;SI(MOD(AU125;AU119)&gt;MOD(AU125;AU119)/2;ENT(AU125/AU119)+1;ENT(AU125/AU119)))</v>
      </c>
      <c r="BB126" s="543"/>
      <c r="BC126" s="331"/>
      <c r="BD126" s="331"/>
      <c r="BE126" s="543"/>
      <c r="BF126" s="331"/>
      <c r="BG126" s="331"/>
      <c r="BH126" s="331"/>
      <c r="BI126" s="331"/>
      <c r="BJ126" s="331"/>
      <c r="BK126" s="529"/>
    </row>
    <row r="127" spans="1:63">
      <c r="A127" s="502">
        <v>1</v>
      </c>
      <c r="B127" s="7516"/>
      <c r="C127" s="543"/>
      <c r="D127" s="706"/>
      <c r="E127" s="707"/>
      <c r="F127" s="710"/>
      <c r="G127" s="709"/>
      <c r="H127" s="676"/>
      <c r="I127" s="664" t="str">
        <f>HYPERLINK("#"&amp;ADDRESS(ROW(G126),COLUMN(G126),4),_xlfn.UNICHAR(128269)&amp;"cellule "&amp;ADDRESS(ROW(G126),COLUMN(G126),4))</f>
        <v>🔍cellule G126</v>
      </c>
      <c r="J127" s="709">
        <f>G126</f>
        <v>26.041666666666668</v>
      </c>
      <c r="K127" s="615" t="str">
        <f ca="1">_xlfn.FORMULATEXT(G126)</f>
        <v>=SI(ESTVIDE(E122);0;E119/E122)</v>
      </c>
      <c r="L127" s="543"/>
      <c r="M127" s="331"/>
      <c r="N127" s="331"/>
      <c r="O127" s="543"/>
      <c r="P127" s="331"/>
      <c r="Q127" s="331"/>
      <c r="R127" s="331"/>
      <c r="S127" s="331"/>
      <c r="T127" s="331"/>
      <c r="U127" s="529"/>
      <c r="W127" s="7516"/>
      <c r="X127" s="543"/>
      <c r="Y127" s="706"/>
      <c r="Z127" s="707"/>
      <c r="AA127" s="710"/>
      <c r="AB127" s="709"/>
      <c r="AC127" s="676"/>
      <c r="AD127" s="664" t="str">
        <f>HYPERLINK("#"&amp;ADDRESS(ROW(AB126),COLUMN(AB126),4),_xlfn.UNICHAR(128269)&amp;"cellule "&amp;ADDRESS(ROW(AB126),COLUMN(AB126),4))</f>
        <v>🔍cellule AB126</v>
      </c>
      <c r="AE127" s="709">
        <f>AB126</f>
        <v>26.041666666666668</v>
      </c>
      <c r="AF127" s="615" t="str">
        <f ca="1">_xlfn.FORMULATEXT(AB126)</f>
        <v>=SI(ESTVIDE(Z122);0;Z119/Z122)</v>
      </c>
      <c r="AG127" s="543"/>
      <c r="AH127" s="331"/>
      <c r="AI127" s="331"/>
      <c r="AJ127" s="543"/>
      <c r="AK127" s="331"/>
      <c r="AL127" s="331"/>
      <c r="AM127" s="331"/>
      <c r="AN127" s="331"/>
      <c r="AO127" s="331"/>
      <c r="AP127" s="529"/>
      <c r="AR127" s="7516"/>
      <c r="AS127" s="543"/>
      <c r="AT127" s="706"/>
      <c r="AU127" s="707"/>
      <c r="AV127" s="710"/>
      <c r="AW127" s="709"/>
      <c r="AX127" s="676"/>
      <c r="AY127" s="664" t="str">
        <f>HYPERLINK("#"&amp;ADDRESS(ROW(AW126),COLUMN(AW126),4),_xlfn.UNICHAR(128269)&amp;"cellule "&amp;ADDRESS(ROW(AW126),COLUMN(AW126),4))</f>
        <v>🔍cellule AW126</v>
      </c>
      <c r="AZ127" s="709">
        <f>AW126</f>
        <v>26.041666666666668</v>
      </c>
      <c r="BA127" s="615" t="str">
        <f ca="1">_xlfn.FORMULATEXT(AW126)</f>
        <v>=SI(ESTVIDE(AU122);0;AU119/AU122)</v>
      </c>
      <c r="BB127" s="543"/>
      <c r="BC127" s="331"/>
      <c r="BD127" s="331"/>
      <c r="BE127" s="543"/>
      <c r="BF127" s="331"/>
      <c r="BG127" s="331"/>
      <c r="BH127" s="331"/>
      <c r="BI127" s="331"/>
      <c r="BJ127" s="331"/>
      <c r="BK127" s="529"/>
    </row>
    <row r="128" spans="1:63">
      <c r="A128" s="502">
        <v>1</v>
      </c>
      <c r="B128" s="7516"/>
      <c r="C128" s="7505" t="s">
        <v>697</v>
      </c>
      <c r="D128" s="7505"/>
      <c r="E128" s="7505"/>
      <c r="F128" s="7505"/>
      <c r="G128" s="7505"/>
      <c r="H128" s="7493"/>
      <c r="I128" s="331"/>
      <c r="J128" s="331"/>
      <c r="K128" s="331"/>
      <c r="L128" s="331"/>
      <c r="M128" s="331"/>
      <c r="N128" s="331"/>
      <c r="O128" s="331"/>
      <c r="P128" s="331"/>
      <c r="Q128" s="331"/>
      <c r="R128" s="331"/>
      <c r="S128" s="331"/>
      <c r="T128" s="331"/>
      <c r="U128" s="529"/>
      <c r="W128" s="7516"/>
      <c r="X128" s="7505" t="s">
        <v>698</v>
      </c>
      <c r="Y128" s="7505"/>
      <c r="Z128" s="7505"/>
      <c r="AA128" s="7505"/>
      <c r="AB128" s="7505"/>
      <c r="AC128" s="7493"/>
      <c r="AD128" s="331"/>
      <c r="AE128" s="331"/>
      <c r="AF128" s="331"/>
      <c r="AG128" s="331"/>
      <c r="AH128" s="331"/>
      <c r="AI128" s="331"/>
      <c r="AJ128" s="331"/>
      <c r="AK128" s="331"/>
      <c r="AL128" s="331"/>
      <c r="AM128" s="331"/>
      <c r="AN128" s="331"/>
      <c r="AO128" s="331"/>
      <c r="AP128" s="529"/>
      <c r="AR128" s="7516"/>
      <c r="AS128" s="7505" t="s">
        <v>697</v>
      </c>
      <c r="AT128" s="7505"/>
      <c r="AU128" s="7505"/>
      <c r="AV128" s="7505"/>
      <c r="AW128" s="7505"/>
      <c r="AX128" s="7493"/>
      <c r="AY128" s="331"/>
      <c r="AZ128" s="331"/>
      <c r="BA128" s="331"/>
      <c r="BB128" s="331"/>
      <c r="BC128" s="331"/>
      <c r="BD128" s="331"/>
      <c r="BE128" s="331"/>
      <c r="BF128" s="331"/>
      <c r="BG128" s="331"/>
      <c r="BH128" s="331"/>
      <c r="BI128" s="331"/>
      <c r="BJ128" s="331"/>
      <c r="BK128" s="529"/>
    </row>
    <row r="129" spans="1:63">
      <c r="A129" s="502">
        <v>1</v>
      </c>
      <c r="B129" s="7516"/>
      <c r="C129" s="7505"/>
      <c r="D129" s="7505"/>
      <c r="E129" s="7505"/>
      <c r="F129" s="7505"/>
      <c r="G129" s="7505"/>
      <c r="H129" s="7493"/>
      <c r="I129" s="331"/>
      <c r="J129" s="331"/>
      <c r="K129" s="331"/>
      <c r="L129" s="331"/>
      <c r="M129" s="331"/>
      <c r="N129" s="331"/>
      <c r="O129" s="331"/>
      <c r="P129" s="331"/>
      <c r="Q129" s="331"/>
      <c r="R129" s="331"/>
      <c r="S129" s="331"/>
      <c r="T129" s="331"/>
      <c r="U129" s="529"/>
      <c r="W129" s="7516"/>
      <c r="X129" s="7505"/>
      <c r="Y129" s="7505"/>
      <c r="Z129" s="7505"/>
      <c r="AA129" s="7505"/>
      <c r="AB129" s="7505"/>
      <c r="AC129" s="7493"/>
      <c r="AD129" s="331"/>
      <c r="AE129" s="331"/>
      <c r="AF129" s="331"/>
      <c r="AG129" s="331"/>
      <c r="AH129" s="331"/>
      <c r="AI129" s="331"/>
      <c r="AJ129" s="331"/>
      <c r="AK129" s="331"/>
      <c r="AL129" s="331"/>
      <c r="AM129" s="331"/>
      <c r="AN129" s="331"/>
      <c r="AO129" s="331"/>
      <c r="AP129" s="529"/>
      <c r="AR129" s="7516"/>
      <c r="AS129" s="7505"/>
      <c r="AT129" s="7505"/>
      <c r="AU129" s="7505"/>
      <c r="AV129" s="7505"/>
      <c r="AW129" s="7505"/>
      <c r="AX129" s="7493"/>
      <c r="AY129" s="331"/>
      <c r="AZ129" s="331"/>
      <c r="BA129" s="331"/>
      <c r="BB129" s="331"/>
      <c r="BC129" s="331"/>
      <c r="BD129" s="331"/>
      <c r="BE129" s="331"/>
      <c r="BF129" s="331"/>
      <c r="BG129" s="331"/>
      <c r="BH129" s="331"/>
      <c r="BI129" s="331"/>
      <c r="BJ129" s="331"/>
      <c r="BK129" s="529"/>
    </row>
    <row r="130" spans="1:63">
      <c r="A130" s="502">
        <v>1</v>
      </c>
      <c r="B130" s="7516"/>
      <c r="C130" s="711" t="s">
        <v>699</v>
      </c>
      <c r="D130" s="712"/>
      <c r="E130" s="712"/>
      <c r="F130" s="712"/>
      <c r="G130" s="712"/>
      <c r="H130" s="713"/>
      <c r="I130" s="331"/>
      <c r="J130" s="331"/>
      <c r="K130" s="331"/>
      <c r="L130" s="331"/>
      <c r="M130" s="331"/>
      <c r="N130" s="331"/>
      <c r="O130" s="331"/>
      <c r="P130" s="331"/>
      <c r="Q130" s="331"/>
      <c r="R130" s="331"/>
      <c r="S130" s="331"/>
      <c r="T130" s="331"/>
      <c r="U130" s="529"/>
      <c r="W130" s="7516"/>
      <c r="X130" s="711" t="s">
        <v>700</v>
      </c>
      <c r="Y130" s="712"/>
      <c r="Z130" s="712"/>
      <c r="AA130" s="712"/>
      <c r="AB130" s="712"/>
      <c r="AC130" s="713"/>
      <c r="AD130" s="331"/>
      <c r="AE130" s="331"/>
      <c r="AF130" s="331"/>
      <c r="AG130" s="331"/>
      <c r="AH130" s="331"/>
      <c r="AI130" s="331"/>
      <c r="AJ130" s="331"/>
      <c r="AK130" s="331"/>
      <c r="AL130" s="331"/>
      <c r="AM130" s="331"/>
      <c r="AN130" s="331"/>
      <c r="AO130" s="331"/>
      <c r="AP130" s="529"/>
      <c r="AR130" s="7516"/>
      <c r="AS130" s="711" t="s">
        <v>699</v>
      </c>
      <c r="AT130" s="712"/>
      <c r="AU130" s="712"/>
      <c r="AV130" s="712"/>
      <c r="AW130" s="712"/>
      <c r="AX130" s="713"/>
      <c r="AY130" s="331"/>
      <c r="AZ130" s="331"/>
      <c r="BA130" s="331"/>
      <c r="BB130" s="331"/>
      <c r="BC130" s="331"/>
      <c r="BD130" s="331"/>
      <c r="BE130" s="331"/>
      <c r="BF130" s="331"/>
      <c r="BG130" s="331"/>
      <c r="BH130" s="331"/>
      <c r="BI130" s="331"/>
      <c r="BJ130" s="331"/>
      <c r="BK130" s="529"/>
    </row>
    <row r="131" spans="1:63">
      <c r="A131" s="502">
        <v>1</v>
      </c>
      <c r="B131" s="7516"/>
      <c r="C131" s="7510" t="s">
        <v>701</v>
      </c>
      <c r="D131" s="7510"/>
      <c r="E131" s="7510"/>
      <c r="F131" s="7510"/>
      <c r="G131" s="7510"/>
      <c r="H131" s="7511"/>
      <c r="I131" s="331"/>
      <c r="J131" s="331"/>
      <c r="K131" s="331"/>
      <c r="L131" s="331"/>
      <c r="M131" s="331"/>
      <c r="N131" s="331"/>
      <c r="O131" s="331"/>
      <c r="P131" s="331"/>
      <c r="Q131" s="331"/>
      <c r="R131" s="331"/>
      <c r="S131" s="331"/>
      <c r="T131" s="331"/>
      <c r="U131" s="529"/>
      <c r="W131" s="7516"/>
      <c r="X131" s="7510" t="s">
        <v>702</v>
      </c>
      <c r="Y131" s="7510"/>
      <c r="Z131" s="7510"/>
      <c r="AA131" s="7510"/>
      <c r="AB131" s="7510"/>
      <c r="AC131" s="7511"/>
      <c r="AD131" s="331"/>
      <c r="AE131" s="331"/>
      <c r="AF131" s="331"/>
      <c r="AG131" s="331"/>
      <c r="AH131" s="331"/>
      <c r="AI131" s="331"/>
      <c r="AJ131" s="331"/>
      <c r="AK131" s="331"/>
      <c r="AL131" s="331"/>
      <c r="AM131" s="331"/>
      <c r="AN131" s="331"/>
      <c r="AO131" s="331"/>
      <c r="AP131" s="529"/>
      <c r="AR131" s="7516"/>
      <c r="AS131" s="7510" t="s">
        <v>701</v>
      </c>
      <c r="AT131" s="7510"/>
      <c r="AU131" s="7510"/>
      <c r="AV131" s="7510"/>
      <c r="AW131" s="7510"/>
      <c r="AX131" s="7511"/>
      <c r="AY131" s="331"/>
      <c r="AZ131" s="331"/>
      <c r="BA131" s="331"/>
      <c r="BB131" s="331"/>
      <c r="BC131" s="331"/>
      <c r="BD131" s="331"/>
      <c r="BE131" s="331"/>
      <c r="BF131" s="331"/>
      <c r="BG131" s="331"/>
      <c r="BH131" s="331"/>
      <c r="BI131" s="331"/>
      <c r="BJ131" s="331"/>
      <c r="BK131" s="529"/>
    </row>
    <row r="132" spans="1:63">
      <c r="A132" s="502">
        <v>1</v>
      </c>
      <c r="B132" s="7516"/>
      <c r="C132" s="714" t="s">
        <v>703</v>
      </c>
      <c r="D132" s="543"/>
      <c r="E132" s="543"/>
      <c r="F132" s="651" t="s">
        <v>704</v>
      </c>
      <c r="G132" s="543"/>
      <c r="H132" s="676"/>
      <c r="I132" s="331"/>
      <c r="J132" s="331"/>
      <c r="K132" s="331"/>
      <c r="L132" s="331"/>
      <c r="M132" s="331"/>
      <c r="N132" s="331"/>
      <c r="O132" s="331"/>
      <c r="P132" s="331"/>
      <c r="Q132" s="331"/>
      <c r="R132" s="331"/>
      <c r="S132" s="331"/>
      <c r="T132" s="331"/>
      <c r="U132" s="529"/>
      <c r="W132" s="7516"/>
      <c r="X132" s="714" t="s">
        <v>705</v>
      </c>
      <c r="Y132" s="543"/>
      <c r="Z132" s="543"/>
      <c r="AA132" s="651" t="s">
        <v>704</v>
      </c>
      <c r="AB132" s="543"/>
      <c r="AC132" s="676"/>
      <c r="AD132" s="331"/>
      <c r="AE132" s="331"/>
      <c r="AF132" s="331"/>
      <c r="AG132" s="331"/>
      <c r="AH132" s="331"/>
      <c r="AI132" s="331"/>
      <c r="AJ132" s="331"/>
      <c r="AK132" s="331"/>
      <c r="AL132" s="331"/>
      <c r="AM132" s="331"/>
      <c r="AN132" s="331"/>
      <c r="AO132" s="331"/>
      <c r="AP132" s="529"/>
      <c r="AR132" s="7516"/>
      <c r="AS132" s="714" t="s">
        <v>703</v>
      </c>
      <c r="AT132" s="543"/>
      <c r="AU132" s="543"/>
      <c r="AV132" s="651" t="s">
        <v>704</v>
      </c>
      <c r="AW132" s="543"/>
      <c r="AX132" s="676"/>
      <c r="AY132" s="331"/>
      <c r="AZ132" s="331"/>
      <c r="BA132" s="331"/>
      <c r="BB132" s="331"/>
      <c r="BC132" s="331"/>
      <c r="BD132" s="331"/>
      <c r="BE132" s="331"/>
      <c r="BF132" s="331"/>
      <c r="BG132" s="331"/>
      <c r="BH132" s="331"/>
      <c r="BI132" s="331"/>
      <c r="BJ132" s="331"/>
      <c r="BK132" s="529"/>
    </row>
    <row r="133" spans="1:63">
      <c r="A133" s="502">
        <v>1</v>
      </c>
      <c r="B133" s="7516"/>
      <c r="C133" s="715" t="s">
        <v>680</v>
      </c>
      <c r="D133" s="543"/>
      <c r="E133" s="543"/>
      <c r="F133" s="716" t="s">
        <v>706</v>
      </c>
      <c r="G133" s="543"/>
      <c r="H133" s="676"/>
      <c r="I133" s="331"/>
      <c r="J133" s="331"/>
      <c r="K133" s="331"/>
      <c r="L133" s="331"/>
      <c r="M133" s="331"/>
      <c r="N133" s="331"/>
      <c r="O133" s="331"/>
      <c r="P133" s="331"/>
      <c r="Q133" s="331"/>
      <c r="R133" s="331"/>
      <c r="S133" s="331"/>
      <c r="T133" s="331"/>
      <c r="U133" s="529"/>
      <c r="W133" s="7516"/>
      <c r="X133" s="715" t="s">
        <v>682</v>
      </c>
      <c r="Y133" s="543"/>
      <c r="Z133" s="543"/>
      <c r="AA133" s="716" t="s">
        <v>706</v>
      </c>
      <c r="AB133" s="543"/>
      <c r="AC133" s="676"/>
      <c r="AD133" s="331"/>
      <c r="AE133" s="331"/>
      <c r="AF133" s="331"/>
      <c r="AG133" s="331"/>
      <c r="AH133" s="331"/>
      <c r="AI133" s="331"/>
      <c r="AJ133" s="331"/>
      <c r="AK133" s="331"/>
      <c r="AL133" s="331"/>
      <c r="AM133" s="331"/>
      <c r="AN133" s="331"/>
      <c r="AO133" s="331"/>
      <c r="AP133" s="529"/>
      <c r="AR133" s="7516"/>
      <c r="AS133" s="715" t="s">
        <v>680</v>
      </c>
      <c r="AT133" s="543"/>
      <c r="AU133" s="543"/>
      <c r="AV133" s="716" t="s">
        <v>706</v>
      </c>
      <c r="AW133" s="543"/>
      <c r="AX133" s="676"/>
      <c r="AY133" s="331"/>
      <c r="AZ133" s="331"/>
      <c r="BA133" s="331"/>
      <c r="BB133" s="331"/>
      <c r="BC133" s="331"/>
      <c r="BD133" s="331"/>
      <c r="BE133" s="331"/>
      <c r="BF133" s="331"/>
      <c r="BG133" s="331"/>
      <c r="BH133" s="331"/>
      <c r="BI133" s="331"/>
      <c r="BJ133" s="331"/>
      <c r="BK133" s="529"/>
    </row>
    <row r="134" spans="1:63">
      <c r="A134" s="502">
        <v>1</v>
      </c>
      <c r="B134" s="7516"/>
      <c r="C134" s="717" t="s">
        <v>707</v>
      </c>
      <c r="D134" s="543"/>
      <c r="E134" s="543"/>
      <c r="F134" s="718" t="s">
        <v>708</v>
      </c>
      <c r="G134" s="543"/>
      <c r="H134" s="676"/>
      <c r="I134" s="331"/>
      <c r="J134" s="331"/>
      <c r="K134" s="331"/>
      <c r="L134" s="331"/>
      <c r="M134" s="331"/>
      <c r="N134" s="331"/>
      <c r="O134" s="331"/>
      <c r="P134" s="331"/>
      <c r="Q134" s="331"/>
      <c r="R134" s="331"/>
      <c r="S134" s="331"/>
      <c r="T134" s="331"/>
      <c r="U134" s="529"/>
      <c r="W134" s="7516"/>
      <c r="X134" s="717" t="s">
        <v>709</v>
      </c>
      <c r="Y134" s="543"/>
      <c r="Z134" s="543"/>
      <c r="AA134" s="718" t="s">
        <v>708</v>
      </c>
      <c r="AB134" s="543"/>
      <c r="AC134" s="676"/>
      <c r="AD134" s="331"/>
      <c r="AE134" s="331"/>
      <c r="AF134" s="331"/>
      <c r="AG134" s="331"/>
      <c r="AH134" s="331"/>
      <c r="AI134" s="331"/>
      <c r="AJ134" s="331"/>
      <c r="AK134" s="331"/>
      <c r="AL134" s="331"/>
      <c r="AM134" s="331"/>
      <c r="AN134" s="331"/>
      <c r="AO134" s="331"/>
      <c r="AP134" s="529"/>
      <c r="AR134" s="7516"/>
      <c r="AS134" s="717" t="s">
        <v>707</v>
      </c>
      <c r="AT134" s="543"/>
      <c r="AU134" s="543"/>
      <c r="AV134" s="718" t="s">
        <v>708</v>
      </c>
      <c r="AW134" s="543"/>
      <c r="AX134" s="676"/>
      <c r="AY134" s="331"/>
      <c r="AZ134" s="331"/>
      <c r="BA134" s="331"/>
      <c r="BB134" s="331"/>
      <c r="BC134" s="331"/>
      <c r="BD134" s="331"/>
      <c r="BE134" s="331"/>
      <c r="BF134" s="331"/>
      <c r="BG134" s="331"/>
      <c r="BH134" s="331"/>
      <c r="BI134" s="331"/>
      <c r="BJ134" s="331"/>
      <c r="BK134" s="529"/>
    </row>
    <row r="135" spans="1:63">
      <c r="A135" s="502">
        <v>1</v>
      </c>
      <c r="B135" s="7516"/>
      <c r="C135" s="690" t="s">
        <v>710</v>
      </c>
      <c r="D135" s="687" t="s">
        <v>686</v>
      </c>
      <c r="E135" s="543"/>
      <c r="F135" s="719" t="s">
        <v>711</v>
      </c>
      <c r="G135" s="543"/>
      <c r="H135" s="676"/>
      <c r="I135" s="331"/>
      <c r="J135" s="331"/>
      <c r="K135" s="331"/>
      <c r="L135" s="331"/>
      <c r="M135" s="331"/>
      <c r="N135" s="331"/>
      <c r="O135" s="331"/>
      <c r="P135" s="331"/>
      <c r="Q135" s="331"/>
      <c r="R135" s="331"/>
      <c r="S135" s="331"/>
      <c r="T135" s="331"/>
      <c r="U135" s="529"/>
      <c r="W135" s="7516"/>
      <c r="X135" s="690" t="s">
        <v>710</v>
      </c>
      <c r="Y135" s="687" t="s">
        <v>686</v>
      </c>
      <c r="Z135" s="543"/>
      <c r="AA135" s="719" t="s">
        <v>711</v>
      </c>
      <c r="AB135" s="543"/>
      <c r="AC135" s="676"/>
      <c r="AD135" s="331"/>
      <c r="AE135" s="331"/>
      <c r="AF135" s="331"/>
      <c r="AG135" s="331"/>
      <c r="AH135" s="331"/>
      <c r="AI135" s="331"/>
      <c r="AJ135" s="331"/>
      <c r="AK135" s="331"/>
      <c r="AL135" s="331"/>
      <c r="AM135" s="331"/>
      <c r="AN135" s="331"/>
      <c r="AO135" s="331"/>
      <c r="AP135" s="529"/>
      <c r="AR135" s="7516"/>
      <c r="AS135" s="690" t="s">
        <v>710</v>
      </c>
      <c r="AT135" s="687" t="s">
        <v>686</v>
      </c>
      <c r="AU135" s="543"/>
      <c r="AV135" s="719" t="s">
        <v>711</v>
      </c>
      <c r="AW135" s="543"/>
      <c r="AX135" s="676"/>
      <c r="AY135" s="331"/>
      <c r="AZ135" s="331"/>
      <c r="BA135" s="331"/>
      <c r="BB135" s="331"/>
      <c r="BC135" s="331"/>
      <c r="BD135" s="331"/>
      <c r="BE135" s="331"/>
      <c r="BF135" s="331"/>
      <c r="BG135" s="331"/>
      <c r="BH135" s="331"/>
      <c r="BI135" s="331"/>
      <c r="BJ135" s="331"/>
      <c r="BK135" s="529"/>
    </row>
    <row r="136" spans="1:63">
      <c r="A136" s="502">
        <v>1</v>
      </c>
      <c r="B136" s="7516"/>
      <c r="C136" s="720" t="s">
        <v>712</v>
      </c>
      <c r="D136" s="721" t="s">
        <v>713</v>
      </c>
      <c r="E136" s="543"/>
      <c r="F136" s="722" t="s">
        <v>714</v>
      </c>
      <c r="G136" s="543"/>
      <c r="H136" s="676"/>
      <c r="I136" s="331"/>
      <c r="J136" s="331"/>
      <c r="K136" s="331"/>
      <c r="L136" s="331"/>
      <c r="M136" s="331"/>
      <c r="N136" s="331"/>
      <c r="O136" s="331"/>
      <c r="P136" s="331"/>
      <c r="Q136" s="331"/>
      <c r="R136" s="331"/>
      <c r="S136" s="331"/>
      <c r="T136" s="331"/>
      <c r="U136" s="529"/>
      <c r="W136" s="7516"/>
      <c r="X136" s="720" t="s">
        <v>712</v>
      </c>
      <c r="Y136" s="721" t="s">
        <v>713</v>
      </c>
      <c r="Z136" s="543"/>
      <c r="AA136" s="722" t="s">
        <v>714</v>
      </c>
      <c r="AB136" s="543"/>
      <c r="AC136" s="676"/>
      <c r="AD136" s="331"/>
      <c r="AE136" s="331"/>
      <c r="AF136" s="331"/>
      <c r="AG136" s="331"/>
      <c r="AH136" s="331"/>
      <c r="AI136" s="331"/>
      <c r="AJ136" s="331"/>
      <c r="AK136" s="331"/>
      <c r="AL136" s="331"/>
      <c r="AM136" s="331"/>
      <c r="AN136" s="331"/>
      <c r="AO136" s="331"/>
      <c r="AP136" s="529"/>
      <c r="AR136" s="7516"/>
      <c r="AS136" s="720" t="s">
        <v>712</v>
      </c>
      <c r="AT136" s="721" t="s">
        <v>713</v>
      </c>
      <c r="AU136" s="543"/>
      <c r="AV136" s="722" t="s">
        <v>714</v>
      </c>
      <c r="AW136" s="543"/>
      <c r="AX136" s="676"/>
      <c r="AY136" s="331"/>
      <c r="AZ136" s="331"/>
      <c r="BA136" s="331"/>
      <c r="BB136" s="331"/>
      <c r="BC136" s="331"/>
      <c r="BD136" s="331"/>
      <c r="BE136" s="331"/>
      <c r="BF136" s="331"/>
      <c r="BG136" s="331"/>
      <c r="BH136" s="331"/>
      <c r="BI136" s="331"/>
      <c r="BJ136" s="331"/>
      <c r="BK136" s="529"/>
    </row>
    <row r="137" spans="1:63">
      <c r="A137" s="502">
        <v>1</v>
      </c>
      <c r="B137" s="7516"/>
      <c r="C137" s="723"/>
      <c r="D137" s="543"/>
      <c r="E137" s="724" t="s">
        <v>715</v>
      </c>
      <c r="F137" s="722"/>
      <c r="G137" s="723" t="s">
        <v>716</v>
      </c>
      <c r="H137" s="725" t="str">
        <f>ADDRESS(ROW(F119),COLUMN(F119),4)</f>
        <v>F119</v>
      </c>
      <c r="I137" s="331"/>
      <c r="J137" s="331"/>
      <c r="K137" s="331"/>
      <c r="L137" s="331"/>
      <c r="M137" s="331"/>
      <c r="N137" s="331"/>
      <c r="O137" s="331"/>
      <c r="P137" s="331"/>
      <c r="Q137" s="331"/>
      <c r="R137" s="331"/>
      <c r="S137" s="331"/>
      <c r="T137" s="331"/>
      <c r="U137" s="529"/>
      <c r="W137" s="7516"/>
      <c r="X137" s="723"/>
      <c r="Y137" s="543"/>
      <c r="Z137" s="724" t="s">
        <v>717</v>
      </c>
      <c r="AA137" s="722"/>
      <c r="AB137" s="723" t="s">
        <v>716</v>
      </c>
      <c r="AC137" s="725" t="str">
        <f>ADDRESS(ROW(AA119),COLUMN(AA119),4)</f>
        <v>AA119</v>
      </c>
      <c r="AD137" s="331"/>
      <c r="AE137" s="331"/>
      <c r="AF137" s="331"/>
      <c r="AG137" s="331"/>
      <c r="AH137" s="331"/>
      <c r="AI137" s="331"/>
      <c r="AJ137" s="331"/>
      <c r="AK137" s="331"/>
      <c r="AL137" s="331"/>
      <c r="AM137" s="331"/>
      <c r="AN137" s="331"/>
      <c r="AO137" s="331"/>
      <c r="AP137" s="529"/>
      <c r="AR137" s="7516"/>
      <c r="AS137" s="723"/>
      <c r="AT137" s="543"/>
      <c r="AU137" s="724" t="s">
        <v>715</v>
      </c>
      <c r="AV137" s="722"/>
      <c r="AW137" s="723" t="s">
        <v>716</v>
      </c>
      <c r="AX137" s="725" t="str">
        <f>ADDRESS(ROW(AV119),COLUMN(AV119),4)</f>
        <v>AV119</v>
      </c>
      <c r="AY137" s="331"/>
      <c r="AZ137" s="331"/>
      <c r="BA137" s="331"/>
      <c r="BB137" s="331"/>
      <c r="BC137" s="331"/>
      <c r="BD137" s="331"/>
      <c r="BE137" s="331"/>
      <c r="BF137" s="331"/>
      <c r="BG137" s="331"/>
      <c r="BH137" s="331"/>
      <c r="BI137" s="331"/>
      <c r="BJ137" s="331"/>
      <c r="BK137" s="529"/>
    </row>
    <row r="138" spans="1:63">
      <c r="A138" s="502">
        <v>1</v>
      </c>
      <c r="B138" s="7516"/>
      <c r="C138" s="575" t="s">
        <v>718</v>
      </c>
      <c r="D138" s="420"/>
      <c r="E138" s="724"/>
      <c r="F138" s="575" t="s">
        <v>719</v>
      </c>
      <c r="G138" s="543"/>
      <c r="H138" s="676"/>
      <c r="I138" s="331"/>
      <c r="J138" s="331"/>
      <c r="K138" s="331"/>
      <c r="L138" s="331"/>
      <c r="M138" s="331"/>
      <c r="N138" s="331"/>
      <c r="O138" s="331"/>
      <c r="P138" s="331"/>
      <c r="Q138" s="331"/>
      <c r="R138" s="331"/>
      <c r="S138" s="331"/>
      <c r="T138" s="331"/>
      <c r="U138" s="529"/>
      <c r="W138" s="7516"/>
      <c r="X138" s="575" t="s">
        <v>720</v>
      </c>
      <c r="Y138" s="420"/>
      <c r="Z138" s="724"/>
      <c r="AA138" s="575" t="s">
        <v>719</v>
      </c>
      <c r="AB138" s="543"/>
      <c r="AC138" s="676"/>
      <c r="AD138" s="331"/>
      <c r="AE138" s="331"/>
      <c r="AF138" s="331"/>
      <c r="AG138" s="331"/>
      <c r="AH138" s="331"/>
      <c r="AI138" s="331"/>
      <c r="AJ138" s="331"/>
      <c r="AK138" s="331"/>
      <c r="AL138" s="331"/>
      <c r="AM138" s="331"/>
      <c r="AN138" s="331"/>
      <c r="AO138" s="331"/>
      <c r="AP138" s="529"/>
      <c r="AR138" s="7516"/>
      <c r="AS138" s="575" t="s">
        <v>718</v>
      </c>
      <c r="AT138" s="420"/>
      <c r="AU138" s="724"/>
      <c r="AV138" s="575" t="s">
        <v>719</v>
      </c>
      <c r="AW138" s="543"/>
      <c r="AX138" s="676"/>
      <c r="AY138" s="331"/>
      <c r="AZ138" s="331"/>
      <c r="BA138" s="331"/>
      <c r="BB138" s="331"/>
      <c r="BC138" s="331"/>
      <c r="BD138" s="331"/>
      <c r="BE138" s="331"/>
      <c r="BF138" s="331"/>
      <c r="BG138" s="331"/>
      <c r="BH138" s="331"/>
      <c r="BI138" s="331"/>
      <c r="BJ138" s="331"/>
      <c r="BK138" s="529"/>
    </row>
    <row r="139" spans="1:63">
      <c r="A139" s="502">
        <v>1</v>
      </c>
      <c r="B139" s="7516"/>
      <c r="C139" s="578">
        <v>11</v>
      </c>
      <c r="D139" s="578">
        <v>11</v>
      </c>
      <c r="E139" s="578">
        <v>11</v>
      </c>
      <c r="F139" s="578">
        <v>11</v>
      </c>
      <c r="G139" s="578">
        <v>11</v>
      </c>
      <c r="H139" s="579">
        <v>11</v>
      </c>
      <c r="I139" s="580" t="s">
        <v>583</v>
      </c>
      <c r="J139" s="648"/>
      <c r="K139" s="331"/>
      <c r="L139" s="331"/>
      <c r="M139" s="331"/>
      <c r="N139" s="331"/>
      <c r="O139" s="331"/>
      <c r="P139" s="331"/>
      <c r="Q139" s="331"/>
      <c r="R139" s="331"/>
      <c r="S139" s="331"/>
      <c r="T139" s="331"/>
      <c r="U139" s="529"/>
      <c r="W139" s="7516"/>
      <c r="X139" s="578">
        <v>11</v>
      </c>
      <c r="Y139" s="578">
        <v>11</v>
      </c>
      <c r="Z139" s="578">
        <v>11</v>
      </c>
      <c r="AA139" s="578">
        <v>11</v>
      </c>
      <c r="AB139" s="578">
        <v>11</v>
      </c>
      <c r="AC139" s="579">
        <v>11</v>
      </c>
      <c r="AD139" s="580" t="s">
        <v>721</v>
      </c>
      <c r="AE139" s="648"/>
      <c r="AF139" s="331"/>
      <c r="AG139" s="331"/>
      <c r="AH139" s="331"/>
      <c r="AI139" s="331"/>
      <c r="AJ139" s="331"/>
      <c r="AK139" s="331"/>
      <c r="AL139" s="331"/>
      <c r="AM139" s="331"/>
      <c r="AN139" s="331"/>
      <c r="AO139" s="331"/>
      <c r="AP139" s="529"/>
      <c r="AR139" s="7516"/>
      <c r="AS139" s="578">
        <v>11</v>
      </c>
      <c r="AT139" s="578">
        <v>11</v>
      </c>
      <c r="AU139" s="578">
        <v>11</v>
      </c>
      <c r="AV139" s="578">
        <v>11</v>
      </c>
      <c r="AW139" s="578">
        <v>11</v>
      </c>
      <c r="AX139" s="579">
        <v>11</v>
      </c>
      <c r="AY139" s="580" t="s">
        <v>583</v>
      </c>
      <c r="AZ139" s="648"/>
      <c r="BA139" s="331"/>
      <c r="BB139" s="331"/>
      <c r="BC139" s="331"/>
      <c r="BD139" s="331"/>
      <c r="BE139" s="331"/>
      <c r="BF139" s="331"/>
      <c r="BG139" s="331"/>
      <c r="BH139" s="331"/>
      <c r="BI139" s="331"/>
      <c r="BJ139" s="331"/>
      <c r="BK139" s="529"/>
    </row>
    <row r="140" spans="1:63" ht="16.5" thickBot="1">
      <c r="A140" s="502">
        <v>1</v>
      </c>
      <c r="B140" s="7517"/>
      <c r="C140" s="587">
        <f t="shared" ref="C140:H140" ca="1" si="3">CELL("largeur",C140)</f>
        <v>13</v>
      </c>
      <c r="D140" s="587">
        <f t="shared" ca="1" si="3"/>
        <v>21</v>
      </c>
      <c r="E140" s="587">
        <f t="shared" ca="1" si="3"/>
        <v>13</v>
      </c>
      <c r="F140" s="587">
        <f t="shared" ca="1" si="3"/>
        <v>13</v>
      </c>
      <c r="G140" s="587">
        <f t="shared" ca="1" si="3"/>
        <v>13</v>
      </c>
      <c r="H140" s="588">
        <f t="shared" ca="1" si="3"/>
        <v>13</v>
      </c>
      <c r="I140" s="580" t="s">
        <v>586</v>
      </c>
      <c r="J140" s="648"/>
      <c r="K140" s="331"/>
      <c r="L140" s="331"/>
      <c r="M140" s="331"/>
      <c r="N140" s="331"/>
      <c r="O140" s="331"/>
      <c r="P140" s="331"/>
      <c r="Q140" s="331"/>
      <c r="R140" s="331"/>
      <c r="S140" s="331"/>
      <c r="T140" s="331"/>
      <c r="U140" s="529"/>
      <c r="W140" s="7517"/>
      <c r="X140" s="587">
        <f t="shared" ref="X140:AC140" ca="1" si="4">CELL("largeur",X140)</f>
        <v>13</v>
      </c>
      <c r="Y140" s="587">
        <f t="shared" ca="1" si="4"/>
        <v>21</v>
      </c>
      <c r="Z140" s="587">
        <f t="shared" ca="1" si="4"/>
        <v>13</v>
      </c>
      <c r="AA140" s="587">
        <f t="shared" ca="1" si="4"/>
        <v>13</v>
      </c>
      <c r="AB140" s="587">
        <f t="shared" ca="1" si="4"/>
        <v>13</v>
      </c>
      <c r="AC140" s="588">
        <f t="shared" ca="1" si="4"/>
        <v>13</v>
      </c>
      <c r="AD140" s="580" t="s">
        <v>722</v>
      </c>
      <c r="AE140" s="648"/>
      <c r="AF140" s="331"/>
      <c r="AG140" s="331"/>
      <c r="AH140" s="331"/>
      <c r="AI140" s="331"/>
      <c r="AJ140" s="331"/>
      <c r="AK140" s="331"/>
      <c r="AL140" s="331"/>
      <c r="AM140" s="331"/>
      <c r="AN140" s="331"/>
      <c r="AO140" s="331"/>
      <c r="AP140" s="529"/>
      <c r="AR140" s="7517"/>
      <c r="AS140" s="587">
        <f t="shared" ref="AS140:AX140" ca="1" si="5">CELL("largeur",AS140)</f>
        <v>13</v>
      </c>
      <c r="AT140" s="587">
        <f t="shared" ca="1" si="5"/>
        <v>21</v>
      </c>
      <c r="AU140" s="587">
        <f t="shared" ca="1" si="5"/>
        <v>13</v>
      </c>
      <c r="AV140" s="587">
        <f t="shared" ca="1" si="5"/>
        <v>13</v>
      </c>
      <c r="AW140" s="587">
        <f t="shared" ca="1" si="5"/>
        <v>13</v>
      </c>
      <c r="AX140" s="588">
        <f t="shared" ca="1" si="5"/>
        <v>13</v>
      </c>
      <c r="AY140" s="580" t="s">
        <v>586</v>
      </c>
      <c r="AZ140" s="648"/>
      <c r="BA140" s="331"/>
      <c r="BB140" s="331"/>
      <c r="BC140" s="331"/>
      <c r="BD140" s="331"/>
      <c r="BE140" s="331"/>
      <c r="BF140" s="331"/>
      <c r="BG140" s="331"/>
      <c r="BH140" s="331"/>
      <c r="BI140" s="331"/>
      <c r="BJ140" s="331"/>
      <c r="BK140" s="529"/>
    </row>
    <row r="141" spans="1:63">
      <c r="A141" s="502">
        <v>1</v>
      </c>
      <c r="B141" s="7512" t="s">
        <v>723</v>
      </c>
      <c r="C141" s="7513"/>
      <c r="D141" s="7513"/>
      <c r="E141" s="7513"/>
      <c r="F141" s="7513"/>
      <c r="G141" s="7513"/>
      <c r="H141" s="7513"/>
      <c r="I141" s="331"/>
      <c r="J141" s="331"/>
      <c r="K141" s="331"/>
      <c r="L141" s="331"/>
      <c r="M141" s="331"/>
      <c r="N141" s="331"/>
      <c r="O141" s="502"/>
      <c r="P141" s="331"/>
      <c r="Q141" s="331"/>
      <c r="R141" s="331"/>
      <c r="S141" s="331"/>
      <c r="T141" s="331"/>
      <c r="U141" s="529"/>
      <c r="W141" s="7512" t="s">
        <v>723</v>
      </c>
      <c r="X141" s="7513"/>
      <c r="Y141" s="7513"/>
      <c r="Z141" s="7513"/>
      <c r="AA141" s="7513"/>
      <c r="AB141" s="7513"/>
      <c r="AC141" s="7513"/>
      <c r="AD141" s="331"/>
      <c r="AE141" s="331"/>
      <c r="AF141" s="331"/>
      <c r="AG141" s="331"/>
      <c r="AH141" s="331"/>
      <c r="AI141" s="331"/>
      <c r="AJ141" s="502"/>
      <c r="AK141" s="331"/>
      <c r="AL141" s="331"/>
      <c r="AM141" s="331"/>
      <c r="AN141" s="331"/>
      <c r="AO141" s="331"/>
      <c r="AP141" s="529"/>
      <c r="AR141" s="7512" t="s">
        <v>723</v>
      </c>
      <c r="AS141" s="7513"/>
      <c r="AT141" s="7513"/>
      <c r="AU141" s="7513"/>
      <c r="AV141" s="7513"/>
      <c r="AW141" s="7513"/>
      <c r="AX141" s="7513"/>
      <c r="AY141" s="331"/>
      <c r="AZ141" s="331"/>
      <c r="BA141" s="331"/>
      <c r="BB141" s="331"/>
      <c r="BC141" s="331"/>
      <c r="BD141" s="331"/>
      <c r="BE141" s="502"/>
      <c r="BF141" s="331"/>
      <c r="BG141" s="331"/>
      <c r="BH141" s="331"/>
      <c r="BI141" s="331"/>
      <c r="BJ141" s="331"/>
      <c r="BK141" s="529"/>
    </row>
    <row r="142" spans="1:63" ht="16.5" thickBot="1">
      <c r="A142" s="502"/>
      <c r="B142" s="7514"/>
      <c r="C142" s="7515"/>
      <c r="D142" s="7515"/>
      <c r="E142" s="7515"/>
      <c r="F142" s="7515"/>
      <c r="G142" s="7515"/>
      <c r="H142" s="7515"/>
      <c r="I142" s="331"/>
      <c r="J142" s="331"/>
      <c r="K142" s="331"/>
      <c r="L142" s="331"/>
      <c r="M142" s="331"/>
      <c r="N142" s="331"/>
      <c r="O142" s="502"/>
      <c r="P142" s="331"/>
      <c r="Q142" s="331"/>
      <c r="R142" s="331"/>
      <c r="S142" s="331"/>
      <c r="T142" s="331"/>
      <c r="U142" s="529"/>
      <c r="W142" s="7514"/>
      <c r="X142" s="7515"/>
      <c r="Y142" s="7515"/>
      <c r="Z142" s="7515"/>
      <c r="AA142" s="7515"/>
      <c r="AB142" s="7515"/>
      <c r="AC142" s="7515"/>
      <c r="AD142" s="331"/>
      <c r="AE142" s="331"/>
      <c r="AF142" s="331"/>
      <c r="AG142" s="331"/>
      <c r="AH142" s="331"/>
      <c r="AI142" s="331"/>
      <c r="AJ142" s="502"/>
      <c r="AK142" s="331"/>
      <c r="AL142" s="331"/>
      <c r="AM142" s="331"/>
      <c r="AN142" s="331"/>
      <c r="AO142" s="331"/>
      <c r="AP142" s="529"/>
      <c r="AR142" s="7514"/>
      <c r="AS142" s="7515"/>
      <c r="AT142" s="7515"/>
      <c r="AU142" s="7515"/>
      <c r="AV142" s="7515"/>
      <c r="AW142" s="7515"/>
      <c r="AX142" s="7515"/>
      <c r="AY142" s="331"/>
      <c r="AZ142" s="331"/>
      <c r="BA142" s="331"/>
      <c r="BB142" s="331"/>
      <c r="BC142" s="331"/>
      <c r="BD142" s="331"/>
      <c r="BE142" s="502"/>
      <c r="BF142" s="331"/>
      <c r="BG142" s="331"/>
      <c r="BH142" s="331"/>
      <c r="BI142" s="331"/>
      <c r="BJ142" s="331"/>
      <c r="BK142" s="529"/>
    </row>
    <row r="143" spans="1:63" ht="23.25">
      <c r="A143" s="502">
        <v>1</v>
      </c>
      <c r="B143" s="7506" t="s">
        <v>252</v>
      </c>
      <c r="C143" s="7508" t="s">
        <v>671</v>
      </c>
      <c r="D143" s="7508"/>
      <c r="E143" s="7508"/>
      <c r="F143" s="7508"/>
      <c r="G143" s="726"/>
      <c r="H143" s="727" t="str">
        <f>E154&amp;" X "&amp;F154</f>
        <v>❻ Foisonnement X 2</v>
      </c>
      <c r="I143" s="331"/>
      <c r="J143" s="331"/>
      <c r="K143" s="331"/>
      <c r="L143" s="331"/>
      <c r="M143" s="331"/>
      <c r="N143" s="331"/>
      <c r="O143" s="502"/>
      <c r="P143" s="331"/>
      <c r="Q143" s="331"/>
      <c r="R143" s="331"/>
      <c r="S143" s="331"/>
      <c r="T143" s="331"/>
      <c r="U143" s="529"/>
      <c r="W143" s="7506" t="s">
        <v>252</v>
      </c>
      <c r="X143" s="7508" t="s">
        <v>671</v>
      </c>
      <c r="Y143" s="7508"/>
      <c r="Z143" s="7508"/>
      <c r="AA143" s="7508"/>
      <c r="AB143" s="726"/>
      <c r="AC143" s="727" t="str">
        <f>Z154&amp;" X "&amp;AA154</f>
        <v>❻ Foisonnement X 2</v>
      </c>
      <c r="AD143" s="331"/>
      <c r="AE143" s="331"/>
      <c r="AF143" s="331"/>
      <c r="AG143" s="331"/>
      <c r="AH143" s="331"/>
      <c r="AI143" s="331"/>
      <c r="AJ143" s="502"/>
      <c r="AK143" s="331"/>
      <c r="AL143" s="331"/>
      <c r="AM143" s="331"/>
      <c r="AN143" s="331"/>
      <c r="AO143" s="331"/>
      <c r="AP143" s="529"/>
      <c r="AR143" s="7506" t="s">
        <v>252</v>
      </c>
      <c r="AS143" s="7508" t="s">
        <v>671</v>
      </c>
      <c r="AT143" s="7508"/>
      <c r="AU143" s="7508"/>
      <c r="AV143" s="7508"/>
      <c r="AW143" s="726"/>
      <c r="AX143" s="727" t="str">
        <f>AU154&amp;" X "&amp;AV154</f>
        <v>❻ Foisonnement X 2</v>
      </c>
      <c r="AY143" s="331"/>
      <c r="AZ143" s="331"/>
      <c r="BA143" s="331"/>
      <c r="BB143" s="331"/>
      <c r="BC143" s="331"/>
      <c r="BD143" s="331"/>
      <c r="BE143" s="502"/>
      <c r="BF143" s="331"/>
      <c r="BG143" s="331"/>
      <c r="BH143" s="331"/>
      <c r="BI143" s="331"/>
      <c r="BJ143" s="331"/>
      <c r="BK143" s="529"/>
    </row>
    <row r="144" spans="1:63">
      <c r="A144" s="502"/>
      <c r="B144" s="7507"/>
      <c r="C144" s="728"/>
      <c r="D144" s="728"/>
      <c r="E144" s="729"/>
      <c r="F144" s="730" t="s">
        <v>724</v>
      </c>
      <c r="G144" s="731" t="str">
        <f>IF(F151=E169,"CRU- Brut ou à cuire","CUIT - Net à servir")</f>
        <v>CRU- Brut ou à cuire</v>
      </c>
      <c r="H144" s="732"/>
      <c r="I144" s="331"/>
      <c r="J144" s="331"/>
      <c r="K144" s="331"/>
      <c r="L144" s="331"/>
      <c r="M144" s="331"/>
      <c r="N144" s="331"/>
      <c r="O144" s="502"/>
      <c r="P144" s="331"/>
      <c r="Q144" s="331"/>
      <c r="R144" s="331"/>
      <c r="S144" s="331"/>
      <c r="T144" s="331"/>
      <c r="U144" s="529"/>
      <c r="W144" s="7509"/>
      <c r="X144" s="728"/>
      <c r="Y144" s="728"/>
      <c r="Z144" s="729"/>
      <c r="AA144" s="730" t="s">
        <v>724</v>
      </c>
      <c r="AB144" s="731" t="str">
        <f>IF(AA151=Z169,"CRU- Brut ou à cuire","CUIT - Net à servir")</f>
        <v>CRU- Brut ou à cuire</v>
      </c>
      <c r="AC144" s="732"/>
      <c r="AD144" s="331"/>
      <c r="AE144" s="331"/>
      <c r="AF144" s="331"/>
      <c r="AG144" s="331"/>
      <c r="AH144" s="331"/>
      <c r="AI144" s="331"/>
      <c r="AJ144" s="502"/>
      <c r="AK144" s="331"/>
      <c r="AL144" s="331"/>
      <c r="AM144" s="331"/>
      <c r="AN144" s="331"/>
      <c r="AO144" s="331"/>
      <c r="AP144" s="529"/>
      <c r="AR144" s="7509"/>
      <c r="AS144" s="728"/>
      <c r="AT144" s="728"/>
      <c r="AU144" s="729"/>
      <c r="AV144" s="730" t="s">
        <v>724</v>
      </c>
      <c r="AW144" s="731" t="str">
        <f>IF(AV151=AU169,"CRU- Brut ou à cuire","CUIT - Net à servir")</f>
        <v>CRU- Brut ou à cuire</v>
      </c>
      <c r="AX144" s="732"/>
      <c r="AY144" s="331"/>
      <c r="AZ144" s="331"/>
      <c r="BA144" s="331"/>
      <c r="BB144" s="331"/>
      <c r="BC144" s="331"/>
      <c r="BD144" s="331"/>
      <c r="BE144" s="502"/>
      <c r="BF144" s="331"/>
      <c r="BG144" s="331"/>
      <c r="BH144" s="331"/>
      <c r="BI144" s="331"/>
      <c r="BJ144" s="331"/>
      <c r="BK144" s="529"/>
    </row>
    <row r="145" spans="1:63" ht="23.25">
      <c r="A145" s="502"/>
      <c r="B145" s="7501">
        <v>3</v>
      </c>
      <c r="C145" s="7503" t="str">
        <f>D148</f>
        <v xml:space="preserve">Semoule </v>
      </c>
      <c r="D145" s="7503"/>
      <c r="E145" s="7503"/>
      <c r="F145" s="7503"/>
      <c r="G145" s="7503"/>
      <c r="H145" s="7504"/>
      <c r="I145" s="331"/>
      <c r="J145" s="331"/>
      <c r="K145" s="331"/>
      <c r="L145" s="331"/>
      <c r="M145" s="331"/>
      <c r="N145" s="331"/>
      <c r="O145" s="502"/>
      <c r="P145" s="331"/>
      <c r="Q145" s="331"/>
      <c r="R145" s="331"/>
      <c r="S145" s="331"/>
      <c r="T145" s="331"/>
      <c r="U145" s="529"/>
      <c r="W145" s="7501">
        <v>3</v>
      </c>
      <c r="X145" s="7503" t="str">
        <f>Y148</f>
        <v xml:space="preserve">Semoule </v>
      </c>
      <c r="Y145" s="7503"/>
      <c r="Z145" s="7503"/>
      <c r="AA145" s="7503"/>
      <c r="AB145" s="7503"/>
      <c r="AC145" s="7504"/>
      <c r="AD145" s="331"/>
      <c r="AE145" s="331"/>
      <c r="AF145" s="331"/>
      <c r="AG145" s="331"/>
      <c r="AH145" s="331"/>
      <c r="AI145" s="331"/>
      <c r="AJ145" s="502"/>
      <c r="AK145" s="331"/>
      <c r="AL145" s="331"/>
      <c r="AM145" s="331"/>
      <c r="AN145" s="331"/>
      <c r="AO145" s="331"/>
      <c r="AP145" s="529"/>
      <c r="AR145" s="7501">
        <v>3</v>
      </c>
      <c r="AS145" s="7503" t="str">
        <f>AT148</f>
        <v xml:space="preserve">Semoule </v>
      </c>
      <c r="AT145" s="7503"/>
      <c r="AU145" s="7503"/>
      <c r="AV145" s="7503"/>
      <c r="AW145" s="7503"/>
      <c r="AX145" s="7504"/>
      <c r="AY145" s="331"/>
      <c r="AZ145" s="331"/>
      <c r="BA145" s="331"/>
      <c r="BB145" s="331"/>
      <c r="BC145" s="331"/>
      <c r="BD145" s="331"/>
      <c r="BE145" s="502"/>
      <c r="BF145" s="331"/>
      <c r="BG145" s="331"/>
      <c r="BH145" s="331"/>
      <c r="BI145" s="331"/>
      <c r="BJ145" s="331"/>
      <c r="BK145" s="529"/>
    </row>
    <row r="146" spans="1:63">
      <c r="A146" s="502"/>
      <c r="B146" s="7501"/>
      <c r="C146" s="733" t="str">
        <f>IF(F154=1, F151, IF(TEXT(F151,"@")=TEXT(E170,"@"), E169, E170))</f>
        <v>cuit</v>
      </c>
      <c r="D146" s="733" t="str">
        <f>INT(G160/E151) &amp; " " &amp; F149 &amp; " de " &amp; E151 &amp; " kg" &amp; IF(MOD(G160,E151)&gt;0," + 1 " &amp; F149 &amp; " de " &amp; TEXT(MOD(G160,E151),"0.00") &amp; " kg","")</f>
        <v>16  GN 1/ 1  de 0.75 kg + 1  GN 1/ 1  de 0.60 kg</v>
      </c>
      <c r="E146" s="734"/>
      <c r="F146" s="733"/>
      <c r="G146" s="735"/>
      <c r="H146" s="736"/>
      <c r="I146" s="331"/>
      <c r="J146" s="331"/>
      <c r="K146" s="331"/>
      <c r="L146" s="331"/>
      <c r="M146" s="331"/>
      <c r="N146" s="331"/>
      <c r="O146" s="502"/>
      <c r="P146" s="331"/>
      <c r="Q146" s="331"/>
      <c r="R146" s="331"/>
      <c r="S146" s="331"/>
      <c r="T146" s="331"/>
      <c r="U146" s="529"/>
      <c r="W146" s="7501"/>
      <c r="X146" s="733" t="str">
        <f>IF(AA154=1, AA151, IF(TEXT(AA151,"@")=TEXT(Z170,"@"), Z169, Z170))</f>
        <v>cuit</v>
      </c>
      <c r="Y146" s="733" t="str">
        <f>INT(AB160/Z151) &amp; " " &amp; AA149 &amp; " de " &amp; Z151 &amp; " kg" &amp; IF(MOD(AB160,Z151)&gt;0," + 1 " &amp; AA149 &amp; " de " &amp; TEXT(MOD(AB160,Z151),"0.00") &amp; " kg","")</f>
        <v>16  GN 1/ 1  de 0.75 kg + 1  GN 1/ 1  de 0.60 kg</v>
      </c>
      <c r="Z146" s="734"/>
      <c r="AA146" s="733"/>
      <c r="AB146" s="735"/>
      <c r="AC146" s="736"/>
      <c r="AD146" s="331"/>
      <c r="AE146" s="331"/>
      <c r="AF146" s="331"/>
      <c r="AG146" s="331"/>
      <c r="AH146" s="331"/>
      <c r="AI146" s="331"/>
      <c r="AJ146" s="502"/>
      <c r="AK146" s="331"/>
      <c r="AL146" s="331"/>
      <c r="AM146" s="331"/>
      <c r="AN146" s="331"/>
      <c r="AO146" s="331"/>
      <c r="AP146" s="529"/>
      <c r="AR146" s="7501"/>
      <c r="AS146" s="733" t="str">
        <f>IF(AV154=1, AV151, IF(TEXT(AV151,"@")=TEXT(AU170,"@"), AU169, AU170))</f>
        <v>cuit</v>
      </c>
      <c r="AT146" s="733" t="str">
        <f>INT(AW160/AU151) &amp; " " &amp; AV149 &amp; " de " &amp; AU151 &amp; " kg" &amp; IF(MOD(AW160,AU151)&gt;0," + 1 " &amp; AV149 &amp; " de " &amp; TEXT(MOD(AW160,AU151),"0.00") &amp; " kg","")</f>
        <v>16  GN 1/ 1  de 0.75 kg + 1  GN 1/ 1  de 0.60 kg</v>
      </c>
      <c r="AU146" s="734"/>
      <c r="AV146" s="733"/>
      <c r="AW146" s="735"/>
      <c r="AX146" s="736"/>
      <c r="AY146" s="331"/>
      <c r="AZ146" s="331"/>
      <c r="BA146" s="331"/>
      <c r="BB146" s="331"/>
      <c r="BC146" s="331"/>
      <c r="BD146" s="331"/>
      <c r="BE146" s="502"/>
      <c r="BF146" s="331"/>
      <c r="BG146" s="331"/>
      <c r="BH146" s="331"/>
      <c r="BI146" s="331"/>
      <c r="BJ146" s="331"/>
      <c r="BK146" s="529"/>
    </row>
    <row r="147" spans="1:63">
      <c r="A147" s="502"/>
      <c r="B147" s="7501"/>
      <c r="C147" s="737" t="str">
        <f>IF(D147=0,"",IF(F154&lt;=1,F152,IF(F154&gt;1,F151,IF(TEXT(E169,"@")=TEXT(E170,"@"),E169,E170))))</f>
        <v>cru</v>
      </c>
      <c r="D147" s="733" t="str">
        <f>IF(F154=1,0,IF(ISBLANK(F154),G157*E160,INT(G160/E152)&amp;" "&amp;F149&amp;" de "&amp;E152&amp;" kg"&amp;IF(MOD(G160,E152)&gt;0," + 1 "&amp;F149&amp;" de "&amp;TEXT(MOD(G160,E152),"0.00")&amp;" kg",0)))</f>
        <v>8  GN 1/ 1  de 1.5 kg + 1  GN 1/ 1  de 0.60 kg</v>
      </c>
      <c r="E147" s="738"/>
      <c r="F147" s="734"/>
      <c r="G147" s="735"/>
      <c r="H147" s="736"/>
      <c r="I147" s="739"/>
      <c r="J147" s="331"/>
      <c r="K147" s="331"/>
      <c r="L147" s="331"/>
      <c r="M147" s="331"/>
      <c r="N147" s="331"/>
      <c r="O147" s="502"/>
      <c r="P147" s="331"/>
      <c r="Q147" s="331"/>
      <c r="R147" s="331"/>
      <c r="S147" s="331"/>
      <c r="T147" s="331"/>
      <c r="U147" s="529"/>
      <c r="W147" s="7501"/>
      <c r="X147" s="737" t="str">
        <f>IF(Y147=0,"",IF(AA154&lt;=1,AA152,IF(AA154&gt;1,AA151,IF(TEXT(Z169,"@")=TEXT(Z170,"@"),Z169,Z170))))</f>
        <v>cru</v>
      </c>
      <c r="Y147" s="733" t="str">
        <f>IF(AA154=1,0,IF(ISBLANK(AA154),AB157*Z160,INT(AB160/Z152)&amp;" "&amp;AA149&amp;" de "&amp;Z152&amp;" kg"&amp;IF(MOD(AB160,Z152)&gt;0," + 1 "&amp;AA149&amp;" de "&amp;TEXT(MOD(AB160,Z152),"0.00")&amp;" kg",0)))</f>
        <v>8  GN 1/ 1  de 1.5 kg + 1  GN 1/ 1  de 0.60 kg</v>
      </c>
      <c r="Z147" s="738"/>
      <c r="AA147" s="734"/>
      <c r="AB147" s="735"/>
      <c r="AC147" s="736"/>
      <c r="AD147" s="739"/>
      <c r="AE147" s="331"/>
      <c r="AF147" s="331"/>
      <c r="AG147" s="331"/>
      <c r="AH147" s="331"/>
      <c r="AI147" s="331"/>
      <c r="AJ147" s="502"/>
      <c r="AK147" s="331"/>
      <c r="AL147" s="331"/>
      <c r="AM147" s="331"/>
      <c r="AN147" s="331"/>
      <c r="AO147" s="331"/>
      <c r="AP147" s="529"/>
      <c r="AR147" s="7501"/>
      <c r="AS147" s="737" t="str">
        <f>IF(AT147=0,"",IF(AV154&lt;=1,AV152,IF(AV154&gt;1,AV151,IF(TEXT(AU169,"@")=TEXT(AU170,"@"),AU169,AU170))))</f>
        <v>cru</v>
      </c>
      <c r="AT147" s="733" t="str">
        <f>IF(AV154=1,0,IF(ISBLANK(AV154),AW157*AU160,INT(AW160/AU152)&amp;" "&amp;AV149&amp;" de "&amp;AU152&amp;" kg"&amp;IF(MOD(AW160,AU152)&gt;0," + 1 "&amp;AV149&amp;" de "&amp;TEXT(MOD(AW160,AU152),"0.00")&amp;" kg",0)))</f>
        <v>8  GN 1/ 1  de 1.5 kg + 1  GN 1/ 1  de 0.60 kg</v>
      </c>
      <c r="AU147" s="738"/>
      <c r="AV147" s="734"/>
      <c r="AW147" s="735"/>
      <c r="AX147" s="736"/>
      <c r="AY147" s="739"/>
      <c r="AZ147" s="331"/>
      <c r="BA147" s="331"/>
      <c r="BB147" s="331"/>
      <c r="BC147" s="331"/>
      <c r="BD147" s="331"/>
      <c r="BE147" s="502"/>
      <c r="BF147" s="331"/>
      <c r="BG147" s="331"/>
      <c r="BH147" s="331"/>
      <c r="BI147" s="331"/>
      <c r="BJ147" s="331"/>
      <c r="BK147" s="529"/>
    </row>
    <row r="148" spans="1:63" ht="18.75">
      <c r="A148" s="502"/>
      <c r="B148" s="7501"/>
      <c r="C148" s="740" t="s">
        <v>725</v>
      </c>
      <c r="D148" s="741" t="s">
        <v>726</v>
      </c>
      <c r="E148" s="742"/>
      <c r="F148" s="743"/>
      <c r="G148" s="743"/>
      <c r="H148" s="744"/>
      <c r="I148" s="331"/>
      <c r="J148" s="331"/>
      <c r="K148" s="331"/>
      <c r="L148" s="331"/>
      <c r="M148" s="331"/>
      <c r="N148" s="331"/>
      <c r="O148" s="502"/>
      <c r="P148" s="331"/>
      <c r="Q148" s="331"/>
      <c r="R148" s="331"/>
      <c r="S148" s="331"/>
      <c r="T148" s="331"/>
      <c r="U148" s="529"/>
      <c r="W148" s="7501"/>
      <c r="X148" s="740" t="s">
        <v>725</v>
      </c>
      <c r="Y148" s="741" t="s">
        <v>726</v>
      </c>
      <c r="Z148" s="742"/>
      <c r="AA148" s="743"/>
      <c r="AB148" s="743"/>
      <c r="AC148" s="744"/>
      <c r="AD148" s="331"/>
      <c r="AE148" s="331"/>
      <c r="AF148" s="331"/>
      <c r="AG148" s="331"/>
      <c r="AH148" s="331"/>
      <c r="AI148" s="331"/>
      <c r="AJ148" s="502"/>
      <c r="AK148" s="331"/>
      <c r="AL148" s="331"/>
      <c r="AM148" s="331"/>
      <c r="AN148" s="331"/>
      <c r="AO148" s="331"/>
      <c r="AP148" s="529"/>
      <c r="AR148" s="7501"/>
      <c r="AS148" s="740" t="s">
        <v>725</v>
      </c>
      <c r="AT148" s="741" t="s">
        <v>726</v>
      </c>
      <c r="AU148" s="742"/>
      <c r="AV148" s="743"/>
      <c r="AW148" s="743"/>
      <c r="AX148" s="744"/>
      <c r="AY148" s="331"/>
      <c r="AZ148" s="331"/>
      <c r="BA148" s="331"/>
      <c r="BB148" s="331"/>
      <c r="BC148" s="331"/>
      <c r="BD148" s="331"/>
      <c r="BE148" s="502"/>
      <c r="BF148" s="331"/>
      <c r="BG148" s="331"/>
      <c r="BH148" s="331"/>
      <c r="BI148" s="331"/>
      <c r="BJ148" s="331"/>
      <c r="BK148" s="529"/>
    </row>
    <row r="149" spans="1:63">
      <c r="A149" s="502"/>
      <c r="B149" s="7501"/>
      <c r="C149" s="543"/>
      <c r="D149" s="543"/>
      <c r="E149" s="678" t="s">
        <v>680</v>
      </c>
      <c r="F149" s="745" t="s">
        <v>727</v>
      </c>
      <c r="G149" s="746"/>
      <c r="H149" s="747"/>
      <c r="I149" s="331"/>
      <c r="J149" s="331"/>
      <c r="K149" s="331"/>
      <c r="L149" s="331"/>
      <c r="M149" s="331"/>
      <c r="N149" s="331"/>
      <c r="O149" s="502"/>
      <c r="P149" s="331"/>
      <c r="Q149" s="331"/>
      <c r="R149" s="331"/>
      <c r="S149" s="331"/>
      <c r="T149" s="331"/>
      <c r="U149" s="529"/>
      <c r="W149" s="7501"/>
      <c r="X149" s="543"/>
      <c r="Y149" s="543"/>
      <c r="Z149" s="678" t="s">
        <v>680</v>
      </c>
      <c r="AA149" s="745" t="s">
        <v>727</v>
      </c>
      <c r="AB149" s="746"/>
      <c r="AC149" s="747"/>
      <c r="AD149" s="331"/>
      <c r="AE149" s="331"/>
      <c r="AF149" s="331"/>
      <c r="AG149" s="331"/>
      <c r="AH149" s="331"/>
      <c r="AI149" s="331"/>
      <c r="AJ149" s="502"/>
      <c r="AK149" s="331"/>
      <c r="AL149" s="331"/>
      <c r="AM149" s="331"/>
      <c r="AN149" s="331"/>
      <c r="AO149" s="331"/>
      <c r="AP149" s="529"/>
      <c r="AR149" s="7501"/>
      <c r="AS149" s="543"/>
      <c r="AT149" s="543"/>
      <c r="AU149" s="678" t="s">
        <v>680</v>
      </c>
      <c r="AV149" s="745" t="s">
        <v>727</v>
      </c>
      <c r="AW149" s="746"/>
      <c r="AX149" s="747"/>
      <c r="AY149" s="331"/>
      <c r="AZ149" s="331"/>
      <c r="BA149" s="331"/>
      <c r="BB149" s="331"/>
      <c r="BC149" s="331"/>
      <c r="BD149" s="331"/>
      <c r="BE149" s="502"/>
      <c r="BF149" s="331"/>
      <c r="BG149" s="331"/>
      <c r="BH149" s="331"/>
      <c r="BI149" s="331"/>
      <c r="BJ149" s="331"/>
      <c r="BK149" s="529"/>
    </row>
    <row r="150" spans="1:63">
      <c r="A150" s="502"/>
      <c r="B150" s="7501"/>
      <c r="C150" s="543"/>
      <c r="D150" s="680"/>
      <c r="E150" s="681"/>
      <c r="F150"/>
      <c r="G150" s="748" t="s">
        <v>728</v>
      </c>
      <c r="H150" s="676"/>
      <c r="I150" s="331"/>
      <c r="J150" s="331"/>
      <c r="K150" s="331"/>
      <c r="L150" s="331"/>
      <c r="M150" s="331"/>
      <c r="N150" s="331"/>
      <c r="O150" s="502"/>
      <c r="P150" s="331"/>
      <c r="Q150" s="331"/>
      <c r="R150" s="331"/>
      <c r="S150" s="331"/>
      <c r="T150" s="331"/>
      <c r="U150" s="529"/>
      <c r="W150" s="7501"/>
      <c r="X150" s="543"/>
      <c r="Y150" s="680"/>
      <c r="Z150" s="681"/>
      <c r="AA150"/>
      <c r="AB150" s="748" t="s">
        <v>728</v>
      </c>
      <c r="AC150" s="676"/>
      <c r="AD150" s="331"/>
      <c r="AE150" s="331"/>
      <c r="AF150" s="331"/>
      <c r="AG150" s="331"/>
      <c r="AH150" s="331"/>
      <c r="AI150" s="331"/>
      <c r="AJ150" s="502"/>
      <c r="AK150" s="331"/>
      <c r="AL150" s="331"/>
      <c r="AM150" s="331"/>
      <c r="AN150" s="331"/>
      <c r="AO150" s="331"/>
      <c r="AP150" s="529"/>
      <c r="AR150" s="7501"/>
      <c r="AS150" s="543"/>
      <c r="AT150" s="680"/>
      <c r="AU150" s="681"/>
      <c r="AV150"/>
      <c r="AW150" s="748" t="s">
        <v>728</v>
      </c>
      <c r="AX150" s="676"/>
      <c r="AY150" s="331"/>
      <c r="AZ150" s="331"/>
      <c r="BA150" s="331"/>
      <c r="BB150" s="331"/>
      <c r="BC150" s="331"/>
      <c r="BD150" s="331"/>
      <c r="BE150" s="502"/>
      <c r="BF150" s="331"/>
      <c r="BG150" s="331"/>
      <c r="BH150" s="331"/>
      <c r="BI150" s="331"/>
      <c r="BJ150" s="331"/>
      <c r="BK150" s="529"/>
    </row>
    <row r="151" spans="1:63">
      <c r="A151" s="502"/>
      <c r="B151" s="7501"/>
      <c r="C151" s="684"/>
      <c r="D151" s="749" t="s">
        <v>685</v>
      </c>
      <c r="E151" s="750">
        <v>0.75</v>
      </c>
      <c r="F151" s="687" t="s">
        <v>686</v>
      </c>
      <c r="G151" s="751" t="s">
        <v>729</v>
      </c>
      <c r="H151" s="409"/>
      <c r="I151" s="331"/>
      <c r="J151" s="331"/>
      <c r="K151" s="331"/>
      <c r="L151" s="331"/>
      <c r="M151" s="331"/>
      <c r="N151" s="331"/>
      <c r="O151" s="502"/>
      <c r="P151" s="331"/>
      <c r="Q151" s="331"/>
      <c r="R151" s="331"/>
      <c r="S151" s="331"/>
      <c r="T151" s="331"/>
      <c r="U151" s="529"/>
      <c r="W151" s="7501"/>
      <c r="X151" s="684"/>
      <c r="Y151" s="749" t="s">
        <v>685</v>
      </c>
      <c r="Z151" s="750">
        <v>0.75</v>
      </c>
      <c r="AA151" s="687" t="s">
        <v>686</v>
      </c>
      <c r="AB151" s="751" t="s">
        <v>729</v>
      </c>
      <c r="AC151" s="409"/>
      <c r="AD151" s="331"/>
      <c r="AE151" s="331"/>
      <c r="AF151" s="331"/>
      <c r="AG151" s="331"/>
      <c r="AH151" s="331"/>
      <c r="AI151" s="331"/>
      <c r="AJ151" s="502"/>
      <c r="AK151" s="331"/>
      <c r="AL151" s="331"/>
      <c r="AM151" s="331"/>
      <c r="AN151" s="331"/>
      <c r="AO151" s="331"/>
      <c r="AP151" s="529"/>
      <c r="AR151" s="7501"/>
      <c r="AS151" s="684"/>
      <c r="AT151" s="749" t="s">
        <v>685</v>
      </c>
      <c r="AU151" s="750">
        <v>0.75</v>
      </c>
      <c r="AV151" s="687" t="s">
        <v>686</v>
      </c>
      <c r="AW151" s="751" t="s">
        <v>729</v>
      </c>
      <c r="AX151" s="409"/>
      <c r="AY151" s="331"/>
      <c r="AZ151" s="331"/>
      <c r="BA151" s="331"/>
      <c r="BB151" s="331"/>
      <c r="BC151" s="331"/>
      <c r="BD151" s="331"/>
      <c r="BE151" s="502"/>
      <c r="BF151" s="331"/>
      <c r="BG151" s="331"/>
      <c r="BH151" s="331"/>
      <c r="BI151" s="331"/>
      <c r="BJ151" s="331"/>
      <c r="BK151" s="529"/>
    </row>
    <row r="152" spans="1:63">
      <c r="A152" s="502"/>
      <c r="B152" s="7501"/>
      <c r="C152" s="684"/>
      <c r="D152" s="685"/>
      <c r="E152" s="752">
        <f>IFERROR(IF(F151=E169,E151*F154,IF(F151=E170,E151/F154)),0)</f>
        <v>1.5</v>
      </c>
      <c r="F152" s="753" t="str">
        <f>IF(F151=E169,E170,E169)</f>
        <v>cuit</v>
      </c>
      <c r="G152" s="688"/>
      <c r="H152" s="689"/>
      <c r="I152" s="331"/>
      <c r="J152" s="331"/>
      <c r="K152" s="331"/>
      <c r="L152" s="331"/>
      <c r="M152" s="331"/>
      <c r="N152" s="331"/>
      <c r="O152" s="502"/>
      <c r="P152" s="331"/>
      <c r="Q152" s="331"/>
      <c r="R152" s="331"/>
      <c r="S152" s="331"/>
      <c r="T152" s="331"/>
      <c r="U152" s="529"/>
      <c r="W152" s="7501"/>
      <c r="X152" s="684"/>
      <c r="Y152" s="685"/>
      <c r="Z152" s="752">
        <f>IFERROR(IF(AA151=Z169,Z151*AA154,IF(AA151=Z170,Z151/AA154)),0)</f>
        <v>1.5</v>
      </c>
      <c r="AA152" s="753" t="str">
        <f>IF(AA151=Z169,Z170,Z169)</f>
        <v>cuit</v>
      </c>
      <c r="AB152" s="688"/>
      <c r="AC152" s="689"/>
      <c r="AD152" s="331"/>
      <c r="AE152" s="331"/>
      <c r="AF152" s="331"/>
      <c r="AG152" s="331"/>
      <c r="AH152" s="331"/>
      <c r="AI152" s="331"/>
      <c r="AJ152" s="502"/>
      <c r="AK152" s="331"/>
      <c r="AL152" s="331"/>
      <c r="AM152" s="331"/>
      <c r="AN152" s="331"/>
      <c r="AO152" s="331"/>
      <c r="AP152" s="529"/>
      <c r="AR152" s="7501"/>
      <c r="AS152" s="684"/>
      <c r="AT152" s="685"/>
      <c r="AU152" s="752">
        <f>IFERROR(IF(AV151=AU169,AU151*AV154,IF(AV151=AU170,AU151/AV154)),0)</f>
        <v>1.5</v>
      </c>
      <c r="AV152" s="753" t="str">
        <f>IF(AV151=AU169,AU170,AU169)</f>
        <v>cuit</v>
      </c>
      <c r="AW152" s="688"/>
      <c r="AX152" s="689"/>
      <c r="AY152" s="331"/>
      <c r="AZ152" s="331"/>
      <c r="BA152" s="331"/>
      <c r="BB152" s="331"/>
      <c r="BC152" s="331"/>
      <c r="BD152" s="331"/>
      <c r="BE152" s="502"/>
      <c r="BF152" s="331"/>
      <c r="BG152" s="331"/>
      <c r="BH152" s="331"/>
      <c r="BI152" s="331"/>
      <c r="BJ152" s="331"/>
      <c r="BK152" s="529"/>
    </row>
    <row r="153" spans="1:63">
      <c r="A153" s="502"/>
      <c r="B153" s="7501"/>
      <c r="C153" s="684"/>
      <c r="D153" s="685"/>
      <c r="E153" s="652"/>
      <c r="F153" s="753"/>
      <c r="G153" s="688"/>
      <c r="H153" s="689"/>
      <c r="I153" s="331"/>
      <c r="J153" s="331"/>
      <c r="K153" s="331"/>
      <c r="L153" s="331"/>
      <c r="M153" s="331"/>
      <c r="N153" s="331"/>
      <c r="O153" s="502"/>
      <c r="P153" s="331"/>
      <c r="Q153" s="331"/>
      <c r="R153" s="331"/>
      <c r="S153" s="331"/>
      <c r="T153" s="331"/>
      <c r="U153" s="529"/>
      <c r="W153" s="7501"/>
      <c r="X153" s="684"/>
      <c r="Y153" s="685"/>
      <c r="Z153" s="652"/>
      <c r="AA153" s="753"/>
      <c r="AB153" s="688"/>
      <c r="AC153" s="689"/>
      <c r="AD153" s="331"/>
      <c r="AE153" s="331"/>
      <c r="AF153" s="331"/>
      <c r="AG153" s="331"/>
      <c r="AH153" s="331"/>
      <c r="AI153" s="331"/>
      <c r="AJ153" s="502"/>
      <c r="AK153" s="331"/>
      <c r="AL153" s="331"/>
      <c r="AM153" s="331"/>
      <c r="AN153" s="331"/>
      <c r="AO153" s="331"/>
      <c r="AP153" s="529"/>
      <c r="AR153" s="7501"/>
      <c r="AS153" s="684"/>
      <c r="AT153" s="685"/>
      <c r="AU153" s="652"/>
      <c r="AV153" s="753"/>
      <c r="AW153" s="688"/>
      <c r="AX153" s="689"/>
      <c r="AY153" s="331"/>
      <c r="AZ153" s="331"/>
      <c r="BA153" s="331"/>
      <c r="BB153" s="331"/>
      <c r="BC153" s="331"/>
      <c r="BD153" s="331"/>
      <c r="BE153" s="502"/>
      <c r="BF153" s="331"/>
      <c r="BG153" s="331"/>
      <c r="BH153" s="331"/>
      <c r="BI153" s="331"/>
      <c r="BJ153" s="331"/>
      <c r="BK153" s="529"/>
    </row>
    <row r="154" spans="1:63">
      <c r="A154" s="502"/>
      <c r="B154" s="7501"/>
      <c r="C154" s="543"/>
      <c r="D154" s="648"/>
      <c r="E154" s="754" t="s">
        <v>708</v>
      </c>
      <c r="F154" s="755">
        <v>2</v>
      </c>
      <c r="G154" s="141"/>
      <c r="H154" s="409"/>
      <c r="I154" s="331"/>
      <c r="J154" s="331"/>
      <c r="K154" s="331"/>
      <c r="L154" s="331"/>
      <c r="M154" s="331"/>
      <c r="N154" s="331"/>
      <c r="O154" s="502"/>
      <c r="P154" s="331"/>
      <c r="Q154" s="331"/>
      <c r="R154" s="331"/>
      <c r="S154" s="331"/>
      <c r="T154" s="331"/>
      <c r="U154" s="529"/>
      <c r="W154" s="7501"/>
      <c r="X154" s="543"/>
      <c r="Y154" s="648"/>
      <c r="Z154" s="754" t="s">
        <v>708</v>
      </c>
      <c r="AA154" s="755">
        <v>2</v>
      </c>
      <c r="AB154" s="141"/>
      <c r="AC154" s="409"/>
      <c r="AD154" s="331"/>
      <c r="AE154" s="331"/>
      <c r="AF154" s="331"/>
      <c r="AG154" s="331"/>
      <c r="AH154" s="331"/>
      <c r="AI154" s="331"/>
      <c r="AJ154" s="502"/>
      <c r="AK154" s="331"/>
      <c r="AL154" s="331"/>
      <c r="AM154" s="331"/>
      <c r="AN154" s="331"/>
      <c r="AO154" s="331"/>
      <c r="AP154" s="529"/>
      <c r="AR154" s="7501"/>
      <c r="AS154" s="543"/>
      <c r="AT154" s="648"/>
      <c r="AU154" s="754" t="s">
        <v>708</v>
      </c>
      <c r="AV154" s="755">
        <v>2</v>
      </c>
      <c r="AW154" s="141"/>
      <c r="AX154" s="409"/>
      <c r="AY154" s="331"/>
      <c r="AZ154" s="331"/>
      <c r="BA154" s="331"/>
      <c r="BB154" s="331"/>
      <c r="BC154" s="331"/>
      <c r="BD154" s="331"/>
      <c r="BE154" s="502"/>
      <c r="BF154" s="331"/>
      <c r="BG154" s="331"/>
      <c r="BH154" s="331"/>
      <c r="BI154" s="331"/>
      <c r="BJ154" s="331"/>
      <c r="BK154" s="529"/>
    </row>
    <row r="155" spans="1:63">
      <c r="A155" s="502"/>
      <c r="B155" s="7501"/>
      <c r="C155" s="543"/>
      <c r="D155" s="543"/>
      <c r="E155"/>
      <c r="F155" s="756" t="str">
        <f>IF(F151=E169,"cru X par "&amp;F154,"cuit / par "&amp;F154)</f>
        <v>cru X par 2</v>
      </c>
      <c r="G155" s="543"/>
      <c r="H155" s="676"/>
      <c r="I155" s="331"/>
      <c r="J155" s="331"/>
      <c r="K155" s="331"/>
      <c r="L155" s="331"/>
      <c r="M155" s="331"/>
      <c r="N155" s="331"/>
      <c r="O155" s="502"/>
      <c r="P155" s="331"/>
      <c r="Q155" s="331"/>
      <c r="R155" s="331"/>
      <c r="S155" s="331"/>
      <c r="T155" s="331"/>
      <c r="U155" s="529"/>
      <c r="W155" s="7501"/>
      <c r="X155" s="543"/>
      <c r="Y155" s="543"/>
      <c r="Z155"/>
      <c r="AA155" s="756" t="str">
        <f>IF(AA151=Z169,"cru X par "&amp;AA154,"cuit / par "&amp;AA154)</f>
        <v>cru X par 2</v>
      </c>
      <c r="AB155" s="543"/>
      <c r="AC155" s="676"/>
      <c r="AD155" s="331"/>
      <c r="AE155" s="331"/>
      <c r="AF155" s="331"/>
      <c r="AG155" s="331"/>
      <c r="AH155" s="331"/>
      <c r="AI155" s="331"/>
      <c r="AJ155" s="502"/>
      <c r="AK155" s="331"/>
      <c r="AL155" s="331"/>
      <c r="AM155" s="331"/>
      <c r="AN155" s="331"/>
      <c r="AO155" s="331"/>
      <c r="AP155" s="529"/>
      <c r="AR155" s="7501"/>
      <c r="AS155" s="543"/>
      <c r="AT155" s="543"/>
      <c r="AU155"/>
      <c r="AV155" s="756" t="str">
        <f>IF(AV151=AU169,"cru X par "&amp;AV154,"cuit / par "&amp;AV154)</f>
        <v>cru X par 2</v>
      </c>
      <c r="AW155" s="543"/>
      <c r="AX155" s="676"/>
      <c r="AY155" s="331"/>
      <c r="AZ155" s="331"/>
      <c r="BA155" s="331"/>
      <c r="BB155" s="331"/>
      <c r="BC155" s="331"/>
      <c r="BD155" s="331"/>
      <c r="BE155" s="502"/>
      <c r="BF155" s="331"/>
      <c r="BG155" s="331"/>
      <c r="BH155" s="331"/>
      <c r="BI155" s="331"/>
      <c r="BJ155" s="331"/>
      <c r="BK155" s="529"/>
    </row>
    <row r="156" spans="1:63">
      <c r="A156" s="502"/>
      <c r="B156" s="7501"/>
      <c r="C156" s="543"/>
      <c r="D156" s="543"/>
      <c r="E156" s="757"/>
      <c r="F156" s="758"/>
      <c r="G156" s="543"/>
      <c r="H156" s="676"/>
      <c r="I156" s="331"/>
      <c r="J156" s="331"/>
      <c r="K156" s="331"/>
      <c r="L156" s="331"/>
      <c r="M156" s="331"/>
      <c r="N156" s="331"/>
      <c r="O156" s="502"/>
      <c r="P156" s="331"/>
      <c r="Q156" s="331"/>
      <c r="R156" s="331"/>
      <c r="S156" s="331"/>
      <c r="T156" s="331"/>
      <c r="U156" s="529"/>
      <c r="W156" s="7501"/>
      <c r="X156" s="543"/>
      <c r="Y156" s="543"/>
      <c r="Z156" s="757"/>
      <c r="AA156" s="758"/>
      <c r="AB156" s="543"/>
      <c r="AC156" s="676"/>
      <c r="AD156" s="331"/>
      <c r="AE156" s="331"/>
      <c r="AF156" s="331"/>
      <c r="AG156" s="331"/>
      <c r="AH156" s="331"/>
      <c r="AI156" s="331"/>
      <c r="AJ156" s="502"/>
      <c r="AK156" s="331"/>
      <c r="AL156" s="331"/>
      <c r="AM156" s="331"/>
      <c r="AN156" s="331"/>
      <c r="AO156" s="331"/>
      <c r="AP156" s="529"/>
      <c r="AR156" s="7501"/>
      <c r="AS156" s="543"/>
      <c r="AT156" s="543"/>
      <c r="AU156" s="757"/>
      <c r="AV156" s="758"/>
      <c r="AW156" s="543"/>
      <c r="AX156" s="676"/>
      <c r="AY156" s="331"/>
      <c r="AZ156" s="331"/>
      <c r="BA156" s="331"/>
      <c r="BB156" s="331"/>
      <c r="BC156" s="331"/>
      <c r="BD156" s="331"/>
      <c r="BE156" s="502"/>
      <c r="BF156" s="331"/>
      <c r="BG156" s="331"/>
      <c r="BH156" s="331"/>
      <c r="BI156" s="331"/>
      <c r="BJ156" s="331"/>
      <c r="BK156" s="529"/>
    </row>
    <row r="157" spans="1:63">
      <c r="A157" s="502"/>
      <c r="B157" s="7501"/>
      <c r="C157" s="543"/>
      <c r="D157" s="759" t="s">
        <v>688</v>
      </c>
      <c r="E157" s="5447">
        <v>63</v>
      </c>
      <c r="F157" s="760" t="str">
        <f>F151</f>
        <v>cru</v>
      </c>
      <c r="G157" s="761">
        <f>E157/1000</f>
        <v>6.3E-2</v>
      </c>
      <c r="H157" s="762"/>
      <c r="I157" s="331"/>
      <c r="J157" s="331"/>
      <c r="K157" s="331"/>
      <c r="L157" s="331"/>
      <c r="M157" s="331"/>
      <c r="N157" s="331"/>
      <c r="O157" s="502"/>
      <c r="P157" s="331"/>
      <c r="Q157" s="331"/>
      <c r="R157" s="331"/>
      <c r="S157" s="331"/>
      <c r="T157" s="331"/>
      <c r="U157" s="529"/>
      <c r="W157" s="7501"/>
      <c r="X157" s="543"/>
      <c r="Y157" s="759" t="s">
        <v>688</v>
      </c>
      <c r="Z157" s="5447">
        <v>63</v>
      </c>
      <c r="AA157" s="760" t="str">
        <f>AA151</f>
        <v>cru</v>
      </c>
      <c r="AB157" s="761">
        <f>Z157/1000</f>
        <v>6.3E-2</v>
      </c>
      <c r="AC157" s="762"/>
      <c r="AD157" s="331"/>
      <c r="AE157" s="331"/>
      <c r="AF157" s="331"/>
      <c r="AG157" s="331"/>
      <c r="AH157" s="331"/>
      <c r="AI157" s="331"/>
      <c r="AJ157" s="502"/>
      <c r="AK157" s="331"/>
      <c r="AL157" s="331"/>
      <c r="AM157" s="331"/>
      <c r="AN157" s="331"/>
      <c r="AO157" s="331"/>
      <c r="AP157" s="529"/>
      <c r="AR157" s="7501"/>
      <c r="AS157" s="543"/>
      <c r="AT157" s="759" t="s">
        <v>688</v>
      </c>
      <c r="AU157" s="5447">
        <v>63</v>
      </c>
      <c r="AV157" s="760" t="str">
        <f>AV151</f>
        <v>cru</v>
      </c>
      <c r="AW157" s="761">
        <f>AU157/1000</f>
        <v>6.3E-2</v>
      </c>
      <c r="AX157" s="762"/>
      <c r="AY157" s="331"/>
      <c r="AZ157" s="331"/>
      <c r="BA157" s="331"/>
      <c r="BB157" s="331"/>
      <c r="BC157" s="331"/>
      <c r="BD157" s="331"/>
      <c r="BE157" s="502"/>
      <c r="BF157" s="331"/>
      <c r="BG157" s="331"/>
      <c r="BH157" s="331"/>
      <c r="BI157" s="331"/>
      <c r="BJ157" s="331"/>
      <c r="BK157" s="529"/>
    </row>
    <row r="158" spans="1:63">
      <c r="A158" s="502"/>
      <c r="B158" s="7501"/>
      <c r="C158" s="543"/>
      <c r="D158" s="693"/>
      <c r="E158" s="763">
        <f>IFERROR(G158*1000,0)</f>
        <v>126</v>
      </c>
      <c r="F158" s="760" t="str">
        <f>IF(ISBLANK(F154),"",F152)</f>
        <v>cuit</v>
      </c>
      <c r="G158" s="761">
        <f>IFERROR(IF(F151=E169,G157*F154,IF(F151=E170,G157/F154,"")),0)</f>
        <v>0.126</v>
      </c>
      <c r="H158" s="696"/>
      <c r="I158" s="331"/>
      <c r="J158" s="331"/>
      <c r="K158" s="331"/>
      <c r="L158" s="331"/>
      <c r="M158" s="331"/>
      <c r="N158" s="331"/>
      <c r="O158" s="502"/>
      <c r="P158" s="331"/>
      <c r="Q158" s="331"/>
      <c r="R158" s="331"/>
      <c r="S158" s="331"/>
      <c r="T158" s="331"/>
      <c r="U158" s="529"/>
      <c r="W158" s="7501"/>
      <c r="X158" s="543"/>
      <c r="Y158" s="693"/>
      <c r="Z158" s="763">
        <f>IFERROR(AB158*1000,0)</f>
        <v>126</v>
      </c>
      <c r="AA158" s="760" t="str">
        <f>IF(ISBLANK(AA154),"",AA152)</f>
        <v>cuit</v>
      </c>
      <c r="AB158" s="761">
        <f>IFERROR(IF(AA151=Z169,AB157*AA154,IF(AA151=Z170,AB157/AA154,"")),0)</f>
        <v>0.126</v>
      </c>
      <c r="AC158" s="696"/>
      <c r="AD158" s="331"/>
      <c r="AE158" s="331"/>
      <c r="AF158" s="331"/>
      <c r="AG158" s="331"/>
      <c r="AH158" s="331"/>
      <c r="AI158" s="331"/>
      <c r="AJ158" s="502"/>
      <c r="AK158" s="331"/>
      <c r="AL158" s="331"/>
      <c r="AM158" s="331"/>
      <c r="AN158" s="331"/>
      <c r="AO158" s="331"/>
      <c r="AP158" s="529"/>
      <c r="AR158" s="7501"/>
      <c r="AS158" s="543"/>
      <c r="AT158" s="693"/>
      <c r="AU158" s="763">
        <f>IFERROR(AW158*1000,0)</f>
        <v>126</v>
      </c>
      <c r="AV158" s="760" t="str">
        <f>IF(ISBLANK(AV154),"",AV152)</f>
        <v>cuit</v>
      </c>
      <c r="AW158" s="761">
        <f>IFERROR(IF(AV151=AU169,AW157*AV154,IF(AV151=AU170,AW157/AV154,"")),0)</f>
        <v>0.126</v>
      </c>
      <c r="AX158" s="696"/>
      <c r="AY158" s="331"/>
      <c r="AZ158" s="331"/>
      <c r="BA158" s="331"/>
      <c r="BB158" s="331"/>
      <c r="BC158" s="331"/>
      <c r="BD158" s="331"/>
      <c r="BE158" s="502"/>
      <c r="BF158" s="331"/>
      <c r="BG158" s="331"/>
      <c r="BH158" s="331"/>
      <c r="BI158" s="331"/>
      <c r="BJ158" s="331"/>
      <c r="BK158" s="529"/>
    </row>
    <row r="159" spans="1:63" ht="15.75" customHeight="1">
      <c r="A159" s="502"/>
      <c r="B159" s="7501"/>
      <c r="C159" s="543"/>
      <c r="D159" s="693"/>
      <c r="E159" s="764"/>
      <c r="F159" s="764"/>
      <c r="G159" s="688"/>
      <c r="H159" s="696"/>
      <c r="I159" s="331"/>
      <c r="J159" s="331"/>
      <c r="K159" s="331"/>
      <c r="L159" s="331"/>
      <c r="M159" s="331"/>
      <c r="N159" s="331"/>
      <c r="O159" s="331"/>
      <c r="P159" s="331"/>
      <c r="Q159" s="331"/>
      <c r="R159" s="331"/>
      <c r="S159" s="331"/>
      <c r="T159" s="331"/>
      <c r="U159" s="529"/>
      <c r="W159" s="7501"/>
      <c r="X159" s="543"/>
      <c r="Y159" s="693"/>
      <c r="Z159" s="764"/>
      <c r="AA159" s="764"/>
      <c r="AB159" s="688"/>
      <c r="AC159" s="696"/>
      <c r="AD159" s="331"/>
      <c r="AE159" s="331"/>
      <c r="AF159" s="331"/>
      <c r="AG159" s="331"/>
      <c r="AH159" s="331"/>
      <c r="AI159" s="331"/>
      <c r="AJ159" s="331"/>
      <c r="AK159" s="331"/>
      <c r="AL159" s="331"/>
      <c r="AM159" s="331"/>
      <c r="AN159" s="331"/>
      <c r="AO159" s="331"/>
      <c r="AP159" s="529"/>
      <c r="AR159" s="7501"/>
      <c r="AS159" s="543"/>
      <c r="AT159" s="693"/>
      <c r="AU159" s="764"/>
      <c r="AV159" s="764"/>
      <c r="AW159" s="688"/>
      <c r="AX159" s="696"/>
      <c r="AY159" s="331"/>
      <c r="AZ159" s="331"/>
      <c r="BA159" s="331"/>
      <c r="BB159" s="331"/>
      <c r="BC159" s="331"/>
      <c r="BD159" s="331"/>
      <c r="BE159" s="331"/>
      <c r="BF159" s="331"/>
      <c r="BG159" s="331"/>
      <c r="BH159" s="331"/>
      <c r="BI159" s="331"/>
      <c r="BJ159" s="331"/>
      <c r="BK159" s="529"/>
    </row>
    <row r="160" spans="1:63">
      <c r="A160" s="502"/>
      <c r="B160" s="7501"/>
      <c r="C160" s="543"/>
      <c r="D160" s="765" t="s">
        <v>689</v>
      </c>
      <c r="E160" s="766">
        <v>100</v>
      </c>
      <c r="F160" s="767" t="s">
        <v>73</v>
      </c>
      <c r="G160" s="768">
        <f>IF(F152=E170, G158*E160, G157*E160)</f>
        <v>12.6</v>
      </c>
      <c r="H160" s="700"/>
      <c r="I160" s="331"/>
      <c r="J160" s="331"/>
      <c r="K160" s="331"/>
      <c r="L160" s="331"/>
      <c r="M160" s="331"/>
      <c r="N160" s="331"/>
      <c r="O160" s="331"/>
      <c r="P160" s="331"/>
      <c r="Q160" s="331"/>
      <c r="R160" s="331"/>
      <c r="S160" s="331"/>
      <c r="T160" s="331"/>
      <c r="U160" s="529"/>
      <c r="W160" s="7501"/>
      <c r="X160" s="543"/>
      <c r="Y160" s="765" t="s">
        <v>689</v>
      </c>
      <c r="Z160" s="766">
        <v>100</v>
      </c>
      <c r="AA160" s="767" t="s">
        <v>73</v>
      </c>
      <c r="AB160" s="768">
        <f>IF(AA152=Z170, AB158*Z160, AB157*Z160)</f>
        <v>12.6</v>
      </c>
      <c r="AC160" s="700"/>
      <c r="AD160" s="331"/>
      <c r="AE160" s="331"/>
      <c r="AF160" s="331"/>
      <c r="AG160" s="331"/>
      <c r="AH160" s="331"/>
      <c r="AI160" s="331"/>
      <c r="AJ160" s="331"/>
      <c r="AK160" s="331"/>
      <c r="AL160" s="331"/>
      <c r="AM160" s="331"/>
      <c r="AN160" s="331"/>
      <c r="AO160" s="331"/>
      <c r="AP160" s="529"/>
      <c r="AR160" s="7501"/>
      <c r="AS160" s="543"/>
      <c r="AT160" s="765" t="s">
        <v>689</v>
      </c>
      <c r="AU160" s="766">
        <v>100</v>
      </c>
      <c r="AV160" s="767" t="s">
        <v>73</v>
      </c>
      <c r="AW160" s="768">
        <f>IF(AV152=AU170, AW158*AU160, AW157*AU160)</f>
        <v>12.6</v>
      </c>
      <c r="AX160" s="700"/>
      <c r="AY160" s="331"/>
      <c r="AZ160" s="331"/>
      <c r="BA160" s="331"/>
      <c r="BB160" s="331"/>
      <c r="BC160" s="331"/>
      <c r="BD160" s="331"/>
      <c r="BE160" s="331"/>
      <c r="BF160" s="331"/>
      <c r="BG160" s="331"/>
      <c r="BH160" s="331"/>
      <c r="BI160" s="331"/>
      <c r="BJ160" s="331"/>
      <c r="BK160" s="529"/>
    </row>
    <row r="161" spans="1:63">
      <c r="A161" s="502"/>
      <c r="B161" s="7501"/>
      <c r="C161" s="543"/>
      <c r="D161" s="543"/>
      <c r="E161" s="543"/>
      <c r="F161" s="543"/>
      <c r="G161" s="543"/>
      <c r="H161" s="676"/>
      <c r="I161" s="331"/>
      <c r="J161" s="331"/>
      <c r="K161" s="331"/>
      <c r="L161" s="331"/>
      <c r="M161" s="331"/>
      <c r="N161" s="331"/>
      <c r="O161" s="331"/>
      <c r="P161" s="331"/>
      <c r="Q161" s="331"/>
      <c r="R161" s="331"/>
      <c r="S161" s="331"/>
      <c r="T161" s="331"/>
      <c r="U161" s="529"/>
      <c r="W161" s="7501"/>
      <c r="X161" s="543"/>
      <c r="Y161" s="543"/>
      <c r="Z161" s="543"/>
      <c r="AA161" s="543"/>
      <c r="AB161" s="543"/>
      <c r="AC161" s="676"/>
      <c r="AD161" s="331"/>
      <c r="AE161" s="331"/>
      <c r="AF161" s="331"/>
      <c r="AG161" s="331"/>
      <c r="AH161" s="331"/>
      <c r="AI161" s="331"/>
      <c r="AJ161" s="331"/>
      <c r="AK161" s="331"/>
      <c r="AL161" s="331"/>
      <c r="AM161" s="331"/>
      <c r="AN161" s="331"/>
      <c r="AO161" s="331"/>
      <c r="AP161" s="529"/>
      <c r="AR161" s="7501"/>
      <c r="AS161" s="543"/>
      <c r="AT161" s="543"/>
      <c r="AU161" s="543"/>
      <c r="AV161" s="543"/>
      <c r="AW161" s="543"/>
      <c r="AX161" s="676"/>
      <c r="AY161" s="331"/>
      <c r="AZ161" s="331"/>
      <c r="BA161" s="331"/>
      <c r="BB161" s="331"/>
      <c r="BC161" s="331"/>
      <c r="BD161" s="331"/>
      <c r="BE161" s="331"/>
      <c r="BF161" s="331"/>
      <c r="BG161" s="331"/>
      <c r="BH161" s="331"/>
      <c r="BI161" s="331"/>
      <c r="BJ161" s="331"/>
      <c r="BK161" s="529"/>
    </row>
    <row r="162" spans="1:63" ht="15.75" customHeight="1">
      <c r="A162" s="502"/>
      <c r="B162" s="7501"/>
      <c r="C162" s="7505" t="s">
        <v>697</v>
      </c>
      <c r="D162" s="7505"/>
      <c r="E162" s="7505"/>
      <c r="F162" s="7505"/>
      <c r="G162" s="7505"/>
      <c r="H162" s="7493"/>
      <c r="I162" s="331"/>
      <c r="J162" s="331"/>
      <c r="K162" s="331"/>
      <c r="L162" s="331"/>
      <c r="M162" s="331"/>
      <c r="N162" s="331"/>
      <c r="O162" s="331"/>
      <c r="P162" s="331"/>
      <c r="Q162" s="331"/>
      <c r="R162" s="331"/>
      <c r="S162" s="331"/>
      <c r="T162" s="331"/>
      <c r="U162" s="529"/>
      <c r="W162" s="7501"/>
      <c r="X162" s="7505" t="s">
        <v>697</v>
      </c>
      <c r="Y162" s="7505"/>
      <c r="Z162" s="7505"/>
      <c r="AA162" s="7505"/>
      <c r="AB162" s="7505"/>
      <c r="AC162" s="7493"/>
      <c r="AD162" s="331"/>
      <c r="AE162" s="331"/>
      <c r="AF162" s="331"/>
      <c r="AG162" s="331"/>
      <c r="AH162" s="331"/>
      <c r="AI162" s="331"/>
      <c r="AJ162" s="331"/>
      <c r="AK162" s="331"/>
      <c r="AL162" s="331"/>
      <c r="AM162" s="331"/>
      <c r="AN162" s="331"/>
      <c r="AO162" s="331"/>
      <c r="AP162" s="529"/>
      <c r="AR162" s="7501"/>
      <c r="AS162" s="7505" t="s">
        <v>697</v>
      </c>
      <c r="AT162" s="7505"/>
      <c r="AU162" s="7505"/>
      <c r="AV162" s="7505"/>
      <c r="AW162" s="7505"/>
      <c r="AX162" s="7493"/>
      <c r="AY162" s="331"/>
      <c r="AZ162" s="331"/>
      <c r="BA162" s="331"/>
      <c r="BB162" s="331"/>
      <c r="BC162" s="331"/>
      <c r="BD162" s="331"/>
      <c r="BE162" s="331"/>
      <c r="BF162" s="331"/>
      <c r="BG162" s="331"/>
      <c r="BH162" s="331"/>
      <c r="BI162" s="331"/>
      <c r="BJ162" s="331"/>
      <c r="BK162" s="529"/>
    </row>
    <row r="163" spans="1:63">
      <c r="A163" s="502"/>
      <c r="B163" s="7501"/>
      <c r="C163" s="7505"/>
      <c r="D163" s="7505"/>
      <c r="E163" s="7505"/>
      <c r="F163" s="7505"/>
      <c r="G163" s="7505"/>
      <c r="H163" s="7493"/>
      <c r="I163" s="331"/>
      <c r="J163" s="331"/>
      <c r="K163" s="331"/>
      <c r="L163" s="331"/>
      <c r="M163" s="331"/>
      <c r="N163" s="331"/>
      <c r="O163" s="331"/>
      <c r="P163" s="331"/>
      <c r="Q163" s="331"/>
      <c r="R163" s="331"/>
      <c r="S163" s="331"/>
      <c r="T163" s="331"/>
      <c r="U163" s="529"/>
      <c r="W163" s="7501"/>
      <c r="X163" s="7505"/>
      <c r="Y163" s="7505"/>
      <c r="Z163" s="7505"/>
      <c r="AA163" s="7505"/>
      <c r="AB163" s="7505"/>
      <c r="AC163" s="7493"/>
      <c r="AD163" s="331"/>
      <c r="AE163" s="331"/>
      <c r="AF163" s="331"/>
      <c r="AG163" s="331"/>
      <c r="AH163" s="331"/>
      <c r="AI163" s="331"/>
      <c r="AJ163" s="331"/>
      <c r="AK163" s="331"/>
      <c r="AL163" s="331"/>
      <c r="AM163" s="331"/>
      <c r="AN163" s="331"/>
      <c r="AO163" s="331"/>
      <c r="AP163" s="529"/>
      <c r="AR163" s="7501"/>
      <c r="AS163" s="7505"/>
      <c r="AT163" s="7505"/>
      <c r="AU163" s="7505"/>
      <c r="AV163" s="7505"/>
      <c r="AW163" s="7505"/>
      <c r="AX163" s="7493"/>
      <c r="AY163" s="331"/>
      <c r="AZ163" s="331"/>
      <c r="BA163" s="331"/>
      <c r="BB163" s="331"/>
      <c r="BC163" s="331"/>
      <c r="BD163" s="331"/>
      <c r="BE163" s="331"/>
      <c r="BF163" s="331"/>
      <c r="BG163" s="331"/>
      <c r="BH163" s="331"/>
      <c r="BI163" s="331"/>
      <c r="BJ163" s="331"/>
      <c r="BK163" s="529"/>
    </row>
    <row r="164" spans="1:63">
      <c r="A164" s="502"/>
      <c r="B164" s="7501"/>
      <c r="C164" s="711" t="s">
        <v>699</v>
      </c>
      <c r="D164" s="712"/>
      <c r="E164" s="712"/>
      <c r="F164" s="712"/>
      <c r="G164" s="712"/>
      <c r="H164" s="713"/>
      <c r="I164" s="331"/>
      <c r="J164" s="331"/>
      <c r="K164" s="331"/>
      <c r="L164" s="331"/>
      <c r="M164" s="331"/>
      <c r="N164" s="331"/>
      <c r="O164" s="331"/>
      <c r="P164" s="331"/>
      <c r="Q164" s="331"/>
      <c r="R164" s="331"/>
      <c r="S164" s="331"/>
      <c r="T164" s="331"/>
      <c r="U164" s="529"/>
      <c r="W164" s="7501"/>
      <c r="X164" s="711" t="s">
        <v>699</v>
      </c>
      <c r="Y164" s="712"/>
      <c r="Z164" s="712"/>
      <c r="AA164" s="712"/>
      <c r="AB164" s="712"/>
      <c r="AC164" s="713"/>
      <c r="AD164" s="331"/>
      <c r="AE164" s="331"/>
      <c r="AF164" s="331"/>
      <c r="AG164" s="331"/>
      <c r="AH164" s="331"/>
      <c r="AI164" s="331"/>
      <c r="AJ164" s="331"/>
      <c r="AK164" s="331"/>
      <c r="AL164" s="331"/>
      <c r="AM164" s="331"/>
      <c r="AN164" s="331"/>
      <c r="AO164" s="331"/>
      <c r="AP164" s="529"/>
      <c r="AR164" s="7501"/>
      <c r="AS164" s="711" t="s">
        <v>699</v>
      </c>
      <c r="AT164" s="712"/>
      <c r="AU164" s="712"/>
      <c r="AV164" s="712"/>
      <c r="AW164" s="712"/>
      <c r="AX164" s="713"/>
      <c r="AY164" s="331"/>
      <c r="AZ164" s="331"/>
      <c r="BA164" s="331"/>
      <c r="BB164" s="331"/>
      <c r="BC164" s="331"/>
      <c r="BD164" s="331"/>
      <c r="BE164" s="331"/>
      <c r="BF164" s="331"/>
      <c r="BG164" s="331"/>
      <c r="BH164" s="331"/>
      <c r="BI164" s="331"/>
      <c r="BJ164" s="331"/>
      <c r="BK164" s="529"/>
    </row>
    <row r="165" spans="1:63">
      <c r="A165" s="502"/>
      <c r="B165" s="7501"/>
      <c r="C165" s="7496" t="s">
        <v>701</v>
      </c>
      <c r="D165" s="7496"/>
      <c r="E165" s="7496"/>
      <c r="F165" s="7496"/>
      <c r="G165" s="7496"/>
      <c r="H165" s="7497"/>
      <c r="I165" s="331"/>
      <c r="J165" s="331"/>
      <c r="K165" s="331"/>
      <c r="L165" s="331"/>
      <c r="M165" s="331"/>
      <c r="N165" s="331"/>
      <c r="O165" s="331"/>
      <c r="P165" s="331"/>
      <c r="Q165" s="331"/>
      <c r="R165" s="331"/>
      <c r="S165" s="331"/>
      <c r="T165" s="331"/>
      <c r="U165" s="529"/>
      <c r="W165" s="7501"/>
      <c r="X165" s="7496" t="s">
        <v>701</v>
      </c>
      <c r="Y165" s="7496"/>
      <c r="Z165" s="7496"/>
      <c r="AA165" s="7496"/>
      <c r="AB165" s="7496"/>
      <c r="AC165" s="7497"/>
      <c r="AD165" s="331"/>
      <c r="AE165" s="331"/>
      <c r="AF165" s="331"/>
      <c r="AG165" s="331"/>
      <c r="AH165" s="331"/>
      <c r="AI165" s="331"/>
      <c r="AJ165" s="331"/>
      <c r="AK165" s="331"/>
      <c r="AL165" s="331"/>
      <c r="AM165" s="331"/>
      <c r="AN165" s="331"/>
      <c r="AO165" s="331"/>
      <c r="AP165" s="529"/>
      <c r="AR165" s="7501"/>
      <c r="AS165" s="7496" t="s">
        <v>701</v>
      </c>
      <c r="AT165" s="7496"/>
      <c r="AU165" s="7496"/>
      <c r="AV165" s="7496"/>
      <c r="AW165" s="7496"/>
      <c r="AX165" s="7497"/>
      <c r="AY165" s="331"/>
      <c r="AZ165" s="331"/>
      <c r="BA165" s="331"/>
      <c r="BB165" s="331"/>
      <c r="BC165" s="331"/>
      <c r="BD165" s="331"/>
      <c r="BE165" s="331"/>
      <c r="BF165" s="331"/>
      <c r="BG165" s="331"/>
      <c r="BH165" s="331"/>
      <c r="BI165" s="331"/>
      <c r="BJ165" s="331"/>
      <c r="BK165" s="529"/>
    </row>
    <row r="166" spans="1:63">
      <c r="A166" s="502"/>
      <c r="B166" s="7501"/>
      <c r="C166" s="714" t="s">
        <v>703</v>
      </c>
      <c r="D166" s="543"/>
      <c r="E166" s="543"/>
      <c r="F166" s="718" t="s">
        <v>708</v>
      </c>
      <c r="G166" s="543"/>
      <c r="H166" s="676"/>
      <c r="I166" s="331"/>
      <c r="J166" s="331"/>
      <c r="K166" s="331"/>
      <c r="L166" s="331"/>
      <c r="M166" s="331"/>
      <c r="N166" s="331"/>
      <c r="O166" s="331"/>
      <c r="P166" s="331"/>
      <c r="Q166" s="331"/>
      <c r="R166" s="331"/>
      <c r="S166" s="331"/>
      <c r="T166" s="331"/>
      <c r="U166" s="529"/>
      <c r="W166" s="7501"/>
      <c r="X166" s="714" t="s">
        <v>703</v>
      </c>
      <c r="Y166" s="543"/>
      <c r="Z166" s="543"/>
      <c r="AA166" s="718" t="s">
        <v>708</v>
      </c>
      <c r="AB166" s="543"/>
      <c r="AC166" s="676"/>
      <c r="AD166" s="331"/>
      <c r="AE166" s="331"/>
      <c r="AF166" s="331"/>
      <c r="AG166" s="331"/>
      <c r="AH166" s="331"/>
      <c r="AI166" s="331"/>
      <c r="AJ166" s="331"/>
      <c r="AK166" s="331"/>
      <c r="AL166" s="331"/>
      <c r="AM166" s="331"/>
      <c r="AN166" s="331"/>
      <c r="AO166" s="331"/>
      <c r="AP166" s="529"/>
      <c r="AR166" s="7501"/>
      <c r="AS166" s="714" t="s">
        <v>703</v>
      </c>
      <c r="AT166" s="543"/>
      <c r="AU166" s="543"/>
      <c r="AV166" s="718" t="s">
        <v>708</v>
      </c>
      <c r="AW166" s="543"/>
      <c r="AX166" s="676"/>
      <c r="AY166" s="331"/>
      <c r="AZ166" s="331"/>
      <c r="BA166" s="331"/>
      <c r="BB166" s="331"/>
      <c r="BC166" s="331"/>
      <c r="BD166" s="331"/>
      <c r="BE166" s="331"/>
      <c r="BF166" s="331"/>
      <c r="BG166" s="331"/>
      <c r="BH166" s="331"/>
      <c r="BI166" s="331"/>
      <c r="BJ166" s="331"/>
      <c r="BK166" s="529"/>
    </row>
    <row r="167" spans="1:63">
      <c r="A167" s="502"/>
      <c r="B167" s="7501"/>
      <c r="C167" s="715" t="s">
        <v>680</v>
      </c>
      <c r="D167" s="543"/>
      <c r="E167" s="543"/>
      <c r="F167" s="719" t="s">
        <v>711</v>
      </c>
      <c r="G167" s="543"/>
      <c r="H167" s="676"/>
      <c r="I167" s="331"/>
      <c r="J167" s="331"/>
      <c r="K167" s="331"/>
      <c r="L167" s="331"/>
      <c r="M167" s="331"/>
      <c r="N167" s="331"/>
      <c r="O167" s="331"/>
      <c r="P167" s="331"/>
      <c r="Q167" s="331"/>
      <c r="R167" s="331"/>
      <c r="S167" s="331"/>
      <c r="T167" s="331"/>
      <c r="U167" s="529"/>
      <c r="W167" s="7501"/>
      <c r="X167" s="715" t="s">
        <v>680</v>
      </c>
      <c r="Y167" s="543"/>
      <c r="Z167" s="543"/>
      <c r="AA167" s="719" t="s">
        <v>711</v>
      </c>
      <c r="AB167" s="543"/>
      <c r="AC167" s="676"/>
      <c r="AD167" s="331"/>
      <c r="AE167" s="331"/>
      <c r="AF167" s="331"/>
      <c r="AG167" s="331"/>
      <c r="AH167" s="331"/>
      <c r="AI167" s="331"/>
      <c r="AJ167" s="331"/>
      <c r="AK167" s="331"/>
      <c r="AL167" s="331"/>
      <c r="AM167" s="331"/>
      <c r="AN167" s="331"/>
      <c r="AO167" s="331"/>
      <c r="AP167" s="529"/>
      <c r="AR167" s="7501"/>
      <c r="AS167" s="715" t="s">
        <v>680</v>
      </c>
      <c r="AT167" s="543"/>
      <c r="AU167" s="543"/>
      <c r="AV167" s="719" t="s">
        <v>711</v>
      </c>
      <c r="AW167" s="543"/>
      <c r="AX167" s="676"/>
      <c r="AY167" s="331"/>
      <c r="AZ167" s="331"/>
      <c r="BA167" s="331"/>
      <c r="BB167" s="331"/>
      <c r="BC167" s="331"/>
      <c r="BD167" s="331"/>
      <c r="BE167" s="331"/>
      <c r="BF167" s="331"/>
      <c r="BG167" s="331"/>
      <c r="BH167" s="331"/>
      <c r="BI167" s="331"/>
      <c r="BJ167" s="331"/>
      <c r="BK167" s="529"/>
    </row>
    <row r="168" spans="1:63">
      <c r="A168" s="502"/>
      <c r="B168" s="7501"/>
      <c r="C168" s="717" t="s">
        <v>707</v>
      </c>
      <c r="D168" s="543"/>
      <c r="E168" s="543"/>
      <c r="F168" s="722" t="s">
        <v>714</v>
      </c>
      <c r="G168" s="543"/>
      <c r="H168" s="676"/>
      <c r="I168" s="331"/>
      <c r="J168" s="331"/>
      <c r="K168" s="331"/>
      <c r="L168" s="331"/>
      <c r="M168" s="331"/>
      <c r="N168" s="331"/>
      <c r="O168" s="331"/>
      <c r="P168" s="331"/>
      <c r="Q168" s="331"/>
      <c r="R168" s="331"/>
      <c r="S168" s="331"/>
      <c r="T168" s="331"/>
      <c r="U168" s="529"/>
      <c r="W168" s="7501"/>
      <c r="X168" s="717" t="s">
        <v>707</v>
      </c>
      <c r="Y168" s="543"/>
      <c r="Z168" s="543"/>
      <c r="AA168" s="722" t="s">
        <v>714</v>
      </c>
      <c r="AB168" s="543"/>
      <c r="AC168" s="676"/>
      <c r="AD168" s="331"/>
      <c r="AE168" s="331"/>
      <c r="AF168" s="331"/>
      <c r="AG168" s="331"/>
      <c r="AH168" s="331"/>
      <c r="AI168" s="331"/>
      <c r="AJ168" s="331"/>
      <c r="AK168" s="331"/>
      <c r="AL168" s="331"/>
      <c r="AM168" s="331"/>
      <c r="AN168" s="331"/>
      <c r="AO168" s="331"/>
      <c r="AP168" s="529"/>
      <c r="AR168" s="7501"/>
      <c r="AS168" s="717" t="s">
        <v>707</v>
      </c>
      <c r="AT168" s="543"/>
      <c r="AU168" s="543"/>
      <c r="AV168" s="722" t="s">
        <v>714</v>
      </c>
      <c r="AW168" s="543"/>
      <c r="AX168" s="676"/>
      <c r="AY168" s="331"/>
      <c r="AZ168" s="331"/>
      <c r="BA168" s="331"/>
      <c r="BB168" s="331"/>
      <c r="BC168" s="331"/>
      <c r="BD168" s="331"/>
      <c r="BE168" s="331"/>
      <c r="BF168" s="331"/>
      <c r="BG168" s="331"/>
      <c r="BH168" s="331"/>
      <c r="BI168" s="331"/>
      <c r="BJ168" s="331"/>
      <c r="BK168" s="529"/>
    </row>
    <row r="169" spans="1:63">
      <c r="A169" s="502"/>
      <c r="B169" s="7501"/>
      <c r="C169" s="651"/>
      <c r="D169" s="690" t="s">
        <v>710</v>
      </c>
      <c r="E169" s="687" t="s">
        <v>686</v>
      </c>
      <c r="F169" s="769"/>
      <c r="G169" s="543"/>
      <c r="H169" s="676"/>
      <c r="I169" s="331"/>
      <c r="J169" s="331"/>
      <c r="K169" s="331"/>
      <c r="L169" s="331"/>
      <c r="M169" s="331"/>
      <c r="N169" s="331"/>
      <c r="O169" s="331"/>
      <c r="P169" s="331"/>
      <c r="Q169" s="331"/>
      <c r="R169" s="331"/>
      <c r="S169" s="331"/>
      <c r="T169" s="331"/>
      <c r="U169" s="529"/>
      <c r="W169" s="7501"/>
      <c r="X169" s="651"/>
      <c r="Y169" s="690" t="s">
        <v>710</v>
      </c>
      <c r="Z169" s="687" t="s">
        <v>686</v>
      </c>
      <c r="AA169" s="769"/>
      <c r="AB169" s="543"/>
      <c r="AC169" s="676"/>
      <c r="AD169" s="331"/>
      <c r="AE169" s="331"/>
      <c r="AF169" s="331"/>
      <c r="AG169" s="331"/>
      <c r="AH169" s="331"/>
      <c r="AI169" s="331"/>
      <c r="AJ169" s="331"/>
      <c r="AK169" s="331"/>
      <c r="AL169" s="331"/>
      <c r="AM169" s="331"/>
      <c r="AN169" s="331"/>
      <c r="AO169" s="331"/>
      <c r="AP169" s="529"/>
      <c r="AR169" s="7501"/>
      <c r="AS169" s="651"/>
      <c r="AT169" s="690" t="s">
        <v>710</v>
      </c>
      <c r="AU169" s="687" t="s">
        <v>686</v>
      </c>
      <c r="AV169" s="769"/>
      <c r="AW169" s="543"/>
      <c r="AX169" s="676"/>
      <c r="AY169" s="331"/>
      <c r="AZ169" s="331"/>
      <c r="BA169" s="331"/>
      <c r="BB169" s="331"/>
      <c r="BC169" s="331"/>
      <c r="BD169" s="331"/>
      <c r="BE169" s="331"/>
      <c r="BF169" s="331"/>
      <c r="BG169" s="331"/>
      <c r="BH169" s="331"/>
      <c r="BI169" s="331"/>
      <c r="BJ169" s="331"/>
      <c r="BK169" s="529"/>
    </row>
    <row r="170" spans="1:63">
      <c r="A170" s="502"/>
      <c r="B170" s="7501"/>
      <c r="C170" s="653"/>
      <c r="D170" s="720" t="s">
        <v>712</v>
      </c>
      <c r="E170" s="721" t="s">
        <v>713</v>
      </c>
      <c r="F170" s="769"/>
      <c r="G170" s="543"/>
      <c r="H170" s="676"/>
      <c r="I170" s="331"/>
      <c r="J170" s="331"/>
      <c r="K170" s="331"/>
      <c r="L170" s="331"/>
      <c r="M170" s="331"/>
      <c r="N170" s="331"/>
      <c r="O170" s="331"/>
      <c r="P170" s="331"/>
      <c r="Q170" s="331"/>
      <c r="R170" s="331"/>
      <c r="S170" s="331"/>
      <c r="T170" s="331"/>
      <c r="U170" s="529"/>
      <c r="W170" s="7501"/>
      <c r="X170" s="653"/>
      <c r="Y170" s="720" t="s">
        <v>712</v>
      </c>
      <c r="Z170" s="721" t="s">
        <v>713</v>
      </c>
      <c r="AA170" s="769"/>
      <c r="AB170" s="543"/>
      <c r="AC170" s="676"/>
      <c r="AD170" s="331"/>
      <c r="AE170" s="331"/>
      <c r="AF170" s="331"/>
      <c r="AG170" s="331"/>
      <c r="AH170" s="331"/>
      <c r="AI170" s="331"/>
      <c r="AJ170" s="331"/>
      <c r="AK170" s="331"/>
      <c r="AL170" s="331"/>
      <c r="AM170" s="331"/>
      <c r="AN170" s="331"/>
      <c r="AO170" s="331"/>
      <c r="AP170" s="529"/>
      <c r="AR170" s="7501"/>
      <c r="AS170" s="653"/>
      <c r="AT170" s="720" t="s">
        <v>712</v>
      </c>
      <c r="AU170" s="721" t="s">
        <v>713</v>
      </c>
      <c r="AV170" s="769"/>
      <c r="AW170" s="543"/>
      <c r="AX170" s="676"/>
      <c r="AY170" s="331"/>
      <c r="AZ170" s="331"/>
      <c r="BA170" s="331"/>
      <c r="BB170" s="331"/>
      <c r="BC170" s="331"/>
      <c r="BD170" s="331"/>
      <c r="BE170" s="331"/>
      <c r="BF170" s="331"/>
      <c r="BG170" s="331"/>
      <c r="BH170" s="331"/>
      <c r="BI170" s="331"/>
      <c r="BJ170" s="331"/>
      <c r="BK170" s="529"/>
    </row>
    <row r="171" spans="1:63">
      <c r="A171" s="502"/>
      <c r="B171" s="7501"/>
      <c r="C171" s="723"/>
      <c r="D171" s="543"/>
      <c r="E171" s="770" t="str">
        <f>"Collez ❹ Kg cru ou ❺ Kg cuit cellule "&amp;ADDRESS(ROW(F151),COLUMN(F151),4)</f>
        <v>Collez ❹ Kg cru ou ❺ Kg cuit cellule F151</v>
      </c>
      <c r="F171" s="771"/>
      <c r="G171" s="772"/>
      <c r="H171" s="725"/>
      <c r="I171" s="331"/>
      <c r="J171" s="331"/>
      <c r="K171" s="331"/>
      <c r="L171" s="331"/>
      <c r="M171" s="331"/>
      <c r="N171" s="331"/>
      <c r="O171" s="331"/>
      <c r="P171" s="331"/>
      <c r="Q171" s="331"/>
      <c r="R171" s="331"/>
      <c r="S171" s="331"/>
      <c r="T171" s="331"/>
      <c r="U171" s="529"/>
      <c r="W171" s="7501"/>
      <c r="X171" s="723"/>
      <c r="Y171" s="543"/>
      <c r="Z171" s="770" t="str">
        <f>"Collez ❹ Kg cru ou ❺ Kg cuit cellule "&amp;ADDRESS(ROW(AA151),COLUMN(AA151),4)</f>
        <v>Collez ❹ Kg cru ou ❺ Kg cuit cellule AA151</v>
      </c>
      <c r="AA171" s="771"/>
      <c r="AB171" s="772"/>
      <c r="AC171" s="725"/>
      <c r="AD171" s="331"/>
      <c r="AE171" s="331"/>
      <c r="AF171" s="331"/>
      <c r="AG171" s="331"/>
      <c r="AH171" s="331"/>
      <c r="AI171" s="331"/>
      <c r="AJ171" s="331"/>
      <c r="AK171" s="331"/>
      <c r="AL171" s="331"/>
      <c r="AM171" s="331"/>
      <c r="AN171" s="331"/>
      <c r="AO171" s="331"/>
      <c r="AP171" s="529"/>
      <c r="AR171" s="7501"/>
      <c r="AS171" s="723"/>
      <c r="AT171" s="543"/>
      <c r="AU171" s="770" t="str">
        <f>"Collez ❹ Kg cru ou ❺ Kg cuit cellule "&amp;ADDRESS(ROW(AV151),COLUMN(AV151),4)</f>
        <v>Collez ❹ Kg cru ou ❺ Kg cuit cellule AV151</v>
      </c>
      <c r="AV171" s="771"/>
      <c r="AW171" s="772"/>
      <c r="AX171" s="725"/>
      <c r="AY171" s="331"/>
      <c r="AZ171" s="331"/>
      <c r="BA171" s="331"/>
      <c r="BB171" s="331"/>
      <c r="BC171" s="331"/>
      <c r="BD171" s="331"/>
      <c r="BE171" s="331"/>
      <c r="BF171" s="331"/>
      <c r="BG171" s="331"/>
      <c r="BH171" s="331"/>
      <c r="BI171" s="331"/>
      <c r="BJ171" s="331"/>
      <c r="BK171" s="529"/>
    </row>
    <row r="172" spans="1:63">
      <c r="A172" s="502"/>
      <c r="B172" s="7501"/>
      <c r="C172" s="575" t="s">
        <v>730</v>
      </c>
      <c r="D172" s="420"/>
      <c r="E172" s="724"/>
      <c r="F172" s="575" t="s">
        <v>731</v>
      </c>
      <c r="G172" s="543"/>
      <c r="H172" s="676"/>
      <c r="I172" s="331"/>
      <c r="J172" s="331"/>
      <c r="K172" s="331"/>
      <c r="L172" s="331"/>
      <c r="M172" s="331"/>
      <c r="N172" s="331"/>
      <c r="O172" s="331"/>
      <c r="P172" s="331"/>
      <c r="Q172" s="331"/>
      <c r="R172" s="331"/>
      <c r="S172" s="331"/>
      <c r="T172" s="331"/>
      <c r="U172" s="529"/>
      <c r="W172" s="7501"/>
      <c r="X172" s="575" t="s">
        <v>730</v>
      </c>
      <c r="Y172" s="420"/>
      <c r="Z172" s="724"/>
      <c r="AA172" s="575" t="s">
        <v>731</v>
      </c>
      <c r="AB172" s="543"/>
      <c r="AC172" s="676"/>
      <c r="AD172" s="331"/>
      <c r="AE172" s="331"/>
      <c r="AF172" s="331"/>
      <c r="AG172" s="331"/>
      <c r="AH172" s="331"/>
      <c r="AI172" s="331"/>
      <c r="AJ172" s="331"/>
      <c r="AK172" s="331"/>
      <c r="AL172" s="331"/>
      <c r="AM172" s="331"/>
      <c r="AN172" s="331"/>
      <c r="AO172" s="331"/>
      <c r="AP172" s="529"/>
      <c r="AR172" s="7501"/>
      <c r="AS172" s="575" t="s">
        <v>730</v>
      </c>
      <c r="AT172" s="420"/>
      <c r="AU172" s="724"/>
      <c r="AV172" s="575" t="s">
        <v>731</v>
      </c>
      <c r="AW172" s="543"/>
      <c r="AX172" s="676"/>
      <c r="AY172" s="331"/>
      <c r="AZ172" s="331"/>
      <c r="BA172" s="331"/>
      <c r="BB172" s="331"/>
      <c r="BC172" s="331"/>
      <c r="BD172" s="331"/>
      <c r="BE172" s="331"/>
      <c r="BF172" s="331"/>
      <c r="BG172" s="331"/>
      <c r="BH172" s="331"/>
      <c r="BI172" s="331"/>
      <c r="BJ172" s="331"/>
      <c r="BK172" s="529"/>
    </row>
    <row r="173" spans="1:63">
      <c r="A173" s="502"/>
      <c r="B173" s="7501"/>
      <c r="C173" s="578">
        <v>12</v>
      </c>
      <c r="D173" s="578">
        <v>11</v>
      </c>
      <c r="E173" s="578">
        <v>11</v>
      </c>
      <c r="F173" s="578">
        <v>11</v>
      </c>
      <c r="G173" s="578">
        <v>11</v>
      </c>
      <c r="H173" s="579">
        <v>11</v>
      </c>
      <c r="I173" s="580" t="s">
        <v>583</v>
      </c>
      <c r="J173" s="331"/>
      <c r="K173" s="331"/>
      <c r="L173" s="331"/>
      <c r="M173" s="331"/>
      <c r="N173" s="331"/>
      <c r="O173" s="331"/>
      <c r="P173" s="331"/>
      <c r="Q173" s="331"/>
      <c r="R173" s="331"/>
      <c r="S173" s="331"/>
      <c r="T173" s="331"/>
      <c r="U173" s="529"/>
      <c r="W173" s="7501"/>
      <c r="X173" s="578">
        <v>12</v>
      </c>
      <c r="Y173" s="578">
        <v>11</v>
      </c>
      <c r="Z173" s="578">
        <v>11</v>
      </c>
      <c r="AA173" s="578">
        <v>11</v>
      </c>
      <c r="AB173" s="578">
        <v>11</v>
      </c>
      <c r="AC173" s="579">
        <v>11</v>
      </c>
      <c r="AD173" s="580" t="s">
        <v>583</v>
      </c>
      <c r="AE173" s="331"/>
      <c r="AF173" s="331"/>
      <c r="AG173" s="331"/>
      <c r="AH173" s="331"/>
      <c r="AI173" s="331"/>
      <c r="AJ173" s="331"/>
      <c r="AK173" s="331"/>
      <c r="AL173" s="331"/>
      <c r="AM173" s="331"/>
      <c r="AN173" s="331"/>
      <c r="AO173" s="331"/>
      <c r="AP173" s="529"/>
      <c r="AR173" s="7501"/>
      <c r="AS173" s="578">
        <v>12</v>
      </c>
      <c r="AT173" s="578">
        <v>11</v>
      </c>
      <c r="AU173" s="578">
        <v>11</v>
      </c>
      <c r="AV173" s="578">
        <v>11</v>
      </c>
      <c r="AW173" s="578">
        <v>11</v>
      </c>
      <c r="AX173" s="579">
        <v>11</v>
      </c>
      <c r="AY173" s="580" t="s">
        <v>583</v>
      </c>
      <c r="AZ173" s="331"/>
      <c r="BA173" s="331"/>
      <c r="BB173" s="331"/>
      <c r="BC173" s="331"/>
      <c r="BD173" s="331"/>
      <c r="BE173" s="331"/>
      <c r="BF173" s="331"/>
      <c r="BG173" s="331"/>
      <c r="BH173" s="331"/>
      <c r="BI173" s="331"/>
      <c r="BJ173" s="331"/>
      <c r="BK173" s="529"/>
    </row>
    <row r="174" spans="1:63" ht="16.5" thickBot="1">
      <c r="A174" s="502"/>
      <c r="B174" s="7502"/>
      <c r="C174" s="587">
        <f t="shared" ref="C174:H174" ca="1" si="6">CELL("largeur",C174)</f>
        <v>13</v>
      </c>
      <c r="D174" s="587">
        <f t="shared" ca="1" si="6"/>
        <v>21</v>
      </c>
      <c r="E174" s="587">
        <f t="shared" ca="1" si="6"/>
        <v>13</v>
      </c>
      <c r="F174" s="587">
        <f t="shared" ca="1" si="6"/>
        <v>13</v>
      </c>
      <c r="G174" s="587">
        <f t="shared" ca="1" si="6"/>
        <v>13</v>
      </c>
      <c r="H174" s="588">
        <f t="shared" ca="1" si="6"/>
        <v>13</v>
      </c>
      <c r="I174" s="580" t="s">
        <v>586</v>
      </c>
      <c r="J174" s="331"/>
      <c r="K174" s="331"/>
      <c r="L174" s="331"/>
      <c r="M174" s="331"/>
      <c r="N174" s="331"/>
      <c r="O174" s="331"/>
      <c r="P174" s="331"/>
      <c r="Q174" s="331"/>
      <c r="R174" s="331"/>
      <c r="S174" s="331"/>
      <c r="T174" s="331"/>
      <c r="U174" s="529"/>
      <c r="W174" s="7502"/>
      <c r="X174" s="587">
        <f t="shared" ref="X174:AC174" ca="1" si="7">CELL("largeur",X174)</f>
        <v>13</v>
      </c>
      <c r="Y174" s="587">
        <f t="shared" ca="1" si="7"/>
        <v>21</v>
      </c>
      <c r="Z174" s="587">
        <f t="shared" ca="1" si="7"/>
        <v>13</v>
      </c>
      <c r="AA174" s="587">
        <f t="shared" ca="1" si="7"/>
        <v>13</v>
      </c>
      <c r="AB174" s="587">
        <f t="shared" ca="1" si="7"/>
        <v>13</v>
      </c>
      <c r="AC174" s="588">
        <f t="shared" ca="1" si="7"/>
        <v>13</v>
      </c>
      <c r="AD174" s="580" t="s">
        <v>586</v>
      </c>
      <c r="AE174" s="331"/>
      <c r="AF174" s="331"/>
      <c r="AG174" s="331"/>
      <c r="AH174" s="331"/>
      <c r="AI174" s="331"/>
      <c r="AJ174" s="331"/>
      <c r="AK174" s="331"/>
      <c r="AL174" s="331"/>
      <c r="AM174" s="331"/>
      <c r="AN174" s="331"/>
      <c r="AO174" s="331"/>
      <c r="AP174" s="529"/>
      <c r="AR174" s="7502"/>
      <c r="AS174" s="587">
        <f t="shared" ref="AS174:AX174" ca="1" si="8">CELL("largeur",AS174)</f>
        <v>13</v>
      </c>
      <c r="AT174" s="587">
        <f t="shared" ca="1" si="8"/>
        <v>21</v>
      </c>
      <c r="AU174" s="587">
        <f t="shared" ca="1" si="8"/>
        <v>13</v>
      </c>
      <c r="AV174" s="587">
        <f t="shared" ca="1" si="8"/>
        <v>13</v>
      </c>
      <c r="AW174" s="587">
        <f t="shared" ca="1" si="8"/>
        <v>13</v>
      </c>
      <c r="AX174" s="588">
        <f t="shared" ca="1" si="8"/>
        <v>13</v>
      </c>
      <c r="AY174" s="580" t="s">
        <v>586</v>
      </c>
      <c r="AZ174" s="331"/>
      <c r="BA174" s="331"/>
      <c r="BB174" s="331"/>
      <c r="BC174" s="331"/>
      <c r="BD174" s="331"/>
      <c r="BE174" s="331"/>
      <c r="BF174" s="331"/>
      <c r="BG174" s="331"/>
      <c r="BH174" s="331"/>
      <c r="BI174" s="331"/>
      <c r="BJ174" s="331"/>
      <c r="BK174" s="529"/>
    </row>
    <row r="175" spans="1:63" ht="16.5" thickBot="1">
      <c r="A175" s="502"/>
      <c r="B175" s="505"/>
      <c r="C175" s="502"/>
      <c r="D175" s="502"/>
      <c r="E175" s="502"/>
      <c r="F175" s="502"/>
      <c r="G175" s="502"/>
      <c r="H175" s="502"/>
      <c r="I175" s="331"/>
      <c r="J175" s="331"/>
      <c r="K175" s="331"/>
      <c r="L175" s="331"/>
      <c r="M175" s="331"/>
      <c r="N175" s="331"/>
      <c r="O175" s="331"/>
      <c r="P175" s="331"/>
      <c r="Q175" s="331"/>
      <c r="R175" s="331"/>
      <c r="S175" s="331"/>
      <c r="T175" s="331"/>
      <c r="U175" s="529"/>
      <c r="W175" s="505"/>
      <c r="X175" s="502"/>
      <c r="Y175" s="502"/>
      <c r="Z175" s="502"/>
      <c r="AA175" s="502"/>
      <c r="AB175" s="502"/>
      <c r="AC175" s="502"/>
      <c r="AD175" s="331"/>
      <c r="AE175" s="331"/>
      <c r="AF175" s="331"/>
      <c r="AG175" s="331"/>
      <c r="AH175" s="331"/>
      <c r="AI175" s="331"/>
      <c r="AJ175" s="331"/>
      <c r="AK175" s="331"/>
      <c r="AL175" s="331"/>
      <c r="AM175" s="331"/>
      <c r="AN175" s="331"/>
      <c r="AO175" s="331"/>
      <c r="AP175" s="529"/>
      <c r="AR175" s="505"/>
      <c r="AS175" s="502"/>
      <c r="AT175" s="502"/>
      <c r="AU175" s="502"/>
      <c r="AV175" s="502"/>
      <c r="AW175" s="502"/>
      <c r="AX175" s="502"/>
      <c r="AY175" s="331"/>
      <c r="AZ175" s="331"/>
      <c r="BA175" s="331"/>
      <c r="BB175" s="331"/>
      <c r="BC175" s="331"/>
      <c r="BD175" s="331"/>
      <c r="BE175" s="331"/>
      <c r="BF175" s="331"/>
      <c r="BG175" s="331"/>
      <c r="BH175" s="331"/>
      <c r="BI175" s="331"/>
      <c r="BJ175" s="331"/>
      <c r="BK175" s="529"/>
    </row>
    <row r="176" spans="1:63" ht="23.25">
      <c r="A176" s="502"/>
      <c r="B176" s="7498" t="s">
        <v>252</v>
      </c>
      <c r="C176" s="7500" t="s">
        <v>671</v>
      </c>
      <c r="D176" s="7500"/>
      <c r="E176" s="7500"/>
      <c r="F176" s="7500"/>
      <c r="G176" s="773"/>
      <c r="H176" s="774" t="str">
        <f>E184</f>
        <v>Morceaux</v>
      </c>
      <c r="I176" s="331"/>
      <c r="J176" s="331"/>
      <c r="K176" s="331"/>
      <c r="L176" s="331"/>
      <c r="M176" s="331"/>
      <c r="N176" s="331"/>
      <c r="O176" s="331"/>
      <c r="P176" s="331"/>
      <c r="Q176" s="331"/>
      <c r="R176" s="331"/>
      <c r="S176" s="331"/>
      <c r="T176" s="331"/>
      <c r="U176" s="529"/>
      <c r="W176" s="7498" t="s">
        <v>252</v>
      </c>
      <c r="X176" s="7500" t="s">
        <v>671</v>
      </c>
      <c r="Y176" s="7500"/>
      <c r="Z176" s="7500"/>
      <c r="AA176" s="7500"/>
      <c r="AB176" s="773"/>
      <c r="AC176" s="774" t="str">
        <f>Z184</f>
        <v>Morceaux</v>
      </c>
      <c r="AD176" s="331"/>
      <c r="AE176" s="331"/>
      <c r="AF176" s="331"/>
      <c r="AG176" s="331"/>
      <c r="AH176" s="331"/>
      <c r="AI176" s="331"/>
      <c r="AJ176" s="331"/>
      <c r="AK176" s="331"/>
      <c r="AL176" s="331"/>
      <c r="AM176" s="331"/>
      <c r="AN176" s="331"/>
      <c r="AO176" s="331"/>
      <c r="AP176" s="529"/>
      <c r="AR176" s="7498" t="s">
        <v>252</v>
      </c>
      <c r="AS176" s="7500" t="s">
        <v>671</v>
      </c>
      <c r="AT176" s="7500"/>
      <c r="AU176" s="7500"/>
      <c r="AV176" s="7500"/>
      <c r="AW176" s="773"/>
      <c r="AX176" s="774" t="str">
        <f>AU184</f>
        <v>Morceaux</v>
      </c>
      <c r="AY176" s="331"/>
      <c r="AZ176" s="331"/>
      <c r="BA176" s="331"/>
      <c r="BB176" s="331"/>
      <c r="BC176" s="331"/>
      <c r="BD176" s="331"/>
      <c r="BE176" s="331"/>
      <c r="BF176" s="331"/>
      <c r="BG176" s="331"/>
      <c r="BH176" s="331"/>
      <c r="BI176" s="331"/>
      <c r="BJ176" s="331"/>
      <c r="BK176" s="529"/>
    </row>
    <row r="177" spans="1:63">
      <c r="A177" s="502"/>
      <c r="B177" s="7499"/>
      <c r="C177" s="775"/>
      <c r="D177" s="775"/>
      <c r="E177" s="776"/>
      <c r="F177" s="777" t="s">
        <v>674</v>
      </c>
      <c r="G177" s="778" t="str">
        <f>E186</f>
        <v>cru</v>
      </c>
      <c r="H177" s="779"/>
      <c r="I177" s="331"/>
      <c r="J177" s="331"/>
      <c r="K177" s="331"/>
      <c r="L177" s="331"/>
      <c r="M177" s="331"/>
      <c r="N177" s="331"/>
      <c r="O177" s="331"/>
      <c r="P177" s="331"/>
      <c r="Q177" s="331"/>
      <c r="R177" s="331"/>
      <c r="S177" s="331"/>
      <c r="T177" s="331"/>
      <c r="U177" s="529"/>
      <c r="W177" s="7499"/>
      <c r="X177" s="775"/>
      <c r="Y177" s="775"/>
      <c r="Z177" s="776"/>
      <c r="AA177" s="777" t="s">
        <v>674</v>
      </c>
      <c r="AB177" s="778" t="str">
        <f>Z186</f>
        <v>cru</v>
      </c>
      <c r="AC177" s="779"/>
      <c r="AD177" s="331"/>
      <c r="AE177" s="331"/>
      <c r="AF177" s="331"/>
      <c r="AG177" s="331"/>
      <c r="AH177" s="331"/>
      <c r="AI177" s="331"/>
      <c r="AJ177" s="331"/>
      <c r="AK177" s="331"/>
      <c r="AL177" s="331"/>
      <c r="AM177" s="331"/>
      <c r="AN177" s="331"/>
      <c r="AO177" s="331"/>
      <c r="AP177" s="529"/>
      <c r="AR177" s="7499"/>
      <c r="AS177" s="775"/>
      <c r="AT177" s="775"/>
      <c r="AU177" s="776"/>
      <c r="AV177" s="777" t="s">
        <v>674</v>
      </c>
      <c r="AW177" s="778" t="str">
        <f>AU186</f>
        <v>cru</v>
      </c>
      <c r="AX177" s="779"/>
      <c r="AY177" s="331"/>
      <c r="AZ177" s="331"/>
      <c r="BA177" s="331"/>
      <c r="BB177" s="331"/>
      <c r="BC177" s="331"/>
      <c r="BD177" s="331"/>
      <c r="BE177" s="331"/>
      <c r="BF177" s="331"/>
      <c r="BG177" s="331"/>
      <c r="BH177" s="331"/>
      <c r="BI177" s="331"/>
      <c r="BJ177" s="331"/>
      <c r="BK177" s="529"/>
    </row>
    <row r="178" spans="1:63" ht="23.25">
      <c r="A178" s="502"/>
      <c r="B178" s="7489">
        <v>3</v>
      </c>
      <c r="C178" s="7491" t="str">
        <f>D182&amp;"  service en "&amp;E184</f>
        <v>Sautés de bœuf  service en Morceaux</v>
      </c>
      <c r="D178" s="7491"/>
      <c r="E178" s="7491"/>
      <c r="F178" s="7491"/>
      <c r="G178" s="7491"/>
      <c r="H178" s="7492"/>
      <c r="I178" s="331"/>
      <c r="J178" s="331"/>
      <c r="K178" s="331"/>
      <c r="L178" s="331"/>
      <c r="M178" s="331"/>
      <c r="N178" s="331"/>
      <c r="O178" s="331"/>
      <c r="P178" s="331"/>
      <c r="Q178" s="331"/>
      <c r="R178" s="331"/>
      <c r="S178" s="331"/>
      <c r="T178" s="331"/>
      <c r="U178" s="529"/>
      <c r="W178" s="7489">
        <v>3</v>
      </c>
      <c r="X178" s="7491" t="str">
        <f>Y182&amp;"  service en "&amp;Z184</f>
        <v>Sautés de bœuf  service en Morceaux</v>
      </c>
      <c r="Y178" s="7491"/>
      <c r="Z178" s="7491"/>
      <c r="AA178" s="7491"/>
      <c r="AB178" s="7491"/>
      <c r="AC178" s="7492"/>
      <c r="AD178" s="331"/>
      <c r="AE178" s="331"/>
      <c r="AF178" s="331"/>
      <c r="AG178" s="331"/>
      <c r="AH178" s="331"/>
      <c r="AI178" s="331"/>
      <c r="AJ178" s="331"/>
      <c r="AK178" s="331"/>
      <c r="AL178" s="331"/>
      <c r="AM178" s="331"/>
      <c r="AN178" s="331"/>
      <c r="AO178" s="331"/>
      <c r="AP178" s="529"/>
      <c r="AR178" s="7489">
        <v>3</v>
      </c>
      <c r="AS178" s="7491" t="str">
        <f>AT182&amp;"  service en "&amp;AU184</f>
        <v>Sautés de bœuf  service en Morceaux</v>
      </c>
      <c r="AT178" s="7491"/>
      <c r="AU178" s="7491"/>
      <c r="AV178" s="7491"/>
      <c r="AW178" s="7491"/>
      <c r="AX178" s="7492"/>
      <c r="AY178" s="331"/>
      <c r="AZ178" s="331"/>
      <c r="BA178" s="331"/>
      <c r="BB178" s="331"/>
      <c r="BC178" s="331"/>
      <c r="BD178" s="331"/>
      <c r="BE178" s="331"/>
      <c r="BF178" s="331"/>
      <c r="BG178" s="331"/>
      <c r="BH178" s="331"/>
      <c r="BI178" s="331"/>
      <c r="BJ178" s="331"/>
      <c r="BK178" s="529"/>
    </row>
    <row r="179" spans="1:63" ht="15.75" customHeight="1">
      <c r="A179" s="502"/>
      <c r="B179" s="7489"/>
      <c r="C179" s="780"/>
      <c r="D179" s="781" t="s">
        <v>676</v>
      </c>
      <c r="E179" s="782">
        <f>IF(E185=0,0,IF(MOD(D181,E185)&gt;MOD(D181,E185)/2,INT(D181/E185)+1,INT(D181/E185)))</f>
        <v>86</v>
      </c>
      <c r="F179" s="783" t="s">
        <v>732</v>
      </c>
      <c r="G179" s="784" t="s">
        <v>694</v>
      </c>
      <c r="H179" s="785">
        <f>IF(ISBLANK(E191),0,E185/E191)</f>
        <v>14</v>
      </c>
      <c r="I179" s="331"/>
      <c r="J179" s="331"/>
      <c r="K179" s="331"/>
      <c r="L179" s="331"/>
      <c r="M179" s="331"/>
      <c r="N179" s="331"/>
      <c r="O179" s="331"/>
      <c r="P179" s="331"/>
      <c r="Q179" s="331"/>
      <c r="R179" s="331"/>
      <c r="S179" s="331"/>
      <c r="T179" s="331"/>
      <c r="U179" s="529"/>
      <c r="W179" s="7489"/>
      <c r="X179" s="780"/>
      <c r="Y179" s="781" t="s">
        <v>676</v>
      </c>
      <c r="Z179" s="782">
        <f>IF(Z185=0,0,IF(MOD(Y181,Z185)&gt;MOD(Y181,Z185)/2,INT(Y181/Z185)+1,INT(Y181/Z185)))</f>
        <v>86</v>
      </c>
      <c r="AA179" s="783" t="s">
        <v>732</v>
      </c>
      <c r="AB179" s="784" t="s">
        <v>694</v>
      </c>
      <c r="AC179" s="785">
        <f>IF(ISBLANK(Z191),0,Z185/Z191)</f>
        <v>14</v>
      </c>
      <c r="AD179" s="331"/>
      <c r="AE179" s="331"/>
      <c r="AF179" s="331"/>
      <c r="AG179" s="331"/>
      <c r="AH179" s="331"/>
      <c r="AI179" s="331"/>
      <c r="AJ179" s="331"/>
      <c r="AK179" s="331"/>
      <c r="AL179" s="331"/>
      <c r="AM179" s="331"/>
      <c r="AN179" s="331"/>
      <c r="AO179" s="331"/>
      <c r="AP179" s="529"/>
      <c r="AR179" s="7489"/>
      <c r="AS179" s="780"/>
      <c r="AT179" s="781" t="s">
        <v>676</v>
      </c>
      <c r="AU179" s="782">
        <f>IF(AU185=0,0,IF(MOD(AT181,AU185)&gt;MOD(AT181,AU185)/2,INT(AT181/AU185)+1,INT(AT181/AU185)))</f>
        <v>86</v>
      </c>
      <c r="AV179" s="783" t="s">
        <v>732</v>
      </c>
      <c r="AW179" s="784" t="s">
        <v>694</v>
      </c>
      <c r="AX179" s="785">
        <f>IF(ISBLANK(AU191),0,AU185/AU191)</f>
        <v>14</v>
      </c>
      <c r="AY179" s="331"/>
      <c r="AZ179" s="331"/>
      <c r="BA179" s="331"/>
      <c r="BB179" s="331"/>
      <c r="BC179" s="331"/>
      <c r="BD179" s="331"/>
      <c r="BE179" s="331"/>
      <c r="BF179" s="331"/>
      <c r="BG179" s="331"/>
      <c r="BH179" s="331"/>
      <c r="BI179" s="331"/>
      <c r="BJ179" s="331"/>
      <c r="BK179" s="529"/>
    </row>
    <row r="180" spans="1:63" ht="15.75" customHeight="1">
      <c r="A180" s="502"/>
      <c r="B180" s="7489"/>
      <c r="C180" s="786">
        <f>INT(D181/E185)</f>
        <v>85</v>
      </c>
      <c r="D180" s="787">
        <f>IF(C180=0,0,IF(E179=0,0,E185))</f>
        <v>21</v>
      </c>
      <c r="E180" s="788" t="str">
        <f>F185</f>
        <v>Morceaux</v>
      </c>
      <c r="F180" s="786" t="str">
        <f>IF(D180*C180=0,"1 de",IF(D181=0,0,IF(E185=0,0,IF(D180*C180=D181,"",IF(G180&gt;0,"Plus 1 de")))))</f>
        <v>Plus 1 de</v>
      </c>
      <c r="G180" s="782">
        <f>IF(E185=0,0,IF(D180*C180=D181,"",MOD(D181,E185)))</f>
        <v>15</v>
      </c>
      <c r="H180" s="789" t="str">
        <f>E180</f>
        <v>Morceaux</v>
      </c>
      <c r="I180" s="331"/>
      <c r="J180" s="331"/>
      <c r="K180" s="331"/>
      <c r="L180" s="331"/>
      <c r="M180" s="331"/>
      <c r="N180" s="331"/>
      <c r="O180" s="331"/>
      <c r="P180" s="331"/>
      <c r="Q180" s="331"/>
      <c r="R180" s="331"/>
      <c r="S180" s="331"/>
      <c r="T180" s="331"/>
      <c r="U180" s="529"/>
      <c r="W180" s="7489"/>
      <c r="X180" s="786">
        <f>INT(Y181/Z185)</f>
        <v>85</v>
      </c>
      <c r="Y180" s="787">
        <f>IF(X180=0,0,IF(Z179=0,0,Z185))</f>
        <v>21</v>
      </c>
      <c r="Z180" s="788" t="str">
        <f>AA185</f>
        <v>Morceaux</v>
      </c>
      <c r="AA180" s="786" t="str">
        <f>IF(Y180*X180=0,"1 de",IF(Y181=0,0,IF(Z185=0,0,IF(Y180*X180=Y181,"",IF(AB180&gt;0,"Plus 1 de")))))</f>
        <v>Plus 1 de</v>
      </c>
      <c r="AB180" s="782">
        <f>IF(Z185=0,0,IF(Y180*X180=Y181,"",MOD(Y181,Z185)))</f>
        <v>15</v>
      </c>
      <c r="AC180" s="789" t="str">
        <f>Z180</f>
        <v>Morceaux</v>
      </c>
      <c r="AD180" s="331"/>
      <c r="AE180" s="331"/>
      <c r="AF180" s="331"/>
      <c r="AG180" s="331"/>
      <c r="AH180" s="331"/>
      <c r="AI180" s="331"/>
      <c r="AJ180" s="331"/>
      <c r="AK180" s="331"/>
      <c r="AL180" s="331"/>
      <c r="AM180" s="331"/>
      <c r="AN180" s="331"/>
      <c r="AO180" s="331"/>
      <c r="AP180" s="529"/>
      <c r="AR180" s="7489"/>
      <c r="AS180" s="786">
        <f>INT(AT181/AU185)</f>
        <v>85</v>
      </c>
      <c r="AT180" s="787">
        <f>IF(AS180=0,0,IF(AU179=0,0,AU185))</f>
        <v>21</v>
      </c>
      <c r="AU180" s="788" t="str">
        <f>AV185</f>
        <v>Morceaux</v>
      </c>
      <c r="AV180" s="786" t="str">
        <f>IF(AT180*AS180=0,"1 de",IF(AT181=0,0,IF(AU185=0,0,IF(AT180*AS180=AT181,"",IF(AW180&gt;0,"Plus 1 de")))))</f>
        <v>Plus 1 de</v>
      </c>
      <c r="AW180" s="782">
        <f>IF(AU185=0,0,IF(AT180*AS180=AT181,"",MOD(AT181,AU185)))</f>
        <v>15</v>
      </c>
      <c r="AX180" s="789" t="str">
        <f>AU180</f>
        <v>Morceaux</v>
      </c>
      <c r="AY180" s="331"/>
      <c r="AZ180" s="331"/>
      <c r="BA180" s="331"/>
      <c r="BB180" s="331"/>
      <c r="BC180" s="331"/>
      <c r="BD180" s="331"/>
      <c r="BE180" s="331"/>
      <c r="BF180" s="331"/>
      <c r="BG180" s="331"/>
      <c r="BH180" s="331"/>
      <c r="BI180" s="331"/>
      <c r="BJ180" s="331"/>
      <c r="BK180" s="529"/>
    </row>
    <row r="181" spans="1:63" ht="15.75" customHeight="1">
      <c r="A181" s="502"/>
      <c r="B181" s="7489"/>
      <c r="C181" s="790" t="str">
        <f>E184</f>
        <v>Morceaux</v>
      </c>
      <c r="D181" s="791">
        <f>E191*E190</f>
        <v>1800</v>
      </c>
      <c r="E181" s="784" t="str">
        <f>F187</f>
        <v>cru</v>
      </c>
      <c r="F181" s="792">
        <f>G191*E190</f>
        <v>86.4</v>
      </c>
      <c r="G181" s="784" t="str">
        <f>F189</f>
        <v>cuit</v>
      </c>
      <c r="H181" s="793">
        <f>G189*E190</f>
        <v>43.2</v>
      </c>
      <c r="I181" s="331"/>
      <c r="J181" s="331"/>
      <c r="K181" s="331"/>
      <c r="L181" s="331"/>
      <c r="M181" s="331"/>
      <c r="N181" s="331"/>
      <c r="O181" s="331"/>
      <c r="P181" s="331"/>
      <c r="Q181" s="331"/>
      <c r="R181" s="331"/>
      <c r="S181" s="331"/>
      <c r="T181" s="331"/>
      <c r="U181" s="529"/>
      <c r="W181" s="7489"/>
      <c r="X181" s="790" t="str">
        <f>Z184</f>
        <v>Morceaux</v>
      </c>
      <c r="Y181" s="791">
        <f>Z191*Z190</f>
        <v>1800</v>
      </c>
      <c r="Z181" s="784" t="str">
        <f>AA187</f>
        <v>cru</v>
      </c>
      <c r="AA181" s="792">
        <f>AB191*Z190</f>
        <v>86.4</v>
      </c>
      <c r="AB181" s="784" t="str">
        <f>AA189</f>
        <v>cuit</v>
      </c>
      <c r="AC181" s="793">
        <f>AB189*Z190</f>
        <v>43.2</v>
      </c>
      <c r="AD181" s="331"/>
      <c r="AE181" s="331"/>
      <c r="AF181" s="331"/>
      <c r="AG181" s="331"/>
      <c r="AH181" s="331"/>
      <c r="AI181" s="331"/>
      <c r="AJ181" s="331"/>
      <c r="AK181" s="331"/>
      <c r="AL181" s="331"/>
      <c r="AM181" s="331"/>
      <c r="AN181" s="331"/>
      <c r="AO181" s="331"/>
      <c r="AP181" s="529"/>
      <c r="AR181" s="7489"/>
      <c r="AS181" s="790" t="str">
        <f>AU184</f>
        <v>Morceaux</v>
      </c>
      <c r="AT181" s="791">
        <f>AU191*AU190</f>
        <v>1800</v>
      </c>
      <c r="AU181" s="784" t="str">
        <f>AV187</f>
        <v>cru</v>
      </c>
      <c r="AV181" s="792">
        <f>AW191*AU190</f>
        <v>86.4</v>
      </c>
      <c r="AW181" s="784" t="str">
        <f>AV189</f>
        <v>cuit</v>
      </c>
      <c r="AX181" s="793">
        <f>AW189*AU190</f>
        <v>43.2</v>
      </c>
      <c r="AY181" s="331"/>
      <c r="AZ181" s="331"/>
      <c r="BA181" s="331"/>
      <c r="BB181" s="331"/>
      <c r="BC181" s="331"/>
      <c r="BD181" s="331"/>
      <c r="BE181" s="331"/>
      <c r="BF181" s="331"/>
      <c r="BG181" s="331"/>
      <c r="BH181" s="331"/>
      <c r="BI181" s="331"/>
      <c r="BJ181" s="331"/>
      <c r="BK181" s="529"/>
    </row>
    <row r="182" spans="1:63" ht="18.75" customHeight="1">
      <c r="A182" s="502"/>
      <c r="B182" s="7489"/>
      <c r="C182" s="5462" t="s">
        <v>677</v>
      </c>
      <c r="D182" s="674" t="s">
        <v>733</v>
      </c>
      <c r="E182" s="675"/>
      <c r="F182" s="543"/>
      <c r="G182" s="543"/>
      <c r="H182" s="676"/>
      <c r="I182" s="331"/>
      <c r="J182" s="331"/>
      <c r="K182" s="331"/>
      <c r="L182" s="331"/>
      <c r="M182" s="331"/>
      <c r="N182" s="331"/>
      <c r="O182" s="331"/>
      <c r="P182" s="331"/>
      <c r="Q182" s="331"/>
      <c r="R182" s="331"/>
      <c r="S182" s="331"/>
      <c r="T182" s="331"/>
      <c r="U182" s="529"/>
      <c r="W182" s="7489"/>
      <c r="X182" s="5462" t="s">
        <v>677</v>
      </c>
      <c r="Y182" s="674" t="s">
        <v>733</v>
      </c>
      <c r="Z182" s="675"/>
      <c r="AA182" s="543"/>
      <c r="AB182" s="543"/>
      <c r="AC182" s="676"/>
      <c r="AD182" s="331"/>
      <c r="AE182" s="331"/>
      <c r="AF182" s="331"/>
      <c r="AG182" s="331"/>
      <c r="AH182" s="331"/>
      <c r="AI182" s="331"/>
      <c r="AJ182" s="331"/>
      <c r="AK182" s="331"/>
      <c r="AL182" s="331"/>
      <c r="AM182" s="331"/>
      <c r="AN182" s="331"/>
      <c r="AO182" s="331"/>
      <c r="AP182" s="529"/>
      <c r="AR182" s="7489"/>
      <c r="AS182" s="5462" t="s">
        <v>677</v>
      </c>
      <c r="AT182" s="674" t="s">
        <v>733</v>
      </c>
      <c r="AU182" s="675"/>
      <c r="AV182" s="543"/>
      <c r="AW182" s="543"/>
      <c r="AX182" s="676"/>
      <c r="AY182" s="331"/>
      <c r="AZ182" s="331"/>
      <c r="BA182" s="331"/>
      <c r="BB182" s="331"/>
      <c r="BC182" s="331"/>
      <c r="BD182" s="331"/>
      <c r="BE182" s="331"/>
      <c r="BF182" s="331"/>
      <c r="BG182" s="331"/>
      <c r="BH182" s="331"/>
      <c r="BI182" s="331"/>
      <c r="BJ182" s="331"/>
      <c r="BK182" s="529"/>
    </row>
    <row r="183" spans="1:63" ht="15.75" customHeight="1">
      <c r="A183" s="502"/>
      <c r="B183" s="7489"/>
      <c r="C183" s="794" t="s">
        <v>734</v>
      </c>
      <c r="D183" s="795" t="s">
        <v>735</v>
      </c>
      <c r="E183" s="745" t="s">
        <v>727</v>
      </c>
      <c r="F183" s="141"/>
      <c r="G183" s="746"/>
      <c r="H183" s="747"/>
      <c r="I183" s="331"/>
      <c r="J183" s="331"/>
      <c r="K183" s="331"/>
      <c r="L183" s="331"/>
      <c r="M183" s="331"/>
      <c r="N183" s="331"/>
      <c r="O183" s="331"/>
      <c r="P183" s="331"/>
      <c r="Q183" s="331"/>
      <c r="R183" s="331"/>
      <c r="S183" s="331"/>
      <c r="T183" s="331"/>
      <c r="U183" s="529"/>
      <c r="W183" s="7489"/>
      <c r="X183" s="794" t="s">
        <v>734</v>
      </c>
      <c r="Y183" s="795" t="s">
        <v>735</v>
      </c>
      <c r="Z183" s="745" t="s">
        <v>727</v>
      </c>
      <c r="AA183" s="141"/>
      <c r="AB183" s="746"/>
      <c r="AC183" s="747"/>
      <c r="AD183" s="331"/>
      <c r="AE183" s="331"/>
      <c r="AF183" s="331"/>
      <c r="AG183" s="331"/>
      <c r="AH183" s="331"/>
      <c r="AI183" s="331"/>
      <c r="AJ183" s="331"/>
      <c r="AK183" s="331"/>
      <c r="AL183" s="331"/>
      <c r="AM183" s="331"/>
      <c r="AN183" s="331"/>
      <c r="AO183" s="331"/>
      <c r="AP183" s="529"/>
      <c r="AR183" s="7489"/>
      <c r="AS183" s="794" t="s">
        <v>734</v>
      </c>
      <c r="AT183" s="795" t="s">
        <v>735</v>
      </c>
      <c r="AU183" s="745" t="s">
        <v>727</v>
      </c>
      <c r="AV183" s="141"/>
      <c r="AW183" s="746"/>
      <c r="AX183" s="747"/>
      <c r="AY183" s="331"/>
      <c r="AZ183" s="331"/>
      <c r="BA183" s="331"/>
      <c r="BB183" s="331"/>
      <c r="BC183" s="331"/>
      <c r="BD183" s="331"/>
      <c r="BE183" s="331"/>
      <c r="BF183" s="331"/>
      <c r="BG183" s="331"/>
      <c r="BH183" s="331"/>
      <c r="BI183" s="331"/>
      <c r="BJ183" s="331"/>
      <c r="BK183" s="529"/>
    </row>
    <row r="184" spans="1:63" ht="15.75" customHeight="1">
      <c r="A184" s="502"/>
      <c r="B184" s="7489"/>
      <c r="C184" s="543"/>
      <c r="D184" s="796" t="s">
        <v>736</v>
      </c>
      <c r="E184" s="797" t="s">
        <v>737</v>
      </c>
      <c r="F184" s="798" t="s">
        <v>738</v>
      </c>
      <c r="G184" s="798"/>
      <c r="H184" s="799"/>
      <c r="I184" s="331"/>
      <c r="J184" s="331"/>
      <c r="K184" s="331"/>
      <c r="L184" s="331"/>
      <c r="M184" s="331"/>
      <c r="N184" s="331"/>
      <c r="O184" s="331"/>
      <c r="P184" s="331"/>
      <c r="Q184" s="331"/>
      <c r="R184" s="331"/>
      <c r="S184" s="331"/>
      <c r="T184" s="331"/>
      <c r="U184" s="529"/>
      <c r="W184" s="7489"/>
      <c r="X184" s="543"/>
      <c r="Y184" s="796" t="s">
        <v>736</v>
      </c>
      <c r="Z184" s="797" t="s">
        <v>737</v>
      </c>
      <c r="AA184" s="798" t="s">
        <v>738</v>
      </c>
      <c r="AB184" s="798"/>
      <c r="AC184" s="799"/>
      <c r="AD184" s="331"/>
      <c r="AE184" s="331"/>
      <c r="AF184" s="331"/>
      <c r="AG184" s="331"/>
      <c r="AH184" s="331"/>
      <c r="AI184" s="331"/>
      <c r="AJ184" s="331"/>
      <c r="AK184" s="331"/>
      <c r="AL184" s="331"/>
      <c r="AM184" s="331"/>
      <c r="AN184" s="331"/>
      <c r="AO184" s="331"/>
      <c r="AP184" s="529"/>
      <c r="AR184" s="7489"/>
      <c r="AS184" s="543"/>
      <c r="AT184" s="796" t="s">
        <v>736</v>
      </c>
      <c r="AU184" s="797" t="s">
        <v>737</v>
      </c>
      <c r="AV184" s="798" t="s">
        <v>738</v>
      </c>
      <c r="AW184" s="798"/>
      <c r="AX184" s="799"/>
      <c r="AY184" s="331"/>
      <c r="AZ184" s="331"/>
      <c r="BA184" s="331"/>
      <c r="BB184" s="331"/>
      <c r="BC184" s="331"/>
      <c r="BD184" s="331"/>
      <c r="BE184" s="331"/>
      <c r="BF184" s="331"/>
      <c r="BG184" s="331"/>
      <c r="BH184" s="331"/>
      <c r="BI184" s="331"/>
      <c r="BJ184" s="331"/>
      <c r="BK184" s="529"/>
    </row>
    <row r="185" spans="1:63" ht="15.75" customHeight="1">
      <c r="A185" s="502"/>
      <c r="B185" s="7489"/>
      <c r="C185" s="684"/>
      <c r="D185" s="749" t="s">
        <v>739</v>
      </c>
      <c r="E185" s="800">
        <v>21</v>
      </c>
      <c r="F185" s="147" t="str">
        <f>E184</f>
        <v>Morceaux</v>
      </c>
      <c r="G185" s="141"/>
      <c r="H185" s="409"/>
      <c r="I185" s="331"/>
      <c r="J185" s="331"/>
      <c r="K185" s="331"/>
      <c r="L185" s="331"/>
      <c r="M185" s="331"/>
      <c r="N185" s="331"/>
      <c r="O185" s="331"/>
      <c r="P185" s="331"/>
      <c r="Q185" s="331"/>
      <c r="R185" s="331"/>
      <c r="S185" s="331"/>
      <c r="T185" s="331"/>
      <c r="U185" s="529"/>
      <c r="W185" s="7489"/>
      <c r="X185" s="684"/>
      <c r="Y185" s="749" t="s">
        <v>739</v>
      </c>
      <c r="Z185" s="800">
        <v>21</v>
      </c>
      <c r="AA185" s="147" t="str">
        <f>Z184</f>
        <v>Morceaux</v>
      </c>
      <c r="AB185" s="141"/>
      <c r="AC185" s="409"/>
      <c r="AD185" s="331"/>
      <c r="AE185" s="331"/>
      <c r="AF185" s="331"/>
      <c r="AG185" s="331"/>
      <c r="AH185" s="331"/>
      <c r="AI185" s="331"/>
      <c r="AJ185" s="331"/>
      <c r="AK185" s="331"/>
      <c r="AL185" s="331"/>
      <c r="AM185" s="331"/>
      <c r="AN185" s="331"/>
      <c r="AO185" s="331"/>
      <c r="AP185" s="529"/>
      <c r="AR185" s="7489"/>
      <c r="AS185" s="684"/>
      <c r="AT185" s="749" t="s">
        <v>739</v>
      </c>
      <c r="AU185" s="800">
        <v>21</v>
      </c>
      <c r="AV185" s="147" t="str">
        <f>AU184</f>
        <v>Morceaux</v>
      </c>
      <c r="AW185" s="141"/>
      <c r="AX185" s="409"/>
      <c r="AY185" s="331"/>
      <c r="AZ185" s="331"/>
      <c r="BA185" s="331"/>
      <c r="BB185" s="331"/>
      <c r="BC185" s="331"/>
      <c r="BD185" s="331"/>
      <c r="BE185" s="331"/>
      <c r="BF185" s="331"/>
      <c r="BG185" s="331"/>
      <c r="BH185" s="331"/>
      <c r="BI185" s="331"/>
      <c r="BJ185" s="331"/>
      <c r="BK185" s="529"/>
    </row>
    <row r="186" spans="1:63" ht="15.75" customHeight="1">
      <c r="A186" s="502"/>
      <c r="B186" s="7489"/>
      <c r="C186" s="684"/>
      <c r="D186" s="701" t="s">
        <v>740</v>
      </c>
      <c r="E186" s="801" t="s">
        <v>686</v>
      </c>
      <c r="F186" s="147"/>
      <c r="G186" s="651"/>
      <c r="H186" s="409"/>
      <c r="I186" s="331"/>
      <c r="J186" s="331"/>
      <c r="K186" s="331"/>
      <c r="L186" s="331"/>
      <c r="M186" s="331"/>
      <c r="N186" s="331"/>
      <c r="O186" s="331"/>
      <c r="P186" s="331"/>
      <c r="Q186" s="331"/>
      <c r="R186" s="331"/>
      <c r="S186" s="331"/>
      <c r="T186" s="331"/>
      <c r="U186" s="529"/>
      <c r="W186" s="7489"/>
      <c r="X186" s="684"/>
      <c r="Y186" s="701" t="s">
        <v>740</v>
      </c>
      <c r="Z186" s="801" t="s">
        <v>686</v>
      </c>
      <c r="AA186" s="147"/>
      <c r="AB186" s="651"/>
      <c r="AC186" s="409"/>
      <c r="AD186" s="331"/>
      <c r="AE186" s="331"/>
      <c r="AF186" s="331"/>
      <c r="AG186" s="331"/>
      <c r="AH186" s="331"/>
      <c r="AI186" s="331"/>
      <c r="AJ186" s="331"/>
      <c r="AK186" s="331"/>
      <c r="AL186" s="331"/>
      <c r="AM186" s="331"/>
      <c r="AN186" s="331"/>
      <c r="AO186" s="331"/>
      <c r="AP186" s="529"/>
      <c r="AR186" s="7489"/>
      <c r="AS186" s="684"/>
      <c r="AT186" s="701" t="s">
        <v>740</v>
      </c>
      <c r="AU186" s="801" t="s">
        <v>686</v>
      </c>
      <c r="AV186" s="147"/>
      <c r="AW186" s="651"/>
      <c r="AX186" s="409"/>
      <c r="AY186" s="331"/>
      <c r="AZ186" s="331"/>
      <c r="BA186" s="331"/>
      <c r="BB186" s="331"/>
      <c r="BC186" s="331"/>
      <c r="BD186" s="331"/>
      <c r="BE186" s="331"/>
      <c r="BF186" s="331"/>
      <c r="BG186" s="331"/>
      <c r="BH186" s="331"/>
      <c r="BI186" s="331"/>
      <c r="BJ186" s="331"/>
      <c r="BK186" s="529"/>
    </row>
    <row r="187" spans="1:63" ht="15.75" customHeight="1">
      <c r="A187" s="502"/>
      <c r="B187" s="7489"/>
      <c r="C187" s="684"/>
      <c r="D187" s="802" t="s">
        <v>741</v>
      </c>
      <c r="E187" s="803">
        <v>4.8000000000000001E-2</v>
      </c>
      <c r="F187" s="804" t="str">
        <f>E186</f>
        <v>cru</v>
      </c>
      <c r="G187" s="536"/>
      <c r="H187" s="537"/>
      <c r="I187" s="331"/>
      <c r="J187" s="331"/>
      <c r="K187" s="331"/>
      <c r="L187" s="331"/>
      <c r="M187" s="331"/>
      <c r="N187" s="331"/>
      <c r="O187" s="331"/>
      <c r="P187" s="331"/>
      <c r="Q187" s="331"/>
      <c r="R187" s="331"/>
      <c r="S187" s="331"/>
      <c r="T187" s="331"/>
      <c r="U187" s="529"/>
      <c r="W187" s="7489"/>
      <c r="X187" s="684"/>
      <c r="Y187" s="802" t="s">
        <v>741</v>
      </c>
      <c r="Z187" s="803">
        <v>4.8000000000000001E-2</v>
      </c>
      <c r="AA187" s="804" t="str">
        <f>Z186</f>
        <v>cru</v>
      </c>
      <c r="AB187" s="536"/>
      <c r="AC187" s="537"/>
      <c r="AD187" s="331"/>
      <c r="AE187" s="331"/>
      <c r="AF187" s="331"/>
      <c r="AG187" s="331"/>
      <c r="AH187" s="331"/>
      <c r="AI187" s="331"/>
      <c r="AJ187" s="331"/>
      <c r="AK187" s="331"/>
      <c r="AL187" s="331"/>
      <c r="AM187" s="331"/>
      <c r="AN187" s="331"/>
      <c r="AO187" s="331"/>
      <c r="AP187" s="529"/>
      <c r="AR187" s="7489"/>
      <c r="AS187" s="684"/>
      <c r="AT187" s="802" t="s">
        <v>741</v>
      </c>
      <c r="AU187" s="803">
        <v>4.8000000000000001E-2</v>
      </c>
      <c r="AV187" s="804" t="str">
        <f>AU186</f>
        <v>cru</v>
      </c>
      <c r="AW187" s="536"/>
      <c r="AX187" s="537"/>
      <c r="AY187" s="331"/>
      <c r="AZ187" s="331"/>
      <c r="BA187" s="331"/>
      <c r="BB187" s="331"/>
      <c r="BC187" s="331"/>
      <c r="BD187" s="331"/>
      <c r="BE187" s="331"/>
      <c r="BF187" s="331"/>
      <c r="BG187" s="331"/>
      <c r="BH187" s="331"/>
      <c r="BI187" s="331"/>
      <c r="BJ187" s="331"/>
      <c r="BK187" s="529"/>
    </row>
    <row r="188" spans="1:63" ht="15.75" customHeight="1">
      <c r="A188" s="502"/>
      <c r="B188" s="7489"/>
      <c r="C188" s="543"/>
      <c r="D188" s="805" t="str">
        <f>IF(E186=E201," % de BONI ❻&gt;",IF(E186=E200," %  de PERTE ❻&gt;",IF(ISBLANK(E188),0)))</f>
        <v xml:space="preserve"> %  de PERTE ❻&gt;</v>
      </c>
      <c r="E188" s="691">
        <v>50</v>
      </c>
      <c r="F188" s="536"/>
      <c r="G188" s="536"/>
      <c r="H188" s="689"/>
      <c r="I188" s="331"/>
      <c r="J188" s="331"/>
      <c r="K188" s="331"/>
      <c r="L188" s="331"/>
      <c r="M188" s="331"/>
      <c r="N188" s="331"/>
      <c r="O188" s="331"/>
      <c r="P188" s="331"/>
      <c r="Q188" s="331"/>
      <c r="R188" s="331"/>
      <c r="S188" s="331"/>
      <c r="T188" s="331"/>
      <c r="U188" s="529"/>
      <c r="W188" s="7489"/>
      <c r="X188" s="543"/>
      <c r="Y188" s="805" t="str">
        <f>IF(Z186=Z201," % de BONI ❻&gt;",IF(Z186=Z200," %  de PERTE ❻&gt;",IF(ISBLANK(Z188),0)))</f>
        <v xml:space="preserve"> %  de PERTE ❻&gt;</v>
      </c>
      <c r="Z188" s="691">
        <v>50</v>
      </c>
      <c r="AA188" s="536"/>
      <c r="AB188" s="536"/>
      <c r="AC188" s="689"/>
      <c r="AD188" s="331"/>
      <c r="AE188" s="331"/>
      <c r="AF188" s="331"/>
      <c r="AG188" s="331"/>
      <c r="AH188" s="331"/>
      <c r="AI188" s="331"/>
      <c r="AJ188" s="331"/>
      <c r="AK188" s="331"/>
      <c r="AL188" s="331"/>
      <c r="AM188" s="331"/>
      <c r="AN188" s="331"/>
      <c r="AO188" s="331"/>
      <c r="AP188" s="529"/>
      <c r="AR188" s="7489"/>
      <c r="AS188" s="543"/>
      <c r="AT188" s="805" t="str">
        <f>IF(AU186=AU201," % de BONI ❻&gt;",IF(AU186=AU200," %  de PERTE ❻&gt;",IF(ISBLANK(AU188),0)))</f>
        <v xml:space="preserve"> %  de PERTE ❻&gt;</v>
      </c>
      <c r="AU188" s="691">
        <v>50</v>
      </c>
      <c r="AV188" s="536"/>
      <c r="AW188" s="536"/>
      <c r="AX188" s="689"/>
      <c r="AY188" s="331"/>
      <c r="AZ188" s="331"/>
      <c r="BA188" s="331"/>
      <c r="BB188" s="331"/>
      <c r="BC188" s="331"/>
      <c r="BD188" s="331"/>
      <c r="BE188" s="331"/>
      <c r="BF188" s="331"/>
      <c r="BG188" s="331"/>
      <c r="BH188" s="331"/>
      <c r="BI188" s="331"/>
      <c r="BJ188" s="331"/>
      <c r="BK188" s="529"/>
    </row>
    <row r="189" spans="1:63" ht="15.75" customHeight="1">
      <c r="A189" s="502"/>
      <c r="B189" s="7489"/>
      <c r="C189" s="543"/>
      <c r="D189" s="520"/>
      <c r="E189" s="806">
        <f>IF(F187=E200,E187-(E187*E188%),IF(F187=E201,E187/(100-E188)*100))</f>
        <v>2.4E-2</v>
      </c>
      <c r="F189" s="804" t="str">
        <f>IF(F187=E200,E201,E200)</f>
        <v>cuit</v>
      </c>
      <c r="G189" s="807">
        <f>E189*E191</f>
        <v>3.6000000000000004E-2</v>
      </c>
      <c r="H189" s="409"/>
      <c r="I189" s="331"/>
      <c r="J189" s="331"/>
      <c r="K189" s="331"/>
      <c r="L189" s="331"/>
      <c r="M189" s="331"/>
      <c r="N189" s="331"/>
      <c r="O189" s="331"/>
      <c r="P189" s="331"/>
      <c r="Q189" s="331"/>
      <c r="R189" s="331"/>
      <c r="S189" s="331"/>
      <c r="T189" s="331"/>
      <c r="U189" s="529"/>
      <c r="W189" s="7489"/>
      <c r="X189" s="543"/>
      <c r="Y189" s="520"/>
      <c r="Z189" s="806">
        <f>IF(AA187=Z200,Z187-(Z187*Z188%),IF(AA187=Z201,Z187/(100-Z188)*100))</f>
        <v>2.4E-2</v>
      </c>
      <c r="AA189" s="804" t="str">
        <f>IF(AA187=Z200,Z201,Z200)</f>
        <v>cuit</v>
      </c>
      <c r="AB189" s="807">
        <f>Z189*Z191</f>
        <v>3.6000000000000004E-2</v>
      </c>
      <c r="AC189" s="409"/>
      <c r="AD189" s="331"/>
      <c r="AE189" s="331"/>
      <c r="AF189" s="331"/>
      <c r="AG189" s="331"/>
      <c r="AH189" s="331"/>
      <c r="AI189" s="331"/>
      <c r="AJ189" s="331"/>
      <c r="AK189" s="331"/>
      <c r="AL189" s="331"/>
      <c r="AM189" s="331"/>
      <c r="AN189" s="331"/>
      <c r="AO189" s="331"/>
      <c r="AP189" s="529"/>
      <c r="AR189" s="7489"/>
      <c r="AS189" s="543"/>
      <c r="AT189" s="520"/>
      <c r="AU189" s="806">
        <f>IF(AV187=AU200,AU187-(AU187*AU188%),IF(AV187=AU201,AU187/(100-AU188)*100))</f>
        <v>2.4E-2</v>
      </c>
      <c r="AV189" s="804" t="str">
        <f>IF(AV187=AU200,AU201,AU200)</f>
        <v>cuit</v>
      </c>
      <c r="AW189" s="807">
        <f>AU189*AU191</f>
        <v>3.6000000000000004E-2</v>
      </c>
      <c r="AX189" s="409"/>
      <c r="AY189" s="331"/>
      <c r="AZ189" s="331"/>
      <c r="BA189" s="331"/>
      <c r="BB189" s="331"/>
      <c r="BC189" s="331"/>
      <c r="BD189" s="331"/>
      <c r="BE189" s="331"/>
      <c r="BF189" s="331"/>
      <c r="BG189" s="331"/>
      <c r="BH189" s="331"/>
      <c r="BI189" s="331"/>
      <c r="BJ189" s="331"/>
      <c r="BK189" s="529"/>
    </row>
    <row r="190" spans="1:63" ht="15.75" customHeight="1">
      <c r="A190" s="502"/>
      <c r="B190" s="7489"/>
      <c r="C190" s="543"/>
      <c r="D190" s="808" t="s">
        <v>689</v>
      </c>
      <c r="E190" s="809">
        <v>1200</v>
      </c>
      <c r="F190" s="810" t="s">
        <v>73</v>
      </c>
      <c r="G190" s="811"/>
      <c r="H190" s="676"/>
      <c r="I190" s="331"/>
      <c r="J190" s="331"/>
      <c r="K190" s="331"/>
      <c r="L190" s="331"/>
      <c r="M190" s="331"/>
      <c r="N190" s="331"/>
      <c r="O190" s="331"/>
      <c r="P190" s="331"/>
      <c r="Q190" s="331"/>
      <c r="R190" s="331"/>
      <c r="S190" s="331"/>
      <c r="T190" s="331"/>
      <c r="U190" s="529"/>
      <c r="W190" s="7489"/>
      <c r="X190" s="543"/>
      <c r="Y190" s="808" t="s">
        <v>689</v>
      </c>
      <c r="Z190" s="809">
        <v>1200</v>
      </c>
      <c r="AA190" s="810" t="s">
        <v>73</v>
      </c>
      <c r="AB190" s="811"/>
      <c r="AC190" s="676"/>
      <c r="AD190" s="331"/>
      <c r="AE190" s="331"/>
      <c r="AF190" s="331"/>
      <c r="AG190" s="331"/>
      <c r="AH190" s="331"/>
      <c r="AI190" s="331"/>
      <c r="AJ190" s="331"/>
      <c r="AK190" s="331"/>
      <c r="AL190" s="331"/>
      <c r="AM190" s="331"/>
      <c r="AN190" s="331"/>
      <c r="AO190" s="331"/>
      <c r="AP190" s="529"/>
      <c r="AR190" s="7489"/>
      <c r="AS190" s="543"/>
      <c r="AT190" s="808" t="s">
        <v>689</v>
      </c>
      <c r="AU190" s="809">
        <v>1200</v>
      </c>
      <c r="AV190" s="810" t="s">
        <v>73</v>
      </c>
      <c r="AW190" s="811"/>
      <c r="AX190" s="676"/>
      <c r="AY190" s="331"/>
      <c r="AZ190" s="331"/>
      <c r="BA190" s="331"/>
      <c r="BB190" s="331"/>
      <c r="BC190" s="331"/>
      <c r="BD190" s="331"/>
      <c r="BE190" s="331"/>
      <c r="BF190" s="331"/>
      <c r="BG190" s="331"/>
      <c r="BH190" s="331"/>
      <c r="BI190" s="331"/>
      <c r="BJ190" s="331"/>
      <c r="BK190" s="529"/>
    </row>
    <row r="191" spans="1:63" ht="15.75" customHeight="1">
      <c r="A191" s="502"/>
      <c r="B191" s="7489"/>
      <c r="C191" s="543"/>
      <c r="D191" s="759" t="s">
        <v>742</v>
      </c>
      <c r="E191" s="812">
        <v>1.5</v>
      </c>
      <c r="F191" s="141" t="str">
        <f>E184</f>
        <v>Morceaux</v>
      </c>
      <c r="G191" s="807">
        <f>E187*E191</f>
        <v>7.2000000000000008E-2</v>
      </c>
      <c r="H191" s="537"/>
      <c r="I191" s="331"/>
      <c r="J191" s="331"/>
      <c r="K191" s="331"/>
      <c r="L191" s="331"/>
      <c r="M191" s="331"/>
      <c r="N191" s="331"/>
      <c r="O191" s="331"/>
      <c r="P191" s="331"/>
      <c r="Q191" s="331"/>
      <c r="R191" s="331"/>
      <c r="S191" s="331"/>
      <c r="T191" s="331"/>
      <c r="U191" s="529"/>
      <c r="W191" s="7489"/>
      <c r="X191" s="543"/>
      <c r="Y191" s="759" t="s">
        <v>742</v>
      </c>
      <c r="Z191" s="812">
        <v>1.5</v>
      </c>
      <c r="AA191" s="141" t="str">
        <f>Z184</f>
        <v>Morceaux</v>
      </c>
      <c r="AB191" s="807">
        <f>Z187*Z191</f>
        <v>7.2000000000000008E-2</v>
      </c>
      <c r="AC191" s="537"/>
      <c r="AD191" s="331"/>
      <c r="AE191" s="331"/>
      <c r="AF191" s="331"/>
      <c r="AG191" s="331"/>
      <c r="AH191" s="331"/>
      <c r="AI191" s="331"/>
      <c r="AJ191" s="331"/>
      <c r="AK191" s="331"/>
      <c r="AL191" s="331"/>
      <c r="AM191" s="331"/>
      <c r="AN191" s="331"/>
      <c r="AO191" s="331"/>
      <c r="AP191" s="529"/>
      <c r="AR191" s="7489"/>
      <c r="AS191" s="543"/>
      <c r="AT191" s="759" t="s">
        <v>742</v>
      </c>
      <c r="AU191" s="812">
        <v>1.5</v>
      </c>
      <c r="AV191" s="141" t="str">
        <f>AU184</f>
        <v>Morceaux</v>
      </c>
      <c r="AW191" s="807">
        <f>AU187*AU191</f>
        <v>7.2000000000000008E-2</v>
      </c>
      <c r="AX191" s="537"/>
      <c r="AY191" s="331"/>
      <c r="AZ191" s="331"/>
      <c r="BA191" s="331"/>
      <c r="BB191" s="331"/>
      <c r="BC191" s="331"/>
      <c r="BD191" s="331"/>
      <c r="BE191" s="331"/>
      <c r="BF191" s="331"/>
      <c r="BG191" s="331"/>
      <c r="BH191" s="331"/>
      <c r="BI191" s="331"/>
      <c r="BJ191" s="331"/>
      <c r="BK191" s="529"/>
    </row>
    <row r="192" spans="1:63" ht="15.75" customHeight="1">
      <c r="A192" s="502"/>
      <c r="B192" s="7489"/>
      <c r="C192" s="543"/>
      <c r="D192" s="693"/>
      <c r="E192" s="141"/>
      <c r="F192" s="141"/>
      <c r="G192" s="536"/>
      <c r="H192" s="537"/>
      <c r="I192" s="331"/>
      <c r="J192" s="331"/>
      <c r="K192" s="331"/>
      <c r="L192" s="331"/>
      <c r="M192" s="331"/>
      <c r="N192" s="331"/>
      <c r="O192" s="331"/>
      <c r="P192" s="331"/>
      <c r="Q192" s="331"/>
      <c r="R192" s="331"/>
      <c r="S192" s="331"/>
      <c r="T192" s="331"/>
      <c r="U192" s="529"/>
      <c r="W192" s="7489"/>
      <c r="X192" s="543"/>
      <c r="Y192" s="693"/>
      <c r="Z192" s="141"/>
      <c r="AA192" s="141"/>
      <c r="AB192" s="536"/>
      <c r="AC192" s="537"/>
      <c r="AD192" s="331"/>
      <c r="AE192" s="331"/>
      <c r="AF192" s="331"/>
      <c r="AG192" s="331"/>
      <c r="AH192" s="331"/>
      <c r="AI192" s="331"/>
      <c r="AJ192" s="331"/>
      <c r="AK192" s="331"/>
      <c r="AL192" s="331"/>
      <c r="AM192" s="331"/>
      <c r="AN192" s="331"/>
      <c r="AO192" s="331"/>
      <c r="AP192" s="529"/>
      <c r="AR192" s="7489"/>
      <c r="AS192" s="543"/>
      <c r="AT192" s="693"/>
      <c r="AU192" s="141"/>
      <c r="AV192" s="141"/>
      <c r="AW192" s="536"/>
      <c r="AX192" s="537"/>
      <c r="AY192" s="331"/>
      <c r="AZ192" s="331"/>
      <c r="BA192" s="331"/>
      <c r="BB192" s="331"/>
      <c r="BC192" s="331"/>
      <c r="BD192" s="331"/>
      <c r="BE192" s="331"/>
      <c r="BF192" s="331"/>
      <c r="BG192" s="331"/>
      <c r="BH192" s="331"/>
      <c r="BI192" s="331"/>
      <c r="BJ192" s="331"/>
      <c r="BK192" s="529"/>
    </row>
    <row r="193" spans="1:63" ht="15.75" customHeight="1">
      <c r="A193" s="502"/>
      <c r="B193" s="7489"/>
      <c r="C193" s="7493" t="s">
        <v>697</v>
      </c>
      <c r="D193" s="7494"/>
      <c r="E193" s="7494"/>
      <c r="F193" s="7494"/>
      <c r="G193" s="7494"/>
      <c r="H193" s="7495"/>
      <c r="I193" s="331"/>
      <c r="J193" s="331"/>
      <c r="K193" s="331"/>
      <c r="L193" s="331"/>
      <c r="M193" s="331"/>
      <c r="N193" s="331"/>
      <c r="O193" s="331"/>
      <c r="P193" s="331"/>
      <c r="Q193" s="331"/>
      <c r="R193" s="331"/>
      <c r="S193" s="331"/>
      <c r="T193" s="331"/>
      <c r="U193" s="529"/>
      <c r="W193" s="7489"/>
      <c r="X193" s="7493" t="s">
        <v>697</v>
      </c>
      <c r="Y193" s="7494"/>
      <c r="Z193" s="7494"/>
      <c r="AA193" s="7494"/>
      <c r="AB193" s="7494"/>
      <c r="AC193" s="7495"/>
      <c r="AD193" s="331"/>
      <c r="AE193" s="331"/>
      <c r="AF193" s="331"/>
      <c r="AG193" s="331"/>
      <c r="AH193" s="331"/>
      <c r="AI193" s="331"/>
      <c r="AJ193" s="331"/>
      <c r="AK193" s="331"/>
      <c r="AL193" s="331"/>
      <c r="AM193" s="331"/>
      <c r="AN193" s="331"/>
      <c r="AO193" s="331"/>
      <c r="AP193" s="529"/>
      <c r="AR193" s="7489"/>
      <c r="AS193" s="7493" t="s">
        <v>697</v>
      </c>
      <c r="AT193" s="7494"/>
      <c r="AU193" s="7494"/>
      <c r="AV193" s="7494"/>
      <c r="AW193" s="7494"/>
      <c r="AX193" s="7495"/>
      <c r="AY193" s="331"/>
      <c r="AZ193" s="331"/>
      <c r="BA193" s="331"/>
      <c r="BB193" s="331"/>
      <c r="BC193" s="331"/>
      <c r="BD193" s="331"/>
      <c r="BE193" s="331"/>
      <c r="BF193" s="331"/>
      <c r="BG193" s="331"/>
      <c r="BH193" s="331"/>
      <c r="BI193" s="331"/>
      <c r="BJ193" s="331"/>
      <c r="BK193" s="529"/>
    </row>
    <row r="194" spans="1:63" ht="15.75" customHeight="1">
      <c r="A194" s="502"/>
      <c r="B194" s="7489"/>
      <c r="C194" s="7494"/>
      <c r="D194" s="7494"/>
      <c r="E194" s="7494"/>
      <c r="F194" s="7494"/>
      <c r="G194" s="7494"/>
      <c r="H194" s="7495"/>
      <c r="I194" s="331"/>
      <c r="J194" s="331"/>
      <c r="K194" s="331"/>
      <c r="L194" s="331"/>
      <c r="M194" s="331"/>
      <c r="N194" s="331"/>
      <c r="O194" s="331"/>
      <c r="P194" s="331"/>
      <c r="Q194" s="331"/>
      <c r="R194" s="331"/>
      <c r="S194" s="331"/>
      <c r="T194" s="331"/>
      <c r="U194" s="529"/>
      <c r="W194" s="7489"/>
      <c r="X194" s="7494"/>
      <c r="Y194" s="7494"/>
      <c r="Z194" s="7494"/>
      <c r="AA194" s="7494"/>
      <c r="AB194" s="7494"/>
      <c r="AC194" s="7495"/>
      <c r="AD194" s="331"/>
      <c r="AE194" s="331"/>
      <c r="AF194" s="331"/>
      <c r="AG194" s="331"/>
      <c r="AH194" s="331"/>
      <c r="AI194" s="331"/>
      <c r="AJ194" s="331"/>
      <c r="AK194" s="331"/>
      <c r="AL194" s="331"/>
      <c r="AM194" s="331"/>
      <c r="AN194" s="331"/>
      <c r="AO194" s="331"/>
      <c r="AP194" s="529"/>
      <c r="AR194" s="7489"/>
      <c r="AS194" s="7494"/>
      <c r="AT194" s="7494"/>
      <c r="AU194" s="7494"/>
      <c r="AV194" s="7494"/>
      <c r="AW194" s="7494"/>
      <c r="AX194" s="7495"/>
      <c r="AY194" s="331"/>
      <c r="AZ194" s="331"/>
      <c r="BA194" s="331"/>
      <c r="BB194" s="331"/>
      <c r="BC194" s="331"/>
      <c r="BD194" s="331"/>
      <c r="BE194" s="331"/>
      <c r="BF194" s="331"/>
      <c r="BG194" s="331"/>
      <c r="BH194" s="331"/>
      <c r="BI194" s="331"/>
      <c r="BJ194" s="331"/>
      <c r="BK194" s="529"/>
    </row>
    <row r="195" spans="1:63" ht="15.75" customHeight="1">
      <c r="A195" s="502"/>
      <c r="B195" s="7489"/>
      <c r="C195" s="711" t="s">
        <v>743</v>
      </c>
      <c r="D195" s="712"/>
      <c r="E195" s="712"/>
      <c r="F195" s="712"/>
      <c r="G195" s="712"/>
      <c r="H195" s="713"/>
      <c r="I195" s="331"/>
      <c r="J195" s="331"/>
      <c r="K195" s="331"/>
      <c r="L195" s="331"/>
      <c r="M195" s="331"/>
      <c r="N195" s="331"/>
      <c r="O195" s="331"/>
      <c r="P195" s="331"/>
      <c r="Q195" s="331"/>
      <c r="R195" s="331"/>
      <c r="S195" s="331"/>
      <c r="T195" s="331"/>
      <c r="U195" s="529"/>
      <c r="W195" s="7489"/>
      <c r="X195" s="711" t="s">
        <v>743</v>
      </c>
      <c r="Y195" s="712"/>
      <c r="Z195" s="712"/>
      <c r="AA195" s="712"/>
      <c r="AB195" s="712"/>
      <c r="AC195" s="713"/>
      <c r="AD195" s="331"/>
      <c r="AE195" s="331"/>
      <c r="AF195" s="331"/>
      <c r="AG195" s="331"/>
      <c r="AH195" s="331"/>
      <c r="AI195" s="331"/>
      <c r="AJ195" s="331"/>
      <c r="AK195" s="331"/>
      <c r="AL195" s="331"/>
      <c r="AM195" s="331"/>
      <c r="AN195" s="331"/>
      <c r="AO195" s="331"/>
      <c r="AP195" s="529"/>
      <c r="AR195" s="7489"/>
      <c r="AS195" s="711" t="s">
        <v>743</v>
      </c>
      <c r="AT195" s="712"/>
      <c r="AU195" s="712"/>
      <c r="AV195" s="712"/>
      <c r="AW195" s="712"/>
      <c r="AX195" s="713"/>
      <c r="AY195" s="331"/>
      <c r="AZ195" s="331"/>
      <c r="BA195" s="331"/>
      <c r="BB195" s="331"/>
      <c r="BC195" s="331"/>
      <c r="BD195" s="331"/>
      <c r="BE195" s="331"/>
      <c r="BF195" s="331"/>
      <c r="BG195" s="331"/>
      <c r="BH195" s="331"/>
      <c r="BI195" s="331"/>
      <c r="BJ195" s="331"/>
      <c r="BK195" s="529"/>
    </row>
    <row r="196" spans="1:63" ht="15.75" customHeight="1">
      <c r="A196" s="502"/>
      <c r="B196" s="7489"/>
      <c r="C196" s="7484" t="s">
        <v>701</v>
      </c>
      <c r="D196" s="7485"/>
      <c r="E196" s="7485"/>
      <c r="F196" s="7485"/>
      <c r="G196" s="7485"/>
      <c r="H196" s="7486"/>
      <c r="I196" s="331"/>
      <c r="J196" s="331"/>
      <c r="K196" s="331"/>
      <c r="L196" s="331"/>
      <c r="M196" s="331"/>
      <c r="N196" s="331"/>
      <c r="O196" s="331"/>
      <c r="P196" s="331"/>
      <c r="Q196" s="331"/>
      <c r="R196" s="331"/>
      <c r="S196" s="331"/>
      <c r="T196" s="331"/>
      <c r="U196" s="529"/>
      <c r="W196" s="7489"/>
      <c r="X196" s="7484" t="s">
        <v>701</v>
      </c>
      <c r="Y196" s="7485"/>
      <c r="Z196" s="7485"/>
      <c r="AA196" s="7485"/>
      <c r="AB196" s="7485"/>
      <c r="AC196" s="7486"/>
      <c r="AD196" s="331"/>
      <c r="AE196" s="331"/>
      <c r="AF196" s="331"/>
      <c r="AG196" s="331"/>
      <c r="AH196" s="331"/>
      <c r="AI196" s="331"/>
      <c r="AJ196" s="331"/>
      <c r="AK196" s="331"/>
      <c r="AL196" s="331"/>
      <c r="AM196" s="331"/>
      <c r="AN196" s="331"/>
      <c r="AO196" s="331"/>
      <c r="AP196" s="529"/>
      <c r="AR196" s="7489"/>
      <c r="AS196" s="7484" t="s">
        <v>701</v>
      </c>
      <c r="AT196" s="7485"/>
      <c r="AU196" s="7485"/>
      <c r="AV196" s="7485"/>
      <c r="AW196" s="7485"/>
      <c r="AX196" s="7486"/>
      <c r="AY196" s="331"/>
      <c r="AZ196" s="331"/>
      <c r="BA196" s="331"/>
      <c r="BB196" s="331"/>
      <c r="BC196" s="331"/>
      <c r="BD196" s="331"/>
      <c r="BE196" s="331"/>
      <c r="BF196" s="331"/>
      <c r="BG196" s="331"/>
      <c r="BH196" s="331"/>
      <c r="BI196" s="331"/>
      <c r="BJ196" s="331"/>
      <c r="BK196" s="529"/>
    </row>
    <row r="197" spans="1:63" ht="15.75" customHeight="1">
      <c r="A197" s="502"/>
      <c r="B197" s="7489"/>
      <c r="C197" s="714" t="s">
        <v>703</v>
      </c>
      <c r="D197" s="543"/>
      <c r="E197" s="543"/>
      <c r="F197" s="651" t="s">
        <v>704</v>
      </c>
      <c r="G197" s="543"/>
      <c r="H197" s="676"/>
      <c r="I197" s="331"/>
      <c r="J197" s="331"/>
      <c r="K197" s="331"/>
      <c r="L197" s="331"/>
      <c r="M197" s="331"/>
      <c r="N197" s="331"/>
      <c r="O197" s="331"/>
      <c r="P197" s="331"/>
      <c r="Q197" s="331"/>
      <c r="R197" s="331"/>
      <c r="S197" s="331"/>
      <c r="T197" s="331"/>
      <c r="U197" s="529"/>
      <c r="W197" s="7489"/>
      <c r="X197" s="714" t="s">
        <v>703</v>
      </c>
      <c r="Y197" s="543"/>
      <c r="Z197" s="543"/>
      <c r="AA197" s="651" t="s">
        <v>704</v>
      </c>
      <c r="AB197" s="543"/>
      <c r="AC197" s="676"/>
      <c r="AD197" s="331"/>
      <c r="AE197" s="331"/>
      <c r="AF197" s="331"/>
      <c r="AG197" s="331"/>
      <c r="AH197" s="331"/>
      <c r="AI197" s="331"/>
      <c r="AJ197" s="331"/>
      <c r="AK197" s="331"/>
      <c r="AL197" s="331"/>
      <c r="AM197" s="331"/>
      <c r="AN197" s="331"/>
      <c r="AO197" s="331"/>
      <c r="AP197" s="529"/>
      <c r="AR197" s="7489"/>
      <c r="AS197" s="714" t="s">
        <v>703</v>
      </c>
      <c r="AT197" s="543"/>
      <c r="AU197" s="543"/>
      <c r="AV197" s="651" t="s">
        <v>704</v>
      </c>
      <c r="AW197" s="543"/>
      <c r="AX197" s="676"/>
      <c r="AY197" s="331"/>
      <c r="AZ197" s="331"/>
      <c r="BA197" s="331"/>
      <c r="BB197" s="331"/>
      <c r="BC197" s="331"/>
      <c r="BD197" s="331"/>
      <c r="BE197" s="331"/>
      <c r="BF197" s="331"/>
      <c r="BG197" s="331"/>
      <c r="BH197" s="331"/>
      <c r="BI197" s="331"/>
      <c r="BJ197" s="331"/>
      <c r="BK197" s="529"/>
    </row>
    <row r="198" spans="1:63" ht="15.75" customHeight="1">
      <c r="A198" s="502"/>
      <c r="B198" s="7489"/>
      <c r="C198" s="715" t="s">
        <v>680</v>
      </c>
      <c r="D198" s="543"/>
      <c r="E198" s="543"/>
      <c r="F198" s="716" t="s">
        <v>706</v>
      </c>
      <c r="G198" s="543"/>
      <c r="H198" s="676"/>
      <c r="I198" s="331"/>
      <c r="J198" s="331"/>
      <c r="K198" s="331"/>
      <c r="L198" s="331"/>
      <c r="M198" s="331"/>
      <c r="N198" s="331"/>
      <c r="O198" s="331"/>
      <c r="P198" s="331"/>
      <c r="Q198" s="331"/>
      <c r="R198" s="331"/>
      <c r="S198" s="331"/>
      <c r="T198" s="331"/>
      <c r="U198" s="529"/>
      <c r="W198" s="7489"/>
      <c r="X198" s="715" t="s">
        <v>680</v>
      </c>
      <c r="Y198" s="543"/>
      <c r="Z198" s="543"/>
      <c r="AA198" s="716" t="s">
        <v>706</v>
      </c>
      <c r="AB198" s="543"/>
      <c r="AC198" s="676"/>
      <c r="AD198" s="331"/>
      <c r="AE198" s="331"/>
      <c r="AF198" s="331"/>
      <c r="AG198" s="331"/>
      <c r="AH198" s="331"/>
      <c r="AI198" s="331"/>
      <c r="AJ198" s="331"/>
      <c r="AK198" s="331"/>
      <c r="AL198" s="331"/>
      <c r="AM198" s="331"/>
      <c r="AN198" s="331"/>
      <c r="AO198" s="331"/>
      <c r="AP198" s="529"/>
      <c r="AR198" s="7489"/>
      <c r="AS198" s="715" t="s">
        <v>680</v>
      </c>
      <c r="AT198" s="543"/>
      <c r="AU198" s="543"/>
      <c r="AV198" s="716" t="s">
        <v>706</v>
      </c>
      <c r="AW198" s="543"/>
      <c r="AX198" s="676"/>
      <c r="AY198" s="331"/>
      <c r="AZ198" s="331"/>
      <c r="BA198" s="331"/>
      <c r="BB198" s="331"/>
      <c r="BC198" s="331"/>
      <c r="BD198" s="331"/>
      <c r="BE198" s="331"/>
      <c r="BF198" s="331"/>
      <c r="BG198" s="331"/>
      <c r="BH198" s="331"/>
      <c r="BI198" s="331"/>
      <c r="BJ198" s="331"/>
      <c r="BK198" s="529"/>
    </row>
    <row r="199" spans="1:63" ht="15.75" customHeight="1">
      <c r="A199" s="502"/>
      <c r="B199" s="7489"/>
      <c r="C199" s="717" t="s">
        <v>707</v>
      </c>
      <c r="D199" s="543"/>
      <c r="E199" s="543"/>
      <c r="F199" s="718" t="s">
        <v>708</v>
      </c>
      <c r="G199" s="543"/>
      <c r="H199" s="676"/>
      <c r="I199" s="331"/>
      <c r="J199" s="331"/>
      <c r="K199" s="331"/>
      <c r="L199" s="331"/>
      <c r="M199" s="331"/>
      <c r="N199" s="331"/>
      <c r="O199" s="331"/>
      <c r="P199" s="331"/>
      <c r="Q199" s="331"/>
      <c r="R199" s="331"/>
      <c r="S199" s="331"/>
      <c r="T199" s="331"/>
      <c r="U199" s="529"/>
      <c r="W199" s="7489"/>
      <c r="X199" s="717" t="s">
        <v>707</v>
      </c>
      <c r="Y199" s="543"/>
      <c r="Z199" s="543"/>
      <c r="AA199" s="718" t="s">
        <v>708</v>
      </c>
      <c r="AB199" s="543"/>
      <c r="AC199" s="676"/>
      <c r="AD199" s="331"/>
      <c r="AE199" s="331"/>
      <c r="AF199" s="331"/>
      <c r="AG199" s="331"/>
      <c r="AH199" s="331"/>
      <c r="AI199" s="331"/>
      <c r="AJ199" s="331"/>
      <c r="AK199" s="331"/>
      <c r="AL199" s="331"/>
      <c r="AM199" s="331"/>
      <c r="AN199" s="331"/>
      <c r="AO199" s="331"/>
      <c r="AP199" s="529"/>
      <c r="AR199" s="7489"/>
      <c r="AS199" s="717" t="s">
        <v>707</v>
      </c>
      <c r="AT199" s="543"/>
      <c r="AU199" s="543"/>
      <c r="AV199" s="718" t="s">
        <v>708</v>
      </c>
      <c r="AW199" s="543"/>
      <c r="AX199" s="676"/>
      <c r="AY199" s="331"/>
      <c r="AZ199" s="331"/>
      <c r="BA199" s="331"/>
      <c r="BB199" s="331"/>
      <c r="BC199" s="331"/>
      <c r="BD199" s="331"/>
      <c r="BE199" s="331"/>
      <c r="BF199" s="331"/>
      <c r="BG199" s="331"/>
      <c r="BH199" s="331"/>
      <c r="BI199" s="331"/>
      <c r="BJ199" s="331"/>
      <c r="BK199" s="529"/>
    </row>
    <row r="200" spans="1:63" ht="15.75" customHeight="1">
      <c r="A200" s="502"/>
      <c r="B200" s="7489"/>
      <c r="C200" s="651"/>
      <c r="D200" s="723" t="s">
        <v>744</v>
      </c>
      <c r="E200" s="801" t="s">
        <v>686</v>
      </c>
      <c r="F200" s="719" t="s">
        <v>745</v>
      </c>
      <c r="G200" s="543"/>
      <c r="H200" s="676"/>
      <c r="I200" s="331"/>
      <c r="J200" s="331"/>
      <c r="K200" s="331"/>
      <c r="L200" s="331"/>
      <c r="M200" s="331"/>
      <c r="N200" s="331"/>
      <c r="O200" s="331"/>
      <c r="P200" s="331"/>
      <c r="Q200" s="331"/>
      <c r="R200" s="331"/>
      <c r="S200" s="331"/>
      <c r="T200" s="331"/>
      <c r="U200" s="529"/>
      <c r="W200" s="7489"/>
      <c r="X200" s="651"/>
      <c r="Y200" s="723" t="s">
        <v>744</v>
      </c>
      <c r="Z200" s="801" t="s">
        <v>686</v>
      </c>
      <c r="AA200" s="719" t="s">
        <v>745</v>
      </c>
      <c r="AB200" s="543"/>
      <c r="AC200" s="676"/>
      <c r="AD200" s="331"/>
      <c r="AE200" s="331"/>
      <c r="AF200" s="331"/>
      <c r="AG200" s="331"/>
      <c r="AH200" s="331"/>
      <c r="AI200" s="331"/>
      <c r="AJ200" s="331"/>
      <c r="AK200" s="331"/>
      <c r="AL200" s="331"/>
      <c r="AM200" s="331"/>
      <c r="AN200" s="331"/>
      <c r="AO200" s="331"/>
      <c r="AP200" s="529"/>
      <c r="AR200" s="7489"/>
      <c r="AS200" s="651"/>
      <c r="AT200" s="723" t="s">
        <v>744</v>
      </c>
      <c r="AU200" s="801" t="s">
        <v>686</v>
      </c>
      <c r="AV200" s="719" t="s">
        <v>745</v>
      </c>
      <c r="AW200" s="543"/>
      <c r="AX200" s="676"/>
      <c r="AY200" s="331"/>
      <c r="AZ200" s="331"/>
      <c r="BA200" s="331"/>
      <c r="BB200" s="331"/>
      <c r="BC200" s="331"/>
      <c r="BD200" s="331"/>
      <c r="BE200" s="331"/>
      <c r="BF200" s="331"/>
      <c r="BG200" s="331"/>
      <c r="BH200" s="331"/>
      <c r="BI200" s="331"/>
      <c r="BJ200" s="331"/>
      <c r="BK200" s="529"/>
    </row>
    <row r="201" spans="1:63" ht="15.75" customHeight="1">
      <c r="A201" s="502"/>
      <c r="B201" s="7489"/>
      <c r="C201" s="653"/>
      <c r="D201" s="723" t="s">
        <v>746</v>
      </c>
      <c r="E201" s="814" t="s">
        <v>713</v>
      </c>
      <c r="F201" s="815" t="s">
        <v>714</v>
      </c>
      <c r="G201" s="543"/>
      <c r="H201" s="676"/>
      <c r="I201" s="331"/>
      <c r="J201" s="331"/>
      <c r="K201" s="331"/>
      <c r="L201" s="331"/>
      <c r="M201" s="331"/>
      <c r="N201" s="331"/>
      <c r="O201" s="331"/>
      <c r="P201" s="331"/>
      <c r="Q201" s="331"/>
      <c r="R201" s="331"/>
      <c r="S201" s="331"/>
      <c r="T201" s="331"/>
      <c r="U201" s="529"/>
      <c r="W201" s="7489"/>
      <c r="X201" s="653"/>
      <c r="Y201" s="723" t="s">
        <v>746</v>
      </c>
      <c r="Z201" s="814" t="s">
        <v>713</v>
      </c>
      <c r="AA201" s="815" t="s">
        <v>714</v>
      </c>
      <c r="AB201" s="543"/>
      <c r="AC201" s="676"/>
      <c r="AD201" s="331"/>
      <c r="AE201" s="331"/>
      <c r="AF201" s="331"/>
      <c r="AG201" s="331"/>
      <c r="AH201" s="331"/>
      <c r="AI201" s="331"/>
      <c r="AJ201" s="331"/>
      <c r="AK201" s="331"/>
      <c r="AL201" s="331"/>
      <c r="AM201" s="331"/>
      <c r="AN201" s="331"/>
      <c r="AO201" s="331"/>
      <c r="AP201" s="529"/>
      <c r="AR201" s="7489"/>
      <c r="AS201" s="653"/>
      <c r="AT201" s="723" t="s">
        <v>746</v>
      </c>
      <c r="AU201" s="814" t="s">
        <v>713</v>
      </c>
      <c r="AV201" s="815" t="s">
        <v>714</v>
      </c>
      <c r="AW201" s="543"/>
      <c r="AX201" s="676"/>
      <c r="AY201" s="331"/>
      <c r="AZ201" s="331"/>
      <c r="BA201" s="331"/>
      <c r="BB201" s="331"/>
      <c r="BC201" s="331"/>
      <c r="BD201" s="331"/>
      <c r="BE201" s="331"/>
      <c r="BF201" s="331"/>
      <c r="BG201" s="331"/>
      <c r="BH201" s="331"/>
      <c r="BI201" s="331"/>
      <c r="BJ201" s="331"/>
      <c r="BK201" s="529"/>
    </row>
    <row r="202" spans="1:63" ht="15.75" customHeight="1">
      <c r="A202" s="502"/>
      <c r="B202" s="7489"/>
      <c r="C202" s="653"/>
      <c r="D202" s="816" t="s">
        <v>747</v>
      </c>
      <c r="E202" s="817" t="str">
        <f>ADDRESS(ROW(E186),COLUMN(E186),4)</f>
        <v>E186</v>
      </c>
      <c r="G202" s="543"/>
      <c r="H202" s="676"/>
      <c r="I202" s="331"/>
      <c r="J202" s="331"/>
      <c r="K202" s="331"/>
      <c r="L202" s="331"/>
      <c r="M202" s="331"/>
      <c r="N202" s="331"/>
      <c r="O202" s="331"/>
      <c r="P202" s="331"/>
      <c r="Q202" s="331"/>
      <c r="R202" s="331"/>
      <c r="S202" s="331"/>
      <c r="T202" s="331"/>
      <c r="U202" s="529"/>
      <c r="W202" s="7489"/>
      <c r="X202" s="653"/>
      <c r="Y202" s="816" t="s">
        <v>747</v>
      </c>
      <c r="Z202" s="817" t="str">
        <f>ADDRESS(ROW(Z186),COLUMN(Z186),4)</f>
        <v>Z186</v>
      </c>
      <c r="AB202" s="543"/>
      <c r="AC202" s="676"/>
      <c r="AD202" s="331"/>
      <c r="AE202" s="331"/>
      <c r="AF202" s="331"/>
      <c r="AG202" s="331"/>
      <c r="AH202" s="331"/>
      <c r="AI202" s="331"/>
      <c r="AJ202" s="331"/>
      <c r="AK202" s="331"/>
      <c r="AL202" s="331"/>
      <c r="AM202" s="331"/>
      <c r="AN202" s="331"/>
      <c r="AO202" s="331"/>
      <c r="AP202" s="529"/>
      <c r="AR202" s="7489"/>
      <c r="AS202" s="653"/>
      <c r="AT202" s="816" t="s">
        <v>747</v>
      </c>
      <c r="AU202" s="817" t="str">
        <f>ADDRESS(ROW(AU186),COLUMN(AU186),4)</f>
        <v>AU186</v>
      </c>
      <c r="AW202" s="543"/>
      <c r="AX202" s="676"/>
      <c r="AY202" s="331"/>
      <c r="AZ202" s="331"/>
      <c r="BA202" s="331"/>
      <c r="BB202" s="331"/>
      <c r="BC202" s="331"/>
      <c r="BD202" s="331"/>
      <c r="BE202" s="331"/>
      <c r="BF202" s="331"/>
      <c r="BG202" s="331"/>
      <c r="BH202" s="331"/>
      <c r="BI202" s="331"/>
      <c r="BJ202" s="331"/>
      <c r="BK202" s="529"/>
    </row>
    <row r="203" spans="1:63" ht="15.75" customHeight="1">
      <c r="A203" s="502"/>
      <c r="B203" s="7489"/>
      <c r="C203" s="575" t="s">
        <v>718</v>
      </c>
      <c r="D203" s="420"/>
      <c r="E203" s="724"/>
      <c r="F203" s="575" t="s">
        <v>719</v>
      </c>
      <c r="G203" s="543"/>
      <c r="H203" s="676"/>
      <c r="I203" s="331"/>
      <c r="J203" s="331"/>
      <c r="K203" s="331"/>
      <c r="L203" s="331"/>
      <c r="M203" s="331"/>
      <c r="N203" s="331"/>
      <c r="O203" s="331"/>
      <c r="P203" s="331"/>
      <c r="Q203" s="331"/>
      <c r="R203" s="331"/>
      <c r="S203" s="331"/>
      <c r="T203" s="331"/>
      <c r="U203" s="529"/>
      <c r="W203" s="7489"/>
      <c r="X203" s="575" t="s">
        <v>718</v>
      </c>
      <c r="Y203" s="420"/>
      <c r="Z203" s="724"/>
      <c r="AA203" s="575" t="s">
        <v>719</v>
      </c>
      <c r="AB203" s="543"/>
      <c r="AC203" s="676"/>
      <c r="AD203" s="331"/>
      <c r="AE203" s="331"/>
      <c r="AF203" s="331"/>
      <c r="AG203" s="331"/>
      <c r="AH203" s="331"/>
      <c r="AI203" s="331"/>
      <c r="AJ203" s="331"/>
      <c r="AK203" s="331"/>
      <c r="AL203" s="331"/>
      <c r="AM203" s="331"/>
      <c r="AN203" s="331"/>
      <c r="AO203" s="331"/>
      <c r="AP203" s="529"/>
      <c r="AR203" s="7489"/>
      <c r="AS203" s="575" t="s">
        <v>718</v>
      </c>
      <c r="AT203" s="420"/>
      <c r="AU203" s="724"/>
      <c r="AV203" s="575" t="s">
        <v>719</v>
      </c>
      <c r="AW203" s="543"/>
      <c r="AX203" s="676"/>
      <c r="AY203" s="331"/>
      <c r="AZ203" s="331"/>
      <c r="BA203" s="331"/>
      <c r="BB203" s="331"/>
      <c r="BC203" s="331"/>
      <c r="BD203" s="331"/>
      <c r="BE203" s="331"/>
      <c r="BF203" s="331"/>
      <c r="BG203" s="331"/>
      <c r="BH203" s="331"/>
      <c r="BI203" s="331"/>
      <c r="BJ203" s="331"/>
      <c r="BK203" s="529"/>
    </row>
    <row r="204" spans="1:63" ht="15.75" customHeight="1">
      <c r="A204" s="502"/>
      <c r="B204" s="7489"/>
      <c r="C204" s="578">
        <v>12</v>
      </c>
      <c r="D204" s="578">
        <v>11</v>
      </c>
      <c r="E204" s="578">
        <v>11</v>
      </c>
      <c r="F204" s="578">
        <v>11</v>
      </c>
      <c r="G204" s="578">
        <v>11</v>
      </c>
      <c r="H204" s="579">
        <v>11</v>
      </c>
      <c r="I204" s="580" t="s">
        <v>583</v>
      </c>
      <c r="J204" s="331"/>
      <c r="K204" s="331"/>
      <c r="L204" s="331"/>
      <c r="M204" s="331"/>
      <c r="N204" s="331"/>
      <c r="O204" s="331"/>
      <c r="P204" s="331"/>
      <c r="Q204" s="331"/>
      <c r="R204" s="331"/>
      <c r="S204" s="331"/>
      <c r="T204" s="331"/>
      <c r="U204" s="529"/>
      <c r="W204" s="7489"/>
      <c r="X204" s="578">
        <v>12</v>
      </c>
      <c r="Y204" s="578">
        <v>11</v>
      </c>
      <c r="Z204" s="578">
        <v>11</v>
      </c>
      <c r="AA204" s="578">
        <v>11</v>
      </c>
      <c r="AB204" s="578">
        <v>11</v>
      </c>
      <c r="AC204" s="579">
        <v>11</v>
      </c>
      <c r="AD204" s="580" t="s">
        <v>583</v>
      </c>
      <c r="AE204" s="331"/>
      <c r="AF204" s="331"/>
      <c r="AG204" s="331"/>
      <c r="AH204" s="331"/>
      <c r="AI204" s="331"/>
      <c r="AJ204" s="331"/>
      <c r="AK204" s="331"/>
      <c r="AL204" s="331"/>
      <c r="AM204" s="331"/>
      <c r="AN204" s="331"/>
      <c r="AO204" s="331"/>
      <c r="AP204" s="529"/>
      <c r="AR204" s="7489"/>
      <c r="AS204" s="578">
        <v>12</v>
      </c>
      <c r="AT204" s="578">
        <v>11</v>
      </c>
      <c r="AU204" s="578">
        <v>11</v>
      </c>
      <c r="AV204" s="578">
        <v>11</v>
      </c>
      <c r="AW204" s="578">
        <v>11</v>
      </c>
      <c r="AX204" s="579">
        <v>11</v>
      </c>
      <c r="AY204" s="580" t="s">
        <v>583</v>
      </c>
      <c r="AZ204" s="331"/>
      <c r="BA204" s="331"/>
      <c r="BB204" s="331"/>
      <c r="BC204" s="331"/>
      <c r="BD204" s="331"/>
      <c r="BE204" s="331"/>
      <c r="BF204" s="331"/>
      <c r="BG204" s="331"/>
      <c r="BH204" s="331"/>
      <c r="BI204" s="331"/>
      <c r="BJ204" s="331"/>
      <c r="BK204" s="529"/>
    </row>
    <row r="205" spans="1:63" ht="15.75" customHeight="1" thickBot="1">
      <c r="A205" s="502"/>
      <c r="B205" s="7490"/>
      <c r="C205" s="587">
        <f t="shared" ref="C205:H205" ca="1" si="9">CELL("largeur",C205)</f>
        <v>13</v>
      </c>
      <c r="D205" s="587">
        <f t="shared" ca="1" si="9"/>
        <v>21</v>
      </c>
      <c r="E205" s="587">
        <f t="shared" ca="1" si="9"/>
        <v>13</v>
      </c>
      <c r="F205" s="587">
        <f t="shared" ca="1" si="9"/>
        <v>13</v>
      </c>
      <c r="G205" s="587">
        <f t="shared" ca="1" si="9"/>
        <v>13</v>
      </c>
      <c r="H205" s="588">
        <f t="shared" ca="1" si="9"/>
        <v>13</v>
      </c>
      <c r="I205" s="580" t="s">
        <v>586</v>
      </c>
      <c r="J205" s="331"/>
      <c r="K205" s="331"/>
      <c r="L205" s="331"/>
      <c r="M205" s="331"/>
      <c r="N205" s="331"/>
      <c r="O205" s="331"/>
      <c r="P205" s="331"/>
      <c r="Q205" s="331"/>
      <c r="R205" s="331"/>
      <c r="S205" s="331"/>
      <c r="T205" s="331"/>
      <c r="U205" s="529"/>
      <c r="W205" s="7490"/>
      <c r="X205" s="587">
        <f t="shared" ref="X205:AC205" ca="1" si="10">CELL("largeur",X205)</f>
        <v>13</v>
      </c>
      <c r="Y205" s="587">
        <f t="shared" ca="1" si="10"/>
        <v>21</v>
      </c>
      <c r="Z205" s="587">
        <f t="shared" ca="1" si="10"/>
        <v>13</v>
      </c>
      <c r="AA205" s="587">
        <f t="shared" ca="1" si="10"/>
        <v>13</v>
      </c>
      <c r="AB205" s="587">
        <f t="shared" ca="1" si="10"/>
        <v>13</v>
      </c>
      <c r="AC205" s="588">
        <f t="shared" ca="1" si="10"/>
        <v>13</v>
      </c>
      <c r="AD205" s="580" t="s">
        <v>586</v>
      </c>
      <c r="AE205" s="331"/>
      <c r="AF205" s="331"/>
      <c r="AG205" s="331"/>
      <c r="AH205" s="331"/>
      <c r="AI205" s="331"/>
      <c r="AJ205" s="331"/>
      <c r="AK205" s="331"/>
      <c r="AL205" s="331"/>
      <c r="AM205" s="331"/>
      <c r="AN205" s="331"/>
      <c r="AO205" s="331"/>
      <c r="AP205" s="529"/>
      <c r="AR205" s="7490"/>
      <c r="AS205" s="587">
        <f t="shared" ref="AS205:AX205" ca="1" si="11">CELL("largeur",AS205)</f>
        <v>13</v>
      </c>
      <c r="AT205" s="587">
        <f t="shared" ca="1" si="11"/>
        <v>21</v>
      </c>
      <c r="AU205" s="587">
        <f t="shared" ca="1" si="11"/>
        <v>13</v>
      </c>
      <c r="AV205" s="587">
        <f t="shared" ca="1" si="11"/>
        <v>13</v>
      </c>
      <c r="AW205" s="587">
        <f t="shared" ca="1" si="11"/>
        <v>13</v>
      </c>
      <c r="AX205" s="588">
        <f t="shared" ca="1" si="11"/>
        <v>13</v>
      </c>
      <c r="AY205" s="580" t="s">
        <v>586</v>
      </c>
      <c r="AZ205" s="331"/>
      <c r="BA205" s="331"/>
      <c r="BB205" s="331"/>
      <c r="BC205" s="331"/>
      <c r="BD205" s="331"/>
      <c r="BE205" s="331"/>
      <c r="BF205" s="331"/>
      <c r="BG205" s="331"/>
      <c r="BH205" s="331"/>
      <c r="BI205" s="331"/>
      <c r="BJ205" s="331"/>
      <c r="BK205" s="529"/>
    </row>
    <row r="206" spans="1:63" ht="16.5" thickBot="1">
      <c r="A206" s="502"/>
      <c r="B206" s="505"/>
      <c r="C206" s="502"/>
      <c r="D206" s="502"/>
      <c r="E206" s="502"/>
      <c r="F206" s="502"/>
      <c r="G206" s="502"/>
      <c r="H206" s="502"/>
      <c r="I206" s="502"/>
      <c r="J206" s="502"/>
      <c r="K206" s="331"/>
      <c r="L206" s="331"/>
      <c r="M206" s="331"/>
      <c r="N206" s="331"/>
      <c r="O206" s="331"/>
      <c r="P206" s="331"/>
      <c r="Q206" s="331"/>
      <c r="R206" s="331"/>
      <c r="S206" s="331"/>
      <c r="T206" s="331"/>
      <c r="U206" s="529"/>
      <c r="W206" s="505"/>
      <c r="X206" s="502"/>
      <c r="Y206" s="502"/>
      <c r="Z206" s="502"/>
      <c r="AA206" s="502"/>
      <c r="AB206" s="502"/>
      <c r="AC206" s="502"/>
      <c r="AD206" s="502"/>
      <c r="AE206" s="502"/>
      <c r="AF206" s="331"/>
      <c r="AG206" s="331"/>
      <c r="AH206" s="331"/>
      <c r="AI206" s="331"/>
      <c r="AJ206" s="331"/>
      <c r="AK206" s="331"/>
      <c r="AL206" s="331"/>
      <c r="AM206" s="331"/>
      <c r="AN206" s="331"/>
      <c r="AO206" s="331"/>
      <c r="AP206" s="529"/>
      <c r="AR206" s="505"/>
      <c r="AS206" s="502"/>
      <c r="AT206" s="502"/>
      <c r="AU206" s="502"/>
      <c r="AV206" s="502"/>
      <c r="AW206" s="502"/>
      <c r="AX206" s="502"/>
      <c r="AY206" s="502"/>
      <c r="AZ206" s="502"/>
      <c r="BA206" s="331"/>
      <c r="BB206" s="331"/>
      <c r="BC206" s="331"/>
      <c r="BD206" s="331"/>
      <c r="BE206" s="331"/>
      <c r="BF206" s="331"/>
      <c r="BG206" s="331"/>
      <c r="BH206" s="331"/>
      <c r="BI206" s="331"/>
      <c r="BJ206" s="331"/>
      <c r="BK206" s="529"/>
    </row>
    <row r="207" spans="1:63" s="504" customFormat="1">
      <c r="A207" s="502">
        <v>1</v>
      </c>
      <c r="B207" s="531" t="s">
        <v>252</v>
      </c>
      <c r="C207" s="818"/>
      <c r="D207" s="819"/>
      <c r="E207" s="819"/>
      <c r="F207" s="819"/>
      <c r="G207" s="819"/>
      <c r="H207" s="820"/>
      <c r="I207" s="819"/>
      <c r="J207" s="819"/>
      <c r="K207" s="821" t="s">
        <v>748</v>
      </c>
      <c r="L207" s="822" t="s">
        <v>749</v>
      </c>
      <c r="M207" s="502"/>
      <c r="N207" s="502"/>
      <c r="O207" s="502"/>
      <c r="P207" s="331"/>
      <c r="Q207" s="331"/>
      <c r="R207" s="331"/>
      <c r="S207" s="331"/>
      <c r="T207" s="331"/>
      <c r="U207" s="529"/>
      <c r="W207" s="531" t="s">
        <v>252</v>
      </c>
      <c r="X207" s="818"/>
      <c r="Y207" s="819"/>
      <c r="Z207" s="819"/>
      <c r="AA207" s="819"/>
      <c r="AB207" s="819"/>
      <c r="AC207" s="820"/>
      <c r="AD207" s="819"/>
      <c r="AE207" s="819"/>
      <c r="AF207" s="821" t="s">
        <v>748</v>
      </c>
      <c r="AG207" s="822" t="s">
        <v>749</v>
      </c>
      <c r="AH207" s="502"/>
      <c r="AI207" s="502"/>
      <c r="AJ207" s="502"/>
      <c r="AK207" s="331"/>
      <c r="AL207" s="331"/>
      <c r="AM207" s="331"/>
      <c r="AN207" s="331"/>
      <c r="AO207" s="331"/>
      <c r="AP207" s="529"/>
      <c r="AR207" s="531" t="s">
        <v>252</v>
      </c>
      <c r="AS207" s="818"/>
      <c r="AT207" s="819"/>
      <c r="AU207" s="819"/>
      <c r="AV207" s="819"/>
      <c r="AW207" s="819"/>
      <c r="AX207" s="820"/>
      <c r="AY207" s="819"/>
      <c r="AZ207" s="819"/>
      <c r="BA207" s="821" t="s">
        <v>748</v>
      </c>
      <c r="BB207" s="822" t="s">
        <v>749</v>
      </c>
      <c r="BC207" s="502"/>
      <c r="BD207" s="502"/>
      <c r="BE207" s="502"/>
      <c r="BF207" s="331"/>
      <c r="BG207" s="331"/>
      <c r="BH207" s="331"/>
      <c r="BI207" s="331"/>
      <c r="BJ207" s="331"/>
      <c r="BK207" s="529"/>
    </row>
    <row r="208" spans="1:63" s="504" customFormat="1" ht="15" customHeight="1">
      <c r="A208" s="502">
        <v>1</v>
      </c>
      <c r="B208" s="7472">
        <v>3</v>
      </c>
      <c r="C208" s="823" t="str">
        <f>ADDRESS(ROW(),COLUMN(),4)</f>
        <v>C208</v>
      </c>
      <c r="D208" s="824" t="s">
        <v>750</v>
      </c>
      <c r="E208" s="825"/>
      <c r="F208" s="825"/>
      <c r="G208" s="825"/>
      <c r="H208" s="825"/>
      <c r="I208" s="825"/>
      <c r="J208" s="825"/>
      <c r="K208" s="826"/>
      <c r="L208" s="331"/>
      <c r="M208" s="331"/>
      <c r="N208" s="331"/>
      <c r="O208" s="331"/>
      <c r="P208" s="331"/>
      <c r="Q208" s="331"/>
      <c r="R208" s="331"/>
      <c r="S208" s="331"/>
      <c r="T208" s="331"/>
      <c r="U208" s="529"/>
      <c r="W208" s="7472">
        <v>3</v>
      </c>
      <c r="X208" s="823" t="str">
        <f>ADDRESS(ROW(),COLUMN(),4)</f>
        <v>X208</v>
      </c>
      <c r="Y208" s="824" t="s">
        <v>750</v>
      </c>
      <c r="Z208" s="825"/>
      <c r="AA208" s="825"/>
      <c r="AB208" s="825"/>
      <c r="AC208" s="825"/>
      <c r="AD208" s="825"/>
      <c r="AE208" s="825"/>
      <c r="AF208" s="826"/>
      <c r="AG208" s="331"/>
      <c r="AH208" s="331"/>
      <c r="AI208" s="331"/>
      <c r="AJ208" s="331"/>
      <c r="AK208" s="331"/>
      <c r="AL208" s="331"/>
      <c r="AM208" s="331"/>
      <c r="AN208" s="331"/>
      <c r="AO208" s="331"/>
      <c r="AP208" s="529"/>
      <c r="AR208" s="7472">
        <v>3</v>
      </c>
      <c r="AS208" s="823" t="str">
        <f>ADDRESS(ROW(),COLUMN(),4)</f>
        <v>AS208</v>
      </c>
      <c r="AT208" s="824" t="s">
        <v>750</v>
      </c>
      <c r="AU208" s="825"/>
      <c r="AV208" s="825"/>
      <c r="AW208" s="825"/>
      <c r="AX208" s="825"/>
      <c r="AY208" s="825"/>
      <c r="AZ208" s="825"/>
      <c r="BA208" s="826"/>
      <c r="BB208" s="331"/>
      <c r="BC208" s="331"/>
      <c r="BD208" s="331"/>
      <c r="BE208" s="331"/>
      <c r="BF208" s="331"/>
      <c r="BG208" s="331"/>
      <c r="BH208" s="331"/>
      <c r="BI208" s="331"/>
      <c r="BJ208" s="331"/>
      <c r="BK208" s="529"/>
    </row>
    <row r="209" spans="1:63" s="504" customFormat="1" ht="15">
      <c r="A209" s="502">
        <v>1</v>
      </c>
      <c r="B209" s="7472"/>
      <c r="C209" s="827"/>
      <c r="D209" s="5415" t="s">
        <v>751</v>
      </c>
      <c r="E209" s="828">
        <v>0.44</v>
      </c>
      <c r="F209" s="829"/>
      <c r="G209" s="5416" t="s">
        <v>751</v>
      </c>
      <c r="H209" s="828">
        <v>100</v>
      </c>
      <c r="I209" s="829"/>
      <c r="J209" s="830" t="s">
        <v>752</v>
      </c>
      <c r="K209" s="831">
        <v>115</v>
      </c>
      <c r="L209" s="541" t="s">
        <v>654</v>
      </c>
      <c r="M209" s="331"/>
      <c r="N209" s="331"/>
      <c r="O209" s="331"/>
      <c r="P209" s="331"/>
      <c r="Q209" s="331"/>
      <c r="R209" s="331"/>
      <c r="S209" s="331"/>
      <c r="T209" s="331"/>
      <c r="U209" s="529"/>
      <c r="W209" s="7472"/>
      <c r="X209" s="827"/>
      <c r="Y209" s="5415" t="s">
        <v>751</v>
      </c>
      <c r="Z209" s="828">
        <v>0.44</v>
      </c>
      <c r="AA209" s="829"/>
      <c r="AB209" s="5416" t="s">
        <v>751</v>
      </c>
      <c r="AC209" s="828">
        <v>100</v>
      </c>
      <c r="AD209" s="829"/>
      <c r="AE209" s="830" t="s">
        <v>752</v>
      </c>
      <c r="AF209" s="831">
        <v>115</v>
      </c>
      <c r="AG209" s="541" t="s">
        <v>654</v>
      </c>
      <c r="AH209" s="331"/>
      <c r="AI209" s="331"/>
      <c r="AJ209" s="331"/>
      <c r="AK209" s="331"/>
      <c r="AL209" s="331"/>
      <c r="AM209" s="331"/>
      <c r="AN209" s="331"/>
      <c r="AO209" s="331"/>
      <c r="AP209" s="529"/>
      <c r="AR209" s="7472"/>
      <c r="AS209" s="827"/>
      <c r="AT209" s="5415" t="s">
        <v>751</v>
      </c>
      <c r="AU209" s="828">
        <v>0.44</v>
      </c>
      <c r="AV209" s="829"/>
      <c r="AW209" s="5416" t="s">
        <v>751</v>
      </c>
      <c r="AX209" s="828">
        <v>100</v>
      </c>
      <c r="AY209" s="829"/>
      <c r="AZ209" s="830" t="s">
        <v>752</v>
      </c>
      <c r="BA209" s="831">
        <v>115</v>
      </c>
      <c r="BB209" s="541" t="s">
        <v>654</v>
      </c>
      <c r="BC209" s="331"/>
      <c r="BD209" s="331"/>
      <c r="BE209" s="331"/>
      <c r="BF209" s="331"/>
      <c r="BG209" s="331"/>
      <c r="BH209" s="331"/>
      <c r="BI209" s="331"/>
      <c r="BJ209" s="331"/>
      <c r="BK209" s="529"/>
    </row>
    <row r="210" spans="1:63" s="504" customFormat="1">
      <c r="A210" s="502">
        <v>1</v>
      </c>
      <c r="B210" s="7472"/>
      <c r="C210" s="832"/>
      <c r="D210" s="833" t="s">
        <v>753</v>
      </c>
      <c r="E210" s="834">
        <v>60</v>
      </c>
      <c r="F210" s="829"/>
      <c r="G210" s="833" t="s">
        <v>754</v>
      </c>
      <c r="H210" s="835">
        <v>10</v>
      </c>
      <c r="I210" s="829"/>
      <c r="J210" s="5416" t="s">
        <v>751</v>
      </c>
      <c r="K210" s="836">
        <v>133</v>
      </c>
      <c r="L210" s="541" t="s">
        <v>659</v>
      </c>
      <c r="M210" s="331"/>
      <c r="N210" s="331"/>
      <c r="O210" s="331"/>
      <c r="P210" s="331"/>
      <c r="Q210" s="331"/>
      <c r="R210" s="331"/>
      <c r="S210" s="331"/>
      <c r="T210" s="331"/>
      <c r="U210" s="529"/>
      <c r="W210" s="7472"/>
      <c r="X210" s="832"/>
      <c r="Y210" s="833" t="s">
        <v>753</v>
      </c>
      <c r="Z210" s="834">
        <v>60</v>
      </c>
      <c r="AA210" s="829"/>
      <c r="AB210" s="833" t="s">
        <v>754</v>
      </c>
      <c r="AC210" s="835">
        <v>10</v>
      </c>
      <c r="AD210" s="829"/>
      <c r="AE210" s="5416" t="s">
        <v>751</v>
      </c>
      <c r="AF210" s="836">
        <v>133</v>
      </c>
      <c r="AG210" s="541" t="s">
        <v>659</v>
      </c>
      <c r="AH210" s="331"/>
      <c r="AI210" s="331"/>
      <c r="AJ210" s="331"/>
      <c r="AK210" s="331"/>
      <c r="AL210" s="331"/>
      <c r="AM210" s="331"/>
      <c r="AN210" s="331"/>
      <c r="AO210" s="331"/>
      <c r="AP210" s="529"/>
      <c r="AR210" s="7472"/>
      <c r="AS210" s="832"/>
      <c r="AT210" s="833" t="s">
        <v>753</v>
      </c>
      <c r="AU210" s="834">
        <v>60</v>
      </c>
      <c r="AV210" s="829"/>
      <c r="AW210" s="833" t="s">
        <v>754</v>
      </c>
      <c r="AX210" s="835">
        <v>10</v>
      </c>
      <c r="AY210" s="829"/>
      <c r="AZ210" s="5416" t="s">
        <v>751</v>
      </c>
      <c r="BA210" s="836">
        <v>133</v>
      </c>
      <c r="BB210" s="541" t="s">
        <v>659</v>
      </c>
      <c r="BC210" s="331"/>
      <c r="BD210" s="331"/>
      <c r="BE210" s="331"/>
      <c r="BF210" s="331"/>
      <c r="BG210" s="331"/>
      <c r="BH210" s="331"/>
      <c r="BI210" s="331"/>
      <c r="BJ210" s="331"/>
      <c r="BK210" s="529"/>
    </row>
    <row r="211" spans="1:63" s="504" customFormat="1">
      <c r="A211" s="502">
        <v>1</v>
      </c>
      <c r="B211" s="7472"/>
      <c r="C211" s="837"/>
      <c r="D211" s="838" t="s">
        <v>754</v>
      </c>
      <c r="E211" s="839">
        <f>E209*E210%</f>
        <v>0.26400000000000001</v>
      </c>
      <c r="F211" s="829"/>
      <c r="G211" s="840" t="s">
        <v>752</v>
      </c>
      <c r="H211" s="839">
        <f>IF(H209=0,0,H209+H210)</f>
        <v>110</v>
      </c>
      <c r="I211" s="829"/>
      <c r="J211" s="838" t="s">
        <v>754</v>
      </c>
      <c r="K211" s="841">
        <f>IF(K209=0,0,IF(K210=0,0,K209-K210))</f>
        <v>-18</v>
      </c>
      <c r="L211" s="842" t="str">
        <f>HYPERLINK("#"&amp;ADDRESS(ROW(K211),COLUMN(K211),4),"◀"&amp;ADDRESS(ROW(K211),COLUMN(K211),4))</f>
        <v>◀K211</v>
      </c>
      <c r="M211" s="331"/>
      <c r="N211" s="331"/>
      <c r="O211" s="331"/>
      <c r="P211" s="331"/>
      <c r="Q211" s="331"/>
      <c r="R211" s="331"/>
      <c r="S211" s="331"/>
      <c r="T211" s="331"/>
      <c r="U211" s="529"/>
      <c r="W211" s="7472"/>
      <c r="X211" s="837"/>
      <c r="Y211" s="838" t="s">
        <v>754</v>
      </c>
      <c r="Z211" s="839">
        <f>Z209*Z210%</f>
        <v>0.26400000000000001</v>
      </c>
      <c r="AA211" s="829"/>
      <c r="AB211" s="840" t="s">
        <v>752</v>
      </c>
      <c r="AC211" s="839">
        <f>IF(AC209=0,0,AC209+AC210)</f>
        <v>110</v>
      </c>
      <c r="AD211" s="829"/>
      <c r="AE211" s="838" t="s">
        <v>754</v>
      </c>
      <c r="AF211" s="841">
        <f>IF(AF209=0,0,IF(AF210=0,0,AF209-AF210))</f>
        <v>-18</v>
      </c>
      <c r="AG211" s="842" t="str">
        <f>HYPERLINK("#"&amp;ADDRESS(ROW(AF211),COLUMN(AF211),4),"◀"&amp;ADDRESS(ROW(AF211),COLUMN(AF211),4))</f>
        <v>◀AF211</v>
      </c>
      <c r="AH211" s="331"/>
      <c r="AI211" s="331"/>
      <c r="AJ211" s="331"/>
      <c r="AK211" s="331"/>
      <c r="AL211" s="331"/>
      <c r="AM211" s="331"/>
      <c r="AN211" s="331"/>
      <c r="AO211" s="331"/>
      <c r="AP211" s="529"/>
      <c r="AR211" s="7472"/>
      <c r="AS211" s="837"/>
      <c r="AT211" s="838" t="s">
        <v>754</v>
      </c>
      <c r="AU211" s="839">
        <f>AU209*AU210%</f>
        <v>0.26400000000000001</v>
      </c>
      <c r="AV211" s="829"/>
      <c r="AW211" s="840" t="s">
        <v>752</v>
      </c>
      <c r="AX211" s="839">
        <f>IF(AX209=0,0,AX209+AX210)</f>
        <v>110</v>
      </c>
      <c r="AY211" s="829"/>
      <c r="AZ211" s="838" t="s">
        <v>754</v>
      </c>
      <c r="BA211" s="841">
        <f>IF(BA209=0,0,IF(BA210=0,0,BA209-BA210))</f>
        <v>-18</v>
      </c>
      <c r="BB211" s="842" t="str">
        <f>HYPERLINK("#"&amp;ADDRESS(ROW(BA211),COLUMN(BA211),4),"◀"&amp;ADDRESS(ROW(BA211),COLUMN(BA211),4))</f>
        <v>◀BA211</v>
      </c>
      <c r="BC211" s="331"/>
      <c r="BD211" s="331"/>
      <c r="BE211" s="331"/>
      <c r="BF211" s="331"/>
      <c r="BG211" s="331"/>
      <c r="BH211" s="331"/>
      <c r="BI211" s="331"/>
      <c r="BJ211" s="331"/>
      <c r="BK211" s="529"/>
    </row>
    <row r="212" spans="1:63" s="504" customFormat="1" ht="15">
      <c r="A212" s="502">
        <v>1</v>
      </c>
      <c r="B212" s="7472"/>
      <c r="C212" s="843"/>
      <c r="D212" s="840" t="s">
        <v>752</v>
      </c>
      <c r="E212" s="839">
        <f>((E209*E210)/100)+E209</f>
        <v>0.70399999999999996</v>
      </c>
      <c r="F212" s="829"/>
      <c r="G212" s="844" t="s">
        <v>753</v>
      </c>
      <c r="H212" s="845">
        <f>IF(H209=0,0,IF(ISBLANK(H209),0,(H210/H209)*100))</f>
        <v>10</v>
      </c>
      <c r="I212" s="829"/>
      <c r="J212" s="844" t="s">
        <v>753</v>
      </c>
      <c r="K212" s="846">
        <f>IF(K210=0,0,IF(ISBLANK(K210),0,(K211/K210)*100))</f>
        <v>-13.533834586466165</v>
      </c>
      <c r="L212" s="842" t="str">
        <f>HYPERLINK("#"&amp;ADDRESS(ROW(K212),COLUMN(K212),4),"◀"&amp;ADDRESS(ROW(K212),COLUMN(K212),4))</f>
        <v>◀K212</v>
      </c>
      <c r="M212" s="331"/>
      <c r="N212" s="331"/>
      <c r="O212" s="331"/>
      <c r="P212" s="331"/>
      <c r="Q212" s="331"/>
      <c r="R212" s="331"/>
      <c r="S212" s="331"/>
      <c r="T212" s="331"/>
      <c r="U212" s="529"/>
      <c r="W212" s="7472"/>
      <c r="X212" s="843"/>
      <c r="Y212" s="840" t="s">
        <v>752</v>
      </c>
      <c r="Z212" s="839">
        <f>((Z209*Z210)/100)+Z209</f>
        <v>0.70399999999999996</v>
      </c>
      <c r="AA212" s="829"/>
      <c r="AB212" s="844" t="s">
        <v>753</v>
      </c>
      <c r="AC212" s="845">
        <f>IF(AC209=0,0,IF(ISBLANK(AC209),0,(AC210/AC209)*100))</f>
        <v>10</v>
      </c>
      <c r="AD212" s="829"/>
      <c r="AE212" s="844" t="s">
        <v>753</v>
      </c>
      <c r="AF212" s="846">
        <f>IF(AF210=0,0,IF(ISBLANK(AF210),0,(AF211/AF210)*100))</f>
        <v>-13.533834586466165</v>
      </c>
      <c r="AG212" s="842" t="str">
        <f>HYPERLINK("#"&amp;ADDRESS(ROW(AF212),COLUMN(AF212),4),"◀"&amp;ADDRESS(ROW(AF212),COLUMN(AF212),4))</f>
        <v>◀AF212</v>
      </c>
      <c r="AH212" s="331"/>
      <c r="AI212" s="331"/>
      <c r="AJ212" s="331"/>
      <c r="AK212" s="331"/>
      <c r="AL212" s="331"/>
      <c r="AM212" s="331"/>
      <c r="AN212" s="331"/>
      <c r="AO212" s="331"/>
      <c r="AP212" s="529"/>
      <c r="AR212" s="7472"/>
      <c r="AS212" s="843"/>
      <c r="AT212" s="840" t="s">
        <v>752</v>
      </c>
      <c r="AU212" s="839">
        <f>((AU209*AU210)/100)+AU209</f>
        <v>0.70399999999999996</v>
      </c>
      <c r="AV212" s="829"/>
      <c r="AW212" s="844" t="s">
        <v>753</v>
      </c>
      <c r="AX212" s="845">
        <f>IF(AX209=0,0,IF(ISBLANK(AX209),0,(AX210/AX209)*100))</f>
        <v>10</v>
      </c>
      <c r="AY212" s="829"/>
      <c r="AZ212" s="844" t="s">
        <v>753</v>
      </c>
      <c r="BA212" s="846">
        <f>IF(BA210=0,0,IF(ISBLANK(BA210),0,(BA211/BA210)*100))</f>
        <v>-13.533834586466165</v>
      </c>
      <c r="BB212" s="842" t="str">
        <f>HYPERLINK("#"&amp;ADDRESS(ROW(BA212),COLUMN(BA212),4),"◀"&amp;ADDRESS(ROW(BA212),COLUMN(BA212),4))</f>
        <v>◀BA212</v>
      </c>
      <c r="BC212" s="331"/>
      <c r="BD212" s="331"/>
      <c r="BE212" s="331"/>
      <c r="BF212" s="331"/>
      <c r="BG212" s="331"/>
      <c r="BH212" s="331"/>
      <c r="BI212" s="331"/>
      <c r="BJ212" s="331"/>
      <c r="BK212" s="529"/>
    </row>
    <row r="213" spans="1:63" s="504" customFormat="1" ht="15">
      <c r="A213" s="502">
        <v>1</v>
      </c>
      <c r="B213" s="7472"/>
      <c r="C213" s="847"/>
      <c r="D213" s="848"/>
      <c r="E213" s="849"/>
      <c r="F213" s="850"/>
      <c r="G213" s="851"/>
      <c r="H213" s="852"/>
      <c r="I213" s="850"/>
      <c r="J213" s="851"/>
      <c r="K213" s="853"/>
      <c r="L213" s="502">
        <v>1</v>
      </c>
      <c r="M213" s="331"/>
      <c r="N213" s="331"/>
      <c r="O213" s="331"/>
      <c r="P213" s="331"/>
      <c r="Q213" s="331"/>
      <c r="R213" s="331"/>
      <c r="S213" s="331"/>
      <c r="T213" s="331"/>
      <c r="U213" s="529"/>
      <c r="W213" s="7472"/>
      <c r="X213" s="847"/>
      <c r="Y213" s="848"/>
      <c r="Z213" s="849"/>
      <c r="AA213" s="850"/>
      <c r="AB213" s="851"/>
      <c r="AC213" s="852"/>
      <c r="AD213" s="850"/>
      <c r="AE213" s="851"/>
      <c r="AF213" s="853"/>
      <c r="AG213" s="502">
        <v>1</v>
      </c>
      <c r="AH213" s="331"/>
      <c r="AI213" s="331"/>
      <c r="AJ213" s="331"/>
      <c r="AK213" s="331"/>
      <c r="AL213" s="331"/>
      <c r="AM213" s="331"/>
      <c r="AN213" s="331"/>
      <c r="AO213" s="331"/>
      <c r="AP213" s="529"/>
      <c r="AR213" s="7472"/>
      <c r="AS213" s="847"/>
      <c r="AT213" s="848"/>
      <c r="AU213" s="849"/>
      <c r="AV213" s="850"/>
      <c r="AW213" s="851"/>
      <c r="AX213" s="852"/>
      <c r="AY213" s="850"/>
      <c r="AZ213" s="851"/>
      <c r="BA213" s="853"/>
      <c r="BB213" s="502">
        <v>1</v>
      </c>
      <c r="BC213" s="331"/>
      <c r="BD213" s="331"/>
      <c r="BE213" s="331"/>
      <c r="BF213" s="331"/>
      <c r="BG213" s="331"/>
      <c r="BH213" s="331"/>
      <c r="BI213" s="331"/>
      <c r="BJ213" s="331"/>
      <c r="BK213" s="529"/>
    </row>
    <row r="214" spans="1:63" s="504" customFormat="1" ht="15">
      <c r="A214" s="502">
        <v>1</v>
      </c>
      <c r="B214" s="7472"/>
      <c r="C214" s="827"/>
      <c r="D214" s="5416" t="s">
        <v>751</v>
      </c>
      <c r="E214" s="828">
        <v>5.8970000000000002</v>
      </c>
      <c r="F214" s="829"/>
      <c r="G214" s="830" t="s">
        <v>752</v>
      </c>
      <c r="H214" s="835">
        <v>9.64</v>
      </c>
      <c r="I214" s="829"/>
      <c r="J214" s="830" t="s">
        <v>752</v>
      </c>
      <c r="K214" s="831">
        <v>100</v>
      </c>
      <c r="L214" s="502">
        <v>1</v>
      </c>
      <c r="M214" s="331"/>
      <c r="N214" s="331"/>
      <c r="O214" s="331"/>
      <c r="P214" s="331"/>
      <c r="Q214" s="331"/>
      <c r="R214" s="331"/>
      <c r="S214" s="331"/>
      <c r="T214" s="331"/>
      <c r="U214" s="529"/>
      <c r="W214" s="7472"/>
      <c r="X214" s="827"/>
      <c r="Y214" s="5416" t="s">
        <v>751</v>
      </c>
      <c r="Z214" s="828">
        <v>5.8970000000000002</v>
      </c>
      <c r="AA214" s="829"/>
      <c r="AB214" s="830" t="s">
        <v>752</v>
      </c>
      <c r="AC214" s="835">
        <v>9.64</v>
      </c>
      <c r="AD214" s="829"/>
      <c r="AE214" s="830" t="s">
        <v>752</v>
      </c>
      <c r="AF214" s="831">
        <v>100</v>
      </c>
      <c r="AG214" s="502">
        <v>1</v>
      </c>
      <c r="AH214" s="331"/>
      <c r="AI214" s="331"/>
      <c r="AJ214" s="331"/>
      <c r="AK214" s="331"/>
      <c r="AL214" s="331"/>
      <c r="AM214" s="331"/>
      <c r="AN214" s="331"/>
      <c r="AO214" s="331"/>
      <c r="AP214" s="529"/>
      <c r="AR214" s="7472"/>
      <c r="AS214" s="827"/>
      <c r="AT214" s="5416" t="s">
        <v>751</v>
      </c>
      <c r="AU214" s="828">
        <v>5.8970000000000002</v>
      </c>
      <c r="AV214" s="829"/>
      <c r="AW214" s="830" t="s">
        <v>752</v>
      </c>
      <c r="AX214" s="835">
        <v>9.64</v>
      </c>
      <c r="AY214" s="829"/>
      <c r="AZ214" s="830" t="s">
        <v>752</v>
      </c>
      <c r="BA214" s="831">
        <v>100</v>
      </c>
      <c r="BB214" s="502">
        <v>1</v>
      </c>
      <c r="BC214" s="331"/>
      <c r="BD214" s="331"/>
      <c r="BE214" s="331"/>
      <c r="BF214" s="331"/>
      <c r="BG214" s="331"/>
      <c r="BH214" s="331"/>
      <c r="BI214" s="331"/>
      <c r="BJ214" s="331"/>
      <c r="BK214" s="529"/>
    </row>
    <row r="215" spans="1:63" s="504" customFormat="1">
      <c r="A215" s="502">
        <v>1</v>
      </c>
      <c r="B215" s="7472"/>
      <c r="C215" s="854"/>
      <c r="D215" s="830" t="s">
        <v>752</v>
      </c>
      <c r="E215" s="835">
        <v>9.64</v>
      </c>
      <c r="F215" s="829"/>
      <c r="G215" s="833" t="s">
        <v>753</v>
      </c>
      <c r="H215" s="855">
        <v>63.5</v>
      </c>
      <c r="I215" s="829"/>
      <c r="J215" s="833" t="s">
        <v>754</v>
      </c>
      <c r="K215" s="831">
        <v>50</v>
      </c>
      <c r="L215" s="502">
        <v>1</v>
      </c>
      <c r="M215" s="331"/>
      <c r="N215" s="331"/>
      <c r="O215" s="331"/>
      <c r="P215" s="331"/>
      <c r="Q215" s="331"/>
      <c r="R215" s="331"/>
      <c r="S215" s="331"/>
      <c r="T215" s="331"/>
      <c r="U215" s="529"/>
      <c r="W215" s="7472"/>
      <c r="X215" s="854"/>
      <c r="Y215" s="830" t="s">
        <v>752</v>
      </c>
      <c r="Z215" s="835">
        <v>9.64</v>
      </c>
      <c r="AA215" s="829"/>
      <c r="AB215" s="833" t="s">
        <v>753</v>
      </c>
      <c r="AC215" s="855">
        <v>63.5</v>
      </c>
      <c r="AD215" s="829"/>
      <c r="AE215" s="833" t="s">
        <v>754</v>
      </c>
      <c r="AF215" s="831">
        <v>50</v>
      </c>
      <c r="AG215" s="502">
        <v>1</v>
      </c>
      <c r="AH215" s="331"/>
      <c r="AI215" s="331"/>
      <c r="AJ215" s="331"/>
      <c r="AK215" s="331"/>
      <c r="AL215" s="331"/>
      <c r="AM215" s="331"/>
      <c r="AN215" s="331"/>
      <c r="AO215" s="331"/>
      <c r="AP215" s="529"/>
      <c r="AR215" s="7472"/>
      <c r="AS215" s="854"/>
      <c r="AT215" s="830" t="s">
        <v>752</v>
      </c>
      <c r="AU215" s="835">
        <v>9.64</v>
      </c>
      <c r="AV215" s="829"/>
      <c r="AW215" s="833" t="s">
        <v>753</v>
      </c>
      <c r="AX215" s="855">
        <v>63.5</v>
      </c>
      <c r="AY215" s="829"/>
      <c r="AZ215" s="833" t="s">
        <v>754</v>
      </c>
      <c r="BA215" s="831">
        <v>50</v>
      </c>
      <c r="BB215" s="502">
        <v>1</v>
      </c>
      <c r="BC215" s="331"/>
      <c r="BD215" s="331"/>
      <c r="BE215" s="331"/>
      <c r="BF215" s="331"/>
      <c r="BG215" s="331"/>
      <c r="BH215" s="331"/>
      <c r="BI215" s="331"/>
      <c r="BJ215" s="331"/>
      <c r="BK215" s="529"/>
    </row>
    <row r="216" spans="1:63" s="504" customFormat="1">
      <c r="A216" s="502">
        <v>1</v>
      </c>
      <c r="B216" s="7472"/>
      <c r="C216" s="837"/>
      <c r="D216" s="838" t="s">
        <v>754</v>
      </c>
      <c r="E216" s="839">
        <f>IF(E214=0,0,IF(E215=0,0,E215-E214))</f>
        <v>3.7430000000000003</v>
      </c>
      <c r="F216" s="829"/>
      <c r="G216" s="838" t="s">
        <v>754</v>
      </c>
      <c r="H216" s="839">
        <f>H214-H217</f>
        <v>3.7439755351681958</v>
      </c>
      <c r="I216" s="829"/>
      <c r="J216" s="840" t="s">
        <v>751</v>
      </c>
      <c r="K216" s="841">
        <f>IF(K214=0,0,IF(ISBLANK(K214),0,K214-K215))</f>
        <v>50</v>
      </c>
      <c r="L216" s="842" t="str">
        <f>HYPERLINK("#"&amp;ADDRESS(ROW(E216),COLUMN(E216),4),"◀"&amp;ADDRESS(ROW(E216),COLUMN(E216),4))</f>
        <v>◀E216</v>
      </c>
      <c r="M216" s="331"/>
      <c r="N216" s="331"/>
      <c r="O216" s="331"/>
      <c r="P216" s="331"/>
      <c r="Q216" s="331"/>
      <c r="R216" s="331"/>
      <c r="S216" s="331"/>
      <c r="T216" s="331"/>
      <c r="U216" s="529"/>
      <c r="W216" s="7472"/>
      <c r="X216" s="837"/>
      <c r="Y216" s="838" t="s">
        <v>754</v>
      </c>
      <c r="Z216" s="839">
        <f>IF(Z214=0,0,IF(Z215=0,0,Z215-Z214))</f>
        <v>3.7430000000000003</v>
      </c>
      <c r="AA216" s="829"/>
      <c r="AB216" s="838" t="s">
        <v>754</v>
      </c>
      <c r="AC216" s="839">
        <f>AC214-AC217</f>
        <v>3.7439755351681958</v>
      </c>
      <c r="AD216" s="829"/>
      <c r="AE216" s="840" t="s">
        <v>751</v>
      </c>
      <c r="AF216" s="841">
        <f>IF(AF214=0,0,IF(ISBLANK(AF214),0,AF214-AF215))</f>
        <v>50</v>
      </c>
      <c r="AG216" s="842" t="str">
        <f>HYPERLINK("#"&amp;ADDRESS(ROW(Z216),COLUMN(Z216),4),"◀"&amp;ADDRESS(ROW(Z216),COLUMN(Z216),4))</f>
        <v>◀Z216</v>
      </c>
      <c r="AH216" s="331"/>
      <c r="AI216" s="331"/>
      <c r="AJ216" s="331"/>
      <c r="AK216" s="331"/>
      <c r="AL216" s="331"/>
      <c r="AM216" s="331"/>
      <c r="AN216" s="331"/>
      <c r="AO216" s="331"/>
      <c r="AP216" s="529"/>
      <c r="AR216" s="7472"/>
      <c r="AS216" s="837"/>
      <c r="AT216" s="838" t="s">
        <v>754</v>
      </c>
      <c r="AU216" s="839">
        <f>IF(AU214=0,0,IF(AU215=0,0,AU215-AU214))</f>
        <v>3.7430000000000003</v>
      </c>
      <c r="AV216" s="829"/>
      <c r="AW216" s="838" t="s">
        <v>754</v>
      </c>
      <c r="AX216" s="839">
        <f>AX214-AX217</f>
        <v>3.7439755351681958</v>
      </c>
      <c r="AY216" s="829"/>
      <c r="AZ216" s="840" t="s">
        <v>751</v>
      </c>
      <c r="BA216" s="841">
        <f>IF(BA214=0,0,IF(ISBLANK(BA214),0,BA214-BA215))</f>
        <v>50</v>
      </c>
      <c r="BB216" s="842" t="str">
        <f>HYPERLINK("#"&amp;ADDRESS(ROW(AU216),COLUMN(AU216),4),"◀"&amp;ADDRESS(ROW(AU216),COLUMN(AU216),4))</f>
        <v>◀AU216</v>
      </c>
      <c r="BC216" s="331"/>
      <c r="BD216" s="331"/>
      <c r="BE216" s="331"/>
      <c r="BF216" s="331"/>
      <c r="BG216" s="331"/>
      <c r="BH216" s="331"/>
      <c r="BI216" s="331"/>
      <c r="BJ216" s="331"/>
      <c r="BK216" s="529"/>
    </row>
    <row r="217" spans="1:63" s="504" customFormat="1" ht="15">
      <c r="A217" s="502">
        <v>1</v>
      </c>
      <c r="B217" s="7472"/>
      <c r="C217" s="856"/>
      <c r="D217" s="857" t="s">
        <v>753</v>
      </c>
      <c r="E217" s="858">
        <f>IF(E214=0,0,IF(ISBLANK(E214),0,(E216/E214)*100))</f>
        <v>63.472952348651859</v>
      </c>
      <c r="F217" s="829"/>
      <c r="G217" s="859" t="s">
        <v>751</v>
      </c>
      <c r="H217" s="860">
        <f>(H214/(100+H215)*100)</f>
        <v>5.8960244648318048</v>
      </c>
      <c r="I217" s="829"/>
      <c r="J217" s="857" t="s">
        <v>753</v>
      </c>
      <c r="K217" s="861">
        <f>IF(K216=0,0,IF(ISBLANK(K215),0,(K215/K216)*100))</f>
        <v>100</v>
      </c>
      <c r="L217" s="842" t="str">
        <f>HYPERLINK("#"&amp;ADDRESS(ROW(E217),COLUMN(E217),4),"◀"&amp;ADDRESS(ROW(E217),COLUMN(E217),4))</f>
        <v>◀E217</v>
      </c>
      <c r="M217" s="331"/>
      <c r="N217" s="331"/>
      <c r="O217" s="331"/>
      <c r="P217" s="331"/>
      <c r="Q217" s="331"/>
      <c r="R217" s="331"/>
      <c r="S217" s="331"/>
      <c r="T217" s="331"/>
      <c r="U217" s="529"/>
      <c r="W217" s="7472"/>
      <c r="X217" s="856"/>
      <c r="Y217" s="857" t="s">
        <v>753</v>
      </c>
      <c r="Z217" s="858">
        <f>IF(Z214=0,0,IF(ISBLANK(Z214),0,(Z216/Z214)*100))</f>
        <v>63.472952348651859</v>
      </c>
      <c r="AA217" s="829"/>
      <c r="AB217" s="859" t="s">
        <v>751</v>
      </c>
      <c r="AC217" s="860">
        <f>(AC214/(100+AC215)*100)</f>
        <v>5.8960244648318048</v>
      </c>
      <c r="AD217" s="829"/>
      <c r="AE217" s="857" t="s">
        <v>753</v>
      </c>
      <c r="AF217" s="861">
        <f>IF(AF216=0,0,IF(ISBLANK(AF215),0,(AF215/AF216)*100))</f>
        <v>100</v>
      </c>
      <c r="AG217" s="842" t="str">
        <f>HYPERLINK("#"&amp;ADDRESS(ROW(Z217),COLUMN(Z217),4),"◀"&amp;ADDRESS(ROW(Z217),COLUMN(Z217),4))</f>
        <v>◀Z217</v>
      </c>
      <c r="AH217" s="331"/>
      <c r="AI217" s="331"/>
      <c r="AJ217" s="331"/>
      <c r="AK217" s="331"/>
      <c r="AL217" s="331"/>
      <c r="AM217" s="331"/>
      <c r="AN217" s="331"/>
      <c r="AO217" s="331"/>
      <c r="AP217" s="529"/>
      <c r="AR217" s="7472"/>
      <c r="AS217" s="856"/>
      <c r="AT217" s="857" t="s">
        <v>753</v>
      </c>
      <c r="AU217" s="858">
        <f>IF(AU214=0,0,IF(ISBLANK(AU214),0,(AU216/AU214)*100))</f>
        <v>63.472952348651859</v>
      </c>
      <c r="AV217" s="829"/>
      <c r="AW217" s="859" t="s">
        <v>751</v>
      </c>
      <c r="AX217" s="860">
        <f>(AX214/(100+AX215)*100)</f>
        <v>5.8960244648318048</v>
      </c>
      <c r="AY217" s="829"/>
      <c r="AZ217" s="857" t="s">
        <v>753</v>
      </c>
      <c r="BA217" s="861">
        <f>IF(BA216=0,0,IF(ISBLANK(BA215),0,(BA215/BA216)*100))</f>
        <v>100</v>
      </c>
      <c r="BB217" s="842" t="str">
        <f>HYPERLINK("#"&amp;ADDRESS(ROW(AU217),COLUMN(AU217),4),"◀"&amp;ADDRESS(ROW(AU217),COLUMN(AU217),4))</f>
        <v>◀AU217</v>
      </c>
      <c r="BC217" s="331"/>
      <c r="BD217" s="331"/>
      <c r="BE217" s="331"/>
      <c r="BF217" s="331"/>
      <c r="BG217" s="331"/>
      <c r="BH217" s="331"/>
      <c r="BI217" s="331"/>
      <c r="BJ217" s="331"/>
      <c r="BK217" s="529"/>
    </row>
    <row r="218" spans="1:63" s="504" customFormat="1" ht="15">
      <c r="A218" s="502">
        <v>1</v>
      </c>
      <c r="B218" s="7472"/>
      <c r="C218" s="7487" t="s">
        <v>755</v>
      </c>
      <c r="D218" s="7487"/>
      <c r="E218" s="7487"/>
      <c r="F218" s="7487"/>
      <c r="G218" s="7487"/>
      <c r="H218" s="7487"/>
      <c r="I218" s="7487"/>
      <c r="J218" s="7487"/>
      <c r="K218" s="7488"/>
      <c r="L218" s="502">
        <v>1</v>
      </c>
      <c r="M218" s="331"/>
      <c r="N218" s="331"/>
      <c r="O218" s="331"/>
      <c r="P218" s="331"/>
      <c r="Q218" s="331"/>
      <c r="R218" s="331"/>
      <c r="S218" s="331"/>
      <c r="T218" s="331"/>
      <c r="U218" s="529"/>
      <c r="W218" s="7472"/>
      <c r="X218" s="7487" t="s">
        <v>755</v>
      </c>
      <c r="Y218" s="7487"/>
      <c r="Z218" s="7487"/>
      <c r="AA218" s="7487"/>
      <c r="AB218" s="7487"/>
      <c r="AC218" s="7487"/>
      <c r="AD218" s="7487"/>
      <c r="AE218" s="7487"/>
      <c r="AF218" s="7488"/>
      <c r="AG218" s="502">
        <v>1</v>
      </c>
      <c r="AH218" s="331"/>
      <c r="AI218" s="331"/>
      <c r="AJ218" s="331"/>
      <c r="AK218" s="331"/>
      <c r="AL218" s="331"/>
      <c r="AM218" s="331"/>
      <c r="AN218" s="331"/>
      <c r="AO218" s="331"/>
      <c r="AP218" s="529"/>
      <c r="AR218" s="7472"/>
      <c r="AS218" s="7487" t="s">
        <v>755</v>
      </c>
      <c r="AT218" s="7487"/>
      <c r="AU218" s="7487"/>
      <c r="AV218" s="7487"/>
      <c r="AW218" s="7487"/>
      <c r="AX218" s="7487"/>
      <c r="AY218" s="7487"/>
      <c r="AZ218" s="7487"/>
      <c r="BA218" s="7488"/>
      <c r="BB218" s="502">
        <v>1</v>
      </c>
      <c r="BC218" s="331"/>
      <c r="BD218" s="331"/>
      <c r="BE218" s="331"/>
      <c r="BF218" s="331"/>
      <c r="BG218" s="331"/>
      <c r="BH218" s="331"/>
      <c r="BI218" s="331"/>
      <c r="BJ218" s="331"/>
      <c r="BK218" s="529"/>
    </row>
    <row r="219" spans="1:63" s="504" customFormat="1" ht="15">
      <c r="A219" s="502"/>
      <c r="B219" s="7472"/>
      <c r="C219" s="578">
        <v>12</v>
      </c>
      <c r="D219" s="578">
        <v>11</v>
      </c>
      <c r="E219" s="578">
        <v>11</v>
      </c>
      <c r="F219" s="578">
        <v>11</v>
      </c>
      <c r="G219" s="578">
        <v>11</v>
      </c>
      <c r="H219" s="578">
        <v>11</v>
      </c>
      <c r="I219" s="578">
        <v>11</v>
      </c>
      <c r="J219" s="578">
        <v>11</v>
      </c>
      <c r="K219" s="579">
        <v>11</v>
      </c>
      <c r="L219" s="580" t="s">
        <v>583</v>
      </c>
      <c r="M219" s="331"/>
      <c r="N219" s="331"/>
      <c r="O219" s="331"/>
      <c r="P219" s="331"/>
      <c r="Q219" s="331"/>
      <c r="R219" s="331"/>
      <c r="S219" s="331"/>
      <c r="T219" s="331"/>
      <c r="U219" s="529"/>
      <c r="W219" s="7472"/>
      <c r="X219" s="578">
        <v>12</v>
      </c>
      <c r="Y219" s="578">
        <v>11</v>
      </c>
      <c r="Z219" s="578">
        <v>11</v>
      </c>
      <c r="AA219" s="578">
        <v>11</v>
      </c>
      <c r="AB219" s="578">
        <v>11</v>
      </c>
      <c r="AC219" s="578">
        <v>11</v>
      </c>
      <c r="AD219" s="578">
        <v>11</v>
      </c>
      <c r="AE219" s="578">
        <v>11</v>
      </c>
      <c r="AF219" s="579">
        <v>11</v>
      </c>
      <c r="AG219" s="580" t="s">
        <v>583</v>
      </c>
      <c r="AH219" s="331"/>
      <c r="AI219" s="331"/>
      <c r="AJ219" s="331"/>
      <c r="AK219" s="331"/>
      <c r="AL219" s="331"/>
      <c r="AM219" s="331"/>
      <c r="AN219" s="331"/>
      <c r="AO219" s="331"/>
      <c r="AP219" s="529"/>
      <c r="AR219" s="7472"/>
      <c r="AS219" s="578">
        <v>12</v>
      </c>
      <c r="AT219" s="578">
        <v>11</v>
      </c>
      <c r="AU219" s="578">
        <v>11</v>
      </c>
      <c r="AV219" s="578">
        <v>11</v>
      </c>
      <c r="AW219" s="578">
        <v>11</v>
      </c>
      <c r="AX219" s="578">
        <v>11</v>
      </c>
      <c r="AY219" s="578">
        <v>11</v>
      </c>
      <c r="AZ219" s="578">
        <v>11</v>
      </c>
      <c r="BA219" s="579">
        <v>11</v>
      </c>
      <c r="BB219" s="580" t="s">
        <v>583</v>
      </c>
      <c r="BC219" s="331"/>
      <c r="BD219" s="331"/>
      <c r="BE219" s="331"/>
      <c r="BF219" s="331"/>
      <c r="BG219" s="331"/>
      <c r="BH219" s="331"/>
      <c r="BI219" s="331"/>
      <c r="BJ219" s="331"/>
      <c r="BK219" s="529"/>
    </row>
    <row r="220" spans="1:63" s="504" customFormat="1" thickBot="1">
      <c r="A220" s="502"/>
      <c r="B220" s="7473"/>
      <c r="C220" s="587">
        <f ca="1">CELL("largeur",C220)</f>
        <v>13</v>
      </c>
      <c r="D220" s="587">
        <f t="shared" ref="D220:K220" ca="1" si="12">CELL("largeur",D220)</f>
        <v>21</v>
      </c>
      <c r="E220" s="587">
        <f t="shared" ca="1" si="12"/>
        <v>13</v>
      </c>
      <c r="F220" s="587">
        <f ca="1">CELL("largeur",F220)</f>
        <v>13</v>
      </c>
      <c r="G220" s="587">
        <f t="shared" ca="1" si="12"/>
        <v>13</v>
      </c>
      <c r="H220" s="587">
        <f t="shared" ca="1" si="12"/>
        <v>13</v>
      </c>
      <c r="I220" s="587">
        <f t="shared" ca="1" si="12"/>
        <v>16</v>
      </c>
      <c r="J220" s="587">
        <f t="shared" ca="1" si="12"/>
        <v>18</v>
      </c>
      <c r="K220" s="588">
        <f t="shared" ca="1" si="12"/>
        <v>16</v>
      </c>
      <c r="L220" s="580" t="s">
        <v>586</v>
      </c>
      <c r="M220" s="331"/>
      <c r="N220" s="331"/>
      <c r="O220" s="331"/>
      <c r="P220" s="331"/>
      <c r="Q220" s="331"/>
      <c r="R220" s="331"/>
      <c r="S220" s="331"/>
      <c r="T220" s="331"/>
      <c r="U220" s="529"/>
      <c r="W220" s="7473"/>
      <c r="X220" s="587">
        <f ca="1">CELL("largeur",X220)</f>
        <v>13</v>
      </c>
      <c r="Y220" s="587">
        <f t="shared" ref="Y220:AF220" ca="1" si="13">CELL("largeur",Y220)</f>
        <v>21</v>
      </c>
      <c r="Z220" s="587">
        <f t="shared" ca="1" si="13"/>
        <v>13</v>
      </c>
      <c r="AA220" s="587">
        <f ca="1">CELL("largeur",AA220)</f>
        <v>13</v>
      </c>
      <c r="AB220" s="587">
        <f t="shared" ca="1" si="13"/>
        <v>13</v>
      </c>
      <c r="AC220" s="587">
        <f t="shared" ca="1" si="13"/>
        <v>13</v>
      </c>
      <c r="AD220" s="587">
        <f t="shared" ca="1" si="13"/>
        <v>16</v>
      </c>
      <c r="AE220" s="587">
        <f t="shared" ca="1" si="13"/>
        <v>18</v>
      </c>
      <c r="AF220" s="588">
        <f t="shared" ca="1" si="13"/>
        <v>16</v>
      </c>
      <c r="AG220" s="580" t="s">
        <v>586</v>
      </c>
      <c r="AH220" s="331"/>
      <c r="AI220" s="331"/>
      <c r="AJ220" s="331"/>
      <c r="AK220" s="331"/>
      <c r="AL220" s="331"/>
      <c r="AM220" s="331"/>
      <c r="AN220" s="331"/>
      <c r="AO220" s="331"/>
      <c r="AP220" s="529"/>
      <c r="AR220" s="7473"/>
      <c r="AS220" s="587">
        <f ca="1">CELL("largeur",AS220)</f>
        <v>13</v>
      </c>
      <c r="AT220" s="587">
        <f t="shared" ref="AT220:BA220" ca="1" si="14">CELL("largeur",AT220)</f>
        <v>21</v>
      </c>
      <c r="AU220" s="587">
        <f t="shared" ca="1" si="14"/>
        <v>13</v>
      </c>
      <c r="AV220" s="587">
        <f ca="1">CELL("largeur",AV220)</f>
        <v>13</v>
      </c>
      <c r="AW220" s="587">
        <f t="shared" ca="1" si="14"/>
        <v>13</v>
      </c>
      <c r="AX220" s="587">
        <f t="shared" ca="1" si="14"/>
        <v>13</v>
      </c>
      <c r="AY220" s="587">
        <f t="shared" ca="1" si="14"/>
        <v>16</v>
      </c>
      <c r="AZ220" s="587">
        <f t="shared" ca="1" si="14"/>
        <v>18</v>
      </c>
      <c r="BA220" s="588">
        <f t="shared" ca="1" si="14"/>
        <v>16</v>
      </c>
      <c r="BB220" s="580" t="s">
        <v>586</v>
      </c>
      <c r="BC220" s="331"/>
      <c r="BD220" s="331"/>
      <c r="BE220" s="331"/>
      <c r="BF220" s="331"/>
      <c r="BG220" s="331"/>
      <c r="BH220" s="331"/>
      <c r="BI220" s="331"/>
      <c r="BJ220" s="331"/>
      <c r="BK220" s="529"/>
    </row>
    <row r="221" spans="1:63" s="504" customFormat="1" thickBot="1">
      <c r="A221" s="580"/>
      <c r="B221" s="862"/>
      <c r="C221" s="580"/>
      <c r="D221" s="580"/>
      <c r="E221" s="580"/>
      <c r="F221" s="580"/>
      <c r="G221" s="580"/>
      <c r="H221" s="580"/>
      <c r="I221" s="580"/>
      <c r="J221" s="580"/>
      <c r="K221" s="580"/>
      <c r="L221" s="331"/>
      <c r="M221" s="331"/>
      <c r="N221" s="331"/>
      <c r="O221" s="331"/>
      <c r="P221" s="331"/>
      <c r="Q221" s="331"/>
      <c r="R221" s="331"/>
      <c r="S221" s="331"/>
      <c r="T221" s="331"/>
      <c r="U221" s="529"/>
      <c r="W221" s="862"/>
      <c r="X221" s="580"/>
      <c r="Y221" s="580"/>
      <c r="Z221" s="580"/>
      <c r="AA221" s="580"/>
      <c r="AB221" s="580"/>
      <c r="AC221" s="580"/>
      <c r="AD221" s="580"/>
      <c r="AE221" s="580"/>
      <c r="AF221" s="580"/>
      <c r="AG221" s="331"/>
      <c r="AH221" s="331"/>
      <c r="AI221" s="331"/>
      <c r="AJ221" s="331"/>
      <c r="AK221" s="331"/>
      <c r="AL221" s="331"/>
      <c r="AM221" s="331"/>
      <c r="AN221" s="331"/>
      <c r="AO221" s="331"/>
      <c r="AP221" s="529"/>
      <c r="AR221" s="862"/>
      <c r="AS221" s="580"/>
      <c r="AT221" s="580"/>
      <c r="AU221" s="580"/>
      <c r="AV221" s="580"/>
      <c r="AW221" s="580"/>
      <c r="AX221" s="580"/>
      <c r="AY221" s="580"/>
      <c r="AZ221" s="580"/>
      <c r="BA221" s="580"/>
      <c r="BB221" s="331"/>
      <c r="BC221" s="331"/>
      <c r="BD221" s="331"/>
      <c r="BE221" s="331"/>
      <c r="BF221" s="331"/>
      <c r="BG221" s="331"/>
      <c r="BH221" s="331"/>
      <c r="BI221" s="331"/>
      <c r="BJ221" s="331"/>
      <c r="BK221" s="529"/>
    </row>
    <row r="222" spans="1:63" s="504" customFormat="1" ht="21">
      <c r="A222" s="502"/>
      <c r="B222" s="531" t="s">
        <v>252</v>
      </c>
      <c r="C222" s="863" t="s">
        <v>756</v>
      </c>
      <c r="D222" s="864"/>
      <c r="E222" s="864"/>
      <c r="F222" s="864"/>
      <c r="G222" s="864"/>
      <c r="H222" s="864"/>
      <c r="I222" s="864"/>
      <c r="J222" s="864"/>
      <c r="K222" s="865" t="s">
        <v>757</v>
      </c>
      <c r="L222" s="331"/>
      <c r="M222" s="866" t="s">
        <v>252</v>
      </c>
      <c r="N222" s="7470" t="s">
        <v>758</v>
      </c>
      <c r="O222" s="7470"/>
      <c r="P222" s="7470"/>
      <c r="Q222" s="7470"/>
      <c r="R222" s="7470"/>
      <c r="S222" s="7470"/>
      <c r="T222" s="7471"/>
      <c r="U222" s="529"/>
      <c r="W222" s="531" t="s">
        <v>252</v>
      </c>
      <c r="X222" s="863" t="s">
        <v>756</v>
      </c>
      <c r="Y222" s="864"/>
      <c r="Z222" s="864"/>
      <c r="AA222" s="864"/>
      <c r="AB222" s="864"/>
      <c r="AC222" s="864"/>
      <c r="AD222" s="864"/>
      <c r="AE222" s="864"/>
      <c r="AF222" s="865" t="s">
        <v>757</v>
      </c>
      <c r="AG222" s="331"/>
      <c r="AH222" s="866" t="s">
        <v>252</v>
      </c>
      <c r="AI222" s="7470" t="s">
        <v>758</v>
      </c>
      <c r="AJ222" s="7470"/>
      <c r="AK222" s="7470"/>
      <c r="AL222" s="7470"/>
      <c r="AM222" s="7470"/>
      <c r="AN222" s="7470"/>
      <c r="AO222" s="7471"/>
      <c r="AP222" s="529"/>
      <c r="AR222" s="531" t="s">
        <v>252</v>
      </c>
      <c r="AS222" s="863" t="s">
        <v>756</v>
      </c>
      <c r="AT222" s="864"/>
      <c r="AU222" s="864"/>
      <c r="AV222" s="864"/>
      <c r="AW222" s="864"/>
      <c r="AX222" s="864"/>
      <c r="AY222" s="864"/>
      <c r="AZ222" s="864"/>
      <c r="BA222" s="865" t="s">
        <v>757</v>
      </c>
      <c r="BB222" s="331"/>
      <c r="BC222" s="866" t="s">
        <v>252</v>
      </c>
      <c r="BD222" s="7470" t="s">
        <v>758</v>
      </c>
      <c r="BE222" s="7470"/>
      <c r="BF222" s="7470"/>
      <c r="BG222" s="7470"/>
      <c r="BH222" s="7470"/>
      <c r="BI222" s="7470"/>
      <c r="BJ222" s="7471"/>
      <c r="BK222" s="529"/>
    </row>
    <row r="223" spans="1:63" s="504" customFormat="1" ht="15" customHeight="1">
      <c r="A223" s="502"/>
      <c r="B223" s="7472">
        <v>3</v>
      </c>
      <c r="C223" s="937" t="str">
        <f>ADDRESS(ROW(),COLUMN(),4)</f>
        <v>C223</v>
      </c>
      <c r="D223" s="938"/>
      <c r="E223" s="938"/>
      <c r="F223" s="939"/>
      <c r="G223" s="938"/>
      <c r="H223" s="938"/>
      <c r="I223" s="940"/>
      <c r="J223" s="940"/>
      <c r="K223" s="941"/>
      <c r="L223" s="331"/>
      <c r="M223" s="7474">
        <v>3</v>
      </c>
      <c r="N223" s="867" t="str">
        <f>ADDRESS(ROW(),COLUMN(),4)</f>
        <v>N223</v>
      </c>
      <c r="O223" s="824" t="s">
        <v>750</v>
      </c>
      <c r="P223" s="825"/>
      <c r="Q223" s="825"/>
      <c r="R223" s="825"/>
      <c r="S223" s="825"/>
      <c r="T223" s="826"/>
      <c r="U223" s="529"/>
      <c r="W223" s="7472">
        <v>3</v>
      </c>
      <c r="X223" s="937" t="str">
        <f>ADDRESS(ROW(),COLUMN(),4)</f>
        <v>X223</v>
      </c>
      <c r="Y223" s="938"/>
      <c r="Z223" s="938"/>
      <c r="AA223" s="939"/>
      <c r="AB223" s="938"/>
      <c r="AC223" s="938"/>
      <c r="AD223" s="940"/>
      <c r="AE223" s="940"/>
      <c r="AF223" s="941"/>
      <c r="AG223" s="331"/>
      <c r="AH223" s="7474">
        <v>3</v>
      </c>
      <c r="AI223" s="867" t="str">
        <f>ADDRESS(ROW(),COLUMN(),4)</f>
        <v>AI223</v>
      </c>
      <c r="AJ223" s="824" t="s">
        <v>750</v>
      </c>
      <c r="AK223" s="825"/>
      <c r="AL223" s="825"/>
      <c r="AM223" s="825"/>
      <c r="AN223" s="825"/>
      <c r="AO223" s="826"/>
      <c r="AP223" s="529"/>
      <c r="AR223" s="7472">
        <v>3</v>
      </c>
      <c r="AS223" s="937" t="str">
        <f>ADDRESS(ROW(),COLUMN(),4)</f>
        <v>AS223</v>
      </c>
      <c r="AT223" s="938"/>
      <c r="AU223" s="938"/>
      <c r="AV223" s="939"/>
      <c r="AW223" s="938"/>
      <c r="AX223" s="938"/>
      <c r="AY223" s="940"/>
      <c r="AZ223" s="940"/>
      <c r="BA223" s="941"/>
      <c r="BB223" s="331"/>
      <c r="BC223" s="7474">
        <v>3</v>
      </c>
      <c r="BD223" s="867" t="str">
        <f>ADDRESS(ROW(),COLUMN(),4)</f>
        <v>BD223</v>
      </c>
      <c r="BE223" s="824" t="s">
        <v>750</v>
      </c>
      <c r="BF223" s="825"/>
      <c r="BG223" s="825"/>
      <c r="BH223" s="825"/>
      <c r="BI223" s="825"/>
      <c r="BJ223" s="826"/>
      <c r="BK223" s="529"/>
    </row>
    <row r="224" spans="1:63" s="504" customFormat="1" ht="15.75" customHeight="1">
      <c r="A224" s="502"/>
      <c r="B224" s="7472"/>
      <c r="C224" s="939"/>
      <c r="D224" s="5418" t="s">
        <v>759</v>
      </c>
      <c r="E224" s="942">
        <v>1</v>
      </c>
      <c r="F224" s="943"/>
      <c r="G224" s="5417" t="s">
        <v>759</v>
      </c>
      <c r="H224" s="942">
        <v>1</v>
      </c>
      <c r="I224" s="944"/>
      <c r="J224" s="5418" t="s">
        <v>759</v>
      </c>
      <c r="K224" s="945">
        <v>1</v>
      </c>
      <c r="L224" s="331"/>
      <c r="M224" s="7474"/>
      <c r="N224" s="7476" t="s">
        <v>760</v>
      </c>
      <c r="O224" s="7476"/>
      <c r="P224" s="7478" t="s">
        <v>761</v>
      </c>
      <c r="Q224" s="7478"/>
      <c r="R224" s="7478"/>
      <c r="S224" s="7478"/>
      <c r="T224" s="7479"/>
      <c r="U224" s="529"/>
      <c r="W224" s="7472"/>
      <c r="X224" s="939"/>
      <c r="Y224" s="5418" t="s">
        <v>759</v>
      </c>
      <c r="Z224" s="942">
        <v>1</v>
      </c>
      <c r="AA224" s="943"/>
      <c r="AB224" s="5417" t="s">
        <v>759</v>
      </c>
      <c r="AC224" s="942">
        <v>1</v>
      </c>
      <c r="AD224" s="944"/>
      <c r="AE224" s="5418" t="s">
        <v>759</v>
      </c>
      <c r="AF224" s="945">
        <v>1</v>
      </c>
      <c r="AG224" s="331"/>
      <c r="AH224" s="7474"/>
      <c r="AI224" s="7476" t="s">
        <v>760</v>
      </c>
      <c r="AJ224" s="7476"/>
      <c r="AK224" s="7478" t="s">
        <v>761</v>
      </c>
      <c r="AL224" s="7478"/>
      <c r="AM224" s="7478"/>
      <c r="AN224" s="7478"/>
      <c r="AO224" s="7479"/>
      <c r="AP224" s="529"/>
      <c r="AR224" s="7472"/>
      <c r="AS224" s="939"/>
      <c r="AT224" s="5418" t="s">
        <v>759</v>
      </c>
      <c r="AU224" s="942">
        <v>1</v>
      </c>
      <c r="AV224" s="943"/>
      <c r="AW224" s="5417" t="s">
        <v>759</v>
      </c>
      <c r="AX224" s="942">
        <v>1</v>
      </c>
      <c r="AY224" s="944"/>
      <c r="AZ224" s="5418" t="s">
        <v>759</v>
      </c>
      <c r="BA224" s="945">
        <v>1</v>
      </c>
      <c r="BB224" s="331"/>
      <c r="BC224" s="7474"/>
      <c r="BD224" s="7476" t="s">
        <v>760</v>
      </c>
      <c r="BE224" s="7476"/>
      <c r="BF224" s="7478" t="s">
        <v>761</v>
      </c>
      <c r="BG224" s="7478"/>
      <c r="BH224" s="7478"/>
      <c r="BI224" s="7478"/>
      <c r="BJ224" s="7479"/>
      <c r="BK224" s="529"/>
    </row>
    <row r="225" spans="1:63" s="504" customFormat="1" ht="15.75" customHeight="1">
      <c r="A225" s="502"/>
      <c r="B225" s="7472"/>
      <c r="C225" s="520"/>
      <c r="D225" s="868" t="s">
        <v>762</v>
      </c>
      <c r="E225" s="869">
        <v>2</v>
      </c>
      <c r="F225" s="870"/>
      <c r="G225" s="871" t="s">
        <v>763</v>
      </c>
      <c r="H225" s="869">
        <v>2</v>
      </c>
      <c r="I225" s="872"/>
      <c r="J225" s="868" t="s">
        <v>764</v>
      </c>
      <c r="K225" s="873">
        <v>50</v>
      </c>
      <c r="L225" s="331"/>
      <c r="M225" s="7474"/>
      <c r="N225" s="7477"/>
      <c r="O225" s="7477"/>
      <c r="P225" s="7480"/>
      <c r="Q225" s="7480"/>
      <c r="R225" s="7480"/>
      <c r="S225" s="7480"/>
      <c r="T225" s="7481"/>
      <c r="U225" s="529"/>
      <c r="W225" s="7472"/>
      <c r="X225" s="520"/>
      <c r="Y225" s="868" t="s">
        <v>762</v>
      </c>
      <c r="Z225" s="869">
        <v>2</v>
      </c>
      <c r="AA225" s="870"/>
      <c r="AB225" s="871" t="s">
        <v>763</v>
      </c>
      <c r="AC225" s="869">
        <v>2</v>
      </c>
      <c r="AD225" s="872"/>
      <c r="AE225" s="868" t="s">
        <v>764</v>
      </c>
      <c r="AF225" s="873">
        <v>50</v>
      </c>
      <c r="AG225" s="331"/>
      <c r="AH225" s="7474"/>
      <c r="AI225" s="7477"/>
      <c r="AJ225" s="7477"/>
      <c r="AK225" s="7480"/>
      <c r="AL225" s="7480"/>
      <c r="AM225" s="7480"/>
      <c r="AN225" s="7480"/>
      <c r="AO225" s="7481"/>
      <c r="AP225" s="529"/>
      <c r="AR225" s="7472"/>
      <c r="AS225" s="520"/>
      <c r="AT225" s="868" t="s">
        <v>762</v>
      </c>
      <c r="AU225" s="869">
        <v>2</v>
      </c>
      <c r="AV225" s="870"/>
      <c r="AW225" s="871" t="s">
        <v>763</v>
      </c>
      <c r="AX225" s="869">
        <v>2</v>
      </c>
      <c r="AY225" s="872"/>
      <c r="AZ225" s="868" t="s">
        <v>764</v>
      </c>
      <c r="BA225" s="873">
        <v>50</v>
      </c>
      <c r="BB225" s="331"/>
      <c r="BC225" s="7474"/>
      <c r="BD225" s="7477"/>
      <c r="BE225" s="7477"/>
      <c r="BF225" s="7480"/>
      <c r="BG225" s="7480"/>
      <c r="BH225" s="7480"/>
      <c r="BI225" s="7480"/>
      <c r="BJ225" s="7481"/>
      <c r="BK225" s="529"/>
    </row>
    <row r="226" spans="1:63" s="504" customFormat="1" ht="15.75" customHeight="1">
      <c r="A226" s="502"/>
      <c r="B226" s="7472"/>
      <c r="C226" s="520"/>
      <c r="D226" s="874" t="s">
        <v>765</v>
      </c>
      <c r="E226" s="875">
        <f>IF(E224=0,0,IF(E225=0,0,E225-E224))</f>
        <v>1</v>
      </c>
      <c r="F226" s="870"/>
      <c r="G226" s="874" t="s">
        <v>766</v>
      </c>
      <c r="H226" s="875">
        <f>IF(H224=0,0,H224+H225)</f>
        <v>3</v>
      </c>
      <c r="I226" s="872"/>
      <c r="J226" s="874" t="s">
        <v>765</v>
      </c>
      <c r="K226" s="876">
        <f>K227*K225%</f>
        <v>1</v>
      </c>
      <c r="L226" s="331"/>
      <c r="M226" s="7474"/>
      <c r="N226" s="7468" t="s">
        <v>767</v>
      </c>
      <c r="O226" s="7464">
        <f>SUM(N230:N239)</f>
        <v>0.97000000000000008</v>
      </c>
      <c r="P226" s="7466" t="str">
        <f>IF(N229&lt;S229,"Recette incomplète, il manque",IF(N229&gt;S229,"Trop de produits dans la recette",IF(N229=S229,"OK")))</f>
        <v>Recette incomplète, il manque</v>
      </c>
      <c r="Q226" s="7466"/>
      <c r="R226" s="7466"/>
      <c r="S226" s="7466"/>
      <c r="T226" s="7458">
        <f>IF(N229=S229,"",IF(N229&lt;S229,S229-N229,IF(N229&gt;S229,N229-S229)))</f>
        <v>2.9999999999999916E-2</v>
      </c>
      <c r="U226" s="529"/>
      <c r="W226" s="7472"/>
      <c r="X226" s="520"/>
      <c r="Y226" s="874" t="s">
        <v>765</v>
      </c>
      <c r="Z226" s="875">
        <f>IF(Z224=0,0,IF(Z225=0,0,Z225-Z224))</f>
        <v>1</v>
      </c>
      <c r="AA226" s="870"/>
      <c r="AB226" s="874" t="s">
        <v>766</v>
      </c>
      <c r="AC226" s="875">
        <f>IF(AC224=0,0,AC224+AC225)</f>
        <v>3</v>
      </c>
      <c r="AD226" s="872"/>
      <c r="AE226" s="874" t="s">
        <v>765</v>
      </c>
      <c r="AF226" s="876">
        <f>AF227*AF225%</f>
        <v>1</v>
      </c>
      <c r="AG226" s="331"/>
      <c r="AH226" s="7474"/>
      <c r="AI226" s="7468" t="s">
        <v>767</v>
      </c>
      <c r="AJ226" s="7464">
        <f>SUM(AI230:AI239)</f>
        <v>0.97000000000000008</v>
      </c>
      <c r="AK226" s="7466" t="str">
        <f>IF(AI229&lt;AN229,"Recette incomplète, il manque",IF(AI229&gt;AN229,"Trop de produits dans la recette",IF(AI229=AN229,"OK")))</f>
        <v>Recette incomplète, il manque</v>
      </c>
      <c r="AL226" s="7466"/>
      <c r="AM226" s="7466"/>
      <c r="AN226" s="7466"/>
      <c r="AO226" s="7458">
        <f>IF(AI229=AN229,"",IF(AI229&lt;AN229,AN229-AI229,IF(AI229&gt;AN229,AI229-AN229)))</f>
        <v>2.9999999999999916E-2</v>
      </c>
      <c r="AP226" s="529"/>
      <c r="AR226" s="7472"/>
      <c r="AS226" s="520"/>
      <c r="AT226" s="874" t="s">
        <v>765</v>
      </c>
      <c r="AU226" s="875">
        <f>IF(AU224=0,0,IF(AU225=0,0,AU225-AU224))</f>
        <v>1</v>
      </c>
      <c r="AV226" s="870"/>
      <c r="AW226" s="874" t="s">
        <v>766</v>
      </c>
      <c r="AX226" s="875">
        <f>IF(AX224=0,0,AX224+AX225)</f>
        <v>3</v>
      </c>
      <c r="AY226" s="872"/>
      <c r="AZ226" s="874" t="s">
        <v>765</v>
      </c>
      <c r="BA226" s="876">
        <f>BA227*BA225%</f>
        <v>1</v>
      </c>
      <c r="BB226" s="331"/>
      <c r="BC226" s="7474"/>
      <c r="BD226" s="7468" t="s">
        <v>767</v>
      </c>
      <c r="BE226" s="7464">
        <f>SUM(BD230:BD239)</f>
        <v>0.97000000000000008</v>
      </c>
      <c r="BF226" s="7466" t="str">
        <f>IF(BD229&lt;BI229,"Recette incomplète, il manque",IF(BD229&gt;BI229,"Trop de produits dans la recette",IF(BD229=BI229,"OK")))</f>
        <v>Recette incomplète, il manque</v>
      </c>
      <c r="BG226" s="7466"/>
      <c r="BH226" s="7466"/>
      <c r="BI226" s="7466"/>
      <c r="BJ226" s="7458">
        <f>IF(BD229=BI229,"",IF(BD229&lt;BI229,BI229-BD229,IF(BD229&gt;BI229,BD229-BI229)))</f>
        <v>2.9999999999999916E-2</v>
      </c>
      <c r="BK226" s="529"/>
    </row>
    <row r="227" spans="1:63" s="504" customFormat="1" ht="15.75" customHeight="1">
      <c r="A227" s="502"/>
      <c r="B227" s="7472"/>
      <c r="C227" s="877"/>
      <c r="D227" s="878" t="s">
        <v>768</v>
      </c>
      <c r="E227" s="879">
        <f>IF(E224=0,0,IF(E225=0,0,E226/E225))</f>
        <v>0.5</v>
      </c>
      <c r="F227" s="880"/>
      <c r="G227" s="878" t="s">
        <v>768</v>
      </c>
      <c r="H227" s="879">
        <f>IF(H224=0,0,H225/H226)</f>
        <v>0.66666666666666663</v>
      </c>
      <c r="I227" s="881"/>
      <c r="J227" s="878" t="s">
        <v>766</v>
      </c>
      <c r="K227" s="882">
        <f>K224/(100-K225)*100</f>
        <v>2</v>
      </c>
      <c r="L227" s="331"/>
      <c r="M227" s="7474"/>
      <c r="N227" s="7469"/>
      <c r="O227" s="7465"/>
      <c r="P227" s="7467"/>
      <c r="Q227" s="7467"/>
      <c r="R227" s="7467"/>
      <c r="S227" s="7467"/>
      <c r="T227" s="7459"/>
      <c r="U227" s="529"/>
      <c r="W227" s="7472"/>
      <c r="X227" s="877"/>
      <c r="Y227" s="878" t="s">
        <v>768</v>
      </c>
      <c r="Z227" s="879">
        <f>IF(Z224=0,0,IF(Z225=0,0,Z226/Z225))</f>
        <v>0.5</v>
      </c>
      <c r="AA227" s="880"/>
      <c r="AB227" s="878" t="s">
        <v>768</v>
      </c>
      <c r="AC227" s="879">
        <f>IF(AC224=0,0,AC225/AC226)</f>
        <v>0.66666666666666663</v>
      </c>
      <c r="AD227" s="881"/>
      <c r="AE227" s="878" t="s">
        <v>766</v>
      </c>
      <c r="AF227" s="882">
        <f>AF224/(100-AF225)*100</f>
        <v>2</v>
      </c>
      <c r="AG227" s="331"/>
      <c r="AH227" s="7474"/>
      <c r="AI227" s="7469"/>
      <c r="AJ227" s="7465"/>
      <c r="AK227" s="7467"/>
      <c r="AL227" s="7467"/>
      <c r="AM227" s="7467"/>
      <c r="AN227" s="7467"/>
      <c r="AO227" s="7459"/>
      <c r="AP227" s="529"/>
      <c r="AR227" s="7472"/>
      <c r="AS227" s="877"/>
      <c r="AT227" s="878" t="s">
        <v>768</v>
      </c>
      <c r="AU227" s="879">
        <f>IF(AU224=0,0,IF(AU225=0,0,AU226/AU225))</f>
        <v>0.5</v>
      </c>
      <c r="AV227" s="880"/>
      <c r="AW227" s="878" t="s">
        <v>768</v>
      </c>
      <c r="AX227" s="879">
        <f>IF(AX224=0,0,AX225/AX226)</f>
        <v>0.66666666666666663</v>
      </c>
      <c r="AY227" s="881"/>
      <c r="AZ227" s="878" t="s">
        <v>766</v>
      </c>
      <c r="BA227" s="882">
        <f>BA224/(100-BA225)*100</f>
        <v>2</v>
      </c>
      <c r="BB227" s="331"/>
      <c r="BC227" s="7474"/>
      <c r="BD227" s="7469"/>
      <c r="BE227" s="7465"/>
      <c r="BF227" s="7467"/>
      <c r="BG227" s="7467"/>
      <c r="BH227" s="7467"/>
      <c r="BI227" s="7467"/>
      <c r="BJ227" s="7459"/>
      <c r="BK227" s="529"/>
    </row>
    <row r="228" spans="1:63" s="504" customFormat="1">
      <c r="A228" s="502"/>
      <c r="B228" s="7472"/>
      <c r="C228" s="939"/>
      <c r="D228" s="946" t="s">
        <v>762</v>
      </c>
      <c r="E228" s="947">
        <v>2</v>
      </c>
      <c r="F228" s="943"/>
      <c r="G228" s="946" t="s">
        <v>762</v>
      </c>
      <c r="H228" s="947">
        <v>2</v>
      </c>
      <c r="I228" s="944"/>
      <c r="J228" s="946" t="s">
        <v>762</v>
      </c>
      <c r="K228" s="948">
        <v>1</v>
      </c>
      <c r="L228" s="331"/>
      <c r="M228" s="7474"/>
      <c r="N228" s="883" t="s">
        <v>769</v>
      </c>
      <c r="O228" s="884"/>
      <c r="P228" s="884"/>
      <c r="Q228" s="884"/>
      <c r="R228" s="885" t="s">
        <v>182</v>
      </c>
      <c r="S228" s="886" t="s">
        <v>770</v>
      </c>
      <c r="T228" s="887" t="s">
        <v>771</v>
      </c>
      <c r="U228" s="529"/>
      <c r="W228" s="7472"/>
      <c r="X228" s="939"/>
      <c r="Y228" s="946" t="s">
        <v>762</v>
      </c>
      <c r="Z228" s="947">
        <v>2</v>
      </c>
      <c r="AA228" s="943"/>
      <c r="AB228" s="946" t="s">
        <v>762</v>
      </c>
      <c r="AC228" s="947">
        <v>2</v>
      </c>
      <c r="AD228" s="944"/>
      <c r="AE228" s="946" t="s">
        <v>762</v>
      </c>
      <c r="AF228" s="948">
        <v>1</v>
      </c>
      <c r="AG228" s="331"/>
      <c r="AH228" s="7474"/>
      <c r="AI228" s="883" t="s">
        <v>769</v>
      </c>
      <c r="AJ228" s="884"/>
      <c r="AK228" s="884"/>
      <c r="AL228" s="884"/>
      <c r="AM228" s="885" t="s">
        <v>182</v>
      </c>
      <c r="AN228" s="886" t="s">
        <v>770</v>
      </c>
      <c r="AO228" s="887" t="s">
        <v>771</v>
      </c>
      <c r="AP228" s="529"/>
      <c r="AR228" s="7472"/>
      <c r="AS228" s="939"/>
      <c r="AT228" s="946" t="s">
        <v>762</v>
      </c>
      <c r="AU228" s="947">
        <v>2</v>
      </c>
      <c r="AV228" s="943"/>
      <c r="AW228" s="946" t="s">
        <v>762</v>
      </c>
      <c r="AX228" s="947">
        <v>2</v>
      </c>
      <c r="AY228" s="944"/>
      <c r="AZ228" s="946" t="s">
        <v>762</v>
      </c>
      <c r="BA228" s="948">
        <v>1</v>
      </c>
      <c r="BB228" s="331"/>
      <c r="BC228" s="7474"/>
      <c r="BD228" s="883" t="s">
        <v>769</v>
      </c>
      <c r="BE228" s="884"/>
      <c r="BF228" s="884"/>
      <c r="BG228" s="884"/>
      <c r="BH228" s="885" t="s">
        <v>182</v>
      </c>
      <c r="BI228" s="886" t="s">
        <v>770</v>
      </c>
      <c r="BJ228" s="887" t="s">
        <v>771</v>
      </c>
      <c r="BK228" s="529"/>
    </row>
    <row r="229" spans="1:63" s="504" customFormat="1">
      <c r="A229" s="502"/>
      <c r="B229" s="7472"/>
      <c r="C229" s="520"/>
      <c r="D229" s="5414" t="s">
        <v>759</v>
      </c>
      <c r="E229" s="888">
        <v>1</v>
      </c>
      <c r="F229" s="870"/>
      <c r="G229" s="5414" t="s">
        <v>763</v>
      </c>
      <c r="H229" s="888">
        <v>1</v>
      </c>
      <c r="I229" s="872"/>
      <c r="J229" s="5414" t="s">
        <v>764</v>
      </c>
      <c r="K229" s="889">
        <v>50</v>
      </c>
      <c r="L229" s="331"/>
      <c r="M229" s="7474"/>
      <c r="N229" s="890">
        <f>SUM(N230:N239)</f>
        <v>0.97000000000000008</v>
      </c>
      <c r="O229" s="891"/>
      <c r="P229" s="892"/>
      <c r="Q229" s="893" t="s">
        <v>772</v>
      </c>
      <c r="R229" s="894">
        <v>7</v>
      </c>
      <c r="S229" s="895">
        <v>1</v>
      </c>
      <c r="T229" s="896">
        <f>SUM(T230:T239)</f>
        <v>6.9300000000000006</v>
      </c>
      <c r="U229" s="529"/>
      <c r="W229" s="7472"/>
      <c r="X229" s="520"/>
      <c r="Y229" s="5414" t="s">
        <v>759</v>
      </c>
      <c r="Z229" s="888">
        <v>1</v>
      </c>
      <c r="AA229" s="870"/>
      <c r="AB229" s="5414" t="s">
        <v>763</v>
      </c>
      <c r="AC229" s="888">
        <v>1</v>
      </c>
      <c r="AD229" s="872"/>
      <c r="AE229" s="5414" t="s">
        <v>764</v>
      </c>
      <c r="AF229" s="889">
        <v>50</v>
      </c>
      <c r="AG229" s="331"/>
      <c r="AH229" s="7474"/>
      <c r="AI229" s="890">
        <f>SUM(AI230:AI239)</f>
        <v>0.97000000000000008</v>
      </c>
      <c r="AJ229" s="891"/>
      <c r="AK229" s="892"/>
      <c r="AL229" s="893" t="s">
        <v>772</v>
      </c>
      <c r="AM229" s="894">
        <v>7</v>
      </c>
      <c r="AN229" s="895">
        <v>1</v>
      </c>
      <c r="AO229" s="896">
        <f>SUM(AO230:AO239)</f>
        <v>6.9300000000000006</v>
      </c>
      <c r="AP229" s="529"/>
      <c r="AR229" s="7472"/>
      <c r="AS229" s="520"/>
      <c r="AT229" s="5414" t="s">
        <v>759</v>
      </c>
      <c r="AU229" s="888">
        <v>1</v>
      </c>
      <c r="AV229" s="870"/>
      <c r="AW229" s="5414" t="s">
        <v>763</v>
      </c>
      <c r="AX229" s="888">
        <v>1</v>
      </c>
      <c r="AY229" s="872"/>
      <c r="AZ229" s="5414" t="s">
        <v>764</v>
      </c>
      <c r="BA229" s="889">
        <v>50</v>
      </c>
      <c r="BB229" s="331"/>
      <c r="BC229" s="7474"/>
      <c r="BD229" s="890">
        <f>SUM(BD230:BD239)</f>
        <v>0.97000000000000008</v>
      </c>
      <c r="BE229" s="949"/>
      <c r="BF229" s="950"/>
      <c r="BG229" s="893" t="s">
        <v>772</v>
      </c>
      <c r="BH229" s="894">
        <v>7</v>
      </c>
      <c r="BI229" s="895">
        <v>1</v>
      </c>
      <c r="BJ229" s="951">
        <f>SUM(BJ230:BJ239)</f>
        <v>6.9300000000000006</v>
      </c>
      <c r="BK229" s="529"/>
    </row>
    <row r="230" spans="1:63" s="504" customFormat="1">
      <c r="A230" s="502"/>
      <c r="B230" s="7472"/>
      <c r="C230" s="520"/>
      <c r="D230" s="874" t="s">
        <v>765</v>
      </c>
      <c r="E230" s="875">
        <f>IF(E228=0,0,IF(E229=0,0,E228-E229))</f>
        <v>1</v>
      </c>
      <c r="F230" s="870"/>
      <c r="G230" s="874" t="s">
        <v>773</v>
      </c>
      <c r="H230" s="875">
        <f>IF(H228=0,0,IF(H229=0,0,H228-H229))</f>
        <v>1</v>
      </c>
      <c r="I230" s="872"/>
      <c r="J230" s="874" t="s">
        <v>765</v>
      </c>
      <c r="K230" s="876">
        <f>K228*K229%</f>
        <v>0.5</v>
      </c>
      <c r="L230" s="331"/>
      <c r="M230" s="7474"/>
      <c r="N230" s="897">
        <v>0.12</v>
      </c>
      <c r="O230" s="898" t="s">
        <v>774</v>
      </c>
      <c r="P230" s="898"/>
      <c r="Q230" s="898"/>
      <c r="R230" s="899">
        <f>R229*N230</f>
        <v>0.84</v>
      </c>
      <c r="S230" s="900">
        <v>0</v>
      </c>
      <c r="T230" s="901">
        <f t="shared" ref="T230:T239" si="15">IF(S230=0,R230,IF(R230="","",R230/(100-S230)*100))</f>
        <v>0.84</v>
      </c>
      <c r="U230" s="529"/>
      <c r="W230" s="7472"/>
      <c r="X230" s="520"/>
      <c r="Y230" s="874" t="s">
        <v>765</v>
      </c>
      <c r="Z230" s="875">
        <f>IF(Z228=0,0,IF(Z229=0,0,Z228-Z229))</f>
        <v>1</v>
      </c>
      <c r="AA230" s="870"/>
      <c r="AB230" s="874" t="s">
        <v>773</v>
      </c>
      <c r="AC230" s="875">
        <f>IF(AC228=0,0,IF(AC229=0,0,AC228-AC229))</f>
        <v>1</v>
      </c>
      <c r="AD230" s="872"/>
      <c r="AE230" s="874" t="s">
        <v>765</v>
      </c>
      <c r="AF230" s="876">
        <f>AF228*AF229%</f>
        <v>0.5</v>
      </c>
      <c r="AG230" s="331"/>
      <c r="AH230" s="7474"/>
      <c r="AI230" s="897">
        <v>0.12</v>
      </c>
      <c r="AJ230" s="898" t="s">
        <v>774</v>
      </c>
      <c r="AK230" s="898"/>
      <c r="AL230" s="898"/>
      <c r="AM230" s="899">
        <f>AM229*AI230</f>
        <v>0.84</v>
      </c>
      <c r="AN230" s="900">
        <v>0</v>
      </c>
      <c r="AO230" s="901">
        <f t="shared" ref="AO230:AO239" si="16">IF(AN230=0,AM230,IF(AM230="","",AM230/(100-AN230)*100))</f>
        <v>0.84</v>
      </c>
      <c r="AP230" s="529"/>
      <c r="AR230" s="7472"/>
      <c r="AS230" s="520"/>
      <c r="AT230" s="874" t="s">
        <v>765</v>
      </c>
      <c r="AU230" s="875">
        <f>IF(AU228=0,0,IF(AU229=0,0,AU228-AU229))</f>
        <v>1</v>
      </c>
      <c r="AV230" s="870"/>
      <c r="AW230" s="874" t="s">
        <v>773</v>
      </c>
      <c r="AX230" s="875">
        <f>IF(AX228=0,0,IF(AX229=0,0,AX228-AX229))</f>
        <v>1</v>
      </c>
      <c r="AY230" s="872"/>
      <c r="AZ230" s="874" t="s">
        <v>765</v>
      </c>
      <c r="BA230" s="876">
        <f>BA228*BA229%</f>
        <v>0.5</v>
      </c>
      <c r="BB230" s="331"/>
      <c r="BC230" s="7474"/>
      <c r="BD230" s="897">
        <v>0.12</v>
      </c>
      <c r="BE230" s="898" t="s">
        <v>774</v>
      </c>
      <c r="BF230" s="898"/>
      <c r="BG230" s="898"/>
      <c r="BH230" s="899">
        <f>BH229*BD230</f>
        <v>0.84</v>
      </c>
      <c r="BI230" s="900">
        <v>0</v>
      </c>
      <c r="BJ230" s="901">
        <f t="shared" ref="BJ230:BJ239" si="17">IF(BI230=0,BH230,IF(BH230="","",BH230/(100-BI230)*100))</f>
        <v>0.84</v>
      </c>
      <c r="BK230" s="529"/>
    </row>
    <row r="231" spans="1:63" s="504" customFormat="1">
      <c r="A231" s="502"/>
      <c r="B231" s="7472"/>
      <c r="C231" s="877"/>
      <c r="D231" s="878" t="s">
        <v>768</v>
      </c>
      <c r="E231" s="879">
        <f>IF(E228=0,0,E230/E228)</f>
        <v>0.5</v>
      </c>
      <c r="F231" s="880"/>
      <c r="G231" s="878" t="s">
        <v>768</v>
      </c>
      <c r="H231" s="879">
        <f>IF(H228=0,0,IF(H229=0,0,H229/H228))</f>
        <v>0.5</v>
      </c>
      <c r="I231" s="881"/>
      <c r="J231" s="878" t="s">
        <v>773</v>
      </c>
      <c r="K231" s="902">
        <f>K228-K230</f>
        <v>0.5</v>
      </c>
      <c r="L231" s="331"/>
      <c r="M231" s="7474"/>
      <c r="N231" s="897">
        <v>0.08</v>
      </c>
      <c r="O231" s="898" t="s">
        <v>775</v>
      </c>
      <c r="P231" s="898"/>
      <c r="Q231" s="898"/>
      <c r="R231" s="903">
        <f>R229*N231</f>
        <v>0.56000000000000005</v>
      </c>
      <c r="S231" s="904">
        <v>0</v>
      </c>
      <c r="T231" s="901">
        <f t="shared" si="15"/>
        <v>0.56000000000000005</v>
      </c>
      <c r="U231" s="529"/>
      <c r="W231" s="7472"/>
      <c r="X231" s="877"/>
      <c r="Y231" s="878" t="s">
        <v>768</v>
      </c>
      <c r="Z231" s="879">
        <f>IF(Z228=0,0,Z230/Z228)</f>
        <v>0.5</v>
      </c>
      <c r="AA231" s="880"/>
      <c r="AB231" s="878" t="s">
        <v>768</v>
      </c>
      <c r="AC231" s="879">
        <f>IF(AC228=0,0,IF(AC229=0,0,AC229/AC228))</f>
        <v>0.5</v>
      </c>
      <c r="AD231" s="881"/>
      <c r="AE231" s="878" t="s">
        <v>773</v>
      </c>
      <c r="AF231" s="902">
        <f>AF228-AF230</f>
        <v>0.5</v>
      </c>
      <c r="AG231" s="331"/>
      <c r="AH231" s="7474"/>
      <c r="AI231" s="897">
        <v>0.08</v>
      </c>
      <c r="AJ231" s="898" t="s">
        <v>775</v>
      </c>
      <c r="AK231" s="898"/>
      <c r="AL231" s="898"/>
      <c r="AM231" s="903">
        <f>AM229*AI231</f>
        <v>0.56000000000000005</v>
      </c>
      <c r="AN231" s="904">
        <v>0</v>
      </c>
      <c r="AO231" s="901">
        <f t="shared" si="16"/>
        <v>0.56000000000000005</v>
      </c>
      <c r="AP231" s="529"/>
      <c r="AR231" s="7472"/>
      <c r="AS231" s="877"/>
      <c r="AT231" s="878" t="s">
        <v>768</v>
      </c>
      <c r="AU231" s="879">
        <f>IF(AU228=0,0,AU230/AU228)</f>
        <v>0.5</v>
      </c>
      <c r="AV231" s="880"/>
      <c r="AW231" s="878" t="s">
        <v>768</v>
      </c>
      <c r="AX231" s="879">
        <f>IF(AX228=0,0,IF(AX229=0,0,AX229/AX228))</f>
        <v>0.5</v>
      </c>
      <c r="AY231" s="881"/>
      <c r="AZ231" s="878" t="s">
        <v>773</v>
      </c>
      <c r="BA231" s="902">
        <f>BA228-BA230</f>
        <v>0.5</v>
      </c>
      <c r="BB231" s="331"/>
      <c r="BC231" s="7474"/>
      <c r="BD231" s="897">
        <v>0.08</v>
      </c>
      <c r="BE231" s="898" t="s">
        <v>775</v>
      </c>
      <c r="BF231" s="898"/>
      <c r="BG231" s="898"/>
      <c r="BH231" s="903">
        <f>BH229*BD231</f>
        <v>0.56000000000000005</v>
      </c>
      <c r="BI231" s="904">
        <v>0</v>
      </c>
      <c r="BJ231" s="901">
        <f t="shared" si="17"/>
        <v>0.56000000000000005</v>
      </c>
      <c r="BK231" s="529"/>
    </row>
    <row r="232" spans="1:63" s="504" customFormat="1">
      <c r="A232" s="502"/>
      <c r="B232" s="7472"/>
      <c r="C232" s="7460" t="s">
        <v>755</v>
      </c>
      <c r="D232" s="7460"/>
      <c r="E232" s="7460"/>
      <c r="F232" s="7460"/>
      <c r="G232" s="7460"/>
      <c r="H232" s="7460"/>
      <c r="I232" s="7460"/>
      <c r="J232" s="7460"/>
      <c r="K232" s="7461"/>
      <c r="L232" s="331"/>
      <c r="M232" s="7474"/>
      <c r="N232" s="897">
        <v>0.2</v>
      </c>
      <c r="O232" s="898" t="s">
        <v>776</v>
      </c>
      <c r="P232" s="898"/>
      <c r="Q232" s="898"/>
      <c r="R232" s="903">
        <f>R229*N232</f>
        <v>1.4000000000000001</v>
      </c>
      <c r="S232" s="904">
        <v>0</v>
      </c>
      <c r="T232" s="901">
        <f t="shared" si="15"/>
        <v>1.4000000000000001</v>
      </c>
      <c r="U232" s="529"/>
      <c r="W232" s="7472"/>
      <c r="X232" s="7460" t="s">
        <v>755</v>
      </c>
      <c r="Y232" s="7460"/>
      <c r="Z232" s="7460"/>
      <c r="AA232" s="7460"/>
      <c r="AB232" s="7460"/>
      <c r="AC232" s="7460"/>
      <c r="AD232" s="7460"/>
      <c r="AE232" s="7460"/>
      <c r="AF232" s="7461"/>
      <c r="AG232" s="331"/>
      <c r="AH232" s="7474"/>
      <c r="AI232" s="897">
        <v>0.2</v>
      </c>
      <c r="AJ232" s="898" t="s">
        <v>776</v>
      </c>
      <c r="AK232" s="898"/>
      <c r="AL232" s="898"/>
      <c r="AM232" s="903">
        <f>AM229*AI232</f>
        <v>1.4000000000000001</v>
      </c>
      <c r="AN232" s="904">
        <v>0</v>
      </c>
      <c r="AO232" s="901">
        <f t="shared" si="16"/>
        <v>1.4000000000000001</v>
      </c>
      <c r="AP232" s="529"/>
      <c r="AR232" s="7472"/>
      <c r="AS232" s="7460" t="s">
        <v>755</v>
      </c>
      <c r="AT232" s="7460"/>
      <c r="AU232" s="7460"/>
      <c r="AV232" s="7460"/>
      <c r="AW232" s="7460"/>
      <c r="AX232" s="7460"/>
      <c r="AY232" s="7460"/>
      <c r="AZ232" s="7460"/>
      <c r="BA232" s="7461"/>
      <c r="BB232" s="331"/>
      <c r="BC232" s="7474"/>
      <c r="BD232" s="897">
        <v>0.2</v>
      </c>
      <c r="BE232" s="898" t="s">
        <v>776</v>
      </c>
      <c r="BF232" s="898"/>
      <c r="BG232" s="898"/>
      <c r="BH232" s="903">
        <f>BH229*BD232</f>
        <v>1.4000000000000001</v>
      </c>
      <c r="BI232" s="904">
        <v>0</v>
      </c>
      <c r="BJ232" s="901">
        <f t="shared" si="17"/>
        <v>1.4000000000000001</v>
      </c>
      <c r="BK232" s="529"/>
    </row>
    <row r="233" spans="1:63" s="504" customFormat="1">
      <c r="A233" s="502"/>
      <c r="B233" s="7472"/>
      <c r="C233" s="578">
        <v>8</v>
      </c>
      <c r="D233" s="578">
        <v>8</v>
      </c>
      <c r="E233" s="578">
        <v>11</v>
      </c>
      <c r="F233" s="578">
        <v>8</v>
      </c>
      <c r="G233" s="578">
        <v>8</v>
      </c>
      <c r="H233" s="578">
        <v>11</v>
      </c>
      <c r="I233" s="578">
        <v>8</v>
      </c>
      <c r="J233" s="578">
        <v>8</v>
      </c>
      <c r="K233" s="579">
        <v>11</v>
      </c>
      <c r="L233" s="331"/>
      <c r="M233" s="7474"/>
      <c r="N233" s="897">
        <v>0.55000000000000004</v>
      </c>
      <c r="O233" s="898" t="s">
        <v>777</v>
      </c>
      <c r="P233" s="898"/>
      <c r="Q233" s="898"/>
      <c r="R233" s="903">
        <f>R229*N233</f>
        <v>3.8500000000000005</v>
      </c>
      <c r="S233" s="904">
        <v>0</v>
      </c>
      <c r="T233" s="901">
        <f t="shared" si="15"/>
        <v>3.8500000000000005</v>
      </c>
      <c r="U233" s="529"/>
      <c r="W233" s="7472"/>
      <c r="X233" s="578">
        <v>8</v>
      </c>
      <c r="Y233" s="578">
        <v>8</v>
      </c>
      <c r="Z233" s="578">
        <v>11</v>
      </c>
      <c r="AA233" s="578">
        <v>8</v>
      </c>
      <c r="AB233" s="578">
        <v>8</v>
      </c>
      <c r="AC233" s="578">
        <v>11</v>
      </c>
      <c r="AD233" s="578">
        <v>8</v>
      </c>
      <c r="AE233" s="578">
        <v>8</v>
      </c>
      <c r="AF233" s="579">
        <v>11</v>
      </c>
      <c r="AG233" s="331"/>
      <c r="AH233" s="7474"/>
      <c r="AI233" s="897">
        <v>0.55000000000000004</v>
      </c>
      <c r="AJ233" s="898" t="s">
        <v>777</v>
      </c>
      <c r="AK233" s="898"/>
      <c r="AL233" s="898"/>
      <c r="AM233" s="903">
        <f>AM229*AI233</f>
        <v>3.8500000000000005</v>
      </c>
      <c r="AN233" s="904">
        <v>0</v>
      </c>
      <c r="AO233" s="901">
        <f t="shared" si="16"/>
        <v>3.8500000000000005</v>
      </c>
      <c r="AP233" s="529"/>
      <c r="AR233" s="7472"/>
      <c r="AS233" s="578">
        <v>8</v>
      </c>
      <c r="AT233" s="578">
        <v>8</v>
      </c>
      <c r="AU233" s="578">
        <v>11</v>
      </c>
      <c r="AV233" s="578">
        <v>8</v>
      </c>
      <c r="AW233" s="578">
        <v>8</v>
      </c>
      <c r="AX233" s="578">
        <v>11</v>
      </c>
      <c r="AY233" s="578">
        <v>8</v>
      </c>
      <c r="AZ233" s="578">
        <v>8</v>
      </c>
      <c r="BA233" s="579">
        <v>11</v>
      </c>
      <c r="BB233" s="331"/>
      <c r="BC233" s="7474"/>
      <c r="BD233" s="897">
        <v>0.55000000000000004</v>
      </c>
      <c r="BE233" s="898" t="s">
        <v>777</v>
      </c>
      <c r="BF233" s="898"/>
      <c r="BG233" s="898"/>
      <c r="BH233" s="903">
        <f>BH229*BD233</f>
        <v>3.8500000000000005</v>
      </c>
      <c r="BI233" s="904">
        <v>0</v>
      </c>
      <c r="BJ233" s="901">
        <f t="shared" si="17"/>
        <v>3.8500000000000005</v>
      </c>
      <c r="BK233" s="529"/>
    </row>
    <row r="234" spans="1:63" s="504" customFormat="1" ht="16.5" thickBot="1">
      <c r="A234" s="502"/>
      <c r="B234" s="7473"/>
      <c r="C234" s="587">
        <f t="shared" ref="C234:K234" ca="1" si="18">CELL("largeur",C234)</f>
        <v>13</v>
      </c>
      <c r="D234" s="587">
        <f t="shared" ca="1" si="18"/>
        <v>21</v>
      </c>
      <c r="E234" s="587">
        <f t="shared" ca="1" si="18"/>
        <v>13</v>
      </c>
      <c r="F234" s="587">
        <f t="shared" ca="1" si="18"/>
        <v>13</v>
      </c>
      <c r="G234" s="587">
        <f t="shared" ca="1" si="18"/>
        <v>13</v>
      </c>
      <c r="H234" s="587">
        <f t="shared" ca="1" si="18"/>
        <v>13</v>
      </c>
      <c r="I234" s="587">
        <f t="shared" ca="1" si="18"/>
        <v>16</v>
      </c>
      <c r="J234" s="587">
        <f t="shared" ca="1" si="18"/>
        <v>18</v>
      </c>
      <c r="K234" s="588">
        <f t="shared" ca="1" si="18"/>
        <v>16</v>
      </c>
      <c r="L234" s="331"/>
      <c r="M234" s="7474"/>
      <c r="N234" s="897">
        <v>0.02</v>
      </c>
      <c r="O234" s="898" t="s">
        <v>778</v>
      </c>
      <c r="P234" s="898"/>
      <c r="Q234" s="898"/>
      <c r="R234" s="903">
        <f>R229*N234</f>
        <v>0.14000000000000001</v>
      </c>
      <c r="S234" s="904">
        <v>50</v>
      </c>
      <c r="T234" s="901">
        <f t="shared" si="15"/>
        <v>0.28000000000000003</v>
      </c>
      <c r="U234" s="529"/>
      <c r="W234" s="7473"/>
      <c r="X234" s="587">
        <f t="shared" ref="X234:AF234" ca="1" si="19">CELL("largeur",X234)</f>
        <v>13</v>
      </c>
      <c r="Y234" s="587">
        <f t="shared" ca="1" si="19"/>
        <v>21</v>
      </c>
      <c r="Z234" s="587">
        <f t="shared" ca="1" si="19"/>
        <v>13</v>
      </c>
      <c r="AA234" s="587">
        <f t="shared" ca="1" si="19"/>
        <v>13</v>
      </c>
      <c r="AB234" s="587">
        <f t="shared" ca="1" si="19"/>
        <v>13</v>
      </c>
      <c r="AC234" s="587">
        <f t="shared" ca="1" si="19"/>
        <v>13</v>
      </c>
      <c r="AD234" s="587">
        <f t="shared" ca="1" si="19"/>
        <v>16</v>
      </c>
      <c r="AE234" s="587">
        <f t="shared" ca="1" si="19"/>
        <v>18</v>
      </c>
      <c r="AF234" s="588">
        <f t="shared" ca="1" si="19"/>
        <v>16</v>
      </c>
      <c r="AG234" s="331"/>
      <c r="AH234" s="7474"/>
      <c r="AI234" s="897">
        <v>0.02</v>
      </c>
      <c r="AJ234" s="898" t="s">
        <v>778</v>
      </c>
      <c r="AK234" s="898"/>
      <c r="AL234" s="898"/>
      <c r="AM234" s="903">
        <f>AM229*AI234</f>
        <v>0.14000000000000001</v>
      </c>
      <c r="AN234" s="904">
        <v>50</v>
      </c>
      <c r="AO234" s="901">
        <f t="shared" si="16"/>
        <v>0.28000000000000003</v>
      </c>
      <c r="AP234" s="529"/>
      <c r="AR234" s="7473"/>
      <c r="AS234" s="587">
        <f t="shared" ref="AS234:BA234" ca="1" si="20">CELL("largeur",AS234)</f>
        <v>13</v>
      </c>
      <c r="AT234" s="587">
        <f t="shared" ca="1" si="20"/>
        <v>21</v>
      </c>
      <c r="AU234" s="587">
        <f t="shared" ca="1" si="20"/>
        <v>13</v>
      </c>
      <c r="AV234" s="587">
        <f t="shared" ca="1" si="20"/>
        <v>13</v>
      </c>
      <c r="AW234" s="587">
        <f t="shared" ca="1" si="20"/>
        <v>13</v>
      </c>
      <c r="AX234" s="587">
        <f t="shared" ca="1" si="20"/>
        <v>13</v>
      </c>
      <c r="AY234" s="587">
        <f t="shared" ca="1" si="20"/>
        <v>16</v>
      </c>
      <c r="AZ234" s="587">
        <f t="shared" ca="1" si="20"/>
        <v>18</v>
      </c>
      <c r="BA234" s="588">
        <f t="shared" ca="1" si="20"/>
        <v>16</v>
      </c>
      <c r="BB234" s="331"/>
      <c r="BC234" s="7474"/>
      <c r="BD234" s="897">
        <v>0.02</v>
      </c>
      <c r="BE234" s="898" t="s">
        <v>778</v>
      </c>
      <c r="BF234" s="898"/>
      <c r="BG234" s="898"/>
      <c r="BH234" s="903">
        <f>BH229*BD234</f>
        <v>0.14000000000000001</v>
      </c>
      <c r="BI234" s="904">
        <v>50</v>
      </c>
      <c r="BJ234" s="901">
        <f t="shared" si="17"/>
        <v>0.28000000000000003</v>
      </c>
      <c r="BK234" s="529"/>
    </row>
    <row r="235" spans="1:63" s="504" customFormat="1" ht="16.5" thickBot="1">
      <c r="A235" s="502">
        <v>1</v>
      </c>
      <c r="B235" s="505">
        <v>1</v>
      </c>
      <c r="C235" s="502">
        <v>1</v>
      </c>
      <c r="D235" s="502">
        <v>1</v>
      </c>
      <c r="E235" s="502">
        <v>1</v>
      </c>
      <c r="F235" s="502">
        <v>1</v>
      </c>
      <c r="G235" s="502">
        <v>1</v>
      </c>
      <c r="H235" s="502">
        <v>1</v>
      </c>
      <c r="I235" s="331"/>
      <c r="J235" s="331"/>
      <c r="K235" s="331"/>
      <c r="L235" s="331"/>
      <c r="M235" s="7474"/>
      <c r="N235" s="897"/>
      <c r="O235" s="898"/>
      <c r="P235" s="898"/>
      <c r="Q235" s="898"/>
      <c r="R235" s="903">
        <f>R229*N235</f>
        <v>0</v>
      </c>
      <c r="S235" s="904"/>
      <c r="T235" s="901">
        <f t="shared" si="15"/>
        <v>0</v>
      </c>
      <c r="U235" s="529"/>
      <c r="W235" s="505">
        <v>1</v>
      </c>
      <c r="X235" s="502">
        <v>1</v>
      </c>
      <c r="Y235" s="502">
        <v>1</v>
      </c>
      <c r="Z235" s="502">
        <v>1</v>
      </c>
      <c r="AA235" s="502">
        <v>1</v>
      </c>
      <c r="AB235" s="502">
        <v>1</v>
      </c>
      <c r="AC235" s="502">
        <v>1</v>
      </c>
      <c r="AD235" s="331"/>
      <c r="AE235" s="331"/>
      <c r="AF235" s="331"/>
      <c r="AG235" s="331"/>
      <c r="AH235" s="7474"/>
      <c r="AI235" s="897"/>
      <c r="AJ235" s="898"/>
      <c r="AK235" s="898"/>
      <c r="AL235" s="898"/>
      <c r="AM235" s="903">
        <f>AM229*AI235</f>
        <v>0</v>
      </c>
      <c r="AN235" s="904"/>
      <c r="AO235" s="901">
        <f t="shared" si="16"/>
        <v>0</v>
      </c>
      <c r="AP235" s="529"/>
      <c r="AR235" s="505">
        <v>1</v>
      </c>
      <c r="AS235" s="502">
        <v>1</v>
      </c>
      <c r="AT235" s="502">
        <v>1</v>
      </c>
      <c r="AU235" s="502">
        <v>1</v>
      </c>
      <c r="AV235" s="502">
        <v>1</v>
      </c>
      <c r="AW235" s="502">
        <v>1</v>
      </c>
      <c r="AX235" s="502">
        <v>1</v>
      </c>
      <c r="AY235" s="331"/>
      <c r="AZ235" s="331"/>
      <c r="BA235" s="331"/>
      <c r="BB235" s="331"/>
      <c r="BC235" s="7474"/>
      <c r="BD235" s="897"/>
      <c r="BE235" s="898"/>
      <c r="BF235" s="898"/>
      <c r="BG235" s="898"/>
      <c r="BH235" s="903">
        <f>BH229*BD235</f>
        <v>0</v>
      </c>
      <c r="BI235" s="904"/>
      <c r="BJ235" s="901">
        <f t="shared" si="17"/>
        <v>0</v>
      </c>
      <c r="BK235" s="529"/>
    </row>
    <row r="236" spans="1:63" s="504" customFormat="1">
      <c r="A236" s="502">
        <v>1</v>
      </c>
      <c r="B236" s="531" t="s">
        <v>252</v>
      </c>
      <c r="C236" s="7462" t="s">
        <v>779</v>
      </c>
      <c r="D236" s="7462"/>
      <c r="E236" s="7462"/>
      <c r="F236" s="7462"/>
      <c r="G236" s="7462"/>
      <c r="H236" s="7463"/>
      <c r="I236" s="331"/>
      <c r="J236" s="331"/>
      <c r="K236" s="331"/>
      <c r="L236" s="331"/>
      <c r="M236" s="7474"/>
      <c r="N236" s="897"/>
      <c r="O236" s="898"/>
      <c r="P236" s="898"/>
      <c r="Q236" s="898"/>
      <c r="R236" s="903">
        <f>R229*N236</f>
        <v>0</v>
      </c>
      <c r="S236" s="904"/>
      <c r="T236" s="901">
        <f t="shared" si="15"/>
        <v>0</v>
      </c>
      <c r="U236" s="529"/>
      <c r="W236" s="531" t="s">
        <v>252</v>
      </c>
      <c r="X236" s="7462" t="s">
        <v>779</v>
      </c>
      <c r="Y236" s="7462"/>
      <c r="Z236" s="7462"/>
      <c r="AA236" s="7462"/>
      <c r="AB236" s="7462"/>
      <c r="AC236" s="7463"/>
      <c r="AD236" s="331"/>
      <c r="AE236" s="331"/>
      <c r="AF236" s="331"/>
      <c r="AG236" s="331"/>
      <c r="AH236" s="7474"/>
      <c r="AI236" s="897"/>
      <c r="AJ236" s="898"/>
      <c r="AK236" s="898"/>
      <c r="AL236" s="898"/>
      <c r="AM236" s="903">
        <f>AM229*AI236</f>
        <v>0</v>
      </c>
      <c r="AN236" s="904"/>
      <c r="AO236" s="901">
        <f t="shared" si="16"/>
        <v>0</v>
      </c>
      <c r="AP236" s="529"/>
      <c r="AR236" s="531" t="s">
        <v>252</v>
      </c>
      <c r="AS236" s="7462" t="s">
        <v>779</v>
      </c>
      <c r="AT236" s="7462"/>
      <c r="AU236" s="7462"/>
      <c r="AV236" s="7462"/>
      <c r="AW236" s="7462"/>
      <c r="AX236" s="7463"/>
      <c r="AY236" s="331"/>
      <c r="AZ236" s="331"/>
      <c r="BA236" s="331"/>
      <c r="BB236" s="331"/>
      <c r="BC236" s="7474"/>
      <c r="BD236" s="897"/>
      <c r="BE236" s="898"/>
      <c r="BF236" s="898"/>
      <c r="BG236" s="898"/>
      <c r="BH236" s="903">
        <f>BH229*BD236</f>
        <v>0</v>
      </c>
      <c r="BI236" s="904"/>
      <c r="BJ236" s="901">
        <f t="shared" si="17"/>
        <v>0</v>
      </c>
      <c r="BK236" s="529"/>
    </row>
    <row r="237" spans="1:63" s="504" customFormat="1" ht="18.75">
      <c r="A237" s="502">
        <v>1</v>
      </c>
      <c r="B237" s="7482">
        <v>3</v>
      </c>
      <c r="C237" s="867" t="str">
        <f>ADDRESS(ROW(),COLUMN(),4)</f>
        <v>C237</v>
      </c>
      <c r="D237" s="824" t="s">
        <v>750</v>
      </c>
      <c r="E237" s="905"/>
      <c r="F237" s="906"/>
      <c r="G237" s="907"/>
      <c r="H237" s="908"/>
      <c r="I237" s="331"/>
      <c r="J237" s="331"/>
      <c r="K237" s="331"/>
      <c r="L237" s="331"/>
      <c r="M237" s="7474"/>
      <c r="N237" s="897"/>
      <c r="O237" s="898"/>
      <c r="P237" s="898"/>
      <c r="Q237" s="898"/>
      <c r="R237" s="903">
        <f>R229*N237</f>
        <v>0</v>
      </c>
      <c r="S237" s="904"/>
      <c r="T237" s="901">
        <f t="shared" si="15"/>
        <v>0</v>
      </c>
      <c r="U237" s="529"/>
      <c r="W237" s="7482">
        <v>3</v>
      </c>
      <c r="X237" s="867" t="str">
        <f>ADDRESS(ROW(),COLUMN(),4)</f>
        <v>X237</v>
      </c>
      <c r="Y237" s="824" t="s">
        <v>750</v>
      </c>
      <c r="Z237" s="905"/>
      <c r="AA237" s="906"/>
      <c r="AB237" s="907"/>
      <c r="AC237" s="908"/>
      <c r="AD237" s="331"/>
      <c r="AE237" s="331"/>
      <c r="AF237" s="331"/>
      <c r="AG237" s="331"/>
      <c r="AH237" s="7474"/>
      <c r="AI237" s="897"/>
      <c r="AJ237" s="898"/>
      <c r="AK237" s="898"/>
      <c r="AL237" s="898"/>
      <c r="AM237" s="903">
        <f>AM229*AI237</f>
        <v>0</v>
      </c>
      <c r="AN237" s="904"/>
      <c r="AO237" s="901">
        <f t="shared" si="16"/>
        <v>0</v>
      </c>
      <c r="AP237" s="529"/>
      <c r="AR237" s="7482">
        <v>3</v>
      </c>
      <c r="AS237" s="867" t="str">
        <f>ADDRESS(ROW(),COLUMN(),4)</f>
        <v>AS237</v>
      </c>
      <c r="AT237" s="824" t="s">
        <v>750</v>
      </c>
      <c r="AU237" s="905"/>
      <c r="AV237" s="906"/>
      <c r="AW237" s="907"/>
      <c r="AX237" s="908"/>
      <c r="AY237" s="331"/>
      <c r="AZ237" s="331"/>
      <c r="BA237" s="331"/>
      <c r="BB237" s="331"/>
      <c r="BC237" s="7474"/>
      <c r="BD237" s="897"/>
      <c r="BE237" s="898"/>
      <c r="BF237" s="898"/>
      <c r="BG237" s="898"/>
      <c r="BH237" s="903">
        <f>BH229*BD237</f>
        <v>0</v>
      </c>
      <c r="BI237" s="904"/>
      <c r="BJ237" s="901">
        <f t="shared" si="17"/>
        <v>0</v>
      </c>
      <c r="BK237" s="529"/>
    </row>
    <row r="238" spans="1:63" s="504" customFormat="1">
      <c r="A238" s="502">
        <v>1</v>
      </c>
      <c r="B238" s="7482"/>
      <c r="C238" s="7457" t="s">
        <v>780</v>
      </c>
      <c r="D238" s="7457"/>
      <c r="E238" s="910" t="s">
        <v>781</v>
      </c>
      <c r="F238" s="909" t="s">
        <v>782</v>
      </c>
      <c r="G238" s="7455" t="s">
        <v>783</v>
      </c>
      <c r="H238" s="7456"/>
      <c r="I238" s="331"/>
      <c r="J238" s="331"/>
      <c r="K238" s="331"/>
      <c r="L238" s="331"/>
      <c r="M238" s="7474"/>
      <c r="N238" s="897"/>
      <c r="O238" s="898"/>
      <c r="P238" s="898"/>
      <c r="Q238" s="898"/>
      <c r="R238" s="903">
        <f>R229*N238</f>
        <v>0</v>
      </c>
      <c r="S238" s="904"/>
      <c r="T238" s="901">
        <f t="shared" si="15"/>
        <v>0</v>
      </c>
      <c r="U238" s="529"/>
      <c r="W238" s="7482"/>
      <c r="X238" s="7457" t="s">
        <v>780</v>
      </c>
      <c r="Y238" s="7457"/>
      <c r="Z238" s="910" t="s">
        <v>781</v>
      </c>
      <c r="AA238" s="909" t="s">
        <v>782</v>
      </c>
      <c r="AB238" s="7455" t="s">
        <v>783</v>
      </c>
      <c r="AC238" s="7456"/>
      <c r="AD238" s="331"/>
      <c r="AE238" s="331"/>
      <c r="AF238" s="331"/>
      <c r="AG238" s="331"/>
      <c r="AH238" s="7474"/>
      <c r="AI238" s="897"/>
      <c r="AJ238" s="898"/>
      <c r="AK238" s="898"/>
      <c r="AL238" s="898"/>
      <c r="AM238" s="903">
        <f>AM229*AI238</f>
        <v>0</v>
      </c>
      <c r="AN238" s="904"/>
      <c r="AO238" s="901">
        <f t="shared" si="16"/>
        <v>0</v>
      </c>
      <c r="AP238" s="529"/>
      <c r="AR238" s="7482"/>
      <c r="AS238" s="7446" t="s">
        <v>780</v>
      </c>
      <c r="AT238" s="7446"/>
      <c r="AU238" s="910" t="s">
        <v>781</v>
      </c>
      <c r="AV238" s="909" t="s">
        <v>782</v>
      </c>
      <c r="AW238" s="7447" t="s">
        <v>783</v>
      </c>
      <c r="AX238" s="7448"/>
      <c r="AY238" s="331"/>
      <c r="AZ238" s="331"/>
      <c r="BA238" s="331"/>
      <c r="BB238" s="331"/>
      <c r="BC238" s="7474"/>
      <c r="BD238" s="897"/>
      <c r="BE238" s="898"/>
      <c r="BF238" s="898"/>
      <c r="BG238" s="898"/>
      <c r="BH238" s="903">
        <f>BH229*BD238</f>
        <v>0</v>
      </c>
      <c r="BI238" s="904"/>
      <c r="BJ238" s="901">
        <f t="shared" si="17"/>
        <v>0</v>
      </c>
      <c r="BK238" s="529"/>
    </row>
    <row r="239" spans="1:63" s="504" customFormat="1">
      <c r="A239" s="502">
        <v>1</v>
      </c>
      <c r="B239" s="7482"/>
      <c r="C239" s="7449">
        <v>20</v>
      </c>
      <c r="D239" s="7450">
        <f>C239/100</f>
        <v>0.2</v>
      </c>
      <c r="E239" s="911" t="s">
        <v>784</v>
      </c>
      <c r="F239" s="912">
        <v>1</v>
      </c>
      <c r="G239" s="913">
        <f>(C239*F239)*10</f>
        <v>200</v>
      </c>
      <c r="H239" s="914">
        <f>G239/1000</f>
        <v>0.2</v>
      </c>
      <c r="I239" s="331"/>
      <c r="J239" s="331"/>
      <c r="K239" s="331"/>
      <c r="L239" s="331"/>
      <c r="M239" s="7474"/>
      <c r="N239" s="915"/>
      <c r="O239" s="916"/>
      <c r="P239" s="916"/>
      <c r="Q239" s="916"/>
      <c r="R239" s="917">
        <f>R229*N239</f>
        <v>0</v>
      </c>
      <c r="S239" s="918"/>
      <c r="T239" s="919">
        <f t="shared" si="15"/>
        <v>0</v>
      </c>
      <c r="U239" s="529"/>
      <c r="W239" s="7482"/>
      <c r="X239" s="7449">
        <v>20</v>
      </c>
      <c r="Y239" s="7450">
        <f>X239/100</f>
        <v>0.2</v>
      </c>
      <c r="Z239" s="911" t="s">
        <v>784</v>
      </c>
      <c r="AA239" s="912">
        <v>1</v>
      </c>
      <c r="AB239" s="913">
        <f>(X239*AA239)*10</f>
        <v>200</v>
      </c>
      <c r="AC239" s="914">
        <f>AB239/1000</f>
        <v>0.2</v>
      </c>
      <c r="AD239" s="331"/>
      <c r="AE239" s="331"/>
      <c r="AF239" s="331"/>
      <c r="AG239" s="331"/>
      <c r="AH239" s="7474"/>
      <c r="AI239" s="915"/>
      <c r="AJ239" s="916"/>
      <c r="AK239" s="916"/>
      <c r="AL239" s="916"/>
      <c r="AM239" s="917">
        <f>AM229*AI239</f>
        <v>0</v>
      </c>
      <c r="AN239" s="918"/>
      <c r="AO239" s="919">
        <f t="shared" si="16"/>
        <v>0</v>
      </c>
      <c r="AP239" s="529"/>
      <c r="AR239" s="7482"/>
      <c r="AS239" s="7451">
        <v>20</v>
      </c>
      <c r="AT239" s="7453">
        <f>AS239/100</f>
        <v>0.2</v>
      </c>
      <c r="AU239" s="911" t="s">
        <v>784</v>
      </c>
      <c r="AV239" s="912">
        <v>1</v>
      </c>
      <c r="AW239" s="913">
        <f>(AS239*AV239)*10</f>
        <v>200</v>
      </c>
      <c r="AX239" s="914">
        <f>AW239/1000</f>
        <v>0.2</v>
      </c>
      <c r="AY239" s="331"/>
      <c r="AZ239" s="331"/>
      <c r="BA239" s="331"/>
      <c r="BB239" s="331"/>
      <c r="BC239" s="7474"/>
      <c r="BD239" s="915"/>
      <c r="BE239" s="916"/>
      <c r="BF239" s="916"/>
      <c r="BG239" s="916"/>
      <c r="BH239" s="917">
        <f>BH229*BD239</f>
        <v>0</v>
      </c>
      <c r="BI239" s="918"/>
      <c r="BJ239" s="919">
        <f t="shared" si="17"/>
        <v>0</v>
      </c>
      <c r="BK239" s="529"/>
    </row>
    <row r="240" spans="1:63" s="504" customFormat="1" ht="15.75" customHeight="1">
      <c r="A240" s="502">
        <v>1</v>
      </c>
      <c r="B240" s="7482"/>
      <c r="C240" s="7449"/>
      <c r="D240" s="7450"/>
      <c r="E240" s="911" t="s">
        <v>785</v>
      </c>
      <c r="F240" s="912">
        <v>1.03</v>
      </c>
      <c r="G240" s="913">
        <f>(C239*F240)*10</f>
        <v>206</v>
      </c>
      <c r="H240" s="914">
        <f>G240/1000</f>
        <v>0.20599999999999999</v>
      </c>
      <c r="I240" s="331"/>
      <c r="J240" s="331"/>
      <c r="K240" s="331"/>
      <c r="L240" s="331"/>
      <c r="M240" s="7474"/>
      <c r="N240" s="7440" t="s">
        <v>60</v>
      </c>
      <c r="O240" s="7440"/>
      <c r="P240" s="7440"/>
      <c r="Q240" s="7440"/>
      <c r="R240" s="7440"/>
      <c r="S240" s="7440"/>
      <c r="T240" s="7441"/>
      <c r="U240" s="529"/>
      <c r="W240" s="7482"/>
      <c r="X240" s="7449"/>
      <c r="Y240" s="7450"/>
      <c r="Z240" s="911" t="s">
        <v>785</v>
      </c>
      <c r="AA240" s="912">
        <v>1.03</v>
      </c>
      <c r="AB240" s="913">
        <f>(X239*AA240)*10</f>
        <v>206</v>
      </c>
      <c r="AC240" s="914">
        <f>AB240/1000</f>
        <v>0.20599999999999999</v>
      </c>
      <c r="AD240" s="331"/>
      <c r="AE240" s="331"/>
      <c r="AF240" s="331"/>
      <c r="AG240" s="331"/>
      <c r="AH240" s="7474"/>
      <c r="AI240" s="7440" t="s">
        <v>60</v>
      </c>
      <c r="AJ240" s="7440"/>
      <c r="AK240" s="7440"/>
      <c r="AL240" s="7440"/>
      <c r="AM240" s="7440"/>
      <c r="AN240" s="7440"/>
      <c r="AO240" s="7441"/>
      <c r="AP240" s="529"/>
      <c r="AR240" s="7482"/>
      <c r="AS240" s="7449"/>
      <c r="AT240" s="7450"/>
      <c r="AU240" s="911" t="s">
        <v>785</v>
      </c>
      <c r="AV240" s="912">
        <v>1.03</v>
      </c>
      <c r="AW240" s="913">
        <f>(AS239*AV240)*10</f>
        <v>206</v>
      </c>
      <c r="AX240" s="914">
        <f>AW240/1000</f>
        <v>0.20599999999999999</v>
      </c>
      <c r="AY240" s="331"/>
      <c r="AZ240" s="331"/>
      <c r="BA240" s="331"/>
      <c r="BB240" s="331"/>
      <c r="BC240" s="7474"/>
      <c r="BD240" s="7440" t="s">
        <v>60</v>
      </c>
      <c r="BE240" s="7440"/>
      <c r="BF240" s="7440"/>
      <c r="BG240" s="7440"/>
      <c r="BH240" s="7440"/>
      <c r="BI240" s="7440"/>
      <c r="BJ240" s="7441"/>
      <c r="BK240" s="529"/>
    </row>
    <row r="241" spans="1:63" s="504" customFormat="1">
      <c r="A241" s="502">
        <v>1</v>
      </c>
      <c r="B241" s="7482"/>
      <c r="C241" s="7449"/>
      <c r="D241" s="7450"/>
      <c r="E241" s="911" t="s">
        <v>786</v>
      </c>
      <c r="F241" s="912">
        <v>1.0149999999999999</v>
      </c>
      <c r="G241" s="913">
        <f>(F241*C239)*10</f>
        <v>202.99999999999997</v>
      </c>
      <c r="H241" s="914">
        <f>G241/1000</f>
        <v>0.20299999999999996</v>
      </c>
      <c r="I241" s="331"/>
      <c r="J241" s="331"/>
      <c r="K241" s="331"/>
      <c r="L241" s="331"/>
      <c r="M241" s="7474"/>
      <c r="N241" s="920"/>
      <c r="O241" s="920" t="s">
        <v>787</v>
      </c>
      <c r="P241" s="921"/>
      <c r="Q241" s="5412" t="s">
        <v>788</v>
      </c>
      <c r="R241" s="922"/>
      <c r="S241" s="922"/>
      <c r="T241" s="923"/>
      <c r="U241" s="529"/>
      <c r="W241" s="7482"/>
      <c r="X241" s="7449"/>
      <c r="Y241" s="7450"/>
      <c r="Z241" s="911" t="s">
        <v>786</v>
      </c>
      <c r="AA241" s="912">
        <v>1.0149999999999999</v>
      </c>
      <c r="AB241" s="913">
        <f>(AA241*X239)*10</f>
        <v>202.99999999999997</v>
      </c>
      <c r="AC241" s="914">
        <f>AB241/1000</f>
        <v>0.20299999999999996</v>
      </c>
      <c r="AD241" s="331"/>
      <c r="AE241" s="331"/>
      <c r="AF241" s="331"/>
      <c r="AG241" s="331"/>
      <c r="AH241" s="7474"/>
      <c r="AI241" s="920"/>
      <c r="AJ241" s="920" t="s">
        <v>787</v>
      </c>
      <c r="AK241" s="921"/>
      <c r="AL241" s="5412" t="s">
        <v>788</v>
      </c>
      <c r="AM241" s="922"/>
      <c r="AN241" s="922"/>
      <c r="AO241" s="923"/>
      <c r="AP241" s="529"/>
      <c r="AR241" s="7482"/>
      <c r="AS241" s="7449"/>
      <c r="AT241" s="7450"/>
      <c r="AU241" s="911" t="s">
        <v>786</v>
      </c>
      <c r="AV241" s="912">
        <v>1.0149999999999999</v>
      </c>
      <c r="AW241" s="913">
        <f>(AV241*AS239)*10</f>
        <v>202.99999999999997</v>
      </c>
      <c r="AX241" s="914">
        <f>AW241/1000</f>
        <v>0.20299999999999996</v>
      </c>
      <c r="AY241" s="331"/>
      <c r="AZ241" s="331"/>
      <c r="BA241" s="331"/>
      <c r="BB241" s="331"/>
      <c r="BC241" s="7474"/>
      <c r="BD241" s="920"/>
      <c r="BE241" s="920" t="s">
        <v>787</v>
      </c>
      <c r="BF241" s="921"/>
      <c r="BG241" s="5412" t="s">
        <v>788</v>
      </c>
      <c r="BH241" s="922"/>
      <c r="BI241" s="922"/>
      <c r="BJ241" s="923"/>
      <c r="BK241" s="529"/>
    </row>
    <row r="242" spans="1:63" s="504" customFormat="1" ht="16.5" customHeight="1">
      <c r="A242" s="502">
        <v>1</v>
      </c>
      <c r="B242" s="7482"/>
      <c r="C242" s="7449"/>
      <c r="D242" s="7450"/>
      <c r="E242" s="911" t="s">
        <v>789</v>
      </c>
      <c r="F242" s="912">
        <v>0.92</v>
      </c>
      <c r="G242" s="913">
        <f>(F242*C239)*10</f>
        <v>184.00000000000003</v>
      </c>
      <c r="H242" s="914">
        <f>G242/1000</f>
        <v>0.18400000000000002</v>
      </c>
      <c r="I242" s="331"/>
      <c r="J242" s="331"/>
      <c r="K242" s="331"/>
      <c r="L242" s="331"/>
      <c r="M242" s="7474"/>
      <c r="N242" s="921"/>
      <c r="O242" s="921" t="s">
        <v>790</v>
      </c>
      <c r="P242" s="921"/>
      <c r="Q242" s="921" t="s">
        <v>791</v>
      </c>
      <c r="R242" s="922"/>
      <c r="S242" s="921" t="s">
        <v>770</v>
      </c>
      <c r="T242" s="923"/>
      <c r="U242" s="529"/>
      <c r="W242" s="7482"/>
      <c r="X242" s="7449"/>
      <c r="Y242" s="7450"/>
      <c r="Z242" s="911" t="s">
        <v>789</v>
      </c>
      <c r="AA242" s="912">
        <v>0.92</v>
      </c>
      <c r="AB242" s="913">
        <f>(AA242*X239)*10</f>
        <v>184.00000000000003</v>
      </c>
      <c r="AC242" s="914">
        <f>AB242/1000</f>
        <v>0.18400000000000002</v>
      </c>
      <c r="AD242" s="331"/>
      <c r="AE242" s="331"/>
      <c r="AF242" s="331"/>
      <c r="AG242" s="331"/>
      <c r="AH242" s="7474"/>
      <c r="AI242" s="921"/>
      <c r="AJ242" s="921" t="s">
        <v>790</v>
      </c>
      <c r="AK242" s="921"/>
      <c r="AL242" s="921" t="s">
        <v>791</v>
      </c>
      <c r="AM242" s="922"/>
      <c r="AN242" s="921" t="s">
        <v>770</v>
      </c>
      <c r="AO242" s="923"/>
      <c r="AP242" s="529"/>
      <c r="AR242" s="7482"/>
      <c r="AS242" s="7449"/>
      <c r="AT242" s="7450"/>
      <c r="AU242" s="911" t="s">
        <v>789</v>
      </c>
      <c r="AV242" s="912">
        <v>0.92</v>
      </c>
      <c r="AW242" s="913">
        <f>(AV242*AS239)*10</f>
        <v>184.00000000000003</v>
      </c>
      <c r="AX242" s="914">
        <f>AW242/1000</f>
        <v>0.18400000000000002</v>
      </c>
      <c r="AY242" s="331"/>
      <c r="AZ242" s="331"/>
      <c r="BA242" s="331"/>
      <c r="BB242" s="331"/>
      <c r="BC242" s="7474"/>
      <c r="BD242" s="921"/>
      <c r="BE242" s="921" t="s">
        <v>790</v>
      </c>
      <c r="BF242" s="921"/>
      <c r="BG242" s="921" t="s">
        <v>791</v>
      </c>
      <c r="BH242" s="922"/>
      <c r="BI242" s="921" t="s">
        <v>770</v>
      </c>
      <c r="BJ242" s="923"/>
      <c r="BK242" s="529"/>
    </row>
    <row r="243" spans="1:63">
      <c r="A243" s="502">
        <v>1</v>
      </c>
      <c r="B243" s="7482"/>
      <c r="C243" s="7449"/>
      <c r="D243" s="7450"/>
      <c r="E243" s="911" t="s">
        <v>792</v>
      </c>
      <c r="F243" s="912">
        <v>0.8</v>
      </c>
      <c r="G243" s="913">
        <f>(F243*C239)*10</f>
        <v>160</v>
      </c>
      <c r="H243" s="914">
        <f>G243/1000</f>
        <v>0.16</v>
      </c>
      <c r="I243" s="331"/>
      <c r="J243" s="331"/>
      <c r="K243" s="331"/>
      <c r="L243" s="331"/>
      <c r="M243" s="7474"/>
      <c r="N243" s="578">
        <v>10</v>
      </c>
      <c r="O243" s="578">
        <v>10</v>
      </c>
      <c r="P243" s="578">
        <v>10</v>
      </c>
      <c r="Q243" s="578">
        <v>10</v>
      </c>
      <c r="R243" s="578">
        <v>13</v>
      </c>
      <c r="S243" s="578">
        <v>8</v>
      </c>
      <c r="T243" s="579">
        <v>13</v>
      </c>
      <c r="U243" s="529"/>
      <c r="W243" s="7482"/>
      <c r="X243" s="7449"/>
      <c r="Y243" s="7450"/>
      <c r="Z243" s="911" t="s">
        <v>792</v>
      </c>
      <c r="AA243" s="912">
        <v>0.8</v>
      </c>
      <c r="AB243" s="913">
        <f>(AA243*X239)*10</f>
        <v>160</v>
      </c>
      <c r="AC243" s="914">
        <f>AB243/1000</f>
        <v>0.16</v>
      </c>
      <c r="AD243" s="331"/>
      <c r="AE243" s="331"/>
      <c r="AF243" s="331"/>
      <c r="AG243" s="331"/>
      <c r="AH243" s="7474"/>
      <c r="AI243" s="578">
        <v>10</v>
      </c>
      <c r="AJ243" s="578">
        <v>10</v>
      </c>
      <c r="AK243" s="578">
        <v>10</v>
      </c>
      <c r="AL243" s="578">
        <v>10</v>
      </c>
      <c r="AM243" s="578">
        <v>13</v>
      </c>
      <c r="AN243" s="578">
        <v>8</v>
      </c>
      <c r="AO243" s="579">
        <v>13</v>
      </c>
      <c r="AP243" s="529"/>
      <c r="AR243" s="7482"/>
      <c r="AS243" s="7452"/>
      <c r="AT243" s="7454"/>
      <c r="AU243" s="911" t="s">
        <v>792</v>
      </c>
      <c r="AV243" s="912">
        <v>0.8</v>
      </c>
      <c r="AW243" s="913">
        <f>(AV243*AS239)*10</f>
        <v>160</v>
      </c>
      <c r="AX243" s="914">
        <f>AW243/1000</f>
        <v>0.16</v>
      </c>
      <c r="AY243" s="331"/>
      <c r="AZ243" s="331"/>
      <c r="BA243" s="331"/>
      <c r="BB243" s="331"/>
      <c r="BC243" s="7474"/>
      <c r="BD243" s="578">
        <v>10</v>
      </c>
      <c r="BE243" s="578">
        <v>10</v>
      </c>
      <c r="BF243" s="578">
        <v>10</v>
      </c>
      <c r="BG243" s="578">
        <v>10</v>
      </c>
      <c r="BH243" s="578">
        <v>13</v>
      </c>
      <c r="BI243" s="578">
        <v>8</v>
      </c>
      <c r="BJ243" s="579">
        <v>13</v>
      </c>
      <c r="BK243" s="529"/>
    </row>
    <row r="244" spans="1:63" ht="16.5" customHeight="1" thickBot="1">
      <c r="A244" s="502">
        <v>1</v>
      </c>
      <c r="B244" s="7482"/>
      <c r="C244" s="7442" t="s">
        <v>793</v>
      </c>
      <c r="D244" s="7442"/>
      <c r="E244" s="7442"/>
      <c r="F244" s="7442"/>
      <c r="G244" s="7442"/>
      <c r="H244" s="7443"/>
      <c r="I244" s="331"/>
      <c r="J244" s="331"/>
      <c r="K244" s="331"/>
      <c r="L244" s="331"/>
      <c r="M244" s="7475"/>
      <c r="N244" s="587">
        <f ca="1">CELL("largeur",N244)</f>
        <v>16</v>
      </c>
      <c r="O244" s="587">
        <f t="shared" ref="O244:T244" ca="1" si="21">CELL("largeur",O244)</f>
        <v>16</v>
      </c>
      <c r="P244" s="587">
        <f t="shared" ca="1" si="21"/>
        <v>16</v>
      </c>
      <c r="Q244" s="587">
        <f t="shared" ca="1" si="21"/>
        <v>11</v>
      </c>
      <c r="R244" s="587">
        <f t="shared" ca="1" si="21"/>
        <v>11</v>
      </c>
      <c r="S244" s="587">
        <f ca="1">CELL("largeur",S244)</f>
        <v>11</v>
      </c>
      <c r="T244" s="588">
        <f t="shared" ca="1" si="21"/>
        <v>11</v>
      </c>
      <c r="U244" s="529"/>
      <c r="W244" s="7482"/>
      <c r="X244" s="7442" t="s">
        <v>793</v>
      </c>
      <c r="Y244" s="7444"/>
      <c r="Z244" s="7444"/>
      <c r="AA244" s="7444"/>
      <c r="AB244" s="7444"/>
      <c r="AC244" s="7445"/>
      <c r="AD244" s="331"/>
      <c r="AE244" s="331"/>
      <c r="AF244" s="331"/>
      <c r="AG244" s="331"/>
      <c r="AH244" s="7475"/>
      <c r="AI244" s="587">
        <f ca="1">CELL("largeur",AI244)</f>
        <v>16</v>
      </c>
      <c r="AJ244" s="587">
        <f t="shared" ref="AJ244:AO244" ca="1" si="22">CELL("largeur",AJ244)</f>
        <v>16</v>
      </c>
      <c r="AK244" s="587">
        <f t="shared" ca="1" si="22"/>
        <v>16</v>
      </c>
      <c r="AL244" s="587">
        <f t="shared" ca="1" si="22"/>
        <v>11</v>
      </c>
      <c r="AM244" s="587">
        <f t="shared" ca="1" si="22"/>
        <v>11</v>
      </c>
      <c r="AN244" s="587">
        <f ca="1">CELL("largeur",AN244)</f>
        <v>11</v>
      </c>
      <c r="AO244" s="588">
        <f t="shared" ca="1" si="22"/>
        <v>11</v>
      </c>
      <c r="AP244" s="529"/>
      <c r="AR244" s="7482"/>
      <c r="AS244" s="7442" t="s">
        <v>793</v>
      </c>
      <c r="AT244" s="7444"/>
      <c r="AU244" s="7444"/>
      <c r="AV244" s="7444"/>
      <c r="AW244" s="7444"/>
      <c r="AX244" s="7445"/>
      <c r="AY244" s="331"/>
      <c r="AZ244" s="331"/>
      <c r="BA244" s="331"/>
      <c r="BB244" s="331"/>
      <c r="BC244" s="7475"/>
      <c r="BD244" s="587">
        <f ca="1">CELL("largeur",BD244)</f>
        <v>16</v>
      </c>
      <c r="BE244" s="587">
        <f t="shared" ref="BE244:BJ244" ca="1" si="23">CELL("largeur",BE244)</f>
        <v>16</v>
      </c>
      <c r="BF244" s="587">
        <f t="shared" ca="1" si="23"/>
        <v>16</v>
      </c>
      <c r="BG244" s="587">
        <f t="shared" ca="1" si="23"/>
        <v>11</v>
      </c>
      <c r="BH244" s="587">
        <f t="shared" ca="1" si="23"/>
        <v>11</v>
      </c>
      <c r="BI244" s="587">
        <f ca="1">CELL("largeur",BI244)</f>
        <v>11</v>
      </c>
      <c r="BJ244" s="588">
        <f t="shared" ca="1" si="23"/>
        <v>11</v>
      </c>
      <c r="BK244" s="529"/>
    </row>
    <row r="245" spans="1:63">
      <c r="A245" s="502">
        <v>1</v>
      </c>
      <c r="B245" s="7482"/>
      <c r="C245" s="578">
        <v>8</v>
      </c>
      <c r="D245" s="578">
        <v>9</v>
      </c>
      <c r="E245" s="578">
        <v>11</v>
      </c>
      <c r="F245" s="578">
        <v>11</v>
      </c>
      <c r="G245" s="578">
        <v>11</v>
      </c>
      <c r="H245" s="924">
        <v>11</v>
      </c>
      <c r="I245" s="331"/>
      <c r="J245" s="331"/>
      <c r="K245" s="331"/>
      <c r="L245" s="331"/>
      <c r="M245" s="331"/>
      <c r="N245" s="331"/>
      <c r="O245" s="331"/>
      <c r="P245" s="331"/>
      <c r="Q245" s="331"/>
      <c r="R245" s="331"/>
      <c r="S245" s="331"/>
      <c r="T245" s="331"/>
      <c r="U245" s="529"/>
      <c r="W245" s="7482"/>
      <c r="X245" s="578">
        <v>8</v>
      </c>
      <c r="Y245" s="578">
        <v>9</v>
      </c>
      <c r="Z245" s="578">
        <v>11</v>
      </c>
      <c r="AA245" s="578">
        <v>11</v>
      </c>
      <c r="AB245" s="578">
        <v>11</v>
      </c>
      <c r="AC245" s="924">
        <v>11</v>
      </c>
      <c r="AD245" s="331"/>
      <c r="AE245" s="331"/>
      <c r="AF245" s="331"/>
      <c r="AG245" s="331"/>
      <c r="AH245" s="331"/>
      <c r="AI245" s="331"/>
      <c r="AJ245" s="331"/>
      <c r="AK245" s="331"/>
      <c r="AL245" s="331"/>
      <c r="AM245" s="331"/>
      <c r="AN245" s="331"/>
      <c r="AO245" s="331"/>
      <c r="AP245" s="529"/>
      <c r="AR245" s="7482"/>
      <c r="AS245" s="578">
        <v>8</v>
      </c>
      <c r="AT245" s="578">
        <v>9</v>
      </c>
      <c r="AU245" s="578">
        <v>11</v>
      </c>
      <c r="AV245" s="578">
        <v>11</v>
      </c>
      <c r="AW245" s="578">
        <v>11</v>
      </c>
      <c r="AX245" s="924">
        <v>11</v>
      </c>
      <c r="AY245" s="331"/>
      <c r="AZ245" s="331"/>
      <c r="BA245" s="331"/>
      <c r="BB245" s="331"/>
      <c r="BC245" s="331"/>
      <c r="BD245" s="331"/>
      <c r="BE245" s="331"/>
      <c r="BF245" s="331"/>
      <c r="BG245" s="331"/>
      <c r="BH245" s="331"/>
      <c r="BI245" s="331"/>
      <c r="BJ245" s="331"/>
      <c r="BK245" s="529"/>
    </row>
    <row r="246" spans="1:63" ht="16.5" thickBot="1">
      <c r="A246" s="502">
        <v>1</v>
      </c>
      <c r="B246" s="7483"/>
      <c r="C246" s="587">
        <f t="shared" ref="C246:H246" ca="1" si="24">CELL("largeur",C246)</f>
        <v>13</v>
      </c>
      <c r="D246" s="587">
        <f t="shared" ca="1" si="24"/>
        <v>21</v>
      </c>
      <c r="E246" s="587">
        <f t="shared" ca="1" si="24"/>
        <v>13</v>
      </c>
      <c r="F246" s="587">
        <f t="shared" ca="1" si="24"/>
        <v>13</v>
      </c>
      <c r="G246" s="587">
        <f t="shared" ca="1" si="24"/>
        <v>13</v>
      </c>
      <c r="H246" s="925">
        <f t="shared" ca="1" si="24"/>
        <v>13</v>
      </c>
      <c r="I246" s="331"/>
      <c r="J246" s="331"/>
      <c r="K246" s="331"/>
      <c r="L246" s="331"/>
      <c r="M246" s="331"/>
      <c r="N246" s="331"/>
      <c r="O246" s="331"/>
      <c r="P246" s="331"/>
      <c r="Q246" s="331"/>
      <c r="R246" s="331"/>
      <c r="S246" s="331"/>
      <c r="T246" s="331"/>
      <c r="U246" s="529"/>
      <c r="W246" s="7483"/>
      <c r="X246" s="587">
        <f t="shared" ref="X246:AC246" ca="1" si="25">CELL("largeur",X246)</f>
        <v>13</v>
      </c>
      <c r="Y246" s="587">
        <f t="shared" ca="1" si="25"/>
        <v>21</v>
      </c>
      <c r="Z246" s="587">
        <f t="shared" ca="1" si="25"/>
        <v>13</v>
      </c>
      <c r="AA246" s="587">
        <f t="shared" ca="1" si="25"/>
        <v>13</v>
      </c>
      <c r="AB246" s="587">
        <f t="shared" ca="1" si="25"/>
        <v>13</v>
      </c>
      <c r="AC246" s="925">
        <f t="shared" ca="1" si="25"/>
        <v>13</v>
      </c>
      <c r="AD246" s="331"/>
      <c r="AE246" s="331"/>
      <c r="AF246" s="331"/>
      <c r="AG246" s="331"/>
      <c r="AH246" s="331"/>
      <c r="AI246" s="331"/>
      <c r="AJ246" s="331"/>
      <c r="AK246" s="331"/>
      <c r="AL246" s="331"/>
      <c r="AM246" s="331"/>
      <c r="AN246" s="331"/>
      <c r="AO246" s="331"/>
      <c r="AP246" s="529"/>
      <c r="AR246" s="7483"/>
      <c r="AS246" s="587">
        <f t="shared" ref="AS246:AX246" ca="1" si="26">CELL("largeur",AS246)</f>
        <v>13</v>
      </c>
      <c r="AT246" s="587">
        <f t="shared" ca="1" si="26"/>
        <v>21</v>
      </c>
      <c r="AU246" s="587">
        <f t="shared" ca="1" si="26"/>
        <v>13</v>
      </c>
      <c r="AV246" s="587">
        <f t="shared" ca="1" si="26"/>
        <v>13</v>
      </c>
      <c r="AW246" s="587">
        <f t="shared" ca="1" si="26"/>
        <v>13</v>
      </c>
      <c r="AX246" s="925">
        <f t="shared" ca="1" si="26"/>
        <v>13</v>
      </c>
      <c r="AY246" s="331"/>
      <c r="AZ246" s="331"/>
      <c r="BA246" s="331"/>
      <c r="BB246" s="331"/>
      <c r="BC246" s="331"/>
      <c r="BD246" s="331"/>
      <c r="BE246" s="331"/>
      <c r="BF246" s="331"/>
      <c r="BG246" s="331"/>
      <c r="BH246" s="331"/>
      <c r="BI246" s="331"/>
      <c r="BJ246" s="331"/>
      <c r="BK246" s="926" t="s">
        <v>0</v>
      </c>
    </row>
    <row r="247" spans="1:63">
      <c r="A247" s="927">
        <v>1</v>
      </c>
      <c r="B247" s="928">
        <v>1</v>
      </c>
      <c r="C247" s="927">
        <v>1</v>
      </c>
      <c r="D247" s="927">
        <v>1</v>
      </c>
      <c r="E247" s="927">
        <v>1</v>
      </c>
      <c r="F247" s="927">
        <v>1</v>
      </c>
      <c r="G247" s="927">
        <v>1</v>
      </c>
      <c r="H247" s="927">
        <v>1</v>
      </c>
      <c r="I247" s="929"/>
      <c r="J247" s="929"/>
      <c r="K247" s="929"/>
      <c r="L247" s="929"/>
      <c r="M247" s="929"/>
      <c r="N247" s="929"/>
      <c r="O247" s="929"/>
      <c r="P247" s="929"/>
      <c r="Q247" s="929"/>
      <c r="R247" s="929"/>
      <c r="S247" s="929"/>
      <c r="T247" s="929"/>
      <c r="U247" s="952"/>
      <c r="W247" s="928">
        <v>1</v>
      </c>
      <c r="X247" s="927">
        <v>1</v>
      </c>
      <c r="Y247" s="927">
        <v>1</v>
      </c>
      <c r="Z247" s="927">
        <v>1</v>
      </c>
      <c r="AA247" s="927">
        <v>1</v>
      </c>
      <c r="AB247" s="927">
        <v>1</v>
      </c>
      <c r="AC247" s="927">
        <v>1</v>
      </c>
      <c r="AD247" s="929"/>
      <c r="AE247" s="929"/>
      <c r="AF247" s="929"/>
      <c r="AG247" s="929"/>
      <c r="AH247" s="929"/>
      <c r="AI247" s="929"/>
      <c r="AJ247" s="929"/>
      <c r="AK247" s="929"/>
      <c r="AL247" s="929"/>
      <c r="AM247" s="929"/>
      <c r="AN247" s="929"/>
      <c r="AO247" s="929"/>
      <c r="AP247" s="952"/>
      <c r="AR247" s="928">
        <v>1</v>
      </c>
      <c r="AS247" s="927">
        <v>1</v>
      </c>
      <c r="AT247" s="927">
        <v>1</v>
      </c>
      <c r="AU247" s="927">
        <v>1</v>
      </c>
      <c r="AV247" s="927">
        <v>1</v>
      </c>
      <c r="AW247" s="927">
        <v>1</v>
      </c>
      <c r="AX247" s="927">
        <v>1</v>
      </c>
      <c r="AY247" s="929"/>
      <c r="AZ247" s="929"/>
      <c r="BA247" s="929"/>
      <c r="BB247" s="929"/>
      <c r="BC247" s="929"/>
      <c r="BD247" s="929"/>
      <c r="BE247" s="929"/>
      <c r="BF247" s="929"/>
      <c r="BG247" s="929"/>
      <c r="BH247" s="929"/>
      <c r="BI247" s="929"/>
      <c r="BJ247" s="929"/>
      <c r="BK247" s="930" t="str">
        <f>ADDRESS(ROW(),COLUMN(),4)</f>
        <v>BK247</v>
      </c>
    </row>
  </sheetData>
  <mergeCells count="178">
    <mergeCell ref="C27:E27"/>
    <mergeCell ref="B47:B48"/>
    <mergeCell ref="C47:H48"/>
    <mergeCell ref="W47:W48"/>
    <mergeCell ref="X47:AC48"/>
    <mergeCell ref="AR47:AR48"/>
    <mergeCell ref="AS47:AX48"/>
    <mergeCell ref="B49:B106"/>
    <mergeCell ref="W49:W106"/>
    <mergeCell ref="AR49:AR106"/>
    <mergeCell ref="C54:H55"/>
    <mergeCell ref="X54:AC55"/>
    <mergeCell ref="AS54:AX55"/>
    <mergeCell ref="D60:H61"/>
    <mergeCell ref="Y60:AC61"/>
    <mergeCell ref="AT60:AX61"/>
    <mergeCell ref="C81:H82"/>
    <mergeCell ref="N81:N90"/>
    <mergeCell ref="X81:AC82"/>
    <mergeCell ref="AI81:AI90"/>
    <mergeCell ref="AS81:AX82"/>
    <mergeCell ref="BE80:BI80"/>
    <mergeCell ref="D69:H70"/>
    <mergeCell ref="Y69:AC70"/>
    <mergeCell ref="AT69:AX70"/>
    <mergeCell ref="D72:H73"/>
    <mergeCell ref="Y72:AC73"/>
    <mergeCell ref="AT72:AX73"/>
    <mergeCell ref="D63:H64"/>
    <mergeCell ref="Y63:AC64"/>
    <mergeCell ref="AT63:AX64"/>
    <mergeCell ref="D66:H67"/>
    <mergeCell ref="Y66:AC67"/>
    <mergeCell ref="AT66:AX67"/>
    <mergeCell ref="C76:H77"/>
    <mergeCell ref="X76:AC77"/>
    <mergeCell ref="AS76:AX77"/>
    <mergeCell ref="O80:S80"/>
    <mergeCell ref="AJ80:AN80"/>
    <mergeCell ref="O108:O109"/>
    <mergeCell ref="P108:P109"/>
    <mergeCell ref="AJ108:AJ109"/>
    <mergeCell ref="AK108:AK109"/>
    <mergeCell ref="BE108:BE109"/>
    <mergeCell ref="BF108:BF109"/>
    <mergeCell ref="BE87:BI88"/>
    <mergeCell ref="O93:U93"/>
    <mergeCell ref="AJ93:AP93"/>
    <mergeCell ref="BE93:BK93"/>
    <mergeCell ref="O94:U94"/>
    <mergeCell ref="AJ94:AP94"/>
    <mergeCell ref="BE94:BK94"/>
    <mergeCell ref="BD81:BD90"/>
    <mergeCell ref="O87:S88"/>
    <mergeCell ref="AJ87:AN88"/>
    <mergeCell ref="O111:O112"/>
    <mergeCell ref="AJ111:AJ112"/>
    <mergeCell ref="BE111:BE112"/>
    <mergeCell ref="B112:B113"/>
    <mergeCell ref="C112:F112"/>
    <mergeCell ref="W112:W113"/>
    <mergeCell ref="X112:AA112"/>
    <mergeCell ref="AR112:AR113"/>
    <mergeCell ref="AS112:AV112"/>
    <mergeCell ref="B143:B144"/>
    <mergeCell ref="C143:F143"/>
    <mergeCell ref="W143:W144"/>
    <mergeCell ref="X143:AA143"/>
    <mergeCell ref="AR143:AR144"/>
    <mergeCell ref="AS143:AV143"/>
    <mergeCell ref="X128:AC129"/>
    <mergeCell ref="AS128:AX129"/>
    <mergeCell ref="C131:H131"/>
    <mergeCell ref="X131:AC131"/>
    <mergeCell ref="AS131:AX131"/>
    <mergeCell ref="B141:H142"/>
    <mergeCell ref="W141:AC142"/>
    <mergeCell ref="AR141:AX142"/>
    <mergeCell ref="B114:B140"/>
    <mergeCell ref="C114:H114"/>
    <mergeCell ref="W114:W140"/>
    <mergeCell ref="X114:AC114"/>
    <mergeCell ref="AR114:AR140"/>
    <mergeCell ref="AS114:AX114"/>
    <mergeCell ref="F117:H117"/>
    <mergeCell ref="AA117:AC117"/>
    <mergeCell ref="AV117:AX117"/>
    <mergeCell ref="C128:H129"/>
    <mergeCell ref="X165:AC165"/>
    <mergeCell ref="AS165:AX165"/>
    <mergeCell ref="B176:B177"/>
    <mergeCell ref="C176:F176"/>
    <mergeCell ref="W176:W177"/>
    <mergeCell ref="X176:AA176"/>
    <mergeCell ref="AR176:AR177"/>
    <mergeCell ref="AS176:AV176"/>
    <mergeCell ref="B145:B174"/>
    <mergeCell ref="C145:H145"/>
    <mergeCell ref="W145:W174"/>
    <mergeCell ref="X145:AC145"/>
    <mergeCell ref="AR145:AR174"/>
    <mergeCell ref="AS145:AX145"/>
    <mergeCell ref="C162:H163"/>
    <mergeCell ref="X162:AC163"/>
    <mergeCell ref="AS162:AX163"/>
    <mergeCell ref="C165:H165"/>
    <mergeCell ref="X196:AC196"/>
    <mergeCell ref="AS196:AX196"/>
    <mergeCell ref="B208:B220"/>
    <mergeCell ref="W208:W220"/>
    <mergeCell ref="AR208:AR220"/>
    <mergeCell ref="C218:K218"/>
    <mergeCell ref="X218:AF218"/>
    <mergeCell ref="AS218:BA218"/>
    <mergeCell ref="B178:B205"/>
    <mergeCell ref="C178:H178"/>
    <mergeCell ref="W178:W205"/>
    <mergeCell ref="X178:AC178"/>
    <mergeCell ref="AR178:AR205"/>
    <mergeCell ref="AS178:AX178"/>
    <mergeCell ref="C193:H194"/>
    <mergeCell ref="X193:AC194"/>
    <mergeCell ref="AS193:AX194"/>
    <mergeCell ref="C196:H196"/>
    <mergeCell ref="N222:T222"/>
    <mergeCell ref="AI222:AO222"/>
    <mergeCell ref="BD222:BJ222"/>
    <mergeCell ref="B223:B234"/>
    <mergeCell ref="M223:M244"/>
    <mergeCell ref="W223:W234"/>
    <mergeCell ref="AH223:AH244"/>
    <mergeCell ref="AR223:AR234"/>
    <mergeCell ref="BC223:BC244"/>
    <mergeCell ref="N224:O225"/>
    <mergeCell ref="P224:T225"/>
    <mergeCell ref="AI224:AJ225"/>
    <mergeCell ref="AK224:AO225"/>
    <mergeCell ref="BD224:BE225"/>
    <mergeCell ref="BF224:BJ225"/>
    <mergeCell ref="N226:N227"/>
    <mergeCell ref="O226:O227"/>
    <mergeCell ref="P226:S227"/>
    <mergeCell ref="T226:T227"/>
    <mergeCell ref="AI226:AI227"/>
    <mergeCell ref="B237:B246"/>
    <mergeCell ref="W237:W246"/>
    <mergeCell ref="AR237:AR246"/>
    <mergeCell ref="C238:D238"/>
    <mergeCell ref="BJ226:BJ227"/>
    <mergeCell ref="C232:K232"/>
    <mergeCell ref="X232:AF232"/>
    <mergeCell ref="AS232:BA232"/>
    <mergeCell ref="C236:H236"/>
    <mergeCell ref="X236:AC236"/>
    <mergeCell ref="AS236:AX236"/>
    <mergeCell ref="AJ226:AJ227"/>
    <mergeCell ref="AK226:AN227"/>
    <mergeCell ref="AO226:AO227"/>
    <mergeCell ref="BD226:BD227"/>
    <mergeCell ref="BE226:BE227"/>
    <mergeCell ref="BF226:BI227"/>
    <mergeCell ref="BD240:BJ240"/>
    <mergeCell ref="C244:H244"/>
    <mergeCell ref="X244:AC244"/>
    <mergeCell ref="AS244:AX244"/>
    <mergeCell ref="AS238:AT238"/>
    <mergeCell ref="AW238:AX238"/>
    <mergeCell ref="C239:C243"/>
    <mergeCell ref="D239:D243"/>
    <mergeCell ref="X239:X243"/>
    <mergeCell ref="Y239:Y243"/>
    <mergeCell ref="AS239:AS243"/>
    <mergeCell ref="AT239:AT243"/>
    <mergeCell ref="N240:T240"/>
    <mergeCell ref="AI240:AO240"/>
    <mergeCell ref="G238:H238"/>
    <mergeCell ref="X238:Y238"/>
    <mergeCell ref="AB238:AC238"/>
  </mergeCells>
  <conditionalFormatting sqref="B236">
    <cfRule type="expression" dxfId="157" priority="39" stopIfTrue="1">
      <formula>OR(ROW()=CELL("ligne"),COLUMN()=CELL("colonne"))</formula>
    </cfRule>
  </conditionalFormatting>
  <conditionalFormatting sqref="E119 E125">
    <cfRule type="cellIs" dxfId="156" priority="50" operator="equal">
      <formula>#REF!</formula>
    </cfRule>
    <cfRule type="cellIs" dxfId="155" priority="51" operator="equal">
      <formula>#REF!</formula>
    </cfRule>
  </conditionalFormatting>
  <conditionalFormatting sqref="E119">
    <cfRule type="cellIs" dxfId="154" priority="48" operator="equal">
      <formula>#REF!</formula>
    </cfRule>
    <cfRule type="cellIs" dxfId="153" priority="49" operator="equal">
      <formula>#REF!</formula>
    </cfRule>
  </conditionalFormatting>
  <conditionalFormatting sqref="E151:E153">
    <cfRule type="cellIs" dxfId="152" priority="35" operator="equal">
      <formula>#REF!</formula>
    </cfRule>
    <cfRule type="cellIs" dxfId="151" priority="36" operator="equal">
      <formula>#REF!</formula>
    </cfRule>
    <cfRule type="cellIs" dxfId="150" priority="37" operator="equal">
      <formula>#REF!</formula>
    </cfRule>
    <cfRule type="cellIs" dxfId="149" priority="38" operator="equal">
      <formula>#REF!</formula>
    </cfRule>
  </conditionalFormatting>
  <conditionalFormatting sqref="G119">
    <cfRule type="cellIs" dxfId="148" priority="46" operator="equal">
      <formula>#REF!</formula>
    </cfRule>
    <cfRule type="cellIs" dxfId="147" priority="47" operator="equal">
      <formula>#REF!</formula>
    </cfRule>
  </conditionalFormatting>
  <conditionalFormatting sqref="I109:I110">
    <cfRule type="cellIs" dxfId="146" priority="44" operator="equal">
      <formula>#REF!</formula>
    </cfRule>
    <cfRule type="cellIs" dxfId="145" priority="45" operator="equal">
      <formula>#REF!</formula>
    </cfRule>
  </conditionalFormatting>
  <conditionalFormatting sqref="J119">
    <cfRule type="cellIs" dxfId="144" priority="42" operator="equal">
      <formula>#REF!</formula>
    </cfRule>
    <cfRule type="cellIs" dxfId="143" priority="43" operator="equal">
      <formula>#REF!</formula>
    </cfRule>
  </conditionalFormatting>
  <conditionalFormatting sqref="J125">
    <cfRule type="cellIs" dxfId="142" priority="40" operator="equal">
      <formula>#REF!</formula>
    </cfRule>
    <cfRule type="cellIs" dxfId="141" priority="41" operator="equal">
      <formula>#REF!</formula>
    </cfRule>
  </conditionalFormatting>
  <conditionalFormatting sqref="W236">
    <cfRule type="expression" dxfId="140" priority="22" stopIfTrue="1">
      <formula>OR(ROW()=CELL("ligne"),COLUMN()=CELL("colonne"))</formula>
    </cfRule>
  </conditionalFormatting>
  <conditionalFormatting sqref="Z119 Z125">
    <cfRule type="cellIs" dxfId="139" priority="33" operator="equal">
      <formula>#REF!</formula>
    </cfRule>
    <cfRule type="cellIs" dxfId="138" priority="34" operator="equal">
      <formula>#REF!</formula>
    </cfRule>
  </conditionalFormatting>
  <conditionalFormatting sqref="Z119">
    <cfRule type="cellIs" dxfId="137" priority="31" operator="equal">
      <formula>#REF!</formula>
    </cfRule>
    <cfRule type="cellIs" dxfId="136" priority="32" operator="equal">
      <formula>#REF!</formula>
    </cfRule>
  </conditionalFormatting>
  <conditionalFormatting sqref="Z151:Z153">
    <cfRule type="cellIs" dxfId="135" priority="18" operator="equal">
      <formula>#REF!</formula>
    </cfRule>
    <cfRule type="cellIs" dxfId="134" priority="19" operator="equal">
      <formula>#REF!</formula>
    </cfRule>
    <cfRule type="cellIs" dxfId="133" priority="20" operator="equal">
      <formula>#REF!</formula>
    </cfRule>
    <cfRule type="cellIs" dxfId="132" priority="21" operator="equal">
      <formula>#REF!</formula>
    </cfRule>
  </conditionalFormatting>
  <conditionalFormatting sqref="AB119">
    <cfRule type="cellIs" dxfId="131" priority="29" operator="equal">
      <formula>#REF!</formula>
    </cfRule>
    <cfRule type="cellIs" dxfId="130" priority="30" operator="equal">
      <formula>#REF!</formula>
    </cfRule>
  </conditionalFormatting>
  <conditionalFormatting sqref="AD109:AD110">
    <cfRule type="cellIs" dxfId="129" priority="27" operator="equal">
      <formula>#REF!</formula>
    </cfRule>
    <cfRule type="cellIs" dxfId="128" priority="28" operator="equal">
      <formula>#REF!</formula>
    </cfRule>
  </conditionalFormatting>
  <conditionalFormatting sqref="AE119">
    <cfRule type="cellIs" dxfId="127" priority="25" operator="equal">
      <formula>#REF!</formula>
    </cfRule>
    <cfRule type="cellIs" dxfId="126" priority="26" operator="equal">
      <formula>#REF!</formula>
    </cfRule>
  </conditionalFormatting>
  <conditionalFormatting sqref="AE125">
    <cfRule type="cellIs" dxfId="125" priority="23" operator="equal">
      <formula>#REF!</formula>
    </cfRule>
    <cfRule type="cellIs" dxfId="124" priority="24" operator="equal">
      <formula>#REF!</formula>
    </cfRule>
  </conditionalFormatting>
  <conditionalFormatting sqref="AR236">
    <cfRule type="expression" dxfId="123" priority="5" stopIfTrue="1">
      <formula>OR(ROW()=CELL("ligne"),COLUMN()=CELL("colonne"))</formula>
    </cfRule>
  </conditionalFormatting>
  <conditionalFormatting sqref="AU119 AU125">
    <cfRule type="cellIs" dxfId="122" priority="16" operator="equal">
      <formula>#REF!</formula>
    </cfRule>
    <cfRule type="cellIs" dxfId="121" priority="17" operator="equal">
      <formula>#REF!</formula>
    </cfRule>
  </conditionalFormatting>
  <conditionalFormatting sqref="AU119">
    <cfRule type="cellIs" dxfId="120" priority="14" operator="equal">
      <formula>#REF!</formula>
    </cfRule>
    <cfRule type="cellIs" dxfId="119" priority="15" operator="equal">
      <formula>#REF!</formula>
    </cfRule>
  </conditionalFormatting>
  <conditionalFormatting sqref="AU151:AU153">
    <cfRule type="cellIs" dxfId="118" priority="1" operator="equal">
      <formula>#REF!</formula>
    </cfRule>
    <cfRule type="cellIs" dxfId="117" priority="2" operator="equal">
      <formula>#REF!</formula>
    </cfRule>
    <cfRule type="cellIs" dxfId="116" priority="3" operator="equal">
      <formula>#REF!</formula>
    </cfRule>
    <cfRule type="cellIs" dxfId="115" priority="4" operator="equal">
      <formula>#REF!</formula>
    </cfRule>
  </conditionalFormatting>
  <conditionalFormatting sqref="AW119">
    <cfRule type="cellIs" dxfId="114" priority="12" operator="equal">
      <formula>#REF!</formula>
    </cfRule>
    <cfRule type="cellIs" dxfId="113" priority="13" operator="equal">
      <formula>#REF!</formula>
    </cfRule>
  </conditionalFormatting>
  <conditionalFormatting sqref="AY109:AY110">
    <cfRule type="cellIs" dxfId="112" priority="10" operator="equal">
      <formula>#REF!</formula>
    </cfRule>
    <cfRule type="cellIs" dxfId="111" priority="11" operator="equal">
      <formula>#REF!</formula>
    </cfRule>
  </conditionalFormatting>
  <conditionalFormatting sqref="AZ119">
    <cfRule type="cellIs" dxfId="110" priority="8" operator="equal">
      <formula>#REF!</formula>
    </cfRule>
    <cfRule type="cellIs" dxfId="109" priority="9" operator="equal">
      <formula>#REF!</formula>
    </cfRule>
  </conditionalFormatting>
  <conditionalFormatting sqref="AZ125">
    <cfRule type="cellIs" dxfId="108" priority="6" operator="equal">
      <formula>#REF!</formula>
    </cfRule>
    <cfRule type="cellIs" dxfId="107" priority="7" operator="equal">
      <formula>#REF!</formula>
    </cfRule>
  </conditionalFormatting>
  <hyperlinks>
    <hyperlink ref="D98" r:id="rId1" xr:uid="{D5FD2F53-AC0F-4DF4-8BB3-BDC14C5FBF7C}"/>
    <hyperlink ref="D100" r:id="rId2" xr:uid="{2F843811-EF04-442C-AEFD-0D1F90279BD7}"/>
    <hyperlink ref="F100" r:id="rId3" xr:uid="{807CF281-EA98-4DCF-81AF-AFDB1B3A9C8A}"/>
    <hyperlink ref="F98" r:id="rId4" xr:uid="{0C9796C5-863A-4FF6-85FA-AEFEB4B0AEBF}"/>
    <hyperlink ref="D105" r:id="rId5" xr:uid="{CE29FC55-7B79-4055-9A05-E93D02E6947E}"/>
    <hyperlink ref="R66" r:id="rId6" xr:uid="{0108FC4B-D5F8-44CB-A306-CFA97E0DB50F}"/>
    <hyperlink ref="Q78" r:id="rId7" xr:uid="{7CC0D88E-FF58-4151-A3A6-432BDE670C93}"/>
    <hyperlink ref="F35" r:id="rId8" xr:uid="{0247F09F-48CE-4D1E-BBD9-643FD10511F5}"/>
    <hyperlink ref="F37" r:id="rId9" xr:uid="{A13B0774-081B-4D62-83C5-45F3DF5E9399}"/>
    <hyperlink ref="J33" r:id="rId10" xr:uid="{C699406C-BB73-48EC-AF77-082770FAC332}"/>
    <hyperlink ref="O93" r:id="rId11" xr:uid="{EBE1EE41-D8CE-4E41-9010-A160D1028E8E}"/>
    <hyperlink ref="O94" r:id="rId12" xr:uid="{43B53E32-9B73-4F70-B97E-EF4D508DCBA1}"/>
    <hyperlink ref="O35" r:id="rId13" xr:uid="{B55A1C1F-5548-4B49-BA70-8B943B0F4DCC}"/>
    <hyperlink ref="Y98" r:id="rId14" xr:uid="{1276B863-3538-4355-8FB9-F3B0F5413784}"/>
    <hyperlink ref="Y100" r:id="rId15" xr:uid="{8C7A049E-4E42-4D36-B090-6DDDAB726145}"/>
    <hyperlink ref="AA100" r:id="rId16" xr:uid="{B8E04E6D-3D2D-40AD-AFCC-5C1AD8129C78}"/>
    <hyperlink ref="AA98" r:id="rId17" xr:uid="{4219D6C5-1074-436A-9D2B-7D6F61874AE0}"/>
    <hyperlink ref="Y105" r:id="rId18" xr:uid="{BDED9410-3342-4962-829E-03EE05822D45}"/>
    <hyperlink ref="AM66" r:id="rId19" xr:uid="{CB13A7D8-0928-4EBB-8811-CAC3E8DD8CF6}"/>
    <hyperlink ref="AL78" r:id="rId20" xr:uid="{679A760D-FDBE-4E09-BE6B-B3617C38281D}"/>
    <hyperlink ref="AA35" r:id="rId21" xr:uid="{529E0E08-D30D-4D3F-80FC-1EC40243ED86}"/>
    <hyperlink ref="AA37" r:id="rId22" xr:uid="{D1182C3B-A6B0-4202-BF10-342F4477B352}"/>
    <hyperlink ref="AE33" r:id="rId23" xr:uid="{554DDF67-A6EF-44BD-AB6E-8C64899318EC}"/>
    <hyperlink ref="AJ93" r:id="rId24" xr:uid="{1102E521-F561-4CC7-9129-4B51CB5730FA}"/>
    <hyperlink ref="AJ94" r:id="rId25" xr:uid="{07C1D116-29C3-4535-AD6A-C8C9E5A81DAC}"/>
    <hyperlink ref="AJ35" r:id="rId26" xr:uid="{065552FF-BF5E-451B-918C-0D0F45948482}"/>
    <hyperlink ref="AT98" r:id="rId27" xr:uid="{EE50E318-B8A9-4C74-850D-EDFC4593C64B}"/>
    <hyperlink ref="AT100" r:id="rId28" xr:uid="{D3C2CD34-4C37-4789-8672-8F10AB30AA09}"/>
    <hyperlink ref="AV100" r:id="rId29" xr:uid="{7FC2A68B-D015-44BE-8E85-A71F1B56E604}"/>
    <hyperlink ref="AV98" r:id="rId30" xr:uid="{1EEC38F4-D78A-4788-946F-DA40C7826588}"/>
    <hyperlink ref="AT105" r:id="rId31" xr:uid="{81DD51C1-E9CC-4AAB-93A7-FBEBD73E6DB9}"/>
    <hyperlink ref="BH66" r:id="rId32" xr:uid="{17428C77-AE08-41A6-B8F2-F8337FDE0A6A}"/>
    <hyperlink ref="BG78" r:id="rId33" xr:uid="{C7809077-6E23-45A4-AE87-B602DC7D7E87}"/>
    <hyperlink ref="AV35" r:id="rId34" xr:uid="{2EF87076-DE27-48EA-8D82-60FA4437C376}"/>
    <hyperlink ref="AV37" r:id="rId35" xr:uid="{2915F4A0-E743-41E9-B345-96D5D56F6F0E}"/>
    <hyperlink ref="AZ33" r:id="rId36" xr:uid="{C0E34ABD-00D1-4794-9992-D4560B658D47}"/>
    <hyperlink ref="BE93" r:id="rId37" xr:uid="{64A56B98-345D-48E2-B085-5743692A0A0D}"/>
    <hyperlink ref="BE94" r:id="rId38" xr:uid="{29E9EC56-1256-410D-B96E-40A5D4264CD3}"/>
    <hyperlink ref="BE35" r:id="rId39" xr:uid="{97334E0C-9100-4967-9141-CB140D898C67}"/>
    <hyperlink ref="AA28" r:id="rId40" xr:uid="{EB37AA08-A038-4FEB-BDF0-B2F2349AB9D1}"/>
    <hyperlink ref="AW28" r:id="rId41" xr:uid="{D1800A37-9733-48A1-B0E6-2ACFE1DA81C7}"/>
  </hyperlinks>
  <pageMargins left="0.7" right="0.7" top="0.75" bottom="0.75" header="0.3" footer="0.3"/>
  <pageSetup paperSize="9" orientation="portrait" r:id="rId42"/>
  <drawing r:id="rId4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78365-EBFD-4F04-A428-38A537B2035B}">
  <dimension ref="A1:F28"/>
  <sheetViews>
    <sheetView workbookViewId="0">
      <selection activeCell="D18" sqref="D18"/>
    </sheetView>
  </sheetViews>
  <sheetFormatPr baseColWidth="10" defaultRowHeight="15"/>
  <cols>
    <col min="1" max="1" width="5.42578125" customWidth="1"/>
    <col min="2" max="2" width="82.42578125" customWidth="1"/>
    <col min="3" max="3" width="4.140625" customWidth="1"/>
    <col min="4" max="4" width="82.7109375" customWidth="1"/>
    <col min="5" max="5" width="4.42578125" customWidth="1"/>
    <col min="6" max="6" width="82.7109375" customWidth="1"/>
  </cols>
  <sheetData>
    <row r="1" spans="1:6">
      <c r="A1" s="141"/>
      <c r="B1" s="141"/>
      <c r="C1" s="141"/>
      <c r="D1" s="141"/>
      <c r="E1" s="141"/>
      <c r="F1" s="141"/>
    </row>
    <row r="2" spans="1:6">
      <c r="A2" s="141"/>
      <c r="B2" s="141"/>
      <c r="C2" s="141"/>
      <c r="D2" s="141"/>
      <c r="E2" s="141"/>
      <c r="F2" s="141"/>
    </row>
    <row r="3" spans="1:6" ht="39" customHeight="1">
      <c r="A3" s="141"/>
      <c r="B3" s="497" t="s">
        <v>442</v>
      </c>
      <c r="C3" s="498"/>
      <c r="D3" s="497" t="s">
        <v>443</v>
      </c>
      <c r="E3" s="498"/>
      <c r="F3" s="497" t="s">
        <v>444</v>
      </c>
    </row>
    <row r="4" spans="1:6" ht="21" customHeight="1">
      <c r="A4" s="141"/>
      <c r="B4" s="499" t="s">
        <v>445</v>
      </c>
      <c r="C4" s="141"/>
      <c r="D4" s="500" t="s">
        <v>446</v>
      </c>
      <c r="E4" s="141"/>
      <c r="F4" s="500" t="s">
        <v>447</v>
      </c>
    </row>
    <row r="5" spans="1:6" ht="21" customHeight="1">
      <c r="A5" s="141"/>
      <c r="B5" s="499" t="s">
        <v>448</v>
      </c>
      <c r="C5" s="141"/>
      <c r="D5" s="500" t="s">
        <v>449</v>
      </c>
      <c r="E5" s="141"/>
      <c r="F5" s="500" t="s">
        <v>450</v>
      </c>
    </row>
    <row r="6" spans="1:6" ht="21" customHeight="1">
      <c r="A6" s="141"/>
      <c r="B6" s="499" t="s">
        <v>451</v>
      </c>
      <c r="C6" s="141"/>
      <c r="D6" s="500" t="s">
        <v>452</v>
      </c>
      <c r="E6" s="141"/>
      <c r="F6" s="500" t="s">
        <v>453</v>
      </c>
    </row>
    <row r="7" spans="1:6" ht="21" customHeight="1">
      <c r="A7" s="141"/>
      <c r="B7" s="499"/>
      <c r="C7" s="141"/>
      <c r="D7" s="500"/>
      <c r="E7" s="141"/>
      <c r="F7" s="500"/>
    </row>
    <row r="8" spans="1:6" ht="21" customHeight="1">
      <c r="A8" s="141"/>
      <c r="B8" s="499" t="s">
        <v>454</v>
      </c>
      <c r="C8" s="141"/>
      <c r="D8" s="500" t="s">
        <v>455</v>
      </c>
      <c r="E8" s="141"/>
      <c r="F8" s="500" t="s">
        <v>456</v>
      </c>
    </row>
    <row r="9" spans="1:6" ht="21" customHeight="1">
      <c r="A9" s="141"/>
      <c r="B9" s="499" t="s">
        <v>457</v>
      </c>
      <c r="C9" s="141"/>
      <c r="D9" s="500" t="s">
        <v>458</v>
      </c>
      <c r="E9" s="141"/>
      <c r="F9" s="500" t="s">
        <v>459</v>
      </c>
    </row>
    <row r="10" spans="1:6" ht="21" customHeight="1">
      <c r="A10" s="141"/>
      <c r="B10" s="499" t="s">
        <v>460</v>
      </c>
      <c r="C10" s="141"/>
      <c r="D10" s="500" t="s">
        <v>461</v>
      </c>
      <c r="E10" s="141"/>
      <c r="F10" s="500" t="s">
        <v>462</v>
      </c>
    </row>
    <row r="11" spans="1:6" ht="21" customHeight="1">
      <c r="A11" s="141"/>
      <c r="B11" s="501" t="s">
        <v>463</v>
      </c>
      <c r="C11" s="141"/>
      <c r="D11" s="261" t="s">
        <v>463</v>
      </c>
      <c r="E11" s="141"/>
      <c r="F11" s="261" t="s">
        <v>463</v>
      </c>
    </row>
    <row r="12" spans="1:6" ht="21" customHeight="1">
      <c r="A12" s="141"/>
      <c r="B12" s="499" t="s">
        <v>464</v>
      </c>
      <c r="C12" s="141"/>
      <c r="D12" s="500" t="s">
        <v>465</v>
      </c>
      <c r="E12" s="141"/>
      <c r="F12" s="500" t="s">
        <v>466</v>
      </c>
    </row>
    <row r="13" spans="1:6" ht="21" customHeight="1">
      <c r="A13" s="141"/>
      <c r="B13" s="499"/>
      <c r="C13" s="141"/>
      <c r="D13" s="500"/>
      <c r="E13" s="141"/>
      <c r="F13" s="500"/>
    </row>
    <row r="14" spans="1:6" ht="21" customHeight="1">
      <c r="A14" s="141"/>
      <c r="B14" s="499" t="s">
        <v>467</v>
      </c>
      <c r="C14" s="141"/>
      <c r="D14" s="500" t="s">
        <v>468</v>
      </c>
      <c r="E14" s="141"/>
      <c r="F14" s="500" t="s">
        <v>469</v>
      </c>
    </row>
    <row r="15" spans="1:6" ht="21" customHeight="1">
      <c r="A15" s="141"/>
      <c r="B15" s="499" t="s">
        <v>470</v>
      </c>
      <c r="C15" s="141"/>
      <c r="D15" s="500" t="s">
        <v>471</v>
      </c>
      <c r="E15" s="141"/>
      <c r="F15" s="500" t="s">
        <v>472</v>
      </c>
    </row>
    <row r="16" spans="1:6" ht="21" customHeight="1">
      <c r="A16" s="141"/>
      <c r="B16" s="499" t="s">
        <v>473</v>
      </c>
      <c r="C16" s="141"/>
      <c r="D16" s="500" t="s">
        <v>474</v>
      </c>
      <c r="E16" s="141"/>
      <c r="F16" s="500" t="s">
        <v>475</v>
      </c>
    </row>
    <row r="17" spans="1:6" ht="21" customHeight="1">
      <c r="A17" s="141"/>
      <c r="B17" s="499" t="s">
        <v>476</v>
      </c>
      <c r="C17" s="141"/>
      <c r="D17" s="500" t="s">
        <v>477</v>
      </c>
      <c r="E17" s="141"/>
      <c r="F17" s="500" t="s">
        <v>478</v>
      </c>
    </row>
    <row r="18" spans="1:6" ht="21" customHeight="1">
      <c r="A18" s="141"/>
      <c r="B18" s="499"/>
      <c r="C18" s="141"/>
      <c r="D18" s="500"/>
      <c r="E18" s="141"/>
      <c r="F18" s="500"/>
    </row>
    <row r="19" spans="1:6" ht="21" customHeight="1">
      <c r="A19" s="141"/>
      <c r="B19" s="499" t="s">
        <v>479</v>
      </c>
      <c r="C19" s="141"/>
      <c r="D19" s="500" t="s">
        <v>480</v>
      </c>
      <c r="E19" s="141"/>
      <c r="F19" s="500" t="s">
        <v>481</v>
      </c>
    </row>
    <row r="20" spans="1:6" ht="21" customHeight="1">
      <c r="A20" s="141"/>
      <c r="B20" s="499" t="s">
        <v>482</v>
      </c>
      <c r="C20" s="141"/>
      <c r="D20" s="500" t="s">
        <v>483</v>
      </c>
      <c r="E20" s="141"/>
      <c r="F20" s="500" t="s">
        <v>484</v>
      </c>
    </row>
    <row r="21" spans="1:6" ht="21" customHeight="1">
      <c r="A21" s="141"/>
      <c r="B21" s="501" t="s">
        <v>485</v>
      </c>
      <c r="C21" s="141"/>
      <c r="D21" s="501" t="s">
        <v>485</v>
      </c>
      <c r="E21" s="141"/>
      <c r="F21" s="501" t="s">
        <v>485</v>
      </c>
    </row>
    <row r="22" spans="1:6" ht="21" customHeight="1">
      <c r="A22" s="141"/>
      <c r="B22" s="499" t="s">
        <v>486</v>
      </c>
      <c r="C22" s="141"/>
      <c r="D22" s="500" t="s">
        <v>487</v>
      </c>
      <c r="E22" s="141"/>
      <c r="F22" s="500" t="s">
        <v>488</v>
      </c>
    </row>
    <row r="23" spans="1:6" ht="21" customHeight="1">
      <c r="A23" s="141"/>
      <c r="B23" s="499"/>
      <c r="C23" s="141"/>
      <c r="D23" s="500"/>
      <c r="E23" s="141"/>
      <c r="F23" s="500"/>
    </row>
    <row r="24" spans="1:6" ht="21" customHeight="1">
      <c r="A24" s="141"/>
      <c r="B24" s="499" t="s">
        <v>489</v>
      </c>
      <c r="C24" s="141"/>
      <c r="D24" s="500" t="s">
        <v>490</v>
      </c>
      <c r="E24" s="141"/>
      <c r="F24" s="500" t="s">
        <v>491</v>
      </c>
    </row>
    <row r="25" spans="1:6" ht="21" customHeight="1">
      <c r="A25" s="141"/>
      <c r="B25" s="499" t="s">
        <v>492</v>
      </c>
      <c r="C25" s="141"/>
      <c r="D25" s="500" t="s">
        <v>493</v>
      </c>
      <c r="E25" s="141"/>
      <c r="F25" s="500" t="s">
        <v>494</v>
      </c>
    </row>
    <row r="26" spans="1:6" ht="21" customHeight="1">
      <c r="A26" s="141"/>
      <c r="B26" s="499" t="s">
        <v>495</v>
      </c>
      <c r="C26" s="141"/>
      <c r="D26" s="500" t="s">
        <v>496</v>
      </c>
      <c r="E26" s="141"/>
      <c r="F26" s="500" t="s">
        <v>497</v>
      </c>
    </row>
    <row r="27" spans="1:6" ht="21" customHeight="1">
      <c r="A27" s="141"/>
      <c r="B27" s="141"/>
      <c r="C27" s="141"/>
      <c r="D27" s="141"/>
      <c r="E27" s="141"/>
      <c r="F27" s="141"/>
    </row>
    <row r="28" spans="1:6">
      <c r="A28" s="141"/>
      <c r="B28" s="141"/>
      <c r="C28" s="141"/>
      <c r="D28" s="141"/>
      <c r="E28" s="141"/>
      <c r="F28" s="141"/>
    </row>
  </sheetData>
  <hyperlinks>
    <hyperlink ref="B11" r:id="rId1" xr:uid="{2DFAA17C-766C-4658-8A50-8EC61F0899FC}"/>
    <hyperlink ref="D11" r:id="rId2" xr:uid="{28E34FB1-889A-4E11-8756-DA491A07E199}"/>
    <hyperlink ref="F11" r:id="rId3" xr:uid="{EF50E478-59D7-4BA9-96B1-D43604A7AFC4}"/>
    <hyperlink ref="B21" r:id="rId4" xr:uid="{A19DFEB2-C3AE-411F-87D7-ACCF22D99F6B}"/>
    <hyperlink ref="D21" r:id="rId5" xr:uid="{2DBB4AE2-0B15-4179-9F66-CF31B3BC40BE}"/>
    <hyperlink ref="F21" r:id="rId6" xr:uid="{B405FA9D-2A27-44F9-9D45-AC30AFE73A9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2CC0-F493-4E5E-ADF6-4B29DCF02B8D}">
  <dimension ref="A1:X85"/>
  <sheetViews>
    <sheetView showZeros="0" zoomScaleNormal="100" workbookViewId="0">
      <selection activeCell="Y24" sqref="Y24"/>
    </sheetView>
  </sheetViews>
  <sheetFormatPr baseColWidth="10" defaultColWidth="11.42578125" defaultRowHeight="15"/>
  <cols>
    <col min="1" max="1" width="9.28515625" style="2" customWidth="1"/>
    <col min="2" max="2" width="8.28515625" style="2" customWidth="1"/>
    <col min="3" max="7" width="32.7109375" style="2" customWidth="1"/>
    <col min="8" max="8" width="7.42578125" style="2" customWidth="1"/>
    <col min="9" max="9" width="8.28515625" style="2" customWidth="1"/>
    <col min="10" max="14" width="32.7109375" style="2" customWidth="1"/>
    <col min="15" max="15" width="7.42578125" style="2" customWidth="1"/>
    <col min="16" max="16" width="28.85546875" style="2" customWidth="1"/>
    <col min="17" max="17" width="20.140625" style="2" customWidth="1"/>
    <col min="18" max="18" width="12.7109375" style="2" customWidth="1"/>
    <col min="19" max="19" width="24.140625" style="2" customWidth="1"/>
    <col min="20" max="21" width="23.7109375" style="2" customWidth="1"/>
    <col min="22" max="22" width="8.7109375" style="2" customWidth="1"/>
    <col min="23" max="23" width="11.42578125" style="1"/>
    <col min="24" max="24" width="43.5703125" style="1" customWidth="1"/>
    <col min="25" max="16384" width="11.42578125" style="2"/>
  </cols>
  <sheetData>
    <row r="1" spans="1:24">
      <c r="A1" s="9" t="str">
        <f>ADDRESS(ROW(),COLUMN(),4)</f>
        <v>A1</v>
      </c>
      <c r="B1" s="5443" t="str">
        <f t="shared" ref="B1:U1" si="0">SUBSTITUTE(ADDRESS(1,COLUMN(),4),"1","")</f>
        <v>B</v>
      </c>
      <c r="C1" s="5443" t="str">
        <f t="shared" si="0"/>
        <v>C</v>
      </c>
      <c r="D1" s="5443" t="str">
        <f t="shared" si="0"/>
        <v>D</v>
      </c>
      <c r="E1" s="5443" t="str">
        <f t="shared" si="0"/>
        <v>E</v>
      </c>
      <c r="F1" s="5443" t="str">
        <f t="shared" si="0"/>
        <v>F</v>
      </c>
      <c r="G1" s="5443" t="str">
        <f t="shared" si="0"/>
        <v>G</v>
      </c>
      <c r="H1" s="5443" t="str">
        <f t="shared" si="0"/>
        <v>H</v>
      </c>
      <c r="I1" s="5443" t="str">
        <f t="shared" si="0"/>
        <v>I</v>
      </c>
      <c r="J1" s="5443" t="str">
        <f t="shared" si="0"/>
        <v>J</v>
      </c>
      <c r="K1" s="5443" t="str">
        <f t="shared" si="0"/>
        <v>K</v>
      </c>
      <c r="L1" s="5443" t="str">
        <f t="shared" si="0"/>
        <v>L</v>
      </c>
      <c r="M1" s="5443" t="str">
        <f t="shared" si="0"/>
        <v>M</v>
      </c>
      <c r="N1" s="5443" t="str">
        <f t="shared" si="0"/>
        <v>N</v>
      </c>
      <c r="O1" s="442"/>
      <c r="P1" s="5443" t="str">
        <f t="shared" si="0"/>
        <v>P</v>
      </c>
      <c r="Q1" s="5443" t="str">
        <f t="shared" si="0"/>
        <v>Q</v>
      </c>
      <c r="R1" s="5443" t="str">
        <f t="shared" si="0"/>
        <v>R</v>
      </c>
      <c r="S1" s="5443" t="str">
        <f t="shared" si="0"/>
        <v>S</v>
      </c>
      <c r="T1" s="5443" t="str">
        <f t="shared" si="0"/>
        <v>T</v>
      </c>
      <c r="U1" s="5443" t="str">
        <f t="shared" si="0"/>
        <v>U</v>
      </c>
      <c r="V1" s="5">
        <v>1</v>
      </c>
      <c r="W1" s="5443" t="str">
        <f>SUBSTITUTE(ADDRESS(1,COLUMN(),4),"1","")</f>
        <v>W</v>
      </c>
      <c r="X1" s="5442" t="str">
        <f>SUBSTITUTE(ADDRESS(1,COLUMN(),4),"1","")</f>
        <v>X</v>
      </c>
    </row>
    <row r="2" spans="1:24" ht="15.75" thickBot="1">
      <c r="A2" s="91">
        <f t="shared" ref="A2:U2" ca="1" si="1">CELL("largeur",A2)</f>
        <v>9</v>
      </c>
      <c r="B2" s="91">
        <f t="shared" ca="1" si="1"/>
        <v>8</v>
      </c>
      <c r="C2" s="91">
        <f t="shared" ca="1" si="1"/>
        <v>32</v>
      </c>
      <c r="D2" s="91">
        <f t="shared" ca="1" si="1"/>
        <v>32</v>
      </c>
      <c r="E2" s="91">
        <f t="shared" ca="1" si="1"/>
        <v>32</v>
      </c>
      <c r="F2" s="91">
        <f t="shared" ca="1" si="1"/>
        <v>32</v>
      </c>
      <c r="G2" s="91">
        <f t="shared" ca="1" si="1"/>
        <v>32</v>
      </c>
      <c r="H2" s="91">
        <f t="shared" ca="1" si="1"/>
        <v>7</v>
      </c>
      <c r="I2" s="91">
        <f t="shared" ca="1" si="1"/>
        <v>8</v>
      </c>
      <c r="J2" s="91">
        <f t="shared" ca="1" si="1"/>
        <v>32</v>
      </c>
      <c r="K2" s="91">
        <f t="shared" ca="1" si="1"/>
        <v>32</v>
      </c>
      <c r="L2" s="91">
        <f t="shared" ca="1" si="1"/>
        <v>32</v>
      </c>
      <c r="M2" s="91">
        <f t="shared" ca="1" si="1"/>
        <v>32</v>
      </c>
      <c r="N2" s="91">
        <f t="shared" ca="1" si="1"/>
        <v>32</v>
      </c>
      <c r="O2" s="91"/>
      <c r="P2" s="91">
        <f t="shared" ca="1" si="1"/>
        <v>28</v>
      </c>
      <c r="Q2" s="91">
        <f t="shared" ca="1" si="1"/>
        <v>19</v>
      </c>
      <c r="R2" s="91">
        <f t="shared" ca="1" si="1"/>
        <v>12</v>
      </c>
      <c r="S2" s="91">
        <f t="shared" ca="1" si="1"/>
        <v>23</v>
      </c>
      <c r="T2" s="91">
        <f t="shared" ca="1" si="1"/>
        <v>23</v>
      </c>
      <c r="U2" s="91">
        <f t="shared" ca="1" si="1"/>
        <v>23</v>
      </c>
      <c r="V2" s="5">
        <v>1</v>
      </c>
      <c r="W2" s="440"/>
      <c r="X2" s="440" t="s">
        <v>295</v>
      </c>
    </row>
    <row r="3" spans="1:24" ht="25.5" customHeight="1">
      <c r="B3" s="7050" t="s">
        <v>296</v>
      </c>
      <c r="C3" s="7051"/>
      <c r="D3" s="7051"/>
      <c r="E3" s="7051"/>
      <c r="F3" s="7051"/>
      <c r="G3" s="7052"/>
      <c r="I3" s="7050" t="s">
        <v>297</v>
      </c>
      <c r="J3" s="7051"/>
      <c r="K3" s="7051"/>
      <c r="L3" s="7051"/>
      <c r="M3" s="7051"/>
      <c r="N3" s="7052"/>
      <c r="P3" s="7056" t="s">
        <v>298</v>
      </c>
      <c r="Q3" s="7056"/>
      <c r="R3" s="7056"/>
      <c r="S3" s="7056"/>
      <c r="U3" s="106"/>
      <c r="V3" s="5">
        <v>1</v>
      </c>
      <c r="W3" s="430">
        <f ca="1">COUNTA(A1:V85) + COUNTBLANK(A1:V85)</f>
        <v>1870</v>
      </c>
      <c r="X3" s="429" t="str">
        <f>"cellules entre"&amp;" " &amp;A1&amp;" et  "&amp;V85</f>
        <v>cellules entre A1 et  V85</v>
      </c>
    </row>
    <row r="4" spans="1:24" ht="18" customHeight="1">
      <c r="B4" s="7053"/>
      <c r="C4" s="7054"/>
      <c r="D4" s="7054"/>
      <c r="E4" s="7054"/>
      <c r="F4" s="7054"/>
      <c r="G4" s="7055"/>
      <c r="I4" s="7053"/>
      <c r="J4" s="7054"/>
      <c r="K4" s="7054"/>
      <c r="L4" s="7054"/>
      <c r="M4" s="7054"/>
      <c r="N4" s="7055"/>
      <c r="P4" s="7056"/>
      <c r="Q4" s="7056"/>
      <c r="R4" s="7056"/>
      <c r="S4" s="7056"/>
      <c r="U4" s="106"/>
      <c r="V4" s="5">
        <v>1</v>
      </c>
      <c r="W4" s="430">
        <f ca="1">COUNTA(A1:V85)</f>
        <v>322</v>
      </c>
      <c r="X4" s="429" t="s">
        <v>291</v>
      </c>
    </row>
    <row r="5" spans="1:24" ht="24" customHeight="1">
      <c r="B5" s="446"/>
      <c r="C5" s="422" t="s">
        <v>299</v>
      </c>
      <c r="D5" s="447"/>
      <c r="E5" s="447"/>
      <c r="F5" s="447"/>
      <c r="G5" s="448" t="str">
        <f ca="1">"Page N°"&amp;_xlfn.SHEET()</f>
        <v>Page N°15</v>
      </c>
      <c r="I5" s="446"/>
      <c r="J5" s="422" t="s">
        <v>300</v>
      </c>
      <c r="K5" s="447"/>
      <c r="L5" s="447"/>
      <c r="M5" s="447"/>
      <c r="N5" s="448" t="str">
        <f ca="1">"Page N°"&amp;_xlfn.SHEET()</f>
        <v>Page N°15</v>
      </c>
      <c r="U5" s="106"/>
      <c r="V5" s="5">
        <v>1</v>
      </c>
      <c r="W5" s="430">
        <f ca="1">COUNTBLANK(A1:V85)</f>
        <v>1548</v>
      </c>
      <c r="X5" s="429" t="s">
        <v>288</v>
      </c>
    </row>
    <row r="6" spans="1:24" ht="21.75" customHeight="1">
      <c r="B6" s="449"/>
      <c r="C6" s="450" t="s">
        <v>301</v>
      </c>
      <c r="D6" s="447"/>
      <c r="E6" s="447"/>
      <c r="F6" s="447"/>
      <c r="G6" s="451"/>
      <c r="I6" s="449"/>
      <c r="J6" s="450" t="s">
        <v>302</v>
      </c>
      <c r="K6" s="447"/>
      <c r="L6" s="447"/>
      <c r="M6" s="447"/>
      <c r="N6" s="451"/>
      <c r="U6" s="106"/>
      <c r="V6" s="5">
        <v>1</v>
      </c>
      <c r="W6" s="430">
        <f>SUM(V1:V83)+2</f>
        <v>82</v>
      </c>
      <c r="X6" s="429" t="s">
        <v>286</v>
      </c>
    </row>
    <row r="7" spans="1:24" ht="18.75" customHeight="1">
      <c r="B7" s="449"/>
      <c r="C7" s="450"/>
      <c r="D7" s="447"/>
      <c r="E7" s="447"/>
      <c r="F7" s="447"/>
      <c r="G7" s="451"/>
      <c r="I7" s="449"/>
      <c r="J7" s="450"/>
      <c r="K7" s="447"/>
      <c r="L7" s="447"/>
      <c r="M7" s="447"/>
      <c r="N7" s="451"/>
      <c r="P7" s="452"/>
      <c r="Q7" s="452"/>
      <c r="R7" s="452"/>
      <c r="S7" s="452"/>
      <c r="T7" s="452"/>
      <c r="U7" s="106"/>
      <c r="V7" s="5">
        <v>1</v>
      </c>
      <c r="W7" s="430">
        <f>SUM(A85:U85)+1</f>
        <v>22</v>
      </c>
      <c r="X7" s="429" t="s">
        <v>284</v>
      </c>
    </row>
    <row r="8" spans="1:24" ht="18.75" customHeight="1">
      <c r="B8" s="449"/>
      <c r="C8" s="450" t="s">
        <v>303</v>
      </c>
      <c r="D8" s="447"/>
      <c r="E8" s="447"/>
      <c r="F8" s="447"/>
      <c r="G8" s="451"/>
      <c r="I8" s="449"/>
      <c r="J8" s="450" t="s">
        <v>304</v>
      </c>
      <c r="K8" s="447"/>
      <c r="L8" s="447"/>
      <c r="M8" s="447"/>
      <c r="N8" s="451"/>
      <c r="P8" s="452"/>
      <c r="Q8" s="452"/>
      <c r="R8" s="453" t="s">
        <v>305</v>
      </c>
      <c r="S8" s="453" t="s">
        <v>305</v>
      </c>
      <c r="T8" s="453"/>
      <c r="U8" s="106"/>
      <c r="V8" s="5">
        <v>1</v>
      </c>
    </row>
    <row r="9" spans="1:24" ht="18.75" customHeight="1" thickBot="1">
      <c r="B9" s="449"/>
      <c r="C9" s="450" t="s">
        <v>306</v>
      </c>
      <c r="D9" s="447"/>
      <c r="E9" s="447"/>
      <c r="F9" s="447"/>
      <c r="G9" s="451"/>
      <c r="I9" s="449"/>
      <c r="J9" s="450" t="s">
        <v>307</v>
      </c>
      <c r="K9" s="447"/>
      <c r="L9" s="447"/>
      <c r="M9" s="447"/>
      <c r="N9" s="451"/>
      <c r="P9" s="452"/>
      <c r="Q9" s="452"/>
      <c r="R9" s="453"/>
      <c r="S9" s="453"/>
      <c r="T9" s="453"/>
      <c r="U9" s="106"/>
      <c r="V9" s="5">
        <v>1</v>
      </c>
    </row>
    <row r="10" spans="1:24" ht="18.75" customHeight="1">
      <c r="B10" s="449"/>
      <c r="C10" s="450"/>
      <c r="D10" s="447"/>
      <c r="E10" s="447"/>
      <c r="F10" s="447"/>
      <c r="G10" s="451"/>
      <c r="I10" s="449"/>
      <c r="J10" s="450"/>
      <c r="K10" s="447"/>
      <c r="L10" s="447"/>
      <c r="M10" s="447"/>
      <c r="N10" s="451"/>
      <c r="P10" s="7561" t="s">
        <v>308</v>
      </c>
      <c r="Q10" s="7556" t="s">
        <v>309</v>
      </c>
      <c r="R10" s="454"/>
      <c r="S10" s="7562" t="s">
        <v>310</v>
      </c>
      <c r="T10" s="7556" t="s">
        <v>21</v>
      </c>
      <c r="U10" s="106"/>
      <c r="V10" s="5">
        <v>1</v>
      </c>
    </row>
    <row r="11" spans="1:24" ht="18.75" customHeight="1">
      <c r="B11" s="449"/>
      <c r="C11" s="450" t="s">
        <v>311</v>
      </c>
      <c r="D11" s="447"/>
      <c r="E11" s="447"/>
      <c r="F11" s="447"/>
      <c r="G11" s="451"/>
      <c r="I11" s="449"/>
      <c r="J11" s="450" t="s">
        <v>312</v>
      </c>
      <c r="K11" s="447"/>
      <c r="L11" s="447"/>
      <c r="M11" s="447"/>
      <c r="N11" s="451"/>
      <c r="P11" s="7561"/>
      <c r="Q11" s="7557"/>
      <c r="R11" s="454"/>
      <c r="S11" s="7562"/>
      <c r="T11" s="7557"/>
      <c r="U11" s="106"/>
      <c r="V11" s="5">
        <v>1</v>
      </c>
    </row>
    <row r="12" spans="1:24" ht="18.75" customHeight="1">
      <c r="B12" s="449"/>
      <c r="C12" s="450" t="s">
        <v>313</v>
      </c>
      <c r="D12" s="447"/>
      <c r="E12" s="447"/>
      <c r="F12" s="447"/>
      <c r="G12" s="451"/>
      <c r="I12" s="449"/>
      <c r="J12" s="450" t="s">
        <v>314</v>
      </c>
      <c r="K12" s="447"/>
      <c r="L12" s="447"/>
      <c r="M12" s="447"/>
      <c r="N12" s="451"/>
      <c r="P12" s="452"/>
      <c r="Q12" s="452"/>
      <c r="R12" s="452"/>
      <c r="S12" s="453" t="s">
        <v>315</v>
      </c>
      <c r="T12" s="452"/>
      <c r="U12" s="106"/>
      <c r="V12" s="5">
        <v>1</v>
      </c>
    </row>
    <row r="13" spans="1:24" ht="18.75" customHeight="1">
      <c r="B13" s="449"/>
      <c r="C13" s="450" t="s">
        <v>316</v>
      </c>
      <c r="D13" s="447"/>
      <c r="E13" s="447"/>
      <c r="F13" s="447"/>
      <c r="G13" s="451"/>
      <c r="I13" s="449"/>
      <c r="J13" s="450" t="s">
        <v>317</v>
      </c>
      <c r="K13" s="447"/>
      <c r="L13" s="447"/>
      <c r="M13" s="447"/>
      <c r="N13" s="451"/>
      <c r="P13" s="452"/>
      <c r="Q13" s="452"/>
      <c r="R13" s="452"/>
      <c r="S13" s="453" t="s">
        <v>318</v>
      </c>
      <c r="T13" s="452"/>
      <c r="U13" s="106"/>
      <c r="V13" s="5">
        <v>1</v>
      </c>
    </row>
    <row r="14" spans="1:24" ht="18.75" customHeight="1">
      <c r="B14" s="449"/>
      <c r="C14" s="450" t="s">
        <v>319</v>
      </c>
      <c r="D14" s="447"/>
      <c r="E14" s="447"/>
      <c r="F14" s="447"/>
      <c r="G14" s="451"/>
      <c r="I14" s="449"/>
      <c r="J14" s="450" t="s">
        <v>320</v>
      </c>
      <c r="K14" s="447"/>
      <c r="L14" s="447"/>
      <c r="M14" s="447"/>
      <c r="N14" s="451"/>
      <c r="P14" s="452"/>
      <c r="Q14" s="452"/>
      <c r="R14" s="452"/>
      <c r="S14" s="453" t="s">
        <v>321</v>
      </c>
      <c r="T14" s="452"/>
      <c r="U14" s="106"/>
      <c r="V14" s="5">
        <v>1</v>
      </c>
    </row>
    <row r="15" spans="1:24" s="1" customFormat="1" ht="18.75" customHeight="1">
      <c r="A15" s="2"/>
      <c r="B15" s="449"/>
      <c r="C15" s="450" t="s">
        <v>322</v>
      </c>
      <c r="D15" s="447"/>
      <c r="E15" s="447"/>
      <c r="F15" s="447"/>
      <c r="G15" s="451"/>
      <c r="H15" s="2"/>
      <c r="I15" s="449"/>
      <c r="J15" s="450" t="s">
        <v>323</v>
      </c>
      <c r="K15" s="447"/>
      <c r="L15" s="447"/>
      <c r="M15" s="447"/>
      <c r="N15" s="451"/>
      <c r="O15" s="2"/>
      <c r="P15" s="452"/>
      <c r="Q15" s="452"/>
      <c r="R15" s="452"/>
      <c r="S15" s="452"/>
      <c r="T15" s="452"/>
      <c r="U15" s="106"/>
      <c r="V15" s="5">
        <v>1</v>
      </c>
    </row>
    <row r="16" spans="1:24" s="1" customFormat="1" ht="18.75" customHeight="1">
      <c r="A16" s="2"/>
      <c r="B16" s="449"/>
      <c r="C16" s="450" t="s">
        <v>324</v>
      </c>
      <c r="D16" s="447"/>
      <c r="E16" s="447"/>
      <c r="F16" s="447"/>
      <c r="G16" s="451"/>
      <c r="H16" s="2"/>
      <c r="I16" s="449"/>
      <c r="J16" s="450" t="s">
        <v>325</v>
      </c>
      <c r="K16" s="447"/>
      <c r="L16" s="447"/>
      <c r="M16" s="447"/>
      <c r="N16" s="451"/>
      <c r="O16" s="2"/>
      <c r="P16" s="2"/>
      <c r="Q16" s="2"/>
      <c r="R16" s="2"/>
      <c r="S16" s="2"/>
      <c r="T16" s="2"/>
      <c r="U16" s="106"/>
      <c r="V16" s="5">
        <v>1</v>
      </c>
    </row>
    <row r="17" spans="1:22" s="1" customFormat="1" ht="18.75" customHeight="1">
      <c r="A17" s="2"/>
      <c r="B17" s="449"/>
      <c r="C17" s="450" t="s">
        <v>326</v>
      </c>
      <c r="D17" s="447"/>
      <c r="E17" s="447"/>
      <c r="F17" s="447"/>
      <c r="G17" s="451"/>
      <c r="H17" s="2"/>
      <c r="I17" s="449"/>
      <c r="J17" s="450" t="s">
        <v>327</v>
      </c>
      <c r="K17" s="447"/>
      <c r="L17" s="447"/>
      <c r="M17" s="447"/>
      <c r="N17" s="451"/>
      <c r="O17" s="2"/>
      <c r="P17" s="455" t="s">
        <v>328</v>
      </c>
      <c r="Q17" s="2"/>
      <c r="R17" s="2"/>
      <c r="S17" s="2"/>
      <c r="T17" s="2"/>
      <c r="U17" s="106"/>
      <c r="V17" s="5">
        <v>1</v>
      </c>
    </row>
    <row r="18" spans="1:22" s="1" customFormat="1" ht="18.75" customHeight="1">
      <c r="A18" s="2"/>
      <c r="B18" s="449"/>
      <c r="C18" s="450" t="s">
        <v>329</v>
      </c>
      <c r="D18" s="447"/>
      <c r="E18" s="447"/>
      <c r="F18" s="447"/>
      <c r="G18" s="451"/>
      <c r="H18" s="2"/>
      <c r="I18" s="449"/>
      <c r="J18" s="450" t="s">
        <v>330</v>
      </c>
      <c r="K18" s="447"/>
      <c r="L18" s="447"/>
      <c r="M18" s="447"/>
      <c r="N18" s="451"/>
      <c r="O18" s="2"/>
      <c r="P18" s="455" t="s">
        <v>331</v>
      </c>
      <c r="U18" s="106"/>
      <c r="V18" s="5">
        <v>1</v>
      </c>
    </row>
    <row r="19" spans="1:22" s="1" customFormat="1" ht="18.75" customHeight="1" thickBot="1">
      <c r="A19" s="2"/>
      <c r="B19" s="449"/>
      <c r="C19" s="450"/>
      <c r="D19" s="447"/>
      <c r="E19" s="447"/>
      <c r="F19" s="447"/>
      <c r="G19" s="451"/>
      <c r="H19" s="2"/>
      <c r="I19" s="449"/>
      <c r="J19" s="450"/>
      <c r="K19" s="447"/>
      <c r="L19" s="447"/>
      <c r="M19" s="447"/>
      <c r="N19" s="451"/>
      <c r="O19" s="2"/>
      <c r="U19" s="2"/>
      <c r="V19" s="5">
        <v>1</v>
      </c>
    </row>
    <row r="20" spans="1:22" s="1" customFormat="1" ht="18.75" customHeight="1">
      <c r="A20" s="2"/>
      <c r="B20" s="449"/>
      <c r="C20" s="456" t="s">
        <v>332</v>
      </c>
      <c r="D20" s="457"/>
      <c r="E20" s="457"/>
      <c r="F20" s="458"/>
      <c r="G20" s="451"/>
      <c r="H20" s="2"/>
      <c r="I20" s="449"/>
      <c r="J20" s="456" t="s">
        <v>333</v>
      </c>
      <c r="K20" s="457"/>
      <c r="L20" s="457"/>
      <c r="M20" s="458"/>
      <c r="N20" s="451"/>
      <c r="O20" s="2"/>
      <c r="S20" s="459" t="s">
        <v>334</v>
      </c>
      <c r="U20" s="2"/>
      <c r="V20" s="5">
        <v>1</v>
      </c>
    </row>
    <row r="21" spans="1:22" s="1" customFormat="1" ht="18.75" customHeight="1">
      <c r="A21" s="2"/>
      <c r="B21" s="449"/>
      <c r="C21" s="460" t="s">
        <v>319</v>
      </c>
      <c r="D21" s="447"/>
      <c r="E21" s="447"/>
      <c r="F21" s="461"/>
      <c r="G21" s="451"/>
      <c r="H21" s="2"/>
      <c r="I21" s="449"/>
      <c r="J21" s="460" t="s">
        <v>320</v>
      </c>
      <c r="K21" s="447"/>
      <c r="L21" s="447"/>
      <c r="M21" s="461"/>
      <c r="N21" s="451"/>
      <c r="O21" s="2"/>
      <c r="S21" s="459" t="s">
        <v>335</v>
      </c>
      <c r="U21" s="2"/>
      <c r="V21" s="5">
        <v>1</v>
      </c>
    </row>
    <row r="22" spans="1:22" s="1" customFormat="1" ht="18.75" customHeight="1">
      <c r="A22" s="2"/>
      <c r="B22" s="449"/>
      <c r="C22" s="462" t="s">
        <v>336</v>
      </c>
      <c r="D22" s="447"/>
      <c r="E22" s="447"/>
      <c r="F22" s="461"/>
      <c r="G22" s="451"/>
      <c r="H22" s="2"/>
      <c r="I22" s="449"/>
      <c r="J22" s="462" t="s">
        <v>337</v>
      </c>
      <c r="K22" s="447"/>
      <c r="L22" s="447"/>
      <c r="M22" s="461"/>
      <c r="N22" s="451"/>
      <c r="O22" s="2"/>
      <c r="U22" s="2"/>
      <c r="V22" s="5">
        <v>1</v>
      </c>
    </row>
    <row r="23" spans="1:22" s="1" customFormat="1" ht="18.75" customHeight="1">
      <c r="A23" s="2"/>
      <c r="B23" s="449"/>
      <c r="C23" s="462" t="s">
        <v>338</v>
      </c>
      <c r="D23" s="447"/>
      <c r="E23" s="447"/>
      <c r="F23" s="461"/>
      <c r="G23" s="451"/>
      <c r="H23" s="2"/>
      <c r="I23" s="449"/>
      <c r="J23" s="462" t="s">
        <v>339</v>
      </c>
      <c r="K23" s="447"/>
      <c r="L23" s="447"/>
      <c r="M23" s="461"/>
      <c r="N23" s="451"/>
      <c r="O23" s="2"/>
      <c r="U23" s="2"/>
      <c r="V23" s="5">
        <v>1</v>
      </c>
    </row>
    <row r="24" spans="1:22" s="1" customFormat="1" ht="18.75" customHeight="1">
      <c r="A24" s="2"/>
      <c r="B24" s="449"/>
      <c r="C24" s="462" t="s">
        <v>340</v>
      </c>
      <c r="D24" s="447"/>
      <c r="E24" s="447"/>
      <c r="F24" s="461"/>
      <c r="G24" s="451"/>
      <c r="H24" s="2"/>
      <c r="I24" s="449"/>
      <c r="J24" s="462" t="s">
        <v>341</v>
      </c>
      <c r="K24" s="447"/>
      <c r="L24" s="447"/>
      <c r="M24" s="461"/>
      <c r="N24" s="451"/>
      <c r="O24" s="2"/>
      <c r="U24" s="2"/>
      <c r="V24" s="5">
        <v>1</v>
      </c>
    </row>
    <row r="25" spans="1:22" s="1" customFormat="1" ht="18.75" customHeight="1">
      <c r="A25" s="2"/>
      <c r="B25" s="449"/>
      <c r="C25" s="460" t="s">
        <v>324</v>
      </c>
      <c r="D25" s="447"/>
      <c r="E25" s="447"/>
      <c r="F25" s="461"/>
      <c r="G25" s="451"/>
      <c r="H25" s="2"/>
      <c r="I25" s="449"/>
      <c r="J25" s="460" t="s">
        <v>342</v>
      </c>
      <c r="K25" s="447"/>
      <c r="L25" s="447"/>
      <c r="M25" s="461"/>
      <c r="N25" s="451"/>
      <c r="O25" s="2"/>
      <c r="U25" s="2"/>
      <c r="V25" s="5">
        <v>1</v>
      </c>
    </row>
    <row r="26" spans="1:22" s="1" customFormat="1" ht="18.75" customHeight="1">
      <c r="A26" s="2"/>
      <c r="B26" s="449"/>
      <c r="C26" s="462" t="s">
        <v>343</v>
      </c>
      <c r="D26" s="447"/>
      <c r="E26" s="447"/>
      <c r="F26" s="461"/>
      <c r="G26" s="451"/>
      <c r="H26" s="2"/>
      <c r="I26" s="449"/>
      <c r="J26" s="462" t="s">
        <v>344</v>
      </c>
      <c r="K26" s="447"/>
      <c r="L26" s="447"/>
      <c r="M26" s="461"/>
      <c r="N26" s="451"/>
      <c r="O26" s="2"/>
      <c r="U26" s="2"/>
      <c r="V26" s="5">
        <v>1</v>
      </c>
    </row>
    <row r="27" spans="1:22" s="1" customFormat="1" ht="18.75" customHeight="1">
      <c r="A27" s="2"/>
      <c r="B27" s="449"/>
      <c r="C27" s="462" t="s">
        <v>345</v>
      </c>
      <c r="D27" s="447"/>
      <c r="E27" s="447"/>
      <c r="F27" s="461"/>
      <c r="G27" s="451"/>
      <c r="H27" s="2"/>
      <c r="I27" s="449"/>
      <c r="J27" s="462" t="s">
        <v>346</v>
      </c>
      <c r="K27" s="447"/>
      <c r="L27" s="447"/>
      <c r="M27" s="461"/>
      <c r="N27" s="451"/>
      <c r="O27" s="2"/>
      <c r="P27" s="2"/>
      <c r="Q27" s="2"/>
      <c r="R27" s="2"/>
      <c r="S27" s="2"/>
      <c r="T27" s="2"/>
      <c r="U27" s="2"/>
      <c r="V27" s="5">
        <v>1</v>
      </c>
    </row>
    <row r="28" spans="1:22" s="1" customFormat="1" ht="18.75" customHeight="1" thickBot="1">
      <c r="A28" s="2"/>
      <c r="B28" s="449"/>
      <c r="C28" s="463" t="s">
        <v>347</v>
      </c>
      <c r="D28" s="464"/>
      <c r="E28" s="464"/>
      <c r="F28" s="465"/>
      <c r="G28" s="451"/>
      <c r="H28" s="2"/>
      <c r="I28" s="449"/>
      <c r="J28" s="463" t="s">
        <v>348</v>
      </c>
      <c r="K28" s="464"/>
      <c r="L28" s="464"/>
      <c r="M28" s="465"/>
      <c r="N28" s="451"/>
      <c r="O28" s="2"/>
      <c r="Q28" s="2"/>
      <c r="R28" s="2"/>
      <c r="S28" s="2"/>
      <c r="T28" s="2"/>
      <c r="U28" s="2"/>
      <c r="V28" s="5">
        <v>1</v>
      </c>
    </row>
    <row r="29" spans="1:22" s="1" customFormat="1" ht="18.75" customHeight="1">
      <c r="A29" s="2"/>
      <c r="B29" s="449"/>
      <c r="C29" s="450"/>
      <c r="D29" s="447"/>
      <c r="E29" s="447"/>
      <c r="F29" s="447"/>
      <c r="G29" s="451"/>
      <c r="H29" s="2"/>
      <c r="I29" s="449"/>
      <c r="J29" s="450"/>
      <c r="K29" s="447"/>
      <c r="L29" s="447"/>
      <c r="M29" s="447"/>
      <c r="N29" s="451"/>
      <c r="O29" s="2"/>
      <c r="Q29" s="2"/>
      <c r="R29" s="2"/>
      <c r="S29" s="2"/>
      <c r="T29" s="2"/>
      <c r="U29" s="2"/>
      <c r="V29" s="5">
        <v>1</v>
      </c>
    </row>
    <row r="30" spans="1:22" s="1" customFormat="1" ht="18.75" customHeight="1">
      <c r="A30" s="2"/>
      <c r="B30" s="449"/>
      <c r="C30" s="450" t="s">
        <v>349</v>
      </c>
      <c r="D30" s="447"/>
      <c r="E30" s="447"/>
      <c r="F30" s="447"/>
      <c r="G30" s="451"/>
      <c r="H30" s="2"/>
      <c r="I30" s="449"/>
      <c r="J30" s="450" t="s">
        <v>350</v>
      </c>
      <c r="K30" s="447"/>
      <c r="L30" s="447"/>
      <c r="M30" s="447"/>
      <c r="N30" s="451"/>
      <c r="O30" s="2"/>
      <c r="P30" s="466" t="s">
        <v>351</v>
      </c>
      <c r="Q30" s="2"/>
      <c r="R30" s="2"/>
      <c r="S30" s="2"/>
      <c r="T30" s="2"/>
      <c r="U30" s="2"/>
      <c r="V30" s="5">
        <v>1</v>
      </c>
    </row>
    <row r="31" spans="1:22" s="1" customFormat="1" ht="18.75" customHeight="1">
      <c r="A31" s="2"/>
      <c r="B31" s="449"/>
      <c r="C31" s="450"/>
      <c r="D31" s="447"/>
      <c r="E31" s="447"/>
      <c r="F31" s="447"/>
      <c r="G31" s="451"/>
      <c r="H31" s="2"/>
      <c r="I31" s="449"/>
      <c r="J31" s="450" t="s">
        <v>352</v>
      </c>
      <c r="K31" s="447"/>
      <c r="L31" s="447"/>
      <c r="M31" s="447"/>
      <c r="N31" s="451"/>
      <c r="O31" s="2"/>
      <c r="P31" s="466" t="s">
        <v>353</v>
      </c>
      <c r="Q31" s="2"/>
      <c r="R31" s="2"/>
      <c r="S31" s="2"/>
      <c r="T31" s="2"/>
      <c r="U31" s="2"/>
      <c r="V31" s="5">
        <v>1</v>
      </c>
    </row>
    <row r="32" spans="1:22" s="1" customFormat="1" ht="18.75" customHeight="1">
      <c r="A32" s="2"/>
      <c r="B32" s="449"/>
      <c r="C32" s="450" t="s">
        <v>354</v>
      </c>
      <c r="D32" s="447"/>
      <c r="E32" s="447"/>
      <c r="F32" s="447"/>
      <c r="G32" s="451"/>
      <c r="H32" s="2"/>
      <c r="I32" s="449"/>
      <c r="J32" s="450" t="s">
        <v>355</v>
      </c>
      <c r="K32" s="447"/>
      <c r="L32" s="447"/>
      <c r="M32" s="447"/>
      <c r="N32" s="451"/>
      <c r="O32" s="2"/>
      <c r="P32" s="467" t="s">
        <v>356</v>
      </c>
      <c r="Q32" s="2"/>
      <c r="R32" s="2"/>
      <c r="S32" s="2"/>
      <c r="T32" s="2"/>
      <c r="U32" s="2"/>
      <c r="V32" s="5"/>
    </row>
    <row r="33" spans="1:22" s="1" customFormat="1" ht="18.75" customHeight="1">
      <c r="A33" s="2"/>
      <c r="B33" s="449"/>
      <c r="C33" s="450" t="s">
        <v>357</v>
      </c>
      <c r="D33" s="447"/>
      <c r="E33" s="447"/>
      <c r="F33" s="447"/>
      <c r="G33" s="451"/>
      <c r="H33" s="2"/>
      <c r="I33" s="449"/>
      <c r="J33" s="450" t="s">
        <v>358</v>
      </c>
      <c r="K33" s="447"/>
      <c r="L33" s="447"/>
      <c r="M33" s="447"/>
      <c r="N33" s="451"/>
      <c r="O33" s="2"/>
      <c r="P33" s="467" t="s">
        <v>359</v>
      </c>
      <c r="Q33" s="2"/>
      <c r="R33" s="2"/>
      <c r="S33" s="2"/>
      <c r="T33" s="2"/>
      <c r="U33" s="2"/>
      <c r="V33" s="5">
        <v>1</v>
      </c>
    </row>
    <row r="34" spans="1:22" s="1" customFormat="1" ht="18.75" customHeight="1">
      <c r="A34" s="2"/>
      <c r="B34" s="449"/>
      <c r="C34" s="450" t="s">
        <v>360</v>
      </c>
      <c r="D34" s="447"/>
      <c r="E34" s="447"/>
      <c r="F34" s="447"/>
      <c r="G34" s="451"/>
      <c r="H34" s="2"/>
      <c r="I34" s="449"/>
      <c r="J34" s="450" t="s">
        <v>361</v>
      </c>
      <c r="K34" s="447"/>
      <c r="L34" s="447"/>
      <c r="M34" s="447"/>
      <c r="N34" s="451"/>
      <c r="O34" s="2"/>
      <c r="P34" s="467" t="s">
        <v>362</v>
      </c>
      <c r="Q34" s="2"/>
      <c r="R34" s="2"/>
      <c r="S34" s="2"/>
      <c r="T34" s="2"/>
      <c r="U34" s="2"/>
      <c r="V34" s="5">
        <v>1</v>
      </c>
    </row>
    <row r="35" spans="1:22" s="1" customFormat="1" ht="18.75" customHeight="1">
      <c r="A35" s="2"/>
      <c r="B35" s="449"/>
      <c r="C35" s="450" t="s">
        <v>363</v>
      </c>
      <c r="D35" s="447"/>
      <c r="E35" s="447"/>
      <c r="F35" s="447"/>
      <c r="G35" s="451"/>
      <c r="H35" s="2"/>
      <c r="I35" s="449"/>
      <c r="J35" s="450" t="s">
        <v>364</v>
      </c>
      <c r="K35" s="447"/>
      <c r="L35" s="447"/>
      <c r="M35" s="447"/>
      <c r="N35" s="451"/>
      <c r="O35" s="2"/>
      <c r="P35" s="2"/>
      <c r="Q35" s="2"/>
      <c r="R35" s="2"/>
      <c r="S35" s="2"/>
      <c r="T35" s="2"/>
      <c r="U35" s="2"/>
      <c r="V35" s="5">
        <v>1</v>
      </c>
    </row>
    <row r="36" spans="1:22" s="1" customFormat="1" ht="18.75" customHeight="1">
      <c r="A36" s="2"/>
      <c r="B36" s="449"/>
      <c r="C36" s="450" t="s">
        <v>365</v>
      </c>
      <c r="D36" s="447"/>
      <c r="E36" s="447"/>
      <c r="F36" s="447"/>
      <c r="G36" s="451"/>
      <c r="H36" s="2"/>
      <c r="I36" s="449"/>
      <c r="J36" s="450" t="s">
        <v>366</v>
      </c>
      <c r="K36" s="447"/>
      <c r="L36" s="447"/>
      <c r="M36" s="447"/>
      <c r="N36" s="451"/>
      <c r="O36" s="2"/>
      <c r="P36" s="468" t="s">
        <v>367</v>
      </c>
      <c r="Q36" s="469"/>
      <c r="R36" s="2"/>
      <c r="S36" s="2"/>
      <c r="T36" s="2"/>
      <c r="U36" s="2"/>
      <c r="V36" s="5">
        <v>1</v>
      </c>
    </row>
    <row r="37" spans="1:22" s="1" customFormat="1" ht="18.75" customHeight="1">
      <c r="A37" s="2"/>
      <c r="B37" s="449"/>
      <c r="C37" s="450" t="s">
        <v>368</v>
      </c>
      <c r="D37" s="447"/>
      <c r="E37" s="447"/>
      <c r="F37" s="447"/>
      <c r="G37" s="451"/>
      <c r="H37" s="2"/>
      <c r="I37" s="449"/>
      <c r="J37" s="450" t="s">
        <v>369</v>
      </c>
      <c r="K37" s="447"/>
      <c r="L37" s="447"/>
      <c r="M37" s="447"/>
      <c r="N37" s="451"/>
      <c r="O37" s="2"/>
      <c r="P37" s="470" t="s">
        <v>370</v>
      </c>
      <c r="Q37" s="469"/>
      <c r="R37" s="2"/>
      <c r="S37" s="2" t="s">
        <v>371</v>
      </c>
      <c r="T37" s="2"/>
      <c r="U37" s="2"/>
      <c r="V37" s="5"/>
    </row>
    <row r="38" spans="1:22" s="1" customFormat="1" ht="18.75" customHeight="1">
      <c r="A38" s="2"/>
      <c r="B38" s="449"/>
      <c r="C38" s="450"/>
      <c r="D38" s="447"/>
      <c r="E38" s="447"/>
      <c r="F38" s="447"/>
      <c r="G38" s="451"/>
      <c r="H38" s="2"/>
      <c r="I38" s="449"/>
      <c r="J38" s="450"/>
      <c r="K38" s="447"/>
      <c r="L38" s="447"/>
      <c r="M38" s="447"/>
      <c r="N38" s="451"/>
      <c r="O38" s="2"/>
      <c r="P38" s="470" t="s">
        <v>372</v>
      </c>
      <c r="Q38" s="469"/>
      <c r="R38" s="2"/>
      <c r="S38" s="2" t="s">
        <v>373</v>
      </c>
      <c r="T38" s="2"/>
      <c r="U38" s="2"/>
      <c r="V38" s="5"/>
    </row>
    <row r="39" spans="1:22" s="1" customFormat="1" ht="18.75" customHeight="1">
      <c r="A39" s="2"/>
      <c r="B39" s="449"/>
      <c r="C39" s="450" t="s">
        <v>374</v>
      </c>
      <c r="D39" s="447"/>
      <c r="E39" s="447"/>
      <c r="F39" s="447"/>
      <c r="G39" s="451"/>
      <c r="H39" s="2"/>
      <c r="I39" s="449"/>
      <c r="J39" s="450" t="s">
        <v>375</v>
      </c>
      <c r="K39" s="447"/>
      <c r="L39" s="447"/>
      <c r="M39" s="447"/>
      <c r="N39" s="451"/>
      <c r="O39" s="2"/>
      <c r="P39" s="471" t="s">
        <v>376</v>
      </c>
      <c r="Q39" s="469"/>
      <c r="R39" s="2"/>
      <c r="S39" s="2"/>
      <c r="T39" s="2"/>
      <c r="U39" s="2"/>
      <c r="V39" s="5">
        <v>1</v>
      </c>
    </row>
    <row r="40" spans="1:22" s="1" customFormat="1" ht="18.75" customHeight="1">
      <c r="A40" s="2"/>
      <c r="B40" s="449"/>
      <c r="C40" s="450"/>
      <c r="D40" s="447"/>
      <c r="E40" s="447"/>
      <c r="F40" s="447"/>
      <c r="G40" s="451"/>
      <c r="H40" s="2"/>
      <c r="I40" s="449"/>
      <c r="J40" s="450"/>
      <c r="K40" s="447"/>
      <c r="L40" s="447"/>
      <c r="M40" s="447"/>
      <c r="N40" s="451"/>
      <c r="O40" s="2"/>
      <c r="P40" s="472" t="s">
        <v>377</v>
      </c>
      <c r="Q40" s="469"/>
      <c r="R40" s="2"/>
      <c r="S40" s="2"/>
      <c r="T40" s="2"/>
      <c r="U40" s="2"/>
      <c r="V40" s="5">
        <v>1</v>
      </c>
    </row>
    <row r="41" spans="1:22" s="1" customFormat="1" ht="18.75" customHeight="1">
      <c r="A41" s="2"/>
      <c r="B41" s="449"/>
      <c r="C41" s="450" t="s">
        <v>378</v>
      </c>
      <c r="D41" s="447"/>
      <c r="E41" s="447"/>
      <c r="F41" s="447"/>
      <c r="G41" s="451"/>
      <c r="H41" s="2"/>
      <c r="I41" s="449"/>
      <c r="J41" s="450" t="s">
        <v>379</v>
      </c>
      <c r="K41" s="447"/>
      <c r="L41" s="447"/>
      <c r="M41" s="447"/>
      <c r="N41" s="451"/>
      <c r="O41" s="2"/>
      <c r="P41" s="2"/>
      <c r="Q41" s="2"/>
      <c r="R41" s="2"/>
      <c r="S41" s="2"/>
      <c r="T41" s="2"/>
      <c r="U41" s="2"/>
      <c r="V41" s="5">
        <v>1</v>
      </c>
    </row>
    <row r="42" spans="1:22" s="1" customFormat="1" ht="18.75" customHeight="1">
      <c r="A42" s="2"/>
      <c r="B42" s="449"/>
      <c r="C42" s="450" t="s">
        <v>380</v>
      </c>
      <c r="D42" s="447"/>
      <c r="E42" s="447"/>
      <c r="F42" s="447"/>
      <c r="G42" s="451"/>
      <c r="H42" s="2"/>
      <c r="I42" s="449"/>
      <c r="J42" s="450" t="s">
        <v>381</v>
      </c>
      <c r="K42" s="447"/>
      <c r="L42" s="447"/>
      <c r="M42" s="447"/>
      <c r="N42" s="451"/>
      <c r="O42" s="2"/>
      <c r="P42" s="2" t="s">
        <v>382</v>
      </c>
      <c r="Q42" s="2"/>
      <c r="R42" s="2"/>
      <c r="S42" s="2"/>
      <c r="T42" s="2"/>
      <c r="U42" s="2"/>
      <c r="V42" s="5">
        <v>1</v>
      </c>
    </row>
    <row r="43" spans="1:22" s="1" customFormat="1" ht="18.75" customHeight="1">
      <c r="A43" s="2"/>
      <c r="B43" s="449"/>
      <c r="C43" s="450" t="s">
        <v>383</v>
      </c>
      <c r="D43" s="447"/>
      <c r="E43" s="447"/>
      <c r="F43" s="447"/>
      <c r="G43" s="451"/>
      <c r="H43" s="2"/>
      <c r="I43" s="449"/>
      <c r="J43" s="450" t="s">
        <v>384</v>
      </c>
      <c r="K43" s="447"/>
      <c r="L43" s="447"/>
      <c r="M43" s="447"/>
      <c r="N43" s="451"/>
      <c r="O43" s="2"/>
      <c r="P43" s="1" t="s">
        <v>385</v>
      </c>
      <c r="Q43"/>
      <c r="R43" s="473"/>
      <c r="S43" s="473"/>
      <c r="T43" s="473"/>
      <c r="U43" s="2"/>
      <c r="V43" s="5">
        <v>1</v>
      </c>
    </row>
    <row r="44" spans="1:22" s="1" customFormat="1" ht="18.75" customHeight="1">
      <c r="A44" s="2"/>
      <c r="B44" s="449"/>
      <c r="C44" s="450"/>
      <c r="D44" s="447"/>
      <c r="E44" s="447"/>
      <c r="F44" s="447"/>
      <c r="G44" s="451"/>
      <c r="H44" s="2"/>
      <c r="I44" s="449"/>
      <c r="J44" s="450"/>
      <c r="K44" s="447"/>
      <c r="L44" s="447"/>
      <c r="M44" s="447"/>
      <c r="N44" s="451"/>
      <c r="O44" s="2"/>
      <c r="P44" s="1" t="s">
        <v>386</v>
      </c>
      <c r="Q44"/>
      <c r="R44" s="473"/>
      <c r="S44" s="473"/>
      <c r="T44" s="473"/>
      <c r="U44" s="2"/>
      <c r="V44" s="5">
        <v>1</v>
      </c>
    </row>
    <row r="45" spans="1:22" s="1" customFormat="1" ht="18.75" customHeight="1">
      <c r="A45" s="2"/>
      <c r="B45" s="449"/>
      <c r="C45" s="474" t="s">
        <v>387</v>
      </c>
      <c r="D45" s="447"/>
      <c r="E45" s="447"/>
      <c r="F45" s="447"/>
      <c r="G45" s="451"/>
      <c r="H45" s="2"/>
      <c r="I45" s="449"/>
      <c r="J45" s="474" t="s">
        <v>388</v>
      </c>
      <c r="K45" s="447"/>
      <c r="L45" s="447"/>
      <c r="M45" s="447"/>
      <c r="N45" s="451"/>
      <c r="O45" s="2"/>
      <c r="P45" s="1" t="s">
        <v>389</v>
      </c>
      <c r="Q45"/>
      <c r="R45" s="473"/>
      <c r="S45" s="473"/>
      <c r="T45" s="473"/>
      <c r="U45" s="2"/>
      <c r="V45" s="5">
        <v>1</v>
      </c>
    </row>
    <row r="46" spans="1:22" s="1" customFormat="1" ht="18.75" customHeight="1">
      <c r="A46" s="2"/>
      <c r="B46" s="449"/>
      <c r="C46" s="474" t="s">
        <v>390</v>
      </c>
      <c r="D46" s="447"/>
      <c r="E46" s="447"/>
      <c r="F46" s="447"/>
      <c r="G46" s="451"/>
      <c r="H46" s="2"/>
      <c r="I46" s="449"/>
      <c r="J46" s="474" t="s">
        <v>391</v>
      </c>
      <c r="K46" s="447"/>
      <c r="L46" s="447"/>
      <c r="M46" s="447"/>
      <c r="N46" s="451"/>
      <c r="O46" s="2"/>
      <c r="P46" s="1" t="s">
        <v>392</v>
      </c>
      <c r="Q46"/>
      <c r="R46" s="473"/>
      <c r="S46" s="473"/>
      <c r="T46" s="473"/>
      <c r="U46" s="2"/>
      <c r="V46" s="5">
        <v>1</v>
      </c>
    </row>
    <row r="47" spans="1:22" s="1" customFormat="1" ht="18.75" customHeight="1">
      <c r="A47" s="2"/>
      <c r="B47" s="449"/>
      <c r="C47" s="474" t="s">
        <v>393</v>
      </c>
      <c r="D47" s="447"/>
      <c r="E47" s="447"/>
      <c r="F47" s="447"/>
      <c r="G47" s="451"/>
      <c r="H47" s="2"/>
      <c r="I47" s="449"/>
      <c r="J47" s="474" t="s">
        <v>394</v>
      </c>
      <c r="K47" s="447"/>
      <c r="L47" s="447"/>
      <c r="M47" s="447"/>
      <c r="N47" s="451"/>
      <c r="O47" s="2"/>
      <c r="Q47"/>
      <c r="R47" s="473"/>
      <c r="S47" s="473"/>
      <c r="T47" s="473"/>
      <c r="U47" s="2"/>
      <c r="V47" s="5">
        <v>1</v>
      </c>
    </row>
    <row r="48" spans="1:22" s="1" customFormat="1" ht="18.75" customHeight="1">
      <c r="A48" s="2"/>
      <c r="B48" s="449"/>
      <c r="C48" s="475" t="s">
        <v>395</v>
      </c>
      <c r="D48" s="447"/>
      <c r="E48" s="447"/>
      <c r="F48" s="447"/>
      <c r="G48" s="451"/>
      <c r="H48" s="2"/>
      <c r="I48" s="449"/>
      <c r="J48" s="475" t="s">
        <v>396</v>
      </c>
      <c r="K48" s="447"/>
      <c r="L48" s="447"/>
      <c r="M48" s="447"/>
      <c r="N48" s="451"/>
      <c r="O48" s="2"/>
      <c r="P48" s="2"/>
      <c r="Q48" s="2"/>
      <c r="R48" s="2"/>
      <c r="S48" s="2"/>
      <c r="T48" s="2"/>
      <c r="U48" s="2"/>
      <c r="V48" s="5">
        <v>1</v>
      </c>
    </row>
    <row r="49" spans="1:22" s="1" customFormat="1" ht="18.75" customHeight="1">
      <c r="A49" s="2"/>
      <c r="B49" s="449"/>
      <c r="C49" s="450"/>
      <c r="D49" s="447"/>
      <c r="E49" s="447"/>
      <c r="F49" s="447"/>
      <c r="G49" s="451"/>
      <c r="H49" s="2"/>
      <c r="I49" s="449"/>
      <c r="J49" s="450"/>
      <c r="K49" s="447"/>
      <c r="L49" s="447"/>
      <c r="M49" s="447"/>
      <c r="N49" s="451"/>
      <c r="O49" s="2"/>
      <c r="R49" s="2"/>
      <c r="S49" s="2"/>
      <c r="T49" s="2"/>
      <c r="U49" s="2"/>
      <c r="V49" s="5">
        <v>1</v>
      </c>
    </row>
    <row r="50" spans="1:22" s="1" customFormat="1" ht="18.75" customHeight="1">
      <c r="A50" s="2"/>
      <c r="B50" s="449"/>
      <c r="C50" s="450" t="s">
        <v>397</v>
      </c>
      <c r="D50" s="447"/>
      <c r="E50" s="447"/>
      <c r="F50" s="447"/>
      <c r="G50" s="451"/>
      <c r="H50" s="2"/>
      <c r="I50" s="449"/>
      <c r="J50" s="450" t="s">
        <v>398</v>
      </c>
      <c r="K50" s="447"/>
      <c r="L50" s="447"/>
      <c r="M50" s="447"/>
      <c r="N50" s="451"/>
      <c r="O50" s="2"/>
      <c r="R50" s="2"/>
      <c r="S50" s="2"/>
      <c r="T50" s="2"/>
      <c r="U50" s="2"/>
      <c r="V50" s="5">
        <v>1</v>
      </c>
    </row>
    <row r="51" spans="1:22" s="1" customFormat="1" ht="18.75" customHeight="1">
      <c r="A51" s="2"/>
      <c r="B51" s="449"/>
      <c r="C51" s="476" t="s">
        <v>399</v>
      </c>
      <c r="D51" s="447"/>
      <c r="E51" s="447"/>
      <c r="F51" s="447"/>
      <c r="G51" s="451"/>
      <c r="H51" s="2"/>
      <c r="I51" s="449"/>
      <c r="J51" s="476" t="s">
        <v>400</v>
      </c>
      <c r="K51" s="447"/>
      <c r="L51" s="447"/>
      <c r="M51" s="447"/>
      <c r="N51" s="451"/>
      <c r="O51" s="2"/>
      <c r="R51" s="2"/>
      <c r="S51" s="2"/>
      <c r="T51" s="2"/>
      <c r="U51" s="2"/>
      <c r="V51" s="5">
        <v>1</v>
      </c>
    </row>
    <row r="52" spans="1:22" s="1" customFormat="1" ht="18.75" customHeight="1">
      <c r="A52" s="2"/>
      <c r="B52" s="449"/>
      <c r="C52" s="476" t="s">
        <v>401</v>
      </c>
      <c r="D52" s="447"/>
      <c r="E52" s="447"/>
      <c r="F52" s="447"/>
      <c r="G52" s="451"/>
      <c r="H52" s="2"/>
      <c r="I52" s="449"/>
      <c r="J52" s="476" t="s">
        <v>402</v>
      </c>
      <c r="K52" s="447"/>
      <c r="L52" s="447"/>
      <c r="M52" s="447"/>
      <c r="N52" s="451"/>
      <c r="O52" s="2"/>
      <c r="R52" s="2"/>
      <c r="S52" s="2"/>
      <c r="T52" s="2"/>
      <c r="U52" s="2"/>
      <c r="V52" s="5">
        <v>1</v>
      </c>
    </row>
    <row r="53" spans="1:22" s="1" customFormat="1" ht="18.75" customHeight="1">
      <c r="A53" s="2"/>
      <c r="B53" s="449"/>
      <c r="C53" s="476" t="s">
        <v>403</v>
      </c>
      <c r="D53" s="447"/>
      <c r="E53" s="447"/>
      <c r="F53" s="447"/>
      <c r="G53" s="451"/>
      <c r="H53" s="2"/>
      <c r="I53" s="449"/>
      <c r="J53" s="476" t="s">
        <v>404</v>
      </c>
      <c r="K53" s="447"/>
      <c r="L53" s="447"/>
      <c r="M53" s="447"/>
      <c r="N53" s="451"/>
      <c r="O53" s="2"/>
      <c r="R53"/>
      <c r="S53"/>
      <c r="T53"/>
      <c r="U53" s="2"/>
      <c r="V53" s="5">
        <v>1</v>
      </c>
    </row>
    <row r="54" spans="1:22" s="1" customFormat="1" ht="18.75" customHeight="1">
      <c r="A54" s="2"/>
      <c r="B54" s="449"/>
      <c r="C54" s="476" t="s">
        <v>405</v>
      </c>
      <c r="D54" s="447"/>
      <c r="E54" s="447"/>
      <c r="F54" s="447"/>
      <c r="G54" s="451"/>
      <c r="H54" s="2"/>
      <c r="I54" s="449"/>
      <c r="J54" s="476" t="s">
        <v>406</v>
      </c>
      <c r="K54" s="447"/>
      <c r="L54" s="447"/>
      <c r="M54" s="447"/>
      <c r="N54" s="451"/>
      <c r="O54" s="2"/>
      <c r="P54"/>
      <c r="Q54"/>
      <c r="R54"/>
      <c r="S54"/>
      <c r="T54"/>
      <c r="U54" s="2"/>
      <c r="V54" s="5">
        <v>1</v>
      </c>
    </row>
    <row r="55" spans="1:22" s="1" customFormat="1" ht="18.75" customHeight="1">
      <c r="A55" s="2"/>
      <c r="B55" s="449"/>
      <c r="C55" s="476" t="s">
        <v>407</v>
      </c>
      <c r="D55" s="447"/>
      <c r="E55" s="447"/>
      <c r="F55" s="447"/>
      <c r="G55" s="451"/>
      <c r="H55" s="2"/>
      <c r="I55" s="449"/>
      <c r="J55" s="476" t="s">
        <v>408</v>
      </c>
      <c r="K55" s="447"/>
      <c r="L55" s="447"/>
      <c r="M55" s="447"/>
      <c r="N55" s="451"/>
      <c r="O55" s="2"/>
      <c r="P55"/>
      <c r="Q55"/>
      <c r="R55"/>
      <c r="S55"/>
      <c r="T55"/>
      <c r="U55" s="2"/>
      <c r="V55" s="5">
        <v>1</v>
      </c>
    </row>
    <row r="56" spans="1:22" s="1" customFormat="1" ht="18.75" customHeight="1">
      <c r="A56" s="2"/>
      <c r="B56" s="449"/>
      <c r="C56" s="476" t="s">
        <v>409</v>
      </c>
      <c r="D56" s="447"/>
      <c r="E56" s="447"/>
      <c r="F56" s="447"/>
      <c r="G56" s="451"/>
      <c r="H56" s="2"/>
      <c r="I56" s="449"/>
      <c r="J56" s="476" t="s">
        <v>410</v>
      </c>
      <c r="K56" s="447"/>
      <c r="L56" s="447"/>
      <c r="M56" s="447"/>
      <c r="N56" s="451"/>
      <c r="O56" s="2"/>
      <c r="P56" s="2"/>
      <c r="Q56" s="2"/>
      <c r="R56" s="2"/>
      <c r="S56" s="2"/>
      <c r="T56" s="2"/>
      <c r="U56" s="2"/>
      <c r="V56" s="5">
        <v>1</v>
      </c>
    </row>
    <row r="57" spans="1:22" s="1" customFormat="1" ht="18.75" customHeight="1">
      <c r="A57" s="2"/>
      <c r="B57" s="449"/>
      <c r="C57" s="450"/>
      <c r="D57" s="447"/>
      <c r="E57" s="447"/>
      <c r="F57" s="447"/>
      <c r="G57" s="451"/>
      <c r="H57" s="2"/>
      <c r="I57" s="449"/>
      <c r="J57" s="450"/>
      <c r="K57" s="447"/>
      <c r="L57" s="447"/>
      <c r="M57" s="447"/>
      <c r="N57" s="451"/>
      <c r="O57" s="2"/>
      <c r="P57" s="2"/>
      <c r="Q57" s="2"/>
      <c r="R57" s="2"/>
      <c r="S57" s="2"/>
      <c r="T57" s="2"/>
      <c r="U57" s="2"/>
      <c r="V57" s="5">
        <v>1</v>
      </c>
    </row>
    <row r="58" spans="1:22" s="1" customFormat="1" ht="18.75" customHeight="1">
      <c r="A58" s="2"/>
      <c r="B58" s="449"/>
      <c r="C58" s="450" t="s">
        <v>411</v>
      </c>
      <c r="D58" s="447"/>
      <c r="E58" s="447"/>
      <c r="F58" s="447"/>
      <c r="G58" s="451"/>
      <c r="H58" s="2"/>
      <c r="I58" s="449"/>
      <c r="J58" s="450" t="s">
        <v>412</v>
      </c>
      <c r="K58" s="447"/>
      <c r="L58" s="447"/>
      <c r="M58" s="447"/>
      <c r="N58" s="451"/>
      <c r="O58" s="2"/>
      <c r="P58" s="2"/>
      <c r="Q58" s="2"/>
      <c r="R58" s="2"/>
      <c r="S58" s="2"/>
      <c r="T58" s="2"/>
      <c r="U58" s="2"/>
      <c r="V58" s="5">
        <v>1</v>
      </c>
    </row>
    <row r="59" spans="1:22" s="1" customFormat="1" ht="18.75" customHeight="1">
      <c r="A59" s="2"/>
      <c r="B59" s="449"/>
      <c r="C59" s="450" t="s">
        <v>413</v>
      </c>
      <c r="D59" s="447"/>
      <c r="E59" s="447"/>
      <c r="F59" s="447"/>
      <c r="G59" s="451"/>
      <c r="H59" s="2"/>
      <c r="I59" s="449"/>
      <c r="J59" s="450" t="s">
        <v>414</v>
      </c>
      <c r="K59" s="447"/>
      <c r="L59" s="447"/>
      <c r="M59" s="447"/>
      <c r="N59" s="451"/>
      <c r="O59" s="2"/>
      <c r="P59" s="2"/>
      <c r="Q59" s="2"/>
      <c r="R59" s="2"/>
      <c r="S59" s="2"/>
      <c r="T59" s="2"/>
      <c r="U59" s="2"/>
      <c r="V59" s="5">
        <v>1</v>
      </c>
    </row>
    <row r="60" spans="1:22" s="1" customFormat="1" ht="18.75" customHeight="1">
      <c r="A60" s="2"/>
      <c r="B60" s="449"/>
      <c r="C60" s="450"/>
      <c r="D60" s="447"/>
      <c r="E60" s="447"/>
      <c r="F60" s="447"/>
      <c r="G60" s="451"/>
      <c r="H60" s="2"/>
      <c r="I60" s="449"/>
      <c r="J60" s="450"/>
      <c r="K60" s="447"/>
      <c r="L60" s="447"/>
      <c r="M60" s="447"/>
      <c r="N60" s="451"/>
      <c r="O60" s="2"/>
      <c r="P60" s="2"/>
      <c r="Q60" s="2"/>
      <c r="R60" s="2"/>
      <c r="S60" s="2"/>
      <c r="T60" s="2"/>
      <c r="U60" s="2"/>
      <c r="V60" s="5">
        <v>1</v>
      </c>
    </row>
    <row r="61" spans="1:22" s="1" customFormat="1" ht="18.75" customHeight="1">
      <c r="A61" s="2"/>
      <c r="B61" s="449"/>
      <c r="C61" s="450" t="s">
        <v>415</v>
      </c>
      <c r="D61" s="447"/>
      <c r="E61" s="447"/>
      <c r="F61" s="447"/>
      <c r="G61" s="451"/>
      <c r="H61" s="2"/>
      <c r="I61" s="449"/>
      <c r="J61" s="450" t="s">
        <v>416</v>
      </c>
      <c r="K61" s="447"/>
      <c r="L61" s="447"/>
      <c r="M61" s="447"/>
      <c r="N61" s="451"/>
      <c r="O61" s="2"/>
      <c r="P61" s="2"/>
      <c r="Q61" s="2"/>
      <c r="R61" s="2"/>
      <c r="S61" s="2"/>
      <c r="T61" s="2"/>
      <c r="U61" s="473">
        <v>1</v>
      </c>
      <c r="V61" s="5">
        <v>1</v>
      </c>
    </row>
    <row r="62" spans="1:22" s="1" customFormat="1" ht="18.75" customHeight="1">
      <c r="A62" s="2"/>
      <c r="B62" s="449"/>
      <c r="C62" s="450" t="s">
        <v>417</v>
      </c>
      <c r="D62" s="447"/>
      <c r="E62" s="447"/>
      <c r="F62" s="447"/>
      <c r="G62" s="451"/>
      <c r="H62" s="2"/>
      <c r="I62" s="449"/>
      <c r="J62" s="450" t="s">
        <v>418</v>
      </c>
      <c r="K62" s="447"/>
      <c r="L62" s="447"/>
      <c r="M62" s="447"/>
      <c r="N62" s="451"/>
      <c r="O62" s="2"/>
      <c r="P62" s="2"/>
      <c r="Q62" s="2"/>
      <c r="R62" s="2"/>
      <c r="S62" s="2"/>
      <c r="T62" s="2"/>
      <c r="U62" s="2"/>
      <c r="V62" s="5">
        <v>1</v>
      </c>
    </row>
    <row r="63" spans="1:22" s="1" customFormat="1" ht="18.75" customHeight="1">
      <c r="A63" s="2"/>
      <c r="B63" s="449"/>
      <c r="C63" s="450" t="s">
        <v>419</v>
      </c>
      <c r="D63" s="447"/>
      <c r="E63" s="447"/>
      <c r="F63" s="447"/>
      <c r="G63" s="451"/>
      <c r="H63" s="2"/>
      <c r="I63" s="449"/>
      <c r="J63" s="450" t="s">
        <v>420</v>
      </c>
      <c r="K63" s="447"/>
      <c r="L63" s="447"/>
      <c r="M63" s="447"/>
      <c r="N63" s="451"/>
      <c r="O63" s="2"/>
      <c r="P63" s="2"/>
      <c r="Q63" s="2"/>
      <c r="R63" s="2"/>
      <c r="S63" s="2"/>
      <c r="T63" s="2"/>
      <c r="U63" s="2"/>
      <c r="V63" s="5">
        <v>1</v>
      </c>
    </row>
    <row r="64" spans="1:22" s="1" customFormat="1" ht="18.75" customHeight="1">
      <c r="A64" s="2"/>
      <c r="B64" s="449"/>
      <c r="C64" s="450"/>
      <c r="D64" s="447"/>
      <c r="E64" s="447"/>
      <c r="F64" s="447"/>
      <c r="G64" s="451"/>
      <c r="H64" s="2"/>
      <c r="I64" s="449"/>
      <c r="J64" s="450"/>
      <c r="K64" s="447"/>
      <c r="L64" s="447"/>
      <c r="M64" s="447"/>
      <c r="N64" s="451"/>
      <c r="O64" s="2"/>
      <c r="P64" s="2"/>
      <c r="Q64" s="2"/>
      <c r="R64" s="2"/>
      <c r="S64" s="2"/>
      <c r="T64" s="2"/>
      <c r="U64" s="2"/>
      <c r="V64" s="5">
        <v>1</v>
      </c>
    </row>
    <row r="65" spans="1:22" s="1" customFormat="1" ht="18.75" customHeight="1">
      <c r="A65" s="2"/>
      <c r="B65" s="449"/>
      <c r="C65" s="477" t="s">
        <v>421</v>
      </c>
      <c r="D65" s="447"/>
      <c r="E65" s="447"/>
      <c r="F65" s="447"/>
      <c r="G65" s="451"/>
      <c r="H65" s="2"/>
      <c r="I65" s="449"/>
      <c r="J65" s="477" t="s">
        <v>422</v>
      </c>
      <c r="K65" s="447"/>
      <c r="L65" s="447"/>
      <c r="M65" s="447"/>
      <c r="N65" s="451"/>
      <c r="O65" s="2"/>
      <c r="P65" s="2"/>
      <c r="Q65" s="2"/>
      <c r="R65" s="2"/>
      <c r="S65" s="2"/>
      <c r="T65" s="2"/>
      <c r="U65" s="2"/>
      <c r="V65" s="5">
        <v>1</v>
      </c>
    </row>
    <row r="66" spans="1:22" s="1" customFormat="1" ht="18.75" customHeight="1">
      <c r="A66" s="2"/>
      <c r="B66" s="449"/>
      <c r="C66" s="478"/>
      <c r="D66" s="447"/>
      <c r="E66" s="447"/>
      <c r="F66" s="447"/>
      <c r="G66" s="451"/>
      <c r="H66" s="2"/>
      <c r="I66" s="449"/>
      <c r="J66" s="478"/>
      <c r="K66" s="447"/>
      <c r="L66" s="447"/>
      <c r="M66" s="447"/>
      <c r="N66" s="451"/>
      <c r="O66" s="2"/>
      <c r="P66" s="2"/>
      <c r="Q66" s="2"/>
      <c r="R66" s="2"/>
      <c r="S66" s="2"/>
      <c r="T66" s="2"/>
      <c r="U66" s="2"/>
      <c r="V66" s="5">
        <v>1</v>
      </c>
    </row>
    <row r="67" spans="1:22" s="1" customFormat="1" ht="18.75" customHeight="1">
      <c r="A67" s="2"/>
      <c r="B67" s="7558" t="s">
        <v>423</v>
      </c>
      <c r="C67" s="7559"/>
      <c r="D67" s="7559"/>
      <c r="E67" s="7559"/>
      <c r="F67" s="7559"/>
      <c r="G67" s="7560" t="s">
        <v>252</v>
      </c>
      <c r="H67" s="2"/>
      <c r="I67" s="7558" t="s">
        <v>424</v>
      </c>
      <c r="J67" s="7559"/>
      <c r="K67" s="7559"/>
      <c r="L67" s="7559"/>
      <c r="M67" s="7559"/>
      <c r="N67" s="7560" t="s">
        <v>252</v>
      </c>
      <c r="O67" s="2"/>
      <c r="P67" s="2"/>
      <c r="Q67" s="2"/>
      <c r="R67" s="2"/>
      <c r="S67" s="2"/>
      <c r="T67" s="2"/>
      <c r="U67" s="2"/>
      <c r="V67" s="5">
        <v>1</v>
      </c>
    </row>
    <row r="68" spans="1:22" s="1" customFormat="1" ht="18.75" customHeight="1">
      <c r="A68" s="2"/>
      <c r="B68" s="7558"/>
      <c r="C68" s="7559"/>
      <c r="D68" s="7559"/>
      <c r="E68" s="7559"/>
      <c r="F68" s="7559"/>
      <c r="G68" s="7560"/>
      <c r="H68" s="2"/>
      <c r="I68" s="7558"/>
      <c r="J68" s="7559"/>
      <c r="K68" s="7559"/>
      <c r="L68" s="7559"/>
      <c r="M68" s="7559"/>
      <c r="N68" s="7560"/>
      <c r="O68" s="2"/>
      <c r="P68" s="2"/>
      <c r="Q68" s="2"/>
      <c r="R68" s="2"/>
      <c r="S68" s="2"/>
      <c r="T68" s="2"/>
      <c r="U68" s="2"/>
      <c r="V68" s="5">
        <v>1</v>
      </c>
    </row>
    <row r="69" spans="1:22" s="1" customFormat="1" ht="18.75" customHeight="1">
      <c r="A69" s="2"/>
      <c r="B69" s="479"/>
      <c r="C69" s="480"/>
      <c r="D69" s="480"/>
      <c r="E69" s="480"/>
      <c r="F69" s="481" t="s">
        <v>425</v>
      </c>
      <c r="G69" s="5463" t="s">
        <v>21</v>
      </c>
      <c r="H69" s="2"/>
      <c r="I69" s="479"/>
      <c r="J69" s="480"/>
      <c r="K69" s="480"/>
      <c r="L69" s="480"/>
      <c r="M69" s="481" t="s">
        <v>426</v>
      </c>
      <c r="N69" s="5463" t="s">
        <v>21</v>
      </c>
      <c r="O69" s="2"/>
      <c r="P69" s="2"/>
      <c r="Q69" s="2"/>
      <c r="R69" s="2"/>
      <c r="S69" s="2"/>
      <c r="T69" s="2"/>
      <c r="U69" s="2"/>
      <c r="V69" s="5">
        <v>1</v>
      </c>
    </row>
    <row r="70" spans="1:22" s="1" customFormat="1" ht="18.75" customHeight="1">
      <c r="A70" s="2"/>
      <c r="B70" s="479"/>
      <c r="C70" s="480"/>
      <c r="D70" s="480"/>
      <c r="E70" s="480"/>
      <c r="F70" s="97"/>
      <c r="G70" s="482" t="s">
        <v>21</v>
      </c>
      <c r="H70" s="2"/>
      <c r="I70" s="479"/>
      <c r="J70" s="480"/>
      <c r="K70" s="480"/>
      <c r="L70" s="480"/>
      <c r="M70" s="97"/>
      <c r="N70" s="482" t="s">
        <v>21</v>
      </c>
      <c r="O70" s="2"/>
      <c r="P70" s="2"/>
      <c r="Q70" s="2"/>
      <c r="R70" s="2"/>
      <c r="S70" s="2"/>
      <c r="T70" s="2"/>
      <c r="U70" s="2"/>
      <c r="V70" s="5">
        <v>1</v>
      </c>
    </row>
    <row r="71" spans="1:22" s="1" customFormat="1" ht="18.75" customHeight="1">
      <c r="A71" s="2"/>
      <c r="B71" s="483" t="s">
        <v>427</v>
      </c>
      <c r="C71" s="484"/>
      <c r="D71" s="484"/>
      <c r="E71" s="484"/>
      <c r="F71" s="484"/>
      <c r="G71" s="485"/>
      <c r="H71" s="2"/>
      <c r="I71" s="483" t="s">
        <v>428</v>
      </c>
      <c r="J71" s="484"/>
      <c r="K71" s="484"/>
      <c r="L71" s="484"/>
      <c r="M71" s="484"/>
      <c r="N71" s="485"/>
      <c r="O71" s="2"/>
      <c r="P71" s="2"/>
      <c r="Q71" s="2"/>
      <c r="R71" s="2"/>
      <c r="S71" s="2"/>
      <c r="T71" s="2"/>
      <c r="U71" s="2"/>
      <c r="V71" s="5">
        <v>1</v>
      </c>
    </row>
    <row r="72" spans="1:22" s="1" customFormat="1" ht="18.75" customHeight="1">
      <c r="A72" s="2"/>
      <c r="B72" s="483" t="s">
        <v>429</v>
      </c>
      <c r="C72" s="97"/>
      <c r="D72" s="97"/>
      <c r="E72" s="97"/>
      <c r="F72" s="97"/>
      <c r="G72" s="96"/>
      <c r="H72" s="2"/>
      <c r="I72" s="483" t="s">
        <v>430</v>
      </c>
      <c r="J72" s="97"/>
      <c r="K72" s="97"/>
      <c r="L72" s="97"/>
      <c r="M72" s="97"/>
      <c r="N72" s="96"/>
      <c r="O72" s="2"/>
      <c r="P72" s="2"/>
      <c r="Q72" s="2"/>
      <c r="R72" s="2"/>
      <c r="S72" s="2"/>
      <c r="T72" s="2"/>
      <c r="U72" s="2"/>
      <c r="V72" s="5">
        <v>1</v>
      </c>
    </row>
    <row r="73" spans="1:22" s="1" customFormat="1" ht="18.75" customHeight="1">
      <c r="A73" s="2"/>
      <c r="B73" s="483" t="s">
        <v>431</v>
      </c>
      <c r="C73" s="478"/>
      <c r="D73" s="478"/>
      <c r="E73" s="478"/>
      <c r="F73" s="478"/>
      <c r="G73" s="96"/>
      <c r="H73" s="2"/>
      <c r="I73" s="483" t="s">
        <v>432</v>
      </c>
      <c r="J73" s="478"/>
      <c r="K73" s="478"/>
      <c r="L73" s="478"/>
      <c r="M73" s="478"/>
      <c r="N73" s="96"/>
      <c r="O73" s="2"/>
      <c r="P73" s="2"/>
      <c r="Q73" s="2"/>
      <c r="R73" s="2"/>
      <c r="S73" s="2"/>
      <c r="T73" s="2"/>
      <c r="U73" s="2"/>
      <c r="V73" s="5">
        <v>1</v>
      </c>
    </row>
    <row r="74" spans="1:22" s="1" customFormat="1" ht="18.75" customHeight="1">
      <c r="A74" s="2"/>
      <c r="B74" s="98"/>
      <c r="C74" s="97"/>
      <c r="D74" s="97"/>
      <c r="E74" s="97"/>
      <c r="F74" s="2"/>
      <c r="G74" s="96"/>
      <c r="H74" s="2"/>
      <c r="I74" s="98"/>
      <c r="J74" s="97"/>
      <c r="K74" s="97"/>
      <c r="L74" s="97"/>
      <c r="M74" s="2"/>
      <c r="N74" s="96"/>
      <c r="O74" s="2"/>
      <c r="P74" s="2"/>
      <c r="Q74" s="2"/>
      <c r="R74" s="2"/>
      <c r="S74" s="2"/>
      <c r="T74" s="2"/>
      <c r="U74" s="2"/>
      <c r="V74" s="5">
        <v>1</v>
      </c>
    </row>
    <row r="75" spans="1:22" s="1" customFormat="1" ht="18.75" customHeight="1">
      <c r="A75" s="2"/>
      <c r="B75" s="7553" t="s">
        <v>433</v>
      </c>
      <c r="C75" s="7554"/>
      <c r="D75" s="7554"/>
      <c r="E75" s="7554"/>
      <c r="F75" s="7554"/>
      <c r="G75" s="7555"/>
      <c r="H75" s="2"/>
      <c r="I75" s="7553" t="s">
        <v>434</v>
      </c>
      <c r="J75" s="7554"/>
      <c r="K75" s="7554"/>
      <c r="L75" s="7554"/>
      <c r="M75" s="7554"/>
      <c r="N75" s="7555"/>
      <c r="O75" s="2"/>
      <c r="P75" s="2"/>
      <c r="Q75" s="2"/>
      <c r="R75" s="2"/>
      <c r="S75" s="2"/>
      <c r="T75" s="2"/>
      <c r="U75" s="2"/>
      <c r="V75" s="5">
        <v>1</v>
      </c>
    </row>
    <row r="76" spans="1:22" s="1" customFormat="1" ht="18.75" customHeight="1">
      <c r="A76" s="2"/>
      <c r="B76" s="7553" t="s">
        <v>435</v>
      </c>
      <c r="C76" s="7554"/>
      <c r="D76" s="7554"/>
      <c r="E76" s="7554"/>
      <c r="F76" s="7554"/>
      <c r="G76" s="7555"/>
      <c r="H76" s="2"/>
      <c r="I76" s="7553" t="s">
        <v>436</v>
      </c>
      <c r="J76" s="7554"/>
      <c r="K76" s="7554"/>
      <c r="L76" s="7554"/>
      <c r="M76" s="7554"/>
      <c r="N76" s="7555"/>
      <c r="O76" s="2"/>
      <c r="P76" s="2"/>
      <c r="Q76" s="2"/>
      <c r="R76" s="2"/>
      <c r="S76" s="2"/>
      <c r="T76" s="2"/>
      <c r="U76" s="2"/>
      <c r="V76" s="5">
        <v>1</v>
      </c>
    </row>
    <row r="77" spans="1:22" s="1" customFormat="1" ht="18.75" customHeight="1">
      <c r="A77" s="2"/>
      <c r="B77" s="483" t="s">
        <v>437</v>
      </c>
      <c r="C77" s="478"/>
      <c r="D77" s="486" t="s">
        <v>438</v>
      </c>
      <c r="E77" s="478"/>
      <c r="F77" s="478"/>
      <c r="G77" s="487" t="str">
        <f ca="1">"Page "&amp;_xlfn.SHEET()&amp;" sur "&amp;_xlfn.SHEETS()</f>
        <v>Page 15 sur 28</v>
      </c>
      <c r="H77" s="2"/>
      <c r="I77" s="483" t="s">
        <v>437</v>
      </c>
      <c r="J77" s="478"/>
      <c r="K77" s="486" t="s">
        <v>438</v>
      </c>
      <c r="L77" s="478"/>
      <c r="M77" s="478"/>
      <c r="N77" s="487" t="str">
        <f ca="1">"Page "&amp;_xlfn.SHEET()&amp;" sur "&amp;_xlfn.SHEETS()</f>
        <v>Page 15 sur 28</v>
      </c>
      <c r="O77" s="2"/>
      <c r="P77" s="2"/>
      <c r="Q77" s="2"/>
      <c r="R77" s="2"/>
      <c r="S77" s="2"/>
      <c r="T77" s="2"/>
      <c r="U77" s="2"/>
      <c r="V77" s="5">
        <v>1</v>
      </c>
    </row>
    <row r="78" spans="1:22" s="1" customFormat="1" ht="18.75" customHeight="1">
      <c r="A78" s="2"/>
      <c r="B78" s="98"/>
      <c r="C78" s="97"/>
      <c r="D78" s="97"/>
      <c r="E78" s="488" t="s">
        <v>439</v>
      </c>
      <c r="F78" s="97"/>
      <c r="G78" s="96"/>
      <c r="H78" s="2"/>
      <c r="I78" s="98"/>
      <c r="J78" s="97"/>
      <c r="K78" s="97"/>
      <c r="L78" s="488" t="s">
        <v>439</v>
      </c>
      <c r="M78" s="97"/>
      <c r="N78" s="96"/>
      <c r="O78" s="2"/>
      <c r="P78" s="2"/>
      <c r="Q78" s="2"/>
      <c r="R78" s="2"/>
      <c r="S78" s="2"/>
      <c r="T78" s="2"/>
      <c r="U78" s="2"/>
      <c r="V78" s="5">
        <v>1</v>
      </c>
    </row>
    <row r="79" spans="1:22" s="1" customFormat="1" ht="18.75" customHeight="1">
      <c r="A79" s="2"/>
      <c r="B79" s="98"/>
      <c r="C79" s="97"/>
      <c r="D79" s="97"/>
      <c r="E79" s="488"/>
      <c r="F79" s="97"/>
      <c r="G79" s="96"/>
      <c r="H79" s="2"/>
      <c r="I79" s="98"/>
      <c r="J79" s="97"/>
      <c r="K79" s="97"/>
      <c r="L79" s="488"/>
      <c r="M79" s="97"/>
      <c r="N79" s="96"/>
      <c r="O79" s="2"/>
      <c r="P79" s="2"/>
      <c r="Q79" s="2"/>
      <c r="R79" s="2"/>
      <c r="S79" s="2"/>
      <c r="T79" s="2"/>
      <c r="U79" s="2"/>
      <c r="V79" s="5">
        <v>1</v>
      </c>
    </row>
    <row r="80" spans="1:22" s="1" customFormat="1" ht="18.75" customHeight="1">
      <c r="A80" s="2"/>
      <c r="B80" s="489"/>
      <c r="C80" s="490"/>
      <c r="D80" s="490"/>
      <c r="E80" s="490"/>
      <c r="F80" s="491" t="s">
        <v>440</v>
      </c>
      <c r="G80" s="492" t="str">
        <f>'Qu''est-ce'!V85</f>
        <v>V85</v>
      </c>
      <c r="H80" s="2"/>
      <c r="I80" s="489"/>
      <c r="J80" s="490"/>
      <c r="K80" s="490"/>
      <c r="L80" s="490"/>
      <c r="M80" s="491" t="s">
        <v>441</v>
      </c>
      <c r="N80" s="492" t="str">
        <f>V85</f>
        <v>V85</v>
      </c>
      <c r="O80" s="2"/>
      <c r="P80" s="2"/>
      <c r="Q80" s="2"/>
      <c r="R80" s="2"/>
      <c r="S80" s="2"/>
      <c r="T80" s="2"/>
      <c r="U80" s="2"/>
      <c r="V80" s="5">
        <v>1</v>
      </c>
    </row>
    <row r="81" spans="1:24" s="1" customFormat="1" ht="18.75" customHeight="1" thickBot="1">
      <c r="A81" s="2"/>
      <c r="B81" s="493">
        <v>8</v>
      </c>
      <c r="C81" s="494">
        <v>32</v>
      </c>
      <c r="D81" s="494">
        <v>32</v>
      </c>
      <c r="E81" s="494">
        <v>32</v>
      </c>
      <c r="F81" s="494">
        <v>32</v>
      </c>
      <c r="G81" s="495">
        <v>32</v>
      </c>
      <c r="H81" s="2"/>
      <c r="I81" s="493">
        <v>8</v>
      </c>
      <c r="J81" s="494">
        <v>32</v>
      </c>
      <c r="K81" s="494">
        <v>32</v>
      </c>
      <c r="L81" s="494">
        <v>32</v>
      </c>
      <c r="M81" s="494">
        <v>32</v>
      </c>
      <c r="N81" s="495">
        <v>32</v>
      </c>
      <c r="O81" s="2"/>
      <c r="P81" s="2"/>
      <c r="Q81" s="2"/>
      <c r="R81" s="2"/>
      <c r="S81" s="2"/>
      <c r="T81" s="2"/>
      <c r="U81" s="2"/>
      <c r="V81" s="5">
        <v>1</v>
      </c>
    </row>
    <row r="82" spans="1:24" s="1" customFormat="1" ht="18.75" customHeight="1">
      <c r="A82" s="2"/>
      <c r="H82" s="2"/>
      <c r="O82" s="2"/>
      <c r="P82" s="2"/>
      <c r="Q82" s="2"/>
      <c r="R82" s="2"/>
      <c r="S82" s="2"/>
      <c r="T82" s="2"/>
      <c r="U82" s="2"/>
      <c r="V82" s="5">
        <v>1</v>
      </c>
    </row>
    <row r="83" spans="1:24" s="1" customFormat="1">
      <c r="A83" s="2"/>
      <c r="G83" s="113"/>
      <c r="N83" s="113"/>
      <c r="P83" s="2"/>
      <c r="Q83" s="2"/>
      <c r="R83" s="2"/>
      <c r="S83" s="2"/>
      <c r="T83" s="2"/>
      <c r="U83" s="2"/>
      <c r="V83" s="5">
        <v>1</v>
      </c>
    </row>
    <row r="84" spans="1:24" ht="15.75">
      <c r="B84" s="1"/>
      <c r="C84" s="1"/>
      <c r="D84" s="1"/>
      <c r="E84" s="496"/>
      <c r="F84" s="1"/>
      <c r="G84" s="1"/>
      <c r="I84" s="1"/>
      <c r="J84" s="1"/>
      <c r="K84" s="1"/>
      <c r="L84" s="496"/>
      <c r="M84" s="1"/>
      <c r="N84" s="1"/>
      <c r="V84" s="10" t="s">
        <v>0</v>
      </c>
    </row>
    <row r="85" spans="1:24">
      <c r="A85" s="5">
        <v>1</v>
      </c>
      <c r="B85" s="5">
        <v>1</v>
      </c>
      <c r="C85" s="5">
        <v>1</v>
      </c>
      <c r="D85" s="5">
        <v>1</v>
      </c>
      <c r="E85" s="5">
        <v>1</v>
      </c>
      <c r="F85" s="5">
        <v>1</v>
      </c>
      <c r="G85" s="5">
        <v>1</v>
      </c>
      <c r="H85" s="5">
        <v>1</v>
      </c>
      <c r="I85" s="5">
        <v>1</v>
      </c>
      <c r="J85" s="5">
        <v>1</v>
      </c>
      <c r="K85" s="5">
        <v>1</v>
      </c>
      <c r="L85" s="5">
        <v>1</v>
      </c>
      <c r="M85" s="5">
        <v>1</v>
      </c>
      <c r="N85" s="5">
        <v>1</v>
      </c>
      <c r="O85" s="5">
        <v>1</v>
      </c>
      <c r="P85" s="5">
        <v>1</v>
      </c>
      <c r="Q85" s="5">
        <v>1</v>
      </c>
      <c r="R85" s="5">
        <v>1</v>
      </c>
      <c r="S85" s="5">
        <v>1</v>
      </c>
      <c r="T85" s="5">
        <v>1</v>
      </c>
      <c r="U85" s="5">
        <v>1</v>
      </c>
      <c r="V85" s="9" t="str">
        <f>ADDRESS(ROW(),COLUMN(),4)</f>
        <v>V85</v>
      </c>
      <c r="W85" s="8"/>
      <c r="X85" s="7" t="str">
        <f>ADDRESS(ROW(),COLUMN(),4)</f>
        <v>X85</v>
      </c>
    </row>
  </sheetData>
  <mergeCells count="15">
    <mergeCell ref="B3:G4"/>
    <mergeCell ref="I3:N4"/>
    <mergeCell ref="P3:S4"/>
    <mergeCell ref="P10:P11"/>
    <mergeCell ref="Q10:Q11"/>
    <mergeCell ref="S10:S11"/>
    <mergeCell ref="B76:G76"/>
    <mergeCell ref="I76:N76"/>
    <mergeCell ref="T10:T11"/>
    <mergeCell ref="B67:F68"/>
    <mergeCell ref="G67:G68"/>
    <mergeCell ref="I67:M68"/>
    <mergeCell ref="N67:N68"/>
    <mergeCell ref="B75:G75"/>
    <mergeCell ref="I75:N75"/>
  </mergeCells>
  <hyperlinks>
    <hyperlink ref="D77" r:id="rId1" xr:uid="{8F794245-A372-4D71-9A6B-0DC83F11C3A1}"/>
    <hyperlink ref="K77" r:id="rId2" xr:uid="{7D074010-49AC-4359-B864-CBF14A12AB6B}"/>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DFEA9-E5E0-43C1-B138-C92BDD3D5796}">
  <dimension ref="A1:CQ613"/>
  <sheetViews>
    <sheetView showZeros="0" zoomScaleNormal="100" workbookViewId="0">
      <selection activeCell="E25" sqref="E25"/>
    </sheetView>
  </sheetViews>
  <sheetFormatPr baseColWidth="10" defaultRowHeight="15"/>
  <cols>
    <col min="1" max="1" width="5.85546875" style="4" customWidth="1"/>
    <col min="2" max="2" width="32.7109375" style="4" customWidth="1"/>
    <col min="3" max="3" width="16.7109375" style="4" customWidth="1"/>
    <col min="4" max="4" width="5.140625" style="4" customWidth="1"/>
    <col min="5" max="5" width="19.7109375" style="4" customWidth="1"/>
    <col min="6" max="6" width="13.7109375" style="4" customWidth="1"/>
    <col min="7" max="7" width="10.7109375" style="4" customWidth="1"/>
    <col min="8" max="8" width="2.28515625" customWidth="1"/>
    <col min="9" max="9" width="4.7109375" style="4" customWidth="1"/>
    <col min="10" max="12" width="2.7109375" style="4" customWidth="1"/>
    <col min="13" max="14" width="12.7109375" style="4" customWidth="1"/>
    <col min="15" max="15" width="3.7109375" style="4" customWidth="1"/>
    <col min="16" max="16" width="12.7109375" style="4" customWidth="1"/>
    <col min="17" max="17" width="10.7109375" style="4" customWidth="1"/>
    <col min="18" max="18" width="12.7109375" style="4" customWidth="1"/>
    <col min="19" max="19" width="40.7109375" style="4" customWidth="1"/>
    <col min="20" max="20" width="4.42578125" style="4" customWidth="1"/>
    <col min="21" max="21" width="4.7109375" customWidth="1"/>
    <col min="22" max="23" width="2.7109375" customWidth="1"/>
    <col min="24" max="24" width="2.5703125" customWidth="1"/>
    <col min="25" max="26" width="11.7109375" customWidth="1"/>
    <col min="27" max="27" width="3.7109375" customWidth="1"/>
    <col min="28" max="28" width="12.7109375" customWidth="1"/>
    <col min="29" max="29" width="10.7109375" customWidth="1"/>
    <col min="30" max="30" width="12.7109375" customWidth="1"/>
    <col min="31" max="31" width="40.7109375" customWidth="1"/>
    <col min="32" max="32" width="1.7109375" customWidth="1"/>
    <col min="33" max="33" width="11.7109375" customWidth="1"/>
    <col min="34" max="34" width="16" customWidth="1"/>
    <col min="35" max="35" width="16.42578125" customWidth="1"/>
    <col min="36" max="37" width="11.7109375" customWidth="1"/>
    <col min="38" max="38" width="30.7109375" customWidth="1"/>
    <col min="39" max="39" width="12.42578125" customWidth="1"/>
    <col min="40" max="40" width="22.7109375" customWidth="1"/>
    <col min="41" max="41" width="11.7109375" customWidth="1"/>
    <col min="42" max="43" width="17.7109375" customWidth="1"/>
    <col min="44" max="45" width="11.7109375" customWidth="1"/>
    <col min="46" max="46" width="9" customWidth="1"/>
    <col min="47" max="47" width="15.7109375" customWidth="1"/>
    <col min="48" max="48" width="5.5703125" customWidth="1"/>
    <col min="49" max="49" width="14.7109375" customWidth="1"/>
    <col min="50" max="52" width="11.7109375" customWidth="1"/>
    <col min="53" max="53" width="17.7109375" customWidth="1"/>
    <col min="54" max="54" width="5.5703125" customWidth="1"/>
    <col min="55" max="55" width="10.7109375" style="3" customWidth="1"/>
    <col min="56" max="56" width="9.42578125" style="3" customWidth="1"/>
    <col min="57" max="57" width="99.7109375" style="3" customWidth="1"/>
    <col min="58" max="58" width="6" style="3" customWidth="1"/>
    <col min="59" max="59" width="5.7109375" style="3" customWidth="1"/>
    <col min="60" max="62" width="10.7109375" style="3" customWidth="1"/>
    <col min="63" max="63" width="4.140625" style="3" customWidth="1"/>
    <col min="64" max="64" width="7.5703125" style="2" customWidth="1"/>
    <col min="65" max="65" width="3.85546875" style="3" customWidth="1"/>
    <col min="66" max="70" width="11.7109375" style="2" customWidth="1"/>
    <col min="72" max="77" width="14.7109375" customWidth="1"/>
    <col min="78" max="78" width="3.42578125" customWidth="1"/>
    <col min="79" max="84" width="14.7109375" customWidth="1"/>
    <col min="85" max="85" width="3.5703125" customWidth="1"/>
    <col min="86" max="91" width="14.7109375" customWidth="1"/>
    <col min="92" max="92" width="6.85546875" customWidth="1"/>
    <col min="93" max="93" width="8.7109375" style="2" customWidth="1"/>
    <col min="94" max="94" width="11.42578125" style="1"/>
    <col min="95" max="95" width="43.5703125" style="1" customWidth="1"/>
  </cols>
  <sheetData>
    <row r="1" spans="1:95" ht="15.75" thickTop="1">
      <c r="A1" s="9" t="str">
        <f>ADDRESS(ROW(),COLUMN(),4)</f>
        <v>A1</v>
      </c>
      <c r="B1" s="5443" t="str">
        <f t="shared" ref="B1:G1" si="0">SUBSTITUTE(ADDRESS(1,COLUMN(),4),"1","")</f>
        <v>B</v>
      </c>
      <c r="C1" s="5443" t="str">
        <f t="shared" si="0"/>
        <v>C</v>
      </c>
      <c r="D1" s="5443" t="str">
        <f t="shared" si="0"/>
        <v>D</v>
      </c>
      <c r="E1" s="5443" t="str">
        <f t="shared" si="0"/>
        <v>E</v>
      </c>
      <c r="F1" s="5443" t="str">
        <f t="shared" si="0"/>
        <v>F</v>
      </c>
      <c r="G1" s="5443" t="str">
        <f t="shared" si="0"/>
        <v>G</v>
      </c>
      <c r="H1" s="5443" t="str">
        <f t="shared" ref="H1:AE1" si="1">SUBSTITUTE(ADDRESS(1,COLUMN(),4),"1","")</f>
        <v>H</v>
      </c>
      <c r="I1" s="5195" t="str">
        <f t="shared" si="1"/>
        <v>I</v>
      </c>
      <c r="J1" s="5195" t="str">
        <f t="shared" si="1"/>
        <v>J</v>
      </c>
      <c r="K1" s="5195" t="str">
        <f t="shared" si="1"/>
        <v>K</v>
      </c>
      <c r="L1" s="5195" t="str">
        <f t="shared" si="1"/>
        <v>L</v>
      </c>
      <c r="M1" s="5195" t="str">
        <f t="shared" si="1"/>
        <v>M</v>
      </c>
      <c r="N1" s="5195" t="str">
        <f t="shared" si="1"/>
        <v>N</v>
      </c>
      <c r="O1" s="5195" t="str">
        <f t="shared" si="1"/>
        <v>O</v>
      </c>
      <c r="P1" s="5195" t="str">
        <f t="shared" si="1"/>
        <v>P</v>
      </c>
      <c r="Q1" s="5195" t="str">
        <f t="shared" si="1"/>
        <v>Q</v>
      </c>
      <c r="R1" s="5195" t="str">
        <f t="shared" si="1"/>
        <v>R</v>
      </c>
      <c r="S1" s="5195" t="str">
        <f t="shared" si="1"/>
        <v>S</v>
      </c>
      <c r="T1" s="5443" t="str">
        <f t="shared" si="1"/>
        <v>T</v>
      </c>
      <c r="U1" s="5196" t="str">
        <f t="shared" si="1"/>
        <v>U</v>
      </c>
      <c r="V1" s="5196" t="str">
        <f t="shared" si="1"/>
        <v>V</v>
      </c>
      <c r="W1" s="5196" t="str">
        <f t="shared" si="1"/>
        <v>W</v>
      </c>
      <c r="X1" s="5196" t="str">
        <f t="shared" si="1"/>
        <v>X</v>
      </c>
      <c r="Y1" s="5196" t="str">
        <f t="shared" si="1"/>
        <v>Y</v>
      </c>
      <c r="Z1" s="5196" t="str">
        <f t="shared" si="1"/>
        <v>Z</v>
      </c>
      <c r="AA1" s="5196" t="str">
        <f t="shared" si="1"/>
        <v>AA</v>
      </c>
      <c r="AB1" s="5196" t="str">
        <f t="shared" si="1"/>
        <v>AB</v>
      </c>
      <c r="AC1" s="5196" t="str">
        <f t="shared" si="1"/>
        <v>AC</v>
      </c>
      <c r="AD1" s="5196" t="str">
        <f t="shared" si="1"/>
        <v>AD</v>
      </c>
      <c r="AE1" s="5196" t="str">
        <f t="shared" si="1"/>
        <v>AE</v>
      </c>
      <c r="AF1" s="445" t="str">
        <f t="shared" ref="AF1:AU1" si="2">SUBSTITUTE(ADDRESS(1,COLUMN(),4),"1","")</f>
        <v>AF</v>
      </c>
      <c r="AG1" s="445" t="str">
        <f t="shared" si="2"/>
        <v>AG</v>
      </c>
      <c r="AH1" s="445" t="str">
        <f t="shared" si="2"/>
        <v>AH</v>
      </c>
      <c r="AI1" s="445" t="str">
        <f t="shared" si="2"/>
        <v>AI</v>
      </c>
      <c r="AJ1" s="445" t="str">
        <f t="shared" si="2"/>
        <v>AJ</v>
      </c>
      <c r="AK1" s="445" t="str">
        <f t="shared" si="2"/>
        <v>AK</v>
      </c>
      <c r="AL1" s="445" t="str">
        <f t="shared" si="2"/>
        <v>AL</v>
      </c>
      <c r="AM1" s="445" t="str">
        <f t="shared" si="2"/>
        <v>AM</v>
      </c>
      <c r="AN1" s="445" t="str">
        <f t="shared" si="2"/>
        <v>AN</v>
      </c>
      <c r="AO1" s="445" t="str">
        <f t="shared" si="2"/>
        <v>AO</v>
      </c>
      <c r="AP1" s="445" t="str">
        <f t="shared" si="2"/>
        <v>AP</v>
      </c>
      <c r="AQ1" s="445" t="str">
        <f t="shared" si="2"/>
        <v>AQ</v>
      </c>
      <c r="AR1" s="445" t="str">
        <f t="shared" si="2"/>
        <v>AR</v>
      </c>
      <c r="AS1" s="445" t="str">
        <f t="shared" si="2"/>
        <v>AS</v>
      </c>
      <c r="AT1" s="445" t="str">
        <f t="shared" si="2"/>
        <v>AT</v>
      </c>
      <c r="AU1" s="445" t="str">
        <f t="shared" si="2"/>
        <v>AU</v>
      </c>
      <c r="AW1" s="445" t="str">
        <f>SUBSTITUTE(ADDRESS(1,COLUMN(),4),"1","")</f>
        <v>AW</v>
      </c>
      <c r="AX1" s="445" t="str">
        <f>SUBSTITUTE(ADDRESS(1,COLUMN(),4),"1","")</f>
        <v>AX</v>
      </c>
      <c r="AY1" s="445" t="str">
        <f>SUBSTITUTE(ADDRESS(1,COLUMN(),4),"1","")</f>
        <v>AY</v>
      </c>
      <c r="AZ1" s="445" t="str">
        <f>SUBSTITUTE(ADDRESS(1,COLUMN(),4),"1","")</f>
        <v>AZ</v>
      </c>
      <c r="BA1" s="445" t="str">
        <f>SUBSTITUTE(ADDRESS(1,COLUMN(),4),"1","")</f>
        <v>BA</v>
      </c>
      <c r="BC1" s="444" t="str">
        <f t="shared" ref="BC1:BJ1" si="3">SUBSTITUTE(ADDRESS(1,COLUMN(),4),"1","")</f>
        <v>BC</v>
      </c>
      <c r="BD1" s="444" t="str">
        <f t="shared" si="3"/>
        <v>BD</v>
      </c>
      <c r="BE1" s="444" t="str">
        <f t="shared" si="3"/>
        <v>BE</v>
      </c>
      <c r="BF1" s="444" t="str">
        <f t="shared" si="3"/>
        <v>BF</v>
      </c>
      <c r="BG1" s="444" t="str">
        <f t="shared" si="3"/>
        <v>BG</v>
      </c>
      <c r="BH1" s="444" t="str">
        <f t="shared" si="3"/>
        <v>BH</v>
      </c>
      <c r="BI1" s="444" t="str">
        <f t="shared" si="3"/>
        <v>BI</v>
      </c>
      <c r="BJ1" s="444" t="str">
        <f t="shared" si="3"/>
        <v>BJ</v>
      </c>
      <c r="BK1" s="62"/>
      <c r="BL1" s="443" t="str">
        <f>SUBSTITUTE(ADDRESS(1,COLUMN(),4),"1","")</f>
        <v>BL</v>
      </c>
      <c r="BM1" s="62"/>
      <c r="BN1" s="443" t="str">
        <f>SUBSTITUTE(ADDRESS(1,COLUMN(),4),"1","")</f>
        <v>BN</v>
      </c>
      <c r="BO1" s="443" t="str">
        <f>SUBSTITUTE(ADDRESS(1,COLUMN(),4),"1","")</f>
        <v>BO</v>
      </c>
      <c r="BP1" s="443" t="str">
        <f>SUBSTITUTE(ADDRESS(1,COLUMN(),4),"1","")</f>
        <v>BP</v>
      </c>
      <c r="BQ1" s="443" t="str">
        <f>SUBSTITUTE(ADDRESS(1,COLUMN(),4),"1","")</f>
        <v>BQ</v>
      </c>
      <c r="BR1" s="443" t="str">
        <f>SUBSTITUTE(ADDRESS(1,COLUMN(),4),"1","")</f>
        <v>BR</v>
      </c>
      <c r="BS1" s="141"/>
      <c r="BT1" s="444" t="str">
        <f t="shared" ref="BT1:CM1" si="4">SUBSTITUTE(ADDRESS(1,COLUMN(),4),"1","")</f>
        <v>BT</v>
      </c>
      <c r="BU1" s="444" t="str">
        <f t="shared" si="4"/>
        <v>BU</v>
      </c>
      <c r="BV1" s="444" t="str">
        <f t="shared" si="4"/>
        <v>BV</v>
      </c>
      <c r="BW1" s="444" t="str">
        <f t="shared" si="4"/>
        <v>BW</v>
      </c>
      <c r="BX1" s="444" t="str">
        <f t="shared" si="4"/>
        <v>BX</v>
      </c>
      <c r="BY1" s="444" t="str">
        <f t="shared" si="4"/>
        <v>BY</v>
      </c>
      <c r="CA1" s="444" t="str">
        <f t="shared" si="4"/>
        <v>CA</v>
      </c>
      <c r="CB1" s="444" t="str">
        <f t="shared" si="4"/>
        <v>CB</v>
      </c>
      <c r="CC1" s="444" t="str">
        <f t="shared" si="4"/>
        <v>CC</v>
      </c>
      <c r="CD1" s="444" t="str">
        <f t="shared" si="4"/>
        <v>CD</v>
      </c>
      <c r="CE1" s="444" t="str">
        <f t="shared" si="4"/>
        <v>CE</v>
      </c>
      <c r="CF1" s="444" t="str">
        <f t="shared" si="4"/>
        <v>CF</v>
      </c>
      <c r="CH1" s="444" t="str">
        <f t="shared" si="4"/>
        <v>CH</v>
      </c>
      <c r="CI1" s="444" t="str">
        <f t="shared" si="4"/>
        <v>CI</v>
      </c>
      <c r="CJ1" s="444" t="str">
        <f t="shared" si="4"/>
        <v>CJ</v>
      </c>
      <c r="CK1" s="444" t="str">
        <f t="shared" si="4"/>
        <v>CK</v>
      </c>
      <c r="CL1" s="444" t="str">
        <f t="shared" si="4"/>
        <v>CL</v>
      </c>
      <c r="CM1" s="444" t="str">
        <f t="shared" si="4"/>
        <v>CM</v>
      </c>
      <c r="CN1" s="278"/>
      <c r="CO1" s="5">
        <v>1</v>
      </c>
      <c r="CP1" s="5443" t="str">
        <f>SUBSTITUTE(ADDRESS(1,COLUMN(),4),"1","")</f>
        <v>CP</v>
      </c>
      <c r="CQ1" s="5442" t="str">
        <f>SUBSTITUTE(ADDRESS(1,COLUMN(),4),"1","")</f>
        <v>CQ</v>
      </c>
    </row>
    <row r="2" spans="1:95" ht="16.5" thickBot="1">
      <c r="A2" s="20" t="s">
        <v>21</v>
      </c>
      <c r="B2" s="91">
        <f t="shared" ref="B2:G2" ca="1" si="5">CELL("largeur",B2)</f>
        <v>32</v>
      </c>
      <c r="C2" s="91">
        <f t="shared" ca="1" si="5"/>
        <v>16</v>
      </c>
      <c r="D2" s="91">
        <f t="shared" ca="1" si="5"/>
        <v>4</v>
      </c>
      <c r="E2" s="91">
        <f t="shared" ca="1" si="5"/>
        <v>19</v>
      </c>
      <c r="F2" s="91">
        <f t="shared" ca="1" si="5"/>
        <v>13</v>
      </c>
      <c r="G2" s="91">
        <f t="shared" ca="1" si="5"/>
        <v>10</v>
      </c>
      <c r="H2" s="91">
        <f t="shared" ref="H2:R2" ca="1" si="6">CELL("largeur",H2)</f>
        <v>2</v>
      </c>
      <c r="I2" s="5198">
        <f t="shared" ca="1" si="6"/>
        <v>4</v>
      </c>
      <c r="J2" s="5198">
        <f t="shared" ca="1" si="6"/>
        <v>2</v>
      </c>
      <c r="K2" s="5198">
        <f t="shared" ca="1" si="6"/>
        <v>2</v>
      </c>
      <c r="L2" s="5198">
        <f t="shared" ca="1" si="6"/>
        <v>2</v>
      </c>
      <c r="M2" s="5198">
        <f t="shared" ca="1" si="6"/>
        <v>12</v>
      </c>
      <c r="N2" s="5198">
        <f t="shared" ca="1" si="6"/>
        <v>12</v>
      </c>
      <c r="O2" s="5198">
        <f t="shared" ca="1" si="6"/>
        <v>3</v>
      </c>
      <c r="P2" s="5198">
        <f t="shared" ca="1" si="6"/>
        <v>12</v>
      </c>
      <c r="Q2" s="5198">
        <f t="shared" ca="1" si="6"/>
        <v>10</v>
      </c>
      <c r="R2" s="5198">
        <f t="shared" ca="1" si="6"/>
        <v>12</v>
      </c>
      <c r="S2" s="5198">
        <f t="shared" ref="S2:AU2" ca="1" si="7">CELL("largeur",S2)</f>
        <v>40</v>
      </c>
      <c r="T2" s="91">
        <f t="shared" ca="1" si="7"/>
        <v>4</v>
      </c>
      <c r="U2" s="5197">
        <f t="shared" ca="1" si="7"/>
        <v>4</v>
      </c>
      <c r="V2" s="5197">
        <f t="shared" ca="1" si="7"/>
        <v>2</v>
      </c>
      <c r="W2" s="5197">
        <f t="shared" ca="1" si="7"/>
        <v>2</v>
      </c>
      <c r="X2" s="5197">
        <f t="shared" ca="1" si="7"/>
        <v>2</v>
      </c>
      <c r="Y2" s="5197">
        <f t="shared" ca="1" si="7"/>
        <v>11</v>
      </c>
      <c r="Z2" s="5197">
        <f t="shared" ca="1" si="7"/>
        <v>11</v>
      </c>
      <c r="AA2" s="5197">
        <f t="shared" ca="1" si="7"/>
        <v>3</v>
      </c>
      <c r="AB2" s="5197">
        <f t="shared" ca="1" si="7"/>
        <v>12</v>
      </c>
      <c r="AC2" s="5197">
        <f t="shared" ca="1" si="7"/>
        <v>10</v>
      </c>
      <c r="AD2" s="5197">
        <f t="shared" ca="1" si="7"/>
        <v>12</v>
      </c>
      <c r="AE2" s="5197">
        <f t="shared" ca="1" si="7"/>
        <v>40</v>
      </c>
      <c r="AF2" s="91">
        <f t="shared" ca="1" si="7"/>
        <v>1</v>
      </c>
      <c r="AG2" s="441">
        <f t="shared" ca="1" si="7"/>
        <v>11</v>
      </c>
      <c r="AH2" s="441">
        <f t="shared" ca="1" si="7"/>
        <v>15</v>
      </c>
      <c r="AI2" s="441">
        <f t="shared" ca="1" si="7"/>
        <v>16</v>
      </c>
      <c r="AJ2" s="91">
        <f t="shared" ca="1" si="7"/>
        <v>11</v>
      </c>
      <c r="AK2" s="91">
        <f t="shared" ca="1" si="7"/>
        <v>11</v>
      </c>
      <c r="AL2" s="91">
        <f t="shared" ca="1" si="7"/>
        <v>30</v>
      </c>
      <c r="AM2" s="91">
        <f t="shared" ca="1" si="7"/>
        <v>12</v>
      </c>
      <c r="AN2" s="91">
        <f t="shared" ca="1" si="7"/>
        <v>22</v>
      </c>
      <c r="AO2" s="91">
        <f t="shared" ca="1" si="7"/>
        <v>11</v>
      </c>
      <c r="AP2" s="91">
        <f t="shared" ca="1" si="7"/>
        <v>17</v>
      </c>
      <c r="AQ2" s="91">
        <f t="shared" ca="1" si="7"/>
        <v>17</v>
      </c>
      <c r="AR2" s="91">
        <f t="shared" ca="1" si="7"/>
        <v>11</v>
      </c>
      <c r="AS2" s="91">
        <f t="shared" ca="1" si="7"/>
        <v>11</v>
      </c>
      <c r="AT2" s="91">
        <f t="shared" ca="1" si="7"/>
        <v>8</v>
      </c>
      <c r="AU2" s="91">
        <f t="shared" ca="1" si="7"/>
        <v>15</v>
      </c>
      <c r="AW2" s="91">
        <f ca="1">CELL("largeur",AW2)</f>
        <v>14</v>
      </c>
      <c r="AX2" s="91">
        <f ca="1">CELL("largeur",AX2)</f>
        <v>11</v>
      </c>
      <c r="AY2" s="91">
        <f ca="1">CELL("largeur",AY2)</f>
        <v>11</v>
      </c>
      <c r="AZ2" s="91">
        <f ca="1">CELL("largeur",AZ2)</f>
        <v>11</v>
      </c>
      <c r="BA2" s="91">
        <f ca="1">CELL("largeur",BA2)</f>
        <v>17</v>
      </c>
      <c r="BC2" s="91">
        <f t="shared" ref="BC2:BJ2" ca="1" si="8">CELL("largeur",BC2)</f>
        <v>10</v>
      </c>
      <c r="BD2" s="91">
        <f t="shared" ca="1" si="8"/>
        <v>9</v>
      </c>
      <c r="BE2" s="91">
        <f t="shared" ca="1" si="8"/>
        <v>99</v>
      </c>
      <c r="BF2" s="91">
        <f t="shared" ca="1" si="8"/>
        <v>5</v>
      </c>
      <c r="BG2" s="91">
        <f t="shared" ca="1" si="8"/>
        <v>5</v>
      </c>
      <c r="BH2" s="91">
        <f t="shared" ca="1" si="8"/>
        <v>10</v>
      </c>
      <c r="BI2" s="91">
        <f t="shared" ca="1" si="8"/>
        <v>10</v>
      </c>
      <c r="BJ2" s="91">
        <f t="shared" ca="1" si="8"/>
        <v>10</v>
      </c>
      <c r="BK2" s="62"/>
      <c r="BL2" s="91">
        <f ca="1">CELL("largeur",BL2)</f>
        <v>7</v>
      </c>
      <c r="BM2" s="62"/>
      <c r="BN2" s="91">
        <f ca="1">CELL("largeur",BN2)</f>
        <v>11</v>
      </c>
      <c r="BO2" s="91">
        <f ca="1">CELL("largeur",BO2)</f>
        <v>11</v>
      </c>
      <c r="BP2" s="91">
        <f ca="1">CELL("largeur",BP2)</f>
        <v>11</v>
      </c>
      <c r="BQ2" s="91">
        <f ca="1">CELL("largeur",BQ2)</f>
        <v>11</v>
      </c>
      <c r="BR2" s="91">
        <f ca="1">CELL("largeur",BR2)</f>
        <v>11</v>
      </c>
      <c r="BS2" s="141"/>
      <c r="BT2" s="91">
        <f t="shared" ref="BT2:BY2" ca="1" si="9">CELL("largeur",BT2)</f>
        <v>14</v>
      </c>
      <c r="BU2" s="91">
        <f t="shared" ca="1" si="9"/>
        <v>14</v>
      </c>
      <c r="BV2" s="91">
        <f t="shared" ca="1" si="9"/>
        <v>14</v>
      </c>
      <c r="BW2" s="91">
        <f t="shared" ca="1" si="9"/>
        <v>14</v>
      </c>
      <c r="BX2" s="91">
        <f t="shared" ca="1" si="9"/>
        <v>14</v>
      </c>
      <c r="BY2" s="91">
        <f t="shared" ca="1" si="9"/>
        <v>14</v>
      </c>
      <c r="CA2" s="91">
        <f t="shared" ref="CA2:CF2" ca="1" si="10">CELL("largeur",CA2)</f>
        <v>14</v>
      </c>
      <c r="CB2" s="91">
        <f t="shared" ca="1" si="10"/>
        <v>14</v>
      </c>
      <c r="CC2" s="91">
        <f t="shared" ca="1" si="10"/>
        <v>14</v>
      </c>
      <c r="CD2" s="91">
        <f t="shared" ca="1" si="10"/>
        <v>14</v>
      </c>
      <c r="CE2" s="91">
        <f t="shared" ca="1" si="10"/>
        <v>14</v>
      </c>
      <c r="CF2" s="91">
        <f t="shared" ca="1" si="10"/>
        <v>14</v>
      </c>
      <c r="CH2" s="91">
        <f t="shared" ref="CH2:CM2" ca="1" si="11">CELL("largeur",CH2)</f>
        <v>14</v>
      </c>
      <c r="CI2" s="91">
        <f t="shared" ca="1" si="11"/>
        <v>14</v>
      </c>
      <c r="CJ2" s="91">
        <f t="shared" ca="1" si="11"/>
        <v>14</v>
      </c>
      <c r="CK2" s="91">
        <f t="shared" ca="1" si="11"/>
        <v>14</v>
      </c>
      <c r="CL2" s="91">
        <f t="shared" ca="1" si="11"/>
        <v>14</v>
      </c>
      <c r="CM2" s="91">
        <f t="shared" ca="1" si="11"/>
        <v>14</v>
      </c>
      <c r="CN2" s="278"/>
      <c r="CO2" s="5">
        <v>1</v>
      </c>
      <c r="CP2" s="440"/>
      <c r="CQ2" s="440" t="s">
        <v>295</v>
      </c>
    </row>
    <row r="3" spans="1:95" ht="21">
      <c r="A3" s="20" t="s">
        <v>21</v>
      </c>
      <c r="B3" s="426"/>
      <c r="C3" s="423"/>
      <c r="D3" s="423"/>
      <c r="E3" s="423"/>
      <c r="F3" s="423"/>
      <c r="G3" s="423"/>
      <c r="I3" s="7575" t="s">
        <v>252</v>
      </c>
      <c r="J3" s="438"/>
      <c r="K3" s="437"/>
      <c r="L3" s="437"/>
      <c r="M3" s="434"/>
      <c r="N3" s="434"/>
      <c r="O3" s="434"/>
      <c r="P3" s="436"/>
      <c r="Q3" s="434"/>
      <c r="R3" s="434"/>
      <c r="S3" s="434"/>
      <c r="T3" s="434"/>
      <c r="U3" s="434"/>
      <c r="V3" s="434"/>
      <c r="W3" s="434"/>
      <c r="X3" s="434"/>
      <c r="Y3" s="434"/>
      <c r="Z3" s="434"/>
      <c r="AA3" s="434"/>
      <c r="AB3" s="434"/>
      <c r="AC3" s="434"/>
      <c r="AD3" s="434"/>
      <c r="AE3" s="434"/>
      <c r="AF3" s="434"/>
      <c r="AG3" s="435" t="s">
        <v>294</v>
      </c>
      <c r="AH3" s="435"/>
      <c r="AI3" s="434"/>
      <c r="AJ3" s="434"/>
      <c r="AK3" s="433"/>
      <c r="AL3" s="434"/>
      <c r="AM3" s="434"/>
      <c r="AN3" s="434"/>
      <c r="AO3" s="434"/>
      <c r="AP3" s="434"/>
      <c r="AQ3" s="434"/>
      <c r="AR3" s="433"/>
      <c r="AS3" s="433" t="s">
        <v>293</v>
      </c>
      <c r="AT3" s="432" t="str">
        <f>$CO$605</f>
        <v>CO605</v>
      </c>
      <c r="AU3" s="357"/>
      <c r="AV3" s="357"/>
      <c r="AW3" s="357"/>
      <c r="AX3" s="357"/>
      <c r="AY3" s="357"/>
      <c r="AZ3" s="357"/>
      <c r="BA3" s="357"/>
      <c r="BB3" s="357"/>
      <c r="BC3" s="357"/>
      <c r="BD3" s="357"/>
      <c r="BE3" s="357"/>
      <c r="BF3" s="357"/>
      <c r="BG3" s="357"/>
      <c r="BH3" s="357"/>
      <c r="BI3" s="357"/>
      <c r="BJ3" s="357"/>
      <c r="BK3" s="62"/>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278"/>
      <c r="CO3" s="5">
        <v>1</v>
      </c>
      <c r="CP3" s="430">
        <f ca="1">COUNTA(A1:CN604) + COUNTBLANK(A1:CN604)</f>
        <v>56355</v>
      </c>
      <c r="CQ3" s="429" t="str">
        <f>"cellules entre"&amp;" " &amp;A1&amp;" et  "&amp;CO605</f>
        <v>cellules entre A1 et  CO605</v>
      </c>
    </row>
    <row r="4" spans="1:95" ht="21">
      <c r="A4" s="20" t="s">
        <v>21</v>
      </c>
      <c r="B4" s="424" t="s">
        <v>15</v>
      </c>
      <c r="C4" s="423"/>
      <c r="D4" s="423"/>
      <c r="E4" s="423"/>
      <c r="F4" s="423"/>
      <c r="G4" s="423"/>
      <c r="I4" s="7576"/>
      <c r="J4" s="418"/>
      <c r="K4" s="417"/>
      <c r="L4" s="417"/>
      <c r="M4" s="5178" t="str">
        <f ca="1">"◄ "&amp; IF(COUNTIF(A2:I2, "&lt;0.5")&gt;0, COUNTIF(A2:I2, "&lt;0.5") &amp; " colonnes masquées", " De A à I, pas de colonnes masquées")</f>
        <v>◄  De A à I, pas de colonnes masquées</v>
      </c>
      <c r="N4" s="414"/>
      <c r="O4" s="414"/>
      <c r="P4" s="431"/>
      <c r="Q4" s="414"/>
      <c r="R4" s="414"/>
      <c r="S4" s="414"/>
      <c r="T4" s="414"/>
      <c r="U4" s="414"/>
      <c r="V4" s="414"/>
      <c r="W4" s="414"/>
      <c r="X4" s="414"/>
      <c r="Y4" s="414"/>
      <c r="Z4" s="414"/>
      <c r="AA4" s="414"/>
      <c r="AB4" s="414"/>
      <c r="AC4" s="414"/>
      <c r="AD4" s="414"/>
      <c r="AE4" s="414"/>
      <c r="AF4" s="414"/>
      <c r="AG4" s="147" t="s">
        <v>292</v>
      </c>
      <c r="AH4" s="147"/>
      <c r="AI4" s="414"/>
      <c r="AJ4" s="414"/>
      <c r="AK4" s="421"/>
      <c r="AL4" s="414"/>
      <c r="AM4" s="414"/>
      <c r="AN4" s="414"/>
      <c r="AO4" s="414"/>
      <c r="AP4" s="414"/>
      <c r="AQ4" s="414"/>
      <c r="AR4" s="421"/>
      <c r="AS4" s="420"/>
      <c r="AT4" s="409"/>
      <c r="AU4" s="357"/>
      <c r="AV4" s="357"/>
      <c r="AW4" s="357"/>
      <c r="AX4" s="357"/>
      <c r="AY4" s="357"/>
      <c r="AZ4" s="357"/>
      <c r="BA4" s="357"/>
      <c r="BB4" s="357"/>
      <c r="BC4" s="357"/>
      <c r="BD4" s="357"/>
      <c r="BE4" s="357"/>
      <c r="BF4" s="357"/>
      <c r="BG4" s="357"/>
      <c r="BH4" s="357"/>
      <c r="BI4" s="357"/>
      <c r="BJ4" s="357"/>
      <c r="BK4" s="62"/>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278"/>
      <c r="CO4" s="5">
        <v>1</v>
      </c>
      <c r="CP4" s="430">
        <f ca="1">COUNTA(A1:CN604)</f>
        <v>12765</v>
      </c>
      <c r="CQ4" s="429" t="s">
        <v>291</v>
      </c>
    </row>
    <row r="5" spans="1:95" ht="21">
      <c r="A5" s="20" t="s">
        <v>21</v>
      </c>
      <c r="B5" s="5491" t="str">
        <f t="shared" ref="B5:G5" si="12">SUBSTITUTE(ADDRESS(1,COLUMN(),4),"1","")</f>
        <v>B</v>
      </c>
      <c r="C5" s="5491" t="str">
        <f t="shared" si="12"/>
        <v>C</v>
      </c>
      <c r="D5" s="5491" t="str">
        <f t="shared" si="12"/>
        <v>D</v>
      </c>
      <c r="E5" s="5491" t="str">
        <f t="shared" si="12"/>
        <v>E</v>
      </c>
      <c r="F5" s="5491" t="str">
        <f t="shared" si="12"/>
        <v>F</v>
      </c>
      <c r="G5" s="5491" t="str">
        <f t="shared" si="12"/>
        <v>G</v>
      </c>
      <c r="I5" s="7576"/>
      <c r="J5" s="418"/>
      <c r="K5" s="417"/>
      <c r="L5" s="417"/>
      <c r="M5" s="5179" t="str">
        <f>"Pour Filter affichez les colonnes " &amp; IF(B5&lt;&gt;"",B5 &amp; " ","") &amp; IF(C5&lt;&gt;"",C5 &amp; " ","") &amp; IF(D5&lt;&gt;"",D5 &amp; " ","") &amp; IF(E5&lt;&gt;"",E5 &amp; " ","") &amp; IF(F5&lt;&gt;"",F5 &amp; " ","") &amp; IF(G5&lt;&gt;"",G5 &amp; " ","")</f>
        <v xml:space="preserve">Pour Filter affichez les colonnes B C D E F G </v>
      </c>
      <c r="N5" s="414"/>
      <c r="O5" s="414"/>
      <c r="P5" s="5181"/>
      <c r="Q5" s="414"/>
      <c r="R5" s="414"/>
      <c r="S5" s="431" t="s">
        <v>290</v>
      </c>
      <c r="T5" s="414"/>
      <c r="U5" s="414"/>
      <c r="V5" s="414"/>
      <c r="W5" s="414"/>
      <c r="X5" s="414"/>
      <c r="Y5" s="414"/>
      <c r="Z5" s="414"/>
      <c r="AA5" s="414"/>
      <c r="AB5" s="414"/>
      <c r="AC5" s="414"/>
      <c r="AD5" s="414"/>
      <c r="AE5" s="414"/>
      <c r="AF5" s="414"/>
      <c r="AG5" s="425" t="s">
        <v>289</v>
      </c>
      <c r="AH5" s="147"/>
      <c r="AI5" s="414"/>
      <c r="AJ5" s="414"/>
      <c r="AK5" s="102" t="s">
        <v>58</v>
      </c>
      <c r="AL5" s="414"/>
      <c r="AM5" s="414"/>
      <c r="AN5" s="414"/>
      <c r="AO5" s="414"/>
      <c r="AP5" s="414"/>
      <c r="AQ5" s="414"/>
      <c r="AR5" s="421"/>
      <c r="AS5" s="420"/>
      <c r="AT5" s="409"/>
      <c r="AU5" s="357"/>
      <c r="AV5" s="357"/>
      <c r="AW5" s="357"/>
      <c r="AX5" s="357"/>
      <c r="AY5" s="357"/>
      <c r="AZ5" s="357"/>
      <c r="BA5" s="357"/>
      <c r="BB5" s="357"/>
      <c r="BC5" s="357"/>
      <c r="BD5" s="357"/>
      <c r="BE5" s="357"/>
      <c r="BF5" s="357"/>
      <c r="BG5" s="357"/>
      <c r="BH5" s="357"/>
      <c r="BI5" s="357"/>
      <c r="BJ5" s="357"/>
      <c r="BK5" s="62"/>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278"/>
      <c r="CO5" s="5">
        <v>1</v>
      </c>
      <c r="CP5" s="430">
        <f ca="1">COUNTBLANK(A1:CN604)</f>
        <v>43590</v>
      </c>
      <c r="CQ5" s="429" t="s">
        <v>288</v>
      </c>
    </row>
    <row r="6" spans="1:95" ht="21">
      <c r="A6" s="20" t="s">
        <v>21</v>
      </c>
      <c r="B6" s="5491">
        <f>ROUNDUP(LEN(B17)*0.5/2,0)</f>
        <v>2</v>
      </c>
      <c r="C6" s="5491">
        <f>ROUNDUP(LEN(C17)*1,0)</f>
        <v>5</v>
      </c>
      <c r="D6" s="5491">
        <f>ROUNDUP(LEN(D17)*1.2,0)</f>
        <v>6</v>
      </c>
      <c r="E6" s="5491">
        <f>ROUNDUP(LEN(E17)*0.9,0)</f>
        <v>5</v>
      </c>
      <c r="F6" s="5491">
        <f>ROUNDUP(LEN(F17)*0.9,0)</f>
        <v>5</v>
      </c>
      <c r="G6" s="5491">
        <f>ROUNDUP(LEN(G17)*0.7,0)</f>
        <v>4</v>
      </c>
      <c r="I6" s="7576"/>
      <c r="J6" s="418"/>
      <c r="K6" s="417"/>
      <c r="L6" s="417"/>
      <c r="M6" s="5180" t="str">
        <f>"largeurs de lecture ="&amp;B6&amp;" "&amp;C6&amp;" "&amp;D6&amp;" "&amp;E6&amp;" "&amp;F6&amp;" "&amp;G6</f>
        <v>largeurs de lecture =2 5 6 5 5 4</v>
      </c>
      <c r="N6" s="414"/>
      <c r="O6" s="414"/>
      <c r="P6" s="5181"/>
      <c r="Q6" s="414"/>
      <c r="R6" s="414"/>
      <c r="S6" s="431" t="s">
        <v>7863</v>
      </c>
      <c r="T6" s="414"/>
      <c r="U6" s="414"/>
      <c r="V6" s="414"/>
      <c r="W6" s="414"/>
      <c r="X6" s="414"/>
      <c r="Y6" s="414"/>
      <c r="Z6" s="414"/>
      <c r="AA6" s="414"/>
      <c r="AB6" s="414"/>
      <c r="AC6" s="414"/>
      <c r="AD6" s="414"/>
      <c r="AE6" s="414"/>
      <c r="AF6" s="414"/>
      <c r="AG6" s="422" t="s">
        <v>287</v>
      </c>
      <c r="AH6" s="147"/>
      <c r="AI6" s="414"/>
      <c r="AJ6" s="414"/>
      <c r="AK6" s="261" t="s">
        <v>42</v>
      </c>
      <c r="AL6" s="414"/>
      <c r="AM6" s="414"/>
      <c r="AN6" s="414"/>
      <c r="AO6" s="414"/>
      <c r="AP6" s="414"/>
      <c r="AQ6" s="414"/>
      <c r="AR6" s="421"/>
      <c r="AS6" s="420"/>
      <c r="AT6" s="409"/>
      <c r="AU6" s="357"/>
      <c r="AV6" s="357"/>
      <c r="AW6" s="357"/>
      <c r="AX6" s="357"/>
      <c r="AY6" s="357"/>
      <c r="AZ6" s="357"/>
      <c r="BA6" s="357"/>
      <c r="BB6" s="357"/>
      <c r="BC6" s="357"/>
      <c r="BD6" s="357"/>
      <c r="BE6" s="357"/>
      <c r="BF6" s="357"/>
      <c r="BG6" s="357"/>
      <c r="BH6" s="357"/>
      <c r="BI6" s="357"/>
      <c r="BJ6" s="357"/>
      <c r="BK6" s="62"/>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278"/>
      <c r="CO6" s="5">
        <v>1</v>
      </c>
      <c r="CP6" s="430">
        <f>SUM(CO1:CO603)+2</f>
        <v>605</v>
      </c>
      <c r="CQ6" s="429" t="s">
        <v>286</v>
      </c>
    </row>
    <row r="7" spans="1:95" ht="21">
      <c r="A7" s="20" t="s">
        <v>21</v>
      </c>
      <c r="B7" s="426"/>
      <c r="C7" s="423"/>
      <c r="D7" s="423"/>
      <c r="E7" s="423"/>
      <c r="F7" s="423"/>
      <c r="G7" s="423"/>
      <c r="I7" s="7576"/>
      <c r="J7" s="418"/>
      <c r="K7" s="417"/>
      <c r="L7" s="417"/>
      <c r="M7" s="414"/>
      <c r="N7" s="414"/>
      <c r="O7" s="414"/>
      <c r="P7" s="5181"/>
      <c r="Q7" s="414"/>
      <c r="R7" s="414"/>
      <c r="S7" s="431" t="s">
        <v>7864</v>
      </c>
      <c r="T7" s="414"/>
      <c r="U7" s="414"/>
      <c r="V7" s="414"/>
      <c r="W7" s="414"/>
      <c r="X7" s="414"/>
      <c r="Y7" s="414"/>
      <c r="Z7" s="414"/>
      <c r="AA7" s="414"/>
      <c r="AB7" s="414"/>
      <c r="AC7" s="414"/>
      <c r="AD7" s="414"/>
      <c r="AE7" s="414"/>
      <c r="AF7" s="414"/>
      <c r="AG7" s="413" t="s">
        <v>285</v>
      </c>
      <c r="AH7" s="413"/>
      <c r="AI7" s="414"/>
      <c r="AJ7" s="414"/>
      <c r="AK7" s="421"/>
      <c r="AL7" s="141"/>
      <c r="AM7" s="141"/>
      <c r="AN7" s="141"/>
      <c r="AO7" s="141"/>
      <c r="AP7" s="141"/>
      <c r="AQ7" s="414"/>
      <c r="AR7" s="421"/>
      <c r="AS7" s="420"/>
      <c r="AT7" s="409"/>
      <c r="AU7" s="357"/>
      <c r="AV7" s="357"/>
      <c r="AW7" s="357"/>
      <c r="AX7" s="357"/>
      <c r="AY7" s="357"/>
      <c r="AZ7" s="357"/>
      <c r="BA7" s="357"/>
      <c r="BB7" s="357"/>
      <c r="BC7" s="357"/>
      <c r="BD7" s="357"/>
      <c r="BE7" s="357"/>
      <c r="BF7" s="357"/>
      <c r="BG7" s="357"/>
      <c r="BH7" s="357"/>
      <c r="BI7" s="357"/>
      <c r="BJ7" s="357"/>
      <c r="BK7" s="62"/>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278"/>
      <c r="CO7" s="5">
        <v>1</v>
      </c>
      <c r="CP7" s="430">
        <f>SUM(A605:CN605)+1</f>
        <v>73</v>
      </c>
      <c r="CQ7" s="429" t="s">
        <v>284</v>
      </c>
    </row>
    <row r="8" spans="1:95" ht="21">
      <c r="A8" s="20" t="s">
        <v>21</v>
      </c>
      <c r="B8" s="426"/>
      <c r="C8" s="423"/>
      <c r="D8" s="423"/>
      <c r="E8" s="423"/>
      <c r="F8" s="423"/>
      <c r="G8" s="423"/>
      <c r="I8" s="7576"/>
      <c r="J8" s="418"/>
      <c r="K8" s="417"/>
      <c r="L8" s="417"/>
      <c r="M8" s="414"/>
      <c r="N8" s="414"/>
      <c r="O8" s="414"/>
      <c r="P8" s="5181"/>
      <c r="Q8" s="414"/>
      <c r="R8" s="414"/>
      <c r="S8" s="428" t="s">
        <v>283</v>
      </c>
      <c r="T8" s="414"/>
      <c r="U8" s="414"/>
      <c r="V8" s="414"/>
      <c r="W8" s="414"/>
      <c r="X8" s="414"/>
      <c r="Y8" s="414"/>
      <c r="Z8" s="414"/>
      <c r="AA8" s="414"/>
      <c r="AB8" s="414"/>
      <c r="AC8" s="414"/>
      <c r="AD8" s="414"/>
      <c r="AE8" s="414"/>
      <c r="AF8" s="414"/>
      <c r="AG8" s="413" t="s">
        <v>282</v>
      </c>
      <c r="AH8" s="414"/>
      <c r="AI8" s="414"/>
      <c r="AJ8" s="414"/>
      <c r="AK8" s="141"/>
      <c r="AL8" s="413"/>
      <c r="AM8" s="414"/>
      <c r="AN8" s="414"/>
      <c r="AO8" s="421"/>
      <c r="AP8" s="414"/>
      <c r="AQ8" s="414"/>
      <c r="AR8" s="421"/>
      <c r="AS8" s="420"/>
      <c r="AT8" s="409"/>
      <c r="AU8" s="357"/>
      <c r="AV8" s="357"/>
      <c r="AW8" s="357"/>
      <c r="AX8" s="357"/>
      <c r="AY8" s="357"/>
      <c r="AZ8" s="357"/>
      <c r="BA8" s="357"/>
      <c r="BB8" s="357"/>
      <c r="BC8" s="357"/>
      <c r="BD8" s="357"/>
      <c r="BE8" s="357"/>
      <c r="BF8" s="357"/>
      <c r="BG8" s="357"/>
      <c r="BH8" s="357"/>
      <c r="BI8" s="357"/>
      <c r="BJ8" s="357"/>
      <c r="BK8" s="141"/>
      <c r="BL8" s="141"/>
      <c r="BM8" s="141"/>
      <c r="BN8" s="141"/>
      <c r="BO8" s="141"/>
      <c r="BP8" s="97"/>
      <c r="BQ8" s="97"/>
      <c r="BR8" s="97"/>
      <c r="BS8" s="141"/>
      <c r="BT8" s="97"/>
      <c r="BU8" s="97"/>
      <c r="BV8" s="97"/>
      <c r="BW8" s="97"/>
      <c r="BX8" s="97"/>
      <c r="BY8" s="97"/>
      <c r="BZ8" s="97"/>
      <c r="CA8" s="97"/>
      <c r="CB8" s="97"/>
      <c r="CC8" s="97"/>
      <c r="CD8" s="97"/>
      <c r="CE8" s="97"/>
      <c r="CF8" s="97"/>
      <c r="CG8" s="97"/>
      <c r="CH8" s="97"/>
      <c r="CI8" s="97"/>
      <c r="CJ8" s="97"/>
      <c r="CK8" s="97"/>
      <c r="CL8" s="97"/>
      <c r="CM8" s="97"/>
      <c r="CN8" s="278"/>
      <c r="CO8" s="5">
        <v>1</v>
      </c>
    </row>
    <row r="9" spans="1:95" ht="21">
      <c r="A9" s="20" t="s">
        <v>21</v>
      </c>
      <c r="B9" s="426"/>
      <c r="C9" s="423"/>
      <c r="D9" s="423"/>
      <c r="E9" s="423"/>
      <c r="F9" s="423"/>
      <c r="G9" s="423"/>
      <c r="I9" s="7576"/>
      <c r="J9" s="418"/>
      <c r="K9" s="417"/>
      <c r="L9" s="417"/>
      <c r="M9" s="414"/>
      <c r="N9" s="414"/>
      <c r="O9" s="414"/>
      <c r="P9" s="5181"/>
      <c r="Q9" s="414"/>
      <c r="R9" s="414"/>
      <c r="S9" s="427" t="s">
        <v>281</v>
      </c>
      <c r="T9" s="414"/>
      <c r="U9" s="414"/>
      <c r="V9" s="414"/>
      <c r="W9" s="414"/>
      <c r="X9" s="414"/>
      <c r="Y9" s="414"/>
      <c r="Z9" s="414"/>
      <c r="AA9" s="414"/>
      <c r="AB9" s="414"/>
      <c r="AC9" s="414"/>
      <c r="AD9" s="414"/>
      <c r="AE9" s="414"/>
      <c r="AF9" s="414"/>
      <c r="AG9" s="147" t="s">
        <v>280</v>
      </c>
      <c r="AH9" s="414"/>
      <c r="AI9" s="414"/>
      <c r="AJ9" s="414"/>
      <c r="AK9" s="414"/>
      <c r="AL9" s="141"/>
      <c r="AM9" s="414"/>
      <c r="AN9" s="414"/>
      <c r="AO9" s="421"/>
      <c r="AP9" s="414"/>
      <c r="AQ9" s="414"/>
      <c r="AR9" s="421"/>
      <c r="AS9" s="420"/>
      <c r="AT9" s="409"/>
      <c r="AU9" s="357"/>
      <c r="AV9" s="357"/>
      <c r="AW9" s="357"/>
      <c r="AX9" s="357"/>
      <c r="AY9" s="357"/>
      <c r="AZ9" s="357"/>
      <c r="BA9" s="357"/>
      <c r="BB9" s="357"/>
      <c r="BC9" s="357"/>
      <c r="BD9" s="357"/>
      <c r="BE9" s="357"/>
      <c r="BF9" s="357"/>
      <c r="BG9" s="357"/>
      <c r="BH9" s="357"/>
      <c r="BI9" s="357"/>
      <c r="BJ9" s="357"/>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278"/>
      <c r="CO9" s="5">
        <v>1</v>
      </c>
    </row>
    <row r="10" spans="1:95" ht="21" customHeight="1">
      <c r="A10" s="20" t="s">
        <v>21</v>
      </c>
      <c r="B10" s="426"/>
      <c r="C10" s="423"/>
      <c r="D10" s="423"/>
      <c r="E10" s="423"/>
      <c r="F10" s="423"/>
      <c r="G10" s="423"/>
      <c r="I10" s="7576"/>
      <c r="J10" s="418"/>
      <c r="K10" s="417"/>
      <c r="L10" s="417"/>
      <c r="M10" s="414"/>
      <c r="N10" s="414"/>
      <c r="O10" s="414"/>
      <c r="P10" s="5181"/>
      <c r="Q10" s="414"/>
      <c r="R10" s="414"/>
      <c r="S10" s="413" t="s">
        <v>279</v>
      </c>
      <c r="T10" s="414"/>
      <c r="U10" s="414"/>
      <c r="V10" s="414"/>
      <c r="W10" s="414"/>
      <c r="X10" s="414"/>
      <c r="Y10" s="414"/>
      <c r="Z10" s="414"/>
      <c r="AA10" s="414"/>
      <c r="AB10" s="414"/>
      <c r="AC10" s="414"/>
      <c r="AD10" s="414"/>
      <c r="AE10" s="414"/>
      <c r="AF10" s="414"/>
      <c r="AG10" s="147" t="s">
        <v>278</v>
      </c>
      <c r="AH10" s="414"/>
      <c r="AI10" s="414"/>
      <c r="AJ10" s="414"/>
      <c r="AK10" s="414"/>
      <c r="AL10" s="141"/>
      <c r="AM10" s="414"/>
      <c r="AN10" s="414"/>
      <c r="AO10" s="421"/>
      <c r="AP10" s="414"/>
      <c r="AQ10" s="414"/>
      <c r="AR10" s="421"/>
      <c r="AS10" s="420"/>
      <c r="AT10" s="409"/>
      <c r="AU10" s="357"/>
      <c r="AV10" s="357"/>
      <c r="AW10" s="357"/>
      <c r="AX10" s="357"/>
      <c r="AY10" s="357"/>
      <c r="AZ10" s="357"/>
      <c r="BA10" s="357"/>
      <c r="BB10" s="357"/>
      <c r="BC10" s="357"/>
      <c r="BD10" s="357"/>
      <c r="BE10" s="357"/>
      <c r="BF10" s="357"/>
      <c r="BG10" s="357"/>
      <c r="BH10" s="357"/>
      <c r="BI10" s="357"/>
      <c r="BJ10" s="357"/>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278"/>
      <c r="CO10" s="5">
        <v>1</v>
      </c>
    </row>
    <row r="11" spans="1:95" ht="21">
      <c r="A11" s="20" t="s">
        <v>21</v>
      </c>
      <c r="B11" s="426"/>
      <c r="C11" s="423"/>
      <c r="D11" s="423"/>
      <c r="E11" s="423"/>
      <c r="F11" s="423"/>
      <c r="G11" s="423"/>
      <c r="I11" s="7576"/>
      <c r="J11" s="418"/>
      <c r="K11" s="417"/>
      <c r="L11" s="417"/>
      <c r="M11" s="414"/>
      <c r="N11" s="414"/>
      <c r="O11" s="414"/>
      <c r="P11" s="5181"/>
      <c r="Q11" s="414"/>
      <c r="R11" s="414"/>
      <c r="S11" s="413" t="s">
        <v>277</v>
      </c>
      <c r="T11" s="414"/>
      <c r="U11" s="414"/>
      <c r="V11" s="414"/>
      <c r="W11" s="414"/>
      <c r="X11" s="414"/>
      <c r="Y11" s="414"/>
      <c r="Z11" s="414"/>
      <c r="AA11" s="414"/>
      <c r="AB11" s="414"/>
      <c r="AC11" s="414"/>
      <c r="AD11" s="414"/>
      <c r="AE11" s="414"/>
      <c r="AF11" s="414"/>
      <c r="AG11" s="425" t="s">
        <v>276</v>
      </c>
      <c r="AH11" s="414"/>
      <c r="AI11" s="414"/>
      <c r="AJ11" s="414"/>
      <c r="AK11" t="s">
        <v>45</v>
      </c>
      <c r="AL11" s="141"/>
      <c r="AM11" s="414"/>
      <c r="AN11" s="414"/>
      <c r="AO11" s="421"/>
      <c r="AP11" s="414"/>
      <c r="AQ11" s="414"/>
      <c r="AR11" s="421"/>
      <c r="AS11" s="420"/>
      <c r="AT11" s="409"/>
      <c r="AU11" s="357"/>
      <c r="AV11" s="357"/>
      <c r="AW11" s="357"/>
      <c r="AX11" s="357"/>
      <c r="AY11" s="357"/>
      <c r="AZ11" s="357"/>
      <c r="BA11" s="357"/>
      <c r="BB11" s="357"/>
      <c r="BC11" s="357"/>
      <c r="BD11" s="357"/>
      <c r="BE11" s="357"/>
      <c r="BF11" s="357"/>
      <c r="BG11" s="357"/>
      <c r="BH11" s="357"/>
      <c r="BI11" s="357"/>
      <c r="BJ11" s="357"/>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278"/>
      <c r="CO11" s="5">
        <v>1</v>
      </c>
    </row>
    <row r="12" spans="1:95" ht="21">
      <c r="A12" s="20" t="s">
        <v>21</v>
      </c>
      <c r="B12" s="426"/>
      <c r="C12" s="423"/>
      <c r="D12" s="423"/>
      <c r="E12" s="423"/>
      <c r="F12" s="423"/>
      <c r="G12" s="423"/>
      <c r="I12" s="7576"/>
      <c r="J12" s="418"/>
      <c r="K12" s="417"/>
      <c r="L12" s="417"/>
      <c r="M12" s="414"/>
      <c r="N12" s="414"/>
      <c r="O12" s="414"/>
      <c r="P12" s="413"/>
      <c r="Q12" s="414"/>
      <c r="R12" s="414"/>
      <c r="S12" s="414"/>
      <c r="T12" s="414"/>
      <c r="U12" s="415" t="s">
        <v>275</v>
      </c>
      <c r="V12" s="414"/>
      <c r="W12" s="414"/>
      <c r="X12" s="414"/>
      <c r="Y12" s="414"/>
      <c r="Z12" s="414"/>
      <c r="AA12" s="414"/>
      <c r="AB12" s="414"/>
      <c r="AC12" s="414"/>
      <c r="AD12" s="414"/>
      <c r="AE12" s="414"/>
      <c r="AF12" s="414"/>
      <c r="AG12" s="422" t="s">
        <v>274</v>
      </c>
      <c r="AH12" s="414"/>
      <c r="AI12" s="414"/>
      <c r="AJ12" s="414"/>
      <c r="AK12" s="148" t="s">
        <v>42</v>
      </c>
      <c r="AL12" s="141"/>
      <c r="AM12" s="414"/>
      <c r="AN12" s="414"/>
      <c r="AO12" s="421"/>
      <c r="AP12" s="414"/>
      <c r="AQ12" s="414"/>
      <c r="AR12" s="421"/>
      <c r="AS12" s="420"/>
      <c r="AT12" s="409"/>
      <c r="AU12" s="357"/>
      <c r="AV12" s="357"/>
      <c r="AW12" s="357"/>
      <c r="AX12" s="357"/>
      <c r="AY12" s="357"/>
      <c r="AZ12" s="357"/>
      <c r="BA12" s="357"/>
      <c r="BB12" s="357"/>
      <c r="BC12" s="357"/>
      <c r="BD12" s="357"/>
      <c r="BE12" s="357"/>
      <c r="BF12" s="357"/>
      <c r="BG12" s="357"/>
      <c r="BH12" s="357"/>
      <c r="BI12" s="357"/>
      <c r="BJ12" s="357"/>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278"/>
      <c r="CO12" s="5">
        <v>1</v>
      </c>
    </row>
    <row r="13" spans="1:95" ht="19.5" customHeight="1">
      <c r="A13" s="20" t="s">
        <v>21</v>
      </c>
      <c r="B13" s="426"/>
      <c r="C13" s="423"/>
      <c r="D13" s="423"/>
      <c r="E13" s="423"/>
      <c r="F13" s="423"/>
      <c r="G13" s="423"/>
      <c r="I13" s="7576"/>
      <c r="J13" s="418"/>
      <c r="K13" s="417"/>
      <c r="L13" s="417"/>
      <c r="M13" s="412"/>
      <c r="N13" s="412"/>
      <c r="O13" s="412"/>
      <c r="P13" s="413"/>
      <c r="Q13" s="414"/>
      <c r="R13" s="416" t="s">
        <v>273</v>
      </c>
      <c r="S13" s="416"/>
      <c r="T13" s="412"/>
      <c r="U13" s="415" t="s">
        <v>272</v>
      </c>
      <c r="V13" s="414"/>
      <c r="W13" s="412"/>
      <c r="X13" s="412"/>
      <c r="Y13" s="412"/>
      <c r="Z13" s="412"/>
      <c r="AA13" s="412"/>
      <c r="AB13" s="412"/>
      <c r="AC13" s="412"/>
      <c r="AD13" s="412"/>
      <c r="AE13" s="412"/>
      <c r="AF13" s="412"/>
      <c r="AG13" s="413" t="s">
        <v>271</v>
      </c>
      <c r="AH13" s="412"/>
      <c r="AI13" s="412"/>
      <c r="AJ13" s="412"/>
      <c r="AK13" s="412"/>
      <c r="AL13" s="141"/>
      <c r="AM13" s="412"/>
      <c r="AN13" s="412"/>
      <c r="AO13" s="411"/>
      <c r="AP13" s="412"/>
      <c r="AQ13" s="412"/>
      <c r="AR13" s="411"/>
      <c r="AS13" s="410"/>
      <c r="AT13" s="409"/>
      <c r="AU13" s="357"/>
      <c r="AV13" s="357"/>
      <c r="AW13" s="357"/>
      <c r="AX13" s="357"/>
      <c r="AY13" s="357"/>
      <c r="AZ13" s="357"/>
      <c r="BA13" s="357"/>
      <c r="BB13" s="357"/>
      <c r="BC13" s="357"/>
      <c r="BD13" s="357"/>
      <c r="BE13" s="357"/>
      <c r="BF13" s="357"/>
      <c r="BG13" s="357"/>
      <c r="BH13" s="357"/>
      <c r="BI13" s="357"/>
      <c r="BJ13" s="357"/>
      <c r="BK13" s="141"/>
      <c r="BL13" s="141"/>
      <c r="BM13" s="141"/>
      <c r="BN13" s="141"/>
      <c r="BO13" s="141"/>
      <c r="BP13" s="97"/>
      <c r="BQ13" s="97"/>
      <c r="BR13" s="97"/>
      <c r="BS13" s="141"/>
      <c r="BT13" s="97"/>
      <c r="BU13" s="97"/>
      <c r="BV13" s="97"/>
      <c r="BW13" s="97"/>
      <c r="BX13" s="97"/>
      <c r="BY13" s="97"/>
      <c r="BZ13" s="97"/>
      <c r="CA13" s="97"/>
      <c r="CB13" s="97"/>
      <c r="CC13" s="97"/>
      <c r="CD13" s="97"/>
      <c r="CE13" s="97"/>
      <c r="CF13" s="97"/>
      <c r="CG13" s="97"/>
      <c r="CH13" s="97"/>
      <c r="CI13" s="97"/>
      <c r="CJ13" s="97"/>
      <c r="CK13" s="97"/>
      <c r="CL13" s="97"/>
      <c r="CM13" s="97"/>
      <c r="CN13" s="278"/>
      <c r="CO13" s="5">
        <v>1</v>
      </c>
    </row>
    <row r="14" spans="1:95" ht="19.5" customHeight="1" thickBot="1">
      <c r="A14" s="20" t="s">
        <v>21</v>
      </c>
      <c r="B14" s="426"/>
      <c r="C14" s="423"/>
      <c r="D14" s="423"/>
      <c r="E14" s="423"/>
      <c r="F14" s="423"/>
      <c r="G14" s="423"/>
      <c r="I14" s="7577"/>
      <c r="J14" s="407"/>
      <c r="K14" s="406"/>
      <c r="L14" s="406"/>
      <c r="M14" s="402"/>
      <c r="N14" s="402"/>
      <c r="O14" s="402"/>
      <c r="P14" s="405"/>
      <c r="Q14" s="404"/>
      <c r="R14" s="404"/>
      <c r="S14" s="404"/>
      <c r="T14" s="402"/>
      <c r="U14" s="402"/>
      <c r="V14" s="402"/>
      <c r="W14" s="402"/>
      <c r="X14" s="402"/>
      <c r="Y14" s="402"/>
      <c r="Z14" s="402"/>
      <c r="AA14" s="402"/>
      <c r="AB14" s="402"/>
      <c r="AC14" s="402"/>
      <c r="AD14" s="402"/>
      <c r="AE14" s="402"/>
      <c r="AF14" s="402"/>
      <c r="AG14" s="403" t="s">
        <v>270</v>
      </c>
      <c r="AH14" s="402"/>
      <c r="AI14" s="402"/>
      <c r="AJ14" s="402"/>
      <c r="AK14" s="402"/>
      <c r="AL14" s="4741"/>
      <c r="AM14" s="402"/>
      <c r="AN14" s="402"/>
      <c r="AO14" s="401"/>
      <c r="AP14" s="402"/>
      <c r="AQ14" s="402"/>
      <c r="AR14" s="401"/>
      <c r="AS14" s="400"/>
      <c r="AT14" s="399"/>
      <c r="AU14" s="357"/>
      <c r="AV14" s="357"/>
      <c r="AW14" s="357"/>
      <c r="AX14" s="357"/>
      <c r="AY14" s="357"/>
      <c r="AZ14" s="357"/>
      <c r="BA14" s="357"/>
      <c r="BB14" s="357"/>
      <c r="BC14" s="357"/>
      <c r="BD14" s="357"/>
      <c r="BE14" s="357"/>
      <c r="BF14" s="357"/>
      <c r="BG14" s="357"/>
      <c r="BH14" s="357"/>
      <c r="BI14" s="357"/>
      <c r="BJ14" s="357"/>
      <c r="BK14" s="141"/>
      <c r="BL14" s="141"/>
      <c r="BM14" s="141"/>
      <c r="BN14" s="141"/>
      <c r="BO14" s="141"/>
      <c r="BP14" s="97"/>
      <c r="BQ14" s="97"/>
      <c r="BR14" s="97"/>
      <c r="BS14" s="141"/>
      <c r="BT14" s="97"/>
      <c r="BU14" s="97"/>
      <c r="BV14" s="97"/>
      <c r="BW14" s="97"/>
      <c r="BX14" s="97"/>
      <c r="BY14" s="97"/>
      <c r="BZ14" s="97"/>
      <c r="CA14" s="97"/>
      <c r="CB14" s="97"/>
      <c r="CC14" s="97"/>
      <c r="CD14" s="97"/>
      <c r="CE14" s="97"/>
      <c r="CF14" s="97"/>
      <c r="CG14" s="97"/>
      <c r="CH14" s="97"/>
      <c r="CI14" s="97"/>
      <c r="CJ14" s="97"/>
      <c r="CK14" s="97"/>
      <c r="CL14" s="97"/>
      <c r="CM14" s="97"/>
      <c r="CN14" s="278"/>
      <c r="CO14" s="5">
        <v>1</v>
      </c>
    </row>
    <row r="15" spans="1:95" ht="18.75">
      <c r="A15" s="20" t="s">
        <v>21</v>
      </c>
      <c r="B15" s="426"/>
      <c r="C15" s="423"/>
      <c r="D15" s="423"/>
      <c r="E15" s="423"/>
      <c r="F15" s="423"/>
      <c r="G15" s="423"/>
      <c r="I15" s="141"/>
      <c r="J15" s="141"/>
      <c r="K15" s="141"/>
      <c r="L15" s="398" t="s">
        <v>269</v>
      </c>
      <c r="M15" s="397" t="str">
        <f ca="1">CELL("nomfichier")</f>
        <v>D:\Données\1.UPRT\0-UPRT.fait\1-UPRT.FR-SITE-WEB\ff-fiches-fabrications\ff.fiches.fabrication.2023\ffr.restaurant.2023\[ff.REPERTOIRE.600.LIGNES.15.xlsx]Differents.postits.FR.EN.ES</v>
      </c>
      <c r="T15" s="43"/>
      <c r="U15" s="5470" t="s">
        <v>26</v>
      </c>
      <c r="V15" s="372" t="s">
        <v>261</v>
      </c>
      <c r="W15" s="372"/>
      <c r="X15" s="372"/>
      <c r="Y15" s="372"/>
      <c r="Z15" s="372"/>
      <c r="AA15" s="5471" t="s">
        <v>262</v>
      </c>
      <c r="AB15" s="5472" t="str">
        <f ca="1">IF(COUNTIF(A2:AF2,"&lt;0.5")=0,"Aucune colonne masquée",COUNTIF(A2:AF2,"&lt;0.5")&amp;" colonnes masquées : "&amp;(AG18&amp;AH18))</f>
        <v>Aucune colonne masquée</v>
      </c>
      <c r="AC15" s="383"/>
      <c r="AD15" s="383"/>
      <c r="AE15" s="383"/>
      <c r="AF15" s="141"/>
      <c r="AG15" s="141"/>
      <c r="AH15" s="141"/>
      <c r="AI15" s="141"/>
      <c r="AJ15" s="381"/>
      <c r="AK15" s="381"/>
      <c r="AL15" s="5473" t="str">
        <f ca="1">AS17&amp;" ►"</f>
        <v>Aucune colonne masquée ►</v>
      </c>
      <c r="AM15" s="372" t="s">
        <v>261</v>
      </c>
      <c r="AN15" s="372"/>
      <c r="AO15" s="372"/>
      <c r="AP15" s="372"/>
      <c r="AQ15" s="372"/>
      <c r="AR15" s="372"/>
      <c r="AS15" s="372"/>
      <c r="AT15" s="5468" t="str">
        <f>"◄ "&amp;AS1</f>
        <v>◄ AS</v>
      </c>
      <c r="AU15" s="357"/>
      <c r="AV15" s="357"/>
      <c r="AW15" s="357"/>
      <c r="AX15" s="357"/>
      <c r="AY15" s="357"/>
      <c r="AZ15" s="357"/>
      <c r="BA15" s="357"/>
      <c r="BB15" s="357"/>
      <c r="BC15" s="357"/>
      <c r="BD15" s="357"/>
      <c r="BE15" s="357"/>
      <c r="BF15" s="357"/>
      <c r="BG15" s="357"/>
      <c r="BH15" s="357"/>
      <c r="BI15" s="357"/>
      <c r="BJ15" s="357"/>
      <c r="BK15" s="62"/>
      <c r="BL15" s="391" t="s">
        <v>268</v>
      </c>
      <c r="BM15" s="390"/>
      <c r="BN15" s="97"/>
      <c r="BO15" s="97"/>
      <c r="BP15" s="97"/>
      <c r="BQ15" s="97"/>
      <c r="BR15" s="97"/>
      <c r="BS15" s="141"/>
      <c r="BT15" s="97"/>
      <c r="BU15" s="97"/>
      <c r="BV15" s="97"/>
      <c r="BW15" s="97"/>
      <c r="BX15" s="97"/>
      <c r="BY15" s="97"/>
      <c r="BZ15" s="97"/>
      <c r="CA15" s="97"/>
      <c r="CB15" s="97"/>
      <c r="CC15" s="97"/>
      <c r="CD15" s="97"/>
      <c r="CE15" s="97"/>
      <c r="CF15" s="97"/>
      <c r="CG15" s="97"/>
      <c r="CH15" s="97"/>
      <c r="CI15" s="97"/>
      <c r="CJ15" s="97"/>
      <c r="CK15" s="97"/>
      <c r="CL15" s="97"/>
      <c r="CM15" s="97"/>
      <c r="CN15" s="278"/>
      <c r="CO15" s="5">
        <v>1</v>
      </c>
    </row>
    <row r="16" spans="1:95" ht="15.75" customHeight="1" thickBot="1">
      <c r="A16" s="20" t="s">
        <v>21</v>
      </c>
      <c r="B16" s="426"/>
      <c r="C16" s="423"/>
      <c r="D16" s="423"/>
      <c r="E16" s="423"/>
      <c r="F16" s="423"/>
      <c r="G16" s="423"/>
      <c r="T16" s="43"/>
      <c r="U16" s="331"/>
      <c r="V16" s="373" t="s">
        <v>258</v>
      </c>
      <c r="W16" s="375"/>
      <c r="X16" s="375"/>
      <c r="Y16" s="375"/>
      <c r="Z16" s="371"/>
      <c r="AA16" s="141"/>
      <c r="AB16" s="141"/>
      <c r="AC16" s="141"/>
      <c r="AD16" s="141"/>
      <c r="AE16" s="374"/>
      <c r="AF16" s="141"/>
      <c r="AG16" s="141"/>
      <c r="AH16" s="141"/>
      <c r="AI16" s="141"/>
      <c r="AJ16" s="141"/>
      <c r="AK16" s="141"/>
      <c r="AL16" s="409"/>
      <c r="AM16" s="5194" t="s">
        <v>257</v>
      </c>
      <c r="AN16" s="372" t="s">
        <v>256</v>
      </c>
      <c r="AO16" s="372"/>
      <c r="AP16" s="372"/>
      <c r="AQ16" s="372"/>
      <c r="AR16" s="372"/>
      <c r="AS16" s="371" t="s">
        <v>255</v>
      </c>
      <c r="AT16" s="392"/>
      <c r="AU16" s="357"/>
      <c r="AV16" s="357"/>
      <c r="AW16" s="357"/>
      <c r="AX16" s="357"/>
      <c r="AY16" s="357"/>
      <c r="AZ16" s="357"/>
      <c r="BA16" s="357"/>
      <c r="BB16" s="357"/>
      <c r="BC16" s="357"/>
      <c r="BD16" s="357"/>
      <c r="BE16" s="357"/>
      <c r="BF16" s="357"/>
      <c r="BG16" s="357"/>
      <c r="BH16" s="357"/>
      <c r="BI16" s="357"/>
      <c r="BJ16" s="357"/>
      <c r="BK16" s="62"/>
      <c r="BL16" s="386" t="s">
        <v>267</v>
      </c>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278"/>
      <c r="CO16" s="5">
        <v>1</v>
      </c>
    </row>
    <row r="17" spans="1:93" ht="21" customHeight="1" thickBot="1">
      <c r="A17" s="385" t="s">
        <v>266</v>
      </c>
      <c r="B17" s="385" t="s">
        <v>265</v>
      </c>
      <c r="C17" s="385" t="s">
        <v>264</v>
      </c>
      <c r="D17" s="385" t="s">
        <v>263</v>
      </c>
      <c r="E17" s="385" t="s">
        <v>218</v>
      </c>
      <c r="F17" s="385" t="s">
        <v>217</v>
      </c>
      <c r="G17" s="384" t="s">
        <v>216</v>
      </c>
      <c r="I17" s="7592" t="s">
        <v>7856</v>
      </c>
      <c r="J17" s="7593"/>
      <c r="K17" s="7593"/>
      <c r="L17" s="7593"/>
      <c r="M17" s="7593"/>
      <c r="N17" s="7593"/>
      <c r="O17" s="7593"/>
      <c r="P17" s="7593"/>
      <c r="Q17" s="7593"/>
      <c r="R17" s="7593"/>
      <c r="S17" s="7594"/>
      <c r="T17" s="43"/>
      <c r="U17" s="7586" t="s">
        <v>7858</v>
      </c>
      <c r="V17" s="7587"/>
      <c r="W17" s="7587"/>
      <c r="X17" s="7587"/>
      <c r="Y17" s="7587"/>
      <c r="Z17" s="7587"/>
      <c r="AA17" s="7587"/>
      <c r="AB17" s="7587"/>
      <c r="AC17" s="7587"/>
      <c r="AD17" s="7587"/>
      <c r="AE17" s="7588"/>
      <c r="AF17" s="382"/>
      <c r="AG17" s="396"/>
      <c r="AH17" s="395"/>
      <c r="AI17" s="395"/>
      <c r="AJ17" s="395"/>
      <c r="AK17" s="394"/>
      <c r="AL17" s="393"/>
      <c r="AM17" s="392"/>
      <c r="AN17" s="392"/>
      <c r="AO17" s="392"/>
      <c r="AP17" s="392"/>
      <c r="AQ17" s="392"/>
      <c r="AR17" s="387"/>
      <c r="AS17" s="387" t="str">
        <f ca="1">IF(COUNTIF(AG2:AS2,"&lt;0.5")=0,"Aucune colonne masquée",COUNTIF(AG2:AS2,"&lt;0.5")&amp;" colonnes masquées : "&amp;(AI18&amp;AJ18))</f>
        <v>Aucune colonne masquée</v>
      </c>
      <c r="AT17" s="392"/>
      <c r="AU17" s="357"/>
      <c r="AV17" s="357"/>
      <c r="AW17" s="357"/>
      <c r="AX17" s="357"/>
      <c r="AY17" s="357"/>
      <c r="AZ17" s="357"/>
      <c r="BA17" s="357"/>
      <c r="BB17" s="357"/>
      <c r="BC17" s="357"/>
      <c r="BD17" s="357"/>
      <c r="BE17" s="357"/>
      <c r="BF17" s="357"/>
      <c r="BG17" s="357"/>
      <c r="BH17" s="357"/>
      <c r="BI17" s="357"/>
      <c r="BJ17" s="357"/>
      <c r="BK17" s="62"/>
      <c r="BL17" s="5419" t="s">
        <v>255</v>
      </c>
      <c r="BM17" s="62"/>
      <c r="BN17" s="380" t="s">
        <v>260</v>
      </c>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278"/>
      <c r="CO17" s="5">
        <v>1</v>
      </c>
    </row>
    <row r="18" spans="1:93" ht="19.5" thickBot="1">
      <c r="A18" s="5474" t="s">
        <v>21</v>
      </c>
      <c r="B18" s="379" t="s">
        <v>255</v>
      </c>
      <c r="C18" s="378" t="s">
        <v>259</v>
      </c>
      <c r="D18" s="377"/>
      <c r="E18" s="377"/>
      <c r="F18" s="377"/>
      <c r="G18" s="376" t="s">
        <v>255</v>
      </c>
      <c r="H18" s="1256" t="s">
        <v>1</v>
      </c>
      <c r="I18" s="7595"/>
      <c r="J18" s="7596"/>
      <c r="K18" s="7596"/>
      <c r="L18" s="7596"/>
      <c r="M18" s="7596"/>
      <c r="N18" s="7596"/>
      <c r="O18" s="7596"/>
      <c r="P18" s="7596"/>
      <c r="Q18" s="7596"/>
      <c r="R18" s="7596"/>
      <c r="S18" s="7597"/>
      <c r="T18" s="43"/>
      <c r="U18" s="7589"/>
      <c r="V18" s="7590"/>
      <c r="W18" s="7590"/>
      <c r="X18" s="7590"/>
      <c r="Y18" s="7590"/>
      <c r="Z18" s="7590"/>
      <c r="AA18" s="7590"/>
      <c r="AB18" s="7590"/>
      <c r="AC18" s="7590"/>
      <c r="AD18" s="7590"/>
      <c r="AE18" s="7591"/>
      <c r="AF18" s="141"/>
      <c r="AG18" s="5189" t="str">
        <f ca="1">IF(J2&lt;0.5,J1&amp;".","")&amp;IF(K2&lt;0.5,K1&amp;".","")&amp;IF(L2&lt;0.5,L1&amp;".","")&amp;IF(M2&lt;0.5,M1&amp;".","")&amp;IF(N2&lt;0.5,N1&amp;".","")&amp;IF(O2&lt;0.5,O1&amp;".","")&amp;IF(P2&lt;0.5,P1&amp;".","")&amp;IF(Q2&lt;0.5,Q1&amp;".","")&amp;IF(R2&lt;0.5,R1&amp;".","")&amp;IF(S2&lt;0.5,S1&amp;".","")&amp;IF(T2&lt;0.5,T1&amp;".","")&amp;IF(U2&lt;0.5,U1&amp;".","")&amp;IF(V2&lt;0.5,V1&amp;".","")</f>
        <v/>
      </c>
      <c r="AH18" s="5190" t="str">
        <f ca="1">IF(W2&lt;0.5,W1&amp;".","")&amp;IF(X2&lt;0.5,X1&amp;".","")&amp;IF(Y2&lt;0.5,Y1&amp;".","")&amp;IF(Z2&lt;0.5,Z1&amp;".","")&amp;IF(AA2&lt;0.5,AA1&amp;".","")&amp;IF(AB2&lt;0.5,AB1&amp;".","")&amp;IF(AC2&lt;0.5,AC1&amp;".","")&amp;IF(AC2&lt;0.5,AC1&amp;".","")&amp;IF(AD2&lt;0.5,AD1&amp;".","")&amp;IF(AE2&lt;0.5,AE1&amp;".","")&amp;IF(AF2&lt;0.5,AF1&amp;".","")</f>
        <v/>
      </c>
      <c r="AI18" s="5190" t="str">
        <f ca="1">IF(AG2&lt;0.5,AG1&amp;".","")&amp;IF(AH2&lt;0.5,AH1&amp;".","")&amp;IF(AI2&lt;0.5,AI1&amp;".","")&amp;IF(AJ2&lt;0.5,AJ1&amp;".","")&amp;IF(AK2&lt;0.5,AK1&amp;".","")&amp;IF(AL2&lt;0.5,AL1&amp;".","")&amp;IF(AM2&lt;0.5,AM1&amp;".","")</f>
        <v/>
      </c>
      <c r="AJ18" s="5190" t="str">
        <f ca="1">IF(AN2&lt;0.5,AN1&amp;".","")&amp;IF(AO2&lt;0.5,AO1&amp;".","")&amp;IF(AP2&lt;0.5,AP1&amp;".","")&amp;IF(AQ2&lt;0.5,AQ1&amp;".","")&amp;IF(AR2&lt;0.5,AR1&amp;".","")&amp;IF(AS2&lt;0.5,AS1&amp;".","")</f>
        <v/>
      </c>
      <c r="AK18" s="5190"/>
      <c r="AL18" s="5191"/>
      <c r="AM18" s="5192"/>
      <c r="AN18" s="5192"/>
      <c r="AO18" s="5192"/>
      <c r="AP18" s="5192"/>
      <c r="AQ18" s="5193"/>
      <c r="AR18" s="5193"/>
      <c r="AS18" s="5193" t="str">
        <f>ROWS(A18:A600)-SUBTOTAL(103,U18:U600)&amp;" "&amp;"Lignes masquables ou masquées"</f>
        <v>529 Lignes masquables ou masquées</v>
      </c>
      <c r="AT18" s="392"/>
      <c r="AU18" s="357"/>
      <c r="AV18" s="357"/>
      <c r="AW18" s="357"/>
      <c r="AX18" s="357"/>
      <c r="AY18" s="357"/>
      <c r="AZ18" s="357"/>
      <c r="BA18" s="357"/>
      <c r="BB18" s="357"/>
      <c r="BC18" s="357"/>
      <c r="BD18" s="357"/>
      <c r="BE18" s="357"/>
      <c r="BF18" s="357"/>
      <c r="BG18" s="357"/>
      <c r="BH18" s="357"/>
      <c r="BI18" s="357"/>
      <c r="BJ18" s="357"/>
      <c r="BK18" s="62"/>
      <c r="BL18" s="5474" t="str">
        <f t="shared" ref="BL18:BL81" si="13">A18</f>
        <v>A</v>
      </c>
      <c r="BN18" s="370" t="s">
        <v>254</v>
      </c>
      <c r="BO18" s="228"/>
      <c r="BP18" s="228"/>
      <c r="BQ18" s="227"/>
      <c r="BR18" s="227"/>
      <c r="BS18" s="141"/>
      <c r="CN18" s="278"/>
      <c r="CO18" s="5">
        <v>1</v>
      </c>
    </row>
    <row r="19" spans="1:93" ht="21" customHeight="1">
      <c r="A19" s="20" t="s">
        <v>21</v>
      </c>
      <c r="B19" s="7598" t="s">
        <v>253</v>
      </c>
      <c r="C19" s="7598"/>
      <c r="D19" s="7598"/>
      <c r="E19" s="7598"/>
      <c r="F19" s="7598"/>
      <c r="G19" s="7598"/>
      <c r="H19" s="1256" t="s">
        <v>1</v>
      </c>
      <c r="I19" s="5465" t="s">
        <v>21</v>
      </c>
      <c r="J19" s="368" t="str">
        <f>J25</f>
        <v>Charcuterie.B.Ballotine de canard sauvage.Recette mère ►.B.Ballotine de canard ceproc</v>
      </c>
      <c r="K19" s="367">
        <f>K25</f>
        <v>3.05</v>
      </c>
      <c r="L19" s="367" t="str">
        <f>L25</f>
        <v>kg</v>
      </c>
      <c r="M19" s="366" t="s">
        <v>1</v>
      </c>
      <c r="N19" s="365" t="s">
        <v>251</v>
      </c>
      <c r="O19" s="7599" t="s">
        <v>250</v>
      </c>
      <c r="P19" s="7599"/>
      <c r="Q19" s="7601" t="s">
        <v>249</v>
      </c>
      <c r="R19" s="7601"/>
      <c r="S19" s="7602"/>
      <c r="T19" s="43"/>
      <c r="U19" s="369" t="s">
        <v>252</v>
      </c>
      <c r="V19" s="368" t="str">
        <f>V25</f>
        <v>Charcuterie.B.Ballotine de canard sauvage.Recette mère ►.B.Ballotine de canard ceproc</v>
      </c>
      <c r="W19" s="367">
        <f>W25</f>
        <v>3.05</v>
      </c>
      <c r="X19" s="367" t="str">
        <f>X25</f>
        <v>kg</v>
      </c>
      <c r="Y19" s="366" t="s">
        <v>1</v>
      </c>
      <c r="Z19" s="365" t="s">
        <v>251</v>
      </c>
      <c r="AA19" s="7599" t="s">
        <v>250</v>
      </c>
      <c r="AB19" s="7599"/>
      <c r="AC19" s="7601" t="s">
        <v>249</v>
      </c>
      <c r="AD19" s="7601"/>
      <c r="AE19" s="7602"/>
      <c r="AG19" s="5182" t="s">
        <v>169</v>
      </c>
      <c r="AH19" s="5183"/>
      <c r="AI19" s="7605" t="s">
        <v>168</v>
      </c>
      <c r="AJ19" s="7607" t="s">
        <v>193</v>
      </c>
      <c r="AK19" s="7578" t="s">
        <v>192</v>
      </c>
      <c r="AL19" s="7580" t="str">
        <f>"Poids et vol. avec coef.arrondis pour  "&amp;AI28&amp;" "&amp;AG12</f>
        <v>Poids et vol. avec coef.arrondis pour   ⓫ Indicador "Duplicado" (a repetir en cada línea correspondiente)</v>
      </c>
      <c r="AM19" s="5184"/>
      <c r="AN19" s="5185"/>
      <c r="AO19" s="7582" t="s">
        <v>191</v>
      </c>
      <c r="AP19" s="6890" t="s">
        <v>190</v>
      </c>
      <c r="AQ19" s="5186"/>
      <c r="AR19" s="5187"/>
      <c r="AS19" s="5188"/>
      <c r="AT19" s="343"/>
      <c r="AU19" s="7584" t="s">
        <v>248</v>
      </c>
      <c r="AW19" s="364" t="s">
        <v>247</v>
      </c>
      <c r="AX19" s="364"/>
      <c r="AY19" s="364"/>
      <c r="AZ19" s="364"/>
      <c r="BA19" s="364"/>
      <c r="BB19" s="357"/>
      <c r="BC19" s="7569" t="s">
        <v>246</v>
      </c>
      <c r="BD19" s="7570"/>
      <c r="BE19" s="7570"/>
      <c r="BF19" s="7570"/>
      <c r="BG19" s="7570"/>
      <c r="BH19" s="7570"/>
      <c r="BI19" s="7570"/>
      <c r="BJ19" s="7571"/>
      <c r="BK19" s="62"/>
      <c r="BL19" s="20" t="str">
        <f t="shared" si="13"/>
        <v>A</v>
      </c>
      <c r="BN19" s="141"/>
      <c r="BO19" s="141"/>
      <c r="BP19" s="141"/>
      <c r="BQ19" s="141"/>
      <c r="BR19" s="141"/>
      <c r="BS19" s="141"/>
      <c r="BT19" s="7563" t="s">
        <v>7872</v>
      </c>
      <c r="BU19" s="7564"/>
      <c r="BV19" s="7564"/>
      <c r="BW19" s="7564"/>
      <c r="BX19" s="7564"/>
      <c r="BY19" s="7565"/>
      <c r="CA19" s="7563" t="s">
        <v>7873</v>
      </c>
      <c r="CB19" s="7564"/>
      <c r="CC19" s="7564"/>
      <c r="CD19" s="7564"/>
      <c r="CE19" s="7564"/>
      <c r="CF19" s="7565"/>
      <c r="CH19" s="7563" t="s">
        <v>7874</v>
      </c>
      <c r="CI19" s="7564"/>
      <c r="CJ19" s="7564"/>
      <c r="CK19" s="7564"/>
      <c r="CL19" s="7564"/>
      <c r="CM19" s="7565"/>
      <c r="CN19" s="278"/>
      <c r="CO19" s="5">
        <v>1</v>
      </c>
    </row>
    <row r="20" spans="1:93" ht="21" customHeight="1" thickBot="1">
      <c r="A20" s="20" t="s">
        <v>21</v>
      </c>
      <c r="B20" s="7598"/>
      <c r="C20" s="7598"/>
      <c r="D20" s="7598"/>
      <c r="E20" s="7598"/>
      <c r="F20" s="7598"/>
      <c r="G20" s="7598"/>
      <c r="H20" s="1256" t="s">
        <v>1</v>
      </c>
      <c r="I20" s="214" t="s">
        <v>21</v>
      </c>
      <c r="J20" s="363" t="str">
        <f>J25</f>
        <v>Charcuterie.B.Ballotine de canard sauvage.Recette mère ►.B.Ballotine de canard ceproc</v>
      </c>
      <c r="K20" s="362"/>
      <c r="L20" s="362"/>
      <c r="M20" s="361" t="s">
        <v>245</v>
      </c>
      <c r="N20" s="360" t="s">
        <v>244</v>
      </c>
      <c r="O20" s="7600"/>
      <c r="P20" s="7600"/>
      <c r="Q20" s="7603"/>
      <c r="R20" s="7603"/>
      <c r="S20" s="7604"/>
      <c r="T20" s="43"/>
      <c r="U20" s="214" t="s">
        <v>21</v>
      </c>
      <c r="V20" s="363" t="str">
        <f>V25</f>
        <v>Charcuterie.B.Ballotine de canard sauvage.Recette mère ►.B.Ballotine de canard ceproc</v>
      </c>
      <c r="W20" s="362"/>
      <c r="X20" s="362"/>
      <c r="Y20" s="361" t="s">
        <v>245</v>
      </c>
      <c r="Z20" s="360" t="s">
        <v>244</v>
      </c>
      <c r="AA20" s="7600"/>
      <c r="AB20" s="7600"/>
      <c r="AC20" s="7603"/>
      <c r="AD20" s="7603"/>
      <c r="AE20" s="7604"/>
      <c r="AG20" s="283" t="s">
        <v>184</v>
      </c>
      <c r="AH20" s="266" t="s">
        <v>162</v>
      </c>
      <c r="AI20" s="7606"/>
      <c r="AJ20" s="7608"/>
      <c r="AK20" s="7579"/>
      <c r="AL20" s="7581"/>
      <c r="AM20" s="5421" t="s">
        <v>183</v>
      </c>
      <c r="AN20" s="282" t="s">
        <v>182</v>
      </c>
      <c r="AO20" s="7583"/>
      <c r="AP20" s="6891"/>
      <c r="AQ20" s="5420" t="s">
        <v>181</v>
      </c>
      <c r="AR20" s="281" t="s">
        <v>180</v>
      </c>
      <c r="AS20" s="280"/>
      <c r="AT20" s="343"/>
      <c r="AU20" s="7585"/>
      <c r="AW20" s="358" t="s">
        <v>243</v>
      </c>
      <c r="AX20" s="358" t="s">
        <v>242</v>
      </c>
      <c r="AY20" s="359" t="s">
        <v>241</v>
      </c>
      <c r="AZ20" s="358" t="s">
        <v>240</v>
      </c>
      <c r="BB20" s="357"/>
      <c r="BC20" s="7572"/>
      <c r="BD20" s="7573"/>
      <c r="BE20" s="7573"/>
      <c r="BF20" s="7573"/>
      <c r="BG20" s="7573"/>
      <c r="BH20" s="7573"/>
      <c r="BI20" s="7573"/>
      <c r="BJ20" s="7574"/>
      <c r="BK20" s="62"/>
      <c r="BL20" s="20" t="str">
        <f t="shared" si="13"/>
        <v>A</v>
      </c>
      <c r="BM20" s="62"/>
      <c r="BN20" s="320" t="s">
        <v>20</v>
      </c>
      <c r="BO20" s="186"/>
      <c r="BP20" s="186"/>
      <c r="BQ20" s="186"/>
      <c r="BR20" s="186"/>
      <c r="BS20" s="141"/>
      <c r="BT20" s="7566"/>
      <c r="BU20" s="7567"/>
      <c r="BV20" s="7567"/>
      <c r="BW20" s="7567"/>
      <c r="BX20" s="7567"/>
      <c r="BY20" s="7568"/>
      <c r="CA20" s="7566"/>
      <c r="CB20" s="7567"/>
      <c r="CC20" s="7567"/>
      <c r="CD20" s="7567"/>
      <c r="CE20" s="7567"/>
      <c r="CF20" s="7568"/>
      <c r="CH20" s="7566"/>
      <c r="CI20" s="7567"/>
      <c r="CJ20" s="7567"/>
      <c r="CK20" s="7567"/>
      <c r="CL20" s="7567"/>
      <c r="CM20" s="7568"/>
      <c r="CN20" s="278"/>
      <c r="CO20" s="5">
        <v>1</v>
      </c>
    </row>
    <row r="21" spans="1:93" ht="21" customHeight="1" thickTop="1" thickBot="1">
      <c r="A21" s="20" t="s">
        <v>21</v>
      </c>
      <c r="B21" s="355" t="s">
        <v>239</v>
      </c>
      <c r="C21" s="356" t="s">
        <v>238</v>
      </c>
      <c r="D21" s="355" t="s">
        <v>237</v>
      </c>
      <c r="E21" s="355" t="s">
        <v>236</v>
      </c>
      <c r="F21" s="355" t="s">
        <v>235</v>
      </c>
      <c r="G21" s="355" t="s">
        <v>234</v>
      </c>
      <c r="H21" s="1256" t="s">
        <v>1</v>
      </c>
      <c r="I21" s="214" t="s">
        <v>21</v>
      </c>
      <c r="J21" s="354" t="str">
        <f>J25</f>
        <v>Charcuterie.B.Ballotine de canard sauvage.Recette mère ►.B.Ballotine de canard ceproc</v>
      </c>
      <c r="K21" s="353"/>
      <c r="L21" s="352"/>
      <c r="M21" s="351"/>
      <c r="N21" s="350" t="s">
        <v>233</v>
      </c>
      <c r="O21" s="349"/>
      <c r="P21" s="348" t="s">
        <v>232</v>
      </c>
      <c r="Q21" s="347" t="s">
        <v>231</v>
      </c>
      <c r="R21" s="141"/>
      <c r="S21" s="346"/>
      <c r="T21" s="43"/>
      <c r="U21" s="214" t="s">
        <v>21</v>
      </c>
      <c r="V21" s="354" t="str">
        <f>V25</f>
        <v>Charcuterie.B.Ballotine de canard sauvage.Recette mère ►.B.Ballotine de canard ceproc</v>
      </c>
      <c r="W21" s="353"/>
      <c r="X21" s="352"/>
      <c r="Y21" s="351"/>
      <c r="Z21" s="350" t="s">
        <v>233</v>
      </c>
      <c r="AA21" s="349"/>
      <c r="AB21" s="348" t="s">
        <v>232</v>
      </c>
      <c r="AC21" s="347" t="s">
        <v>231</v>
      </c>
      <c r="AD21" s="141"/>
      <c r="AE21" s="346"/>
      <c r="AG21" s="332"/>
      <c r="AH21" s="147"/>
      <c r="AI21" s="147"/>
      <c r="AJ21" s="345"/>
      <c r="AK21" s="345"/>
      <c r="AL21" s="345"/>
      <c r="AM21" s="345"/>
      <c r="AN21" s="141"/>
      <c r="AO21" s="141"/>
      <c r="AP21" s="141"/>
      <c r="AQ21" s="141"/>
      <c r="AR21" s="141"/>
      <c r="AS21" s="344"/>
      <c r="AT21" s="343"/>
      <c r="AU21" s="288"/>
      <c r="AW21" s="342" t="s">
        <v>230</v>
      </c>
      <c r="BC21" s="7609" t="s">
        <v>229</v>
      </c>
      <c r="BD21" s="7610"/>
      <c r="BE21" s="7610"/>
      <c r="BF21" s="7610"/>
      <c r="BG21" s="7610"/>
      <c r="BH21" s="7610"/>
      <c r="BI21" s="7610"/>
      <c r="BJ21" s="7611"/>
      <c r="BK21" s="62"/>
      <c r="BL21" s="20" t="str">
        <f t="shared" si="13"/>
        <v>A</v>
      </c>
      <c r="BM21" s="62"/>
      <c r="BN21" s="186"/>
      <c r="BO21" s="228"/>
      <c r="BP21" s="228"/>
      <c r="BQ21" s="227"/>
      <c r="BR21" s="227"/>
      <c r="BS21" s="141"/>
      <c r="BT21" s="5199" t="s">
        <v>7443</v>
      </c>
      <c r="BU21" s="141"/>
      <c r="BV21" s="141"/>
      <c r="BW21" s="141"/>
      <c r="BX21" s="498"/>
      <c r="BY21" s="5200"/>
      <c r="BZ21" s="5201"/>
      <c r="CA21" s="5199" t="s">
        <v>7875</v>
      </c>
      <c r="CB21" s="141"/>
      <c r="CC21" s="141"/>
      <c r="CD21" s="141"/>
      <c r="CE21" s="498"/>
      <c r="CF21" s="5200"/>
      <c r="CG21" s="5201"/>
      <c r="CH21" s="5199" t="s">
        <v>7876</v>
      </c>
      <c r="CI21" s="141"/>
      <c r="CJ21" s="141"/>
      <c r="CK21" s="141"/>
      <c r="CL21" s="498"/>
      <c r="CM21" s="5200"/>
      <c r="CN21" s="278"/>
      <c r="CO21" s="5">
        <v>1</v>
      </c>
    </row>
    <row r="22" spans="1:93" ht="21" customHeight="1">
      <c r="A22" s="20" t="s">
        <v>21</v>
      </c>
      <c r="B22" s="43" t="str">
        <f t="shared" ref="B22:B50" si="14">IF(A22="►","►",IF(A22="A",IF(AND(ISTEXT(V22),ISTEXT(J22)),V22,IF(ISTEXT(V22),V22,IF(ISBLANK(V22),J22,V22)))))</f>
        <v>Charcuterie.B.Ballotine de canard sauvage.Recette mère ►.B.Ballotine de canard ceproc</v>
      </c>
      <c r="C22" s="45" t="str">
        <f t="shared" ref="C22:C53" si="15">IF(B22="►","►",IFERROR(LEFT(B22,SEARCH(".",B22)-1),0))</f>
        <v>Charcuterie</v>
      </c>
      <c r="D22" s="44" t="str">
        <f t="shared" ref="D22:D53" si="16">IF(B22="►","►",IFERROR(MID(B22,SEARCH(".",B22)+1,SEARCH(".",B22,SEARCH(".",B22)+1)-SEARCH(".",B22)-1),0))</f>
        <v>B</v>
      </c>
      <c r="E22" s="43" t="str">
        <f t="shared" ref="E22:E53" si="17">IF(B22="►","►",IFERROR(MID(B22,SEARCH(".",B22,SEARCH(".",B22)+1)+1,SEARCH(".",B22,SEARCH(".",B22,SEARCH(".",B22)+1)+1)-SEARCH(".",B22,SEARCH(".",B22)+1)-1),0))</f>
        <v>Ballotine de canard sauvage</v>
      </c>
      <c r="F22" s="43" t="str">
        <f t="shared" ref="F22:F53" si="18">IF(B22="►","►",IFERROR(MID(J22,SEARCH(".",B22,SEARCH(".",B22,SEARCH(".",B22)+1)+1)+1,SEARCH(".",B22,SEARCH(".",B22,SEARCH(".",B22,SEARCH(".",B22)+1)+1)+1)-SEARCH(".",B22,SEARCH(".",B22,SEARCH(".",B22)+1)+1)-1),0))</f>
        <v>Recette mère ►</v>
      </c>
      <c r="G22" s="43" t="str">
        <f t="shared" ref="G22:G53" si="19">IF(B22="►","►",IF(ISBLANK(B22),"►",IFERROR(RIGHT(B22,LEN(B22)-FIND("►",B22)-1),"")))</f>
        <v>B.Ballotine de canard ceproc</v>
      </c>
      <c r="H22" s="1256" t="s">
        <v>1</v>
      </c>
      <c r="I22" s="214" t="s">
        <v>21</v>
      </c>
      <c r="J22" s="40" t="str">
        <f>J25</f>
        <v>Charcuterie.B.Ballotine de canard sauvage.Recette mère ►.B.Ballotine de canard ceproc</v>
      </c>
      <c r="K22" s="40"/>
      <c r="L22" s="40"/>
      <c r="M22" s="333" t="s">
        <v>228</v>
      </c>
      <c r="N22" s="341"/>
      <c r="O22" s="341"/>
      <c r="P22" s="340" t="s">
        <v>227</v>
      </c>
      <c r="Q22" s="6901" t="str">
        <f>M25</f>
        <v>Charcuterie.B.Ballotine de canard sauvage.Recette mère ►.B.Ballotine de canard ceproc</v>
      </c>
      <c r="R22" s="6901"/>
      <c r="S22" s="7612"/>
      <c r="T22" s="43"/>
      <c r="U22" s="214" t="s">
        <v>21</v>
      </c>
      <c r="V22" s="40" t="str">
        <f>V25</f>
        <v>Charcuterie.B.Ballotine de canard sauvage.Recette mère ►.B.Ballotine de canard ceproc</v>
      </c>
      <c r="W22" s="40"/>
      <c r="X22" s="40"/>
      <c r="Y22" s="333" t="s">
        <v>228</v>
      </c>
      <c r="Z22" s="341"/>
      <c r="AA22" s="341"/>
      <c r="AB22" s="340" t="s">
        <v>227</v>
      </c>
      <c r="AC22" s="6901" t="str">
        <f>Y25</f>
        <v>Charcuterie.B.Ballotine de canard sauvage.Recette mère ►.B.Ballotine de canard ceproc</v>
      </c>
      <c r="AD22" s="6901"/>
      <c r="AE22" s="7612"/>
      <c r="AF22" s="187"/>
      <c r="AG22" s="332"/>
      <c r="AH22" s="147"/>
      <c r="AI22" s="147"/>
      <c r="AJ22" s="339"/>
      <c r="AK22" s="339"/>
      <c r="AL22" s="339"/>
      <c r="AM22" s="339"/>
      <c r="AN22" s="141"/>
      <c r="AO22" s="141"/>
      <c r="AP22" s="141"/>
      <c r="AQ22" s="141"/>
      <c r="AR22" s="141"/>
      <c r="AS22" s="338"/>
      <c r="AT22" s="13"/>
      <c r="AU22" s="288"/>
      <c r="AV22" s="187"/>
      <c r="AW22" s="323" t="s">
        <v>226</v>
      </c>
      <c r="AX22" s="337">
        <v>0.5</v>
      </c>
      <c r="AY22" s="336" t="s">
        <v>175</v>
      </c>
      <c r="AZ22" s="335">
        <f t="shared" ref="AZ22:AZ29" si="20">ROUND(1/AX22,0)</f>
        <v>2</v>
      </c>
      <c r="BA22" s="334"/>
      <c r="BB22" s="187"/>
      <c r="BC22" s="270"/>
      <c r="BD22" s="260"/>
      <c r="BE22" s="260"/>
      <c r="BF22" s="260"/>
      <c r="BG22" s="260"/>
      <c r="BH22" s="260"/>
      <c r="BI22" s="260"/>
      <c r="BJ22" s="259"/>
      <c r="BK22" s="62"/>
      <c r="BL22" s="20" t="str">
        <f t="shared" si="13"/>
        <v>A</v>
      </c>
      <c r="BM22" s="62"/>
      <c r="BN22" s="320" t="s">
        <v>19</v>
      </c>
      <c r="BO22" s="186"/>
      <c r="BP22" s="186"/>
      <c r="BQ22" s="186"/>
      <c r="BR22" s="186"/>
      <c r="BS22" s="141"/>
      <c r="BT22" s="5202" t="s">
        <v>7877</v>
      </c>
      <c r="BU22" s="141"/>
      <c r="BV22" s="141"/>
      <c r="BW22" s="141"/>
      <c r="BX22" s="498"/>
      <c r="BY22" s="5200"/>
      <c r="BZ22" s="5201"/>
      <c r="CA22" s="5202" t="s">
        <v>7878</v>
      </c>
      <c r="CB22" s="141"/>
      <c r="CC22" s="141"/>
      <c r="CD22" s="141"/>
      <c r="CE22" s="498"/>
      <c r="CF22" s="5200"/>
      <c r="CG22" s="5201"/>
      <c r="CH22" s="5202" t="s">
        <v>7879</v>
      </c>
      <c r="CI22" s="141"/>
      <c r="CJ22" s="141"/>
      <c r="CK22" s="141"/>
      <c r="CL22" s="498"/>
      <c r="CM22" s="5200"/>
      <c r="CN22" s="278"/>
      <c r="CO22" s="5">
        <v>1</v>
      </c>
    </row>
    <row r="23" spans="1:93" ht="21" customHeight="1">
      <c r="A23" s="20" t="s">
        <v>21</v>
      </c>
      <c r="B23" s="43" t="str">
        <f t="shared" si="14"/>
        <v>Charcuterie.B.Ballotine de canard sauvage.Recette mère ►.B.Ballotine de canard ceproc</v>
      </c>
      <c r="C23" s="45" t="str">
        <f t="shared" si="15"/>
        <v>Charcuterie</v>
      </c>
      <c r="D23" s="44" t="str">
        <f t="shared" si="16"/>
        <v>B</v>
      </c>
      <c r="E23" s="43" t="str">
        <f t="shared" si="17"/>
        <v>Ballotine de canard sauvage</v>
      </c>
      <c r="F23" s="43" t="str">
        <f t="shared" si="18"/>
        <v>Recette mère ►</v>
      </c>
      <c r="G23" s="43" t="str">
        <f t="shared" si="19"/>
        <v>B.Ballotine de canard ceproc</v>
      </c>
      <c r="H23" s="1256" t="s">
        <v>1</v>
      </c>
      <c r="I23" s="214" t="s">
        <v>21</v>
      </c>
      <c r="J23" s="40" t="str">
        <f>J25</f>
        <v>Charcuterie.B.Ballotine de canard sauvage.Recette mère ►.B.Ballotine de canard ceproc</v>
      </c>
      <c r="K23" s="40"/>
      <c r="L23" s="40"/>
      <c r="M23" s="5453">
        <v>3.05</v>
      </c>
      <c r="N23" s="5452" t="s">
        <v>219</v>
      </c>
      <c r="O23" s="333"/>
      <c r="P23" s="333"/>
      <c r="Q23" s="6901"/>
      <c r="R23" s="6901"/>
      <c r="S23" s="7612"/>
      <c r="T23" s="43"/>
      <c r="U23" s="214" t="s">
        <v>21</v>
      </c>
      <c r="V23" s="40" t="str">
        <f>V25</f>
        <v>Charcuterie.B.Ballotine de canard sauvage.Recette mère ►.B.Ballotine de canard ceproc</v>
      </c>
      <c r="W23" s="40"/>
      <c r="X23" s="40"/>
      <c r="Y23" s="5453">
        <v>3.05</v>
      </c>
      <c r="Z23" s="5452" t="s">
        <v>219</v>
      </c>
      <c r="AA23" s="333"/>
      <c r="AB23" s="333"/>
      <c r="AC23" s="6901"/>
      <c r="AD23" s="6901"/>
      <c r="AE23" s="7612"/>
      <c r="AF23" s="187"/>
      <c r="AG23" s="332"/>
      <c r="AH23" s="331"/>
      <c r="AI23" s="331"/>
      <c r="AJ23" s="330"/>
      <c r="AK23" s="330"/>
      <c r="AL23" s="330"/>
      <c r="AM23" s="330"/>
      <c r="AN23" s="141"/>
      <c r="AO23" s="141"/>
      <c r="AP23" s="141"/>
      <c r="AQ23" s="141"/>
      <c r="AR23" s="141"/>
      <c r="AS23" s="329"/>
      <c r="AT23" s="13"/>
      <c r="AU23" s="288"/>
      <c r="AV23" s="187"/>
      <c r="AW23" s="323" t="s">
        <v>225</v>
      </c>
      <c r="AX23" s="322">
        <v>0.25</v>
      </c>
      <c r="AY23" s="273" t="s">
        <v>175</v>
      </c>
      <c r="AZ23" s="223">
        <f t="shared" si="20"/>
        <v>4</v>
      </c>
      <c r="BA23" s="321"/>
      <c r="BB23" s="187"/>
      <c r="BC23" s="270"/>
      <c r="BD23" s="260"/>
      <c r="BE23" s="260"/>
      <c r="BF23" s="260"/>
      <c r="BG23" s="260"/>
      <c r="BH23" s="260"/>
      <c r="BI23" s="260"/>
      <c r="BJ23" s="259"/>
      <c r="BK23" s="62"/>
      <c r="BL23" s="20" t="str">
        <f t="shared" si="13"/>
        <v>A</v>
      </c>
      <c r="BM23" s="62"/>
      <c r="BN23" s="186"/>
      <c r="BO23" s="228"/>
      <c r="BP23" s="228"/>
      <c r="BQ23" s="227"/>
      <c r="BR23" s="227"/>
      <c r="BS23" s="141"/>
      <c r="BT23" s="5202" t="s">
        <v>7880</v>
      </c>
      <c r="BU23" s="141"/>
      <c r="BV23" s="141"/>
      <c r="BW23" s="141"/>
      <c r="BX23" s="498"/>
      <c r="BY23" s="5200"/>
      <c r="BZ23" s="5201"/>
      <c r="CA23" s="5202" t="s">
        <v>7881</v>
      </c>
      <c r="CB23" s="141"/>
      <c r="CC23" s="141"/>
      <c r="CD23" s="141"/>
      <c r="CE23" s="498"/>
      <c r="CF23" s="5200"/>
      <c r="CG23" s="5201"/>
      <c r="CH23" s="5202" t="s">
        <v>7882</v>
      </c>
      <c r="CI23" s="141"/>
      <c r="CJ23" s="141"/>
      <c r="CK23" s="141"/>
      <c r="CL23" s="498"/>
      <c r="CM23" s="5200"/>
      <c r="CN23" s="278"/>
      <c r="CO23" s="5">
        <v>1</v>
      </c>
    </row>
    <row r="24" spans="1:93" ht="21" customHeight="1">
      <c r="A24" s="20" t="s">
        <v>21</v>
      </c>
      <c r="B24" s="43" t="str">
        <f t="shared" si="14"/>
        <v>Charcuterie.B.Ballotine de canard sauvage.Recette mère ►.B.Ballotine de canard ceproc</v>
      </c>
      <c r="C24" s="45" t="str">
        <f t="shared" si="15"/>
        <v>Charcuterie</v>
      </c>
      <c r="D24" s="44" t="str">
        <f t="shared" si="16"/>
        <v>B</v>
      </c>
      <c r="E24" s="43" t="str">
        <f t="shared" si="17"/>
        <v>Ballotine de canard sauvage</v>
      </c>
      <c r="F24" s="43" t="str">
        <f t="shared" si="18"/>
        <v>Recette mère ►</v>
      </c>
      <c r="G24" s="43" t="str">
        <f t="shared" si="19"/>
        <v>B.Ballotine de canard ceproc</v>
      </c>
      <c r="H24" s="1256" t="s">
        <v>1</v>
      </c>
      <c r="I24" s="214" t="s">
        <v>26</v>
      </c>
      <c r="J24" s="328" t="str">
        <f>J25</f>
        <v>Charcuterie.B.Ballotine de canard sauvage.Recette mère ►.B.Ballotine de canard ceproc</v>
      </c>
      <c r="K24" s="328"/>
      <c r="L24" s="328"/>
      <c r="M24" s="327"/>
      <c r="N24" s="326"/>
      <c r="O24" s="326"/>
      <c r="P24" s="326"/>
      <c r="Q24" s="326"/>
      <c r="R24" s="326"/>
      <c r="S24" s="325"/>
      <c r="T24" s="43"/>
      <c r="U24" s="214" t="s">
        <v>26</v>
      </c>
      <c r="V24" s="328" t="str">
        <f>V25</f>
        <v>Charcuterie.B.Ballotine de canard sauvage.Recette mère ►.B.Ballotine de canard ceproc</v>
      </c>
      <c r="W24" s="328"/>
      <c r="X24" s="328"/>
      <c r="Y24" s="327"/>
      <c r="Z24" s="326"/>
      <c r="AA24" s="326"/>
      <c r="AB24" s="326"/>
      <c r="AC24" s="326"/>
      <c r="AD24" s="326"/>
      <c r="AE24" s="325"/>
      <c r="AF24" s="187"/>
      <c r="AG24" s="324"/>
      <c r="AH24" s="141"/>
      <c r="AI24" s="141"/>
      <c r="AJ24" s="141"/>
      <c r="AK24" s="141"/>
      <c r="AL24" s="141"/>
      <c r="AT24" s="13"/>
      <c r="AU24" s="288"/>
      <c r="AV24" s="187"/>
      <c r="AW24" s="323" t="s">
        <v>224</v>
      </c>
      <c r="AX24" s="322">
        <v>0.33</v>
      </c>
      <c r="AY24" s="273" t="s">
        <v>175</v>
      </c>
      <c r="AZ24" s="223">
        <f t="shared" si="20"/>
        <v>3</v>
      </c>
      <c r="BA24" s="321"/>
      <c r="BB24" s="187"/>
      <c r="BC24" s="270"/>
      <c r="BD24" s="260"/>
      <c r="BE24" s="260"/>
      <c r="BF24" s="260"/>
      <c r="BG24" s="260"/>
      <c r="BH24" s="260"/>
      <c r="BI24" s="260"/>
      <c r="BJ24" s="259"/>
      <c r="BK24" s="62"/>
      <c r="BL24" s="20" t="str">
        <f t="shared" si="13"/>
        <v>A</v>
      </c>
      <c r="BM24" s="62"/>
      <c r="BN24" s="320" t="s">
        <v>18</v>
      </c>
      <c r="BO24" s="186"/>
      <c r="BP24" s="186"/>
      <c r="BQ24" s="186"/>
      <c r="BR24" s="186"/>
      <c r="BS24" s="141"/>
      <c r="BT24" s="5203"/>
      <c r="BU24" s="141"/>
      <c r="BV24" s="141"/>
      <c r="BW24" s="141"/>
      <c r="BX24" s="498"/>
      <c r="BY24" s="5200"/>
      <c r="BZ24" s="5201"/>
      <c r="CA24" s="5203"/>
      <c r="CB24" s="141"/>
      <c r="CC24" s="141"/>
      <c r="CD24" s="141"/>
      <c r="CE24" s="498"/>
      <c r="CF24" s="5200"/>
      <c r="CG24" s="5201"/>
      <c r="CH24" s="5203"/>
      <c r="CI24" s="141"/>
      <c r="CJ24" s="141"/>
      <c r="CK24" s="141"/>
      <c r="CL24" s="498"/>
      <c r="CM24" s="5200"/>
      <c r="CN24" s="278"/>
      <c r="CO24" s="5">
        <v>1</v>
      </c>
    </row>
    <row r="25" spans="1:93" ht="21" customHeight="1" thickBot="1">
      <c r="A25" s="20" t="s">
        <v>21</v>
      </c>
      <c r="B25" s="43" t="str">
        <f t="shared" si="14"/>
        <v>Charcuterie.B.Ballotine de canard sauvage.Recette mère ►.B.Ballotine de canard ceproc</v>
      </c>
      <c r="C25" s="45" t="str">
        <f t="shared" si="15"/>
        <v>Charcuterie</v>
      </c>
      <c r="D25" s="44" t="str">
        <f t="shared" si="16"/>
        <v>B</v>
      </c>
      <c r="E25" s="43" t="str">
        <f t="shared" si="17"/>
        <v>Ballotine de canard sauvage</v>
      </c>
      <c r="F25" s="43" t="str">
        <f t="shared" si="18"/>
        <v>Recette mère ►</v>
      </c>
      <c r="G25" s="43" t="str">
        <f t="shared" si="19"/>
        <v>B.Ballotine de canard ceproc</v>
      </c>
      <c r="H25" s="1256" t="s">
        <v>1</v>
      </c>
      <c r="I25" s="319" t="s">
        <v>26</v>
      </c>
      <c r="J25" s="318" t="str">
        <f>M25</f>
        <v>Charcuterie.B.Ballotine de canard sauvage.Recette mère ►.B.Ballotine de canard ceproc</v>
      </c>
      <c r="K25" s="318">
        <f>M23</f>
        <v>3.05</v>
      </c>
      <c r="L25" s="318" t="str">
        <f>N23</f>
        <v>kg</v>
      </c>
      <c r="M25" s="5486" t="str">
        <f>UPPER(LEFT(O19,1))&amp;LOWER(MID(O19,2,999))&amp;"."&amp;UPPER(LEFT(Q19,1))&amp;"."&amp;UPPER(LEFT(Q19,1))&amp;LOWER(MID(Q19,2,999))&amp;"."&amp;IF(ISTEXT(S25),R25&amp;"."&amp;UPPER(LEFT(S25,1))&amp;"."&amp;UPPER(LEFT(S25,1))&amp;LOWER(MID(S25,2,999)),N25)</f>
        <v>Charcuterie.B.Ballotine de canard sauvage.Recette mère ►.B.Ballotine de canard ceproc</v>
      </c>
      <c r="N25" s="5487" t="s">
        <v>223</v>
      </c>
      <c r="O25" s="7613" t="s">
        <v>222</v>
      </c>
      <c r="P25" s="7613"/>
      <c r="Q25" s="7613"/>
      <c r="R25" s="317" t="s">
        <v>221</v>
      </c>
      <c r="S25" s="316" t="s">
        <v>220</v>
      </c>
      <c r="T25" s="43"/>
      <c r="U25" s="319" t="s">
        <v>26</v>
      </c>
      <c r="V25" s="318" t="str">
        <f>Y25</f>
        <v>Charcuterie.B.Ballotine de canard sauvage.Recette mère ►.B.Ballotine de canard ceproc</v>
      </c>
      <c r="W25" s="318">
        <f>Y23</f>
        <v>3.05</v>
      </c>
      <c r="X25" s="318" t="str">
        <f>Z23</f>
        <v>kg</v>
      </c>
      <c r="Y25" s="5486" t="str">
        <f>UPPER(LEFT(AA19,1))&amp;LOWER(MID(AA19,2,999))&amp;"."&amp;UPPER(LEFT(AC19,1))&amp;"."&amp;UPPER(LEFT(AC19,1))&amp;LOWER(MID(AC19,2,999))&amp;"."&amp;IF(ISTEXT(AE25),AD25&amp;"."&amp;UPPER(LEFT(AE25,1))&amp;"."&amp;UPPER(LEFT(AE25,1))&amp;LOWER(MID(AE25,2,999)),Z25)</f>
        <v>Charcuterie.B.Ballotine de canard sauvage.Recette mère ►.B.Ballotine de canard ceproc</v>
      </c>
      <c r="Z25" s="5487" t="s">
        <v>223</v>
      </c>
      <c r="AA25" s="7613" t="s">
        <v>222</v>
      </c>
      <c r="AB25" s="7613"/>
      <c r="AC25" s="7613"/>
      <c r="AD25" s="317" t="s">
        <v>221</v>
      </c>
      <c r="AE25" s="316" t="s">
        <v>220</v>
      </c>
      <c r="AF25" s="187"/>
      <c r="AG25" s="315"/>
      <c r="AH25" s="141"/>
      <c r="AI25" s="141"/>
      <c r="AJ25" s="141"/>
      <c r="AK25" s="141"/>
      <c r="AL25" s="141"/>
      <c r="AT25" s="13"/>
      <c r="AU25" s="288"/>
      <c r="AV25" s="187"/>
      <c r="AW25" s="314" t="s">
        <v>219</v>
      </c>
      <c r="AX25" s="241">
        <f>BA25 / 1000</f>
        <v>1</v>
      </c>
      <c r="AY25" s="240" t="s">
        <v>111</v>
      </c>
      <c r="AZ25" s="223">
        <f t="shared" si="20"/>
        <v>1</v>
      </c>
      <c r="BA25" s="239">
        <v>1000</v>
      </c>
      <c r="BB25" s="187"/>
      <c r="BC25" s="270"/>
      <c r="BD25" s="260"/>
      <c r="BE25" s="260"/>
      <c r="BF25" s="260"/>
      <c r="BG25" s="260"/>
      <c r="BH25" s="260"/>
      <c r="BI25" s="260"/>
      <c r="BJ25" s="259"/>
      <c r="BK25" s="62"/>
      <c r="BL25" s="20" t="str">
        <f t="shared" si="13"/>
        <v>A</v>
      </c>
      <c r="BM25" s="62"/>
      <c r="BN25" s="186"/>
      <c r="BO25" s="186"/>
      <c r="BP25" s="186"/>
      <c r="BQ25" s="186"/>
      <c r="BR25" s="186"/>
      <c r="BS25" s="141"/>
      <c r="BT25" s="5204" t="s">
        <v>7883</v>
      </c>
      <c r="BU25" s="5144"/>
      <c r="BV25" s="5144"/>
      <c r="BW25" s="5144"/>
      <c r="BX25" s="498"/>
      <c r="BY25" s="5200"/>
      <c r="BZ25" s="5201"/>
      <c r="CA25" s="5204" t="s">
        <v>7884</v>
      </c>
      <c r="CB25" s="5144"/>
      <c r="CC25" s="5144"/>
      <c r="CD25" s="5144"/>
      <c r="CE25" s="498"/>
      <c r="CF25" s="5200"/>
      <c r="CG25" s="5201"/>
      <c r="CH25" s="5204" t="s">
        <v>7885</v>
      </c>
      <c r="CI25" s="5144"/>
      <c r="CJ25" s="5144"/>
      <c r="CK25" s="5144"/>
      <c r="CL25" s="498"/>
      <c r="CM25" s="5200"/>
      <c r="CN25" s="278"/>
      <c r="CO25" s="5">
        <v>1</v>
      </c>
    </row>
    <row r="26" spans="1:93" s="1" customFormat="1" ht="21" customHeight="1" thickTop="1" thickBot="1">
      <c r="A26" s="20" t="s">
        <v>21</v>
      </c>
      <c r="B26" s="43" t="str">
        <f t="shared" si="14"/>
        <v>Charcuterie.B.Ballotine de canard sauvage.Recette mère ►.B.Ballotine de canard ceproc</v>
      </c>
      <c r="C26" s="45" t="str">
        <f t="shared" si="15"/>
        <v>Charcuterie</v>
      </c>
      <c r="D26" s="44" t="str">
        <f t="shared" si="16"/>
        <v>B</v>
      </c>
      <c r="E26" s="43" t="str">
        <f t="shared" si="17"/>
        <v>Ballotine de canard sauvage</v>
      </c>
      <c r="F26" s="43" t="str">
        <f t="shared" si="18"/>
        <v>Recette mère ►</v>
      </c>
      <c r="G26" s="43" t="str">
        <f t="shared" si="19"/>
        <v>B.Ballotine de canard ceproc</v>
      </c>
      <c r="H26" s="1256" t="s">
        <v>1</v>
      </c>
      <c r="I26" s="1023" t="s">
        <v>21</v>
      </c>
      <c r="J26" s="5161" t="str">
        <f>J25</f>
        <v>Charcuterie.B.Ballotine de canard sauvage.Recette mère ►.B.Ballotine de canard ceproc</v>
      </c>
      <c r="K26" s="5161"/>
      <c r="L26" s="5161"/>
      <c r="M26" s="304" t="s">
        <v>218</v>
      </c>
      <c r="N26" s="5162">
        <f>COUNTIF(J28:J40, "*") + COUNT(J28:J40)</f>
        <v>13</v>
      </c>
      <c r="O26" s="5163" t="s">
        <v>7857</v>
      </c>
      <c r="P26" s="5164"/>
      <c r="Q26" s="5164"/>
      <c r="R26" s="5164"/>
      <c r="S26" s="5165"/>
      <c r="T26" s="43"/>
      <c r="U26" s="313" t="s">
        <v>26</v>
      </c>
      <c r="V26" s="312" t="str">
        <f>V25</f>
        <v>Charcuterie.B.Ballotine de canard sauvage.Recette mère ►.B.Ballotine de canard ceproc</v>
      </c>
      <c r="W26" s="311"/>
      <c r="X26" s="311"/>
      <c r="Y26" s="310" t="s">
        <v>218</v>
      </c>
      <c r="Z26" s="310" t="s">
        <v>217</v>
      </c>
      <c r="AA26" s="310" t="s">
        <v>216</v>
      </c>
      <c r="AB26" s="310" t="s">
        <v>215</v>
      </c>
      <c r="AC26" s="309" t="s">
        <v>214</v>
      </c>
      <c r="AD26" s="308" t="s">
        <v>83</v>
      </c>
      <c r="AE26" s="307" t="s">
        <v>213</v>
      </c>
      <c r="AF26" s="187"/>
      <c r="AG26" s="306" t="s">
        <v>212</v>
      </c>
      <c r="AH26" s="304" t="s">
        <v>211</v>
      </c>
      <c r="AI26" s="304" t="s">
        <v>210</v>
      </c>
      <c r="AJ26" s="305" t="s">
        <v>209</v>
      </c>
      <c r="AK26" s="304" t="s">
        <v>208</v>
      </c>
      <c r="AL26" s="304" t="s">
        <v>207</v>
      </c>
      <c r="AM26" s="304" t="s">
        <v>206</v>
      </c>
      <c r="AN26" s="304" t="s">
        <v>205</v>
      </c>
      <c r="AO26" s="304" t="s">
        <v>204</v>
      </c>
      <c r="AP26" s="304" t="s">
        <v>203</v>
      </c>
      <c r="AQ26" s="304" t="s">
        <v>202</v>
      </c>
      <c r="AR26" s="304" t="s">
        <v>201</v>
      </c>
      <c r="AS26" s="303" t="s">
        <v>200</v>
      </c>
      <c r="AT26" s="13"/>
      <c r="AU26" s="288"/>
      <c r="AV26" s="187"/>
      <c r="AW26" s="251" t="s">
        <v>130</v>
      </c>
      <c r="AX26" s="241">
        <f>BA26 / 1000</f>
        <v>1E-3</v>
      </c>
      <c r="AY26" s="240" t="s">
        <v>111</v>
      </c>
      <c r="AZ26" s="223">
        <f t="shared" si="20"/>
        <v>1000</v>
      </c>
      <c r="BA26" s="239">
        <v>1</v>
      </c>
      <c r="BB26" s="187"/>
      <c r="BC26" s="270"/>
      <c r="BD26" s="260"/>
      <c r="BE26" s="260"/>
      <c r="BF26" s="260"/>
      <c r="BG26" s="260"/>
      <c r="BH26" s="260"/>
      <c r="BI26" s="260"/>
      <c r="BJ26" s="259"/>
      <c r="BK26" s="62"/>
      <c r="BL26" s="20" t="str">
        <f t="shared" si="13"/>
        <v>A</v>
      </c>
      <c r="BM26" s="62"/>
      <c r="BN26" s="244" t="s">
        <v>199</v>
      </c>
      <c r="BO26" s="234"/>
      <c r="BP26" s="234"/>
      <c r="BQ26" s="234"/>
      <c r="BR26" s="234"/>
      <c r="BS26" s="141"/>
      <c r="BT26" s="5205" t="s">
        <v>7886</v>
      </c>
      <c r="BU26" s="141"/>
      <c r="BV26" s="141"/>
      <c r="BW26" s="141"/>
      <c r="BX26" s="5206"/>
      <c r="BY26" s="5207"/>
      <c r="BZ26" s="5208"/>
      <c r="CA26" s="5205" t="s">
        <v>7887</v>
      </c>
      <c r="CB26" s="141"/>
      <c r="CC26" s="141"/>
      <c r="CD26" s="141"/>
      <c r="CE26" s="5206"/>
      <c r="CF26" s="5207"/>
      <c r="CG26" s="5208"/>
      <c r="CH26" s="5205" t="s">
        <v>7888</v>
      </c>
      <c r="CI26" s="141"/>
      <c r="CJ26" s="141"/>
      <c r="CK26" s="141"/>
      <c r="CL26" s="5206"/>
      <c r="CM26" s="5207"/>
      <c r="CN26" s="278"/>
      <c r="CO26" s="5">
        <v>1</v>
      </c>
    </row>
    <row r="27" spans="1:93" s="1" customFormat="1" ht="21" customHeight="1" thickTop="1">
      <c r="A27" s="20" t="str">
        <f>IF(OR(I27="A",U27="A"),"A",IF(AND(I27="►",U27="►"),"►",IF(AND(ISBLANK(I27),ISBLANK(U27)),"►","►")))</f>
        <v>A</v>
      </c>
      <c r="B27" s="43" t="str">
        <f t="shared" si="14"/>
        <v>Charcuterie.B.Ballotine de canard sauvage.Recette mère ►.B.Ballotine de canard ceproc</v>
      </c>
      <c r="C27" s="45" t="str">
        <f t="shared" si="15"/>
        <v>Charcuterie</v>
      </c>
      <c r="D27" s="44" t="str">
        <f t="shared" si="16"/>
        <v>B</v>
      </c>
      <c r="E27" s="43" t="str">
        <f t="shared" si="17"/>
        <v>Ballotine de canard sauvage</v>
      </c>
      <c r="F27" s="43" t="str">
        <f t="shared" si="18"/>
        <v>Recette mère ►</v>
      </c>
      <c r="G27" s="43" t="str">
        <f t="shared" si="19"/>
        <v>B.Ballotine de canard ceproc</v>
      </c>
      <c r="H27" s="1256" t="s">
        <v>1</v>
      </c>
      <c r="I27" s="5166" t="s">
        <v>21</v>
      </c>
      <c r="J27" s="1058" t="str">
        <f>J25</f>
        <v>Charcuterie.B.Ballotine de canard sauvage.Recette mère ►.B.Ballotine de canard ceproc</v>
      </c>
      <c r="K27" s="1058"/>
      <c r="L27" s="1058"/>
      <c r="M27" s="5167" t="s">
        <v>864</v>
      </c>
      <c r="N27" s="102"/>
      <c r="O27" s="102"/>
      <c r="P27" s="102"/>
      <c r="Q27" s="102"/>
      <c r="R27" s="102"/>
      <c r="S27" s="1360"/>
      <c r="T27" s="43"/>
      <c r="U27" s="214" t="s">
        <v>21</v>
      </c>
      <c r="V27" s="302" t="str">
        <f>V25</f>
        <v>Charcuterie.B.Ballotine de canard sauvage.Recette mère ►.B.Ballotine de canard ceproc</v>
      </c>
      <c r="W27" s="301"/>
      <c r="X27" s="300"/>
      <c r="Y27" s="299" t="s">
        <v>198</v>
      </c>
      <c r="Z27" s="298" t="s">
        <v>197</v>
      </c>
      <c r="AA27" s="297"/>
      <c r="AB27" s="6904" t="s">
        <v>196</v>
      </c>
      <c r="AC27" s="7387" t="s">
        <v>195</v>
      </c>
      <c r="AD27" s="7615" t="s">
        <v>82</v>
      </c>
      <c r="AE27" s="296" t="s">
        <v>194</v>
      </c>
      <c r="AF27" s="187"/>
      <c r="AG27" s="295" t="s">
        <v>169</v>
      </c>
      <c r="AH27" s="294"/>
      <c r="AI27" s="7617" t="s">
        <v>168</v>
      </c>
      <c r="AJ27" s="7618" t="s">
        <v>193</v>
      </c>
      <c r="AK27" s="7619" t="s">
        <v>192</v>
      </c>
      <c r="AL27" s="7620" t="str">
        <f>"Poids et vol. avec coef.arrondis pour  "&amp;AI36&amp;" "&amp;AL21</f>
        <v xml:space="preserve">Poids et vol. avec coef.arrondis pour  10 </v>
      </c>
      <c r="AM27" s="293"/>
      <c r="AN27" s="292"/>
      <c r="AO27" s="7621" t="s">
        <v>191</v>
      </c>
      <c r="AP27" s="7622" t="s">
        <v>190</v>
      </c>
      <c r="AQ27" s="291" t="s">
        <v>189</v>
      </c>
      <c r="AR27" s="290">
        <f>IFERROR(AR71/AI36,0)</f>
        <v>0</v>
      </c>
      <c r="AS27" s="289"/>
      <c r="AT27" s="13"/>
      <c r="AU27" s="288"/>
      <c r="AV27" s="187"/>
      <c r="AW27" s="277" t="s">
        <v>188</v>
      </c>
      <c r="AX27" s="241">
        <v>0.5</v>
      </c>
      <c r="AY27" s="273" t="s">
        <v>175</v>
      </c>
      <c r="AZ27" s="223">
        <f t="shared" si="20"/>
        <v>2</v>
      </c>
      <c r="BA27" s="276"/>
      <c r="BB27" s="187"/>
      <c r="BC27" s="270"/>
      <c r="BD27" s="260"/>
      <c r="BE27" s="260"/>
      <c r="BF27" s="260"/>
      <c r="BG27" s="260"/>
      <c r="BH27" s="260"/>
      <c r="BI27" s="260"/>
      <c r="BJ27" s="259"/>
      <c r="BK27" s="62"/>
      <c r="BL27" s="20" t="str">
        <f t="shared" si="13"/>
        <v>A</v>
      </c>
      <c r="BM27" s="62"/>
      <c r="BN27" s="244" t="s">
        <v>187</v>
      </c>
      <c r="BO27" s="228"/>
      <c r="BP27" s="234"/>
      <c r="BQ27" s="234"/>
      <c r="BR27" s="234"/>
      <c r="BS27" s="141"/>
      <c r="BT27" s="5209" t="s">
        <v>7889</v>
      </c>
      <c r="BU27" s="141"/>
      <c r="BV27" s="141"/>
      <c r="BW27" s="141"/>
      <c r="BX27" s="4679"/>
      <c r="BY27" s="5210"/>
      <c r="BZ27" s="5211"/>
      <c r="CA27" s="5209" t="s">
        <v>7890</v>
      </c>
      <c r="CB27" s="141"/>
      <c r="CC27" s="141"/>
      <c r="CD27" s="141"/>
      <c r="CE27" s="4679"/>
      <c r="CF27" s="5210"/>
      <c r="CG27" s="5211"/>
      <c r="CH27" s="5209" t="s">
        <v>7891</v>
      </c>
      <c r="CI27" s="141"/>
      <c r="CJ27" s="141"/>
      <c r="CK27" s="141"/>
      <c r="CL27" s="4679"/>
      <c r="CM27" s="5210"/>
      <c r="CN27" s="278"/>
      <c r="CO27" s="5">
        <v>1</v>
      </c>
    </row>
    <row r="28" spans="1:93" s="1" customFormat="1" ht="21" customHeight="1" thickBot="1">
      <c r="A28" s="20" t="str">
        <f>IF(OR(I28="A",U28="A"),"A",IF(AND(I28="►",U28="►"),"►",IF(AND(ISBLANK(I28),ISBLANK(U28)),"►","►")))</f>
        <v>A</v>
      </c>
      <c r="B28" s="43" t="str">
        <f t="shared" si="14"/>
        <v>Charcuterie.B.Ballotine de canard sauvage.Recette mère ►.B.Ballotine de canard ceproc</v>
      </c>
      <c r="C28" s="45" t="str">
        <f t="shared" si="15"/>
        <v>Charcuterie</v>
      </c>
      <c r="D28" s="44" t="str">
        <f t="shared" si="16"/>
        <v>B</v>
      </c>
      <c r="E28" s="43" t="str">
        <f t="shared" si="17"/>
        <v>Ballotine de canard sauvage</v>
      </c>
      <c r="F28" s="43" t="str">
        <f t="shared" si="18"/>
        <v>Recette mère ►</v>
      </c>
      <c r="G28" s="43" t="str">
        <f t="shared" si="19"/>
        <v>B.Ballotine de canard ceproc</v>
      </c>
      <c r="H28" s="1256" t="s">
        <v>1</v>
      </c>
      <c r="I28" s="5168" t="s">
        <v>21</v>
      </c>
      <c r="J28" s="1058" t="str">
        <f>J25</f>
        <v>Charcuterie.B.Ballotine de canard sauvage.Recette mère ►.B.Ballotine de canard ceproc</v>
      </c>
      <c r="K28" s="1058"/>
      <c r="L28" s="1058"/>
      <c r="M28" s="1418"/>
      <c r="N28" s="147"/>
      <c r="O28" s="147"/>
      <c r="P28" s="147"/>
      <c r="Q28" s="147"/>
      <c r="R28" s="147"/>
      <c r="S28" s="1360"/>
      <c r="T28" s="43"/>
      <c r="U28" s="214" t="s">
        <v>21</v>
      </c>
      <c r="V28" s="41" t="str">
        <f>V25</f>
        <v>Charcuterie.B.Ballotine de canard sauvage.Recette mère ►.B.Ballotine de canard ceproc</v>
      </c>
      <c r="W28" s="40"/>
      <c r="X28" s="39"/>
      <c r="Y28" s="287" t="s">
        <v>184</v>
      </c>
      <c r="Z28" s="286" t="s">
        <v>162</v>
      </c>
      <c r="AA28" s="285" t="s">
        <v>186</v>
      </c>
      <c r="AB28" s="6905"/>
      <c r="AC28" s="7614"/>
      <c r="AD28" s="7616"/>
      <c r="AE28" s="284" t="s">
        <v>185</v>
      </c>
      <c r="AF28" s="187"/>
      <c r="AG28" s="283" t="s">
        <v>184</v>
      </c>
      <c r="AH28" s="266" t="s">
        <v>162</v>
      </c>
      <c r="AI28" s="7606"/>
      <c r="AJ28" s="7608"/>
      <c r="AK28" s="7579"/>
      <c r="AL28" s="7581"/>
      <c r="AM28" s="5421" t="s">
        <v>183</v>
      </c>
      <c r="AN28" s="282" t="s">
        <v>182</v>
      </c>
      <c r="AO28" s="7583"/>
      <c r="AP28" s="6891"/>
      <c r="AQ28" s="5420" t="s">
        <v>181</v>
      </c>
      <c r="AR28" s="281" t="s">
        <v>180</v>
      </c>
      <c r="AS28" s="280"/>
      <c r="AT28" s="13"/>
      <c r="AU28" s="279"/>
      <c r="AV28" s="187"/>
      <c r="AW28" s="277" t="s">
        <v>179</v>
      </c>
      <c r="AX28" s="241">
        <v>0.25</v>
      </c>
      <c r="AY28" s="273" t="s">
        <v>175</v>
      </c>
      <c r="AZ28" s="223">
        <f t="shared" si="20"/>
        <v>4</v>
      </c>
      <c r="BA28" s="276"/>
      <c r="BB28" s="187"/>
      <c r="BC28" s="270"/>
      <c r="BD28" s="260"/>
      <c r="BE28" s="260"/>
      <c r="BF28" s="260"/>
      <c r="BG28" s="260"/>
      <c r="BH28" s="260"/>
      <c r="BI28" s="260"/>
      <c r="BJ28" s="259"/>
      <c r="BK28" s="62"/>
      <c r="BL28" s="20" t="str">
        <f t="shared" si="13"/>
        <v>A</v>
      </c>
      <c r="BM28" s="62"/>
      <c r="BN28" s="244" t="s">
        <v>178</v>
      </c>
      <c r="BO28" s="234"/>
      <c r="BP28" s="234"/>
      <c r="BQ28" s="234"/>
      <c r="BR28" s="234"/>
      <c r="BS28" s="141"/>
      <c r="BT28" s="5204" t="s">
        <v>7892</v>
      </c>
      <c r="BU28" s="141"/>
      <c r="BV28" s="141"/>
      <c r="BW28" s="141"/>
      <c r="BX28" s="4698"/>
      <c r="BY28" s="5200"/>
      <c r="BZ28" s="5201"/>
      <c r="CA28" s="5204" t="s">
        <v>7893</v>
      </c>
      <c r="CB28" s="141"/>
      <c r="CC28" s="141"/>
      <c r="CD28" s="141"/>
      <c r="CE28" s="4698"/>
      <c r="CF28" s="5200"/>
      <c r="CG28" s="2872"/>
      <c r="CH28" s="5204" t="s">
        <v>7894</v>
      </c>
      <c r="CI28" s="141"/>
      <c r="CJ28" s="141"/>
      <c r="CK28" s="141"/>
      <c r="CL28" s="4698"/>
      <c r="CM28" s="5200"/>
      <c r="CN28" s="278"/>
      <c r="CO28" s="5">
        <v>1</v>
      </c>
    </row>
    <row r="29" spans="1:93" s="1" customFormat="1" ht="21" customHeight="1" thickTop="1">
      <c r="A29" s="20" t="str">
        <f>IF(OR(I29="A",U29="A"),"A",IF(AND(I29="►",U29="►"),"►",IF(AND(ISBLANK(I29),ISBLANK(U29)),"►","►")))</f>
        <v>A</v>
      </c>
      <c r="B29" s="43" t="str">
        <f t="shared" si="14"/>
        <v>Charcuterie.B.Ballotine de canard sauvage.Recette mère ►.B.Ballotine de canard ceproc</v>
      </c>
      <c r="C29" s="45" t="str">
        <f t="shared" si="15"/>
        <v>Charcuterie</v>
      </c>
      <c r="D29" s="44" t="str">
        <f t="shared" si="16"/>
        <v>B</v>
      </c>
      <c r="E29" s="43" t="str">
        <f t="shared" si="17"/>
        <v>Ballotine de canard sauvage</v>
      </c>
      <c r="F29" s="43" t="str">
        <f t="shared" si="18"/>
        <v>Recette mère ►</v>
      </c>
      <c r="G29" s="43" t="str">
        <f t="shared" si="19"/>
        <v>B.Ballotine de canard ceproc</v>
      </c>
      <c r="H29" s="1256" t="s">
        <v>1</v>
      </c>
      <c r="I29" s="42" t="str">
        <f>IF(OR(P29&lt;&gt;"",Q29&lt;&gt; "",R29&lt;&gt;"",S29&lt;&gt;""),"A", "►")</f>
        <v>►</v>
      </c>
      <c r="J29" s="1058" t="str">
        <f>J25</f>
        <v>Charcuterie.B.Ballotine de canard sauvage.Recette mère ►.B.Ballotine de canard ceproc</v>
      </c>
      <c r="K29" s="1058">
        <f>K25</f>
        <v>3.05</v>
      </c>
      <c r="L29" s="1058" t="str">
        <f>L25</f>
        <v>kg</v>
      </c>
      <c r="M29" s="1418"/>
      <c r="N29" s="1362"/>
      <c r="O29" s="1362"/>
      <c r="P29" s="1362"/>
      <c r="Q29" s="1362"/>
      <c r="R29" s="988"/>
      <c r="S29" s="1325"/>
      <c r="T29" s="43"/>
      <c r="U29" s="214" t="s">
        <v>21</v>
      </c>
      <c r="V29" s="41" t="str">
        <f>V25</f>
        <v>Charcuterie.B.Ballotine de canard sauvage.Recette mère ►.B.Ballotine de canard ceproc</v>
      </c>
      <c r="W29" s="40">
        <f>W25</f>
        <v>3.05</v>
      </c>
      <c r="X29" s="39" t="str">
        <f>X25</f>
        <v>kg</v>
      </c>
      <c r="Y29" s="213"/>
      <c r="Z29" s="256"/>
      <c r="AA29" s="274" t="str">
        <f t="shared" ref="AA29:AA43" si="21">IF(AND(Y29&gt;0,AB29&gt;0),"de","")</f>
        <v/>
      </c>
      <c r="AB29" s="210">
        <v>400</v>
      </c>
      <c r="AC29" s="251" t="s">
        <v>130</v>
      </c>
      <c r="AD29" s="5448">
        <v>1</v>
      </c>
      <c r="AE29" s="33" t="s">
        <v>177</v>
      </c>
      <c r="AF29" s="187"/>
      <c r="AG29" s="32">
        <v>3.05</v>
      </c>
      <c r="AH29" s="31" t="s">
        <v>111</v>
      </c>
      <c r="AI29" s="30">
        <v>10</v>
      </c>
      <c r="AJ29" s="5492">
        <f t="shared" ref="AJ29:AJ92" si="22">IF(ISTEXT(Y29), 0, IFERROR(INDEX($AX$22:$AX$69, MATCH(AC29, $AW$22:$AW$69, 0)) * AB29 * IF(ISBLANK(Y29), 1, Y29), 0))</f>
        <v>0.4</v>
      </c>
      <c r="AK29" s="54">
        <f t="shared" ref="AK29:AK92" si="23">IF(ISNUMBER(AD29), AJ29*AD29*AU29, 0)</f>
        <v>1.3114754098360657</v>
      </c>
      <c r="AL29" s="53" t="str">
        <f t="shared" ref="AL29:AL92" si="24">IF(AND(ISNUMBER(AB29),ISNUMBER(AD29),ISNUMBER(AU29)),IFERROR(_xlfn.LET(_xlpm.m,IF(ISBLANK(Y29),1,Y29),_xlpm.q,AB29*AD29*AU29*_xlpm.m,_xlpm.p,MATCH(AC29,AW$22:AW$69,0),_xlpm.f,INDEX(AX$22:AX$69,_xlpm.p),_xlpm.u,INDEX(AY$22:AY$69,_xlpm.p),_xlpm.s,INDEX(AZ$22:AZ$69,_xlpm.p),IF(_xlpm.q&gt;=_xlpm.s,ROUND(_xlpm.q,0)&amp;" "&amp;AC29&amp;" = "&amp;ROUND(_xlpm.q*_xlpm.f,1)&amp;" "&amp;_xlpm.u,ROUND(_xlpm.q,0)&amp;" "&amp;AC29)),""),"")</f>
        <v>1311 g = 1.3 Kg</v>
      </c>
      <c r="AM29" s="52"/>
      <c r="AN29" s="51">
        <f t="shared" ref="AN29:AN92" si="25">((AK29-(AK29*AM29%)))</f>
        <v>1.3114754098360657</v>
      </c>
      <c r="AO29" s="50">
        <f t="shared" ref="AO29:AO92" si="26">IF(AND(ISNUMBER(AD29), ISNUMBER(Y29)), Y29 * AD29 * AU29, 0)</f>
        <v>0</v>
      </c>
      <c r="AP29" s="49">
        <f t="shared" ref="AP29:AP92" si="27">Z29</f>
        <v>0</v>
      </c>
      <c r="AQ29" s="23">
        <v>1.5</v>
      </c>
      <c r="AR29" s="48">
        <f t="shared" ref="AR29:AR92" si="28">IF(OR(ISBLANK(AQ29),ISTEXT(Y29)),0,IF(AK29=0,Y29,AK29)*AQ29)</f>
        <v>1.9672131147540985</v>
      </c>
      <c r="AS29" s="47"/>
      <c r="AT29" s="13"/>
      <c r="AU29" s="46">
        <f t="shared" ref="AU29:AU92" si="29">IF(OR(ISBLANK(AI29), ISBLANK(AG29)), 0, AI29/AG29)</f>
        <v>3.278688524590164</v>
      </c>
      <c r="AV29" s="187"/>
      <c r="AW29" s="277" t="s">
        <v>176</v>
      </c>
      <c r="AX29" s="241">
        <v>0.33</v>
      </c>
      <c r="AY29" s="273" t="s">
        <v>175</v>
      </c>
      <c r="AZ29" s="223">
        <f t="shared" si="20"/>
        <v>3</v>
      </c>
      <c r="BA29" s="276"/>
      <c r="BB29" s="187"/>
      <c r="BC29" s="270"/>
      <c r="BD29" s="260"/>
      <c r="BE29" s="260"/>
      <c r="BF29" s="260"/>
      <c r="BG29" s="260"/>
      <c r="BH29" s="260"/>
      <c r="BI29" s="260"/>
      <c r="BJ29" s="259"/>
      <c r="BK29" s="62"/>
      <c r="BL29" s="20" t="str">
        <f t="shared" si="13"/>
        <v>A</v>
      </c>
      <c r="BM29" s="62"/>
      <c r="BN29" s="244"/>
      <c r="BO29" s="234"/>
      <c r="BP29" s="234"/>
      <c r="BQ29" s="234"/>
      <c r="BR29" s="234"/>
      <c r="BS29" s="141"/>
      <c r="BT29" s="5204" t="s">
        <v>7895</v>
      </c>
      <c r="BU29" s="141"/>
      <c r="BV29" s="141"/>
      <c r="BW29" s="141"/>
      <c r="BX29" s="4698"/>
      <c r="BY29" s="5200"/>
      <c r="BZ29" s="5201"/>
      <c r="CA29" s="5204" t="s">
        <v>7896</v>
      </c>
      <c r="CB29" s="141"/>
      <c r="CC29" s="141"/>
      <c r="CD29" s="141"/>
      <c r="CE29" s="4698"/>
      <c r="CF29" s="5200"/>
      <c r="CG29" s="2872"/>
      <c r="CH29" s="5204" t="s">
        <v>7897</v>
      </c>
      <c r="CI29" s="141"/>
      <c r="CJ29" s="141"/>
      <c r="CK29" s="141"/>
      <c r="CL29" s="4698"/>
      <c r="CM29" s="5200"/>
      <c r="CN29" s="56" t="s">
        <v>1</v>
      </c>
      <c r="CO29" s="5">
        <v>1</v>
      </c>
    </row>
    <row r="30" spans="1:93" s="1" customFormat="1" ht="21" customHeight="1">
      <c r="A30" s="20" t="str">
        <f t="shared" ref="A30:A93" si="30">IF(OR(I30="A",U30="A"),"A",IF(AND(I30="►",U30="►"),"►",IF(AND(ISBLANK(I30),ISBLANK(U30)),"►","►")))</f>
        <v>A</v>
      </c>
      <c r="B30" s="43" t="str">
        <f t="shared" si="14"/>
        <v>Charcuterie.B.Ballotine de canard sauvage.Recette mère ►.B.Ballotine de canard ceproc</v>
      </c>
      <c r="C30" s="45" t="str">
        <f t="shared" si="15"/>
        <v>Charcuterie</v>
      </c>
      <c r="D30" s="44" t="str">
        <f t="shared" si="16"/>
        <v>B</v>
      </c>
      <c r="E30" s="43" t="str">
        <f t="shared" si="17"/>
        <v>Ballotine de canard sauvage</v>
      </c>
      <c r="F30" s="43" t="str">
        <f t="shared" si="18"/>
        <v>Recette mère ►</v>
      </c>
      <c r="G30" s="43" t="str">
        <f t="shared" si="19"/>
        <v>B.Ballotine de canard ceproc</v>
      </c>
      <c r="H30" s="1256" t="s">
        <v>1</v>
      </c>
      <c r="I30" s="42" t="str">
        <f t="shared" ref="I30:I40" si="31">IF(OR(P30&lt;&gt;"",Q30&lt;&gt; "",R30&lt;&gt;"",S30&lt;&gt;""),"A", "►")</f>
        <v>A</v>
      </c>
      <c r="J30" s="1058" t="str">
        <f>J25</f>
        <v>Charcuterie.B.Ballotine de canard sauvage.Recette mère ►.B.Ballotine de canard ceproc</v>
      </c>
      <c r="K30" s="1058">
        <f>K25</f>
        <v>3.05</v>
      </c>
      <c r="L30" s="1058" t="str">
        <f>L25</f>
        <v>kg</v>
      </c>
      <c r="M30" s="1418"/>
      <c r="N30" s="988"/>
      <c r="O30" s="988"/>
      <c r="P30" s="988" t="s">
        <v>7860</v>
      </c>
      <c r="Q30" s="988"/>
      <c r="R30" s="988"/>
      <c r="S30" s="1325"/>
      <c r="T30" s="43"/>
      <c r="U30" s="42" t="str">
        <f t="shared" ref="U30:U69" si="32">IF(AE30&lt;&gt;"","A","►")</f>
        <v>A</v>
      </c>
      <c r="V30" s="41" t="str">
        <f>V25</f>
        <v>Charcuterie.B.Ballotine de canard sauvage.Recette mère ►.B.Ballotine de canard ceproc</v>
      </c>
      <c r="W30" s="40">
        <f>W25</f>
        <v>3.05</v>
      </c>
      <c r="X30" s="39" t="str">
        <f>X25</f>
        <v>kg</v>
      </c>
      <c r="Y30" s="213"/>
      <c r="Z30" s="256"/>
      <c r="AA30" s="211" t="str">
        <f t="shared" si="21"/>
        <v/>
      </c>
      <c r="AB30" s="210">
        <v>200</v>
      </c>
      <c r="AC30" s="251" t="s">
        <v>130</v>
      </c>
      <c r="AD30" s="5448">
        <v>1</v>
      </c>
      <c r="AE30" s="33" t="s">
        <v>174</v>
      </c>
      <c r="AF30" s="187"/>
      <c r="AG30" s="32">
        <v>3.05</v>
      </c>
      <c r="AH30" s="31" t="s">
        <v>111</v>
      </c>
      <c r="AI30" s="30">
        <v>10</v>
      </c>
      <c r="AJ30" s="5492">
        <f t="shared" si="22"/>
        <v>0.2</v>
      </c>
      <c r="AK30" s="29">
        <f t="shared" si="23"/>
        <v>0.65573770491803285</v>
      </c>
      <c r="AL30" s="28" t="str">
        <f t="shared" si="24"/>
        <v>656 g</v>
      </c>
      <c r="AM30" s="27"/>
      <c r="AN30" s="26">
        <f t="shared" si="25"/>
        <v>0.65573770491803285</v>
      </c>
      <c r="AO30" s="25">
        <f t="shared" si="26"/>
        <v>0</v>
      </c>
      <c r="AP30" s="24">
        <f t="shared" si="27"/>
        <v>0</v>
      </c>
      <c r="AQ30" s="23">
        <v>1.5</v>
      </c>
      <c r="AR30" s="22">
        <f t="shared" si="28"/>
        <v>0.98360655737704927</v>
      </c>
      <c r="AS30" s="21"/>
      <c r="AT30" s="13"/>
      <c r="AU30" s="46">
        <f t="shared" si="29"/>
        <v>3.278688524590164</v>
      </c>
      <c r="AV30" s="187"/>
      <c r="AW30" s="272" t="s">
        <v>88</v>
      </c>
      <c r="AX30" s="225">
        <v>1</v>
      </c>
      <c r="AY30" s="271" t="s">
        <v>88</v>
      </c>
      <c r="AZ30" s="273">
        <v>0</v>
      </c>
      <c r="BA30" s="222">
        <v>1000</v>
      </c>
      <c r="BB30" s="187"/>
      <c r="BC30" s="270"/>
      <c r="BD30" s="260"/>
      <c r="BE30" s="260"/>
      <c r="BF30" s="260"/>
      <c r="BG30" s="260"/>
      <c r="BH30" s="260"/>
      <c r="BI30" s="260"/>
      <c r="BJ30" s="259"/>
      <c r="BK30" s="62"/>
      <c r="BL30" s="20" t="str">
        <f t="shared" si="13"/>
        <v>A</v>
      </c>
      <c r="BM30" s="62"/>
      <c r="BN30" s="244"/>
      <c r="BO30" s="234"/>
      <c r="BP30" s="234"/>
      <c r="BQ30" s="234"/>
      <c r="BR30" s="234"/>
      <c r="BS30" s="141"/>
      <c r="BT30" s="5212"/>
      <c r="BU30" s="141"/>
      <c r="BV30" s="141"/>
      <c r="BW30" s="141"/>
      <c r="BX30" s="498"/>
      <c r="BY30" s="5200"/>
      <c r="BZ30" s="5201"/>
      <c r="CA30" s="5212"/>
      <c r="CB30" s="141"/>
      <c r="CC30" s="141"/>
      <c r="CD30" s="141"/>
      <c r="CE30" s="498"/>
      <c r="CF30" s="5200"/>
      <c r="CG30" s="5201"/>
      <c r="CH30" s="5212"/>
      <c r="CI30" s="141"/>
      <c r="CJ30" s="141"/>
      <c r="CK30" s="141"/>
      <c r="CL30" s="498"/>
      <c r="CM30" s="5200"/>
      <c r="CN30" s="56" t="s">
        <v>1</v>
      </c>
      <c r="CO30" s="5">
        <v>1</v>
      </c>
    </row>
    <row r="31" spans="1:93" s="1" customFormat="1" ht="21" customHeight="1">
      <c r="A31" s="20" t="str">
        <f t="shared" si="30"/>
        <v>A</v>
      </c>
      <c r="B31" s="43" t="str">
        <f t="shared" si="14"/>
        <v>Charcuterie.B.Ballotine de canard sauvage.Recette mère ►.B.Ballotine de canard ceproc</v>
      </c>
      <c r="C31" s="45" t="str">
        <f t="shared" si="15"/>
        <v>Charcuterie</v>
      </c>
      <c r="D31" s="44" t="str">
        <f t="shared" si="16"/>
        <v>B</v>
      </c>
      <c r="E31" s="43" t="str">
        <f t="shared" si="17"/>
        <v>Ballotine de canard sauvage</v>
      </c>
      <c r="F31" s="43" t="str">
        <f t="shared" si="18"/>
        <v>Recette mère ►</v>
      </c>
      <c r="G31" s="43" t="str">
        <f t="shared" si="19"/>
        <v>B.Ballotine de canard ceproc</v>
      </c>
      <c r="H31" s="1256" t="s">
        <v>1</v>
      </c>
      <c r="I31" s="42" t="str">
        <f t="shared" si="31"/>
        <v>A</v>
      </c>
      <c r="J31" s="1058" t="str">
        <f>J25</f>
        <v>Charcuterie.B.Ballotine de canard sauvage.Recette mère ►.B.Ballotine de canard ceproc</v>
      </c>
      <c r="K31" s="1058">
        <f>K25</f>
        <v>3.05</v>
      </c>
      <c r="L31" s="1058" t="str">
        <f>L25</f>
        <v>kg</v>
      </c>
      <c r="M31" s="1418"/>
      <c r="N31" s="988"/>
      <c r="O31" s="988"/>
      <c r="P31" s="988" t="s">
        <v>7859</v>
      </c>
      <c r="Q31" s="988"/>
      <c r="R31" s="988"/>
      <c r="S31" s="1325"/>
      <c r="T31" s="43"/>
      <c r="U31" s="42" t="str">
        <f t="shared" si="32"/>
        <v>A</v>
      </c>
      <c r="V31" s="41" t="str">
        <f>V25</f>
        <v>Charcuterie.B.Ballotine de canard sauvage.Recette mère ►.B.Ballotine de canard ceproc</v>
      </c>
      <c r="W31" s="40">
        <f>W25</f>
        <v>3.05</v>
      </c>
      <c r="X31" s="39" t="str">
        <f>X25</f>
        <v>kg</v>
      </c>
      <c r="Y31" s="213"/>
      <c r="Z31" s="212"/>
      <c r="AA31" s="274" t="str">
        <f t="shared" si="21"/>
        <v/>
      </c>
      <c r="AB31" s="210">
        <v>250</v>
      </c>
      <c r="AC31" s="251" t="s">
        <v>130</v>
      </c>
      <c r="AD31" s="5448">
        <v>1</v>
      </c>
      <c r="AE31" s="33" t="s">
        <v>173</v>
      </c>
      <c r="AF31" s="187"/>
      <c r="AG31" s="32">
        <v>3.05</v>
      </c>
      <c r="AH31" s="31" t="s">
        <v>111</v>
      </c>
      <c r="AI31" s="30">
        <v>10</v>
      </c>
      <c r="AJ31" s="5492">
        <f t="shared" si="22"/>
        <v>0.25</v>
      </c>
      <c r="AK31" s="54">
        <f t="shared" si="23"/>
        <v>0.81967213114754101</v>
      </c>
      <c r="AL31" s="53" t="str">
        <f t="shared" si="24"/>
        <v>820 g</v>
      </c>
      <c r="AM31" s="52"/>
      <c r="AN31" s="51">
        <f t="shared" si="25"/>
        <v>0.81967213114754101</v>
      </c>
      <c r="AO31" s="50">
        <f t="shared" si="26"/>
        <v>0</v>
      </c>
      <c r="AP31" s="49">
        <f t="shared" si="27"/>
        <v>0</v>
      </c>
      <c r="AQ31" s="23">
        <v>1.5</v>
      </c>
      <c r="AR31" s="48">
        <f t="shared" si="28"/>
        <v>1.2295081967213115</v>
      </c>
      <c r="AS31" s="47"/>
      <c r="AT31" s="13"/>
      <c r="AU31" s="46">
        <f t="shared" si="29"/>
        <v>3.278688524590164</v>
      </c>
      <c r="AV31" s="187"/>
      <c r="AW31" s="272" t="s">
        <v>172</v>
      </c>
      <c r="AX31" s="225">
        <v>0.1</v>
      </c>
      <c r="AY31" s="271" t="s">
        <v>88</v>
      </c>
      <c r="AZ31" s="223">
        <f>ROUND(1/AX31,0)</f>
        <v>10</v>
      </c>
      <c r="BA31" s="222">
        <v>100</v>
      </c>
      <c r="BB31" s="187"/>
      <c r="BC31" s="270"/>
      <c r="BD31" s="260"/>
      <c r="BE31" s="260"/>
      <c r="BF31" s="260"/>
      <c r="BG31" s="260"/>
      <c r="BH31" s="260"/>
      <c r="BI31" s="260"/>
      <c r="BJ31" s="259"/>
      <c r="BK31" s="62"/>
      <c r="BL31" s="20" t="str">
        <f t="shared" si="13"/>
        <v>A</v>
      </c>
      <c r="BM31" s="62"/>
      <c r="BN31" s="186"/>
      <c r="BO31" s="186"/>
      <c r="BP31" s="186"/>
      <c r="BQ31" s="186"/>
      <c r="BR31" s="186"/>
      <c r="BS31" s="141"/>
      <c r="BT31" s="5204" t="s">
        <v>7898</v>
      </c>
      <c r="BU31" s="141"/>
      <c r="BV31" s="141"/>
      <c r="BW31" s="141"/>
      <c r="BX31" s="498"/>
      <c r="BY31" s="5200"/>
      <c r="BZ31" s="5201"/>
      <c r="CA31" s="5204" t="s">
        <v>7899</v>
      </c>
      <c r="CB31" s="141"/>
      <c r="CC31" s="141"/>
      <c r="CD31" s="141"/>
      <c r="CE31" s="498"/>
      <c r="CF31" s="5200"/>
      <c r="CG31" s="5201"/>
      <c r="CH31" s="5204" t="s">
        <v>7900</v>
      </c>
      <c r="CI31" s="141"/>
      <c r="CJ31" s="141"/>
      <c r="CK31" s="141"/>
      <c r="CL31" s="498"/>
      <c r="CM31" s="5200"/>
      <c r="CN31" s="56" t="s">
        <v>1</v>
      </c>
      <c r="CO31" s="5">
        <v>1</v>
      </c>
    </row>
    <row r="32" spans="1:93" s="1" customFormat="1" ht="21" customHeight="1">
      <c r="A32" s="20" t="str">
        <f t="shared" si="30"/>
        <v>A</v>
      </c>
      <c r="B32" s="43" t="str">
        <f t="shared" si="14"/>
        <v>Charcuterie.B.Ballotine de canard sauvage.Recette mère ►.B.Ballotine de canard ceproc</v>
      </c>
      <c r="C32" s="45" t="str">
        <f t="shared" si="15"/>
        <v>Charcuterie</v>
      </c>
      <c r="D32" s="44" t="str">
        <f t="shared" si="16"/>
        <v>B</v>
      </c>
      <c r="E32" s="43" t="str">
        <f t="shared" si="17"/>
        <v>Ballotine de canard sauvage</v>
      </c>
      <c r="F32" s="43" t="str">
        <f t="shared" si="18"/>
        <v>Recette mère ►</v>
      </c>
      <c r="G32" s="43" t="str">
        <f t="shared" si="19"/>
        <v>B.Ballotine de canard ceproc</v>
      </c>
      <c r="H32" s="1256" t="s">
        <v>1</v>
      </c>
      <c r="I32" s="42" t="str">
        <f t="shared" si="31"/>
        <v>A</v>
      </c>
      <c r="J32" s="1058" t="str">
        <f>J25</f>
        <v>Charcuterie.B.Ballotine de canard sauvage.Recette mère ►.B.Ballotine de canard ceproc</v>
      </c>
      <c r="K32" s="1058">
        <f>K25</f>
        <v>3.05</v>
      </c>
      <c r="L32" s="1058" t="str">
        <f>L25</f>
        <v>kg</v>
      </c>
      <c r="M32" s="1418"/>
      <c r="N32" s="988"/>
      <c r="O32" s="988"/>
      <c r="P32" s="988" t="s">
        <v>7861</v>
      </c>
      <c r="Q32" s="988"/>
      <c r="R32" s="988"/>
      <c r="S32" s="1325"/>
      <c r="T32" s="43"/>
      <c r="U32" s="42" t="str">
        <f t="shared" si="32"/>
        <v>A</v>
      </c>
      <c r="V32" s="41" t="str">
        <f>V25</f>
        <v>Charcuterie.B.Ballotine de canard sauvage.Recette mère ►.B.Ballotine de canard ceproc</v>
      </c>
      <c r="W32" s="40">
        <f>W25</f>
        <v>3.05</v>
      </c>
      <c r="X32" s="39" t="str">
        <f>X25</f>
        <v>kg</v>
      </c>
      <c r="Y32" s="252"/>
      <c r="Z32" s="212"/>
      <c r="AA32" s="211" t="str">
        <f t="shared" si="21"/>
        <v/>
      </c>
      <c r="AB32" s="210">
        <v>200</v>
      </c>
      <c r="AC32" s="251" t="s">
        <v>130</v>
      </c>
      <c r="AD32" s="5448">
        <v>1</v>
      </c>
      <c r="AE32" s="33" t="s">
        <v>171</v>
      </c>
      <c r="AF32" s="187"/>
      <c r="AG32" s="32">
        <v>3.05</v>
      </c>
      <c r="AH32" s="31" t="s">
        <v>111</v>
      </c>
      <c r="AI32" s="30">
        <v>10</v>
      </c>
      <c r="AJ32" s="5492">
        <f t="shared" si="22"/>
        <v>0.2</v>
      </c>
      <c r="AK32" s="29">
        <f t="shared" si="23"/>
        <v>0.65573770491803285</v>
      </c>
      <c r="AL32" s="28" t="str">
        <f t="shared" si="24"/>
        <v>656 g</v>
      </c>
      <c r="AM32" s="27"/>
      <c r="AN32" s="26">
        <f t="shared" si="25"/>
        <v>0.65573770491803285</v>
      </c>
      <c r="AO32" s="25">
        <f t="shared" si="26"/>
        <v>0</v>
      </c>
      <c r="AP32" s="24">
        <f t="shared" si="27"/>
        <v>0</v>
      </c>
      <c r="AQ32" s="23">
        <v>1.5</v>
      </c>
      <c r="AR32" s="22">
        <f t="shared" si="28"/>
        <v>0.98360655737704927</v>
      </c>
      <c r="AS32" s="21"/>
      <c r="AT32" s="13"/>
      <c r="AU32" s="46">
        <f t="shared" si="29"/>
        <v>3.278688524590164</v>
      </c>
      <c r="AV32" s="187"/>
      <c r="AW32" s="272" t="s">
        <v>170</v>
      </c>
      <c r="AX32" s="225">
        <v>0.01</v>
      </c>
      <c r="AY32" s="271" t="s">
        <v>88</v>
      </c>
      <c r="AZ32" s="273">
        <v>100</v>
      </c>
      <c r="BA32" s="222">
        <v>10</v>
      </c>
      <c r="BB32" s="187"/>
      <c r="BC32" s="270"/>
      <c r="BD32" s="260"/>
      <c r="BE32" s="260"/>
      <c r="BF32" s="260"/>
      <c r="BG32" s="260"/>
      <c r="BH32" s="260"/>
      <c r="BI32" s="260"/>
      <c r="BJ32" s="259"/>
      <c r="BK32" s="62"/>
      <c r="BL32" s="20" t="str">
        <f t="shared" si="13"/>
        <v>A</v>
      </c>
      <c r="BM32" s="62"/>
      <c r="BN32" s="186"/>
      <c r="BO32" s="186"/>
      <c r="BP32" s="186"/>
      <c r="BQ32" s="186"/>
      <c r="BR32" s="186"/>
      <c r="BS32" s="141"/>
      <c r="BT32" s="5202" t="s">
        <v>7901</v>
      </c>
      <c r="BU32" s="141"/>
      <c r="BV32" s="141"/>
      <c r="BW32" s="141"/>
      <c r="BX32" s="498"/>
      <c r="BY32" s="5200"/>
      <c r="BZ32" s="5201"/>
      <c r="CA32" s="5202" t="s">
        <v>7902</v>
      </c>
      <c r="CB32" s="141"/>
      <c r="CC32" s="141"/>
      <c r="CD32" s="141"/>
      <c r="CE32" s="498"/>
      <c r="CF32" s="5200"/>
      <c r="CG32" s="5201"/>
      <c r="CH32" s="5202" t="s">
        <v>7903</v>
      </c>
      <c r="CI32" s="141"/>
      <c r="CJ32" s="141"/>
      <c r="CK32" s="141"/>
      <c r="CL32" s="498"/>
      <c r="CM32" s="5200"/>
      <c r="CN32" s="56" t="s">
        <v>1</v>
      </c>
      <c r="CO32" s="5">
        <v>1</v>
      </c>
    </row>
    <row r="33" spans="1:93" s="1" customFormat="1" ht="21" customHeight="1">
      <c r="A33" s="20" t="str">
        <f t="shared" si="30"/>
        <v>A</v>
      </c>
      <c r="B33" s="43" t="str">
        <f t="shared" si="14"/>
        <v>Charcuterie.B.Ballotine de canard sauvage.Recette mère ►.B.Ballotine de canard ceproc</v>
      </c>
      <c r="C33" s="45" t="str">
        <f t="shared" si="15"/>
        <v>Charcuterie</v>
      </c>
      <c r="D33" s="44" t="str">
        <f t="shared" si="16"/>
        <v>B</v>
      </c>
      <c r="E33" s="43" t="str">
        <f t="shared" si="17"/>
        <v>Ballotine de canard sauvage</v>
      </c>
      <c r="F33" s="43" t="str">
        <f t="shared" si="18"/>
        <v>Recette mère ►</v>
      </c>
      <c r="G33" s="43" t="str">
        <f t="shared" si="19"/>
        <v>B.Ballotine de canard ceproc</v>
      </c>
      <c r="H33" s="1256" t="s">
        <v>1</v>
      </c>
      <c r="I33" s="42" t="str">
        <f t="shared" si="31"/>
        <v>A</v>
      </c>
      <c r="J33" s="1058" t="str">
        <f>J25</f>
        <v>Charcuterie.B.Ballotine de canard sauvage.Recette mère ►.B.Ballotine de canard ceproc</v>
      </c>
      <c r="K33" s="1058">
        <f>K25</f>
        <v>3.05</v>
      </c>
      <c r="L33" s="1058" t="str">
        <f>L25</f>
        <v>kg</v>
      </c>
      <c r="M33" s="1418"/>
      <c r="N33" s="988"/>
      <c r="O33" s="988"/>
      <c r="P33" s="988" t="s">
        <v>7862</v>
      </c>
      <c r="Q33" s="988"/>
      <c r="R33" s="988"/>
      <c r="S33" s="1325"/>
      <c r="T33" s="43"/>
      <c r="U33" s="42" t="str">
        <f t="shared" si="32"/>
        <v>A</v>
      </c>
      <c r="V33" s="41" t="str">
        <f>V25</f>
        <v>Charcuterie.B.Ballotine de canard sauvage.Recette mère ►.B.Ballotine de canard ceproc</v>
      </c>
      <c r="W33" s="40">
        <f>W25</f>
        <v>3.05</v>
      </c>
      <c r="X33" s="39" t="str">
        <f>X25</f>
        <v>kg</v>
      </c>
      <c r="Y33" s="252"/>
      <c r="Z33" s="212"/>
      <c r="AA33" s="211" t="str">
        <f t="shared" si="21"/>
        <v/>
      </c>
      <c r="AB33" s="210">
        <v>200</v>
      </c>
      <c r="AC33" s="251" t="s">
        <v>130</v>
      </c>
      <c r="AD33" s="5448">
        <v>1</v>
      </c>
      <c r="AE33" s="33" t="s">
        <v>167</v>
      </c>
      <c r="AF33" s="187"/>
      <c r="AG33" s="32">
        <v>3.05</v>
      </c>
      <c r="AH33" s="31" t="s">
        <v>111</v>
      </c>
      <c r="AI33" s="30">
        <v>10</v>
      </c>
      <c r="AJ33" s="5492">
        <f t="shared" si="22"/>
        <v>0.2</v>
      </c>
      <c r="AK33" s="54">
        <f t="shared" si="23"/>
        <v>0.65573770491803285</v>
      </c>
      <c r="AL33" s="53" t="str">
        <f t="shared" si="24"/>
        <v>656 g</v>
      </c>
      <c r="AM33" s="52"/>
      <c r="AN33" s="51">
        <f t="shared" si="25"/>
        <v>0.65573770491803285</v>
      </c>
      <c r="AO33" s="50">
        <f t="shared" si="26"/>
        <v>0</v>
      </c>
      <c r="AP33" s="49">
        <f t="shared" si="27"/>
        <v>0</v>
      </c>
      <c r="AQ33" s="23">
        <v>1.5</v>
      </c>
      <c r="AR33" s="48">
        <f t="shared" si="28"/>
        <v>0.98360655737704927</v>
      </c>
      <c r="AS33" s="47"/>
      <c r="AT33" s="13"/>
      <c r="AU33" s="46">
        <f t="shared" si="29"/>
        <v>3.278688524590164</v>
      </c>
      <c r="AV33" s="187"/>
      <c r="AW33" s="272" t="s">
        <v>166</v>
      </c>
      <c r="AX33" s="225">
        <v>1E-3</v>
      </c>
      <c r="AY33" s="271" t="s">
        <v>88</v>
      </c>
      <c r="AZ33" s="223">
        <f t="shared" ref="AZ33:AZ69" si="33">ROUND(1/AX33,0)</f>
        <v>1000</v>
      </c>
      <c r="BA33" s="222">
        <v>1</v>
      </c>
      <c r="BB33" s="187"/>
      <c r="BC33" s="270"/>
      <c r="BD33" s="260"/>
      <c r="BE33" s="260"/>
      <c r="BF33" s="260"/>
      <c r="BG33" s="260"/>
      <c r="BH33" s="260"/>
      <c r="BI33" s="260"/>
      <c r="BJ33" s="259"/>
      <c r="BK33" s="62"/>
      <c r="BL33" s="20" t="str">
        <f t="shared" si="13"/>
        <v>A</v>
      </c>
      <c r="BM33" s="62"/>
      <c r="BN33" s="186"/>
      <c r="BO33" s="186"/>
      <c r="BP33" s="186"/>
      <c r="BQ33" s="186"/>
      <c r="BR33" s="186"/>
      <c r="BS33" s="141"/>
      <c r="BT33" s="5202" t="s">
        <v>7904</v>
      </c>
      <c r="BU33" s="141"/>
      <c r="BV33" s="141"/>
      <c r="BW33" s="141"/>
      <c r="BX33" s="498"/>
      <c r="BY33" s="5200"/>
      <c r="BZ33" s="5201"/>
      <c r="CA33" s="5202" t="s">
        <v>7905</v>
      </c>
      <c r="CB33" s="141"/>
      <c r="CC33" s="141"/>
      <c r="CD33" s="141"/>
      <c r="CE33" s="498"/>
      <c r="CF33" s="5200"/>
      <c r="CG33" s="5201"/>
      <c r="CH33" s="5202" t="s">
        <v>7906</v>
      </c>
      <c r="CI33" s="141"/>
      <c r="CJ33" s="141"/>
      <c r="CK33" s="141"/>
      <c r="CL33" s="498"/>
      <c r="CM33" s="5200"/>
      <c r="CN33" s="56" t="s">
        <v>1</v>
      </c>
      <c r="CO33" s="5">
        <v>1</v>
      </c>
    </row>
    <row r="34" spans="1:93" s="1" customFormat="1" ht="21" customHeight="1">
      <c r="A34" s="20" t="str">
        <f t="shared" si="30"/>
        <v>A</v>
      </c>
      <c r="B34" s="43" t="str">
        <f t="shared" si="14"/>
        <v>Charcuterie.B.Ballotine de canard sauvage.Recette mère ►.B.Ballotine de canard ceproc</v>
      </c>
      <c r="C34" s="45" t="str">
        <f t="shared" si="15"/>
        <v>Charcuterie</v>
      </c>
      <c r="D34" s="44" t="str">
        <f t="shared" si="16"/>
        <v>B</v>
      </c>
      <c r="E34" s="43" t="str">
        <f t="shared" si="17"/>
        <v>Ballotine de canard sauvage</v>
      </c>
      <c r="F34" s="43" t="str">
        <f t="shared" si="18"/>
        <v>Recette mère ►</v>
      </c>
      <c r="G34" s="43" t="str">
        <f t="shared" si="19"/>
        <v>B.Ballotine de canard ceproc</v>
      </c>
      <c r="H34" s="1256" t="s">
        <v>1</v>
      </c>
      <c r="I34" s="42" t="str">
        <f t="shared" si="31"/>
        <v>►</v>
      </c>
      <c r="J34" s="1058" t="str">
        <f>J25</f>
        <v>Charcuterie.B.Ballotine de canard sauvage.Recette mère ►.B.Ballotine de canard ceproc</v>
      </c>
      <c r="K34" s="1058">
        <f>K25</f>
        <v>3.05</v>
      </c>
      <c r="L34" s="1058" t="str">
        <f>L25</f>
        <v>kg</v>
      </c>
      <c r="M34" s="1418"/>
      <c r="N34" s="988"/>
      <c r="O34" s="988"/>
      <c r="P34" s="988"/>
      <c r="Q34" s="988"/>
      <c r="R34" s="988"/>
      <c r="S34" s="1325"/>
      <c r="T34" s="43"/>
      <c r="U34" s="42" t="str">
        <f t="shared" si="32"/>
        <v>A</v>
      </c>
      <c r="V34" s="41" t="str">
        <f>V25</f>
        <v>Charcuterie.B.Ballotine de canard sauvage.Recette mère ►.B.Ballotine de canard ceproc</v>
      </c>
      <c r="W34" s="40">
        <f>W25</f>
        <v>3.05</v>
      </c>
      <c r="X34" s="39" t="str">
        <f>X25</f>
        <v>kg</v>
      </c>
      <c r="Y34" s="252"/>
      <c r="Z34" s="212"/>
      <c r="AA34" s="211" t="str">
        <f t="shared" si="21"/>
        <v/>
      </c>
      <c r="AB34" s="210">
        <v>70</v>
      </c>
      <c r="AC34" s="251" t="s">
        <v>130</v>
      </c>
      <c r="AD34" s="5448">
        <v>1</v>
      </c>
      <c r="AE34" s="33" t="s">
        <v>165</v>
      </c>
      <c r="AF34" s="187"/>
      <c r="AG34" s="32">
        <v>3.05</v>
      </c>
      <c r="AH34" s="31" t="s">
        <v>111</v>
      </c>
      <c r="AI34" s="30">
        <v>10</v>
      </c>
      <c r="AJ34" s="5492">
        <f t="shared" si="22"/>
        <v>7.0000000000000007E-2</v>
      </c>
      <c r="AK34" s="29">
        <f t="shared" si="23"/>
        <v>0.22950819672131151</v>
      </c>
      <c r="AL34" s="28" t="str">
        <f t="shared" si="24"/>
        <v>230 g</v>
      </c>
      <c r="AM34" s="27"/>
      <c r="AN34" s="26">
        <f t="shared" si="25"/>
        <v>0.22950819672131151</v>
      </c>
      <c r="AO34" s="25">
        <f t="shared" si="26"/>
        <v>0</v>
      </c>
      <c r="AP34" s="24">
        <f t="shared" si="27"/>
        <v>0</v>
      </c>
      <c r="AQ34" s="23">
        <v>1.5</v>
      </c>
      <c r="AR34" s="22">
        <f t="shared" si="28"/>
        <v>0.34426229508196726</v>
      </c>
      <c r="AS34" s="21"/>
      <c r="AT34" s="13"/>
      <c r="AU34" s="46">
        <f t="shared" si="29"/>
        <v>3.278688524590164</v>
      </c>
      <c r="AV34" s="187"/>
      <c r="AW34" s="265" t="s">
        <v>164</v>
      </c>
      <c r="AX34" s="225">
        <f t="shared" ref="AX34:AX69" si="34">BA34 / 1000</f>
        <v>0.25</v>
      </c>
      <c r="AY34" s="224" t="s">
        <v>88</v>
      </c>
      <c r="AZ34" s="223">
        <f t="shared" si="33"/>
        <v>4</v>
      </c>
      <c r="BA34" s="222">
        <v>250</v>
      </c>
      <c r="BB34" s="187"/>
      <c r="BC34" s="269"/>
      <c r="BD34" s="268" t="s">
        <v>163</v>
      </c>
      <c r="BE34" s="267"/>
      <c r="BF34" s="260"/>
      <c r="BG34" s="260"/>
      <c r="BH34" s="260"/>
      <c r="BI34" s="260"/>
      <c r="BJ34" s="259"/>
      <c r="BK34" s="62"/>
      <c r="BL34" s="20" t="str">
        <f t="shared" si="13"/>
        <v>A</v>
      </c>
      <c r="BM34" s="62"/>
      <c r="BN34" s="186"/>
      <c r="BO34" s="186"/>
      <c r="BP34" s="186"/>
      <c r="BQ34" s="186"/>
      <c r="BR34" s="186"/>
      <c r="BS34" s="141"/>
      <c r="BT34" s="5202" t="s">
        <v>7907</v>
      </c>
      <c r="BU34" s="141"/>
      <c r="BV34" s="141"/>
      <c r="BW34" s="141"/>
      <c r="BX34" s="498"/>
      <c r="BY34" s="5200"/>
      <c r="BZ34" s="5201"/>
      <c r="CA34" s="5202" t="s">
        <v>7908</v>
      </c>
      <c r="CB34" s="141"/>
      <c r="CC34" s="141"/>
      <c r="CD34" s="141"/>
      <c r="CE34" s="498"/>
      <c r="CF34" s="5200"/>
      <c r="CG34" s="5201"/>
      <c r="CH34" s="5202" t="s">
        <v>7909</v>
      </c>
      <c r="CI34" s="141"/>
      <c r="CJ34" s="141"/>
      <c r="CK34" s="141"/>
      <c r="CL34" s="498"/>
      <c r="CM34" s="5200"/>
      <c r="CN34" s="56" t="s">
        <v>1</v>
      </c>
      <c r="CO34" s="5">
        <v>1</v>
      </c>
    </row>
    <row r="35" spans="1:93" s="1" customFormat="1" ht="21" customHeight="1">
      <c r="A35" s="20" t="str">
        <f t="shared" si="30"/>
        <v>A</v>
      </c>
      <c r="B35" s="43" t="str">
        <f t="shared" si="14"/>
        <v>Charcuterie.B.Ballotine de canard sauvage.Recette mère ►.B.Ballotine de canard ceproc</v>
      </c>
      <c r="C35" s="45" t="str">
        <f t="shared" si="15"/>
        <v>Charcuterie</v>
      </c>
      <c r="D35" s="44" t="str">
        <f t="shared" si="16"/>
        <v>B</v>
      </c>
      <c r="E35" s="43" t="str">
        <f t="shared" si="17"/>
        <v>Ballotine de canard sauvage</v>
      </c>
      <c r="F35" s="43" t="str">
        <f t="shared" si="18"/>
        <v>Recette mère ►</v>
      </c>
      <c r="G35" s="43" t="str">
        <f t="shared" si="19"/>
        <v>B.Ballotine de canard ceproc</v>
      </c>
      <c r="H35" s="1256" t="s">
        <v>1</v>
      </c>
      <c r="I35" s="42" t="str">
        <f t="shared" si="31"/>
        <v>►</v>
      </c>
      <c r="J35" s="1058" t="str">
        <f>J25</f>
        <v>Charcuterie.B.Ballotine de canard sauvage.Recette mère ►.B.Ballotine de canard ceproc</v>
      </c>
      <c r="K35" s="1058">
        <f>K25</f>
        <v>3.05</v>
      </c>
      <c r="L35" s="1058" t="str">
        <f>L25</f>
        <v>kg</v>
      </c>
      <c r="M35" s="1418"/>
      <c r="N35" s="988"/>
      <c r="O35" s="988"/>
      <c r="P35" s="988"/>
      <c r="Q35" s="988"/>
      <c r="R35" s="988"/>
      <c r="S35" s="1325"/>
      <c r="T35" s="43"/>
      <c r="U35" s="42" t="str">
        <f t="shared" si="32"/>
        <v>A</v>
      </c>
      <c r="V35" s="41" t="str">
        <f>V25</f>
        <v>Charcuterie.B.Ballotine de canard sauvage.Recette mère ►.B.Ballotine de canard ceproc</v>
      </c>
      <c r="W35" s="40">
        <f>W25</f>
        <v>3.05</v>
      </c>
      <c r="X35" s="39" t="str">
        <f>X25</f>
        <v>kg</v>
      </c>
      <c r="Y35" s="252"/>
      <c r="Z35" s="212"/>
      <c r="AA35" s="211" t="str">
        <f t="shared" si="21"/>
        <v/>
      </c>
      <c r="AB35" s="210">
        <v>100</v>
      </c>
      <c r="AC35" s="251" t="s">
        <v>130</v>
      </c>
      <c r="AD35" s="5448">
        <v>1</v>
      </c>
      <c r="AE35" s="33" t="s">
        <v>160</v>
      </c>
      <c r="AF35" s="187"/>
      <c r="AG35" s="32">
        <v>3.05</v>
      </c>
      <c r="AH35" s="31" t="s">
        <v>111</v>
      </c>
      <c r="AI35" s="30">
        <v>10</v>
      </c>
      <c r="AJ35" s="5492">
        <f t="shared" si="22"/>
        <v>0.1</v>
      </c>
      <c r="AK35" s="54">
        <f t="shared" si="23"/>
        <v>0.32786885245901642</v>
      </c>
      <c r="AL35" s="53" t="str">
        <f t="shared" si="24"/>
        <v>328 g</v>
      </c>
      <c r="AM35" s="52"/>
      <c r="AN35" s="51">
        <f t="shared" si="25"/>
        <v>0.32786885245901642</v>
      </c>
      <c r="AO35" s="50">
        <f t="shared" si="26"/>
        <v>0</v>
      </c>
      <c r="AP35" s="49">
        <f t="shared" si="27"/>
        <v>0</v>
      </c>
      <c r="AQ35" s="23">
        <v>1.5</v>
      </c>
      <c r="AR35" s="48">
        <f t="shared" si="28"/>
        <v>0.49180327868852464</v>
      </c>
      <c r="AS35" s="47"/>
      <c r="AT35" s="13"/>
      <c r="AU35" s="46">
        <f t="shared" si="29"/>
        <v>3.278688524590164</v>
      </c>
      <c r="AV35" s="187"/>
      <c r="AW35" s="265" t="s">
        <v>159</v>
      </c>
      <c r="AX35" s="225">
        <f t="shared" si="34"/>
        <v>0.5</v>
      </c>
      <c r="AY35" s="224" t="s">
        <v>88</v>
      </c>
      <c r="AZ35" s="223">
        <f t="shared" si="33"/>
        <v>2</v>
      </c>
      <c r="BA35" s="222">
        <v>500</v>
      </c>
      <c r="BB35" s="187"/>
      <c r="BC35" s="263" t="s">
        <v>158</v>
      </c>
      <c r="BD35" s="260"/>
      <c r="BE35" s="260"/>
      <c r="BF35" s="260"/>
      <c r="BG35" s="260"/>
      <c r="BH35" s="260"/>
      <c r="BI35" s="260"/>
      <c r="BJ35" s="259"/>
      <c r="BK35" s="62" t="s">
        <v>1</v>
      </c>
      <c r="BL35" s="20" t="str">
        <f t="shared" si="13"/>
        <v>A</v>
      </c>
      <c r="BM35" s="62"/>
      <c r="BN35" s="186"/>
      <c r="BO35" s="186"/>
      <c r="BP35" s="186"/>
      <c r="BQ35" s="186"/>
      <c r="BR35" s="186"/>
      <c r="BS35" s="141"/>
      <c r="BT35" s="5202" t="s">
        <v>7910</v>
      </c>
      <c r="BU35" s="141"/>
      <c r="BV35" s="141"/>
      <c r="BW35" s="141"/>
      <c r="BX35" s="498"/>
      <c r="BY35" s="5200"/>
      <c r="BZ35" s="5201"/>
      <c r="CA35" s="5202" t="s">
        <v>7911</v>
      </c>
      <c r="CB35" s="141"/>
      <c r="CC35" s="141"/>
      <c r="CD35" s="141"/>
      <c r="CE35" s="498"/>
      <c r="CF35" s="5200"/>
      <c r="CG35" s="5201"/>
      <c r="CH35" s="5202" t="s">
        <v>7912</v>
      </c>
      <c r="CI35" s="141"/>
      <c r="CJ35" s="141"/>
      <c r="CK35" s="141"/>
      <c r="CL35" s="498"/>
      <c r="CM35" s="5200"/>
      <c r="CN35" s="56" t="s">
        <v>1</v>
      </c>
      <c r="CO35" s="5">
        <v>1</v>
      </c>
    </row>
    <row r="36" spans="1:93" s="1" customFormat="1" ht="21" customHeight="1">
      <c r="A36" s="20" t="str">
        <f t="shared" si="30"/>
        <v>A</v>
      </c>
      <c r="B36" s="43" t="str">
        <f t="shared" si="14"/>
        <v>Charcuterie.B.Ballotine de canard sauvage.Recette mère ►.B.Ballotine de canard ceproc</v>
      </c>
      <c r="C36" s="45" t="str">
        <f t="shared" si="15"/>
        <v>Charcuterie</v>
      </c>
      <c r="D36" s="44" t="str">
        <f t="shared" si="16"/>
        <v>B</v>
      </c>
      <c r="E36" s="43" t="str">
        <f t="shared" si="17"/>
        <v>Ballotine de canard sauvage</v>
      </c>
      <c r="F36" s="43" t="str">
        <f t="shared" si="18"/>
        <v>Recette mère ►</v>
      </c>
      <c r="G36" s="43" t="str">
        <f t="shared" si="19"/>
        <v>B.Ballotine de canard ceproc</v>
      </c>
      <c r="H36" s="1256" t="s">
        <v>1</v>
      </c>
      <c r="I36" s="42" t="str">
        <f t="shared" si="31"/>
        <v>►</v>
      </c>
      <c r="J36" s="1058" t="str">
        <f>J25</f>
        <v>Charcuterie.B.Ballotine de canard sauvage.Recette mère ►.B.Ballotine de canard ceproc</v>
      </c>
      <c r="K36" s="1058">
        <f>K25</f>
        <v>3.05</v>
      </c>
      <c r="L36" s="1058" t="str">
        <f>L25</f>
        <v>kg</v>
      </c>
      <c r="M36" s="1418"/>
      <c r="N36" s="988"/>
      <c r="O36" s="988"/>
      <c r="P36" s="988"/>
      <c r="Q36" s="988"/>
      <c r="R36" s="988"/>
      <c r="S36" s="1325"/>
      <c r="T36" s="43"/>
      <c r="U36" s="42" t="str">
        <f t="shared" si="32"/>
        <v>A</v>
      </c>
      <c r="V36" s="41" t="str">
        <f>V25</f>
        <v>Charcuterie.B.Ballotine de canard sauvage.Recette mère ►.B.Ballotine de canard ceproc</v>
      </c>
      <c r="W36" s="40">
        <f>W25</f>
        <v>3.05</v>
      </c>
      <c r="X36" s="39" t="str">
        <f>X25</f>
        <v>kg</v>
      </c>
      <c r="Y36" s="252"/>
      <c r="Z36" s="212"/>
      <c r="AA36" s="211" t="str">
        <f t="shared" si="21"/>
        <v/>
      </c>
      <c r="AB36" s="210">
        <v>100</v>
      </c>
      <c r="AC36" s="251" t="s">
        <v>130</v>
      </c>
      <c r="AD36" s="5448">
        <v>1</v>
      </c>
      <c r="AE36" s="33" t="s">
        <v>156</v>
      </c>
      <c r="AF36" s="187"/>
      <c r="AG36" s="32">
        <v>3.05</v>
      </c>
      <c r="AH36" s="31" t="s">
        <v>111</v>
      </c>
      <c r="AI36" s="30">
        <v>10</v>
      </c>
      <c r="AJ36" s="5492">
        <f t="shared" si="22"/>
        <v>0.1</v>
      </c>
      <c r="AK36" s="29">
        <f t="shared" si="23"/>
        <v>0.32786885245901642</v>
      </c>
      <c r="AL36" s="28" t="str">
        <f t="shared" si="24"/>
        <v>328 g</v>
      </c>
      <c r="AM36" s="27"/>
      <c r="AN36" s="26">
        <f t="shared" si="25"/>
        <v>0.32786885245901642</v>
      </c>
      <c r="AO36" s="25">
        <f t="shared" si="26"/>
        <v>0</v>
      </c>
      <c r="AP36" s="24">
        <f t="shared" si="27"/>
        <v>0</v>
      </c>
      <c r="AQ36" s="23">
        <v>1.5</v>
      </c>
      <c r="AR36" s="22">
        <f t="shared" si="28"/>
        <v>0.49180327868852464</v>
      </c>
      <c r="AS36" s="21"/>
      <c r="AT36" s="13"/>
      <c r="AU36" s="46">
        <f t="shared" si="29"/>
        <v>3.278688524590164</v>
      </c>
      <c r="AV36" s="187"/>
      <c r="AW36" s="264" t="s">
        <v>155</v>
      </c>
      <c r="AX36" s="225">
        <f t="shared" si="34"/>
        <v>0.1</v>
      </c>
      <c r="AY36" s="224" t="s">
        <v>88</v>
      </c>
      <c r="AZ36" s="223">
        <f t="shared" si="33"/>
        <v>10</v>
      </c>
      <c r="BA36" s="222">
        <v>100</v>
      </c>
      <c r="BB36" s="187"/>
      <c r="BC36" s="263" t="s">
        <v>154</v>
      </c>
      <c r="BD36" s="260"/>
      <c r="BE36" s="260"/>
      <c r="BF36" s="260"/>
      <c r="BG36" s="260"/>
      <c r="BH36" s="260"/>
      <c r="BI36" s="260"/>
      <c r="BJ36" s="259"/>
      <c r="BK36" s="62" t="s">
        <v>1</v>
      </c>
      <c r="BL36" s="20" t="str">
        <f t="shared" si="13"/>
        <v>A</v>
      </c>
      <c r="BM36" s="62"/>
      <c r="BN36" s="186"/>
      <c r="BO36" s="186"/>
      <c r="BP36" s="186"/>
      <c r="BQ36" s="186"/>
      <c r="BR36" s="186"/>
      <c r="BS36" s="141"/>
      <c r="BT36" s="5212"/>
      <c r="BU36" s="141"/>
      <c r="BV36" s="141"/>
      <c r="BW36" s="141"/>
      <c r="BX36" s="498"/>
      <c r="BY36" s="5200"/>
      <c r="BZ36" s="498"/>
      <c r="CA36" s="5212"/>
      <c r="CB36" s="141"/>
      <c r="CC36" s="141"/>
      <c r="CD36" s="141"/>
      <c r="CE36" s="498"/>
      <c r="CF36" s="5200"/>
      <c r="CG36" s="5201"/>
      <c r="CH36" s="5212"/>
      <c r="CI36" s="141"/>
      <c r="CJ36" s="141"/>
      <c r="CK36" s="141"/>
      <c r="CL36" s="498"/>
      <c r="CM36" s="5200"/>
      <c r="CN36" s="56" t="s">
        <v>1</v>
      </c>
      <c r="CO36" s="5">
        <v>1</v>
      </c>
    </row>
    <row r="37" spans="1:93" s="1" customFormat="1" ht="21" customHeight="1">
      <c r="A37" s="20" t="str">
        <f t="shared" si="30"/>
        <v>A</v>
      </c>
      <c r="B37" s="43" t="str">
        <f t="shared" si="14"/>
        <v>Charcuterie.B.Ballotine de canard sauvage.Recette mère ►.B.Ballotine de canard ceproc</v>
      </c>
      <c r="C37" s="45" t="str">
        <f t="shared" si="15"/>
        <v>Charcuterie</v>
      </c>
      <c r="D37" s="44" t="str">
        <f t="shared" si="16"/>
        <v>B</v>
      </c>
      <c r="E37" s="43" t="str">
        <f t="shared" si="17"/>
        <v>Ballotine de canard sauvage</v>
      </c>
      <c r="F37" s="43" t="str">
        <f t="shared" si="18"/>
        <v>Recette mère ►</v>
      </c>
      <c r="G37" s="43" t="str">
        <f t="shared" si="19"/>
        <v>B.Ballotine de canard ceproc</v>
      </c>
      <c r="H37" s="1256" t="s">
        <v>1</v>
      </c>
      <c r="I37" s="42" t="str">
        <f t="shared" si="31"/>
        <v>►</v>
      </c>
      <c r="J37" s="1058" t="str">
        <f>J25</f>
        <v>Charcuterie.B.Ballotine de canard sauvage.Recette mère ►.B.Ballotine de canard ceproc</v>
      </c>
      <c r="K37" s="1058">
        <f>K25</f>
        <v>3.05</v>
      </c>
      <c r="L37" s="1058" t="str">
        <f>L25</f>
        <v>kg</v>
      </c>
      <c r="M37" s="1418"/>
      <c r="N37" s="988"/>
      <c r="O37" s="988"/>
      <c r="P37" s="988"/>
      <c r="Q37" s="988"/>
      <c r="R37" s="988"/>
      <c r="S37" s="1325"/>
      <c r="T37" s="43"/>
      <c r="U37" s="42" t="str">
        <f t="shared" si="32"/>
        <v>A</v>
      </c>
      <c r="V37" s="41" t="str">
        <f>V25</f>
        <v>Charcuterie.B.Ballotine de canard sauvage.Recette mère ►.B.Ballotine de canard ceproc</v>
      </c>
      <c r="W37" s="40">
        <f>W25</f>
        <v>3.05</v>
      </c>
      <c r="X37" s="39" t="str">
        <f>X25</f>
        <v>kg</v>
      </c>
      <c r="Y37" s="252"/>
      <c r="Z37" s="212"/>
      <c r="AA37" s="211" t="str">
        <f t="shared" si="21"/>
        <v/>
      </c>
      <c r="AB37" s="210">
        <v>1000</v>
      </c>
      <c r="AC37" s="251" t="s">
        <v>130</v>
      </c>
      <c r="AD37" s="5448">
        <v>1</v>
      </c>
      <c r="AE37" s="33" t="s">
        <v>153</v>
      </c>
      <c r="AF37" s="187"/>
      <c r="AG37" s="32">
        <v>3.05</v>
      </c>
      <c r="AH37" s="31" t="s">
        <v>111</v>
      </c>
      <c r="AI37" s="30">
        <v>10</v>
      </c>
      <c r="AJ37" s="5492">
        <f t="shared" si="22"/>
        <v>1</v>
      </c>
      <c r="AK37" s="54">
        <f t="shared" si="23"/>
        <v>3.278688524590164</v>
      </c>
      <c r="AL37" s="53" t="str">
        <f t="shared" si="24"/>
        <v>3279 g = 3.3 Kg</v>
      </c>
      <c r="AM37" s="52"/>
      <c r="AN37" s="51">
        <f t="shared" si="25"/>
        <v>3.278688524590164</v>
      </c>
      <c r="AO37" s="50">
        <f t="shared" si="26"/>
        <v>0</v>
      </c>
      <c r="AP37" s="49">
        <f t="shared" si="27"/>
        <v>0</v>
      </c>
      <c r="AQ37" s="23">
        <v>1.5</v>
      </c>
      <c r="AR37" s="48">
        <f t="shared" si="28"/>
        <v>4.918032786885246</v>
      </c>
      <c r="AS37" s="47"/>
      <c r="AT37" s="13"/>
      <c r="AU37" s="46">
        <f t="shared" si="29"/>
        <v>3.278688524590164</v>
      </c>
      <c r="AV37" s="187"/>
      <c r="AW37" s="248" t="s">
        <v>152</v>
      </c>
      <c r="AX37" s="225">
        <f t="shared" si="34"/>
        <v>4.9299999999999995E-3</v>
      </c>
      <c r="AY37" s="224" t="s">
        <v>88</v>
      </c>
      <c r="AZ37" s="223">
        <f t="shared" si="33"/>
        <v>203</v>
      </c>
      <c r="BA37" s="236">
        <v>4.93</v>
      </c>
      <c r="BB37" s="187"/>
      <c r="BC37" s="263" t="s">
        <v>151</v>
      </c>
      <c r="BD37" s="260"/>
      <c r="BE37" s="260"/>
      <c r="BF37" s="260"/>
      <c r="BG37" s="260"/>
      <c r="BH37" s="260"/>
      <c r="BI37" s="260"/>
      <c r="BJ37" s="259"/>
      <c r="BK37" s="62" t="s">
        <v>1</v>
      </c>
      <c r="BL37" s="20" t="str">
        <f t="shared" si="13"/>
        <v>A</v>
      </c>
      <c r="BM37" s="62"/>
      <c r="BN37" s="244" t="s">
        <v>150</v>
      </c>
      <c r="BO37" s="228"/>
      <c r="BP37" s="228"/>
      <c r="BQ37" s="227"/>
      <c r="BR37" s="227"/>
      <c r="BS37" s="141"/>
      <c r="BT37" s="5205" t="s">
        <v>944</v>
      </c>
      <c r="BU37" s="109"/>
      <c r="BV37" s="106"/>
      <c r="BW37" s="141"/>
      <c r="BX37" s="498"/>
      <c r="BY37" s="5200"/>
      <c r="BZ37" s="498"/>
      <c r="CA37" s="5205" t="s">
        <v>941</v>
      </c>
      <c r="CB37" s="109"/>
      <c r="CC37" s="106"/>
      <c r="CD37" s="141"/>
      <c r="CE37" s="498"/>
      <c r="CF37" s="5200"/>
      <c r="CG37" s="5201"/>
      <c r="CH37" s="5205" t="s">
        <v>7913</v>
      </c>
      <c r="CI37" s="109"/>
      <c r="CJ37" s="106"/>
      <c r="CK37" s="141"/>
      <c r="CL37" s="498"/>
      <c r="CM37" s="5200"/>
      <c r="CN37" s="56" t="s">
        <v>1</v>
      </c>
      <c r="CO37" s="5">
        <v>1</v>
      </c>
    </row>
    <row r="38" spans="1:93" s="1" customFormat="1" ht="21" customHeight="1" thickBot="1">
      <c r="A38" s="20" t="str">
        <f t="shared" si="30"/>
        <v>A</v>
      </c>
      <c r="B38" s="43" t="str">
        <f t="shared" si="14"/>
        <v>Charcuterie.B.Ballotine de canard sauvage.Recette mère ►.B.Ballotine de canard ceproc</v>
      </c>
      <c r="C38" s="45" t="str">
        <f t="shared" si="15"/>
        <v>Charcuterie</v>
      </c>
      <c r="D38" s="44" t="str">
        <f t="shared" si="16"/>
        <v>B</v>
      </c>
      <c r="E38" s="43" t="str">
        <f t="shared" si="17"/>
        <v>Ballotine de canard sauvage</v>
      </c>
      <c r="F38" s="43" t="str">
        <f t="shared" si="18"/>
        <v>Recette mère ►</v>
      </c>
      <c r="G38" s="43" t="str">
        <f t="shared" si="19"/>
        <v>B.Ballotine de canard ceproc</v>
      </c>
      <c r="H38" s="1256" t="s">
        <v>1</v>
      </c>
      <c r="I38" s="42" t="str">
        <f t="shared" si="31"/>
        <v>►</v>
      </c>
      <c r="J38" s="1058" t="str">
        <f>J25</f>
        <v>Charcuterie.B.Ballotine de canard sauvage.Recette mère ►.B.Ballotine de canard ceproc</v>
      </c>
      <c r="K38" s="1058">
        <f>K25</f>
        <v>3.05</v>
      </c>
      <c r="L38" s="1058" t="str">
        <f>L25</f>
        <v>kg</v>
      </c>
      <c r="M38" s="1418"/>
      <c r="N38" s="988"/>
      <c r="O38" s="988"/>
      <c r="P38" s="988"/>
      <c r="Q38" s="988"/>
      <c r="R38" s="988"/>
      <c r="S38" s="1325"/>
      <c r="T38" s="43"/>
      <c r="U38" s="42" t="str">
        <f t="shared" si="32"/>
        <v>A</v>
      </c>
      <c r="V38" s="41" t="str">
        <f>V25</f>
        <v>Charcuterie.B.Ballotine de canard sauvage.Recette mère ►.B.Ballotine de canard ceproc</v>
      </c>
      <c r="W38" s="40">
        <f>W25</f>
        <v>3.05</v>
      </c>
      <c r="X38" s="39" t="str">
        <f>X25</f>
        <v>kg</v>
      </c>
      <c r="Y38" s="252"/>
      <c r="Z38" s="212"/>
      <c r="AA38" s="211" t="str">
        <f t="shared" si="21"/>
        <v/>
      </c>
      <c r="AB38" s="210">
        <v>25</v>
      </c>
      <c r="AC38" s="251" t="s">
        <v>130</v>
      </c>
      <c r="AD38" s="5448">
        <v>1</v>
      </c>
      <c r="AE38" s="33" t="s">
        <v>149</v>
      </c>
      <c r="AF38" s="187"/>
      <c r="AG38" s="32">
        <v>3.05</v>
      </c>
      <c r="AH38" s="31" t="s">
        <v>111</v>
      </c>
      <c r="AI38" s="30">
        <v>10</v>
      </c>
      <c r="AJ38" s="5492">
        <f t="shared" si="22"/>
        <v>2.5000000000000001E-2</v>
      </c>
      <c r="AK38" s="29">
        <f t="shared" si="23"/>
        <v>8.1967213114754106E-2</v>
      </c>
      <c r="AL38" s="28" t="str">
        <f t="shared" si="24"/>
        <v>82 g</v>
      </c>
      <c r="AM38" s="27"/>
      <c r="AN38" s="26">
        <f t="shared" si="25"/>
        <v>8.1967213114754106E-2</v>
      </c>
      <c r="AO38" s="25">
        <f t="shared" si="26"/>
        <v>0</v>
      </c>
      <c r="AP38" s="24">
        <f t="shared" si="27"/>
        <v>0</v>
      </c>
      <c r="AQ38" s="23">
        <v>1.5</v>
      </c>
      <c r="AR38" s="22">
        <f t="shared" si="28"/>
        <v>0.12295081967213116</v>
      </c>
      <c r="AS38" s="21"/>
      <c r="AT38" s="13"/>
      <c r="AU38" s="46">
        <f t="shared" si="29"/>
        <v>3.278688524590164</v>
      </c>
      <c r="AV38" s="187"/>
      <c r="AW38" s="248" t="s">
        <v>148</v>
      </c>
      <c r="AX38" s="225">
        <f t="shared" si="34"/>
        <v>1.4999999999999999E-2</v>
      </c>
      <c r="AY38" s="224" t="s">
        <v>88</v>
      </c>
      <c r="AZ38" s="223">
        <f t="shared" si="33"/>
        <v>67</v>
      </c>
      <c r="BA38" s="222">
        <v>15</v>
      </c>
      <c r="BB38" s="187"/>
      <c r="BC38" s="263" t="s">
        <v>147</v>
      </c>
      <c r="BD38" s="260"/>
      <c r="BE38" s="260"/>
      <c r="BF38" s="147" t="s">
        <v>146</v>
      </c>
      <c r="BG38" s="260"/>
      <c r="BH38" s="260"/>
      <c r="BI38" s="260"/>
      <c r="BJ38" s="259"/>
      <c r="BK38" s="62" t="s">
        <v>1</v>
      </c>
      <c r="BL38" s="20" t="str">
        <f t="shared" si="13"/>
        <v>A</v>
      </c>
      <c r="BM38" s="62"/>
      <c r="BN38" s="244" t="s">
        <v>145</v>
      </c>
      <c r="BO38" s="228"/>
      <c r="BP38" s="228"/>
      <c r="BQ38" s="227"/>
      <c r="BR38" s="227"/>
      <c r="BS38" s="141"/>
      <c r="BT38" s="5213" t="s">
        <v>949</v>
      </c>
      <c r="BU38" s="5214"/>
      <c r="BV38" s="5214"/>
      <c r="BW38" s="5214"/>
      <c r="BX38" s="5214"/>
      <c r="BY38" s="5215"/>
      <c r="BZ38" s="498"/>
      <c r="CA38" s="5213" t="s">
        <v>7914</v>
      </c>
      <c r="CB38" s="5214"/>
      <c r="CC38" s="5214"/>
      <c r="CD38" s="5214"/>
      <c r="CE38" s="5214"/>
      <c r="CF38" s="5215"/>
      <c r="CG38" s="5201"/>
      <c r="CH38" s="5213" t="s">
        <v>7915</v>
      </c>
      <c r="CI38" s="5214"/>
      <c r="CJ38" s="5214"/>
      <c r="CK38" s="5214"/>
      <c r="CL38" s="5214"/>
      <c r="CM38" s="5215"/>
      <c r="CN38" s="56" t="s">
        <v>1</v>
      </c>
      <c r="CO38" s="5">
        <v>1</v>
      </c>
    </row>
    <row r="39" spans="1:93" s="1" customFormat="1" ht="21" customHeight="1" thickTop="1" thickBot="1">
      <c r="A39" s="20" t="str">
        <f t="shared" si="30"/>
        <v>A</v>
      </c>
      <c r="B39" s="43" t="str">
        <f t="shared" si="14"/>
        <v>Charcuterie.B.Ballotine de canard sauvage.Recette mère ►.B.Ballotine de canard ceproc</v>
      </c>
      <c r="C39" s="45" t="str">
        <f t="shared" si="15"/>
        <v>Charcuterie</v>
      </c>
      <c r="D39" s="44" t="str">
        <f t="shared" si="16"/>
        <v>B</v>
      </c>
      <c r="E39" s="43" t="str">
        <f t="shared" si="17"/>
        <v>Ballotine de canard sauvage</v>
      </c>
      <c r="F39" s="43" t="str">
        <f t="shared" si="18"/>
        <v>Recette mère ►</v>
      </c>
      <c r="G39" s="43" t="str">
        <f t="shared" si="19"/>
        <v>B.Ballotine de canard ceproc</v>
      </c>
      <c r="H39" s="1256" t="s">
        <v>1</v>
      </c>
      <c r="I39" s="42" t="str">
        <f t="shared" si="31"/>
        <v>►</v>
      </c>
      <c r="J39" s="1058" t="str">
        <f>J25</f>
        <v>Charcuterie.B.Ballotine de canard sauvage.Recette mère ►.B.Ballotine de canard ceproc</v>
      </c>
      <c r="K39" s="1058">
        <f>K25</f>
        <v>3.05</v>
      </c>
      <c r="L39" s="1058" t="str">
        <f>L25</f>
        <v>kg</v>
      </c>
      <c r="M39" s="1418"/>
      <c r="N39" s="988"/>
      <c r="O39" s="988"/>
      <c r="P39" s="988"/>
      <c r="Q39" s="988"/>
      <c r="R39" s="988"/>
      <c r="S39" s="1325"/>
      <c r="T39" s="43"/>
      <c r="U39" s="42" t="str">
        <f t="shared" si="32"/>
        <v>A</v>
      </c>
      <c r="V39" s="41" t="str">
        <f>V25</f>
        <v>Charcuterie.B.Ballotine de canard sauvage.Recette mère ►.B.Ballotine de canard ceproc</v>
      </c>
      <c r="W39" s="40">
        <f>W25</f>
        <v>3.05</v>
      </c>
      <c r="X39" s="39" t="str">
        <f>X25</f>
        <v>kg</v>
      </c>
      <c r="Y39" s="252"/>
      <c r="Z39" s="212"/>
      <c r="AA39" s="211" t="str">
        <f t="shared" si="21"/>
        <v/>
      </c>
      <c r="AB39" s="210">
        <v>1</v>
      </c>
      <c r="AC39" s="251" t="s">
        <v>130</v>
      </c>
      <c r="AD39" s="5448">
        <v>1</v>
      </c>
      <c r="AE39" s="33" t="s">
        <v>144</v>
      </c>
      <c r="AF39" s="187"/>
      <c r="AG39" s="32">
        <v>3.05</v>
      </c>
      <c r="AH39" s="31" t="s">
        <v>111</v>
      </c>
      <c r="AI39" s="30">
        <v>10</v>
      </c>
      <c r="AJ39" s="5492">
        <f t="shared" si="22"/>
        <v>1E-3</v>
      </c>
      <c r="AK39" s="54">
        <f t="shared" si="23"/>
        <v>3.2786885245901639E-3</v>
      </c>
      <c r="AL39" s="53" t="str">
        <f t="shared" si="24"/>
        <v>3 g</v>
      </c>
      <c r="AM39" s="52"/>
      <c r="AN39" s="51">
        <f t="shared" si="25"/>
        <v>3.2786885245901639E-3</v>
      </c>
      <c r="AO39" s="50">
        <f t="shared" si="26"/>
        <v>0</v>
      </c>
      <c r="AP39" s="49">
        <f t="shared" si="27"/>
        <v>0</v>
      </c>
      <c r="AQ39" s="23">
        <v>1.5</v>
      </c>
      <c r="AR39" s="48">
        <f t="shared" si="28"/>
        <v>4.9180327868852455E-3</v>
      </c>
      <c r="AS39" s="47"/>
      <c r="AT39" s="13"/>
      <c r="AU39" s="46">
        <f t="shared" si="29"/>
        <v>3.278688524590164</v>
      </c>
      <c r="AV39" s="187"/>
      <c r="AW39" s="248" t="s">
        <v>143</v>
      </c>
      <c r="AX39" s="225">
        <f t="shared" si="34"/>
        <v>5.0000000000000001E-3</v>
      </c>
      <c r="AY39" s="224" t="s">
        <v>88</v>
      </c>
      <c r="AZ39" s="223">
        <f t="shared" si="33"/>
        <v>200</v>
      </c>
      <c r="BA39" s="222">
        <v>5</v>
      </c>
      <c r="BB39" s="187"/>
      <c r="BC39" s="262" t="s">
        <v>142</v>
      </c>
      <c r="BD39" s="260"/>
      <c r="BE39" s="260"/>
      <c r="BF39" s="261" t="s">
        <v>141</v>
      </c>
      <c r="BG39" s="260"/>
      <c r="BH39" s="260"/>
      <c r="BI39" s="260"/>
      <c r="BJ39" s="259"/>
      <c r="BK39" s="62" t="s">
        <v>1</v>
      </c>
      <c r="BL39" s="20" t="str">
        <f t="shared" si="13"/>
        <v>A</v>
      </c>
      <c r="BM39" s="62"/>
      <c r="BN39" s="186"/>
      <c r="BO39" s="186"/>
      <c r="BP39" s="186"/>
      <c r="BQ39" s="186"/>
      <c r="BR39" s="186"/>
      <c r="BS39" s="141"/>
      <c r="BT39" s="5216" t="s">
        <v>211</v>
      </c>
      <c r="BU39" s="5217" t="s">
        <v>210</v>
      </c>
      <c r="BV39" s="106"/>
      <c r="BW39" s="141"/>
      <c r="BX39" s="498"/>
      <c r="BY39" s="5200"/>
      <c r="BZ39" s="498"/>
      <c r="CA39" s="5216" t="s">
        <v>211</v>
      </c>
      <c r="CB39" s="5217" t="s">
        <v>210</v>
      </c>
      <c r="CC39" s="106"/>
      <c r="CD39" s="141"/>
      <c r="CE39" s="498"/>
      <c r="CF39" s="5200"/>
      <c r="CG39" s="5201"/>
      <c r="CH39" s="5216" t="s">
        <v>211</v>
      </c>
      <c r="CI39" s="5217" t="s">
        <v>210</v>
      </c>
      <c r="CJ39" s="106"/>
      <c r="CK39" s="141"/>
      <c r="CL39" s="498"/>
      <c r="CM39" s="5200"/>
      <c r="CN39" s="56" t="s">
        <v>1</v>
      </c>
      <c r="CO39" s="5">
        <v>1</v>
      </c>
    </row>
    <row r="40" spans="1:93" s="1" customFormat="1" ht="21" customHeight="1" thickTop="1">
      <c r="A40" s="20" t="str">
        <f t="shared" si="30"/>
        <v>►</v>
      </c>
      <c r="B40" s="43" t="str">
        <f t="shared" si="14"/>
        <v>►</v>
      </c>
      <c r="C40" s="45" t="str">
        <f t="shared" si="15"/>
        <v>►</v>
      </c>
      <c r="D40" s="44" t="str">
        <f t="shared" si="16"/>
        <v>►</v>
      </c>
      <c r="E40" s="43" t="str">
        <f t="shared" si="17"/>
        <v>►</v>
      </c>
      <c r="F40" s="43" t="str">
        <f t="shared" si="18"/>
        <v>►</v>
      </c>
      <c r="G40" s="43" t="str">
        <f t="shared" si="19"/>
        <v>►</v>
      </c>
      <c r="H40" s="1256" t="s">
        <v>1</v>
      </c>
      <c r="I40" s="42" t="str">
        <f t="shared" si="31"/>
        <v>►</v>
      </c>
      <c r="J40" s="1058" t="str">
        <f>J25</f>
        <v>Charcuterie.B.Ballotine de canard sauvage.Recette mère ►.B.Ballotine de canard ceproc</v>
      </c>
      <c r="K40" s="1058">
        <f>K25</f>
        <v>3.05</v>
      </c>
      <c r="L40" s="1058" t="str">
        <f>L25</f>
        <v>kg</v>
      </c>
      <c r="M40" s="1418"/>
      <c r="N40" s="988"/>
      <c r="O40" s="988"/>
      <c r="P40" s="988"/>
      <c r="Q40" s="988"/>
      <c r="R40" s="988"/>
      <c r="S40" s="1325"/>
      <c r="T40" s="43"/>
      <c r="U40" s="42" t="str">
        <f t="shared" si="32"/>
        <v>►</v>
      </c>
      <c r="V40" s="41" t="str">
        <f>V25</f>
        <v>Charcuterie.B.Ballotine de canard sauvage.Recette mère ►.B.Ballotine de canard ceproc</v>
      </c>
      <c r="W40" s="40">
        <f>W25</f>
        <v>3.05</v>
      </c>
      <c r="X40" s="39" t="str">
        <f>X25</f>
        <v>kg</v>
      </c>
      <c r="Y40" s="252"/>
      <c r="Z40" s="212"/>
      <c r="AA40" s="211" t="str">
        <f t="shared" si="21"/>
        <v/>
      </c>
      <c r="AB40" s="210"/>
      <c r="AC40" s="254"/>
      <c r="AD40" s="5448">
        <v>1</v>
      </c>
      <c r="AE40" s="33"/>
      <c r="AF40" s="187"/>
      <c r="AG40" s="32"/>
      <c r="AH40" s="31"/>
      <c r="AI40" s="30"/>
      <c r="AJ40" s="5492">
        <f t="shared" si="22"/>
        <v>0</v>
      </c>
      <c r="AK40" s="29">
        <f t="shared" si="23"/>
        <v>0</v>
      </c>
      <c r="AL40" s="28" t="str">
        <f t="shared" si="24"/>
        <v/>
      </c>
      <c r="AM40" s="27"/>
      <c r="AN40" s="26">
        <f t="shared" si="25"/>
        <v>0</v>
      </c>
      <c r="AO40" s="25">
        <f t="shared" si="26"/>
        <v>0</v>
      </c>
      <c r="AP40" s="24">
        <f t="shared" si="27"/>
        <v>0</v>
      </c>
      <c r="AQ40" s="23">
        <v>1.5</v>
      </c>
      <c r="AR40" s="22">
        <f t="shared" si="28"/>
        <v>0</v>
      </c>
      <c r="AS40" s="21"/>
      <c r="AT40" s="13"/>
      <c r="AU40" s="46">
        <f t="shared" si="29"/>
        <v>0</v>
      </c>
      <c r="AV40" s="187"/>
      <c r="AW40" s="248" t="s">
        <v>124</v>
      </c>
      <c r="AX40" s="225">
        <f t="shared" si="34"/>
        <v>0.22500000000000001</v>
      </c>
      <c r="AY40" s="224" t="s">
        <v>88</v>
      </c>
      <c r="AZ40" s="223">
        <f t="shared" si="33"/>
        <v>4</v>
      </c>
      <c r="BA40" s="222">
        <v>225</v>
      </c>
      <c r="BB40" s="187"/>
      <c r="BC40" s="7626" t="s">
        <v>139</v>
      </c>
      <c r="BD40" s="7627"/>
      <c r="BE40" s="7627"/>
      <c r="BF40" s="7627"/>
      <c r="BG40" s="7627"/>
      <c r="BH40" s="7627"/>
      <c r="BI40" s="7627"/>
      <c r="BJ40" s="7628"/>
      <c r="BK40" s="62" t="s">
        <v>1</v>
      </c>
      <c r="BL40" s="20" t="str">
        <f t="shared" si="13"/>
        <v>►</v>
      </c>
      <c r="BM40" s="62"/>
      <c r="BN40" s="186"/>
      <c r="BO40" s="186"/>
      <c r="BP40" s="186"/>
      <c r="BQ40" s="186"/>
      <c r="BR40" s="186"/>
      <c r="BS40" s="141"/>
      <c r="BT40" s="257">
        <v>10</v>
      </c>
      <c r="BU40" s="31" t="s">
        <v>73</v>
      </c>
      <c r="BV40" s="5218" t="s">
        <v>952</v>
      </c>
      <c r="BW40" s="141"/>
      <c r="BX40" s="498"/>
      <c r="BY40" s="5200"/>
      <c r="BZ40" s="498"/>
      <c r="CA40" s="257">
        <v>10</v>
      </c>
      <c r="CB40" s="31" t="s">
        <v>901</v>
      </c>
      <c r="CC40" s="5218" t="s">
        <v>951</v>
      </c>
      <c r="CD40" s="141"/>
      <c r="CE40" s="498"/>
      <c r="CF40" s="5200"/>
      <c r="CG40" s="5201"/>
      <c r="CH40" s="257">
        <v>10</v>
      </c>
      <c r="CI40" s="31" t="s">
        <v>7916</v>
      </c>
      <c r="CJ40" s="5218" t="s">
        <v>7917</v>
      </c>
      <c r="CK40" s="141"/>
      <c r="CL40" s="498"/>
      <c r="CM40" s="5200"/>
      <c r="CN40" s="56" t="s">
        <v>1</v>
      </c>
      <c r="CO40" s="5">
        <v>1</v>
      </c>
    </row>
    <row r="41" spans="1:93" s="1" customFormat="1" ht="21" customHeight="1" thickBot="1">
      <c r="A41" s="20" t="str">
        <f t="shared" si="30"/>
        <v>A</v>
      </c>
      <c r="B41" s="43" t="str">
        <f t="shared" si="14"/>
        <v>Charcuterie.B.Ballotine de canard sauvage.Recette mère ►.B.Ballotine de canard ceproc</v>
      </c>
      <c r="C41" s="45" t="str">
        <f t="shared" si="15"/>
        <v>Charcuterie</v>
      </c>
      <c r="D41" s="44" t="str">
        <f t="shared" si="16"/>
        <v>B</v>
      </c>
      <c r="E41" s="43" t="str">
        <f t="shared" si="17"/>
        <v>Ballotine de canard sauvage</v>
      </c>
      <c r="F41" s="43" t="str">
        <f t="shared" si="18"/>
        <v>Recette mère ►</v>
      </c>
      <c r="G41" s="43" t="str">
        <f t="shared" si="19"/>
        <v>B.Ballotine de canard ceproc</v>
      </c>
      <c r="H41" s="1256" t="s">
        <v>1</v>
      </c>
      <c r="I41" s="5169" t="s">
        <v>21</v>
      </c>
      <c r="J41" s="5170" t="str">
        <f>J37</f>
        <v>Charcuterie.B.Ballotine de canard sauvage.Recette mère ►.B.Ballotine de canard ceproc</v>
      </c>
      <c r="K41" s="5170">
        <f>K37</f>
        <v>3.05</v>
      </c>
      <c r="L41" s="5170" t="str">
        <f>L37</f>
        <v>kg</v>
      </c>
      <c r="M41" s="5171" t="s">
        <v>86</v>
      </c>
      <c r="N41" s="5172"/>
      <c r="O41" s="5173"/>
      <c r="P41" s="5173"/>
      <c r="Q41" s="5173"/>
      <c r="R41" s="5173"/>
      <c r="S41" s="5174"/>
      <c r="T41" s="43"/>
      <c r="U41" s="42" t="str">
        <f t="shared" si="32"/>
        <v>A</v>
      </c>
      <c r="V41" s="41" t="str">
        <f>V25</f>
        <v>Charcuterie.B.Ballotine de canard sauvage.Recette mère ►.B.Ballotine de canard ceproc</v>
      </c>
      <c r="W41" s="40">
        <f>W25</f>
        <v>3.05</v>
      </c>
      <c r="X41" s="39" t="str">
        <f>X25</f>
        <v>kg</v>
      </c>
      <c r="Y41" s="252"/>
      <c r="Z41" s="256"/>
      <c r="AA41" s="211" t="str">
        <f t="shared" si="21"/>
        <v/>
      </c>
      <c r="AB41" s="210"/>
      <c r="AC41" s="254"/>
      <c r="AD41" s="5448">
        <v>1</v>
      </c>
      <c r="AE41" s="33" t="s">
        <v>138</v>
      </c>
      <c r="AF41" s="187"/>
      <c r="AG41" s="32"/>
      <c r="AH41" s="31"/>
      <c r="AI41" s="30"/>
      <c r="AJ41" s="5492">
        <f t="shared" si="22"/>
        <v>0</v>
      </c>
      <c r="AK41" s="54">
        <f t="shared" si="23"/>
        <v>0</v>
      </c>
      <c r="AL41" s="53" t="str">
        <f t="shared" si="24"/>
        <v/>
      </c>
      <c r="AM41" s="52"/>
      <c r="AN41" s="51">
        <f t="shared" si="25"/>
        <v>0</v>
      </c>
      <c r="AO41" s="50">
        <f t="shared" si="26"/>
        <v>0</v>
      </c>
      <c r="AP41" s="49">
        <f t="shared" si="27"/>
        <v>0</v>
      </c>
      <c r="AQ41" s="23">
        <v>1.5</v>
      </c>
      <c r="AR41" s="48">
        <f t="shared" si="28"/>
        <v>0</v>
      </c>
      <c r="AS41" s="47"/>
      <c r="AT41" s="13"/>
      <c r="AU41" s="46">
        <f t="shared" si="29"/>
        <v>0</v>
      </c>
      <c r="AV41" s="187"/>
      <c r="AW41" s="248" t="s">
        <v>137</v>
      </c>
      <c r="AX41" s="225">
        <f t="shared" si="34"/>
        <v>0.11799999999999999</v>
      </c>
      <c r="AY41" s="224" t="s">
        <v>88</v>
      </c>
      <c r="AZ41" s="223">
        <f t="shared" si="33"/>
        <v>8</v>
      </c>
      <c r="BA41" s="222">
        <v>118</v>
      </c>
      <c r="BB41" s="187"/>
      <c r="BC41" s="7629"/>
      <c r="BD41" s="7630"/>
      <c r="BE41" s="7630"/>
      <c r="BF41" s="7630"/>
      <c r="BG41" s="7630"/>
      <c r="BH41" s="7630"/>
      <c r="BI41" s="7630"/>
      <c r="BJ41" s="7631"/>
      <c r="BK41" s="62"/>
      <c r="BL41" s="20" t="str">
        <f t="shared" si="13"/>
        <v>A</v>
      </c>
      <c r="BM41" s="62"/>
      <c r="BN41" s="255" t="s">
        <v>136</v>
      </c>
      <c r="BO41" s="228"/>
      <c r="BP41" s="228"/>
      <c r="BQ41" s="227"/>
      <c r="BR41" s="227"/>
      <c r="BS41" s="141"/>
      <c r="BT41" s="258" t="s">
        <v>140</v>
      </c>
      <c r="BU41" s="109"/>
      <c r="BV41" s="106"/>
      <c r="BW41" s="141"/>
      <c r="BX41" s="498"/>
      <c r="BY41" s="5200"/>
      <c r="BZ41" s="498"/>
      <c r="CA41" s="258" t="s">
        <v>7918</v>
      </c>
      <c r="CB41" s="109"/>
      <c r="CC41" s="106"/>
      <c r="CD41" s="141"/>
      <c r="CE41" s="498"/>
      <c r="CF41" s="5200"/>
      <c r="CG41" s="5201"/>
      <c r="CH41" s="258" t="s">
        <v>7919</v>
      </c>
      <c r="CI41" s="109"/>
      <c r="CJ41" s="106"/>
      <c r="CK41" s="141"/>
      <c r="CL41" s="498"/>
      <c r="CM41" s="5200"/>
      <c r="CN41" s="56" t="s">
        <v>1</v>
      </c>
      <c r="CO41" s="5">
        <v>1</v>
      </c>
    </row>
    <row r="42" spans="1:93" s="1" customFormat="1" ht="21" customHeight="1" thickBot="1">
      <c r="A42" s="20" t="str">
        <f t="shared" si="30"/>
        <v>A</v>
      </c>
      <c r="B42" s="43" t="str">
        <f t="shared" si="14"/>
        <v>Charcuterie.B.Ballotine de canard sauvage.Recette mère ►.B.Ballotine de canard ceproc</v>
      </c>
      <c r="C42" s="45" t="str">
        <f t="shared" si="15"/>
        <v>Charcuterie</v>
      </c>
      <c r="D42" s="44" t="str">
        <f t="shared" si="16"/>
        <v>B</v>
      </c>
      <c r="E42" s="43" t="str">
        <f t="shared" si="17"/>
        <v>Ballotine de canard sauvage</v>
      </c>
      <c r="F42" s="43" t="str">
        <f t="shared" si="18"/>
        <v/>
      </c>
      <c r="G42" s="43" t="str">
        <f t="shared" si="19"/>
        <v>B.Ballotine de canard ceproc</v>
      </c>
      <c r="H42" s="1256" t="s">
        <v>1</v>
      </c>
      <c r="I42" s="1334" t="s">
        <v>21</v>
      </c>
      <c r="J42" s="5125"/>
      <c r="K42" s="5125"/>
      <c r="L42" s="5125"/>
      <c r="M42" s="5126" t="s">
        <v>7814</v>
      </c>
      <c r="N42" s="5126"/>
      <c r="O42" s="5126"/>
      <c r="P42" s="5126"/>
      <c r="Q42" s="5126"/>
      <c r="R42" s="5126"/>
      <c r="S42" s="5127" t="s">
        <v>262</v>
      </c>
      <c r="T42" s="43"/>
      <c r="U42" s="42" t="str">
        <f t="shared" si="32"/>
        <v>A</v>
      </c>
      <c r="V42" s="41" t="str">
        <f>V25</f>
        <v>Charcuterie.B.Ballotine de canard sauvage.Recette mère ►.B.Ballotine de canard ceproc</v>
      </c>
      <c r="W42" s="40">
        <f>W25</f>
        <v>3.05</v>
      </c>
      <c r="X42" s="39" t="str">
        <f>X25</f>
        <v>kg</v>
      </c>
      <c r="Y42" s="252"/>
      <c r="Z42" s="212"/>
      <c r="AA42" s="211" t="str">
        <f t="shared" si="21"/>
        <v/>
      </c>
      <c r="AB42" s="210"/>
      <c r="AC42" s="254"/>
      <c r="AD42" s="5448">
        <v>1</v>
      </c>
      <c r="AE42" s="33" t="s">
        <v>134</v>
      </c>
      <c r="AF42" s="187"/>
      <c r="AG42" s="32"/>
      <c r="AH42" s="31"/>
      <c r="AI42" s="30"/>
      <c r="AJ42" s="5492">
        <f t="shared" si="22"/>
        <v>0</v>
      </c>
      <c r="AK42" s="29">
        <f t="shared" si="23"/>
        <v>0</v>
      </c>
      <c r="AL42" s="28" t="str">
        <f t="shared" si="24"/>
        <v/>
      </c>
      <c r="AM42" s="27"/>
      <c r="AN42" s="26">
        <f t="shared" si="25"/>
        <v>0</v>
      </c>
      <c r="AO42" s="25">
        <f t="shared" si="26"/>
        <v>0</v>
      </c>
      <c r="AP42" s="24">
        <f t="shared" si="27"/>
        <v>0</v>
      </c>
      <c r="AQ42" s="23">
        <v>1.5</v>
      </c>
      <c r="AR42" s="22">
        <f t="shared" si="28"/>
        <v>0</v>
      </c>
      <c r="AS42" s="21"/>
      <c r="AT42" s="13"/>
      <c r="AU42" s="46">
        <f t="shared" si="29"/>
        <v>0</v>
      </c>
      <c r="AV42" s="187"/>
      <c r="AW42" s="248" t="s">
        <v>133</v>
      </c>
      <c r="AX42" s="225">
        <f t="shared" si="34"/>
        <v>0.25</v>
      </c>
      <c r="AY42" s="224" t="s">
        <v>88</v>
      </c>
      <c r="AZ42" s="223">
        <f t="shared" si="33"/>
        <v>4</v>
      </c>
      <c r="BA42" s="222">
        <v>250</v>
      </c>
      <c r="BB42" s="187"/>
      <c r="BC42" s="7632" t="s">
        <v>132</v>
      </c>
      <c r="BD42" s="7633"/>
      <c r="BE42" s="7633"/>
      <c r="BF42" s="7633"/>
      <c r="BG42" s="7633"/>
      <c r="BH42" s="7633"/>
      <c r="BI42" s="7633"/>
      <c r="BJ42" s="7634"/>
      <c r="BK42" s="62"/>
      <c r="BL42" s="20" t="str">
        <f t="shared" si="13"/>
        <v>A</v>
      </c>
      <c r="BM42" s="62"/>
      <c r="BN42" s="253" t="s">
        <v>131</v>
      </c>
      <c r="BO42" s="228"/>
      <c r="BP42" s="228"/>
      <c r="BQ42" s="227"/>
      <c r="BR42" s="227"/>
      <c r="BS42" s="141"/>
      <c r="BT42" s="257">
        <v>5</v>
      </c>
      <c r="BU42" s="31" t="s">
        <v>71</v>
      </c>
      <c r="BV42" s="5218" t="s">
        <v>952</v>
      </c>
      <c r="BW42" s="141"/>
      <c r="BX42" s="498"/>
      <c r="BY42" s="5200"/>
      <c r="BZ42" s="498"/>
      <c r="CA42" s="257">
        <v>5</v>
      </c>
      <c r="CB42" s="31" t="s">
        <v>905</v>
      </c>
      <c r="CC42" s="5218" t="s">
        <v>951</v>
      </c>
      <c r="CD42" s="141"/>
      <c r="CE42" s="498"/>
      <c r="CF42" s="5200"/>
      <c r="CG42" s="5201"/>
      <c r="CH42" s="257">
        <v>5</v>
      </c>
      <c r="CI42" s="31" t="s">
        <v>7920</v>
      </c>
      <c r="CJ42" s="5218" t="s">
        <v>7917</v>
      </c>
      <c r="CK42" s="141"/>
      <c r="CL42" s="498"/>
      <c r="CM42" s="5200"/>
      <c r="CN42" s="56" t="s">
        <v>1</v>
      </c>
      <c r="CO42" s="5">
        <v>1</v>
      </c>
    </row>
    <row r="43" spans="1:93" s="1" customFormat="1" ht="21" customHeight="1">
      <c r="A43" s="20" t="str">
        <f t="shared" si="30"/>
        <v>A</v>
      </c>
      <c r="B43" s="43" t="str">
        <f t="shared" si="14"/>
        <v>Charcuterie.B.Ballotine de canard sauvage.Recette mère ►.B.Ballotine de canard ceproc</v>
      </c>
      <c r="C43" s="45" t="str">
        <f t="shared" si="15"/>
        <v>Charcuterie</v>
      </c>
      <c r="D43" s="44" t="str">
        <f t="shared" si="16"/>
        <v>B</v>
      </c>
      <c r="E43" s="43" t="str">
        <f t="shared" si="17"/>
        <v>Ballotine de canard sauvage</v>
      </c>
      <c r="F43" s="43" t="str">
        <f t="shared" si="18"/>
        <v>cette mère ►.S</v>
      </c>
      <c r="G43" s="43" t="str">
        <f t="shared" si="19"/>
        <v>B.Ballotine de canard ceproc</v>
      </c>
      <c r="H43" s="1256" t="s">
        <v>1</v>
      </c>
      <c r="I43" s="5465" t="s">
        <v>21</v>
      </c>
      <c r="J43" s="368" t="str">
        <f>J49</f>
        <v>Famille à coller.N.Nom de votre recette.Recette mère ►.S.Saisissez le nom de la recette mère</v>
      </c>
      <c r="K43" s="367">
        <f>K49</f>
        <v>6</v>
      </c>
      <c r="L43" s="367" t="str">
        <f>L49</f>
        <v>couverts</v>
      </c>
      <c r="M43" s="366" t="s">
        <v>1</v>
      </c>
      <c r="N43" s="365" t="s">
        <v>251</v>
      </c>
      <c r="O43" s="7648" t="s">
        <v>1089</v>
      </c>
      <c r="P43" s="7648"/>
      <c r="Q43" s="7601" t="s">
        <v>1090</v>
      </c>
      <c r="R43" s="7601"/>
      <c r="S43" s="7602"/>
      <c r="T43" s="43"/>
      <c r="U43" s="42" t="str">
        <f t="shared" si="32"/>
        <v>A</v>
      </c>
      <c r="V43" s="41" t="str">
        <f>V25</f>
        <v>Charcuterie.B.Ballotine de canard sauvage.Recette mère ►.B.Ballotine de canard ceproc</v>
      </c>
      <c r="W43" s="40">
        <f>W25</f>
        <v>3.05</v>
      </c>
      <c r="X43" s="39" t="str">
        <f>X25</f>
        <v>kg</v>
      </c>
      <c r="Y43" s="252"/>
      <c r="Z43" s="212"/>
      <c r="AA43" s="211" t="str">
        <f t="shared" si="21"/>
        <v/>
      </c>
      <c r="AB43" s="210">
        <v>500</v>
      </c>
      <c r="AC43" s="251" t="s">
        <v>130</v>
      </c>
      <c r="AD43" s="5448">
        <v>1</v>
      </c>
      <c r="AE43" s="33" t="s">
        <v>129</v>
      </c>
      <c r="AF43" s="187"/>
      <c r="AG43" s="32">
        <v>3.05</v>
      </c>
      <c r="AH43" s="31" t="s">
        <v>111</v>
      </c>
      <c r="AI43" s="30">
        <v>10</v>
      </c>
      <c r="AJ43" s="5492">
        <f t="shared" si="22"/>
        <v>0.5</v>
      </c>
      <c r="AK43" s="54">
        <f t="shared" si="23"/>
        <v>1.639344262295082</v>
      </c>
      <c r="AL43" s="53" t="str">
        <f t="shared" si="24"/>
        <v>1639 g = 1.6 Kg</v>
      </c>
      <c r="AM43" s="52"/>
      <c r="AN43" s="51">
        <f t="shared" si="25"/>
        <v>1.639344262295082</v>
      </c>
      <c r="AO43" s="50">
        <f t="shared" si="26"/>
        <v>0</v>
      </c>
      <c r="AP43" s="49">
        <f t="shared" si="27"/>
        <v>0</v>
      </c>
      <c r="AQ43" s="23">
        <v>1.5</v>
      </c>
      <c r="AR43" s="48">
        <f t="shared" si="28"/>
        <v>2.459016393442623</v>
      </c>
      <c r="AS43" s="47"/>
      <c r="AT43" s="13"/>
      <c r="AU43" s="46">
        <f t="shared" si="29"/>
        <v>3.278688524590164</v>
      </c>
      <c r="AV43" s="187"/>
      <c r="AW43" s="248" t="s">
        <v>128</v>
      </c>
      <c r="AX43" s="225">
        <f t="shared" si="34"/>
        <v>0.15</v>
      </c>
      <c r="AY43" s="224" t="s">
        <v>88</v>
      </c>
      <c r="AZ43" s="223">
        <f t="shared" si="33"/>
        <v>7</v>
      </c>
      <c r="BA43" s="222">
        <v>150</v>
      </c>
      <c r="BB43" s="187"/>
      <c r="BC43" s="7635" t="s">
        <v>127</v>
      </c>
      <c r="BD43" s="7636"/>
      <c r="BE43" s="7636"/>
      <c r="BF43" s="7636"/>
      <c r="BG43" s="7636"/>
      <c r="BH43" s="7636"/>
      <c r="BI43" s="250"/>
      <c r="BJ43" s="249" t="str">
        <f>BF95</f>
        <v>◄ cellule BE95</v>
      </c>
      <c r="BK43" s="62"/>
      <c r="BL43" s="20" t="str">
        <f t="shared" si="13"/>
        <v>A</v>
      </c>
      <c r="BM43" s="62"/>
      <c r="BN43" s="186"/>
      <c r="BO43" s="186"/>
      <c r="BP43" s="186"/>
      <c r="BQ43" s="186"/>
      <c r="BR43" s="186"/>
      <c r="BS43" s="141"/>
      <c r="BT43" s="98"/>
      <c r="BU43" s="97"/>
      <c r="BV43" s="106"/>
      <c r="BW43" s="141"/>
      <c r="BX43" s="498"/>
      <c r="BY43" s="5200"/>
      <c r="BZ43" s="498"/>
      <c r="CA43" s="98"/>
      <c r="CB43" s="97"/>
      <c r="CC43" s="106"/>
      <c r="CD43" s="141"/>
      <c r="CE43" s="498"/>
      <c r="CF43" s="5200"/>
      <c r="CG43" s="5201"/>
      <c r="CH43" s="98"/>
      <c r="CI43" s="97"/>
      <c r="CJ43" s="106"/>
      <c r="CK43" s="141"/>
      <c r="CL43" s="498"/>
      <c r="CM43" s="5200"/>
      <c r="CN43" s="56" t="s">
        <v>1</v>
      </c>
      <c r="CO43" s="5">
        <v>1</v>
      </c>
    </row>
    <row r="44" spans="1:93" s="1" customFormat="1" ht="21" customHeight="1">
      <c r="A44" s="20" t="str">
        <f t="shared" si="30"/>
        <v>A</v>
      </c>
      <c r="B44" s="43" t="str">
        <f t="shared" si="14"/>
        <v>Charcuterie.B.Ballotine de canard sauvage.Recette mère ►.B.Ballotine de canard ceproc</v>
      </c>
      <c r="C44" s="45" t="str">
        <f t="shared" si="15"/>
        <v>Charcuterie</v>
      </c>
      <c r="D44" s="44" t="str">
        <f t="shared" si="16"/>
        <v>B</v>
      </c>
      <c r="E44" s="43" t="str">
        <f t="shared" si="17"/>
        <v>Ballotine de canard sauvage</v>
      </c>
      <c r="F44" s="43" t="str">
        <f t="shared" si="18"/>
        <v>cette mère ►.S</v>
      </c>
      <c r="G44" s="43" t="str">
        <f t="shared" si="19"/>
        <v>B.Ballotine de canard ceproc</v>
      </c>
      <c r="H44" s="1256" t="s">
        <v>1</v>
      </c>
      <c r="I44" s="214" t="s">
        <v>21</v>
      </c>
      <c r="J44" s="363" t="str">
        <f>J49</f>
        <v>Famille à coller.N.Nom de votre recette.Recette mère ►.S.Saisissez le nom de la recette mère</v>
      </c>
      <c r="K44" s="362"/>
      <c r="L44" s="362"/>
      <c r="M44" s="361" t="s">
        <v>245</v>
      </c>
      <c r="N44" s="360" t="s">
        <v>244</v>
      </c>
      <c r="O44" s="7649"/>
      <c r="P44" s="7649"/>
      <c r="Q44" s="7603"/>
      <c r="R44" s="7603"/>
      <c r="S44" s="7604"/>
      <c r="T44" s="43"/>
      <c r="U44" s="42" t="str">
        <f t="shared" si="32"/>
        <v>►</v>
      </c>
      <c r="V44" s="41" t="str">
        <f>V25</f>
        <v>Charcuterie.B.Ballotine de canard sauvage.Recette mère ►.B.Ballotine de canard ceproc</v>
      </c>
      <c r="W44" s="40">
        <f>W25</f>
        <v>3.05</v>
      </c>
      <c r="X44" s="39" t="str">
        <f>X25</f>
        <v>kg</v>
      </c>
      <c r="Y44" s="213"/>
      <c r="Z44" s="212"/>
      <c r="AA44" s="211" t="str">
        <f t="shared" ref="AA44:AA70" si="35">IF(OR(ISTEXT(Y44), Y44&lt;=0, AB44&lt;=0), "", "de")</f>
        <v/>
      </c>
      <c r="AB44" s="210"/>
      <c r="AC44" s="209"/>
      <c r="AD44" s="5448">
        <v>1</v>
      </c>
      <c r="AE44" s="33"/>
      <c r="AF44" s="187"/>
      <c r="AG44" s="32"/>
      <c r="AH44" s="31"/>
      <c r="AI44" s="30"/>
      <c r="AJ44" s="5492">
        <f t="shared" si="22"/>
        <v>0</v>
      </c>
      <c r="AK44" s="29">
        <f t="shared" si="23"/>
        <v>0</v>
      </c>
      <c r="AL44" s="28" t="str">
        <f t="shared" si="24"/>
        <v/>
      </c>
      <c r="AM44" s="27"/>
      <c r="AN44" s="26">
        <f t="shared" si="25"/>
        <v>0</v>
      </c>
      <c r="AO44" s="25">
        <f t="shared" si="26"/>
        <v>0</v>
      </c>
      <c r="AP44" s="24">
        <f t="shared" si="27"/>
        <v>0</v>
      </c>
      <c r="AQ44" s="23"/>
      <c r="AR44" s="22">
        <f t="shared" si="28"/>
        <v>0</v>
      </c>
      <c r="AS44" s="21"/>
      <c r="AT44" s="13"/>
      <c r="AU44" s="46">
        <f t="shared" si="29"/>
        <v>0</v>
      </c>
      <c r="AV44" s="187"/>
      <c r="AW44" s="248" t="s">
        <v>126</v>
      </c>
      <c r="AX44" s="225">
        <f t="shared" si="34"/>
        <v>0.35</v>
      </c>
      <c r="AY44" s="224" t="s">
        <v>88</v>
      </c>
      <c r="AZ44" s="223">
        <f t="shared" si="33"/>
        <v>3</v>
      </c>
      <c r="BA44" s="222">
        <v>350</v>
      </c>
      <c r="BB44" s="187"/>
      <c r="BC44" s="179" t="s">
        <v>125</v>
      </c>
      <c r="BD44" s="178"/>
      <c r="BE44" s="178"/>
      <c r="BF44" s="178"/>
      <c r="BG44" s="178"/>
      <c r="BH44" s="178"/>
      <c r="BI44" s="178"/>
      <c r="BJ44" s="177"/>
      <c r="BK44" s="62"/>
      <c r="BL44" s="20" t="str">
        <f t="shared" si="13"/>
        <v>A</v>
      </c>
      <c r="BM44" s="62"/>
      <c r="BN44" s="186"/>
      <c r="BO44" s="186"/>
      <c r="BP44" s="186"/>
      <c r="BQ44" s="186"/>
      <c r="BR44" s="186"/>
      <c r="BS44" s="141"/>
      <c r="BT44" s="99" t="s">
        <v>953</v>
      </c>
      <c r="BU44" s="109"/>
      <c r="BV44" s="106"/>
      <c r="BW44" s="141"/>
      <c r="BX44" s="498"/>
      <c r="BY44" s="5200"/>
      <c r="BZ44" s="498"/>
      <c r="CA44" s="99" t="s">
        <v>7921</v>
      </c>
      <c r="CB44" s="109"/>
      <c r="CC44" s="106"/>
      <c r="CD44" s="141"/>
      <c r="CE44" s="498"/>
      <c r="CF44" s="5200"/>
      <c r="CG44" s="5201"/>
      <c r="CH44" s="99" t="s">
        <v>7922</v>
      </c>
      <c r="CI44" s="109"/>
      <c r="CJ44" s="106"/>
      <c r="CK44" s="141"/>
      <c r="CL44" s="498"/>
      <c r="CM44" s="5200"/>
      <c r="CN44" s="56" t="s">
        <v>1</v>
      </c>
      <c r="CO44" s="5">
        <v>1</v>
      </c>
    </row>
    <row r="45" spans="1:93" s="1" customFormat="1" ht="21" customHeight="1">
      <c r="A45" s="20" t="str">
        <f t="shared" si="30"/>
        <v>A</v>
      </c>
      <c r="B45" s="43" t="str">
        <f t="shared" si="14"/>
        <v>Charcuterie.B.Ballotine de canard sauvage.Recette mère ►.B.Ballotine de canard ceproc</v>
      </c>
      <c r="C45" s="45" t="str">
        <f t="shared" si="15"/>
        <v>Charcuterie</v>
      </c>
      <c r="D45" s="44" t="str">
        <f t="shared" si="16"/>
        <v>B</v>
      </c>
      <c r="E45" s="43" t="str">
        <f t="shared" si="17"/>
        <v>Ballotine de canard sauvage</v>
      </c>
      <c r="F45" s="43" t="str">
        <f t="shared" si="18"/>
        <v>cette mère ►.S</v>
      </c>
      <c r="G45" s="43" t="str">
        <f t="shared" si="19"/>
        <v>B.Ballotine de canard ceproc</v>
      </c>
      <c r="H45" s="1256" t="s">
        <v>1</v>
      </c>
      <c r="I45" s="214" t="s">
        <v>21</v>
      </c>
      <c r="J45" s="354" t="str">
        <f>J49</f>
        <v>Famille à coller.N.Nom de votre recette.Recette mère ►.S.Saisissez le nom de la recette mère</v>
      </c>
      <c r="K45" s="353"/>
      <c r="L45" s="352"/>
      <c r="M45" s="351"/>
      <c r="N45" s="350" t="s">
        <v>233</v>
      </c>
      <c r="O45" s="349"/>
      <c r="P45" s="348" t="s">
        <v>232</v>
      </c>
      <c r="Q45" s="347" t="s">
        <v>1092</v>
      </c>
      <c r="R45" s="141"/>
      <c r="S45" s="346"/>
      <c r="T45" s="43"/>
      <c r="U45" s="42" t="str">
        <f t="shared" si="32"/>
        <v>►</v>
      </c>
      <c r="V45" s="41" t="str">
        <f>V25</f>
        <v>Charcuterie.B.Ballotine de canard sauvage.Recette mère ►.B.Ballotine de canard ceproc</v>
      </c>
      <c r="W45" s="40">
        <f>W25</f>
        <v>3.05</v>
      </c>
      <c r="X45" s="39" t="str">
        <f>X25</f>
        <v>kg</v>
      </c>
      <c r="Y45" s="213"/>
      <c r="Z45" s="212"/>
      <c r="AA45" s="211" t="str">
        <f t="shared" si="35"/>
        <v/>
      </c>
      <c r="AB45" s="210"/>
      <c r="AC45" s="209"/>
      <c r="AD45" s="5448">
        <v>1</v>
      </c>
      <c r="AE45" s="33"/>
      <c r="AF45" s="187"/>
      <c r="AG45" s="32"/>
      <c r="AH45" s="31"/>
      <c r="AI45" s="30"/>
      <c r="AJ45" s="5492">
        <f t="shared" si="22"/>
        <v>0</v>
      </c>
      <c r="AK45" s="54">
        <f t="shared" si="23"/>
        <v>0</v>
      </c>
      <c r="AL45" s="53" t="str">
        <f t="shared" si="24"/>
        <v/>
      </c>
      <c r="AM45" s="52"/>
      <c r="AN45" s="51">
        <f t="shared" si="25"/>
        <v>0</v>
      </c>
      <c r="AO45" s="50">
        <f t="shared" si="26"/>
        <v>0</v>
      </c>
      <c r="AP45" s="49">
        <f t="shared" si="27"/>
        <v>0</v>
      </c>
      <c r="AQ45" s="23"/>
      <c r="AR45" s="48">
        <f t="shared" si="28"/>
        <v>0</v>
      </c>
      <c r="AS45" s="47"/>
      <c r="AT45" s="13"/>
      <c r="AU45" s="46">
        <f t="shared" si="29"/>
        <v>0</v>
      </c>
      <c r="AV45" s="187"/>
      <c r="AW45" s="248" t="s">
        <v>124</v>
      </c>
      <c r="AX45" s="225">
        <f t="shared" si="34"/>
        <v>0.22500000000000001</v>
      </c>
      <c r="AY45" s="224" t="s">
        <v>88</v>
      </c>
      <c r="AZ45" s="223">
        <f t="shared" si="33"/>
        <v>4</v>
      </c>
      <c r="BA45" s="222">
        <v>225</v>
      </c>
      <c r="BB45" s="187"/>
      <c r="BC45" s="179"/>
      <c r="BD45" s="178"/>
      <c r="BE45" s="178"/>
      <c r="BF45" s="178"/>
      <c r="BG45" s="178"/>
      <c r="BH45" s="178"/>
      <c r="BI45" s="178"/>
      <c r="BJ45" s="177"/>
      <c r="BK45" s="62"/>
      <c r="BL45" s="20" t="str">
        <f t="shared" si="13"/>
        <v>A</v>
      </c>
      <c r="BM45" s="62"/>
      <c r="BN45" s="186"/>
      <c r="BO45" s="186"/>
      <c r="BP45" s="186"/>
      <c r="BQ45" s="186"/>
      <c r="BR45" s="186"/>
      <c r="BS45" s="141"/>
      <c r="BT45" s="247" t="s">
        <v>7923</v>
      </c>
      <c r="BU45" s="5160"/>
      <c r="BV45" s="106"/>
      <c r="BW45" s="141"/>
      <c r="BX45" s="498"/>
      <c r="BY45" s="5200"/>
      <c r="BZ45" s="498"/>
      <c r="CA45" s="247" t="s">
        <v>7924</v>
      </c>
      <c r="CB45" s="5160"/>
      <c r="CC45" s="106"/>
      <c r="CD45" s="141"/>
      <c r="CE45" s="498"/>
      <c r="CF45" s="5200"/>
      <c r="CG45" s="5201"/>
      <c r="CH45" s="247" t="s">
        <v>7925</v>
      </c>
      <c r="CI45" s="5160"/>
      <c r="CJ45" s="106"/>
      <c r="CK45" s="141"/>
      <c r="CL45" s="498"/>
      <c r="CM45" s="5200"/>
      <c r="CN45" s="56" t="s">
        <v>1</v>
      </c>
      <c r="CO45" s="5">
        <v>1</v>
      </c>
    </row>
    <row r="46" spans="1:93" s="1" customFormat="1" ht="21" customHeight="1">
      <c r="A46" s="20" t="str">
        <f t="shared" si="30"/>
        <v>A</v>
      </c>
      <c r="B46" s="43" t="str">
        <f t="shared" si="14"/>
        <v>Charcuterie.B.Ballotine de canard sauvage.Recette mère ►.B.Ballotine de canard ceproc</v>
      </c>
      <c r="C46" s="45" t="str">
        <f t="shared" si="15"/>
        <v>Charcuterie</v>
      </c>
      <c r="D46" s="44" t="str">
        <f t="shared" si="16"/>
        <v>B</v>
      </c>
      <c r="E46" s="43" t="str">
        <f t="shared" si="17"/>
        <v>Ballotine de canard sauvage</v>
      </c>
      <c r="F46" s="43" t="str">
        <f t="shared" si="18"/>
        <v>cette mère ►.S</v>
      </c>
      <c r="G46" s="43" t="str">
        <f t="shared" si="19"/>
        <v>B.Ballotine de canard ceproc</v>
      </c>
      <c r="H46" s="1256" t="s">
        <v>1</v>
      </c>
      <c r="I46" s="214" t="s">
        <v>21</v>
      </c>
      <c r="J46" s="40" t="str">
        <f>J49</f>
        <v>Famille à coller.N.Nom de votre recette.Recette mère ►.S.Saisissez le nom de la recette mère</v>
      </c>
      <c r="K46" s="40"/>
      <c r="L46" s="40"/>
      <c r="M46" s="333" t="s">
        <v>228</v>
      </c>
      <c r="N46" s="341"/>
      <c r="O46" s="341"/>
      <c r="P46" s="340" t="s">
        <v>227</v>
      </c>
      <c r="Q46" s="6901" t="str">
        <f>M49</f>
        <v>Famille à coller.N.Nom de votre recette.Recette mère ►.S.Saisissez le nom de la recette mère</v>
      </c>
      <c r="R46" s="6901"/>
      <c r="S46" s="7612"/>
      <c r="T46" s="43"/>
      <c r="U46" s="42" t="str">
        <f t="shared" si="32"/>
        <v>►</v>
      </c>
      <c r="V46" s="41" t="str">
        <f>V25</f>
        <v>Charcuterie.B.Ballotine de canard sauvage.Recette mère ►.B.Ballotine de canard ceproc</v>
      </c>
      <c r="W46" s="40">
        <f>W25</f>
        <v>3.05</v>
      </c>
      <c r="X46" s="39" t="str">
        <f>X25</f>
        <v>kg</v>
      </c>
      <c r="Y46" s="213"/>
      <c r="Z46" s="212"/>
      <c r="AA46" s="211" t="str">
        <f t="shared" si="35"/>
        <v/>
      </c>
      <c r="AB46" s="210"/>
      <c r="AC46" s="209"/>
      <c r="AD46" s="5448">
        <v>1</v>
      </c>
      <c r="AE46" s="33"/>
      <c r="AF46" s="187"/>
      <c r="AG46" s="32"/>
      <c r="AH46" s="31"/>
      <c r="AI46" s="30"/>
      <c r="AJ46" s="5492">
        <f t="shared" si="22"/>
        <v>0</v>
      </c>
      <c r="AK46" s="29">
        <f t="shared" si="23"/>
        <v>0</v>
      </c>
      <c r="AL46" s="28" t="str">
        <f t="shared" si="24"/>
        <v/>
      </c>
      <c r="AM46" s="27"/>
      <c r="AN46" s="26">
        <f t="shared" si="25"/>
        <v>0</v>
      </c>
      <c r="AO46" s="25">
        <f t="shared" si="26"/>
        <v>0</v>
      </c>
      <c r="AP46" s="24">
        <f t="shared" si="27"/>
        <v>0</v>
      </c>
      <c r="AQ46" s="23"/>
      <c r="AR46" s="22">
        <f t="shared" si="28"/>
        <v>0</v>
      </c>
      <c r="AS46" s="21"/>
      <c r="AT46" s="13"/>
      <c r="AU46" s="46">
        <f t="shared" si="29"/>
        <v>0</v>
      </c>
      <c r="AV46" s="187"/>
      <c r="AW46" s="242" t="s">
        <v>123</v>
      </c>
      <c r="AX46" s="238">
        <f t="shared" si="34"/>
        <v>1.4E-2</v>
      </c>
      <c r="AY46" s="224" t="s">
        <v>88</v>
      </c>
      <c r="AZ46" s="223">
        <f t="shared" si="33"/>
        <v>71</v>
      </c>
      <c r="BA46" s="222">
        <v>14</v>
      </c>
      <c r="BB46" s="187"/>
      <c r="BC46" s="179"/>
      <c r="BD46" s="178"/>
      <c r="BE46" s="178"/>
      <c r="BF46" s="178"/>
      <c r="BG46" s="178"/>
      <c r="BH46" s="178"/>
      <c r="BI46" s="178"/>
      <c r="BJ46" s="177"/>
      <c r="BK46" s="62"/>
      <c r="BL46" s="20" t="str">
        <f t="shared" si="13"/>
        <v>A</v>
      </c>
      <c r="BM46" s="62"/>
      <c r="BN46" s="186"/>
      <c r="BO46" s="186"/>
      <c r="BP46" s="186"/>
      <c r="BQ46" s="186"/>
      <c r="BR46" s="186"/>
      <c r="BS46" s="141"/>
      <c r="BT46" s="99" t="s">
        <v>135</v>
      </c>
      <c r="BU46" s="5160"/>
      <c r="BV46" s="106"/>
      <c r="BW46" s="141"/>
      <c r="BX46" s="498"/>
      <c r="BY46" s="5200"/>
      <c r="BZ46" s="498"/>
      <c r="CA46" s="99" t="s">
        <v>908</v>
      </c>
      <c r="CB46" s="5160"/>
      <c r="CC46" s="106"/>
      <c r="CD46" s="141"/>
      <c r="CE46" s="498"/>
      <c r="CF46" s="5200"/>
      <c r="CG46" s="5201"/>
      <c r="CH46" s="99" t="s">
        <v>7926</v>
      </c>
      <c r="CI46" s="5160"/>
      <c r="CJ46" s="106"/>
      <c r="CK46" s="141"/>
      <c r="CL46" s="498"/>
      <c r="CM46" s="5200"/>
      <c r="CN46" s="56" t="s">
        <v>1</v>
      </c>
      <c r="CO46" s="5">
        <v>1</v>
      </c>
    </row>
    <row r="47" spans="1:93" s="1" customFormat="1" ht="21" customHeight="1" thickBot="1">
      <c r="A47" s="20" t="str">
        <f t="shared" si="30"/>
        <v>A</v>
      </c>
      <c r="B47" s="43" t="str">
        <f t="shared" si="14"/>
        <v>Charcuterie.B.Ballotine de canard sauvage.Recette mère ►.B.Ballotine de canard ceproc</v>
      </c>
      <c r="C47" s="45" t="str">
        <f t="shared" si="15"/>
        <v>Charcuterie</v>
      </c>
      <c r="D47" s="44" t="str">
        <f t="shared" si="16"/>
        <v>B</v>
      </c>
      <c r="E47" s="43" t="str">
        <f t="shared" si="17"/>
        <v>Ballotine de canard sauvage</v>
      </c>
      <c r="F47" s="43" t="str">
        <f t="shared" si="18"/>
        <v>cette mère ►.S</v>
      </c>
      <c r="G47" s="43" t="str">
        <f t="shared" si="19"/>
        <v>B.Ballotine de canard ceproc</v>
      </c>
      <c r="H47" s="1256" t="s">
        <v>1</v>
      </c>
      <c r="I47" s="214" t="s">
        <v>21</v>
      </c>
      <c r="J47" s="40" t="str">
        <f>J49</f>
        <v>Famille à coller.N.Nom de votre recette.Recette mère ►.S.Saisissez le nom de la recette mère</v>
      </c>
      <c r="K47" s="40"/>
      <c r="L47" s="40"/>
      <c r="M47" s="5453">
        <v>6</v>
      </c>
      <c r="N47" s="5452" t="s">
        <v>73</v>
      </c>
      <c r="O47" s="333"/>
      <c r="P47" s="333"/>
      <c r="Q47" s="6901"/>
      <c r="R47" s="6901"/>
      <c r="S47" s="7612"/>
      <c r="T47" s="43"/>
      <c r="U47" s="42" t="str">
        <f t="shared" si="32"/>
        <v>►</v>
      </c>
      <c r="V47" s="41" t="str">
        <f>V25</f>
        <v>Charcuterie.B.Ballotine de canard sauvage.Recette mère ►.B.Ballotine de canard ceproc</v>
      </c>
      <c r="W47" s="40">
        <f>W25</f>
        <v>3.05</v>
      </c>
      <c r="X47" s="39" t="str">
        <f>X25</f>
        <v>kg</v>
      </c>
      <c r="Y47" s="213"/>
      <c r="Z47" s="212"/>
      <c r="AA47" s="211" t="str">
        <f t="shared" si="35"/>
        <v/>
      </c>
      <c r="AB47" s="210"/>
      <c r="AC47" s="209"/>
      <c r="AD47" s="5448">
        <v>1</v>
      </c>
      <c r="AE47" s="33"/>
      <c r="AF47" s="187"/>
      <c r="AG47" s="32"/>
      <c r="AH47" s="31"/>
      <c r="AI47" s="30"/>
      <c r="AJ47" s="5492">
        <f t="shared" si="22"/>
        <v>0</v>
      </c>
      <c r="AK47" s="54">
        <f t="shared" si="23"/>
        <v>0</v>
      </c>
      <c r="AL47" s="53" t="str">
        <f t="shared" si="24"/>
        <v/>
      </c>
      <c r="AM47" s="52"/>
      <c r="AN47" s="51">
        <f t="shared" si="25"/>
        <v>0</v>
      </c>
      <c r="AO47" s="50">
        <f t="shared" si="26"/>
        <v>0</v>
      </c>
      <c r="AP47" s="49">
        <f t="shared" si="27"/>
        <v>0</v>
      </c>
      <c r="AQ47" s="23"/>
      <c r="AR47" s="48">
        <f t="shared" si="28"/>
        <v>0</v>
      </c>
      <c r="AS47" s="47"/>
      <c r="AT47" s="13"/>
      <c r="AU47" s="46">
        <f t="shared" si="29"/>
        <v>0</v>
      </c>
      <c r="AV47" s="187"/>
      <c r="AW47" s="242" t="s">
        <v>122</v>
      </c>
      <c r="AX47" s="246">
        <f t="shared" si="34"/>
        <v>2.835E-2</v>
      </c>
      <c r="AY47" s="240" t="s">
        <v>111</v>
      </c>
      <c r="AZ47" s="223">
        <f t="shared" si="33"/>
        <v>35</v>
      </c>
      <c r="BA47" s="245">
        <v>28.35</v>
      </c>
      <c r="BB47" s="187"/>
      <c r="BC47" s="179"/>
      <c r="BD47" s="178"/>
      <c r="BE47" s="178"/>
      <c r="BI47" s="178"/>
      <c r="BJ47" s="177"/>
      <c r="BK47" s="62"/>
      <c r="BL47" s="20" t="str">
        <f t="shared" si="13"/>
        <v>A</v>
      </c>
      <c r="BM47" s="62"/>
      <c r="BN47" s="186"/>
      <c r="BO47" s="186"/>
      <c r="BP47" s="186"/>
      <c r="BQ47" s="186"/>
      <c r="BR47" s="186"/>
      <c r="BS47" s="141"/>
      <c r="BT47" s="99"/>
      <c r="BU47" s="5160"/>
      <c r="BV47" s="5219" t="s">
        <v>75</v>
      </c>
      <c r="BW47" s="141"/>
      <c r="BX47" s="498"/>
      <c r="BY47" s="5200"/>
      <c r="BZ47" s="498"/>
      <c r="CA47" s="99"/>
      <c r="CB47" s="5160"/>
      <c r="CC47" s="5219" t="s">
        <v>916</v>
      </c>
      <c r="CD47" s="141"/>
      <c r="CE47" s="498"/>
      <c r="CF47" s="5200"/>
      <c r="CG47" s="5201"/>
      <c r="CH47" s="99"/>
      <c r="CI47" s="5160"/>
      <c r="CJ47" s="5219" t="s">
        <v>7927</v>
      </c>
      <c r="CK47" s="141"/>
      <c r="CL47" s="498"/>
      <c r="CM47" s="5200"/>
      <c r="CN47" s="56" t="s">
        <v>1</v>
      </c>
      <c r="CO47" s="5">
        <v>1</v>
      </c>
    </row>
    <row r="48" spans="1:93" s="1" customFormat="1" ht="21" customHeight="1" thickTop="1" thickBot="1">
      <c r="A48" s="20" t="str">
        <f t="shared" si="30"/>
        <v>►</v>
      </c>
      <c r="B48" s="43" t="str">
        <f t="shared" si="14"/>
        <v>►</v>
      </c>
      <c r="C48" s="45" t="str">
        <f t="shared" si="15"/>
        <v>►</v>
      </c>
      <c r="D48" s="44" t="str">
        <f t="shared" si="16"/>
        <v>►</v>
      </c>
      <c r="E48" s="43" t="str">
        <f t="shared" si="17"/>
        <v>►</v>
      </c>
      <c r="F48" s="43" t="str">
        <f t="shared" si="18"/>
        <v>►</v>
      </c>
      <c r="G48" s="43" t="str">
        <f t="shared" si="19"/>
        <v>►</v>
      </c>
      <c r="H48" s="1256" t="s">
        <v>1</v>
      </c>
      <c r="I48" s="214" t="s">
        <v>26</v>
      </c>
      <c r="J48" s="40" t="str">
        <f>J49</f>
        <v>Famille à coller.N.Nom de votre recette.Recette mère ►.S.Saisissez le nom de la recette mère</v>
      </c>
      <c r="K48" s="40"/>
      <c r="L48" s="40"/>
      <c r="M48" s="327"/>
      <c r="N48" s="326"/>
      <c r="O48" s="326"/>
      <c r="P48" s="326"/>
      <c r="Q48" s="326"/>
      <c r="R48" s="326"/>
      <c r="S48" s="1311"/>
      <c r="T48" s="43"/>
      <c r="U48" s="42" t="str">
        <f t="shared" si="32"/>
        <v>►</v>
      </c>
      <c r="V48" s="41" t="str">
        <f>V25</f>
        <v>Charcuterie.B.Ballotine de canard sauvage.Recette mère ►.B.Ballotine de canard ceproc</v>
      </c>
      <c r="W48" s="40">
        <f>W25</f>
        <v>3.05</v>
      </c>
      <c r="X48" s="39" t="str">
        <f>X25</f>
        <v>kg</v>
      </c>
      <c r="Y48" s="213"/>
      <c r="Z48" s="212"/>
      <c r="AA48" s="211" t="str">
        <f t="shared" si="35"/>
        <v/>
      </c>
      <c r="AB48" s="210"/>
      <c r="AC48" s="209"/>
      <c r="AD48" s="5448">
        <v>1</v>
      </c>
      <c r="AE48" s="33"/>
      <c r="AF48" s="187"/>
      <c r="AG48" s="32"/>
      <c r="AH48" s="31"/>
      <c r="AI48" s="30"/>
      <c r="AJ48" s="5492">
        <f t="shared" si="22"/>
        <v>0</v>
      </c>
      <c r="AK48" s="29">
        <f t="shared" si="23"/>
        <v>0</v>
      </c>
      <c r="AL48" s="28" t="str">
        <f t="shared" si="24"/>
        <v/>
      </c>
      <c r="AM48" s="27"/>
      <c r="AN48" s="26">
        <f t="shared" si="25"/>
        <v>0</v>
      </c>
      <c r="AO48" s="25">
        <f t="shared" si="26"/>
        <v>0</v>
      </c>
      <c r="AP48" s="24">
        <f t="shared" si="27"/>
        <v>0</v>
      </c>
      <c r="AQ48" s="23"/>
      <c r="AR48" s="22">
        <f t="shared" si="28"/>
        <v>0</v>
      </c>
      <c r="AS48" s="21"/>
      <c r="AT48" s="13"/>
      <c r="AU48" s="46">
        <f t="shared" si="29"/>
        <v>0</v>
      </c>
      <c r="AV48" s="187"/>
      <c r="AW48" s="242" t="s">
        <v>121</v>
      </c>
      <c r="AX48" s="225">
        <f t="shared" si="34"/>
        <v>0.22500000000000001</v>
      </c>
      <c r="AY48" s="224" t="s">
        <v>88</v>
      </c>
      <c r="AZ48" s="223">
        <f t="shared" si="33"/>
        <v>4</v>
      </c>
      <c r="BA48" s="222">
        <v>225</v>
      </c>
      <c r="BB48" s="187"/>
      <c r="BC48" s="179"/>
      <c r="BD48" s="178"/>
      <c r="BE48" s="178"/>
      <c r="BI48" s="178"/>
      <c r="BJ48" s="177"/>
      <c r="BK48" s="62"/>
      <c r="BL48" s="20" t="str">
        <f t="shared" si="13"/>
        <v>►</v>
      </c>
      <c r="BM48" s="62"/>
      <c r="BN48" s="186"/>
      <c r="BO48" s="186"/>
      <c r="BP48" s="186"/>
      <c r="BQ48" s="186"/>
      <c r="BR48" s="186"/>
      <c r="BS48" s="141"/>
      <c r="BT48" s="99"/>
      <c r="BU48" s="5160"/>
      <c r="BV48" s="5217" t="s">
        <v>7928</v>
      </c>
      <c r="BW48" s="141"/>
      <c r="BX48" s="498"/>
      <c r="BY48" s="5200"/>
      <c r="BZ48" s="498"/>
      <c r="CA48" s="99"/>
      <c r="CB48" s="5160"/>
      <c r="CC48" s="5217" t="s">
        <v>7928</v>
      </c>
      <c r="CD48" s="141"/>
      <c r="CE48" s="498"/>
      <c r="CF48" s="5200"/>
      <c r="CG48" s="5201"/>
      <c r="CH48" s="99"/>
      <c r="CI48" s="5160"/>
      <c r="CJ48" s="5217" t="s">
        <v>7928</v>
      </c>
      <c r="CK48" s="141"/>
      <c r="CL48" s="498"/>
      <c r="CM48" s="5200"/>
      <c r="CN48" s="56" t="s">
        <v>1</v>
      </c>
      <c r="CO48" s="5">
        <v>1</v>
      </c>
    </row>
    <row r="49" spans="1:93" s="1" customFormat="1" ht="21" customHeight="1" thickTop="1">
      <c r="A49" s="20" t="str">
        <f t="shared" si="30"/>
        <v>►</v>
      </c>
      <c r="B49" s="43" t="str">
        <f t="shared" si="14"/>
        <v>►</v>
      </c>
      <c r="C49" s="45" t="str">
        <f t="shared" si="15"/>
        <v>►</v>
      </c>
      <c r="D49" s="44" t="str">
        <f t="shared" si="16"/>
        <v>►</v>
      </c>
      <c r="E49" s="43" t="str">
        <f t="shared" si="17"/>
        <v>►</v>
      </c>
      <c r="F49" s="43" t="str">
        <f t="shared" si="18"/>
        <v>►</v>
      </c>
      <c r="G49" s="43" t="str">
        <f t="shared" si="19"/>
        <v>►</v>
      </c>
      <c r="H49" s="1256" t="s">
        <v>1</v>
      </c>
      <c r="I49" s="319" t="s">
        <v>26</v>
      </c>
      <c r="J49" s="318" t="str">
        <f>M49</f>
        <v>Famille à coller.N.Nom de votre recette.Recette mère ►.S.Saisissez le nom de la recette mère</v>
      </c>
      <c r="K49" s="318">
        <f>M47</f>
        <v>6</v>
      </c>
      <c r="L49" s="318" t="str">
        <f>N47</f>
        <v>couverts</v>
      </c>
      <c r="M49" s="5486" t="str">
        <f>UPPER(LEFT(O43,1))&amp;LOWER(MID(O43,2,999))&amp;"."&amp;UPPER(LEFT(Q43,1))&amp;"."&amp;UPPER(LEFT(Q43,1))&amp;LOWER(MID(Q43,2,999))&amp;"."&amp;IF(ISTEXT(S49),R49&amp;"."&amp;UPPER(LEFT(S49,1))&amp;"."&amp;UPPER(LEFT(S49,1))&amp;LOWER(MID(S49,2,999)),N49)</f>
        <v>Famille à coller.N.Nom de votre recette.Recette mère ►.S.Saisissez le nom de la recette mère</v>
      </c>
      <c r="N49" s="5487" t="s">
        <v>223</v>
      </c>
      <c r="O49" s="7613" t="s">
        <v>222</v>
      </c>
      <c r="P49" s="7613"/>
      <c r="Q49" s="7613"/>
      <c r="R49" s="317" t="s">
        <v>221</v>
      </c>
      <c r="S49" s="1302" t="s">
        <v>1093</v>
      </c>
      <c r="T49" s="43"/>
      <c r="U49" s="42" t="str">
        <f t="shared" si="32"/>
        <v>►</v>
      </c>
      <c r="V49" s="41" t="str">
        <f>V25</f>
        <v>Charcuterie.B.Ballotine de canard sauvage.Recette mère ►.B.Ballotine de canard ceproc</v>
      </c>
      <c r="W49" s="40">
        <f>W25</f>
        <v>3.05</v>
      </c>
      <c r="X49" s="39" t="str">
        <f>X25</f>
        <v>kg</v>
      </c>
      <c r="Y49" s="213"/>
      <c r="Z49" s="212"/>
      <c r="AA49" s="211" t="str">
        <f t="shared" si="35"/>
        <v/>
      </c>
      <c r="AB49" s="210"/>
      <c r="AC49" s="209"/>
      <c r="AD49" s="5448">
        <v>1</v>
      </c>
      <c r="AE49" s="33"/>
      <c r="AF49" s="187"/>
      <c r="AG49" s="32"/>
      <c r="AH49" s="31"/>
      <c r="AI49" s="30"/>
      <c r="AJ49" s="5492">
        <f t="shared" si="22"/>
        <v>0</v>
      </c>
      <c r="AK49" s="54">
        <f t="shared" si="23"/>
        <v>0</v>
      </c>
      <c r="AL49" s="53" t="str">
        <f t="shared" si="24"/>
        <v/>
      </c>
      <c r="AM49" s="52"/>
      <c r="AN49" s="51">
        <f t="shared" si="25"/>
        <v>0</v>
      </c>
      <c r="AO49" s="50">
        <f t="shared" si="26"/>
        <v>0</v>
      </c>
      <c r="AP49" s="49">
        <f t="shared" si="27"/>
        <v>0</v>
      </c>
      <c r="AQ49" s="23"/>
      <c r="AR49" s="48">
        <f t="shared" si="28"/>
        <v>0</v>
      </c>
      <c r="AS49" s="47"/>
      <c r="AT49" s="13"/>
      <c r="AU49" s="46">
        <f t="shared" si="29"/>
        <v>0</v>
      </c>
      <c r="AV49" s="187"/>
      <c r="AW49" s="242" t="s">
        <v>120</v>
      </c>
      <c r="AX49" s="225">
        <f t="shared" si="34"/>
        <v>0.11799999999999999</v>
      </c>
      <c r="AY49" s="224" t="s">
        <v>88</v>
      </c>
      <c r="AZ49" s="223">
        <f t="shared" si="33"/>
        <v>8</v>
      </c>
      <c r="BA49" s="222">
        <v>118</v>
      </c>
      <c r="BB49" s="187"/>
      <c r="BC49" s="179"/>
      <c r="BD49" s="178"/>
      <c r="BE49" s="178"/>
      <c r="BI49" s="178"/>
      <c r="BJ49" s="177"/>
      <c r="BK49" s="62"/>
      <c r="BL49" s="20" t="str">
        <f t="shared" si="13"/>
        <v>►</v>
      </c>
      <c r="BM49" s="62"/>
      <c r="BN49" s="244" t="s">
        <v>119</v>
      </c>
      <c r="BO49" s="228"/>
      <c r="BP49" s="228"/>
      <c r="BQ49" s="227"/>
      <c r="BR49" s="227"/>
      <c r="BS49" s="141"/>
      <c r="BT49" s="99"/>
      <c r="BU49" s="5220" t="s">
        <v>73</v>
      </c>
      <c r="BV49" s="5221">
        <v>16</v>
      </c>
      <c r="BW49" s="141"/>
      <c r="BX49" s="498"/>
      <c r="BY49" s="5200"/>
      <c r="BZ49" s="498"/>
      <c r="CA49" s="99"/>
      <c r="CB49" s="5220" t="s">
        <v>901</v>
      </c>
      <c r="CC49" s="5221">
        <v>16</v>
      </c>
      <c r="CD49" s="141"/>
      <c r="CE49" s="498"/>
      <c r="CF49" s="5200"/>
      <c r="CG49" s="5201"/>
      <c r="CH49" s="99"/>
      <c r="CI49" s="5220" t="s">
        <v>7916</v>
      </c>
      <c r="CJ49" s="5221">
        <v>16</v>
      </c>
      <c r="CK49" s="141"/>
      <c r="CL49" s="498"/>
      <c r="CM49" s="5200"/>
      <c r="CN49" s="56" t="s">
        <v>1</v>
      </c>
      <c r="CO49" s="5">
        <v>1</v>
      </c>
    </row>
    <row r="50" spans="1:93" s="1" customFormat="1" ht="21" customHeight="1">
      <c r="A50" s="20" t="str">
        <f t="shared" si="30"/>
        <v>A</v>
      </c>
      <c r="B50" s="43" t="str">
        <f t="shared" si="14"/>
        <v>Charcuterie.B.Ballotine de canard sauvage.Recette mère ►.B.Ballotine de canard ceproc</v>
      </c>
      <c r="C50" s="45" t="str">
        <f t="shared" si="15"/>
        <v>Charcuterie</v>
      </c>
      <c r="D50" s="44" t="str">
        <f t="shared" si="16"/>
        <v>B</v>
      </c>
      <c r="E50" s="43" t="str">
        <f t="shared" si="17"/>
        <v>Ballotine de canard sauvage</v>
      </c>
      <c r="F50" s="43" t="str">
        <f t="shared" si="18"/>
        <v>cette mère ►.S</v>
      </c>
      <c r="G50" s="43" t="str">
        <f t="shared" si="19"/>
        <v>B.Ballotine de canard ceproc</v>
      </c>
      <c r="H50" s="1256" t="s">
        <v>1</v>
      </c>
      <c r="I50" s="1327" t="s">
        <v>21</v>
      </c>
      <c r="J50" s="1313" t="str">
        <f t="shared" ref="J50:L51" si="36">J49</f>
        <v>Famille à coller.N.Nom de votre recette.Recette mère ►.S.Saisissez le nom de la recette mère</v>
      </c>
      <c r="K50" s="1313">
        <f t="shared" si="36"/>
        <v>6</v>
      </c>
      <c r="L50" s="1313" t="str">
        <f t="shared" si="36"/>
        <v>couverts</v>
      </c>
      <c r="M50" s="1314" t="s">
        <v>218</v>
      </c>
      <c r="N50" s="1314" cm="1">
        <f t="array" ref="N50">IFERROR(ROW(M70)-(ROW(M51)+MATCH(TRUE,INDEX(ISNUMBER(FIND(R50,TRIM(SUBSTITUTE(SUBSTITUTE(SUBSTITUTE(SUBSTITUTE(SUBSTITUTE(SUBSTITUTE(SUBSTITUTE(LOWER(M51:M70),"é","e"),"è","e"),"ê","e"),"ë","e"),"à","a"),"ù","u"),"î","i")))),0),0)-1),1)</f>
        <v>18</v>
      </c>
      <c r="O50" s="1315" t="s">
        <v>1108</v>
      </c>
      <c r="P50" s="1316"/>
      <c r="Q50" s="1316"/>
      <c r="R50" s="1317" t="str">
        <f>TRIM(SUBSTITUTE(SUBSTITUTE(SUBSTITUTE(SUBSTITUTE(SUBSTITUTE(SUBSTITUTE(SUBSTITUTE(LOWER(S50),"é","e"),"è","e"),"ê","e"),"ë","e"),"à","a"),"ù","u"),"î","i"))</f>
        <v>⓬ ▼ phases de progression</v>
      </c>
      <c r="S50" s="1318" t="s">
        <v>864</v>
      </c>
      <c r="T50" s="43"/>
      <c r="U50" s="42" t="str">
        <f t="shared" si="32"/>
        <v>►</v>
      </c>
      <c r="V50" s="41" t="str">
        <f>V25</f>
        <v>Charcuterie.B.Ballotine de canard sauvage.Recette mère ►.B.Ballotine de canard ceproc</v>
      </c>
      <c r="W50" s="40">
        <f>W25</f>
        <v>3.05</v>
      </c>
      <c r="X50" s="39" t="str">
        <f>X25</f>
        <v>kg</v>
      </c>
      <c r="Y50" s="213"/>
      <c r="Z50" s="212"/>
      <c r="AA50" s="211" t="str">
        <f t="shared" si="35"/>
        <v/>
      </c>
      <c r="AB50" s="210"/>
      <c r="AC50" s="209"/>
      <c r="AD50" s="5448">
        <v>1</v>
      </c>
      <c r="AE50" s="33"/>
      <c r="AF50" s="187"/>
      <c r="AG50" s="32"/>
      <c r="AH50" s="31"/>
      <c r="AI50" s="30"/>
      <c r="AJ50" s="5492">
        <f t="shared" si="22"/>
        <v>0</v>
      </c>
      <c r="AK50" s="29">
        <f t="shared" si="23"/>
        <v>0</v>
      </c>
      <c r="AL50" s="28" t="str">
        <f t="shared" si="24"/>
        <v/>
      </c>
      <c r="AM50" s="27"/>
      <c r="AN50" s="26">
        <f t="shared" si="25"/>
        <v>0</v>
      </c>
      <c r="AO50" s="25">
        <f t="shared" si="26"/>
        <v>0</v>
      </c>
      <c r="AP50" s="24">
        <f t="shared" si="27"/>
        <v>0</v>
      </c>
      <c r="AQ50" s="23"/>
      <c r="AR50" s="22">
        <f t="shared" si="28"/>
        <v>0</v>
      </c>
      <c r="AS50" s="21"/>
      <c r="AT50" s="13"/>
      <c r="AU50" s="46">
        <f t="shared" si="29"/>
        <v>0</v>
      </c>
      <c r="AV50" s="187"/>
      <c r="AW50" s="242" t="s">
        <v>118</v>
      </c>
      <c r="AX50" s="225">
        <f t="shared" si="34"/>
        <v>5.8999999999999997E-2</v>
      </c>
      <c r="AY50" s="224" t="s">
        <v>88</v>
      </c>
      <c r="AZ50" s="223">
        <f t="shared" si="33"/>
        <v>17</v>
      </c>
      <c r="BA50" s="222">
        <v>59</v>
      </c>
      <c r="BB50" s="187"/>
      <c r="BC50" s="179"/>
      <c r="BD50" s="178"/>
      <c r="BE50" s="178"/>
      <c r="BI50" s="178"/>
      <c r="BJ50" s="177"/>
      <c r="BK50" s="62"/>
      <c r="BL50" s="20" t="str">
        <f t="shared" si="13"/>
        <v>A</v>
      </c>
      <c r="BM50" s="62"/>
      <c r="BN50" s="244" t="s">
        <v>117</v>
      </c>
      <c r="BO50" s="228"/>
      <c r="BP50" s="228"/>
      <c r="BQ50" s="227"/>
      <c r="BR50" s="227"/>
      <c r="BS50" s="141"/>
      <c r="BT50" s="99"/>
      <c r="BU50" s="5220" t="s">
        <v>71</v>
      </c>
      <c r="BV50" s="5221">
        <v>25</v>
      </c>
      <c r="BW50" s="141"/>
      <c r="BX50" s="498"/>
      <c r="BY50" s="5200"/>
      <c r="BZ50" s="498"/>
      <c r="CA50" s="99"/>
      <c r="CB50" s="5220" t="s">
        <v>905</v>
      </c>
      <c r="CC50" s="5221">
        <v>25</v>
      </c>
      <c r="CD50" s="141"/>
      <c r="CE50" s="498"/>
      <c r="CF50" s="5200"/>
      <c r="CG50" s="5201"/>
      <c r="CH50" s="99"/>
      <c r="CI50" s="5220" t="s">
        <v>7920</v>
      </c>
      <c r="CJ50" s="5221">
        <v>25</v>
      </c>
      <c r="CK50" s="141"/>
      <c r="CL50" s="498"/>
      <c r="CM50" s="5200"/>
      <c r="CN50" s="56" t="s">
        <v>1</v>
      </c>
      <c r="CO50" s="5">
        <v>1</v>
      </c>
    </row>
    <row r="51" spans="1:93" s="1" customFormat="1" ht="21" customHeight="1">
      <c r="A51" s="20" t="str">
        <f t="shared" si="30"/>
        <v>A</v>
      </c>
      <c r="B51" s="43" t="str">
        <f t="shared" ref="B51:B114" si="37">IF(A51="►","►",IF(A51="A",IF(AND(ISTEXT(V51),ISTEXT(J51)),V51,IF(ISTEXT(V51),V51,IF(ISBLANK(V51),J51,V51)))))</f>
        <v>Charcuterie.B.Ballotine de canard sauvage.Recette mère ►.B.Ballotine de canard ceproc</v>
      </c>
      <c r="C51" s="45" t="str">
        <f t="shared" si="15"/>
        <v>Charcuterie</v>
      </c>
      <c r="D51" s="44" t="str">
        <f t="shared" si="16"/>
        <v>B</v>
      </c>
      <c r="E51" s="43" t="str">
        <f t="shared" si="17"/>
        <v>Ballotine de canard sauvage</v>
      </c>
      <c r="F51" s="43" t="str">
        <f t="shared" si="18"/>
        <v>cette mère ►.S</v>
      </c>
      <c r="G51" s="43" t="str">
        <f t="shared" si="19"/>
        <v>B.Ballotine de canard ceproc</v>
      </c>
      <c r="H51" s="1256" t="s">
        <v>1</v>
      </c>
      <c r="I51" s="1023" t="s">
        <v>21</v>
      </c>
      <c r="J51" s="196" t="str">
        <f t="shared" si="36"/>
        <v>Famille à coller.N.Nom de votre recette.Recette mère ►.S.Saisissez le nom de la recette mère</v>
      </c>
      <c r="K51" s="196">
        <f t="shared" si="36"/>
        <v>6</v>
      </c>
      <c r="L51" s="196" t="str">
        <f t="shared" si="36"/>
        <v>couverts</v>
      </c>
      <c r="M51" s="369" t="s">
        <v>252</v>
      </c>
      <c r="N51" s="1321"/>
      <c r="O51" s="1321"/>
      <c r="P51" s="1321"/>
      <c r="Q51" s="1321"/>
      <c r="R51" s="1321"/>
      <c r="S51" s="1322"/>
      <c r="T51" s="43"/>
      <c r="U51" s="42" t="str">
        <f t="shared" si="32"/>
        <v>►</v>
      </c>
      <c r="V51" s="41" t="str">
        <f>V25</f>
        <v>Charcuterie.B.Ballotine de canard sauvage.Recette mère ►.B.Ballotine de canard ceproc</v>
      </c>
      <c r="W51" s="40">
        <f>W25</f>
        <v>3.05</v>
      </c>
      <c r="X51" s="39" t="str">
        <f>X25</f>
        <v>kg</v>
      </c>
      <c r="Y51" s="213"/>
      <c r="Z51" s="212"/>
      <c r="AA51" s="211" t="str">
        <f t="shared" si="35"/>
        <v/>
      </c>
      <c r="AB51" s="210"/>
      <c r="AC51" s="209"/>
      <c r="AD51" s="5448">
        <v>1</v>
      </c>
      <c r="AE51" s="33"/>
      <c r="AF51" s="187"/>
      <c r="AG51" s="32"/>
      <c r="AH51" s="31"/>
      <c r="AI51" s="30"/>
      <c r="AJ51" s="5492">
        <f t="shared" si="22"/>
        <v>0</v>
      </c>
      <c r="AK51" s="54">
        <f t="shared" si="23"/>
        <v>0</v>
      </c>
      <c r="AL51" s="53" t="str">
        <f t="shared" si="24"/>
        <v/>
      </c>
      <c r="AM51" s="52"/>
      <c r="AN51" s="51">
        <f t="shared" si="25"/>
        <v>0</v>
      </c>
      <c r="AO51" s="50">
        <f t="shared" si="26"/>
        <v>0</v>
      </c>
      <c r="AP51" s="49">
        <f t="shared" si="27"/>
        <v>0</v>
      </c>
      <c r="AQ51" s="23"/>
      <c r="AR51" s="48">
        <f t="shared" si="28"/>
        <v>0</v>
      </c>
      <c r="AS51" s="47"/>
      <c r="AT51" s="13"/>
      <c r="AU51" s="46">
        <f t="shared" si="29"/>
        <v>0</v>
      </c>
      <c r="AV51" s="187"/>
      <c r="AW51" s="242" t="s">
        <v>116</v>
      </c>
      <c r="AX51" s="225">
        <f t="shared" si="34"/>
        <v>2.9000000000000001E-2</v>
      </c>
      <c r="AY51" s="224" t="s">
        <v>88</v>
      </c>
      <c r="AZ51" s="223">
        <f t="shared" si="33"/>
        <v>34</v>
      </c>
      <c r="BA51" s="222">
        <v>29</v>
      </c>
      <c r="BB51" s="187"/>
      <c r="BC51" s="179"/>
      <c r="BD51" s="178"/>
      <c r="BE51" s="178"/>
      <c r="BI51" s="178"/>
      <c r="BJ51" s="177"/>
      <c r="BK51" s="62"/>
      <c r="BL51" s="20" t="str">
        <f t="shared" si="13"/>
        <v>A</v>
      </c>
      <c r="BM51" s="62"/>
      <c r="BN51" s="244" t="s">
        <v>115</v>
      </c>
      <c r="BO51" s="228"/>
      <c r="BP51" s="228"/>
      <c r="BQ51" s="227"/>
      <c r="BR51" s="227"/>
      <c r="BS51" s="141"/>
      <c r="BT51" s="99"/>
      <c r="BU51" s="5160"/>
      <c r="BV51" s="5222" t="str">
        <f>BT46</f>
        <v>augmentez ou diminuez la valeur saisie</v>
      </c>
      <c r="BW51" s="141"/>
      <c r="BX51" s="498"/>
      <c r="BY51" s="5200"/>
      <c r="BZ51" s="498"/>
      <c r="CA51" s="99"/>
      <c r="CB51" s="5160"/>
      <c r="CC51" s="5222" t="str">
        <f>CA46</f>
        <v>increase or decrease the value entered</v>
      </c>
      <c r="CD51" s="141"/>
      <c r="CE51" s="498"/>
      <c r="CF51" s="5200"/>
      <c r="CG51" s="5201"/>
      <c r="CH51" s="99"/>
      <c r="CI51" s="5160"/>
      <c r="CJ51" s="5222" t="str">
        <f>CH46</f>
        <v>aumentar o disminuir el valor introducido</v>
      </c>
      <c r="CK51" s="141"/>
      <c r="CL51" s="498"/>
      <c r="CM51" s="5200"/>
      <c r="CN51" s="56" t="s">
        <v>1</v>
      </c>
      <c r="CO51" s="5">
        <v>1</v>
      </c>
    </row>
    <row r="52" spans="1:93" s="1" customFormat="1" ht="21" customHeight="1">
      <c r="A52" s="20" t="str">
        <f t="shared" si="30"/>
        <v>A</v>
      </c>
      <c r="B52" s="43" t="str">
        <f t="shared" si="37"/>
        <v>Charcuterie.B.Ballotine de canard sauvage.Recette mère ►.B.Ballotine de canard ceproc</v>
      </c>
      <c r="C52" s="45" t="str">
        <f t="shared" si="15"/>
        <v>Charcuterie</v>
      </c>
      <c r="D52" s="44" t="str">
        <f t="shared" si="16"/>
        <v>B</v>
      </c>
      <c r="E52" s="43" t="str">
        <f t="shared" si="17"/>
        <v>Ballotine de canard sauvage</v>
      </c>
      <c r="F52" s="43" t="str">
        <f t="shared" si="18"/>
        <v>cette mère ►.S</v>
      </c>
      <c r="G52" s="43" t="str">
        <f t="shared" si="19"/>
        <v>B.Ballotine de canard ceproc</v>
      </c>
      <c r="H52" s="1256" t="s">
        <v>1</v>
      </c>
      <c r="I52" s="42" t="str">
        <f t="shared" ref="I52:I58" si="38">IF(OR(M52&lt;&gt;"",N52&lt;&gt; "",O52&lt;&gt;"",P52&lt;&gt;""),"A", "►")</f>
        <v>A</v>
      </c>
      <c r="J52" s="196" t="str">
        <f>J50</f>
        <v>Famille à coller.N.Nom de votre recette.Recette mère ►.S.Saisissez le nom de la recette mère</v>
      </c>
      <c r="K52" s="196">
        <f>K50</f>
        <v>6</v>
      </c>
      <c r="L52" s="196" t="str">
        <f>L50</f>
        <v>couverts</v>
      </c>
      <c r="M52" s="1319" t="s">
        <v>864</v>
      </c>
      <c r="N52" s="1320"/>
      <c r="O52" s="1320"/>
      <c r="P52" s="1320"/>
      <c r="Q52" s="1320"/>
      <c r="R52" s="1320"/>
      <c r="S52" s="1324"/>
      <c r="T52" s="43"/>
      <c r="U52" s="42" t="str">
        <f t="shared" si="32"/>
        <v>►</v>
      </c>
      <c r="V52" s="41" t="str">
        <f>V25</f>
        <v>Charcuterie.B.Ballotine de canard sauvage.Recette mère ►.B.Ballotine de canard ceproc</v>
      </c>
      <c r="W52" s="40">
        <f>W25</f>
        <v>3.05</v>
      </c>
      <c r="X52" s="39" t="str">
        <f>X25</f>
        <v>kg</v>
      </c>
      <c r="Y52" s="213"/>
      <c r="Z52" s="212"/>
      <c r="AA52" s="211" t="str">
        <f t="shared" si="35"/>
        <v/>
      </c>
      <c r="AB52" s="210"/>
      <c r="AC52" s="209"/>
      <c r="AD52" s="5448">
        <v>1</v>
      </c>
      <c r="AE52" s="33"/>
      <c r="AF52" s="187"/>
      <c r="AG52" s="32"/>
      <c r="AH52" s="31"/>
      <c r="AI52" s="30"/>
      <c r="AJ52" s="5492">
        <f t="shared" si="22"/>
        <v>0</v>
      </c>
      <c r="AK52" s="29">
        <f t="shared" si="23"/>
        <v>0</v>
      </c>
      <c r="AL52" s="28" t="str">
        <f t="shared" si="24"/>
        <v/>
      </c>
      <c r="AM52" s="27"/>
      <c r="AN52" s="26">
        <f t="shared" si="25"/>
        <v>0</v>
      </c>
      <c r="AO52" s="25">
        <f t="shared" si="26"/>
        <v>0</v>
      </c>
      <c r="AP52" s="24">
        <f t="shared" si="27"/>
        <v>0</v>
      </c>
      <c r="AQ52" s="23"/>
      <c r="AR52" s="22">
        <f t="shared" si="28"/>
        <v>0</v>
      </c>
      <c r="AS52" s="21"/>
      <c r="AT52" s="13"/>
      <c r="AU52" s="46">
        <f t="shared" si="29"/>
        <v>0</v>
      </c>
      <c r="AV52" s="187"/>
      <c r="AW52" s="242" t="s">
        <v>114</v>
      </c>
      <c r="AX52" s="241">
        <f t="shared" si="34"/>
        <v>0.13</v>
      </c>
      <c r="AY52" s="240" t="s">
        <v>111</v>
      </c>
      <c r="AZ52" s="223">
        <f t="shared" si="33"/>
        <v>8</v>
      </c>
      <c r="BA52" s="239">
        <v>130</v>
      </c>
      <c r="BB52" s="187"/>
      <c r="BC52" s="179"/>
      <c r="BD52" s="178"/>
      <c r="BE52" s="178"/>
      <c r="BI52" s="178"/>
      <c r="BJ52" s="177"/>
      <c r="BK52" s="62"/>
      <c r="BL52" s="20" t="str">
        <f t="shared" si="13"/>
        <v>A</v>
      </c>
      <c r="BM52" s="62"/>
      <c r="BN52" s="186"/>
      <c r="BO52" s="186"/>
      <c r="BP52" s="186"/>
      <c r="BQ52" s="186"/>
      <c r="BR52" s="186"/>
      <c r="BS52" s="141"/>
      <c r="BT52" s="5223" t="s">
        <v>957</v>
      </c>
      <c r="BU52" s="5160"/>
      <c r="BV52" s="5160"/>
      <c r="BW52" s="141"/>
      <c r="BX52" s="498"/>
      <c r="BY52" s="5200"/>
      <c r="BZ52" s="498"/>
      <c r="CA52" s="5223" t="s">
        <v>7929</v>
      </c>
      <c r="CB52" s="5160"/>
      <c r="CC52" s="5160"/>
      <c r="CD52" s="141"/>
      <c r="CE52" s="498"/>
      <c r="CF52" s="5200"/>
      <c r="CG52" s="5201"/>
      <c r="CH52" s="5223" t="s">
        <v>7930</v>
      </c>
      <c r="CI52" s="5160"/>
      <c r="CJ52" s="5160"/>
      <c r="CK52" s="141"/>
      <c r="CL52" s="498"/>
      <c r="CM52" s="5200"/>
      <c r="CN52" s="56" t="s">
        <v>1</v>
      </c>
      <c r="CO52" s="5">
        <v>1</v>
      </c>
    </row>
    <row r="53" spans="1:93" s="1" customFormat="1" ht="21" customHeight="1">
      <c r="A53" s="20" t="str">
        <f t="shared" si="30"/>
        <v>►</v>
      </c>
      <c r="B53" s="43" t="str">
        <f t="shared" si="37"/>
        <v>►</v>
      </c>
      <c r="C53" s="45" t="str">
        <f t="shared" si="15"/>
        <v>►</v>
      </c>
      <c r="D53" s="44" t="str">
        <f t="shared" si="16"/>
        <v>►</v>
      </c>
      <c r="E53" s="43" t="str">
        <f t="shared" si="17"/>
        <v>►</v>
      </c>
      <c r="F53" s="43" t="str">
        <f t="shared" si="18"/>
        <v>►</v>
      </c>
      <c r="G53" s="43" t="str">
        <f t="shared" si="19"/>
        <v>►</v>
      </c>
      <c r="H53" s="1256" t="s">
        <v>1</v>
      </c>
      <c r="I53" s="42" t="str">
        <f t="shared" si="38"/>
        <v>►</v>
      </c>
      <c r="J53" s="196" t="str">
        <f>J50</f>
        <v>Famille à coller.N.Nom de votre recette.Recette mère ►.S.Saisissez le nom de la recette mère</v>
      </c>
      <c r="K53" s="196">
        <f>K50</f>
        <v>6</v>
      </c>
      <c r="L53" s="196" t="str">
        <f>L50</f>
        <v>couverts</v>
      </c>
      <c r="M53" s="1323"/>
      <c r="N53" s="988"/>
      <c r="O53" s="988"/>
      <c r="P53" s="988"/>
      <c r="Q53" s="988"/>
      <c r="R53" s="988"/>
      <c r="S53" s="1325"/>
      <c r="T53" s="43"/>
      <c r="U53" s="42" t="str">
        <f t="shared" si="32"/>
        <v>►</v>
      </c>
      <c r="V53" s="41" t="str">
        <f>V25</f>
        <v>Charcuterie.B.Ballotine de canard sauvage.Recette mère ►.B.Ballotine de canard ceproc</v>
      </c>
      <c r="W53" s="40">
        <f>W25</f>
        <v>3.05</v>
      </c>
      <c r="X53" s="39" t="str">
        <f>X25</f>
        <v>kg</v>
      </c>
      <c r="Y53" s="213"/>
      <c r="Z53" s="212"/>
      <c r="AA53" s="211" t="str">
        <f t="shared" si="35"/>
        <v/>
      </c>
      <c r="AB53" s="210"/>
      <c r="AC53" s="209"/>
      <c r="AD53" s="5448">
        <v>1</v>
      </c>
      <c r="AE53" s="33"/>
      <c r="AF53" s="187"/>
      <c r="AG53" s="32"/>
      <c r="AH53" s="31"/>
      <c r="AI53" s="30"/>
      <c r="AJ53" s="5492">
        <f t="shared" si="22"/>
        <v>0</v>
      </c>
      <c r="AK53" s="54">
        <f t="shared" si="23"/>
        <v>0</v>
      </c>
      <c r="AL53" s="53" t="str">
        <f t="shared" si="24"/>
        <v/>
      </c>
      <c r="AM53" s="52"/>
      <c r="AN53" s="51">
        <f t="shared" si="25"/>
        <v>0</v>
      </c>
      <c r="AO53" s="50">
        <f t="shared" si="26"/>
        <v>0</v>
      </c>
      <c r="AP53" s="49">
        <f t="shared" si="27"/>
        <v>0</v>
      </c>
      <c r="AQ53" s="23"/>
      <c r="AR53" s="48">
        <f t="shared" si="28"/>
        <v>0</v>
      </c>
      <c r="AS53" s="47"/>
      <c r="AT53" s="13"/>
      <c r="AU53" s="46">
        <f t="shared" si="29"/>
        <v>0</v>
      </c>
      <c r="AV53" s="187"/>
      <c r="AW53" s="242" t="s">
        <v>113</v>
      </c>
      <c r="AX53" s="241">
        <f t="shared" si="34"/>
        <v>0.13</v>
      </c>
      <c r="AY53" s="240" t="s">
        <v>111</v>
      </c>
      <c r="AZ53" s="223">
        <f t="shared" si="33"/>
        <v>8</v>
      </c>
      <c r="BA53" s="239">
        <v>130</v>
      </c>
      <c r="BB53" s="187"/>
      <c r="BC53" s="179"/>
      <c r="BD53" s="178"/>
      <c r="BE53" s="178"/>
      <c r="BF53" s="178"/>
      <c r="BG53" s="178"/>
      <c r="BH53" s="178"/>
      <c r="BI53" s="178"/>
      <c r="BJ53" s="177"/>
      <c r="BK53" s="62"/>
      <c r="BL53" s="20" t="str">
        <f t="shared" si="13"/>
        <v>►</v>
      </c>
      <c r="BM53" s="62"/>
      <c r="BN53" s="186"/>
      <c r="BO53" s="186"/>
      <c r="BP53" s="186"/>
      <c r="BQ53" s="186"/>
      <c r="BR53" s="186"/>
      <c r="BS53" s="141"/>
      <c r="BT53" s="5224" t="s">
        <v>7931</v>
      </c>
      <c r="BU53" s="5160"/>
      <c r="BV53" s="5160"/>
      <c r="BW53" s="141"/>
      <c r="BX53" s="498"/>
      <c r="BY53" s="5200"/>
      <c r="BZ53" s="498"/>
      <c r="CA53" s="5224" t="s">
        <v>7932</v>
      </c>
      <c r="CB53" s="5160"/>
      <c r="CC53" s="5160"/>
      <c r="CD53" s="141"/>
      <c r="CE53" s="498"/>
      <c r="CF53" s="5200"/>
      <c r="CG53" s="5201"/>
      <c r="CH53" s="5224" t="s">
        <v>7933</v>
      </c>
      <c r="CI53" s="5160"/>
      <c r="CJ53" s="5160"/>
      <c r="CK53" s="141"/>
      <c r="CL53" s="498"/>
      <c r="CM53" s="5200"/>
      <c r="CN53" s="56" t="s">
        <v>1</v>
      </c>
      <c r="CO53" s="5">
        <v>1</v>
      </c>
    </row>
    <row r="54" spans="1:93" s="1" customFormat="1" ht="21" customHeight="1">
      <c r="A54" s="20" t="str">
        <f t="shared" si="30"/>
        <v>►</v>
      </c>
      <c r="B54" s="43" t="str">
        <f t="shared" si="37"/>
        <v>►</v>
      </c>
      <c r="C54" s="45" t="str">
        <f t="shared" ref="C54:C77" si="39">IF(B54="►","►",IFERROR(LEFT(B54,SEARCH(".",B54)-1),0))</f>
        <v>►</v>
      </c>
      <c r="D54" s="44" t="str">
        <f t="shared" ref="D54:D77" si="40">IF(B54="►","►",IFERROR(MID(B54,SEARCH(".",B54)+1,SEARCH(".",B54,SEARCH(".",B54)+1)-SEARCH(".",B54)-1),0))</f>
        <v>►</v>
      </c>
      <c r="E54" s="43" t="str">
        <f t="shared" ref="E54:E77" si="41">IF(B54="►","►",IFERROR(MID(B54,SEARCH(".",B54,SEARCH(".",B54)+1)+1,SEARCH(".",B54,SEARCH(".",B54,SEARCH(".",B54)+1)+1)-SEARCH(".",B54,SEARCH(".",B54)+1)-1),0))</f>
        <v>►</v>
      </c>
      <c r="F54" s="43" t="str">
        <f t="shared" ref="F54:F77" si="42">IF(B54="►","►",IFERROR(MID(J54,SEARCH(".",B54,SEARCH(".",B54,SEARCH(".",B54)+1)+1)+1,SEARCH(".",B54,SEARCH(".",B54,SEARCH(".",B54,SEARCH(".",B54)+1)+1)+1)-SEARCH(".",B54,SEARCH(".",B54,SEARCH(".",B54)+1)+1)-1),0))</f>
        <v>►</v>
      </c>
      <c r="G54" s="43" t="str">
        <f t="shared" ref="G54:G79" si="43">IF(B54="►","►",IF(ISBLANK(B54),"►",IFERROR(RIGHT(B54,LEN(B54)-FIND("►",B54)-1),"")))</f>
        <v>►</v>
      </c>
      <c r="H54" s="1256" t="s">
        <v>1</v>
      </c>
      <c r="I54" s="42" t="str">
        <f t="shared" si="38"/>
        <v>►</v>
      </c>
      <c r="J54" s="196" t="str">
        <f>J50</f>
        <v>Famille à coller.N.Nom de votre recette.Recette mère ►.S.Saisissez le nom de la recette mère</v>
      </c>
      <c r="K54" s="196">
        <f>K50</f>
        <v>6</v>
      </c>
      <c r="L54" s="196" t="str">
        <f>L50</f>
        <v>couverts</v>
      </c>
      <c r="M54" s="1323"/>
      <c r="N54" s="988"/>
      <c r="O54" s="988"/>
      <c r="P54" s="988"/>
      <c r="Q54" s="988"/>
      <c r="R54" s="988"/>
      <c r="S54" s="1325"/>
      <c r="T54" s="43"/>
      <c r="U54" s="42" t="str">
        <f t="shared" si="32"/>
        <v>►</v>
      </c>
      <c r="V54" s="41" t="str">
        <f>V25</f>
        <v>Charcuterie.B.Ballotine de canard sauvage.Recette mère ►.B.Ballotine de canard ceproc</v>
      </c>
      <c r="W54" s="40">
        <f>W25</f>
        <v>3.05</v>
      </c>
      <c r="X54" s="39" t="str">
        <f>X25</f>
        <v>kg</v>
      </c>
      <c r="Y54" s="213"/>
      <c r="Z54" s="212"/>
      <c r="AA54" s="211" t="str">
        <f t="shared" si="35"/>
        <v/>
      </c>
      <c r="AB54" s="210"/>
      <c r="AC54" s="209"/>
      <c r="AD54" s="5448">
        <v>1</v>
      </c>
      <c r="AE54" s="33"/>
      <c r="AF54" s="187"/>
      <c r="AG54" s="32"/>
      <c r="AH54" s="31"/>
      <c r="AI54" s="30"/>
      <c r="AJ54" s="5492">
        <f t="shared" si="22"/>
        <v>0</v>
      </c>
      <c r="AK54" s="29">
        <f t="shared" si="23"/>
        <v>0</v>
      </c>
      <c r="AL54" s="28" t="str">
        <f t="shared" si="24"/>
        <v/>
      </c>
      <c r="AM54" s="27"/>
      <c r="AN54" s="26">
        <f t="shared" si="25"/>
        <v>0</v>
      </c>
      <c r="AO54" s="25">
        <f t="shared" si="26"/>
        <v>0</v>
      </c>
      <c r="AP54" s="24">
        <f t="shared" si="27"/>
        <v>0</v>
      </c>
      <c r="AQ54" s="23"/>
      <c r="AR54" s="22">
        <f t="shared" si="28"/>
        <v>0</v>
      </c>
      <c r="AS54" s="21"/>
      <c r="AT54" s="13"/>
      <c r="AU54" s="46">
        <f t="shared" si="29"/>
        <v>0</v>
      </c>
      <c r="AV54" s="187"/>
      <c r="AW54" s="242" t="s">
        <v>112</v>
      </c>
      <c r="AX54" s="241">
        <f t="shared" si="34"/>
        <v>0.2</v>
      </c>
      <c r="AY54" s="240" t="s">
        <v>111</v>
      </c>
      <c r="AZ54" s="223">
        <f t="shared" si="33"/>
        <v>5</v>
      </c>
      <c r="BA54" s="239">
        <v>200</v>
      </c>
      <c r="BB54" s="187"/>
      <c r="BC54" s="179"/>
      <c r="BD54" s="178"/>
      <c r="BE54" s="178"/>
      <c r="BF54" s="178"/>
      <c r="BG54" s="178"/>
      <c r="BH54" s="178"/>
      <c r="BI54" s="178"/>
      <c r="BJ54" s="177"/>
      <c r="BK54" s="62"/>
      <c r="BL54" s="20" t="str">
        <f t="shared" si="13"/>
        <v>►</v>
      </c>
      <c r="BM54" s="62"/>
      <c r="BN54" s="186"/>
      <c r="BO54" s="186"/>
      <c r="BP54" s="186"/>
      <c r="BQ54" s="186"/>
      <c r="BR54" s="186"/>
      <c r="BS54" s="141"/>
      <c r="BT54" s="5203"/>
      <c r="BU54" s="141"/>
      <c r="BV54" s="141"/>
      <c r="BW54" s="141"/>
      <c r="BX54" s="498"/>
      <c r="BY54" s="5200"/>
      <c r="BZ54" s="5201"/>
      <c r="CA54" s="5203"/>
      <c r="CB54" s="141"/>
      <c r="CC54" s="141"/>
      <c r="CD54" s="141"/>
      <c r="CE54" s="498"/>
      <c r="CF54" s="5200"/>
      <c r="CG54" s="5201"/>
      <c r="CH54" s="5203"/>
      <c r="CI54" s="141"/>
      <c r="CJ54" s="141"/>
      <c r="CK54" s="141"/>
      <c r="CL54" s="498"/>
      <c r="CM54" s="5200"/>
      <c r="CN54" s="56" t="s">
        <v>1</v>
      </c>
      <c r="CO54" s="5">
        <v>1</v>
      </c>
    </row>
    <row r="55" spans="1:93" s="1" customFormat="1" ht="21" customHeight="1">
      <c r="A55" s="20" t="str">
        <f t="shared" si="30"/>
        <v>►</v>
      </c>
      <c r="B55" s="43" t="str">
        <f t="shared" si="37"/>
        <v>►</v>
      </c>
      <c r="C55" s="45" t="str">
        <f t="shared" si="39"/>
        <v>►</v>
      </c>
      <c r="D55" s="44" t="str">
        <f t="shared" si="40"/>
        <v>►</v>
      </c>
      <c r="E55" s="43" t="str">
        <f t="shared" si="41"/>
        <v>►</v>
      </c>
      <c r="F55" s="43" t="str">
        <f t="shared" si="42"/>
        <v>►</v>
      </c>
      <c r="G55" s="43" t="str">
        <f t="shared" si="43"/>
        <v>►</v>
      </c>
      <c r="H55" s="1256" t="s">
        <v>1</v>
      </c>
      <c r="I55" s="42" t="str">
        <f t="shared" si="38"/>
        <v>►</v>
      </c>
      <c r="J55" s="196" t="str">
        <f>J50</f>
        <v>Famille à coller.N.Nom de votre recette.Recette mère ►.S.Saisissez le nom de la recette mère</v>
      </c>
      <c r="K55" s="196">
        <f>K50</f>
        <v>6</v>
      </c>
      <c r="L55" s="196" t="str">
        <f>L50</f>
        <v>couverts</v>
      </c>
      <c r="M55" s="1323"/>
      <c r="N55" s="988"/>
      <c r="O55" s="988"/>
      <c r="P55" s="988"/>
      <c r="Q55" s="988"/>
      <c r="R55" s="988"/>
      <c r="S55" s="1325"/>
      <c r="T55" s="43"/>
      <c r="U55" s="42" t="str">
        <f t="shared" si="32"/>
        <v>►</v>
      </c>
      <c r="V55" s="41" t="str">
        <f>V25</f>
        <v>Charcuterie.B.Ballotine de canard sauvage.Recette mère ►.B.Ballotine de canard ceproc</v>
      </c>
      <c r="W55" s="40">
        <f>W25</f>
        <v>3.05</v>
      </c>
      <c r="X55" s="39" t="str">
        <f>X25</f>
        <v>kg</v>
      </c>
      <c r="Y55" s="213"/>
      <c r="Z55" s="212"/>
      <c r="AA55" s="211" t="str">
        <f t="shared" si="35"/>
        <v/>
      </c>
      <c r="AB55" s="210"/>
      <c r="AC55" s="209"/>
      <c r="AD55" s="5448">
        <v>1</v>
      </c>
      <c r="AE55" s="33"/>
      <c r="AF55" s="187"/>
      <c r="AG55" s="32"/>
      <c r="AH55" s="31"/>
      <c r="AI55" s="30"/>
      <c r="AJ55" s="5492">
        <f t="shared" si="22"/>
        <v>0</v>
      </c>
      <c r="AK55" s="54">
        <f t="shared" si="23"/>
        <v>0</v>
      </c>
      <c r="AL55" s="53" t="str">
        <f t="shared" si="24"/>
        <v/>
      </c>
      <c r="AM55" s="52"/>
      <c r="AN55" s="51">
        <f t="shared" si="25"/>
        <v>0</v>
      </c>
      <c r="AO55" s="50">
        <f t="shared" si="26"/>
        <v>0</v>
      </c>
      <c r="AP55" s="49">
        <f t="shared" si="27"/>
        <v>0</v>
      </c>
      <c r="AQ55" s="23"/>
      <c r="AR55" s="48">
        <f t="shared" si="28"/>
        <v>0</v>
      </c>
      <c r="AS55" s="47"/>
      <c r="AT55" s="13"/>
      <c r="AU55" s="46">
        <f t="shared" si="29"/>
        <v>0</v>
      </c>
      <c r="AV55" s="187"/>
      <c r="AW55" s="219" t="s">
        <v>110</v>
      </c>
      <c r="AX55" s="225">
        <f t="shared" si="34"/>
        <v>1E-3</v>
      </c>
      <c r="AY55" s="224" t="s">
        <v>88</v>
      </c>
      <c r="AZ55" s="223">
        <f t="shared" si="33"/>
        <v>1000</v>
      </c>
      <c r="BA55" s="222">
        <v>1</v>
      </c>
      <c r="BB55" s="187"/>
      <c r="BC55" s="179"/>
      <c r="BD55" s="178"/>
      <c r="BE55" s="178"/>
      <c r="BF55" s="178"/>
      <c r="BG55" s="178"/>
      <c r="BH55" s="178"/>
      <c r="BI55" s="178"/>
      <c r="BJ55" s="177"/>
      <c r="BK55" s="62"/>
      <c r="BL55" s="20" t="str">
        <f t="shared" si="13"/>
        <v>►</v>
      </c>
      <c r="BM55" s="62"/>
      <c r="BN55" s="186"/>
      <c r="BO55" s="186"/>
      <c r="BP55" s="186"/>
      <c r="BQ55" s="186"/>
      <c r="BR55" s="186"/>
      <c r="BS55" s="141"/>
      <c r="BT55" s="5204" t="s">
        <v>7934</v>
      </c>
      <c r="BU55" s="141"/>
      <c r="BV55" s="141"/>
      <c r="BW55" s="141"/>
      <c r="BX55" s="498"/>
      <c r="BY55" s="5200"/>
      <c r="BZ55" s="5201"/>
      <c r="CA55" s="5204" t="s">
        <v>7935</v>
      </c>
      <c r="CB55" s="141"/>
      <c r="CC55" s="141"/>
      <c r="CD55" s="141"/>
      <c r="CE55" s="498"/>
      <c r="CF55" s="5200"/>
      <c r="CG55" s="5201"/>
      <c r="CH55" s="5204" t="s">
        <v>7936</v>
      </c>
      <c r="CI55" s="141"/>
      <c r="CJ55" s="141"/>
      <c r="CK55" s="141"/>
      <c r="CL55" s="498"/>
      <c r="CM55" s="5200"/>
      <c r="CN55" s="56" t="s">
        <v>1</v>
      </c>
      <c r="CO55" s="5">
        <v>1</v>
      </c>
    </row>
    <row r="56" spans="1:93" s="1" customFormat="1" ht="21" customHeight="1">
      <c r="A56" s="20" t="str">
        <f t="shared" si="30"/>
        <v>►</v>
      </c>
      <c r="B56" s="43" t="str">
        <f t="shared" si="37"/>
        <v>►</v>
      </c>
      <c r="C56" s="45" t="str">
        <f t="shared" si="39"/>
        <v>►</v>
      </c>
      <c r="D56" s="44" t="str">
        <f t="shared" si="40"/>
        <v>►</v>
      </c>
      <c r="E56" s="43" t="str">
        <f t="shared" si="41"/>
        <v>►</v>
      </c>
      <c r="F56" s="43" t="str">
        <f t="shared" si="42"/>
        <v>►</v>
      </c>
      <c r="G56" s="43" t="str">
        <f t="shared" si="43"/>
        <v>►</v>
      </c>
      <c r="H56" s="1256" t="s">
        <v>1</v>
      </c>
      <c r="I56" s="42" t="str">
        <f t="shared" si="38"/>
        <v>►</v>
      </c>
      <c r="J56" s="196" t="str">
        <f>J50</f>
        <v>Famille à coller.N.Nom de votre recette.Recette mère ►.S.Saisissez le nom de la recette mère</v>
      </c>
      <c r="K56" s="196">
        <f>K50</f>
        <v>6</v>
      </c>
      <c r="L56" s="196" t="str">
        <f>L50</f>
        <v>couverts</v>
      </c>
      <c r="M56" s="1323"/>
      <c r="N56" s="988"/>
      <c r="O56" s="988"/>
      <c r="P56" s="988"/>
      <c r="Q56" s="988"/>
      <c r="R56" s="988"/>
      <c r="S56" s="1325"/>
      <c r="T56" s="43"/>
      <c r="U56" s="42" t="str">
        <f t="shared" si="32"/>
        <v>►</v>
      </c>
      <c r="V56" s="41" t="str">
        <f>V25</f>
        <v>Charcuterie.B.Ballotine de canard sauvage.Recette mère ►.B.Ballotine de canard ceproc</v>
      </c>
      <c r="W56" s="40">
        <f>W25</f>
        <v>3.05</v>
      </c>
      <c r="X56" s="39" t="str">
        <f>X25</f>
        <v>kg</v>
      </c>
      <c r="Y56" s="213"/>
      <c r="Z56" s="212"/>
      <c r="AA56" s="211" t="str">
        <f t="shared" si="35"/>
        <v/>
      </c>
      <c r="AB56" s="210"/>
      <c r="AC56" s="209"/>
      <c r="AD56" s="5448">
        <v>1</v>
      </c>
      <c r="AE56" s="33"/>
      <c r="AF56" s="187"/>
      <c r="AG56" s="32"/>
      <c r="AH56" s="31"/>
      <c r="AI56" s="30"/>
      <c r="AJ56" s="5492">
        <f t="shared" si="22"/>
        <v>0</v>
      </c>
      <c r="AK56" s="29">
        <f t="shared" si="23"/>
        <v>0</v>
      </c>
      <c r="AL56" s="28" t="str">
        <f t="shared" si="24"/>
        <v/>
      </c>
      <c r="AM56" s="27"/>
      <c r="AN56" s="26">
        <f t="shared" si="25"/>
        <v>0</v>
      </c>
      <c r="AO56" s="25">
        <f t="shared" si="26"/>
        <v>0</v>
      </c>
      <c r="AP56" s="24">
        <f t="shared" si="27"/>
        <v>0</v>
      </c>
      <c r="AQ56" s="23"/>
      <c r="AR56" s="22">
        <f t="shared" si="28"/>
        <v>0</v>
      </c>
      <c r="AS56" s="21"/>
      <c r="AT56" s="13"/>
      <c r="AU56" s="46">
        <f t="shared" si="29"/>
        <v>0</v>
      </c>
      <c r="AV56" s="187"/>
      <c r="AW56" s="219" t="s">
        <v>109</v>
      </c>
      <c r="AX56" s="225">
        <f t="shared" si="34"/>
        <v>2.5000000000000001E-3</v>
      </c>
      <c r="AY56" s="224" t="s">
        <v>88</v>
      </c>
      <c r="AZ56" s="223">
        <f t="shared" si="33"/>
        <v>400</v>
      </c>
      <c r="BA56" s="236">
        <v>2.5</v>
      </c>
      <c r="BB56" s="187"/>
      <c r="BC56" s="179"/>
      <c r="BD56" s="178"/>
      <c r="BE56" s="178"/>
      <c r="BF56" s="178"/>
      <c r="BG56" s="178"/>
      <c r="BH56" s="178"/>
      <c r="BI56" s="178"/>
      <c r="BJ56" s="177"/>
      <c r="BK56" s="62"/>
      <c r="BL56" s="20" t="str">
        <f t="shared" si="13"/>
        <v>►</v>
      </c>
      <c r="BM56" s="62"/>
      <c r="BN56" s="186"/>
      <c r="BO56" s="186"/>
      <c r="BP56" s="186"/>
      <c r="BQ56" s="186"/>
      <c r="BR56" s="186"/>
      <c r="BS56" s="141"/>
      <c r="BT56" s="5202" t="s">
        <v>7937</v>
      </c>
      <c r="BU56" s="141"/>
      <c r="BV56" s="141"/>
      <c r="BW56" s="141"/>
      <c r="BX56" s="498"/>
      <c r="BY56" s="5200"/>
      <c r="BZ56" s="5201"/>
      <c r="CA56" s="5202" t="s">
        <v>7938</v>
      </c>
      <c r="CB56" s="141"/>
      <c r="CC56" s="141"/>
      <c r="CD56" s="141"/>
      <c r="CE56" s="498"/>
      <c r="CF56" s="5200"/>
      <c r="CG56" s="5201"/>
      <c r="CH56" s="5202" t="s">
        <v>7939</v>
      </c>
      <c r="CI56" s="141"/>
      <c r="CJ56" s="141"/>
      <c r="CK56" s="141"/>
      <c r="CL56" s="498"/>
      <c r="CM56" s="5200"/>
      <c r="CN56" s="56" t="s">
        <v>1</v>
      </c>
      <c r="CO56" s="5">
        <v>1</v>
      </c>
    </row>
    <row r="57" spans="1:93" s="1" customFormat="1" ht="21" customHeight="1">
      <c r="A57" s="20" t="str">
        <f t="shared" si="30"/>
        <v>►</v>
      </c>
      <c r="B57" s="43" t="str">
        <f t="shared" si="37"/>
        <v>►</v>
      </c>
      <c r="C57" s="45" t="str">
        <f t="shared" si="39"/>
        <v>►</v>
      </c>
      <c r="D57" s="44" t="str">
        <f t="shared" si="40"/>
        <v>►</v>
      </c>
      <c r="E57" s="43" t="str">
        <f t="shared" si="41"/>
        <v>►</v>
      </c>
      <c r="F57" s="43" t="str">
        <f t="shared" si="42"/>
        <v>►</v>
      </c>
      <c r="G57" s="43" t="str">
        <f t="shared" si="43"/>
        <v>►</v>
      </c>
      <c r="H57" s="1256" t="s">
        <v>1</v>
      </c>
      <c r="I57" s="42" t="str">
        <f t="shared" si="38"/>
        <v>►</v>
      </c>
      <c r="J57" s="196" t="str">
        <f>J50</f>
        <v>Famille à coller.N.Nom de votre recette.Recette mère ►.S.Saisissez le nom de la recette mère</v>
      </c>
      <c r="K57" s="196">
        <f>K50</f>
        <v>6</v>
      </c>
      <c r="L57" s="196" t="str">
        <f>L50</f>
        <v>couverts</v>
      </c>
      <c r="M57" s="1323"/>
      <c r="N57" s="988"/>
      <c r="O57" s="988"/>
      <c r="P57" s="988"/>
      <c r="Q57" s="988"/>
      <c r="R57" s="988"/>
      <c r="S57" s="1325"/>
      <c r="T57" s="43"/>
      <c r="U57" s="42" t="str">
        <f t="shared" si="32"/>
        <v>►</v>
      </c>
      <c r="V57" s="41" t="str">
        <f>V25</f>
        <v>Charcuterie.B.Ballotine de canard sauvage.Recette mère ►.B.Ballotine de canard ceproc</v>
      </c>
      <c r="W57" s="40">
        <f>W25</f>
        <v>3.05</v>
      </c>
      <c r="X57" s="39" t="str">
        <f>X25</f>
        <v>kg</v>
      </c>
      <c r="Y57" s="213"/>
      <c r="Z57" s="212"/>
      <c r="AA57" s="211" t="str">
        <f t="shared" si="35"/>
        <v/>
      </c>
      <c r="AB57" s="210"/>
      <c r="AC57" s="209"/>
      <c r="AD57" s="5448">
        <v>1</v>
      </c>
      <c r="AE57" s="33"/>
      <c r="AF57" s="187"/>
      <c r="AG57" s="32"/>
      <c r="AH57" s="31"/>
      <c r="AI57" s="30"/>
      <c r="AJ57" s="5492">
        <f t="shared" si="22"/>
        <v>0</v>
      </c>
      <c r="AK57" s="54">
        <f t="shared" si="23"/>
        <v>0</v>
      </c>
      <c r="AL57" s="53" t="str">
        <f t="shared" si="24"/>
        <v/>
      </c>
      <c r="AM57" s="52"/>
      <c r="AN57" s="51">
        <f t="shared" si="25"/>
        <v>0</v>
      </c>
      <c r="AO57" s="50">
        <f t="shared" si="26"/>
        <v>0</v>
      </c>
      <c r="AP57" s="49">
        <f t="shared" si="27"/>
        <v>0</v>
      </c>
      <c r="AQ57" s="23"/>
      <c r="AR57" s="48">
        <f t="shared" si="28"/>
        <v>0</v>
      </c>
      <c r="AS57" s="47"/>
      <c r="AT57" s="13"/>
      <c r="AU57" s="46">
        <f t="shared" si="29"/>
        <v>0</v>
      </c>
      <c r="AV57" s="187"/>
      <c r="AW57" s="219" t="s">
        <v>108</v>
      </c>
      <c r="AX57" s="238">
        <f t="shared" si="34"/>
        <v>4.4999999999999997E-3</v>
      </c>
      <c r="AY57" s="224" t="s">
        <v>88</v>
      </c>
      <c r="AZ57" s="223">
        <f t="shared" si="33"/>
        <v>222</v>
      </c>
      <c r="BA57" s="237">
        <v>4.5</v>
      </c>
      <c r="BB57" s="187"/>
      <c r="BC57" s="179"/>
      <c r="BD57" s="178"/>
      <c r="BE57" s="178"/>
      <c r="BF57" s="178"/>
      <c r="BG57" s="178"/>
      <c r="BH57" s="178"/>
      <c r="BI57" s="178"/>
      <c r="BJ57" s="177"/>
      <c r="BK57" s="62"/>
      <c r="BL57" s="20" t="str">
        <f t="shared" si="13"/>
        <v>►</v>
      </c>
      <c r="BM57" s="62"/>
      <c r="BN57" s="186"/>
      <c r="BO57" s="186"/>
      <c r="BP57" s="186"/>
      <c r="BQ57" s="186"/>
      <c r="BR57" s="186"/>
      <c r="BS57" s="141"/>
      <c r="BT57" s="5202" t="s">
        <v>7940</v>
      </c>
      <c r="BU57" s="141"/>
      <c r="BV57" s="141"/>
      <c r="BW57" s="141"/>
      <c r="BX57" s="498"/>
      <c r="BY57" s="5200"/>
      <c r="BZ57" s="5201"/>
      <c r="CA57" s="5202" t="s">
        <v>7941</v>
      </c>
      <c r="CB57" s="141"/>
      <c r="CC57" s="141"/>
      <c r="CD57" s="141"/>
      <c r="CE57" s="498"/>
      <c r="CF57" s="5200"/>
      <c r="CG57" s="5201"/>
      <c r="CH57" s="5202" t="s">
        <v>7942</v>
      </c>
      <c r="CI57" s="141"/>
      <c r="CJ57" s="141"/>
      <c r="CK57" s="141"/>
      <c r="CL57" s="498"/>
      <c r="CM57" s="5200"/>
      <c r="CN57" s="56" t="s">
        <v>1</v>
      </c>
      <c r="CO57" s="5">
        <v>1</v>
      </c>
    </row>
    <row r="58" spans="1:93" s="1" customFormat="1" ht="21" customHeight="1">
      <c r="A58" s="20" t="str">
        <f t="shared" si="30"/>
        <v>►</v>
      </c>
      <c r="B58" s="43" t="str">
        <f t="shared" si="37"/>
        <v>►</v>
      </c>
      <c r="C58" s="45" t="str">
        <f t="shared" si="39"/>
        <v>►</v>
      </c>
      <c r="D58" s="44" t="str">
        <f t="shared" si="40"/>
        <v>►</v>
      </c>
      <c r="E58" s="43" t="str">
        <f t="shared" si="41"/>
        <v>►</v>
      </c>
      <c r="F58" s="43" t="str">
        <f t="shared" si="42"/>
        <v>►</v>
      </c>
      <c r="G58" s="43" t="str">
        <f t="shared" si="43"/>
        <v>►</v>
      </c>
      <c r="H58" s="1256" t="s">
        <v>1</v>
      </c>
      <c r="I58" s="42" t="str">
        <f t="shared" si="38"/>
        <v>►</v>
      </c>
      <c r="J58" s="196" t="str">
        <f>J50</f>
        <v>Famille à coller.N.Nom de votre recette.Recette mère ►.S.Saisissez le nom de la recette mère</v>
      </c>
      <c r="K58" s="196">
        <f>K50</f>
        <v>6</v>
      </c>
      <c r="L58" s="196" t="str">
        <f>L50</f>
        <v>couverts</v>
      </c>
      <c r="M58" s="1340"/>
      <c r="N58" s="988"/>
      <c r="O58" s="988"/>
      <c r="P58" s="988"/>
      <c r="Q58" s="988"/>
      <c r="R58" s="988"/>
      <c r="S58" s="1325"/>
      <c r="T58" s="43"/>
      <c r="U58" s="42" t="str">
        <f t="shared" si="32"/>
        <v>►</v>
      </c>
      <c r="V58" s="41" t="str">
        <f>V25</f>
        <v>Charcuterie.B.Ballotine de canard sauvage.Recette mère ►.B.Ballotine de canard ceproc</v>
      </c>
      <c r="W58" s="40">
        <f>W25</f>
        <v>3.05</v>
      </c>
      <c r="X58" s="39" t="str">
        <f>X25</f>
        <v>kg</v>
      </c>
      <c r="Y58" s="213"/>
      <c r="Z58" s="212"/>
      <c r="AA58" s="211" t="str">
        <f t="shared" si="35"/>
        <v/>
      </c>
      <c r="AB58" s="210"/>
      <c r="AC58" s="209"/>
      <c r="AD58" s="5448">
        <v>1</v>
      </c>
      <c r="AE58" s="33"/>
      <c r="AF58" s="187"/>
      <c r="AG58" s="32"/>
      <c r="AH58" s="31"/>
      <c r="AI58" s="30"/>
      <c r="AJ58" s="5492">
        <f t="shared" si="22"/>
        <v>0</v>
      </c>
      <c r="AK58" s="29">
        <f t="shared" si="23"/>
        <v>0</v>
      </c>
      <c r="AL58" s="28" t="str">
        <f t="shared" si="24"/>
        <v/>
      </c>
      <c r="AM58" s="27"/>
      <c r="AN58" s="26">
        <f t="shared" si="25"/>
        <v>0</v>
      </c>
      <c r="AO58" s="25">
        <f t="shared" si="26"/>
        <v>0</v>
      </c>
      <c r="AP58" s="24">
        <f t="shared" si="27"/>
        <v>0</v>
      </c>
      <c r="AQ58" s="23"/>
      <c r="AR58" s="22">
        <f t="shared" si="28"/>
        <v>0</v>
      </c>
      <c r="AS58" s="21"/>
      <c r="AT58" s="13"/>
      <c r="AU58" s="46">
        <f t="shared" si="29"/>
        <v>0</v>
      </c>
      <c r="AV58" s="187"/>
      <c r="AW58" s="219" t="s">
        <v>107</v>
      </c>
      <c r="AX58" s="225">
        <f t="shared" si="34"/>
        <v>5.9000000000000007E-3</v>
      </c>
      <c r="AY58" s="224" t="s">
        <v>88</v>
      </c>
      <c r="AZ58" s="223">
        <f t="shared" si="33"/>
        <v>169</v>
      </c>
      <c r="BA58" s="236">
        <v>5.9</v>
      </c>
      <c r="BB58" s="187"/>
      <c r="BC58" s="179"/>
      <c r="BD58" s="178"/>
      <c r="BE58" s="178"/>
      <c r="BF58" s="178"/>
      <c r="BG58" s="178"/>
      <c r="BH58" s="178"/>
      <c r="BI58" s="178"/>
      <c r="BJ58" s="177"/>
      <c r="BK58" s="62"/>
      <c r="BL58" s="20" t="str">
        <f t="shared" si="13"/>
        <v>►</v>
      </c>
      <c r="BM58" s="62"/>
      <c r="BN58" s="186"/>
      <c r="BO58" s="186"/>
      <c r="BP58" s="186"/>
      <c r="BQ58" s="186"/>
      <c r="BR58" s="186"/>
      <c r="BS58" s="141"/>
      <c r="BT58" s="5202" t="s">
        <v>7943</v>
      </c>
      <c r="BU58" s="141"/>
      <c r="BV58" s="141"/>
      <c r="BW58" s="141"/>
      <c r="BX58" s="498"/>
      <c r="BY58" s="5200"/>
      <c r="BZ58" s="5201"/>
      <c r="CA58" s="5202" t="s">
        <v>7944</v>
      </c>
      <c r="CB58" s="141"/>
      <c r="CC58" s="141"/>
      <c r="CD58" s="141"/>
      <c r="CE58" s="498"/>
      <c r="CF58" s="5200"/>
      <c r="CG58" s="5201"/>
      <c r="CH58" s="5202" t="s">
        <v>7945</v>
      </c>
      <c r="CI58" s="141"/>
      <c r="CJ58" s="141"/>
      <c r="CK58" s="141"/>
      <c r="CL58" s="498"/>
      <c r="CM58" s="5200"/>
      <c r="CN58" s="56" t="s">
        <v>1</v>
      </c>
      <c r="CO58" s="5">
        <v>1</v>
      </c>
    </row>
    <row r="59" spans="1:93" s="1" customFormat="1" ht="21" customHeight="1">
      <c r="A59" s="20" t="str">
        <f t="shared" si="30"/>
        <v>A</v>
      </c>
      <c r="B59" s="43" t="str">
        <f t="shared" si="37"/>
        <v>Charcuterie.B.Ballotine de canard sauvage.Recette mère ►.B.Ballotine de canard ceproc</v>
      </c>
      <c r="C59" s="45" t="str">
        <f t="shared" si="39"/>
        <v>Charcuterie</v>
      </c>
      <c r="D59" s="44" t="str">
        <f t="shared" si="40"/>
        <v>B</v>
      </c>
      <c r="E59" s="43" t="str">
        <f t="shared" si="41"/>
        <v>Ballotine de canard sauvage</v>
      </c>
      <c r="F59" s="43" t="str">
        <f t="shared" si="42"/>
        <v>cette mère ►.S</v>
      </c>
      <c r="G59" s="43" t="str">
        <f t="shared" si="43"/>
        <v>B.Ballotine de canard ceproc</v>
      </c>
      <c r="H59" s="1256" t="s">
        <v>1</v>
      </c>
      <c r="I59" s="42" t="str">
        <f t="shared" ref="I59:I70" si="44">IF(OR(P59&lt;&gt;"",Q59&lt;&gt; "",R59&lt;&gt;"",S59&lt;&gt;""),"A", "►")</f>
        <v>A</v>
      </c>
      <c r="J59" s="196" t="str">
        <f>J50</f>
        <v>Famille à coller.N.Nom de votre recette.Recette mère ►.S.Saisissez le nom de la recette mère</v>
      </c>
      <c r="K59" s="196">
        <f>K50</f>
        <v>6</v>
      </c>
      <c r="L59" s="196" t="str">
        <f>L50</f>
        <v>couverts</v>
      </c>
      <c r="M59" s="1323"/>
      <c r="N59" s="988"/>
      <c r="O59" s="988"/>
      <c r="P59" s="988"/>
      <c r="Q59" s="988" t="s">
        <v>1113</v>
      </c>
      <c r="R59" s="988"/>
      <c r="S59" s="1325"/>
      <c r="T59" s="43"/>
      <c r="U59" s="42" t="str">
        <f t="shared" si="32"/>
        <v>►</v>
      </c>
      <c r="V59" s="41" t="str">
        <f>V25</f>
        <v>Charcuterie.B.Ballotine de canard sauvage.Recette mère ►.B.Ballotine de canard ceproc</v>
      </c>
      <c r="W59" s="40">
        <f>W25</f>
        <v>3.05</v>
      </c>
      <c r="X59" s="39" t="str">
        <f>X25</f>
        <v>kg</v>
      </c>
      <c r="Y59" s="213"/>
      <c r="Z59" s="212"/>
      <c r="AA59" s="211" t="str">
        <f t="shared" si="35"/>
        <v/>
      </c>
      <c r="AB59" s="210"/>
      <c r="AC59" s="209"/>
      <c r="AD59" s="5448">
        <v>1</v>
      </c>
      <c r="AE59" s="33"/>
      <c r="AF59" s="187"/>
      <c r="AG59" s="32"/>
      <c r="AH59" s="31"/>
      <c r="AI59" s="30"/>
      <c r="AJ59" s="5492">
        <f t="shared" si="22"/>
        <v>0</v>
      </c>
      <c r="AK59" s="54">
        <f t="shared" si="23"/>
        <v>0</v>
      </c>
      <c r="AL59" s="53" t="str">
        <f t="shared" si="24"/>
        <v/>
      </c>
      <c r="AM59" s="52"/>
      <c r="AN59" s="51">
        <f t="shared" si="25"/>
        <v>0</v>
      </c>
      <c r="AO59" s="50">
        <f t="shared" si="26"/>
        <v>0</v>
      </c>
      <c r="AP59" s="49">
        <f t="shared" si="27"/>
        <v>0</v>
      </c>
      <c r="AQ59" s="23"/>
      <c r="AR59" s="48">
        <f t="shared" si="28"/>
        <v>0</v>
      </c>
      <c r="AS59" s="47"/>
      <c r="AT59" s="13"/>
      <c r="AU59" s="46">
        <f t="shared" si="29"/>
        <v>0</v>
      </c>
      <c r="AV59" s="187"/>
      <c r="AW59" s="219" t="s">
        <v>106</v>
      </c>
      <c r="AX59" s="225">
        <f t="shared" si="34"/>
        <v>0.04</v>
      </c>
      <c r="AY59" s="224" t="s">
        <v>88</v>
      </c>
      <c r="AZ59" s="223">
        <f t="shared" si="33"/>
        <v>25</v>
      </c>
      <c r="BA59" s="222">
        <v>40</v>
      </c>
      <c r="BB59" s="187"/>
      <c r="BC59" s="179"/>
      <c r="BD59" s="178"/>
      <c r="BE59" s="178"/>
      <c r="BF59" s="178"/>
      <c r="BG59" s="178"/>
      <c r="BH59" s="178"/>
      <c r="BI59" s="178"/>
      <c r="BJ59" s="177"/>
      <c r="BK59" s="62"/>
      <c r="BL59" s="20" t="str">
        <f t="shared" si="13"/>
        <v>A</v>
      </c>
      <c r="BM59" s="62"/>
      <c r="BN59" s="231" t="s">
        <v>105</v>
      </c>
      <c r="BO59" s="186"/>
      <c r="BP59" s="186"/>
      <c r="BQ59" s="186"/>
      <c r="BR59" s="186"/>
      <c r="BS59" s="141"/>
      <c r="BT59" s="5202" t="s">
        <v>7946</v>
      </c>
      <c r="BU59" s="141"/>
      <c r="BV59" s="141"/>
      <c r="BW59" s="141"/>
      <c r="BX59" s="498"/>
      <c r="BY59" s="5200"/>
      <c r="BZ59" s="5201"/>
      <c r="CA59" s="5202" t="s">
        <v>7947</v>
      </c>
      <c r="CB59" s="141"/>
      <c r="CC59" s="141"/>
      <c r="CD59" s="141"/>
      <c r="CE59" s="498"/>
      <c r="CF59" s="5200"/>
      <c r="CG59" s="5201"/>
      <c r="CH59" s="5202" t="s">
        <v>7948</v>
      </c>
      <c r="CI59" s="141"/>
      <c r="CJ59" s="141"/>
      <c r="CK59" s="141"/>
      <c r="CL59" s="498"/>
      <c r="CM59" s="5200"/>
      <c r="CN59" s="56" t="s">
        <v>1</v>
      </c>
      <c r="CO59" s="5">
        <v>1</v>
      </c>
    </row>
    <row r="60" spans="1:93" s="1" customFormat="1" ht="21" customHeight="1">
      <c r="A60" s="20" t="str">
        <f t="shared" si="30"/>
        <v>►</v>
      </c>
      <c r="B60" s="43" t="str">
        <f t="shared" si="37"/>
        <v>►</v>
      </c>
      <c r="C60" s="45" t="str">
        <f t="shared" si="39"/>
        <v>►</v>
      </c>
      <c r="D60" s="44" t="str">
        <f t="shared" si="40"/>
        <v>►</v>
      </c>
      <c r="E60" s="43" t="str">
        <f t="shared" si="41"/>
        <v>►</v>
      </c>
      <c r="F60" s="43" t="str">
        <f t="shared" si="42"/>
        <v>►</v>
      </c>
      <c r="G60" s="43" t="str">
        <f t="shared" si="43"/>
        <v>►</v>
      </c>
      <c r="H60" s="1256" t="s">
        <v>1</v>
      </c>
      <c r="I60" s="42" t="str">
        <f t="shared" si="44"/>
        <v>►</v>
      </c>
      <c r="J60" s="196" t="str">
        <f>J50</f>
        <v>Famille à coller.N.Nom de votre recette.Recette mère ►.S.Saisissez le nom de la recette mère</v>
      </c>
      <c r="K60" s="196">
        <f>K50</f>
        <v>6</v>
      </c>
      <c r="L60" s="196" t="str">
        <f>L50</f>
        <v>couverts</v>
      </c>
      <c r="M60" s="1323"/>
      <c r="N60" s="988"/>
      <c r="O60" s="988"/>
      <c r="P60" s="988"/>
      <c r="Q60" s="988"/>
      <c r="R60" s="988"/>
      <c r="S60" s="1325"/>
      <c r="T60" s="43"/>
      <c r="U60" s="42" t="str">
        <f t="shared" si="32"/>
        <v>►</v>
      </c>
      <c r="V60" s="41" t="str">
        <f>V25</f>
        <v>Charcuterie.B.Ballotine de canard sauvage.Recette mère ►.B.Ballotine de canard ceproc</v>
      </c>
      <c r="W60" s="40">
        <f>W25</f>
        <v>3.05</v>
      </c>
      <c r="X60" s="39" t="str">
        <f>X25</f>
        <v>kg</v>
      </c>
      <c r="Y60" s="213"/>
      <c r="Z60" s="212"/>
      <c r="AA60" s="211" t="str">
        <f t="shared" si="35"/>
        <v/>
      </c>
      <c r="AB60" s="210"/>
      <c r="AC60" s="209"/>
      <c r="AD60" s="5448">
        <v>1</v>
      </c>
      <c r="AE60" s="33"/>
      <c r="AF60" s="187"/>
      <c r="AG60" s="32"/>
      <c r="AH60" s="31"/>
      <c r="AI60" s="30"/>
      <c r="AJ60" s="5492">
        <f t="shared" si="22"/>
        <v>0</v>
      </c>
      <c r="AK60" s="29">
        <f t="shared" si="23"/>
        <v>0</v>
      </c>
      <c r="AL60" s="28" t="str">
        <f t="shared" si="24"/>
        <v/>
      </c>
      <c r="AM60" s="27"/>
      <c r="AN60" s="26">
        <f t="shared" si="25"/>
        <v>0</v>
      </c>
      <c r="AO60" s="25">
        <f t="shared" si="26"/>
        <v>0</v>
      </c>
      <c r="AP60" s="24">
        <f t="shared" si="27"/>
        <v>0</v>
      </c>
      <c r="AQ60" s="23"/>
      <c r="AR60" s="22">
        <f t="shared" si="28"/>
        <v>0</v>
      </c>
      <c r="AS60" s="21"/>
      <c r="AT60" s="13"/>
      <c r="AU60" s="46">
        <f t="shared" si="29"/>
        <v>0</v>
      </c>
      <c r="AV60" s="187"/>
      <c r="AW60" s="219" t="s">
        <v>104</v>
      </c>
      <c r="AX60" s="225">
        <f t="shared" si="34"/>
        <v>4.4999999999999998E-2</v>
      </c>
      <c r="AY60" s="224" t="s">
        <v>88</v>
      </c>
      <c r="AZ60" s="223">
        <f t="shared" si="33"/>
        <v>22</v>
      </c>
      <c r="BA60" s="222">
        <v>45</v>
      </c>
      <c r="BB60" s="187"/>
      <c r="BC60" s="179"/>
      <c r="BD60" s="178"/>
      <c r="BE60" s="178"/>
      <c r="BF60" s="178"/>
      <c r="BG60" s="178"/>
      <c r="BH60" s="178"/>
      <c r="BI60" s="178"/>
      <c r="BJ60" s="177"/>
      <c r="BK60" s="62"/>
      <c r="BL60" s="20" t="str">
        <f t="shared" si="13"/>
        <v>►</v>
      </c>
      <c r="BM60" s="62"/>
      <c r="BN60" s="229" t="s">
        <v>103</v>
      </c>
      <c r="BO60" s="234"/>
      <c r="BP60" s="234"/>
      <c r="BQ60" s="234"/>
      <c r="BR60" s="234"/>
      <c r="BS60" s="141" t="s">
        <v>1</v>
      </c>
      <c r="BT60" s="5202" t="s">
        <v>7949</v>
      </c>
      <c r="BU60" s="141"/>
      <c r="BV60" s="141"/>
      <c r="BW60" s="141"/>
      <c r="BX60" s="498"/>
      <c r="BY60" s="5200"/>
      <c r="BZ60" s="5201"/>
      <c r="CA60" s="5202" t="s">
        <v>7950</v>
      </c>
      <c r="CB60" s="141"/>
      <c r="CC60" s="141"/>
      <c r="CD60" s="141"/>
      <c r="CE60" s="498"/>
      <c r="CF60" s="5200"/>
      <c r="CG60" s="5201"/>
      <c r="CH60" s="5202" t="s">
        <v>7951</v>
      </c>
      <c r="CI60" s="141"/>
      <c r="CJ60" s="141"/>
      <c r="CK60" s="141"/>
      <c r="CL60" s="498"/>
      <c r="CM60" s="5200"/>
      <c r="CN60" s="56" t="s">
        <v>1</v>
      </c>
      <c r="CO60" s="5">
        <v>1</v>
      </c>
    </row>
    <row r="61" spans="1:93" s="1" customFormat="1" ht="21" customHeight="1">
      <c r="A61" s="20" t="str">
        <f t="shared" si="30"/>
        <v>►</v>
      </c>
      <c r="B61" s="43" t="str">
        <f t="shared" si="37"/>
        <v>►</v>
      </c>
      <c r="C61" s="45" t="str">
        <f t="shared" si="39"/>
        <v>►</v>
      </c>
      <c r="D61" s="44" t="str">
        <f t="shared" si="40"/>
        <v>►</v>
      </c>
      <c r="E61" s="43" t="str">
        <f t="shared" si="41"/>
        <v>►</v>
      </c>
      <c r="F61" s="43" t="str">
        <f t="shared" si="42"/>
        <v>►</v>
      </c>
      <c r="G61" s="43" t="str">
        <f t="shared" si="43"/>
        <v>►</v>
      </c>
      <c r="H61" s="1256" t="s">
        <v>1</v>
      </c>
      <c r="I61" s="42" t="str">
        <f t="shared" si="44"/>
        <v>►</v>
      </c>
      <c r="J61" s="196" t="str">
        <f>J50</f>
        <v>Famille à coller.N.Nom de votre recette.Recette mère ►.S.Saisissez le nom de la recette mère</v>
      </c>
      <c r="K61" s="196">
        <f>K50</f>
        <v>6</v>
      </c>
      <c r="L61" s="196" t="str">
        <f>L50</f>
        <v>couverts</v>
      </c>
      <c r="M61" s="1323"/>
      <c r="N61" s="988"/>
      <c r="O61" s="988"/>
      <c r="P61" s="988"/>
      <c r="Q61" s="988"/>
      <c r="R61" s="988"/>
      <c r="S61" s="1325"/>
      <c r="T61" s="43"/>
      <c r="U61" s="42" t="str">
        <f t="shared" si="32"/>
        <v>►</v>
      </c>
      <c r="V61" s="41" t="str">
        <f>V25</f>
        <v>Charcuterie.B.Ballotine de canard sauvage.Recette mère ►.B.Ballotine de canard ceproc</v>
      </c>
      <c r="W61" s="40">
        <f>W25</f>
        <v>3.05</v>
      </c>
      <c r="X61" s="39" t="str">
        <f>X25</f>
        <v>kg</v>
      </c>
      <c r="Y61" s="213"/>
      <c r="Z61" s="212"/>
      <c r="AA61" s="211" t="str">
        <f t="shared" si="35"/>
        <v/>
      </c>
      <c r="AB61" s="210"/>
      <c r="AC61" s="209"/>
      <c r="AD61" s="5448">
        <v>1</v>
      </c>
      <c r="AE61" s="33"/>
      <c r="AF61" s="187"/>
      <c r="AG61" s="32"/>
      <c r="AH61" s="31"/>
      <c r="AI61" s="30"/>
      <c r="AJ61" s="5492">
        <f t="shared" si="22"/>
        <v>0</v>
      </c>
      <c r="AK61" s="54">
        <f t="shared" si="23"/>
        <v>0</v>
      </c>
      <c r="AL61" s="53" t="str">
        <f t="shared" si="24"/>
        <v/>
      </c>
      <c r="AM61" s="52"/>
      <c r="AN61" s="51">
        <f t="shared" si="25"/>
        <v>0</v>
      </c>
      <c r="AO61" s="50">
        <f t="shared" si="26"/>
        <v>0</v>
      </c>
      <c r="AP61" s="49">
        <f t="shared" si="27"/>
        <v>0</v>
      </c>
      <c r="AQ61" s="23"/>
      <c r="AR61" s="48">
        <f t="shared" si="28"/>
        <v>0</v>
      </c>
      <c r="AS61" s="47"/>
      <c r="AT61" s="13"/>
      <c r="AU61" s="46">
        <f t="shared" si="29"/>
        <v>0</v>
      </c>
      <c r="AV61" s="187"/>
      <c r="AW61" s="219" t="s">
        <v>102</v>
      </c>
      <c r="AX61" s="225">
        <f t="shared" si="34"/>
        <v>0.15</v>
      </c>
      <c r="AY61" s="224" t="s">
        <v>88</v>
      </c>
      <c r="AZ61" s="223">
        <f t="shared" si="33"/>
        <v>7</v>
      </c>
      <c r="BA61" s="222">
        <v>150</v>
      </c>
      <c r="BB61" s="187"/>
      <c r="BC61" s="179"/>
      <c r="BD61" s="178"/>
      <c r="BE61" s="178"/>
      <c r="BF61" s="178"/>
      <c r="BG61" s="178"/>
      <c r="BH61" s="178"/>
      <c r="BI61" s="178"/>
      <c r="BJ61" s="177"/>
      <c r="BK61" s="62"/>
      <c r="BL61" s="20" t="str">
        <f t="shared" si="13"/>
        <v>►</v>
      </c>
      <c r="BM61" s="62"/>
      <c r="BN61" s="231" t="s">
        <v>101</v>
      </c>
      <c r="BO61" s="234"/>
      <c r="BP61" s="234"/>
      <c r="BQ61" s="234"/>
      <c r="BR61" s="234"/>
      <c r="BS61" s="141"/>
      <c r="BT61" s="5212"/>
      <c r="BU61" s="141"/>
      <c r="BV61" s="141"/>
      <c r="BW61" s="141"/>
      <c r="BX61" s="498"/>
      <c r="BY61" s="5200"/>
      <c r="BZ61" s="5201"/>
      <c r="CA61" s="5212"/>
      <c r="CB61" s="141"/>
      <c r="CC61" s="141"/>
      <c r="CD61" s="141"/>
      <c r="CE61" s="498"/>
      <c r="CF61" s="5200"/>
      <c r="CG61" s="5201"/>
      <c r="CH61" s="5212"/>
      <c r="CI61" s="141"/>
      <c r="CJ61" s="141"/>
      <c r="CK61" s="141"/>
      <c r="CL61" s="498"/>
      <c r="CM61" s="5200"/>
      <c r="CN61" s="56" t="s">
        <v>1</v>
      </c>
      <c r="CO61" s="5">
        <v>1</v>
      </c>
    </row>
    <row r="62" spans="1:93" s="1" customFormat="1" ht="21" customHeight="1">
      <c r="A62" s="20" t="str">
        <f t="shared" si="30"/>
        <v>►</v>
      </c>
      <c r="B62" s="43" t="str">
        <f t="shared" si="37"/>
        <v>►</v>
      </c>
      <c r="C62" s="45" t="str">
        <f t="shared" si="39"/>
        <v>►</v>
      </c>
      <c r="D62" s="44" t="str">
        <f t="shared" si="40"/>
        <v>►</v>
      </c>
      <c r="E62" s="43" t="str">
        <f t="shared" si="41"/>
        <v>►</v>
      </c>
      <c r="F62" s="43" t="str">
        <f t="shared" si="42"/>
        <v>►</v>
      </c>
      <c r="G62" s="43" t="str">
        <f t="shared" si="43"/>
        <v>►</v>
      </c>
      <c r="H62" s="1256" t="s">
        <v>1</v>
      </c>
      <c r="I62" s="42" t="str">
        <f t="shared" si="44"/>
        <v>►</v>
      </c>
      <c r="J62" s="196" t="str">
        <f>J50</f>
        <v>Famille à coller.N.Nom de votre recette.Recette mère ►.S.Saisissez le nom de la recette mère</v>
      </c>
      <c r="K62" s="196">
        <f>K50</f>
        <v>6</v>
      </c>
      <c r="L62" s="196" t="str">
        <f>L50</f>
        <v>couverts</v>
      </c>
      <c r="M62" s="1323"/>
      <c r="N62" s="988"/>
      <c r="O62" s="988"/>
      <c r="P62" s="988"/>
      <c r="Q62" s="988"/>
      <c r="R62" s="988"/>
      <c r="S62" s="1325"/>
      <c r="T62" s="43"/>
      <c r="U62" s="42" t="str">
        <f t="shared" si="32"/>
        <v>►</v>
      </c>
      <c r="V62" s="41" t="str">
        <f>V25</f>
        <v>Charcuterie.B.Ballotine de canard sauvage.Recette mère ►.B.Ballotine de canard ceproc</v>
      </c>
      <c r="W62" s="40">
        <f>W25</f>
        <v>3.05</v>
      </c>
      <c r="X62" s="39" t="str">
        <f>X25</f>
        <v>kg</v>
      </c>
      <c r="Y62" s="213"/>
      <c r="Z62" s="212"/>
      <c r="AA62" s="211" t="str">
        <f t="shared" si="35"/>
        <v/>
      </c>
      <c r="AB62" s="210"/>
      <c r="AC62" s="209"/>
      <c r="AD62" s="5448">
        <v>1</v>
      </c>
      <c r="AE62" s="33"/>
      <c r="AF62" s="187"/>
      <c r="AG62" s="32"/>
      <c r="AH62" s="31"/>
      <c r="AI62" s="30"/>
      <c r="AJ62" s="5492">
        <f t="shared" si="22"/>
        <v>0</v>
      </c>
      <c r="AK62" s="29">
        <f t="shared" si="23"/>
        <v>0</v>
      </c>
      <c r="AL62" s="28" t="str">
        <f t="shared" si="24"/>
        <v/>
      </c>
      <c r="AM62" s="27"/>
      <c r="AN62" s="26">
        <f t="shared" si="25"/>
        <v>0</v>
      </c>
      <c r="AO62" s="25">
        <f t="shared" si="26"/>
        <v>0</v>
      </c>
      <c r="AP62" s="24">
        <f t="shared" si="27"/>
        <v>0</v>
      </c>
      <c r="AQ62" s="23"/>
      <c r="AR62" s="22">
        <f t="shared" si="28"/>
        <v>0</v>
      </c>
      <c r="AS62" s="21"/>
      <c r="AT62" s="13"/>
      <c r="AU62" s="46">
        <f t="shared" si="29"/>
        <v>0</v>
      </c>
      <c r="AV62" s="187"/>
      <c r="AW62" s="219" t="s">
        <v>100</v>
      </c>
      <c r="AX62" s="225">
        <f t="shared" si="34"/>
        <v>0.25</v>
      </c>
      <c r="AY62" s="224" t="s">
        <v>88</v>
      </c>
      <c r="AZ62" s="223">
        <f t="shared" si="33"/>
        <v>4</v>
      </c>
      <c r="BA62" s="222">
        <v>250</v>
      </c>
      <c r="BB62" s="187"/>
      <c r="BC62" s="179"/>
      <c r="BD62" s="178"/>
      <c r="BE62" s="178"/>
      <c r="BF62" s="178"/>
      <c r="BG62" s="178"/>
      <c r="BH62" s="178"/>
      <c r="BI62" s="178"/>
      <c r="BJ62" s="177"/>
      <c r="BK62" s="62"/>
      <c r="BL62" s="20" t="str">
        <f t="shared" si="13"/>
        <v>►</v>
      </c>
      <c r="BM62" s="62"/>
      <c r="BN62" s="229" t="s">
        <v>99</v>
      </c>
      <c r="BO62" s="234"/>
      <c r="BP62" s="234"/>
      <c r="BQ62" s="234"/>
      <c r="BR62" s="234"/>
      <c r="BS62" s="141"/>
      <c r="BT62" s="5204" t="s">
        <v>7952</v>
      </c>
      <c r="BU62" s="141"/>
      <c r="BV62" s="141"/>
      <c r="BW62" s="141"/>
      <c r="BX62" s="498"/>
      <c r="BY62" s="5200"/>
      <c r="BZ62" s="5201"/>
      <c r="CA62" s="5204" t="s">
        <v>7953</v>
      </c>
      <c r="CB62" s="141"/>
      <c r="CC62" s="141"/>
      <c r="CD62" s="141"/>
      <c r="CE62" s="498"/>
      <c r="CF62" s="5200"/>
      <c r="CG62" s="5201"/>
      <c r="CH62" s="5204" t="s">
        <v>7954</v>
      </c>
      <c r="CI62" s="141"/>
      <c r="CJ62" s="141"/>
      <c r="CK62" s="141"/>
      <c r="CL62" s="498"/>
      <c r="CM62" s="5200"/>
      <c r="CN62" s="56" t="s">
        <v>1</v>
      </c>
      <c r="CO62" s="5">
        <v>1</v>
      </c>
    </row>
    <row r="63" spans="1:93" s="1" customFormat="1" ht="21" customHeight="1">
      <c r="A63" s="20" t="str">
        <f t="shared" si="30"/>
        <v>►</v>
      </c>
      <c r="B63" s="43" t="str">
        <f t="shared" si="37"/>
        <v>►</v>
      </c>
      <c r="C63" s="45" t="str">
        <f t="shared" si="39"/>
        <v>►</v>
      </c>
      <c r="D63" s="44" t="str">
        <f t="shared" si="40"/>
        <v>►</v>
      </c>
      <c r="E63" s="43" t="str">
        <f t="shared" si="41"/>
        <v>►</v>
      </c>
      <c r="F63" s="43" t="str">
        <f t="shared" si="42"/>
        <v>►</v>
      </c>
      <c r="G63" s="43" t="str">
        <f t="shared" si="43"/>
        <v>►</v>
      </c>
      <c r="H63" s="1256" t="s">
        <v>1</v>
      </c>
      <c r="I63" s="42" t="str">
        <f t="shared" si="44"/>
        <v>►</v>
      </c>
      <c r="J63" s="196" t="str">
        <f>J50</f>
        <v>Famille à coller.N.Nom de votre recette.Recette mère ►.S.Saisissez le nom de la recette mère</v>
      </c>
      <c r="K63" s="196">
        <f>K50</f>
        <v>6</v>
      </c>
      <c r="L63" s="196" t="str">
        <f>L50</f>
        <v>couverts</v>
      </c>
      <c r="M63" s="1323"/>
      <c r="N63" s="988"/>
      <c r="O63" s="988"/>
      <c r="P63" s="988"/>
      <c r="Q63" s="988"/>
      <c r="R63" s="988"/>
      <c r="S63" s="1325"/>
      <c r="T63" s="43"/>
      <c r="U63" s="42" t="str">
        <f t="shared" si="32"/>
        <v>►</v>
      </c>
      <c r="V63" s="41" t="str">
        <f>V25</f>
        <v>Charcuterie.B.Ballotine de canard sauvage.Recette mère ►.B.Ballotine de canard ceproc</v>
      </c>
      <c r="W63" s="40">
        <f>W25</f>
        <v>3.05</v>
      </c>
      <c r="X63" s="39" t="str">
        <f>X25</f>
        <v>kg</v>
      </c>
      <c r="Y63" s="213"/>
      <c r="Z63" s="212"/>
      <c r="AA63" s="211" t="str">
        <f t="shared" si="35"/>
        <v/>
      </c>
      <c r="AB63" s="210"/>
      <c r="AC63" s="209"/>
      <c r="AD63" s="5448">
        <v>1</v>
      </c>
      <c r="AE63" s="33"/>
      <c r="AF63" s="187"/>
      <c r="AG63" s="32"/>
      <c r="AH63" s="31"/>
      <c r="AI63" s="30"/>
      <c r="AJ63" s="5492">
        <f t="shared" si="22"/>
        <v>0</v>
      </c>
      <c r="AK63" s="54">
        <f t="shared" si="23"/>
        <v>0</v>
      </c>
      <c r="AL63" s="53" t="str">
        <f t="shared" si="24"/>
        <v/>
      </c>
      <c r="AM63" s="52"/>
      <c r="AN63" s="51">
        <f t="shared" si="25"/>
        <v>0</v>
      </c>
      <c r="AO63" s="50">
        <f t="shared" si="26"/>
        <v>0</v>
      </c>
      <c r="AP63" s="49">
        <f t="shared" si="27"/>
        <v>0</v>
      </c>
      <c r="AQ63" s="23"/>
      <c r="AR63" s="48">
        <f t="shared" si="28"/>
        <v>0</v>
      </c>
      <c r="AS63" s="47"/>
      <c r="AT63" s="13"/>
      <c r="AU63" s="46">
        <f t="shared" si="29"/>
        <v>0</v>
      </c>
      <c r="AV63" s="187"/>
      <c r="AW63" s="219" t="s">
        <v>97</v>
      </c>
      <c r="AX63" s="225">
        <f t="shared" si="34"/>
        <v>0.23699999999999999</v>
      </c>
      <c r="AY63" s="224" t="s">
        <v>88</v>
      </c>
      <c r="AZ63" s="223">
        <f t="shared" si="33"/>
        <v>4</v>
      </c>
      <c r="BA63" s="222">
        <v>237</v>
      </c>
      <c r="BB63" s="187"/>
      <c r="BC63" s="179"/>
      <c r="BD63" s="178"/>
      <c r="BE63" s="178"/>
      <c r="BF63" s="178"/>
      <c r="BG63" s="178"/>
      <c r="BH63" s="178"/>
      <c r="BI63" s="178"/>
      <c r="BJ63" s="177"/>
      <c r="BK63" s="62"/>
      <c r="BL63" s="20" t="str">
        <f t="shared" si="13"/>
        <v>►</v>
      </c>
      <c r="BM63" s="62"/>
      <c r="BN63" s="231" t="s">
        <v>96</v>
      </c>
      <c r="BO63" s="186"/>
      <c r="BP63" s="186"/>
      <c r="BQ63" s="186"/>
      <c r="BR63" s="186"/>
      <c r="BS63" s="141"/>
      <c r="BT63" s="5202" t="s">
        <v>7955</v>
      </c>
      <c r="BU63" s="141"/>
      <c r="BV63" s="141"/>
      <c r="BW63" s="141"/>
      <c r="BX63" s="498"/>
      <c r="BY63" s="5200"/>
      <c r="BZ63" s="5201"/>
      <c r="CA63" s="5202" t="s">
        <v>7956</v>
      </c>
      <c r="CB63" s="141"/>
      <c r="CC63" s="141"/>
      <c r="CD63" s="141"/>
      <c r="CE63" s="498"/>
      <c r="CF63" s="5200"/>
      <c r="CG63" s="5201"/>
      <c r="CH63" s="5202" t="s">
        <v>7957</v>
      </c>
      <c r="CI63" s="141"/>
      <c r="CJ63" s="141"/>
      <c r="CK63" s="141"/>
      <c r="CL63" s="498"/>
      <c r="CM63" s="5200"/>
      <c r="CN63" s="56" t="s">
        <v>1</v>
      </c>
      <c r="CO63" s="5">
        <v>1</v>
      </c>
    </row>
    <row r="64" spans="1:93" s="1" customFormat="1" ht="21" customHeight="1">
      <c r="A64" s="20" t="str">
        <f t="shared" si="30"/>
        <v>►</v>
      </c>
      <c r="B64" s="43" t="str">
        <f>IF(A64="►","►",IF(A64="A",IF(AND(ISTEXT(#REF!),ISTEXT(J64)),#REF!,IF(ISTEXT(#REF!),#REF!,IF(ISBLANK(#REF!),J64,#REF!)))))</f>
        <v>►</v>
      </c>
      <c r="C64" s="45" t="str">
        <f t="shared" si="39"/>
        <v>►</v>
      </c>
      <c r="D64" s="44" t="str">
        <f t="shared" si="40"/>
        <v>►</v>
      </c>
      <c r="E64" s="43" t="str">
        <f t="shared" si="41"/>
        <v>►</v>
      </c>
      <c r="F64" s="43" t="str">
        <f t="shared" si="42"/>
        <v>►</v>
      </c>
      <c r="G64" s="43" t="str">
        <f t="shared" si="43"/>
        <v>►</v>
      </c>
      <c r="H64" s="1256" t="s">
        <v>1</v>
      </c>
      <c r="I64" s="42" t="str">
        <f t="shared" si="44"/>
        <v>►</v>
      </c>
      <c r="J64" s="196" t="str">
        <f>J50</f>
        <v>Famille à coller.N.Nom de votre recette.Recette mère ►.S.Saisissez le nom de la recette mère</v>
      </c>
      <c r="K64" s="196">
        <f>K50</f>
        <v>6</v>
      </c>
      <c r="L64" s="196" t="str">
        <f>L50</f>
        <v>couverts</v>
      </c>
      <c r="M64" s="1323"/>
      <c r="N64" s="988"/>
      <c r="O64" s="988"/>
      <c r="P64" s="988"/>
      <c r="Q64" s="988"/>
      <c r="R64" s="988"/>
      <c r="S64" s="1325"/>
      <c r="T64" s="43"/>
      <c r="U64" s="42" t="str">
        <f t="shared" si="32"/>
        <v>►</v>
      </c>
      <c r="V64" s="41" t="str">
        <f>V25</f>
        <v>Charcuterie.B.Ballotine de canard sauvage.Recette mère ►.B.Ballotine de canard ceproc</v>
      </c>
      <c r="W64" s="40">
        <f>W25</f>
        <v>3.05</v>
      </c>
      <c r="X64" s="39" t="str">
        <f>X25</f>
        <v>kg</v>
      </c>
      <c r="Y64" s="213"/>
      <c r="Z64" s="212"/>
      <c r="AA64" s="211" t="str">
        <f t="shared" si="35"/>
        <v/>
      </c>
      <c r="AB64" s="210"/>
      <c r="AC64" s="209"/>
      <c r="AD64" s="5448">
        <v>1</v>
      </c>
      <c r="AE64" s="33"/>
      <c r="AF64" s="187"/>
      <c r="AG64" s="32"/>
      <c r="AH64" s="31"/>
      <c r="AI64" s="30"/>
      <c r="AJ64" s="5492">
        <f t="shared" si="22"/>
        <v>0</v>
      </c>
      <c r="AK64" s="29">
        <f t="shared" si="23"/>
        <v>0</v>
      </c>
      <c r="AL64" s="28" t="str">
        <f t="shared" si="24"/>
        <v/>
      </c>
      <c r="AM64" s="27"/>
      <c r="AN64" s="26">
        <f t="shared" si="25"/>
        <v>0</v>
      </c>
      <c r="AO64" s="25">
        <f t="shared" si="26"/>
        <v>0</v>
      </c>
      <c r="AP64" s="24">
        <f t="shared" si="27"/>
        <v>0</v>
      </c>
      <c r="AQ64" s="23"/>
      <c r="AR64" s="22">
        <f t="shared" si="28"/>
        <v>0</v>
      </c>
      <c r="AS64" s="21"/>
      <c r="AT64" s="13"/>
      <c r="AU64" s="46">
        <f t="shared" si="29"/>
        <v>0</v>
      </c>
      <c r="AV64" s="187"/>
      <c r="AW64" s="219" t="s">
        <v>95</v>
      </c>
      <c r="AX64" s="225">
        <f t="shared" si="34"/>
        <v>0.47299999999999998</v>
      </c>
      <c r="AY64" s="224" t="s">
        <v>88</v>
      </c>
      <c r="AZ64" s="223">
        <f t="shared" si="33"/>
        <v>2</v>
      </c>
      <c r="BA64" s="222">
        <v>473</v>
      </c>
      <c r="BB64"/>
      <c r="BC64" s="179"/>
      <c r="BD64" s="178"/>
      <c r="BE64" s="178"/>
      <c r="BF64" s="178"/>
      <c r="BG64" s="178"/>
      <c r="BH64" s="178"/>
      <c r="BI64" s="178"/>
      <c r="BJ64" s="177"/>
      <c r="BK64" s="62"/>
      <c r="BL64" s="20" t="str">
        <f t="shared" si="13"/>
        <v>►</v>
      </c>
      <c r="BM64" s="62"/>
      <c r="BN64" s="229" t="s">
        <v>94</v>
      </c>
      <c r="BO64" s="228"/>
      <c r="BP64" s="228"/>
      <c r="BQ64" s="228"/>
      <c r="BR64" s="227"/>
      <c r="BS64" s="141"/>
      <c r="BT64" s="5202" t="s">
        <v>7958</v>
      </c>
      <c r="BU64" s="141"/>
      <c r="BV64" s="141"/>
      <c r="BW64" s="141"/>
      <c r="BX64" s="498"/>
      <c r="BY64" s="5200"/>
      <c r="BZ64" s="5201"/>
      <c r="CA64" s="5202" t="s">
        <v>7959</v>
      </c>
      <c r="CB64" s="141"/>
      <c r="CC64" s="141"/>
      <c r="CD64" s="141"/>
      <c r="CE64" s="498"/>
      <c r="CF64" s="5200"/>
      <c r="CG64" s="5201"/>
      <c r="CH64" s="5202" t="s">
        <v>7960</v>
      </c>
      <c r="CI64" s="141"/>
      <c r="CJ64" s="141"/>
      <c r="CK64" s="141"/>
      <c r="CL64" s="498"/>
      <c r="CM64" s="5200"/>
      <c r="CN64" s="56" t="s">
        <v>1</v>
      </c>
      <c r="CO64" s="5">
        <v>1</v>
      </c>
    </row>
    <row r="65" spans="1:93" s="1" customFormat="1" ht="21" customHeight="1">
      <c r="A65" s="20" t="str">
        <f t="shared" si="30"/>
        <v>►</v>
      </c>
      <c r="B65" s="43" t="str">
        <f>IF(A65="►","►",IF(A65="A",IF(AND(ISTEXT(#REF!),ISTEXT(J65)),#REF!,IF(ISTEXT(#REF!),#REF!,IF(ISBLANK(#REF!),J65,#REF!)))))</f>
        <v>►</v>
      </c>
      <c r="C65" s="45" t="str">
        <f t="shared" si="39"/>
        <v>►</v>
      </c>
      <c r="D65" s="44" t="str">
        <f t="shared" si="40"/>
        <v>►</v>
      </c>
      <c r="E65" s="43" t="str">
        <f t="shared" si="41"/>
        <v>►</v>
      </c>
      <c r="F65" s="43" t="str">
        <f t="shared" si="42"/>
        <v>►</v>
      </c>
      <c r="G65" s="43" t="str">
        <f t="shared" si="43"/>
        <v>►</v>
      </c>
      <c r="H65" s="1256" t="s">
        <v>1</v>
      </c>
      <c r="I65" s="42" t="str">
        <f t="shared" si="44"/>
        <v>►</v>
      </c>
      <c r="J65" s="196" t="str">
        <f>J50</f>
        <v>Famille à coller.N.Nom de votre recette.Recette mère ►.S.Saisissez le nom de la recette mère</v>
      </c>
      <c r="K65" s="196">
        <f>K50</f>
        <v>6</v>
      </c>
      <c r="L65" s="196" t="str">
        <f>L50</f>
        <v>couverts</v>
      </c>
      <c r="M65" s="1323"/>
      <c r="N65" s="988"/>
      <c r="O65" s="988"/>
      <c r="P65" s="988"/>
      <c r="Q65" s="988"/>
      <c r="R65" s="988"/>
      <c r="S65" s="1325"/>
      <c r="T65" s="43"/>
      <c r="U65" s="42" t="str">
        <f t="shared" si="32"/>
        <v>►</v>
      </c>
      <c r="V65" s="41" t="str">
        <f>V25</f>
        <v>Charcuterie.B.Ballotine de canard sauvage.Recette mère ►.B.Ballotine de canard ceproc</v>
      </c>
      <c r="W65" s="40">
        <f>W25</f>
        <v>3.05</v>
      </c>
      <c r="X65" s="39" t="str">
        <f>X25</f>
        <v>kg</v>
      </c>
      <c r="Y65" s="213"/>
      <c r="Z65" s="212"/>
      <c r="AA65" s="211" t="str">
        <f t="shared" si="35"/>
        <v/>
      </c>
      <c r="AB65" s="210"/>
      <c r="AC65" s="209"/>
      <c r="AD65" s="5448">
        <v>1</v>
      </c>
      <c r="AE65" s="33"/>
      <c r="AF65" s="187"/>
      <c r="AG65" s="32"/>
      <c r="AH65" s="31"/>
      <c r="AI65" s="30"/>
      <c r="AJ65" s="5492">
        <f t="shared" si="22"/>
        <v>0</v>
      </c>
      <c r="AK65" s="54">
        <f t="shared" si="23"/>
        <v>0</v>
      </c>
      <c r="AL65" s="53" t="str">
        <f t="shared" si="24"/>
        <v/>
      </c>
      <c r="AM65" s="52"/>
      <c r="AN65" s="51">
        <f t="shared" si="25"/>
        <v>0</v>
      </c>
      <c r="AO65" s="50">
        <f t="shared" si="26"/>
        <v>0</v>
      </c>
      <c r="AP65" s="49">
        <f t="shared" si="27"/>
        <v>0</v>
      </c>
      <c r="AQ65" s="23"/>
      <c r="AR65" s="48">
        <f t="shared" si="28"/>
        <v>0</v>
      </c>
      <c r="AS65" s="47"/>
      <c r="AT65" s="13"/>
      <c r="AU65" s="46">
        <f t="shared" si="29"/>
        <v>0</v>
      </c>
      <c r="AV65" s="187"/>
      <c r="AW65" s="219" t="s">
        <v>93</v>
      </c>
      <c r="AX65" s="225">
        <f t="shared" si="34"/>
        <v>0.47299999999999998</v>
      </c>
      <c r="AY65" s="224" t="s">
        <v>88</v>
      </c>
      <c r="AZ65" s="223">
        <f t="shared" si="33"/>
        <v>2</v>
      </c>
      <c r="BA65" s="222">
        <v>473</v>
      </c>
      <c r="BB65"/>
      <c r="BC65" s="179"/>
      <c r="BD65" s="178"/>
      <c r="BE65" s="178"/>
      <c r="BF65" s="178"/>
      <c r="BG65" s="178"/>
      <c r="BH65" s="178"/>
      <c r="BI65" s="178"/>
      <c r="BJ65" s="177"/>
      <c r="BK65" s="62"/>
      <c r="BL65" s="20" t="str">
        <f t="shared" si="13"/>
        <v>►</v>
      </c>
      <c r="BM65" s="62"/>
      <c r="BN65" s="186"/>
      <c r="BO65" s="186"/>
      <c r="BP65" s="186"/>
      <c r="BQ65" s="186"/>
      <c r="BR65" s="186"/>
      <c r="BS65" s="141"/>
      <c r="BT65" s="5202" t="s">
        <v>7961</v>
      </c>
      <c r="BU65" s="141"/>
      <c r="BV65" s="141"/>
      <c r="BW65" s="141"/>
      <c r="BX65" s="498"/>
      <c r="BY65" s="5200"/>
      <c r="BZ65" s="5201"/>
      <c r="CA65" s="5202" t="s">
        <v>7962</v>
      </c>
      <c r="CB65" s="141"/>
      <c r="CC65" s="141"/>
      <c r="CD65" s="141"/>
      <c r="CE65" s="498"/>
      <c r="CF65" s="5200"/>
      <c r="CG65" s="5201"/>
      <c r="CH65" s="5202" t="s">
        <v>7963</v>
      </c>
      <c r="CI65" s="141"/>
      <c r="CJ65" s="141"/>
      <c r="CK65" s="141"/>
      <c r="CL65" s="498"/>
      <c r="CM65" s="5200"/>
      <c r="CN65" s="56" t="s">
        <v>1</v>
      </c>
      <c r="CO65" s="5">
        <v>1</v>
      </c>
    </row>
    <row r="66" spans="1:93" s="1" customFormat="1" ht="21" customHeight="1">
      <c r="A66" s="20" t="str">
        <f t="shared" si="30"/>
        <v>►</v>
      </c>
      <c r="B66" s="43" t="str">
        <f>IF(A66="►","►",IF(A66="A",IF(AND(ISTEXT(#REF!),ISTEXT(J66)),#REF!,IF(ISTEXT(#REF!),#REF!,IF(ISBLANK(#REF!),J66,#REF!)))))</f>
        <v>►</v>
      </c>
      <c r="C66" s="45" t="str">
        <f t="shared" si="39"/>
        <v>►</v>
      </c>
      <c r="D66" s="44" t="str">
        <f t="shared" si="40"/>
        <v>►</v>
      </c>
      <c r="E66" s="43" t="str">
        <f t="shared" si="41"/>
        <v>►</v>
      </c>
      <c r="F66" s="43" t="str">
        <f t="shared" si="42"/>
        <v>►</v>
      </c>
      <c r="G66" s="43" t="str">
        <f t="shared" si="43"/>
        <v>►</v>
      </c>
      <c r="H66" s="1256" t="s">
        <v>1</v>
      </c>
      <c r="I66" s="42" t="str">
        <f t="shared" si="44"/>
        <v>►</v>
      </c>
      <c r="J66" s="196" t="str">
        <f>J50</f>
        <v>Famille à coller.N.Nom de votre recette.Recette mère ►.S.Saisissez le nom de la recette mère</v>
      </c>
      <c r="K66" s="196">
        <f>K50</f>
        <v>6</v>
      </c>
      <c r="L66" s="196" t="str">
        <f>L50</f>
        <v>couverts</v>
      </c>
      <c r="M66" s="1323"/>
      <c r="N66" s="988"/>
      <c r="O66" s="988"/>
      <c r="P66" s="988"/>
      <c r="Q66" s="988"/>
      <c r="R66" s="988"/>
      <c r="S66" s="1325"/>
      <c r="T66" s="43"/>
      <c r="U66" s="42" t="str">
        <f t="shared" si="32"/>
        <v>►</v>
      </c>
      <c r="V66" s="41" t="str">
        <f>V25</f>
        <v>Charcuterie.B.Ballotine de canard sauvage.Recette mère ►.B.Ballotine de canard ceproc</v>
      </c>
      <c r="W66" s="40">
        <f>W25</f>
        <v>3.05</v>
      </c>
      <c r="X66" s="39" t="str">
        <f>X25</f>
        <v>kg</v>
      </c>
      <c r="Y66" s="213"/>
      <c r="Z66" s="212"/>
      <c r="AA66" s="211" t="str">
        <f t="shared" si="35"/>
        <v/>
      </c>
      <c r="AB66" s="210"/>
      <c r="AC66" s="209"/>
      <c r="AD66" s="5448">
        <v>1</v>
      </c>
      <c r="AE66" s="33"/>
      <c r="AF66" s="187"/>
      <c r="AG66" s="32"/>
      <c r="AH66" s="31"/>
      <c r="AI66" s="30"/>
      <c r="AJ66" s="5492">
        <f t="shared" si="22"/>
        <v>0</v>
      </c>
      <c r="AK66" s="29">
        <f t="shared" si="23"/>
        <v>0</v>
      </c>
      <c r="AL66" s="28" t="str">
        <f t="shared" si="24"/>
        <v/>
      </c>
      <c r="AM66" s="27"/>
      <c r="AN66" s="26">
        <f t="shared" si="25"/>
        <v>0</v>
      </c>
      <c r="AO66" s="25">
        <f t="shared" si="26"/>
        <v>0</v>
      </c>
      <c r="AP66" s="24">
        <f t="shared" si="27"/>
        <v>0</v>
      </c>
      <c r="AQ66" s="23"/>
      <c r="AR66" s="22">
        <f t="shared" si="28"/>
        <v>0</v>
      </c>
      <c r="AS66" s="21"/>
      <c r="AT66" s="13"/>
      <c r="AU66" s="46">
        <f t="shared" si="29"/>
        <v>0</v>
      </c>
      <c r="AV66" s="187"/>
      <c r="AW66" s="219" t="s">
        <v>92</v>
      </c>
      <c r="AX66" s="225">
        <f t="shared" si="34"/>
        <v>0.56799999999999995</v>
      </c>
      <c r="AY66" s="224" t="s">
        <v>88</v>
      </c>
      <c r="AZ66" s="223">
        <f t="shared" si="33"/>
        <v>2</v>
      </c>
      <c r="BA66" s="222">
        <v>568</v>
      </c>
      <c r="BB66"/>
      <c r="BC66" s="179"/>
      <c r="BD66" s="178"/>
      <c r="BE66" s="178"/>
      <c r="BF66" s="178"/>
      <c r="BG66" s="178"/>
      <c r="BH66" s="178"/>
      <c r="BI66" s="178"/>
      <c r="BJ66" s="177"/>
      <c r="BK66" s="62"/>
      <c r="BL66" s="20" t="str">
        <f t="shared" si="13"/>
        <v>►</v>
      </c>
      <c r="BM66" s="62"/>
      <c r="BN66" s="186"/>
      <c r="BO66" s="186"/>
      <c r="BP66" s="186"/>
      <c r="BQ66" s="186"/>
      <c r="BR66" s="186"/>
      <c r="BS66" s="141"/>
      <c r="BT66" s="5212"/>
      <c r="BU66" s="141"/>
      <c r="BV66" s="141"/>
      <c r="BW66" s="141"/>
      <c r="BX66" s="498"/>
      <c r="BY66" s="5200"/>
      <c r="BZ66" s="5201"/>
      <c r="CA66" s="5212"/>
      <c r="CB66" s="141"/>
      <c r="CC66" s="141"/>
      <c r="CD66" s="141"/>
      <c r="CE66" s="498"/>
      <c r="CF66" s="5200"/>
      <c r="CG66" s="5201"/>
      <c r="CH66" s="5212"/>
      <c r="CI66" s="141"/>
      <c r="CJ66" s="141"/>
      <c r="CK66" s="141"/>
      <c r="CL66" s="498"/>
      <c r="CM66" s="5200"/>
      <c r="CN66" s="56" t="s">
        <v>1</v>
      </c>
      <c r="CO66" s="5">
        <v>1</v>
      </c>
    </row>
    <row r="67" spans="1:93" s="1" customFormat="1" ht="21" customHeight="1">
      <c r="A67" s="20" t="str">
        <f t="shared" si="30"/>
        <v>►</v>
      </c>
      <c r="B67" s="43" t="str">
        <f t="shared" si="37"/>
        <v>►</v>
      </c>
      <c r="C67" s="45" t="str">
        <f t="shared" si="39"/>
        <v>►</v>
      </c>
      <c r="D67" s="44" t="str">
        <f t="shared" si="40"/>
        <v>►</v>
      </c>
      <c r="E67" s="43" t="str">
        <f t="shared" si="41"/>
        <v>►</v>
      </c>
      <c r="F67" s="43" t="str">
        <f t="shared" si="42"/>
        <v>►</v>
      </c>
      <c r="G67" s="43" t="str">
        <f t="shared" si="43"/>
        <v>►</v>
      </c>
      <c r="H67" s="1256" t="s">
        <v>1</v>
      </c>
      <c r="I67" s="42" t="str">
        <f t="shared" si="44"/>
        <v>►</v>
      </c>
      <c r="J67" s="196" t="str">
        <f>J50</f>
        <v>Famille à coller.N.Nom de votre recette.Recette mère ►.S.Saisissez le nom de la recette mère</v>
      </c>
      <c r="K67" s="196">
        <f>K50</f>
        <v>6</v>
      </c>
      <c r="L67" s="196" t="str">
        <f>L50</f>
        <v>couverts</v>
      </c>
      <c r="M67" s="1323"/>
      <c r="N67" s="988"/>
      <c r="O67" s="988"/>
      <c r="P67" s="988"/>
      <c r="Q67" s="988"/>
      <c r="R67" s="988"/>
      <c r="S67" s="1325"/>
      <c r="T67" s="43"/>
      <c r="U67" s="42" t="str">
        <f t="shared" si="32"/>
        <v>►</v>
      </c>
      <c r="V67" s="41" t="str">
        <f>V25</f>
        <v>Charcuterie.B.Ballotine de canard sauvage.Recette mère ►.B.Ballotine de canard ceproc</v>
      </c>
      <c r="W67" s="40">
        <f>W25</f>
        <v>3.05</v>
      </c>
      <c r="X67" s="39" t="str">
        <f>X25</f>
        <v>kg</v>
      </c>
      <c r="Y67" s="213"/>
      <c r="Z67" s="212"/>
      <c r="AA67" s="211" t="str">
        <f t="shared" si="35"/>
        <v/>
      </c>
      <c r="AB67" s="210"/>
      <c r="AC67" s="209"/>
      <c r="AD67" s="5448">
        <v>1</v>
      </c>
      <c r="AE67" s="33"/>
      <c r="AF67" s="187"/>
      <c r="AG67" s="32"/>
      <c r="AH67" s="31"/>
      <c r="AI67" s="30"/>
      <c r="AJ67" s="5492">
        <f t="shared" si="22"/>
        <v>0</v>
      </c>
      <c r="AK67" s="54">
        <f t="shared" si="23"/>
        <v>0</v>
      </c>
      <c r="AL67" s="53" t="str">
        <f t="shared" si="24"/>
        <v/>
      </c>
      <c r="AM67" s="52"/>
      <c r="AN67" s="51">
        <f t="shared" si="25"/>
        <v>0</v>
      </c>
      <c r="AO67" s="50">
        <f t="shared" si="26"/>
        <v>0</v>
      </c>
      <c r="AP67" s="49">
        <f t="shared" si="27"/>
        <v>0</v>
      </c>
      <c r="AQ67" s="23"/>
      <c r="AR67" s="48">
        <f t="shared" si="28"/>
        <v>0</v>
      </c>
      <c r="AS67" s="47"/>
      <c r="AT67" s="13"/>
      <c r="AU67" s="46">
        <f t="shared" si="29"/>
        <v>0</v>
      </c>
      <c r="AV67" s="187"/>
      <c r="AW67" s="219" t="s">
        <v>91</v>
      </c>
      <c r="AX67" s="225">
        <f t="shared" si="34"/>
        <v>0.94599999999999995</v>
      </c>
      <c r="AY67" s="224" t="s">
        <v>88</v>
      </c>
      <c r="AZ67" s="223">
        <f t="shared" si="33"/>
        <v>1</v>
      </c>
      <c r="BA67" s="222">
        <v>946</v>
      </c>
      <c r="BB67"/>
      <c r="BC67" s="179"/>
      <c r="BD67" s="178"/>
      <c r="BE67" s="178"/>
      <c r="BF67" s="178"/>
      <c r="BG67" s="178"/>
      <c r="BH67" s="178"/>
      <c r="BI67" s="178"/>
      <c r="BJ67" s="177"/>
      <c r="BK67" s="62"/>
      <c r="BL67" s="20" t="str">
        <f t="shared" si="13"/>
        <v>►</v>
      </c>
      <c r="BM67" s="62"/>
      <c r="BN67" s="186"/>
      <c r="BO67" s="186"/>
      <c r="BP67" s="186"/>
      <c r="BQ67" s="186"/>
      <c r="BR67" s="186"/>
      <c r="BS67" s="141"/>
      <c r="BT67" s="5204" t="s">
        <v>7964</v>
      </c>
      <c r="BU67" s="141"/>
      <c r="BV67" s="141"/>
      <c r="BW67" s="141"/>
      <c r="BX67" s="498"/>
      <c r="BY67" s="5200"/>
      <c r="BZ67" s="5201"/>
      <c r="CA67" s="5204" t="s">
        <v>7965</v>
      </c>
      <c r="CB67" s="141"/>
      <c r="CC67" s="141"/>
      <c r="CD67" s="141"/>
      <c r="CE67" s="498"/>
      <c r="CF67" s="5200"/>
      <c r="CG67" s="5201"/>
      <c r="CH67" s="5204" t="s">
        <v>7966</v>
      </c>
      <c r="CI67" s="141"/>
      <c r="CJ67" s="141"/>
      <c r="CK67" s="141"/>
      <c r="CL67" s="498"/>
      <c r="CM67" s="5200"/>
      <c r="CN67" s="56" t="s">
        <v>1</v>
      </c>
      <c r="CO67" s="5">
        <v>1</v>
      </c>
    </row>
    <row r="68" spans="1:93" s="1" customFormat="1" ht="21" customHeight="1">
      <c r="A68" s="20" t="str">
        <f t="shared" si="30"/>
        <v>►</v>
      </c>
      <c r="B68" s="43" t="str">
        <f t="shared" si="37"/>
        <v>►</v>
      </c>
      <c r="C68" s="45" t="str">
        <f t="shared" si="39"/>
        <v>►</v>
      </c>
      <c r="D68" s="44" t="str">
        <f t="shared" si="40"/>
        <v>►</v>
      </c>
      <c r="E68" s="43" t="str">
        <f t="shared" si="41"/>
        <v>►</v>
      </c>
      <c r="F68" s="43" t="str">
        <f t="shared" si="42"/>
        <v>►</v>
      </c>
      <c r="G68" s="43" t="str">
        <f t="shared" si="43"/>
        <v>►</v>
      </c>
      <c r="H68" s="1256" t="s">
        <v>1</v>
      </c>
      <c r="I68" s="42" t="str">
        <f t="shared" si="44"/>
        <v>►</v>
      </c>
      <c r="J68" s="196" t="str">
        <f>J50</f>
        <v>Famille à coller.N.Nom de votre recette.Recette mère ►.S.Saisissez le nom de la recette mère</v>
      </c>
      <c r="K68" s="196">
        <f>K50</f>
        <v>6</v>
      </c>
      <c r="L68" s="196" t="str">
        <f>L50</f>
        <v>couverts</v>
      </c>
      <c r="M68" s="1323"/>
      <c r="N68" s="988"/>
      <c r="O68" s="988"/>
      <c r="P68" s="988"/>
      <c r="Q68" s="988"/>
      <c r="R68" s="988"/>
      <c r="S68" s="1325"/>
      <c r="T68" s="43"/>
      <c r="U68" s="42" t="str">
        <f t="shared" si="32"/>
        <v>►</v>
      </c>
      <c r="V68" s="41" t="str">
        <f>V25</f>
        <v>Charcuterie.B.Ballotine de canard sauvage.Recette mère ►.B.Ballotine de canard ceproc</v>
      </c>
      <c r="W68" s="40">
        <f>W25</f>
        <v>3.05</v>
      </c>
      <c r="X68" s="39" t="str">
        <f>X25</f>
        <v>kg</v>
      </c>
      <c r="Y68" s="213"/>
      <c r="Z68" s="212"/>
      <c r="AA68" s="211" t="str">
        <f t="shared" si="35"/>
        <v/>
      </c>
      <c r="AB68" s="210"/>
      <c r="AC68" s="209"/>
      <c r="AD68" s="5448">
        <v>1</v>
      </c>
      <c r="AE68" s="33"/>
      <c r="AF68" s="187"/>
      <c r="AG68" s="32"/>
      <c r="AH68" s="31"/>
      <c r="AI68" s="30"/>
      <c r="AJ68" s="5492">
        <f t="shared" si="22"/>
        <v>0</v>
      </c>
      <c r="AK68" s="29">
        <f t="shared" si="23"/>
        <v>0</v>
      </c>
      <c r="AL68" s="28" t="str">
        <f t="shared" si="24"/>
        <v/>
      </c>
      <c r="AM68" s="27"/>
      <c r="AN68" s="26">
        <f t="shared" si="25"/>
        <v>0</v>
      </c>
      <c r="AO68" s="25">
        <f t="shared" si="26"/>
        <v>0</v>
      </c>
      <c r="AP68" s="24">
        <f t="shared" si="27"/>
        <v>0</v>
      </c>
      <c r="AQ68" s="23"/>
      <c r="AR68" s="22">
        <f t="shared" si="28"/>
        <v>0</v>
      </c>
      <c r="AS68" s="21"/>
      <c r="AT68" s="13"/>
      <c r="AU68" s="46">
        <f t="shared" si="29"/>
        <v>0</v>
      </c>
      <c r="AV68" s="187"/>
      <c r="AW68" s="219" t="s">
        <v>90</v>
      </c>
      <c r="AX68" s="225">
        <f t="shared" si="34"/>
        <v>3.7850000000000001</v>
      </c>
      <c r="AY68" s="224" t="s">
        <v>88</v>
      </c>
      <c r="AZ68" s="223">
        <f t="shared" si="33"/>
        <v>0</v>
      </c>
      <c r="BA68" s="222">
        <v>3785</v>
      </c>
      <c r="BB68"/>
      <c r="BC68" s="179"/>
      <c r="BD68" s="178"/>
      <c r="BE68" s="178"/>
      <c r="BF68" s="178"/>
      <c r="BG68" s="178"/>
      <c r="BH68" s="178"/>
      <c r="BI68" s="178"/>
      <c r="BJ68" s="177"/>
      <c r="BK68" s="62"/>
      <c r="BL68" s="20" t="str">
        <f t="shared" si="13"/>
        <v>►</v>
      </c>
      <c r="BM68" s="62"/>
      <c r="BN68" s="186"/>
      <c r="BO68" s="186"/>
      <c r="BP68" s="186"/>
      <c r="BQ68" s="186"/>
      <c r="BR68" s="186"/>
      <c r="BS68" s="141"/>
      <c r="BT68" s="5202" t="s">
        <v>7967</v>
      </c>
      <c r="BU68" s="141"/>
      <c r="BV68" s="141"/>
      <c r="BW68" s="141"/>
      <c r="BX68" s="498"/>
      <c r="BY68" s="5200"/>
      <c r="BZ68" s="5201"/>
      <c r="CA68" s="5202" t="s">
        <v>7968</v>
      </c>
      <c r="CB68" s="141"/>
      <c r="CC68" s="141"/>
      <c r="CD68" s="141"/>
      <c r="CE68" s="498"/>
      <c r="CF68" s="5200"/>
      <c r="CG68" s="5201"/>
      <c r="CH68" s="5202" t="s">
        <v>7969</v>
      </c>
      <c r="CI68" s="141"/>
      <c r="CJ68" s="141"/>
      <c r="CK68" s="141"/>
      <c r="CL68" s="498"/>
      <c r="CM68" s="5200"/>
      <c r="CN68" s="56" t="s">
        <v>1</v>
      </c>
      <c r="CO68" s="5">
        <v>1</v>
      </c>
    </row>
    <row r="69" spans="1:93" s="1" customFormat="1" ht="21" customHeight="1" thickBot="1">
      <c r="A69" s="20" t="str">
        <f t="shared" si="30"/>
        <v>►</v>
      </c>
      <c r="B69" s="43" t="str">
        <f t="shared" si="37"/>
        <v>►</v>
      </c>
      <c r="C69" s="45" t="str">
        <f t="shared" si="39"/>
        <v>►</v>
      </c>
      <c r="D69" s="44" t="str">
        <f t="shared" si="40"/>
        <v>►</v>
      </c>
      <c r="E69" s="43" t="str">
        <f t="shared" si="41"/>
        <v>►</v>
      </c>
      <c r="F69" s="43" t="str">
        <f t="shared" si="42"/>
        <v>►</v>
      </c>
      <c r="G69" s="43" t="str">
        <f t="shared" si="43"/>
        <v>►</v>
      </c>
      <c r="H69" s="1256" t="s">
        <v>1</v>
      </c>
      <c r="I69" s="42" t="str">
        <f t="shared" si="44"/>
        <v>►</v>
      </c>
      <c r="J69" s="196" t="str">
        <f>J50</f>
        <v>Famille à coller.N.Nom de votre recette.Recette mère ►.S.Saisissez le nom de la recette mère</v>
      </c>
      <c r="K69" s="196">
        <f>K50</f>
        <v>6</v>
      </c>
      <c r="L69" s="196" t="str">
        <f>L50</f>
        <v>couverts</v>
      </c>
      <c r="M69" s="1323"/>
      <c r="N69" s="988"/>
      <c r="O69" s="988"/>
      <c r="P69" s="988"/>
      <c r="Q69" s="988"/>
      <c r="R69" s="988"/>
      <c r="S69" s="1325"/>
      <c r="T69" s="43"/>
      <c r="U69" s="42" t="str">
        <f t="shared" si="32"/>
        <v>►</v>
      </c>
      <c r="V69" s="41" t="str">
        <f>V25</f>
        <v>Charcuterie.B.Ballotine de canard sauvage.Recette mère ►.B.Ballotine de canard ceproc</v>
      </c>
      <c r="W69" s="40">
        <f>W25</f>
        <v>3.05</v>
      </c>
      <c r="X69" s="39" t="str">
        <f>X25</f>
        <v>kg</v>
      </c>
      <c r="Y69" s="213"/>
      <c r="Z69" s="212"/>
      <c r="AA69" s="211" t="str">
        <f t="shared" si="35"/>
        <v/>
      </c>
      <c r="AB69" s="210"/>
      <c r="AC69" s="209"/>
      <c r="AD69" s="5448">
        <v>1</v>
      </c>
      <c r="AE69" s="33"/>
      <c r="AF69" s="187"/>
      <c r="AG69" s="32"/>
      <c r="AH69" s="31"/>
      <c r="AI69" s="30"/>
      <c r="AJ69" s="5492">
        <f t="shared" si="22"/>
        <v>0</v>
      </c>
      <c r="AK69" s="54">
        <f t="shared" si="23"/>
        <v>0</v>
      </c>
      <c r="AL69" s="53" t="str">
        <f t="shared" si="24"/>
        <v/>
      </c>
      <c r="AM69" s="52"/>
      <c r="AN69" s="51">
        <f t="shared" si="25"/>
        <v>0</v>
      </c>
      <c r="AO69" s="50">
        <f t="shared" si="26"/>
        <v>0</v>
      </c>
      <c r="AP69" s="49">
        <f t="shared" si="27"/>
        <v>0</v>
      </c>
      <c r="AQ69" s="23"/>
      <c r="AR69" s="48">
        <f t="shared" si="28"/>
        <v>0</v>
      </c>
      <c r="AS69" s="47"/>
      <c r="AT69" s="13"/>
      <c r="AU69" s="46">
        <f t="shared" si="29"/>
        <v>0</v>
      </c>
      <c r="AV69" s="187"/>
      <c r="AW69" s="219" t="s">
        <v>89</v>
      </c>
      <c r="AX69" s="218">
        <f t="shared" si="34"/>
        <v>2.9569999999999999E-2</v>
      </c>
      <c r="AY69" s="217" t="s">
        <v>88</v>
      </c>
      <c r="AZ69" s="216">
        <f t="shared" si="33"/>
        <v>34</v>
      </c>
      <c r="BA69" s="215">
        <v>29.57</v>
      </c>
      <c r="BB69"/>
      <c r="BC69" s="179"/>
      <c r="BD69" s="178"/>
      <c r="BE69" s="178"/>
      <c r="BF69" s="178"/>
      <c r="BG69" s="178"/>
      <c r="BH69" s="178"/>
      <c r="BI69" s="178"/>
      <c r="BJ69" s="177"/>
      <c r="BK69" s="62"/>
      <c r="BL69" s="20" t="str">
        <f t="shared" si="13"/>
        <v>►</v>
      </c>
      <c r="BM69" s="62"/>
      <c r="BN69" s="186"/>
      <c r="BO69" s="186"/>
      <c r="BP69" s="186"/>
      <c r="BQ69" s="186"/>
      <c r="BR69" s="186"/>
      <c r="BS69" s="141"/>
      <c r="BT69" s="5202" t="s">
        <v>7970</v>
      </c>
      <c r="BU69" s="141"/>
      <c r="BV69" s="141"/>
      <c r="BW69" s="141"/>
      <c r="BX69" s="498"/>
      <c r="BY69" s="5200"/>
      <c r="BZ69" s="5201"/>
      <c r="CA69" s="5202" t="s">
        <v>7971</v>
      </c>
      <c r="CB69" s="141"/>
      <c r="CC69" s="141"/>
      <c r="CD69" s="141"/>
      <c r="CE69" s="498"/>
      <c r="CF69" s="5200"/>
      <c r="CG69" s="5201"/>
      <c r="CH69" s="5202" t="s">
        <v>7972</v>
      </c>
      <c r="CI69" s="141"/>
      <c r="CJ69" s="141"/>
      <c r="CK69" s="141"/>
      <c r="CL69" s="498"/>
      <c r="CM69" s="5200"/>
      <c r="CN69" s="56" t="s">
        <v>1</v>
      </c>
      <c r="CO69" s="5">
        <v>1</v>
      </c>
    </row>
    <row r="70" spans="1:93" s="1" customFormat="1" ht="21" customHeight="1">
      <c r="A70" s="20" t="str">
        <f t="shared" si="30"/>
        <v>A</v>
      </c>
      <c r="B70" s="43" t="str">
        <f t="shared" si="37"/>
        <v>Charcuterie.B.Ballotine de canard sauvage.Recette mère ►.B.Ballotine de canard ceproc</v>
      </c>
      <c r="C70" s="45" t="str">
        <f t="shared" si="39"/>
        <v>Charcuterie</v>
      </c>
      <c r="D70" s="44" t="str">
        <f t="shared" si="40"/>
        <v>B</v>
      </c>
      <c r="E70" s="43" t="str">
        <f t="shared" si="41"/>
        <v>Ballotine de canard sauvage</v>
      </c>
      <c r="F70" s="43" t="str">
        <f t="shared" si="42"/>
        <v>cette mère ►.S</v>
      </c>
      <c r="G70" s="43" t="str">
        <f t="shared" si="43"/>
        <v>B.Ballotine de canard ceproc</v>
      </c>
      <c r="H70" s="1256" t="s">
        <v>1</v>
      </c>
      <c r="I70" s="42" t="str">
        <f t="shared" si="44"/>
        <v>►</v>
      </c>
      <c r="J70" s="196" t="str">
        <f>J50</f>
        <v>Famille à coller.N.Nom de votre recette.Recette mère ►.S.Saisissez le nom de la recette mère</v>
      </c>
      <c r="K70" s="196">
        <f>K50</f>
        <v>6</v>
      </c>
      <c r="L70" s="196" t="str">
        <f>L50</f>
        <v>couverts</v>
      </c>
      <c r="M70" s="1323"/>
      <c r="N70" s="988"/>
      <c r="O70" s="988"/>
      <c r="P70" s="988"/>
      <c r="Q70" s="988"/>
      <c r="R70" s="988"/>
      <c r="S70" s="1325"/>
      <c r="T70" s="43"/>
      <c r="U70" s="214" t="s">
        <v>21</v>
      </c>
      <c r="V70" s="41" t="str">
        <f>V25</f>
        <v>Charcuterie.B.Ballotine de canard sauvage.Recette mère ►.B.Ballotine de canard ceproc</v>
      </c>
      <c r="W70" s="40">
        <f>W25</f>
        <v>3.05</v>
      </c>
      <c r="X70" s="39" t="str">
        <f>X25</f>
        <v>kg</v>
      </c>
      <c r="Y70" s="213"/>
      <c r="Z70" s="212"/>
      <c r="AA70" s="211" t="str">
        <f t="shared" si="35"/>
        <v/>
      </c>
      <c r="AB70" s="210"/>
      <c r="AC70" s="209"/>
      <c r="AD70" s="5448">
        <v>1</v>
      </c>
      <c r="AE70" s="33"/>
      <c r="AF70" s="187"/>
      <c r="AG70" s="32"/>
      <c r="AH70" s="31"/>
      <c r="AI70" s="30"/>
      <c r="AJ70" s="5492">
        <f t="shared" si="22"/>
        <v>0</v>
      </c>
      <c r="AK70" s="29">
        <f t="shared" si="23"/>
        <v>0</v>
      </c>
      <c r="AL70" s="28" t="str">
        <f t="shared" si="24"/>
        <v/>
      </c>
      <c r="AM70" s="27"/>
      <c r="AN70" s="26">
        <f t="shared" si="25"/>
        <v>0</v>
      </c>
      <c r="AO70" s="25">
        <f t="shared" si="26"/>
        <v>0</v>
      </c>
      <c r="AP70" s="24">
        <f t="shared" si="27"/>
        <v>0</v>
      </c>
      <c r="AQ70" s="23"/>
      <c r="AR70" s="22">
        <f t="shared" si="28"/>
        <v>0</v>
      </c>
      <c r="AS70" s="21"/>
      <c r="AT70" s="13"/>
      <c r="AU70" s="46">
        <f t="shared" si="29"/>
        <v>0</v>
      </c>
      <c r="AV70" s="187"/>
      <c r="AW70" s="208" t="s">
        <v>87</v>
      </c>
      <c r="AX70" s="207"/>
      <c r="AY70" s="206"/>
      <c r="AZ70" s="206"/>
      <c r="BB70"/>
      <c r="BC70" s="179"/>
      <c r="BD70" s="178"/>
      <c r="BE70" s="178"/>
      <c r="BF70" s="178"/>
      <c r="BG70" s="178"/>
      <c r="BH70" s="178"/>
      <c r="BI70" s="178"/>
      <c r="BJ70" s="177"/>
      <c r="BK70" s="62"/>
      <c r="BL70" s="20" t="str">
        <f t="shared" si="13"/>
        <v>A</v>
      </c>
      <c r="BM70" s="62"/>
      <c r="BN70" s="186"/>
      <c r="BO70" s="186"/>
      <c r="BP70" s="186"/>
      <c r="BQ70" s="186"/>
      <c r="BR70" s="186"/>
      <c r="BS70" s="141"/>
      <c r="BT70" s="5212"/>
      <c r="BU70" s="141"/>
      <c r="BV70" s="141"/>
      <c r="BW70" s="141"/>
      <c r="BX70" s="498"/>
      <c r="BY70" s="5200"/>
      <c r="BZ70" s="5201"/>
      <c r="CA70" s="5212"/>
      <c r="CB70" s="141"/>
      <c r="CC70" s="141"/>
      <c r="CD70" s="141"/>
      <c r="CE70" s="498"/>
      <c r="CF70" s="5200"/>
      <c r="CG70" s="5201"/>
      <c r="CH70" s="5212"/>
      <c r="CI70" s="141"/>
      <c r="CJ70" s="141"/>
      <c r="CK70" s="141"/>
      <c r="CL70" s="498"/>
      <c r="CM70" s="5200"/>
      <c r="CN70" s="56" t="s">
        <v>1</v>
      </c>
      <c r="CO70" s="5">
        <v>1</v>
      </c>
    </row>
    <row r="71" spans="1:93" s="1" customFormat="1" ht="21" customHeight="1" thickBot="1">
      <c r="A71" s="20" t="str">
        <f t="shared" si="30"/>
        <v>A</v>
      </c>
      <c r="B71" s="43" t="str">
        <f t="shared" si="37"/>
        <v>Charcuterie.B.Ballotine de canard sauvage.Recette mère ►.B.Ballotine de canard ceproc</v>
      </c>
      <c r="C71" s="45" t="str">
        <f t="shared" si="39"/>
        <v>Charcuterie</v>
      </c>
      <c r="D71" s="44" t="str">
        <f t="shared" si="40"/>
        <v>B</v>
      </c>
      <c r="E71" s="43" t="str">
        <f t="shared" si="41"/>
        <v>Ballotine de canard sauvage</v>
      </c>
      <c r="F71" s="43" t="str">
        <f t="shared" si="42"/>
        <v>cette mère ►.S</v>
      </c>
      <c r="G71" s="43" t="str">
        <f t="shared" si="43"/>
        <v>B.Ballotine de canard ceproc</v>
      </c>
      <c r="H71" s="1256" t="s">
        <v>1</v>
      </c>
      <c r="I71" s="1037" t="s">
        <v>21</v>
      </c>
      <c r="J71" s="196" t="str">
        <f>J50</f>
        <v>Famille à coller.N.Nom de votre recette.Recette mère ►.S.Saisissez le nom de la recette mère</v>
      </c>
      <c r="K71" s="196">
        <f>K50</f>
        <v>6</v>
      </c>
      <c r="L71" s="196" t="str">
        <f>L50</f>
        <v>couverts</v>
      </c>
      <c r="M71" s="1342" t="s">
        <v>869</v>
      </c>
      <c r="N71" s="993"/>
      <c r="O71" s="993"/>
      <c r="P71" s="993"/>
      <c r="Q71" s="993"/>
      <c r="R71" s="1343"/>
      <c r="S71" s="1344" t="s">
        <v>870</v>
      </c>
      <c r="T71" s="43"/>
      <c r="U71" s="205" t="s">
        <v>21</v>
      </c>
      <c r="V71" s="204" t="str">
        <f>V25</f>
        <v>Charcuterie.B.Ballotine de canard sauvage.Recette mère ►.B.Ballotine de canard ceproc</v>
      </c>
      <c r="W71" s="203">
        <f>W25</f>
        <v>3.05</v>
      </c>
      <c r="X71" s="202" t="str">
        <f>X25</f>
        <v>kg</v>
      </c>
      <c r="Y71" s="201" t="s">
        <v>86</v>
      </c>
      <c r="Z71" s="200"/>
      <c r="AA71" s="200"/>
      <c r="AB71" s="200"/>
      <c r="AC71" s="200"/>
      <c r="AD71" s="200"/>
      <c r="AE71" s="199"/>
      <c r="AF71" s="187"/>
      <c r="AG71" s="32"/>
      <c r="AH71" s="31"/>
      <c r="AI71" s="30"/>
      <c r="AJ71" s="5492">
        <f t="shared" si="22"/>
        <v>0</v>
      </c>
      <c r="AK71" s="54">
        <f t="shared" si="23"/>
        <v>0</v>
      </c>
      <c r="AL71" s="53" t="str">
        <f t="shared" si="24"/>
        <v/>
      </c>
      <c r="AM71" s="52"/>
      <c r="AN71" s="51">
        <f t="shared" si="25"/>
        <v>0</v>
      </c>
      <c r="AO71" s="50">
        <f t="shared" si="26"/>
        <v>0</v>
      </c>
      <c r="AP71" s="49">
        <f t="shared" si="27"/>
        <v>0</v>
      </c>
      <c r="AQ71" s="23"/>
      <c r="AR71" s="48">
        <f t="shared" si="28"/>
        <v>0</v>
      </c>
      <c r="AS71" s="47"/>
      <c r="AT71" s="13"/>
      <c r="AU71" s="46">
        <f t="shared" si="29"/>
        <v>0</v>
      </c>
      <c r="AV71" s="187"/>
      <c r="BB71"/>
      <c r="BC71" s="179"/>
      <c r="BD71" s="178"/>
      <c r="BE71" s="178"/>
      <c r="BF71" s="178"/>
      <c r="BG71" s="178"/>
      <c r="BH71" s="178"/>
      <c r="BI71" s="178"/>
      <c r="BJ71" s="177"/>
      <c r="BK71" s="62"/>
      <c r="BL71" s="20" t="str">
        <f t="shared" si="13"/>
        <v>A</v>
      </c>
      <c r="BM71" s="62"/>
      <c r="BN71" s="186"/>
      <c r="BO71" s="186"/>
      <c r="BP71" s="186"/>
      <c r="BQ71" s="186"/>
      <c r="BR71" s="186"/>
      <c r="BS71" s="141"/>
      <c r="BT71" s="5204" t="s">
        <v>7973</v>
      </c>
      <c r="BU71" s="141"/>
      <c r="BV71" s="141"/>
      <c r="BW71" s="141"/>
      <c r="BX71" s="498"/>
      <c r="BY71" s="5200"/>
      <c r="BZ71" s="5201"/>
      <c r="CA71" s="5204" t="s">
        <v>7974</v>
      </c>
      <c r="CB71" s="141"/>
      <c r="CC71" s="141"/>
      <c r="CD71" s="141"/>
      <c r="CE71" s="498"/>
      <c r="CF71" s="5200"/>
      <c r="CG71" s="5201"/>
      <c r="CH71" s="5204" t="s">
        <v>7975</v>
      </c>
      <c r="CI71" s="141"/>
      <c r="CJ71" s="141"/>
      <c r="CK71" s="141"/>
      <c r="CL71" s="498"/>
      <c r="CM71" s="5200"/>
      <c r="CN71" s="56"/>
      <c r="CO71" s="5">
        <v>1</v>
      </c>
    </row>
    <row r="72" spans="1:93" s="1" customFormat="1" ht="21" customHeight="1">
      <c r="A72" s="20" t="str">
        <f t="shared" si="30"/>
        <v>A</v>
      </c>
      <c r="B72" s="43" t="str">
        <f t="shared" si="37"/>
        <v>Famille à coller.N.Nom de votre recette.Recette mère ►.S.Saisissez le nom de la recette mère</v>
      </c>
      <c r="C72" s="45" t="str">
        <f t="shared" si="39"/>
        <v>Famille à coller</v>
      </c>
      <c r="D72" s="44" t="str">
        <f t="shared" si="40"/>
        <v>N</v>
      </c>
      <c r="E72" s="43" t="str">
        <f t="shared" si="41"/>
        <v>Nom de votre recette</v>
      </c>
      <c r="F72" s="43" t="str">
        <f t="shared" si="42"/>
        <v>Recette mère ►</v>
      </c>
      <c r="G72" s="43" t="str">
        <f t="shared" si="43"/>
        <v>S.Saisissez le nom de la recette mère</v>
      </c>
      <c r="H72" s="1256" t="s">
        <v>1</v>
      </c>
      <c r="I72" s="1037" t="s">
        <v>21</v>
      </c>
      <c r="J72" s="196" t="str">
        <f>J50</f>
        <v>Famille à coller.N.Nom de votre recette.Recette mère ►.S.Saisissez le nom de la recette mère</v>
      </c>
      <c r="K72" s="196">
        <f>K50</f>
        <v>6</v>
      </c>
      <c r="L72" s="1347" t="str">
        <f>L50</f>
        <v>couverts</v>
      </c>
      <c r="M72" s="1348"/>
      <c r="N72" s="997"/>
      <c r="O72" s="997"/>
      <c r="P72" s="997"/>
      <c r="Q72" s="997"/>
      <c r="R72" s="1349"/>
      <c r="S72" s="1326" t="s">
        <v>871</v>
      </c>
      <c r="T72" s="43"/>
      <c r="U72" s="198" t="s">
        <v>26</v>
      </c>
      <c r="V72" s="197"/>
      <c r="W72" s="197"/>
      <c r="X72" s="196"/>
      <c r="Y72" s="194"/>
      <c r="Z72" s="195"/>
      <c r="AA72" s="194"/>
      <c r="AB72" s="193"/>
      <c r="AC72" s="191"/>
      <c r="AD72" s="191"/>
      <c r="AE72" s="192" t="s">
        <v>85</v>
      </c>
      <c r="AF72" s="191"/>
      <c r="AG72" s="32"/>
      <c r="AH72" s="31"/>
      <c r="AI72" s="30"/>
      <c r="AJ72" s="5492">
        <f t="shared" si="22"/>
        <v>0</v>
      </c>
      <c r="AK72" s="29">
        <f t="shared" si="23"/>
        <v>0</v>
      </c>
      <c r="AL72" s="28" t="str">
        <f t="shared" si="24"/>
        <v/>
      </c>
      <c r="AM72" s="27"/>
      <c r="AN72" s="26">
        <f t="shared" si="25"/>
        <v>0</v>
      </c>
      <c r="AO72" s="25">
        <f t="shared" si="26"/>
        <v>0</v>
      </c>
      <c r="AP72" s="24">
        <f t="shared" si="27"/>
        <v>0</v>
      </c>
      <c r="AQ72" s="23"/>
      <c r="AR72" s="22">
        <f t="shared" si="28"/>
        <v>0</v>
      </c>
      <c r="AS72" s="21"/>
      <c r="AT72" s="13"/>
      <c r="AU72" s="46">
        <f t="shared" si="29"/>
        <v>0</v>
      </c>
      <c r="AV72" s="190"/>
      <c r="BB72"/>
      <c r="BC72" s="179"/>
      <c r="BD72" s="178"/>
      <c r="BE72" s="178"/>
      <c r="BF72" s="178"/>
      <c r="BG72" s="178"/>
      <c r="BH72" s="178"/>
      <c r="BI72" s="178"/>
      <c r="BJ72" s="177"/>
      <c r="BK72" s="62"/>
      <c r="BL72" s="20" t="str">
        <f t="shared" si="13"/>
        <v>A</v>
      </c>
      <c r="BM72" s="62"/>
      <c r="BN72" s="186"/>
      <c r="BO72" s="186"/>
      <c r="BP72" s="186"/>
      <c r="BQ72" s="186"/>
      <c r="BR72" s="186"/>
      <c r="BS72" s="141"/>
      <c r="BT72" s="5202" t="s">
        <v>7976</v>
      </c>
      <c r="BU72" s="141"/>
      <c r="BV72" s="141"/>
      <c r="BW72" s="141"/>
      <c r="BX72" s="498"/>
      <c r="BY72" s="5200"/>
      <c r="BZ72" s="5201"/>
      <c r="CA72" s="5202" t="s">
        <v>7977</v>
      </c>
      <c r="CB72" s="141"/>
      <c r="CC72" s="141"/>
      <c r="CD72" s="141"/>
      <c r="CE72" s="498"/>
      <c r="CF72" s="5200"/>
      <c r="CG72" s="5201"/>
      <c r="CH72" s="5202" t="s">
        <v>7978</v>
      </c>
      <c r="CI72" s="141"/>
      <c r="CJ72" s="141"/>
      <c r="CK72" s="141"/>
      <c r="CL72" s="498"/>
      <c r="CM72" s="5200"/>
      <c r="CN72" s="56" t="s">
        <v>1</v>
      </c>
      <c r="CO72" s="5">
        <v>1</v>
      </c>
    </row>
    <row r="73" spans="1:93" s="1" customFormat="1" ht="21" customHeight="1">
      <c r="A73" s="20" t="str">
        <f t="shared" si="30"/>
        <v>A</v>
      </c>
      <c r="B73" s="43" t="str">
        <f t="shared" si="37"/>
        <v>Famille à coller.N.Nom de votre recette.Recette mère ►.S.Saisissez le nom de la recette mère</v>
      </c>
      <c r="C73" s="45" t="str">
        <f t="shared" si="39"/>
        <v>Famille à coller</v>
      </c>
      <c r="D73" s="44" t="str">
        <f t="shared" si="40"/>
        <v>N</v>
      </c>
      <c r="E73" s="43" t="str">
        <f t="shared" si="41"/>
        <v>Nom de votre recette</v>
      </c>
      <c r="F73" s="43" t="str">
        <f t="shared" si="42"/>
        <v>Recette mère ►</v>
      </c>
      <c r="G73" s="43" t="str">
        <f t="shared" si="43"/>
        <v>S.Saisissez le nom de la recette mère</v>
      </c>
      <c r="H73" s="1256" t="s">
        <v>1</v>
      </c>
      <c r="I73" s="1037" t="s">
        <v>21</v>
      </c>
      <c r="J73" s="196" t="str">
        <f>J50</f>
        <v>Famille à coller.N.Nom de votre recette.Recette mère ►.S.Saisissez le nom de la recette mère</v>
      </c>
      <c r="K73" s="196">
        <f>K50</f>
        <v>6</v>
      </c>
      <c r="L73" s="1347" t="str">
        <f>L50</f>
        <v>couverts</v>
      </c>
      <c r="M73" s="1350"/>
      <c r="N73" s="997"/>
      <c r="O73" s="997"/>
      <c r="P73" s="997"/>
      <c r="Q73" s="997"/>
      <c r="R73" s="1349"/>
      <c r="S73" s="1326" t="s">
        <v>872</v>
      </c>
      <c r="T73" s="43"/>
      <c r="U73" s="42"/>
      <c r="V73" s="41"/>
      <c r="W73" s="40"/>
      <c r="X73" s="39"/>
      <c r="Y73" s="38"/>
      <c r="Z73" s="37"/>
      <c r="AA73" s="36"/>
      <c r="AB73" s="35"/>
      <c r="AC73" s="34"/>
      <c r="AD73" s="55"/>
      <c r="AE73" s="33"/>
      <c r="AG73" s="32"/>
      <c r="AH73" s="31"/>
      <c r="AI73" s="30"/>
      <c r="AJ73" s="5492">
        <f t="shared" si="22"/>
        <v>0</v>
      </c>
      <c r="AK73" s="54">
        <f t="shared" si="23"/>
        <v>0</v>
      </c>
      <c r="AL73" s="53" t="str">
        <f t="shared" si="24"/>
        <v/>
      </c>
      <c r="AM73" s="52"/>
      <c r="AN73" s="51">
        <f t="shared" si="25"/>
        <v>0</v>
      </c>
      <c r="AO73" s="50">
        <f t="shared" si="26"/>
        <v>0</v>
      </c>
      <c r="AP73" s="49">
        <f t="shared" si="27"/>
        <v>0</v>
      </c>
      <c r="AQ73" s="23"/>
      <c r="AR73" s="48">
        <f t="shared" si="28"/>
        <v>0</v>
      </c>
      <c r="AS73" s="47"/>
      <c r="AT73" s="13"/>
      <c r="AU73" s="46">
        <f t="shared" si="29"/>
        <v>0</v>
      </c>
      <c r="AV73" s="190"/>
      <c r="BB73"/>
      <c r="BC73" s="179"/>
      <c r="BD73" s="178"/>
      <c r="BE73" s="178"/>
      <c r="BF73" s="178"/>
      <c r="BG73" s="178"/>
      <c r="BH73" s="178"/>
      <c r="BI73" s="178"/>
      <c r="BJ73" s="177"/>
      <c r="BK73" s="62"/>
      <c r="BL73" s="20" t="str">
        <f t="shared" si="13"/>
        <v>A</v>
      </c>
      <c r="BM73" s="62"/>
      <c r="BN73" s="186"/>
      <c r="BO73" s="188" t="s">
        <v>84</v>
      </c>
      <c r="BP73" s="186"/>
      <c r="BQ73" s="186"/>
      <c r="BR73" s="186"/>
      <c r="BS73" s="141"/>
      <c r="BT73" s="5225" t="s">
        <v>7979</v>
      </c>
      <c r="BU73" s="141"/>
      <c r="BV73" s="141"/>
      <c r="BW73" s="141"/>
      <c r="BX73" s="498"/>
      <c r="BY73" s="5200"/>
      <c r="BZ73" s="5201"/>
      <c r="CA73" s="5225" t="s">
        <v>7980</v>
      </c>
      <c r="CB73" s="141"/>
      <c r="CC73" s="141"/>
      <c r="CD73" s="141"/>
      <c r="CE73" s="498"/>
      <c r="CF73" s="5200"/>
      <c r="CG73" s="5201"/>
      <c r="CH73" s="5225" t="s">
        <v>7981</v>
      </c>
      <c r="CI73" s="141"/>
      <c r="CJ73" s="141"/>
      <c r="CK73" s="141"/>
      <c r="CL73" s="498"/>
      <c r="CM73" s="5200"/>
      <c r="CN73" s="56" t="s">
        <v>1</v>
      </c>
      <c r="CO73" s="5">
        <v>1</v>
      </c>
    </row>
    <row r="74" spans="1:93" s="1" customFormat="1" ht="21" customHeight="1">
      <c r="A74" s="20" t="str">
        <f t="shared" si="30"/>
        <v>A</v>
      </c>
      <c r="B74" s="43" t="str">
        <f t="shared" si="37"/>
        <v>Famille à coller.N.Nom de votre recette.Recette mère ►.S.Saisissez le nom de la recette mère</v>
      </c>
      <c r="C74" s="45" t="str">
        <f t="shared" si="39"/>
        <v>Famille à coller</v>
      </c>
      <c r="D74" s="44" t="str">
        <f t="shared" si="40"/>
        <v>N</v>
      </c>
      <c r="E74" s="43" t="str">
        <f t="shared" si="41"/>
        <v>Nom de votre recette</v>
      </c>
      <c r="F74" s="43" t="str">
        <f t="shared" si="42"/>
        <v>Recette mère ►</v>
      </c>
      <c r="G74" s="43" t="str">
        <f t="shared" si="43"/>
        <v>S.Saisissez le nom de la recette mère</v>
      </c>
      <c r="H74" s="1256" t="s">
        <v>1</v>
      </c>
      <c r="I74" s="1037" t="s">
        <v>21</v>
      </c>
      <c r="J74" s="196" t="str">
        <f>J50</f>
        <v>Famille à coller.N.Nom de votre recette.Recette mère ►.S.Saisissez le nom de la recette mère</v>
      </c>
      <c r="K74" s="196">
        <f>K50</f>
        <v>6</v>
      </c>
      <c r="L74" s="196" t="str">
        <f>L50</f>
        <v>couverts</v>
      </c>
      <c r="M74" s="1002"/>
      <c r="N74" s="1002"/>
      <c r="O74" s="1002" t="s">
        <v>873</v>
      </c>
      <c r="P74" s="1003"/>
      <c r="Q74" s="1329"/>
      <c r="R74" s="1329"/>
      <c r="S74" s="1330"/>
      <c r="T74" s="43"/>
      <c r="U74" s="42"/>
      <c r="V74" s="41"/>
      <c r="W74" s="40"/>
      <c r="X74" s="39"/>
      <c r="Y74" s="38"/>
      <c r="Z74" s="37"/>
      <c r="AA74" s="36"/>
      <c r="AB74" s="35"/>
      <c r="AC74" s="34"/>
      <c r="AD74" s="55"/>
      <c r="AE74" s="33"/>
      <c r="AG74" s="32"/>
      <c r="AH74" s="31"/>
      <c r="AI74" s="30"/>
      <c r="AJ74" s="5492">
        <f t="shared" si="22"/>
        <v>0</v>
      </c>
      <c r="AK74" s="29">
        <f t="shared" si="23"/>
        <v>0</v>
      </c>
      <c r="AL74" s="28" t="str">
        <f t="shared" si="24"/>
        <v/>
      </c>
      <c r="AM74" s="27"/>
      <c r="AN74" s="26">
        <f t="shared" si="25"/>
        <v>0</v>
      </c>
      <c r="AO74" s="25">
        <f t="shared" si="26"/>
        <v>0</v>
      </c>
      <c r="AP74" s="24">
        <f t="shared" si="27"/>
        <v>0</v>
      </c>
      <c r="AQ74" s="23"/>
      <c r="AR74" s="22">
        <f t="shared" si="28"/>
        <v>0</v>
      </c>
      <c r="AS74" s="21"/>
      <c r="AT74" s="13"/>
      <c r="AU74" s="46">
        <f t="shared" si="29"/>
        <v>0</v>
      </c>
      <c r="AV74"/>
      <c r="BB74"/>
      <c r="BC74" s="179"/>
      <c r="BD74" s="178"/>
      <c r="BE74" s="178"/>
      <c r="BF74" s="178"/>
      <c r="BG74" s="178"/>
      <c r="BH74" s="178"/>
      <c r="BI74" s="178"/>
      <c r="BJ74" s="177"/>
      <c r="BK74" s="62"/>
      <c r="BL74" s="20" t="str">
        <f t="shared" si="13"/>
        <v>A</v>
      </c>
      <c r="BM74" s="62"/>
      <c r="BN74" s="186"/>
      <c r="BO74" s="188" t="s">
        <v>81</v>
      </c>
      <c r="BP74" s="186"/>
      <c r="BQ74" s="186"/>
      <c r="BR74" s="186"/>
      <c r="BS74" s="141"/>
      <c r="BT74" s="5226" t="s">
        <v>7982</v>
      </c>
      <c r="BU74" s="141"/>
      <c r="BV74" s="141"/>
      <c r="BW74" s="141"/>
      <c r="BX74" s="498"/>
      <c r="BY74" s="5200"/>
      <c r="BZ74" s="5201"/>
      <c r="CA74" s="5226" t="s">
        <v>7983</v>
      </c>
      <c r="CB74" s="141"/>
      <c r="CC74" s="141"/>
      <c r="CD74" s="141"/>
      <c r="CE74" s="498"/>
      <c r="CF74" s="5200"/>
      <c r="CG74" s="5201"/>
      <c r="CH74" s="5226" t="s">
        <v>7984</v>
      </c>
      <c r="CI74" s="141"/>
      <c r="CJ74" s="141"/>
      <c r="CK74" s="141"/>
      <c r="CL74" s="498"/>
      <c r="CM74" s="5200"/>
      <c r="CN74" s="56" t="s">
        <v>1</v>
      </c>
      <c r="CO74" s="5">
        <v>1</v>
      </c>
    </row>
    <row r="75" spans="1:93" s="1" customFormat="1" ht="21" customHeight="1" thickBot="1">
      <c r="A75" s="20" t="str">
        <f t="shared" si="30"/>
        <v>A</v>
      </c>
      <c r="B75" s="43" t="str">
        <f t="shared" si="37"/>
        <v>Famille à coller.N.Nom de votre recette.Recette mère ►.S.Saisissez le nom de la recette mère</v>
      </c>
      <c r="C75" s="45" t="str">
        <f t="shared" si="39"/>
        <v>Famille à coller</v>
      </c>
      <c r="D75" s="44" t="str">
        <f t="shared" si="40"/>
        <v>N</v>
      </c>
      <c r="E75" s="43" t="str">
        <f t="shared" si="41"/>
        <v>Nom de votre recette</v>
      </c>
      <c r="F75" s="43" t="str">
        <f t="shared" si="42"/>
        <v>Recette mère ►</v>
      </c>
      <c r="G75" s="43" t="str">
        <f t="shared" si="43"/>
        <v>S.Saisissez le nom de la recette mère</v>
      </c>
      <c r="H75" s="1256" t="s">
        <v>1</v>
      </c>
      <c r="I75" s="1069" t="s">
        <v>21</v>
      </c>
      <c r="J75" s="1331" t="str">
        <f>J50</f>
        <v>Famille à coller.N.Nom de votre recette.Recette mère ►.S.Saisissez le nom de la recette mère</v>
      </c>
      <c r="K75" s="1331">
        <f>K50</f>
        <v>6</v>
      </c>
      <c r="L75" s="1331" t="str">
        <f>L50</f>
        <v>couverts</v>
      </c>
      <c r="M75" s="1332" t="s">
        <v>86</v>
      </c>
      <c r="N75" s="1006"/>
      <c r="O75" s="1007"/>
      <c r="P75" s="1008"/>
      <c r="Q75" s="1007"/>
      <c r="R75" s="1007"/>
      <c r="S75" s="1333"/>
      <c r="T75" s="43"/>
      <c r="U75" s="42"/>
      <c r="V75" s="41"/>
      <c r="W75" s="40"/>
      <c r="X75" s="39"/>
      <c r="Y75" s="38"/>
      <c r="Z75" s="37"/>
      <c r="AA75" s="36"/>
      <c r="AB75" s="35"/>
      <c r="AC75" s="34"/>
      <c r="AD75" s="55"/>
      <c r="AE75" s="33"/>
      <c r="AG75" s="32"/>
      <c r="AH75" s="31"/>
      <c r="AI75" s="30"/>
      <c r="AJ75" s="5492">
        <f t="shared" si="22"/>
        <v>0</v>
      </c>
      <c r="AK75" s="54">
        <f t="shared" si="23"/>
        <v>0</v>
      </c>
      <c r="AL75" s="53" t="str">
        <f t="shared" si="24"/>
        <v/>
      </c>
      <c r="AM75" s="52"/>
      <c r="AN75" s="51">
        <f t="shared" si="25"/>
        <v>0</v>
      </c>
      <c r="AO75" s="50">
        <f t="shared" si="26"/>
        <v>0</v>
      </c>
      <c r="AP75" s="49">
        <f t="shared" si="27"/>
        <v>0</v>
      </c>
      <c r="AQ75" s="23"/>
      <c r="AR75" s="48">
        <f t="shared" si="28"/>
        <v>0</v>
      </c>
      <c r="AS75" s="47"/>
      <c r="AT75" s="13"/>
      <c r="AU75" s="46">
        <f t="shared" si="29"/>
        <v>0</v>
      </c>
      <c r="AV75"/>
      <c r="BB75"/>
      <c r="BC75" s="179"/>
      <c r="BD75" s="178"/>
      <c r="BE75" s="178"/>
      <c r="BF75" s="178"/>
      <c r="BG75" s="178"/>
      <c r="BH75" s="178"/>
      <c r="BI75" s="178"/>
      <c r="BJ75" s="177"/>
      <c r="BK75" s="62"/>
      <c r="BL75" s="20" t="str">
        <f t="shared" si="13"/>
        <v>A</v>
      </c>
      <c r="BM75" s="62"/>
      <c r="BN75" s="186"/>
      <c r="BO75" s="186"/>
      <c r="BP75" s="186"/>
      <c r="BQ75" s="186"/>
      <c r="BR75" s="185" t="s">
        <v>79</v>
      </c>
      <c r="BS75" s="141"/>
      <c r="BT75" s="5227" t="s">
        <v>7985</v>
      </c>
      <c r="BU75" s="141"/>
      <c r="BV75" s="141"/>
      <c r="BW75" s="141"/>
      <c r="BX75" s="498"/>
      <c r="BY75" s="5200"/>
      <c r="BZ75" s="5201"/>
      <c r="CA75" s="5227" t="s">
        <v>7986</v>
      </c>
      <c r="CB75" s="141"/>
      <c r="CC75" s="141"/>
      <c r="CD75" s="141"/>
      <c r="CE75" s="498"/>
      <c r="CF75" s="5200"/>
      <c r="CG75" s="5201"/>
      <c r="CH75" s="5227" t="s">
        <v>7987</v>
      </c>
      <c r="CI75" s="141"/>
      <c r="CJ75" s="141"/>
      <c r="CK75" s="141"/>
      <c r="CL75" s="498"/>
      <c r="CM75" s="5200"/>
      <c r="CN75" s="56" t="s">
        <v>1</v>
      </c>
      <c r="CO75" s="5">
        <v>1</v>
      </c>
    </row>
    <row r="76" spans="1:93" s="1" customFormat="1" ht="21" customHeight="1">
      <c r="A76" s="20" t="str">
        <f t="shared" si="30"/>
        <v>►</v>
      </c>
      <c r="B76" s="43" t="str">
        <f t="shared" si="37"/>
        <v>►</v>
      </c>
      <c r="C76" s="45" t="str">
        <f t="shared" si="39"/>
        <v>►</v>
      </c>
      <c r="D76" s="44" t="str">
        <f t="shared" si="40"/>
        <v>►</v>
      </c>
      <c r="E76" s="43" t="str">
        <f t="shared" si="41"/>
        <v>►</v>
      </c>
      <c r="F76" s="43" t="str">
        <f t="shared" si="42"/>
        <v>►</v>
      </c>
      <c r="G76" s="43" t="str">
        <f t="shared" si="43"/>
        <v>►</v>
      </c>
      <c r="H76" s="1256" t="s">
        <v>1</v>
      </c>
      <c r="I76" s="5175" t="s">
        <v>1</v>
      </c>
      <c r="J76" s="5161"/>
      <c r="K76" s="5161"/>
      <c r="L76" s="5161"/>
      <c r="M76" s="5176"/>
      <c r="N76" s="5177"/>
      <c r="O76" s="147"/>
      <c r="P76" s="147"/>
      <c r="Q76" s="102"/>
      <c r="R76" s="102"/>
      <c r="S76" s="1360"/>
      <c r="T76" s="43"/>
      <c r="U76" s="42"/>
      <c r="V76" s="41"/>
      <c r="W76" s="40"/>
      <c r="X76" s="39"/>
      <c r="Y76" s="38"/>
      <c r="Z76" s="37"/>
      <c r="AA76" s="36"/>
      <c r="AB76" s="35"/>
      <c r="AC76" s="34"/>
      <c r="AD76" s="55"/>
      <c r="AE76" s="33"/>
      <c r="AF76" s="187"/>
      <c r="AG76" s="32"/>
      <c r="AH76" s="31"/>
      <c r="AI76" s="30"/>
      <c r="AJ76" s="5492">
        <f t="shared" si="22"/>
        <v>0</v>
      </c>
      <c r="AK76" s="29">
        <f t="shared" si="23"/>
        <v>0</v>
      </c>
      <c r="AL76" s="28" t="str">
        <f t="shared" si="24"/>
        <v/>
      </c>
      <c r="AM76" s="27"/>
      <c r="AN76" s="26">
        <f t="shared" si="25"/>
        <v>0</v>
      </c>
      <c r="AO76" s="25">
        <f t="shared" si="26"/>
        <v>0</v>
      </c>
      <c r="AP76" s="24">
        <f t="shared" si="27"/>
        <v>0</v>
      </c>
      <c r="AQ76" s="23"/>
      <c r="AR76" s="22">
        <f t="shared" si="28"/>
        <v>0</v>
      </c>
      <c r="AS76" s="21"/>
      <c r="AT76" s="13"/>
      <c r="AU76" s="46">
        <f t="shared" si="29"/>
        <v>0</v>
      </c>
      <c r="BB76"/>
      <c r="BC76" s="179"/>
      <c r="BD76" s="178"/>
      <c r="BE76" s="178"/>
      <c r="BF76" s="178"/>
      <c r="BG76" s="178"/>
      <c r="BH76" s="178"/>
      <c r="BI76" s="178"/>
      <c r="BJ76" s="177"/>
      <c r="BK76" s="62"/>
      <c r="BL76" s="20" t="str">
        <f t="shared" si="13"/>
        <v>►</v>
      </c>
      <c r="BM76" s="62"/>
      <c r="BN76" s="186"/>
      <c r="BO76" s="186"/>
      <c r="BP76" s="186"/>
      <c r="BQ76" s="186"/>
      <c r="BR76" s="185"/>
      <c r="BS76" s="141"/>
      <c r="BT76" s="5227" t="s">
        <v>7988</v>
      </c>
      <c r="BU76" s="141"/>
      <c r="BV76" s="141"/>
      <c r="BW76" s="141"/>
      <c r="BX76" s="498"/>
      <c r="BY76" s="5200"/>
      <c r="BZ76" s="5201"/>
      <c r="CA76" s="5227" t="s">
        <v>7989</v>
      </c>
      <c r="CB76" s="141"/>
      <c r="CC76" s="141"/>
      <c r="CD76" s="141"/>
      <c r="CE76" s="498"/>
      <c r="CF76" s="5200"/>
      <c r="CG76" s="5201"/>
      <c r="CH76" s="5227" t="s">
        <v>7990</v>
      </c>
      <c r="CI76" s="141"/>
      <c r="CJ76" s="141"/>
      <c r="CK76" s="141"/>
      <c r="CL76" s="498"/>
      <c r="CM76" s="5200"/>
      <c r="CN76" s="56" t="s">
        <v>1</v>
      </c>
      <c r="CO76" s="5">
        <v>1</v>
      </c>
    </row>
    <row r="77" spans="1:93" s="1" customFormat="1" ht="21" customHeight="1" thickBot="1">
      <c r="A77" s="20" t="str">
        <f t="shared" si="30"/>
        <v>►</v>
      </c>
      <c r="B77" s="43" t="str">
        <f t="shared" si="37"/>
        <v>►</v>
      </c>
      <c r="C77" s="45" t="str">
        <f t="shared" si="39"/>
        <v>►</v>
      </c>
      <c r="D77" s="44" t="str">
        <f t="shared" si="40"/>
        <v>►</v>
      </c>
      <c r="E77" s="43" t="str">
        <f t="shared" si="41"/>
        <v>►</v>
      </c>
      <c r="F77" s="43" t="str">
        <f t="shared" si="42"/>
        <v>►</v>
      </c>
      <c r="G77" s="43" t="str">
        <f t="shared" si="43"/>
        <v>►</v>
      </c>
      <c r="H77" s="1256" t="s">
        <v>1</v>
      </c>
      <c r="I77" s="5175" t="s">
        <v>1</v>
      </c>
      <c r="J77" s="5161"/>
      <c r="K77" s="5161"/>
      <c r="L77" s="5161"/>
      <c r="M77" s="5176"/>
      <c r="N77" s="5177"/>
      <c r="O77" s="147"/>
      <c r="P77" s="147"/>
      <c r="Q77" s="102"/>
      <c r="R77" s="102"/>
      <c r="S77" s="1360"/>
      <c r="T77" s="43"/>
      <c r="U77" s="42"/>
      <c r="V77" s="41"/>
      <c r="W77" s="40"/>
      <c r="X77" s="39"/>
      <c r="Y77" s="38"/>
      <c r="Z77" s="37"/>
      <c r="AA77" s="36"/>
      <c r="AB77" s="35"/>
      <c r="AC77" s="34"/>
      <c r="AD77" s="55"/>
      <c r="AE77" s="33"/>
      <c r="AF77"/>
      <c r="AG77" s="32"/>
      <c r="AH77" s="31"/>
      <c r="AI77" s="30"/>
      <c r="AJ77" s="5492">
        <f t="shared" si="22"/>
        <v>0</v>
      </c>
      <c r="AK77" s="54">
        <f t="shared" si="23"/>
        <v>0</v>
      </c>
      <c r="AL77" s="53" t="str">
        <f t="shared" si="24"/>
        <v/>
      </c>
      <c r="AM77" s="52"/>
      <c r="AN77" s="51">
        <f t="shared" si="25"/>
        <v>0</v>
      </c>
      <c r="AO77" s="50">
        <f t="shared" si="26"/>
        <v>0</v>
      </c>
      <c r="AP77" s="49">
        <f t="shared" si="27"/>
        <v>0</v>
      </c>
      <c r="AQ77" s="23"/>
      <c r="AR77" s="48">
        <f t="shared" si="28"/>
        <v>0</v>
      </c>
      <c r="AS77" s="47"/>
      <c r="AT77" s="13"/>
      <c r="AU77" s="46">
        <f t="shared" si="29"/>
        <v>0</v>
      </c>
      <c r="BB77"/>
      <c r="BC77" s="179"/>
      <c r="BD77" s="178"/>
      <c r="BE77" s="178"/>
      <c r="BF77" s="178"/>
      <c r="BG77" s="178"/>
      <c r="BH77" s="178"/>
      <c r="BI77" s="178"/>
      <c r="BJ77" s="177"/>
      <c r="BK77" s="62"/>
      <c r="BL77" s="20" t="str">
        <f t="shared" si="13"/>
        <v>►</v>
      </c>
      <c r="BM77" s="62"/>
      <c r="BN77" s="184">
        <v>11</v>
      </c>
      <c r="BO77" s="184">
        <v>11</v>
      </c>
      <c r="BP77" s="184">
        <v>11</v>
      </c>
      <c r="BQ77" s="184">
        <v>11</v>
      </c>
      <c r="BR77" s="184">
        <v>11</v>
      </c>
      <c r="BS77" s="141"/>
      <c r="BT77" s="5228"/>
      <c r="BU77" s="1296" t="s">
        <v>7991</v>
      </c>
      <c r="BV77" s="5229"/>
      <c r="BW77" s="5229"/>
      <c r="BX77" s="5229"/>
      <c r="BY77" s="5200"/>
      <c r="BZ77" s="5201"/>
      <c r="CA77" s="5228"/>
      <c r="CB77" s="1296" t="s">
        <v>7992</v>
      </c>
      <c r="CC77" s="5229"/>
      <c r="CD77" s="5229"/>
      <c r="CE77" s="5229"/>
      <c r="CF77" s="5200"/>
      <c r="CG77" s="5201"/>
      <c r="CH77" s="5228"/>
      <c r="CI77" s="1296" t="s">
        <v>7993</v>
      </c>
      <c r="CJ77" s="5229"/>
      <c r="CK77" s="5229"/>
      <c r="CL77" s="5229"/>
      <c r="CM77" s="5200"/>
      <c r="CN77" s="56" t="s">
        <v>1</v>
      </c>
      <c r="CO77" s="5">
        <v>1</v>
      </c>
    </row>
    <row r="78" spans="1:93" s="1" customFormat="1" ht="21" customHeight="1">
      <c r="A78" s="20" t="str">
        <f t="shared" si="30"/>
        <v>►</v>
      </c>
      <c r="B78" s="43" t="str">
        <f t="shared" si="37"/>
        <v>►</v>
      </c>
      <c r="C78" s="45" t="str">
        <f t="shared" ref="C78:C141" si="45">IF(B78="►","►",IFERROR(LEFT(B78,SEARCH(".",B78)-1),0))</f>
        <v>►</v>
      </c>
      <c r="D78" s="44" t="str">
        <f t="shared" ref="D78:D141" si="46">IF(B78="►","►",IFERROR(MID(B78,SEARCH(".",B78)+1,SEARCH(".",B78,SEARCH(".",B78)+1)-SEARCH(".",B78)-1),0))</f>
        <v>►</v>
      </c>
      <c r="E78" s="43" t="str">
        <f t="shared" ref="E78:E141" si="47">IF(B78="►","►",IFERROR(MID(B78,SEARCH(".",B78,SEARCH(".",B78)+1)+1,SEARCH(".",B78,SEARCH(".",B78,SEARCH(".",B78)+1)+1)-SEARCH(".",B78,SEARCH(".",B78)+1)-1),0))</f>
        <v>►</v>
      </c>
      <c r="F78" s="43" t="str">
        <f t="shared" ref="F78:F141" si="48">IF(B78="►","►",IFERROR(MID(J78,SEARCH(".",B78,SEARCH(".",B78,SEARCH(".",B78)+1)+1)+1,SEARCH(".",B78,SEARCH(".",B78,SEARCH(".",B78,SEARCH(".",B78)+1)+1)+1)-SEARCH(".",B78,SEARCH(".",B78,SEARCH(".",B78)+1)+1)-1),0))</f>
        <v>►</v>
      </c>
      <c r="G78" s="43" t="str">
        <f t="shared" si="43"/>
        <v>►</v>
      </c>
      <c r="H78" s="1256" t="s">
        <v>1</v>
      </c>
      <c r="I78" s="5175" t="s">
        <v>1</v>
      </c>
      <c r="J78" s="5161"/>
      <c r="K78" s="5161"/>
      <c r="L78" s="5161"/>
      <c r="M78" s="5176"/>
      <c r="N78" s="5177"/>
      <c r="O78" s="147"/>
      <c r="P78" s="147"/>
      <c r="Q78" s="102"/>
      <c r="R78" s="102"/>
      <c r="S78" s="1360"/>
      <c r="T78" s="43"/>
      <c r="U78" s="42"/>
      <c r="V78" s="41"/>
      <c r="W78" s="40"/>
      <c r="X78" s="39"/>
      <c r="Y78" s="38"/>
      <c r="Z78" s="37"/>
      <c r="AA78" s="36"/>
      <c r="AB78" s="35"/>
      <c r="AC78" s="34"/>
      <c r="AD78" s="55"/>
      <c r="AE78" s="33"/>
      <c r="AF78"/>
      <c r="AG78" s="32"/>
      <c r="AH78" s="31"/>
      <c r="AI78" s="30"/>
      <c r="AJ78" s="5492">
        <f t="shared" si="22"/>
        <v>0</v>
      </c>
      <c r="AK78" s="29">
        <f t="shared" si="23"/>
        <v>0</v>
      </c>
      <c r="AL78" s="28" t="str">
        <f t="shared" si="24"/>
        <v/>
      </c>
      <c r="AM78" s="27"/>
      <c r="AN78" s="26">
        <f t="shared" si="25"/>
        <v>0</v>
      </c>
      <c r="AO78" s="25">
        <f t="shared" si="26"/>
        <v>0</v>
      </c>
      <c r="AP78" s="24">
        <f t="shared" si="27"/>
        <v>0</v>
      </c>
      <c r="AQ78" s="23"/>
      <c r="AR78" s="22">
        <f t="shared" si="28"/>
        <v>0</v>
      </c>
      <c r="AS78" s="21"/>
      <c r="AT78" s="13"/>
      <c r="AU78" s="46">
        <f t="shared" si="29"/>
        <v>0</v>
      </c>
      <c r="BB78"/>
      <c r="BC78" s="179"/>
      <c r="BD78" s="178"/>
      <c r="BE78" s="178"/>
      <c r="BF78" s="178"/>
      <c r="BG78" s="178"/>
      <c r="BH78" s="178"/>
      <c r="BI78" s="178"/>
      <c r="BJ78" s="177"/>
      <c r="BK78" s="62"/>
      <c r="BL78" s="20" t="str">
        <f t="shared" si="13"/>
        <v>►</v>
      </c>
      <c r="BM78" s="62"/>
      <c r="BN78" s="91">
        <f ca="1">CELL("largeur",BN78)</f>
        <v>11</v>
      </c>
      <c r="BO78" s="91">
        <f ca="1">CELL("largeur",BO78)</f>
        <v>11</v>
      </c>
      <c r="BP78" s="91">
        <f ca="1">CELL("largeur",BP78)</f>
        <v>11</v>
      </c>
      <c r="BQ78" s="91">
        <f ca="1">CELL("largeur",BQ78)</f>
        <v>11</v>
      </c>
      <c r="BR78" s="91">
        <f ca="1">CELL("largeur",BR78)</f>
        <v>11</v>
      </c>
      <c r="BS78" s="141"/>
      <c r="BT78" s="1160"/>
      <c r="BU78" s="1296" t="s">
        <v>7994</v>
      </c>
      <c r="BV78" s="5229"/>
      <c r="BW78" s="5229"/>
      <c r="BX78" s="5229" t="s">
        <v>7995</v>
      </c>
      <c r="BY78" s="5200"/>
      <c r="BZ78" s="5201"/>
      <c r="CA78" s="1160"/>
      <c r="CB78" s="1296" t="s">
        <v>7996</v>
      </c>
      <c r="CC78" s="5229"/>
      <c r="CD78" s="5229"/>
      <c r="CE78" s="5229" t="s">
        <v>7995</v>
      </c>
      <c r="CF78" s="5200"/>
      <c r="CG78" s="5201"/>
      <c r="CH78" s="1160"/>
      <c r="CI78" s="1296" t="s">
        <v>7997</v>
      </c>
      <c r="CJ78" s="5229"/>
      <c r="CK78" s="5229"/>
      <c r="CL78" s="5229" t="s">
        <v>7995</v>
      </c>
      <c r="CM78" s="5200"/>
      <c r="CN78" s="56" t="s">
        <v>1</v>
      </c>
      <c r="CO78" s="5">
        <v>1</v>
      </c>
    </row>
    <row r="79" spans="1:93" s="1" customFormat="1" ht="21" customHeight="1" thickBot="1">
      <c r="A79" s="20" t="str">
        <f t="shared" si="30"/>
        <v>►</v>
      </c>
      <c r="B79" s="43" t="str">
        <f t="shared" si="37"/>
        <v>►</v>
      </c>
      <c r="C79" s="45" t="str">
        <f t="shared" si="45"/>
        <v>►</v>
      </c>
      <c r="D79" s="44" t="str">
        <f t="shared" si="46"/>
        <v>►</v>
      </c>
      <c r="E79" s="43" t="str">
        <f t="shared" si="47"/>
        <v>►</v>
      </c>
      <c r="F79" s="43" t="str">
        <f t="shared" si="48"/>
        <v>►</v>
      </c>
      <c r="G79" s="43" t="str">
        <f t="shared" si="43"/>
        <v>►</v>
      </c>
      <c r="H79" s="1256" t="s">
        <v>1</v>
      </c>
      <c r="I79" s="5175" t="s">
        <v>1</v>
      </c>
      <c r="J79" s="5161"/>
      <c r="K79" s="5161"/>
      <c r="L79" s="5161"/>
      <c r="M79" s="5176"/>
      <c r="N79" s="5177"/>
      <c r="O79" s="147"/>
      <c r="P79" s="147"/>
      <c r="Q79" s="102"/>
      <c r="R79" s="102"/>
      <c r="S79" s="1360"/>
      <c r="T79" s="43"/>
      <c r="U79" s="42"/>
      <c r="V79" s="41"/>
      <c r="W79" s="40"/>
      <c r="X79" s="39"/>
      <c r="Y79" s="38"/>
      <c r="Z79" s="37"/>
      <c r="AA79" s="36"/>
      <c r="AB79" s="35"/>
      <c r="AC79" s="34"/>
      <c r="AD79" s="55"/>
      <c r="AE79" s="33"/>
      <c r="AF79"/>
      <c r="AG79" s="32"/>
      <c r="AH79" s="31"/>
      <c r="AI79" s="30"/>
      <c r="AJ79" s="5492">
        <f t="shared" si="22"/>
        <v>0</v>
      </c>
      <c r="AK79" s="54">
        <f t="shared" si="23"/>
        <v>0</v>
      </c>
      <c r="AL79" s="53" t="str">
        <f t="shared" si="24"/>
        <v/>
      </c>
      <c r="AM79" s="52"/>
      <c r="AN79" s="51">
        <f t="shared" si="25"/>
        <v>0</v>
      </c>
      <c r="AO79" s="50">
        <f t="shared" si="26"/>
        <v>0</v>
      </c>
      <c r="AP79" s="49">
        <f t="shared" si="27"/>
        <v>0</v>
      </c>
      <c r="AQ79" s="23"/>
      <c r="AR79" s="48">
        <f t="shared" si="28"/>
        <v>0</v>
      </c>
      <c r="AS79" s="47"/>
      <c r="AT79" s="13"/>
      <c r="AU79" s="46">
        <f t="shared" si="29"/>
        <v>0</v>
      </c>
      <c r="BB79"/>
      <c r="BC79" s="179"/>
      <c r="BD79" s="178"/>
      <c r="BE79" s="178"/>
      <c r="BF79" s="178"/>
      <c r="BG79" s="178"/>
      <c r="BH79" s="178"/>
      <c r="BI79" s="178"/>
      <c r="BJ79" s="177"/>
      <c r="BK79" s="62"/>
      <c r="BL79" s="20" t="str">
        <f t="shared" si="13"/>
        <v>►</v>
      </c>
      <c r="BM79" s="62"/>
      <c r="BN79" s="171"/>
      <c r="BO79" s="171"/>
      <c r="BP79" s="171"/>
      <c r="BQ79" s="171"/>
      <c r="BR79" s="171"/>
      <c r="BS79" s="141"/>
      <c r="BT79" s="1160"/>
      <c r="BU79" s="5230"/>
      <c r="BV79" s="388"/>
      <c r="BW79" s="388"/>
      <c r="BX79" s="388"/>
      <c r="BY79" s="5200"/>
      <c r="BZ79" s="5201"/>
      <c r="CA79" s="1160"/>
      <c r="CB79" s="5230"/>
      <c r="CC79" s="388"/>
      <c r="CD79" s="388"/>
      <c r="CE79" s="388"/>
      <c r="CF79" s="5200"/>
      <c r="CG79" s="5201"/>
      <c r="CH79" s="1160"/>
      <c r="CI79" s="5230"/>
      <c r="CJ79" s="388"/>
      <c r="CK79" s="388"/>
      <c r="CL79" s="388"/>
      <c r="CM79" s="5200"/>
      <c r="CN79" s="56" t="s">
        <v>1</v>
      </c>
      <c r="CO79" s="5">
        <v>1</v>
      </c>
    </row>
    <row r="80" spans="1:93" s="1" customFormat="1" ht="21" customHeight="1" thickTop="1" thickBot="1">
      <c r="A80" s="20" t="str">
        <f t="shared" si="30"/>
        <v>►</v>
      </c>
      <c r="B80" s="43" t="str">
        <f t="shared" si="37"/>
        <v>►</v>
      </c>
      <c r="C80" s="45" t="str">
        <f t="shared" si="45"/>
        <v>►</v>
      </c>
      <c r="D80" s="44" t="str">
        <f t="shared" si="46"/>
        <v>►</v>
      </c>
      <c r="E80" s="43" t="str">
        <f t="shared" si="47"/>
        <v>►</v>
      </c>
      <c r="F80" s="43" t="str">
        <f t="shared" si="48"/>
        <v>►</v>
      </c>
      <c r="G80" s="43" t="str">
        <f t="shared" ref="G80:G143" si="49">IF(B80="►","►",IF(ISBLANK(B80),"►",IFERROR(RIGHT(B80,LEN(B80)-FIND("►",B80)-1),"")))</f>
        <v>►</v>
      </c>
      <c r="H80" s="1256" t="s">
        <v>1</v>
      </c>
      <c r="I80" s="5175" t="s">
        <v>1</v>
      </c>
      <c r="J80" s="5161"/>
      <c r="K80" s="5161"/>
      <c r="L80" s="5161"/>
      <c r="M80" s="5176"/>
      <c r="N80" s="5177"/>
      <c r="O80" s="147"/>
      <c r="P80" s="147"/>
      <c r="Q80" s="102"/>
      <c r="R80" s="102"/>
      <c r="S80" s="1360"/>
      <c r="T80" s="43"/>
      <c r="U80" s="42"/>
      <c r="V80" s="41"/>
      <c r="W80" s="40"/>
      <c r="X80" s="39"/>
      <c r="Y80" s="38"/>
      <c r="Z80" s="37"/>
      <c r="AA80" s="36"/>
      <c r="AB80" s="35"/>
      <c r="AC80" s="34"/>
      <c r="AD80" s="55"/>
      <c r="AE80" s="33"/>
      <c r="AF80"/>
      <c r="AG80" s="32"/>
      <c r="AH80" s="31"/>
      <c r="AI80" s="30"/>
      <c r="AJ80" s="5492">
        <f t="shared" si="22"/>
        <v>0</v>
      </c>
      <c r="AK80" s="29">
        <f t="shared" si="23"/>
        <v>0</v>
      </c>
      <c r="AL80" s="28" t="str">
        <f t="shared" si="24"/>
        <v/>
      </c>
      <c r="AM80" s="27"/>
      <c r="AN80" s="26">
        <f t="shared" si="25"/>
        <v>0</v>
      </c>
      <c r="AO80" s="25">
        <f t="shared" si="26"/>
        <v>0</v>
      </c>
      <c r="AP80" s="24">
        <f t="shared" si="27"/>
        <v>0</v>
      </c>
      <c r="AQ80" s="23"/>
      <c r="AR80" s="22">
        <f t="shared" si="28"/>
        <v>0</v>
      </c>
      <c r="AS80" s="21"/>
      <c r="AT80" s="13"/>
      <c r="AU80" s="46">
        <f t="shared" si="29"/>
        <v>0</v>
      </c>
      <c r="BB80"/>
      <c r="BC80" s="179"/>
      <c r="BD80" s="178"/>
      <c r="BE80" s="178"/>
      <c r="BF80" s="178"/>
      <c r="BG80" s="178"/>
      <c r="BH80" s="178"/>
      <c r="BI80" s="178"/>
      <c r="BJ80" s="177"/>
      <c r="BK80" s="62"/>
      <c r="BL80" s="20" t="str">
        <f t="shared" si="13"/>
        <v>►</v>
      </c>
      <c r="BM80" s="62"/>
      <c r="BN80" s="155" t="s">
        <v>76</v>
      </c>
      <c r="BO80" s="180"/>
      <c r="BP80" s="180"/>
      <c r="BQ80" s="171"/>
      <c r="BR80" s="171"/>
      <c r="BS80" s="141"/>
      <c r="BT80" s="1160"/>
      <c r="BU80" s="304" t="s">
        <v>206</v>
      </c>
      <c r="BV80" s="5217"/>
      <c r="BW80" s="304"/>
      <c r="BX80" s="304" t="s">
        <v>200</v>
      </c>
      <c r="BY80" s="5200"/>
      <c r="BZ80" s="5201"/>
      <c r="CA80" s="1160"/>
      <c r="CB80" s="304" t="s">
        <v>206</v>
      </c>
      <c r="CC80" s="5217"/>
      <c r="CD80" s="304"/>
      <c r="CE80" s="304" t="s">
        <v>200</v>
      </c>
      <c r="CF80" s="5200"/>
      <c r="CG80" s="5201"/>
      <c r="CH80" s="1160"/>
      <c r="CI80" s="304" t="s">
        <v>206</v>
      </c>
      <c r="CJ80" s="5217"/>
      <c r="CK80" s="304"/>
      <c r="CL80" s="304" t="s">
        <v>200</v>
      </c>
      <c r="CM80" s="5200"/>
      <c r="CN80" s="56" t="s">
        <v>1</v>
      </c>
      <c r="CO80" s="5">
        <v>1</v>
      </c>
    </row>
    <row r="81" spans="1:93" s="1" customFormat="1" ht="21" customHeight="1" thickTop="1">
      <c r="A81" s="20" t="str">
        <f t="shared" si="30"/>
        <v>►</v>
      </c>
      <c r="B81" s="43" t="str">
        <f t="shared" si="37"/>
        <v>►</v>
      </c>
      <c r="C81" s="45" t="str">
        <f t="shared" si="45"/>
        <v>►</v>
      </c>
      <c r="D81" s="44" t="str">
        <f t="shared" si="46"/>
        <v>►</v>
      </c>
      <c r="E81" s="43" t="str">
        <f t="shared" si="47"/>
        <v>►</v>
      </c>
      <c r="F81" s="43" t="str">
        <f t="shared" si="48"/>
        <v>►</v>
      </c>
      <c r="G81" s="43" t="str">
        <f t="shared" si="49"/>
        <v>►</v>
      </c>
      <c r="H81" s="1256" t="s">
        <v>1</v>
      </c>
      <c r="I81" s="5175" t="s">
        <v>1</v>
      </c>
      <c r="J81" s="5161"/>
      <c r="K81" s="5161"/>
      <c r="L81" s="5161"/>
      <c r="M81" s="5176"/>
      <c r="N81" s="5177"/>
      <c r="O81" s="147"/>
      <c r="P81" s="147"/>
      <c r="Q81" s="102"/>
      <c r="R81" s="102"/>
      <c r="S81" s="1360"/>
      <c r="T81" s="43"/>
      <c r="U81" s="42"/>
      <c r="V81" s="41"/>
      <c r="W81" s="40"/>
      <c r="X81" s="39"/>
      <c r="Y81" s="38"/>
      <c r="Z81" s="37"/>
      <c r="AA81" s="36"/>
      <c r="AB81" s="35"/>
      <c r="AC81" s="34"/>
      <c r="AD81" s="55"/>
      <c r="AE81" s="33"/>
      <c r="AF81"/>
      <c r="AG81" s="32"/>
      <c r="AH81" s="31"/>
      <c r="AI81" s="30"/>
      <c r="AJ81" s="5492">
        <f t="shared" si="22"/>
        <v>0</v>
      </c>
      <c r="AK81" s="54">
        <f t="shared" si="23"/>
        <v>0</v>
      </c>
      <c r="AL81" s="53" t="str">
        <f t="shared" si="24"/>
        <v/>
      </c>
      <c r="AM81" s="52"/>
      <c r="AN81" s="51">
        <f t="shared" si="25"/>
        <v>0</v>
      </c>
      <c r="AO81" s="50">
        <f t="shared" si="26"/>
        <v>0</v>
      </c>
      <c r="AP81" s="49">
        <f t="shared" si="27"/>
        <v>0</v>
      </c>
      <c r="AQ81" s="23"/>
      <c r="AR81" s="48">
        <f t="shared" si="28"/>
        <v>0</v>
      </c>
      <c r="AS81" s="47"/>
      <c r="AT81" s="13"/>
      <c r="AU81" s="46">
        <f t="shared" si="29"/>
        <v>0</v>
      </c>
      <c r="BB81"/>
      <c r="BC81" s="179"/>
      <c r="BD81" s="178"/>
      <c r="BE81" s="178"/>
      <c r="BF81" s="178"/>
      <c r="BG81" s="178"/>
      <c r="BH81" s="178"/>
      <c r="BI81" s="178"/>
      <c r="BJ81" s="177"/>
      <c r="BK81" s="62"/>
      <c r="BL81" s="20" t="str">
        <f t="shared" si="13"/>
        <v>►</v>
      </c>
      <c r="BM81" s="62"/>
      <c r="BN81" s="147" t="s">
        <v>74</v>
      </c>
      <c r="BO81" s="180"/>
      <c r="BP81" s="180"/>
      <c r="BQ81" s="171"/>
      <c r="BR81" s="171"/>
      <c r="BS81" s="141"/>
      <c r="BT81" s="1160"/>
      <c r="BU81" s="141"/>
      <c r="BV81" s="141"/>
      <c r="BW81" s="141"/>
      <c r="BX81" s="498"/>
      <c r="BY81" s="5200"/>
      <c r="BZ81" s="5201"/>
      <c r="CA81" s="1160"/>
      <c r="CB81" s="141"/>
      <c r="CC81" s="141"/>
      <c r="CD81" s="141"/>
      <c r="CE81" s="498"/>
      <c r="CF81" s="5200"/>
      <c r="CG81" s="5201"/>
      <c r="CH81" s="1160"/>
      <c r="CI81" s="141"/>
      <c r="CJ81" s="141"/>
      <c r="CK81" s="141"/>
      <c r="CL81" s="498"/>
      <c r="CM81" s="5200"/>
      <c r="CN81" s="56" t="s">
        <v>1</v>
      </c>
      <c r="CO81" s="5">
        <v>1</v>
      </c>
    </row>
    <row r="82" spans="1:93" s="1" customFormat="1" ht="21" customHeight="1">
      <c r="A82" s="20" t="str">
        <f t="shared" si="30"/>
        <v>►</v>
      </c>
      <c r="B82" s="43" t="str">
        <f t="shared" si="37"/>
        <v>►</v>
      </c>
      <c r="C82" s="45" t="str">
        <f t="shared" si="45"/>
        <v>►</v>
      </c>
      <c r="D82" s="44" t="str">
        <f t="shared" si="46"/>
        <v>►</v>
      </c>
      <c r="E82" s="43" t="str">
        <f t="shared" si="47"/>
        <v>►</v>
      </c>
      <c r="F82" s="43" t="str">
        <f t="shared" si="48"/>
        <v>►</v>
      </c>
      <c r="G82" s="43" t="str">
        <f t="shared" si="49"/>
        <v>►</v>
      </c>
      <c r="H82" s="1256" t="s">
        <v>1</v>
      </c>
      <c r="I82" s="5175" t="s">
        <v>1</v>
      </c>
      <c r="J82" s="5161"/>
      <c r="K82" s="5161"/>
      <c r="L82" s="5161"/>
      <c r="M82" s="5176"/>
      <c r="N82" s="5177"/>
      <c r="O82" s="147"/>
      <c r="P82" s="147"/>
      <c r="Q82" s="102"/>
      <c r="R82" s="102"/>
      <c r="S82" s="1360"/>
      <c r="T82" s="43"/>
      <c r="U82" s="42"/>
      <c r="V82" s="41"/>
      <c r="W82" s="40"/>
      <c r="X82" s="39"/>
      <c r="Y82" s="38"/>
      <c r="Z82" s="37"/>
      <c r="AA82" s="36"/>
      <c r="AB82" s="35"/>
      <c r="AC82" s="34"/>
      <c r="AD82" s="55"/>
      <c r="AE82" s="33"/>
      <c r="AF82"/>
      <c r="AG82" s="32"/>
      <c r="AH82" s="31"/>
      <c r="AI82" s="30"/>
      <c r="AJ82" s="5492">
        <f t="shared" si="22"/>
        <v>0</v>
      </c>
      <c r="AK82" s="29">
        <f t="shared" si="23"/>
        <v>0</v>
      </c>
      <c r="AL82" s="28" t="str">
        <f t="shared" si="24"/>
        <v/>
      </c>
      <c r="AM82" s="27"/>
      <c r="AN82" s="26">
        <f t="shared" si="25"/>
        <v>0</v>
      </c>
      <c r="AO82" s="25">
        <f t="shared" si="26"/>
        <v>0</v>
      </c>
      <c r="AP82" s="24">
        <f t="shared" si="27"/>
        <v>0</v>
      </c>
      <c r="AQ82" s="23"/>
      <c r="AR82" s="22">
        <f t="shared" si="28"/>
        <v>0</v>
      </c>
      <c r="AS82" s="21"/>
      <c r="AT82" s="13"/>
      <c r="AU82" s="46">
        <f t="shared" si="29"/>
        <v>0</v>
      </c>
      <c r="BB82"/>
      <c r="BC82" s="179"/>
      <c r="BD82" s="178"/>
      <c r="BE82" s="178"/>
      <c r="BF82" s="178"/>
      <c r="BG82" s="178"/>
      <c r="BH82" s="178"/>
      <c r="BI82" s="178"/>
      <c r="BJ82" s="177"/>
      <c r="BK82" s="62"/>
      <c r="BL82" s="20" t="str">
        <f t="shared" ref="BL82:BL145" si="50">A82</f>
        <v>►</v>
      </c>
      <c r="BM82" s="62"/>
      <c r="BN82" s="102" t="s">
        <v>72</v>
      </c>
      <c r="BO82" s="180"/>
      <c r="BP82" s="180"/>
      <c r="BQ82" s="171"/>
      <c r="BR82" s="171"/>
      <c r="BS82" s="141"/>
      <c r="BT82" s="243"/>
      <c r="BU82" s="391" t="s">
        <v>7998</v>
      </c>
      <c r="BV82" s="390"/>
      <c r="BW82" s="97"/>
      <c r="BX82" s="498"/>
      <c r="BY82" s="5200"/>
      <c r="BZ82" s="5201"/>
      <c r="CA82" s="243"/>
      <c r="CB82" s="391" t="s">
        <v>7999</v>
      </c>
      <c r="CC82" s="390"/>
      <c r="CD82" s="97"/>
      <c r="CE82" s="498"/>
      <c r="CF82" s="5200"/>
      <c r="CG82" s="5201"/>
      <c r="CH82" s="243"/>
      <c r="CI82" s="391" t="s">
        <v>8000</v>
      </c>
      <c r="CJ82" s="390"/>
      <c r="CK82" s="97"/>
      <c r="CL82" s="498"/>
      <c r="CM82" s="5200"/>
      <c r="CN82" s="56" t="s">
        <v>1</v>
      </c>
      <c r="CO82" s="5">
        <v>1</v>
      </c>
    </row>
    <row r="83" spans="1:93" s="1" customFormat="1" ht="21" customHeight="1" thickBot="1">
      <c r="A83" s="20" t="str">
        <f t="shared" si="30"/>
        <v>►</v>
      </c>
      <c r="B83" s="43" t="str">
        <f t="shared" si="37"/>
        <v>►</v>
      </c>
      <c r="C83" s="45" t="str">
        <f t="shared" si="45"/>
        <v>►</v>
      </c>
      <c r="D83" s="44" t="str">
        <f t="shared" si="46"/>
        <v>►</v>
      </c>
      <c r="E83" s="43" t="str">
        <f t="shared" si="47"/>
        <v>►</v>
      </c>
      <c r="F83" s="43" t="str">
        <f t="shared" si="48"/>
        <v>►</v>
      </c>
      <c r="G83" s="43" t="str">
        <f t="shared" si="49"/>
        <v>►</v>
      </c>
      <c r="H83" s="1256" t="s">
        <v>1</v>
      </c>
      <c r="I83" s="5175" t="s">
        <v>1</v>
      </c>
      <c r="J83" s="5161"/>
      <c r="K83" s="5161"/>
      <c r="L83" s="5161"/>
      <c r="M83" s="5176"/>
      <c r="N83" s="5177"/>
      <c r="O83" s="147"/>
      <c r="P83" s="147"/>
      <c r="Q83" s="102"/>
      <c r="R83" s="102"/>
      <c r="S83" s="1360"/>
      <c r="T83" s="43"/>
      <c r="U83" s="42"/>
      <c r="V83" s="41"/>
      <c r="W83" s="40"/>
      <c r="X83" s="39"/>
      <c r="Y83" s="38"/>
      <c r="Z83" s="37"/>
      <c r="AA83" s="36"/>
      <c r="AB83" s="35"/>
      <c r="AC83" s="34"/>
      <c r="AD83" s="55"/>
      <c r="AE83" s="33"/>
      <c r="AF83"/>
      <c r="AG83" s="32"/>
      <c r="AH83" s="31"/>
      <c r="AI83" s="30"/>
      <c r="AJ83" s="5492">
        <f t="shared" si="22"/>
        <v>0</v>
      </c>
      <c r="AK83" s="54">
        <f t="shared" si="23"/>
        <v>0</v>
      </c>
      <c r="AL83" s="53" t="str">
        <f t="shared" si="24"/>
        <v/>
      </c>
      <c r="AM83" s="52"/>
      <c r="AN83" s="51">
        <f t="shared" si="25"/>
        <v>0</v>
      </c>
      <c r="AO83" s="50">
        <f t="shared" si="26"/>
        <v>0</v>
      </c>
      <c r="AP83" s="49">
        <f t="shared" si="27"/>
        <v>0</v>
      </c>
      <c r="AQ83" s="23"/>
      <c r="AR83" s="48">
        <f t="shared" si="28"/>
        <v>0</v>
      </c>
      <c r="AS83" s="47"/>
      <c r="AT83" s="13"/>
      <c r="AU83" s="46">
        <f t="shared" si="29"/>
        <v>0</v>
      </c>
      <c r="BB83"/>
      <c r="BC83" s="179"/>
      <c r="BD83" s="178"/>
      <c r="BE83" s="178"/>
      <c r="BF83" s="178"/>
      <c r="BG83" s="178"/>
      <c r="BH83" s="178"/>
      <c r="BI83" s="178"/>
      <c r="BJ83" s="177"/>
      <c r="BK83" s="62"/>
      <c r="BL83" s="20" t="str">
        <f t="shared" si="50"/>
        <v>►</v>
      </c>
      <c r="BM83" s="62"/>
      <c r="BN83" s="147" t="s">
        <v>70</v>
      </c>
      <c r="BO83" s="147"/>
      <c r="BP83" s="171"/>
      <c r="BQ83" s="171"/>
      <c r="BR83" s="171"/>
      <c r="BS83" s="141"/>
      <c r="BT83" s="1160"/>
      <c r="BU83" s="386" t="s">
        <v>267</v>
      </c>
      <c r="BV83" s="62"/>
      <c r="BW83" s="357"/>
      <c r="BX83" s="498"/>
      <c r="BY83" s="5200"/>
      <c r="BZ83" s="5201"/>
      <c r="CA83" s="1160"/>
      <c r="CB83" s="386" t="s">
        <v>8001</v>
      </c>
      <c r="CC83" s="62"/>
      <c r="CD83" s="357"/>
      <c r="CE83" s="498"/>
      <c r="CF83" s="5200"/>
      <c r="CG83" s="5201"/>
      <c r="CH83" s="1160"/>
      <c r="CI83" s="386" t="s">
        <v>8002</v>
      </c>
      <c r="CJ83" s="62"/>
      <c r="CK83" s="357"/>
      <c r="CL83" s="498"/>
      <c r="CM83" s="5200"/>
      <c r="CN83" s="56" t="s">
        <v>1</v>
      </c>
      <c r="CO83" s="5">
        <v>1</v>
      </c>
    </row>
    <row r="84" spans="1:93" s="1" customFormat="1" ht="21" customHeight="1" thickBot="1">
      <c r="A84" s="20" t="str">
        <f t="shared" si="30"/>
        <v>►</v>
      </c>
      <c r="B84" s="43" t="str">
        <f t="shared" si="37"/>
        <v>►</v>
      </c>
      <c r="C84" s="45" t="str">
        <f t="shared" si="45"/>
        <v>►</v>
      </c>
      <c r="D84" s="44" t="str">
        <f t="shared" si="46"/>
        <v>►</v>
      </c>
      <c r="E84" s="43" t="str">
        <f t="shared" si="47"/>
        <v>►</v>
      </c>
      <c r="F84" s="43" t="str">
        <f t="shared" si="48"/>
        <v>►</v>
      </c>
      <c r="G84" s="43" t="str">
        <f t="shared" si="49"/>
        <v>►</v>
      </c>
      <c r="H84" s="1256" t="s">
        <v>1</v>
      </c>
      <c r="I84" s="5175" t="s">
        <v>1</v>
      </c>
      <c r="J84" s="5161"/>
      <c r="K84" s="5161"/>
      <c r="L84" s="5161"/>
      <c r="M84" s="5176"/>
      <c r="N84" s="5177"/>
      <c r="O84" s="147"/>
      <c r="P84" s="147"/>
      <c r="Q84" s="102"/>
      <c r="R84" s="102"/>
      <c r="S84" s="1360"/>
      <c r="T84" s="43"/>
      <c r="U84" s="42"/>
      <c r="V84" s="41"/>
      <c r="W84" s="40"/>
      <c r="X84" s="39"/>
      <c r="Y84" s="38"/>
      <c r="Z84" s="37"/>
      <c r="AA84" s="36"/>
      <c r="AB84" s="35"/>
      <c r="AC84" s="34"/>
      <c r="AD84" s="55"/>
      <c r="AE84" s="33"/>
      <c r="AF84"/>
      <c r="AG84" s="32"/>
      <c r="AH84" s="31"/>
      <c r="AI84" s="30"/>
      <c r="AJ84" s="5492">
        <f t="shared" si="22"/>
        <v>0</v>
      </c>
      <c r="AK84" s="29">
        <f t="shared" si="23"/>
        <v>0</v>
      </c>
      <c r="AL84" s="28" t="str">
        <f t="shared" si="24"/>
        <v/>
      </c>
      <c r="AM84" s="27"/>
      <c r="AN84" s="26">
        <f t="shared" si="25"/>
        <v>0</v>
      </c>
      <c r="AO84" s="25">
        <f t="shared" si="26"/>
        <v>0</v>
      </c>
      <c r="AP84" s="24">
        <f t="shared" si="27"/>
        <v>0</v>
      </c>
      <c r="AQ84" s="23"/>
      <c r="AR84" s="22">
        <f t="shared" si="28"/>
        <v>0</v>
      </c>
      <c r="AS84" s="21"/>
      <c r="AT84" s="13"/>
      <c r="AU84" s="46">
        <f t="shared" si="29"/>
        <v>0</v>
      </c>
      <c r="BB84"/>
      <c r="BC84" s="174" t="s">
        <v>69</v>
      </c>
      <c r="BD84" s="173"/>
      <c r="BE84" s="173"/>
      <c r="BF84" s="173"/>
      <c r="BG84" s="173"/>
      <c r="BH84" s="173"/>
      <c r="BI84" s="173"/>
      <c r="BJ84" s="172"/>
      <c r="BK84" s="62"/>
      <c r="BL84" s="20" t="str">
        <f t="shared" si="50"/>
        <v>►</v>
      </c>
      <c r="BM84" s="62"/>
      <c r="BN84" s="147"/>
      <c r="BO84" s="147"/>
      <c r="BP84" s="171"/>
      <c r="BQ84" s="171"/>
      <c r="BR84" s="171"/>
      <c r="BS84" s="141"/>
      <c r="BT84" s="1160"/>
      <c r="BU84" s="5419" t="s">
        <v>255</v>
      </c>
      <c r="BV84" s="380" t="s">
        <v>260</v>
      </c>
      <c r="BW84" s="97"/>
      <c r="BX84" s="498"/>
      <c r="BY84" s="5200"/>
      <c r="BZ84" s="5201"/>
      <c r="CA84" s="1160"/>
      <c r="CB84" s="5419" t="s">
        <v>255</v>
      </c>
      <c r="CC84" s="380" t="s">
        <v>8003</v>
      </c>
      <c r="CD84" s="97"/>
      <c r="CE84" s="498"/>
      <c r="CF84" s="5200"/>
      <c r="CG84" s="5201"/>
      <c r="CH84" s="1160"/>
      <c r="CI84" s="5419" t="s">
        <v>255</v>
      </c>
      <c r="CJ84" s="380" t="s">
        <v>8004</v>
      </c>
      <c r="CK84" s="97"/>
      <c r="CL84" s="498"/>
      <c r="CM84" s="5200"/>
      <c r="CN84" s="56" t="s">
        <v>1</v>
      </c>
      <c r="CO84" s="5">
        <v>1</v>
      </c>
    </row>
    <row r="85" spans="1:93" s="1" customFormat="1" ht="21" customHeight="1">
      <c r="A85" s="20" t="str">
        <f t="shared" si="30"/>
        <v>►</v>
      </c>
      <c r="B85" s="43" t="str">
        <f t="shared" si="37"/>
        <v>►</v>
      </c>
      <c r="C85" s="45" t="str">
        <f t="shared" si="45"/>
        <v>►</v>
      </c>
      <c r="D85" s="44" t="str">
        <f t="shared" si="46"/>
        <v>►</v>
      </c>
      <c r="E85" s="43" t="str">
        <f t="shared" si="47"/>
        <v>►</v>
      </c>
      <c r="F85" s="43" t="str">
        <f t="shared" si="48"/>
        <v>►</v>
      </c>
      <c r="G85" s="43" t="str">
        <f t="shared" si="49"/>
        <v>►</v>
      </c>
      <c r="H85" s="1256" t="s">
        <v>1</v>
      </c>
      <c r="I85" s="5175" t="s">
        <v>1</v>
      </c>
      <c r="J85" s="5161"/>
      <c r="K85" s="5161"/>
      <c r="L85" s="5161"/>
      <c r="M85" s="5176"/>
      <c r="N85" s="5177"/>
      <c r="O85" s="147"/>
      <c r="P85" s="147"/>
      <c r="Q85" s="102"/>
      <c r="R85" s="102"/>
      <c r="S85" s="1360"/>
      <c r="T85" s="43"/>
      <c r="U85" s="42"/>
      <c r="V85" s="41"/>
      <c r="W85" s="40"/>
      <c r="X85" s="39"/>
      <c r="Y85" s="38"/>
      <c r="Z85" s="37"/>
      <c r="AA85" s="36"/>
      <c r="AB85" s="35"/>
      <c r="AC85" s="34"/>
      <c r="AD85" s="55"/>
      <c r="AE85" s="33"/>
      <c r="AF85"/>
      <c r="AG85" s="32"/>
      <c r="AH85" s="31"/>
      <c r="AI85" s="30"/>
      <c r="AJ85" s="5492">
        <f t="shared" si="22"/>
        <v>0</v>
      </c>
      <c r="AK85" s="54">
        <f t="shared" si="23"/>
        <v>0</v>
      </c>
      <c r="AL85" s="53" t="str">
        <f t="shared" si="24"/>
        <v/>
      </c>
      <c r="AM85" s="52"/>
      <c r="AN85" s="51">
        <f t="shared" si="25"/>
        <v>0</v>
      </c>
      <c r="AO85" s="50">
        <f t="shared" si="26"/>
        <v>0</v>
      </c>
      <c r="AP85" s="49">
        <f t="shared" si="27"/>
        <v>0</v>
      </c>
      <c r="AQ85" s="23"/>
      <c r="AR85" s="48">
        <f t="shared" si="28"/>
        <v>0</v>
      </c>
      <c r="AS85" s="47"/>
      <c r="AT85" s="13"/>
      <c r="AU85" s="46">
        <f t="shared" si="29"/>
        <v>0</v>
      </c>
      <c r="BB85"/>
      <c r="BC85" s="7623" t="s">
        <v>68</v>
      </c>
      <c r="BD85" s="7624"/>
      <c r="BE85" s="7624"/>
      <c r="BF85" s="7624"/>
      <c r="BG85" s="7624"/>
      <c r="BH85" s="7624"/>
      <c r="BI85" s="7624"/>
      <c r="BJ85" s="7625"/>
      <c r="BK85" s="62"/>
      <c r="BL85" s="20" t="str">
        <f t="shared" si="50"/>
        <v>►</v>
      </c>
      <c r="BM85" s="62"/>
      <c r="BN85" s="155" t="s">
        <v>67</v>
      </c>
      <c r="BO85" s="147"/>
      <c r="BP85" s="147"/>
      <c r="BQ85" s="147"/>
      <c r="BR85" s="147"/>
      <c r="BS85" s="141"/>
      <c r="BT85" s="1160"/>
      <c r="BU85" s="5475" t="s">
        <v>21</v>
      </c>
      <c r="BV85" s="370" t="s">
        <v>254</v>
      </c>
      <c r="BW85" s="357"/>
      <c r="BX85" s="498"/>
      <c r="BY85" s="5200"/>
      <c r="BZ85" s="5201"/>
      <c r="CA85" s="1160"/>
      <c r="CB85" s="5475" t="s">
        <v>21</v>
      </c>
      <c r="CC85" s="370" t="s">
        <v>254</v>
      </c>
      <c r="CD85" s="357"/>
      <c r="CE85" s="498"/>
      <c r="CF85" s="5200"/>
      <c r="CG85" s="5201"/>
      <c r="CH85" s="1160"/>
      <c r="CI85" s="5475" t="s">
        <v>21</v>
      </c>
      <c r="CJ85" s="370" t="s">
        <v>254</v>
      </c>
      <c r="CK85" s="357"/>
      <c r="CL85" s="498"/>
      <c r="CM85" s="5200"/>
      <c r="CN85" s="56" t="s">
        <v>1</v>
      </c>
      <c r="CO85" s="5">
        <v>1</v>
      </c>
    </row>
    <row r="86" spans="1:93" s="1" customFormat="1" ht="21" customHeight="1">
      <c r="A86" s="20" t="str">
        <f t="shared" si="30"/>
        <v>►</v>
      </c>
      <c r="B86" s="43" t="str">
        <f t="shared" si="37"/>
        <v>►</v>
      </c>
      <c r="C86" s="45" t="str">
        <f t="shared" si="45"/>
        <v>►</v>
      </c>
      <c r="D86" s="44" t="str">
        <f t="shared" si="46"/>
        <v>►</v>
      </c>
      <c r="E86" s="43" t="str">
        <f t="shared" si="47"/>
        <v>►</v>
      </c>
      <c r="F86" s="43" t="str">
        <f t="shared" si="48"/>
        <v>►</v>
      </c>
      <c r="G86" s="43" t="str">
        <f t="shared" si="49"/>
        <v>►</v>
      </c>
      <c r="H86" s="1256" t="s">
        <v>1</v>
      </c>
      <c r="I86" s="5175" t="s">
        <v>1</v>
      </c>
      <c r="J86" s="5161"/>
      <c r="K86" s="5161"/>
      <c r="L86" s="5161"/>
      <c r="M86" s="5176"/>
      <c r="N86" s="5177"/>
      <c r="O86" s="147"/>
      <c r="P86" s="147"/>
      <c r="Q86" s="102"/>
      <c r="R86" s="102"/>
      <c r="S86" s="1360"/>
      <c r="T86" s="43"/>
      <c r="U86" s="42"/>
      <c r="V86" s="41"/>
      <c r="W86" s="40"/>
      <c r="X86" s="39"/>
      <c r="Y86" s="38"/>
      <c r="Z86" s="37"/>
      <c r="AA86" s="36"/>
      <c r="AB86" s="35"/>
      <c r="AC86" s="34"/>
      <c r="AD86" s="55"/>
      <c r="AE86" s="33"/>
      <c r="AF86"/>
      <c r="AG86" s="32"/>
      <c r="AH86" s="31"/>
      <c r="AI86" s="30"/>
      <c r="AJ86" s="5492">
        <f t="shared" si="22"/>
        <v>0</v>
      </c>
      <c r="AK86" s="29">
        <f t="shared" si="23"/>
        <v>0</v>
      </c>
      <c r="AL86" s="28" t="str">
        <f t="shared" si="24"/>
        <v/>
      </c>
      <c r="AM86" s="27"/>
      <c r="AN86" s="26">
        <f t="shared" si="25"/>
        <v>0</v>
      </c>
      <c r="AO86" s="25">
        <f t="shared" si="26"/>
        <v>0</v>
      </c>
      <c r="AP86" s="24">
        <f t="shared" si="27"/>
        <v>0</v>
      </c>
      <c r="AQ86" s="23"/>
      <c r="AR86" s="22">
        <f t="shared" si="28"/>
        <v>0</v>
      </c>
      <c r="AS86" s="21"/>
      <c r="AT86" s="13"/>
      <c r="AU86" s="46">
        <f t="shared" si="29"/>
        <v>0</v>
      </c>
      <c r="BB86"/>
      <c r="BC86" s="7639" t="s">
        <v>66</v>
      </c>
      <c r="BD86" s="7640"/>
      <c r="BE86" s="7640"/>
      <c r="BF86" s="7640"/>
      <c r="BG86" s="7640"/>
      <c r="BH86" s="7640"/>
      <c r="BI86" s="7640"/>
      <c r="BJ86" s="7641"/>
      <c r="BK86" s="62"/>
      <c r="BL86" s="20" t="str">
        <f t="shared" si="50"/>
        <v>►</v>
      </c>
      <c r="BM86" s="62"/>
      <c r="BN86" s="147" t="s">
        <v>65</v>
      </c>
      <c r="BO86" s="147"/>
      <c r="BP86" s="147"/>
      <c r="BQ86" s="147"/>
      <c r="BR86" s="147"/>
      <c r="BS86" s="141"/>
      <c r="BT86" s="1160"/>
      <c r="BU86" s="141"/>
      <c r="BV86" s="141"/>
      <c r="BW86" s="141"/>
      <c r="BX86" s="141"/>
      <c r="BY86" s="409"/>
      <c r="BZ86"/>
      <c r="CA86" s="1160"/>
      <c r="CB86" s="141"/>
      <c r="CC86" s="141"/>
      <c r="CD86" s="141"/>
      <c r="CE86" s="141"/>
      <c r="CF86" s="409"/>
      <c r="CG86"/>
      <c r="CH86" s="1160"/>
      <c r="CI86" s="141"/>
      <c r="CJ86" s="141"/>
      <c r="CK86" s="141"/>
      <c r="CL86" s="141"/>
      <c r="CM86" s="409"/>
      <c r="CN86" s="56" t="s">
        <v>1</v>
      </c>
      <c r="CO86" s="5">
        <v>1</v>
      </c>
    </row>
    <row r="87" spans="1:93" s="1" customFormat="1" ht="21" customHeight="1">
      <c r="A87" s="20" t="str">
        <f t="shared" si="30"/>
        <v>►</v>
      </c>
      <c r="B87" s="43" t="str">
        <f t="shared" si="37"/>
        <v>►</v>
      </c>
      <c r="C87" s="45" t="str">
        <f t="shared" si="45"/>
        <v>►</v>
      </c>
      <c r="D87" s="44" t="str">
        <f t="shared" si="46"/>
        <v>►</v>
      </c>
      <c r="E87" s="43" t="str">
        <f t="shared" si="47"/>
        <v>►</v>
      </c>
      <c r="F87" s="43" t="str">
        <f t="shared" si="48"/>
        <v>►</v>
      </c>
      <c r="G87" s="43" t="str">
        <f t="shared" si="49"/>
        <v>►</v>
      </c>
      <c r="H87" s="1256" t="s">
        <v>1</v>
      </c>
      <c r="I87" s="5175" t="s">
        <v>1</v>
      </c>
      <c r="J87" s="5161"/>
      <c r="K87" s="5161"/>
      <c r="L87" s="5161"/>
      <c r="M87" s="5176"/>
      <c r="N87" s="5177"/>
      <c r="O87" s="147"/>
      <c r="P87" s="147"/>
      <c r="Q87" s="102"/>
      <c r="R87" s="102"/>
      <c r="S87" s="1360"/>
      <c r="T87" s="43"/>
      <c r="U87" s="42"/>
      <c r="V87" s="41"/>
      <c r="W87" s="40"/>
      <c r="X87" s="39"/>
      <c r="Y87" s="38"/>
      <c r="Z87" s="37"/>
      <c r="AA87" s="36"/>
      <c r="AB87" s="35"/>
      <c r="AC87" s="34"/>
      <c r="AD87" s="55"/>
      <c r="AE87" s="33"/>
      <c r="AF87"/>
      <c r="AG87" s="32"/>
      <c r="AH87" s="31"/>
      <c r="AI87" s="30"/>
      <c r="AJ87" s="5492">
        <f t="shared" si="22"/>
        <v>0</v>
      </c>
      <c r="AK87" s="54">
        <f t="shared" si="23"/>
        <v>0</v>
      </c>
      <c r="AL87" s="53" t="str">
        <f t="shared" si="24"/>
        <v/>
      </c>
      <c r="AM87" s="52"/>
      <c r="AN87" s="51">
        <f t="shared" si="25"/>
        <v>0</v>
      </c>
      <c r="AO87" s="50">
        <f t="shared" si="26"/>
        <v>0</v>
      </c>
      <c r="AP87" s="49">
        <f t="shared" si="27"/>
        <v>0</v>
      </c>
      <c r="AQ87" s="23"/>
      <c r="AR87" s="48">
        <f t="shared" si="28"/>
        <v>0</v>
      </c>
      <c r="AS87" s="47"/>
      <c r="AT87" s="13"/>
      <c r="AU87" s="46">
        <f t="shared" si="29"/>
        <v>0</v>
      </c>
      <c r="BB87"/>
      <c r="BC87" s="169"/>
      <c r="BD87" s="168"/>
      <c r="BE87" s="170" t="str">
        <f ca="1">"Largeur de cette colonne = "&amp;CELL("largeur",BE92)</f>
        <v>Largeur de cette colonne = 99</v>
      </c>
      <c r="BF87" s="163"/>
      <c r="BG87" s="7642" t="s">
        <v>64</v>
      </c>
      <c r="BH87" s="7642"/>
      <c r="BI87" s="7642"/>
      <c r="BJ87" s="7643"/>
      <c r="BK87" s="62"/>
      <c r="BL87" s="20" t="str">
        <f t="shared" si="50"/>
        <v>►</v>
      </c>
      <c r="BM87" s="62"/>
      <c r="BN87" s="102" t="s">
        <v>63</v>
      </c>
      <c r="BO87" s="147"/>
      <c r="BP87" s="147"/>
      <c r="BQ87" s="147"/>
      <c r="BR87" s="147"/>
      <c r="BS87" s="141"/>
      <c r="BT87" s="99" t="s">
        <v>17</v>
      </c>
      <c r="BU87" s="109"/>
      <c r="BV87" s="109"/>
      <c r="BW87" s="109"/>
      <c r="BX87" s="141"/>
      <c r="BY87" s="108"/>
      <c r="BZ87"/>
      <c r="CA87" s="99" t="s">
        <v>958</v>
      </c>
      <c r="CB87" s="109"/>
      <c r="CC87" s="109"/>
      <c r="CD87" s="109"/>
      <c r="CE87" s="141"/>
      <c r="CF87" s="108"/>
      <c r="CG87"/>
      <c r="CH87" s="99" t="s">
        <v>8005</v>
      </c>
      <c r="CI87" s="109"/>
      <c r="CJ87" s="109"/>
      <c r="CK87" s="109"/>
      <c r="CL87" s="141"/>
      <c r="CM87" s="108"/>
      <c r="CN87" s="56" t="s">
        <v>1</v>
      </c>
      <c r="CO87" s="5">
        <v>1</v>
      </c>
    </row>
    <row r="88" spans="1:93" s="1" customFormat="1" ht="21" customHeight="1">
      <c r="A88" s="20" t="str">
        <f t="shared" si="30"/>
        <v>►</v>
      </c>
      <c r="B88" s="43" t="str">
        <f t="shared" si="37"/>
        <v>►</v>
      </c>
      <c r="C88" s="45" t="str">
        <f t="shared" si="45"/>
        <v>►</v>
      </c>
      <c r="D88" s="44" t="str">
        <f t="shared" si="46"/>
        <v>►</v>
      </c>
      <c r="E88" s="43" t="str">
        <f t="shared" si="47"/>
        <v>►</v>
      </c>
      <c r="F88" s="43" t="str">
        <f t="shared" si="48"/>
        <v>►</v>
      </c>
      <c r="G88" s="43" t="str">
        <f t="shared" si="49"/>
        <v>►</v>
      </c>
      <c r="H88" s="1256" t="s">
        <v>1</v>
      </c>
      <c r="I88" s="5175" t="s">
        <v>1</v>
      </c>
      <c r="J88" s="5161"/>
      <c r="K88" s="5161"/>
      <c r="L88" s="5161"/>
      <c r="M88" s="5176"/>
      <c r="N88" s="5177"/>
      <c r="O88" s="147"/>
      <c r="P88" s="147"/>
      <c r="Q88" s="102"/>
      <c r="R88" s="102"/>
      <c r="S88" s="1360"/>
      <c r="T88" s="43"/>
      <c r="U88" s="42"/>
      <c r="V88" s="41"/>
      <c r="W88" s="40"/>
      <c r="X88" s="39"/>
      <c r="Y88" s="38"/>
      <c r="Z88" s="37"/>
      <c r="AA88" s="36"/>
      <c r="AB88" s="35"/>
      <c r="AC88" s="34"/>
      <c r="AD88" s="55"/>
      <c r="AE88" s="33"/>
      <c r="AF88"/>
      <c r="AG88" s="32"/>
      <c r="AH88" s="31"/>
      <c r="AI88" s="30"/>
      <c r="AJ88" s="5492">
        <f t="shared" si="22"/>
        <v>0</v>
      </c>
      <c r="AK88" s="29">
        <f t="shared" si="23"/>
        <v>0</v>
      </c>
      <c r="AL88" s="28" t="str">
        <f t="shared" si="24"/>
        <v/>
      </c>
      <c r="AM88" s="27"/>
      <c r="AN88" s="26">
        <f t="shared" si="25"/>
        <v>0</v>
      </c>
      <c r="AO88" s="25">
        <f t="shared" si="26"/>
        <v>0</v>
      </c>
      <c r="AP88" s="24">
        <f t="shared" si="27"/>
        <v>0</v>
      </c>
      <c r="AQ88" s="23"/>
      <c r="AR88" s="22">
        <f t="shared" si="28"/>
        <v>0</v>
      </c>
      <c r="AS88" s="21"/>
      <c r="AT88" s="13"/>
      <c r="AU88" s="46">
        <f t="shared" si="29"/>
        <v>0</v>
      </c>
      <c r="BB88"/>
      <c r="BC88" s="169"/>
      <c r="BD88" s="168"/>
      <c r="BE88" s="167" t="str">
        <f ca="1">"largeur de votre document  "&amp;BD89</f>
        <v>largeur de votre document  99</v>
      </c>
      <c r="BF88" s="163"/>
      <c r="BG88" s="7642"/>
      <c r="BH88" s="7642"/>
      <c r="BI88" s="7642"/>
      <c r="BJ88" s="7643"/>
      <c r="BK88" s="62"/>
      <c r="BL88" s="20" t="str">
        <f t="shared" si="50"/>
        <v>►</v>
      </c>
      <c r="BM88" s="62"/>
      <c r="BN88" s="147" t="s">
        <v>61</v>
      </c>
      <c r="BO88" s="147"/>
      <c r="BP88" s="147"/>
      <c r="BQ88" s="147"/>
      <c r="BR88" s="147"/>
      <c r="BS88" s="141"/>
      <c r="BT88" s="99" t="s">
        <v>16</v>
      </c>
      <c r="BU88" s="109"/>
      <c r="BV88" s="109"/>
      <c r="BW88" s="109"/>
      <c r="BX88" s="109"/>
      <c r="BY88" s="96"/>
      <c r="BZ88"/>
      <c r="CA88" s="99" t="s">
        <v>960</v>
      </c>
      <c r="CB88" s="109"/>
      <c r="CC88" s="109"/>
      <c r="CD88" s="109"/>
      <c r="CE88" s="109"/>
      <c r="CF88" s="96"/>
      <c r="CG88"/>
      <c r="CH88" s="99" t="s">
        <v>8006</v>
      </c>
      <c r="CI88" s="109"/>
      <c r="CJ88" s="109"/>
      <c r="CK88" s="109"/>
      <c r="CL88" s="109"/>
      <c r="CM88" s="96"/>
      <c r="CN88" s="56" t="s">
        <v>1</v>
      </c>
      <c r="CO88" s="5">
        <v>1</v>
      </c>
    </row>
    <row r="89" spans="1:93" s="1" customFormat="1" ht="21" customHeight="1">
      <c r="A89" s="20" t="str">
        <f t="shared" si="30"/>
        <v>►</v>
      </c>
      <c r="B89" s="43" t="str">
        <f t="shared" si="37"/>
        <v>►</v>
      </c>
      <c r="C89" s="45" t="str">
        <f t="shared" si="45"/>
        <v>►</v>
      </c>
      <c r="D89" s="44" t="str">
        <f t="shared" si="46"/>
        <v>►</v>
      </c>
      <c r="E89" s="43" t="str">
        <f t="shared" si="47"/>
        <v>►</v>
      </c>
      <c r="F89" s="43" t="str">
        <f t="shared" si="48"/>
        <v>►</v>
      </c>
      <c r="G89" s="43" t="str">
        <f t="shared" si="49"/>
        <v>►</v>
      </c>
      <c r="H89" s="1256" t="s">
        <v>1</v>
      </c>
      <c r="I89" s="5175" t="s">
        <v>1</v>
      </c>
      <c r="J89" s="5161"/>
      <c r="K89" s="5161"/>
      <c r="L89" s="5161"/>
      <c r="M89" s="5176"/>
      <c r="N89" s="5177"/>
      <c r="O89" s="147"/>
      <c r="P89" s="147"/>
      <c r="Q89" s="102"/>
      <c r="R89" s="102"/>
      <c r="S89" s="1360"/>
      <c r="T89" s="43"/>
      <c r="U89" s="42"/>
      <c r="V89" s="41"/>
      <c r="W89" s="40"/>
      <c r="X89" s="39"/>
      <c r="Y89" s="38"/>
      <c r="Z89" s="37"/>
      <c r="AA89" s="36"/>
      <c r="AB89" s="35"/>
      <c r="AC89" s="34"/>
      <c r="AD89" s="55"/>
      <c r="AE89" s="33"/>
      <c r="AF89"/>
      <c r="AG89" s="32"/>
      <c r="AH89" s="31"/>
      <c r="AI89" s="30"/>
      <c r="AJ89" s="5492">
        <f t="shared" si="22"/>
        <v>0</v>
      </c>
      <c r="AK89" s="54">
        <f t="shared" si="23"/>
        <v>0</v>
      </c>
      <c r="AL89" s="53" t="str">
        <f t="shared" si="24"/>
        <v/>
      </c>
      <c r="AM89" s="52"/>
      <c r="AN89" s="51">
        <f t="shared" si="25"/>
        <v>0</v>
      </c>
      <c r="AO89" s="50">
        <f t="shared" si="26"/>
        <v>0</v>
      </c>
      <c r="AP89" s="49">
        <f t="shared" si="27"/>
        <v>0</v>
      </c>
      <c r="AQ89" s="23"/>
      <c r="AR89" s="48">
        <f t="shared" si="28"/>
        <v>0</v>
      </c>
      <c r="AS89" s="47"/>
      <c r="AT89" s="13"/>
      <c r="AU89" s="46">
        <f t="shared" si="29"/>
        <v>0</v>
      </c>
      <c r="BB89"/>
      <c r="BC89" s="166" t="s">
        <v>59</v>
      </c>
      <c r="BD89" s="165">
        <f ca="1">SUM(Y2:AE2)</f>
        <v>99</v>
      </c>
      <c r="BE89" s="164" t="str">
        <f ca="1">IF(BD89&gt;BC91,BD94,"")</f>
        <v/>
      </c>
      <c r="BF89" s="163"/>
      <c r="BG89" s="7642"/>
      <c r="BH89" s="7642"/>
      <c r="BI89" s="7642"/>
      <c r="BJ89" s="7643"/>
      <c r="BK89" s="62"/>
      <c r="BL89" s="20" t="str">
        <f t="shared" si="50"/>
        <v>►</v>
      </c>
      <c r="BM89" s="62"/>
      <c r="BN89" s="102" t="s">
        <v>58</v>
      </c>
      <c r="BO89" s="147"/>
      <c r="BP89" s="147"/>
      <c r="BQ89" s="147"/>
      <c r="BR89" s="147"/>
      <c r="BS89" s="141"/>
      <c r="BT89" s="98"/>
      <c r="BU89" s="97"/>
      <c r="BV89" s="97"/>
      <c r="BW89" s="97"/>
      <c r="BX89" s="97"/>
      <c r="BY89" s="96"/>
      <c r="BZ89"/>
      <c r="CA89" s="98"/>
      <c r="CB89" s="97"/>
      <c r="CC89" s="97"/>
      <c r="CD89" s="97"/>
      <c r="CE89" s="97"/>
      <c r="CF89" s="96"/>
      <c r="CG89"/>
      <c r="CH89" s="98"/>
      <c r="CI89" s="97"/>
      <c r="CJ89" s="97"/>
      <c r="CK89" s="97"/>
      <c r="CL89" s="97"/>
      <c r="CM89" s="96"/>
      <c r="CN89" s="56" t="s">
        <v>1</v>
      </c>
      <c r="CO89" s="5">
        <v>1</v>
      </c>
    </row>
    <row r="90" spans="1:93" s="1" customFormat="1" ht="21" customHeight="1" thickBot="1">
      <c r="A90" s="20" t="str">
        <f t="shared" si="30"/>
        <v>►</v>
      </c>
      <c r="B90" s="43" t="str">
        <f t="shared" si="37"/>
        <v>►</v>
      </c>
      <c r="C90" s="45" t="str">
        <f t="shared" si="45"/>
        <v>►</v>
      </c>
      <c r="D90" s="44" t="str">
        <f t="shared" si="46"/>
        <v>►</v>
      </c>
      <c r="E90" s="43" t="str">
        <f t="shared" si="47"/>
        <v>►</v>
      </c>
      <c r="F90" s="43" t="str">
        <f t="shared" si="48"/>
        <v>►</v>
      </c>
      <c r="G90" s="43" t="str">
        <f t="shared" si="49"/>
        <v>►</v>
      </c>
      <c r="H90" s="1256" t="s">
        <v>1</v>
      </c>
      <c r="I90" s="5175" t="s">
        <v>1</v>
      </c>
      <c r="J90" s="5161"/>
      <c r="K90" s="5161"/>
      <c r="L90" s="5161"/>
      <c r="M90" s="5176"/>
      <c r="N90" s="5177"/>
      <c r="O90" s="147"/>
      <c r="P90" s="147"/>
      <c r="Q90" s="102"/>
      <c r="R90" s="102"/>
      <c r="S90" s="1360"/>
      <c r="T90" s="43"/>
      <c r="U90" s="42"/>
      <c r="V90" s="41"/>
      <c r="W90" s="40"/>
      <c r="X90" s="39"/>
      <c r="Y90" s="38"/>
      <c r="Z90" s="37"/>
      <c r="AA90" s="36"/>
      <c r="AB90" s="35"/>
      <c r="AC90" s="34"/>
      <c r="AD90" s="55"/>
      <c r="AE90" s="33"/>
      <c r="AF90"/>
      <c r="AG90" s="32"/>
      <c r="AH90" s="31"/>
      <c r="AI90" s="30"/>
      <c r="AJ90" s="5492">
        <f t="shared" si="22"/>
        <v>0</v>
      </c>
      <c r="AK90" s="29">
        <f t="shared" si="23"/>
        <v>0</v>
      </c>
      <c r="AL90" s="28" t="str">
        <f t="shared" si="24"/>
        <v/>
      </c>
      <c r="AM90" s="27"/>
      <c r="AN90" s="26">
        <f t="shared" si="25"/>
        <v>0</v>
      </c>
      <c r="AO90" s="25">
        <f t="shared" si="26"/>
        <v>0</v>
      </c>
      <c r="AP90" s="24">
        <f t="shared" si="27"/>
        <v>0</v>
      </c>
      <c r="AQ90" s="23"/>
      <c r="AR90" s="22">
        <f t="shared" si="28"/>
        <v>0</v>
      </c>
      <c r="AS90" s="21"/>
      <c r="AT90" s="13"/>
      <c r="AU90" s="46">
        <f t="shared" si="29"/>
        <v>0</v>
      </c>
      <c r="BB90"/>
      <c r="BC90" s="162" t="str">
        <f>"largeur "&amp;BE102</f>
        <v>largeur colonne  BE</v>
      </c>
      <c r="BD90" s="161"/>
      <c r="BE90" s="7644" t="str">
        <f>BC94&amp;BE102</f>
        <v>saisissez un nombre de caractères pour que le texte ne déborde pas de la colonne  BE</v>
      </c>
      <c r="BF90" s="152"/>
      <c r="BG90" s="7642"/>
      <c r="BH90" s="7642"/>
      <c r="BI90" s="7642"/>
      <c r="BJ90" s="7643"/>
      <c r="BK90" s="62"/>
      <c r="BL90" s="20" t="str">
        <f t="shared" si="50"/>
        <v>►</v>
      </c>
      <c r="BM90" s="62"/>
      <c r="BN90" s="148" t="s">
        <v>42</v>
      </c>
      <c r="BO90" s="147"/>
      <c r="BP90" s="147"/>
      <c r="BQ90" s="147"/>
      <c r="BR90" s="147"/>
      <c r="BS90" s="141"/>
      <c r="BT90" s="95">
        <v>14</v>
      </c>
      <c r="BU90" s="94">
        <v>14</v>
      </c>
      <c r="BV90" s="94">
        <v>14</v>
      </c>
      <c r="BW90" s="94">
        <v>14</v>
      </c>
      <c r="BX90" s="94">
        <v>14</v>
      </c>
      <c r="BY90" s="93">
        <v>14</v>
      </c>
      <c r="BZ90"/>
      <c r="CA90" s="95">
        <v>14</v>
      </c>
      <c r="CB90" s="94">
        <v>14</v>
      </c>
      <c r="CC90" s="94">
        <v>14</v>
      </c>
      <c r="CD90" s="94">
        <v>14</v>
      </c>
      <c r="CE90" s="94">
        <v>14</v>
      </c>
      <c r="CF90" s="93">
        <v>14</v>
      </c>
      <c r="CG90"/>
      <c r="CH90" s="95">
        <v>14</v>
      </c>
      <c r="CI90" s="94">
        <v>14</v>
      </c>
      <c r="CJ90" s="94">
        <v>14</v>
      </c>
      <c r="CK90" s="94">
        <v>14</v>
      </c>
      <c r="CL90" s="94">
        <v>14</v>
      </c>
      <c r="CM90" s="93">
        <v>14</v>
      </c>
      <c r="CN90" s="56" t="s">
        <v>1</v>
      </c>
      <c r="CO90" s="5">
        <v>1</v>
      </c>
    </row>
    <row r="91" spans="1:93" s="1" customFormat="1" ht="21" customHeight="1">
      <c r="A91" s="20" t="str">
        <f t="shared" si="30"/>
        <v>►</v>
      </c>
      <c r="B91" s="43" t="str">
        <f t="shared" si="37"/>
        <v>►</v>
      </c>
      <c r="C91" s="45" t="str">
        <f t="shared" si="45"/>
        <v>►</v>
      </c>
      <c r="D91" s="44" t="str">
        <f t="shared" si="46"/>
        <v>►</v>
      </c>
      <c r="E91" s="43" t="str">
        <f t="shared" si="47"/>
        <v>►</v>
      </c>
      <c r="F91" s="43" t="str">
        <f t="shared" si="48"/>
        <v>►</v>
      </c>
      <c r="G91" s="43" t="str">
        <f t="shared" si="49"/>
        <v>►</v>
      </c>
      <c r="H91" s="1256" t="s">
        <v>1</v>
      </c>
      <c r="I91" s="5175" t="s">
        <v>1</v>
      </c>
      <c r="J91" s="5161"/>
      <c r="K91" s="5161"/>
      <c r="L91" s="5161"/>
      <c r="M91" s="5176"/>
      <c r="N91" s="5177"/>
      <c r="O91" s="147"/>
      <c r="P91" s="147"/>
      <c r="Q91" s="102"/>
      <c r="R91" s="102"/>
      <c r="S91" s="1360"/>
      <c r="T91" s="43"/>
      <c r="U91" s="42"/>
      <c r="V91" s="41"/>
      <c r="W91" s="40"/>
      <c r="X91" s="39"/>
      <c r="Y91" s="38"/>
      <c r="Z91" s="37"/>
      <c r="AA91" s="36"/>
      <c r="AB91" s="35"/>
      <c r="AC91" s="34"/>
      <c r="AD91" s="55"/>
      <c r="AE91" s="33"/>
      <c r="AF91"/>
      <c r="AG91" s="32"/>
      <c r="AH91" s="31"/>
      <c r="AI91" s="30"/>
      <c r="AJ91" s="5492">
        <f t="shared" si="22"/>
        <v>0</v>
      </c>
      <c r="AK91" s="54">
        <f t="shared" si="23"/>
        <v>0</v>
      </c>
      <c r="AL91" s="53" t="str">
        <f t="shared" si="24"/>
        <v/>
      </c>
      <c r="AM91" s="52"/>
      <c r="AN91" s="51">
        <f t="shared" si="25"/>
        <v>0</v>
      </c>
      <c r="AO91" s="50">
        <f t="shared" si="26"/>
        <v>0</v>
      </c>
      <c r="AP91" s="49">
        <f t="shared" si="27"/>
        <v>0</v>
      </c>
      <c r="AQ91" s="23"/>
      <c r="AR91" s="48">
        <f t="shared" si="28"/>
        <v>0</v>
      </c>
      <c r="AS91" s="47"/>
      <c r="AT91" s="13"/>
      <c r="AU91" s="46">
        <f t="shared" si="29"/>
        <v>0</v>
      </c>
      <c r="BB91"/>
      <c r="BC91" s="159" cm="1">
        <f t="array" aca="1" ref="BC91:BD91" ca="1">CELL("largeur",BE92)</f>
        <v>99</v>
      </c>
      <c r="BD91" s="158" t="b">
        <f ca="1"/>
        <v>0</v>
      </c>
      <c r="BE91" s="7644"/>
      <c r="BF91" s="152"/>
      <c r="BG91" s="7645" t="s">
        <v>55</v>
      </c>
      <c r="BH91" s="7645"/>
      <c r="BI91" s="7645"/>
      <c r="BJ91" s="7646"/>
      <c r="BK91" s="62"/>
      <c r="BL91" s="20" t="str">
        <f t="shared" si="50"/>
        <v>►</v>
      </c>
      <c r="BM91" s="62"/>
      <c r="BO91" s="147"/>
      <c r="BP91" s="147"/>
      <c r="BQ91" s="147"/>
      <c r="BR91" s="147"/>
      <c r="BS91" s="141"/>
      <c r="BT91" s="91">
        <f t="shared" ref="BT91:BY91" ca="1" si="51">CELL("largeur",BT91)</f>
        <v>14</v>
      </c>
      <c r="BU91" s="91">
        <f t="shared" ca="1" si="51"/>
        <v>14</v>
      </c>
      <c r="BV91" s="91">
        <f t="shared" ca="1" si="51"/>
        <v>14</v>
      </c>
      <c r="BW91" s="91">
        <f t="shared" ca="1" si="51"/>
        <v>14</v>
      </c>
      <c r="BX91" s="91">
        <f t="shared" ca="1" si="51"/>
        <v>14</v>
      </c>
      <c r="BY91" s="91">
        <f t="shared" ca="1" si="51"/>
        <v>14</v>
      </c>
      <c r="BZ91"/>
      <c r="CA91" s="91">
        <f t="shared" ref="CA91:CF91" ca="1" si="52">CELL("largeur",CA91)</f>
        <v>14</v>
      </c>
      <c r="CB91" s="91">
        <f t="shared" ca="1" si="52"/>
        <v>14</v>
      </c>
      <c r="CC91" s="91">
        <f t="shared" ca="1" si="52"/>
        <v>14</v>
      </c>
      <c r="CD91" s="91">
        <f t="shared" ca="1" si="52"/>
        <v>14</v>
      </c>
      <c r="CE91" s="91">
        <f t="shared" ca="1" si="52"/>
        <v>14</v>
      </c>
      <c r="CF91" s="91">
        <f t="shared" ca="1" si="52"/>
        <v>14</v>
      </c>
      <c r="CG91"/>
      <c r="CH91" s="91">
        <f t="shared" ref="CH91:CM91" ca="1" si="53">CELL("largeur",CH91)</f>
        <v>14</v>
      </c>
      <c r="CI91" s="91">
        <f t="shared" ca="1" si="53"/>
        <v>14</v>
      </c>
      <c r="CJ91" s="91">
        <f t="shared" ca="1" si="53"/>
        <v>14</v>
      </c>
      <c r="CK91" s="91">
        <f t="shared" ca="1" si="53"/>
        <v>14</v>
      </c>
      <c r="CL91" s="91">
        <f t="shared" ca="1" si="53"/>
        <v>14</v>
      </c>
      <c r="CM91" s="91">
        <f t="shared" ca="1" si="53"/>
        <v>14</v>
      </c>
      <c r="CN91" s="56" t="s">
        <v>1</v>
      </c>
      <c r="CO91" s="5">
        <v>1</v>
      </c>
    </row>
    <row r="92" spans="1:93" s="1" customFormat="1" ht="21" customHeight="1">
      <c r="A92" s="20" t="str">
        <f t="shared" si="30"/>
        <v>►</v>
      </c>
      <c r="B92" s="43" t="str">
        <f t="shared" si="37"/>
        <v>►</v>
      </c>
      <c r="C92" s="45" t="str">
        <f t="shared" si="45"/>
        <v>►</v>
      </c>
      <c r="D92" s="44" t="str">
        <f t="shared" si="46"/>
        <v>►</v>
      </c>
      <c r="E92" s="43" t="str">
        <f t="shared" si="47"/>
        <v>►</v>
      </c>
      <c r="F92" s="43" t="str">
        <f t="shared" si="48"/>
        <v>►</v>
      </c>
      <c r="G92" s="43" t="str">
        <f t="shared" si="49"/>
        <v>►</v>
      </c>
      <c r="H92" s="1256" t="s">
        <v>1</v>
      </c>
      <c r="I92" s="5175" t="s">
        <v>1</v>
      </c>
      <c r="J92" s="5161"/>
      <c r="K92" s="5161"/>
      <c r="L92" s="5161"/>
      <c r="M92" s="5176"/>
      <c r="N92" s="5177"/>
      <c r="O92" s="147"/>
      <c r="P92" s="147"/>
      <c r="Q92" s="102"/>
      <c r="R92" s="102"/>
      <c r="S92" s="1360"/>
      <c r="T92" s="43"/>
      <c r="U92" s="42"/>
      <c r="V92" s="41"/>
      <c r="W92" s="40"/>
      <c r="X92" s="39"/>
      <c r="Y92" s="38"/>
      <c r="Z92" s="37"/>
      <c r="AA92" s="36"/>
      <c r="AB92" s="35"/>
      <c r="AC92" s="34"/>
      <c r="AD92" s="55"/>
      <c r="AE92" s="33"/>
      <c r="AF92"/>
      <c r="AG92" s="32"/>
      <c r="AH92" s="31"/>
      <c r="AI92" s="30"/>
      <c r="AJ92" s="5492">
        <f t="shared" si="22"/>
        <v>0</v>
      </c>
      <c r="AK92" s="29">
        <f t="shared" si="23"/>
        <v>0</v>
      </c>
      <c r="AL92" s="28" t="str">
        <f t="shared" si="24"/>
        <v/>
      </c>
      <c r="AM92" s="27"/>
      <c r="AN92" s="26">
        <f t="shared" si="25"/>
        <v>0</v>
      </c>
      <c r="AO92" s="25">
        <f t="shared" si="26"/>
        <v>0</v>
      </c>
      <c r="AP92" s="24">
        <f t="shared" si="27"/>
        <v>0</v>
      </c>
      <c r="AQ92" s="23"/>
      <c r="AR92" s="22">
        <f t="shared" si="28"/>
        <v>0</v>
      </c>
      <c r="AS92" s="21"/>
      <c r="AT92" s="13"/>
      <c r="AU92" s="46">
        <f t="shared" si="29"/>
        <v>0</v>
      </c>
      <c r="BB92"/>
      <c r="BC92" s="153"/>
      <c r="BD92" s="152"/>
      <c r="BE92" s="7647">
        <v>90</v>
      </c>
      <c r="BF92" s="152"/>
      <c r="BG92" s="7645"/>
      <c r="BH92" s="7645"/>
      <c r="BI92" s="7645"/>
      <c r="BJ92" s="7646"/>
      <c r="BK92" s="62"/>
      <c r="BL92" s="20" t="str">
        <f t="shared" si="50"/>
        <v>►</v>
      </c>
      <c r="BM92" s="62"/>
      <c r="BN92" s="155" t="s">
        <v>53</v>
      </c>
      <c r="BO92" s="147"/>
      <c r="BP92" s="147"/>
      <c r="BQ92" s="147"/>
      <c r="BR92" s="147"/>
      <c r="BS92" s="141"/>
      <c r="BT92"/>
      <c r="BU92"/>
      <c r="BV92"/>
      <c r="BW92"/>
      <c r="BX92"/>
      <c r="BY92"/>
      <c r="BZ92"/>
      <c r="CA92"/>
      <c r="CB92"/>
      <c r="CC92"/>
      <c r="CD92"/>
      <c r="CE92"/>
      <c r="CF92"/>
      <c r="CG92"/>
      <c r="CH92"/>
      <c r="CI92"/>
      <c r="CJ92"/>
      <c r="CK92"/>
      <c r="CL92"/>
      <c r="CM92"/>
      <c r="CN92" s="56" t="s">
        <v>1</v>
      </c>
      <c r="CO92" s="5">
        <v>1</v>
      </c>
    </row>
    <row r="93" spans="1:93" s="1" customFormat="1" ht="21" customHeight="1">
      <c r="A93" s="20" t="str">
        <f t="shared" si="30"/>
        <v>►</v>
      </c>
      <c r="B93" s="43" t="str">
        <f t="shared" si="37"/>
        <v>►</v>
      </c>
      <c r="C93" s="45" t="str">
        <f t="shared" si="45"/>
        <v>►</v>
      </c>
      <c r="D93" s="44" t="str">
        <f t="shared" si="46"/>
        <v>►</v>
      </c>
      <c r="E93" s="43" t="str">
        <f t="shared" si="47"/>
        <v>►</v>
      </c>
      <c r="F93" s="43" t="str">
        <f t="shared" si="48"/>
        <v>►</v>
      </c>
      <c r="G93" s="43" t="str">
        <f t="shared" si="49"/>
        <v>►</v>
      </c>
      <c r="H93" s="1256" t="s">
        <v>1</v>
      </c>
      <c r="I93" s="5175" t="s">
        <v>1</v>
      </c>
      <c r="J93" s="5161"/>
      <c r="K93" s="5161"/>
      <c r="L93" s="5161"/>
      <c r="M93" s="5176"/>
      <c r="N93" s="5177"/>
      <c r="O93" s="147"/>
      <c r="P93" s="147"/>
      <c r="Q93" s="102"/>
      <c r="R93" s="102"/>
      <c r="S93" s="1360"/>
      <c r="T93" s="43"/>
      <c r="U93" s="42"/>
      <c r="V93" s="41"/>
      <c r="W93" s="40"/>
      <c r="X93" s="39"/>
      <c r="Y93" s="38"/>
      <c r="Z93" s="37"/>
      <c r="AA93" s="36"/>
      <c r="AB93" s="35"/>
      <c r="AC93" s="34"/>
      <c r="AD93" s="55"/>
      <c r="AE93" s="33"/>
      <c r="AF93"/>
      <c r="AG93" s="32"/>
      <c r="AH93" s="31"/>
      <c r="AI93" s="30"/>
      <c r="AJ93" s="5492">
        <f t="shared" ref="AJ93:AJ156" si="54">IF(ISTEXT(Y93), 0, IFERROR(INDEX($AX$22:$AX$69, MATCH(AC93, $AW$22:$AW$69, 0)) * AB93 * IF(ISBLANK(Y93), 1, Y93), 0))</f>
        <v>0</v>
      </c>
      <c r="AK93" s="54">
        <f t="shared" ref="AK93:AK156" si="55">IF(ISNUMBER(AD93), AJ93*AD93*AU93, 0)</f>
        <v>0</v>
      </c>
      <c r="AL93" s="53" t="str">
        <f t="shared" ref="AL93:AL156" si="56">IF(AND(ISNUMBER(AB93),ISNUMBER(AD93),ISNUMBER(AU93)),IFERROR(_xlfn.LET(_xlpm.m,IF(ISBLANK(Y93),1,Y93),_xlpm.q,AB93*AD93*AU93*_xlpm.m,_xlpm.p,MATCH(AC93,AW$22:AW$69,0),_xlpm.f,INDEX(AX$22:AX$69,_xlpm.p),_xlpm.u,INDEX(AY$22:AY$69,_xlpm.p),_xlpm.s,INDEX(AZ$22:AZ$69,_xlpm.p),IF(_xlpm.q&gt;=_xlpm.s,ROUND(_xlpm.q,0)&amp;" "&amp;AC93&amp;" = "&amp;ROUND(_xlpm.q*_xlpm.f,1)&amp;" "&amp;_xlpm.u,ROUND(_xlpm.q,0)&amp;" "&amp;AC93)),""),"")</f>
        <v/>
      </c>
      <c r="AM93" s="52"/>
      <c r="AN93" s="51">
        <f t="shared" ref="AN93:AN156" si="57">((AK93-(AK93*AM93%)))</f>
        <v>0</v>
      </c>
      <c r="AO93" s="50">
        <f t="shared" ref="AO93:AO156" si="58">IF(AND(ISNUMBER(AD93), ISNUMBER(Y93)), Y93 * AD93 * AU93, 0)</f>
        <v>0</v>
      </c>
      <c r="AP93" s="49">
        <f t="shared" ref="AP93:AP156" si="59">Z93</f>
        <v>0</v>
      </c>
      <c r="AQ93" s="23"/>
      <c r="AR93" s="48">
        <f t="shared" ref="AR93:AR156" si="60">IF(OR(ISBLANK(AQ93),ISTEXT(Y93)),0,IF(AK93=0,Y93,AK93)*AQ93)</f>
        <v>0</v>
      </c>
      <c r="AS93" s="47"/>
      <c r="AT93" s="13"/>
      <c r="AU93" s="46">
        <f t="shared" ref="AU93:AU156" si="61">IF(OR(ISBLANK(AI93), ISBLANK(AG93)), 0, AI93/AG93)</f>
        <v>0</v>
      </c>
      <c r="BB93"/>
      <c r="BC93" s="153"/>
      <c r="BD93" s="152"/>
      <c r="BE93" s="7647"/>
      <c r="BF93" s="152"/>
      <c r="BG93" s="7645"/>
      <c r="BH93" s="7645"/>
      <c r="BI93" s="7645"/>
      <c r="BJ93" s="7646"/>
      <c r="BK93" s="62"/>
      <c r="BL93" s="20" t="str">
        <f t="shared" si="50"/>
        <v>►</v>
      </c>
      <c r="BM93" s="62"/>
      <c r="BN93" s="147" t="s">
        <v>52</v>
      </c>
      <c r="BO93" s="147"/>
      <c r="BP93" s="147"/>
      <c r="BQ93" s="147"/>
      <c r="BR93" s="147"/>
      <c r="BS93" s="141"/>
      <c r="BT93"/>
      <c r="BU93"/>
      <c r="BV93"/>
      <c r="BW93"/>
      <c r="BX93"/>
      <c r="BY93"/>
      <c r="BZ93"/>
      <c r="CA93"/>
      <c r="CB93"/>
      <c r="CC93"/>
      <c r="CD93"/>
      <c r="CE93"/>
      <c r="CF93"/>
      <c r="CG93"/>
      <c r="CH93"/>
      <c r="CI93"/>
      <c r="CJ93"/>
      <c r="CK93"/>
      <c r="CL93"/>
      <c r="CM93"/>
      <c r="CN93" s="56" t="s">
        <v>1</v>
      </c>
      <c r="CO93" s="5">
        <v>1</v>
      </c>
    </row>
    <row r="94" spans="1:93" s="1" customFormat="1" ht="21" customHeight="1">
      <c r="A94" s="20" t="str">
        <f t="shared" ref="A94:A157" si="62">IF(OR(I94="A",U94="A"),"A",IF(AND(I94="►",U94="►"),"►",IF(AND(ISBLANK(I94),ISBLANK(U94)),"►","►")))</f>
        <v>►</v>
      </c>
      <c r="B94" s="43" t="str">
        <f t="shared" si="37"/>
        <v>►</v>
      </c>
      <c r="C94" s="45" t="str">
        <f t="shared" si="45"/>
        <v>►</v>
      </c>
      <c r="D94" s="44" t="str">
        <f t="shared" si="46"/>
        <v>►</v>
      </c>
      <c r="E94" s="43" t="str">
        <f t="shared" si="47"/>
        <v>►</v>
      </c>
      <c r="F94" s="43" t="str">
        <f t="shared" si="48"/>
        <v>►</v>
      </c>
      <c r="G94" s="43" t="str">
        <f t="shared" si="49"/>
        <v>►</v>
      </c>
      <c r="H94" s="1256" t="s">
        <v>1</v>
      </c>
      <c r="I94" s="5175" t="s">
        <v>1</v>
      </c>
      <c r="J94" s="5161"/>
      <c r="K94" s="5161"/>
      <c r="L94" s="5161"/>
      <c r="M94" s="5176"/>
      <c r="N94" s="5177"/>
      <c r="O94" s="147"/>
      <c r="P94" s="147"/>
      <c r="Q94" s="102"/>
      <c r="R94" s="102"/>
      <c r="S94" s="1360"/>
      <c r="T94" s="43"/>
      <c r="U94" s="42"/>
      <c r="V94" s="41"/>
      <c r="W94" s="40"/>
      <c r="X94" s="39"/>
      <c r="Y94" s="38"/>
      <c r="Z94" s="37"/>
      <c r="AA94" s="36"/>
      <c r="AB94" s="35"/>
      <c r="AC94" s="34"/>
      <c r="AD94" s="55"/>
      <c r="AE94" s="33"/>
      <c r="AF94"/>
      <c r="AG94" s="32"/>
      <c r="AH94" s="31"/>
      <c r="AI94" s="30"/>
      <c r="AJ94" s="5492">
        <f t="shared" si="54"/>
        <v>0</v>
      </c>
      <c r="AK94" s="29">
        <f t="shared" si="55"/>
        <v>0</v>
      </c>
      <c r="AL94" s="28" t="str">
        <f t="shared" si="56"/>
        <v/>
      </c>
      <c r="AM94" s="27"/>
      <c r="AN94" s="26">
        <f t="shared" si="57"/>
        <v>0</v>
      </c>
      <c r="AO94" s="25">
        <f t="shared" si="58"/>
        <v>0</v>
      </c>
      <c r="AP94" s="24">
        <f t="shared" si="59"/>
        <v>0</v>
      </c>
      <c r="AQ94" s="23"/>
      <c r="AR94" s="22">
        <f t="shared" si="60"/>
        <v>0</v>
      </c>
      <c r="AS94" s="21"/>
      <c r="AT94" s="13"/>
      <c r="AU94" s="46">
        <f t="shared" si="61"/>
        <v>0</v>
      </c>
      <c r="BB94"/>
      <c r="BC94" s="139" t="s">
        <v>51</v>
      </c>
      <c r="BD94" s="151" t="s">
        <v>50</v>
      </c>
      <c r="BE94" s="150" t="s">
        <v>49</v>
      </c>
      <c r="BF94" s="136"/>
      <c r="BG94" s="135"/>
      <c r="BH94" s="135"/>
      <c r="BI94" s="135"/>
      <c r="BJ94" s="149"/>
      <c r="BK94" s="62"/>
      <c r="BL94" s="20" t="str">
        <f t="shared" si="50"/>
        <v>►</v>
      </c>
      <c r="BM94" s="62"/>
      <c r="BN94" s="102" t="s">
        <v>48</v>
      </c>
      <c r="BO94" s="147"/>
      <c r="BP94" s="147"/>
      <c r="BQ94" s="147"/>
      <c r="BR94" s="147"/>
      <c r="BS94" s="141"/>
      <c r="BT94"/>
      <c r="BU94"/>
      <c r="BV94"/>
      <c r="BW94"/>
      <c r="BX94"/>
      <c r="BY94"/>
      <c r="BZ94"/>
      <c r="CA94"/>
      <c r="CB94"/>
      <c r="CC94"/>
      <c r="CD94"/>
      <c r="CE94"/>
      <c r="CF94"/>
      <c r="CG94"/>
      <c r="CH94"/>
      <c r="CI94"/>
      <c r="CJ94"/>
      <c r="CK94"/>
      <c r="CL94"/>
      <c r="CM94"/>
      <c r="CN94" s="56" t="s">
        <v>1</v>
      </c>
      <c r="CO94" s="5">
        <v>1</v>
      </c>
    </row>
    <row r="95" spans="1:93" s="1" customFormat="1" ht="21" customHeight="1">
      <c r="A95" s="20" t="str">
        <f t="shared" si="62"/>
        <v>►</v>
      </c>
      <c r="B95" s="43" t="str">
        <f t="shared" si="37"/>
        <v>►</v>
      </c>
      <c r="C95" s="45" t="str">
        <f t="shared" si="45"/>
        <v>►</v>
      </c>
      <c r="D95" s="44" t="str">
        <f t="shared" si="46"/>
        <v>►</v>
      </c>
      <c r="E95" s="43" t="str">
        <f t="shared" si="47"/>
        <v>►</v>
      </c>
      <c r="F95" s="43" t="str">
        <f t="shared" si="48"/>
        <v>►</v>
      </c>
      <c r="G95" s="43" t="str">
        <f t="shared" si="49"/>
        <v>►</v>
      </c>
      <c r="H95" s="1256" t="s">
        <v>1</v>
      </c>
      <c r="I95" s="5175" t="s">
        <v>1</v>
      </c>
      <c r="J95" s="5161"/>
      <c r="K95" s="5161"/>
      <c r="L95" s="5161"/>
      <c r="M95" s="5176"/>
      <c r="N95" s="5177"/>
      <c r="O95" s="147"/>
      <c r="P95" s="147"/>
      <c r="Q95" s="102"/>
      <c r="R95" s="102"/>
      <c r="S95" s="1360"/>
      <c r="T95" s="43"/>
      <c r="U95" s="42"/>
      <c r="V95" s="41"/>
      <c r="W95" s="40"/>
      <c r="X95" s="39"/>
      <c r="Y95" s="38"/>
      <c r="Z95" s="37"/>
      <c r="AA95" s="36"/>
      <c r="AB95" s="35"/>
      <c r="AC95" s="34"/>
      <c r="AD95" s="55"/>
      <c r="AE95" s="33"/>
      <c r="AF95"/>
      <c r="AG95" s="32"/>
      <c r="AH95" s="31"/>
      <c r="AI95" s="30"/>
      <c r="AJ95" s="5492">
        <f t="shared" si="54"/>
        <v>0</v>
      </c>
      <c r="AK95" s="54">
        <f t="shared" si="55"/>
        <v>0</v>
      </c>
      <c r="AL95" s="53" t="str">
        <f t="shared" si="56"/>
        <v/>
      </c>
      <c r="AM95" s="52"/>
      <c r="AN95" s="51">
        <f t="shared" si="57"/>
        <v>0</v>
      </c>
      <c r="AO95" s="50">
        <f t="shared" si="58"/>
        <v>0</v>
      </c>
      <c r="AP95" s="49">
        <f t="shared" si="59"/>
        <v>0</v>
      </c>
      <c r="AQ95" s="23"/>
      <c r="AR95" s="48">
        <f t="shared" si="60"/>
        <v>0</v>
      </c>
      <c r="AS95" s="47"/>
      <c r="AT95" s="13"/>
      <c r="AU95" s="46">
        <f t="shared" si="61"/>
        <v>0</v>
      </c>
      <c r="BB95"/>
      <c r="BC95" s="7637" t="str">
        <f>BE102&amp;" "&amp;BC99&amp;SUM(COUNTIF(BF103:BF154,"&gt;0"))&amp;" lignes"</f>
        <v>colonne  BE votre texte est découpé en 12 lignes</v>
      </c>
      <c r="BD95" s="7638"/>
      <c r="BE95" s="145" t="s">
        <v>47</v>
      </c>
      <c r="BF95" s="144" t="str">
        <f>"◄ cellule "&amp;ADDRESS(ROW(BE95),COLUMN(BE95),4)</f>
        <v>◄ cellule BE95</v>
      </c>
      <c r="BG95" s="144"/>
      <c r="BH95" s="143"/>
      <c r="BI95" s="142" t="str">
        <f>LEN(BE95) - LEN(SUBSTITUTE(BE95, " ", "")) + 1&amp;" Mots"</f>
        <v>100 Mots</v>
      </c>
      <c r="BJ95" s="133">
        <f>LEN(BE95)</f>
        <v>554</v>
      </c>
      <c r="BK95" s="62"/>
      <c r="BL95" s="20" t="str">
        <f t="shared" si="50"/>
        <v>►</v>
      </c>
      <c r="BM95" s="62"/>
      <c r="BN95" s="147" t="s">
        <v>46</v>
      </c>
      <c r="BO95" s="147"/>
      <c r="BP95" s="147"/>
      <c r="BQ95" s="147"/>
      <c r="BR95" s="147"/>
      <c r="BS95" s="141"/>
      <c r="BT95"/>
      <c r="BU95"/>
      <c r="BV95"/>
      <c r="BW95"/>
      <c r="BX95"/>
      <c r="BY95"/>
      <c r="BZ95"/>
      <c r="CA95"/>
      <c r="CB95"/>
      <c r="CC95"/>
      <c r="CD95"/>
      <c r="CE95"/>
      <c r="CF95"/>
      <c r="CG95"/>
      <c r="CH95"/>
      <c r="CI95"/>
      <c r="CJ95"/>
      <c r="CK95"/>
      <c r="CL95"/>
      <c r="CM95"/>
      <c r="CN95" s="56" t="s">
        <v>1</v>
      </c>
      <c r="CO95" s="5">
        <v>1</v>
      </c>
    </row>
    <row r="96" spans="1:93" s="1" customFormat="1" ht="21" customHeight="1">
      <c r="A96" s="20" t="str">
        <f t="shared" si="62"/>
        <v>►</v>
      </c>
      <c r="B96" s="43" t="str">
        <f t="shared" si="37"/>
        <v>►</v>
      </c>
      <c r="C96" s="45" t="str">
        <f t="shared" si="45"/>
        <v>►</v>
      </c>
      <c r="D96" s="44" t="str">
        <f t="shared" si="46"/>
        <v>►</v>
      </c>
      <c r="E96" s="43" t="str">
        <f t="shared" si="47"/>
        <v>►</v>
      </c>
      <c r="F96" s="43" t="str">
        <f t="shared" si="48"/>
        <v>►</v>
      </c>
      <c r="G96" s="43" t="str">
        <f t="shared" si="49"/>
        <v>►</v>
      </c>
      <c r="H96" s="1256" t="s">
        <v>1</v>
      </c>
      <c r="I96" s="5175" t="s">
        <v>1</v>
      </c>
      <c r="J96" s="5161"/>
      <c r="K96" s="5161"/>
      <c r="L96" s="5161"/>
      <c r="M96" s="5176"/>
      <c r="N96" s="5177"/>
      <c r="O96" s="147"/>
      <c r="P96" s="147"/>
      <c r="Q96" s="102"/>
      <c r="R96" s="102"/>
      <c r="S96" s="1360"/>
      <c r="T96" s="43"/>
      <c r="U96" s="42"/>
      <c r="V96" s="41"/>
      <c r="W96" s="40"/>
      <c r="X96" s="39"/>
      <c r="Y96" s="38"/>
      <c r="Z96" s="37"/>
      <c r="AA96" s="36"/>
      <c r="AB96" s="35"/>
      <c r="AC96" s="34"/>
      <c r="AD96" s="55"/>
      <c r="AE96" s="33"/>
      <c r="AF96"/>
      <c r="AG96" s="32"/>
      <c r="AH96" s="31"/>
      <c r="AI96" s="30"/>
      <c r="AJ96" s="5492">
        <f t="shared" si="54"/>
        <v>0</v>
      </c>
      <c r="AK96" s="29">
        <f t="shared" si="55"/>
        <v>0</v>
      </c>
      <c r="AL96" s="28" t="str">
        <f t="shared" si="56"/>
        <v/>
      </c>
      <c r="AM96" s="27"/>
      <c r="AN96" s="26">
        <f t="shared" si="57"/>
        <v>0</v>
      </c>
      <c r="AO96" s="25">
        <f t="shared" si="58"/>
        <v>0</v>
      </c>
      <c r="AP96" s="24">
        <f t="shared" si="59"/>
        <v>0</v>
      </c>
      <c r="AQ96" s="23"/>
      <c r="AR96" s="22">
        <f t="shared" si="60"/>
        <v>0</v>
      </c>
      <c r="AS96" s="21"/>
      <c r="AT96" s="13"/>
      <c r="AU96" s="46">
        <f t="shared" si="61"/>
        <v>0</v>
      </c>
      <c r="BB96"/>
      <c r="BC96" s="7637"/>
      <c r="BD96" s="7638"/>
      <c r="BE96" s="128" t="s">
        <v>26</v>
      </c>
      <c r="BF96" s="144" t="str">
        <f>"◄ cellule "&amp;ADDRESS(ROW(BE96),COLUMN(BE96),4)</f>
        <v>◄ cellule BE96</v>
      </c>
      <c r="BG96" s="144"/>
      <c r="BH96" s="143"/>
      <c r="BI96" s="142" t="str">
        <f>LEN(BE96) - LEN(SUBSTITUTE(BE96, " ", "")) + 1&amp;" Mots"</f>
        <v>1 Mots</v>
      </c>
      <c r="BJ96" s="133">
        <f>LEN(BE96)</f>
        <v>1</v>
      </c>
      <c r="BK96" s="62"/>
      <c r="BL96" s="20" t="str">
        <f t="shared" si="50"/>
        <v>►</v>
      </c>
      <c r="BM96" s="62"/>
      <c r="BN96" t="s">
        <v>45</v>
      </c>
      <c r="BO96" s="141"/>
      <c r="BP96" s="141"/>
      <c r="BQ96" s="141"/>
      <c r="BR96" s="141"/>
      <c r="BS96" s="141"/>
      <c r="BT96"/>
      <c r="BU96"/>
      <c r="BV96"/>
      <c r="BW96"/>
      <c r="BX96"/>
      <c r="BY96"/>
      <c r="BZ96"/>
      <c r="CA96"/>
      <c r="CB96"/>
      <c r="CC96"/>
      <c r="CD96"/>
      <c r="CE96"/>
      <c r="CF96"/>
      <c r="CG96"/>
      <c r="CH96"/>
      <c r="CI96"/>
      <c r="CJ96"/>
      <c r="CK96"/>
      <c r="CL96"/>
      <c r="CM96"/>
      <c r="CN96" s="56" t="s">
        <v>1</v>
      </c>
      <c r="CO96" s="5">
        <v>1</v>
      </c>
    </row>
    <row r="97" spans="1:93" s="1" customFormat="1" ht="21" customHeight="1">
      <c r="A97" s="20" t="str">
        <f t="shared" si="62"/>
        <v>►</v>
      </c>
      <c r="B97" s="43" t="str">
        <f t="shared" si="37"/>
        <v>►</v>
      </c>
      <c r="C97" s="45" t="str">
        <f t="shared" si="45"/>
        <v>►</v>
      </c>
      <c r="D97" s="44" t="str">
        <f t="shared" si="46"/>
        <v>►</v>
      </c>
      <c r="E97" s="43" t="str">
        <f t="shared" si="47"/>
        <v>►</v>
      </c>
      <c r="F97" s="43" t="str">
        <f t="shared" si="48"/>
        <v>►</v>
      </c>
      <c r="G97" s="43" t="str">
        <f t="shared" si="49"/>
        <v>►</v>
      </c>
      <c r="H97" s="1256" t="s">
        <v>1</v>
      </c>
      <c r="I97" s="5175" t="s">
        <v>1</v>
      </c>
      <c r="J97" s="5161"/>
      <c r="K97" s="5161"/>
      <c r="L97" s="5161"/>
      <c r="M97" s="5176"/>
      <c r="N97" s="5177"/>
      <c r="O97" s="147"/>
      <c r="P97" s="147"/>
      <c r="Q97" s="102"/>
      <c r="R97" s="102"/>
      <c r="S97" s="1360"/>
      <c r="T97" s="43"/>
      <c r="U97" s="42"/>
      <c r="V97" s="41"/>
      <c r="W97" s="40"/>
      <c r="X97" s="39"/>
      <c r="Y97" s="38"/>
      <c r="Z97" s="37"/>
      <c r="AA97" s="36"/>
      <c r="AB97" s="35"/>
      <c r="AC97" s="34"/>
      <c r="AD97" s="55"/>
      <c r="AE97" s="33"/>
      <c r="AF97"/>
      <c r="AG97" s="32"/>
      <c r="AH97" s="31"/>
      <c r="AI97" s="30"/>
      <c r="AJ97" s="5492">
        <f t="shared" si="54"/>
        <v>0</v>
      </c>
      <c r="AK97" s="54">
        <f t="shared" si="55"/>
        <v>0</v>
      </c>
      <c r="AL97" s="53" t="str">
        <f t="shared" si="56"/>
        <v/>
      </c>
      <c r="AM97" s="52"/>
      <c r="AN97" s="51">
        <f t="shared" si="57"/>
        <v>0</v>
      </c>
      <c r="AO97" s="50">
        <f t="shared" si="58"/>
        <v>0</v>
      </c>
      <c r="AP97" s="49">
        <f t="shared" si="59"/>
        <v>0</v>
      </c>
      <c r="AQ97" s="23"/>
      <c r="AR97" s="48">
        <f t="shared" si="60"/>
        <v>0</v>
      </c>
      <c r="AS97" s="47"/>
      <c r="AT97" s="13"/>
      <c r="AU97" s="46">
        <f t="shared" si="61"/>
        <v>0</v>
      </c>
      <c r="BB97"/>
      <c r="BC97" s="7637"/>
      <c r="BD97" s="7638"/>
      <c r="BE97" s="145" t="s">
        <v>43</v>
      </c>
      <c r="BF97" s="144" t="str">
        <f>"◄ cellule "&amp;ADDRESS(ROW(BE97),COLUMN(BE97),4)</f>
        <v>◄ cellule BE97</v>
      </c>
      <c r="BG97" s="144"/>
      <c r="BH97" s="143"/>
      <c r="BI97" s="142" t="str">
        <f>LEN(BE97) - LEN(SUBSTITUTE(BE97, " ", "")) + 1&amp;" Mots"</f>
        <v>34 Mots</v>
      </c>
      <c r="BJ97" s="133">
        <f>LEN(BE97)</f>
        <v>176</v>
      </c>
      <c r="BK97" s="62"/>
      <c r="BL97" s="20" t="str">
        <f t="shared" si="50"/>
        <v>►</v>
      </c>
      <c r="BM97" s="62"/>
      <c r="BN97" s="148" t="s">
        <v>42</v>
      </c>
      <c r="BO97" s="147"/>
      <c r="BP97" s="147"/>
      <c r="BQ97" s="141"/>
      <c r="BR97" s="141"/>
      <c r="BS97" s="141"/>
      <c r="BT97"/>
      <c r="BU97"/>
      <c r="BV97"/>
      <c r="BW97"/>
      <c r="BX97"/>
      <c r="BY97"/>
      <c r="BZ97"/>
      <c r="CA97"/>
      <c r="CB97"/>
      <c r="CC97"/>
      <c r="CD97"/>
      <c r="CE97"/>
      <c r="CF97"/>
      <c r="CG97"/>
      <c r="CH97"/>
      <c r="CI97"/>
      <c r="CJ97"/>
      <c r="CK97"/>
      <c r="CL97"/>
      <c r="CM97"/>
      <c r="CN97" s="56" t="s">
        <v>1</v>
      </c>
      <c r="CO97" s="5">
        <v>1</v>
      </c>
    </row>
    <row r="98" spans="1:93" s="1" customFormat="1" ht="21" customHeight="1">
      <c r="A98" s="20" t="str">
        <f t="shared" si="62"/>
        <v>►</v>
      </c>
      <c r="B98" s="43" t="str">
        <f t="shared" si="37"/>
        <v>►</v>
      </c>
      <c r="C98" s="45" t="str">
        <f t="shared" si="45"/>
        <v>►</v>
      </c>
      <c r="D98" s="44" t="str">
        <f t="shared" si="46"/>
        <v>►</v>
      </c>
      <c r="E98" s="43" t="str">
        <f t="shared" si="47"/>
        <v>►</v>
      </c>
      <c r="F98" s="43" t="str">
        <f t="shared" si="48"/>
        <v>►</v>
      </c>
      <c r="G98" s="43" t="str">
        <f t="shared" si="49"/>
        <v>►</v>
      </c>
      <c r="H98" s="1256" t="s">
        <v>1</v>
      </c>
      <c r="I98" s="5175" t="s">
        <v>1</v>
      </c>
      <c r="J98" s="5161"/>
      <c r="K98" s="5161"/>
      <c r="L98" s="5161"/>
      <c r="M98" s="5176"/>
      <c r="N98" s="5177"/>
      <c r="O98" s="147"/>
      <c r="P98" s="147"/>
      <c r="Q98" s="102"/>
      <c r="R98" s="102"/>
      <c r="S98" s="1360"/>
      <c r="T98" s="43"/>
      <c r="U98" s="42"/>
      <c r="V98" s="41"/>
      <c r="W98" s="40"/>
      <c r="X98" s="39"/>
      <c r="Y98" s="38"/>
      <c r="Z98" s="37"/>
      <c r="AA98" s="36"/>
      <c r="AB98" s="35"/>
      <c r="AC98" s="34"/>
      <c r="AD98" s="55"/>
      <c r="AE98" s="33"/>
      <c r="AF98"/>
      <c r="AG98" s="32"/>
      <c r="AH98" s="31"/>
      <c r="AI98" s="30"/>
      <c r="AJ98" s="5492">
        <f t="shared" si="54"/>
        <v>0</v>
      </c>
      <c r="AK98" s="29">
        <f t="shared" si="55"/>
        <v>0</v>
      </c>
      <c r="AL98" s="28" t="str">
        <f t="shared" si="56"/>
        <v/>
      </c>
      <c r="AM98" s="27"/>
      <c r="AN98" s="26">
        <f t="shared" si="57"/>
        <v>0</v>
      </c>
      <c r="AO98" s="25">
        <f t="shared" si="58"/>
        <v>0</v>
      </c>
      <c r="AP98" s="24">
        <f t="shared" si="59"/>
        <v>0</v>
      </c>
      <c r="AQ98" s="23"/>
      <c r="AR98" s="22">
        <f t="shared" si="60"/>
        <v>0</v>
      </c>
      <c r="AS98" s="21"/>
      <c r="AT98" s="13"/>
      <c r="AU98" s="46">
        <f t="shared" si="61"/>
        <v>0</v>
      </c>
      <c r="BB98"/>
      <c r="BC98" s="7637"/>
      <c r="BD98" s="7638"/>
      <c r="BE98" s="145" t="s">
        <v>40</v>
      </c>
      <c r="BF98" s="144" t="str">
        <f>"◄ cellule "&amp;ADDRESS(ROW(BE98),COLUMN(BE98),4)</f>
        <v>◄ cellule BE98</v>
      </c>
      <c r="BG98" s="144"/>
      <c r="BH98" s="143"/>
      <c r="BI98" s="142" t="str">
        <f>LEN(BE98) - LEN(SUBSTITUTE(BE98, " ", "")) + 1&amp;" Mots"</f>
        <v>25 Mots</v>
      </c>
      <c r="BJ98" s="133">
        <f>LEN(BE98)</f>
        <v>129</v>
      </c>
      <c r="BK98" s="62"/>
      <c r="BL98" s="20" t="str">
        <f t="shared" si="50"/>
        <v>►</v>
      </c>
      <c r="BM98" s="62"/>
      <c r="BN98" s="141"/>
      <c r="BO98" s="141"/>
      <c r="BP98" s="141"/>
      <c r="BQ98" s="141"/>
      <c r="BR98" s="141"/>
      <c r="BS98" s="141"/>
      <c r="BT98"/>
      <c r="BU98"/>
      <c r="BV98"/>
      <c r="BW98"/>
      <c r="BX98"/>
      <c r="BY98"/>
      <c r="BZ98"/>
      <c r="CA98"/>
      <c r="CB98"/>
      <c r="CC98"/>
      <c r="CD98"/>
      <c r="CE98"/>
      <c r="CF98"/>
      <c r="CG98"/>
      <c r="CH98"/>
      <c r="CI98"/>
      <c r="CJ98"/>
      <c r="CK98"/>
      <c r="CL98"/>
      <c r="CM98"/>
      <c r="CN98" s="56" t="s">
        <v>1</v>
      </c>
      <c r="CO98" s="5">
        <v>1</v>
      </c>
    </row>
    <row r="99" spans="1:93" s="1" customFormat="1" ht="21" customHeight="1">
      <c r="A99" s="20" t="str">
        <f t="shared" si="62"/>
        <v>►</v>
      </c>
      <c r="B99" s="43" t="str">
        <f t="shared" si="37"/>
        <v>►</v>
      </c>
      <c r="C99" s="45" t="str">
        <f t="shared" si="45"/>
        <v>►</v>
      </c>
      <c r="D99" s="44" t="str">
        <f t="shared" si="46"/>
        <v>►</v>
      </c>
      <c r="E99" s="43" t="str">
        <f t="shared" si="47"/>
        <v>►</v>
      </c>
      <c r="F99" s="43" t="str">
        <f t="shared" si="48"/>
        <v>►</v>
      </c>
      <c r="G99" s="43" t="str">
        <f t="shared" si="49"/>
        <v>►</v>
      </c>
      <c r="H99" s="1256" t="s">
        <v>1</v>
      </c>
      <c r="I99" s="5175" t="s">
        <v>1</v>
      </c>
      <c r="J99" s="5161"/>
      <c r="K99" s="5161"/>
      <c r="L99" s="5161"/>
      <c r="M99" s="5176"/>
      <c r="N99" s="5177"/>
      <c r="O99" s="147"/>
      <c r="P99" s="147"/>
      <c r="Q99" s="102"/>
      <c r="R99" s="102"/>
      <c r="S99" s="1360"/>
      <c r="T99" s="43"/>
      <c r="U99" s="42"/>
      <c r="V99" s="41"/>
      <c r="W99" s="40"/>
      <c r="X99" s="39"/>
      <c r="Y99" s="38"/>
      <c r="Z99" s="37"/>
      <c r="AA99" s="36"/>
      <c r="AB99" s="35"/>
      <c r="AC99" s="34"/>
      <c r="AD99" s="55"/>
      <c r="AE99" s="33"/>
      <c r="AF99"/>
      <c r="AG99" s="32"/>
      <c r="AH99" s="31"/>
      <c r="AI99" s="30"/>
      <c r="AJ99" s="5492">
        <f t="shared" si="54"/>
        <v>0</v>
      </c>
      <c r="AK99" s="54">
        <f t="shared" si="55"/>
        <v>0</v>
      </c>
      <c r="AL99" s="53" t="str">
        <f t="shared" si="56"/>
        <v/>
      </c>
      <c r="AM99" s="52"/>
      <c r="AN99" s="51">
        <f t="shared" si="57"/>
        <v>0</v>
      </c>
      <c r="AO99" s="50">
        <f t="shared" si="58"/>
        <v>0</v>
      </c>
      <c r="AP99" s="49">
        <f t="shared" si="59"/>
        <v>0</v>
      </c>
      <c r="AQ99" s="23"/>
      <c r="AR99" s="48">
        <f t="shared" si="60"/>
        <v>0</v>
      </c>
      <c r="AS99" s="47"/>
      <c r="AT99" s="13"/>
      <c r="AU99" s="46">
        <f t="shared" si="61"/>
        <v>0</v>
      </c>
      <c r="BB99"/>
      <c r="BC99" s="139" t="s">
        <v>38</v>
      </c>
      <c r="BD99" s="138"/>
      <c r="BE99" s="137" t="s">
        <v>1</v>
      </c>
      <c r="BF99" s="136"/>
      <c r="BG99" s="135"/>
      <c r="BH99" s="135"/>
      <c r="BI99" s="134" t="s">
        <v>37</v>
      </c>
      <c r="BJ99" s="133">
        <f>SUM(BJ95:BJ98)</f>
        <v>860</v>
      </c>
      <c r="BK99" s="62"/>
      <c r="BL99" s="20" t="str">
        <f t="shared" si="50"/>
        <v>►</v>
      </c>
      <c r="BM99" s="62"/>
      <c r="BN99"/>
      <c r="BO99"/>
      <c r="BP99"/>
      <c r="BQ99"/>
      <c r="BR99"/>
      <c r="BS99"/>
      <c r="BT99"/>
      <c r="BU99"/>
      <c r="BV99"/>
      <c r="BW99"/>
      <c r="BX99"/>
      <c r="BY99"/>
      <c r="BZ99"/>
      <c r="CA99"/>
      <c r="CB99"/>
      <c r="CC99"/>
      <c r="CD99"/>
      <c r="CE99"/>
      <c r="CF99"/>
      <c r="CG99"/>
      <c r="CH99"/>
      <c r="CI99"/>
      <c r="CJ99"/>
      <c r="CK99"/>
      <c r="CL99"/>
      <c r="CM99"/>
      <c r="CN99" s="56" t="s">
        <v>1</v>
      </c>
      <c r="CO99" s="5">
        <v>1</v>
      </c>
    </row>
    <row r="100" spans="1:93" s="1" customFormat="1" ht="21" customHeight="1">
      <c r="A100" s="20" t="str">
        <f t="shared" si="62"/>
        <v>►</v>
      </c>
      <c r="B100" s="43" t="str">
        <f t="shared" si="37"/>
        <v>►</v>
      </c>
      <c r="C100" s="45" t="str">
        <f t="shared" si="45"/>
        <v>►</v>
      </c>
      <c r="D100" s="44" t="str">
        <f t="shared" si="46"/>
        <v>►</v>
      </c>
      <c r="E100" s="43" t="str">
        <f t="shared" si="47"/>
        <v>►</v>
      </c>
      <c r="F100" s="43" t="str">
        <f t="shared" si="48"/>
        <v>►</v>
      </c>
      <c r="G100" s="43" t="str">
        <f t="shared" si="49"/>
        <v>►</v>
      </c>
      <c r="H100" s="1256" t="s">
        <v>1</v>
      </c>
      <c r="I100" s="5175" t="s">
        <v>1</v>
      </c>
      <c r="J100" s="5161"/>
      <c r="K100" s="5161"/>
      <c r="L100" s="5161"/>
      <c r="M100" s="5176"/>
      <c r="N100" s="5177"/>
      <c r="O100" s="147"/>
      <c r="P100" s="147"/>
      <c r="Q100" s="102"/>
      <c r="R100" s="102"/>
      <c r="S100" s="1360"/>
      <c r="T100" s="43"/>
      <c r="U100" s="42"/>
      <c r="V100" s="41"/>
      <c r="W100" s="40"/>
      <c r="X100" s="39"/>
      <c r="Y100" s="38"/>
      <c r="Z100" s="37"/>
      <c r="AA100" s="36"/>
      <c r="AB100" s="35"/>
      <c r="AC100" s="34"/>
      <c r="AD100" s="55"/>
      <c r="AE100" s="33"/>
      <c r="AF100"/>
      <c r="AG100" s="32"/>
      <c r="AH100" s="31"/>
      <c r="AI100" s="30"/>
      <c r="AJ100" s="5492">
        <f t="shared" si="54"/>
        <v>0</v>
      </c>
      <c r="AK100" s="29">
        <f t="shared" si="55"/>
        <v>0</v>
      </c>
      <c r="AL100" s="28" t="str">
        <f t="shared" si="56"/>
        <v/>
      </c>
      <c r="AM100" s="27"/>
      <c r="AN100" s="26">
        <f t="shared" si="57"/>
        <v>0</v>
      </c>
      <c r="AO100" s="25">
        <f t="shared" si="58"/>
        <v>0</v>
      </c>
      <c r="AP100" s="24">
        <f t="shared" si="59"/>
        <v>0</v>
      </c>
      <c r="AQ100" s="23"/>
      <c r="AR100" s="22">
        <f t="shared" si="60"/>
        <v>0</v>
      </c>
      <c r="AS100" s="21"/>
      <c r="AT100" s="13"/>
      <c r="AU100" s="46">
        <f t="shared" si="61"/>
        <v>0</v>
      </c>
      <c r="BB100"/>
      <c r="BC100" s="132" t="s">
        <v>35</v>
      </c>
      <c r="BD100" s="131"/>
      <c r="BE100" s="131"/>
      <c r="BF100" s="131"/>
      <c r="BG100" s="131"/>
      <c r="BH100" s="131"/>
      <c r="BI100" s="131"/>
      <c r="BJ100" s="130"/>
      <c r="BK100" s="62"/>
      <c r="BL100" s="20" t="str">
        <f t="shared" si="50"/>
        <v>►</v>
      </c>
      <c r="BM100" s="62"/>
      <c r="BN100"/>
      <c r="BO100"/>
      <c r="BP100"/>
      <c r="BQ100"/>
      <c r="BR100"/>
      <c r="BS100"/>
      <c r="BT100"/>
      <c r="BU100"/>
      <c r="BV100"/>
      <c r="BW100"/>
      <c r="BX100"/>
      <c r="BY100"/>
      <c r="BZ100"/>
      <c r="CA100"/>
      <c r="CB100"/>
      <c r="CC100"/>
      <c r="CD100"/>
      <c r="CE100"/>
      <c r="CF100"/>
      <c r="CG100"/>
      <c r="CH100"/>
      <c r="CI100"/>
      <c r="CJ100"/>
      <c r="CK100"/>
      <c r="CL100"/>
      <c r="CM100"/>
      <c r="CN100" s="56" t="s">
        <v>1</v>
      </c>
      <c r="CO100" s="5">
        <v>1</v>
      </c>
    </row>
    <row r="101" spans="1:93" s="1" customFormat="1" ht="21" customHeight="1">
      <c r="A101" s="20" t="str">
        <f t="shared" si="62"/>
        <v>►</v>
      </c>
      <c r="B101" s="43" t="str">
        <f t="shared" si="37"/>
        <v>►</v>
      </c>
      <c r="C101" s="45" t="str">
        <f t="shared" si="45"/>
        <v>►</v>
      </c>
      <c r="D101" s="44" t="str">
        <f t="shared" si="46"/>
        <v>►</v>
      </c>
      <c r="E101" s="43" t="str">
        <f t="shared" si="47"/>
        <v>►</v>
      </c>
      <c r="F101" s="43" t="str">
        <f t="shared" si="48"/>
        <v>►</v>
      </c>
      <c r="G101" s="43" t="str">
        <f t="shared" si="49"/>
        <v>►</v>
      </c>
      <c r="H101" s="1256" t="s">
        <v>1</v>
      </c>
      <c r="I101" s="5175" t="s">
        <v>1</v>
      </c>
      <c r="J101" s="5161"/>
      <c r="K101" s="5161"/>
      <c r="L101" s="5161"/>
      <c r="M101" s="5176"/>
      <c r="N101" s="5177"/>
      <c r="O101" s="147"/>
      <c r="P101" s="147"/>
      <c r="Q101" s="102"/>
      <c r="R101" s="102"/>
      <c r="S101" s="1360"/>
      <c r="T101" s="43"/>
      <c r="U101" s="42"/>
      <c r="V101" s="41"/>
      <c r="W101" s="40"/>
      <c r="X101" s="39"/>
      <c r="Y101" s="38"/>
      <c r="Z101" s="37"/>
      <c r="AA101" s="36"/>
      <c r="AB101" s="35"/>
      <c r="AC101" s="34"/>
      <c r="AD101" s="55"/>
      <c r="AE101" s="33"/>
      <c r="AF101"/>
      <c r="AG101" s="32"/>
      <c r="AH101" s="31"/>
      <c r="AI101" s="30"/>
      <c r="AJ101" s="5492">
        <f t="shared" si="54"/>
        <v>0</v>
      </c>
      <c r="AK101" s="54">
        <f t="shared" si="55"/>
        <v>0</v>
      </c>
      <c r="AL101" s="53" t="str">
        <f t="shared" si="56"/>
        <v/>
      </c>
      <c r="AM101" s="52"/>
      <c r="AN101" s="51">
        <f t="shared" si="57"/>
        <v>0</v>
      </c>
      <c r="AO101" s="50">
        <f t="shared" si="58"/>
        <v>0</v>
      </c>
      <c r="AP101" s="49">
        <f t="shared" si="59"/>
        <v>0</v>
      </c>
      <c r="AQ101" s="23"/>
      <c r="AR101" s="48">
        <f t="shared" si="60"/>
        <v>0</v>
      </c>
      <c r="AS101" s="47"/>
      <c r="AT101" s="13"/>
      <c r="AU101" s="46">
        <f t="shared" si="61"/>
        <v>0</v>
      </c>
      <c r="BB101"/>
      <c r="BC101" s="129" t="s">
        <v>33</v>
      </c>
      <c r="BD101" s="5469" t="s">
        <v>32</v>
      </c>
      <c r="BE101" s="128" t="s">
        <v>26</v>
      </c>
      <c r="BF101" s="127" t="s">
        <v>31</v>
      </c>
      <c r="BG101" s="127"/>
      <c r="BH101" s="127"/>
      <c r="BI101" s="127"/>
      <c r="BJ101" s="126"/>
      <c r="BK101" s="62"/>
      <c r="BL101" s="20" t="str">
        <f t="shared" si="50"/>
        <v>►</v>
      </c>
      <c r="BM101" s="62"/>
      <c r="BN101"/>
      <c r="BO101"/>
      <c r="BP101"/>
      <c r="BQ101"/>
      <c r="BR101"/>
      <c r="BS101"/>
      <c r="BT101"/>
      <c r="BU101"/>
      <c r="BV101"/>
      <c r="BW101"/>
      <c r="BX101"/>
      <c r="BY101"/>
      <c r="BZ101"/>
      <c r="CA101"/>
      <c r="CB101"/>
      <c r="CC101"/>
      <c r="CD101"/>
      <c r="CE101"/>
      <c r="CF101"/>
      <c r="CG101"/>
      <c r="CH101"/>
      <c r="CI101"/>
      <c r="CJ101"/>
      <c r="CK101"/>
      <c r="CL101"/>
      <c r="CM101"/>
      <c r="CN101" s="56" t="s">
        <v>1</v>
      </c>
      <c r="CO101" s="5">
        <v>1</v>
      </c>
    </row>
    <row r="102" spans="1:93" s="1" customFormat="1" ht="21" customHeight="1">
      <c r="A102" s="20" t="str">
        <f t="shared" si="62"/>
        <v>►</v>
      </c>
      <c r="B102" s="43" t="str">
        <f t="shared" si="37"/>
        <v>►</v>
      </c>
      <c r="C102" s="45" t="str">
        <f t="shared" si="45"/>
        <v>►</v>
      </c>
      <c r="D102" s="44" t="str">
        <f t="shared" si="46"/>
        <v>►</v>
      </c>
      <c r="E102" s="43" t="str">
        <f t="shared" si="47"/>
        <v>►</v>
      </c>
      <c r="F102" s="43" t="str">
        <f t="shared" si="48"/>
        <v>►</v>
      </c>
      <c r="G102" s="43" t="str">
        <f t="shared" si="49"/>
        <v>►</v>
      </c>
      <c r="H102" s="1256" t="s">
        <v>1</v>
      </c>
      <c r="I102" s="5175" t="s">
        <v>1</v>
      </c>
      <c r="J102" s="5161"/>
      <c r="K102" s="5161"/>
      <c r="L102" s="5161"/>
      <c r="M102" s="5176"/>
      <c r="N102" s="5177"/>
      <c r="O102" s="147"/>
      <c r="P102" s="147"/>
      <c r="Q102" s="102"/>
      <c r="R102" s="102"/>
      <c r="S102" s="1360"/>
      <c r="T102" s="43"/>
      <c r="U102" s="42"/>
      <c r="V102" s="41"/>
      <c r="W102" s="40"/>
      <c r="X102" s="39"/>
      <c r="Y102" s="38"/>
      <c r="Z102" s="37"/>
      <c r="AA102" s="36"/>
      <c r="AB102" s="35"/>
      <c r="AC102" s="34"/>
      <c r="AD102" s="55"/>
      <c r="AE102" s="33"/>
      <c r="AF102"/>
      <c r="AG102" s="32"/>
      <c r="AH102" s="31"/>
      <c r="AI102" s="30"/>
      <c r="AJ102" s="5492">
        <f t="shared" si="54"/>
        <v>0</v>
      </c>
      <c r="AK102" s="29">
        <f t="shared" si="55"/>
        <v>0</v>
      </c>
      <c r="AL102" s="28" t="str">
        <f t="shared" si="56"/>
        <v/>
      </c>
      <c r="AM102" s="27"/>
      <c r="AN102" s="26">
        <f t="shared" si="57"/>
        <v>0</v>
      </c>
      <c r="AO102" s="25">
        <f t="shared" si="58"/>
        <v>0</v>
      </c>
      <c r="AP102" s="24">
        <f t="shared" si="59"/>
        <v>0</v>
      </c>
      <c r="AQ102" s="23"/>
      <c r="AR102" s="22">
        <f t="shared" si="60"/>
        <v>0</v>
      </c>
      <c r="AS102" s="21"/>
      <c r="AT102" s="13"/>
      <c r="AU102" s="46">
        <f t="shared" si="61"/>
        <v>0</v>
      </c>
      <c r="BB102"/>
      <c r="BC102" s="125">
        <f>SUM(BC103:BC154)</f>
        <v>851</v>
      </c>
      <c r="BD102" s="124">
        <v>0</v>
      </c>
      <c r="BE102" s="123" t="str">
        <f>"colonne  "&amp;SUBSTITUTE(ADDRESS(1,COLUMN(),4),"1","")</f>
        <v>colonne  BE</v>
      </c>
      <c r="BF102" s="122" t="s">
        <v>1</v>
      </c>
      <c r="BG102" s="121" t="s">
        <v>29</v>
      </c>
      <c r="BH102" s="120" t="s">
        <v>28</v>
      </c>
      <c r="BI102" s="120" t="s">
        <v>27</v>
      </c>
      <c r="BJ102" s="119"/>
      <c r="BK102" s="62"/>
      <c r="BL102" s="20" t="str">
        <f t="shared" si="50"/>
        <v>►</v>
      </c>
      <c r="BM102" s="62"/>
      <c r="BN102"/>
      <c r="BO102"/>
      <c r="BP102"/>
      <c r="BQ102"/>
      <c r="BR102"/>
      <c r="BS102"/>
      <c r="BT102"/>
      <c r="BU102"/>
      <c r="BV102"/>
      <c r="BW102"/>
      <c r="BX102"/>
      <c r="BY102"/>
      <c r="BZ102"/>
      <c r="CA102"/>
      <c r="CB102"/>
      <c r="CC102"/>
      <c r="CD102"/>
      <c r="CE102"/>
      <c r="CF102"/>
      <c r="CG102"/>
      <c r="CH102"/>
      <c r="CI102"/>
      <c r="CJ102"/>
      <c r="CK102"/>
      <c r="CL102"/>
      <c r="CM102"/>
      <c r="CN102" s="56" t="s">
        <v>1</v>
      </c>
      <c r="CO102" s="5">
        <v>1</v>
      </c>
    </row>
    <row r="103" spans="1:93" s="1" customFormat="1" ht="21" customHeight="1">
      <c r="A103" s="20" t="str">
        <f t="shared" si="62"/>
        <v>►</v>
      </c>
      <c r="B103" s="43" t="str">
        <f t="shared" si="37"/>
        <v>►</v>
      </c>
      <c r="C103" s="45" t="str">
        <f t="shared" si="45"/>
        <v>►</v>
      </c>
      <c r="D103" s="44" t="str">
        <f t="shared" si="46"/>
        <v>►</v>
      </c>
      <c r="E103" s="43" t="str">
        <f t="shared" si="47"/>
        <v>►</v>
      </c>
      <c r="F103" s="43" t="str">
        <f t="shared" si="48"/>
        <v>►</v>
      </c>
      <c r="G103" s="43" t="str">
        <f t="shared" si="49"/>
        <v>►</v>
      </c>
      <c r="H103" s="1256" t="s">
        <v>1</v>
      </c>
      <c r="I103" s="5175" t="s">
        <v>1</v>
      </c>
      <c r="J103" s="5161"/>
      <c r="K103" s="5161"/>
      <c r="L103" s="5161"/>
      <c r="M103" s="5176"/>
      <c r="N103" s="5177"/>
      <c r="O103" s="147"/>
      <c r="P103" s="147"/>
      <c r="Q103" s="102"/>
      <c r="R103" s="102"/>
      <c r="S103" s="1360"/>
      <c r="T103" s="43"/>
      <c r="U103" s="42"/>
      <c r="V103" s="41"/>
      <c r="W103" s="40"/>
      <c r="X103" s="39"/>
      <c r="Y103" s="38"/>
      <c r="Z103" s="37"/>
      <c r="AA103" s="36"/>
      <c r="AB103" s="35"/>
      <c r="AC103" s="34"/>
      <c r="AD103" s="55"/>
      <c r="AE103" s="33"/>
      <c r="AF103"/>
      <c r="AG103" s="32"/>
      <c r="AH103" s="31"/>
      <c r="AI103" s="30"/>
      <c r="AJ103" s="5492">
        <f t="shared" si="54"/>
        <v>0</v>
      </c>
      <c r="AK103" s="54">
        <f t="shared" si="55"/>
        <v>0</v>
      </c>
      <c r="AL103" s="53" t="str">
        <f t="shared" si="56"/>
        <v/>
      </c>
      <c r="AM103" s="52"/>
      <c r="AN103" s="51">
        <f t="shared" si="57"/>
        <v>0</v>
      </c>
      <c r="AO103" s="50">
        <f t="shared" si="58"/>
        <v>0</v>
      </c>
      <c r="AP103" s="49">
        <f t="shared" si="59"/>
        <v>0</v>
      </c>
      <c r="AQ103" s="23"/>
      <c r="AR103" s="48">
        <f t="shared" si="60"/>
        <v>0</v>
      </c>
      <c r="AS103" s="47"/>
      <c r="AT103" s="13"/>
      <c r="AU103" s="46">
        <f t="shared" si="61"/>
        <v>0</v>
      </c>
      <c r="BB103"/>
      <c r="BC103" s="79">
        <f>IF(BE103=BE101,1,LEN(BE103))</f>
        <v>99</v>
      </c>
      <c r="BD103" s="78" cm="1">
        <f t="array" ref="BD103">IF(BG103="", "", IFERROR(MAX(IF(ISNUMBER(BD102:BD102), BD102:BD102)) + 1, ""))</f>
        <v>1</v>
      </c>
      <c r="BE103" s="77" t="str" cm="1">
        <f t="array" ref="BE103">IFERROR(INDEX(BG103:BG154, MATCH(ROW()-MIN(ROW(BG103:BG154))+1, BD103:BD154, 0)), "")</f>
        <v>1  Le texte collé dans le cadre est découpé en plusieurs lignes en fonction du nombre de caractères</v>
      </c>
      <c r="BF103" s="5489">
        <f t="shared" ref="BF103:BF154" si="63">IF(BC103&gt;0,1,0)</f>
        <v>1</v>
      </c>
      <c r="BG103" s="90" t="str">
        <f t="shared" ref="BG103:BG154" si="64">IFERROR(IF(BI103=0, "", BI103), "")</f>
        <v>1  Le texte collé dans le cadre est découpé en plusieurs lignes en fonction du nombre de caractères</v>
      </c>
      <c r="BH103" s="86" t="str">
        <f>BE95</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3" s="117" t="str">
        <f>IF(AND(BH103&lt;&gt;"", BH107&lt;&gt;""), IF(LEN(BH103)&lt;BH107, BH103, IFERROR(LEFT(BH106, IF(ISNUMBER(FIND(" ", BH106)), FIND(" ", BH106 &amp; " ", BH107) - 1, LEN(BH106))), "")), "")</f>
        <v>1  Le texte collé dans le cadre est découpé en plusieurs lignes en fonction du nombre de caractères</v>
      </c>
      <c r="BJ103" s="100" t="str">
        <f>IF(BI103="","",RIGHT(BH106,LEN(BH106)-LEN(BI103)-1))</f>
        <v xml:space="preserve">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3" s="62"/>
      <c r="BL103" s="20" t="str">
        <f t="shared" si="50"/>
        <v>►</v>
      </c>
      <c r="BM103" s="62"/>
      <c r="BN103"/>
      <c r="BO103"/>
      <c r="BP103"/>
      <c r="BQ103"/>
      <c r="BR103"/>
      <c r="BS103"/>
      <c r="BT103"/>
      <c r="BU103"/>
      <c r="BV103"/>
      <c r="BW103"/>
      <c r="BX103"/>
      <c r="BY103"/>
      <c r="BZ103"/>
      <c r="CA103"/>
      <c r="CB103"/>
      <c r="CC103"/>
      <c r="CD103"/>
      <c r="CE103"/>
      <c r="CF103"/>
      <c r="CG103"/>
      <c r="CH103"/>
      <c r="CI103"/>
      <c r="CJ103"/>
      <c r="CK103"/>
      <c r="CL103"/>
      <c r="CM103"/>
      <c r="CN103" s="56" t="s">
        <v>1</v>
      </c>
      <c r="CO103" s="5">
        <v>1</v>
      </c>
    </row>
    <row r="104" spans="1:93" s="1" customFormat="1" ht="21" customHeight="1">
      <c r="A104" s="20" t="str">
        <f t="shared" si="62"/>
        <v>►</v>
      </c>
      <c r="B104" s="43" t="str">
        <f t="shared" si="37"/>
        <v>►</v>
      </c>
      <c r="C104" s="45" t="str">
        <f t="shared" si="45"/>
        <v>►</v>
      </c>
      <c r="D104" s="44" t="str">
        <f t="shared" si="46"/>
        <v>►</v>
      </c>
      <c r="E104" s="43" t="str">
        <f t="shared" si="47"/>
        <v>►</v>
      </c>
      <c r="F104" s="43" t="str">
        <f t="shared" si="48"/>
        <v>►</v>
      </c>
      <c r="G104" s="43" t="str">
        <f t="shared" si="49"/>
        <v>►</v>
      </c>
      <c r="H104" s="1256" t="s">
        <v>1</v>
      </c>
      <c r="I104" s="5175" t="s">
        <v>1</v>
      </c>
      <c r="J104" s="5161"/>
      <c r="K104" s="5161"/>
      <c r="L104" s="5161"/>
      <c r="M104" s="5176"/>
      <c r="N104" s="5177"/>
      <c r="O104" s="147"/>
      <c r="P104" s="147"/>
      <c r="Q104" s="102"/>
      <c r="R104" s="102"/>
      <c r="S104" s="1360"/>
      <c r="T104" s="43"/>
      <c r="U104" s="42"/>
      <c r="V104" s="41"/>
      <c r="W104" s="40"/>
      <c r="X104" s="39"/>
      <c r="Y104" s="38"/>
      <c r="Z104" s="37"/>
      <c r="AA104" s="36"/>
      <c r="AB104" s="35"/>
      <c r="AC104" s="34"/>
      <c r="AD104" s="55"/>
      <c r="AE104" s="33"/>
      <c r="AF104"/>
      <c r="AG104" s="32"/>
      <c r="AH104" s="31"/>
      <c r="AI104" s="30"/>
      <c r="AJ104" s="5492">
        <f t="shared" si="54"/>
        <v>0</v>
      </c>
      <c r="AK104" s="29">
        <f t="shared" si="55"/>
        <v>0</v>
      </c>
      <c r="AL104" s="28" t="str">
        <f t="shared" si="56"/>
        <v/>
      </c>
      <c r="AM104" s="27"/>
      <c r="AN104" s="26">
        <f t="shared" si="57"/>
        <v>0</v>
      </c>
      <c r="AO104" s="25">
        <f t="shared" si="58"/>
        <v>0</v>
      </c>
      <c r="AP104" s="24">
        <f t="shared" si="59"/>
        <v>0</v>
      </c>
      <c r="AQ104" s="23"/>
      <c r="AR104" s="22">
        <f t="shared" si="60"/>
        <v>0</v>
      </c>
      <c r="AS104" s="21"/>
      <c r="AT104" s="13"/>
      <c r="AU104" s="46">
        <f t="shared" si="61"/>
        <v>0</v>
      </c>
      <c r="BB104"/>
      <c r="BC104" s="79">
        <f>IF(BE104=BE101,1,LEN(BE104))</f>
        <v>85</v>
      </c>
      <c r="BD104" s="78" cm="1">
        <f t="array" ref="BD104">IF(BG104="", "", IFERROR(MAX(IF(ISNUMBER(BD102:BD103), BD102:BD103)) + 1, ""))</f>
        <v>2</v>
      </c>
      <c r="BE104" s="77" t="str" cm="1">
        <f t="array" ref="BE104">IFERROR(INDEX(BG103:BG154, MATCH(ROW()-MIN(ROW(BG103:BG154))+1, BD103:BD154, 0)), "")</f>
        <v xml:space="preserve"> saisis Factionnement sans couper les mots et ajusté à la largeur de votre colonne en</v>
      </c>
      <c r="BF104" s="5489">
        <f t="shared" si="63"/>
        <v>1</v>
      </c>
      <c r="BG104" s="90" t="str">
        <f t="shared" si="64"/>
        <v xml:space="preserve"> saisis Factionnement sans couper les mots et ajusté à la largeur de votre colonne en</v>
      </c>
      <c r="BH104" s="92" t="str">
        <f>SUBSTITUTE(SUBSTITUTE(SUBSTITUTE(SUBSTITUTE(SUBSTITUTE(BH103,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4" s="88" t="str">
        <f>IF(LEN(BJ103)&lt;=BH107,BJ103,LEFT(BJ103,FIND("#",SUBSTITUTE(LEFT(BJ103,BH107+1)," ","#",LEN(LEFT(BJ103,BH107+1))-LEN(SUBSTITUTE(LEFT(BJ103,BH107+1)," ",""))))-1))</f>
        <v xml:space="preserve"> saisis Factionnement sans couper les mots et ajusté à la largeur de votre colonne en</v>
      </c>
      <c r="BJ104" s="87" t="str">
        <f t="shared" ref="BJ104:BJ115" si="65">IF(BI104="","",IFERROR(RIGHT(BJ103,LEN(BJ103)-LEN(BI104)-1),""))</f>
        <v xml:space="preserve">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4" s="62"/>
      <c r="BL104" s="20" t="str">
        <f t="shared" si="50"/>
        <v>►</v>
      </c>
      <c r="BM104" s="62"/>
      <c r="BN104"/>
      <c r="BO104"/>
      <c r="BP104"/>
      <c r="BQ104"/>
      <c r="BR104"/>
      <c r="BS104"/>
      <c r="BT104"/>
      <c r="BU104"/>
      <c r="BV104"/>
      <c r="BW104"/>
      <c r="BX104"/>
      <c r="BY104"/>
      <c r="BZ104"/>
      <c r="CA104"/>
      <c r="CB104"/>
      <c r="CC104"/>
      <c r="CD104"/>
      <c r="CE104"/>
      <c r="CF104"/>
      <c r="CG104"/>
      <c r="CH104"/>
      <c r="CI104"/>
      <c r="CJ104"/>
      <c r="CK104"/>
      <c r="CL104"/>
      <c r="CM104"/>
      <c r="CN104" s="56" t="s">
        <v>1</v>
      </c>
      <c r="CO104" s="5">
        <v>1</v>
      </c>
    </row>
    <row r="105" spans="1:93" s="1" customFormat="1" ht="21" customHeight="1">
      <c r="A105" s="20" t="str">
        <f t="shared" si="62"/>
        <v>►</v>
      </c>
      <c r="B105" s="43" t="str">
        <f t="shared" si="37"/>
        <v>►</v>
      </c>
      <c r="C105" s="45" t="str">
        <f t="shared" si="45"/>
        <v>►</v>
      </c>
      <c r="D105" s="44" t="str">
        <f t="shared" si="46"/>
        <v>►</v>
      </c>
      <c r="E105" s="43" t="str">
        <f t="shared" si="47"/>
        <v>►</v>
      </c>
      <c r="F105" s="43" t="str">
        <f t="shared" si="48"/>
        <v>►</v>
      </c>
      <c r="G105" s="43" t="str">
        <f t="shared" si="49"/>
        <v>►</v>
      </c>
      <c r="H105" s="1256" t="s">
        <v>1</v>
      </c>
      <c r="I105" s="5175" t="s">
        <v>1</v>
      </c>
      <c r="J105" s="5161"/>
      <c r="K105" s="5161"/>
      <c r="L105" s="5161"/>
      <c r="M105" s="5176"/>
      <c r="N105" s="5177"/>
      <c r="O105" s="147"/>
      <c r="P105" s="147"/>
      <c r="Q105" s="102"/>
      <c r="R105" s="102"/>
      <c r="S105" s="1360"/>
      <c r="T105" s="43"/>
      <c r="U105" s="42"/>
      <c r="V105" s="41"/>
      <c r="W105" s="40"/>
      <c r="X105" s="39"/>
      <c r="Y105" s="38"/>
      <c r="Z105" s="37"/>
      <c r="AA105" s="36"/>
      <c r="AB105" s="35"/>
      <c r="AC105" s="34"/>
      <c r="AD105" s="55"/>
      <c r="AE105" s="33"/>
      <c r="AF105"/>
      <c r="AG105" s="32"/>
      <c r="AH105" s="31"/>
      <c r="AI105" s="30"/>
      <c r="AJ105" s="5492">
        <f t="shared" si="54"/>
        <v>0</v>
      </c>
      <c r="AK105" s="54">
        <f t="shared" si="55"/>
        <v>0</v>
      </c>
      <c r="AL105" s="53" t="str">
        <f t="shared" si="56"/>
        <v/>
      </c>
      <c r="AM105" s="52"/>
      <c r="AN105" s="51">
        <f t="shared" si="57"/>
        <v>0</v>
      </c>
      <c r="AO105" s="50">
        <f t="shared" si="58"/>
        <v>0</v>
      </c>
      <c r="AP105" s="49">
        <f t="shared" si="59"/>
        <v>0</v>
      </c>
      <c r="AQ105" s="23"/>
      <c r="AR105" s="48">
        <f t="shared" si="60"/>
        <v>0</v>
      </c>
      <c r="AS105" s="47"/>
      <c r="AT105" s="13"/>
      <c r="AU105" s="46">
        <f t="shared" si="61"/>
        <v>0</v>
      </c>
      <c r="BB105"/>
      <c r="BC105" s="79">
        <f>IF(BE105=BE101,1,LEN(BE105))</f>
        <v>83</v>
      </c>
      <c r="BD105" s="78" cm="1">
        <f t="array" ref="BD105">IF(BG105="", "", IFERROR(MAX(IF(ISNUMBER(BD102:BD104), BD102:BD104)) + 1, ""))</f>
        <v>3</v>
      </c>
      <c r="BE105" s="77" t="str" cm="1">
        <f t="array" ref="BE105">IFERROR(INDEX(BG103:BG154, MATCH(ROW()-MIN(ROW(BG103:BG154))+1, BD103:BD154, 0)), "")</f>
        <v xml:space="preserve"> supprimant les lignes vides Saisissez un nombre de caractères pour que le texte ne</v>
      </c>
      <c r="BF105" s="5489">
        <f t="shared" si="63"/>
        <v>1</v>
      </c>
      <c r="BG105" s="90" t="str">
        <f t="shared" si="64"/>
        <v xml:space="preserve"> supprimant les lignes vides Saisissez un nombre de caractères pour que le texte ne</v>
      </c>
      <c r="BH105" s="92" t="str">
        <f>IFERROR(SUBSTITUTE(SUBSTITUTE(SUBSTITUTE(SUBSTITUTE(SUBSTITUTE(SUBSTITUTE(BH104, ",", " "), ".", " "), ";", " "), "-", " "), ":", " "), "?", " "), BH104)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5" s="88" t="str">
        <f>IF(LEN(BJ104)&lt;=BH107,BJ104,LEFT(BJ104,FIND("#",SUBSTITUTE(LEFT(BJ104,BH107+1)," ","#",LEN(LEFT(BJ104,BH107+1))-LEN(SUBSTITUTE(LEFT(BJ104,BH107+1)," ",""))))-1))</f>
        <v xml:space="preserve"> supprimant les lignes vides Saisissez un nombre de caractères pour que le texte ne</v>
      </c>
      <c r="BJ105" s="87" t="str">
        <f t="shared" si="65"/>
        <v xml:space="preserv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K105" s="62"/>
      <c r="BL105" s="20" t="str">
        <f t="shared" si="50"/>
        <v>►</v>
      </c>
      <c r="BM105" s="62"/>
      <c r="BN105"/>
      <c r="BO105"/>
      <c r="BP105"/>
      <c r="BQ105"/>
      <c r="BR105"/>
      <c r="BS105"/>
      <c r="BT105"/>
      <c r="BU105"/>
      <c r="BV105"/>
      <c r="BW105"/>
      <c r="BX105"/>
      <c r="BY105"/>
      <c r="BZ105"/>
      <c r="CA105"/>
      <c r="CB105"/>
      <c r="CC105"/>
      <c r="CD105"/>
      <c r="CE105"/>
      <c r="CF105"/>
      <c r="CG105"/>
      <c r="CH105"/>
      <c r="CI105"/>
      <c r="CJ105"/>
      <c r="CK105"/>
      <c r="CL105"/>
      <c r="CM105"/>
      <c r="CN105" s="56" t="s">
        <v>1</v>
      </c>
      <c r="CO105" s="5">
        <v>1</v>
      </c>
    </row>
    <row r="106" spans="1:93" s="1" customFormat="1" ht="21" customHeight="1">
      <c r="A106" s="20" t="str">
        <f t="shared" si="62"/>
        <v>►</v>
      </c>
      <c r="B106" s="43" t="str">
        <f t="shared" si="37"/>
        <v>►</v>
      </c>
      <c r="C106" s="45" t="str">
        <f t="shared" si="45"/>
        <v>►</v>
      </c>
      <c r="D106" s="44" t="str">
        <f t="shared" si="46"/>
        <v>►</v>
      </c>
      <c r="E106" s="43" t="str">
        <f t="shared" si="47"/>
        <v>►</v>
      </c>
      <c r="F106" s="43" t="str">
        <f t="shared" si="48"/>
        <v>►</v>
      </c>
      <c r="G106" s="43" t="str">
        <f t="shared" si="49"/>
        <v>►</v>
      </c>
      <c r="H106" s="1256" t="s">
        <v>1</v>
      </c>
      <c r="I106" s="5175" t="s">
        <v>1</v>
      </c>
      <c r="J106" s="5161"/>
      <c r="K106" s="5161"/>
      <c r="L106" s="5161"/>
      <c r="M106" s="5176"/>
      <c r="N106" s="5177"/>
      <c r="O106" s="147"/>
      <c r="P106" s="147"/>
      <c r="Q106" s="102"/>
      <c r="R106" s="102"/>
      <c r="S106" s="1360"/>
      <c r="T106" s="43"/>
      <c r="U106" s="42"/>
      <c r="V106" s="41"/>
      <c r="W106" s="40"/>
      <c r="X106" s="39"/>
      <c r="Y106" s="38"/>
      <c r="Z106" s="37"/>
      <c r="AA106" s="36"/>
      <c r="AB106" s="35"/>
      <c r="AC106" s="34"/>
      <c r="AD106" s="55"/>
      <c r="AE106" s="33"/>
      <c r="AF106"/>
      <c r="AG106" s="32"/>
      <c r="AH106" s="31"/>
      <c r="AI106" s="30"/>
      <c r="AJ106" s="5492">
        <f t="shared" si="54"/>
        <v>0</v>
      </c>
      <c r="AK106" s="29">
        <f t="shared" si="55"/>
        <v>0</v>
      </c>
      <c r="AL106" s="28" t="str">
        <f t="shared" si="56"/>
        <v/>
      </c>
      <c r="AM106" s="27"/>
      <c r="AN106" s="26">
        <f t="shared" si="57"/>
        <v>0</v>
      </c>
      <c r="AO106" s="25">
        <f t="shared" si="58"/>
        <v>0</v>
      </c>
      <c r="AP106" s="24">
        <f t="shared" si="59"/>
        <v>0</v>
      </c>
      <c r="AQ106" s="23"/>
      <c r="AR106" s="22">
        <f t="shared" si="60"/>
        <v>0</v>
      </c>
      <c r="AS106" s="21"/>
      <c r="AT106" s="13"/>
      <c r="AU106" s="46">
        <f t="shared" si="61"/>
        <v>0</v>
      </c>
      <c r="BB106"/>
      <c r="BC106" s="79">
        <f>IF(BE106=BE101,1,LEN(BE106))</f>
        <v>84</v>
      </c>
      <c r="BD106" s="78" cm="1">
        <f t="array" ref="BD106">IF(BG106="", "", IFERROR(MAX(IF(ISNUMBER(BD102:BD105), BD102:BD105)) + 1, ""))</f>
        <v>4</v>
      </c>
      <c r="BE106" s="77" t="str" cm="1">
        <f t="array" ref="BE106">IFERROR(INDEX(BG103:BG154, MATCH(ROW()-MIN(ROW(BG103:BG154))+1, BD103:BD154, 0)), "")</f>
        <v xml:space="preserve"> déborde pas de la colonne avec une police Calibri taille 11 vous aurez davantage de</v>
      </c>
      <c r="BF106" s="5489">
        <f t="shared" si="63"/>
        <v>1</v>
      </c>
      <c r="BG106" s="90" t="str">
        <f t="shared" si="64"/>
        <v xml:space="preserve"> déborde pas de la colonne avec une police Calibri taille 11 vous aurez davantage de</v>
      </c>
      <c r="BH106" s="92" t="str">
        <f>IFERROR(SUBSTITUTE(SUBSTITUTE(SUBSTITUTE(SUBSTITUTE(BH105, " , ", " "), ";", " "), "  ", " "), " ", " "), BH105)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I106" s="88" t="str">
        <f>IF(LEN(BJ105)&lt;=BH107,BJ105,LEFT(BJ105,FIND("#",SUBSTITUTE(LEFT(BJ105,BH107+1)," ","#",LEN(LEFT(BJ105,BH107+1))-LEN(SUBSTITUTE(LEFT(BJ105,BH107+1)," ",""))))-1))</f>
        <v xml:space="preserve"> déborde pas de la colonne avec une police Calibri taille 11 vous aurez davantage de</v>
      </c>
      <c r="BJ106" s="87" t="str">
        <f t="shared" si="65"/>
        <v xml:space="preserve"> caractères par lignes à vous de choisir votre police Lorsque vous masquez des lignes ou colonnes ou que vous saisssez une nouvelle valeur appuyez sur la touche F9 pour forcer Excel à recalculer 🔃</v>
      </c>
      <c r="BK106" s="62"/>
      <c r="BL106" s="20" t="str">
        <f t="shared" si="50"/>
        <v>►</v>
      </c>
      <c r="BM106" s="62"/>
      <c r="BN106"/>
      <c r="BO106"/>
      <c r="BP106"/>
      <c r="BQ106"/>
      <c r="BR106"/>
      <c r="BS106"/>
      <c r="BT106"/>
      <c r="BU106"/>
      <c r="BV106"/>
      <c r="BW106"/>
      <c r="BX106"/>
      <c r="BY106"/>
      <c r="BZ106"/>
      <c r="CA106"/>
      <c r="CB106"/>
      <c r="CC106"/>
      <c r="CD106"/>
      <c r="CE106"/>
      <c r="CF106"/>
      <c r="CG106"/>
      <c r="CH106"/>
      <c r="CI106"/>
      <c r="CJ106"/>
      <c r="CK106"/>
      <c r="CL106"/>
      <c r="CM106"/>
      <c r="CN106" s="56" t="s">
        <v>1</v>
      </c>
      <c r="CO106" s="5">
        <v>1</v>
      </c>
    </row>
    <row r="107" spans="1:93" s="1" customFormat="1" ht="21" customHeight="1">
      <c r="A107" s="20" t="str">
        <f t="shared" si="62"/>
        <v>►</v>
      </c>
      <c r="B107" s="43" t="str">
        <f t="shared" si="37"/>
        <v>►</v>
      </c>
      <c r="C107" s="45" t="str">
        <f t="shared" si="45"/>
        <v>►</v>
      </c>
      <c r="D107" s="44" t="str">
        <f t="shared" si="46"/>
        <v>►</v>
      </c>
      <c r="E107" s="43" t="str">
        <f t="shared" si="47"/>
        <v>►</v>
      </c>
      <c r="F107" s="43" t="str">
        <f t="shared" si="48"/>
        <v>►</v>
      </c>
      <c r="G107" s="43" t="str">
        <f t="shared" si="49"/>
        <v>►</v>
      </c>
      <c r="H107" s="1256" t="s">
        <v>1</v>
      </c>
      <c r="I107" s="5175" t="s">
        <v>1</v>
      </c>
      <c r="J107" s="5161"/>
      <c r="K107" s="5161"/>
      <c r="L107" s="5161"/>
      <c r="M107" s="5176"/>
      <c r="N107" s="5177"/>
      <c r="O107" s="147"/>
      <c r="P107" s="147"/>
      <c r="Q107" s="102"/>
      <c r="R107" s="102"/>
      <c r="S107" s="1360"/>
      <c r="T107" s="43"/>
      <c r="U107" s="42"/>
      <c r="V107" s="41"/>
      <c r="W107" s="40"/>
      <c r="X107" s="39"/>
      <c r="Y107" s="38"/>
      <c r="Z107" s="37"/>
      <c r="AA107" s="36"/>
      <c r="AB107" s="35"/>
      <c r="AC107" s="34"/>
      <c r="AD107" s="55"/>
      <c r="AE107" s="33"/>
      <c r="AF107"/>
      <c r="AG107" s="32"/>
      <c r="AH107" s="31"/>
      <c r="AI107" s="30"/>
      <c r="AJ107" s="5492">
        <f t="shared" si="54"/>
        <v>0</v>
      </c>
      <c r="AK107" s="54">
        <f t="shared" si="55"/>
        <v>0</v>
      </c>
      <c r="AL107" s="53" t="str">
        <f t="shared" si="56"/>
        <v/>
      </c>
      <c r="AM107" s="52"/>
      <c r="AN107" s="51">
        <f t="shared" si="57"/>
        <v>0</v>
      </c>
      <c r="AO107" s="50">
        <f t="shared" si="58"/>
        <v>0</v>
      </c>
      <c r="AP107" s="49">
        <f t="shared" si="59"/>
        <v>0</v>
      </c>
      <c r="AQ107" s="23"/>
      <c r="AR107" s="48">
        <f t="shared" si="60"/>
        <v>0</v>
      </c>
      <c r="AS107" s="47"/>
      <c r="AT107" s="13"/>
      <c r="AU107" s="46">
        <f t="shared" si="61"/>
        <v>0</v>
      </c>
      <c r="BB107"/>
      <c r="BC107" s="79">
        <f>IF(BE107=BE101,1,LEN(BE107))</f>
        <v>88</v>
      </c>
      <c r="BD107" s="78" cm="1">
        <f t="array" ref="BD107">IF(BG107="", "", IFERROR(MAX(IF(ISNUMBER(BD102:BD106), BD102:BD106)) + 1, ""))</f>
        <v>5</v>
      </c>
      <c r="BE107" s="77" t="str" cm="1">
        <f t="array" ref="BE107">IFERROR(INDEX(BG103:BG154, MATCH(ROW()-MIN(ROW(BG103:BG154))+1, BD103:BD154, 0)), "")</f>
        <v xml:space="preserve"> caractères par lignes à vous de choisir votre police Lorsque vous masquez des lignes ou</v>
      </c>
      <c r="BF107" s="5489">
        <f t="shared" si="63"/>
        <v>1</v>
      </c>
      <c r="BG107" s="90" t="str">
        <f t="shared" si="64"/>
        <v xml:space="preserve"> caractères par lignes à vous de choisir votre police Lorsque vous masquez des lignes ou</v>
      </c>
      <c r="BH107" s="84">
        <f>BE92</f>
        <v>90</v>
      </c>
      <c r="BI107" s="88" t="str">
        <f>IF(LEN(BJ106)&lt;=BH107,BJ106,LEFT(BJ106,FIND("#",SUBSTITUTE(LEFT(BJ106,BH107+1)," ","#",LEN(LEFT(BJ106,BH107+1))-LEN(SUBSTITUTE(LEFT(BJ106,BH107+1)," ",""))))-1))</f>
        <v xml:space="preserve"> caractères par lignes à vous de choisir votre police Lorsque vous masquez des lignes ou</v>
      </c>
      <c r="BJ107" s="87" t="str">
        <f t="shared" si="65"/>
        <v xml:space="preserve"> colonnes ou que vous saisssez une nouvelle valeur appuyez sur la touche F9 pour forcer Excel à recalculer 🔃</v>
      </c>
      <c r="BK107" s="62"/>
      <c r="BL107" s="20" t="str">
        <f t="shared" si="50"/>
        <v>►</v>
      </c>
      <c r="BM107" s="62"/>
      <c r="BN107"/>
      <c r="BO107"/>
      <c r="BP107"/>
      <c r="BQ107"/>
      <c r="BR107"/>
      <c r="BS107"/>
      <c r="BT107"/>
      <c r="BU107"/>
      <c r="BV107"/>
      <c r="BW107"/>
      <c r="BX107"/>
      <c r="BY107"/>
      <c r="BZ107"/>
      <c r="CA107"/>
      <c r="CB107"/>
      <c r="CC107"/>
      <c r="CD107"/>
      <c r="CE107"/>
      <c r="CF107"/>
      <c r="CG107"/>
      <c r="CH107"/>
      <c r="CI107"/>
      <c r="CJ107"/>
      <c r="CK107"/>
      <c r="CL107"/>
      <c r="CM107"/>
      <c r="CN107" s="56" t="s">
        <v>1</v>
      </c>
      <c r="CO107" s="5">
        <v>1</v>
      </c>
    </row>
    <row r="108" spans="1:93" s="1" customFormat="1" ht="21" customHeight="1">
      <c r="A108" s="20" t="str">
        <f t="shared" si="62"/>
        <v>►</v>
      </c>
      <c r="B108" s="43" t="str">
        <f t="shared" si="37"/>
        <v>►</v>
      </c>
      <c r="C108" s="45" t="str">
        <f t="shared" si="45"/>
        <v>►</v>
      </c>
      <c r="D108" s="44" t="str">
        <f t="shared" si="46"/>
        <v>►</v>
      </c>
      <c r="E108" s="43" t="str">
        <f t="shared" si="47"/>
        <v>►</v>
      </c>
      <c r="F108" s="43" t="str">
        <f t="shared" si="48"/>
        <v>►</v>
      </c>
      <c r="G108" s="43" t="str">
        <f t="shared" si="49"/>
        <v>►</v>
      </c>
      <c r="H108" s="1256" t="s">
        <v>1</v>
      </c>
      <c r="I108" s="5175" t="s">
        <v>1</v>
      </c>
      <c r="J108" s="5161"/>
      <c r="K108" s="5161"/>
      <c r="L108" s="5161"/>
      <c r="M108" s="5176"/>
      <c r="N108" s="5177"/>
      <c r="O108" s="147"/>
      <c r="P108" s="147"/>
      <c r="Q108" s="102"/>
      <c r="R108" s="102"/>
      <c r="S108" s="1360"/>
      <c r="T108" s="43"/>
      <c r="U108" s="42"/>
      <c r="V108" s="41"/>
      <c r="W108" s="40"/>
      <c r="X108" s="39"/>
      <c r="Y108" s="38"/>
      <c r="Z108" s="37"/>
      <c r="AA108" s="36"/>
      <c r="AB108" s="35"/>
      <c r="AC108" s="34"/>
      <c r="AD108" s="55"/>
      <c r="AE108" s="33"/>
      <c r="AF108"/>
      <c r="AG108" s="32"/>
      <c r="AH108" s="31"/>
      <c r="AI108" s="30"/>
      <c r="AJ108" s="5492">
        <f t="shared" si="54"/>
        <v>0</v>
      </c>
      <c r="AK108" s="29">
        <f t="shared" si="55"/>
        <v>0</v>
      </c>
      <c r="AL108" s="28" t="str">
        <f t="shared" si="56"/>
        <v/>
      </c>
      <c r="AM108" s="27"/>
      <c r="AN108" s="26">
        <f t="shared" si="57"/>
        <v>0</v>
      </c>
      <c r="AO108" s="25">
        <f t="shared" si="58"/>
        <v>0</v>
      </c>
      <c r="AP108" s="24">
        <f t="shared" si="59"/>
        <v>0</v>
      </c>
      <c r="AQ108" s="23"/>
      <c r="AR108" s="22">
        <f t="shared" si="60"/>
        <v>0</v>
      </c>
      <c r="AS108" s="21"/>
      <c r="AT108" s="13"/>
      <c r="AU108" s="46">
        <f t="shared" si="61"/>
        <v>0</v>
      </c>
      <c r="BB108"/>
      <c r="BC108" s="79">
        <f>IF(BE108=BE101,1,LEN(BE108))</f>
        <v>87</v>
      </c>
      <c r="BD108" s="78" cm="1">
        <f t="array" ref="BD108">IF(BG108="", "", IFERROR(MAX(IF(ISNUMBER(BD102:BD107), BD102:BD107)) + 1, ""))</f>
        <v>6</v>
      </c>
      <c r="BE108" s="77" t="str" cm="1">
        <f t="array" ref="BE108">IFERROR(INDEX(BG103:BG154, MATCH(ROW()-MIN(ROW(BG103:BG154))+1, BD103:BD154, 0)), "")</f>
        <v xml:space="preserve"> colonnes ou que vous saisssez une nouvelle valeur appuyez sur la touche F9 pour forcer</v>
      </c>
      <c r="BF108" s="5489">
        <f t="shared" si="63"/>
        <v>1</v>
      </c>
      <c r="BG108" s="90" t="str">
        <f t="shared" si="64"/>
        <v xml:space="preserve"> colonnes ou que vous saisssez une nouvelle valeur appuyez sur la touche F9 pour forcer</v>
      </c>
      <c r="BH108" s="89"/>
      <c r="BI108" s="88" t="str">
        <f>IF(LEN(BJ107)&lt;=BH107,BJ107,LEFT(BJ107,FIND("#",SUBSTITUTE(LEFT(BJ107,BH107+1)," ","#",LEN(LEFT(BJ107,BH107+1))-LEN(SUBSTITUTE(LEFT(BJ107,BH107+1)," ",""))))-1))</f>
        <v xml:space="preserve"> colonnes ou que vous saisssez une nouvelle valeur appuyez sur la touche F9 pour forcer</v>
      </c>
      <c r="BJ108" s="87" t="str">
        <f t="shared" si="65"/>
        <v xml:space="preserve"> Excel à recalculer 🔃</v>
      </c>
      <c r="BK108" s="62"/>
      <c r="BL108" s="20" t="str">
        <f t="shared" si="50"/>
        <v>►</v>
      </c>
      <c r="BM108" s="62"/>
      <c r="BN108"/>
      <c r="BO108"/>
      <c r="BP108"/>
      <c r="BQ108"/>
      <c r="BR108"/>
      <c r="BS108"/>
      <c r="BT108"/>
      <c r="BU108"/>
      <c r="BV108"/>
      <c r="BW108"/>
      <c r="BX108"/>
      <c r="BY108"/>
      <c r="BZ108"/>
      <c r="CA108"/>
      <c r="CB108"/>
      <c r="CC108"/>
      <c r="CD108"/>
      <c r="CE108"/>
      <c r="CF108"/>
      <c r="CG108"/>
      <c r="CH108"/>
      <c r="CI108"/>
      <c r="CJ108"/>
      <c r="CK108"/>
      <c r="CL108"/>
      <c r="CM108"/>
      <c r="CN108" s="56" t="s">
        <v>1</v>
      </c>
      <c r="CO108" s="5">
        <v>1</v>
      </c>
    </row>
    <row r="109" spans="1:93" s="1" customFormat="1" ht="21" customHeight="1">
      <c r="A109" s="20" t="str">
        <f t="shared" si="62"/>
        <v>►</v>
      </c>
      <c r="B109" s="43" t="str">
        <f t="shared" si="37"/>
        <v>►</v>
      </c>
      <c r="C109" s="45" t="str">
        <f t="shared" si="45"/>
        <v>►</v>
      </c>
      <c r="D109" s="44" t="str">
        <f t="shared" si="46"/>
        <v>►</v>
      </c>
      <c r="E109" s="43" t="str">
        <f t="shared" si="47"/>
        <v>►</v>
      </c>
      <c r="F109" s="43" t="str">
        <f t="shared" si="48"/>
        <v>►</v>
      </c>
      <c r="G109" s="43" t="str">
        <f t="shared" si="49"/>
        <v>►</v>
      </c>
      <c r="H109" s="1256" t="s">
        <v>1</v>
      </c>
      <c r="I109" s="5175" t="s">
        <v>1</v>
      </c>
      <c r="J109" s="5161"/>
      <c r="K109" s="5161"/>
      <c r="L109" s="5161"/>
      <c r="M109" s="5176"/>
      <c r="N109" s="5177"/>
      <c r="O109" s="147"/>
      <c r="P109" s="147"/>
      <c r="Q109" s="102"/>
      <c r="R109" s="102"/>
      <c r="S109" s="1360"/>
      <c r="T109" s="43"/>
      <c r="U109" s="42"/>
      <c r="V109" s="41"/>
      <c r="W109" s="40"/>
      <c r="X109" s="39"/>
      <c r="Y109" s="38"/>
      <c r="Z109" s="37"/>
      <c r="AA109" s="36"/>
      <c r="AB109" s="35"/>
      <c r="AC109" s="34"/>
      <c r="AD109" s="55"/>
      <c r="AE109" s="33"/>
      <c r="AF109"/>
      <c r="AG109" s="32"/>
      <c r="AH109" s="31"/>
      <c r="AI109" s="30"/>
      <c r="AJ109" s="5492">
        <f t="shared" si="54"/>
        <v>0</v>
      </c>
      <c r="AK109" s="54">
        <f t="shared" si="55"/>
        <v>0</v>
      </c>
      <c r="AL109" s="53" t="str">
        <f t="shared" si="56"/>
        <v/>
      </c>
      <c r="AM109" s="52"/>
      <c r="AN109" s="51">
        <f t="shared" si="57"/>
        <v>0</v>
      </c>
      <c r="AO109" s="50">
        <f t="shared" si="58"/>
        <v>0</v>
      </c>
      <c r="AP109" s="49">
        <f t="shared" si="59"/>
        <v>0</v>
      </c>
      <c r="AQ109" s="23"/>
      <c r="AR109" s="48">
        <f t="shared" si="60"/>
        <v>0</v>
      </c>
      <c r="AS109" s="47"/>
      <c r="AT109" s="13"/>
      <c r="AU109" s="46">
        <f t="shared" si="61"/>
        <v>0</v>
      </c>
      <c r="BB109"/>
      <c r="BC109" s="79">
        <f>IF(BE109=BE101,1,LEN(BE109))</f>
        <v>22</v>
      </c>
      <c r="BD109" s="78" cm="1">
        <f t="array" ref="BD109">IF(BG109="", "", IFERROR(MAX(IF(ISNUMBER(BD102:BD108), BD102:BD108)) + 1, ""))</f>
        <v>7</v>
      </c>
      <c r="BE109" s="77" t="str" cm="1">
        <f t="array" ref="BE109">IFERROR(INDEX(BG103:BG154, MATCH(ROW()-MIN(ROW(BG103:BG154))+1, BD103:BD154, 0)), "")</f>
        <v xml:space="preserve"> Excel à recalculer 🔃</v>
      </c>
      <c r="BF109" s="5489">
        <f t="shared" si="63"/>
        <v>1</v>
      </c>
      <c r="BG109" s="90" t="str">
        <f t="shared" si="64"/>
        <v xml:space="preserve"> Excel à recalculer 🔃</v>
      </c>
      <c r="BH109" s="89"/>
      <c r="BI109" s="88" t="str">
        <f>IF(LEN(BJ108)&lt;=BH107,BJ108,LEFT(BJ108,FIND("#",SUBSTITUTE(LEFT(BJ108,BH107+1)," ","#",LEN(LEFT(BJ108,BH107+1))-LEN(SUBSTITUTE(LEFT(BJ108,BH107+1)," ",""))))-1))</f>
        <v xml:space="preserve"> Excel à recalculer 🔃</v>
      </c>
      <c r="BJ109" s="87" t="str">
        <f t="shared" si="65"/>
        <v/>
      </c>
      <c r="BK109" s="62"/>
      <c r="BL109" s="20" t="str">
        <f t="shared" si="50"/>
        <v>►</v>
      </c>
      <c r="BM109" s="62"/>
      <c r="BN109"/>
      <c r="BO109"/>
      <c r="BP109"/>
      <c r="BQ109"/>
      <c r="BR109"/>
      <c r="BS109"/>
      <c r="BT109"/>
      <c r="BU109"/>
      <c r="BV109"/>
      <c r="BW109"/>
      <c r="BX109"/>
      <c r="BY109"/>
      <c r="BZ109"/>
      <c r="CA109"/>
      <c r="CB109"/>
      <c r="CC109"/>
      <c r="CD109"/>
      <c r="CE109"/>
      <c r="CF109"/>
      <c r="CG109"/>
      <c r="CH109"/>
      <c r="CI109"/>
      <c r="CJ109"/>
      <c r="CK109"/>
      <c r="CL109"/>
      <c r="CM109"/>
      <c r="CN109" s="56" t="s">
        <v>1</v>
      </c>
      <c r="CO109" s="5">
        <v>1</v>
      </c>
    </row>
    <row r="110" spans="1:93" s="1" customFormat="1" ht="21" customHeight="1">
      <c r="A110" s="20" t="str">
        <f t="shared" si="62"/>
        <v>►</v>
      </c>
      <c r="B110" s="43" t="str">
        <f t="shared" si="37"/>
        <v>►</v>
      </c>
      <c r="C110" s="45" t="str">
        <f t="shared" si="45"/>
        <v>►</v>
      </c>
      <c r="D110" s="44" t="str">
        <f t="shared" si="46"/>
        <v>►</v>
      </c>
      <c r="E110" s="43" t="str">
        <f t="shared" si="47"/>
        <v>►</v>
      </c>
      <c r="F110" s="43" t="str">
        <f t="shared" si="48"/>
        <v>►</v>
      </c>
      <c r="G110" s="43" t="str">
        <f t="shared" si="49"/>
        <v>►</v>
      </c>
      <c r="H110" s="1256" t="s">
        <v>1</v>
      </c>
      <c r="I110" s="5175" t="s">
        <v>1</v>
      </c>
      <c r="J110" s="5161"/>
      <c r="K110" s="5161"/>
      <c r="L110" s="5161"/>
      <c r="M110" s="5176"/>
      <c r="N110" s="5177"/>
      <c r="O110" s="147"/>
      <c r="P110" s="147"/>
      <c r="Q110" s="102"/>
      <c r="R110" s="102"/>
      <c r="S110" s="1360"/>
      <c r="T110" s="43"/>
      <c r="U110" s="42"/>
      <c r="V110" s="41"/>
      <c r="W110" s="40"/>
      <c r="X110" s="39"/>
      <c r="Y110" s="38"/>
      <c r="Z110" s="37"/>
      <c r="AA110" s="36"/>
      <c r="AB110" s="35"/>
      <c r="AC110" s="34"/>
      <c r="AD110" s="55"/>
      <c r="AE110" s="33"/>
      <c r="AF110"/>
      <c r="AG110" s="32"/>
      <c r="AH110" s="31"/>
      <c r="AI110" s="30"/>
      <c r="AJ110" s="5492">
        <f t="shared" si="54"/>
        <v>0</v>
      </c>
      <c r="AK110" s="29">
        <f t="shared" si="55"/>
        <v>0</v>
      </c>
      <c r="AL110" s="28" t="str">
        <f t="shared" si="56"/>
        <v/>
      </c>
      <c r="AM110" s="27"/>
      <c r="AN110" s="26">
        <f t="shared" si="57"/>
        <v>0</v>
      </c>
      <c r="AO110" s="25">
        <f t="shared" si="58"/>
        <v>0</v>
      </c>
      <c r="AP110" s="24">
        <f t="shared" si="59"/>
        <v>0</v>
      </c>
      <c r="AQ110" s="23"/>
      <c r="AR110" s="22">
        <f t="shared" si="60"/>
        <v>0</v>
      </c>
      <c r="AS110" s="21"/>
      <c r="AT110" s="13"/>
      <c r="AU110" s="46">
        <f t="shared" si="61"/>
        <v>0</v>
      </c>
      <c r="BB110"/>
      <c r="BC110" s="79">
        <f>IF(BE110=BE101,1,LEN(BE110))</f>
        <v>1</v>
      </c>
      <c r="BD110" s="78" t="str" cm="1">
        <f t="array" ref="BD110">IF(BG110="", "", IFERROR(MAX(IF(ISNUMBER(BD102:BD109), BD102:BD109)) + 1, ""))</f>
        <v/>
      </c>
      <c r="BE110" s="77" t="str" cm="1">
        <f t="array" ref="BE110">IFERROR(INDEX(BG103:BG154, MATCH(ROW()-MIN(ROW(BG103:BG154))+1, BD103:BD154, 0)), "")</f>
        <v>►</v>
      </c>
      <c r="BF110" s="5489">
        <f t="shared" si="63"/>
        <v>1</v>
      </c>
      <c r="BG110" s="90" t="str">
        <f t="shared" si="64"/>
        <v/>
      </c>
      <c r="BH110" s="89"/>
      <c r="BI110" s="88" t="str">
        <f>IF(LEN(BJ109)&lt;=BH107,BJ109,LEFT(BJ109,FIND("#",SUBSTITUTE(LEFT(BJ109,BH107+1)," ","#",LEN(LEFT(BJ109,BH107+1))-LEN(SUBSTITUTE(LEFT(BJ109,BH107+1)," ",""))))-1))</f>
        <v/>
      </c>
      <c r="BJ110" s="87" t="str">
        <f t="shared" si="65"/>
        <v/>
      </c>
      <c r="BK110" s="62"/>
      <c r="BL110" s="20" t="str">
        <f t="shared" si="50"/>
        <v>►</v>
      </c>
      <c r="BM110" s="62"/>
      <c r="BN110"/>
      <c r="BO110"/>
      <c r="BP110"/>
      <c r="BQ110"/>
      <c r="BR110"/>
      <c r="BS110"/>
      <c r="BT110"/>
      <c r="BU110"/>
      <c r="BV110"/>
      <c r="BW110"/>
      <c r="BX110"/>
      <c r="BY110"/>
      <c r="BZ110"/>
      <c r="CA110"/>
      <c r="CB110"/>
      <c r="CC110"/>
      <c r="CD110"/>
      <c r="CE110"/>
      <c r="CF110"/>
      <c r="CG110"/>
      <c r="CH110"/>
      <c r="CI110"/>
      <c r="CJ110"/>
      <c r="CK110"/>
      <c r="CL110"/>
      <c r="CM110"/>
      <c r="CN110" s="56" t="s">
        <v>1</v>
      </c>
      <c r="CO110" s="5">
        <v>1</v>
      </c>
    </row>
    <row r="111" spans="1:93" s="1" customFormat="1" ht="21" customHeight="1">
      <c r="A111" s="20" t="str">
        <f t="shared" si="62"/>
        <v>►</v>
      </c>
      <c r="B111" s="43" t="str">
        <f t="shared" si="37"/>
        <v>►</v>
      </c>
      <c r="C111" s="45" t="str">
        <f t="shared" si="45"/>
        <v>►</v>
      </c>
      <c r="D111" s="44" t="str">
        <f t="shared" si="46"/>
        <v>►</v>
      </c>
      <c r="E111" s="43" t="str">
        <f t="shared" si="47"/>
        <v>►</v>
      </c>
      <c r="F111" s="43" t="str">
        <f t="shared" si="48"/>
        <v>►</v>
      </c>
      <c r="G111" s="43" t="str">
        <f t="shared" si="49"/>
        <v>►</v>
      </c>
      <c r="H111" s="1256" t="s">
        <v>1</v>
      </c>
      <c r="I111" s="5175" t="s">
        <v>1</v>
      </c>
      <c r="J111" s="5161"/>
      <c r="K111" s="5161"/>
      <c r="L111" s="5161"/>
      <c r="M111" s="5176"/>
      <c r="N111" s="5177"/>
      <c r="O111" s="147"/>
      <c r="P111" s="147"/>
      <c r="Q111" s="102"/>
      <c r="R111" s="102"/>
      <c r="S111" s="1360"/>
      <c r="T111" s="43"/>
      <c r="U111" s="42"/>
      <c r="V111" s="41"/>
      <c r="W111" s="40"/>
      <c r="X111" s="39"/>
      <c r="Y111" s="38"/>
      <c r="Z111" s="37"/>
      <c r="AA111" s="36"/>
      <c r="AB111" s="35"/>
      <c r="AC111" s="34"/>
      <c r="AD111" s="55"/>
      <c r="AE111" s="33"/>
      <c r="AF111"/>
      <c r="AG111" s="32"/>
      <c r="AH111" s="31"/>
      <c r="AI111" s="30"/>
      <c r="AJ111" s="5492">
        <f t="shared" si="54"/>
        <v>0</v>
      </c>
      <c r="AK111" s="54">
        <f t="shared" si="55"/>
        <v>0</v>
      </c>
      <c r="AL111" s="53" t="str">
        <f t="shared" si="56"/>
        <v/>
      </c>
      <c r="AM111" s="52"/>
      <c r="AN111" s="51">
        <f t="shared" si="57"/>
        <v>0</v>
      </c>
      <c r="AO111" s="50">
        <f t="shared" si="58"/>
        <v>0</v>
      </c>
      <c r="AP111" s="49">
        <f t="shared" si="59"/>
        <v>0</v>
      </c>
      <c r="AQ111" s="23"/>
      <c r="AR111" s="48">
        <f t="shared" si="60"/>
        <v>0</v>
      </c>
      <c r="AS111" s="47"/>
      <c r="AT111" s="13"/>
      <c r="AU111" s="46">
        <f t="shared" si="61"/>
        <v>0</v>
      </c>
      <c r="BB111"/>
      <c r="BC111" s="79">
        <f>IF(BE111=BE101,1,LEN(BE111))</f>
        <v>89</v>
      </c>
      <c r="BD111" s="78" t="str" cm="1">
        <f t="array" ref="BD111">IF(BG111="", "", IFERROR(MAX(IF(ISNUMBER(BD102:BD110), BD102:BD110)) + 1, ""))</f>
        <v/>
      </c>
      <c r="BE111" s="77" t="str" cm="1">
        <f t="array" ref="BE111">IFERROR(INDEX(BG103:BG154, MATCH(ROW()-MIN(ROW(BG103:BG154))+1, BD103:BD154, 0)), "")</f>
        <v>► Saisissez ou coller les lignes du brouillon que vous voulez couper dans ces 4 lignes et</v>
      </c>
      <c r="BF111" s="5489">
        <f t="shared" si="63"/>
        <v>1</v>
      </c>
      <c r="BG111" s="90" t="str">
        <f t="shared" si="64"/>
        <v/>
      </c>
      <c r="BH111" s="89"/>
      <c r="BI111" s="88" t="str">
        <f>IF(LEN(BJ110)&lt;=BH107,BJ110,LEFT(BJ110,FIND("#",SUBSTITUTE(LEFT(BJ110,BH107+1)," ","#",LEN(LEFT(BJ110,BH107+1))-LEN(SUBSTITUTE(LEFT(BJ110,BH107+1)," ",""))))-1))</f>
        <v/>
      </c>
      <c r="BJ111" s="87" t="str">
        <f t="shared" si="65"/>
        <v/>
      </c>
      <c r="BK111" s="62"/>
      <c r="BL111" s="20" t="str">
        <f t="shared" si="50"/>
        <v>►</v>
      </c>
      <c r="BM111" s="62"/>
      <c r="BN111"/>
      <c r="BO111"/>
      <c r="BP111"/>
      <c r="BQ111"/>
      <c r="BR111"/>
      <c r="BS111"/>
      <c r="BT111"/>
      <c r="BU111"/>
      <c r="BV111"/>
      <c r="BW111"/>
      <c r="BX111"/>
      <c r="BY111"/>
      <c r="BZ111"/>
      <c r="CA111"/>
      <c r="CB111"/>
      <c r="CC111"/>
      <c r="CD111"/>
      <c r="CE111"/>
      <c r="CF111"/>
      <c r="CG111"/>
      <c r="CH111"/>
      <c r="CI111"/>
      <c r="CJ111"/>
      <c r="CK111"/>
      <c r="CL111"/>
      <c r="CM111"/>
      <c r="CN111" s="56" t="s">
        <v>1</v>
      </c>
      <c r="CO111" s="5">
        <v>1</v>
      </c>
    </row>
    <row r="112" spans="1:93" s="1" customFormat="1" ht="21" customHeight="1">
      <c r="A112" s="20" t="str">
        <f t="shared" si="62"/>
        <v>►</v>
      </c>
      <c r="B112" s="43" t="str">
        <f t="shared" si="37"/>
        <v>►</v>
      </c>
      <c r="C112" s="45" t="str">
        <f t="shared" si="45"/>
        <v>►</v>
      </c>
      <c r="D112" s="44" t="str">
        <f t="shared" si="46"/>
        <v>►</v>
      </c>
      <c r="E112" s="43" t="str">
        <f t="shared" si="47"/>
        <v>►</v>
      </c>
      <c r="F112" s="43" t="str">
        <f t="shared" si="48"/>
        <v>►</v>
      </c>
      <c r="G112" s="43" t="str">
        <f t="shared" si="49"/>
        <v>►</v>
      </c>
      <c r="H112" s="1256" t="s">
        <v>1</v>
      </c>
      <c r="I112" s="5175" t="s">
        <v>1</v>
      </c>
      <c r="J112" s="5161"/>
      <c r="K112" s="5161"/>
      <c r="L112" s="5161"/>
      <c r="M112" s="5176"/>
      <c r="N112" s="5177"/>
      <c r="O112" s="147"/>
      <c r="P112" s="147"/>
      <c r="Q112" s="102"/>
      <c r="R112" s="102"/>
      <c r="S112" s="1360"/>
      <c r="T112" s="43"/>
      <c r="U112" s="42"/>
      <c r="V112" s="41"/>
      <c r="W112" s="40"/>
      <c r="X112" s="39"/>
      <c r="Y112" s="38"/>
      <c r="Z112" s="37"/>
      <c r="AA112" s="36"/>
      <c r="AB112" s="35"/>
      <c r="AC112" s="34"/>
      <c r="AD112" s="55"/>
      <c r="AE112" s="33"/>
      <c r="AF112"/>
      <c r="AG112" s="32"/>
      <c r="AH112" s="31"/>
      <c r="AI112" s="30"/>
      <c r="AJ112" s="5492">
        <f t="shared" si="54"/>
        <v>0</v>
      </c>
      <c r="AK112" s="29">
        <f t="shared" si="55"/>
        <v>0</v>
      </c>
      <c r="AL112" s="28" t="str">
        <f t="shared" si="56"/>
        <v/>
      </c>
      <c r="AM112" s="27"/>
      <c r="AN112" s="26">
        <f t="shared" si="57"/>
        <v>0</v>
      </c>
      <c r="AO112" s="25">
        <f t="shared" si="58"/>
        <v>0</v>
      </c>
      <c r="AP112" s="24">
        <f t="shared" si="59"/>
        <v>0</v>
      </c>
      <c r="AQ112" s="23"/>
      <c r="AR112" s="22">
        <f t="shared" si="60"/>
        <v>0</v>
      </c>
      <c r="AS112" s="21"/>
      <c r="AT112" s="13"/>
      <c r="AU112" s="46">
        <f t="shared" si="61"/>
        <v>0</v>
      </c>
      <c r="BB112"/>
      <c r="BC112" s="79">
        <f>IF(BE112=BE101,1,LEN(BE112))</f>
        <v>87</v>
      </c>
      <c r="BD112" s="78" t="str" cm="1">
        <f t="array" ref="BD112">IF(BG112="", "", IFERROR(MAX(IF(ISNUMBER(BD102:BD111), BD102:BD111)) + 1, ""))</f>
        <v/>
      </c>
      <c r="BE112" s="77" t="str" cm="1">
        <f t="array" ref="BE112">IFERROR(INDEX(BG103:BG154, MATCH(ROW()-MIN(ROW(BG103:BG154))+1, BD103:BD154, 0)), "")</f>
        <v xml:space="preserve"> saisissez un nombre de caractères pour que le texte ne déborde pas de la colonne ⤵️ 🧋</v>
      </c>
      <c r="BF112" s="5489">
        <f t="shared" si="63"/>
        <v>1</v>
      </c>
      <c r="BG112" s="90" t="str">
        <f t="shared" si="64"/>
        <v/>
      </c>
      <c r="BH112" s="89"/>
      <c r="BI112" s="88" t="str">
        <f>IF(LEN(BJ111)&lt;=BH107,BJ111,LEFT(BJ111,FIND("#",SUBSTITUTE(LEFT(BJ111,BH107+1)," ","#",LEN(LEFT(BJ111,BH107+1))-LEN(SUBSTITUTE(LEFT(BJ111,BH107+1)," ",""))))-1))</f>
        <v/>
      </c>
      <c r="BJ112" s="87" t="str">
        <f t="shared" si="65"/>
        <v/>
      </c>
      <c r="BK112" s="62"/>
      <c r="BL112" s="20" t="str">
        <f t="shared" si="50"/>
        <v>►</v>
      </c>
      <c r="BM112" s="62"/>
      <c r="BN112"/>
      <c r="BO112"/>
      <c r="BP112"/>
      <c r="BQ112"/>
      <c r="BR112"/>
      <c r="BS112"/>
      <c r="BT112"/>
      <c r="BU112"/>
      <c r="BV112"/>
      <c r="BW112"/>
      <c r="BX112"/>
      <c r="BY112"/>
      <c r="BZ112"/>
      <c r="CA112"/>
      <c r="CB112"/>
      <c r="CC112"/>
      <c r="CD112"/>
      <c r="CE112"/>
      <c r="CF112"/>
      <c r="CG112"/>
      <c r="CH112"/>
      <c r="CI112"/>
      <c r="CJ112"/>
      <c r="CK112"/>
      <c r="CL112"/>
      <c r="CM112"/>
      <c r="CN112" s="56" t="s">
        <v>1</v>
      </c>
      <c r="CO112" s="5">
        <v>1</v>
      </c>
    </row>
    <row r="113" spans="1:93" s="1" customFormat="1" ht="21" customHeight="1">
      <c r="A113" s="20" t="str">
        <f t="shared" si="62"/>
        <v>►</v>
      </c>
      <c r="B113" s="43" t="str">
        <f t="shared" si="37"/>
        <v>►</v>
      </c>
      <c r="C113" s="45" t="str">
        <f t="shared" si="45"/>
        <v>►</v>
      </c>
      <c r="D113" s="44" t="str">
        <f t="shared" si="46"/>
        <v>►</v>
      </c>
      <c r="E113" s="43" t="str">
        <f t="shared" si="47"/>
        <v>►</v>
      </c>
      <c r="F113" s="43" t="str">
        <f t="shared" si="48"/>
        <v>►</v>
      </c>
      <c r="G113" s="43" t="str">
        <f t="shared" si="49"/>
        <v>►</v>
      </c>
      <c r="H113" s="1256" t="s">
        <v>1</v>
      </c>
      <c r="I113" s="5175" t="s">
        <v>1</v>
      </c>
      <c r="J113" s="5161"/>
      <c r="K113" s="5161"/>
      <c r="L113" s="5161"/>
      <c r="M113" s="5176"/>
      <c r="N113" s="5177"/>
      <c r="O113" s="147"/>
      <c r="P113" s="147"/>
      <c r="Q113" s="102"/>
      <c r="R113" s="102"/>
      <c r="S113" s="1360"/>
      <c r="T113" s="43"/>
      <c r="U113" s="42"/>
      <c r="V113" s="41"/>
      <c r="W113" s="40"/>
      <c r="X113" s="39"/>
      <c r="Y113" s="38"/>
      <c r="Z113" s="37"/>
      <c r="AA113" s="36"/>
      <c r="AB113" s="35"/>
      <c r="AC113" s="34"/>
      <c r="AD113" s="55"/>
      <c r="AE113" s="33"/>
      <c r="AF113"/>
      <c r="AG113" s="32"/>
      <c r="AH113" s="31"/>
      <c r="AI113" s="30"/>
      <c r="AJ113" s="5492">
        <f t="shared" si="54"/>
        <v>0</v>
      </c>
      <c r="AK113" s="54">
        <f t="shared" si="55"/>
        <v>0</v>
      </c>
      <c r="AL113" s="53" t="str">
        <f t="shared" si="56"/>
        <v/>
      </c>
      <c r="AM113" s="52"/>
      <c r="AN113" s="51">
        <f t="shared" si="57"/>
        <v>0</v>
      </c>
      <c r="AO113" s="50">
        <f t="shared" si="58"/>
        <v>0</v>
      </c>
      <c r="AP113" s="49">
        <f t="shared" si="59"/>
        <v>0</v>
      </c>
      <c r="AQ113" s="23"/>
      <c r="AR113" s="48">
        <f t="shared" si="60"/>
        <v>0</v>
      </c>
      <c r="AS113" s="47"/>
      <c r="AT113" s="13"/>
      <c r="AU113" s="46">
        <f t="shared" si="61"/>
        <v>0</v>
      </c>
      <c r="BB113"/>
      <c r="BC113" s="79">
        <f>IF(BE113=BE101,1,LEN(BE113))</f>
        <v>92</v>
      </c>
      <c r="BD113" s="78" t="str" cm="1">
        <f t="array" ref="BD113">IF(BG113="", "", IFERROR(MAX(IF(ISNUMBER(BD102:BD112), BD102:BD112)) + 1, ""))</f>
        <v/>
      </c>
      <c r="BE113" s="77" t="str" cm="1">
        <f t="array" ref="BE113">IFERROR(INDEX(BG103:BG154, MATCH(ROW()-MIN(ROW(BG103:BG154))+1, BD103:BD154, 0)), "")</f>
        <v xml:space="preserve"> et saisissez un nombre de caractères pour que le texte ne déborde pas de la colonne ►Police</v>
      </c>
      <c r="BF113" s="5489">
        <f t="shared" si="63"/>
        <v>1</v>
      </c>
      <c r="BG113" s="90" t="str">
        <f t="shared" si="64"/>
        <v/>
      </c>
      <c r="BH113" s="89"/>
      <c r="BI113" s="88" t="str">
        <f>IF(LEN(BJ112)&lt;=BH107,BJ112,LEFT(BJ112,FIND("#",SUBSTITUTE(LEFT(BJ112,BH107+1)," ","#",LEN(LEFT(BJ112,BH107+1))-LEN(SUBSTITUTE(LEFT(BJ112,BH107+1)," ",""))))-1))</f>
        <v/>
      </c>
      <c r="BJ113" s="87" t="str">
        <f t="shared" si="65"/>
        <v/>
      </c>
      <c r="BK113" s="62"/>
      <c r="BL113" s="20" t="str">
        <f t="shared" si="50"/>
        <v>►</v>
      </c>
      <c r="BM113" s="62"/>
      <c r="BN113"/>
      <c r="BO113"/>
      <c r="BP113"/>
      <c r="BQ113"/>
      <c r="BR113"/>
      <c r="BS113"/>
      <c r="BT113"/>
      <c r="BU113"/>
      <c r="BV113"/>
      <c r="BW113"/>
      <c r="BX113"/>
      <c r="BY113"/>
      <c r="BZ113"/>
      <c r="CA113"/>
      <c r="CB113"/>
      <c r="CC113"/>
      <c r="CD113"/>
      <c r="CE113"/>
      <c r="CF113"/>
      <c r="CG113"/>
      <c r="CH113"/>
      <c r="CI113"/>
      <c r="CJ113"/>
      <c r="CK113"/>
      <c r="CL113"/>
      <c r="CM113"/>
      <c r="CN113" s="56" t="s">
        <v>1</v>
      </c>
      <c r="CO113" s="5">
        <v>1</v>
      </c>
    </row>
    <row r="114" spans="1:93" s="1" customFormat="1" ht="21" customHeight="1">
      <c r="A114" s="20" t="str">
        <f t="shared" si="62"/>
        <v>►</v>
      </c>
      <c r="B114" s="43" t="str">
        <f t="shared" si="37"/>
        <v>►</v>
      </c>
      <c r="C114" s="45" t="str">
        <f t="shared" si="45"/>
        <v>►</v>
      </c>
      <c r="D114" s="44" t="str">
        <f t="shared" si="46"/>
        <v>►</v>
      </c>
      <c r="E114" s="43" t="str">
        <f t="shared" si="47"/>
        <v>►</v>
      </c>
      <c r="F114" s="43" t="str">
        <f t="shared" si="48"/>
        <v>►</v>
      </c>
      <c r="G114" s="43" t="str">
        <f t="shared" si="49"/>
        <v>►</v>
      </c>
      <c r="H114" s="1256" t="s">
        <v>1</v>
      </c>
      <c r="I114" s="5175" t="s">
        <v>1</v>
      </c>
      <c r="J114" s="5161"/>
      <c r="K114" s="5161"/>
      <c r="L114" s="5161"/>
      <c r="M114" s="5176"/>
      <c r="N114" s="5177"/>
      <c r="O114" s="147"/>
      <c r="P114" s="147"/>
      <c r="Q114" s="102"/>
      <c r="R114" s="102"/>
      <c r="S114" s="1360"/>
      <c r="T114" s="43"/>
      <c r="U114" s="42"/>
      <c r="V114" s="41"/>
      <c r="W114" s="40"/>
      <c r="X114" s="39"/>
      <c r="Y114" s="38"/>
      <c r="Z114" s="37"/>
      <c r="AA114" s="36"/>
      <c r="AB114" s="35"/>
      <c r="AC114" s="34"/>
      <c r="AD114" s="55"/>
      <c r="AE114" s="33"/>
      <c r="AF114"/>
      <c r="AG114" s="32"/>
      <c r="AH114" s="31"/>
      <c r="AI114" s="30"/>
      <c r="AJ114" s="5492">
        <f t="shared" si="54"/>
        <v>0</v>
      </c>
      <c r="AK114" s="29">
        <f t="shared" si="55"/>
        <v>0</v>
      </c>
      <c r="AL114" s="28" t="str">
        <f t="shared" si="56"/>
        <v/>
      </c>
      <c r="AM114" s="27"/>
      <c r="AN114" s="26">
        <f t="shared" si="57"/>
        <v>0</v>
      </c>
      <c r="AO114" s="25">
        <f t="shared" si="58"/>
        <v>0</v>
      </c>
      <c r="AP114" s="24">
        <f t="shared" si="59"/>
        <v>0</v>
      </c>
      <c r="AQ114" s="23"/>
      <c r="AR114" s="22">
        <f t="shared" si="60"/>
        <v>0</v>
      </c>
      <c r="AS114" s="21"/>
      <c r="AT114" s="13"/>
      <c r="AU114" s="46">
        <f t="shared" si="61"/>
        <v>0</v>
      </c>
      <c r="BB114"/>
      <c r="BC114" s="79">
        <f>IF(BE114=BE101,1,LEN(BE114))</f>
        <v>34</v>
      </c>
      <c r="BD114" s="78" t="str" cm="1">
        <f t="array" ref="BD114">IF(BG114="", "", IFERROR(MAX(IF(ISNUMBER(BD102:BD113), BD102:BD113)) + 1, ""))</f>
        <v/>
      </c>
      <c r="BE114" s="77" t="str" cm="1">
        <f t="array" ref="BE114">IFERROR(INDEX(BG103:BG154, MATCH(ROW()-MIN(ROW(BG103:BG154))+1, BD103:BD154, 0)), "")</f>
        <v>choisissez celle qui vous convient</v>
      </c>
      <c r="BF114" s="5489">
        <f t="shared" si="63"/>
        <v>1</v>
      </c>
      <c r="BG114" s="90" t="str">
        <f t="shared" si="64"/>
        <v/>
      </c>
      <c r="BH114" s="89"/>
      <c r="BI114" s="88" t="str">
        <f>IF(LEN(BJ113)&lt;=BH107,BJ113,LEFT(BJ113,FIND("#",SUBSTITUTE(LEFT(BJ113,BH107+1)," ","#",LEN(LEFT(BJ113,BH107+1))-LEN(SUBSTITUTE(LEFT(BJ113,BH107+1)," ",""))))-1))</f>
        <v/>
      </c>
      <c r="BJ114" s="87" t="str">
        <f t="shared" si="65"/>
        <v/>
      </c>
      <c r="BK114" s="62" t="s">
        <v>1</v>
      </c>
      <c r="BL114" s="20" t="str">
        <f t="shared" si="50"/>
        <v>►</v>
      </c>
      <c r="BM114" s="62"/>
      <c r="BN114"/>
      <c r="BO114"/>
      <c r="BP114"/>
      <c r="BQ114"/>
      <c r="BR114"/>
      <c r="BS114"/>
      <c r="BT114"/>
      <c r="BU114"/>
      <c r="BV114"/>
      <c r="BW114"/>
      <c r="BX114"/>
      <c r="BY114"/>
      <c r="BZ114"/>
      <c r="CA114"/>
      <c r="CB114"/>
      <c r="CC114"/>
      <c r="CD114"/>
      <c r="CE114"/>
      <c r="CF114"/>
      <c r="CG114"/>
      <c r="CH114"/>
      <c r="CI114"/>
      <c r="CJ114"/>
      <c r="CK114"/>
      <c r="CL114"/>
      <c r="CM114"/>
      <c r="CN114" s="56" t="s">
        <v>1</v>
      </c>
      <c r="CO114" s="5">
        <v>1</v>
      </c>
    </row>
    <row r="115" spans="1:93" s="1" customFormat="1" ht="21" customHeight="1">
      <c r="A115" s="20" t="str">
        <f t="shared" si="62"/>
        <v>►</v>
      </c>
      <c r="B115" s="43" t="str">
        <f t="shared" ref="B115:B178" si="66">IF(A115="►","►",IF(A115="A",IF(AND(ISTEXT(V115),ISTEXT(J115)),V115,IF(ISTEXT(V115),V115,IF(ISBLANK(V115),J115,V115)))))</f>
        <v>►</v>
      </c>
      <c r="C115" s="45" t="str">
        <f t="shared" si="45"/>
        <v>►</v>
      </c>
      <c r="D115" s="44" t="str">
        <f t="shared" si="46"/>
        <v>►</v>
      </c>
      <c r="E115" s="43" t="str">
        <f t="shared" si="47"/>
        <v>►</v>
      </c>
      <c r="F115" s="43" t="str">
        <f t="shared" si="48"/>
        <v>►</v>
      </c>
      <c r="G115" s="43" t="str">
        <f t="shared" si="49"/>
        <v>►</v>
      </c>
      <c r="H115" s="1256" t="s">
        <v>1</v>
      </c>
      <c r="I115" s="5175" t="s">
        <v>1</v>
      </c>
      <c r="J115" s="5161"/>
      <c r="K115" s="5161"/>
      <c r="L115" s="5161"/>
      <c r="M115" s="5176"/>
      <c r="N115" s="5177"/>
      <c r="O115" s="147"/>
      <c r="P115" s="147"/>
      <c r="Q115" s="102"/>
      <c r="R115" s="102"/>
      <c r="S115" s="1360"/>
      <c r="T115" s="43"/>
      <c r="U115" s="42"/>
      <c r="V115" s="41"/>
      <c r="W115" s="40"/>
      <c r="X115" s="39"/>
      <c r="Y115" s="38"/>
      <c r="Z115" s="37"/>
      <c r="AA115" s="36"/>
      <c r="AB115" s="35"/>
      <c r="AC115" s="34"/>
      <c r="AD115" s="55"/>
      <c r="AE115" s="33"/>
      <c r="AF115"/>
      <c r="AG115" s="32"/>
      <c r="AH115" s="31"/>
      <c r="AI115" s="30"/>
      <c r="AJ115" s="5492">
        <f t="shared" si="54"/>
        <v>0</v>
      </c>
      <c r="AK115" s="54">
        <f t="shared" si="55"/>
        <v>0</v>
      </c>
      <c r="AL115" s="53" t="str">
        <f t="shared" si="56"/>
        <v/>
      </c>
      <c r="AM115" s="52"/>
      <c r="AN115" s="51">
        <f t="shared" si="57"/>
        <v>0</v>
      </c>
      <c r="AO115" s="50">
        <f t="shared" si="58"/>
        <v>0</v>
      </c>
      <c r="AP115" s="49">
        <f t="shared" si="59"/>
        <v>0</v>
      </c>
      <c r="AQ115" s="23"/>
      <c r="AR115" s="48">
        <f t="shared" si="60"/>
        <v>0</v>
      </c>
      <c r="AS115" s="47"/>
      <c r="AT115" s="13"/>
      <c r="AU115" s="46">
        <f t="shared" si="61"/>
        <v>0</v>
      </c>
      <c r="BB115"/>
      <c r="BC115" s="79">
        <f>IF(BE115=BE101,1,LEN(BE115))</f>
        <v>0</v>
      </c>
      <c r="BD115" s="78" t="str" cm="1">
        <f t="array" ref="BD115">IF(BG115="", "", IFERROR(MAX(IF(ISNUMBER(BD102:BD114), BD102:BD114)) + 1, ""))</f>
        <v/>
      </c>
      <c r="BE115" s="77" t="str" cm="1">
        <f t="array" ref="BE115">IFERROR(INDEX(BG103:BG154, MATCH(ROW()-MIN(ROW(BG103:BG154))+1, BD103:BD154, 0)), "")</f>
        <v/>
      </c>
      <c r="BF115" s="5489">
        <f t="shared" si="63"/>
        <v>0</v>
      </c>
      <c r="BG115" s="90" t="str">
        <f t="shared" si="64"/>
        <v/>
      </c>
      <c r="BH115" s="89"/>
      <c r="BI115" s="88" t="str">
        <f>IF(LEN(BJ114)&lt;=BH107,BJ114,LEFT(BJ114,FIND("#",SUBSTITUTE(LEFT(BJ114,BH107+1)," ","#",LEN(LEFT(BJ114,BH107+1))-LEN(SUBSTITUTE(LEFT(BJ114,BH107+1)," ",""))))-1))</f>
        <v/>
      </c>
      <c r="BJ115" s="87" t="str">
        <f t="shared" si="65"/>
        <v/>
      </c>
      <c r="BK115" s="62" t="s">
        <v>1</v>
      </c>
      <c r="BL115" s="20" t="str">
        <f t="shared" si="50"/>
        <v>►</v>
      </c>
      <c r="BM115" s="62"/>
      <c r="BN115"/>
      <c r="BO115"/>
      <c r="BP115"/>
      <c r="BQ115"/>
      <c r="BR115"/>
      <c r="BS115"/>
      <c r="BT115"/>
      <c r="BU115"/>
      <c r="BV115"/>
      <c r="BW115"/>
      <c r="BX115"/>
      <c r="BY115"/>
      <c r="BZ115"/>
      <c r="CA115"/>
      <c r="CB115"/>
      <c r="CC115"/>
      <c r="CD115"/>
      <c r="CE115"/>
      <c r="CF115"/>
      <c r="CG115"/>
      <c r="CH115"/>
      <c r="CI115"/>
      <c r="CJ115"/>
      <c r="CK115"/>
      <c r="CL115"/>
      <c r="CM115"/>
      <c r="CN115" s="56" t="s">
        <v>1</v>
      </c>
      <c r="CO115" s="5">
        <v>1</v>
      </c>
    </row>
    <row r="116" spans="1:93" s="1" customFormat="1" ht="21" customHeight="1">
      <c r="A116" s="20" t="str">
        <f t="shared" si="62"/>
        <v>►</v>
      </c>
      <c r="B116" s="43" t="str">
        <f t="shared" si="66"/>
        <v>►</v>
      </c>
      <c r="C116" s="45" t="str">
        <f t="shared" si="45"/>
        <v>►</v>
      </c>
      <c r="D116" s="44" t="str">
        <f t="shared" si="46"/>
        <v>►</v>
      </c>
      <c r="E116" s="43" t="str">
        <f t="shared" si="47"/>
        <v>►</v>
      </c>
      <c r="F116" s="43" t="str">
        <f t="shared" si="48"/>
        <v>►</v>
      </c>
      <c r="G116" s="43" t="str">
        <f t="shared" si="49"/>
        <v>►</v>
      </c>
      <c r="H116" s="1256" t="s">
        <v>1</v>
      </c>
      <c r="I116" s="5175" t="s">
        <v>1</v>
      </c>
      <c r="J116" s="5161"/>
      <c r="K116" s="5161"/>
      <c r="L116" s="5161"/>
      <c r="M116" s="5176"/>
      <c r="N116" s="5177"/>
      <c r="O116" s="147"/>
      <c r="P116" s="147"/>
      <c r="Q116" s="102"/>
      <c r="R116" s="102"/>
      <c r="S116" s="1360"/>
      <c r="T116" s="43"/>
      <c r="U116" s="42"/>
      <c r="V116" s="41"/>
      <c r="W116" s="40"/>
      <c r="X116" s="39"/>
      <c r="Y116" s="38"/>
      <c r="Z116" s="37"/>
      <c r="AA116" s="36"/>
      <c r="AB116" s="35"/>
      <c r="AC116" s="34"/>
      <c r="AD116" s="55"/>
      <c r="AE116" s="33"/>
      <c r="AF116"/>
      <c r="AG116" s="32"/>
      <c r="AH116" s="31"/>
      <c r="AI116" s="30"/>
      <c r="AJ116" s="5492">
        <f t="shared" si="54"/>
        <v>0</v>
      </c>
      <c r="AK116" s="29">
        <f t="shared" si="55"/>
        <v>0</v>
      </c>
      <c r="AL116" s="28" t="str">
        <f t="shared" si="56"/>
        <v/>
      </c>
      <c r="AM116" s="27"/>
      <c r="AN116" s="26">
        <f t="shared" si="57"/>
        <v>0</v>
      </c>
      <c r="AO116" s="25">
        <f t="shared" si="58"/>
        <v>0</v>
      </c>
      <c r="AP116" s="24">
        <f t="shared" si="59"/>
        <v>0</v>
      </c>
      <c r="AQ116" s="23"/>
      <c r="AR116" s="22">
        <f t="shared" si="60"/>
        <v>0</v>
      </c>
      <c r="AS116" s="21"/>
      <c r="AT116" s="13"/>
      <c r="AU116" s="46">
        <f t="shared" si="61"/>
        <v>0</v>
      </c>
      <c r="BB116"/>
      <c r="BC116" s="79">
        <f>IF(BE116=BE101,1,LEN(BE116))</f>
        <v>0</v>
      </c>
      <c r="BD116" s="78" cm="1">
        <f t="array" ref="BD116">IF(BG116="", "", IFERROR(MAX(IF(ISNUMBER(BD102:BD115), BD102:BD115)) + 1, ""))</f>
        <v>8</v>
      </c>
      <c r="BE116" s="77" t="str" cm="1">
        <f t="array" ref="BE116">IFERROR(INDEX(BG103:BG154, MATCH(ROW()-MIN(ROW(BG103:BG154))+1, BD103:BD154, 0)), "")</f>
        <v/>
      </c>
      <c r="BF116" s="5489">
        <f t="shared" si="63"/>
        <v>0</v>
      </c>
      <c r="BG116" s="83" t="str">
        <f t="shared" si="64"/>
        <v>►</v>
      </c>
      <c r="BH116" s="86" t="str">
        <f>BE96</f>
        <v>►</v>
      </c>
      <c r="BI116" s="81" t="str">
        <f>IF(AND(BH116&lt;&gt;"", BH120&lt;&gt;""), IF(LEN(BH116)&lt;BH120, BH116, IFERROR(LEFT(BH119, IF(ISNUMBER(FIND(" ", BH119)), FIND(" ", BH119 &amp; " ", BH120) - 1, LEN(BH119))), "")), "")</f>
        <v>►</v>
      </c>
      <c r="BJ116" s="80" t="e">
        <f>IF(BI116="","",RIGHT(BH119,LEN(BH119)-LEN(BI116)-1))</f>
        <v>#VALUE!</v>
      </c>
      <c r="BK116" s="62"/>
      <c r="BL116" s="20" t="str">
        <f t="shared" si="50"/>
        <v>►</v>
      </c>
      <c r="BM116" s="62"/>
      <c r="BN116"/>
      <c r="BO116"/>
      <c r="BP116"/>
      <c r="BQ116"/>
      <c r="BR116"/>
      <c r="BS116"/>
      <c r="BT116"/>
      <c r="BU116"/>
      <c r="BV116"/>
      <c r="BW116"/>
      <c r="BX116"/>
      <c r="BY116"/>
      <c r="BZ116"/>
      <c r="CA116"/>
      <c r="CB116"/>
      <c r="CC116"/>
      <c r="CD116"/>
      <c r="CE116"/>
      <c r="CF116"/>
      <c r="CG116"/>
      <c r="CH116"/>
      <c r="CI116"/>
      <c r="CJ116"/>
      <c r="CK116"/>
      <c r="CL116"/>
      <c r="CM116"/>
      <c r="CN116" s="56" t="s">
        <v>1</v>
      </c>
      <c r="CO116" s="5">
        <v>1</v>
      </c>
    </row>
    <row r="117" spans="1:93" s="1" customFormat="1" ht="21" customHeight="1">
      <c r="A117" s="20" t="str">
        <f t="shared" si="62"/>
        <v>►</v>
      </c>
      <c r="B117" s="43" t="str">
        <f t="shared" si="66"/>
        <v>►</v>
      </c>
      <c r="C117" s="45" t="str">
        <f t="shared" si="45"/>
        <v>►</v>
      </c>
      <c r="D117" s="44" t="str">
        <f t="shared" si="46"/>
        <v>►</v>
      </c>
      <c r="E117" s="43" t="str">
        <f t="shared" si="47"/>
        <v>►</v>
      </c>
      <c r="F117" s="43" t="str">
        <f t="shared" si="48"/>
        <v>►</v>
      </c>
      <c r="G117" s="43" t="str">
        <f t="shared" si="49"/>
        <v>►</v>
      </c>
      <c r="H117" s="1256" t="s">
        <v>1</v>
      </c>
      <c r="I117" s="5175" t="s">
        <v>1</v>
      </c>
      <c r="J117" s="5161"/>
      <c r="K117" s="5161"/>
      <c r="L117" s="5161"/>
      <c r="M117" s="5176"/>
      <c r="N117" s="5177"/>
      <c r="O117" s="147"/>
      <c r="P117" s="147"/>
      <c r="Q117" s="102"/>
      <c r="R117" s="102"/>
      <c r="S117" s="1360"/>
      <c r="T117" s="43"/>
      <c r="U117" s="42"/>
      <c r="V117" s="41"/>
      <c r="W117" s="40"/>
      <c r="X117" s="39"/>
      <c r="Y117" s="38"/>
      <c r="Z117" s="37"/>
      <c r="AA117" s="36"/>
      <c r="AB117" s="35"/>
      <c r="AC117" s="34"/>
      <c r="AD117" s="55"/>
      <c r="AE117" s="33"/>
      <c r="AF117"/>
      <c r="AG117" s="32"/>
      <c r="AH117" s="31"/>
      <c r="AI117" s="30"/>
      <c r="AJ117" s="5492">
        <f t="shared" si="54"/>
        <v>0</v>
      </c>
      <c r="AK117" s="54">
        <f t="shared" si="55"/>
        <v>0</v>
      </c>
      <c r="AL117" s="53" t="str">
        <f t="shared" si="56"/>
        <v/>
      </c>
      <c r="AM117" s="52"/>
      <c r="AN117" s="51">
        <f t="shared" si="57"/>
        <v>0</v>
      </c>
      <c r="AO117" s="50">
        <f t="shared" si="58"/>
        <v>0</v>
      </c>
      <c r="AP117" s="49">
        <f t="shared" si="59"/>
        <v>0</v>
      </c>
      <c r="AQ117" s="23"/>
      <c r="AR117" s="48">
        <f t="shared" si="60"/>
        <v>0</v>
      </c>
      <c r="AS117" s="47"/>
      <c r="AT117" s="13"/>
      <c r="AU117" s="46">
        <f t="shared" si="61"/>
        <v>0</v>
      </c>
      <c r="BB117"/>
      <c r="BC117" s="79">
        <f>IF(BE117=BE101,1,LEN(BE117))</f>
        <v>0</v>
      </c>
      <c r="BD117" s="78" t="str" cm="1">
        <f t="array" ref="BD117">IF(BG117="", "", IFERROR(MAX(IF(ISNUMBER(BD102:BD116), BD102:BD116)) + 1, ""))</f>
        <v/>
      </c>
      <c r="BE117" s="77" t="str" cm="1">
        <f t="array" ref="BE117">IFERROR(INDEX(BG103:BG154, MATCH(ROW()-MIN(ROW(BG103:BG154))+1, BD103:BD154, 0)), "")</f>
        <v/>
      </c>
      <c r="BF117" s="5489">
        <f t="shared" si="63"/>
        <v>0</v>
      </c>
      <c r="BG117" s="83" t="str">
        <f t="shared" si="64"/>
        <v/>
      </c>
      <c r="BH117" s="85" t="str">
        <f>SUBSTITUTE(SUBSTITUTE(SUBSTITUTE(SUBSTITUTE(SUBSTITUTE(BH116, ",", "♦"), ";", "♦"), ".", "♦"), " ♦", " "), "♦", " ")</f>
        <v>►</v>
      </c>
      <c r="BI117" s="81" t="e">
        <f>IF(LEN(BJ116)&lt;=BH120, BJ116, IFERROR(LEFT(BJ116, FIND("#", SUBSTITUTE(LEFT(BJ116, BH120+1), " ", "#", LEN(LEFT(BJ116, BH120+1))-LEN(SUBSTITUTE(LEFT(BJ116, BH120+1), " ", ""))))-1), BJ116))</f>
        <v>#VALUE!</v>
      </c>
      <c r="BJ117" s="80" t="e">
        <f t="shared" ref="BJ117:BJ128" si="67">IF(BI117="","",IFERROR(RIGHT(BJ116,LEN(BJ116)-LEN(BI117)-1),""))</f>
        <v>#VALUE!</v>
      </c>
      <c r="BK117" s="62"/>
      <c r="BL117" s="20" t="str">
        <f t="shared" si="50"/>
        <v>►</v>
      </c>
      <c r="BM117" s="62"/>
      <c r="BN117"/>
      <c r="BO117"/>
      <c r="BP117"/>
      <c r="BQ117"/>
      <c r="BR117"/>
      <c r="BS117"/>
      <c r="BT117"/>
      <c r="BU117"/>
      <c r="BV117"/>
      <c r="BW117"/>
      <c r="BX117"/>
      <c r="BY117"/>
      <c r="BZ117"/>
      <c r="CA117"/>
      <c r="CB117"/>
      <c r="CC117"/>
      <c r="CD117"/>
      <c r="CE117"/>
      <c r="CF117"/>
      <c r="CG117"/>
      <c r="CH117"/>
      <c r="CI117"/>
      <c r="CJ117"/>
      <c r="CK117"/>
      <c r="CL117"/>
      <c r="CM117"/>
      <c r="CN117" s="56" t="s">
        <v>1</v>
      </c>
      <c r="CO117" s="5">
        <v>1</v>
      </c>
    </row>
    <row r="118" spans="1:93" s="1" customFormat="1" ht="21" customHeight="1">
      <c r="A118" s="20" t="str">
        <f t="shared" si="62"/>
        <v>►</v>
      </c>
      <c r="B118" s="43" t="str">
        <f t="shared" si="66"/>
        <v>►</v>
      </c>
      <c r="C118" s="45" t="str">
        <f t="shared" si="45"/>
        <v>►</v>
      </c>
      <c r="D118" s="44" t="str">
        <f t="shared" si="46"/>
        <v>►</v>
      </c>
      <c r="E118" s="43" t="str">
        <f t="shared" si="47"/>
        <v>►</v>
      </c>
      <c r="F118" s="43" t="str">
        <f t="shared" si="48"/>
        <v>►</v>
      </c>
      <c r="G118" s="43" t="str">
        <f t="shared" si="49"/>
        <v>►</v>
      </c>
      <c r="H118" s="1256" t="s">
        <v>1</v>
      </c>
      <c r="I118" s="5175" t="s">
        <v>1</v>
      </c>
      <c r="J118" s="5161"/>
      <c r="K118" s="5161"/>
      <c r="L118" s="5161"/>
      <c r="M118" s="5176"/>
      <c r="N118" s="5177"/>
      <c r="O118" s="147"/>
      <c r="P118" s="147"/>
      <c r="Q118" s="102"/>
      <c r="R118" s="102"/>
      <c r="S118" s="1360"/>
      <c r="T118" s="43"/>
      <c r="U118" s="42"/>
      <c r="V118" s="41"/>
      <c r="W118" s="40"/>
      <c r="X118" s="39"/>
      <c r="Y118" s="38"/>
      <c r="Z118" s="37"/>
      <c r="AA118" s="36"/>
      <c r="AB118" s="35"/>
      <c r="AC118" s="34"/>
      <c r="AD118" s="55"/>
      <c r="AE118" s="33"/>
      <c r="AF118"/>
      <c r="AG118" s="32"/>
      <c r="AH118" s="31"/>
      <c r="AI118" s="30"/>
      <c r="AJ118" s="5492">
        <f t="shared" si="54"/>
        <v>0</v>
      </c>
      <c r="AK118" s="29">
        <f t="shared" si="55"/>
        <v>0</v>
      </c>
      <c r="AL118" s="28" t="str">
        <f t="shared" si="56"/>
        <v/>
      </c>
      <c r="AM118" s="27"/>
      <c r="AN118" s="26">
        <f t="shared" si="57"/>
        <v>0</v>
      </c>
      <c r="AO118" s="25">
        <f t="shared" si="58"/>
        <v>0</v>
      </c>
      <c r="AP118" s="24">
        <f t="shared" si="59"/>
        <v>0</v>
      </c>
      <c r="AQ118" s="23"/>
      <c r="AR118" s="22">
        <f t="shared" si="60"/>
        <v>0</v>
      </c>
      <c r="AS118" s="21"/>
      <c r="AT118" s="13"/>
      <c r="AU118" s="46">
        <f t="shared" si="61"/>
        <v>0</v>
      </c>
      <c r="BB118"/>
      <c r="BC118" s="79">
        <f>IF(BE118=BE101,1,LEN(BE118))</f>
        <v>0</v>
      </c>
      <c r="BD118" s="78" t="str" cm="1">
        <f t="array" ref="BD118">IF(BG118="", "", IFERROR(MAX(IF(ISNUMBER(BD102:BD117), BD102:BD117)) + 1, ""))</f>
        <v/>
      </c>
      <c r="BE118" s="77" t="str" cm="1">
        <f t="array" ref="BE118">IFERROR(INDEX(BG103:BG154, MATCH(ROW()-MIN(ROW(BG103:BG154))+1, BD103:BD154, 0)), "")</f>
        <v/>
      </c>
      <c r="BF118" s="5489">
        <f t="shared" si="63"/>
        <v>0</v>
      </c>
      <c r="BG118" s="83" t="str">
        <f t="shared" si="64"/>
        <v/>
      </c>
      <c r="BH118" s="85" t="str">
        <f>IFERROR(SUBSTITUTE(SUBSTITUTE(SUBSTITUTE(SUBSTITUTE(SUBSTITUTE(SUBSTITUTE(BH117, ",", " "), ".", " "), ";", " "), "-", " "), ":", " "), "?", " "), BH117)</f>
        <v>►</v>
      </c>
      <c r="BI118" s="81" t="e">
        <f>IF(LEN(BJ117)&lt;=BH120,BJ117,LEFT(BJ117,FIND("#",SUBSTITUTE(LEFT(BJ117,BH120+1)," ","#",LEN(LEFT(BJ117,BH120+1))-LEN(SUBSTITUTE(LEFT(BJ117,BH120+1)," ",""))))-1))</f>
        <v>#VALUE!</v>
      </c>
      <c r="BJ118" s="80" t="e">
        <f t="shared" si="67"/>
        <v>#VALUE!</v>
      </c>
      <c r="BK118" s="62"/>
      <c r="BL118" s="20" t="str">
        <f t="shared" si="50"/>
        <v>►</v>
      </c>
      <c r="BM118" s="62"/>
      <c r="BN118"/>
      <c r="BO118"/>
      <c r="BP118"/>
      <c r="BQ118"/>
      <c r="BR118"/>
      <c r="BS118"/>
      <c r="BT118"/>
      <c r="BU118"/>
      <c r="BV118"/>
      <c r="BW118"/>
      <c r="BX118"/>
      <c r="BY118"/>
      <c r="BZ118"/>
      <c r="CA118"/>
      <c r="CB118"/>
      <c r="CC118"/>
      <c r="CD118"/>
      <c r="CE118"/>
      <c r="CF118"/>
      <c r="CG118"/>
      <c r="CH118"/>
      <c r="CI118"/>
      <c r="CJ118"/>
      <c r="CK118"/>
      <c r="CL118"/>
      <c r="CM118"/>
      <c r="CN118" s="56" t="s">
        <v>1</v>
      </c>
      <c r="CO118" s="5">
        <v>1</v>
      </c>
    </row>
    <row r="119" spans="1:93" s="1" customFormat="1" ht="21" customHeight="1">
      <c r="A119" s="20" t="str">
        <f t="shared" si="62"/>
        <v>►</v>
      </c>
      <c r="B119" s="43" t="str">
        <f t="shared" si="66"/>
        <v>►</v>
      </c>
      <c r="C119" s="45" t="str">
        <f t="shared" si="45"/>
        <v>►</v>
      </c>
      <c r="D119" s="44" t="str">
        <f t="shared" si="46"/>
        <v>►</v>
      </c>
      <c r="E119" s="43" t="str">
        <f t="shared" si="47"/>
        <v>►</v>
      </c>
      <c r="F119" s="43" t="str">
        <f t="shared" si="48"/>
        <v>►</v>
      </c>
      <c r="G119" s="43" t="str">
        <f t="shared" si="49"/>
        <v>►</v>
      </c>
      <c r="H119" s="1256" t="s">
        <v>1</v>
      </c>
      <c r="I119" s="5175" t="s">
        <v>1</v>
      </c>
      <c r="J119" s="5161"/>
      <c r="K119" s="5161"/>
      <c r="L119" s="5161"/>
      <c r="M119" s="5176"/>
      <c r="N119" s="5177"/>
      <c r="O119" s="147"/>
      <c r="P119" s="147"/>
      <c r="Q119" s="102"/>
      <c r="R119" s="102"/>
      <c r="S119" s="1360"/>
      <c r="T119" s="43"/>
      <c r="U119" s="42"/>
      <c r="V119" s="41"/>
      <c r="W119" s="40"/>
      <c r="X119" s="39"/>
      <c r="Y119" s="38"/>
      <c r="Z119" s="37"/>
      <c r="AA119" s="36"/>
      <c r="AB119" s="35"/>
      <c r="AC119" s="34"/>
      <c r="AD119" s="55"/>
      <c r="AE119" s="33"/>
      <c r="AF119"/>
      <c r="AG119" s="32"/>
      <c r="AH119" s="31"/>
      <c r="AI119" s="30"/>
      <c r="AJ119" s="5492">
        <f t="shared" si="54"/>
        <v>0</v>
      </c>
      <c r="AK119" s="54">
        <f t="shared" si="55"/>
        <v>0</v>
      </c>
      <c r="AL119" s="53" t="str">
        <f t="shared" si="56"/>
        <v/>
      </c>
      <c r="AM119" s="52"/>
      <c r="AN119" s="51">
        <f t="shared" si="57"/>
        <v>0</v>
      </c>
      <c r="AO119" s="50">
        <f t="shared" si="58"/>
        <v>0</v>
      </c>
      <c r="AP119" s="49">
        <f t="shared" si="59"/>
        <v>0</v>
      </c>
      <c r="AQ119" s="23"/>
      <c r="AR119" s="48">
        <f t="shared" si="60"/>
        <v>0</v>
      </c>
      <c r="AS119" s="47"/>
      <c r="AT119" s="13"/>
      <c r="AU119" s="46">
        <f t="shared" si="61"/>
        <v>0</v>
      </c>
      <c r="BB119"/>
      <c r="BC119" s="79">
        <f>IF(BE119=BE101,1,LEN(BE119))</f>
        <v>0</v>
      </c>
      <c r="BD119" s="78" t="str" cm="1">
        <f t="array" ref="BD119">IF(BG119="", "", IFERROR(MAX(IF(ISNUMBER(BD102:BD118), BD102:BD118)) + 1, ""))</f>
        <v/>
      </c>
      <c r="BE119" s="77" t="str" cm="1">
        <f t="array" ref="BE119">IFERROR(INDEX(BG103:BG154, MATCH(ROW()-MIN(ROW(BG103:BG154))+1, BD103:BD154, 0)), "")</f>
        <v/>
      </c>
      <c r="BF119" s="5489">
        <f t="shared" si="63"/>
        <v>0</v>
      </c>
      <c r="BG119" s="83" t="str">
        <f t="shared" si="64"/>
        <v/>
      </c>
      <c r="BH119" s="85" t="str">
        <f>IFERROR(SUBSTITUTE(SUBSTITUTE(SUBSTITUTE(SUBSTITUTE(BH118, " , ", " "), ";", " "), "  ", " "), " ", " "), BH118)</f>
        <v>►</v>
      </c>
      <c r="BI119" s="81" t="e">
        <f>IF(LEN(BJ118)&lt;=BH120,BJ118,LEFT(BJ118,FIND("#",SUBSTITUTE(LEFT(BJ118,BH120+1)," ","#",LEN(LEFT(BJ118,BH120+1))-LEN(SUBSTITUTE(LEFT(BJ118,BH120+1)," ",""))))-1))</f>
        <v>#VALUE!</v>
      </c>
      <c r="BJ119" s="80" t="e">
        <f t="shared" si="67"/>
        <v>#VALUE!</v>
      </c>
      <c r="BK119" s="62"/>
      <c r="BL119" s="20" t="str">
        <f t="shared" si="50"/>
        <v>►</v>
      </c>
      <c r="BM119"/>
      <c r="BN119"/>
      <c r="BO119"/>
      <c r="BP119"/>
      <c r="BQ119"/>
      <c r="BR119"/>
      <c r="BS119"/>
      <c r="BT119"/>
      <c r="BU119"/>
      <c r="BV119"/>
      <c r="BW119"/>
      <c r="BX119"/>
      <c r="BY119"/>
      <c r="BZ119"/>
      <c r="CA119"/>
      <c r="CB119"/>
      <c r="CC119"/>
      <c r="CD119"/>
      <c r="CE119"/>
      <c r="CF119"/>
      <c r="CG119"/>
      <c r="CH119"/>
      <c r="CI119"/>
      <c r="CJ119"/>
      <c r="CK119"/>
      <c r="CL119"/>
      <c r="CM119"/>
      <c r="CN119" s="56" t="s">
        <v>1</v>
      </c>
      <c r="CO119" s="5">
        <v>1</v>
      </c>
    </row>
    <row r="120" spans="1:93" s="1" customFormat="1" ht="21" customHeight="1">
      <c r="A120" s="20" t="str">
        <f t="shared" si="62"/>
        <v>►</v>
      </c>
      <c r="B120" s="43" t="str">
        <f t="shared" si="66"/>
        <v>►</v>
      </c>
      <c r="C120" s="45" t="str">
        <f t="shared" si="45"/>
        <v>►</v>
      </c>
      <c r="D120" s="44" t="str">
        <f t="shared" si="46"/>
        <v>►</v>
      </c>
      <c r="E120" s="43" t="str">
        <f t="shared" si="47"/>
        <v>►</v>
      </c>
      <c r="F120" s="43" t="str">
        <f t="shared" si="48"/>
        <v>►</v>
      </c>
      <c r="G120" s="43" t="str">
        <f t="shared" si="49"/>
        <v>►</v>
      </c>
      <c r="H120" s="1256" t="s">
        <v>1</v>
      </c>
      <c r="I120" s="5175" t="s">
        <v>1</v>
      </c>
      <c r="J120" s="5161"/>
      <c r="K120" s="5161"/>
      <c r="L120" s="5161"/>
      <c r="M120" s="5176"/>
      <c r="N120" s="5177"/>
      <c r="O120" s="147"/>
      <c r="P120" s="147"/>
      <c r="Q120" s="102"/>
      <c r="R120" s="102"/>
      <c r="S120" s="1360"/>
      <c r="T120" s="43"/>
      <c r="U120" s="42"/>
      <c r="V120" s="41"/>
      <c r="W120" s="40"/>
      <c r="X120" s="39"/>
      <c r="Y120" s="38"/>
      <c r="Z120" s="37"/>
      <c r="AA120" s="36"/>
      <c r="AB120" s="35"/>
      <c r="AC120" s="34"/>
      <c r="AD120" s="55"/>
      <c r="AE120" s="33"/>
      <c r="AF120"/>
      <c r="AG120" s="32"/>
      <c r="AH120" s="31"/>
      <c r="AI120" s="30"/>
      <c r="AJ120" s="5492">
        <f t="shared" si="54"/>
        <v>0</v>
      </c>
      <c r="AK120" s="29">
        <f t="shared" si="55"/>
        <v>0</v>
      </c>
      <c r="AL120" s="28" t="str">
        <f t="shared" si="56"/>
        <v/>
      </c>
      <c r="AM120" s="27"/>
      <c r="AN120" s="26">
        <f t="shared" si="57"/>
        <v>0</v>
      </c>
      <c r="AO120" s="25">
        <f t="shared" si="58"/>
        <v>0</v>
      </c>
      <c r="AP120" s="24">
        <f t="shared" si="59"/>
        <v>0</v>
      </c>
      <c r="AQ120" s="23"/>
      <c r="AR120" s="22">
        <f t="shared" si="60"/>
        <v>0</v>
      </c>
      <c r="AS120" s="21"/>
      <c r="AT120" s="13"/>
      <c r="AU120" s="46">
        <f t="shared" si="61"/>
        <v>0</v>
      </c>
      <c r="BB120"/>
      <c r="BC120" s="79">
        <f>IF(BE120=BE101,1,LEN(BE120))</f>
        <v>0</v>
      </c>
      <c r="BD120" s="78" t="str" cm="1">
        <f t="array" ref="BD120">IF(BG120="", "", IFERROR(MAX(IF(ISNUMBER(BD102:BD119), BD102:BD119)) + 1, ""))</f>
        <v/>
      </c>
      <c r="BE120" s="77" t="str" cm="1">
        <f t="array" ref="BE120">IFERROR(INDEX(BG103:BG154, MATCH(ROW()-MIN(ROW(BG103:BG154))+1, BD103:BD154, 0)), "")</f>
        <v/>
      </c>
      <c r="BF120" s="5489">
        <f t="shared" si="63"/>
        <v>0</v>
      </c>
      <c r="BG120" s="83" t="str">
        <f t="shared" si="64"/>
        <v/>
      </c>
      <c r="BH120" s="84">
        <f>BE92</f>
        <v>90</v>
      </c>
      <c r="BI120" s="81" t="e">
        <f>IF(LEN(BJ119)&lt;=BH120,BJ119,LEFT(BJ119,FIND("#",SUBSTITUTE(LEFT(BJ119,BH120+1)," ","#",LEN(LEFT(BJ119,BH120+1))-LEN(SUBSTITUTE(LEFT(BJ119,BH120+1)," ",""))))-1))</f>
        <v>#VALUE!</v>
      </c>
      <c r="BJ120" s="80" t="e">
        <f t="shared" si="67"/>
        <v>#VALUE!</v>
      </c>
      <c r="BK120" s="62"/>
      <c r="BL120" s="20" t="str">
        <f t="shared" si="50"/>
        <v>►</v>
      </c>
      <c r="BM120"/>
      <c r="BN120"/>
      <c r="BO120"/>
      <c r="BP120"/>
      <c r="BQ120"/>
      <c r="BR120"/>
      <c r="BS120"/>
      <c r="BT120"/>
      <c r="BU120"/>
      <c r="BV120"/>
      <c r="BW120"/>
      <c r="BX120"/>
      <c r="BY120"/>
      <c r="BZ120"/>
      <c r="CA120"/>
      <c r="CB120"/>
      <c r="CC120"/>
      <c r="CD120"/>
      <c r="CE120"/>
      <c r="CF120"/>
      <c r="CG120"/>
      <c r="CH120"/>
      <c r="CI120"/>
      <c r="CJ120"/>
      <c r="CK120"/>
      <c r="CL120"/>
      <c r="CM120"/>
      <c r="CN120" s="56" t="s">
        <v>1</v>
      </c>
      <c r="CO120" s="5">
        <v>1</v>
      </c>
    </row>
    <row r="121" spans="1:93" s="1" customFormat="1" ht="21" customHeight="1">
      <c r="A121" s="20" t="str">
        <f t="shared" si="62"/>
        <v>►</v>
      </c>
      <c r="B121" s="43" t="str">
        <f t="shared" si="66"/>
        <v>►</v>
      </c>
      <c r="C121" s="45" t="str">
        <f t="shared" si="45"/>
        <v>►</v>
      </c>
      <c r="D121" s="44" t="str">
        <f t="shared" si="46"/>
        <v>►</v>
      </c>
      <c r="E121" s="43" t="str">
        <f t="shared" si="47"/>
        <v>►</v>
      </c>
      <c r="F121" s="43" t="str">
        <f t="shared" si="48"/>
        <v>►</v>
      </c>
      <c r="G121" s="43" t="str">
        <f t="shared" si="49"/>
        <v>►</v>
      </c>
      <c r="H121" s="1256" t="s">
        <v>1</v>
      </c>
      <c r="I121" s="5175" t="s">
        <v>1</v>
      </c>
      <c r="J121" s="5161"/>
      <c r="K121" s="5161"/>
      <c r="L121" s="5161"/>
      <c r="M121" s="5176"/>
      <c r="N121" s="5177"/>
      <c r="O121" s="147"/>
      <c r="P121" s="147"/>
      <c r="Q121" s="102"/>
      <c r="R121" s="102"/>
      <c r="S121" s="1360"/>
      <c r="T121" s="43"/>
      <c r="U121" s="42"/>
      <c r="V121" s="41"/>
      <c r="W121" s="40"/>
      <c r="X121" s="39"/>
      <c r="Y121" s="38"/>
      <c r="Z121" s="37"/>
      <c r="AA121" s="36"/>
      <c r="AB121" s="35"/>
      <c r="AC121" s="34"/>
      <c r="AD121" s="55"/>
      <c r="AE121" s="33"/>
      <c r="AF121"/>
      <c r="AG121" s="32"/>
      <c r="AH121" s="31"/>
      <c r="AI121" s="30"/>
      <c r="AJ121" s="5492">
        <f t="shared" si="54"/>
        <v>0</v>
      </c>
      <c r="AK121" s="54">
        <f t="shared" si="55"/>
        <v>0</v>
      </c>
      <c r="AL121" s="53" t="str">
        <f t="shared" si="56"/>
        <v/>
      </c>
      <c r="AM121" s="52"/>
      <c r="AN121" s="51">
        <f t="shared" si="57"/>
        <v>0</v>
      </c>
      <c r="AO121" s="50">
        <f t="shared" si="58"/>
        <v>0</v>
      </c>
      <c r="AP121" s="49">
        <f t="shared" si="59"/>
        <v>0</v>
      </c>
      <c r="AQ121" s="23"/>
      <c r="AR121" s="48">
        <f t="shared" si="60"/>
        <v>0</v>
      </c>
      <c r="AS121" s="47"/>
      <c r="AT121" s="13"/>
      <c r="AU121" s="46">
        <f t="shared" si="61"/>
        <v>0</v>
      </c>
      <c r="BB121"/>
      <c r="BC121" s="79">
        <f>IF(BE121=BE101,1,LEN(BE121))</f>
        <v>0</v>
      </c>
      <c r="BD121" s="78" t="str" cm="1">
        <f t="array" ref="BD121">IF(BG121="", "", IFERROR(MAX(IF(ISNUMBER(BD102:BD120), BD102:BD120)) + 1, ""))</f>
        <v/>
      </c>
      <c r="BE121" s="77" t="str" cm="1">
        <f t="array" ref="BE121">IFERROR(INDEX(BG103:BG154, MATCH(ROW()-MIN(ROW(BG103:BG154))+1, BD103:BD154, 0)), "")</f>
        <v/>
      </c>
      <c r="BF121" s="5489">
        <f t="shared" si="63"/>
        <v>0</v>
      </c>
      <c r="BG121" s="83" t="str">
        <f t="shared" si="64"/>
        <v/>
      </c>
      <c r="BH121" s="82"/>
      <c r="BI121" s="81" t="e">
        <f>IF(LEN(BJ120)&lt;=BH120,BJ120,LEFT(BJ120,FIND("#",SUBSTITUTE(LEFT(BJ120,BH120+1)," ","#",LEN(LEFT(BJ120,BH120+1))-LEN(SUBSTITUTE(LEFT(BJ120,BH120+1)," ",""))))-1))</f>
        <v>#VALUE!</v>
      </c>
      <c r="BJ121" s="80" t="e">
        <f t="shared" si="67"/>
        <v>#VALUE!</v>
      </c>
      <c r="BK121" s="62"/>
      <c r="BL121" s="20" t="str">
        <f t="shared" si="50"/>
        <v>►</v>
      </c>
      <c r="BM121"/>
      <c r="BN121"/>
      <c r="BO121"/>
      <c r="BP121"/>
      <c r="BQ121"/>
      <c r="BR121"/>
      <c r="BS121"/>
      <c r="BT121"/>
      <c r="BU121"/>
      <c r="BV121"/>
      <c r="BW121"/>
      <c r="BX121"/>
      <c r="BY121"/>
      <c r="BZ121"/>
      <c r="CA121"/>
      <c r="CB121"/>
      <c r="CC121"/>
      <c r="CD121"/>
      <c r="CE121"/>
      <c r="CF121"/>
      <c r="CG121"/>
      <c r="CH121"/>
      <c r="CI121"/>
      <c r="CJ121"/>
      <c r="CK121"/>
      <c r="CL121"/>
      <c r="CM121"/>
      <c r="CN121" s="56" t="s">
        <v>1</v>
      </c>
      <c r="CO121" s="5">
        <v>1</v>
      </c>
    </row>
    <row r="122" spans="1:93" s="1" customFormat="1" ht="21" customHeight="1">
      <c r="A122" s="20" t="str">
        <f t="shared" si="62"/>
        <v>►</v>
      </c>
      <c r="B122" s="43" t="str">
        <f t="shared" si="66"/>
        <v>►</v>
      </c>
      <c r="C122" s="45" t="str">
        <f t="shared" si="45"/>
        <v>►</v>
      </c>
      <c r="D122" s="44" t="str">
        <f t="shared" si="46"/>
        <v>►</v>
      </c>
      <c r="E122" s="43" t="str">
        <f t="shared" si="47"/>
        <v>►</v>
      </c>
      <c r="F122" s="43" t="str">
        <f t="shared" si="48"/>
        <v>►</v>
      </c>
      <c r="G122" s="43" t="str">
        <f t="shared" si="49"/>
        <v>►</v>
      </c>
      <c r="H122" s="1256" t="s">
        <v>1</v>
      </c>
      <c r="I122" s="5175" t="s">
        <v>1</v>
      </c>
      <c r="J122" s="5161"/>
      <c r="K122" s="5161"/>
      <c r="L122" s="5161"/>
      <c r="M122" s="5176"/>
      <c r="N122" s="5177"/>
      <c r="O122" s="147"/>
      <c r="P122" s="147"/>
      <c r="Q122" s="102"/>
      <c r="R122" s="102"/>
      <c r="S122" s="1360"/>
      <c r="T122" s="43"/>
      <c r="U122" s="42"/>
      <c r="V122" s="41"/>
      <c r="W122" s="40"/>
      <c r="X122" s="39"/>
      <c r="Y122" s="38"/>
      <c r="Z122" s="37"/>
      <c r="AA122" s="36"/>
      <c r="AB122" s="35"/>
      <c r="AC122" s="34"/>
      <c r="AD122" s="55"/>
      <c r="AE122" s="33"/>
      <c r="AF122"/>
      <c r="AG122" s="32"/>
      <c r="AH122" s="31"/>
      <c r="AI122" s="30"/>
      <c r="AJ122" s="5492">
        <f t="shared" si="54"/>
        <v>0</v>
      </c>
      <c r="AK122" s="29">
        <f t="shared" si="55"/>
        <v>0</v>
      </c>
      <c r="AL122" s="28" t="str">
        <f t="shared" si="56"/>
        <v/>
      </c>
      <c r="AM122" s="27"/>
      <c r="AN122" s="26">
        <f t="shared" si="57"/>
        <v>0</v>
      </c>
      <c r="AO122" s="25">
        <f t="shared" si="58"/>
        <v>0</v>
      </c>
      <c r="AP122" s="24">
        <f t="shared" si="59"/>
        <v>0</v>
      </c>
      <c r="AQ122" s="23"/>
      <c r="AR122" s="22">
        <f t="shared" si="60"/>
        <v>0</v>
      </c>
      <c r="AS122" s="21"/>
      <c r="AT122" s="13"/>
      <c r="AU122" s="46">
        <f t="shared" si="61"/>
        <v>0</v>
      </c>
      <c r="BB122"/>
      <c r="BC122" s="79">
        <f>IF(BE122=BE101,1,LEN(BE122))</f>
        <v>0</v>
      </c>
      <c r="BD122" s="78" t="str" cm="1">
        <f t="array" ref="BD122">IF(BG122="", "", IFERROR(MAX(IF(ISNUMBER(BD102:BD121), BD102:BD121)) + 1, ""))</f>
        <v/>
      </c>
      <c r="BE122" s="77" t="str" cm="1">
        <f t="array" ref="BE122">IFERROR(INDEX(BG103:BG154, MATCH(ROW()-MIN(ROW(BG103:BG154))+1, BD103:BD154, 0)), "")</f>
        <v/>
      </c>
      <c r="BF122" s="5489">
        <f t="shared" si="63"/>
        <v>0</v>
      </c>
      <c r="BG122" s="83" t="str">
        <f t="shared" si="64"/>
        <v/>
      </c>
      <c r="BH122" s="82"/>
      <c r="BI122" s="81" t="e">
        <f>IF(LEN(BJ121)&lt;=BH120,BJ121,LEFT(BJ121,FIND("#",SUBSTITUTE(LEFT(BJ121,BH120+1)," ","#",LEN(LEFT(BJ121,BH120+1))-LEN(SUBSTITUTE(LEFT(BJ121,BH120+1)," ",""))))-1))</f>
        <v>#VALUE!</v>
      </c>
      <c r="BJ122" s="80" t="e">
        <f t="shared" si="67"/>
        <v>#VALUE!</v>
      </c>
      <c r="BK122" s="62"/>
      <c r="BL122" s="20" t="str">
        <f t="shared" si="50"/>
        <v>►</v>
      </c>
      <c r="BM122"/>
      <c r="BN122"/>
      <c r="BO122"/>
      <c r="BP122"/>
      <c r="BQ122"/>
      <c r="BR122"/>
      <c r="BS122"/>
      <c r="BT122"/>
      <c r="BU122"/>
      <c r="BV122"/>
      <c r="BW122"/>
      <c r="BX122"/>
      <c r="BY122"/>
      <c r="BZ122"/>
      <c r="CA122"/>
      <c r="CB122"/>
      <c r="CC122"/>
      <c r="CD122"/>
      <c r="CE122"/>
      <c r="CF122"/>
      <c r="CG122"/>
      <c r="CH122"/>
      <c r="CI122"/>
      <c r="CJ122"/>
      <c r="CK122"/>
      <c r="CL122"/>
      <c r="CM122"/>
      <c r="CN122" s="56" t="s">
        <v>1</v>
      </c>
      <c r="CO122" s="5">
        <v>1</v>
      </c>
    </row>
    <row r="123" spans="1:93" s="1" customFormat="1" ht="21" customHeight="1">
      <c r="A123" s="20" t="str">
        <f t="shared" si="62"/>
        <v>►</v>
      </c>
      <c r="B123" s="43" t="str">
        <f t="shared" si="66"/>
        <v>►</v>
      </c>
      <c r="C123" s="45" t="str">
        <f t="shared" si="45"/>
        <v>►</v>
      </c>
      <c r="D123" s="44" t="str">
        <f t="shared" si="46"/>
        <v>►</v>
      </c>
      <c r="E123" s="43" t="str">
        <f t="shared" si="47"/>
        <v>►</v>
      </c>
      <c r="F123" s="43" t="str">
        <f t="shared" si="48"/>
        <v>►</v>
      </c>
      <c r="G123" s="43" t="str">
        <f t="shared" si="49"/>
        <v>►</v>
      </c>
      <c r="H123" s="1256" t="s">
        <v>1</v>
      </c>
      <c r="I123" s="5175" t="s">
        <v>1</v>
      </c>
      <c r="J123" s="5161"/>
      <c r="K123" s="5161"/>
      <c r="L123" s="5161"/>
      <c r="M123" s="5176"/>
      <c r="N123" s="5177"/>
      <c r="O123" s="147"/>
      <c r="P123" s="147"/>
      <c r="Q123" s="102"/>
      <c r="R123" s="102"/>
      <c r="S123" s="1360"/>
      <c r="T123" s="43"/>
      <c r="U123" s="42"/>
      <c r="V123" s="41"/>
      <c r="W123" s="40"/>
      <c r="X123" s="39"/>
      <c r="Y123" s="38"/>
      <c r="Z123" s="37"/>
      <c r="AA123" s="36"/>
      <c r="AB123" s="35"/>
      <c r="AC123" s="34"/>
      <c r="AD123" s="55"/>
      <c r="AE123" s="33"/>
      <c r="AF123"/>
      <c r="AG123" s="32"/>
      <c r="AH123" s="31"/>
      <c r="AI123" s="30"/>
      <c r="AJ123" s="5492">
        <f t="shared" si="54"/>
        <v>0</v>
      </c>
      <c r="AK123" s="54">
        <f t="shared" si="55"/>
        <v>0</v>
      </c>
      <c r="AL123" s="53" t="str">
        <f t="shared" si="56"/>
        <v/>
      </c>
      <c r="AM123" s="52"/>
      <c r="AN123" s="51">
        <f t="shared" si="57"/>
        <v>0</v>
      </c>
      <c r="AO123" s="50">
        <f t="shared" si="58"/>
        <v>0</v>
      </c>
      <c r="AP123" s="49">
        <f t="shared" si="59"/>
        <v>0</v>
      </c>
      <c r="AQ123" s="23"/>
      <c r="AR123" s="48">
        <f t="shared" si="60"/>
        <v>0</v>
      </c>
      <c r="AS123" s="47"/>
      <c r="AT123" s="13"/>
      <c r="AU123" s="46">
        <f t="shared" si="61"/>
        <v>0</v>
      </c>
      <c r="BB123"/>
      <c r="BC123" s="79">
        <f>IF(BE123=BE101,1,LEN(BE123))</f>
        <v>0</v>
      </c>
      <c r="BD123" s="78" t="str" cm="1">
        <f t="array" ref="BD123">IF(BG123="", "", IFERROR(MAX(IF(ISNUMBER(BD102:BD122), BD102:BD122)) + 1, ""))</f>
        <v/>
      </c>
      <c r="BE123" s="77" t="str" cm="1">
        <f t="array" ref="BE123">IFERROR(INDEX(BG103:BG154, MATCH(ROW()-MIN(ROW(BG103:BG154))+1, BD103:BD154, 0)), "")</f>
        <v/>
      </c>
      <c r="BF123" s="5489">
        <f t="shared" si="63"/>
        <v>0</v>
      </c>
      <c r="BG123" s="83" t="str">
        <f t="shared" si="64"/>
        <v/>
      </c>
      <c r="BH123" s="82"/>
      <c r="BI123" s="81" t="e">
        <f>IF(LEN(BJ122)&lt;=BH120,BJ122,LEFT(BJ122,FIND("#",SUBSTITUTE(LEFT(BJ122,BH120+1)," ","#",LEN(LEFT(BJ122,BH120+1))-LEN(SUBSTITUTE(LEFT(BJ122,BH120+1)," ",""))))-1))</f>
        <v>#VALUE!</v>
      </c>
      <c r="BJ123" s="80" t="e">
        <f t="shared" si="67"/>
        <v>#VALUE!</v>
      </c>
      <c r="BK123" s="62"/>
      <c r="BL123" s="20" t="str">
        <f t="shared" si="50"/>
        <v>►</v>
      </c>
      <c r="BM123"/>
      <c r="BN123"/>
      <c r="BO123"/>
      <c r="BP123"/>
      <c r="BQ123"/>
      <c r="BR123"/>
      <c r="BS123"/>
      <c r="BT123"/>
      <c r="BU123"/>
      <c r="BV123"/>
      <c r="BW123"/>
      <c r="BX123"/>
      <c r="BY123"/>
      <c r="BZ123"/>
      <c r="CA123"/>
      <c r="CB123"/>
      <c r="CC123"/>
      <c r="CD123"/>
      <c r="CE123"/>
      <c r="CF123"/>
      <c r="CG123"/>
      <c r="CH123"/>
      <c r="CI123"/>
      <c r="CJ123"/>
      <c r="CK123"/>
      <c r="CL123"/>
      <c r="CM123"/>
      <c r="CN123" s="56" t="s">
        <v>1</v>
      </c>
      <c r="CO123" s="5">
        <v>1</v>
      </c>
    </row>
    <row r="124" spans="1:93" s="1" customFormat="1" ht="21" customHeight="1">
      <c r="A124" s="20" t="str">
        <f t="shared" si="62"/>
        <v>►</v>
      </c>
      <c r="B124" s="43" t="str">
        <f t="shared" si="66"/>
        <v>►</v>
      </c>
      <c r="C124" s="45" t="str">
        <f t="shared" si="45"/>
        <v>►</v>
      </c>
      <c r="D124" s="44" t="str">
        <f t="shared" si="46"/>
        <v>►</v>
      </c>
      <c r="E124" s="43" t="str">
        <f t="shared" si="47"/>
        <v>►</v>
      </c>
      <c r="F124" s="43" t="str">
        <f t="shared" si="48"/>
        <v>►</v>
      </c>
      <c r="G124" s="43" t="str">
        <f t="shared" si="49"/>
        <v>►</v>
      </c>
      <c r="H124" s="1256" t="s">
        <v>1</v>
      </c>
      <c r="I124" s="5175" t="s">
        <v>1</v>
      </c>
      <c r="J124" s="5161"/>
      <c r="K124" s="5161"/>
      <c r="L124" s="5161"/>
      <c r="M124" s="5176"/>
      <c r="N124" s="5177"/>
      <c r="O124" s="147"/>
      <c r="P124" s="147"/>
      <c r="Q124" s="102"/>
      <c r="R124" s="102"/>
      <c r="S124" s="1360"/>
      <c r="T124" s="43"/>
      <c r="U124" s="42"/>
      <c r="V124" s="41"/>
      <c r="W124" s="40"/>
      <c r="X124" s="39"/>
      <c r="Y124" s="38"/>
      <c r="Z124" s="37"/>
      <c r="AA124" s="36"/>
      <c r="AB124" s="35"/>
      <c r="AC124" s="34"/>
      <c r="AD124" s="55"/>
      <c r="AE124" s="33"/>
      <c r="AF124"/>
      <c r="AG124" s="32"/>
      <c r="AH124" s="31"/>
      <c r="AI124" s="30"/>
      <c r="AJ124" s="5492">
        <f t="shared" si="54"/>
        <v>0</v>
      </c>
      <c r="AK124" s="29">
        <f t="shared" si="55"/>
        <v>0</v>
      </c>
      <c r="AL124" s="28" t="str">
        <f t="shared" si="56"/>
        <v/>
      </c>
      <c r="AM124" s="27"/>
      <c r="AN124" s="26">
        <f t="shared" si="57"/>
        <v>0</v>
      </c>
      <c r="AO124" s="25">
        <f t="shared" si="58"/>
        <v>0</v>
      </c>
      <c r="AP124" s="24">
        <f t="shared" si="59"/>
        <v>0</v>
      </c>
      <c r="AQ124" s="23"/>
      <c r="AR124" s="22">
        <f t="shared" si="60"/>
        <v>0</v>
      </c>
      <c r="AS124" s="21"/>
      <c r="AT124" s="13"/>
      <c r="AU124" s="46">
        <f t="shared" si="61"/>
        <v>0</v>
      </c>
      <c r="BB124"/>
      <c r="BC124" s="79">
        <f>IF(BE124=BE101,1,LEN(BE124))</f>
        <v>0</v>
      </c>
      <c r="BD124" s="78" t="str" cm="1">
        <f t="array" ref="BD124">IF(BG124="", "", IFERROR(MAX(IF(ISNUMBER(BD102:BD123), BD102:BD123)) + 1, ""))</f>
        <v/>
      </c>
      <c r="BE124" s="77" t="str" cm="1">
        <f t="array" ref="BE124">IFERROR(INDEX(BG103:BG154, MATCH(ROW()-MIN(ROW(BG103:BG154))+1, BD103:BD154, 0)), "")</f>
        <v/>
      </c>
      <c r="BF124" s="5489">
        <f t="shared" si="63"/>
        <v>0</v>
      </c>
      <c r="BG124" s="83" t="str">
        <f t="shared" si="64"/>
        <v/>
      </c>
      <c r="BH124" s="82"/>
      <c r="BI124" s="81" t="e">
        <f>IF(LEN(BJ123)&lt;=BH120,BJ123,LEFT(BJ123,FIND("#",SUBSTITUTE(LEFT(BJ123,BH120+1)," ","#",LEN(LEFT(BJ123,BH120+1))-LEN(SUBSTITUTE(LEFT(BJ123,BH120+1)," ",""))))-1))</f>
        <v>#VALUE!</v>
      </c>
      <c r="BJ124" s="80" t="e">
        <f t="shared" si="67"/>
        <v>#VALUE!</v>
      </c>
      <c r="BK124" s="62"/>
      <c r="BL124" s="20" t="str">
        <f t="shared" si="50"/>
        <v>►</v>
      </c>
      <c r="BM124"/>
      <c r="BN124"/>
      <c r="BO124"/>
      <c r="BP124"/>
      <c r="BQ124"/>
      <c r="BR124"/>
      <c r="BS124"/>
      <c r="BT124"/>
      <c r="BU124"/>
      <c r="BV124"/>
      <c r="BW124"/>
      <c r="BX124"/>
      <c r="BY124"/>
      <c r="BZ124"/>
      <c r="CA124"/>
      <c r="CB124"/>
      <c r="CC124"/>
      <c r="CD124"/>
      <c r="CE124"/>
      <c r="CF124"/>
      <c r="CG124"/>
      <c r="CH124"/>
      <c r="CI124"/>
      <c r="CJ124"/>
      <c r="CK124"/>
      <c r="CL124"/>
      <c r="CM124"/>
      <c r="CN124" s="56" t="s">
        <v>1</v>
      </c>
      <c r="CO124" s="5">
        <v>1</v>
      </c>
    </row>
    <row r="125" spans="1:93" s="1" customFormat="1" ht="21" customHeight="1">
      <c r="A125" s="20" t="str">
        <f t="shared" si="62"/>
        <v>►</v>
      </c>
      <c r="B125" s="43" t="str">
        <f t="shared" si="66"/>
        <v>►</v>
      </c>
      <c r="C125" s="45" t="str">
        <f t="shared" si="45"/>
        <v>►</v>
      </c>
      <c r="D125" s="44" t="str">
        <f t="shared" si="46"/>
        <v>►</v>
      </c>
      <c r="E125" s="43" t="str">
        <f t="shared" si="47"/>
        <v>►</v>
      </c>
      <c r="F125" s="43" t="str">
        <f t="shared" si="48"/>
        <v>►</v>
      </c>
      <c r="G125" s="43" t="str">
        <f t="shared" si="49"/>
        <v>►</v>
      </c>
      <c r="H125" s="1256" t="s">
        <v>1</v>
      </c>
      <c r="I125" s="5175" t="s">
        <v>1</v>
      </c>
      <c r="J125" s="5161"/>
      <c r="K125" s="5161"/>
      <c r="L125" s="5161"/>
      <c r="M125" s="5176"/>
      <c r="N125" s="5177"/>
      <c r="O125" s="147"/>
      <c r="P125" s="147"/>
      <c r="Q125" s="102"/>
      <c r="R125" s="102"/>
      <c r="S125" s="1360"/>
      <c r="T125" s="43"/>
      <c r="U125" s="42"/>
      <c r="V125" s="41"/>
      <c r="W125" s="40"/>
      <c r="X125" s="39"/>
      <c r="Y125" s="38"/>
      <c r="Z125" s="37"/>
      <c r="AA125" s="36"/>
      <c r="AB125" s="35"/>
      <c r="AC125" s="34"/>
      <c r="AD125" s="55"/>
      <c r="AE125" s="33"/>
      <c r="AF125"/>
      <c r="AG125" s="32"/>
      <c r="AH125" s="31"/>
      <c r="AI125" s="30"/>
      <c r="AJ125" s="5492">
        <f t="shared" si="54"/>
        <v>0</v>
      </c>
      <c r="AK125" s="54">
        <f t="shared" si="55"/>
        <v>0</v>
      </c>
      <c r="AL125" s="53" t="str">
        <f t="shared" si="56"/>
        <v/>
      </c>
      <c r="AM125" s="52"/>
      <c r="AN125" s="51">
        <f t="shared" si="57"/>
        <v>0</v>
      </c>
      <c r="AO125" s="50">
        <f t="shared" si="58"/>
        <v>0</v>
      </c>
      <c r="AP125" s="49">
        <f t="shared" si="59"/>
        <v>0</v>
      </c>
      <c r="AQ125" s="23"/>
      <c r="AR125" s="48">
        <f t="shared" si="60"/>
        <v>0</v>
      </c>
      <c r="AS125" s="47"/>
      <c r="AT125" s="13"/>
      <c r="AU125" s="46">
        <f t="shared" si="61"/>
        <v>0</v>
      </c>
      <c r="BB125"/>
      <c r="BC125" s="79">
        <f>IF(BE125=BE101,1,LEN(BE125))</f>
        <v>0</v>
      </c>
      <c r="BD125" s="78" t="str" cm="1">
        <f t="array" ref="BD125">IF(BG125="", "", IFERROR(MAX(IF(ISNUMBER(BD102:BD124), BD102:BD124)) + 1, ""))</f>
        <v/>
      </c>
      <c r="BE125" s="77" t="str" cm="1">
        <f t="array" ref="BE125">IFERROR(INDEX(BG103:BG154, MATCH(ROW()-MIN(ROW(BG103:BG154))+1, BD103:BD154, 0)), "")</f>
        <v/>
      </c>
      <c r="BF125" s="5489">
        <f t="shared" si="63"/>
        <v>0</v>
      </c>
      <c r="BG125" s="83" t="str">
        <f t="shared" si="64"/>
        <v/>
      </c>
      <c r="BH125" s="82"/>
      <c r="BI125" s="81" t="e">
        <f>IF(LEN(BJ124)&lt;=BH120,BJ124,LEFT(BJ124,FIND("#",SUBSTITUTE(LEFT(BJ124,BH120+1)," ","#",LEN(LEFT(BJ124,BH120+1))-LEN(SUBSTITUTE(LEFT(BJ124,BH120+1)," ",""))))-1))</f>
        <v>#VALUE!</v>
      </c>
      <c r="BJ125" s="80" t="e">
        <f t="shared" si="67"/>
        <v>#VALUE!</v>
      </c>
      <c r="BK125" s="62"/>
      <c r="BL125" s="20" t="str">
        <f t="shared" si="50"/>
        <v>►</v>
      </c>
      <c r="BM125"/>
      <c r="BN125"/>
      <c r="BO125"/>
      <c r="BP125"/>
      <c r="BQ125"/>
      <c r="BR125"/>
      <c r="BS125"/>
      <c r="BT125"/>
      <c r="BU125"/>
      <c r="BV125"/>
      <c r="BW125"/>
      <c r="BX125"/>
      <c r="BY125"/>
      <c r="BZ125"/>
      <c r="CA125"/>
      <c r="CB125"/>
      <c r="CC125"/>
      <c r="CD125"/>
      <c r="CE125"/>
      <c r="CF125"/>
      <c r="CG125"/>
      <c r="CH125"/>
      <c r="CI125"/>
      <c r="CJ125"/>
      <c r="CK125"/>
      <c r="CL125"/>
      <c r="CM125"/>
      <c r="CN125" s="56" t="s">
        <v>1</v>
      </c>
      <c r="CO125" s="5">
        <v>1</v>
      </c>
    </row>
    <row r="126" spans="1:93" s="1" customFormat="1" ht="21" customHeight="1">
      <c r="A126" s="20" t="str">
        <f t="shared" si="62"/>
        <v>►</v>
      </c>
      <c r="B126" s="43" t="str">
        <f t="shared" si="66"/>
        <v>►</v>
      </c>
      <c r="C126" s="45" t="str">
        <f t="shared" si="45"/>
        <v>►</v>
      </c>
      <c r="D126" s="44" t="str">
        <f t="shared" si="46"/>
        <v>►</v>
      </c>
      <c r="E126" s="43" t="str">
        <f t="shared" si="47"/>
        <v>►</v>
      </c>
      <c r="F126" s="43" t="str">
        <f t="shared" si="48"/>
        <v>►</v>
      </c>
      <c r="G126" s="43" t="str">
        <f t="shared" si="49"/>
        <v>►</v>
      </c>
      <c r="H126" s="1256" t="s">
        <v>1</v>
      </c>
      <c r="I126" s="5175" t="s">
        <v>1</v>
      </c>
      <c r="J126" s="5161"/>
      <c r="K126" s="5161"/>
      <c r="L126" s="5161"/>
      <c r="M126" s="5176"/>
      <c r="N126" s="5177"/>
      <c r="O126" s="147"/>
      <c r="P126" s="147"/>
      <c r="Q126" s="102"/>
      <c r="R126" s="102"/>
      <c r="S126" s="1360"/>
      <c r="T126" s="43"/>
      <c r="U126" s="42"/>
      <c r="V126" s="41"/>
      <c r="W126" s="40"/>
      <c r="X126" s="39"/>
      <c r="Y126" s="38"/>
      <c r="Z126" s="37"/>
      <c r="AA126" s="36"/>
      <c r="AB126" s="35"/>
      <c r="AC126" s="34"/>
      <c r="AD126" s="55"/>
      <c r="AE126" s="33"/>
      <c r="AF126"/>
      <c r="AG126" s="32"/>
      <c r="AH126" s="31"/>
      <c r="AI126" s="30"/>
      <c r="AJ126" s="5492">
        <f t="shared" si="54"/>
        <v>0</v>
      </c>
      <c r="AK126" s="29">
        <f t="shared" si="55"/>
        <v>0</v>
      </c>
      <c r="AL126" s="28" t="str">
        <f t="shared" si="56"/>
        <v/>
      </c>
      <c r="AM126" s="27"/>
      <c r="AN126" s="26">
        <f t="shared" si="57"/>
        <v>0</v>
      </c>
      <c r="AO126" s="25">
        <f t="shared" si="58"/>
        <v>0</v>
      </c>
      <c r="AP126" s="24">
        <f t="shared" si="59"/>
        <v>0</v>
      </c>
      <c r="AQ126" s="23"/>
      <c r="AR126" s="22">
        <f t="shared" si="60"/>
        <v>0</v>
      </c>
      <c r="AS126" s="21"/>
      <c r="AT126" s="13"/>
      <c r="AU126" s="46">
        <f t="shared" si="61"/>
        <v>0</v>
      </c>
      <c r="BB126"/>
      <c r="BC126" s="79">
        <f>IF(BE126=BE101,1,LEN(BE126))</f>
        <v>0</v>
      </c>
      <c r="BD126" s="78" t="str" cm="1">
        <f t="array" ref="BD126">IF(BG126="", "", IFERROR(MAX(IF(ISNUMBER(BD102:BD125), BD102:BD125)) + 1, ""))</f>
        <v/>
      </c>
      <c r="BE126" s="77" t="str" cm="1">
        <f t="array" ref="BE126">IFERROR(INDEX(BG103:BG154, MATCH(ROW()-MIN(ROW(BG103:BG154))+1, BD103:BD154, 0)), "")</f>
        <v/>
      </c>
      <c r="BF126" s="5489">
        <f t="shared" si="63"/>
        <v>0</v>
      </c>
      <c r="BG126" s="83" t="str">
        <f t="shared" si="64"/>
        <v/>
      </c>
      <c r="BH126" s="82"/>
      <c r="BI126" s="81" t="e">
        <f>IF(LEN(BJ125)&lt;=BH120,BJ125,LEFT(BJ125,FIND("#",SUBSTITUTE(LEFT(BJ125,BH120+1)," ","#",LEN(LEFT(BJ125,BH120+1))-LEN(SUBSTITUTE(LEFT(BJ125,BH120+1)," ",""))))-1))</f>
        <v>#VALUE!</v>
      </c>
      <c r="BJ126" s="80" t="e">
        <f t="shared" si="67"/>
        <v>#VALUE!</v>
      </c>
      <c r="BK126" s="62"/>
      <c r="BL126" s="20" t="str">
        <f t="shared" si="50"/>
        <v>►</v>
      </c>
      <c r="BM126"/>
      <c r="BN126"/>
      <c r="BO126"/>
      <c r="BP126"/>
      <c r="BQ126"/>
      <c r="BR126"/>
      <c r="BS126"/>
      <c r="BT126"/>
      <c r="BU126"/>
      <c r="BV126"/>
      <c r="BW126"/>
      <c r="BX126"/>
      <c r="BY126"/>
      <c r="BZ126"/>
      <c r="CA126"/>
      <c r="CB126"/>
      <c r="CC126"/>
      <c r="CD126"/>
      <c r="CE126"/>
      <c r="CF126"/>
      <c r="CG126"/>
      <c r="CH126"/>
      <c r="CI126"/>
      <c r="CJ126"/>
      <c r="CK126"/>
      <c r="CL126"/>
      <c r="CM126"/>
      <c r="CN126" s="56" t="s">
        <v>1</v>
      </c>
      <c r="CO126" s="5">
        <v>1</v>
      </c>
    </row>
    <row r="127" spans="1:93" s="1" customFormat="1" ht="21" customHeight="1">
      <c r="A127" s="20" t="str">
        <f t="shared" si="62"/>
        <v>►</v>
      </c>
      <c r="B127" s="43" t="str">
        <f t="shared" si="66"/>
        <v>►</v>
      </c>
      <c r="C127" s="45" t="str">
        <f t="shared" si="45"/>
        <v>►</v>
      </c>
      <c r="D127" s="44" t="str">
        <f t="shared" si="46"/>
        <v>►</v>
      </c>
      <c r="E127" s="43" t="str">
        <f t="shared" si="47"/>
        <v>►</v>
      </c>
      <c r="F127" s="43" t="str">
        <f t="shared" si="48"/>
        <v>►</v>
      </c>
      <c r="G127" s="43" t="str">
        <f t="shared" si="49"/>
        <v>►</v>
      </c>
      <c r="H127" s="1256" t="s">
        <v>1</v>
      </c>
      <c r="I127" s="5175" t="s">
        <v>1</v>
      </c>
      <c r="J127" s="5161"/>
      <c r="K127" s="5161"/>
      <c r="L127" s="5161"/>
      <c r="M127" s="5176"/>
      <c r="N127" s="5177"/>
      <c r="O127" s="147"/>
      <c r="P127" s="147"/>
      <c r="Q127" s="102"/>
      <c r="R127" s="102"/>
      <c r="S127" s="1360"/>
      <c r="T127" s="43"/>
      <c r="U127" s="42"/>
      <c r="V127" s="41"/>
      <c r="W127" s="40"/>
      <c r="X127" s="39"/>
      <c r="Y127" s="38"/>
      <c r="Z127" s="37"/>
      <c r="AA127" s="36"/>
      <c r="AB127" s="35"/>
      <c r="AC127" s="34"/>
      <c r="AD127" s="55"/>
      <c r="AE127" s="33"/>
      <c r="AF127"/>
      <c r="AG127" s="32"/>
      <c r="AH127" s="31"/>
      <c r="AI127" s="30"/>
      <c r="AJ127" s="5492">
        <f t="shared" si="54"/>
        <v>0</v>
      </c>
      <c r="AK127" s="54">
        <f t="shared" si="55"/>
        <v>0</v>
      </c>
      <c r="AL127" s="53" t="str">
        <f t="shared" si="56"/>
        <v/>
      </c>
      <c r="AM127" s="52"/>
      <c r="AN127" s="51">
        <f t="shared" si="57"/>
        <v>0</v>
      </c>
      <c r="AO127" s="50">
        <f t="shared" si="58"/>
        <v>0</v>
      </c>
      <c r="AP127" s="49">
        <f t="shared" si="59"/>
        <v>0</v>
      </c>
      <c r="AQ127" s="23"/>
      <c r="AR127" s="48">
        <f t="shared" si="60"/>
        <v>0</v>
      </c>
      <c r="AS127" s="47"/>
      <c r="AT127" s="13"/>
      <c r="AU127" s="46">
        <f t="shared" si="61"/>
        <v>0</v>
      </c>
      <c r="BB127"/>
      <c r="BC127" s="79">
        <f>IF(BE127=BE101,1,LEN(BE127))</f>
        <v>0</v>
      </c>
      <c r="BD127" s="78" t="str" cm="1">
        <f t="array" ref="BD127">IF(BG127="", "", IFERROR(MAX(IF(ISNUMBER(BD102:BD126), BD102:BD126)) + 1, ""))</f>
        <v/>
      </c>
      <c r="BE127" s="77" t="str" cm="1">
        <f t="array" ref="BE127">IFERROR(INDEX(BG103:BG154, MATCH(ROW()-MIN(ROW(BG103:BG154))+1, BD103:BD154, 0)), "")</f>
        <v/>
      </c>
      <c r="BF127" s="5489">
        <f t="shared" si="63"/>
        <v>0</v>
      </c>
      <c r="BG127" s="83" t="str">
        <f t="shared" si="64"/>
        <v/>
      </c>
      <c r="BH127" s="82"/>
      <c r="BI127" s="81" t="e">
        <f>IF(LEN(BJ126)&lt;=BH120,BJ126,LEFT(BJ126,FIND("#",SUBSTITUTE(LEFT(BJ126,BH120+1)," ","#",LEN(LEFT(BJ126,BH120+1))-LEN(SUBSTITUTE(LEFT(BJ126,BH120+1)," ",""))))-1))</f>
        <v>#VALUE!</v>
      </c>
      <c r="BJ127" s="80" t="e">
        <f t="shared" si="67"/>
        <v>#VALUE!</v>
      </c>
      <c r="BK127" s="62"/>
      <c r="BL127" s="20" t="str">
        <f t="shared" si="50"/>
        <v>►</v>
      </c>
      <c r="BM127"/>
      <c r="BN127"/>
      <c r="BO127"/>
      <c r="BP127"/>
      <c r="BQ127"/>
      <c r="BR127"/>
      <c r="BS127"/>
      <c r="BT127"/>
      <c r="BU127"/>
      <c r="BV127"/>
      <c r="BW127"/>
      <c r="BX127"/>
      <c r="BY127"/>
      <c r="BZ127"/>
      <c r="CA127"/>
      <c r="CB127"/>
      <c r="CC127"/>
      <c r="CD127"/>
      <c r="CE127"/>
      <c r="CF127"/>
      <c r="CG127"/>
      <c r="CH127"/>
      <c r="CI127"/>
      <c r="CJ127"/>
      <c r="CK127"/>
      <c r="CL127"/>
      <c r="CM127"/>
      <c r="CN127" s="56" t="s">
        <v>1</v>
      </c>
      <c r="CO127" s="5">
        <v>1</v>
      </c>
    </row>
    <row r="128" spans="1:93" s="1" customFormat="1" ht="21" customHeight="1">
      <c r="A128" s="20" t="str">
        <f t="shared" si="62"/>
        <v>►</v>
      </c>
      <c r="B128" s="43" t="str">
        <f t="shared" si="66"/>
        <v>►</v>
      </c>
      <c r="C128" s="45" t="str">
        <f t="shared" si="45"/>
        <v>►</v>
      </c>
      <c r="D128" s="44" t="str">
        <f t="shared" si="46"/>
        <v>►</v>
      </c>
      <c r="E128" s="43" t="str">
        <f t="shared" si="47"/>
        <v>►</v>
      </c>
      <c r="F128" s="43" t="str">
        <f t="shared" si="48"/>
        <v>►</v>
      </c>
      <c r="G128" s="43" t="str">
        <f t="shared" si="49"/>
        <v>►</v>
      </c>
      <c r="H128" s="1256" t="s">
        <v>1</v>
      </c>
      <c r="I128" s="5175" t="s">
        <v>1</v>
      </c>
      <c r="J128" s="5161"/>
      <c r="K128" s="5161"/>
      <c r="L128" s="5161"/>
      <c r="M128" s="5176"/>
      <c r="N128" s="5177"/>
      <c r="O128" s="147"/>
      <c r="P128" s="147"/>
      <c r="Q128" s="102"/>
      <c r="R128" s="102"/>
      <c r="S128" s="1360"/>
      <c r="T128" s="43"/>
      <c r="U128" s="42"/>
      <c r="V128" s="41"/>
      <c r="W128" s="40"/>
      <c r="X128" s="39"/>
      <c r="Y128" s="38"/>
      <c r="Z128" s="37"/>
      <c r="AA128" s="36"/>
      <c r="AB128" s="35"/>
      <c r="AC128" s="34"/>
      <c r="AD128" s="55"/>
      <c r="AE128" s="33"/>
      <c r="AF128"/>
      <c r="AG128" s="32"/>
      <c r="AH128" s="31"/>
      <c r="AI128" s="30"/>
      <c r="AJ128" s="5492">
        <f t="shared" si="54"/>
        <v>0</v>
      </c>
      <c r="AK128" s="29">
        <f t="shared" si="55"/>
        <v>0</v>
      </c>
      <c r="AL128" s="28" t="str">
        <f t="shared" si="56"/>
        <v/>
      </c>
      <c r="AM128" s="27"/>
      <c r="AN128" s="26">
        <f t="shared" si="57"/>
        <v>0</v>
      </c>
      <c r="AO128" s="25">
        <f t="shared" si="58"/>
        <v>0</v>
      </c>
      <c r="AP128" s="24">
        <f t="shared" si="59"/>
        <v>0</v>
      </c>
      <c r="AQ128" s="23"/>
      <c r="AR128" s="22">
        <f t="shared" si="60"/>
        <v>0</v>
      </c>
      <c r="AS128" s="21"/>
      <c r="AT128" s="13"/>
      <c r="AU128" s="46">
        <f t="shared" si="61"/>
        <v>0</v>
      </c>
      <c r="BB128"/>
      <c r="BC128" s="79">
        <f>IF(BE128=BE101,1,LEN(BE128))</f>
        <v>0</v>
      </c>
      <c r="BD128" s="78" t="str" cm="1">
        <f t="array" ref="BD128">IF(BG128="", "", IFERROR(MAX(IF(ISNUMBER(BD102:BD127), BD102:BD127)) + 1, ""))</f>
        <v/>
      </c>
      <c r="BE128" s="77" t="str" cm="1">
        <f t="array" ref="BE128">IFERROR(INDEX(BG103:BG154, MATCH(ROW()-MIN(ROW(BG103:BG154))+1, BD103:BD154, 0)), "")</f>
        <v/>
      </c>
      <c r="BF128" s="5489">
        <f t="shared" si="63"/>
        <v>0</v>
      </c>
      <c r="BG128" s="83" t="str">
        <f t="shared" si="64"/>
        <v/>
      </c>
      <c r="BH128" s="82"/>
      <c r="BI128" s="81" t="e">
        <f>IF(LEN(BJ127)&lt;=BH120,BJ127,LEFT(BJ127,FIND("#",SUBSTITUTE(LEFT(BJ127,BH120+1)," ","#",LEN(LEFT(BJ127,BH120+1))-LEN(SUBSTITUTE(LEFT(BJ127,BH120+1)," ",""))))-1))</f>
        <v>#VALUE!</v>
      </c>
      <c r="BJ128" s="80" t="e">
        <f t="shared" si="67"/>
        <v>#VALUE!</v>
      </c>
      <c r="BK128" s="62"/>
      <c r="BL128" s="20" t="str">
        <f t="shared" si="50"/>
        <v>►</v>
      </c>
      <c r="BM128"/>
      <c r="BN128"/>
      <c r="BO128"/>
      <c r="BP128"/>
      <c r="BQ128"/>
      <c r="BR128"/>
      <c r="BS128"/>
      <c r="BT128"/>
      <c r="BU128"/>
      <c r="BV128"/>
      <c r="BW128"/>
      <c r="BX128"/>
      <c r="BY128"/>
      <c r="BZ128"/>
      <c r="CA128"/>
      <c r="CB128"/>
      <c r="CC128"/>
      <c r="CD128"/>
      <c r="CE128"/>
      <c r="CF128"/>
      <c r="CG128"/>
      <c r="CH128"/>
      <c r="CI128"/>
      <c r="CJ128"/>
      <c r="CK128"/>
      <c r="CL128"/>
      <c r="CM128"/>
      <c r="CN128" s="56" t="s">
        <v>1</v>
      </c>
      <c r="CO128" s="5">
        <v>1</v>
      </c>
    </row>
    <row r="129" spans="1:93" s="1" customFormat="1" ht="21" customHeight="1">
      <c r="A129" s="20" t="str">
        <f t="shared" si="62"/>
        <v>►</v>
      </c>
      <c r="B129" s="43" t="str">
        <f t="shared" si="66"/>
        <v>►</v>
      </c>
      <c r="C129" s="45" t="str">
        <f t="shared" si="45"/>
        <v>►</v>
      </c>
      <c r="D129" s="44" t="str">
        <f t="shared" si="46"/>
        <v>►</v>
      </c>
      <c r="E129" s="43" t="str">
        <f t="shared" si="47"/>
        <v>►</v>
      </c>
      <c r="F129" s="43" t="str">
        <f t="shared" si="48"/>
        <v>►</v>
      </c>
      <c r="G129" s="43" t="str">
        <f t="shared" si="49"/>
        <v>►</v>
      </c>
      <c r="H129" s="1256" t="s">
        <v>1</v>
      </c>
      <c r="I129" s="5175" t="s">
        <v>1</v>
      </c>
      <c r="J129" s="5161"/>
      <c r="K129" s="5161"/>
      <c r="L129" s="5161"/>
      <c r="M129" s="5176"/>
      <c r="N129" s="5177"/>
      <c r="O129" s="147"/>
      <c r="P129" s="147"/>
      <c r="Q129" s="102"/>
      <c r="R129" s="102"/>
      <c r="S129" s="1360"/>
      <c r="T129" s="43"/>
      <c r="U129" s="42"/>
      <c r="V129" s="41"/>
      <c r="W129" s="40"/>
      <c r="X129" s="39"/>
      <c r="Y129" s="38"/>
      <c r="Z129" s="37"/>
      <c r="AA129" s="36"/>
      <c r="AB129" s="35"/>
      <c r="AC129" s="34"/>
      <c r="AD129" s="55"/>
      <c r="AE129" s="33"/>
      <c r="AF129"/>
      <c r="AG129" s="32"/>
      <c r="AH129" s="31"/>
      <c r="AI129" s="30"/>
      <c r="AJ129" s="5492">
        <f t="shared" si="54"/>
        <v>0</v>
      </c>
      <c r="AK129" s="54">
        <f t="shared" si="55"/>
        <v>0</v>
      </c>
      <c r="AL129" s="53" t="str">
        <f t="shared" si="56"/>
        <v/>
      </c>
      <c r="AM129" s="52"/>
      <c r="AN129" s="51">
        <f t="shared" si="57"/>
        <v>0</v>
      </c>
      <c r="AO129" s="50">
        <f t="shared" si="58"/>
        <v>0</v>
      </c>
      <c r="AP129" s="49">
        <f t="shared" si="59"/>
        <v>0</v>
      </c>
      <c r="AQ129" s="23"/>
      <c r="AR129" s="48">
        <f t="shared" si="60"/>
        <v>0</v>
      </c>
      <c r="AS129" s="47"/>
      <c r="AT129" s="13"/>
      <c r="AU129" s="46">
        <f t="shared" si="61"/>
        <v>0</v>
      </c>
      <c r="BB129"/>
      <c r="BC129" s="79">
        <f>IF(BE129=BE101,1,LEN(BE129))</f>
        <v>0</v>
      </c>
      <c r="BD129" s="78" cm="1">
        <f t="array" ref="BD129">IF(BG129="", "", IFERROR(MAX(IF(ISNUMBER(BD102:BD128), BD102:BD128)) + 1, ""))</f>
        <v>9</v>
      </c>
      <c r="BE129" s="77" t="str" cm="1">
        <f t="array" ref="BE129">IFERROR(INDEX(BG103:BG154, MATCH(ROW()-MIN(ROW(BG103:BG154))+1, BD103:BD154, 0)), "")</f>
        <v/>
      </c>
      <c r="BF129" s="5489">
        <f t="shared" si="63"/>
        <v>0</v>
      </c>
      <c r="BG129" s="90" t="str">
        <f t="shared" si="64"/>
        <v>► Saisissez ou coller les lignes du brouillon que vous voulez couper dans ces 4 lignes et</v>
      </c>
      <c r="BH129" s="86" t="str">
        <f>BE97</f>
        <v>► Saisissez ou coller les lignes du brouillon que vous voulez couper dans ces 4 lignes et saisissez un nombre de caractères pour que le texte ne déborde pas de la colonne ⤵️ 🧋</v>
      </c>
      <c r="BI129" s="88" t="str">
        <f>IF(AND(BH129&lt;&gt;"", BH133&lt;&gt;""), IF(LEN(BH129)&lt;BH133, BH129, IFERROR(LEFT(BH132, IF(ISNUMBER(FIND(" ", BH132)), FIND(" ", BH132 &amp; " ", BH133) - 1, LEN(BH132))), "")), "")</f>
        <v>► Saisissez ou coller les lignes du brouillon que vous voulez couper dans ces 4 lignes et</v>
      </c>
      <c r="BJ129" s="100" t="str">
        <f>IF(BI129="","",RIGHT(BH132,LEN(BH132)-LEN(BI129)-1))</f>
        <v xml:space="preserve"> saisissez un nombre de caractères pour que le texte ne déborde pas de la colonne ⤵️ 🧋</v>
      </c>
      <c r="BK129" s="62"/>
      <c r="BL129" s="20" t="str">
        <f t="shared" si="50"/>
        <v>►</v>
      </c>
      <c r="BM129"/>
      <c r="BN129"/>
      <c r="BO129"/>
      <c r="BP129"/>
      <c r="BQ129"/>
      <c r="BR129"/>
      <c r="BS129"/>
      <c r="BT129"/>
      <c r="BU129"/>
      <c r="BV129"/>
      <c r="BW129"/>
      <c r="BX129"/>
      <c r="BY129"/>
      <c r="BZ129"/>
      <c r="CA129"/>
      <c r="CB129"/>
      <c r="CC129"/>
      <c r="CD129"/>
      <c r="CE129"/>
      <c r="CF129"/>
      <c r="CG129"/>
      <c r="CH129"/>
      <c r="CI129"/>
      <c r="CJ129"/>
      <c r="CK129"/>
      <c r="CL129"/>
      <c r="CM129"/>
      <c r="CN129" s="56" t="s">
        <v>1</v>
      </c>
      <c r="CO129" s="5">
        <v>1</v>
      </c>
    </row>
    <row r="130" spans="1:93" s="1" customFormat="1" ht="21" customHeight="1">
      <c r="A130" s="20" t="str">
        <f t="shared" si="62"/>
        <v>►</v>
      </c>
      <c r="B130" s="43" t="str">
        <f t="shared" si="66"/>
        <v>►</v>
      </c>
      <c r="C130" s="45" t="str">
        <f t="shared" si="45"/>
        <v>►</v>
      </c>
      <c r="D130" s="44" t="str">
        <f t="shared" si="46"/>
        <v>►</v>
      </c>
      <c r="E130" s="43" t="str">
        <f t="shared" si="47"/>
        <v>►</v>
      </c>
      <c r="F130" s="43" t="str">
        <f t="shared" si="48"/>
        <v>►</v>
      </c>
      <c r="G130" s="43" t="str">
        <f t="shared" si="49"/>
        <v>►</v>
      </c>
      <c r="H130" s="1256" t="s">
        <v>1</v>
      </c>
      <c r="I130" s="5175" t="s">
        <v>1</v>
      </c>
      <c r="J130" s="5161"/>
      <c r="K130" s="5161"/>
      <c r="L130" s="5161"/>
      <c r="M130" s="5176"/>
      <c r="N130" s="5177"/>
      <c r="O130" s="147"/>
      <c r="P130" s="147"/>
      <c r="Q130" s="102"/>
      <c r="R130" s="102"/>
      <c r="S130" s="1360"/>
      <c r="T130" s="43"/>
      <c r="U130" s="42"/>
      <c r="V130" s="41"/>
      <c r="W130" s="40"/>
      <c r="X130" s="39"/>
      <c r="Y130" s="38"/>
      <c r="Z130" s="37"/>
      <c r="AA130" s="36"/>
      <c r="AB130" s="35"/>
      <c r="AC130" s="34"/>
      <c r="AD130" s="55"/>
      <c r="AE130" s="33"/>
      <c r="AF130"/>
      <c r="AG130" s="32"/>
      <c r="AH130" s="31"/>
      <c r="AI130" s="30"/>
      <c r="AJ130" s="5492">
        <f t="shared" si="54"/>
        <v>0</v>
      </c>
      <c r="AK130" s="29">
        <f t="shared" si="55"/>
        <v>0</v>
      </c>
      <c r="AL130" s="28" t="str">
        <f t="shared" si="56"/>
        <v/>
      </c>
      <c r="AM130" s="27"/>
      <c r="AN130" s="26">
        <f t="shared" si="57"/>
        <v>0</v>
      </c>
      <c r="AO130" s="25">
        <f t="shared" si="58"/>
        <v>0</v>
      </c>
      <c r="AP130" s="24">
        <f t="shared" si="59"/>
        <v>0</v>
      </c>
      <c r="AQ130" s="23"/>
      <c r="AR130" s="22">
        <f t="shared" si="60"/>
        <v>0</v>
      </c>
      <c r="AS130" s="21"/>
      <c r="AT130" s="13"/>
      <c r="AU130" s="46">
        <f t="shared" si="61"/>
        <v>0</v>
      </c>
      <c r="BB130"/>
      <c r="BC130" s="79">
        <f>IF(BE130=BE101,1,LEN(BE130))</f>
        <v>0</v>
      </c>
      <c r="BD130" s="78" cm="1">
        <f t="array" ref="BD130">IF(BG130="", "", IFERROR(MAX(IF(ISNUMBER(BD102:BD129), BD102:BD129)) + 1, ""))</f>
        <v>10</v>
      </c>
      <c r="BE130" s="77" t="str" cm="1">
        <f t="array" ref="BE130">IFERROR(INDEX(BG103:BG154, MATCH(ROW()-MIN(ROW(BG103:BG154))+1, BD103:BD154, 0)), "")</f>
        <v/>
      </c>
      <c r="BF130" s="5489">
        <f t="shared" si="63"/>
        <v>0</v>
      </c>
      <c r="BG130" s="90" t="str">
        <f t="shared" si="64"/>
        <v xml:space="preserve"> saisissez un nombre de caractères pour que le texte ne déborde pas de la colonne ⤵️ 🧋</v>
      </c>
      <c r="BH130" s="92" t="str">
        <f>SUBSTITUTE(SUBSTITUTE(SUBSTITUTE(SUBSTITUTE(SUBSTITUTE(BH129, ",", "♦"), ";", "♦"), ".", "♦"), " ♦", " "), "♦", " ")</f>
        <v>► Saisissez ou coller les lignes du brouillon que vous voulez couper dans ces 4 lignes et saisissez un nombre de caractères pour que le texte ne déborde pas de la colonne ⤵️ 🧋</v>
      </c>
      <c r="BI130" s="88" t="str">
        <f>IF(LEN(BJ129)&lt;=BH133,BJ129,LEFT(BJ129,FIND("#",SUBSTITUTE(LEFT(BJ129,BH133+1)," ","#",LEN(LEFT(BJ129,BH133+1))-LEN(SUBSTITUTE(LEFT(BJ129,BH133+1)," ",""))))-1))</f>
        <v xml:space="preserve"> saisissez un nombre de caractères pour que le texte ne déborde pas de la colonne ⤵️ 🧋</v>
      </c>
      <c r="BJ130" s="87" t="str">
        <f t="shared" ref="BJ130:BJ141" si="68">IF(BI130="","",IFERROR(RIGHT(BJ129,LEN(BJ129)-LEN(BI130)-1),""))</f>
        <v/>
      </c>
      <c r="BK130" s="62"/>
      <c r="BL130" s="20" t="str">
        <f t="shared" si="50"/>
        <v>►</v>
      </c>
      <c r="BM130"/>
      <c r="BN130"/>
      <c r="BO130"/>
      <c r="BP130"/>
      <c r="BQ130"/>
      <c r="BR130"/>
      <c r="BS130"/>
      <c r="BT130"/>
      <c r="BU130"/>
      <c r="BV130"/>
      <c r="BW130"/>
      <c r="BX130"/>
      <c r="BY130"/>
      <c r="BZ130"/>
      <c r="CA130"/>
      <c r="CB130"/>
      <c r="CC130"/>
      <c r="CD130"/>
      <c r="CE130"/>
      <c r="CF130"/>
      <c r="CG130"/>
      <c r="CH130"/>
      <c r="CI130"/>
      <c r="CJ130"/>
      <c r="CK130"/>
      <c r="CL130"/>
      <c r="CM130"/>
      <c r="CN130" s="56" t="s">
        <v>1</v>
      </c>
      <c r="CO130" s="5">
        <v>1</v>
      </c>
    </row>
    <row r="131" spans="1:93" s="1" customFormat="1" ht="21" customHeight="1">
      <c r="A131" s="20" t="str">
        <f t="shared" si="62"/>
        <v>►</v>
      </c>
      <c r="B131" s="43" t="str">
        <f t="shared" si="66"/>
        <v>►</v>
      </c>
      <c r="C131" s="45" t="str">
        <f t="shared" si="45"/>
        <v>►</v>
      </c>
      <c r="D131" s="44" t="str">
        <f t="shared" si="46"/>
        <v>►</v>
      </c>
      <c r="E131" s="43" t="str">
        <f t="shared" si="47"/>
        <v>►</v>
      </c>
      <c r="F131" s="43" t="str">
        <f t="shared" si="48"/>
        <v>►</v>
      </c>
      <c r="G131" s="43" t="str">
        <f t="shared" si="49"/>
        <v>►</v>
      </c>
      <c r="H131" s="1256" t="s">
        <v>1</v>
      </c>
      <c r="I131" s="5175" t="s">
        <v>1</v>
      </c>
      <c r="J131" s="5161"/>
      <c r="K131" s="5161"/>
      <c r="L131" s="5161"/>
      <c r="M131" s="5176"/>
      <c r="N131" s="5177"/>
      <c r="O131" s="147"/>
      <c r="P131" s="147"/>
      <c r="Q131" s="102"/>
      <c r="R131" s="102"/>
      <c r="S131" s="1360"/>
      <c r="T131" s="43"/>
      <c r="U131" s="42"/>
      <c r="V131" s="41"/>
      <c r="W131" s="40"/>
      <c r="X131" s="39"/>
      <c r="Y131" s="38"/>
      <c r="Z131" s="37"/>
      <c r="AA131" s="36"/>
      <c r="AB131" s="35"/>
      <c r="AC131" s="34"/>
      <c r="AD131" s="55"/>
      <c r="AE131" s="33"/>
      <c r="AF131"/>
      <c r="AG131" s="32"/>
      <c r="AH131" s="31"/>
      <c r="AI131" s="30"/>
      <c r="AJ131" s="5492">
        <f t="shared" si="54"/>
        <v>0</v>
      </c>
      <c r="AK131" s="54">
        <f t="shared" si="55"/>
        <v>0</v>
      </c>
      <c r="AL131" s="53" t="str">
        <f t="shared" si="56"/>
        <v/>
      </c>
      <c r="AM131" s="52"/>
      <c r="AN131" s="51">
        <f t="shared" si="57"/>
        <v>0</v>
      </c>
      <c r="AO131" s="50">
        <f t="shared" si="58"/>
        <v>0</v>
      </c>
      <c r="AP131" s="49">
        <f t="shared" si="59"/>
        <v>0</v>
      </c>
      <c r="AQ131" s="23"/>
      <c r="AR131" s="48">
        <f t="shared" si="60"/>
        <v>0</v>
      </c>
      <c r="AS131" s="47"/>
      <c r="AT131" s="13"/>
      <c r="AU131" s="46">
        <f t="shared" si="61"/>
        <v>0</v>
      </c>
      <c r="BB131"/>
      <c r="BC131" s="79">
        <f>IF(BE131=BE101,1,LEN(BE131))</f>
        <v>0</v>
      </c>
      <c r="BD131" s="78" t="str" cm="1">
        <f t="array" ref="BD131">IF(BG131="", "", IFERROR(MAX(IF(ISNUMBER(BD102:BD130), BD102:BD130)) + 1, ""))</f>
        <v/>
      </c>
      <c r="BE131" s="77" t="str" cm="1">
        <f t="array" ref="BE131">IFERROR(INDEX(BG103:BG154, MATCH(ROW()-MIN(ROW(BG103:BG154))+1, BD103:BD154, 0)), "")</f>
        <v/>
      </c>
      <c r="BF131" s="5489">
        <f t="shared" si="63"/>
        <v>0</v>
      </c>
      <c r="BG131" s="90" t="str">
        <f t="shared" si="64"/>
        <v/>
      </c>
      <c r="BH131" s="92" t="str">
        <f>IFERROR(SUBSTITUTE(SUBSTITUTE(SUBSTITUTE(SUBSTITUTE(SUBSTITUTE(SUBSTITUTE(BH130, ",", " "), ".", " "), ";", " "), "-", " "), ":", " "), "?", " "), BH130)</f>
        <v>► Saisissez ou coller les lignes du brouillon que vous voulez couper dans ces 4 lignes et saisissez un nombre de caractères pour que le texte ne déborde pas de la colonne ⤵️ 🧋</v>
      </c>
      <c r="BI131" s="88" t="str">
        <f>IF(LEN(BJ130)&lt;=BH133,BJ130,LEFT(BJ130,FIND("#",SUBSTITUTE(LEFT(BJ130,BH133+1)," ","#",LEN(LEFT(BJ130,BH133+1))-LEN(SUBSTITUTE(LEFT(BJ130,BH133+1)," ",""))))-1))</f>
        <v/>
      </c>
      <c r="BJ131" s="87" t="str">
        <f t="shared" si="68"/>
        <v/>
      </c>
      <c r="BK131" s="62"/>
      <c r="BL131" s="20" t="str">
        <f t="shared" si="50"/>
        <v>►</v>
      </c>
      <c r="BM131"/>
      <c r="BN131"/>
      <c r="BO131"/>
      <c r="BP131"/>
      <c r="BQ131"/>
      <c r="BR131"/>
      <c r="BS131"/>
      <c r="BT131"/>
      <c r="BU131"/>
      <c r="BV131"/>
      <c r="BW131"/>
      <c r="BX131"/>
      <c r="BY131"/>
      <c r="BZ131"/>
      <c r="CA131"/>
      <c r="CB131"/>
      <c r="CC131"/>
      <c r="CD131"/>
      <c r="CE131"/>
      <c r="CF131"/>
      <c r="CG131"/>
      <c r="CH131"/>
      <c r="CI131"/>
      <c r="CJ131"/>
      <c r="CK131"/>
      <c r="CL131"/>
      <c r="CM131"/>
      <c r="CN131" s="56" t="s">
        <v>1</v>
      </c>
      <c r="CO131" s="5">
        <v>1</v>
      </c>
    </row>
    <row r="132" spans="1:93" s="1" customFormat="1" ht="21" customHeight="1">
      <c r="A132" s="20" t="str">
        <f t="shared" si="62"/>
        <v>►</v>
      </c>
      <c r="B132" s="43" t="str">
        <f t="shared" si="66"/>
        <v>►</v>
      </c>
      <c r="C132" s="45" t="str">
        <f t="shared" si="45"/>
        <v>►</v>
      </c>
      <c r="D132" s="44" t="str">
        <f t="shared" si="46"/>
        <v>►</v>
      </c>
      <c r="E132" s="43" t="str">
        <f t="shared" si="47"/>
        <v>►</v>
      </c>
      <c r="F132" s="43" t="str">
        <f t="shared" si="48"/>
        <v>►</v>
      </c>
      <c r="G132" s="43" t="str">
        <f t="shared" si="49"/>
        <v>►</v>
      </c>
      <c r="H132" s="1256" t="s">
        <v>1</v>
      </c>
      <c r="I132" s="5175" t="s">
        <v>1</v>
      </c>
      <c r="J132" s="5161"/>
      <c r="K132" s="5161"/>
      <c r="L132" s="5161"/>
      <c r="M132" s="5176"/>
      <c r="N132" s="5177"/>
      <c r="O132" s="147"/>
      <c r="P132" s="147"/>
      <c r="Q132" s="102"/>
      <c r="R132" s="102"/>
      <c r="S132" s="1360"/>
      <c r="T132" s="43"/>
      <c r="U132" s="42"/>
      <c r="V132" s="41"/>
      <c r="W132" s="40"/>
      <c r="X132" s="39"/>
      <c r="Y132" s="38"/>
      <c r="Z132" s="37"/>
      <c r="AA132" s="36"/>
      <c r="AB132" s="35"/>
      <c r="AC132" s="34"/>
      <c r="AD132" s="55"/>
      <c r="AE132" s="33"/>
      <c r="AF132"/>
      <c r="AG132" s="32"/>
      <c r="AH132" s="31"/>
      <c r="AI132" s="30"/>
      <c r="AJ132" s="5492">
        <f t="shared" si="54"/>
        <v>0</v>
      </c>
      <c r="AK132" s="29">
        <f t="shared" si="55"/>
        <v>0</v>
      </c>
      <c r="AL132" s="28" t="str">
        <f t="shared" si="56"/>
        <v/>
      </c>
      <c r="AM132" s="27"/>
      <c r="AN132" s="26">
        <f t="shared" si="57"/>
        <v>0</v>
      </c>
      <c r="AO132" s="25">
        <f t="shared" si="58"/>
        <v>0</v>
      </c>
      <c r="AP132" s="24">
        <f t="shared" si="59"/>
        <v>0</v>
      </c>
      <c r="AQ132" s="23"/>
      <c r="AR132" s="22">
        <f t="shared" si="60"/>
        <v>0</v>
      </c>
      <c r="AS132" s="21"/>
      <c r="AT132" s="13"/>
      <c r="AU132" s="46">
        <f t="shared" si="61"/>
        <v>0</v>
      </c>
      <c r="BB132"/>
      <c r="BC132" s="79">
        <f>IF(BE132=BE101,1,LEN(BE132))</f>
        <v>0</v>
      </c>
      <c r="BD132" s="78" t="str" cm="1">
        <f t="array" ref="BD132">IF(BG132="", "", IFERROR(MAX(IF(ISNUMBER(BD102:BD131), BD102:BD131)) + 1, ""))</f>
        <v/>
      </c>
      <c r="BE132" s="77" t="str" cm="1">
        <f t="array" ref="BE132">IFERROR(INDEX(BG103:BG154, MATCH(ROW()-MIN(ROW(BG103:BG154))+1, BD103:BD154, 0)), "")</f>
        <v/>
      </c>
      <c r="BF132" s="5489">
        <f t="shared" si="63"/>
        <v>0</v>
      </c>
      <c r="BG132" s="90" t="str">
        <f t="shared" si="64"/>
        <v/>
      </c>
      <c r="BH132" s="92" t="str">
        <f>IFERROR(SUBSTITUTE(SUBSTITUTE(SUBSTITUTE(SUBSTITUTE(BH131, " , ", " "), ";", " "), "  ", " "), " ", " "), BH131)</f>
        <v>► Saisissez ou coller les lignes du brouillon que vous voulez couper dans ces 4 lignes et saisissez un nombre de caractères pour que le texte ne déborde pas de la colonne ⤵️ 🧋</v>
      </c>
      <c r="BI132" s="88" t="str">
        <f>IF(LEN(BJ131)&lt;=BH133,BJ131,LEFT(BJ131,FIND("#",SUBSTITUTE(LEFT(BJ131,BH133+1)," ","#",LEN(LEFT(BJ131,BH133+1))-LEN(SUBSTITUTE(LEFT(BJ131,BH133+1)," ",""))))-1))</f>
        <v/>
      </c>
      <c r="BJ132" s="87" t="str">
        <f t="shared" si="68"/>
        <v/>
      </c>
      <c r="BK132" s="62"/>
      <c r="BL132" s="20" t="str">
        <f t="shared" si="50"/>
        <v>►</v>
      </c>
      <c r="BM132"/>
      <c r="BN132"/>
      <c r="BO132"/>
      <c r="BP132"/>
      <c r="BQ132"/>
      <c r="BR132"/>
      <c r="BS132"/>
      <c r="BT132"/>
      <c r="BU132"/>
      <c r="BV132"/>
      <c r="BW132"/>
      <c r="BX132"/>
      <c r="BY132"/>
      <c r="BZ132"/>
      <c r="CA132"/>
      <c r="CB132"/>
      <c r="CC132"/>
      <c r="CD132"/>
      <c r="CE132"/>
      <c r="CF132"/>
      <c r="CG132"/>
      <c r="CH132"/>
      <c r="CI132"/>
      <c r="CJ132"/>
      <c r="CK132"/>
      <c r="CL132"/>
      <c r="CM132"/>
      <c r="CN132" s="56" t="s">
        <v>1</v>
      </c>
      <c r="CO132" s="5">
        <v>1</v>
      </c>
    </row>
    <row r="133" spans="1:93" s="1" customFormat="1" ht="21" customHeight="1">
      <c r="A133" s="20" t="str">
        <f t="shared" si="62"/>
        <v>►</v>
      </c>
      <c r="B133" s="43" t="str">
        <f t="shared" si="66"/>
        <v>►</v>
      </c>
      <c r="C133" s="45" t="str">
        <f t="shared" si="45"/>
        <v>►</v>
      </c>
      <c r="D133" s="44" t="str">
        <f t="shared" si="46"/>
        <v>►</v>
      </c>
      <c r="E133" s="43" t="str">
        <f t="shared" si="47"/>
        <v>►</v>
      </c>
      <c r="F133" s="43" t="str">
        <f t="shared" si="48"/>
        <v>►</v>
      </c>
      <c r="G133" s="43" t="str">
        <f t="shared" si="49"/>
        <v>►</v>
      </c>
      <c r="H133" s="1256" t="s">
        <v>1</v>
      </c>
      <c r="I133" s="5175" t="s">
        <v>1</v>
      </c>
      <c r="J133" s="5161"/>
      <c r="K133" s="5161"/>
      <c r="L133" s="5161"/>
      <c r="M133" s="5176"/>
      <c r="N133" s="5177"/>
      <c r="O133" s="147"/>
      <c r="P133" s="147"/>
      <c r="Q133" s="102"/>
      <c r="R133" s="102"/>
      <c r="S133" s="1360"/>
      <c r="T133" s="43"/>
      <c r="U133" s="42"/>
      <c r="V133" s="41"/>
      <c r="W133" s="40"/>
      <c r="X133" s="39"/>
      <c r="Y133" s="38"/>
      <c r="Z133" s="37"/>
      <c r="AA133" s="36"/>
      <c r="AB133" s="35"/>
      <c r="AC133" s="34"/>
      <c r="AD133" s="55"/>
      <c r="AE133" s="33"/>
      <c r="AF133"/>
      <c r="AG133" s="32"/>
      <c r="AH133" s="31"/>
      <c r="AI133" s="30"/>
      <c r="AJ133" s="5492">
        <f t="shared" si="54"/>
        <v>0</v>
      </c>
      <c r="AK133" s="54">
        <f t="shared" si="55"/>
        <v>0</v>
      </c>
      <c r="AL133" s="53" t="str">
        <f t="shared" si="56"/>
        <v/>
      </c>
      <c r="AM133" s="52"/>
      <c r="AN133" s="51">
        <f t="shared" si="57"/>
        <v>0</v>
      </c>
      <c r="AO133" s="50">
        <f t="shared" si="58"/>
        <v>0</v>
      </c>
      <c r="AP133" s="49">
        <f t="shared" si="59"/>
        <v>0</v>
      </c>
      <c r="AQ133" s="23"/>
      <c r="AR133" s="48">
        <f t="shared" si="60"/>
        <v>0</v>
      </c>
      <c r="AS133" s="47"/>
      <c r="AT133" s="13"/>
      <c r="AU133" s="46">
        <f t="shared" si="61"/>
        <v>0</v>
      </c>
      <c r="BB133"/>
      <c r="BC133" s="79">
        <f>IF(BE133=BE101,1,LEN(BE133))</f>
        <v>0</v>
      </c>
      <c r="BD133" s="78" t="str" cm="1">
        <f t="array" ref="BD133">IF(BG133="", "", IFERROR(MAX(IF(ISNUMBER(BD102:BD132), BD102:BD132)) + 1, ""))</f>
        <v/>
      </c>
      <c r="BE133" s="77" t="str" cm="1">
        <f t="array" ref="BE133">IFERROR(INDEX(BG103:BG154, MATCH(ROW()-MIN(ROW(BG103:BG154))+1, BD103:BD154, 0)), "")</f>
        <v/>
      </c>
      <c r="BF133" s="5489">
        <f t="shared" si="63"/>
        <v>0</v>
      </c>
      <c r="BG133" s="90" t="str">
        <f t="shared" si="64"/>
        <v/>
      </c>
      <c r="BH133" s="84">
        <f>BE92</f>
        <v>90</v>
      </c>
      <c r="BI133" s="88" t="str">
        <f>IF(LEN(BJ132)&lt;=BH133,BJ132,LEFT(BJ132,FIND("#",SUBSTITUTE(LEFT(BJ132,BH133+1)," ","#",LEN(LEFT(BJ132,BH133+1))-LEN(SUBSTITUTE(LEFT(BJ132,BH133+1)," ",""))))-1))</f>
        <v/>
      </c>
      <c r="BJ133" s="87" t="str">
        <f t="shared" si="68"/>
        <v/>
      </c>
      <c r="BK133" s="62"/>
      <c r="BL133" s="20" t="str">
        <f t="shared" si="50"/>
        <v>►</v>
      </c>
      <c r="BM133"/>
      <c r="BN133"/>
      <c r="BO133"/>
      <c r="BP133"/>
      <c r="BQ133"/>
      <c r="BR133"/>
      <c r="BS133"/>
      <c r="BT133"/>
      <c r="BU133"/>
      <c r="BV133"/>
      <c r="BW133"/>
      <c r="BX133"/>
      <c r="BY133"/>
      <c r="BZ133"/>
      <c r="CA133"/>
      <c r="CB133"/>
      <c r="CC133"/>
      <c r="CD133"/>
      <c r="CE133"/>
      <c r="CF133"/>
      <c r="CG133"/>
      <c r="CH133"/>
      <c r="CI133"/>
      <c r="CJ133"/>
      <c r="CK133"/>
      <c r="CL133"/>
      <c r="CM133"/>
      <c r="CN133" s="56" t="s">
        <v>1</v>
      </c>
      <c r="CO133" s="5">
        <v>1</v>
      </c>
    </row>
    <row r="134" spans="1:93" s="1" customFormat="1" ht="21" customHeight="1">
      <c r="A134" s="20" t="str">
        <f t="shared" si="62"/>
        <v>►</v>
      </c>
      <c r="B134" s="43" t="str">
        <f t="shared" si="66"/>
        <v>►</v>
      </c>
      <c r="C134" s="45" t="str">
        <f t="shared" si="45"/>
        <v>►</v>
      </c>
      <c r="D134" s="44" t="str">
        <f t="shared" si="46"/>
        <v>►</v>
      </c>
      <c r="E134" s="43" t="str">
        <f t="shared" si="47"/>
        <v>►</v>
      </c>
      <c r="F134" s="43" t="str">
        <f t="shared" si="48"/>
        <v>►</v>
      </c>
      <c r="G134" s="43" t="str">
        <f t="shared" si="49"/>
        <v>►</v>
      </c>
      <c r="H134" s="1256" t="s">
        <v>1</v>
      </c>
      <c r="I134" s="5175" t="s">
        <v>1</v>
      </c>
      <c r="J134" s="5161"/>
      <c r="K134" s="5161"/>
      <c r="L134" s="5161"/>
      <c r="M134" s="5176"/>
      <c r="N134" s="5177"/>
      <c r="O134" s="147"/>
      <c r="P134" s="147"/>
      <c r="Q134" s="102"/>
      <c r="R134" s="102"/>
      <c r="S134" s="1360"/>
      <c r="T134" s="43"/>
      <c r="U134" s="42"/>
      <c r="V134" s="41"/>
      <c r="W134" s="40"/>
      <c r="X134" s="39"/>
      <c r="Y134" s="38"/>
      <c r="Z134" s="37"/>
      <c r="AA134" s="36"/>
      <c r="AB134" s="35"/>
      <c r="AC134" s="34"/>
      <c r="AD134" s="55"/>
      <c r="AE134" s="33"/>
      <c r="AF134"/>
      <c r="AG134" s="32"/>
      <c r="AH134" s="31"/>
      <c r="AI134" s="30"/>
      <c r="AJ134" s="5492">
        <f t="shared" si="54"/>
        <v>0</v>
      </c>
      <c r="AK134" s="29">
        <f t="shared" si="55"/>
        <v>0</v>
      </c>
      <c r="AL134" s="28" t="str">
        <f t="shared" si="56"/>
        <v/>
      </c>
      <c r="AM134" s="27"/>
      <c r="AN134" s="26">
        <f t="shared" si="57"/>
        <v>0</v>
      </c>
      <c r="AO134" s="25">
        <f t="shared" si="58"/>
        <v>0</v>
      </c>
      <c r="AP134" s="24">
        <f t="shared" si="59"/>
        <v>0</v>
      </c>
      <c r="AQ134" s="23"/>
      <c r="AR134" s="22">
        <f t="shared" si="60"/>
        <v>0</v>
      </c>
      <c r="AS134" s="21"/>
      <c r="AT134" s="13"/>
      <c r="AU134" s="46">
        <f t="shared" si="61"/>
        <v>0</v>
      </c>
      <c r="BB134"/>
      <c r="BC134" s="79">
        <f>IF(BE134=BE101,1,LEN(BE134))</f>
        <v>0</v>
      </c>
      <c r="BD134" s="78" t="str" cm="1">
        <f t="array" ref="BD134">IF(BG134="", "", IFERROR(MAX(IF(ISNUMBER(BD102:BD133), BD102:BD133)) + 1, ""))</f>
        <v/>
      </c>
      <c r="BE134" s="77" t="str" cm="1">
        <f t="array" ref="BE134">IFERROR(INDEX(BG103:BG154, MATCH(ROW()-MIN(ROW(BG103:BG154))+1, BD103:BD154, 0)), "")</f>
        <v/>
      </c>
      <c r="BF134" s="5489">
        <f t="shared" si="63"/>
        <v>0</v>
      </c>
      <c r="BG134" s="90" t="str">
        <f t="shared" si="64"/>
        <v/>
      </c>
      <c r="BH134" s="89"/>
      <c r="BI134" s="88" t="str">
        <f>IF(LEN(BJ133)&lt;=BH133,BJ133,LEFT(BJ133,FIND("#",SUBSTITUTE(LEFT(BJ133,BH133+1)," ","#",LEN(LEFT(BJ133,BH133+1))-LEN(SUBSTITUTE(LEFT(BJ133,BH133+1)," ",""))))-1))</f>
        <v/>
      </c>
      <c r="BJ134" s="87" t="str">
        <f t="shared" si="68"/>
        <v/>
      </c>
      <c r="BK134" s="62"/>
      <c r="BL134" s="20" t="str">
        <f t="shared" si="50"/>
        <v>►</v>
      </c>
      <c r="BM134"/>
      <c r="BN134"/>
      <c r="BO134"/>
      <c r="BP134"/>
      <c r="BQ134"/>
      <c r="BR134"/>
      <c r="BS134"/>
      <c r="BT134"/>
      <c r="BU134"/>
      <c r="BV134"/>
      <c r="BW134"/>
      <c r="BX134"/>
      <c r="BY134"/>
      <c r="BZ134"/>
      <c r="CA134"/>
      <c r="CB134"/>
      <c r="CC134"/>
      <c r="CD134"/>
      <c r="CE134"/>
      <c r="CF134"/>
      <c r="CG134"/>
      <c r="CH134"/>
      <c r="CI134"/>
      <c r="CJ134"/>
      <c r="CK134"/>
      <c r="CL134"/>
      <c r="CM134"/>
      <c r="CN134" s="56" t="s">
        <v>1</v>
      </c>
      <c r="CO134" s="5">
        <v>1</v>
      </c>
    </row>
    <row r="135" spans="1:93" s="1" customFormat="1" ht="21" customHeight="1">
      <c r="A135" s="20" t="str">
        <f t="shared" si="62"/>
        <v>►</v>
      </c>
      <c r="B135" s="43" t="str">
        <f t="shared" si="66"/>
        <v>►</v>
      </c>
      <c r="C135" s="45" t="str">
        <f t="shared" si="45"/>
        <v>►</v>
      </c>
      <c r="D135" s="44" t="str">
        <f t="shared" si="46"/>
        <v>►</v>
      </c>
      <c r="E135" s="43" t="str">
        <f t="shared" si="47"/>
        <v>►</v>
      </c>
      <c r="F135" s="43" t="str">
        <f t="shared" si="48"/>
        <v>►</v>
      </c>
      <c r="G135" s="43" t="str">
        <f t="shared" si="49"/>
        <v>►</v>
      </c>
      <c r="H135" s="1256" t="s">
        <v>1</v>
      </c>
      <c r="I135" s="5175" t="s">
        <v>1</v>
      </c>
      <c r="J135" s="5161"/>
      <c r="K135" s="5161"/>
      <c r="L135" s="5161"/>
      <c r="M135" s="5176"/>
      <c r="N135" s="5177"/>
      <c r="O135" s="147"/>
      <c r="P135" s="147"/>
      <c r="Q135" s="102"/>
      <c r="R135" s="102"/>
      <c r="S135" s="1360"/>
      <c r="T135" s="43"/>
      <c r="U135" s="42"/>
      <c r="V135" s="41"/>
      <c r="W135" s="40"/>
      <c r="X135" s="39"/>
      <c r="Y135" s="38"/>
      <c r="Z135" s="37"/>
      <c r="AA135" s="36"/>
      <c r="AB135" s="35"/>
      <c r="AC135" s="34"/>
      <c r="AD135" s="55"/>
      <c r="AE135" s="33"/>
      <c r="AF135"/>
      <c r="AG135" s="32"/>
      <c r="AH135" s="31"/>
      <c r="AI135" s="30"/>
      <c r="AJ135" s="5492">
        <f t="shared" si="54"/>
        <v>0</v>
      </c>
      <c r="AK135" s="54">
        <f t="shared" si="55"/>
        <v>0</v>
      </c>
      <c r="AL135" s="53" t="str">
        <f t="shared" si="56"/>
        <v/>
      </c>
      <c r="AM135" s="52"/>
      <c r="AN135" s="51">
        <f t="shared" si="57"/>
        <v>0</v>
      </c>
      <c r="AO135" s="50">
        <f t="shared" si="58"/>
        <v>0</v>
      </c>
      <c r="AP135" s="49">
        <f t="shared" si="59"/>
        <v>0</v>
      </c>
      <c r="AQ135" s="23"/>
      <c r="AR135" s="48">
        <f t="shared" si="60"/>
        <v>0</v>
      </c>
      <c r="AS135" s="47"/>
      <c r="AT135" s="13"/>
      <c r="AU135" s="46">
        <f t="shared" si="61"/>
        <v>0</v>
      </c>
      <c r="AV135"/>
      <c r="BB135"/>
      <c r="BC135" s="79">
        <f>IF(BE135=BE101,1,LEN(BE135))</f>
        <v>0</v>
      </c>
      <c r="BD135" s="78" t="str" cm="1">
        <f t="array" ref="BD135">IF(BG135="", "", IFERROR(MAX(IF(ISNUMBER(BD102:BD134), BD102:BD134)) + 1, ""))</f>
        <v/>
      </c>
      <c r="BE135" s="77" t="str" cm="1">
        <f t="array" ref="BE135">IFERROR(INDEX(BG103:BG154, MATCH(ROW()-MIN(ROW(BG103:BG154))+1, BD103:BD154, 0)), "")</f>
        <v/>
      </c>
      <c r="BF135" s="5489">
        <f t="shared" si="63"/>
        <v>0</v>
      </c>
      <c r="BG135" s="90" t="str">
        <f t="shared" si="64"/>
        <v/>
      </c>
      <c r="BH135" s="89"/>
      <c r="BI135" s="88" t="str">
        <f>IF(LEN(BJ134)&lt;=BH133,BJ134,LEFT(BJ134,FIND("#",SUBSTITUTE(LEFT(BJ134,BH133+1)," ","#",LEN(LEFT(BJ134,BH133+1))-LEN(SUBSTITUTE(LEFT(BJ134,BH133+1)," ",""))))-1))</f>
        <v/>
      </c>
      <c r="BJ135" s="87" t="str">
        <f t="shared" si="68"/>
        <v/>
      </c>
      <c r="BK135" s="62"/>
      <c r="BL135" s="20" t="str">
        <f t="shared" si="50"/>
        <v>►</v>
      </c>
      <c r="BM135"/>
      <c r="BN135"/>
      <c r="BO135"/>
      <c r="BP135"/>
      <c r="BQ135"/>
      <c r="BR135"/>
      <c r="BS135"/>
      <c r="BT135"/>
      <c r="BU135"/>
      <c r="BV135"/>
      <c r="BW135"/>
      <c r="BX135"/>
      <c r="BY135"/>
      <c r="BZ135"/>
      <c r="CA135"/>
      <c r="CB135"/>
      <c r="CC135"/>
      <c r="CD135"/>
      <c r="CE135"/>
      <c r="CF135"/>
      <c r="CG135"/>
      <c r="CH135"/>
      <c r="CI135"/>
      <c r="CJ135"/>
      <c r="CK135"/>
      <c r="CL135"/>
      <c r="CM135"/>
      <c r="CN135" s="56" t="s">
        <v>1</v>
      </c>
      <c r="CO135" s="5">
        <v>1</v>
      </c>
    </row>
    <row r="136" spans="1:93" s="1" customFormat="1" ht="21" customHeight="1">
      <c r="A136" s="20" t="str">
        <f t="shared" si="62"/>
        <v>►</v>
      </c>
      <c r="B136" s="43" t="str">
        <f t="shared" si="66"/>
        <v>►</v>
      </c>
      <c r="C136" s="45" t="str">
        <f t="shared" si="45"/>
        <v>►</v>
      </c>
      <c r="D136" s="44" t="str">
        <f t="shared" si="46"/>
        <v>►</v>
      </c>
      <c r="E136" s="43" t="str">
        <f t="shared" si="47"/>
        <v>►</v>
      </c>
      <c r="F136" s="43" t="str">
        <f t="shared" si="48"/>
        <v>►</v>
      </c>
      <c r="G136" s="43" t="str">
        <f t="shared" si="49"/>
        <v>►</v>
      </c>
      <c r="H136" s="1256" t="s">
        <v>1</v>
      </c>
      <c r="I136" s="5175" t="s">
        <v>1</v>
      </c>
      <c r="J136" s="5161"/>
      <c r="K136" s="5161"/>
      <c r="L136" s="5161"/>
      <c r="M136" s="5176"/>
      <c r="N136" s="5177"/>
      <c r="O136" s="147"/>
      <c r="P136" s="147"/>
      <c r="Q136" s="102"/>
      <c r="R136" s="102"/>
      <c r="S136" s="1360"/>
      <c r="T136" s="43"/>
      <c r="U136" s="42"/>
      <c r="V136" s="41"/>
      <c r="W136" s="40"/>
      <c r="X136" s="39"/>
      <c r="Y136" s="38"/>
      <c r="Z136" s="37"/>
      <c r="AA136" s="36"/>
      <c r="AB136" s="35"/>
      <c r="AC136" s="34"/>
      <c r="AD136" s="55"/>
      <c r="AE136" s="33"/>
      <c r="AF136"/>
      <c r="AG136" s="32"/>
      <c r="AH136" s="31"/>
      <c r="AI136" s="30"/>
      <c r="AJ136" s="5492">
        <f t="shared" si="54"/>
        <v>0</v>
      </c>
      <c r="AK136" s="29">
        <f t="shared" si="55"/>
        <v>0</v>
      </c>
      <c r="AL136" s="28" t="str">
        <f t="shared" si="56"/>
        <v/>
      </c>
      <c r="AM136" s="27"/>
      <c r="AN136" s="26">
        <f t="shared" si="57"/>
        <v>0</v>
      </c>
      <c r="AO136" s="25">
        <f t="shared" si="58"/>
        <v>0</v>
      </c>
      <c r="AP136" s="24">
        <f t="shared" si="59"/>
        <v>0</v>
      </c>
      <c r="AQ136" s="23"/>
      <c r="AR136" s="22">
        <f t="shared" si="60"/>
        <v>0</v>
      </c>
      <c r="AS136" s="21"/>
      <c r="AT136" s="13"/>
      <c r="AU136" s="46">
        <f t="shared" si="61"/>
        <v>0</v>
      </c>
      <c r="AV136"/>
      <c r="AW136"/>
      <c r="AX136"/>
      <c r="AY136"/>
      <c r="AZ136"/>
      <c r="BA136"/>
      <c r="BB136"/>
      <c r="BC136" s="79">
        <f>IF(BE136=BE101,1,LEN(BE136))</f>
        <v>0</v>
      </c>
      <c r="BD136" s="78" t="str" cm="1">
        <f t="array" ref="BD136">IF(BG136="", "", IFERROR(MAX(IF(ISNUMBER(BD102:BD135), BD102:BD135)) + 1, ""))</f>
        <v/>
      </c>
      <c r="BE136" s="77" t="str" cm="1">
        <f t="array" ref="BE136">IFERROR(INDEX(BG103:BG154, MATCH(ROW()-MIN(ROW(BG103:BG154))+1, BD103:BD154, 0)), "")</f>
        <v/>
      </c>
      <c r="BF136" s="5489">
        <f t="shared" si="63"/>
        <v>0</v>
      </c>
      <c r="BG136" s="90" t="str">
        <f t="shared" si="64"/>
        <v/>
      </c>
      <c r="BH136" s="89"/>
      <c r="BI136" s="88" t="str">
        <f>IF(LEN(BJ135)&lt;=BH133,BJ135,LEFT(BJ135,FIND("#",SUBSTITUTE(LEFT(BJ135,BH133+1)," ","#",LEN(LEFT(BJ135,BH133+1))-LEN(SUBSTITUTE(LEFT(BJ135,BH133+1)," ",""))))-1))</f>
        <v/>
      </c>
      <c r="BJ136" s="87" t="str">
        <f t="shared" si="68"/>
        <v/>
      </c>
      <c r="BK136" s="62"/>
      <c r="BL136" s="20" t="str">
        <f t="shared" si="50"/>
        <v>►</v>
      </c>
      <c r="BM136"/>
      <c r="BN136"/>
      <c r="BO136"/>
      <c r="BP136"/>
      <c r="BQ136"/>
      <c r="BR136"/>
      <c r="BS136"/>
      <c r="BT136"/>
      <c r="BU136"/>
      <c r="BV136"/>
      <c r="BW136"/>
      <c r="BX136"/>
      <c r="BY136"/>
      <c r="BZ136"/>
      <c r="CA136"/>
      <c r="CB136"/>
      <c r="CC136"/>
      <c r="CD136"/>
      <c r="CE136"/>
      <c r="CF136"/>
      <c r="CG136"/>
      <c r="CH136"/>
      <c r="CI136"/>
      <c r="CJ136"/>
      <c r="CK136"/>
      <c r="CL136"/>
      <c r="CM136"/>
      <c r="CN136" s="56" t="s">
        <v>1</v>
      </c>
      <c r="CO136" s="5">
        <v>1</v>
      </c>
    </row>
    <row r="137" spans="1:93" s="1" customFormat="1" ht="21" customHeight="1">
      <c r="A137" s="20" t="str">
        <f t="shared" si="62"/>
        <v>►</v>
      </c>
      <c r="B137" s="43" t="str">
        <f t="shared" si="66"/>
        <v>►</v>
      </c>
      <c r="C137" s="45" t="str">
        <f t="shared" si="45"/>
        <v>►</v>
      </c>
      <c r="D137" s="44" t="str">
        <f t="shared" si="46"/>
        <v>►</v>
      </c>
      <c r="E137" s="43" t="str">
        <f t="shared" si="47"/>
        <v>►</v>
      </c>
      <c r="F137" s="43" t="str">
        <f t="shared" si="48"/>
        <v>►</v>
      </c>
      <c r="G137" s="43" t="str">
        <f t="shared" si="49"/>
        <v>►</v>
      </c>
      <c r="H137" s="1256" t="s">
        <v>1</v>
      </c>
      <c r="I137" s="5175" t="s">
        <v>1</v>
      </c>
      <c r="J137" s="5161"/>
      <c r="K137" s="5161"/>
      <c r="L137" s="5161"/>
      <c r="M137" s="5176"/>
      <c r="N137" s="5177"/>
      <c r="O137" s="147"/>
      <c r="P137" s="147"/>
      <c r="Q137" s="102"/>
      <c r="R137" s="102"/>
      <c r="S137" s="1360"/>
      <c r="T137" s="43"/>
      <c r="U137" s="42"/>
      <c r="V137" s="41"/>
      <c r="W137" s="40"/>
      <c r="X137" s="39"/>
      <c r="Y137" s="38"/>
      <c r="Z137" s="37"/>
      <c r="AA137" s="36"/>
      <c r="AB137" s="35"/>
      <c r="AC137" s="34"/>
      <c r="AD137" s="55"/>
      <c r="AE137" s="33"/>
      <c r="AF137"/>
      <c r="AG137" s="32"/>
      <c r="AH137" s="31"/>
      <c r="AI137" s="30"/>
      <c r="AJ137" s="5492">
        <f t="shared" si="54"/>
        <v>0</v>
      </c>
      <c r="AK137" s="54">
        <f t="shared" si="55"/>
        <v>0</v>
      </c>
      <c r="AL137" s="53" t="str">
        <f t="shared" si="56"/>
        <v/>
      </c>
      <c r="AM137" s="52"/>
      <c r="AN137" s="51">
        <f t="shared" si="57"/>
        <v>0</v>
      </c>
      <c r="AO137" s="50">
        <f t="shared" si="58"/>
        <v>0</v>
      </c>
      <c r="AP137" s="49">
        <f t="shared" si="59"/>
        <v>0</v>
      </c>
      <c r="AQ137" s="23"/>
      <c r="AR137" s="48">
        <f t="shared" si="60"/>
        <v>0</v>
      </c>
      <c r="AS137" s="47"/>
      <c r="AT137" s="13"/>
      <c r="AU137" s="46">
        <f t="shared" si="61"/>
        <v>0</v>
      </c>
      <c r="AV137"/>
      <c r="AZ137"/>
      <c r="BA137"/>
      <c r="BB137"/>
      <c r="BC137" s="79">
        <f>IF(BE137=BE101,1,LEN(BE137))</f>
        <v>0</v>
      </c>
      <c r="BD137" s="78" t="str" cm="1">
        <f t="array" ref="BD137">IF(BG137="", "", IFERROR(MAX(IF(ISNUMBER(BD102:BD136), BD102:BD136)) + 1, ""))</f>
        <v/>
      </c>
      <c r="BE137" s="77" t="str" cm="1">
        <f t="array" ref="BE137">IFERROR(INDEX(BG103:BG154, MATCH(ROW()-MIN(ROW(BG103:BG154))+1, BD103:BD154, 0)), "")</f>
        <v/>
      </c>
      <c r="BF137" s="5489">
        <f t="shared" si="63"/>
        <v>0</v>
      </c>
      <c r="BG137" s="90" t="str">
        <f t="shared" si="64"/>
        <v/>
      </c>
      <c r="BH137" s="89"/>
      <c r="BI137" s="88" t="str">
        <f>IF(LEN(BJ136)&lt;=BH133,BJ136,LEFT(BJ136,FIND("#",SUBSTITUTE(LEFT(BJ136,BH133+1)," ","#",LEN(LEFT(BJ136,BH133+1))-LEN(SUBSTITUTE(LEFT(BJ136,BH133+1)," ",""))))-1))</f>
        <v/>
      </c>
      <c r="BJ137" s="87" t="str">
        <f t="shared" si="68"/>
        <v/>
      </c>
      <c r="BK137" s="62"/>
      <c r="BL137" s="20" t="str">
        <f t="shared" si="50"/>
        <v>►</v>
      </c>
      <c r="BM137"/>
      <c r="BN137"/>
      <c r="BO137"/>
      <c r="BP137"/>
      <c r="BQ137"/>
      <c r="BR137"/>
      <c r="BS137"/>
      <c r="BT137"/>
      <c r="BU137"/>
      <c r="BV137"/>
      <c r="BW137"/>
      <c r="BX137"/>
      <c r="BY137"/>
      <c r="BZ137"/>
      <c r="CA137"/>
      <c r="CB137"/>
      <c r="CC137"/>
      <c r="CD137"/>
      <c r="CE137"/>
      <c r="CF137"/>
      <c r="CG137"/>
      <c r="CH137"/>
      <c r="CI137"/>
      <c r="CJ137"/>
      <c r="CK137"/>
      <c r="CL137"/>
      <c r="CM137"/>
      <c r="CN137" s="56" t="s">
        <v>1</v>
      </c>
      <c r="CO137" s="5">
        <v>1</v>
      </c>
    </row>
    <row r="138" spans="1:93" s="1" customFormat="1" ht="21" customHeight="1">
      <c r="A138" s="20" t="str">
        <f t="shared" si="62"/>
        <v>►</v>
      </c>
      <c r="B138" s="43" t="str">
        <f t="shared" si="66"/>
        <v>►</v>
      </c>
      <c r="C138" s="45" t="str">
        <f t="shared" si="45"/>
        <v>►</v>
      </c>
      <c r="D138" s="44" t="str">
        <f t="shared" si="46"/>
        <v>►</v>
      </c>
      <c r="E138" s="43" t="str">
        <f t="shared" si="47"/>
        <v>►</v>
      </c>
      <c r="F138" s="43" t="str">
        <f t="shared" si="48"/>
        <v>►</v>
      </c>
      <c r="G138" s="43" t="str">
        <f t="shared" si="49"/>
        <v>►</v>
      </c>
      <c r="H138" s="1256" t="s">
        <v>1</v>
      </c>
      <c r="I138" s="5175" t="s">
        <v>1</v>
      </c>
      <c r="J138" s="5161"/>
      <c r="K138" s="5161"/>
      <c r="L138" s="5161"/>
      <c r="M138" s="5176"/>
      <c r="N138" s="5177"/>
      <c r="O138" s="147"/>
      <c r="P138" s="147"/>
      <c r="Q138" s="102"/>
      <c r="R138" s="102"/>
      <c r="S138" s="1360"/>
      <c r="T138" s="43"/>
      <c r="U138" s="42"/>
      <c r="V138" s="41"/>
      <c r="W138" s="40"/>
      <c r="X138" s="39"/>
      <c r="Y138" s="38"/>
      <c r="Z138" s="37"/>
      <c r="AA138" s="36"/>
      <c r="AB138" s="35"/>
      <c r="AC138" s="34"/>
      <c r="AD138" s="55"/>
      <c r="AE138" s="33"/>
      <c r="AF138"/>
      <c r="AG138" s="32"/>
      <c r="AH138" s="31"/>
      <c r="AI138" s="30"/>
      <c r="AJ138" s="5492">
        <f t="shared" si="54"/>
        <v>0</v>
      </c>
      <c r="AK138" s="29">
        <f t="shared" si="55"/>
        <v>0</v>
      </c>
      <c r="AL138" s="28" t="str">
        <f t="shared" si="56"/>
        <v/>
      </c>
      <c r="AM138" s="27"/>
      <c r="AN138" s="26">
        <f t="shared" si="57"/>
        <v>0</v>
      </c>
      <c r="AO138" s="25">
        <f t="shared" si="58"/>
        <v>0</v>
      </c>
      <c r="AP138" s="24">
        <f t="shared" si="59"/>
        <v>0</v>
      </c>
      <c r="AQ138" s="23"/>
      <c r="AR138" s="22">
        <f t="shared" si="60"/>
        <v>0</v>
      </c>
      <c r="AS138" s="21"/>
      <c r="AT138" s="13"/>
      <c r="AU138" s="46">
        <f t="shared" si="61"/>
        <v>0</v>
      </c>
      <c r="AV138"/>
      <c r="AZ138"/>
      <c r="BA138"/>
      <c r="BB138"/>
      <c r="BC138" s="79">
        <f>IF(BE138=BE101,1,LEN(BE138))</f>
        <v>0</v>
      </c>
      <c r="BD138" s="78" t="str" cm="1">
        <f t="array" ref="BD138">IF(BG138="", "", IFERROR(MAX(IF(ISNUMBER(BD102:BD137), BD102:BD137)) + 1, ""))</f>
        <v/>
      </c>
      <c r="BE138" s="77" t="str" cm="1">
        <f t="array" ref="BE138">IFERROR(INDEX(BG103:BG154, MATCH(ROW()-MIN(ROW(BG103:BG154))+1, BD103:BD154, 0)), "")</f>
        <v/>
      </c>
      <c r="BF138" s="5489">
        <f t="shared" si="63"/>
        <v>0</v>
      </c>
      <c r="BG138" s="90" t="str">
        <f t="shared" si="64"/>
        <v/>
      </c>
      <c r="BH138" s="89"/>
      <c r="BI138" s="88" t="str">
        <f>IF(LEN(BJ137)&lt;=BH133,BJ137,LEFT(BJ137,FIND("#",SUBSTITUTE(LEFT(BJ137,BH133+1)," ","#",LEN(LEFT(BJ137,BH133+1))-LEN(SUBSTITUTE(LEFT(BJ137,BH133+1)," ",""))))-1))</f>
        <v/>
      </c>
      <c r="BJ138" s="87" t="str">
        <f t="shared" si="68"/>
        <v/>
      </c>
      <c r="BK138" s="62"/>
      <c r="BL138" s="20" t="str">
        <f t="shared" si="50"/>
        <v>►</v>
      </c>
      <c r="BM138"/>
      <c r="BN138"/>
      <c r="BO138"/>
      <c r="BP138"/>
      <c r="BQ138"/>
      <c r="BR138"/>
      <c r="BS138"/>
      <c r="BT138"/>
      <c r="BU138"/>
      <c r="BV138"/>
      <c r="BW138"/>
      <c r="BX138"/>
      <c r="BY138"/>
      <c r="BZ138"/>
      <c r="CA138"/>
      <c r="CB138"/>
      <c r="CC138"/>
      <c r="CD138"/>
      <c r="CE138"/>
      <c r="CF138"/>
      <c r="CG138"/>
      <c r="CH138"/>
      <c r="CI138"/>
      <c r="CJ138"/>
      <c r="CK138"/>
      <c r="CL138"/>
      <c r="CM138"/>
      <c r="CN138" s="56" t="s">
        <v>1</v>
      </c>
      <c r="CO138" s="5">
        <v>1</v>
      </c>
    </row>
    <row r="139" spans="1:93" s="1" customFormat="1" ht="21" customHeight="1">
      <c r="A139" s="20" t="str">
        <f t="shared" si="62"/>
        <v>►</v>
      </c>
      <c r="B139" s="43" t="str">
        <f t="shared" si="66"/>
        <v>►</v>
      </c>
      <c r="C139" s="45" t="str">
        <f t="shared" si="45"/>
        <v>►</v>
      </c>
      <c r="D139" s="44" t="str">
        <f t="shared" si="46"/>
        <v>►</v>
      </c>
      <c r="E139" s="43" t="str">
        <f t="shared" si="47"/>
        <v>►</v>
      </c>
      <c r="F139" s="43" t="str">
        <f t="shared" si="48"/>
        <v>►</v>
      </c>
      <c r="G139" s="43" t="str">
        <f t="shared" si="49"/>
        <v>►</v>
      </c>
      <c r="H139" s="1256" t="s">
        <v>1</v>
      </c>
      <c r="I139" s="5175" t="s">
        <v>1</v>
      </c>
      <c r="J139" s="5161"/>
      <c r="K139" s="5161"/>
      <c r="L139" s="5161"/>
      <c r="M139" s="5176"/>
      <c r="N139" s="5177"/>
      <c r="O139" s="147"/>
      <c r="P139" s="147"/>
      <c r="Q139" s="102"/>
      <c r="R139" s="102"/>
      <c r="S139" s="1360"/>
      <c r="T139" s="43"/>
      <c r="U139" s="42"/>
      <c r="V139" s="41"/>
      <c r="W139" s="40"/>
      <c r="X139" s="39"/>
      <c r="Y139" s="38"/>
      <c r="Z139" s="37"/>
      <c r="AA139" s="36"/>
      <c r="AB139" s="35"/>
      <c r="AC139" s="34"/>
      <c r="AD139" s="55"/>
      <c r="AE139" s="33"/>
      <c r="AF139"/>
      <c r="AG139" s="32"/>
      <c r="AH139" s="31"/>
      <c r="AI139" s="30"/>
      <c r="AJ139" s="5492">
        <f t="shared" si="54"/>
        <v>0</v>
      </c>
      <c r="AK139" s="54">
        <f t="shared" si="55"/>
        <v>0</v>
      </c>
      <c r="AL139" s="53" t="str">
        <f t="shared" si="56"/>
        <v/>
      </c>
      <c r="AM139" s="52"/>
      <c r="AN139" s="51">
        <f t="shared" si="57"/>
        <v>0</v>
      </c>
      <c r="AO139" s="50">
        <f t="shared" si="58"/>
        <v>0</v>
      </c>
      <c r="AP139" s="49">
        <f t="shared" si="59"/>
        <v>0</v>
      </c>
      <c r="AQ139" s="23"/>
      <c r="AR139" s="48">
        <f t="shared" si="60"/>
        <v>0</v>
      </c>
      <c r="AS139" s="47"/>
      <c r="AT139" s="13"/>
      <c r="AU139" s="46">
        <f t="shared" si="61"/>
        <v>0</v>
      </c>
      <c r="AV139"/>
      <c r="AZ139"/>
      <c r="BA139"/>
      <c r="BB139"/>
      <c r="BC139" s="79">
        <f>IF(BE139=BE101,1,LEN(BE139))</f>
        <v>0</v>
      </c>
      <c r="BD139" s="78" t="str" cm="1">
        <f t="array" ref="BD139">IF(BG139="", "", IFERROR(MAX(IF(ISNUMBER(BD102:BD138), BD102:BD138)) + 1, ""))</f>
        <v/>
      </c>
      <c r="BE139" s="77" t="str" cm="1">
        <f t="array" ref="BE139">IFERROR(INDEX(BG103:BG154, MATCH(ROW()-MIN(ROW(BG103:BG154))+1, BD103:BD154, 0)), "")</f>
        <v/>
      </c>
      <c r="BF139" s="5489">
        <f t="shared" si="63"/>
        <v>0</v>
      </c>
      <c r="BG139" s="90" t="str">
        <f t="shared" si="64"/>
        <v/>
      </c>
      <c r="BH139" s="89"/>
      <c r="BI139" s="88" t="str">
        <f>IF(LEN(BJ138)&lt;=BH133,BJ138,LEFT(BJ138,FIND("#",SUBSTITUTE(LEFT(BJ138,BH133+1)," ","#",LEN(LEFT(BJ138,BH133+1))-LEN(SUBSTITUTE(LEFT(BJ138,BH133+1)," ",""))))-1))</f>
        <v/>
      </c>
      <c r="BJ139" s="87" t="str">
        <f t="shared" si="68"/>
        <v/>
      </c>
      <c r="BK139" s="62"/>
      <c r="BL139" s="20" t="str">
        <f t="shared" si="50"/>
        <v>►</v>
      </c>
      <c r="BM139"/>
      <c r="BN139"/>
      <c r="BO139"/>
      <c r="BP139"/>
      <c r="BQ139"/>
      <c r="BR139"/>
      <c r="BS139"/>
      <c r="CN139" s="56" t="s">
        <v>1</v>
      </c>
      <c r="CO139" s="5">
        <v>1</v>
      </c>
    </row>
    <row r="140" spans="1:93" s="1" customFormat="1" ht="21" customHeight="1">
      <c r="A140" s="20" t="str">
        <f t="shared" si="62"/>
        <v>►</v>
      </c>
      <c r="B140" s="43" t="str">
        <f t="shared" si="66"/>
        <v>►</v>
      </c>
      <c r="C140" s="45" t="str">
        <f t="shared" si="45"/>
        <v>►</v>
      </c>
      <c r="D140" s="44" t="str">
        <f t="shared" si="46"/>
        <v>►</v>
      </c>
      <c r="E140" s="43" t="str">
        <f t="shared" si="47"/>
        <v>►</v>
      </c>
      <c r="F140" s="43" t="str">
        <f t="shared" si="48"/>
        <v>►</v>
      </c>
      <c r="G140" s="43" t="str">
        <f t="shared" si="49"/>
        <v>►</v>
      </c>
      <c r="H140" s="1256" t="s">
        <v>1</v>
      </c>
      <c r="I140" s="5175" t="s">
        <v>1</v>
      </c>
      <c r="J140" s="5161"/>
      <c r="K140" s="5161"/>
      <c r="L140" s="5161"/>
      <c r="M140" s="5176"/>
      <c r="N140" s="5177"/>
      <c r="O140" s="147"/>
      <c r="P140" s="147"/>
      <c r="Q140" s="102"/>
      <c r="R140" s="102"/>
      <c r="S140" s="1360"/>
      <c r="T140" s="43"/>
      <c r="U140" s="42"/>
      <c r="V140" s="41"/>
      <c r="W140" s="40"/>
      <c r="X140" s="39"/>
      <c r="Y140" s="38"/>
      <c r="Z140" s="37"/>
      <c r="AA140" s="36"/>
      <c r="AB140" s="35"/>
      <c r="AC140" s="34"/>
      <c r="AD140" s="55"/>
      <c r="AE140" s="33"/>
      <c r="AF140"/>
      <c r="AG140" s="32"/>
      <c r="AH140" s="31"/>
      <c r="AI140" s="30"/>
      <c r="AJ140" s="5492">
        <f t="shared" si="54"/>
        <v>0</v>
      </c>
      <c r="AK140" s="29">
        <f t="shared" si="55"/>
        <v>0</v>
      </c>
      <c r="AL140" s="28" t="str">
        <f t="shared" si="56"/>
        <v/>
      </c>
      <c r="AM140" s="27"/>
      <c r="AN140" s="26">
        <f t="shared" si="57"/>
        <v>0</v>
      </c>
      <c r="AO140" s="25">
        <f t="shared" si="58"/>
        <v>0</v>
      </c>
      <c r="AP140" s="24">
        <f t="shared" si="59"/>
        <v>0</v>
      </c>
      <c r="AQ140" s="23"/>
      <c r="AR140" s="22">
        <f t="shared" si="60"/>
        <v>0</v>
      </c>
      <c r="AS140" s="21"/>
      <c r="AT140" s="13"/>
      <c r="AU140" s="46">
        <f t="shared" si="61"/>
        <v>0</v>
      </c>
      <c r="AV140"/>
      <c r="AZ140"/>
      <c r="BA140"/>
      <c r="BB140"/>
      <c r="BC140" s="79">
        <f>IF(BE140=BE101,1,LEN(BE140))</f>
        <v>0</v>
      </c>
      <c r="BD140" s="78" t="str" cm="1">
        <f t="array" ref="BD140">IF(BG140="", "", IFERROR(MAX(IF(ISNUMBER(BD102:BD139), BD102:BD139)) + 1, ""))</f>
        <v/>
      </c>
      <c r="BE140" s="77" t="str" cm="1">
        <f t="array" ref="BE140">IFERROR(INDEX(BG103:BG154, MATCH(ROW()-MIN(ROW(BG103:BG154))+1, BD103:BD154, 0)), "")</f>
        <v/>
      </c>
      <c r="BF140" s="5489">
        <f t="shared" si="63"/>
        <v>0</v>
      </c>
      <c r="BG140" s="90" t="str">
        <f t="shared" si="64"/>
        <v/>
      </c>
      <c r="BH140" s="89"/>
      <c r="BI140" s="88" t="str">
        <f>IF(LEN(BJ139)&lt;=BH133,BJ139,LEFT(BJ139,FIND("#",SUBSTITUTE(LEFT(BJ139,BH133+1)," ","#",LEN(LEFT(BJ139,BH133+1))-LEN(SUBSTITUTE(LEFT(BJ139,BH133+1)," ",""))))-1))</f>
        <v/>
      </c>
      <c r="BJ140" s="87" t="str">
        <f t="shared" si="68"/>
        <v/>
      </c>
      <c r="BK140" s="62"/>
      <c r="BL140" s="20" t="str">
        <f t="shared" si="50"/>
        <v>►</v>
      </c>
      <c r="BM140"/>
      <c r="BN140"/>
      <c r="BO140"/>
      <c r="BP140"/>
      <c r="BQ140"/>
      <c r="BR140"/>
      <c r="BS140"/>
      <c r="CN140" s="56" t="s">
        <v>1</v>
      </c>
      <c r="CO140" s="5">
        <v>1</v>
      </c>
    </row>
    <row r="141" spans="1:93" s="1" customFormat="1" ht="21" customHeight="1">
      <c r="A141" s="20" t="str">
        <f t="shared" si="62"/>
        <v>►</v>
      </c>
      <c r="B141" s="43" t="str">
        <f t="shared" si="66"/>
        <v>►</v>
      </c>
      <c r="C141" s="45" t="str">
        <f t="shared" si="45"/>
        <v>►</v>
      </c>
      <c r="D141" s="44" t="str">
        <f t="shared" si="46"/>
        <v>►</v>
      </c>
      <c r="E141" s="43" t="str">
        <f t="shared" si="47"/>
        <v>►</v>
      </c>
      <c r="F141" s="43" t="str">
        <f t="shared" si="48"/>
        <v>►</v>
      </c>
      <c r="G141" s="43" t="str">
        <f t="shared" si="49"/>
        <v>►</v>
      </c>
      <c r="H141" s="1256" t="s">
        <v>1</v>
      </c>
      <c r="I141" s="5175" t="s">
        <v>1</v>
      </c>
      <c r="J141" s="5161"/>
      <c r="K141" s="5161"/>
      <c r="L141" s="5161"/>
      <c r="M141" s="5176"/>
      <c r="N141" s="5177"/>
      <c r="O141" s="147"/>
      <c r="P141" s="147"/>
      <c r="Q141" s="102"/>
      <c r="R141" s="102"/>
      <c r="S141" s="1360"/>
      <c r="T141" s="43"/>
      <c r="U141" s="42"/>
      <c r="V141" s="41"/>
      <c r="W141" s="40"/>
      <c r="X141" s="39"/>
      <c r="Y141" s="38"/>
      <c r="Z141" s="37"/>
      <c r="AA141" s="36"/>
      <c r="AB141" s="35"/>
      <c r="AC141" s="34"/>
      <c r="AD141" s="55"/>
      <c r="AE141" s="33"/>
      <c r="AF141"/>
      <c r="AG141" s="32"/>
      <c r="AH141" s="31"/>
      <c r="AI141" s="30"/>
      <c r="AJ141" s="5492">
        <f t="shared" si="54"/>
        <v>0</v>
      </c>
      <c r="AK141" s="54">
        <f t="shared" si="55"/>
        <v>0</v>
      </c>
      <c r="AL141" s="53" t="str">
        <f t="shared" si="56"/>
        <v/>
      </c>
      <c r="AM141" s="52"/>
      <c r="AN141" s="51">
        <f t="shared" si="57"/>
        <v>0</v>
      </c>
      <c r="AO141" s="50">
        <f t="shared" si="58"/>
        <v>0</v>
      </c>
      <c r="AP141" s="49">
        <f t="shared" si="59"/>
        <v>0</v>
      </c>
      <c r="AQ141" s="23"/>
      <c r="AR141" s="48">
        <f t="shared" si="60"/>
        <v>0</v>
      </c>
      <c r="AS141" s="47"/>
      <c r="AT141" s="13"/>
      <c r="AU141" s="46">
        <f t="shared" si="61"/>
        <v>0</v>
      </c>
      <c r="AV141"/>
      <c r="AZ141"/>
      <c r="BA141"/>
      <c r="BB141"/>
      <c r="BC141" s="79">
        <f>IF(BE141=BE101,1,LEN(BE141))</f>
        <v>0</v>
      </c>
      <c r="BD141" s="78" t="str" cm="1">
        <f t="array" ref="BD141">IF(BG141="", "", IFERROR(MAX(IF(ISNUMBER(BD102:BD140), BD102:BD140)) + 1, ""))</f>
        <v/>
      </c>
      <c r="BE141" s="77" t="str" cm="1">
        <f t="array" ref="BE141">IFERROR(INDEX(BG103:BG154, MATCH(ROW()-MIN(ROW(BG103:BG154))+1, BD103:BD154, 0)), "")</f>
        <v/>
      </c>
      <c r="BF141" s="5489">
        <f t="shared" si="63"/>
        <v>0</v>
      </c>
      <c r="BG141" s="90" t="str">
        <f t="shared" si="64"/>
        <v/>
      </c>
      <c r="BH141" s="89"/>
      <c r="BI141" s="88" t="str">
        <f>IF(LEN(BJ140)&lt;=BH133,BJ140,LEFT(BJ140,FIND("#",SUBSTITUTE(LEFT(BJ140,BH133+1)," ","#",LEN(LEFT(BJ140,BH133+1))-LEN(SUBSTITUTE(LEFT(BJ140,BH133+1)," ",""))))-1))</f>
        <v/>
      </c>
      <c r="BJ141" s="87" t="str">
        <f t="shared" si="68"/>
        <v/>
      </c>
      <c r="BK141" s="62"/>
      <c r="BL141" s="20" t="str">
        <f t="shared" si="50"/>
        <v>►</v>
      </c>
      <c r="BM141"/>
      <c r="BN141"/>
      <c r="BO141"/>
      <c r="BP141"/>
      <c r="BQ141"/>
      <c r="BR141"/>
      <c r="BS141"/>
      <c r="CN141" s="56" t="s">
        <v>1</v>
      </c>
      <c r="CO141" s="5">
        <v>1</v>
      </c>
    </row>
    <row r="142" spans="1:93" s="1" customFormat="1" ht="21" customHeight="1">
      <c r="A142" s="20" t="str">
        <f t="shared" si="62"/>
        <v>►</v>
      </c>
      <c r="B142" s="43" t="str">
        <f t="shared" si="66"/>
        <v>►</v>
      </c>
      <c r="C142" s="45" t="str">
        <f t="shared" ref="C142:C205" si="69">IF(B142="►","►",IFERROR(LEFT(B142,SEARCH(".",B142)-1),0))</f>
        <v>►</v>
      </c>
      <c r="D142" s="44" t="str">
        <f t="shared" ref="D142:D205" si="70">IF(B142="►","►",IFERROR(MID(B142,SEARCH(".",B142)+1,SEARCH(".",B142,SEARCH(".",B142)+1)-SEARCH(".",B142)-1),0))</f>
        <v>►</v>
      </c>
      <c r="E142" s="43" t="str">
        <f t="shared" ref="E142:E205" si="71">IF(B142="►","►",IFERROR(MID(B142,SEARCH(".",B142,SEARCH(".",B142)+1)+1,SEARCH(".",B142,SEARCH(".",B142,SEARCH(".",B142)+1)+1)-SEARCH(".",B142,SEARCH(".",B142)+1)-1),0))</f>
        <v>►</v>
      </c>
      <c r="F142" s="43" t="str">
        <f t="shared" ref="F142:F205" si="72">IF(B142="►","►",IFERROR(MID(J142,SEARCH(".",B142,SEARCH(".",B142,SEARCH(".",B142)+1)+1)+1,SEARCH(".",B142,SEARCH(".",B142,SEARCH(".",B142,SEARCH(".",B142)+1)+1)+1)-SEARCH(".",B142,SEARCH(".",B142,SEARCH(".",B142)+1)+1)-1),0))</f>
        <v>►</v>
      </c>
      <c r="G142" s="43" t="str">
        <f t="shared" si="49"/>
        <v>►</v>
      </c>
      <c r="H142" s="1256" t="s">
        <v>1</v>
      </c>
      <c r="I142" s="5175" t="s">
        <v>1</v>
      </c>
      <c r="J142" s="5161"/>
      <c r="K142" s="5161"/>
      <c r="L142" s="5161"/>
      <c r="M142" s="5176"/>
      <c r="N142" s="5177"/>
      <c r="O142" s="147"/>
      <c r="P142" s="147"/>
      <c r="Q142" s="102"/>
      <c r="R142" s="102"/>
      <c r="S142" s="1360"/>
      <c r="T142" s="43"/>
      <c r="U142" s="42"/>
      <c r="V142" s="41"/>
      <c r="W142" s="40"/>
      <c r="X142" s="39"/>
      <c r="Y142" s="38"/>
      <c r="Z142" s="37"/>
      <c r="AA142" s="36"/>
      <c r="AB142" s="35"/>
      <c r="AC142" s="34"/>
      <c r="AD142" s="55"/>
      <c r="AE142" s="33"/>
      <c r="AF142"/>
      <c r="AG142" s="32"/>
      <c r="AH142" s="31"/>
      <c r="AI142" s="30"/>
      <c r="AJ142" s="5492">
        <f t="shared" si="54"/>
        <v>0</v>
      </c>
      <c r="AK142" s="29">
        <f t="shared" si="55"/>
        <v>0</v>
      </c>
      <c r="AL142" s="28" t="str">
        <f t="shared" si="56"/>
        <v/>
      </c>
      <c r="AM142" s="27"/>
      <c r="AN142" s="26">
        <f t="shared" si="57"/>
        <v>0</v>
      </c>
      <c r="AO142" s="25">
        <f t="shared" si="58"/>
        <v>0</v>
      </c>
      <c r="AP142" s="24">
        <f t="shared" si="59"/>
        <v>0</v>
      </c>
      <c r="AQ142" s="23"/>
      <c r="AR142" s="22">
        <f t="shared" si="60"/>
        <v>0</v>
      </c>
      <c r="AS142" s="21"/>
      <c r="AT142" s="13"/>
      <c r="AU142" s="46">
        <f t="shared" si="61"/>
        <v>0</v>
      </c>
      <c r="AV142"/>
      <c r="AZ142"/>
      <c r="BA142"/>
      <c r="BB142"/>
      <c r="BC142" s="79">
        <f>IF(BE142=BE101,1,LEN(BE142))</f>
        <v>0</v>
      </c>
      <c r="BD142" s="78" cm="1">
        <f t="array" ref="BD142">IF(BG142="", "", IFERROR(MAX(IF(ISNUMBER(BD102:BD141), BD102:BD141)) + 1, ""))</f>
        <v>11</v>
      </c>
      <c r="BE142" s="77" t="str" cm="1">
        <f t="array" ref="BE142">IFERROR(INDEX(BG103:BG154, MATCH(ROW()-MIN(ROW(BG103:BG154))+1, BD103:BD154, 0)), "")</f>
        <v/>
      </c>
      <c r="BF142" s="5489">
        <f t="shared" si="63"/>
        <v>0</v>
      </c>
      <c r="BG142" s="83" t="str">
        <f t="shared" si="64"/>
        <v xml:space="preserve"> et saisissez un nombre de caractères pour que le texte ne déborde pas de la colonne ►Police</v>
      </c>
      <c r="BH142" s="86" t="str">
        <f>BE98</f>
        <v xml:space="preserve"> et saisissez un nombre de caractères pour que le texte ne déborde pas de la colonne  ►Police  choisissez celle qui vous convient</v>
      </c>
      <c r="BI142" s="81" t="str">
        <f>IF(AND(BH142&lt;&gt;"", BH146&lt;&gt;""), IF(LEN(BH142)&lt;BH146, BH142, IFERROR(LEFT(BH145, IF(ISNUMBER(FIND(" ", BH145)), FIND(" ", BH145 &amp; " ", BH146) - 1, LEN(BH145))), "")), "")</f>
        <v xml:space="preserve"> et saisissez un nombre de caractères pour que le texte ne déborde pas de la colonne ►Police</v>
      </c>
      <c r="BJ142" s="80" t="str">
        <f>IF(BI142="","",RIGHT(BH145,LEN(BH145)-LEN(BI142)-1))</f>
        <v>choisissez celle qui vous convient</v>
      </c>
      <c r="BK142" s="62"/>
      <c r="BL142" s="20" t="str">
        <f t="shared" si="50"/>
        <v>►</v>
      </c>
      <c r="BM142"/>
      <c r="BN142"/>
      <c r="BO142"/>
      <c r="BP142"/>
      <c r="BQ142"/>
      <c r="BR142"/>
      <c r="BS142"/>
      <c r="CN142" s="56" t="s">
        <v>1</v>
      </c>
      <c r="CO142" s="5">
        <v>1</v>
      </c>
    </row>
    <row r="143" spans="1:93" s="1" customFormat="1" ht="21" customHeight="1">
      <c r="A143" s="20" t="str">
        <f t="shared" si="62"/>
        <v>►</v>
      </c>
      <c r="B143" s="43" t="str">
        <f t="shared" si="66"/>
        <v>►</v>
      </c>
      <c r="C143" s="45" t="str">
        <f t="shared" si="69"/>
        <v>►</v>
      </c>
      <c r="D143" s="44" t="str">
        <f t="shared" si="70"/>
        <v>►</v>
      </c>
      <c r="E143" s="43" t="str">
        <f t="shared" si="71"/>
        <v>►</v>
      </c>
      <c r="F143" s="43" t="str">
        <f t="shared" si="72"/>
        <v>►</v>
      </c>
      <c r="G143" s="43" t="str">
        <f t="shared" si="49"/>
        <v>►</v>
      </c>
      <c r="H143" s="1256" t="s">
        <v>1</v>
      </c>
      <c r="I143" s="5175" t="s">
        <v>1</v>
      </c>
      <c r="J143" s="5161"/>
      <c r="K143" s="5161"/>
      <c r="L143" s="5161"/>
      <c r="M143" s="5176"/>
      <c r="N143" s="5177"/>
      <c r="O143" s="147"/>
      <c r="P143" s="147"/>
      <c r="Q143" s="102"/>
      <c r="R143" s="102"/>
      <c r="S143" s="1360"/>
      <c r="T143" s="43"/>
      <c r="U143" s="42"/>
      <c r="V143" s="41"/>
      <c r="W143" s="40"/>
      <c r="X143" s="39"/>
      <c r="Y143" s="38"/>
      <c r="Z143" s="37"/>
      <c r="AA143" s="36"/>
      <c r="AB143" s="35"/>
      <c r="AC143" s="34"/>
      <c r="AD143" s="55"/>
      <c r="AE143" s="33"/>
      <c r="AF143"/>
      <c r="AG143" s="32"/>
      <c r="AH143" s="31"/>
      <c r="AI143" s="30"/>
      <c r="AJ143" s="5492">
        <f t="shared" si="54"/>
        <v>0</v>
      </c>
      <c r="AK143" s="54">
        <f t="shared" si="55"/>
        <v>0</v>
      </c>
      <c r="AL143" s="53" t="str">
        <f t="shared" si="56"/>
        <v/>
      </c>
      <c r="AM143" s="52"/>
      <c r="AN143" s="51">
        <f t="shared" si="57"/>
        <v>0</v>
      </c>
      <c r="AO143" s="50">
        <f t="shared" si="58"/>
        <v>0</v>
      </c>
      <c r="AP143" s="49">
        <f t="shared" si="59"/>
        <v>0</v>
      </c>
      <c r="AQ143" s="23"/>
      <c r="AR143" s="48">
        <f t="shared" si="60"/>
        <v>0</v>
      </c>
      <c r="AS143" s="47"/>
      <c r="AT143" s="13"/>
      <c r="AU143" s="46">
        <f t="shared" si="61"/>
        <v>0</v>
      </c>
      <c r="AV143"/>
      <c r="AZ143"/>
      <c r="BA143"/>
      <c r="BB143"/>
      <c r="BC143" s="79">
        <f>IF(BE143=BE101,1,LEN(BE143))</f>
        <v>0</v>
      </c>
      <c r="BD143" s="78" cm="1">
        <f t="array" ref="BD143">IF(BG143="", "", IFERROR(MAX(IF(ISNUMBER(BD102:BD142), BD102:BD142)) + 1, ""))</f>
        <v>12</v>
      </c>
      <c r="BE143" s="77" t="str" cm="1">
        <f t="array" ref="BE143">IFERROR(INDEX(BG103:BG154, MATCH(ROW()-MIN(ROW(BG103:BG154))+1, BD103:BD154, 0)), "")</f>
        <v/>
      </c>
      <c r="BF143" s="5489">
        <f t="shared" si="63"/>
        <v>0</v>
      </c>
      <c r="BG143" s="83" t="str">
        <f t="shared" si="64"/>
        <v>choisissez celle qui vous convient</v>
      </c>
      <c r="BH143" s="85" t="str">
        <f>SUBSTITUTE(SUBSTITUTE(SUBSTITUTE(SUBSTITUTE(SUBSTITUTE(BH142, ",", "♦"), ";", "♦"), ".", "♦"), " ♦", " "), "♦", " ")</f>
        <v xml:space="preserve"> et saisissez un nombre de caractères pour que le texte ne déborde pas de la colonne  ►Police  choisissez celle qui vous convient</v>
      </c>
      <c r="BI143" s="81" t="str">
        <f>IF(LEN(BJ142)&lt;=BH146,BJ142,LEFT(BJ142,FIND("#",SUBSTITUTE(LEFT(BJ142,BH146+1)," ","#",LEN(LEFT(BJ142,BH146+1))-LEN(SUBSTITUTE(LEFT(BJ142,BH146+1)," ",""))))-1))</f>
        <v>choisissez celle qui vous convient</v>
      </c>
      <c r="BJ143" s="80" t="str">
        <f t="shared" ref="BJ143:BJ154" si="73">IF(BI143="","",IFERROR(RIGHT(BJ142,LEN(BJ142)-LEN(BI143)-1),""))</f>
        <v/>
      </c>
      <c r="BK143" s="62"/>
      <c r="BL143" s="20" t="str">
        <f t="shared" si="50"/>
        <v>►</v>
      </c>
      <c r="BM143"/>
      <c r="BN143"/>
      <c r="BO143"/>
      <c r="BP143"/>
      <c r="BQ143"/>
      <c r="BR143"/>
      <c r="BS143"/>
      <c r="CN143" s="56" t="s">
        <v>1</v>
      </c>
      <c r="CO143" s="5">
        <v>1</v>
      </c>
    </row>
    <row r="144" spans="1:93" s="1" customFormat="1" ht="21" customHeight="1">
      <c r="A144" s="20" t="str">
        <f t="shared" si="62"/>
        <v>►</v>
      </c>
      <c r="B144" s="43" t="str">
        <f t="shared" si="66"/>
        <v>►</v>
      </c>
      <c r="C144" s="45" t="str">
        <f t="shared" si="69"/>
        <v>►</v>
      </c>
      <c r="D144" s="44" t="str">
        <f t="shared" si="70"/>
        <v>►</v>
      </c>
      <c r="E144" s="43" t="str">
        <f t="shared" si="71"/>
        <v>►</v>
      </c>
      <c r="F144" s="43" t="str">
        <f t="shared" si="72"/>
        <v>►</v>
      </c>
      <c r="G144" s="43" t="str">
        <f t="shared" ref="G144:G207" si="74">IF(B144="►","►",IF(ISBLANK(B144),"►",IFERROR(RIGHT(B144,LEN(B144)-FIND("►",B144)-1),"")))</f>
        <v>►</v>
      </c>
      <c r="H144" s="1256" t="s">
        <v>1</v>
      </c>
      <c r="I144" s="5175" t="s">
        <v>1</v>
      </c>
      <c r="J144" s="5161"/>
      <c r="K144" s="5161"/>
      <c r="L144" s="5161"/>
      <c r="M144" s="5176"/>
      <c r="N144" s="5177"/>
      <c r="O144" s="147"/>
      <c r="P144" s="147"/>
      <c r="Q144" s="102"/>
      <c r="R144" s="102"/>
      <c r="S144" s="1360"/>
      <c r="T144" s="43"/>
      <c r="U144" s="42"/>
      <c r="V144" s="41"/>
      <c r="W144" s="40"/>
      <c r="X144" s="39"/>
      <c r="Y144" s="38"/>
      <c r="Z144" s="37"/>
      <c r="AA144" s="36"/>
      <c r="AB144" s="35"/>
      <c r="AC144" s="34"/>
      <c r="AD144" s="55"/>
      <c r="AE144" s="33"/>
      <c r="AF144"/>
      <c r="AG144" s="32"/>
      <c r="AH144" s="31"/>
      <c r="AI144" s="30"/>
      <c r="AJ144" s="5492">
        <f t="shared" si="54"/>
        <v>0</v>
      </c>
      <c r="AK144" s="29">
        <f t="shared" si="55"/>
        <v>0</v>
      </c>
      <c r="AL144" s="28" t="str">
        <f t="shared" si="56"/>
        <v/>
      </c>
      <c r="AM144" s="27"/>
      <c r="AN144" s="26">
        <f t="shared" si="57"/>
        <v>0</v>
      </c>
      <c r="AO144" s="25">
        <f t="shared" si="58"/>
        <v>0</v>
      </c>
      <c r="AP144" s="24">
        <f t="shared" si="59"/>
        <v>0</v>
      </c>
      <c r="AQ144" s="23"/>
      <c r="AR144" s="22">
        <f t="shared" si="60"/>
        <v>0</v>
      </c>
      <c r="AS144" s="21"/>
      <c r="AT144" s="13"/>
      <c r="AU144" s="46">
        <f t="shared" si="61"/>
        <v>0</v>
      </c>
      <c r="AV144"/>
      <c r="AZ144"/>
      <c r="BA144"/>
      <c r="BB144"/>
      <c r="BC144" s="79">
        <f>IF(BE144=BE101,1,LEN(BE144))</f>
        <v>0</v>
      </c>
      <c r="BD144" s="78" t="str" cm="1">
        <f t="array" ref="BD144">IF(BG144="", "", IFERROR(MAX(IF(ISNUMBER(BD102:BD143), BD102:BD143)) + 1, ""))</f>
        <v/>
      </c>
      <c r="BE144" s="77" t="str" cm="1">
        <f t="array" ref="BE144">IFERROR(INDEX(BG103:BG154, MATCH(ROW()-MIN(ROW(BG103:BG154))+1, BD103:BD154, 0)), "")</f>
        <v/>
      </c>
      <c r="BF144" s="5489">
        <f t="shared" si="63"/>
        <v>0</v>
      </c>
      <c r="BG144" s="83" t="str">
        <f t="shared" si="64"/>
        <v/>
      </c>
      <c r="BH144" s="85" t="str">
        <f>IFERROR(SUBSTITUTE(SUBSTITUTE(SUBSTITUTE(SUBSTITUTE(SUBSTITUTE(SUBSTITUTE(BH143, ",", " "), ".", " "), ";", " "), "-", " "), ":", " "), "?", " "), BH143)</f>
        <v xml:space="preserve"> et saisissez un nombre de caractères pour que le texte ne déborde pas de la colonne  ►Police  choisissez celle qui vous convient</v>
      </c>
      <c r="BI144" s="81" t="str">
        <f>IF(LEN(BJ143)&lt;=BH146,BJ143,LEFT(BJ143,FIND("#",SUBSTITUTE(LEFT(BJ143,BH146+1)," ","#",LEN(LEFT(BJ143,BH146+1))-LEN(SUBSTITUTE(LEFT(BJ143,BH146+1)," ",""))))-1))</f>
        <v/>
      </c>
      <c r="BJ144" s="80" t="str">
        <f t="shared" si="73"/>
        <v/>
      </c>
      <c r="BK144" s="62"/>
      <c r="BL144" s="20" t="str">
        <f t="shared" si="50"/>
        <v>►</v>
      </c>
      <c r="BM144"/>
      <c r="BN144"/>
      <c r="BO144"/>
      <c r="BP144"/>
      <c r="BQ144"/>
      <c r="BR144"/>
      <c r="BS144"/>
      <c r="CN144" s="56" t="s">
        <v>1</v>
      </c>
      <c r="CO144" s="5">
        <v>1</v>
      </c>
    </row>
    <row r="145" spans="1:93" s="1" customFormat="1" ht="21" customHeight="1">
      <c r="A145" s="20" t="str">
        <f t="shared" si="62"/>
        <v>►</v>
      </c>
      <c r="B145" s="43" t="str">
        <f t="shared" si="66"/>
        <v>►</v>
      </c>
      <c r="C145" s="45" t="str">
        <f t="shared" si="69"/>
        <v>►</v>
      </c>
      <c r="D145" s="44" t="str">
        <f t="shared" si="70"/>
        <v>►</v>
      </c>
      <c r="E145" s="43" t="str">
        <f t="shared" si="71"/>
        <v>►</v>
      </c>
      <c r="F145" s="43" t="str">
        <f t="shared" si="72"/>
        <v>►</v>
      </c>
      <c r="G145" s="43" t="str">
        <f t="shared" si="74"/>
        <v>►</v>
      </c>
      <c r="H145" s="1256" t="s">
        <v>1</v>
      </c>
      <c r="I145" s="5175" t="s">
        <v>1</v>
      </c>
      <c r="J145" s="5161"/>
      <c r="K145" s="5161"/>
      <c r="L145" s="5161"/>
      <c r="M145" s="5176"/>
      <c r="N145" s="5177"/>
      <c r="O145" s="147"/>
      <c r="P145" s="147"/>
      <c r="Q145" s="102"/>
      <c r="R145" s="102"/>
      <c r="S145" s="1360"/>
      <c r="T145" s="43"/>
      <c r="U145" s="42"/>
      <c r="V145" s="41"/>
      <c r="W145" s="40"/>
      <c r="X145" s="39"/>
      <c r="Y145" s="38"/>
      <c r="Z145" s="37"/>
      <c r="AA145" s="36"/>
      <c r="AB145" s="35"/>
      <c r="AC145" s="34"/>
      <c r="AD145" s="55"/>
      <c r="AE145" s="33"/>
      <c r="AF145"/>
      <c r="AG145" s="32"/>
      <c r="AH145" s="31"/>
      <c r="AI145" s="30"/>
      <c r="AJ145" s="5492">
        <f t="shared" si="54"/>
        <v>0</v>
      </c>
      <c r="AK145" s="54">
        <f t="shared" si="55"/>
        <v>0</v>
      </c>
      <c r="AL145" s="53" t="str">
        <f t="shared" si="56"/>
        <v/>
      </c>
      <c r="AM145" s="52"/>
      <c r="AN145" s="51">
        <f t="shared" si="57"/>
        <v>0</v>
      </c>
      <c r="AO145" s="50">
        <f t="shared" si="58"/>
        <v>0</v>
      </c>
      <c r="AP145" s="49">
        <f t="shared" si="59"/>
        <v>0</v>
      </c>
      <c r="AQ145" s="23"/>
      <c r="AR145" s="48">
        <f t="shared" si="60"/>
        <v>0</v>
      </c>
      <c r="AS145" s="47"/>
      <c r="AT145" s="13"/>
      <c r="AU145" s="46">
        <f t="shared" si="61"/>
        <v>0</v>
      </c>
      <c r="AV145"/>
      <c r="AZ145"/>
      <c r="BA145"/>
      <c r="BB145"/>
      <c r="BC145" s="79">
        <f>IF(BE145=BE101,1,LEN(BE145))</f>
        <v>0</v>
      </c>
      <c r="BD145" s="78" t="str" cm="1">
        <f t="array" ref="BD145">IF(BG145="", "", IFERROR(MAX(IF(ISNUMBER(BD102:BD144), BD102:BD144)) + 1, ""))</f>
        <v/>
      </c>
      <c r="BE145" s="77" t="str" cm="1">
        <f t="array" ref="BE145">IFERROR(INDEX(BG103:BG154, MATCH(ROW()-MIN(ROW(BG103:BG154))+1, BD103:BD154, 0)), "")</f>
        <v/>
      </c>
      <c r="BF145" s="5489">
        <f t="shared" si="63"/>
        <v>0</v>
      </c>
      <c r="BG145" s="83" t="str">
        <f t="shared" si="64"/>
        <v/>
      </c>
      <c r="BH145" s="85" t="str">
        <f>IFERROR(SUBSTITUTE(SUBSTITUTE(SUBSTITUTE(SUBSTITUTE(BH144, " , ", " "), ";", " "), "  ", " "), " ", " "), BH144)</f>
        <v xml:space="preserve"> et saisissez un nombre de caractères pour que le texte ne déborde pas de la colonne ►Police choisissez celle qui vous convient</v>
      </c>
      <c r="BI145" s="81" t="str">
        <f>IF(LEN(BJ144)&lt;=BH146,BJ144,LEFT(BJ144,FIND("#",SUBSTITUTE(LEFT(BJ144,BH146+1)," ","#",LEN(LEFT(BJ144,BH146+1))-LEN(SUBSTITUTE(LEFT(BJ144,BH146+1)," ",""))))-1))</f>
        <v/>
      </c>
      <c r="BJ145" s="80" t="str">
        <f t="shared" si="73"/>
        <v/>
      </c>
      <c r="BK145" s="62"/>
      <c r="BL145" s="20" t="str">
        <f t="shared" si="50"/>
        <v>►</v>
      </c>
      <c r="BM145"/>
      <c r="BN145"/>
      <c r="BO145"/>
      <c r="BP145"/>
      <c r="BQ145"/>
      <c r="BR145"/>
      <c r="BS145"/>
      <c r="CN145" s="56" t="s">
        <v>1</v>
      </c>
      <c r="CO145" s="5">
        <v>1</v>
      </c>
    </row>
    <row r="146" spans="1:93" s="1" customFormat="1" ht="21" customHeight="1">
      <c r="A146" s="20" t="str">
        <f t="shared" si="62"/>
        <v>►</v>
      </c>
      <c r="B146" s="43" t="str">
        <f t="shared" si="66"/>
        <v>►</v>
      </c>
      <c r="C146" s="45" t="str">
        <f t="shared" si="69"/>
        <v>►</v>
      </c>
      <c r="D146" s="44" t="str">
        <f t="shared" si="70"/>
        <v>►</v>
      </c>
      <c r="E146" s="43" t="str">
        <f t="shared" si="71"/>
        <v>►</v>
      </c>
      <c r="F146" s="43" t="str">
        <f t="shared" si="72"/>
        <v>►</v>
      </c>
      <c r="G146" s="43" t="str">
        <f t="shared" si="74"/>
        <v>►</v>
      </c>
      <c r="H146" s="1256" t="s">
        <v>1</v>
      </c>
      <c r="I146" s="5175" t="s">
        <v>1</v>
      </c>
      <c r="J146" s="5161"/>
      <c r="K146" s="5161"/>
      <c r="L146" s="5161"/>
      <c r="M146" s="5176"/>
      <c r="N146" s="5177"/>
      <c r="O146" s="147"/>
      <c r="P146" s="147"/>
      <c r="Q146" s="102"/>
      <c r="R146" s="102"/>
      <c r="S146" s="1360"/>
      <c r="T146" s="43"/>
      <c r="U146" s="42"/>
      <c r="V146" s="41"/>
      <c r="W146" s="40"/>
      <c r="X146" s="39"/>
      <c r="Y146" s="38"/>
      <c r="Z146" s="37"/>
      <c r="AA146" s="36"/>
      <c r="AB146" s="35"/>
      <c r="AC146" s="34"/>
      <c r="AD146" s="55"/>
      <c r="AE146" s="33"/>
      <c r="AF146"/>
      <c r="AG146" s="32"/>
      <c r="AH146" s="31"/>
      <c r="AI146" s="30"/>
      <c r="AJ146" s="5492">
        <f t="shared" si="54"/>
        <v>0</v>
      </c>
      <c r="AK146" s="29">
        <f t="shared" si="55"/>
        <v>0</v>
      </c>
      <c r="AL146" s="28" t="str">
        <f t="shared" si="56"/>
        <v/>
      </c>
      <c r="AM146" s="27"/>
      <c r="AN146" s="26">
        <f t="shared" si="57"/>
        <v>0</v>
      </c>
      <c r="AO146" s="25">
        <f t="shared" si="58"/>
        <v>0</v>
      </c>
      <c r="AP146" s="24">
        <f t="shared" si="59"/>
        <v>0</v>
      </c>
      <c r="AQ146" s="23"/>
      <c r="AR146" s="22">
        <f t="shared" si="60"/>
        <v>0</v>
      </c>
      <c r="AS146" s="21"/>
      <c r="AT146" s="13"/>
      <c r="AU146" s="46">
        <f t="shared" si="61"/>
        <v>0</v>
      </c>
      <c r="AV146"/>
      <c r="AZ146"/>
      <c r="BA146"/>
      <c r="BB146"/>
      <c r="BC146" s="79">
        <f>IF(BE146=BE101,1,LEN(BE146))</f>
        <v>0</v>
      </c>
      <c r="BD146" s="78" t="str" cm="1">
        <f t="array" ref="BD146">IF(BG146="", "", IFERROR(MAX(IF(ISNUMBER(BD102:BD145), BD102:BD145)) + 1, ""))</f>
        <v/>
      </c>
      <c r="BE146" s="77" t="str" cm="1">
        <f t="array" ref="BE146">IFERROR(INDEX(BG103:BG154, MATCH(ROW()-MIN(ROW(BG103:BG154))+1, BD103:BD154, 0)), "")</f>
        <v/>
      </c>
      <c r="BF146" s="5489">
        <f t="shared" si="63"/>
        <v>0</v>
      </c>
      <c r="BG146" s="83" t="str">
        <f t="shared" si="64"/>
        <v/>
      </c>
      <c r="BH146" s="84">
        <f>BE92</f>
        <v>90</v>
      </c>
      <c r="BI146" s="81" t="str">
        <f>IF(LEN(BJ145)&lt;=BH146,BJ145,LEFT(BJ145,FIND("#",SUBSTITUTE(LEFT(BJ145,BH146+1)," ","#",LEN(LEFT(BJ145,BH146+1))-LEN(SUBSTITUTE(LEFT(BJ145,BH146+1)," ",""))))-1))</f>
        <v/>
      </c>
      <c r="BJ146" s="80" t="str">
        <f t="shared" si="73"/>
        <v/>
      </c>
      <c r="BK146" s="62"/>
      <c r="BL146" s="20" t="str">
        <f t="shared" ref="BL146:BL209" si="75">A146</f>
        <v>►</v>
      </c>
      <c r="BM146"/>
      <c r="BN146"/>
      <c r="BO146"/>
      <c r="BP146"/>
      <c r="BQ146"/>
      <c r="BR146"/>
      <c r="BS146"/>
      <c r="CN146" s="56" t="s">
        <v>1</v>
      </c>
      <c r="CO146" s="5">
        <v>1</v>
      </c>
    </row>
    <row r="147" spans="1:93" s="1" customFormat="1" ht="21" customHeight="1">
      <c r="A147" s="20" t="str">
        <f t="shared" si="62"/>
        <v>►</v>
      </c>
      <c r="B147" s="43" t="str">
        <f t="shared" si="66"/>
        <v>►</v>
      </c>
      <c r="C147" s="45" t="str">
        <f t="shared" si="69"/>
        <v>►</v>
      </c>
      <c r="D147" s="44" t="str">
        <f t="shared" si="70"/>
        <v>►</v>
      </c>
      <c r="E147" s="43" t="str">
        <f t="shared" si="71"/>
        <v>►</v>
      </c>
      <c r="F147" s="43" t="str">
        <f t="shared" si="72"/>
        <v>►</v>
      </c>
      <c r="G147" s="43" t="str">
        <f t="shared" si="74"/>
        <v>►</v>
      </c>
      <c r="H147" s="1256" t="s">
        <v>1</v>
      </c>
      <c r="I147" s="5175" t="s">
        <v>1</v>
      </c>
      <c r="J147" s="5161"/>
      <c r="K147" s="5161"/>
      <c r="L147" s="5161"/>
      <c r="M147" s="5176"/>
      <c r="N147" s="5177"/>
      <c r="O147" s="147"/>
      <c r="P147" s="147"/>
      <c r="Q147" s="102"/>
      <c r="R147" s="102"/>
      <c r="S147" s="1360"/>
      <c r="T147" s="43"/>
      <c r="U147" s="42"/>
      <c r="V147" s="41"/>
      <c r="W147" s="40"/>
      <c r="X147" s="39"/>
      <c r="Y147" s="38"/>
      <c r="Z147" s="37"/>
      <c r="AA147" s="36"/>
      <c r="AB147" s="35"/>
      <c r="AC147" s="34"/>
      <c r="AD147" s="55"/>
      <c r="AE147" s="33"/>
      <c r="AF147"/>
      <c r="AG147" s="32"/>
      <c r="AH147" s="31"/>
      <c r="AI147" s="30"/>
      <c r="AJ147" s="5492">
        <f t="shared" si="54"/>
        <v>0</v>
      </c>
      <c r="AK147" s="54">
        <f t="shared" si="55"/>
        <v>0</v>
      </c>
      <c r="AL147" s="53" t="str">
        <f t="shared" si="56"/>
        <v/>
      </c>
      <c r="AM147" s="52"/>
      <c r="AN147" s="51">
        <f t="shared" si="57"/>
        <v>0</v>
      </c>
      <c r="AO147" s="50">
        <f t="shared" si="58"/>
        <v>0</v>
      </c>
      <c r="AP147" s="49">
        <f t="shared" si="59"/>
        <v>0</v>
      </c>
      <c r="AQ147" s="23"/>
      <c r="AR147" s="48">
        <f t="shared" si="60"/>
        <v>0</v>
      </c>
      <c r="AS147" s="47"/>
      <c r="AT147" s="13"/>
      <c r="AU147" s="46">
        <f t="shared" si="61"/>
        <v>0</v>
      </c>
      <c r="AV147"/>
      <c r="AZ147"/>
      <c r="BA147"/>
      <c r="BB147"/>
      <c r="BC147" s="79">
        <f>IF(BE147=BE101,1,LEN(BE147))</f>
        <v>0</v>
      </c>
      <c r="BD147" s="78" t="str" cm="1">
        <f t="array" ref="BD147">IF(BG147="", "", IFERROR(MAX(IF(ISNUMBER(BD102:BD146), BD102:BD146)) + 1, ""))</f>
        <v/>
      </c>
      <c r="BE147" s="77" t="str" cm="1">
        <f t="array" ref="BE147">IFERROR(INDEX(BG103:BG154, MATCH(ROW()-MIN(ROW(BG103:BG154))+1, BD103:BD154, 0)), "")</f>
        <v/>
      </c>
      <c r="BF147" s="5489">
        <f t="shared" si="63"/>
        <v>0</v>
      </c>
      <c r="BG147" s="83" t="str">
        <f t="shared" si="64"/>
        <v/>
      </c>
      <c r="BH147" s="82"/>
      <c r="BI147" s="81" t="str">
        <f>IF(LEN(BJ146)&lt;=BH146,BJ146,LEFT(BJ146,FIND("#",SUBSTITUTE(LEFT(BJ146,BH146+1)," ","#",LEN(LEFT(BJ146,BH146+1))-LEN(SUBSTITUTE(LEFT(BJ146,BH146+1)," ",""))))-1))</f>
        <v/>
      </c>
      <c r="BJ147" s="80" t="str">
        <f t="shared" si="73"/>
        <v/>
      </c>
      <c r="BK147" s="62"/>
      <c r="BL147" s="20" t="str">
        <f t="shared" si="75"/>
        <v>►</v>
      </c>
      <c r="BM147"/>
      <c r="BN147"/>
      <c r="BO147"/>
      <c r="BP147"/>
      <c r="BQ147"/>
      <c r="BR147"/>
      <c r="BS147"/>
      <c r="CN147" s="56" t="s">
        <v>1</v>
      </c>
      <c r="CO147" s="5">
        <v>1</v>
      </c>
    </row>
    <row r="148" spans="1:93" s="1" customFormat="1" ht="21" customHeight="1">
      <c r="A148" s="20" t="str">
        <f t="shared" si="62"/>
        <v>►</v>
      </c>
      <c r="B148" s="43" t="str">
        <f t="shared" si="66"/>
        <v>►</v>
      </c>
      <c r="C148" s="45" t="str">
        <f t="shared" si="69"/>
        <v>►</v>
      </c>
      <c r="D148" s="44" t="str">
        <f t="shared" si="70"/>
        <v>►</v>
      </c>
      <c r="E148" s="43" t="str">
        <f t="shared" si="71"/>
        <v>►</v>
      </c>
      <c r="F148" s="43" t="str">
        <f t="shared" si="72"/>
        <v>►</v>
      </c>
      <c r="G148" s="43" t="str">
        <f t="shared" si="74"/>
        <v>►</v>
      </c>
      <c r="H148" s="1256" t="s">
        <v>1</v>
      </c>
      <c r="I148" s="5175" t="s">
        <v>1</v>
      </c>
      <c r="J148" s="5161"/>
      <c r="K148" s="5161"/>
      <c r="L148" s="5161"/>
      <c r="M148" s="5176"/>
      <c r="N148" s="5177"/>
      <c r="O148" s="147"/>
      <c r="P148" s="147"/>
      <c r="Q148" s="102"/>
      <c r="R148" s="102"/>
      <c r="S148" s="1360"/>
      <c r="T148" s="43"/>
      <c r="U148" s="42"/>
      <c r="V148" s="41"/>
      <c r="W148" s="40"/>
      <c r="X148" s="39"/>
      <c r="Y148" s="38"/>
      <c r="Z148" s="37"/>
      <c r="AA148" s="36"/>
      <c r="AB148" s="35"/>
      <c r="AC148" s="34"/>
      <c r="AD148" s="55"/>
      <c r="AE148" s="33"/>
      <c r="AF148"/>
      <c r="AG148" s="32"/>
      <c r="AH148" s="31"/>
      <c r="AI148" s="30"/>
      <c r="AJ148" s="5492">
        <f t="shared" si="54"/>
        <v>0</v>
      </c>
      <c r="AK148" s="29">
        <f t="shared" si="55"/>
        <v>0</v>
      </c>
      <c r="AL148" s="28" t="str">
        <f t="shared" si="56"/>
        <v/>
      </c>
      <c r="AM148" s="27"/>
      <c r="AN148" s="26">
        <f t="shared" si="57"/>
        <v>0</v>
      </c>
      <c r="AO148" s="25">
        <f t="shared" si="58"/>
        <v>0</v>
      </c>
      <c r="AP148" s="24">
        <f t="shared" si="59"/>
        <v>0</v>
      </c>
      <c r="AQ148" s="23"/>
      <c r="AR148" s="22">
        <f t="shared" si="60"/>
        <v>0</v>
      </c>
      <c r="AS148" s="21"/>
      <c r="AT148" s="13"/>
      <c r="AU148" s="46">
        <f t="shared" si="61"/>
        <v>0</v>
      </c>
      <c r="AV148"/>
      <c r="AZ148"/>
      <c r="BA148"/>
      <c r="BB148"/>
      <c r="BC148" s="79">
        <f>IF(BE148=BE101,1,LEN(BE148))</f>
        <v>0</v>
      </c>
      <c r="BD148" s="78" t="str" cm="1">
        <f t="array" ref="BD148">IF(BG148="", "", IFERROR(MAX(IF(ISNUMBER(BD102:BD147), BD102:BD147)) + 1, ""))</f>
        <v/>
      </c>
      <c r="BE148" s="77" t="str" cm="1">
        <f t="array" ref="BE148">IFERROR(INDEX(BG103:BG154, MATCH(ROW()-MIN(ROW(BG103:BG154))+1, BD103:BD154, 0)), "")</f>
        <v/>
      </c>
      <c r="BF148" s="5489">
        <f t="shared" si="63"/>
        <v>0</v>
      </c>
      <c r="BG148" s="83" t="str">
        <f t="shared" si="64"/>
        <v/>
      </c>
      <c r="BH148" s="82"/>
      <c r="BI148" s="81" t="str">
        <f>IF(LEN(BJ147)&lt;=BH146,BJ147,LEFT(BJ147,FIND("#",SUBSTITUTE(LEFT(BJ147,BH146+1)," ","#",LEN(LEFT(BJ147,BH146+1))-LEN(SUBSTITUTE(LEFT(BJ147,BH146+1)," ",""))))-1))</f>
        <v/>
      </c>
      <c r="BJ148" s="80" t="str">
        <f t="shared" si="73"/>
        <v/>
      </c>
      <c r="BK148" s="62"/>
      <c r="BL148" s="20" t="str">
        <f t="shared" si="75"/>
        <v>►</v>
      </c>
      <c r="BM148"/>
      <c r="BN148"/>
      <c r="BO148"/>
      <c r="BP148"/>
      <c r="BQ148"/>
      <c r="BR148"/>
      <c r="BS148"/>
      <c r="CN148" s="56" t="s">
        <v>1</v>
      </c>
      <c r="CO148" s="5">
        <v>1</v>
      </c>
    </row>
    <row r="149" spans="1:93" s="1" customFormat="1" ht="21" customHeight="1">
      <c r="A149" s="20" t="str">
        <f t="shared" si="62"/>
        <v>►</v>
      </c>
      <c r="B149" s="43" t="str">
        <f t="shared" si="66"/>
        <v>►</v>
      </c>
      <c r="C149" s="45" t="str">
        <f t="shared" si="69"/>
        <v>►</v>
      </c>
      <c r="D149" s="44" t="str">
        <f t="shared" si="70"/>
        <v>►</v>
      </c>
      <c r="E149" s="43" t="str">
        <f t="shared" si="71"/>
        <v>►</v>
      </c>
      <c r="F149" s="43" t="str">
        <f t="shared" si="72"/>
        <v>►</v>
      </c>
      <c r="G149" s="43" t="str">
        <f t="shared" si="74"/>
        <v>►</v>
      </c>
      <c r="H149" s="1256" t="s">
        <v>1</v>
      </c>
      <c r="I149" s="5175" t="s">
        <v>1</v>
      </c>
      <c r="J149" s="5161"/>
      <c r="K149" s="5161"/>
      <c r="L149" s="5161"/>
      <c r="M149" s="5176"/>
      <c r="N149" s="5177"/>
      <c r="O149" s="147"/>
      <c r="P149" s="147"/>
      <c r="Q149" s="102"/>
      <c r="R149" s="102"/>
      <c r="S149" s="1360"/>
      <c r="T149" s="43"/>
      <c r="U149" s="42"/>
      <c r="V149" s="41"/>
      <c r="W149" s="40"/>
      <c r="X149" s="39"/>
      <c r="Y149" s="38"/>
      <c r="Z149" s="37"/>
      <c r="AA149" s="36"/>
      <c r="AB149" s="35"/>
      <c r="AC149" s="34"/>
      <c r="AD149" s="55"/>
      <c r="AE149" s="33"/>
      <c r="AF149"/>
      <c r="AG149" s="32"/>
      <c r="AH149" s="31"/>
      <c r="AI149" s="30"/>
      <c r="AJ149" s="5492">
        <f t="shared" si="54"/>
        <v>0</v>
      </c>
      <c r="AK149" s="54">
        <f t="shared" si="55"/>
        <v>0</v>
      </c>
      <c r="AL149" s="53" t="str">
        <f t="shared" si="56"/>
        <v/>
      </c>
      <c r="AM149" s="52"/>
      <c r="AN149" s="51">
        <f t="shared" si="57"/>
        <v>0</v>
      </c>
      <c r="AO149" s="50">
        <f t="shared" si="58"/>
        <v>0</v>
      </c>
      <c r="AP149" s="49">
        <f t="shared" si="59"/>
        <v>0</v>
      </c>
      <c r="AQ149" s="23"/>
      <c r="AR149" s="48">
        <f t="shared" si="60"/>
        <v>0</v>
      </c>
      <c r="AS149" s="47"/>
      <c r="AT149" s="13"/>
      <c r="AU149" s="46">
        <f t="shared" si="61"/>
        <v>0</v>
      </c>
      <c r="AV149"/>
      <c r="AZ149"/>
      <c r="BA149"/>
      <c r="BB149"/>
      <c r="BC149" s="79">
        <f>IF(BE149=BE101,1,LEN(BE149))</f>
        <v>0</v>
      </c>
      <c r="BD149" s="78" t="str" cm="1">
        <f t="array" ref="BD149">IF(BG149="", "", IFERROR(MAX(IF(ISNUMBER(BD102:BD148), BD102:BD148)) + 1, ""))</f>
        <v/>
      </c>
      <c r="BE149" s="77" t="str" cm="1">
        <f t="array" ref="BE149">IFERROR(INDEX(BG103:BG154, MATCH(ROW()-MIN(ROW(BG103:BG154))+1, BD103:BD154, 0)), "")</f>
        <v/>
      </c>
      <c r="BF149" s="5489">
        <f t="shared" si="63"/>
        <v>0</v>
      </c>
      <c r="BG149" s="83" t="str">
        <f t="shared" si="64"/>
        <v/>
      </c>
      <c r="BH149" s="82"/>
      <c r="BI149" s="81" t="str">
        <f>IF(LEN(BJ148)&lt;=BH146,BJ148,LEFT(BJ148,FIND("#",SUBSTITUTE(LEFT(BJ148,BH146+1)," ","#",LEN(LEFT(BJ148,BH146+1))-LEN(SUBSTITUTE(LEFT(BJ148,BH146+1)," ",""))))-1))</f>
        <v/>
      </c>
      <c r="BJ149" s="80" t="str">
        <f t="shared" si="73"/>
        <v/>
      </c>
      <c r="BK149" s="62"/>
      <c r="BL149" s="20" t="str">
        <f t="shared" si="75"/>
        <v>►</v>
      </c>
      <c r="BM149"/>
      <c r="BN149"/>
      <c r="BO149"/>
      <c r="BP149"/>
      <c r="BQ149"/>
      <c r="BR149"/>
      <c r="BS149"/>
      <c r="CN149" s="56" t="s">
        <v>1</v>
      </c>
      <c r="CO149" s="5">
        <v>1</v>
      </c>
    </row>
    <row r="150" spans="1:93" s="1" customFormat="1" ht="21" customHeight="1">
      <c r="A150" s="20" t="str">
        <f t="shared" si="62"/>
        <v>►</v>
      </c>
      <c r="B150" s="43" t="str">
        <f t="shared" si="66"/>
        <v>►</v>
      </c>
      <c r="C150" s="45" t="str">
        <f t="shared" si="69"/>
        <v>►</v>
      </c>
      <c r="D150" s="44" t="str">
        <f t="shared" si="70"/>
        <v>►</v>
      </c>
      <c r="E150" s="43" t="str">
        <f t="shared" si="71"/>
        <v>►</v>
      </c>
      <c r="F150" s="43" t="str">
        <f t="shared" si="72"/>
        <v>►</v>
      </c>
      <c r="G150" s="43" t="str">
        <f t="shared" si="74"/>
        <v>►</v>
      </c>
      <c r="H150" s="1256" t="s">
        <v>1</v>
      </c>
      <c r="I150" s="5175" t="s">
        <v>1</v>
      </c>
      <c r="J150" s="5161"/>
      <c r="K150" s="5161"/>
      <c r="L150" s="5161"/>
      <c r="M150" s="5176"/>
      <c r="N150" s="5177"/>
      <c r="O150" s="147"/>
      <c r="P150" s="147"/>
      <c r="Q150" s="102"/>
      <c r="R150" s="102"/>
      <c r="S150" s="1360"/>
      <c r="T150" s="43"/>
      <c r="U150" s="42"/>
      <c r="V150" s="41"/>
      <c r="W150" s="40"/>
      <c r="X150" s="39"/>
      <c r="Y150" s="38"/>
      <c r="Z150" s="37"/>
      <c r="AA150" s="36"/>
      <c r="AB150" s="35"/>
      <c r="AC150" s="34"/>
      <c r="AD150" s="55"/>
      <c r="AE150" s="33"/>
      <c r="AF150"/>
      <c r="AG150" s="32"/>
      <c r="AH150" s="31"/>
      <c r="AI150" s="30"/>
      <c r="AJ150" s="5492">
        <f t="shared" si="54"/>
        <v>0</v>
      </c>
      <c r="AK150" s="29">
        <f t="shared" si="55"/>
        <v>0</v>
      </c>
      <c r="AL150" s="28" t="str">
        <f t="shared" si="56"/>
        <v/>
      </c>
      <c r="AM150" s="27"/>
      <c r="AN150" s="26">
        <f t="shared" si="57"/>
        <v>0</v>
      </c>
      <c r="AO150" s="25">
        <f t="shared" si="58"/>
        <v>0</v>
      </c>
      <c r="AP150" s="24">
        <f t="shared" si="59"/>
        <v>0</v>
      </c>
      <c r="AQ150" s="23"/>
      <c r="AR150" s="22">
        <f t="shared" si="60"/>
        <v>0</v>
      </c>
      <c r="AS150" s="21"/>
      <c r="AT150" s="13"/>
      <c r="AU150" s="46">
        <f t="shared" si="61"/>
        <v>0</v>
      </c>
      <c r="AV150"/>
      <c r="AZ150"/>
      <c r="BA150"/>
      <c r="BB150"/>
      <c r="BC150" s="79">
        <f>IF(BE150=BE101,1,LEN(BE150))</f>
        <v>0</v>
      </c>
      <c r="BD150" s="78" t="str" cm="1">
        <f t="array" ref="BD150">IF(BG150="", "", IFERROR(MAX(IF(ISNUMBER(BD102:BD149), BD102:BD149)) + 1, ""))</f>
        <v/>
      </c>
      <c r="BE150" s="77" t="str" cm="1">
        <f t="array" ref="BE150">IFERROR(INDEX(BG103:BG154, MATCH(ROW()-MIN(ROW(BG103:BG154))+1, BD103:BD154, 0)), "")</f>
        <v/>
      </c>
      <c r="BF150" s="5489">
        <f t="shared" si="63"/>
        <v>0</v>
      </c>
      <c r="BG150" s="83" t="str">
        <f t="shared" si="64"/>
        <v/>
      </c>
      <c r="BH150" s="82"/>
      <c r="BI150" s="81" t="str">
        <f>IF(LEN(BJ149)&lt;=BH146,BJ149,LEFT(BJ149,FIND("#",SUBSTITUTE(LEFT(BJ149,BH146+1)," ","#",LEN(LEFT(BJ149,BH146+1))-LEN(SUBSTITUTE(LEFT(BJ149,BH146+1)," ",""))))-1))</f>
        <v/>
      </c>
      <c r="BJ150" s="80" t="str">
        <f t="shared" si="73"/>
        <v/>
      </c>
      <c r="BK150" s="62"/>
      <c r="BL150" s="20" t="str">
        <f t="shared" si="75"/>
        <v>►</v>
      </c>
      <c r="BM150"/>
      <c r="BN150"/>
      <c r="BO150"/>
      <c r="BP150"/>
      <c r="BQ150"/>
      <c r="BR150"/>
      <c r="BS150"/>
      <c r="CN150" s="56" t="s">
        <v>1</v>
      </c>
      <c r="CO150" s="5">
        <v>1</v>
      </c>
    </row>
    <row r="151" spans="1:93" s="1" customFormat="1" ht="21" customHeight="1">
      <c r="A151" s="20" t="str">
        <f t="shared" si="62"/>
        <v>►</v>
      </c>
      <c r="B151" s="43" t="str">
        <f t="shared" si="66"/>
        <v>►</v>
      </c>
      <c r="C151" s="45" t="str">
        <f t="shared" si="69"/>
        <v>►</v>
      </c>
      <c r="D151" s="44" t="str">
        <f t="shared" si="70"/>
        <v>►</v>
      </c>
      <c r="E151" s="43" t="str">
        <f t="shared" si="71"/>
        <v>►</v>
      </c>
      <c r="F151" s="43" t="str">
        <f t="shared" si="72"/>
        <v>►</v>
      </c>
      <c r="G151" s="43" t="str">
        <f t="shared" si="74"/>
        <v>►</v>
      </c>
      <c r="H151" s="1256" t="s">
        <v>1</v>
      </c>
      <c r="I151" s="5175" t="s">
        <v>1</v>
      </c>
      <c r="J151" s="5161"/>
      <c r="K151" s="5161"/>
      <c r="L151" s="5161"/>
      <c r="M151" s="5176"/>
      <c r="N151" s="5177"/>
      <c r="O151" s="147"/>
      <c r="P151" s="147"/>
      <c r="Q151" s="102"/>
      <c r="R151" s="102"/>
      <c r="S151" s="1360"/>
      <c r="T151" s="43"/>
      <c r="U151" s="42"/>
      <c r="V151" s="41"/>
      <c r="W151" s="40"/>
      <c r="X151" s="39"/>
      <c r="Y151" s="38"/>
      <c r="Z151" s="37"/>
      <c r="AA151" s="36"/>
      <c r="AB151" s="35"/>
      <c r="AC151" s="34"/>
      <c r="AD151" s="55"/>
      <c r="AE151" s="33"/>
      <c r="AF151"/>
      <c r="AG151" s="32"/>
      <c r="AH151" s="31"/>
      <c r="AI151" s="30"/>
      <c r="AJ151" s="5492">
        <f t="shared" si="54"/>
        <v>0</v>
      </c>
      <c r="AK151" s="54">
        <f t="shared" si="55"/>
        <v>0</v>
      </c>
      <c r="AL151" s="53" t="str">
        <f t="shared" si="56"/>
        <v/>
      </c>
      <c r="AM151" s="52"/>
      <c r="AN151" s="51">
        <f t="shared" si="57"/>
        <v>0</v>
      </c>
      <c r="AO151" s="50">
        <f t="shared" si="58"/>
        <v>0</v>
      </c>
      <c r="AP151" s="49">
        <f t="shared" si="59"/>
        <v>0</v>
      </c>
      <c r="AQ151" s="23"/>
      <c r="AR151" s="48">
        <f t="shared" si="60"/>
        <v>0</v>
      </c>
      <c r="AS151" s="47"/>
      <c r="AT151" s="13"/>
      <c r="AU151" s="46">
        <f t="shared" si="61"/>
        <v>0</v>
      </c>
      <c r="AV151"/>
      <c r="AZ151"/>
      <c r="BA151"/>
      <c r="BB151"/>
      <c r="BC151" s="79">
        <f>IF(BE151=BE101,1,LEN(BE151))</f>
        <v>0</v>
      </c>
      <c r="BD151" s="78" t="str" cm="1">
        <f t="array" ref="BD151">IF(BG151="", "", IFERROR(MAX(IF(ISNUMBER(BD102:BD150), BD102:BD150)) + 1, ""))</f>
        <v/>
      </c>
      <c r="BE151" s="77" t="str" cm="1">
        <f t="array" ref="BE151">IFERROR(INDEX(BG103:BG154, MATCH(ROW()-MIN(ROW(BG103:BG154))+1, BD103:BD154, 0)), "")</f>
        <v/>
      </c>
      <c r="BF151" s="5489">
        <f t="shared" si="63"/>
        <v>0</v>
      </c>
      <c r="BG151" s="83" t="str">
        <f t="shared" si="64"/>
        <v/>
      </c>
      <c r="BH151" s="82"/>
      <c r="BI151" s="81" t="str">
        <f>IF(LEN(BJ150)&lt;=BH146,BJ150,LEFT(BJ150,FIND("#",SUBSTITUTE(LEFT(BJ150,BH146+1)," ","#",LEN(LEFT(BJ150,BH146+1))-LEN(SUBSTITUTE(LEFT(BJ150,BH146+1)," ",""))))-1))</f>
        <v/>
      </c>
      <c r="BJ151" s="80" t="str">
        <f t="shared" si="73"/>
        <v/>
      </c>
      <c r="BK151" s="62"/>
      <c r="BL151" s="20" t="str">
        <f t="shared" si="75"/>
        <v>►</v>
      </c>
      <c r="BM151"/>
      <c r="BN151"/>
      <c r="BO151"/>
      <c r="BP151"/>
      <c r="BQ151"/>
      <c r="BR151"/>
      <c r="BS151"/>
      <c r="CN151" s="56" t="s">
        <v>1</v>
      </c>
      <c r="CO151" s="5">
        <v>1</v>
      </c>
    </row>
    <row r="152" spans="1:93" s="1" customFormat="1" ht="21" customHeight="1">
      <c r="A152" s="20" t="str">
        <f t="shared" si="62"/>
        <v>►</v>
      </c>
      <c r="B152" s="43" t="str">
        <f t="shared" si="66"/>
        <v>►</v>
      </c>
      <c r="C152" s="45" t="str">
        <f t="shared" si="69"/>
        <v>►</v>
      </c>
      <c r="D152" s="44" t="str">
        <f t="shared" si="70"/>
        <v>►</v>
      </c>
      <c r="E152" s="43" t="str">
        <f t="shared" si="71"/>
        <v>►</v>
      </c>
      <c r="F152" s="43" t="str">
        <f t="shared" si="72"/>
        <v>►</v>
      </c>
      <c r="G152" s="43" t="str">
        <f t="shared" si="74"/>
        <v>►</v>
      </c>
      <c r="H152" s="1256" t="s">
        <v>1</v>
      </c>
      <c r="I152" s="5175" t="s">
        <v>1</v>
      </c>
      <c r="J152" s="5161"/>
      <c r="K152" s="5161"/>
      <c r="L152" s="5161"/>
      <c r="M152" s="5176"/>
      <c r="N152" s="5177"/>
      <c r="O152" s="147"/>
      <c r="P152" s="147"/>
      <c r="Q152" s="102"/>
      <c r="R152" s="102"/>
      <c r="S152" s="1360"/>
      <c r="T152" s="43"/>
      <c r="U152" s="42"/>
      <c r="V152" s="41"/>
      <c r="W152" s="40"/>
      <c r="X152" s="39"/>
      <c r="Y152" s="38"/>
      <c r="Z152" s="37"/>
      <c r="AA152" s="36"/>
      <c r="AB152" s="35"/>
      <c r="AC152" s="34"/>
      <c r="AD152" s="55"/>
      <c r="AE152" s="33"/>
      <c r="AF152"/>
      <c r="AG152" s="32"/>
      <c r="AH152" s="31"/>
      <c r="AI152" s="30"/>
      <c r="AJ152" s="5492">
        <f t="shared" si="54"/>
        <v>0</v>
      </c>
      <c r="AK152" s="29">
        <f t="shared" si="55"/>
        <v>0</v>
      </c>
      <c r="AL152" s="28" t="str">
        <f t="shared" si="56"/>
        <v/>
      </c>
      <c r="AM152" s="27"/>
      <c r="AN152" s="26">
        <f t="shared" si="57"/>
        <v>0</v>
      </c>
      <c r="AO152" s="25">
        <f t="shared" si="58"/>
        <v>0</v>
      </c>
      <c r="AP152" s="24">
        <f t="shared" si="59"/>
        <v>0</v>
      </c>
      <c r="AQ152" s="23"/>
      <c r="AR152" s="22">
        <f t="shared" si="60"/>
        <v>0</v>
      </c>
      <c r="AS152" s="21"/>
      <c r="AT152" s="13"/>
      <c r="AU152" s="46">
        <f t="shared" si="61"/>
        <v>0</v>
      </c>
      <c r="AV152"/>
      <c r="AZ152"/>
      <c r="BA152"/>
      <c r="BB152"/>
      <c r="BC152" s="79">
        <f>IF(BE152=BE101,1,LEN(BE152))</f>
        <v>0</v>
      </c>
      <c r="BD152" s="78" t="str" cm="1">
        <f t="array" ref="BD152">IF(BG152="", "", IFERROR(MAX(IF(ISNUMBER(BD102:BD151), BD102:BD151)) + 1, ""))</f>
        <v/>
      </c>
      <c r="BE152" s="77" t="str" cm="1">
        <f t="array" ref="BE152">IFERROR(INDEX(BG103:BG154, MATCH(ROW()-MIN(ROW(BG103:BG154))+1, BD103:BD154, 0)), "")</f>
        <v/>
      </c>
      <c r="BF152" s="5489">
        <f t="shared" si="63"/>
        <v>0</v>
      </c>
      <c r="BG152" s="83" t="str">
        <f t="shared" si="64"/>
        <v/>
      </c>
      <c r="BH152" s="82"/>
      <c r="BI152" s="81" t="str">
        <f>IF(LEN(BJ151)&lt;=BH146,BJ151,LEFT(BJ151,FIND("#",SUBSTITUTE(LEFT(BJ151,BH146+1)," ","#",LEN(LEFT(BJ151,BH146+1))-LEN(SUBSTITUTE(LEFT(BJ151,BH146+1)," ",""))))-1))</f>
        <v/>
      </c>
      <c r="BJ152" s="80" t="str">
        <f t="shared" si="73"/>
        <v/>
      </c>
      <c r="BK152" s="62"/>
      <c r="BL152" s="20" t="str">
        <f t="shared" si="75"/>
        <v>►</v>
      </c>
      <c r="BM152"/>
      <c r="BN152"/>
      <c r="BO152"/>
      <c r="BP152"/>
      <c r="BQ152"/>
      <c r="BR152"/>
      <c r="BS152"/>
      <c r="CN152" s="56" t="s">
        <v>1</v>
      </c>
      <c r="CO152" s="5">
        <v>1</v>
      </c>
    </row>
    <row r="153" spans="1:93" s="1" customFormat="1" ht="21" customHeight="1">
      <c r="A153" s="20" t="str">
        <f t="shared" si="62"/>
        <v>►</v>
      </c>
      <c r="B153" s="43" t="str">
        <f t="shared" si="66"/>
        <v>►</v>
      </c>
      <c r="C153" s="45" t="str">
        <f t="shared" si="69"/>
        <v>►</v>
      </c>
      <c r="D153" s="44" t="str">
        <f t="shared" si="70"/>
        <v>►</v>
      </c>
      <c r="E153" s="43" t="str">
        <f t="shared" si="71"/>
        <v>►</v>
      </c>
      <c r="F153" s="43" t="str">
        <f t="shared" si="72"/>
        <v>►</v>
      </c>
      <c r="G153" s="43" t="str">
        <f t="shared" si="74"/>
        <v>►</v>
      </c>
      <c r="H153" s="1256" t="s">
        <v>1</v>
      </c>
      <c r="I153" s="5175" t="s">
        <v>1</v>
      </c>
      <c r="J153" s="5161"/>
      <c r="K153" s="5161"/>
      <c r="L153" s="5161"/>
      <c r="M153" s="5176"/>
      <c r="N153" s="5177"/>
      <c r="O153" s="147"/>
      <c r="P153" s="147"/>
      <c r="Q153" s="102"/>
      <c r="R153" s="102"/>
      <c r="S153" s="1360"/>
      <c r="T153" s="43"/>
      <c r="U153" s="42"/>
      <c r="V153" s="41"/>
      <c r="W153" s="40"/>
      <c r="X153" s="39"/>
      <c r="Y153" s="38"/>
      <c r="Z153" s="37"/>
      <c r="AA153" s="36"/>
      <c r="AB153" s="35"/>
      <c r="AC153" s="34"/>
      <c r="AD153" s="55"/>
      <c r="AE153" s="33"/>
      <c r="AF153"/>
      <c r="AG153" s="32"/>
      <c r="AH153" s="31"/>
      <c r="AI153" s="30"/>
      <c r="AJ153" s="5492">
        <f t="shared" si="54"/>
        <v>0</v>
      </c>
      <c r="AK153" s="54">
        <f t="shared" si="55"/>
        <v>0</v>
      </c>
      <c r="AL153" s="53" t="str">
        <f t="shared" si="56"/>
        <v/>
      </c>
      <c r="AM153" s="52"/>
      <c r="AN153" s="51">
        <f t="shared" si="57"/>
        <v>0</v>
      </c>
      <c r="AO153" s="50">
        <f t="shared" si="58"/>
        <v>0</v>
      </c>
      <c r="AP153" s="49">
        <f t="shared" si="59"/>
        <v>0</v>
      </c>
      <c r="AQ153" s="23"/>
      <c r="AR153" s="48">
        <f t="shared" si="60"/>
        <v>0</v>
      </c>
      <c r="AS153" s="47"/>
      <c r="AT153" s="13"/>
      <c r="AU153" s="46">
        <f t="shared" si="61"/>
        <v>0</v>
      </c>
      <c r="AV153"/>
      <c r="AZ153"/>
      <c r="BA153"/>
      <c r="BB153"/>
      <c r="BC153" s="79">
        <f>IF(BE153=BE101,1,LEN(BE153))</f>
        <v>0</v>
      </c>
      <c r="BD153" s="78" t="str" cm="1">
        <f t="array" ref="BD153">IF(BG153="", "", IFERROR(MAX(IF(ISNUMBER(BD102:BD152), BD102:BD152)) + 1, ""))</f>
        <v/>
      </c>
      <c r="BE153" s="77" t="str" cm="1">
        <f t="array" ref="BE153">IFERROR(INDEX(BG103:BG154, MATCH(ROW()-MIN(ROW(BG103:BG154))+1, BD103:BD154, 0)), "")</f>
        <v/>
      </c>
      <c r="BF153" s="5489">
        <f t="shared" si="63"/>
        <v>0</v>
      </c>
      <c r="BG153" s="83" t="str">
        <f t="shared" si="64"/>
        <v/>
      </c>
      <c r="BH153" s="82"/>
      <c r="BI153" s="81" t="str">
        <f>IF(LEN(BJ152)&lt;=BH146,BJ152,LEFT(BJ152,FIND("#",SUBSTITUTE(LEFT(BJ152,BH146+1)," ","#",LEN(LEFT(BJ152,BH146+1))-LEN(SUBSTITUTE(LEFT(BJ152,BH146+1)," ",""))))-1))</f>
        <v/>
      </c>
      <c r="BJ153" s="80" t="str">
        <f t="shared" si="73"/>
        <v/>
      </c>
      <c r="BK153" s="62"/>
      <c r="BL153" s="20" t="str">
        <f t="shared" si="75"/>
        <v>►</v>
      </c>
      <c r="BM153"/>
      <c r="BN153"/>
      <c r="BO153"/>
      <c r="BP153"/>
      <c r="BQ153"/>
      <c r="BR153"/>
      <c r="BS153"/>
      <c r="CN153" s="56" t="s">
        <v>1</v>
      </c>
      <c r="CO153" s="5">
        <v>1</v>
      </c>
    </row>
    <row r="154" spans="1:93" s="1" customFormat="1" ht="21" customHeight="1">
      <c r="A154" s="20" t="str">
        <f t="shared" si="62"/>
        <v>►</v>
      </c>
      <c r="B154" s="43" t="str">
        <f t="shared" si="66"/>
        <v>►</v>
      </c>
      <c r="C154" s="45" t="str">
        <f t="shared" si="69"/>
        <v>►</v>
      </c>
      <c r="D154" s="44" t="str">
        <f t="shared" si="70"/>
        <v>►</v>
      </c>
      <c r="E154" s="43" t="str">
        <f t="shared" si="71"/>
        <v>►</v>
      </c>
      <c r="F154" s="43" t="str">
        <f t="shared" si="72"/>
        <v>►</v>
      </c>
      <c r="G154" s="43" t="str">
        <f t="shared" si="74"/>
        <v>►</v>
      </c>
      <c r="H154" s="1256" t="s">
        <v>1</v>
      </c>
      <c r="I154" s="5175" t="s">
        <v>1</v>
      </c>
      <c r="J154" s="5161"/>
      <c r="K154" s="5161"/>
      <c r="L154" s="5161"/>
      <c r="M154" s="5176"/>
      <c r="N154" s="5177"/>
      <c r="O154" s="147"/>
      <c r="P154" s="147"/>
      <c r="Q154" s="102"/>
      <c r="R154" s="102"/>
      <c r="S154" s="1360"/>
      <c r="T154" s="43"/>
      <c r="U154" s="42"/>
      <c r="V154" s="41"/>
      <c r="W154" s="40"/>
      <c r="X154" s="39"/>
      <c r="Y154" s="38"/>
      <c r="Z154" s="37"/>
      <c r="AA154" s="36"/>
      <c r="AB154" s="35"/>
      <c r="AC154" s="34"/>
      <c r="AD154" s="55"/>
      <c r="AE154" s="33"/>
      <c r="AF154"/>
      <c r="AG154" s="32"/>
      <c r="AH154" s="31"/>
      <c r="AI154" s="30"/>
      <c r="AJ154" s="5492">
        <f t="shared" si="54"/>
        <v>0</v>
      </c>
      <c r="AK154" s="29">
        <f t="shared" si="55"/>
        <v>0</v>
      </c>
      <c r="AL154" s="28" t="str">
        <f t="shared" si="56"/>
        <v/>
      </c>
      <c r="AM154" s="27"/>
      <c r="AN154" s="26">
        <f t="shared" si="57"/>
        <v>0</v>
      </c>
      <c r="AO154" s="25">
        <f t="shared" si="58"/>
        <v>0</v>
      </c>
      <c r="AP154" s="24">
        <f t="shared" si="59"/>
        <v>0</v>
      </c>
      <c r="AQ154" s="23"/>
      <c r="AR154" s="22">
        <f t="shared" si="60"/>
        <v>0</v>
      </c>
      <c r="AS154" s="21"/>
      <c r="AT154" s="13"/>
      <c r="AU154" s="46">
        <f t="shared" si="61"/>
        <v>0</v>
      </c>
      <c r="AV154"/>
      <c r="AZ154"/>
      <c r="BA154"/>
      <c r="BB154"/>
      <c r="BC154" s="79">
        <f>IF(BE154=BE101,1,LEN(BE154))</f>
        <v>0</v>
      </c>
      <c r="BD154" s="78" t="str" cm="1">
        <f t="array" ref="BD154">IF(BG154="", "", IFERROR(MAX(IF(ISNUMBER(BD102:BD153), BD102:BD153)) + 1, ""))</f>
        <v/>
      </c>
      <c r="BE154" s="77" t="str" cm="1">
        <f t="array" ref="BE154">IFERROR(INDEX(BG103:BG154, MATCH(ROW()-MIN(ROW(BG103:BG154))+1, BD103:BD154, 0)), "")</f>
        <v/>
      </c>
      <c r="BF154" s="5490">
        <f t="shared" si="63"/>
        <v>0</v>
      </c>
      <c r="BG154" s="76" t="str">
        <f t="shared" si="64"/>
        <v/>
      </c>
      <c r="BH154" s="75"/>
      <c r="BI154" s="74" t="str">
        <f>IF(LEN(BJ153)&lt;=BH146,BJ153,LEFT(BJ153,FIND("#",SUBSTITUTE(LEFT(BJ153,BH146+1)," ","#",LEN(LEFT(BJ153,BH146+1))-LEN(SUBSTITUTE(LEFT(BJ153,BH146+1)," ",""))))-1))</f>
        <v/>
      </c>
      <c r="BJ154" s="73" t="str">
        <f t="shared" si="73"/>
        <v/>
      </c>
      <c r="BK154" s="62"/>
      <c r="BL154" s="20" t="str">
        <f t="shared" si="75"/>
        <v>►</v>
      </c>
      <c r="BM154"/>
      <c r="BN154"/>
      <c r="BO154"/>
      <c r="BP154"/>
      <c r="BQ154"/>
      <c r="BR154"/>
      <c r="BS154"/>
      <c r="CN154" s="56" t="s">
        <v>1</v>
      </c>
      <c r="CO154" s="5">
        <v>1</v>
      </c>
    </row>
    <row r="155" spans="1:93" s="1" customFormat="1" ht="21" customHeight="1">
      <c r="A155" s="20" t="str">
        <f t="shared" si="62"/>
        <v>►</v>
      </c>
      <c r="B155" s="43" t="str">
        <f t="shared" si="66"/>
        <v>►</v>
      </c>
      <c r="C155" s="45" t="str">
        <f t="shared" si="69"/>
        <v>►</v>
      </c>
      <c r="D155" s="44" t="str">
        <f t="shared" si="70"/>
        <v>►</v>
      </c>
      <c r="E155" s="43" t="str">
        <f t="shared" si="71"/>
        <v>►</v>
      </c>
      <c r="F155" s="43" t="str">
        <f t="shared" si="72"/>
        <v>►</v>
      </c>
      <c r="G155" s="43" t="str">
        <f t="shared" si="74"/>
        <v>►</v>
      </c>
      <c r="H155" s="1256" t="s">
        <v>1</v>
      </c>
      <c r="I155" s="5175" t="s">
        <v>1</v>
      </c>
      <c r="J155" s="5161"/>
      <c r="K155" s="5161"/>
      <c r="L155" s="5161"/>
      <c r="M155" s="5176"/>
      <c r="N155" s="5177"/>
      <c r="O155" s="147"/>
      <c r="P155" s="147"/>
      <c r="Q155" s="102"/>
      <c r="R155" s="102"/>
      <c r="S155" s="1360"/>
      <c r="T155" s="43"/>
      <c r="U155" s="42"/>
      <c r="V155" s="41"/>
      <c r="W155" s="40"/>
      <c r="X155" s="39"/>
      <c r="Y155" s="38"/>
      <c r="Z155" s="37"/>
      <c r="AA155" s="36"/>
      <c r="AB155" s="35"/>
      <c r="AC155" s="34"/>
      <c r="AD155" s="55"/>
      <c r="AE155" s="33"/>
      <c r="AF155"/>
      <c r="AG155" s="32"/>
      <c r="AH155" s="31"/>
      <c r="AI155" s="30"/>
      <c r="AJ155" s="5492">
        <f t="shared" si="54"/>
        <v>0</v>
      </c>
      <c r="AK155" s="54">
        <f t="shared" si="55"/>
        <v>0</v>
      </c>
      <c r="AL155" s="53" t="str">
        <f t="shared" si="56"/>
        <v/>
      </c>
      <c r="AM155" s="52"/>
      <c r="AN155" s="51">
        <f t="shared" si="57"/>
        <v>0</v>
      </c>
      <c r="AO155" s="50">
        <f t="shared" si="58"/>
        <v>0</v>
      </c>
      <c r="AP155" s="49">
        <f t="shared" si="59"/>
        <v>0</v>
      </c>
      <c r="AQ155" s="23"/>
      <c r="AR155" s="48">
        <f t="shared" si="60"/>
        <v>0</v>
      </c>
      <c r="AS155" s="47"/>
      <c r="AT155" s="13"/>
      <c r="AU155" s="46">
        <f t="shared" si="61"/>
        <v>0</v>
      </c>
      <c r="AV155"/>
      <c r="AZ155"/>
      <c r="BA155"/>
      <c r="BB155"/>
      <c r="BC155" s="72">
        <v>10</v>
      </c>
      <c r="BD155" s="71">
        <v>9</v>
      </c>
      <c r="BE155" s="71" t="s">
        <v>11</v>
      </c>
      <c r="BF155" s="71">
        <v>5</v>
      </c>
      <c r="BG155" s="71">
        <v>5</v>
      </c>
      <c r="BH155" s="71">
        <v>10</v>
      </c>
      <c r="BI155" s="71">
        <v>10</v>
      </c>
      <c r="BJ155" s="70">
        <v>10</v>
      </c>
      <c r="BK155" s="62"/>
      <c r="BL155" s="20" t="str">
        <f t="shared" si="75"/>
        <v>►</v>
      </c>
      <c r="BM155"/>
      <c r="BN155"/>
      <c r="BO155"/>
      <c r="BP155"/>
      <c r="BQ155"/>
      <c r="BR155"/>
      <c r="BS155"/>
      <c r="CN155" s="56" t="s">
        <v>1</v>
      </c>
      <c r="CO155" s="5">
        <v>1</v>
      </c>
    </row>
    <row r="156" spans="1:93" s="1" customFormat="1" ht="21" customHeight="1" thickBot="1">
      <c r="A156" s="20" t="str">
        <f t="shared" si="62"/>
        <v>►</v>
      </c>
      <c r="B156" s="43" t="str">
        <f t="shared" si="66"/>
        <v>►</v>
      </c>
      <c r="C156" s="45" t="str">
        <f t="shared" si="69"/>
        <v>►</v>
      </c>
      <c r="D156" s="44" t="str">
        <f t="shared" si="70"/>
        <v>►</v>
      </c>
      <c r="E156" s="43" t="str">
        <f t="shared" si="71"/>
        <v>►</v>
      </c>
      <c r="F156" s="43" t="str">
        <f t="shared" si="72"/>
        <v>►</v>
      </c>
      <c r="G156" s="43" t="str">
        <f t="shared" si="74"/>
        <v>►</v>
      </c>
      <c r="H156" s="1256" t="s">
        <v>1</v>
      </c>
      <c r="I156" s="5175" t="s">
        <v>1</v>
      </c>
      <c r="J156" s="5161"/>
      <c r="K156" s="5161"/>
      <c r="L156" s="5161"/>
      <c r="M156" s="5176"/>
      <c r="N156" s="5177"/>
      <c r="O156" s="147"/>
      <c r="P156" s="147"/>
      <c r="Q156" s="102"/>
      <c r="R156" s="102"/>
      <c r="S156" s="1360"/>
      <c r="T156" s="43"/>
      <c r="U156" s="42"/>
      <c r="V156" s="41"/>
      <c r="W156" s="40"/>
      <c r="X156" s="39"/>
      <c r="Y156" s="38"/>
      <c r="Z156" s="37"/>
      <c r="AA156" s="36"/>
      <c r="AB156" s="35"/>
      <c r="AC156" s="34"/>
      <c r="AD156" s="55"/>
      <c r="AE156" s="33"/>
      <c r="AF156"/>
      <c r="AG156" s="32"/>
      <c r="AH156" s="31"/>
      <c r="AI156" s="30"/>
      <c r="AJ156" s="5492">
        <f t="shared" si="54"/>
        <v>0</v>
      </c>
      <c r="AK156" s="29">
        <f t="shared" si="55"/>
        <v>0</v>
      </c>
      <c r="AL156" s="28" t="str">
        <f t="shared" si="56"/>
        <v/>
      </c>
      <c r="AM156" s="27"/>
      <c r="AN156" s="26">
        <f t="shared" si="57"/>
        <v>0</v>
      </c>
      <c r="AO156" s="25">
        <f t="shared" si="58"/>
        <v>0</v>
      </c>
      <c r="AP156" s="24">
        <f t="shared" si="59"/>
        <v>0</v>
      </c>
      <c r="AQ156" s="23"/>
      <c r="AR156" s="22">
        <f t="shared" si="60"/>
        <v>0</v>
      </c>
      <c r="AS156" s="21"/>
      <c r="AT156" s="13"/>
      <c r="AU156" s="46">
        <f t="shared" si="61"/>
        <v>0</v>
      </c>
      <c r="AV156"/>
      <c r="AZ156"/>
      <c r="BA156"/>
      <c r="BB156"/>
      <c r="BC156" s="69">
        <f t="shared" ref="BC156:BJ156" ca="1" si="76">CELL("largeur",BC156)</f>
        <v>10</v>
      </c>
      <c r="BD156" s="68">
        <f t="shared" ca="1" si="76"/>
        <v>9</v>
      </c>
      <c r="BE156" s="68">
        <f t="shared" ca="1" si="76"/>
        <v>99</v>
      </c>
      <c r="BF156" s="68">
        <f t="shared" ca="1" si="76"/>
        <v>5</v>
      </c>
      <c r="BG156" s="68">
        <f t="shared" ca="1" si="76"/>
        <v>5</v>
      </c>
      <c r="BH156" s="68">
        <f t="shared" ca="1" si="76"/>
        <v>10</v>
      </c>
      <c r="BI156" s="68">
        <f t="shared" ca="1" si="76"/>
        <v>10</v>
      </c>
      <c r="BJ156" s="67">
        <f t="shared" ca="1" si="76"/>
        <v>10</v>
      </c>
      <c r="BK156" s="62"/>
      <c r="BL156" s="20" t="str">
        <f t="shared" si="75"/>
        <v>►</v>
      </c>
      <c r="BM156"/>
      <c r="BN156"/>
      <c r="BO156"/>
      <c r="BP156"/>
      <c r="BQ156"/>
      <c r="BR156"/>
      <c r="BS156"/>
      <c r="CN156" s="56" t="s">
        <v>1</v>
      </c>
      <c r="CO156" s="5">
        <v>1</v>
      </c>
    </row>
    <row r="157" spans="1:93" s="1" customFormat="1" ht="21" customHeight="1">
      <c r="A157" s="20" t="str">
        <f t="shared" si="62"/>
        <v>►</v>
      </c>
      <c r="B157" s="43" t="str">
        <f t="shared" si="66"/>
        <v>►</v>
      </c>
      <c r="C157" s="45" t="str">
        <f t="shared" si="69"/>
        <v>►</v>
      </c>
      <c r="D157" s="44" t="str">
        <f t="shared" si="70"/>
        <v>►</v>
      </c>
      <c r="E157" s="43" t="str">
        <f t="shared" si="71"/>
        <v>►</v>
      </c>
      <c r="F157" s="43" t="str">
        <f t="shared" si="72"/>
        <v>►</v>
      </c>
      <c r="G157" s="43" t="str">
        <f t="shared" si="74"/>
        <v>►</v>
      </c>
      <c r="H157" s="1256" t="s">
        <v>1</v>
      </c>
      <c r="I157" s="5175" t="s">
        <v>1</v>
      </c>
      <c r="J157" s="5161"/>
      <c r="K157" s="5161"/>
      <c r="L157" s="5161"/>
      <c r="M157" s="5176"/>
      <c r="N157" s="5177"/>
      <c r="O157" s="147"/>
      <c r="P157" s="147"/>
      <c r="Q157" s="102"/>
      <c r="R157" s="102"/>
      <c r="S157" s="1360"/>
      <c r="T157" s="43"/>
      <c r="U157" s="42"/>
      <c r="V157" s="41"/>
      <c r="W157" s="40"/>
      <c r="X157" s="39"/>
      <c r="Y157" s="38"/>
      <c r="Z157" s="37"/>
      <c r="AA157" s="36"/>
      <c r="AB157" s="35"/>
      <c r="AC157" s="34"/>
      <c r="AD157" s="55"/>
      <c r="AE157" s="33"/>
      <c r="AF157"/>
      <c r="AG157" s="32"/>
      <c r="AH157" s="31"/>
      <c r="AI157" s="30"/>
      <c r="AJ157" s="5492">
        <f t="shared" ref="AJ157:AJ220" si="77">IF(ISTEXT(Y157), 0, IFERROR(INDEX($AX$22:$AX$69, MATCH(AC157, $AW$22:$AW$69, 0)) * AB157 * IF(ISBLANK(Y157), 1, Y157), 0))</f>
        <v>0</v>
      </c>
      <c r="AK157" s="54">
        <f t="shared" ref="AK157:AK220" si="78">IF(ISNUMBER(AD157), AJ157*AD157*AU157, 0)</f>
        <v>0</v>
      </c>
      <c r="AL157" s="53" t="str">
        <f t="shared" ref="AL157:AL220" si="79">IF(AND(ISNUMBER(AB157),ISNUMBER(AD157),ISNUMBER(AU157)),IFERROR(_xlfn.LET(_xlpm.m,IF(ISBLANK(Y157),1,Y157),_xlpm.q,AB157*AD157*AU157*_xlpm.m,_xlpm.p,MATCH(AC157,AW$22:AW$69,0),_xlpm.f,INDEX(AX$22:AX$69,_xlpm.p),_xlpm.u,INDEX(AY$22:AY$69,_xlpm.p),_xlpm.s,INDEX(AZ$22:AZ$69,_xlpm.p),IF(_xlpm.q&gt;=_xlpm.s,ROUND(_xlpm.q,0)&amp;" "&amp;AC157&amp;" = "&amp;ROUND(_xlpm.q*_xlpm.f,1)&amp;" "&amp;_xlpm.u,ROUND(_xlpm.q,0)&amp;" "&amp;AC157)),""),"")</f>
        <v/>
      </c>
      <c r="AM157" s="52"/>
      <c r="AN157" s="51">
        <f t="shared" ref="AN157:AN220" si="80">((AK157-(AK157*AM157%)))</f>
        <v>0</v>
      </c>
      <c r="AO157" s="50">
        <f t="shared" ref="AO157:AO220" si="81">IF(AND(ISNUMBER(AD157), ISNUMBER(Y157)), Y157 * AD157 * AU157, 0)</f>
        <v>0</v>
      </c>
      <c r="AP157" s="49">
        <f t="shared" ref="AP157:AP220" si="82">Z157</f>
        <v>0</v>
      </c>
      <c r="AQ157" s="23"/>
      <c r="AR157" s="48">
        <f t="shared" ref="AR157:AR220" si="83">IF(OR(ISBLANK(AQ157),ISTEXT(Y157)),0,IF(AK157=0,Y157,AK157)*AQ157)</f>
        <v>0</v>
      </c>
      <c r="AS157" s="47"/>
      <c r="AT157" s="13"/>
      <c r="AU157" s="46">
        <f t="shared" ref="AU157:AU220" si="84">IF(OR(ISBLANK(AI157), ISBLANK(AG157)), 0, AI157/AG157)</f>
        <v>0</v>
      </c>
      <c r="AV157"/>
      <c r="AZ157"/>
      <c r="BA157"/>
      <c r="BB157"/>
      <c r="BC157" s="3"/>
      <c r="BD157" s="3"/>
      <c r="BE157" s="66" t="s">
        <v>10</v>
      </c>
      <c r="BF157" s="3"/>
      <c r="BG157" s="3"/>
      <c r="BH157" s="3"/>
      <c r="BI157" s="3"/>
      <c r="BJ157" s="3"/>
      <c r="BK157" s="62"/>
      <c r="BL157" s="20" t="str">
        <f t="shared" si="75"/>
        <v>►</v>
      </c>
      <c r="BM157"/>
      <c r="BN157"/>
      <c r="BO157"/>
      <c r="BP157"/>
      <c r="BQ157"/>
      <c r="BR157"/>
      <c r="BS157"/>
      <c r="CN157" s="56" t="s">
        <v>1</v>
      </c>
      <c r="CO157" s="5">
        <v>1</v>
      </c>
    </row>
    <row r="158" spans="1:93" s="1" customFormat="1" ht="21" customHeight="1">
      <c r="A158" s="20" t="str">
        <f t="shared" ref="A158:A221" si="85">IF(OR(I158="A",U158="A"),"A",IF(AND(I158="►",U158="►"),"►",IF(AND(ISBLANK(I158),ISBLANK(U158)),"►","►")))</f>
        <v>►</v>
      </c>
      <c r="B158" s="43" t="str">
        <f t="shared" si="66"/>
        <v>►</v>
      </c>
      <c r="C158" s="45" t="str">
        <f t="shared" si="69"/>
        <v>►</v>
      </c>
      <c r="D158" s="44" t="str">
        <f t="shared" si="70"/>
        <v>►</v>
      </c>
      <c r="E158" s="43" t="str">
        <f t="shared" si="71"/>
        <v>►</v>
      </c>
      <c r="F158" s="43" t="str">
        <f t="shared" si="72"/>
        <v>►</v>
      </c>
      <c r="G158" s="43" t="str">
        <f t="shared" si="74"/>
        <v>►</v>
      </c>
      <c r="H158" s="1256" t="s">
        <v>1</v>
      </c>
      <c r="I158" s="5175" t="s">
        <v>1</v>
      </c>
      <c r="J158" s="5161"/>
      <c r="K158" s="5161"/>
      <c r="L158" s="5161"/>
      <c r="M158" s="5176"/>
      <c r="N158" s="5177"/>
      <c r="O158" s="147"/>
      <c r="P158" s="147"/>
      <c r="Q158" s="102"/>
      <c r="R158" s="102"/>
      <c r="S158" s="1360"/>
      <c r="T158" s="43"/>
      <c r="U158" s="42"/>
      <c r="V158" s="41"/>
      <c r="W158" s="40"/>
      <c r="X158" s="39"/>
      <c r="Y158" s="38"/>
      <c r="Z158" s="37"/>
      <c r="AA158" s="36"/>
      <c r="AB158" s="35"/>
      <c r="AC158" s="34"/>
      <c r="AD158" s="55"/>
      <c r="AE158" s="33"/>
      <c r="AF158"/>
      <c r="AG158" s="32"/>
      <c r="AH158" s="31"/>
      <c r="AI158" s="30"/>
      <c r="AJ158" s="5492">
        <f t="shared" si="77"/>
        <v>0</v>
      </c>
      <c r="AK158" s="29">
        <f t="shared" si="78"/>
        <v>0</v>
      </c>
      <c r="AL158" s="28" t="str">
        <f t="shared" si="79"/>
        <v/>
      </c>
      <c r="AM158" s="27"/>
      <c r="AN158" s="26">
        <f t="shared" si="80"/>
        <v>0</v>
      </c>
      <c r="AO158" s="25">
        <f t="shared" si="81"/>
        <v>0</v>
      </c>
      <c r="AP158" s="24">
        <f t="shared" si="82"/>
        <v>0</v>
      </c>
      <c r="AQ158" s="23"/>
      <c r="AR158" s="22">
        <f t="shared" si="83"/>
        <v>0</v>
      </c>
      <c r="AS158" s="21"/>
      <c r="AT158" s="13"/>
      <c r="AU158" s="46">
        <f t="shared" si="84"/>
        <v>0</v>
      </c>
      <c r="AV158"/>
      <c r="AZ158"/>
      <c r="BA158"/>
      <c r="BB158"/>
      <c r="BC158"/>
      <c r="BD158"/>
      <c r="BE158" s="65" t="s">
        <v>9</v>
      </c>
      <c r="BF158"/>
      <c r="BG158"/>
      <c r="BH158"/>
      <c r="BI158"/>
      <c r="BJ158"/>
      <c r="BK158" s="62"/>
      <c r="BL158" s="20" t="str">
        <f t="shared" si="75"/>
        <v>►</v>
      </c>
      <c r="BM158"/>
      <c r="BN158"/>
      <c r="BO158"/>
      <c r="BP158"/>
      <c r="BQ158"/>
      <c r="BR158"/>
      <c r="BS158"/>
      <c r="CN158" s="56" t="s">
        <v>1</v>
      </c>
      <c r="CO158" s="5">
        <v>1</v>
      </c>
    </row>
    <row r="159" spans="1:93" s="1" customFormat="1" ht="21" customHeight="1">
      <c r="A159" s="20" t="str">
        <f t="shared" si="85"/>
        <v>►</v>
      </c>
      <c r="B159" s="43" t="str">
        <f t="shared" si="66"/>
        <v>►</v>
      </c>
      <c r="C159" s="45" t="str">
        <f t="shared" si="69"/>
        <v>►</v>
      </c>
      <c r="D159" s="44" t="str">
        <f t="shared" si="70"/>
        <v>►</v>
      </c>
      <c r="E159" s="43" t="str">
        <f t="shared" si="71"/>
        <v>►</v>
      </c>
      <c r="F159" s="43" t="str">
        <f t="shared" si="72"/>
        <v>►</v>
      </c>
      <c r="G159" s="43" t="str">
        <f t="shared" si="74"/>
        <v>►</v>
      </c>
      <c r="H159" s="1256" t="s">
        <v>1</v>
      </c>
      <c r="I159" s="5175" t="s">
        <v>1</v>
      </c>
      <c r="J159" s="5161"/>
      <c r="K159" s="5161"/>
      <c r="L159" s="5161"/>
      <c r="M159" s="5176"/>
      <c r="N159" s="5177"/>
      <c r="O159" s="147"/>
      <c r="P159" s="147"/>
      <c r="Q159" s="102"/>
      <c r="R159" s="102"/>
      <c r="S159" s="1360"/>
      <c r="T159" s="43"/>
      <c r="U159" s="42"/>
      <c r="V159" s="41"/>
      <c r="W159" s="40"/>
      <c r="X159" s="39"/>
      <c r="Y159" s="38"/>
      <c r="Z159" s="37"/>
      <c r="AA159" s="36"/>
      <c r="AB159" s="35"/>
      <c r="AC159" s="34"/>
      <c r="AD159" s="55"/>
      <c r="AE159" s="33"/>
      <c r="AF159"/>
      <c r="AG159" s="32"/>
      <c r="AH159" s="31"/>
      <c r="AI159" s="30"/>
      <c r="AJ159" s="5492">
        <f t="shared" si="77"/>
        <v>0</v>
      </c>
      <c r="AK159" s="54">
        <f t="shared" si="78"/>
        <v>0</v>
      </c>
      <c r="AL159" s="53" t="str">
        <f t="shared" si="79"/>
        <v/>
      </c>
      <c r="AM159" s="52"/>
      <c r="AN159" s="51">
        <f t="shared" si="80"/>
        <v>0</v>
      </c>
      <c r="AO159" s="50">
        <f t="shared" si="81"/>
        <v>0</v>
      </c>
      <c r="AP159" s="49">
        <f t="shared" si="82"/>
        <v>0</v>
      </c>
      <c r="AQ159" s="23"/>
      <c r="AR159" s="48">
        <f t="shared" si="83"/>
        <v>0</v>
      </c>
      <c r="AS159" s="47"/>
      <c r="AT159" s="13"/>
      <c r="AU159" s="46">
        <f t="shared" si="84"/>
        <v>0</v>
      </c>
      <c r="AV159"/>
      <c r="AZ159"/>
      <c r="BA159"/>
      <c r="BB159"/>
      <c r="BC159" s="3"/>
      <c r="BD159" s="3"/>
      <c r="BE159" s="64" t="s">
        <v>8</v>
      </c>
      <c r="BF159" s="3"/>
      <c r="BG159" s="3"/>
      <c r="BH159" s="3"/>
      <c r="BI159" s="3"/>
      <c r="BJ159" s="3"/>
      <c r="BK159" s="62"/>
      <c r="BL159" s="20" t="str">
        <f t="shared" si="75"/>
        <v>►</v>
      </c>
      <c r="BM159"/>
      <c r="BN159"/>
      <c r="BO159"/>
      <c r="BP159"/>
      <c r="BQ159"/>
      <c r="BR159"/>
      <c r="BS159"/>
      <c r="CN159" s="56" t="s">
        <v>1</v>
      </c>
      <c r="CO159" s="5">
        <v>1</v>
      </c>
    </row>
    <row r="160" spans="1:93" s="1" customFormat="1" ht="21" customHeight="1">
      <c r="A160" s="20" t="str">
        <f t="shared" si="85"/>
        <v>►</v>
      </c>
      <c r="B160" s="43" t="str">
        <f t="shared" si="66"/>
        <v>►</v>
      </c>
      <c r="C160" s="45" t="str">
        <f t="shared" si="69"/>
        <v>►</v>
      </c>
      <c r="D160" s="44" t="str">
        <f t="shared" si="70"/>
        <v>►</v>
      </c>
      <c r="E160" s="43" t="str">
        <f t="shared" si="71"/>
        <v>►</v>
      </c>
      <c r="F160" s="43" t="str">
        <f t="shared" si="72"/>
        <v>►</v>
      </c>
      <c r="G160" s="43" t="str">
        <f t="shared" si="74"/>
        <v>►</v>
      </c>
      <c r="H160" s="1256" t="s">
        <v>1</v>
      </c>
      <c r="I160" s="5175" t="s">
        <v>1</v>
      </c>
      <c r="J160" s="5161"/>
      <c r="K160" s="5161"/>
      <c r="L160" s="5161"/>
      <c r="M160" s="5176"/>
      <c r="N160" s="5177"/>
      <c r="O160" s="147"/>
      <c r="P160" s="147"/>
      <c r="Q160" s="102"/>
      <c r="R160" s="102"/>
      <c r="S160" s="1360"/>
      <c r="T160" s="43"/>
      <c r="U160" s="42"/>
      <c r="V160" s="41"/>
      <c r="W160" s="40"/>
      <c r="X160" s="39"/>
      <c r="Y160" s="38"/>
      <c r="Z160" s="37"/>
      <c r="AA160" s="36"/>
      <c r="AB160" s="35"/>
      <c r="AC160" s="34"/>
      <c r="AD160" s="55"/>
      <c r="AE160" s="33"/>
      <c r="AF160"/>
      <c r="AG160" s="32"/>
      <c r="AH160" s="31"/>
      <c r="AI160" s="30"/>
      <c r="AJ160" s="5492">
        <f t="shared" si="77"/>
        <v>0</v>
      </c>
      <c r="AK160" s="29">
        <f t="shared" si="78"/>
        <v>0</v>
      </c>
      <c r="AL160" s="28" t="str">
        <f t="shared" si="79"/>
        <v/>
      </c>
      <c r="AM160" s="27"/>
      <c r="AN160" s="26">
        <f t="shared" si="80"/>
        <v>0</v>
      </c>
      <c r="AO160" s="25">
        <f t="shared" si="81"/>
        <v>0</v>
      </c>
      <c r="AP160" s="24">
        <f t="shared" si="82"/>
        <v>0</v>
      </c>
      <c r="AQ160" s="23"/>
      <c r="AR160" s="22">
        <f t="shared" si="83"/>
        <v>0</v>
      </c>
      <c r="AS160" s="21"/>
      <c r="AT160" s="13"/>
      <c r="AU160" s="46">
        <f t="shared" si="84"/>
        <v>0</v>
      </c>
      <c r="AV160"/>
      <c r="AZ160"/>
      <c r="BA160"/>
      <c r="BB160"/>
      <c r="BC160" s="3"/>
      <c r="BD160" s="3"/>
      <c r="BE160" s="63" t="s">
        <v>7</v>
      </c>
      <c r="BF160" s="3"/>
      <c r="BG160" s="3"/>
      <c r="BH160" s="3"/>
      <c r="BI160" s="3"/>
      <c r="BJ160" s="3"/>
      <c r="BK160" s="62"/>
      <c r="BL160" s="20" t="str">
        <f t="shared" si="75"/>
        <v>►</v>
      </c>
      <c r="BM160"/>
      <c r="BN160"/>
      <c r="BO160"/>
      <c r="BP160"/>
      <c r="BQ160"/>
      <c r="BR160"/>
      <c r="BS160"/>
      <c r="CN160" s="56" t="s">
        <v>1</v>
      </c>
      <c r="CO160" s="5">
        <v>1</v>
      </c>
    </row>
    <row r="161" spans="1:93" s="1" customFormat="1" ht="21" customHeight="1">
      <c r="A161" s="20" t="str">
        <f t="shared" si="85"/>
        <v>►</v>
      </c>
      <c r="B161" s="43" t="str">
        <f t="shared" si="66"/>
        <v>►</v>
      </c>
      <c r="C161" s="45" t="str">
        <f t="shared" si="69"/>
        <v>►</v>
      </c>
      <c r="D161" s="44" t="str">
        <f t="shared" si="70"/>
        <v>►</v>
      </c>
      <c r="E161" s="43" t="str">
        <f t="shared" si="71"/>
        <v>►</v>
      </c>
      <c r="F161" s="43" t="str">
        <f t="shared" si="72"/>
        <v>►</v>
      </c>
      <c r="G161" s="43" t="str">
        <f t="shared" si="74"/>
        <v>►</v>
      </c>
      <c r="H161" s="1256" t="s">
        <v>1</v>
      </c>
      <c r="I161" s="5175" t="s">
        <v>1</v>
      </c>
      <c r="J161" s="5161"/>
      <c r="K161" s="5161"/>
      <c r="L161" s="5161"/>
      <c r="M161" s="5176"/>
      <c r="N161" s="5177"/>
      <c r="O161" s="147"/>
      <c r="P161" s="147"/>
      <c r="Q161" s="102"/>
      <c r="R161" s="102"/>
      <c r="S161" s="1360"/>
      <c r="T161" s="43"/>
      <c r="U161" s="42"/>
      <c r="V161" s="41"/>
      <c r="W161" s="40"/>
      <c r="X161" s="39"/>
      <c r="Y161" s="38"/>
      <c r="Z161" s="37"/>
      <c r="AA161" s="36"/>
      <c r="AB161" s="35"/>
      <c r="AC161" s="34"/>
      <c r="AD161" s="55"/>
      <c r="AE161" s="33"/>
      <c r="AF161"/>
      <c r="AG161" s="32"/>
      <c r="AH161" s="31"/>
      <c r="AI161" s="30"/>
      <c r="AJ161" s="5492">
        <f t="shared" si="77"/>
        <v>0</v>
      </c>
      <c r="AK161" s="54">
        <f t="shared" si="78"/>
        <v>0</v>
      </c>
      <c r="AL161" s="53" t="str">
        <f t="shared" si="79"/>
        <v/>
      </c>
      <c r="AM161" s="52"/>
      <c r="AN161" s="51">
        <f t="shared" si="80"/>
        <v>0</v>
      </c>
      <c r="AO161" s="50">
        <f t="shared" si="81"/>
        <v>0</v>
      </c>
      <c r="AP161" s="49">
        <f t="shared" si="82"/>
        <v>0</v>
      </c>
      <c r="AQ161" s="23"/>
      <c r="AR161" s="48">
        <f t="shared" si="83"/>
        <v>0</v>
      </c>
      <c r="AS161" s="47"/>
      <c r="AT161" s="13"/>
      <c r="AU161" s="46">
        <f t="shared" si="84"/>
        <v>0</v>
      </c>
      <c r="AV161"/>
      <c r="AZ161"/>
      <c r="BA161"/>
      <c r="BB161"/>
      <c r="BC161" s="3"/>
      <c r="BD161" s="3"/>
      <c r="BE161" s="61" t="s">
        <v>6</v>
      </c>
      <c r="BF161" s="3"/>
      <c r="BG161" s="3"/>
      <c r="BH161" s="3"/>
      <c r="BI161" s="3"/>
      <c r="BJ161" s="3"/>
      <c r="BK161"/>
      <c r="BL161" s="20" t="str">
        <f t="shared" si="75"/>
        <v>►</v>
      </c>
      <c r="BM161"/>
      <c r="BN161"/>
      <c r="BO161"/>
      <c r="BP161"/>
      <c r="BQ161"/>
      <c r="BR161"/>
      <c r="BS161"/>
      <c r="CN161" s="56" t="s">
        <v>1</v>
      </c>
      <c r="CO161" s="5">
        <v>1</v>
      </c>
    </row>
    <row r="162" spans="1:93" s="1" customFormat="1" ht="21" customHeight="1">
      <c r="A162" s="20" t="str">
        <f t="shared" si="85"/>
        <v>►</v>
      </c>
      <c r="B162" s="43" t="str">
        <f t="shared" si="66"/>
        <v>►</v>
      </c>
      <c r="C162" s="45" t="str">
        <f t="shared" si="69"/>
        <v>►</v>
      </c>
      <c r="D162" s="44" t="str">
        <f t="shared" si="70"/>
        <v>►</v>
      </c>
      <c r="E162" s="43" t="str">
        <f t="shared" si="71"/>
        <v>►</v>
      </c>
      <c r="F162" s="43" t="str">
        <f t="shared" si="72"/>
        <v>►</v>
      </c>
      <c r="G162" s="43" t="str">
        <f t="shared" si="74"/>
        <v>►</v>
      </c>
      <c r="H162" s="1256" t="s">
        <v>1</v>
      </c>
      <c r="I162" s="5175" t="s">
        <v>1</v>
      </c>
      <c r="J162" s="5161"/>
      <c r="K162" s="5161"/>
      <c r="L162" s="5161"/>
      <c r="M162" s="5176"/>
      <c r="N162" s="5177"/>
      <c r="O162" s="147"/>
      <c r="P162" s="147"/>
      <c r="Q162" s="102"/>
      <c r="R162" s="102"/>
      <c r="S162" s="1360"/>
      <c r="T162" s="43"/>
      <c r="U162" s="42"/>
      <c r="V162" s="41"/>
      <c r="W162" s="40"/>
      <c r="X162" s="39"/>
      <c r="Y162" s="38"/>
      <c r="Z162" s="37"/>
      <c r="AA162" s="36"/>
      <c r="AB162" s="35"/>
      <c r="AC162" s="34"/>
      <c r="AD162" s="55"/>
      <c r="AE162" s="33"/>
      <c r="AF162"/>
      <c r="AG162" s="32"/>
      <c r="AH162" s="31"/>
      <c r="AI162" s="30"/>
      <c r="AJ162" s="5492">
        <f t="shared" si="77"/>
        <v>0</v>
      </c>
      <c r="AK162" s="29">
        <f t="shared" si="78"/>
        <v>0</v>
      </c>
      <c r="AL162" s="28" t="str">
        <f t="shared" si="79"/>
        <v/>
      </c>
      <c r="AM162" s="27"/>
      <c r="AN162" s="26">
        <f t="shared" si="80"/>
        <v>0</v>
      </c>
      <c r="AO162" s="25">
        <f t="shared" si="81"/>
        <v>0</v>
      </c>
      <c r="AP162" s="24">
        <f t="shared" si="82"/>
        <v>0</v>
      </c>
      <c r="AQ162" s="23"/>
      <c r="AR162" s="22">
        <f t="shared" si="83"/>
        <v>0</v>
      </c>
      <c r="AS162" s="21"/>
      <c r="AT162" s="13"/>
      <c r="AU162" s="46">
        <f t="shared" si="84"/>
        <v>0</v>
      </c>
      <c r="AV162"/>
      <c r="AZ162"/>
      <c r="BA162"/>
      <c r="BB162"/>
      <c r="BC162" s="3"/>
      <c r="BD162" s="3"/>
      <c r="BE162" s="60" t="s">
        <v>5</v>
      </c>
      <c r="BF162" s="3"/>
      <c r="BG162" s="3"/>
      <c r="BH162" s="3"/>
      <c r="BI162" s="3"/>
      <c r="BJ162" s="3"/>
      <c r="BK162"/>
      <c r="BL162" s="20" t="str">
        <f t="shared" si="75"/>
        <v>►</v>
      </c>
      <c r="BM162"/>
      <c r="BN162"/>
      <c r="BO162"/>
      <c r="BP162"/>
      <c r="BQ162"/>
      <c r="BR162"/>
      <c r="BS162"/>
      <c r="CN162" s="56" t="s">
        <v>1</v>
      </c>
      <c r="CO162" s="5">
        <v>1</v>
      </c>
    </row>
    <row r="163" spans="1:93" s="1" customFormat="1" ht="21" customHeight="1">
      <c r="A163" s="20" t="str">
        <f t="shared" si="85"/>
        <v>►</v>
      </c>
      <c r="B163" s="43" t="str">
        <f t="shared" si="66"/>
        <v>►</v>
      </c>
      <c r="C163" s="45" t="str">
        <f t="shared" si="69"/>
        <v>►</v>
      </c>
      <c r="D163" s="44" t="str">
        <f t="shared" si="70"/>
        <v>►</v>
      </c>
      <c r="E163" s="43" t="str">
        <f t="shared" si="71"/>
        <v>►</v>
      </c>
      <c r="F163" s="43" t="str">
        <f t="shared" si="72"/>
        <v>►</v>
      </c>
      <c r="G163" s="43" t="str">
        <f t="shared" si="74"/>
        <v>►</v>
      </c>
      <c r="H163" s="1256" t="s">
        <v>1</v>
      </c>
      <c r="I163" s="5175" t="s">
        <v>1</v>
      </c>
      <c r="J163" s="5161"/>
      <c r="K163" s="5161"/>
      <c r="L163" s="5161"/>
      <c r="M163" s="5176"/>
      <c r="N163" s="5177"/>
      <c r="O163" s="147"/>
      <c r="P163" s="147"/>
      <c r="Q163" s="102"/>
      <c r="R163" s="102"/>
      <c r="S163" s="1360"/>
      <c r="T163" s="43"/>
      <c r="U163" s="42"/>
      <c r="V163" s="41"/>
      <c r="W163" s="40"/>
      <c r="X163" s="39"/>
      <c r="Y163" s="38"/>
      <c r="Z163" s="37"/>
      <c r="AA163" s="36"/>
      <c r="AB163" s="35"/>
      <c r="AC163" s="34"/>
      <c r="AD163" s="55"/>
      <c r="AE163" s="33"/>
      <c r="AF163"/>
      <c r="AG163" s="32"/>
      <c r="AH163" s="31"/>
      <c r="AI163" s="30"/>
      <c r="AJ163" s="5492">
        <f t="shared" si="77"/>
        <v>0</v>
      </c>
      <c r="AK163" s="54">
        <f t="shared" si="78"/>
        <v>0</v>
      </c>
      <c r="AL163" s="53" t="str">
        <f t="shared" si="79"/>
        <v/>
      </c>
      <c r="AM163" s="52"/>
      <c r="AN163" s="51">
        <f t="shared" si="80"/>
        <v>0</v>
      </c>
      <c r="AO163" s="50">
        <f t="shared" si="81"/>
        <v>0</v>
      </c>
      <c r="AP163" s="49">
        <f t="shared" si="82"/>
        <v>0</v>
      </c>
      <c r="AQ163" s="23"/>
      <c r="AR163" s="48">
        <f t="shared" si="83"/>
        <v>0</v>
      </c>
      <c r="AS163" s="47"/>
      <c r="AT163" s="13"/>
      <c r="AU163" s="46">
        <f t="shared" si="84"/>
        <v>0</v>
      </c>
      <c r="AV163"/>
      <c r="AZ163"/>
      <c r="BA163"/>
      <c r="BB163"/>
      <c r="BC163" s="3"/>
      <c r="BD163" s="3"/>
      <c r="BE163" s="59" t="s">
        <v>4</v>
      </c>
      <c r="BF163" s="3"/>
      <c r="BG163" s="3"/>
      <c r="BH163" s="3"/>
      <c r="BI163" s="3"/>
      <c r="BJ163" s="3"/>
      <c r="BK163"/>
      <c r="BL163" s="20" t="str">
        <f t="shared" si="75"/>
        <v>►</v>
      </c>
      <c r="BM163"/>
      <c r="BN163"/>
      <c r="BO163"/>
      <c r="BP163"/>
      <c r="BQ163"/>
      <c r="BR163"/>
      <c r="BS163"/>
      <c r="CN163" s="56" t="s">
        <v>1</v>
      </c>
      <c r="CO163" s="5">
        <v>1</v>
      </c>
    </row>
    <row r="164" spans="1:93" s="1" customFormat="1" ht="21" customHeight="1">
      <c r="A164" s="20" t="str">
        <f t="shared" si="85"/>
        <v>►</v>
      </c>
      <c r="B164" s="43" t="str">
        <f t="shared" si="66"/>
        <v>►</v>
      </c>
      <c r="C164" s="45" t="str">
        <f t="shared" si="69"/>
        <v>►</v>
      </c>
      <c r="D164" s="44" t="str">
        <f t="shared" si="70"/>
        <v>►</v>
      </c>
      <c r="E164" s="43" t="str">
        <f t="shared" si="71"/>
        <v>►</v>
      </c>
      <c r="F164" s="43" t="str">
        <f t="shared" si="72"/>
        <v>►</v>
      </c>
      <c r="G164" s="43" t="str">
        <f t="shared" si="74"/>
        <v>►</v>
      </c>
      <c r="H164" s="1256" t="s">
        <v>1</v>
      </c>
      <c r="I164" s="5175" t="s">
        <v>1</v>
      </c>
      <c r="J164" s="5161"/>
      <c r="K164" s="5161"/>
      <c r="L164" s="5161"/>
      <c r="M164" s="5176"/>
      <c r="N164" s="5177"/>
      <c r="O164" s="147"/>
      <c r="P164" s="147"/>
      <c r="Q164" s="102"/>
      <c r="R164" s="102"/>
      <c r="S164" s="1360"/>
      <c r="T164" s="43"/>
      <c r="U164" s="42"/>
      <c r="V164" s="41"/>
      <c r="W164" s="40"/>
      <c r="X164" s="39"/>
      <c r="Y164" s="38"/>
      <c r="Z164" s="37"/>
      <c r="AA164" s="36"/>
      <c r="AB164" s="35"/>
      <c r="AC164" s="34"/>
      <c r="AD164" s="55"/>
      <c r="AE164" s="33"/>
      <c r="AF164"/>
      <c r="AG164" s="32"/>
      <c r="AH164" s="31"/>
      <c r="AI164" s="30"/>
      <c r="AJ164" s="5492">
        <f t="shared" si="77"/>
        <v>0</v>
      </c>
      <c r="AK164" s="29">
        <f t="shared" si="78"/>
        <v>0</v>
      </c>
      <c r="AL164" s="28" t="str">
        <f t="shared" si="79"/>
        <v/>
      </c>
      <c r="AM164" s="27"/>
      <c r="AN164" s="26">
        <f t="shared" si="80"/>
        <v>0</v>
      </c>
      <c r="AO164" s="25">
        <f t="shared" si="81"/>
        <v>0</v>
      </c>
      <c r="AP164" s="24">
        <f t="shared" si="82"/>
        <v>0</v>
      </c>
      <c r="AQ164" s="23"/>
      <c r="AR164" s="22">
        <f t="shared" si="83"/>
        <v>0</v>
      </c>
      <c r="AS164" s="21"/>
      <c r="AT164" s="13"/>
      <c r="AU164" s="46">
        <f t="shared" si="84"/>
        <v>0</v>
      </c>
      <c r="AV164"/>
      <c r="AZ164"/>
      <c r="BA164"/>
      <c r="BB164"/>
      <c r="BC164" s="3"/>
      <c r="BD164" s="3"/>
      <c r="BE164" s="58" t="s">
        <v>3</v>
      </c>
      <c r="BF164" s="3"/>
      <c r="BG164" s="3"/>
      <c r="BH164" s="3"/>
      <c r="BI164" s="3"/>
      <c r="BJ164" s="3"/>
      <c r="BK164"/>
      <c r="BL164" s="20" t="str">
        <f t="shared" si="75"/>
        <v>►</v>
      </c>
      <c r="BM164"/>
      <c r="BN164"/>
      <c r="BO164"/>
      <c r="BP164"/>
      <c r="BQ164"/>
      <c r="BR164"/>
      <c r="BS164"/>
      <c r="CN164" s="56" t="s">
        <v>1</v>
      </c>
      <c r="CO164" s="5">
        <v>1</v>
      </c>
    </row>
    <row r="165" spans="1:93" s="1" customFormat="1" ht="21" customHeight="1">
      <c r="A165" s="20" t="str">
        <f t="shared" si="85"/>
        <v>►</v>
      </c>
      <c r="B165" s="43" t="str">
        <f t="shared" si="66"/>
        <v>►</v>
      </c>
      <c r="C165" s="45" t="str">
        <f t="shared" si="69"/>
        <v>►</v>
      </c>
      <c r="D165" s="44" t="str">
        <f t="shared" si="70"/>
        <v>►</v>
      </c>
      <c r="E165" s="43" t="str">
        <f t="shared" si="71"/>
        <v>►</v>
      </c>
      <c r="F165" s="43" t="str">
        <f t="shared" si="72"/>
        <v>►</v>
      </c>
      <c r="G165" s="43" t="str">
        <f t="shared" si="74"/>
        <v>►</v>
      </c>
      <c r="H165" s="1256" t="s">
        <v>1</v>
      </c>
      <c r="I165" s="5175" t="s">
        <v>1</v>
      </c>
      <c r="J165" s="5161"/>
      <c r="K165" s="5161"/>
      <c r="L165" s="5161"/>
      <c r="M165" s="5176"/>
      <c r="N165" s="5177"/>
      <c r="O165" s="147"/>
      <c r="P165" s="147"/>
      <c r="Q165" s="102"/>
      <c r="R165" s="102"/>
      <c r="S165" s="1360"/>
      <c r="T165" s="43"/>
      <c r="U165" s="42"/>
      <c r="V165" s="41"/>
      <c r="W165" s="40"/>
      <c r="X165" s="39"/>
      <c r="Y165" s="38"/>
      <c r="Z165" s="37"/>
      <c r="AA165" s="36"/>
      <c r="AB165" s="35"/>
      <c r="AC165" s="34"/>
      <c r="AD165" s="55"/>
      <c r="AE165" s="33"/>
      <c r="AF165"/>
      <c r="AG165" s="32"/>
      <c r="AH165" s="31"/>
      <c r="AI165" s="30"/>
      <c r="AJ165" s="5492">
        <f t="shared" si="77"/>
        <v>0</v>
      </c>
      <c r="AK165" s="54">
        <f t="shared" si="78"/>
        <v>0</v>
      </c>
      <c r="AL165" s="53" t="str">
        <f t="shared" si="79"/>
        <v/>
      </c>
      <c r="AM165" s="52"/>
      <c r="AN165" s="51">
        <f t="shared" si="80"/>
        <v>0</v>
      </c>
      <c r="AO165" s="50">
        <f t="shared" si="81"/>
        <v>0</v>
      </c>
      <c r="AP165" s="49">
        <f t="shared" si="82"/>
        <v>0</v>
      </c>
      <c r="AQ165" s="23"/>
      <c r="AR165" s="48">
        <f t="shared" si="83"/>
        <v>0</v>
      </c>
      <c r="AS165" s="47"/>
      <c r="AT165" s="13"/>
      <c r="AU165" s="46">
        <f t="shared" si="84"/>
        <v>0</v>
      </c>
      <c r="AV165"/>
      <c r="AZ165"/>
      <c r="BA165"/>
      <c r="BB165"/>
      <c r="BC165" s="3"/>
      <c r="BD165" s="3"/>
      <c r="BE165" s="57" t="s">
        <v>2</v>
      </c>
      <c r="BF165" s="3"/>
      <c r="BG165" s="3"/>
      <c r="BH165" s="3"/>
      <c r="BI165" s="3"/>
      <c r="BJ165" s="3"/>
      <c r="BK165"/>
      <c r="BL165" s="20" t="str">
        <f t="shared" si="75"/>
        <v>►</v>
      </c>
      <c r="BM165"/>
      <c r="BN165"/>
      <c r="BO165"/>
      <c r="BP165"/>
      <c r="BQ165"/>
      <c r="BR165"/>
      <c r="BS165"/>
      <c r="CN165" s="56" t="s">
        <v>1</v>
      </c>
      <c r="CO165" s="5">
        <v>1</v>
      </c>
    </row>
    <row r="166" spans="1:93" s="1" customFormat="1" ht="21" customHeight="1">
      <c r="A166" s="20" t="str">
        <f t="shared" si="85"/>
        <v>►</v>
      </c>
      <c r="B166" s="43" t="str">
        <f t="shared" si="66"/>
        <v>►</v>
      </c>
      <c r="C166" s="45" t="str">
        <f t="shared" si="69"/>
        <v>►</v>
      </c>
      <c r="D166" s="44" t="str">
        <f t="shared" si="70"/>
        <v>►</v>
      </c>
      <c r="E166" s="43" t="str">
        <f t="shared" si="71"/>
        <v>►</v>
      </c>
      <c r="F166" s="43" t="str">
        <f t="shared" si="72"/>
        <v>►</v>
      </c>
      <c r="G166" s="43" t="str">
        <f t="shared" si="74"/>
        <v>►</v>
      </c>
      <c r="H166" s="1256" t="s">
        <v>1</v>
      </c>
      <c r="I166" s="5175" t="s">
        <v>1</v>
      </c>
      <c r="J166" s="5161"/>
      <c r="K166" s="5161"/>
      <c r="L166" s="5161"/>
      <c r="M166" s="5176"/>
      <c r="N166" s="5177"/>
      <c r="O166" s="147"/>
      <c r="P166" s="147"/>
      <c r="Q166" s="102"/>
      <c r="R166" s="102"/>
      <c r="S166" s="1360"/>
      <c r="T166" s="43"/>
      <c r="U166" s="42"/>
      <c r="V166" s="41"/>
      <c r="W166" s="40"/>
      <c r="X166" s="39"/>
      <c r="Y166" s="38"/>
      <c r="Z166" s="37"/>
      <c r="AA166" s="36"/>
      <c r="AB166" s="35"/>
      <c r="AC166" s="34"/>
      <c r="AD166" s="55"/>
      <c r="AE166" s="33"/>
      <c r="AF166"/>
      <c r="AG166" s="32"/>
      <c r="AH166" s="31"/>
      <c r="AI166" s="30"/>
      <c r="AJ166" s="5492">
        <f t="shared" si="77"/>
        <v>0</v>
      </c>
      <c r="AK166" s="29">
        <f t="shared" si="78"/>
        <v>0</v>
      </c>
      <c r="AL166" s="28" t="str">
        <f t="shared" si="79"/>
        <v/>
      </c>
      <c r="AM166" s="27"/>
      <c r="AN166" s="26">
        <f t="shared" si="80"/>
        <v>0</v>
      </c>
      <c r="AO166" s="25">
        <f t="shared" si="81"/>
        <v>0</v>
      </c>
      <c r="AP166" s="24">
        <f t="shared" si="82"/>
        <v>0</v>
      </c>
      <c r="AQ166" s="23"/>
      <c r="AR166" s="22">
        <f t="shared" si="83"/>
        <v>0</v>
      </c>
      <c r="AS166" s="21"/>
      <c r="AT166" s="13"/>
      <c r="AU166" s="46">
        <f t="shared" si="84"/>
        <v>0</v>
      </c>
      <c r="AV166"/>
      <c r="AZ166"/>
      <c r="BA166"/>
      <c r="BB166"/>
      <c r="BC166" s="3"/>
      <c r="BD166" s="3"/>
      <c r="BE166"/>
      <c r="BF166" s="3"/>
      <c r="BG166" s="3"/>
      <c r="BH166" s="3"/>
      <c r="BI166" s="3"/>
      <c r="BJ166" s="3"/>
      <c r="BK166"/>
      <c r="BL166" s="20" t="str">
        <f t="shared" si="75"/>
        <v>►</v>
      </c>
      <c r="BM166"/>
      <c r="BN166"/>
      <c r="BO166"/>
      <c r="BP166"/>
      <c r="BQ166"/>
      <c r="BR166"/>
      <c r="BS166"/>
      <c r="CN166" s="56" t="s">
        <v>1</v>
      </c>
      <c r="CO166" s="5">
        <v>1</v>
      </c>
    </row>
    <row r="167" spans="1:93" s="1" customFormat="1" ht="21" customHeight="1">
      <c r="A167" s="20" t="str">
        <f t="shared" si="85"/>
        <v>►</v>
      </c>
      <c r="B167" s="43" t="str">
        <f t="shared" si="66"/>
        <v>►</v>
      </c>
      <c r="C167" s="45" t="str">
        <f t="shared" si="69"/>
        <v>►</v>
      </c>
      <c r="D167" s="44" t="str">
        <f t="shared" si="70"/>
        <v>►</v>
      </c>
      <c r="E167" s="43" t="str">
        <f t="shared" si="71"/>
        <v>►</v>
      </c>
      <c r="F167" s="43" t="str">
        <f t="shared" si="72"/>
        <v>►</v>
      </c>
      <c r="G167" s="43" t="str">
        <f t="shared" si="74"/>
        <v>►</v>
      </c>
      <c r="H167" s="1256" t="s">
        <v>1</v>
      </c>
      <c r="I167" s="5175" t="s">
        <v>1</v>
      </c>
      <c r="J167" s="5161"/>
      <c r="K167" s="5161"/>
      <c r="L167" s="5161"/>
      <c r="M167" s="5176"/>
      <c r="N167" s="5177"/>
      <c r="O167" s="147"/>
      <c r="P167" s="147"/>
      <c r="Q167" s="102"/>
      <c r="R167" s="102"/>
      <c r="S167" s="1360"/>
      <c r="T167" s="43"/>
      <c r="U167" s="42"/>
      <c r="V167" s="41"/>
      <c r="W167" s="40"/>
      <c r="X167" s="39"/>
      <c r="Y167" s="38"/>
      <c r="Z167" s="37"/>
      <c r="AA167" s="36"/>
      <c r="AB167" s="35"/>
      <c r="AC167" s="34"/>
      <c r="AD167" s="55"/>
      <c r="AE167" s="33"/>
      <c r="AF167"/>
      <c r="AG167" s="32"/>
      <c r="AH167" s="31"/>
      <c r="AI167" s="30"/>
      <c r="AJ167" s="5492">
        <f t="shared" si="77"/>
        <v>0</v>
      </c>
      <c r="AK167" s="54">
        <f t="shared" si="78"/>
        <v>0</v>
      </c>
      <c r="AL167" s="53" t="str">
        <f t="shared" si="79"/>
        <v/>
      </c>
      <c r="AM167" s="52"/>
      <c r="AN167" s="51">
        <f t="shared" si="80"/>
        <v>0</v>
      </c>
      <c r="AO167" s="50">
        <f t="shared" si="81"/>
        <v>0</v>
      </c>
      <c r="AP167" s="49">
        <f t="shared" si="82"/>
        <v>0</v>
      </c>
      <c r="AQ167" s="23"/>
      <c r="AR167" s="48">
        <f t="shared" si="83"/>
        <v>0</v>
      </c>
      <c r="AS167" s="47"/>
      <c r="AT167" s="13"/>
      <c r="AU167" s="46">
        <f t="shared" si="84"/>
        <v>0</v>
      </c>
      <c r="AV167"/>
      <c r="AZ167"/>
      <c r="BA167"/>
      <c r="BB167"/>
      <c r="BK167"/>
      <c r="BL167" s="20" t="str">
        <f t="shared" si="75"/>
        <v>►</v>
      </c>
      <c r="BM167"/>
      <c r="BN167"/>
      <c r="BO167"/>
      <c r="BP167"/>
      <c r="BQ167"/>
      <c r="BR167"/>
      <c r="BS167"/>
      <c r="CN167" s="56" t="s">
        <v>1</v>
      </c>
      <c r="CO167" s="5">
        <v>1</v>
      </c>
    </row>
    <row r="168" spans="1:93" s="1" customFormat="1" ht="21" customHeight="1">
      <c r="A168" s="20" t="str">
        <f t="shared" si="85"/>
        <v>►</v>
      </c>
      <c r="B168" s="43" t="str">
        <f t="shared" si="66"/>
        <v>►</v>
      </c>
      <c r="C168" s="45" t="str">
        <f t="shared" si="69"/>
        <v>►</v>
      </c>
      <c r="D168" s="44" t="str">
        <f t="shared" si="70"/>
        <v>►</v>
      </c>
      <c r="E168" s="43" t="str">
        <f t="shared" si="71"/>
        <v>►</v>
      </c>
      <c r="F168" s="43" t="str">
        <f t="shared" si="72"/>
        <v>►</v>
      </c>
      <c r="G168" s="43" t="str">
        <f t="shared" si="74"/>
        <v>►</v>
      </c>
      <c r="H168" s="1256" t="s">
        <v>1</v>
      </c>
      <c r="I168" s="5175" t="s">
        <v>1</v>
      </c>
      <c r="J168" s="5161"/>
      <c r="K168" s="5161"/>
      <c r="L168" s="5161"/>
      <c r="M168" s="5176"/>
      <c r="N168" s="5177"/>
      <c r="O168" s="147"/>
      <c r="P168" s="147"/>
      <c r="Q168" s="102"/>
      <c r="R168" s="102"/>
      <c r="S168" s="1360"/>
      <c r="T168" s="43"/>
      <c r="U168" s="42"/>
      <c r="V168" s="41"/>
      <c r="W168" s="40"/>
      <c r="X168" s="39"/>
      <c r="Y168" s="38"/>
      <c r="Z168" s="37"/>
      <c r="AA168" s="36"/>
      <c r="AB168" s="35"/>
      <c r="AC168" s="34"/>
      <c r="AD168" s="55"/>
      <c r="AE168" s="33"/>
      <c r="AF168"/>
      <c r="AG168" s="32"/>
      <c r="AH168" s="31"/>
      <c r="AI168" s="30"/>
      <c r="AJ168" s="5492">
        <f t="shared" si="77"/>
        <v>0</v>
      </c>
      <c r="AK168" s="29">
        <f t="shared" si="78"/>
        <v>0</v>
      </c>
      <c r="AL168" s="28" t="str">
        <f t="shared" si="79"/>
        <v/>
      </c>
      <c r="AM168" s="27"/>
      <c r="AN168" s="26">
        <f t="shared" si="80"/>
        <v>0</v>
      </c>
      <c r="AO168" s="25">
        <f t="shared" si="81"/>
        <v>0</v>
      </c>
      <c r="AP168" s="24">
        <f t="shared" si="82"/>
        <v>0</v>
      </c>
      <c r="AQ168" s="23"/>
      <c r="AR168" s="22">
        <f t="shared" si="83"/>
        <v>0</v>
      </c>
      <c r="AS168" s="21"/>
      <c r="AT168" s="13"/>
      <c r="AU168" s="46">
        <f t="shared" si="84"/>
        <v>0</v>
      </c>
      <c r="AV168"/>
      <c r="AZ168"/>
      <c r="BA168"/>
      <c r="BB168"/>
      <c r="BC168" s="3"/>
      <c r="BD168" s="3"/>
      <c r="BE168" s="3"/>
      <c r="BF168" s="3"/>
      <c r="BG168" s="3"/>
      <c r="BH168" s="3"/>
      <c r="BI168" s="3"/>
      <c r="BJ168" s="3"/>
      <c r="BK168"/>
      <c r="BL168" s="20" t="str">
        <f t="shared" si="75"/>
        <v>►</v>
      </c>
      <c r="BM168"/>
      <c r="BN168"/>
      <c r="BO168"/>
      <c r="BP168"/>
      <c r="BQ168"/>
      <c r="BR168"/>
      <c r="BS168"/>
      <c r="CN168" s="56" t="s">
        <v>1</v>
      </c>
      <c r="CO168" s="5">
        <v>1</v>
      </c>
    </row>
    <row r="169" spans="1:93" s="1" customFormat="1" ht="21" customHeight="1">
      <c r="A169" s="20" t="str">
        <f t="shared" si="85"/>
        <v>►</v>
      </c>
      <c r="B169" s="43" t="str">
        <f t="shared" si="66"/>
        <v>►</v>
      </c>
      <c r="C169" s="45" t="str">
        <f t="shared" si="69"/>
        <v>►</v>
      </c>
      <c r="D169" s="44" t="str">
        <f t="shared" si="70"/>
        <v>►</v>
      </c>
      <c r="E169" s="43" t="str">
        <f t="shared" si="71"/>
        <v>►</v>
      </c>
      <c r="F169" s="43" t="str">
        <f t="shared" si="72"/>
        <v>►</v>
      </c>
      <c r="G169" s="43" t="str">
        <f t="shared" si="74"/>
        <v>►</v>
      </c>
      <c r="H169" s="1256" t="s">
        <v>1</v>
      </c>
      <c r="I169" s="5175" t="s">
        <v>1</v>
      </c>
      <c r="J169" s="5161"/>
      <c r="K169" s="5161"/>
      <c r="L169" s="5161"/>
      <c r="M169" s="5176"/>
      <c r="N169" s="5177"/>
      <c r="O169" s="147"/>
      <c r="P169" s="147"/>
      <c r="Q169" s="102"/>
      <c r="R169" s="102"/>
      <c r="S169" s="1360"/>
      <c r="T169" s="43"/>
      <c r="U169" s="42"/>
      <c r="V169" s="41"/>
      <c r="W169" s="40"/>
      <c r="X169" s="39"/>
      <c r="Y169" s="38"/>
      <c r="Z169" s="37"/>
      <c r="AA169" s="36"/>
      <c r="AB169" s="35"/>
      <c r="AC169" s="34"/>
      <c r="AD169" s="55"/>
      <c r="AE169" s="33"/>
      <c r="AF169"/>
      <c r="AG169" s="32"/>
      <c r="AH169" s="31"/>
      <c r="AI169" s="30"/>
      <c r="AJ169" s="5492">
        <f t="shared" si="77"/>
        <v>0</v>
      </c>
      <c r="AK169" s="54">
        <f t="shared" si="78"/>
        <v>0</v>
      </c>
      <c r="AL169" s="53" t="str">
        <f t="shared" si="79"/>
        <v/>
      </c>
      <c r="AM169" s="52"/>
      <c r="AN169" s="51">
        <f t="shared" si="80"/>
        <v>0</v>
      </c>
      <c r="AO169" s="50">
        <f t="shared" si="81"/>
        <v>0</v>
      </c>
      <c r="AP169" s="49">
        <f t="shared" si="82"/>
        <v>0</v>
      </c>
      <c r="AQ169" s="23"/>
      <c r="AR169" s="48">
        <f t="shared" si="83"/>
        <v>0</v>
      </c>
      <c r="AS169" s="47"/>
      <c r="AT169" s="13"/>
      <c r="AU169" s="46">
        <f t="shared" si="84"/>
        <v>0</v>
      </c>
      <c r="AV169"/>
      <c r="AZ169"/>
      <c r="BA169"/>
      <c r="BB169"/>
      <c r="BC169" s="3"/>
      <c r="BD169" s="3"/>
      <c r="BE169" s="3"/>
      <c r="BF169" s="3"/>
      <c r="BG169" s="3"/>
      <c r="BH169" s="3"/>
      <c r="BI169" s="3"/>
      <c r="BJ169" s="3"/>
      <c r="BK169"/>
      <c r="BL169" s="20" t="str">
        <f t="shared" si="75"/>
        <v>►</v>
      </c>
      <c r="BM169"/>
      <c r="BN169"/>
      <c r="BO169"/>
      <c r="BP169"/>
      <c r="BQ169"/>
      <c r="BR169"/>
      <c r="BS169"/>
      <c r="CN169" s="56" t="s">
        <v>1</v>
      </c>
      <c r="CO169" s="5">
        <v>1</v>
      </c>
    </row>
    <row r="170" spans="1:93" s="1" customFormat="1" ht="21" customHeight="1">
      <c r="A170" s="20" t="str">
        <f t="shared" si="85"/>
        <v>►</v>
      </c>
      <c r="B170" s="43" t="str">
        <f t="shared" si="66"/>
        <v>►</v>
      </c>
      <c r="C170" s="45" t="str">
        <f t="shared" si="69"/>
        <v>►</v>
      </c>
      <c r="D170" s="44" t="str">
        <f t="shared" si="70"/>
        <v>►</v>
      </c>
      <c r="E170" s="43" t="str">
        <f t="shared" si="71"/>
        <v>►</v>
      </c>
      <c r="F170" s="43" t="str">
        <f t="shared" si="72"/>
        <v>►</v>
      </c>
      <c r="G170" s="43" t="str">
        <f t="shared" si="74"/>
        <v>►</v>
      </c>
      <c r="H170" s="1256" t="s">
        <v>1</v>
      </c>
      <c r="I170" s="5175" t="s">
        <v>1</v>
      </c>
      <c r="J170" s="5161"/>
      <c r="K170" s="5161"/>
      <c r="L170" s="5161"/>
      <c r="M170" s="5176"/>
      <c r="N170" s="5177"/>
      <c r="O170" s="147"/>
      <c r="P170" s="147"/>
      <c r="Q170" s="102"/>
      <c r="R170" s="102"/>
      <c r="S170" s="1360"/>
      <c r="T170" s="43"/>
      <c r="U170" s="42"/>
      <c r="V170" s="41"/>
      <c r="W170" s="40"/>
      <c r="X170" s="39"/>
      <c r="Y170" s="38"/>
      <c r="Z170" s="37"/>
      <c r="AA170" s="36"/>
      <c r="AB170" s="35"/>
      <c r="AC170" s="34"/>
      <c r="AD170" s="55"/>
      <c r="AE170" s="33"/>
      <c r="AF170"/>
      <c r="AG170" s="32"/>
      <c r="AH170" s="31"/>
      <c r="AI170" s="30"/>
      <c r="AJ170" s="5492">
        <f t="shared" si="77"/>
        <v>0</v>
      </c>
      <c r="AK170" s="29">
        <f t="shared" si="78"/>
        <v>0</v>
      </c>
      <c r="AL170" s="28" t="str">
        <f t="shared" si="79"/>
        <v/>
      </c>
      <c r="AM170" s="27"/>
      <c r="AN170" s="26">
        <f t="shared" si="80"/>
        <v>0</v>
      </c>
      <c r="AO170" s="25">
        <f t="shared" si="81"/>
        <v>0</v>
      </c>
      <c r="AP170" s="24">
        <f t="shared" si="82"/>
        <v>0</v>
      </c>
      <c r="AQ170" s="23"/>
      <c r="AR170" s="22">
        <f t="shared" si="83"/>
        <v>0</v>
      </c>
      <c r="AS170" s="21"/>
      <c r="AT170" s="13"/>
      <c r="AU170" s="46">
        <f t="shared" si="84"/>
        <v>0</v>
      </c>
      <c r="AV170"/>
      <c r="AZ170"/>
      <c r="BA170"/>
      <c r="BB170"/>
      <c r="BC170" s="3"/>
      <c r="BD170" s="3"/>
      <c r="BE170" s="3"/>
      <c r="BF170" s="3"/>
      <c r="BG170" s="3"/>
      <c r="BH170" s="3"/>
      <c r="BI170" s="3"/>
      <c r="BJ170" s="3"/>
      <c r="BK170"/>
      <c r="BL170" s="20" t="str">
        <f t="shared" si="75"/>
        <v>►</v>
      </c>
      <c r="BM170"/>
      <c r="BN170"/>
      <c r="BO170"/>
      <c r="BP170"/>
      <c r="BQ170"/>
      <c r="BR170"/>
      <c r="BS170"/>
      <c r="CN170" s="56" t="s">
        <v>1</v>
      </c>
      <c r="CO170" s="5">
        <v>1</v>
      </c>
    </row>
    <row r="171" spans="1:93" s="1" customFormat="1" ht="21" customHeight="1">
      <c r="A171" s="20" t="str">
        <f t="shared" si="85"/>
        <v>►</v>
      </c>
      <c r="B171" s="43" t="str">
        <f t="shared" si="66"/>
        <v>►</v>
      </c>
      <c r="C171" s="45" t="str">
        <f t="shared" si="69"/>
        <v>►</v>
      </c>
      <c r="D171" s="44" t="str">
        <f t="shared" si="70"/>
        <v>►</v>
      </c>
      <c r="E171" s="43" t="str">
        <f t="shared" si="71"/>
        <v>►</v>
      </c>
      <c r="F171" s="43" t="str">
        <f t="shared" si="72"/>
        <v>►</v>
      </c>
      <c r="G171" s="43" t="str">
        <f t="shared" si="74"/>
        <v>►</v>
      </c>
      <c r="H171" s="1256" t="s">
        <v>1</v>
      </c>
      <c r="I171" s="5175" t="s">
        <v>1</v>
      </c>
      <c r="J171" s="5161"/>
      <c r="K171" s="5161"/>
      <c r="L171" s="5161"/>
      <c r="M171" s="5176"/>
      <c r="N171" s="5177"/>
      <c r="O171" s="147"/>
      <c r="P171" s="147"/>
      <c r="Q171" s="102"/>
      <c r="R171" s="102"/>
      <c r="S171" s="1360"/>
      <c r="T171" s="43"/>
      <c r="U171" s="42"/>
      <c r="V171" s="41"/>
      <c r="W171" s="40"/>
      <c r="X171" s="39"/>
      <c r="Y171" s="38"/>
      <c r="Z171" s="37"/>
      <c r="AA171" s="36"/>
      <c r="AB171" s="35"/>
      <c r="AC171" s="34"/>
      <c r="AD171" s="55"/>
      <c r="AE171" s="33"/>
      <c r="AF171"/>
      <c r="AG171" s="32"/>
      <c r="AH171" s="31"/>
      <c r="AI171" s="30"/>
      <c r="AJ171" s="5492">
        <f t="shared" si="77"/>
        <v>0</v>
      </c>
      <c r="AK171" s="54">
        <f t="shared" si="78"/>
        <v>0</v>
      </c>
      <c r="AL171" s="53" t="str">
        <f t="shared" si="79"/>
        <v/>
      </c>
      <c r="AM171" s="52"/>
      <c r="AN171" s="51">
        <f t="shared" si="80"/>
        <v>0</v>
      </c>
      <c r="AO171" s="50">
        <f t="shared" si="81"/>
        <v>0</v>
      </c>
      <c r="AP171" s="49">
        <f t="shared" si="82"/>
        <v>0</v>
      </c>
      <c r="AQ171" s="23"/>
      <c r="AR171" s="48">
        <f t="shared" si="83"/>
        <v>0</v>
      </c>
      <c r="AS171" s="47"/>
      <c r="AT171" s="13"/>
      <c r="AU171" s="46">
        <f t="shared" si="84"/>
        <v>0</v>
      </c>
      <c r="AV171"/>
      <c r="AZ171"/>
      <c r="BA171"/>
      <c r="BB171"/>
      <c r="BC171" s="3"/>
      <c r="BD171" s="3"/>
      <c r="BE171" s="3"/>
      <c r="BF171" s="3"/>
      <c r="BG171" s="3"/>
      <c r="BH171" s="3"/>
      <c r="BI171" s="3"/>
      <c r="BJ171" s="3"/>
      <c r="BK171"/>
      <c r="BL171" s="20" t="str">
        <f t="shared" si="75"/>
        <v>►</v>
      </c>
      <c r="BM171"/>
      <c r="BN171"/>
      <c r="BO171"/>
      <c r="BP171"/>
      <c r="BQ171"/>
      <c r="BR171"/>
      <c r="BS171"/>
      <c r="CN171" s="56" t="s">
        <v>1</v>
      </c>
      <c r="CO171" s="5">
        <v>1</v>
      </c>
    </row>
    <row r="172" spans="1:93" s="1" customFormat="1" ht="21" customHeight="1">
      <c r="A172" s="20" t="str">
        <f t="shared" si="85"/>
        <v>►</v>
      </c>
      <c r="B172" s="43" t="str">
        <f t="shared" si="66"/>
        <v>►</v>
      </c>
      <c r="C172" s="45" t="str">
        <f t="shared" si="69"/>
        <v>►</v>
      </c>
      <c r="D172" s="44" t="str">
        <f t="shared" si="70"/>
        <v>►</v>
      </c>
      <c r="E172" s="43" t="str">
        <f t="shared" si="71"/>
        <v>►</v>
      </c>
      <c r="F172" s="43" t="str">
        <f t="shared" si="72"/>
        <v>►</v>
      </c>
      <c r="G172" s="43" t="str">
        <f t="shared" si="74"/>
        <v>►</v>
      </c>
      <c r="H172" s="1256" t="s">
        <v>1</v>
      </c>
      <c r="I172" s="5175" t="s">
        <v>1</v>
      </c>
      <c r="J172" s="5161"/>
      <c r="K172" s="5161"/>
      <c r="L172" s="5161"/>
      <c r="M172" s="5176"/>
      <c r="N172" s="5177"/>
      <c r="O172" s="147"/>
      <c r="P172" s="147"/>
      <c r="Q172" s="102"/>
      <c r="R172" s="102"/>
      <c r="S172" s="1360"/>
      <c r="T172" s="43"/>
      <c r="U172" s="42"/>
      <c r="V172" s="41"/>
      <c r="W172" s="40"/>
      <c r="X172" s="39"/>
      <c r="Y172" s="38"/>
      <c r="Z172" s="37"/>
      <c r="AA172" s="36"/>
      <c r="AB172" s="35"/>
      <c r="AC172" s="34"/>
      <c r="AD172" s="55"/>
      <c r="AE172" s="33"/>
      <c r="AF172"/>
      <c r="AG172" s="32"/>
      <c r="AH172" s="31"/>
      <c r="AI172" s="30"/>
      <c r="AJ172" s="5492">
        <f t="shared" si="77"/>
        <v>0</v>
      </c>
      <c r="AK172" s="29">
        <f t="shared" si="78"/>
        <v>0</v>
      </c>
      <c r="AL172" s="28" t="str">
        <f t="shared" si="79"/>
        <v/>
      </c>
      <c r="AM172" s="27"/>
      <c r="AN172" s="26">
        <f t="shared" si="80"/>
        <v>0</v>
      </c>
      <c r="AO172" s="25">
        <f t="shared" si="81"/>
        <v>0</v>
      </c>
      <c r="AP172" s="24">
        <f t="shared" si="82"/>
        <v>0</v>
      </c>
      <c r="AQ172" s="23"/>
      <c r="AR172" s="22">
        <f t="shared" si="83"/>
        <v>0</v>
      </c>
      <c r="AS172" s="21"/>
      <c r="AT172" s="13"/>
      <c r="AU172" s="46">
        <f t="shared" si="84"/>
        <v>0</v>
      </c>
      <c r="AV172"/>
      <c r="AZ172"/>
      <c r="BA172"/>
      <c r="BB172"/>
      <c r="BC172" s="3"/>
      <c r="BD172" s="3"/>
      <c r="BE172" s="3"/>
      <c r="BF172" s="3"/>
      <c r="BG172" s="3"/>
      <c r="BH172" s="3"/>
      <c r="BI172" s="3"/>
      <c r="BJ172" s="3"/>
      <c r="BK172"/>
      <c r="BL172" s="20" t="str">
        <f t="shared" si="75"/>
        <v>►</v>
      </c>
      <c r="BM172"/>
      <c r="BN172"/>
      <c r="BO172"/>
      <c r="BP172"/>
      <c r="BQ172"/>
      <c r="BR172"/>
      <c r="BS172"/>
      <c r="CN172" s="56" t="s">
        <v>1</v>
      </c>
      <c r="CO172" s="5">
        <v>1</v>
      </c>
    </row>
    <row r="173" spans="1:93" s="1" customFormat="1" ht="21" customHeight="1">
      <c r="A173" s="20" t="str">
        <f t="shared" si="85"/>
        <v>►</v>
      </c>
      <c r="B173" s="43" t="str">
        <f t="shared" si="66"/>
        <v>►</v>
      </c>
      <c r="C173" s="45" t="str">
        <f t="shared" si="69"/>
        <v>►</v>
      </c>
      <c r="D173" s="44" t="str">
        <f t="shared" si="70"/>
        <v>►</v>
      </c>
      <c r="E173" s="43" t="str">
        <f t="shared" si="71"/>
        <v>►</v>
      </c>
      <c r="F173" s="43" t="str">
        <f t="shared" si="72"/>
        <v>►</v>
      </c>
      <c r="G173" s="43" t="str">
        <f t="shared" si="74"/>
        <v>►</v>
      </c>
      <c r="H173" s="1256" t="s">
        <v>1</v>
      </c>
      <c r="I173" s="5175" t="s">
        <v>1</v>
      </c>
      <c r="J173" s="5161"/>
      <c r="K173" s="5161"/>
      <c r="L173" s="5161"/>
      <c r="M173" s="5176"/>
      <c r="N173" s="5177"/>
      <c r="O173" s="147"/>
      <c r="P173" s="147"/>
      <c r="Q173" s="102"/>
      <c r="R173" s="102"/>
      <c r="S173" s="1360"/>
      <c r="T173" s="43"/>
      <c r="U173" s="42"/>
      <c r="V173" s="41"/>
      <c r="W173" s="40"/>
      <c r="X173" s="39"/>
      <c r="Y173" s="38"/>
      <c r="Z173" s="37"/>
      <c r="AA173" s="36"/>
      <c r="AB173" s="35"/>
      <c r="AC173" s="34"/>
      <c r="AD173" s="55"/>
      <c r="AE173" s="33"/>
      <c r="AF173"/>
      <c r="AG173" s="32"/>
      <c r="AH173" s="31"/>
      <c r="AI173" s="30"/>
      <c r="AJ173" s="5492">
        <f t="shared" si="77"/>
        <v>0</v>
      </c>
      <c r="AK173" s="54">
        <f t="shared" si="78"/>
        <v>0</v>
      </c>
      <c r="AL173" s="53" t="str">
        <f t="shared" si="79"/>
        <v/>
      </c>
      <c r="AM173" s="52"/>
      <c r="AN173" s="51">
        <f t="shared" si="80"/>
        <v>0</v>
      </c>
      <c r="AO173" s="50">
        <f t="shared" si="81"/>
        <v>0</v>
      </c>
      <c r="AP173" s="49">
        <f t="shared" si="82"/>
        <v>0</v>
      </c>
      <c r="AQ173" s="23"/>
      <c r="AR173" s="48">
        <f t="shared" si="83"/>
        <v>0</v>
      </c>
      <c r="AS173" s="47"/>
      <c r="AT173" s="13"/>
      <c r="AU173" s="46">
        <f t="shared" si="84"/>
        <v>0</v>
      </c>
      <c r="AV173"/>
      <c r="AZ173"/>
      <c r="BA173"/>
      <c r="BB173"/>
      <c r="BC173" s="3"/>
      <c r="BD173" s="3"/>
      <c r="BE173" s="3"/>
      <c r="BF173" s="3"/>
      <c r="BG173" s="3"/>
      <c r="BH173" s="3"/>
      <c r="BI173" s="3"/>
      <c r="BJ173" s="3"/>
      <c r="BK173"/>
      <c r="BL173" s="20" t="str">
        <f t="shared" si="75"/>
        <v>►</v>
      </c>
      <c r="BM173"/>
      <c r="BN173"/>
      <c r="BO173"/>
      <c r="BP173"/>
      <c r="BQ173"/>
      <c r="BR173"/>
      <c r="BS173"/>
      <c r="CN173" s="56" t="s">
        <v>1</v>
      </c>
      <c r="CO173" s="5">
        <v>1</v>
      </c>
    </row>
    <row r="174" spans="1:93" s="1" customFormat="1" ht="21" customHeight="1">
      <c r="A174" s="20" t="str">
        <f t="shared" si="85"/>
        <v>►</v>
      </c>
      <c r="B174" s="43" t="str">
        <f t="shared" si="66"/>
        <v>►</v>
      </c>
      <c r="C174" s="45" t="str">
        <f t="shared" si="69"/>
        <v>►</v>
      </c>
      <c r="D174" s="44" t="str">
        <f t="shared" si="70"/>
        <v>►</v>
      </c>
      <c r="E174" s="43" t="str">
        <f t="shared" si="71"/>
        <v>►</v>
      </c>
      <c r="F174" s="43" t="str">
        <f t="shared" si="72"/>
        <v>►</v>
      </c>
      <c r="G174" s="43" t="str">
        <f t="shared" si="74"/>
        <v>►</v>
      </c>
      <c r="H174" s="1256" t="s">
        <v>1</v>
      </c>
      <c r="I174" s="5175" t="s">
        <v>1</v>
      </c>
      <c r="J174" s="5161"/>
      <c r="K174" s="5161"/>
      <c r="L174" s="5161"/>
      <c r="M174" s="5176"/>
      <c r="N174" s="5177"/>
      <c r="O174" s="147"/>
      <c r="P174" s="147"/>
      <c r="Q174" s="102"/>
      <c r="R174" s="102"/>
      <c r="S174" s="1360"/>
      <c r="T174" s="43"/>
      <c r="U174" s="42"/>
      <c r="V174" s="41"/>
      <c r="W174" s="40"/>
      <c r="X174" s="39"/>
      <c r="Y174" s="38"/>
      <c r="Z174" s="37"/>
      <c r="AA174" s="36"/>
      <c r="AB174" s="35"/>
      <c r="AC174" s="34"/>
      <c r="AD174" s="55"/>
      <c r="AE174" s="33"/>
      <c r="AF174"/>
      <c r="AG174" s="32"/>
      <c r="AH174" s="31"/>
      <c r="AI174" s="30"/>
      <c r="AJ174" s="5492">
        <f t="shared" si="77"/>
        <v>0</v>
      </c>
      <c r="AK174" s="29">
        <f t="shared" si="78"/>
        <v>0</v>
      </c>
      <c r="AL174" s="28" t="str">
        <f t="shared" si="79"/>
        <v/>
      </c>
      <c r="AM174" s="27"/>
      <c r="AN174" s="26">
        <f t="shared" si="80"/>
        <v>0</v>
      </c>
      <c r="AO174" s="25">
        <f t="shared" si="81"/>
        <v>0</v>
      </c>
      <c r="AP174" s="24">
        <f t="shared" si="82"/>
        <v>0</v>
      </c>
      <c r="AQ174" s="23"/>
      <c r="AR174" s="22">
        <f t="shared" si="83"/>
        <v>0</v>
      </c>
      <c r="AS174" s="21"/>
      <c r="AT174" s="13"/>
      <c r="AU174" s="46">
        <f t="shared" si="84"/>
        <v>0</v>
      </c>
      <c r="AV174"/>
      <c r="AZ174"/>
      <c r="BA174"/>
      <c r="BB174"/>
      <c r="BC174" s="3"/>
      <c r="BD174" s="3"/>
      <c r="BE174" s="3"/>
      <c r="BF174" s="3"/>
      <c r="BG174" s="3"/>
      <c r="BH174" s="3"/>
      <c r="BI174" s="3"/>
      <c r="BJ174" s="3"/>
      <c r="BK174"/>
      <c r="BL174" s="20" t="str">
        <f t="shared" si="75"/>
        <v>►</v>
      </c>
      <c r="BM174"/>
      <c r="BN174"/>
      <c r="BO174"/>
      <c r="BP174"/>
      <c r="BQ174"/>
      <c r="BR174"/>
      <c r="BS174"/>
      <c r="CN174" s="56" t="s">
        <v>1</v>
      </c>
      <c r="CO174" s="5">
        <v>1</v>
      </c>
    </row>
    <row r="175" spans="1:93" s="1" customFormat="1" ht="21" customHeight="1">
      <c r="A175" s="20" t="str">
        <f t="shared" si="85"/>
        <v>►</v>
      </c>
      <c r="B175" s="43" t="str">
        <f t="shared" si="66"/>
        <v>►</v>
      </c>
      <c r="C175" s="45" t="str">
        <f t="shared" si="69"/>
        <v>►</v>
      </c>
      <c r="D175" s="44" t="str">
        <f t="shared" si="70"/>
        <v>►</v>
      </c>
      <c r="E175" s="43" t="str">
        <f t="shared" si="71"/>
        <v>►</v>
      </c>
      <c r="F175" s="43" t="str">
        <f t="shared" si="72"/>
        <v>►</v>
      </c>
      <c r="G175" s="43" t="str">
        <f t="shared" si="74"/>
        <v>►</v>
      </c>
      <c r="H175" s="1256" t="s">
        <v>1</v>
      </c>
      <c r="I175" s="5175" t="s">
        <v>1</v>
      </c>
      <c r="J175" s="5161"/>
      <c r="K175" s="5161"/>
      <c r="L175" s="5161"/>
      <c r="M175" s="5176"/>
      <c r="N175" s="5177"/>
      <c r="O175" s="147"/>
      <c r="P175" s="147"/>
      <c r="Q175" s="102"/>
      <c r="R175" s="102"/>
      <c r="S175" s="1360"/>
      <c r="T175" s="43"/>
      <c r="U175" s="42"/>
      <c r="V175" s="41"/>
      <c r="W175" s="40"/>
      <c r="X175" s="39"/>
      <c r="Y175" s="38"/>
      <c r="Z175" s="37"/>
      <c r="AA175" s="36"/>
      <c r="AB175" s="35"/>
      <c r="AC175" s="34"/>
      <c r="AD175" s="55"/>
      <c r="AE175" s="33"/>
      <c r="AF175"/>
      <c r="AG175" s="32"/>
      <c r="AH175" s="31"/>
      <c r="AI175" s="30"/>
      <c r="AJ175" s="5492">
        <f t="shared" si="77"/>
        <v>0</v>
      </c>
      <c r="AK175" s="54">
        <f t="shared" si="78"/>
        <v>0</v>
      </c>
      <c r="AL175" s="53" t="str">
        <f t="shared" si="79"/>
        <v/>
      </c>
      <c r="AM175" s="52"/>
      <c r="AN175" s="51">
        <f t="shared" si="80"/>
        <v>0</v>
      </c>
      <c r="AO175" s="50">
        <f t="shared" si="81"/>
        <v>0</v>
      </c>
      <c r="AP175" s="49">
        <f t="shared" si="82"/>
        <v>0</v>
      </c>
      <c r="AQ175" s="23"/>
      <c r="AR175" s="48">
        <f t="shared" si="83"/>
        <v>0</v>
      </c>
      <c r="AS175" s="47"/>
      <c r="AT175" s="13"/>
      <c r="AU175" s="46">
        <f t="shared" si="84"/>
        <v>0</v>
      </c>
      <c r="AV175"/>
      <c r="AZ175"/>
      <c r="BA175"/>
      <c r="BB175"/>
      <c r="BC175" s="3"/>
      <c r="BD175" s="3"/>
      <c r="BE175" s="3"/>
      <c r="BF175" s="3"/>
      <c r="BG175" s="3"/>
      <c r="BH175" s="3"/>
      <c r="BI175" s="3"/>
      <c r="BJ175" s="3"/>
      <c r="BK175"/>
      <c r="BL175" s="20" t="str">
        <f t="shared" si="75"/>
        <v>►</v>
      </c>
      <c r="BM175"/>
      <c r="BN175"/>
      <c r="BO175"/>
      <c r="BP175"/>
      <c r="BQ175"/>
      <c r="BR175"/>
      <c r="BS175"/>
      <c r="CN175" s="56" t="s">
        <v>1</v>
      </c>
      <c r="CO175" s="5">
        <v>1</v>
      </c>
    </row>
    <row r="176" spans="1:93" s="1" customFormat="1" ht="21" customHeight="1">
      <c r="A176" s="20" t="str">
        <f t="shared" si="85"/>
        <v>►</v>
      </c>
      <c r="B176" s="43" t="str">
        <f t="shared" si="66"/>
        <v>►</v>
      </c>
      <c r="C176" s="45" t="str">
        <f t="shared" si="69"/>
        <v>►</v>
      </c>
      <c r="D176" s="44" t="str">
        <f t="shared" si="70"/>
        <v>►</v>
      </c>
      <c r="E176" s="43" t="str">
        <f t="shared" si="71"/>
        <v>►</v>
      </c>
      <c r="F176" s="43" t="str">
        <f t="shared" si="72"/>
        <v>►</v>
      </c>
      <c r="G176" s="43" t="str">
        <f t="shared" si="74"/>
        <v>►</v>
      </c>
      <c r="H176" s="1256" t="s">
        <v>1</v>
      </c>
      <c r="I176" s="5175" t="s">
        <v>1</v>
      </c>
      <c r="J176" s="5161"/>
      <c r="K176" s="5161"/>
      <c r="L176" s="5161"/>
      <c r="M176" s="5176"/>
      <c r="N176" s="5177"/>
      <c r="O176" s="147"/>
      <c r="P176" s="147"/>
      <c r="Q176" s="102"/>
      <c r="R176" s="102"/>
      <c r="S176" s="1360"/>
      <c r="T176" s="43"/>
      <c r="U176" s="42"/>
      <c r="V176" s="41"/>
      <c r="W176" s="40"/>
      <c r="X176" s="39"/>
      <c r="Y176" s="38"/>
      <c r="Z176" s="37"/>
      <c r="AA176" s="36"/>
      <c r="AB176" s="35"/>
      <c r="AC176" s="34"/>
      <c r="AD176" s="55"/>
      <c r="AE176" s="33"/>
      <c r="AF176"/>
      <c r="AG176" s="32"/>
      <c r="AH176" s="31"/>
      <c r="AI176" s="30"/>
      <c r="AJ176" s="5492">
        <f t="shared" si="77"/>
        <v>0</v>
      </c>
      <c r="AK176" s="29">
        <f t="shared" si="78"/>
        <v>0</v>
      </c>
      <c r="AL176" s="28" t="str">
        <f t="shared" si="79"/>
        <v/>
      </c>
      <c r="AM176" s="27"/>
      <c r="AN176" s="26">
        <f t="shared" si="80"/>
        <v>0</v>
      </c>
      <c r="AO176" s="25">
        <f t="shared" si="81"/>
        <v>0</v>
      </c>
      <c r="AP176" s="24">
        <f t="shared" si="82"/>
        <v>0</v>
      </c>
      <c r="AQ176" s="23"/>
      <c r="AR176" s="22">
        <f t="shared" si="83"/>
        <v>0</v>
      </c>
      <c r="AS176" s="21"/>
      <c r="AT176" s="13"/>
      <c r="AU176" s="46">
        <f t="shared" si="84"/>
        <v>0</v>
      </c>
      <c r="AV176"/>
      <c r="AZ176"/>
      <c r="BA176"/>
      <c r="BB176"/>
      <c r="BC176" s="3"/>
      <c r="BD176" s="3"/>
      <c r="BE176" s="3"/>
      <c r="BF176" s="3"/>
      <c r="BG176" s="3"/>
      <c r="BH176" s="3"/>
      <c r="BI176" s="3"/>
      <c r="BJ176" s="3"/>
      <c r="BK176"/>
      <c r="BL176" s="20" t="str">
        <f t="shared" si="75"/>
        <v>►</v>
      </c>
      <c r="BM176"/>
      <c r="BN176"/>
      <c r="BO176"/>
      <c r="BP176"/>
      <c r="BQ176"/>
      <c r="BR176"/>
      <c r="BS176"/>
      <c r="CN176" s="56" t="s">
        <v>1</v>
      </c>
      <c r="CO176" s="5">
        <v>1</v>
      </c>
    </row>
    <row r="177" spans="1:93" s="1" customFormat="1" ht="21" customHeight="1">
      <c r="A177" s="20" t="str">
        <f t="shared" si="85"/>
        <v>►</v>
      </c>
      <c r="B177" s="43" t="str">
        <f t="shared" si="66"/>
        <v>►</v>
      </c>
      <c r="C177" s="45" t="str">
        <f t="shared" si="69"/>
        <v>►</v>
      </c>
      <c r="D177" s="44" t="str">
        <f t="shared" si="70"/>
        <v>►</v>
      </c>
      <c r="E177" s="43" t="str">
        <f t="shared" si="71"/>
        <v>►</v>
      </c>
      <c r="F177" s="43" t="str">
        <f t="shared" si="72"/>
        <v>►</v>
      </c>
      <c r="G177" s="43" t="str">
        <f t="shared" si="74"/>
        <v>►</v>
      </c>
      <c r="H177" s="1256" t="s">
        <v>1</v>
      </c>
      <c r="I177" s="5175" t="s">
        <v>1</v>
      </c>
      <c r="J177" s="5161"/>
      <c r="K177" s="5161"/>
      <c r="L177" s="5161"/>
      <c r="M177" s="5176"/>
      <c r="N177" s="5177"/>
      <c r="O177" s="147"/>
      <c r="P177" s="147"/>
      <c r="Q177" s="102"/>
      <c r="R177" s="102"/>
      <c r="S177" s="1360"/>
      <c r="T177" s="43"/>
      <c r="U177" s="42"/>
      <c r="V177" s="41"/>
      <c r="W177" s="40"/>
      <c r="X177" s="39"/>
      <c r="Y177" s="38"/>
      <c r="Z177" s="37"/>
      <c r="AA177" s="36"/>
      <c r="AB177" s="35"/>
      <c r="AC177" s="34"/>
      <c r="AD177" s="55"/>
      <c r="AE177" s="33"/>
      <c r="AF177"/>
      <c r="AG177" s="32"/>
      <c r="AH177" s="31"/>
      <c r="AI177" s="30"/>
      <c r="AJ177" s="5492">
        <f t="shared" si="77"/>
        <v>0</v>
      </c>
      <c r="AK177" s="54">
        <f t="shared" si="78"/>
        <v>0</v>
      </c>
      <c r="AL177" s="53" t="str">
        <f t="shared" si="79"/>
        <v/>
      </c>
      <c r="AM177" s="52"/>
      <c r="AN177" s="51">
        <f t="shared" si="80"/>
        <v>0</v>
      </c>
      <c r="AO177" s="50">
        <f t="shared" si="81"/>
        <v>0</v>
      </c>
      <c r="AP177" s="49">
        <f t="shared" si="82"/>
        <v>0</v>
      </c>
      <c r="AQ177" s="23"/>
      <c r="AR177" s="48">
        <f t="shared" si="83"/>
        <v>0</v>
      </c>
      <c r="AS177" s="47"/>
      <c r="AT177" s="13"/>
      <c r="AU177" s="46">
        <f t="shared" si="84"/>
        <v>0</v>
      </c>
      <c r="AV177"/>
      <c r="AZ177"/>
      <c r="BA177"/>
      <c r="BB177"/>
      <c r="BC177" s="3"/>
      <c r="BD177" s="3"/>
      <c r="BE177" s="3"/>
      <c r="BF177" s="3"/>
      <c r="BG177" s="3"/>
      <c r="BH177" s="3"/>
      <c r="BI177" s="3"/>
      <c r="BJ177" s="3"/>
      <c r="BK177"/>
      <c r="BL177" s="20" t="str">
        <f t="shared" si="75"/>
        <v>►</v>
      </c>
      <c r="BM177"/>
      <c r="BN177"/>
      <c r="BO177"/>
      <c r="BP177"/>
      <c r="BQ177"/>
      <c r="BR177"/>
      <c r="BS177"/>
      <c r="CN177" s="56" t="s">
        <v>1</v>
      </c>
      <c r="CO177" s="5">
        <v>1</v>
      </c>
    </row>
    <row r="178" spans="1:93" s="1" customFormat="1" ht="21" customHeight="1">
      <c r="A178" s="20" t="str">
        <f t="shared" si="85"/>
        <v>►</v>
      </c>
      <c r="B178" s="43" t="str">
        <f t="shared" si="66"/>
        <v>►</v>
      </c>
      <c r="C178" s="45" t="str">
        <f t="shared" si="69"/>
        <v>►</v>
      </c>
      <c r="D178" s="44" t="str">
        <f t="shared" si="70"/>
        <v>►</v>
      </c>
      <c r="E178" s="43" t="str">
        <f t="shared" si="71"/>
        <v>►</v>
      </c>
      <c r="F178" s="43" t="str">
        <f t="shared" si="72"/>
        <v>►</v>
      </c>
      <c r="G178" s="43" t="str">
        <f t="shared" si="74"/>
        <v>►</v>
      </c>
      <c r="H178" s="1256" t="s">
        <v>1</v>
      </c>
      <c r="I178" s="5175" t="s">
        <v>1</v>
      </c>
      <c r="J178" s="5161"/>
      <c r="K178" s="5161"/>
      <c r="L178" s="5161"/>
      <c r="M178" s="5176"/>
      <c r="N178" s="5177"/>
      <c r="O178" s="147"/>
      <c r="P178" s="147"/>
      <c r="Q178" s="102"/>
      <c r="R178" s="102"/>
      <c r="S178" s="1360"/>
      <c r="T178" s="43"/>
      <c r="U178" s="42"/>
      <c r="V178" s="41"/>
      <c r="W178" s="40"/>
      <c r="X178" s="39"/>
      <c r="Y178" s="38"/>
      <c r="Z178" s="37"/>
      <c r="AA178" s="36"/>
      <c r="AB178" s="35"/>
      <c r="AC178" s="34"/>
      <c r="AD178" s="55"/>
      <c r="AE178" s="33"/>
      <c r="AF178"/>
      <c r="AG178" s="32"/>
      <c r="AH178" s="31"/>
      <c r="AI178" s="30"/>
      <c r="AJ178" s="5492">
        <f t="shared" si="77"/>
        <v>0</v>
      </c>
      <c r="AK178" s="29">
        <f t="shared" si="78"/>
        <v>0</v>
      </c>
      <c r="AL178" s="28" t="str">
        <f t="shared" si="79"/>
        <v/>
      </c>
      <c r="AM178" s="27"/>
      <c r="AN178" s="26">
        <f t="shared" si="80"/>
        <v>0</v>
      </c>
      <c r="AO178" s="25">
        <f t="shared" si="81"/>
        <v>0</v>
      </c>
      <c r="AP178" s="24">
        <f t="shared" si="82"/>
        <v>0</v>
      </c>
      <c r="AQ178" s="23"/>
      <c r="AR178" s="22">
        <f t="shared" si="83"/>
        <v>0</v>
      </c>
      <c r="AS178" s="21"/>
      <c r="AT178" s="13"/>
      <c r="AU178" s="46">
        <f t="shared" si="84"/>
        <v>0</v>
      </c>
      <c r="AV178"/>
      <c r="AZ178"/>
      <c r="BA178"/>
      <c r="BB178"/>
      <c r="BC178" s="3"/>
      <c r="BD178" s="3"/>
      <c r="BE178" s="3"/>
      <c r="BF178" s="3"/>
      <c r="BG178" s="3"/>
      <c r="BH178" s="3"/>
      <c r="BI178" s="3"/>
      <c r="BJ178" s="3"/>
      <c r="BK178"/>
      <c r="BL178" s="20" t="str">
        <f t="shared" si="75"/>
        <v>►</v>
      </c>
      <c r="BM178"/>
      <c r="BN178"/>
      <c r="BO178"/>
      <c r="BP178"/>
      <c r="BQ178"/>
      <c r="BR178"/>
      <c r="BS178"/>
      <c r="CN178" s="56" t="s">
        <v>1</v>
      </c>
      <c r="CO178" s="5">
        <v>1</v>
      </c>
    </row>
    <row r="179" spans="1:93" s="1" customFormat="1" ht="21" customHeight="1">
      <c r="A179" s="20" t="str">
        <f t="shared" si="85"/>
        <v>►</v>
      </c>
      <c r="B179" s="43" t="str">
        <f t="shared" ref="B179:B242" si="86">IF(A179="►","►",IF(A179="A",IF(AND(ISTEXT(V179),ISTEXT(J179)),V179,IF(ISTEXT(V179),V179,IF(ISBLANK(V179),J179,V179)))))</f>
        <v>►</v>
      </c>
      <c r="C179" s="45" t="str">
        <f t="shared" si="69"/>
        <v>►</v>
      </c>
      <c r="D179" s="44" t="str">
        <f t="shared" si="70"/>
        <v>►</v>
      </c>
      <c r="E179" s="43" t="str">
        <f t="shared" si="71"/>
        <v>►</v>
      </c>
      <c r="F179" s="43" t="str">
        <f t="shared" si="72"/>
        <v>►</v>
      </c>
      <c r="G179" s="43" t="str">
        <f t="shared" si="74"/>
        <v>►</v>
      </c>
      <c r="H179" s="1256" t="s">
        <v>1</v>
      </c>
      <c r="I179" s="5175" t="s">
        <v>1</v>
      </c>
      <c r="J179" s="5161"/>
      <c r="K179" s="5161"/>
      <c r="L179" s="5161"/>
      <c r="M179" s="5176"/>
      <c r="N179" s="5177"/>
      <c r="O179" s="147"/>
      <c r="P179" s="147"/>
      <c r="Q179" s="102"/>
      <c r="R179" s="102"/>
      <c r="S179" s="1360"/>
      <c r="T179" s="43"/>
      <c r="U179" s="42"/>
      <c r="V179" s="41"/>
      <c r="W179" s="40"/>
      <c r="X179" s="39"/>
      <c r="Y179" s="38"/>
      <c r="Z179" s="37"/>
      <c r="AA179" s="36"/>
      <c r="AB179" s="35"/>
      <c r="AC179" s="34"/>
      <c r="AD179" s="55"/>
      <c r="AE179" s="33"/>
      <c r="AF179"/>
      <c r="AG179" s="32"/>
      <c r="AH179" s="31"/>
      <c r="AI179" s="30"/>
      <c r="AJ179" s="5492">
        <f t="shared" si="77"/>
        <v>0</v>
      </c>
      <c r="AK179" s="54">
        <f t="shared" si="78"/>
        <v>0</v>
      </c>
      <c r="AL179" s="53" t="str">
        <f t="shared" si="79"/>
        <v/>
      </c>
      <c r="AM179" s="52"/>
      <c r="AN179" s="51">
        <f t="shared" si="80"/>
        <v>0</v>
      </c>
      <c r="AO179" s="50">
        <f t="shared" si="81"/>
        <v>0</v>
      </c>
      <c r="AP179" s="49">
        <f t="shared" si="82"/>
        <v>0</v>
      </c>
      <c r="AQ179" s="23"/>
      <c r="AR179" s="48">
        <f t="shared" si="83"/>
        <v>0</v>
      </c>
      <c r="AS179" s="47"/>
      <c r="AT179" s="13"/>
      <c r="AU179" s="46">
        <f t="shared" si="84"/>
        <v>0</v>
      </c>
      <c r="AV179"/>
      <c r="AZ179"/>
      <c r="BA179"/>
      <c r="BB179"/>
      <c r="BC179" s="3"/>
      <c r="BD179" s="3"/>
      <c r="BE179" s="3"/>
      <c r="BF179" s="3"/>
      <c r="BG179" s="3"/>
      <c r="BH179" s="3"/>
      <c r="BI179" s="3"/>
      <c r="BJ179" s="3"/>
      <c r="BK179"/>
      <c r="BL179" s="20" t="str">
        <f t="shared" si="75"/>
        <v>►</v>
      </c>
      <c r="BM179"/>
      <c r="BN179"/>
      <c r="BO179"/>
      <c r="BP179"/>
      <c r="BQ179"/>
      <c r="BR179"/>
      <c r="BS179"/>
      <c r="CN179" s="56" t="s">
        <v>1</v>
      </c>
      <c r="CO179" s="5">
        <v>1</v>
      </c>
    </row>
    <row r="180" spans="1:93" s="1" customFormat="1" ht="21" customHeight="1">
      <c r="A180" s="20" t="str">
        <f t="shared" si="85"/>
        <v>►</v>
      </c>
      <c r="B180" s="43" t="str">
        <f t="shared" si="86"/>
        <v>►</v>
      </c>
      <c r="C180" s="45" t="str">
        <f t="shared" si="69"/>
        <v>►</v>
      </c>
      <c r="D180" s="44" t="str">
        <f t="shared" si="70"/>
        <v>►</v>
      </c>
      <c r="E180" s="43" t="str">
        <f t="shared" si="71"/>
        <v>►</v>
      </c>
      <c r="F180" s="43" t="str">
        <f t="shared" si="72"/>
        <v>►</v>
      </c>
      <c r="G180" s="43" t="str">
        <f t="shared" si="74"/>
        <v>►</v>
      </c>
      <c r="H180" s="1256" t="s">
        <v>1</v>
      </c>
      <c r="I180" s="5175" t="s">
        <v>1</v>
      </c>
      <c r="J180" s="5161"/>
      <c r="K180" s="5161"/>
      <c r="L180" s="5161"/>
      <c r="M180" s="5176"/>
      <c r="N180" s="5177"/>
      <c r="O180" s="147"/>
      <c r="P180" s="147"/>
      <c r="Q180" s="102"/>
      <c r="R180" s="102"/>
      <c r="S180" s="1360"/>
      <c r="T180" s="43"/>
      <c r="U180" s="42"/>
      <c r="V180" s="41"/>
      <c r="W180" s="40"/>
      <c r="X180" s="39"/>
      <c r="Y180" s="38"/>
      <c r="Z180" s="37"/>
      <c r="AA180" s="36"/>
      <c r="AB180" s="35"/>
      <c r="AC180" s="34"/>
      <c r="AD180" s="55"/>
      <c r="AE180" s="33"/>
      <c r="AF180"/>
      <c r="AG180" s="32"/>
      <c r="AH180" s="31"/>
      <c r="AI180" s="30"/>
      <c r="AJ180" s="5492">
        <f t="shared" si="77"/>
        <v>0</v>
      </c>
      <c r="AK180" s="29">
        <f t="shared" si="78"/>
        <v>0</v>
      </c>
      <c r="AL180" s="28" t="str">
        <f t="shared" si="79"/>
        <v/>
      </c>
      <c r="AM180" s="27"/>
      <c r="AN180" s="26">
        <f t="shared" si="80"/>
        <v>0</v>
      </c>
      <c r="AO180" s="25">
        <f t="shared" si="81"/>
        <v>0</v>
      </c>
      <c r="AP180" s="24">
        <f t="shared" si="82"/>
        <v>0</v>
      </c>
      <c r="AQ180" s="23"/>
      <c r="AR180" s="22">
        <f t="shared" si="83"/>
        <v>0</v>
      </c>
      <c r="AS180" s="21"/>
      <c r="AT180" s="13"/>
      <c r="AU180" s="46">
        <f t="shared" si="84"/>
        <v>0</v>
      </c>
      <c r="AV180"/>
      <c r="AZ180"/>
      <c r="BA180"/>
      <c r="BB180"/>
      <c r="BC180" s="3"/>
      <c r="BD180" s="3"/>
      <c r="BE180" s="3"/>
      <c r="BF180" s="3"/>
      <c r="BG180" s="3"/>
      <c r="BH180" s="3"/>
      <c r="BI180" s="3"/>
      <c r="BJ180" s="3"/>
      <c r="BK180"/>
      <c r="BL180" s="20" t="str">
        <f t="shared" si="75"/>
        <v>►</v>
      </c>
      <c r="BM180"/>
      <c r="BN180"/>
      <c r="BO180"/>
      <c r="BP180"/>
      <c r="BQ180"/>
      <c r="BR180"/>
      <c r="BS180"/>
      <c r="CN180" s="56" t="s">
        <v>1</v>
      </c>
      <c r="CO180" s="5">
        <v>1</v>
      </c>
    </row>
    <row r="181" spans="1:93" s="1" customFormat="1" ht="21" customHeight="1">
      <c r="A181" s="20" t="str">
        <f t="shared" si="85"/>
        <v>►</v>
      </c>
      <c r="B181" s="43" t="str">
        <f t="shared" si="86"/>
        <v>►</v>
      </c>
      <c r="C181" s="45" t="str">
        <f t="shared" si="69"/>
        <v>►</v>
      </c>
      <c r="D181" s="44" t="str">
        <f t="shared" si="70"/>
        <v>►</v>
      </c>
      <c r="E181" s="43" t="str">
        <f t="shared" si="71"/>
        <v>►</v>
      </c>
      <c r="F181" s="43" t="str">
        <f t="shared" si="72"/>
        <v>►</v>
      </c>
      <c r="G181" s="43" t="str">
        <f t="shared" si="74"/>
        <v>►</v>
      </c>
      <c r="H181" s="1256" t="s">
        <v>1</v>
      </c>
      <c r="I181" s="5175" t="s">
        <v>1</v>
      </c>
      <c r="J181" s="5161"/>
      <c r="K181" s="5161"/>
      <c r="L181" s="5161"/>
      <c r="M181" s="5176"/>
      <c r="N181" s="5177"/>
      <c r="O181" s="147"/>
      <c r="P181" s="147"/>
      <c r="Q181" s="102"/>
      <c r="R181" s="102"/>
      <c r="S181" s="1360"/>
      <c r="T181" s="43"/>
      <c r="U181" s="42"/>
      <c r="V181" s="41"/>
      <c r="W181" s="40"/>
      <c r="X181" s="39"/>
      <c r="Y181" s="38"/>
      <c r="Z181" s="37"/>
      <c r="AA181" s="36"/>
      <c r="AB181" s="35"/>
      <c r="AC181" s="34"/>
      <c r="AD181" s="55"/>
      <c r="AE181" s="33"/>
      <c r="AF181"/>
      <c r="AG181" s="32"/>
      <c r="AH181" s="31"/>
      <c r="AI181" s="30"/>
      <c r="AJ181" s="5492">
        <f t="shared" si="77"/>
        <v>0</v>
      </c>
      <c r="AK181" s="54">
        <f t="shared" si="78"/>
        <v>0</v>
      </c>
      <c r="AL181" s="53" t="str">
        <f t="shared" si="79"/>
        <v/>
      </c>
      <c r="AM181" s="52"/>
      <c r="AN181" s="51">
        <f t="shared" si="80"/>
        <v>0</v>
      </c>
      <c r="AO181" s="50">
        <f t="shared" si="81"/>
        <v>0</v>
      </c>
      <c r="AP181" s="49">
        <f t="shared" si="82"/>
        <v>0</v>
      </c>
      <c r="AQ181" s="23"/>
      <c r="AR181" s="48">
        <f t="shared" si="83"/>
        <v>0</v>
      </c>
      <c r="AS181" s="47"/>
      <c r="AT181" s="13"/>
      <c r="AU181" s="46">
        <f t="shared" si="84"/>
        <v>0</v>
      </c>
      <c r="AV181"/>
      <c r="AZ181"/>
      <c r="BA181"/>
      <c r="BB181"/>
      <c r="BC181" s="3"/>
      <c r="BD181" s="3"/>
      <c r="BE181" s="3"/>
      <c r="BF181" s="3"/>
      <c r="BG181" s="3"/>
      <c r="BH181" s="3"/>
      <c r="BI181" s="3"/>
      <c r="BJ181" s="3"/>
      <c r="BK181"/>
      <c r="BL181" s="20" t="str">
        <f t="shared" si="75"/>
        <v>►</v>
      </c>
      <c r="BM181"/>
      <c r="BN181"/>
      <c r="BO181"/>
      <c r="BP181"/>
      <c r="BQ181"/>
      <c r="BR181"/>
      <c r="BS181"/>
      <c r="CN181" s="56" t="s">
        <v>1</v>
      </c>
      <c r="CO181" s="5">
        <v>1</v>
      </c>
    </row>
    <row r="182" spans="1:93" s="1" customFormat="1" ht="21" customHeight="1">
      <c r="A182" s="20" t="str">
        <f t="shared" si="85"/>
        <v>►</v>
      </c>
      <c r="B182" s="43" t="str">
        <f t="shared" si="86"/>
        <v>►</v>
      </c>
      <c r="C182" s="45" t="str">
        <f t="shared" si="69"/>
        <v>►</v>
      </c>
      <c r="D182" s="44" t="str">
        <f t="shared" si="70"/>
        <v>►</v>
      </c>
      <c r="E182" s="43" t="str">
        <f t="shared" si="71"/>
        <v>►</v>
      </c>
      <c r="F182" s="43" t="str">
        <f t="shared" si="72"/>
        <v>►</v>
      </c>
      <c r="G182" s="43" t="str">
        <f t="shared" si="74"/>
        <v>►</v>
      </c>
      <c r="H182" s="1256" t="s">
        <v>1</v>
      </c>
      <c r="I182" s="5175" t="s">
        <v>1</v>
      </c>
      <c r="J182" s="5161"/>
      <c r="K182" s="5161"/>
      <c r="L182" s="5161"/>
      <c r="M182" s="5176"/>
      <c r="N182" s="5177"/>
      <c r="O182" s="147"/>
      <c r="P182" s="147"/>
      <c r="Q182" s="102"/>
      <c r="R182" s="102"/>
      <c r="S182" s="1360"/>
      <c r="T182" s="43"/>
      <c r="U182" s="42"/>
      <c r="V182" s="41"/>
      <c r="W182" s="40"/>
      <c r="X182" s="39"/>
      <c r="Y182" s="38"/>
      <c r="Z182" s="37"/>
      <c r="AA182" s="36"/>
      <c r="AB182" s="35"/>
      <c r="AC182" s="34"/>
      <c r="AD182" s="55"/>
      <c r="AE182" s="33"/>
      <c r="AF182"/>
      <c r="AG182" s="32"/>
      <c r="AH182" s="31"/>
      <c r="AI182" s="30"/>
      <c r="AJ182" s="5492">
        <f t="shared" si="77"/>
        <v>0</v>
      </c>
      <c r="AK182" s="29">
        <f t="shared" si="78"/>
        <v>0</v>
      </c>
      <c r="AL182" s="28" t="str">
        <f t="shared" si="79"/>
        <v/>
      </c>
      <c r="AM182" s="27"/>
      <c r="AN182" s="26">
        <f t="shared" si="80"/>
        <v>0</v>
      </c>
      <c r="AO182" s="25">
        <f t="shared" si="81"/>
        <v>0</v>
      </c>
      <c r="AP182" s="24">
        <f t="shared" si="82"/>
        <v>0</v>
      </c>
      <c r="AQ182" s="23"/>
      <c r="AR182" s="22">
        <f t="shared" si="83"/>
        <v>0</v>
      </c>
      <c r="AS182" s="21"/>
      <c r="AT182" s="13"/>
      <c r="AU182" s="46">
        <f t="shared" si="84"/>
        <v>0</v>
      </c>
      <c r="AV182"/>
      <c r="AZ182"/>
      <c r="BA182"/>
      <c r="BB182"/>
      <c r="BC182" s="3"/>
      <c r="BD182" s="3"/>
      <c r="BE182" s="3"/>
      <c r="BF182" s="3"/>
      <c r="BG182" s="3"/>
      <c r="BH182" s="3"/>
      <c r="BI182" s="3"/>
      <c r="BJ182" s="3"/>
      <c r="BK182"/>
      <c r="BL182" s="20" t="str">
        <f t="shared" si="75"/>
        <v>►</v>
      </c>
      <c r="BM182"/>
      <c r="BN182"/>
      <c r="BO182"/>
      <c r="BP182"/>
      <c r="BQ182"/>
      <c r="BR182"/>
      <c r="BS182"/>
      <c r="CN182" s="56" t="s">
        <v>1</v>
      </c>
      <c r="CO182" s="5">
        <v>1</v>
      </c>
    </row>
    <row r="183" spans="1:93" s="1" customFormat="1" ht="21" customHeight="1">
      <c r="A183" s="20" t="str">
        <f t="shared" si="85"/>
        <v>►</v>
      </c>
      <c r="B183" s="43" t="str">
        <f t="shared" si="86"/>
        <v>►</v>
      </c>
      <c r="C183" s="45" t="str">
        <f t="shared" si="69"/>
        <v>►</v>
      </c>
      <c r="D183" s="44" t="str">
        <f t="shared" si="70"/>
        <v>►</v>
      </c>
      <c r="E183" s="43" t="str">
        <f t="shared" si="71"/>
        <v>►</v>
      </c>
      <c r="F183" s="43" t="str">
        <f t="shared" si="72"/>
        <v>►</v>
      </c>
      <c r="G183" s="43" t="str">
        <f t="shared" si="74"/>
        <v>►</v>
      </c>
      <c r="H183" s="1256" t="s">
        <v>1</v>
      </c>
      <c r="I183" s="5175" t="s">
        <v>1</v>
      </c>
      <c r="J183" s="5161"/>
      <c r="K183" s="5161"/>
      <c r="L183" s="5161"/>
      <c r="M183" s="5176"/>
      <c r="N183" s="5177"/>
      <c r="O183" s="147"/>
      <c r="P183" s="147"/>
      <c r="Q183" s="102"/>
      <c r="R183" s="102"/>
      <c r="S183" s="1360"/>
      <c r="T183" s="43"/>
      <c r="U183" s="42"/>
      <c r="V183" s="41"/>
      <c r="W183" s="40"/>
      <c r="X183" s="39"/>
      <c r="Y183" s="38"/>
      <c r="Z183" s="37"/>
      <c r="AA183" s="36"/>
      <c r="AB183" s="35"/>
      <c r="AC183" s="34"/>
      <c r="AD183" s="55"/>
      <c r="AE183" s="33"/>
      <c r="AF183"/>
      <c r="AG183" s="32"/>
      <c r="AH183" s="31"/>
      <c r="AI183" s="30"/>
      <c r="AJ183" s="5492">
        <f t="shared" si="77"/>
        <v>0</v>
      </c>
      <c r="AK183" s="54">
        <f t="shared" si="78"/>
        <v>0</v>
      </c>
      <c r="AL183" s="53" t="str">
        <f t="shared" si="79"/>
        <v/>
      </c>
      <c r="AM183" s="52"/>
      <c r="AN183" s="51">
        <f t="shared" si="80"/>
        <v>0</v>
      </c>
      <c r="AO183" s="50">
        <f t="shared" si="81"/>
        <v>0</v>
      </c>
      <c r="AP183" s="49">
        <f t="shared" si="82"/>
        <v>0</v>
      </c>
      <c r="AQ183" s="23"/>
      <c r="AR183" s="48">
        <f t="shared" si="83"/>
        <v>0</v>
      </c>
      <c r="AS183" s="47"/>
      <c r="AT183" s="13"/>
      <c r="AU183" s="46">
        <f t="shared" si="84"/>
        <v>0</v>
      </c>
      <c r="AV183"/>
      <c r="AZ183"/>
      <c r="BA183"/>
      <c r="BB183"/>
      <c r="BC183" s="3"/>
      <c r="BD183" s="3"/>
      <c r="BE183" s="3"/>
      <c r="BF183" s="3"/>
      <c r="BG183" s="3"/>
      <c r="BH183" s="3"/>
      <c r="BI183" s="3"/>
      <c r="BJ183" s="3"/>
      <c r="BK183"/>
      <c r="BL183" s="20" t="str">
        <f t="shared" si="75"/>
        <v>►</v>
      </c>
      <c r="BM183"/>
      <c r="BN183"/>
      <c r="BO183"/>
      <c r="BP183"/>
      <c r="BQ183"/>
      <c r="BR183"/>
      <c r="BS183"/>
      <c r="CN183" s="56" t="s">
        <v>1</v>
      </c>
      <c r="CO183" s="5">
        <v>1</v>
      </c>
    </row>
    <row r="184" spans="1:93" s="1" customFormat="1" ht="21" customHeight="1">
      <c r="A184" s="20" t="str">
        <f t="shared" si="85"/>
        <v>►</v>
      </c>
      <c r="B184" s="43" t="str">
        <f t="shared" si="86"/>
        <v>►</v>
      </c>
      <c r="C184" s="45" t="str">
        <f t="shared" si="69"/>
        <v>►</v>
      </c>
      <c r="D184" s="44" t="str">
        <f t="shared" si="70"/>
        <v>►</v>
      </c>
      <c r="E184" s="43" t="str">
        <f t="shared" si="71"/>
        <v>►</v>
      </c>
      <c r="F184" s="43" t="str">
        <f t="shared" si="72"/>
        <v>►</v>
      </c>
      <c r="G184" s="43" t="str">
        <f t="shared" si="74"/>
        <v>►</v>
      </c>
      <c r="H184" s="1256" t="s">
        <v>1</v>
      </c>
      <c r="I184" s="5175" t="s">
        <v>1</v>
      </c>
      <c r="J184" s="5161"/>
      <c r="K184" s="5161"/>
      <c r="L184" s="5161"/>
      <c r="M184" s="5176"/>
      <c r="N184" s="5177"/>
      <c r="O184" s="147"/>
      <c r="P184" s="147"/>
      <c r="Q184" s="102"/>
      <c r="R184" s="102"/>
      <c r="S184" s="1360"/>
      <c r="T184" s="43"/>
      <c r="U184" s="42"/>
      <c r="V184" s="41"/>
      <c r="W184" s="40"/>
      <c r="X184" s="39"/>
      <c r="Y184" s="38"/>
      <c r="Z184" s="37"/>
      <c r="AA184" s="36"/>
      <c r="AB184" s="35"/>
      <c r="AC184" s="34"/>
      <c r="AD184" s="55"/>
      <c r="AE184" s="33"/>
      <c r="AF184"/>
      <c r="AG184" s="32"/>
      <c r="AH184" s="31"/>
      <c r="AI184" s="30"/>
      <c r="AJ184" s="5492">
        <f t="shared" si="77"/>
        <v>0</v>
      </c>
      <c r="AK184" s="29">
        <f t="shared" si="78"/>
        <v>0</v>
      </c>
      <c r="AL184" s="28" t="str">
        <f t="shared" si="79"/>
        <v/>
      </c>
      <c r="AM184" s="27"/>
      <c r="AN184" s="26">
        <f t="shared" si="80"/>
        <v>0</v>
      </c>
      <c r="AO184" s="25">
        <f t="shared" si="81"/>
        <v>0</v>
      </c>
      <c r="AP184" s="24">
        <f t="shared" si="82"/>
        <v>0</v>
      </c>
      <c r="AQ184" s="23"/>
      <c r="AR184" s="22">
        <f t="shared" si="83"/>
        <v>0</v>
      </c>
      <c r="AS184" s="21"/>
      <c r="AT184" s="13"/>
      <c r="AU184" s="46">
        <f t="shared" si="84"/>
        <v>0</v>
      </c>
      <c r="AV184"/>
      <c r="AZ184"/>
      <c r="BA184"/>
      <c r="BB184"/>
      <c r="BC184" s="3"/>
      <c r="BD184" s="3"/>
      <c r="BE184" s="3"/>
      <c r="BF184" s="3"/>
      <c r="BG184" s="3"/>
      <c r="BH184" s="3"/>
      <c r="BI184" s="3"/>
      <c r="BJ184" s="3"/>
      <c r="BK184"/>
      <c r="BL184" s="20" t="str">
        <f t="shared" si="75"/>
        <v>►</v>
      </c>
      <c r="BM184"/>
      <c r="BN184"/>
      <c r="BO184"/>
      <c r="BP184"/>
      <c r="BQ184"/>
      <c r="BR184"/>
      <c r="BS184"/>
      <c r="CN184" s="56" t="s">
        <v>1</v>
      </c>
      <c r="CO184" s="5">
        <v>1</v>
      </c>
    </row>
    <row r="185" spans="1:93" s="1" customFormat="1" ht="21" customHeight="1">
      <c r="A185" s="20" t="str">
        <f t="shared" si="85"/>
        <v>►</v>
      </c>
      <c r="B185" s="43" t="str">
        <f t="shared" si="86"/>
        <v>►</v>
      </c>
      <c r="C185" s="45" t="str">
        <f t="shared" si="69"/>
        <v>►</v>
      </c>
      <c r="D185" s="44" t="str">
        <f t="shared" si="70"/>
        <v>►</v>
      </c>
      <c r="E185" s="43" t="str">
        <f t="shared" si="71"/>
        <v>►</v>
      </c>
      <c r="F185" s="43" t="str">
        <f t="shared" si="72"/>
        <v>►</v>
      </c>
      <c r="G185" s="43" t="str">
        <f t="shared" si="74"/>
        <v>►</v>
      </c>
      <c r="H185" s="1256" t="s">
        <v>1</v>
      </c>
      <c r="I185" s="5175" t="s">
        <v>1</v>
      </c>
      <c r="J185" s="5161"/>
      <c r="K185" s="5161"/>
      <c r="L185" s="5161"/>
      <c r="M185" s="5176"/>
      <c r="N185" s="5177"/>
      <c r="O185" s="147"/>
      <c r="P185" s="147"/>
      <c r="Q185" s="102"/>
      <c r="R185" s="102"/>
      <c r="S185" s="1360"/>
      <c r="T185" s="43"/>
      <c r="U185" s="42"/>
      <c r="V185" s="41"/>
      <c r="W185" s="40"/>
      <c r="X185" s="39"/>
      <c r="Y185" s="38"/>
      <c r="Z185" s="37"/>
      <c r="AA185" s="36"/>
      <c r="AB185" s="35"/>
      <c r="AC185" s="34"/>
      <c r="AD185" s="55"/>
      <c r="AE185" s="33"/>
      <c r="AF185"/>
      <c r="AG185" s="32"/>
      <c r="AH185" s="31"/>
      <c r="AI185" s="30"/>
      <c r="AJ185" s="5492">
        <f t="shared" si="77"/>
        <v>0</v>
      </c>
      <c r="AK185" s="54">
        <f t="shared" si="78"/>
        <v>0</v>
      </c>
      <c r="AL185" s="53" t="str">
        <f t="shared" si="79"/>
        <v/>
      </c>
      <c r="AM185" s="52"/>
      <c r="AN185" s="51">
        <f t="shared" si="80"/>
        <v>0</v>
      </c>
      <c r="AO185" s="50">
        <f t="shared" si="81"/>
        <v>0</v>
      </c>
      <c r="AP185" s="49">
        <f t="shared" si="82"/>
        <v>0</v>
      </c>
      <c r="AQ185" s="23"/>
      <c r="AR185" s="48">
        <f t="shared" si="83"/>
        <v>0</v>
      </c>
      <c r="AS185" s="47"/>
      <c r="AT185" s="13"/>
      <c r="AU185" s="46">
        <f t="shared" si="84"/>
        <v>0</v>
      </c>
      <c r="AV185"/>
      <c r="AZ185"/>
      <c r="BA185"/>
      <c r="BB185"/>
      <c r="BC185" s="3"/>
      <c r="BD185" s="3"/>
      <c r="BE185" s="3"/>
      <c r="BF185" s="3"/>
      <c r="BG185" s="3"/>
      <c r="BH185" s="3"/>
      <c r="BI185" s="3"/>
      <c r="BJ185" s="3"/>
      <c r="BK185"/>
      <c r="BL185" s="20" t="str">
        <f t="shared" si="75"/>
        <v>►</v>
      </c>
      <c r="BM185"/>
      <c r="BN185"/>
      <c r="BO185"/>
      <c r="BP185"/>
      <c r="BQ185"/>
      <c r="BR185"/>
      <c r="BS185"/>
      <c r="CN185" s="56" t="s">
        <v>1</v>
      </c>
      <c r="CO185" s="5">
        <v>1</v>
      </c>
    </row>
    <row r="186" spans="1:93" s="1" customFormat="1" ht="21" customHeight="1">
      <c r="A186" s="20" t="str">
        <f t="shared" si="85"/>
        <v>►</v>
      </c>
      <c r="B186" s="43" t="str">
        <f t="shared" si="86"/>
        <v>►</v>
      </c>
      <c r="C186" s="45" t="str">
        <f t="shared" si="69"/>
        <v>►</v>
      </c>
      <c r="D186" s="44" t="str">
        <f t="shared" si="70"/>
        <v>►</v>
      </c>
      <c r="E186" s="43" t="str">
        <f t="shared" si="71"/>
        <v>►</v>
      </c>
      <c r="F186" s="43" t="str">
        <f t="shared" si="72"/>
        <v>►</v>
      </c>
      <c r="G186" s="43" t="str">
        <f t="shared" si="74"/>
        <v>►</v>
      </c>
      <c r="H186" s="1256" t="s">
        <v>1</v>
      </c>
      <c r="I186" s="5175" t="s">
        <v>1</v>
      </c>
      <c r="J186" s="5161"/>
      <c r="K186" s="5161"/>
      <c r="L186" s="5161"/>
      <c r="M186" s="5176"/>
      <c r="N186" s="5177"/>
      <c r="O186" s="147"/>
      <c r="P186" s="147"/>
      <c r="Q186" s="102"/>
      <c r="R186" s="102"/>
      <c r="S186" s="1360"/>
      <c r="T186" s="43"/>
      <c r="U186" s="42"/>
      <c r="V186" s="41"/>
      <c r="W186" s="40"/>
      <c r="X186" s="39"/>
      <c r="Y186" s="38"/>
      <c r="Z186" s="37"/>
      <c r="AA186" s="36"/>
      <c r="AB186" s="35"/>
      <c r="AC186" s="34"/>
      <c r="AD186" s="55"/>
      <c r="AE186" s="33"/>
      <c r="AF186"/>
      <c r="AG186" s="32"/>
      <c r="AH186" s="31"/>
      <c r="AI186" s="30"/>
      <c r="AJ186" s="5492">
        <f t="shared" si="77"/>
        <v>0</v>
      </c>
      <c r="AK186" s="29">
        <f t="shared" si="78"/>
        <v>0</v>
      </c>
      <c r="AL186" s="28" t="str">
        <f t="shared" si="79"/>
        <v/>
      </c>
      <c r="AM186" s="27"/>
      <c r="AN186" s="26">
        <f t="shared" si="80"/>
        <v>0</v>
      </c>
      <c r="AO186" s="25">
        <f t="shared" si="81"/>
        <v>0</v>
      </c>
      <c r="AP186" s="24">
        <f t="shared" si="82"/>
        <v>0</v>
      </c>
      <c r="AQ186" s="23"/>
      <c r="AR186" s="22">
        <f t="shared" si="83"/>
        <v>0</v>
      </c>
      <c r="AS186" s="21"/>
      <c r="AT186" s="13"/>
      <c r="AU186" s="46">
        <f t="shared" si="84"/>
        <v>0</v>
      </c>
      <c r="AV186"/>
      <c r="AZ186"/>
      <c r="BA186"/>
      <c r="BB186"/>
      <c r="BC186" s="3"/>
      <c r="BD186" s="3"/>
      <c r="BE186" s="3"/>
      <c r="BF186" s="3"/>
      <c r="BG186" s="3"/>
      <c r="BH186" s="3"/>
      <c r="BI186" s="3"/>
      <c r="BJ186" s="3"/>
      <c r="BK186"/>
      <c r="BL186" s="20" t="str">
        <f t="shared" si="75"/>
        <v>►</v>
      </c>
      <c r="BM186"/>
      <c r="BN186"/>
      <c r="BO186"/>
      <c r="BP186"/>
      <c r="BQ186"/>
      <c r="BR186"/>
      <c r="BS186"/>
      <c r="CN186" s="56" t="s">
        <v>1</v>
      </c>
      <c r="CO186" s="5">
        <v>1</v>
      </c>
    </row>
    <row r="187" spans="1:93" s="1" customFormat="1" ht="21" customHeight="1">
      <c r="A187" s="20" t="str">
        <f t="shared" si="85"/>
        <v>►</v>
      </c>
      <c r="B187" s="43" t="str">
        <f t="shared" si="86"/>
        <v>►</v>
      </c>
      <c r="C187" s="45" t="str">
        <f t="shared" si="69"/>
        <v>►</v>
      </c>
      <c r="D187" s="44" t="str">
        <f t="shared" si="70"/>
        <v>►</v>
      </c>
      <c r="E187" s="43" t="str">
        <f t="shared" si="71"/>
        <v>►</v>
      </c>
      <c r="F187" s="43" t="str">
        <f t="shared" si="72"/>
        <v>►</v>
      </c>
      <c r="G187" s="43" t="str">
        <f t="shared" si="74"/>
        <v>►</v>
      </c>
      <c r="H187" s="1256" t="s">
        <v>1</v>
      </c>
      <c r="I187" s="5175" t="s">
        <v>1</v>
      </c>
      <c r="J187" s="5161"/>
      <c r="K187" s="5161"/>
      <c r="L187" s="5161"/>
      <c r="M187" s="5176"/>
      <c r="N187" s="5177"/>
      <c r="O187" s="147"/>
      <c r="P187" s="147"/>
      <c r="Q187" s="102"/>
      <c r="R187" s="102"/>
      <c r="S187" s="1360"/>
      <c r="T187" s="43"/>
      <c r="U187" s="42"/>
      <c r="V187" s="41"/>
      <c r="W187" s="40"/>
      <c r="X187" s="39"/>
      <c r="Y187" s="38"/>
      <c r="Z187" s="37"/>
      <c r="AA187" s="36"/>
      <c r="AB187" s="35"/>
      <c r="AC187" s="34"/>
      <c r="AD187" s="55"/>
      <c r="AE187" s="33"/>
      <c r="AF187"/>
      <c r="AG187" s="32"/>
      <c r="AH187" s="31"/>
      <c r="AI187" s="30"/>
      <c r="AJ187" s="5492">
        <f t="shared" si="77"/>
        <v>0</v>
      </c>
      <c r="AK187" s="54">
        <f t="shared" si="78"/>
        <v>0</v>
      </c>
      <c r="AL187" s="53" t="str">
        <f t="shared" si="79"/>
        <v/>
      </c>
      <c r="AM187" s="52"/>
      <c r="AN187" s="51">
        <f t="shared" si="80"/>
        <v>0</v>
      </c>
      <c r="AO187" s="50">
        <f t="shared" si="81"/>
        <v>0</v>
      </c>
      <c r="AP187" s="49">
        <f t="shared" si="82"/>
        <v>0</v>
      </c>
      <c r="AQ187" s="23"/>
      <c r="AR187" s="48">
        <f t="shared" si="83"/>
        <v>0</v>
      </c>
      <c r="AS187" s="47"/>
      <c r="AT187" s="13"/>
      <c r="AU187" s="46">
        <f t="shared" si="84"/>
        <v>0</v>
      </c>
      <c r="AV187"/>
      <c r="AZ187"/>
      <c r="BA187"/>
      <c r="BB187"/>
      <c r="BC187" s="3"/>
      <c r="BD187" s="3"/>
      <c r="BE187" s="3"/>
      <c r="BF187" s="3"/>
      <c r="BG187" s="3"/>
      <c r="BH187" s="3"/>
      <c r="BI187" s="3"/>
      <c r="BJ187" s="3"/>
      <c r="BK187"/>
      <c r="BL187" s="20" t="str">
        <f t="shared" si="75"/>
        <v>►</v>
      </c>
      <c r="BM187"/>
      <c r="BN187"/>
      <c r="BO187"/>
      <c r="BP187"/>
      <c r="BQ187"/>
      <c r="BR187"/>
      <c r="BS187"/>
      <c r="CN187" s="56" t="s">
        <v>1</v>
      </c>
      <c r="CO187" s="5">
        <v>1</v>
      </c>
    </row>
    <row r="188" spans="1:93" s="1" customFormat="1" ht="21" customHeight="1">
      <c r="A188" s="20" t="str">
        <f t="shared" si="85"/>
        <v>►</v>
      </c>
      <c r="B188" s="43" t="str">
        <f t="shared" si="86"/>
        <v>►</v>
      </c>
      <c r="C188" s="45" t="str">
        <f t="shared" si="69"/>
        <v>►</v>
      </c>
      <c r="D188" s="44" t="str">
        <f t="shared" si="70"/>
        <v>►</v>
      </c>
      <c r="E188" s="43" t="str">
        <f t="shared" si="71"/>
        <v>►</v>
      </c>
      <c r="F188" s="43" t="str">
        <f t="shared" si="72"/>
        <v>►</v>
      </c>
      <c r="G188" s="43" t="str">
        <f t="shared" si="74"/>
        <v>►</v>
      </c>
      <c r="H188" s="1256" t="s">
        <v>1</v>
      </c>
      <c r="I188" s="5175" t="s">
        <v>1</v>
      </c>
      <c r="J188" s="5161"/>
      <c r="K188" s="5161"/>
      <c r="L188" s="5161"/>
      <c r="M188" s="5176"/>
      <c r="N188" s="5177"/>
      <c r="O188" s="147"/>
      <c r="P188" s="147"/>
      <c r="Q188" s="102"/>
      <c r="R188" s="102"/>
      <c r="S188" s="1360"/>
      <c r="T188" s="43"/>
      <c r="U188" s="42"/>
      <c r="V188" s="41"/>
      <c r="W188" s="40"/>
      <c r="X188" s="39"/>
      <c r="Y188" s="38"/>
      <c r="Z188" s="37"/>
      <c r="AA188" s="36"/>
      <c r="AB188" s="35"/>
      <c r="AC188" s="34"/>
      <c r="AD188" s="55"/>
      <c r="AE188" s="33"/>
      <c r="AF188"/>
      <c r="AG188" s="32"/>
      <c r="AH188" s="31"/>
      <c r="AI188" s="30"/>
      <c r="AJ188" s="5492">
        <f t="shared" si="77"/>
        <v>0</v>
      </c>
      <c r="AK188" s="29">
        <f t="shared" si="78"/>
        <v>0</v>
      </c>
      <c r="AL188" s="28" t="str">
        <f t="shared" si="79"/>
        <v/>
      </c>
      <c r="AM188" s="27"/>
      <c r="AN188" s="26">
        <f t="shared" si="80"/>
        <v>0</v>
      </c>
      <c r="AO188" s="25">
        <f t="shared" si="81"/>
        <v>0</v>
      </c>
      <c r="AP188" s="24">
        <f t="shared" si="82"/>
        <v>0</v>
      </c>
      <c r="AQ188" s="23"/>
      <c r="AR188" s="22">
        <f t="shared" si="83"/>
        <v>0</v>
      </c>
      <c r="AS188" s="21"/>
      <c r="AT188" s="13"/>
      <c r="AU188" s="46">
        <f t="shared" si="84"/>
        <v>0</v>
      </c>
      <c r="AV188"/>
      <c r="AZ188"/>
      <c r="BA188"/>
      <c r="BB188"/>
      <c r="BC188" s="3"/>
      <c r="BD188" s="3"/>
      <c r="BE188" s="3"/>
      <c r="BF188" s="3"/>
      <c r="BG188" s="3"/>
      <c r="BH188" s="3"/>
      <c r="BI188" s="3"/>
      <c r="BJ188" s="3"/>
      <c r="BL188" s="20" t="str">
        <f t="shared" si="75"/>
        <v>►</v>
      </c>
      <c r="BM188"/>
      <c r="BN188"/>
      <c r="BO188"/>
      <c r="BP188"/>
      <c r="BQ188"/>
      <c r="BR188"/>
      <c r="BS188"/>
      <c r="CN188" s="56" t="s">
        <v>1</v>
      </c>
      <c r="CO188" s="5">
        <v>1</v>
      </c>
    </row>
    <row r="189" spans="1:93" s="1" customFormat="1" ht="21" customHeight="1">
      <c r="A189" s="20" t="str">
        <f t="shared" si="85"/>
        <v>►</v>
      </c>
      <c r="B189" s="43" t="str">
        <f t="shared" si="86"/>
        <v>►</v>
      </c>
      <c r="C189" s="45" t="str">
        <f t="shared" si="69"/>
        <v>►</v>
      </c>
      <c r="D189" s="44" t="str">
        <f t="shared" si="70"/>
        <v>►</v>
      </c>
      <c r="E189" s="43" t="str">
        <f t="shared" si="71"/>
        <v>►</v>
      </c>
      <c r="F189" s="43" t="str">
        <f t="shared" si="72"/>
        <v>►</v>
      </c>
      <c r="G189" s="43" t="str">
        <f t="shared" si="74"/>
        <v>►</v>
      </c>
      <c r="H189" s="1256" t="s">
        <v>1</v>
      </c>
      <c r="I189" s="5175" t="s">
        <v>1</v>
      </c>
      <c r="J189" s="5161"/>
      <c r="K189" s="5161"/>
      <c r="L189" s="5161"/>
      <c r="M189" s="5176"/>
      <c r="N189" s="5177"/>
      <c r="O189" s="147"/>
      <c r="P189" s="147"/>
      <c r="Q189" s="102"/>
      <c r="R189" s="102"/>
      <c r="S189" s="1360"/>
      <c r="T189" s="43"/>
      <c r="U189" s="42"/>
      <c r="V189" s="41"/>
      <c r="W189" s="40"/>
      <c r="X189" s="39"/>
      <c r="Y189" s="38"/>
      <c r="Z189" s="37"/>
      <c r="AA189" s="36"/>
      <c r="AB189" s="35"/>
      <c r="AC189" s="34"/>
      <c r="AD189" s="55"/>
      <c r="AE189" s="33"/>
      <c r="AF189"/>
      <c r="AG189" s="32"/>
      <c r="AH189" s="31"/>
      <c r="AI189" s="30"/>
      <c r="AJ189" s="5492">
        <f t="shared" si="77"/>
        <v>0</v>
      </c>
      <c r="AK189" s="54">
        <f t="shared" si="78"/>
        <v>0</v>
      </c>
      <c r="AL189" s="53" t="str">
        <f t="shared" si="79"/>
        <v/>
      </c>
      <c r="AM189" s="52"/>
      <c r="AN189" s="51">
        <f t="shared" si="80"/>
        <v>0</v>
      </c>
      <c r="AO189" s="50">
        <f t="shared" si="81"/>
        <v>0</v>
      </c>
      <c r="AP189" s="49">
        <f t="shared" si="82"/>
        <v>0</v>
      </c>
      <c r="AQ189" s="23"/>
      <c r="AR189" s="48">
        <f t="shared" si="83"/>
        <v>0</v>
      </c>
      <c r="AS189" s="47"/>
      <c r="AT189" s="13"/>
      <c r="AU189" s="46">
        <f t="shared" si="84"/>
        <v>0</v>
      </c>
      <c r="AV189"/>
      <c r="AZ189"/>
      <c r="BA189"/>
      <c r="BB189"/>
      <c r="BC189" s="3"/>
      <c r="BD189" s="3"/>
      <c r="BE189" s="3"/>
      <c r="BF189" s="3"/>
      <c r="BG189" s="3"/>
      <c r="BH189" s="3"/>
      <c r="BI189" s="3"/>
      <c r="BJ189" s="3"/>
      <c r="BL189" s="20" t="str">
        <f t="shared" si="75"/>
        <v>►</v>
      </c>
      <c r="BM189"/>
      <c r="BN189"/>
      <c r="BO189"/>
      <c r="BP189"/>
      <c r="BQ189"/>
      <c r="BR189"/>
      <c r="BS189"/>
      <c r="CN189" s="56" t="s">
        <v>1</v>
      </c>
      <c r="CO189" s="5">
        <v>1</v>
      </c>
    </row>
    <row r="190" spans="1:93" s="1" customFormat="1" ht="21" customHeight="1">
      <c r="A190" s="20" t="str">
        <f t="shared" si="85"/>
        <v>►</v>
      </c>
      <c r="B190" s="43" t="str">
        <f t="shared" si="86"/>
        <v>►</v>
      </c>
      <c r="C190" s="45" t="str">
        <f t="shared" si="69"/>
        <v>►</v>
      </c>
      <c r="D190" s="44" t="str">
        <f t="shared" si="70"/>
        <v>►</v>
      </c>
      <c r="E190" s="43" t="str">
        <f t="shared" si="71"/>
        <v>►</v>
      </c>
      <c r="F190" s="43" t="str">
        <f t="shared" si="72"/>
        <v>►</v>
      </c>
      <c r="G190" s="43" t="str">
        <f t="shared" si="74"/>
        <v>►</v>
      </c>
      <c r="H190" s="1256" t="s">
        <v>1</v>
      </c>
      <c r="I190" s="5175" t="s">
        <v>1</v>
      </c>
      <c r="J190" s="5161"/>
      <c r="K190" s="5161"/>
      <c r="L190" s="5161"/>
      <c r="M190" s="5176"/>
      <c r="N190" s="5177"/>
      <c r="O190" s="147"/>
      <c r="P190" s="147"/>
      <c r="Q190" s="102"/>
      <c r="R190" s="102"/>
      <c r="S190" s="1360"/>
      <c r="T190" s="43"/>
      <c r="U190" s="42"/>
      <c r="V190" s="41"/>
      <c r="W190" s="40"/>
      <c r="X190" s="39"/>
      <c r="Y190" s="38"/>
      <c r="Z190" s="37"/>
      <c r="AA190" s="36"/>
      <c r="AB190" s="35"/>
      <c r="AC190" s="34"/>
      <c r="AD190" s="55"/>
      <c r="AE190" s="33"/>
      <c r="AF190"/>
      <c r="AG190" s="32"/>
      <c r="AH190" s="31"/>
      <c r="AI190" s="30"/>
      <c r="AJ190" s="5492">
        <f t="shared" si="77"/>
        <v>0</v>
      </c>
      <c r="AK190" s="29">
        <f t="shared" si="78"/>
        <v>0</v>
      </c>
      <c r="AL190" s="28" t="str">
        <f t="shared" si="79"/>
        <v/>
      </c>
      <c r="AM190" s="27"/>
      <c r="AN190" s="26">
        <f t="shared" si="80"/>
        <v>0</v>
      </c>
      <c r="AO190" s="25">
        <f t="shared" si="81"/>
        <v>0</v>
      </c>
      <c r="AP190" s="24">
        <f t="shared" si="82"/>
        <v>0</v>
      </c>
      <c r="AQ190" s="23"/>
      <c r="AR190" s="22">
        <f t="shared" si="83"/>
        <v>0</v>
      </c>
      <c r="AS190" s="21"/>
      <c r="AT190" s="13"/>
      <c r="AU190" s="46">
        <f t="shared" si="84"/>
        <v>0</v>
      </c>
      <c r="AV190"/>
      <c r="AZ190"/>
      <c r="BA190"/>
      <c r="BB190"/>
      <c r="BC190" s="3"/>
      <c r="BD190" s="3"/>
      <c r="BE190" s="3"/>
      <c r="BF190" s="3"/>
      <c r="BG190" s="3"/>
      <c r="BH190" s="3"/>
      <c r="BI190" s="3"/>
      <c r="BJ190" s="3"/>
      <c r="BL190" s="20" t="str">
        <f t="shared" si="75"/>
        <v>►</v>
      </c>
      <c r="BM190"/>
      <c r="BN190"/>
      <c r="BO190"/>
      <c r="BP190"/>
      <c r="BQ190"/>
      <c r="BR190"/>
      <c r="BS190"/>
      <c r="CN190" s="56" t="s">
        <v>1</v>
      </c>
      <c r="CO190" s="5">
        <v>1</v>
      </c>
    </row>
    <row r="191" spans="1:93" s="1" customFormat="1" ht="21" customHeight="1">
      <c r="A191" s="20" t="str">
        <f t="shared" si="85"/>
        <v>►</v>
      </c>
      <c r="B191" s="43" t="str">
        <f t="shared" si="86"/>
        <v>►</v>
      </c>
      <c r="C191" s="45" t="str">
        <f t="shared" si="69"/>
        <v>►</v>
      </c>
      <c r="D191" s="44" t="str">
        <f t="shared" si="70"/>
        <v>►</v>
      </c>
      <c r="E191" s="43" t="str">
        <f t="shared" si="71"/>
        <v>►</v>
      </c>
      <c r="F191" s="43" t="str">
        <f t="shared" si="72"/>
        <v>►</v>
      </c>
      <c r="G191" s="43" t="str">
        <f t="shared" si="74"/>
        <v>►</v>
      </c>
      <c r="H191" s="1256" t="s">
        <v>1</v>
      </c>
      <c r="I191" s="5175" t="s">
        <v>1</v>
      </c>
      <c r="J191" s="5161"/>
      <c r="K191" s="5161"/>
      <c r="L191" s="5161"/>
      <c r="M191" s="5176"/>
      <c r="N191" s="5177"/>
      <c r="O191" s="147"/>
      <c r="P191" s="147"/>
      <c r="Q191" s="102"/>
      <c r="R191" s="102"/>
      <c r="S191" s="1360"/>
      <c r="T191" s="43"/>
      <c r="U191" s="42"/>
      <c r="V191" s="41"/>
      <c r="W191" s="40"/>
      <c r="X191" s="39"/>
      <c r="Y191" s="38"/>
      <c r="Z191" s="37"/>
      <c r="AA191" s="36"/>
      <c r="AB191" s="35"/>
      <c r="AC191" s="34"/>
      <c r="AD191" s="55"/>
      <c r="AE191" s="33"/>
      <c r="AF191"/>
      <c r="AG191" s="32"/>
      <c r="AH191" s="31"/>
      <c r="AI191" s="30"/>
      <c r="AJ191" s="5492">
        <f t="shared" si="77"/>
        <v>0</v>
      </c>
      <c r="AK191" s="54">
        <f t="shared" si="78"/>
        <v>0</v>
      </c>
      <c r="AL191" s="53" t="str">
        <f t="shared" si="79"/>
        <v/>
      </c>
      <c r="AM191" s="52"/>
      <c r="AN191" s="51">
        <f t="shared" si="80"/>
        <v>0</v>
      </c>
      <c r="AO191" s="50">
        <f t="shared" si="81"/>
        <v>0</v>
      </c>
      <c r="AP191" s="49">
        <f t="shared" si="82"/>
        <v>0</v>
      </c>
      <c r="AQ191" s="23"/>
      <c r="AR191" s="48">
        <f t="shared" si="83"/>
        <v>0</v>
      </c>
      <c r="AS191" s="47"/>
      <c r="AT191" s="13"/>
      <c r="AU191" s="46">
        <f t="shared" si="84"/>
        <v>0</v>
      </c>
      <c r="AV191"/>
      <c r="AZ191"/>
      <c r="BA191"/>
      <c r="BB191"/>
      <c r="BC191" s="3"/>
      <c r="BD191" s="3"/>
      <c r="BE191" s="3"/>
      <c r="BF191" s="3"/>
      <c r="BG191" s="3"/>
      <c r="BH191" s="3"/>
      <c r="BI191" s="3"/>
      <c r="BJ191" s="3"/>
      <c r="BL191" s="20" t="str">
        <f t="shared" si="75"/>
        <v>►</v>
      </c>
      <c r="BM191"/>
      <c r="BN191"/>
      <c r="BO191"/>
      <c r="BP191"/>
      <c r="BQ191"/>
      <c r="BR191"/>
      <c r="BS191"/>
      <c r="CN191" s="56" t="s">
        <v>1</v>
      </c>
      <c r="CO191" s="5">
        <v>1</v>
      </c>
    </row>
    <row r="192" spans="1:93" s="1" customFormat="1" ht="21" customHeight="1">
      <c r="A192" s="20" t="str">
        <f t="shared" si="85"/>
        <v>►</v>
      </c>
      <c r="B192" s="43" t="str">
        <f t="shared" si="86"/>
        <v>►</v>
      </c>
      <c r="C192" s="45" t="str">
        <f t="shared" si="69"/>
        <v>►</v>
      </c>
      <c r="D192" s="44" t="str">
        <f t="shared" si="70"/>
        <v>►</v>
      </c>
      <c r="E192" s="43" t="str">
        <f t="shared" si="71"/>
        <v>►</v>
      </c>
      <c r="F192" s="43" t="str">
        <f t="shared" si="72"/>
        <v>►</v>
      </c>
      <c r="G192" s="43" t="str">
        <f t="shared" si="74"/>
        <v>►</v>
      </c>
      <c r="H192" s="1256" t="s">
        <v>1</v>
      </c>
      <c r="I192" s="5175" t="s">
        <v>1</v>
      </c>
      <c r="J192" s="5161"/>
      <c r="K192" s="5161"/>
      <c r="L192" s="5161"/>
      <c r="M192" s="5176"/>
      <c r="N192" s="5177"/>
      <c r="O192" s="147"/>
      <c r="P192" s="147"/>
      <c r="Q192" s="102"/>
      <c r="R192" s="102"/>
      <c r="S192" s="1360"/>
      <c r="T192" s="43"/>
      <c r="U192" s="42"/>
      <c r="V192" s="41"/>
      <c r="W192" s="40"/>
      <c r="X192" s="39"/>
      <c r="Y192" s="38"/>
      <c r="Z192" s="37"/>
      <c r="AA192" s="36"/>
      <c r="AB192" s="35"/>
      <c r="AC192" s="34"/>
      <c r="AD192" s="55"/>
      <c r="AE192" s="33"/>
      <c r="AF192"/>
      <c r="AG192" s="32"/>
      <c r="AH192" s="31"/>
      <c r="AI192" s="30"/>
      <c r="AJ192" s="5492">
        <f t="shared" si="77"/>
        <v>0</v>
      </c>
      <c r="AK192" s="29">
        <f t="shared" si="78"/>
        <v>0</v>
      </c>
      <c r="AL192" s="28" t="str">
        <f t="shared" si="79"/>
        <v/>
      </c>
      <c r="AM192" s="27"/>
      <c r="AN192" s="26">
        <f t="shared" si="80"/>
        <v>0</v>
      </c>
      <c r="AO192" s="25">
        <f t="shared" si="81"/>
        <v>0</v>
      </c>
      <c r="AP192" s="24">
        <f t="shared" si="82"/>
        <v>0</v>
      </c>
      <c r="AQ192" s="23"/>
      <c r="AR192" s="22">
        <f t="shared" si="83"/>
        <v>0</v>
      </c>
      <c r="AS192" s="21"/>
      <c r="AT192" s="13"/>
      <c r="AU192" s="46">
        <f t="shared" si="84"/>
        <v>0</v>
      </c>
      <c r="AV192"/>
      <c r="AZ192"/>
      <c r="BA192"/>
      <c r="BB192"/>
      <c r="BC192" s="3"/>
      <c r="BD192" s="3"/>
      <c r="BE192" s="3"/>
      <c r="BF192" s="3"/>
      <c r="BG192" s="3"/>
      <c r="BH192" s="3"/>
      <c r="BI192" s="3"/>
      <c r="BJ192" s="3"/>
      <c r="BL192" s="20" t="str">
        <f t="shared" si="75"/>
        <v>►</v>
      </c>
      <c r="BM192"/>
      <c r="BN192"/>
      <c r="BO192"/>
      <c r="BP192"/>
      <c r="BQ192"/>
      <c r="BR192"/>
      <c r="BS192"/>
      <c r="CN192" s="56" t="s">
        <v>1</v>
      </c>
      <c r="CO192" s="5">
        <v>1</v>
      </c>
    </row>
    <row r="193" spans="1:93" s="1" customFormat="1" ht="21" customHeight="1">
      <c r="A193" s="20" t="str">
        <f t="shared" si="85"/>
        <v>►</v>
      </c>
      <c r="B193" s="43" t="str">
        <f t="shared" si="86"/>
        <v>►</v>
      </c>
      <c r="C193" s="45" t="str">
        <f t="shared" si="69"/>
        <v>►</v>
      </c>
      <c r="D193" s="44" t="str">
        <f t="shared" si="70"/>
        <v>►</v>
      </c>
      <c r="E193" s="43" t="str">
        <f t="shared" si="71"/>
        <v>►</v>
      </c>
      <c r="F193" s="43" t="str">
        <f t="shared" si="72"/>
        <v>►</v>
      </c>
      <c r="G193" s="43" t="str">
        <f t="shared" si="74"/>
        <v>►</v>
      </c>
      <c r="H193" s="1256" t="s">
        <v>1</v>
      </c>
      <c r="I193" s="5175" t="s">
        <v>1</v>
      </c>
      <c r="J193" s="5161"/>
      <c r="K193" s="5161"/>
      <c r="L193" s="5161"/>
      <c r="M193" s="5176"/>
      <c r="N193" s="5177"/>
      <c r="O193" s="147"/>
      <c r="P193" s="147"/>
      <c r="Q193" s="102"/>
      <c r="R193" s="102"/>
      <c r="S193" s="1360"/>
      <c r="T193" s="43"/>
      <c r="U193" s="42"/>
      <c r="V193" s="41"/>
      <c r="W193" s="40"/>
      <c r="X193" s="39"/>
      <c r="Y193" s="38"/>
      <c r="Z193" s="37"/>
      <c r="AA193" s="36"/>
      <c r="AB193" s="35"/>
      <c r="AC193" s="34"/>
      <c r="AD193" s="55"/>
      <c r="AE193" s="33"/>
      <c r="AF193"/>
      <c r="AG193" s="32"/>
      <c r="AH193" s="31"/>
      <c r="AI193" s="30"/>
      <c r="AJ193" s="5492">
        <f t="shared" si="77"/>
        <v>0</v>
      </c>
      <c r="AK193" s="54">
        <f t="shared" si="78"/>
        <v>0</v>
      </c>
      <c r="AL193" s="53" t="str">
        <f t="shared" si="79"/>
        <v/>
      </c>
      <c r="AM193" s="52"/>
      <c r="AN193" s="51">
        <f t="shared" si="80"/>
        <v>0</v>
      </c>
      <c r="AO193" s="50">
        <f t="shared" si="81"/>
        <v>0</v>
      </c>
      <c r="AP193" s="49">
        <f t="shared" si="82"/>
        <v>0</v>
      </c>
      <c r="AQ193" s="23"/>
      <c r="AR193" s="48">
        <f t="shared" si="83"/>
        <v>0</v>
      </c>
      <c r="AS193" s="47"/>
      <c r="AT193" s="13"/>
      <c r="AU193" s="46">
        <f t="shared" si="84"/>
        <v>0</v>
      </c>
      <c r="AV193"/>
      <c r="AZ193"/>
      <c r="BA193"/>
      <c r="BB193"/>
      <c r="BC193" s="3"/>
      <c r="BD193" s="3"/>
      <c r="BE193" s="3"/>
      <c r="BF193" s="3"/>
      <c r="BG193" s="3"/>
      <c r="BH193" s="3"/>
      <c r="BI193" s="3"/>
      <c r="BJ193" s="3"/>
      <c r="BL193" s="20" t="str">
        <f t="shared" si="75"/>
        <v>►</v>
      </c>
      <c r="BM193"/>
      <c r="BN193"/>
      <c r="BO193"/>
      <c r="BP193"/>
      <c r="BQ193"/>
      <c r="BR193"/>
      <c r="BS193"/>
      <c r="CN193" s="56" t="s">
        <v>1</v>
      </c>
      <c r="CO193" s="5">
        <v>1</v>
      </c>
    </row>
    <row r="194" spans="1:93" s="1" customFormat="1" ht="21" customHeight="1">
      <c r="A194" s="20" t="str">
        <f t="shared" si="85"/>
        <v>►</v>
      </c>
      <c r="B194" s="43" t="str">
        <f t="shared" si="86"/>
        <v>►</v>
      </c>
      <c r="C194" s="45" t="str">
        <f t="shared" si="69"/>
        <v>►</v>
      </c>
      <c r="D194" s="44" t="str">
        <f t="shared" si="70"/>
        <v>►</v>
      </c>
      <c r="E194" s="43" t="str">
        <f t="shared" si="71"/>
        <v>►</v>
      </c>
      <c r="F194" s="43" t="str">
        <f t="shared" si="72"/>
        <v>►</v>
      </c>
      <c r="G194" s="43" t="str">
        <f t="shared" si="74"/>
        <v>►</v>
      </c>
      <c r="H194" s="1256" t="s">
        <v>1</v>
      </c>
      <c r="I194" s="5175" t="s">
        <v>1</v>
      </c>
      <c r="J194" s="5161"/>
      <c r="K194" s="5161"/>
      <c r="L194" s="5161"/>
      <c r="M194" s="5176"/>
      <c r="N194" s="5177"/>
      <c r="O194" s="147"/>
      <c r="P194" s="147"/>
      <c r="Q194" s="102"/>
      <c r="R194" s="102"/>
      <c r="S194" s="1360"/>
      <c r="T194" s="43"/>
      <c r="U194" s="42"/>
      <c r="V194" s="41"/>
      <c r="W194" s="40"/>
      <c r="X194" s="39"/>
      <c r="Y194" s="38"/>
      <c r="Z194" s="37"/>
      <c r="AA194" s="36"/>
      <c r="AB194" s="35"/>
      <c r="AC194" s="34"/>
      <c r="AD194" s="55"/>
      <c r="AE194" s="33"/>
      <c r="AF194"/>
      <c r="AG194" s="32"/>
      <c r="AH194" s="31"/>
      <c r="AI194" s="30"/>
      <c r="AJ194" s="5492">
        <f t="shared" si="77"/>
        <v>0</v>
      </c>
      <c r="AK194" s="29">
        <f t="shared" si="78"/>
        <v>0</v>
      </c>
      <c r="AL194" s="28" t="str">
        <f t="shared" si="79"/>
        <v/>
      </c>
      <c r="AM194" s="27"/>
      <c r="AN194" s="26">
        <f t="shared" si="80"/>
        <v>0</v>
      </c>
      <c r="AO194" s="25">
        <f t="shared" si="81"/>
        <v>0</v>
      </c>
      <c r="AP194" s="24">
        <f t="shared" si="82"/>
        <v>0</v>
      </c>
      <c r="AQ194" s="23"/>
      <c r="AR194" s="22">
        <f t="shared" si="83"/>
        <v>0</v>
      </c>
      <c r="AS194" s="21"/>
      <c r="AT194" s="13"/>
      <c r="AU194" s="46">
        <f t="shared" si="84"/>
        <v>0</v>
      </c>
      <c r="AV194"/>
      <c r="AZ194"/>
      <c r="BA194"/>
      <c r="BB194"/>
      <c r="BC194" s="3"/>
      <c r="BD194" s="3"/>
      <c r="BE194" s="3"/>
      <c r="BF194" s="3"/>
      <c r="BG194" s="3"/>
      <c r="BH194" s="3"/>
      <c r="BI194" s="3"/>
      <c r="BJ194" s="3"/>
      <c r="BL194" s="20" t="str">
        <f t="shared" si="75"/>
        <v>►</v>
      </c>
      <c r="BM194"/>
      <c r="BN194"/>
      <c r="BO194"/>
      <c r="BP194"/>
      <c r="BQ194"/>
      <c r="BR194"/>
      <c r="BS194"/>
      <c r="CN194" s="56" t="s">
        <v>1</v>
      </c>
      <c r="CO194" s="5">
        <v>1</v>
      </c>
    </row>
    <row r="195" spans="1:93" s="1" customFormat="1" ht="21" customHeight="1">
      <c r="A195" s="20" t="str">
        <f t="shared" si="85"/>
        <v>►</v>
      </c>
      <c r="B195" s="43" t="str">
        <f t="shared" si="86"/>
        <v>►</v>
      </c>
      <c r="C195" s="45" t="str">
        <f t="shared" si="69"/>
        <v>►</v>
      </c>
      <c r="D195" s="44" t="str">
        <f t="shared" si="70"/>
        <v>►</v>
      </c>
      <c r="E195" s="43" t="str">
        <f t="shared" si="71"/>
        <v>►</v>
      </c>
      <c r="F195" s="43" t="str">
        <f t="shared" si="72"/>
        <v>►</v>
      </c>
      <c r="G195" s="43" t="str">
        <f t="shared" si="74"/>
        <v>►</v>
      </c>
      <c r="H195" s="1256" t="s">
        <v>1</v>
      </c>
      <c r="I195" s="5175" t="s">
        <v>1</v>
      </c>
      <c r="J195" s="5161"/>
      <c r="K195" s="5161"/>
      <c r="L195" s="5161"/>
      <c r="M195" s="5176"/>
      <c r="N195" s="5177"/>
      <c r="O195" s="147"/>
      <c r="P195" s="147"/>
      <c r="Q195" s="102"/>
      <c r="R195" s="102"/>
      <c r="S195" s="1360"/>
      <c r="T195" s="43"/>
      <c r="U195" s="42"/>
      <c r="V195" s="41"/>
      <c r="W195" s="40"/>
      <c r="X195" s="39"/>
      <c r="Y195" s="38"/>
      <c r="Z195" s="37"/>
      <c r="AA195" s="36"/>
      <c r="AB195" s="35"/>
      <c r="AC195" s="34"/>
      <c r="AD195" s="55"/>
      <c r="AE195" s="33"/>
      <c r="AF195"/>
      <c r="AG195" s="32"/>
      <c r="AH195" s="31"/>
      <c r="AI195" s="30"/>
      <c r="AJ195" s="5492">
        <f t="shared" si="77"/>
        <v>0</v>
      </c>
      <c r="AK195" s="54">
        <f t="shared" si="78"/>
        <v>0</v>
      </c>
      <c r="AL195" s="53" t="str">
        <f t="shared" si="79"/>
        <v/>
      </c>
      <c r="AM195" s="52"/>
      <c r="AN195" s="51">
        <f t="shared" si="80"/>
        <v>0</v>
      </c>
      <c r="AO195" s="50">
        <f t="shared" si="81"/>
        <v>0</v>
      </c>
      <c r="AP195" s="49">
        <f t="shared" si="82"/>
        <v>0</v>
      </c>
      <c r="AQ195" s="23"/>
      <c r="AR195" s="48">
        <f t="shared" si="83"/>
        <v>0</v>
      </c>
      <c r="AS195" s="47"/>
      <c r="AT195" s="13"/>
      <c r="AU195" s="46">
        <f t="shared" si="84"/>
        <v>0</v>
      </c>
      <c r="AV195"/>
      <c r="AZ195"/>
      <c r="BA195"/>
      <c r="BB195"/>
      <c r="BC195" s="3"/>
      <c r="BD195" s="3"/>
      <c r="BE195" s="3"/>
      <c r="BF195" s="3"/>
      <c r="BG195" s="3"/>
      <c r="BH195" s="3"/>
      <c r="BI195" s="3"/>
      <c r="BJ195" s="3"/>
      <c r="BL195" s="20" t="str">
        <f t="shared" si="75"/>
        <v>►</v>
      </c>
      <c r="BM195"/>
      <c r="BN195"/>
      <c r="BO195"/>
      <c r="BP195"/>
      <c r="BQ195"/>
      <c r="BR195"/>
      <c r="BS195"/>
      <c r="CN195" s="56" t="s">
        <v>1</v>
      </c>
      <c r="CO195" s="5">
        <v>1</v>
      </c>
    </row>
    <row r="196" spans="1:93" s="1" customFormat="1" ht="21" customHeight="1">
      <c r="A196" s="20" t="str">
        <f t="shared" si="85"/>
        <v>►</v>
      </c>
      <c r="B196" s="43" t="str">
        <f t="shared" si="86"/>
        <v>►</v>
      </c>
      <c r="C196" s="45" t="str">
        <f t="shared" si="69"/>
        <v>►</v>
      </c>
      <c r="D196" s="44" t="str">
        <f t="shared" si="70"/>
        <v>►</v>
      </c>
      <c r="E196" s="43" t="str">
        <f t="shared" si="71"/>
        <v>►</v>
      </c>
      <c r="F196" s="43" t="str">
        <f t="shared" si="72"/>
        <v>►</v>
      </c>
      <c r="G196" s="43" t="str">
        <f t="shared" si="74"/>
        <v>►</v>
      </c>
      <c r="H196" s="1256" t="s">
        <v>1</v>
      </c>
      <c r="I196" s="5175" t="s">
        <v>1</v>
      </c>
      <c r="J196" s="5161"/>
      <c r="K196" s="5161"/>
      <c r="L196" s="5161"/>
      <c r="M196" s="5176"/>
      <c r="N196" s="5177"/>
      <c r="O196" s="147"/>
      <c r="P196" s="147"/>
      <c r="Q196" s="102"/>
      <c r="R196" s="102"/>
      <c r="S196" s="1360"/>
      <c r="T196" s="43"/>
      <c r="U196" s="42"/>
      <c r="V196" s="41"/>
      <c r="W196" s="40"/>
      <c r="X196" s="39"/>
      <c r="Y196" s="38"/>
      <c r="Z196" s="37"/>
      <c r="AA196" s="36"/>
      <c r="AB196" s="35"/>
      <c r="AC196" s="34"/>
      <c r="AD196" s="55"/>
      <c r="AE196" s="33"/>
      <c r="AF196"/>
      <c r="AG196" s="32"/>
      <c r="AH196" s="31"/>
      <c r="AI196" s="30"/>
      <c r="AJ196" s="5492">
        <f t="shared" si="77"/>
        <v>0</v>
      </c>
      <c r="AK196" s="29">
        <f t="shared" si="78"/>
        <v>0</v>
      </c>
      <c r="AL196" s="28" t="str">
        <f t="shared" si="79"/>
        <v/>
      </c>
      <c r="AM196" s="27"/>
      <c r="AN196" s="26">
        <f t="shared" si="80"/>
        <v>0</v>
      </c>
      <c r="AO196" s="25">
        <f t="shared" si="81"/>
        <v>0</v>
      </c>
      <c r="AP196" s="24">
        <f t="shared" si="82"/>
        <v>0</v>
      </c>
      <c r="AQ196" s="23"/>
      <c r="AR196" s="22">
        <f t="shared" si="83"/>
        <v>0</v>
      </c>
      <c r="AS196" s="21"/>
      <c r="AT196" s="13"/>
      <c r="AU196" s="46">
        <f t="shared" si="84"/>
        <v>0</v>
      </c>
      <c r="AV196"/>
      <c r="AZ196"/>
      <c r="BA196"/>
      <c r="BB196"/>
      <c r="BC196" s="3"/>
      <c r="BD196" s="3"/>
      <c r="BE196" s="3"/>
      <c r="BF196" s="3"/>
      <c r="BG196" s="3"/>
      <c r="BH196" s="3"/>
      <c r="BI196" s="3"/>
      <c r="BJ196" s="3"/>
      <c r="BL196" s="20" t="str">
        <f t="shared" si="75"/>
        <v>►</v>
      </c>
      <c r="BM196"/>
      <c r="BN196"/>
      <c r="BO196"/>
      <c r="BP196"/>
      <c r="BQ196"/>
      <c r="BR196"/>
      <c r="BS196"/>
      <c r="CN196" s="56" t="s">
        <v>1</v>
      </c>
      <c r="CO196" s="5">
        <v>1</v>
      </c>
    </row>
    <row r="197" spans="1:93" s="1" customFormat="1" ht="21" customHeight="1">
      <c r="A197" s="20" t="str">
        <f t="shared" si="85"/>
        <v>►</v>
      </c>
      <c r="B197" s="43" t="str">
        <f t="shared" si="86"/>
        <v>►</v>
      </c>
      <c r="C197" s="45" t="str">
        <f t="shared" si="69"/>
        <v>►</v>
      </c>
      <c r="D197" s="44" t="str">
        <f t="shared" si="70"/>
        <v>►</v>
      </c>
      <c r="E197" s="43" t="str">
        <f t="shared" si="71"/>
        <v>►</v>
      </c>
      <c r="F197" s="43" t="str">
        <f t="shared" si="72"/>
        <v>►</v>
      </c>
      <c r="G197" s="43" t="str">
        <f t="shared" si="74"/>
        <v>►</v>
      </c>
      <c r="H197" s="1256" t="s">
        <v>1</v>
      </c>
      <c r="I197" s="5175" t="s">
        <v>1</v>
      </c>
      <c r="J197" s="5161"/>
      <c r="K197" s="5161"/>
      <c r="L197" s="5161"/>
      <c r="M197" s="5176"/>
      <c r="N197" s="5177"/>
      <c r="O197" s="147"/>
      <c r="P197" s="147"/>
      <c r="Q197" s="102"/>
      <c r="R197" s="102"/>
      <c r="S197" s="1360"/>
      <c r="T197" s="43"/>
      <c r="U197" s="42"/>
      <c r="V197" s="41"/>
      <c r="W197" s="40"/>
      <c r="X197" s="39"/>
      <c r="Y197" s="38"/>
      <c r="Z197" s="37"/>
      <c r="AA197" s="36"/>
      <c r="AB197" s="35"/>
      <c r="AC197" s="34"/>
      <c r="AD197" s="55"/>
      <c r="AE197" s="33"/>
      <c r="AF197"/>
      <c r="AG197" s="32"/>
      <c r="AH197" s="31"/>
      <c r="AI197" s="30"/>
      <c r="AJ197" s="5492">
        <f t="shared" si="77"/>
        <v>0</v>
      </c>
      <c r="AK197" s="54">
        <f t="shared" si="78"/>
        <v>0</v>
      </c>
      <c r="AL197" s="53" t="str">
        <f t="shared" si="79"/>
        <v/>
      </c>
      <c r="AM197" s="52"/>
      <c r="AN197" s="51">
        <f t="shared" si="80"/>
        <v>0</v>
      </c>
      <c r="AO197" s="50">
        <f t="shared" si="81"/>
        <v>0</v>
      </c>
      <c r="AP197" s="49">
        <f t="shared" si="82"/>
        <v>0</v>
      </c>
      <c r="AQ197" s="23"/>
      <c r="AR197" s="48">
        <f t="shared" si="83"/>
        <v>0</v>
      </c>
      <c r="AS197" s="47"/>
      <c r="AT197" s="13"/>
      <c r="AU197" s="46">
        <f t="shared" si="84"/>
        <v>0</v>
      </c>
      <c r="AV197"/>
      <c r="AZ197"/>
      <c r="BA197"/>
      <c r="BB197"/>
      <c r="BC197" s="3"/>
      <c r="BD197" s="3"/>
      <c r="BE197" s="3"/>
      <c r="BF197" s="3"/>
      <c r="BG197" s="3"/>
      <c r="BH197" s="3"/>
      <c r="BI197" s="3"/>
      <c r="BJ197" s="3"/>
      <c r="BL197" s="20" t="str">
        <f t="shared" si="75"/>
        <v>►</v>
      </c>
      <c r="BM197"/>
      <c r="BN197"/>
      <c r="BO197"/>
      <c r="BP197"/>
      <c r="BQ197"/>
      <c r="BR197"/>
      <c r="BS197"/>
      <c r="CN197" s="56" t="s">
        <v>1</v>
      </c>
      <c r="CO197" s="5">
        <v>1</v>
      </c>
    </row>
    <row r="198" spans="1:93" s="1" customFormat="1" ht="21" customHeight="1">
      <c r="A198" s="20" t="str">
        <f t="shared" si="85"/>
        <v>►</v>
      </c>
      <c r="B198" s="43" t="str">
        <f t="shared" si="86"/>
        <v>►</v>
      </c>
      <c r="C198" s="45" t="str">
        <f t="shared" si="69"/>
        <v>►</v>
      </c>
      <c r="D198" s="44" t="str">
        <f t="shared" si="70"/>
        <v>►</v>
      </c>
      <c r="E198" s="43" t="str">
        <f t="shared" si="71"/>
        <v>►</v>
      </c>
      <c r="F198" s="43" t="str">
        <f t="shared" si="72"/>
        <v>►</v>
      </c>
      <c r="G198" s="43" t="str">
        <f t="shared" si="74"/>
        <v>►</v>
      </c>
      <c r="H198" s="1256" t="s">
        <v>1</v>
      </c>
      <c r="I198" s="5175" t="s">
        <v>1</v>
      </c>
      <c r="J198" s="5161"/>
      <c r="K198" s="5161"/>
      <c r="L198" s="5161"/>
      <c r="M198" s="5176"/>
      <c r="N198" s="5177"/>
      <c r="O198" s="147"/>
      <c r="P198" s="147"/>
      <c r="Q198" s="102"/>
      <c r="R198" s="102"/>
      <c r="S198" s="1360"/>
      <c r="T198" s="43"/>
      <c r="U198" s="42"/>
      <c r="V198" s="41"/>
      <c r="W198" s="40"/>
      <c r="X198" s="39"/>
      <c r="Y198" s="38"/>
      <c r="Z198" s="37"/>
      <c r="AA198" s="36"/>
      <c r="AB198" s="35"/>
      <c r="AC198" s="34"/>
      <c r="AD198" s="55"/>
      <c r="AE198" s="33"/>
      <c r="AF198"/>
      <c r="AG198" s="32"/>
      <c r="AH198" s="31"/>
      <c r="AI198" s="30"/>
      <c r="AJ198" s="5492">
        <f t="shared" si="77"/>
        <v>0</v>
      </c>
      <c r="AK198" s="29">
        <f t="shared" si="78"/>
        <v>0</v>
      </c>
      <c r="AL198" s="28" t="str">
        <f t="shared" si="79"/>
        <v/>
      </c>
      <c r="AM198" s="27"/>
      <c r="AN198" s="26">
        <f t="shared" si="80"/>
        <v>0</v>
      </c>
      <c r="AO198" s="25">
        <f t="shared" si="81"/>
        <v>0</v>
      </c>
      <c r="AP198" s="24">
        <f t="shared" si="82"/>
        <v>0</v>
      </c>
      <c r="AQ198" s="23"/>
      <c r="AR198" s="22">
        <f t="shared" si="83"/>
        <v>0</v>
      </c>
      <c r="AS198" s="21"/>
      <c r="AT198" s="13"/>
      <c r="AU198" s="46">
        <f t="shared" si="84"/>
        <v>0</v>
      </c>
      <c r="AV198"/>
      <c r="AZ198"/>
      <c r="BA198"/>
      <c r="BB198"/>
      <c r="BC198" s="3"/>
      <c r="BD198" s="3"/>
      <c r="BE198" s="3"/>
      <c r="BF198" s="3"/>
      <c r="BG198" s="3"/>
      <c r="BH198" s="3"/>
      <c r="BI198" s="3"/>
      <c r="BJ198" s="3"/>
      <c r="BL198" s="20" t="str">
        <f t="shared" si="75"/>
        <v>►</v>
      </c>
      <c r="BM198"/>
      <c r="BN198"/>
      <c r="BO198"/>
      <c r="BP198"/>
      <c r="BQ198"/>
      <c r="BR198"/>
      <c r="BS198"/>
      <c r="CN198" s="56" t="s">
        <v>1</v>
      </c>
      <c r="CO198" s="5">
        <v>1</v>
      </c>
    </row>
    <row r="199" spans="1:93" s="1" customFormat="1" ht="21" customHeight="1">
      <c r="A199" s="20" t="str">
        <f t="shared" si="85"/>
        <v>►</v>
      </c>
      <c r="B199" s="43" t="str">
        <f t="shared" si="86"/>
        <v>►</v>
      </c>
      <c r="C199" s="45" t="str">
        <f t="shared" si="69"/>
        <v>►</v>
      </c>
      <c r="D199" s="44" t="str">
        <f t="shared" si="70"/>
        <v>►</v>
      </c>
      <c r="E199" s="43" t="str">
        <f t="shared" si="71"/>
        <v>►</v>
      </c>
      <c r="F199" s="43" t="str">
        <f t="shared" si="72"/>
        <v>►</v>
      </c>
      <c r="G199" s="43" t="str">
        <f t="shared" si="74"/>
        <v>►</v>
      </c>
      <c r="H199" s="1256" t="s">
        <v>1</v>
      </c>
      <c r="I199" s="5175" t="s">
        <v>1</v>
      </c>
      <c r="J199" s="5161"/>
      <c r="K199" s="5161"/>
      <c r="L199" s="5161"/>
      <c r="M199" s="5176"/>
      <c r="N199" s="5177"/>
      <c r="O199" s="147"/>
      <c r="P199" s="147"/>
      <c r="Q199" s="102"/>
      <c r="R199" s="102"/>
      <c r="S199" s="1360"/>
      <c r="T199" s="43"/>
      <c r="U199" s="42"/>
      <c r="V199" s="41"/>
      <c r="W199" s="40"/>
      <c r="X199" s="39"/>
      <c r="Y199" s="38"/>
      <c r="Z199" s="37"/>
      <c r="AA199" s="36"/>
      <c r="AB199" s="35"/>
      <c r="AC199" s="34"/>
      <c r="AD199" s="55"/>
      <c r="AE199" s="33"/>
      <c r="AF199"/>
      <c r="AG199" s="32"/>
      <c r="AH199" s="31"/>
      <c r="AI199" s="30"/>
      <c r="AJ199" s="5492">
        <f t="shared" si="77"/>
        <v>0</v>
      </c>
      <c r="AK199" s="54">
        <f t="shared" si="78"/>
        <v>0</v>
      </c>
      <c r="AL199" s="53" t="str">
        <f t="shared" si="79"/>
        <v/>
      </c>
      <c r="AM199" s="52"/>
      <c r="AN199" s="51">
        <f t="shared" si="80"/>
        <v>0</v>
      </c>
      <c r="AO199" s="50">
        <f t="shared" si="81"/>
        <v>0</v>
      </c>
      <c r="AP199" s="49">
        <f t="shared" si="82"/>
        <v>0</v>
      </c>
      <c r="AQ199" s="23"/>
      <c r="AR199" s="48">
        <f t="shared" si="83"/>
        <v>0</v>
      </c>
      <c r="AS199" s="47"/>
      <c r="AT199" s="13"/>
      <c r="AU199" s="46">
        <f t="shared" si="84"/>
        <v>0</v>
      </c>
      <c r="AV199"/>
      <c r="AZ199"/>
      <c r="BA199"/>
      <c r="BB199"/>
      <c r="BC199" s="3"/>
      <c r="BD199" s="3"/>
      <c r="BE199" s="3"/>
      <c r="BF199" s="3"/>
      <c r="BG199" s="3"/>
      <c r="BH199" s="3"/>
      <c r="BI199" s="3"/>
      <c r="BJ199" s="3"/>
      <c r="BL199" s="20" t="str">
        <f t="shared" si="75"/>
        <v>►</v>
      </c>
      <c r="BM199"/>
      <c r="BN199"/>
      <c r="BO199"/>
      <c r="BP199"/>
      <c r="BQ199"/>
      <c r="BR199"/>
      <c r="BS199"/>
      <c r="CN199" s="56"/>
      <c r="CO199" s="5">
        <v>1</v>
      </c>
    </row>
    <row r="200" spans="1:93" s="1" customFormat="1" ht="21" customHeight="1">
      <c r="A200" s="20" t="str">
        <f t="shared" si="85"/>
        <v>►</v>
      </c>
      <c r="B200" s="43" t="str">
        <f t="shared" si="86"/>
        <v>►</v>
      </c>
      <c r="C200" s="45" t="str">
        <f t="shared" si="69"/>
        <v>►</v>
      </c>
      <c r="D200" s="44" t="str">
        <f t="shared" si="70"/>
        <v>►</v>
      </c>
      <c r="E200" s="43" t="str">
        <f t="shared" si="71"/>
        <v>►</v>
      </c>
      <c r="F200" s="43" t="str">
        <f t="shared" si="72"/>
        <v>►</v>
      </c>
      <c r="G200" s="43" t="str">
        <f t="shared" si="74"/>
        <v>►</v>
      </c>
      <c r="H200" s="1256" t="s">
        <v>1</v>
      </c>
      <c r="I200" s="5175" t="s">
        <v>1</v>
      </c>
      <c r="J200" s="5161"/>
      <c r="K200" s="5161"/>
      <c r="L200" s="5161"/>
      <c r="M200" s="5176"/>
      <c r="N200" s="5177"/>
      <c r="O200" s="147"/>
      <c r="P200" s="147"/>
      <c r="Q200" s="102"/>
      <c r="R200" s="102"/>
      <c r="S200" s="1360"/>
      <c r="T200" s="43"/>
      <c r="U200" s="42"/>
      <c r="V200" s="41"/>
      <c r="W200" s="40"/>
      <c r="X200" s="39"/>
      <c r="Y200" s="38"/>
      <c r="Z200" s="37"/>
      <c r="AA200" s="36"/>
      <c r="AB200" s="35"/>
      <c r="AC200" s="34"/>
      <c r="AD200" s="55"/>
      <c r="AE200" s="33"/>
      <c r="AF200"/>
      <c r="AG200" s="32"/>
      <c r="AH200" s="31"/>
      <c r="AI200" s="30"/>
      <c r="AJ200" s="5492">
        <f t="shared" si="77"/>
        <v>0</v>
      </c>
      <c r="AK200" s="29">
        <f t="shared" si="78"/>
        <v>0</v>
      </c>
      <c r="AL200" s="28" t="str">
        <f t="shared" si="79"/>
        <v/>
      </c>
      <c r="AM200" s="27"/>
      <c r="AN200" s="26">
        <f t="shared" si="80"/>
        <v>0</v>
      </c>
      <c r="AO200" s="25">
        <f t="shared" si="81"/>
        <v>0</v>
      </c>
      <c r="AP200" s="24">
        <f t="shared" si="82"/>
        <v>0</v>
      </c>
      <c r="AQ200" s="23"/>
      <c r="AR200" s="22">
        <f t="shared" si="83"/>
        <v>0</v>
      </c>
      <c r="AS200" s="21"/>
      <c r="AT200" s="13"/>
      <c r="AU200" s="46">
        <f t="shared" si="84"/>
        <v>0</v>
      </c>
      <c r="AV200"/>
      <c r="AZ200"/>
      <c r="BA200"/>
      <c r="BB200"/>
      <c r="BC200" s="3"/>
      <c r="BD200" s="3"/>
      <c r="BE200" s="3"/>
      <c r="BF200" s="3"/>
      <c r="BG200" s="3"/>
      <c r="BH200" s="3"/>
      <c r="BI200" s="3"/>
      <c r="BJ200" s="3"/>
      <c r="BL200" s="20" t="str">
        <f t="shared" si="75"/>
        <v>►</v>
      </c>
      <c r="BM200"/>
      <c r="BN200"/>
      <c r="BO200"/>
      <c r="BP200"/>
      <c r="BQ200"/>
      <c r="BR200"/>
      <c r="BS200"/>
      <c r="CN200" s="56"/>
      <c r="CO200" s="5">
        <v>1</v>
      </c>
    </row>
    <row r="201" spans="1:93" s="1" customFormat="1" ht="21" customHeight="1">
      <c r="A201" s="20" t="str">
        <f t="shared" si="85"/>
        <v>►</v>
      </c>
      <c r="B201" s="43" t="str">
        <f t="shared" si="86"/>
        <v>►</v>
      </c>
      <c r="C201" s="45" t="str">
        <f t="shared" si="69"/>
        <v>►</v>
      </c>
      <c r="D201" s="44" t="str">
        <f t="shared" si="70"/>
        <v>►</v>
      </c>
      <c r="E201" s="43" t="str">
        <f t="shared" si="71"/>
        <v>►</v>
      </c>
      <c r="F201" s="43" t="str">
        <f t="shared" si="72"/>
        <v>►</v>
      </c>
      <c r="G201" s="43" t="str">
        <f t="shared" si="74"/>
        <v>►</v>
      </c>
      <c r="H201" s="1256" t="s">
        <v>1</v>
      </c>
      <c r="I201" s="5175" t="s">
        <v>1</v>
      </c>
      <c r="J201" s="5161"/>
      <c r="K201" s="5161"/>
      <c r="L201" s="5161"/>
      <c r="M201" s="5176"/>
      <c r="N201" s="5177"/>
      <c r="O201" s="147"/>
      <c r="P201" s="147"/>
      <c r="Q201" s="102"/>
      <c r="R201" s="102"/>
      <c r="S201" s="1360"/>
      <c r="T201" s="43"/>
      <c r="U201" s="42"/>
      <c r="V201" s="41"/>
      <c r="W201" s="40"/>
      <c r="X201" s="39"/>
      <c r="Y201" s="38"/>
      <c r="Z201" s="37"/>
      <c r="AA201" s="36"/>
      <c r="AB201" s="35"/>
      <c r="AC201" s="34"/>
      <c r="AD201" s="55"/>
      <c r="AE201" s="33"/>
      <c r="AF201"/>
      <c r="AG201" s="32"/>
      <c r="AH201" s="31"/>
      <c r="AI201" s="30"/>
      <c r="AJ201" s="5492">
        <f t="shared" si="77"/>
        <v>0</v>
      </c>
      <c r="AK201" s="54">
        <f t="shared" si="78"/>
        <v>0</v>
      </c>
      <c r="AL201" s="53" t="str">
        <f t="shared" si="79"/>
        <v/>
      </c>
      <c r="AM201" s="52"/>
      <c r="AN201" s="51">
        <f t="shared" si="80"/>
        <v>0</v>
      </c>
      <c r="AO201" s="50">
        <f t="shared" si="81"/>
        <v>0</v>
      </c>
      <c r="AP201" s="49">
        <f t="shared" si="82"/>
        <v>0</v>
      </c>
      <c r="AQ201" s="23"/>
      <c r="AR201" s="48">
        <f t="shared" si="83"/>
        <v>0</v>
      </c>
      <c r="AS201" s="47"/>
      <c r="AT201" s="13"/>
      <c r="AU201" s="46">
        <f t="shared" si="84"/>
        <v>0</v>
      </c>
      <c r="AV201"/>
      <c r="AZ201"/>
      <c r="BA201"/>
      <c r="BB201"/>
      <c r="BC201" s="3"/>
      <c r="BD201" s="3"/>
      <c r="BE201" s="3"/>
      <c r="BF201" s="3"/>
      <c r="BG201" s="3"/>
      <c r="BH201" s="3"/>
      <c r="BI201" s="3"/>
      <c r="BJ201" s="3"/>
      <c r="BL201" s="20" t="str">
        <f t="shared" si="75"/>
        <v>►</v>
      </c>
      <c r="BM201"/>
      <c r="BN201"/>
      <c r="BO201"/>
      <c r="BP201"/>
      <c r="BQ201"/>
      <c r="BR201"/>
      <c r="BS201"/>
      <c r="CN201" s="56" t="s">
        <v>1</v>
      </c>
      <c r="CO201" s="5">
        <v>1</v>
      </c>
    </row>
    <row r="202" spans="1:93" s="1" customFormat="1" ht="21" customHeight="1">
      <c r="A202" s="20" t="str">
        <f t="shared" si="85"/>
        <v>►</v>
      </c>
      <c r="B202" s="43" t="str">
        <f t="shared" si="86"/>
        <v>►</v>
      </c>
      <c r="C202" s="45" t="str">
        <f t="shared" si="69"/>
        <v>►</v>
      </c>
      <c r="D202" s="44" t="str">
        <f t="shared" si="70"/>
        <v>►</v>
      </c>
      <c r="E202" s="43" t="str">
        <f t="shared" si="71"/>
        <v>►</v>
      </c>
      <c r="F202" s="43" t="str">
        <f t="shared" si="72"/>
        <v>►</v>
      </c>
      <c r="G202" s="43" t="str">
        <f t="shared" si="74"/>
        <v>►</v>
      </c>
      <c r="H202" s="1256" t="s">
        <v>1</v>
      </c>
      <c r="I202" s="5175" t="s">
        <v>1</v>
      </c>
      <c r="J202" s="5161"/>
      <c r="K202" s="5161"/>
      <c r="L202" s="5161"/>
      <c r="M202" s="5176"/>
      <c r="N202" s="5177"/>
      <c r="O202" s="147"/>
      <c r="P202" s="147"/>
      <c r="Q202" s="102"/>
      <c r="R202" s="102"/>
      <c r="S202" s="1360"/>
      <c r="T202" s="43"/>
      <c r="U202" s="42"/>
      <c r="V202" s="41"/>
      <c r="W202" s="40"/>
      <c r="X202" s="39"/>
      <c r="Y202" s="38"/>
      <c r="Z202" s="37"/>
      <c r="AA202" s="36"/>
      <c r="AB202" s="35"/>
      <c r="AC202" s="34"/>
      <c r="AD202" s="55"/>
      <c r="AE202" s="33"/>
      <c r="AF202"/>
      <c r="AG202" s="32"/>
      <c r="AH202" s="31"/>
      <c r="AI202" s="30"/>
      <c r="AJ202" s="5492">
        <f t="shared" si="77"/>
        <v>0</v>
      </c>
      <c r="AK202" s="29">
        <f t="shared" si="78"/>
        <v>0</v>
      </c>
      <c r="AL202" s="28" t="str">
        <f t="shared" si="79"/>
        <v/>
      </c>
      <c r="AM202" s="27"/>
      <c r="AN202" s="26">
        <f t="shared" si="80"/>
        <v>0</v>
      </c>
      <c r="AO202" s="25">
        <f t="shared" si="81"/>
        <v>0</v>
      </c>
      <c r="AP202" s="24">
        <f t="shared" si="82"/>
        <v>0</v>
      </c>
      <c r="AQ202" s="23"/>
      <c r="AR202" s="22">
        <f t="shared" si="83"/>
        <v>0</v>
      </c>
      <c r="AS202" s="21"/>
      <c r="AT202" s="13"/>
      <c r="AU202" s="46">
        <f t="shared" si="84"/>
        <v>0</v>
      </c>
      <c r="AV202"/>
      <c r="AZ202"/>
      <c r="BA202"/>
      <c r="BB202"/>
      <c r="BC202" s="3"/>
      <c r="BD202" s="3"/>
      <c r="BE202" s="3"/>
      <c r="BF202" s="3"/>
      <c r="BG202" s="3"/>
      <c r="BH202" s="3"/>
      <c r="BI202" s="3"/>
      <c r="BJ202" s="3"/>
      <c r="BL202" s="20" t="str">
        <f t="shared" si="75"/>
        <v>►</v>
      </c>
      <c r="BM202"/>
      <c r="BN202"/>
      <c r="BO202"/>
      <c r="BP202"/>
      <c r="BQ202"/>
      <c r="BR202"/>
      <c r="BS202"/>
      <c r="CN202" s="56" t="s">
        <v>1</v>
      </c>
      <c r="CO202" s="5">
        <v>1</v>
      </c>
    </row>
    <row r="203" spans="1:93" s="1" customFormat="1" ht="21" customHeight="1">
      <c r="A203" s="20" t="str">
        <f t="shared" si="85"/>
        <v>►</v>
      </c>
      <c r="B203" s="43" t="str">
        <f t="shared" si="86"/>
        <v>►</v>
      </c>
      <c r="C203" s="45" t="str">
        <f t="shared" si="69"/>
        <v>►</v>
      </c>
      <c r="D203" s="44" t="str">
        <f t="shared" si="70"/>
        <v>►</v>
      </c>
      <c r="E203" s="43" t="str">
        <f t="shared" si="71"/>
        <v>►</v>
      </c>
      <c r="F203" s="43" t="str">
        <f t="shared" si="72"/>
        <v>►</v>
      </c>
      <c r="G203" s="43" t="str">
        <f t="shared" si="74"/>
        <v>►</v>
      </c>
      <c r="H203" s="1256" t="s">
        <v>1</v>
      </c>
      <c r="I203" s="5175" t="s">
        <v>1</v>
      </c>
      <c r="J203" s="5161"/>
      <c r="K203" s="5161"/>
      <c r="L203" s="5161"/>
      <c r="M203" s="5176"/>
      <c r="N203" s="5177"/>
      <c r="O203" s="147"/>
      <c r="P203" s="147"/>
      <c r="Q203" s="102"/>
      <c r="R203" s="102"/>
      <c r="S203" s="1360"/>
      <c r="T203" s="43"/>
      <c r="U203" s="42"/>
      <c r="V203" s="41"/>
      <c r="W203" s="40"/>
      <c r="X203" s="39"/>
      <c r="Y203" s="38"/>
      <c r="Z203" s="37"/>
      <c r="AA203" s="36"/>
      <c r="AB203" s="35"/>
      <c r="AC203" s="34"/>
      <c r="AD203" s="55"/>
      <c r="AE203" s="33"/>
      <c r="AF203"/>
      <c r="AG203" s="32"/>
      <c r="AH203" s="31"/>
      <c r="AI203" s="30"/>
      <c r="AJ203" s="5492">
        <f t="shared" si="77"/>
        <v>0</v>
      </c>
      <c r="AK203" s="54">
        <f t="shared" si="78"/>
        <v>0</v>
      </c>
      <c r="AL203" s="53" t="str">
        <f t="shared" si="79"/>
        <v/>
      </c>
      <c r="AM203" s="52"/>
      <c r="AN203" s="51">
        <f t="shared" si="80"/>
        <v>0</v>
      </c>
      <c r="AO203" s="50">
        <f t="shared" si="81"/>
        <v>0</v>
      </c>
      <c r="AP203" s="49">
        <f t="shared" si="82"/>
        <v>0</v>
      </c>
      <c r="AQ203" s="23"/>
      <c r="AR203" s="48">
        <f t="shared" si="83"/>
        <v>0</v>
      </c>
      <c r="AS203" s="47"/>
      <c r="AT203" s="13"/>
      <c r="AU203" s="46">
        <f t="shared" si="84"/>
        <v>0</v>
      </c>
      <c r="AV203"/>
      <c r="AZ203"/>
      <c r="BA203"/>
      <c r="BB203"/>
      <c r="BC203" s="3"/>
      <c r="BD203" s="3"/>
      <c r="BE203" s="3"/>
      <c r="BF203" s="3"/>
      <c r="BG203" s="3"/>
      <c r="BH203" s="3"/>
      <c r="BI203" s="3"/>
      <c r="BJ203" s="3"/>
      <c r="BL203" s="20" t="str">
        <f t="shared" si="75"/>
        <v>►</v>
      </c>
      <c r="BM203"/>
      <c r="BN203"/>
      <c r="BO203"/>
      <c r="BP203"/>
      <c r="BQ203"/>
      <c r="BR203"/>
      <c r="BS203"/>
      <c r="CN203" s="56" t="s">
        <v>1</v>
      </c>
      <c r="CO203" s="5">
        <v>1</v>
      </c>
    </row>
    <row r="204" spans="1:93" s="1" customFormat="1" ht="21" customHeight="1">
      <c r="A204" s="20" t="str">
        <f t="shared" si="85"/>
        <v>►</v>
      </c>
      <c r="B204" s="43" t="str">
        <f t="shared" si="86"/>
        <v>►</v>
      </c>
      <c r="C204" s="45" t="str">
        <f t="shared" si="69"/>
        <v>►</v>
      </c>
      <c r="D204" s="44" t="str">
        <f t="shared" si="70"/>
        <v>►</v>
      </c>
      <c r="E204" s="43" t="str">
        <f t="shared" si="71"/>
        <v>►</v>
      </c>
      <c r="F204" s="43" t="str">
        <f t="shared" si="72"/>
        <v>►</v>
      </c>
      <c r="G204" s="43" t="str">
        <f t="shared" si="74"/>
        <v>►</v>
      </c>
      <c r="H204" s="1256" t="s">
        <v>1</v>
      </c>
      <c r="I204" s="5175" t="s">
        <v>1</v>
      </c>
      <c r="J204" s="5161"/>
      <c r="K204" s="5161"/>
      <c r="L204" s="5161"/>
      <c r="M204" s="5176"/>
      <c r="N204" s="5177"/>
      <c r="O204" s="147"/>
      <c r="P204" s="147"/>
      <c r="Q204" s="102"/>
      <c r="R204" s="102"/>
      <c r="S204" s="1360"/>
      <c r="T204" s="43"/>
      <c r="U204" s="42"/>
      <c r="V204" s="41"/>
      <c r="W204" s="40"/>
      <c r="X204" s="39"/>
      <c r="Y204" s="38"/>
      <c r="Z204" s="37"/>
      <c r="AA204" s="36"/>
      <c r="AB204" s="35"/>
      <c r="AC204" s="34"/>
      <c r="AD204" s="55"/>
      <c r="AE204" s="33"/>
      <c r="AF204"/>
      <c r="AG204" s="32"/>
      <c r="AH204" s="31"/>
      <c r="AI204" s="30"/>
      <c r="AJ204" s="5492">
        <f t="shared" si="77"/>
        <v>0</v>
      </c>
      <c r="AK204" s="29">
        <f t="shared" si="78"/>
        <v>0</v>
      </c>
      <c r="AL204" s="28" t="str">
        <f t="shared" si="79"/>
        <v/>
      </c>
      <c r="AM204" s="27"/>
      <c r="AN204" s="26">
        <f t="shared" si="80"/>
        <v>0</v>
      </c>
      <c r="AO204" s="25">
        <f t="shared" si="81"/>
        <v>0</v>
      </c>
      <c r="AP204" s="24">
        <f t="shared" si="82"/>
        <v>0</v>
      </c>
      <c r="AQ204" s="23"/>
      <c r="AR204" s="22">
        <f t="shared" si="83"/>
        <v>0</v>
      </c>
      <c r="AS204" s="21"/>
      <c r="AT204" s="13"/>
      <c r="AU204" s="46">
        <f t="shared" si="84"/>
        <v>0</v>
      </c>
      <c r="AV204"/>
      <c r="AZ204"/>
      <c r="BA204"/>
      <c r="BB204"/>
      <c r="BC204" s="3"/>
      <c r="BD204" s="3"/>
      <c r="BE204" s="3"/>
      <c r="BF204" s="3"/>
      <c r="BG204" s="3"/>
      <c r="BH204" s="3"/>
      <c r="BI204" s="3"/>
      <c r="BJ204" s="3"/>
      <c r="BL204" s="20" t="str">
        <f t="shared" si="75"/>
        <v>►</v>
      </c>
      <c r="BM204"/>
      <c r="BN204"/>
      <c r="BO204"/>
      <c r="BP204"/>
      <c r="BQ204"/>
      <c r="BR204"/>
      <c r="BS204"/>
      <c r="CN204" s="56" t="s">
        <v>1</v>
      </c>
      <c r="CO204" s="5">
        <v>1</v>
      </c>
    </row>
    <row r="205" spans="1:93" s="1" customFormat="1" ht="21" customHeight="1">
      <c r="A205" s="20" t="str">
        <f t="shared" si="85"/>
        <v>►</v>
      </c>
      <c r="B205" s="43" t="str">
        <f t="shared" si="86"/>
        <v>►</v>
      </c>
      <c r="C205" s="45" t="str">
        <f t="shared" si="69"/>
        <v>►</v>
      </c>
      <c r="D205" s="44" t="str">
        <f t="shared" si="70"/>
        <v>►</v>
      </c>
      <c r="E205" s="43" t="str">
        <f t="shared" si="71"/>
        <v>►</v>
      </c>
      <c r="F205" s="43" t="str">
        <f t="shared" si="72"/>
        <v>►</v>
      </c>
      <c r="G205" s="43" t="str">
        <f t="shared" si="74"/>
        <v>►</v>
      </c>
      <c r="H205" s="1256" t="s">
        <v>1</v>
      </c>
      <c r="I205" s="5175" t="s">
        <v>1</v>
      </c>
      <c r="J205" s="5161"/>
      <c r="K205" s="5161"/>
      <c r="L205" s="5161"/>
      <c r="M205" s="5176"/>
      <c r="N205" s="5177"/>
      <c r="O205" s="147"/>
      <c r="P205" s="147"/>
      <c r="Q205" s="102"/>
      <c r="R205" s="102"/>
      <c r="S205" s="1360"/>
      <c r="T205" s="43"/>
      <c r="U205" s="42"/>
      <c r="V205" s="41"/>
      <c r="W205" s="40"/>
      <c r="X205" s="39"/>
      <c r="Y205" s="38"/>
      <c r="Z205" s="37"/>
      <c r="AA205" s="36"/>
      <c r="AB205" s="35"/>
      <c r="AC205" s="34"/>
      <c r="AD205" s="55"/>
      <c r="AE205" s="33"/>
      <c r="AF205"/>
      <c r="AG205" s="32"/>
      <c r="AH205" s="31"/>
      <c r="AI205" s="30"/>
      <c r="AJ205" s="5492">
        <f t="shared" si="77"/>
        <v>0</v>
      </c>
      <c r="AK205" s="54">
        <f t="shared" si="78"/>
        <v>0</v>
      </c>
      <c r="AL205" s="53" t="str">
        <f t="shared" si="79"/>
        <v/>
      </c>
      <c r="AM205" s="52"/>
      <c r="AN205" s="51">
        <f t="shared" si="80"/>
        <v>0</v>
      </c>
      <c r="AO205" s="50">
        <f t="shared" si="81"/>
        <v>0</v>
      </c>
      <c r="AP205" s="49">
        <f t="shared" si="82"/>
        <v>0</v>
      </c>
      <c r="AQ205" s="23"/>
      <c r="AR205" s="48">
        <f t="shared" si="83"/>
        <v>0</v>
      </c>
      <c r="AS205" s="47"/>
      <c r="AT205" s="13"/>
      <c r="AU205" s="46">
        <f t="shared" si="84"/>
        <v>0</v>
      </c>
      <c r="AV205"/>
      <c r="AZ205"/>
      <c r="BA205"/>
      <c r="BB205"/>
      <c r="BC205" s="3"/>
      <c r="BD205" s="3"/>
      <c r="BE205" s="3"/>
      <c r="BF205" s="3"/>
      <c r="BG205" s="3"/>
      <c r="BH205" s="3"/>
      <c r="BI205" s="3"/>
      <c r="BJ205" s="3"/>
      <c r="BL205" s="20" t="str">
        <f t="shared" si="75"/>
        <v>►</v>
      </c>
      <c r="BM205"/>
      <c r="BN205"/>
      <c r="BO205"/>
      <c r="BP205"/>
      <c r="BQ205"/>
      <c r="BR205"/>
      <c r="BS205"/>
      <c r="CN205" s="56" t="s">
        <v>1</v>
      </c>
      <c r="CO205" s="5">
        <v>1</v>
      </c>
    </row>
    <row r="206" spans="1:93" s="1" customFormat="1" ht="21" customHeight="1">
      <c r="A206" s="20" t="str">
        <f t="shared" si="85"/>
        <v>►</v>
      </c>
      <c r="B206" s="43" t="str">
        <f t="shared" si="86"/>
        <v>►</v>
      </c>
      <c r="C206" s="45" t="str">
        <f t="shared" ref="C206:C269" si="87">IF(B206="►","►",IFERROR(LEFT(B206,SEARCH(".",B206)-1),0))</f>
        <v>►</v>
      </c>
      <c r="D206" s="44" t="str">
        <f t="shared" ref="D206:D269" si="88">IF(B206="►","►",IFERROR(MID(B206,SEARCH(".",B206)+1,SEARCH(".",B206,SEARCH(".",B206)+1)-SEARCH(".",B206)-1),0))</f>
        <v>►</v>
      </c>
      <c r="E206" s="43" t="str">
        <f t="shared" ref="E206:E269" si="89">IF(B206="►","►",IFERROR(MID(B206,SEARCH(".",B206,SEARCH(".",B206)+1)+1,SEARCH(".",B206,SEARCH(".",B206,SEARCH(".",B206)+1)+1)-SEARCH(".",B206,SEARCH(".",B206)+1)-1),0))</f>
        <v>►</v>
      </c>
      <c r="F206" s="43" t="str">
        <f t="shared" ref="F206:F269" si="90">IF(B206="►","►",IFERROR(MID(J206,SEARCH(".",B206,SEARCH(".",B206,SEARCH(".",B206)+1)+1)+1,SEARCH(".",B206,SEARCH(".",B206,SEARCH(".",B206,SEARCH(".",B206)+1)+1)+1)-SEARCH(".",B206,SEARCH(".",B206,SEARCH(".",B206)+1)+1)-1),0))</f>
        <v>►</v>
      </c>
      <c r="G206" s="43" t="str">
        <f t="shared" si="74"/>
        <v>►</v>
      </c>
      <c r="H206" s="1256" t="s">
        <v>1</v>
      </c>
      <c r="I206" s="5175" t="s">
        <v>1</v>
      </c>
      <c r="J206" s="5161"/>
      <c r="K206" s="5161"/>
      <c r="L206" s="5161"/>
      <c r="M206" s="5176"/>
      <c r="N206" s="5177"/>
      <c r="O206" s="147"/>
      <c r="P206" s="147"/>
      <c r="Q206" s="102"/>
      <c r="R206" s="102"/>
      <c r="S206" s="1360"/>
      <c r="T206" s="43"/>
      <c r="U206" s="42"/>
      <c r="V206" s="41"/>
      <c r="W206" s="40"/>
      <c r="X206" s="39"/>
      <c r="Y206" s="38"/>
      <c r="Z206" s="37"/>
      <c r="AA206" s="36"/>
      <c r="AB206" s="35"/>
      <c r="AC206" s="34"/>
      <c r="AD206" s="55"/>
      <c r="AE206" s="33"/>
      <c r="AF206"/>
      <c r="AG206" s="32"/>
      <c r="AH206" s="31"/>
      <c r="AI206" s="30"/>
      <c r="AJ206" s="5492">
        <f t="shared" si="77"/>
        <v>0</v>
      </c>
      <c r="AK206" s="29">
        <f t="shared" si="78"/>
        <v>0</v>
      </c>
      <c r="AL206" s="28" t="str">
        <f t="shared" si="79"/>
        <v/>
      </c>
      <c r="AM206" s="27"/>
      <c r="AN206" s="26">
        <f t="shared" si="80"/>
        <v>0</v>
      </c>
      <c r="AO206" s="25">
        <f t="shared" si="81"/>
        <v>0</v>
      </c>
      <c r="AP206" s="24">
        <f t="shared" si="82"/>
        <v>0</v>
      </c>
      <c r="AQ206" s="23"/>
      <c r="AR206" s="22">
        <f t="shared" si="83"/>
        <v>0</v>
      </c>
      <c r="AS206" s="21"/>
      <c r="AT206" s="13"/>
      <c r="AU206" s="46">
        <f t="shared" si="84"/>
        <v>0</v>
      </c>
      <c r="AV206"/>
      <c r="AZ206"/>
      <c r="BA206"/>
      <c r="BB206"/>
      <c r="BC206" s="3"/>
      <c r="BD206" s="3"/>
      <c r="BE206" s="3"/>
      <c r="BF206" s="3"/>
      <c r="BG206" s="3"/>
      <c r="BH206" s="3"/>
      <c r="BI206" s="3"/>
      <c r="BJ206" s="3"/>
      <c r="BL206" s="20" t="str">
        <f t="shared" si="75"/>
        <v>►</v>
      </c>
      <c r="BM206"/>
      <c r="BN206"/>
      <c r="BO206"/>
      <c r="BP206"/>
      <c r="BQ206"/>
      <c r="BR206"/>
      <c r="BS206"/>
      <c r="CN206" s="56" t="s">
        <v>1</v>
      </c>
      <c r="CO206" s="5">
        <v>1</v>
      </c>
    </row>
    <row r="207" spans="1:93" s="1" customFormat="1" ht="21" customHeight="1">
      <c r="A207" s="20" t="str">
        <f t="shared" si="85"/>
        <v>►</v>
      </c>
      <c r="B207" s="43" t="str">
        <f t="shared" si="86"/>
        <v>►</v>
      </c>
      <c r="C207" s="45" t="str">
        <f t="shared" si="87"/>
        <v>►</v>
      </c>
      <c r="D207" s="44" t="str">
        <f t="shared" si="88"/>
        <v>►</v>
      </c>
      <c r="E207" s="43" t="str">
        <f t="shared" si="89"/>
        <v>►</v>
      </c>
      <c r="F207" s="43" t="str">
        <f t="shared" si="90"/>
        <v>►</v>
      </c>
      <c r="G207" s="43" t="str">
        <f t="shared" si="74"/>
        <v>►</v>
      </c>
      <c r="H207" s="1256" t="s">
        <v>1</v>
      </c>
      <c r="I207" s="5175" t="s">
        <v>1</v>
      </c>
      <c r="J207" s="5161"/>
      <c r="K207" s="5161"/>
      <c r="L207" s="5161"/>
      <c r="M207" s="5176"/>
      <c r="N207" s="5177"/>
      <c r="O207" s="147"/>
      <c r="P207" s="147"/>
      <c r="Q207" s="102"/>
      <c r="R207" s="102"/>
      <c r="S207" s="1360"/>
      <c r="T207" s="43"/>
      <c r="U207" s="42"/>
      <c r="V207" s="41"/>
      <c r="W207" s="40"/>
      <c r="X207" s="39"/>
      <c r="Y207" s="38"/>
      <c r="Z207" s="37"/>
      <c r="AA207" s="36"/>
      <c r="AB207" s="35"/>
      <c r="AC207" s="34"/>
      <c r="AD207" s="55"/>
      <c r="AE207" s="33"/>
      <c r="AF207"/>
      <c r="AG207" s="32"/>
      <c r="AH207" s="31"/>
      <c r="AI207" s="30"/>
      <c r="AJ207" s="5492">
        <f t="shared" si="77"/>
        <v>0</v>
      </c>
      <c r="AK207" s="54">
        <f t="shared" si="78"/>
        <v>0</v>
      </c>
      <c r="AL207" s="53" t="str">
        <f t="shared" si="79"/>
        <v/>
      </c>
      <c r="AM207" s="52"/>
      <c r="AN207" s="51">
        <f t="shared" si="80"/>
        <v>0</v>
      </c>
      <c r="AO207" s="50">
        <f t="shared" si="81"/>
        <v>0</v>
      </c>
      <c r="AP207" s="49">
        <f t="shared" si="82"/>
        <v>0</v>
      </c>
      <c r="AQ207" s="23"/>
      <c r="AR207" s="48">
        <f t="shared" si="83"/>
        <v>0</v>
      </c>
      <c r="AS207" s="47"/>
      <c r="AT207" s="13"/>
      <c r="AU207" s="46">
        <f t="shared" si="84"/>
        <v>0</v>
      </c>
      <c r="AV207"/>
      <c r="AZ207"/>
      <c r="BA207"/>
      <c r="BB207"/>
      <c r="BC207" s="3"/>
      <c r="BD207" s="3"/>
      <c r="BE207" s="3"/>
      <c r="BF207" s="3"/>
      <c r="BG207" s="3"/>
      <c r="BH207" s="3"/>
      <c r="BI207" s="3"/>
      <c r="BJ207" s="3"/>
      <c r="BL207" s="20" t="str">
        <f t="shared" si="75"/>
        <v>►</v>
      </c>
      <c r="BM207"/>
      <c r="BN207"/>
      <c r="BO207"/>
      <c r="BP207"/>
      <c r="BQ207"/>
      <c r="BR207"/>
      <c r="BS207"/>
      <c r="CN207" s="56" t="s">
        <v>1</v>
      </c>
      <c r="CO207" s="5">
        <v>1</v>
      </c>
    </row>
    <row r="208" spans="1:93" s="1" customFormat="1" ht="21" customHeight="1">
      <c r="A208" s="20" t="str">
        <f t="shared" si="85"/>
        <v>►</v>
      </c>
      <c r="B208" s="43" t="str">
        <f t="shared" si="86"/>
        <v>►</v>
      </c>
      <c r="C208" s="45" t="str">
        <f t="shared" si="87"/>
        <v>►</v>
      </c>
      <c r="D208" s="44" t="str">
        <f t="shared" si="88"/>
        <v>►</v>
      </c>
      <c r="E208" s="43" t="str">
        <f t="shared" si="89"/>
        <v>►</v>
      </c>
      <c r="F208" s="43" t="str">
        <f t="shared" si="90"/>
        <v>►</v>
      </c>
      <c r="G208" s="43" t="str">
        <f t="shared" ref="G208:G271" si="91">IF(B208="►","►",IF(ISBLANK(B208),"►",IFERROR(RIGHT(B208,LEN(B208)-FIND("►",B208)-1),"")))</f>
        <v>►</v>
      </c>
      <c r="H208" s="1256" t="s">
        <v>1</v>
      </c>
      <c r="I208" s="5175" t="s">
        <v>1</v>
      </c>
      <c r="J208" s="5161"/>
      <c r="K208" s="5161"/>
      <c r="L208" s="5161"/>
      <c r="M208" s="5176"/>
      <c r="N208" s="5177"/>
      <c r="O208" s="147"/>
      <c r="P208" s="147"/>
      <c r="Q208" s="102"/>
      <c r="R208" s="102"/>
      <c r="S208" s="1360"/>
      <c r="T208" s="43"/>
      <c r="U208" s="42"/>
      <c r="V208" s="41"/>
      <c r="W208" s="40"/>
      <c r="X208" s="39"/>
      <c r="Y208" s="38"/>
      <c r="Z208" s="37"/>
      <c r="AA208" s="36"/>
      <c r="AB208" s="35"/>
      <c r="AC208" s="34"/>
      <c r="AD208" s="55"/>
      <c r="AE208" s="33"/>
      <c r="AF208"/>
      <c r="AG208" s="32"/>
      <c r="AH208" s="31"/>
      <c r="AI208" s="30"/>
      <c r="AJ208" s="5492">
        <f t="shared" si="77"/>
        <v>0</v>
      </c>
      <c r="AK208" s="29">
        <f t="shared" si="78"/>
        <v>0</v>
      </c>
      <c r="AL208" s="28" t="str">
        <f t="shared" si="79"/>
        <v/>
      </c>
      <c r="AM208" s="27"/>
      <c r="AN208" s="26">
        <f t="shared" si="80"/>
        <v>0</v>
      </c>
      <c r="AO208" s="25">
        <f t="shared" si="81"/>
        <v>0</v>
      </c>
      <c r="AP208" s="24">
        <f t="shared" si="82"/>
        <v>0</v>
      </c>
      <c r="AQ208" s="23"/>
      <c r="AR208" s="22">
        <f t="shared" si="83"/>
        <v>0</v>
      </c>
      <c r="AS208" s="21"/>
      <c r="AT208" s="13"/>
      <c r="AU208" s="46">
        <f t="shared" si="84"/>
        <v>0</v>
      </c>
      <c r="AV208"/>
      <c r="AZ208"/>
      <c r="BA208"/>
      <c r="BB208"/>
      <c r="BC208" s="3"/>
      <c r="BD208" s="3"/>
      <c r="BE208" s="3"/>
      <c r="BF208" s="3"/>
      <c r="BG208" s="3"/>
      <c r="BH208" s="3"/>
      <c r="BI208" s="3"/>
      <c r="BJ208" s="3"/>
      <c r="BL208" s="20" t="str">
        <f t="shared" si="75"/>
        <v>►</v>
      </c>
      <c r="BM208"/>
      <c r="BN208"/>
      <c r="BO208"/>
      <c r="BP208"/>
      <c r="BQ208"/>
      <c r="BR208"/>
      <c r="BS208"/>
      <c r="CN208" s="56" t="s">
        <v>1</v>
      </c>
      <c r="CO208" s="5">
        <v>1</v>
      </c>
    </row>
    <row r="209" spans="1:93" s="1" customFormat="1" ht="21" customHeight="1">
      <c r="A209" s="20" t="str">
        <f t="shared" si="85"/>
        <v>►</v>
      </c>
      <c r="B209" s="43" t="str">
        <f t="shared" si="86"/>
        <v>►</v>
      </c>
      <c r="C209" s="45" t="str">
        <f t="shared" si="87"/>
        <v>►</v>
      </c>
      <c r="D209" s="44" t="str">
        <f t="shared" si="88"/>
        <v>►</v>
      </c>
      <c r="E209" s="43" t="str">
        <f t="shared" si="89"/>
        <v>►</v>
      </c>
      <c r="F209" s="43" t="str">
        <f t="shared" si="90"/>
        <v>►</v>
      </c>
      <c r="G209" s="43" t="str">
        <f t="shared" si="91"/>
        <v>►</v>
      </c>
      <c r="H209" s="1256" t="s">
        <v>1</v>
      </c>
      <c r="I209" s="5175" t="s">
        <v>1</v>
      </c>
      <c r="J209" s="5161"/>
      <c r="K209" s="5161"/>
      <c r="L209" s="5161"/>
      <c r="M209" s="5176"/>
      <c r="N209" s="5177"/>
      <c r="O209" s="147"/>
      <c r="P209" s="147"/>
      <c r="Q209" s="102"/>
      <c r="R209" s="102"/>
      <c r="S209" s="1360"/>
      <c r="T209" s="43"/>
      <c r="U209" s="42"/>
      <c r="V209" s="41"/>
      <c r="W209" s="40"/>
      <c r="X209" s="39"/>
      <c r="Y209" s="38"/>
      <c r="Z209" s="37"/>
      <c r="AA209" s="36"/>
      <c r="AB209" s="35"/>
      <c r="AC209" s="34"/>
      <c r="AD209" s="55"/>
      <c r="AE209" s="33"/>
      <c r="AF209"/>
      <c r="AG209" s="32"/>
      <c r="AH209" s="31"/>
      <c r="AI209" s="30"/>
      <c r="AJ209" s="5492">
        <f t="shared" si="77"/>
        <v>0</v>
      </c>
      <c r="AK209" s="54">
        <f t="shared" si="78"/>
        <v>0</v>
      </c>
      <c r="AL209" s="53" t="str">
        <f t="shared" si="79"/>
        <v/>
      </c>
      <c r="AM209" s="52"/>
      <c r="AN209" s="51">
        <f t="shared" si="80"/>
        <v>0</v>
      </c>
      <c r="AO209" s="50">
        <f t="shared" si="81"/>
        <v>0</v>
      </c>
      <c r="AP209" s="49">
        <f t="shared" si="82"/>
        <v>0</v>
      </c>
      <c r="AQ209" s="23"/>
      <c r="AR209" s="48">
        <f t="shared" si="83"/>
        <v>0</v>
      </c>
      <c r="AS209" s="47"/>
      <c r="AT209" s="13"/>
      <c r="AU209" s="46">
        <f t="shared" si="84"/>
        <v>0</v>
      </c>
      <c r="AV209"/>
      <c r="AZ209"/>
      <c r="BA209"/>
      <c r="BB209"/>
      <c r="BC209" s="3"/>
      <c r="BD209" s="3"/>
      <c r="BE209" s="3"/>
      <c r="BF209" s="3"/>
      <c r="BG209" s="3"/>
      <c r="BH209" s="3"/>
      <c r="BI209" s="3"/>
      <c r="BJ209" s="3"/>
      <c r="BL209" s="20" t="str">
        <f t="shared" si="75"/>
        <v>►</v>
      </c>
      <c r="BM209"/>
      <c r="BN209"/>
      <c r="BO209"/>
      <c r="BP209"/>
      <c r="BQ209"/>
      <c r="BR209"/>
      <c r="BS209"/>
      <c r="CN209" s="56" t="s">
        <v>1</v>
      </c>
      <c r="CO209" s="5">
        <v>1</v>
      </c>
    </row>
    <row r="210" spans="1:93" s="1" customFormat="1" ht="21" customHeight="1">
      <c r="A210" s="20" t="str">
        <f t="shared" si="85"/>
        <v>►</v>
      </c>
      <c r="B210" s="43" t="str">
        <f t="shared" si="86"/>
        <v>►</v>
      </c>
      <c r="C210" s="45" t="str">
        <f t="shared" si="87"/>
        <v>►</v>
      </c>
      <c r="D210" s="44" t="str">
        <f t="shared" si="88"/>
        <v>►</v>
      </c>
      <c r="E210" s="43" t="str">
        <f t="shared" si="89"/>
        <v>►</v>
      </c>
      <c r="F210" s="43" t="str">
        <f t="shared" si="90"/>
        <v>►</v>
      </c>
      <c r="G210" s="43" t="str">
        <f t="shared" si="91"/>
        <v>►</v>
      </c>
      <c r="H210" s="1256" t="s">
        <v>1</v>
      </c>
      <c r="I210" s="5175" t="s">
        <v>1</v>
      </c>
      <c r="J210" s="5161"/>
      <c r="K210" s="5161"/>
      <c r="L210" s="5161"/>
      <c r="M210" s="5176"/>
      <c r="N210" s="5177"/>
      <c r="O210" s="147"/>
      <c r="P210" s="147"/>
      <c r="Q210" s="102"/>
      <c r="R210" s="102"/>
      <c r="S210" s="1360"/>
      <c r="T210" s="43"/>
      <c r="U210" s="42"/>
      <c r="V210" s="41"/>
      <c r="W210" s="40"/>
      <c r="X210" s="39"/>
      <c r="Y210" s="38"/>
      <c r="Z210" s="37"/>
      <c r="AA210" s="36"/>
      <c r="AB210" s="35"/>
      <c r="AC210" s="34"/>
      <c r="AD210" s="55"/>
      <c r="AE210" s="33"/>
      <c r="AF210"/>
      <c r="AG210" s="32"/>
      <c r="AH210" s="31"/>
      <c r="AI210" s="30"/>
      <c r="AJ210" s="5492">
        <f t="shared" si="77"/>
        <v>0</v>
      </c>
      <c r="AK210" s="29">
        <f t="shared" si="78"/>
        <v>0</v>
      </c>
      <c r="AL210" s="28" t="str">
        <f t="shared" si="79"/>
        <v/>
      </c>
      <c r="AM210" s="27"/>
      <c r="AN210" s="26">
        <f t="shared" si="80"/>
        <v>0</v>
      </c>
      <c r="AO210" s="25">
        <f t="shared" si="81"/>
        <v>0</v>
      </c>
      <c r="AP210" s="24">
        <f t="shared" si="82"/>
        <v>0</v>
      </c>
      <c r="AQ210" s="23"/>
      <c r="AR210" s="22">
        <f t="shared" si="83"/>
        <v>0</v>
      </c>
      <c r="AS210" s="21"/>
      <c r="AT210" s="13"/>
      <c r="AU210" s="46">
        <f t="shared" si="84"/>
        <v>0</v>
      </c>
      <c r="AV210"/>
      <c r="AZ210"/>
      <c r="BA210"/>
      <c r="BB210"/>
      <c r="BC210" s="3"/>
      <c r="BD210" s="3"/>
      <c r="BE210" s="3"/>
      <c r="BF210" s="3"/>
      <c r="BG210" s="3"/>
      <c r="BH210" s="3"/>
      <c r="BI210" s="3"/>
      <c r="BJ210" s="3"/>
      <c r="BL210" s="20" t="str">
        <f t="shared" ref="BL210:BL273" si="92">A210</f>
        <v>►</v>
      </c>
      <c r="BM210"/>
      <c r="BN210"/>
      <c r="BO210"/>
      <c r="BP210"/>
      <c r="BQ210"/>
      <c r="BR210"/>
      <c r="BS210"/>
      <c r="CN210" s="56" t="s">
        <v>1</v>
      </c>
      <c r="CO210" s="5">
        <v>1</v>
      </c>
    </row>
    <row r="211" spans="1:93" s="1" customFormat="1" ht="21" customHeight="1">
      <c r="A211" s="20" t="str">
        <f t="shared" si="85"/>
        <v>►</v>
      </c>
      <c r="B211" s="43" t="str">
        <f t="shared" si="86"/>
        <v>►</v>
      </c>
      <c r="C211" s="45" t="str">
        <f t="shared" si="87"/>
        <v>►</v>
      </c>
      <c r="D211" s="44" t="str">
        <f t="shared" si="88"/>
        <v>►</v>
      </c>
      <c r="E211" s="43" t="str">
        <f t="shared" si="89"/>
        <v>►</v>
      </c>
      <c r="F211" s="43" t="str">
        <f t="shared" si="90"/>
        <v>►</v>
      </c>
      <c r="G211" s="43" t="str">
        <f t="shared" si="91"/>
        <v>►</v>
      </c>
      <c r="H211" s="1256" t="s">
        <v>1</v>
      </c>
      <c r="I211" s="5175" t="s">
        <v>1</v>
      </c>
      <c r="J211" s="5161"/>
      <c r="K211" s="5161"/>
      <c r="L211" s="5161"/>
      <c r="M211" s="5176"/>
      <c r="N211" s="5177"/>
      <c r="O211" s="147"/>
      <c r="P211" s="147"/>
      <c r="Q211" s="102"/>
      <c r="R211" s="102"/>
      <c r="S211" s="1360"/>
      <c r="T211" s="43"/>
      <c r="U211" s="42"/>
      <c r="V211" s="41"/>
      <c r="W211" s="40"/>
      <c r="X211" s="39"/>
      <c r="Y211" s="38"/>
      <c r="Z211" s="37"/>
      <c r="AA211" s="36"/>
      <c r="AB211" s="35"/>
      <c r="AC211" s="34"/>
      <c r="AD211" s="55"/>
      <c r="AE211" s="33"/>
      <c r="AF211"/>
      <c r="AG211" s="32"/>
      <c r="AH211" s="31"/>
      <c r="AI211" s="30"/>
      <c r="AJ211" s="5492">
        <f t="shared" si="77"/>
        <v>0</v>
      </c>
      <c r="AK211" s="54">
        <f t="shared" si="78"/>
        <v>0</v>
      </c>
      <c r="AL211" s="53" t="str">
        <f t="shared" si="79"/>
        <v/>
      </c>
      <c r="AM211" s="52"/>
      <c r="AN211" s="51">
        <f t="shared" si="80"/>
        <v>0</v>
      </c>
      <c r="AO211" s="50">
        <f t="shared" si="81"/>
        <v>0</v>
      </c>
      <c r="AP211" s="49">
        <f t="shared" si="82"/>
        <v>0</v>
      </c>
      <c r="AQ211" s="23"/>
      <c r="AR211" s="48">
        <f t="shared" si="83"/>
        <v>0</v>
      </c>
      <c r="AS211" s="47"/>
      <c r="AT211" s="13"/>
      <c r="AU211" s="46">
        <f t="shared" si="84"/>
        <v>0</v>
      </c>
      <c r="AV211"/>
      <c r="AZ211"/>
      <c r="BA211"/>
      <c r="BB211"/>
      <c r="BC211" s="3"/>
      <c r="BD211" s="3"/>
      <c r="BE211" s="3"/>
      <c r="BF211" s="3"/>
      <c r="BG211" s="3"/>
      <c r="BH211" s="3"/>
      <c r="BI211" s="3"/>
      <c r="BJ211" s="3"/>
      <c r="BL211" s="20" t="str">
        <f t="shared" si="92"/>
        <v>►</v>
      </c>
      <c r="BM211"/>
      <c r="BN211"/>
      <c r="BO211"/>
      <c r="BP211"/>
      <c r="BQ211"/>
      <c r="BR211"/>
      <c r="BS211"/>
      <c r="CN211" s="56" t="s">
        <v>1</v>
      </c>
      <c r="CO211" s="5">
        <v>1</v>
      </c>
    </row>
    <row r="212" spans="1:93" s="1" customFormat="1" ht="21" customHeight="1">
      <c r="A212" s="20" t="str">
        <f t="shared" si="85"/>
        <v>►</v>
      </c>
      <c r="B212" s="43" t="str">
        <f t="shared" si="86"/>
        <v>►</v>
      </c>
      <c r="C212" s="45" t="str">
        <f t="shared" si="87"/>
        <v>►</v>
      </c>
      <c r="D212" s="44" t="str">
        <f t="shared" si="88"/>
        <v>►</v>
      </c>
      <c r="E212" s="43" t="str">
        <f t="shared" si="89"/>
        <v>►</v>
      </c>
      <c r="F212" s="43" t="str">
        <f t="shared" si="90"/>
        <v>►</v>
      </c>
      <c r="G212" s="43" t="str">
        <f t="shared" si="91"/>
        <v>►</v>
      </c>
      <c r="H212" s="1256" t="s">
        <v>1</v>
      </c>
      <c r="I212" s="5175" t="s">
        <v>1</v>
      </c>
      <c r="J212" s="5161"/>
      <c r="K212" s="5161"/>
      <c r="L212" s="5161"/>
      <c r="M212" s="5176"/>
      <c r="N212" s="5177"/>
      <c r="O212" s="147"/>
      <c r="P212" s="147"/>
      <c r="Q212" s="102"/>
      <c r="R212" s="102"/>
      <c r="S212" s="1360"/>
      <c r="T212" s="43"/>
      <c r="U212" s="42"/>
      <c r="V212" s="41"/>
      <c r="W212" s="40"/>
      <c r="X212" s="39"/>
      <c r="Y212" s="38"/>
      <c r="Z212" s="37"/>
      <c r="AA212" s="36"/>
      <c r="AB212" s="35"/>
      <c r="AC212" s="34"/>
      <c r="AD212" s="55"/>
      <c r="AE212" s="33"/>
      <c r="AF212"/>
      <c r="AG212" s="32"/>
      <c r="AH212" s="31"/>
      <c r="AI212" s="30"/>
      <c r="AJ212" s="5492">
        <f t="shared" si="77"/>
        <v>0</v>
      </c>
      <c r="AK212" s="29">
        <f t="shared" si="78"/>
        <v>0</v>
      </c>
      <c r="AL212" s="28" t="str">
        <f t="shared" si="79"/>
        <v/>
      </c>
      <c r="AM212" s="27"/>
      <c r="AN212" s="26">
        <f t="shared" si="80"/>
        <v>0</v>
      </c>
      <c r="AO212" s="25">
        <f t="shared" si="81"/>
        <v>0</v>
      </c>
      <c r="AP212" s="24">
        <f t="shared" si="82"/>
        <v>0</v>
      </c>
      <c r="AQ212" s="23"/>
      <c r="AR212" s="22">
        <f t="shared" si="83"/>
        <v>0</v>
      </c>
      <c r="AS212" s="21"/>
      <c r="AT212" s="13"/>
      <c r="AU212" s="46">
        <f t="shared" si="84"/>
        <v>0</v>
      </c>
      <c r="AV212"/>
      <c r="AZ212"/>
      <c r="BA212"/>
      <c r="BB212"/>
      <c r="BC212" s="3"/>
      <c r="BD212" s="3"/>
      <c r="BE212" s="3"/>
      <c r="BF212" s="3"/>
      <c r="BG212" s="3"/>
      <c r="BH212" s="3"/>
      <c r="BI212" s="3"/>
      <c r="BJ212" s="3"/>
      <c r="BL212" s="20" t="str">
        <f t="shared" si="92"/>
        <v>►</v>
      </c>
      <c r="BM212"/>
      <c r="BN212"/>
      <c r="BO212"/>
      <c r="BP212"/>
      <c r="BQ212"/>
      <c r="BR212"/>
      <c r="BS212"/>
      <c r="BT212"/>
      <c r="BU212"/>
      <c r="BV212"/>
      <c r="BW212"/>
      <c r="BX212"/>
      <c r="BY212"/>
      <c r="BZ212"/>
      <c r="CA212"/>
      <c r="CB212"/>
      <c r="CC212"/>
      <c r="CD212"/>
      <c r="CE212"/>
      <c r="CF212"/>
      <c r="CG212"/>
      <c r="CH212"/>
      <c r="CI212"/>
      <c r="CJ212"/>
      <c r="CK212"/>
      <c r="CL212"/>
      <c r="CM212"/>
      <c r="CN212" s="56" t="s">
        <v>1</v>
      </c>
      <c r="CO212" s="5">
        <v>1</v>
      </c>
    </row>
    <row r="213" spans="1:93" s="1" customFormat="1" ht="21" customHeight="1">
      <c r="A213" s="20" t="str">
        <f t="shared" si="85"/>
        <v>►</v>
      </c>
      <c r="B213" s="43" t="str">
        <f t="shared" si="86"/>
        <v>►</v>
      </c>
      <c r="C213" s="45" t="str">
        <f t="shared" si="87"/>
        <v>►</v>
      </c>
      <c r="D213" s="44" t="str">
        <f t="shared" si="88"/>
        <v>►</v>
      </c>
      <c r="E213" s="43" t="str">
        <f t="shared" si="89"/>
        <v>►</v>
      </c>
      <c r="F213" s="43" t="str">
        <f t="shared" si="90"/>
        <v>►</v>
      </c>
      <c r="G213" s="43" t="str">
        <f t="shared" si="91"/>
        <v>►</v>
      </c>
      <c r="H213" s="1256" t="s">
        <v>1</v>
      </c>
      <c r="I213" s="5175" t="s">
        <v>1</v>
      </c>
      <c r="J213" s="5161"/>
      <c r="K213" s="5161"/>
      <c r="L213" s="5161"/>
      <c r="M213" s="5176"/>
      <c r="N213" s="5177"/>
      <c r="O213" s="147"/>
      <c r="P213" s="147"/>
      <c r="Q213" s="102"/>
      <c r="R213" s="102"/>
      <c r="S213" s="1360"/>
      <c r="T213" s="43"/>
      <c r="U213" s="42"/>
      <c r="V213" s="41"/>
      <c r="W213" s="40"/>
      <c r="X213" s="39"/>
      <c r="Y213" s="38"/>
      <c r="Z213" s="37"/>
      <c r="AA213" s="36"/>
      <c r="AB213" s="35"/>
      <c r="AC213" s="34"/>
      <c r="AD213" s="55"/>
      <c r="AE213" s="33"/>
      <c r="AF213"/>
      <c r="AG213" s="32"/>
      <c r="AH213" s="31"/>
      <c r="AI213" s="30"/>
      <c r="AJ213" s="5492">
        <f t="shared" si="77"/>
        <v>0</v>
      </c>
      <c r="AK213" s="54">
        <f t="shared" si="78"/>
        <v>0</v>
      </c>
      <c r="AL213" s="53" t="str">
        <f t="shared" si="79"/>
        <v/>
      </c>
      <c r="AM213" s="52"/>
      <c r="AN213" s="51">
        <f t="shared" si="80"/>
        <v>0</v>
      </c>
      <c r="AO213" s="50">
        <f t="shared" si="81"/>
        <v>0</v>
      </c>
      <c r="AP213" s="49">
        <f t="shared" si="82"/>
        <v>0</v>
      </c>
      <c r="AQ213" s="23"/>
      <c r="AR213" s="48">
        <f t="shared" si="83"/>
        <v>0</v>
      </c>
      <c r="AS213" s="47"/>
      <c r="AT213" s="13"/>
      <c r="AU213" s="46">
        <f t="shared" si="84"/>
        <v>0</v>
      </c>
      <c r="AV213"/>
      <c r="AZ213"/>
      <c r="BA213"/>
      <c r="BB213"/>
      <c r="BC213" s="3"/>
      <c r="BD213" s="3"/>
      <c r="BE213" s="3"/>
      <c r="BF213" s="3"/>
      <c r="BG213" s="3"/>
      <c r="BH213" s="3"/>
      <c r="BI213" s="3"/>
      <c r="BJ213" s="3"/>
      <c r="BL213" s="20" t="str">
        <f t="shared" si="92"/>
        <v>►</v>
      </c>
      <c r="BM213"/>
      <c r="BN213"/>
      <c r="BO213"/>
      <c r="BP213"/>
      <c r="BQ213"/>
      <c r="BR213"/>
      <c r="BS213"/>
      <c r="BT213"/>
      <c r="BU213"/>
      <c r="BV213"/>
      <c r="BW213"/>
      <c r="BX213"/>
      <c r="BY213"/>
      <c r="BZ213"/>
      <c r="CA213"/>
      <c r="CB213"/>
      <c r="CC213"/>
      <c r="CD213"/>
      <c r="CE213"/>
      <c r="CF213"/>
      <c r="CG213"/>
      <c r="CH213"/>
      <c r="CI213"/>
      <c r="CJ213"/>
      <c r="CK213"/>
      <c r="CL213"/>
      <c r="CM213"/>
      <c r="CN213" s="56" t="s">
        <v>1</v>
      </c>
      <c r="CO213" s="5">
        <v>1</v>
      </c>
    </row>
    <row r="214" spans="1:93" s="1" customFormat="1" ht="21" customHeight="1">
      <c r="A214" s="20" t="str">
        <f t="shared" si="85"/>
        <v>►</v>
      </c>
      <c r="B214" s="43" t="str">
        <f t="shared" si="86"/>
        <v>►</v>
      </c>
      <c r="C214" s="45" t="str">
        <f t="shared" si="87"/>
        <v>►</v>
      </c>
      <c r="D214" s="44" t="str">
        <f t="shared" si="88"/>
        <v>►</v>
      </c>
      <c r="E214" s="43" t="str">
        <f t="shared" si="89"/>
        <v>►</v>
      </c>
      <c r="F214" s="43" t="str">
        <f t="shared" si="90"/>
        <v>►</v>
      </c>
      <c r="G214" s="43" t="str">
        <f t="shared" si="91"/>
        <v>►</v>
      </c>
      <c r="H214" s="1256" t="s">
        <v>1</v>
      </c>
      <c r="I214" s="5175" t="s">
        <v>1</v>
      </c>
      <c r="J214" s="5161"/>
      <c r="K214" s="5161"/>
      <c r="L214" s="5161"/>
      <c r="M214" s="5176"/>
      <c r="N214" s="5177"/>
      <c r="O214" s="147"/>
      <c r="P214" s="147"/>
      <c r="Q214" s="102"/>
      <c r="R214" s="102"/>
      <c r="S214" s="1360"/>
      <c r="T214" s="43"/>
      <c r="U214" s="42"/>
      <c r="V214" s="41"/>
      <c r="W214" s="40"/>
      <c r="X214" s="39"/>
      <c r="Y214" s="38"/>
      <c r="Z214" s="37"/>
      <c r="AA214" s="36"/>
      <c r="AB214" s="35"/>
      <c r="AC214" s="34"/>
      <c r="AD214" s="55"/>
      <c r="AE214" s="33"/>
      <c r="AF214"/>
      <c r="AG214" s="32"/>
      <c r="AH214" s="31"/>
      <c r="AI214" s="30"/>
      <c r="AJ214" s="5492">
        <f t="shared" si="77"/>
        <v>0</v>
      </c>
      <c r="AK214" s="29">
        <f t="shared" si="78"/>
        <v>0</v>
      </c>
      <c r="AL214" s="28" t="str">
        <f t="shared" si="79"/>
        <v/>
      </c>
      <c r="AM214" s="27"/>
      <c r="AN214" s="26">
        <f t="shared" si="80"/>
        <v>0</v>
      </c>
      <c r="AO214" s="25">
        <f t="shared" si="81"/>
        <v>0</v>
      </c>
      <c r="AP214" s="24">
        <f t="shared" si="82"/>
        <v>0</v>
      </c>
      <c r="AQ214" s="23"/>
      <c r="AR214" s="22">
        <f t="shared" si="83"/>
        <v>0</v>
      </c>
      <c r="AS214" s="21"/>
      <c r="AT214" s="13"/>
      <c r="AU214" s="46">
        <f t="shared" si="84"/>
        <v>0</v>
      </c>
      <c r="AV214"/>
      <c r="AZ214"/>
      <c r="BA214"/>
      <c r="BB214"/>
      <c r="BC214" s="3"/>
      <c r="BD214" s="3"/>
      <c r="BE214" s="3"/>
      <c r="BF214" s="3"/>
      <c r="BG214" s="3"/>
      <c r="BH214" s="3"/>
      <c r="BI214" s="3"/>
      <c r="BJ214" s="3"/>
      <c r="BL214" s="20" t="str">
        <f t="shared" si="92"/>
        <v>►</v>
      </c>
      <c r="BM214"/>
      <c r="BN214"/>
      <c r="BO214"/>
      <c r="BP214"/>
      <c r="BQ214"/>
      <c r="BR214"/>
      <c r="BS214"/>
      <c r="BT214"/>
      <c r="BU214"/>
      <c r="BV214"/>
      <c r="BW214"/>
      <c r="BX214"/>
      <c r="BY214"/>
      <c r="BZ214"/>
      <c r="CA214"/>
      <c r="CB214"/>
      <c r="CC214"/>
      <c r="CD214"/>
      <c r="CE214"/>
      <c r="CF214"/>
      <c r="CG214"/>
      <c r="CH214"/>
      <c r="CI214"/>
      <c r="CJ214"/>
      <c r="CK214"/>
      <c r="CL214"/>
      <c r="CM214"/>
      <c r="CN214" s="56" t="s">
        <v>1</v>
      </c>
      <c r="CO214" s="5">
        <v>1</v>
      </c>
    </row>
    <row r="215" spans="1:93" s="1" customFormat="1" ht="21" customHeight="1">
      <c r="A215" s="20" t="str">
        <f t="shared" si="85"/>
        <v>►</v>
      </c>
      <c r="B215" s="43" t="str">
        <f t="shared" si="86"/>
        <v>►</v>
      </c>
      <c r="C215" s="45" t="str">
        <f t="shared" si="87"/>
        <v>►</v>
      </c>
      <c r="D215" s="44" t="str">
        <f t="shared" si="88"/>
        <v>►</v>
      </c>
      <c r="E215" s="43" t="str">
        <f t="shared" si="89"/>
        <v>►</v>
      </c>
      <c r="F215" s="43" t="str">
        <f t="shared" si="90"/>
        <v>►</v>
      </c>
      <c r="G215" s="43" t="str">
        <f t="shared" si="91"/>
        <v>►</v>
      </c>
      <c r="H215" s="1256" t="s">
        <v>1</v>
      </c>
      <c r="I215" s="5175" t="s">
        <v>1</v>
      </c>
      <c r="J215" s="5161"/>
      <c r="K215" s="5161"/>
      <c r="L215" s="5161"/>
      <c r="M215" s="5176"/>
      <c r="N215" s="5177"/>
      <c r="O215" s="147"/>
      <c r="P215" s="147"/>
      <c r="Q215" s="102"/>
      <c r="R215" s="102"/>
      <c r="S215" s="1360"/>
      <c r="T215" s="43"/>
      <c r="U215" s="42"/>
      <c r="V215" s="41"/>
      <c r="W215" s="40"/>
      <c r="X215" s="39"/>
      <c r="Y215" s="38"/>
      <c r="Z215" s="37"/>
      <c r="AA215" s="36"/>
      <c r="AB215" s="35"/>
      <c r="AC215" s="34"/>
      <c r="AD215" s="55"/>
      <c r="AE215" s="33"/>
      <c r="AF215"/>
      <c r="AG215" s="32"/>
      <c r="AH215" s="31"/>
      <c r="AI215" s="30"/>
      <c r="AJ215" s="5492">
        <f t="shared" si="77"/>
        <v>0</v>
      </c>
      <c r="AK215" s="54">
        <f t="shared" si="78"/>
        <v>0</v>
      </c>
      <c r="AL215" s="53" t="str">
        <f t="shared" si="79"/>
        <v/>
      </c>
      <c r="AM215" s="52"/>
      <c r="AN215" s="51">
        <f t="shared" si="80"/>
        <v>0</v>
      </c>
      <c r="AO215" s="50">
        <f t="shared" si="81"/>
        <v>0</v>
      </c>
      <c r="AP215" s="49">
        <f t="shared" si="82"/>
        <v>0</v>
      </c>
      <c r="AQ215" s="23"/>
      <c r="AR215" s="48">
        <f t="shared" si="83"/>
        <v>0</v>
      </c>
      <c r="AS215" s="47"/>
      <c r="AT215" s="13"/>
      <c r="AU215" s="46">
        <f t="shared" si="84"/>
        <v>0</v>
      </c>
      <c r="AV215"/>
      <c r="AZ215" s="2"/>
      <c r="BA215"/>
      <c r="BB215"/>
      <c r="BC215" s="3"/>
      <c r="BD215" s="3"/>
      <c r="BE215" s="3"/>
      <c r="BF215" s="3"/>
      <c r="BG215" s="3"/>
      <c r="BH215" s="3"/>
      <c r="BI215" s="3"/>
      <c r="BJ215" s="3"/>
      <c r="BL215" s="20" t="str">
        <f t="shared" si="92"/>
        <v>►</v>
      </c>
      <c r="BM215"/>
      <c r="BN215"/>
      <c r="BO215"/>
      <c r="BP215"/>
      <c r="BQ215"/>
      <c r="BR215"/>
      <c r="BS215"/>
      <c r="BT215"/>
      <c r="BU215"/>
      <c r="BV215"/>
      <c r="BW215"/>
      <c r="BX215"/>
      <c r="BY215"/>
      <c r="BZ215"/>
      <c r="CA215"/>
      <c r="CB215"/>
      <c r="CC215"/>
      <c r="CD215"/>
      <c r="CE215"/>
      <c r="CF215"/>
      <c r="CG215"/>
      <c r="CH215"/>
      <c r="CI215"/>
      <c r="CJ215"/>
      <c r="CK215"/>
      <c r="CL215"/>
      <c r="CM215"/>
      <c r="CN215" s="56" t="s">
        <v>1</v>
      </c>
      <c r="CO215" s="5">
        <v>1</v>
      </c>
    </row>
    <row r="216" spans="1:93" s="1" customFormat="1" ht="21" customHeight="1">
      <c r="A216" s="20" t="str">
        <f t="shared" si="85"/>
        <v>►</v>
      </c>
      <c r="B216" s="43" t="str">
        <f t="shared" si="86"/>
        <v>►</v>
      </c>
      <c r="C216" s="45" t="str">
        <f t="shared" si="87"/>
        <v>►</v>
      </c>
      <c r="D216" s="44" t="str">
        <f t="shared" si="88"/>
        <v>►</v>
      </c>
      <c r="E216" s="43" t="str">
        <f t="shared" si="89"/>
        <v>►</v>
      </c>
      <c r="F216" s="43" t="str">
        <f t="shared" si="90"/>
        <v>►</v>
      </c>
      <c r="G216" s="43" t="str">
        <f t="shared" si="91"/>
        <v>►</v>
      </c>
      <c r="H216" s="1256" t="s">
        <v>1</v>
      </c>
      <c r="I216" s="5175" t="s">
        <v>1</v>
      </c>
      <c r="J216" s="5161"/>
      <c r="K216" s="5161"/>
      <c r="L216" s="5161"/>
      <c r="M216" s="5176"/>
      <c r="N216" s="5177"/>
      <c r="O216" s="147"/>
      <c r="P216" s="147"/>
      <c r="Q216" s="102"/>
      <c r="R216" s="102"/>
      <c r="S216" s="1360"/>
      <c r="T216" s="43"/>
      <c r="U216" s="42"/>
      <c r="V216" s="41"/>
      <c r="W216" s="40"/>
      <c r="X216" s="39"/>
      <c r="Y216" s="38"/>
      <c r="Z216" s="37"/>
      <c r="AA216" s="36"/>
      <c r="AB216" s="35"/>
      <c r="AC216" s="34"/>
      <c r="AD216" s="55"/>
      <c r="AE216" s="33"/>
      <c r="AF216"/>
      <c r="AG216" s="32"/>
      <c r="AH216" s="31"/>
      <c r="AI216" s="30"/>
      <c r="AJ216" s="5492">
        <f t="shared" si="77"/>
        <v>0</v>
      </c>
      <c r="AK216" s="29">
        <f t="shared" si="78"/>
        <v>0</v>
      </c>
      <c r="AL216" s="28" t="str">
        <f t="shared" si="79"/>
        <v/>
      </c>
      <c r="AM216" s="27"/>
      <c r="AN216" s="26">
        <f t="shared" si="80"/>
        <v>0</v>
      </c>
      <c r="AO216" s="25">
        <f t="shared" si="81"/>
        <v>0</v>
      </c>
      <c r="AP216" s="24">
        <f t="shared" si="82"/>
        <v>0</v>
      </c>
      <c r="AQ216" s="23"/>
      <c r="AR216" s="22">
        <f t="shared" si="83"/>
        <v>0</v>
      </c>
      <c r="AS216" s="21"/>
      <c r="AT216" s="13"/>
      <c r="AU216" s="46">
        <f t="shared" si="84"/>
        <v>0</v>
      </c>
      <c r="AV216"/>
      <c r="AZ216"/>
      <c r="BA216"/>
      <c r="BB216"/>
      <c r="BC216" s="3"/>
      <c r="BD216" s="3"/>
      <c r="BE216" s="3"/>
      <c r="BF216" s="3"/>
      <c r="BG216" s="3"/>
      <c r="BH216" s="3"/>
      <c r="BI216" s="3"/>
      <c r="BJ216" s="3"/>
      <c r="BL216" s="20" t="str">
        <f t="shared" si="92"/>
        <v>►</v>
      </c>
      <c r="BM216"/>
      <c r="BN216"/>
      <c r="BO216"/>
      <c r="BP216"/>
      <c r="BQ216"/>
      <c r="BR216"/>
      <c r="BS216"/>
      <c r="BT216"/>
      <c r="BU216"/>
      <c r="BV216"/>
      <c r="BW216"/>
      <c r="BX216"/>
      <c r="BY216"/>
      <c r="BZ216"/>
      <c r="CA216"/>
      <c r="CB216"/>
      <c r="CC216"/>
      <c r="CD216"/>
      <c r="CE216"/>
      <c r="CF216"/>
      <c r="CG216"/>
      <c r="CH216"/>
      <c r="CI216"/>
      <c r="CJ216"/>
      <c r="CK216"/>
      <c r="CL216"/>
      <c r="CM216"/>
      <c r="CN216" s="56" t="s">
        <v>1</v>
      </c>
      <c r="CO216" s="5">
        <v>1</v>
      </c>
    </row>
    <row r="217" spans="1:93" s="1" customFormat="1" ht="21" customHeight="1">
      <c r="A217" s="20" t="str">
        <f t="shared" si="85"/>
        <v>►</v>
      </c>
      <c r="B217" s="43" t="str">
        <f t="shared" si="86"/>
        <v>►</v>
      </c>
      <c r="C217" s="45" t="str">
        <f t="shared" si="87"/>
        <v>►</v>
      </c>
      <c r="D217" s="44" t="str">
        <f t="shared" si="88"/>
        <v>►</v>
      </c>
      <c r="E217" s="43" t="str">
        <f t="shared" si="89"/>
        <v>►</v>
      </c>
      <c r="F217" s="43" t="str">
        <f t="shared" si="90"/>
        <v>►</v>
      </c>
      <c r="G217" s="43" t="str">
        <f t="shared" si="91"/>
        <v>►</v>
      </c>
      <c r="H217" s="1256" t="s">
        <v>1</v>
      </c>
      <c r="I217" s="5175" t="s">
        <v>1</v>
      </c>
      <c r="J217" s="5161"/>
      <c r="K217" s="5161"/>
      <c r="L217" s="5161"/>
      <c r="M217" s="5176"/>
      <c r="N217" s="5177"/>
      <c r="O217" s="147"/>
      <c r="P217" s="147"/>
      <c r="Q217" s="102"/>
      <c r="R217" s="102"/>
      <c r="S217" s="1360"/>
      <c r="T217" s="43"/>
      <c r="U217" s="42"/>
      <c r="V217" s="41"/>
      <c r="W217" s="40"/>
      <c r="X217" s="39"/>
      <c r="Y217" s="38"/>
      <c r="Z217" s="37"/>
      <c r="AA217" s="36"/>
      <c r="AB217" s="35"/>
      <c r="AC217" s="34"/>
      <c r="AD217" s="55"/>
      <c r="AE217" s="33"/>
      <c r="AF217"/>
      <c r="AG217" s="32"/>
      <c r="AH217" s="31"/>
      <c r="AI217" s="30"/>
      <c r="AJ217" s="5492">
        <f t="shared" si="77"/>
        <v>0</v>
      </c>
      <c r="AK217" s="54">
        <f t="shared" si="78"/>
        <v>0</v>
      </c>
      <c r="AL217" s="53" t="str">
        <f t="shared" si="79"/>
        <v/>
      </c>
      <c r="AM217" s="52"/>
      <c r="AN217" s="51">
        <f t="shared" si="80"/>
        <v>0</v>
      </c>
      <c r="AO217" s="50">
        <f t="shared" si="81"/>
        <v>0</v>
      </c>
      <c r="AP217" s="49">
        <f t="shared" si="82"/>
        <v>0</v>
      </c>
      <c r="AQ217" s="23"/>
      <c r="AR217" s="48">
        <f t="shared" si="83"/>
        <v>0</v>
      </c>
      <c r="AS217" s="47"/>
      <c r="AT217" s="13"/>
      <c r="AU217" s="46">
        <f t="shared" si="84"/>
        <v>0</v>
      </c>
      <c r="AV217"/>
      <c r="AZ217"/>
      <c r="BA217"/>
      <c r="BB217"/>
      <c r="BC217" s="3"/>
      <c r="BD217" s="3"/>
      <c r="BE217" s="3"/>
      <c r="BF217" s="3"/>
      <c r="BG217" s="3"/>
      <c r="BH217" s="3"/>
      <c r="BI217" s="3"/>
      <c r="BJ217" s="3"/>
      <c r="BL217" s="20" t="str">
        <f t="shared" si="92"/>
        <v>►</v>
      </c>
      <c r="BM217"/>
      <c r="BN217"/>
      <c r="BO217"/>
      <c r="BP217"/>
      <c r="BQ217"/>
      <c r="BR217"/>
      <c r="BS217"/>
      <c r="BT217"/>
      <c r="BU217"/>
      <c r="BV217"/>
      <c r="BW217"/>
      <c r="BX217"/>
      <c r="BY217"/>
      <c r="BZ217"/>
      <c r="CA217"/>
      <c r="CB217"/>
      <c r="CC217"/>
      <c r="CD217"/>
      <c r="CE217"/>
      <c r="CF217"/>
      <c r="CG217"/>
      <c r="CH217"/>
      <c r="CI217"/>
      <c r="CJ217"/>
      <c r="CK217"/>
      <c r="CL217"/>
      <c r="CM217"/>
      <c r="CN217" s="56" t="s">
        <v>1</v>
      </c>
      <c r="CO217" s="5">
        <v>1</v>
      </c>
    </row>
    <row r="218" spans="1:93" s="1" customFormat="1" ht="21" customHeight="1">
      <c r="A218" s="20" t="str">
        <f t="shared" si="85"/>
        <v>►</v>
      </c>
      <c r="B218" s="43" t="str">
        <f t="shared" si="86"/>
        <v>►</v>
      </c>
      <c r="C218" s="45" t="str">
        <f t="shared" si="87"/>
        <v>►</v>
      </c>
      <c r="D218" s="44" t="str">
        <f t="shared" si="88"/>
        <v>►</v>
      </c>
      <c r="E218" s="43" t="str">
        <f t="shared" si="89"/>
        <v>►</v>
      </c>
      <c r="F218" s="43" t="str">
        <f t="shared" si="90"/>
        <v>►</v>
      </c>
      <c r="G218" s="43" t="str">
        <f t="shared" si="91"/>
        <v>►</v>
      </c>
      <c r="H218" s="1256" t="s">
        <v>1</v>
      </c>
      <c r="I218" s="5175" t="s">
        <v>1</v>
      </c>
      <c r="J218" s="5161"/>
      <c r="K218" s="5161"/>
      <c r="L218" s="5161"/>
      <c r="M218" s="5176"/>
      <c r="N218" s="5177"/>
      <c r="O218" s="147"/>
      <c r="P218" s="147"/>
      <c r="Q218" s="102"/>
      <c r="R218" s="102"/>
      <c r="S218" s="1360"/>
      <c r="T218" s="43"/>
      <c r="U218" s="42"/>
      <c r="V218" s="41"/>
      <c r="W218" s="40"/>
      <c r="X218" s="39"/>
      <c r="Y218" s="38"/>
      <c r="Z218" s="37"/>
      <c r="AA218" s="36"/>
      <c r="AB218" s="35"/>
      <c r="AC218" s="34"/>
      <c r="AD218" s="55"/>
      <c r="AE218" s="33"/>
      <c r="AF218"/>
      <c r="AG218" s="32"/>
      <c r="AH218" s="31"/>
      <c r="AI218" s="30"/>
      <c r="AJ218" s="5492">
        <f t="shared" si="77"/>
        <v>0</v>
      </c>
      <c r="AK218" s="29">
        <f t="shared" si="78"/>
        <v>0</v>
      </c>
      <c r="AL218" s="28" t="str">
        <f t="shared" si="79"/>
        <v/>
      </c>
      <c r="AM218" s="27"/>
      <c r="AN218" s="26">
        <f t="shared" si="80"/>
        <v>0</v>
      </c>
      <c r="AO218" s="25">
        <f t="shared" si="81"/>
        <v>0</v>
      </c>
      <c r="AP218" s="24">
        <f t="shared" si="82"/>
        <v>0</v>
      </c>
      <c r="AQ218" s="23"/>
      <c r="AR218" s="22">
        <f t="shared" si="83"/>
        <v>0</v>
      </c>
      <c r="AS218" s="21"/>
      <c r="AT218" s="13"/>
      <c r="AU218" s="46">
        <f t="shared" si="84"/>
        <v>0</v>
      </c>
      <c r="AV218"/>
      <c r="AZ218"/>
      <c r="BA218"/>
      <c r="BB218"/>
      <c r="BC218" s="3"/>
      <c r="BD218" s="3"/>
      <c r="BE218" s="3"/>
      <c r="BF218" s="3"/>
      <c r="BG218" s="3"/>
      <c r="BH218" s="3"/>
      <c r="BI218" s="3"/>
      <c r="BJ218" s="3"/>
      <c r="BL218" s="20" t="str">
        <f t="shared" si="92"/>
        <v>►</v>
      </c>
      <c r="BM218"/>
      <c r="BN218"/>
      <c r="BO218"/>
      <c r="BP218"/>
      <c r="BQ218"/>
      <c r="BR218"/>
      <c r="BS218"/>
      <c r="BT218"/>
      <c r="BU218"/>
      <c r="BV218"/>
      <c r="BW218"/>
      <c r="BX218"/>
      <c r="BY218"/>
      <c r="BZ218"/>
      <c r="CA218"/>
      <c r="CB218"/>
      <c r="CC218"/>
      <c r="CD218"/>
      <c r="CE218"/>
      <c r="CF218"/>
      <c r="CG218"/>
      <c r="CH218"/>
      <c r="CI218"/>
      <c r="CJ218"/>
      <c r="CK218"/>
      <c r="CL218"/>
      <c r="CM218"/>
      <c r="CN218" s="56" t="s">
        <v>1</v>
      </c>
      <c r="CO218" s="5">
        <v>1</v>
      </c>
    </row>
    <row r="219" spans="1:93" s="1" customFormat="1" ht="21" customHeight="1">
      <c r="A219" s="20" t="str">
        <f t="shared" si="85"/>
        <v>►</v>
      </c>
      <c r="B219" s="43" t="str">
        <f t="shared" si="86"/>
        <v>►</v>
      </c>
      <c r="C219" s="45" t="str">
        <f t="shared" si="87"/>
        <v>►</v>
      </c>
      <c r="D219" s="44" t="str">
        <f t="shared" si="88"/>
        <v>►</v>
      </c>
      <c r="E219" s="43" t="str">
        <f t="shared" si="89"/>
        <v>►</v>
      </c>
      <c r="F219" s="43" t="str">
        <f t="shared" si="90"/>
        <v>►</v>
      </c>
      <c r="G219" s="43" t="str">
        <f t="shared" si="91"/>
        <v>►</v>
      </c>
      <c r="H219" s="1256" t="s">
        <v>1</v>
      </c>
      <c r="I219" s="5175" t="s">
        <v>1</v>
      </c>
      <c r="J219" s="5161"/>
      <c r="K219" s="5161"/>
      <c r="L219" s="5161"/>
      <c r="M219" s="5176"/>
      <c r="N219" s="5177"/>
      <c r="O219" s="147"/>
      <c r="P219" s="147"/>
      <c r="Q219" s="102"/>
      <c r="R219" s="102"/>
      <c r="S219" s="1360"/>
      <c r="T219" s="43"/>
      <c r="U219" s="42"/>
      <c r="V219" s="41"/>
      <c r="W219" s="40"/>
      <c r="X219" s="39"/>
      <c r="Y219" s="38"/>
      <c r="Z219" s="37"/>
      <c r="AA219" s="36"/>
      <c r="AB219" s="35"/>
      <c r="AC219" s="34"/>
      <c r="AD219" s="55"/>
      <c r="AE219" s="33"/>
      <c r="AF219"/>
      <c r="AG219" s="32"/>
      <c r="AH219" s="31"/>
      <c r="AI219" s="30"/>
      <c r="AJ219" s="5492">
        <f t="shared" si="77"/>
        <v>0</v>
      </c>
      <c r="AK219" s="54">
        <f t="shared" si="78"/>
        <v>0</v>
      </c>
      <c r="AL219" s="53" t="str">
        <f t="shared" si="79"/>
        <v/>
      </c>
      <c r="AM219" s="52"/>
      <c r="AN219" s="51">
        <f t="shared" si="80"/>
        <v>0</v>
      </c>
      <c r="AO219" s="50">
        <f t="shared" si="81"/>
        <v>0</v>
      </c>
      <c r="AP219" s="49">
        <f t="shared" si="82"/>
        <v>0</v>
      </c>
      <c r="AQ219" s="23"/>
      <c r="AR219" s="48">
        <f t="shared" si="83"/>
        <v>0</v>
      </c>
      <c r="AS219" s="47"/>
      <c r="AT219" s="13"/>
      <c r="AU219" s="46">
        <f t="shared" si="84"/>
        <v>0</v>
      </c>
      <c r="AV219"/>
      <c r="AZ219"/>
      <c r="BA219"/>
      <c r="BB219"/>
      <c r="BC219" s="3"/>
      <c r="BD219" s="3"/>
      <c r="BE219" s="3"/>
      <c r="BF219" s="3"/>
      <c r="BG219" s="3"/>
      <c r="BH219" s="3"/>
      <c r="BI219" s="3"/>
      <c r="BJ219" s="3"/>
      <c r="BL219" s="20" t="str">
        <f t="shared" si="92"/>
        <v>►</v>
      </c>
      <c r="BM219"/>
      <c r="BN219"/>
      <c r="BO219"/>
      <c r="BP219"/>
      <c r="BQ219"/>
      <c r="BR219"/>
      <c r="BS219"/>
      <c r="BT219"/>
      <c r="BU219"/>
      <c r="BV219"/>
      <c r="BW219"/>
      <c r="BX219"/>
      <c r="BY219"/>
      <c r="BZ219"/>
      <c r="CA219"/>
      <c r="CB219"/>
      <c r="CC219"/>
      <c r="CD219"/>
      <c r="CE219"/>
      <c r="CF219"/>
      <c r="CG219"/>
      <c r="CH219"/>
      <c r="CI219"/>
      <c r="CJ219"/>
      <c r="CK219"/>
      <c r="CL219"/>
      <c r="CM219"/>
      <c r="CN219" s="56" t="s">
        <v>1</v>
      </c>
      <c r="CO219" s="5">
        <v>1</v>
      </c>
    </row>
    <row r="220" spans="1:93" s="1" customFormat="1" ht="21" customHeight="1">
      <c r="A220" s="20" t="str">
        <f t="shared" si="85"/>
        <v>►</v>
      </c>
      <c r="B220" s="43" t="str">
        <f t="shared" si="86"/>
        <v>►</v>
      </c>
      <c r="C220" s="45" t="str">
        <f t="shared" si="87"/>
        <v>►</v>
      </c>
      <c r="D220" s="44" t="str">
        <f t="shared" si="88"/>
        <v>►</v>
      </c>
      <c r="E220" s="43" t="str">
        <f t="shared" si="89"/>
        <v>►</v>
      </c>
      <c r="F220" s="43" t="str">
        <f t="shared" si="90"/>
        <v>►</v>
      </c>
      <c r="G220" s="43" t="str">
        <f t="shared" si="91"/>
        <v>►</v>
      </c>
      <c r="H220" s="1256" t="s">
        <v>1</v>
      </c>
      <c r="I220" s="5175" t="s">
        <v>1</v>
      </c>
      <c r="J220" s="5161"/>
      <c r="K220" s="5161"/>
      <c r="L220" s="5161"/>
      <c r="M220" s="5176"/>
      <c r="N220" s="5177"/>
      <c r="O220" s="147"/>
      <c r="P220" s="147"/>
      <c r="Q220" s="102"/>
      <c r="R220" s="102"/>
      <c r="S220" s="1360"/>
      <c r="T220" s="43"/>
      <c r="U220" s="42"/>
      <c r="V220" s="41"/>
      <c r="W220" s="40"/>
      <c r="X220" s="39"/>
      <c r="Y220" s="38"/>
      <c r="Z220" s="37"/>
      <c r="AA220" s="36"/>
      <c r="AB220" s="35"/>
      <c r="AC220" s="34"/>
      <c r="AD220" s="55"/>
      <c r="AE220" s="33"/>
      <c r="AF220"/>
      <c r="AG220" s="32"/>
      <c r="AH220" s="31"/>
      <c r="AI220" s="30"/>
      <c r="AJ220" s="5492">
        <f t="shared" si="77"/>
        <v>0</v>
      </c>
      <c r="AK220" s="29">
        <f t="shared" si="78"/>
        <v>0</v>
      </c>
      <c r="AL220" s="28" t="str">
        <f t="shared" si="79"/>
        <v/>
      </c>
      <c r="AM220" s="27"/>
      <c r="AN220" s="26">
        <f t="shared" si="80"/>
        <v>0</v>
      </c>
      <c r="AO220" s="25">
        <f t="shared" si="81"/>
        <v>0</v>
      </c>
      <c r="AP220" s="24">
        <f t="shared" si="82"/>
        <v>0</v>
      </c>
      <c r="AQ220" s="23"/>
      <c r="AR220" s="22">
        <f t="shared" si="83"/>
        <v>0</v>
      </c>
      <c r="AS220" s="21"/>
      <c r="AT220" s="13"/>
      <c r="AU220" s="46">
        <f t="shared" si="84"/>
        <v>0</v>
      </c>
      <c r="AV220"/>
      <c r="AZ220"/>
      <c r="BA220"/>
      <c r="BB220"/>
      <c r="BC220" s="3"/>
      <c r="BD220" s="3"/>
      <c r="BE220" s="3"/>
      <c r="BF220" s="3"/>
      <c r="BG220" s="3"/>
      <c r="BH220" s="3"/>
      <c r="BI220" s="3"/>
      <c r="BJ220" s="3"/>
      <c r="BL220" s="20" t="str">
        <f t="shared" si="92"/>
        <v>►</v>
      </c>
      <c r="BM220"/>
      <c r="BN220"/>
      <c r="BO220"/>
      <c r="BP220"/>
      <c r="BQ220"/>
      <c r="BR220"/>
      <c r="BS220"/>
      <c r="BT220"/>
      <c r="BU220"/>
      <c r="BV220"/>
      <c r="BW220"/>
      <c r="BX220"/>
      <c r="BY220"/>
      <c r="BZ220"/>
      <c r="CA220"/>
      <c r="CB220"/>
      <c r="CC220"/>
      <c r="CD220"/>
      <c r="CE220"/>
      <c r="CF220"/>
      <c r="CG220"/>
      <c r="CH220"/>
      <c r="CI220"/>
      <c r="CJ220"/>
      <c r="CK220"/>
      <c r="CL220"/>
      <c r="CM220"/>
      <c r="CN220" s="56" t="s">
        <v>1</v>
      </c>
      <c r="CO220" s="5">
        <v>1</v>
      </c>
    </row>
    <row r="221" spans="1:93" s="1" customFormat="1" ht="21" customHeight="1">
      <c r="A221" s="20" t="str">
        <f t="shared" si="85"/>
        <v>►</v>
      </c>
      <c r="B221" s="43" t="str">
        <f t="shared" si="86"/>
        <v>►</v>
      </c>
      <c r="C221" s="45" t="str">
        <f t="shared" si="87"/>
        <v>►</v>
      </c>
      <c r="D221" s="44" t="str">
        <f t="shared" si="88"/>
        <v>►</v>
      </c>
      <c r="E221" s="43" t="str">
        <f t="shared" si="89"/>
        <v>►</v>
      </c>
      <c r="F221" s="43" t="str">
        <f t="shared" si="90"/>
        <v>►</v>
      </c>
      <c r="G221" s="43" t="str">
        <f t="shared" si="91"/>
        <v>►</v>
      </c>
      <c r="H221" s="1256" t="s">
        <v>1</v>
      </c>
      <c r="I221" s="5175" t="s">
        <v>1</v>
      </c>
      <c r="J221" s="5161"/>
      <c r="K221" s="5161"/>
      <c r="L221" s="5161"/>
      <c r="M221" s="5176"/>
      <c r="N221" s="5177"/>
      <c r="O221" s="147"/>
      <c r="P221" s="147"/>
      <c r="Q221" s="102"/>
      <c r="R221" s="102"/>
      <c r="S221" s="1360"/>
      <c r="T221" s="43"/>
      <c r="U221" s="42"/>
      <c r="V221" s="41"/>
      <c r="W221" s="40"/>
      <c r="X221" s="39"/>
      <c r="Y221" s="38"/>
      <c r="Z221" s="37"/>
      <c r="AA221" s="36"/>
      <c r="AB221" s="35"/>
      <c r="AC221" s="34"/>
      <c r="AD221" s="55"/>
      <c r="AE221" s="33"/>
      <c r="AF221"/>
      <c r="AG221" s="32"/>
      <c r="AH221" s="31"/>
      <c r="AI221" s="30"/>
      <c r="AJ221" s="5492">
        <f t="shared" ref="AJ221:AJ284" si="93">IF(ISTEXT(Y221), 0, IFERROR(INDEX($AX$22:$AX$69, MATCH(AC221, $AW$22:$AW$69, 0)) * AB221 * IF(ISBLANK(Y221), 1, Y221), 0))</f>
        <v>0</v>
      </c>
      <c r="AK221" s="54">
        <f t="shared" ref="AK221:AK284" si="94">IF(ISNUMBER(AD221), AJ221*AD221*AU221, 0)</f>
        <v>0</v>
      </c>
      <c r="AL221" s="53" t="str">
        <f t="shared" ref="AL221:AL284" si="95">IF(AND(ISNUMBER(AB221),ISNUMBER(AD221),ISNUMBER(AU221)),IFERROR(_xlfn.LET(_xlpm.m,IF(ISBLANK(Y221),1,Y221),_xlpm.q,AB221*AD221*AU221*_xlpm.m,_xlpm.p,MATCH(AC221,AW$22:AW$69,0),_xlpm.f,INDEX(AX$22:AX$69,_xlpm.p),_xlpm.u,INDEX(AY$22:AY$69,_xlpm.p),_xlpm.s,INDEX(AZ$22:AZ$69,_xlpm.p),IF(_xlpm.q&gt;=_xlpm.s,ROUND(_xlpm.q,0)&amp;" "&amp;AC221&amp;" = "&amp;ROUND(_xlpm.q*_xlpm.f,1)&amp;" "&amp;_xlpm.u,ROUND(_xlpm.q,0)&amp;" "&amp;AC221)),""),"")</f>
        <v/>
      </c>
      <c r="AM221" s="52"/>
      <c r="AN221" s="51">
        <f t="shared" ref="AN221:AN284" si="96">((AK221-(AK221*AM221%)))</f>
        <v>0</v>
      </c>
      <c r="AO221" s="50">
        <f t="shared" ref="AO221:AO284" si="97">IF(AND(ISNUMBER(AD221), ISNUMBER(Y221)), Y221 * AD221 * AU221, 0)</f>
        <v>0</v>
      </c>
      <c r="AP221" s="49">
        <f t="shared" ref="AP221:AP284" si="98">Z221</f>
        <v>0</v>
      </c>
      <c r="AQ221" s="23"/>
      <c r="AR221" s="48">
        <f t="shared" ref="AR221:AR284" si="99">IF(OR(ISBLANK(AQ221),ISTEXT(Y221)),0,IF(AK221=0,Y221,AK221)*AQ221)</f>
        <v>0</v>
      </c>
      <c r="AS221" s="47"/>
      <c r="AT221" s="13"/>
      <c r="AU221" s="46">
        <f t="shared" ref="AU221:AU284" si="100">IF(OR(ISBLANK(AI221), ISBLANK(AG221)), 0, AI221/AG221)</f>
        <v>0</v>
      </c>
      <c r="AV221"/>
      <c r="AZ221"/>
      <c r="BA221"/>
      <c r="BB221"/>
      <c r="BC221" s="3"/>
      <c r="BD221" s="3"/>
      <c r="BE221" s="3"/>
      <c r="BF221" s="3"/>
      <c r="BG221" s="3"/>
      <c r="BH221" s="3"/>
      <c r="BI221" s="3"/>
      <c r="BJ221" s="3"/>
      <c r="BL221" s="20" t="str">
        <f t="shared" si="92"/>
        <v>►</v>
      </c>
      <c r="BM221"/>
      <c r="BN221"/>
      <c r="BO221"/>
      <c r="BP221"/>
      <c r="BQ221"/>
      <c r="BR221"/>
      <c r="BS221"/>
      <c r="BT221"/>
      <c r="BU221"/>
      <c r="BV221"/>
      <c r="BW221"/>
      <c r="BX221"/>
      <c r="BY221"/>
      <c r="BZ221"/>
      <c r="CA221"/>
      <c r="CB221"/>
      <c r="CC221"/>
      <c r="CD221"/>
      <c r="CE221"/>
      <c r="CF221"/>
      <c r="CG221"/>
      <c r="CH221"/>
      <c r="CI221"/>
      <c r="CJ221"/>
      <c r="CK221"/>
      <c r="CL221"/>
      <c r="CM221"/>
      <c r="CN221" s="56" t="s">
        <v>1</v>
      </c>
      <c r="CO221" s="5">
        <v>1</v>
      </c>
    </row>
    <row r="222" spans="1:93" s="1" customFormat="1" ht="21" customHeight="1">
      <c r="A222" s="20" t="str">
        <f t="shared" ref="A222:A285" si="101">IF(OR(I222="A",U222="A"),"A",IF(AND(I222="►",U222="►"),"►",IF(AND(ISBLANK(I222),ISBLANK(U222)),"►","►")))</f>
        <v>►</v>
      </c>
      <c r="B222" s="43" t="str">
        <f t="shared" si="86"/>
        <v>►</v>
      </c>
      <c r="C222" s="45" t="str">
        <f t="shared" si="87"/>
        <v>►</v>
      </c>
      <c r="D222" s="44" t="str">
        <f t="shared" si="88"/>
        <v>►</v>
      </c>
      <c r="E222" s="43" t="str">
        <f t="shared" si="89"/>
        <v>►</v>
      </c>
      <c r="F222" s="43" t="str">
        <f t="shared" si="90"/>
        <v>►</v>
      </c>
      <c r="G222" s="43" t="str">
        <f t="shared" si="91"/>
        <v>►</v>
      </c>
      <c r="H222" s="1256" t="s">
        <v>1</v>
      </c>
      <c r="I222" s="5175" t="s">
        <v>1</v>
      </c>
      <c r="J222" s="5161"/>
      <c r="K222" s="5161"/>
      <c r="L222" s="5161"/>
      <c r="M222" s="5176"/>
      <c r="N222" s="5177"/>
      <c r="O222" s="147"/>
      <c r="P222" s="147"/>
      <c r="Q222" s="102"/>
      <c r="R222" s="102"/>
      <c r="S222" s="1360"/>
      <c r="T222" s="43"/>
      <c r="U222" s="42"/>
      <c r="V222" s="41"/>
      <c r="W222" s="40"/>
      <c r="X222" s="39"/>
      <c r="Y222" s="38"/>
      <c r="Z222" s="37"/>
      <c r="AA222" s="36"/>
      <c r="AB222" s="35"/>
      <c r="AC222" s="34"/>
      <c r="AD222" s="55"/>
      <c r="AE222" s="33"/>
      <c r="AF222"/>
      <c r="AG222" s="32"/>
      <c r="AH222" s="31"/>
      <c r="AI222" s="30"/>
      <c r="AJ222" s="5492">
        <f t="shared" si="93"/>
        <v>0</v>
      </c>
      <c r="AK222" s="29">
        <f t="shared" si="94"/>
        <v>0</v>
      </c>
      <c r="AL222" s="28" t="str">
        <f t="shared" si="95"/>
        <v/>
      </c>
      <c r="AM222" s="27"/>
      <c r="AN222" s="26">
        <f t="shared" si="96"/>
        <v>0</v>
      </c>
      <c r="AO222" s="25">
        <f t="shared" si="97"/>
        <v>0</v>
      </c>
      <c r="AP222" s="24">
        <f t="shared" si="98"/>
        <v>0</v>
      </c>
      <c r="AQ222" s="23"/>
      <c r="AR222" s="22">
        <f t="shared" si="99"/>
        <v>0</v>
      </c>
      <c r="AS222" s="21"/>
      <c r="AT222" s="13"/>
      <c r="AU222" s="46">
        <f t="shared" si="100"/>
        <v>0</v>
      </c>
      <c r="AV222"/>
      <c r="AZ222"/>
      <c r="BA222"/>
      <c r="BB222"/>
      <c r="BC222" s="3"/>
      <c r="BD222" s="3"/>
      <c r="BE222" s="3"/>
      <c r="BF222" s="3"/>
      <c r="BG222" s="3"/>
      <c r="BH222" s="3"/>
      <c r="BI222" s="3"/>
      <c r="BJ222" s="3"/>
      <c r="BL222" s="20" t="str">
        <f t="shared" si="92"/>
        <v>►</v>
      </c>
      <c r="BM222"/>
      <c r="BN222"/>
      <c r="BO222"/>
      <c r="BP222"/>
      <c r="BQ222"/>
      <c r="BR222"/>
      <c r="BS222"/>
      <c r="BT222"/>
      <c r="BU222"/>
      <c r="BV222"/>
      <c r="BW222"/>
      <c r="BX222"/>
      <c r="BY222"/>
      <c r="BZ222"/>
      <c r="CA222"/>
      <c r="CB222"/>
      <c r="CC222"/>
      <c r="CD222"/>
      <c r="CE222"/>
      <c r="CF222"/>
      <c r="CG222"/>
      <c r="CH222"/>
      <c r="CI222"/>
      <c r="CJ222"/>
      <c r="CK222"/>
      <c r="CL222"/>
      <c r="CM222"/>
      <c r="CN222" s="56" t="s">
        <v>1</v>
      </c>
      <c r="CO222" s="5">
        <v>1</v>
      </c>
    </row>
    <row r="223" spans="1:93" s="1" customFormat="1" ht="21" customHeight="1">
      <c r="A223" s="20" t="str">
        <f t="shared" si="101"/>
        <v>►</v>
      </c>
      <c r="B223" s="43" t="str">
        <f t="shared" si="86"/>
        <v>►</v>
      </c>
      <c r="C223" s="45" t="str">
        <f t="shared" si="87"/>
        <v>►</v>
      </c>
      <c r="D223" s="44" t="str">
        <f t="shared" si="88"/>
        <v>►</v>
      </c>
      <c r="E223" s="43" t="str">
        <f t="shared" si="89"/>
        <v>►</v>
      </c>
      <c r="F223" s="43" t="str">
        <f t="shared" si="90"/>
        <v>►</v>
      </c>
      <c r="G223" s="43" t="str">
        <f t="shared" si="91"/>
        <v>►</v>
      </c>
      <c r="H223" s="1256" t="s">
        <v>1</v>
      </c>
      <c r="I223" s="5175" t="s">
        <v>1</v>
      </c>
      <c r="J223" s="5161"/>
      <c r="K223" s="5161"/>
      <c r="L223" s="5161"/>
      <c r="M223" s="5176"/>
      <c r="N223" s="5177"/>
      <c r="O223" s="147"/>
      <c r="P223" s="147"/>
      <c r="Q223" s="102"/>
      <c r="R223" s="102"/>
      <c r="S223" s="1360"/>
      <c r="T223" s="43"/>
      <c r="U223" s="42"/>
      <c r="V223" s="41"/>
      <c r="W223" s="40"/>
      <c r="X223" s="39"/>
      <c r="Y223" s="38"/>
      <c r="Z223" s="37"/>
      <c r="AA223" s="36"/>
      <c r="AB223" s="35"/>
      <c r="AC223" s="34"/>
      <c r="AD223" s="55"/>
      <c r="AE223" s="33"/>
      <c r="AF223"/>
      <c r="AG223" s="32"/>
      <c r="AH223" s="31"/>
      <c r="AI223" s="30"/>
      <c r="AJ223" s="5492">
        <f t="shared" si="93"/>
        <v>0</v>
      </c>
      <c r="AK223" s="54">
        <f t="shared" si="94"/>
        <v>0</v>
      </c>
      <c r="AL223" s="53" t="str">
        <f t="shared" si="95"/>
        <v/>
      </c>
      <c r="AM223" s="52"/>
      <c r="AN223" s="51">
        <f t="shared" si="96"/>
        <v>0</v>
      </c>
      <c r="AO223" s="50">
        <f t="shared" si="97"/>
        <v>0</v>
      </c>
      <c r="AP223" s="49">
        <f t="shared" si="98"/>
        <v>0</v>
      </c>
      <c r="AQ223" s="23"/>
      <c r="AR223" s="48">
        <f t="shared" si="99"/>
        <v>0</v>
      </c>
      <c r="AS223" s="47"/>
      <c r="AT223" s="13"/>
      <c r="AU223" s="46">
        <f t="shared" si="100"/>
        <v>0</v>
      </c>
      <c r="AV223"/>
      <c r="AZ223"/>
      <c r="BA223"/>
      <c r="BB223"/>
      <c r="BC223" s="3"/>
      <c r="BD223" s="3"/>
      <c r="BE223" s="3"/>
      <c r="BF223" s="3"/>
      <c r="BG223" s="3"/>
      <c r="BH223" s="3"/>
      <c r="BI223" s="3"/>
      <c r="BJ223" s="3"/>
      <c r="BL223" s="20" t="str">
        <f t="shared" si="92"/>
        <v>►</v>
      </c>
      <c r="BM223"/>
      <c r="BN223"/>
      <c r="BO223"/>
      <c r="BP223"/>
      <c r="BQ223"/>
      <c r="BR223"/>
      <c r="BS223"/>
      <c r="BT223"/>
      <c r="BU223"/>
      <c r="BV223"/>
      <c r="BW223"/>
      <c r="BX223"/>
      <c r="BY223"/>
      <c r="BZ223"/>
      <c r="CA223"/>
      <c r="CB223"/>
      <c r="CC223"/>
      <c r="CD223"/>
      <c r="CE223"/>
      <c r="CF223"/>
      <c r="CG223"/>
      <c r="CH223"/>
      <c r="CI223"/>
      <c r="CJ223"/>
      <c r="CK223"/>
      <c r="CL223"/>
      <c r="CM223"/>
      <c r="CN223" s="56" t="s">
        <v>1</v>
      </c>
      <c r="CO223" s="5">
        <v>1</v>
      </c>
    </row>
    <row r="224" spans="1:93" s="1" customFormat="1" ht="21" customHeight="1">
      <c r="A224" s="20" t="str">
        <f t="shared" si="101"/>
        <v>►</v>
      </c>
      <c r="B224" s="43" t="str">
        <f t="shared" si="86"/>
        <v>►</v>
      </c>
      <c r="C224" s="45" t="str">
        <f t="shared" si="87"/>
        <v>►</v>
      </c>
      <c r="D224" s="44" t="str">
        <f t="shared" si="88"/>
        <v>►</v>
      </c>
      <c r="E224" s="43" t="str">
        <f t="shared" si="89"/>
        <v>►</v>
      </c>
      <c r="F224" s="43" t="str">
        <f t="shared" si="90"/>
        <v>►</v>
      </c>
      <c r="G224" s="43" t="str">
        <f t="shared" si="91"/>
        <v>►</v>
      </c>
      <c r="H224" s="1256" t="s">
        <v>1</v>
      </c>
      <c r="I224" s="5175" t="s">
        <v>1</v>
      </c>
      <c r="J224" s="5161"/>
      <c r="K224" s="5161"/>
      <c r="L224" s="5161"/>
      <c r="M224" s="5176"/>
      <c r="N224" s="5177"/>
      <c r="O224" s="147"/>
      <c r="P224" s="147"/>
      <c r="Q224" s="102"/>
      <c r="R224" s="102"/>
      <c r="S224" s="1360"/>
      <c r="T224" s="43"/>
      <c r="U224" s="42"/>
      <c r="V224" s="41"/>
      <c r="W224" s="40"/>
      <c r="X224" s="39"/>
      <c r="Y224" s="38"/>
      <c r="Z224" s="37"/>
      <c r="AA224" s="36"/>
      <c r="AB224" s="35"/>
      <c r="AC224" s="34"/>
      <c r="AD224" s="55"/>
      <c r="AE224" s="33"/>
      <c r="AF224"/>
      <c r="AG224" s="32"/>
      <c r="AH224" s="31"/>
      <c r="AI224" s="30"/>
      <c r="AJ224" s="5492">
        <f t="shared" si="93"/>
        <v>0</v>
      </c>
      <c r="AK224" s="29">
        <f t="shared" si="94"/>
        <v>0</v>
      </c>
      <c r="AL224" s="28" t="str">
        <f t="shared" si="95"/>
        <v/>
      </c>
      <c r="AM224" s="27"/>
      <c r="AN224" s="26">
        <f t="shared" si="96"/>
        <v>0</v>
      </c>
      <c r="AO224" s="25">
        <f t="shared" si="97"/>
        <v>0</v>
      </c>
      <c r="AP224" s="24">
        <f t="shared" si="98"/>
        <v>0</v>
      </c>
      <c r="AQ224" s="23"/>
      <c r="AR224" s="22">
        <f t="shared" si="99"/>
        <v>0</v>
      </c>
      <c r="AS224" s="21"/>
      <c r="AT224" s="13"/>
      <c r="AU224" s="46">
        <f t="shared" si="100"/>
        <v>0</v>
      </c>
      <c r="AV224"/>
      <c r="AZ224"/>
      <c r="BA224"/>
      <c r="BB224"/>
      <c r="BC224" s="3"/>
      <c r="BD224" s="3"/>
      <c r="BE224" s="3"/>
      <c r="BF224" s="3"/>
      <c r="BG224" s="3"/>
      <c r="BH224" s="3"/>
      <c r="BI224" s="3"/>
      <c r="BJ224" s="3"/>
      <c r="BL224" s="20" t="str">
        <f t="shared" si="92"/>
        <v>►</v>
      </c>
      <c r="BM224"/>
      <c r="BN224"/>
      <c r="BO224"/>
      <c r="BP224"/>
      <c r="BQ224"/>
      <c r="BR224"/>
      <c r="BS224"/>
      <c r="BT224"/>
      <c r="BU224"/>
      <c r="BV224"/>
      <c r="BW224"/>
      <c r="BX224"/>
      <c r="BY224"/>
      <c r="BZ224"/>
      <c r="CA224"/>
      <c r="CB224"/>
      <c r="CC224"/>
      <c r="CD224"/>
      <c r="CE224"/>
      <c r="CF224"/>
      <c r="CG224"/>
      <c r="CH224"/>
      <c r="CI224"/>
      <c r="CJ224"/>
      <c r="CK224"/>
      <c r="CL224"/>
      <c r="CM224"/>
      <c r="CN224" s="56" t="s">
        <v>1</v>
      </c>
      <c r="CO224" s="5">
        <v>1</v>
      </c>
    </row>
    <row r="225" spans="1:93" s="1" customFormat="1" ht="21" customHeight="1">
      <c r="A225" s="20" t="str">
        <f t="shared" si="101"/>
        <v>►</v>
      </c>
      <c r="B225" s="43" t="str">
        <f t="shared" si="86"/>
        <v>►</v>
      </c>
      <c r="C225" s="45" t="str">
        <f t="shared" si="87"/>
        <v>►</v>
      </c>
      <c r="D225" s="44" t="str">
        <f t="shared" si="88"/>
        <v>►</v>
      </c>
      <c r="E225" s="43" t="str">
        <f t="shared" si="89"/>
        <v>►</v>
      </c>
      <c r="F225" s="43" t="str">
        <f t="shared" si="90"/>
        <v>►</v>
      </c>
      <c r="G225" s="43" t="str">
        <f t="shared" si="91"/>
        <v>►</v>
      </c>
      <c r="H225" s="1256" t="s">
        <v>1</v>
      </c>
      <c r="I225" s="5175" t="s">
        <v>1</v>
      </c>
      <c r="J225" s="5161"/>
      <c r="K225" s="5161"/>
      <c r="L225" s="5161"/>
      <c r="M225" s="5176"/>
      <c r="N225" s="5177"/>
      <c r="O225" s="147"/>
      <c r="P225" s="147"/>
      <c r="Q225" s="102"/>
      <c r="R225" s="102"/>
      <c r="S225" s="1360"/>
      <c r="T225" s="43"/>
      <c r="U225" s="42"/>
      <c r="V225" s="41"/>
      <c r="W225" s="40"/>
      <c r="X225" s="39"/>
      <c r="Y225" s="38"/>
      <c r="Z225" s="37"/>
      <c r="AA225" s="36"/>
      <c r="AB225" s="35"/>
      <c r="AC225" s="34"/>
      <c r="AD225" s="55"/>
      <c r="AE225" s="33"/>
      <c r="AF225"/>
      <c r="AG225" s="32"/>
      <c r="AH225" s="31"/>
      <c r="AI225" s="30"/>
      <c r="AJ225" s="5492">
        <f t="shared" si="93"/>
        <v>0</v>
      </c>
      <c r="AK225" s="54">
        <f t="shared" si="94"/>
        <v>0</v>
      </c>
      <c r="AL225" s="53" t="str">
        <f t="shared" si="95"/>
        <v/>
      </c>
      <c r="AM225" s="52"/>
      <c r="AN225" s="51">
        <f t="shared" si="96"/>
        <v>0</v>
      </c>
      <c r="AO225" s="50">
        <f t="shared" si="97"/>
        <v>0</v>
      </c>
      <c r="AP225" s="49">
        <f t="shared" si="98"/>
        <v>0</v>
      </c>
      <c r="AQ225" s="23"/>
      <c r="AR225" s="48">
        <f t="shared" si="99"/>
        <v>0</v>
      </c>
      <c r="AS225" s="47"/>
      <c r="AT225" s="13"/>
      <c r="AU225" s="46">
        <f t="shared" si="100"/>
        <v>0</v>
      </c>
      <c r="AV225"/>
      <c r="AZ225"/>
      <c r="BA225"/>
      <c r="BB225"/>
      <c r="BC225" s="3"/>
      <c r="BD225" s="3"/>
      <c r="BE225" s="3"/>
      <c r="BF225" s="3"/>
      <c r="BG225" s="3"/>
      <c r="BH225" s="3"/>
      <c r="BI225" s="3"/>
      <c r="BJ225" s="3"/>
      <c r="BL225" s="20" t="str">
        <f t="shared" si="92"/>
        <v>►</v>
      </c>
      <c r="BM225"/>
      <c r="BN225"/>
      <c r="BO225"/>
      <c r="BP225"/>
      <c r="BQ225"/>
      <c r="BR225"/>
      <c r="BS225"/>
      <c r="BT225"/>
      <c r="BU225"/>
      <c r="BV225"/>
      <c r="BW225"/>
      <c r="BX225"/>
      <c r="BY225"/>
      <c r="BZ225"/>
      <c r="CA225"/>
      <c r="CB225"/>
      <c r="CC225"/>
      <c r="CD225"/>
      <c r="CE225"/>
      <c r="CF225"/>
      <c r="CG225"/>
      <c r="CH225"/>
      <c r="CI225"/>
      <c r="CJ225"/>
      <c r="CK225"/>
      <c r="CL225"/>
      <c r="CM225"/>
      <c r="CN225" s="56" t="s">
        <v>1</v>
      </c>
      <c r="CO225" s="5">
        <v>1</v>
      </c>
    </row>
    <row r="226" spans="1:93" s="1" customFormat="1" ht="21" customHeight="1">
      <c r="A226" s="20" t="str">
        <f t="shared" si="101"/>
        <v>►</v>
      </c>
      <c r="B226" s="43" t="str">
        <f t="shared" si="86"/>
        <v>►</v>
      </c>
      <c r="C226" s="45" t="str">
        <f t="shared" si="87"/>
        <v>►</v>
      </c>
      <c r="D226" s="44" t="str">
        <f t="shared" si="88"/>
        <v>►</v>
      </c>
      <c r="E226" s="43" t="str">
        <f t="shared" si="89"/>
        <v>►</v>
      </c>
      <c r="F226" s="43" t="str">
        <f t="shared" si="90"/>
        <v>►</v>
      </c>
      <c r="G226" s="43" t="str">
        <f t="shared" si="91"/>
        <v>►</v>
      </c>
      <c r="H226" s="1256" t="s">
        <v>1</v>
      </c>
      <c r="I226" s="5175" t="s">
        <v>1</v>
      </c>
      <c r="J226" s="5161"/>
      <c r="K226" s="5161"/>
      <c r="L226" s="5161"/>
      <c r="M226" s="5176"/>
      <c r="N226" s="5177"/>
      <c r="O226" s="147"/>
      <c r="P226" s="147"/>
      <c r="Q226" s="102"/>
      <c r="R226" s="102"/>
      <c r="S226" s="1360"/>
      <c r="T226" s="43"/>
      <c r="U226" s="42"/>
      <c r="V226" s="41"/>
      <c r="W226" s="40"/>
      <c r="X226" s="39"/>
      <c r="Y226" s="38"/>
      <c r="Z226" s="37"/>
      <c r="AA226" s="36"/>
      <c r="AB226" s="35"/>
      <c r="AC226" s="34"/>
      <c r="AD226" s="55"/>
      <c r="AE226" s="33"/>
      <c r="AF226"/>
      <c r="AG226" s="32"/>
      <c r="AH226" s="31"/>
      <c r="AI226" s="30"/>
      <c r="AJ226" s="5492">
        <f t="shared" si="93"/>
        <v>0</v>
      </c>
      <c r="AK226" s="29">
        <f t="shared" si="94"/>
        <v>0</v>
      </c>
      <c r="AL226" s="28" t="str">
        <f t="shared" si="95"/>
        <v/>
      </c>
      <c r="AM226" s="27"/>
      <c r="AN226" s="26">
        <f t="shared" si="96"/>
        <v>0</v>
      </c>
      <c r="AO226" s="25">
        <f t="shared" si="97"/>
        <v>0</v>
      </c>
      <c r="AP226" s="24">
        <f t="shared" si="98"/>
        <v>0</v>
      </c>
      <c r="AQ226" s="23"/>
      <c r="AR226" s="22">
        <f t="shared" si="99"/>
        <v>0</v>
      </c>
      <c r="AS226" s="21"/>
      <c r="AT226" s="13"/>
      <c r="AU226" s="46">
        <f t="shared" si="100"/>
        <v>0</v>
      </c>
      <c r="AV226"/>
      <c r="AZ226"/>
      <c r="BA226"/>
      <c r="BB226"/>
      <c r="BC226" s="3"/>
      <c r="BD226" s="3"/>
      <c r="BE226" s="3"/>
      <c r="BF226" s="3"/>
      <c r="BG226" s="3"/>
      <c r="BH226" s="3"/>
      <c r="BI226" s="3"/>
      <c r="BJ226" s="3"/>
      <c r="BL226" s="20" t="str">
        <f t="shared" si="92"/>
        <v>►</v>
      </c>
      <c r="BM226"/>
      <c r="BN226"/>
      <c r="BO226"/>
      <c r="BP226"/>
      <c r="BQ226"/>
      <c r="BR226"/>
      <c r="BS226"/>
      <c r="BT226"/>
      <c r="BU226"/>
      <c r="BV226"/>
      <c r="BW226"/>
      <c r="BX226"/>
      <c r="BY226"/>
      <c r="BZ226"/>
      <c r="CA226"/>
      <c r="CB226"/>
      <c r="CC226"/>
      <c r="CD226"/>
      <c r="CE226"/>
      <c r="CF226"/>
      <c r="CG226"/>
      <c r="CH226"/>
      <c r="CI226"/>
      <c r="CJ226"/>
      <c r="CK226"/>
      <c r="CL226"/>
      <c r="CM226"/>
      <c r="CN226" s="56" t="s">
        <v>1</v>
      </c>
      <c r="CO226" s="5">
        <v>1</v>
      </c>
    </row>
    <row r="227" spans="1:93" s="1" customFormat="1" ht="21" customHeight="1">
      <c r="A227" s="20" t="str">
        <f t="shared" si="101"/>
        <v>►</v>
      </c>
      <c r="B227" s="43" t="str">
        <f t="shared" si="86"/>
        <v>►</v>
      </c>
      <c r="C227" s="45" t="str">
        <f t="shared" si="87"/>
        <v>►</v>
      </c>
      <c r="D227" s="44" t="str">
        <f t="shared" si="88"/>
        <v>►</v>
      </c>
      <c r="E227" s="43" t="str">
        <f t="shared" si="89"/>
        <v>►</v>
      </c>
      <c r="F227" s="43" t="str">
        <f t="shared" si="90"/>
        <v>►</v>
      </c>
      <c r="G227" s="43" t="str">
        <f t="shared" si="91"/>
        <v>►</v>
      </c>
      <c r="H227" s="1256" t="s">
        <v>1</v>
      </c>
      <c r="I227" s="5175" t="s">
        <v>1</v>
      </c>
      <c r="J227" s="5161"/>
      <c r="K227" s="5161"/>
      <c r="L227" s="5161"/>
      <c r="M227" s="5176"/>
      <c r="N227" s="5177"/>
      <c r="O227" s="147"/>
      <c r="P227" s="147"/>
      <c r="Q227" s="102"/>
      <c r="R227" s="102"/>
      <c r="S227" s="1360"/>
      <c r="T227" s="43"/>
      <c r="U227" s="42"/>
      <c r="V227" s="41"/>
      <c r="W227" s="40"/>
      <c r="X227" s="39"/>
      <c r="Y227" s="38"/>
      <c r="Z227" s="37"/>
      <c r="AA227" s="36"/>
      <c r="AB227" s="35"/>
      <c r="AC227" s="34"/>
      <c r="AD227" s="55"/>
      <c r="AE227" s="33"/>
      <c r="AF227"/>
      <c r="AG227" s="32"/>
      <c r="AH227" s="31"/>
      <c r="AI227" s="30"/>
      <c r="AJ227" s="5492">
        <f t="shared" si="93"/>
        <v>0</v>
      </c>
      <c r="AK227" s="54">
        <f t="shared" si="94"/>
        <v>0</v>
      </c>
      <c r="AL227" s="53" t="str">
        <f t="shared" si="95"/>
        <v/>
      </c>
      <c r="AM227" s="52"/>
      <c r="AN227" s="51">
        <f t="shared" si="96"/>
        <v>0</v>
      </c>
      <c r="AO227" s="50">
        <f t="shared" si="97"/>
        <v>0</v>
      </c>
      <c r="AP227" s="49">
        <f t="shared" si="98"/>
        <v>0</v>
      </c>
      <c r="AQ227" s="23"/>
      <c r="AR227" s="48">
        <f t="shared" si="99"/>
        <v>0</v>
      </c>
      <c r="AS227" s="47"/>
      <c r="AT227" s="13"/>
      <c r="AU227" s="46">
        <f t="shared" si="100"/>
        <v>0</v>
      </c>
      <c r="AV227"/>
      <c r="AZ227"/>
      <c r="BA227"/>
      <c r="BB227"/>
      <c r="BC227" s="3"/>
      <c r="BD227" s="3"/>
      <c r="BE227" s="3"/>
      <c r="BF227" s="3"/>
      <c r="BG227" s="3"/>
      <c r="BH227" s="3"/>
      <c r="BI227" s="3"/>
      <c r="BJ227" s="3"/>
      <c r="BL227" s="20" t="str">
        <f t="shared" si="92"/>
        <v>►</v>
      </c>
      <c r="BM227"/>
      <c r="BN227"/>
      <c r="BO227"/>
      <c r="BP227"/>
      <c r="BQ227"/>
      <c r="BR227"/>
      <c r="BS227"/>
      <c r="BT227"/>
      <c r="BU227"/>
      <c r="BV227"/>
      <c r="BW227"/>
      <c r="BX227"/>
      <c r="BY227"/>
      <c r="BZ227"/>
      <c r="CA227"/>
      <c r="CB227"/>
      <c r="CC227"/>
      <c r="CD227"/>
      <c r="CE227"/>
      <c r="CF227"/>
      <c r="CG227"/>
      <c r="CH227"/>
      <c r="CI227"/>
      <c r="CJ227"/>
      <c r="CK227"/>
      <c r="CL227"/>
      <c r="CM227"/>
      <c r="CN227" s="56" t="s">
        <v>1</v>
      </c>
      <c r="CO227" s="5">
        <v>1</v>
      </c>
    </row>
    <row r="228" spans="1:93" s="1" customFormat="1" ht="21" customHeight="1">
      <c r="A228" s="20" t="str">
        <f t="shared" si="101"/>
        <v>►</v>
      </c>
      <c r="B228" s="43" t="str">
        <f t="shared" si="86"/>
        <v>►</v>
      </c>
      <c r="C228" s="45" t="str">
        <f t="shared" si="87"/>
        <v>►</v>
      </c>
      <c r="D228" s="44" t="str">
        <f t="shared" si="88"/>
        <v>►</v>
      </c>
      <c r="E228" s="43" t="str">
        <f t="shared" si="89"/>
        <v>►</v>
      </c>
      <c r="F228" s="43" t="str">
        <f t="shared" si="90"/>
        <v>►</v>
      </c>
      <c r="G228" s="43" t="str">
        <f t="shared" si="91"/>
        <v>►</v>
      </c>
      <c r="H228" s="1256" t="s">
        <v>1</v>
      </c>
      <c r="I228" s="5175" t="s">
        <v>1</v>
      </c>
      <c r="J228" s="5161"/>
      <c r="K228" s="5161"/>
      <c r="L228" s="5161"/>
      <c r="M228" s="5176"/>
      <c r="N228" s="5177"/>
      <c r="O228" s="147"/>
      <c r="P228" s="147"/>
      <c r="Q228" s="102"/>
      <c r="R228" s="102"/>
      <c r="S228" s="1360"/>
      <c r="T228" s="43"/>
      <c r="U228" s="42"/>
      <c r="V228" s="41"/>
      <c r="W228" s="40"/>
      <c r="X228" s="39"/>
      <c r="Y228" s="38"/>
      <c r="Z228" s="37"/>
      <c r="AA228" s="36"/>
      <c r="AB228" s="35"/>
      <c r="AC228" s="34"/>
      <c r="AD228" s="55"/>
      <c r="AE228" s="33"/>
      <c r="AF228"/>
      <c r="AG228" s="32"/>
      <c r="AH228" s="31"/>
      <c r="AI228" s="30"/>
      <c r="AJ228" s="5492">
        <f t="shared" si="93"/>
        <v>0</v>
      </c>
      <c r="AK228" s="29">
        <f t="shared" si="94"/>
        <v>0</v>
      </c>
      <c r="AL228" s="28" t="str">
        <f t="shared" si="95"/>
        <v/>
      </c>
      <c r="AM228" s="27"/>
      <c r="AN228" s="26">
        <f t="shared" si="96"/>
        <v>0</v>
      </c>
      <c r="AO228" s="25">
        <f t="shared" si="97"/>
        <v>0</v>
      </c>
      <c r="AP228" s="24">
        <f t="shared" si="98"/>
        <v>0</v>
      </c>
      <c r="AQ228" s="23"/>
      <c r="AR228" s="22">
        <f t="shared" si="99"/>
        <v>0</v>
      </c>
      <c r="AS228" s="21"/>
      <c r="AT228" s="13"/>
      <c r="AU228" s="46">
        <f t="shared" si="100"/>
        <v>0</v>
      </c>
      <c r="AV228"/>
      <c r="AZ228"/>
      <c r="BA228"/>
      <c r="BB228"/>
      <c r="BC228" s="3"/>
      <c r="BD228" s="3"/>
      <c r="BE228" s="3"/>
      <c r="BF228" s="3"/>
      <c r="BG228" s="3"/>
      <c r="BH228" s="3"/>
      <c r="BI228" s="3"/>
      <c r="BJ228" s="3"/>
      <c r="BL228" s="20" t="str">
        <f t="shared" si="92"/>
        <v>►</v>
      </c>
      <c r="BM228"/>
      <c r="BN228"/>
      <c r="BO228"/>
      <c r="BP228"/>
      <c r="BQ228"/>
      <c r="BR228"/>
      <c r="BS228"/>
      <c r="BT228"/>
      <c r="BU228"/>
      <c r="BV228"/>
      <c r="BW228"/>
      <c r="BX228"/>
      <c r="BY228"/>
      <c r="BZ228"/>
      <c r="CA228"/>
      <c r="CB228"/>
      <c r="CC228"/>
      <c r="CD228"/>
      <c r="CE228"/>
      <c r="CF228"/>
      <c r="CG228"/>
      <c r="CH228"/>
      <c r="CI228"/>
      <c r="CJ228"/>
      <c r="CK228"/>
      <c r="CL228"/>
      <c r="CM228"/>
      <c r="CN228" s="56" t="s">
        <v>1</v>
      </c>
      <c r="CO228" s="5">
        <v>1</v>
      </c>
    </row>
    <row r="229" spans="1:93" s="1" customFormat="1" ht="21" customHeight="1">
      <c r="A229" s="20" t="str">
        <f t="shared" si="101"/>
        <v>►</v>
      </c>
      <c r="B229" s="43" t="str">
        <f t="shared" si="86"/>
        <v>►</v>
      </c>
      <c r="C229" s="45" t="str">
        <f t="shared" si="87"/>
        <v>►</v>
      </c>
      <c r="D229" s="44" t="str">
        <f t="shared" si="88"/>
        <v>►</v>
      </c>
      <c r="E229" s="43" t="str">
        <f t="shared" si="89"/>
        <v>►</v>
      </c>
      <c r="F229" s="43" t="str">
        <f t="shared" si="90"/>
        <v>►</v>
      </c>
      <c r="G229" s="43" t="str">
        <f t="shared" si="91"/>
        <v>►</v>
      </c>
      <c r="H229" s="1256" t="s">
        <v>1</v>
      </c>
      <c r="I229" s="5175" t="s">
        <v>1</v>
      </c>
      <c r="J229" s="5161"/>
      <c r="K229" s="5161"/>
      <c r="L229" s="5161"/>
      <c r="M229" s="5176"/>
      <c r="N229" s="5177"/>
      <c r="O229" s="147"/>
      <c r="P229" s="147"/>
      <c r="Q229" s="102"/>
      <c r="R229" s="102"/>
      <c r="S229" s="1360"/>
      <c r="T229" s="43"/>
      <c r="U229" s="42"/>
      <c r="V229" s="41"/>
      <c r="W229" s="40"/>
      <c r="X229" s="39"/>
      <c r="Y229" s="38"/>
      <c r="Z229" s="37"/>
      <c r="AA229" s="36"/>
      <c r="AB229" s="35"/>
      <c r="AC229" s="34"/>
      <c r="AD229" s="55"/>
      <c r="AE229" s="33"/>
      <c r="AF229"/>
      <c r="AG229" s="32"/>
      <c r="AH229" s="31"/>
      <c r="AI229" s="30"/>
      <c r="AJ229" s="5492">
        <f t="shared" si="93"/>
        <v>0</v>
      </c>
      <c r="AK229" s="54">
        <f t="shared" si="94"/>
        <v>0</v>
      </c>
      <c r="AL229" s="53" t="str">
        <f t="shared" si="95"/>
        <v/>
      </c>
      <c r="AM229" s="52"/>
      <c r="AN229" s="51">
        <f t="shared" si="96"/>
        <v>0</v>
      </c>
      <c r="AO229" s="50">
        <f t="shared" si="97"/>
        <v>0</v>
      </c>
      <c r="AP229" s="49">
        <f t="shared" si="98"/>
        <v>0</v>
      </c>
      <c r="AQ229" s="23"/>
      <c r="AR229" s="48">
        <f t="shared" si="99"/>
        <v>0</v>
      </c>
      <c r="AS229" s="47"/>
      <c r="AT229" s="13"/>
      <c r="AU229" s="46">
        <f t="shared" si="100"/>
        <v>0</v>
      </c>
      <c r="AV229"/>
      <c r="AZ229"/>
      <c r="BA229"/>
      <c r="BB229"/>
      <c r="BC229" s="3"/>
      <c r="BD229" s="3"/>
      <c r="BE229" s="3"/>
      <c r="BF229" s="3"/>
      <c r="BG229" s="3"/>
      <c r="BH229" s="3"/>
      <c r="BI229" s="3"/>
      <c r="BJ229" s="3"/>
      <c r="BL229" s="20" t="str">
        <f t="shared" si="92"/>
        <v>►</v>
      </c>
      <c r="BM229"/>
      <c r="BN229"/>
      <c r="BO229"/>
      <c r="BP229"/>
      <c r="BQ229"/>
      <c r="BR229"/>
      <c r="BS229"/>
      <c r="BT229"/>
      <c r="BU229"/>
      <c r="BV229"/>
      <c r="BW229"/>
      <c r="BX229"/>
      <c r="BY229"/>
      <c r="BZ229"/>
      <c r="CA229"/>
      <c r="CB229"/>
      <c r="CC229"/>
      <c r="CD229"/>
      <c r="CE229"/>
      <c r="CF229"/>
      <c r="CG229"/>
      <c r="CH229"/>
      <c r="CI229"/>
      <c r="CJ229"/>
      <c r="CK229"/>
      <c r="CL229"/>
      <c r="CM229"/>
      <c r="CN229" s="56" t="s">
        <v>1</v>
      </c>
      <c r="CO229" s="5">
        <v>1</v>
      </c>
    </row>
    <row r="230" spans="1:93" s="1" customFormat="1" ht="21" customHeight="1">
      <c r="A230" s="20" t="str">
        <f t="shared" si="101"/>
        <v>►</v>
      </c>
      <c r="B230" s="43" t="str">
        <f t="shared" si="86"/>
        <v>►</v>
      </c>
      <c r="C230" s="45" t="str">
        <f t="shared" si="87"/>
        <v>►</v>
      </c>
      <c r="D230" s="44" t="str">
        <f t="shared" si="88"/>
        <v>►</v>
      </c>
      <c r="E230" s="43" t="str">
        <f t="shared" si="89"/>
        <v>►</v>
      </c>
      <c r="F230" s="43" t="str">
        <f t="shared" si="90"/>
        <v>►</v>
      </c>
      <c r="G230" s="43" t="str">
        <f t="shared" si="91"/>
        <v>►</v>
      </c>
      <c r="H230" s="1256" t="s">
        <v>1</v>
      </c>
      <c r="I230" s="5175" t="s">
        <v>1</v>
      </c>
      <c r="J230" s="5161"/>
      <c r="K230" s="5161"/>
      <c r="L230" s="5161"/>
      <c r="M230" s="5176"/>
      <c r="N230" s="5177"/>
      <c r="O230" s="147"/>
      <c r="P230" s="147"/>
      <c r="Q230" s="102"/>
      <c r="R230" s="102"/>
      <c r="S230" s="1360"/>
      <c r="T230" s="43"/>
      <c r="U230" s="42"/>
      <c r="V230" s="41"/>
      <c r="W230" s="40"/>
      <c r="X230" s="39"/>
      <c r="Y230" s="38"/>
      <c r="Z230" s="37"/>
      <c r="AA230" s="36"/>
      <c r="AB230" s="35"/>
      <c r="AC230" s="34"/>
      <c r="AD230" s="55"/>
      <c r="AE230" s="33"/>
      <c r="AF230"/>
      <c r="AG230" s="32"/>
      <c r="AH230" s="31"/>
      <c r="AI230" s="30"/>
      <c r="AJ230" s="5492">
        <f t="shared" si="93"/>
        <v>0</v>
      </c>
      <c r="AK230" s="29">
        <f t="shared" si="94"/>
        <v>0</v>
      </c>
      <c r="AL230" s="28" t="str">
        <f t="shared" si="95"/>
        <v/>
      </c>
      <c r="AM230" s="27"/>
      <c r="AN230" s="26">
        <f t="shared" si="96"/>
        <v>0</v>
      </c>
      <c r="AO230" s="25">
        <f t="shared" si="97"/>
        <v>0</v>
      </c>
      <c r="AP230" s="24">
        <f t="shared" si="98"/>
        <v>0</v>
      </c>
      <c r="AQ230" s="23"/>
      <c r="AR230" s="22">
        <f t="shared" si="99"/>
        <v>0</v>
      </c>
      <c r="AS230" s="21"/>
      <c r="AT230" s="13"/>
      <c r="AU230" s="46">
        <f t="shared" si="100"/>
        <v>0</v>
      </c>
      <c r="AV230"/>
      <c r="AZ230"/>
      <c r="BA230"/>
      <c r="BB230"/>
      <c r="BC230" s="3"/>
      <c r="BD230" s="3"/>
      <c r="BE230" s="3"/>
      <c r="BF230" s="3"/>
      <c r="BG230" s="3"/>
      <c r="BH230" s="3"/>
      <c r="BI230" s="3"/>
      <c r="BJ230" s="3"/>
      <c r="BL230" s="20" t="str">
        <f t="shared" si="92"/>
        <v>►</v>
      </c>
      <c r="BM230"/>
      <c r="BN230"/>
      <c r="BO230"/>
      <c r="BP230"/>
      <c r="BQ230"/>
      <c r="BR230"/>
      <c r="BS230"/>
      <c r="BT230"/>
      <c r="BU230"/>
      <c r="BV230"/>
      <c r="BW230"/>
      <c r="BX230"/>
      <c r="BY230"/>
      <c r="BZ230"/>
      <c r="CA230"/>
      <c r="CB230"/>
      <c r="CC230"/>
      <c r="CD230"/>
      <c r="CE230"/>
      <c r="CF230"/>
      <c r="CG230"/>
      <c r="CH230"/>
      <c r="CI230"/>
      <c r="CJ230"/>
      <c r="CK230"/>
      <c r="CL230"/>
      <c r="CM230"/>
      <c r="CN230" s="56" t="s">
        <v>1</v>
      </c>
      <c r="CO230" s="5">
        <v>1</v>
      </c>
    </row>
    <row r="231" spans="1:93" s="1" customFormat="1" ht="21" customHeight="1">
      <c r="A231" s="20" t="str">
        <f t="shared" si="101"/>
        <v>►</v>
      </c>
      <c r="B231" s="43" t="str">
        <f t="shared" si="86"/>
        <v>►</v>
      </c>
      <c r="C231" s="45" t="str">
        <f t="shared" si="87"/>
        <v>►</v>
      </c>
      <c r="D231" s="44" t="str">
        <f t="shared" si="88"/>
        <v>►</v>
      </c>
      <c r="E231" s="43" t="str">
        <f t="shared" si="89"/>
        <v>►</v>
      </c>
      <c r="F231" s="43" t="str">
        <f t="shared" si="90"/>
        <v>►</v>
      </c>
      <c r="G231" s="43" t="str">
        <f t="shared" si="91"/>
        <v>►</v>
      </c>
      <c r="H231" s="1256" t="s">
        <v>1</v>
      </c>
      <c r="I231" s="5175" t="s">
        <v>1</v>
      </c>
      <c r="J231" s="5161"/>
      <c r="K231" s="5161"/>
      <c r="L231" s="5161"/>
      <c r="M231" s="5176"/>
      <c r="N231" s="5177"/>
      <c r="O231" s="147"/>
      <c r="P231" s="147"/>
      <c r="Q231" s="102"/>
      <c r="R231" s="102"/>
      <c r="S231" s="1360"/>
      <c r="T231" s="43"/>
      <c r="U231" s="42"/>
      <c r="V231" s="41"/>
      <c r="W231" s="40"/>
      <c r="X231" s="39"/>
      <c r="Y231" s="38"/>
      <c r="Z231" s="37"/>
      <c r="AA231" s="36"/>
      <c r="AB231" s="35"/>
      <c r="AC231" s="34"/>
      <c r="AD231" s="55"/>
      <c r="AE231" s="33"/>
      <c r="AF231"/>
      <c r="AG231" s="32"/>
      <c r="AH231" s="31"/>
      <c r="AI231" s="30"/>
      <c r="AJ231" s="5492">
        <f t="shared" si="93"/>
        <v>0</v>
      </c>
      <c r="AK231" s="54">
        <f t="shared" si="94"/>
        <v>0</v>
      </c>
      <c r="AL231" s="53" t="str">
        <f t="shared" si="95"/>
        <v/>
      </c>
      <c r="AM231" s="52"/>
      <c r="AN231" s="51">
        <f t="shared" si="96"/>
        <v>0</v>
      </c>
      <c r="AO231" s="50">
        <f t="shared" si="97"/>
        <v>0</v>
      </c>
      <c r="AP231" s="49">
        <f t="shared" si="98"/>
        <v>0</v>
      </c>
      <c r="AQ231" s="23"/>
      <c r="AR231" s="48">
        <f t="shared" si="99"/>
        <v>0</v>
      </c>
      <c r="AS231" s="47"/>
      <c r="AT231" s="13"/>
      <c r="AU231" s="46">
        <f t="shared" si="100"/>
        <v>0</v>
      </c>
      <c r="AV231"/>
      <c r="AZ231"/>
      <c r="BA231"/>
      <c r="BB231"/>
      <c r="BC231" s="3"/>
      <c r="BD231" s="3"/>
      <c r="BE231" s="3"/>
      <c r="BF231" s="3"/>
      <c r="BG231" s="3"/>
      <c r="BH231" s="3"/>
      <c r="BI231" s="3"/>
      <c r="BJ231" s="3"/>
      <c r="BL231" s="20" t="str">
        <f t="shared" si="92"/>
        <v>►</v>
      </c>
      <c r="BM231"/>
      <c r="BN231"/>
      <c r="BO231"/>
      <c r="BP231"/>
      <c r="BQ231"/>
      <c r="BR231"/>
      <c r="BS231"/>
      <c r="BT231"/>
      <c r="BU231"/>
      <c r="BV231"/>
      <c r="BW231"/>
      <c r="BX231"/>
      <c r="BY231"/>
      <c r="BZ231"/>
      <c r="CA231"/>
      <c r="CB231"/>
      <c r="CC231"/>
      <c r="CD231"/>
      <c r="CE231"/>
      <c r="CF231"/>
      <c r="CG231"/>
      <c r="CH231"/>
      <c r="CI231"/>
      <c r="CJ231"/>
      <c r="CK231"/>
      <c r="CL231"/>
      <c r="CM231"/>
      <c r="CN231" s="56" t="s">
        <v>1</v>
      </c>
      <c r="CO231" s="5">
        <v>1</v>
      </c>
    </row>
    <row r="232" spans="1:93" s="1" customFormat="1" ht="21" customHeight="1">
      <c r="A232" s="20" t="str">
        <f t="shared" si="101"/>
        <v>►</v>
      </c>
      <c r="B232" s="43" t="str">
        <f t="shared" si="86"/>
        <v>►</v>
      </c>
      <c r="C232" s="45" t="str">
        <f t="shared" si="87"/>
        <v>►</v>
      </c>
      <c r="D232" s="44" t="str">
        <f t="shared" si="88"/>
        <v>►</v>
      </c>
      <c r="E232" s="43" t="str">
        <f t="shared" si="89"/>
        <v>►</v>
      </c>
      <c r="F232" s="43" t="str">
        <f t="shared" si="90"/>
        <v>►</v>
      </c>
      <c r="G232" s="43" t="str">
        <f t="shared" si="91"/>
        <v>►</v>
      </c>
      <c r="H232" s="1256" t="s">
        <v>1</v>
      </c>
      <c r="I232" s="5175" t="s">
        <v>1</v>
      </c>
      <c r="J232" s="5161"/>
      <c r="K232" s="5161"/>
      <c r="L232" s="5161"/>
      <c r="M232" s="5176"/>
      <c r="N232" s="5177"/>
      <c r="O232" s="147"/>
      <c r="P232" s="147"/>
      <c r="Q232" s="102"/>
      <c r="R232" s="102"/>
      <c r="S232" s="1360"/>
      <c r="T232" s="43"/>
      <c r="U232" s="42"/>
      <c r="V232" s="41"/>
      <c r="W232" s="40"/>
      <c r="X232" s="39"/>
      <c r="Y232" s="38"/>
      <c r="Z232" s="37"/>
      <c r="AA232" s="36"/>
      <c r="AB232" s="35"/>
      <c r="AC232" s="34"/>
      <c r="AD232" s="55"/>
      <c r="AE232" s="33"/>
      <c r="AF232"/>
      <c r="AG232" s="32"/>
      <c r="AH232" s="31"/>
      <c r="AI232" s="30"/>
      <c r="AJ232" s="5492">
        <f t="shared" si="93"/>
        <v>0</v>
      </c>
      <c r="AK232" s="29">
        <f t="shared" si="94"/>
        <v>0</v>
      </c>
      <c r="AL232" s="28" t="str">
        <f t="shared" si="95"/>
        <v/>
      </c>
      <c r="AM232" s="27"/>
      <c r="AN232" s="26">
        <f t="shared" si="96"/>
        <v>0</v>
      </c>
      <c r="AO232" s="25">
        <f t="shared" si="97"/>
        <v>0</v>
      </c>
      <c r="AP232" s="24">
        <f t="shared" si="98"/>
        <v>0</v>
      </c>
      <c r="AQ232" s="23"/>
      <c r="AR232" s="22">
        <f t="shared" si="99"/>
        <v>0</v>
      </c>
      <c r="AS232" s="21"/>
      <c r="AT232" s="13"/>
      <c r="AU232" s="46">
        <f t="shared" si="100"/>
        <v>0</v>
      </c>
      <c r="AV232"/>
      <c r="AZ232"/>
      <c r="BA232"/>
      <c r="BB232"/>
      <c r="BC232" s="3"/>
      <c r="BD232" s="3"/>
      <c r="BE232" s="3"/>
      <c r="BF232" s="3"/>
      <c r="BG232" s="3"/>
      <c r="BH232" s="3"/>
      <c r="BI232" s="3"/>
      <c r="BJ232" s="3"/>
      <c r="BL232" s="20" t="str">
        <f t="shared" si="92"/>
        <v>►</v>
      </c>
      <c r="BM232"/>
      <c r="BN232"/>
      <c r="BO232"/>
      <c r="BP232"/>
      <c r="BQ232"/>
      <c r="BR232"/>
      <c r="BS232"/>
      <c r="BT232"/>
      <c r="BU232"/>
      <c r="BV232"/>
      <c r="BW232"/>
      <c r="BX232"/>
      <c r="BY232"/>
      <c r="BZ232"/>
      <c r="CA232"/>
      <c r="CB232"/>
      <c r="CC232"/>
      <c r="CD232"/>
      <c r="CE232"/>
      <c r="CF232"/>
      <c r="CG232"/>
      <c r="CH232"/>
      <c r="CI232"/>
      <c r="CJ232"/>
      <c r="CK232"/>
      <c r="CL232"/>
      <c r="CM232"/>
      <c r="CN232" s="56" t="s">
        <v>1</v>
      </c>
      <c r="CO232" s="5">
        <v>1</v>
      </c>
    </row>
    <row r="233" spans="1:93" s="1" customFormat="1" ht="21" customHeight="1">
      <c r="A233" s="20" t="str">
        <f t="shared" si="101"/>
        <v>►</v>
      </c>
      <c r="B233" s="43" t="str">
        <f t="shared" si="86"/>
        <v>►</v>
      </c>
      <c r="C233" s="45" t="str">
        <f t="shared" si="87"/>
        <v>►</v>
      </c>
      <c r="D233" s="44" t="str">
        <f t="shared" si="88"/>
        <v>►</v>
      </c>
      <c r="E233" s="43" t="str">
        <f t="shared" si="89"/>
        <v>►</v>
      </c>
      <c r="F233" s="43" t="str">
        <f t="shared" si="90"/>
        <v>►</v>
      </c>
      <c r="G233" s="43" t="str">
        <f t="shared" si="91"/>
        <v>►</v>
      </c>
      <c r="H233" s="1256" t="s">
        <v>1</v>
      </c>
      <c r="I233" s="5175" t="s">
        <v>1</v>
      </c>
      <c r="J233" s="5161"/>
      <c r="K233" s="5161"/>
      <c r="L233" s="5161"/>
      <c r="M233" s="5176"/>
      <c r="N233" s="5177"/>
      <c r="O233" s="147"/>
      <c r="P233" s="147"/>
      <c r="Q233" s="102"/>
      <c r="R233" s="102"/>
      <c r="S233" s="1360"/>
      <c r="T233" s="43"/>
      <c r="U233" s="42"/>
      <c r="V233" s="41"/>
      <c r="W233" s="40"/>
      <c r="X233" s="39"/>
      <c r="Y233" s="38"/>
      <c r="Z233" s="37"/>
      <c r="AA233" s="36"/>
      <c r="AB233" s="35"/>
      <c r="AC233" s="34"/>
      <c r="AD233" s="55"/>
      <c r="AE233" s="33"/>
      <c r="AF233"/>
      <c r="AG233" s="32"/>
      <c r="AH233" s="31"/>
      <c r="AI233" s="30"/>
      <c r="AJ233" s="5492">
        <f t="shared" si="93"/>
        <v>0</v>
      </c>
      <c r="AK233" s="54">
        <f t="shared" si="94"/>
        <v>0</v>
      </c>
      <c r="AL233" s="53" t="str">
        <f t="shared" si="95"/>
        <v/>
      </c>
      <c r="AM233" s="52"/>
      <c r="AN233" s="51">
        <f t="shared" si="96"/>
        <v>0</v>
      </c>
      <c r="AO233" s="50">
        <f t="shared" si="97"/>
        <v>0</v>
      </c>
      <c r="AP233" s="49">
        <f t="shared" si="98"/>
        <v>0</v>
      </c>
      <c r="AQ233" s="23"/>
      <c r="AR233" s="48">
        <f t="shared" si="99"/>
        <v>0</v>
      </c>
      <c r="AS233" s="47"/>
      <c r="AT233" s="13"/>
      <c r="AU233" s="46">
        <f t="shared" si="100"/>
        <v>0</v>
      </c>
      <c r="AV233"/>
      <c r="AZ233"/>
      <c r="BA233"/>
      <c r="BB233"/>
      <c r="BC233" s="3"/>
      <c r="BD233" s="3"/>
      <c r="BE233" s="3"/>
      <c r="BF233" s="3"/>
      <c r="BG233" s="3"/>
      <c r="BH233" s="3"/>
      <c r="BI233" s="3"/>
      <c r="BJ233" s="3"/>
      <c r="BL233" s="20" t="str">
        <f t="shared" si="92"/>
        <v>►</v>
      </c>
      <c r="BM233"/>
      <c r="BN233"/>
      <c r="BO233"/>
      <c r="BP233"/>
      <c r="BQ233"/>
      <c r="BR233"/>
      <c r="BS233"/>
      <c r="BT233"/>
      <c r="BU233"/>
      <c r="BV233"/>
      <c r="BW233"/>
      <c r="BX233"/>
      <c r="BY233"/>
      <c r="BZ233"/>
      <c r="CA233"/>
      <c r="CB233"/>
      <c r="CC233"/>
      <c r="CD233"/>
      <c r="CE233"/>
      <c r="CF233"/>
      <c r="CG233"/>
      <c r="CH233"/>
      <c r="CI233"/>
      <c r="CJ233"/>
      <c r="CK233"/>
      <c r="CL233"/>
      <c r="CM233"/>
      <c r="CN233" s="56" t="s">
        <v>1</v>
      </c>
      <c r="CO233" s="5">
        <v>1</v>
      </c>
    </row>
    <row r="234" spans="1:93" s="1" customFormat="1" ht="21" customHeight="1">
      <c r="A234" s="20" t="str">
        <f t="shared" si="101"/>
        <v>►</v>
      </c>
      <c r="B234" s="43" t="str">
        <f t="shared" si="86"/>
        <v>►</v>
      </c>
      <c r="C234" s="45" t="str">
        <f t="shared" si="87"/>
        <v>►</v>
      </c>
      <c r="D234" s="44" t="str">
        <f t="shared" si="88"/>
        <v>►</v>
      </c>
      <c r="E234" s="43" t="str">
        <f t="shared" si="89"/>
        <v>►</v>
      </c>
      <c r="F234" s="43" t="str">
        <f t="shared" si="90"/>
        <v>►</v>
      </c>
      <c r="G234" s="43" t="str">
        <f t="shared" si="91"/>
        <v>►</v>
      </c>
      <c r="H234" s="1256" t="s">
        <v>1</v>
      </c>
      <c r="I234" s="5175" t="s">
        <v>1</v>
      </c>
      <c r="J234" s="5161"/>
      <c r="K234" s="5161"/>
      <c r="L234" s="5161"/>
      <c r="M234" s="5176"/>
      <c r="N234" s="5177"/>
      <c r="O234" s="147"/>
      <c r="P234" s="147"/>
      <c r="Q234" s="102"/>
      <c r="R234" s="102"/>
      <c r="S234" s="1360"/>
      <c r="T234" s="43"/>
      <c r="U234" s="42"/>
      <c r="V234" s="41"/>
      <c r="W234" s="40"/>
      <c r="X234" s="39"/>
      <c r="Y234" s="38"/>
      <c r="Z234" s="37"/>
      <c r="AA234" s="36"/>
      <c r="AB234" s="35"/>
      <c r="AC234" s="34"/>
      <c r="AD234" s="55"/>
      <c r="AE234" s="33"/>
      <c r="AF234"/>
      <c r="AG234" s="32"/>
      <c r="AH234" s="31"/>
      <c r="AI234" s="30"/>
      <c r="AJ234" s="5492">
        <f t="shared" si="93"/>
        <v>0</v>
      </c>
      <c r="AK234" s="29">
        <f t="shared" si="94"/>
        <v>0</v>
      </c>
      <c r="AL234" s="28" t="str">
        <f t="shared" si="95"/>
        <v/>
      </c>
      <c r="AM234" s="27"/>
      <c r="AN234" s="26">
        <f t="shared" si="96"/>
        <v>0</v>
      </c>
      <c r="AO234" s="25">
        <f t="shared" si="97"/>
        <v>0</v>
      </c>
      <c r="AP234" s="24">
        <f t="shared" si="98"/>
        <v>0</v>
      </c>
      <c r="AQ234" s="23"/>
      <c r="AR234" s="22">
        <f t="shared" si="99"/>
        <v>0</v>
      </c>
      <c r="AS234" s="21"/>
      <c r="AT234" s="13"/>
      <c r="AU234" s="46">
        <f t="shared" si="100"/>
        <v>0</v>
      </c>
      <c r="AV234"/>
      <c r="AZ234"/>
      <c r="BA234"/>
      <c r="BB234"/>
      <c r="BC234" s="3"/>
      <c r="BD234" s="3"/>
      <c r="BE234" s="3"/>
      <c r="BF234" s="3"/>
      <c r="BG234" s="3"/>
      <c r="BH234" s="3"/>
      <c r="BI234" s="3"/>
      <c r="BJ234" s="3"/>
      <c r="BL234" s="20" t="str">
        <f t="shared" si="92"/>
        <v>►</v>
      </c>
      <c r="BM234"/>
      <c r="BN234"/>
      <c r="BO234"/>
      <c r="BP234"/>
      <c r="BQ234"/>
      <c r="BR234"/>
      <c r="BS234"/>
      <c r="BT234"/>
      <c r="BU234"/>
      <c r="BV234"/>
      <c r="BW234"/>
      <c r="BX234"/>
      <c r="BY234"/>
      <c r="BZ234"/>
      <c r="CA234"/>
      <c r="CB234"/>
      <c r="CC234"/>
      <c r="CD234"/>
      <c r="CE234"/>
      <c r="CF234"/>
      <c r="CG234"/>
      <c r="CH234"/>
      <c r="CI234"/>
      <c r="CJ234"/>
      <c r="CK234"/>
      <c r="CL234"/>
      <c r="CM234"/>
      <c r="CN234" s="56" t="s">
        <v>1</v>
      </c>
      <c r="CO234" s="5">
        <v>1</v>
      </c>
    </row>
    <row r="235" spans="1:93" s="1" customFormat="1" ht="21" customHeight="1">
      <c r="A235" s="20" t="str">
        <f t="shared" si="101"/>
        <v>►</v>
      </c>
      <c r="B235" s="43" t="str">
        <f t="shared" si="86"/>
        <v>►</v>
      </c>
      <c r="C235" s="45" t="str">
        <f t="shared" si="87"/>
        <v>►</v>
      </c>
      <c r="D235" s="44" t="str">
        <f t="shared" si="88"/>
        <v>►</v>
      </c>
      <c r="E235" s="43" t="str">
        <f t="shared" si="89"/>
        <v>►</v>
      </c>
      <c r="F235" s="43" t="str">
        <f t="shared" si="90"/>
        <v>►</v>
      </c>
      <c r="G235" s="43" t="str">
        <f t="shared" si="91"/>
        <v>►</v>
      </c>
      <c r="H235" s="1256" t="s">
        <v>1</v>
      </c>
      <c r="I235" s="5175" t="s">
        <v>1</v>
      </c>
      <c r="J235" s="5161"/>
      <c r="K235" s="5161"/>
      <c r="L235" s="5161"/>
      <c r="M235" s="5176"/>
      <c r="N235" s="5177"/>
      <c r="O235" s="147"/>
      <c r="P235" s="147"/>
      <c r="Q235" s="102"/>
      <c r="R235" s="102"/>
      <c r="S235" s="1360"/>
      <c r="T235" s="43"/>
      <c r="U235" s="42"/>
      <c r="V235" s="41"/>
      <c r="W235" s="40"/>
      <c r="X235" s="39"/>
      <c r="Y235" s="38"/>
      <c r="Z235" s="37"/>
      <c r="AA235" s="36"/>
      <c r="AB235" s="35"/>
      <c r="AC235" s="34"/>
      <c r="AD235" s="55"/>
      <c r="AE235" s="33"/>
      <c r="AF235"/>
      <c r="AG235" s="32"/>
      <c r="AH235" s="31"/>
      <c r="AI235" s="30"/>
      <c r="AJ235" s="5492">
        <f t="shared" si="93"/>
        <v>0</v>
      </c>
      <c r="AK235" s="54">
        <f t="shared" si="94"/>
        <v>0</v>
      </c>
      <c r="AL235" s="53" t="str">
        <f t="shared" si="95"/>
        <v/>
      </c>
      <c r="AM235" s="52"/>
      <c r="AN235" s="51">
        <f t="shared" si="96"/>
        <v>0</v>
      </c>
      <c r="AO235" s="50">
        <f t="shared" si="97"/>
        <v>0</v>
      </c>
      <c r="AP235" s="49">
        <f t="shared" si="98"/>
        <v>0</v>
      </c>
      <c r="AQ235" s="23"/>
      <c r="AR235" s="48">
        <f t="shared" si="99"/>
        <v>0</v>
      </c>
      <c r="AS235" s="47"/>
      <c r="AT235" s="13"/>
      <c r="AU235" s="46">
        <f t="shared" si="100"/>
        <v>0</v>
      </c>
      <c r="AV235"/>
      <c r="AZ235"/>
      <c r="BA235"/>
      <c r="BB235"/>
      <c r="BC235" s="3"/>
      <c r="BD235" s="3"/>
      <c r="BE235" s="3"/>
      <c r="BF235" s="3"/>
      <c r="BG235" s="3"/>
      <c r="BH235" s="3"/>
      <c r="BI235" s="3"/>
      <c r="BJ235" s="3"/>
      <c r="BL235" s="20" t="str">
        <f t="shared" si="92"/>
        <v>►</v>
      </c>
      <c r="BM235"/>
      <c r="BN235"/>
      <c r="BO235"/>
      <c r="BP235"/>
      <c r="BQ235"/>
      <c r="BR235"/>
      <c r="BS235"/>
      <c r="BT235"/>
      <c r="BU235"/>
      <c r="BV235"/>
      <c r="BW235"/>
      <c r="BX235"/>
      <c r="BY235"/>
      <c r="BZ235"/>
      <c r="CA235"/>
      <c r="CB235"/>
      <c r="CC235"/>
      <c r="CD235"/>
      <c r="CE235"/>
      <c r="CF235"/>
      <c r="CG235"/>
      <c r="CH235"/>
      <c r="CI235"/>
      <c r="CJ235"/>
      <c r="CK235"/>
      <c r="CL235"/>
      <c r="CM235"/>
      <c r="CN235" s="56" t="s">
        <v>1</v>
      </c>
      <c r="CO235" s="5">
        <v>1</v>
      </c>
    </row>
    <row r="236" spans="1:93" s="1" customFormat="1" ht="21" customHeight="1">
      <c r="A236" s="20" t="str">
        <f t="shared" si="101"/>
        <v>►</v>
      </c>
      <c r="B236" s="43" t="str">
        <f t="shared" si="86"/>
        <v>►</v>
      </c>
      <c r="C236" s="45" t="str">
        <f t="shared" si="87"/>
        <v>►</v>
      </c>
      <c r="D236" s="44" t="str">
        <f t="shared" si="88"/>
        <v>►</v>
      </c>
      <c r="E236" s="43" t="str">
        <f t="shared" si="89"/>
        <v>►</v>
      </c>
      <c r="F236" s="43" t="str">
        <f t="shared" si="90"/>
        <v>►</v>
      </c>
      <c r="G236" s="43" t="str">
        <f t="shared" si="91"/>
        <v>►</v>
      </c>
      <c r="H236" s="1256" t="s">
        <v>1</v>
      </c>
      <c r="I236" s="5175" t="s">
        <v>1</v>
      </c>
      <c r="J236" s="5161"/>
      <c r="K236" s="5161"/>
      <c r="L236" s="5161"/>
      <c r="M236" s="5176"/>
      <c r="N236" s="5177"/>
      <c r="O236" s="147"/>
      <c r="P236" s="147"/>
      <c r="Q236" s="102"/>
      <c r="R236" s="102"/>
      <c r="S236" s="1360"/>
      <c r="T236" s="43"/>
      <c r="U236" s="42"/>
      <c r="V236" s="41"/>
      <c r="W236" s="40"/>
      <c r="X236" s="39"/>
      <c r="Y236" s="38"/>
      <c r="Z236" s="37"/>
      <c r="AA236" s="36"/>
      <c r="AB236" s="35"/>
      <c r="AC236" s="34"/>
      <c r="AD236" s="55"/>
      <c r="AE236" s="33"/>
      <c r="AF236"/>
      <c r="AG236" s="32"/>
      <c r="AH236" s="31"/>
      <c r="AI236" s="30"/>
      <c r="AJ236" s="5492">
        <f t="shared" si="93"/>
        <v>0</v>
      </c>
      <c r="AK236" s="29">
        <f t="shared" si="94"/>
        <v>0</v>
      </c>
      <c r="AL236" s="28" t="str">
        <f t="shared" si="95"/>
        <v/>
      </c>
      <c r="AM236" s="27"/>
      <c r="AN236" s="26">
        <f t="shared" si="96"/>
        <v>0</v>
      </c>
      <c r="AO236" s="25">
        <f t="shared" si="97"/>
        <v>0</v>
      </c>
      <c r="AP236" s="24">
        <f t="shared" si="98"/>
        <v>0</v>
      </c>
      <c r="AQ236" s="23"/>
      <c r="AR236" s="22">
        <f t="shared" si="99"/>
        <v>0</v>
      </c>
      <c r="AS236" s="21"/>
      <c r="AT236" s="13"/>
      <c r="AU236" s="46">
        <f t="shared" si="100"/>
        <v>0</v>
      </c>
      <c r="AV236"/>
      <c r="AZ236"/>
      <c r="BA236"/>
      <c r="BB236"/>
      <c r="BC236" s="3"/>
      <c r="BD236" s="3"/>
      <c r="BE236" s="3"/>
      <c r="BF236" s="3"/>
      <c r="BG236" s="3"/>
      <c r="BH236" s="3"/>
      <c r="BI236" s="3"/>
      <c r="BJ236" s="3"/>
      <c r="BL236" s="20" t="str">
        <f t="shared" si="92"/>
        <v>►</v>
      </c>
      <c r="BM236"/>
      <c r="BN236"/>
      <c r="BO236"/>
      <c r="BP236"/>
      <c r="BQ236"/>
      <c r="BR236"/>
      <c r="BS236"/>
      <c r="BT236"/>
      <c r="BU236"/>
      <c r="BV236"/>
      <c r="BW236"/>
      <c r="BX236"/>
      <c r="BY236"/>
      <c r="BZ236"/>
      <c r="CA236"/>
      <c r="CB236"/>
      <c r="CC236"/>
      <c r="CD236"/>
      <c r="CE236"/>
      <c r="CF236"/>
      <c r="CG236"/>
      <c r="CH236"/>
      <c r="CI236"/>
      <c r="CJ236"/>
      <c r="CK236"/>
      <c r="CL236"/>
      <c r="CM236"/>
      <c r="CN236" s="56" t="s">
        <v>1</v>
      </c>
      <c r="CO236" s="5">
        <v>1</v>
      </c>
    </row>
    <row r="237" spans="1:93" s="1" customFormat="1" ht="21" customHeight="1">
      <c r="A237" s="20" t="str">
        <f t="shared" si="101"/>
        <v>►</v>
      </c>
      <c r="B237" s="43" t="str">
        <f t="shared" si="86"/>
        <v>►</v>
      </c>
      <c r="C237" s="45" t="str">
        <f t="shared" si="87"/>
        <v>►</v>
      </c>
      <c r="D237" s="44" t="str">
        <f t="shared" si="88"/>
        <v>►</v>
      </c>
      <c r="E237" s="43" t="str">
        <f t="shared" si="89"/>
        <v>►</v>
      </c>
      <c r="F237" s="43" t="str">
        <f t="shared" si="90"/>
        <v>►</v>
      </c>
      <c r="G237" s="43" t="str">
        <f t="shared" si="91"/>
        <v>►</v>
      </c>
      <c r="H237" s="1256" t="s">
        <v>1</v>
      </c>
      <c r="I237" s="5175" t="s">
        <v>1</v>
      </c>
      <c r="J237" s="5161"/>
      <c r="K237" s="5161"/>
      <c r="L237" s="5161"/>
      <c r="M237" s="5176"/>
      <c r="N237" s="5177"/>
      <c r="O237" s="147"/>
      <c r="P237" s="147"/>
      <c r="Q237" s="102"/>
      <c r="R237" s="102"/>
      <c r="S237" s="1360"/>
      <c r="T237" s="43"/>
      <c r="U237" s="42"/>
      <c r="V237" s="41"/>
      <c r="W237" s="40"/>
      <c r="X237" s="39"/>
      <c r="Y237" s="38"/>
      <c r="Z237" s="37"/>
      <c r="AA237" s="36"/>
      <c r="AB237" s="35"/>
      <c r="AC237" s="34"/>
      <c r="AD237" s="55"/>
      <c r="AE237" s="33"/>
      <c r="AF237"/>
      <c r="AG237" s="32"/>
      <c r="AH237" s="31"/>
      <c r="AI237" s="30"/>
      <c r="AJ237" s="5492">
        <f t="shared" si="93"/>
        <v>0</v>
      </c>
      <c r="AK237" s="54">
        <f t="shared" si="94"/>
        <v>0</v>
      </c>
      <c r="AL237" s="53" t="str">
        <f t="shared" si="95"/>
        <v/>
      </c>
      <c r="AM237" s="52"/>
      <c r="AN237" s="51">
        <f t="shared" si="96"/>
        <v>0</v>
      </c>
      <c r="AO237" s="50">
        <f t="shared" si="97"/>
        <v>0</v>
      </c>
      <c r="AP237" s="49">
        <f t="shared" si="98"/>
        <v>0</v>
      </c>
      <c r="AQ237" s="23"/>
      <c r="AR237" s="48">
        <f t="shared" si="99"/>
        <v>0</v>
      </c>
      <c r="AS237" s="47"/>
      <c r="AT237" s="13"/>
      <c r="AU237" s="46">
        <f t="shared" si="100"/>
        <v>0</v>
      </c>
      <c r="AV237"/>
      <c r="AZ237"/>
      <c r="BA237"/>
      <c r="BB237"/>
      <c r="BC237" s="3"/>
      <c r="BD237" s="3"/>
      <c r="BE237" s="3"/>
      <c r="BF237" s="3"/>
      <c r="BG237" s="3"/>
      <c r="BH237" s="3"/>
      <c r="BI237" s="3"/>
      <c r="BJ237" s="3"/>
      <c r="BL237" s="20" t="str">
        <f t="shared" si="92"/>
        <v>►</v>
      </c>
      <c r="BM237"/>
      <c r="BN237"/>
      <c r="BO237"/>
      <c r="BP237"/>
      <c r="BQ237"/>
      <c r="BR237"/>
      <c r="BS237"/>
      <c r="BT237"/>
      <c r="BU237"/>
      <c r="BV237"/>
      <c r="BW237"/>
      <c r="BX237"/>
      <c r="BY237"/>
      <c r="BZ237"/>
      <c r="CA237"/>
      <c r="CB237"/>
      <c r="CC237"/>
      <c r="CD237"/>
      <c r="CE237"/>
      <c r="CF237"/>
      <c r="CG237"/>
      <c r="CH237"/>
      <c r="CI237"/>
      <c r="CJ237"/>
      <c r="CK237"/>
      <c r="CL237"/>
      <c r="CM237"/>
      <c r="CN237" s="56" t="s">
        <v>1</v>
      </c>
      <c r="CO237" s="5">
        <v>1</v>
      </c>
    </row>
    <row r="238" spans="1:93" s="1" customFormat="1" ht="21" customHeight="1">
      <c r="A238" s="20" t="str">
        <f t="shared" si="101"/>
        <v>►</v>
      </c>
      <c r="B238" s="43" t="str">
        <f t="shared" si="86"/>
        <v>►</v>
      </c>
      <c r="C238" s="45" t="str">
        <f t="shared" si="87"/>
        <v>►</v>
      </c>
      <c r="D238" s="44" t="str">
        <f t="shared" si="88"/>
        <v>►</v>
      </c>
      <c r="E238" s="43" t="str">
        <f t="shared" si="89"/>
        <v>►</v>
      </c>
      <c r="F238" s="43" t="str">
        <f t="shared" si="90"/>
        <v>►</v>
      </c>
      <c r="G238" s="43" t="str">
        <f t="shared" si="91"/>
        <v>►</v>
      </c>
      <c r="H238" s="1256" t="s">
        <v>1</v>
      </c>
      <c r="I238" s="5175" t="s">
        <v>1</v>
      </c>
      <c r="J238" s="5161"/>
      <c r="K238" s="5161"/>
      <c r="L238" s="5161"/>
      <c r="M238" s="5176"/>
      <c r="N238" s="5177"/>
      <c r="O238" s="147"/>
      <c r="P238" s="147"/>
      <c r="Q238" s="102"/>
      <c r="R238" s="102"/>
      <c r="S238" s="1360"/>
      <c r="T238" s="43"/>
      <c r="U238" s="42"/>
      <c r="V238" s="41"/>
      <c r="W238" s="40"/>
      <c r="X238" s="39"/>
      <c r="Y238" s="38"/>
      <c r="Z238" s="37"/>
      <c r="AA238" s="36"/>
      <c r="AB238" s="35"/>
      <c r="AC238" s="34"/>
      <c r="AD238" s="55"/>
      <c r="AE238" s="33"/>
      <c r="AF238"/>
      <c r="AG238" s="32"/>
      <c r="AH238" s="31"/>
      <c r="AI238" s="30"/>
      <c r="AJ238" s="5492">
        <f t="shared" si="93"/>
        <v>0</v>
      </c>
      <c r="AK238" s="29">
        <f t="shared" si="94"/>
        <v>0</v>
      </c>
      <c r="AL238" s="28" t="str">
        <f t="shared" si="95"/>
        <v/>
      </c>
      <c r="AM238" s="27"/>
      <c r="AN238" s="26">
        <f t="shared" si="96"/>
        <v>0</v>
      </c>
      <c r="AO238" s="25">
        <f t="shared" si="97"/>
        <v>0</v>
      </c>
      <c r="AP238" s="24">
        <f t="shared" si="98"/>
        <v>0</v>
      </c>
      <c r="AQ238" s="23"/>
      <c r="AR238" s="22">
        <f t="shared" si="99"/>
        <v>0</v>
      </c>
      <c r="AS238" s="21"/>
      <c r="AT238" s="13"/>
      <c r="AU238" s="46">
        <f t="shared" si="100"/>
        <v>0</v>
      </c>
      <c r="AV238"/>
      <c r="AZ238"/>
      <c r="BA238"/>
      <c r="BB238"/>
      <c r="BC238" s="3"/>
      <c r="BD238" s="3"/>
      <c r="BE238" s="3"/>
      <c r="BF238" s="3"/>
      <c r="BG238" s="3"/>
      <c r="BH238" s="3"/>
      <c r="BI238" s="3"/>
      <c r="BJ238" s="3"/>
      <c r="BL238" s="20" t="str">
        <f t="shared" si="92"/>
        <v>►</v>
      </c>
      <c r="BM238"/>
      <c r="BN238"/>
      <c r="BO238"/>
      <c r="BP238"/>
      <c r="BQ238"/>
      <c r="BR238"/>
      <c r="BS238"/>
      <c r="BT238"/>
      <c r="BU238"/>
      <c r="BV238"/>
      <c r="BW238"/>
      <c r="BX238"/>
      <c r="BY238"/>
      <c r="BZ238"/>
      <c r="CA238"/>
      <c r="CB238"/>
      <c r="CC238"/>
      <c r="CD238"/>
      <c r="CE238"/>
      <c r="CF238"/>
      <c r="CG238"/>
      <c r="CH238"/>
      <c r="CI238"/>
      <c r="CJ238"/>
      <c r="CK238"/>
      <c r="CL238"/>
      <c r="CM238"/>
      <c r="CN238" s="56" t="s">
        <v>1</v>
      </c>
      <c r="CO238" s="5">
        <v>1</v>
      </c>
    </row>
    <row r="239" spans="1:93" s="1" customFormat="1" ht="21" customHeight="1">
      <c r="A239" s="20" t="str">
        <f t="shared" si="101"/>
        <v>►</v>
      </c>
      <c r="B239" s="43" t="str">
        <f t="shared" si="86"/>
        <v>►</v>
      </c>
      <c r="C239" s="45" t="str">
        <f t="shared" si="87"/>
        <v>►</v>
      </c>
      <c r="D239" s="44" t="str">
        <f t="shared" si="88"/>
        <v>►</v>
      </c>
      <c r="E239" s="43" t="str">
        <f t="shared" si="89"/>
        <v>►</v>
      </c>
      <c r="F239" s="43" t="str">
        <f t="shared" si="90"/>
        <v>►</v>
      </c>
      <c r="G239" s="43" t="str">
        <f t="shared" si="91"/>
        <v>►</v>
      </c>
      <c r="H239" s="1256" t="s">
        <v>1</v>
      </c>
      <c r="I239" s="5175" t="s">
        <v>1</v>
      </c>
      <c r="J239" s="5161"/>
      <c r="K239" s="5161"/>
      <c r="L239" s="5161"/>
      <c r="M239" s="5176"/>
      <c r="N239" s="5177"/>
      <c r="O239" s="147"/>
      <c r="P239" s="147"/>
      <c r="Q239" s="102"/>
      <c r="R239" s="102"/>
      <c r="S239" s="1360"/>
      <c r="T239" s="43"/>
      <c r="U239" s="42"/>
      <c r="V239" s="41"/>
      <c r="W239" s="40"/>
      <c r="X239" s="39"/>
      <c r="Y239" s="38"/>
      <c r="Z239" s="37"/>
      <c r="AA239" s="36"/>
      <c r="AB239" s="35"/>
      <c r="AC239" s="34"/>
      <c r="AD239" s="55"/>
      <c r="AE239" s="33"/>
      <c r="AF239"/>
      <c r="AG239" s="32"/>
      <c r="AH239" s="31"/>
      <c r="AI239" s="30"/>
      <c r="AJ239" s="5492">
        <f t="shared" si="93"/>
        <v>0</v>
      </c>
      <c r="AK239" s="54">
        <f t="shared" si="94"/>
        <v>0</v>
      </c>
      <c r="AL239" s="53" t="str">
        <f t="shared" si="95"/>
        <v/>
      </c>
      <c r="AM239" s="52"/>
      <c r="AN239" s="51">
        <f t="shared" si="96"/>
        <v>0</v>
      </c>
      <c r="AO239" s="50">
        <f t="shared" si="97"/>
        <v>0</v>
      </c>
      <c r="AP239" s="49">
        <f t="shared" si="98"/>
        <v>0</v>
      </c>
      <c r="AQ239" s="23"/>
      <c r="AR239" s="48">
        <f t="shared" si="99"/>
        <v>0</v>
      </c>
      <c r="AS239" s="47"/>
      <c r="AT239" s="13"/>
      <c r="AU239" s="46">
        <f t="shared" si="100"/>
        <v>0</v>
      </c>
      <c r="AV239"/>
      <c r="AZ239"/>
      <c r="BA239"/>
      <c r="BB239"/>
      <c r="BC239" s="3"/>
      <c r="BD239" s="3"/>
      <c r="BE239" s="3"/>
      <c r="BF239" s="3"/>
      <c r="BG239" s="3"/>
      <c r="BH239" s="3"/>
      <c r="BI239" s="3"/>
      <c r="BJ239" s="3"/>
      <c r="BL239" s="20" t="str">
        <f t="shared" si="92"/>
        <v>►</v>
      </c>
      <c r="BM239"/>
      <c r="BN239"/>
      <c r="BO239"/>
      <c r="BP239"/>
      <c r="BQ239"/>
      <c r="BR239"/>
      <c r="BS239"/>
      <c r="BT239"/>
      <c r="BU239"/>
      <c r="BV239"/>
      <c r="BW239"/>
      <c r="BX239"/>
      <c r="BY239"/>
      <c r="BZ239"/>
      <c r="CA239"/>
      <c r="CB239"/>
      <c r="CC239"/>
      <c r="CD239"/>
      <c r="CE239"/>
      <c r="CF239"/>
      <c r="CG239"/>
      <c r="CH239"/>
      <c r="CI239"/>
      <c r="CJ239"/>
      <c r="CK239"/>
      <c r="CL239"/>
      <c r="CM239"/>
      <c r="CN239" s="56" t="s">
        <v>1</v>
      </c>
      <c r="CO239" s="5">
        <v>1</v>
      </c>
    </row>
    <row r="240" spans="1:93" s="1" customFormat="1" ht="21" customHeight="1">
      <c r="A240" s="20" t="str">
        <f t="shared" si="101"/>
        <v>►</v>
      </c>
      <c r="B240" s="43" t="str">
        <f t="shared" si="86"/>
        <v>►</v>
      </c>
      <c r="C240" s="45" t="str">
        <f t="shared" si="87"/>
        <v>►</v>
      </c>
      <c r="D240" s="44" t="str">
        <f t="shared" si="88"/>
        <v>►</v>
      </c>
      <c r="E240" s="43" t="str">
        <f t="shared" si="89"/>
        <v>►</v>
      </c>
      <c r="F240" s="43" t="str">
        <f t="shared" si="90"/>
        <v>►</v>
      </c>
      <c r="G240" s="43" t="str">
        <f t="shared" si="91"/>
        <v>►</v>
      </c>
      <c r="H240" s="1256" t="s">
        <v>1</v>
      </c>
      <c r="I240" s="5175" t="s">
        <v>1</v>
      </c>
      <c r="J240" s="5161"/>
      <c r="K240" s="5161"/>
      <c r="L240" s="5161"/>
      <c r="M240" s="5176"/>
      <c r="N240" s="5177"/>
      <c r="O240" s="147"/>
      <c r="P240" s="147"/>
      <c r="Q240" s="102"/>
      <c r="R240" s="102"/>
      <c r="S240" s="1360"/>
      <c r="T240" s="43"/>
      <c r="U240" s="42"/>
      <c r="V240" s="41"/>
      <c r="W240" s="40"/>
      <c r="X240" s="39"/>
      <c r="Y240" s="38"/>
      <c r="Z240" s="37"/>
      <c r="AA240" s="36"/>
      <c r="AB240" s="35"/>
      <c r="AC240" s="34"/>
      <c r="AD240" s="55"/>
      <c r="AE240" s="33"/>
      <c r="AF240"/>
      <c r="AG240" s="32"/>
      <c r="AH240" s="31"/>
      <c r="AI240" s="30"/>
      <c r="AJ240" s="5492">
        <f t="shared" si="93"/>
        <v>0</v>
      </c>
      <c r="AK240" s="29">
        <f t="shared" si="94"/>
        <v>0</v>
      </c>
      <c r="AL240" s="28" t="str">
        <f t="shared" si="95"/>
        <v/>
      </c>
      <c r="AM240" s="27"/>
      <c r="AN240" s="26">
        <f t="shared" si="96"/>
        <v>0</v>
      </c>
      <c r="AO240" s="25">
        <f t="shared" si="97"/>
        <v>0</v>
      </c>
      <c r="AP240" s="24">
        <f t="shared" si="98"/>
        <v>0</v>
      </c>
      <c r="AQ240" s="23"/>
      <c r="AR240" s="22">
        <f t="shared" si="99"/>
        <v>0</v>
      </c>
      <c r="AS240" s="21"/>
      <c r="AT240" s="13"/>
      <c r="AU240" s="46">
        <f t="shared" si="100"/>
        <v>0</v>
      </c>
      <c r="AV240"/>
      <c r="AZ240"/>
      <c r="BA240"/>
      <c r="BB240"/>
      <c r="BC240" s="3"/>
      <c r="BD240" s="3"/>
      <c r="BE240" s="3"/>
      <c r="BF240" s="3"/>
      <c r="BG240" s="3"/>
      <c r="BH240" s="3"/>
      <c r="BI240" s="3"/>
      <c r="BJ240" s="3"/>
      <c r="BL240" s="20" t="str">
        <f t="shared" si="92"/>
        <v>►</v>
      </c>
      <c r="BM240"/>
      <c r="BN240"/>
      <c r="BO240"/>
      <c r="BP240"/>
      <c r="BQ240"/>
      <c r="BR240"/>
      <c r="BS240"/>
      <c r="BT240"/>
      <c r="BU240"/>
      <c r="BV240"/>
      <c r="BW240"/>
      <c r="BX240"/>
      <c r="BY240"/>
      <c r="BZ240"/>
      <c r="CA240"/>
      <c r="CB240"/>
      <c r="CC240"/>
      <c r="CD240"/>
      <c r="CE240"/>
      <c r="CF240"/>
      <c r="CG240"/>
      <c r="CH240"/>
      <c r="CI240"/>
      <c r="CJ240"/>
      <c r="CK240"/>
      <c r="CL240"/>
      <c r="CM240"/>
      <c r="CN240" s="56" t="s">
        <v>1</v>
      </c>
      <c r="CO240" s="5">
        <v>1</v>
      </c>
    </row>
    <row r="241" spans="1:93" s="1" customFormat="1" ht="21" customHeight="1">
      <c r="A241" s="20" t="str">
        <f t="shared" si="101"/>
        <v>►</v>
      </c>
      <c r="B241" s="43" t="str">
        <f t="shared" si="86"/>
        <v>►</v>
      </c>
      <c r="C241" s="45" t="str">
        <f t="shared" si="87"/>
        <v>►</v>
      </c>
      <c r="D241" s="44" t="str">
        <f t="shared" si="88"/>
        <v>►</v>
      </c>
      <c r="E241" s="43" t="str">
        <f t="shared" si="89"/>
        <v>►</v>
      </c>
      <c r="F241" s="43" t="str">
        <f t="shared" si="90"/>
        <v>►</v>
      </c>
      <c r="G241" s="43" t="str">
        <f t="shared" si="91"/>
        <v>►</v>
      </c>
      <c r="H241" s="1256" t="s">
        <v>1</v>
      </c>
      <c r="I241" s="5175" t="s">
        <v>1</v>
      </c>
      <c r="J241" s="5161"/>
      <c r="K241" s="5161"/>
      <c r="L241" s="5161"/>
      <c r="M241" s="5176"/>
      <c r="N241" s="5177"/>
      <c r="O241" s="147"/>
      <c r="P241" s="147"/>
      <c r="Q241" s="102"/>
      <c r="R241" s="102"/>
      <c r="S241" s="1360"/>
      <c r="T241" s="43"/>
      <c r="U241" s="42"/>
      <c r="V241" s="41"/>
      <c r="W241" s="40"/>
      <c r="X241" s="39"/>
      <c r="Y241" s="38"/>
      <c r="Z241" s="37"/>
      <c r="AA241" s="36"/>
      <c r="AB241" s="35"/>
      <c r="AC241" s="34"/>
      <c r="AD241" s="55"/>
      <c r="AE241" s="33"/>
      <c r="AF241"/>
      <c r="AG241" s="32"/>
      <c r="AH241" s="31"/>
      <c r="AI241" s="30"/>
      <c r="AJ241" s="5492">
        <f t="shared" si="93"/>
        <v>0</v>
      </c>
      <c r="AK241" s="54">
        <f t="shared" si="94"/>
        <v>0</v>
      </c>
      <c r="AL241" s="53" t="str">
        <f t="shared" si="95"/>
        <v/>
      </c>
      <c r="AM241" s="52"/>
      <c r="AN241" s="51">
        <f t="shared" si="96"/>
        <v>0</v>
      </c>
      <c r="AO241" s="50">
        <f t="shared" si="97"/>
        <v>0</v>
      </c>
      <c r="AP241" s="49">
        <f t="shared" si="98"/>
        <v>0</v>
      </c>
      <c r="AQ241" s="23"/>
      <c r="AR241" s="48">
        <f t="shared" si="99"/>
        <v>0</v>
      </c>
      <c r="AS241" s="47"/>
      <c r="AT241" s="13"/>
      <c r="AU241" s="46">
        <f t="shared" si="100"/>
        <v>0</v>
      </c>
      <c r="AV241"/>
      <c r="AZ241"/>
      <c r="BA241"/>
      <c r="BB241"/>
      <c r="BC241" s="3"/>
      <c r="BD241" s="3"/>
      <c r="BE241" s="3"/>
      <c r="BF241" s="3"/>
      <c r="BG241" s="3"/>
      <c r="BH241" s="3"/>
      <c r="BI241" s="3"/>
      <c r="BJ241" s="3"/>
      <c r="BL241" s="20" t="str">
        <f t="shared" si="92"/>
        <v>►</v>
      </c>
      <c r="BM241"/>
      <c r="BN241"/>
      <c r="BO241"/>
      <c r="BP241"/>
      <c r="BQ241"/>
      <c r="BR241"/>
      <c r="BS241"/>
      <c r="BT241"/>
      <c r="BU241"/>
      <c r="BV241"/>
      <c r="BW241"/>
      <c r="BX241"/>
      <c r="BY241"/>
      <c r="BZ241"/>
      <c r="CA241"/>
      <c r="CB241"/>
      <c r="CC241"/>
      <c r="CD241"/>
      <c r="CE241"/>
      <c r="CF241"/>
      <c r="CG241"/>
      <c r="CH241"/>
      <c r="CI241"/>
      <c r="CJ241"/>
      <c r="CK241"/>
      <c r="CL241"/>
      <c r="CM241"/>
      <c r="CN241" s="56" t="s">
        <v>1</v>
      </c>
      <c r="CO241" s="5">
        <v>1</v>
      </c>
    </row>
    <row r="242" spans="1:93" s="1" customFormat="1" ht="21" customHeight="1">
      <c r="A242" s="20" t="str">
        <f t="shared" si="101"/>
        <v>►</v>
      </c>
      <c r="B242" s="43" t="str">
        <f t="shared" si="86"/>
        <v>►</v>
      </c>
      <c r="C242" s="45" t="str">
        <f t="shared" si="87"/>
        <v>►</v>
      </c>
      <c r="D242" s="44" t="str">
        <f t="shared" si="88"/>
        <v>►</v>
      </c>
      <c r="E242" s="43" t="str">
        <f t="shared" si="89"/>
        <v>►</v>
      </c>
      <c r="F242" s="43" t="str">
        <f t="shared" si="90"/>
        <v>►</v>
      </c>
      <c r="G242" s="43" t="str">
        <f t="shared" si="91"/>
        <v>►</v>
      </c>
      <c r="H242" s="1256" t="s">
        <v>1</v>
      </c>
      <c r="I242" s="5175" t="s">
        <v>1</v>
      </c>
      <c r="J242" s="5161"/>
      <c r="K242" s="5161"/>
      <c r="L242" s="5161"/>
      <c r="M242" s="5176"/>
      <c r="N242" s="5177"/>
      <c r="O242" s="147"/>
      <c r="P242" s="147"/>
      <c r="Q242" s="102"/>
      <c r="R242" s="102"/>
      <c r="S242" s="1360"/>
      <c r="T242" s="43"/>
      <c r="U242" s="42"/>
      <c r="V242" s="41"/>
      <c r="W242" s="40"/>
      <c r="X242" s="39"/>
      <c r="Y242" s="38"/>
      <c r="Z242" s="37"/>
      <c r="AA242" s="36"/>
      <c r="AB242" s="35"/>
      <c r="AC242" s="34"/>
      <c r="AD242" s="55"/>
      <c r="AE242" s="33"/>
      <c r="AF242"/>
      <c r="AG242" s="32"/>
      <c r="AH242" s="31"/>
      <c r="AI242" s="30"/>
      <c r="AJ242" s="5492">
        <f t="shared" si="93"/>
        <v>0</v>
      </c>
      <c r="AK242" s="29">
        <f t="shared" si="94"/>
        <v>0</v>
      </c>
      <c r="AL242" s="28" t="str">
        <f t="shared" si="95"/>
        <v/>
      </c>
      <c r="AM242" s="27"/>
      <c r="AN242" s="26">
        <f t="shared" si="96"/>
        <v>0</v>
      </c>
      <c r="AO242" s="25">
        <f t="shared" si="97"/>
        <v>0</v>
      </c>
      <c r="AP242" s="24">
        <f t="shared" si="98"/>
        <v>0</v>
      </c>
      <c r="AQ242" s="23"/>
      <c r="AR242" s="22">
        <f t="shared" si="99"/>
        <v>0</v>
      </c>
      <c r="AS242" s="21"/>
      <c r="AT242" s="13"/>
      <c r="AU242" s="46">
        <f t="shared" si="100"/>
        <v>0</v>
      </c>
      <c r="AV242"/>
      <c r="AZ242"/>
      <c r="BA242"/>
      <c r="BB242"/>
      <c r="BC242" s="3"/>
      <c r="BD242" s="3"/>
      <c r="BE242" s="3"/>
      <c r="BF242" s="3"/>
      <c r="BG242" s="3"/>
      <c r="BH242" s="3"/>
      <c r="BI242" s="3"/>
      <c r="BJ242" s="3"/>
      <c r="BL242" s="20" t="str">
        <f t="shared" si="92"/>
        <v>►</v>
      </c>
      <c r="BM242"/>
      <c r="BN242"/>
      <c r="BO242"/>
      <c r="BP242"/>
      <c r="BQ242"/>
      <c r="BR242"/>
      <c r="BS242"/>
      <c r="BT242"/>
      <c r="BU242"/>
      <c r="BV242"/>
      <c r="BW242"/>
      <c r="BX242"/>
      <c r="BY242"/>
      <c r="BZ242"/>
      <c r="CA242"/>
      <c r="CB242"/>
      <c r="CC242"/>
      <c r="CD242"/>
      <c r="CE242"/>
      <c r="CF242"/>
      <c r="CG242"/>
      <c r="CH242"/>
      <c r="CI242"/>
      <c r="CJ242"/>
      <c r="CK242"/>
      <c r="CL242"/>
      <c r="CM242"/>
      <c r="CN242" s="56" t="s">
        <v>1</v>
      </c>
      <c r="CO242" s="5">
        <v>1</v>
      </c>
    </row>
    <row r="243" spans="1:93" s="1" customFormat="1" ht="21" customHeight="1">
      <c r="A243" s="20" t="str">
        <f t="shared" si="101"/>
        <v>►</v>
      </c>
      <c r="B243" s="43" t="str">
        <f t="shared" ref="B243:B306" si="102">IF(A243="►","►",IF(A243="A",IF(AND(ISTEXT(V243),ISTEXT(J243)),V243,IF(ISTEXT(V243),V243,IF(ISBLANK(V243),J243,V243)))))</f>
        <v>►</v>
      </c>
      <c r="C243" s="45" t="str">
        <f t="shared" si="87"/>
        <v>►</v>
      </c>
      <c r="D243" s="44" t="str">
        <f t="shared" si="88"/>
        <v>►</v>
      </c>
      <c r="E243" s="43" t="str">
        <f t="shared" si="89"/>
        <v>►</v>
      </c>
      <c r="F243" s="43" t="str">
        <f t="shared" si="90"/>
        <v>►</v>
      </c>
      <c r="G243" s="43" t="str">
        <f t="shared" si="91"/>
        <v>►</v>
      </c>
      <c r="H243" s="1256" t="s">
        <v>1</v>
      </c>
      <c r="I243" s="5175" t="s">
        <v>1</v>
      </c>
      <c r="J243" s="5161"/>
      <c r="K243" s="5161"/>
      <c r="L243" s="5161"/>
      <c r="M243" s="5176"/>
      <c r="N243" s="5177"/>
      <c r="O243" s="147"/>
      <c r="P243" s="147"/>
      <c r="Q243" s="102"/>
      <c r="R243" s="102"/>
      <c r="S243" s="1360"/>
      <c r="T243" s="43"/>
      <c r="U243" s="42"/>
      <c r="V243" s="41"/>
      <c r="W243" s="40"/>
      <c r="X243" s="39"/>
      <c r="Y243" s="38"/>
      <c r="Z243" s="37"/>
      <c r="AA243" s="36"/>
      <c r="AB243" s="35"/>
      <c r="AC243" s="34"/>
      <c r="AD243" s="55"/>
      <c r="AE243" s="33"/>
      <c r="AF243"/>
      <c r="AG243" s="32"/>
      <c r="AH243" s="31"/>
      <c r="AI243" s="30"/>
      <c r="AJ243" s="5492">
        <f t="shared" si="93"/>
        <v>0</v>
      </c>
      <c r="AK243" s="54">
        <f t="shared" si="94"/>
        <v>0</v>
      </c>
      <c r="AL243" s="53" t="str">
        <f t="shared" si="95"/>
        <v/>
      </c>
      <c r="AM243" s="52"/>
      <c r="AN243" s="51">
        <f t="shared" si="96"/>
        <v>0</v>
      </c>
      <c r="AO243" s="50">
        <f t="shared" si="97"/>
        <v>0</v>
      </c>
      <c r="AP243" s="49">
        <f t="shared" si="98"/>
        <v>0</v>
      </c>
      <c r="AQ243" s="23"/>
      <c r="AR243" s="48">
        <f t="shared" si="99"/>
        <v>0</v>
      </c>
      <c r="AS243" s="47"/>
      <c r="AT243" s="13"/>
      <c r="AU243" s="46">
        <f t="shared" si="100"/>
        <v>0</v>
      </c>
      <c r="AV243"/>
      <c r="AZ243"/>
      <c r="BA243"/>
      <c r="BB243"/>
      <c r="BC243" s="3"/>
      <c r="BD243" s="3"/>
      <c r="BE243" s="3"/>
      <c r="BF243" s="3"/>
      <c r="BG243" s="3"/>
      <c r="BH243" s="3"/>
      <c r="BI243" s="3"/>
      <c r="BJ243" s="3"/>
      <c r="BL243" s="20" t="str">
        <f t="shared" si="92"/>
        <v>►</v>
      </c>
      <c r="BM243"/>
      <c r="BN243"/>
      <c r="BO243"/>
      <c r="BP243"/>
      <c r="BQ243"/>
      <c r="BR243"/>
      <c r="BS243"/>
      <c r="BT243"/>
      <c r="BU243"/>
      <c r="BV243"/>
      <c r="BW243"/>
      <c r="BX243"/>
      <c r="BY243"/>
      <c r="BZ243"/>
      <c r="CA243"/>
      <c r="CB243"/>
      <c r="CC243"/>
      <c r="CD243"/>
      <c r="CE243"/>
      <c r="CF243"/>
      <c r="CG243"/>
      <c r="CH243"/>
      <c r="CI243"/>
      <c r="CJ243"/>
      <c r="CK243"/>
      <c r="CL243"/>
      <c r="CM243"/>
      <c r="CN243" s="56" t="s">
        <v>1</v>
      </c>
      <c r="CO243" s="5">
        <v>1</v>
      </c>
    </row>
    <row r="244" spans="1:93" s="1" customFormat="1" ht="21" customHeight="1">
      <c r="A244" s="20" t="str">
        <f t="shared" si="101"/>
        <v>►</v>
      </c>
      <c r="B244" s="43" t="str">
        <f t="shared" si="102"/>
        <v>►</v>
      </c>
      <c r="C244" s="45" t="str">
        <f t="shared" si="87"/>
        <v>►</v>
      </c>
      <c r="D244" s="44" t="str">
        <f t="shared" si="88"/>
        <v>►</v>
      </c>
      <c r="E244" s="43" t="str">
        <f t="shared" si="89"/>
        <v>►</v>
      </c>
      <c r="F244" s="43" t="str">
        <f t="shared" si="90"/>
        <v>►</v>
      </c>
      <c r="G244" s="43" t="str">
        <f t="shared" si="91"/>
        <v>►</v>
      </c>
      <c r="H244" s="1256" t="s">
        <v>1</v>
      </c>
      <c r="I244" s="5175" t="s">
        <v>1</v>
      </c>
      <c r="J244" s="5161"/>
      <c r="K244" s="5161"/>
      <c r="L244" s="5161"/>
      <c r="M244" s="5176"/>
      <c r="N244" s="5177"/>
      <c r="O244" s="147"/>
      <c r="P244" s="147"/>
      <c r="Q244" s="102"/>
      <c r="R244" s="102"/>
      <c r="S244" s="1360"/>
      <c r="T244" s="43"/>
      <c r="U244" s="42"/>
      <c r="V244" s="41"/>
      <c r="W244" s="40"/>
      <c r="X244" s="39"/>
      <c r="Y244" s="38"/>
      <c r="Z244" s="37"/>
      <c r="AA244" s="36"/>
      <c r="AB244" s="35"/>
      <c r="AC244" s="34"/>
      <c r="AD244" s="55"/>
      <c r="AE244" s="33"/>
      <c r="AF244"/>
      <c r="AG244" s="32"/>
      <c r="AH244" s="31"/>
      <c r="AI244" s="30"/>
      <c r="AJ244" s="5492">
        <f t="shared" si="93"/>
        <v>0</v>
      </c>
      <c r="AK244" s="29">
        <f t="shared" si="94"/>
        <v>0</v>
      </c>
      <c r="AL244" s="28" t="str">
        <f t="shared" si="95"/>
        <v/>
      </c>
      <c r="AM244" s="27"/>
      <c r="AN244" s="26">
        <f t="shared" si="96"/>
        <v>0</v>
      </c>
      <c r="AO244" s="25">
        <f t="shared" si="97"/>
        <v>0</v>
      </c>
      <c r="AP244" s="24">
        <f t="shared" si="98"/>
        <v>0</v>
      </c>
      <c r="AQ244" s="23"/>
      <c r="AR244" s="22">
        <f t="shared" si="99"/>
        <v>0</v>
      </c>
      <c r="AS244" s="21"/>
      <c r="AT244" s="13"/>
      <c r="AU244" s="46">
        <f t="shared" si="100"/>
        <v>0</v>
      </c>
      <c r="AV244"/>
      <c r="AZ244"/>
      <c r="BA244"/>
      <c r="BB244"/>
      <c r="BC244" s="3"/>
      <c r="BD244" s="3"/>
      <c r="BE244" s="3"/>
      <c r="BF244" s="3"/>
      <c r="BG244" s="3"/>
      <c r="BH244" s="3"/>
      <c r="BI244" s="3"/>
      <c r="BJ244" s="3"/>
      <c r="BL244" s="20" t="str">
        <f t="shared" si="92"/>
        <v>►</v>
      </c>
      <c r="BM244"/>
      <c r="BN244"/>
      <c r="BO244"/>
      <c r="BP244"/>
      <c r="BQ244"/>
      <c r="BR244"/>
      <c r="BS244"/>
      <c r="BT244"/>
      <c r="BU244"/>
      <c r="BV244"/>
      <c r="BW244"/>
      <c r="BX244"/>
      <c r="BY244"/>
      <c r="BZ244"/>
      <c r="CA244"/>
      <c r="CB244"/>
      <c r="CC244"/>
      <c r="CD244"/>
      <c r="CE244"/>
      <c r="CF244"/>
      <c r="CG244"/>
      <c r="CH244"/>
      <c r="CI244"/>
      <c r="CJ244"/>
      <c r="CK244"/>
      <c r="CL244"/>
      <c r="CM244"/>
      <c r="CN244" s="56" t="s">
        <v>1</v>
      </c>
      <c r="CO244" s="5">
        <v>1</v>
      </c>
    </row>
    <row r="245" spans="1:93" s="1" customFormat="1" ht="21" customHeight="1">
      <c r="A245" s="20" t="str">
        <f t="shared" si="101"/>
        <v>►</v>
      </c>
      <c r="B245" s="43" t="str">
        <f t="shared" si="102"/>
        <v>►</v>
      </c>
      <c r="C245" s="45" t="str">
        <f t="shared" si="87"/>
        <v>►</v>
      </c>
      <c r="D245" s="44" t="str">
        <f t="shared" si="88"/>
        <v>►</v>
      </c>
      <c r="E245" s="43" t="str">
        <f t="shared" si="89"/>
        <v>►</v>
      </c>
      <c r="F245" s="43" t="str">
        <f t="shared" si="90"/>
        <v>►</v>
      </c>
      <c r="G245" s="43" t="str">
        <f t="shared" si="91"/>
        <v>►</v>
      </c>
      <c r="H245" s="1256" t="s">
        <v>1</v>
      </c>
      <c r="I245" s="5175" t="s">
        <v>1</v>
      </c>
      <c r="J245" s="5161"/>
      <c r="K245" s="5161"/>
      <c r="L245" s="5161"/>
      <c r="M245" s="5176"/>
      <c r="N245" s="5177"/>
      <c r="O245" s="147"/>
      <c r="P245" s="147"/>
      <c r="Q245" s="102"/>
      <c r="R245" s="102"/>
      <c r="S245" s="1360"/>
      <c r="T245" s="43"/>
      <c r="U245" s="42"/>
      <c r="V245" s="41"/>
      <c r="W245" s="40"/>
      <c r="X245" s="39"/>
      <c r="Y245" s="38"/>
      <c r="Z245" s="37"/>
      <c r="AA245" s="36"/>
      <c r="AB245" s="35"/>
      <c r="AC245" s="34"/>
      <c r="AD245" s="55"/>
      <c r="AE245" s="33"/>
      <c r="AF245"/>
      <c r="AG245" s="32"/>
      <c r="AH245" s="31"/>
      <c r="AI245" s="30"/>
      <c r="AJ245" s="5492">
        <f t="shared" si="93"/>
        <v>0</v>
      </c>
      <c r="AK245" s="54">
        <f t="shared" si="94"/>
        <v>0</v>
      </c>
      <c r="AL245" s="53" t="str">
        <f t="shared" si="95"/>
        <v/>
      </c>
      <c r="AM245" s="52"/>
      <c r="AN245" s="51">
        <f t="shared" si="96"/>
        <v>0</v>
      </c>
      <c r="AO245" s="50">
        <f t="shared" si="97"/>
        <v>0</v>
      </c>
      <c r="AP245" s="49">
        <f t="shared" si="98"/>
        <v>0</v>
      </c>
      <c r="AQ245" s="23"/>
      <c r="AR245" s="48">
        <f t="shared" si="99"/>
        <v>0</v>
      </c>
      <c r="AS245" s="47"/>
      <c r="AT245" s="13"/>
      <c r="AU245" s="46">
        <f t="shared" si="100"/>
        <v>0</v>
      </c>
      <c r="AV245"/>
      <c r="AZ245"/>
      <c r="BA245"/>
      <c r="BB245"/>
      <c r="BC245" s="3"/>
      <c r="BD245" s="3"/>
      <c r="BE245" s="3"/>
      <c r="BF245" s="3"/>
      <c r="BG245" s="3"/>
      <c r="BH245" s="3"/>
      <c r="BI245" s="3"/>
      <c r="BJ245" s="3"/>
      <c r="BL245" s="20" t="str">
        <f t="shared" si="92"/>
        <v>►</v>
      </c>
      <c r="BM245"/>
      <c r="BN245"/>
      <c r="BO245"/>
      <c r="BP245"/>
      <c r="BQ245"/>
      <c r="BR245"/>
      <c r="BS245"/>
      <c r="BT245"/>
      <c r="BU245"/>
      <c r="BV245"/>
      <c r="BW245"/>
      <c r="BX245"/>
      <c r="BY245"/>
      <c r="BZ245"/>
      <c r="CA245"/>
      <c r="CB245"/>
      <c r="CC245"/>
      <c r="CD245"/>
      <c r="CE245"/>
      <c r="CF245"/>
      <c r="CG245"/>
      <c r="CH245"/>
      <c r="CI245"/>
      <c r="CJ245"/>
      <c r="CK245"/>
      <c r="CL245"/>
      <c r="CM245"/>
      <c r="CN245" s="56" t="s">
        <v>1</v>
      </c>
      <c r="CO245" s="5">
        <v>1</v>
      </c>
    </row>
    <row r="246" spans="1:93" s="1" customFormat="1" ht="21" customHeight="1">
      <c r="A246" s="20" t="str">
        <f t="shared" si="101"/>
        <v>►</v>
      </c>
      <c r="B246" s="43" t="str">
        <f t="shared" si="102"/>
        <v>►</v>
      </c>
      <c r="C246" s="45" t="str">
        <f t="shared" si="87"/>
        <v>►</v>
      </c>
      <c r="D246" s="44" t="str">
        <f t="shared" si="88"/>
        <v>►</v>
      </c>
      <c r="E246" s="43" t="str">
        <f t="shared" si="89"/>
        <v>►</v>
      </c>
      <c r="F246" s="43" t="str">
        <f t="shared" si="90"/>
        <v>►</v>
      </c>
      <c r="G246" s="43" t="str">
        <f t="shared" si="91"/>
        <v>►</v>
      </c>
      <c r="H246" s="1256" t="s">
        <v>1</v>
      </c>
      <c r="I246" s="5175" t="s">
        <v>1</v>
      </c>
      <c r="J246" s="5161"/>
      <c r="K246" s="5161"/>
      <c r="L246" s="5161"/>
      <c r="M246" s="5176"/>
      <c r="N246" s="5177"/>
      <c r="O246" s="147"/>
      <c r="P246" s="147"/>
      <c r="Q246" s="102"/>
      <c r="R246" s="102"/>
      <c r="S246" s="1360"/>
      <c r="T246" s="43"/>
      <c r="U246" s="42"/>
      <c r="V246" s="41"/>
      <c r="W246" s="40"/>
      <c r="X246" s="39"/>
      <c r="Y246" s="38"/>
      <c r="Z246" s="37"/>
      <c r="AA246" s="36"/>
      <c r="AB246" s="35"/>
      <c r="AC246" s="34"/>
      <c r="AD246" s="55"/>
      <c r="AE246" s="33"/>
      <c r="AF246"/>
      <c r="AG246" s="32"/>
      <c r="AH246" s="31"/>
      <c r="AI246" s="30"/>
      <c r="AJ246" s="5492">
        <f t="shared" si="93"/>
        <v>0</v>
      </c>
      <c r="AK246" s="29">
        <f t="shared" si="94"/>
        <v>0</v>
      </c>
      <c r="AL246" s="28" t="str">
        <f t="shared" si="95"/>
        <v/>
      </c>
      <c r="AM246" s="27"/>
      <c r="AN246" s="26">
        <f t="shared" si="96"/>
        <v>0</v>
      </c>
      <c r="AO246" s="25">
        <f t="shared" si="97"/>
        <v>0</v>
      </c>
      <c r="AP246" s="24">
        <f t="shared" si="98"/>
        <v>0</v>
      </c>
      <c r="AQ246" s="23"/>
      <c r="AR246" s="22">
        <f t="shared" si="99"/>
        <v>0</v>
      </c>
      <c r="AS246" s="21"/>
      <c r="AT246" s="13"/>
      <c r="AU246" s="46">
        <f t="shared" si="100"/>
        <v>0</v>
      </c>
      <c r="AV246"/>
      <c r="AZ246"/>
      <c r="BA246"/>
      <c r="BB246"/>
      <c r="BC246" s="3"/>
      <c r="BD246" s="3"/>
      <c r="BE246" s="3"/>
      <c r="BF246" s="3"/>
      <c r="BG246" s="3"/>
      <c r="BH246" s="3"/>
      <c r="BI246" s="3"/>
      <c r="BJ246" s="3"/>
      <c r="BL246" s="20" t="str">
        <f t="shared" si="92"/>
        <v>►</v>
      </c>
      <c r="BM246"/>
      <c r="BN246"/>
      <c r="BO246"/>
      <c r="BP246"/>
      <c r="BQ246"/>
      <c r="BR246"/>
      <c r="BS246"/>
      <c r="BT246"/>
      <c r="BU246"/>
      <c r="BV246"/>
      <c r="BW246"/>
      <c r="BX246"/>
      <c r="BY246"/>
      <c r="BZ246"/>
      <c r="CA246"/>
      <c r="CB246"/>
      <c r="CC246"/>
      <c r="CD246"/>
      <c r="CE246"/>
      <c r="CF246"/>
      <c r="CG246"/>
      <c r="CH246"/>
      <c r="CI246"/>
      <c r="CJ246"/>
      <c r="CK246"/>
      <c r="CL246"/>
      <c r="CM246"/>
      <c r="CN246" s="56" t="s">
        <v>1</v>
      </c>
      <c r="CO246" s="5">
        <v>1</v>
      </c>
    </row>
    <row r="247" spans="1:93" s="1" customFormat="1" ht="21" customHeight="1">
      <c r="A247" s="20" t="str">
        <f t="shared" si="101"/>
        <v>►</v>
      </c>
      <c r="B247" s="43" t="str">
        <f t="shared" si="102"/>
        <v>►</v>
      </c>
      <c r="C247" s="45" t="str">
        <f t="shared" si="87"/>
        <v>►</v>
      </c>
      <c r="D247" s="44" t="str">
        <f t="shared" si="88"/>
        <v>►</v>
      </c>
      <c r="E247" s="43" t="str">
        <f t="shared" si="89"/>
        <v>►</v>
      </c>
      <c r="F247" s="43" t="str">
        <f t="shared" si="90"/>
        <v>►</v>
      </c>
      <c r="G247" s="43" t="str">
        <f t="shared" si="91"/>
        <v>►</v>
      </c>
      <c r="H247" s="1256" t="s">
        <v>1</v>
      </c>
      <c r="I247" s="5175" t="s">
        <v>1</v>
      </c>
      <c r="J247" s="5161"/>
      <c r="K247" s="5161"/>
      <c r="L247" s="5161"/>
      <c r="M247" s="5176"/>
      <c r="N247" s="5177"/>
      <c r="O247" s="147"/>
      <c r="P247" s="147"/>
      <c r="Q247" s="102"/>
      <c r="R247" s="102"/>
      <c r="S247" s="1360"/>
      <c r="T247" s="43"/>
      <c r="U247" s="42"/>
      <c r="V247" s="41"/>
      <c r="W247" s="40"/>
      <c r="X247" s="39"/>
      <c r="Y247" s="38"/>
      <c r="Z247" s="37"/>
      <c r="AA247" s="36"/>
      <c r="AB247" s="35"/>
      <c r="AC247" s="34"/>
      <c r="AD247" s="55"/>
      <c r="AE247" s="33"/>
      <c r="AF247"/>
      <c r="AG247" s="32"/>
      <c r="AH247" s="31"/>
      <c r="AI247" s="30"/>
      <c r="AJ247" s="5492">
        <f t="shared" si="93"/>
        <v>0</v>
      </c>
      <c r="AK247" s="54">
        <f t="shared" si="94"/>
        <v>0</v>
      </c>
      <c r="AL247" s="53" t="str">
        <f t="shared" si="95"/>
        <v/>
      </c>
      <c r="AM247" s="52"/>
      <c r="AN247" s="51">
        <f t="shared" si="96"/>
        <v>0</v>
      </c>
      <c r="AO247" s="50">
        <f t="shared" si="97"/>
        <v>0</v>
      </c>
      <c r="AP247" s="49">
        <f t="shared" si="98"/>
        <v>0</v>
      </c>
      <c r="AQ247" s="23"/>
      <c r="AR247" s="48">
        <f t="shared" si="99"/>
        <v>0</v>
      </c>
      <c r="AS247" s="47"/>
      <c r="AT247" s="13"/>
      <c r="AU247" s="46">
        <f t="shared" si="100"/>
        <v>0</v>
      </c>
      <c r="AV247"/>
      <c r="AZ247"/>
      <c r="BA247"/>
      <c r="BB247"/>
      <c r="BC247" s="3"/>
      <c r="BD247" s="3"/>
      <c r="BE247" s="3"/>
      <c r="BF247" s="3"/>
      <c r="BG247" s="3"/>
      <c r="BH247" s="3"/>
      <c r="BI247" s="3"/>
      <c r="BJ247" s="3"/>
      <c r="BL247" s="20" t="str">
        <f t="shared" si="92"/>
        <v>►</v>
      </c>
      <c r="BM247"/>
      <c r="BN247"/>
      <c r="BO247"/>
      <c r="BP247"/>
      <c r="BQ247"/>
      <c r="BR247"/>
      <c r="BS247"/>
      <c r="BT247"/>
      <c r="BU247"/>
      <c r="BV247"/>
      <c r="BW247"/>
      <c r="BX247"/>
      <c r="BY247"/>
      <c r="BZ247"/>
      <c r="CA247"/>
      <c r="CB247"/>
      <c r="CC247"/>
      <c r="CD247"/>
      <c r="CE247"/>
      <c r="CF247"/>
      <c r="CG247"/>
      <c r="CH247"/>
      <c r="CI247"/>
      <c r="CJ247"/>
      <c r="CK247"/>
      <c r="CL247"/>
      <c r="CM247"/>
      <c r="CN247" s="56" t="s">
        <v>1</v>
      </c>
      <c r="CO247" s="5">
        <v>1</v>
      </c>
    </row>
    <row r="248" spans="1:93" s="1" customFormat="1" ht="21" customHeight="1">
      <c r="A248" s="20" t="str">
        <f t="shared" si="101"/>
        <v>►</v>
      </c>
      <c r="B248" s="43" t="str">
        <f t="shared" si="102"/>
        <v>►</v>
      </c>
      <c r="C248" s="45" t="str">
        <f t="shared" si="87"/>
        <v>►</v>
      </c>
      <c r="D248" s="44" t="str">
        <f t="shared" si="88"/>
        <v>►</v>
      </c>
      <c r="E248" s="43" t="str">
        <f t="shared" si="89"/>
        <v>►</v>
      </c>
      <c r="F248" s="43" t="str">
        <f t="shared" si="90"/>
        <v>►</v>
      </c>
      <c r="G248" s="43" t="str">
        <f t="shared" si="91"/>
        <v>►</v>
      </c>
      <c r="H248" s="1256" t="s">
        <v>1</v>
      </c>
      <c r="I248" s="5175" t="s">
        <v>1</v>
      </c>
      <c r="J248" s="5161"/>
      <c r="K248" s="5161"/>
      <c r="L248" s="5161"/>
      <c r="M248" s="5176"/>
      <c r="N248" s="5177"/>
      <c r="O248" s="147"/>
      <c r="P248" s="147"/>
      <c r="Q248" s="102"/>
      <c r="R248" s="102"/>
      <c r="S248" s="1360"/>
      <c r="T248" s="43"/>
      <c r="U248" s="42"/>
      <c r="V248" s="41"/>
      <c r="W248" s="40"/>
      <c r="X248" s="39"/>
      <c r="Y248" s="38"/>
      <c r="Z248" s="37"/>
      <c r="AA248" s="36"/>
      <c r="AB248" s="35"/>
      <c r="AC248" s="34"/>
      <c r="AD248" s="55"/>
      <c r="AE248" s="33"/>
      <c r="AF248"/>
      <c r="AG248" s="32"/>
      <c r="AH248" s="31"/>
      <c r="AI248" s="30"/>
      <c r="AJ248" s="5492">
        <f t="shared" si="93"/>
        <v>0</v>
      </c>
      <c r="AK248" s="29">
        <f t="shared" si="94"/>
        <v>0</v>
      </c>
      <c r="AL248" s="28" t="str">
        <f t="shared" si="95"/>
        <v/>
      </c>
      <c r="AM248" s="27"/>
      <c r="AN248" s="26">
        <f t="shared" si="96"/>
        <v>0</v>
      </c>
      <c r="AO248" s="25">
        <f t="shared" si="97"/>
        <v>0</v>
      </c>
      <c r="AP248" s="24">
        <f t="shared" si="98"/>
        <v>0</v>
      </c>
      <c r="AQ248" s="23"/>
      <c r="AR248" s="22">
        <f t="shared" si="99"/>
        <v>0</v>
      </c>
      <c r="AS248" s="21"/>
      <c r="AT248" s="13"/>
      <c r="AU248" s="46">
        <f t="shared" si="100"/>
        <v>0</v>
      </c>
      <c r="AV248"/>
      <c r="AZ248"/>
      <c r="BA248"/>
      <c r="BB248"/>
      <c r="BC248" s="3"/>
      <c r="BD248" s="3"/>
      <c r="BE248" s="3"/>
      <c r="BF248" s="3"/>
      <c r="BG248" s="3"/>
      <c r="BH248" s="3"/>
      <c r="BI248" s="3"/>
      <c r="BJ248" s="3"/>
      <c r="BL248" s="20" t="str">
        <f t="shared" si="92"/>
        <v>►</v>
      </c>
      <c r="BM248"/>
      <c r="BN248"/>
      <c r="BO248"/>
      <c r="BP248"/>
      <c r="BQ248"/>
      <c r="BR248"/>
      <c r="BS248"/>
      <c r="BT248"/>
      <c r="BU248"/>
      <c r="BV248"/>
      <c r="BW248"/>
      <c r="BX248"/>
      <c r="BY248"/>
      <c r="BZ248"/>
      <c r="CA248"/>
      <c r="CB248"/>
      <c r="CC248"/>
      <c r="CD248"/>
      <c r="CE248"/>
      <c r="CF248"/>
      <c r="CG248"/>
      <c r="CH248"/>
      <c r="CI248"/>
      <c r="CJ248"/>
      <c r="CK248"/>
      <c r="CL248"/>
      <c r="CM248"/>
      <c r="CN248" s="56" t="s">
        <v>1</v>
      </c>
      <c r="CO248" s="5">
        <v>1</v>
      </c>
    </row>
    <row r="249" spans="1:93" s="1" customFormat="1" ht="21" customHeight="1">
      <c r="A249" s="20" t="str">
        <f t="shared" si="101"/>
        <v>►</v>
      </c>
      <c r="B249" s="43" t="str">
        <f t="shared" si="102"/>
        <v>►</v>
      </c>
      <c r="C249" s="45" t="str">
        <f t="shared" si="87"/>
        <v>►</v>
      </c>
      <c r="D249" s="44" t="str">
        <f t="shared" si="88"/>
        <v>►</v>
      </c>
      <c r="E249" s="43" t="str">
        <f t="shared" si="89"/>
        <v>►</v>
      </c>
      <c r="F249" s="43" t="str">
        <f t="shared" si="90"/>
        <v>►</v>
      </c>
      <c r="G249" s="43" t="str">
        <f t="shared" si="91"/>
        <v>►</v>
      </c>
      <c r="H249" s="1256" t="s">
        <v>1</v>
      </c>
      <c r="I249" s="5175" t="s">
        <v>1</v>
      </c>
      <c r="J249" s="5161"/>
      <c r="K249" s="5161"/>
      <c r="L249" s="5161"/>
      <c r="M249" s="5176"/>
      <c r="N249" s="5177"/>
      <c r="O249" s="147"/>
      <c r="P249" s="147"/>
      <c r="Q249" s="102"/>
      <c r="R249" s="102"/>
      <c r="S249" s="1360"/>
      <c r="T249" s="43"/>
      <c r="U249" s="42"/>
      <c r="V249" s="41"/>
      <c r="W249" s="40"/>
      <c r="X249" s="39"/>
      <c r="Y249" s="38"/>
      <c r="Z249" s="37"/>
      <c r="AA249" s="36"/>
      <c r="AB249" s="35"/>
      <c r="AC249" s="34"/>
      <c r="AD249" s="55"/>
      <c r="AE249" s="33"/>
      <c r="AF249"/>
      <c r="AG249" s="32"/>
      <c r="AH249" s="31"/>
      <c r="AI249" s="30"/>
      <c r="AJ249" s="5492">
        <f t="shared" si="93"/>
        <v>0</v>
      </c>
      <c r="AK249" s="54">
        <f t="shared" si="94"/>
        <v>0</v>
      </c>
      <c r="AL249" s="53" t="str">
        <f t="shared" si="95"/>
        <v/>
      </c>
      <c r="AM249" s="52"/>
      <c r="AN249" s="51">
        <f t="shared" si="96"/>
        <v>0</v>
      </c>
      <c r="AO249" s="50">
        <f t="shared" si="97"/>
        <v>0</v>
      </c>
      <c r="AP249" s="49">
        <f t="shared" si="98"/>
        <v>0</v>
      </c>
      <c r="AQ249" s="23"/>
      <c r="AR249" s="48">
        <f t="shared" si="99"/>
        <v>0</v>
      </c>
      <c r="AS249" s="47"/>
      <c r="AT249" s="13"/>
      <c r="AU249" s="46">
        <f t="shared" si="100"/>
        <v>0</v>
      </c>
      <c r="AV249"/>
      <c r="AZ249"/>
      <c r="BA249"/>
      <c r="BB249"/>
      <c r="BC249" s="3"/>
      <c r="BD249" s="3"/>
      <c r="BE249" s="3"/>
      <c r="BF249" s="3"/>
      <c r="BG249" s="3"/>
      <c r="BH249" s="3"/>
      <c r="BI249" s="3"/>
      <c r="BJ249" s="3"/>
      <c r="BL249" s="20" t="str">
        <f t="shared" si="92"/>
        <v>►</v>
      </c>
      <c r="BM249"/>
      <c r="BN249"/>
      <c r="BO249"/>
      <c r="BP249"/>
      <c r="BQ249"/>
      <c r="BR249"/>
      <c r="BS249"/>
      <c r="BT249"/>
      <c r="BU249"/>
      <c r="BV249"/>
      <c r="BW249"/>
      <c r="BX249"/>
      <c r="BY249"/>
      <c r="BZ249"/>
      <c r="CA249"/>
      <c r="CB249"/>
      <c r="CC249"/>
      <c r="CD249"/>
      <c r="CE249"/>
      <c r="CF249"/>
      <c r="CG249"/>
      <c r="CH249"/>
      <c r="CI249"/>
      <c r="CJ249"/>
      <c r="CK249"/>
      <c r="CL249"/>
      <c r="CM249"/>
      <c r="CN249" s="56" t="s">
        <v>1</v>
      </c>
      <c r="CO249" s="5">
        <v>1</v>
      </c>
    </row>
    <row r="250" spans="1:93" s="1" customFormat="1" ht="21" customHeight="1">
      <c r="A250" s="20" t="str">
        <f t="shared" si="101"/>
        <v>►</v>
      </c>
      <c r="B250" s="43" t="str">
        <f t="shared" si="102"/>
        <v>►</v>
      </c>
      <c r="C250" s="45" t="str">
        <f t="shared" si="87"/>
        <v>►</v>
      </c>
      <c r="D250" s="44" t="str">
        <f t="shared" si="88"/>
        <v>►</v>
      </c>
      <c r="E250" s="43" t="str">
        <f t="shared" si="89"/>
        <v>►</v>
      </c>
      <c r="F250" s="43" t="str">
        <f t="shared" si="90"/>
        <v>►</v>
      </c>
      <c r="G250" s="43" t="str">
        <f t="shared" si="91"/>
        <v>►</v>
      </c>
      <c r="H250" s="1256" t="s">
        <v>1</v>
      </c>
      <c r="I250" s="5175" t="s">
        <v>1</v>
      </c>
      <c r="J250" s="5161"/>
      <c r="K250" s="5161"/>
      <c r="L250" s="5161"/>
      <c r="M250" s="5176"/>
      <c r="N250" s="5177"/>
      <c r="O250" s="147"/>
      <c r="P250" s="147"/>
      <c r="Q250" s="102"/>
      <c r="R250" s="102"/>
      <c r="S250" s="1360"/>
      <c r="T250" s="43"/>
      <c r="U250" s="42"/>
      <c r="V250" s="41"/>
      <c r="W250" s="40"/>
      <c r="X250" s="39"/>
      <c r="Y250" s="38"/>
      <c r="Z250" s="37"/>
      <c r="AA250" s="36"/>
      <c r="AB250" s="35"/>
      <c r="AC250" s="34"/>
      <c r="AD250" s="55"/>
      <c r="AE250" s="33"/>
      <c r="AF250"/>
      <c r="AG250" s="32"/>
      <c r="AH250" s="31"/>
      <c r="AI250" s="30"/>
      <c r="AJ250" s="5492">
        <f t="shared" si="93"/>
        <v>0</v>
      </c>
      <c r="AK250" s="29">
        <f t="shared" si="94"/>
        <v>0</v>
      </c>
      <c r="AL250" s="28" t="str">
        <f t="shared" si="95"/>
        <v/>
      </c>
      <c r="AM250" s="27"/>
      <c r="AN250" s="26">
        <f t="shared" si="96"/>
        <v>0</v>
      </c>
      <c r="AO250" s="25">
        <f t="shared" si="97"/>
        <v>0</v>
      </c>
      <c r="AP250" s="24">
        <f t="shared" si="98"/>
        <v>0</v>
      </c>
      <c r="AQ250" s="23"/>
      <c r="AR250" s="22">
        <f t="shared" si="99"/>
        <v>0</v>
      </c>
      <c r="AS250" s="21"/>
      <c r="AT250" s="13"/>
      <c r="AU250" s="46">
        <f t="shared" si="100"/>
        <v>0</v>
      </c>
      <c r="AV250"/>
      <c r="AZ250"/>
      <c r="BA250"/>
      <c r="BB250"/>
      <c r="BC250" s="3"/>
      <c r="BD250" s="3"/>
      <c r="BE250" s="3"/>
      <c r="BF250" s="3"/>
      <c r="BG250" s="3"/>
      <c r="BH250" s="3"/>
      <c r="BI250" s="3"/>
      <c r="BJ250" s="3"/>
      <c r="BL250" s="20" t="str">
        <f t="shared" si="92"/>
        <v>►</v>
      </c>
      <c r="BM250"/>
      <c r="BN250"/>
      <c r="BO250"/>
      <c r="BP250"/>
      <c r="BQ250"/>
      <c r="BR250"/>
      <c r="BS250"/>
      <c r="BT250"/>
      <c r="BU250"/>
      <c r="BV250"/>
      <c r="BW250"/>
      <c r="BX250"/>
      <c r="BY250"/>
      <c r="BZ250"/>
      <c r="CA250"/>
      <c r="CB250"/>
      <c r="CC250"/>
      <c r="CD250"/>
      <c r="CE250"/>
      <c r="CF250"/>
      <c r="CG250"/>
      <c r="CH250"/>
      <c r="CI250"/>
      <c r="CJ250"/>
      <c r="CK250"/>
      <c r="CL250"/>
      <c r="CM250"/>
      <c r="CN250" s="56" t="s">
        <v>1</v>
      </c>
      <c r="CO250" s="5">
        <v>1</v>
      </c>
    </row>
    <row r="251" spans="1:93" s="1" customFormat="1" ht="21" customHeight="1">
      <c r="A251" s="20" t="str">
        <f t="shared" si="101"/>
        <v>►</v>
      </c>
      <c r="B251" s="43" t="str">
        <f t="shared" si="102"/>
        <v>►</v>
      </c>
      <c r="C251" s="45" t="str">
        <f t="shared" si="87"/>
        <v>►</v>
      </c>
      <c r="D251" s="44" t="str">
        <f t="shared" si="88"/>
        <v>►</v>
      </c>
      <c r="E251" s="43" t="str">
        <f t="shared" si="89"/>
        <v>►</v>
      </c>
      <c r="F251" s="43" t="str">
        <f t="shared" si="90"/>
        <v>►</v>
      </c>
      <c r="G251" s="43" t="str">
        <f t="shared" si="91"/>
        <v>►</v>
      </c>
      <c r="H251" s="1256" t="s">
        <v>1</v>
      </c>
      <c r="I251" s="5175" t="s">
        <v>1</v>
      </c>
      <c r="J251" s="5161"/>
      <c r="K251" s="5161"/>
      <c r="L251" s="5161"/>
      <c r="M251" s="5176"/>
      <c r="N251" s="5177"/>
      <c r="O251" s="147"/>
      <c r="P251" s="147"/>
      <c r="Q251" s="102"/>
      <c r="R251" s="102"/>
      <c r="S251" s="1360"/>
      <c r="T251" s="43"/>
      <c r="U251" s="42"/>
      <c r="V251" s="41"/>
      <c r="W251" s="40"/>
      <c r="X251" s="39"/>
      <c r="Y251" s="38"/>
      <c r="Z251" s="37"/>
      <c r="AA251" s="36"/>
      <c r="AB251" s="35"/>
      <c r="AC251" s="34"/>
      <c r="AD251" s="55"/>
      <c r="AE251" s="33"/>
      <c r="AF251"/>
      <c r="AG251" s="32"/>
      <c r="AH251" s="31"/>
      <c r="AI251" s="30"/>
      <c r="AJ251" s="5492">
        <f t="shared" si="93"/>
        <v>0</v>
      </c>
      <c r="AK251" s="54">
        <f t="shared" si="94"/>
        <v>0</v>
      </c>
      <c r="AL251" s="53" t="str">
        <f t="shared" si="95"/>
        <v/>
      </c>
      <c r="AM251" s="52"/>
      <c r="AN251" s="51">
        <f t="shared" si="96"/>
        <v>0</v>
      </c>
      <c r="AO251" s="50">
        <f t="shared" si="97"/>
        <v>0</v>
      </c>
      <c r="AP251" s="49">
        <f t="shared" si="98"/>
        <v>0</v>
      </c>
      <c r="AQ251" s="23"/>
      <c r="AR251" s="48">
        <f t="shared" si="99"/>
        <v>0</v>
      </c>
      <c r="AS251" s="47"/>
      <c r="AT251" s="13"/>
      <c r="AU251" s="46">
        <f t="shared" si="100"/>
        <v>0</v>
      </c>
      <c r="AV251"/>
      <c r="AZ251"/>
      <c r="BA251"/>
      <c r="BB251"/>
      <c r="BC251" s="3"/>
      <c r="BD251" s="3"/>
      <c r="BE251" s="3"/>
      <c r="BF251" s="3"/>
      <c r="BG251" s="3"/>
      <c r="BH251" s="3"/>
      <c r="BI251" s="3"/>
      <c r="BJ251" s="3"/>
      <c r="BL251" s="20" t="str">
        <f t="shared" si="92"/>
        <v>►</v>
      </c>
      <c r="BM251"/>
      <c r="BN251"/>
      <c r="BO251"/>
      <c r="BP251"/>
      <c r="BQ251"/>
      <c r="BR251"/>
      <c r="BS251"/>
      <c r="BT251"/>
      <c r="BU251"/>
      <c r="BV251"/>
      <c r="BW251"/>
      <c r="BX251"/>
      <c r="BY251"/>
      <c r="BZ251"/>
      <c r="CA251"/>
      <c r="CB251"/>
      <c r="CC251"/>
      <c r="CD251"/>
      <c r="CE251"/>
      <c r="CF251"/>
      <c r="CG251"/>
      <c r="CH251"/>
      <c r="CI251"/>
      <c r="CJ251"/>
      <c r="CK251"/>
      <c r="CL251"/>
      <c r="CM251"/>
      <c r="CN251" s="56" t="s">
        <v>1</v>
      </c>
      <c r="CO251" s="5">
        <v>1</v>
      </c>
    </row>
    <row r="252" spans="1:93" s="1" customFormat="1" ht="21" customHeight="1">
      <c r="A252" s="20" t="str">
        <f t="shared" si="101"/>
        <v>►</v>
      </c>
      <c r="B252" s="43" t="str">
        <f t="shared" si="102"/>
        <v>►</v>
      </c>
      <c r="C252" s="45" t="str">
        <f t="shared" si="87"/>
        <v>►</v>
      </c>
      <c r="D252" s="44" t="str">
        <f t="shared" si="88"/>
        <v>►</v>
      </c>
      <c r="E252" s="43" t="str">
        <f t="shared" si="89"/>
        <v>►</v>
      </c>
      <c r="F252" s="43" t="str">
        <f t="shared" si="90"/>
        <v>►</v>
      </c>
      <c r="G252" s="43" t="str">
        <f t="shared" si="91"/>
        <v>►</v>
      </c>
      <c r="H252" s="1256" t="s">
        <v>1</v>
      </c>
      <c r="I252" s="5175" t="s">
        <v>1</v>
      </c>
      <c r="J252" s="5161"/>
      <c r="K252" s="5161"/>
      <c r="L252" s="5161"/>
      <c r="M252" s="5176"/>
      <c r="N252" s="5177"/>
      <c r="O252" s="147"/>
      <c r="P252" s="147"/>
      <c r="Q252" s="102"/>
      <c r="R252" s="102"/>
      <c r="S252" s="1360"/>
      <c r="T252" s="43"/>
      <c r="U252" s="42"/>
      <c r="V252" s="41"/>
      <c r="W252" s="40"/>
      <c r="X252" s="39"/>
      <c r="Y252" s="38"/>
      <c r="Z252" s="37"/>
      <c r="AA252" s="36"/>
      <c r="AB252" s="35"/>
      <c r="AC252" s="34"/>
      <c r="AD252" s="55"/>
      <c r="AE252" s="33"/>
      <c r="AF252"/>
      <c r="AG252" s="32"/>
      <c r="AH252" s="31"/>
      <c r="AI252" s="30"/>
      <c r="AJ252" s="5492">
        <f t="shared" si="93"/>
        <v>0</v>
      </c>
      <c r="AK252" s="29">
        <f t="shared" si="94"/>
        <v>0</v>
      </c>
      <c r="AL252" s="28" t="str">
        <f t="shared" si="95"/>
        <v/>
      </c>
      <c r="AM252" s="27"/>
      <c r="AN252" s="26">
        <f t="shared" si="96"/>
        <v>0</v>
      </c>
      <c r="AO252" s="25">
        <f t="shared" si="97"/>
        <v>0</v>
      </c>
      <c r="AP252" s="24">
        <f t="shared" si="98"/>
        <v>0</v>
      </c>
      <c r="AQ252" s="23"/>
      <c r="AR252" s="22">
        <f t="shared" si="99"/>
        <v>0</v>
      </c>
      <c r="AS252" s="21"/>
      <c r="AT252" s="13"/>
      <c r="AU252" s="46">
        <f t="shared" si="100"/>
        <v>0</v>
      </c>
      <c r="AV252"/>
      <c r="AZ252"/>
      <c r="BA252"/>
      <c r="BB252"/>
      <c r="BC252" s="3"/>
      <c r="BD252" s="3"/>
      <c r="BE252" s="3"/>
      <c r="BF252" s="3"/>
      <c r="BG252" s="3"/>
      <c r="BH252" s="3"/>
      <c r="BI252" s="3"/>
      <c r="BJ252" s="3"/>
      <c r="BL252" s="20" t="str">
        <f t="shared" si="92"/>
        <v>►</v>
      </c>
      <c r="BM252"/>
      <c r="BN252"/>
      <c r="BO252"/>
      <c r="BP252"/>
      <c r="BQ252"/>
      <c r="BR252"/>
      <c r="BS252"/>
      <c r="BT252"/>
      <c r="BU252"/>
      <c r="BV252"/>
      <c r="BW252"/>
      <c r="BX252"/>
      <c r="BY252"/>
      <c r="BZ252"/>
      <c r="CA252"/>
      <c r="CB252"/>
      <c r="CC252"/>
      <c r="CD252"/>
      <c r="CE252"/>
      <c r="CF252"/>
      <c r="CG252"/>
      <c r="CH252"/>
      <c r="CI252"/>
      <c r="CJ252"/>
      <c r="CK252"/>
      <c r="CL252"/>
      <c r="CM252"/>
      <c r="CN252" s="56" t="s">
        <v>1</v>
      </c>
      <c r="CO252" s="5">
        <v>1</v>
      </c>
    </row>
    <row r="253" spans="1:93" s="1" customFormat="1" ht="21" customHeight="1">
      <c r="A253" s="20" t="str">
        <f t="shared" si="101"/>
        <v>►</v>
      </c>
      <c r="B253" s="43" t="str">
        <f t="shared" si="102"/>
        <v>►</v>
      </c>
      <c r="C253" s="45" t="str">
        <f t="shared" si="87"/>
        <v>►</v>
      </c>
      <c r="D253" s="44" t="str">
        <f t="shared" si="88"/>
        <v>►</v>
      </c>
      <c r="E253" s="43" t="str">
        <f t="shared" si="89"/>
        <v>►</v>
      </c>
      <c r="F253" s="43" t="str">
        <f t="shared" si="90"/>
        <v>►</v>
      </c>
      <c r="G253" s="43" t="str">
        <f t="shared" si="91"/>
        <v>►</v>
      </c>
      <c r="H253" s="1256" t="s">
        <v>1</v>
      </c>
      <c r="I253" s="5175" t="s">
        <v>1</v>
      </c>
      <c r="J253" s="5161"/>
      <c r="K253" s="5161"/>
      <c r="L253" s="5161"/>
      <c r="M253" s="5176"/>
      <c r="N253" s="5177"/>
      <c r="O253" s="147"/>
      <c r="P253" s="147"/>
      <c r="Q253" s="102"/>
      <c r="R253" s="102"/>
      <c r="S253" s="1360"/>
      <c r="T253" s="43"/>
      <c r="U253" s="42"/>
      <c r="V253" s="41"/>
      <c r="W253" s="40"/>
      <c r="X253" s="39"/>
      <c r="Y253" s="38"/>
      <c r="Z253" s="37"/>
      <c r="AA253" s="36"/>
      <c r="AB253" s="35"/>
      <c r="AC253" s="34"/>
      <c r="AD253" s="55"/>
      <c r="AE253" s="33"/>
      <c r="AF253"/>
      <c r="AG253" s="32"/>
      <c r="AH253" s="31"/>
      <c r="AI253" s="30"/>
      <c r="AJ253" s="5492">
        <f t="shared" si="93"/>
        <v>0</v>
      </c>
      <c r="AK253" s="54">
        <f t="shared" si="94"/>
        <v>0</v>
      </c>
      <c r="AL253" s="53" t="str">
        <f t="shared" si="95"/>
        <v/>
      </c>
      <c r="AM253" s="52"/>
      <c r="AN253" s="51">
        <f t="shared" si="96"/>
        <v>0</v>
      </c>
      <c r="AO253" s="50">
        <f t="shared" si="97"/>
        <v>0</v>
      </c>
      <c r="AP253" s="49">
        <f t="shared" si="98"/>
        <v>0</v>
      </c>
      <c r="AQ253" s="23"/>
      <c r="AR253" s="48">
        <f t="shared" si="99"/>
        <v>0</v>
      </c>
      <c r="AS253" s="47"/>
      <c r="AT253" s="13"/>
      <c r="AU253" s="46">
        <f t="shared" si="100"/>
        <v>0</v>
      </c>
      <c r="AV253"/>
      <c r="AZ253"/>
      <c r="BA253"/>
      <c r="BB253"/>
      <c r="BC253" s="3"/>
      <c r="BD253" s="3"/>
      <c r="BE253" s="3"/>
      <c r="BF253" s="3"/>
      <c r="BG253" s="3"/>
      <c r="BH253" s="3"/>
      <c r="BI253" s="3"/>
      <c r="BJ253" s="3"/>
      <c r="BL253" s="20" t="str">
        <f t="shared" si="92"/>
        <v>►</v>
      </c>
      <c r="BM253"/>
      <c r="BN253"/>
      <c r="BO253"/>
      <c r="BP253"/>
      <c r="BQ253"/>
      <c r="BR253"/>
      <c r="BS253"/>
      <c r="BT253"/>
      <c r="BU253"/>
      <c r="BV253"/>
      <c r="BW253"/>
      <c r="BX253"/>
      <c r="BY253"/>
      <c r="BZ253"/>
      <c r="CA253"/>
      <c r="CB253"/>
      <c r="CC253"/>
      <c r="CD253"/>
      <c r="CE253"/>
      <c r="CF253"/>
      <c r="CG253"/>
      <c r="CH253"/>
      <c r="CI253"/>
      <c r="CJ253"/>
      <c r="CK253"/>
      <c r="CL253"/>
      <c r="CM253"/>
      <c r="CN253" s="56" t="s">
        <v>1</v>
      </c>
      <c r="CO253" s="5">
        <v>1</v>
      </c>
    </row>
    <row r="254" spans="1:93" s="1" customFormat="1" ht="21" customHeight="1">
      <c r="A254" s="20" t="str">
        <f t="shared" si="101"/>
        <v>►</v>
      </c>
      <c r="B254" s="43" t="str">
        <f t="shared" si="102"/>
        <v>►</v>
      </c>
      <c r="C254" s="45" t="str">
        <f t="shared" si="87"/>
        <v>►</v>
      </c>
      <c r="D254" s="44" t="str">
        <f t="shared" si="88"/>
        <v>►</v>
      </c>
      <c r="E254" s="43" t="str">
        <f t="shared" si="89"/>
        <v>►</v>
      </c>
      <c r="F254" s="43" t="str">
        <f t="shared" si="90"/>
        <v>►</v>
      </c>
      <c r="G254" s="43" t="str">
        <f t="shared" si="91"/>
        <v>►</v>
      </c>
      <c r="H254" s="1256" t="s">
        <v>1</v>
      </c>
      <c r="I254" s="5175" t="s">
        <v>1</v>
      </c>
      <c r="J254" s="5161"/>
      <c r="K254" s="5161"/>
      <c r="L254" s="5161"/>
      <c r="M254" s="5176"/>
      <c r="N254" s="5177"/>
      <c r="O254" s="147"/>
      <c r="P254" s="147"/>
      <c r="Q254" s="102"/>
      <c r="R254" s="102"/>
      <c r="S254" s="1360"/>
      <c r="T254" s="43"/>
      <c r="U254" s="42"/>
      <c r="V254" s="41"/>
      <c r="W254" s="40"/>
      <c r="X254" s="39"/>
      <c r="Y254" s="38"/>
      <c r="Z254" s="37"/>
      <c r="AA254" s="36"/>
      <c r="AB254" s="35"/>
      <c r="AC254" s="34"/>
      <c r="AD254" s="55"/>
      <c r="AE254" s="33"/>
      <c r="AF254"/>
      <c r="AG254" s="32"/>
      <c r="AH254" s="31"/>
      <c r="AI254" s="30"/>
      <c r="AJ254" s="5492">
        <f t="shared" si="93"/>
        <v>0</v>
      </c>
      <c r="AK254" s="29">
        <f t="shared" si="94"/>
        <v>0</v>
      </c>
      <c r="AL254" s="28" t="str">
        <f t="shared" si="95"/>
        <v/>
      </c>
      <c r="AM254" s="27"/>
      <c r="AN254" s="26">
        <f t="shared" si="96"/>
        <v>0</v>
      </c>
      <c r="AO254" s="25">
        <f t="shared" si="97"/>
        <v>0</v>
      </c>
      <c r="AP254" s="24">
        <f t="shared" si="98"/>
        <v>0</v>
      </c>
      <c r="AQ254" s="23"/>
      <c r="AR254" s="22">
        <f t="shared" si="99"/>
        <v>0</v>
      </c>
      <c r="AS254" s="21"/>
      <c r="AT254" s="13"/>
      <c r="AU254" s="46">
        <f t="shared" si="100"/>
        <v>0</v>
      </c>
      <c r="AV254"/>
      <c r="AZ254"/>
      <c r="BA254"/>
      <c r="BB254"/>
      <c r="BC254" s="3"/>
      <c r="BD254" s="3"/>
      <c r="BE254" s="3"/>
      <c r="BF254" s="3"/>
      <c r="BG254" s="3"/>
      <c r="BH254" s="3"/>
      <c r="BI254" s="3"/>
      <c r="BJ254" s="3"/>
      <c r="BL254" s="20" t="str">
        <f t="shared" si="92"/>
        <v>►</v>
      </c>
      <c r="BM254"/>
      <c r="BN254"/>
      <c r="BO254"/>
      <c r="BP254"/>
      <c r="BQ254"/>
      <c r="BR254"/>
      <c r="BS254"/>
      <c r="BT254"/>
      <c r="BU254"/>
      <c r="BV254"/>
      <c r="BW254"/>
      <c r="BX254"/>
      <c r="BY254"/>
      <c r="BZ254"/>
      <c r="CA254"/>
      <c r="CB254"/>
      <c r="CC254"/>
      <c r="CD254"/>
      <c r="CE254"/>
      <c r="CF254"/>
      <c r="CG254"/>
      <c r="CH254"/>
      <c r="CI254"/>
      <c r="CJ254"/>
      <c r="CK254"/>
      <c r="CL254"/>
      <c r="CM254"/>
      <c r="CN254" s="56" t="s">
        <v>1</v>
      </c>
      <c r="CO254" s="5">
        <v>1</v>
      </c>
    </row>
    <row r="255" spans="1:93" s="1" customFormat="1" ht="21" customHeight="1">
      <c r="A255" s="20" t="str">
        <f t="shared" si="101"/>
        <v>►</v>
      </c>
      <c r="B255" s="43" t="str">
        <f t="shared" si="102"/>
        <v>►</v>
      </c>
      <c r="C255" s="45" t="str">
        <f t="shared" si="87"/>
        <v>►</v>
      </c>
      <c r="D255" s="44" t="str">
        <f t="shared" si="88"/>
        <v>►</v>
      </c>
      <c r="E255" s="43" t="str">
        <f t="shared" si="89"/>
        <v>►</v>
      </c>
      <c r="F255" s="43" t="str">
        <f t="shared" si="90"/>
        <v>►</v>
      </c>
      <c r="G255" s="43" t="str">
        <f t="shared" si="91"/>
        <v>►</v>
      </c>
      <c r="H255" s="1256" t="s">
        <v>1</v>
      </c>
      <c r="I255" s="5175" t="s">
        <v>1</v>
      </c>
      <c r="J255" s="5161"/>
      <c r="K255" s="5161"/>
      <c r="L255" s="5161"/>
      <c r="M255" s="5176"/>
      <c r="N255" s="5177"/>
      <c r="O255" s="147"/>
      <c r="P255" s="147"/>
      <c r="Q255" s="102"/>
      <c r="R255" s="102"/>
      <c r="S255" s="1360"/>
      <c r="T255" s="43"/>
      <c r="U255" s="42"/>
      <c r="V255" s="41"/>
      <c r="W255" s="40"/>
      <c r="X255" s="39"/>
      <c r="Y255" s="38"/>
      <c r="Z255" s="37"/>
      <c r="AA255" s="36"/>
      <c r="AB255" s="35"/>
      <c r="AC255" s="34"/>
      <c r="AD255" s="55"/>
      <c r="AE255" s="33"/>
      <c r="AF255"/>
      <c r="AG255" s="32"/>
      <c r="AH255" s="31"/>
      <c r="AI255" s="30"/>
      <c r="AJ255" s="5492">
        <f t="shared" si="93"/>
        <v>0</v>
      </c>
      <c r="AK255" s="54">
        <f t="shared" si="94"/>
        <v>0</v>
      </c>
      <c r="AL255" s="53" t="str">
        <f t="shared" si="95"/>
        <v/>
      </c>
      <c r="AM255" s="52"/>
      <c r="AN255" s="51">
        <f t="shared" si="96"/>
        <v>0</v>
      </c>
      <c r="AO255" s="50">
        <f t="shared" si="97"/>
        <v>0</v>
      </c>
      <c r="AP255" s="49">
        <f t="shared" si="98"/>
        <v>0</v>
      </c>
      <c r="AQ255" s="23"/>
      <c r="AR255" s="48">
        <f t="shared" si="99"/>
        <v>0</v>
      </c>
      <c r="AS255" s="47"/>
      <c r="AT255" s="13"/>
      <c r="AU255" s="46">
        <f t="shared" si="100"/>
        <v>0</v>
      </c>
      <c r="AV255"/>
      <c r="AZ255"/>
      <c r="BA255"/>
      <c r="BB255"/>
      <c r="BC255" s="3"/>
      <c r="BD255" s="3"/>
      <c r="BE255" s="3"/>
      <c r="BF255" s="3"/>
      <c r="BG255" s="3"/>
      <c r="BH255" s="3"/>
      <c r="BI255" s="3"/>
      <c r="BJ255" s="3"/>
      <c r="BL255" s="20" t="str">
        <f t="shared" si="92"/>
        <v>►</v>
      </c>
      <c r="BM255"/>
      <c r="BN255"/>
      <c r="BO255"/>
      <c r="BP255"/>
      <c r="BQ255"/>
      <c r="BR255"/>
      <c r="BS255"/>
      <c r="BT255"/>
      <c r="BU255"/>
      <c r="BV255"/>
      <c r="BW255"/>
      <c r="BX255"/>
      <c r="BY255"/>
      <c r="BZ255"/>
      <c r="CA255"/>
      <c r="CB255"/>
      <c r="CC255"/>
      <c r="CD255"/>
      <c r="CE255"/>
      <c r="CF255"/>
      <c r="CG255"/>
      <c r="CH255"/>
      <c r="CI255"/>
      <c r="CJ255"/>
      <c r="CK255"/>
      <c r="CL255"/>
      <c r="CM255"/>
      <c r="CN255" s="56" t="s">
        <v>1</v>
      </c>
      <c r="CO255" s="5">
        <v>1</v>
      </c>
    </row>
    <row r="256" spans="1:93" s="1" customFormat="1" ht="21" customHeight="1">
      <c r="A256" s="20" t="str">
        <f t="shared" si="101"/>
        <v>►</v>
      </c>
      <c r="B256" s="43" t="str">
        <f t="shared" si="102"/>
        <v>►</v>
      </c>
      <c r="C256" s="45" t="str">
        <f t="shared" si="87"/>
        <v>►</v>
      </c>
      <c r="D256" s="44" t="str">
        <f t="shared" si="88"/>
        <v>►</v>
      </c>
      <c r="E256" s="43" t="str">
        <f t="shared" si="89"/>
        <v>►</v>
      </c>
      <c r="F256" s="43" t="str">
        <f t="shared" si="90"/>
        <v>►</v>
      </c>
      <c r="G256" s="43" t="str">
        <f t="shared" si="91"/>
        <v>►</v>
      </c>
      <c r="H256" s="1256" t="s">
        <v>1</v>
      </c>
      <c r="I256" s="5175" t="s">
        <v>1</v>
      </c>
      <c r="J256" s="5161"/>
      <c r="K256" s="5161"/>
      <c r="L256" s="5161"/>
      <c r="M256" s="5176"/>
      <c r="N256" s="5177"/>
      <c r="O256" s="147"/>
      <c r="P256" s="147"/>
      <c r="Q256" s="102"/>
      <c r="R256" s="102"/>
      <c r="S256" s="1360"/>
      <c r="T256" s="43"/>
      <c r="U256" s="42"/>
      <c r="V256" s="41"/>
      <c r="W256" s="40"/>
      <c r="X256" s="39"/>
      <c r="Y256" s="38"/>
      <c r="Z256" s="37"/>
      <c r="AA256" s="36"/>
      <c r="AB256" s="35"/>
      <c r="AC256" s="34"/>
      <c r="AD256" s="55"/>
      <c r="AE256" s="33"/>
      <c r="AF256"/>
      <c r="AG256" s="32"/>
      <c r="AH256" s="31"/>
      <c r="AI256" s="30"/>
      <c r="AJ256" s="5492">
        <f t="shared" si="93"/>
        <v>0</v>
      </c>
      <c r="AK256" s="29">
        <f t="shared" si="94"/>
        <v>0</v>
      </c>
      <c r="AL256" s="28" t="str">
        <f t="shared" si="95"/>
        <v/>
      </c>
      <c r="AM256" s="27"/>
      <c r="AN256" s="26">
        <f t="shared" si="96"/>
        <v>0</v>
      </c>
      <c r="AO256" s="25">
        <f t="shared" si="97"/>
        <v>0</v>
      </c>
      <c r="AP256" s="24">
        <f t="shared" si="98"/>
        <v>0</v>
      </c>
      <c r="AQ256" s="23"/>
      <c r="AR256" s="22">
        <f t="shared" si="99"/>
        <v>0</v>
      </c>
      <c r="AS256" s="21"/>
      <c r="AT256" s="13"/>
      <c r="AU256" s="46">
        <f t="shared" si="100"/>
        <v>0</v>
      </c>
      <c r="AV256"/>
      <c r="AZ256"/>
      <c r="BA256"/>
      <c r="BB256"/>
      <c r="BC256" s="3"/>
      <c r="BD256" s="3"/>
      <c r="BE256" s="3"/>
      <c r="BF256" s="3"/>
      <c r="BG256" s="3"/>
      <c r="BH256" s="3"/>
      <c r="BI256" s="3"/>
      <c r="BJ256" s="3"/>
      <c r="BL256" s="20" t="str">
        <f t="shared" si="92"/>
        <v>►</v>
      </c>
      <c r="BM256"/>
      <c r="BN256"/>
      <c r="BO256"/>
      <c r="BP256"/>
      <c r="BQ256"/>
      <c r="BR256"/>
      <c r="BS256"/>
      <c r="BT256"/>
      <c r="BU256"/>
      <c r="BV256"/>
      <c r="BW256"/>
      <c r="BX256"/>
      <c r="BY256"/>
      <c r="BZ256"/>
      <c r="CA256"/>
      <c r="CB256"/>
      <c r="CC256"/>
      <c r="CD256"/>
      <c r="CE256"/>
      <c r="CF256"/>
      <c r="CG256"/>
      <c r="CH256"/>
      <c r="CI256"/>
      <c r="CJ256"/>
      <c r="CK256"/>
      <c r="CL256"/>
      <c r="CM256"/>
      <c r="CN256" s="56" t="s">
        <v>1</v>
      </c>
      <c r="CO256" s="5">
        <v>1</v>
      </c>
    </row>
    <row r="257" spans="1:93" s="1" customFormat="1" ht="21" customHeight="1">
      <c r="A257" s="20" t="str">
        <f t="shared" si="101"/>
        <v>►</v>
      </c>
      <c r="B257" s="43" t="str">
        <f t="shared" si="102"/>
        <v>►</v>
      </c>
      <c r="C257" s="45" t="str">
        <f t="shared" si="87"/>
        <v>►</v>
      </c>
      <c r="D257" s="44" t="str">
        <f t="shared" si="88"/>
        <v>►</v>
      </c>
      <c r="E257" s="43" t="str">
        <f t="shared" si="89"/>
        <v>►</v>
      </c>
      <c r="F257" s="43" t="str">
        <f t="shared" si="90"/>
        <v>►</v>
      </c>
      <c r="G257" s="43" t="str">
        <f t="shared" si="91"/>
        <v>►</v>
      </c>
      <c r="H257" s="1256" t="s">
        <v>1</v>
      </c>
      <c r="I257" s="5175" t="s">
        <v>1</v>
      </c>
      <c r="J257" s="5161"/>
      <c r="K257" s="5161"/>
      <c r="L257" s="5161"/>
      <c r="M257" s="5176"/>
      <c r="N257" s="5177"/>
      <c r="O257" s="147"/>
      <c r="P257" s="147"/>
      <c r="Q257" s="102"/>
      <c r="R257" s="102"/>
      <c r="S257" s="1360"/>
      <c r="T257" s="43"/>
      <c r="U257" s="42"/>
      <c r="V257" s="41"/>
      <c r="W257" s="40"/>
      <c r="X257" s="39"/>
      <c r="Y257" s="38"/>
      <c r="Z257" s="37"/>
      <c r="AA257" s="36"/>
      <c r="AB257" s="35"/>
      <c r="AC257" s="34"/>
      <c r="AD257" s="55"/>
      <c r="AE257" s="33"/>
      <c r="AF257"/>
      <c r="AG257" s="32"/>
      <c r="AH257" s="31"/>
      <c r="AI257" s="30"/>
      <c r="AJ257" s="5492">
        <f t="shared" si="93"/>
        <v>0</v>
      </c>
      <c r="AK257" s="54">
        <f t="shared" si="94"/>
        <v>0</v>
      </c>
      <c r="AL257" s="53" t="str">
        <f t="shared" si="95"/>
        <v/>
      </c>
      <c r="AM257" s="52"/>
      <c r="AN257" s="51">
        <f t="shared" si="96"/>
        <v>0</v>
      </c>
      <c r="AO257" s="50">
        <f t="shared" si="97"/>
        <v>0</v>
      </c>
      <c r="AP257" s="49">
        <f t="shared" si="98"/>
        <v>0</v>
      </c>
      <c r="AQ257" s="23"/>
      <c r="AR257" s="48">
        <f t="shared" si="99"/>
        <v>0</v>
      </c>
      <c r="AS257" s="47"/>
      <c r="AT257" s="13"/>
      <c r="AU257" s="46">
        <f t="shared" si="100"/>
        <v>0</v>
      </c>
      <c r="AV257"/>
      <c r="AZ257"/>
      <c r="BA257"/>
      <c r="BB257"/>
      <c r="BC257" s="3"/>
      <c r="BD257" s="3"/>
      <c r="BE257" s="3"/>
      <c r="BF257" s="3"/>
      <c r="BG257" s="3"/>
      <c r="BH257" s="3"/>
      <c r="BI257" s="3"/>
      <c r="BJ257" s="3"/>
      <c r="BL257" s="20" t="str">
        <f t="shared" si="92"/>
        <v>►</v>
      </c>
      <c r="BM257"/>
      <c r="BN257"/>
      <c r="BO257"/>
      <c r="BP257"/>
      <c r="BQ257"/>
      <c r="BR257"/>
      <c r="BS257"/>
      <c r="BT257"/>
      <c r="BU257"/>
      <c r="BV257"/>
      <c r="BW257"/>
      <c r="BX257"/>
      <c r="BY257"/>
      <c r="BZ257"/>
      <c r="CA257"/>
      <c r="CB257"/>
      <c r="CC257"/>
      <c r="CD257"/>
      <c r="CE257"/>
      <c r="CF257"/>
      <c r="CG257"/>
      <c r="CH257"/>
      <c r="CI257"/>
      <c r="CJ257"/>
      <c r="CK257"/>
      <c r="CL257"/>
      <c r="CM257"/>
      <c r="CN257" s="56" t="s">
        <v>1</v>
      </c>
      <c r="CO257" s="5">
        <v>1</v>
      </c>
    </row>
    <row r="258" spans="1:93" s="1" customFormat="1" ht="21" customHeight="1">
      <c r="A258" s="20" t="str">
        <f t="shared" si="101"/>
        <v>►</v>
      </c>
      <c r="B258" s="43" t="str">
        <f t="shared" si="102"/>
        <v>►</v>
      </c>
      <c r="C258" s="45" t="str">
        <f t="shared" si="87"/>
        <v>►</v>
      </c>
      <c r="D258" s="44" t="str">
        <f t="shared" si="88"/>
        <v>►</v>
      </c>
      <c r="E258" s="43" t="str">
        <f t="shared" si="89"/>
        <v>►</v>
      </c>
      <c r="F258" s="43" t="str">
        <f t="shared" si="90"/>
        <v>►</v>
      </c>
      <c r="G258" s="43" t="str">
        <f t="shared" si="91"/>
        <v>►</v>
      </c>
      <c r="H258" s="1256" t="s">
        <v>1</v>
      </c>
      <c r="I258" s="5175" t="s">
        <v>1</v>
      </c>
      <c r="J258" s="5161"/>
      <c r="K258" s="5161"/>
      <c r="L258" s="5161"/>
      <c r="M258" s="5176"/>
      <c r="N258" s="5177"/>
      <c r="O258" s="147"/>
      <c r="P258" s="147"/>
      <c r="Q258" s="102"/>
      <c r="R258" s="102"/>
      <c r="S258" s="1360"/>
      <c r="T258" s="43"/>
      <c r="U258" s="42"/>
      <c r="V258" s="41"/>
      <c r="W258" s="40"/>
      <c r="X258" s="39"/>
      <c r="Y258" s="38"/>
      <c r="Z258" s="37"/>
      <c r="AA258" s="36"/>
      <c r="AB258" s="35"/>
      <c r="AC258" s="34"/>
      <c r="AD258" s="55"/>
      <c r="AE258" s="33"/>
      <c r="AF258"/>
      <c r="AG258" s="32"/>
      <c r="AH258" s="31"/>
      <c r="AI258" s="30"/>
      <c r="AJ258" s="5492">
        <f t="shared" si="93"/>
        <v>0</v>
      </c>
      <c r="AK258" s="29">
        <f t="shared" si="94"/>
        <v>0</v>
      </c>
      <c r="AL258" s="28" t="str">
        <f t="shared" si="95"/>
        <v/>
      </c>
      <c r="AM258" s="27"/>
      <c r="AN258" s="26">
        <f t="shared" si="96"/>
        <v>0</v>
      </c>
      <c r="AO258" s="25">
        <f t="shared" si="97"/>
        <v>0</v>
      </c>
      <c r="AP258" s="24">
        <f t="shared" si="98"/>
        <v>0</v>
      </c>
      <c r="AQ258" s="23"/>
      <c r="AR258" s="22">
        <f t="shared" si="99"/>
        <v>0</v>
      </c>
      <c r="AS258" s="21"/>
      <c r="AT258" s="13"/>
      <c r="AU258" s="46">
        <f t="shared" si="100"/>
        <v>0</v>
      </c>
      <c r="AV258"/>
      <c r="AZ258"/>
      <c r="BA258"/>
      <c r="BB258"/>
      <c r="BC258" s="3"/>
      <c r="BD258" s="3"/>
      <c r="BE258" s="3"/>
      <c r="BF258" s="3"/>
      <c r="BG258" s="3"/>
      <c r="BH258" s="3"/>
      <c r="BI258" s="3"/>
      <c r="BJ258" s="3"/>
      <c r="BL258" s="20" t="str">
        <f t="shared" si="92"/>
        <v>►</v>
      </c>
      <c r="BM258"/>
      <c r="BN258"/>
      <c r="BO258"/>
      <c r="BP258"/>
      <c r="BQ258"/>
      <c r="BR258"/>
      <c r="BS258"/>
      <c r="BT258"/>
      <c r="BU258"/>
      <c r="BV258"/>
      <c r="BW258"/>
      <c r="BX258"/>
      <c r="BY258"/>
      <c r="BZ258"/>
      <c r="CA258"/>
      <c r="CB258"/>
      <c r="CC258"/>
      <c r="CD258"/>
      <c r="CE258"/>
      <c r="CF258"/>
      <c r="CG258"/>
      <c r="CH258"/>
      <c r="CI258"/>
      <c r="CJ258"/>
      <c r="CK258"/>
      <c r="CL258"/>
      <c r="CM258"/>
      <c r="CN258" s="56" t="s">
        <v>1</v>
      </c>
      <c r="CO258" s="5">
        <v>1</v>
      </c>
    </row>
    <row r="259" spans="1:93" s="1" customFormat="1" ht="21" customHeight="1">
      <c r="A259" s="20" t="str">
        <f t="shared" si="101"/>
        <v>►</v>
      </c>
      <c r="B259" s="43" t="str">
        <f t="shared" si="102"/>
        <v>►</v>
      </c>
      <c r="C259" s="45" t="str">
        <f t="shared" si="87"/>
        <v>►</v>
      </c>
      <c r="D259" s="44" t="str">
        <f t="shared" si="88"/>
        <v>►</v>
      </c>
      <c r="E259" s="43" t="str">
        <f t="shared" si="89"/>
        <v>►</v>
      </c>
      <c r="F259" s="43" t="str">
        <f t="shared" si="90"/>
        <v>►</v>
      </c>
      <c r="G259" s="43" t="str">
        <f t="shared" si="91"/>
        <v>►</v>
      </c>
      <c r="H259" s="1256" t="s">
        <v>1</v>
      </c>
      <c r="I259" s="5175" t="s">
        <v>1</v>
      </c>
      <c r="J259" s="5161"/>
      <c r="K259" s="5161"/>
      <c r="L259" s="5161"/>
      <c r="M259" s="5176"/>
      <c r="N259" s="5177"/>
      <c r="O259" s="147"/>
      <c r="P259" s="147"/>
      <c r="Q259" s="102"/>
      <c r="R259" s="102"/>
      <c r="S259" s="1360"/>
      <c r="T259" s="43"/>
      <c r="U259" s="42"/>
      <c r="V259" s="41"/>
      <c r="W259" s="40"/>
      <c r="X259" s="39"/>
      <c r="Y259" s="38"/>
      <c r="Z259" s="37"/>
      <c r="AA259" s="36"/>
      <c r="AB259" s="35"/>
      <c r="AC259" s="34"/>
      <c r="AD259" s="55"/>
      <c r="AE259" s="33"/>
      <c r="AF259"/>
      <c r="AG259" s="32"/>
      <c r="AH259" s="31"/>
      <c r="AI259" s="30"/>
      <c r="AJ259" s="5492">
        <f t="shared" si="93"/>
        <v>0</v>
      </c>
      <c r="AK259" s="54">
        <f t="shared" si="94"/>
        <v>0</v>
      </c>
      <c r="AL259" s="53" t="str">
        <f t="shared" si="95"/>
        <v/>
      </c>
      <c r="AM259" s="52"/>
      <c r="AN259" s="51">
        <f t="shared" si="96"/>
        <v>0</v>
      </c>
      <c r="AO259" s="50">
        <f t="shared" si="97"/>
        <v>0</v>
      </c>
      <c r="AP259" s="49">
        <f t="shared" si="98"/>
        <v>0</v>
      </c>
      <c r="AQ259" s="23"/>
      <c r="AR259" s="48">
        <f t="shared" si="99"/>
        <v>0</v>
      </c>
      <c r="AS259" s="47"/>
      <c r="AT259" s="13"/>
      <c r="AU259" s="46">
        <f t="shared" si="100"/>
        <v>0</v>
      </c>
      <c r="AV259"/>
      <c r="AZ259"/>
      <c r="BA259"/>
      <c r="BB259"/>
      <c r="BC259" s="3"/>
      <c r="BD259" s="3"/>
      <c r="BE259" s="3"/>
      <c r="BF259" s="3"/>
      <c r="BG259" s="3"/>
      <c r="BH259" s="3"/>
      <c r="BI259" s="3"/>
      <c r="BJ259" s="3"/>
      <c r="BK259" s="3"/>
      <c r="BL259" s="20" t="str">
        <f t="shared" si="92"/>
        <v>►</v>
      </c>
      <c r="BM259"/>
      <c r="BN259"/>
      <c r="BO259"/>
      <c r="BP259"/>
      <c r="BQ259"/>
      <c r="BR259"/>
      <c r="BS259"/>
      <c r="BT259"/>
      <c r="BU259"/>
      <c r="BV259"/>
      <c r="BW259"/>
      <c r="BX259"/>
      <c r="BY259"/>
      <c r="BZ259"/>
      <c r="CA259"/>
      <c r="CB259"/>
      <c r="CC259"/>
      <c r="CD259"/>
      <c r="CE259"/>
      <c r="CF259"/>
      <c r="CG259"/>
      <c r="CH259"/>
      <c r="CI259"/>
      <c r="CJ259"/>
      <c r="CK259"/>
      <c r="CL259"/>
      <c r="CM259"/>
      <c r="CN259" s="56" t="s">
        <v>1</v>
      </c>
      <c r="CO259" s="5">
        <v>1</v>
      </c>
    </row>
    <row r="260" spans="1:93" s="1" customFormat="1" ht="21" customHeight="1">
      <c r="A260" s="20" t="str">
        <f t="shared" si="101"/>
        <v>►</v>
      </c>
      <c r="B260" s="43" t="str">
        <f t="shared" si="102"/>
        <v>►</v>
      </c>
      <c r="C260" s="45" t="str">
        <f t="shared" si="87"/>
        <v>►</v>
      </c>
      <c r="D260" s="44" t="str">
        <f t="shared" si="88"/>
        <v>►</v>
      </c>
      <c r="E260" s="43" t="str">
        <f t="shared" si="89"/>
        <v>►</v>
      </c>
      <c r="F260" s="43" t="str">
        <f t="shared" si="90"/>
        <v>►</v>
      </c>
      <c r="G260" s="43" t="str">
        <f t="shared" si="91"/>
        <v>►</v>
      </c>
      <c r="H260" s="1256" t="s">
        <v>1</v>
      </c>
      <c r="I260" s="5175" t="s">
        <v>1</v>
      </c>
      <c r="J260" s="5161"/>
      <c r="K260" s="5161"/>
      <c r="L260" s="5161"/>
      <c r="M260" s="5176"/>
      <c r="N260" s="5177"/>
      <c r="O260" s="147"/>
      <c r="P260" s="147"/>
      <c r="Q260" s="102"/>
      <c r="R260" s="102"/>
      <c r="S260" s="1360"/>
      <c r="T260" s="43"/>
      <c r="U260" s="42"/>
      <c r="V260" s="41"/>
      <c r="W260" s="40"/>
      <c r="X260" s="39"/>
      <c r="Y260" s="38"/>
      <c r="Z260" s="37"/>
      <c r="AA260" s="36"/>
      <c r="AB260" s="35"/>
      <c r="AC260" s="34"/>
      <c r="AD260" s="55"/>
      <c r="AE260" s="33"/>
      <c r="AF260"/>
      <c r="AG260" s="32"/>
      <c r="AH260" s="31"/>
      <c r="AI260" s="30"/>
      <c r="AJ260" s="5492">
        <f t="shared" si="93"/>
        <v>0</v>
      </c>
      <c r="AK260" s="29">
        <f t="shared" si="94"/>
        <v>0</v>
      </c>
      <c r="AL260" s="28" t="str">
        <f t="shared" si="95"/>
        <v/>
      </c>
      <c r="AM260" s="27"/>
      <c r="AN260" s="26">
        <f t="shared" si="96"/>
        <v>0</v>
      </c>
      <c r="AO260" s="25">
        <f t="shared" si="97"/>
        <v>0</v>
      </c>
      <c r="AP260" s="24">
        <f t="shared" si="98"/>
        <v>0</v>
      </c>
      <c r="AQ260" s="23"/>
      <c r="AR260" s="22">
        <f t="shared" si="99"/>
        <v>0</v>
      </c>
      <c r="AS260" s="21"/>
      <c r="AT260" s="13"/>
      <c r="AU260" s="46">
        <f t="shared" si="100"/>
        <v>0</v>
      </c>
      <c r="AV260"/>
      <c r="AZ260"/>
      <c r="BA260"/>
      <c r="BB260"/>
      <c r="BC260" s="3"/>
      <c r="BD260" s="3"/>
      <c r="BE260" s="3"/>
      <c r="BF260" s="3"/>
      <c r="BG260" s="3"/>
      <c r="BH260" s="3"/>
      <c r="BI260" s="3"/>
      <c r="BJ260" s="3"/>
      <c r="BK260" s="3"/>
      <c r="BL260" s="20" t="str">
        <f t="shared" si="92"/>
        <v>►</v>
      </c>
      <c r="BM260"/>
      <c r="BN260"/>
      <c r="BO260"/>
      <c r="BP260"/>
      <c r="BQ260"/>
      <c r="BR260"/>
      <c r="BS260"/>
      <c r="BT260"/>
      <c r="BU260"/>
      <c r="BV260"/>
      <c r="BW260"/>
      <c r="BX260"/>
      <c r="BY260"/>
      <c r="BZ260"/>
      <c r="CA260"/>
      <c r="CB260"/>
      <c r="CC260"/>
      <c r="CD260"/>
      <c r="CE260"/>
      <c r="CF260"/>
      <c r="CG260"/>
      <c r="CH260"/>
      <c r="CI260"/>
      <c r="CJ260"/>
      <c r="CK260"/>
      <c r="CL260"/>
      <c r="CM260"/>
      <c r="CN260" s="56" t="s">
        <v>1</v>
      </c>
      <c r="CO260" s="5">
        <v>1</v>
      </c>
    </row>
    <row r="261" spans="1:93" s="1" customFormat="1" ht="21" customHeight="1">
      <c r="A261" s="20" t="str">
        <f t="shared" si="101"/>
        <v>►</v>
      </c>
      <c r="B261" s="43" t="str">
        <f t="shared" si="102"/>
        <v>►</v>
      </c>
      <c r="C261" s="45" t="str">
        <f t="shared" si="87"/>
        <v>►</v>
      </c>
      <c r="D261" s="44" t="str">
        <f t="shared" si="88"/>
        <v>►</v>
      </c>
      <c r="E261" s="43" t="str">
        <f t="shared" si="89"/>
        <v>►</v>
      </c>
      <c r="F261" s="43" t="str">
        <f t="shared" si="90"/>
        <v>►</v>
      </c>
      <c r="G261" s="43" t="str">
        <f t="shared" si="91"/>
        <v>►</v>
      </c>
      <c r="H261" s="1256" t="s">
        <v>1</v>
      </c>
      <c r="I261" s="5175" t="s">
        <v>1</v>
      </c>
      <c r="J261" s="5161"/>
      <c r="K261" s="5161"/>
      <c r="L261" s="5161"/>
      <c r="M261" s="5176"/>
      <c r="N261" s="5177"/>
      <c r="O261" s="147"/>
      <c r="P261" s="147"/>
      <c r="Q261" s="102"/>
      <c r="R261" s="102"/>
      <c r="S261" s="1360"/>
      <c r="T261" s="43"/>
      <c r="U261" s="42"/>
      <c r="V261" s="41"/>
      <c r="W261" s="40"/>
      <c r="X261" s="39"/>
      <c r="Y261" s="38"/>
      <c r="Z261" s="37"/>
      <c r="AA261" s="36"/>
      <c r="AB261" s="35"/>
      <c r="AC261" s="34"/>
      <c r="AD261" s="55"/>
      <c r="AE261" s="33"/>
      <c r="AF261"/>
      <c r="AG261" s="32"/>
      <c r="AH261" s="31"/>
      <c r="AI261" s="30"/>
      <c r="AJ261" s="5492">
        <f t="shared" si="93"/>
        <v>0</v>
      </c>
      <c r="AK261" s="54">
        <f t="shared" si="94"/>
        <v>0</v>
      </c>
      <c r="AL261" s="53" t="str">
        <f t="shared" si="95"/>
        <v/>
      </c>
      <c r="AM261" s="52"/>
      <c r="AN261" s="51">
        <f t="shared" si="96"/>
        <v>0</v>
      </c>
      <c r="AO261" s="50">
        <f t="shared" si="97"/>
        <v>0</v>
      </c>
      <c r="AP261" s="49">
        <f t="shared" si="98"/>
        <v>0</v>
      </c>
      <c r="AQ261" s="23"/>
      <c r="AR261" s="48">
        <f t="shared" si="99"/>
        <v>0</v>
      </c>
      <c r="AS261" s="47"/>
      <c r="AT261" s="13"/>
      <c r="AU261" s="46">
        <f t="shared" si="100"/>
        <v>0</v>
      </c>
      <c r="AV261"/>
      <c r="AZ261"/>
      <c r="BA261"/>
      <c r="BB261"/>
      <c r="BC261" s="3"/>
      <c r="BD261" s="3"/>
      <c r="BE261" s="3"/>
      <c r="BF261" s="3"/>
      <c r="BG261" s="3"/>
      <c r="BH261" s="3"/>
      <c r="BI261" s="3"/>
      <c r="BJ261" s="3"/>
      <c r="BK261" s="3"/>
      <c r="BL261" s="20" t="str">
        <f t="shared" si="92"/>
        <v>►</v>
      </c>
      <c r="BM261"/>
      <c r="BN261"/>
      <c r="BO261"/>
      <c r="BP261"/>
      <c r="BQ261"/>
      <c r="BR261"/>
      <c r="BS261"/>
      <c r="BT261"/>
      <c r="BU261"/>
      <c r="BV261"/>
      <c r="BW261"/>
      <c r="BX261"/>
      <c r="BY261"/>
      <c r="BZ261"/>
      <c r="CA261"/>
      <c r="CB261"/>
      <c r="CC261"/>
      <c r="CD261"/>
      <c r="CE261"/>
      <c r="CF261"/>
      <c r="CG261"/>
      <c r="CH261"/>
      <c r="CI261"/>
      <c r="CJ261"/>
      <c r="CK261"/>
      <c r="CL261"/>
      <c r="CM261"/>
      <c r="CN261" s="56" t="s">
        <v>1</v>
      </c>
      <c r="CO261" s="5">
        <v>1</v>
      </c>
    </row>
    <row r="262" spans="1:93" s="1" customFormat="1" ht="21" customHeight="1">
      <c r="A262" s="20" t="str">
        <f t="shared" si="101"/>
        <v>►</v>
      </c>
      <c r="B262" s="43" t="str">
        <f t="shared" si="102"/>
        <v>►</v>
      </c>
      <c r="C262" s="45" t="str">
        <f t="shared" si="87"/>
        <v>►</v>
      </c>
      <c r="D262" s="44" t="str">
        <f t="shared" si="88"/>
        <v>►</v>
      </c>
      <c r="E262" s="43" t="str">
        <f t="shared" si="89"/>
        <v>►</v>
      </c>
      <c r="F262" s="43" t="str">
        <f t="shared" si="90"/>
        <v>►</v>
      </c>
      <c r="G262" s="43" t="str">
        <f t="shared" si="91"/>
        <v>►</v>
      </c>
      <c r="H262" s="1256" t="s">
        <v>1</v>
      </c>
      <c r="I262" s="5175" t="s">
        <v>1</v>
      </c>
      <c r="J262" s="5161"/>
      <c r="K262" s="5161"/>
      <c r="L262" s="5161"/>
      <c r="M262" s="5176"/>
      <c r="N262" s="5177"/>
      <c r="O262" s="147"/>
      <c r="P262" s="147"/>
      <c r="Q262" s="102"/>
      <c r="R262" s="102"/>
      <c r="S262" s="1360"/>
      <c r="T262" s="43"/>
      <c r="U262" s="42"/>
      <c r="V262" s="41"/>
      <c r="W262" s="40"/>
      <c r="X262" s="39"/>
      <c r="Y262" s="38"/>
      <c r="Z262" s="37"/>
      <c r="AA262" s="36"/>
      <c r="AB262" s="35"/>
      <c r="AC262" s="34"/>
      <c r="AD262" s="55"/>
      <c r="AE262" s="33"/>
      <c r="AF262"/>
      <c r="AG262" s="32"/>
      <c r="AH262" s="31"/>
      <c r="AI262" s="30"/>
      <c r="AJ262" s="5492">
        <f t="shared" si="93"/>
        <v>0</v>
      </c>
      <c r="AK262" s="29">
        <f t="shared" si="94"/>
        <v>0</v>
      </c>
      <c r="AL262" s="28" t="str">
        <f t="shared" si="95"/>
        <v/>
      </c>
      <c r="AM262" s="27"/>
      <c r="AN262" s="26">
        <f t="shared" si="96"/>
        <v>0</v>
      </c>
      <c r="AO262" s="25">
        <f t="shared" si="97"/>
        <v>0</v>
      </c>
      <c r="AP262" s="24">
        <f t="shared" si="98"/>
        <v>0</v>
      </c>
      <c r="AQ262" s="23"/>
      <c r="AR262" s="22">
        <f t="shared" si="99"/>
        <v>0</v>
      </c>
      <c r="AS262" s="21"/>
      <c r="AT262" s="13"/>
      <c r="AU262" s="46">
        <f t="shared" si="100"/>
        <v>0</v>
      </c>
      <c r="AV262"/>
      <c r="AZ262"/>
      <c r="BA262"/>
      <c r="BB262"/>
      <c r="BC262" s="3"/>
      <c r="BD262" s="3"/>
      <c r="BE262" s="3"/>
      <c r="BF262" s="3"/>
      <c r="BG262" s="3"/>
      <c r="BH262" s="3"/>
      <c r="BI262" s="3"/>
      <c r="BJ262" s="3"/>
      <c r="BK262" s="3"/>
      <c r="BL262" s="20" t="str">
        <f t="shared" si="92"/>
        <v>►</v>
      </c>
      <c r="BM262"/>
      <c r="BN262"/>
      <c r="BO262"/>
      <c r="BP262"/>
      <c r="BQ262"/>
      <c r="BR262"/>
      <c r="BS262"/>
      <c r="BT262"/>
      <c r="BU262"/>
      <c r="BV262"/>
      <c r="BW262"/>
      <c r="BX262"/>
      <c r="BY262"/>
      <c r="BZ262"/>
      <c r="CA262"/>
      <c r="CB262"/>
      <c r="CC262"/>
      <c r="CD262"/>
      <c r="CE262"/>
      <c r="CF262"/>
      <c r="CG262"/>
      <c r="CH262"/>
      <c r="CI262"/>
      <c r="CJ262"/>
      <c r="CK262"/>
      <c r="CL262"/>
      <c r="CM262"/>
      <c r="CN262" s="56" t="s">
        <v>1</v>
      </c>
      <c r="CO262" s="5">
        <v>1</v>
      </c>
    </row>
    <row r="263" spans="1:93" s="1" customFormat="1" ht="21" customHeight="1">
      <c r="A263" s="20" t="str">
        <f t="shared" si="101"/>
        <v>►</v>
      </c>
      <c r="B263" s="43" t="str">
        <f t="shared" si="102"/>
        <v>►</v>
      </c>
      <c r="C263" s="45" t="str">
        <f t="shared" si="87"/>
        <v>►</v>
      </c>
      <c r="D263" s="44" t="str">
        <f t="shared" si="88"/>
        <v>►</v>
      </c>
      <c r="E263" s="43" t="str">
        <f t="shared" si="89"/>
        <v>►</v>
      </c>
      <c r="F263" s="43" t="str">
        <f t="shared" si="90"/>
        <v>►</v>
      </c>
      <c r="G263" s="43" t="str">
        <f t="shared" si="91"/>
        <v>►</v>
      </c>
      <c r="H263" s="1256" t="s">
        <v>1</v>
      </c>
      <c r="I263" s="5175" t="s">
        <v>1</v>
      </c>
      <c r="J263" s="5161"/>
      <c r="K263" s="5161"/>
      <c r="L263" s="5161"/>
      <c r="M263" s="5176"/>
      <c r="N263" s="5177"/>
      <c r="O263" s="147"/>
      <c r="P263" s="147"/>
      <c r="Q263" s="102"/>
      <c r="R263" s="102"/>
      <c r="S263" s="1360"/>
      <c r="T263" s="43"/>
      <c r="U263" s="42"/>
      <c r="V263" s="41"/>
      <c r="W263" s="40"/>
      <c r="X263" s="39"/>
      <c r="Y263" s="38"/>
      <c r="Z263" s="37"/>
      <c r="AA263" s="36"/>
      <c r="AB263" s="35"/>
      <c r="AC263" s="34"/>
      <c r="AD263" s="55"/>
      <c r="AE263" s="33"/>
      <c r="AF263"/>
      <c r="AG263" s="32"/>
      <c r="AH263" s="31"/>
      <c r="AI263" s="30"/>
      <c r="AJ263" s="5492">
        <f t="shared" si="93"/>
        <v>0</v>
      </c>
      <c r="AK263" s="54">
        <f t="shared" si="94"/>
        <v>0</v>
      </c>
      <c r="AL263" s="53" t="str">
        <f t="shared" si="95"/>
        <v/>
      </c>
      <c r="AM263" s="52"/>
      <c r="AN263" s="51">
        <f t="shared" si="96"/>
        <v>0</v>
      </c>
      <c r="AO263" s="50">
        <f t="shared" si="97"/>
        <v>0</v>
      </c>
      <c r="AP263" s="49">
        <f t="shared" si="98"/>
        <v>0</v>
      </c>
      <c r="AQ263" s="23"/>
      <c r="AR263" s="48">
        <f t="shared" si="99"/>
        <v>0</v>
      </c>
      <c r="AS263" s="47"/>
      <c r="AT263" s="13"/>
      <c r="AU263" s="46">
        <f t="shared" si="100"/>
        <v>0</v>
      </c>
      <c r="AV263"/>
      <c r="AZ263"/>
      <c r="BA263"/>
      <c r="BB263"/>
      <c r="BC263" s="3"/>
      <c r="BD263" s="3"/>
      <c r="BE263" s="3"/>
      <c r="BF263" s="3"/>
      <c r="BG263" s="3"/>
      <c r="BH263" s="3"/>
      <c r="BI263" s="3"/>
      <c r="BJ263" s="3"/>
      <c r="BK263" s="3"/>
      <c r="BL263" s="20" t="str">
        <f t="shared" si="92"/>
        <v>►</v>
      </c>
      <c r="BM263"/>
      <c r="BN263"/>
      <c r="BO263"/>
      <c r="BP263"/>
      <c r="BQ263"/>
      <c r="BR263"/>
      <c r="BS263"/>
      <c r="BT263"/>
      <c r="BU263"/>
      <c r="BV263"/>
      <c r="BW263"/>
      <c r="BX263"/>
      <c r="BY263"/>
      <c r="BZ263"/>
      <c r="CA263"/>
      <c r="CB263"/>
      <c r="CC263"/>
      <c r="CD263"/>
      <c r="CE263"/>
      <c r="CF263"/>
      <c r="CG263"/>
      <c r="CH263"/>
      <c r="CI263"/>
      <c r="CJ263"/>
      <c r="CK263"/>
      <c r="CL263"/>
      <c r="CM263"/>
      <c r="CN263" s="56" t="s">
        <v>1</v>
      </c>
      <c r="CO263" s="5">
        <v>1</v>
      </c>
    </row>
    <row r="264" spans="1:93" s="1" customFormat="1" ht="21" customHeight="1">
      <c r="A264" s="20" t="str">
        <f t="shared" si="101"/>
        <v>►</v>
      </c>
      <c r="B264" s="43" t="str">
        <f t="shared" si="102"/>
        <v>►</v>
      </c>
      <c r="C264" s="45" t="str">
        <f t="shared" si="87"/>
        <v>►</v>
      </c>
      <c r="D264" s="44" t="str">
        <f t="shared" si="88"/>
        <v>►</v>
      </c>
      <c r="E264" s="43" t="str">
        <f t="shared" si="89"/>
        <v>►</v>
      </c>
      <c r="F264" s="43" t="str">
        <f t="shared" si="90"/>
        <v>►</v>
      </c>
      <c r="G264" s="43" t="str">
        <f t="shared" si="91"/>
        <v>►</v>
      </c>
      <c r="H264" s="1256" t="s">
        <v>1</v>
      </c>
      <c r="I264" s="5175" t="s">
        <v>1</v>
      </c>
      <c r="J264" s="5161"/>
      <c r="K264" s="5161"/>
      <c r="L264" s="5161"/>
      <c r="M264" s="5176"/>
      <c r="N264" s="5177"/>
      <c r="O264" s="147"/>
      <c r="P264" s="147"/>
      <c r="Q264" s="102"/>
      <c r="R264" s="102"/>
      <c r="S264" s="1360"/>
      <c r="T264" s="43"/>
      <c r="U264" s="42"/>
      <c r="V264" s="41"/>
      <c r="W264" s="40"/>
      <c r="X264" s="39"/>
      <c r="Y264" s="38"/>
      <c r="Z264" s="37"/>
      <c r="AA264" s="36"/>
      <c r="AB264" s="35"/>
      <c r="AC264" s="34"/>
      <c r="AD264" s="55"/>
      <c r="AE264" s="33"/>
      <c r="AF264"/>
      <c r="AG264" s="32"/>
      <c r="AH264" s="31"/>
      <c r="AI264" s="30"/>
      <c r="AJ264" s="5492">
        <f t="shared" si="93"/>
        <v>0</v>
      </c>
      <c r="AK264" s="29">
        <f t="shared" si="94"/>
        <v>0</v>
      </c>
      <c r="AL264" s="28" t="str">
        <f t="shared" si="95"/>
        <v/>
      </c>
      <c r="AM264" s="27"/>
      <c r="AN264" s="26">
        <f t="shared" si="96"/>
        <v>0</v>
      </c>
      <c r="AO264" s="25">
        <f t="shared" si="97"/>
        <v>0</v>
      </c>
      <c r="AP264" s="24">
        <f t="shared" si="98"/>
        <v>0</v>
      </c>
      <c r="AQ264" s="23"/>
      <c r="AR264" s="22">
        <f t="shared" si="99"/>
        <v>0</v>
      </c>
      <c r="AS264" s="21"/>
      <c r="AT264" s="13"/>
      <c r="AU264" s="46">
        <f t="shared" si="100"/>
        <v>0</v>
      </c>
      <c r="AV264"/>
      <c r="AZ264"/>
      <c r="BA264"/>
      <c r="BB264"/>
      <c r="BC264" s="3"/>
      <c r="BD264" s="3"/>
      <c r="BE264" s="3"/>
      <c r="BF264" s="3"/>
      <c r="BG264" s="3"/>
      <c r="BH264" s="3"/>
      <c r="BI264" s="3"/>
      <c r="BJ264" s="3"/>
      <c r="BK264" s="3"/>
      <c r="BL264" s="20" t="str">
        <f t="shared" si="92"/>
        <v>►</v>
      </c>
      <c r="BM264"/>
      <c r="BN264"/>
      <c r="BO264"/>
      <c r="BP264"/>
      <c r="BQ264"/>
      <c r="BR264"/>
      <c r="BS264"/>
      <c r="BT264"/>
      <c r="BU264"/>
      <c r="BV264"/>
      <c r="BW264"/>
      <c r="BX264"/>
      <c r="BY264"/>
      <c r="BZ264"/>
      <c r="CA264"/>
      <c r="CB264"/>
      <c r="CC264"/>
      <c r="CD264"/>
      <c r="CE264"/>
      <c r="CF264"/>
      <c r="CG264"/>
      <c r="CH264"/>
      <c r="CI264"/>
      <c r="CJ264"/>
      <c r="CK264"/>
      <c r="CL264"/>
      <c r="CM264"/>
      <c r="CN264" s="56" t="s">
        <v>1</v>
      </c>
      <c r="CO264" s="5">
        <v>1</v>
      </c>
    </row>
    <row r="265" spans="1:93" s="1" customFormat="1" ht="21" customHeight="1">
      <c r="A265" s="20" t="str">
        <f t="shared" si="101"/>
        <v>►</v>
      </c>
      <c r="B265" s="43" t="str">
        <f t="shared" si="102"/>
        <v>►</v>
      </c>
      <c r="C265" s="45" t="str">
        <f t="shared" si="87"/>
        <v>►</v>
      </c>
      <c r="D265" s="44" t="str">
        <f t="shared" si="88"/>
        <v>►</v>
      </c>
      <c r="E265" s="43" t="str">
        <f t="shared" si="89"/>
        <v>►</v>
      </c>
      <c r="F265" s="43" t="str">
        <f t="shared" si="90"/>
        <v>►</v>
      </c>
      <c r="G265" s="43" t="str">
        <f t="shared" si="91"/>
        <v>►</v>
      </c>
      <c r="H265" s="1256" t="s">
        <v>1</v>
      </c>
      <c r="I265" s="5175" t="s">
        <v>1</v>
      </c>
      <c r="J265" s="5161"/>
      <c r="K265" s="5161"/>
      <c r="L265" s="5161"/>
      <c r="M265" s="5176"/>
      <c r="N265" s="5177"/>
      <c r="O265" s="147"/>
      <c r="P265" s="147"/>
      <c r="Q265" s="102"/>
      <c r="R265" s="102"/>
      <c r="S265" s="1360"/>
      <c r="T265" s="43"/>
      <c r="U265" s="42"/>
      <c r="V265" s="41"/>
      <c r="W265" s="40"/>
      <c r="X265" s="39"/>
      <c r="Y265" s="38"/>
      <c r="Z265" s="37"/>
      <c r="AA265" s="36"/>
      <c r="AB265" s="35"/>
      <c r="AC265" s="34"/>
      <c r="AD265" s="55"/>
      <c r="AE265" s="33"/>
      <c r="AF265"/>
      <c r="AG265" s="32"/>
      <c r="AH265" s="31"/>
      <c r="AI265" s="30"/>
      <c r="AJ265" s="5492">
        <f t="shared" si="93"/>
        <v>0</v>
      </c>
      <c r="AK265" s="54">
        <f t="shared" si="94"/>
        <v>0</v>
      </c>
      <c r="AL265" s="53" t="str">
        <f t="shared" si="95"/>
        <v/>
      </c>
      <c r="AM265" s="52"/>
      <c r="AN265" s="51">
        <f t="shared" si="96"/>
        <v>0</v>
      </c>
      <c r="AO265" s="50">
        <f t="shared" si="97"/>
        <v>0</v>
      </c>
      <c r="AP265" s="49">
        <f t="shared" si="98"/>
        <v>0</v>
      </c>
      <c r="AQ265" s="23"/>
      <c r="AR265" s="48">
        <f t="shared" si="99"/>
        <v>0</v>
      </c>
      <c r="AS265" s="47"/>
      <c r="AT265" s="13"/>
      <c r="AU265" s="46">
        <f t="shared" si="100"/>
        <v>0</v>
      </c>
      <c r="AV265"/>
      <c r="AZ265"/>
      <c r="BA265"/>
      <c r="BB265"/>
      <c r="BC265" s="3"/>
      <c r="BD265" s="3"/>
      <c r="BE265" s="3"/>
      <c r="BF265" s="3"/>
      <c r="BG265" s="3"/>
      <c r="BH265" s="3"/>
      <c r="BI265" s="3"/>
      <c r="BJ265" s="3"/>
      <c r="BK265" s="3"/>
      <c r="BL265" s="20" t="str">
        <f t="shared" si="92"/>
        <v>►</v>
      </c>
      <c r="BM265"/>
      <c r="BN265"/>
      <c r="BO265"/>
      <c r="BP265"/>
      <c r="BQ265"/>
      <c r="BR265"/>
      <c r="BS265"/>
      <c r="BT265"/>
      <c r="BU265"/>
      <c r="BV265"/>
      <c r="BW265"/>
      <c r="BX265"/>
      <c r="BY265"/>
      <c r="BZ265"/>
      <c r="CA265"/>
      <c r="CB265"/>
      <c r="CC265"/>
      <c r="CD265"/>
      <c r="CE265"/>
      <c r="CF265"/>
      <c r="CG265"/>
      <c r="CH265"/>
      <c r="CI265"/>
      <c r="CJ265"/>
      <c r="CK265"/>
      <c r="CL265"/>
      <c r="CM265"/>
      <c r="CN265" s="56" t="s">
        <v>1</v>
      </c>
      <c r="CO265" s="5">
        <v>1</v>
      </c>
    </row>
    <row r="266" spans="1:93" s="1" customFormat="1" ht="21" customHeight="1">
      <c r="A266" s="20" t="str">
        <f t="shared" si="101"/>
        <v>►</v>
      </c>
      <c r="B266" s="43" t="str">
        <f t="shared" si="102"/>
        <v>►</v>
      </c>
      <c r="C266" s="45" t="str">
        <f t="shared" si="87"/>
        <v>►</v>
      </c>
      <c r="D266" s="44" t="str">
        <f t="shared" si="88"/>
        <v>►</v>
      </c>
      <c r="E266" s="43" t="str">
        <f t="shared" si="89"/>
        <v>►</v>
      </c>
      <c r="F266" s="43" t="str">
        <f t="shared" si="90"/>
        <v>►</v>
      </c>
      <c r="G266" s="43" t="str">
        <f t="shared" si="91"/>
        <v>►</v>
      </c>
      <c r="H266" s="1256" t="s">
        <v>1</v>
      </c>
      <c r="I266" s="5175" t="s">
        <v>1</v>
      </c>
      <c r="J266" s="5161"/>
      <c r="K266" s="5161"/>
      <c r="L266" s="5161"/>
      <c r="M266" s="5176"/>
      <c r="N266" s="5177"/>
      <c r="O266" s="147"/>
      <c r="P266" s="147"/>
      <c r="Q266" s="102"/>
      <c r="R266" s="102"/>
      <c r="S266" s="1360"/>
      <c r="T266" s="43"/>
      <c r="U266" s="42"/>
      <c r="V266" s="41"/>
      <c r="W266" s="40"/>
      <c r="X266" s="39"/>
      <c r="Y266" s="38"/>
      <c r="Z266" s="37"/>
      <c r="AA266" s="36"/>
      <c r="AB266" s="35"/>
      <c r="AC266" s="34"/>
      <c r="AD266" s="55"/>
      <c r="AE266" s="33"/>
      <c r="AF266"/>
      <c r="AG266" s="32"/>
      <c r="AH266" s="31"/>
      <c r="AI266" s="30"/>
      <c r="AJ266" s="5492">
        <f t="shared" si="93"/>
        <v>0</v>
      </c>
      <c r="AK266" s="29">
        <f t="shared" si="94"/>
        <v>0</v>
      </c>
      <c r="AL266" s="28" t="str">
        <f t="shared" si="95"/>
        <v/>
      </c>
      <c r="AM266" s="27"/>
      <c r="AN266" s="26">
        <f t="shared" si="96"/>
        <v>0</v>
      </c>
      <c r="AO266" s="25">
        <f t="shared" si="97"/>
        <v>0</v>
      </c>
      <c r="AP266" s="24">
        <f t="shared" si="98"/>
        <v>0</v>
      </c>
      <c r="AQ266" s="23"/>
      <c r="AR266" s="22">
        <f t="shared" si="99"/>
        <v>0</v>
      </c>
      <c r="AS266" s="21"/>
      <c r="AT266" s="13"/>
      <c r="AU266" s="46">
        <f t="shared" si="100"/>
        <v>0</v>
      </c>
      <c r="AV266"/>
      <c r="AZ266"/>
      <c r="BA266"/>
      <c r="BB266"/>
      <c r="BC266" s="3"/>
      <c r="BD266" s="3"/>
      <c r="BE266" s="3"/>
      <c r="BF266" s="3"/>
      <c r="BG266" s="3"/>
      <c r="BH266" s="3"/>
      <c r="BI266" s="3"/>
      <c r="BJ266" s="3"/>
      <c r="BK266" s="3"/>
      <c r="BL266" s="20" t="str">
        <f t="shared" si="92"/>
        <v>►</v>
      </c>
      <c r="BM266"/>
      <c r="BN266"/>
      <c r="BO266"/>
      <c r="BP266"/>
      <c r="BQ266"/>
      <c r="BR266"/>
      <c r="BS266"/>
      <c r="BT266"/>
      <c r="BU266"/>
      <c r="BV266"/>
      <c r="BW266"/>
      <c r="BX266"/>
      <c r="BY266"/>
      <c r="BZ266"/>
      <c r="CA266"/>
      <c r="CB266"/>
      <c r="CC266"/>
      <c r="CD266"/>
      <c r="CE266"/>
      <c r="CF266"/>
      <c r="CG266"/>
      <c r="CH266"/>
      <c r="CI266"/>
      <c r="CJ266"/>
      <c r="CK266"/>
      <c r="CL266"/>
      <c r="CM266"/>
      <c r="CN266" s="56" t="s">
        <v>1</v>
      </c>
      <c r="CO266" s="5">
        <v>1</v>
      </c>
    </row>
    <row r="267" spans="1:93" s="1" customFormat="1" ht="21" customHeight="1">
      <c r="A267" s="20" t="str">
        <f t="shared" si="101"/>
        <v>►</v>
      </c>
      <c r="B267" s="43" t="str">
        <f t="shared" si="102"/>
        <v>►</v>
      </c>
      <c r="C267" s="45" t="str">
        <f t="shared" si="87"/>
        <v>►</v>
      </c>
      <c r="D267" s="44" t="str">
        <f t="shared" si="88"/>
        <v>►</v>
      </c>
      <c r="E267" s="43" t="str">
        <f t="shared" si="89"/>
        <v>►</v>
      </c>
      <c r="F267" s="43" t="str">
        <f t="shared" si="90"/>
        <v>►</v>
      </c>
      <c r="G267" s="43" t="str">
        <f t="shared" si="91"/>
        <v>►</v>
      </c>
      <c r="H267" s="1256" t="s">
        <v>1</v>
      </c>
      <c r="I267" s="5175" t="s">
        <v>1</v>
      </c>
      <c r="J267" s="5161"/>
      <c r="K267" s="5161"/>
      <c r="L267" s="5161"/>
      <c r="M267" s="5176"/>
      <c r="N267" s="5177"/>
      <c r="O267" s="147"/>
      <c r="P267" s="147"/>
      <c r="Q267" s="102"/>
      <c r="R267" s="102"/>
      <c r="S267" s="1360"/>
      <c r="T267" s="43"/>
      <c r="U267" s="42"/>
      <c r="V267" s="41"/>
      <c r="W267" s="40"/>
      <c r="X267" s="39"/>
      <c r="Y267" s="38"/>
      <c r="Z267" s="37"/>
      <c r="AA267" s="36"/>
      <c r="AB267" s="35"/>
      <c r="AC267" s="34"/>
      <c r="AD267" s="55"/>
      <c r="AE267" s="33"/>
      <c r="AF267"/>
      <c r="AG267" s="32"/>
      <c r="AH267" s="31"/>
      <c r="AI267" s="30"/>
      <c r="AJ267" s="5492">
        <f t="shared" si="93"/>
        <v>0</v>
      </c>
      <c r="AK267" s="54">
        <f t="shared" si="94"/>
        <v>0</v>
      </c>
      <c r="AL267" s="53" t="str">
        <f t="shared" si="95"/>
        <v/>
      </c>
      <c r="AM267" s="52"/>
      <c r="AN267" s="51">
        <f t="shared" si="96"/>
        <v>0</v>
      </c>
      <c r="AO267" s="50">
        <f t="shared" si="97"/>
        <v>0</v>
      </c>
      <c r="AP267" s="49">
        <f t="shared" si="98"/>
        <v>0</v>
      </c>
      <c r="AQ267" s="23"/>
      <c r="AR267" s="48">
        <f t="shared" si="99"/>
        <v>0</v>
      </c>
      <c r="AS267" s="47"/>
      <c r="AT267" s="13"/>
      <c r="AU267" s="46">
        <f t="shared" si="100"/>
        <v>0</v>
      </c>
      <c r="AV267"/>
      <c r="AZ267"/>
      <c r="BA267"/>
      <c r="BB267"/>
      <c r="BC267" s="3"/>
      <c r="BD267" s="3"/>
      <c r="BE267" s="3"/>
      <c r="BF267" s="3"/>
      <c r="BG267" s="3"/>
      <c r="BH267" s="3"/>
      <c r="BI267" s="3"/>
      <c r="BJ267" s="3"/>
      <c r="BK267" s="3"/>
      <c r="BL267" s="20" t="str">
        <f t="shared" si="92"/>
        <v>►</v>
      </c>
      <c r="BM267"/>
      <c r="BN267"/>
      <c r="BO267"/>
      <c r="BP267"/>
      <c r="BQ267"/>
      <c r="BR267"/>
      <c r="BS267"/>
      <c r="BT267"/>
      <c r="BU267"/>
      <c r="BV267"/>
      <c r="BW267"/>
      <c r="BX267"/>
      <c r="BY267"/>
      <c r="BZ267"/>
      <c r="CA267"/>
      <c r="CB267"/>
      <c r="CC267"/>
      <c r="CD267"/>
      <c r="CE267"/>
      <c r="CF267"/>
      <c r="CG267"/>
      <c r="CH267"/>
      <c r="CI267"/>
      <c r="CJ267"/>
      <c r="CK267"/>
      <c r="CL267"/>
      <c r="CM267"/>
      <c r="CN267" s="56" t="s">
        <v>1</v>
      </c>
      <c r="CO267" s="5">
        <v>1</v>
      </c>
    </row>
    <row r="268" spans="1:93" s="1" customFormat="1" ht="21" customHeight="1">
      <c r="A268" s="20" t="str">
        <f t="shared" si="101"/>
        <v>►</v>
      </c>
      <c r="B268" s="43" t="str">
        <f t="shared" si="102"/>
        <v>►</v>
      </c>
      <c r="C268" s="45" t="str">
        <f t="shared" si="87"/>
        <v>►</v>
      </c>
      <c r="D268" s="44" t="str">
        <f t="shared" si="88"/>
        <v>►</v>
      </c>
      <c r="E268" s="43" t="str">
        <f t="shared" si="89"/>
        <v>►</v>
      </c>
      <c r="F268" s="43" t="str">
        <f t="shared" si="90"/>
        <v>►</v>
      </c>
      <c r="G268" s="43" t="str">
        <f t="shared" si="91"/>
        <v>►</v>
      </c>
      <c r="H268" s="1256" t="s">
        <v>1</v>
      </c>
      <c r="I268" s="5175" t="s">
        <v>1</v>
      </c>
      <c r="J268" s="5161"/>
      <c r="K268" s="5161"/>
      <c r="L268" s="5161"/>
      <c r="M268" s="5176"/>
      <c r="N268" s="5177"/>
      <c r="O268" s="147"/>
      <c r="P268" s="147"/>
      <c r="Q268" s="102"/>
      <c r="R268" s="102"/>
      <c r="S268" s="1360"/>
      <c r="T268" s="43"/>
      <c r="U268" s="42"/>
      <c r="V268" s="41"/>
      <c r="W268" s="40"/>
      <c r="X268" s="39"/>
      <c r="Y268" s="38"/>
      <c r="Z268" s="37"/>
      <c r="AA268" s="36"/>
      <c r="AB268" s="35"/>
      <c r="AC268" s="34"/>
      <c r="AD268" s="55"/>
      <c r="AE268" s="33"/>
      <c r="AF268"/>
      <c r="AG268" s="32"/>
      <c r="AH268" s="31"/>
      <c r="AI268" s="30"/>
      <c r="AJ268" s="5492">
        <f t="shared" si="93"/>
        <v>0</v>
      </c>
      <c r="AK268" s="29">
        <f t="shared" si="94"/>
        <v>0</v>
      </c>
      <c r="AL268" s="28" t="str">
        <f t="shared" si="95"/>
        <v/>
      </c>
      <c r="AM268" s="27"/>
      <c r="AN268" s="26">
        <f t="shared" si="96"/>
        <v>0</v>
      </c>
      <c r="AO268" s="25">
        <f t="shared" si="97"/>
        <v>0</v>
      </c>
      <c r="AP268" s="24">
        <f t="shared" si="98"/>
        <v>0</v>
      </c>
      <c r="AQ268" s="23"/>
      <c r="AR268" s="22">
        <f t="shared" si="99"/>
        <v>0</v>
      </c>
      <c r="AS268" s="21"/>
      <c r="AT268" s="13"/>
      <c r="AU268" s="46">
        <f t="shared" si="100"/>
        <v>0</v>
      </c>
      <c r="AV268"/>
      <c r="AZ268"/>
      <c r="BA268"/>
      <c r="BB268"/>
      <c r="BC268" s="3"/>
      <c r="BD268" s="3"/>
      <c r="BE268" s="3"/>
      <c r="BF268" s="3"/>
      <c r="BG268" s="3"/>
      <c r="BH268" s="3"/>
      <c r="BI268" s="3"/>
      <c r="BJ268" s="3"/>
      <c r="BK268" s="3"/>
      <c r="BL268" s="20" t="str">
        <f t="shared" si="92"/>
        <v>►</v>
      </c>
      <c r="BM268"/>
      <c r="BN268"/>
      <c r="BO268"/>
      <c r="BP268"/>
      <c r="BQ268"/>
      <c r="BR268"/>
      <c r="BS268"/>
      <c r="BT268"/>
      <c r="BU268"/>
      <c r="BV268"/>
      <c r="BW268"/>
      <c r="BX268"/>
      <c r="BY268"/>
      <c r="BZ268"/>
      <c r="CA268"/>
      <c r="CB268"/>
      <c r="CC268"/>
      <c r="CD268"/>
      <c r="CE268"/>
      <c r="CF268"/>
      <c r="CG268"/>
      <c r="CH268"/>
      <c r="CI268"/>
      <c r="CJ268"/>
      <c r="CK268"/>
      <c r="CL268"/>
      <c r="CM268"/>
      <c r="CN268" s="56"/>
      <c r="CO268" s="5">
        <v>1</v>
      </c>
    </row>
    <row r="269" spans="1:93" s="1" customFormat="1" ht="21" customHeight="1">
      <c r="A269" s="20" t="str">
        <f t="shared" si="101"/>
        <v>►</v>
      </c>
      <c r="B269" s="43" t="str">
        <f t="shared" si="102"/>
        <v>►</v>
      </c>
      <c r="C269" s="45" t="str">
        <f t="shared" si="87"/>
        <v>►</v>
      </c>
      <c r="D269" s="44" t="str">
        <f t="shared" si="88"/>
        <v>►</v>
      </c>
      <c r="E269" s="43" t="str">
        <f t="shared" si="89"/>
        <v>►</v>
      </c>
      <c r="F269" s="43" t="str">
        <f t="shared" si="90"/>
        <v>►</v>
      </c>
      <c r="G269" s="43" t="str">
        <f t="shared" si="91"/>
        <v>►</v>
      </c>
      <c r="H269" s="1256" t="s">
        <v>1</v>
      </c>
      <c r="I269" s="5175" t="s">
        <v>1</v>
      </c>
      <c r="J269" s="5161"/>
      <c r="K269" s="5161"/>
      <c r="L269" s="5161"/>
      <c r="M269" s="5176"/>
      <c r="N269" s="5177"/>
      <c r="O269" s="147"/>
      <c r="P269" s="147"/>
      <c r="Q269" s="102"/>
      <c r="R269" s="102"/>
      <c r="S269" s="1360"/>
      <c r="T269" s="43"/>
      <c r="U269" s="42"/>
      <c r="V269" s="41"/>
      <c r="W269" s="40"/>
      <c r="X269" s="39"/>
      <c r="Y269" s="38"/>
      <c r="Z269" s="37"/>
      <c r="AA269" s="36"/>
      <c r="AB269" s="35"/>
      <c r="AC269" s="34"/>
      <c r="AD269" s="55"/>
      <c r="AE269" s="33"/>
      <c r="AF269"/>
      <c r="AG269" s="32"/>
      <c r="AH269" s="31"/>
      <c r="AI269" s="30"/>
      <c r="AJ269" s="5492">
        <f t="shared" si="93"/>
        <v>0</v>
      </c>
      <c r="AK269" s="54">
        <f t="shared" si="94"/>
        <v>0</v>
      </c>
      <c r="AL269" s="53" t="str">
        <f t="shared" si="95"/>
        <v/>
      </c>
      <c r="AM269" s="52"/>
      <c r="AN269" s="51">
        <f t="shared" si="96"/>
        <v>0</v>
      </c>
      <c r="AO269" s="50">
        <f t="shared" si="97"/>
        <v>0</v>
      </c>
      <c r="AP269" s="49">
        <f t="shared" si="98"/>
        <v>0</v>
      </c>
      <c r="AQ269" s="23"/>
      <c r="AR269" s="48">
        <f t="shared" si="99"/>
        <v>0</v>
      </c>
      <c r="AS269" s="47"/>
      <c r="AT269" s="13"/>
      <c r="AU269" s="46">
        <f t="shared" si="100"/>
        <v>0</v>
      </c>
      <c r="AV269"/>
      <c r="AZ269"/>
      <c r="BA269"/>
      <c r="BB269"/>
      <c r="BC269" s="3"/>
      <c r="BD269" s="3"/>
      <c r="BE269" s="3"/>
      <c r="BF269" s="3"/>
      <c r="BG269" s="3"/>
      <c r="BH269" s="3"/>
      <c r="BI269" s="3"/>
      <c r="BJ269" s="3"/>
      <c r="BK269" s="3"/>
      <c r="BL269" s="20" t="str">
        <f t="shared" si="92"/>
        <v>►</v>
      </c>
      <c r="BM269"/>
      <c r="BN269"/>
      <c r="BO269"/>
      <c r="BP269"/>
      <c r="BQ269"/>
      <c r="BR269"/>
      <c r="BS269"/>
      <c r="BT269"/>
      <c r="BU269"/>
      <c r="BV269"/>
      <c r="BW269"/>
      <c r="BX269"/>
      <c r="BY269"/>
      <c r="BZ269"/>
      <c r="CA269"/>
      <c r="CB269"/>
      <c r="CC269"/>
      <c r="CD269"/>
      <c r="CE269"/>
      <c r="CF269"/>
      <c r="CG269"/>
      <c r="CH269"/>
      <c r="CI269"/>
      <c r="CJ269"/>
      <c r="CK269"/>
      <c r="CL269"/>
      <c r="CM269"/>
      <c r="CN269" s="56" t="s">
        <v>1</v>
      </c>
      <c r="CO269" s="5">
        <v>1</v>
      </c>
    </row>
    <row r="270" spans="1:93" s="1" customFormat="1" ht="21" customHeight="1">
      <c r="A270" s="20" t="str">
        <f t="shared" si="101"/>
        <v>►</v>
      </c>
      <c r="B270" s="43" t="str">
        <f t="shared" si="102"/>
        <v>►</v>
      </c>
      <c r="C270" s="45" t="str">
        <f t="shared" ref="C270:C333" si="103">IF(B270="►","►",IFERROR(LEFT(B270,SEARCH(".",B270)-1),0))</f>
        <v>►</v>
      </c>
      <c r="D270" s="44" t="str">
        <f t="shared" ref="D270:D333" si="104">IF(B270="►","►",IFERROR(MID(B270,SEARCH(".",B270)+1,SEARCH(".",B270,SEARCH(".",B270)+1)-SEARCH(".",B270)-1),0))</f>
        <v>►</v>
      </c>
      <c r="E270" s="43" t="str">
        <f t="shared" ref="E270:E333" si="105">IF(B270="►","►",IFERROR(MID(B270,SEARCH(".",B270,SEARCH(".",B270)+1)+1,SEARCH(".",B270,SEARCH(".",B270,SEARCH(".",B270)+1)+1)-SEARCH(".",B270,SEARCH(".",B270)+1)-1),0))</f>
        <v>►</v>
      </c>
      <c r="F270" s="43" t="str">
        <f t="shared" ref="F270:F333" si="106">IF(B270="►","►",IFERROR(MID(J270,SEARCH(".",B270,SEARCH(".",B270,SEARCH(".",B270)+1)+1)+1,SEARCH(".",B270,SEARCH(".",B270,SEARCH(".",B270,SEARCH(".",B270)+1)+1)+1)-SEARCH(".",B270,SEARCH(".",B270,SEARCH(".",B270)+1)+1)-1),0))</f>
        <v>►</v>
      </c>
      <c r="G270" s="43" t="str">
        <f t="shared" si="91"/>
        <v>►</v>
      </c>
      <c r="H270" s="1256" t="s">
        <v>1</v>
      </c>
      <c r="I270" s="5175" t="s">
        <v>1</v>
      </c>
      <c r="J270" s="5161"/>
      <c r="K270" s="5161"/>
      <c r="L270" s="5161"/>
      <c r="M270" s="5176"/>
      <c r="N270" s="5177"/>
      <c r="O270" s="147"/>
      <c r="P270" s="147"/>
      <c r="Q270" s="102"/>
      <c r="R270" s="102"/>
      <c r="S270" s="1360"/>
      <c r="T270" s="43"/>
      <c r="U270" s="42"/>
      <c r="V270" s="41"/>
      <c r="W270" s="40"/>
      <c r="X270" s="39"/>
      <c r="Y270" s="38"/>
      <c r="Z270" s="37"/>
      <c r="AA270" s="36"/>
      <c r="AB270" s="35"/>
      <c r="AC270" s="34"/>
      <c r="AD270" s="55"/>
      <c r="AE270" s="33"/>
      <c r="AF270"/>
      <c r="AG270" s="32"/>
      <c r="AH270" s="31"/>
      <c r="AI270" s="30"/>
      <c r="AJ270" s="5492">
        <f t="shared" si="93"/>
        <v>0</v>
      </c>
      <c r="AK270" s="29">
        <f t="shared" si="94"/>
        <v>0</v>
      </c>
      <c r="AL270" s="28" t="str">
        <f t="shared" si="95"/>
        <v/>
      </c>
      <c r="AM270" s="27"/>
      <c r="AN270" s="26">
        <f t="shared" si="96"/>
        <v>0</v>
      </c>
      <c r="AO270" s="25">
        <f t="shared" si="97"/>
        <v>0</v>
      </c>
      <c r="AP270" s="24">
        <f t="shared" si="98"/>
        <v>0</v>
      </c>
      <c r="AQ270" s="23"/>
      <c r="AR270" s="22">
        <f t="shared" si="99"/>
        <v>0</v>
      </c>
      <c r="AS270" s="21"/>
      <c r="AT270" s="13"/>
      <c r="AU270" s="46">
        <f t="shared" si="100"/>
        <v>0</v>
      </c>
      <c r="AV270"/>
      <c r="AZ270"/>
      <c r="BA270"/>
      <c r="BB270"/>
      <c r="BC270" s="3"/>
      <c r="BD270" s="3"/>
      <c r="BE270" s="3"/>
      <c r="BF270" s="3"/>
      <c r="BG270" s="3"/>
      <c r="BH270" s="3"/>
      <c r="BI270" s="3"/>
      <c r="BJ270" s="3"/>
      <c r="BK270" s="3"/>
      <c r="BL270" s="20" t="str">
        <f t="shared" si="92"/>
        <v>►</v>
      </c>
      <c r="BM270"/>
      <c r="BN270"/>
      <c r="BO270"/>
      <c r="BP270"/>
      <c r="BQ270"/>
      <c r="BR270"/>
      <c r="BS270"/>
      <c r="BT270"/>
      <c r="BU270"/>
      <c r="BV270"/>
      <c r="BW270"/>
      <c r="BX270"/>
      <c r="BY270"/>
      <c r="BZ270"/>
      <c r="CA270"/>
      <c r="CB270"/>
      <c r="CC270"/>
      <c r="CD270"/>
      <c r="CE270"/>
      <c r="CF270"/>
      <c r="CG270"/>
      <c r="CH270"/>
      <c r="CI270"/>
      <c r="CJ270"/>
      <c r="CK270"/>
      <c r="CL270"/>
      <c r="CM270"/>
      <c r="CN270" s="56" t="s">
        <v>1</v>
      </c>
      <c r="CO270" s="5">
        <v>1</v>
      </c>
    </row>
    <row r="271" spans="1:93" s="1" customFormat="1" ht="21" customHeight="1">
      <c r="A271" s="20" t="str">
        <f t="shared" si="101"/>
        <v>►</v>
      </c>
      <c r="B271" s="43" t="str">
        <f t="shared" si="102"/>
        <v>►</v>
      </c>
      <c r="C271" s="45" t="str">
        <f t="shared" si="103"/>
        <v>►</v>
      </c>
      <c r="D271" s="44" t="str">
        <f t="shared" si="104"/>
        <v>►</v>
      </c>
      <c r="E271" s="43" t="str">
        <f t="shared" si="105"/>
        <v>►</v>
      </c>
      <c r="F271" s="43" t="str">
        <f t="shared" si="106"/>
        <v>►</v>
      </c>
      <c r="G271" s="43" t="str">
        <f t="shared" si="91"/>
        <v>►</v>
      </c>
      <c r="H271" s="1256" t="s">
        <v>1</v>
      </c>
      <c r="I271" s="5175" t="s">
        <v>1</v>
      </c>
      <c r="J271" s="5161"/>
      <c r="K271" s="5161"/>
      <c r="L271" s="5161"/>
      <c r="M271" s="5176"/>
      <c r="N271" s="5177"/>
      <c r="O271" s="147"/>
      <c r="P271" s="147"/>
      <c r="Q271" s="102"/>
      <c r="R271" s="102"/>
      <c r="S271" s="1360"/>
      <c r="T271" s="43"/>
      <c r="U271" s="42"/>
      <c r="V271" s="41"/>
      <c r="W271" s="40"/>
      <c r="X271" s="39"/>
      <c r="Y271" s="38"/>
      <c r="Z271" s="37"/>
      <c r="AA271" s="36"/>
      <c r="AB271" s="35"/>
      <c r="AC271" s="34"/>
      <c r="AD271" s="55"/>
      <c r="AE271" s="33"/>
      <c r="AF271"/>
      <c r="AG271" s="32"/>
      <c r="AH271" s="31"/>
      <c r="AI271" s="30"/>
      <c r="AJ271" s="5492">
        <f t="shared" si="93"/>
        <v>0</v>
      </c>
      <c r="AK271" s="54">
        <f t="shared" si="94"/>
        <v>0</v>
      </c>
      <c r="AL271" s="53" t="str">
        <f t="shared" si="95"/>
        <v/>
      </c>
      <c r="AM271" s="52"/>
      <c r="AN271" s="51">
        <f t="shared" si="96"/>
        <v>0</v>
      </c>
      <c r="AO271" s="50">
        <f t="shared" si="97"/>
        <v>0</v>
      </c>
      <c r="AP271" s="49">
        <f t="shared" si="98"/>
        <v>0</v>
      </c>
      <c r="AQ271" s="23"/>
      <c r="AR271" s="48">
        <f t="shared" si="99"/>
        <v>0</v>
      </c>
      <c r="AS271" s="47"/>
      <c r="AT271" s="13"/>
      <c r="AU271" s="46">
        <f t="shared" si="100"/>
        <v>0</v>
      </c>
      <c r="AV271"/>
      <c r="AZ271"/>
      <c r="BA271"/>
      <c r="BB271"/>
      <c r="BC271" s="3"/>
      <c r="BD271" s="3"/>
      <c r="BE271" s="3"/>
      <c r="BF271" s="3"/>
      <c r="BG271" s="3"/>
      <c r="BH271" s="3"/>
      <c r="BI271" s="3"/>
      <c r="BJ271" s="3"/>
      <c r="BK271" s="3"/>
      <c r="BL271" s="20" t="str">
        <f t="shared" si="92"/>
        <v>►</v>
      </c>
      <c r="BM271"/>
      <c r="BN271"/>
      <c r="BO271"/>
      <c r="BP271"/>
      <c r="BQ271"/>
      <c r="BR271"/>
      <c r="BS271"/>
      <c r="BT271"/>
      <c r="BU271"/>
      <c r="BV271"/>
      <c r="BW271"/>
      <c r="BX271"/>
      <c r="BY271"/>
      <c r="BZ271"/>
      <c r="CA271"/>
      <c r="CB271"/>
      <c r="CC271"/>
      <c r="CD271"/>
      <c r="CE271"/>
      <c r="CF271"/>
      <c r="CG271"/>
      <c r="CH271"/>
      <c r="CI271"/>
      <c r="CJ271"/>
      <c r="CK271"/>
      <c r="CL271"/>
      <c r="CM271"/>
      <c r="CN271" s="56" t="s">
        <v>1</v>
      </c>
      <c r="CO271" s="5">
        <v>1</v>
      </c>
    </row>
    <row r="272" spans="1:93" s="1" customFormat="1" ht="21" customHeight="1">
      <c r="A272" s="20" t="str">
        <f t="shared" si="101"/>
        <v>►</v>
      </c>
      <c r="B272" s="43" t="str">
        <f t="shared" si="102"/>
        <v>►</v>
      </c>
      <c r="C272" s="45" t="str">
        <f t="shared" si="103"/>
        <v>►</v>
      </c>
      <c r="D272" s="44" t="str">
        <f t="shared" si="104"/>
        <v>►</v>
      </c>
      <c r="E272" s="43" t="str">
        <f t="shared" si="105"/>
        <v>►</v>
      </c>
      <c r="F272" s="43" t="str">
        <f t="shared" si="106"/>
        <v>►</v>
      </c>
      <c r="G272" s="43" t="str">
        <f t="shared" ref="G272:G335" si="107">IF(B272="►","►",IF(ISBLANK(B272),"►",IFERROR(RIGHT(B272,LEN(B272)-FIND("►",B272)-1),"")))</f>
        <v>►</v>
      </c>
      <c r="H272" s="1256" t="s">
        <v>1</v>
      </c>
      <c r="I272" s="5175" t="s">
        <v>1</v>
      </c>
      <c r="J272" s="5161"/>
      <c r="K272" s="5161"/>
      <c r="L272" s="5161"/>
      <c r="M272" s="5176"/>
      <c r="N272" s="5177"/>
      <c r="O272" s="147"/>
      <c r="P272" s="147"/>
      <c r="Q272" s="102"/>
      <c r="R272" s="102"/>
      <c r="S272" s="1360"/>
      <c r="T272" s="43"/>
      <c r="U272" s="42"/>
      <c r="V272" s="41"/>
      <c r="W272" s="40"/>
      <c r="X272" s="39"/>
      <c r="Y272" s="38"/>
      <c r="Z272" s="37"/>
      <c r="AA272" s="36"/>
      <c r="AB272" s="35"/>
      <c r="AC272" s="34"/>
      <c r="AD272" s="55"/>
      <c r="AE272" s="33"/>
      <c r="AF272"/>
      <c r="AG272" s="32"/>
      <c r="AH272" s="31"/>
      <c r="AI272" s="30"/>
      <c r="AJ272" s="5492">
        <f t="shared" si="93"/>
        <v>0</v>
      </c>
      <c r="AK272" s="29">
        <f t="shared" si="94"/>
        <v>0</v>
      </c>
      <c r="AL272" s="28" t="str">
        <f t="shared" si="95"/>
        <v/>
      </c>
      <c r="AM272" s="27"/>
      <c r="AN272" s="26">
        <f t="shared" si="96"/>
        <v>0</v>
      </c>
      <c r="AO272" s="25">
        <f t="shared" si="97"/>
        <v>0</v>
      </c>
      <c r="AP272" s="24">
        <f t="shared" si="98"/>
        <v>0</v>
      </c>
      <c r="AQ272" s="23"/>
      <c r="AR272" s="22">
        <f t="shared" si="99"/>
        <v>0</v>
      </c>
      <c r="AS272" s="21"/>
      <c r="AT272" s="13"/>
      <c r="AU272" s="46">
        <f t="shared" si="100"/>
        <v>0</v>
      </c>
      <c r="AV272"/>
      <c r="AZ272"/>
      <c r="BA272"/>
      <c r="BB272"/>
      <c r="BC272" s="3"/>
      <c r="BD272" s="3"/>
      <c r="BE272" s="3"/>
      <c r="BF272" s="3"/>
      <c r="BG272" s="3"/>
      <c r="BH272" s="3"/>
      <c r="BI272" s="3"/>
      <c r="BJ272" s="3"/>
      <c r="BK272" s="3"/>
      <c r="BL272" s="20" t="str">
        <f t="shared" si="92"/>
        <v>►</v>
      </c>
      <c r="BM272"/>
      <c r="BN272"/>
      <c r="BO272"/>
      <c r="BP272"/>
      <c r="BQ272"/>
      <c r="BR272"/>
      <c r="BS272"/>
      <c r="BT272"/>
      <c r="BU272"/>
      <c r="BV272"/>
      <c r="BW272"/>
      <c r="BX272"/>
      <c r="BY272"/>
      <c r="BZ272"/>
      <c r="CA272"/>
      <c r="CB272"/>
      <c r="CC272"/>
      <c r="CD272"/>
      <c r="CE272"/>
      <c r="CF272"/>
      <c r="CG272"/>
      <c r="CH272"/>
      <c r="CI272"/>
      <c r="CJ272"/>
      <c r="CK272"/>
      <c r="CL272"/>
      <c r="CM272"/>
      <c r="CN272" s="56" t="s">
        <v>1</v>
      </c>
      <c r="CO272" s="5">
        <v>1</v>
      </c>
    </row>
    <row r="273" spans="1:93" s="1" customFormat="1" ht="21" customHeight="1">
      <c r="A273" s="20" t="str">
        <f t="shared" si="101"/>
        <v>►</v>
      </c>
      <c r="B273" s="43" t="str">
        <f t="shared" si="102"/>
        <v>►</v>
      </c>
      <c r="C273" s="45" t="str">
        <f t="shared" si="103"/>
        <v>►</v>
      </c>
      <c r="D273" s="44" t="str">
        <f t="shared" si="104"/>
        <v>►</v>
      </c>
      <c r="E273" s="43" t="str">
        <f t="shared" si="105"/>
        <v>►</v>
      </c>
      <c r="F273" s="43" t="str">
        <f t="shared" si="106"/>
        <v>►</v>
      </c>
      <c r="G273" s="43" t="str">
        <f t="shared" si="107"/>
        <v>►</v>
      </c>
      <c r="H273" s="1256" t="s">
        <v>1</v>
      </c>
      <c r="I273" s="5175" t="s">
        <v>1</v>
      </c>
      <c r="J273" s="5161"/>
      <c r="K273" s="5161"/>
      <c r="L273" s="5161"/>
      <c r="M273" s="5176"/>
      <c r="N273" s="5177"/>
      <c r="O273" s="147"/>
      <c r="P273" s="147"/>
      <c r="Q273" s="102"/>
      <c r="R273" s="102"/>
      <c r="S273" s="1360"/>
      <c r="T273" s="43"/>
      <c r="U273" s="42"/>
      <c r="V273" s="41"/>
      <c r="W273" s="40"/>
      <c r="X273" s="39"/>
      <c r="Y273" s="38"/>
      <c r="Z273" s="37"/>
      <c r="AA273" s="36"/>
      <c r="AB273" s="35"/>
      <c r="AC273" s="34"/>
      <c r="AD273" s="55"/>
      <c r="AE273" s="33"/>
      <c r="AF273"/>
      <c r="AG273" s="32"/>
      <c r="AH273" s="31"/>
      <c r="AI273" s="30"/>
      <c r="AJ273" s="5492">
        <f t="shared" si="93"/>
        <v>0</v>
      </c>
      <c r="AK273" s="54">
        <f t="shared" si="94"/>
        <v>0</v>
      </c>
      <c r="AL273" s="53" t="str">
        <f t="shared" si="95"/>
        <v/>
      </c>
      <c r="AM273" s="52"/>
      <c r="AN273" s="51">
        <f t="shared" si="96"/>
        <v>0</v>
      </c>
      <c r="AO273" s="50">
        <f t="shared" si="97"/>
        <v>0</v>
      </c>
      <c r="AP273" s="49">
        <f t="shared" si="98"/>
        <v>0</v>
      </c>
      <c r="AQ273" s="23"/>
      <c r="AR273" s="48">
        <f t="shared" si="99"/>
        <v>0</v>
      </c>
      <c r="AS273" s="47"/>
      <c r="AT273" s="13"/>
      <c r="AU273" s="46">
        <f t="shared" si="100"/>
        <v>0</v>
      </c>
      <c r="AV273"/>
      <c r="AZ273"/>
      <c r="BA273"/>
      <c r="BB273"/>
      <c r="BC273" s="3"/>
      <c r="BD273" s="3"/>
      <c r="BE273" s="3"/>
      <c r="BF273" s="3"/>
      <c r="BG273" s="3"/>
      <c r="BH273" s="3"/>
      <c r="BI273" s="3"/>
      <c r="BJ273" s="3"/>
      <c r="BK273" s="3"/>
      <c r="BL273" s="20" t="str">
        <f t="shared" si="92"/>
        <v>►</v>
      </c>
      <c r="BM273"/>
      <c r="BN273"/>
      <c r="BO273"/>
      <c r="BP273"/>
      <c r="BQ273"/>
      <c r="BR273"/>
      <c r="BS273"/>
      <c r="BT273"/>
      <c r="BU273"/>
      <c r="BV273"/>
      <c r="BW273"/>
      <c r="BX273"/>
      <c r="BY273"/>
      <c r="BZ273"/>
      <c r="CA273"/>
      <c r="CB273"/>
      <c r="CC273"/>
      <c r="CD273"/>
      <c r="CE273"/>
      <c r="CF273"/>
      <c r="CG273"/>
      <c r="CH273"/>
      <c r="CI273"/>
      <c r="CJ273"/>
      <c r="CK273"/>
      <c r="CL273"/>
      <c r="CM273"/>
      <c r="CN273" s="56" t="s">
        <v>1</v>
      </c>
      <c r="CO273" s="5">
        <v>1</v>
      </c>
    </row>
    <row r="274" spans="1:93" s="1" customFormat="1" ht="21" customHeight="1">
      <c r="A274" s="20" t="str">
        <f t="shared" si="101"/>
        <v>►</v>
      </c>
      <c r="B274" s="43" t="str">
        <f t="shared" si="102"/>
        <v>►</v>
      </c>
      <c r="C274" s="45" t="str">
        <f t="shared" si="103"/>
        <v>►</v>
      </c>
      <c r="D274" s="44" t="str">
        <f t="shared" si="104"/>
        <v>►</v>
      </c>
      <c r="E274" s="43" t="str">
        <f t="shared" si="105"/>
        <v>►</v>
      </c>
      <c r="F274" s="43" t="str">
        <f t="shared" si="106"/>
        <v>►</v>
      </c>
      <c r="G274" s="43" t="str">
        <f t="shared" si="107"/>
        <v>►</v>
      </c>
      <c r="H274" s="1256" t="s">
        <v>1</v>
      </c>
      <c r="I274" s="5175" t="s">
        <v>1</v>
      </c>
      <c r="J274" s="5161"/>
      <c r="K274" s="5161"/>
      <c r="L274" s="5161"/>
      <c r="M274" s="5176"/>
      <c r="N274" s="5177"/>
      <c r="O274" s="147"/>
      <c r="P274" s="147"/>
      <c r="Q274" s="102"/>
      <c r="R274" s="102"/>
      <c r="S274" s="1360"/>
      <c r="T274" s="43"/>
      <c r="U274" s="42"/>
      <c r="V274" s="41"/>
      <c r="W274" s="40"/>
      <c r="X274" s="39"/>
      <c r="Y274" s="38"/>
      <c r="Z274" s="37"/>
      <c r="AA274" s="36"/>
      <c r="AB274" s="35"/>
      <c r="AC274" s="34"/>
      <c r="AD274" s="55"/>
      <c r="AE274" s="33"/>
      <c r="AF274"/>
      <c r="AG274" s="32"/>
      <c r="AH274" s="31"/>
      <c r="AI274" s="30"/>
      <c r="AJ274" s="5492">
        <f t="shared" si="93"/>
        <v>0</v>
      </c>
      <c r="AK274" s="29">
        <f t="shared" si="94"/>
        <v>0</v>
      </c>
      <c r="AL274" s="28" t="str">
        <f t="shared" si="95"/>
        <v/>
      </c>
      <c r="AM274" s="27"/>
      <c r="AN274" s="26">
        <f t="shared" si="96"/>
        <v>0</v>
      </c>
      <c r="AO274" s="25">
        <f t="shared" si="97"/>
        <v>0</v>
      </c>
      <c r="AP274" s="24">
        <f t="shared" si="98"/>
        <v>0</v>
      </c>
      <c r="AQ274" s="23"/>
      <c r="AR274" s="22">
        <f t="shared" si="99"/>
        <v>0</v>
      </c>
      <c r="AS274" s="21"/>
      <c r="AT274" s="13"/>
      <c r="AU274" s="46">
        <f t="shared" si="100"/>
        <v>0</v>
      </c>
      <c r="AV274"/>
      <c r="AZ274"/>
      <c r="BA274"/>
      <c r="BB274"/>
      <c r="BC274" s="3"/>
      <c r="BD274" s="3"/>
      <c r="BE274" s="3"/>
      <c r="BF274" s="3"/>
      <c r="BG274" s="3"/>
      <c r="BH274" s="3"/>
      <c r="BI274" s="3"/>
      <c r="BJ274" s="3"/>
      <c r="BK274" s="3"/>
      <c r="BL274" s="20" t="str">
        <f t="shared" ref="BL274:BL337" si="108">A274</f>
        <v>►</v>
      </c>
      <c r="BM274"/>
      <c r="BN274"/>
      <c r="BO274"/>
      <c r="BP274"/>
      <c r="BQ274"/>
      <c r="BR274"/>
      <c r="BS274"/>
      <c r="BT274"/>
      <c r="BU274"/>
      <c r="BV274"/>
      <c r="BW274"/>
      <c r="BX274"/>
      <c r="BY274"/>
      <c r="BZ274"/>
      <c r="CA274"/>
      <c r="CB274"/>
      <c r="CC274"/>
      <c r="CD274"/>
      <c r="CE274"/>
      <c r="CF274"/>
      <c r="CG274"/>
      <c r="CH274"/>
      <c r="CI274"/>
      <c r="CJ274"/>
      <c r="CK274"/>
      <c r="CL274"/>
      <c r="CM274"/>
      <c r="CN274" s="56" t="s">
        <v>1</v>
      </c>
      <c r="CO274" s="5">
        <v>1</v>
      </c>
    </row>
    <row r="275" spans="1:93" s="1" customFormat="1" ht="21" customHeight="1">
      <c r="A275" s="20" t="str">
        <f t="shared" si="101"/>
        <v>►</v>
      </c>
      <c r="B275" s="43" t="str">
        <f t="shared" si="102"/>
        <v>►</v>
      </c>
      <c r="C275" s="45" t="str">
        <f t="shared" si="103"/>
        <v>►</v>
      </c>
      <c r="D275" s="44" t="str">
        <f t="shared" si="104"/>
        <v>►</v>
      </c>
      <c r="E275" s="43" t="str">
        <f t="shared" si="105"/>
        <v>►</v>
      </c>
      <c r="F275" s="43" t="str">
        <f t="shared" si="106"/>
        <v>►</v>
      </c>
      <c r="G275" s="43" t="str">
        <f t="shared" si="107"/>
        <v>►</v>
      </c>
      <c r="H275" s="1256" t="s">
        <v>1</v>
      </c>
      <c r="I275" s="5175" t="s">
        <v>1</v>
      </c>
      <c r="J275" s="5161"/>
      <c r="K275" s="5161"/>
      <c r="L275" s="5161"/>
      <c r="M275" s="5176"/>
      <c r="N275" s="5177"/>
      <c r="O275" s="147"/>
      <c r="P275" s="147"/>
      <c r="Q275" s="102"/>
      <c r="R275" s="102"/>
      <c r="S275" s="1360"/>
      <c r="T275" s="43"/>
      <c r="U275" s="42"/>
      <c r="V275" s="41"/>
      <c r="W275" s="40"/>
      <c r="X275" s="39"/>
      <c r="Y275" s="38"/>
      <c r="Z275" s="37"/>
      <c r="AA275" s="36"/>
      <c r="AB275" s="35"/>
      <c r="AC275" s="34"/>
      <c r="AD275" s="55"/>
      <c r="AE275" s="33"/>
      <c r="AF275"/>
      <c r="AG275" s="32"/>
      <c r="AH275" s="31"/>
      <c r="AI275" s="30"/>
      <c r="AJ275" s="5492">
        <f t="shared" si="93"/>
        <v>0</v>
      </c>
      <c r="AK275" s="54">
        <f t="shared" si="94"/>
        <v>0</v>
      </c>
      <c r="AL275" s="53" t="str">
        <f t="shared" si="95"/>
        <v/>
      </c>
      <c r="AM275" s="52"/>
      <c r="AN275" s="51">
        <f t="shared" si="96"/>
        <v>0</v>
      </c>
      <c r="AO275" s="50">
        <f t="shared" si="97"/>
        <v>0</v>
      </c>
      <c r="AP275" s="49">
        <f t="shared" si="98"/>
        <v>0</v>
      </c>
      <c r="AQ275" s="23"/>
      <c r="AR275" s="48">
        <f t="shared" si="99"/>
        <v>0</v>
      </c>
      <c r="AS275" s="47"/>
      <c r="AT275" s="13"/>
      <c r="AU275" s="46">
        <f t="shared" si="100"/>
        <v>0</v>
      </c>
      <c r="AV275"/>
      <c r="AZ275"/>
      <c r="BA275"/>
      <c r="BB275"/>
      <c r="BC275" s="3"/>
      <c r="BD275" s="3"/>
      <c r="BE275" s="3"/>
      <c r="BF275" s="3"/>
      <c r="BG275" s="3"/>
      <c r="BH275" s="3"/>
      <c r="BI275" s="3"/>
      <c r="BJ275" s="3"/>
      <c r="BK275" s="3"/>
      <c r="BL275" s="20" t="str">
        <f t="shared" si="108"/>
        <v>►</v>
      </c>
      <c r="BM275"/>
      <c r="BN275"/>
      <c r="BO275"/>
      <c r="BP275"/>
      <c r="BQ275"/>
      <c r="BR275"/>
      <c r="BS275"/>
      <c r="BT275"/>
      <c r="BU275"/>
      <c r="BV275"/>
      <c r="BW275"/>
      <c r="BX275"/>
      <c r="BY275"/>
      <c r="BZ275"/>
      <c r="CA275"/>
      <c r="CB275"/>
      <c r="CC275"/>
      <c r="CD275"/>
      <c r="CE275"/>
      <c r="CF275"/>
      <c r="CG275"/>
      <c r="CH275"/>
      <c r="CI275"/>
      <c r="CJ275"/>
      <c r="CK275"/>
      <c r="CL275"/>
      <c r="CM275"/>
      <c r="CN275" s="56" t="s">
        <v>1</v>
      </c>
      <c r="CO275" s="5">
        <v>1</v>
      </c>
    </row>
    <row r="276" spans="1:93" s="1" customFormat="1" ht="21" customHeight="1">
      <c r="A276" s="20" t="str">
        <f t="shared" si="101"/>
        <v>►</v>
      </c>
      <c r="B276" s="43" t="str">
        <f t="shared" si="102"/>
        <v>►</v>
      </c>
      <c r="C276" s="45" t="str">
        <f t="shared" si="103"/>
        <v>►</v>
      </c>
      <c r="D276" s="44" t="str">
        <f t="shared" si="104"/>
        <v>►</v>
      </c>
      <c r="E276" s="43" t="str">
        <f t="shared" si="105"/>
        <v>►</v>
      </c>
      <c r="F276" s="43" t="str">
        <f t="shared" si="106"/>
        <v>►</v>
      </c>
      <c r="G276" s="43" t="str">
        <f t="shared" si="107"/>
        <v>►</v>
      </c>
      <c r="H276" s="1256" t="s">
        <v>1</v>
      </c>
      <c r="I276" s="5175" t="s">
        <v>1</v>
      </c>
      <c r="J276" s="5161"/>
      <c r="K276" s="5161"/>
      <c r="L276" s="5161"/>
      <c r="M276" s="5176"/>
      <c r="N276" s="5177"/>
      <c r="O276" s="147"/>
      <c r="P276" s="147"/>
      <c r="Q276" s="102"/>
      <c r="R276" s="102"/>
      <c r="S276" s="1360"/>
      <c r="T276" s="43"/>
      <c r="U276" s="42"/>
      <c r="V276" s="41"/>
      <c r="W276" s="40"/>
      <c r="X276" s="39"/>
      <c r="Y276" s="38"/>
      <c r="Z276" s="37"/>
      <c r="AA276" s="36"/>
      <c r="AB276" s="35"/>
      <c r="AC276" s="34"/>
      <c r="AD276" s="55"/>
      <c r="AE276" s="33"/>
      <c r="AF276"/>
      <c r="AG276" s="32"/>
      <c r="AH276" s="31"/>
      <c r="AI276" s="30"/>
      <c r="AJ276" s="5492">
        <f t="shared" si="93"/>
        <v>0</v>
      </c>
      <c r="AK276" s="29">
        <f t="shared" si="94"/>
        <v>0</v>
      </c>
      <c r="AL276" s="28" t="str">
        <f t="shared" si="95"/>
        <v/>
      </c>
      <c r="AM276" s="27"/>
      <c r="AN276" s="26">
        <f t="shared" si="96"/>
        <v>0</v>
      </c>
      <c r="AO276" s="25">
        <f t="shared" si="97"/>
        <v>0</v>
      </c>
      <c r="AP276" s="24">
        <f t="shared" si="98"/>
        <v>0</v>
      </c>
      <c r="AQ276" s="23"/>
      <c r="AR276" s="22">
        <f t="shared" si="99"/>
        <v>0</v>
      </c>
      <c r="AS276" s="21"/>
      <c r="AT276" s="13"/>
      <c r="AU276" s="46">
        <f t="shared" si="100"/>
        <v>0</v>
      </c>
      <c r="AV276"/>
      <c r="AZ276"/>
      <c r="BA276"/>
      <c r="BB276"/>
      <c r="BC276" s="3"/>
      <c r="BD276" s="3"/>
      <c r="BE276" s="3"/>
      <c r="BF276" s="3"/>
      <c r="BG276" s="3"/>
      <c r="BH276" s="3"/>
      <c r="BI276" s="3"/>
      <c r="BJ276" s="3"/>
      <c r="BK276" s="3"/>
      <c r="BL276" s="20" t="str">
        <f t="shared" si="108"/>
        <v>►</v>
      </c>
      <c r="BM276"/>
      <c r="BN276"/>
      <c r="BO276"/>
      <c r="BP276"/>
      <c r="BQ276"/>
      <c r="BR276"/>
      <c r="BS276"/>
      <c r="BT276"/>
      <c r="BU276"/>
      <c r="BV276"/>
      <c r="BW276"/>
      <c r="BX276"/>
      <c r="BY276"/>
      <c r="BZ276"/>
      <c r="CA276"/>
      <c r="CB276"/>
      <c r="CC276"/>
      <c r="CD276"/>
      <c r="CE276"/>
      <c r="CF276"/>
      <c r="CG276"/>
      <c r="CH276"/>
      <c r="CI276"/>
      <c r="CJ276"/>
      <c r="CK276"/>
      <c r="CL276"/>
      <c r="CM276"/>
      <c r="CN276" s="56" t="s">
        <v>1</v>
      </c>
      <c r="CO276" s="5">
        <v>1</v>
      </c>
    </row>
    <row r="277" spans="1:93" s="1" customFormat="1" ht="21" customHeight="1">
      <c r="A277" s="20" t="str">
        <f t="shared" si="101"/>
        <v>►</v>
      </c>
      <c r="B277" s="43" t="str">
        <f t="shared" si="102"/>
        <v>►</v>
      </c>
      <c r="C277" s="45" t="str">
        <f t="shared" si="103"/>
        <v>►</v>
      </c>
      <c r="D277" s="44" t="str">
        <f t="shared" si="104"/>
        <v>►</v>
      </c>
      <c r="E277" s="43" t="str">
        <f t="shared" si="105"/>
        <v>►</v>
      </c>
      <c r="F277" s="43" t="str">
        <f t="shared" si="106"/>
        <v>►</v>
      </c>
      <c r="G277" s="43" t="str">
        <f t="shared" si="107"/>
        <v>►</v>
      </c>
      <c r="H277" s="1256" t="s">
        <v>1</v>
      </c>
      <c r="I277" s="5175" t="s">
        <v>1</v>
      </c>
      <c r="J277" s="5161"/>
      <c r="K277" s="5161"/>
      <c r="L277" s="5161"/>
      <c r="M277" s="5176"/>
      <c r="N277" s="5177"/>
      <c r="O277" s="147"/>
      <c r="P277" s="147"/>
      <c r="Q277" s="102"/>
      <c r="R277" s="102"/>
      <c r="S277" s="1360"/>
      <c r="T277" s="43"/>
      <c r="U277" s="42"/>
      <c r="V277" s="41"/>
      <c r="W277" s="40"/>
      <c r="X277" s="39"/>
      <c r="Y277" s="38"/>
      <c r="Z277" s="37"/>
      <c r="AA277" s="36"/>
      <c r="AB277" s="35"/>
      <c r="AC277" s="34"/>
      <c r="AD277" s="55"/>
      <c r="AE277" s="33"/>
      <c r="AF277"/>
      <c r="AG277" s="32"/>
      <c r="AH277" s="31"/>
      <c r="AI277" s="30"/>
      <c r="AJ277" s="5492">
        <f t="shared" si="93"/>
        <v>0</v>
      </c>
      <c r="AK277" s="54">
        <f t="shared" si="94"/>
        <v>0</v>
      </c>
      <c r="AL277" s="53" t="str">
        <f t="shared" si="95"/>
        <v/>
      </c>
      <c r="AM277" s="52"/>
      <c r="AN277" s="51">
        <f t="shared" si="96"/>
        <v>0</v>
      </c>
      <c r="AO277" s="50">
        <f t="shared" si="97"/>
        <v>0</v>
      </c>
      <c r="AP277" s="49">
        <f t="shared" si="98"/>
        <v>0</v>
      </c>
      <c r="AQ277" s="23"/>
      <c r="AR277" s="48">
        <f t="shared" si="99"/>
        <v>0</v>
      </c>
      <c r="AS277" s="47"/>
      <c r="AT277" s="13"/>
      <c r="AU277" s="46">
        <f t="shared" si="100"/>
        <v>0</v>
      </c>
      <c r="AV277"/>
      <c r="AZ277"/>
      <c r="BA277"/>
      <c r="BB277"/>
      <c r="BC277" s="3"/>
      <c r="BD277" s="3"/>
      <c r="BE277" s="3"/>
      <c r="BF277" s="3"/>
      <c r="BG277" s="3"/>
      <c r="BH277" s="3"/>
      <c r="BI277" s="3"/>
      <c r="BJ277" s="3"/>
      <c r="BK277" s="3"/>
      <c r="BL277" s="20" t="str">
        <f t="shared" si="108"/>
        <v>►</v>
      </c>
      <c r="BM277"/>
      <c r="BN277"/>
      <c r="BO277"/>
      <c r="BP277"/>
      <c r="BQ277"/>
      <c r="BR277"/>
      <c r="BS277"/>
      <c r="BT277"/>
      <c r="BU277"/>
      <c r="BV277"/>
      <c r="BW277"/>
      <c r="BX277"/>
      <c r="BY277"/>
      <c r="BZ277"/>
      <c r="CA277"/>
      <c r="CB277"/>
      <c r="CC277"/>
      <c r="CD277"/>
      <c r="CE277"/>
      <c r="CF277"/>
      <c r="CG277"/>
      <c r="CH277"/>
      <c r="CI277"/>
      <c r="CJ277"/>
      <c r="CK277"/>
      <c r="CL277"/>
      <c r="CM277"/>
      <c r="CN277" s="56" t="s">
        <v>1</v>
      </c>
      <c r="CO277" s="5">
        <v>1</v>
      </c>
    </row>
    <row r="278" spans="1:93" s="1" customFormat="1" ht="21" customHeight="1">
      <c r="A278" s="20" t="str">
        <f t="shared" si="101"/>
        <v>►</v>
      </c>
      <c r="B278" s="43" t="str">
        <f t="shared" si="102"/>
        <v>►</v>
      </c>
      <c r="C278" s="45" t="str">
        <f t="shared" si="103"/>
        <v>►</v>
      </c>
      <c r="D278" s="44" t="str">
        <f t="shared" si="104"/>
        <v>►</v>
      </c>
      <c r="E278" s="43" t="str">
        <f t="shared" si="105"/>
        <v>►</v>
      </c>
      <c r="F278" s="43" t="str">
        <f t="shared" si="106"/>
        <v>►</v>
      </c>
      <c r="G278" s="43" t="str">
        <f t="shared" si="107"/>
        <v>►</v>
      </c>
      <c r="H278" s="1256" t="s">
        <v>1</v>
      </c>
      <c r="I278" s="5175" t="s">
        <v>1</v>
      </c>
      <c r="J278" s="5161"/>
      <c r="K278" s="5161"/>
      <c r="L278" s="5161"/>
      <c r="M278" s="5176"/>
      <c r="N278" s="5177"/>
      <c r="O278" s="147"/>
      <c r="P278" s="147"/>
      <c r="Q278" s="102"/>
      <c r="R278" s="102"/>
      <c r="S278" s="1360"/>
      <c r="T278" s="43"/>
      <c r="U278" s="42"/>
      <c r="V278" s="41"/>
      <c r="W278" s="40"/>
      <c r="X278" s="39"/>
      <c r="Y278" s="38"/>
      <c r="Z278" s="37"/>
      <c r="AA278" s="36"/>
      <c r="AB278" s="35"/>
      <c r="AC278" s="34"/>
      <c r="AD278" s="55"/>
      <c r="AE278" s="33"/>
      <c r="AF278"/>
      <c r="AG278" s="32"/>
      <c r="AH278" s="31"/>
      <c r="AI278" s="30"/>
      <c r="AJ278" s="5492">
        <f t="shared" si="93"/>
        <v>0</v>
      </c>
      <c r="AK278" s="29">
        <f t="shared" si="94"/>
        <v>0</v>
      </c>
      <c r="AL278" s="28" t="str">
        <f t="shared" si="95"/>
        <v/>
      </c>
      <c r="AM278" s="27"/>
      <c r="AN278" s="26">
        <f t="shared" si="96"/>
        <v>0</v>
      </c>
      <c r="AO278" s="25">
        <f t="shared" si="97"/>
        <v>0</v>
      </c>
      <c r="AP278" s="24">
        <f t="shared" si="98"/>
        <v>0</v>
      </c>
      <c r="AQ278" s="23"/>
      <c r="AR278" s="22">
        <f t="shared" si="99"/>
        <v>0</v>
      </c>
      <c r="AS278" s="21"/>
      <c r="AT278" s="13"/>
      <c r="AU278" s="46">
        <f t="shared" si="100"/>
        <v>0</v>
      </c>
      <c r="AV278"/>
      <c r="AZ278"/>
      <c r="BA278"/>
      <c r="BB278"/>
      <c r="BC278" s="3"/>
      <c r="BD278" s="3"/>
      <c r="BE278" s="3"/>
      <c r="BF278" s="3"/>
      <c r="BG278" s="3"/>
      <c r="BH278" s="3"/>
      <c r="BI278" s="3"/>
      <c r="BJ278" s="3"/>
      <c r="BK278" s="3"/>
      <c r="BL278" s="20" t="str">
        <f t="shared" si="108"/>
        <v>►</v>
      </c>
      <c r="BM278"/>
      <c r="BN278"/>
      <c r="BO278"/>
      <c r="BP278"/>
      <c r="BQ278"/>
      <c r="BR278"/>
      <c r="BS278"/>
      <c r="BT278"/>
      <c r="BU278"/>
      <c r="BV278"/>
      <c r="BW278"/>
      <c r="BX278"/>
      <c r="BY278"/>
      <c r="BZ278"/>
      <c r="CA278"/>
      <c r="CB278"/>
      <c r="CC278"/>
      <c r="CD278"/>
      <c r="CE278"/>
      <c r="CF278"/>
      <c r="CG278"/>
      <c r="CH278"/>
      <c r="CI278"/>
      <c r="CJ278"/>
      <c r="CK278"/>
      <c r="CL278"/>
      <c r="CM278"/>
      <c r="CN278" s="56" t="s">
        <v>1</v>
      </c>
      <c r="CO278" s="5">
        <v>1</v>
      </c>
    </row>
    <row r="279" spans="1:93" s="1" customFormat="1" ht="21" customHeight="1">
      <c r="A279" s="20" t="str">
        <f t="shared" si="101"/>
        <v>►</v>
      </c>
      <c r="B279" s="43" t="str">
        <f t="shared" si="102"/>
        <v>►</v>
      </c>
      <c r="C279" s="45" t="str">
        <f t="shared" si="103"/>
        <v>►</v>
      </c>
      <c r="D279" s="44" t="str">
        <f t="shared" si="104"/>
        <v>►</v>
      </c>
      <c r="E279" s="43" t="str">
        <f t="shared" si="105"/>
        <v>►</v>
      </c>
      <c r="F279" s="43" t="str">
        <f t="shared" si="106"/>
        <v>►</v>
      </c>
      <c r="G279" s="43" t="str">
        <f t="shared" si="107"/>
        <v>►</v>
      </c>
      <c r="H279" s="1256" t="s">
        <v>1</v>
      </c>
      <c r="I279" s="5175" t="s">
        <v>1</v>
      </c>
      <c r="J279" s="5161"/>
      <c r="K279" s="5161"/>
      <c r="L279" s="5161"/>
      <c r="M279" s="5176"/>
      <c r="N279" s="5177"/>
      <c r="O279" s="147"/>
      <c r="P279" s="147"/>
      <c r="Q279" s="102"/>
      <c r="R279" s="102"/>
      <c r="S279" s="1360"/>
      <c r="T279" s="43"/>
      <c r="U279" s="42"/>
      <c r="V279" s="41"/>
      <c r="W279" s="40"/>
      <c r="X279" s="39"/>
      <c r="Y279" s="38"/>
      <c r="Z279" s="37"/>
      <c r="AA279" s="36"/>
      <c r="AB279" s="35"/>
      <c r="AC279" s="34"/>
      <c r="AD279" s="55"/>
      <c r="AE279" s="33"/>
      <c r="AF279"/>
      <c r="AG279" s="32"/>
      <c r="AH279" s="31"/>
      <c r="AI279" s="30"/>
      <c r="AJ279" s="5492">
        <f t="shared" si="93"/>
        <v>0</v>
      </c>
      <c r="AK279" s="54">
        <f t="shared" si="94"/>
        <v>0</v>
      </c>
      <c r="AL279" s="53" t="str">
        <f t="shared" si="95"/>
        <v/>
      </c>
      <c r="AM279" s="52"/>
      <c r="AN279" s="51">
        <f t="shared" si="96"/>
        <v>0</v>
      </c>
      <c r="AO279" s="50">
        <f t="shared" si="97"/>
        <v>0</v>
      </c>
      <c r="AP279" s="49">
        <f t="shared" si="98"/>
        <v>0</v>
      </c>
      <c r="AQ279" s="23"/>
      <c r="AR279" s="48">
        <f t="shared" si="99"/>
        <v>0</v>
      </c>
      <c r="AS279" s="47"/>
      <c r="AT279" s="13"/>
      <c r="AU279" s="46">
        <f t="shared" si="100"/>
        <v>0</v>
      </c>
      <c r="AV279"/>
      <c r="AZ279"/>
      <c r="BA279"/>
      <c r="BB279"/>
      <c r="BC279" s="3"/>
      <c r="BD279" s="3"/>
      <c r="BE279" s="3"/>
      <c r="BF279" s="3"/>
      <c r="BG279" s="3"/>
      <c r="BH279" s="3"/>
      <c r="BI279" s="3"/>
      <c r="BJ279" s="3"/>
      <c r="BK279" s="3"/>
      <c r="BL279" s="20" t="str">
        <f t="shared" si="108"/>
        <v>►</v>
      </c>
      <c r="BM279"/>
      <c r="BN279"/>
      <c r="BO279"/>
      <c r="BP279"/>
      <c r="BQ279"/>
      <c r="BR279"/>
      <c r="BS279"/>
      <c r="BT279"/>
      <c r="BU279"/>
      <c r="BV279"/>
      <c r="BW279"/>
      <c r="BX279"/>
      <c r="BY279"/>
      <c r="BZ279"/>
      <c r="CA279"/>
      <c r="CB279"/>
      <c r="CC279"/>
      <c r="CD279"/>
      <c r="CE279"/>
      <c r="CF279"/>
      <c r="CG279"/>
      <c r="CH279"/>
      <c r="CI279"/>
      <c r="CJ279"/>
      <c r="CK279"/>
      <c r="CL279"/>
      <c r="CM279"/>
      <c r="CN279" s="56" t="s">
        <v>1</v>
      </c>
      <c r="CO279" s="5">
        <v>1</v>
      </c>
    </row>
    <row r="280" spans="1:93" s="1" customFormat="1" ht="21" customHeight="1">
      <c r="A280" s="20" t="str">
        <f t="shared" si="101"/>
        <v>►</v>
      </c>
      <c r="B280" s="43" t="str">
        <f t="shared" si="102"/>
        <v>►</v>
      </c>
      <c r="C280" s="45" t="str">
        <f t="shared" si="103"/>
        <v>►</v>
      </c>
      <c r="D280" s="44" t="str">
        <f t="shared" si="104"/>
        <v>►</v>
      </c>
      <c r="E280" s="43" t="str">
        <f t="shared" si="105"/>
        <v>►</v>
      </c>
      <c r="F280" s="43" t="str">
        <f t="shared" si="106"/>
        <v>►</v>
      </c>
      <c r="G280" s="43" t="str">
        <f t="shared" si="107"/>
        <v>►</v>
      </c>
      <c r="H280" s="1256" t="s">
        <v>1</v>
      </c>
      <c r="I280" s="5175" t="s">
        <v>1</v>
      </c>
      <c r="J280" s="5161"/>
      <c r="K280" s="5161"/>
      <c r="L280" s="5161"/>
      <c r="M280" s="5176"/>
      <c r="N280" s="5177"/>
      <c r="O280" s="147"/>
      <c r="P280" s="147"/>
      <c r="Q280" s="102"/>
      <c r="R280" s="102"/>
      <c r="S280" s="1360"/>
      <c r="T280" s="43"/>
      <c r="U280" s="42"/>
      <c r="V280" s="41"/>
      <c r="W280" s="40"/>
      <c r="X280" s="39"/>
      <c r="Y280" s="38"/>
      <c r="Z280" s="37"/>
      <c r="AA280" s="36"/>
      <c r="AB280" s="35"/>
      <c r="AC280" s="34"/>
      <c r="AD280" s="55"/>
      <c r="AE280" s="33"/>
      <c r="AF280"/>
      <c r="AG280" s="32"/>
      <c r="AH280" s="31"/>
      <c r="AI280" s="30"/>
      <c r="AJ280" s="5492">
        <f t="shared" si="93"/>
        <v>0</v>
      </c>
      <c r="AK280" s="29">
        <f t="shared" si="94"/>
        <v>0</v>
      </c>
      <c r="AL280" s="28" t="str">
        <f t="shared" si="95"/>
        <v/>
      </c>
      <c r="AM280" s="27"/>
      <c r="AN280" s="26">
        <f t="shared" si="96"/>
        <v>0</v>
      </c>
      <c r="AO280" s="25">
        <f t="shared" si="97"/>
        <v>0</v>
      </c>
      <c r="AP280" s="24">
        <f t="shared" si="98"/>
        <v>0</v>
      </c>
      <c r="AQ280" s="23"/>
      <c r="AR280" s="22">
        <f t="shared" si="99"/>
        <v>0</v>
      </c>
      <c r="AS280" s="21"/>
      <c r="AT280" s="13"/>
      <c r="AU280" s="46">
        <f t="shared" si="100"/>
        <v>0</v>
      </c>
      <c r="AV280"/>
      <c r="AZ280"/>
      <c r="BA280"/>
      <c r="BB280"/>
      <c r="BC280" s="3"/>
      <c r="BD280" s="3"/>
      <c r="BE280" s="3"/>
      <c r="BF280" s="3"/>
      <c r="BG280" s="3"/>
      <c r="BH280" s="3"/>
      <c r="BI280" s="3"/>
      <c r="BJ280" s="3"/>
      <c r="BK280" s="3"/>
      <c r="BL280" s="20" t="str">
        <f t="shared" si="108"/>
        <v>►</v>
      </c>
      <c r="BM280"/>
      <c r="BN280"/>
      <c r="BO280"/>
      <c r="BP280"/>
      <c r="BQ280"/>
      <c r="BR280"/>
      <c r="BS280"/>
      <c r="BT280"/>
      <c r="BU280"/>
      <c r="BV280"/>
      <c r="BW280"/>
      <c r="BX280"/>
      <c r="BY280"/>
      <c r="BZ280"/>
      <c r="CA280"/>
      <c r="CB280"/>
      <c r="CC280"/>
      <c r="CD280"/>
      <c r="CE280"/>
      <c r="CF280"/>
      <c r="CG280"/>
      <c r="CH280"/>
      <c r="CI280"/>
      <c r="CJ280"/>
      <c r="CK280"/>
      <c r="CL280"/>
      <c r="CM280"/>
      <c r="CN280" s="56" t="s">
        <v>1</v>
      </c>
      <c r="CO280" s="5">
        <v>1</v>
      </c>
    </row>
    <row r="281" spans="1:93" s="1" customFormat="1" ht="21" customHeight="1">
      <c r="A281" s="20" t="str">
        <f t="shared" si="101"/>
        <v>►</v>
      </c>
      <c r="B281" s="43" t="str">
        <f t="shared" si="102"/>
        <v>►</v>
      </c>
      <c r="C281" s="45" t="str">
        <f t="shared" si="103"/>
        <v>►</v>
      </c>
      <c r="D281" s="44" t="str">
        <f t="shared" si="104"/>
        <v>►</v>
      </c>
      <c r="E281" s="43" t="str">
        <f t="shared" si="105"/>
        <v>►</v>
      </c>
      <c r="F281" s="43" t="str">
        <f t="shared" si="106"/>
        <v>►</v>
      </c>
      <c r="G281" s="43" t="str">
        <f t="shared" si="107"/>
        <v>►</v>
      </c>
      <c r="H281" s="1256" t="s">
        <v>1</v>
      </c>
      <c r="I281" s="5175" t="s">
        <v>1</v>
      </c>
      <c r="J281" s="5161"/>
      <c r="K281" s="5161"/>
      <c r="L281" s="5161"/>
      <c r="M281" s="5176"/>
      <c r="N281" s="5177"/>
      <c r="O281" s="147"/>
      <c r="P281" s="147"/>
      <c r="Q281" s="102"/>
      <c r="R281" s="102"/>
      <c r="S281" s="1360"/>
      <c r="T281" s="43"/>
      <c r="U281" s="42"/>
      <c r="V281" s="41"/>
      <c r="W281" s="40"/>
      <c r="X281" s="39"/>
      <c r="Y281" s="38"/>
      <c r="Z281" s="37"/>
      <c r="AA281" s="36"/>
      <c r="AB281" s="35"/>
      <c r="AC281" s="34"/>
      <c r="AD281" s="55"/>
      <c r="AE281" s="33"/>
      <c r="AF281"/>
      <c r="AG281" s="32"/>
      <c r="AH281" s="31"/>
      <c r="AI281" s="30"/>
      <c r="AJ281" s="5492">
        <f t="shared" si="93"/>
        <v>0</v>
      </c>
      <c r="AK281" s="54">
        <f t="shared" si="94"/>
        <v>0</v>
      </c>
      <c r="AL281" s="53" t="str">
        <f t="shared" si="95"/>
        <v/>
      </c>
      <c r="AM281" s="52"/>
      <c r="AN281" s="51">
        <f t="shared" si="96"/>
        <v>0</v>
      </c>
      <c r="AO281" s="50">
        <f t="shared" si="97"/>
        <v>0</v>
      </c>
      <c r="AP281" s="49">
        <f t="shared" si="98"/>
        <v>0</v>
      </c>
      <c r="AQ281" s="23"/>
      <c r="AR281" s="48">
        <f t="shared" si="99"/>
        <v>0</v>
      </c>
      <c r="AS281" s="47"/>
      <c r="AT281" s="13"/>
      <c r="AU281" s="46">
        <f t="shared" si="100"/>
        <v>0</v>
      </c>
      <c r="AV281"/>
      <c r="AZ281"/>
      <c r="BA281"/>
      <c r="BB281"/>
      <c r="BC281" s="3"/>
      <c r="BD281" s="3"/>
      <c r="BE281" s="3"/>
      <c r="BF281" s="3"/>
      <c r="BG281" s="3"/>
      <c r="BH281" s="3"/>
      <c r="BI281" s="3"/>
      <c r="BJ281" s="3"/>
      <c r="BK281" s="3"/>
      <c r="BL281" s="20" t="str">
        <f t="shared" si="108"/>
        <v>►</v>
      </c>
      <c r="BM281"/>
      <c r="BN281"/>
      <c r="BO281"/>
      <c r="BP281"/>
      <c r="BQ281"/>
      <c r="BR281"/>
      <c r="BS281"/>
      <c r="BT281"/>
      <c r="BU281"/>
      <c r="BV281"/>
      <c r="BW281"/>
      <c r="BX281"/>
      <c r="BY281"/>
      <c r="BZ281"/>
      <c r="CA281"/>
      <c r="CB281"/>
      <c r="CC281"/>
      <c r="CD281"/>
      <c r="CE281"/>
      <c r="CF281"/>
      <c r="CG281"/>
      <c r="CH281"/>
      <c r="CI281"/>
      <c r="CJ281"/>
      <c r="CK281"/>
      <c r="CL281"/>
      <c r="CM281"/>
      <c r="CN281" s="56" t="s">
        <v>1</v>
      </c>
      <c r="CO281" s="5">
        <v>1</v>
      </c>
    </row>
    <row r="282" spans="1:93" s="1" customFormat="1" ht="21" customHeight="1">
      <c r="A282" s="20" t="str">
        <f t="shared" si="101"/>
        <v>►</v>
      </c>
      <c r="B282" s="43" t="str">
        <f t="shared" si="102"/>
        <v>►</v>
      </c>
      <c r="C282" s="45" t="str">
        <f t="shared" si="103"/>
        <v>►</v>
      </c>
      <c r="D282" s="44" t="str">
        <f t="shared" si="104"/>
        <v>►</v>
      </c>
      <c r="E282" s="43" t="str">
        <f t="shared" si="105"/>
        <v>►</v>
      </c>
      <c r="F282" s="43" t="str">
        <f t="shared" si="106"/>
        <v>►</v>
      </c>
      <c r="G282" s="43" t="str">
        <f t="shared" si="107"/>
        <v>►</v>
      </c>
      <c r="H282" s="1256" t="s">
        <v>1</v>
      </c>
      <c r="I282" s="5175" t="s">
        <v>1</v>
      </c>
      <c r="J282" s="5161"/>
      <c r="K282" s="5161"/>
      <c r="L282" s="5161"/>
      <c r="M282" s="5176"/>
      <c r="N282" s="5177"/>
      <c r="O282" s="147"/>
      <c r="P282" s="147"/>
      <c r="Q282" s="102"/>
      <c r="R282" s="102"/>
      <c r="S282" s="1360"/>
      <c r="T282" s="43"/>
      <c r="U282" s="42"/>
      <c r="V282" s="41"/>
      <c r="W282" s="40"/>
      <c r="X282" s="39"/>
      <c r="Y282" s="38"/>
      <c r="Z282" s="37"/>
      <c r="AA282" s="36"/>
      <c r="AB282" s="35"/>
      <c r="AC282" s="34"/>
      <c r="AD282" s="55"/>
      <c r="AE282" s="33"/>
      <c r="AF282"/>
      <c r="AG282" s="32"/>
      <c r="AH282" s="31"/>
      <c r="AI282" s="30"/>
      <c r="AJ282" s="5492">
        <f t="shared" si="93"/>
        <v>0</v>
      </c>
      <c r="AK282" s="29">
        <f t="shared" si="94"/>
        <v>0</v>
      </c>
      <c r="AL282" s="28" t="str">
        <f t="shared" si="95"/>
        <v/>
      </c>
      <c r="AM282" s="27"/>
      <c r="AN282" s="26">
        <f t="shared" si="96"/>
        <v>0</v>
      </c>
      <c r="AO282" s="25">
        <f t="shared" si="97"/>
        <v>0</v>
      </c>
      <c r="AP282" s="24">
        <f t="shared" si="98"/>
        <v>0</v>
      </c>
      <c r="AQ282" s="23"/>
      <c r="AR282" s="22">
        <f t="shared" si="99"/>
        <v>0</v>
      </c>
      <c r="AS282" s="21"/>
      <c r="AT282" s="13"/>
      <c r="AU282" s="46">
        <f t="shared" si="100"/>
        <v>0</v>
      </c>
      <c r="AV282"/>
      <c r="AZ282"/>
      <c r="BA282"/>
      <c r="BB282"/>
      <c r="BC282" s="3"/>
      <c r="BD282" s="3"/>
      <c r="BE282" s="3"/>
      <c r="BF282" s="3"/>
      <c r="BG282" s="3"/>
      <c r="BH282" s="3"/>
      <c r="BI282" s="3"/>
      <c r="BJ282" s="3"/>
      <c r="BK282" s="3"/>
      <c r="BL282" s="20" t="str">
        <f t="shared" si="108"/>
        <v>►</v>
      </c>
      <c r="BM282"/>
      <c r="BN282"/>
      <c r="BO282"/>
      <c r="BP282"/>
      <c r="BQ282"/>
      <c r="BR282"/>
      <c r="BS282"/>
      <c r="BT282"/>
      <c r="BU282"/>
      <c r="BV282"/>
      <c r="BW282"/>
      <c r="BX282"/>
      <c r="BY282"/>
      <c r="BZ282"/>
      <c r="CA282"/>
      <c r="CB282"/>
      <c r="CC282"/>
      <c r="CD282"/>
      <c r="CE282"/>
      <c r="CF282"/>
      <c r="CG282"/>
      <c r="CH282"/>
      <c r="CI282"/>
      <c r="CJ282"/>
      <c r="CK282"/>
      <c r="CL282"/>
      <c r="CM282"/>
      <c r="CN282" s="56" t="s">
        <v>1</v>
      </c>
      <c r="CO282" s="5">
        <v>1</v>
      </c>
    </row>
    <row r="283" spans="1:93" s="1" customFormat="1" ht="21" customHeight="1">
      <c r="A283" s="20" t="str">
        <f t="shared" si="101"/>
        <v>►</v>
      </c>
      <c r="B283" s="43" t="str">
        <f t="shared" si="102"/>
        <v>►</v>
      </c>
      <c r="C283" s="45" t="str">
        <f t="shared" si="103"/>
        <v>►</v>
      </c>
      <c r="D283" s="44" t="str">
        <f t="shared" si="104"/>
        <v>►</v>
      </c>
      <c r="E283" s="43" t="str">
        <f t="shared" si="105"/>
        <v>►</v>
      </c>
      <c r="F283" s="43" t="str">
        <f t="shared" si="106"/>
        <v>►</v>
      </c>
      <c r="G283" s="43" t="str">
        <f t="shared" si="107"/>
        <v>►</v>
      </c>
      <c r="H283" s="1256" t="s">
        <v>1</v>
      </c>
      <c r="I283" s="5175" t="s">
        <v>1</v>
      </c>
      <c r="J283" s="5161"/>
      <c r="K283" s="5161"/>
      <c r="L283" s="5161"/>
      <c r="M283" s="5176"/>
      <c r="N283" s="5177"/>
      <c r="O283" s="147"/>
      <c r="P283" s="147"/>
      <c r="Q283" s="102"/>
      <c r="R283" s="102"/>
      <c r="S283" s="1360"/>
      <c r="T283" s="43"/>
      <c r="U283" s="42"/>
      <c r="V283" s="41"/>
      <c r="W283" s="40"/>
      <c r="X283" s="39"/>
      <c r="Y283" s="38"/>
      <c r="Z283" s="37"/>
      <c r="AA283" s="36"/>
      <c r="AB283" s="35"/>
      <c r="AC283" s="34"/>
      <c r="AD283" s="55"/>
      <c r="AE283" s="33"/>
      <c r="AF283"/>
      <c r="AG283" s="32"/>
      <c r="AH283" s="31"/>
      <c r="AI283" s="30"/>
      <c r="AJ283" s="5492">
        <f t="shared" si="93"/>
        <v>0</v>
      </c>
      <c r="AK283" s="54">
        <f t="shared" si="94"/>
        <v>0</v>
      </c>
      <c r="AL283" s="53" t="str">
        <f t="shared" si="95"/>
        <v/>
      </c>
      <c r="AM283" s="52"/>
      <c r="AN283" s="51">
        <f t="shared" si="96"/>
        <v>0</v>
      </c>
      <c r="AO283" s="50">
        <f t="shared" si="97"/>
        <v>0</v>
      </c>
      <c r="AP283" s="49">
        <f t="shared" si="98"/>
        <v>0</v>
      </c>
      <c r="AQ283" s="23"/>
      <c r="AR283" s="48">
        <f t="shared" si="99"/>
        <v>0</v>
      </c>
      <c r="AS283" s="47"/>
      <c r="AT283" s="13"/>
      <c r="AU283" s="46">
        <f t="shared" si="100"/>
        <v>0</v>
      </c>
      <c r="AV283"/>
      <c r="AZ283"/>
      <c r="BA283"/>
      <c r="BB283"/>
      <c r="BC283" s="3"/>
      <c r="BD283" s="3"/>
      <c r="BE283" s="3"/>
      <c r="BF283" s="3"/>
      <c r="BG283" s="3"/>
      <c r="BH283" s="3"/>
      <c r="BI283" s="3"/>
      <c r="BJ283" s="3"/>
      <c r="BK283" s="3"/>
      <c r="BL283" s="20" t="str">
        <f t="shared" si="108"/>
        <v>►</v>
      </c>
      <c r="BM283"/>
      <c r="BN283"/>
      <c r="BO283"/>
      <c r="BP283"/>
      <c r="BQ283"/>
      <c r="BR283"/>
      <c r="BS283"/>
      <c r="BT283"/>
      <c r="BU283"/>
      <c r="BV283"/>
      <c r="BW283"/>
      <c r="BX283"/>
      <c r="BY283"/>
      <c r="BZ283"/>
      <c r="CA283"/>
      <c r="CB283"/>
      <c r="CC283"/>
      <c r="CD283"/>
      <c r="CE283"/>
      <c r="CF283"/>
      <c r="CG283"/>
      <c r="CH283"/>
      <c r="CI283"/>
      <c r="CJ283"/>
      <c r="CK283"/>
      <c r="CL283"/>
      <c r="CM283"/>
      <c r="CN283" s="56"/>
      <c r="CO283" s="5">
        <v>1</v>
      </c>
    </row>
    <row r="284" spans="1:93" s="1" customFormat="1" ht="21" customHeight="1">
      <c r="A284" s="20" t="str">
        <f t="shared" si="101"/>
        <v>►</v>
      </c>
      <c r="B284" s="43" t="str">
        <f t="shared" si="102"/>
        <v>►</v>
      </c>
      <c r="C284" s="45" t="str">
        <f t="shared" si="103"/>
        <v>►</v>
      </c>
      <c r="D284" s="44" t="str">
        <f t="shared" si="104"/>
        <v>►</v>
      </c>
      <c r="E284" s="43" t="str">
        <f t="shared" si="105"/>
        <v>►</v>
      </c>
      <c r="F284" s="43" t="str">
        <f t="shared" si="106"/>
        <v>►</v>
      </c>
      <c r="G284" s="43" t="str">
        <f t="shared" si="107"/>
        <v>►</v>
      </c>
      <c r="H284" s="1256" t="s">
        <v>1</v>
      </c>
      <c r="I284" s="5175" t="s">
        <v>1</v>
      </c>
      <c r="J284" s="5161"/>
      <c r="K284" s="5161"/>
      <c r="L284" s="5161"/>
      <c r="M284" s="5176"/>
      <c r="N284" s="5177"/>
      <c r="O284" s="147"/>
      <c r="P284" s="147"/>
      <c r="Q284" s="102"/>
      <c r="R284" s="102"/>
      <c r="S284" s="1360"/>
      <c r="T284" s="43"/>
      <c r="U284" s="42"/>
      <c r="V284" s="41"/>
      <c r="W284" s="40"/>
      <c r="X284" s="39"/>
      <c r="Y284" s="38"/>
      <c r="Z284" s="37"/>
      <c r="AA284" s="36"/>
      <c r="AB284" s="35"/>
      <c r="AC284" s="34"/>
      <c r="AD284" s="55"/>
      <c r="AE284" s="33"/>
      <c r="AF284"/>
      <c r="AG284" s="32"/>
      <c r="AH284" s="31"/>
      <c r="AI284" s="30"/>
      <c r="AJ284" s="5492">
        <f t="shared" si="93"/>
        <v>0</v>
      </c>
      <c r="AK284" s="29">
        <f t="shared" si="94"/>
        <v>0</v>
      </c>
      <c r="AL284" s="28" t="str">
        <f t="shared" si="95"/>
        <v/>
      </c>
      <c r="AM284" s="27"/>
      <c r="AN284" s="26">
        <f t="shared" si="96"/>
        <v>0</v>
      </c>
      <c r="AO284" s="25">
        <f t="shared" si="97"/>
        <v>0</v>
      </c>
      <c r="AP284" s="24">
        <f t="shared" si="98"/>
        <v>0</v>
      </c>
      <c r="AQ284" s="23"/>
      <c r="AR284" s="22">
        <f t="shared" si="99"/>
        <v>0</v>
      </c>
      <c r="AS284" s="21"/>
      <c r="AT284" s="13"/>
      <c r="AU284" s="46">
        <f t="shared" si="100"/>
        <v>0</v>
      </c>
      <c r="AV284"/>
      <c r="AZ284"/>
      <c r="BA284"/>
      <c r="BB284"/>
      <c r="BC284" s="3"/>
      <c r="BD284" s="3"/>
      <c r="BE284" s="3"/>
      <c r="BF284" s="3"/>
      <c r="BG284" s="3"/>
      <c r="BH284" s="3"/>
      <c r="BI284" s="3"/>
      <c r="BJ284" s="3"/>
      <c r="BK284" s="3"/>
      <c r="BL284" s="20" t="str">
        <f t="shared" si="108"/>
        <v>►</v>
      </c>
      <c r="BM284"/>
      <c r="BN284"/>
      <c r="BO284"/>
      <c r="BP284"/>
      <c r="BQ284"/>
      <c r="BR284"/>
      <c r="BS284"/>
      <c r="BT284"/>
      <c r="BU284"/>
      <c r="BV284"/>
      <c r="BW284"/>
      <c r="BX284"/>
      <c r="BY284"/>
      <c r="BZ284"/>
      <c r="CA284"/>
      <c r="CB284"/>
      <c r="CC284"/>
      <c r="CD284"/>
      <c r="CE284"/>
      <c r="CF284"/>
      <c r="CG284"/>
      <c r="CH284"/>
      <c r="CI284"/>
      <c r="CJ284"/>
      <c r="CK284"/>
      <c r="CL284"/>
      <c r="CM284"/>
      <c r="CN284" s="56" t="s">
        <v>1</v>
      </c>
      <c r="CO284" s="5">
        <v>1</v>
      </c>
    </row>
    <row r="285" spans="1:93" s="1" customFormat="1" ht="21" customHeight="1">
      <c r="A285" s="20" t="str">
        <f t="shared" si="101"/>
        <v>►</v>
      </c>
      <c r="B285" s="43" t="str">
        <f t="shared" si="102"/>
        <v>►</v>
      </c>
      <c r="C285" s="45" t="str">
        <f t="shared" si="103"/>
        <v>►</v>
      </c>
      <c r="D285" s="44" t="str">
        <f t="shared" si="104"/>
        <v>►</v>
      </c>
      <c r="E285" s="43" t="str">
        <f t="shared" si="105"/>
        <v>►</v>
      </c>
      <c r="F285" s="43" t="str">
        <f t="shared" si="106"/>
        <v>►</v>
      </c>
      <c r="G285" s="43" t="str">
        <f t="shared" si="107"/>
        <v>►</v>
      </c>
      <c r="H285" s="1256" t="s">
        <v>1</v>
      </c>
      <c r="I285" s="5175" t="s">
        <v>1</v>
      </c>
      <c r="J285" s="5161"/>
      <c r="K285" s="5161"/>
      <c r="L285" s="5161"/>
      <c r="M285" s="5176"/>
      <c r="N285" s="5177"/>
      <c r="O285" s="147"/>
      <c r="P285" s="147"/>
      <c r="Q285" s="102"/>
      <c r="R285" s="102"/>
      <c r="S285" s="1360"/>
      <c r="T285" s="43"/>
      <c r="U285" s="42"/>
      <c r="V285" s="41"/>
      <c r="W285" s="40"/>
      <c r="X285" s="39"/>
      <c r="Y285" s="38"/>
      <c r="Z285" s="37"/>
      <c r="AA285" s="36"/>
      <c r="AB285" s="35"/>
      <c r="AC285" s="34"/>
      <c r="AD285" s="55"/>
      <c r="AE285" s="33"/>
      <c r="AF285"/>
      <c r="AG285" s="32"/>
      <c r="AH285" s="31"/>
      <c r="AI285" s="30"/>
      <c r="AJ285" s="5492">
        <f t="shared" ref="AJ285:AJ348" si="109">IF(ISTEXT(Y285), 0, IFERROR(INDEX($AX$22:$AX$69, MATCH(AC285, $AW$22:$AW$69, 0)) * AB285 * IF(ISBLANK(Y285), 1, Y285), 0))</f>
        <v>0</v>
      </c>
      <c r="AK285" s="54">
        <f t="shared" ref="AK285:AK348" si="110">IF(ISNUMBER(AD285), AJ285*AD285*AU285, 0)</f>
        <v>0</v>
      </c>
      <c r="AL285" s="53" t="str">
        <f t="shared" ref="AL285:AL348" si="111">IF(AND(ISNUMBER(AB285),ISNUMBER(AD285),ISNUMBER(AU285)),IFERROR(_xlfn.LET(_xlpm.m,IF(ISBLANK(Y285),1,Y285),_xlpm.q,AB285*AD285*AU285*_xlpm.m,_xlpm.p,MATCH(AC285,AW$22:AW$69,0),_xlpm.f,INDEX(AX$22:AX$69,_xlpm.p),_xlpm.u,INDEX(AY$22:AY$69,_xlpm.p),_xlpm.s,INDEX(AZ$22:AZ$69,_xlpm.p),IF(_xlpm.q&gt;=_xlpm.s,ROUND(_xlpm.q,0)&amp;" "&amp;AC285&amp;" = "&amp;ROUND(_xlpm.q*_xlpm.f,1)&amp;" "&amp;_xlpm.u,ROUND(_xlpm.q,0)&amp;" "&amp;AC285)),""),"")</f>
        <v/>
      </c>
      <c r="AM285" s="52"/>
      <c r="AN285" s="51">
        <f t="shared" ref="AN285:AN348" si="112">((AK285-(AK285*AM285%)))</f>
        <v>0</v>
      </c>
      <c r="AO285" s="50">
        <f t="shared" ref="AO285:AO348" si="113">IF(AND(ISNUMBER(AD285), ISNUMBER(Y285)), Y285 * AD285 * AU285, 0)</f>
        <v>0</v>
      </c>
      <c r="AP285" s="49">
        <f t="shared" ref="AP285:AP348" si="114">Z285</f>
        <v>0</v>
      </c>
      <c r="AQ285" s="23"/>
      <c r="AR285" s="48">
        <f t="shared" ref="AR285:AR348" si="115">IF(OR(ISBLANK(AQ285),ISTEXT(Y285)),0,IF(AK285=0,Y285,AK285)*AQ285)</f>
        <v>0</v>
      </c>
      <c r="AS285" s="47"/>
      <c r="AT285" s="13"/>
      <c r="AU285" s="46">
        <f t="shared" ref="AU285:AU348" si="116">IF(OR(ISBLANK(AI285), ISBLANK(AG285)), 0, AI285/AG285)</f>
        <v>0</v>
      </c>
      <c r="AV285"/>
      <c r="AZ285"/>
      <c r="BA285"/>
      <c r="BB285"/>
      <c r="BC285" s="3"/>
      <c r="BD285" s="3"/>
      <c r="BE285" s="3"/>
      <c r="BF285" s="3"/>
      <c r="BG285" s="3"/>
      <c r="BH285" s="3"/>
      <c r="BI285" s="3"/>
      <c r="BJ285" s="3"/>
      <c r="BK285" s="3"/>
      <c r="BL285" s="20" t="str">
        <f t="shared" si="108"/>
        <v>►</v>
      </c>
      <c r="BM285"/>
      <c r="BN285"/>
      <c r="BO285"/>
      <c r="BP285"/>
      <c r="BQ285"/>
      <c r="BR285"/>
      <c r="BS285"/>
      <c r="BT285"/>
      <c r="BU285"/>
      <c r="BV285"/>
      <c r="BW285"/>
      <c r="BX285"/>
      <c r="BY285"/>
      <c r="BZ285"/>
      <c r="CA285"/>
      <c r="CB285"/>
      <c r="CC285"/>
      <c r="CD285"/>
      <c r="CE285"/>
      <c r="CF285"/>
      <c r="CG285"/>
      <c r="CH285"/>
      <c r="CI285"/>
      <c r="CJ285"/>
      <c r="CK285"/>
      <c r="CL285"/>
      <c r="CM285"/>
      <c r="CN285" s="56" t="s">
        <v>1</v>
      </c>
      <c r="CO285" s="5">
        <v>1</v>
      </c>
    </row>
    <row r="286" spans="1:93" s="1" customFormat="1" ht="21" customHeight="1">
      <c r="A286" s="20" t="str">
        <f t="shared" ref="A286:A349" si="117">IF(OR(I286="A",U286="A"),"A",IF(AND(I286="►",U286="►"),"►",IF(AND(ISBLANK(I286),ISBLANK(U286)),"►","►")))</f>
        <v>►</v>
      </c>
      <c r="B286" s="43" t="str">
        <f t="shared" si="102"/>
        <v>►</v>
      </c>
      <c r="C286" s="45" t="str">
        <f t="shared" si="103"/>
        <v>►</v>
      </c>
      <c r="D286" s="44" t="str">
        <f t="shared" si="104"/>
        <v>►</v>
      </c>
      <c r="E286" s="43" t="str">
        <f t="shared" si="105"/>
        <v>►</v>
      </c>
      <c r="F286" s="43" t="str">
        <f t="shared" si="106"/>
        <v>►</v>
      </c>
      <c r="G286" s="43" t="str">
        <f t="shared" si="107"/>
        <v>►</v>
      </c>
      <c r="H286" s="1256" t="s">
        <v>1</v>
      </c>
      <c r="I286" s="5175" t="s">
        <v>1</v>
      </c>
      <c r="J286" s="5161"/>
      <c r="K286" s="5161"/>
      <c r="L286" s="5161"/>
      <c r="M286" s="5176"/>
      <c r="N286" s="5177"/>
      <c r="O286" s="147"/>
      <c r="P286" s="147"/>
      <c r="Q286" s="102"/>
      <c r="R286" s="102"/>
      <c r="S286" s="1360"/>
      <c r="T286" s="43"/>
      <c r="U286" s="42"/>
      <c r="V286" s="41"/>
      <c r="W286" s="40"/>
      <c r="X286" s="39"/>
      <c r="Y286" s="38"/>
      <c r="Z286" s="37"/>
      <c r="AA286" s="36"/>
      <c r="AB286" s="35"/>
      <c r="AC286" s="34"/>
      <c r="AD286" s="55"/>
      <c r="AE286" s="33"/>
      <c r="AF286"/>
      <c r="AG286" s="32"/>
      <c r="AH286" s="31"/>
      <c r="AI286" s="30"/>
      <c r="AJ286" s="5492">
        <f t="shared" si="109"/>
        <v>0</v>
      </c>
      <c r="AK286" s="29">
        <f t="shared" si="110"/>
        <v>0</v>
      </c>
      <c r="AL286" s="28" t="str">
        <f t="shared" si="111"/>
        <v/>
      </c>
      <c r="AM286" s="27"/>
      <c r="AN286" s="26">
        <f t="shared" si="112"/>
        <v>0</v>
      </c>
      <c r="AO286" s="25">
        <f t="shared" si="113"/>
        <v>0</v>
      </c>
      <c r="AP286" s="24">
        <f t="shared" si="114"/>
        <v>0</v>
      </c>
      <c r="AQ286" s="23"/>
      <c r="AR286" s="22">
        <f t="shared" si="115"/>
        <v>0</v>
      </c>
      <c r="AS286" s="21"/>
      <c r="AT286" s="13"/>
      <c r="AU286" s="46">
        <f t="shared" si="116"/>
        <v>0</v>
      </c>
      <c r="AV286"/>
      <c r="AZ286"/>
      <c r="BA286"/>
      <c r="BB286"/>
      <c r="BC286" s="3"/>
      <c r="BD286" s="3"/>
      <c r="BE286" s="3"/>
      <c r="BF286" s="3"/>
      <c r="BG286" s="3"/>
      <c r="BH286" s="3"/>
      <c r="BI286" s="3"/>
      <c r="BJ286" s="3"/>
      <c r="BK286" s="3"/>
      <c r="BL286" s="20" t="str">
        <f t="shared" si="108"/>
        <v>►</v>
      </c>
      <c r="BM286"/>
      <c r="BN286"/>
      <c r="BO286"/>
      <c r="BP286"/>
      <c r="BQ286"/>
      <c r="BR286"/>
      <c r="BS286"/>
      <c r="BT286"/>
      <c r="BU286"/>
      <c r="BV286"/>
      <c r="BW286"/>
      <c r="BX286"/>
      <c r="BY286"/>
      <c r="BZ286"/>
      <c r="CA286"/>
      <c r="CB286"/>
      <c r="CC286"/>
      <c r="CD286"/>
      <c r="CE286"/>
      <c r="CF286"/>
      <c r="CG286"/>
      <c r="CH286"/>
      <c r="CI286"/>
      <c r="CJ286"/>
      <c r="CK286"/>
      <c r="CL286"/>
      <c r="CM286"/>
      <c r="CN286" s="56" t="s">
        <v>1</v>
      </c>
      <c r="CO286" s="5">
        <v>1</v>
      </c>
    </row>
    <row r="287" spans="1:93" s="1" customFormat="1" ht="21" customHeight="1">
      <c r="A287" s="20" t="str">
        <f t="shared" si="117"/>
        <v>►</v>
      </c>
      <c r="B287" s="43" t="str">
        <f t="shared" si="102"/>
        <v>►</v>
      </c>
      <c r="C287" s="45" t="str">
        <f t="shared" si="103"/>
        <v>►</v>
      </c>
      <c r="D287" s="44" t="str">
        <f t="shared" si="104"/>
        <v>►</v>
      </c>
      <c r="E287" s="43" t="str">
        <f t="shared" si="105"/>
        <v>►</v>
      </c>
      <c r="F287" s="43" t="str">
        <f t="shared" si="106"/>
        <v>►</v>
      </c>
      <c r="G287" s="43" t="str">
        <f t="shared" si="107"/>
        <v>►</v>
      </c>
      <c r="H287" s="1256" t="s">
        <v>1</v>
      </c>
      <c r="I287" s="5175" t="s">
        <v>1</v>
      </c>
      <c r="J287" s="5161"/>
      <c r="K287" s="5161"/>
      <c r="L287" s="5161"/>
      <c r="M287" s="5176"/>
      <c r="N287" s="5177"/>
      <c r="O287" s="147"/>
      <c r="P287" s="147"/>
      <c r="Q287" s="102"/>
      <c r="R287" s="102"/>
      <c r="S287" s="1360"/>
      <c r="T287" s="43"/>
      <c r="U287" s="42"/>
      <c r="V287" s="41"/>
      <c r="W287" s="40"/>
      <c r="X287" s="39"/>
      <c r="Y287" s="38"/>
      <c r="Z287" s="37"/>
      <c r="AA287" s="36"/>
      <c r="AB287" s="35"/>
      <c r="AC287" s="34"/>
      <c r="AD287" s="55"/>
      <c r="AE287" s="33"/>
      <c r="AF287"/>
      <c r="AG287" s="32"/>
      <c r="AH287" s="31"/>
      <c r="AI287" s="30"/>
      <c r="AJ287" s="5492">
        <f t="shared" si="109"/>
        <v>0</v>
      </c>
      <c r="AK287" s="54">
        <f t="shared" si="110"/>
        <v>0</v>
      </c>
      <c r="AL287" s="53" t="str">
        <f t="shared" si="111"/>
        <v/>
      </c>
      <c r="AM287" s="52"/>
      <c r="AN287" s="51">
        <f t="shared" si="112"/>
        <v>0</v>
      </c>
      <c r="AO287" s="50">
        <f t="shared" si="113"/>
        <v>0</v>
      </c>
      <c r="AP287" s="49">
        <f t="shared" si="114"/>
        <v>0</v>
      </c>
      <c r="AQ287" s="23"/>
      <c r="AR287" s="48">
        <f t="shared" si="115"/>
        <v>0</v>
      </c>
      <c r="AS287" s="47"/>
      <c r="AT287" s="13"/>
      <c r="AU287" s="46">
        <f t="shared" si="116"/>
        <v>0</v>
      </c>
      <c r="AV287"/>
      <c r="AZ287"/>
      <c r="BA287"/>
      <c r="BB287"/>
      <c r="BC287" s="3"/>
      <c r="BD287" s="3"/>
      <c r="BE287" s="3"/>
      <c r="BF287" s="3"/>
      <c r="BG287" s="3"/>
      <c r="BH287" s="3"/>
      <c r="BI287" s="3"/>
      <c r="BJ287" s="3"/>
      <c r="BK287" s="3"/>
      <c r="BL287" s="20" t="str">
        <f t="shared" si="108"/>
        <v>►</v>
      </c>
      <c r="BM287"/>
      <c r="BN287"/>
      <c r="BO287"/>
      <c r="BP287"/>
      <c r="BQ287"/>
      <c r="BR287"/>
      <c r="BS287"/>
      <c r="BT287"/>
      <c r="BU287"/>
      <c r="BV287"/>
      <c r="BW287"/>
      <c r="BX287"/>
      <c r="BY287"/>
      <c r="BZ287"/>
      <c r="CA287"/>
      <c r="CB287"/>
      <c r="CC287"/>
      <c r="CD287"/>
      <c r="CE287"/>
      <c r="CF287"/>
      <c r="CG287"/>
      <c r="CH287"/>
      <c r="CI287"/>
      <c r="CJ287"/>
      <c r="CK287"/>
      <c r="CL287"/>
      <c r="CM287"/>
      <c r="CN287" s="56" t="s">
        <v>1</v>
      </c>
      <c r="CO287" s="5">
        <v>1</v>
      </c>
    </row>
    <row r="288" spans="1:93" s="1" customFormat="1" ht="21" customHeight="1">
      <c r="A288" s="20" t="str">
        <f t="shared" si="117"/>
        <v>►</v>
      </c>
      <c r="B288" s="43" t="str">
        <f t="shared" si="102"/>
        <v>►</v>
      </c>
      <c r="C288" s="45" t="str">
        <f t="shared" si="103"/>
        <v>►</v>
      </c>
      <c r="D288" s="44" t="str">
        <f t="shared" si="104"/>
        <v>►</v>
      </c>
      <c r="E288" s="43" t="str">
        <f t="shared" si="105"/>
        <v>►</v>
      </c>
      <c r="F288" s="43" t="str">
        <f t="shared" si="106"/>
        <v>►</v>
      </c>
      <c r="G288" s="43" t="str">
        <f t="shared" si="107"/>
        <v>►</v>
      </c>
      <c r="H288" s="1256" t="s">
        <v>1</v>
      </c>
      <c r="I288" s="5175" t="s">
        <v>1</v>
      </c>
      <c r="J288" s="5161"/>
      <c r="K288" s="5161"/>
      <c r="L288" s="5161"/>
      <c r="M288" s="5176"/>
      <c r="N288" s="5177"/>
      <c r="O288" s="147"/>
      <c r="P288" s="147"/>
      <c r="Q288" s="102"/>
      <c r="R288" s="102"/>
      <c r="S288" s="1360"/>
      <c r="T288" s="43"/>
      <c r="U288" s="42"/>
      <c r="V288" s="41"/>
      <c r="W288" s="40"/>
      <c r="X288" s="39"/>
      <c r="Y288" s="38"/>
      <c r="Z288" s="37"/>
      <c r="AA288" s="36"/>
      <c r="AB288" s="35"/>
      <c r="AC288" s="34"/>
      <c r="AD288" s="55"/>
      <c r="AE288" s="33"/>
      <c r="AF288"/>
      <c r="AG288" s="32"/>
      <c r="AH288" s="31"/>
      <c r="AI288" s="30"/>
      <c r="AJ288" s="5492">
        <f t="shared" si="109"/>
        <v>0</v>
      </c>
      <c r="AK288" s="29">
        <f t="shared" si="110"/>
        <v>0</v>
      </c>
      <c r="AL288" s="28" t="str">
        <f t="shared" si="111"/>
        <v/>
      </c>
      <c r="AM288" s="27"/>
      <c r="AN288" s="26">
        <f t="shared" si="112"/>
        <v>0</v>
      </c>
      <c r="AO288" s="25">
        <f t="shared" si="113"/>
        <v>0</v>
      </c>
      <c r="AP288" s="24">
        <f t="shared" si="114"/>
        <v>0</v>
      </c>
      <c r="AQ288" s="23"/>
      <c r="AR288" s="22">
        <f t="shared" si="115"/>
        <v>0</v>
      </c>
      <c r="AS288" s="21"/>
      <c r="AT288" s="13"/>
      <c r="AU288" s="46">
        <f t="shared" si="116"/>
        <v>0</v>
      </c>
      <c r="AV288"/>
      <c r="AZ288"/>
      <c r="BA288"/>
      <c r="BB288"/>
      <c r="BC288" s="3"/>
      <c r="BD288" s="3"/>
      <c r="BE288" s="3"/>
      <c r="BF288" s="3"/>
      <c r="BG288" s="3"/>
      <c r="BH288" s="3"/>
      <c r="BI288" s="3"/>
      <c r="BJ288" s="3"/>
      <c r="BK288" s="3"/>
      <c r="BL288" s="20" t="str">
        <f t="shared" si="108"/>
        <v>►</v>
      </c>
      <c r="BM288"/>
      <c r="BN288"/>
      <c r="BO288"/>
      <c r="BP288"/>
      <c r="BQ288"/>
      <c r="BR288"/>
      <c r="BS288"/>
      <c r="BT288"/>
      <c r="BU288"/>
      <c r="BV288"/>
      <c r="BW288"/>
      <c r="BX288"/>
      <c r="BY288"/>
      <c r="BZ288"/>
      <c r="CA288"/>
      <c r="CB288"/>
      <c r="CC288"/>
      <c r="CD288"/>
      <c r="CE288"/>
      <c r="CF288"/>
      <c r="CG288"/>
      <c r="CH288"/>
      <c r="CI288"/>
      <c r="CJ288"/>
      <c r="CK288"/>
      <c r="CL288"/>
      <c r="CM288"/>
      <c r="CN288" s="56" t="s">
        <v>1</v>
      </c>
      <c r="CO288" s="5">
        <v>1</v>
      </c>
    </row>
    <row r="289" spans="1:93" s="1" customFormat="1" ht="21" customHeight="1">
      <c r="A289" s="20" t="str">
        <f t="shared" si="117"/>
        <v>►</v>
      </c>
      <c r="B289" s="43" t="str">
        <f t="shared" si="102"/>
        <v>►</v>
      </c>
      <c r="C289" s="45" t="str">
        <f t="shared" si="103"/>
        <v>►</v>
      </c>
      <c r="D289" s="44" t="str">
        <f t="shared" si="104"/>
        <v>►</v>
      </c>
      <c r="E289" s="43" t="str">
        <f t="shared" si="105"/>
        <v>►</v>
      </c>
      <c r="F289" s="43" t="str">
        <f t="shared" si="106"/>
        <v>►</v>
      </c>
      <c r="G289" s="43" t="str">
        <f t="shared" si="107"/>
        <v>►</v>
      </c>
      <c r="H289" s="1256" t="s">
        <v>1</v>
      </c>
      <c r="I289" s="5175" t="s">
        <v>1</v>
      </c>
      <c r="J289" s="5161"/>
      <c r="K289" s="5161"/>
      <c r="L289" s="5161"/>
      <c r="M289" s="5176"/>
      <c r="N289" s="5177"/>
      <c r="O289" s="147"/>
      <c r="P289" s="147"/>
      <c r="Q289" s="102"/>
      <c r="R289" s="102"/>
      <c r="S289" s="1360"/>
      <c r="T289" s="43"/>
      <c r="U289" s="42"/>
      <c r="V289" s="41"/>
      <c r="W289" s="40"/>
      <c r="X289" s="39"/>
      <c r="Y289" s="38"/>
      <c r="Z289" s="37"/>
      <c r="AA289" s="36"/>
      <c r="AB289" s="35"/>
      <c r="AC289" s="34"/>
      <c r="AD289" s="55"/>
      <c r="AE289" s="33"/>
      <c r="AF289"/>
      <c r="AG289" s="32"/>
      <c r="AH289" s="31"/>
      <c r="AI289" s="30"/>
      <c r="AJ289" s="5492">
        <f t="shared" si="109"/>
        <v>0</v>
      </c>
      <c r="AK289" s="54">
        <f t="shared" si="110"/>
        <v>0</v>
      </c>
      <c r="AL289" s="53" t="str">
        <f t="shared" si="111"/>
        <v/>
      </c>
      <c r="AM289" s="52"/>
      <c r="AN289" s="51">
        <f t="shared" si="112"/>
        <v>0</v>
      </c>
      <c r="AO289" s="50">
        <f t="shared" si="113"/>
        <v>0</v>
      </c>
      <c r="AP289" s="49">
        <f t="shared" si="114"/>
        <v>0</v>
      </c>
      <c r="AQ289" s="23"/>
      <c r="AR289" s="48">
        <f t="shared" si="115"/>
        <v>0</v>
      </c>
      <c r="AS289" s="47"/>
      <c r="AT289" s="13"/>
      <c r="AU289" s="46">
        <f t="shared" si="116"/>
        <v>0</v>
      </c>
      <c r="AV289"/>
      <c r="AZ289"/>
      <c r="BA289"/>
      <c r="BB289"/>
      <c r="BC289" s="3"/>
      <c r="BD289" s="3"/>
      <c r="BE289" s="3"/>
      <c r="BF289" s="3"/>
      <c r="BG289" s="3"/>
      <c r="BH289" s="3"/>
      <c r="BI289" s="3"/>
      <c r="BJ289" s="3"/>
      <c r="BK289" s="3"/>
      <c r="BL289" s="20" t="str">
        <f t="shared" si="108"/>
        <v>►</v>
      </c>
      <c r="BM289"/>
      <c r="BN289"/>
      <c r="BO289"/>
      <c r="BP289"/>
      <c r="BQ289"/>
      <c r="BR289"/>
      <c r="BS289"/>
      <c r="BT289"/>
      <c r="BU289"/>
      <c r="BV289"/>
      <c r="BW289"/>
      <c r="BX289"/>
      <c r="BY289"/>
      <c r="BZ289"/>
      <c r="CA289"/>
      <c r="CB289"/>
      <c r="CC289"/>
      <c r="CD289"/>
      <c r="CE289"/>
      <c r="CF289"/>
      <c r="CG289"/>
      <c r="CH289"/>
      <c r="CI289"/>
      <c r="CJ289"/>
      <c r="CK289"/>
      <c r="CL289"/>
      <c r="CM289"/>
      <c r="CN289" s="56" t="s">
        <v>1</v>
      </c>
      <c r="CO289" s="5">
        <v>1</v>
      </c>
    </row>
    <row r="290" spans="1:93" s="1" customFormat="1" ht="21" customHeight="1">
      <c r="A290" s="20" t="str">
        <f t="shared" si="117"/>
        <v>►</v>
      </c>
      <c r="B290" s="43" t="str">
        <f t="shared" si="102"/>
        <v>►</v>
      </c>
      <c r="C290" s="45" t="str">
        <f t="shared" si="103"/>
        <v>►</v>
      </c>
      <c r="D290" s="44" t="str">
        <f t="shared" si="104"/>
        <v>►</v>
      </c>
      <c r="E290" s="43" t="str">
        <f t="shared" si="105"/>
        <v>►</v>
      </c>
      <c r="F290" s="43" t="str">
        <f t="shared" si="106"/>
        <v>►</v>
      </c>
      <c r="G290" s="43" t="str">
        <f t="shared" si="107"/>
        <v>►</v>
      </c>
      <c r="H290" s="1256" t="s">
        <v>1</v>
      </c>
      <c r="I290" s="5175" t="s">
        <v>1</v>
      </c>
      <c r="J290" s="5161"/>
      <c r="K290" s="5161"/>
      <c r="L290" s="5161"/>
      <c r="M290" s="5176"/>
      <c r="N290" s="5177"/>
      <c r="O290" s="147"/>
      <c r="P290" s="147"/>
      <c r="Q290" s="102"/>
      <c r="R290" s="102"/>
      <c r="S290" s="1360"/>
      <c r="T290" s="43"/>
      <c r="U290" s="42"/>
      <c r="V290" s="41"/>
      <c r="W290" s="40"/>
      <c r="X290" s="39"/>
      <c r="Y290" s="38"/>
      <c r="Z290" s="37"/>
      <c r="AA290" s="36"/>
      <c r="AB290" s="35"/>
      <c r="AC290" s="34"/>
      <c r="AD290" s="55"/>
      <c r="AE290" s="33"/>
      <c r="AF290"/>
      <c r="AG290" s="32"/>
      <c r="AH290" s="31"/>
      <c r="AI290" s="30"/>
      <c r="AJ290" s="5492">
        <f t="shared" si="109"/>
        <v>0</v>
      </c>
      <c r="AK290" s="29">
        <f t="shared" si="110"/>
        <v>0</v>
      </c>
      <c r="AL290" s="28" t="str">
        <f t="shared" si="111"/>
        <v/>
      </c>
      <c r="AM290" s="27"/>
      <c r="AN290" s="26">
        <f t="shared" si="112"/>
        <v>0</v>
      </c>
      <c r="AO290" s="25">
        <f t="shared" si="113"/>
        <v>0</v>
      </c>
      <c r="AP290" s="24">
        <f t="shared" si="114"/>
        <v>0</v>
      </c>
      <c r="AQ290" s="23"/>
      <c r="AR290" s="22">
        <f t="shared" si="115"/>
        <v>0</v>
      </c>
      <c r="AS290" s="21"/>
      <c r="AT290" s="13"/>
      <c r="AU290" s="46">
        <f t="shared" si="116"/>
        <v>0</v>
      </c>
      <c r="AV290"/>
      <c r="AZ290"/>
      <c r="BA290"/>
      <c r="BB290"/>
      <c r="BC290" s="3"/>
      <c r="BD290" s="3"/>
      <c r="BE290" s="3"/>
      <c r="BF290" s="3"/>
      <c r="BG290" s="3"/>
      <c r="BH290" s="3"/>
      <c r="BI290" s="3"/>
      <c r="BJ290" s="3"/>
      <c r="BK290" s="3"/>
      <c r="BL290" s="20" t="str">
        <f t="shared" si="108"/>
        <v>►</v>
      </c>
      <c r="BM290"/>
      <c r="BN290"/>
      <c r="BO290"/>
      <c r="BP290"/>
      <c r="BQ290"/>
      <c r="BR290"/>
      <c r="BS290"/>
      <c r="BT290"/>
      <c r="BU290"/>
      <c r="BV290"/>
      <c r="BW290"/>
      <c r="BX290"/>
      <c r="BY290"/>
      <c r="BZ290"/>
      <c r="CA290"/>
      <c r="CB290"/>
      <c r="CC290"/>
      <c r="CD290"/>
      <c r="CE290"/>
      <c r="CF290"/>
      <c r="CG290"/>
      <c r="CH290"/>
      <c r="CI290"/>
      <c r="CJ290"/>
      <c r="CK290"/>
      <c r="CL290"/>
      <c r="CM290"/>
      <c r="CN290" s="56" t="s">
        <v>1</v>
      </c>
      <c r="CO290" s="5">
        <v>1</v>
      </c>
    </row>
    <row r="291" spans="1:93" s="1" customFormat="1" ht="21" customHeight="1">
      <c r="A291" s="20" t="str">
        <f t="shared" si="117"/>
        <v>►</v>
      </c>
      <c r="B291" s="43" t="str">
        <f t="shared" si="102"/>
        <v>►</v>
      </c>
      <c r="C291" s="45" t="str">
        <f t="shared" si="103"/>
        <v>►</v>
      </c>
      <c r="D291" s="44" t="str">
        <f t="shared" si="104"/>
        <v>►</v>
      </c>
      <c r="E291" s="43" t="str">
        <f t="shared" si="105"/>
        <v>►</v>
      </c>
      <c r="F291" s="43" t="str">
        <f t="shared" si="106"/>
        <v>►</v>
      </c>
      <c r="G291" s="43" t="str">
        <f t="shared" si="107"/>
        <v>►</v>
      </c>
      <c r="H291" s="1256" t="s">
        <v>1</v>
      </c>
      <c r="I291" s="5175" t="s">
        <v>1</v>
      </c>
      <c r="J291" s="5161"/>
      <c r="K291" s="5161"/>
      <c r="L291" s="5161"/>
      <c r="M291" s="5176"/>
      <c r="N291" s="5177"/>
      <c r="O291" s="147"/>
      <c r="P291" s="147"/>
      <c r="Q291" s="102"/>
      <c r="R291" s="102"/>
      <c r="S291" s="1360"/>
      <c r="T291" s="43"/>
      <c r="U291" s="42"/>
      <c r="V291" s="41"/>
      <c r="W291" s="40"/>
      <c r="X291" s="39"/>
      <c r="Y291" s="38"/>
      <c r="Z291" s="37"/>
      <c r="AA291" s="36"/>
      <c r="AB291" s="35"/>
      <c r="AC291" s="34"/>
      <c r="AD291" s="55"/>
      <c r="AE291" s="33"/>
      <c r="AF291"/>
      <c r="AG291" s="32"/>
      <c r="AH291" s="31"/>
      <c r="AI291" s="30"/>
      <c r="AJ291" s="5492">
        <f t="shared" si="109"/>
        <v>0</v>
      </c>
      <c r="AK291" s="54">
        <f t="shared" si="110"/>
        <v>0</v>
      </c>
      <c r="AL291" s="53" t="str">
        <f t="shared" si="111"/>
        <v/>
      </c>
      <c r="AM291" s="52"/>
      <c r="AN291" s="51">
        <f t="shared" si="112"/>
        <v>0</v>
      </c>
      <c r="AO291" s="50">
        <f t="shared" si="113"/>
        <v>0</v>
      </c>
      <c r="AP291" s="49">
        <f t="shared" si="114"/>
        <v>0</v>
      </c>
      <c r="AQ291" s="23"/>
      <c r="AR291" s="48">
        <f t="shared" si="115"/>
        <v>0</v>
      </c>
      <c r="AS291" s="47"/>
      <c r="AT291" s="13"/>
      <c r="AU291" s="46">
        <f t="shared" si="116"/>
        <v>0</v>
      </c>
      <c r="AV291"/>
      <c r="AZ291"/>
      <c r="BA291"/>
      <c r="BB291"/>
      <c r="BC291" s="3"/>
      <c r="BD291" s="3"/>
      <c r="BE291" s="3"/>
      <c r="BF291" s="3"/>
      <c r="BG291" s="3"/>
      <c r="BH291" s="3"/>
      <c r="BI291" s="3"/>
      <c r="BJ291" s="3"/>
      <c r="BK291" s="3"/>
      <c r="BL291" s="20" t="str">
        <f t="shared" si="108"/>
        <v>►</v>
      </c>
      <c r="BM291"/>
      <c r="BN291"/>
      <c r="BO291"/>
      <c r="BP291"/>
      <c r="BQ291"/>
      <c r="BR291"/>
      <c r="BS291"/>
      <c r="BT291"/>
      <c r="BU291"/>
      <c r="BV291"/>
      <c r="BW291"/>
      <c r="BX291"/>
      <c r="BY291"/>
      <c r="BZ291"/>
      <c r="CA291"/>
      <c r="CB291"/>
      <c r="CC291"/>
      <c r="CD291"/>
      <c r="CE291"/>
      <c r="CF291"/>
      <c r="CG291"/>
      <c r="CH291"/>
      <c r="CI291"/>
      <c r="CJ291"/>
      <c r="CK291"/>
      <c r="CL291"/>
      <c r="CM291"/>
      <c r="CN291" s="56" t="s">
        <v>1</v>
      </c>
      <c r="CO291" s="5">
        <v>1</v>
      </c>
    </row>
    <row r="292" spans="1:93" s="1" customFormat="1" ht="21" customHeight="1">
      <c r="A292" s="20" t="str">
        <f t="shared" si="117"/>
        <v>►</v>
      </c>
      <c r="B292" s="43" t="str">
        <f t="shared" si="102"/>
        <v>►</v>
      </c>
      <c r="C292" s="45" t="str">
        <f t="shared" si="103"/>
        <v>►</v>
      </c>
      <c r="D292" s="44" t="str">
        <f t="shared" si="104"/>
        <v>►</v>
      </c>
      <c r="E292" s="43" t="str">
        <f t="shared" si="105"/>
        <v>►</v>
      </c>
      <c r="F292" s="43" t="str">
        <f t="shared" si="106"/>
        <v>►</v>
      </c>
      <c r="G292" s="43" t="str">
        <f t="shared" si="107"/>
        <v>►</v>
      </c>
      <c r="H292" s="1256" t="s">
        <v>1</v>
      </c>
      <c r="I292" s="5175" t="s">
        <v>1</v>
      </c>
      <c r="J292" s="5161"/>
      <c r="K292" s="5161"/>
      <c r="L292" s="5161"/>
      <c r="M292" s="5176"/>
      <c r="N292" s="5177"/>
      <c r="O292" s="147"/>
      <c r="P292" s="147"/>
      <c r="Q292" s="102"/>
      <c r="R292" s="102"/>
      <c r="S292" s="1360"/>
      <c r="T292" s="43"/>
      <c r="U292" s="42"/>
      <c r="V292" s="41"/>
      <c r="W292" s="40"/>
      <c r="X292" s="39"/>
      <c r="Y292" s="38"/>
      <c r="Z292" s="37"/>
      <c r="AA292" s="36"/>
      <c r="AB292" s="35"/>
      <c r="AC292" s="34"/>
      <c r="AD292" s="55"/>
      <c r="AE292" s="33"/>
      <c r="AF292"/>
      <c r="AG292" s="32"/>
      <c r="AH292" s="31"/>
      <c r="AI292" s="30"/>
      <c r="AJ292" s="5492">
        <f t="shared" si="109"/>
        <v>0</v>
      </c>
      <c r="AK292" s="29">
        <f t="shared" si="110"/>
        <v>0</v>
      </c>
      <c r="AL292" s="28" t="str">
        <f t="shared" si="111"/>
        <v/>
      </c>
      <c r="AM292" s="27"/>
      <c r="AN292" s="26">
        <f t="shared" si="112"/>
        <v>0</v>
      </c>
      <c r="AO292" s="25">
        <f t="shared" si="113"/>
        <v>0</v>
      </c>
      <c r="AP292" s="24">
        <f t="shared" si="114"/>
        <v>0</v>
      </c>
      <c r="AQ292" s="23"/>
      <c r="AR292" s="22">
        <f t="shared" si="115"/>
        <v>0</v>
      </c>
      <c r="AS292" s="21"/>
      <c r="AT292" s="13"/>
      <c r="AU292" s="46">
        <f t="shared" si="116"/>
        <v>0</v>
      </c>
      <c r="AV292"/>
      <c r="AZ292"/>
      <c r="BA292"/>
      <c r="BB292"/>
      <c r="BC292" s="3"/>
      <c r="BD292" s="3"/>
      <c r="BE292" s="3"/>
      <c r="BF292" s="3"/>
      <c r="BG292" s="3"/>
      <c r="BH292" s="3"/>
      <c r="BI292" s="3"/>
      <c r="BJ292" s="3"/>
      <c r="BK292" s="3"/>
      <c r="BL292" s="20" t="str">
        <f t="shared" si="108"/>
        <v>►</v>
      </c>
      <c r="BM292"/>
      <c r="BN292"/>
      <c r="BO292"/>
      <c r="BP292"/>
      <c r="BQ292"/>
      <c r="BR292"/>
      <c r="BS292"/>
      <c r="BT292"/>
      <c r="BU292"/>
      <c r="BV292"/>
      <c r="BW292"/>
      <c r="BX292"/>
      <c r="BY292"/>
      <c r="BZ292"/>
      <c r="CA292"/>
      <c r="CB292"/>
      <c r="CC292"/>
      <c r="CD292"/>
      <c r="CE292"/>
      <c r="CF292"/>
      <c r="CG292"/>
      <c r="CH292"/>
      <c r="CI292"/>
      <c r="CJ292"/>
      <c r="CK292"/>
      <c r="CL292"/>
      <c r="CM292"/>
      <c r="CN292" s="56" t="s">
        <v>1</v>
      </c>
      <c r="CO292" s="5">
        <v>1</v>
      </c>
    </row>
    <row r="293" spans="1:93" s="1" customFormat="1" ht="21" customHeight="1">
      <c r="A293" s="20" t="str">
        <f t="shared" si="117"/>
        <v>►</v>
      </c>
      <c r="B293" s="43" t="str">
        <f t="shared" si="102"/>
        <v>►</v>
      </c>
      <c r="C293" s="45" t="str">
        <f t="shared" si="103"/>
        <v>►</v>
      </c>
      <c r="D293" s="44" t="str">
        <f t="shared" si="104"/>
        <v>►</v>
      </c>
      <c r="E293" s="43" t="str">
        <f t="shared" si="105"/>
        <v>►</v>
      </c>
      <c r="F293" s="43" t="str">
        <f t="shared" si="106"/>
        <v>►</v>
      </c>
      <c r="G293" s="43" t="str">
        <f t="shared" si="107"/>
        <v>►</v>
      </c>
      <c r="H293" s="1256" t="s">
        <v>1</v>
      </c>
      <c r="I293" s="5175" t="s">
        <v>1</v>
      </c>
      <c r="J293" s="5161"/>
      <c r="K293" s="5161"/>
      <c r="L293" s="5161"/>
      <c r="M293" s="5176"/>
      <c r="N293" s="5177"/>
      <c r="O293" s="147"/>
      <c r="P293" s="147"/>
      <c r="Q293" s="102"/>
      <c r="R293" s="102"/>
      <c r="S293" s="1360"/>
      <c r="T293" s="43"/>
      <c r="U293" s="42"/>
      <c r="V293" s="41"/>
      <c r="W293" s="40"/>
      <c r="X293" s="39"/>
      <c r="Y293" s="38"/>
      <c r="Z293" s="37"/>
      <c r="AA293" s="36"/>
      <c r="AB293" s="35"/>
      <c r="AC293" s="34"/>
      <c r="AD293" s="55"/>
      <c r="AE293" s="33"/>
      <c r="AF293"/>
      <c r="AG293" s="32"/>
      <c r="AH293" s="31"/>
      <c r="AI293" s="30"/>
      <c r="AJ293" s="5492">
        <f t="shared" si="109"/>
        <v>0</v>
      </c>
      <c r="AK293" s="54">
        <f t="shared" si="110"/>
        <v>0</v>
      </c>
      <c r="AL293" s="53" t="str">
        <f t="shared" si="111"/>
        <v/>
      </c>
      <c r="AM293" s="52"/>
      <c r="AN293" s="51">
        <f t="shared" si="112"/>
        <v>0</v>
      </c>
      <c r="AO293" s="50">
        <f t="shared" si="113"/>
        <v>0</v>
      </c>
      <c r="AP293" s="49">
        <f t="shared" si="114"/>
        <v>0</v>
      </c>
      <c r="AQ293" s="23"/>
      <c r="AR293" s="48">
        <f t="shared" si="115"/>
        <v>0</v>
      </c>
      <c r="AS293" s="47"/>
      <c r="AT293" s="13"/>
      <c r="AU293" s="46">
        <f t="shared" si="116"/>
        <v>0</v>
      </c>
      <c r="AV293"/>
      <c r="AZ293"/>
      <c r="BA293"/>
      <c r="BB293"/>
      <c r="BC293" s="3"/>
      <c r="BD293" s="3"/>
      <c r="BE293" s="3"/>
      <c r="BF293" s="3"/>
      <c r="BG293" s="3"/>
      <c r="BH293" s="3"/>
      <c r="BI293" s="3"/>
      <c r="BJ293" s="3"/>
      <c r="BK293" s="3"/>
      <c r="BL293" s="20" t="str">
        <f t="shared" si="108"/>
        <v>►</v>
      </c>
      <c r="BM293"/>
      <c r="BN293"/>
      <c r="BO293"/>
      <c r="BP293"/>
      <c r="BQ293"/>
      <c r="BR293"/>
      <c r="BS293"/>
      <c r="BT293"/>
      <c r="BU293"/>
      <c r="BV293"/>
      <c r="BW293"/>
      <c r="BX293"/>
      <c r="BY293"/>
      <c r="BZ293"/>
      <c r="CA293"/>
      <c r="CB293"/>
      <c r="CC293"/>
      <c r="CD293"/>
      <c r="CE293"/>
      <c r="CF293"/>
      <c r="CG293"/>
      <c r="CH293"/>
      <c r="CI293"/>
      <c r="CJ293"/>
      <c r="CK293"/>
      <c r="CL293"/>
      <c r="CM293"/>
      <c r="CN293" s="56" t="s">
        <v>1</v>
      </c>
      <c r="CO293" s="5">
        <v>1</v>
      </c>
    </row>
    <row r="294" spans="1:93" s="1" customFormat="1" ht="21" customHeight="1">
      <c r="A294" s="20" t="str">
        <f t="shared" si="117"/>
        <v>►</v>
      </c>
      <c r="B294" s="43" t="str">
        <f t="shared" si="102"/>
        <v>►</v>
      </c>
      <c r="C294" s="45" t="str">
        <f t="shared" si="103"/>
        <v>►</v>
      </c>
      <c r="D294" s="44" t="str">
        <f t="shared" si="104"/>
        <v>►</v>
      </c>
      <c r="E294" s="43" t="str">
        <f t="shared" si="105"/>
        <v>►</v>
      </c>
      <c r="F294" s="43" t="str">
        <f t="shared" si="106"/>
        <v>►</v>
      </c>
      <c r="G294" s="43" t="str">
        <f t="shared" si="107"/>
        <v>►</v>
      </c>
      <c r="H294" s="1256" t="s">
        <v>1</v>
      </c>
      <c r="I294" s="5175" t="s">
        <v>1</v>
      </c>
      <c r="J294" s="5161"/>
      <c r="K294" s="5161"/>
      <c r="L294" s="5161"/>
      <c r="M294" s="5176"/>
      <c r="N294" s="5177"/>
      <c r="O294" s="147"/>
      <c r="P294" s="147"/>
      <c r="Q294" s="102"/>
      <c r="R294" s="102"/>
      <c r="S294" s="1360"/>
      <c r="T294" s="43"/>
      <c r="U294" s="42"/>
      <c r="V294" s="41"/>
      <c r="W294" s="40"/>
      <c r="X294" s="39"/>
      <c r="Y294" s="38"/>
      <c r="Z294" s="37"/>
      <c r="AA294" s="36"/>
      <c r="AB294" s="35"/>
      <c r="AC294" s="34"/>
      <c r="AD294" s="55"/>
      <c r="AE294" s="33"/>
      <c r="AF294"/>
      <c r="AG294" s="32"/>
      <c r="AH294" s="31"/>
      <c r="AI294" s="30"/>
      <c r="AJ294" s="5492">
        <f t="shared" si="109"/>
        <v>0</v>
      </c>
      <c r="AK294" s="29">
        <f t="shared" si="110"/>
        <v>0</v>
      </c>
      <c r="AL294" s="28" t="str">
        <f t="shared" si="111"/>
        <v/>
      </c>
      <c r="AM294" s="27"/>
      <c r="AN294" s="26">
        <f t="shared" si="112"/>
        <v>0</v>
      </c>
      <c r="AO294" s="25">
        <f t="shared" si="113"/>
        <v>0</v>
      </c>
      <c r="AP294" s="24">
        <f t="shared" si="114"/>
        <v>0</v>
      </c>
      <c r="AQ294" s="23"/>
      <c r="AR294" s="22">
        <f t="shared" si="115"/>
        <v>0</v>
      </c>
      <c r="AS294" s="21"/>
      <c r="AT294" s="13"/>
      <c r="AU294" s="46">
        <f t="shared" si="116"/>
        <v>0</v>
      </c>
      <c r="AV294"/>
      <c r="AZ294"/>
      <c r="BA294"/>
      <c r="BB294"/>
      <c r="BC294" s="3"/>
      <c r="BD294" s="3"/>
      <c r="BE294" s="3"/>
      <c r="BF294" s="3"/>
      <c r="BG294" s="3"/>
      <c r="BH294" s="3"/>
      <c r="BI294" s="3"/>
      <c r="BJ294" s="3"/>
      <c r="BK294" s="3"/>
      <c r="BL294" s="20" t="str">
        <f t="shared" si="108"/>
        <v>►</v>
      </c>
      <c r="BM294"/>
      <c r="BN294"/>
      <c r="BO294"/>
      <c r="BP294"/>
      <c r="BQ294"/>
      <c r="BR294"/>
      <c r="BS294"/>
      <c r="BT294"/>
      <c r="BU294"/>
      <c r="BV294"/>
      <c r="BW294"/>
      <c r="BX294"/>
      <c r="BY294"/>
      <c r="BZ294"/>
      <c r="CA294"/>
      <c r="CB294"/>
      <c r="CC294"/>
      <c r="CD294"/>
      <c r="CE294"/>
      <c r="CF294"/>
      <c r="CG294"/>
      <c r="CH294"/>
      <c r="CI294"/>
      <c r="CJ294"/>
      <c r="CK294"/>
      <c r="CL294"/>
      <c r="CM294"/>
      <c r="CN294" s="56" t="s">
        <v>1</v>
      </c>
      <c r="CO294" s="5">
        <v>1</v>
      </c>
    </row>
    <row r="295" spans="1:93" s="1" customFormat="1" ht="21" customHeight="1">
      <c r="A295" s="20" t="str">
        <f t="shared" si="117"/>
        <v>►</v>
      </c>
      <c r="B295" s="43" t="str">
        <f t="shared" si="102"/>
        <v>►</v>
      </c>
      <c r="C295" s="45" t="str">
        <f t="shared" si="103"/>
        <v>►</v>
      </c>
      <c r="D295" s="44" t="str">
        <f t="shared" si="104"/>
        <v>►</v>
      </c>
      <c r="E295" s="43" t="str">
        <f t="shared" si="105"/>
        <v>►</v>
      </c>
      <c r="F295" s="43" t="str">
        <f t="shared" si="106"/>
        <v>►</v>
      </c>
      <c r="G295" s="43" t="str">
        <f t="shared" si="107"/>
        <v>►</v>
      </c>
      <c r="H295" s="1256" t="s">
        <v>1</v>
      </c>
      <c r="I295" s="5175" t="s">
        <v>1</v>
      </c>
      <c r="J295" s="5161"/>
      <c r="K295" s="5161"/>
      <c r="L295" s="5161"/>
      <c r="M295" s="5176"/>
      <c r="N295" s="5177"/>
      <c r="O295" s="147"/>
      <c r="P295" s="147"/>
      <c r="Q295" s="102"/>
      <c r="R295" s="102"/>
      <c r="S295" s="1360"/>
      <c r="T295" s="43"/>
      <c r="U295" s="42"/>
      <c r="V295" s="41"/>
      <c r="W295" s="40"/>
      <c r="X295" s="39"/>
      <c r="Y295" s="38"/>
      <c r="Z295" s="37"/>
      <c r="AA295" s="36"/>
      <c r="AB295" s="35"/>
      <c r="AC295" s="34"/>
      <c r="AD295" s="55"/>
      <c r="AE295" s="33"/>
      <c r="AF295"/>
      <c r="AG295" s="32"/>
      <c r="AH295" s="31"/>
      <c r="AI295" s="30"/>
      <c r="AJ295" s="5492">
        <f t="shared" si="109"/>
        <v>0</v>
      </c>
      <c r="AK295" s="54">
        <f t="shared" si="110"/>
        <v>0</v>
      </c>
      <c r="AL295" s="53" t="str">
        <f t="shared" si="111"/>
        <v/>
      </c>
      <c r="AM295" s="52"/>
      <c r="AN295" s="51">
        <f t="shared" si="112"/>
        <v>0</v>
      </c>
      <c r="AO295" s="50">
        <f t="shared" si="113"/>
        <v>0</v>
      </c>
      <c r="AP295" s="49">
        <f t="shared" si="114"/>
        <v>0</v>
      </c>
      <c r="AQ295" s="23"/>
      <c r="AR295" s="48">
        <f t="shared" si="115"/>
        <v>0</v>
      </c>
      <c r="AS295" s="47"/>
      <c r="AT295" s="13"/>
      <c r="AU295" s="46">
        <f t="shared" si="116"/>
        <v>0</v>
      </c>
      <c r="AV295"/>
      <c r="AZ295"/>
      <c r="BA295"/>
      <c r="BB295"/>
      <c r="BC295" s="3"/>
      <c r="BD295" s="3"/>
      <c r="BE295" s="3"/>
      <c r="BF295" s="3"/>
      <c r="BG295" s="3"/>
      <c r="BH295" s="3"/>
      <c r="BI295" s="3"/>
      <c r="BJ295" s="3"/>
      <c r="BK295" s="3"/>
      <c r="BL295" s="20" t="str">
        <f t="shared" si="108"/>
        <v>►</v>
      </c>
      <c r="BM295"/>
      <c r="BN295"/>
      <c r="BO295"/>
      <c r="BP295"/>
      <c r="BQ295"/>
      <c r="BR295"/>
      <c r="BS295"/>
      <c r="BT295"/>
      <c r="BU295"/>
      <c r="BV295"/>
      <c r="BW295"/>
      <c r="BX295"/>
      <c r="BY295"/>
      <c r="BZ295"/>
      <c r="CA295"/>
      <c r="CB295"/>
      <c r="CC295"/>
      <c r="CD295"/>
      <c r="CE295"/>
      <c r="CF295"/>
      <c r="CG295"/>
      <c r="CH295"/>
      <c r="CI295"/>
      <c r="CJ295"/>
      <c r="CK295"/>
      <c r="CL295"/>
      <c r="CM295"/>
      <c r="CN295" s="56" t="s">
        <v>1</v>
      </c>
      <c r="CO295" s="5">
        <v>1</v>
      </c>
    </row>
    <row r="296" spans="1:93" s="1" customFormat="1" ht="21" customHeight="1">
      <c r="A296" s="20" t="str">
        <f t="shared" si="117"/>
        <v>►</v>
      </c>
      <c r="B296" s="43" t="str">
        <f t="shared" si="102"/>
        <v>►</v>
      </c>
      <c r="C296" s="45" t="str">
        <f t="shared" si="103"/>
        <v>►</v>
      </c>
      <c r="D296" s="44" t="str">
        <f t="shared" si="104"/>
        <v>►</v>
      </c>
      <c r="E296" s="43" t="str">
        <f t="shared" si="105"/>
        <v>►</v>
      </c>
      <c r="F296" s="43" t="str">
        <f t="shared" si="106"/>
        <v>►</v>
      </c>
      <c r="G296" s="43" t="str">
        <f t="shared" si="107"/>
        <v>►</v>
      </c>
      <c r="H296" s="1256" t="s">
        <v>1</v>
      </c>
      <c r="I296" s="5175" t="s">
        <v>1</v>
      </c>
      <c r="J296" s="5161"/>
      <c r="K296" s="5161"/>
      <c r="L296" s="5161"/>
      <c r="M296" s="5176"/>
      <c r="N296" s="5177"/>
      <c r="O296" s="147"/>
      <c r="P296" s="147"/>
      <c r="Q296" s="102"/>
      <c r="R296" s="102"/>
      <c r="S296" s="1360"/>
      <c r="T296" s="43"/>
      <c r="U296" s="42"/>
      <c r="V296" s="41"/>
      <c r="W296" s="40"/>
      <c r="X296" s="39"/>
      <c r="Y296" s="38"/>
      <c r="Z296" s="37"/>
      <c r="AA296" s="36"/>
      <c r="AB296" s="35"/>
      <c r="AC296" s="34"/>
      <c r="AD296" s="55"/>
      <c r="AE296" s="33"/>
      <c r="AF296"/>
      <c r="AG296" s="32"/>
      <c r="AH296" s="31"/>
      <c r="AI296" s="30"/>
      <c r="AJ296" s="5492">
        <f t="shared" si="109"/>
        <v>0</v>
      </c>
      <c r="AK296" s="29">
        <f t="shared" si="110"/>
        <v>0</v>
      </c>
      <c r="AL296" s="28" t="str">
        <f t="shared" si="111"/>
        <v/>
      </c>
      <c r="AM296" s="27"/>
      <c r="AN296" s="26">
        <f t="shared" si="112"/>
        <v>0</v>
      </c>
      <c r="AO296" s="25">
        <f t="shared" si="113"/>
        <v>0</v>
      </c>
      <c r="AP296" s="24">
        <f t="shared" si="114"/>
        <v>0</v>
      </c>
      <c r="AQ296" s="23"/>
      <c r="AR296" s="22">
        <f t="shared" si="115"/>
        <v>0</v>
      </c>
      <c r="AS296" s="21"/>
      <c r="AT296" s="13"/>
      <c r="AU296" s="46">
        <f t="shared" si="116"/>
        <v>0</v>
      </c>
      <c r="AV296"/>
      <c r="AZ296"/>
      <c r="BA296"/>
      <c r="BB296"/>
      <c r="BC296" s="3"/>
      <c r="BD296" s="3"/>
      <c r="BE296" s="3"/>
      <c r="BF296" s="3"/>
      <c r="BG296" s="3"/>
      <c r="BH296" s="3"/>
      <c r="BI296" s="3"/>
      <c r="BJ296" s="3"/>
      <c r="BK296" s="3"/>
      <c r="BL296" s="20" t="str">
        <f t="shared" si="108"/>
        <v>►</v>
      </c>
      <c r="BM296"/>
      <c r="BN296"/>
      <c r="BO296"/>
      <c r="BP296"/>
      <c r="BQ296"/>
      <c r="BR296"/>
      <c r="BS296"/>
      <c r="BT296"/>
      <c r="BU296"/>
      <c r="BV296"/>
      <c r="BW296"/>
      <c r="BX296"/>
      <c r="BY296"/>
      <c r="BZ296"/>
      <c r="CA296"/>
      <c r="CB296"/>
      <c r="CC296"/>
      <c r="CD296"/>
      <c r="CE296"/>
      <c r="CF296"/>
      <c r="CG296"/>
      <c r="CH296"/>
      <c r="CI296"/>
      <c r="CJ296"/>
      <c r="CK296"/>
      <c r="CL296"/>
      <c r="CM296"/>
      <c r="CN296" s="56" t="s">
        <v>1</v>
      </c>
      <c r="CO296" s="5">
        <v>1</v>
      </c>
    </row>
    <row r="297" spans="1:93" s="1" customFormat="1" ht="21" customHeight="1">
      <c r="A297" s="20" t="str">
        <f t="shared" si="117"/>
        <v>►</v>
      </c>
      <c r="B297" s="43" t="str">
        <f t="shared" si="102"/>
        <v>►</v>
      </c>
      <c r="C297" s="45" t="str">
        <f t="shared" si="103"/>
        <v>►</v>
      </c>
      <c r="D297" s="44" t="str">
        <f t="shared" si="104"/>
        <v>►</v>
      </c>
      <c r="E297" s="43" t="str">
        <f t="shared" si="105"/>
        <v>►</v>
      </c>
      <c r="F297" s="43" t="str">
        <f t="shared" si="106"/>
        <v>►</v>
      </c>
      <c r="G297" s="43" t="str">
        <f t="shared" si="107"/>
        <v>►</v>
      </c>
      <c r="H297" s="1256" t="s">
        <v>1</v>
      </c>
      <c r="I297" s="5175" t="s">
        <v>1</v>
      </c>
      <c r="J297" s="5161"/>
      <c r="K297" s="5161"/>
      <c r="L297" s="5161"/>
      <c r="M297" s="5176"/>
      <c r="N297" s="5177"/>
      <c r="O297" s="147"/>
      <c r="P297" s="147"/>
      <c r="Q297" s="102"/>
      <c r="R297" s="102"/>
      <c r="S297" s="1360"/>
      <c r="T297" s="43"/>
      <c r="U297" s="42"/>
      <c r="V297" s="41"/>
      <c r="W297" s="40"/>
      <c r="X297" s="39"/>
      <c r="Y297" s="38"/>
      <c r="Z297" s="37"/>
      <c r="AA297" s="36"/>
      <c r="AB297" s="35"/>
      <c r="AC297" s="34"/>
      <c r="AD297" s="55"/>
      <c r="AE297" s="33"/>
      <c r="AF297"/>
      <c r="AG297" s="32"/>
      <c r="AH297" s="31"/>
      <c r="AI297" s="30"/>
      <c r="AJ297" s="5492">
        <f t="shared" si="109"/>
        <v>0</v>
      </c>
      <c r="AK297" s="54">
        <f t="shared" si="110"/>
        <v>0</v>
      </c>
      <c r="AL297" s="53" t="str">
        <f t="shared" si="111"/>
        <v/>
      </c>
      <c r="AM297" s="52"/>
      <c r="AN297" s="51">
        <f t="shared" si="112"/>
        <v>0</v>
      </c>
      <c r="AO297" s="50">
        <f t="shared" si="113"/>
        <v>0</v>
      </c>
      <c r="AP297" s="49">
        <f t="shared" si="114"/>
        <v>0</v>
      </c>
      <c r="AQ297" s="23"/>
      <c r="AR297" s="48">
        <f t="shared" si="115"/>
        <v>0</v>
      </c>
      <c r="AS297" s="47"/>
      <c r="AT297" s="13"/>
      <c r="AU297" s="46">
        <f t="shared" si="116"/>
        <v>0</v>
      </c>
      <c r="AV297"/>
      <c r="AZ297"/>
      <c r="BA297"/>
      <c r="BB297"/>
      <c r="BC297" s="3"/>
      <c r="BD297" s="3"/>
      <c r="BE297" s="3"/>
      <c r="BF297" s="3"/>
      <c r="BG297" s="3"/>
      <c r="BH297" s="3"/>
      <c r="BI297" s="3"/>
      <c r="BJ297" s="3"/>
      <c r="BK297" s="3"/>
      <c r="BL297" s="20" t="str">
        <f t="shared" si="108"/>
        <v>►</v>
      </c>
      <c r="BM297"/>
      <c r="BN297"/>
      <c r="BO297"/>
      <c r="BP297"/>
      <c r="BQ297"/>
      <c r="BR297"/>
      <c r="BS297"/>
      <c r="BT297"/>
      <c r="BU297"/>
      <c r="BV297"/>
      <c r="BW297"/>
      <c r="BX297"/>
      <c r="BY297"/>
      <c r="BZ297"/>
      <c r="CA297"/>
      <c r="CB297"/>
      <c r="CC297"/>
      <c r="CD297"/>
      <c r="CE297"/>
      <c r="CF297"/>
      <c r="CG297"/>
      <c r="CH297"/>
      <c r="CI297"/>
      <c r="CJ297"/>
      <c r="CK297"/>
      <c r="CL297"/>
      <c r="CM297"/>
      <c r="CN297" s="56" t="s">
        <v>1</v>
      </c>
      <c r="CO297" s="5">
        <v>1</v>
      </c>
    </row>
    <row r="298" spans="1:93" s="1" customFormat="1" ht="21" customHeight="1">
      <c r="A298" s="20" t="str">
        <f t="shared" si="117"/>
        <v>►</v>
      </c>
      <c r="B298" s="43" t="str">
        <f t="shared" si="102"/>
        <v>►</v>
      </c>
      <c r="C298" s="45" t="str">
        <f t="shared" si="103"/>
        <v>►</v>
      </c>
      <c r="D298" s="44" t="str">
        <f t="shared" si="104"/>
        <v>►</v>
      </c>
      <c r="E298" s="43" t="str">
        <f t="shared" si="105"/>
        <v>►</v>
      </c>
      <c r="F298" s="43" t="str">
        <f t="shared" si="106"/>
        <v>►</v>
      </c>
      <c r="G298" s="43" t="str">
        <f t="shared" si="107"/>
        <v>►</v>
      </c>
      <c r="H298" s="1256" t="s">
        <v>1</v>
      </c>
      <c r="I298" s="5175" t="s">
        <v>1</v>
      </c>
      <c r="J298" s="5161"/>
      <c r="K298" s="5161"/>
      <c r="L298" s="5161"/>
      <c r="M298" s="5176"/>
      <c r="N298" s="5177"/>
      <c r="O298" s="147"/>
      <c r="P298" s="147"/>
      <c r="Q298" s="102"/>
      <c r="R298" s="102"/>
      <c r="S298" s="1360"/>
      <c r="T298" s="43"/>
      <c r="U298" s="42"/>
      <c r="V298" s="41"/>
      <c r="W298" s="40"/>
      <c r="X298" s="39"/>
      <c r="Y298" s="38"/>
      <c r="Z298" s="37"/>
      <c r="AA298" s="36"/>
      <c r="AB298" s="35"/>
      <c r="AC298" s="34"/>
      <c r="AD298" s="55"/>
      <c r="AE298" s="33"/>
      <c r="AF298"/>
      <c r="AG298" s="32"/>
      <c r="AH298" s="31"/>
      <c r="AI298" s="30"/>
      <c r="AJ298" s="5492">
        <f t="shared" si="109"/>
        <v>0</v>
      </c>
      <c r="AK298" s="29">
        <f t="shared" si="110"/>
        <v>0</v>
      </c>
      <c r="AL298" s="28" t="str">
        <f t="shared" si="111"/>
        <v/>
      </c>
      <c r="AM298" s="27"/>
      <c r="AN298" s="26">
        <f t="shared" si="112"/>
        <v>0</v>
      </c>
      <c r="AO298" s="25">
        <f t="shared" si="113"/>
        <v>0</v>
      </c>
      <c r="AP298" s="24">
        <f t="shared" si="114"/>
        <v>0</v>
      </c>
      <c r="AQ298" s="23"/>
      <c r="AR298" s="22">
        <f t="shared" si="115"/>
        <v>0</v>
      </c>
      <c r="AS298" s="21"/>
      <c r="AT298" s="13"/>
      <c r="AU298" s="46">
        <f t="shared" si="116"/>
        <v>0</v>
      </c>
      <c r="AV298"/>
      <c r="AZ298"/>
      <c r="BA298"/>
      <c r="BB298"/>
      <c r="BC298" s="3"/>
      <c r="BD298" s="3"/>
      <c r="BE298" s="3"/>
      <c r="BF298" s="3"/>
      <c r="BG298" s="3"/>
      <c r="BH298" s="3"/>
      <c r="BI298" s="3"/>
      <c r="BJ298" s="3"/>
      <c r="BK298" s="3"/>
      <c r="BL298" s="20" t="str">
        <f t="shared" si="108"/>
        <v>►</v>
      </c>
      <c r="BM298"/>
      <c r="BN298"/>
      <c r="BO298"/>
      <c r="BP298"/>
      <c r="BQ298"/>
      <c r="BR298"/>
      <c r="BS298"/>
      <c r="BT298"/>
      <c r="BU298"/>
      <c r="BV298"/>
      <c r="BW298"/>
      <c r="BX298"/>
      <c r="BY298"/>
      <c r="BZ298"/>
      <c r="CA298"/>
      <c r="CB298"/>
      <c r="CC298"/>
      <c r="CD298"/>
      <c r="CE298"/>
      <c r="CF298"/>
      <c r="CG298"/>
      <c r="CH298"/>
      <c r="CI298"/>
      <c r="CJ298"/>
      <c r="CK298"/>
      <c r="CL298"/>
      <c r="CM298"/>
      <c r="CN298" s="56" t="s">
        <v>1</v>
      </c>
      <c r="CO298" s="5">
        <v>1</v>
      </c>
    </row>
    <row r="299" spans="1:93" s="1" customFormat="1" ht="21" customHeight="1">
      <c r="A299" s="20" t="str">
        <f t="shared" si="117"/>
        <v>►</v>
      </c>
      <c r="B299" s="43" t="str">
        <f t="shared" si="102"/>
        <v>►</v>
      </c>
      <c r="C299" s="45" t="str">
        <f t="shared" si="103"/>
        <v>►</v>
      </c>
      <c r="D299" s="44" t="str">
        <f t="shared" si="104"/>
        <v>►</v>
      </c>
      <c r="E299" s="43" t="str">
        <f t="shared" si="105"/>
        <v>►</v>
      </c>
      <c r="F299" s="43" t="str">
        <f t="shared" si="106"/>
        <v>►</v>
      </c>
      <c r="G299" s="43" t="str">
        <f t="shared" si="107"/>
        <v>►</v>
      </c>
      <c r="H299" s="1256" t="s">
        <v>1</v>
      </c>
      <c r="I299" s="5175" t="s">
        <v>1</v>
      </c>
      <c r="J299" s="5161"/>
      <c r="K299" s="5161"/>
      <c r="L299" s="5161"/>
      <c r="M299" s="5176"/>
      <c r="N299" s="5177"/>
      <c r="O299" s="147"/>
      <c r="P299" s="147"/>
      <c r="Q299" s="102"/>
      <c r="R299" s="102"/>
      <c r="S299" s="1360"/>
      <c r="T299" s="43"/>
      <c r="U299" s="42"/>
      <c r="V299" s="41"/>
      <c r="W299" s="40"/>
      <c r="X299" s="39"/>
      <c r="Y299" s="38"/>
      <c r="Z299" s="37"/>
      <c r="AA299" s="36"/>
      <c r="AB299" s="35"/>
      <c r="AC299" s="34"/>
      <c r="AD299" s="55"/>
      <c r="AE299" s="33"/>
      <c r="AF299"/>
      <c r="AG299" s="32"/>
      <c r="AH299" s="31"/>
      <c r="AI299" s="30"/>
      <c r="AJ299" s="5492">
        <f t="shared" si="109"/>
        <v>0</v>
      </c>
      <c r="AK299" s="54">
        <f t="shared" si="110"/>
        <v>0</v>
      </c>
      <c r="AL299" s="53" t="str">
        <f t="shared" si="111"/>
        <v/>
      </c>
      <c r="AM299" s="52"/>
      <c r="AN299" s="51">
        <f t="shared" si="112"/>
        <v>0</v>
      </c>
      <c r="AO299" s="50">
        <f t="shared" si="113"/>
        <v>0</v>
      </c>
      <c r="AP299" s="49">
        <f t="shared" si="114"/>
        <v>0</v>
      </c>
      <c r="AQ299" s="23"/>
      <c r="AR299" s="48">
        <f t="shared" si="115"/>
        <v>0</v>
      </c>
      <c r="AS299" s="47"/>
      <c r="AT299" s="13"/>
      <c r="AU299" s="46">
        <f t="shared" si="116"/>
        <v>0</v>
      </c>
      <c r="AV299"/>
      <c r="AZ299"/>
      <c r="BA299"/>
      <c r="BB299"/>
      <c r="BC299" s="3"/>
      <c r="BD299" s="3"/>
      <c r="BE299" s="3"/>
      <c r="BF299" s="3"/>
      <c r="BG299" s="3"/>
      <c r="BH299" s="3"/>
      <c r="BI299" s="3"/>
      <c r="BJ299" s="3"/>
      <c r="BK299" s="3"/>
      <c r="BL299" s="20" t="str">
        <f t="shared" si="108"/>
        <v>►</v>
      </c>
      <c r="BM299"/>
      <c r="BN299"/>
      <c r="BO299"/>
      <c r="BP299"/>
      <c r="BQ299"/>
      <c r="BR299"/>
      <c r="BS299"/>
      <c r="BT299"/>
      <c r="BU299"/>
      <c r="BV299"/>
      <c r="BW299"/>
      <c r="BX299"/>
      <c r="BY299"/>
      <c r="BZ299"/>
      <c r="CA299"/>
      <c r="CB299"/>
      <c r="CC299"/>
      <c r="CD299"/>
      <c r="CE299"/>
      <c r="CF299"/>
      <c r="CG299"/>
      <c r="CH299"/>
      <c r="CI299"/>
      <c r="CJ299"/>
      <c r="CK299"/>
      <c r="CL299"/>
      <c r="CM299"/>
      <c r="CN299" s="56" t="s">
        <v>1</v>
      </c>
      <c r="CO299" s="5">
        <v>1</v>
      </c>
    </row>
    <row r="300" spans="1:93" s="1" customFormat="1" ht="21" customHeight="1">
      <c r="A300" s="20" t="str">
        <f t="shared" si="117"/>
        <v>►</v>
      </c>
      <c r="B300" s="43" t="str">
        <f t="shared" si="102"/>
        <v>►</v>
      </c>
      <c r="C300" s="45" t="str">
        <f t="shared" si="103"/>
        <v>►</v>
      </c>
      <c r="D300" s="44" t="str">
        <f t="shared" si="104"/>
        <v>►</v>
      </c>
      <c r="E300" s="43" t="str">
        <f t="shared" si="105"/>
        <v>►</v>
      </c>
      <c r="F300" s="43" t="str">
        <f t="shared" si="106"/>
        <v>►</v>
      </c>
      <c r="G300" s="43" t="str">
        <f t="shared" si="107"/>
        <v>►</v>
      </c>
      <c r="H300" s="1256" t="s">
        <v>1</v>
      </c>
      <c r="I300" s="5175" t="s">
        <v>1</v>
      </c>
      <c r="J300" s="5161"/>
      <c r="K300" s="5161"/>
      <c r="L300" s="5161"/>
      <c r="M300" s="5176"/>
      <c r="N300" s="5177"/>
      <c r="O300" s="147"/>
      <c r="P300" s="147"/>
      <c r="Q300" s="102"/>
      <c r="R300" s="102"/>
      <c r="S300" s="1360"/>
      <c r="T300" s="43"/>
      <c r="U300" s="42"/>
      <c r="V300" s="41"/>
      <c r="W300" s="40"/>
      <c r="X300" s="39"/>
      <c r="Y300" s="38"/>
      <c r="Z300" s="37"/>
      <c r="AA300" s="36"/>
      <c r="AB300" s="35"/>
      <c r="AC300" s="34"/>
      <c r="AD300" s="55"/>
      <c r="AE300" s="33"/>
      <c r="AF300"/>
      <c r="AG300" s="32"/>
      <c r="AH300" s="31"/>
      <c r="AI300" s="30"/>
      <c r="AJ300" s="5492">
        <f t="shared" si="109"/>
        <v>0</v>
      </c>
      <c r="AK300" s="29">
        <f t="shared" si="110"/>
        <v>0</v>
      </c>
      <c r="AL300" s="28" t="str">
        <f t="shared" si="111"/>
        <v/>
      </c>
      <c r="AM300" s="27"/>
      <c r="AN300" s="26">
        <f t="shared" si="112"/>
        <v>0</v>
      </c>
      <c r="AO300" s="25">
        <f t="shared" si="113"/>
        <v>0</v>
      </c>
      <c r="AP300" s="24">
        <f t="shared" si="114"/>
        <v>0</v>
      </c>
      <c r="AQ300" s="23"/>
      <c r="AR300" s="22">
        <f t="shared" si="115"/>
        <v>0</v>
      </c>
      <c r="AS300" s="21"/>
      <c r="AT300" s="13"/>
      <c r="AU300" s="46">
        <f t="shared" si="116"/>
        <v>0</v>
      </c>
      <c r="AV300"/>
      <c r="AZ300"/>
      <c r="BA300"/>
      <c r="BB300"/>
      <c r="BC300" s="3"/>
      <c r="BD300" s="3"/>
      <c r="BE300" s="3"/>
      <c r="BF300" s="3"/>
      <c r="BG300" s="3"/>
      <c r="BH300" s="3"/>
      <c r="BI300" s="3"/>
      <c r="BJ300" s="3"/>
      <c r="BK300" s="3"/>
      <c r="BL300" s="20" t="str">
        <f t="shared" si="108"/>
        <v>►</v>
      </c>
      <c r="BM300"/>
      <c r="BN300"/>
      <c r="BO300"/>
      <c r="BP300"/>
      <c r="BQ300"/>
      <c r="BR300"/>
      <c r="BS300"/>
      <c r="BT300"/>
      <c r="BU300"/>
      <c r="BV300"/>
      <c r="BW300"/>
      <c r="BX300"/>
      <c r="BY300"/>
      <c r="BZ300"/>
      <c r="CA300"/>
      <c r="CB300"/>
      <c r="CC300"/>
      <c r="CD300"/>
      <c r="CE300"/>
      <c r="CF300"/>
      <c r="CG300"/>
      <c r="CH300"/>
      <c r="CI300"/>
      <c r="CJ300"/>
      <c r="CK300"/>
      <c r="CL300"/>
      <c r="CM300"/>
      <c r="CN300" s="56" t="s">
        <v>1</v>
      </c>
      <c r="CO300" s="5">
        <v>1</v>
      </c>
    </row>
    <row r="301" spans="1:93" s="1" customFormat="1" ht="21" customHeight="1">
      <c r="A301" s="20" t="str">
        <f t="shared" si="117"/>
        <v>►</v>
      </c>
      <c r="B301" s="43" t="str">
        <f t="shared" si="102"/>
        <v>►</v>
      </c>
      <c r="C301" s="45" t="str">
        <f t="shared" si="103"/>
        <v>►</v>
      </c>
      <c r="D301" s="44" t="str">
        <f t="shared" si="104"/>
        <v>►</v>
      </c>
      <c r="E301" s="43" t="str">
        <f t="shared" si="105"/>
        <v>►</v>
      </c>
      <c r="F301" s="43" t="str">
        <f t="shared" si="106"/>
        <v>►</v>
      </c>
      <c r="G301" s="43" t="str">
        <f t="shared" si="107"/>
        <v>►</v>
      </c>
      <c r="H301" s="1256" t="s">
        <v>1</v>
      </c>
      <c r="I301" s="5175" t="s">
        <v>1</v>
      </c>
      <c r="J301" s="5161"/>
      <c r="K301" s="5161"/>
      <c r="L301" s="5161"/>
      <c r="M301" s="5176"/>
      <c r="N301" s="5177"/>
      <c r="O301" s="147"/>
      <c r="P301" s="147"/>
      <c r="Q301" s="102"/>
      <c r="R301" s="102"/>
      <c r="S301" s="1360"/>
      <c r="T301" s="43"/>
      <c r="U301" s="42"/>
      <c r="V301" s="41"/>
      <c r="W301" s="40"/>
      <c r="X301" s="39"/>
      <c r="Y301" s="38"/>
      <c r="Z301" s="37"/>
      <c r="AA301" s="36"/>
      <c r="AB301" s="35"/>
      <c r="AC301" s="34"/>
      <c r="AD301" s="55"/>
      <c r="AE301" s="33"/>
      <c r="AF301"/>
      <c r="AG301" s="32"/>
      <c r="AH301" s="31"/>
      <c r="AI301" s="30"/>
      <c r="AJ301" s="5492">
        <f t="shared" si="109"/>
        <v>0</v>
      </c>
      <c r="AK301" s="54">
        <f t="shared" si="110"/>
        <v>0</v>
      </c>
      <c r="AL301" s="53" t="str">
        <f t="shared" si="111"/>
        <v/>
      </c>
      <c r="AM301" s="52"/>
      <c r="AN301" s="51">
        <f t="shared" si="112"/>
        <v>0</v>
      </c>
      <c r="AO301" s="50">
        <f t="shared" si="113"/>
        <v>0</v>
      </c>
      <c r="AP301" s="49">
        <f t="shared" si="114"/>
        <v>0</v>
      </c>
      <c r="AQ301" s="23"/>
      <c r="AR301" s="48">
        <f t="shared" si="115"/>
        <v>0</v>
      </c>
      <c r="AS301" s="47"/>
      <c r="AT301" s="13"/>
      <c r="AU301" s="46">
        <f t="shared" si="116"/>
        <v>0</v>
      </c>
      <c r="AV301"/>
      <c r="AZ301"/>
      <c r="BA301"/>
      <c r="BB301"/>
      <c r="BC301" s="3"/>
      <c r="BD301" s="3"/>
      <c r="BE301" s="3"/>
      <c r="BF301" s="3"/>
      <c r="BG301" s="3"/>
      <c r="BH301" s="3"/>
      <c r="BI301" s="3"/>
      <c r="BJ301" s="3"/>
      <c r="BK301" s="3"/>
      <c r="BL301" s="20" t="str">
        <f t="shared" si="108"/>
        <v>►</v>
      </c>
      <c r="BM301"/>
      <c r="BN301"/>
      <c r="BO301"/>
      <c r="BP301"/>
      <c r="BQ301"/>
      <c r="BR301"/>
      <c r="BS301"/>
      <c r="BT301"/>
      <c r="BU301"/>
      <c r="BV301"/>
      <c r="BW301"/>
      <c r="BX301"/>
      <c r="BY301"/>
      <c r="BZ301"/>
      <c r="CA301"/>
      <c r="CB301"/>
      <c r="CC301"/>
      <c r="CD301"/>
      <c r="CE301"/>
      <c r="CF301"/>
      <c r="CG301"/>
      <c r="CH301"/>
      <c r="CI301"/>
      <c r="CJ301"/>
      <c r="CK301"/>
      <c r="CL301"/>
      <c r="CM301"/>
      <c r="CN301" s="56"/>
      <c r="CO301" s="5">
        <v>1</v>
      </c>
    </row>
    <row r="302" spans="1:93" s="1" customFormat="1" ht="21" customHeight="1">
      <c r="A302" s="20" t="str">
        <f t="shared" si="117"/>
        <v>►</v>
      </c>
      <c r="B302" s="43" t="str">
        <f t="shared" si="102"/>
        <v>►</v>
      </c>
      <c r="C302" s="45" t="str">
        <f t="shared" si="103"/>
        <v>►</v>
      </c>
      <c r="D302" s="44" t="str">
        <f t="shared" si="104"/>
        <v>►</v>
      </c>
      <c r="E302" s="43" t="str">
        <f t="shared" si="105"/>
        <v>►</v>
      </c>
      <c r="F302" s="43" t="str">
        <f t="shared" si="106"/>
        <v>►</v>
      </c>
      <c r="G302" s="43" t="str">
        <f t="shared" si="107"/>
        <v>►</v>
      </c>
      <c r="H302" s="1256" t="s">
        <v>1</v>
      </c>
      <c r="I302" s="5175" t="s">
        <v>1</v>
      </c>
      <c r="J302" s="5161"/>
      <c r="K302" s="5161"/>
      <c r="L302" s="5161"/>
      <c r="M302" s="5176"/>
      <c r="N302" s="5177"/>
      <c r="O302" s="147"/>
      <c r="P302" s="147"/>
      <c r="Q302" s="102"/>
      <c r="R302" s="102"/>
      <c r="S302" s="1360"/>
      <c r="T302" s="43"/>
      <c r="U302" s="42"/>
      <c r="V302" s="41"/>
      <c r="W302" s="40"/>
      <c r="X302" s="39"/>
      <c r="Y302" s="38"/>
      <c r="Z302" s="37"/>
      <c r="AA302" s="36"/>
      <c r="AB302" s="35"/>
      <c r="AC302" s="34"/>
      <c r="AD302" s="55"/>
      <c r="AE302" s="33"/>
      <c r="AF302"/>
      <c r="AG302" s="32"/>
      <c r="AH302" s="31"/>
      <c r="AI302" s="30"/>
      <c r="AJ302" s="5492">
        <f t="shared" si="109"/>
        <v>0</v>
      </c>
      <c r="AK302" s="29">
        <f t="shared" si="110"/>
        <v>0</v>
      </c>
      <c r="AL302" s="28" t="str">
        <f t="shared" si="111"/>
        <v/>
      </c>
      <c r="AM302" s="27"/>
      <c r="AN302" s="26">
        <f t="shared" si="112"/>
        <v>0</v>
      </c>
      <c r="AO302" s="25">
        <f t="shared" si="113"/>
        <v>0</v>
      </c>
      <c r="AP302" s="24">
        <f t="shared" si="114"/>
        <v>0</v>
      </c>
      <c r="AQ302" s="23"/>
      <c r="AR302" s="22">
        <f t="shared" si="115"/>
        <v>0</v>
      </c>
      <c r="AS302" s="21"/>
      <c r="AT302" s="13"/>
      <c r="AU302" s="46">
        <f t="shared" si="116"/>
        <v>0</v>
      </c>
      <c r="AV302"/>
      <c r="AW302"/>
      <c r="AX302"/>
      <c r="AY302"/>
      <c r="AZ302"/>
      <c r="BA302"/>
      <c r="BB302"/>
      <c r="BC302" s="3"/>
      <c r="BD302" s="3"/>
      <c r="BE302" s="3"/>
      <c r="BF302" s="3"/>
      <c r="BG302" s="3"/>
      <c r="BH302" s="3"/>
      <c r="BI302" s="3"/>
      <c r="BJ302" s="3"/>
      <c r="BK302" s="3"/>
      <c r="BL302" s="20" t="str">
        <f t="shared" si="108"/>
        <v>►</v>
      </c>
      <c r="BM302"/>
      <c r="BN302"/>
      <c r="BO302"/>
      <c r="BP302"/>
      <c r="BQ302"/>
      <c r="BR302"/>
      <c r="BS302"/>
      <c r="BT302"/>
      <c r="BU302"/>
      <c r="BV302"/>
      <c r="BW302"/>
      <c r="BX302"/>
      <c r="BY302"/>
      <c r="BZ302"/>
      <c r="CA302"/>
      <c r="CB302"/>
      <c r="CC302"/>
      <c r="CD302"/>
      <c r="CE302"/>
      <c r="CF302"/>
      <c r="CG302"/>
      <c r="CH302"/>
      <c r="CI302"/>
      <c r="CJ302"/>
      <c r="CK302"/>
      <c r="CL302"/>
      <c r="CM302"/>
      <c r="CN302" s="56" t="s">
        <v>1</v>
      </c>
      <c r="CO302" s="5">
        <v>1</v>
      </c>
    </row>
    <row r="303" spans="1:93" s="1" customFormat="1" ht="21" customHeight="1">
      <c r="A303" s="20" t="str">
        <f t="shared" si="117"/>
        <v>►</v>
      </c>
      <c r="B303" s="43" t="str">
        <f t="shared" si="102"/>
        <v>►</v>
      </c>
      <c r="C303" s="45" t="str">
        <f t="shared" si="103"/>
        <v>►</v>
      </c>
      <c r="D303" s="44" t="str">
        <f t="shared" si="104"/>
        <v>►</v>
      </c>
      <c r="E303" s="43" t="str">
        <f t="shared" si="105"/>
        <v>►</v>
      </c>
      <c r="F303" s="43" t="str">
        <f t="shared" si="106"/>
        <v>►</v>
      </c>
      <c r="G303" s="43" t="str">
        <f t="shared" si="107"/>
        <v>►</v>
      </c>
      <c r="H303" s="1256" t="s">
        <v>1</v>
      </c>
      <c r="I303" s="5175" t="s">
        <v>1</v>
      </c>
      <c r="J303" s="5161"/>
      <c r="K303" s="5161"/>
      <c r="L303" s="5161"/>
      <c r="M303" s="5176"/>
      <c r="N303" s="5177"/>
      <c r="O303" s="147"/>
      <c r="P303" s="147"/>
      <c r="Q303" s="102"/>
      <c r="R303" s="102"/>
      <c r="S303" s="1360"/>
      <c r="T303" s="43"/>
      <c r="U303" s="42"/>
      <c r="V303" s="41"/>
      <c r="W303" s="40"/>
      <c r="X303" s="39"/>
      <c r="Y303" s="38"/>
      <c r="Z303" s="37"/>
      <c r="AA303" s="36"/>
      <c r="AB303" s="35"/>
      <c r="AC303" s="34"/>
      <c r="AD303" s="55"/>
      <c r="AE303" s="33"/>
      <c r="AF303"/>
      <c r="AG303" s="32"/>
      <c r="AH303" s="31"/>
      <c r="AI303" s="30"/>
      <c r="AJ303" s="5492">
        <f t="shared" si="109"/>
        <v>0</v>
      </c>
      <c r="AK303" s="54">
        <f t="shared" si="110"/>
        <v>0</v>
      </c>
      <c r="AL303" s="53" t="str">
        <f t="shared" si="111"/>
        <v/>
      </c>
      <c r="AM303" s="52"/>
      <c r="AN303" s="51">
        <f t="shared" si="112"/>
        <v>0</v>
      </c>
      <c r="AO303" s="50">
        <f t="shared" si="113"/>
        <v>0</v>
      </c>
      <c r="AP303" s="49">
        <f t="shared" si="114"/>
        <v>0</v>
      </c>
      <c r="AQ303" s="23"/>
      <c r="AR303" s="48">
        <f t="shared" si="115"/>
        <v>0</v>
      </c>
      <c r="AS303" s="47"/>
      <c r="AT303" s="13"/>
      <c r="AU303" s="46">
        <f t="shared" si="116"/>
        <v>0</v>
      </c>
      <c r="AV303"/>
      <c r="AW303"/>
      <c r="AX303"/>
      <c r="AY303"/>
      <c r="AZ303"/>
      <c r="BA303"/>
      <c r="BB303"/>
      <c r="BC303" s="3"/>
      <c r="BD303" s="3"/>
      <c r="BE303" s="3"/>
      <c r="BF303" s="3"/>
      <c r="BG303" s="3"/>
      <c r="BH303" s="3"/>
      <c r="BI303" s="3"/>
      <c r="BJ303" s="3"/>
      <c r="BK303" s="3"/>
      <c r="BL303" s="20" t="str">
        <f t="shared" si="108"/>
        <v>►</v>
      </c>
      <c r="BM303"/>
      <c r="BN303"/>
      <c r="BO303"/>
      <c r="BP303"/>
      <c r="BQ303"/>
      <c r="BR303"/>
      <c r="BS303"/>
      <c r="BT303"/>
      <c r="BU303"/>
      <c r="BV303"/>
      <c r="BW303"/>
      <c r="BX303"/>
      <c r="BY303"/>
      <c r="BZ303"/>
      <c r="CA303"/>
      <c r="CB303"/>
      <c r="CC303"/>
      <c r="CD303"/>
      <c r="CE303"/>
      <c r="CF303"/>
      <c r="CG303"/>
      <c r="CH303"/>
      <c r="CI303"/>
      <c r="CJ303"/>
      <c r="CK303"/>
      <c r="CL303"/>
      <c r="CM303"/>
      <c r="CN303" s="56" t="s">
        <v>1</v>
      </c>
      <c r="CO303" s="5">
        <v>1</v>
      </c>
    </row>
    <row r="304" spans="1:93" s="1" customFormat="1" ht="21" customHeight="1">
      <c r="A304" s="20" t="str">
        <f t="shared" si="117"/>
        <v>►</v>
      </c>
      <c r="B304" s="43" t="str">
        <f t="shared" si="102"/>
        <v>►</v>
      </c>
      <c r="C304" s="45" t="str">
        <f t="shared" si="103"/>
        <v>►</v>
      </c>
      <c r="D304" s="44" t="str">
        <f t="shared" si="104"/>
        <v>►</v>
      </c>
      <c r="E304" s="43" t="str">
        <f t="shared" si="105"/>
        <v>►</v>
      </c>
      <c r="F304" s="43" t="str">
        <f t="shared" si="106"/>
        <v>►</v>
      </c>
      <c r="G304" s="43" t="str">
        <f t="shared" si="107"/>
        <v>►</v>
      </c>
      <c r="H304" s="1256" t="s">
        <v>1</v>
      </c>
      <c r="I304" s="5175" t="s">
        <v>1</v>
      </c>
      <c r="J304" s="5161"/>
      <c r="K304" s="5161"/>
      <c r="L304" s="5161"/>
      <c r="M304" s="5176"/>
      <c r="N304" s="5177"/>
      <c r="O304" s="147"/>
      <c r="P304" s="147"/>
      <c r="Q304" s="102"/>
      <c r="R304" s="102"/>
      <c r="S304" s="1360"/>
      <c r="T304" s="43"/>
      <c r="U304" s="42"/>
      <c r="V304" s="41"/>
      <c r="W304" s="40"/>
      <c r="X304" s="39"/>
      <c r="Y304" s="38"/>
      <c r="Z304" s="37"/>
      <c r="AA304" s="36"/>
      <c r="AB304" s="35"/>
      <c r="AC304" s="34"/>
      <c r="AD304" s="55"/>
      <c r="AE304" s="33"/>
      <c r="AF304"/>
      <c r="AG304" s="32"/>
      <c r="AH304" s="31"/>
      <c r="AI304" s="30"/>
      <c r="AJ304" s="5492">
        <f t="shared" si="109"/>
        <v>0</v>
      </c>
      <c r="AK304" s="29">
        <f t="shared" si="110"/>
        <v>0</v>
      </c>
      <c r="AL304" s="28" t="str">
        <f t="shared" si="111"/>
        <v/>
      </c>
      <c r="AM304" s="27"/>
      <c r="AN304" s="26">
        <f t="shared" si="112"/>
        <v>0</v>
      </c>
      <c r="AO304" s="25">
        <f t="shared" si="113"/>
        <v>0</v>
      </c>
      <c r="AP304" s="24">
        <f t="shared" si="114"/>
        <v>0</v>
      </c>
      <c r="AQ304" s="23"/>
      <c r="AR304" s="22">
        <f t="shared" si="115"/>
        <v>0</v>
      </c>
      <c r="AS304" s="21"/>
      <c r="AT304" s="13"/>
      <c r="AU304" s="46">
        <f t="shared" si="116"/>
        <v>0</v>
      </c>
      <c r="AV304"/>
      <c r="AW304"/>
      <c r="AX304"/>
      <c r="AY304"/>
      <c r="AZ304"/>
      <c r="BA304"/>
      <c r="BB304"/>
      <c r="BC304" s="3"/>
      <c r="BD304" s="3"/>
      <c r="BE304" s="3"/>
      <c r="BF304" s="3"/>
      <c r="BG304" s="3"/>
      <c r="BH304" s="3"/>
      <c r="BI304" s="3"/>
      <c r="BJ304" s="3"/>
      <c r="BK304" s="3"/>
      <c r="BL304" s="20" t="str">
        <f t="shared" si="108"/>
        <v>►</v>
      </c>
      <c r="BM304"/>
      <c r="BN304"/>
      <c r="BO304"/>
      <c r="BP304"/>
      <c r="BQ304"/>
      <c r="BR304"/>
      <c r="BS304"/>
      <c r="BT304"/>
      <c r="BU304"/>
      <c r="BV304"/>
      <c r="BW304"/>
      <c r="BX304"/>
      <c r="BY304"/>
      <c r="BZ304"/>
      <c r="CA304"/>
      <c r="CB304"/>
      <c r="CC304"/>
      <c r="CD304"/>
      <c r="CE304"/>
      <c r="CF304"/>
      <c r="CG304"/>
      <c r="CH304"/>
      <c r="CI304"/>
      <c r="CJ304"/>
      <c r="CK304"/>
      <c r="CL304"/>
      <c r="CM304"/>
      <c r="CN304" s="56" t="s">
        <v>1</v>
      </c>
      <c r="CO304" s="5">
        <v>1</v>
      </c>
    </row>
    <row r="305" spans="1:93" s="1" customFormat="1" ht="21" customHeight="1">
      <c r="A305" s="20" t="str">
        <f t="shared" si="117"/>
        <v>►</v>
      </c>
      <c r="B305" s="43" t="str">
        <f t="shared" si="102"/>
        <v>►</v>
      </c>
      <c r="C305" s="45" t="str">
        <f t="shared" si="103"/>
        <v>►</v>
      </c>
      <c r="D305" s="44" t="str">
        <f t="shared" si="104"/>
        <v>►</v>
      </c>
      <c r="E305" s="43" t="str">
        <f t="shared" si="105"/>
        <v>►</v>
      </c>
      <c r="F305" s="43" t="str">
        <f t="shared" si="106"/>
        <v>►</v>
      </c>
      <c r="G305" s="43" t="str">
        <f t="shared" si="107"/>
        <v>►</v>
      </c>
      <c r="H305" s="1256" t="s">
        <v>1</v>
      </c>
      <c r="I305" s="5175" t="s">
        <v>1</v>
      </c>
      <c r="J305" s="5161"/>
      <c r="K305" s="5161"/>
      <c r="L305" s="5161"/>
      <c r="M305" s="5176"/>
      <c r="N305" s="5177"/>
      <c r="O305" s="147"/>
      <c r="P305" s="147"/>
      <c r="Q305" s="102"/>
      <c r="R305" s="102"/>
      <c r="S305" s="1360"/>
      <c r="T305" s="43"/>
      <c r="U305" s="42"/>
      <c r="V305" s="41"/>
      <c r="W305" s="40"/>
      <c r="X305" s="39"/>
      <c r="Y305" s="38"/>
      <c r="Z305" s="37"/>
      <c r="AA305" s="36"/>
      <c r="AB305" s="35"/>
      <c r="AC305" s="34"/>
      <c r="AD305" s="55"/>
      <c r="AE305" s="33"/>
      <c r="AF305"/>
      <c r="AG305" s="32"/>
      <c r="AH305" s="31"/>
      <c r="AI305" s="30"/>
      <c r="AJ305" s="5492">
        <f t="shared" si="109"/>
        <v>0</v>
      </c>
      <c r="AK305" s="54">
        <f t="shared" si="110"/>
        <v>0</v>
      </c>
      <c r="AL305" s="53" t="str">
        <f t="shared" si="111"/>
        <v/>
      </c>
      <c r="AM305" s="52"/>
      <c r="AN305" s="51">
        <f t="shared" si="112"/>
        <v>0</v>
      </c>
      <c r="AO305" s="50">
        <f t="shared" si="113"/>
        <v>0</v>
      </c>
      <c r="AP305" s="49">
        <f t="shared" si="114"/>
        <v>0</v>
      </c>
      <c r="AQ305" s="23"/>
      <c r="AR305" s="48">
        <f t="shared" si="115"/>
        <v>0</v>
      </c>
      <c r="AS305" s="47"/>
      <c r="AT305" s="13"/>
      <c r="AU305" s="46">
        <f t="shared" si="116"/>
        <v>0</v>
      </c>
      <c r="AV305"/>
      <c r="AW305"/>
      <c r="AX305"/>
      <c r="AY305"/>
      <c r="AZ305"/>
      <c r="BA305"/>
      <c r="BB305"/>
      <c r="BC305"/>
      <c r="BD305"/>
      <c r="BE305"/>
      <c r="BF305"/>
      <c r="BG305"/>
      <c r="BH305"/>
      <c r="BI305"/>
      <c r="BJ305"/>
      <c r="BK305"/>
      <c r="BL305" s="20" t="str">
        <f t="shared" si="108"/>
        <v>►</v>
      </c>
      <c r="BM305"/>
      <c r="BN305"/>
      <c r="BO305"/>
      <c r="BP305"/>
      <c r="BQ305"/>
      <c r="BR305"/>
      <c r="BS305"/>
      <c r="BT305"/>
      <c r="BU305"/>
      <c r="BV305"/>
      <c r="BW305"/>
      <c r="BX305"/>
      <c r="BY305"/>
      <c r="BZ305"/>
      <c r="CA305"/>
      <c r="CB305"/>
      <c r="CC305"/>
      <c r="CD305"/>
      <c r="CE305"/>
      <c r="CF305"/>
      <c r="CG305"/>
      <c r="CH305"/>
      <c r="CI305"/>
      <c r="CJ305"/>
      <c r="CK305"/>
      <c r="CL305"/>
      <c r="CM305"/>
      <c r="CN305" s="56" t="s">
        <v>1</v>
      </c>
      <c r="CO305" s="5">
        <v>1</v>
      </c>
    </row>
    <row r="306" spans="1:93" s="1" customFormat="1" ht="21" customHeight="1">
      <c r="A306" s="20" t="str">
        <f t="shared" si="117"/>
        <v>►</v>
      </c>
      <c r="B306" s="43" t="str">
        <f t="shared" si="102"/>
        <v>►</v>
      </c>
      <c r="C306" s="45" t="str">
        <f t="shared" si="103"/>
        <v>►</v>
      </c>
      <c r="D306" s="44" t="str">
        <f t="shared" si="104"/>
        <v>►</v>
      </c>
      <c r="E306" s="43" t="str">
        <f t="shared" si="105"/>
        <v>►</v>
      </c>
      <c r="F306" s="43" t="str">
        <f t="shared" si="106"/>
        <v>►</v>
      </c>
      <c r="G306" s="43" t="str">
        <f t="shared" si="107"/>
        <v>►</v>
      </c>
      <c r="H306" s="1256" t="s">
        <v>1</v>
      </c>
      <c r="I306" s="5175" t="s">
        <v>1</v>
      </c>
      <c r="J306" s="5161"/>
      <c r="K306" s="5161"/>
      <c r="L306" s="5161"/>
      <c r="M306" s="5176"/>
      <c r="N306" s="5177"/>
      <c r="O306" s="147"/>
      <c r="P306" s="147"/>
      <c r="Q306" s="102"/>
      <c r="R306" s="102"/>
      <c r="S306" s="1360"/>
      <c r="T306" s="43"/>
      <c r="U306" s="42"/>
      <c r="V306" s="41"/>
      <c r="W306" s="40"/>
      <c r="X306" s="39"/>
      <c r="Y306" s="38"/>
      <c r="Z306" s="37"/>
      <c r="AA306" s="36"/>
      <c r="AB306" s="35"/>
      <c r="AC306" s="34"/>
      <c r="AD306" s="55"/>
      <c r="AE306" s="33"/>
      <c r="AF306"/>
      <c r="AG306" s="32"/>
      <c r="AH306" s="31"/>
      <c r="AI306" s="30"/>
      <c r="AJ306" s="5492">
        <f t="shared" si="109"/>
        <v>0</v>
      </c>
      <c r="AK306" s="29">
        <f t="shared" si="110"/>
        <v>0</v>
      </c>
      <c r="AL306" s="28" t="str">
        <f t="shared" si="111"/>
        <v/>
      </c>
      <c r="AM306" s="27"/>
      <c r="AN306" s="26">
        <f t="shared" si="112"/>
        <v>0</v>
      </c>
      <c r="AO306" s="25">
        <f t="shared" si="113"/>
        <v>0</v>
      </c>
      <c r="AP306" s="24">
        <f t="shared" si="114"/>
        <v>0</v>
      </c>
      <c r="AQ306" s="23"/>
      <c r="AR306" s="22">
        <f t="shared" si="115"/>
        <v>0</v>
      </c>
      <c r="AS306" s="21"/>
      <c r="AT306" s="13"/>
      <c r="AU306" s="46">
        <f t="shared" si="116"/>
        <v>0</v>
      </c>
      <c r="AV306"/>
      <c r="AW306"/>
      <c r="AX306"/>
      <c r="AY306"/>
      <c r="AZ306"/>
      <c r="BA306"/>
      <c r="BB306"/>
      <c r="BC306" s="3"/>
      <c r="BD306" s="3"/>
      <c r="BE306" s="3"/>
      <c r="BF306" s="3"/>
      <c r="BG306" s="3"/>
      <c r="BH306" s="3"/>
      <c r="BI306" s="3"/>
      <c r="BJ306" s="3"/>
      <c r="BK306" s="3"/>
      <c r="BL306" s="20" t="str">
        <f t="shared" si="108"/>
        <v>►</v>
      </c>
      <c r="BM306"/>
      <c r="BN306"/>
      <c r="BO306"/>
      <c r="BP306"/>
      <c r="BQ306"/>
      <c r="BR306"/>
      <c r="BS306"/>
      <c r="BT306"/>
      <c r="BU306"/>
      <c r="BV306"/>
      <c r="BW306"/>
      <c r="BX306"/>
      <c r="BY306"/>
      <c r="BZ306"/>
      <c r="CA306"/>
      <c r="CB306"/>
      <c r="CC306"/>
      <c r="CD306"/>
      <c r="CE306"/>
      <c r="CF306"/>
      <c r="CG306"/>
      <c r="CH306"/>
      <c r="CI306"/>
      <c r="CJ306"/>
      <c r="CK306"/>
      <c r="CL306"/>
      <c r="CM306"/>
      <c r="CN306" s="56" t="s">
        <v>1</v>
      </c>
      <c r="CO306" s="5">
        <v>1</v>
      </c>
    </row>
    <row r="307" spans="1:93" s="1" customFormat="1" ht="21" customHeight="1">
      <c r="A307" s="20" t="str">
        <f t="shared" si="117"/>
        <v>►</v>
      </c>
      <c r="B307" s="43" t="str">
        <f t="shared" ref="B307:B370" si="118">IF(A307="►","►",IF(A307="A",IF(AND(ISTEXT(V307),ISTEXT(J307)),V307,IF(ISTEXT(V307),V307,IF(ISBLANK(V307),J307,V307)))))</f>
        <v>►</v>
      </c>
      <c r="C307" s="45" t="str">
        <f t="shared" si="103"/>
        <v>►</v>
      </c>
      <c r="D307" s="44" t="str">
        <f t="shared" si="104"/>
        <v>►</v>
      </c>
      <c r="E307" s="43" t="str">
        <f t="shared" si="105"/>
        <v>►</v>
      </c>
      <c r="F307" s="43" t="str">
        <f t="shared" si="106"/>
        <v>►</v>
      </c>
      <c r="G307" s="43" t="str">
        <f t="shared" si="107"/>
        <v>►</v>
      </c>
      <c r="H307" s="1256" t="s">
        <v>1</v>
      </c>
      <c r="I307" s="5175" t="s">
        <v>1</v>
      </c>
      <c r="J307" s="5161"/>
      <c r="K307" s="5161"/>
      <c r="L307" s="5161"/>
      <c r="M307" s="5176"/>
      <c r="N307" s="5177"/>
      <c r="O307" s="147"/>
      <c r="P307" s="147"/>
      <c r="Q307" s="102"/>
      <c r="R307" s="102"/>
      <c r="S307" s="1360"/>
      <c r="T307" s="43"/>
      <c r="U307" s="42"/>
      <c r="V307" s="41"/>
      <c r="W307" s="40"/>
      <c r="X307" s="39"/>
      <c r="Y307" s="38"/>
      <c r="Z307" s="37"/>
      <c r="AA307" s="36"/>
      <c r="AB307" s="35"/>
      <c r="AC307" s="34"/>
      <c r="AD307" s="55"/>
      <c r="AE307" s="33"/>
      <c r="AF307"/>
      <c r="AG307" s="32"/>
      <c r="AH307" s="31"/>
      <c r="AI307" s="30"/>
      <c r="AJ307" s="5492">
        <f t="shared" si="109"/>
        <v>0</v>
      </c>
      <c r="AK307" s="54">
        <f t="shared" si="110"/>
        <v>0</v>
      </c>
      <c r="AL307" s="53" t="str">
        <f t="shared" si="111"/>
        <v/>
      </c>
      <c r="AM307" s="52"/>
      <c r="AN307" s="51">
        <f t="shared" si="112"/>
        <v>0</v>
      </c>
      <c r="AO307" s="50">
        <f t="shared" si="113"/>
        <v>0</v>
      </c>
      <c r="AP307" s="49">
        <f t="shared" si="114"/>
        <v>0</v>
      </c>
      <c r="AQ307" s="23"/>
      <c r="AR307" s="48">
        <f t="shared" si="115"/>
        <v>0</v>
      </c>
      <c r="AS307" s="47"/>
      <c r="AT307" s="13"/>
      <c r="AU307" s="46">
        <f t="shared" si="116"/>
        <v>0</v>
      </c>
      <c r="AV307"/>
      <c r="AW307"/>
      <c r="AX307"/>
      <c r="AY307"/>
      <c r="AZ307"/>
      <c r="BA307"/>
      <c r="BB307"/>
      <c r="BC307" s="3"/>
      <c r="BD307" s="3"/>
      <c r="BE307" s="3"/>
      <c r="BF307" s="3"/>
      <c r="BG307" s="3"/>
      <c r="BH307" s="3"/>
      <c r="BI307" s="3"/>
      <c r="BJ307" s="3"/>
      <c r="BK307" s="3"/>
      <c r="BL307" s="20" t="str">
        <f t="shared" si="108"/>
        <v>►</v>
      </c>
      <c r="BM307"/>
      <c r="BN307"/>
      <c r="BO307"/>
      <c r="BP307"/>
      <c r="BQ307"/>
      <c r="BR307"/>
      <c r="BS307"/>
      <c r="BT307"/>
      <c r="BU307"/>
      <c r="BV307"/>
      <c r="BW307"/>
      <c r="BX307"/>
      <c r="BY307"/>
      <c r="BZ307"/>
      <c r="CA307"/>
      <c r="CB307"/>
      <c r="CC307"/>
      <c r="CD307"/>
      <c r="CE307"/>
      <c r="CF307"/>
      <c r="CG307"/>
      <c r="CH307"/>
      <c r="CI307"/>
      <c r="CJ307"/>
      <c r="CK307"/>
      <c r="CL307"/>
      <c r="CM307"/>
      <c r="CN307" s="56" t="s">
        <v>1</v>
      </c>
      <c r="CO307" s="5">
        <v>1</v>
      </c>
    </row>
    <row r="308" spans="1:93" s="1" customFormat="1" ht="21" customHeight="1">
      <c r="A308" s="20" t="str">
        <f t="shared" si="117"/>
        <v>►</v>
      </c>
      <c r="B308" s="43" t="str">
        <f t="shared" si="118"/>
        <v>►</v>
      </c>
      <c r="C308" s="45" t="str">
        <f t="shared" si="103"/>
        <v>►</v>
      </c>
      <c r="D308" s="44" t="str">
        <f t="shared" si="104"/>
        <v>►</v>
      </c>
      <c r="E308" s="43" t="str">
        <f t="shared" si="105"/>
        <v>►</v>
      </c>
      <c r="F308" s="43" t="str">
        <f t="shared" si="106"/>
        <v>►</v>
      </c>
      <c r="G308" s="43" t="str">
        <f t="shared" si="107"/>
        <v>►</v>
      </c>
      <c r="H308" s="1256" t="s">
        <v>1</v>
      </c>
      <c r="I308" s="5175" t="s">
        <v>1</v>
      </c>
      <c r="J308" s="5161"/>
      <c r="K308" s="5161"/>
      <c r="L308" s="5161"/>
      <c r="M308" s="5176"/>
      <c r="N308" s="5177"/>
      <c r="O308" s="147"/>
      <c r="P308" s="147"/>
      <c r="Q308" s="102"/>
      <c r="R308" s="102"/>
      <c r="S308" s="1360"/>
      <c r="T308" s="43"/>
      <c r="U308" s="42"/>
      <c r="V308" s="41"/>
      <c r="W308" s="40"/>
      <c r="X308" s="39"/>
      <c r="Y308" s="38"/>
      <c r="Z308" s="37"/>
      <c r="AA308" s="36"/>
      <c r="AB308" s="35"/>
      <c r="AC308" s="34"/>
      <c r="AD308" s="55"/>
      <c r="AE308" s="33"/>
      <c r="AF308"/>
      <c r="AG308" s="32"/>
      <c r="AH308" s="31"/>
      <c r="AI308" s="30"/>
      <c r="AJ308" s="5492">
        <f t="shared" si="109"/>
        <v>0</v>
      </c>
      <c r="AK308" s="29">
        <f t="shared" si="110"/>
        <v>0</v>
      </c>
      <c r="AL308" s="28" t="str">
        <f t="shared" si="111"/>
        <v/>
      </c>
      <c r="AM308" s="27"/>
      <c r="AN308" s="26">
        <f t="shared" si="112"/>
        <v>0</v>
      </c>
      <c r="AO308" s="25">
        <f t="shared" si="113"/>
        <v>0</v>
      </c>
      <c r="AP308" s="24">
        <f t="shared" si="114"/>
        <v>0</v>
      </c>
      <c r="AQ308" s="23"/>
      <c r="AR308" s="22">
        <f t="shared" si="115"/>
        <v>0</v>
      </c>
      <c r="AS308" s="21"/>
      <c r="AT308" s="13"/>
      <c r="AU308" s="46">
        <f t="shared" si="116"/>
        <v>0</v>
      </c>
      <c r="AV308"/>
      <c r="AW308"/>
      <c r="AX308"/>
      <c r="AY308"/>
      <c r="AZ308"/>
      <c r="BA308"/>
      <c r="BB308"/>
      <c r="BC308" s="3"/>
      <c r="BD308" s="3"/>
      <c r="BE308" s="3"/>
      <c r="BF308" s="3"/>
      <c r="BG308" s="3"/>
      <c r="BH308" s="3"/>
      <c r="BI308" s="3"/>
      <c r="BJ308" s="3"/>
      <c r="BK308" s="3"/>
      <c r="BL308" s="20" t="str">
        <f t="shared" si="108"/>
        <v>►</v>
      </c>
      <c r="BM308"/>
      <c r="BN308"/>
      <c r="BO308"/>
      <c r="BP308"/>
      <c r="BQ308"/>
      <c r="BR308"/>
      <c r="BS308"/>
      <c r="BT308"/>
      <c r="BU308"/>
      <c r="BV308"/>
      <c r="BW308"/>
      <c r="BX308"/>
      <c r="BY308"/>
      <c r="BZ308"/>
      <c r="CA308"/>
      <c r="CB308"/>
      <c r="CC308"/>
      <c r="CD308"/>
      <c r="CE308"/>
      <c r="CF308"/>
      <c r="CG308"/>
      <c r="CH308"/>
      <c r="CI308"/>
      <c r="CJ308"/>
      <c r="CK308"/>
      <c r="CL308"/>
      <c r="CM308"/>
      <c r="CN308" s="56" t="s">
        <v>1</v>
      </c>
      <c r="CO308" s="5">
        <v>1</v>
      </c>
    </row>
    <row r="309" spans="1:93" s="1" customFormat="1" ht="21" customHeight="1">
      <c r="A309" s="20" t="str">
        <f t="shared" si="117"/>
        <v>►</v>
      </c>
      <c r="B309" s="43" t="str">
        <f t="shared" si="118"/>
        <v>►</v>
      </c>
      <c r="C309" s="45" t="str">
        <f t="shared" si="103"/>
        <v>►</v>
      </c>
      <c r="D309" s="44" t="str">
        <f t="shared" si="104"/>
        <v>►</v>
      </c>
      <c r="E309" s="43" t="str">
        <f t="shared" si="105"/>
        <v>►</v>
      </c>
      <c r="F309" s="43" t="str">
        <f t="shared" si="106"/>
        <v>►</v>
      </c>
      <c r="G309" s="43" t="str">
        <f t="shared" si="107"/>
        <v>►</v>
      </c>
      <c r="H309" s="1256" t="s">
        <v>1</v>
      </c>
      <c r="I309" s="5175" t="s">
        <v>1</v>
      </c>
      <c r="J309" s="5161"/>
      <c r="K309" s="5161"/>
      <c r="L309" s="5161"/>
      <c r="M309" s="5176"/>
      <c r="N309" s="5177"/>
      <c r="O309" s="147"/>
      <c r="P309" s="147"/>
      <c r="Q309" s="102"/>
      <c r="R309" s="102"/>
      <c r="S309" s="1360"/>
      <c r="T309" s="43"/>
      <c r="U309" s="42"/>
      <c r="V309" s="41"/>
      <c r="W309" s="40"/>
      <c r="X309" s="39"/>
      <c r="Y309" s="38"/>
      <c r="Z309" s="37"/>
      <c r="AA309" s="36"/>
      <c r="AB309" s="35"/>
      <c r="AC309" s="34"/>
      <c r="AD309" s="55"/>
      <c r="AE309" s="33"/>
      <c r="AF309"/>
      <c r="AG309" s="32"/>
      <c r="AH309" s="31"/>
      <c r="AI309" s="30"/>
      <c r="AJ309" s="5492">
        <f t="shared" si="109"/>
        <v>0</v>
      </c>
      <c r="AK309" s="54">
        <f t="shared" si="110"/>
        <v>0</v>
      </c>
      <c r="AL309" s="53" t="str">
        <f t="shared" si="111"/>
        <v/>
      </c>
      <c r="AM309" s="52"/>
      <c r="AN309" s="51">
        <f t="shared" si="112"/>
        <v>0</v>
      </c>
      <c r="AO309" s="50">
        <f t="shared" si="113"/>
        <v>0</v>
      </c>
      <c r="AP309" s="49">
        <f t="shared" si="114"/>
        <v>0</v>
      </c>
      <c r="AQ309" s="23"/>
      <c r="AR309" s="48">
        <f t="shared" si="115"/>
        <v>0</v>
      </c>
      <c r="AS309" s="47"/>
      <c r="AT309" s="13"/>
      <c r="AU309" s="46">
        <f t="shared" si="116"/>
        <v>0</v>
      </c>
      <c r="AV309"/>
      <c r="AW309"/>
      <c r="AX309"/>
      <c r="AY309"/>
      <c r="AZ309"/>
      <c r="BA309"/>
      <c r="BB309"/>
      <c r="BC309" s="3"/>
      <c r="BD309" s="3"/>
      <c r="BE309" s="3"/>
      <c r="BF309" s="3"/>
      <c r="BG309" s="3"/>
      <c r="BH309" s="3"/>
      <c r="BI309" s="3"/>
      <c r="BJ309" s="3"/>
      <c r="BK309" s="3"/>
      <c r="BL309" s="20" t="str">
        <f t="shared" si="108"/>
        <v>►</v>
      </c>
      <c r="BM309"/>
      <c r="BN309"/>
      <c r="BO309"/>
      <c r="BP309"/>
      <c r="BQ309"/>
      <c r="BR309"/>
      <c r="BS309"/>
      <c r="BT309"/>
      <c r="BU309"/>
      <c r="BV309"/>
      <c r="BW309"/>
      <c r="BX309"/>
      <c r="BY309"/>
      <c r="BZ309"/>
      <c r="CA309"/>
      <c r="CB309"/>
      <c r="CC309"/>
      <c r="CD309"/>
      <c r="CE309"/>
      <c r="CF309"/>
      <c r="CG309"/>
      <c r="CH309"/>
      <c r="CI309"/>
      <c r="CJ309"/>
      <c r="CK309"/>
      <c r="CL309"/>
      <c r="CM309"/>
      <c r="CN309" s="56" t="s">
        <v>1</v>
      </c>
      <c r="CO309" s="5">
        <v>1</v>
      </c>
    </row>
    <row r="310" spans="1:93" s="1" customFormat="1" ht="21" customHeight="1">
      <c r="A310" s="20" t="str">
        <f t="shared" si="117"/>
        <v>►</v>
      </c>
      <c r="B310" s="43" t="str">
        <f t="shared" si="118"/>
        <v>►</v>
      </c>
      <c r="C310" s="45" t="str">
        <f t="shared" si="103"/>
        <v>►</v>
      </c>
      <c r="D310" s="44" t="str">
        <f t="shared" si="104"/>
        <v>►</v>
      </c>
      <c r="E310" s="43" t="str">
        <f t="shared" si="105"/>
        <v>►</v>
      </c>
      <c r="F310" s="43" t="str">
        <f t="shared" si="106"/>
        <v>►</v>
      </c>
      <c r="G310" s="43" t="str">
        <f t="shared" si="107"/>
        <v>►</v>
      </c>
      <c r="H310" s="1256" t="s">
        <v>1</v>
      </c>
      <c r="I310" s="5175" t="s">
        <v>1</v>
      </c>
      <c r="J310" s="5161"/>
      <c r="K310" s="5161"/>
      <c r="L310" s="5161"/>
      <c r="M310" s="5176"/>
      <c r="N310" s="5177"/>
      <c r="O310" s="147"/>
      <c r="P310" s="147"/>
      <c r="Q310" s="102"/>
      <c r="R310" s="102"/>
      <c r="S310" s="1360"/>
      <c r="T310" s="43"/>
      <c r="U310" s="42"/>
      <c r="V310" s="41"/>
      <c r="W310" s="40"/>
      <c r="X310" s="39"/>
      <c r="Y310" s="38"/>
      <c r="Z310" s="37"/>
      <c r="AA310" s="36"/>
      <c r="AB310" s="35"/>
      <c r="AC310" s="34"/>
      <c r="AD310" s="55"/>
      <c r="AE310" s="33"/>
      <c r="AF310"/>
      <c r="AG310" s="32"/>
      <c r="AH310" s="31"/>
      <c r="AI310" s="30"/>
      <c r="AJ310" s="5492">
        <f t="shared" si="109"/>
        <v>0</v>
      </c>
      <c r="AK310" s="29">
        <f t="shared" si="110"/>
        <v>0</v>
      </c>
      <c r="AL310" s="28" t="str">
        <f t="shared" si="111"/>
        <v/>
      </c>
      <c r="AM310" s="27"/>
      <c r="AN310" s="26">
        <f t="shared" si="112"/>
        <v>0</v>
      </c>
      <c r="AO310" s="25">
        <f t="shared" si="113"/>
        <v>0</v>
      </c>
      <c r="AP310" s="24">
        <f t="shared" si="114"/>
        <v>0</v>
      </c>
      <c r="AQ310" s="23"/>
      <c r="AR310" s="22">
        <f t="shared" si="115"/>
        <v>0</v>
      </c>
      <c r="AS310" s="21"/>
      <c r="AT310" s="13"/>
      <c r="AU310" s="46">
        <f t="shared" si="116"/>
        <v>0</v>
      </c>
      <c r="AV310"/>
      <c r="AW310"/>
      <c r="AX310"/>
      <c r="AY310"/>
      <c r="AZ310"/>
      <c r="BA310"/>
      <c r="BB310"/>
      <c r="BC310" s="3"/>
      <c r="BD310" s="3"/>
      <c r="BE310" s="3"/>
      <c r="BF310" s="3"/>
      <c r="BG310" s="3"/>
      <c r="BH310" s="3"/>
      <c r="BI310" s="3"/>
      <c r="BJ310" s="3"/>
      <c r="BK310" s="3"/>
      <c r="BL310" s="20" t="str">
        <f t="shared" si="108"/>
        <v>►</v>
      </c>
      <c r="BM310"/>
      <c r="BN310"/>
      <c r="BO310"/>
      <c r="BP310"/>
      <c r="BQ310"/>
      <c r="BR310"/>
      <c r="BS310"/>
      <c r="BT310"/>
      <c r="BU310"/>
      <c r="BV310"/>
      <c r="BW310"/>
      <c r="BX310"/>
      <c r="BY310"/>
      <c r="BZ310"/>
      <c r="CA310"/>
      <c r="CB310"/>
      <c r="CC310"/>
      <c r="CD310"/>
      <c r="CE310"/>
      <c r="CF310"/>
      <c r="CG310"/>
      <c r="CH310"/>
      <c r="CI310"/>
      <c r="CJ310"/>
      <c r="CK310"/>
      <c r="CL310"/>
      <c r="CM310"/>
      <c r="CN310" s="56" t="s">
        <v>1</v>
      </c>
      <c r="CO310" s="5">
        <v>1</v>
      </c>
    </row>
    <row r="311" spans="1:93" s="1" customFormat="1" ht="21" customHeight="1">
      <c r="A311" s="20" t="str">
        <f t="shared" si="117"/>
        <v>►</v>
      </c>
      <c r="B311" s="43" t="str">
        <f t="shared" si="118"/>
        <v>►</v>
      </c>
      <c r="C311" s="45" t="str">
        <f t="shared" si="103"/>
        <v>►</v>
      </c>
      <c r="D311" s="44" t="str">
        <f t="shared" si="104"/>
        <v>►</v>
      </c>
      <c r="E311" s="43" t="str">
        <f t="shared" si="105"/>
        <v>►</v>
      </c>
      <c r="F311" s="43" t="str">
        <f t="shared" si="106"/>
        <v>►</v>
      </c>
      <c r="G311" s="43" t="str">
        <f t="shared" si="107"/>
        <v>►</v>
      </c>
      <c r="H311" s="1256" t="s">
        <v>1</v>
      </c>
      <c r="I311" s="5175" t="s">
        <v>1</v>
      </c>
      <c r="J311" s="5161"/>
      <c r="K311" s="5161"/>
      <c r="L311" s="5161"/>
      <c r="M311" s="5176"/>
      <c r="N311" s="5177"/>
      <c r="O311" s="147"/>
      <c r="P311" s="147"/>
      <c r="Q311" s="102"/>
      <c r="R311" s="102"/>
      <c r="S311" s="1360"/>
      <c r="T311" s="43"/>
      <c r="U311" s="42"/>
      <c r="V311" s="41"/>
      <c r="W311" s="40"/>
      <c r="X311" s="39"/>
      <c r="Y311" s="38"/>
      <c r="Z311" s="37"/>
      <c r="AA311" s="36"/>
      <c r="AB311" s="35"/>
      <c r="AC311" s="34"/>
      <c r="AD311" s="55"/>
      <c r="AE311" s="33"/>
      <c r="AF311"/>
      <c r="AG311" s="32"/>
      <c r="AH311" s="31"/>
      <c r="AI311" s="30"/>
      <c r="AJ311" s="5492">
        <f t="shared" si="109"/>
        <v>0</v>
      </c>
      <c r="AK311" s="54">
        <f t="shared" si="110"/>
        <v>0</v>
      </c>
      <c r="AL311" s="53" t="str">
        <f t="shared" si="111"/>
        <v/>
      </c>
      <c r="AM311" s="52"/>
      <c r="AN311" s="51">
        <f t="shared" si="112"/>
        <v>0</v>
      </c>
      <c r="AO311" s="50">
        <f t="shared" si="113"/>
        <v>0</v>
      </c>
      <c r="AP311" s="49">
        <f t="shared" si="114"/>
        <v>0</v>
      </c>
      <c r="AQ311" s="23"/>
      <c r="AR311" s="48">
        <f t="shared" si="115"/>
        <v>0</v>
      </c>
      <c r="AS311" s="47"/>
      <c r="AT311" s="13"/>
      <c r="AU311" s="46">
        <f t="shared" si="116"/>
        <v>0</v>
      </c>
      <c r="AV311"/>
      <c r="AW311"/>
      <c r="AX311"/>
      <c r="AY311"/>
      <c r="AZ311"/>
      <c r="BA311"/>
      <c r="BB311"/>
      <c r="BC311" s="3"/>
      <c r="BD311" s="3"/>
      <c r="BE311" s="3"/>
      <c r="BF311" s="3"/>
      <c r="BG311" s="3"/>
      <c r="BH311" s="3"/>
      <c r="BI311" s="3"/>
      <c r="BJ311" s="3"/>
      <c r="BK311" s="3"/>
      <c r="BL311" s="20" t="str">
        <f t="shared" si="108"/>
        <v>►</v>
      </c>
      <c r="BM311"/>
      <c r="BN311"/>
      <c r="BO311"/>
      <c r="BP311"/>
      <c r="BQ311"/>
      <c r="BR311"/>
      <c r="BS311"/>
      <c r="BT311"/>
      <c r="BU311"/>
      <c r="BV311"/>
      <c r="BW311"/>
      <c r="BX311"/>
      <c r="BY311"/>
      <c r="BZ311"/>
      <c r="CA311"/>
      <c r="CB311"/>
      <c r="CC311"/>
      <c r="CD311"/>
      <c r="CE311"/>
      <c r="CF311"/>
      <c r="CG311"/>
      <c r="CH311"/>
      <c r="CI311"/>
      <c r="CJ311"/>
      <c r="CK311"/>
      <c r="CL311"/>
      <c r="CM311"/>
      <c r="CN311" s="56" t="s">
        <v>1</v>
      </c>
      <c r="CO311" s="5">
        <v>1</v>
      </c>
    </row>
    <row r="312" spans="1:93" s="1" customFormat="1" ht="21" customHeight="1">
      <c r="A312" s="20" t="str">
        <f t="shared" si="117"/>
        <v>►</v>
      </c>
      <c r="B312" s="43" t="str">
        <f t="shared" si="118"/>
        <v>►</v>
      </c>
      <c r="C312" s="45" t="str">
        <f t="shared" si="103"/>
        <v>►</v>
      </c>
      <c r="D312" s="44" t="str">
        <f t="shared" si="104"/>
        <v>►</v>
      </c>
      <c r="E312" s="43" t="str">
        <f t="shared" si="105"/>
        <v>►</v>
      </c>
      <c r="F312" s="43" t="str">
        <f t="shared" si="106"/>
        <v>►</v>
      </c>
      <c r="G312" s="43" t="str">
        <f t="shared" si="107"/>
        <v>►</v>
      </c>
      <c r="H312" s="1256" t="s">
        <v>1</v>
      </c>
      <c r="I312" s="5175" t="s">
        <v>1</v>
      </c>
      <c r="J312" s="5161"/>
      <c r="K312" s="5161"/>
      <c r="L312" s="5161"/>
      <c r="M312" s="5176"/>
      <c r="N312" s="5177"/>
      <c r="O312" s="147"/>
      <c r="P312" s="147"/>
      <c r="Q312" s="102"/>
      <c r="R312" s="102"/>
      <c r="S312" s="1360"/>
      <c r="T312" s="43"/>
      <c r="U312" s="42"/>
      <c r="V312" s="41"/>
      <c r="W312" s="40"/>
      <c r="X312" s="39"/>
      <c r="Y312" s="38"/>
      <c r="Z312" s="37"/>
      <c r="AA312" s="36"/>
      <c r="AB312" s="35"/>
      <c r="AC312" s="34"/>
      <c r="AD312" s="55"/>
      <c r="AE312" s="33"/>
      <c r="AF312"/>
      <c r="AG312" s="32"/>
      <c r="AH312" s="31"/>
      <c r="AI312" s="30"/>
      <c r="AJ312" s="5492">
        <f t="shared" si="109"/>
        <v>0</v>
      </c>
      <c r="AK312" s="29">
        <f t="shared" si="110"/>
        <v>0</v>
      </c>
      <c r="AL312" s="28" t="str">
        <f t="shared" si="111"/>
        <v/>
      </c>
      <c r="AM312" s="27"/>
      <c r="AN312" s="26">
        <f t="shared" si="112"/>
        <v>0</v>
      </c>
      <c r="AO312" s="25">
        <f t="shared" si="113"/>
        <v>0</v>
      </c>
      <c r="AP312" s="24">
        <f t="shared" si="114"/>
        <v>0</v>
      </c>
      <c r="AQ312" s="23"/>
      <c r="AR312" s="22">
        <f t="shared" si="115"/>
        <v>0</v>
      </c>
      <c r="AS312" s="21"/>
      <c r="AT312" s="13"/>
      <c r="AU312" s="46">
        <f t="shared" si="116"/>
        <v>0</v>
      </c>
      <c r="AV312"/>
      <c r="AW312"/>
      <c r="AX312"/>
      <c r="AY312"/>
      <c r="AZ312"/>
      <c r="BA312"/>
      <c r="BB312"/>
      <c r="BC312" s="3"/>
      <c r="BD312" s="3"/>
      <c r="BE312" s="3"/>
      <c r="BF312" s="3"/>
      <c r="BG312" s="3"/>
      <c r="BH312" s="3"/>
      <c r="BI312" s="3"/>
      <c r="BJ312" s="3"/>
      <c r="BK312" s="3"/>
      <c r="BL312" s="20" t="str">
        <f t="shared" si="108"/>
        <v>►</v>
      </c>
      <c r="BM312"/>
      <c r="BN312"/>
      <c r="BO312"/>
      <c r="BP312"/>
      <c r="BQ312"/>
      <c r="BR312"/>
      <c r="BS312"/>
      <c r="BT312"/>
      <c r="BU312"/>
      <c r="BV312"/>
      <c r="BW312"/>
      <c r="BX312"/>
      <c r="BY312"/>
      <c r="BZ312"/>
      <c r="CA312"/>
      <c r="CB312"/>
      <c r="CC312"/>
      <c r="CD312"/>
      <c r="CE312"/>
      <c r="CF312"/>
      <c r="CG312"/>
      <c r="CH312"/>
      <c r="CI312"/>
      <c r="CJ312"/>
      <c r="CK312"/>
      <c r="CL312"/>
      <c r="CM312"/>
      <c r="CN312" s="56" t="s">
        <v>1</v>
      </c>
      <c r="CO312" s="5">
        <v>1</v>
      </c>
    </row>
    <row r="313" spans="1:93" s="1" customFormat="1" ht="21" customHeight="1">
      <c r="A313" s="20" t="str">
        <f t="shared" si="117"/>
        <v>►</v>
      </c>
      <c r="B313" s="43" t="str">
        <f t="shared" si="118"/>
        <v>►</v>
      </c>
      <c r="C313" s="45" t="str">
        <f t="shared" si="103"/>
        <v>►</v>
      </c>
      <c r="D313" s="44" t="str">
        <f t="shared" si="104"/>
        <v>►</v>
      </c>
      <c r="E313" s="43" t="str">
        <f t="shared" si="105"/>
        <v>►</v>
      </c>
      <c r="F313" s="43" t="str">
        <f t="shared" si="106"/>
        <v>►</v>
      </c>
      <c r="G313" s="43" t="str">
        <f t="shared" si="107"/>
        <v>►</v>
      </c>
      <c r="H313" s="1256" t="s">
        <v>1</v>
      </c>
      <c r="I313" s="5175" t="s">
        <v>1</v>
      </c>
      <c r="J313" s="5161"/>
      <c r="K313" s="5161"/>
      <c r="L313" s="5161"/>
      <c r="M313" s="5176"/>
      <c r="N313" s="5177"/>
      <c r="O313" s="147"/>
      <c r="P313" s="147"/>
      <c r="Q313" s="102"/>
      <c r="R313" s="102"/>
      <c r="S313" s="1360"/>
      <c r="T313" s="43"/>
      <c r="U313" s="42"/>
      <c r="V313" s="41"/>
      <c r="W313" s="40"/>
      <c r="X313" s="39"/>
      <c r="Y313" s="38"/>
      <c r="Z313" s="37"/>
      <c r="AA313" s="36"/>
      <c r="AB313" s="35"/>
      <c r="AC313" s="34"/>
      <c r="AD313" s="55"/>
      <c r="AE313" s="33"/>
      <c r="AF313"/>
      <c r="AG313" s="32"/>
      <c r="AH313" s="31"/>
      <c r="AI313" s="30"/>
      <c r="AJ313" s="5492">
        <f t="shared" si="109"/>
        <v>0</v>
      </c>
      <c r="AK313" s="54">
        <f t="shared" si="110"/>
        <v>0</v>
      </c>
      <c r="AL313" s="53" t="str">
        <f t="shared" si="111"/>
        <v/>
      </c>
      <c r="AM313" s="52"/>
      <c r="AN313" s="51">
        <f t="shared" si="112"/>
        <v>0</v>
      </c>
      <c r="AO313" s="50">
        <f t="shared" si="113"/>
        <v>0</v>
      </c>
      <c r="AP313" s="49">
        <f t="shared" si="114"/>
        <v>0</v>
      </c>
      <c r="AQ313" s="23"/>
      <c r="AR313" s="48">
        <f t="shared" si="115"/>
        <v>0</v>
      </c>
      <c r="AS313" s="47"/>
      <c r="AT313" s="13"/>
      <c r="AU313" s="46">
        <f t="shared" si="116"/>
        <v>0</v>
      </c>
      <c r="AV313"/>
      <c r="AW313"/>
      <c r="AX313"/>
      <c r="AY313"/>
      <c r="AZ313"/>
      <c r="BA313"/>
      <c r="BB313"/>
      <c r="BC313" s="3"/>
      <c r="BD313" s="3"/>
      <c r="BE313" s="3"/>
      <c r="BF313" s="3"/>
      <c r="BG313" s="3"/>
      <c r="BH313" s="3"/>
      <c r="BI313" s="3"/>
      <c r="BJ313" s="3"/>
      <c r="BK313" s="3"/>
      <c r="BL313" s="20" t="str">
        <f t="shared" si="108"/>
        <v>►</v>
      </c>
      <c r="BM313"/>
      <c r="BN313"/>
      <c r="BO313"/>
      <c r="BP313"/>
      <c r="BQ313"/>
      <c r="BR313"/>
      <c r="BS313"/>
      <c r="BT313"/>
      <c r="BU313"/>
      <c r="BV313"/>
      <c r="BW313"/>
      <c r="BX313"/>
      <c r="BY313"/>
      <c r="BZ313"/>
      <c r="CA313"/>
      <c r="CB313"/>
      <c r="CC313"/>
      <c r="CD313"/>
      <c r="CE313"/>
      <c r="CF313"/>
      <c r="CG313"/>
      <c r="CH313"/>
      <c r="CI313"/>
      <c r="CJ313"/>
      <c r="CK313"/>
      <c r="CL313"/>
      <c r="CM313"/>
      <c r="CN313" s="56" t="s">
        <v>1</v>
      </c>
      <c r="CO313" s="5">
        <v>1</v>
      </c>
    </row>
    <row r="314" spans="1:93" s="1" customFormat="1" ht="21" customHeight="1">
      <c r="A314" s="20" t="str">
        <f t="shared" si="117"/>
        <v>►</v>
      </c>
      <c r="B314" s="43" t="str">
        <f t="shared" si="118"/>
        <v>►</v>
      </c>
      <c r="C314" s="45" t="str">
        <f t="shared" si="103"/>
        <v>►</v>
      </c>
      <c r="D314" s="44" t="str">
        <f t="shared" si="104"/>
        <v>►</v>
      </c>
      <c r="E314" s="43" t="str">
        <f t="shared" si="105"/>
        <v>►</v>
      </c>
      <c r="F314" s="43" t="str">
        <f t="shared" si="106"/>
        <v>►</v>
      </c>
      <c r="G314" s="43" t="str">
        <f t="shared" si="107"/>
        <v>►</v>
      </c>
      <c r="H314" s="1256" t="s">
        <v>1</v>
      </c>
      <c r="I314" s="5175" t="s">
        <v>1</v>
      </c>
      <c r="J314" s="5161"/>
      <c r="K314" s="5161"/>
      <c r="L314" s="5161"/>
      <c r="M314" s="5176"/>
      <c r="N314" s="5177"/>
      <c r="O314" s="147"/>
      <c r="P314" s="147"/>
      <c r="Q314" s="102"/>
      <c r="R314" s="102"/>
      <c r="S314" s="1360"/>
      <c r="T314" s="43"/>
      <c r="U314" s="42"/>
      <c r="V314" s="41"/>
      <c r="W314" s="40"/>
      <c r="X314" s="39"/>
      <c r="Y314" s="38"/>
      <c r="Z314" s="37"/>
      <c r="AA314" s="36"/>
      <c r="AB314" s="35"/>
      <c r="AC314" s="34"/>
      <c r="AD314" s="55"/>
      <c r="AE314" s="33"/>
      <c r="AF314"/>
      <c r="AG314" s="32"/>
      <c r="AH314" s="31"/>
      <c r="AI314" s="30"/>
      <c r="AJ314" s="5492">
        <f t="shared" si="109"/>
        <v>0</v>
      </c>
      <c r="AK314" s="29">
        <f t="shared" si="110"/>
        <v>0</v>
      </c>
      <c r="AL314" s="28" t="str">
        <f t="shared" si="111"/>
        <v/>
      </c>
      <c r="AM314" s="27"/>
      <c r="AN314" s="26">
        <f t="shared" si="112"/>
        <v>0</v>
      </c>
      <c r="AO314" s="25">
        <f t="shared" si="113"/>
        <v>0</v>
      </c>
      <c r="AP314" s="24">
        <f t="shared" si="114"/>
        <v>0</v>
      </c>
      <c r="AQ314" s="23"/>
      <c r="AR314" s="22">
        <f t="shared" si="115"/>
        <v>0</v>
      </c>
      <c r="AS314" s="21"/>
      <c r="AT314" s="13"/>
      <c r="AU314" s="46">
        <f t="shared" si="116"/>
        <v>0</v>
      </c>
      <c r="AV314"/>
      <c r="AW314"/>
      <c r="AX314"/>
      <c r="AY314"/>
      <c r="AZ314"/>
      <c r="BA314"/>
      <c r="BB314"/>
      <c r="BC314" s="3"/>
      <c r="BD314" s="3"/>
      <c r="BE314" s="3"/>
      <c r="BF314" s="3"/>
      <c r="BG314" s="3"/>
      <c r="BH314" s="3"/>
      <c r="BI314" s="3"/>
      <c r="BJ314" s="3"/>
      <c r="BK314" s="3"/>
      <c r="BL314" s="20" t="str">
        <f t="shared" si="108"/>
        <v>►</v>
      </c>
      <c r="BM314"/>
      <c r="BN314"/>
      <c r="BO314"/>
      <c r="BP314"/>
      <c r="BQ314"/>
      <c r="BR314"/>
      <c r="BS314"/>
      <c r="BT314"/>
      <c r="BU314"/>
      <c r="BV314"/>
      <c r="BW314"/>
      <c r="BX314"/>
      <c r="BY314"/>
      <c r="BZ314"/>
      <c r="CA314"/>
      <c r="CB314"/>
      <c r="CC314"/>
      <c r="CD314"/>
      <c r="CE314"/>
      <c r="CF314"/>
      <c r="CG314"/>
      <c r="CH314"/>
      <c r="CI314"/>
      <c r="CJ314"/>
      <c r="CK314"/>
      <c r="CL314"/>
      <c r="CM314"/>
      <c r="CN314" s="56" t="s">
        <v>1</v>
      </c>
      <c r="CO314" s="5">
        <v>1</v>
      </c>
    </row>
    <row r="315" spans="1:93" s="1" customFormat="1" ht="21" customHeight="1">
      <c r="A315" s="20" t="str">
        <f t="shared" si="117"/>
        <v>►</v>
      </c>
      <c r="B315" s="43" t="str">
        <f t="shared" si="118"/>
        <v>►</v>
      </c>
      <c r="C315" s="45" t="str">
        <f t="shared" si="103"/>
        <v>►</v>
      </c>
      <c r="D315" s="44" t="str">
        <f t="shared" si="104"/>
        <v>►</v>
      </c>
      <c r="E315" s="43" t="str">
        <f t="shared" si="105"/>
        <v>►</v>
      </c>
      <c r="F315" s="43" t="str">
        <f t="shared" si="106"/>
        <v>►</v>
      </c>
      <c r="G315" s="43" t="str">
        <f t="shared" si="107"/>
        <v>►</v>
      </c>
      <c r="H315" s="1256" t="s">
        <v>1</v>
      </c>
      <c r="I315" s="5175" t="s">
        <v>1</v>
      </c>
      <c r="J315" s="5161"/>
      <c r="K315" s="5161"/>
      <c r="L315" s="5161"/>
      <c r="M315" s="5176"/>
      <c r="N315" s="5177"/>
      <c r="O315" s="147"/>
      <c r="P315" s="147"/>
      <c r="Q315" s="102"/>
      <c r="R315" s="102"/>
      <c r="S315" s="1360"/>
      <c r="T315" s="43"/>
      <c r="U315" s="42"/>
      <c r="V315" s="41"/>
      <c r="W315" s="40"/>
      <c r="X315" s="39"/>
      <c r="Y315" s="38"/>
      <c r="Z315" s="37"/>
      <c r="AA315" s="36"/>
      <c r="AB315" s="35"/>
      <c r="AC315" s="34"/>
      <c r="AD315" s="55"/>
      <c r="AE315" s="33"/>
      <c r="AF315"/>
      <c r="AG315" s="32"/>
      <c r="AH315" s="31"/>
      <c r="AI315" s="30"/>
      <c r="AJ315" s="5492">
        <f t="shared" si="109"/>
        <v>0</v>
      </c>
      <c r="AK315" s="54">
        <f t="shared" si="110"/>
        <v>0</v>
      </c>
      <c r="AL315" s="53" t="str">
        <f t="shared" si="111"/>
        <v/>
      </c>
      <c r="AM315" s="52"/>
      <c r="AN315" s="51">
        <f t="shared" si="112"/>
        <v>0</v>
      </c>
      <c r="AO315" s="50">
        <f t="shared" si="113"/>
        <v>0</v>
      </c>
      <c r="AP315" s="49">
        <f t="shared" si="114"/>
        <v>0</v>
      </c>
      <c r="AQ315" s="23"/>
      <c r="AR315" s="48">
        <f t="shared" si="115"/>
        <v>0</v>
      </c>
      <c r="AS315" s="47"/>
      <c r="AT315" s="13"/>
      <c r="AU315" s="46">
        <f t="shared" si="116"/>
        <v>0</v>
      </c>
      <c r="AV315"/>
      <c r="AW315"/>
      <c r="AX315"/>
      <c r="AY315"/>
      <c r="AZ315"/>
      <c r="BA315"/>
      <c r="BB315"/>
      <c r="BC315" s="3"/>
      <c r="BD315" s="3"/>
      <c r="BE315" s="3"/>
      <c r="BF315" s="3"/>
      <c r="BG315" s="3"/>
      <c r="BH315" s="3"/>
      <c r="BI315" s="3"/>
      <c r="BJ315" s="3"/>
      <c r="BK315" s="3"/>
      <c r="BL315" s="20" t="str">
        <f t="shared" si="108"/>
        <v>►</v>
      </c>
      <c r="BM315"/>
      <c r="BN315"/>
      <c r="BO315"/>
      <c r="BP315"/>
      <c r="BQ315"/>
      <c r="BR315"/>
      <c r="BS315"/>
      <c r="BT315"/>
      <c r="BU315"/>
      <c r="BV315"/>
      <c r="BW315"/>
      <c r="BX315"/>
      <c r="BY315"/>
      <c r="BZ315"/>
      <c r="CA315"/>
      <c r="CB315"/>
      <c r="CC315"/>
      <c r="CD315"/>
      <c r="CE315"/>
      <c r="CF315"/>
      <c r="CG315"/>
      <c r="CH315"/>
      <c r="CI315"/>
      <c r="CJ315"/>
      <c r="CK315"/>
      <c r="CL315"/>
      <c r="CM315"/>
      <c r="CN315" s="56" t="s">
        <v>1</v>
      </c>
      <c r="CO315" s="5">
        <v>1</v>
      </c>
    </row>
    <row r="316" spans="1:93" s="1" customFormat="1" ht="21" customHeight="1">
      <c r="A316" s="20" t="str">
        <f t="shared" si="117"/>
        <v>►</v>
      </c>
      <c r="B316" s="43" t="str">
        <f t="shared" si="118"/>
        <v>►</v>
      </c>
      <c r="C316" s="45" t="str">
        <f t="shared" si="103"/>
        <v>►</v>
      </c>
      <c r="D316" s="44" t="str">
        <f t="shared" si="104"/>
        <v>►</v>
      </c>
      <c r="E316" s="43" t="str">
        <f t="shared" si="105"/>
        <v>►</v>
      </c>
      <c r="F316" s="43" t="str">
        <f t="shared" si="106"/>
        <v>►</v>
      </c>
      <c r="G316" s="43" t="str">
        <f t="shared" si="107"/>
        <v>►</v>
      </c>
      <c r="H316" s="1256" t="s">
        <v>1</v>
      </c>
      <c r="I316" s="5175" t="s">
        <v>1</v>
      </c>
      <c r="J316" s="5161"/>
      <c r="K316" s="5161"/>
      <c r="L316" s="5161"/>
      <c r="M316" s="5176"/>
      <c r="N316" s="5177"/>
      <c r="O316" s="147"/>
      <c r="P316" s="147"/>
      <c r="Q316" s="102"/>
      <c r="R316" s="102"/>
      <c r="S316" s="1360"/>
      <c r="T316" s="43"/>
      <c r="U316" s="42"/>
      <c r="V316" s="41"/>
      <c r="W316" s="40"/>
      <c r="X316" s="39"/>
      <c r="Y316" s="38"/>
      <c r="Z316" s="37"/>
      <c r="AA316" s="36"/>
      <c r="AB316" s="35"/>
      <c r="AC316" s="34"/>
      <c r="AD316" s="55"/>
      <c r="AE316" s="33"/>
      <c r="AF316"/>
      <c r="AG316" s="32"/>
      <c r="AH316" s="31"/>
      <c r="AI316" s="30"/>
      <c r="AJ316" s="5492">
        <f t="shared" si="109"/>
        <v>0</v>
      </c>
      <c r="AK316" s="29">
        <f t="shared" si="110"/>
        <v>0</v>
      </c>
      <c r="AL316" s="28" t="str">
        <f t="shared" si="111"/>
        <v/>
      </c>
      <c r="AM316" s="27"/>
      <c r="AN316" s="26">
        <f t="shared" si="112"/>
        <v>0</v>
      </c>
      <c r="AO316" s="25">
        <f t="shared" si="113"/>
        <v>0</v>
      </c>
      <c r="AP316" s="24">
        <f t="shared" si="114"/>
        <v>0</v>
      </c>
      <c r="AQ316" s="23"/>
      <c r="AR316" s="22">
        <f t="shared" si="115"/>
        <v>0</v>
      </c>
      <c r="AS316" s="21"/>
      <c r="AT316" s="13"/>
      <c r="AU316" s="46">
        <f t="shared" si="116"/>
        <v>0</v>
      </c>
      <c r="AV316"/>
      <c r="AW316"/>
      <c r="AX316"/>
      <c r="AY316"/>
      <c r="AZ316"/>
      <c r="BA316"/>
      <c r="BB316"/>
      <c r="BC316" s="3"/>
      <c r="BD316" s="3"/>
      <c r="BE316" s="3"/>
      <c r="BF316" s="3"/>
      <c r="BG316" s="3"/>
      <c r="BH316" s="3"/>
      <c r="BI316" s="3"/>
      <c r="BJ316" s="3"/>
      <c r="BK316" s="3"/>
      <c r="BL316" s="20" t="str">
        <f t="shared" si="108"/>
        <v>►</v>
      </c>
      <c r="BM316"/>
      <c r="BN316"/>
      <c r="BO316"/>
      <c r="BP316"/>
      <c r="BQ316"/>
      <c r="BR316"/>
      <c r="BS316"/>
      <c r="BT316"/>
      <c r="BU316"/>
      <c r="BV316"/>
      <c r="BW316"/>
      <c r="BX316"/>
      <c r="BY316"/>
      <c r="BZ316"/>
      <c r="CA316"/>
      <c r="CB316"/>
      <c r="CC316"/>
      <c r="CD316"/>
      <c r="CE316"/>
      <c r="CF316"/>
      <c r="CG316"/>
      <c r="CH316"/>
      <c r="CI316"/>
      <c r="CJ316"/>
      <c r="CK316"/>
      <c r="CL316"/>
      <c r="CM316"/>
      <c r="CN316" s="56" t="s">
        <v>1</v>
      </c>
      <c r="CO316" s="5">
        <v>1</v>
      </c>
    </row>
    <row r="317" spans="1:93" s="1" customFormat="1" ht="21" customHeight="1">
      <c r="A317" s="20" t="str">
        <f t="shared" si="117"/>
        <v>►</v>
      </c>
      <c r="B317" s="43" t="str">
        <f t="shared" si="118"/>
        <v>►</v>
      </c>
      <c r="C317" s="45" t="str">
        <f t="shared" si="103"/>
        <v>►</v>
      </c>
      <c r="D317" s="44" t="str">
        <f t="shared" si="104"/>
        <v>►</v>
      </c>
      <c r="E317" s="43" t="str">
        <f t="shared" si="105"/>
        <v>►</v>
      </c>
      <c r="F317" s="43" t="str">
        <f t="shared" si="106"/>
        <v>►</v>
      </c>
      <c r="G317" s="43" t="str">
        <f t="shared" si="107"/>
        <v>►</v>
      </c>
      <c r="H317" s="1256" t="s">
        <v>1</v>
      </c>
      <c r="I317" s="5175" t="s">
        <v>1</v>
      </c>
      <c r="J317" s="5161"/>
      <c r="K317" s="5161"/>
      <c r="L317" s="5161"/>
      <c r="M317" s="5176"/>
      <c r="N317" s="5177"/>
      <c r="O317" s="147"/>
      <c r="P317" s="147"/>
      <c r="Q317" s="102"/>
      <c r="R317" s="102"/>
      <c r="S317" s="1360"/>
      <c r="T317" s="43"/>
      <c r="U317" s="42"/>
      <c r="V317" s="41"/>
      <c r="W317" s="40"/>
      <c r="X317" s="39"/>
      <c r="Y317" s="38"/>
      <c r="Z317" s="37"/>
      <c r="AA317" s="36"/>
      <c r="AB317" s="35"/>
      <c r="AC317" s="34"/>
      <c r="AD317" s="55"/>
      <c r="AE317" s="33"/>
      <c r="AF317"/>
      <c r="AG317" s="32"/>
      <c r="AH317" s="31"/>
      <c r="AI317" s="30"/>
      <c r="AJ317" s="5492">
        <f t="shared" si="109"/>
        <v>0</v>
      </c>
      <c r="AK317" s="54">
        <f t="shared" si="110"/>
        <v>0</v>
      </c>
      <c r="AL317" s="53" t="str">
        <f t="shared" si="111"/>
        <v/>
      </c>
      <c r="AM317" s="52"/>
      <c r="AN317" s="51">
        <f t="shared" si="112"/>
        <v>0</v>
      </c>
      <c r="AO317" s="50">
        <f t="shared" si="113"/>
        <v>0</v>
      </c>
      <c r="AP317" s="49">
        <f t="shared" si="114"/>
        <v>0</v>
      </c>
      <c r="AQ317" s="23"/>
      <c r="AR317" s="48">
        <f t="shared" si="115"/>
        <v>0</v>
      </c>
      <c r="AS317" s="47"/>
      <c r="AT317" s="13"/>
      <c r="AU317" s="46">
        <f t="shared" si="116"/>
        <v>0</v>
      </c>
      <c r="AV317"/>
      <c r="AW317"/>
      <c r="AX317"/>
      <c r="AY317"/>
      <c r="AZ317"/>
      <c r="BA317"/>
      <c r="BB317"/>
      <c r="BC317" s="3"/>
      <c r="BD317" s="3"/>
      <c r="BE317" s="3"/>
      <c r="BF317" s="3"/>
      <c r="BG317" s="3"/>
      <c r="BH317" s="3"/>
      <c r="BI317" s="3"/>
      <c r="BJ317" s="3"/>
      <c r="BK317" s="3"/>
      <c r="BL317" s="20" t="str">
        <f t="shared" si="108"/>
        <v>►</v>
      </c>
      <c r="BM317"/>
      <c r="BN317"/>
      <c r="BO317"/>
      <c r="BP317"/>
      <c r="BQ317"/>
      <c r="BR317"/>
      <c r="BS317"/>
      <c r="BT317"/>
      <c r="BU317"/>
      <c r="BV317"/>
      <c r="BW317"/>
      <c r="BX317"/>
      <c r="BY317"/>
      <c r="BZ317"/>
      <c r="CA317"/>
      <c r="CB317"/>
      <c r="CC317"/>
      <c r="CD317"/>
      <c r="CE317"/>
      <c r="CF317"/>
      <c r="CG317"/>
      <c r="CH317"/>
      <c r="CI317"/>
      <c r="CJ317"/>
      <c r="CK317"/>
      <c r="CL317"/>
      <c r="CM317"/>
      <c r="CN317" s="56" t="s">
        <v>1</v>
      </c>
      <c r="CO317" s="5">
        <v>1</v>
      </c>
    </row>
    <row r="318" spans="1:93" s="1" customFormat="1" ht="21" customHeight="1">
      <c r="A318" s="20" t="str">
        <f t="shared" si="117"/>
        <v>►</v>
      </c>
      <c r="B318" s="43" t="str">
        <f t="shared" si="118"/>
        <v>►</v>
      </c>
      <c r="C318" s="45" t="str">
        <f t="shared" si="103"/>
        <v>►</v>
      </c>
      <c r="D318" s="44" t="str">
        <f t="shared" si="104"/>
        <v>►</v>
      </c>
      <c r="E318" s="43" t="str">
        <f t="shared" si="105"/>
        <v>►</v>
      </c>
      <c r="F318" s="43" t="str">
        <f t="shared" si="106"/>
        <v>►</v>
      </c>
      <c r="G318" s="43" t="str">
        <f t="shared" si="107"/>
        <v>►</v>
      </c>
      <c r="H318" s="1256" t="s">
        <v>1</v>
      </c>
      <c r="I318" s="5175" t="s">
        <v>1</v>
      </c>
      <c r="J318" s="5161"/>
      <c r="K318" s="5161"/>
      <c r="L318" s="5161"/>
      <c r="M318" s="5176"/>
      <c r="N318" s="5177"/>
      <c r="O318" s="147"/>
      <c r="P318" s="147"/>
      <c r="Q318" s="102"/>
      <c r="R318" s="102"/>
      <c r="S318" s="1360"/>
      <c r="T318" s="43"/>
      <c r="U318" s="42"/>
      <c r="V318" s="41"/>
      <c r="W318" s="40"/>
      <c r="X318" s="39"/>
      <c r="Y318" s="38"/>
      <c r="Z318" s="37"/>
      <c r="AA318" s="36"/>
      <c r="AB318" s="35"/>
      <c r="AC318" s="34"/>
      <c r="AD318" s="55"/>
      <c r="AE318" s="33"/>
      <c r="AF318"/>
      <c r="AG318" s="32"/>
      <c r="AH318" s="31"/>
      <c r="AI318" s="30"/>
      <c r="AJ318" s="5492">
        <f t="shared" si="109"/>
        <v>0</v>
      </c>
      <c r="AK318" s="29">
        <f t="shared" si="110"/>
        <v>0</v>
      </c>
      <c r="AL318" s="28" t="str">
        <f t="shared" si="111"/>
        <v/>
      </c>
      <c r="AM318" s="27"/>
      <c r="AN318" s="26">
        <f t="shared" si="112"/>
        <v>0</v>
      </c>
      <c r="AO318" s="25">
        <f t="shared" si="113"/>
        <v>0</v>
      </c>
      <c r="AP318" s="24">
        <f t="shared" si="114"/>
        <v>0</v>
      </c>
      <c r="AQ318" s="23"/>
      <c r="AR318" s="22">
        <f t="shared" si="115"/>
        <v>0</v>
      </c>
      <c r="AS318" s="21"/>
      <c r="AT318" s="13"/>
      <c r="AU318" s="46">
        <f t="shared" si="116"/>
        <v>0</v>
      </c>
      <c r="AV318"/>
      <c r="AW318"/>
      <c r="AX318"/>
      <c r="AY318"/>
      <c r="AZ318"/>
      <c r="BA318"/>
      <c r="BB318"/>
      <c r="BC318" s="3"/>
      <c r="BD318" s="3"/>
      <c r="BE318" s="3"/>
      <c r="BF318" s="3"/>
      <c r="BG318" s="3"/>
      <c r="BH318" s="3"/>
      <c r="BI318" s="3"/>
      <c r="BJ318" s="3"/>
      <c r="BK318" s="3"/>
      <c r="BL318" s="20" t="str">
        <f t="shared" si="108"/>
        <v>►</v>
      </c>
      <c r="BM318"/>
      <c r="BN318"/>
      <c r="BO318"/>
      <c r="BP318"/>
      <c r="BQ318"/>
      <c r="BR318"/>
      <c r="BS318"/>
      <c r="BT318"/>
      <c r="BU318"/>
      <c r="BV318"/>
      <c r="BW318"/>
      <c r="BX318"/>
      <c r="BY318"/>
      <c r="BZ318"/>
      <c r="CA318"/>
      <c r="CB318"/>
      <c r="CC318"/>
      <c r="CD318"/>
      <c r="CE318"/>
      <c r="CF318"/>
      <c r="CG318"/>
      <c r="CH318"/>
      <c r="CI318"/>
      <c r="CJ318"/>
      <c r="CK318"/>
      <c r="CL318"/>
      <c r="CM318"/>
      <c r="CN318" s="56" t="s">
        <v>1</v>
      </c>
      <c r="CO318" s="5">
        <v>1</v>
      </c>
    </row>
    <row r="319" spans="1:93" s="1" customFormat="1" ht="21" customHeight="1">
      <c r="A319" s="20" t="str">
        <f t="shared" si="117"/>
        <v>►</v>
      </c>
      <c r="B319" s="43" t="str">
        <f t="shared" si="118"/>
        <v>►</v>
      </c>
      <c r="C319" s="45" t="str">
        <f t="shared" si="103"/>
        <v>►</v>
      </c>
      <c r="D319" s="44" t="str">
        <f t="shared" si="104"/>
        <v>►</v>
      </c>
      <c r="E319" s="43" t="str">
        <f t="shared" si="105"/>
        <v>►</v>
      </c>
      <c r="F319" s="43" t="str">
        <f t="shared" si="106"/>
        <v>►</v>
      </c>
      <c r="G319" s="43" t="str">
        <f t="shared" si="107"/>
        <v>►</v>
      </c>
      <c r="H319" s="1256" t="s">
        <v>1</v>
      </c>
      <c r="I319" s="5175" t="s">
        <v>1</v>
      </c>
      <c r="J319" s="5161"/>
      <c r="K319" s="5161"/>
      <c r="L319" s="5161"/>
      <c r="M319" s="5176"/>
      <c r="N319" s="5177"/>
      <c r="O319" s="147"/>
      <c r="P319" s="147"/>
      <c r="Q319" s="102"/>
      <c r="R319" s="102"/>
      <c r="S319" s="1360"/>
      <c r="T319" s="43"/>
      <c r="U319" s="42"/>
      <c r="V319" s="41"/>
      <c r="W319" s="40"/>
      <c r="X319" s="39"/>
      <c r="Y319" s="38"/>
      <c r="Z319" s="37"/>
      <c r="AA319" s="36"/>
      <c r="AB319" s="35"/>
      <c r="AC319" s="34"/>
      <c r="AD319" s="55"/>
      <c r="AE319" s="33"/>
      <c r="AF319"/>
      <c r="AG319" s="32"/>
      <c r="AH319" s="31"/>
      <c r="AI319" s="30"/>
      <c r="AJ319" s="5492">
        <f t="shared" si="109"/>
        <v>0</v>
      </c>
      <c r="AK319" s="54">
        <f t="shared" si="110"/>
        <v>0</v>
      </c>
      <c r="AL319" s="53" t="str">
        <f t="shared" si="111"/>
        <v/>
      </c>
      <c r="AM319" s="52"/>
      <c r="AN319" s="51">
        <f t="shared" si="112"/>
        <v>0</v>
      </c>
      <c r="AO319" s="50">
        <f t="shared" si="113"/>
        <v>0</v>
      </c>
      <c r="AP319" s="49">
        <f t="shared" si="114"/>
        <v>0</v>
      </c>
      <c r="AQ319" s="23"/>
      <c r="AR319" s="48">
        <f t="shared" si="115"/>
        <v>0</v>
      </c>
      <c r="AS319" s="47"/>
      <c r="AT319" s="13"/>
      <c r="AU319" s="46">
        <f t="shared" si="116"/>
        <v>0</v>
      </c>
      <c r="AV319"/>
      <c r="AW319"/>
      <c r="AX319"/>
      <c r="AY319"/>
      <c r="AZ319"/>
      <c r="BA319"/>
      <c r="BB319"/>
      <c r="BC319" s="3"/>
      <c r="BD319" s="3"/>
      <c r="BE319" s="3"/>
      <c r="BF319" s="3"/>
      <c r="BG319" s="3"/>
      <c r="BH319" s="3"/>
      <c r="BI319" s="3"/>
      <c r="BJ319" s="3"/>
      <c r="BK319" s="3"/>
      <c r="BL319" s="20" t="str">
        <f t="shared" si="108"/>
        <v>►</v>
      </c>
      <c r="BM319"/>
      <c r="BN319"/>
      <c r="BO319"/>
      <c r="BP319"/>
      <c r="BQ319"/>
      <c r="BR319"/>
      <c r="BS319"/>
      <c r="BT319"/>
      <c r="BU319"/>
      <c r="BV319"/>
      <c r="BW319"/>
      <c r="BX319"/>
      <c r="BY319"/>
      <c r="BZ319"/>
      <c r="CA319"/>
      <c r="CB319"/>
      <c r="CC319"/>
      <c r="CD319"/>
      <c r="CE319"/>
      <c r="CF319"/>
      <c r="CG319"/>
      <c r="CH319"/>
      <c r="CI319"/>
      <c r="CJ319"/>
      <c r="CK319"/>
      <c r="CL319"/>
      <c r="CM319"/>
      <c r="CN319" s="56"/>
      <c r="CO319" s="5">
        <v>1</v>
      </c>
    </row>
    <row r="320" spans="1:93" s="1" customFormat="1" ht="21" customHeight="1">
      <c r="A320" s="20" t="str">
        <f t="shared" si="117"/>
        <v>►</v>
      </c>
      <c r="B320" s="43" t="str">
        <f t="shared" si="118"/>
        <v>►</v>
      </c>
      <c r="C320" s="45" t="str">
        <f t="shared" si="103"/>
        <v>►</v>
      </c>
      <c r="D320" s="44" t="str">
        <f t="shared" si="104"/>
        <v>►</v>
      </c>
      <c r="E320" s="43" t="str">
        <f t="shared" si="105"/>
        <v>►</v>
      </c>
      <c r="F320" s="43" t="str">
        <f t="shared" si="106"/>
        <v>►</v>
      </c>
      <c r="G320" s="43" t="str">
        <f t="shared" si="107"/>
        <v>►</v>
      </c>
      <c r="H320" s="1256" t="s">
        <v>1</v>
      </c>
      <c r="I320" s="5175" t="s">
        <v>1</v>
      </c>
      <c r="J320" s="5161"/>
      <c r="K320" s="5161"/>
      <c r="L320" s="5161"/>
      <c r="M320" s="5176"/>
      <c r="N320" s="5177"/>
      <c r="O320" s="147"/>
      <c r="P320" s="147"/>
      <c r="Q320" s="102"/>
      <c r="R320" s="102"/>
      <c r="S320" s="1360"/>
      <c r="T320" s="43"/>
      <c r="U320" s="42"/>
      <c r="V320" s="41"/>
      <c r="W320" s="40"/>
      <c r="X320" s="39"/>
      <c r="Y320" s="38"/>
      <c r="Z320" s="37"/>
      <c r="AA320" s="36"/>
      <c r="AB320" s="35"/>
      <c r="AC320" s="34"/>
      <c r="AD320" s="55"/>
      <c r="AE320" s="33"/>
      <c r="AF320"/>
      <c r="AG320" s="32"/>
      <c r="AH320" s="31"/>
      <c r="AI320" s="30"/>
      <c r="AJ320" s="5492">
        <f t="shared" si="109"/>
        <v>0</v>
      </c>
      <c r="AK320" s="29">
        <f t="shared" si="110"/>
        <v>0</v>
      </c>
      <c r="AL320" s="28" t="str">
        <f t="shared" si="111"/>
        <v/>
      </c>
      <c r="AM320" s="27"/>
      <c r="AN320" s="26">
        <f t="shared" si="112"/>
        <v>0</v>
      </c>
      <c r="AO320" s="25">
        <f t="shared" si="113"/>
        <v>0</v>
      </c>
      <c r="AP320" s="24">
        <f t="shared" si="114"/>
        <v>0</v>
      </c>
      <c r="AQ320" s="23"/>
      <c r="AR320" s="22">
        <f t="shared" si="115"/>
        <v>0</v>
      </c>
      <c r="AS320" s="21"/>
      <c r="AT320" s="13"/>
      <c r="AU320" s="46">
        <f t="shared" si="116"/>
        <v>0</v>
      </c>
      <c r="AV320"/>
      <c r="AW320"/>
      <c r="AX320"/>
      <c r="AY320"/>
      <c r="AZ320"/>
      <c r="BA320"/>
      <c r="BB320"/>
      <c r="BC320" s="3"/>
      <c r="BD320" s="3"/>
      <c r="BE320" s="3"/>
      <c r="BF320" s="3"/>
      <c r="BG320" s="3"/>
      <c r="BH320" s="3"/>
      <c r="BI320" s="3"/>
      <c r="BJ320" s="3"/>
      <c r="BK320" s="3"/>
      <c r="BL320" s="20" t="str">
        <f t="shared" si="108"/>
        <v>►</v>
      </c>
      <c r="BM320"/>
      <c r="BN320"/>
      <c r="BO320"/>
      <c r="BP320"/>
      <c r="BQ320"/>
      <c r="BR320"/>
      <c r="BS320"/>
      <c r="BT320"/>
      <c r="BU320"/>
      <c r="BV320"/>
      <c r="BW320"/>
      <c r="BX320"/>
      <c r="BY320"/>
      <c r="BZ320"/>
      <c r="CA320"/>
      <c r="CB320"/>
      <c r="CC320"/>
      <c r="CD320"/>
      <c r="CE320"/>
      <c r="CF320"/>
      <c r="CG320"/>
      <c r="CH320"/>
      <c r="CI320"/>
      <c r="CJ320"/>
      <c r="CK320"/>
      <c r="CL320"/>
      <c r="CM320"/>
      <c r="CN320" s="56" t="s">
        <v>1</v>
      </c>
      <c r="CO320" s="5">
        <v>1</v>
      </c>
    </row>
    <row r="321" spans="1:93" s="1" customFormat="1" ht="21" customHeight="1">
      <c r="A321" s="20" t="str">
        <f t="shared" si="117"/>
        <v>►</v>
      </c>
      <c r="B321" s="43" t="str">
        <f t="shared" si="118"/>
        <v>►</v>
      </c>
      <c r="C321" s="45" t="str">
        <f t="shared" si="103"/>
        <v>►</v>
      </c>
      <c r="D321" s="44" t="str">
        <f t="shared" si="104"/>
        <v>►</v>
      </c>
      <c r="E321" s="43" t="str">
        <f t="shared" si="105"/>
        <v>►</v>
      </c>
      <c r="F321" s="43" t="str">
        <f t="shared" si="106"/>
        <v>►</v>
      </c>
      <c r="G321" s="43" t="str">
        <f t="shared" si="107"/>
        <v>►</v>
      </c>
      <c r="H321" s="1256" t="s">
        <v>1</v>
      </c>
      <c r="I321" s="5175" t="s">
        <v>1</v>
      </c>
      <c r="J321" s="5161"/>
      <c r="K321" s="5161"/>
      <c r="L321" s="5161"/>
      <c r="M321" s="5176"/>
      <c r="N321" s="5177"/>
      <c r="O321" s="147"/>
      <c r="P321" s="147"/>
      <c r="Q321" s="102"/>
      <c r="R321" s="102"/>
      <c r="S321" s="1360"/>
      <c r="T321" s="43"/>
      <c r="U321" s="42"/>
      <c r="V321" s="41"/>
      <c r="W321" s="40"/>
      <c r="X321" s="39"/>
      <c r="Y321" s="38"/>
      <c r="Z321" s="37"/>
      <c r="AA321" s="36"/>
      <c r="AB321" s="35"/>
      <c r="AC321" s="34"/>
      <c r="AD321" s="55"/>
      <c r="AE321" s="33"/>
      <c r="AF321"/>
      <c r="AG321" s="32"/>
      <c r="AH321" s="31"/>
      <c r="AI321" s="30"/>
      <c r="AJ321" s="5492">
        <f t="shared" si="109"/>
        <v>0</v>
      </c>
      <c r="AK321" s="54">
        <f t="shared" si="110"/>
        <v>0</v>
      </c>
      <c r="AL321" s="53" t="str">
        <f t="shared" si="111"/>
        <v/>
      </c>
      <c r="AM321" s="52"/>
      <c r="AN321" s="51">
        <f t="shared" si="112"/>
        <v>0</v>
      </c>
      <c r="AO321" s="50">
        <f t="shared" si="113"/>
        <v>0</v>
      </c>
      <c r="AP321" s="49">
        <f t="shared" si="114"/>
        <v>0</v>
      </c>
      <c r="AQ321" s="23"/>
      <c r="AR321" s="48">
        <f t="shared" si="115"/>
        <v>0</v>
      </c>
      <c r="AS321" s="47"/>
      <c r="AT321" s="13"/>
      <c r="AU321" s="46">
        <f t="shared" si="116"/>
        <v>0</v>
      </c>
      <c r="AV321"/>
      <c r="AW321"/>
      <c r="AX321"/>
      <c r="AY321"/>
      <c r="AZ321"/>
      <c r="BA321"/>
      <c r="BB321"/>
      <c r="BC321" s="3"/>
      <c r="BD321" s="3"/>
      <c r="BE321" s="3"/>
      <c r="BF321" s="3"/>
      <c r="BG321" s="3"/>
      <c r="BH321" s="3"/>
      <c r="BI321" s="3"/>
      <c r="BJ321" s="3"/>
      <c r="BK321" s="3"/>
      <c r="BL321" s="20" t="str">
        <f t="shared" si="108"/>
        <v>►</v>
      </c>
      <c r="BM321"/>
      <c r="BN321"/>
      <c r="BO321"/>
      <c r="BP321"/>
      <c r="BQ321"/>
      <c r="BR321"/>
      <c r="BS321"/>
      <c r="BT321"/>
      <c r="BU321"/>
      <c r="BV321"/>
      <c r="BW321"/>
      <c r="BX321"/>
      <c r="BY321"/>
      <c r="BZ321"/>
      <c r="CA321"/>
      <c r="CB321"/>
      <c r="CC321"/>
      <c r="CD321"/>
      <c r="CE321"/>
      <c r="CF321"/>
      <c r="CG321"/>
      <c r="CH321"/>
      <c r="CI321"/>
      <c r="CJ321"/>
      <c r="CK321"/>
      <c r="CL321"/>
      <c r="CM321"/>
      <c r="CN321" s="56" t="s">
        <v>1</v>
      </c>
      <c r="CO321" s="5">
        <v>1</v>
      </c>
    </row>
    <row r="322" spans="1:93" s="1" customFormat="1" ht="21" customHeight="1">
      <c r="A322" s="20" t="str">
        <f t="shared" si="117"/>
        <v>►</v>
      </c>
      <c r="B322" s="43" t="str">
        <f t="shared" si="118"/>
        <v>►</v>
      </c>
      <c r="C322" s="45" t="str">
        <f t="shared" si="103"/>
        <v>►</v>
      </c>
      <c r="D322" s="44" t="str">
        <f t="shared" si="104"/>
        <v>►</v>
      </c>
      <c r="E322" s="43" t="str">
        <f t="shared" si="105"/>
        <v>►</v>
      </c>
      <c r="F322" s="43" t="str">
        <f t="shared" si="106"/>
        <v>►</v>
      </c>
      <c r="G322" s="43" t="str">
        <f t="shared" si="107"/>
        <v>►</v>
      </c>
      <c r="H322" s="1256" t="s">
        <v>1</v>
      </c>
      <c r="I322" s="5175" t="s">
        <v>1</v>
      </c>
      <c r="J322" s="5161"/>
      <c r="K322" s="5161"/>
      <c r="L322" s="5161"/>
      <c r="M322" s="5176"/>
      <c r="N322" s="5177"/>
      <c r="O322" s="147"/>
      <c r="P322" s="147"/>
      <c r="Q322" s="102"/>
      <c r="R322" s="102"/>
      <c r="S322" s="1360"/>
      <c r="T322" s="43"/>
      <c r="U322" s="42"/>
      <c r="V322" s="41"/>
      <c r="W322" s="40"/>
      <c r="X322" s="39"/>
      <c r="Y322" s="38"/>
      <c r="Z322" s="37"/>
      <c r="AA322" s="36"/>
      <c r="AB322" s="35"/>
      <c r="AC322" s="34"/>
      <c r="AD322" s="55"/>
      <c r="AE322" s="33"/>
      <c r="AF322"/>
      <c r="AG322" s="32"/>
      <c r="AH322" s="31"/>
      <c r="AI322" s="30"/>
      <c r="AJ322" s="5492">
        <f t="shared" si="109"/>
        <v>0</v>
      </c>
      <c r="AK322" s="29">
        <f t="shared" si="110"/>
        <v>0</v>
      </c>
      <c r="AL322" s="28" t="str">
        <f t="shared" si="111"/>
        <v/>
      </c>
      <c r="AM322" s="27"/>
      <c r="AN322" s="26">
        <f t="shared" si="112"/>
        <v>0</v>
      </c>
      <c r="AO322" s="25">
        <f t="shared" si="113"/>
        <v>0</v>
      </c>
      <c r="AP322" s="24">
        <f t="shared" si="114"/>
        <v>0</v>
      </c>
      <c r="AQ322" s="23"/>
      <c r="AR322" s="22">
        <f t="shared" si="115"/>
        <v>0</v>
      </c>
      <c r="AS322" s="21"/>
      <c r="AT322" s="13"/>
      <c r="AU322" s="46">
        <f t="shared" si="116"/>
        <v>0</v>
      </c>
      <c r="AV322"/>
      <c r="AW322"/>
      <c r="AX322"/>
      <c r="AY322"/>
      <c r="AZ322"/>
      <c r="BA322"/>
      <c r="BB322"/>
      <c r="BC322" s="3"/>
      <c r="BD322" s="3"/>
      <c r="BE322" s="3"/>
      <c r="BF322" s="3"/>
      <c r="BG322" s="3"/>
      <c r="BH322" s="3"/>
      <c r="BI322" s="3"/>
      <c r="BJ322" s="3"/>
      <c r="BK322" s="3"/>
      <c r="BL322" s="20" t="str">
        <f t="shared" si="108"/>
        <v>►</v>
      </c>
      <c r="BM322"/>
      <c r="BN322"/>
      <c r="BO322"/>
      <c r="BP322"/>
      <c r="BQ322"/>
      <c r="BR322"/>
      <c r="BS322"/>
      <c r="BT322"/>
      <c r="BU322"/>
      <c r="BV322"/>
      <c r="BW322"/>
      <c r="BX322"/>
      <c r="BY322"/>
      <c r="BZ322"/>
      <c r="CA322"/>
      <c r="CB322"/>
      <c r="CC322"/>
      <c r="CD322"/>
      <c r="CE322"/>
      <c r="CF322"/>
      <c r="CG322"/>
      <c r="CH322"/>
      <c r="CI322"/>
      <c r="CJ322"/>
      <c r="CK322"/>
      <c r="CL322"/>
      <c r="CM322"/>
      <c r="CN322" s="56" t="s">
        <v>1</v>
      </c>
      <c r="CO322" s="5">
        <v>1</v>
      </c>
    </row>
    <row r="323" spans="1:93" s="1" customFormat="1" ht="21" customHeight="1">
      <c r="A323" s="20" t="str">
        <f t="shared" si="117"/>
        <v>►</v>
      </c>
      <c r="B323" s="43" t="str">
        <f t="shared" si="118"/>
        <v>►</v>
      </c>
      <c r="C323" s="45" t="str">
        <f t="shared" si="103"/>
        <v>►</v>
      </c>
      <c r="D323" s="44" t="str">
        <f t="shared" si="104"/>
        <v>►</v>
      </c>
      <c r="E323" s="43" t="str">
        <f t="shared" si="105"/>
        <v>►</v>
      </c>
      <c r="F323" s="43" t="str">
        <f t="shared" si="106"/>
        <v>►</v>
      </c>
      <c r="G323" s="43" t="str">
        <f t="shared" si="107"/>
        <v>►</v>
      </c>
      <c r="H323" s="1256" t="s">
        <v>1</v>
      </c>
      <c r="I323" s="5175" t="s">
        <v>1</v>
      </c>
      <c r="J323" s="5161"/>
      <c r="K323" s="5161"/>
      <c r="L323" s="5161"/>
      <c r="M323" s="5176"/>
      <c r="N323" s="5177"/>
      <c r="O323" s="147"/>
      <c r="P323" s="147"/>
      <c r="Q323" s="102"/>
      <c r="R323" s="102"/>
      <c r="S323" s="1360"/>
      <c r="T323" s="43"/>
      <c r="U323" s="42"/>
      <c r="V323" s="41"/>
      <c r="W323" s="40"/>
      <c r="X323" s="39"/>
      <c r="Y323" s="38"/>
      <c r="Z323" s="37"/>
      <c r="AA323" s="36"/>
      <c r="AB323" s="35"/>
      <c r="AC323" s="34"/>
      <c r="AD323" s="55"/>
      <c r="AE323" s="33"/>
      <c r="AF323"/>
      <c r="AG323" s="32"/>
      <c r="AH323" s="31"/>
      <c r="AI323" s="30"/>
      <c r="AJ323" s="5492">
        <f t="shared" si="109"/>
        <v>0</v>
      </c>
      <c r="AK323" s="54">
        <f t="shared" si="110"/>
        <v>0</v>
      </c>
      <c r="AL323" s="53" t="str">
        <f t="shared" si="111"/>
        <v/>
      </c>
      <c r="AM323" s="52"/>
      <c r="AN323" s="51">
        <f t="shared" si="112"/>
        <v>0</v>
      </c>
      <c r="AO323" s="50">
        <f t="shared" si="113"/>
        <v>0</v>
      </c>
      <c r="AP323" s="49">
        <f t="shared" si="114"/>
        <v>0</v>
      </c>
      <c r="AQ323" s="23"/>
      <c r="AR323" s="48">
        <f t="shared" si="115"/>
        <v>0</v>
      </c>
      <c r="AS323" s="47"/>
      <c r="AT323" s="13"/>
      <c r="AU323" s="46">
        <f t="shared" si="116"/>
        <v>0</v>
      </c>
      <c r="AV323"/>
      <c r="AW323"/>
      <c r="AX323"/>
      <c r="AY323"/>
      <c r="AZ323"/>
      <c r="BA323"/>
      <c r="BB323"/>
      <c r="BC323" s="3"/>
      <c r="BD323" s="3"/>
      <c r="BE323" s="3"/>
      <c r="BF323" s="3"/>
      <c r="BG323" s="3"/>
      <c r="BH323" s="3"/>
      <c r="BI323" s="3"/>
      <c r="BJ323" s="3"/>
      <c r="BK323" s="3"/>
      <c r="BL323" s="20" t="str">
        <f t="shared" si="108"/>
        <v>►</v>
      </c>
      <c r="BM323"/>
      <c r="BN323"/>
      <c r="BO323"/>
      <c r="BP323"/>
      <c r="BQ323"/>
      <c r="BR323"/>
      <c r="BS323"/>
      <c r="BT323"/>
      <c r="BU323"/>
      <c r="BV323"/>
      <c r="BW323"/>
      <c r="BX323"/>
      <c r="BY323"/>
      <c r="BZ323"/>
      <c r="CA323"/>
      <c r="CB323"/>
      <c r="CC323"/>
      <c r="CD323"/>
      <c r="CE323"/>
      <c r="CF323"/>
      <c r="CG323"/>
      <c r="CH323"/>
      <c r="CI323"/>
      <c r="CJ323"/>
      <c r="CK323"/>
      <c r="CL323"/>
      <c r="CM323"/>
      <c r="CN323" s="56" t="s">
        <v>1</v>
      </c>
      <c r="CO323" s="5">
        <v>1</v>
      </c>
    </row>
    <row r="324" spans="1:93" s="1" customFormat="1" ht="21" customHeight="1">
      <c r="A324" s="20" t="str">
        <f t="shared" si="117"/>
        <v>►</v>
      </c>
      <c r="B324" s="43" t="str">
        <f t="shared" si="118"/>
        <v>►</v>
      </c>
      <c r="C324" s="45" t="str">
        <f t="shared" si="103"/>
        <v>►</v>
      </c>
      <c r="D324" s="44" t="str">
        <f t="shared" si="104"/>
        <v>►</v>
      </c>
      <c r="E324" s="43" t="str">
        <f t="shared" si="105"/>
        <v>►</v>
      </c>
      <c r="F324" s="43" t="str">
        <f t="shared" si="106"/>
        <v>►</v>
      </c>
      <c r="G324" s="43" t="str">
        <f t="shared" si="107"/>
        <v>►</v>
      </c>
      <c r="H324" s="1256" t="s">
        <v>1</v>
      </c>
      <c r="I324" s="5175" t="s">
        <v>1</v>
      </c>
      <c r="J324" s="5161"/>
      <c r="K324" s="5161"/>
      <c r="L324" s="5161"/>
      <c r="M324" s="5176"/>
      <c r="N324" s="5177"/>
      <c r="O324" s="147"/>
      <c r="P324" s="147"/>
      <c r="Q324" s="102"/>
      <c r="R324" s="102"/>
      <c r="S324" s="1360"/>
      <c r="T324" s="43"/>
      <c r="U324" s="42"/>
      <c r="V324" s="41"/>
      <c r="W324" s="40"/>
      <c r="X324" s="39"/>
      <c r="Y324" s="38"/>
      <c r="Z324" s="37"/>
      <c r="AA324" s="36"/>
      <c r="AB324" s="35"/>
      <c r="AC324" s="34"/>
      <c r="AD324" s="55"/>
      <c r="AE324" s="33"/>
      <c r="AF324"/>
      <c r="AG324" s="32"/>
      <c r="AH324" s="31"/>
      <c r="AI324" s="30"/>
      <c r="AJ324" s="5492">
        <f t="shared" si="109"/>
        <v>0</v>
      </c>
      <c r="AK324" s="29">
        <f t="shared" si="110"/>
        <v>0</v>
      </c>
      <c r="AL324" s="28" t="str">
        <f t="shared" si="111"/>
        <v/>
      </c>
      <c r="AM324" s="27"/>
      <c r="AN324" s="26">
        <f t="shared" si="112"/>
        <v>0</v>
      </c>
      <c r="AO324" s="25">
        <f t="shared" si="113"/>
        <v>0</v>
      </c>
      <c r="AP324" s="24">
        <f t="shared" si="114"/>
        <v>0</v>
      </c>
      <c r="AQ324" s="23"/>
      <c r="AR324" s="22">
        <f t="shared" si="115"/>
        <v>0</v>
      </c>
      <c r="AS324" s="21"/>
      <c r="AT324" s="13"/>
      <c r="AU324" s="46">
        <f t="shared" si="116"/>
        <v>0</v>
      </c>
      <c r="AV324"/>
      <c r="AW324"/>
      <c r="AX324"/>
      <c r="AY324"/>
      <c r="AZ324"/>
      <c r="BA324"/>
      <c r="BB324"/>
      <c r="BC324" s="3"/>
      <c r="BD324" s="3"/>
      <c r="BE324" s="3"/>
      <c r="BF324" s="3"/>
      <c r="BG324" s="3"/>
      <c r="BH324" s="3"/>
      <c r="BI324" s="3"/>
      <c r="BJ324" s="3"/>
      <c r="BK324" s="3"/>
      <c r="BL324" s="20" t="str">
        <f t="shared" si="108"/>
        <v>►</v>
      </c>
      <c r="BM324"/>
      <c r="BN324"/>
      <c r="BO324"/>
      <c r="BP324"/>
      <c r="BQ324"/>
      <c r="BR324"/>
      <c r="BS324"/>
      <c r="BT324"/>
      <c r="BU324"/>
      <c r="BV324"/>
      <c r="BW324"/>
      <c r="BX324"/>
      <c r="BY324"/>
      <c r="BZ324"/>
      <c r="CA324"/>
      <c r="CB324"/>
      <c r="CC324"/>
      <c r="CD324"/>
      <c r="CE324"/>
      <c r="CF324"/>
      <c r="CG324"/>
      <c r="CH324"/>
      <c r="CI324"/>
      <c r="CJ324"/>
      <c r="CK324"/>
      <c r="CL324"/>
      <c r="CM324"/>
      <c r="CN324" s="56" t="s">
        <v>1</v>
      </c>
      <c r="CO324" s="5">
        <v>1</v>
      </c>
    </row>
    <row r="325" spans="1:93" s="1" customFormat="1" ht="21" customHeight="1">
      <c r="A325" s="20" t="str">
        <f t="shared" si="117"/>
        <v>►</v>
      </c>
      <c r="B325" s="43" t="str">
        <f t="shared" si="118"/>
        <v>►</v>
      </c>
      <c r="C325" s="45" t="str">
        <f t="shared" si="103"/>
        <v>►</v>
      </c>
      <c r="D325" s="44" t="str">
        <f t="shared" si="104"/>
        <v>►</v>
      </c>
      <c r="E325" s="43" t="str">
        <f t="shared" si="105"/>
        <v>►</v>
      </c>
      <c r="F325" s="43" t="str">
        <f t="shared" si="106"/>
        <v>►</v>
      </c>
      <c r="G325" s="43" t="str">
        <f t="shared" si="107"/>
        <v>►</v>
      </c>
      <c r="H325" s="1256" t="s">
        <v>1</v>
      </c>
      <c r="I325" s="5175" t="s">
        <v>1</v>
      </c>
      <c r="J325" s="5161"/>
      <c r="K325" s="5161"/>
      <c r="L325" s="5161"/>
      <c r="M325" s="5176"/>
      <c r="N325" s="5177"/>
      <c r="O325" s="147"/>
      <c r="P325" s="147"/>
      <c r="Q325" s="102"/>
      <c r="R325" s="102"/>
      <c r="S325" s="1360"/>
      <c r="T325" s="43"/>
      <c r="U325" s="42"/>
      <c r="V325" s="41"/>
      <c r="W325" s="40"/>
      <c r="X325" s="39"/>
      <c r="Y325" s="38"/>
      <c r="Z325" s="37"/>
      <c r="AA325" s="36"/>
      <c r="AB325" s="35"/>
      <c r="AC325" s="34"/>
      <c r="AD325" s="55"/>
      <c r="AE325" s="33"/>
      <c r="AF325"/>
      <c r="AG325" s="32"/>
      <c r="AH325" s="31"/>
      <c r="AI325" s="30"/>
      <c r="AJ325" s="5492">
        <f t="shared" si="109"/>
        <v>0</v>
      </c>
      <c r="AK325" s="54">
        <f t="shared" si="110"/>
        <v>0</v>
      </c>
      <c r="AL325" s="53" t="str">
        <f t="shared" si="111"/>
        <v/>
      </c>
      <c r="AM325" s="52"/>
      <c r="AN325" s="51">
        <f t="shared" si="112"/>
        <v>0</v>
      </c>
      <c r="AO325" s="50">
        <f t="shared" si="113"/>
        <v>0</v>
      </c>
      <c r="AP325" s="49">
        <f t="shared" si="114"/>
        <v>0</v>
      </c>
      <c r="AQ325" s="23"/>
      <c r="AR325" s="48">
        <f t="shared" si="115"/>
        <v>0</v>
      </c>
      <c r="AS325" s="47"/>
      <c r="AT325" s="13"/>
      <c r="AU325" s="46">
        <f t="shared" si="116"/>
        <v>0</v>
      </c>
      <c r="AV325"/>
      <c r="AW325"/>
      <c r="AX325"/>
      <c r="AY325"/>
      <c r="AZ325"/>
      <c r="BA325"/>
      <c r="BB325"/>
      <c r="BC325" s="3"/>
      <c r="BD325" s="3"/>
      <c r="BE325" s="3"/>
      <c r="BF325" s="3"/>
      <c r="BG325" s="3"/>
      <c r="BH325" s="3"/>
      <c r="BI325" s="3"/>
      <c r="BJ325" s="3"/>
      <c r="BK325" s="3"/>
      <c r="BL325" s="20" t="str">
        <f t="shared" si="108"/>
        <v>►</v>
      </c>
      <c r="BM325"/>
      <c r="BN325"/>
      <c r="BO325"/>
      <c r="BP325"/>
      <c r="BQ325"/>
      <c r="BR325"/>
      <c r="BS325"/>
      <c r="BT325"/>
      <c r="BU325"/>
      <c r="BV325"/>
      <c r="BW325"/>
      <c r="BX325"/>
      <c r="BY325"/>
      <c r="BZ325"/>
      <c r="CA325"/>
      <c r="CB325"/>
      <c r="CC325"/>
      <c r="CD325"/>
      <c r="CE325"/>
      <c r="CF325"/>
      <c r="CG325"/>
      <c r="CH325"/>
      <c r="CI325"/>
      <c r="CJ325"/>
      <c r="CK325"/>
      <c r="CL325"/>
      <c r="CM325"/>
      <c r="CN325" s="56" t="s">
        <v>1</v>
      </c>
      <c r="CO325" s="5">
        <v>1</v>
      </c>
    </row>
    <row r="326" spans="1:93" s="1" customFormat="1" ht="21" customHeight="1">
      <c r="A326" s="20" t="str">
        <f t="shared" si="117"/>
        <v>►</v>
      </c>
      <c r="B326" s="43" t="str">
        <f t="shared" si="118"/>
        <v>►</v>
      </c>
      <c r="C326" s="45" t="str">
        <f t="shared" si="103"/>
        <v>►</v>
      </c>
      <c r="D326" s="44" t="str">
        <f t="shared" si="104"/>
        <v>►</v>
      </c>
      <c r="E326" s="43" t="str">
        <f t="shared" si="105"/>
        <v>►</v>
      </c>
      <c r="F326" s="43" t="str">
        <f t="shared" si="106"/>
        <v>►</v>
      </c>
      <c r="G326" s="43" t="str">
        <f t="shared" si="107"/>
        <v>►</v>
      </c>
      <c r="H326" s="1256" t="s">
        <v>1</v>
      </c>
      <c r="I326" s="5175" t="s">
        <v>1</v>
      </c>
      <c r="J326" s="5161"/>
      <c r="K326" s="5161"/>
      <c r="L326" s="5161"/>
      <c r="M326" s="5176"/>
      <c r="N326" s="5177"/>
      <c r="O326" s="147"/>
      <c r="P326" s="147"/>
      <c r="Q326" s="102"/>
      <c r="R326" s="102"/>
      <c r="S326" s="1360"/>
      <c r="T326" s="43"/>
      <c r="U326" s="42"/>
      <c r="V326" s="41"/>
      <c r="W326" s="40"/>
      <c r="X326" s="39"/>
      <c r="Y326" s="38"/>
      <c r="Z326" s="37"/>
      <c r="AA326" s="36"/>
      <c r="AB326" s="35"/>
      <c r="AC326" s="34"/>
      <c r="AD326" s="55"/>
      <c r="AE326" s="33"/>
      <c r="AF326"/>
      <c r="AG326" s="32"/>
      <c r="AH326" s="31"/>
      <c r="AI326" s="30"/>
      <c r="AJ326" s="5492">
        <f t="shared" si="109"/>
        <v>0</v>
      </c>
      <c r="AK326" s="29">
        <f t="shared" si="110"/>
        <v>0</v>
      </c>
      <c r="AL326" s="28" t="str">
        <f t="shared" si="111"/>
        <v/>
      </c>
      <c r="AM326" s="27"/>
      <c r="AN326" s="26">
        <f t="shared" si="112"/>
        <v>0</v>
      </c>
      <c r="AO326" s="25">
        <f t="shared" si="113"/>
        <v>0</v>
      </c>
      <c r="AP326" s="24">
        <f t="shared" si="114"/>
        <v>0</v>
      </c>
      <c r="AQ326" s="23"/>
      <c r="AR326" s="22">
        <f t="shared" si="115"/>
        <v>0</v>
      </c>
      <c r="AS326" s="21"/>
      <c r="AT326" s="13"/>
      <c r="AU326" s="46">
        <f t="shared" si="116"/>
        <v>0</v>
      </c>
      <c r="AV326"/>
      <c r="AW326"/>
      <c r="AX326"/>
      <c r="AY326"/>
      <c r="AZ326"/>
      <c r="BA326"/>
      <c r="BB326"/>
      <c r="BC326" s="3"/>
      <c r="BD326" s="3"/>
      <c r="BE326" s="3"/>
      <c r="BF326" s="3"/>
      <c r="BG326" s="3"/>
      <c r="BH326" s="3"/>
      <c r="BI326" s="3"/>
      <c r="BJ326" s="3"/>
      <c r="BK326" s="3"/>
      <c r="BL326" s="20" t="str">
        <f t="shared" si="108"/>
        <v>►</v>
      </c>
      <c r="BM326"/>
      <c r="BN326"/>
      <c r="BO326"/>
      <c r="BP326"/>
      <c r="BQ326"/>
      <c r="BR326"/>
      <c r="BS326"/>
      <c r="BT326"/>
      <c r="BU326"/>
      <c r="BV326"/>
      <c r="BW326"/>
      <c r="BX326"/>
      <c r="BY326"/>
      <c r="BZ326"/>
      <c r="CA326"/>
      <c r="CB326"/>
      <c r="CC326"/>
      <c r="CD326"/>
      <c r="CE326"/>
      <c r="CF326"/>
      <c r="CG326"/>
      <c r="CH326"/>
      <c r="CI326"/>
      <c r="CJ326"/>
      <c r="CK326"/>
      <c r="CL326"/>
      <c r="CM326"/>
      <c r="CN326" s="56" t="s">
        <v>1</v>
      </c>
      <c r="CO326" s="5">
        <v>1</v>
      </c>
    </row>
    <row r="327" spans="1:93" s="1" customFormat="1" ht="21" customHeight="1">
      <c r="A327" s="20" t="str">
        <f t="shared" si="117"/>
        <v>►</v>
      </c>
      <c r="B327" s="43" t="str">
        <f t="shared" si="118"/>
        <v>►</v>
      </c>
      <c r="C327" s="45" t="str">
        <f t="shared" si="103"/>
        <v>►</v>
      </c>
      <c r="D327" s="44" t="str">
        <f t="shared" si="104"/>
        <v>►</v>
      </c>
      <c r="E327" s="43" t="str">
        <f t="shared" si="105"/>
        <v>►</v>
      </c>
      <c r="F327" s="43" t="str">
        <f t="shared" si="106"/>
        <v>►</v>
      </c>
      <c r="G327" s="43" t="str">
        <f t="shared" si="107"/>
        <v>►</v>
      </c>
      <c r="H327" s="1256" t="s">
        <v>1</v>
      </c>
      <c r="I327" s="5175" t="s">
        <v>1</v>
      </c>
      <c r="J327" s="5161"/>
      <c r="K327" s="5161"/>
      <c r="L327" s="5161"/>
      <c r="M327" s="5176"/>
      <c r="N327" s="5177"/>
      <c r="O327" s="147"/>
      <c r="P327" s="147"/>
      <c r="Q327" s="102"/>
      <c r="R327" s="102"/>
      <c r="S327" s="1360"/>
      <c r="T327" s="43"/>
      <c r="U327" s="42"/>
      <c r="V327" s="41"/>
      <c r="W327" s="40"/>
      <c r="X327" s="39"/>
      <c r="Y327" s="38"/>
      <c r="Z327" s="37"/>
      <c r="AA327" s="36"/>
      <c r="AB327" s="35"/>
      <c r="AC327" s="34"/>
      <c r="AD327" s="55"/>
      <c r="AE327" s="33"/>
      <c r="AF327"/>
      <c r="AG327" s="32"/>
      <c r="AH327" s="31"/>
      <c r="AI327" s="30"/>
      <c r="AJ327" s="5492">
        <f t="shared" si="109"/>
        <v>0</v>
      </c>
      <c r="AK327" s="54">
        <f t="shared" si="110"/>
        <v>0</v>
      </c>
      <c r="AL327" s="53" t="str">
        <f t="shared" si="111"/>
        <v/>
      </c>
      <c r="AM327" s="52"/>
      <c r="AN327" s="51">
        <f t="shared" si="112"/>
        <v>0</v>
      </c>
      <c r="AO327" s="50">
        <f t="shared" si="113"/>
        <v>0</v>
      </c>
      <c r="AP327" s="49">
        <f t="shared" si="114"/>
        <v>0</v>
      </c>
      <c r="AQ327" s="23"/>
      <c r="AR327" s="48">
        <f t="shared" si="115"/>
        <v>0</v>
      </c>
      <c r="AS327" s="47"/>
      <c r="AT327" s="13"/>
      <c r="AU327" s="46">
        <f t="shared" si="116"/>
        <v>0</v>
      </c>
      <c r="AV327"/>
      <c r="AW327"/>
      <c r="AX327"/>
      <c r="AY327"/>
      <c r="AZ327"/>
      <c r="BA327"/>
      <c r="BB327"/>
      <c r="BC327" s="3"/>
      <c r="BD327" s="3"/>
      <c r="BE327" s="3"/>
      <c r="BF327" s="3"/>
      <c r="BG327" s="3"/>
      <c r="BH327" s="3"/>
      <c r="BI327" s="3"/>
      <c r="BJ327" s="3"/>
      <c r="BK327" s="3"/>
      <c r="BL327" s="20" t="str">
        <f t="shared" si="108"/>
        <v>►</v>
      </c>
      <c r="BM327"/>
      <c r="BN327"/>
      <c r="BO327"/>
      <c r="BP327"/>
      <c r="BQ327"/>
      <c r="BR327"/>
      <c r="BS327"/>
      <c r="BT327"/>
      <c r="BU327"/>
      <c r="BV327"/>
      <c r="BW327"/>
      <c r="BX327"/>
      <c r="BY327"/>
      <c r="BZ327"/>
      <c r="CA327"/>
      <c r="CB327"/>
      <c r="CC327"/>
      <c r="CD327"/>
      <c r="CE327"/>
      <c r="CF327"/>
      <c r="CG327"/>
      <c r="CH327"/>
      <c r="CI327"/>
      <c r="CJ327"/>
      <c r="CK327"/>
      <c r="CL327"/>
      <c r="CM327"/>
      <c r="CN327" s="56" t="s">
        <v>1</v>
      </c>
      <c r="CO327" s="5">
        <v>1</v>
      </c>
    </row>
    <row r="328" spans="1:93" s="1" customFormat="1" ht="21" customHeight="1">
      <c r="A328" s="20" t="str">
        <f t="shared" si="117"/>
        <v>►</v>
      </c>
      <c r="B328" s="43" t="str">
        <f t="shared" si="118"/>
        <v>►</v>
      </c>
      <c r="C328" s="45" t="str">
        <f t="shared" si="103"/>
        <v>►</v>
      </c>
      <c r="D328" s="44" t="str">
        <f t="shared" si="104"/>
        <v>►</v>
      </c>
      <c r="E328" s="43" t="str">
        <f t="shared" si="105"/>
        <v>►</v>
      </c>
      <c r="F328" s="43" t="str">
        <f t="shared" si="106"/>
        <v>►</v>
      </c>
      <c r="G328" s="43" t="str">
        <f t="shared" si="107"/>
        <v>►</v>
      </c>
      <c r="H328" s="1256" t="s">
        <v>1</v>
      </c>
      <c r="I328" s="5175" t="s">
        <v>1</v>
      </c>
      <c r="J328" s="5161"/>
      <c r="K328" s="5161"/>
      <c r="L328" s="5161"/>
      <c r="M328" s="5176"/>
      <c r="N328" s="5177"/>
      <c r="O328" s="147"/>
      <c r="P328" s="147"/>
      <c r="Q328" s="102"/>
      <c r="R328" s="102"/>
      <c r="S328" s="1360"/>
      <c r="T328" s="43"/>
      <c r="U328" s="42"/>
      <c r="V328" s="41"/>
      <c r="W328" s="40"/>
      <c r="X328" s="39"/>
      <c r="Y328" s="38"/>
      <c r="Z328" s="37"/>
      <c r="AA328" s="36"/>
      <c r="AB328" s="35"/>
      <c r="AC328" s="34"/>
      <c r="AD328" s="55"/>
      <c r="AE328" s="33"/>
      <c r="AF328"/>
      <c r="AG328" s="32"/>
      <c r="AH328" s="31"/>
      <c r="AI328" s="30"/>
      <c r="AJ328" s="5492">
        <f t="shared" si="109"/>
        <v>0</v>
      </c>
      <c r="AK328" s="29">
        <f t="shared" si="110"/>
        <v>0</v>
      </c>
      <c r="AL328" s="28" t="str">
        <f t="shared" si="111"/>
        <v/>
      </c>
      <c r="AM328" s="27"/>
      <c r="AN328" s="26">
        <f t="shared" si="112"/>
        <v>0</v>
      </c>
      <c r="AO328" s="25">
        <f t="shared" si="113"/>
        <v>0</v>
      </c>
      <c r="AP328" s="24">
        <f t="shared" si="114"/>
        <v>0</v>
      </c>
      <c r="AQ328" s="23"/>
      <c r="AR328" s="22">
        <f t="shared" si="115"/>
        <v>0</v>
      </c>
      <c r="AS328" s="21"/>
      <c r="AT328" s="13"/>
      <c r="AU328" s="46">
        <f t="shared" si="116"/>
        <v>0</v>
      </c>
      <c r="AV328"/>
      <c r="AW328"/>
      <c r="AX328"/>
      <c r="AY328"/>
      <c r="AZ328"/>
      <c r="BA328"/>
      <c r="BB328"/>
      <c r="BC328" s="3"/>
      <c r="BD328" s="3"/>
      <c r="BE328" s="3"/>
      <c r="BF328" s="3"/>
      <c r="BG328" s="3"/>
      <c r="BH328" s="3"/>
      <c r="BI328" s="3"/>
      <c r="BJ328" s="3"/>
      <c r="BK328" s="3"/>
      <c r="BL328" s="20" t="str">
        <f t="shared" si="108"/>
        <v>►</v>
      </c>
      <c r="BM328"/>
      <c r="BN328"/>
      <c r="BO328"/>
      <c r="BP328"/>
      <c r="BQ328"/>
      <c r="BR328"/>
      <c r="BS328"/>
      <c r="BT328"/>
      <c r="BU328"/>
      <c r="BV328"/>
      <c r="BW328"/>
      <c r="BX328"/>
      <c r="BY328"/>
      <c r="BZ328"/>
      <c r="CA328"/>
      <c r="CB328"/>
      <c r="CC328"/>
      <c r="CD328"/>
      <c r="CE328"/>
      <c r="CF328"/>
      <c r="CG328"/>
      <c r="CH328"/>
      <c r="CI328"/>
      <c r="CJ328"/>
      <c r="CK328"/>
      <c r="CL328"/>
      <c r="CM328"/>
      <c r="CN328" s="56" t="s">
        <v>1</v>
      </c>
      <c r="CO328" s="5">
        <v>1</v>
      </c>
    </row>
    <row r="329" spans="1:93" s="1" customFormat="1" ht="21" customHeight="1">
      <c r="A329" s="20" t="str">
        <f t="shared" si="117"/>
        <v>►</v>
      </c>
      <c r="B329" s="43" t="str">
        <f t="shared" si="118"/>
        <v>►</v>
      </c>
      <c r="C329" s="45" t="str">
        <f t="shared" si="103"/>
        <v>►</v>
      </c>
      <c r="D329" s="44" t="str">
        <f t="shared" si="104"/>
        <v>►</v>
      </c>
      <c r="E329" s="43" t="str">
        <f t="shared" si="105"/>
        <v>►</v>
      </c>
      <c r="F329" s="43" t="str">
        <f t="shared" si="106"/>
        <v>►</v>
      </c>
      <c r="G329" s="43" t="str">
        <f t="shared" si="107"/>
        <v>►</v>
      </c>
      <c r="H329" s="1256" t="s">
        <v>1</v>
      </c>
      <c r="I329" s="5175" t="s">
        <v>1</v>
      </c>
      <c r="J329" s="5161"/>
      <c r="K329" s="5161"/>
      <c r="L329" s="5161"/>
      <c r="M329" s="5176"/>
      <c r="N329" s="5177"/>
      <c r="O329" s="147"/>
      <c r="P329" s="147"/>
      <c r="Q329" s="102"/>
      <c r="R329" s="102"/>
      <c r="S329" s="1360"/>
      <c r="T329" s="43"/>
      <c r="U329" s="42"/>
      <c r="V329" s="41"/>
      <c r="W329" s="40"/>
      <c r="X329" s="39"/>
      <c r="Y329" s="38"/>
      <c r="Z329" s="37"/>
      <c r="AA329" s="36"/>
      <c r="AB329" s="35"/>
      <c r="AC329" s="34"/>
      <c r="AD329" s="55"/>
      <c r="AE329" s="33"/>
      <c r="AF329"/>
      <c r="AG329" s="32"/>
      <c r="AH329" s="31"/>
      <c r="AI329" s="30"/>
      <c r="AJ329" s="5492">
        <f t="shared" si="109"/>
        <v>0</v>
      </c>
      <c r="AK329" s="54">
        <f t="shared" si="110"/>
        <v>0</v>
      </c>
      <c r="AL329" s="53" t="str">
        <f t="shared" si="111"/>
        <v/>
      </c>
      <c r="AM329" s="52"/>
      <c r="AN329" s="51">
        <f t="shared" si="112"/>
        <v>0</v>
      </c>
      <c r="AO329" s="50">
        <f t="shared" si="113"/>
        <v>0</v>
      </c>
      <c r="AP329" s="49">
        <f t="shared" si="114"/>
        <v>0</v>
      </c>
      <c r="AQ329" s="23"/>
      <c r="AR329" s="48">
        <f t="shared" si="115"/>
        <v>0</v>
      </c>
      <c r="AS329" s="47"/>
      <c r="AT329" s="13"/>
      <c r="AU329" s="46">
        <f t="shared" si="116"/>
        <v>0</v>
      </c>
      <c r="AV329"/>
      <c r="AW329"/>
      <c r="AX329"/>
      <c r="AY329"/>
      <c r="AZ329"/>
      <c r="BA329"/>
      <c r="BB329"/>
      <c r="BC329" s="3"/>
      <c r="BD329" s="3"/>
      <c r="BE329" s="3"/>
      <c r="BF329" s="3"/>
      <c r="BG329" s="3"/>
      <c r="BH329" s="3"/>
      <c r="BI329" s="3"/>
      <c r="BJ329" s="3"/>
      <c r="BK329" s="3"/>
      <c r="BL329" s="20" t="str">
        <f t="shared" si="108"/>
        <v>►</v>
      </c>
      <c r="BM329"/>
      <c r="BN329"/>
      <c r="BO329"/>
      <c r="BP329"/>
      <c r="BQ329"/>
      <c r="BR329"/>
      <c r="BS329"/>
      <c r="BT329"/>
      <c r="BU329"/>
      <c r="BV329"/>
      <c r="BW329"/>
      <c r="BX329"/>
      <c r="BY329"/>
      <c r="BZ329"/>
      <c r="CA329"/>
      <c r="CB329"/>
      <c r="CC329"/>
      <c r="CD329"/>
      <c r="CE329"/>
      <c r="CF329"/>
      <c r="CG329"/>
      <c r="CH329"/>
      <c r="CI329"/>
      <c r="CJ329"/>
      <c r="CK329"/>
      <c r="CL329"/>
      <c r="CM329"/>
      <c r="CN329" s="56"/>
      <c r="CO329" s="5">
        <v>1</v>
      </c>
    </row>
    <row r="330" spans="1:93" s="1" customFormat="1" ht="21" customHeight="1">
      <c r="A330" s="20" t="str">
        <f t="shared" si="117"/>
        <v>►</v>
      </c>
      <c r="B330" s="43" t="str">
        <f t="shared" si="118"/>
        <v>►</v>
      </c>
      <c r="C330" s="45" t="str">
        <f t="shared" si="103"/>
        <v>►</v>
      </c>
      <c r="D330" s="44" t="str">
        <f t="shared" si="104"/>
        <v>►</v>
      </c>
      <c r="E330" s="43" t="str">
        <f t="shared" si="105"/>
        <v>►</v>
      </c>
      <c r="F330" s="43" t="str">
        <f t="shared" si="106"/>
        <v>►</v>
      </c>
      <c r="G330" s="43" t="str">
        <f t="shared" si="107"/>
        <v>►</v>
      </c>
      <c r="H330" s="1256" t="s">
        <v>1</v>
      </c>
      <c r="I330" s="5175" t="s">
        <v>1</v>
      </c>
      <c r="J330" s="5161"/>
      <c r="K330" s="5161"/>
      <c r="L330" s="5161"/>
      <c r="M330" s="5176"/>
      <c r="N330" s="5177"/>
      <c r="O330" s="147"/>
      <c r="P330" s="147"/>
      <c r="Q330" s="102"/>
      <c r="R330" s="102"/>
      <c r="S330" s="1360"/>
      <c r="T330" s="43"/>
      <c r="U330" s="42"/>
      <c r="V330" s="41"/>
      <c r="W330" s="40"/>
      <c r="X330" s="39"/>
      <c r="Y330" s="38"/>
      <c r="Z330" s="37"/>
      <c r="AA330" s="36"/>
      <c r="AB330" s="35"/>
      <c r="AC330" s="34"/>
      <c r="AD330" s="55"/>
      <c r="AE330" s="33"/>
      <c r="AF330"/>
      <c r="AG330" s="32"/>
      <c r="AH330" s="31"/>
      <c r="AI330" s="30"/>
      <c r="AJ330" s="5492">
        <f t="shared" si="109"/>
        <v>0</v>
      </c>
      <c r="AK330" s="29">
        <f t="shared" si="110"/>
        <v>0</v>
      </c>
      <c r="AL330" s="28" t="str">
        <f t="shared" si="111"/>
        <v/>
      </c>
      <c r="AM330" s="27"/>
      <c r="AN330" s="26">
        <f t="shared" si="112"/>
        <v>0</v>
      </c>
      <c r="AO330" s="25">
        <f t="shared" si="113"/>
        <v>0</v>
      </c>
      <c r="AP330" s="24">
        <f t="shared" si="114"/>
        <v>0</v>
      </c>
      <c r="AQ330" s="23"/>
      <c r="AR330" s="22">
        <f t="shared" si="115"/>
        <v>0</v>
      </c>
      <c r="AS330" s="21"/>
      <c r="AT330" s="13"/>
      <c r="AU330" s="46">
        <f t="shared" si="116"/>
        <v>0</v>
      </c>
      <c r="AV330"/>
      <c r="AW330"/>
      <c r="AX330"/>
      <c r="AY330"/>
      <c r="AZ330"/>
      <c r="BA330"/>
      <c r="BB330"/>
      <c r="BC330" s="3"/>
      <c r="BD330" s="3"/>
      <c r="BE330" s="3"/>
      <c r="BF330" s="3"/>
      <c r="BG330" s="3"/>
      <c r="BH330" s="3"/>
      <c r="BI330" s="3"/>
      <c r="BJ330" s="3"/>
      <c r="BK330" s="3"/>
      <c r="BL330" s="20" t="str">
        <f t="shared" si="108"/>
        <v>►</v>
      </c>
      <c r="BM330"/>
      <c r="BN330"/>
      <c r="BO330"/>
      <c r="BP330"/>
      <c r="BQ330"/>
      <c r="BR330"/>
      <c r="BS330"/>
      <c r="BT330"/>
      <c r="BU330"/>
      <c r="BV330"/>
      <c r="BW330"/>
      <c r="BX330"/>
      <c r="BY330"/>
      <c r="BZ330"/>
      <c r="CA330"/>
      <c r="CB330"/>
      <c r="CC330"/>
      <c r="CD330"/>
      <c r="CE330"/>
      <c r="CF330"/>
      <c r="CG330"/>
      <c r="CH330"/>
      <c r="CI330"/>
      <c r="CJ330"/>
      <c r="CK330"/>
      <c r="CL330"/>
      <c r="CM330"/>
      <c r="CN330" s="56" t="s">
        <v>1</v>
      </c>
      <c r="CO330" s="5">
        <v>1</v>
      </c>
    </row>
    <row r="331" spans="1:93" s="1" customFormat="1" ht="21" customHeight="1">
      <c r="A331" s="20" t="str">
        <f t="shared" si="117"/>
        <v>►</v>
      </c>
      <c r="B331" s="43" t="str">
        <f t="shared" si="118"/>
        <v>►</v>
      </c>
      <c r="C331" s="45" t="str">
        <f t="shared" si="103"/>
        <v>►</v>
      </c>
      <c r="D331" s="44" t="str">
        <f t="shared" si="104"/>
        <v>►</v>
      </c>
      <c r="E331" s="43" t="str">
        <f t="shared" si="105"/>
        <v>►</v>
      </c>
      <c r="F331" s="43" t="str">
        <f t="shared" si="106"/>
        <v>►</v>
      </c>
      <c r="G331" s="43" t="str">
        <f t="shared" si="107"/>
        <v>►</v>
      </c>
      <c r="H331" s="1256" t="s">
        <v>1</v>
      </c>
      <c r="I331" s="5175" t="s">
        <v>1</v>
      </c>
      <c r="J331" s="5161"/>
      <c r="K331" s="5161"/>
      <c r="L331" s="5161"/>
      <c r="M331" s="5176"/>
      <c r="N331" s="5177"/>
      <c r="O331" s="147"/>
      <c r="P331" s="147"/>
      <c r="Q331" s="102"/>
      <c r="R331" s="102"/>
      <c r="S331" s="1360"/>
      <c r="T331" s="43"/>
      <c r="U331" s="42"/>
      <c r="V331" s="41"/>
      <c r="W331" s="40"/>
      <c r="X331" s="39"/>
      <c r="Y331" s="38"/>
      <c r="Z331" s="37"/>
      <c r="AA331" s="36"/>
      <c r="AB331" s="35"/>
      <c r="AC331" s="34"/>
      <c r="AD331" s="55"/>
      <c r="AE331" s="33"/>
      <c r="AF331"/>
      <c r="AG331" s="32"/>
      <c r="AH331" s="31"/>
      <c r="AI331" s="30"/>
      <c r="AJ331" s="5492">
        <f t="shared" si="109"/>
        <v>0</v>
      </c>
      <c r="AK331" s="54">
        <f t="shared" si="110"/>
        <v>0</v>
      </c>
      <c r="AL331" s="53" t="str">
        <f t="shared" si="111"/>
        <v/>
      </c>
      <c r="AM331" s="52"/>
      <c r="AN331" s="51">
        <f t="shared" si="112"/>
        <v>0</v>
      </c>
      <c r="AO331" s="50">
        <f t="shared" si="113"/>
        <v>0</v>
      </c>
      <c r="AP331" s="49">
        <f t="shared" si="114"/>
        <v>0</v>
      </c>
      <c r="AQ331" s="23"/>
      <c r="AR331" s="48">
        <f t="shared" si="115"/>
        <v>0</v>
      </c>
      <c r="AS331" s="47"/>
      <c r="AT331" s="13"/>
      <c r="AU331" s="46">
        <f t="shared" si="116"/>
        <v>0</v>
      </c>
      <c r="AV331"/>
      <c r="AW331"/>
      <c r="AX331"/>
      <c r="AY331"/>
      <c r="AZ331"/>
      <c r="BA331"/>
      <c r="BB331"/>
      <c r="BC331" s="3"/>
      <c r="BD331" s="3"/>
      <c r="BE331" s="3"/>
      <c r="BF331" s="3"/>
      <c r="BG331" s="3"/>
      <c r="BH331" s="3"/>
      <c r="BI331" s="3"/>
      <c r="BJ331" s="3"/>
      <c r="BK331" s="3"/>
      <c r="BL331" s="20" t="str">
        <f t="shared" si="108"/>
        <v>►</v>
      </c>
      <c r="BM331"/>
      <c r="BN331"/>
      <c r="BO331"/>
      <c r="BP331"/>
      <c r="BQ331"/>
      <c r="BR331"/>
      <c r="BS331"/>
      <c r="BT331"/>
      <c r="BU331"/>
      <c r="BV331"/>
      <c r="BW331"/>
      <c r="BX331"/>
      <c r="BY331"/>
      <c r="BZ331"/>
      <c r="CA331"/>
      <c r="CB331"/>
      <c r="CC331"/>
      <c r="CD331"/>
      <c r="CE331"/>
      <c r="CF331"/>
      <c r="CG331"/>
      <c r="CH331"/>
      <c r="CI331"/>
      <c r="CJ331"/>
      <c r="CK331"/>
      <c r="CL331"/>
      <c r="CM331"/>
      <c r="CN331" s="56" t="s">
        <v>1</v>
      </c>
      <c r="CO331" s="5">
        <v>1</v>
      </c>
    </row>
    <row r="332" spans="1:93" s="1" customFormat="1" ht="21" customHeight="1">
      <c r="A332" s="20" t="str">
        <f t="shared" si="117"/>
        <v>►</v>
      </c>
      <c r="B332" s="43" t="str">
        <f t="shared" si="118"/>
        <v>►</v>
      </c>
      <c r="C332" s="45" t="str">
        <f t="shared" si="103"/>
        <v>►</v>
      </c>
      <c r="D332" s="44" t="str">
        <f t="shared" si="104"/>
        <v>►</v>
      </c>
      <c r="E332" s="43" t="str">
        <f t="shared" si="105"/>
        <v>►</v>
      </c>
      <c r="F332" s="43" t="str">
        <f t="shared" si="106"/>
        <v>►</v>
      </c>
      <c r="G332" s="43" t="str">
        <f t="shared" si="107"/>
        <v>►</v>
      </c>
      <c r="H332" s="1256" t="s">
        <v>1</v>
      </c>
      <c r="I332" s="5175" t="s">
        <v>1</v>
      </c>
      <c r="J332" s="5161"/>
      <c r="K332" s="5161"/>
      <c r="L332" s="5161"/>
      <c r="M332" s="5176"/>
      <c r="N332" s="5177"/>
      <c r="O332" s="147"/>
      <c r="P332" s="147"/>
      <c r="Q332" s="102"/>
      <c r="R332" s="102"/>
      <c r="S332" s="1360"/>
      <c r="T332" s="43"/>
      <c r="U332" s="42"/>
      <c r="V332" s="41"/>
      <c r="W332" s="40"/>
      <c r="X332" s="39"/>
      <c r="Y332" s="38"/>
      <c r="Z332" s="37"/>
      <c r="AA332" s="36"/>
      <c r="AB332" s="35"/>
      <c r="AC332" s="34"/>
      <c r="AD332" s="55"/>
      <c r="AE332" s="33"/>
      <c r="AF332"/>
      <c r="AG332" s="32"/>
      <c r="AH332" s="31"/>
      <c r="AI332" s="30"/>
      <c r="AJ332" s="5492">
        <f t="shared" si="109"/>
        <v>0</v>
      </c>
      <c r="AK332" s="29">
        <f t="shared" si="110"/>
        <v>0</v>
      </c>
      <c r="AL332" s="28" t="str">
        <f t="shared" si="111"/>
        <v/>
      </c>
      <c r="AM332" s="27"/>
      <c r="AN332" s="26">
        <f t="shared" si="112"/>
        <v>0</v>
      </c>
      <c r="AO332" s="25">
        <f t="shared" si="113"/>
        <v>0</v>
      </c>
      <c r="AP332" s="24">
        <f t="shared" si="114"/>
        <v>0</v>
      </c>
      <c r="AQ332" s="23"/>
      <c r="AR332" s="22">
        <f t="shared" si="115"/>
        <v>0</v>
      </c>
      <c r="AS332" s="21"/>
      <c r="AT332" s="13"/>
      <c r="AU332" s="46">
        <f t="shared" si="116"/>
        <v>0</v>
      </c>
      <c r="AV332"/>
      <c r="AW332"/>
      <c r="AX332"/>
      <c r="AY332"/>
      <c r="AZ332"/>
      <c r="BA332"/>
      <c r="BB332"/>
      <c r="BC332" s="3"/>
      <c r="BD332" s="3"/>
      <c r="BE332" s="3"/>
      <c r="BF332" s="3"/>
      <c r="BG332" s="3"/>
      <c r="BH332" s="3"/>
      <c r="BI332" s="3"/>
      <c r="BJ332" s="3"/>
      <c r="BK332" s="3"/>
      <c r="BL332" s="20" t="str">
        <f t="shared" si="108"/>
        <v>►</v>
      </c>
      <c r="BM332"/>
      <c r="BN332"/>
      <c r="BO332"/>
      <c r="BP332"/>
      <c r="BQ332"/>
      <c r="BR332"/>
      <c r="BS332"/>
      <c r="BT332"/>
      <c r="BU332"/>
      <c r="BV332"/>
      <c r="BW332"/>
      <c r="BX332"/>
      <c r="BY332"/>
      <c r="BZ332"/>
      <c r="CA332"/>
      <c r="CB332"/>
      <c r="CC332"/>
      <c r="CD332"/>
      <c r="CE332"/>
      <c r="CF332"/>
      <c r="CG332"/>
      <c r="CH332"/>
      <c r="CI332"/>
      <c r="CJ332"/>
      <c r="CK332"/>
      <c r="CL332"/>
      <c r="CM332"/>
      <c r="CN332" s="56" t="s">
        <v>1</v>
      </c>
      <c r="CO332" s="5">
        <v>1</v>
      </c>
    </row>
    <row r="333" spans="1:93" s="1" customFormat="1" ht="21" customHeight="1">
      <c r="A333" s="20" t="str">
        <f t="shared" si="117"/>
        <v>►</v>
      </c>
      <c r="B333" s="43" t="str">
        <f t="shared" si="118"/>
        <v>►</v>
      </c>
      <c r="C333" s="45" t="str">
        <f t="shared" si="103"/>
        <v>►</v>
      </c>
      <c r="D333" s="44" t="str">
        <f t="shared" si="104"/>
        <v>►</v>
      </c>
      <c r="E333" s="43" t="str">
        <f t="shared" si="105"/>
        <v>►</v>
      </c>
      <c r="F333" s="43" t="str">
        <f t="shared" si="106"/>
        <v>►</v>
      </c>
      <c r="G333" s="43" t="str">
        <f t="shared" si="107"/>
        <v>►</v>
      </c>
      <c r="H333" s="1256" t="s">
        <v>1</v>
      </c>
      <c r="I333" s="5175" t="s">
        <v>1</v>
      </c>
      <c r="J333" s="5161"/>
      <c r="K333" s="5161"/>
      <c r="L333" s="5161"/>
      <c r="M333" s="5176"/>
      <c r="N333" s="5177"/>
      <c r="O333" s="147"/>
      <c r="P333" s="147"/>
      <c r="Q333" s="102"/>
      <c r="R333" s="102"/>
      <c r="S333" s="1360"/>
      <c r="T333" s="43"/>
      <c r="U333" s="42"/>
      <c r="V333" s="41"/>
      <c r="W333" s="40"/>
      <c r="X333" s="39"/>
      <c r="Y333" s="38"/>
      <c r="Z333" s="37"/>
      <c r="AA333" s="36"/>
      <c r="AB333" s="35"/>
      <c r="AC333" s="34"/>
      <c r="AD333" s="55"/>
      <c r="AE333" s="33"/>
      <c r="AF333"/>
      <c r="AG333" s="32"/>
      <c r="AH333" s="31"/>
      <c r="AI333" s="30"/>
      <c r="AJ333" s="5492">
        <f t="shared" si="109"/>
        <v>0</v>
      </c>
      <c r="AK333" s="54">
        <f t="shared" si="110"/>
        <v>0</v>
      </c>
      <c r="AL333" s="53" t="str">
        <f t="shared" si="111"/>
        <v/>
      </c>
      <c r="AM333" s="52"/>
      <c r="AN333" s="51">
        <f t="shared" si="112"/>
        <v>0</v>
      </c>
      <c r="AO333" s="50">
        <f t="shared" si="113"/>
        <v>0</v>
      </c>
      <c r="AP333" s="49">
        <f t="shared" si="114"/>
        <v>0</v>
      </c>
      <c r="AQ333" s="23"/>
      <c r="AR333" s="48">
        <f t="shared" si="115"/>
        <v>0</v>
      </c>
      <c r="AS333" s="47"/>
      <c r="AT333" s="13"/>
      <c r="AU333" s="46">
        <f t="shared" si="116"/>
        <v>0</v>
      </c>
      <c r="AV333"/>
      <c r="AW333"/>
      <c r="AX333"/>
      <c r="AY333"/>
      <c r="AZ333"/>
      <c r="BA333"/>
      <c r="BB333"/>
      <c r="BC333" s="3"/>
      <c r="BD333" s="3"/>
      <c r="BE333" s="3"/>
      <c r="BF333" s="3"/>
      <c r="BG333" s="3"/>
      <c r="BH333" s="3"/>
      <c r="BI333" s="3"/>
      <c r="BJ333" s="3"/>
      <c r="BK333" s="3"/>
      <c r="BL333" s="20" t="str">
        <f t="shared" si="108"/>
        <v>►</v>
      </c>
      <c r="BM333"/>
      <c r="BN333"/>
      <c r="BO333"/>
      <c r="BP333"/>
      <c r="BQ333"/>
      <c r="BR333"/>
      <c r="BS333"/>
      <c r="BT333"/>
      <c r="BU333"/>
      <c r="BV333"/>
      <c r="BW333"/>
      <c r="BX333"/>
      <c r="BY333"/>
      <c r="BZ333"/>
      <c r="CA333"/>
      <c r="CB333"/>
      <c r="CC333"/>
      <c r="CD333"/>
      <c r="CE333"/>
      <c r="CF333"/>
      <c r="CG333"/>
      <c r="CH333"/>
      <c r="CI333"/>
      <c r="CJ333"/>
      <c r="CK333"/>
      <c r="CL333"/>
      <c r="CM333"/>
      <c r="CN333" s="56" t="s">
        <v>1</v>
      </c>
      <c r="CO333" s="5">
        <v>1</v>
      </c>
    </row>
    <row r="334" spans="1:93" s="1" customFormat="1" ht="21" customHeight="1">
      <c r="A334" s="20" t="str">
        <f t="shared" si="117"/>
        <v>►</v>
      </c>
      <c r="B334" s="43" t="str">
        <f t="shared" si="118"/>
        <v>►</v>
      </c>
      <c r="C334" s="45" t="str">
        <f t="shared" ref="C334:C397" si="119">IF(B334="►","►",IFERROR(LEFT(B334,SEARCH(".",B334)-1),0))</f>
        <v>►</v>
      </c>
      <c r="D334" s="44" t="str">
        <f t="shared" ref="D334:D397" si="120">IF(B334="►","►",IFERROR(MID(B334,SEARCH(".",B334)+1,SEARCH(".",B334,SEARCH(".",B334)+1)-SEARCH(".",B334)-1),0))</f>
        <v>►</v>
      </c>
      <c r="E334" s="43" t="str">
        <f t="shared" ref="E334:E397" si="121">IF(B334="►","►",IFERROR(MID(B334,SEARCH(".",B334,SEARCH(".",B334)+1)+1,SEARCH(".",B334,SEARCH(".",B334,SEARCH(".",B334)+1)+1)-SEARCH(".",B334,SEARCH(".",B334)+1)-1),0))</f>
        <v>►</v>
      </c>
      <c r="F334" s="43" t="str">
        <f t="shared" ref="F334:F397" si="122">IF(B334="►","►",IFERROR(MID(J334,SEARCH(".",B334,SEARCH(".",B334,SEARCH(".",B334)+1)+1)+1,SEARCH(".",B334,SEARCH(".",B334,SEARCH(".",B334,SEARCH(".",B334)+1)+1)+1)-SEARCH(".",B334,SEARCH(".",B334,SEARCH(".",B334)+1)+1)-1),0))</f>
        <v>►</v>
      </c>
      <c r="G334" s="43" t="str">
        <f t="shared" si="107"/>
        <v>►</v>
      </c>
      <c r="H334" s="1256" t="s">
        <v>1</v>
      </c>
      <c r="I334" s="5175" t="s">
        <v>1</v>
      </c>
      <c r="J334" s="5161"/>
      <c r="K334" s="5161"/>
      <c r="L334" s="5161"/>
      <c r="M334" s="5176"/>
      <c r="N334" s="5177"/>
      <c r="O334" s="147"/>
      <c r="P334" s="147"/>
      <c r="Q334" s="102"/>
      <c r="R334" s="102"/>
      <c r="S334" s="1360"/>
      <c r="T334" s="43"/>
      <c r="U334" s="42"/>
      <c r="V334" s="41"/>
      <c r="W334" s="40"/>
      <c r="X334" s="39"/>
      <c r="Y334" s="38"/>
      <c r="Z334" s="37"/>
      <c r="AA334" s="36"/>
      <c r="AB334" s="35"/>
      <c r="AC334" s="34"/>
      <c r="AD334" s="55"/>
      <c r="AE334" s="33"/>
      <c r="AF334"/>
      <c r="AG334" s="32"/>
      <c r="AH334" s="31"/>
      <c r="AI334" s="30"/>
      <c r="AJ334" s="5492">
        <f t="shared" si="109"/>
        <v>0</v>
      </c>
      <c r="AK334" s="29">
        <f t="shared" si="110"/>
        <v>0</v>
      </c>
      <c r="AL334" s="28" t="str">
        <f t="shared" si="111"/>
        <v/>
      </c>
      <c r="AM334" s="27"/>
      <c r="AN334" s="26">
        <f t="shared" si="112"/>
        <v>0</v>
      </c>
      <c r="AO334" s="25">
        <f t="shared" si="113"/>
        <v>0</v>
      </c>
      <c r="AP334" s="24">
        <f t="shared" si="114"/>
        <v>0</v>
      </c>
      <c r="AQ334" s="23"/>
      <c r="AR334" s="22">
        <f t="shared" si="115"/>
        <v>0</v>
      </c>
      <c r="AS334" s="21"/>
      <c r="AT334" s="13"/>
      <c r="AU334" s="46">
        <f t="shared" si="116"/>
        <v>0</v>
      </c>
      <c r="AV334"/>
      <c r="AW334"/>
      <c r="AX334"/>
      <c r="AY334"/>
      <c r="AZ334"/>
      <c r="BA334"/>
      <c r="BB334"/>
      <c r="BC334" s="3"/>
      <c r="BD334" s="3"/>
      <c r="BE334" s="3"/>
      <c r="BF334" s="3"/>
      <c r="BG334" s="3"/>
      <c r="BH334" s="3"/>
      <c r="BI334" s="3"/>
      <c r="BJ334" s="3"/>
      <c r="BK334" s="3"/>
      <c r="BL334" s="20" t="str">
        <f t="shared" si="108"/>
        <v>►</v>
      </c>
      <c r="BM334" s="3"/>
      <c r="BN334" s="2"/>
      <c r="BO334" s="2"/>
      <c r="BP334" s="2"/>
      <c r="BQ334" s="2"/>
      <c r="BR334" s="2"/>
      <c r="BS334"/>
      <c r="BT334"/>
      <c r="BU334"/>
      <c r="BV334"/>
      <c r="BW334"/>
      <c r="BX334"/>
      <c r="BY334"/>
      <c r="BZ334"/>
      <c r="CA334"/>
      <c r="CB334"/>
      <c r="CC334"/>
      <c r="CD334"/>
      <c r="CE334"/>
      <c r="CF334"/>
      <c r="CG334"/>
      <c r="CH334"/>
      <c r="CI334"/>
      <c r="CJ334"/>
      <c r="CK334"/>
      <c r="CL334"/>
      <c r="CM334"/>
      <c r="CN334" s="56" t="s">
        <v>1</v>
      </c>
      <c r="CO334" s="5">
        <v>1</v>
      </c>
    </row>
    <row r="335" spans="1:93" s="1" customFormat="1" ht="21" customHeight="1">
      <c r="A335" s="20" t="str">
        <f t="shared" si="117"/>
        <v>►</v>
      </c>
      <c r="B335" s="43" t="str">
        <f t="shared" si="118"/>
        <v>►</v>
      </c>
      <c r="C335" s="45" t="str">
        <f t="shared" si="119"/>
        <v>►</v>
      </c>
      <c r="D335" s="44" t="str">
        <f t="shared" si="120"/>
        <v>►</v>
      </c>
      <c r="E335" s="43" t="str">
        <f t="shared" si="121"/>
        <v>►</v>
      </c>
      <c r="F335" s="43" t="str">
        <f t="shared" si="122"/>
        <v>►</v>
      </c>
      <c r="G335" s="43" t="str">
        <f t="shared" si="107"/>
        <v>►</v>
      </c>
      <c r="H335" s="1256" t="s">
        <v>1</v>
      </c>
      <c r="I335" s="5175" t="s">
        <v>1</v>
      </c>
      <c r="J335" s="5161"/>
      <c r="K335" s="5161"/>
      <c r="L335" s="5161"/>
      <c r="M335" s="5176"/>
      <c r="N335" s="5177"/>
      <c r="O335" s="147"/>
      <c r="P335" s="147"/>
      <c r="Q335" s="102"/>
      <c r="R335" s="102"/>
      <c r="S335" s="1360"/>
      <c r="T335" s="43"/>
      <c r="U335" s="42"/>
      <c r="V335" s="41"/>
      <c r="W335" s="40"/>
      <c r="X335" s="39"/>
      <c r="Y335" s="38"/>
      <c r="Z335" s="37"/>
      <c r="AA335" s="36"/>
      <c r="AB335" s="35"/>
      <c r="AC335" s="34"/>
      <c r="AD335" s="55"/>
      <c r="AE335" s="33"/>
      <c r="AF335"/>
      <c r="AG335" s="32"/>
      <c r="AH335" s="31"/>
      <c r="AI335" s="30"/>
      <c r="AJ335" s="5492">
        <f t="shared" si="109"/>
        <v>0</v>
      </c>
      <c r="AK335" s="54">
        <f t="shared" si="110"/>
        <v>0</v>
      </c>
      <c r="AL335" s="53" t="str">
        <f t="shared" si="111"/>
        <v/>
      </c>
      <c r="AM335" s="52"/>
      <c r="AN335" s="51">
        <f t="shared" si="112"/>
        <v>0</v>
      </c>
      <c r="AO335" s="50">
        <f t="shared" si="113"/>
        <v>0</v>
      </c>
      <c r="AP335" s="49">
        <f t="shared" si="114"/>
        <v>0</v>
      </c>
      <c r="AQ335" s="23"/>
      <c r="AR335" s="48">
        <f t="shared" si="115"/>
        <v>0</v>
      </c>
      <c r="AS335" s="47"/>
      <c r="AT335" s="13"/>
      <c r="AU335" s="46">
        <f t="shared" si="116"/>
        <v>0</v>
      </c>
      <c r="AV335"/>
      <c r="AW335"/>
      <c r="AX335"/>
      <c r="AY335"/>
      <c r="AZ335"/>
      <c r="BA335"/>
      <c r="BB335"/>
      <c r="BC335" s="3"/>
      <c r="BD335" s="3"/>
      <c r="BE335" s="3"/>
      <c r="BF335" s="3"/>
      <c r="BG335" s="3"/>
      <c r="BH335" s="3"/>
      <c r="BI335" s="3"/>
      <c r="BJ335" s="3"/>
      <c r="BK335" s="3"/>
      <c r="BL335" s="20" t="str">
        <f t="shared" si="108"/>
        <v>►</v>
      </c>
      <c r="BM335" s="3"/>
      <c r="BN335" s="2"/>
      <c r="BO335" s="2"/>
      <c r="BP335" s="2"/>
      <c r="BQ335" s="2"/>
      <c r="BR335" s="2"/>
      <c r="BS335"/>
      <c r="BT335"/>
      <c r="BU335"/>
      <c r="BV335"/>
      <c r="BW335"/>
      <c r="BX335"/>
      <c r="BY335"/>
      <c r="BZ335"/>
      <c r="CA335"/>
      <c r="CB335"/>
      <c r="CC335"/>
      <c r="CD335"/>
      <c r="CE335"/>
      <c r="CF335"/>
      <c r="CG335"/>
      <c r="CH335"/>
      <c r="CI335"/>
      <c r="CJ335"/>
      <c r="CK335"/>
      <c r="CL335"/>
      <c r="CM335"/>
      <c r="CN335" s="56" t="s">
        <v>1</v>
      </c>
      <c r="CO335" s="5">
        <v>1</v>
      </c>
    </row>
    <row r="336" spans="1:93" s="1" customFormat="1" ht="21" customHeight="1">
      <c r="A336" s="20" t="str">
        <f t="shared" si="117"/>
        <v>►</v>
      </c>
      <c r="B336" s="43" t="str">
        <f t="shared" si="118"/>
        <v>►</v>
      </c>
      <c r="C336" s="45" t="str">
        <f t="shared" si="119"/>
        <v>►</v>
      </c>
      <c r="D336" s="44" t="str">
        <f t="shared" si="120"/>
        <v>►</v>
      </c>
      <c r="E336" s="43" t="str">
        <f t="shared" si="121"/>
        <v>►</v>
      </c>
      <c r="F336" s="43" t="str">
        <f t="shared" si="122"/>
        <v>►</v>
      </c>
      <c r="G336" s="43" t="str">
        <f t="shared" ref="G336:G399" si="123">IF(B336="►","►",IF(ISBLANK(B336),"►",IFERROR(RIGHT(B336,LEN(B336)-FIND("►",B336)-1),"")))</f>
        <v>►</v>
      </c>
      <c r="H336" s="1256" t="s">
        <v>1</v>
      </c>
      <c r="I336" s="5175" t="s">
        <v>1</v>
      </c>
      <c r="J336" s="5161"/>
      <c r="K336" s="5161"/>
      <c r="L336" s="5161"/>
      <c r="M336" s="5176"/>
      <c r="N336" s="5177"/>
      <c r="O336" s="147"/>
      <c r="P336" s="147"/>
      <c r="Q336" s="102"/>
      <c r="R336" s="102"/>
      <c r="S336" s="1360"/>
      <c r="T336" s="43"/>
      <c r="U336" s="42"/>
      <c r="V336" s="41"/>
      <c r="W336" s="40"/>
      <c r="X336" s="39"/>
      <c r="Y336" s="38"/>
      <c r="Z336" s="37"/>
      <c r="AA336" s="36"/>
      <c r="AB336" s="35"/>
      <c r="AC336" s="34"/>
      <c r="AD336" s="55"/>
      <c r="AE336" s="33"/>
      <c r="AF336"/>
      <c r="AG336" s="32"/>
      <c r="AH336" s="31"/>
      <c r="AI336" s="30"/>
      <c r="AJ336" s="5492">
        <f t="shared" si="109"/>
        <v>0</v>
      </c>
      <c r="AK336" s="29">
        <f t="shared" si="110"/>
        <v>0</v>
      </c>
      <c r="AL336" s="28" t="str">
        <f t="shared" si="111"/>
        <v/>
      </c>
      <c r="AM336" s="27"/>
      <c r="AN336" s="26">
        <f t="shared" si="112"/>
        <v>0</v>
      </c>
      <c r="AO336" s="25">
        <f t="shared" si="113"/>
        <v>0</v>
      </c>
      <c r="AP336" s="24">
        <f t="shared" si="114"/>
        <v>0</v>
      </c>
      <c r="AQ336" s="23"/>
      <c r="AR336" s="22">
        <f t="shared" si="115"/>
        <v>0</v>
      </c>
      <c r="AS336" s="21"/>
      <c r="AT336" s="13"/>
      <c r="AU336" s="46">
        <f t="shared" si="116"/>
        <v>0</v>
      </c>
      <c r="AV336"/>
      <c r="AW336"/>
      <c r="AX336"/>
      <c r="AY336"/>
      <c r="AZ336"/>
      <c r="BA336"/>
      <c r="BB336"/>
      <c r="BC336" s="3"/>
      <c r="BD336" s="3"/>
      <c r="BE336" s="3"/>
      <c r="BF336" s="3"/>
      <c r="BG336" s="3"/>
      <c r="BH336" s="3"/>
      <c r="BI336" s="3"/>
      <c r="BJ336" s="3"/>
      <c r="BK336" s="3"/>
      <c r="BL336" s="20" t="str">
        <f t="shared" si="108"/>
        <v>►</v>
      </c>
      <c r="BM336"/>
      <c r="BN336"/>
      <c r="BO336"/>
      <c r="BP336"/>
      <c r="BQ336"/>
      <c r="BR336"/>
      <c r="BS336"/>
      <c r="BT336"/>
      <c r="BU336"/>
      <c r="BV336"/>
      <c r="BW336"/>
      <c r="BX336"/>
      <c r="BY336"/>
      <c r="BZ336"/>
      <c r="CA336"/>
      <c r="CB336"/>
      <c r="CC336"/>
      <c r="CD336"/>
      <c r="CE336"/>
      <c r="CF336"/>
      <c r="CG336"/>
      <c r="CH336"/>
      <c r="CI336"/>
      <c r="CJ336"/>
      <c r="CK336"/>
      <c r="CL336"/>
      <c r="CM336"/>
      <c r="CN336" s="56" t="s">
        <v>1</v>
      </c>
      <c r="CO336" s="5">
        <v>1</v>
      </c>
    </row>
    <row r="337" spans="1:93" s="1" customFormat="1" ht="21" customHeight="1">
      <c r="A337" s="20" t="str">
        <f t="shared" si="117"/>
        <v>►</v>
      </c>
      <c r="B337" s="43" t="str">
        <f t="shared" si="118"/>
        <v>►</v>
      </c>
      <c r="C337" s="45" t="str">
        <f t="shared" si="119"/>
        <v>►</v>
      </c>
      <c r="D337" s="44" t="str">
        <f t="shared" si="120"/>
        <v>►</v>
      </c>
      <c r="E337" s="43" t="str">
        <f t="shared" si="121"/>
        <v>►</v>
      </c>
      <c r="F337" s="43" t="str">
        <f t="shared" si="122"/>
        <v>►</v>
      </c>
      <c r="G337" s="43" t="str">
        <f t="shared" si="123"/>
        <v>►</v>
      </c>
      <c r="H337" s="1256" t="s">
        <v>1</v>
      </c>
      <c r="I337" s="5175" t="s">
        <v>1</v>
      </c>
      <c r="J337" s="5161"/>
      <c r="K337" s="5161"/>
      <c r="L337" s="5161"/>
      <c r="M337" s="5176"/>
      <c r="N337" s="5177"/>
      <c r="O337" s="147"/>
      <c r="P337" s="147"/>
      <c r="Q337" s="102"/>
      <c r="R337" s="102"/>
      <c r="S337" s="1360"/>
      <c r="T337" s="43"/>
      <c r="U337" s="42"/>
      <c r="V337" s="41"/>
      <c r="W337" s="40"/>
      <c r="X337" s="39"/>
      <c r="Y337" s="38"/>
      <c r="Z337" s="37"/>
      <c r="AA337" s="36"/>
      <c r="AB337" s="35"/>
      <c r="AC337" s="34"/>
      <c r="AD337" s="55"/>
      <c r="AE337" s="33"/>
      <c r="AF337"/>
      <c r="AG337" s="32"/>
      <c r="AH337" s="31"/>
      <c r="AI337" s="30"/>
      <c r="AJ337" s="5492">
        <f t="shared" si="109"/>
        <v>0</v>
      </c>
      <c r="AK337" s="54">
        <f t="shared" si="110"/>
        <v>0</v>
      </c>
      <c r="AL337" s="53" t="str">
        <f t="shared" si="111"/>
        <v/>
      </c>
      <c r="AM337" s="52"/>
      <c r="AN337" s="51">
        <f t="shared" si="112"/>
        <v>0</v>
      </c>
      <c r="AO337" s="50">
        <f t="shared" si="113"/>
        <v>0</v>
      </c>
      <c r="AP337" s="49">
        <f t="shared" si="114"/>
        <v>0</v>
      </c>
      <c r="AQ337" s="23"/>
      <c r="AR337" s="48">
        <f t="shared" si="115"/>
        <v>0</v>
      </c>
      <c r="AS337" s="47"/>
      <c r="AT337" s="13"/>
      <c r="AU337" s="46">
        <f t="shared" si="116"/>
        <v>0</v>
      </c>
      <c r="AV337"/>
      <c r="AW337"/>
      <c r="AX337"/>
      <c r="AY337"/>
      <c r="AZ337"/>
      <c r="BA337"/>
      <c r="BB337"/>
      <c r="BC337" s="3"/>
      <c r="BD337" s="3"/>
      <c r="BE337" s="3"/>
      <c r="BF337" s="3"/>
      <c r="BG337" s="3"/>
      <c r="BH337" s="3"/>
      <c r="BI337" s="3"/>
      <c r="BJ337" s="3"/>
      <c r="BK337" s="3"/>
      <c r="BL337" s="20" t="str">
        <f t="shared" si="108"/>
        <v>►</v>
      </c>
      <c r="BM337" s="3"/>
      <c r="BN337" s="2"/>
      <c r="BO337" s="2"/>
      <c r="BP337" s="2"/>
      <c r="BQ337" s="2"/>
      <c r="BR337" s="2"/>
      <c r="BS337"/>
      <c r="BT337"/>
      <c r="BU337"/>
      <c r="BV337"/>
      <c r="BW337"/>
      <c r="BX337"/>
      <c r="BY337"/>
      <c r="BZ337"/>
      <c r="CA337"/>
      <c r="CB337"/>
      <c r="CC337"/>
      <c r="CD337"/>
      <c r="CE337"/>
      <c r="CF337"/>
      <c r="CG337"/>
      <c r="CH337"/>
      <c r="CI337"/>
      <c r="CJ337"/>
      <c r="CK337"/>
      <c r="CL337"/>
      <c r="CM337"/>
      <c r="CN337" s="56" t="s">
        <v>1</v>
      </c>
      <c r="CO337" s="5">
        <v>1</v>
      </c>
    </row>
    <row r="338" spans="1:93" s="1" customFormat="1" ht="21" customHeight="1">
      <c r="A338" s="20" t="str">
        <f t="shared" si="117"/>
        <v>►</v>
      </c>
      <c r="B338" s="43" t="str">
        <f t="shared" si="118"/>
        <v>►</v>
      </c>
      <c r="C338" s="45" t="str">
        <f t="shared" si="119"/>
        <v>►</v>
      </c>
      <c r="D338" s="44" t="str">
        <f t="shared" si="120"/>
        <v>►</v>
      </c>
      <c r="E338" s="43" t="str">
        <f t="shared" si="121"/>
        <v>►</v>
      </c>
      <c r="F338" s="43" t="str">
        <f t="shared" si="122"/>
        <v>►</v>
      </c>
      <c r="G338" s="43" t="str">
        <f t="shared" si="123"/>
        <v>►</v>
      </c>
      <c r="H338" s="1256" t="s">
        <v>1</v>
      </c>
      <c r="I338" s="5175" t="s">
        <v>1</v>
      </c>
      <c r="J338" s="5161"/>
      <c r="K338" s="5161"/>
      <c r="L338" s="5161"/>
      <c r="M338" s="5176"/>
      <c r="N338" s="5177"/>
      <c r="O338" s="147"/>
      <c r="P338" s="147"/>
      <c r="Q338" s="102"/>
      <c r="R338" s="102"/>
      <c r="S338" s="1360"/>
      <c r="T338" s="43"/>
      <c r="U338" s="42"/>
      <c r="V338" s="41"/>
      <c r="W338" s="40"/>
      <c r="X338" s="39"/>
      <c r="Y338" s="38"/>
      <c r="Z338" s="37"/>
      <c r="AA338" s="36"/>
      <c r="AB338" s="35"/>
      <c r="AC338" s="34"/>
      <c r="AD338" s="55"/>
      <c r="AE338" s="33"/>
      <c r="AF338"/>
      <c r="AG338" s="32"/>
      <c r="AH338" s="31"/>
      <c r="AI338" s="30"/>
      <c r="AJ338" s="5492">
        <f t="shared" si="109"/>
        <v>0</v>
      </c>
      <c r="AK338" s="29">
        <f t="shared" si="110"/>
        <v>0</v>
      </c>
      <c r="AL338" s="28" t="str">
        <f t="shared" si="111"/>
        <v/>
      </c>
      <c r="AM338" s="27"/>
      <c r="AN338" s="26">
        <f t="shared" si="112"/>
        <v>0</v>
      </c>
      <c r="AO338" s="25">
        <f t="shared" si="113"/>
        <v>0</v>
      </c>
      <c r="AP338" s="24">
        <f t="shared" si="114"/>
        <v>0</v>
      </c>
      <c r="AQ338" s="23"/>
      <c r="AR338" s="22">
        <f t="shared" si="115"/>
        <v>0</v>
      </c>
      <c r="AS338" s="21"/>
      <c r="AT338" s="13"/>
      <c r="AU338" s="46">
        <f t="shared" si="116"/>
        <v>0</v>
      </c>
      <c r="AV338"/>
      <c r="AW338"/>
      <c r="AX338"/>
      <c r="AY338"/>
      <c r="AZ338"/>
      <c r="BA338"/>
      <c r="BB338"/>
      <c r="BC338" s="3"/>
      <c r="BD338" s="3"/>
      <c r="BE338" s="3"/>
      <c r="BF338" s="3"/>
      <c r="BG338" s="3"/>
      <c r="BH338" s="3"/>
      <c r="BI338" s="3"/>
      <c r="BJ338" s="3"/>
      <c r="BK338" s="3"/>
      <c r="BL338" s="20" t="str">
        <f t="shared" ref="BL338:BL401" si="124">A338</f>
        <v>►</v>
      </c>
      <c r="BM338" s="3"/>
      <c r="BN338" s="2"/>
      <c r="BO338" s="2"/>
      <c r="BP338" s="2"/>
      <c r="BQ338" s="2"/>
      <c r="BR338" s="2"/>
      <c r="BS338"/>
      <c r="BT338"/>
      <c r="BU338"/>
      <c r="BV338"/>
      <c r="BW338"/>
      <c r="BX338"/>
      <c r="BY338"/>
      <c r="BZ338"/>
      <c r="CA338"/>
      <c r="CB338"/>
      <c r="CC338"/>
      <c r="CD338"/>
      <c r="CE338"/>
      <c r="CF338"/>
      <c r="CG338"/>
      <c r="CH338"/>
      <c r="CI338"/>
      <c r="CJ338"/>
      <c r="CK338"/>
      <c r="CL338"/>
      <c r="CM338"/>
      <c r="CN338" s="56" t="s">
        <v>1</v>
      </c>
      <c r="CO338" s="5">
        <v>1</v>
      </c>
    </row>
    <row r="339" spans="1:93" s="1" customFormat="1" ht="21" customHeight="1">
      <c r="A339" s="20" t="str">
        <f t="shared" si="117"/>
        <v>►</v>
      </c>
      <c r="B339" s="43" t="str">
        <f t="shared" si="118"/>
        <v>►</v>
      </c>
      <c r="C339" s="45" t="str">
        <f t="shared" si="119"/>
        <v>►</v>
      </c>
      <c r="D339" s="44" t="str">
        <f t="shared" si="120"/>
        <v>►</v>
      </c>
      <c r="E339" s="43" t="str">
        <f t="shared" si="121"/>
        <v>►</v>
      </c>
      <c r="F339" s="43" t="str">
        <f t="shared" si="122"/>
        <v>►</v>
      </c>
      <c r="G339" s="43" t="str">
        <f t="shared" si="123"/>
        <v>►</v>
      </c>
      <c r="H339" s="1256" t="s">
        <v>1</v>
      </c>
      <c r="I339" s="5175" t="s">
        <v>1</v>
      </c>
      <c r="J339" s="5161"/>
      <c r="K339" s="5161"/>
      <c r="L339" s="5161"/>
      <c r="M339" s="5176"/>
      <c r="N339" s="5177"/>
      <c r="O339" s="147"/>
      <c r="P339" s="147"/>
      <c r="Q339" s="102"/>
      <c r="R339" s="102"/>
      <c r="S339" s="1360"/>
      <c r="T339" s="43"/>
      <c r="U339" s="42"/>
      <c r="V339" s="41"/>
      <c r="W339" s="40"/>
      <c r="X339" s="39"/>
      <c r="Y339" s="38"/>
      <c r="Z339" s="37"/>
      <c r="AA339" s="36"/>
      <c r="AB339" s="35"/>
      <c r="AC339" s="34"/>
      <c r="AD339" s="55"/>
      <c r="AE339" s="33"/>
      <c r="AF339"/>
      <c r="AG339" s="32"/>
      <c r="AH339" s="31"/>
      <c r="AI339" s="30"/>
      <c r="AJ339" s="5492">
        <f t="shared" si="109"/>
        <v>0</v>
      </c>
      <c r="AK339" s="54">
        <f t="shared" si="110"/>
        <v>0</v>
      </c>
      <c r="AL339" s="53" t="str">
        <f t="shared" si="111"/>
        <v/>
      </c>
      <c r="AM339" s="52"/>
      <c r="AN339" s="51">
        <f t="shared" si="112"/>
        <v>0</v>
      </c>
      <c r="AO339" s="50">
        <f t="shared" si="113"/>
        <v>0</v>
      </c>
      <c r="AP339" s="49">
        <f t="shared" si="114"/>
        <v>0</v>
      </c>
      <c r="AQ339" s="23"/>
      <c r="AR339" s="48">
        <f t="shared" si="115"/>
        <v>0</v>
      </c>
      <c r="AS339" s="47"/>
      <c r="AT339" s="13"/>
      <c r="AU339" s="46">
        <f t="shared" si="116"/>
        <v>0</v>
      </c>
      <c r="AV339"/>
      <c r="AW339"/>
      <c r="AX339"/>
      <c r="AY339"/>
      <c r="AZ339"/>
      <c r="BA339"/>
      <c r="BB339"/>
      <c r="BC339" s="3"/>
      <c r="BD339" s="3"/>
      <c r="BE339" s="3"/>
      <c r="BF339" s="3"/>
      <c r="BG339" s="3"/>
      <c r="BH339" s="3"/>
      <c r="BI339" s="3"/>
      <c r="BJ339" s="3"/>
      <c r="BK339" s="3"/>
      <c r="BL339" s="20" t="str">
        <f t="shared" si="124"/>
        <v>►</v>
      </c>
      <c r="BM339" s="3"/>
      <c r="BN339" s="2"/>
      <c r="BO339" s="2"/>
      <c r="BP339" s="2"/>
      <c r="BQ339" s="2"/>
      <c r="BR339" s="2"/>
      <c r="BS339"/>
      <c r="BT339"/>
      <c r="BU339"/>
      <c r="BV339"/>
      <c r="BW339"/>
      <c r="BX339"/>
      <c r="BY339"/>
      <c r="BZ339"/>
      <c r="CA339"/>
      <c r="CB339"/>
      <c r="CC339"/>
      <c r="CD339"/>
      <c r="CE339"/>
      <c r="CF339"/>
      <c r="CG339"/>
      <c r="CH339"/>
      <c r="CI339"/>
      <c r="CJ339"/>
      <c r="CK339"/>
      <c r="CL339"/>
      <c r="CM339"/>
      <c r="CN339" s="56" t="s">
        <v>1</v>
      </c>
      <c r="CO339" s="5">
        <v>1</v>
      </c>
    </row>
    <row r="340" spans="1:93" s="1" customFormat="1" ht="21" customHeight="1">
      <c r="A340" s="20" t="str">
        <f t="shared" si="117"/>
        <v>►</v>
      </c>
      <c r="B340" s="43" t="str">
        <f t="shared" si="118"/>
        <v>►</v>
      </c>
      <c r="C340" s="45" t="str">
        <f t="shared" si="119"/>
        <v>►</v>
      </c>
      <c r="D340" s="44" t="str">
        <f t="shared" si="120"/>
        <v>►</v>
      </c>
      <c r="E340" s="43" t="str">
        <f t="shared" si="121"/>
        <v>►</v>
      </c>
      <c r="F340" s="43" t="str">
        <f t="shared" si="122"/>
        <v>►</v>
      </c>
      <c r="G340" s="43" t="str">
        <f t="shared" si="123"/>
        <v>►</v>
      </c>
      <c r="H340" s="1256" t="s">
        <v>1</v>
      </c>
      <c r="I340" s="5175" t="s">
        <v>1</v>
      </c>
      <c r="J340" s="5161"/>
      <c r="K340" s="5161"/>
      <c r="L340" s="5161"/>
      <c r="M340" s="5176"/>
      <c r="N340" s="5177"/>
      <c r="O340" s="147"/>
      <c r="P340" s="147"/>
      <c r="Q340" s="102"/>
      <c r="R340" s="102"/>
      <c r="S340" s="1360"/>
      <c r="T340" s="43"/>
      <c r="U340" s="42"/>
      <c r="V340" s="41"/>
      <c r="W340" s="40"/>
      <c r="X340" s="39"/>
      <c r="Y340" s="38"/>
      <c r="Z340" s="37"/>
      <c r="AA340" s="36"/>
      <c r="AB340" s="35"/>
      <c r="AC340" s="34"/>
      <c r="AD340" s="55"/>
      <c r="AE340" s="33"/>
      <c r="AF340"/>
      <c r="AG340" s="32"/>
      <c r="AH340" s="31"/>
      <c r="AI340" s="30"/>
      <c r="AJ340" s="5492">
        <f t="shared" si="109"/>
        <v>0</v>
      </c>
      <c r="AK340" s="29">
        <f t="shared" si="110"/>
        <v>0</v>
      </c>
      <c r="AL340" s="28" t="str">
        <f t="shared" si="111"/>
        <v/>
      </c>
      <c r="AM340" s="27"/>
      <c r="AN340" s="26">
        <f t="shared" si="112"/>
        <v>0</v>
      </c>
      <c r="AO340" s="25">
        <f t="shared" si="113"/>
        <v>0</v>
      </c>
      <c r="AP340" s="24">
        <f t="shared" si="114"/>
        <v>0</v>
      </c>
      <c r="AQ340" s="23"/>
      <c r="AR340" s="22">
        <f t="shared" si="115"/>
        <v>0</v>
      </c>
      <c r="AS340" s="21"/>
      <c r="AT340" s="13"/>
      <c r="AU340" s="46">
        <f t="shared" si="116"/>
        <v>0</v>
      </c>
      <c r="AV340"/>
      <c r="AW340"/>
      <c r="AX340"/>
      <c r="AY340"/>
      <c r="AZ340"/>
      <c r="BA340"/>
      <c r="BB340"/>
      <c r="BC340" s="3"/>
      <c r="BD340" s="3"/>
      <c r="BE340" s="3"/>
      <c r="BF340" s="3"/>
      <c r="BG340" s="3"/>
      <c r="BH340" s="3"/>
      <c r="BI340" s="3"/>
      <c r="BJ340" s="3"/>
      <c r="BK340" s="3"/>
      <c r="BL340" s="20" t="str">
        <f t="shared" si="124"/>
        <v>►</v>
      </c>
      <c r="BM340" s="3"/>
      <c r="BN340" s="2"/>
      <c r="BO340" s="2"/>
      <c r="BP340" s="2"/>
      <c r="BQ340" s="2"/>
      <c r="BR340" s="2"/>
      <c r="BS340"/>
      <c r="BT340"/>
      <c r="BU340"/>
      <c r="BV340"/>
      <c r="BW340"/>
      <c r="BX340"/>
      <c r="BY340"/>
      <c r="BZ340"/>
      <c r="CA340"/>
      <c r="CB340"/>
      <c r="CC340"/>
      <c r="CD340"/>
      <c r="CE340"/>
      <c r="CF340"/>
      <c r="CG340"/>
      <c r="CH340"/>
      <c r="CI340"/>
      <c r="CJ340"/>
      <c r="CK340"/>
      <c r="CL340"/>
      <c r="CM340"/>
      <c r="CN340" s="56" t="s">
        <v>1</v>
      </c>
      <c r="CO340" s="5">
        <v>1</v>
      </c>
    </row>
    <row r="341" spans="1:93" s="1" customFormat="1" ht="21" customHeight="1">
      <c r="A341" s="20" t="str">
        <f t="shared" si="117"/>
        <v>►</v>
      </c>
      <c r="B341" s="43" t="str">
        <f t="shared" si="118"/>
        <v>►</v>
      </c>
      <c r="C341" s="45" t="str">
        <f t="shared" si="119"/>
        <v>►</v>
      </c>
      <c r="D341" s="44" t="str">
        <f t="shared" si="120"/>
        <v>►</v>
      </c>
      <c r="E341" s="43" t="str">
        <f t="shared" si="121"/>
        <v>►</v>
      </c>
      <c r="F341" s="43" t="str">
        <f t="shared" si="122"/>
        <v>►</v>
      </c>
      <c r="G341" s="43" t="str">
        <f t="shared" si="123"/>
        <v>►</v>
      </c>
      <c r="H341" s="1256" t="s">
        <v>1</v>
      </c>
      <c r="I341" s="5175" t="s">
        <v>1</v>
      </c>
      <c r="J341" s="5161"/>
      <c r="K341" s="5161"/>
      <c r="L341" s="5161"/>
      <c r="M341" s="5176"/>
      <c r="N341" s="5177"/>
      <c r="O341" s="147"/>
      <c r="P341" s="147"/>
      <c r="Q341" s="102"/>
      <c r="R341" s="102"/>
      <c r="S341" s="1360"/>
      <c r="T341" s="43"/>
      <c r="U341" s="42"/>
      <c r="V341" s="41"/>
      <c r="W341" s="40"/>
      <c r="X341" s="39"/>
      <c r="Y341" s="38"/>
      <c r="Z341" s="37"/>
      <c r="AA341" s="36"/>
      <c r="AB341" s="35"/>
      <c r="AC341" s="34"/>
      <c r="AD341" s="55"/>
      <c r="AE341" s="33"/>
      <c r="AF341"/>
      <c r="AG341" s="32"/>
      <c r="AH341" s="31"/>
      <c r="AI341" s="30"/>
      <c r="AJ341" s="5492">
        <f t="shared" si="109"/>
        <v>0</v>
      </c>
      <c r="AK341" s="54">
        <f t="shared" si="110"/>
        <v>0</v>
      </c>
      <c r="AL341" s="53" t="str">
        <f t="shared" si="111"/>
        <v/>
      </c>
      <c r="AM341" s="52"/>
      <c r="AN341" s="51">
        <f t="shared" si="112"/>
        <v>0</v>
      </c>
      <c r="AO341" s="50">
        <f t="shared" si="113"/>
        <v>0</v>
      </c>
      <c r="AP341" s="49">
        <f t="shared" si="114"/>
        <v>0</v>
      </c>
      <c r="AQ341" s="23"/>
      <c r="AR341" s="48">
        <f t="shared" si="115"/>
        <v>0</v>
      </c>
      <c r="AS341" s="47"/>
      <c r="AT341" s="13"/>
      <c r="AU341" s="46">
        <f t="shared" si="116"/>
        <v>0</v>
      </c>
      <c r="AV341"/>
      <c r="AW341"/>
      <c r="AX341"/>
      <c r="AY341"/>
      <c r="AZ341"/>
      <c r="BA341"/>
      <c r="BB341"/>
      <c r="BC341" s="3"/>
      <c r="BD341" s="3"/>
      <c r="BE341" s="3"/>
      <c r="BF341" s="3"/>
      <c r="BG341" s="3"/>
      <c r="BH341" s="3"/>
      <c r="BI341" s="3"/>
      <c r="BJ341" s="3"/>
      <c r="BK341" s="3"/>
      <c r="BL341" s="20" t="str">
        <f t="shared" si="124"/>
        <v>►</v>
      </c>
      <c r="BM341" s="3"/>
      <c r="BN341" s="2"/>
      <c r="BO341" s="2"/>
      <c r="BP341" s="2"/>
      <c r="BQ341" s="2"/>
      <c r="BR341" s="2"/>
      <c r="BS341"/>
      <c r="BT341"/>
      <c r="BU341"/>
      <c r="BV341"/>
      <c r="BW341"/>
      <c r="BX341"/>
      <c r="BY341"/>
      <c r="BZ341"/>
      <c r="CA341"/>
      <c r="CB341"/>
      <c r="CC341"/>
      <c r="CD341"/>
      <c r="CE341"/>
      <c r="CF341"/>
      <c r="CG341"/>
      <c r="CH341"/>
      <c r="CI341"/>
      <c r="CJ341"/>
      <c r="CK341"/>
      <c r="CL341"/>
      <c r="CM341"/>
      <c r="CN341"/>
      <c r="CO341" s="5">
        <v>1</v>
      </c>
    </row>
    <row r="342" spans="1:93" s="1" customFormat="1" ht="21" customHeight="1">
      <c r="A342" s="20" t="str">
        <f t="shared" si="117"/>
        <v>►</v>
      </c>
      <c r="B342" s="43" t="str">
        <f t="shared" si="118"/>
        <v>►</v>
      </c>
      <c r="C342" s="45" t="str">
        <f t="shared" si="119"/>
        <v>►</v>
      </c>
      <c r="D342" s="44" t="str">
        <f t="shared" si="120"/>
        <v>►</v>
      </c>
      <c r="E342" s="43" t="str">
        <f t="shared" si="121"/>
        <v>►</v>
      </c>
      <c r="F342" s="43" t="str">
        <f t="shared" si="122"/>
        <v>►</v>
      </c>
      <c r="G342" s="43" t="str">
        <f t="shared" si="123"/>
        <v>►</v>
      </c>
      <c r="H342" s="1256" t="s">
        <v>1</v>
      </c>
      <c r="I342" s="5175" t="s">
        <v>1</v>
      </c>
      <c r="J342" s="5161"/>
      <c r="K342" s="5161"/>
      <c r="L342" s="5161"/>
      <c r="M342" s="5176"/>
      <c r="N342" s="5177"/>
      <c r="O342" s="147"/>
      <c r="P342" s="147"/>
      <c r="Q342" s="102"/>
      <c r="R342" s="102"/>
      <c r="S342" s="1360"/>
      <c r="T342" s="43"/>
      <c r="U342" s="42"/>
      <c r="V342" s="41"/>
      <c r="W342" s="40"/>
      <c r="X342" s="39"/>
      <c r="Y342" s="38"/>
      <c r="Z342" s="37"/>
      <c r="AA342" s="36"/>
      <c r="AB342" s="35"/>
      <c r="AC342" s="34"/>
      <c r="AD342" s="55"/>
      <c r="AE342" s="33"/>
      <c r="AF342"/>
      <c r="AG342" s="32"/>
      <c r="AH342" s="31"/>
      <c r="AI342" s="30"/>
      <c r="AJ342" s="5492">
        <f t="shared" si="109"/>
        <v>0</v>
      </c>
      <c r="AK342" s="29">
        <f t="shared" si="110"/>
        <v>0</v>
      </c>
      <c r="AL342" s="28" t="str">
        <f t="shared" si="111"/>
        <v/>
      </c>
      <c r="AM342" s="27"/>
      <c r="AN342" s="26">
        <f t="shared" si="112"/>
        <v>0</v>
      </c>
      <c r="AO342" s="25">
        <f t="shared" si="113"/>
        <v>0</v>
      </c>
      <c r="AP342" s="24">
        <f t="shared" si="114"/>
        <v>0</v>
      </c>
      <c r="AQ342" s="23"/>
      <c r="AR342" s="22">
        <f t="shared" si="115"/>
        <v>0</v>
      </c>
      <c r="AS342" s="21"/>
      <c r="AT342" s="13"/>
      <c r="AU342" s="46">
        <f t="shared" si="116"/>
        <v>0</v>
      </c>
      <c r="AV342"/>
      <c r="AW342"/>
      <c r="AX342"/>
      <c r="AY342"/>
      <c r="AZ342"/>
      <c r="BA342"/>
      <c r="BB342"/>
      <c r="BC342" s="3"/>
      <c r="BD342" s="3"/>
      <c r="BE342" s="3"/>
      <c r="BF342" s="3"/>
      <c r="BG342" s="3"/>
      <c r="BH342" s="3"/>
      <c r="BI342" s="3"/>
      <c r="BJ342" s="3"/>
      <c r="BK342" s="3"/>
      <c r="BL342" s="20" t="str">
        <f t="shared" si="124"/>
        <v>►</v>
      </c>
      <c r="BM342" s="3"/>
      <c r="BN342" s="2"/>
      <c r="BO342" s="2"/>
      <c r="BP342" s="2"/>
      <c r="BQ342" s="2"/>
      <c r="BR342" s="2"/>
      <c r="BS342"/>
      <c r="BT342"/>
      <c r="BU342"/>
      <c r="BV342"/>
      <c r="BW342"/>
      <c r="BX342"/>
      <c r="BY342"/>
      <c r="BZ342"/>
      <c r="CA342"/>
      <c r="CB342"/>
      <c r="CC342"/>
      <c r="CD342"/>
      <c r="CE342"/>
      <c r="CF342"/>
      <c r="CG342"/>
      <c r="CH342"/>
      <c r="CI342"/>
      <c r="CJ342"/>
      <c r="CK342"/>
      <c r="CL342"/>
      <c r="CM342"/>
      <c r="CN342"/>
      <c r="CO342" s="5">
        <v>1</v>
      </c>
    </row>
    <row r="343" spans="1:93" s="1" customFormat="1" ht="21" customHeight="1">
      <c r="A343" s="20" t="str">
        <f t="shared" si="117"/>
        <v>►</v>
      </c>
      <c r="B343" s="43" t="str">
        <f t="shared" si="118"/>
        <v>►</v>
      </c>
      <c r="C343" s="45" t="str">
        <f t="shared" si="119"/>
        <v>►</v>
      </c>
      <c r="D343" s="44" t="str">
        <f t="shared" si="120"/>
        <v>►</v>
      </c>
      <c r="E343" s="43" t="str">
        <f t="shared" si="121"/>
        <v>►</v>
      </c>
      <c r="F343" s="43" t="str">
        <f t="shared" si="122"/>
        <v>►</v>
      </c>
      <c r="G343" s="43" t="str">
        <f t="shared" si="123"/>
        <v>►</v>
      </c>
      <c r="H343" s="1256" t="s">
        <v>1</v>
      </c>
      <c r="I343" s="5175" t="s">
        <v>1</v>
      </c>
      <c r="J343" s="5161"/>
      <c r="K343" s="5161"/>
      <c r="L343" s="5161"/>
      <c r="M343" s="5176"/>
      <c r="N343" s="5177"/>
      <c r="O343" s="147"/>
      <c r="P343" s="147"/>
      <c r="Q343" s="102"/>
      <c r="R343" s="102"/>
      <c r="S343" s="1360"/>
      <c r="T343" s="43"/>
      <c r="U343" s="42"/>
      <c r="V343" s="41"/>
      <c r="W343" s="40"/>
      <c r="X343" s="39"/>
      <c r="Y343" s="38"/>
      <c r="Z343" s="37"/>
      <c r="AA343" s="36"/>
      <c r="AB343" s="35"/>
      <c r="AC343" s="34"/>
      <c r="AD343" s="55"/>
      <c r="AE343" s="33"/>
      <c r="AF343"/>
      <c r="AG343" s="32"/>
      <c r="AH343" s="31"/>
      <c r="AI343" s="30"/>
      <c r="AJ343" s="5492">
        <f t="shared" si="109"/>
        <v>0</v>
      </c>
      <c r="AK343" s="54">
        <f t="shared" si="110"/>
        <v>0</v>
      </c>
      <c r="AL343" s="53" t="str">
        <f t="shared" si="111"/>
        <v/>
      </c>
      <c r="AM343" s="52"/>
      <c r="AN343" s="51">
        <f t="shared" si="112"/>
        <v>0</v>
      </c>
      <c r="AO343" s="50">
        <f t="shared" si="113"/>
        <v>0</v>
      </c>
      <c r="AP343" s="49">
        <f t="shared" si="114"/>
        <v>0</v>
      </c>
      <c r="AQ343" s="23"/>
      <c r="AR343" s="48">
        <f t="shared" si="115"/>
        <v>0</v>
      </c>
      <c r="AS343" s="47"/>
      <c r="AT343" s="13"/>
      <c r="AU343" s="46">
        <f t="shared" si="116"/>
        <v>0</v>
      </c>
      <c r="AV343"/>
      <c r="AW343"/>
      <c r="AX343"/>
      <c r="AY343"/>
      <c r="AZ343"/>
      <c r="BA343"/>
      <c r="BB343"/>
      <c r="BC343" s="3"/>
      <c r="BD343" s="3"/>
      <c r="BE343" s="3"/>
      <c r="BF343" s="3"/>
      <c r="BG343" s="3"/>
      <c r="BH343" s="3"/>
      <c r="BI343" s="3"/>
      <c r="BJ343" s="3"/>
      <c r="BK343" s="3"/>
      <c r="BL343" s="20" t="str">
        <f t="shared" si="124"/>
        <v>►</v>
      </c>
      <c r="BM343" s="3"/>
      <c r="BN343" s="2"/>
      <c r="BO343" s="2"/>
      <c r="BP343" s="2"/>
      <c r="BQ343" s="2"/>
      <c r="BR343" s="2"/>
      <c r="BS343"/>
      <c r="BT343"/>
      <c r="BU343"/>
      <c r="BV343"/>
      <c r="BW343"/>
      <c r="BX343"/>
      <c r="BY343"/>
      <c r="BZ343"/>
      <c r="CA343"/>
      <c r="CB343"/>
      <c r="CC343"/>
      <c r="CD343"/>
      <c r="CE343"/>
      <c r="CF343"/>
      <c r="CG343"/>
      <c r="CH343"/>
      <c r="CI343"/>
      <c r="CJ343"/>
      <c r="CK343"/>
      <c r="CL343"/>
      <c r="CM343"/>
      <c r="CN343"/>
      <c r="CO343" s="5">
        <v>1</v>
      </c>
    </row>
    <row r="344" spans="1:93" s="1" customFormat="1" ht="21" customHeight="1">
      <c r="A344" s="20" t="str">
        <f t="shared" si="117"/>
        <v>►</v>
      </c>
      <c r="B344" s="43" t="str">
        <f t="shared" si="118"/>
        <v>►</v>
      </c>
      <c r="C344" s="45" t="str">
        <f t="shared" si="119"/>
        <v>►</v>
      </c>
      <c r="D344" s="44" t="str">
        <f t="shared" si="120"/>
        <v>►</v>
      </c>
      <c r="E344" s="43" t="str">
        <f t="shared" si="121"/>
        <v>►</v>
      </c>
      <c r="F344" s="43" t="str">
        <f t="shared" si="122"/>
        <v>►</v>
      </c>
      <c r="G344" s="43" t="str">
        <f t="shared" si="123"/>
        <v>►</v>
      </c>
      <c r="H344" s="1256" t="s">
        <v>1</v>
      </c>
      <c r="I344" s="5175" t="s">
        <v>1</v>
      </c>
      <c r="J344" s="5161"/>
      <c r="K344" s="5161"/>
      <c r="L344" s="5161"/>
      <c r="M344" s="5176"/>
      <c r="N344" s="5177"/>
      <c r="O344" s="147"/>
      <c r="P344" s="147"/>
      <c r="Q344" s="102"/>
      <c r="R344" s="102"/>
      <c r="S344" s="1360"/>
      <c r="T344" s="43"/>
      <c r="U344" s="42"/>
      <c r="V344" s="41"/>
      <c r="W344" s="40"/>
      <c r="X344" s="39"/>
      <c r="Y344" s="38"/>
      <c r="Z344" s="37"/>
      <c r="AA344" s="36"/>
      <c r="AB344" s="35"/>
      <c r="AC344" s="34"/>
      <c r="AD344" s="55"/>
      <c r="AE344" s="33"/>
      <c r="AF344"/>
      <c r="AG344" s="32"/>
      <c r="AH344" s="31"/>
      <c r="AI344" s="30"/>
      <c r="AJ344" s="5492">
        <f t="shared" si="109"/>
        <v>0</v>
      </c>
      <c r="AK344" s="29">
        <f t="shared" si="110"/>
        <v>0</v>
      </c>
      <c r="AL344" s="28" t="str">
        <f t="shared" si="111"/>
        <v/>
      </c>
      <c r="AM344" s="27"/>
      <c r="AN344" s="26">
        <f t="shared" si="112"/>
        <v>0</v>
      </c>
      <c r="AO344" s="25">
        <f t="shared" si="113"/>
        <v>0</v>
      </c>
      <c r="AP344" s="24">
        <f t="shared" si="114"/>
        <v>0</v>
      </c>
      <c r="AQ344" s="23"/>
      <c r="AR344" s="22">
        <f t="shared" si="115"/>
        <v>0</v>
      </c>
      <c r="AS344" s="21"/>
      <c r="AT344" s="13"/>
      <c r="AU344" s="46">
        <f t="shared" si="116"/>
        <v>0</v>
      </c>
      <c r="AV344"/>
      <c r="AW344"/>
      <c r="AX344"/>
      <c r="AY344"/>
      <c r="AZ344"/>
      <c r="BA344"/>
      <c r="BB344"/>
      <c r="BC344" s="3"/>
      <c r="BD344" s="3"/>
      <c r="BE344" s="3"/>
      <c r="BF344" s="3"/>
      <c r="BG344" s="3"/>
      <c r="BH344" s="3"/>
      <c r="BI344" s="3"/>
      <c r="BJ344" s="3"/>
      <c r="BK344" s="3"/>
      <c r="BL344" s="20" t="str">
        <f t="shared" si="124"/>
        <v>►</v>
      </c>
      <c r="BM344" s="3"/>
      <c r="BN344" s="2"/>
      <c r="BO344" s="2"/>
      <c r="BP344" s="2"/>
      <c r="BQ344" s="2"/>
      <c r="BR344" s="2"/>
      <c r="BS344"/>
      <c r="BT344"/>
      <c r="BU344"/>
      <c r="BV344"/>
      <c r="BW344"/>
      <c r="BX344"/>
      <c r="BY344"/>
      <c r="BZ344"/>
      <c r="CA344"/>
      <c r="CB344"/>
      <c r="CC344"/>
      <c r="CD344"/>
      <c r="CE344"/>
      <c r="CF344"/>
      <c r="CG344"/>
      <c r="CH344"/>
      <c r="CI344"/>
      <c r="CJ344"/>
      <c r="CK344"/>
      <c r="CL344"/>
      <c r="CM344"/>
      <c r="CN344"/>
      <c r="CO344" s="5">
        <v>1</v>
      </c>
    </row>
    <row r="345" spans="1:93" s="1" customFormat="1" ht="21" customHeight="1">
      <c r="A345" s="20" t="str">
        <f t="shared" si="117"/>
        <v>►</v>
      </c>
      <c r="B345" s="43" t="str">
        <f t="shared" si="118"/>
        <v>►</v>
      </c>
      <c r="C345" s="45" t="str">
        <f t="shared" si="119"/>
        <v>►</v>
      </c>
      <c r="D345" s="44" t="str">
        <f t="shared" si="120"/>
        <v>►</v>
      </c>
      <c r="E345" s="43" t="str">
        <f t="shared" si="121"/>
        <v>►</v>
      </c>
      <c r="F345" s="43" t="str">
        <f t="shared" si="122"/>
        <v>►</v>
      </c>
      <c r="G345" s="43" t="str">
        <f t="shared" si="123"/>
        <v>►</v>
      </c>
      <c r="H345" s="1256" t="s">
        <v>1</v>
      </c>
      <c r="I345" s="5175" t="s">
        <v>1</v>
      </c>
      <c r="J345" s="5161"/>
      <c r="K345" s="5161"/>
      <c r="L345" s="5161"/>
      <c r="M345" s="5176"/>
      <c r="N345" s="5177"/>
      <c r="O345" s="147"/>
      <c r="P345" s="147"/>
      <c r="Q345" s="102"/>
      <c r="R345" s="102"/>
      <c r="S345" s="1360"/>
      <c r="T345" s="43"/>
      <c r="U345" s="42"/>
      <c r="V345" s="41"/>
      <c r="W345" s="40"/>
      <c r="X345" s="39"/>
      <c r="Y345" s="38"/>
      <c r="Z345" s="37"/>
      <c r="AA345" s="36"/>
      <c r="AB345" s="35"/>
      <c r="AC345" s="34"/>
      <c r="AD345" s="55"/>
      <c r="AE345" s="33"/>
      <c r="AF345"/>
      <c r="AG345" s="32"/>
      <c r="AH345" s="31"/>
      <c r="AI345" s="30"/>
      <c r="AJ345" s="5492">
        <f t="shared" si="109"/>
        <v>0</v>
      </c>
      <c r="AK345" s="54">
        <f t="shared" si="110"/>
        <v>0</v>
      </c>
      <c r="AL345" s="53" t="str">
        <f t="shared" si="111"/>
        <v/>
      </c>
      <c r="AM345" s="52"/>
      <c r="AN345" s="51">
        <f t="shared" si="112"/>
        <v>0</v>
      </c>
      <c r="AO345" s="50">
        <f t="shared" si="113"/>
        <v>0</v>
      </c>
      <c r="AP345" s="49">
        <f t="shared" si="114"/>
        <v>0</v>
      </c>
      <c r="AQ345" s="23"/>
      <c r="AR345" s="48">
        <f t="shared" si="115"/>
        <v>0</v>
      </c>
      <c r="AS345" s="47"/>
      <c r="AT345" s="13"/>
      <c r="AU345" s="46">
        <f t="shared" si="116"/>
        <v>0</v>
      </c>
      <c r="AV345"/>
      <c r="AW345"/>
      <c r="AX345"/>
      <c r="AY345"/>
      <c r="AZ345"/>
      <c r="BA345"/>
      <c r="BB345"/>
      <c r="BC345" s="3"/>
      <c r="BD345" s="3"/>
      <c r="BE345" s="3"/>
      <c r="BF345" s="3"/>
      <c r="BG345" s="3"/>
      <c r="BH345" s="3"/>
      <c r="BI345" s="3"/>
      <c r="BJ345" s="3"/>
      <c r="BK345" s="3"/>
      <c r="BL345" s="20" t="str">
        <f t="shared" si="124"/>
        <v>►</v>
      </c>
      <c r="BM345" s="3"/>
      <c r="BN345" s="2"/>
      <c r="BO345" s="2"/>
      <c r="BP345" s="2"/>
      <c r="BQ345" s="2"/>
      <c r="BR345" s="2"/>
      <c r="BS345"/>
      <c r="BT345"/>
      <c r="BU345"/>
      <c r="BV345"/>
      <c r="BW345"/>
      <c r="BX345"/>
      <c r="BY345"/>
      <c r="BZ345"/>
      <c r="CA345"/>
      <c r="CB345"/>
      <c r="CC345"/>
      <c r="CD345"/>
      <c r="CE345"/>
      <c r="CF345"/>
      <c r="CG345"/>
      <c r="CH345"/>
      <c r="CI345"/>
      <c r="CJ345"/>
      <c r="CK345"/>
      <c r="CL345"/>
      <c r="CM345"/>
      <c r="CN345"/>
      <c r="CO345" s="5">
        <v>1</v>
      </c>
    </row>
    <row r="346" spans="1:93" s="1" customFormat="1" ht="21" customHeight="1">
      <c r="A346" s="20" t="str">
        <f t="shared" si="117"/>
        <v>►</v>
      </c>
      <c r="B346" s="43" t="str">
        <f t="shared" si="118"/>
        <v>►</v>
      </c>
      <c r="C346" s="45" t="str">
        <f t="shared" si="119"/>
        <v>►</v>
      </c>
      <c r="D346" s="44" t="str">
        <f t="shared" si="120"/>
        <v>►</v>
      </c>
      <c r="E346" s="43" t="str">
        <f t="shared" si="121"/>
        <v>►</v>
      </c>
      <c r="F346" s="43" t="str">
        <f t="shared" si="122"/>
        <v>►</v>
      </c>
      <c r="G346" s="43" t="str">
        <f t="shared" si="123"/>
        <v>►</v>
      </c>
      <c r="H346" s="1256" t="s">
        <v>1</v>
      </c>
      <c r="I346" s="5175" t="s">
        <v>1</v>
      </c>
      <c r="J346" s="5161"/>
      <c r="K346" s="5161"/>
      <c r="L346" s="5161"/>
      <c r="M346" s="5176"/>
      <c r="N346" s="5177"/>
      <c r="O346" s="147"/>
      <c r="P346" s="147"/>
      <c r="Q346" s="102"/>
      <c r="R346" s="102"/>
      <c r="S346" s="1360"/>
      <c r="T346" s="43"/>
      <c r="U346" s="42"/>
      <c r="V346" s="41"/>
      <c r="W346" s="40"/>
      <c r="X346" s="39"/>
      <c r="Y346" s="38"/>
      <c r="Z346" s="37"/>
      <c r="AA346" s="36"/>
      <c r="AB346" s="35"/>
      <c r="AC346" s="34"/>
      <c r="AD346" s="55"/>
      <c r="AE346" s="33"/>
      <c r="AF346"/>
      <c r="AG346" s="32"/>
      <c r="AH346" s="31"/>
      <c r="AI346" s="30"/>
      <c r="AJ346" s="5492">
        <f t="shared" si="109"/>
        <v>0</v>
      </c>
      <c r="AK346" s="29">
        <f t="shared" si="110"/>
        <v>0</v>
      </c>
      <c r="AL346" s="28" t="str">
        <f t="shared" si="111"/>
        <v/>
      </c>
      <c r="AM346" s="27"/>
      <c r="AN346" s="26">
        <f t="shared" si="112"/>
        <v>0</v>
      </c>
      <c r="AO346" s="25">
        <f t="shared" si="113"/>
        <v>0</v>
      </c>
      <c r="AP346" s="24">
        <f t="shared" si="114"/>
        <v>0</v>
      </c>
      <c r="AQ346" s="23"/>
      <c r="AR346" s="22">
        <f t="shared" si="115"/>
        <v>0</v>
      </c>
      <c r="AS346" s="21"/>
      <c r="AT346" s="13"/>
      <c r="AU346" s="46">
        <f t="shared" si="116"/>
        <v>0</v>
      </c>
      <c r="AV346"/>
      <c r="AW346"/>
      <c r="AX346"/>
      <c r="AY346"/>
      <c r="AZ346"/>
      <c r="BA346"/>
      <c r="BB346"/>
      <c r="BC346" s="3"/>
      <c r="BD346" s="3"/>
      <c r="BE346" s="3"/>
      <c r="BF346" s="3"/>
      <c r="BG346" s="3"/>
      <c r="BH346" s="3"/>
      <c r="BI346" s="3"/>
      <c r="BJ346" s="3"/>
      <c r="BK346" s="3"/>
      <c r="BL346" s="20" t="str">
        <f t="shared" si="124"/>
        <v>►</v>
      </c>
      <c r="BM346" s="3"/>
      <c r="BN346" s="2"/>
      <c r="BO346" s="2"/>
      <c r="BP346" s="2"/>
      <c r="BQ346" s="2"/>
      <c r="BR346" s="2"/>
      <c r="BS346"/>
      <c r="BT346"/>
      <c r="BU346"/>
      <c r="BV346"/>
      <c r="BW346"/>
      <c r="BX346"/>
      <c r="BY346"/>
      <c r="BZ346"/>
      <c r="CA346"/>
      <c r="CB346"/>
      <c r="CC346"/>
      <c r="CD346"/>
      <c r="CE346"/>
      <c r="CF346"/>
      <c r="CG346"/>
      <c r="CH346"/>
      <c r="CI346"/>
      <c r="CJ346"/>
      <c r="CK346"/>
      <c r="CL346"/>
      <c r="CM346"/>
      <c r="CN346"/>
      <c r="CO346" s="5">
        <v>1</v>
      </c>
    </row>
    <row r="347" spans="1:93" s="1" customFormat="1" ht="21" customHeight="1">
      <c r="A347" s="20" t="str">
        <f t="shared" si="117"/>
        <v>►</v>
      </c>
      <c r="B347" s="43" t="str">
        <f t="shared" si="118"/>
        <v>►</v>
      </c>
      <c r="C347" s="45" t="str">
        <f t="shared" si="119"/>
        <v>►</v>
      </c>
      <c r="D347" s="44" t="str">
        <f t="shared" si="120"/>
        <v>►</v>
      </c>
      <c r="E347" s="43" t="str">
        <f t="shared" si="121"/>
        <v>►</v>
      </c>
      <c r="F347" s="43" t="str">
        <f t="shared" si="122"/>
        <v>►</v>
      </c>
      <c r="G347" s="43" t="str">
        <f t="shared" si="123"/>
        <v>►</v>
      </c>
      <c r="H347" s="1256" t="s">
        <v>1</v>
      </c>
      <c r="I347" s="5175" t="s">
        <v>1</v>
      </c>
      <c r="J347" s="5161"/>
      <c r="K347" s="5161"/>
      <c r="L347" s="5161"/>
      <c r="M347" s="5176"/>
      <c r="N347" s="5177"/>
      <c r="O347" s="147"/>
      <c r="P347" s="147"/>
      <c r="Q347" s="102"/>
      <c r="R347" s="102"/>
      <c r="S347" s="1360"/>
      <c r="T347" s="43"/>
      <c r="U347" s="42"/>
      <c r="V347" s="41"/>
      <c r="W347" s="40"/>
      <c r="X347" s="39"/>
      <c r="Y347" s="38"/>
      <c r="Z347" s="37"/>
      <c r="AA347" s="36"/>
      <c r="AB347" s="35"/>
      <c r="AC347" s="34"/>
      <c r="AD347" s="55"/>
      <c r="AE347" s="33"/>
      <c r="AF347"/>
      <c r="AG347" s="32"/>
      <c r="AH347" s="31"/>
      <c r="AI347" s="30"/>
      <c r="AJ347" s="5492">
        <f t="shared" si="109"/>
        <v>0</v>
      </c>
      <c r="AK347" s="54">
        <f t="shared" si="110"/>
        <v>0</v>
      </c>
      <c r="AL347" s="53" t="str">
        <f t="shared" si="111"/>
        <v/>
      </c>
      <c r="AM347" s="52"/>
      <c r="AN347" s="51">
        <f t="shared" si="112"/>
        <v>0</v>
      </c>
      <c r="AO347" s="50">
        <f t="shared" si="113"/>
        <v>0</v>
      </c>
      <c r="AP347" s="49">
        <f t="shared" si="114"/>
        <v>0</v>
      </c>
      <c r="AQ347" s="23"/>
      <c r="AR347" s="48">
        <f t="shared" si="115"/>
        <v>0</v>
      </c>
      <c r="AS347" s="47"/>
      <c r="AT347" s="13"/>
      <c r="AU347" s="46">
        <f t="shared" si="116"/>
        <v>0</v>
      </c>
      <c r="AV347"/>
      <c r="AW347"/>
      <c r="AX347"/>
      <c r="AY347"/>
      <c r="AZ347"/>
      <c r="BA347"/>
      <c r="BB347"/>
      <c r="BC347" s="3"/>
      <c r="BD347" s="3"/>
      <c r="BE347" s="3"/>
      <c r="BF347" s="3"/>
      <c r="BG347" s="3"/>
      <c r="BH347" s="3"/>
      <c r="BI347" s="3"/>
      <c r="BJ347" s="3"/>
      <c r="BK347" s="3"/>
      <c r="BL347" s="20" t="str">
        <f t="shared" si="124"/>
        <v>►</v>
      </c>
      <c r="BM347" s="3"/>
      <c r="BN347" s="2"/>
      <c r="BO347" s="2"/>
      <c r="BP347" s="2"/>
      <c r="BQ347" s="2"/>
      <c r="BR347" s="2"/>
      <c r="BS347"/>
      <c r="BT347"/>
      <c r="BU347"/>
      <c r="BV347"/>
      <c r="BW347"/>
      <c r="BX347"/>
      <c r="BY347"/>
      <c r="BZ347"/>
      <c r="CA347"/>
      <c r="CB347"/>
      <c r="CC347"/>
      <c r="CD347"/>
      <c r="CE347"/>
      <c r="CF347"/>
      <c r="CG347"/>
      <c r="CH347"/>
      <c r="CI347"/>
      <c r="CJ347"/>
      <c r="CK347"/>
      <c r="CL347"/>
      <c r="CM347"/>
      <c r="CN347"/>
      <c r="CO347" s="5">
        <v>1</v>
      </c>
    </row>
    <row r="348" spans="1:93" s="1" customFormat="1" ht="21" customHeight="1">
      <c r="A348" s="20" t="str">
        <f t="shared" si="117"/>
        <v>►</v>
      </c>
      <c r="B348" s="43" t="str">
        <f t="shared" si="118"/>
        <v>►</v>
      </c>
      <c r="C348" s="45" t="str">
        <f t="shared" si="119"/>
        <v>►</v>
      </c>
      <c r="D348" s="44" t="str">
        <f t="shared" si="120"/>
        <v>►</v>
      </c>
      <c r="E348" s="43" t="str">
        <f t="shared" si="121"/>
        <v>►</v>
      </c>
      <c r="F348" s="43" t="str">
        <f t="shared" si="122"/>
        <v>►</v>
      </c>
      <c r="G348" s="43" t="str">
        <f t="shared" si="123"/>
        <v>►</v>
      </c>
      <c r="H348" s="1256" t="s">
        <v>1</v>
      </c>
      <c r="I348" s="5175" t="s">
        <v>1</v>
      </c>
      <c r="J348" s="5161"/>
      <c r="K348" s="5161"/>
      <c r="L348" s="5161"/>
      <c r="M348" s="5176"/>
      <c r="N348" s="5177"/>
      <c r="O348" s="147"/>
      <c r="P348" s="147"/>
      <c r="Q348" s="102"/>
      <c r="R348" s="102"/>
      <c r="S348" s="1360"/>
      <c r="T348" s="43"/>
      <c r="U348" s="42"/>
      <c r="V348" s="41"/>
      <c r="W348" s="40"/>
      <c r="X348" s="39"/>
      <c r="Y348" s="38"/>
      <c r="Z348" s="37"/>
      <c r="AA348" s="36"/>
      <c r="AB348" s="35"/>
      <c r="AC348" s="34"/>
      <c r="AD348" s="55"/>
      <c r="AE348" s="33"/>
      <c r="AF348"/>
      <c r="AG348" s="32"/>
      <c r="AH348" s="31"/>
      <c r="AI348" s="30"/>
      <c r="AJ348" s="5492">
        <f t="shared" si="109"/>
        <v>0</v>
      </c>
      <c r="AK348" s="29">
        <f t="shared" si="110"/>
        <v>0</v>
      </c>
      <c r="AL348" s="28" t="str">
        <f t="shared" si="111"/>
        <v/>
      </c>
      <c r="AM348" s="27"/>
      <c r="AN348" s="26">
        <f t="shared" si="112"/>
        <v>0</v>
      </c>
      <c r="AO348" s="25">
        <f t="shared" si="113"/>
        <v>0</v>
      </c>
      <c r="AP348" s="24">
        <f t="shared" si="114"/>
        <v>0</v>
      </c>
      <c r="AQ348" s="23"/>
      <c r="AR348" s="22">
        <f t="shared" si="115"/>
        <v>0</v>
      </c>
      <c r="AS348" s="21"/>
      <c r="AT348" s="13"/>
      <c r="AU348" s="46">
        <f t="shared" si="116"/>
        <v>0</v>
      </c>
      <c r="AV348"/>
      <c r="AW348"/>
      <c r="AX348"/>
      <c r="AY348"/>
      <c r="AZ348"/>
      <c r="BA348"/>
      <c r="BB348"/>
      <c r="BC348" s="3"/>
      <c r="BD348" s="3"/>
      <c r="BE348" s="3"/>
      <c r="BF348" s="3"/>
      <c r="BG348" s="3"/>
      <c r="BH348" s="3"/>
      <c r="BI348" s="3"/>
      <c r="BJ348" s="3"/>
      <c r="BK348" s="3"/>
      <c r="BL348" s="20" t="str">
        <f t="shared" si="124"/>
        <v>►</v>
      </c>
      <c r="BM348" s="3"/>
      <c r="BN348" s="2"/>
      <c r="BO348" s="2"/>
      <c r="BP348" s="2"/>
      <c r="BQ348" s="2"/>
      <c r="BR348" s="2"/>
      <c r="BS348"/>
      <c r="BT348"/>
      <c r="BU348"/>
      <c r="BV348"/>
      <c r="BW348"/>
      <c r="BX348"/>
      <c r="BY348"/>
      <c r="BZ348"/>
      <c r="CA348"/>
      <c r="CB348"/>
      <c r="CC348"/>
      <c r="CD348"/>
      <c r="CE348"/>
      <c r="CF348"/>
      <c r="CG348"/>
      <c r="CH348"/>
      <c r="CI348"/>
      <c r="CJ348"/>
      <c r="CK348"/>
      <c r="CL348"/>
      <c r="CM348"/>
      <c r="CN348"/>
      <c r="CO348" s="5">
        <v>1</v>
      </c>
    </row>
    <row r="349" spans="1:93" s="1" customFormat="1" ht="21" customHeight="1">
      <c r="A349" s="20" t="str">
        <f t="shared" si="117"/>
        <v>►</v>
      </c>
      <c r="B349" s="43" t="str">
        <f t="shared" si="118"/>
        <v>►</v>
      </c>
      <c r="C349" s="45" t="str">
        <f t="shared" si="119"/>
        <v>►</v>
      </c>
      <c r="D349" s="44" t="str">
        <f t="shared" si="120"/>
        <v>►</v>
      </c>
      <c r="E349" s="43" t="str">
        <f t="shared" si="121"/>
        <v>►</v>
      </c>
      <c r="F349" s="43" t="str">
        <f t="shared" si="122"/>
        <v>►</v>
      </c>
      <c r="G349" s="43" t="str">
        <f t="shared" si="123"/>
        <v>►</v>
      </c>
      <c r="H349" s="1256" t="s">
        <v>1</v>
      </c>
      <c r="I349" s="5175" t="s">
        <v>1</v>
      </c>
      <c r="J349" s="5161"/>
      <c r="K349" s="5161"/>
      <c r="L349" s="5161"/>
      <c r="M349" s="5176"/>
      <c r="N349" s="5177"/>
      <c r="O349" s="147"/>
      <c r="P349" s="147"/>
      <c r="Q349" s="102"/>
      <c r="R349" s="102"/>
      <c r="S349" s="1360"/>
      <c r="T349" s="43"/>
      <c r="U349" s="42"/>
      <c r="V349" s="41"/>
      <c r="W349" s="40"/>
      <c r="X349" s="39"/>
      <c r="Y349" s="38"/>
      <c r="Z349" s="37"/>
      <c r="AA349" s="36"/>
      <c r="AB349" s="35"/>
      <c r="AC349" s="34"/>
      <c r="AD349" s="55"/>
      <c r="AE349" s="33"/>
      <c r="AF349"/>
      <c r="AG349" s="32"/>
      <c r="AH349" s="31"/>
      <c r="AI349" s="30"/>
      <c r="AJ349" s="5492">
        <f t="shared" ref="AJ349:AJ412" si="125">IF(ISTEXT(Y349), 0, IFERROR(INDEX($AX$22:$AX$69, MATCH(AC349, $AW$22:$AW$69, 0)) * AB349 * IF(ISBLANK(Y349), 1, Y349), 0))</f>
        <v>0</v>
      </c>
      <c r="AK349" s="54">
        <f t="shared" ref="AK349:AK412" si="126">IF(ISNUMBER(AD349), AJ349*AD349*AU349, 0)</f>
        <v>0</v>
      </c>
      <c r="AL349" s="53" t="str">
        <f t="shared" ref="AL349:AL412" si="127">IF(AND(ISNUMBER(AB349),ISNUMBER(AD349),ISNUMBER(AU349)),IFERROR(_xlfn.LET(_xlpm.m,IF(ISBLANK(Y349),1,Y349),_xlpm.q,AB349*AD349*AU349*_xlpm.m,_xlpm.p,MATCH(AC349,AW$22:AW$69,0),_xlpm.f,INDEX(AX$22:AX$69,_xlpm.p),_xlpm.u,INDEX(AY$22:AY$69,_xlpm.p),_xlpm.s,INDEX(AZ$22:AZ$69,_xlpm.p),IF(_xlpm.q&gt;=_xlpm.s,ROUND(_xlpm.q,0)&amp;" "&amp;AC349&amp;" = "&amp;ROUND(_xlpm.q*_xlpm.f,1)&amp;" "&amp;_xlpm.u,ROUND(_xlpm.q,0)&amp;" "&amp;AC349)),""),"")</f>
        <v/>
      </c>
      <c r="AM349" s="52"/>
      <c r="AN349" s="51">
        <f t="shared" ref="AN349:AN412" si="128">((AK349-(AK349*AM349%)))</f>
        <v>0</v>
      </c>
      <c r="AO349" s="50">
        <f t="shared" ref="AO349:AO412" si="129">IF(AND(ISNUMBER(AD349), ISNUMBER(Y349)), Y349 * AD349 * AU349, 0)</f>
        <v>0</v>
      </c>
      <c r="AP349" s="49">
        <f t="shared" ref="AP349:AP412" si="130">Z349</f>
        <v>0</v>
      </c>
      <c r="AQ349" s="23"/>
      <c r="AR349" s="48">
        <f t="shared" ref="AR349:AR412" si="131">IF(OR(ISBLANK(AQ349),ISTEXT(Y349)),0,IF(AK349=0,Y349,AK349)*AQ349)</f>
        <v>0</v>
      </c>
      <c r="AS349" s="47"/>
      <c r="AT349" s="13"/>
      <c r="AU349" s="46">
        <f t="shared" ref="AU349:AU412" si="132">IF(OR(ISBLANK(AI349), ISBLANK(AG349)), 0, AI349/AG349)</f>
        <v>0</v>
      </c>
      <c r="AV349"/>
      <c r="AW349"/>
      <c r="AX349"/>
      <c r="AY349"/>
      <c r="AZ349"/>
      <c r="BA349"/>
      <c r="BB349"/>
      <c r="BC349" s="3"/>
      <c r="BD349" s="3"/>
      <c r="BE349" s="3"/>
      <c r="BF349" s="3"/>
      <c r="BG349" s="3"/>
      <c r="BH349" s="3"/>
      <c r="BI349" s="3"/>
      <c r="BJ349" s="3"/>
      <c r="BK349" s="3"/>
      <c r="BL349" s="20" t="str">
        <f t="shared" si="124"/>
        <v>►</v>
      </c>
      <c r="BM349" s="3"/>
      <c r="BN349" s="2"/>
      <c r="BO349" s="2"/>
      <c r="BP349" s="2"/>
      <c r="BQ349" s="2"/>
      <c r="BR349" s="2"/>
      <c r="BS349"/>
      <c r="BT349"/>
      <c r="BU349"/>
      <c r="BV349"/>
      <c r="BW349"/>
      <c r="BX349"/>
      <c r="BY349"/>
      <c r="BZ349"/>
      <c r="CA349"/>
      <c r="CB349"/>
      <c r="CC349"/>
      <c r="CD349"/>
      <c r="CE349"/>
      <c r="CF349"/>
      <c r="CG349"/>
      <c r="CH349"/>
      <c r="CI349"/>
      <c r="CJ349"/>
      <c r="CK349"/>
      <c r="CL349"/>
      <c r="CM349"/>
      <c r="CN349"/>
      <c r="CO349" s="5">
        <v>1</v>
      </c>
    </row>
    <row r="350" spans="1:93" s="1" customFormat="1" ht="21" customHeight="1">
      <c r="A350" s="20" t="str">
        <f t="shared" ref="A350:A413" si="133">IF(OR(I350="A",U350="A"),"A",IF(AND(I350="►",U350="►"),"►",IF(AND(ISBLANK(I350),ISBLANK(U350)),"►","►")))</f>
        <v>►</v>
      </c>
      <c r="B350" s="43" t="str">
        <f t="shared" si="118"/>
        <v>►</v>
      </c>
      <c r="C350" s="45" t="str">
        <f t="shared" si="119"/>
        <v>►</v>
      </c>
      <c r="D350" s="44" t="str">
        <f t="shared" si="120"/>
        <v>►</v>
      </c>
      <c r="E350" s="43" t="str">
        <f t="shared" si="121"/>
        <v>►</v>
      </c>
      <c r="F350" s="43" t="str">
        <f t="shared" si="122"/>
        <v>►</v>
      </c>
      <c r="G350" s="43" t="str">
        <f t="shared" si="123"/>
        <v>►</v>
      </c>
      <c r="H350" s="1256" t="s">
        <v>1</v>
      </c>
      <c r="I350" s="5175" t="s">
        <v>1</v>
      </c>
      <c r="J350" s="5161"/>
      <c r="K350" s="5161"/>
      <c r="L350" s="5161"/>
      <c r="M350" s="5176"/>
      <c r="N350" s="5177"/>
      <c r="O350" s="147"/>
      <c r="P350" s="147"/>
      <c r="Q350" s="102"/>
      <c r="R350" s="102"/>
      <c r="S350" s="1360"/>
      <c r="T350" s="43"/>
      <c r="U350" s="42"/>
      <c r="V350" s="41"/>
      <c r="W350" s="40"/>
      <c r="X350" s="39"/>
      <c r="Y350" s="38"/>
      <c r="Z350" s="37"/>
      <c r="AA350" s="36"/>
      <c r="AB350" s="35"/>
      <c r="AC350" s="34"/>
      <c r="AD350" s="55"/>
      <c r="AE350" s="33"/>
      <c r="AF350"/>
      <c r="AG350" s="32"/>
      <c r="AH350" s="31"/>
      <c r="AI350" s="30"/>
      <c r="AJ350" s="5492">
        <f t="shared" si="125"/>
        <v>0</v>
      </c>
      <c r="AK350" s="29">
        <f t="shared" si="126"/>
        <v>0</v>
      </c>
      <c r="AL350" s="28" t="str">
        <f t="shared" si="127"/>
        <v/>
      </c>
      <c r="AM350" s="27"/>
      <c r="AN350" s="26">
        <f t="shared" si="128"/>
        <v>0</v>
      </c>
      <c r="AO350" s="25">
        <f t="shared" si="129"/>
        <v>0</v>
      </c>
      <c r="AP350" s="24">
        <f t="shared" si="130"/>
        <v>0</v>
      </c>
      <c r="AQ350" s="23"/>
      <c r="AR350" s="22">
        <f t="shared" si="131"/>
        <v>0</v>
      </c>
      <c r="AS350" s="21"/>
      <c r="AT350" s="13"/>
      <c r="AU350" s="46">
        <f t="shared" si="132"/>
        <v>0</v>
      </c>
      <c r="AV350"/>
      <c r="AW350"/>
      <c r="AX350"/>
      <c r="AY350"/>
      <c r="AZ350"/>
      <c r="BA350"/>
      <c r="BB350"/>
      <c r="BC350" s="3"/>
      <c r="BD350" s="3"/>
      <c r="BE350" s="3"/>
      <c r="BF350" s="3"/>
      <c r="BG350" s="3"/>
      <c r="BH350" s="3"/>
      <c r="BI350" s="3"/>
      <c r="BJ350" s="3"/>
      <c r="BK350" s="3"/>
      <c r="BL350" s="20" t="str">
        <f t="shared" si="124"/>
        <v>►</v>
      </c>
      <c r="BM350" s="3"/>
      <c r="BN350" s="2"/>
      <c r="BO350" s="2"/>
      <c r="BP350" s="2"/>
      <c r="BQ350" s="2"/>
      <c r="BR350" s="2"/>
      <c r="BS350"/>
      <c r="BT350"/>
      <c r="BU350"/>
      <c r="BV350"/>
      <c r="BW350"/>
      <c r="BX350"/>
      <c r="BY350"/>
      <c r="BZ350"/>
      <c r="CA350"/>
      <c r="CB350"/>
      <c r="CC350"/>
      <c r="CD350"/>
      <c r="CE350"/>
      <c r="CF350"/>
      <c r="CG350"/>
      <c r="CH350"/>
      <c r="CI350"/>
      <c r="CJ350"/>
      <c r="CK350"/>
      <c r="CL350"/>
      <c r="CM350"/>
      <c r="CN350"/>
      <c r="CO350" s="5">
        <v>1</v>
      </c>
    </row>
    <row r="351" spans="1:93" s="1" customFormat="1" ht="21" customHeight="1">
      <c r="A351" s="20" t="str">
        <f t="shared" si="133"/>
        <v>►</v>
      </c>
      <c r="B351" s="43" t="str">
        <f t="shared" si="118"/>
        <v>►</v>
      </c>
      <c r="C351" s="45" t="str">
        <f t="shared" si="119"/>
        <v>►</v>
      </c>
      <c r="D351" s="44" t="str">
        <f t="shared" si="120"/>
        <v>►</v>
      </c>
      <c r="E351" s="43" t="str">
        <f t="shared" si="121"/>
        <v>►</v>
      </c>
      <c r="F351" s="43" t="str">
        <f t="shared" si="122"/>
        <v>►</v>
      </c>
      <c r="G351" s="43" t="str">
        <f t="shared" si="123"/>
        <v>►</v>
      </c>
      <c r="H351" s="1256" t="s">
        <v>1</v>
      </c>
      <c r="I351" s="5175" t="s">
        <v>1</v>
      </c>
      <c r="J351" s="5161"/>
      <c r="K351" s="5161"/>
      <c r="L351" s="5161"/>
      <c r="M351" s="5176"/>
      <c r="N351" s="5177"/>
      <c r="O351" s="147"/>
      <c r="P351" s="147"/>
      <c r="Q351" s="102"/>
      <c r="R351" s="102"/>
      <c r="S351" s="1360"/>
      <c r="T351" s="43"/>
      <c r="U351" s="42"/>
      <c r="V351" s="41"/>
      <c r="W351" s="40"/>
      <c r="X351" s="39"/>
      <c r="Y351" s="38"/>
      <c r="Z351" s="37"/>
      <c r="AA351" s="36"/>
      <c r="AB351" s="35"/>
      <c r="AC351" s="34"/>
      <c r="AD351" s="55"/>
      <c r="AE351" s="33"/>
      <c r="AF351"/>
      <c r="AG351" s="32"/>
      <c r="AH351" s="31"/>
      <c r="AI351" s="30"/>
      <c r="AJ351" s="5492">
        <f t="shared" si="125"/>
        <v>0</v>
      </c>
      <c r="AK351" s="54">
        <f t="shared" si="126"/>
        <v>0</v>
      </c>
      <c r="AL351" s="53" t="str">
        <f t="shared" si="127"/>
        <v/>
      </c>
      <c r="AM351" s="52"/>
      <c r="AN351" s="51">
        <f t="shared" si="128"/>
        <v>0</v>
      </c>
      <c r="AO351" s="50">
        <f t="shared" si="129"/>
        <v>0</v>
      </c>
      <c r="AP351" s="49">
        <f t="shared" si="130"/>
        <v>0</v>
      </c>
      <c r="AQ351" s="23"/>
      <c r="AR351" s="48">
        <f t="shared" si="131"/>
        <v>0</v>
      </c>
      <c r="AS351" s="47"/>
      <c r="AT351" s="13"/>
      <c r="AU351" s="46">
        <f t="shared" si="132"/>
        <v>0</v>
      </c>
      <c r="AV351"/>
      <c r="AW351"/>
      <c r="AX351"/>
      <c r="AY351"/>
      <c r="AZ351"/>
      <c r="BA351"/>
      <c r="BB351"/>
      <c r="BC351" s="3"/>
      <c r="BD351" s="3"/>
      <c r="BE351" s="3"/>
      <c r="BF351" s="3"/>
      <c r="BG351" s="3"/>
      <c r="BH351" s="3"/>
      <c r="BI351" s="3"/>
      <c r="BJ351" s="3"/>
      <c r="BK351" s="3"/>
      <c r="BL351" s="20" t="str">
        <f t="shared" si="124"/>
        <v>►</v>
      </c>
      <c r="BM351" s="3"/>
      <c r="BN351" s="2"/>
      <c r="BO351" s="2"/>
      <c r="BP351" s="2"/>
      <c r="BQ351" s="2"/>
      <c r="BR351" s="2"/>
      <c r="BS351"/>
      <c r="BT351"/>
      <c r="BU351"/>
      <c r="BV351"/>
      <c r="BW351"/>
      <c r="BX351"/>
      <c r="BY351"/>
      <c r="BZ351"/>
      <c r="CA351"/>
      <c r="CB351"/>
      <c r="CC351"/>
      <c r="CD351"/>
      <c r="CE351"/>
      <c r="CF351"/>
      <c r="CG351"/>
      <c r="CH351"/>
      <c r="CI351"/>
      <c r="CJ351"/>
      <c r="CK351"/>
      <c r="CL351"/>
      <c r="CM351"/>
      <c r="CN351"/>
      <c r="CO351" s="5">
        <v>1</v>
      </c>
    </row>
    <row r="352" spans="1:93" s="1" customFormat="1" ht="21" customHeight="1">
      <c r="A352" s="20" t="str">
        <f t="shared" si="133"/>
        <v>►</v>
      </c>
      <c r="B352" s="43" t="str">
        <f t="shared" si="118"/>
        <v>►</v>
      </c>
      <c r="C352" s="45" t="str">
        <f t="shared" si="119"/>
        <v>►</v>
      </c>
      <c r="D352" s="44" t="str">
        <f t="shared" si="120"/>
        <v>►</v>
      </c>
      <c r="E352" s="43" t="str">
        <f t="shared" si="121"/>
        <v>►</v>
      </c>
      <c r="F352" s="43" t="str">
        <f t="shared" si="122"/>
        <v>►</v>
      </c>
      <c r="G352" s="43" t="str">
        <f t="shared" si="123"/>
        <v>►</v>
      </c>
      <c r="H352" s="1256" t="s">
        <v>1</v>
      </c>
      <c r="I352" s="5175" t="s">
        <v>1</v>
      </c>
      <c r="J352" s="5161"/>
      <c r="K352" s="5161"/>
      <c r="L352" s="5161"/>
      <c r="M352" s="5176"/>
      <c r="N352" s="5177"/>
      <c r="O352" s="147"/>
      <c r="P352" s="147"/>
      <c r="Q352" s="102"/>
      <c r="R352" s="102"/>
      <c r="S352" s="1360"/>
      <c r="T352" s="43"/>
      <c r="U352" s="42"/>
      <c r="V352" s="41"/>
      <c r="W352" s="40"/>
      <c r="X352" s="39"/>
      <c r="Y352" s="38"/>
      <c r="Z352" s="37"/>
      <c r="AA352" s="36"/>
      <c r="AB352" s="35"/>
      <c r="AC352" s="34"/>
      <c r="AD352" s="55"/>
      <c r="AE352" s="33"/>
      <c r="AF352"/>
      <c r="AG352" s="32"/>
      <c r="AH352" s="31"/>
      <c r="AI352" s="30"/>
      <c r="AJ352" s="5492">
        <f t="shared" si="125"/>
        <v>0</v>
      </c>
      <c r="AK352" s="29">
        <f t="shared" si="126"/>
        <v>0</v>
      </c>
      <c r="AL352" s="28" t="str">
        <f t="shared" si="127"/>
        <v/>
      </c>
      <c r="AM352" s="27"/>
      <c r="AN352" s="26">
        <f t="shared" si="128"/>
        <v>0</v>
      </c>
      <c r="AO352" s="25">
        <f t="shared" si="129"/>
        <v>0</v>
      </c>
      <c r="AP352" s="24">
        <f t="shared" si="130"/>
        <v>0</v>
      </c>
      <c r="AQ352" s="23"/>
      <c r="AR352" s="22">
        <f t="shared" si="131"/>
        <v>0</v>
      </c>
      <c r="AS352" s="21"/>
      <c r="AT352" s="13"/>
      <c r="AU352" s="46">
        <f t="shared" si="132"/>
        <v>0</v>
      </c>
      <c r="AV352"/>
      <c r="AW352"/>
      <c r="AX352"/>
      <c r="AY352"/>
      <c r="AZ352"/>
      <c r="BA352"/>
      <c r="BB352"/>
      <c r="BC352" s="3"/>
      <c r="BD352" s="3"/>
      <c r="BE352" s="3"/>
      <c r="BF352" s="3"/>
      <c r="BG352" s="3"/>
      <c r="BH352" s="3"/>
      <c r="BI352" s="3"/>
      <c r="BJ352" s="3"/>
      <c r="BK352" s="3"/>
      <c r="BL352" s="20" t="str">
        <f t="shared" si="124"/>
        <v>►</v>
      </c>
      <c r="BM352" s="3"/>
      <c r="BN352" s="2"/>
      <c r="BO352" s="2"/>
      <c r="BP352" s="2"/>
      <c r="BQ352" s="2"/>
      <c r="BR352" s="2"/>
      <c r="BS352"/>
      <c r="BT352"/>
      <c r="BU352"/>
      <c r="BV352"/>
      <c r="BW352"/>
      <c r="BX352"/>
      <c r="BY352"/>
      <c r="BZ352"/>
      <c r="CA352"/>
      <c r="CB352"/>
      <c r="CC352"/>
      <c r="CD352"/>
      <c r="CE352"/>
      <c r="CF352"/>
      <c r="CG352"/>
      <c r="CH352"/>
      <c r="CI352"/>
      <c r="CJ352"/>
      <c r="CK352"/>
      <c r="CL352"/>
      <c r="CM352"/>
      <c r="CN352"/>
      <c r="CO352" s="5">
        <v>1</v>
      </c>
    </row>
    <row r="353" spans="1:93" s="1" customFormat="1" ht="21" customHeight="1">
      <c r="A353" s="20" t="str">
        <f t="shared" si="133"/>
        <v>►</v>
      </c>
      <c r="B353" s="43" t="str">
        <f t="shared" si="118"/>
        <v>►</v>
      </c>
      <c r="C353" s="45" t="str">
        <f t="shared" si="119"/>
        <v>►</v>
      </c>
      <c r="D353" s="44" t="str">
        <f t="shared" si="120"/>
        <v>►</v>
      </c>
      <c r="E353" s="43" t="str">
        <f t="shared" si="121"/>
        <v>►</v>
      </c>
      <c r="F353" s="43" t="str">
        <f t="shared" si="122"/>
        <v>►</v>
      </c>
      <c r="G353" s="43" t="str">
        <f t="shared" si="123"/>
        <v>►</v>
      </c>
      <c r="H353" s="1256" t="s">
        <v>1</v>
      </c>
      <c r="I353" s="5175" t="s">
        <v>1</v>
      </c>
      <c r="J353" s="5161"/>
      <c r="K353" s="5161"/>
      <c r="L353" s="5161"/>
      <c r="M353" s="5176"/>
      <c r="N353" s="5177"/>
      <c r="O353" s="147"/>
      <c r="P353" s="147"/>
      <c r="Q353" s="102"/>
      <c r="R353" s="102"/>
      <c r="S353" s="1360"/>
      <c r="T353" s="43"/>
      <c r="U353" s="42"/>
      <c r="V353" s="41"/>
      <c r="W353" s="40"/>
      <c r="X353" s="39"/>
      <c r="Y353" s="38"/>
      <c r="Z353" s="37"/>
      <c r="AA353" s="36"/>
      <c r="AB353" s="35"/>
      <c r="AC353" s="34"/>
      <c r="AD353" s="55"/>
      <c r="AE353" s="33"/>
      <c r="AF353"/>
      <c r="AG353" s="32"/>
      <c r="AH353" s="31"/>
      <c r="AI353" s="30"/>
      <c r="AJ353" s="5492">
        <f t="shared" si="125"/>
        <v>0</v>
      </c>
      <c r="AK353" s="54">
        <f t="shared" si="126"/>
        <v>0</v>
      </c>
      <c r="AL353" s="53" t="str">
        <f t="shared" si="127"/>
        <v/>
      </c>
      <c r="AM353" s="52"/>
      <c r="AN353" s="51">
        <f t="shared" si="128"/>
        <v>0</v>
      </c>
      <c r="AO353" s="50">
        <f t="shared" si="129"/>
        <v>0</v>
      </c>
      <c r="AP353" s="49">
        <f t="shared" si="130"/>
        <v>0</v>
      </c>
      <c r="AQ353" s="23"/>
      <c r="AR353" s="48">
        <f t="shared" si="131"/>
        <v>0</v>
      </c>
      <c r="AS353" s="47"/>
      <c r="AT353" s="13"/>
      <c r="AU353" s="46">
        <f t="shared" si="132"/>
        <v>0</v>
      </c>
      <c r="AV353"/>
      <c r="AW353"/>
      <c r="AX353"/>
      <c r="AY353"/>
      <c r="AZ353"/>
      <c r="BA353"/>
      <c r="BB353"/>
      <c r="BC353" s="3"/>
      <c r="BD353" s="3"/>
      <c r="BE353" s="3"/>
      <c r="BF353" s="3"/>
      <c r="BG353" s="3"/>
      <c r="BH353" s="3"/>
      <c r="BI353" s="3"/>
      <c r="BJ353" s="3"/>
      <c r="BK353" s="3"/>
      <c r="BL353" s="20" t="str">
        <f t="shared" si="124"/>
        <v>►</v>
      </c>
      <c r="BM353" s="3"/>
      <c r="BN353" s="2"/>
      <c r="BO353" s="2"/>
      <c r="BP353" s="2"/>
      <c r="BQ353" s="2"/>
      <c r="BR353" s="2"/>
      <c r="BS353"/>
      <c r="BT353"/>
      <c r="BU353"/>
      <c r="BV353"/>
      <c r="BW353"/>
      <c r="BX353"/>
      <c r="BY353"/>
      <c r="BZ353"/>
      <c r="CA353"/>
      <c r="CB353"/>
      <c r="CC353"/>
      <c r="CD353"/>
      <c r="CE353"/>
      <c r="CF353"/>
      <c r="CG353"/>
      <c r="CH353"/>
      <c r="CI353"/>
      <c r="CJ353"/>
      <c r="CK353"/>
      <c r="CL353"/>
      <c r="CM353"/>
      <c r="CN353"/>
      <c r="CO353" s="5">
        <v>1</v>
      </c>
    </row>
    <row r="354" spans="1:93" s="1" customFormat="1" ht="21" customHeight="1">
      <c r="A354" s="20" t="str">
        <f t="shared" si="133"/>
        <v>►</v>
      </c>
      <c r="B354" s="43" t="str">
        <f t="shared" si="118"/>
        <v>►</v>
      </c>
      <c r="C354" s="45" t="str">
        <f t="shared" si="119"/>
        <v>►</v>
      </c>
      <c r="D354" s="44" t="str">
        <f t="shared" si="120"/>
        <v>►</v>
      </c>
      <c r="E354" s="43" t="str">
        <f t="shared" si="121"/>
        <v>►</v>
      </c>
      <c r="F354" s="43" t="str">
        <f t="shared" si="122"/>
        <v>►</v>
      </c>
      <c r="G354" s="43" t="str">
        <f t="shared" si="123"/>
        <v>►</v>
      </c>
      <c r="H354" s="1256" t="s">
        <v>1</v>
      </c>
      <c r="I354" s="5175" t="s">
        <v>1</v>
      </c>
      <c r="J354" s="5161"/>
      <c r="K354" s="5161"/>
      <c r="L354" s="5161"/>
      <c r="M354" s="5176"/>
      <c r="N354" s="5177"/>
      <c r="O354" s="147"/>
      <c r="P354" s="147"/>
      <c r="Q354" s="102"/>
      <c r="R354" s="102"/>
      <c r="S354" s="1360"/>
      <c r="T354" s="43"/>
      <c r="U354" s="42"/>
      <c r="V354" s="41"/>
      <c r="W354" s="40"/>
      <c r="X354" s="39"/>
      <c r="Y354" s="38"/>
      <c r="Z354" s="37"/>
      <c r="AA354" s="36"/>
      <c r="AB354" s="35"/>
      <c r="AC354" s="34"/>
      <c r="AD354" s="55"/>
      <c r="AE354" s="33"/>
      <c r="AF354"/>
      <c r="AG354" s="32"/>
      <c r="AH354" s="31"/>
      <c r="AI354" s="30"/>
      <c r="AJ354" s="5492">
        <f t="shared" si="125"/>
        <v>0</v>
      </c>
      <c r="AK354" s="29">
        <f t="shared" si="126"/>
        <v>0</v>
      </c>
      <c r="AL354" s="28" t="str">
        <f t="shared" si="127"/>
        <v/>
      </c>
      <c r="AM354" s="27"/>
      <c r="AN354" s="26">
        <f t="shared" si="128"/>
        <v>0</v>
      </c>
      <c r="AO354" s="25">
        <f t="shared" si="129"/>
        <v>0</v>
      </c>
      <c r="AP354" s="24">
        <f t="shared" si="130"/>
        <v>0</v>
      </c>
      <c r="AQ354" s="23"/>
      <c r="AR354" s="22">
        <f t="shared" si="131"/>
        <v>0</v>
      </c>
      <c r="AS354" s="21"/>
      <c r="AT354" s="13"/>
      <c r="AU354" s="46">
        <f t="shared" si="132"/>
        <v>0</v>
      </c>
      <c r="AV354"/>
      <c r="AW354"/>
      <c r="AX354"/>
      <c r="AY354"/>
      <c r="AZ354"/>
      <c r="BA354"/>
      <c r="BB354"/>
      <c r="BC354" s="3"/>
      <c r="BD354" s="3"/>
      <c r="BE354" s="3"/>
      <c r="BF354" s="3"/>
      <c r="BG354" s="3"/>
      <c r="BH354" s="3"/>
      <c r="BI354" s="3"/>
      <c r="BJ354" s="3"/>
      <c r="BK354" s="3"/>
      <c r="BL354" s="20" t="str">
        <f t="shared" si="124"/>
        <v>►</v>
      </c>
      <c r="BM354" s="3"/>
      <c r="BN354" s="2"/>
      <c r="BO354" s="2"/>
      <c r="BP354" s="2"/>
      <c r="BQ354" s="2"/>
      <c r="BR354" s="2"/>
      <c r="BS354"/>
      <c r="BT354"/>
      <c r="BU354"/>
      <c r="BV354"/>
      <c r="BW354"/>
      <c r="BX354"/>
      <c r="BY354"/>
      <c r="BZ354"/>
      <c r="CA354"/>
      <c r="CB354"/>
      <c r="CC354"/>
      <c r="CD354"/>
      <c r="CE354"/>
      <c r="CF354"/>
      <c r="CG354"/>
      <c r="CH354"/>
      <c r="CI354"/>
      <c r="CJ354"/>
      <c r="CK354"/>
      <c r="CL354"/>
      <c r="CM354"/>
      <c r="CN354"/>
      <c r="CO354" s="5">
        <v>1</v>
      </c>
    </row>
    <row r="355" spans="1:93" s="1" customFormat="1" ht="21" customHeight="1">
      <c r="A355" s="20" t="str">
        <f t="shared" si="133"/>
        <v>►</v>
      </c>
      <c r="B355" s="43" t="str">
        <f t="shared" si="118"/>
        <v>►</v>
      </c>
      <c r="C355" s="45" t="str">
        <f t="shared" si="119"/>
        <v>►</v>
      </c>
      <c r="D355" s="44" t="str">
        <f t="shared" si="120"/>
        <v>►</v>
      </c>
      <c r="E355" s="43" t="str">
        <f t="shared" si="121"/>
        <v>►</v>
      </c>
      <c r="F355" s="43" t="str">
        <f t="shared" si="122"/>
        <v>►</v>
      </c>
      <c r="G355" s="43" t="str">
        <f t="shared" si="123"/>
        <v>►</v>
      </c>
      <c r="H355" s="1256" t="s">
        <v>1</v>
      </c>
      <c r="I355" s="5175" t="s">
        <v>1</v>
      </c>
      <c r="J355" s="5161"/>
      <c r="K355" s="5161"/>
      <c r="L355" s="5161"/>
      <c r="M355" s="5176"/>
      <c r="N355" s="5177"/>
      <c r="O355" s="147"/>
      <c r="P355" s="147"/>
      <c r="Q355" s="102"/>
      <c r="R355" s="102"/>
      <c r="S355" s="1360"/>
      <c r="T355" s="43"/>
      <c r="U355" s="42"/>
      <c r="V355" s="41"/>
      <c r="W355" s="40"/>
      <c r="X355" s="39"/>
      <c r="Y355" s="38"/>
      <c r="Z355" s="37"/>
      <c r="AA355" s="36"/>
      <c r="AB355" s="35"/>
      <c r="AC355" s="34"/>
      <c r="AD355" s="55"/>
      <c r="AE355" s="33"/>
      <c r="AF355"/>
      <c r="AG355" s="32"/>
      <c r="AH355" s="31"/>
      <c r="AI355" s="30"/>
      <c r="AJ355" s="5492">
        <f t="shared" si="125"/>
        <v>0</v>
      </c>
      <c r="AK355" s="54">
        <f t="shared" si="126"/>
        <v>0</v>
      </c>
      <c r="AL355" s="53" t="str">
        <f t="shared" si="127"/>
        <v/>
      </c>
      <c r="AM355" s="52"/>
      <c r="AN355" s="51">
        <f t="shared" si="128"/>
        <v>0</v>
      </c>
      <c r="AO355" s="50">
        <f t="shared" si="129"/>
        <v>0</v>
      </c>
      <c r="AP355" s="49">
        <f t="shared" si="130"/>
        <v>0</v>
      </c>
      <c r="AQ355" s="23"/>
      <c r="AR355" s="48">
        <f t="shared" si="131"/>
        <v>0</v>
      </c>
      <c r="AS355" s="47"/>
      <c r="AT355" s="13"/>
      <c r="AU355" s="46">
        <f t="shared" si="132"/>
        <v>0</v>
      </c>
      <c r="AV355"/>
      <c r="AW355"/>
      <c r="AX355"/>
      <c r="AY355"/>
      <c r="AZ355"/>
      <c r="BA355"/>
      <c r="BB355"/>
      <c r="BC355" s="3"/>
      <c r="BD355" s="3"/>
      <c r="BE355" s="3"/>
      <c r="BF355" s="3"/>
      <c r="BG355" s="3"/>
      <c r="BH355" s="3"/>
      <c r="BI355" s="3"/>
      <c r="BJ355" s="3"/>
      <c r="BK355" s="3"/>
      <c r="BL355" s="20" t="str">
        <f t="shared" si="124"/>
        <v>►</v>
      </c>
      <c r="BM355" s="3"/>
      <c r="BN355" s="2"/>
      <c r="BO355" s="2"/>
      <c r="BP355" s="2"/>
      <c r="BQ355" s="2"/>
      <c r="BR355" s="2"/>
      <c r="BS355"/>
      <c r="BT355"/>
      <c r="BU355"/>
      <c r="BV355"/>
      <c r="BW355"/>
      <c r="BX355"/>
      <c r="BY355"/>
      <c r="BZ355"/>
      <c r="CA355"/>
      <c r="CB355"/>
      <c r="CC355"/>
      <c r="CD355"/>
      <c r="CE355"/>
      <c r="CF355"/>
      <c r="CG355"/>
      <c r="CH355"/>
      <c r="CI355"/>
      <c r="CJ355"/>
      <c r="CK355"/>
      <c r="CL355"/>
      <c r="CM355"/>
      <c r="CN355"/>
      <c r="CO355" s="5">
        <v>1</v>
      </c>
    </row>
    <row r="356" spans="1:93" s="1" customFormat="1" ht="21" customHeight="1">
      <c r="A356" s="20" t="str">
        <f t="shared" si="133"/>
        <v>►</v>
      </c>
      <c r="B356" s="43" t="str">
        <f t="shared" si="118"/>
        <v>►</v>
      </c>
      <c r="C356" s="45" t="str">
        <f t="shared" si="119"/>
        <v>►</v>
      </c>
      <c r="D356" s="44" t="str">
        <f t="shared" si="120"/>
        <v>►</v>
      </c>
      <c r="E356" s="43" t="str">
        <f t="shared" si="121"/>
        <v>►</v>
      </c>
      <c r="F356" s="43" t="str">
        <f t="shared" si="122"/>
        <v>►</v>
      </c>
      <c r="G356" s="43" t="str">
        <f t="shared" si="123"/>
        <v>►</v>
      </c>
      <c r="H356" s="1256" t="s">
        <v>1</v>
      </c>
      <c r="I356" s="5175" t="s">
        <v>1</v>
      </c>
      <c r="J356" s="5161"/>
      <c r="K356" s="5161"/>
      <c r="L356" s="5161"/>
      <c r="M356" s="5176"/>
      <c r="N356" s="5177"/>
      <c r="O356" s="147"/>
      <c r="P356" s="147"/>
      <c r="Q356" s="102"/>
      <c r="R356" s="102"/>
      <c r="S356" s="1360"/>
      <c r="T356" s="43"/>
      <c r="U356" s="42"/>
      <c r="V356" s="41"/>
      <c r="W356" s="40"/>
      <c r="X356" s="39"/>
      <c r="Y356" s="38"/>
      <c r="Z356" s="37"/>
      <c r="AA356" s="36"/>
      <c r="AB356" s="35"/>
      <c r="AC356" s="34"/>
      <c r="AD356" s="55"/>
      <c r="AE356" s="33"/>
      <c r="AF356"/>
      <c r="AG356" s="32"/>
      <c r="AH356" s="31"/>
      <c r="AI356" s="30"/>
      <c r="AJ356" s="5492">
        <f t="shared" si="125"/>
        <v>0</v>
      </c>
      <c r="AK356" s="29">
        <f t="shared" si="126"/>
        <v>0</v>
      </c>
      <c r="AL356" s="28" t="str">
        <f t="shared" si="127"/>
        <v/>
      </c>
      <c r="AM356" s="27"/>
      <c r="AN356" s="26">
        <f t="shared" si="128"/>
        <v>0</v>
      </c>
      <c r="AO356" s="25">
        <f t="shared" si="129"/>
        <v>0</v>
      </c>
      <c r="AP356" s="24">
        <f t="shared" si="130"/>
        <v>0</v>
      </c>
      <c r="AQ356" s="23"/>
      <c r="AR356" s="22">
        <f t="shared" si="131"/>
        <v>0</v>
      </c>
      <c r="AS356" s="21"/>
      <c r="AT356" s="13"/>
      <c r="AU356" s="46">
        <f t="shared" si="132"/>
        <v>0</v>
      </c>
      <c r="AV356"/>
      <c r="AW356"/>
      <c r="AX356"/>
      <c r="AY356"/>
      <c r="AZ356"/>
      <c r="BA356"/>
      <c r="BB356"/>
      <c r="BC356" s="3"/>
      <c r="BD356" s="3"/>
      <c r="BE356" s="3"/>
      <c r="BF356" s="3"/>
      <c r="BG356" s="3"/>
      <c r="BH356" s="3"/>
      <c r="BI356" s="3"/>
      <c r="BJ356" s="3"/>
      <c r="BK356" s="3"/>
      <c r="BL356" s="20" t="str">
        <f t="shared" si="124"/>
        <v>►</v>
      </c>
      <c r="BM356" s="3"/>
      <c r="BN356" s="2"/>
      <c r="BO356" s="2"/>
      <c r="BP356" s="2"/>
      <c r="BQ356" s="2"/>
      <c r="BR356" s="2"/>
      <c r="BS356"/>
      <c r="BT356"/>
      <c r="BU356"/>
      <c r="BV356"/>
      <c r="BW356"/>
      <c r="BX356"/>
      <c r="BY356"/>
      <c r="BZ356"/>
      <c r="CA356"/>
      <c r="CB356"/>
      <c r="CC356"/>
      <c r="CD356"/>
      <c r="CE356"/>
      <c r="CF356"/>
      <c r="CG356"/>
      <c r="CH356"/>
      <c r="CI356"/>
      <c r="CJ356"/>
      <c r="CK356"/>
      <c r="CL356"/>
      <c r="CM356"/>
      <c r="CN356"/>
      <c r="CO356" s="5">
        <v>1</v>
      </c>
    </row>
    <row r="357" spans="1:93" s="1" customFormat="1" ht="21" customHeight="1">
      <c r="A357" s="20" t="str">
        <f t="shared" si="133"/>
        <v>►</v>
      </c>
      <c r="B357" s="43" t="str">
        <f t="shared" si="118"/>
        <v>►</v>
      </c>
      <c r="C357" s="45" t="str">
        <f t="shared" si="119"/>
        <v>►</v>
      </c>
      <c r="D357" s="44" t="str">
        <f t="shared" si="120"/>
        <v>►</v>
      </c>
      <c r="E357" s="43" t="str">
        <f t="shared" si="121"/>
        <v>►</v>
      </c>
      <c r="F357" s="43" t="str">
        <f t="shared" si="122"/>
        <v>►</v>
      </c>
      <c r="G357" s="43" t="str">
        <f t="shared" si="123"/>
        <v>►</v>
      </c>
      <c r="H357" s="1256" t="s">
        <v>1</v>
      </c>
      <c r="I357" s="5175" t="s">
        <v>1</v>
      </c>
      <c r="J357" s="5161"/>
      <c r="K357" s="5161"/>
      <c r="L357" s="5161"/>
      <c r="M357" s="5176"/>
      <c r="N357" s="5177"/>
      <c r="O357" s="147"/>
      <c r="P357" s="147"/>
      <c r="Q357" s="102"/>
      <c r="R357" s="102"/>
      <c r="S357" s="1360"/>
      <c r="T357" s="43"/>
      <c r="U357" s="42"/>
      <c r="V357" s="41"/>
      <c r="W357" s="40"/>
      <c r="X357" s="39"/>
      <c r="Y357" s="38"/>
      <c r="Z357" s="37"/>
      <c r="AA357" s="36"/>
      <c r="AB357" s="35"/>
      <c r="AC357" s="34"/>
      <c r="AD357" s="55"/>
      <c r="AE357" s="33"/>
      <c r="AF357"/>
      <c r="AG357" s="32"/>
      <c r="AH357" s="31"/>
      <c r="AI357" s="30"/>
      <c r="AJ357" s="5492">
        <f t="shared" si="125"/>
        <v>0</v>
      </c>
      <c r="AK357" s="54">
        <f t="shared" si="126"/>
        <v>0</v>
      </c>
      <c r="AL357" s="53" t="str">
        <f t="shared" si="127"/>
        <v/>
      </c>
      <c r="AM357" s="52"/>
      <c r="AN357" s="51">
        <f t="shared" si="128"/>
        <v>0</v>
      </c>
      <c r="AO357" s="50">
        <f t="shared" si="129"/>
        <v>0</v>
      </c>
      <c r="AP357" s="49">
        <f t="shared" si="130"/>
        <v>0</v>
      </c>
      <c r="AQ357" s="23"/>
      <c r="AR357" s="48">
        <f t="shared" si="131"/>
        <v>0</v>
      </c>
      <c r="AS357" s="47"/>
      <c r="AT357" s="13"/>
      <c r="AU357" s="46">
        <f t="shared" si="132"/>
        <v>0</v>
      </c>
      <c r="AV357"/>
      <c r="AW357"/>
      <c r="AX357"/>
      <c r="AY357"/>
      <c r="AZ357"/>
      <c r="BA357"/>
      <c r="BB357"/>
      <c r="BC357" s="3"/>
      <c r="BD357" s="3"/>
      <c r="BE357" s="3"/>
      <c r="BF357" s="3"/>
      <c r="BG357" s="3"/>
      <c r="BH357" s="3"/>
      <c r="BI357" s="3"/>
      <c r="BJ357" s="3"/>
      <c r="BK357" s="3"/>
      <c r="BL357" s="20" t="str">
        <f t="shared" si="124"/>
        <v>►</v>
      </c>
      <c r="BM357" s="3"/>
      <c r="BN357" s="2"/>
      <c r="BO357" s="2"/>
      <c r="BP357" s="2"/>
      <c r="BQ357" s="2"/>
      <c r="BR357" s="2"/>
      <c r="BS357"/>
      <c r="BT357"/>
      <c r="BU357"/>
      <c r="BV357"/>
      <c r="BW357"/>
      <c r="BX357"/>
      <c r="BY357"/>
      <c r="BZ357"/>
      <c r="CA357"/>
      <c r="CB357"/>
      <c r="CC357"/>
      <c r="CD357"/>
      <c r="CE357"/>
      <c r="CF357"/>
      <c r="CG357"/>
      <c r="CH357"/>
      <c r="CI357"/>
      <c r="CJ357"/>
      <c r="CK357"/>
      <c r="CL357"/>
      <c r="CM357"/>
      <c r="CN357"/>
      <c r="CO357" s="5">
        <v>1</v>
      </c>
    </row>
    <row r="358" spans="1:93" s="1" customFormat="1" ht="21" customHeight="1">
      <c r="A358" s="20" t="str">
        <f t="shared" si="133"/>
        <v>►</v>
      </c>
      <c r="B358" s="43" t="str">
        <f t="shared" si="118"/>
        <v>►</v>
      </c>
      <c r="C358" s="45" t="str">
        <f t="shared" si="119"/>
        <v>►</v>
      </c>
      <c r="D358" s="44" t="str">
        <f t="shared" si="120"/>
        <v>►</v>
      </c>
      <c r="E358" s="43" t="str">
        <f t="shared" si="121"/>
        <v>►</v>
      </c>
      <c r="F358" s="43" t="str">
        <f t="shared" si="122"/>
        <v>►</v>
      </c>
      <c r="G358" s="43" t="str">
        <f t="shared" si="123"/>
        <v>►</v>
      </c>
      <c r="H358" s="1256" t="s">
        <v>1</v>
      </c>
      <c r="I358" s="5175" t="s">
        <v>1</v>
      </c>
      <c r="J358" s="5161"/>
      <c r="K358" s="5161"/>
      <c r="L358" s="5161"/>
      <c r="M358" s="5176"/>
      <c r="N358" s="5177"/>
      <c r="O358" s="147"/>
      <c r="P358" s="147"/>
      <c r="Q358" s="102"/>
      <c r="R358" s="102"/>
      <c r="S358" s="1360"/>
      <c r="T358" s="43"/>
      <c r="U358" s="42"/>
      <c r="V358" s="41"/>
      <c r="W358" s="40"/>
      <c r="X358" s="39"/>
      <c r="Y358" s="38"/>
      <c r="Z358" s="37"/>
      <c r="AA358" s="36"/>
      <c r="AB358" s="35"/>
      <c r="AC358" s="34"/>
      <c r="AD358" s="55"/>
      <c r="AE358" s="33"/>
      <c r="AF358"/>
      <c r="AG358" s="32"/>
      <c r="AH358" s="31"/>
      <c r="AI358" s="30"/>
      <c r="AJ358" s="5492">
        <f t="shared" si="125"/>
        <v>0</v>
      </c>
      <c r="AK358" s="29">
        <f t="shared" si="126"/>
        <v>0</v>
      </c>
      <c r="AL358" s="28" t="str">
        <f t="shared" si="127"/>
        <v/>
      </c>
      <c r="AM358" s="27"/>
      <c r="AN358" s="26">
        <f t="shared" si="128"/>
        <v>0</v>
      </c>
      <c r="AO358" s="25">
        <f t="shared" si="129"/>
        <v>0</v>
      </c>
      <c r="AP358" s="24">
        <f t="shared" si="130"/>
        <v>0</v>
      </c>
      <c r="AQ358" s="23"/>
      <c r="AR358" s="22">
        <f t="shared" si="131"/>
        <v>0</v>
      </c>
      <c r="AS358" s="21"/>
      <c r="AT358" s="13"/>
      <c r="AU358" s="46">
        <f t="shared" si="132"/>
        <v>0</v>
      </c>
      <c r="AV358"/>
      <c r="AW358"/>
      <c r="AX358"/>
      <c r="AY358"/>
      <c r="AZ358"/>
      <c r="BA358"/>
      <c r="BB358"/>
      <c r="BC358" s="3"/>
      <c r="BD358" s="3"/>
      <c r="BE358" s="3"/>
      <c r="BF358" s="3"/>
      <c r="BG358" s="3"/>
      <c r="BH358" s="3"/>
      <c r="BI358" s="3"/>
      <c r="BJ358" s="3"/>
      <c r="BK358" s="3"/>
      <c r="BL358" s="20" t="str">
        <f t="shared" si="124"/>
        <v>►</v>
      </c>
      <c r="BM358" s="3"/>
      <c r="BN358" s="2"/>
      <c r="BO358" s="2"/>
      <c r="BP358" s="2"/>
      <c r="BQ358" s="2"/>
      <c r="BR358" s="2"/>
      <c r="BS358"/>
      <c r="BT358"/>
      <c r="BU358"/>
      <c r="BV358"/>
      <c r="BW358"/>
      <c r="BX358"/>
      <c r="BY358"/>
      <c r="BZ358"/>
      <c r="CA358"/>
      <c r="CB358"/>
      <c r="CC358"/>
      <c r="CD358"/>
      <c r="CE358"/>
      <c r="CF358"/>
      <c r="CG358"/>
      <c r="CH358"/>
      <c r="CI358"/>
      <c r="CJ358"/>
      <c r="CK358"/>
      <c r="CL358"/>
      <c r="CM358"/>
      <c r="CN358"/>
      <c r="CO358" s="5">
        <v>1</v>
      </c>
    </row>
    <row r="359" spans="1:93" s="1" customFormat="1" ht="21" customHeight="1">
      <c r="A359" s="20" t="str">
        <f t="shared" si="133"/>
        <v>►</v>
      </c>
      <c r="B359" s="43" t="str">
        <f t="shared" si="118"/>
        <v>►</v>
      </c>
      <c r="C359" s="45" t="str">
        <f t="shared" si="119"/>
        <v>►</v>
      </c>
      <c r="D359" s="44" t="str">
        <f t="shared" si="120"/>
        <v>►</v>
      </c>
      <c r="E359" s="43" t="str">
        <f t="shared" si="121"/>
        <v>►</v>
      </c>
      <c r="F359" s="43" t="str">
        <f t="shared" si="122"/>
        <v>►</v>
      </c>
      <c r="G359" s="43" t="str">
        <f t="shared" si="123"/>
        <v>►</v>
      </c>
      <c r="H359" s="1256" t="s">
        <v>1</v>
      </c>
      <c r="I359" s="5175" t="s">
        <v>1</v>
      </c>
      <c r="J359" s="5161"/>
      <c r="K359" s="5161"/>
      <c r="L359" s="5161"/>
      <c r="M359" s="5176"/>
      <c r="N359" s="5177"/>
      <c r="O359" s="147"/>
      <c r="P359" s="147"/>
      <c r="Q359" s="102"/>
      <c r="R359" s="102"/>
      <c r="S359" s="1360"/>
      <c r="T359" s="43"/>
      <c r="U359" s="42"/>
      <c r="V359" s="41"/>
      <c r="W359" s="40"/>
      <c r="X359" s="39"/>
      <c r="Y359" s="38"/>
      <c r="Z359" s="37"/>
      <c r="AA359" s="36"/>
      <c r="AB359" s="35"/>
      <c r="AC359" s="34"/>
      <c r="AD359" s="55"/>
      <c r="AE359" s="33"/>
      <c r="AF359"/>
      <c r="AG359" s="32"/>
      <c r="AH359" s="31"/>
      <c r="AI359" s="30"/>
      <c r="AJ359" s="5492">
        <f t="shared" si="125"/>
        <v>0</v>
      </c>
      <c r="AK359" s="54">
        <f t="shared" si="126"/>
        <v>0</v>
      </c>
      <c r="AL359" s="53" t="str">
        <f t="shared" si="127"/>
        <v/>
      </c>
      <c r="AM359" s="52"/>
      <c r="AN359" s="51">
        <f t="shared" si="128"/>
        <v>0</v>
      </c>
      <c r="AO359" s="50">
        <f t="shared" si="129"/>
        <v>0</v>
      </c>
      <c r="AP359" s="49">
        <f t="shared" si="130"/>
        <v>0</v>
      </c>
      <c r="AQ359" s="23"/>
      <c r="AR359" s="48">
        <f t="shared" si="131"/>
        <v>0</v>
      </c>
      <c r="AS359" s="47"/>
      <c r="AT359" s="13"/>
      <c r="AU359" s="46">
        <f t="shared" si="132"/>
        <v>0</v>
      </c>
      <c r="AV359"/>
      <c r="AW359"/>
      <c r="AX359"/>
      <c r="AY359"/>
      <c r="AZ359"/>
      <c r="BA359"/>
      <c r="BB359"/>
      <c r="BC359" s="3"/>
      <c r="BD359" s="3"/>
      <c r="BE359" s="3"/>
      <c r="BF359" s="3"/>
      <c r="BG359" s="3"/>
      <c r="BH359" s="3"/>
      <c r="BI359" s="3"/>
      <c r="BJ359" s="3"/>
      <c r="BK359" s="3"/>
      <c r="BL359" s="20" t="str">
        <f t="shared" si="124"/>
        <v>►</v>
      </c>
      <c r="BM359" s="3"/>
      <c r="BN359" s="2"/>
      <c r="BO359" s="2"/>
      <c r="BP359" s="2"/>
      <c r="BQ359" s="2"/>
      <c r="BR359" s="2"/>
      <c r="BS359"/>
      <c r="BT359"/>
      <c r="BU359"/>
      <c r="BV359"/>
      <c r="BW359"/>
      <c r="BX359"/>
      <c r="BY359"/>
      <c r="BZ359"/>
      <c r="CA359"/>
      <c r="CB359"/>
      <c r="CC359"/>
      <c r="CD359"/>
      <c r="CE359"/>
      <c r="CF359"/>
      <c r="CG359"/>
      <c r="CH359"/>
      <c r="CI359"/>
      <c r="CJ359"/>
      <c r="CK359"/>
      <c r="CL359"/>
      <c r="CM359"/>
      <c r="CN359"/>
      <c r="CO359" s="5">
        <v>1</v>
      </c>
    </row>
    <row r="360" spans="1:93" s="1" customFormat="1" ht="21" customHeight="1">
      <c r="A360" s="20" t="str">
        <f t="shared" si="133"/>
        <v>►</v>
      </c>
      <c r="B360" s="43" t="str">
        <f t="shared" si="118"/>
        <v>►</v>
      </c>
      <c r="C360" s="45" t="str">
        <f t="shared" si="119"/>
        <v>►</v>
      </c>
      <c r="D360" s="44" t="str">
        <f t="shared" si="120"/>
        <v>►</v>
      </c>
      <c r="E360" s="43" t="str">
        <f t="shared" si="121"/>
        <v>►</v>
      </c>
      <c r="F360" s="43" t="str">
        <f t="shared" si="122"/>
        <v>►</v>
      </c>
      <c r="G360" s="43" t="str">
        <f t="shared" si="123"/>
        <v>►</v>
      </c>
      <c r="H360" s="1256" t="s">
        <v>1</v>
      </c>
      <c r="I360" s="5175" t="s">
        <v>1</v>
      </c>
      <c r="J360" s="5161"/>
      <c r="K360" s="5161"/>
      <c r="L360" s="5161"/>
      <c r="M360" s="5176"/>
      <c r="N360" s="5177"/>
      <c r="O360" s="147"/>
      <c r="P360" s="147"/>
      <c r="Q360" s="102"/>
      <c r="R360" s="102"/>
      <c r="S360" s="1360"/>
      <c r="T360" s="43"/>
      <c r="U360" s="42"/>
      <c r="V360" s="41"/>
      <c r="W360" s="40"/>
      <c r="X360" s="39"/>
      <c r="Y360" s="38"/>
      <c r="Z360" s="37"/>
      <c r="AA360" s="36"/>
      <c r="AB360" s="35"/>
      <c r="AC360" s="34"/>
      <c r="AD360" s="55"/>
      <c r="AE360" s="33"/>
      <c r="AF360"/>
      <c r="AG360" s="32"/>
      <c r="AH360" s="31"/>
      <c r="AI360" s="30"/>
      <c r="AJ360" s="5492">
        <f t="shared" si="125"/>
        <v>0</v>
      </c>
      <c r="AK360" s="29">
        <f t="shared" si="126"/>
        <v>0</v>
      </c>
      <c r="AL360" s="28" t="str">
        <f t="shared" si="127"/>
        <v/>
      </c>
      <c r="AM360" s="27"/>
      <c r="AN360" s="26">
        <f t="shared" si="128"/>
        <v>0</v>
      </c>
      <c r="AO360" s="25">
        <f t="shared" si="129"/>
        <v>0</v>
      </c>
      <c r="AP360" s="24">
        <f t="shared" si="130"/>
        <v>0</v>
      </c>
      <c r="AQ360" s="23"/>
      <c r="AR360" s="22">
        <f t="shared" si="131"/>
        <v>0</v>
      </c>
      <c r="AS360" s="21"/>
      <c r="AT360" s="13"/>
      <c r="AU360" s="46">
        <f t="shared" si="132"/>
        <v>0</v>
      </c>
      <c r="AV360"/>
      <c r="AW360"/>
      <c r="AX360"/>
      <c r="AY360"/>
      <c r="AZ360"/>
      <c r="BA360"/>
      <c r="BB360"/>
      <c r="BC360" s="3"/>
      <c r="BD360" s="3"/>
      <c r="BE360" s="3"/>
      <c r="BF360" s="3"/>
      <c r="BG360" s="3"/>
      <c r="BH360" s="3"/>
      <c r="BI360" s="3"/>
      <c r="BJ360" s="3"/>
      <c r="BK360" s="3"/>
      <c r="BL360" s="20" t="str">
        <f t="shared" si="124"/>
        <v>►</v>
      </c>
      <c r="BM360" s="3"/>
      <c r="BN360" s="2"/>
      <c r="BO360" s="2"/>
      <c r="BP360" s="2"/>
      <c r="BQ360" s="2"/>
      <c r="BR360" s="2"/>
      <c r="BS360"/>
      <c r="BT360"/>
      <c r="BU360"/>
      <c r="BV360"/>
      <c r="BW360"/>
      <c r="BX360"/>
      <c r="BY360"/>
      <c r="BZ360"/>
      <c r="CA360"/>
      <c r="CB360"/>
      <c r="CC360"/>
      <c r="CD360"/>
      <c r="CE360"/>
      <c r="CF360"/>
      <c r="CG360"/>
      <c r="CH360"/>
      <c r="CI360"/>
      <c r="CJ360"/>
      <c r="CK360"/>
      <c r="CL360"/>
      <c r="CM360"/>
      <c r="CN360"/>
      <c r="CO360" s="5">
        <v>1</v>
      </c>
    </row>
    <row r="361" spans="1:93" s="1" customFormat="1" ht="21" customHeight="1">
      <c r="A361" s="20" t="str">
        <f t="shared" si="133"/>
        <v>►</v>
      </c>
      <c r="B361" s="43" t="str">
        <f t="shared" si="118"/>
        <v>►</v>
      </c>
      <c r="C361" s="45" t="str">
        <f t="shared" si="119"/>
        <v>►</v>
      </c>
      <c r="D361" s="44" t="str">
        <f t="shared" si="120"/>
        <v>►</v>
      </c>
      <c r="E361" s="43" t="str">
        <f t="shared" si="121"/>
        <v>►</v>
      </c>
      <c r="F361" s="43" t="str">
        <f t="shared" si="122"/>
        <v>►</v>
      </c>
      <c r="G361" s="43" t="str">
        <f t="shared" si="123"/>
        <v>►</v>
      </c>
      <c r="H361" s="1256" t="s">
        <v>1</v>
      </c>
      <c r="I361" s="5175" t="s">
        <v>1</v>
      </c>
      <c r="J361" s="5161"/>
      <c r="K361" s="5161"/>
      <c r="L361" s="5161"/>
      <c r="M361" s="5176"/>
      <c r="N361" s="5177"/>
      <c r="O361" s="147"/>
      <c r="P361" s="147"/>
      <c r="Q361" s="102"/>
      <c r="R361" s="102"/>
      <c r="S361" s="1360"/>
      <c r="T361" s="43"/>
      <c r="U361" s="42"/>
      <c r="V361" s="41"/>
      <c r="W361" s="40"/>
      <c r="X361" s="39"/>
      <c r="Y361" s="38"/>
      <c r="Z361" s="37"/>
      <c r="AA361" s="36"/>
      <c r="AB361" s="35"/>
      <c r="AC361" s="34"/>
      <c r="AD361" s="55"/>
      <c r="AE361" s="33"/>
      <c r="AF361"/>
      <c r="AG361" s="32"/>
      <c r="AH361" s="31"/>
      <c r="AI361" s="30"/>
      <c r="AJ361" s="5492">
        <f t="shared" si="125"/>
        <v>0</v>
      </c>
      <c r="AK361" s="54">
        <f t="shared" si="126"/>
        <v>0</v>
      </c>
      <c r="AL361" s="53" t="str">
        <f t="shared" si="127"/>
        <v/>
      </c>
      <c r="AM361" s="52"/>
      <c r="AN361" s="51">
        <f t="shared" si="128"/>
        <v>0</v>
      </c>
      <c r="AO361" s="50">
        <f t="shared" si="129"/>
        <v>0</v>
      </c>
      <c r="AP361" s="49">
        <f t="shared" si="130"/>
        <v>0</v>
      </c>
      <c r="AQ361" s="23"/>
      <c r="AR361" s="48">
        <f t="shared" si="131"/>
        <v>0</v>
      </c>
      <c r="AS361" s="47"/>
      <c r="AT361" s="13"/>
      <c r="AU361" s="46">
        <f t="shared" si="132"/>
        <v>0</v>
      </c>
      <c r="AV361"/>
      <c r="AW361"/>
      <c r="AX361"/>
      <c r="AY361"/>
      <c r="AZ361"/>
      <c r="BA361"/>
      <c r="BB361"/>
      <c r="BC361" s="3"/>
      <c r="BD361" s="3"/>
      <c r="BE361" s="3"/>
      <c r="BF361" s="3"/>
      <c r="BG361" s="3"/>
      <c r="BH361" s="3"/>
      <c r="BI361" s="3"/>
      <c r="BJ361" s="3"/>
      <c r="BK361" s="3"/>
      <c r="BL361" s="20" t="str">
        <f t="shared" si="124"/>
        <v>►</v>
      </c>
      <c r="BM361" s="3"/>
      <c r="BN361" s="2"/>
      <c r="BO361" s="2"/>
      <c r="BP361" s="2"/>
      <c r="BQ361" s="2"/>
      <c r="BR361" s="2"/>
      <c r="BS361"/>
      <c r="BT361"/>
      <c r="BU361"/>
      <c r="BV361"/>
      <c r="BW361"/>
      <c r="BX361"/>
      <c r="BY361"/>
      <c r="BZ361"/>
      <c r="CA361"/>
      <c r="CB361"/>
      <c r="CC361"/>
      <c r="CD361"/>
      <c r="CE361"/>
      <c r="CF361"/>
      <c r="CG361"/>
      <c r="CH361"/>
      <c r="CI361"/>
      <c r="CJ361"/>
      <c r="CK361"/>
      <c r="CL361"/>
      <c r="CM361"/>
      <c r="CN361"/>
      <c r="CO361" s="5">
        <v>1</v>
      </c>
    </row>
    <row r="362" spans="1:93" s="1" customFormat="1" ht="21" customHeight="1">
      <c r="A362" s="20" t="str">
        <f t="shared" si="133"/>
        <v>►</v>
      </c>
      <c r="B362" s="43" t="str">
        <f t="shared" si="118"/>
        <v>►</v>
      </c>
      <c r="C362" s="45" t="str">
        <f t="shared" si="119"/>
        <v>►</v>
      </c>
      <c r="D362" s="44" t="str">
        <f t="shared" si="120"/>
        <v>►</v>
      </c>
      <c r="E362" s="43" t="str">
        <f t="shared" si="121"/>
        <v>►</v>
      </c>
      <c r="F362" s="43" t="str">
        <f t="shared" si="122"/>
        <v>►</v>
      </c>
      <c r="G362" s="43" t="str">
        <f t="shared" si="123"/>
        <v>►</v>
      </c>
      <c r="H362" s="1256" t="s">
        <v>1</v>
      </c>
      <c r="I362" s="5175" t="s">
        <v>1</v>
      </c>
      <c r="J362" s="5161"/>
      <c r="K362" s="5161"/>
      <c r="L362" s="5161"/>
      <c r="M362" s="5176"/>
      <c r="N362" s="5177"/>
      <c r="O362" s="147"/>
      <c r="P362" s="147"/>
      <c r="Q362" s="102"/>
      <c r="R362" s="102"/>
      <c r="S362" s="1360"/>
      <c r="T362" s="43"/>
      <c r="U362" s="42"/>
      <c r="V362" s="41"/>
      <c r="W362" s="40"/>
      <c r="X362" s="39"/>
      <c r="Y362" s="38"/>
      <c r="Z362" s="37"/>
      <c r="AA362" s="36"/>
      <c r="AB362" s="35"/>
      <c r="AC362" s="34"/>
      <c r="AD362" s="55"/>
      <c r="AE362" s="33"/>
      <c r="AF362"/>
      <c r="AG362" s="32"/>
      <c r="AH362" s="31"/>
      <c r="AI362" s="30"/>
      <c r="AJ362" s="5492">
        <f t="shared" si="125"/>
        <v>0</v>
      </c>
      <c r="AK362" s="29">
        <f t="shared" si="126"/>
        <v>0</v>
      </c>
      <c r="AL362" s="28" t="str">
        <f t="shared" si="127"/>
        <v/>
      </c>
      <c r="AM362" s="27"/>
      <c r="AN362" s="26">
        <f t="shared" si="128"/>
        <v>0</v>
      </c>
      <c r="AO362" s="25">
        <f t="shared" si="129"/>
        <v>0</v>
      </c>
      <c r="AP362" s="24">
        <f t="shared" si="130"/>
        <v>0</v>
      </c>
      <c r="AQ362" s="23"/>
      <c r="AR362" s="22">
        <f t="shared" si="131"/>
        <v>0</v>
      </c>
      <c r="AS362" s="21"/>
      <c r="AT362" s="13"/>
      <c r="AU362" s="46">
        <f t="shared" si="132"/>
        <v>0</v>
      </c>
      <c r="AV362"/>
      <c r="AW362"/>
      <c r="AX362"/>
      <c r="AY362"/>
      <c r="AZ362"/>
      <c r="BA362"/>
      <c r="BB362"/>
      <c r="BC362" s="3"/>
      <c r="BD362" s="3"/>
      <c r="BE362" s="3"/>
      <c r="BF362" s="3"/>
      <c r="BG362" s="3"/>
      <c r="BH362" s="3"/>
      <c r="BI362" s="3"/>
      <c r="BJ362" s="3"/>
      <c r="BK362" s="3"/>
      <c r="BL362" s="20" t="str">
        <f t="shared" si="124"/>
        <v>►</v>
      </c>
      <c r="BM362" s="3"/>
      <c r="BN362" s="2"/>
      <c r="BO362" s="2"/>
      <c r="BP362" s="2"/>
      <c r="BQ362" s="2"/>
      <c r="BR362" s="2"/>
      <c r="BS362"/>
      <c r="BT362"/>
      <c r="BU362"/>
      <c r="BV362"/>
      <c r="BW362"/>
      <c r="BX362"/>
      <c r="BY362"/>
      <c r="BZ362"/>
      <c r="CA362"/>
      <c r="CB362"/>
      <c r="CC362"/>
      <c r="CD362"/>
      <c r="CE362"/>
      <c r="CF362"/>
      <c r="CG362"/>
      <c r="CH362"/>
      <c r="CI362"/>
      <c r="CJ362"/>
      <c r="CK362"/>
      <c r="CL362"/>
      <c r="CM362"/>
      <c r="CN362"/>
      <c r="CO362" s="5">
        <v>1</v>
      </c>
    </row>
    <row r="363" spans="1:93" s="1" customFormat="1" ht="21" customHeight="1">
      <c r="A363" s="20" t="str">
        <f t="shared" si="133"/>
        <v>►</v>
      </c>
      <c r="B363" s="43" t="str">
        <f t="shared" si="118"/>
        <v>►</v>
      </c>
      <c r="C363" s="45" t="str">
        <f t="shared" si="119"/>
        <v>►</v>
      </c>
      <c r="D363" s="44" t="str">
        <f t="shared" si="120"/>
        <v>►</v>
      </c>
      <c r="E363" s="43" t="str">
        <f t="shared" si="121"/>
        <v>►</v>
      </c>
      <c r="F363" s="43" t="str">
        <f t="shared" si="122"/>
        <v>►</v>
      </c>
      <c r="G363" s="43" t="str">
        <f t="shared" si="123"/>
        <v>►</v>
      </c>
      <c r="H363" s="1256" t="s">
        <v>1</v>
      </c>
      <c r="I363" s="5175" t="s">
        <v>1</v>
      </c>
      <c r="J363" s="5161"/>
      <c r="K363" s="5161"/>
      <c r="L363" s="5161"/>
      <c r="M363" s="5176"/>
      <c r="N363" s="5177"/>
      <c r="O363" s="147"/>
      <c r="P363" s="147"/>
      <c r="Q363" s="102"/>
      <c r="R363" s="102"/>
      <c r="S363" s="1360"/>
      <c r="T363" s="43"/>
      <c r="U363" s="42"/>
      <c r="V363" s="41"/>
      <c r="W363" s="40"/>
      <c r="X363" s="39"/>
      <c r="Y363" s="38"/>
      <c r="Z363" s="37"/>
      <c r="AA363" s="36"/>
      <c r="AB363" s="35"/>
      <c r="AC363" s="34"/>
      <c r="AD363" s="55"/>
      <c r="AE363" s="33"/>
      <c r="AF363"/>
      <c r="AG363" s="32"/>
      <c r="AH363" s="31"/>
      <c r="AI363" s="30"/>
      <c r="AJ363" s="5492">
        <f t="shared" si="125"/>
        <v>0</v>
      </c>
      <c r="AK363" s="54">
        <f t="shared" si="126"/>
        <v>0</v>
      </c>
      <c r="AL363" s="53" t="str">
        <f t="shared" si="127"/>
        <v/>
      </c>
      <c r="AM363" s="52"/>
      <c r="AN363" s="51">
        <f t="shared" si="128"/>
        <v>0</v>
      </c>
      <c r="AO363" s="50">
        <f t="shared" si="129"/>
        <v>0</v>
      </c>
      <c r="AP363" s="49">
        <f t="shared" si="130"/>
        <v>0</v>
      </c>
      <c r="AQ363" s="23"/>
      <c r="AR363" s="48">
        <f t="shared" si="131"/>
        <v>0</v>
      </c>
      <c r="AS363" s="47"/>
      <c r="AT363" s="13"/>
      <c r="AU363" s="46">
        <f t="shared" si="132"/>
        <v>0</v>
      </c>
      <c r="AV363"/>
      <c r="AW363"/>
      <c r="AX363"/>
      <c r="AY363"/>
      <c r="AZ363"/>
      <c r="BA363"/>
      <c r="BB363"/>
      <c r="BC363" s="3"/>
      <c r="BD363" s="3"/>
      <c r="BE363" s="3"/>
      <c r="BF363" s="3"/>
      <c r="BG363" s="3"/>
      <c r="BH363" s="3"/>
      <c r="BI363" s="3"/>
      <c r="BJ363" s="3"/>
      <c r="BK363" s="3"/>
      <c r="BL363" s="20" t="str">
        <f t="shared" si="124"/>
        <v>►</v>
      </c>
      <c r="BM363" s="3"/>
      <c r="BN363" s="2"/>
      <c r="BO363" s="2"/>
      <c r="BP363" s="2"/>
      <c r="BQ363" s="2"/>
      <c r="BR363" s="2"/>
      <c r="BS363"/>
      <c r="BT363"/>
      <c r="BU363"/>
      <c r="BV363"/>
      <c r="BW363"/>
      <c r="BX363"/>
      <c r="BY363"/>
      <c r="BZ363"/>
      <c r="CA363"/>
      <c r="CB363"/>
      <c r="CC363"/>
      <c r="CD363"/>
      <c r="CE363"/>
      <c r="CF363"/>
      <c r="CG363"/>
      <c r="CH363"/>
      <c r="CI363"/>
      <c r="CJ363"/>
      <c r="CK363"/>
      <c r="CL363"/>
      <c r="CM363"/>
      <c r="CN363"/>
      <c r="CO363" s="5">
        <v>1</v>
      </c>
    </row>
    <row r="364" spans="1:93" s="1" customFormat="1" ht="21" customHeight="1">
      <c r="A364" s="20" t="str">
        <f t="shared" si="133"/>
        <v>►</v>
      </c>
      <c r="B364" s="43" t="str">
        <f t="shared" si="118"/>
        <v>►</v>
      </c>
      <c r="C364" s="45" t="str">
        <f t="shared" si="119"/>
        <v>►</v>
      </c>
      <c r="D364" s="44" t="str">
        <f t="shared" si="120"/>
        <v>►</v>
      </c>
      <c r="E364" s="43" t="str">
        <f t="shared" si="121"/>
        <v>►</v>
      </c>
      <c r="F364" s="43" t="str">
        <f t="shared" si="122"/>
        <v>►</v>
      </c>
      <c r="G364" s="43" t="str">
        <f t="shared" si="123"/>
        <v>►</v>
      </c>
      <c r="H364" s="1256" t="s">
        <v>1</v>
      </c>
      <c r="I364" s="5175" t="s">
        <v>1</v>
      </c>
      <c r="J364" s="5161"/>
      <c r="K364" s="5161"/>
      <c r="L364" s="5161"/>
      <c r="M364" s="5176"/>
      <c r="N364" s="5177"/>
      <c r="O364" s="147"/>
      <c r="P364" s="147"/>
      <c r="Q364" s="102"/>
      <c r="R364" s="102"/>
      <c r="S364" s="1360"/>
      <c r="T364" s="43"/>
      <c r="U364" s="42"/>
      <c r="V364" s="41"/>
      <c r="W364" s="40"/>
      <c r="X364" s="39"/>
      <c r="Y364" s="38"/>
      <c r="Z364" s="37"/>
      <c r="AA364" s="36"/>
      <c r="AB364" s="35"/>
      <c r="AC364" s="34"/>
      <c r="AD364" s="55"/>
      <c r="AE364" s="33"/>
      <c r="AF364"/>
      <c r="AG364" s="32"/>
      <c r="AH364" s="31"/>
      <c r="AI364" s="30"/>
      <c r="AJ364" s="5492">
        <f t="shared" si="125"/>
        <v>0</v>
      </c>
      <c r="AK364" s="29">
        <f t="shared" si="126"/>
        <v>0</v>
      </c>
      <c r="AL364" s="28" t="str">
        <f t="shared" si="127"/>
        <v/>
      </c>
      <c r="AM364" s="27"/>
      <c r="AN364" s="26">
        <f t="shared" si="128"/>
        <v>0</v>
      </c>
      <c r="AO364" s="25">
        <f t="shared" si="129"/>
        <v>0</v>
      </c>
      <c r="AP364" s="24">
        <f t="shared" si="130"/>
        <v>0</v>
      </c>
      <c r="AQ364" s="23"/>
      <c r="AR364" s="22">
        <f t="shared" si="131"/>
        <v>0</v>
      </c>
      <c r="AS364" s="21"/>
      <c r="AT364" s="13"/>
      <c r="AU364" s="46">
        <f t="shared" si="132"/>
        <v>0</v>
      </c>
      <c r="AV364"/>
      <c r="AW364"/>
      <c r="AX364"/>
      <c r="AY364"/>
      <c r="AZ364"/>
      <c r="BA364"/>
      <c r="BB364"/>
      <c r="BC364" s="3"/>
      <c r="BD364" s="3"/>
      <c r="BE364" s="3"/>
      <c r="BF364" s="3"/>
      <c r="BG364" s="3"/>
      <c r="BH364" s="3"/>
      <c r="BI364" s="3"/>
      <c r="BJ364" s="3"/>
      <c r="BK364" s="3"/>
      <c r="BL364" s="20" t="str">
        <f t="shared" si="124"/>
        <v>►</v>
      </c>
      <c r="BM364" s="3"/>
      <c r="BN364" s="2"/>
      <c r="BO364" s="2"/>
      <c r="BP364" s="2"/>
      <c r="BQ364" s="2"/>
      <c r="BR364" s="2"/>
      <c r="BS364"/>
      <c r="BT364"/>
      <c r="BU364"/>
      <c r="BV364"/>
      <c r="BW364"/>
      <c r="BX364"/>
      <c r="BY364"/>
      <c r="BZ364"/>
      <c r="CA364"/>
      <c r="CB364"/>
      <c r="CC364"/>
      <c r="CD364"/>
      <c r="CE364"/>
      <c r="CF364"/>
      <c r="CG364"/>
      <c r="CH364"/>
      <c r="CI364"/>
      <c r="CJ364"/>
      <c r="CK364"/>
      <c r="CL364"/>
      <c r="CM364"/>
      <c r="CN364"/>
      <c r="CO364" s="5">
        <v>1</v>
      </c>
    </row>
    <row r="365" spans="1:93" s="1" customFormat="1" ht="21" customHeight="1">
      <c r="A365" s="20" t="str">
        <f t="shared" si="133"/>
        <v>►</v>
      </c>
      <c r="B365" s="43" t="str">
        <f t="shared" si="118"/>
        <v>►</v>
      </c>
      <c r="C365" s="45" t="str">
        <f t="shared" si="119"/>
        <v>►</v>
      </c>
      <c r="D365" s="44" t="str">
        <f t="shared" si="120"/>
        <v>►</v>
      </c>
      <c r="E365" s="43" t="str">
        <f t="shared" si="121"/>
        <v>►</v>
      </c>
      <c r="F365" s="43" t="str">
        <f t="shared" si="122"/>
        <v>►</v>
      </c>
      <c r="G365" s="43" t="str">
        <f t="shared" si="123"/>
        <v>►</v>
      </c>
      <c r="H365" s="1256" t="s">
        <v>1</v>
      </c>
      <c r="I365" s="5175" t="s">
        <v>1</v>
      </c>
      <c r="J365" s="5161"/>
      <c r="K365" s="5161"/>
      <c r="L365" s="5161"/>
      <c r="M365" s="5176"/>
      <c r="N365" s="5177"/>
      <c r="O365" s="147"/>
      <c r="P365" s="147"/>
      <c r="Q365" s="102"/>
      <c r="R365" s="102"/>
      <c r="S365" s="1360"/>
      <c r="T365" s="43"/>
      <c r="U365" s="42"/>
      <c r="V365" s="41"/>
      <c r="W365" s="40"/>
      <c r="X365" s="39"/>
      <c r="Y365" s="38"/>
      <c r="Z365" s="37"/>
      <c r="AA365" s="36"/>
      <c r="AB365" s="35"/>
      <c r="AC365" s="34"/>
      <c r="AD365" s="55"/>
      <c r="AE365" s="33"/>
      <c r="AF365"/>
      <c r="AG365" s="32"/>
      <c r="AH365" s="31"/>
      <c r="AI365" s="30"/>
      <c r="AJ365" s="5492">
        <f t="shared" si="125"/>
        <v>0</v>
      </c>
      <c r="AK365" s="54">
        <f t="shared" si="126"/>
        <v>0</v>
      </c>
      <c r="AL365" s="53" t="str">
        <f t="shared" si="127"/>
        <v/>
      </c>
      <c r="AM365" s="52"/>
      <c r="AN365" s="51">
        <f t="shared" si="128"/>
        <v>0</v>
      </c>
      <c r="AO365" s="50">
        <f t="shared" si="129"/>
        <v>0</v>
      </c>
      <c r="AP365" s="49">
        <f t="shared" si="130"/>
        <v>0</v>
      </c>
      <c r="AQ365" s="23"/>
      <c r="AR365" s="48">
        <f t="shared" si="131"/>
        <v>0</v>
      </c>
      <c r="AS365" s="47"/>
      <c r="AT365" s="13"/>
      <c r="AU365" s="46">
        <f t="shared" si="132"/>
        <v>0</v>
      </c>
      <c r="AV365"/>
      <c r="AW365"/>
      <c r="AX365"/>
      <c r="AY365"/>
      <c r="AZ365"/>
      <c r="BA365"/>
      <c r="BB365"/>
      <c r="BC365" s="3"/>
      <c r="BD365" s="3"/>
      <c r="BE365" s="3"/>
      <c r="BF365" s="3"/>
      <c r="BG365" s="3"/>
      <c r="BH365" s="3"/>
      <c r="BI365" s="3"/>
      <c r="BJ365" s="3"/>
      <c r="BK365" s="3"/>
      <c r="BL365" s="20" t="str">
        <f t="shared" si="124"/>
        <v>►</v>
      </c>
      <c r="BM365" s="3"/>
      <c r="BN365" s="2"/>
      <c r="BO365" s="2"/>
      <c r="BP365" s="2"/>
      <c r="BQ365" s="2"/>
      <c r="BR365" s="2"/>
      <c r="BS365"/>
      <c r="BT365"/>
      <c r="BU365"/>
      <c r="BV365"/>
      <c r="BW365"/>
      <c r="BX365"/>
      <c r="BY365"/>
      <c r="BZ365"/>
      <c r="CA365"/>
      <c r="CB365"/>
      <c r="CC365"/>
      <c r="CD365"/>
      <c r="CE365"/>
      <c r="CF365"/>
      <c r="CG365"/>
      <c r="CH365"/>
      <c r="CI365"/>
      <c r="CJ365"/>
      <c r="CK365"/>
      <c r="CL365"/>
      <c r="CM365"/>
      <c r="CN365"/>
      <c r="CO365" s="5">
        <v>1</v>
      </c>
    </row>
    <row r="366" spans="1:93" s="1" customFormat="1" ht="21" customHeight="1">
      <c r="A366" s="20" t="str">
        <f t="shared" si="133"/>
        <v>►</v>
      </c>
      <c r="B366" s="43" t="str">
        <f t="shared" si="118"/>
        <v>►</v>
      </c>
      <c r="C366" s="45" t="str">
        <f t="shared" si="119"/>
        <v>►</v>
      </c>
      <c r="D366" s="44" t="str">
        <f t="shared" si="120"/>
        <v>►</v>
      </c>
      <c r="E366" s="43" t="str">
        <f t="shared" si="121"/>
        <v>►</v>
      </c>
      <c r="F366" s="43" t="str">
        <f t="shared" si="122"/>
        <v>►</v>
      </c>
      <c r="G366" s="43" t="str">
        <f t="shared" si="123"/>
        <v>►</v>
      </c>
      <c r="H366" s="1256" t="s">
        <v>1</v>
      </c>
      <c r="I366" s="5175" t="s">
        <v>1</v>
      </c>
      <c r="J366" s="5161"/>
      <c r="K366" s="5161"/>
      <c r="L366" s="5161"/>
      <c r="M366" s="5176"/>
      <c r="N366" s="5177"/>
      <c r="O366" s="147"/>
      <c r="P366" s="147"/>
      <c r="Q366" s="102"/>
      <c r="R366" s="102"/>
      <c r="S366" s="1360"/>
      <c r="T366" s="43"/>
      <c r="U366" s="42"/>
      <c r="V366" s="41"/>
      <c r="W366" s="40"/>
      <c r="X366" s="39"/>
      <c r="Y366" s="38"/>
      <c r="Z366" s="37"/>
      <c r="AA366" s="36"/>
      <c r="AB366" s="35"/>
      <c r="AC366" s="34"/>
      <c r="AD366" s="55"/>
      <c r="AE366" s="33"/>
      <c r="AF366"/>
      <c r="AG366" s="32"/>
      <c r="AH366" s="31"/>
      <c r="AI366" s="30"/>
      <c r="AJ366" s="5492">
        <f t="shared" si="125"/>
        <v>0</v>
      </c>
      <c r="AK366" s="29">
        <f t="shared" si="126"/>
        <v>0</v>
      </c>
      <c r="AL366" s="28" t="str">
        <f t="shared" si="127"/>
        <v/>
      </c>
      <c r="AM366" s="27"/>
      <c r="AN366" s="26">
        <f t="shared" si="128"/>
        <v>0</v>
      </c>
      <c r="AO366" s="25">
        <f t="shared" si="129"/>
        <v>0</v>
      </c>
      <c r="AP366" s="24">
        <f t="shared" si="130"/>
        <v>0</v>
      </c>
      <c r="AQ366" s="23"/>
      <c r="AR366" s="22">
        <f t="shared" si="131"/>
        <v>0</v>
      </c>
      <c r="AS366" s="21"/>
      <c r="AT366" s="13"/>
      <c r="AU366" s="46">
        <f t="shared" si="132"/>
        <v>0</v>
      </c>
      <c r="AV366"/>
      <c r="AW366"/>
      <c r="AX366"/>
      <c r="AY366"/>
      <c r="AZ366"/>
      <c r="BA366"/>
      <c r="BB366"/>
      <c r="BC366" s="3"/>
      <c r="BD366" s="3"/>
      <c r="BE366" s="3"/>
      <c r="BF366" s="3"/>
      <c r="BG366" s="3"/>
      <c r="BH366" s="3"/>
      <c r="BI366" s="3"/>
      <c r="BJ366" s="3"/>
      <c r="BK366" s="3"/>
      <c r="BL366" s="20" t="str">
        <f t="shared" si="124"/>
        <v>►</v>
      </c>
      <c r="BM366" s="3"/>
      <c r="BN366" s="2"/>
      <c r="BO366" s="2"/>
      <c r="BP366" s="2"/>
      <c r="BQ366" s="2"/>
      <c r="BR366" s="2"/>
      <c r="BS366"/>
      <c r="BT366"/>
      <c r="BU366"/>
      <c r="BV366"/>
      <c r="BW366"/>
      <c r="BX366"/>
      <c r="BY366"/>
      <c r="BZ366"/>
      <c r="CA366"/>
      <c r="CB366"/>
      <c r="CC366"/>
      <c r="CD366"/>
      <c r="CE366"/>
      <c r="CF366"/>
      <c r="CG366"/>
      <c r="CH366"/>
      <c r="CI366"/>
      <c r="CJ366"/>
      <c r="CK366"/>
      <c r="CL366"/>
      <c r="CM366"/>
      <c r="CN366"/>
      <c r="CO366" s="5">
        <v>1</v>
      </c>
    </row>
    <row r="367" spans="1:93" s="1" customFormat="1" ht="21" customHeight="1">
      <c r="A367" s="20" t="str">
        <f t="shared" si="133"/>
        <v>►</v>
      </c>
      <c r="B367" s="43" t="str">
        <f t="shared" si="118"/>
        <v>►</v>
      </c>
      <c r="C367" s="45" t="str">
        <f t="shared" si="119"/>
        <v>►</v>
      </c>
      <c r="D367" s="44" t="str">
        <f t="shared" si="120"/>
        <v>►</v>
      </c>
      <c r="E367" s="43" t="str">
        <f t="shared" si="121"/>
        <v>►</v>
      </c>
      <c r="F367" s="43" t="str">
        <f t="shared" si="122"/>
        <v>►</v>
      </c>
      <c r="G367" s="43" t="str">
        <f t="shared" si="123"/>
        <v>►</v>
      </c>
      <c r="H367" s="1256" t="s">
        <v>1</v>
      </c>
      <c r="I367" s="5175" t="s">
        <v>1</v>
      </c>
      <c r="J367" s="5161"/>
      <c r="K367" s="5161"/>
      <c r="L367" s="5161"/>
      <c r="M367" s="5176"/>
      <c r="N367" s="5177"/>
      <c r="O367" s="147"/>
      <c r="P367" s="147"/>
      <c r="Q367" s="102"/>
      <c r="R367" s="102"/>
      <c r="S367" s="1360"/>
      <c r="T367" s="43"/>
      <c r="U367" s="42"/>
      <c r="V367" s="41"/>
      <c r="W367" s="40"/>
      <c r="X367" s="39"/>
      <c r="Y367" s="38"/>
      <c r="Z367" s="37"/>
      <c r="AA367" s="36"/>
      <c r="AB367" s="35"/>
      <c r="AC367" s="34"/>
      <c r="AD367" s="55"/>
      <c r="AE367" s="33"/>
      <c r="AF367"/>
      <c r="AG367" s="32"/>
      <c r="AH367" s="31"/>
      <c r="AI367" s="30"/>
      <c r="AJ367" s="5492">
        <f t="shared" si="125"/>
        <v>0</v>
      </c>
      <c r="AK367" s="54">
        <f t="shared" si="126"/>
        <v>0</v>
      </c>
      <c r="AL367" s="53" t="str">
        <f t="shared" si="127"/>
        <v/>
      </c>
      <c r="AM367" s="52"/>
      <c r="AN367" s="51">
        <f t="shared" si="128"/>
        <v>0</v>
      </c>
      <c r="AO367" s="50">
        <f t="shared" si="129"/>
        <v>0</v>
      </c>
      <c r="AP367" s="49">
        <f t="shared" si="130"/>
        <v>0</v>
      </c>
      <c r="AQ367" s="23"/>
      <c r="AR367" s="48">
        <f t="shared" si="131"/>
        <v>0</v>
      </c>
      <c r="AS367" s="47"/>
      <c r="AT367" s="13"/>
      <c r="AU367" s="46">
        <f t="shared" si="132"/>
        <v>0</v>
      </c>
      <c r="AV367"/>
      <c r="AW367"/>
      <c r="AX367"/>
      <c r="AY367"/>
      <c r="AZ367"/>
      <c r="BA367"/>
      <c r="BB367"/>
      <c r="BC367" s="3"/>
      <c r="BD367" s="3"/>
      <c r="BE367" s="3"/>
      <c r="BF367" s="3"/>
      <c r="BG367" s="3"/>
      <c r="BH367" s="3"/>
      <c r="BI367" s="3"/>
      <c r="BJ367" s="3"/>
      <c r="BK367" s="3"/>
      <c r="BL367" s="20" t="str">
        <f t="shared" si="124"/>
        <v>►</v>
      </c>
      <c r="BM367" s="3"/>
      <c r="BN367" s="2"/>
      <c r="BO367" s="2"/>
      <c r="BP367" s="2"/>
      <c r="BQ367" s="2"/>
      <c r="BR367" s="2"/>
      <c r="BS367"/>
      <c r="BT367"/>
      <c r="BU367"/>
      <c r="BV367"/>
      <c r="BW367"/>
      <c r="BX367"/>
      <c r="BY367"/>
      <c r="BZ367"/>
      <c r="CA367"/>
      <c r="CB367"/>
      <c r="CC367"/>
      <c r="CD367"/>
      <c r="CE367"/>
      <c r="CF367"/>
      <c r="CG367"/>
      <c r="CH367"/>
      <c r="CI367"/>
      <c r="CJ367"/>
      <c r="CK367"/>
      <c r="CL367"/>
      <c r="CM367"/>
      <c r="CN367"/>
      <c r="CO367" s="5">
        <v>1</v>
      </c>
    </row>
    <row r="368" spans="1:93" s="1" customFormat="1" ht="21" customHeight="1">
      <c r="A368" s="20" t="str">
        <f t="shared" si="133"/>
        <v>►</v>
      </c>
      <c r="B368" s="43" t="str">
        <f t="shared" si="118"/>
        <v>►</v>
      </c>
      <c r="C368" s="45" t="str">
        <f t="shared" si="119"/>
        <v>►</v>
      </c>
      <c r="D368" s="44" t="str">
        <f t="shared" si="120"/>
        <v>►</v>
      </c>
      <c r="E368" s="43" t="str">
        <f t="shared" si="121"/>
        <v>►</v>
      </c>
      <c r="F368" s="43" t="str">
        <f t="shared" si="122"/>
        <v>►</v>
      </c>
      <c r="G368" s="43" t="str">
        <f t="shared" si="123"/>
        <v>►</v>
      </c>
      <c r="H368" s="1256" t="s">
        <v>1</v>
      </c>
      <c r="I368" s="5175" t="s">
        <v>1</v>
      </c>
      <c r="J368" s="5161"/>
      <c r="K368" s="5161"/>
      <c r="L368" s="5161"/>
      <c r="M368" s="5176"/>
      <c r="N368" s="5177"/>
      <c r="O368" s="147"/>
      <c r="P368" s="147"/>
      <c r="Q368" s="102"/>
      <c r="R368" s="102"/>
      <c r="S368" s="1360"/>
      <c r="T368" s="43"/>
      <c r="U368" s="42"/>
      <c r="V368" s="41"/>
      <c r="W368" s="40"/>
      <c r="X368" s="39"/>
      <c r="Y368" s="38"/>
      <c r="Z368" s="37"/>
      <c r="AA368" s="36"/>
      <c r="AB368" s="35"/>
      <c r="AC368" s="34"/>
      <c r="AD368" s="55"/>
      <c r="AE368" s="33"/>
      <c r="AF368"/>
      <c r="AG368" s="32"/>
      <c r="AH368" s="31"/>
      <c r="AI368" s="30"/>
      <c r="AJ368" s="5492">
        <f t="shared" si="125"/>
        <v>0</v>
      </c>
      <c r="AK368" s="29">
        <f t="shared" si="126"/>
        <v>0</v>
      </c>
      <c r="AL368" s="28" t="str">
        <f t="shared" si="127"/>
        <v/>
      </c>
      <c r="AM368" s="27"/>
      <c r="AN368" s="26">
        <f t="shared" si="128"/>
        <v>0</v>
      </c>
      <c r="AO368" s="25">
        <f t="shared" si="129"/>
        <v>0</v>
      </c>
      <c r="AP368" s="24">
        <f t="shared" si="130"/>
        <v>0</v>
      </c>
      <c r="AQ368" s="23"/>
      <c r="AR368" s="22">
        <f t="shared" si="131"/>
        <v>0</v>
      </c>
      <c r="AS368" s="21"/>
      <c r="AT368" s="13"/>
      <c r="AU368" s="46">
        <f t="shared" si="132"/>
        <v>0</v>
      </c>
      <c r="AV368"/>
      <c r="AW368"/>
      <c r="AX368"/>
      <c r="AY368"/>
      <c r="AZ368"/>
      <c r="BA368"/>
      <c r="BB368"/>
      <c r="BC368" s="3"/>
      <c r="BD368" s="3"/>
      <c r="BE368" s="3"/>
      <c r="BF368" s="3"/>
      <c r="BG368" s="3"/>
      <c r="BH368" s="3"/>
      <c r="BI368" s="3"/>
      <c r="BJ368" s="3"/>
      <c r="BK368" s="3"/>
      <c r="BL368" s="20" t="str">
        <f t="shared" si="124"/>
        <v>►</v>
      </c>
      <c r="BM368" s="3"/>
      <c r="BN368" s="2"/>
      <c r="BO368" s="2"/>
      <c r="BP368" s="2"/>
      <c r="BQ368" s="2"/>
      <c r="BR368" s="2"/>
      <c r="BS368"/>
      <c r="BT368"/>
      <c r="BU368"/>
      <c r="BV368"/>
      <c r="BW368"/>
      <c r="BX368"/>
      <c r="BY368"/>
      <c r="BZ368"/>
      <c r="CA368"/>
      <c r="CB368"/>
      <c r="CC368"/>
      <c r="CD368"/>
      <c r="CE368"/>
      <c r="CF368"/>
      <c r="CG368"/>
      <c r="CH368"/>
      <c r="CI368"/>
      <c r="CJ368"/>
      <c r="CK368"/>
      <c r="CL368"/>
      <c r="CM368"/>
      <c r="CN368"/>
      <c r="CO368" s="5">
        <v>1</v>
      </c>
    </row>
    <row r="369" spans="1:93" s="1" customFormat="1" ht="21" customHeight="1">
      <c r="A369" s="20" t="str">
        <f t="shared" si="133"/>
        <v>►</v>
      </c>
      <c r="B369" s="43" t="str">
        <f t="shared" si="118"/>
        <v>►</v>
      </c>
      <c r="C369" s="45" t="str">
        <f t="shared" si="119"/>
        <v>►</v>
      </c>
      <c r="D369" s="44" t="str">
        <f t="shared" si="120"/>
        <v>►</v>
      </c>
      <c r="E369" s="43" t="str">
        <f t="shared" si="121"/>
        <v>►</v>
      </c>
      <c r="F369" s="43" t="str">
        <f t="shared" si="122"/>
        <v>►</v>
      </c>
      <c r="G369" s="43" t="str">
        <f t="shared" si="123"/>
        <v>►</v>
      </c>
      <c r="H369" s="1256" t="s">
        <v>1</v>
      </c>
      <c r="I369" s="5175" t="s">
        <v>1</v>
      </c>
      <c r="J369" s="5161"/>
      <c r="K369" s="5161"/>
      <c r="L369" s="5161"/>
      <c r="M369" s="5176"/>
      <c r="N369" s="5177"/>
      <c r="O369" s="147"/>
      <c r="P369" s="147"/>
      <c r="Q369" s="102"/>
      <c r="R369" s="102"/>
      <c r="S369" s="1360"/>
      <c r="T369" s="43"/>
      <c r="U369" s="42"/>
      <c r="V369" s="41"/>
      <c r="W369" s="40"/>
      <c r="X369" s="39"/>
      <c r="Y369" s="38"/>
      <c r="Z369" s="37"/>
      <c r="AA369" s="36"/>
      <c r="AB369" s="35"/>
      <c r="AC369" s="34"/>
      <c r="AD369" s="55"/>
      <c r="AE369" s="33"/>
      <c r="AF369"/>
      <c r="AG369" s="32"/>
      <c r="AH369" s="31"/>
      <c r="AI369" s="30"/>
      <c r="AJ369" s="5492">
        <f t="shared" si="125"/>
        <v>0</v>
      </c>
      <c r="AK369" s="54">
        <f t="shared" si="126"/>
        <v>0</v>
      </c>
      <c r="AL369" s="53" t="str">
        <f t="shared" si="127"/>
        <v/>
      </c>
      <c r="AM369" s="52"/>
      <c r="AN369" s="51">
        <f t="shared" si="128"/>
        <v>0</v>
      </c>
      <c r="AO369" s="50">
        <f t="shared" si="129"/>
        <v>0</v>
      </c>
      <c r="AP369" s="49">
        <f t="shared" si="130"/>
        <v>0</v>
      </c>
      <c r="AQ369" s="23"/>
      <c r="AR369" s="48">
        <f t="shared" si="131"/>
        <v>0</v>
      </c>
      <c r="AS369" s="47"/>
      <c r="AT369" s="13"/>
      <c r="AU369" s="46">
        <f t="shared" si="132"/>
        <v>0</v>
      </c>
      <c r="AV369"/>
      <c r="AW369"/>
      <c r="AX369"/>
      <c r="AY369"/>
      <c r="AZ369"/>
      <c r="BA369"/>
      <c r="BB369"/>
      <c r="BC369" s="3"/>
      <c r="BD369" s="3"/>
      <c r="BE369" s="3"/>
      <c r="BF369" s="3"/>
      <c r="BG369" s="3"/>
      <c r="BH369" s="3"/>
      <c r="BI369" s="3"/>
      <c r="BJ369" s="3"/>
      <c r="BK369" s="3"/>
      <c r="BL369" s="20" t="str">
        <f t="shared" si="124"/>
        <v>►</v>
      </c>
      <c r="BM369" s="3"/>
      <c r="BN369" s="2"/>
      <c r="BO369" s="2"/>
      <c r="BP369" s="2"/>
      <c r="BQ369" s="2"/>
      <c r="BR369" s="2"/>
      <c r="BS369"/>
      <c r="BT369"/>
      <c r="BU369"/>
      <c r="BV369"/>
      <c r="BW369"/>
      <c r="BX369"/>
      <c r="BY369"/>
      <c r="BZ369"/>
      <c r="CA369"/>
      <c r="CB369"/>
      <c r="CC369"/>
      <c r="CD369"/>
      <c r="CE369"/>
      <c r="CF369"/>
      <c r="CG369"/>
      <c r="CH369"/>
      <c r="CI369"/>
      <c r="CJ369"/>
      <c r="CK369"/>
      <c r="CL369"/>
      <c r="CM369"/>
      <c r="CN369"/>
      <c r="CO369" s="5">
        <v>1</v>
      </c>
    </row>
    <row r="370" spans="1:93" s="1" customFormat="1" ht="21" customHeight="1">
      <c r="A370" s="20" t="str">
        <f t="shared" si="133"/>
        <v>►</v>
      </c>
      <c r="B370" s="43" t="str">
        <f t="shared" si="118"/>
        <v>►</v>
      </c>
      <c r="C370" s="45" t="str">
        <f t="shared" si="119"/>
        <v>►</v>
      </c>
      <c r="D370" s="44" t="str">
        <f t="shared" si="120"/>
        <v>►</v>
      </c>
      <c r="E370" s="43" t="str">
        <f t="shared" si="121"/>
        <v>►</v>
      </c>
      <c r="F370" s="43" t="str">
        <f t="shared" si="122"/>
        <v>►</v>
      </c>
      <c r="G370" s="43" t="str">
        <f t="shared" si="123"/>
        <v>►</v>
      </c>
      <c r="H370" s="1256" t="s">
        <v>1</v>
      </c>
      <c r="I370" s="5175" t="s">
        <v>1</v>
      </c>
      <c r="J370" s="5161"/>
      <c r="K370" s="5161"/>
      <c r="L370" s="5161"/>
      <c r="M370" s="5176"/>
      <c r="N370" s="5177"/>
      <c r="O370" s="147"/>
      <c r="P370" s="147"/>
      <c r="Q370" s="102"/>
      <c r="R370" s="102"/>
      <c r="S370" s="1360"/>
      <c r="T370" s="43"/>
      <c r="U370" s="42"/>
      <c r="V370" s="41"/>
      <c r="W370" s="40"/>
      <c r="X370" s="39"/>
      <c r="Y370" s="38"/>
      <c r="Z370" s="37"/>
      <c r="AA370" s="36"/>
      <c r="AB370" s="35"/>
      <c r="AC370" s="34"/>
      <c r="AD370" s="55"/>
      <c r="AE370" s="33"/>
      <c r="AF370"/>
      <c r="AG370" s="32"/>
      <c r="AH370" s="31"/>
      <c r="AI370" s="30"/>
      <c r="AJ370" s="5492">
        <f t="shared" si="125"/>
        <v>0</v>
      </c>
      <c r="AK370" s="29">
        <f t="shared" si="126"/>
        <v>0</v>
      </c>
      <c r="AL370" s="28" t="str">
        <f t="shared" si="127"/>
        <v/>
      </c>
      <c r="AM370" s="27"/>
      <c r="AN370" s="26">
        <f t="shared" si="128"/>
        <v>0</v>
      </c>
      <c r="AO370" s="25">
        <f t="shared" si="129"/>
        <v>0</v>
      </c>
      <c r="AP370" s="24">
        <f t="shared" si="130"/>
        <v>0</v>
      </c>
      <c r="AQ370" s="23"/>
      <c r="AR370" s="22">
        <f t="shared" si="131"/>
        <v>0</v>
      </c>
      <c r="AS370" s="21"/>
      <c r="AT370" s="13"/>
      <c r="AU370" s="46">
        <f t="shared" si="132"/>
        <v>0</v>
      </c>
      <c r="AV370"/>
      <c r="AW370"/>
      <c r="AX370"/>
      <c r="AY370"/>
      <c r="AZ370"/>
      <c r="BA370"/>
      <c r="BB370"/>
      <c r="BC370" s="3"/>
      <c r="BD370" s="3"/>
      <c r="BE370" s="3"/>
      <c r="BF370" s="3"/>
      <c r="BG370" s="3"/>
      <c r="BH370" s="3"/>
      <c r="BI370" s="3"/>
      <c r="BJ370" s="3"/>
      <c r="BK370" s="3"/>
      <c r="BL370" s="20" t="str">
        <f t="shared" si="124"/>
        <v>►</v>
      </c>
      <c r="BM370" s="3"/>
      <c r="BN370" s="2"/>
      <c r="BO370" s="2"/>
      <c r="BP370" s="2"/>
      <c r="BQ370" s="2"/>
      <c r="BR370" s="2"/>
      <c r="BS370"/>
      <c r="BT370"/>
      <c r="BU370"/>
      <c r="BV370"/>
      <c r="BW370"/>
      <c r="BX370"/>
      <c r="BY370"/>
      <c r="BZ370"/>
      <c r="CA370"/>
      <c r="CB370"/>
      <c r="CC370"/>
      <c r="CD370"/>
      <c r="CE370"/>
      <c r="CF370"/>
      <c r="CG370"/>
      <c r="CH370"/>
      <c r="CI370"/>
      <c r="CJ370"/>
      <c r="CK370"/>
      <c r="CL370"/>
      <c r="CM370"/>
      <c r="CN370"/>
      <c r="CO370" s="5">
        <v>1</v>
      </c>
    </row>
    <row r="371" spans="1:93" s="1" customFormat="1" ht="21" customHeight="1">
      <c r="A371" s="20" t="str">
        <f t="shared" si="133"/>
        <v>►</v>
      </c>
      <c r="B371" s="43" t="str">
        <f t="shared" ref="B371:B434" si="134">IF(A371="►","►",IF(A371="A",IF(AND(ISTEXT(V371),ISTEXT(J371)),V371,IF(ISTEXT(V371),V371,IF(ISBLANK(V371),J371,V371)))))</f>
        <v>►</v>
      </c>
      <c r="C371" s="45" t="str">
        <f t="shared" si="119"/>
        <v>►</v>
      </c>
      <c r="D371" s="44" t="str">
        <f t="shared" si="120"/>
        <v>►</v>
      </c>
      <c r="E371" s="43" t="str">
        <f t="shared" si="121"/>
        <v>►</v>
      </c>
      <c r="F371" s="43" t="str">
        <f t="shared" si="122"/>
        <v>►</v>
      </c>
      <c r="G371" s="43" t="str">
        <f t="shared" si="123"/>
        <v>►</v>
      </c>
      <c r="H371" s="1256" t="s">
        <v>1</v>
      </c>
      <c r="I371" s="5175" t="s">
        <v>1</v>
      </c>
      <c r="J371" s="5161"/>
      <c r="K371" s="5161"/>
      <c r="L371" s="5161"/>
      <c r="M371" s="5176"/>
      <c r="N371" s="5177"/>
      <c r="O371" s="147"/>
      <c r="P371" s="147"/>
      <c r="Q371" s="102"/>
      <c r="R371" s="102"/>
      <c r="S371" s="1360"/>
      <c r="T371" s="43"/>
      <c r="U371" s="42"/>
      <c r="V371" s="41"/>
      <c r="W371" s="40"/>
      <c r="X371" s="39"/>
      <c r="Y371" s="38"/>
      <c r="Z371" s="37"/>
      <c r="AA371" s="36"/>
      <c r="AB371" s="35"/>
      <c r="AC371" s="34"/>
      <c r="AD371" s="55"/>
      <c r="AE371" s="33"/>
      <c r="AF371"/>
      <c r="AG371" s="32"/>
      <c r="AH371" s="31"/>
      <c r="AI371" s="30"/>
      <c r="AJ371" s="5492">
        <f t="shared" si="125"/>
        <v>0</v>
      </c>
      <c r="AK371" s="54">
        <f t="shared" si="126"/>
        <v>0</v>
      </c>
      <c r="AL371" s="53" t="str">
        <f t="shared" si="127"/>
        <v/>
      </c>
      <c r="AM371" s="52"/>
      <c r="AN371" s="51">
        <f t="shared" si="128"/>
        <v>0</v>
      </c>
      <c r="AO371" s="50">
        <f t="shared" si="129"/>
        <v>0</v>
      </c>
      <c r="AP371" s="49">
        <f t="shared" si="130"/>
        <v>0</v>
      </c>
      <c r="AQ371" s="23"/>
      <c r="AR371" s="48">
        <f t="shared" si="131"/>
        <v>0</v>
      </c>
      <c r="AS371" s="47"/>
      <c r="AT371" s="13"/>
      <c r="AU371" s="46">
        <f t="shared" si="132"/>
        <v>0</v>
      </c>
      <c r="AV371"/>
      <c r="AW371"/>
      <c r="AX371"/>
      <c r="AY371"/>
      <c r="AZ371"/>
      <c r="BA371"/>
      <c r="BB371"/>
      <c r="BC371" s="3"/>
      <c r="BD371" s="3"/>
      <c r="BE371" s="3"/>
      <c r="BF371" s="3"/>
      <c r="BG371" s="3"/>
      <c r="BH371" s="3"/>
      <c r="BI371" s="3"/>
      <c r="BJ371" s="3"/>
      <c r="BK371" s="3"/>
      <c r="BL371" s="20" t="str">
        <f t="shared" si="124"/>
        <v>►</v>
      </c>
      <c r="BM371" s="3"/>
      <c r="BN371" s="2"/>
      <c r="BO371" s="2"/>
      <c r="BP371" s="2"/>
      <c r="BQ371" s="2"/>
      <c r="BR371" s="2"/>
      <c r="BS371"/>
      <c r="BT371"/>
      <c r="BU371"/>
      <c r="BV371"/>
      <c r="BW371"/>
      <c r="BX371"/>
      <c r="BY371"/>
      <c r="BZ371"/>
      <c r="CA371"/>
      <c r="CB371"/>
      <c r="CC371"/>
      <c r="CD371"/>
      <c r="CE371"/>
      <c r="CF371"/>
      <c r="CG371"/>
      <c r="CH371"/>
      <c r="CI371"/>
      <c r="CJ371"/>
      <c r="CK371"/>
      <c r="CL371"/>
      <c r="CM371"/>
      <c r="CN371"/>
      <c r="CO371" s="5">
        <v>1</v>
      </c>
    </row>
    <row r="372" spans="1:93" s="1" customFormat="1" ht="21" customHeight="1">
      <c r="A372" s="20" t="str">
        <f t="shared" si="133"/>
        <v>►</v>
      </c>
      <c r="B372" s="43" t="str">
        <f t="shared" si="134"/>
        <v>►</v>
      </c>
      <c r="C372" s="45" t="str">
        <f t="shared" si="119"/>
        <v>►</v>
      </c>
      <c r="D372" s="44" t="str">
        <f t="shared" si="120"/>
        <v>►</v>
      </c>
      <c r="E372" s="43" t="str">
        <f t="shared" si="121"/>
        <v>►</v>
      </c>
      <c r="F372" s="43" t="str">
        <f t="shared" si="122"/>
        <v>►</v>
      </c>
      <c r="G372" s="43" t="str">
        <f t="shared" si="123"/>
        <v>►</v>
      </c>
      <c r="H372" s="1256" t="s">
        <v>1</v>
      </c>
      <c r="I372" s="5175" t="s">
        <v>1</v>
      </c>
      <c r="J372" s="5161"/>
      <c r="K372" s="5161"/>
      <c r="L372" s="5161"/>
      <c r="M372" s="5176"/>
      <c r="N372" s="5177"/>
      <c r="O372" s="147"/>
      <c r="P372" s="147"/>
      <c r="Q372" s="102"/>
      <c r="R372" s="102"/>
      <c r="S372" s="1360"/>
      <c r="T372" s="43"/>
      <c r="U372" s="42"/>
      <c r="V372" s="41"/>
      <c r="W372" s="40"/>
      <c r="X372" s="39"/>
      <c r="Y372" s="38"/>
      <c r="Z372" s="37"/>
      <c r="AA372" s="36"/>
      <c r="AB372" s="35"/>
      <c r="AC372" s="34"/>
      <c r="AD372" s="55"/>
      <c r="AE372" s="33"/>
      <c r="AF372"/>
      <c r="AG372" s="32"/>
      <c r="AH372" s="31"/>
      <c r="AI372" s="30"/>
      <c r="AJ372" s="5492">
        <f t="shared" si="125"/>
        <v>0</v>
      </c>
      <c r="AK372" s="29">
        <f t="shared" si="126"/>
        <v>0</v>
      </c>
      <c r="AL372" s="28" t="str">
        <f t="shared" si="127"/>
        <v/>
      </c>
      <c r="AM372" s="27"/>
      <c r="AN372" s="26">
        <f t="shared" si="128"/>
        <v>0</v>
      </c>
      <c r="AO372" s="25">
        <f t="shared" si="129"/>
        <v>0</v>
      </c>
      <c r="AP372" s="24">
        <f t="shared" si="130"/>
        <v>0</v>
      </c>
      <c r="AQ372" s="23"/>
      <c r="AR372" s="22">
        <f t="shared" si="131"/>
        <v>0</v>
      </c>
      <c r="AS372" s="21"/>
      <c r="AT372" s="13"/>
      <c r="AU372" s="46">
        <f t="shared" si="132"/>
        <v>0</v>
      </c>
      <c r="AV372"/>
      <c r="AW372"/>
      <c r="AX372"/>
      <c r="AY372"/>
      <c r="AZ372"/>
      <c r="BA372"/>
      <c r="BB372"/>
      <c r="BC372" s="3"/>
      <c r="BD372" s="3"/>
      <c r="BE372" s="3"/>
      <c r="BF372" s="3"/>
      <c r="BG372" s="3"/>
      <c r="BH372" s="3"/>
      <c r="BI372" s="3"/>
      <c r="BJ372" s="3"/>
      <c r="BK372" s="3"/>
      <c r="BL372" s="20" t="str">
        <f t="shared" si="124"/>
        <v>►</v>
      </c>
      <c r="BM372" s="3"/>
      <c r="BN372" s="2"/>
      <c r="BO372" s="2"/>
      <c r="BP372" s="2"/>
      <c r="BQ372" s="2"/>
      <c r="BR372" s="2"/>
      <c r="BS372"/>
      <c r="BT372"/>
      <c r="BU372"/>
      <c r="BV372"/>
      <c r="BW372"/>
      <c r="BX372"/>
      <c r="BY372"/>
      <c r="BZ372"/>
      <c r="CA372"/>
      <c r="CB372"/>
      <c r="CC372"/>
      <c r="CD372"/>
      <c r="CE372"/>
      <c r="CF372"/>
      <c r="CG372"/>
      <c r="CH372"/>
      <c r="CI372"/>
      <c r="CJ372"/>
      <c r="CK372"/>
      <c r="CL372"/>
      <c r="CM372"/>
      <c r="CN372"/>
      <c r="CO372" s="5">
        <v>1</v>
      </c>
    </row>
    <row r="373" spans="1:93" s="1" customFormat="1" ht="21" customHeight="1">
      <c r="A373" s="20" t="str">
        <f t="shared" si="133"/>
        <v>►</v>
      </c>
      <c r="B373" s="43" t="str">
        <f t="shared" si="134"/>
        <v>►</v>
      </c>
      <c r="C373" s="45" t="str">
        <f t="shared" si="119"/>
        <v>►</v>
      </c>
      <c r="D373" s="44" t="str">
        <f t="shared" si="120"/>
        <v>►</v>
      </c>
      <c r="E373" s="43" t="str">
        <f t="shared" si="121"/>
        <v>►</v>
      </c>
      <c r="F373" s="43" t="str">
        <f t="shared" si="122"/>
        <v>►</v>
      </c>
      <c r="G373" s="43" t="str">
        <f t="shared" si="123"/>
        <v>►</v>
      </c>
      <c r="H373" s="1256" t="s">
        <v>1</v>
      </c>
      <c r="I373" s="5175" t="s">
        <v>1</v>
      </c>
      <c r="J373" s="5161"/>
      <c r="K373" s="5161"/>
      <c r="L373" s="5161"/>
      <c r="M373" s="5176"/>
      <c r="N373" s="5177"/>
      <c r="O373" s="147"/>
      <c r="P373" s="147"/>
      <c r="Q373" s="102"/>
      <c r="R373" s="102"/>
      <c r="S373" s="1360"/>
      <c r="T373" s="43"/>
      <c r="U373" s="42"/>
      <c r="V373" s="41"/>
      <c r="W373" s="40"/>
      <c r="X373" s="39"/>
      <c r="Y373" s="38"/>
      <c r="Z373" s="37"/>
      <c r="AA373" s="36"/>
      <c r="AB373" s="35"/>
      <c r="AC373" s="34"/>
      <c r="AD373" s="55"/>
      <c r="AE373" s="33"/>
      <c r="AF373"/>
      <c r="AG373" s="32"/>
      <c r="AH373" s="31"/>
      <c r="AI373" s="30"/>
      <c r="AJ373" s="5492">
        <f t="shared" si="125"/>
        <v>0</v>
      </c>
      <c r="AK373" s="54">
        <f t="shared" si="126"/>
        <v>0</v>
      </c>
      <c r="AL373" s="53" t="str">
        <f t="shared" si="127"/>
        <v/>
      </c>
      <c r="AM373" s="52"/>
      <c r="AN373" s="51">
        <f t="shared" si="128"/>
        <v>0</v>
      </c>
      <c r="AO373" s="50">
        <f t="shared" si="129"/>
        <v>0</v>
      </c>
      <c r="AP373" s="49">
        <f t="shared" si="130"/>
        <v>0</v>
      </c>
      <c r="AQ373" s="23"/>
      <c r="AR373" s="48">
        <f t="shared" si="131"/>
        <v>0</v>
      </c>
      <c r="AS373" s="47"/>
      <c r="AT373" s="13"/>
      <c r="AU373" s="46">
        <f t="shared" si="132"/>
        <v>0</v>
      </c>
      <c r="AV373"/>
      <c r="AW373"/>
      <c r="AX373"/>
      <c r="AY373"/>
      <c r="AZ373"/>
      <c r="BA373"/>
      <c r="BB373"/>
      <c r="BC373" s="3"/>
      <c r="BD373" s="3"/>
      <c r="BE373" s="3"/>
      <c r="BF373" s="3"/>
      <c r="BG373" s="3"/>
      <c r="BH373" s="3"/>
      <c r="BI373" s="3"/>
      <c r="BJ373" s="3"/>
      <c r="BK373" s="3"/>
      <c r="BL373" s="20" t="str">
        <f t="shared" si="124"/>
        <v>►</v>
      </c>
      <c r="BM373" s="3"/>
      <c r="BN373" s="2"/>
      <c r="BO373" s="2"/>
      <c r="BP373" s="2"/>
      <c r="BQ373" s="2"/>
      <c r="BR373" s="2"/>
      <c r="BS373"/>
      <c r="BT373"/>
      <c r="BU373"/>
      <c r="BV373"/>
      <c r="BW373"/>
      <c r="BX373"/>
      <c r="BY373"/>
      <c r="BZ373"/>
      <c r="CA373"/>
      <c r="CB373"/>
      <c r="CC373"/>
      <c r="CD373"/>
      <c r="CE373"/>
      <c r="CF373"/>
      <c r="CG373"/>
      <c r="CH373"/>
      <c r="CI373"/>
      <c r="CJ373"/>
      <c r="CK373"/>
      <c r="CL373"/>
      <c r="CM373"/>
      <c r="CN373"/>
      <c r="CO373" s="5">
        <v>1</v>
      </c>
    </row>
    <row r="374" spans="1:93" s="1" customFormat="1" ht="21" customHeight="1">
      <c r="A374" s="20" t="str">
        <f t="shared" si="133"/>
        <v>►</v>
      </c>
      <c r="B374" s="43" t="str">
        <f t="shared" si="134"/>
        <v>►</v>
      </c>
      <c r="C374" s="45" t="str">
        <f t="shared" si="119"/>
        <v>►</v>
      </c>
      <c r="D374" s="44" t="str">
        <f t="shared" si="120"/>
        <v>►</v>
      </c>
      <c r="E374" s="43" t="str">
        <f t="shared" si="121"/>
        <v>►</v>
      </c>
      <c r="F374" s="43" t="str">
        <f t="shared" si="122"/>
        <v>►</v>
      </c>
      <c r="G374" s="43" t="str">
        <f t="shared" si="123"/>
        <v>►</v>
      </c>
      <c r="H374" s="1256" t="s">
        <v>1</v>
      </c>
      <c r="I374" s="5175" t="s">
        <v>1</v>
      </c>
      <c r="J374" s="5161"/>
      <c r="K374" s="5161"/>
      <c r="L374" s="5161"/>
      <c r="M374" s="5176"/>
      <c r="N374" s="5177"/>
      <c r="O374" s="147"/>
      <c r="P374" s="147"/>
      <c r="Q374" s="102"/>
      <c r="R374" s="102"/>
      <c r="S374" s="1360"/>
      <c r="T374" s="43"/>
      <c r="U374" s="42"/>
      <c r="V374" s="41"/>
      <c r="W374" s="40"/>
      <c r="X374" s="39"/>
      <c r="Y374" s="38"/>
      <c r="Z374" s="37"/>
      <c r="AA374" s="36"/>
      <c r="AB374" s="35"/>
      <c r="AC374" s="34"/>
      <c r="AD374" s="55"/>
      <c r="AE374" s="33"/>
      <c r="AF374"/>
      <c r="AG374" s="32"/>
      <c r="AH374" s="31"/>
      <c r="AI374" s="30"/>
      <c r="AJ374" s="5492">
        <f t="shared" si="125"/>
        <v>0</v>
      </c>
      <c r="AK374" s="29">
        <f t="shared" si="126"/>
        <v>0</v>
      </c>
      <c r="AL374" s="28" t="str">
        <f t="shared" si="127"/>
        <v/>
      </c>
      <c r="AM374" s="27"/>
      <c r="AN374" s="26">
        <f t="shared" si="128"/>
        <v>0</v>
      </c>
      <c r="AO374" s="25">
        <f t="shared" si="129"/>
        <v>0</v>
      </c>
      <c r="AP374" s="24">
        <f t="shared" si="130"/>
        <v>0</v>
      </c>
      <c r="AQ374" s="23"/>
      <c r="AR374" s="22">
        <f t="shared" si="131"/>
        <v>0</v>
      </c>
      <c r="AS374" s="21"/>
      <c r="AT374" s="13"/>
      <c r="AU374" s="46">
        <f t="shared" si="132"/>
        <v>0</v>
      </c>
      <c r="AV374"/>
      <c r="AW374"/>
      <c r="AX374"/>
      <c r="AY374"/>
      <c r="AZ374"/>
      <c r="BA374"/>
      <c r="BB374"/>
      <c r="BC374" s="3"/>
      <c r="BD374" s="3"/>
      <c r="BE374" s="3"/>
      <c r="BF374" s="3"/>
      <c r="BG374" s="3"/>
      <c r="BH374" s="3"/>
      <c r="BI374" s="3"/>
      <c r="BJ374" s="3"/>
      <c r="BK374" s="3"/>
      <c r="BL374" s="20" t="str">
        <f t="shared" si="124"/>
        <v>►</v>
      </c>
      <c r="BM374" s="3"/>
      <c r="BN374" s="2"/>
      <c r="BO374" s="2"/>
      <c r="BP374" s="2"/>
      <c r="BQ374" s="2"/>
      <c r="BR374" s="2"/>
      <c r="BS374"/>
      <c r="BT374"/>
      <c r="BU374"/>
      <c r="BV374"/>
      <c r="BW374"/>
      <c r="BX374"/>
      <c r="BY374"/>
      <c r="BZ374"/>
      <c r="CA374"/>
      <c r="CB374"/>
      <c r="CC374"/>
      <c r="CD374"/>
      <c r="CE374"/>
      <c r="CF374"/>
      <c r="CG374"/>
      <c r="CH374"/>
      <c r="CI374"/>
      <c r="CJ374"/>
      <c r="CK374"/>
      <c r="CL374"/>
      <c r="CM374"/>
      <c r="CN374"/>
      <c r="CO374" s="5">
        <v>1</v>
      </c>
    </row>
    <row r="375" spans="1:93" s="1" customFormat="1" ht="21" customHeight="1">
      <c r="A375" s="20" t="str">
        <f t="shared" si="133"/>
        <v>►</v>
      </c>
      <c r="B375" s="43" t="str">
        <f t="shared" si="134"/>
        <v>►</v>
      </c>
      <c r="C375" s="45" t="str">
        <f t="shared" si="119"/>
        <v>►</v>
      </c>
      <c r="D375" s="44" t="str">
        <f t="shared" si="120"/>
        <v>►</v>
      </c>
      <c r="E375" s="43" t="str">
        <f t="shared" si="121"/>
        <v>►</v>
      </c>
      <c r="F375" s="43" t="str">
        <f t="shared" si="122"/>
        <v>►</v>
      </c>
      <c r="G375" s="43" t="str">
        <f t="shared" si="123"/>
        <v>►</v>
      </c>
      <c r="H375" s="1256" t="s">
        <v>1</v>
      </c>
      <c r="I375" s="5175" t="s">
        <v>1</v>
      </c>
      <c r="J375" s="5161"/>
      <c r="K375" s="5161"/>
      <c r="L375" s="5161"/>
      <c r="M375" s="5176"/>
      <c r="N375" s="5177"/>
      <c r="O375" s="147"/>
      <c r="P375" s="147"/>
      <c r="Q375" s="102"/>
      <c r="R375" s="102"/>
      <c r="S375" s="1360"/>
      <c r="T375" s="43"/>
      <c r="U375" s="42"/>
      <c r="V375" s="41"/>
      <c r="W375" s="40"/>
      <c r="X375" s="39"/>
      <c r="Y375" s="38"/>
      <c r="Z375" s="37"/>
      <c r="AA375" s="36"/>
      <c r="AB375" s="35"/>
      <c r="AC375" s="34"/>
      <c r="AD375" s="55"/>
      <c r="AE375" s="33"/>
      <c r="AF375"/>
      <c r="AG375" s="32"/>
      <c r="AH375" s="31"/>
      <c r="AI375" s="30"/>
      <c r="AJ375" s="5492">
        <f t="shared" si="125"/>
        <v>0</v>
      </c>
      <c r="AK375" s="54">
        <f t="shared" si="126"/>
        <v>0</v>
      </c>
      <c r="AL375" s="53" t="str">
        <f t="shared" si="127"/>
        <v/>
      </c>
      <c r="AM375" s="52"/>
      <c r="AN375" s="51">
        <f t="shared" si="128"/>
        <v>0</v>
      </c>
      <c r="AO375" s="50">
        <f t="shared" si="129"/>
        <v>0</v>
      </c>
      <c r="AP375" s="49">
        <f t="shared" si="130"/>
        <v>0</v>
      </c>
      <c r="AQ375" s="23"/>
      <c r="AR375" s="48">
        <f t="shared" si="131"/>
        <v>0</v>
      </c>
      <c r="AS375" s="47"/>
      <c r="AT375" s="13"/>
      <c r="AU375" s="46">
        <f t="shared" si="132"/>
        <v>0</v>
      </c>
      <c r="AV375"/>
      <c r="AW375"/>
      <c r="AX375"/>
      <c r="AY375"/>
      <c r="AZ375"/>
      <c r="BA375"/>
      <c r="BB375"/>
      <c r="BC375" s="3"/>
      <c r="BD375" s="3"/>
      <c r="BE375" s="3"/>
      <c r="BF375" s="3"/>
      <c r="BG375" s="3"/>
      <c r="BH375" s="3"/>
      <c r="BI375" s="3"/>
      <c r="BJ375" s="3"/>
      <c r="BK375" s="3"/>
      <c r="BL375" s="20" t="str">
        <f t="shared" si="124"/>
        <v>►</v>
      </c>
      <c r="BM375" s="3"/>
      <c r="BN375" s="2"/>
      <c r="BO375" s="2"/>
      <c r="BP375" s="2"/>
      <c r="BQ375" s="2"/>
      <c r="BR375" s="2"/>
      <c r="BS375"/>
      <c r="BT375"/>
      <c r="BU375"/>
      <c r="BV375"/>
      <c r="BW375"/>
      <c r="BX375"/>
      <c r="BY375"/>
      <c r="BZ375"/>
      <c r="CA375"/>
      <c r="CB375"/>
      <c r="CC375"/>
      <c r="CD375"/>
      <c r="CE375"/>
      <c r="CF375"/>
      <c r="CG375"/>
      <c r="CH375"/>
      <c r="CI375"/>
      <c r="CJ375"/>
      <c r="CK375"/>
      <c r="CL375"/>
      <c r="CM375"/>
      <c r="CN375"/>
      <c r="CO375" s="5">
        <v>1</v>
      </c>
    </row>
    <row r="376" spans="1:93" s="1" customFormat="1" ht="21" customHeight="1">
      <c r="A376" s="20" t="str">
        <f t="shared" si="133"/>
        <v>►</v>
      </c>
      <c r="B376" s="43" t="str">
        <f t="shared" si="134"/>
        <v>►</v>
      </c>
      <c r="C376" s="45" t="str">
        <f t="shared" si="119"/>
        <v>►</v>
      </c>
      <c r="D376" s="44" t="str">
        <f t="shared" si="120"/>
        <v>►</v>
      </c>
      <c r="E376" s="43" t="str">
        <f t="shared" si="121"/>
        <v>►</v>
      </c>
      <c r="F376" s="43" t="str">
        <f t="shared" si="122"/>
        <v>►</v>
      </c>
      <c r="G376" s="43" t="str">
        <f t="shared" si="123"/>
        <v>►</v>
      </c>
      <c r="H376" s="1256" t="s">
        <v>1</v>
      </c>
      <c r="I376" s="5175" t="s">
        <v>1</v>
      </c>
      <c r="J376" s="5161"/>
      <c r="K376" s="5161"/>
      <c r="L376" s="5161"/>
      <c r="M376" s="5176"/>
      <c r="N376" s="5177"/>
      <c r="O376" s="147"/>
      <c r="P376" s="147"/>
      <c r="Q376" s="102"/>
      <c r="R376" s="102"/>
      <c r="S376" s="1360"/>
      <c r="T376" s="43"/>
      <c r="U376" s="42"/>
      <c r="V376" s="41"/>
      <c r="W376" s="40"/>
      <c r="X376" s="39"/>
      <c r="Y376" s="38"/>
      <c r="Z376" s="37"/>
      <c r="AA376" s="36"/>
      <c r="AB376" s="35"/>
      <c r="AC376" s="34"/>
      <c r="AD376" s="55"/>
      <c r="AE376" s="33"/>
      <c r="AF376"/>
      <c r="AG376" s="32"/>
      <c r="AH376" s="31"/>
      <c r="AI376" s="30"/>
      <c r="AJ376" s="5492">
        <f t="shared" si="125"/>
        <v>0</v>
      </c>
      <c r="AK376" s="29">
        <f t="shared" si="126"/>
        <v>0</v>
      </c>
      <c r="AL376" s="28" t="str">
        <f t="shared" si="127"/>
        <v/>
      </c>
      <c r="AM376" s="27"/>
      <c r="AN376" s="26">
        <f t="shared" si="128"/>
        <v>0</v>
      </c>
      <c r="AO376" s="25">
        <f t="shared" si="129"/>
        <v>0</v>
      </c>
      <c r="AP376" s="24">
        <f t="shared" si="130"/>
        <v>0</v>
      </c>
      <c r="AQ376" s="23"/>
      <c r="AR376" s="22">
        <f t="shared" si="131"/>
        <v>0</v>
      </c>
      <c r="AS376" s="21"/>
      <c r="AT376" s="13"/>
      <c r="AU376" s="46">
        <f t="shared" si="132"/>
        <v>0</v>
      </c>
      <c r="AV376"/>
      <c r="AW376"/>
      <c r="AX376"/>
      <c r="AY376"/>
      <c r="AZ376"/>
      <c r="BA376"/>
      <c r="BB376"/>
      <c r="BC376" s="3"/>
      <c r="BD376" s="3"/>
      <c r="BE376" s="3"/>
      <c r="BF376" s="3"/>
      <c r="BG376" s="3"/>
      <c r="BH376" s="3"/>
      <c r="BI376" s="3"/>
      <c r="BJ376" s="3"/>
      <c r="BK376" s="3"/>
      <c r="BL376" s="20" t="str">
        <f t="shared" si="124"/>
        <v>►</v>
      </c>
      <c r="BM376" s="3"/>
      <c r="BN376" s="2"/>
      <c r="BO376" s="2"/>
      <c r="BP376" s="2"/>
      <c r="BQ376" s="2"/>
      <c r="BR376" s="2"/>
      <c r="BS376"/>
      <c r="BT376"/>
      <c r="BU376"/>
      <c r="BV376"/>
      <c r="BW376"/>
      <c r="BX376"/>
      <c r="BY376"/>
      <c r="BZ376"/>
      <c r="CA376"/>
      <c r="CB376"/>
      <c r="CC376"/>
      <c r="CD376"/>
      <c r="CE376"/>
      <c r="CF376"/>
      <c r="CG376"/>
      <c r="CH376"/>
      <c r="CI376"/>
      <c r="CJ376"/>
      <c r="CK376"/>
      <c r="CL376"/>
      <c r="CM376"/>
      <c r="CN376"/>
      <c r="CO376" s="5">
        <v>1</v>
      </c>
    </row>
    <row r="377" spans="1:93" s="1" customFormat="1" ht="21" customHeight="1">
      <c r="A377" s="20" t="str">
        <f t="shared" si="133"/>
        <v>►</v>
      </c>
      <c r="B377" s="43" t="str">
        <f t="shared" si="134"/>
        <v>►</v>
      </c>
      <c r="C377" s="45" t="str">
        <f t="shared" si="119"/>
        <v>►</v>
      </c>
      <c r="D377" s="44" t="str">
        <f t="shared" si="120"/>
        <v>►</v>
      </c>
      <c r="E377" s="43" t="str">
        <f t="shared" si="121"/>
        <v>►</v>
      </c>
      <c r="F377" s="43" t="str">
        <f t="shared" si="122"/>
        <v>►</v>
      </c>
      <c r="G377" s="43" t="str">
        <f t="shared" si="123"/>
        <v>►</v>
      </c>
      <c r="H377" s="1256" t="s">
        <v>1</v>
      </c>
      <c r="I377" s="5175" t="s">
        <v>1</v>
      </c>
      <c r="J377" s="5161"/>
      <c r="K377" s="5161"/>
      <c r="L377" s="5161"/>
      <c r="M377" s="5176"/>
      <c r="N377" s="5177"/>
      <c r="O377" s="147"/>
      <c r="P377" s="147"/>
      <c r="Q377" s="102"/>
      <c r="R377" s="102"/>
      <c r="S377" s="1360"/>
      <c r="T377" s="43"/>
      <c r="U377" s="42"/>
      <c r="V377" s="41"/>
      <c r="W377" s="40"/>
      <c r="X377" s="39"/>
      <c r="Y377" s="38"/>
      <c r="Z377" s="37"/>
      <c r="AA377" s="36"/>
      <c r="AB377" s="35"/>
      <c r="AC377" s="34"/>
      <c r="AD377" s="55"/>
      <c r="AE377" s="33"/>
      <c r="AF377"/>
      <c r="AG377" s="32"/>
      <c r="AH377" s="31"/>
      <c r="AI377" s="30"/>
      <c r="AJ377" s="5492">
        <f t="shared" si="125"/>
        <v>0</v>
      </c>
      <c r="AK377" s="54">
        <f t="shared" si="126"/>
        <v>0</v>
      </c>
      <c r="AL377" s="53" t="str">
        <f t="shared" si="127"/>
        <v/>
      </c>
      <c r="AM377" s="52"/>
      <c r="AN377" s="51">
        <f t="shared" si="128"/>
        <v>0</v>
      </c>
      <c r="AO377" s="50">
        <f t="shared" si="129"/>
        <v>0</v>
      </c>
      <c r="AP377" s="49">
        <f t="shared" si="130"/>
        <v>0</v>
      </c>
      <c r="AQ377" s="23"/>
      <c r="AR377" s="48">
        <f t="shared" si="131"/>
        <v>0</v>
      </c>
      <c r="AS377" s="47"/>
      <c r="AT377" s="13"/>
      <c r="AU377" s="46">
        <f t="shared" si="132"/>
        <v>0</v>
      </c>
      <c r="AV377"/>
      <c r="AW377"/>
      <c r="AX377"/>
      <c r="AY377"/>
      <c r="AZ377"/>
      <c r="BA377"/>
      <c r="BB377"/>
      <c r="BC377" s="3"/>
      <c r="BD377" s="3"/>
      <c r="BE377" s="3"/>
      <c r="BF377" s="3"/>
      <c r="BG377" s="3"/>
      <c r="BH377" s="3"/>
      <c r="BI377" s="3"/>
      <c r="BJ377" s="3"/>
      <c r="BK377" s="3"/>
      <c r="BL377" s="20" t="str">
        <f t="shared" si="124"/>
        <v>►</v>
      </c>
      <c r="BM377" s="3"/>
      <c r="BN377" s="2"/>
      <c r="BO377" s="2"/>
      <c r="BP377" s="2"/>
      <c r="BQ377" s="2"/>
      <c r="BR377" s="2"/>
      <c r="BS377"/>
      <c r="BT377"/>
      <c r="BU377"/>
      <c r="BV377"/>
      <c r="BW377"/>
      <c r="BX377"/>
      <c r="BY377"/>
      <c r="BZ377"/>
      <c r="CA377"/>
      <c r="CB377"/>
      <c r="CC377"/>
      <c r="CD377"/>
      <c r="CE377"/>
      <c r="CF377"/>
      <c r="CG377"/>
      <c r="CH377"/>
      <c r="CI377"/>
      <c r="CJ377"/>
      <c r="CK377"/>
      <c r="CL377"/>
      <c r="CM377"/>
      <c r="CN377"/>
      <c r="CO377" s="5">
        <v>1</v>
      </c>
    </row>
    <row r="378" spans="1:93" s="1" customFormat="1" ht="21" customHeight="1">
      <c r="A378" s="20" t="str">
        <f t="shared" si="133"/>
        <v>►</v>
      </c>
      <c r="B378" s="43" t="str">
        <f t="shared" si="134"/>
        <v>►</v>
      </c>
      <c r="C378" s="45" t="str">
        <f t="shared" si="119"/>
        <v>►</v>
      </c>
      <c r="D378" s="44" t="str">
        <f t="shared" si="120"/>
        <v>►</v>
      </c>
      <c r="E378" s="43" t="str">
        <f t="shared" si="121"/>
        <v>►</v>
      </c>
      <c r="F378" s="43" t="str">
        <f t="shared" si="122"/>
        <v>►</v>
      </c>
      <c r="G378" s="43" t="str">
        <f t="shared" si="123"/>
        <v>►</v>
      </c>
      <c r="H378" s="1256" t="s">
        <v>1</v>
      </c>
      <c r="I378" s="5175" t="s">
        <v>1</v>
      </c>
      <c r="J378" s="5161"/>
      <c r="K378" s="5161"/>
      <c r="L378" s="5161"/>
      <c r="M378" s="5176"/>
      <c r="N378" s="5177"/>
      <c r="O378" s="147"/>
      <c r="P378" s="147"/>
      <c r="Q378" s="102"/>
      <c r="R378" s="102"/>
      <c r="S378" s="1360"/>
      <c r="T378" s="43"/>
      <c r="U378" s="42"/>
      <c r="V378" s="41"/>
      <c r="W378" s="40"/>
      <c r="X378" s="39"/>
      <c r="Y378" s="38"/>
      <c r="Z378" s="37"/>
      <c r="AA378" s="36"/>
      <c r="AB378" s="35"/>
      <c r="AC378" s="34"/>
      <c r="AD378" s="55"/>
      <c r="AE378" s="33"/>
      <c r="AF378"/>
      <c r="AG378" s="32"/>
      <c r="AH378" s="31"/>
      <c r="AI378" s="30"/>
      <c r="AJ378" s="5492">
        <f t="shared" si="125"/>
        <v>0</v>
      </c>
      <c r="AK378" s="29">
        <f t="shared" si="126"/>
        <v>0</v>
      </c>
      <c r="AL378" s="28" t="str">
        <f t="shared" si="127"/>
        <v/>
      </c>
      <c r="AM378" s="27"/>
      <c r="AN378" s="26">
        <f t="shared" si="128"/>
        <v>0</v>
      </c>
      <c r="AO378" s="25">
        <f t="shared" si="129"/>
        <v>0</v>
      </c>
      <c r="AP378" s="24">
        <f t="shared" si="130"/>
        <v>0</v>
      </c>
      <c r="AQ378" s="23"/>
      <c r="AR378" s="22">
        <f t="shared" si="131"/>
        <v>0</v>
      </c>
      <c r="AS378" s="21"/>
      <c r="AT378" s="13"/>
      <c r="AU378" s="46">
        <f t="shared" si="132"/>
        <v>0</v>
      </c>
      <c r="AV378"/>
      <c r="AW378"/>
      <c r="AX378"/>
      <c r="AY378"/>
      <c r="AZ378"/>
      <c r="BA378"/>
      <c r="BB378"/>
      <c r="BC378" s="3"/>
      <c r="BD378" s="3"/>
      <c r="BE378" s="3"/>
      <c r="BF378" s="3"/>
      <c r="BG378" s="3"/>
      <c r="BH378" s="3"/>
      <c r="BI378" s="3"/>
      <c r="BJ378" s="3"/>
      <c r="BK378" s="3"/>
      <c r="BL378" s="20" t="str">
        <f t="shared" si="124"/>
        <v>►</v>
      </c>
      <c r="BM378" s="3"/>
      <c r="BN378" s="2"/>
      <c r="BO378" s="2"/>
      <c r="BP378" s="2"/>
      <c r="BQ378" s="2"/>
      <c r="BR378" s="2"/>
      <c r="BS378"/>
      <c r="BT378"/>
      <c r="BU378"/>
      <c r="BV378"/>
      <c r="BW378"/>
      <c r="BX378"/>
      <c r="BY378"/>
      <c r="BZ378"/>
      <c r="CA378"/>
      <c r="CB378"/>
      <c r="CC378"/>
      <c r="CD378"/>
      <c r="CE378"/>
      <c r="CF378"/>
      <c r="CG378"/>
      <c r="CH378"/>
      <c r="CI378"/>
      <c r="CJ378"/>
      <c r="CK378"/>
      <c r="CL378"/>
      <c r="CM378"/>
      <c r="CN378"/>
      <c r="CO378" s="5">
        <v>1</v>
      </c>
    </row>
    <row r="379" spans="1:93" s="1" customFormat="1" ht="21" customHeight="1">
      <c r="A379" s="20" t="str">
        <f t="shared" si="133"/>
        <v>►</v>
      </c>
      <c r="B379" s="43" t="str">
        <f t="shared" si="134"/>
        <v>►</v>
      </c>
      <c r="C379" s="45" t="str">
        <f t="shared" si="119"/>
        <v>►</v>
      </c>
      <c r="D379" s="44" t="str">
        <f t="shared" si="120"/>
        <v>►</v>
      </c>
      <c r="E379" s="43" t="str">
        <f t="shared" si="121"/>
        <v>►</v>
      </c>
      <c r="F379" s="43" t="str">
        <f t="shared" si="122"/>
        <v>►</v>
      </c>
      <c r="G379" s="43" t="str">
        <f t="shared" si="123"/>
        <v>►</v>
      </c>
      <c r="H379" s="1256" t="s">
        <v>1</v>
      </c>
      <c r="I379" s="5175" t="s">
        <v>1</v>
      </c>
      <c r="J379" s="5161"/>
      <c r="K379" s="5161"/>
      <c r="L379" s="5161"/>
      <c r="M379" s="5176"/>
      <c r="N379" s="5177"/>
      <c r="O379" s="147"/>
      <c r="P379" s="147"/>
      <c r="Q379" s="102"/>
      <c r="R379" s="102"/>
      <c r="S379" s="1360"/>
      <c r="T379" s="43"/>
      <c r="U379" s="42"/>
      <c r="V379" s="41"/>
      <c r="W379" s="40"/>
      <c r="X379" s="39"/>
      <c r="Y379" s="38"/>
      <c r="Z379" s="37"/>
      <c r="AA379" s="36"/>
      <c r="AB379" s="35"/>
      <c r="AC379" s="34"/>
      <c r="AD379" s="55"/>
      <c r="AE379" s="33"/>
      <c r="AF379"/>
      <c r="AG379" s="32"/>
      <c r="AH379" s="31"/>
      <c r="AI379" s="30"/>
      <c r="AJ379" s="5492">
        <f t="shared" si="125"/>
        <v>0</v>
      </c>
      <c r="AK379" s="54">
        <f t="shared" si="126"/>
        <v>0</v>
      </c>
      <c r="AL379" s="53" t="str">
        <f t="shared" si="127"/>
        <v/>
      </c>
      <c r="AM379" s="52"/>
      <c r="AN379" s="51">
        <f t="shared" si="128"/>
        <v>0</v>
      </c>
      <c r="AO379" s="50">
        <f t="shared" si="129"/>
        <v>0</v>
      </c>
      <c r="AP379" s="49">
        <f t="shared" si="130"/>
        <v>0</v>
      </c>
      <c r="AQ379" s="23"/>
      <c r="AR379" s="48">
        <f t="shared" si="131"/>
        <v>0</v>
      </c>
      <c r="AS379" s="47"/>
      <c r="AT379" s="13"/>
      <c r="AU379" s="46">
        <f t="shared" si="132"/>
        <v>0</v>
      </c>
      <c r="AV379"/>
      <c r="AW379"/>
      <c r="AX379"/>
      <c r="AY379"/>
      <c r="AZ379"/>
      <c r="BA379"/>
      <c r="BB379"/>
      <c r="BC379" s="3"/>
      <c r="BD379" s="3"/>
      <c r="BE379" s="3"/>
      <c r="BF379" s="3"/>
      <c r="BG379" s="3"/>
      <c r="BH379" s="3"/>
      <c r="BI379" s="3"/>
      <c r="BJ379" s="3"/>
      <c r="BK379" s="3"/>
      <c r="BL379" s="20" t="str">
        <f t="shared" si="124"/>
        <v>►</v>
      </c>
      <c r="BM379" s="3"/>
      <c r="BN379" s="2"/>
      <c r="BO379" s="2"/>
      <c r="BP379" s="2"/>
      <c r="BQ379" s="2"/>
      <c r="BR379" s="2"/>
      <c r="BS379"/>
      <c r="BT379"/>
      <c r="BU379"/>
      <c r="BV379"/>
      <c r="BW379"/>
      <c r="BX379"/>
      <c r="BY379"/>
      <c r="BZ379"/>
      <c r="CA379"/>
      <c r="CB379"/>
      <c r="CC379"/>
      <c r="CD379"/>
      <c r="CE379"/>
      <c r="CF379"/>
      <c r="CG379"/>
      <c r="CH379"/>
      <c r="CI379"/>
      <c r="CJ379"/>
      <c r="CK379"/>
      <c r="CL379"/>
      <c r="CM379"/>
      <c r="CN379"/>
      <c r="CO379" s="5">
        <v>1</v>
      </c>
    </row>
    <row r="380" spans="1:93" s="1" customFormat="1" ht="21" customHeight="1">
      <c r="A380" s="20" t="str">
        <f t="shared" si="133"/>
        <v>►</v>
      </c>
      <c r="B380" s="43" t="str">
        <f t="shared" si="134"/>
        <v>►</v>
      </c>
      <c r="C380" s="45" t="str">
        <f t="shared" si="119"/>
        <v>►</v>
      </c>
      <c r="D380" s="44" t="str">
        <f t="shared" si="120"/>
        <v>►</v>
      </c>
      <c r="E380" s="43" t="str">
        <f t="shared" si="121"/>
        <v>►</v>
      </c>
      <c r="F380" s="43" t="str">
        <f t="shared" si="122"/>
        <v>►</v>
      </c>
      <c r="G380" s="43" t="str">
        <f t="shared" si="123"/>
        <v>►</v>
      </c>
      <c r="H380" s="1256" t="s">
        <v>1</v>
      </c>
      <c r="I380" s="5175" t="s">
        <v>1</v>
      </c>
      <c r="J380" s="5161"/>
      <c r="K380" s="5161"/>
      <c r="L380" s="5161"/>
      <c r="M380" s="5176"/>
      <c r="N380" s="5177"/>
      <c r="O380" s="147"/>
      <c r="P380" s="147"/>
      <c r="Q380" s="102"/>
      <c r="R380" s="102"/>
      <c r="S380" s="1360"/>
      <c r="T380" s="43"/>
      <c r="U380" s="42"/>
      <c r="V380" s="41"/>
      <c r="W380" s="40"/>
      <c r="X380" s="39"/>
      <c r="Y380" s="38"/>
      <c r="Z380" s="37"/>
      <c r="AA380" s="36"/>
      <c r="AB380" s="35"/>
      <c r="AC380" s="34"/>
      <c r="AD380" s="55"/>
      <c r="AE380" s="33"/>
      <c r="AF380"/>
      <c r="AG380" s="32"/>
      <c r="AH380" s="31"/>
      <c r="AI380" s="30"/>
      <c r="AJ380" s="5492">
        <f t="shared" si="125"/>
        <v>0</v>
      </c>
      <c r="AK380" s="29">
        <f t="shared" si="126"/>
        <v>0</v>
      </c>
      <c r="AL380" s="28" t="str">
        <f t="shared" si="127"/>
        <v/>
      </c>
      <c r="AM380" s="27"/>
      <c r="AN380" s="26">
        <f t="shared" si="128"/>
        <v>0</v>
      </c>
      <c r="AO380" s="25">
        <f t="shared" si="129"/>
        <v>0</v>
      </c>
      <c r="AP380" s="24">
        <f t="shared" si="130"/>
        <v>0</v>
      </c>
      <c r="AQ380" s="23"/>
      <c r="AR380" s="22">
        <f t="shared" si="131"/>
        <v>0</v>
      </c>
      <c r="AS380" s="21"/>
      <c r="AT380" s="13"/>
      <c r="AU380" s="46">
        <f t="shared" si="132"/>
        <v>0</v>
      </c>
      <c r="AV380"/>
      <c r="AW380"/>
      <c r="AX380"/>
      <c r="AY380"/>
      <c r="AZ380"/>
      <c r="BA380"/>
      <c r="BB380"/>
      <c r="BC380" s="3"/>
      <c r="BD380" s="3"/>
      <c r="BE380" s="3"/>
      <c r="BF380" s="3"/>
      <c r="BG380" s="3"/>
      <c r="BH380" s="3"/>
      <c r="BI380" s="3"/>
      <c r="BJ380" s="3"/>
      <c r="BK380" s="3"/>
      <c r="BL380" s="20" t="str">
        <f t="shared" si="124"/>
        <v>►</v>
      </c>
      <c r="BM380" s="3"/>
      <c r="BN380" s="2"/>
      <c r="BO380" s="2"/>
      <c r="BP380" s="2"/>
      <c r="BQ380" s="2"/>
      <c r="BR380" s="2"/>
      <c r="BS380"/>
      <c r="BT380"/>
      <c r="BU380"/>
      <c r="BV380"/>
      <c r="BW380"/>
      <c r="BX380"/>
      <c r="BY380"/>
      <c r="BZ380"/>
      <c r="CA380"/>
      <c r="CB380"/>
      <c r="CC380"/>
      <c r="CD380"/>
      <c r="CE380"/>
      <c r="CF380"/>
      <c r="CG380"/>
      <c r="CH380"/>
      <c r="CI380"/>
      <c r="CJ380"/>
      <c r="CK380"/>
      <c r="CL380"/>
      <c r="CM380"/>
      <c r="CN380"/>
      <c r="CO380" s="5">
        <v>1</v>
      </c>
    </row>
    <row r="381" spans="1:93" s="1" customFormat="1" ht="21" customHeight="1">
      <c r="A381" s="20" t="str">
        <f t="shared" si="133"/>
        <v>►</v>
      </c>
      <c r="B381" s="43" t="str">
        <f t="shared" si="134"/>
        <v>►</v>
      </c>
      <c r="C381" s="45" t="str">
        <f t="shared" si="119"/>
        <v>►</v>
      </c>
      <c r="D381" s="44" t="str">
        <f t="shared" si="120"/>
        <v>►</v>
      </c>
      <c r="E381" s="43" t="str">
        <f t="shared" si="121"/>
        <v>►</v>
      </c>
      <c r="F381" s="43" t="str">
        <f t="shared" si="122"/>
        <v>►</v>
      </c>
      <c r="G381" s="43" t="str">
        <f t="shared" si="123"/>
        <v>►</v>
      </c>
      <c r="H381" s="1256" t="s">
        <v>1</v>
      </c>
      <c r="I381" s="5175" t="s">
        <v>1</v>
      </c>
      <c r="J381" s="5161"/>
      <c r="K381" s="5161"/>
      <c r="L381" s="5161"/>
      <c r="M381" s="5176"/>
      <c r="N381" s="5177"/>
      <c r="O381" s="147"/>
      <c r="P381" s="147"/>
      <c r="Q381" s="102"/>
      <c r="R381" s="102"/>
      <c r="S381" s="1360"/>
      <c r="T381" s="43"/>
      <c r="U381" s="42"/>
      <c r="V381" s="41"/>
      <c r="W381" s="40"/>
      <c r="X381" s="39"/>
      <c r="Y381" s="38"/>
      <c r="Z381" s="37"/>
      <c r="AA381" s="36"/>
      <c r="AB381" s="35"/>
      <c r="AC381" s="34"/>
      <c r="AD381" s="55"/>
      <c r="AE381" s="33"/>
      <c r="AF381"/>
      <c r="AG381" s="32"/>
      <c r="AH381" s="31"/>
      <c r="AI381" s="30"/>
      <c r="AJ381" s="5492">
        <f t="shared" si="125"/>
        <v>0</v>
      </c>
      <c r="AK381" s="54">
        <f t="shared" si="126"/>
        <v>0</v>
      </c>
      <c r="AL381" s="53" t="str">
        <f t="shared" si="127"/>
        <v/>
      </c>
      <c r="AM381" s="52"/>
      <c r="AN381" s="51">
        <f t="shared" si="128"/>
        <v>0</v>
      </c>
      <c r="AO381" s="50">
        <f t="shared" si="129"/>
        <v>0</v>
      </c>
      <c r="AP381" s="49">
        <f t="shared" si="130"/>
        <v>0</v>
      </c>
      <c r="AQ381" s="23"/>
      <c r="AR381" s="48">
        <f t="shared" si="131"/>
        <v>0</v>
      </c>
      <c r="AS381" s="47"/>
      <c r="AT381" s="13"/>
      <c r="AU381" s="46">
        <f t="shared" si="132"/>
        <v>0</v>
      </c>
      <c r="AV381"/>
      <c r="AW381"/>
      <c r="AX381"/>
      <c r="AY381"/>
      <c r="AZ381"/>
      <c r="BA381"/>
      <c r="BB381"/>
      <c r="BC381" s="3"/>
      <c r="BD381" s="3"/>
      <c r="BE381" s="3"/>
      <c r="BF381" s="3"/>
      <c r="BG381" s="3"/>
      <c r="BH381" s="3"/>
      <c r="BI381" s="3"/>
      <c r="BJ381" s="3"/>
      <c r="BK381" s="3"/>
      <c r="BL381" s="20" t="str">
        <f t="shared" si="124"/>
        <v>►</v>
      </c>
      <c r="BM381" s="3"/>
      <c r="BN381" s="2"/>
      <c r="BO381" s="2"/>
      <c r="BP381" s="2"/>
      <c r="BQ381" s="2"/>
      <c r="BR381" s="2"/>
      <c r="BS381"/>
      <c r="BT381"/>
      <c r="BU381"/>
      <c r="BV381"/>
      <c r="BW381"/>
      <c r="BX381"/>
      <c r="BY381"/>
      <c r="BZ381"/>
      <c r="CA381"/>
      <c r="CB381"/>
      <c r="CC381"/>
      <c r="CD381"/>
      <c r="CE381"/>
      <c r="CF381"/>
      <c r="CG381"/>
      <c r="CH381"/>
      <c r="CI381"/>
      <c r="CJ381"/>
      <c r="CK381"/>
      <c r="CL381"/>
      <c r="CM381"/>
      <c r="CN381" s="2"/>
      <c r="CO381" s="5">
        <v>1</v>
      </c>
    </row>
    <row r="382" spans="1:93" s="1" customFormat="1" ht="21" customHeight="1">
      <c r="A382" s="20" t="str">
        <f t="shared" si="133"/>
        <v>►</v>
      </c>
      <c r="B382" s="43" t="str">
        <f t="shared" si="134"/>
        <v>►</v>
      </c>
      <c r="C382" s="45" t="str">
        <f t="shared" si="119"/>
        <v>►</v>
      </c>
      <c r="D382" s="44" t="str">
        <f t="shared" si="120"/>
        <v>►</v>
      </c>
      <c r="E382" s="43" t="str">
        <f t="shared" si="121"/>
        <v>►</v>
      </c>
      <c r="F382" s="43" t="str">
        <f t="shared" si="122"/>
        <v>►</v>
      </c>
      <c r="G382" s="43" t="str">
        <f t="shared" si="123"/>
        <v>►</v>
      </c>
      <c r="H382" s="1256" t="s">
        <v>1</v>
      </c>
      <c r="I382" s="5175" t="s">
        <v>1</v>
      </c>
      <c r="J382" s="5161"/>
      <c r="K382" s="5161"/>
      <c r="L382" s="5161"/>
      <c r="M382" s="5176"/>
      <c r="N382" s="5177"/>
      <c r="O382" s="147"/>
      <c r="P382" s="147"/>
      <c r="Q382" s="102"/>
      <c r="R382" s="102"/>
      <c r="S382" s="1360"/>
      <c r="T382" s="43"/>
      <c r="U382" s="42"/>
      <c r="V382" s="41"/>
      <c r="W382" s="40"/>
      <c r="X382" s="39"/>
      <c r="Y382" s="38"/>
      <c r="Z382" s="37"/>
      <c r="AA382" s="36"/>
      <c r="AB382" s="35"/>
      <c r="AC382" s="34"/>
      <c r="AD382" s="55"/>
      <c r="AE382" s="33"/>
      <c r="AF382"/>
      <c r="AG382" s="32"/>
      <c r="AH382" s="31"/>
      <c r="AI382" s="30"/>
      <c r="AJ382" s="5492">
        <f t="shared" si="125"/>
        <v>0</v>
      </c>
      <c r="AK382" s="29">
        <f t="shared" si="126"/>
        <v>0</v>
      </c>
      <c r="AL382" s="28" t="str">
        <f t="shared" si="127"/>
        <v/>
      </c>
      <c r="AM382" s="27"/>
      <c r="AN382" s="26">
        <f t="shared" si="128"/>
        <v>0</v>
      </c>
      <c r="AO382" s="25">
        <f t="shared" si="129"/>
        <v>0</v>
      </c>
      <c r="AP382" s="24">
        <f t="shared" si="130"/>
        <v>0</v>
      </c>
      <c r="AQ382" s="23"/>
      <c r="AR382" s="22">
        <f t="shared" si="131"/>
        <v>0</v>
      </c>
      <c r="AS382" s="21"/>
      <c r="AT382" s="13"/>
      <c r="AU382" s="46">
        <f t="shared" si="132"/>
        <v>0</v>
      </c>
      <c r="AV382"/>
      <c r="AW382"/>
      <c r="AX382"/>
      <c r="AY382"/>
      <c r="AZ382"/>
      <c r="BA382"/>
      <c r="BB382"/>
      <c r="BC382" s="3"/>
      <c r="BD382" s="3"/>
      <c r="BE382" s="3"/>
      <c r="BF382" s="3"/>
      <c r="BG382" s="3"/>
      <c r="BH382" s="3"/>
      <c r="BI382" s="3"/>
      <c r="BJ382" s="3"/>
      <c r="BK382" s="3"/>
      <c r="BL382" s="20" t="str">
        <f t="shared" si="124"/>
        <v>►</v>
      </c>
      <c r="BM382" s="2"/>
      <c r="BN382" s="2"/>
      <c r="BO382" s="2"/>
      <c r="BP382" s="2"/>
      <c r="BQ382" s="2"/>
      <c r="BR382" s="2"/>
      <c r="BS382"/>
      <c r="BT382"/>
      <c r="BU382"/>
      <c r="BV382"/>
      <c r="BW382"/>
      <c r="BX382"/>
      <c r="BY382"/>
      <c r="BZ382"/>
      <c r="CA382"/>
      <c r="CB382"/>
      <c r="CC382"/>
      <c r="CD382"/>
      <c r="CE382"/>
      <c r="CF382"/>
      <c r="CG382"/>
      <c r="CH382"/>
      <c r="CI382"/>
      <c r="CJ382"/>
      <c r="CK382"/>
      <c r="CL382"/>
      <c r="CM382"/>
      <c r="CN382"/>
      <c r="CO382" s="5">
        <v>1</v>
      </c>
    </row>
    <row r="383" spans="1:93" s="1" customFormat="1" ht="21" customHeight="1">
      <c r="A383" s="20" t="str">
        <f t="shared" si="133"/>
        <v>►</v>
      </c>
      <c r="B383" s="43" t="str">
        <f t="shared" si="134"/>
        <v>►</v>
      </c>
      <c r="C383" s="45" t="str">
        <f t="shared" si="119"/>
        <v>►</v>
      </c>
      <c r="D383" s="44" t="str">
        <f t="shared" si="120"/>
        <v>►</v>
      </c>
      <c r="E383" s="43" t="str">
        <f t="shared" si="121"/>
        <v>►</v>
      </c>
      <c r="F383" s="43" t="str">
        <f t="shared" si="122"/>
        <v>►</v>
      </c>
      <c r="G383" s="43" t="str">
        <f t="shared" si="123"/>
        <v>►</v>
      </c>
      <c r="H383" s="1256" t="s">
        <v>1</v>
      </c>
      <c r="I383" s="5175" t="s">
        <v>1</v>
      </c>
      <c r="J383" s="5161"/>
      <c r="K383" s="5161"/>
      <c r="L383" s="5161"/>
      <c r="M383" s="5176"/>
      <c r="N383" s="5177"/>
      <c r="O383" s="147"/>
      <c r="P383" s="147"/>
      <c r="Q383" s="102"/>
      <c r="R383" s="102"/>
      <c r="S383" s="1360"/>
      <c r="T383" s="43"/>
      <c r="U383" s="42"/>
      <c r="V383" s="41"/>
      <c r="W383" s="40"/>
      <c r="X383" s="39"/>
      <c r="Y383" s="38"/>
      <c r="Z383" s="37"/>
      <c r="AA383" s="36"/>
      <c r="AB383" s="35"/>
      <c r="AC383" s="34"/>
      <c r="AD383" s="55"/>
      <c r="AE383" s="33"/>
      <c r="AF383"/>
      <c r="AG383" s="32"/>
      <c r="AH383" s="31"/>
      <c r="AI383" s="30"/>
      <c r="AJ383" s="5492">
        <f t="shared" si="125"/>
        <v>0</v>
      </c>
      <c r="AK383" s="54">
        <f t="shared" si="126"/>
        <v>0</v>
      </c>
      <c r="AL383" s="53" t="str">
        <f t="shared" si="127"/>
        <v/>
      </c>
      <c r="AM383" s="52"/>
      <c r="AN383" s="51">
        <f t="shared" si="128"/>
        <v>0</v>
      </c>
      <c r="AO383" s="50">
        <f t="shared" si="129"/>
        <v>0</v>
      </c>
      <c r="AP383" s="49">
        <f t="shared" si="130"/>
        <v>0</v>
      </c>
      <c r="AQ383" s="23"/>
      <c r="AR383" s="48">
        <f t="shared" si="131"/>
        <v>0</v>
      </c>
      <c r="AS383" s="47"/>
      <c r="AT383" s="13"/>
      <c r="AU383" s="46">
        <f t="shared" si="132"/>
        <v>0</v>
      </c>
      <c r="AV383"/>
      <c r="AW383"/>
      <c r="AX383"/>
      <c r="AY383"/>
      <c r="AZ383"/>
      <c r="BA383"/>
      <c r="BB383"/>
      <c r="BC383" s="3"/>
      <c r="BD383" s="3"/>
      <c r="BE383" s="3"/>
      <c r="BF383" s="3"/>
      <c r="BG383" s="3"/>
      <c r="BH383" s="3"/>
      <c r="BI383" s="3"/>
      <c r="BJ383" s="3"/>
      <c r="BK383" s="3"/>
      <c r="BL383" s="20" t="str">
        <f t="shared" si="124"/>
        <v>►</v>
      </c>
      <c r="BM383" s="3"/>
      <c r="BN383" s="2"/>
      <c r="BO383" s="2"/>
      <c r="BP383" s="2"/>
      <c r="BQ383" s="2"/>
      <c r="BR383" s="2"/>
      <c r="BS383"/>
      <c r="BT383"/>
      <c r="BU383"/>
      <c r="BV383"/>
      <c r="BW383"/>
      <c r="BX383"/>
      <c r="BY383"/>
      <c r="BZ383"/>
      <c r="CA383"/>
      <c r="CB383"/>
      <c r="CC383"/>
      <c r="CD383"/>
      <c r="CE383"/>
      <c r="CF383"/>
      <c r="CG383"/>
      <c r="CH383"/>
      <c r="CI383"/>
      <c r="CJ383"/>
      <c r="CK383"/>
      <c r="CL383"/>
      <c r="CM383"/>
      <c r="CN383"/>
      <c r="CO383" s="5">
        <v>1</v>
      </c>
    </row>
    <row r="384" spans="1:93" s="1" customFormat="1" ht="21" customHeight="1">
      <c r="A384" s="20" t="str">
        <f t="shared" si="133"/>
        <v>►</v>
      </c>
      <c r="B384" s="43" t="str">
        <f t="shared" si="134"/>
        <v>►</v>
      </c>
      <c r="C384" s="45" t="str">
        <f t="shared" si="119"/>
        <v>►</v>
      </c>
      <c r="D384" s="44" t="str">
        <f t="shared" si="120"/>
        <v>►</v>
      </c>
      <c r="E384" s="43" t="str">
        <f t="shared" si="121"/>
        <v>►</v>
      </c>
      <c r="F384" s="43" t="str">
        <f t="shared" si="122"/>
        <v>►</v>
      </c>
      <c r="G384" s="43" t="str">
        <f t="shared" si="123"/>
        <v>►</v>
      </c>
      <c r="H384" s="1256" t="s">
        <v>1</v>
      </c>
      <c r="I384" s="5175" t="s">
        <v>1</v>
      </c>
      <c r="J384" s="5161"/>
      <c r="K384" s="5161"/>
      <c r="L384" s="5161"/>
      <c r="M384" s="5176"/>
      <c r="N384" s="5177"/>
      <c r="O384" s="147"/>
      <c r="P384" s="147"/>
      <c r="Q384" s="102"/>
      <c r="R384" s="102"/>
      <c r="S384" s="1360"/>
      <c r="T384" s="43"/>
      <c r="U384" s="42"/>
      <c r="V384" s="41"/>
      <c r="W384" s="40"/>
      <c r="X384" s="39"/>
      <c r="Y384" s="38"/>
      <c r="Z384" s="37"/>
      <c r="AA384" s="36"/>
      <c r="AB384" s="35"/>
      <c r="AC384" s="34"/>
      <c r="AD384" s="55"/>
      <c r="AE384" s="33"/>
      <c r="AF384"/>
      <c r="AG384" s="32"/>
      <c r="AH384" s="31"/>
      <c r="AI384" s="30"/>
      <c r="AJ384" s="5492">
        <f t="shared" si="125"/>
        <v>0</v>
      </c>
      <c r="AK384" s="29">
        <f t="shared" si="126"/>
        <v>0</v>
      </c>
      <c r="AL384" s="28" t="str">
        <f t="shared" si="127"/>
        <v/>
      </c>
      <c r="AM384" s="27"/>
      <c r="AN384" s="26">
        <f t="shared" si="128"/>
        <v>0</v>
      </c>
      <c r="AO384" s="25">
        <f t="shared" si="129"/>
        <v>0</v>
      </c>
      <c r="AP384" s="24">
        <f t="shared" si="130"/>
        <v>0</v>
      </c>
      <c r="AQ384" s="23"/>
      <c r="AR384" s="22">
        <f t="shared" si="131"/>
        <v>0</v>
      </c>
      <c r="AS384" s="21"/>
      <c r="AT384" s="13"/>
      <c r="AU384" s="46">
        <f t="shared" si="132"/>
        <v>0</v>
      </c>
      <c r="AV384"/>
      <c r="AW384"/>
      <c r="AX384"/>
      <c r="AY384"/>
      <c r="AZ384"/>
      <c r="BA384"/>
      <c r="BB384"/>
      <c r="BC384" s="3"/>
      <c r="BD384" s="3"/>
      <c r="BE384" s="3"/>
      <c r="BF384" s="3"/>
      <c r="BG384" s="3"/>
      <c r="BH384" s="3"/>
      <c r="BI384" s="3"/>
      <c r="BJ384" s="3"/>
      <c r="BK384" s="3"/>
      <c r="BL384" s="20" t="str">
        <f t="shared" si="124"/>
        <v>►</v>
      </c>
      <c r="BM384" s="3"/>
      <c r="BN384" s="2"/>
      <c r="BO384" s="2"/>
      <c r="BP384" s="2"/>
      <c r="BQ384" s="2"/>
      <c r="BR384" s="2"/>
      <c r="BS384"/>
      <c r="BT384"/>
      <c r="BU384"/>
      <c r="BV384"/>
      <c r="BW384"/>
      <c r="BX384"/>
      <c r="BY384"/>
      <c r="BZ384"/>
      <c r="CA384"/>
      <c r="CB384"/>
      <c r="CC384"/>
      <c r="CD384"/>
      <c r="CE384"/>
      <c r="CF384"/>
      <c r="CG384"/>
      <c r="CH384"/>
      <c r="CI384"/>
      <c r="CJ384"/>
      <c r="CK384"/>
      <c r="CL384"/>
      <c r="CM384"/>
      <c r="CN384"/>
      <c r="CO384" s="5">
        <v>1</v>
      </c>
    </row>
    <row r="385" spans="1:93" s="1" customFormat="1" ht="21" customHeight="1">
      <c r="A385" s="20" t="str">
        <f t="shared" si="133"/>
        <v>►</v>
      </c>
      <c r="B385" s="43" t="str">
        <f t="shared" si="134"/>
        <v>►</v>
      </c>
      <c r="C385" s="45" t="str">
        <f t="shared" si="119"/>
        <v>►</v>
      </c>
      <c r="D385" s="44" t="str">
        <f t="shared" si="120"/>
        <v>►</v>
      </c>
      <c r="E385" s="43" t="str">
        <f t="shared" si="121"/>
        <v>►</v>
      </c>
      <c r="F385" s="43" t="str">
        <f t="shared" si="122"/>
        <v>►</v>
      </c>
      <c r="G385" s="43" t="str">
        <f t="shared" si="123"/>
        <v>►</v>
      </c>
      <c r="H385" s="1256" t="s">
        <v>1</v>
      </c>
      <c r="I385" s="5175" t="s">
        <v>1</v>
      </c>
      <c r="J385" s="5161"/>
      <c r="K385" s="5161"/>
      <c r="L385" s="5161"/>
      <c r="M385" s="5176"/>
      <c r="N385" s="5177"/>
      <c r="O385" s="147"/>
      <c r="P385" s="147"/>
      <c r="Q385" s="102"/>
      <c r="R385" s="102"/>
      <c r="S385" s="1360"/>
      <c r="T385" s="43"/>
      <c r="U385" s="42"/>
      <c r="V385" s="41"/>
      <c r="W385" s="40"/>
      <c r="X385" s="39"/>
      <c r="Y385" s="38"/>
      <c r="Z385" s="37"/>
      <c r="AA385" s="36"/>
      <c r="AB385" s="35"/>
      <c r="AC385" s="34"/>
      <c r="AD385" s="55"/>
      <c r="AE385" s="33"/>
      <c r="AF385"/>
      <c r="AG385" s="32"/>
      <c r="AH385" s="31"/>
      <c r="AI385" s="30"/>
      <c r="AJ385" s="5492">
        <f t="shared" si="125"/>
        <v>0</v>
      </c>
      <c r="AK385" s="54">
        <f t="shared" si="126"/>
        <v>0</v>
      </c>
      <c r="AL385" s="53" t="str">
        <f t="shared" si="127"/>
        <v/>
      </c>
      <c r="AM385" s="52"/>
      <c r="AN385" s="51">
        <f t="shared" si="128"/>
        <v>0</v>
      </c>
      <c r="AO385" s="50">
        <f t="shared" si="129"/>
        <v>0</v>
      </c>
      <c r="AP385" s="49">
        <f t="shared" si="130"/>
        <v>0</v>
      </c>
      <c r="AQ385" s="23"/>
      <c r="AR385" s="48">
        <f t="shared" si="131"/>
        <v>0</v>
      </c>
      <c r="AS385" s="47"/>
      <c r="AT385" s="13"/>
      <c r="AU385" s="46">
        <f t="shared" si="132"/>
        <v>0</v>
      </c>
      <c r="AV385"/>
      <c r="AW385"/>
      <c r="AX385"/>
      <c r="AY385"/>
      <c r="AZ385"/>
      <c r="BA385"/>
      <c r="BB385"/>
      <c r="BC385" s="3"/>
      <c r="BD385" s="3"/>
      <c r="BE385" s="3"/>
      <c r="BF385" s="3"/>
      <c r="BG385" s="3"/>
      <c r="BH385" s="3"/>
      <c r="BI385" s="3"/>
      <c r="BJ385" s="3"/>
      <c r="BK385" s="3"/>
      <c r="BL385" s="20" t="str">
        <f t="shared" si="124"/>
        <v>►</v>
      </c>
      <c r="BM385" s="3"/>
      <c r="BN385" s="2"/>
      <c r="BO385" s="2"/>
      <c r="BP385" s="2"/>
      <c r="BQ385" s="2"/>
      <c r="BR385" s="2"/>
      <c r="BS385"/>
      <c r="BT385"/>
      <c r="BU385"/>
      <c r="BV385"/>
      <c r="BW385"/>
      <c r="BX385"/>
      <c r="BY385"/>
      <c r="BZ385"/>
      <c r="CA385"/>
      <c r="CB385"/>
      <c r="CC385"/>
      <c r="CD385"/>
      <c r="CE385"/>
      <c r="CF385"/>
      <c r="CG385"/>
      <c r="CH385"/>
      <c r="CI385"/>
      <c r="CJ385"/>
      <c r="CK385"/>
      <c r="CL385"/>
      <c r="CM385"/>
      <c r="CN385"/>
      <c r="CO385" s="5">
        <v>1</v>
      </c>
    </row>
    <row r="386" spans="1:93" s="1" customFormat="1" ht="21" customHeight="1">
      <c r="A386" s="20" t="str">
        <f t="shared" si="133"/>
        <v>►</v>
      </c>
      <c r="B386" s="43" t="str">
        <f t="shared" si="134"/>
        <v>►</v>
      </c>
      <c r="C386" s="45" t="str">
        <f t="shared" si="119"/>
        <v>►</v>
      </c>
      <c r="D386" s="44" t="str">
        <f t="shared" si="120"/>
        <v>►</v>
      </c>
      <c r="E386" s="43" t="str">
        <f t="shared" si="121"/>
        <v>►</v>
      </c>
      <c r="F386" s="43" t="str">
        <f t="shared" si="122"/>
        <v>►</v>
      </c>
      <c r="G386" s="43" t="str">
        <f t="shared" si="123"/>
        <v>►</v>
      </c>
      <c r="H386" s="1256" t="s">
        <v>1</v>
      </c>
      <c r="I386" s="5175" t="s">
        <v>1</v>
      </c>
      <c r="J386" s="5161"/>
      <c r="K386" s="5161"/>
      <c r="L386" s="5161"/>
      <c r="M386" s="5176"/>
      <c r="N386" s="5177"/>
      <c r="O386" s="147"/>
      <c r="P386" s="147"/>
      <c r="Q386" s="102"/>
      <c r="R386" s="102"/>
      <c r="S386" s="1360"/>
      <c r="T386" s="43"/>
      <c r="U386" s="42"/>
      <c r="V386" s="41"/>
      <c r="W386" s="40"/>
      <c r="X386" s="39"/>
      <c r="Y386" s="38"/>
      <c r="Z386" s="37"/>
      <c r="AA386" s="36"/>
      <c r="AB386" s="35"/>
      <c r="AC386" s="34"/>
      <c r="AD386" s="55"/>
      <c r="AE386" s="33"/>
      <c r="AF386"/>
      <c r="AG386" s="32"/>
      <c r="AH386" s="31"/>
      <c r="AI386" s="30"/>
      <c r="AJ386" s="5492">
        <f t="shared" si="125"/>
        <v>0</v>
      </c>
      <c r="AK386" s="29">
        <f t="shared" si="126"/>
        <v>0</v>
      </c>
      <c r="AL386" s="28" t="str">
        <f t="shared" si="127"/>
        <v/>
      </c>
      <c r="AM386" s="27"/>
      <c r="AN386" s="26">
        <f t="shared" si="128"/>
        <v>0</v>
      </c>
      <c r="AO386" s="25">
        <f t="shared" si="129"/>
        <v>0</v>
      </c>
      <c r="AP386" s="24">
        <f t="shared" si="130"/>
        <v>0</v>
      </c>
      <c r="AQ386" s="23"/>
      <c r="AR386" s="22">
        <f t="shared" si="131"/>
        <v>0</v>
      </c>
      <c r="AS386" s="21"/>
      <c r="AT386" s="13"/>
      <c r="AU386" s="46">
        <f t="shared" si="132"/>
        <v>0</v>
      </c>
      <c r="AV386"/>
      <c r="AW386"/>
      <c r="AX386"/>
      <c r="AY386"/>
      <c r="AZ386"/>
      <c r="BA386"/>
      <c r="BB386"/>
      <c r="BC386" s="3"/>
      <c r="BD386" s="3"/>
      <c r="BE386" s="3"/>
      <c r="BF386" s="3"/>
      <c r="BG386" s="3"/>
      <c r="BH386" s="3"/>
      <c r="BI386" s="3"/>
      <c r="BJ386" s="3"/>
      <c r="BK386" s="3"/>
      <c r="BL386" s="20" t="str">
        <f t="shared" si="124"/>
        <v>►</v>
      </c>
      <c r="BM386" s="3"/>
      <c r="BN386" s="2"/>
      <c r="BO386" s="2"/>
      <c r="BP386" s="2"/>
      <c r="BQ386" s="2"/>
      <c r="BR386" s="2"/>
      <c r="BS386"/>
      <c r="BT386"/>
      <c r="BU386"/>
      <c r="BV386"/>
      <c r="BW386"/>
      <c r="BX386"/>
      <c r="BY386"/>
      <c r="BZ386"/>
      <c r="CA386"/>
      <c r="CB386"/>
      <c r="CC386"/>
      <c r="CD386"/>
      <c r="CE386"/>
      <c r="CF386"/>
      <c r="CG386"/>
      <c r="CH386"/>
      <c r="CI386"/>
      <c r="CJ386"/>
      <c r="CK386"/>
      <c r="CL386"/>
      <c r="CM386"/>
      <c r="CN386"/>
      <c r="CO386" s="5">
        <v>1</v>
      </c>
    </row>
    <row r="387" spans="1:93" s="1" customFormat="1" ht="21" customHeight="1">
      <c r="A387" s="20" t="str">
        <f t="shared" si="133"/>
        <v>►</v>
      </c>
      <c r="B387" s="43" t="str">
        <f t="shared" si="134"/>
        <v>►</v>
      </c>
      <c r="C387" s="45" t="str">
        <f t="shared" si="119"/>
        <v>►</v>
      </c>
      <c r="D387" s="44" t="str">
        <f t="shared" si="120"/>
        <v>►</v>
      </c>
      <c r="E387" s="43" t="str">
        <f t="shared" si="121"/>
        <v>►</v>
      </c>
      <c r="F387" s="43" t="str">
        <f t="shared" si="122"/>
        <v>►</v>
      </c>
      <c r="G387" s="43" t="str">
        <f t="shared" si="123"/>
        <v>►</v>
      </c>
      <c r="H387" s="1256" t="s">
        <v>1</v>
      </c>
      <c r="I387" s="5175" t="s">
        <v>1</v>
      </c>
      <c r="J387" s="5161"/>
      <c r="K387" s="5161"/>
      <c r="L387" s="5161"/>
      <c r="M387" s="5176"/>
      <c r="N387" s="5177"/>
      <c r="O387" s="147"/>
      <c r="P387" s="147"/>
      <c r="Q387" s="102"/>
      <c r="R387" s="102"/>
      <c r="S387" s="1360"/>
      <c r="T387" s="43"/>
      <c r="U387" s="42"/>
      <c r="V387" s="41"/>
      <c r="W387" s="40"/>
      <c r="X387" s="39"/>
      <c r="Y387" s="38"/>
      <c r="Z387" s="37"/>
      <c r="AA387" s="36"/>
      <c r="AB387" s="35"/>
      <c r="AC387" s="34"/>
      <c r="AD387" s="55"/>
      <c r="AE387" s="33"/>
      <c r="AF387"/>
      <c r="AG387" s="32"/>
      <c r="AH387" s="31"/>
      <c r="AI387" s="30"/>
      <c r="AJ387" s="5492">
        <f t="shared" si="125"/>
        <v>0</v>
      </c>
      <c r="AK387" s="54">
        <f t="shared" si="126"/>
        <v>0</v>
      </c>
      <c r="AL387" s="53" t="str">
        <f t="shared" si="127"/>
        <v/>
      </c>
      <c r="AM387" s="52"/>
      <c r="AN387" s="51">
        <f t="shared" si="128"/>
        <v>0</v>
      </c>
      <c r="AO387" s="50">
        <f t="shared" si="129"/>
        <v>0</v>
      </c>
      <c r="AP387" s="49">
        <f t="shared" si="130"/>
        <v>0</v>
      </c>
      <c r="AQ387" s="23"/>
      <c r="AR387" s="48">
        <f t="shared" si="131"/>
        <v>0</v>
      </c>
      <c r="AS387" s="47"/>
      <c r="AT387" s="13"/>
      <c r="AU387" s="46">
        <f t="shared" si="132"/>
        <v>0</v>
      </c>
      <c r="AV387"/>
      <c r="AW387"/>
      <c r="AX387"/>
      <c r="AY387"/>
      <c r="AZ387"/>
      <c r="BA387"/>
      <c r="BB387"/>
      <c r="BC387" s="3"/>
      <c r="BD387" s="3"/>
      <c r="BE387" s="3"/>
      <c r="BF387" s="3"/>
      <c r="BG387" s="3"/>
      <c r="BH387" s="3"/>
      <c r="BI387" s="3"/>
      <c r="BJ387" s="3"/>
      <c r="BK387" s="3"/>
      <c r="BL387" s="20" t="str">
        <f t="shared" si="124"/>
        <v>►</v>
      </c>
      <c r="BM387" s="3"/>
      <c r="BN387" s="2"/>
      <c r="BO387" s="2"/>
      <c r="BP387" s="2"/>
      <c r="BQ387" s="2"/>
      <c r="BR387" s="2"/>
      <c r="BS387"/>
      <c r="BT387"/>
      <c r="BU387"/>
      <c r="BV387"/>
      <c r="BW387"/>
      <c r="BX387"/>
      <c r="BY387"/>
      <c r="BZ387"/>
      <c r="CA387"/>
      <c r="CB387"/>
      <c r="CC387"/>
      <c r="CD387"/>
      <c r="CE387"/>
      <c r="CF387"/>
      <c r="CG387"/>
      <c r="CH387"/>
      <c r="CI387"/>
      <c r="CJ387"/>
      <c r="CK387"/>
      <c r="CL387"/>
      <c r="CM387"/>
      <c r="CN387"/>
      <c r="CO387" s="5">
        <v>1</v>
      </c>
    </row>
    <row r="388" spans="1:93" s="1" customFormat="1" ht="21" customHeight="1">
      <c r="A388" s="20" t="str">
        <f t="shared" si="133"/>
        <v>►</v>
      </c>
      <c r="B388" s="43" t="str">
        <f t="shared" si="134"/>
        <v>►</v>
      </c>
      <c r="C388" s="45" t="str">
        <f t="shared" si="119"/>
        <v>►</v>
      </c>
      <c r="D388" s="44" t="str">
        <f t="shared" si="120"/>
        <v>►</v>
      </c>
      <c r="E388" s="43" t="str">
        <f t="shared" si="121"/>
        <v>►</v>
      </c>
      <c r="F388" s="43" t="str">
        <f t="shared" si="122"/>
        <v>►</v>
      </c>
      <c r="G388" s="43" t="str">
        <f t="shared" si="123"/>
        <v>►</v>
      </c>
      <c r="H388" s="1256" t="s">
        <v>1</v>
      </c>
      <c r="I388" s="5175" t="s">
        <v>1</v>
      </c>
      <c r="J388" s="5161"/>
      <c r="K388" s="5161"/>
      <c r="L388" s="5161"/>
      <c r="M388" s="5176"/>
      <c r="N388" s="5177"/>
      <c r="O388" s="147"/>
      <c r="P388" s="147"/>
      <c r="Q388" s="102"/>
      <c r="R388" s="102"/>
      <c r="S388" s="1360"/>
      <c r="T388" s="43"/>
      <c r="U388" s="42"/>
      <c r="V388" s="41"/>
      <c r="W388" s="40"/>
      <c r="X388" s="39"/>
      <c r="Y388" s="38"/>
      <c r="Z388" s="37"/>
      <c r="AA388" s="36"/>
      <c r="AB388" s="35"/>
      <c r="AC388" s="34"/>
      <c r="AD388" s="55"/>
      <c r="AE388" s="33"/>
      <c r="AF388"/>
      <c r="AG388" s="32"/>
      <c r="AH388" s="31"/>
      <c r="AI388" s="30"/>
      <c r="AJ388" s="5492">
        <f t="shared" si="125"/>
        <v>0</v>
      </c>
      <c r="AK388" s="29">
        <f t="shared" si="126"/>
        <v>0</v>
      </c>
      <c r="AL388" s="28" t="str">
        <f t="shared" si="127"/>
        <v/>
      </c>
      <c r="AM388" s="27"/>
      <c r="AN388" s="26">
        <f t="shared" si="128"/>
        <v>0</v>
      </c>
      <c r="AO388" s="25">
        <f t="shared" si="129"/>
        <v>0</v>
      </c>
      <c r="AP388" s="24">
        <f t="shared" si="130"/>
        <v>0</v>
      </c>
      <c r="AQ388" s="23"/>
      <c r="AR388" s="22">
        <f t="shared" si="131"/>
        <v>0</v>
      </c>
      <c r="AS388" s="21"/>
      <c r="AT388" s="13"/>
      <c r="AU388" s="46">
        <f t="shared" si="132"/>
        <v>0</v>
      </c>
      <c r="AV388"/>
      <c r="AW388"/>
      <c r="AX388"/>
      <c r="AY388"/>
      <c r="AZ388"/>
      <c r="BA388"/>
      <c r="BB388"/>
      <c r="BC388" s="3"/>
      <c r="BD388" s="3"/>
      <c r="BE388" s="3"/>
      <c r="BF388" s="3"/>
      <c r="BG388" s="3"/>
      <c r="BH388" s="3"/>
      <c r="BI388" s="3"/>
      <c r="BJ388" s="3"/>
      <c r="BK388" s="3"/>
      <c r="BL388" s="20" t="str">
        <f t="shared" si="124"/>
        <v>►</v>
      </c>
      <c r="BM388" s="3"/>
      <c r="BN388" s="2"/>
      <c r="BO388" s="2"/>
      <c r="BP388" s="2"/>
      <c r="BQ388" s="2"/>
      <c r="BR388" s="2"/>
      <c r="BS388"/>
      <c r="BT388"/>
      <c r="BU388"/>
      <c r="BV388"/>
      <c r="BW388"/>
      <c r="BX388"/>
      <c r="BY388"/>
      <c r="BZ388"/>
      <c r="CA388"/>
      <c r="CB388"/>
      <c r="CC388"/>
      <c r="CD388"/>
      <c r="CE388"/>
      <c r="CF388"/>
      <c r="CG388"/>
      <c r="CH388"/>
      <c r="CI388"/>
      <c r="CJ388"/>
      <c r="CK388"/>
      <c r="CL388"/>
      <c r="CM388"/>
      <c r="CN388"/>
      <c r="CO388" s="5">
        <v>1</v>
      </c>
    </row>
    <row r="389" spans="1:93" s="1" customFormat="1" ht="21" customHeight="1">
      <c r="A389" s="20" t="str">
        <f t="shared" si="133"/>
        <v>►</v>
      </c>
      <c r="B389" s="43" t="str">
        <f t="shared" si="134"/>
        <v>►</v>
      </c>
      <c r="C389" s="45" t="str">
        <f t="shared" si="119"/>
        <v>►</v>
      </c>
      <c r="D389" s="44" t="str">
        <f t="shared" si="120"/>
        <v>►</v>
      </c>
      <c r="E389" s="43" t="str">
        <f t="shared" si="121"/>
        <v>►</v>
      </c>
      <c r="F389" s="43" t="str">
        <f t="shared" si="122"/>
        <v>►</v>
      </c>
      <c r="G389" s="43" t="str">
        <f t="shared" si="123"/>
        <v>►</v>
      </c>
      <c r="H389" s="1256" t="s">
        <v>1</v>
      </c>
      <c r="I389" s="5175" t="s">
        <v>1</v>
      </c>
      <c r="J389" s="5161"/>
      <c r="K389" s="5161"/>
      <c r="L389" s="5161"/>
      <c r="M389" s="5176"/>
      <c r="N389" s="5177"/>
      <c r="O389" s="147"/>
      <c r="P389" s="147"/>
      <c r="Q389" s="102"/>
      <c r="R389" s="102"/>
      <c r="S389" s="1360"/>
      <c r="T389" s="43"/>
      <c r="U389" s="42"/>
      <c r="V389" s="41"/>
      <c r="W389" s="40"/>
      <c r="X389" s="39"/>
      <c r="Y389" s="38"/>
      <c r="Z389" s="37"/>
      <c r="AA389" s="36"/>
      <c r="AB389" s="35"/>
      <c r="AC389" s="34"/>
      <c r="AD389" s="55"/>
      <c r="AE389" s="33"/>
      <c r="AF389"/>
      <c r="AG389" s="32"/>
      <c r="AH389" s="31"/>
      <c r="AI389" s="30"/>
      <c r="AJ389" s="5492">
        <f t="shared" si="125"/>
        <v>0</v>
      </c>
      <c r="AK389" s="54">
        <f t="shared" si="126"/>
        <v>0</v>
      </c>
      <c r="AL389" s="53" t="str">
        <f t="shared" si="127"/>
        <v/>
      </c>
      <c r="AM389" s="52"/>
      <c r="AN389" s="51">
        <f t="shared" si="128"/>
        <v>0</v>
      </c>
      <c r="AO389" s="50">
        <f t="shared" si="129"/>
        <v>0</v>
      </c>
      <c r="AP389" s="49">
        <f t="shared" si="130"/>
        <v>0</v>
      </c>
      <c r="AQ389" s="23"/>
      <c r="AR389" s="48">
        <f t="shared" si="131"/>
        <v>0</v>
      </c>
      <c r="AS389" s="47"/>
      <c r="AT389" s="13"/>
      <c r="AU389" s="46">
        <f t="shared" si="132"/>
        <v>0</v>
      </c>
      <c r="AV389"/>
      <c r="AW389"/>
      <c r="AX389"/>
      <c r="AY389"/>
      <c r="AZ389"/>
      <c r="BA389"/>
      <c r="BB389"/>
      <c r="BC389" s="3"/>
      <c r="BD389" s="3"/>
      <c r="BE389" s="3"/>
      <c r="BF389" s="3"/>
      <c r="BG389" s="3"/>
      <c r="BH389" s="3"/>
      <c r="BI389" s="3"/>
      <c r="BJ389" s="3"/>
      <c r="BK389" s="3"/>
      <c r="BL389" s="20" t="str">
        <f t="shared" si="124"/>
        <v>►</v>
      </c>
      <c r="BM389" s="3"/>
      <c r="BN389" s="2"/>
      <c r="BO389" s="2"/>
      <c r="BP389" s="2"/>
      <c r="BQ389" s="2"/>
      <c r="BR389" s="2"/>
      <c r="BS389"/>
      <c r="BT389"/>
      <c r="BU389"/>
      <c r="BV389"/>
      <c r="BW389"/>
      <c r="BX389"/>
      <c r="BY389"/>
      <c r="BZ389"/>
      <c r="CA389"/>
      <c r="CB389"/>
      <c r="CC389"/>
      <c r="CD389"/>
      <c r="CE389"/>
      <c r="CF389"/>
      <c r="CG389"/>
      <c r="CH389"/>
      <c r="CI389"/>
      <c r="CJ389"/>
      <c r="CK389"/>
      <c r="CL389"/>
      <c r="CM389"/>
      <c r="CN389"/>
      <c r="CO389" s="5">
        <v>1</v>
      </c>
    </row>
    <row r="390" spans="1:93" s="1" customFormat="1" ht="21" customHeight="1">
      <c r="A390" s="20" t="str">
        <f t="shared" si="133"/>
        <v>►</v>
      </c>
      <c r="B390" s="43" t="str">
        <f t="shared" si="134"/>
        <v>►</v>
      </c>
      <c r="C390" s="45" t="str">
        <f t="shared" si="119"/>
        <v>►</v>
      </c>
      <c r="D390" s="44" t="str">
        <f t="shared" si="120"/>
        <v>►</v>
      </c>
      <c r="E390" s="43" t="str">
        <f t="shared" si="121"/>
        <v>►</v>
      </c>
      <c r="F390" s="43" t="str">
        <f t="shared" si="122"/>
        <v>►</v>
      </c>
      <c r="G390" s="43" t="str">
        <f t="shared" si="123"/>
        <v>►</v>
      </c>
      <c r="H390" s="1256" t="s">
        <v>1</v>
      </c>
      <c r="I390" s="5175" t="s">
        <v>1</v>
      </c>
      <c r="J390" s="5161"/>
      <c r="K390" s="5161"/>
      <c r="L390" s="5161"/>
      <c r="M390" s="5176"/>
      <c r="N390" s="5177"/>
      <c r="O390" s="147"/>
      <c r="P390" s="147"/>
      <c r="Q390" s="102"/>
      <c r="R390" s="102"/>
      <c r="S390" s="1360"/>
      <c r="T390" s="43"/>
      <c r="U390" s="42"/>
      <c r="V390" s="41"/>
      <c r="W390" s="40"/>
      <c r="X390" s="39"/>
      <c r="Y390" s="38"/>
      <c r="Z390" s="37"/>
      <c r="AA390" s="36"/>
      <c r="AB390" s="35"/>
      <c r="AC390" s="34"/>
      <c r="AD390" s="55"/>
      <c r="AE390" s="33"/>
      <c r="AF390"/>
      <c r="AG390" s="32"/>
      <c r="AH390" s="31"/>
      <c r="AI390" s="30"/>
      <c r="AJ390" s="5492">
        <f t="shared" si="125"/>
        <v>0</v>
      </c>
      <c r="AK390" s="29">
        <f t="shared" si="126"/>
        <v>0</v>
      </c>
      <c r="AL390" s="28" t="str">
        <f t="shared" si="127"/>
        <v/>
      </c>
      <c r="AM390" s="27"/>
      <c r="AN390" s="26">
        <f t="shared" si="128"/>
        <v>0</v>
      </c>
      <c r="AO390" s="25">
        <f t="shared" si="129"/>
        <v>0</v>
      </c>
      <c r="AP390" s="24">
        <f t="shared" si="130"/>
        <v>0</v>
      </c>
      <c r="AQ390" s="23"/>
      <c r="AR390" s="22">
        <f t="shared" si="131"/>
        <v>0</v>
      </c>
      <c r="AS390" s="21"/>
      <c r="AT390" s="13"/>
      <c r="AU390" s="46">
        <f t="shared" si="132"/>
        <v>0</v>
      </c>
      <c r="AV390"/>
      <c r="AW390"/>
      <c r="AX390"/>
      <c r="AY390"/>
      <c r="AZ390"/>
      <c r="BA390"/>
      <c r="BB390"/>
      <c r="BC390" s="3"/>
      <c r="BD390" s="3"/>
      <c r="BE390" s="3"/>
      <c r="BF390" s="3"/>
      <c r="BG390" s="3"/>
      <c r="BH390" s="3"/>
      <c r="BI390" s="3"/>
      <c r="BJ390" s="3"/>
      <c r="BK390" s="3"/>
      <c r="BL390" s="20" t="str">
        <f t="shared" si="124"/>
        <v>►</v>
      </c>
      <c r="BM390" s="3"/>
      <c r="BN390" s="2"/>
      <c r="BO390" s="2"/>
      <c r="BP390" s="2"/>
      <c r="BQ390" s="2"/>
      <c r="BR390" s="2"/>
      <c r="BS390"/>
      <c r="BT390"/>
      <c r="BU390"/>
      <c r="BV390"/>
      <c r="BW390"/>
      <c r="BX390"/>
      <c r="BY390"/>
      <c r="BZ390"/>
      <c r="CA390"/>
      <c r="CB390"/>
      <c r="CC390"/>
      <c r="CD390"/>
      <c r="CE390"/>
      <c r="CF390"/>
      <c r="CG390"/>
      <c r="CH390"/>
      <c r="CI390"/>
      <c r="CJ390"/>
      <c r="CK390"/>
      <c r="CL390"/>
      <c r="CM390"/>
      <c r="CN390"/>
      <c r="CO390" s="5">
        <v>1</v>
      </c>
    </row>
    <row r="391" spans="1:93" s="1" customFormat="1" ht="21" customHeight="1">
      <c r="A391" s="20" t="str">
        <f t="shared" si="133"/>
        <v>►</v>
      </c>
      <c r="B391" s="43" t="str">
        <f t="shared" si="134"/>
        <v>►</v>
      </c>
      <c r="C391" s="45" t="str">
        <f t="shared" si="119"/>
        <v>►</v>
      </c>
      <c r="D391" s="44" t="str">
        <f t="shared" si="120"/>
        <v>►</v>
      </c>
      <c r="E391" s="43" t="str">
        <f t="shared" si="121"/>
        <v>►</v>
      </c>
      <c r="F391" s="43" t="str">
        <f t="shared" si="122"/>
        <v>►</v>
      </c>
      <c r="G391" s="43" t="str">
        <f t="shared" si="123"/>
        <v>►</v>
      </c>
      <c r="H391" s="1256" t="s">
        <v>1</v>
      </c>
      <c r="I391" s="5175" t="s">
        <v>1</v>
      </c>
      <c r="J391" s="5161"/>
      <c r="K391" s="5161"/>
      <c r="L391" s="5161"/>
      <c r="M391" s="5176"/>
      <c r="N391" s="5177"/>
      <c r="O391" s="147"/>
      <c r="P391" s="147"/>
      <c r="Q391" s="102"/>
      <c r="R391" s="102"/>
      <c r="S391" s="1360"/>
      <c r="T391" s="43"/>
      <c r="U391" s="42"/>
      <c r="V391" s="41"/>
      <c r="W391" s="40"/>
      <c r="X391" s="39"/>
      <c r="Y391" s="38"/>
      <c r="Z391" s="37"/>
      <c r="AA391" s="36"/>
      <c r="AB391" s="35"/>
      <c r="AC391" s="34"/>
      <c r="AD391" s="55"/>
      <c r="AE391" s="33"/>
      <c r="AF391"/>
      <c r="AG391" s="32"/>
      <c r="AH391" s="31"/>
      <c r="AI391" s="30"/>
      <c r="AJ391" s="5492">
        <f t="shared" si="125"/>
        <v>0</v>
      </c>
      <c r="AK391" s="54">
        <f t="shared" si="126"/>
        <v>0</v>
      </c>
      <c r="AL391" s="53" t="str">
        <f t="shared" si="127"/>
        <v/>
      </c>
      <c r="AM391" s="52"/>
      <c r="AN391" s="51">
        <f t="shared" si="128"/>
        <v>0</v>
      </c>
      <c r="AO391" s="50">
        <f t="shared" si="129"/>
        <v>0</v>
      </c>
      <c r="AP391" s="49">
        <f t="shared" si="130"/>
        <v>0</v>
      </c>
      <c r="AQ391" s="23"/>
      <c r="AR391" s="48">
        <f t="shared" si="131"/>
        <v>0</v>
      </c>
      <c r="AS391" s="47"/>
      <c r="AT391" s="13"/>
      <c r="AU391" s="46">
        <f t="shared" si="132"/>
        <v>0</v>
      </c>
      <c r="AV391"/>
      <c r="AW391"/>
      <c r="AX391"/>
      <c r="AY391"/>
      <c r="AZ391"/>
      <c r="BA391"/>
      <c r="BB391"/>
      <c r="BC391" s="3"/>
      <c r="BD391" s="3"/>
      <c r="BE391" s="3"/>
      <c r="BF391" s="3"/>
      <c r="BG391" s="3"/>
      <c r="BH391" s="3"/>
      <c r="BI391" s="3"/>
      <c r="BJ391" s="3"/>
      <c r="BK391" s="3"/>
      <c r="BL391" s="20" t="str">
        <f t="shared" si="124"/>
        <v>►</v>
      </c>
      <c r="BM391" s="3"/>
      <c r="BN391" s="2"/>
      <c r="BO391" s="2"/>
      <c r="BP391" s="2"/>
      <c r="BQ391" s="2"/>
      <c r="BR391" s="2"/>
      <c r="BS391"/>
      <c r="BT391"/>
      <c r="BU391"/>
      <c r="BV391"/>
      <c r="BW391"/>
      <c r="BX391"/>
      <c r="BY391"/>
      <c r="BZ391"/>
      <c r="CA391"/>
      <c r="CB391"/>
      <c r="CC391"/>
      <c r="CD391"/>
      <c r="CE391"/>
      <c r="CF391"/>
      <c r="CG391"/>
      <c r="CH391"/>
      <c r="CI391"/>
      <c r="CJ391"/>
      <c r="CK391"/>
      <c r="CL391"/>
      <c r="CM391"/>
      <c r="CN391"/>
      <c r="CO391" s="5">
        <v>1</v>
      </c>
    </row>
    <row r="392" spans="1:93" s="1" customFormat="1" ht="21" customHeight="1">
      <c r="A392" s="20" t="str">
        <f t="shared" si="133"/>
        <v>►</v>
      </c>
      <c r="B392" s="43" t="str">
        <f t="shared" si="134"/>
        <v>►</v>
      </c>
      <c r="C392" s="45" t="str">
        <f t="shared" si="119"/>
        <v>►</v>
      </c>
      <c r="D392" s="44" t="str">
        <f t="shared" si="120"/>
        <v>►</v>
      </c>
      <c r="E392" s="43" t="str">
        <f t="shared" si="121"/>
        <v>►</v>
      </c>
      <c r="F392" s="43" t="str">
        <f t="shared" si="122"/>
        <v>►</v>
      </c>
      <c r="G392" s="43" t="str">
        <f t="shared" si="123"/>
        <v>►</v>
      </c>
      <c r="H392" s="1256" t="s">
        <v>1</v>
      </c>
      <c r="I392" s="5175" t="s">
        <v>1</v>
      </c>
      <c r="J392" s="5161"/>
      <c r="K392" s="5161"/>
      <c r="L392" s="5161"/>
      <c r="M392" s="5176"/>
      <c r="N392" s="5177"/>
      <c r="O392" s="147"/>
      <c r="P392" s="147"/>
      <c r="Q392" s="102"/>
      <c r="R392" s="102"/>
      <c r="S392" s="1360"/>
      <c r="T392" s="43"/>
      <c r="U392" s="42"/>
      <c r="V392" s="41"/>
      <c r="W392" s="40"/>
      <c r="X392" s="39"/>
      <c r="Y392" s="38"/>
      <c r="Z392" s="37"/>
      <c r="AA392" s="36"/>
      <c r="AB392" s="35"/>
      <c r="AC392" s="34"/>
      <c r="AD392" s="55"/>
      <c r="AE392" s="33"/>
      <c r="AF392"/>
      <c r="AG392" s="32"/>
      <c r="AH392" s="31"/>
      <c r="AI392" s="30"/>
      <c r="AJ392" s="5492">
        <f t="shared" si="125"/>
        <v>0</v>
      </c>
      <c r="AK392" s="29">
        <f t="shared" si="126"/>
        <v>0</v>
      </c>
      <c r="AL392" s="28" t="str">
        <f t="shared" si="127"/>
        <v/>
      </c>
      <c r="AM392" s="27"/>
      <c r="AN392" s="26">
        <f t="shared" si="128"/>
        <v>0</v>
      </c>
      <c r="AO392" s="25">
        <f t="shared" si="129"/>
        <v>0</v>
      </c>
      <c r="AP392" s="24">
        <f t="shared" si="130"/>
        <v>0</v>
      </c>
      <c r="AQ392" s="23"/>
      <c r="AR392" s="22">
        <f t="shared" si="131"/>
        <v>0</v>
      </c>
      <c r="AS392" s="21"/>
      <c r="AT392" s="13"/>
      <c r="AU392" s="46">
        <f t="shared" si="132"/>
        <v>0</v>
      </c>
      <c r="AV392"/>
      <c r="AW392"/>
      <c r="AX392"/>
      <c r="AY392"/>
      <c r="AZ392"/>
      <c r="BA392"/>
      <c r="BB392"/>
      <c r="BC392" s="3"/>
      <c r="BD392" s="3"/>
      <c r="BE392" s="3"/>
      <c r="BF392" s="3"/>
      <c r="BG392" s="3"/>
      <c r="BH392" s="3"/>
      <c r="BI392" s="3"/>
      <c r="BJ392" s="3"/>
      <c r="BK392" s="3"/>
      <c r="BL392" s="20" t="str">
        <f t="shared" si="124"/>
        <v>►</v>
      </c>
      <c r="BM392" s="3"/>
      <c r="BN392" s="2"/>
      <c r="BO392" s="2"/>
      <c r="BP392" s="2"/>
      <c r="BQ392" s="2"/>
      <c r="BR392" s="2"/>
      <c r="BS392"/>
      <c r="BT392"/>
      <c r="BU392"/>
      <c r="BV392"/>
      <c r="BW392"/>
      <c r="BX392"/>
      <c r="BY392"/>
      <c r="BZ392"/>
      <c r="CA392"/>
      <c r="CB392"/>
      <c r="CC392"/>
      <c r="CD392"/>
      <c r="CE392"/>
      <c r="CF392"/>
      <c r="CG392"/>
      <c r="CH392"/>
      <c r="CI392"/>
      <c r="CJ392"/>
      <c r="CK392"/>
      <c r="CL392"/>
      <c r="CM392"/>
      <c r="CN392"/>
      <c r="CO392" s="5">
        <v>1</v>
      </c>
    </row>
    <row r="393" spans="1:93" s="1" customFormat="1" ht="21" customHeight="1">
      <c r="A393" s="20" t="str">
        <f t="shared" si="133"/>
        <v>►</v>
      </c>
      <c r="B393" s="43" t="str">
        <f t="shared" si="134"/>
        <v>►</v>
      </c>
      <c r="C393" s="45" t="str">
        <f t="shared" si="119"/>
        <v>►</v>
      </c>
      <c r="D393" s="44" t="str">
        <f t="shared" si="120"/>
        <v>►</v>
      </c>
      <c r="E393" s="43" t="str">
        <f t="shared" si="121"/>
        <v>►</v>
      </c>
      <c r="F393" s="43" t="str">
        <f t="shared" si="122"/>
        <v>►</v>
      </c>
      <c r="G393" s="43" t="str">
        <f t="shared" si="123"/>
        <v>►</v>
      </c>
      <c r="H393" s="1256" t="s">
        <v>1</v>
      </c>
      <c r="I393" s="5175" t="s">
        <v>1</v>
      </c>
      <c r="J393" s="5161"/>
      <c r="K393" s="5161"/>
      <c r="L393" s="5161"/>
      <c r="M393" s="5176"/>
      <c r="N393" s="5177"/>
      <c r="O393" s="147"/>
      <c r="P393" s="147"/>
      <c r="Q393" s="102"/>
      <c r="R393" s="102"/>
      <c r="S393" s="1360"/>
      <c r="T393" s="43"/>
      <c r="U393" s="42"/>
      <c r="V393" s="41"/>
      <c r="W393" s="40"/>
      <c r="X393" s="39"/>
      <c r="Y393" s="38"/>
      <c r="Z393" s="37"/>
      <c r="AA393" s="36"/>
      <c r="AB393" s="35"/>
      <c r="AC393" s="34"/>
      <c r="AD393" s="55"/>
      <c r="AE393" s="33"/>
      <c r="AF393"/>
      <c r="AG393" s="32"/>
      <c r="AH393" s="31"/>
      <c r="AI393" s="30"/>
      <c r="AJ393" s="5492">
        <f t="shared" si="125"/>
        <v>0</v>
      </c>
      <c r="AK393" s="54">
        <f t="shared" si="126"/>
        <v>0</v>
      </c>
      <c r="AL393" s="53" t="str">
        <f t="shared" si="127"/>
        <v/>
      </c>
      <c r="AM393" s="52"/>
      <c r="AN393" s="51">
        <f t="shared" si="128"/>
        <v>0</v>
      </c>
      <c r="AO393" s="50">
        <f t="shared" si="129"/>
        <v>0</v>
      </c>
      <c r="AP393" s="49">
        <f t="shared" si="130"/>
        <v>0</v>
      </c>
      <c r="AQ393" s="23"/>
      <c r="AR393" s="48">
        <f t="shared" si="131"/>
        <v>0</v>
      </c>
      <c r="AS393" s="47"/>
      <c r="AT393" s="13"/>
      <c r="AU393" s="46">
        <f t="shared" si="132"/>
        <v>0</v>
      </c>
      <c r="AV393"/>
      <c r="AW393"/>
      <c r="AX393"/>
      <c r="AY393"/>
      <c r="AZ393"/>
      <c r="BA393"/>
      <c r="BB393"/>
      <c r="BC393" s="3"/>
      <c r="BD393" s="3"/>
      <c r="BE393" s="3"/>
      <c r="BF393" s="3"/>
      <c r="BG393" s="3"/>
      <c r="BH393" s="3"/>
      <c r="BI393" s="3"/>
      <c r="BJ393" s="3"/>
      <c r="BK393" s="3"/>
      <c r="BL393" s="20" t="str">
        <f t="shared" si="124"/>
        <v>►</v>
      </c>
      <c r="BM393" s="3"/>
      <c r="BN393" s="2"/>
      <c r="BO393" s="2"/>
      <c r="BP393" s="2"/>
      <c r="BQ393" s="2"/>
      <c r="BR393" s="2"/>
      <c r="BS393"/>
      <c r="BT393"/>
      <c r="BU393"/>
      <c r="BV393"/>
      <c r="BW393"/>
      <c r="BX393"/>
      <c r="BY393"/>
      <c r="BZ393"/>
      <c r="CA393"/>
      <c r="CB393"/>
      <c r="CC393"/>
      <c r="CD393"/>
      <c r="CE393"/>
      <c r="CF393"/>
      <c r="CG393"/>
      <c r="CH393"/>
      <c r="CI393"/>
      <c r="CJ393"/>
      <c r="CK393"/>
      <c r="CL393"/>
      <c r="CM393"/>
      <c r="CN393"/>
      <c r="CO393" s="5">
        <v>1</v>
      </c>
    </row>
    <row r="394" spans="1:93" s="1" customFormat="1" ht="21" customHeight="1">
      <c r="A394" s="20" t="str">
        <f t="shared" si="133"/>
        <v>►</v>
      </c>
      <c r="B394" s="43" t="str">
        <f t="shared" si="134"/>
        <v>►</v>
      </c>
      <c r="C394" s="45" t="str">
        <f t="shared" si="119"/>
        <v>►</v>
      </c>
      <c r="D394" s="44" t="str">
        <f t="shared" si="120"/>
        <v>►</v>
      </c>
      <c r="E394" s="43" t="str">
        <f t="shared" si="121"/>
        <v>►</v>
      </c>
      <c r="F394" s="43" t="str">
        <f t="shared" si="122"/>
        <v>►</v>
      </c>
      <c r="G394" s="43" t="str">
        <f t="shared" si="123"/>
        <v>►</v>
      </c>
      <c r="H394" s="1256" t="s">
        <v>1</v>
      </c>
      <c r="I394" s="5175" t="s">
        <v>1</v>
      </c>
      <c r="J394" s="5161"/>
      <c r="K394" s="5161"/>
      <c r="L394" s="5161"/>
      <c r="M394" s="5176"/>
      <c r="N394" s="5177"/>
      <c r="O394" s="147"/>
      <c r="P394" s="147"/>
      <c r="Q394" s="102"/>
      <c r="R394" s="102"/>
      <c r="S394" s="1360"/>
      <c r="T394" s="43"/>
      <c r="U394" s="42"/>
      <c r="V394" s="41"/>
      <c r="W394" s="40"/>
      <c r="X394" s="39"/>
      <c r="Y394" s="38"/>
      <c r="Z394" s="37"/>
      <c r="AA394" s="36"/>
      <c r="AB394" s="35"/>
      <c r="AC394" s="34"/>
      <c r="AD394" s="55"/>
      <c r="AE394" s="33"/>
      <c r="AF394"/>
      <c r="AG394" s="32"/>
      <c r="AH394" s="31"/>
      <c r="AI394" s="30"/>
      <c r="AJ394" s="5492">
        <f t="shared" si="125"/>
        <v>0</v>
      </c>
      <c r="AK394" s="29">
        <f t="shared" si="126"/>
        <v>0</v>
      </c>
      <c r="AL394" s="28" t="str">
        <f t="shared" si="127"/>
        <v/>
      </c>
      <c r="AM394" s="27"/>
      <c r="AN394" s="26">
        <f t="shared" si="128"/>
        <v>0</v>
      </c>
      <c r="AO394" s="25">
        <f t="shared" si="129"/>
        <v>0</v>
      </c>
      <c r="AP394" s="24">
        <f t="shared" si="130"/>
        <v>0</v>
      </c>
      <c r="AQ394" s="23"/>
      <c r="AR394" s="22">
        <f t="shared" si="131"/>
        <v>0</v>
      </c>
      <c r="AS394" s="21"/>
      <c r="AT394" s="13"/>
      <c r="AU394" s="46">
        <f t="shared" si="132"/>
        <v>0</v>
      </c>
      <c r="AV394"/>
      <c r="AW394"/>
      <c r="AX394"/>
      <c r="AY394"/>
      <c r="AZ394"/>
      <c r="BA394"/>
      <c r="BB394"/>
      <c r="BC394" s="3"/>
      <c r="BD394" s="3"/>
      <c r="BE394" s="3"/>
      <c r="BF394" s="3"/>
      <c r="BG394" s="3"/>
      <c r="BH394" s="3"/>
      <c r="BI394" s="3"/>
      <c r="BJ394" s="3"/>
      <c r="BK394" s="3"/>
      <c r="BL394" s="20" t="str">
        <f t="shared" si="124"/>
        <v>►</v>
      </c>
      <c r="BM394" s="3"/>
      <c r="BN394" s="2"/>
      <c r="BO394" s="2"/>
      <c r="BP394" s="2"/>
      <c r="BQ394" s="2"/>
      <c r="BR394" s="2"/>
      <c r="BS394"/>
      <c r="BT394"/>
      <c r="BU394"/>
      <c r="BV394"/>
      <c r="BW394"/>
      <c r="BX394"/>
      <c r="BY394"/>
      <c r="BZ394"/>
      <c r="CA394"/>
      <c r="CB394"/>
      <c r="CC394"/>
      <c r="CD394"/>
      <c r="CE394"/>
      <c r="CF394"/>
      <c r="CG394"/>
      <c r="CH394"/>
      <c r="CI394"/>
      <c r="CJ394"/>
      <c r="CK394"/>
      <c r="CL394"/>
      <c r="CM394"/>
      <c r="CN394"/>
      <c r="CO394" s="5">
        <v>1</v>
      </c>
    </row>
    <row r="395" spans="1:93" s="1" customFormat="1" ht="21" customHeight="1">
      <c r="A395" s="20" t="str">
        <f t="shared" si="133"/>
        <v>►</v>
      </c>
      <c r="B395" s="43" t="str">
        <f t="shared" si="134"/>
        <v>►</v>
      </c>
      <c r="C395" s="45" t="str">
        <f t="shared" si="119"/>
        <v>►</v>
      </c>
      <c r="D395" s="44" t="str">
        <f t="shared" si="120"/>
        <v>►</v>
      </c>
      <c r="E395" s="43" t="str">
        <f t="shared" si="121"/>
        <v>►</v>
      </c>
      <c r="F395" s="43" t="str">
        <f t="shared" si="122"/>
        <v>►</v>
      </c>
      <c r="G395" s="43" t="str">
        <f t="shared" si="123"/>
        <v>►</v>
      </c>
      <c r="H395" s="1256" t="s">
        <v>1</v>
      </c>
      <c r="I395" s="5175" t="s">
        <v>1</v>
      </c>
      <c r="J395" s="5161"/>
      <c r="K395" s="5161"/>
      <c r="L395" s="5161"/>
      <c r="M395" s="5176"/>
      <c r="N395" s="5177"/>
      <c r="O395" s="147"/>
      <c r="P395" s="147"/>
      <c r="Q395" s="102"/>
      <c r="R395" s="102"/>
      <c r="S395" s="1360"/>
      <c r="T395" s="43"/>
      <c r="U395" s="42"/>
      <c r="V395" s="41"/>
      <c r="W395" s="40"/>
      <c r="X395" s="39"/>
      <c r="Y395" s="38"/>
      <c r="Z395" s="37"/>
      <c r="AA395" s="36"/>
      <c r="AB395" s="35"/>
      <c r="AC395" s="34"/>
      <c r="AD395" s="55"/>
      <c r="AE395" s="33"/>
      <c r="AF395"/>
      <c r="AG395" s="32"/>
      <c r="AH395" s="31"/>
      <c r="AI395" s="30"/>
      <c r="AJ395" s="5492">
        <f t="shared" si="125"/>
        <v>0</v>
      </c>
      <c r="AK395" s="54">
        <f t="shared" si="126"/>
        <v>0</v>
      </c>
      <c r="AL395" s="53" t="str">
        <f t="shared" si="127"/>
        <v/>
      </c>
      <c r="AM395" s="52"/>
      <c r="AN395" s="51">
        <f t="shared" si="128"/>
        <v>0</v>
      </c>
      <c r="AO395" s="50">
        <f t="shared" si="129"/>
        <v>0</v>
      </c>
      <c r="AP395" s="49">
        <f t="shared" si="130"/>
        <v>0</v>
      </c>
      <c r="AQ395" s="23"/>
      <c r="AR395" s="48">
        <f t="shared" si="131"/>
        <v>0</v>
      </c>
      <c r="AS395" s="47"/>
      <c r="AT395" s="13"/>
      <c r="AU395" s="46">
        <f t="shared" si="132"/>
        <v>0</v>
      </c>
      <c r="AV395"/>
      <c r="AW395"/>
      <c r="AX395"/>
      <c r="AY395"/>
      <c r="AZ395"/>
      <c r="BA395"/>
      <c r="BB395"/>
      <c r="BC395" s="3"/>
      <c r="BD395" s="3"/>
      <c r="BE395" s="3"/>
      <c r="BF395" s="3"/>
      <c r="BG395" s="3"/>
      <c r="BH395" s="3"/>
      <c r="BI395" s="3"/>
      <c r="BJ395" s="3"/>
      <c r="BK395" s="3"/>
      <c r="BL395" s="20" t="str">
        <f t="shared" si="124"/>
        <v>►</v>
      </c>
      <c r="BM395" s="3"/>
      <c r="BN395" s="2"/>
      <c r="BO395" s="2"/>
      <c r="BP395" s="2"/>
      <c r="BQ395" s="2"/>
      <c r="BR395" s="2"/>
      <c r="BS395"/>
      <c r="BT395"/>
      <c r="BU395"/>
      <c r="BV395"/>
      <c r="BW395"/>
      <c r="BX395"/>
      <c r="BY395"/>
      <c r="BZ395"/>
      <c r="CA395"/>
      <c r="CB395"/>
      <c r="CC395"/>
      <c r="CD395"/>
      <c r="CE395"/>
      <c r="CF395"/>
      <c r="CG395"/>
      <c r="CH395"/>
      <c r="CI395"/>
      <c r="CJ395"/>
      <c r="CK395"/>
      <c r="CL395"/>
      <c r="CM395"/>
      <c r="CN395"/>
      <c r="CO395" s="5">
        <v>1</v>
      </c>
    </row>
    <row r="396" spans="1:93" s="1" customFormat="1" ht="21" customHeight="1">
      <c r="A396" s="20" t="str">
        <f t="shared" si="133"/>
        <v>►</v>
      </c>
      <c r="B396" s="43" t="str">
        <f t="shared" si="134"/>
        <v>►</v>
      </c>
      <c r="C396" s="45" t="str">
        <f t="shared" si="119"/>
        <v>►</v>
      </c>
      <c r="D396" s="44" t="str">
        <f t="shared" si="120"/>
        <v>►</v>
      </c>
      <c r="E396" s="43" t="str">
        <f t="shared" si="121"/>
        <v>►</v>
      </c>
      <c r="F396" s="43" t="str">
        <f t="shared" si="122"/>
        <v>►</v>
      </c>
      <c r="G396" s="43" t="str">
        <f t="shared" si="123"/>
        <v>►</v>
      </c>
      <c r="H396" s="1256" t="s">
        <v>1</v>
      </c>
      <c r="I396" s="5175" t="s">
        <v>1</v>
      </c>
      <c r="J396" s="5161"/>
      <c r="K396" s="5161"/>
      <c r="L396" s="5161"/>
      <c r="M396" s="5176"/>
      <c r="N396" s="5177"/>
      <c r="O396" s="147"/>
      <c r="P396" s="147"/>
      <c r="Q396" s="102"/>
      <c r="R396" s="102"/>
      <c r="S396" s="1360"/>
      <c r="T396" s="43"/>
      <c r="U396" s="42"/>
      <c r="V396" s="41"/>
      <c r="W396" s="40"/>
      <c r="X396" s="39"/>
      <c r="Y396" s="38"/>
      <c r="Z396" s="37"/>
      <c r="AA396" s="36"/>
      <c r="AB396" s="35"/>
      <c r="AC396" s="34"/>
      <c r="AD396" s="55"/>
      <c r="AE396" s="33"/>
      <c r="AF396"/>
      <c r="AG396" s="32"/>
      <c r="AH396" s="31"/>
      <c r="AI396" s="30"/>
      <c r="AJ396" s="5492">
        <f t="shared" si="125"/>
        <v>0</v>
      </c>
      <c r="AK396" s="29">
        <f t="shared" si="126"/>
        <v>0</v>
      </c>
      <c r="AL396" s="28" t="str">
        <f t="shared" si="127"/>
        <v/>
      </c>
      <c r="AM396" s="27"/>
      <c r="AN396" s="26">
        <f t="shared" si="128"/>
        <v>0</v>
      </c>
      <c r="AO396" s="25">
        <f t="shared" si="129"/>
        <v>0</v>
      </c>
      <c r="AP396" s="24">
        <f t="shared" si="130"/>
        <v>0</v>
      </c>
      <c r="AQ396" s="23"/>
      <c r="AR396" s="22">
        <f t="shared" si="131"/>
        <v>0</v>
      </c>
      <c r="AS396" s="21"/>
      <c r="AT396" s="13"/>
      <c r="AU396" s="46">
        <f t="shared" si="132"/>
        <v>0</v>
      </c>
      <c r="AV396"/>
      <c r="AW396"/>
      <c r="AX396"/>
      <c r="AY396"/>
      <c r="AZ396"/>
      <c r="BA396"/>
      <c r="BB396"/>
      <c r="BC396" s="3"/>
      <c r="BD396" s="3"/>
      <c r="BE396" s="3"/>
      <c r="BF396" s="3"/>
      <c r="BG396" s="3"/>
      <c r="BH396" s="3"/>
      <c r="BI396" s="3"/>
      <c r="BJ396" s="3"/>
      <c r="BK396" s="3"/>
      <c r="BL396" s="20" t="str">
        <f t="shared" si="124"/>
        <v>►</v>
      </c>
      <c r="BM396" s="3"/>
      <c r="BN396" s="2"/>
      <c r="BO396" s="2"/>
      <c r="BP396" s="2"/>
      <c r="BQ396" s="2"/>
      <c r="BR396" s="2"/>
      <c r="BS396"/>
      <c r="BT396"/>
      <c r="BU396"/>
      <c r="BV396"/>
      <c r="BW396"/>
      <c r="BX396"/>
      <c r="BY396"/>
      <c r="BZ396"/>
      <c r="CA396"/>
      <c r="CB396"/>
      <c r="CC396"/>
      <c r="CD396"/>
      <c r="CE396"/>
      <c r="CF396"/>
      <c r="CG396"/>
      <c r="CH396"/>
      <c r="CI396"/>
      <c r="CJ396"/>
      <c r="CK396"/>
      <c r="CL396"/>
      <c r="CM396"/>
      <c r="CN396"/>
      <c r="CO396" s="5">
        <v>1</v>
      </c>
    </row>
    <row r="397" spans="1:93" s="1" customFormat="1" ht="21" customHeight="1">
      <c r="A397" s="20" t="str">
        <f t="shared" si="133"/>
        <v>►</v>
      </c>
      <c r="B397" s="43" t="str">
        <f t="shared" si="134"/>
        <v>►</v>
      </c>
      <c r="C397" s="45" t="str">
        <f t="shared" si="119"/>
        <v>►</v>
      </c>
      <c r="D397" s="44" t="str">
        <f t="shared" si="120"/>
        <v>►</v>
      </c>
      <c r="E397" s="43" t="str">
        <f t="shared" si="121"/>
        <v>►</v>
      </c>
      <c r="F397" s="43" t="str">
        <f t="shared" si="122"/>
        <v>►</v>
      </c>
      <c r="G397" s="43" t="str">
        <f t="shared" si="123"/>
        <v>►</v>
      </c>
      <c r="H397" s="1256" t="s">
        <v>1</v>
      </c>
      <c r="I397" s="5175" t="s">
        <v>1</v>
      </c>
      <c r="J397" s="5161"/>
      <c r="K397" s="5161"/>
      <c r="L397" s="5161"/>
      <c r="M397" s="5176"/>
      <c r="N397" s="5177"/>
      <c r="O397" s="147"/>
      <c r="P397" s="147"/>
      <c r="Q397" s="102"/>
      <c r="R397" s="102"/>
      <c r="S397" s="1360"/>
      <c r="T397" s="43"/>
      <c r="U397" s="42"/>
      <c r="V397" s="41"/>
      <c r="W397" s="40"/>
      <c r="X397" s="39"/>
      <c r="Y397" s="38"/>
      <c r="Z397" s="37"/>
      <c r="AA397" s="36"/>
      <c r="AB397" s="35"/>
      <c r="AC397" s="34"/>
      <c r="AD397" s="55"/>
      <c r="AE397" s="33"/>
      <c r="AF397"/>
      <c r="AG397" s="32"/>
      <c r="AH397" s="31"/>
      <c r="AI397" s="30"/>
      <c r="AJ397" s="5492">
        <f t="shared" si="125"/>
        <v>0</v>
      </c>
      <c r="AK397" s="54">
        <f t="shared" si="126"/>
        <v>0</v>
      </c>
      <c r="AL397" s="53" t="str">
        <f t="shared" si="127"/>
        <v/>
      </c>
      <c r="AM397" s="52"/>
      <c r="AN397" s="51">
        <f t="shared" si="128"/>
        <v>0</v>
      </c>
      <c r="AO397" s="50">
        <f t="shared" si="129"/>
        <v>0</v>
      </c>
      <c r="AP397" s="49">
        <f t="shared" si="130"/>
        <v>0</v>
      </c>
      <c r="AQ397" s="23"/>
      <c r="AR397" s="48">
        <f t="shared" si="131"/>
        <v>0</v>
      </c>
      <c r="AS397" s="47"/>
      <c r="AT397" s="13"/>
      <c r="AU397" s="46">
        <f t="shared" si="132"/>
        <v>0</v>
      </c>
      <c r="AV397"/>
      <c r="AW397"/>
      <c r="AX397"/>
      <c r="AY397"/>
      <c r="AZ397"/>
      <c r="BA397"/>
      <c r="BB397"/>
      <c r="BC397" s="3"/>
      <c r="BD397" s="3"/>
      <c r="BE397" s="3"/>
      <c r="BF397" s="3"/>
      <c r="BG397" s="3"/>
      <c r="BH397" s="3"/>
      <c r="BI397" s="3"/>
      <c r="BJ397" s="3"/>
      <c r="BK397" s="3"/>
      <c r="BL397" s="20" t="str">
        <f t="shared" si="124"/>
        <v>►</v>
      </c>
      <c r="BM397" s="3"/>
      <c r="BN397" s="2"/>
      <c r="BO397" s="2"/>
      <c r="BP397" s="2"/>
      <c r="BQ397" s="2"/>
      <c r="BR397" s="2"/>
      <c r="BS397"/>
      <c r="BT397"/>
      <c r="BU397"/>
      <c r="BV397"/>
      <c r="BW397"/>
      <c r="BX397"/>
      <c r="BY397"/>
      <c r="BZ397"/>
      <c r="CA397"/>
      <c r="CB397"/>
      <c r="CC397"/>
      <c r="CD397"/>
      <c r="CE397"/>
      <c r="CF397"/>
      <c r="CG397"/>
      <c r="CH397"/>
      <c r="CI397"/>
      <c r="CJ397"/>
      <c r="CK397"/>
      <c r="CL397"/>
      <c r="CM397"/>
      <c r="CN397"/>
      <c r="CO397" s="5">
        <v>1</v>
      </c>
    </row>
    <row r="398" spans="1:93" s="1" customFormat="1" ht="21" customHeight="1">
      <c r="A398" s="20" t="str">
        <f t="shared" si="133"/>
        <v>►</v>
      </c>
      <c r="B398" s="43" t="str">
        <f t="shared" si="134"/>
        <v>►</v>
      </c>
      <c r="C398" s="45" t="str">
        <f t="shared" ref="C398:C461" si="135">IF(B398="►","►",IFERROR(LEFT(B398,SEARCH(".",B398)-1),0))</f>
        <v>►</v>
      </c>
      <c r="D398" s="44" t="str">
        <f t="shared" ref="D398:D461" si="136">IF(B398="►","►",IFERROR(MID(B398,SEARCH(".",B398)+1,SEARCH(".",B398,SEARCH(".",B398)+1)-SEARCH(".",B398)-1),0))</f>
        <v>►</v>
      </c>
      <c r="E398" s="43" t="str">
        <f t="shared" ref="E398:E461" si="137">IF(B398="►","►",IFERROR(MID(B398,SEARCH(".",B398,SEARCH(".",B398)+1)+1,SEARCH(".",B398,SEARCH(".",B398,SEARCH(".",B398)+1)+1)-SEARCH(".",B398,SEARCH(".",B398)+1)-1),0))</f>
        <v>►</v>
      </c>
      <c r="F398" s="43" t="str">
        <f t="shared" ref="F398:F461" si="138">IF(B398="►","►",IFERROR(MID(J398,SEARCH(".",B398,SEARCH(".",B398,SEARCH(".",B398)+1)+1)+1,SEARCH(".",B398,SEARCH(".",B398,SEARCH(".",B398,SEARCH(".",B398)+1)+1)+1)-SEARCH(".",B398,SEARCH(".",B398,SEARCH(".",B398)+1)+1)-1),0))</f>
        <v>►</v>
      </c>
      <c r="G398" s="43" t="str">
        <f t="shared" si="123"/>
        <v>►</v>
      </c>
      <c r="H398" s="1256" t="s">
        <v>1</v>
      </c>
      <c r="I398" s="5175" t="s">
        <v>1</v>
      </c>
      <c r="J398" s="5161"/>
      <c r="K398" s="5161"/>
      <c r="L398" s="5161"/>
      <c r="M398" s="5176"/>
      <c r="N398" s="5177"/>
      <c r="O398" s="147"/>
      <c r="P398" s="147"/>
      <c r="Q398" s="102"/>
      <c r="R398" s="102"/>
      <c r="S398" s="1360"/>
      <c r="T398" s="43"/>
      <c r="U398" s="42"/>
      <c r="V398" s="41"/>
      <c r="W398" s="40"/>
      <c r="X398" s="39"/>
      <c r="Y398" s="38"/>
      <c r="Z398" s="37"/>
      <c r="AA398" s="36"/>
      <c r="AB398" s="35"/>
      <c r="AC398" s="34"/>
      <c r="AD398" s="55"/>
      <c r="AE398" s="33"/>
      <c r="AF398"/>
      <c r="AG398" s="32"/>
      <c r="AH398" s="31"/>
      <c r="AI398" s="30"/>
      <c r="AJ398" s="5492">
        <f t="shared" si="125"/>
        <v>0</v>
      </c>
      <c r="AK398" s="29">
        <f t="shared" si="126"/>
        <v>0</v>
      </c>
      <c r="AL398" s="28" t="str">
        <f t="shared" si="127"/>
        <v/>
      </c>
      <c r="AM398" s="27"/>
      <c r="AN398" s="26">
        <f t="shared" si="128"/>
        <v>0</v>
      </c>
      <c r="AO398" s="25">
        <f t="shared" si="129"/>
        <v>0</v>
      </c>
      <c r="AP398" s="24">
        <f t="shared" si="130"/>
        <v>0</v>
      </c>
      <c r="AQ398" s="23"/>
      <c r="AR398" s="22">
        <f t="shared" si="131"/>
        <v>0</v>
      </c>
      <c r="AS398" s="21"/>
      <c r="AT398" s="13"/>
      <c r="AU398" s="46">
        <f t="shared" si="132"/>
        <v>0</v>
      </c>
      <c r="AV398"/>
      <c r="AW398"/>
      <c r="AX398"/>
      <c r="AY398"/>
      <c r="AZ398"/>
      <c r="BA398"/>
      <c r="BB398"/>
      <c r="BC398" s="3"/>
      <c r="BD398" s="3"/>
      <c r="BE398" s="3"/>
      <c r="BF398" s="3"/>
      <c r="BG398" s="3"/>
      <c r="BH398" s="3"/>
      <c r="BI398" s="3"/>
      <c r="BJ398" s="3"/>
      <c r="BK398" s="3"/>
      <c r="BL398" s="20" t="str">
        <f t="shared" si="124"/>
        <v>►</v>
      </c>
      <c r="BM398" s="3"/>
      <c r="BN398" s="2"/>
      <c r="BO398" s="2"/>
      <c r="BP398" s="2"/>
      <c r="BQ398" s="2"/>
      <c r="BR398" s="2"/>
      <c r="BS398"/>
      <c r="BT398"/>
      <c r="BU398"/>
      <c r="BV398"/>
      <c r="BW398"/>
      <c r="BX398"/>
      <c r="BY398"/>
      <c r="BZ398"/>
      <c r="CA398"/>
      <c r="CB398"/>
      <c r="CC398"/>
      <c r="CD398"/>
      <c r="CE398"/>
      <c r="CF398"/>
      <c r="CG398"/>
      <c r="CH398"/>
      <c r="CI398"/>
      <c r="CJ398"/>
      <c r="CK398"/>
      <c r="CL398"/>
      <c r="CM398"/>
      <c r="CN398"/>
      <c r="CO398" s="5">
        <v>1</v>
      </c>
    </row>
    <row r="399" spans="1:93" s="1" customFormat="1" ht="21" customHeight="1">
      <c r="A399" s="20" t="str">
        <f t="shared" si="133"/>
        <v>►</v>
      </c>
      <c r="B399" s="43" t="str">
        <f t="shared" si="134"/>
        <v>►</v>
      </c>
      <c r="C399" s="45" t="str">
        <f t="shared" si="135"/>
        <v>►</v>
      </c>
      <c r="D399" s="44" t="str">
        <f t="shared" si="136"/>
        <v>►</v>
      </c>
      <c r="E399" s="43" t="str">
        <f t="shared" si="137"/>
        <v>►</v>
      </c>
      <c r="F399" s="43" t="str">
        <f t="shared" si="138"/>
        <v>►</v>
      </c>
      <c r="G399" s="43" t="str">
        <f t="shared" si="123"/>
        <v>►</v>
      </c>
      <c r="H399" s="1256" t="s">
        <v>1</v>
      </c>
      <c r="I399" s="5175" t="s">
        <v>1</v>
      </c>
      <c r="J399" s="5161"/>
      <c r="K399" s="5161"/>
      <c r="L399" s="5161"/>
      <c r="M399" s="5176"/>
      <c r="N399" s="5177"/>
      <c r="O399" s="147"/>
      <c r="P399" s="147"/>
      <c r="Q399" s="102"/>
      <c r="R399" s="102"/>
      <c r="S399" s="1360"/>
      <c r="T399" s="43"/>
      <c r="U399" s="42"/>
      <c r="V399" s="41"/>
      <c r="W399" s="40"/>
      <c r="X399" s="39"/>
      <c r="Y399" s="38"/>
      <c r="Z399" s="37"/>
      <c r="AA399" s="36"/>
      <c r="AB399" s="35"/>
      <c r="AC399" s="34"/>
      <c r="AD399" s="55"/>
      <c r="AE399" s="33"/>
      <c r="AF399"/>
      <c r="AG399" s="32"/>
      <c r="AH399" s="31"/>
      <c r="AI399" s="30"/>
      <c r="AJ399" s="5492">
        <f t="shared" si="125"/>
        <v>0</v>
      </c>
      <c r="AK399" s="54">
        <f t="shared" si="126"/>
        <v>0</v>
      </c>
      <c r="AL399" s="53" t="str">
        <f t="shared" si="127"/>
        <v/>
      </c>
      <c r="AM399" s="52"/>
      <c r="AN399" s="51">
        <f t="shared" si="128"/>
        <v>0</v>
      </c>
      <c r="AO399" s="50">
        <f t="shared" si="129"/>
        <v>0</v>
      </c>
      <c r="AP399" s="49">
        <f t="shared" si="130"/>
        <v>0</v>
      </c>
      <c r="AQ399" s="23"/>
      <c r="AR399" s="48">
        <f t="shared" si="131"/>
        <v>0</v>
      </c>
      <c r="AS399" s="47"/>
      <c r="AT399" s="13"/>
      <c r="AU399" s="46">
        <f t="shared" si="132"/>
        <v>0</v>
      </c>
      <c r="AV399"/>
      <c r="AW399"/>
      <c r="AX399"/>
      <c r="AY399"/>
      <c r="AZ399"/>
      <c r="BA399"/>
      <c r="BB399"/>
      <c r="BC399" s="3"/>
      <c r="BD399" s="3"/>
      <c r="BE399" s="3"/>
      <c r="BF399" s="3"/>
      <c r="BG399" s="3"/>
      <c r="BH399" s="3"/>
      <c r="BI399" s="3"/>
      <c r="BJ399" s="3"/>
      <c r="BK399" s="3"/>
      <c r="BL399" s="20" t="str">
        <f t="shared" si="124"/>
        <v>►</v>
      </c>
      <c r="BM399" s="3"/>
      <c r="BN399" s="2"/>
      <c r="BO399" s="2"/>
      <c r="BP399" s="2"/>
      <c r="BQ399" s="2"/>
      <c r="BR399" s="2"/>
      <c r="BS399"/>
      <c r="BT399"/>
      <c r="BU399"/>
      <c r="BV399"/>
      <c r="BW399"/>
      <c r="BX399"/>
      <c r="BY399"/>
      <c r="BZ399"/>
      <c r="CA399"/>
      <c r="CB399"/>
      <c r="CC399"/>
      <c r="CD399"/>
      <c r="CE399"/>
      <c r="CF399"/>
      <c r="CG399"/>
      <c r="CH399"/>
      <c r="CI399"/>
      <c r="CJ399"/>
      <c r="CK399"/>
      <c r="CL399"/>
      <c r="CM399"/>
      <c r="CN399"/>
      <c r="CO399" s="5">
        <v>1</v>
      </c>
    </row>
    <row r="400" spans="1:93" s="1" customFormat="1" ht="21" customHeight="1">
      <c r="A400" s="20" t="str">
        <f t="shared" si="133"/>
        <v>►</v>
      </c>
      <c r="B400" s="43" t="str">
        <f t="shared" si="134"/>
        <v>►</v>
      </c>
      <c r="C400" s="45" t="str">
        <f t="shared" si="135"/>
        <v>►</v>
      </c>
      <c r="D400" s="44" t="str">
        <f t="shared" si="136"/>
        <v>►</v>
      </c>
      <c r="E400" s="43" t="str">
        <f t="shared" si="137"/>
        <v>►</v>
      </c>
      <c r="F400" s="43" t="str">
        <f t="shared" si="138"/>
        <v>►</v>
      </c>
      <c r="G400" s="43" t="str">
        <f t="shared" ref="G400:G463" si="139">IF(B400="►","►",IF(ISBLANK(B400),"►",IFERROR(RIGHT(B400,LEN(B400)-FIND("►",B400)-1),"")))</f>
        <v>►</v>
      </c>
      <c r="H400" s="1256" t="s">
        <v>1</v>
      </c>
      <c r="I400" s="5175" t="s">
        <v>1</v>
      </c>
      <c r="J400" s="5161"/>
      <c r="K400" s="5161"/>
      <c r="L400" s="5161"/>
      <c r="M400" s="5176"/>
      <c r="N400" s="5177"/>
      <c r="O400" s="147"/>
      <c r="P400" s="147"/>
      <c r="Q400" s="102"/>
      <c r="R400" s="102"/>
      <c r="S400" s="1360"/>
      <c r="T400" s="43"/>
      <c r="U400" s="42"/>
      <c r="V400" s="41"/>
      <c r="W400" s="40"/>
      <c r="X400" s="39"/>
      <c r="Y400" s="38"/>
      <c r="Z400" s="37"/>
      <c r="AA400" s="36"/>
      <c r="AB400" s="35"/>
      <c r="AC400" s="34"/>
      <c r="AD400" s="55"/>
      <c r="AE400" s="33"/>
      <c r="AF400"/>
      <c r="AG400" s="32"/>
      <c r="AH400" s="31"/>
      <c r="AI400" s="30"/>
      <c r="AJ400" s="5492">
        <f t="shared" si="125"/>
        <v>0</v>
      </c>
      <c r="AK400" s="29">
        <f t="shared" si="126"/>
        <v>0</v>
      </c>
      <c r="AL400" s="28" t="str">
        <f t="shared" si="127"/>
        <v/>
      </c>
      <c r="AM400" s="27"/>
      <c r="AN400" s="26">
        <f t="shared" si="128"/>
        <v>0</v>
      </c>
      <c r="AO400" s="25">
        <f t="shared" si="129"/>
        <v>0</v>
      </c>
      <c r="AP400" s="24">
        <f t="shared" si="130"/>
        <v>0</v>
      </c>
      <c r="AQ400" s="23"/>
      <c r="AR400" s="22">
        <f t="shared" si="131"/>
        <v>0</v>
      </c>
      <c r="AS400" s="21"/>
      <c r="AT400" s="13"/>
      <c r="AU400" s="46">
        <f t="shared" si="132"/>
        <v>0</v>
      </c>
      <c r="AV400"/>
      <c r="AW400"/>
      <c r="AX400"/>
      <c r="AY400"/>
      <c r="AZ400"/>
      <c r="BA400"/>
      <c r="BB400"/>
      <c r="BC400" s="3"/>
      <c r="BD400" s="3"/>
      <c r="BE400" s="3"/>
      <c r="BF400" s="3"/>
      <c r="BG400" s="3"/>
      <c r="BH400" s="3"/>
      <c r="BI400" s="3"/>
      <c r="BJ400" s="3"/>
      <c r="BK400" s="3"/>
      <c r="BL400" s="20" t="str">
        <f t="shared" si="124"/>
        <v>►</v>
      </c>
      <c r="BM400" s="3"/>
      <c r="BN400" s="2"/>
      <c r="BO400" s="2"/>
      <c r="BP400" s="2"/>
      <c r="BQ400" s="2"/>
      <c r="BR400" s="2"/>
      <c r="BS400"/>
      <c r="BT400"/>
      <c r="BU400"/>
      <c r="BV400"/>
      <c r="BW400"/>
      <c r="BX400"/>
      <c r="BY400"/>
      <c r="BZ400"/>
      <c r="CA400"/>
      <c r="CB400"/>
      <c r="CC400"/>
      <c r="CD400"/>
      <c r="CE400"/>
      <c r="CF400"/>
      <c r="CG400"/>
      <c r="CH400"/>
      <c r="CI400"/>
      <c r="CJ400"/>
      <c r="CK400"/>
      <c r="CL400"/>
      <c r="CM400"/>
      <c r="CN400"/>
      <c r="CO400" s="5">
        <v>1</v>
      </c>
    </row>
    <row r="401" spans="1:93" s="1" customFormat="1" ht="21" customHeight="1">
      <c r="A401" s="20" t="str">
        <f t="shared" si="133"/>
        <v>►</v>
      </c>
      <c r="B401" s="43" t="str">
        <f t="shared" si="134"/>
        <v>►</v>
      </c>
      <c r="C401" s="45" t="str">
        <f t="shared" si="135"/>
        <v>►</v>
      </c>
      <c r="D401" s="44" t="str">
        <f t="shared" si="136"/>
        <v>►</v>
      </c>
      <c r="E401" s="43" t="str">
        <f t="shared" si="137"/>
        <v>►</v>
      </c>
      <c r="F401" s="43" t="str">
        <f t="shared" si="138"/>
        <v>►</v>
      </c>
      <c r="G401" s="43" t="str">
        <f t="shared" si="139"/>
        <v>►</v>
      </c>
      <c r="H401" s="1256" t="s">
        <v>1</v>
      </c>
      <c r="I401" s="5175" t="s">
        <v>1</v>
      </c>
      <c r="J401" s="5161"/>
      <c r="K401" s="5161"/>
      <c r="L401" s="5161"/>
      <c r="M401" s="5176"/>
      <c r="N401" s="5177"/>
      <c r="O401" s="147"/>
      <c r="P401" s="147"/>
      <c r="Q401" s="102"/>
      <c r="R401" s="102"/>
      <c r="S401" s="1360"/>
      <c r="T401" s="43"/>
      <c r="U401" s="42"/>
      <c r="V401" s="41"/>
      <c r="W401" s="40"/>
      <c r="X401" s="39"/>
      <c r="Y401" s="38"/>
      <c r="Z401" s="37"/>
      <c r="AA401" s="36"/>
      <c r="AB401" s="35"/>
      <c r="AC401" s="34"/>
      <c r="AD401" s="55"/>
      <c r="AE401" s="33"/>
      <c r="AF401"/>
      <c r="AG401" s="32"/>
      <c r="AH401" s="31"/>
      <c r="AI401" s="30"/>
      <c r="AJ401" s="5492">
        <f t="shared" si="125"/>
        <v>0</v>
      </c>
      <c r="AK401" s="54">
        <f t="shared" si="126"/>
        <v>0</v>
      </c>
      <c r="AL401" s="53" t="str">
        <f t="shared" si="127"/>
        <v/>
      </c>
      <c r="AM401" s="52"/>
      <c r="AN401" s="51">
        <f t="shared" si="128"/>
        <v>0</v>
      </c>
      <c r="AO401" s="50">
        <f t="shared" si="129"/>
        <v>0</v>
      </c>
      <c r="AP401" s="49">
        <f t="shared" si="130"/>
        <v>0</v>
      </c>
      <c r="AQ401" s="23"/>
      <c r="AR401" s="48">
        <f t="shared" si="131"/>
        <v>0</v>
      </c>
      <c r="AS401" s="47"/>
      <c r="AT401" s="13"/>
      <c r="AU401" s="46">
        <f t="shared" si="132"/>
        <v>0</v>
      </c>
      <c r="AV401"/>
      <c r="AW401"/>
      <c r="AX401"/>
      <c r="AY401"/>
      <c r="AZ401"/>
      <c r="BA401"/>
      <c r="BB401"/>
      <c r="BC401" s="3"/>
      <c r="BD401" s="3"/>
      <c r="BE401" s="3"/>
      <c r="BF401" s="3"/>
      <c r="BG401" s="3"/>
      <c r="BH401" s="3"/>
      <c r="BI401" s="3"/>
      <c r="BJ401" s="3"/>
      <c r="BK401" s="3"/>
      <c r="BL401" s="20" t="str">
        <f t="shared" si="124"/>
        <v>►</v>
      </c>
      <c r="BM401" s="3"/>
      <c r="BN401" s="2"/>
      <c r="BO401" s="2"/>
      <c r="BP401" s="2"/>
      <c r="BQ401" s="2"/>
      <c r="BR401" s="2"/>
      <c r="BS401"/>
      <c r="BT401"/>
      <c r="BU401"/>
      <c r="BV401"/>
      <c r="BW401"/>
      <c r="BX401"/>
      <c r="BY401"/>
      <c r="BZ401"/>
      <c r="CA401"/>
      <c r="CB401"/>
      <c r="CC401"/>
      <c r="CD401"/>
      <c r="CE401"/>
      <c r="CF401"/>
      <c r="CG401"/>
      <c r="CH401"/>
      <c r="CI401"/>
      <c r="CJ401"/>
      <c r="CK401"/>
      <c r="CL401"/>
      <c r="CM401"/>
      <c r="CN401"/>
      <c r="CO401" s="5">
        <v>1</v>
      </c>
    </row>
    <row r="402" spans="1:93" s="1" customFormat="1" ht="21" customHeight="1">
      <c r="A402" s="20" t="str">
        <f t="shared" si="133"/>
        <v>►</v>
      </c>
      <c r="B402" s="43" t="str">
        <f t="shared" si="134"/>
        <v>►</v>
      </c>
      <c r="C402" s="45" t="str">
        <f t="shared" si="135"/>
        <v>►</v>
      </c>
      <c r="D402" s="44" t="str">
        <f t="shared" si="136"/>
        <v>►</v>
      </c>
      <c r="E402" s="43" t="str">
        <f t="shared" si="137"/>
        <v>►</v>
      </c>
      <c r="F402" s="43" t="str">
        <f t="shared" si="138"/>
        <v>►</v>
      </c>
      <c r="G402" s="43" t="str">
        <f t="shared" si="139"/>
        <v>►</v>
      </c>
      <c r="H402" s="1256" t="s">
        <v>1</v>
      </c>
      <c r="I402" s="5175" t="s">
        <v>1</v>
      </c>
      <c r="J402" s="5161"/>
      <c r="K402" s="5161"/>
      <c r="L402" s="5161"/>
      <c r="M402" s="5176"/>
      <c r="N402" s="5177"/>
      <c r="O402" s="147"/>
      <c r="P402" s="147"/>
      <c r="Q402" s="102"/>
      <c r="R402" s="102"/>
      <c r="S402" s="1360"/>
      <c r="T402" s="43"/>
      <c r="U402" s="42"/>
      <c r="V402" s="41"/>
      <c r="W402" s="40"/>
      <c r="X402" s="39"/>
      <c r="Y402" s="38"/>
      <c r="Z402" s="37"/>
      <c r="AA402" s="36"/>
      <c r="AB402" s="35"/>
      <c r="AC402" s="34"/>
      <c r="AD402" s="55"/>
      <c r="AE402" s="33"/>
      <c r="AF402"/>
      <c r="AG402" s="32"/>
      <c r="AH402" s="31"/>
      <c r="AI402" s="30"/>
      <c r="AJ402" s="5492">
        <f t="shared" si="125"/>
        <v>0</v>
      </c>
      <c r="AK402" s="29">
        <f t="shared" si="126"/>
        <v>0</v>
      </c>
      <c r="AL402" s="28" t="str">
        <f t="shared" si="127"/>
        <v/>
      </c>
      <c r="AM402" s="27"/>
      <c r="AN402" s="26">
        <f t="shared" si="128"/>
        <v>0</v>
      </c>
      <c r="AO402" s="25">
        <f t="shared" si="129"/>
        <v>0</v>
      </c>
      <c r="AP402" s="24">
        <f t="shared" si="130"/>
        <v>0</v>
      </c>
      <c r="AQ402" s="23"/>
      <c r="AR402" s="22">
        <f t="shared" si="131"/>
        <v>0</v>
      </c>
      <c r="AS402" s="21"/>
      <c r="AT402" s="13"/>
      <c r="AU402" s="46">
        <f t="shared" si="132"/>
        <v>0</v>
      </c>
      <c r="AV402"/>
      <c r="AW402"/>
      <c r="AX402"/>
      <c r="AY402"/>
      <c r="AZ402"/>
      <c r="BA402"/>
      <c r="BB402"/>
      <c r="BC402" s="3"/>
      <c r="BD402" s="3"/>
      <c r="BE402" s="3"/>
      <c r="BF402" s="3"/>
      <c r="BG402" s="3"/>
      <c r="BH402" s="3"/>
      <c r="BI402" s="3"/>
      <c r="BJ402" s="3"/>
      <c r="BK402" s="3"/>
      <c r="BL402" s="20" t="str">
        <f t="shared" ref="BL402:BL465" si="140">A402</f>
        <v>►</v>
      </c>
      <c r="BM402" s="3"/>
      <c r="BN402" s="2"/>
      <c r="BO402" s="2"/>
      <c r="BP402" s="2"/>
      <c r="BQ402" s="2"/>
      <c r="BR402" s="2"/>
      <c r="BS402"/>
      <c r="BT402"/>
      <c r="BU402"/>
      <c r="BV402"/>
      <c r="BW402"/>
      <c r="BX402"/>
      <c r="BY402"/>
      <c r="BZ402"/>
      <c r="CA402"/>
      <c r="CB402"/>
      <c r="CC402"/>
      <c r="CD402"/>
      <c r="CE402"/>
      <c r="CF402"/>
      <c r="CG402"/>
      <c r="CH402"/>
      <c r="CI402"/>
      <c r="CJ402"/>
      <c r="CK402"/>
      <c r="CL402"/>
      <c r="CM402"/>
      <c r="CN402"/>
      <c r="CO402" s="5">
        <v>1</v>
      </c>
    </row>
    <row r="403" spans="1:93" s="1" customFormat="1" ht="21" customHeight="1">
      <c r="A403" s="20" t="str">
        <f t="shared" si="133"/>
        <v>►</v>
      </c>
      <c r="B403" s="43" t="str">
        <f t="shared" si="134"/>
        <v>►</v>
      </c>
      <c r="C403" s="45" t="str">
        <f t="shared" si="135"/>
        <v>►</v>
      </c>
      <c r="D403" s="44" t="str">
        <f t="shared" si="136"/>
        <v>►</v>
      </c>
      <c r="E403" s="43" t="str">
        <f t="shared" si="137"/>
        <v>►</v>
      </c>
      <c r="F403" s="43" t="str">
        <f t="shared" si="138"/>
        <v>►</v>
      </c>
      <c r="G403" s="43" t="str">
        <f t="shared" si="139"/>
        <v>►</v>
      </c>
      <c r="H403" s="1256" t="s">
        <v>1</v>
      </c>
      <c r="I403" s="5175" t="s">
        <v>1</v>
      </c>
      <c r="J403" s="5161"/>
      <c r="K403" s="5161"/>
      <c r="L403" s="5161"/>
      <c r="M403" s="5176"/>
      <c r="N403" s="5177"/>
      <c r="O403" s="147"/>
      <c r="P403" s="147"/>
      <c r="Q403" s="102"/>
      <c r="R403" s="102"/>
      <c r="S403" s="1360"/>
      <c r="T403" s="43"/>
      <c r="U403" s="42"/>
      <c r="V403" s="41"/>
      <c r="W403" s="40"/>
      <c r="X403" s="39"/>
      <c r="Y403" s="38"/>
      <c r="Z403" s="37"/>
      <c r="AA403" s="36"/>
      <c r="AB403" s="35"/>
      <c r="AC403" s="34"/>
      <c r="AD403" s="55"/>
      <c r="AE403" s="33"/>
      <c r="AF403"/>
      <c r="AG403" s="32"/>
      <c r="AH403" s="31"/>
      <c r="AI403" s="30"/>
      <c r="AJ403" s="5492">
        <f t="shared" si="125"/>
        <v>0</v>
      </c>
      <c r="AK403" s="54">
        <f t="shared" si="126"/>
        <v>0</v>
      </c>
      <c r="AL403" s="53" t="str">
        <f t="shared" si="127"/>
        <v/>
      </c>
      <c r="AM403" s="52"/>
      <c r="AN403" s="51">
        <f t="shared" si="128"/>
        <v>0</v>
      </c>
      <c r="AO403" s="50">
        <f t="shared" si="129"/>
        <v>0</v>
      </c>
      <c r="AP403" s="49">
        <f t="shared" si="130"/>
        <v>0</v>
      </c>
      <c r="AQ403" s="23"/>
      <c r="AR403" s="48">
        <f t="shared" si="131"/>
        <v>0</v>
      </c>
      <c r="AS403" s="47"/>
      <c r="AT403" s="13"/>
      <c r="AU403" s="46">
        <f t="shared" si="132"/>
        <v>0</v>
      </c>
      <c r="AV403"/>
      <c r="AW403"/>
      <c r="AX403"/>
      <c r="AY403"/>
      <c r="AZ403"/>
      <c r="BA403"/>
      <c r="BB403"/>
      <c r="BC403" s="3"/>
      <c r="BD403" s="3"/>
      <c r="BE403" s="3"/>
      <c r="BF403" s="3"/>
      <c r="BG403" s="3"/>
      <c r="BH403" s="3"/>
      <c r="BI403" s="3"/>
      <c r="BJ403" s="3"/>
      <c r="BK403" s="3"/>
      <c r="BL403" s="20" t="str">
        <f t="shared" si="140"/>
        <v>►</v>
      </c>
      <c r="BM403" s="3"/>
      <c r="BN403" s="2"/>
      <c r="BO403" s="2"/>
      <c r="BP403" s="2"/>
      <c r="BQ403" s="2"/>
      <c r="BR403" s="2"/>
      <c r="BS403"/>
      <c r="BT403"/>
      <c r="BU403"/>
      <c r="BV403"/>
      <c r="BW403"/>
      <c r="BX403"/>
      <c r="BY403"/>
      <c r="BZ403"/>
      <c r="CA403"/>
      <c r="CB403"/>
      <c r="CC403"/>
      <c r="CD403"/>
      <c r="CE403"/>
      <c r="CF403"/>
      <c r="CG403"/>
      <c r="CH403"/>
      <c r="CI403"/>
      <c r="CJ403"/>
      <c r="CK403"/>
      <c r="CL403"/>
      <c r="CM403"/>
      <c r="CN403"/>
      <c r="CO403" s="5">
        <v>1</v>
      </c>
    </row>
    <row r="404" spans="1:93" s="1" customFormat="1" ht="21" customHeight="1">
      <c r="A404" s="20" t="str">
        <f t="shared" si="133"/>
        <v>►</v>
      </c>
      <c r="B404" s="43" t="str">
        <f t="shared" si="134"/>
        <v>►</v>
      </c>
      <c r="C404" s="45" t="str">
        <f t="shared" si="135"/>
        <v>►</v>
      </c>
      <c r="D404" s="44" t="str">
        <f t="shared" si="136"/>
        <v>►</v>
      </c>
      <c r="E404" s="43" t="str">
        <f t="shared" si="137"/>
        <v>►</v>
      </c>
      <c r="F404" s="43" t="str">
        <f t="shared" si="138"/>
        <v>►</v>
      </c>
      <c r="G404" s="43" t="str">
        <f t="shared" si="139"/>
        <v>►</v>
      </c>
      <c r="H404" s="1256" t="s">
        <v>1</v>
      </c>
      <c r="I404" s="5175" t="s">
        <v>1</v>
      </c>
      <c r="J404" s="5161"/>
      <c r="K404" s="5161"/>
      <c r="L404" s="5161"/>
      <c r="M404" s="5176"/>
      <c r="N404" s="5177"/>
      <c r="O404" s="147"/>
      <c r="P404" s="147"/>
      <c r="Q404" s="102"/>
      <c r="R404" s="102"/>
      <c r="S404" s="1360"/>
      <c r="T404" s="43"/>
      <c r="U404" s="42"/>
      <c r="V404" s="41"/>
      <c r="W404" s="40"/>
      <c r="X404" s="39"/>
      <c r="Y404" s="38"/>
      <c r="Z404" s="37"/>
      <c r="AA404" s="36"/>
      <c r="AB404" s="35"/>
      <c r="AC404" s="34"/>
      <c r="AD404" s="55"/>
      <c r="AE404" s="33"/>
      <c r="AF404"/>
      <c r="AG404" s="32"/>
      <c r="AH404" s="31"/>
      <c r="AI404" s="30"/>
      <c r="AJ404" s="5492">
        <f t="shared" si="125"/>
        <v>0</v>
      </c>
      <c r="AK404" s="29">
        <f t="shared" si="126"/>
        <v>0</v>
      </c>
      <c r="AL404" s="28" t="str">
        <f t="shared" si="127"/>
        <v/>
      </c>
      <c r="AM404" s="27"/>
      <c r="AN404" s="26">
        <f t="shared" si="128"/>
        <v>0</v>
      </c>
      <c r="AO404" s="25">
        <f t="shared" si="129"/>
        <v>0</v>
      </c>
      <c r="AP404" s="24">
        <f t="shared" si="130"/>
        <v>0</v>
      </c>
      <c r="AQ404" s="23"/>
      <c r="AR404" s="22">
        <f t="shared" si="131"/>
        <v>0</v>
      </c>
      <c r="AS404" s="21"/>
      <c r="AT404" s="13"/>
      <c r="AU404" s="46">
        <f t="shared" si="132"/>
        <v>0</v>
      </c>
      <c r="AV404"/>
      <c r="AW404"/>
      <c r="AX404"/>
      <c r="AY404"/>
      <c r="AZ404"/>
      <c r="BA404"/>
      <c r="BB404"/>
      <c r="BC404" s="3"/>
      <c r="BD404" s="3"/>
      <c r="BE404" s="3"/>
      <c r="BF404" s="3"/>
      <c r="BG404" s="3"/>
      <c r="BH404" s="3"/>
      <c r="BI404" s="3"/>
      <c r="BJ404" s="3"/>
      <c r="BK404" s="3"/>
      <c r="BL404" s="20" t="str">
        <f t="shared" si="140"/>
        <v>►</v>
      </c>
      <c r="BM404" s="3"/>
      <c r="BN404" s="2"/>
      <c r="BO404" s="2"/>
      <c r="BP404" s="2"/>
      <c r="BQ404" s="2"/>
      <c r="BR404" s="2"/>
      <c r="BS404"/>
      <c r="BT404"/>
      <c r="BU404"/>
      <c r="BV404"/>
      <c r="BW404"/>
      <c r="BX404"/>
      <c r="BY404"/>
      <c r="BZ404"/>
      <c r="CA404"/>
      <c r="CB404"/>
      <c r="CC404"/>
      <c r="CD404"/>
      <c r="CE404"/>
      <c r="CF404"/>
      <c r="CG404"/>
      <c r="CH404"/>
      <c r="CI404"/>
      <c r="CJ404"/>
      <c r="CK404"/>
      <c r="CL404"/>
      <c r="CM404"/>
      <c r="CN404"/>
      <c r="CO404" s="5">
        <v>1</v>
      </c>
    </row>
    <row r="405" spans="1:93" s="1" customFormat="1" ht="21" customHeight="1">
      <c r="A405" s="20" t="str">
        <f t="shared" si="133"/>
        <v>►</v>
      </c>
      <c r="B405" s="43" t="str">
        <f t="shared" si="134"/>
        <v>►</v>
      </c>
      <c r="C405" s="45" t="str">
        <f t="shared" si="135"/>
        <v>►</v>
      </c>
      <c r="D405" s="44" t="str">
        <f t="shared" si="136"/>
        <v>►</v>
      </c>
      <c r="E405" s="43" t="str">
        <f t="shared" si="137"/>
        <v>►</v>
      </c>
      <c r="F405" s="43" t="str">
        <f t="shared" si="138"/>
        <v>►</v>
      </c>
      <c r="G405" s="43" t="str">
        <f t="shared" si="139"/>
        <v>►</v>
      </c>
      <c r="H405" s="1256" t="s">
        <v>1</v>
      </c>
      <c r="I405" s="5175" t="s">
        <v>1</v>
      </c>
      <c r="J405" s="5161"/>
      <c r="K405" s="5161"/>
      <c r="L405" s="5161"/>
      <c r="M405" s="5176"/>
      <c r="N405" s="5177"/>
      <c r="O405" s="147"/>
      <c r="P405" s="147"/>
      <c r="Q405" s="102"/>
      <c r="R405" s="102"/>
      <c r="S405" s="1360"/>
      <c r="T405" s="43"/>
      <c r="U405" s="42"/>
      <c r="V405" s="41"/>
      <c r="W405" s="40"/>
      <c r="X405" s="39"/>
      <c r="Y405" s="38"/>
      <c r="Z405" s="37"/>
      <c r="AA405" s="36"/>
      <c r="AB405" s="35"/>
      <c r="AC405" s="34"/>
      <c r="AD405" s="55"/>
      <c r="AE405" s="33"/>
      <c r="AF405"/>
      <c r="AG405" s="32"/>
      <c r="AH405" s="31"/>
      <c r="AI405" s="30"/>
      <c r="AJ405" s="5492">
        <f t="shared" si="125"/>
        <v>0</v>
      </c>
      <c r="AK405" s="54">
        <f t="shared" si="126"/>
        <v>0</v>
      </c>
      <c r="AL405" s="53" t="str">
        <f t="shared" si="127"/>
        <v/>
      </c>
      <c r="AM405" s="52"/>
      <c r="AN405" s="51">
        <f t="shared" si="128"/>
        <v>0</v>
      </c>
      <c r="AO405" s="50">
        <f t="shared" si="129"/>
        <v>0</v>
      </c>
      <c r="AP405" s="49">
        <f t="shared" si="130"/>
        <v>0</v>
      </c>
      <c r="AQ405" s="23"/>
      <c r="AR405" s="48">
        <f t="shared" si="131"/>
        <v>0</v>
      </c>
      <c r="AS405" s="47"/>
      <c r="AT405" s="13"/>
      <c r="AU405" s="46">
        <f t="shared" si="132"/>
        <v>0</v>
      </c>
      <c r="AV405"/>
      <c r="AW405"/>
      <c r="AX405"/>
      <c r="AY405"/>
      <c r="AZ405"/>
      <c r="BA405"/>
      <c r="BB405"/>
      <c r="BC405" s="3"/>
      <c r="BD405" s="3"/>
      <c r="BE405" s="3"/>
      <c r="BF405" s="3"/>
      <c r="BG405" s="3"/>
      <c r="BH405" s="3"/>
      <c r="BI405" s="3"/>
      <c r="BJ405" s="3"/>
      <c r="BK405" s="3"/>
      <c r="BL405" s="20" t="str">
        <f t="shared" si="140"/>
        <v>►</v>
      </c>
      <c r="BM405" s="3"/>
      <c r="BN405" s="2"/>
      <c r="BO405" s="2"/>
      <c r="BP405" s="2"/>
      <c r="BQ405" s="2"/>
      <c r="BR405" s="2"/>
      <c r="BS405"/>
      <c r="BT405"/>
      <c r="BU405"/>
      <c r="BV405"/>
      <c r="BW405"/>
      <c r="BX405"/>
      <c r="BY405"/>
      <c r="BZ405"/>
      <c r="CA405"/>
      <c r="CB405"/>
      <c r="CC405"/>
      <c r="CD405"/>
      <c r="CE405"/>
      <c r="CF405"/>
      <c r="CG405"/>
      <c r="CH405"/>
      <c r="CI405"/>
      <c r="CJ405"/>
      <c r="CK405"/>
      <c r="CL405"/>
      <c r="CM405"/>
      <c r="CN405"/>
      <c r="CO405" s="5">
        <v>1</v>
      </c>
    </row>
    <row r="406" spans="1:93" s="1" customFormat="1" ht="21" customHeight="1">
      <c r="A406" s="20" t="str">
        <f t="shared" si="133"/>
        <v>►</v>
      </c>
      <c r="B406" s="43" t="str">
        <f t="shared" si="134"/>
        <v>►</v>
      </c>
      <c r="C406" s="45" t="str">
        <f t="shared" si="135"/>
        <v>►</v>
      </c>
      <c r="D406" s="44" t="str">
        <f t="shared" si="136"/>
        <v>►</v>
      </c>
      <c r="E406" s="43" t="str">
        <f t="shared" si="137"/>
        <v>►</v>
      </c>
      <c r="F406" s="43" t="str">
        <f t="shared" si="138"/>
        <v>►</v>
      </c>
      <c r="G406" s="43" t="str">
        <f t="shared" si="139"/>
        <v>►</v>
      </c>
      <c r="H406" s="1256" t="s">
        <v>1</v>
      </c>
      <c r="I406" s="5175" t="s">
        <v>1</v>
      </c>
      <c r="J406" s="5161"/>
      <c r="K406" s="5161"/>
      <c r="L406" s="5161"/>
      <c r="M406" s="5176"/>
      <c r="N406" s="5177"/>
      <c r="O406" s="147"/>
      <c r="P406" s="147"/>
      <c r="Q406" s="102"/>
      <c r="R406" s="102"/>
      <c r="S406" s="1360"/>
      <c r="T406" s="43"/>
      <c r="U406" s="42"/>
      <c r="V406" s="41"/>
      <c r="W406" s="40"/>
      <c r="X406" s="39"/>
      <c r="Y406" s="38"/>
      <c r="Z406" s="37"/>
      <c r="AA406" s="36"/>
      <c r="AB406" s="35"/>
      <c r="AC406" s="34"/>
      <c r="AD406" s="55"/>
      <c r="AE406" s="33"/>
      <c r="AF406"/>
      <c r="AG406" s="32"/>
      <c r="AH406" s="31"/>
      <c r="AI406" s="30"/>
      <c r="AJ406" s="5492">
        <f t="shared" si="125"/>
        <v>0</v>
      </c>
      <c r="AK406" s="29">
        <f t="shared" si="126"/>
        <v>0</v>
      </c>
      <c r="AL406" s="28" t="str">
        <f t="shared" si="127"/>
        <v/>
      </c>
      <c r="AM406" s="27"/>
      <c r="AN406" s="26">
        <f t="shared" si="128"/>
        <v>0</v>
      </c>
      <c r="AO406" s="25">
        <f t="shared" si="129"/>
        <v>0</v>
      </c>
      <c r="AP406" s="24">
        <f t="shared" si="130"/>
        <v>0</v>
      </c>
      <c r="AQ406" s="23"/>
      <c r="AR406" s="22">
        <f t="shared" si="131"/>
        <v>0</v>
      </c>
      <c r="AS406" s="21"/>
      <c r="AT406" s="13"/>
      <c r="AU406" s="46">
        <f t="shared" si="132"/>
        <v>0</v>
      </c>
      <c r="AV406"/>
      <c r="AW406"/>
      <c r="AX406"/>
      <c r="AY406"/>
      <c r="AZ406"/>
      <c r="BA406"/>
      <c r="BB406"/>
      <c r="BC406" s="3"/>
      <c r="BD406" s="3"/>
      <c r="BE406" s="3"/>
      <c r="BF406" s="3"/>
      <c r="BG406" s="3"/>
      <c r="BH406" s="3"/>
      <c r="BI406" s="3"/>
      <c r="BJ406" s="3"/>
      <c r="BK406" s="3"/>
      <c r="BL406" s="20" t="str">
        <f t="shared" si="140"/>
        <v>►</v>
      </c>
      <c r="BM406" s="3"/>
      <c r="BN406" s="2"/>
      <c r="BO406" s="2"/>
      <c r="BP406" s="2"/>
      <c r="BQ406" s="2"/>
      <c r="BR406" s="2"/>
      <c r="BS406"/>
      <c r="BT406"/>
      <c r="BU406"/>
      <c r="BV406"/>
      <c r="BW406"/>
      <c r="BX406"/>
      <c r="BY406"/>
      <c r="BZ406"/>
      <c r="CA406"/>
      <c r="CB406"/>
      <c r="CC406"/>
      <c r="CD406"/>
      <c r="CE406"/>
      <c r="CF406"/>
      <c r="CG406"/>
      <c r="CH406"/>
      <c r="CI406"/>
      <c r="CJ406"/>
      <c r="CK406"/>
      <c r="CL406"/>
      <c r="CM406"/>
      <c r="CN406"/>
      <c r="CO406" s="5">
        <v>1</v>
      </c>
    </row>
    <row r="407" spans="1:93" s="1" customFormat="1" ht="21" customHeight="1">
      <c r="A407" s="20" t="str">
        <f t="shared" si="133"/>
        <v>►</v>
      </c>
      <c r="B407" s="43" t="str">
        <f t="shared" si="134"/>
        <v>►</v>
      </c>
      <c r="C407" s="45" t="str">
        <f t="shared" si="135"/>
        <v>►</v>
      </c>
      <c r="D407" s="44" t="str">
        <f t="shared" si="136"/>
        <v>►</v>
      </c>
      <c r="E407" s="43" t="str">
        <f t="shared" si="137"/>
        <v>►</v>
      </c>
      <c r="F407" s="43" t="str">
        <f t="shared" si="138"/>
        <v>►</v>
      </c>
      <c r="G407" s="43" t="str">
        <f t="shared" si="139"/>
        <v>►</v>
      </c>
      <c r="H407" s="1256" t="s">
        <v>1</v>
      </c>
      <c r="I407" s="5175" t="s">
        <v>1</v>
      </c>
      <c r="J407" s="5161"/>
      <c r="K407" s="5161"/>
      <c r="L407" s="5161"/>
      <c r="M407" s="5176"/>
      <c r="N407" s="5177"/>
      <c r="O407" s="147"/>
      <c r="P407" s="147"/>
      <c r="Q407" s="102"/>
      <c r="R407" s="102"/>
      <c r="S407" s="1360"/>
      <c r="T407" s="43"/>
      <c r="U407" s="42"/>
      <c r="V407" s="41"/>
      <c r="W407" s="40"/>
      <c r="X407" s="39"/>
      <c r="Y407" s="38"/>
      <c r="Z407" s="37"/>
      <c r="AA407" s="36"/>
      <c r="AB407" s="35"/>
      <c r="AC407" s="34"/>
      <c r="AD407" s="55"/>
      <c r="AE407" s="33"/>
      <c r="AF407"/>
      <c r="AG407" s="32"/>
      <c r="AH407" s="31"/>
      <c r="AI407" s="30"/>
      <c r="AJ407" s="5492">
        <f t="shared" si="125"/>
        <v>0</v>
      </c>
      <c r="AK407" s="54">
        <f t="shared" si="126"/>
        <v>0</v>
      </c>
      <c r="AL407" s="53" t="str">
        <f t="shared" si="127"/>
        <v/>
      </c>
      <c r="AM407" s="52"/>
      <c r="AN407" s="51">
        <f t="shared" si="128"/>
        <v>0</v>
      </c>
      <c r="AO407" s="50">
        <f t="shared" si="129"/>
        <v>0</v>
      </c>
      <c r="AP407" s="49">
        <f t="shared" si="130"/>
        <v>0</v>
      </c>
      <c r="AQ407" s="23"/>
      <c r="AR407" s="48">
        <f t="shared" si="131"/>
        <v>0</v>
      </c>
      <c r="AS407" s="47"/>
      <c r="AT407" s="13"/>
      <c r="AU407" s="46">
        <f t="shared" si="132"/>
        <v>0</v>
      </c>
      <c r="AV407"/>
      <c r="AW407"/>
      <c r="AX407"/>
      <c r="AY407"/>
      <c r="AZ407"/>
      <c r="BA407"/>
      <c r="BB407"/>
      <c r="BC407" s="3"/>
      <c r="BD407" s="3"/>
      <c r="BE407" s="3"/>
      <c r="BF407" s="3"/>
      <c r="BG407" s="3"/>
      <c r="BH407" s="3"/>
      <c r="BI407" s="3"/>
      <c r="BJ407" s="3"/>
      <c r="BK407" s="3"/>
      <c r="BL407" s="20" t="str">
        <f t="shared" si="140"/>
        <v>►</v>
      </c>
      <c r="BM407" s="3"/>
      <c r="BN407" s="2"/>
      <c r="BO407" s="2"/>
      <c r="BP407" s="2"/>
      <c r="BQ407" s="2"/>
      <c r="BR407" s="2"/>
      <c r="BS407"/>
      <c r="BT407"/>
      <c r="BU407"/>
      <c r="BV407"/>
      <c r="BW407"/>
      <c r="BX407"/>
      <c r="BY407"/>
      <c r="BZ407"/>
      <c r="CA407"/>
      <c r="CB407"/>
      <c r="CC407"/>
      <c r="CD407"/>
      <c r="CE407"/>
      <c r="CF407"/>
      <c r="CG407"/>
      <c r="CH407"/>
      <c r="CI407"/>
      <c r="CJ407"/>
      <c r="CK407"/>
      <c r="CL407"/>
      <c r="CM407"/>
      <c r="CN407"/>
      <c r="CO407" s="5">
        <v>1</v>
      </c>
    </row>
    <row r="408" spans="1:93" s="1" customFormat="1" ht="21" customHeight="1">
      <c r="A408" s="20" t="str">
        <f t="shared" si="133"/>
        <v>►</v>
      </c>
      <c r="B408" s="43" t="str">
        <f t="shared" si="134"/>
        <v>►</v>
      </c>
      <c r="C408" s="45" t="str">
        <f t="shared" si="135"/>
        <v>►</v>
      </c>
      <c r="D408" s="44" t="str">
        <f t="shared" si="136"/>
        <v>►</v>
      </c>
      <c r="E408" s="43" t="str">
        <f t="shared" si="137"/>
        <v>►</v>
      </c>
      <c r="F408" s="43" t="str">
        <f t="shared" si="138"/>
        <v>►</v>
      </c>
      <c r="G408" s="43" t="str">
        <f t="shared" si="139"/>
        <v>►</v>
      </c>
      <c r="H408" s="1256" t="s">
        <v>1</v>
      </c>
      <c r="I408" s="5175" t="s">
        <v>1</v>
      </c>
      <c r="J408" s="5161"/>
      <c r="K408" s="5161"/>
      <c r="L408" s="5161"/>
      <c r="M408" s="5176"/>
      <c r="N408" s="5177"/>
      <c r="O408" s="147"/>
      <c r="P408" s="147"/>
      <c r="Q408" s="102"/>
      <c r="R408" s="102"/>
      <c r="S408" s="1360"/>
      <c r="T408" s="43"/>
      <c r="U408" s="42"/>
      <c r="V408" s="41"/>
      <c r="W408" s="40"/>
      <c r="X408" s="39"/>
      <c r="Y408" s="38"/>
      <c r="Z408" s="37"/>
      <c r="AA408" s="36"/>
      <c r="AB408" s="35"/>
      <c r="AC408" s="34"/>
      <c r="AD408" s="55"/>
      <c r="AE408" s="33"/>
      <c r="AF408"/>
      <c r="AG408" s="32"/>
      <c r="AH408" s="31"/>
      <c r="AI408" s="30"/>
      <c r="AJ408" s="5492">
        <f t="shared" si="125"/>
        <v>0</v>
      </c>
      <c r="AK408" s="29">
        <f t="shared" si="126"/>
        <v>0</v>
      </c>
      <c r="AL408" s="28" t="str">
        <f t="shared" si="127"/>
        <v/>
      </c>
      <c r="AM408" s="27"/>
      <c r="AN408" s="26">
        <f t="shared" si="128"/>
        <v>0</v>
      </c>
      <c r="AO408" s="25">
        <f t="shared" si="129"/>
        <v>0</v>
      </c>
      <c r="AP408" s="24">
        <f t="shared" si="130"/>
        <v>0</v>
      </c>
      <c r="AQ408" s="23"/>
      <c r="AR408" s="22">
        <f t="shared" si="131"/>
        <v>0</v>
      </c>
      <c r="AS408" s="21"/>
      <c r="AT408" s="13"/>
      <c r="AU408" s="46">
        <f t="shared" si="132"/>
        <v>0</v>
      </c>
      <c r="AV408"/>
      <c r="AW408"/>
      <c r="AX408"/>
      <c r="AY408"/>
      <c r="AZ408"/>
      <c r="BA408"/>
      <c r="BB408"/>
      <c r="BC408" s="3"/>
      <c r="BD408" s="3"/>
      <c r="BE408" s="3"/>
      <c r="BF408" s="3"/>
      <c r="BG408" s="3"/>
      <c r="BH408" s="3"/>
      <c r="BI408" s="3"/>
      <c r="BJ408" s="3"/>
      <c r="BK408" s="3"/>
      <c r="BL408" s="20" t="str">
        <f t="shared" si="140"/>
        <v>►</v>
      </c>
      <c r="BM408" s="3"/>
      <c r="BN408" s="2"/>
      <c r="BO408" s="2"/>
      <c r="BP408" s="2"/>
      <c r="BQ408" s="2"/>
      <c r="BR408" s="2"/>
      <c r="BS408"/>
      <c r="BT408"/>
      <c r="BU408"/>
      <c r="BV408"/>
      <c r="BW408"/>
      <c r="BX408"/>
      <c r="BY408"/>
      <c r="BZ408"/>
      <c r="CA408"/>
      <c r="CB408"/>
      <c r="CC408"/>
      <c r="CD408"/>
      <c r="CE408"/>
      <c r="CF408"/>
      <c r="CG408"/>
      <c r="CH408"/>
      <c r="CI408"/>
      <c r="CJ408"/>
      <c r="CK408"/>
      <c r="CL408"/>
      <c r="CM408"/>
      <c r="CN408"/>
      <c r="CO408" s="5">
        <v>1</v>
      </c>
    </row>
    <row r="409" spans="1:93" s="1" customFormat="1" ht="21" customHeight="1">
      <c r="A409" s="20" t="str">
        <f t="shared" si="133"/>
        <v>►</v>
      </c>
      <c r="B409" s="43" t="str">
        <f t="shared" si="134"/>
        <v>►</v>
      </c>
      <c r="C409" s="45" t="str">
        <f t="shared" si="135"/>
        <v>►</v>
      </c>
      <c r="D409" s="44" t="str">
        <f t="shared" si="136"/>
        <v>►</v>
      </c>
      <c r="E409" s="43" t="str">
        <f t="shared" si="137"/>
        <v>►</v>
      </c>
      <c r="F409" s="43" t="str">
        <f t="shared" si="138"/>
        <v>►</v>
      </c>
      <c r="G409" s="43" t="str">
        <f t="shared" si="139"/>
        <v>►</v>
      </c>
      <c r="H409" s="1256" t="s">
        <v>1</v>
      </c>
      <c r="I409" s="5175" t="s">
        <v>1</v>
      </c>
      <c r="J409" s="5161"/>
      <c r="K409" s="5161"/>
      <c r="L409" s="5161"/>
      <c r="M409" s="5176"/>
      <c r="N409" s="5177"/>
      <c r="O409" s="147"/>
      <c r="P409" s="147"/>
      <c r="Q409" s="102"/>
      <c r="R409" s="102"/>
      <c r="S409" s="1360"/>
      <c r="T409" s="43"/>
      <c r="U409" s="42"/>
      <c r="V409" s="41"/>
      <c r="W409" s="40"/>
      <c r="X409" s="39"/>
      <c r="Y409" s="38"/>
      <c r="Z409" s="37"/>
      <c r="AA409" s="36"/>
      <c r="AB409" s="35"/>
      <c r="AC409" s="34"/>
      <c r="AD409" s="55"/>
      <c r="AE409" s="33"/>
      <c r="AF409"/>
      <c r="AG409" s="32"/>
      <c r="AH409" s="31"/>
      <c r="AI409" s="30"/>
      <c r="AJ409" s="5492">
        <f t="shared" si="125"/>
        <v>0</v>
      </c>
      <c r="AK409" s="54">
        <f t="shared" si="126"/>
        <v>0</v>
      </c>
      <c r="AL409" s="53" t="str">
        <f t="shared" si="127"/>
        <v/>
      </c>
      <c r="AM409" s="52"/>
      <c r="AN409" s="51">
        <f t="shared" si="128"/>
        <v>0</v>
      </c>
      <c r="AO409" s="50">
        <f t="shared" si="129"/>
        <v>0</v>
      </c>
      <c r="AP409" s="49">
        <f t="shared" si="130"/>
        <v>0</v>
      </c>
      <c r="AQ409" s="23"/>
      <c r="AR409" s="48">
        <f t="shared" si="131"/>
        <v>0</v>
      </c>
      <c r="AS409" s="47"/>
      <c r="AT409" s="13"/>
      <c r="AU409" s="46">
        <f t="shared" si="132"/>
        <v>0</v>
      </c>
      <c r="AV409"/>
      <c r="AW409"/>
      <c r="AX409"/>
      <c r="AY409"/>
      <c r="AZ409"/>
      <c r="BA409"/>
      <c r="BB409"/>
      <c r="BC409" s="3"/>
      <c r="BD409" s="3"/>
      <c r="BE409" s="3"/>
      <c r="BF409" s="3"/>
      <c r="BG409" s="3"/>
      <c r="BH409" s="3"/>
      <c r="BI409" s="3"/>
      <c r="BJ409" s="3"/>
      <c r="BK409" s="3"/>
      <c r="BL409" s="20" t="str">
        <f t="shared" si="140"/>
        <v>►</v>
      </c>
      <c r="BM409" s="3"/>
      <c r="BN409" s="2"/>
      <c r="BO409" s="2"/>
      <c r="BP409" s="2"/>
      <c r="BQ409" s="2"/>
      <c r="BR409" s="2"/>
      <c r="BS409"/>
      <c r="BT409"/>
      <c r="BU409"/>
      <c r="BV409"/>
      <c r="BW409"/>
      <c r="BX409"/>
      <c r="BY409"/>
      <c r="BZ409"/>
      <c r="CA409"/>
      <c r="CB409"/>
      <c r="CC409"/>
      <c r="CD409"/>
      <c r="CE409"/>
      <c r="CF409"/>
      <c r="CG409"/>
      <c r="CH409"/>
      <c r="CI409"/>
      <c r="CJ409"/>
      <c r="CK409"/>
      <c r="CL409"/>
      <c r="CM409"/>
      <c r="CN409"/>
      <c r="CO409" s="5">
        <v>1</v>
      </c>
    </row>
    <row r="410" spans="1:93" s="1" customFormat="1" ht="21" customHeight="1">
      <c r="A410" s="20" t="str">
        <f t="shared" si="133"/>
        <v>►</v>
      </c>
      <c r="B410" s="43" t="str">
        <f t="shared" si="134"/>
        <v>►</v>
      </c>
      <c r="C410" s="45" t="str">
        <f t="shared" si="135"/>
        <v>►</v>
      </c>
      <c r="D410" s="44" t="str">
        <f t="shared" si="136"/>
        <v>►</v>
      </c>
      <c r="E410" s="43" t="str">
        <f t="shared" si="137"/>
        <v>►</v>
      </c>
      <c r="F410" s="43" t="str">
        <f t="shared" si="138"/>
        <v>►</v>
      </c>
      <c r="G410" s="43" t="str">
        <f t="shared" si="139"/>
        <v>►</v>
      </c>
      <c r="H410" s="1256" t="s">
        <v>1</v>
      </c>
      <c r="I410" s="5175" t="s">
        <v>1</v>
      </c>
      <c r="J410" s="5161"/>
      <c r="K410" s="5161"/>
      <c r="L410" s="5161"/>
      <c r="M410" s="5176"/>
      <c r="N410" s="5177"/>
      <c r="O410" s="147"/>
      <c r="P410" s="147"/>
      <c r="Q410" s="102"/>
      <c r="R410" s="102"/>
      <c r="S410" s="1360"/>
      <c r="T410" s="43"/>
      <c r="U410" s="42"/>
      <c r="V410" s="41"/>
      <c r="W410" s="40"/>
      <c r="X410" s="39"/>
      <c r="Y410" s="38"/>
      <c r="Z410" s="37"/>
      <c r="AA410" s="36"/>
      <c r="AB410" s="35"/>
      <c r="AC410" s="34"/>
      <c r="AD410" s="55"/>
      <c r="AE410" s="33"/>
      <c r="AF410"/>
      <c r="AG410" s="32"/>
      <c r="AH410" s="31"/>
      <c r="AI410" s="30"/>
      <c r="AJ410" s="5492">
        <f t="shared" si="125"/>
        <v>0</v>
      </c>
      <c r="AK410" s="29">
        <f t="shared" si="126"/>
        <v>0</v>
      </c>
      <c r="AL410" s="28" t="str">
        <f t="shared" si="127"/>
        <v/>
      </c>
      <c r="AM410" s="27"/>
      <c r="AN410" s="26">
        <f t="shared" si="128"/>
        <v>0</v>
      </c>
      <c r="AO410" s="25">
        <f t="shared" si="129"/>
        <v>0</v>
      </c>
      <c r="AP410" s="24">
        <f t="shared" si="130"/>
        <v>0</v>
      </c>
      <c r="AQ410" s="23"/>
      <c r="AR410" s="22">
        <f t="shared" si="131"/>
        <v>0</v>
      </c>
      <c r="AS410" s="21"/>
      <c r="AT410" s="13"/>
      <c r="AU410" s="46">
        <f t="shared" si="132"/>
        <v>0</v>
      </c>
      <c r="AV410"/>
      <c r="AW410"/>
      <c r="AX410"/>
      <c r="AY410"/>
      <c r="AZ410"/>
      <c r="BA410"/>
      <c r="BB410"/>
      <c r="BC410" s="3"/>
      <c r="BD410" s="3"/>
      <c r="BE410" s="3"/>
      <c r="BF410" s="3"/>
      <c r="BG410" s="3"/>
      <c r="BH410" s="3"/>
      <c r="BI410" s="3"/>
      <c r="BJ410" s="3"/>
      <c r="BK410" s="3"/>
      <c r="BL410" s="20" t="str">
        <f t="shared" si="140"/>
        <v>►</v>
      </c>
      <c r="BM410" s="3"/>
      <c r="BN410" s="2"/>
      <c r="BO410" s="2"/>
      <c r="BP410" s="2"/>
      <c r="BQ410" s="2"/>
      <c r="BR410" s="2"/>
      <c r="BS410"/>
      <c r="BT410"/>
      <c r="BU410"/>
      <c r="BV410"/>
      <c r="BW410"/>
      <c r="BX410"/>
      <c r="BY410"/>
      <c r="BZ410"/>
      <c r="CA410"/>
      <c r="CB410"/>
      <c r="CC410"/>
      <c r="CD410"/>
      <c r="CE410"/>
      <c r="CF410"/>
      <c r="CG410"/>
      <c r="CH410"/>
      <c r="CI410"/>
      <c r="CJ410"/>
      <c r="CK410"/>
      <c r="CL410"/>
      <c r="CM410"/>
      <c r="CN410"/>
      <c r="CO410" s="5">
        <v>1</v>
      </c>
    </row>
    <row r="411" spans="1:93" s="1" customFormat="1" ht="21" customHeight="1">
      <c r="A411" s="20" t="str">
        <f t="shared" si="133"/>
        <v>►</v>
      </c>
      <c r="B411" s="43" t="str">
        <f t="shared" si="134"/>
        <v>►</v>
      </c>
      <c r="C411" s="45" t="str">
        <f t="shared" si="135"/>
        <v>►</v>
      </c>
      <c r="D411" s="44" t="str">
        <f t="shared" si="136"/>
        <v>►</v>
      </c>
      <c r="E411" s="43" t="str">
        <f t="shared" si="137"/>
        <v>►</v>
      </c>
      <c r="F411" s="43" t="str">
        <f t="shared" si="138"/>
        <v>►</v>
      </c>
      <c r="G411" s="43" t="str">
        <f t="shared" si="139"/>
        <v>►</v>
      </c>
      <c r="H411" s="1256" t="s">
        <v>1</v>
      </c>
      <c r="I411" s="5175" t="s">
        <v>1</v>
      </c>
      <c r="J411" s="5161"/>
      <c r="K411" s="5161"/>
      <c r="L411" s="5161"/>
      <c r="M411" s="5176"/>
      <c r="N411" s="5177"/>
      <c r="O411" s="147"/>
      <c r="P411" s="147"/>
      <c r="Q411" s="102"/>
      <c r="R411" s="102"/>
      <c r="S411" s="1360"/>
      <c r="T411" s="43"/>
      <c r="U411" s="42"/>
      <c r="V411" s="41"/>
      <c r="W411" s="40"/>
      <c r="X411" s="39"/>
      <c r="Y411" s="38"/>
      <c r="Z411" s="37"/>
      <c r="AA411" s="36"/>
      <c r="AB411" s="35"/>
      <c r="AC411" s="34"/>
      <c r="AD411" s="55"/>
      <c r="AE411" s="33"/>
      <c r="AF411"/>
      <c r="AG411" s="32"/>
      <c r="AH411" s="31"/>
      <c r="AI411" s="30"/>
      <c r="AJ411" s="5492">
        <f t="shared" si="125"/>
        <v>0</v>
      </c>
      <c r="AK411" s="54">
        <f t="shared" si="126"/>
        <v>0</v>
      </c>
      <c r="AL411" s="53" t="str">
        <f t="shared" si="127"/>
        <v/>
      </c>
      <c r="AM411" s="52"/>
      <c r="AN411" s="51">
        <f t="shared" si="128"/>
        <v>0</v>
      </c>
      <c r="AO411" s="50">
        <f t="shared" si="129"/>
        <v>0</v>
      </c>
      <c r="AP411" s="49">
        <f t="shared" si="130"/>
        <v>0</v>
      </c>
      <c r="AQ411" s="23"/>
      <c r="AR411" s="48">
        <f t="shared" si="131"/>
        <v>0</v>
      </c>
      <c r="AS411" s="47"/>
      <c r="AT411" s="13"/>
      <c r="AU411" s="46">
        <f t="shared" si="132"/>
        <v>0</v>
      </c>
      <c r="AV411"/>
      <c r="AW411"/>
      <c r="AX411"/>
      <c r="AY411"/>
      <c r="AZ411"/>
      <c r="BA411"/>
      <c r="BB411"/>
      <c r="BC411" s="3"/>
      <c r="BD411" s="3"/>
      <c r="BE411" s="3"/>
      <c r="BF411" s="3"/>
      <c r="BG411" s="3"/>
      <c r="BH411" s="3"/>
      <c r="BI411" s="3"/>
      <c r="BJ411" s="3"/>
      <c r="BK411" s="3"/>
      <c r="BL411" s="20" t="str">
        <f t="shared" si="140"/>
        <v>►</v>
      </c>
      <c r="BM411" s="3"/>
      <c r="BN411" s="2"/>
      <c r="BO411" s="2"/>
      <c r="BP411" s="2"/>
      <c r="BQ411" s="2"/>
      <c r="BR411" s="2"/>
      <c r="BS411"/>
      <c r="BT411"/>
      <c r="BU411"/>
      <c r="BV411"/>
      <c r="BW411"/>
      <c r="BX411"/>
      <c r="BY411"/>
      <c r="BZ411"/>
      <c r="CA411"/>
      <c r="CB411"/>
      <c r="CC411"/>
      <c r="CD411"/>
      <c r="CE411"/>
      <c r="CF411"/>
      <c r="CG411"/>
      <c r="CH411"/>
      <c r="CI411"/>
      <c r="CJ411"/>
      <c r="CK411"/>
      <c r="CL411"/>
      <c r="CM411"/>
      <c r="CN411"/>
      <c r="CO411" s="5">
        <v>1</v>
      </c>
    </row>
    <row r="412" spans="1:93" s="1" customFormat="1" ht="21" customHeight="1">
      <c r="A412" s="20" t="str">
        <f t="shared" si="133"/>
        <v>►</v>
      </c>
      <c r="B412" s="43" t="str">
        <f t="shared" si="134"/>
        <v>►</v>
      </c>
      <c r="C412" s="45" t="str">
        <f t="shared" si="135"/>
        <v>►</v>
      </c>
      <c r="D412" s="44" t="str">
        <f t="shared" si="136"/>
        <v>►</v>
      </c>
      <c r="E412" s="43" t="str">
        <f t="shared" si="137"/>
        <v>►</v>
      </c>
      <c r="F412" s="43" t="str">
        <f t="shared" si="138"/>
        <v>►</v>
      </c>
      <c r="G412" s="43" t="str">
        <f t="shared" si="139"/>
        <v>►</v>
      </c>
      <c r="H412" s="1256" t="s">
        <v>1</v>
      </c>
      <c r="I412" s="5175" t="s">
        <v>1</v>
      </c>
      <c r="J412" s="5161"/>
      <c r="K412" s="5161"/>
      <c r="L412" s="5161"/>
      <c r="M412" s="5176"/>
      <c r="N412" s="5177"/>
      <c r="O412" s="147"/>
      <c r="P412" s="147"/>
      <c r="Q412" s="102"/>
      <c r="R412" s="102"/>
      <c r="S412" s="1360"/>
      <c r="T412" s="43"/>
      <c r="U412" s="42"/>
      <c r="V412" s="41"/>
      <c r="W412" s="40"/>
      <c r="X412" s="39"/>
      <c r="Y412" s="38"/>
      <c r="Z412" s="37"/>
      <c r="AA412" s="36"/>
      <c r="AB412" s="35"/>
      <c r="AC412" s="34"/>
      <c r="AD412" s="55"/>
      <c r="AE412" s="33"/>
      <c r="AF412"/>
      <c r="AG412" s="32"/>
      <c r="AH412" s="31"/>
      <c r="AI412" s="30"/>
      <c r="AJ412" s="5492">
        <f t="shared" si="125"/>
        <v>0</v>
      </c>
      <c r="AK412" s="29">
        <f t="shared" si="126"/>
        <v>0</v>
      </c>
      <c r="AL412" s="28" t="str">
        <f t="shared" si="127"/>
        <v/>
      </c>
      <c r="AM412" s="27"/>
      <c r="AN412" s="26">
        <f t="shared" si="128"/>
        <v>0</v>
      </c>
      <c r="AO412" s="25">
        <f t="shared" si="129"/>
        <v>0</v>
      </c>
      <c r="AP412" s="24">
        <f t="shared" si="130"/>
        <v>0</v>
      </c>
      <c r="AQ412" s="23"/>
      <c r="AR412" s="22">
        <f t="shared" si="131"/>
        <v>0</v>
      </c>
      <c r="AS412" s="21"/>
      <c r="AT412" s="13"/>
      <c r="AU412" s="46">
        <f t="shared" si="132"/>
        <v>0</v>
      </c>
      <c r="AV412"/>
      <c r="AW412"/>
      <c r="AX412"/>
      <c r="AY412"/>
      <c r="AZ412"/>
      <c r="BA412"/>
      <c r="BB412"/>
      <c r="BC412" s="3"/>
      <c r="BD412" s="3"/>
      <c r="BE412" s="3"/>
      <c r="BF412" s="3"/>
      <c r="BG412" s="3"/>
      <c r="BH412" s="3"/>
      <c r="BI412" s="3"/>
      <c r="BJ412" s="3"/>
      <c r="BK412" s="3"/>
      <c r="BL412" s="20" t="str">
        <f t="shared" si="140"/>
        <v>►</v>
      </c>
      <c r="BM412" s="3"/>
      <c r="BN412" s="2"/>
      <c r="BO412" s="2"/>
      <c r="BP412" s="2"/>
      <c r="BQ412" s="2"/>
      <c r="BR412" s="2"/>
      <c r="BS412"/>
      <c r="BT412"/>
      <c r="BU412"/>
      <c r="BV412"/>
      <c r="BW412"/>
      <c r="BX412"/>
      <c r="BY412"/>
      <c r="BZ412"/>
      <c r="CA412"/>
      <c r="CB412"/>
      <c r="CC412"/>
      <c r="CD412"/>
      <c r="CE412"/>
      <c r="CF412"/>
      <c r="CG412"/>
      <c r="CH412"/>
      <c r="CI412"/>
      <c r="CJ412"/>
      <c r="CK412"/>
      <c r="CL412"/>
      <c r="CM412"/>
      <c r="CN412"/>
      <c r="CO412" s="5">
        <v>1</v>
      </c>
    </row>
    <row r="413" spans="1:93" s="1" customFormat="1" ht="21" customHeight="1">
      <c r="A413" s="20" t="str">
        <f t="shared" si="133"/>
        <v>►</v>
      </c>
      <c r="B413" s="43" t="str">
        <f t="shared" si="134"/>
        <v>►</v>
      </c>
      <c r="C413" s="45" t="str">
        <f t="shared" si="135"/>
        <v>►</v>
      </c>
      <c r="D413" s="44" t="str">
        <f t="shared" si="136"/>
        <v>►</v>
      </c>
      <c r="E413" s="43" t="str">
        <f t="shared" si="137"/>
        <v>►</v>
      </c>
      <c r="F413" s="43" t="str">
        <f t="shared" si="138"/>
        <v>►</v>
      </c>
      <c r="G413" s="43" t="str">
        <f t="shared" si="139"/>
        <v>►</v>
      </c>
      <c r="H413" s="1256" t="s">
        <v>1</v>
      </c>
      <c r="I413" s="5175" t="s">
        <v>1</v>
      </c>
      <c r="J413" s="5161"/>
      <c r="K413" s="5161"/>
      <c r="L413" s="5161"/>
      <c r="M413" s="5176"/>
      <c r="N413" s="5177"/>
      <c r="O413" s="147"/>
      <c r="P413" s="147"/>
      <c r="Q413" s="102"/>
      <c r="R413" s="102"/>
      <c r="S413" s="1360"/>
      <c r="T413" s="43"/>
      <c r="U413" s="42"/>
      <c r="V413" s="41"/>
      <c r="W413" s="40"/>
      <c r="X413" s="39"/>
      <c r="Y413" s="38"/>
      <c r="Z413" s="37"/>
      <c r="AA413" s="36"/>
      <c r="AB413" s="35"/>
      <c r="AC413" s="34"/>
      <c r="AD413" s="55"/>
      <c r="AE413" s="33"/>
      <c r="AF413"/>
      <c r="AG413" s="32"/>
      <c r="AH413" s="31"/>
      <c r="AI413" s="30"/>
      <c r="AJ413" s="5492">
        <f t="shared" ref="AJ413:AJ476" si="141">IF(ISTEXT(Y413), 0, IFERROR(INDEX($AX$22:$AX$69, MATCH(AC413, $AW$22:$AW$69, 0)) * AB413 * IF(ISBLANK(Y413), 1, Y413), 0))</f>
        <v>0</v>
      </c>
      <c r="AK413" s="54">
        <f t="shared" ref="AK413:AK476" si="142">IF(ISNUMBER(AD413), AJ413*AD413*AU413, 0)</f>
        <v>0</v>
      </c>
      <c r="AL413" s="53" t="str">
        <f t="shared" ref="AL413:AL476" si="143">IF(AND(ISNUMBER(AB413),ISNUMBER(AD413),ISNUMBER(AU413)),IFERROR(_xlfn.LET(_xlpm.m,IF(ISBLANK(Y413),1,Y413),_xlpm.q,AB413*AD413*AU413*_xlpm.m,_xlpm.p,MATCH(AC413,AW$22:AW$69,0),_xlpm.f,INDEX(AX$22:AX$69,_xlpm.p),_xlpm.u,INDEX(AY$22:AY$69,_xlpm.p),_xlpm.s,INDEX(AZ$22:AZ$69,_xlpm.p),IF(_xlpm.q&gt;=_xlpm.s,ROUND(_xlpm.q,0)&amp;" "&amp;AC413&amp;" = "&amp;ROUND(_xlpm.q*_xlpm.f,1)&amp;" "&amp;_xlpm.u,ROUND(_xlpm.q,0)&amp;" "&amp;AC413)),""),"")</f>
        <v/>
      </c>
      <c r="AM413" s="52"/>
      <c r="AN413" s="51">
        <f t="shared" ref="AN413:AN476" si="144">((AK413-(AK413*AM413%)))</f>
        <v>0</v>
      </c>
      <c r="AO413" s="50">
        <f t="shared" ref="AO413:AO476" si="145">IF(AND(ISNUMBER(AD413), ISNUMBER(Y413)), Y413 * AD413 * AU413, 0)</f>
        <v>0</v>
      </c>
      <c r="AP413" s="49">
        <f t="shared" ref="AP413:AP476" si="146">Z413</f>
        <v>0</v>
      </c>
      <c r="AQ413" s="23"/>
      <c r="AR413" s="48">
        <f t="shared" ref="AR413:AR476" si="147">IF(OR(ISBLANK(AQ413),ISTEXT(Y413)),0,IF(AK413=0,Y413,AK413)*AQ413)</f>
        <v>0</v>
      </c>
      <c r="AS413" s="47"/>
      <c r="AT413" s="13"/>
      <c r="AU413" s="46">
        <f t="shared" ref="AU413:AU476" si="148">IF(OR(ISBLANK(AI413), ISBLANK(AG413)), 0, AI413/AG413)</f>
        <v>0</v>
      </c>
      <c r="AV413"/>
      <c r="AW413"/>
      <c r="AX413"/>
      <c r="AY413"/>
      <c r="AZ413"/>
      <c r="BA413"/>
      <c r="BB413"/>
      <c r="BC413" s="3"/>
      <c r="BD413" s="3"/>
      <c r="BE413" s="3"/>
      <c r="BF413" s="3"/>
      <c r="BG413" s="3"/>
      <c r="BH413" s="3"/>
      <c r="BI413" s="3"/>
      <c r="BJ413" s="3"/>
      <c r="BK413" s="3"/>
      <c r="BL413" s="20" t="str">
        <f t="shared" si="140"/>
        <v>►</v>
      </c>
      <c r="BM413" s="3"/>
      <c r="BN413" s="2"/>
      <c r="BO413" s="2"/>
      <c r="BP413" s="2"/>
      <c r="BQ413" s="2"/>
      <c r="BR413" s="2"/>
      <c r="BS413"/>
      <c r="BT413"/>
      <c r="BU413"/>
      <c r="BV413"/>
      <c r="BW413"/>
      <c r="BX413"/>
      <c r="BY413"/>
      <c r="BZ413"/>
      <c r="CA413"/>
      <c r="CB413"/>
      <c r="CC413"/>
      <c r="CD413"/>
      <c r="CE413"/>
      <c r="CF413"/>
      <c r="CG413"/>
      <c r="CH413"/>
      <c r="CI413"/>
      <c r="CJ413"/>
      <c r="CK413"/>
      <c r="CL413"/>
      <c r="CM413"/>
      <c r="CN413"/>
      <c r="CO413" s="5">
        <v>1</v>
      </c>
    </row>
    <row r="414" spans="1:93" s="1" customFormat="1" ht="21" customHeight="1">
      <c r="A414" s="20" t="str">
        <f t="shared" ref="A414:A477" si="149">IF(OR(I414="A",U414="A"),"A",IF(AND(I414="►",U414="►"),"►",IF(AND(ISBLANK(I414),ISBLANK(U414)),"►","►")))</f>
        <v>►</v>
      </c>
      <c r="B414" s="43" t="str">
        <f t="shared" si="134"/>
        <v>►</v>
      </c>
      <c r="C414" s="45" t="str">
        <f t="shared" si="135"/>
        <v>►</v>
      </c>
      <c r="D414" s="44" t="str">
        <f t="shared" si="136"/>
        <v>►</v>
      </c>
      <c r="E414" s="43" t="str">
        <f t="shared" si="137"/>
        <v>►</v>
      </c>
      <c r="F414" s="43" t="str">
        <f t="shared" si="138"/>
        <v>►</v>
      </c>
      <c r="G414" s="43" t="str">
        <f t="shared" si="139"/>
        <v>►</v>
      </c>
      <c r="H414" s="1256" t="s">
        <v>1</v>
      </c>
      <c r="I414" s="5175" t="s">
        <v>1</v>
      </c>
      <c r="J414" s="5161"/>
      <c r="K414" s="5161"/>
      <c r="L414" s="5161"/>
      <c r="M414" s="5176"/>
      <c r="N414" s="5177"/>
      <c r="O414" s="147"/>
      <c r="P414" s="147"/>
      <c r="Q414" s="102"/>
      <c r="R414" s="102"/>
      <c r="S414" s="1360"/>
      <c r="T414" s="43"/>
      <c r="U414" s="42"/>
      <c r="V414" s="41"/>
      <c r="W414" s="40"/>
      <c r="X414" s="39"/>
      <c r="Y414" s="38"/>
      <c r="Z414" s="37"/>
      <c r="AA414" s="36"/>
      <c r="AB414" s="35"/>
      <c r="AC414" s="34"/>
      <c r="AD414" s="55"/>
      <c r="AE414" s="33"/>
      <c r="AF414"/>
      <c r="AG414" s="32"/>
      <c r="AH414" s="31"/>
      <c r="AI414" s="30"/>
      <c r="AJ414" s="5492">
        <f t="shared" si="141"/>
        <v>0</v>
      </c>
      <c r="AK414" s="29">
        <f t="shared" si="142"/>
        <v>0</v>
      </c>
      <c r="AL414" s="28" t="str">
        <f t="shared" si="143"/>
        <v/>
      </c>
      <c r="AM414" s="27"/>
      <c r="AN414" s="26">
        <f t="shared" si="144"/>
        <v>0</v>
      </c>
      <c r="AO414" s="25">
        <f t="shared" si="145"/>
        <v>0</v>
      </c>
      <c r="AP414" s="24">
        <f t="shared" si="146"/>
        <v>0</v>
      </c>
      <c r="AQ414" s="23"/>
      <c r="AR414" s="22">
        <f t="shared" si="147"/>
        <v>0</v>
      </c>
      <c r="AS414" s="21"/>
      <c r="AT414" s="13"/>
      <c r="AU414" s="46">
        <f t="shared" si="148"/>
        <v>0</v>
      </c>
      <c r="AV414"/>
      <c r="AW414"/>
      <c r="AX414"/>
      <c r="AY414"/>
      <c r="AZ414"/>
      <c r="BA414"/>
      <c r="BB414"/>
      <c r="BC414" s="3"/>
      <c r="BD414" s="3"/>
      <c r="BE414" s="3"/>
      <c r="BF414" s="3"/>
      <c r="BG414" s="3"/>
      <c r="BH414" s="3"/>
      <c r="BI414" s="3"/>
      <c r="BJ414" s="3"/>
      <c r="BK414" s="3"/>
      <c r="BL414" s="20" t="str">
        <f t="shared" si="140"/>
        <v>►</v>
      </c>
      <c r="BM414" s="3"/>
      <c r="BN414" s="2"/>
      <c r="BO414" s="2"/>
      <c r="BP414" s="2"/>
      <c r="BQ414" s="2"/>
      <c r="BR414" s="2"/>
      <c r="BS414"/>
      <c r="BT414"/>
      <c r="BU414"/>
      <c r="BV414"/>
      <c r="BW414"/>
      <c r="BX414"/>
      <c r="BY414"/>
      <c r="BZ414"/>
      <c r="CA414"/>
      <c r="CB414"/>
      <c r="CC414"/>
      <c r="CD414"/>
      <c r="CE414"/>
      <c r="CF414"/>
      <c r="CG414"/>
      <c r="CH414"/>
      <c r="CI414"/>
      <c r="CJ414"/>
      <c r="CK414"/>
      <c r="CL414"/>
      <c r="CM414"/>
      <c r="CN414"/>
      <c r="CO414" s="5">
        <v>1</v>
      </c>
    </row>
    <row r="415" spans="1:93" s="1" customFormat="1" ht="21" customHeight="1">
      <c r="A415" s="20" t="str">
        <f t="shared" si="149"/>
        <v>►</v>
      </c>
      <c r="B415" s="43" t="str">
        <f t="shared" si="134"/>
        <v>►</v>
      </c>
      <c r="C415" s="45" t="str">
        <f t="shared" si="135"/>
        <v>►</v>
      </c>
      <c r="D415" s="44" t="str">
        <f t="shared" si="136"/>
        <v>►</v>
      </c>
      <c r="E415" s="43" t="str">
        <f t="shared" si="137"/>
        <v>►</v>
      </c>
      <c r="F415" s="43" t="str">
        <f t="shared" si="138"/>
        <v>►</v>
      </c>
      <c r="G415" s="43" t="str">
        <f t="shared" si="139"/>
        <v>►</v>
      </c>
      <c r="H415" s="1256" t="s">
        <v>1</v>
      </c>
      <c r="I415" s="5175" t="s">
        <v>1</v>
      </c>
      <c r="J415" s="5161"/>
      <c r="K415" s="5161"/>
      <c r="L415" s="5161"/>
      <c r="M415" s="5176"/>
      <c r="N415" s="5177"/>
      <c r="O415" s="147"/>
      <c r="P415" s="147"/>
      <c r="Q415" s="102"/>
      <c r="R415" s="102"/>
      <c r="S415" s="1360"/>
      <c r="T415" s="43"/>
      <c r="U415" s="42"/>
      <c r="V415" s="41"/>
      <c r="W415" s="40"/>
      <c r="X415" s="39"/>
      <c r="Y415" s="38"/>
      <c r="Z415" s="37"/>
      <c r="AA415" s="36"/>
      <c r="AB415" s="35"/>
      <c r="AC415" s="34"/>
      <c r="AD415" s="55"/>
      <c r="AE415" s="33"/>
      <c r="AF415"/>
      <c r="AG415" s="32"/>
      <c r="AH415" s="31"/>
      <c r="AI415" s="30"/>
      <c r="AJ415" s="5492">
        <f t="shared" si="141"/>
        <v>0</v>
      </c>
      <c r="AK415" s="54">
        <f t="shared" si="142"/>
        <v>0</v>
      </c>
      <c r="AL415" s="53" t="str">
        <f t="shared" si="143"/>
        <v/>
      </c>
      <c r="AM415" s="52"/>
      <c r="AN415" s="51">
        <f t="shared" si="144"/>
        <v>0</v>
      </c>
      <c r="AO415" s="50">
        <f t="shared" si="145"/>
        <v>0</v>
      </c>
      <c r="AP415" s="49">
        <f t="shared" si="146"/>
        <v>0</v>
      </c>
      <c r="AQ415" s="23"/>
      <c r="AR415" s="48">
        <f t="shared" si="147"/>
        <v>0</v>
      </c>
      <c r="AS415" s="47"/>
      <c r="AT415" s="13"/>
      <c r="AU415" s="46">
        <f t="shared" si="148"/>
        <v>0</v>
      </c>
      <c r="AV415"/>
      <c r="AW415"/>
      <c r="AX415"/>
      <c r="AY415"/>
      <c r="AZ415"/>
      <c r="BA415"/>
      <c r="BB415"/>
      <c r="BC415" s="3"/>
      <c r="BD415" s="3"/>
      <c r="BE415" s="3"/>
      <c r="BF415" s="3"/>
      <c r="BG415" s="3"/>
      <c r="BH415" s="3"/>
      <c r="BI415" s="3"/>
      <c r="BJ415" s="3"/>
      <c r="BK415" s="3"/>
      <c r="BL415" s="20" t="str">
        <f t="shared" si="140"/>
        <v>►</v>
      </c>
      <c r="BM415" s="3"/>
      <c r="BN415" s="2"/>
      <c r="BO415" s="2"/>
      <c r="BP415" s="2"/>
      <c r="BQ415" s="2"/>
      <c r="BR415" s="2"/>
      <c r="BS415"/>
      <c r="BT415"/>
      <c r="BU415"/>
      <c r="BV415"/>
      <c r="BW415"/>
      <c r="BX415"/>
      <c r="BY415"/>
      <c r="BZ415"/>
      <c r="CA415"/>
      <c r="CB415"/>
      <c r="CC415"/>
      <c r="CD415"/>
      <c r="CE415"/>
      <c r="CF415"/>
      <c r="CG415"/>
      <c r="CH415"/>
      <c r="CI415"/>
      <c r="CJ415"/>
      <c r="CK415"/>
      <c r="CL415"/>
      <c r="CM415"/>
      <c r="CN415"/>
      <c r="CO415" s="5">
        <v>1</v>
      </c>
    </row>
    <row r="416" spans="1:93" s="1" customFormat="1" ht="21" customHeight="1">
      <c r="A416" s="20" t="str">
        <f t="shared" si="149"/>
        <v>►</v>
      </c>
      <c r="B416" s="43" t="str">
        <f t="shared" si="134"/>
        <v>►</v>
      </c>
      <c r="C416" s="45" t="str">
        <f t="shared" si="135"/>
        <v>►</v>
      </c>
      <c r="D416" s="44" t="str">
        <f t="shared" si="136"/>
        <v>►</v>
      </c>
      <c r="E416" s="43" t="str">
        <f t="shared" si="137"/>
        <v>►</v>
      </c>
      <c r="F416" s="43" t="str">
        <f t="shared" si="138"/>
        <v>►</v>
      </c>
      <c r="G416" s="43" t="str">
        <f t="shared" si="139"/>
        <v>►</v>
      </c>
      <c r="H416" s="1256" t="s">
        <v>1</v>
      </c>
      <c r="I416" s="5175" t="s">
        <v>1</v>
      </c>
      <c r="J416" s="5161"/>
      <c r="K416" s="5161"/>
      <c r="L416" s="5161"/>
      <c r="M416" s="5176"/>
      <c r="N416" s="5177"/>
      <c r="O416" s="147"/>
      <c r="P416" s="147"/>
      <c r="Q416" s="102"/>
      <c r="R416" s="102"/>
      <c r="S416" s="1360"/>
      <c r="T416" s="43"/>
      <c r="U416" s="42"/>
      <c r="V416" s="41"/>
      <c r="W416" s="40"/>
      <c r="X416" s="39"/>
      <c r="Y416" s="38"/>
      <c r="Z416" s="37"/>
      <c r="AA416" s="36"/>
      <c r="AB416" s="35"/>
      <c r="AC416" s="34"/>
      <c r="AD416" s="55"/>
      <c r="AE416" s="33"/>
      <c r="AF416"/>
      <c r="AG416" s="32"/>
      <c r="AH416" s="31"/>
      <c r="AI416" s="30"/>
      <c r="AJ416" s="5492">
        <f t="shared" si="141"/>
        <v>0</v>
      </c>
      <c r="AK416" s="29">
        <f t="shared" si="142"/>
        <v>0</v>
      </c>
      <c r="AL416" s="28" t="str">
        <f t="shared" si="143"/>
        <v/>
      </c>
      <c r="AM416" s="27"/>
      <c r="AN416" s="26">
        <f t="shared" si="144"/>
        <v>0</v>
      </c>
      <c r="AO416" s="25">
        <f t="shared" si="145"/>
        <v>0</v>
      </c>
      <c r="AP416" s="24">
        <f t="shared" si="146"/>
        <v>0</v>
      </c>
      <c r="AQ416" s="23"/>
      <c r="AR416" s="22">
        <f t="shared" si="147"/>
        <v>0</v>
      </c>
      <c r="AS416" s="21"/>
      <c r="AT416" s="13"/>
      <c r="AU416" s="46">
        <f t="shared" si="148"/>
        <v>0</v>
      </c>
      <c r="AV416"/>
      <c r="AW416"/>
      <c r="AX416"/>
      <c r="AY416"/>
      <c r="AZ416"/>
      <c r="BA416"/>
      <c r="BB416"/>
      <c r="BC416" s="3"/>
      <c r="BD416" s="3"/>
      <c r="BE416" s="3"/>
      <c r="BF416" s="3"/>
      <c r="BG416" s="3"/>
      <c r="BH416" s="3"/>
      <c r="BI416" s="3"/>
      <c r="BJ416" s="3"/>
      <c r="BK416" s="3"/>
      <c r="BL416" s="20" t="str">
        <f t="shared" si="140"/>
        <v>►</v>
      </c>
      <c r="BM416" s="3"/>
      <c r="BN416" s="2"/>
      <c r="BO416" s="2"/>
      <c r="BP416" s="2"/>
      <c r="BQ416" s="2"/>
      <c r="BR416" s="2"/>
      <c r="BS416"/>
      <c r="BT416"/>
      <c r="BU416"/>
      <c r="BV416"/>
      <c r="BW416"/>
      <c r="BX416"/>
      <c r="BY416"/>
      <c r="BZ416"/>
      <c r="CA416"/>
      <c r="CB416"/>
      <c r="CC416"/>
      <c r="CD416"/>
      <c r="CE416"/>
      <c r="CF416"/>
      <c r="CG416"/>
      <c r="CH416"/>
      <c r="CI416"/>
      <c r="CJ416"/>
      <c r="CK416"/>
      <c r="CL416"/>
      <c r="CM416"/>
      <c r="CN416"/>
      <c r="CO416" s="5">
        <v>1</v>
      </c>
    </row>
    <row r="417" spans="1:93" s="1" customFormat="1" ht="21" customHeight="1">
      <c r="A417" s="20" t="str">
        <f t="shared" si="149"/>
        <v>►</v>
      </c>
      <c r="B417" s="43" t="str">
        <f t="shared" si="134"/>
        <v>►</v>
      </c>
      <c r="C417" s="45" t="str">
        <f t="shared" si="135"/>
        <v>►</v>
      </c>
      <c r="D417" s="44" t="str">
        <f t="shared" si="136"/>
        <v>►</v>
      </c>
      <c r="E417" s="43" t="str">
        <f t="shared" si="137"/>
        <v>►</v>
      </c>
      <c r="F417" s="43" t="str">
        <f t="shared" si="138"/>
        <v>►</v>
      </c>
      <c r="G417" s="43" t="str">
        <f t="shared" si="139"/>
        <v>►</v>
      </c>
      <c r="H417" s="1256" t="s">
        <v>1</v>
      </c>
      <c r="I417" s="5175" t="s">
        <v>1</v>
      </c>
      <c r="J417" s="5161"/>
      <c r="K417" s="5161"/>
      <c r="L417" s="5161"/>
      <c r="M417" s="5176"/>
      <c r="N417" s="5177"/>
      <c r="O417" s="147"/>
      <c r="P417" s="147"/>
      <c r="Q417" s="102"/>
      <c r="R417" s="102"/>
      <c r="S417" s="1360"/>
      <c r="T417" s="43"/>
      <c r="U417" s="42"/>
      <c r="V417" s="41"/>
      <c r="W417" s="40"/>
      <c r="X417" s="39"/>
      <c r="Y417" s="38"/>
      <c r="Z417" s="37"/>
      <c r="AA417" s="36"/>
      <c r="AB417" s="35"/>
      <c r="AC417" s="34"/>
      <c r="AD417" s="55"/>
      <c r="AE417" s="33"/>
      <c r="AF417"/>
      <c r="AG417" s="32"/>
      <c r="AH417" s="31"/>
      <c r="AI417" s="30"/>
      <c r="AJ417" s="5492">
        <f t="shared" si="141"/>
        <v>0</v>
      </c>
      <c r="AK417" s="54">
        <f t="shared" si="142"/>
        <v>0</v>
      </c>
      <c r="AL417" s="53" t="str">
        <f t="shared" si="143"/>
        <v/>
      </c>
      <c r="AM417" s="52"/>
      <c r="AN417" s="51">
        <f t="shared" si="144"/>
        <v>0</v>
      </c>
      <c r="AO417" s="50">
        <f t="shared" si="145"/>
        <v>0</v>
      </c>
      <c r="AP417" s="49">
        <f t="shared" si="146"/>
        <v>0</v>
      </c>
      <c r="AQ417" s="23"/>
      <c r="AR417" s="48">
        <f t="shared" si="147"/>
        <v>0</v>
      </c>
      <c r="AS417" s="47"/>
      <c r="AT417" s="13"/>
      <c r="AU417" s="46">
        <f t="shared" si="148"/>
        <v>0</v>
      </c>
      <c r="AV417"/>
      <c r="AW417"/>
      <c r="AX417"/>
      <c r="AY417"/>
      <c r="AZ417"/>
      <c r="BA417"/>
      <c r="BB417"/>
      <c r="BC417" s="3"/>
      <c r="BD417" s="3"/>
      <c r="BE417" s="3"/>
      <c r="BF417" s="3"/>
      <c r="BG417" s="3"/>
      <c r="BH417" s="3"/>
      <c r="BI417" s="3"/>
      <c r="BJ417" s="3"/>
      <c r="BK417" s="3"/>
      <c r="BL417" s="20" t="str">
        <f t="shared" si="140"/>
        <v>►</v>
      </c>
      <c r="BM417" s="3"/>
      <c r="BN417" s="2"/>
      <c r="BO417" s="2"/>
      <c r="BP417" s="2"/>
      <c r="BQ417" s="2"/>
      <c r="BR417" s="2"/>
      <c r="BS417"/>
      <c r="BT417"/>
      <c r="BU417"/>
      <c r="BV417"/>
      <c r="BW417"/>
      <c r="BX417"/>
      <c r="BY417"/>
      <c r="BZ417"/>
      <c r="CA417"/>
      <c r="CB417"/>
      <c r="CC417"/>
      <c r="CD417"/>
      <c r="CE417"/>
      <c r="CF417"/>
      <c r="CG417"/>
      <c r="CH417"/>
      <c r="CI417"/>
      <c r="CJ417"/>
      <c r="CK417"/>
      <c r="CL417"/>
      <c r="CM417"/>
      <c r="CN417"/>
      <c r="CO417" s="5">
        <v>1</v>
      </c>
    </row>
    <row r="418" spans="1:93" s="1" customFormat="1" ht="21" customHeight="1">
      <c r="A418" s="20" t="str">
        <f t="shared" si="149"/>
        <v>►</v>
      </c>
      <c r="B418" s="43" t="str">
        <f t="shared" si="134"/>
        <v>►</v>
      </c>
      <c r="C418" s="45" t="str">
        <f t="shared" si="135"/>
        <v>►</v>
      </c>
      <c r="D418" s="44" t="str">
        <f t="shared" si="136"/>
        <v>►</v>
      </c>
      <c r="E418" s="43" t="str">
        <f t="shared" si="137"/>
        <v>►</v>
      </c>
      <c r="F418" s="43" t="str">
        <f t="shared" si="138"/>
        <v>►</v>
      </c>
      <c r="G418" s="43" t="str">
        <f t="shared" si="139"/>
        <v>►</v>
      </c>
      <c r="H418" s="1256" t="s">
        <v>1</v>
      </c>
      <c r="I418" s="5175" t="s">
        <v>1</v>
      </c>
      <c r="J418" s="5161"/>
      <c r="K418" s="5161"/>
      <c r="L418" s="5161"/>
      <c r="M418" s="5176"/>
      <c r="N418" s="5177"/>
      <c r="O418" s="147"/>
      <c r="P418" s="147"/>
      <c r="Q418" s="102"/>
      <c r="R418" s="102"/>
      <c r="S418" s="1360"/>
      <c r="T418" s="43"/>
      <c r="U418" s="42"/>
      <c r="V418" s="41"/>
      <c r="W418" s="40"/>
      <c r="X418" s="39"/>
      <c r="Y418" s="38"/>
      <c r="Z418" s="37"/>
      <c r="AA418" s="36"/>
      <c r="AB418" s="35"/>
      <c r="AC418" s="34"/>
      <c r="AD418" s="55"/>
      <c r="AE418" s="33"/>
      <c r="AF418"/>
      <c r="AG418" s="32"/>
      <c r="AH418" s="31"/>
      <c r="AI418" s="30"/>
      <c r="AJ418" s="5492">
        <f t="shared" si="141"/>
        <v>0</v>
      </c>
      <c r="AK418" s="29">
        <f t="shared" si="142"/>
        <v>0</v>
      </c>
      <c r="AL418" s="28" t="str">
        <f t="shared" si="143"/>
        <v/>
      </c>
      <c r="AM418" s="27"/>
      <c r="AN418" s="26">
        <f t="shared" si="144"/>
        <v>0</v>
      </c>
      <c r="AO418" s="25">
        <f t="shared" si="145"/>
        <v>0</v>
      </c>
      <c r="AP418" s="24">
        <f t="shared" si="146"/>
        <v>0</v>
      </c>
      <c r="AQ418" s="23"/>
      <c r="AR418" s="22">
        <f t="shared" si="147"/>
        <v>0</v>
      </c>
      <c r="AS418" s="21"/>
      <c r="AT418" s="13"/>
      <c r="AU418" s="46">
        <f t="shared" si="148"/>
        <v>0</v>
      </c>
      <c r="AV418"/>
      <c r="AW418"/>
      <c r="AX418"/>
      <c r="AY418"/>
      <c r="AZ418"/>
      <c r="BA418"/>
      <c r="BB418"/>
      <c r="BC418" s="3"/>
      <c r="BD418" s="3"/>
      <c r="BE418" s="3"/>
      <c r="BF418" s="3"/>
      <c r="BG418" s="3"/>
      <c r="BH418" s="3"/>
      <c r="BI418" s="3"/>
      <c r="BJ418" s="3"/>
      <c r="BK418" s="3"/>
      <c r="BL418" s="20" t="str">
        <f t="shared" si="140"/>
        <v>►</v>
      </c>
      <c r="BM418" s="3"/>
      <c r="BN418" s="2"/>
      <c r="BO418" s="2"/>
      <c r="BP418" s="2"/>
      <c r="BQ418" s="2"/>
      <c r="BR418" s="2"/>
      <c r="BS418"/>
      <c r="BT418"/>
      <c r="BU418"/>
      <c r="BV418"/>
      <c r="BW418"/>
      <c r="BX418"/>
      <c r="BY418"/>
      <c r="BZ418"/>
      <c r="CA418"/>
      <c r="CB418"/>
      <c r="CC418"/>
      <c r="CD418"/>
      <c r="CE418"/>
      <c r="CF418"/>
      <c r="CG418"/>
      <c r="CH418"/>
      <c r="CI418"/>
      <c r="CJ418"/>
      <c r="CK418"/>
      <c r="CL418"/>
      <c r="CM418"/>
      <c r="CN418"/>
      <c r="CO418" s="5">
        <v>1</v>
      </c>
    </row>
    <row r="419" spans="1:93" s="1" customFormat="1" ht="21" customHeight="1">
      <c r="A419" s="20" t="str">
        <f t="shared" si="149"/>
        <v>►</v>
      </c>
      <c r="B419" s="43" t="str">
        <f t="shared" si="134"/>
        <v>►</v>
      </c>
      <c r="C419" s="45" t="str">
        <f t="shared" si="135"/>
        <v>►</v>
      </c>
      <c r="D419" s="44" t="str">
        <f t="shared" si="136"/>
        <v>►</v>
      </c>
      <c r="E419" s="43" t="str">
        <f t="shared" si="137"/>
        <v>►</v>
      </c>
      <c r="F419" s="43" t="str">
        <f t="shared" si="138"/>
        <v>►</v>
      </c>
      <c r="G419" s="43" t="str">
        <f t="shared" si="139"/>
        <v>►</v>
      </c>
      <c r="H419" s="1256" t="s">
        <v>1</v>
      </c>
      <c r="I419" s="5175" t="s">
        <v>1</v>
      </c>
      <c r="J419" s="5161"/>
      <c r="K419" s="5161"/>
      <c r="L419" s="5161"/>
      <c r="M419" s="5176"/>
      <c r="N419" s="5177"/>
      <c r="O419" s="147"/>
      <c r="P419" s="147"/>
      <c r="Q419" s="102"/>
      <c r="R419" s="102"/>
      <c r="S419" s="1360"/>
      <c r="T419" s="43"/>
      <c r="U419" s="42"/>
      <c r="V419" s="41"/>
      <c r="W419" s="40"/>
      <c r="X419" s="39"/>
      <c r="Y419" s="38"/>
      <c r="Z419" s="37"/>
      <c r="AA419" s="36"/>
      <c r="AB419" s="35"/>
      <c r="AC419" s="34"/>
      <c r="AD419" s="55"/>
      <c r="AE419" s="33"/>
      <c r="AF419"/>
      <c r="AG419" s="32"/>
      <c r="AH419" s="31"/>
      <c r="AI419" s="30"/>
      <c r="AJ419" s="5492">
        <f t="shared" si="141"/>
        <v>0</v>
      </c>
      <c r="AK419" s="54">
        <f t="shared" si="142"/>
        <v>0</v>
      </c>
      <c r="AL419" s="53" t="str">
        <f t="shared" si="143"/>
        <v/>
      </c>
      <c r="AM419" s="52"/>
      <c r="AN419" s="51">
        <f t="shared" si="144"/>
        <v>0</v>
      </c>
      <c r="AO419" s="50">
        <f t="shared" si="145"/>
        <v>0</v>
      </c>
      <c r="AP419" s="49">
        <f t="shared" si="146"/>
        <v>0</v>
      </c>
      <c r="AQ419" s="23"/>
      <c r="AR419" s="48">
        <f t="shared" si="147"/>
        <v>0</v>
      </c>
      <c r="AS419" s="47"/>
      <c r="AT419" s="13"/>
      <c r="AU419" s="46">
        <f t="shared" si="148"/>
        <v>0</v>
      </c>
      <c r="AV419"/>
      <c r="AW419"/>
      <c r="AX419"/>
      <c r="AY419"/>
      <c r="AZ419"/>
      <c r="BA419"/>
      <c r="BB419"/>
      <c r="BC419" s="3"/>
      <c r="BD419" s="3"/>
      <c r="BE419" s="3"/>
      <c r="BF419" s="3"/>
      <c r="BG419" s="3"/>
      <c r="BH419" s="3"/>
      <c r="BI419" s="3"/>
      <c r="BJ419" s="3"/>
      <c r="BK419" s="3"/>
      <c r="BL419" s="20" t="str">
        <f t="shared" si="140"/>
        <v>►</v>
      </c>
      <c r="BM419" s="3"/>
      <c r="BN419" s="2"/>
      <c r="BO419" s="2"/>
      <c r="BP419" s="2"/>
      <c r="BQ419" s="2"/>
      <c r="BR419" s="2"/>
      <c r="BS419"/>
      <c r="BT419"/>
      <c r="BU419"/>
      <c r="BV419"/>
      <c r="BW419"/>
      <c r="BX419"/>
      <c r="BY419"/>
      <c r="BZ419"/>
      <c r="CA419"/>
      <c r="CB419"/>
      <c r="CC419"/>
      <c r="CD419"/>
      <c r="CE419"/>
      <c r="CF419"/>
      <c r="CG419"/>
      <c r="CH419"/>
      <c r="CI419"/>
      <c r="CJ419"/>
      <c r="CK419"/>
      <c r="CL419"/>
      <c r="CM419"/>
      <c r="CN419"/>
      <c r="CO419" s="5">
        <v>1</v>
      </c>
    </row>
    <row r="420" spans="1:93" s="1" customFormat="1" ht="21" customHeight="1">
      <c r="A420" s="20" t="str">
        <f t="shared" si="149"/>
        <v>►</v>
      </c>
      <c r="B420" s="43" t="str">
        <f t="shared" si="134"/>
        <v>►</v>
      </c>
      <c r="C420" s="45" t="str">
        <f t="shared" si="135"/>
        <v>►</v>
      </c>
      <c r="D420" s="44" t="str">
        <f t="shared" si="136"/>
        <v>►</v>
      </c>
      <c r="E420" s="43" t="str">
        <f t="shared" si="137"/>
        <v>►</v>
      </c>
      <c r="F420" s="43" t="str">
        <f t="shared" si="138"/>
        <v>►</v>
      </c>
      <c r="G420" s="43" t="str">
        <f t="shared" si="139"/>
        <v>►</v>
      </c>
      <c r="H420" s="1256" t="s">
        <v>1</v>
      </c>
      <c r="I420" s="5175" t="s">
        <v>1</v>
      </c>
      <c r="J420" s="5161"/>
      <c r="K420" s="5161"/>
      <c r="L420" s="5161"/>
      <c r="M420" s="5176"/>
      <c r="N420" s="5177"/>
      <c r="O420" s="147"/>
      <c r="P420" s="147"/>
      <c r="Q420" s="102"/>
      <c r="R420" s="102"/>
      <c r="S420" s="1360"/>
      <c r="T420" s="43"/>
      <c r="U420" s="42"/>
      <c r="V420" s="41"/>
      <c r="W420" s="40"/>
      <c r="X420" s="39"/>
      <c r="Y420" s="38"/>
      <c r="Z420" s="37"/>
      <c r="AA420" s="36"/>
      <c r="AB420" s="35"/>
      <c r="AC420" s="34"/>
      <c r="AD420" s="55"/>
      <c r="AE420" s="33"/>
      <c r="AF420"/>
      <c r="AG420" s="32"/>
      <c r="AH420" s="31"/>
      <c r="AI420" s="30"/>
      <c r="AJ420" s="5492">
        <f t="shared" si="141"/>
        <v>0</v>
      </c>
      <c r="AK420" s="29">
        <f t="shared" si="142"/>
        <v>0</v>
      </c>
      <c r="AL420" s="28" t="str">
        <f t="shared" si="143"/>
        <v/>
      </c>
      <c r="AM420" s="27"/>
      <c r="AN420" s="26">
        <f t="shared" si="144"/>
        <v>0</v>
      </c>
      <c r="AO420" s="25">
        <f t="shared" si="145"/>
        <v>0</v>
      </c>
      <c r="AP420" s="24">
        <f t="shared" si="146"/>
        <v>0</v>
      </c>
      <c r="AQ420" s="23"/>
      <c r="AR420" s="22">
        <f t="shared" si="147"/>
        <v>0</v>
      </c>
      <c r="AS420" s="21"/>
      <c r="AT420" s="13"/>
      <c r="AU420" s="46">
        <f t="shared" si="148"/>
        <v>0</v>
      </c>
      <c r="AV420"/>
      <c r="AW420"/>
      <c r="AX420"/>
      <c r="AY420"/>
      <c r="AZ420"/>
      <c r="BA420"/>
      <c r="BB420"/>
      <c r="BC420" s="3"/>
      <c r="BD420" s="3"/>
      <c r="BE420" s="3"/>
      <c r="BF420" s="3"/>
      <c r="BG420" s="3"/>
      <c r="BH420" s="3"/>
      <c r="BI420" s="3"/>
      <c r="BJ420" s="3"/>
      <c r="BK420" s="3"/>
      <c r="BL420" s="20" t="str">
        <f t="shared" si="140"/>
        <v>►</v>
      </c>
      <c r="BM420" s="3"/>
      <c r="BN420" s="2"/>
      <c r="BO420" s="2"/>
      <c r="BP420" s="2"/>
      <c r="BQ420" s="2"/>
      <c r="BR420" s="2"/>
      <c r="BS420"/>
      <c r="BT420"/>
      <c r="BU420"/>
      <c r="BV420"/>
      <c r="BW420"/>
      <c r="BX420"/>
      <c r="BY420"/>
      <c r="BZ420"/>
      <c r="CA420"/>
      <c r="CB420"/>
      <c r="CC420"/>
      <c r="CD420"/>
      <c r="CE420"/>
      <c r="CF420"/>
      <c r="CG420"/>
      <c r="CH420"/>
      <c r="CI420"/>
      <c r="CJ420"/>
      <c r="CK420"/>
      <c r="CL420"/>
      <c r="CM420"/>
      <c r="CN420"/>
      <c r="CO420" s="5">
        <v>1</v>
      </c>
    </row>
    <row r="421" spans="1:93" s="1" customFormat="1" ht="21" customHeight="1">
      <c r="A421" s="20" t="str">
        <f t="shared" si="149"/>
        <v>►</v>
      </c>
      <c r="B421" s="43" t="str">
        <f t="shared" si="134"/>
        <v>►</v>
      </c>
      <c r="C421" s="45" t="str">
        <f t="shared" si="135"/>
        <v>►</v>
      </c>
      <c r="D421" s="44" t="str">
        <f t="shared" si="136"/>
        <v>►</v>
      </c>
      <c r="E421" s="43" t="str">
        <f t="shared" si="137"/>
        <v>►</v>
      </c>
      <c r="F421" s="43" t="str">
        <f t="shared" si="138"/>
        <v>►</v>
      </c>
      <c r="G421" s="43" t="str">
        <f t="shared" si="139"/>
        <v>►</v>
      </c>
      <c r="H421" s="1256" t="s">
        <v>1</v>
      </c>
      <c r="I421" s="5175" t="s">
        <v>1</v>
      </c>
      <c r="J421" s="5161"/>
      <c r="K421" s="5161"/>
      <c r="L421" s="5161"/>
      <c r="M421" s="5176"/>
      <c r="N421" s="5177"/>
      <c r="O421" s="147"/>
      <c r="P421" s="147"/>
      <c r="Q421" s="102"/>
      <c r="R421" s="102"/>
      <c r="S421" s="1360"/>
      <c r="T421" s="43"/>
      <c r="U421" s="42"/>
      <c r="V421" s="41"/>
      <c r="W421" s="40"/>
      <c r="X421" s="39"/>
      <c r="Y421" s="38"/>
      <c r="Z421" s="37"/>
      <c r="AA421" s="36"/>
      <c r="AB421" s="35"/>
      <c r="AC421" s="34"/>
      <c r="AD421" s="55"/>
      <c r="AE421" s="33"/>
      <c r="AF421"/>
      <c r="AG421" s="32"/>
      <c r="AH421" s="31"/>
      <c r="AI421" s="30"/>
      <c r="AJ421" s="5492">
        <f t="shared" si="141"/>
        <v>0</v>
      </c>
      <c r="AK421" s="54">
        <f t="shared" si="142"/>
        <v>0</v>
      </c>
      <c r="AL421" s="53" t="str">
        <f t="shared" si="143"/>
        <v/>
      </c>
      <c r="AM421" s="52"/>
      <c r="AN421" s="51">
        <f t="shared" si="144"/>
        <v>0</v>
      </c>
      <c r="AO421" s="50">
        <f t="shared" si="145"/>
        <v>0</v>
      </c>
      <c r="AP421" s="49">
        <f t="shared" si="146"/>
        <v>0</v>
      </c>
      <c r="AQ421" s="23"/>
      <c r="AR421" s="48">
        <f t="shared" si="147"/>
        <v>0</v>
      </c>
      <c r="AS421" s="47"/>
      <c r="AT421" s="13"/>
      <c r="AU421" s="46">
        <f t="shared" si="148"/>
        <v>0</v>
      </c>
      <c r="AV421"/>
      <c r="AW421"/>
      <c r="AX421"/>
      <c r="AY421"/>
      <c r="AZ421"/>
      <c r="BA421"/>
      <c r="BB421"/>
      <c r="BC421" s="3"/>
      <c r="BD421" s="3"/>
      <c r="BE421" s="3"/>
      <c r="BF421" s="3"/>
      <c r="BG421" s="3"/>
      <c r="BH421" s="3"/>
      <c r="BI421" s="3"/>
      <c r="BJ421" s="3"/>
      <c r="BK421" s="3"/>
      <c r="BL421" s="20" t="str">
        <f t="shared" si="140"/>
        <v>►</v>
      </c>
      <c r="BM421" s="3"/>
      <c r="BN421" s="2"/>
      <c r="BO421" s="2"/>
      <c r="BP421" s="2"/>
      <c r="BQ421" s="2"/>
      <c r="BR421" s="2"/>
      <c r="BS421"/>
      <c r="BT421"/>
      <c r="BU421"/>
      <c r="BV421"/>
      <c r="BW421"/>
      <c r="BX421"/>
      <c r="BY421"/>
      <c r="BZ421"/>
      <c r="CA421"/>
      <c r="CB421"/>
      <c r="CC421"/>
      <c r="CD421"/>
      <c r="CE421"/>
      <c r="CF421"/>
      <c r="CG421"/>
      <c r="CH421"/>
      <c r="CI421"/>
      <c r="CJ421"/>
      <c r="CK421"/>
      <c r="CL421"/>
      <c r="CM421"/>
      <c r="CN421"/>
      <c r="CO421" s="5">
        <v>1</v>
      </c>
    </row>
    <row r="422" spans="1:93" s="1" customFormat="1" ht="21" customHeight="1">
      <c r="A422" s="20" t="str">
        <f t="shared" si="149"/>
        <v>►</v>
      </c>
      <c r="B422" s="43" t="str">
        <f t="shared" si="134"/>
        <v>►</v>
      </c>
      <c r="C422" s="45" t="str">
        <f t="shared" si="135"/>
        <v>►</v>
      </c>
      <c r="D422" s="44" t="str">
        <f t="shared" si="136"/>
        <v>►</v>
      </c>
      <c r="E422" s="43" t="str">
        <f t="shared" si="137"/>
        <v>►</v>
      </c>
      <c r="F422" s="43" t="str">
        <f t="shared" si="138"/>
        <v>►</v>
      </c>
      <c r="G422" s="43" t="str">
        <f t="shared" si="139"/>
        <v>►</v>
      </c>
      <c r="H422" s="1256" t="s">
        <v>1</v>
      </c>
      <c r="I422" s="5175" t="s">
        <v>1</v>
      </c>
      <c r="J422" s="5161"/>
      <c r="K422" s="5161"/>
      <c r="L422" s="5161"/>
      <c r="M422" s="5176"/>
      <c r="N422" s="5177"/>
      <c r="O422" s="147"/>
      <c r="P422" s="147"/>
      <c r="Q422" s="102"/>
      <c r="R422" s="102"/>
      <c r="S422" s="1360"/>
      <c r="T422" s="43"/>
      <c r="U422" s="42"/>
      <c r="V422" s="41"/>
      <c r="W422" s="40"/>
      <c r="X422" s="39"/>
      <c r="Y422" s="38"/>
      <c r="Z422" s="37"/>
      <c r="AA422" s="36"/>
      <c r="AB422" s="35"/>
      <c r="AC422" s="34"/>
      <c r="AD422" s="55"/>
      <c r="AE422" s="33"/>
      <c r="AF422"/>
      <c r="AG422" s="32"/>
      <c r="AH422" s="31"/>
      <c r="AI422" s="30"/>
      <c r="AJ422" s="5492">
        <f t="shared" si="141"/>
        <v>0</v>
      </c>
      <c r="AK422" s="29">
        <f t="shared" si="142"/>
        <v>0</v>
      </c>
      <c r="AL422" s="28" t="str">
        <f t="shared" si="143"/>
        <v/>
      </c>
      <c r="AM422" s="27"/>
      <c r="AN422" s="26">
        <f t="shared" si="144"/>
        <v>0</v>
      </c>
      <c r="AO422" s="25">
        <f t="shared" si="145"/>
        <v>0</v>
      </c>
      <c r="AP422" s="24">
        <f t="shared" si="146"/>
        <v>0</v>
      </c>
      <c r="AQ422" s="23"/>
      <c r="AR422" s="22">
        <f t="shared" si="147"/>
        <v>0</v>
      </c>
      <c r="AS422" s="21"/>
      <c r="AT422" s="13"/>
      <c r="AU422" s="46">
        <f t="shared" si="148"/>
        <v>0</v>
      </c>
      <c r="AV422"/>
      <c r="AW422"/>
      <c r="AX422"/>
      <c r="AY422"/>
      <c r="AZ422"/>
      <c r="BA422"/>
      <c r="BB422"/>
      <c r="BC422" s="3"/>
      <c r="BD422" s="3"/>
      <c r="BE422" s="3"/>
      <c r="BF422" s="3"/>
      <c r="BG422" s="3"/>
      <c r="BH422" s="3"/>
      <c r="BI422" s="3"/>
      <c r="BJ422" s="3"/>
      <c r="BK422" s="3"/>
      <c r="BL422" s="20" t="str">
        <f t="shared" si="140"/>
        <v>►</v>
      </c>
      <c r="BM422" s="3"/>
      <c r="BN422" s="2"/>
      <c r="BO422" s="2"/>
      <c r="BP422" s="2"/>
      <c r="BQ422" s="2"/>
      <c r="BR422" s="2"/>
      <c r="BS422"/>
      <c r="BT422"/>
      <c r="BU422"/>
      <c r="BV422"/>
      <c r="BW422"/>
      <c r="BX422"/>
      <c r="BY422"/>
      <c r="BZ422"/>
      <c r="CA422"/>
      <c r="CB422"/>
      <c r="CC422"/>
      <c r="CD422"/>
      <c r="CE422"/>
      <c r="CF422"/>
      <c r="CG422"/>
      <c r="CH422"/>
      <c r="CI422"/>
      <c r="CJ422"/>
      <c r="CK422"/>
      <c r="CL422"/>
      <c r="CM422"/>
      <c r="CN422"/>
      <c r="CO422" s="5">
        <v>1</v>
      </c>
    </row>
    <row r="423" spans="1:93" s="1" customFormat="1" ht="21" customHeight="1">
      <c r="A423" s="20" t="str">
        <f t="shared" si="149"/>
        <v>►</v>
      </c>
      <c r="B423" s="43" t="str">
        <f t="shared" si="134"/>
        <v>►</v>
      </c>
      <c r="C423" s="45" t="str">
        <f t="shared" si="135"/>
        <v>►</v>
      </c>
      <c r="D423" s="44" t="str">
        <f t="shared" si="136"/>
        <v>►</v>
      </c>
      <c r="E423" s="43" t="str">
        <f t="shared" si="137"/>
        <v>►</v>
      </c>
      <c r="F423" s="43" t="str">
        <f t="shared" si="138"/>
        <v>►</v>
      </c>
      <c r="G423" s="43" t="str">
        <f t="shared" si="139"/>
        <v>►</v>
      </c>
      <c r="H423" s="1256" t="s">
        <v>1</v>
      </c>
      <c r="I423" s="5175" t="s">
        <v>1</v>
      </c>
      <c r="J423" s="5161"/>
      <c r="K423" s="5161"/>
      <c r="L423" s="5161"/>
      <c r="M423" s="5176"/>
      <c r="N423" s="5177"/>
      <c r="O423" s="147"/>
      <c r="P423" s="147"/>
      <c r="Q423" s="102"/>
      <c r="R423" s="102"/>
      <c r="S423" s="1360"/>
      <c r="T423" s="43"/>
      <c r="U423" s="42"/>
      <c r="V423" s="41"/>
      <c r="W423" s="40"/>
      <c r="X423" s="39"/>
      <c r="Y423" s="38"/>
      <c r="Z423" s="37"/>
      <c r="AA423" s="36"/>
      <c r="AB423" s="35"/>
      <c r="AC423" s="34"/>
      <c r="AD423" s="55"/>
      <c r="AE423" s="33"/>
      <c r="AF423"/>
      <c r="AG423" s="32"/>
      <c r="AH423" s="31"/>
      <c r="AI423" s="30"/>
      <c r="AJ423" s="5492">
        <f t="shared" si="141"/>
        <v>0</v>
      </c>
      <c r="AK423" s="54">
        <f t="shared" si="142"/>
        <v>0</v>
      </c>
      <c r="AL423" s="53" t="str">
        <f t="shared" si="143"/>
        <v/>
      </c>
      <c r="AM423" s="52"/>
      <c r="AN423" s="51">
        <f t="shared" si="144"/>
        <v>0</v>
      </c>
      <c r="AO423" s="50">
        <f t="shared" si="145"/>
        <v>0</v>
      </c>
      <c r="AP423" s="49">
        <f t="shared" si="146"/>
        <v>0</v>
      </c>
      <c r="AQ423" s="23"/>
      <c r="AR423" s="48">
        <f t="shared" si="147"/>
        <v>0</v>
      </c>
      <c r="AS423" s="47"/>
      <c r="AT423" s="13"/>
      <c r="AU423" s="46">
        <f t="shared" si="148"/>
        <v>0</v>
      </c>
      <c r="AV423"/>
      <c r="AW423"/>
      <c r="AX423"/>
      <c r="AY423"/>
      <c r="AZ423"/>
      <c r="BA423"/>
      <c r="BB423"/>
      <c r="BC423" s="3"/>
      <c r="BD423" s="3"/>
      <c r="BE423" s="3"/>
      <c r="BF423" s="3"/>
      <c r="BG423" s="3"/>
      <c r="BH423" s="3"/>
      <c r="BI423" s="3"/>
      <c r="BJ423" s="3"/>
      <c r="BK423" s="3"/>
      <c r="BL423" s="20" t="str">
        <f t="shared" si="140"/>
        <v>►</v>
      </c>
      <c r="BM423" s="3"/>
      <c r="BN423" s="2"/>
      <c r="BO423" s="2"/>
      <c r="BP423" s="2"/>
      <c r="BQ423" s="2"/>
      <c r="BR423" s="2"/>
      <c r="BS423"/>
      <c r="BT423"/>
      <c r="BU423"/>
      <c r="BV423"/>
      <c r="BW423"/>
      <c r="BX423"/>
      <c r="BY423"/>
      <c r="BZ423"/>
      <c r="CA423"/>
      <c r="CB423"/>
      <c r="CC423"/>
      <c r="CD423"/>
      <c r="CE423"/>
      <c r="CF423"/>
      <c r="CG423"/>
      <c r="CH423"/>
      <c r="CI423"/>
      <c r="CJ423"/>
      <c r="CK423"/>
      <c r="CL423"/>
      <c r="CM423"/>
      <c r="CN423"/>
      <c r="CO423" s="5">
        <v>1</v>
      </c>
    </row>
    <row r="424" spans="1:93" s="1" customFormat="1" ht="21" customHeight="1">
      <c r="A424" s="20" t="str">
        <f t="shared" si="149"/>
        <v>►</v>
      </c>
      <c r="B424" s="43" t="str">
        <f t="shared" si="134"/>
        <v>►</v>
      </c>
      <c r="C424" s="45" t="str">
        <f t="shared" si="135"/>
        <v>►</v>
      </c>
      <c r="D424" s="44" t="str">
        <f t="shared" si="136"/>
        <v>►</v>
      </c>
      <c r="E424" s="43" t="str">
        <f t="shared" si="137"/>
        <v>►</v>
      </c>
      <c r="F424" s="43" t="str">
        <f t="shared" si="138"/>
        <v>►</v>
      </c>
      <c r="G424" s="43" t="str">
        <f t="shared" si="139"/>
        <v>►</v>
      </c>
      <c r="H424" s="1256" t="s">
        <v>1</v>
      </c>
      <c r="I424" s="5175" t="s">
        <v>1</v>
      </c>
      <c r="J424" s="5161"/>
      <c r="K424" s="5161"/>
      <c r="L424" s="5161"/>
      <c r="M424" s="5176"/>
      <c r="N424" s="5177"/>
      <c r="O424" s="147"/>
      <c r="P424" s="147"/>
      <c r="Q424" s="102"/>
      <c r="R424" s="102"/>
      <c r="S424" s="1360"/>
      <c r="T424" s="43"/>
      <c r="U424" s="42"/>
      <c r="V424" s="41"/>
      <c r="W424" s="40"/>
      <c r="X424" s="39"/>
      <c r="Y424" s="38"/>
      <c r="Z424" s="37"/>
      <c r="AA424" s="36"/>
      <c r="AB424" s="35"/>
      <c r="AC424" s="34"/>
      <c r="AD424" s="55"/>
      <c r="AE424" s="33"/>
      <c r="AF424"/>
      <c r="AG424" s="32"/>
      <c r="AH424" s="31"/>
      <c r="AI424" s="30"/>
      <c r="AJ424" s="5492">
        <f t="shared" si="141"/>
        <v>0</v>
      </c>
      <c r="AK424" s="29">
        <f t="shared" si="142"/>
        <v>0</v>
      </c>
      <c r="AL424" s="28" t="str">
        <f t="shared" si="143"/>
        <v/>
      </c>
      <c r="AM424" s="27"/>
      <c r="AN424" s="26">
        <f t="shared" si="144"/>
        <v>0</v>
      </c>
      <c r="AO424" s="25">
        <f t="shared" si="145"/>
        <v>0</v>
      </c>
      <c r="AP424" s="24">
        <f t="shared" si="146"/>
        <v>0</v>
      </c>
      <c r="AQ424" s="23"/>
      <c r="AR424" s="22">
        <f t="shared" si="147"/>
        <v>0</v>
      </c>
      <c r="AS424" s="21"/>
      <c r="AT424" s="13"/>
      <c r="AU424" s="46">
        <f t="shared" si="148"/>
        <v>0</v>
      </c>
      <c r="AV424"/>
      <c r="AW424"/>
      <c r="AX424"/>
      <c r="AY424"/>
      <c r="AZ424"/>
      <c r="BA424"/>
      <c r="BB424"/>
      <c r="BC424" s="3"/>
      <c r="BD424" s="3"/>
      <c r="BE424" s="3"/>
      <c r="BF424" s="3"/>
      <c r="BG424" s="3"/>
      <c r="BH424" s="3"/>
      <c r="BI424" s="3"/>
      <c r="BJ424" s="3"/>
      <c r="BK424" s="3"/>
      <c r="BL424" s="20" t="str">
        <f t="shared" si="140"/>
        <v>►</v>
      </c>
      <c r="BM424" s="3"/>
      <c r="BN424" s="2"/>
      <c r="BO424" s="2"/>
      <c r="BP424" s="2"/>
      <c r="BQ424" s="2"/>
      <c r="BR424" s="2"/>
      <c r="BS424"/>
      <c r="BT424"/>
      <c r="BU424"/>
      <c r="BV424"/>
      <c r="BW424"/>
      <c r="BX424"/>
      <c r="BY424"/>
      <c r="BZ424"/>
      <c r="CA424"/>
      <c r="CB424"/>
      <c r="CC424"/>
      <c r="CD424"/>
      <c r="CE424"/>
      <c r="CF424"/>
      <c r="CG424"/>
      <c r="CH424"/>
      <c r="CI424"/>
      <c r="CJ424"/>
      <c r="CK424"/>
      <c r="CL424"/>
      <c r="CM424"/>
      <c r="CN424"/>
      <c r="CO424" s="5">
        <v>1</v>
      </c>
    </row>
    <row r="425" spans="1:93" s="1" customFormat="1" ht="21" customHeight="1">
      <c r="A425" s="20" t="str">
        <f t="shared" si="149"/>
        <v>►</v>
      </c>
      <c r="B425" s="43" t="str">
        <f t="shared" si="134"/>
        <v>►</v>
      </c>
      <c r="C425" s="45" t="str">
        <f t="shared" si="135"/>
        <v>►</v>
      </c>
      <c r="D425" s="44" t="str">
        <f t="shared" si="136"/>
        <v>►</v>
      </c>
      <c r="E425" s="43" t="str">
        <f t="shared" si="137"/>
        <v>►</v>
      </c>
      <c r="F425" s="43" t="str">
        <f t="shared" si="138"/>
        <v>►</v>
      </c>
      <c r="G425" s="43" t="str">
        <f t="shared" si="139"/>
        <v>►</v>
      </c>
      <c r="H425" s="1256" t="s">
        <v>1</v>
      </c>
      <c r="I425" s="5175" t="s">
        <v>1</v>
      </c>
      <c r="J425" s="5161"/>
      <c r="K425" s="5161"/>
      <c r="L425" s="5161"/>
      <c r="M425" s="5176"/>
      <c r="N425" s="5177"/>
      <c r="O425" s="147"/>
      <c r="P425" s="147"/>
      <c r="Q425" s="102"/>
      <c r="R425" s="102"/>
      <c r="S425" s="1360"/>
      <c r="T425" s="43"/>
      <c r="U425" s="42"/>
      <c r="V425" s="41"/>
      <c r="W425" s="40"/>
      <c r="X425" s="39"/>
      <c r="Y425" s="38"/>
      <c r="Z425" s="37"/>
      <c r="AA425" s="36"/>
      <c r="AB425" s="35"/>
      <c r="AC425" s="34"/>
      <c r="AD425" s="55"/>
      <c r="AE425" s="33"/>
      <c r="AF425"/>
      <c r="AG425" s="32"/>
      <c r="AH425" s="31"/>
      <c r="AI425" s="30"/>
      <c r="AJ425" s="5492">
        <f t="shared" si="141"/>
        <v>0</v>
      </c>
      <c r="AK425" s="54">
        <f t="shared" si="142"/>
        <v>0</v>
      </c>
      <c r="AL425" s="53" t="str">
        <f t="shared" si="143"/>
        <v/>
      </c>
      <c r="AM425" s="52"/>
      <c r="AN425" s="51">
        <f t="shared" si="144"/>
        <v>0</v>
      </c>
      <c r="AO425" s="50">
        <f t="shared" si="145"/>
        <v>0</v>
      </c>
      <c r="AP425" s="49">
        <f t="shared" si="146"/>
        <v>0</v>
      </c>
      <c r="AQ425" s="23"/>
      <c r="AR425" s="48">
        <f t="shared" si="147"/>
        <v>0</v>
      </c>
      <c r="AS425" s="47"/>
      <c r="AT425" s="13"/>
      <c r="AU425" s="46">
        <f t="shared" si="148"/>
        <v>0</v>
      </c>
      <c r="AV425"/>
      <c r="AW425"/>
      <c r="AX425"/>
      <c r="AY425"/>
      <c r="AZ425"/>
      <c r="BA425"/>
      <c r="BB425"/>
      <c r="BC425" s="3"/>
      <c r="BD425" s="3"/>
      <c r="BE425" s="3"/>
      <c r="BF425" s="3"/>
      <c r="BG425" s="3"/>
      <c r="BH425" s="3"/>
      <c r="BI425" s="3"/>
      <c r="BJ425" s="3"/>
      <c r="BK425" s="3"/>
      <c r="BL425" s="20" t="str">
        <f t="shared" si="140"/>
        <v>►</v>
      </c>
      <c r="BM425" s="3"/>
      <c r="BN425" s="2"/>
      <c r="BO425" s="2"/>
      <c r="BP425" s="2"/>
      <c r="BQ425" s="2"/>
      <c r="BR425" s="2"/>
      <c r="BS425"/>
      <c r="BT425"/>
      <c r="BU425"/>
      <c r="BV425"/>
      <c r="BW425"/>
      <c r="BX425"/>
      <c r="BY425"/>
      <c r="BZ425"/>
      <c r="CA425"/>
      <c r="CB425"/>
      <c r="CC425"/>
      <c r="CD425"/>
      <c r="CE425"/>
      <c r="CF425"/>
      <c r="CG425"/>
      <c r="CH425"/>
      <c r="CI425"/>
      <c r="CJ425"/>
      <c r="CK425"/>
      <c r="CL425"/>
      <c r="CM425"/>
      <c r="CN425"/>
      <c r="CO425" s="5">
        <v>1</v>
      </c>
    </row>
    <row r="426" spans="1:93" s="1" customFormat="1" ht="21" customHeight="1">
      <c r="A426" s="20" t="str">
        <f t="shared" si="149"/>
        <v>►</v>
      </c>
      <c r="B426" s="43" t="str">
        <f t="shared" si="134"/>
        <v>►</v>
      </c>
      <c r="C426" s="45" t="str">
        <f t="shared" si="135"/>
        <v>►</v>
      </c>
      <c r="D426" s="44" t="str">
        <f t="shared" si="136"/>
        <v>►</v>
      </c>
      <c r="E426" s="43" t="str">
        <f t="shared" si="137"/>
        <v>►</v>
      </c>
      <c r="F426" s="43" t="str">
        <f t="shared" si="138"/>
        <v>►</v>
      </c>
      <c r="G426" s="43" t="str">
        <f t="shared" si="139"/>
        <v>►</v>
      </c>
      <c r="H426" s="1256" t="s">
        <v>1</v>
      </c>
      <c r="I426" s="5175" t="s">
        <v>1</v>
      </c>
      <c r="J426" s="5161"/>
      <c r="K426" s="5161"/>
      <c r="L426" s="5161"/>
      <c r="M426" s="5176"/>
      <c r="N426" s="5177"/>
      <c r="O426" s="147"/>
      <c r="P426" s="147"/>
      <c r="Q426" s="102"/>
      <c r="R426" s="102"/>
      <c r="S426" s="1360"/>
      <c r="T426" s="43"/>
      <c r="U426" s="42"/>
      <c r="V426" s="41"/>
      <c r="W426" s="40"/>
      <c r="X426" s="39"/>
      <c r="Y426" s="38"/>
      <c r="Z426" s="37"/>
      <c r="AA426" s="36"/>
      <c r="AB426" s="35"/>
      <c r="AC426" s="34"/>
      <c r="AD426" s="55"/>
      <c r="AE426" s="33"/>
      <c r="AF426"/>
      <c r="AG426" s="32"/>
      <c r="AH426" s="31"/>
      <c r="AI426" s="30"/>
      <c r="AJ426" s="5492">
        <f t="shared" si="141"/>
        <v>0</v>
      </c>
      <c r="AK426" s="29">
        <f t="shared" si="142"/>
        <v>0</v>
      </c>
      <c r="AL426" s="28" t="str">
        <f t="shared" si="143"/>
        <v/>
      </c>
      <c r="AM426" s="27"/>
      <c r="AN426" s="26">
        <f t="shared" si="144"/>
        <v>0</v>
      </c>
      <c r="AO426" s="25">
        <f t="shared" si="145"/>
        <v>0</v>
      </c>
      <c r="AP426" s="24">
        <f t="shared" si="146"/>
        <v>0</v>
      </c>
      <c r="AQ426" s="23"/>
      <c r="AR426" s="22">
        <f t="shared" si="147"/>
        <v>0</v>
      </c>
      <c r="AS426" s="21"/>
      <c r="AT426" s="13"/>
      <c r="AU426" s="46">
        <f t="shared" si="148"/>
        <v>0</v>
      </c>
      <c r="AV426"/>
      <c r="AW426"/>
      <c r="AX426"/>
      <c r="AY426"/>
      <c r="AZ426"/>
      <c r="BA426"/>
      <c r="BB426"/>
      <c r="BC426" s="3"/>
      <c r="BD426" s="3"/>
      <c r="BE426" s="3"/>
      <c r="BF426" s="3"/>
      <c r="BG426" s="3"/>
      <c r="BH426" s="3"/>
      <c r="BI426" s="3"/>
      <c r="BJ426" s="3"/>
      <c r="BK426" s="3"/>
      <c r="BL426" s="20" t="str">
        <f t="shared" si="140"/>
        <v>►</v>
      </c>
      <c r="BM426" s="3"/>
      <c r="BN426" s="2"/>
      <c r="BO426" s="2"/>
      <c r="BP426" s="2"/>
      <c r="BQ426" s="2"/>
      <c r="BR426" s="2"/>
      <c r="BS426"/>
      <c r="BT426"/>
      <c r="BU426"/>
      <c r="BV426"/>
      <c r="BW426"/>
      <c r="BX426"/>
      <c r="BY426"/>
      <c r="BZ426"/>
      <c r="CA426"/>
      <c r="CB426"/>
      <c r="CC426"/>
      <c r="CD426"/>
      <c r="CE426"/>
      <c r="CF426"/>
      <c r="CG426"/>
      <c r="CH426"/>
      <c r="CI426"/>
      <c r="CJ426"/>
      <c r="CK426"/>
      <c r="CL426"/>
      <c r="CM426"/>
      <c r="CN426"/>
      <c r="CO426" s="5">
        <v>1</v>
      </c>
    </row>
    <row r="427" spans="1:93" s="1" customFormat="1" ht="21" customHeight="1">
      <c r="A427" s="20" t="str">
        <f t="shared" si="149"/>
        <v>►</v>
      </c>
      <c r="B427" s="43" t="str">
        <f t="shared" si="134"/>
        <v>►</v>
      </c>
      <c r="C427" s="45" t="str">
        <f t="shared" si="135"/>
        <v>►</v>
      </c>
      <c r="D427" s="44" t="str">
        <f t="shared" si="136"/>
        <v>►</v>
      </c>
      <c r="E427" s="43" t="str">
        <f t="shared" si="137"/>
        <v>►</v>
      </c>
      <c r="F427" s="43" t="str">
        <f t="shared" si="138"/>
        <v>►</v>
      </c>
      <c r="G427" s="43" t="str">
        <f t="shared" si="139"/>
        <v>►</v>
      </c>
      <c r="H427" s="1256" t="s">
        <v>1</v>
      </c>
      <c r="I427" s="5175" t="s">
        <v>1</v>
      </c>
      <c r="J427" s="5161"/>
      <c r="K427" s="5161"/>
      <c r="L427" s="5161"/>
      <c r="M427" s="5176"/>
      <c r="N427" s="5177"/>
      <c r="O427" s="147"/>
      <c r="P427" s="147"/>
      <c r="Q427" s="102"/>
      <c r="R427" s="102"/>
      <c r="S427" s="1360"/>
      <c r="T427" s="43"/>
      <c r="U427" s="42"/>
      <c r="V427" s="41"/>
      <c r="W427" s="40"/>
      <c r="X427" s="39"/>
      <c r="Y427" s="38"/>
      <c r="Z427" s="37"/>
      <c r="AA427" s="36"/>
      <c r="AB427" s="35"/>
      <c r="AC427" s="34"/>
      <c r="AD427" s="55"/>
      <c r="AE427" s="33"/>
      <c r="AF427"/>
      <c r="AG427" s="32"/>
      <c r="AH427" s="31"/>
      <c r="AI427" s="30"/>
      <c r="AJ427" s="5492">
        <f t="shared" si="141"/>
        <v>0</v>
      </c>
      <c r="AK427" s="54">
        <f t="shared" si="142"/>
        <v>0</v>
      </c>
      <c r="AL427" s="53" t="str">
        <f t="shared" si="143"/>
        <v/>
      </c>
      <c r="AM427" s="52"/>
      <c r="AN427" s="51">
        <f t="shared" si="144"/>
        <v>0</v>
      </c>
      <c r="AO427" s="50">
        <f t="shared" si="145"/>
        <v>0</v>
      </c>
      <c r="AP427" s="49">
        <f t="shared" si="146"/>
        <v>0</v>
      </c>
      <c r="AQ427" s="23"/>
      <c r="AR427" s="48">
        <f t="shared" si="147"/>
        <v>0</v>
      </c>
      <c r="AS427" s="47"/>
      <c r="AT427" s="13"/>
      <c r="AU427" s="46">
        <f t="shared" si="148"/>
        <v>0</v>
      </c>
      <c r="AV427"/>
      <c r="AW427"/>
      <c r="AX427"/>
      <c r="AY427"/>
      <c r="AZ427"/>
      <c r="BA427"/>
      <c r="BB427"/>
      <c r="BC427" s="3"/>
      <c r="BD427" s="3"/>
      <c r="BE427" s="3"/>
      <c r="BF427" s="3"/>
      <c r="BG427" s="3"/>
      <c r="BH427" s="3"/>
      <c r="BI427" s="3"/>
      <c r="BJ427" s="3"/>
      <c r="BK427" s="3"/>
      <c r="BL427" s="20" t="str">
        <f t="shared" si="140"/>
        <v>►</v>
      </c>
      <c r="BM427" s="3"/>
      <c r="BN427" s="2"/>
      <c r="BO427" s="2"/>
      <c r="BP427" s="2"/>
      <c r="BQ427" s="2"/>
      <c r="BR427" s="2"/>
      <c r="BS427"/>
      <c r="BT427"/>
      <c r="BU427"/>
      <c r="BV427"/>
      <c r="BW427"/>
      <c r="BX427"/>
      <c r="BY427"/>
      <c r="BZ427"/>
      <c r="CA427"/>
      <c r="CB427"/>
      <c r="CC427"/>
      <c r="CD427"/>
      <c r="CE427"/>
      <c r="CF427"/>
      <c r="CG427"/>
      <c r="CH427"/>
      <c r="CI427"/>
      <c r="CJ427"/>
      <c r="CK427"/>
      <c r="CL427"/>
      <c r="CM427"/>
      <c r="CN427"/>
      <c r="CO427" s="5">
        <v>1</v>
      </c>
    </row>
    <row r="428" spans="1:93" s="1" customFormat="1" ht="21" customHeight="1">
      <c r="A428" s="20" t="str">
        <f t="shared" si="149"/>
        <v>►</v>
      </c>
      <c r="B428" s="43" t="str">
        <f t="shared" si="134"/>
        <v>►</v>
      </c>
      <c r="C428" s="45" t="str">
        <f t="shared" si="135"/>
        <v>►</v>
      </c>
      <c r="D428" s="44" t="str">
        <f t="shared" si="136"/>
        <v>►</v>
      </c>
      <c r="E428" s="43" t="str">
        <f t="shared" si="137"/>
        <v>►</v>
      </c>
      <c r="F428" s="43" t="str">
        <f t="shared" si="138"/>
        <v>►</v>
      </c>
      <c r="G428" s="43" t="str">
        <f t="shared" si="139"/>
        <v>►</v>
      </c>
      <c r="H428" s="1256" t="s">
        <v>1</v>
      </c>
      <c r="I428" s="5175" t="s">
        <v>1</v>
      </c>
      <c r="J428" s="5161"/>
      <c r="K428" s="5161"/>
      <c r="L428" s="5161"/>
      <c r="M428" s="5176"/>
      <c r="N428" s="5177"/>
      <c r="O428" s="147"/>
      <c r="P428" s="147"/>
      <c r="Q428" s="102"/>
      <c r="R428" s="102"/>
      <c r="S428" s="1360"/>
      <c r="T428" s="43"/>
      <c r="U428" s="42"/>
      <c r="V428" s="41"/>
      <c r="W428" s="40"/>
      <c r="X428" s="39"/>
      <c r="Y428" s="38"/>
      <c r="Z428" s="37"/>
      <c r="AA428" s="36"/>
      <c r="AB428" s="35"/>
      <c r="AC428" s="34"/>
      <c r="AD428" s="55"/>
      <c r="AE428" s="33"/>
      <c r="AF428"/>
      <c r="AG428" s="32"/>
      <c r="AH428" s="31"/>
      <c r="AI428" s="30"/>
      <c r="AJ428" s="5492">
        <f t="shared" si="141"/>
        <v>0</v>
      </c>
      <c r="AK428" s="29">
        <f t="shared" si="142"/>
        <v>0</v>
      </c>
      <c r="AL428" s="28" t="str">
        <f t="shared" si="143"/>
        <v/>
      </c>
      <c r="AM428" s="27"/>
      <c r="AN428" s="26">
        <f t="shared" si="144"/>
        <v>0</v>
      </c>
      <c r="AO428" s="25">
        <f t="shared" si="145"/>
        <v>0</v>
      </c>
      <c r="AP428" s="24">
        <f t="shared" si="146"/>
        <v>0</v>
      </c>
      <c r="AQ428" s="23"/>
      <c r="AR428" s="22">
        <f t="shared" si="147"/>
        <v>0</v>
      </c>
      <c r="AS428" s="21"/>
      <c r="AT428" s="13"/>
      <c r="AU428" s="46">
        <f t="shared" si="148"/>
        <v>0</v>
      </c>
      <c r="AV428"/>
      <c r="AW428"/>
      <c r="AX428"/>
      <c r="AY428"/>
      <c r="AZ428"/>
      <c r="BA428"/>
      <c r="BB428"/>
      <c r="BC428" s="3"/>
      <c r="BD428" s="3"/>
      <c r="BE428" s="3"/>
      <c r="BF428" s="3"/>
      <c r="BG428" s="3"/>
      <c r="BH428" s="3"/>
      <c r="BI428" s="3"/>
      <c r="BJ428" s="3"/>
      <c r="BK428" s="3"/>
      <c r="BL428" s="20" t="str">
        <f t="shared" si="140"/>
        <v>►</v>
      </c>
      <c r="BM428" s="3"/>
      <c r="BN428" s="2"/>
      <c r="BO428" s="2"/>
      <c r="BP428" s="2"/>
      <c r="BQ428" s="2"/>
      <c r="BR428" s="2"/>
      <c r="BS428"/>
      <c r="BT428"/>
      <c r="BU428"/>
      <c r="BV428"/>
      <c r="BW428"/>
      <c r="BX428"/>
      <c r="BY428"/>
      <c r="BZ428"/>
      <c r="CA428"/>
      <c r="CB428"/>
      <c r="CC428"/>
      <c r="CD428"/>
      <c r="CE428"/>
      <c r="CF428"/>
      <c r="CG428"/>
      <c r="CH428"/>
      <c r="CI428"/>
      <c r="CJ428"/>
      <c r="CK428"/>
      <c r="CL428"/>
      <c r="CM428"/>
      <c r="CN428"/>
      <c r="CO428" s="5">
        <v>1</v>
      </c>
    </row>
    <row r="429" spans="1:93" s="1" customFormat="1" ht="21" customHeight="1">
      <c r="A429" s="20" t="str">
        <f t="shared" si="149"/>
        <v>►</v>
      </c>
      <c r="B429" s="43" t="str">
        <f t="shared" si="134"/>
        <v>►</v>
      </c>
      <c r="C429" s="45" t="str">
        <f t="shared" si="135"/>
        <v>►</v>
      </c>
      <c r="D429" s="44" t="str">
        <f t="shared" si="136"/>
        <v>►</v>
      </c>
      <c r="E429" s="43" t="str">
        <f t="shared" si="137"/>
        <v>►</v>
      </c>
      <c r="F429" s="43" t="str">
        <f t="shared" si="138"/>
        <v>►</v>
      </c>
      <c r="G429" s="43" t="str">
        <f t="shared" si="139"/>
        <v>►</v>
      </c>
      <c r="H429" s="1256" t="s">
        <v>1</v>
      </c>
      <c r="I429" s="5175" t="s">
        <v>1</v>
      </c>
      <c r="J429" s="5161"/>
      <c r="K429" s="5161"/>
      <c r="L429" s="5161"/>
      <c r="M429" s="5176"/>
      <c r="N429" s="5177"/>
      <c r="O429" s="147"/>
      <c r="P429" s="147"/>
      <c r="Q429" s="102"/>
      <c r="R429" s="102"/>
      <c r="S429" s="1360"/>
      <c r="T429" s="43"/>
      <c r="U429" s="42"/>
      <c r="V429" s="41"/>
      <c r="W429" s="40"/>
      <c r="X429" s="39"/>
      <c r="Y429" s="38"/>
      <c r="Z429" s="37"/>
      <c r="AA429" s="36"/>
      <c r="AB429" s="35"/>
      <c r="AC429" s="34"/>
      <c r="AD429" s="55"/>
      <c r="AE429" s="33"/>
      <c r="AF429"/>
      <c r="AG429" s="32"/>
      <c r="AH429" s="31"/>
      <c r="AI429" s="30"/>
      <c r="AJ429" s="5492">
        <f t="shared" si="141"/>
        <v>0</v>
      </c>
      <c r="AK429" s="54">
        <f t="shared" si="142"/>
        <v>0</v>
      </c>
      <c r="AL429" s="53" t="str">
        <f t="shared" si="143"/>
        <v/>
      </c>
      <c r="AM429" s="52"/>
      <c r="AN429" s="51">
        <f t="shared" si="144"/>
        <v>0</v>
      </c>
      <c r="AO429" s="50">
        <f t="shared" si="145"/>
        <v>0</v>
      </c>
      <c r="AP429" s="49">
        <f t="shared" si="146"/>
        <v>0</v>
      </c>
      <c r="AQ429" s="23"/>
      <c r="AR429" s="48">
        <f t="shared" si="147"/>
        <v>0</v>
      </c>
      <c r="AS429" s="47"/>
      <c r="AT429" s="13"/>
      <c r="AU429" s="46">
        <f t="shared" si="148"/>
        <v>0</v>
      </c>
      <c r="AV429"/>
      <c r="AW429"/>
      <c r="AX429"/>
      <c r="AY429"/>
      <c r="AZ429"/>
      <c r="BA429"/>
      <c r="BB429"/>
      <c r="BC429" s="3"/>
      <c r="BD429" s="3"/>
      <c r="BE429" s="3"/>
      <c r="BF429" s="3"/>
      <c r="BG429" s="3"/>
      <c r="BH429" s="3"/>
      <c r="BI429" s="3"/>
      <c r="BJ429" s="3"/>
      <c r="BK429" s="3"/>
      <c r="BL429" s="20" t="str">
        <f t="shared" si="140"/>
        <v>►</v>
      </c>
      <c r="BM429" s="3"/>
      <c r="BN429" s="2"/>
      <c r="BO429" s="2"/>
      <c r="BP429" s="2"/>
      <c r="BQ429" s="2"/>
      <c r="BR429" s="2"/>
      <c r="BS429"/>
      <c r="BT429"/>
      <c r="BU429"/>
      <c r="BV429"/>
      <c r="BW429"/>
      <c r="BX429"/>
      <c r="BY429"/>
      <c r="BZ429"/>
      <c r="CA429"/>
      <c r="CB429"/>
      <c r="CC429"/>
      <c r="CD429"/>
      <c r="CE429"/>
      <c r="CF429"/>
      <c r="CG429"/>
      <c r="CH429"/>
      <c r="CI429"/>
      <c r="CJ429"/>
      <c r="CK429"/>
      <c r="CL429"/>
      <c r="CM429"/>
      <c r="CN429"/>
      <c r="CO429" s="5">
        <v>1</v>
      </c>
    </row>
    <row r="430" spans="1:93" s="1" customFormat="1" ht="21" customHeight="1">
      <c r="A430" s="20" t="str">
        <f t="shared" si="149"/>
        <v>►</v>
      </c>
      <c r="B430" s="43" t="str">
        <f t="shared" si="134"/>
        <v>►</v>
      </c>
      <c r="C430" s="45" t="str">
        <f t="shared" si="135"/>
        <v>►</v>
      </c>
      <c r="D430" s="44" t="str">
        <f t="shared" si="136"/>
        <v>►</v>
      </c>
      <c r="E430" s="43" t="str">
        <f t="shared" si="137"/>
        <v>►</v>
      </c>
      <c r="F430" s="43" t="str">
        <f t="shared" si="138"/>
        <v>►</v>
      </c>
      <c r="G430" s="43" t="str">
        <f t="shared" si="139"/>
        <v>►</v>
      </c>
      <c r="H430" s="1256" t="s">
        <v>1</v>
      </c>
      <c r="I430" s="5175" t="s">
        <v>1</v>
      </c>
      <c r="J430" s="5161"/>
      <c r="K430" s="5161"/>
      <c r="L430" s="5161"/>
      <c r="M430" s="5176"/>
      <c r="N430" s="5177"/>
      <c r="O430" s="147"/>
      <c r="P430" s="147"/>
      <c r="Q430" s="102"/>
      <c r="R430" s="102"/>
      <c r="S430" s="1360"/>
      <c r="T430" s="43"/>
      <c r="U430" s="42"/>
      <c r="V430" s="41"/>
      <c r="W430" s="40"/>
      <c r="X430" s="39"/>
      <c r="Y430" s="38"/>
      <c r="Z430" s="37"/>
      <c r="AA430" s="36"/>
      <c r="AB430" s="35"/>
      <c r="AC430" s="34"/>
      <c r="AD430" s="55"/>
      <c r="AE430" s="33"/>
      <c r="AF430"/>
      <c r="AG430" s="32"/>
      <c r="AH430" s="31"/>
      <c r="AI430" s="30"/>
      <c r="AJ430" s="5492">
        <f t="shared" si="141"/>
        <v>0</v>
      </c>
      <c r="AK430" s="29">
        <f t="shared" si="142"/>
        <v>0</v>
      </c>
      <c r="AL430" s="28" t="str">
        <f t="shared" si="143"/>
        <v/>
      </c>
      <c r="AM430" s="27"/>
      <c r="AN430" s="26">
        <f t="shared" si="144"/>
        <v>0</v>
      </c>
      <c r="AO430" s="25">
        <f t="shared" si="145"/>
        <v>0</v>
      </c>
      <c r="AP430" s="24">
        <f t="shared" si="146"/>
        <v>0</v>
      </c>
      <c r="AQ430" s="23"/>
      <c r="AR430" s="22">
        <f t="shared" si="147"/>
        <v>0</v>
      </c>
      <c r="AS430" s="21"/>
      <c r="AT430" s="13"/>
      <c r="AU430" s="46">
        <f t="shared" si="148"/>
        <v>0</v>
      </c>
      <c r="AV430"/>
      <c r="AW430"/>
      <c r="AX430"/>
      <c r="AY430"/>
      <c r="AZ430"/>
      <c r="BA430"/>
      <c r="BB430"/>
      <c r="BC430" s="3"/>
      <c r="BD430" s="3"/>
      <c r="BE430" s="3"/>
      <c r="BF430" s="3"/>
      <c r="BG430" s="3"/>
      <c r="BH430" s="3"/>
      <c r="BI430" s="3"/>
      <c r="BJ430" s="3"/>
      <c r="BK430" s="3"/>
      <c r="BL430" s="20" t="str">
        <f t="shared" si="140"/>
        <v>►</v>
      </c>
      <c r="BM430" s="3"/>
      <c r="BN430" s="2"/>
      <c r="BO430" s="2"/>
      <c r="BP430" s="2"/>
      <c r="BQ430" s="2"/>
      <c r="BR430" s="2"/>
      <c r="BS430"/>
      <c r="BT430"/>
      <c r="BU430"/>
      <c r="BV430"/>
      <c r="BW430"/>
      <c r="BX430"/>
      <c r="BY430"/>
      <c r="BZ430"/>
      <c r="CA430"/>
      <c r="CB430"/>
      <c r="CC430"/>
      <c r="CD430"/>
      <c r="CE430"/>
      <c r="CF430"/>
      <c r="CG430"/>
      <c r="CH430"/>
      <c r="CI430"/>
      <c r="CJ430"/>
      <c r="CK430"/>
      <c r="CL430"/>
      <c r="CM430"/>
      <c r="CN430"/>
      <c r="CO430" s="5">
        <v>1</v>
      </c>
    </row>
    <row r="431" spans="1:93" s="1" customFormat="1" ht="21" customHeight="1">
      <c r="A431" s="20" t="str">
        <f t="shared" si="149"/>
        <v>►</v>
      </c>
      <c r="B431" s="43" t="str">
        <f t="shared" si="134"/>
        <v>►</v>
      </c>
      <c r="C431" s="45" t="str">
        <f t="shared" si="135"/>
        <v>►</v>
      </c>
      <c r="D431" s="44" t="str">
        <f t="shared" si="136"/>
        <v>►</v>
      </c>
      <c r="E431" s="43" t="str">
        <f t="shared" si="137"/>
        <v>►</v>
      </c>
      <c r="F431" s="43" t="str">
        <f t="shared" si="138"/>
        <v>►</v>
      </c>
      <c r="G431" s="43" t="str">
        <f t="shared" si="139"/>
        <v>►</v>
      </c>
      <c r="H431" s="1256" t="s">
        <v>1</v>
      </c>
      <c r="I431" s="5175" t="s">
        <v>1</v>
      </c>
      <c r="J431" s="5161"/>
      <c r="K431" s="5161"/>
      <c r="L431" s="5161"/>
      <c r="M431" s="5176"/>
      <c r="N431" s="5177"/>
      <c r="O431" s="147"/>
      <c r="P431" s="147"/>
      <c r="Q431" s="102"/>
      <c r="R431" s="102"/>
      <c r="S431" s="1360"/>
      <c r="T431" s="43"/>
      <c r="U431" s="42"/>
      <c r="V431" s="41"/>
      <c r="W431" s="40"/>
      <c r="X431" s="39"/>
      <c r="Y431" s="38"/>
      <c r="Z431" s="37"/>
      <c r="AA431" s="36"/>
      <c r="AB431" s="35"/>
      <c r="AC431" s="34"/>
      <c r="AD431" s="55"/>
      <c r="AE431" s="33"/>
      <c r="AF431"/>
      <c r="AG431" s="32"/>
      <c r="AH431" s="31"/>
      <c r="AI431" s="30"/>
      <c r="AJ431" s="5492">
        <f t="shared" si="141"/>
        <v>0</v>
      </c>
      <c r="AK431" s="54">
        <f t="shared" si="142"/>
        <v>0</v>
      </c>
      <c r="AL431" s="53" t="str">
        <f t="shared" si="143"/>
        <v/>
      </c>
      <c r="AM431" s="52"/>
      <c r="AN431" s="51">
        <f t="shared" si="144"/>
        <v>0</v>
      </c>
      <c r="AO431" s="50">
        <f t="shared" si="145"/>
        <v>0</v>
      </c>
      <c r="AP431" s="49">
        <f t="shared" si="146"/>
        <v>0</v>
      </c>
      <c r="AQ431" s="23"/>
      <c r="AR431" s="48">
        <f t="shared" si="147"/>
        <v>0</v>
      </c>
      <c r="AS431" s="47"/>
      <c r="AT431" s="13"/>
      <c r="AU431" s="46">
        <f t="shared" si="148"/>
        <v>0</v>
      </c>
      <c r="AV431"/>
      <c r="AW431"/>
      <c r="AX431"/>
      <c r="AY431"/>
      <c r="AZ431"/>
      <c r="BA431"/>
      <c r="BB431"/>
      <c r="BC431" s="3"/>
      <c r="BD431" s="3"/>
      <c r="BE431" s="3"/>
      <c r="BF431" s="3"/>
      <c r="BG431" s="3"/>
      <c r="BH431" s="3"/>
      <c r="BI431" s="3"/>
      <c r="BJ431" s="3"/>
      <c r="BK431" s="3"/>
      <c r="BL431" s="20" t="str">
        <f t="shared" si="140"/>
        <v>►</v>
      </c>
      <c r="BM431" s="3"/>
      <c r="BN431" s="2"/>
      <c r="BO431" s="2"/>
      <c r="BP431" s="2"/>
      <c r="BQ431" s="2"/>
      <c r="BR431" s="2"/>
      <c r="BS431"/>
      <c r="BT431"/>
      <c r="BU431"/>
      <c r="BV431"/>
      <c r="BW431"/>
      <c r="BX431"/>
      <c r="BY431"/>
      <c r="BZ431"/>
      <c r="CA431"/>
      <c r="CB431"/>
      <c r="CC431"/>
      <c r="CD431"/>
      <c r="CE431"/>
      <c r="CF431"/>
      <c r="CG431"/>
      <c r="CH431"/>
      <c r="CI431"/>
      <c r="CJ431"/>
      <c r="CK431"/>
      <c r="CL431"/>
      <c r="CM431"/>
      <c r="CN431"/>
      <c r="CO431" s="5">
        <v>1</v>
      </c>
    </row>
    <row r="432" spans="1:93" s="1" customFormat="1" ht="21" customHeight="1">
      <c r="A432" s="20" t="str">
        <f t="shared" si="149"/>
        <v>►</v>
      </c>
      <c r="B432" s="43" t="str">
        <f t="shared" si="134"/>
        <v>►</v>
      </c>
      <c r="C432" s="45" t="str">
        <f t="shared" si="135"/>
        <v>►</v>
      </c>
      <c r="D432" s="44" t="str">
        <f t="shared" si="136"/>
        <v>►</v>
      </c>
      <c r="E432" s="43" t="str">
        <f t="shared" si="137"/>
        <v>►</v>
      </c>
      <c r="F432" s="43" t="str">
        <f t="shared" si="138"/>
        <v>►</v>
      </c>
      <c r="G432" s="43" t="str">
        <f t="shared" si="139"/>
        <v>►</v>
      </c>
      <c r="H432" s="1256" t="s">
        <v>1</v>
      </c>
      <c r="I432" s="5175" t="s">
        <v>1</v>
      </c>
      <c r="J432" s="5161"/>
      <c r="K432" s="5161"/>
      <c r="L432" s="5161"/>
      <c r="M432" s="5176"/>
      <c r="N432" s="5177"/>
      <c r="O432" s="147"/>
      <c r="P432" s="147"/>
      <c r="Q432" s="102"/>
      <c r="R432" s="102"/>
      <c r="S432" s="1360"/>
      <c r="T432" s="43"/>
      <c r="U432" s="42"/>
      <c r="V432" s="41"/>
      <c r="W432" s="40"/>
      <c r="X432" s="39"/>
      <c r="Y432" s="38"/>
      <c r="Z432" s="37"/>
      <c r="AA432" s="36"/>
      <c r="AB432" s="35"/>
      <c r="AC432" s="34"/>
      <c r="AD432" s="55"/>
      <c r="AE432" s="33"/>
      <c r="AF432"/>
      <c r="AG432" s="32"/>
      <c r="AH432" s="31"/>
      <c r="AI432" s="30"/>
      <c r="AJ432" s="5492">
        <f t="shared" si="141"/>
        <v>0</v>
      </c>
      <c r="AK432" s="29">
        <f t="shared" si="142"/>
        <v>0</v>
      </c>
      <c r="AL432" s="28" t="str">
        <f t="shared" si="143"/>
        <v/>
      </c>
      <c r="AM432" s="27"/>
      <c r="AN432" s="26">
        <f t="shared" si="144"/>
        <v>0</v>
      </c>
      <c r="AO432" s="25">
        <f t="shared" si="145"/>
        <v>0</v>
      </c>
      <c r="AP432" s="24">
        <f t="shared" si="146"/>
        <v>0</v>
      </c>
      <c r="AQ432" s="23"/>
      <c r="AR432" s="22">
        <f t="shared" si="147"/>
        <v>0</v>
      </c>
      <c r="AS432" s="21"/>
      <c r="AT432" s="13"/>
      <c r="AU432" s="46">
        <f t="shared" si="148"/>
        <v>0</v>
      </c>
      <c r="AV432"/>
      <c r="AW432"/>
      <c r="AX432"/>
      <c r="AY432"/>
      <c r="AZ432"/>
      <c r="BA432"/>
      <c r="BB432"/>
      <c r="BC432" s="3"/>
      <c r="BD432" s="3"/>
      <c r="BE432" s="3"/>
      <c r="BF432" s="3"/>
      <c r="BG432" s="3"/>
      <c r="BH432" s="3"/>
      <c r="BI432" s="3"/>
      <c r="BJ432" s="3"/>
      <c r="BK432" s="3"/>
      <c r="BL432" s="20" t="str">
        <f t="shared" si="140"/>
        <v>►</v>
      </c>
      <c r="BM432" s="3"/>
      <c r="BN432" s="2"/>
      <c r="BO432" s="2"/>
      <c r="BP432" s="2"/>
      <c r="BQ432" s="2"/>
      <c r="BR432" s="2"/>
      <c r="BS432"/>
      <c r="BT432"/>
      <c r="BU432"/>
      <c r="BV432"/>
      <c r="BW432"/>
      <c r="BX432"/>
      <c r="BY432"/>
      <c r="BZ432"/>
      <c r="CA432"/>
      <c r="CB432"/>
      <c r="CC432"/>
      <c r="CD432"/>
      <c r="CE432"/>
      <c r="CF432"/>
      <c r="CG432"/>
      <c r="CH432"/>
      <c r="CI432"/>
      <c r="CJ432"/>
      <c r="CK432"/>
      <c r="CL432"/>
      <c r="CM432"/>
      <c r="CN432"/>
      <c r="CO432" s="5">
        <v>1</v>
      </c>
    </row>
    <row r="433" spans="1:93" s="1" customFormat="1" ht="21" customHeight="1">
      <c r="A433" s="20" t="str">
        <f t="shared" si="149"/>
        <v>►</v>
      </c>
      <c r="B433" s="43" t="str">
        <f t="shared" si="134"/>
        <v>►</v>
      </c>
      <c r="C433" s="45" t="str">
        <f t="shared" si="135"/>
        <v>►</v>
      </c>
      <c r="D433" s="44" t="str">
        <f t="shared" si="136"/>
        <v>►</v>
      </c>
      <c r="E433" s="43" t="str">
        <f t="shared" si="137"/>
        <v>►</v>
      </c>
      <c r="F433" s="43" t="str">
        <f t="shared" si="138"/>
        <v>►</v>
      </c>
      <c r="G433" s="43" t="str">
        <f t="shared" si="139"/>
        <v>►</v>
      </c>
      <c r="H433" s="1256" t="s">
        <v>1</v>
      </c>
      <c r="I433" s="5175" t="s">
        <v>1</v>
      </c>
      <c r="J433" s="5161"/>
      <c r="K433" s="5161"/>
      <c r="L433" s="5161"/>
      <c r="M433" s="5176"/>
      <c r="N433" s="5177"/>
      <c r="O433" s="147"/>
      <c r="P433" s="147"/>
      <c r="Q433" s="102"/>
      <c r="R433" s="102"/>
      <c r="S433" s="1360"/>
      <c r="T433" s="43"/>
      <c r="U433" s="42"/>
      <c r="V433" s="41"/>
      <c r="W433" s="40"/>
      <c r="X433" s="39"/>
      <c r="Y433" s="38"/>
      <c r="Z433" s="37"/>
      <c r="AA433" s="36"/>
      <c r="AB433" s="35"/>
      <c r="AC433" s="34"/>
      <c r="AD433" s="55"/>
      <c r="AE433" s="33"/>
      <c r="AF433"/>
      <c r="AG433" s="32"/>
      <c r="AH433" s="31"/>
      <c r="AI433" s="30"/>
      <c r="AJ433" s="5492">
        <f t="shared" si="141"/>
        <v>0</v>
      </c>
      <c r="AK433" s="54">
        <f t="shared" si="142"/>
        <v>0</v>
      </c>
      <c r="AL433" s="53" t="str">
        <f t="shared" si="143"/>
        <v/>
      </c>
      <c r="AM433" s="52"/>
      <c r="AN433" s="51">
        <f t="shared" si="144"/>
        <v>0</v>
      </c>
      <c r="AO433" s="50">
        <f t="shared" si="145"/>
        <v>0</v>
      </c>
      <c r="AP433" s="49">
        <f t="shared" si="146"/>
        <v>0</v>
      </c>
      <c r="AQ433" s="23"/>
      <c r="AR433" s="48">
        <f t="shared" si="147"/>
        <v>0</v>
      </c>
      <c r="AS433" s="47"/>
      <c r="AT433" s="13"/>
      <c r="AU433" s="46">
        <f t="shared" si="148"/>
        <v>0</v>
      </c>
      <c r="AV433"/>
      <c r="AW433"/>
      <c r="AX433"/>
      <c r="AY433"/>
      <c r="AZ433"/>
      <c r="BA433"/>
      <c r="BB433"/>
      <c r="BC433" s="3"/>
      <c r="BD433" s="3"/>
      <c r="BE433" s="3"/>
      <c r="BF433" s="3"/>
      <c r="BG433" s="3"/>
      <c r="BH433" s="3"/>
      <c r="BI433" s="3"/>
      <c r="BJ433" s="3"/>
      <c r="BK433" s="3"/>
      <c r="BL433" s="20" t="str">
        <f t="shared" si="140"/>
        <v>►</v>
      </c>
      <c r="BM433" s="3"/>
      <c r="BN433" s="2"/>
      <c r="BO433" s="2"/>
      <c r="BP433" s="2"/>
      <c r="BQ433" s="2"/>
      <c r="BR433" s="2"/>
      <c r="BS433"/>
      <c r="BT433"/>
      <c r="BU433"/>
      <c r="BV433"/>
      <c r="BW433"/>
      <c r="BX433"/>
      <c r="BY433"/>
      <c r="BZ433"/>
      <c r="CA433"/>
      <c r="CB433"/>
      <c r="CC433"/>
      <c r="CD433"/>
      <c r="CE433"/>
      <c r="CF433"/>
      <c r="CG433"/>
      <c r="CH433"/>
      <c r="CI433"/>
      <c r="CJ433"/>
      <c r="CK433"/>
      <c r="CL433"/>
      <c r="CM433"/>
      <c r="CN433"/>
      <c r="CO433" s="5">
        <v>1</v>
      </c>
    </row>
    <row r="434" spans="1:93" s="1" customFormat="1" ht="21" customHeight="1">
      <c r="A434" s="20" t="str">
        <f t="shared" si="149"/>
        <v>►</v>
      </c>
      <c r="B434" s="43" t="str">
        <f t="shared" si="134"/>
        <v>►</v>
      </c>
      <c r="C434" s="45" t="str">
        <f t="shared" si="135"/>
        <v>►</v>
      </c>
      <c r="D434" s="44" t="str">
        <f t="shared" si="136"/>
        <v>►</v>
      </c>
      <c r="E434" s="43" t="str">
        <f t="shared" si="137"/>
        <v>►</v>
      </c>
      <c r="F434" s="43" t="str">
        <f t="shared" si="138"/>
        <v>►</v>
      </c>
      <c r="G434" s="43" t="str">
        <f t="shared" si="139"/>
        <v>►</v>
      </c>
      <c r="H434" s="1256" t="s">
        <v>1</v>
      </c>
      <c r="I434" s="5175" t="s">
        <v>1</v>
      </c>
      <c r="J434" s="5161"/>
      <c r="K434" s="5161"/>
      <c r="L434" s="5161"/>
      <c r="M434" s="5176"/>
      <c r="N434" s="5177"/>
      <c r="O434" s="147"/>
      <c r="P434" s="147"/>
      <c r="Q434" s="102"/>
      <c r="R434" s="102"/>
      <c r="S434" s="1360"/>
      <c r="T434" s="43"/>
      <c r="U434" s="42"/>
      <c r="V434" s="41"/>
      <c r="W434" s="40"/>
      <c r="X434" s="39"/>
      <c r="Y434" s="38"/>
      <c r="Z434" s="37"/>
      <c r="AA434" s="36"/>
      <c r="AB434" s="35"/>
      <c r="AC434" s="34"/>
      <c r="AD434" s="55"/>
      <c r="AE434" s="33"/>
      <c r="AF434"/>
      <c r="AG434" s="32"/>
      <c r="AH434" s="31"/>
      <c r="AI434" s="30"/>
      <c r="AJ434" s="5492">
        <f t="shared" si="141"/>
        <v>0</v>
      </c>
      <c r="AK434" s="29">
        <f t="shared" si="142"/>
        <v>0</v>
      </c>
      <c r="AL434" s="28" t="str">
        <f t="shared" si="143"/>
        <v/>
      </c>
      <c r="AM434" s="27"/>
      <c r="AN434" s="26">
        <f t="shared" si="144"/>
        <v>0</v>
      </c>
      <c r="AO434" s="25">
        <f t="shared" si="145"/>
        <v>0</v>
      </c>
      <c r="AP434" s="24">
        <f t="shared" si="146"/>
        <v>0</v>
      </c>
      <c r="AQ434" s="23"/>
      <c r="AR434" s="22">
        <f t="shared" si="147"/>
        <v>0</v>
      </c>
      <c r="AS434" s="21"/>
      <c r="AT434" s="13"/>
      <c r="AU434" s="46">
        <f t="shared" si="148"/>
        <v>0</v>
      </c>
      <c r="AV434"/>
      <c r="AW434"/>
      <c r="AX434"/>
      <c r="AY434"/>
      <c r="AZ434"/>
      <c r="BA434"/>
      <c r="BB434"/>
      <c r="BC434" s="3"/>
      <c r="BD434" s="3"/>
      <c r="BE434" s="3"/>
      <c r="BF434" s="3"/>
      <c r="BG434" s="3"/>
      <c r="BH434" s="3"/>
      <c r="BI434" s="3"/>
      <c r="BJ434" s="3"/>
      <c r="BK434" s="3"/>
      <c r="BL434" s="20" t="str">
        <f t="shared" si="140"/>
        <v>►</v>
      </c>
      <c r="BM434" s="3"/>
      <c r="BN434" s="2"/>
      <c r="BO434" s="2"/>
      <c r="BP434" s="2"/>
      <c r="BQ434" s="2"/>
      <c r="BR434" s="2"/>
      <c r="BS434"/>
      <c r="BT434"/>
      <c r="BU434"/>
      <c r="BV434"/>
      <c r="BW434"/>
      <c r="BX434"/>
      <c r="BY434"/>
      <c r="BZ434"/>
      <c r="CA434"/>
      <c r="CB434"/>
      <c r="CC434"/>
      <c r="CD434"/>
      <c r="CE434"/>
      <c r="CF434"/>
      <c r="CG434"/>
      <c r="CH434"/>
      <c r="CI434"/>
      <c r="CJ434"/>
      <c r="CK434"/>
      <c r="CL434"/>
      <c r="CM434"/>
      <c r="CN434"/>
      <c r="CO434" s="5">
        <v>1</v>
      </c>
    </row>
    <row r="435" spans="1:93" s="1" customFormat="1" ht="21" customHeight="1">
      <c r="A435" s="20" t="str">
        <f t="shared" si="149"/>
        <v>►</v>
      </c>
      <c r="B435" s="43" t="str">
        <f t="shared" ref="B435:B498" si="150">IF(A435="►","►",IF(A435="A",IF(AND(ISTEXT(V435),ISTEXT(J435)),V435,IF(ISTEXT(V435),V435,IF(ISBLANK(V435),J435,V435)))))</f>
        <v>►</v>
      </c>
      <c r="C435" s="45" t="str">
        <f t="shared" si="135"/>
        <v>►</v>
      </c>
      <c r="D435" s="44" t="str">
        <f t="shared" si="136"/>
        <v>►</v>
      </c>
      <c r="E435" s="43" t="str">
        <f t="shared" si="137"/>
        <v>►</v>
      </c>
      <c r="F435" s="43" t="str">
        <f t="shared" si="138"/>
        <v>►</v>
      </c>
      <c r="G435" s="43" t="str">
        <f t="shared" si="139"/>
        <v>►</v>
      </c>
      <c r="H435" s="1256" t="s">
        <v>1</v>
      </c>
      <c r="I435" s="5175" t="s">
        <v>1</v>
      </c>
      <c r="J435" s="5161"/>
      <c r="K435" s="5161"/>
      <c r="L435" s="5161"/>
      <c r="M435" s="5176"/>
      <c r="N435" s="5177"/>
      <c r="O435" s="147"/>
      <c r="P435" s="147"/>
      <c r="Q435" s="102"/>
      <c r="R435" s="102"/>
      <c r="S435" s="1360"/>
      <c r="T435" s="43"/>
      <c r="U435" s="42"/>
      <c r="V435" s="41"/>
      <c r="W435" s="40"/>
      <c r="X435" s="39"/>
      <c r="Y435" s="38"/>
      <c r="Z435" s="37"/>
      <c r="AA435" s="36"/>
      <c r="AB435" s="35"/>
      <c r="AC435" s="34"/>
      <c r="AD435" s="55"/>
      <c r="AE435" s="33"/>
      <c r="AF435"/>
      <c r="AG435" s="32"/>
      <c r="AH435" s="31"/>
      <c r="AI435" s="30"/>
      <c r="AJ435" s="5492">
        <f t="shared" si="141"/>
        <v>0</v>
      </c>
      <c r="AK435" s="54">
        <f t="shared" si="142"/>
        <v>0</v>
      </c>
      <c r="AL435" s="53" t="str">
        <f t="shared" si="143"/>
        <v/>
      </c>
      <c r="AM435" s="52"/>
      <c r="AN435" s="51">
        <f t="shared" si="144"/>
        <v>0</v>
      </c>
      <c r="AO435" s="50">
        <f t="shared" si="145"/>
        <v>0</v>
      </c>
      <c r="AP435" s="49">
        <f t="shared" si="146"/>
        <v>0</v>
      </c>
      <c r="AQ435" s="23"/>
      <c r="AR435" s="48">
        <f t="shared" si="147"/>
        <v>0</v>
      </c>
      <c r="AS435" s="47"/>
      <c r="AT435" s="13"/>
      <c r="AU435" s="46">
        <f t="shared" si="148"/>
        <v>0</v>
      </c>
      <c r="AV435"/>
      <c r="AW435"/>
      <c r="AX435"/>
      <c r="AY435"/>
      <c r="AZ435"/>
      <c r="BA435"/>
      <c r="BB435"/>
      <c r="BC435" s="3"/>
      <c r="BD435" s="3"/>
      <c r="BE435" s="3"/>
      <c r="BF435" s="3"/>
      <c r="BG435" s="3"/>
      <c r="BH435" s="3"/>
      <c r="BI435" s="3"/>
      <c r="BJ435" s="3"/>
      <c r="BK435" s="3"/>
      <c r="BL435" s="20" t="str">
        <f t="shared" si="140"/>
        <v>►</v>
      </c>
      <c r="BM435" s="3"/>
      <c r="BN435" s="2"/>
      <c r="BO435" s="2"/>
      <c r="BP435" s="2"/>
      <c r="BQ435" s="2"/>
      <c r="BR435" s="2"/>
      <c r="BS435"/>
      <c r="BT435"/>
      <c r="BU435"/>
      <c r="BV435"/>
      <c r="BW435"/>
      <c r="BX435"/>
      <c r="BY435"/>
      <c r="BZ435"/>
      <c r="CA435"/>
      <c r="CB435"/>
      <c r="CC435"/>
      <c r="CD435"/>
      <c r="CE435"/>
      <c r="CF435"/>
      <c r="CG435"/>
      <c r="CH435"/>
      <c r="CI435"/>
      <c r="CJ435"/>
      <c r="CK435"/>
      <c r="CL435"/>
      <c r="CM435"/>
      <c r="CN435"/>
      <c r="CO435" s="5">
        <v>1</v>
      </c>
    </row>
    <row r="436" spans="1:93" s="1" customFormat="1" ht="21" customHeight="1">
      <c r="A436" s="20" t="str">
        <f t="shared" si="149"/>
        <v>►</v>
      </c>
      <c r="B436" s="43" t="str">
        <f t="shared" si="150"/>
        <v>►</v>
      </c>
      <c r="C436" s="45" t="str">
        <f t="shared" si="135"/>
        <v>►</v>
      </c>
      <c r="D436" s="44" t="str">
        <f t="shared" si="136"/>
        <v>►</v>
      </c>
      <c r="E436" s="43" t="str">
        <f t="shared" si="137"/>
        <v>►</v>
      </c>
      <c r="F436" s="43" t="str">
        <f t="shared" si="138"/>
        <v>►</v>
      </c>
      <c r="G436" s="43" t="str">
        <f t="shared" si="139"/>
        <v>►</v>
      </c>
      <c r="H436" s="1256" t="s">
        <v>1</v>
      </c>
      <c r="I436" s="5175" t="s">
        <v>1</v>
      </c>
      <c r="J436" s="5161"/>
      <c r="K436" s="5161"/>
      <c r="L436" s="5161"/>
      <c r="M436" s="5176"/>
      <c r="N436" s="5177"/>
      <c r="O436" s="147"/>
      <c r="P436" s="147"/>
      <c r="Q436" s="102"/>
      <c r="R436" s="102"/>
      <c r="S436" s="1360"/>
      <c r="T436" s="43"/>
      <c r="U436" s="42"/>
      <c r="V436" s="41"/>
      <c r="W436" s="40"/>
      <c r="X436" s="39"/>
      <c r="Y436" s="38"/>
      <c r="Z436" s="37"/>
      <c r="AA436" s="36"/>
      <c r="AB436" s="35"/>
      <c r="AC436" s="34"/>
      <c r="AD436" s="55"/>
      <c r="AE436" s="33"/>
      <c r="AF436"/>
      <c r="AG436" s="32"/>
      <c r="AH436" s="31"/>
      <c r="AI436" s="30"/>
      <c r="AJ436" s="5492">
        <f t="shared" si="141"/>
        <v>0</v>
      </c>
      <c r="AK436" s="29">
        <f t="shared" si="142"/>
        <v>0</v>
      </c>
      <c r="AL436" s="28" t="str">
        <f t="shared" si="143"/>
        <v/>
      </c>
      <c r="AM436" s="27"/>
      <c r="AN436" s="26">
        <f t="shared" si="144"/>
        <v>0</v>
      </c>
      <c r="AO436" s="25">
        <f t="shared" si="145"/>
        <v>0</v>
      </c>
      <c r="AP436" s="24">
        <f t="shared" si="146"/>
        <v>0</v>
      </c>
      <c r="AQ436" s="23"/>
      <c r="AR436" s="22">
        <f t="shared" si="147"/>
        <v>0</v>
      </c>
      <c r="AS436" s="21"/>
      <c r="AT436" s="13"/>
      <c r="AU436" s="46">
        <f t="shared" si="148"/>
        <v>0</v>
      </c>
      <c r="AV436"/>
      <c r="AW436"/>
      <c r="AX436"/>
      <c r="AY436"/>
      <c r="AZ436"/>
      <c r="BA436"/>
      <c r="BB436"/>
      <c r="BC436" s="3"/>
      <c r="BD436" s="3"/>
      <c r="BE436" s="3"/>
      <c r="BF436" s="3"/>
      <c r="BG436" s="3"/>
      <c r="BH436" s="3"/>
      <c r="BI436" s="3"/>
      <c r="BJ436" s="3"/>
      <c r="BK436" s="3"/>
      <c r="BL436" s="20" t="str">
        <f t="shared" si="140"/>
        <v>►</v>
      </c>
      <c r="BM436" s="3"/>
      <c r="BN436" s="2"/>
      <c r="BO436" s="2"/>
      <c r="BP436" s="2"/>
      <c r="BQ436" s="2"/>
      <c r="BR436" s="2"/>
      <c r="BS436"/>
      <c r="BT436"/>
      <c r="BU436"/>
      <c r="BV436"/>
      <c r="BW436"/>
      <c r="BX436"/>
      <c r="BY436"/>
      <c r="BZ436"/>
      <c r="CA436"/>
      <c r="CB436"/>
      <c r="CC436"/>
      <c r="CD436"/>
      <c r="CE436"/>
      <c r="CF436"/>
      <c r="CG436"/>
      <c r="CH436"/>
      <c r="CI436"/>
      <c r="CJ436"/>
      <c r="CK436"/>
      <c r="CL436"/>
      <c r="CM436"/>
      <c r="CN436"/>
      <c r="CO436" s="5">
        <v>1</v>
      </c>
    </row>
    <row r="437" spans="1:93" s="1" customFormat="1" ht="21" customHeight="1">
      <c r="A437" s="20" t="str">
        <f t="shared" si="149"/>
        <v>►</v>
      </c>
      <c r="B437" s="43" t="str">
        <f t="shared" si="150"/>
        <v>►</v>
      </c>
      <c r="C437" s="45" t="str">
        <f t="shared" si="135"/>
        <v>►</v>
      </c>
      <c r="D437" s="44" t="str">
        <f t="shared" si="136"/>
        <v>►</v>
      </c>
      <c r="E437" s="43" t="str">
        <f t="shared" si="137"/>
        <v>►</v>
      </c>
      <c r="F437" s="43" t="str">
        <f t="shared" si="138"/>
        <v>►</v>
      </c>
      <c r="G437" s="43" t="str">
        <f t="shared" si="139"/>
        <v>►</v>
      </c>
      <c r="H437" s="1256" t="s">
        <v>1</v>
      </c>
      <c r="I437" s="5175" t="s">
        <v>1</v>
      </c>
      <c r="J437" s="5161"/>
      <c r="K437" s="5161"/>
      <c r="L437" s="5161"/>
      <c r="M437" s="5176"/>
      <c r="N437" s="5177"/>
      <c r="O437" s="147"/>
      <c r="P437" s="147"/>
      <c r="Q437" s="102"/>
      <c r="R437" s="102"/>
      <c r="S437" s="1360"/>
      <c r="T437" s="43"/>
      <c r="U437" s="42"/>
      <c r="V437" s="41"/>
      <c r="W437" s="40"/>
      <c r="X437" s="39"/>
      <c r="Y437" s="38"/>
      <c r="Z437" s="37"/>
      <c r="AA437" s="36"/>
      <c r="AB437" s="35"/>
      <c r="AC437" s="34"/>
      <c r="AD437" s="55"/>
      <c r="AE437" s="33"/>
      <c r="AF437"/>
      <c r="AG437" s="32"/>
      <c r="AH437" s="31"/>
      <c r="AI437" s="30"/>
      <c r="AJ437" s="5492">
        <f t="shared" si="141"/>
        <v>0</v>
      </c>
      <c r="AK437" s="54">
        <f t="shared" si="142"/>
        <v>0</v>
      </c>
      <c r="AL437" s="53" t="str">
        <f t="shared" si="143"/>
        <v/>
      </c>
      <c r="AM437" s="52"/>
      <c r="AN437" s="51">
        <f t="shared" si="144"/>
        <v>0</v>
      </c>
      <c r="AO437" s="50">
        <f t="shared" si="145"/>
        <v>0</v>
      </c>
      <c r="AP437" s="49">
        <f t="shared" si="146"/>
        <v>0</v>
      </c>
      <c r="AQ437" s="23"/>
      <c r="AR437" s="48">
        <f t="shared" si="147"/>
        <v>0</v>
      </c>
      <c r="AS437" s="47"/>
      <c r="AT437" s="13"/>
      <c r="AU437" s="46">
        <f t="shared" si="148"/>
        <v>0</v>
      </c>
      <c r="AV437"/>
      <c r="AW437"/>
      <c r="AX437"/>
      <c r="AY437"/>
      <c r="AZ437"/>
      <c r="BA437"/>
      <c r="BB437"/>
      <c r="BC437" s="3"/>
      <c r="BD437" s="3"/>
      <c r="BE437" s="3"/>
      <c r="BF437" s="3"/>
      <c r="BG437" s="3"/>
      <c r="BH437" s="3"/>
      <c r="BI437" s="3"/>
      <c r="BJ437" s="3"/>
      <c r="BK437" s="3"/>
      <c r="BL437" s="20" t="str">
        <f t="shared" si="140"/>
        <v>►</v>
      </c>
      <c r="BM437" s="3"/>
      <c r="BN437" s="2"/>
      <c r="BO437" s="2"/>
      <c r="BP437" s="2"/>
      <c r="BQ437" s="2"/>
      <c r="BR437" s="2"/>
      <c r="BS437"/>
      <c r="BT437"/>
      <c r="BU437"/>
      <c r="BV437"/>
      <c r="BW437"/>
      <c r="BX437"/>
      <c r="BY437"/>
      <c r="BZ437"/>
      <c r="CA437"/>
      <c r="CB437"/>
      <c r="CC437"/>
      <c r="CD437"/>
      <c r="CE437"/>
      <c r="CF437"/>
      <c r="CG437"/>
      <c r="CH437"/>
      <c r="CI437"/>
      <c r="CJ437"/>
      <c r="CK437"/>
      <c r="CL437"/>
      <c r="CM437"/>
      <c r="CN437"/>
      <c r="CO437" s="5">
        <v>1</v>
      </c>
    </row>
    <row r="438" spans="1:93" s="1" customFormat="1" ht="21" customHeight="1">
      <c r="A438" s="20" t="str">
        <f t="shared" si="149"/>
        <v>►</v>
      </c>
      <c r="B438" s="43" t="str">
        <f t="shared" si="150"/>
        <v>►</v>
      </c>
      <c r="C438" s="45" t="str">
        <f t="shared" si="135"/>
        <v>►</v>
      </c>
      <c r="D438" s="44" t="str">
        <f t="shared" si="136"/>
        <v>►</v>
      </c>
      <c r="E438" s="43" t="str">
        <f t="shared" si="137"/>
        <v>►</v>
      </c>
      <c r="F438" s="43" t="str">
        <f t="shared" si="138"/>
        <v>►</v>
      </c>
      <c r="G438" s="43" t="str">
        <f t="shared" si="139"/>
        <v>►</v>
      </c>
      <c r="H438" s="1256" t="s">
        <v>1</v>
      </c>
      <c r="I438" s="5175" t="s">
        <v>1</v>
      </c>
      <c r="J438" s="5161"/>
      <c r="K438" s="5161"/>
      <c r="L438" s="5161"/>
      <c r="M438" s="5176"/>
      <c r="N438" s="5177"/>
      <c r="O438" s="147"/>
      <c r="P438" s="147"/>
      <c r="Q438" s="102"/>
      <c r="R438" s="102"/>
      <c r="S438" s="1360"/>
      <c r="T438" s="43"/>
      <c r="U438" s="42"/>
      <c r="V438" s="41"/>
      <c r="W438" s="40"/>
      <c r="X438" s="39"/>
      <c r="Y438" s="38"/>
      <c r="Z438" s="37"/>
      <c r="AA438" s="36"/>
      <c r="AB438" s="35"/>
      <c r="AC438" s="34"/>
      <c r="AD438" s="55"/>
      <c r="AE438" s="33"/>
      <c r="AF438"/>
      <c r="AG438" s="32"/>
      <c r="AH438" s="31"/>
      <c r="AI438" s="30"/>
      <c r="AJ438" s="5492">
        <f t="shared" si="141"/>
        <v>0</v>
      </c>
      <c r="AK438" s="29">
        <f t="shared" si="142"/>
        <v>0</v>
      </c>
      <c r="AL438" s="28" t="str">
        <f t="shared" si="143"/>
        <v/>
      </c>
      <c r="AM438" s="27"/>
      <c r="AN438" s="26">
        <f t="shared" si="144"/>
        <v>0</v>
      </c>
      <c r="AO438" s="25">
        <f t="shared" si="145"/>
        <v>0</v>
      </c>
      <c r="AP438" s="24">
        <f t="shared" si="146"/>
        <v>0</v>
      </c>
      <c r="AQ438" s="23"/>
      <c r="AR438" s="22">
        <f t="shared" si="147"/>
        <v>0</v>
      </c>
      <c r="AS438" s="21"/>
      <c r="AT438" s="13"/>
      <c r="AU438" s="46">
        <f t="shared" si="148"/>
        <v>0</v>
      </c>
      <c r="AV438"/>
      <c r="AW438"/>
      <c r="AX438"/>
      <c r="AY438"/>
      <c r="AZ438"/>
      <c r="BA438"/>
      <c r="BB438"/>
      <c r="BC438" s="3"/>
      <c r="BD438" s="3"/>
      <c r="BE438" s="3"/>
      <c r="BF438" s="3"/>
      <c r="BG438" s="3"/>
      <c r="BH438" s="3"/>
      <c r="BI438" s="3"/>
      <c r="BJ438" s="3"/>
      <c r="BK438" s="3"/>
      <c r="BL438" s="20" t="str">
        <f t="shared" si="140"/>
        <v>►</v>
      </c>
      <c r="BM438" s="3"/>
      <c r="BN438" s="2"/>
      <c r="BO438" s="2"/>
      <c r="BP438" s="2"/>
      <c r="BQ438" s="2"/>
      <c r="BR438" s="2"/>
      <c r="BS438"/>
      <c r="BT438"/>
      <c r="BU438"/>
      <c r="BV438"/>
      <c r="BW438"/>
      <c r="BX438"/>
      <c r="BY438"/>
      <c r="BZ438"/>
      <c r="CA438"/>
      <c r="CB438"/>
      <c r="CC438"/>
      <c r="CD438"/>
      <c r="CE438"/>
      <c r="CF438"/>
      <c r="CG438"/>
      <c r="CH438"/>
      <c r="CI438"/>
      <c r="CJ438"/>
      <c r="CK438"/>
      <c r="CL438"/>
      <c r="CM438"/>
      <c r="CN438"/>
      <c r="CO438" s="5">
        <v>1</v>
      </c>
    </row>
    <row r="439" spans="1:93" s="1" customFormat="1" ht="21" customHeight="1">
      <c r="A439" s="20" t="str">
        <f t="shared" si="149"/>
        <v>►</v>
      </c>
      <c r="B439" s="43" t="str">
        <f t="shared" si="150"/>
        <v>►</v>
      </c>
      <c r="C439" s="45" t="str">
        <f t="shared" si="135"/>
        <v>►</v>
      </c>
      <c r="D439" s="44" t="str">
        <f t="shared" si="136"/>
        <v>►</v>
      </c>
      <c r="E439" s="43" t="str">
        <f t="shared" si="137"/>
        <v>►</v>
      </c>
      <c r="F439" s="43" t="str">
        <f t="shared" si="138"/>
        <v>►</v>
      </c>
      <c r="G439" s="43" t="str">
        <f t="shared" si="139"/>
        <v>►</v>
      </c>
      <c r="H439" s="1256" t="s">
        <v>1</v>
      </c>
      <c r="I439" s="5175" t="s">
        <v>1</v>
      </c>
      <c r="J439" s="5161"/>
      <c r="K439" s="5161"/>
      <c r="L439" s="5161"/>
      <c r="M439" s="5176"/>
      <c r="N439" s="5177"/>
      <c r="O439" s="147"/>
      <c r="P439" s="147"/>
      <c r="Q439" s="102"/>
      <c r="R439" s="102"/>
      <c r="S439" s="1360"/>
      <c r="T439" s="43"/>
      <c r="U439" s="42"/>
      <c r="V439" s="41"/>
      <c r="W439" s="40"/>
      <c r="X439" s="39"/>
      <c r="Y439" s="38"/>
      <c r="Z439" s="37"/>
      <c r="AA439" s="36"/>
      <c r="AB439" s="35"/>
      <c r="AC439" s="34"/>
      <c r="AD439" s="55"/>
      <c r="AE439" s="33"/>
      <c r="AF439"/>
      <c r="AG439" s="32"/>
      <c r="AH439" s="31"/>
      <c r="AI439" s="30"/>
      <c r="AJ439" s="5492">
        <f t="shared" si="141"/>
        <v>0</v>
      </c>
      <c r="AK439" s="54">
        <f t="shared" si="142"/>
        <v>0</v>
      </c>
      <c r="AL439" s="53" t="str">
        <f t="shared" si="143"/>
        <v/>
      </c>
      <c r="AM439" s="52"/>
      <c r="AN439" s="51">
        <f t="shared" si="144"/>
        <v>0</v>
      </c>
      <c r="AO439" s="50">
        <f t="shared" si="145"/>
        <v>0</v>
      </c>
      <c r="AP439" s="49">
        <f t="shared" si="146"/>
        <v>0</v>
      </c>
      <c r="AQ439" s="23"/>
      <c r="AR439" s="48">
        <f t="shared" si="147"/>
        <v>0</v>
      </c>
      <c r="AS439" s="47"/>
      <c r="AT439" s="13"/>
      <c r="AU439" s="46">
        <f t="shared" si="148"/>
        <v>0</v>
      </c>
      <c r="AV439"/>
      <c r="AW439"/>
      <c r="AX439"/>
      <c r="AY439"/>
      <c r="AZ439"/>
      <c r="BA439"/>
      <c r="BB439"/>
      <c r="BC439" s="3"/>
      <c r="BD439" s="3"/>
      <c r="BE439" s="3"/>
      <c r="BF439" s="3"/>
      <c r="BG439" s="3"/>
      <c r="BH439" s="3"/>
      <c r="BI439" s="3"/>
      <c r="BJ439" s="3"/>
      <c r="BK439" s="3"/>
      <c r="BL439" s="20" t="str">
        <f t="shared" si="140"/>
        <v>►</v>
      </c>
      <c r="BM439" s="3"/>
      <c r="BN439" s="2"/>
      <c r="BO439" s="2"/>
      <c r="BP439" s="2"/>
      <c r="BQ439" s="2"/>
      <c r="BR439" s="2"/>
      <c r="BS439"/>
      <c r="BT439"/>
      <c r="BU439"/>
      <c r="BV439"/>
      <c r="BW439"/>
      <c r="BX439"/>
      <c r="BY439"/>
      <c r="BZ439"/>
      <c r="CA439"/>
      <c r="CB439"/>
      <c r="CC439"/>
      <c r="CD439"/>
      <c r="CE439"/>
      <c r="CF439"/>
      <c r="CG439"/>
      <c r="CH439"/>
      <c r="CI439"/>
      <c r="CJ439"/>
      <c r="CK439"/>
      <c r="CL439"/>
      <c r="CM439"/>
      <c r="CN439"/>
      <c r="CO439" s="5">
        <v>1</v>
      </c>
    </row>
    <row r="440" spans="1:93" s="1" customFormat="1" ht="21" customHeight="1">
      <c r="A440" s="20" t="str">
        <f t="shared" si="149"/>
        <v>►</v>
      </c>
      <c r="B440" s="43" t="str">
        <f t="shared" si="150"/>
        <v>►</v>
      </c>
      <c r="C440" s="45" t="str">
        <f t="shared" si="135"/>
        <v>►</v>
      </c>
      <c r="D440" s="44" t="str">
        <f t="shared" si="136"/>
        <v>►</v>
      </c>
      <c r="E440" s="43" t="str">
        <f t="shared" si="137"/>
        <v>►</v>
      </c>
      <c r="F440" s="43" t="str">
        <f t="shared" si="138"/>
        <v>►</v>
      </c>
      <c r="G440" s="43" t="str">
        <f t="shared" si="139"/>
        <v>►</v>
      </c>
      <c r="H440" s="1256" t="s">
        <v>1</v>
      </c>
      <c r="I440" s="5175" t="s">
        <v>1</v>
      </c>
      <c r="J440" s="5161"/>
      <c r="K440" s="5161"/>
      <c r="L440" s="5161"/>
      <c r="M440" s="5176"/>
      <c r="N440" s="5177"/>
      <c r="O440" s="147"/>
      <c r="P440" s="147"/>
      <c r="Q440" s="102"/>
      <c r="R440" s="102"/>
      <c r="S440" s="1360"/>
      <c r="T440" s="43"/>
      <c r="U440" s="42"/>
      <c r="V440" s="41"/>
      <c r="W440" s="40"/>
      <c r="X440" s="39"/>
      <c r="Y440" s="38"/>
      <c r="Z440" s="37"/>
      <c r="AA440" s="36"/>
      <c r="AB440" s="35"/>
      <c r="AC440" s="34"/>
      <c r="AD440" s="55"/>
      <c r="AE440" s="33"/>
      <c r="AF440"/>
      <c r="AG440" s="32"/>
      <c r="AH440" s="31"/>
      <c r="AI440" s="30"/>
      <c r="AJ440" s="5492">
        <f t="shared" si="141"/>
        <v>0</v>
      </c>
      <c r="AK440" s="29">
        <f t="shared" si="142"/>
        <v>0</v>
      </c>
      <c r="AL440" s="28" t="str">
        <f t="shared" si="143"/>
        <v/>
      </c>
      <c r="AM440" s="27"/>
      <c r="AN440" s="26">
        <f t="shared" si="144"/>
        <v>0</v>
      </c>
      <c r="AO440" s="25">
        <f t="shared" si="145"/>
        <v>0</v>
      </c>
      <c r="AP440" s="24">
        <f t="shared" si="146"/>
        <v>0</v>
      </c>
      <c r="AQ440" s="23"/>
      <c r="AR440" s="22">
        <f t="shared" si="147"/>
        <v>0</v>
      </c>
      <c r="AS440" s="21"/>
      <c r="AT440" s="13"/>
      <c r="AU440" s="46">
        <f t="shared" si="148"/>
        <v>0</v>
      </c>
      <c r="AV440"/>
      <c r="AW440"/>
      <c r="AX440"/>
      <c r="AY440"/>
      <c r="AZ440"/>
      <c r="BA440"/>
      <c r="BB440"/>
      <c r="BC440" s="3"/>
      <c r="BD440" s="3"/>
      <c r="BE440" s="3"/>
      <c r="BF440" s="3"/>
      <c r="BG440" s="3"/>
      <c r="BH440" s="3"/>
      <c r="BI440" s="3"/>
      <c r="BJ440" s="3"/>
      <c r="BK440" s="3"/>
      <c r="BL440" s="20" t="str">
        <f t="shared" si="140"/>
        <v>►</v>
      </c>
      <c r="BM440" s="3"/>
      <c r="BN440" s="2"/>
      <c r="BO440" s="2"/>
      <c r="BP440" s="2"/>
      <c r="BQ440" s="2"/>
      <c r="BR440" s="2"/>
      <c r="BS440"/>
      <c r="BT440"/>
      <c r="BU440"/>
      <c r="BV440"/>
      <c r="BW440"/>
      <c r="BX440"/>
      <c r="BY440"/>
      <c r="BZ440"/>
      <c r="CA440"/>
      <c r="CB440"/>
      <c r="CC440"/>
      <c r="CD440"/>
      <c r="CE440"/>
      <c r="CF440"/>
      <c r="CG440"/>
      <c r="CH440"/>
      <c r="CI440"/>
      <c r="CJ440"/>
      <c r="CK440"/>
      <c r="CL440"/>
      <c r="CM440"/>
      <c r="CN440"/>
      <c r="CO440" s="5">
        <v>1</v>
      </c>
    </row>
    <row r="441" spans="1:93" s="1" customFormat="1" ht="21" customHeight="1">
      <c r="A441" s="20" t="str">
        <f t="shared" si="149"/>
        <v>►</v>
      </c>
      <c r="B441" s="43" t="str">
        <f t="shared" si="150"/>
        <v>►</v>
      </c>
      <c r="C441" s="45" t="str">
        <f t="shared" si="135"/>
        <v>►</v>
      </c>
      <c r="D441" s="44" t="str">
        <f t="shared" si="136"/>
        <v>►</v>
      </c>
      <c r="E441" s="43" t="str">
        <f t="shared" si="137"/>
        <v>►</v>
      </c>
      <c r="F441" s="43" t="str">
        <f t="shared" si="138"/>
        <v>►</v>
      </c>
      <c r="G441" s="43" t="str">
        <f t="shared" si="139"/>
        <v>►</v>
      </c>
      <c r="H441" s="1256" t="s">
        <v>1</v>
      </c>
      <c r="I441" s="5175" t="s">
        <v>1</v>
      </c>
      <c r="J441" s="5161"/>
      <c r="K441" s="5161"/>
      <c r="L441" s="5161"/>
      <c r="M441" s="5176"/>
      <c r="N441" s="5177"/>
      <c r="O441" s="147"/>
      <c r="P441" s="147"/>
      <c r="Q441" s="102"/>
      <c r="R441" s="102"/>
      <c r="S441" s="1360"/>
      <c r="T441" s="43"/>
      <c r="U441" s="42"/>
      <c r="V441" s="41"/>
      <c r="W441" s="40"/>
      <c r="X441" s="39"/>
      <c r="Y441" s="38"/>
      <c r="Z441" s="37"/>
      <c r="AA441" s="36"/>
      <c r="AB441" s="35"/>
      <c r="AC441" s="34"/>
      <c r="AD441" s="55"/>
      <c r="AE441" s="33"/>
      <c r="AF441"/>
      <c r="AG441" s="32"/>
      <c r="AH441" s="31"/>
      <c r="AI441" s="30"/>
      <c r="AJ441" s="5492">
        <f t="shared" si="141"/>
        <v>0</v>
      </c>
      <c r="AK441" s="54">
        <f t="shared" si="142"/>
        <v>0</v>
      </c>
      <c r="AL441" s="53" t="str">
        <f t="shared" si="143"/>
        <v/>
      </c>
      <c r="AM441" s="52"/>
      <c r="AN441" s="51">
        <f t="shared" si="144"/>
        <v>0</v>
      </c>
      <c r="AO441" s="50">
        <f t="shared" si="145"/>
        <v>0</v>
      </c>
      <c r="AP441" s="49">
        <f t="shared" si="146"/>
        <v>0</v>
      </c>
      <c r="AQ441" s="23"/>
      <c r="AR441" s="48">
        <f t="shared" si="147"/>
        <v>0</v>
      </c>
      <c r="AS441" s="47"/>
      <c r="AT441" s="13"/>
      <c r="AU441" s="46">
        <f t="shared" si="148"/>
        <v>0</v>
      </c>
      <c r="AV441"/>
      <c r="AW441"/>
      <c r="AX441"/>
      <c r="AY441"/>
      <c r="AZ441"/>
      <c r="BA441"/>
      <c r="BB441"/>
      <c r="BC441" s="3"/>
      <c r="BD441" s="3"/>
      <c r="BE441" s="3"/>
      <c r="BF441" s="3"/>
      <c r="BG441" s="3"/>
      <c r="BH441" s="3"/>
      <c r="BI441" s="3"/>
      <c r="BJ441" s="3"/>
      <c r="BK441" s="3"/>
      <c r="BL441" s="20" t="str">
        <f t="shared" si="140"/>
        <v>►</v>
      </c>
      <c r="BM441" s="3"/>
      <c r="BN441" s="2"/>
      <c r="BO441" s="2"/>
      <c r="BP441" s="2"/>
      <c r="BQ441" s="2"/>
      <c r="BR441" s="2"/>
      <c r="BS441"/>
      <c r="BT441"/>
      <c r="BU441"/>
      <c r="BV441"/>
      <c r="BW441"/>
      <c r="BX441"/>
      <c r="BY441"/>
      <c r="BZ441"/>
      <c r="CA441"/>
      <c r="CB441"/>
      <c r="CC441"/>
      <c r="CD441"/>
      <c r="CE441"/>
      <c r="CF441"/>
      <c r="CG441"/>
      <c r="CH441"/>
      <c r="CI441"/>
      <c r="CJ441"/>
      <c r="CK441"/>
      <c r="CL441"/>
      <c r="CM441"/>
      <c r="CO441" s="5">
        <v>1</v>
      </c>
    </row>
    <row r="442" spans="1:93" s="1" customFormat="1" ht="21" customHeight="1">
      <c r="A442" s="20" t="str">
        <f t="shared" si="149"/>
        <v>►</v>
      </c>
      <c r="B442" s="43" t="str">
        <f t="shared" si="150"/>
        <v>►</v>
      </c>
      <c r="C442" s="45" t="str">
        <f t="shared" si="135"/>
        <v>►</v>
      </c>
      <c r="D442" s="44" t="str">
        <f t="shared" si="136"/>
        <v>►</v>
      </c>
      <c r="E442" s="43" t="str">
        <f t="shared" si="137"/>
        <v>►</v>
      </c>
      <c r="F442" s="43" t="str">
        <f t="shared" si="138"/>
        <v>►</v>
      </c>
      <c r="G442" s="43" t="str">
        <f t="shared" si="139"/>
        <v>►</v>
      </c>
      <c r="H442" s="1256" t="s">
        <v>1</v>
      </c>
      <c r="I442" s="5175" t="s">
        <v>1</v>
      </c>
      <c r="J442" s="5161"/>
      <c r="K442" s="5161"/>
      <c r="L442" s="5161"/>
      <c r="M442" s="5176"/>
      <c r="N442" s="5177"/>
      <c r="O442" s="147"/>
      <c r="P442" s="147"/>
      <c r="Q442" s="102"/>
      <c r="R442" s="102"/>
      <c r="S442" s="1360"/>
      <c r="T442" s="43"/>
      <c r="U442" s="42"/>
      <c r="V442" s="41"/>
      <c r="W442" s="40"/>
      <c r="X442" s="39"/>
      <c r="Y442" s="38"/>
      <c r="Z442" s="37"/>
      <c r="AA442" s="36"/>
      <c r="AB442" s="35"/>
      <c r="AC442" s="34"/>
      <c r="AD442" s="55"/>
      <c r="AE442" s="33"/>
      <c r="AF442"/>
      <c r="AG442" s="32"/>
      <c r="AH442" s="31"/>
      <c r="AI442" s="30"/>
      <c r="AJ442" s="5492">
        <f t="shared" si="141"/>
        <v>0</v>
      </c>
      <c r="AK442" s="29">
        <f t="shared" si="142"/>
        <v>0</v>
      </c>
      <c r="AL442" s="28" t="str">
        <f t="shared" si="143"/>
        <v/>
      </c>
      <c r="AM442" s="27"/>
      <c r="AN442" s="26">
        <f t="shared" si="144"/>
        <v>0</v>
      </c>
      <c r="AO442" s="25">
        <f t="shared" si="145"/>
        <v>0</v>
      </c>
      <c r="AP442" s="24">
        <f t="shared" si="146"/>
        <v>0</v>
      </c>
      <c r="AQ442" s="23"/>
      <c r="AR442" s="22">
        <f t="shared" si="147"/>
        <v>0</v>
      </c>
      <c r="AS442" s="21"/>
      <c r="AT442" s="13"/>
      <c r="AU442" s="46">
        <f t="shared" si="148"/>
        <v>0</v>
      </c>
      <c r="AV442"/>
      <c r="AW442"/>
      <c r="AX442"/>
      <c r="AY442"/>
      <c r="AZ442"/>
      <c r="BA442"/>
      <c r="BB442"/>
      <c r="BC442" s="3"/>
      <c r="BD442" s="3"/>
      <c r="BE442" s="3"/>
      <c r="BF442" s="3"/>
      <c r="BG442" s="3"/>
      <c r="BH442" s="3"/>
      <c r="BI442" s="3"/>
      <c r="BJ442" s="3"/>
      <c r="BK442" s="3"/>
      <c r="BL442" s="20" t="str">
        <f t="shared" si="140"/>
        <v>►</v>
      </c>
      <c r="BM442" s="3"/>
      <c r="BN442" s="2"/>
      <c r="BO442" s="2"/>
      <c r="BP442" s="2"/>
      <c r="BQ442" s="2"/>
      <c r="BR442" s="2"/>
      <c r="BS442"/>
      <c r="BT442"/>
      <c r="BU442"/>
      <c r="BV442"/>
      <c r="BW442"/>
      <c r="BX442"/>
      <c r="BY442"/>
      <c r="BZ442"/>
      <c r="CA442"/>
      <c r="CB442"/>
      <c r="CC442"/>
      <c r="CD442"/>
      <c r="CE442"/>
      <c r="CF442"/>
      <c r="CG442"/>
      <c r="CH442"/>
      <c r="CI442"/>
      <c r="CJ442"/>
      <c r="CK442"/>
      <c r="CL442"/>
      <c r="CM442"/>
      <c r="CO442" s="5">
        <v>1</v>
      </c>
    </row>
    <row r="443" spans="1:93" ht="17.25">
      <c r="A443" s="20" t="str">
        <f t="shared" si="149"/>
        <v>►</v>
      </c>
      <c r="B443" s="43" t="str">
        <f t="shared" si="150"/>
        <v>►</v>
      </c>
      <c r="C443" s="45" t="str">
        <f t="shared" si="135"/>
        <v>►</v>
      </c>
      <c r="D443" s="44" t="str">
        <f t="shared" si="136"/>
        <v>►</v>
      </c>
      <c r="E443" s="43" t="str">
        <f t="shared" si="137"/>
        <v>►</v>
      </c>
      <c r="F443" s="43" t="str">
        <f t="shared" si="138"/>
        <v>►</v>
      </c>
      <c r="G443" s="43" t="str">
        <f t="shared" si="139"/>
        <v>►</v>
      </c>
      <c r="H443" s="1256" t="s">
        <v>1</v>
      </c>
      <c r="I443" s="5175" t="s">
        <v>1</v>
      </c>
      <c r="J443" s="5161"/>
      <c r="K443" s="5161"/>
      <c r="L443" s="5161"/>
      <c r="M443" s="5176"/>
      <c r="N443" s="5177"/>
      <c r="O443" s="147"/>
      <c r="P443" s="147"/>
      <c r="Q443" s="102"/>
      <c r="R443" s="102"/>
      <c r="S443" s="1360"/>
      <c r="T443" s="43"/>
      <c r="U443" s="42"/>
      <c r="V443" s="41"/>
      <c r="W443" s="40"/>
      <c r="X443" s="39"/>
      <c r="Y443" s="38"/>
      <c r="Z443" s="37"/>
      <c r="AA443" s="36"/>
      <c r="AB443" s="35"/>
      <c r="AC443" s="34"/>
      <c r="AD443" s="55"/>
      <c r="AE443" s="33"/>
      <c r="AG443" s="32"/>
      <c r="AH443" s="31"/>
      <c r="AI443" s="30"/>
      <c r="AJ443" s="5492">
        <f t="shared" si="141"/>
        <v>0</v>
      </c>
      <c r="AK443" s="54">
        <f t="shared" si="142"/>
        <v>0</v>
      </c>
      <c r="AL443" s="53" t="str">
        <f t="shared" si="143"/>
        <v/>
      </c>
      <c r="AM443" s="52"/>
      <c r="AN443" s="51">
        <f t="shared" si="144"/>
        <v>0</v>
      </c>
      <c r="AO443" s="50">
        <f t="shared" si="145"/>
        <v>0</v>
      </c>
      <c r="AP443" s="49">
        <f t="shared" si="146"/>
        <v>0</v>
      </c>
      <c r="AQ443" s="23"/>
      <c r="AR443" s="48">
        <f t="shared" si="147"/>
        <v>0</v>
      </c>
      <c r="AS443" s="47"/>
      <c r="AT443" s="13"/>
      <c r="AU443" s="46">
        <f t="shared" si="148"/>
        <v>0</v>
      </c>
      <c r="BL443" s="20" t="str">
        <f t="shared" si="140"/>
        <v>►</v>
      </c>
      <c r="CO443" s="5">
        <v>1</v>
      </c>
    </row>
    <row r="444" spans="1:93" ht="17.25">
      <c r="A444" s="20" t="str">
        <f t="shared" si="149"/>
        <v>►</v>
      </c>
      <c r="B444" s="43" t="str">
        <f t="shared" si="150"/>
        <v>►</v>
      </c>
      <c r="C444" s="45" t="str">
        <f t="shared" si="135"/>
        <v>►</v>
      </c>
      <c r="D444" s="44" t="str">
        <f t="shared" si="136"/>
        <v>►</v>
      </c>
      <c r="E444" s="43" t="str">
        <f t="shared" si="137"/>
        <v>►</v>
      </c>
      <c r="F444" s="43" t="str">
        <f t="shared" si="138"/>
        <v>►</v>
      </c>
      <c r="G444" s="43" t="str">
        <f t="shared" si="139"/>
        <v>►</v>
      </c>
      <c r="H444" s="1256" t="s">
        <v>1</v>
      </c>
      <c r="I444" s="5175" t="s">
        <v>1</v>
      </c>
      <c r="J444" s="5161"/>
      <c r="K444" s="5161"/>
      <c r="L444" s="5161"/>
      <c r="M444" s="5176"/>
      <c r="N444" s="5177"/>
      <c r="O444" s="147"/>
      <c r="P444" s="147"/>
      <c r="Q444" s="102"/>
      <c r="R444" s="102"/>
      <c r="S444" s="1360"/>
      <c r="T444" s="43"/>
      <c r="U444" s="42"/>
      <c r="V444" s="41"/>
      <c r="W444" s="40"/>
      <c r="X444" s="39"/>
      <c r="Y444" s="38"/>
      <c r="Z444" s="37"/>
      <c r="AA444" s="36"/>
      <c r="AB444" s="35"/>
      <c r="AC444" s="34"/>
      <c r="AD444" s="55"/>
      <c r="AE444" s="33"/>
      <c r="AG444" s="32"/>
      <c r="AH444" s="31"/>
      <c r="AI444" s="30"/>
      <c r="AJ444" s="5492">
        <f t="shared" si="141"/>
        <v>0</v>
      </c>
      <c r="AK444" s="29">
        <f t="shared" si="142"/>
        <v>0</v>
      </c>
      <c r="AL444" s="28" t="str">
        <f t="shared" si="143"/>
        <v/>
      </c>
      <c r="AM444" s="27"/>
      <c r="AN444" s="26">
        <f t="shared" si="144"/>
        <v>0</v>
      </c>
      <c r="AO444" s="25">
        <f t="shared" si="145"/>
        <v>0</v>
      </c>
      <c r="AP444" s="24">
        <f t="shared" si="146"/>
        <v>0</v>
      </c>
      <c r="AQ444" s="23"/>
      <c r="AR444" s="22">
        <f t="shared" si="147"/>
        <v>0</v>
      </c>
      <c r="AS444" s="21"/>
      <c r="AT444" s="13"/>
      <c r="AU444" s="46">
        <f t="shared" si="148"/>
        <v>0</v>
      </c>
      <c r="BL444" s="20" t="str">
        <f t="shared" si="140"/>
        <v>►</v>
      </c>
      <c r="CO444" s="5">
        <v>1</v>
      </c>
    </row>
    <row r="445" spans="1:93" ht="17.25">
      <c r="A445" s="20" t="str">
        <f t="shared" si="149"/>
        <v>►</v>
      </c>
      <c r="B445" s="43" t="str">
        <f t="shared" si="150"/>
        <v>►</v>
      </c>
      <c r="C445" s="45" t="str">
        <f t="shared" si="135"/>
        <v>►</v>
      </c>
      <c r="D445" s="44" t="str">
        <f t="shared" si="136"/>
        <v>►</v>
      </c>
      <c r="E445" s="43" t="str">
        <f t="shared" si="137"/>
        <v>►</v>
      </c>
      <c r="F445" s="43" t="str">
        <f t="shared" si="138"/>
        <v>►</v>
      </c>
      <c r="G445" s="43" t="str">
        <f t="shared" si="139"/>
        <v>►</v>
      </c>
      <c r="H445" s="1256" t="s">
        <v>1</v>
      </c>
      <c r="I445" s="5175" t="s">
        <v>1</v>
      </c>
      <c r="J445" s="5161"/>
      <c r="K445" s="5161"/>
      <c r="L445" s="5161"/>
      <c r="M445" s="5176"/>
      <c r="N445" s="5177"/>
      <c r="O445" s="147"/>
      <c r="P445" s="147"/>
      <c r="Q445" s="102"/>
      <c r="R445" s="102"/>
      <c r="S445" s="1360"/>
      <c r="T445" s="43"/>
      <c r="U445" s="42"/>
      <c r="V445" s="41"/>
      <c r="W445" s="40"/>
      <c r="X445" s="39"/>
      <c r="Y445" s="38"/>
      <c r="Z445" s="37"/>
      <c r="AA445" s="36"/>
      <c r="AB445" s="35"/>
      <c r="AC445" s="34"/>
      <c r="AD445" s="55"/>
      <c r="AE445" s="33"/>
      <c r="AG445" s="32"/>
      <c r="AH445" s="31"/>
      <c r="AI445" s="30"/>
      <c r="AJ445" s="5492">
        <f t="shared" si="141"/>
        <v>0</v>
      </c>
      <c r="AK445" s="54">
        <f t="shared" si="142"/>
        <v>0</v>
      </c>
      <c r="AL445" s="53" t="str">
        <f t="shared" si="143"/>
        <v/>
      </c>
      <c r="AM445" s="52"/>
      <c r="AN445" s="51">
        <f t="shared" si="144"/>
        <v>0</v>
      </c>
      <c r="AO445" s="50">
        <f t="shared" si="145"/>
        <v>0</v>
      </c>
      <c r="AP445" s="49">
        <f t="shared" si="146"/>
        <v>0</v>
      </c>
      <c r="AQ445" s="23"/>
      <c r="AR445" s="48">
        <f t="shared" si="147"/>
        <v>0</v>
      </c>
      <c r="AS445" s="47"/>
      <c r="AT445" s="13"/>
      <c r="AU445" s="46">
        <f t="shared" si="148"/>
        <v>0</v>
      </c>
      <c r="BL445" s="20" t="str">
        <f t="shared" si="140"/>
        <v>►</v>
      </c>
      <c r="CO445" s="5">
        <v>1</v>
      </c>
    </row>
    <row r="446" spans="1:93" ht="17.25">
      <c r="A446" s="20" t="str">
        <f t="shared" si="149"/>
        <v>►</v>
      </c>
      <c r="B446" s="43" t="str">
        <f t="shared" si="150"/>
        <v>►</v>
      </c>
      <c r="C446" s="45" t="str">
        <f t="shared" si="135"/>
        <v>►</v>
      </c>
      <c r="D446" s="44" t="str">
        <f t="shared" si="136"/>
        <v>►</v>
      </c>
      <c r="E446" s="43" t="str">
        <f t="shared" si="137"/>
        <v>►</v>
      </c>
      <c r="F446" s="43" t="str">
        <f t="shared" si="138"/>
        <v>►</v>
      </c>
      <c r="G446" s="43" t="str">
        <f t="shared" si="139"/>
        <v>►</v>
      </c>
      <c r="H446" s="1256" t="s">
        <v>1</v>
      </c>
      <c r="I446" s="5175" t="s">
        <v>1</v>
      </c>
      <c r="J446" s="5161"/>
      <c r="K446" s="5161"/>
      <c r="L446" s="5161"/>
      <c r="M446" s="5176"/>
      <c r="N446" s="5177"/>
      <c r="O446" s="147"/>
      <c r="P446" s="147"/>
      <c r="Q446" s="102"/>
      <c r="R446" s="102"/>
      <c r="S446" s="1360"/>
      <c r="T446" s="43"/>
      <c r="U446" s="42"/>
      <c r="V446" s="41"/>
      <c r="W446" s="40"/>
      <c r="X446" s="39"/>
      <c r="Y446" s="38"/>
      <c r="Z446" s="37"/>
      <c r="AA446" s="36"/>
      <c r="AB446" s="35"/>
      <c r="AC446" s="34"/>
      <c r="AD446" s="55"/>
      <c r="AE446" s="33"/>
      <c r="AG446" s="32"/>
      <c r="AH446" s="31"/>
      <c r="AI446" s="30"/>
      <c r="AJ446" s="5492">
        <f t="shared" si="141"/>
        <v>0</v>
      </c>
      <c r="AK446" s="29">
        <f t="shared" si="142"/>
        <v>0</v>
      </c>
      <c r="AL446" s="28" t="str">
        <f t="shared" si="143"/>
        <v/>
      </c>
      <c r="AM446" s="27"/>
      <c r="AN446" s="26">
        <f t="shared" si="144"/>
        <v>0</v>
      </c>
      <c r="AO446" s="25">
        <f t="shared" si="145"/>
        <v>0</v>
      </c>
      <c r="AP446" s="24">
        <f t="shared" si="146"/>
        <v>0</v>
      </c>
      <c r="AQ446" s="23"/>
      <c r="AR446" s="22">
        <f t="shared" si="147"/>
        <v>0</v>
      </c>
      <c r="AS446" s="21"/>
      <c r="AT446" s="13"/>
      <c r="AU446" s="46">
        <f t="shared" si="148"/>
        <v>0</v>
      </c>
      <c r="BL446" s="20" t="str">
        <f t="shared" si="140"/>
        <v>►</v>
      </c>
      <c r="CO446" s="5">
        <v>1</v>
      </c>
    </row>
    <row r="447" spans="1:93" ht="17.25">
      <c r="A447" s="20" t="str">
        <f t="shared" si="149"/>
        <v>►</v>
      </c>
      <c r="B447" s="43" t="str">
        <f t="shared" si="150"/>
        <v>►</v>
      </c>
      <c r="C447" s="45" t="str">
        <f t="shared" si="135"/>
        <v>►</v>
      </c>
      <c r="D447" s="44" t="str">
        <f t="shared" si="136"/>
        <v>►</v>
      </c>
      <c r="E447" s="43" t="str">
        <f t="shared" si="137"/>
        <v>►</v>
      </c>
      <c r="F447" s="43" t="str">
        <f t="shared" si="138"/>
        <v>►</v>
      </c>
      <c r="G447" s="43" t="str">
        <f t="shared" si="139"/>
        <v>►</v>
      </c>
      <c r="H447" s="1256" t="s">
        <v>1</v>
      </c>
      <c r="I447" s="5175" t="s">
        <v>1</v>
      </c>
      <c r="J447" s="5161"/>
      <c r="K447" s="5161"/>
      <c r="L447" s="5161"/>
      <c r="M447" s="5176"/>
      <c r="N447" s="5177"/>
      <c r="O447" s="147"/>
      <c r="P447" s="147"/>
      <c r="Q447" s="102"/>
      <c r="R447" s="102"/>
      <c r="S447" s="1360"/>
      <c r="T447" s="43"/>
      <c r="U447" s="42"/>
      <c r="V447" s="41"/>
      <c r="W447" s="40"/>
      <c r="X447" s="39"/>
      <c r="Y447" s="38"/>
      <c r="Z447" s="37"/>
      <c r="AA447" s="36"/>
      <c r="AB447" s="35"/>
      <c r="AC447" s="34"/>
      <c r="AD447" s="55"/>
      <c r="AE447" s="33"/>
      <c r="AG447" s="32"/>
      <c r="AH447" s="31"/>
      <c r="AI447" s="30"/>
      <c r="AJ447" s="5492">
        <f t="shared" si="141"/>
        <v>0</v>
      </c>
      <c r="AK447" s="54">
        <f t="shared" si="142"/>
        <v>0</v>
      </c>
      <c r="AL447" s="53" t="str">
        <f t="shared" si="143"/>
        <v/>
      </c>
      <c r="AM447" s="52"/>
      <c r="AN447" s="51">
        <f t="shared" si="144"/>
        <v>0</v>
      </c>
      <c r="AO447" s="50">
        <f t="shared" si="145"/>
        <v>0</v>
      </c>
      <c r="AP447" s="49">
        <f t="shared" si="146"/>
        <v>0</v>
      </c>
      <c r="AQ447" s="23"/>
      <c r="AR447" s="48">
        <f t="shared" si="147"/>
        <v>0</v>
      </c>
      <c r="AS447" s="47"/>
      <c r="AT447" s="13"/>
      <c r="AU447" s="46">
        <f t="shared" si="148"/>
        <v>0</v>
      </c>
      <c r="BL447" s="20" t="str">
        <f t="shared" si="140"/>
        <v>►</v>
      </c>
      <c r="CO447" s="5">
        <v>1</v>
      </c>
    </row>
    <row r="448" spans="1:93" ht="17.25">
      <c r="A448" s="20" t="str">
        <f t="shared" si="149"/>
        <v>►</v>
      </c>
      <c r="B448" s="43" t="str">
        <f t="shared" si="150"/>
        <v>►</v>
      </c>
      <c r="C448" s="45" t="str">
        <f t="shared" si="135"/>
        <v>►</v>
      </c>
      <c r="D448" s="44" t="str">
        <f t="shared" si="136"/>
        <v>►</v>
      </c>
      <c r="E448" s="43" t="str">
        <f t="shared" si="137"/>
        <v>►</v>
      </c>
      <c r="F448" s="43" t="str">
        <f t="shared" si="138"/>
        <v>►</v>
      </c>
      <c r="G448" s="43" t="str">
        <f t="shared" si="139"/>
        <v>►</v>
      </c>
      <c r="H448" s="1256" t="s">
        <v>1</v>
      </c>
      <c r="I448" s="5175" t="s">
        <v>1</v>
      </c>
      <c r="J448" s="5161"/>
      <c r="K448" s="5161"/>
      <c r="L448" s="5161"/>
      <c r="M448" s="5176"/>
      <c r="N448" s="5177"/>
      <c r="O448" s="147"/>
      <c r="P448" s="147"/>
      <c r="Q448" s="102"/>
      <c r="R448" s="102"/>
      <c r="S448" s="1360"/>
      <c r="T448" s="43"/>
      <c r="U448" s="42"/>
      <c r="V448" s="41"/>
      <c r="W448" s="40"/>
      <c r="X448" s="39"/>
      <c r="Y448" s="38"/>
      <c r="Z448" s="37"/>
      <c r="AA448" s="36"/>
      <c r="AB448" s="35"/>
      <c r="AC448" s="34"/>
      <c r="AD448" s="55"/>
      <c r="AE448" s="33"/>
      <c r="AG448" s="32"/>
      <c r="AH448" s="31"/>
      <c r="AI448" s="30"/>
      <c r="AJ448" s="5492">
        <f t="shared" si="141"/>
        <v>0</v>
      </c>
      <c r="AK448" s="29">
        <f t="shared" si="142"/>
        <v>0</v>
      </c>
      <c r="AL448" s="28" t="str">
        <f t="shared" si="143"/>
        <v/>
      </c>
      <c r="AM448" s="27"/>
      <c r="AN448" s="26">
        <f t="shared" si="144"/>
        <v>0</v>
      </c>
      <c r="AO448" s="25">
        <f t="shared" si="145"/>
        <v>0</v>
      </c>
      <c r="AP448" s="24">
        <f t="shared" si="146"/>
        <v>0</v>
      </c>
      <c r="AQ448" s="23"/>
      <c r="AR448" s="22">
        <f t="shared" si="147"/>
        <v>0</v>
      </c>
      <c r="AS448" s="21"/>
      <c r="AT448" s="13"/>
      <c r="AU448" s="46">
        <f t="shared" si="148"/>
        <v>0</v>
      </c>
      <c r="BL448" s="20" t="str">
        <f t="shared" si="140"/>
        <v>►</v>
      </c>
      <c r="CO448" s="5">
        <v>1</v>
      </c>
    </row>
    <row r="449" spans="1:93" ht="17.25">
      <c r="A449" s="20" t="str">
        <f t="shared" si="149"/>
        <v>►</v>
      </c>
      <c r="B449" s="43" t="str">
        <f t="shared" si="150"/>
        <v>►</v>
      </c>
      <c r="C449" s="45" t="str">
        <f t="shared" si="135"/>
        <v>►</v>
      </c>
      <c r="D449" s="44" t="str">
        <f t="shared" si="136"/>
        <v>►</v>
      </c>
      <c r="E449" s="43" t="str">
        <f t="shared" si="137"/>
        <v>►</v>
      </c>
      <c r="F449" s="43" t="str">
        <f t="shared" si="138"/>
        <v>►</v>
      </c>
      <c r="G449" s="43" t="str">
        <f t="shared" si="139"/>
        <v>►</v>
      </c>
      <c r="H449" s="1256" t="s">
        <v>1</v>
      </c>
      <c r="I449" s="5175" t="s">
        <v>1</v>
      </c>
      <c r="J449" s="5161"/>
      <c r="K449" s="5161"/>
      <c r="L449" s="5161"/>
      <c r="M449" s="5176"/>
      <c r="N449" s="5177"/>
      <c r="O449" s="147"/>
      <c r="P449" s="147"/>
      <c r="Q449" s="102"/>
      <c r="R449" s="102"/>
      <c r="S449" s="1360"/>
      <c r="T449" s="43"/>
      <c r="U449" s="42"/>
      <c r="V449" s="41"/>
      <c r="W449" s="40"/>
      <c r="X449" s="39"/>
      <c r="Y449" s="38"/>
      <c r="Z449" s="37"/>
      <c r="AA449" s="36"/>
      <c r="AB449" s="35"/>
      <c r="AC449" s="34"/>
      <c r="AD449" s="55"/>
      <c r="AE449" s="33"/>
      <c r="AG449" s="32"/>
      <c r="AH449" s="31"/>
      <c r="AI449" s="30"/>
      <c r="AJ449" s="5492">
        <f t="shared" si="141"/>
        <v>0</v>
      </c>
      <c r="AK449" s="54">
        <f t="shared" si="142"/>
        <v>0</v>
      </c>
      <c r="AL449" s="53" t="str">
        <f t="shared" si="143"/>
        <v/>
      </c>
      <c r="AM449" s="52"/>
      <c r="AN449" s="51">
        <f t="shared" si="144"/>
        <v>0</v>
      </c>
      <c r="AO449" s="50">
        <f t="shared" si="145"/>
        <v>0</v>
      </c>
      <c r="AP449" s="49">
        <f t="shared" si="146"/>
        <v>0</v>
      </c>
      <c r="AQ449" s="23"/>
      <c r="AR449" s="48">
        <f t="shared" si="147"/>
        <v>0</v>
      </c>
      <c r="AS449" s="47"/>
      <c r="AT449" s="13"/>
      <c r="AU449" s="46">
        <f t="shared" si="148"/>
        <v>0</v>
      </c>
      <c r="BL449" s="20" t="str">
        <f t="shared" si="140"/>
        <v>►</v>
      </c>
      <c r="CO449" s="5">
        <v>1</v>
      </c>
    </row>
    <row r="450" spans="1:93" ht="17.25">
      <c r="A450" s="20" t="str">
        <f t="shared" si="149"/>
        <v>►</v>
      </c>
      <c r="B450" s="43" t="str">
        <f t="shared" si="150"/>
        <v>►</v>
      </c>
      <c r="C450" s="45" t="str">
        <f t="shared" si="135"/>
        <v>►</v>
      </c>
      <c r="D450" s="44" t="str">
        <f t="shared" si="136"/>
        <v>►</v>
      </c>
      <c r="E450" s="43" t="str">
        <f t="shared" si="137"/>
        <v>►</v>
      </c>
      <c r="F450" s="43" t="str">
        <f t="shared" si="138"/>
        <v>►</v>
      </c>
      <c r="G450" s="43" t="str">
        <f t="shared" si="139"/>
        <v>►</v>
      </c>
      <c r="H450" s="1256" t="s">
        <v>1</v>
      </c>
      <c r="I450" s="5175" t="s">
        <v>1</v>
      </c>
      <c r="J450" s="5161"/>
      <c r="K450" s="5161"/>
      <c r="L450" s="5161"/>
      <c r="M450" s="5176"/>
      <c r="N450" s="5177"/>
      <c r="O450" s="147"/>
      <c r="P450" s="147"/>
      <c r="Q450" s="102"/>
      <c r="R450" s="102"/>
      <c r="S450" s="1360"/>
      <c r="T450" s="43"/>
      <c r="U450" s="42"/>
      <c r="V450" s="41"/>
      <c r="W450" s="40"/>
      <c r="X450" s="39"/>
      <c r="Y450" s="38"/>
      <c r="Z450" s="37"/>
      <c r="AA450" s="36"/>
      <c r="AB450" s="35"/>
      <c r="AC450" s="34"/>
      <c r="AD450" s="55"/>
      <c r="AE450" s="33"/>
      <c r="AG450" s="32"/>
      <c r="AH450" s="31"/>
      <c r="AI450" s="30"/>
      <c r="AJ450" s="5492">
        <f t="shared" si="141"/>
        <v>0</v>
      </c>
      <c r="AK450" s="29">
        <f t="shared" si="142"/>
        <v>0</v>
      </c>
      <c r="AL450" s="28" t="str">
        <f t="shared" si="143"/>
        <v/>
      </c>
      <c r="AM450" s="27"/>
      <c r="AN450" s="26">
        <f t="shared" si="144"/>
        <v>0</v>
      </c>
      <c r="AO450" s="25">
        <f t="shared" si="145"/>
        <v>0</v>
      </c>
      <c r="AP450" s="24">
        <f t="shared" si="146"/>
        <v>0</v>
      </c>
      <c r="AQ450" s="23"/>
      <c r="AR450" s="22">
        <f t="shared" si="147"/>
        <v>0</v>
      </c>
      <c r="AS450" s="21"/>
      <c r="AT450" s="13"/>
      <c r="AU450" s="46">
        <f t="shared" si="148"/>
        <v>0</v>
      </c>
      <c r="BL450" s="20" t="str">
        <f t="shared" si="140"/>
        <v>►</v>
      </c>
      <c r="CO450" s="5">
        <v>1</v>
      </c>
    </row>
    <row r="451" spans="1:93" ht="17.25">
      <c r="A451" s="20" t="str">
        <f t="shared" si="149"/>
        <v>►</v>
      </c>
      <c r="B451" s="43" t="str">
        <f t="shared" si="150"/>
        <v>►</v>
      </c>
      <c r="C451" s="45" t="str">
        <f t="shared" si="135"/>
        <v>►</v>
      </c>
      <c r="D451" s="44" t="str">
        <f t="shared" si="136"/>
        <v>►</v>
      </c>
      <c r="E451" s="43" t="str">
        <f t="shared" si="137"/>
        <v>►</v>
      </c>
      <c r="F451" s="43" t="str">
        <f t="shared" si="138"/>
        <v>►</v>
      </c>
      <c r="G451" s="43" t="str">
        <f t="shared" si="139"/>
        <v>►</v>
      </c>
      <c r="H451" s="1256" t="s">
        <v>1</v>
      </c>
      <c r="I451" s="5175" t="s">
        <v>1</v>
      </c>
      <c r="J451" s="5161"/>
      <c r="K451" s="5161"/>
      <c r="L451" s="5161"/>
      <c r="M451" s="5176"/>
      <c r="N451" s="5177"/>
      <c r="O451" s="147"/>
      <c r="P451" s="147"/>
      <c r="Q451" s="102"/>
      <c r="R451" s="102"/>
      <c r="S451" s="1360"/>
      <c r="T451" s="43"/>
      <c r="U451" s="42"/>
      <c r="V451" s="41"/>
      <c r="W451" s="40"/>
      <c r="X451" s="39"/>
      <c r="Y451" s="38"/>
      <c r="Z451" s="37"/>
      <c r="AA451" s="36"/>
      <c r="AB451" s="35"/>
      <c r="AC451" s="34"/>
      <c r="AD451" s="55"/>
      <c r="AE451" s="33"/>
      <c r="AG451" s="32"/>
      <c r="AH451" s="31"/>
      <c r="AI451" s="30"/>
      <c r="AJ451" s="5492">
        <f t="shared" si="141"/>
        <v>0</v>
      </c>
      <c r="AK451" s="54">
        <f t="shared" si="142"/>
        <v>0</v>
      </c>
      <c r="AL451" s="53" t="str">
        <f t="shared" si="143"/>
        <v/>
      </c>
      <c r="AM451" s="52"/>
      <c r="AN451" s="51">
        <f t="shared" si="144"/>
        <v>0</v>
      </c>
      <c r="AO451" s="50">
        <f t="shared" si="145"/>
        <v>0</v>
      </c>
      <c r="AP451" s="49">
        <f t="shared" si="146"/>
        <v>0</v>
      </c>
      <c r="AQ451" s="23"/>
      <c r="AR451" s="48">
        <f t="shared" si="147"/>
        <v>0</v>
      </c>
      <c r="AS451" s="47"/>
      <c r="AT451" s="13"/>
      <c r="AU451" s="46">
        <f t="shared" si="148"/>
        <v>0</v>
      </c>
      <c r="BL451" s="20" t="str">
        <f t="shared" si="140"/>
        <v>►</v>
      </c>
      <c r="CO451" s="5">
        <v>1</v>
      </c>
    </row>
    <row r="452" spans="1:93" ht="17.25">
      <c r="A452" s="20" t="str">
        <f t="shared" si="149"/>
        <v>►</v>
      </c>
      <c r="B452" s="43" t="str">
        <f t="shared" si="150"/>
        <v>►</v>
      </c>
      <c r="C452" s="45" t="str">
        <f t="shared" si="135"/>
        <v>►</v>
      </c>
      <c r="D452" s="44" t="str">
        <f t="shared" si="136"/>
        <v>►</v>
      </c>
      <c r="E452" s="43" t="str">
        <f t="shared" si="137"/>
        <v>►</v>
      </c>
      <c r="F452" s="43" t="str">
        <f t="shared" si="138"/>
        <v>►</v>
      </c>
      <c r="G452" s="43" t="str">
        <f t="shared" si="139"/>
        <v>►</v>
      </c>
      <c r="H452" s="1256" t="s">
        <v>1</v>
      </c>
      <c r="I452" s="5175" t="s">
        <v>1</v>
      </c>
      <c r="J452" s="5161"/>
      <c r="K452" s="5161"/>
      <c r="L452" s="5161"/>
      <c r="M452" s="5176"/>
      <c r="N452" s="5177"/>
      <c r="O452" s="147"/>
      <c r="P452" s="147"/>
      <c r="Q452" s="102"/>
      <c r="R452" s="102"/>
      <c r="S452" s="1360"/>
      <c r="T452" s="43"/>
      <c r="U452" s="42"/>
      <c r="V452" s="41"/>
      <c r="W452" s="40"/>
      <c r="X452" s="39"/>
      <c r="Y452" s="38"/>
      <c r="Z452" s="37"/>
      <c r="AA452" s="36"/>
      <c r="AB452" s="35"/>
      <c r="AC452" s="34"/>
      <c r="AD452" s="55"/>
      <c r="AE452" s="33"/>
      <c r="AG452" s="32"/>
      <c r="AH452" s="31"/>
      <c r="AI452" s="30"/>
      <c r="AJ452" s="5492">
        <f t="shared" si="141"/>
        <v>0</v>
      </c>
      <c r="AK452" s="29">
        <f t="shared" si="142"/>
        <v>0</v>
      </c>
      <c r="AL452" s="28" t="str">
        <f t="shared" si="143"/>
        <v/>
      </c>
      <c r="AM452" s="27"/>
      <c r="AN452" s="26">
        <f t="shared" si="144"/>
        <v>0</v>
      </c>
      <c r="AO452" s="25">
        <f t="shared" si="145"/>
        <v>0</v>
      </c>
      <c r="AP452" s="24">
        <f t="shared" si="146"/>
        <v>0</v>
      </c>
      <c r="AQ452" s="23"/>
      <c r="AR452" s="22">
        <f t="shared" si="147"/>
        <v>0</v>
      </c>
      <c r="AS452" s="21"/>
      <c r="AT452" s="13"/>
      <c r="AU452" s="46">
        <f t="shared" si="148"/>
        <v>0</v>
      </c>
      <c r="BL452" s="20" t="str">
        <f t="shared" si="140"/>
        <v>►</v>
      </c>
      <c r="CO452" s="5">
        <v>1</v>
      </c>
    </row>
    <row r="453" spans="1:93" ht="17.25">
      <c r="A453" s="20" t="str">
        <f t="shared" si="149"/>
        <v>►</v>
      </c>
      <c r="B453" s="43" t="str">
        <f t="shared" si="150"/>
        <v>►</v>
      </c>
      <c r="C453" s="45" t="str">
        <f t="shared" si="135"/>
        <v>►</v>
      </c>
      <c r="D453" s="44" t="str">
        <f t="shared" si="136"/>
        <v>►</v>
      </c>
      <c r="E453" s="43" t="str">
        <f t="shared" si="137"/>
        <v>►</v>
      </c>
      <c r="F453" s="43" t="str">
        <f t="shared" si="138"/>
        <v>►</v>
      </c>
      <c r="G453" s="43" t="str">
        <f t="shared" si="139"/>
        <v>►</v>
      </c>
      <c r="H453" s="1256" t="s">
        <v>1</v>
      </c>
      <c r="I453" s="5175" t="s">
        <v>1</v>
      </c>
      <c r="J453" s="5161"/>
      <c r="K453" s="5161"/>
      <c r="L453" s="5161"/>
      <c r="M453" s="5176"/>
      <c r="N453" s="5177"/>
      <c r="O453" s="147"/>
      <c r="P453" s="147"/>
      <c r="Q453" s="102"/>
      <c r="R453" s="102"/>
      <c r="S453" s="1360"/>
      <c r="T453" s="43"/>
      <c r="U453" s="42"/>
      <c r="V453" s="41"/>
      <c r="W453" s="40"/>
      <c r="X453" s="39"/>
      <c r="Y453" s="38"/>
      <c r="Z453" s="37"/>
      <c r="AA453" s="36"/>
      <c r="AB453" s="35"/>
      <c r="AC453" s="34"/>
      <c r="AD453" s="55"/>
      <c r="AE453" s="33"/>
      <c r="AG453" s="32"/>
      <c r="AH453" s="31"/>
      <c r="AI453" s="30"/>
      <c r="AJ453" s="5492">
        <f t="shared" si="141"/>
        <v>0</v>
      </c>
      <c r="AK453" s="54">
        <f t="shared" si="142"/>
        <v>0</v>
      </c>
      <c r="AL453" s="53" t="str">
        <f t="shared" si="143"/>
        <v/>
      </c>
      <c r="AM453" s="52"/>
      <c r="AN453" s="51">
        <f t="shared" si="144"/>
        <v>0</v>
      </c>
      <c r="AO453" s="50">
        <f t="shared" si="145"/>
        <v>0</v>
      </c>
      <c r="AP453" s="49">
        <f t="shared" si="146"/>
        <v>0</v>
      </c>
      <c r="AQ453" s="23"/>
      <c r="AR453" s="48">
        <f t="shared" si="147"/>
        <v>0</v>
      </c>
      <c r="AS453" s="47"/>
      <c r="AT453" s="13"/>
      <c r="AU453" s="46">
        <f t="shared" si="148"/>
        <v>0</v>
      </c>
      <c r="BL453" s="20" t="str">
        <f t="shared" si="140"/>
        <v>►</v>
      </c>
      <c r="CO453" s="5">
        <v>1</v>
      </c>
    </row>
    <row r="454" spans="1:93" ht="17.25">
      <c r="A454" s="20" t="str">
        <f t="shared" si="149"/>
        <v>►</v>
      </c>
      <c r="B454" s="43" t="str">
        <f t="shared" si="150"/>
        <v>►</v>
      </c>
      <c r="C454" s="45" t="str">
        <f t="shared" si="135"/>
        <v>►</v>
      </c>
      <c r="D454" s="44" t="str">
        <f t="shared" si="136"/>
        <v>►</v>
      </c>
      <c r="E454" s="43" t="str">
        <f t="shared" si="137"/>
        <v>►</v>
      </c>
      <c r="F454" s="43" t="str">
        <f t="shared" si="138"/>
        <v>►</v>
      </c>
      <c r="G454" s="43" t="str">
        <f t="shared" si="139"/>
        <v>►</v>
      </c>
      <c r="H454" s="1256" t="s">
        <v>1</v>
      </c>
      <c r="I454" s="5175" t="s">
        <v>1</v>
      </c>
      <c r="J454" s="5161"/>
      <c r="K454" s="5161"/>
      <c r="L454" s="5161"/>
      <c r="M454" s="5176"/>
      <c r="N454" s="5177"/>
      <c r="O454" s="147"/>
      <c r="P454" s="147"/>
      <c r="Q454" s="102"/>
      <c r="R454" s="102"/>
      <c r="S454" s="1360"/>
      <c r="T454" s="43"/>
      <c r="U454" s="42"/>
      <c r="V454" s="41"/>
      <c r="W454" s="40"/>
      <c r="X454" s="39"/>
      <c r="Y454" s="38"/>
      <c r="Z454" s="37"/>
      <c r="AA454" s="36"/>
      <c r="AB454" s="35"/>
      <c r="AC454" s="34"/>
      <c r="AD454" s="55"/>
      <c r="AE454" s="33"/>
      <c r="AG454" s="32"/>
      <c r="AH454" s="31"/>
      <c r="AI454" s="30"/>
      <c r="AJ454" s="5492">
        <f t="shared" si="141"/>
        <v>0</v>
      </c>
      <c r="AK454" s="29">
        <f t="shared" si="142"/>
        <v>0</v>
      </c>
      <c r="AL454" s="28" t="str">
        <f t="shared" si="143"/>
        <v/>
      </c>
      <c r="AM454" s="27"/>
      <c r="AN454" s="26">
        <f t="shared" si="144"/>
        <v>0</v>
      </c>
      <c r="AO454" s="25">
        <f t="shared" si="145"/>
        <v>0</v>
      </c>
      <c r="AP454" s="24">
        <f t="shared" si="146"/>
        <v>0</v>
      </c>
      <c r="AQ454" s="23"/>
      <c r="AR454" s="22">
        <f t="shared" si="147"/>
        <v>0</v>
      </c>
      <c r="AS454" s="21"/>
      <c r="AT454" s="13"/>
      <c r="AU454" s="46">
        <f t="shared" si="148"/>
        <v>0</v>
      </c>
      <c r="BL454" s="20" t="str">
        <f t="shared" si="140"/>
        <v>►</v>
      </c>
      <c r="CO454" s="5">
        <v>1</v>
      </c>
    </row>
    <row r="455" spans="1:93" ht="17.25">
      <c r="A455" s="20" t="str">
        <f t="shared" si="149"/>
        <v>►</v>
      </c>
      <c r="B455" s="43" t="str">
        <f t="shared" si="150"/>
        <v>►</v>
      </c>
      <c r="C455" s="45" t="str">
        <f t="shared" si="135"/>
        <v>►</v>
      </c>
      <c r="D455" s="44" t="str">
        <f t="shared" si="136"/>
        <v>►</v>
      </c>
      <c r="E455" s="43" t="str">
        <f t="shared" si="137"/>
        <v>►</v>
      </c>
      <c r="F455" s="43" t="str">
        <f t="shared" si="138"/>
        <v>►</v>
      </c>
      <c r="G455" s="43" t="str">
        <f t="shared" si="139"/>
        <v>►</v>
      </c>
      <c r="H455" s="1256" t="s">
        <v>1</v>
      </c>
      <c r="I455" s="5175" t="s">
        <v>1</v>
      </c>
      <c r="J455" s="5161"/>
      <c r="K455" s="5161"/>
      <c r="L455" s="5161"/>
      <c r="M455" s="5176"/>
      <c r="N455" s="5177"/>
      <c r="O455" s="147"/>
      <c r="P455" s="147"/>
      <c r="Q455" s="102"/>
      <c r="R455" s="102"/>
      <c r="S455" s="1360"/>
      <c r="T455" s="43"/>
      <c r="U455" s="42"/>
      <c r="V455" s="41"/>
      <c r="W455" s="40"/>
      <c r="X455" s="39"/>
      <c r="Y455" s="38"/>
      <c r="Z455" s="37"/>
      <c r="AA455" s="36"/>
      <c r="AB455" s="35"/>
      <c r="AC455" s="34"/>
      <c r="AD455" s="55"/>
      <c r="AE455" s="33"/>
      <c r="AG455" s="32"/>
      <c r="AH455" s="31"/>
      <c r="AI455" s="30"/>
      <c r="AJ455" s="5492">
        <f t="shared" si="141"/>
        <v>0</v>
      </c>
      <c r="AK455" s="54">
        <f t="shared" si="142"/>
        <v>0</v>
      </c>
      <c r="AL455" s="53" t="str">
        <f t="shared" si="143"/>
        <v/>
      </c>
      <c r="AM455" s="52"/>
      <c r="AN455" s="51">
        <f t="shared" si="144"/>
        <v>0</v>
      </c>
      <c r="AO455" s="50">
        <f t="shared" si="145"/>
        <v>0</v>
      </c>
      <c r="AP455" s="49">
        <f t="shared" si="146"/>
        <v>0</v>
      </c>
      <c r="AQ455" s="23"/>
      <c r="AR455" s="48">
        <f t="shared" si="147"/>
        <v>0</v>
      </c>
      <c r="AS455" s="47"/>
      <c r="AT455" s="13"/>
      <c r="AU455" s="46">
        <f t="shared" si="148"/>
        <v>0</v>
      </c>
      <c r="BL455" s="20" t="str">
        <f t="shared" si="140"/>
        <v>►</v>
      </c>
      <c r="CO455" s="5">
        <v>1</v>
      </c>
    </row>
    <row r="456" spans="1:93" ht="17.25">
      <c r="A456" s="20" t="str">
        <f t="shared" si="149"/>
        <v>►</v>
      </c>
      <c r="B456" s="43" t="str">
        <f t="shared" si="150"/>
        <v>►</v>
      </c>
      <c r="C456" s="45" t="str">
        <f t="shared" si="135"/>
        <v>►</v>
      </c>
      <c r="D456" s="44" t="str">
        <f t="shared" si="136"/>
        <v>►</v>
      </c>
      <c r="E456" s="43" t="str">
        <f t="shared" si="137"/>
        <v>►</v>
      </c>
      <c r="F456" s="43" t="str">
        <f t="shared" si="138"/>
        <v>►</v>
      </c>
      <c r="G456" s="43" t="str">
        <f t="shared" si="139"/>
        <v>►</v>
      </c>
      <c r="H456" s="1256" t="s">
        <v>1</v>
      </c>
      <c r="I456" s="5175" t="s">
        <v>1</v>
      </c>
      <c r="J456" s="5161"/>
      <c r="K456" s="5161"/>
      <c r="L456" s="5161"/>
      <c r="M456" s="5176"/>
      <c r="N456" s="5177"/>
      <c r="O456" s="147"/>
      <c r="P456" s="147"/>
      <c r="Q456" s="102"/>
      <c r="R456" s="102"/>
      <c r="S456" s="1360"/>
      <c r="T456" s="43"/>
      <c r="U456" s="42"/>
      <c r="V456" s="41"/>
      <c r="W456" s="40"/>
      <c r="X456" s="39"/>
      <c r="Y456" s="38"/>
      <c r="Z456" s="37"/>
      <c r="AA456" s="36"/>
      <c r="AB456" s="35"/>
      <c r="AC456" s="34"/>
      <c r="AD456" s="55"/>
      <c r="AE456" s="33"/>
      <c r="AG456" s="32"/>
      <c r="AH456" s="31"/>
      <c r="AI456" s="30"/>
      <c r="AJ456" s="5492">
        <f t="shared" si="141"/>
        <v>0</v>
      </c>
      <c r="AK456" s="29">
        <f t="shared" si="142"/>
        <v>0</v>
      </c>
      <c r="AL456" s="28" t="str">
        <f t="shared" si="143"/>
        <v/>
      </c>
      <c r="AM456" s="27"/>
      <c r="AN456" s="26">
        <f t="shared" si="144"/>
        <v>0</v>
      </c>
      <c r="AO456" s="25">
        <f t="shared" si="145"/>
        <v>0</v>
      </c>
      <c r="AP456" s="24">
        <f t="shared" si="146"/>
        <v>0</v>
      </c>
      <c r="AQ456" s="23"/>
      <c r="AR456" s="22">
        <f t="shared" si="147"/>
        <v>0</v>
      </c>
      <c r="AS456" s="21"/>
      <c r="AT456" s="13"/>
      <c r="AU456" s="46">
        <f t="shared" si="148"/>
        <v>0</v>
      </c>
      <c r="BL456" s="20" t="str">
        <f t="shared" si="140"/>
        <v>►</v>
      </c>
      <c r="CO456" s="5">
        <v>1</v>
      </c>
    </row>
    <row r="457" spans="1:93" ht="17.25">
      <c r="A457" s="20" t="str">
        <f t="shared" si="149"/>
        <v>►</v>
      </c>
      <c r="B457" s="43" t="str">
        <f t="shared" si="150"/>
        <v>►</v>
      </c>
      <c r="C457" s="45" t="str">
        <f t="shared" si="135"/>
        <v>►</v>
      </c>
      <c r="D457" s="44" t="str">
        <f t="shared" si="136"/>
        <v>►</v>
      </c>
      <c r="E457" s="43" t="str">
        <f t="shared" si="137"/>
        <v>►</v>
      </c>
      <c r="F457" s="43" t="str">
        <f t="shared" si="138"/>
        <v>►</v>
      </c>
      <c r="G457" s="43" t="str">
        <f t="shared" si="139"/>
        <v>►</v>
      </c>
      <c r="H457" s="1256" t="s">
        <v>1</v>
      </c>
      <c r="I457" s="5175" t="s">
        <v>1</v>
      </c>
      <c r="J457" s="5161"/>
      <c r="K457" s="5161"/>
      <c r="L457" s="5161"/>
      <c r="M457" s="5176"/>
      <c r="N457" s="5177"/>
      <c r="O457" s="147"/>
      <c r="P457" s="147"/>
      <c r="Q457" s="102"/>
      <c r="R457" s="102"/>
      <c r="S457" s="1360"/>
      <c r="T457" s="43"/>
      <c r="U457" s="42"/>
      <c r="V457" s="41"/>
      <c r="W457" s="40"/>
      <c r="X457" s="39"/>
      <c r="Y457" s="38"/>
      <c r="Z457" s="37"/>
      <c r="AA457" s="36"/>
      <c r="AB457" s="35"/>
      <c r="AC457" s="34"/>
      <c r="AD457" s="55"/>
      <c r="AE457" s="33"/>
      <c r="AG457" s="32"/>
      <c r="AH457" s="31"/>
      <c r="AI457" s="30"/>
      <c r="AJ457" s="5492">
        <f t="shared" si="141"/>
        <v>0</v>
      </c>
      <c r="AK457" s="54">
        <f t="shared" si="142"/>
        <v>0</v>
      </c>
      <c r="AL457" s="53" t="str">
        <f t="shared" si="143"/>
        <v/>
      </c>
      <c r="AM457" s="52"/>
      <c r="AN457" s="51">
        <f t="shared" si="144"/>
        <v>0</v>
      </c>
      <c r="AO457" s="50">
        <f t="shared" si="145"/>
        <v>0</v>
      </c>
      <c r="AP457" s="49">
        <f t="shared" si="146"/>
        <v>0</v>
      </c>
      <c r="AQ457" s="23"/>
      <c r="AR457" s="48">
        <f t="shared" si="147"/>
        <v>0</v>
      </c>
      <c r="AS457" s="47"/>
      <c r="AT457" s="13"/>
      <c r="AU457" s="46">
        <f t="shared" si="148"/>
        <v>0</v>
      </c>
      <c r="BL457" s="20" t="str">
        <f t="shared" si="140"/>
        <v>►</v>
      </c>
      <c r="CO457" s="5">
        <v>1</v>
      </c>
    </row>
    <row r="458" spans="1:93" ht="17.25">
      <c r="A458" s="20" t="str">
        <f t="shared" si="149"/>
        <v>►</v>
      </c>
      <c r="B458" s="43" t="str">
        <f t="shared" si="150"/>
        <v>►</v>
      </c>
      <c r="C458" s="45" t="str">
        <f t="shared" si="135"/>
        <v>►</v>
      </c>
      <c r="D458" s="44" t="str">
        <f t="shared" si="136"/>
        <v>►</v>
      </c>
      <c r="E458" s="43" t="str">
        <f t="shared" si="137"/>
        <v>►</v>
      </c>
      <c r="F458" s="43" t="str">
        <f t="shared" si="138"/>
        <v>►</v>
      </c>
      <c r="G458" s="43" t="str">
        <f t="shared" si="139"/>
        <v>►</v>
      </c>
      <c r="H458" s="1256" t="s">
        <v>1</v>
      </c>
      <c r="I458" s="5175" t="s">
        <v>1</v>
      </c>
      <c r="J458" s="5161"/>
      <c r="K458" s="5161"/>
      <c r="L458" s="5161"/>
      <c r="M458" s="5176"/>
      <c r="N458" s="5177"/>
      <c r="O458" s="147"/>
      <c r="P458" s="147"/>
      <c r="Q458" s="102"/>
      <c r="R458" s="102"/>
      <c r="S458" s="1360"/>
      <c r="T458" s="43"/>
      <c r="U458" s="42"/>
      <c r="V458" s="41"/>
      <c r="W458" s="40"/>
      <c r="X458" s="39"/>
      <c r="Y458" s="38"/>
      <c r="Z458" s="37"/>
      <c r="AA458" s="36"/>
      <c r="AB458" s="35"/>
      <c r="AC458" s="34"/>
      <c r="AD458" s="55"/>
      <c r="AE458" s="33"/>
      <c r="AG458" s="32"/>
      <c r="AH458" s="31"/>
      <c r="AI458" s="30"/>
      <c r="AJ458" s="5492">
        <f t="shared" si="141"/>
        <v>0</v>
      </c>
      <c r="AK458" s="29">
        <f t="shared" si="142"/>
        <v>0</v>
      </c>
      <c r="AL458" s="28" t="str">
        <f t="shared" si="143"/>
        <v/>
      </c>
      <c r="AM458" s="27"/>
      <c r="AN458" s="26">
        <f t="shared" si="144"/>
        <v>0</v>
      </c>
      <c r="AO458" s="25">
        <f t="shared" si="145"/>
        <v>0</v>
      </c>
      <c r="AP458" s="24">
        <f t="shared" si="146"/>
        <v>0</v>
      </c>
      <c r="AQ458" s="23"/>
      <c r="AR458" s="22">
        <f t="shared" si="147"/>
        <v>0</v>
      </c>
      <c r="AS458" s="21"/>
      <c r="AT458" s="13"/>
      <c r="AU458" s="46">
        <f t="shared" si="148"/>
        <v>0</v>
      </c>
      <c r="BL458" s="20" t="str">
        <f t="shared" si="140"/>
        <v>►</v>
      </c>
      <c r="CO458" s="5">
        <v>1</v>
      </c>
    </row>
    <row r="459" spans="1:93" ht="17.25">
      <c r="A459" s="20" t="str">
        <f t="shared" si="149"/>
        <v>►</v>
      </c>
      <c r="B459" s="43" t="str">
        <f t="shared" si="150"/>
        <v>►</v>
      </c>
      <c r="C459" s="45" t="str">
        <f t="shared" si="135"/>
        <v>►</v>
      </c>
      <c r="D459" s="44" t="str">
        <f t="shared" si="136"/>
        <v>►</v>
      </c>
      <c r="E459" s="43" t="str">
        <f t="shared" si="137"/>
        <v>►</v>
      </c>
      <c r="F459" s="43" t="str">
        <f t="shared" si="138"/>
        <v>►</v>
      </c>
      <c r="G459" s="43" t="str">
        <f t="shared" si="139"/>
        <v>►</v>
      </c>
      <c r="H459" s="1256" t="s">
        <v>1</v>
      </c>
      <c r="I459" s="5175" t="s">
        <v>1</v>
      </c>
      <c r="J459" s="5161"/>
      <c r="K459" s="5161"/>
      <c r="L459" s="5161"/>
      <c r="M459" s="5176"/>
      <c r="N459" s="5177"/>
      <c r="O459" s="147"/>
      <c r="P459" s="147"/>
      <c r="Q459" s="102"/>
      <c r="R459" s="102"/>
      <c r="S459" s="1360"/>
      <c r="T459" s="43"/>
      <c r="U459" s="42"/>
      <c r="V459" s="41"/>
      <c r="W459" s="40"/>
      <c r="X459" s="39"/>
      <c r="Y459" s="38"/>
      <c r="Z459" s="37"/>
      <c r="AA459" s="36"/>
      <c r="AB459" s="35"/>
      <c r="AC459" s="34"/>
      <c r="AD459" s="55"/>
      <c r="AE459" s="33"/>
      <c r="AG459" s="32"/>
      <c r="AH459" s="31"/>
      <c r="AI459" s="30"/>
      <c r="AJ459" s="5492">
        <f t="shared" si="141"/>
        <v>0</v>
      </c>
      <c r="AK459" s="54">
        <f t="shared" si="142"/>
        <v>0</v>
      </c>
      <c r="AL459" s="53" t="str">
        <f t="shared" si="143"/>
        <v/>
      </c>
      <c r="AM459" s="52"/>
      <c r="AN459" s="51">
        <f t="shared" si="144"/>
        <v>0</v>
      </c>
      <c r="AO459" s="50">
        <f t="shared" si="145"/>
        <v>0</v>
      </c>
      <c r="AP459" s="49">
        <f t="shared" si="146"/>
        <v>0</v>
      </c>
      <c r="AQ459" s="23"/>
      <c r="AR459" s="48">
        <f t="shared" si="147"/>
        <v>0</v>
      </c>
      <c r="AS459" s="47"/>
      <c r="AT459" s="13"/>
      <c r="AU459" s="46">
        <f t="shared" si="148"/>
        <v>0</v>
      </c>
      <c r="BL459" s="20" t="str">
        <f t="shared" si="140"/>
        <v>►</v>
      </c>
      <c r="CO459" s="5">
        <v>1</v>
      </c>
    </row>
    <row r="460" spans="1:93" ht="17.25">
      <c r="A460" s="20" t="str">
        <f t="shared" si="149"/>
        <v>►</v>
      </c>
      <c r="B460" s="43" t="str">
        <f t="shared" si="150"/>
        <v>►</v>
      </c>
      <c r="C460" s="45" t="str">
        <f t="shared" si="135"/>
        <v>►</v>
      </c>
      <c r="D460" s="44" t="str">
        <f t="shared" si="136"/>
        <v>►</v>
      </c>
      <c r="E460" s="43" t="str">
        <f t="shared" si="137"/>
        <v>►</v>
      </c>
      <c r="F460" s="43" t="str">
        <f t="shared" si="138"/>
        <v>►</v>
      </c>
      <c r="G460" s="43" t="str">
        <f t="shared" si="139"/>
        <v>►</v>
      </c>
      <c r="H460" s="1256" t="s">
        <v>1</v>
      </c>
      <c r="I460" s="5175" t="s">
        <v>1</v>
      </c>
      <c r="J460" s="5161"/>
      <c r="K460" s="5161"/>
      <c r="L460" s="5161"/>
      <c r="M460" s="5176"/>
      <c r="N460" s="5177"/>
      <c r="O460" s="147"/>
      <c r="P460" s="147"/>
      <c r="Q460" s="102"/>
      <c r="R460" s="102"/>
      <c r="S460" s="1360"/>
      <c r="T460" s="43"/>
      <c r="U460" s="42"/>
      <c r="V460" s="41"/>
      <c r="W460" s="40"/>
      <c r="X460" s="39"/>
      <c r="Y460" s="38"/>
      <c r="Z460" s="37"/>
      <c r="AA460" s="36"/>
      <c r="AB460" s="35"/>
      <c r="AC460" s="34"/>
      <c r="AD460" s="55"/>
      <c r="AE460" s="33"/>
      <c r="AG460" s="32"/>
      <c r="AH460" s="31"/>
      <c r="AI460" s="30"/>
      <c r="AJ460" s="5492">
        <f t="shared" si="141"/>
        <v>0</v>
      </c>
      <c r="AK460" s="29">
        <f t="shared" si="142"/>
        <v>0</v>
      </c>
      <c r="AL460" s="28" t="str">
        <f t="shared" si="143"/>
        <v/>
      </c>
      <c r="AM460" s="27"/>
      <c r="AN460" s="26">
        <f t="shared" si="144"/>
        <v>0</v>
      </c>
      <c r="AO460" s="25">
        <f t="shared" si="145"/>
        <v>0</v>
      </c>
      <c r="AP460" s="24">
        <f t="shared" si="146"/>
        <v>0</v>
      </c>
      <c r="AQ460" s="23"/>
      <c r="AR460" s="22">
        <f t="shared" si="147"/>
        <v>0</v>
      </c>
      <c r="AS460" s="21"/>
      <c r="AT460" s="13"/>
      <c r="AU460" s="46">
        <f t="shared" si="148"/>
        <v>0</v>
      </c>
      <c r="BL460" s="20" t="str">
        <f t="shared" si="140"/>
        <v>►</v>
      </c>
      <c r="CO460" s="5">
        <v>1</v>
      </c>
    </row>
    <row r="461" spans="1:93" ht="17.25">
      <c r="A461" s="20" t="str">
        <f t="shared" si="149"/>
        <v>►</v>
      </c>
      <c r="B461" s="43" t="str">
        <f t="shared" si="150"/>
        <v>►</v>
      </c>
      <c r="C461" s="45" t="str">
        <f t="shared" si="135"/>
        <v>►</v>
      </c>
      <c r="D461" s="44" t="str">
        <f t="shared" si="136"/>
        <v>►</v>
      </c>
      <c r="E461" s="43" t="str">
        <f t="shared" si="137"/>
        <v>►</v>
      </c>
      <c r="F461" s="43" t="str">
        <f t="shared" si="138"/>
        <v>►</v>
      </c>
      <c r="G461" s="43" t="str">
        <f t="shared" si="139"/>
        <v>►</v>
      </c>
      <c r="H461" s="1256" t="s">
        <v>1</v>
      </c>
      <c r="I461" s="5175" t="s">
        <v>1</v>
      </c>
      <c r="J461" s="5161"/>
      <c r="K461" s="5161"/>
      <c r="L461" s="5161"/>
      <c r="M461" s="5176"/>
      <c r="N461" s="5177"/>
      <c r="O461" s="147"/>
      <c r="P461" s="147"/>
      <c r="Q461" s="102"/>
      <c r="R461" s="102"/>
      <c r="S461" s="1360"/>
      <c r="T461" s="43"/>
      <c r="U461" s="42"/>
      <c r="V461" s="41"/>
      <c r="W461" s="40"/>
      <c r="X461" s="39"/>
      <c r="Y461" s="38"/>
      <c r="Z461" s="37"/>
      <c r="AA461" s="36"/>
      <c r="AB461" s="35"/>
      <c r="AC461" s="34"/>
      <c r="AD461" s="55"/>
      <c r="AE461" s="33"/>
      <c r="AG461" s="32"/>
      <c r="AH461" s="31"/>
      <c r="AI461" s="30"/>
      <c r="AJ461" s="5492">
        <f t="shared" si="141"/>
        <v>0</v>
      </c>
      <c r="AK461" s="54">
        <f t="shared" si="142"/>
        <v>0</v>
      </c>
      <c r="AL461" s="53" t="str">
        <f t="shared" si="143"/>
        <v/>
      </c>
      <c r="AM461" s="52"/>
      <c r="AN461" s="51">
        <f t="shared" si="144"/>
        <v>0</v>
      </c>
      <c r="AO461" s="50">
        <f t="shared" si="145"/>
        <v>0</v>
      </c>
      <c r="AP461" s="49">
        <f t="shared" si="146"/>
        <v>0</v>
      </c>
      <c r="AQ461" s="23"/>
      <c r="AR461" s="48">
        <f t="shared" si="147"/>
        <v>0</v>
      </c>
      <c r="AS461" s="47"/>
      <c r="AT461" s="13"/>
      <c r="AU461" s="46">
        <f t="shared" si="148"/>
        <v>0</v>
      </c>
      <c r="BL461" s="20" t="str">
        <f t="shared" si="140"/>
        <v>►</v>
      </c>
      <c r="CO461" s="5">
        <v>1</v>
      </c>
    </row>
    <row r="462" spans="1:93" ht="17.25">
      <c r="A462" s="20" t="str">
        <f t="shared" si="149"/>
        <v>►</v>
      </c>
      <c r="B462" s="43" t="str">
        <f t="shared" si="150"/>
        <v>►</v>
      </c>
      <c r="C462" s="45" t="str">
        <f t="shared" ref="C462:C525" si="151">IF(B462="►","►",IFERROR(LEFT(B462,SEARCH(".",B462)-1),0))</f>
        <v>►</v>
      </c>
      <c r="D462" s="44" t="str">
        <f t="shared" ref="D462:D525" si="152">IF(B462="►","►",IFERROR(MID(B462,SEARCH(".",B462)+1,SEARCH(".",B462,SEARCH(".",B462)+1)-SEARCH(".",B462)-1),0))</f>
        <v>►</v>
      </c>
      <c r="E462" s="43" t="str">
        <f t="shared" ref="E462:E525" si="153">IF(B462="►","►",IFERROR(MID(B462,SEARCH(".",B462,SEARCH(".",B462)+1)+1,SEARCH(".",B462,SEARCH(".",B462,SEARCH(".",B462)+1)+1)-SEARCH(".",B462,SEARCH(".",B462)+1)-1),0))</f>
        <v>►</v>
      </c>
      <c r="F462" s="43" t="str">
        <f t="shared" ref="F462:F525" si="154">IF(B462="►","►",IFERROR(MID(J462,SEARCH(".",B462,SEARCH(".",B462,SEARCH(".",B462)+1)+1)+1,SEARCH(".",B462,SEARCH(".",B462,SEARCH(".",B462,SEARCH(".",B462)+1)+1)+1)-SEARCH(".",B462,SEARCH(".",B462,SEARCH(".",B462)+1)+1)-1),0))</f>
        <v>►</v>
      </c>
      <c r="G462" s="43" t="str">
        <f t="shared" si="139"/>
        <v>►</v>
      </c>
      <c r="H462" s="1256" t="s">
        <v>1</v>
      </c>
      <c r="I462" s="5175" t="s">
        <v>1</v>
      </c>
      <c r="J462" s="5161"/>
      <c r="K462" s="5161"/>
      <c r="L462" s="5161"/>
      <c r="M462" s="5176"/>
      <c r="N462" s="5177"/>
      <c r="O462" s="147"/>
      <c r="P462" s="147"/>
      <c r="Q462" s="102"/>
      <c r="R462" s="102"/>
      <c r="S462" s="1360"/>
      <c r="T462" s="43"/>
      <c r="U462" s="42"/>
      <c r="V462" s="41"/>
      <c r="W462" s="40"/>
      <c r="X462" s="39"/>
      <c r="Y462" s="38"/>
      <c r="Z462" s="37"/>
      <c r="AA462" s="36"/>
      <c r="AB462" s="35"/>
      <c r="AC462" s="34"/>
      <c r="AD462" s="55"/>
      <c r="AE462" s="33"/>
      <c r="AG462" s="32"/>
      <c r="AH462" s="31"/>
      <c r="AI462" s="30"/>
      <c r="AJ462" s="5492">
        <f t="shared" si="141"/>
        <v>0</v>
      </c>
      <c r="AK462" s="29">
        <f t="shared" si="142"/>
        <v>0</v>
      </c>
      <c r="AL462" s="28" t="str">
        <f t="shared" si="143"/>
        <v/>
      </c>
      <c r="AM462" s="27"/>
      <c r="AN462" s="26">
        <f t="shared" si="144"/>
        <v>0</v>
      </c>
      <c r="AO462" s="25">
        <f t="shared" si="145"/>
        <v>0</v>
      </c>
      <c r="AP462" s="24">
        <f t="shared" si="146"/>
        <v>0</v>
      </c>
      <c r="AQ462" s="23"/>
      <c r="AR462" s="22">
        <f t="shared" si="147"/>
        <v>0</v>
      </c>
      <c r="AS462" s="21"/>
      <c r="AT462" s="13"/>
      <c r="AU462" s="46">
        <f t="shared" si="148"/>
        <v>0</v>
      </c>
      <c r="BL462" s="20" t="str">
        <f t="shared" si="140"/>
        <v>►</v>
      </c>
      <c r="CO462" s="5">
        <v>1</v>
      </c>
    </row>
    <row r="463" spans="1:93" ht="17.25">
      <c r="A463" s="20" t="str">
        <f t="shared" si="149"/>
        <v>►</v>
      </c>
      <c r="B463" s="43" t="str">
        <f t="shared" si="150"/>
        <v>►</v>
      </c>
      <c r="C463" s="45" t="str">
        <f t="shared" si="151"/>
        <v>►</v>
      </c>
      <c r="D463" s="44" t="str">
        <f t="shared" si="152"/>
        <v>►</v>
      </c>
      <c r="E463" s="43" t="str">
        <f t="shared" si="153"/>
        <v>►</v>
      </c>
      <c r="F463" s="43" t="str">
        <f t="shared" si="154"/>
        <v>►</v>
      </c>
      <c r="G463" s="43" t="str">
        <f t="shared" si="139"/>
        <v>►</v>
      </c>
      <c r="H463" s="1256" t="s">
        <v>1</v>
      </c>
      <c r="I463" s="5175" t="s">
        <v>1</v>
      </c>
      <c r="J463" s="5161"/>
      <c r="K463" s="5161"/>
      <c r="L463" s="5161"/>
      <c r="M463" s="5176"/>
      <c r="N463" s="5177"/>
      <c r="O463" s="147"/>
      <c r="P463" s="147"/>
      <c r="Q463" s="102"/>
      <c r="R463" s="102"/>
      <c r="S463" s="1360"/>
      <c r="T463" s="43"/>
      <c r="U463" s="42"/>
      <c r="V463" s="41"/>
      <c r="W463" s="40"/>
      <c r="X463" s="39"/>
      <c r="Y463" s="38"/>
      <c r="Z463" s="37"/>
      <c r="AA463" s="36"/>
      <c r="AB463" s="35"/>
      <c r="AC463" s="34"/>
      <c r="AD463" s="55"/>
      <c r="AE463" s="33"/>
      <c r="AG463" s="32"/>
      <c r="AH463" s="31"/>
      <c r="AI463" s="30"/>
      <c r="AJ463" s="5492">
        <f t="shared" si="141"/>
        <v>0</v>
      </c>
      <c r="AK463" s="54">
        <f t="shared" si="142"/>
        <v>0</v>
      </c>
      <c r="AL463" s="53" t="str">
        <f t="shared" si="143"/>
        <v/>
      </c>
      <c r="AM463" s="52"/>
      <c r="AN463" s="51">
        <f t="shared" si="144"/>
        <v>0</v>
      </c>
      <c r="AO463" s="50">
        <f t="shared" si="145"/>
        <v>0</v>
      </c>
      <c r="AP463" s="49">
        <f t="shared" si="146"/>
        <v>0</v>
      </c>
      <c r="AQ463" s="23"/>
      <c r="AR463" s="48">
        <f t="shared" si="147"/>
        <v>0</v>
      </c>
      <c r="AS463" s="47"/>
      <c r="AT463" s="13"/>
      <c r="AU463" s="46">
        <f t="shared" si="148"/>
        <v>0</v>
      </c>
      <c r="BL463" s="20" t="str">
        <f t="shared" si="140"/>
        <v>►</v>
      </c>
      <c r="CO463" s="5">
        <v>1</v>
      </c>
    </row>
    <row r="464" spans="1:93" ht="17.25">
      <c r="A464" s="20" t="str">
        <f t="shared" si="149"/>
        <v>►</v>
      </c>
      <c r="B464" s="43" t="str">
        <f t="shared" si="150"/>
        <v>►</v>
      </c>
      <c r="C464" s="45" t="str">
        <f t="shared" si="151"/>
        <v>►</v>
      </c>
      <c r="D464" s="44" t="str">
        <f t="shared" si="152"/>
        <v>►</v>
      </c>
      <c r="E464" s="43" t="str">
        <f t="shared" si="153"/>
        <v>►</v>
      </c>
      <c r="F464" s="43" t="str">
        <f t="shared" si="154"/>
        <v>►</v>
      </c>
      <c r="G464" s="43" t="str">
        <f t="shared" ref="G464:G527" si="155">IF(B464="►","►",IF(ISBLANK(B464),"►",IFERROR(RIGHT(B464,LEN(B464)-FIND("►",B464)-1),"")))</f>
        <v>►</v>
      </c>
      <c r="H464" s="1256" t="s">
        <v>1</v>
      </c>
      <c r="I464" s="5175" t="s">
        <v>1</v>
      </c>
      <c r="J464" s="5161"/>
      <c r="K464" s="5161"/>
      <c r="L464" s="5161"/>
      <c r="M464" s="5176"/>
      <c r="N464" s="5177"/>
      <c r="O464" s="147"/>
      <c r="P464" s="147"/>
      <c r="Q464" s="102"/>
      <c r="R464" s="102"/>
      <c r="S464" s="1360"/>
      <c r="T464" s="43"/>
      <c r="U464" s="42"/>
      <c r="V464" s="41"/>
      <c r="W464" s="40"/>
      <c r="X464" s="39"/>
      <c r="Y464" s="38"/>
      <c r="Z464" s="37"/>
      <c r="AA464" s="36"/>
      <c r="AB464" s="35"/>
      <c r="AC464" s="34"/>
      <c r="AD464" s="55"/>
      <c r="AE464" s="33"/>
      <c r="AG464" s="32"/>
      <c r="AH464" s="31"/>
      <c r="AI464" s="30"/>
      <c r="AJ464" s="5492">
        <f t="shared" si="141"/>
        <v>0</v>
      </c>
      <c r="AK464" s="29">
        <f t="shared" si="142"/>
        <v>0</v>
      </c>
      <c r="AL464" s="28" t="str">
        <f t="shared" si="143"/>
        <v/>
      </c>
      <c r="AM464" s="27"/>
      <c r="AN464" s="26">
        <f t="shared" si="144"/>
        <v>0</v>
      </c>
      <c r="AO464" s="25">
        <f t="shared" si="145"/>
        <v>0</v>
      </c>
      <c r="AP464" s="24">
        <f t="shared" si="146"/>
        <v>0</v>
      </c>
      <c r="AQ464" s="23"/>
      <c r="AR464" s="22">
        <f t="shared" si="147"/>
        <v>0</v>
      </c>
      <c r="AS464" s="21"/>
      <c r="AT464" s="13"/>
      <c r="AU464" s="46">
        <f t="shared" si="148"/>
        <v>0</v>
      </c>
      <c r="BL464" s="20" t="str">
        <f t="shared" si="140"/>
        <v>►</v>
      </c>
      <c r="CO464" s="5">
        <v>1</v>
      </c>
    </row>
    <row r="465" spans="1:93" ht="17.25">
      <c r="A465" s="20" t="str">
        <f t="shared" si="149"/>
        <v>►</v>
      </c>
      <c r="B465" s="43" t="str">
        <f t="shared" si="150"/>
        <v>►</v>
      </c>
      <c r="C465" s="45" t="str">
        <f t="shared" si="151"/>
        <v>►</v>
      </c>
      <c r="D465" s="44" t="str">
        <f t="shared" si="152"/>
        <v>►</v>
      </c>
      <c r="E465" s="43" t="str">
        <f t="shared" si="153"/>
        <v>►</v>
      </c>
      <c r="F465" s="43" t="str">
        <f t="shared" si="154"/>
        <v>►</v>
      </c>
      <c r="G465" s="43" t="str">
        <f t="shared" si="155"/>
        <v>►</v>
      </c>
      <c r="H465" s="1256" t="s">
        <v>1</v>
      </c>
      <c r="I465" s="5175" t="s">
        <v>1</v>
      </c>
      <c r="J465" s="5161"/>
      <c r="K465" s="5161"/>
      <c r="L465" s="5161"/>
      <c r="M465" s="5176"/>
      <c r="N465" s="5177"/>
      <c r="O465" s="147"/>
      <c r="P465" s="147"/>
      <c r="Q465" s="102"/>
      <c r="R465" s="102"/>
      <c r="S465" s="1360"/>
      <c r="T465" s="43"/>
      <c r="U465" s="42"/>
      <c r="V465" s="41"/>
      <c r="W465" s="40"/>
      <c r="X465" s="39"/>
      <c r="Y465" s="38"/>
      <c r="Z465" s="37"/>
      <c r="AA465" s="36"/>
      <c r="AB465" s="35"/>
      <c r="AC465" s="34"/>
      <c r="AD465" s="55"/>
      <c r="AE465" s="33"/>
      <c r="AG465" s="32"/>
      <c r="AH465" s="31"/>
      <c r="AI465" s="30"/>
      <c r="AJ465" s="5492">
        <f t="shared" si="141"/>
        <v>0</v>
      </c>
      <c r="AK465" s="54">
        <f t="shared" si="142"/>
        <v>0</v>
      </c>
      <c r="AL465" s="53" t="str">
        <f t="shared" si="143"/>
        <v/>
      </c>
      <c r="AM465" s="52"/>
      <c r="AN465" s="51">
        <f t="shared" si="144"/>
        <v>0</v>
      </c>
      <c r="AO465" s="50">
        <f t="shared" si="145"/>
        <v>0</v>
      </c>
      <c r="AP465" s="49">
        <f t="shared" si="146"/>
        <v>0</v>
      </c>
      <c r="AQ465" s="23"/>
      <c r="AR465" s="48">
        <f t="shared" si="147"/>
        <v>0</v>
      </c>
      <c r="AS465" s="47"/>
      <c r="AT465" s="13"/>
      <c r="AU465" s="46">
        <f t="shared" si="148"/>
        <v>0</v>
      </c>
      <c r="BL465" s="20" t="str">
        <f t="shared" si="140"/>
        <v>►</v>
      </c>
      <c r="CO465" s="5">
        <v>1</v>
      </c>
    </row>
    <row r="466" spans="1:93" ht="17.25">
      <c r="A466" s="20" t="str">
        <f t="shared" si="149"/>
        <v>►</v>
      </c>
      <c r="B466" s="43" t="str">
        <f t="shared" si="150"/>
        <v>►</v>
      </c>
      <c r="C466" s="45" t="str">
        <f t="shared" si="151"/>
        <v>►</v>
      </c>
      <c r="D466" s="44" t="str">
        <f t="shared" si="152"/>
        <v>►</v>
      </c>
      <c r="E466" s="43" t="str">
        <f t="shared" si="153"/>
        <v>►</v>
      </c>
      <c r="F466" s="43" t="str">
        <f t="shared" si="154"/>
        <v>►</v>
      </c>
      <c r="G466" s="43" t="str">
        <f t="shared" si="155"/>
        <v>►</v>
      </c>
      <c r="H466" s="1256" t="s">
        <v>1</v>
      </c>
      <c r="I466" s="5175" t="s">
        <v>1</v>
      </c>
      <c r="J466" s="5161"/>
      <c r="K466" s="5161"/>
      <c r="L466" s="5161"/>
      <c r="M466" s="5176"/>
      <c r="N466" s="5177"/>
      <c r="O466" s="147"/>
      <c r="P466" s="147"/>
      <c r="Q466" s="102"/>
      <c r="R466" s="102"/>
      <c r="S466" s="1360"/>
      <c r="T466" s="43"/>
      <c r="U466" s="42"/>
      <c r="V466" s="41"/>
      <c r="W466" s="40"/>
      <c r="X466" s="39"/>
      <c r="Y466" s="38"/>
      <c r="Z466" s="37"/>
      <c r="AA466" s="36"/>
      <c r="AB466" s="35"/>
      <c r="AC466" s="34"/>
      <c r="AD466" s="55"/>
      <c r="AE466" s="33"/>
      <c r="AG466" s="32"/>
      <c r="AH466" s="31"/>
      <c r="AI466" s="30"/>
      <c r="AJ466" s="5492">
        <f t="shared" si="141"/>
        <v>0</v>
      </c>
      <c r="AK466" s="29">
        <f t="shared" si="142"/>
        <v>0</v>
      </c>
      <c r="AL466" s="28" t="str">
        <f t="shared" si="143"/>
        <v/>
      </c>
      <c r="AM466" s="27"/>
      <c r="AN466" s="26">
        <f t="shared" si="144"/>
        <v>0</v>
      </c>
      <c r="AO466" s="25">
        <f t="shared" si="145"/>
        <v>0</v>
      </c>
      <c r="AP466" s="24">
        <f t="shared" si="146"/>
        <v>0</v>
      </c>
      <c r="AQ466" s="23"/>
      <c r="AR466" s="22">
        <f t="shared" si="147"/>
        <v>0</v>
      </c>
      <c r="AS466" s="21"/>
      <c r="AT466" s="13"/>
      <c r="AU466" s="46">
        <f t="shared" si="148"/>
        <v>0</v>
      </c>
      <c r="BL466" s="20" t="str">
        <f t="shared" ref="BL466:BL529" si="156">A466</f>
        <v>►</v>
      </c>
      <c r="CO466" s="5">
        <v>1</v>
      </c>
    </row>
    <row r="467" spans="1:93" ht="17.25">
      <c r="A467" s="20" t="str">
        <f t="shared" si="149"/>
        <v>►</v>
      </c>
      <c r="B467" s="43" t="str">
        <f t="shared" si="150"/>
        <v>►</v>
      </c>
      <c r="C467" s="45" t="str">
        <f t="shared" si="151"/>
        <v>►</v>
      </c>
      <c r="D467" s="44" t="str">
        <f t="shared" si="152"/>
        <v>►</v>
      </c>
      <c r="E467" s="43" t="str">
        <f t="shared" si="153"/>
        <v>►</v>
      </c>
      <c r="F467" s="43" t="str">
        <f t="shared" si="154"/>
        <v>►</v>
      </c>
      <c r="G467" s="43" t="str">
        <f t="shared" si="155"/>
        <v>►</v>
      </c>
      <c r="H467" s="1256" t="s">
        <v>1</v>
      </c>
      <c r="I467" s="5175" t="s">
        <v>1</v>
      </c>
      <c r="J467" s="5161"/>
      <c r="K467" s="5161"/>
      <c r="L467" s="5161"/>
      <c r="M467" s="5176"/>
      <c r="N467" s="5177"/>
      <c r="O467" s="147"/>
      <c r="P467" s="147"/>
      <c r="Q467" s="102"/>
      <c r="R467" s="102"/>
      <c r="S467" s="1360"/>
      <c r="T467" s="43"/>
      <c r="U467" s="42"/>
      <c r="V467" s="41"/>
      <c r="W467" s="40"/>
      <c r="X467" s="39"/>
      <c r="Y467" s="38"/>
      <c r="Z467" s="37"/>
      <c r="AA467" s="36"/>
      <c r="AB467" s="35"/>
      <c r="AC467" s="34"/>
      <c r="AD467" s="55"/>
      <c r="AE467" s="33"/>
      <c r="AG467" s="32"/>
      <c r="AH467" s="31"/>
      <c r="AI467" s="30"/>
      <c r="AJ467" s="5492">
        <f t="shared" si="141"/>
        <v>0</v>
      </c>
      <c r="AK467" s="54">
        <f t="shared" si="142"/>
        <v>0</v>
      </c>
      <c r="AL467" s="53" t="str">
        <f t="shared" si="143"/>
        <v/>
      </c>
      <c r="AM467" s="52"/>
      <c r="AN467" s="51">
        <f t="shared" si="144"/>
        <v>0</v>
      </c>
      <c r="AO467" s="50">
        <f t="shared" si="145"/>
        <v>0</v>
      </c>
      <c r="AP467" s="49">
        <f t="shared" si="146"/>
        <v>0</v>
      </c>
      <c r="AQ467" s="23"/>
      <c r="AR467" s="48">
        <f t="shared" si="147"/>
        <v>0</v>
      </c>
      <c r="AS467" s="47"/>
      <c r="AT467" s="13"/>
      <c r="AU467" s="46">
        <f t="shared" si="148"/>
        <v>0</v>
      </c>
      <c r="BL467" s="20" t="str">
        <f t="shared" si="156"/>
        <v>►</v>
      </c>
      <c r="CO467" s="5">
        <v>1</v>
      </c>
    </row>
    <row r="468" spans="1:93" ht="17.25">
      <c r="A468" s="20" t="str">
        <f t="shared" si="149"/>
        <v>►</v>
      </c>
      <c r="B468" s="43" t="str">
        <f t="shared" si="150"/>
        <v>►</v>
      </c>
      <c r="C468" s="45" t="str">
        <f t="shared" si="151"/>
        <v>►</v>
      </c>
      <c r="D468" s="44" t="str">
        <f t="shared" si="152"/>
        <v>►</v>
      </c>
      <c r="E468" s="43" t="str">
        <f t="shared" si="153"/>
        <v>►</v>
      </c>
      <c r="F468" s="43" t="str">
        <f t="shared" si="154"/>
        <v>►</v>
      </c>
      <c r="G468" s="43" t="str">
        <f t="shared" si="155"/>
        <v>►</v>
      </c>
      <c r="H468" s="1256" t="s">
        <v>1</v>
      </c>
      <c r="I468" s="5175" t="s">
        <v>1</v>
      </c>
      <c r="J468" s="5161"/>
      <c r="K468" s="5161"/>
      <c r="L468" s="5161"/>
      <c r="M468" s="5176"/>
      <c r="N468" s="5177"/>
      <c r="O468" s="147"/>
      <c r="P468" s="147"/>
      <c r="Q468" s="102"/>
      <c r="R468" s="102"/>
      <c r="S468" s="1360"/>
      <c r="T468" s="43"/>
      <c r="U468" s="42"/>
      <c r="V468" s="41"/>
      <c r="W468" s="40"/>
      <c r="X468" s="39"/>
      <c r="Y468" s="38"/>
      <c r="Z468" s="37"/>
      <c r="AA468" s="36"/>
      <c r="AB468" s="35"/>
      <c r="AC468" s="34"/>
      <c r="AD468" s="55"/>
      <c r="AE468" s="33"/>
      <c r="AG468" s="32"/>
      <c r="AH468" s="31"/>
      <c r="AI468" s="30"/>
      <c r="AJ468" s="5492">
        <f t="shared" si="141"/>
        <v>0</v>
      </c>
      <c r="AK468" s="29">
        <f t="shared" si="142"/>
        <v>0</v>
      </c>
      <c r="AL468" s="28" t="str">
        <f t="shared" si="143"/>
        <v/>
      </c>
      <c r="AM468" s="27"/>
      <c r="AN468" s="26">
        <f t="shared" si="144"/>
        <v>0</v>
      </c>
      <c r="AO468" s="25">
        <f t="shared" si="145"/>
        <v>0</v>
      </c>
      <c r="AP468" s="24">
        <f t="shared" si="146"/>
        <v>0</v>
      </c>
      <c r="AQ468" s="23"/>
      <c r="AR468" s="22">
        <f t="shared" si="147"/>
        <v>0</v>
      </c>
      <c r="AS468" s="21"/>
      <c r="AT468" s="13"/>
      <c r="AU468" s="46">
        <f t="shared" si="148"/>
        <v>0</v>
      </c>
      <c r="BL468" s="20" t="str">
        <f t="shared" si="156"/>
        <v>►</v>
      </c>
      <c r="CO468" s="5">
        <v>1</v>
      </c>
    </row>
    <row r="469" spans="1:93" ht="17.25">
      <c r="A469" s="20" t="str">
        <f t="shared" si="149"/>
        <v>►</v>
      </c>
      <c r="B469" s="43" t="str">
        <f t="shared" si="150"/>
        <v>►</v>
      </c>
      <c r="C469" s="45" t="str">
        <f t="shared" si="151"/>
        <v>►</v>
      </c>
      <c r="D469" s="44" t="str">
        <f t="shared" si="152"/>
        <v>►</v>
      </c>
      <c r="E469" s="43" t="str">
        <f t="shared" si="153"/>
        <v>►</v>
      </c>
      <c r="F469" s="43" t="str">
        <f t="shared" si="154"/>
        <v>►</v>
      </c>
      <c r="G469" s="43" t="str">
        <f t="shared" si="155"/>
        <v>►</v>
      </c>
      <c r="H469" s="1256" t="s">
        <v>1</v>
      </c>
      <c r="I469" s="5175" t="s">
        <v>1</v>
      </c>
      <c r="J469" s="5161"/>
      <c r="K469" s="5161"/>
      <c r="L469" s="5161"/>
      <c r="M469" s="5176"/>
      <c r="N469" s="5177"/>
      <c r="O469" s="147"/>
      <c r="P469" s="147"/>
      <c r="Q469" s="102"/>
      <c r="R469" s="102"/>
      <c r="S469" s="1360"/>
      <c r="T469" s="43"/>
      <c r="U469" s="42"/>
      <c r="V469" s="41"/>
      <c r="W469" s="40"/>
      <c r="X469" s="39"/>
      <c r="Y469" s="38"/>
      <c r="Z469" s="37"/>
      <c r="AA469" s="36"/>
      <c r="AB469" s="35"/>
      <c r="AC469" s="34"/>
      <c r="AD469" s="55"/>
      <c r="AE469" s="33"/>
      <c r="AG469" s="32"/>
      <c r="AH469" s="31"/>
      <c r="AI469" s="30"/>
      <c r="AJ469" s="5492">
        <f t="shared" si="141"/>
        <v>0</v>
      </c>
      <c r="AK469" s="54">
        <f t="shared" si="142"/>
        <v>0</v>
      </c>
      <c r="AL469" s="53" t="str">
        <f t="shared" si="143"/>
        <v/>
      </c>
      <c r="AM469" s="52"/>
      <c r="AN469" s="51">
        <f t="shared" si="144"/>
        <v>0</v>
      </c>
      <c r="AO469" s="50">
        <f t="shared" si="145"/>
        <v>0</v>
      </c>
      <c r="AP469" s="49">
        <f t="shared" si="146"/>
        <v>0</v>
      </c>
      <c r="AQ469" s="23"/>
      <c r="AR469" s="48">
        <f t="shared" si="147"/>
        <v>0</v>
      </c>
      <c r="AS469" s="47"/>
      <c r="AT469" s="13"/>
      <c r="AU469" s="46">
        <f t="shared" si="148"/>
        <v>0</v>
      </c>
      <c r="BL469" s="20" t="str">
        <f t="shared" si="156"/>
        <v>►</v>
      </c>
      <c r="CO469" s="5">
        <v>1</v>
      </c>
    </row>
    <row r="470" spans="1:93" ht="17.25">
      <c r="A470" s="20" t="str">
        <f t="shared" si="149"/>
        <v>►</v>
      </c>
      <c r="B470" s="43" t="str">
        <f t="shared" si="150"/>
        <v>►</v>
      </c>
      <c r="C470" s="45" t="str">
        <f t="shared" si="151"/>
        <v>►</v>
      </c>
      <c r="D470" s="44" t="str">
        <f t="shared" si="152"/>
        <v>►</v>
      </c>
      <c r="E470" s="43" t="str">
        <f t="shared" si="153"/>
        <v>►</v>
      </c>
      <c r="F470" s="43" t="str">
        <f t="shared" si="154"/>
        <v>►</v>
      </c>
      <c r="G470" s="43" t="str">
        <f t="shared" si="155"/>
        <v>►</v>
      </c>
      <c r="H470" s="1256" t="s">
        <v>1</v>
      </c>
      <c r="I470" s="5175" t="s">
        <v>1</v>
      </c>
      <c r="J470" s="5161"/>
      <c r="K470" s="5161"/>
      <c r="L470" s="5161"/>
      <c r="M470" s="5176"/>
      <c r="N470" s="5177"/>
      <c r="O470" s="147"/>
      <c r="P470" s="147"/>
      <c r="Q470" s="102"/>
      <c r="R470" s="102"/>
      <c r="S470" s="1360"/>
      <c r="T470" s="43"/>
      <c r="U470" s="42"/>
      <c r="V470" s="41"/>
      <c r="W470" s="40"/>
      <c r="X470" s="39"/>
      <c r="Y470" s="38"/>
      <c r="Z470" s="37"/>
      <c r="AA470" s="36"/>
      <c r="AB470" s="35"/>
      <c r="AC470" s="34"/>
      <c r="AD470" s="55"/>
      <c r="AE470" s="33"/>
      <c r="AG470" s="32"/>
      <c r="AH470" s="31"/>
      <c r="AI470" s="30"/>
      <c r="AJ470" s="5492">
        <f t="shared" si="141"/>
        <v>0</v>
      </c>
      <c r="AK470" s="29">
        <f t="shared" si="142"/>
        <v>0</v>
      </c>
      <c r="AL470" s="28" t="str">
        <f t="shared" si="143"/>
        <v/>
      </c>
      <c r="AM470" s="27"/>
      <c r="AN470" s="26">
        <f t="shared" si="144"/>
        <v>0</v>
      </c>
      <c r="AO470" s="25">
        <f t="shared" si="145"/>
        <v>0</v>
      </c>
      <c r="AP470" s="24">
        <f t="shared" si="146"/>
        <v>0</v>
      </c>
      <c r="AQ470" s="23"/>
      <c r="AR470" s="22">
        <f t="shared" si="147"/>
        <v>0</v>
      </c>
      <c r="AS470" s="21"/>
      <c r="AT470" s="13"/>
      <c r="AU470" s="46">
        <f t="shared" si="148"/>
        <v>0</v>
      </c>
      <c r="BL470" s="20" t="str">
        <f t="shared" si="156"/>
        <v>►</v>
      </c>
      <c r="CO470" s="5">
        <v>1</v>
      </c>
    </row>
    <row r="471" spans="1:93" ht="17.25">
      <c r="A471" s="20" t="str">
        <f t="shared" si="149"/>
        <v>►</v>
      </c>
      <c r="B471" s="43" t="str">
        <f t="shared" si="150"/>
        <v>►</v>
      </c>
      <c r="C471" s="45" t="str">
        <f t="shared" si="151"/>
        <v>►</v>
      </c>
      <c r="D471" s="44" t="str">
        <f t="shared" si="152"/>
        <v>►</v>
      </c>
      <c r="E471" s="43" t="str">
        <f t="shared" si="153"/>
        <v>►</v>
      </c>
      <c r="F471" s="43" t="str">
        <f t="shared" si="154"/>
        <v>►</v>
      </c>
      <c r="G471" s="43" t="str">
        <f t="shared" si="155"/>
        <v>►</v>
      </c>
      <c r="H471" s="1256" t="s">
        <v>1</v>
      </c>
      <c r="I471" s="5175" t="s">
        <v>1</v>
      </c>
      <c r="J471" s="5161"/>
      <c r="K471" s="5161"/>
      <c r="L471" s="5161"/>
      <c r="M471" s="5176"/>
      <c r="N471" s="5177"/>
      <c r="O471" s="147"/>
      <c r="P471" s="147"/>
      <c r="Q471" s="102"/>
      <c r="R471" s="102"/>
      <c r="S471" s="1360"/>
      <c r="T471" s="43"/>
      <c r="U471" s="42"/>
      <c r="V471" s="41"/>
      <c r="W471" s="40"/>
      <c r="X471" s="39"/>
      <c r="Y471" s="38"/>
      <c r="Z471" s="37"/>
      <c r="AA471" s="36"/>
      <c r="AB471" s="35"/>
      <c r="AC471" s="34"/>
      <c r="AD471" s="55"/>
      <c r="AE471" s="33"/>
      <c r="AG471" s="32"/>
      <c r="AH471" s="31"/>
      <c r="AI471" s="30"/>
      <c r="AJ471" s="5492">
        <f t="shared" si="141"/>
        <v>0</v>
      </c>
      <c r="AK471" s="54">
        <f t="shared" si="142"/>
        <v>0</v>
      </c>
      <c r="AL471" s="53" t="str">
        <f t="shared" si="143"/>
        <v/>
      </c>
      <c r="AM471" s="52"/>
      <c r="AN471" s="51">
        <f t="shared" si="144"/>
        <v>0</v>
      </c>
      <c r="AO471" s="50">
        <f t="shared" si="145"/>
        <v>0</v>
      </c>
      <c r="AP471" s="49">
        <f t="shared" si="146"/>
        <v>0</v>
      </c>
      <c r="AQ471" s="23"/>
      <c r="AR471" s="48">
        <f t="shared" si="147"/>
        <v>0</v>
      </c>
      <c r="AS471" s="47"/>
      <c r="AT471" s="13"/>
      <c r="AU471" s="46">
        <f t="shared" si="148"/>
        <v>0</v>
      </c>
      <c r="BL471" s="20" t="str">
        <f t="shared" si="156"/>
        <v>►</v>
      </c>
      <c r="CO471" s="5">
        <v>1</v>
      </c>
    </row>
    <row r="472" spans="1:93" ht="17.25">
      <c r="A472" s="20" t="str">
        <f t="shared" si="149"/>
        <v>►</v>
      </c>
      <c r="B472" s="43" t="str">
        <f t="shared" si="150"/>
        <v>►</v>
      </c>
      <c r="C472" s="45" t="str">
        <f t="shared" si="151"/>
        <v>►</v>
      </c>
      <c r="D472" s="44" t="str">
        <f t="shared" si="152"/>
        <v>►</v>
      </c>
      <c r="E472" s="43" t="str">
        <f t="shared" si="153"/>
        <v>►</v>
      </c>
      <c r="F472" s="43" t="str">
        <f t="shared" si="154"/>
        <v>►</v>
      </c>
      <c r="G472" s="43" t="str">
        <f t="shared" si="155"/>
        <v>►</v>
      </c>
      <c r="H472" s="1256" t="s">
        <v>1</v>
      </c>
      <c r="I472" s="5175" t="s">
        <v>1</v>
      </c>
      <c r="J472" s="5161"/>
      <c r="K472" s="5161"/>
      <c r="L472" s="5161"/>
      <c r="M472" s="5176"/>
      <c r="N472" s="5177"/>
      <c r="O472" s="147"/>
      <c r="P472" s="147"/>
      <c r="Q472" s="102"/>
      <c r="R472" s="102"/>
      <c r="S472" s="1360"/>
      <c r="T472" s="43"/>
      <c r="U472" s="42"/>
      <c r="V472" s="41"/>
      <c r="W472" s="40"/>
      <c r="X472" s="39"/>
      <c r="Y472" s="38"/>
      <c r="Z472" s="37"/>
      <c r="AA472" s="36"/>
      <c r="AB472" s="35"/>
      <c r="AC472" s="34"/>
      <c r="AD472" s="55"/>
      <c r="AE472" s="33"/>
      <c r="AG472" s="32"/>
      <c r="AH472" s="31"/>
      <c r="AI472" s="30"/>
      <c r="AJ472" s="5492">
        <f t="shared" si="141"/>
        <v>0</v>
      </c>
      <c r="AK472" s="29">
        <f t="shared" si="142"/>
        <v>0</v>
      </c>
      <c r="AL472" s="28" t="str">
        <f t="shared" si="143"/>
        <v/>
      </c>
      <c r="AM472" s="27"/>
      <c r="AN472" s="26">
        <f t="shared" si="144"/>
        <v>0</v>
      </c>
      <c r="AO472" s="25">
        <f t="shared" si="145"/>
        <v>0</v>
      </c>
      <c r="AP472" s="24">
        <f t="shared" si="146"/>
        <v>0</v>
      </c>
      <c r="AQ472" s="23"/>
      <c r="AR472" s="22">
        <f t="shared" si="147"/>
        <v>0</v>
      </c>
      <c r="AS472" s="21"/>
      <c r="AT472" s="13"/>
      <c r="AU472" s="46">
        <f t="shared" si="148"/>
        <v>0</v>
      </c>
      <c r="BL472" s="20" t="str">
        <f t="shared" si="156"/>
        <v>►</v>
      </c>
      <c r="CO472" s="5">
        <v>1</v>
      </c>
    </row>
    <row r="473" spans="1:93" ht="17.25">
      <c r="A473" s="20" t="str">
        <f t="shared" si="149"/>
        <v>►</v>
      </c>
      <c r="B473" s="43" t="str">
        <f t="shared" si="150"/>
        <v>►</v>
      </c>
      <c r="C473" s="45" t="str">
        <f t="shared" si="151"/>
        <v>►</v>
      </c>
      <c r="D473" s="44" t="str">
        <f t="shared" si="152"/>
        <v>►</v>
      </c>
      <c r="E473" s="43" t="str">
        <f t="shared" si="153"/>
        <v>►</v>
      </c>
      <c r="F473" s="43" t="str">
        <f t="shared" si="154"/>
        <v>►</v>
      </c>
      <c r="G473" s="43" t="str">
        <f t="shared" si="155"/>
        <v>►</v>
      </c>
      <c r="H473" s="1256" t="s">
        <v>1</v>
      </c>
      <c r="I473" s="5175" t="s">
        <v>1</v>
      </c>
      <c r="J473" s="5161"/>
      <c r="K473" s="5161"/>
      <c r="L473" s="5161"/>
      <c r="M473" s="5176"/>
      <c r="N473" s="5177"/>
      <c r="O473" s="147"/>
      <c r="P473" s="147"/>
      <c r="Q473" s="102"/>
      <c r="R473" s="102"/>
      <c r="S473" s="1360"/>
      <c r="T473" s="43"/>
      <c r="U473" s="42"/>
      <c r="V473" s="41"/>
      <c r="W473" s="40"/>
      <c r="X473" s="39"/>
      <c r="Y473" s="38"/>
      <c r="Z473" s="37"/>
      <c r="AA473" s="36"/>
      <c r="AB473" s="35"/>
      <c r="AC473" s="34"/>
      <c r="AD473" s="55"/>
      <c r="AE473" s="33"/>
      <c r="AG473" s="32"/>
      <c r="AH473" s="31"/>
      <c r="AI473" s="30"/>
      <c r="AJ473" s="5492">
        <f t="shared" si="141"/>
        <v>0</v>
      </c>
      <c r="AK473" s="54">
        <f t="shared" si="142"/>
        <v>0</v>
      </c>
      <c r="AL473" s="53" t="str">
        <f t="shared" si="143"/>
        <v/>
      </c>
      <c r="AM473" s="52"/>
      <c r="AN473" s="51">
        <f t="shared" si="144"/>
        <v>0</v>
      </c>
      <c r="AO473" s="50">
        <f t="shared" si="145"/>
        <v>0</v>
      </c>
      <c r="AP473" s="49">
        <f t="shared" si="146"/>
        <v>0</v>
      </c>
      <c r="AQ473" s="23"/>
      <c r="AR473" s="48">
        <f t="shared" si="147"/>
        <v>0</v>
      </c>
      <c r="AS473" s="47"/>
      <c r="AT473" s="13"/>
      <c r="AU473" s="46">
        <f t="shared" si="148"/>
        <v>0</v>
      </c>
      <c r="BL473" s="20" t="str">
        <f t="shared" si="156"/>
        <v>►</v>
      </c>
      <c r="CO473" s="5">
        <v>1</v>
      </c>
    </row>
    <row r="474" spans="1:93" ht="17.25">
      <c r="A474" s="20" t="str">
        <f t="shared" si="149"/>
        <v>►</v>
      </c>
      <c r="B474" s="43" t="str">
        <f t="shared" si="150"/>
        <v>►</v>
      </c>
      <c r="C474" s="45" t="str">
        <f t="shared" si="151"/>
        <v>►</v>
      </c>
      <c r="D474" s="44" t="str">
        <f t="shared" si="152"/>
        <v>►</v>
      </c>
      <c r="E474" s="43" t="str">
        <f t="shared" si="153"/>
        <v>►</v>
      </c>
      <c r="F474" s="43" t="str">
        <f t="shared" si="154"/>
        <v>►</v>
      </c>
      <c r="G474" s="43" t="str">
        <f t="shared" si="155"/>
        <v>►</v>
      </c>
      <c r="H474" s="1256" t="s">
        <v>1</v>
      </c>
      <c r="I474" s="5175" t="s">
        <v>1</v>
      </c>
      <c r="J474" s="5161"/>
      <c r="K474" s="5161"/>
      <c r="L474" s="5161"/>
      <c r="M474" s="5176"/>
      <c r="N474" s="5177"/>
      <c r="O474" s="147"/>
      <c r="P474" s="147"/>
      <c r="Q474" s="102"/>
      <c r="R474" s="102"/>
      <c r="S474" s="1360"/>
      <c r="T474" s="43"/>
      <c r="U474" s="42"/>
      <c r="V474" s="41"/>
      <c r="W474" s="40"/>
      <c r="X474" s="39"/>
      <c r="Y474" s="38"/>
      <c r="Z474" s="37"/>
      <c r="AA474" s="36"/>
      <c r="AB474" s="35"/>
      <c r="AC474" s="34"/>
      <c r="AD474" s="55"/>
      <c r="AE474" s="33"/>
      <c r="AG474" s="32"/>
      <c r="AH474" s="31"/>
      <c r="AI474" s="30"/>
      <c r="AJ474" s="5492">
        <f t="shared" si="141"/>
        <v>0</v>
      </c>
      <c r="AK474" s="29">
        <f t="shared" si="142"/>
        <v>0</v>
      </c>
      <c r="AL474" s="28" t="str">
        <f t="shared" si="143"/>
        <v/>
      </c>
      <c r="AM474" s="27"/>
      <c r="AN474" s="26">
        <f t="shared" si="144"/>
        <v>0</v>
      </c>
      <c r="AO474" s="25">
        <f t="shared" si="145"/>
        <v>0</v>
      </c>
      <c r="AP474" s="24">
        <f t="shared" si="146"/>
        <v>0</v>
      </c>
      <c r="AQ474" s="23"/>
      <c r="AR474" s="22">
        <f t="shared" si="147"/>
        <v>0</v>
      </c>
      <c r="AS474" s="21"/>
      <c r="AT474" s="13"/>
      <c r="AU474" s="46">
        <f t="shared" si="148"/>
        <v>0</v>
      </c>
      <c r="BL474" s="20" t="str">
        <f t="shared" si="156"/>
        <v>►</v>
      </c>
      <c r="CO474" s="5">
        <v>1</v>
      </c>
    </row>
    <row r="475" spans="1:93" ht="17.25">
      <c r="A475" s="20" t="str">
        <f t="shared" si="149"/>
        <v>►</v>
      </c>
      <c r="B475" s="43" t="str">
        <f t="shared" si="150"/>
        <v>►</v>
      </c>
      <c r="C475" s="45" t="str">
        <f t="shared" si="151"/>
        <v>►</v>
      </c>
      <c r="D475" s="44" t="str">
        <f t="shared" si="152"/>
        <v>►</v>
      </c>
      <c r="E475" s="43" t="str">
        <f t="shared" si="153"/>
        <v>►</v>
      </c>
      <c r="F475" s="43" t="str">
        <f t="shared" si="154"/>
        <v>►</v>
      </c>
      <c r="G475" s="43" t="str">
        <f t="shared" si="155"/>
        <v>►</v>
      </c>
      <c r="H475" s="1256" t="s">
        <v>1</v>
      </c>
      <c r="I475" s="5175" t="s">
        <v>1</v>
      </c>
      <c r="J475" s="5161"/>
      <c r="K475" s="5161"/>
      <c r="L475" s="5161"/>
      <c r="M475" s="5176"/>
      <c r="N475" s="5177"/>
      <c r="O475" s="147"/>
      <c r="P475" s="147"/>
      <c r="Q475" s="102"/>
      <c r="R475" s="102"/>
      <c r="S475" s="1360"/>
      <c r="T475" s="43"/>
      <c r="U475" s="42"/>
      <c r="V475" s="41"/>
      <c r="W475" s="40"/>
      <c r="X475" s="39"/>
      <c r="Y475" s="38"/>
      <c r="Z475" s="37"/>
      <c r="AA475" s="36"/>
      <c r="AB475" s="35"/>
      <c r="AC475" s="34"/>
      <c r="AD475" s="55"/>
      <c r="AE475" s="33"/>
      <c r="AG475" s="32"/>
      <c r="AH475" s="31"/>
      <c r="AI475" s="30"/>
      <c r="AJ475" s="5492">
        <f t="shared" si="141"/>
        <v>0</v>
      </c>
      <c r="AK475" s="54">
        <f t="shared" si="142"/>
        <v>0</v>
      </c>
      <c r="AL475" s="53" t="str">
        <f t="shared" si="143"/>
        <v/>
      </c>
      <c r="AM475" s="52"/>
      <c r="AN475" s="51">
        <f t="shared" si="144"/>
        <v>0</v>
      </c>
      <c r="AO475" s="50">
        <f t="shared" si="145"/>
        <v>0</v>
      </c>
      <c r="AP475" s="49">
        <f t="shared" si="146"/>
        <v>0</v>
      </c>
      <c r="AQ475" s="23"/>
      <c r="AR475" s="48">
        <f t="shared" si="147"/>
        <v>0</v>
      </c>
      <c r="AS475" s="47"/>
      <c r="AT475" s="13"/>
      <c r="AU475" s="46">
        <f t="shared" si="148"/>
        <v>0</v>
      </c>
      <c r="BL475" s="20" t="str">
        <f t="shared" si="156"/>
        <v>►</v>
      </c>
      <c r="CO475" s="5">
        <v>1</v>
      </c>
    </row>
    <row r="476" spans="1:93" ht="17.25">
      <c r="A476" s="20" t="str">
        <f t="shared" si="149"/>
        <v>►</v>
      </c>
      <c r="B476" s="43" t="str">
        <f t="shared" si="150"/>
        <v>►</v>
      </c>
      <c r="C476" s="45" t="str">
        <f t="shared" si="151"/>
        <v>►</v>
      </c>
      <c r="D476" s="44" t="str">
        <f t="shared" si="152"/>
        <v>►</v>
      </c>
      <c r="E476" s="43" t="str">
        <f t="shared" si="153"/>
        <v>►</v>
      </c>
      <c r="F476" s="43" t="str">
        <f t="shared" si="154"/>
        <v>►</v>
      </c>
      <c r="G476" s="43" t="str">
        <f t="shared" si="155"/>
        <v>►</v>
      </c>
      <c r="H476" s="1256" t="s">
        <v>1</v>
      </c>
      <c r="I476" s="5175" t="s">
        <v>1</v>
      </c>
      <c r="J476" s="5161"/>
      <c r="K476" s="5161"/>
      <c r="L476" s="5161"/>
      <c r="M476" s="5176"/>
      <c r="N476" s="5177"/>
      <c r="O476" s="147"/>
      <c r="P476" s="147"/>
      <c r="Q476" s="102"/>
      <c r="R476" s="102"/>
      <c r="S476" s="1360"/>
      <c r="T476" s="43"/>
      <c r="U476" s="42"/>
      <c r="V476" s="41"/>
      <c r="W476" s="40"/>
      <c r="X476" s="39"/>
      <c r="Y476" s="38"/>
      <c r="Z476" s="37"/>
      <c r="AA476" s="36"/>
      <c r="AB476" s="35"/>
      <c r="AC476" s="34"/>
      <c r="AD476" s="55"/>
      <c r="AE476" s="33"/>
      <c r="AG476" s="32"/>
      <c r="AH476" s="31"/>
      <c r="AI476" s="30"/>
      <c r="AJ476" s="5492">
        <f t="shared" si="141"/>
        <v>0</v>
      </c>
      <c r="AK476" s="29">
        <f t="shared" si="142"/>
        <v>0</v>
      </c>
      <c r="AL476" s="28" t="str">
        <f t="shared" si="143"/>
        <v/>
      </c>
      <c r="AM476" s="27"/>
      <c r="AN476" s="26">
        <f t="shared" si="144"/>
        <v>0</v>
      </c>
      <c r="AO476" s="25">
        <f t="shared" si="145"/>
        <v>0</v>
      </c>
      <c r="AP476" s="24">
        <f t="shared" si="146"/>
        <v>0</v>
      </c>
      <c r="AQ476" s="23"/>
      <c r="AR476" s="22">
        <f t="shared" si="147"/>
        <v>0</v>
      </c>
      <c r="AS476" s="21"/>
      <c r="AT476" s="13"/>
      <c r="AU476" s="46">
        <f t="shared" si="148"/>
        <v>0</v>
      </c>
      <c r="BL476" s="20" t="str">
        <f t="shared" si="156"/>
        <v>►</v>
      </c>
      <c r="CO476" s="5">
        <v>1</v>
      </c>
    </row>
    <row r="477" spans="1:93" ht="17.25">
      <c r="A477" s="20" t="str">
        <f t="shared" si="149"/>
        <v>►</v>
      </c>
      <c r="B477" s="43" t="str">
        <f t="shared" si="150"/>
        <v>►</v>
      </c>
      <c r="C477" s="45" t="str">
        <f t="shared" si="151"/>
        <v>►</v>
      </c>
      <c r="D477" s="44" t="str">
        <f t="shared" si="152"/>
        <v>►</v>
      </c>
      <c r="E477" s="43" t="str">
        <f t="shared" si="153"/>
        <v>►</v>
      </c>
      <c r="F477" s="43" t="str">
        <f t="shared" si="154"/>
        <v>►</v>
      </c>
      <c r="G477" s="43" t="str">
        <f t="shared" si="155"/>
        <v>►</v>
      </c>
      <c r="H477" s="1256" t="s">
        <v>1</v>
      </c>
      <c r="I477" s="5175" t="s">
        <v>1</v>
      </c>
      <c r="J477" s="5161"/>
      <c r="K477" s="5161"/>
      <c r="L477" s="5161"/>
      <c r="M477" s="5176"/>
      <c r="N477" s="5177"/>
      <c r="O477" s="147"/>
      <c r="P477" s="147"/>
      <c r="Q477" s="102"/>
      <c r="R477" s="102"/>
      <c r="S477" s="1360"/>
      <c r="T477" s="43"/>
      <c r="U477" s="42"/>
      <c r="V477" s="41"/>
      <c r="W477" s="40"/>
      <c r="X477" s="39"/>
      <c r="Y477" s="38"/>
      <c r="Z477" s="37"/>
      <c r="AA477" s="36"/>
      <c r="AB477" s="35"/>
      <c r="AC477" s="34"/>
      <c r="AD477" s="55"/>
      <c r="AE477" s="33"/>
      <c r="AG477" s="32"/>
      <c r="AH477" s="31"/>
      <c r="AI477" s="30"/>
      <c r="AJ477" s="5492">
        <f t="shared" ref="AJ477:AJ540" si="157">IF(ISTEXT(Y477), 0, IFERROR(INDEX($AX$22:$AX$69, MATCH(AC477, $AW$22:$AW$69, 0)) * AB477 * IF(ISBLANK(Y477), 1, Y477), 0))</f>
        <v>0</v>
      </c>
      <c r="AK477" s="54">
        <f t="shared" ref="AK477:AK540" si="158">IF(ISNUMBER(AD477), AJ477*AD477*AU477, 0)</f>
        <v>0</v>
      </c>
      <c r="AL477" s="53" t="str">
        <f t="shared" ref="AL477:AL540" si="159">IF(AND(ISNUMBER(AB477),ISNUMBER(AD477),ISNUMBER(AU477)),IFERROR(_xlfn.LET(_xlpm.m,IF(ISBLANK(Y477),1,Y477),_xlpm.q,AB477*AD477*AU477*_xlpm.m,_xlpm.p,MATCH(AC477,AW$22:AW$69,0),_xlpm.f,INDEX(AX$22:AX$69,_xlpm.p),_xlpm.u,INDEX(AY$22:AY$69,_xlpm.p),_xlpm.s,INDEX(AZ$22:AZ$69,_xlpm.p),IF(_xlpm.q&gt;=_xlpm.s,ROUND(_xlpm.q,0)&amp;" "&amp;AC477&amp;" = "&amp;ROUND(_xlpm.q*_xlpm.f,1)&amp;" "&amp;_xlpm.u,ROUND(_xlpm.q,0)&amp;" "&amp;AC477)),""),"")</f>
        <v/>
      </c>
      <c r="AM477" s="52"/>
      <c r="AN477" s="51">
        <f t="shared" ref="AN477:AN540" si="160">((AK477-(AK477*AM477%)))</f>
        <v>0</v>
      </c>
      <c r="AO477" s="50">
        <f t="shared" ref="AO477:AO540" si="161">IF(AND(ISNUMBER(AD477), ISNUMBER(Y477)), Y477 * AD477 * AU477, 0)</f>
        <v>0</v>
      </c>
      <c r="AP477" s="49">
        <f t="shared" ref="AP477:AP540" si="162">Z477</f>
        <v>0</v>
      </c>
      <c r="AQ477" s="23"/>
      <c r="AR477" s="48">
        <f t="shared" ref="AR477:AR540" si="163">IF(OR(ISBLANK(AQ477),ISTEXT(Y477)),0,IF(AK477=0,Y477,AK477)*AQ477)</f>
        <v>0</v>
      </c>
      <c r="AS477" s="47"/>
      <c r="AT477" s="13"/>
      <c r="AU477" s="46">
        <f t="shared" ref="AU477:AU540" si="164">IF(OR(ISBLANK(AI477), ISBLANK(AG477)), 0, AI477/AG477)</f>
        <v>0</v>
      </c>
      <c r="BL477" s="20" t="str">
        <f t="shared" si="156"/>
        <v>►</v>
      </c>
      <c r="CO477" s="5">
        <v>1</v>
      </c>
    </row>
    <row r="478" spans="1:93" ht="17.25">
      <c r="A478" s="20" t="str">
        <f t="shared" ref="A478:A541" si="165">IF(OR(I478="A",U478="A"),"A",IF(AND(I478="►",U478="►"),"►",IF(AND(ISBLANK(I478),ISBLANK(U478)),"►","►")))</f>
        <v>►</v>
      </c>
      <c r="B478" s="43" t="str">
        <f t="shared" si="150"/>
        <v>►</v>
      </c>
      <c r="C478" s="45" t="str">
        <f t="shared" si="151"/>
        <v>►</v>
      </c>
      <c r="D478" s="44" t="str">
        <f t="shared" si="152"/>
        <v>►</v>
      </c>
      <c r="E478" s="43" t="str">
        <f t="shared" si="153"/>
        <v>►</v>
      </c>
      <c r="F478" s="43" t="str">
        <f t="shared" si="154"/>
        <v>►</v>
      </c>
      <c r="G478" s="43" t="str">
        <f t="shared" si="155"/>
        <v>►</v>
      </c>
      <c r="H478" s="1256" t="s">
        <v>1</v>
      </c>
      <c r="I478" s="5175" t="s">
        <v>1</v>
      </c>
      <c r="J478" s="5161"/>
      <c r="K478" s="5161"/>
      <c r="L478" s="5161"/>
      <c r="M478" s="5176"/>
      <c r="N478" s="5177"/>
      <c r="O478" s="147"/>
      <c r="P478" s="147"/>
      <c r="Q478" s="102"/>
      <c r="R478" s="102"/>
      <c r="S478" s="1360"/>
      <c r="T478" s="43"/>
      <c r="U478" s="42"/>
      <c r="V478" s="41"/>
      <c r="W478" s="40"/>
      <c r="X478" s="39"/>
      <c r="Y478" s="38"/>
      <c r="Z478" s="37"/>
      <c r="AA478" s="36"/>
      <c r="AB478" s="35"/>
      <c r="AC478" s="34"/>
      <c r="AD478" s="55"/>
      <c r="AE478" s="33"/>
      <c r="AG478" s="32"/>
      <c r="AH478" s="31"/>
      <c r="AI478" s="30"/>
      <c r="AJ478" s="5492">
        <f t="shared" si="157"/>
        <v>0</v>
      </c>
      <c r="AK478" s="29">
        <f t="shared" si="158"/>
        <v>0</v>
      </c>
      <c r="AL478" s="28" t="str">
        <f t="shared" si="159"/>
        <v/>
      </c>
      <c r="AM478" s="27"/>
      <c r="AN478" s="26">
        <f t="shared" si="160"/>
        <v>0</v>
      </c>
      <c r="AO478" s="25">
        <f t="shared" si="161"/>
        <v>0</v>
      </c>
      <c r="AP478" s="24">
        <f t="shared" si="162"/>
        <v>0</v>
      </c>
      <c r="AQ478" s="23"/>
      <c r="AR478" s="22">
        <f t="shared" si="163"/>
        <v>0</v>
      </c>
      <c r="AS478" s="21"/>
      <c r="AT478" s="13"/>
      <c r="AU478" s="46">
        <f t="shared" si="164"/>
        <v>0</v>
      </c>
      <c r="BL478" s="20" t="str">
        <f t="shared" si="156"/>
        <v>►</v>
      </c>
      <c r="CO478" s="5">
        <v>1</v>
      </c>
    </row>
    <row r="479" spans="1:93" ht="17.25">
      <c r="A479" s="20" t="str">
        <f t="shared" si="165"/>
        <v>►</v>
      </c>
      <c r="B479" s="43" t="str">
        <f t="shared" si="150"/>
        <v>►</v>
      </c>
      <c r="C479" s="45" t="str">
        <f t="shared" si="151"/>
        <v>►</v>
      </c>
      <c r="D479" s="44" t="str">
        <f t="shared" si="152"/>
        <v>►</v>
      </c>
      <c r="E479" s="43" t="str">
        <f t="shared" si="153"/>
        <v>►</v>
      </c>
      <c r="F479" s="43" t="str">
        <f t="shared" si="154"/>
        <v>►</v>
      </c>
      <c r="G479" s="43" t="str">
        <f t="shared" si="155"/>
        <v>►</v>
      </c>
      <c r="H479" s="1256" t="s">
        <v>1</v>
      </c>
      <c r="I479" s="5175" t="s">
        <v>1</v>
      </c>
      <c r="J479" s="5161"/>
      <c r="K479" s="5161"/>
      <c r="L479" s="5161"/>
      <c r="M479" s="5176"/>
      <c r="N479" s="5177"/>
      <c r="O479" s="147"/>
      <c r="P479" s="147"/>
      <c r="Q479" s="102"/>
      <c r="R479" s="102"/>
      <c r="S479" s="1360"/>
      <c r="T479" s="43"/>
      <c r="U479" s="42"/>
      <c r="V479" s="41"/>
      <c r="W479" s="40"/>
      <c r="X479" s="39"/>
      <c r="Y479" s="38"/>
      <c r="Z479" s="37"/>
      <c r="AA479" s="36"/>
      <c r="AB479" s="35"/>
      <c r="AC479" s="34"/>
      <c r="AD479" s="55"/>
      <c r="AE479" s="33"/>
      <c r="AG479" s="32"/>
      <c r="AH479" s="31"/>
      <c r="AI479" s="30"/>
      <c r="AJ479" s="5492">
        <f t="shared" si="157"/>
        <v>0</v>
      </c>
      <c r="AK479" s="54">
        <f t="shared" si="158"/>
        <v>0</v>
      </c>
      <c r="AL479" s="53" t="str">
        <f t="shared" si="159"/>
        <v/>
      </c>
      <c r="AM479" s="52"/>
      <c r="AN479" s="51">
        <f t="shared" si="160"/>
        <v>0</v>
      </c>
      <c r="AO479" s="50">
        <f t="shared" si="161"/>
        <v>0</v>
      </c>
      <c r="AP479" s="49">
        <f t="shared" si="162"/>
        <v>0</v>
      </c>
      <c r="AQ479" s="23"/>
      <c r="AR479" s="48">
        <f t="shared" si="163"/>
        <v>0</v>
      </c>
      <c r="AS479" s="47"/>
      <c r="AT479" s="13"/>
      <c r="AU479" s="46">
        <f t="shared" si="164"/>
        <v>0</v>
      </c>
      <c r="BL479" s="20" t="str">
        <f t="shared" si="156"/>
        <v>►</v>
      </c>
      <c r="CO479" s="5">
        <v>1</v>
      </c>
    </row>
    <row r="480" spans="1:93" ht="17.25">
      <c r="A480" s="20" t="str">
        <f t="shared" si="165"/>
        <v>►</v>
      </c>
      <c r="B480" s="43" t="str">
        <f t="shared" si="150"/>
        <v>►</v>
      </c>
      <c r="C480" s="45" t="str">
        <f t="shared" si="151"/>
        <v>►</v>
      </c>
      <c r="D480" s="44" t="str">
        <f t="shared" si="152"/>
        <v>►</v>
      </c>
      <c r="E480" s="43" t="str">
        <f t="shared" si="153"/>
        <v>►</v>
      </c>
      <c r="F480" s="43" t="str">
        <f t="shared" si="154"/>
        <v>►</v>
      </c>
      <c r="G480" s="43" t="str">
        <f t="shared" si="155"/>
        <v>►</v>
      </c>
      <c r="H480" s="1256" t="s">
        <v>1</v>
      </c>
      <c r="I480" s="5175" t="s">
        <v>1</v>
      </c>
      <c r="J480" s="5161"/>
      <c r="K480" s="5161"/>
      <c r="L480" s="5161"/>
      <c r="M480" s="5176"/>
      <c r="N480" s="5177"/>
      <c r="O480" s="147"/>
      <c r="P480" s="147"/>
      <c r="Q480" s="102"/>
      <c r="R480" s="102"/>
      <c r="S480" s="1360"/>
      <c r="T480" s="43"/>
      <c r="U480" s="42"/>
      <c r="V480" s="41"/>
      <c r="W480" s="40"/>
      <c r="X480" s="39"/>
      <c r="Y480" s="38"/>
      <c r="Z480" s="37"/>
      <c r="AA480" s="36"/>
      <c r="AB480" s="35"/>
      <c r="AC480" s="34"/>
      <c r="AD480" s="55"/>
      <c r="AE480" s="33"/>
      <c r="AG480" s="32"/>
      <c r="AH480" s="31"/>
      <c r="AI480" s="30"/>
      <c r="AJ480" s="5492">
        <f t="shared" si="157"/>
        <v>0</v>
      </c>
      <c r="AK480" s="29">
        <f t="shared" si="158"/>
        <v>0</v>
      </c>
      <c r="AL480" s="28" t="str">
        <f t="shared" si="159"/>
        <v/>
      </c>
      <c r="AM480" s="27"/>
      <c r="AN480" s="26">
        <f t="shared" si="160"/>
        <v>0</v>
      </c>
      <c r="AO480" s="25">
        <f t="shared" si="161"/>
        <v>0</v>
      </c>
      <c r="AP480" s="24">
        <f t="shared" si="162"/>
        <v>0</v>
      </c>
      <c r="AQ480" s="23"/>
      <c r="AR480" s="22">
        <f t="shared" si="163"/>
        <v>0</v>
      </c>
      <c r="AS480" s="21"/>
      <c r="AT480" s="13"/>
      <c r="AU480" s="46">
        <f t="shared" si="164"/>
        <v>0</v>
      </c>
      <c r="BL480" s="20" t="str">
        <f t="shared" si="156"/>
        <v>►</v>
      </c>
      <c r="CO480" s="5">
        <v>1</v>
      </c>
    </row>
    <row r="481" spans="1:93" ht="17.25">
      <c r="A481" s="20" t="str">
        <f t="shared" si="165"/>
        <v>►</v>
      </c>
      <c r="B481" s="43" t="str">
        <f t="shared" si="150"/>
        <v>►</v>
      </c>
      <c r="C481" s="45" t="str">
        <f t="shared" si="151"/>
        <v>►</v>
      </c>
      <c r="D481" s="44" t="str">
        <f t="shared" si="152"/>
        <v>►</v>
      </c>
      <c r="E481" s="43" t="str">
        <f t="shared" si="153"/>
        <v>►</v>
      </c>
      <c r="F481" s="43" t="str">
        <f t="shared" si="154"/>
        <v>►</v>
      </c>
      <c r="G481" s="43" t="str">
        <f t="shared" si="155"/>
        <v>►</v>
      </c>
      <c r="H481" s="1256" t="s">
        <v>1</v>
      </c>
      <c r="I481" s="5175" t="s">
        <v>1</v>
      </c>
      <c r="J481" s="5161"/>
      <c r="K481" s="5161"/>
      <c r="L481" s="5161"/>
      <c r="M481" s="5176"/>
      <c r="N481" s="5177"/>
      <c r="O481" s="147"/>
      <c r="P481" s="147"/>
      <c r="Q481" s="102"/>
      <c r="R481" s="102"/>
      <c r="S481" s="1360"/>
      <c r="T481" s="43"/>
      <c r="U481" s="42"/>
      <c r="V481" s="41"/>
      <c r="W481" s="40"/>
      <c r="X481" s="39"/>
      <c r="Y481" s="38"/>
      <c r="Z481" s="37"/>
      <c r="AA481" s="36"/>
      <c r="AB481" s="35"/>
      <c r="AC481" s="34"/>
      <c r="AD481" s="55"/>
      <c r="AE481" s="33"/>
      <c r="AG481" s="32"/>
      <c r="AH481" s="31"/>
      <c r="AI481" s="30"/>
      <c r="AJ481" s="5492">
        <f t="shared" si="157"/>
        <v>0</v>
      </c>
      <c r="AK481" s="54">
        <f t="shared" si="158"/>
        <v>0</v>
      </c>
      <c r="AL481" s="53" t="str">
        <f t="shared" si="159"/>
        <v/>
      </c>
      <c r="AM481" s="52"/>
      <c r="AN481" s="51">
        <f t="shared" si="160"/>
        <v>0</v>
      </c>
      <c r="AO481" s="50">
        <f t="shared" si="161"/>
        <v>0</v>
      </c>
      <c r="AP481" s="49">
        <f t="shared" si="162"/>
        <v>0</v>
      </c>
      <c r="AQ481" s="23"/>
      <c r="AR481" s="48">
        <f t="shared" si="163"/>
        <v>0</v>
      </c>
      <c r="AS481" s="47"/>
      <c r="AT481" s="13"/>
      <c r="AU481" s="46">
        <f t="shared" si="164"/>
        <v>0</v>
      </c>
      <c r="BL481" s="20" t="str">
        <f t="shared" si="156"/>
        <v>►</v>
      </c>
      <c r="CO481" s="5">
        <v>1</v>
      </c>
    </row>
    <row r="482" spans="1:93" ht="17.25">
      <c r="A482" s="20" t="str">
        <f t="shared" si="165"/>
        <v>►</v>
      </c>
      <c r="B482" s="43" t="str">
        <f t="shared" si="150"/>
        <v>►</v>
      </c>
      <c r="C482" s="45" t="str">
        <f t="shared" si="151"/>
        <v>►</v>
      </c>
      <c r="D482" s="44" t="str">
        <f t="shared" si="152"/>
        <v>►</v>
      </c>
      <c r="E482" s="43" t="str">
        <f t="shared" si="153"/>
        <v>►</v>
      </c>
      <c r="F482" s="43" t="str">
        <f t="shared" si="154"/>
        <v>►</v>
      </c>
      <c r="G482" s="43" t="str">
        <f t="shared" si="155"/>
        <v>►</v>
      </c>
      <c r="H482" s="1256" t="s">
        <v>1</v>
      </c>
      <c r="I482" s="5175" t="s">
        <v>1</v>
      </c>
      <c r="J482" s="5161"/>
      <c r="K482" s="5161"/>
      <c r="L482" s="5161"/>
      <c r="M482" s="5176"/>
      <c r="N482" s="5177"/>
      <c r="O482" s="147"/>
      <c r="P482" s="147"/>
      <c r="Q482" s="102"/>
      <c r="R482" s="102"/>
      <c r="S482" s="1360"/>
      <c r="T482" s="43"/>
      <c r="U482" s="42"/>
      <c r="V482" s="41"/>
      <c r="W482" s="40"/>
      <c r="X482" s="39"/>
      <c r="Y482" s="38"/>
      <c r="Z482" s="37"/>
      <c r="AA482" s="36"/>
      <c r="AB482" s="35"/>
      <c r="AC482" s="34"/>
      <c r="AD482" s="55"/>
      <c r="AE482" s="33"/>
      <c r="AG482" s="32"/>
      <c r="AH482" s="31"/>
      <c r="AI482" s="30"/>
      <c r="AJ482" s="5492">
        <f t="shared" si="157"/>
        <v>0</v>
      </c>
      <c r="AK482" s="29">
        <f t="shared" si="158"/>
        <v>0</v>
      </c>
      <c r="AL482" s="28" t="str">
        <f t="shared" si="159"/>
        <v/>
      </c>
      <c r="AM482" s="27"/>
      <c r="AN482" s="26">
        <f t="shared" si="160"/>
        <v>0</v>
      </c>
      <c r="AO482" s="25">
        <f t="shared" si="161"/>
        <v>0</v>
      </c>
      <c r="AP482" s="24">
        <f t="shared" si="162"/>
        <v>0</v>
      </c>
      <c r="AQ482" s="23"/>
      <c r="AR482" s="22">
        <f t="shared" si="163"/>
        <v>0</v>
      </c>
      <c r="AS482" s="21"/>
      <c r="AT482" s="13"/>
      <c r="AU482" s="46">
        <f t="shared" si="164"/>
        <v>0</v>
      </c>
      <c r="BL482" s="20" t="str">
        <f t="shared" si="156"/>
        <v>►</v>
      </c>
      <c r="CO482" s="5">
        <v>1</v>
      </c>
    </row>
    <row r="483" spans="1:93" ht="17.25">
      <c r="A483" s="20" t="str">
        <f t="shared" si="165"/>
        <v>►</v>
      </c>
      <c r="B483" s="43" t="str">
        <f t="shared" si="150"/>
        <v>►</v>
      </c>
      <c r="C483" s="45" t="str">
        <f t="shared" si="151"/>
        <v>►</v>
      </c>
      <c r="D483" s="44" t="str">
        <f t="shared" si="152"/>
        <v>►</v>
      </c>
      <c r="E483" s="43" t="str">
        <f t="shared" si="153"/>
        <v>►</v>
      </c>
      <c r="F483" s="43" t="str">
        <f t="shared" si="154"/>
        <v>►</v>
      </c>
      <c r="G483" s="43" t="str">
        <f t="shared" si="155"/>
        <v>►</v>
      </c>
      <c r="H483" s="1256" t="s">
        <v>1</v>
      </c>
      <c r="I483" s="5175" t="s">
        <v>1</v>
      </c>
      <c r="J483" s="5161"/>
      <c r="K483" s="5161"/>
      <c r="L483" s="5161"/>
      <c r="M483" s="5176"/>
      <c r="N483" s="5177"/>
      <c r="O483" s="147"/>
      <c r="P483" s="147"/>
      <c r="Q483" s="102"/>
      <c r="R483" s="102"/>
      <c r="S483" s="1360"/>
      <c r="T483" s="43"/>
      <c r="U483" s="42"/>
      <c r="V483" s="41"/>
      <c r="W483" s="40"/>
      <c r="X483" s="39"/>
      <c r="Y483" s="38"/>
      <c r="Z483" s="37"/>
      <c r="AA483" s="36"/>
      <c r="AB483" s="35"/>
      <c r="AC483" s="34"/>
      <c r="AD483" s="55"/>
      <c r="AE483" s="33"/>
      <c r="AG483" s="32"/>
      <c r="AH483" s="31"/>
      <c r="AI483" s="30"/>
      <c r="AJ483" s="5492">
        <f t="shared" si="157"/>
        <v>0</v>
      </c>
      <c r="AK483" s="54">
        <f t="shared" si="158"/>
        <v>0</v>
      </c>
      <c r="AL483" s="53" t="str">
        <f t="shared" si="159"/>
        <v/>
      </c>
      <c r="AM483" s="52"/>
      <c r="AN483" s="51">
        <f t="shared" si="160"/>
        <v>0</v>
      </c>
      <c r="AO483" s="50">
        <f t="shared" si="161"/>
        <v>0</v>
      </c>
      <c r="AP483" s="49">
        <f t="shared" si="162"/>
        <v>0</v>
      </c>
      <c r="AQ483" s="23"/>
      <c r="AR483" s="48">
        <f t="shared" si="163"/>
        <v>0</v>
      </c>
      <c r="AS483" s="47"/>
      <c r="AT483" s="13"/>
      <c r="AU483" s="46">
        <f t="shared" si="164"/>
        <v>0</v>
      </c>
      <c r="BL483" s="20" t="str">
        <f t="shared" si="156"/>
        <v>►</v>
      </c>
      <c r="CO483" s="5">
        <v>1</v>
      </c>
    </row>
    <row r="484" spans="1:93" ht="17.25">
      <c r="A484" s="20" t="str">
        <f t="shared" si="165"/>
        <v>►</v>
      </c>
      <c r="B484" s="43" t="str">
        <f t="shared" si="150"/>
        <v>►</v>
      </c>
      <c r="C484" s="45" t="str">
        <f t="shared" si="151"/>
        <v>►</v>
      </c>
      <c r="D484" s="44" t="str">
        <f t="shared" si="152"/>
        <v>►</v>
      </c>
      <c r="E484" s="43" t="str">
        <f t="shared" si="153"/>
        <v>►</v>
      </c>
      <c r="F484" s="43" t="str">
        <f t="shared" si="154"/>
        <v>►</v>
      </c>
      <c r="G484" s="43" t="str">
        <f t="shared" si="155"/>
        <v>►</v>
      </c>
      <c r="H484" s="1256" t="s">
        <v>1</v>
      </c>
      <c r="I484" s="5175" t="s">
        <v>1</v>
      </c>
      <c r="J484" s="5161"/>
      <c r="K484" s="5161"/>
      <c r="L484" s="5161"/>
      <c r="M484" s="5176"/>
      <c r="N484" s="5177"/>
      <c r="O484" s="147"/>
      <c r="P484" s="147"/>
      <c r="Q484" s="102"/>
      <c r="R484" s="102"/>
      <c r="S484" s="1360"/>
      <c r="T484" s="43"/>
      <c r="U484" s="42"/>
      <c r="V484" s="41"/>
      <c r="W484" s="40"/>
      <c r="X484" s="39"/>
      <c r="Y484" s="38"/>
      <c r="Z484" s="37"/>
      <c r="AA484" s="36"/>
      <c r="AB484" s="35"/>
      <c r="AC484" s="34"/>
      <c r="AD484" s="55"/>
      <c r="AE484" s="33"/>
      <c r="AG484" s="32"/>
      <c r="AH484" s="31"/>
      <c r="AI484" s="30"/>
      <c r="AJ484" s="5492">
        <f t="shared" si="157"/>
        <v>0</v>
      </c>
      <c r="AK484" s="29">
        <f t="shared" si="158"/>
        <v>0</v>
      </c>
      <c r="AL484" s="28" t="str">
        <f t="shared" si="159"/>
        <v/>
      </c>
      <c r="AM484" s="27"/>
      <c r="AN484" s="26">
        <f t="shared" si="160"/>
        <v>0</v>
      </c>
      <c r="AO484" s="25">
        <f t="shared" si="161"/>
        <v>0</v>
      </c>
      <c r="AP484" s="24">
        <f t="shared" si="162"/>
        <v>0</v>
      </c>
      <c r="AQ484" s="23"/>
      <c r="AR484" s="22">
        <f t="shared" si="163"/>
        <v>0</v>
      </c>
      <c r="AS484" s="21"/>
      <c r="AT484" s="13"/>
      <c r="AU484" s="46">
        <f t="shared" si="164"/>
        <v>0</v>
      </c>
      <c r="BL484" s="20" t="str">
        <f t="shared" si="156"/>
        <v>►</v>
      </c>
      <c r="CO484" s="5">
        <v>1</v>
      </c>
    </row>
    <row r="485" spans="1:93" ht="17.25">
      <c r="A485" s="20" t="str">
        <f t="shared" si="165"/>
        <v>►</v>
      </c>
      <c r="B485" s="43" t="str">
        <f t="shared" si="150"/>
        <v>►</v>
      </c>
      <c r="C485" s="45" t="str">
        <f t="shared" si="151"/>
        <v>►</v>
      </c>
      <c r="D485" s="44" t="str">
        <f t="shared" si="152"/>
        <v>►</v>
      </c>
      <c r="E485" s="43" t="str">
        <f t="shared" si="153"/>
        <v>►</v>
      </c>
      <c r="F485" s="43" t="str">
        <f t="shared" si="154"/>
        <v>►</v>
      </c>
      <c r="G485" s="43" t="str">
        <f t="shared" si="155"/>
        <v>►</v>
      </c>
      <c r="H485" s="1256" t="s">
        <v>1</v>
      </c>
      <c r="I485" s="5175" t="s">
        <v>1</v>
      </c>
      <c r="J485" s="5161"/>
      <c r="K485" s="5161"/>
      <c r="L485" s="5161"/>
      <c r="M485" s="5176"/>
      <c r="N485" s="5177"/>
      <c r="O485" s="147"/>
      <c r="P485" s="147"/>
      <c r="Q485" s="102"/>
      <c r="R485" s="102"/>
      <c r="S485" s="1360"/>
      <c r="T485" s="43"/>
      <c r="U485" s="42"/>
      <c r="V485" s="41"/>
      <c r="W485" s="40"/>
      <c r="X485" s="39"/>
      <c r="Y485" s="38"/>
      <c r="Z485" s="37"/>
      <c r="AA485" s="36"/>
      <c r="AB485" s="35"/>
      <c r="AC485" s="34"/>
      <c r="AD485" s="55"/>
      <c r="AE485" s="33"/>
      <c r="AG485" s="32"/>
      <c r="AH485" s="31"/>
      <c r="AI485" s="30"/>
      <c r="AJ485" s="5492">
        <f t="shared" si="157"/>
        <v>0</v>
      </c>
      <c r="AK485" s="54">
        <f t="shared" si="158"/>
        <v>0</v>
      </c>
      <c r="AL485" s="53" t="str">
        <f t="shared" si="159"/>
        <v/>
      </c>
      <c r="AM485" s="52"/>
      <c r="AN485" s="51">
        <f t="shared" si="160"/>
        <v>0</v>
      </c>
      <c r="AO485" s="50">
        <f t="shared" si="161"/>
        <v>0</v>
      </c>
      <c r="AP485" s="49">
        <f t="shared" si="162"/>
        <v>0</v>
      </c>
      <c r="AQ485" s="23"/>
      <c r="AR485" s="48">
        <f t="shared" si="163"/>
        <v>0</v>
      </c>
      <c r="AS485" s="47"/>
      <c r="AT485" s="13"/>
      <c r="AU485" s="46">
        <f t="shared" si="164"/>
        <v>0</v>
      </c>
      <c r="BL485" s="20" t="str">
        <f t="shared" si="156"/>
        <v>►</v>
      </c>
      <c r="CO485" s="5">
        <v>1</v>
      </c>
    </row>
    <row r="486" spans="1:93" ht="17.25">
      <c r="A486" s="20" t="str">
        <f t="shared" si="165"/>
        <v>►</v>
      </c>
      <c r="B486" s="43" t="str">
        <f t="shared" si="150"/>
        <v>►</v>
      </c>
      <c r="C486" s="45" t="str">
        <f t="shared" si="151"/>
        <v>►</v>
      </c>
      <c r="D486" s="44" t="str">
        <f t="shared" si="152"/>
        <v>►</v>
      </c>
      <c r="E486" s="43" t="str">
        <f t="shared" si="153"/>
        <v>►</v>
      </c>
      <c r="F486" s="43" t="str">
        <f t="shared" si="154"/>
        <v>►</v>
      </c>
      <c r="G486" s="43" t="str">
        <f t="shared" si="155"/>
        <v>►</v>
      </c>
      <c r="H486" s="1256" t="s">
        <v>1</v>
      </c>
      <c r="I486" s="5175" t="s">
        <v>1</v>
      </c>
      <c r="J486" s="5161"/>
      <c r="K486" s="5161"/>
      <c r="L486" s="5161"/>
      <c r="M486" s="5176"/>
      <c r="N486" s="5177"/>
      <c r="O486" s="147"/>
      <c r="P486" s="147"/>
      <c r="Q486" s="102"/>
      <c r="R486" s="102"/>
      <c r="S486" s="1360"/>
      <c r="T486" s="43"/>
      <c r="U486" s="42"/>
      <c r="V486" s="41"/>
      <c r="W486" s="40"/>
      <c r="X486" s="39"/>
      <c r="Y486" s="38"/>
      <c r="Z486" s="37"/>
      <c r="AA486" s="36"/>
      <c r="AB486" s="35"/>
      <c r="AC486" s="34"/>
      <c r="AD486" s="55"/>
      <c r="AE486" s="33"/>
      <c r="AG486" s="32"/>
      <c r="AH486" s="31"/>
      <c r="AI486" s="30"/>
      <c r="AJ486" s="5492">
        <f t="shared" si="157"/>
        <v>0</v>
      </c>
      <c r="AK486" s="29">
        <f t="shared" si="158"/>
        <v>0</v>
      </c>
      <c r="AL486" s="28" t="str">
        <f t="shared" si="159"/>
        <v/>
      </c>
      <c r="AM486" s="27"/>
      <c r="AN486" s="26">
        <f t="shared" si="160"/>
        <v>0</v>
      </c>
      <c r="AO486" s="25">
        <f t="shared" si="161"/>
        <v>0</v>
      </c>
      <c r="AP486" s="24">
        <f t="shared" si="162"/>
        <v>0</v>
      </c>
      <c r="AQ486" s="23"/>
      <c r="AR486" s="22">
        <f t="shared" si="163"/>
        <v>0</v>
      </c>
      <c r="AS486" s="21"/>
      <c r="AT486" s="13"/>
      <c r="AU486" s="46">
        <f t="shared" si="164"/>
        <v>0</v>
      </c>
      <c r="BL486" s="20" t="str">
        <f t="shared" si="156"/>
        <v>►</v>
      </c>
      <c r="CO486" s="5">
        <v>1</v>
      </c>
    </row>
    <row r="487" spans="1:93" ht="17.25">
      <c r="A487" s="20" t="str">
        <f t="shared" si="165"/>
        <v>►</v>
      </c>
      <c r="B487" s="43" t="str">
        <f t="shared" si="150"/>
        <v>►</v>
      </c>
      <c r="C487" s="45" t="str">
        <f t="shared" si="151"/>
        <v>►</v>
      </c>
      <c r="D487" s="44" t="str">
        <f t="shared" si="152"/>
        <v>►</v>
      </c>
      <c r="E487" s="43" t="str">
        <f t="shared" si="153"/>
        <v>►</v>
      </c>
      <c r="F487" s="43" t="str">
        <f t="shared" si="154"/>
        <v>►</v>
      </c>
      <c r="G487" s="43" t="str">
        <f t="shared" si="155"/>
        <v>►</v>
      </c>
      <c r="H487" s="1256" t="s">
        <v>1</v>
      </c>
      <c r="I487" s="5175" t="s">
        <v>1</v>
      </c>
      <c r="J487" s="5161"/>
      <c r="K487" s="5161"/>
      <c r="L487" s="5161"/>
      <c r="M487" s="5176"/>
      <c r="N487" s="5177"/>
      <c r="O487" s="147"/>
      <c r="P487" s="147"/>
      <c r="Q487" s="102"/>
      <c r="R487" s="102"/>
      <c r="S487" s="1360"/>
      <c r="T487" s="43"/>
      <c r="U487" s="42"/>
      <c r="V487" s="41"/>
      <c r="W487" s="40"/>
      <c r="X487" s="39"/>
      <c r="Y487" s="38"/>
      <c r="Z487" s="37"/>
      <c r="AA487" s="36"/>
      <c r="AB487" s="35"/>
      <c r="AC487" s="34"/>
      <c r="AD487" s="55"/>
      <c r="AE487" s="33"/>
      <c r="AG487" s="32"/>
      <c r="AH487" s="31"/>
      <c r="AI487" s="30"/>
      <c r="AJ487" s="5492">
        <f t="shared" si="157"/>
        <v>0</v>
      </c>
      <c r="AK487" s="54">
        <f t="shared" si="158"/>
        <v>0</v>
      </c>
      <c r="AL487" s="53" t="str">
        <f t="shared" si="159"/>
        <v/>
      </c>
      <c r="AM487" s="52"/>
      <c r="AN487" s="51">
        <f t="shared" si="160"/>
        <v>0</v>
      </c>
      <c r="AO487" s="50">
        <f t="shared" si="161"/>
        <v>0</v>
      </c>
      <c r="AP487" s="49">
        <f t="shared" si="162"/>
        <v>0</v>
      </c>
      <c r="AQ487" s="23"/>
      <c r="AR487" s="48">
        <f t="shared" si="163"/>
        <v>0</v>
      </c>
      <c r="AS487" s="47"/>
      <c r="AT487" s="13"/>
      <c r="AU487" s="46">
        <f t="shared" si="164"/>
        <v>0</v>
      </c>
      <c r="BL487" s="20" t="str">
        <f t="shared" si="156"/>
        <v>►</v>
      </c>
      <c r="CO487" s="5">
        <v>1</v>
      </c>
    </row>
    <row r="488" spans="1:93" ht="17.25">
      <c r="A488" s="20" t="str">
        <f t="shared" si="165"/>
        <v>►</v>
      </c>
      <c r="B488" s="43" t="str">
        <f t="shared" si="150"/>
        <v>►</v>
      </c>
      <c r="C488" s="45" t="str">
        <f t="shared" si="151"/>
        <v>►</v>
      </c>
      <c r="D488" s="44" t="str">
        <f t="shared" si="152"/>
        <v>►</v>
      </c>
      <c r="E488" s="43" t="str">
        <f t="shared" si="153"/>
        <v>►</v>
      </c>
      <c r="F488" s="43" t="str">
        <f t="shared" si="154"/>
        <v>►</v>
      </c>
      <c r="G488" s="43" t="str">
        <f t="shared" si="155"/>
        <v>►</v>
      </c>
      <c r="H488" s="1256" t="s">
        <v>1</v>
      </c>
      <c r="I488" s="5175" t="s">
        <v>1</v>
      </c>
      <c r="J488" s="5161"/>
      <c r="K488" s="5161"/>
      <c r="L488" s="5161"/>
      <c r="M488" s="5176"/>
      <c r="N488" s="5177"/>
      <c r="O488" s="147"/>
      <c r="P488" s="147"/>
      <c r="Q488" s="102"/>
      <c r="R488" s="102"/>
      <c r="S488" s="1360"/>
      <c r="T488" s="43"/>
      <c r="U488" s="42"/>
      <c r="V488" s="41"/>
      <c r="W488" s="40"/>
      <c r="X488" s="39"/>
      <c r="Y488" s="38"/>
      <c r="Z488" s="37"/>
      <c r="AA488" s="36"/>
      <c r="AB488" s="35"/>
      <c r="AC488" s="34"/>
      <c r="AD488" s="55"/>
      <c r="AE488" s="33"/>
      <c r="AG488" s="32"/>
      <c r="AH488" s="31"/>
      <c r="AI488" s="30"/>
      <c r="AJ488" s="5492">
        <f t="shared" si="157"/>
        <v>0</v>
      </c>
      <c r="AK488" s="29">
        <f t="shared" si="158"/>
        <v>0</v>
      </c>
      <c r="AL488" s="28" t="str">
        <f t="shared" si="159"/>
        <v/>
      </c>
      <c r="AM488" s="27"/>
      <c r="AN488" s="26">
        <f t="shared" si="160"/>
        <v>0</v>
      </c>
      <c r="AO488" s="25">
        <f t="shared" si="161"/>
        <v>0</v>
      </c>
      <c r="AP488" s="24">
        <f t="shared" si="162"/>
        <v>0</v>
      </c>
      <c r="AQ488" s="23"/>
      <c r="AR488" s="22">
        <f t="shared" si="163"/>
        <v>0</v>
      </c>
      <c r="AS488" s="21"/>
      <c r="AT488" s="13"/>
      <c r="AU488" s="46">
        <f t="shared" si="164"/>
        <v>0</v>
      </c>
      <c r="BL488" s="20" t="str">
        <f t="shared" si="156"/>
        <v>►</v>
      </c>
      <c r="CO488" s="5">
        <v>1</v>
      </c>
    </row>
    <row r="489" spans="1:93" ht="17.25">
      <c r="A489" s="20" t="str">
        <f t="shared" si="165"/>
        <v>►</v>
      </c>
      <c r="B489" s="43" t="str">
        <f t="shared" si="150"/>
        <v>►</v>
      </c>
      <c r="C489" s="45" t="str">
        <f t="shared" si="151"/>
        <v>►</v>
      </c>
      <c r="D489" s="44" t="str">
        <f t="shared" si="152"/>
        <v>►</v>
      </c>
      <c r="E489" s="43" t="str">
        <f t="shared" si="153"/>
        <v>►</v>
      </c>
      <c r="F489" s="43" t="str">
        <f t="shared" si="154"/>
        <v>►</v>
      </c>
      <c r="G489" s="43" t="str">
        <f t="shared" si="155"/>
        <v>►</v>
      </c>
      <c r="H489" s="1256" t="s">
        <v>1</v>
      </c>
      <c r="I489" s="5175" t="s">
        <v>1</v>
      </c>
      <c r="J489" s="5161"/>
      <c r="K489" s="5161"/>
      <c r="L489" s="5161"/>
      <c r="M489" s="5176"/>
      <c r="N489" s="5177"/>
      <c r="O489" s="147"/>
      <c r="P489" s="147"/>
      <c r="Q489" s="102"/>
      <c r="R489" s="102"/>
      <c r="S489" s="1360"/>
      <c r="T489" s="43"/>
      <c r="U489" s="42"/>
      <c r="V489" s="41"/>
      <c r="W489" s="40"/>
      <c r="X489" s="39"/>
      <c r="Y489" s="38"/>
      <c r="Z489" s="37"/>
      <c r="AA489" s="36"/>
      <c r="AB489" s="35"/>
      <c r="AC489" s="34"/>
      <c r="AD489" s="55"/>
      <c r="AE489" s="33"/>
      <c r="AG489" s="32"/>
      <c r="AH489" s="31"/>
      <c r="AI489" s="30"/>
      <c r="AJ489" s="5492">
        <f t="shared" si="157"/>
        <v>0</v>
      </c>
      <c r="AK489" s="54">
        <f t="shared" si="158"/>
        <v>0</v>
      </c>
      <c r="AL489" s="53" t="str">
        <f t="shared" si="159"/>
        <v/>
      </c>
      <c r="AM489" s="52"/>
      <c r="AN489" s="51">
        <f t="shared" si="160"/>
        <v>0</v>
      </c>
      <c r="AO489" s="50">
        <f t="shared" si="161"/>
        <v>0</v>
      </c>
      <c r="AP489" s="49">
        <f t="shared" si="162"/>
        <v>0</v>
      </c>
      <c r="AQ489" s="23"/>
      <c r="AR489" s="48">
        <f t="shared" si="163"/>
        <v>0</v>
      </c>
      <c r="AS489" s="47"/>
      <c r="AT489" s="13"/>
      <c r="AU489" s="46">
        <f t="shared" si="164"/>
        <v>0</v>
      </c>
      <c r="BL489" s="20" t="str">
        <f t="shared" si="156"/>
        <v>►</v>
      </c>
      <c r="CO489" s="5">
        <v>1</v>
      </c>
    </row>
    <row r="490" spans="1:93" ht="17.25">
      <c r="A490" s="20" t="str">
        <f t="shared" si="165"/>
        <v>►</v>
      </c>
      <c r="B490" s="43" t="str">
        <f t="shared" si="150"/>
        <v>►</v>
      </c>
      <c r="C490" s="45" t="str">
        <f t="shared" si="151"/>
        <v>►</v>
      </c>
      <c r="D490" s="44" t="str">
        <f t="shared" si="152"/>
        <v>►</v>
      </c>
      <c r="E490" s="43" t="str">
        <f t="shared" si="153"/>
        <v>►</v>
      </c>
      <c r="F490" s="43" t="str">
        <f t="shared" si="154"/>
        <v>►</v>
      </c>
      <c r="G490" s="43" t="str">
        <f t="shared" si="155"/>
        <v>►</v>
      </c>
      <c r="H490" s="1256" t="s">
        <v>1</v>
      </c>
      <c r="I490" s="5175" t="s">
        <v>1</v>
      </c>
      <c r="J490" s="5161"/>
      <c r="K490" s="5161"/>
      <c r="L490" s="5161"/>
      <c r="M490" s="5176"/>
      <c r="N490" s="5177"/>
      <c r="O490" s="147"/>
      <c r="P490" s="147"/>
      <c r="Q490" s="102"/>
      <c r="R490" s="102"/>
      <c r="S490" s="1360"/>
      <c r="T490" s="43"/>
      <c r="U490" s="42"/>
      <c r="V490" s="41"/>
      <c r="W490" s="40"/>
      <c r="X490" s="39"/>
      <c r="Y490" s="38"/>
      <c r="Z490" s="37"/>
      <c r="AA490" s="36"/>
      <c r="AB490" s="35"/>
      <c r="AC490" s="34"/>
      <c r="AD490" s="55"/>
      <c r="AE490" s="33"/>
      <c r="AG490" s="32"/>
      <c r="AH490" s="31"/>
      <c r="AI490" s="30"/>
      <c r="AJ490" s="5492">
        <f t="shared" si="157"/>
        <v>0</v>
      </c>
      <c r="AK490" s="29">
        <f t="shared" si="158"/>
        <v>0</v>
      </c>
      <c r="AL490" s="28" t="str">
        <f t="shared" si="159"/>
        <v/>
      </c>
      <c r="AM490" s="27"/>
      <c r="AN490" s="26">
        <f t="shared" si="160"/>
        <v>0</v>
      </c>
      <c r="AO490" s="25">
        <f t="shared" si="161"/>
        <v>0</v>
      </c>
      <c r="AP490" s="24">
        <f t="shared" si="162"/>
        <v>0</v>
      </c>
      <c r="AQ490" s="23"/>
      <c r="AR490" s="22">
        <f t="shared" si="163"/>
        <v>0</v>
      </c>
      <c r="AS490" s="21"/>
      <c r="AT490" s="13"/>
      <c r="AU490" s="46">
        <f t="shared" si="164"/>
        <v>0</v>
      </c>
      <c r="BL490" s="20" t="str">
        <f t="shared" si="156"/>
        <v>►</v>
      </c>
      <c r="CO490" s="5">
        <v>1</v>
      </c>
    </row>
    <row r="491" spans="1:93" ht="17.25">
      <c r="A491" s="20" t="str">
        <f t="shared" si="165"/>
        <v>►</v>
      </c>
      <c r="B491" s="43" t="str">
        <f t="shared" si="150"/>
        <v>►</v>
      </c>
      <c r="C491" s="45" t="str">
        <f t="shared" si="151"/>
        <v>►</v>
      </c>
      <c r="D491" s="44" t="str">
        <f t="shared" si="152"/>
        <v>►</v>
      </c>
      <c r="E491" s="43" t="str">
        <f t="shared" si="153"/>
        <v>►</v>
      </c>
      <c r="F491" s="43" t="str">
        <f t="shared" si="154"/>
        <v>►</v>
      </c>
      <c r="G491" s="43" t="str">
        <f t="shared" si="155"/>
        <v>►</v>
      </c>
      <c r="H491" s="1256" t="s">
        <v>1</v>
      </c>
      <c r="I491" s="5175" t="s">
        <v>1</v>
      </c>
      <c r="J491" s="5161"/>
      <c r="K491" s="5161"/>
      <c r="L491" s="5161"/>
      <c r="M491" s="5176"/>
      <c r="N491" s="5177"/>
      <c r="O491" s="147"/>
      <c r="P491" s="147"/>
      <c r="Q491" s="102"/>
      <c r="R491" s="102"/>
      <c r="S491" s="1360"/>
      <c r="T491" s="43"/>
      <c r="U491" s="42"/>
      <c r="V491" s="41"/>
      <c r="W491" s="40"/>
      <c r="X491" s="39"/>
      <c r="Y491" s="38"/>
      <c r="Z491" s="37"/>
      <c r="AA491" s="36"/>
      <c r="AB491" s="35"/>
      <c r="AC491" s="34"/>
      <c r="AD491" s="55"/>
      <c r="AE491" s="33"/>
      <c r="AG491" s="32"/>
      <c r="AH491" s="31"/>
      <c r="AI491" s="30"/>
      <c r="AJ491" s="5492">
        <f t="shared" si="157"/>
        <v>0</v>
      </c>
      <c r="AK491" s="54">
        <f t="shared" si="158"/>
        <v>0</v>
      </c>
      <c r="AL491" s="53" t="str">
        <f t="shared" si="159"/>
        <v/>
      </c>
      <c r="AM491" s="52"/>
      <c r="AN491" s="51">
        <f t="shared" si="160"/>
        <v>0</v>
      </c>
      <c r="AO491" s="50">
        <f t="shared" si="161"/>
        <v>0</v>
      </c>
      <c r="AP491" s="49">
        <f t="shared" si="162"/>
        <v>0</v>
      </c>
      <c r="AQ491" s="23"/>
      <c r="AR491" s="48">
        <f t="shared" si="163"/>
        <v>0</v>
      </c>
      <c r="AS491" s="47"/>
      <c r="AT491" s="13"/>
      <c r="AU491" s="46">
        <f t="shared" si="164"/>
        <v>0</v>
      </c>
      <c r="BL491" s="20" t="str">
        <f t="shared" si="156"/>
        <v>►</v>
      </c>
      <c r="CO491" s="5">
        <v>1</v>
      </c>
    </row>
    <row r="492" spans="1:93" ht="17.25">
      <c r="A492" s="20" t="str">
        <f t="shared" si="165"/>
        <v>►</v>
      </c>
      <c r="B492" s="43" t="str">
        <f t="shared" si="150"/>
        <v>►</v>
      </c>
      <c r="C492" s="45" t="str">
        <f t="shared" si="151"/>
        <v>►</v>
      </c>
      <c r="D492" s="44" t="str">
        <f t="shared" si="152"/>
        <v>►</v>
      </c>
      <c r="E492" s="43" t="str">
        <f t="shared" si="153"/>
        <v>►</v>
      </c>
      <c r="F492" s="43" t="str">
        <f t="shared" si="154"/>
        <v>►</v>
      </c>
      <c r="G492" s="43" t="str">
        <f t="shared" si="155"/>
        <v>►</v>
      </c>
      <c r="H492" s="1256" t="s">
        <v>1</v>
      </c>
      <c r="I492" s="5175" t="s">
        <v>1</v>
      </c>
      <c r="J492" s="5161"/>
      <c r="K492" s="5161"/>
      <c r="L492" s="5161"/>
      <c r="M492" s="5176"/>
      <c r="N492" s="5177"/>
      <c r="O492" s="147"/>
      <c r="P492" s="147"/>
      <c r="Q492" s="102"/>
      <c r="R492" s="102"/>
      <c r="S492" s="1360"/>
      <c r="T492" s="43"/>
      <c r="U492" s="42"/>
      <c r="V492" s="41"/>
      <c r="W492" s="40"/>
      <c r="X492" s="39"/>
      <c r="Y492" s="38"/>
      <c r="Z492" s="37"/>
      <c r="AA492" s="36"/>
      <c r="AB492" s="35"/>
      <c r="AC492" s="34"/>
      <c r="AD492" s="55"/>
      <c r="AE492" s="33"/>
      <c r="AG492" s="32"/>
      <c r="AH492" s="31"/>
      <c r="AI492" s="30"/>
      <c r="AJ492" s="5492">
        <f t="shared" si="157"/>
        <v>0</v>
      </c>
      <c r="AK492" s="29">
        <f t="shared" si="158"/>
        <v>0</v>
      </c>
      <c r="AL492" s="28" t="str">
        <f t="shared" si="159"/>
        <v/>
      </c>
      <c r="AM492" s="27"/>
      <c r="AN492" s="26">
        <f t="shared" si="160"/>
        <v>0</v>
      </c>
      <c r="AO492" s="25">
        <f t="shared" si="161"/>
        <v>0</v>
      </c>
      <c r="AP492" s="24">
        <f t="shared" si="162"/>
        <v>0</v>
      </c>
      <c r="AQ492" s="23"/>
      <c r="AR492" s="22">
        <f t="shared" si="163"/>
        <v>0</v>
      </c>
      <c r="AS492" s="21"/>
      <c r="AT492" s="13"/>
      <c r="AU492" s="46">
        <f t="shared" si="164"/>
        <v>0</v>
      </c>
      <c r="BL492" s="20" t="str">
        <f t="shared" si="156"/>
        <v>►</v>
      </c>
      <c r="CO492" s="5">
        <v>1</v>
      </c>
    </row>
    <row r="493" spans="1:93" ht="17.25">
      <c r="A493" s="20" t="str">
        <f t="shared" si="165"/>
        <v>►</v>
      </c>
      <c r="B493" s="43" t="str">
        <f t="shared" si="150"/>
        <v>►</v>
      </c>
      <c r="C493" s="45" t="str">
        <f t="shared" si="151"/>
        <v>►</v>
      </c>
      <c r="D493" s="44" t="str">
        <f t="shared" si="152"/>
        <v>►</v>
      </c>
      <c r="E493" s="43" t="str">
        <f t="shared" si="153"/>
        <v>►</v>
      </c>
      <c r="F493" s="43" t="str">
        <f t="shared" si="154"/>
        <v>►</v>
      </c>
      <c r="G493" s="43" t="str">
        <f t="shared" si="155"/>
        <v>►</v>
      </c>
      <c r="H493" s="1256" t="s">
        <v>1</v>
      </c>
      <c r="I493" s="5175" t="s">
        <v>1</v>
      </c>
      <c r="J493" s="5161"/>
      <c r="K493" s="5161"/>
      <c r="L493" s="5161"/>
      <c r="M493" s="5176"/>
      <c r="N493" s="5177"/>
      <c r="O493" s="147"/>
      <c r="P493" s="147"/>
      <c r="Q493" s="102"/>
      <c r="R493" s="102"/>
      <c r="S493" s="1360"/>
      <c r="T493" s="43"/>
      <c r="U493" s="42"/>
      <c r="V493" s="41"/>
      <c r="W493" s="40"/>
      <c r="X493" s="39"/>
      <c r="Y493" s="38"/>
      <c r="Z493" s="37"/>
      <c r="AA493" s="36"/>
      <c r="AB493" s="35"/>
      <c r="AC493" s="34"/>
      <c r="AD493" s="55"/>
      <c r="AE493" s="33"/>
      <c r="AG493" s="32"/>
      <c r="AH493" s="31"/>
      <c r="AI493" s="30"/>
      <c r="AJ493" s="5492">
        <f t="shared" si="157"/>
        <v>0</v>
      </c>
      <c r="AK493" s="54">
        <f t="shared" si="158"/>
        <v>0</v>
      </c>
      <c r="AL493" s="53" t="str">
        <f t="shared" si="159"/>
        <v/>
      </c>
      <c r="AM493" s="52"/>
      <c r="AN493" s="51">
        <f t="shared" si="160"/>
        <v>0</v>
      </c>
      <c r="AO493" s="50">
        <f t="shared" si="161"/>
        <v>0</v>
      </c>
      <c r="AP493" s="49">
        <f t="shared" si="162"/>
        <v>0</v>
      </c>
      <c r="AQ493" s="23"/>
      <c r="AR493" s="48">
        <f t="shared" si="163"/>
        <v>0</v>
      </c>
      <c r="AS493" s="47"/>
      <c r="AT493" s="13"/>
      <c r="AU493" s="46">
        <f t="shared" si="164"/>
        <v>0</v>
      </c>
      <c r="BL493" s="20" t="str">
        <f t="shared" si="156"/>
        <v>►</v>
      </c>
      <c r="CO493" s="5">
        <v>1</v>
      </c>
    </row>
    <row r="494" spans="1:93" ht="17.25">
      <c r="A494" s="20" t="str">
        <f t="shared" si="165"/>
        <v>►</v>
      </c>
      <c r="B494" s="43" t="str">
        <f t="shared" si="150"/>
        <v>►</v>
      </c>
      <c r="C494" s="45" t="str">
        <f t="shared" si="151"/>
        <v>►</v>
      </c>
      <c r="D494" s="44" t="str">
        <f t="shared" si="152"/>
        <v>►</v>
      </c>
      <c r="E494" s="43" t="str">
        <f t="shared" si="153"/>
        <v>►</v>
      </c>
      <c r="F494" s="43" t="str">
        <f t="shared" si="154"/>
        <v>►</v>
      </c>
      <c r="G494" s="43" t="str">
        <f t="shared" si="155"/>
        <v>►</v>
      </c>
      <c r="H494" s="1256" t="s">
        <v>1</v>
      </c>
      <c r="I494" s="5175" t="s">
        <v>1</v>
      </c>
      <c r="J494" s="5161"/>
      <c r="K494" s="5161"/>
      <c r="L494" s="5161"/>
      <c r="M494" s="5176"/>
      <c r="N494" s="5177"/>
      <c r="O494" s="147"/>
      <c r="P494" s="147"/>
      <c r="Q494" s="102"/>
      <c r="R494" s="102"/>
      <c r="S494" s="1360"/>
      <c r="T494" s="43"/>
      <c r="U494" s="42"/>
      <c r="V494" s="41"/>
      <c r="W494" s="40"/>
      <c r="X494" s="39"/>
      <c r="Y494" s="38"/>
      <c r="Z494" s="37"/>
      <c r="AA494" s="36"/>
      <c r="AB494" s="35"/>
      <c r="AC494" s="34"/>
      <c r="AD494" s="55"/>
      <c r="AE494" s="33"/>
      <c r="AG494" s="32"/>
      <c r="AH494" s="31"/>
      <c r="AI494" s="30"/>
      <c r="AJ494" s="5492">
        <f t="shared" si="157"/>
        <v>0</v>
      </c>
      <c r="AK494" s="29">
        <f t="shared" si="158"/>
        <v>0</v>
      </c>
      <c r="AL494" s="28" t="str">
        <f t="shared" si="159"/>
        <v/>
      </c>
      <c r="AM494" s="27"/>
      <c r="AN494" s="26">
        <f t="shared" si="160"/>
        <v>0</v>
      </c>
      <c r="AO494" s="25">
        <f t="shared" si="161"/>
        <v>0</v>
      </c>
      <c r="AP494" s="24">
        <f t="shared" si="162"/>
        <v>0</v>
      </c>
      <c r="AQ494" s="23"/>
      <c r="AR494" s="22">
        <f t="shared" si="163"/>
        <v>0</v>
      </c>
      <c r="AS494" s="21"/>
      <c r="AT494" s="13"/>
      <c r="AU494" s="46">
        <f t="shared" si="164"/>
        <v>0</v>
      </c>
      <c r="BL494" s="20" t="str">
        <f t="shared" si="156"/>
        <v>►</v>
      </c>
      <c r="CO494" s="5">
        <v>1</v>
      </c>
    </row>
    <row r="495" spans="1:93" ht="17.25">
      <c r="A495" s="20" t="str">
        <f t="shared" si="165"/>
        <v>►</v>
      </c>
      <c r="B495" s="43" t="str">
        <f t="shared" si="150"/>
        <v>►</v>
      </c>
      <c r="C495" s="45" t="str">
        <f t="shared" si="151"/>
        <v>►</v>
      </c>
      <c r="D495" s="44" t="str">
        <f t="shared" si="152"/>
        <v>►</v>
      </c>
      <c r="E495" s="43" t="str">
        <f t="shared" si="153"/>
        <v>►</v>
      </c>
      <c r="F495" s="43" t="str">
        <f t="shared" si="154"/>
        <v>►</v>
      </c>
      <c r="G495" s="43" t="str">
        <f t="shared" si="155"/>
        <v>►</v>
      </c>
      <c r="H495" s="1256" t="s">
        <v>1</v>
      </c>
      <c r="I495" s="5175" t="s">
        <v>1</v>
      </c>
      <c r="J495" s="5161"/>
      <c r="K495" s="5161"/>
      <c r="L495" s="5161"/>
      <c r="M495" s="5176"/>
      <c r="N495" s="5177"/>
      <c r="O495" s="147"/>
      <c r="P495" s="147"/>
      <c r="Q495" s="102"/>
      <c r="R495" s="102"/>
      <c r="S495" s="1360"/>
      <c r="T495" s="43"/>
      <c r="U495" s="42"/>
      <c r="V495" s="41"/>
      <c r="W495" s="40"/>
      <c r="X495" s="39"/>
      <c r="Y495" s="38"/>
      <c r="Z495" s="37"/>
      <c r="AA495" s="36"/>
      <c r="AB495" s="35"/>
      <c r="AC495" s="34"/>
      <c r="AD495" s="55"/>
      <c r="AE495" s="33"/>
      <c r="AG495" s="32"/>
      <c r="AH495" s="31"/>
      <c r="AI495" s="30"/>
      <c r="AJ495" s="5492">
        <f t="shared" si="157"/>
        <v>0</v>
      </c>
      <c r="AK495" s="54">
        <f t="shared" si="158"/>
        <v>0</v>
      </c>
      <c r="AL495" s="53" t="str">
        <f t="shared" si="159"/>
        <v/>
      </c>
      <c r="AM495" s="52"/>
      <c r="AN495" s="51">
        <f t="shared" si="160"/>
        <v>0</v>
      </c>
      <c r="AO495" s="50">
        <f t="shared" si="161"/>
        <v>0</v>
      </c>
      <c r="AP495" s="49">
        <f t="shared" si="162"/>
        <v>0</v>
      </c>
      <c r="AQ495" s="23"/>
      <c r="AR495" s="48">
        <f t="shared" si="163"/>
        <v>0</v>
      </c>
      <c r="AS495" s="47"/>
      <c r="AT495" s="13"/>
      <c r="AU495" s="46">
        <f t="shared" si="164"/>
        <v>0</v>
      </c>
      <c r="BL495" s="20" t="str">
        <f t="shared" si="156"/>
        <v>►</v>
      </c>
      <c r="CO495" s="5">
        <v>1</v>
      </c>
    </row>
    <row r="496" spans="1:93" ht="17.25">
      <c r="A496" s="20" t="str">
        <f t="shared" si="165"/>
        <v>►</v>
      </c>
      <c r="B496" s="43" t="str">
        <f t="shared" si="150"/>
        <v>►</v>
      </c>
      <c r="C496" s="45" t="str">
        <f t="shared" si="151"/>
        <v>►</v>
      </c>
      <c r="D496" s="44" t="str">
        <f t="shared" si="152"/>
        <v>►</v>
      </c>
      <c r="E496" s="43" t="str">
        <f t="shared" si="153"/>
        <v>►</v>
      </c>
      <c r="F496" s="43" t="str">
        <f t="shared" si="154"/>
        <v>►</v>
      </c>
      <c r="G496" s="43" t="str">
        <f t="shared" si="155"/>
        <v>►</v>
      </c>
      <c r="H496" s="1256" t="s">
        <v>1</v>
      </c>
      <c r="I496" s="5175" t="s">
        <v>1</v>
      </c>
      <c r="J496" s="5161"/>
      <c r="K496" s="5161"/>
      <c r="L496" s="5161"/>
      <c r="M496" s="5176"/>
      <c r="N496" s="5177"/>
      <c r="O496" s="147"/>
      <c r="P496" s="147"/>
      <c r="Q496" s="102"/>
      <c r="R496" s="102"/>
      <c r="S496" s="1360"/>
      <c r="T496" s="43"/>
      <c r="U496" s="42"/>
      <c r="V496" s="41"/>
      <c r="W496" s="40"/>
      <c r="X496" s="39"/>
      <c r="Y496" s="38"/>
      <c r="Z496" s="37"/>
      <c r="AA496" s="36"/>
      <c r="AB496" s="35"/>
      <c r="AC496" s="34"/>
      <c r="AD496" s="55"/>
      <c r="AE496" s="33"/>
      <c r="AG496" s="32"/>
      <c r="AH496" s="31"/>
      <c r="AI496" s="30"/>
      <c r="AJ496" s="5492">
        <f t="shared" si="157"/>
        <v>0</v>
      </c>
      <c r="AK496" s="29">
        <f t="shared" si="158"/>
        <v>0</v>
      </c>
      <c r="AL496" s="28" t="str">
        <f t="shared" si="159"/>
        <v/>
      </c>
      <c r="AM496" s="27"/>
      <c r="AN496" s="26">
        <f t="shared" si="160"/>
        <v>0</v>
      </c>
      <c r="AO496" s="25">
        <f t="shared" si="161"/>
        <v>0</v>
      </c>
      <c r="AP496" s="24">
        <f t="shared" si="162"/>
        <v>0</v>
      </c>
      <c r="AQ496" s="23"/>
      <c r="AR496" s="22">
        <f t="shared" si="163"/>
        <v>0</v>
      </c>
      <c r="AS496" s="21"/>
      <c r="AT496" s="13"/>
      <c r="AU496" s="46">
        <f t="shared" si="164"/>
        <v>0</v>
      </c>
      <c r="BL496" s="20" t="str">
        <f t="shared" si="156"/>
        <v>►</v>
      </c>
      <c r="CO496" s="5">
        <v>1</v>
      </c>
    </row>
    <row r="497" spans="1:93" ht="17.25">
      <c r="A497" s="20" t="str">
        <f t="shared" si="165"/>
        <v>►</v>
      </c>
      <c r="B497" s="43" t="str">
        <f t="shared" si="150"/>
        <v>►</v>
      </c>
      <c r="C497" s="45" t="str">
        <f t="shared" si="151"/>
        <v>►</v>
      </c>
      <c r="D497" s="44" t="str">
        <f t="shared" si="152"/>
        <v>►</v>
      </c>
      <c r="E497" s="43" t="str">
        <f t="shared" si="153"/>
        <v>►</v>
      </c>
      <c r="F497" s="43" t="str">
        <f t="shared" si="154"/>
        <v>►</v>
      </c>
      <c r="G497" s="43" t="str">
        <f t="shared" si="155"/>
        <v>►</v>
      </c>
      <c r="H497" s="1256" t="s">
        <v>1</v>
      </c>
      <c r="I497" s="5175" t="s">
        <v>1</v>
      </c>
      <c r="J497" s="5161"/>
      <c r="K497" s="5161"/>
      <c r="L497" s="5161"/>
      <c r="M497" s="5176"/>
      <c r="N497" s="5177"/>
      <c r="O497" s="147"/>
      <c r="P497" s="147"/>
      <c r="Q497" s="102"/>
      <c r="R497" s="102"/>
      <c r="S497" s="1360"/>
      <c r="T497" s="43"/>
      <c r="U497" s="42"/>
      <c r="V497" s="41"/>
      <c r="W497" s="40"/>
      <c r="X497" s="39"/>
      <c r="Y497" s="38"/>
      <c r="Z497" s="37"/>
      <c r="AA497" s="36"/>
      <c r="AB497" s="35"/>
      <c r="AC497" s="34"/>
      <c r="AD497" s="55"/>
      <c r="AE497" s="33"/>
      <c r="AG497" s="32"/>
      <c r="AH497" s="31"/>
      <c r="AI497" s="30"/>
      <c r="AJ497" s="5492">
        <f t="shared" si="157"/>
        <v>0</v>
      </c>
      <c r="AK497" s="54">
        <f t="shared" si="158"/>
        <v>0</v>
      </c>
      <c r="AL497" s="53" t="str">
        <f t="shared" si="159"/>
        <v/>
      </c>
      <c r="AM497" s="52"/>
      <c r="AN497" s="51">
        <f t="shared" si="160"/>
        <v>0</v>
      </c>
      <c r="AO497" s="50">
        <f t="shared" si="161"/>
        <v>0</v>
      </c>
      <c r="AP497" s="49">
        <f t="shared" si="162"/>
        <v>0</v>
      </c>
      <c r="AQ497" s="23"/>
      <c r="AR497" s="48">
        <f t="shared" si="163"/>
        <v>0</v>
      </c>
      <c r="AS497" s="47"/>
      <c r="AT497" s="13"/>
      <c r="AU497" s="46">
        <f t="shared" si="164"/>
        <v>0</v>
      </c>
      <c r="BL497" s="20" t="str">
        <f t="shared" si="156"/>
        <v>►</v>
      </c>
      <c r="CO497" s="5">
        <v>1</v>
      </c>
    </row>
    <row r="498" spans="1:93" ht="17.25">
      <c r="A498" s="20" t="str">
        <f t="shared" si="165"/>
        <v>►</v>
      </c>
      <c r="B498" s="43" t="str">
        <f t="shared" si="150"/>
        <v>►</v>
      </c>
      <c r="C498" s="45" t="str">
        <f t="shared" si="151"/>
        <v>►</v>
      </c>
      <c r="D498" s="44" t="str">
        <f t="shared" si="152"/>
        <v>►</v>
      </c>
      <c r="E498" s="43" t="str">
        <f t="shared" si="153"/>
        <v>►</v>
      </c>
      <c r="F498" s="43" t="str">
        <f t="shared" si="154"/>
        <v>►</v>
      </c>
      <c r="G498" s="43" t="str">
        <f t="shared" si="155"/>
        <v>►</v>
      </c>
      <c r="H498" s="1256" t="s">
        <v>1</v>
      </c>
      <c r="I498" s="5175" t="s">
        <v>1</v>
      </c>
      <c r="J498" s="5161"/>
      <c r="K498" s="5161"/>
      <c r="L498" s="5161"/>
      <c r="M498" s="5176"/>
      <c r="N498" s="5177"/>
      <c r="O498" s="147"/>
      <c r="P498" s="147"/>
      <c r="Q498" s="102"/>
      <c r="R498" s="102"/>
      <c r="S498" s="1360"/>
      <c r="T498" s="43"/>
      <c r="U498" s="42"/>
      <c r="V498" s="41"/>
      <c r="W498" s="40"/>
      <c r="X498" s="39"/>
      <c r="Y498" s="38"/>
      <c r="Z498" s="37"/>
      <c r="AA498" s="36"/>
      <c r="AB498" s="35"/>
      <c r="AC498" s="34"/>
      <c r="AD498" s="55"/>
      <c r="AE498" s="33"/>
      <c r="AG498" s="32"/>
      <c r="AH498" s="31"/>
      <c r="AI498" s="30"/>
      <c r="AJ498" s="5492">
        <f t="shared" si="157"/>
        <v>0</v>
      </c>
      <c r="AK498" s="29">
        <f t="shared" si="158"/>
        <v>0</v>
      </c>
      <c r="AL498" s="28" t="str">
        <f t="shared" si="159"/>
        <v/>
      </c>
      <c r="AM498" s="27"/>
      <c r="AN498" s="26">
        <f t="shared" si="160"/>
        <v>0</v>
      </c>
      <c r="AO498" s="25">
        <f t="shared" si="161"/>
        <v>0</v>
      </c>
      <c r="AP498" s="24">
        <f t="shared" si="162"/>
        <v>0</v>
      </c>
      <c r="AQ498" s="23"/>
      <c r="AR498" s="22">
        <f t="shared" si="163"/>
        <v>0</v>
      </c>
      <c r="AS498" s="21"/>
      <c r="AT498" s="13"/>
      <c r="AU498" s="46">
        <f t="shared" si="164"/>
        <v>0</v>
      </c>
      <c r="BL498" s="20" t="str">
        <f t="shared" si="156"/>
        <v>►</v>
      </c>
      <c r="CO498" s="5">
        <v>1</v>
      </c>
    </row>
    <row r="499" spans="1:93" ht="17.25">
      <c r="A499" s="20" t="str">
        <f t="shared" si="165"/>
        <v>►</v>
      </c>
      <c r="B499" s="43" t="str">
        <f t="shared" ref="B499:B562" si="166">IF(A499="►","►",IF(A499="A",IF(AND(ISTEXT(V499),ISTEXT(J499)),V499,IF(ISTEXT(V499),V499,IF(ISBLANK(V499),J499,V499)))))</f>
        <v>►</v>
      </c>
      <c r="C499" s="45" t="str">
        <f t="shared" si="151"/>
        <v>►</v>
      </c>
      <c r="D499" s="44" t="str">
        <f t="shared" si="152"/>
        <v>►</v>
      </c>
      <c r="E499" s="43" t="str">
        <f t="shared" si="153"/>
        <v>►</v>
      </c>
      <c r="F499" s="43" t="str">
        <f t="shared" si="154"/>
        <v>►</v>
      </c>
      <c r="G499" s="43" t="str">
        <f t="shared" si="155"/>
        <v>►</v>
      </c>
      <c r="H499" s="1256" t="s">
        <v>1</v>
      </c>
      <c r="I499" s="5175" t="s">
        <v>1</v>
      </c>
      <c r="J499" s="5161"/>
      <c r="K499" s="5161"/>
      <c r="L499" s="5161"/>
      <c r="M499" s="5176"/>
      <c r="N499" s="5177"/>
      <c r="O499" s="147"/>
      <c r="P499" s="147"/>
      <c r="Q499" s="102"/>
      <c r="R499" s="102"/>
      <c r="S499" s="1360"/>
      <c r="T499" s="43"/>
      <c r="U499" s="42"/>
      <c r="V499" s="41"/>
      <c r="W499" s="40"/>
      <c r="X499" s="39"/>
      <c r="Y499" s="38"/>
      <c r="Z499" s="37"/>
      <c r="AA499" s="36"/>
      <c r="AB499" s="35"/>
      <c r="AC499" s="34"/>
      <c r="AD499" s="55"/>
      <c r="AE499" s="33"/>
      <c r="AG499" s="32"/>
      <c r="AH499" s="31"/>
      <c r="AI499" s="30"/>
      <c r="AJ499" s="5492">
        <f t="shared" si="157"/>
        <v>0</v>
      </c>
      <c r="AK499" s="54">
        <f t="shared" si="158"/>
        <v>0</v>
      </c>
      <c r="AL499" s="53" t="str">
        <f t="shared" si="159"/>
        <v/>
      </c>
      <c r="AM499" s="52"/>
      <c r="AN499" s="51">
        <f t="shared" si="160"/>
        <v>0</v>
      </c>
      <c r="AO499" s="50">
        <f t="shared" si="161"/>
        <v>0</v>
      </c>
      <c r="AP499" s="49">
        <f t="shared" si="162"/>
        <v>0</v>
      </c>
      <c r="AQ499" s="23"/>
      <c r="AR499" s="48">
        <f t="shared" si="163"/>
        <v>0</v>
      </c>
      <c r="AS499" s="47"/>
      <c r="AT499" s="13"/>
      <c r="AU499" s="46">
        <f t="shared" si="164"/>
        <v>0</v>
      </c>
      <c r="BL499" s="20" t="str">
        <f t="shared" si="156"/>
        <v>►</v>
      </c>
      <c r="CO499" s="5">
        <v>1</v>
      </c>
    </row>
    <row r="500" spans="1:93" ht="17.25">
      <c r="A500" s="20" t="str">
        <f t="shared" si="165"/>
        <v>►</v>
      </c>
      <c r="B500" s="43" t="str">
        <f t="shared" si="166"/>
        <v>►</v>
      </c>
      <c r="C500" s="45" t="str">
        <f t="shared" si="151"/>
        <v>►</v>
      </c>
      <c r="D500" s="44" t="str">
        <f t="shared" si="152"/>
        <v>►</v>
      </c>
      <c r="E500" s="43" t="str">
        <f t="shared" si="153"/>
        <v>►</v>
      </c>
      <c r="F500" s="43" t="str">
        <f t="shared" si="154"/>
        <v>►</v>
      </c>
      <c r="G500" s="43" t="str">
        <f t="shared" si="155"/>
        <v>►</v>
      </c>
      <c r="H500" s="1256" t="s">
        <v>1</v>
      </c>
      <c r="I500" s="5175" t="s">
        <v>1</v>
      </c>
      <c r="J500" s="5161"/>
      <c r="K500" s="5161"/>
      <c r="L500" s="5161"/>
      <c r="M500" s="5176"/>
      <c r="N500" s="5177"/>
      <c r="O500" s="147"/>
      <c r="P500" s="147"/>
      <c r="Q500" s="102"/>
      <c r="R500" s="102"/>
      <c r="S500" s="1360"/>
      <c r="T500" s="43"/>
      <c r="U500" s="42"/>
      <c r="V500" s="41"/>
      <c r="W500" s="40"/>
      <c r="X500" s="39"/>
      <c r="Y500" s="38"/>
      <c r="Z500" s="37"/>
      <c r="AA500" s="36"/>
      <c r="AB500" s="35"/>
      <c r="AC500" s="34"/>
      <c r="AD500" s="55"/>
      <c r="AE500" s="33"/>
      <c r="AG500" s="32"/>
      <c r="AH500" s="31"/>
      <c r="AI500" s="30"/>
      <c r="AJ500" s="5492">
        <f t="shared" si="157"/>
        <v>0</v>
      </c>
      <c r="AK500" s="29">
        <f t="shared" si="158"/>
        <v>0</v>
      </c>
      <c r="AL500" s="28" t="str">
        <f t="shared" si="159"/>
        <v/>
      </c>
      <c r="AM500" s="27"/>
      <c r="AN500" s="26">
        <f t="shared" si="160"/>
        <v>0</v>
      </c>
      <c r="AO500" s="25">
        <f t="shared" si="161"/>
        <v>0</v>
      </c>
      <c r="AP500" s="24">
        <f t="shared" si="162"/>
        <v>0</v>
      </c>
      <c r="AQ500" s="23"/>
      <c r="AR500" s="22">
        <f t="shared" si="163"/>
        <v>0</v>
      </c>
      <c r="AS500" s="21"/>
      <c r="AT500" s="13"/>
      <c r="AU500" s="46">
        <f t="shared" si="164"/>
        <v>0</v>
      </c>
      <c r="BL500" s="20" t="str">
        <f t="shared" si="156"/>
        <v>►</v>
      </c>
      <c r="CO500" s="5">
        <v>1</v>
      </c>
    </row>
    <row r="501" spans="1:93" ht="17.25">
      <c r="A501" s="20" t="str">
        <f t="shared" si="165"/>
        <v>►</v>
      </c>
      <c r="B501" s="43" t="str">
        <f t="shared" si="166"/>
        <v>►</v>
      </c>
      <c r="C501" s="45" t="str">
        <f t="shared" si="151"/>
        <v>►</v>
      </c>
      <c r="D501" s="44" t="str">
        <f t="shared" si="152"/>
        <v>►</v>
      </c>
      <c r="E501" s="43" t="str">
        <f t="shared" si="153"/>
        <v>►</v>
      </c>
      <c r="F501" s="43" t="str">
        <f t="shared" si="154"/>
        <v>►</v>
      </c>
      <c r="G501" s="43" t="str">
        <f t="shared" si="155"/>
        <v>►</v>
      </c>
      <c r="H501" s="1256" t="s">
        <v>1</v>
      </c>
      <c r="I501" s="5175" t="s">
        <v>1</v>
      </c>
      <c r="J501" s="5161"/>
      <c r="K501" s="5161"/>
      <c r="L501" s="5161"/>
      <c r="M501" s="5176"/>
      <c r="N501" s="5177"/>
      <c r="O501" s="147"/>
      <c r="P501" s="147"/>
      <c r="Q501" s="102"/>
      <c r="R501" s="102"/>
      <c r="S501" s="1360"/>
      <c r="T501" s="43"/>
      <c r="U501" s="42"/>
      <c r="V501" s="41"/>
      <c r="W501" s="40"/>
      <c r="X501" s="39"/>
      <c r="Y501" s="38"/>
      <c r="Z501" s="37"/>
      <c r="AA501" s="36"/>
      <c r="AB501" s="35"/>
      <c r="AC501" s="34"/>
      <c r="AD501" s="55"/>
      <c r="AE501" s="33"/>
      <c r="AG501" s="32"/>
      <c r="AH501" s="31"/>
      <c r="AI501" s="30"/>
      <c r="AJ501" s="5492">
        <f t="shared" si="157"/>
        <v>0</v>
      </c>
      <c r="AK501" s="54">
        <f t="shared" si="158"/>
        <v>0</v>
      </c>
      <c r="AL501" s="53" t="str">
        <f t="shared" si="159"/>
        <v/>
      </c>
      <c r="AM501" s="52"/>
      <c r="AN501" s="51">
        <f t="shared" si="160"/>
        <v>0</v>
      </c>
      <c r="AO501" s="50">
        <f t="shared" si="161"/>
        <v>0</v>
      </c>
      <c r="AP501" s="49">
        <f t="shared" si="162"/>
        <v>0</v>
      </c>
      <c r="AQ501" s="23"/>
      <c r="AR501" s="48">
        <f t="shared" si="163"/>
        <v>0</v>
      </c>
      <c r="AS501" s="47"/>
      <c r="AT501" s="13"/>
      <c r="AU501" s="46">
        <f t="shared" si="164"/>
        <v>0</v>
      </c>
      <c r="BL501" s="20" t="str">
        <f t="shared" si="156"/>
        <v>►</v>
      </c>
      <c r="CO501" s="5">
        <v>1</v>
      </c>
    </row>
    <row r="502" spans="1:93" ht="17.25">
      <c r="A502" s="20" t="str">
        <f t="shared" si="165"/>
        <v>►</v>
      </c>
      <c r="B502" s="43" t="str">
        <f t="shared" si="166"/>
        <v>►</v>
      </c>
      <c r="C502" s="45" t="str">
        <f t="shared" si="151"/>
        <v>►</v>
      </c>
      <c r="D502" s="44" t="str">
        <f t="shared" si="152"/>
        <v>►</v>
      </c>
      <c r="E502" s="43" t="str">
        <f t="shared" si="153"/>
        <v>►</v>
      </c>
      <c r="F502" s="43" t="str">
        <f t="shared" si="154"/>
        <v>►</v>
      </c>
      <c r="G502" s="43" t="str">
        <f t="shared" si="155"/>
        <v>►</v>
      </c>
      <c r="H502" s="1256" t="s">
        <v>1</v>
      </c>
      <c r="I502" s="5175" t="s">
        <v>1</v>
      </c>
      <c r="J502" s="5161"/>
      <c r="K502" s="5161"/>
      <c r="L502" s="5161"/>
      <c r="M502" s="5176"/>
      <c r="N502" s="5177"/>
      <c r="O502" s="147"/>
      <c r="P502" s="147"/>
      <c r="Q502" s="102"/>
      <c r="R502" s="102"/>
      <c r="S502" s="1360"/>
      <c r="T502" s="43"/>
      <c r="U502" s="42"/>
      <c r="V502" s="41"/>
      <c r="W502" s="40"/>
      <c r="X502" s="39"/>
      <c r="Y502" s="38"/>
      <c r="Z502" s="37"/>
      <c r="AA502" s="36"/>
      <c r="AB502" s="35"/>
      <c r="AC502" s="34"/>
      <c r="AD502" s="55"/>
      <c r="AE502" s="33"/>
      <c r="AG502" s="32"/>
      <c r="AH502" s="31"/>
      <c r="AI502" s="30"/>
      <c r="AJ502" s="5492">
        <f t="shared" si="157"/>
        <v>0</v>
      </c>
      <c r="AK502" s="29">
        <f t="shared" si="158"/>
        <v>0</v>
      </c>
      <c r="AL502" s="28" t="str">
        <f t="shared" si="159"/>
        <v/>
      </c>
      <c r="AM502" s="27"/>
      <c r="AN502" s="26">
        <f t="shared" si="160"/>
        <v>0</v>
      </c>
      <c r="AO502" s="25">
        <f t="shared" si="161"/>
        <v>0</v>
      </c>
      <c r="AP502" s="24">
        <f t="shared" si="162"/>
        <v>0</v>
      </c>
      <c r="AQ502" s="23"/>
      <c r="AR502" s="22">
        <f t="shared" si="163"/>
        <v>0</v>
      </c>
      <c r="AS502" s="21"/>
      <c r="AT502" s="13"/>
      <c r="AU502" s="46">
        <f t="shared" si="164"/>
        <v>0</v>
      </c>
      <c r="BL502" s="20" t="str">
        <f t="shared" si="156"/>
        <v>►</v>
      </c>
      <c r="CO502" s="5">
        <v>1</v>
      </c>
    </row>
    <row r="503" spans="1:93" ht="17.25">
      <c r="A503" s="20" t="str">
        <f t="shared" si="165"/>
        <v>►</v>
      </c>
      <c r="B503" s="43" t="str">
        <f t="shared" si="166"/>
        <v>►</v>
      </c>
      <c r="C503" s="45" t="str">
        <f t="shared" si="151"/>
        <v>►</v>
      </c>
      <c r="D503" s="44" t="str">
        <f t="shared" si="152"/>
        <v>►</v>
      </c>
      <c r="E503" s="43" t="str">
        <f t="shared" si="153"/>
        <v>►</v>
      </c>
      <c r="F503" s="43" t="str">
        <f t="shared" si="154"/>
        <v>►</v>
      </c>
      <c r="G503" s="43" t="str">
        <f t="shared" si="155"/>
        <v>►</v>
      </c>
      <c r="H503" s="1256" t="s">
        <v>1</v>
      </c>
      <c r="I503" s="5175" t="s">
        <v>1</v>
      </c>
      <c r="J503" s="5161"/>
      <c r="K503" s="5161"/>
      <c r="L503" s="5161"/>
      <c r="M503" s="5176"/>
      <c r="N503" s="5177"/>
      <c r="O503" s="147"/>
      <c r="P503" s="147"/>
      <c r="Q503" s="102"/>
      <c r="R503" s="102"/>
      <c r="S503" s="1360"/>
      <c r="T503" s="43"/>
      <c r="U503" s="42"/>
      <c r="V503" s="41"/>
      <c r="W503" s="40"/>
      <c r="X503" s="39"/>
      <c r="Y503" s="38"/>
      <c r="Z503" s="37"/>
      <c r="AA503" s="36"/>
      <c r="AB503" s="35"/>
      <c r="AC503" s="34"/>
      <c r="AD503" s="55"/>
      <c r="AE503" s="33"/>
      <c r="AG503" s="32"/>
      <c r="AH503" s="31"/>
      <c r="AI503" s="30"/>
      <c r="AJ503" s="5492">
        <f t="shared" si="157"/>
        <v>0</v>
      </c>
      <c r="AK503" s="54">
        <f t="shared" si="158"/>
        <v>0</v>
      </c>
      <c r="AL503" s="53" t="str">
        <f t="shared" si="159"/>
        <v/>
      </c>
      <c r="AM503" s="52"/>
      <c r="AN503" s="51">
        <f t="shared" si="160"/>
        <v>0</v>
      </c>
      <c r="AO503" s="50">
        <f t="shared" si="161"/>
        <v>0</v>
      </c>
      <c r="AP503" s="49">
        <f t="shared" si="162"/>
        <v>0</v>
      </c>
      <c r="AQ503" s="23"/>
      <c r="AR503" s="48">
        <f t="shared" si="163"/>
        <v>0</v>
      </c>
      <c r="AS503" s="47"/>
      <c r="AT503" s="13"/>
      <c r="AU503" s="46">
        <f t="shared" si="164"/>
        <v>0</v>
      </c>
      <c r="BL503" s="20" t="str">
        <f t="shared" si="156"/>
        <v>►</v>
      </c>
      <c r="CO503" s="5">
        <v>1</v>
      </c>
    </row>
    <row r="504" spans="1:93" ht="17.25">
      <c r="A504" s="20" t="str">
        <f t="shared" si="165"/>
        <v>►</v>
      </c>
      <c r="B504" s="43" t="str">
        <f t="shared" si="166"/>
        <v>►</v>
      </c>
      <c r="C504" s="45" t="str">
        <f t="shared" si="151"/>
        <v>►</v>
      </c>
      <c r="D504" s="44" t="str">
        <f t="shared" si="152"/>
        <v>►</v>
      </c>
      <c r="E504" s="43" t="str">
        <f t="shared" si="153"/>
        <v>►</v>
      </c>
      <c r="F504" s="43" t="str">
        <f t="shared" si="154"/>
        <v>►</v>
      </c>
      <c r="G504" s="43" t="str">
        <f t="shared" si="155"/>
        <v>►</v>
      </c>
      <c r="H504" s="1256" t="s">
        <v>1</v>
      </c>
      <c r="I504" s="5175" t="s">
        <v>1</v>
      </c>
      <c r="J504" s="5161"/>
      <c r="K504" s="5161"/>
      <c r="L504" s="5161"/>
      <c r="M504" s="5176"/>
      <c r="N504" s="5177"/>
      <c r="O504" s="147"/>
      <c r="P504" s="147"/>
      <c r="Q504" s="102"/>
      <c r="R504" s="102"/>
      <c r="S504" s="1360"/>
      <c r="T504" s="43"/>
      <c r="U504" s="42"/>
      <c r="V504" s="41"/>
      <c r="W504" s="40"/>
      <c r="X504" s="39"/>
      <c r="Y504" s="38"/>
      <c r="Z504" s="37"/>
      <c r="AA504" s="36"/>
      <c r="AB504" s="35"/>
      <c r="AC504" s="34"/>
      <c r="AD504" s="55"/>
      <c r="AE504" s="33"/>
      <c r="AG504" s="32"/>
      <c r="AH504" s="31"/>
      <c r="AI504" s="30"/>
      <c r="AJ504" s="5492">
        <f t="shared" si="157"/>
        <v>0</v>
      </c>
      <c r="AK504" s="29">
        <f t="shared" si="158"/>
        <v>0</v>
      </c>
      <c r="AL504" s="28" t="str">
        <f t="shared" si="159"/>
        <v/>
      </c>
      <c r="AM504" s="27"/>
      <c r="AN504" s="26">
        <f t="shared" si="160"/>
        <v>0</v>
      </c>
      <c r="AO504" s="25">
        <f t="shared" si="161"/>
        <v>0</v>
      </c>
      <c r="AP504" s="24">
        <f t="shared" si="162"/>
        <v>0</v>
      </c>
      <c r="AQ504" s="23"/>
      <c r="AR504" s="22">
        <f t="shared" si="163"/>
        <v>0</v>
      </c>
      <c r="AS504" s="21"/>
      <c r="AT504" s="13"/>
      <c r="AU504" s="46">
        <f t="shared" si="164"/>
        <v>0</v>
      </c>
      <c r="BL504" s="20" t="str">
        <f t="shared" si="156"/>
        <v>►</v>
      </c>
      <c r="CO504" s="5">
        <v>1</v>
      </c>
    </row>
    <row r="505" spans="1:93" ht="17.25">
      <c r="A505" s="20" t="str">
        <f t="shared" si="165"/>
        <v>►</v>
      </c>
      <c r="B505" s="43" t="str">
        <f t="shared" si="166"/>
        <v>►</v>
      </c>
      <c r="C505" s="45" t="str">
        <f t="shared" si="151"/>
        <v>►</v>
      </c>
      <c r="D505" s="44" t="str">
        <f t="shared" si="152"/>
        <v>►</v>
      </c>
      <c r="E505" s="43" t="str">
        <f t="shared" si="153"/>
        <v>►</v>
      </c>
      <c r="F505" s="43" t="str">
        <f t="shared" si="154"/>
        <v>►</v>
      </c>
      <c r="G505" s="43" t="str">
        <f t="shared" si="155"/>
        <v>►</v>
      </c>
      <c r="H505" s="1256" t="s">
        <v>1</v>
      </c>
      <c r="I505" s="5175" t="s">
        <v>1</v>
      </c>
      <c r="J505" s="5161"/>
      <c r="K505" s="5161"/>
      <c r="L505" s="5161"/>
      <c r="M505" s="5176"/>
      <c r="N505" s="5177"/>
      <c r="O505" s="147"/>
      <c r="P505" s="147"/>
      <c r="Q505" s="102"/>
      <c r="R505" s="102"/>
      <c r="S505" s="1360"/>
      <c r="T505" s="43"/>
      <c r="U505" s="42"/>
      <c r="V505" s="41"/>
      <c r="W505" s="40"/>
      <c r="X505" s="39"/>
      <c r="Y505" s="38"/>
      <c r="Z505" s="37"/>
      <c r="AA505" s="36"/>
      <c r="AB505" s="35"/>
      <c r="AC505" s="34"/>
      <c r="AD505" s="55"/>
      <c r="AE505" s="33"/>
      <c r="AG505" s="32"/>
      <c r="AH505" s="31"/>
      <c r="AI505" s="30"/>
      <c r="AJ505" s="5492">
        <f t="shared" si="157"/>
        <v>0</v>
      </c>
      <c r="AK505" s="54">
        <f t="shared" si="158"/>
        <v>0</v>
      </c>
      <c r="AL505" s="53" t="str">
        <f t="shared" si="159"/>
        <v/>
      </c>
      <c r="AM505" s="52"/>
      <c r="AN505" s="51">
        <f t="shared" si="160"/>
        <v>0</v>
      </c>
      <c r="AO505" s="50">
        <f t="shared" si="161"/>
        <v>0</v>
      </c>
      <c r="AP505" s="49">
        <f t="shared" si="162"/>
        <v>0</v>
      </c>
      <c r="AQ505" s="23"/>
      <c r="AR505" s="48">
        <f t="shared" si="163"/>
        <v>0</v>
      </c>
      <c r="AS505" s="47"/>
      <c r="AT505" s="13"/>
      <c r="AU505" s="46">
        <f t="shared" si="164"/>
        <v>0</v>
      </c>
      <c r="BL505" s="20" t="str">
        <f t="shared" si="156"/>
        <v>►</v>
      </c>
      <c r="CO505" s="5">
        <v>1</v>
      </c>
    </row>
    <row r="506" spans="1:93" ht="17.25">
      <c r="A506" s="20" t="str">
        <f t="shared" si="165"/>
        <v>►</v>
      </c>
      <c r="B506" s="43" t="str">
        <f t="shared" si="166"/>
        <v>►</v>
      </c>
      <c r="C506" s="45" t="str">
        <f t="shared" si="151"/>
        <v>►</v>
      </c>
      <c r="D506" s="44" t="str">
        <f t="shared" si="152"/>
        <v>►</v>
      </c>
      <c r="E506" s="43" t="str">
        <f t="shared" si="153"/>
        <v>►</v>
      </c>
      <c r="F506" s="43" t="str">
        <f t="shared" si="154"/>
        <v>►</v>
      </c>
      <c r="G506" s="43" t="str">
        <f t="shared" si="155"/>
        <v>►</v>
      </c>
      <c r="H506" s="1256" t="s">
        <v>1</v>
      </c>
      <c r="I506" s="5175" t="s">
        <v>1</v>
      </c>
      <c r="J506" s="5161"/>
      <c r="K506" s="5161"/>
      <c r="L506" s="5161"/>
      <c r="M506" s="5176"/>
      <c r="N506" s="5177"/>
      <c r="O506" s="147"/>
      <c r="P506" s="147"/>
      <c r="Q506" s="102"/>
      <c r="R506" s="102"/>
      <c r="S506" s="1360"/>
      <c r="T506" s="43"/>
      <c r="U506" s="42"/>
      <c r="V506" s="41"/>
      <c r="W506" s="40"/>
      <c r="X506" s="39"/>
      <c r="Y506" s="38"/>
      <c r="Z506" s="37"/>
      <c r="AA506" s="36"/>
      <c r="AB506" s="35"/>
      <c r="AC506" s="34"/>
      <c r="AD506" s="55"/>
      <c r="AE506" s="33"/>
      <c r="AG506" s="32"/>
      <c r="AH506" s="31"/>
      <c r="AI506" s="30"/>
      <c r="AJ506" s="5492">
        <f t="shared" si="157"/>
        <v>0</v>
      </c>
      <c r="AK506" s="29">
        <f t="shared" si="158"/>
        <v>0</v>
      </c>
      <c r="AL506" s="28" t="str">
        <f t="shared" si="159"/>
        <v/>
      </c>
      <c r="AM506" s="27"/>
      <c r="AN506" s="26">
        <f t="shared" si="160"/>
        <v>0</v>
      </c>
      <c r="AO506" s="25">
        <f t="shared" si="161"/>
        <v>0</v>
      </c>
      <c r="AP506" s="24">
        <f t="shared" si="162"/>
        <v>0</v>
      </c>
      <c r="AQ506" s="23"/>
      <c r="AR506" s="22">
        <f t="shared" si="163"/>
        <v>0</v>
      </c>
      <c r="AS506" s="21"/>
      <c r="AT506" s="13"/>
      <c r="AU506" s="46">
        <f t="shared" si="164"/>
        <v>0</v>
      </c>
      <c r="BL506" s="20" t="str">
        <f t="shared" si="156"/>
        <v>►</v>
      </c>
      <c r="CO506" s="5">
        <v>1</v>
      </c>
    </row>
    <row r="507" spans="1:93" ht="17.25">
      <c r="A507" s="20" t="str">
        <f t="shared" si="165"/>
        <v>►</v>
      </c>
      <c r="B507" s="43" t="str">
        <f t="shared" si="166"/>
        <v>►</v>
      </c>
      <c r="C507" s="45" t="str">
        <f t="shared" si="151"/>
        <v>►</v>
      </c>
      <c r="D507" s="44" t="str">
        <f t="shared" si="152"/>
        <v>►</v>
      </c>
      <c r="E507" s="43" t="str">
        <f t="shared" si="153"/>
        <v>►</v>
      </c>
      <c r="F507" s="43" t="str">
        <f t="shared" si="154"/>
        <v>►</v>
      </c>
      <c r="G507" s="43" t="str">
        <f t="shared" si="155"/>
        <v>►</v>
      </c>
      <c r="H507" s="1256" t="s">
        <v>1</v>
      </c>
      <c r="I507" s="5175" t="s">
        <v>1</v>
      </c>
      <c r="J507" s="5161"/>
      <c r="K507" s="5161"/>
      <c r="L507" s="5161"/>
      <c r="M507" s="5176"/>
      <c r="N507" s="5177"/>
      <c r="O507" s="147"/>
      <c r="P507" s="147"/>
      <c r="Q507" s="102"/>
      <c r="R507" s="102"/>
      <c r="S507" s="1360"/>
      <c r="T507" s="43"/>
      <c r="U507" s="42"/>
      <c r="V507" s="41"/>
      <c r="W507" s="40"/>
      <c r="X507" s="39"/>
      <c r="Y507" s="38"/>
      <c r="Z507" s="37"/>
      <c r="AA507" s="36"/>
      <c r="AB507" s="35"/>
      <c r="AC507" s="34"/>
      <c r="AD507" s="55"/>
      <c r="AE507" s="33"/>
      <c r="AG507" s="32"/>
      <c r="AH507" s="31"/>
      <c r="AI507" s="30"/>
      <c r="AJ507" s="5492">
        <f t="shared" si="157"/>
        <v>0</v>
      </c>
      <c r="AK507" s="54">
        <f t="shared" si="158"/>
        <v>0</v>
      </c>
      <c r="AL507" s="53" t="str">
        <f t="shared" si="159"/>
        <v/>
      </c>
      <c r="AM507" s="52"/>
      <c r="AN507" s="51">
        <f t="shared" si="160"/>
        <v>0</v>
      </c>
      <c r="AO507" s="50">
        <f t="shared" si="161"/>
        <v>0</v>
      </c>
      <c r="AP507" s="49">
        <f t="shared" si="162"/>
        <v>0</v>
      </c>
      <c r="AQ507" s="23"/>
      <c r="AR507" s="48">
        <f t="shared" si="163"/>
        <v>0</v>
      </c>
      <c r="AS507" s="47"/>
      <c r="AT507" s="13"/>
      <c r="AU507" s="46">
        <f t="shared" si="164"/>
        <v>0</v>
      </c>
      <c r="BL507" s="20" t="str">
        <f t="shared" si="156"/>
        <v>►</v>
      </c>
      <c r="CO507" s="5">
        <v>1</v>
      </c>
    </row>
    <row r="508" spans="1:93" ht="17.25">
      <c r="A508" s="20" t="str">
        <f t="shared" si="165"/>
        <v>►</v>
      </c>
      <c r="B508" s="43" t="str">
        <f t="shared" si="166"/>
        <v>►</v>
      </c>
      <c r="C508" s="45" t="str">
        <f t="shared" si="151"/>
        <v>►</v>
      </c>
      <c r="D508" s="44" t="str">
        <f t="shared" si="152"/>
        <v>►</v>
      </c>
      <c r="E508" s="43" t="str">
        <f t="shared" si="153"/>
        <v>►</v>
      </c>
      <c r="F508" s="43" t="str">
        <f t="shared" si="154"/>
        <v>►</v>
      </c>
      <c r="G508" s="43" t="str">
        <f t="shared" si="155"/>
        <v>►</v>
      </c>
      <c r="H508" s="1256" t="s">
        <v>1</v>
      </c>
      <c r="I508" s="5175" t="s">
        <v>1</v>
      </c>
      <c r="J508" s="5161"/>
      <c r="K508" s="5161"/>
      <c r="L508" s="5161"/>
      <c r="M508" s="5176"/>
      <c r="N508" s="5177"/>
      <c r="O508" s="147"/>
      <c r="P508" s="147"/>
      <c r="Q508" s="102"/>
      <c r="R508" s="102"/>
      <c r="S508" s="1360"/>
      <c r="T508" s="43"/>
      <c r="U508" s="42"/>
      <c r="V508" s="41"/>
      <c r="W508" s="40"/>
      <c r="X508" s="39"/>
      <c r="Y508" s="38"/>
      <c r="Z508" s="37"/>
      <c r="AA508" s="36"/>
      <c r="AB508" s="35"/>
      <c r="AC508" s="34"/>
      <c r="AD508" s="55"/>
      <c r="AE508" s="33"/>
      <c r="AG508" s="32"/>
      <c r="AH508" s="31"/>
      <c r="AI508" s="30"/>
      <c r="AJ508" s="5492">
        <f t="shared" si="157"/>
        <v>0</v>
      </c>
      <c r="AK508" s="29">
        <f t="shared" si="158"/>
        <v>0</v>
      </c>
      <c r="AL508" s="28" t="str">
        <f t="shared" si="159"/>
        <v/>
      </c>
      <c r="AM508" s="27"/>
      <c r="AN508" s="26">
        <f t="shared" si="160"/>
        <v>0</v>
      </c>
      <c r="AO508" s="25">
        <f t="shared" si="161"/>
        <v>0</v>
      </c>
      <c r="AP508" s="24">
        <f t="shared" si="162"/>
        <v>0</v>
      </c>
      <c r="AQ508" s="23"/>
      <c r="AR508" s="22">
        <f t="shared" si="163"/>
        <v>0</v>
      </c>
      <c r="AS508" s="21"/>
      <c r="AT508" s="13"/>
      <c r="AU508" s="46">
        <f t="shared" si="164"/>
        <v>0</v>
      </c>
      <c r="BL508" s="20" t="str">
        <f t="shared" si="156"/>
        <v>►</v>
      </c>
      <c r="CO508" s="5">
        <v>1</v>
      </c>
    </row>
    <row r="509" spans="1:93" ht="17.25">
      <c r="A509" s="20" t="str">
        <f t="shared" si="165"/>
        <v>►</v>
      </c>
      <c r="B509" s="43" t="str">
        <f t="shared" si="166"/>
        <v>►</v>
      </c>
      <c r="C509" s="45" t="str">
        <f t="shared" si="151"/>
        <v>►</v>
      </c>
      <c r="D509" s="44" t="str">
        <f t="shared" si="152"/>
        <v>►</v>
      </c>
      <c r="E509" s="43" t="str">
        <f t="shared" si="153"/>
        <v>►</v>
      </c>
      <c r="F509" s="43" t="str">
        <f t="shared" si="154"/>
        <v>►</v>
      </c>
      <c r="G509" s="43" t="str">
        <f t="shared" si="155"/>
        <v>►</v>
      </c>
      <c r="H509" s="1256" t="s">
        <v>1</v>
      </c>
      <c r="I509" s="5175" t="s">
        <v>1</v>
      </c>
      <c r="J509" s="5161"/>
      <c r="K509" s="5161"/>
      <c r="L509" s="5161"/>
      <c r="M509" s="5176"/>
      <c r="N509" s="5177"/>
      <c r="O509" s="147"/>
      <c r="P509" s="147"/>
      <c r="Q509" s="102"/>
      <c r="R509" s="102"/>
      <c r="S509" s="1360"/>
      <c r="T509" s="43"/>
      <c r="U509" s="42"/>
      <c r="V509" s="41"/>
      <c r="W509" s="40"/>
      <c r="X509" s="39"/>
      <c r="Y509" s="38"/>
      <c r="Z509" s="37"/>
      <c r="AA509" s="36"/>
      <c r="AB509" s="35"/>
      <c r="AC509" s="34"/>
      <c r="AD509" s="55"/>
      <c r="AE509" s="33"/>
      <c r="AG509" s="32"/>
      <c r="AH509" s="31"/>
      <c r="AI509" s="30"/>
      <c r="AJ509" s="5492">
        <f t="shared" si="157"/>
        <v>0</v>
      </c>
      <c r="AK509" s="54">
        <f t="shared" si="158"/>
        <v>0</v>
      </c>
      <c r="AL509" s="53" t="str">
        <f t="shared" si="159"/>
        <v/>
      </c>
      <c r="AM509" s="52"/>
      <c r="AN509" s="51">
        <f t="shared" si="160"/>
        <v>0</v>
      </c>
      <c r="AO509" s="50">
        <f t="shared" si="161"/>
        <v>0</v>
      </c>
      <c r="AP509" s="49">
        <f t="shared" si="162"/>
        <v>0</v>
      </c>
      <c r="AQ509" s="23"/>
      <c r="AR509" s="48">
        <f t="shared" si="163"/>
        <v>0</v>
      </c>
      <c r="AS509" s="47"/>
      <c r="AT509" s="13"/>
      <c r="AU509" s="46">
        <f t="shared" si="164"/>
        <v>0</v>
      </c>
      <c r="BL509" s="20" t="str">
        <f t="shared" si="156"/>
        <v>►</v>
      </c>
      <c r="CO509" s="5">
        <v>1</v>
      </c>
    </row>
    <row r="510" spans="1:93" ht="17.25">
      <c r="A510" s="20" t="str">
        <f t="shared" si="165"/>
        <v>►</v>
      </c>
      <c r="B510" s="43" t="str">
        <f t="shared" si="166"/>
        <v>►</v>
      </c>
      <c r="C510" s="45" t="str">
        <f t="shared" si="151"/>
        <v>►</v>
      </c>
      <c r="D510" s="44" t="str">
        <f t="shared" si="152"/>
        <v>►</v>
      </c>
      <c r="E510" s="43" t="str">
        <f t="shared" si="153"/>
        <v>►</v>
      </c>
      <c r="F510" s="43" t="str">
        <f t="shared" si="154"/>
        <v>►</v>
      </c>
      <c r="G510" s="43" t="str">
        <f t="shared" si="155"/>
        <v>►</v>
      </c>
      <c r="H510" s="1256" t="s">
        <v>1</v>
      </c>
      <c r="I510" s="5175" t="s">
        <v>1</v>
      </c>
      <c r="J510" s="5161"/>
      <c r="K510" s="5161"/>
      <c r="L510" s="5161"/>
      <c r="M510" s="5176"/>
      <c r="N510" s="5177"/>
      <c r="O510" s="147"/>
      <c r="P510" s="147"/>
      <c r="Q510" s="102"/>
      <c r="R510" s="102"/>
      <c r="S510" s="1360"/>
      <c r="T510" s="43"/>
      <c r="U510" s="42"/>
      <c r="V510" s="41"/>
      <c r="W510" s="40"/>
      <c r="X510" s="39"/>
      <c r="Y510" s="38"/>
      <c r="Z510" s="37"/>
      <c r="AA510" s="36"/>
      <c r="AB510" s="35"/>
      <c r="AC510" s="34"/>
      <c r="AD510" s="55"/>
      <c r="AE510" s="33"/>
      <c r="AG510" s="32"/>
      <c r="AH510" s="31"/>
      <c r="AI510" s="30"/>
      <c r="AJ510" s="5492">
        <f t="shared" si="157"/>
        <v>0</v>
      </c>
      <c r="AK510" s="29">
        <f t="shared" si="158"/>
        <v>0</v>
      </c>
      <c r="AL510" s="28" t="str">
        <f t="shared" si="159"/>
        <v/>
      </c>
      <c r="AM510" s="27"/>
      <c r="AN510" s="26">
        <f t="shared" si="160"/>
        <v>0</v>
      </c>
      <c r="AO510" s="25">
        <f t="shared" si="161"/>
        <v>0</v>
      </c>
      <c r="AP510" s="24">
        <f t="shared" si="162"/>
        <v>0</v>
      </c>
      <c r="AQ510" s="23"/>
      <c r="AR510" s="22">
        <f t="shared" si="163"/>
        <v>0</v>
      </c>
      <c r="AS510" s="21"/>
      <c r="AT510" s="13"/>
      <c r="AU510" s="46">
        <f t="shared" si="164"/>
        <v>0</v>
      </c>
      <c r="BL510" s="20" t="str">
        <f t="shared" si="156"/>
        <v>►</v>
      </c>
      <c r="CO510" s="5">
        <v>1</v>
      </c>
    </row>
    <row r="511" spans="1:93" ht="17.25">
      <c r="A511" s="20" t="str">
        <f t="shared" si="165"/>
        <v>►</v>
      </c>
      <c r="B511" s="43" t="str">
        <f t="shared" si="166"/>
        <v>►</v>
      </c>
      <c r="C511" s="45" t="str">
        <f t="shared" si="151"/>
        <v>►</v>
      </c>
      <c r="D511" s="44" t="str">
        <f t="shared" si="152"/>
        <v>►</v>
      </c>
      <c r="E511" s="43" t="str">
        <f t="shared" si="153"/>
        <v>►</v>
      </c>
      <c r="F511" s="43" t="str">
        <f t="shared" si="154"/>
        <v>►</v>
      </c>
      <c r="G511" s="43" t="str">
        <f t="shared" si="155"/>
        <v>►</v>
      </c>
      <c r="H511" s="1256" t="s">
        <v>1</v>
      </c>
      <c r="I511" s="5175" t="s">
        <v>1</v>
      </c>
      <c r="J511" s="5161"/>
      <c r="K511" s="5161"/>
      <c r="L511" s="5161"/>
      <c r="M511" s="5176"/>
      <c r="N511" s="5177"/>
      <c r="O511" s="147"/>
      <c r="P511" s="147"/>
      <c r="Q511" s="102"/>
      <c r="R511" s="102"/>
      <c r="S511" s="1360"/>
      <c r="T511" s="43"/>
      <c r="U511" s="42"/>
      <c r="V511" s="41"/>
      <c r="W511" s="40"/>
      <c r="X511" s="39"/>
      <c r="Y511" s="38"/>
      <c r="Z511" s="37"/>
      <c r="AA511" s="36"/>
      <c r="AB511" s="35"/>
      <c r="AC511" s="34"/>
      <c r="AD511" s="55"/>
      <c r="AE511" s="33"/>
      <c r="AG511" s="32"/>
      <c r="AH511" s="31"/>
      <c r="AI511" s="30"/>
      <c r="AJ511" s="5492">
        <f t="shared" si="157"/>
        <v>0</v>
      </c>
      <c r="AK511" s="54">
        <f t="shared" si="158"/>
        <v>0</v>
      </c>
      <c r="AL511" s="53" t="str">
        <f t="shared" si="159"/>
        <v/>
      </c>
      <c r="AM511" s="52"/>
      <c r="AN511" s="51">
        <f t="shared" si="160"/>
        <v>0</v>
      </c>
      <c r="AO511" s="50">
        <f t="shared" si="161"/>
        <v>0</v>
      </c>
      <c r="AP511" s="49">
        <f t="shared" si="162"/>
        <v>0</v>
      </c>
      <c r="AQ511" s="23"/>
      <c r="AR511" s="48">
        <f t="shared" si="163"/>
        <v>0</v>
      </c>
      <c r="AS511" s="47"/>
      <c r="AT511" s="13"/>
      <c r="AU511" s="46">
        <f t="shared" si="164"/>
        <v>0</v>
      </c>
      <c r="BL511" s="20" t="str">
        <f t="shared" si="156"/>
        <v>►</v>
      </c>
      <c r="CO511" s="5">
        <v>1</v>
      </c>
    </row>
    <row r="512" spans="1:93" ht="17.25">
      <c r="A512" s="20" t="str">
        <f t="shared" si="165"/>
        <v>►</v>
      </c>
      <c r="B512" s="43" t="str">
        <f t="shared" si="166"/>
        <v>►</v>
      </c>
      <c r="C512" s="45" t="str">
        <f t="shared" si="151"/>
        <v>►</v>
      </c>
      <c r="D512" s="44" t="str">
        <f t="shared" si="152"/>
        <v>►</v>
      </c>
      <c r="E512" s="43" t="str">
        <f t="shared" si="153"/>
        <v>►</v>
      </c>
      <c r="F512" s="43" t="str">
        <f t="shared" si="154"/>
        <v>►</v>
      </c>
      <c r="G512" s="43" t="str">
        <f t="shared" si="155"/>
        <v>►</v>
      </c>
      <c r="H512" s="1256" t="s">
        <v>1</v>
      </c>
      <c r="I512" s="5175" t="s">
        <v>1</v>
      </c>
      <c r="J512" s="5161"/>
      <c r="K512" s="5161"/>
      <c r="L512" s="5161"/>
      <c r="M512" s="5176"/>
      <c r="N512" s="5177"/>
      <c r="O512" s="147"/>
      <c r="P512" s="147"/>
      <c r="Q512" s="102"/>
      <c r="R512" s="102"/>
      <c r="S512" s="1360"/>
      <c r="T512" s="43"/>
      <c r="U512" s="42"/>
      <c r="V512" s="41"/>
      <c r="W512" s="40"/>
      <c r="X512" s="39"/>
      <c r="Y512" s="38"/>
      <c r="Z512" s="37"/>
      <c r="AA512" s="36"/>
      <c r="AB512" s="35"/>
      <c r="AC512" s="34"/>
      <c r="AD512" s="55"/>
      <c r="AE512" s="33"/>
      <c r="AG512" s="32"/>
      <c r="AH512" s="31"/>
      <c r="AI512" s="30"/>
      <c r="AJ512" s="5492">
        <f t="shared" si="157"/>
        <v>0</v>
      </c>
      <c r="AK512" s="29">
        <f t="shared" si="158"/>
        <v>0</v>
      </c>
      <c r="AL512" s="28" t="str">
        <f t="shared" si="159"/>
        <v/>
      </c>
      <c r="AM512" s="27"/>
      <c r="AN512" s="26">
        <f t="shared" si="160"/>
        <v>0</v>
      </c>
      <c r="AO512" s="25">
        <f t="shared" si="161"/>
        <v>0</v>
      </c>
      <c r="AP512" s="24">
        <f t="shared" si="162"/>
        <v>0</v>
      </c>
      <c r="AQ512" s="23"/>
      <c r="AR512" s="22">
        <f t="shared" si="163"/>
        <v>0</v>
      </c>
      <c r="AS512" s="21"/>
      <c r="AT512" s="13"/>
      <c r="AU512" s="46">
        <f t="shared" si="164"/>
        <v>0</v>
      </c>
      <c r="BL512" s="20" t="str">
        <f t="shared" si="156"/>
        <v>►</v>
      </c>
      <c r="CO512" s="5">
        <v>1</v>
      </c>
    </row>
    <row r="513" spans="1:93" ht="17.25">
      <c r="A513" s="20" t="str">
        <f t="shared" si="165"/>
        <v>►</v>
      </c>
      <c r="B513" s="43" t="str">
        <f t="shared" si="166"/>
        <v>►</v>
      </c>
      <c r="C513" s="45" t="str">
        <f t="shared" si="151"/>
        <v>►</v>
      </c>
      <c r="D513" s="44" t="str">
        <f t="shared" si="152"/>
        <v>►</v>
      </c>
      <c r="E513" s="43" t="str">
        <f t="shared" si="153"/>
        <v>►</v>
      </c>
      <c r="F513" s="43" t="str">
        <f t="shared" si="154"/>
        <v>►</v>
      </c>
      <c r="G513" s="43" t="str">
        <f t="shared" si="155"/>
        <v>►</v>
      </c>
      <c r="H513" s="1256" t="s">
        <v>1</v>
      </c>
      <c r="I513" s="5175" t="s">
        <v>1</v>
      </c>
      <c r="J513" s="5161"/>
      <c r="K513" s="5161"/>
      <c r="L513" s="5161"/>
      <c r="M513" s="5176"/>
      <c r="N513" s="5177"/>
      <c r="O513" s="147"/>
      <c r="P513" s="147"/>
      <c r="Q513" s="102"/>
      <c r="R513" s="102"/>
      <c r="S513" s="1360"/>
      <c r="T513" s="43"/>
      <c r="U513" s="42"/>
      <c r="V513" s="41"/>
      <c r="W513" s="40"/>
      <c r="X513" s="39"/>
      <c r="Y513" s="38"/>
      <c r="Z513" s="37"/>
      <c r="AA513" s="36"/>
      <c r="AB513" s="35"/>
      <c r="AC513" s="34"/>
      <c r="AD513" s="55"/>
      <c r="AE513" s="33"/>
      <c r="AG513" s="32"/>
      <c r="AH513" s="31"/>
      <c r="AI513" s="30"/>
      <c r="AJ513" s="5492">
        <f t="shared" si="157"/>
        <v>0</v>
      </c>
      <c r="AK513" s="54">
        <f t="shared" si="158"/>
        <v>0</v>
      </c>
      <c r="AL513" s="53" t="str">
        <f t="shared" si="159"/>
        <v/>
      </c>
      <c r="AM513" s="52"/>
      <c r="AN513" s="51">
        <f t="shared" si="160"/>
        <v>0</v>
      </c>
      <c r="AO513" s="50">
        <f t="shared" si="161"/>
        <v>0</v>
      </c>
      <c r="AP513" s="49">
        <f t="shared" si="162"/>
        <v>0</v>
      </c>
      <c r="AQ513" s="23"/>
      <c r="AR513" s="48">
        <f t="shared" si="163"/>
        <v>0</v>
      </c>
      <c r="AS513" s="47"/>
      <c r="AT513" s="13"/>
      <c r="AU513" s="46">
        <f t="shared" si="164"/>
        <v>0</v>
      </c>
      <c r="BL513" s="20" t="str">
        <f t="shared" si="156"/>
        <v>►</v>
      </c>
      <c r="CO513" s="5">
        <v>1</v>
      </c>
    </row>
    <row r="514" spans="1:93" ht="17.25">
      <c r="A514" s="20" t="str">
        <f t="shared" si="165"/>
        <v>►</v>
      </c>
      <c r="B514" s="43" t="str">
        <f t="shared" si="166"/>
        <v>►</v>
      </c>
      <c r="C514" s="45" t="str">
        <f t="shared" si="151"/>
        <v>►</v>
      </c>
      <c r="D514" s="44" t="str">
        <f t="shared" si="152"/>
        <v>►</v>
      </c>
      <c r="E514" s="43" t="str">
        <f t="shared" si="153"/>
        <v>►</v>
      </c>
      <c r="F514" s="43" t="str">
        <f t="shared" si="154"/>
        <v>►</v>
      </c>
      <c r="G514" s="43" t="str">
        <f t="shared" si="155"/>
        <v>►</v>
      </c>
      <c r="H514" s="1256" t="s">
        <v>1</v>
      </c>
      <c r="I514" s="5175" t="s">
        <v>1</v>
      </c>
      <c r="J514" s="5161"/>
      <c r="K514" s="5161"/>
      <c r="L514" s="5161"/>
      <c r="M514" s="5176"/>
      <c r="N514" s="5177"/>
      <c r="O514" s="147"/>
      <c r="P514" s="147"/>
      <c r="Q514" s="102"/>
      <c r="R514" s="102"/>
      <c r="S514" s="1360"/>
      <c r="T514" s="43"/>
      <c r="U514" s="42"/>
      <c r="V514" s="41"/>
      <c r="W514" s="40"/>
      <c r="X514" s="39"/>
      <c r="Y514" s="38"/>
      <c r="Z514" s="37"/>
      <c r="AA514" s="36"/>
      <c r="AB514" s="35"/>
      <c r="AC514" s="34"/>
      <c r="AD514" s="55"/>
      <c r="AE514" s="33"/>
      <c r="AG514" s="32"/>
      <c r="AH514" s="31"/>
      <c r="AI514" s="30"/>
      <c r="AJ514" s="5492">
        <f t="shared" si="157"/>
        <v>0</v>
      </c>
      <c r="AK514" s="29">
        <f t="shared" si="158"/>
        <v>0</v>
      </c>
      <c r="AL514" s="28" t="str">
        <f t="shared" si="159"/>
        <v/>
      </c>
      <c r="AM514" s="27"/>
      <c r="AN514" s="26">
        <f t="shared" si="160"/>
        <v>0</v>
      </c>
      <c r="AO514" s="25">
        <f t="shared" si="161"/>
        <v>0</v>
      </c>
      <c r="AP514" s="24">
        <f t="shared" si="162"/>
        <v>0</v>
      </c>
      <c r="AQ514" s="23"/>
      <c r="AR514" s="22">
        <f t="shared" si="163"/>
        <v>0</v>
      </c>
      <c r="AS514" s="21"/>
      <c r="AT514" s="13"/>
      <c r="AU514" s="46">
        <f t="shared" si="164"/>
        <v>0</v>
      </c>
      <c r="BL514" s="20" t="str">
        <f t="shared" si="156"/>
        <v>►</v>
      </c>
      <c r="CO514" s="5">
        <v>1</v>
      </c>
    </row>
    <row r="515" spans="1:93" ht="17.25">
      <c r="A515" s="20" t="str">
        <f t="shared" si="165"/>
        <v>►</v>
      </c>
      <c r="B515" s="43" t="str">
        <f t="shared" si="166"/>
        <v>►</v>
      </c>
      <c r="C515" s="45" t="str">
        <f t="shared" si="151"/>
        <v>►</v>
      </c>
      <c r="D515" s="44" t="str">
        <f t="shared" si="152"/>
        <v>►</v>
      </c>
      <c r="E515" s="43" t="str">
        <f t="shared" si="153"/>
        <v>►</v>
      </c>
      <c r="F515" s="43" t="str">
        <f t="shared" si="154"/>
        <v>►</v>
      </c>
      <c r="G515" s="43" t="str">
        <f t="shared" si="155"/>
        <v>►</v>
      </c>
      <c r="H515" s="1256" t="s">
        <v>1</v>
      </c>
      <c r="I515" s="5175" t="s">
        <v>1</v>
      </c>
      <c r="J515" s="5161"/>
      <c r="K515" s="5161"/>
      <c r="L515" s="5161"/>
      <c r="M515" s="5176"/>
      <c r="N515" s="5177"/>
      <c r="O515" s="147"/>
      <c r="P515" s="147"/>
      <c r="Q515" s="102"/>
      <c r="R515" s="102"/>
      <c r="S515" s="1360"/>
      <c r="T515" s="43"/>
      <c r="U515" s="42"/>
      <c r="V515" s="41"/>
      <c r="W515" s="40"/>
      <c r="X515" s="39"/>
      <c r="Y515" s="38"/>
      <c r="Z515" s="37"/>
      <c r="AA515" s="36"/>
      <c r="AB515" s="35"/>
      <c r="AC515" s="34"/>
      <c r="AD515" s="55"/>
      <c r="AE515" s="33"/>
      <c r="AG515" s="32"/>
      <c r="AH515" s="31"/>
      <c r="AI515" s="30"/>
      <c r="AJ515" s="5492">
        <f t="shared" si="157"/>
        <v>0</v>
      </c>
      <c r="AK515" s="54">
        <f t="shared" si="158"/>
        <v>0</v>
      </c>
      <c r="AL515" s="53" t="str">
        <f t="shared" si="159"/>
        <v/>
      </c>
      <c r="AM515" s="52"/>
      <c r="AN515" s="51">
        <f t="shared" si="160"/>
        <v>0</v>
      </c>
      <c r="AO515" s="50">
        <f t="shared" si="161"/>
        <v>0</v>
      </c>
      <c r="AP515" s="49">
        <f t="shared" si="162"/>
        <v>0</v>
      </c>
      <c r="AQ515" s="23"/>
      <c r="AR515" s="48">
        <f t="shared" si="163"/>
        <v>0</v>
      </c>
      <c r="AS515" s="47"/>
      <c r="AT515" s="13"/>
      <c r="AU515" s="46">
        <f t="shared" si="164"/>
        <v>0</v>
      </c>
      <c r="BL515" s="20" t="str">
        <f t="shared" si="156"/>
        <v>►</v>
      </c>
      <c r="CO515" s="5">
        <v>1</v>
      </c>
    </row>
    <row r="516" spans="1:93" ht="17.25">
      <c r="A516" s="20" t="str">
        <f t="shared" si="165"/>
        <v>►</v>
      </c>
      <c r="B516" s="43" t="str">
        <f t="shared" si="166"/>
        <v>►</v>
      </c>
      <c r="C516" s="45" t="str">
        <f t="shared" si="151"/>
        <v>►</v>
      </c>
      <c r="D516" s="44" t="str">
        <f t="shared" si="152"/>
        <v>►</v>
      </c>
      <c r="E516" s="43" t="str">
        <f t="shared" si="153"/>
        <v>►</v>
      </c>
      <c r="F516" s="43" t="str">
        <f t="shared" si="154"/>
        <v>►</v>
      </c>
      <c r="G516" s="43" t="str">
        <f t="shared" si="155"/>
        <v>►</v>
      </c>
      <c r="H516" s="1256" t="s">
        <v>1</v>
      </c>
      <c r="I516" s="5175" t="s">
        <v>1</v>
      </c>
      <c r="J516" s="5161"/>
      <c r="K516" s="5161"/>
      <c r="L516" s="5161"/>
      <c r="M516" s="5176"/>
      <c r="N516" s="5177"/>
      <c r="O516" s="147"/>
      <c r="P516" s="147"/>
      <c r="Q516" s="102"/>
      <c r="R516" s="102"/>
      <c r="S516" s="1360"/>
      <c r="T516" s="43"/>
      <c r="U516" s="42"/>
      <c r="V516" s="41"/>
      <c r="W516" s="40"/>
      <c r="X516" s="39"/>
      <c r="Y516" s="38"/>
      <c r="Z516" s="37"/>
      <c r="AA516" s="36"/>
      <c r="AB516" s="35"/>
      <c r="AC516" s="34"/>
      <c r="AD516" s="55"/>
      <c r="AE516" s="33"/>
      <c r="AG516" s="32"/>
      <c r="AH516" s="31"/>
      <c r="AI516" s="30"/>
      <c r="AJ516" s="5492">
        <f t="shared" si="157"/>
        <v>0</v>
      </c>
      <c r="AK516" s="29">
        <f t="shared" si="158"/>
        <v>0</v>
      </c>
      <c r="AL516" s="28" t="str">
        <f t="shared" si="159"/>
        <v/>
      </c>
      <c r="AM516" s="27"/>
      <c r="AN516" s="26">
        <f t="shared" si="160"/>
        <v>0</v>
      </c>
      <c r="AO516" s="25">
        <f t="shared" si="161"/>
        <v>0</v>
      </c>
      <c r="AP516" s="24">
        <f t="shared" si="162"/>
        <v>0</v>
      </c>
      <c r="AQ516" s="23"/>
      <c r="AR516" s="22">
        <f t="shared" si="163"/>
        <v>0</v>
      </c>
      <c r="AS516" s="21"/>
      <c r="AT516" s="13"/>
      <c r="AU516" s="46">
        <f t="shared" si="164"/>
        <v>0</v>
      </c>
      <c r="BL516" s="20" t="str">
        <f t="shared" si="156"/>
        <v>►</v>
      </c>
      <c r="CO516" s="5">
        <v>1</v>
      </c>
    </row>
    <row r="517" spans="1:93" ht="17.25">
      <c r="A517" s="20" t="str">
        <f t="shared" si="165"/>
        <v>►</v>
      </c>
      <c r="B517" s="43" t="str">
        <f t="shared" si="166"/>
        <v>►</v>
      </c>
      <c r="C517" s="45" t="str">
        <f t="shared" si="151"/>
        <v>►</v>
      </c>
      <c r="D517" s="44" t="str">
        <f t="shared" si="152"/>
        <v>►</v>
      </c>
      <c r="E517" s="43" t="str">
        <f t="shared" si="153"/>
        <v>►</v>
      </c>
      <c r="F517" s="43" t="str">
        <f t="shared" si="154"/>
        <v>►</v>
      </c>
      <c r="G517" s="43" t="str">
        <f t="shared" si="155"/>
        <v>►</v>
      </c>
      <c r="H517" s="1256" t="s">
        <v>1</v>
      </c>
      <c r="I517" s="5175" t="s">
        <v>1</v>
      </c>
      <c r="J517" s="5161"/>
      <c r="K517" s="5161"/>
      <c r="L517" s="5161"/>
      <c r="M517" s="5176"/>
      <c r="N517" s="5177"/>
      <c r="O517" s="147"/>
      <c r="P517" s="147"/>
      <c r="Q517" s="102"/>
      <c r="R517" s="102"/>
      <c r="S517" s="1360"/>
      <c r="T517" s="43"/>
      <c r="U517" s="42"/>
      <c r="V517" s="41"/>
      <c r="W517" s="40"/>
      <c r="X517" s="39"/>
      <c r="Y517" s="38"/>
      <c r="Z517" s="37"/>
      <c r="AA517" s="36"/>
      <c r="AB517" s="35"/>
      <c r="AC517" s="34"/>
      <c r="AD517" s="55"/>
      <c r="AE517" s="33"/>
      <c r="AG517" s="32"/>
      <c r="AH517" s="31"/>
      <c r="AI517" s="30"/>
      <c r="AJ517" s="5492">
        <f t="shared" si="157"/>
        <v>0</v>
      </c>
      <c r="AK517" s="54">
        <f t="shared" si="158"/>
        <v>0</v>
      </c>
      <c r="AL517" s="53" t="str">
        <f t="shared" si="159"/>
        <v/>
      </c>
      <c r="AM517" s="52"/>
      <c r="AN517" s="51">
        <f t="shared" si="160"/>
        <v>0</v>
      </c>
      <c r="AO517" s="50">
        <f t="shared" si="161"/>
        <v>0</v>
      </c>
      <c r="AP517" s="49">
        <f t="shared" si="162"/>
        <v>0</v>
      </c>
      <c r="AQ517" s="23"/>
      <c r="AR517" s="48">
        <f t="shared" si="163"/>
        <v>0</v>
      </c>
      <c r="AS517" s="47"/>
      <c r="AT517" s="13"/>
      <c r="AU517" s="46">
        <f t="shared" si="164"/>
        <v>0</v>
      </c>
      <c r="BL517" s="20" t="str">
        <f t="shared" si="156"/>
        <v>►</v>
      </c>
      <c r="CO517" s="5">
        <v>1</v>
      </c>
    </row>
    <row r="518" spans="1:93" ht="17.25">
      <c r="A518" s="20" t="str">
        <f t="shared" si="165"/>
        <v>►</v>
      </c>
      <c r="B518" s="43" t="str">
        <f t="shared" si="166"/>
        <v>►</v>
      </c>
      <c r="C518" s="45" t="str">
        <f t="shared" si="151"/>
        <v>►</v>
      </c>
      <c r="D518" s="44" t="str">
        <f t="shared" si="152"/>
        <v>►</v>
      </c>
      <c r="E518" s="43" t="str">
        <f t="shared" si="153"/>
        <v>►</v>
      </c>
      <c r="F518" s="43" t="str">
        <f t="shared" si="154"/>
        <v>►</v>
      </c>
      <c r="G518" s="43" t="str">
        <f t="shared" si="155"/>
        <v>►</v>
      </c>
      <c r="H518" s="1256" t="s">
        <v>1</v>
      </c>
      <c r="I518" s="5175" t="s">
        <v>1</v>
      </c>
      <c r="J518" s="5161"/>
      <c r="K518" s="5161"/>
      <c r="L518" s="5161"/>
      <c r="M518" s="5176"/>
      <c r="N518" s="5177"/>
      <c r="O518" s="147"/>
      <c r="P518" s="147"/>
      <c r="Q518" s="102"/>
      <c r="R518" s="102"/>
      <c r="S518" s="1360"/>
      <c r="T518" s="43"/>
      <c r="U518" s="42"/>
      <c r="V518" s="41"/>
      <c r="W518" s="40"/>
      <c r="X518" s="39"/>
      <c r="Y518" s="38"/>
      <c r="Z518" s="37"/>
      <c r="AA518" s="36"/>
      <c r="AB518" s="35"/>
      <c r="AC518" s="34"/>
      <c r="AD518" s="55"/>
      <c r="AE518" s="33"/>
      <c r="AG518" s="32"/>
      <c r="AH518" s="31"/>
      <c r="AI518" s="30"/>
      <c r="AJ518" s="5492">
        <f t="shared" si="157"/>
        <v>0</v>
      </c>
      <c r="AK518" s="29">
        <f t="shared" si="158"/>
        <v>0</v>
      </c>
      <c r="AL518" s="28" t="str">
        <f t="shared" si="159"/>
        <v/>
      </c>
      <c r="AM518" s="27"/>
      <c r="AN518" s="26">
        <f t="shared" si="160"/>
        <v>0</v>
      </c>
      <c r="AO518" s="25">
        <f t="shared" si="161"/>
        <v>0</v>
      </c>
      <c r="AP518" s="24">
        <f t="shared" si="162"/>
        <v>0</v>
      </c>
      <c r="AQ518" s="23"/>
      <c r="AR518" s="22">
        <f t="shared" si="163"/>
        <v>0</v>
      </c>
      <c r="AS518" s="21"/>
      <c r="AT518" s="13"/>
      <c r="AU518" s="46">
        <f t="shared" si="164"/>
        <v>0</v>
      </c>
      <c r="BL518" s="20" t="str">
        <f t="shared" si="156"/>
        <v>►</v>
      </c>
      <c r="CO518" s="5">
        <v>1</v>
      </c>
    </row>
    <row r="519" spans="1:93" ht="17.25">
      <c r="A519" s="20" t="str">
        <f t="shared" si="165"/>
        <v>►</v>
      </c>
      <c r="B519" s="43" t="str">
        <f t="shared" si="166"/>
        <v>►</v>
      </c>
      <c r="C519" s="45" t="str">
        <f t="shared" si="151"/>
        <v>►</v>
      </c>
      <c r="D519" s="44" t="str">
        <f t="shared" si="152"/>
        <v>►</v>
      </c>
      <c r="E519" s="43" t="str">
        <f t="shared" si="153"/>
        <v>►</v>
      </c>
      <c r="F519" s="43" t="str">
        <f t="shared" si="154"/>
        <v>►</v>
      </c>
      <c r="G519" s="43" t="str">
        <f t="shared" si="155"/>
        <v>►</v>
      </c>
      <c r="H519" s="1256" t="s">
        <v>1</v>
      </c>
      <c r="I519" s="5175" t="s">
        <v>1</v>
      </c>
      <c r="J519" s="5161"/>
      <c r="K519" s="5161"/>
      <c r="L519" s="5161"/>
      <c r="M519" s="5176"/>
      <c r="N519" s="5177"/>
      <c r="O519" s="147"/>
      <c r="P519" s="147"/>
      <c r="Q519" s="102"/>
      <c r="R519" s="102"/>
      <c r="S519" s="1360"/>
      <c r="T519" s="43"/>
      <c r="U519" s="42"/>
      <c r="V519" s="41"/>
      <c r="W519" s="40"/>
      <c r="X519" s="39"/>
      <c r="Y519" s="38"/>
      <c r="Z519" s="37"/>
      <c r="AA519" s="36"/>
      <c r="AB519" s="35"/>
      <c r="AC519" s="34"/>
      <c r="AD519" s="55"/>
      <c r="AE519" s="33"/>
      <c r="AG519" s="32"/>
      <c r="AH519" s="31"/>
      <c r="AI519" s="30"/>
      <c r="AJ519" s="5492">
        <f t="shared" si="157"/>
        <v>0</v>
      </c>
      <c r="AK519" s="54">
        <f t="shared" si="158"/>
        <v>0</v>
      </c>
      <c r="AL519" s="53" t="str">
        <f t="shared" si="159"/>
        <v/>
      </c>
      <c r="AM519" s="52"/>
      <c r="AN519" s="51">
        <f t="shared" si="160"/>
        <v>0</v>
      </c>
      <c r="AO519" s="50">
        <f t="shared" si="161"/>
        <v>0</v>
      </c>
      <c r="AP519" s="49">
        <f t="shared" si="162"/>
        <v>0</v>
      </c>
      <c r="AQ519" s="23"/>
      <c r="AR519" s="48">
        <f t="shared" si="163"/>
        <v>0</v>
      </c>
      <c r="AS519" s="47"/>
      <c r="AT519" s="13"/>
      <c r="AU519" s="46">
        <f t="shared" si="164"/>
        <v>0</v>
      </c>
      <c r="BL519" s="20" t="str">
        <f t="shared" si="156"/>
        <v>►</v>
      </c>
      <c r="CO519" s="5">
        <v>1</v>
      </c>
    </row>
    <row r="520" spans="1:93" ht="17.25">
      <c r="A520" s="20" t="str">
        <f t="shared" si="165"/>
        <v>►</v>
      </c>
      <c r="B520" s="43" t="str">
        <f t="shared" si="166"/>
        <v>►</v>
      </c>
      <c r="C520" s="45" t="str">
        <f t="shared" si="151"/>
        <v>►</v>
      </c>
      <c r="D520" s="44" t="str">
        <f t="shared" si="152"/>
        <v>►</v>
      </c>
      <c r="E520" s="43" t="str">
        <f t="shared" si="153"/>
        <v>►</v>
      </c>
      <c r="F520" s="43" t="str">
        <f t="shared" si="154"/>
        <v>►</v>
      </c>
      <c r="G520" s="43" t="str">
        <f t="shared" si="155"/>
        <v>►</v>
      </c>
      <c r="H520" s="1256" t="s">
        <v>1</v>
      </c>
      <c r="I520" s="5175" t="s">
        <v>1</v>
      </c>
      <c r="J520" s="5161"/>
      <c r="K520" s="5161"/>
      <c r="L520" s="5161"/>
      <c r="M520" s="5176"/>
      <c r="N520" s="5177"/>
      <c r="O520" s="147"/>
      <c r="P520" s="147"/>
      <c r="Q520" s="102"/>
      <c r="R520" s="102"/>
      <c r="S520" s="1360"/>
      <c r="T520" s="43"/>
      <c r="U520" s="42"/>
      <c r="V520" s="41"/>
      <c r="W520" s="40"/>
      <c r="X520" s="39"/>
      <c r="Y520" s="38"/>
      <c r="Z520" s="37"/>
      <c r="AA520" s="36"/>
      <c r="AB520" s="35"/>
      <c r="AC520" s="34"/>
      <c r="AD520" s="55"/>
      <c r="AE520" s="33"/>
      <c r="AG520" s="32"/>
      <c r="AH520" s="31"/>
      <c r="AI520" s="30"/>
      <c r="AJ520" s="5492">
        <f t="shared" si="157"/>
        <v>0</v>
      </c>
      <c r="AK520" s="29">
        <f t="shared" si="158"/>
        <v>0</v>
      </c>
      <c r="AL520" s="28" t="str">
        <f t="shared" si="159"/>
        <v/>
      </c>
      <c r="AM520" s="27"/>
      <c r="AN520" s="26">
        <f t="shared" si="160"/>
        <v>0</v>
      </c>
      <c r="AO520" s="25">
        <f t="shared" si="161"/>
        <v>0</v>
      </c>
      <c r="AP520" s="24">
        <f t="shared" si="162"/>
        <v>0</v>
      </c>
      <c r="AQ520" s="23"/>
      <c r="AR520" s="22">
        <f t="shared" si="163"/>
        <v>0</v>
      </c>
      <c r="AS520" s="21"/>
      <c r="AT520" s="13"/>
      <c r="AU520" s="46">
        <f t="shared" si="164"/>
        <v>0</v>
      </c>
      <c r="BL520" s="20" t="str">
        <f t="shared" si="156"/>
        <v>►</v>
      </c>
      <c r="CO520" s="5">
        <v>1</v>
      </c>
    </row>
    <row r="521" spans="1:93" ht="17.25">
      <c r="A521" s="20" t="str">
        <f t="shared" si="165"/>
        <v>►</v>
      </c>
      <c r="B521" s="43" t="str">
        <f t="shared" si="166"/>
        <v>►</v>
      </c>
      <c r="C521" s="45" t="str">
        <f t="shared" si="151"/>
        <v>►</v>
      </c>
      <c r="D521" s="44" t="str">
        <f t="shared" si="152"/>
        <v>►</v>
      </c>
      <c r="E521" s="43" t="str">
        <f t="shared" si="153"/>
        <v>►</v>
      </c>
      <c r="F521" s="43" t="str">
        <f t="shared" si="154"/>
        <v>►</v>
      </c>
      <c r="G521" s="43" t="str">
        <f t="shared" si="155"/>
        <v>►</v>
      </c>
      <c r="H521" s="1256" t="s">
        <v>1</v>
      </c>
      <c r="I521" s="5175" t="s">
        <v>1</v>
      </c>
      <c r="J521" s="5161"/>
      <c r="K521" s="5161"/>
      <c r="L521" s="5161"/>
      <c r="M521" s="5176"/>
      <c r="N521" s="5177"/>
      <c r="O521" s="147"/>
      <c r="P521" s="147"/>
      <c r="Q521" s="102"/>
      <c r="R521" s="102"/>
      <c r="S521" s="1360"/>
      <c r="T521" s="43"/>
      <c r="U521" s="42"/>
      <c r="V521" s="41"/>
      <c r="W521" s="40"/>
      <c r="X521" s="39"/>
      <c r="Y521" s="38"/>
      <c r="Z521" s="37"/>
      <c r="AA521" s="36"/>
      <c r="AB521" s="35"/>
      <c r="AC521" s="34"/>
      <c r="AD521" s="55"/>
      <c r="AE521" s="33"/>
      <c r="AG521" s="32"/>
      <c r="AH521" s="31"/>
      <c r="AI521" s="30"/>
      <c r="AJ521" s="5492">
        <f t="shared" si="157"/>
        <v>0</v>
      </c>
      <c r="AK521" s="54">
        <f t="shared" si="158"/>
        <v>0</v>
      </c>
      <c r="AL521" s="53" t="str">
        <f t="shared" si="159"/>
        <v/>
      </c>
      <c r="AM521" s="52"/>
      <c r="AN521" s="51">
        <f t="shared" si="160"/>
        <v>0</v>
      </c>
      <c r="AO521" s="50">
        <f t="shared" si="161"/>
        <v>0</v>
      </c>
      <c r="AP521" s="49">
        <f t="shared" si="162"/>
        <v>0</v>
      </c>
      <c r="AQ521" s="23"/>
      <c r="AR521" s="48">
        <f t="shared" si="163"/>
        <v>0</v>
      </c>
      <c r="AS521" s="47"/>
      <c r="AT521" s="13"/>
      <c r="AU521" s="46">
        <f t="shared" si="164"/>
        <v>0</v>
      </c>
      <c r="BL521" s="20" t="str">
        <f t="shared" si="156"/>
        <v>►</v>
      </c>
      <c r="CO521" s="5">
        <v>1</v>
      </c>
    </row>
    <row r="522" spans="1:93" ht="17.25">
      <c r="A522" s="20" t="str">
        <f t="shared" si="165"/>
        <v>►</v>
      </c>
      <c r="B522" s="43" t="str">
        <f t="shared" si="166"/>
        <v>►</v>
      </c>
      <c r="C522" s="45" t="str">
        <f t="shared" si="151"/>
        <v>►</v>
      </c>
      <c r="D522" s="44" t="str">
        <f t="shared" si="152"/>
        <v>►</v>
      </c>
      <c r="E522" s="43" t="str">
        <f t="shared" si="153"/>
        <v>►</v>
      </c>
      <c r="F522" s="43" t="str">
        <f t="shared" si="154"/>
        <v>►</v>
      </c>
      <c r="G522" s="43" t="str">
        <f t="shared" si="155"/>
        <v>►</v>
      </c>
      <c r="H522" s="1256" t="s">
        <v>1</v>
      </c>
      <c r="I522" s="5175" t="s">
        <v>1</v>
      </c>
      <c r="J522" s="5161"/>
      <c r="K522" s="5161"/>
      <c r="L522" s="5161"/>
      <c r="M522" s="5176"/>
      <c r="N522" s="5177"/>
      <c r="O522" s="147"/>
      <c r="P522" s="147"/>
      <c r="Q522" s="102"/>
      <c r="R522" s="102"/>
      <c r="S522" s="1360"/>
      <c r="T522" s="43"/>
      <c r="U522" s="42"/>
      <c r="V522" s="41"/>
      <c r="W522" s="40"/>
      <c r="X522" s="39"/>
      <c r="Y522" s="38"/>
      <c r="Z522" s="37"/>
      <c r="AA522" s="36"/>
      <c r="AB522" s="35"/>
      <c r="AC522" s="34"/>
      <c r="AD522" s="55"/>
      <c r="AE522" s="33"/>
      <c r="AG522" s="32"/>
      <c r="AH522" s="31"/>
      <c r="AI522" s="30"/>
      <c r="AJ522" s="5492">
        <f t="shared" si="157"/>
        <v>0</v>
      </c>
      <c r="AK522" s="29">
        <f t="shared" si="158"/>
        <v>0</v>
      </c>
      <c r="AL522" s="28" t="str">
        <f t="shared" si="159"/>
        <v/>
      </c>
      <c r="AM522" s="27"/>
      <c r="AN522" s="26">
        <f t="shared" si="160"/>
        <v>0</v>
      </c>
      <c r="AO522" s="25">
        <f t="shared" si="161"/>
        <v>0</v>
      </c>
      <c r="AP522" s="24">
        <f t="shared" si="162"/>
        <v>0</v>
      </c>
      <c r="AQ522" s="23"/>
      <c r="AR522" s="22">
        <f t="shared" si="163"/>
        <v>0</v>
      </c>
      <c r="AS522" s="21"/>
      <c r="AT522" s="13"/>
      <c r="AU522" s="46">
        <f t="shared" si="164"/>
        <v>0</v>
      </c>
      <c r="BL522" s="20" t="str">
        <f t="shared" si="156"/>
        <v>►</v>
      </c>
      <c r="CO522" s="5">
        <v>1</v>
      </c>
    </row>
    <row r="523" spans="1:93" ht="17.25">
      <c r="A523" s="20" t="str">
        <f t="shared" si="165"/>
        <v>►</v>
      </c>
      <c r="B523" s="43" t="str">
        <f t="shared" si="166"/>
        <v>►</v>
      </c>
      <c r="C523" s="45" t="str">
        <f t="shared" si="151"/>
        <v>►</v>
      </c>
      <c r="D523" s="44" t="str">
        <f t="shared" si="152"/>
        <v>►</v>
      </c>
      <c r="E523" s="43" t="str">
        <f t="shared" si="153"/>
        <v>►</v>
      </c>
      <c r="F523" s="43" t="str">
        <f t="shared" si="154"/>
        <v>►</v>
      </c>
      <c r="G523" s="43" t="str">
        <f t="shared" si="155"/>
        <v>►</v>
      </c>
      <c r="H523" s="1256" t="s">
        <v>1</v>
      </c>
      <c r="I523" s="5175" t="s">
        <v>1</v>
      </c>
      <c r="J523" s="5161"/>
      <c r="K523" s="5161"/>
      <c r="L523" s="5161"/>
      <c r="M523" s="5176"/>
      <c r="N523" s="5177"/>
      <c r="O523" s="147"/>
      <c r="P523" s="147"/>
      <c r="Q523" s="102"/>
      <c r="R523" s="102"/>
      <c r="S523" s="1360"/>
      <c r="T523" s="43"/>
      <c r="U523" s="42"/>
      <c r="V523" s="41"/>
      <c r="W523" s="40"/>
      <c r="X523" s="39"/>
      <c r="Y523" s="38"/>
      <c r="Z523" s="37"/>
      <c r="AA523" s="36"/>
      <c r="AB523" s="35"/>
      <c r="AC523" s="34"/>
      <c r="AD523" s="55"/>
      <c r="AE523" s="33"/>
      <c r="AG523" s="32"/>
      <c r="AH523" s="31"/>
      <c r="AI523" s="30"/>
      <c r="AJ523" s="5492">
        <f t="shared" si="157"/>
        <v>0</v>
      </c>
      <c r="AK523" s="54">
        <f t="shared" si="158"/>
        <v>0</v>
      </c>
      <c r="AL523" s="53" t="str">
        <f t="shared" si="159"/>
        <v/>
      </c>
      <c r="AM523" s="52"/>
      <c r="AN523" s="51">
        <f t="shared" si="160"/>
        <v>0</v>
      </c>
      <c r="AO523" s="50">
        <f t="shared" si="161"/>
        <v>0</v>
      </c>
      <c r="AP523" s="49">
        <f t="shared" si="162"/>
        <v>0</v>
      </c>
      <c r="AQ523" s="23"/>
      <c r="AR523" s="48">
        <f t="shared" si="163"/>
        <v>0</v>
      </c>
      <c r="AS523" s="47"/>
      <c r="AT523" s="13"/>
      <c r="AU523" s="46">
        <f t="shared" si="164"/>
        <v>0</v>
      </c>
      <c r="BL523" s="20" t="str">
        <f t="shared" si="156"/>
        <v>►</v>
      </c>
      <c r="CO523" s="5">
        <v>1</v>
      </c>
    </row>
    <row r="524" spans="1:93" ht="17.25">
      <c r="A524" s="20" t="str">
        <f t="shared" si="165"/>
        <v>►</v>
      </c>
      <c r="B524" s="43" t="str">
        <f t="shared" si="166"/>
        <v>►</v>
      </c>
      <c r="C524" s="45" t="str">
        <f t="shared" si="151"/>
        <v>►</v>
      </c>
      <c r="D524" s="44" t="str">
        <f t="shared" si="152"/>
        <v>►</v>
      </c>
      <c r="E524" s="43" t="str">
        <f t="shared" si="153"/>
        <v>►</v>
      </c>
      <c r="F524" s="43" t="str">
        <f t="shared" si="154"/>
        <v>►</v>
      </c>
      <c r="G524" s="43" t="str">
        <f t="shared" si="155"/>
        <v>►</v>
      </c>
      <c r="H524" s="1256" t="s">
        <v>1</v>
      </c>
      <c r="I524" s="5175" t="s">
        <v>1</v>
      </c>
      <c r="J524" s="5161"/>
      <c r="K524" s="5161"/>
      <c r="L524" s="5161"/>
      <c r="M524" s="5176"/>
      <c r="N524" s="5177"/>
      <c r="O524" s="147"/>
      <c r="P524" s="147"/>
      <c r="Q524" s="102"/>
      <c r="R524" s="102"/>
      <c r="S524" s="1360"/>
      <c r="T524" s="43"/>
      <c r="U524" s="42"/>
      <c r="V524" s="41"/>
      <c r="W524" s="40"/>
      <c r="X524" s="39"/>
      <c r="Y524" s="38"/>
      <c r="Z524" s="37"/>
      <c r="AA524" s="36"/>
      <c r="AB524" s="35"/>
      <c r="AC524" s="34"/>
      <c r="AD524" s="55"/>
      <c r="AE524" s="33"/>
      <c r="AG524" s="32"/>
      <c r="AH524" s="31"/>
      <c r="AI524" s="30"/>
      <c r="AJ524" s="5492">
        <f t="shared" si="157"/>
        <v>0</v>
      </c>
      <c r="AK524" s="29">
        <f t="shared" si="158"/>
        <v>0</v>
      </c>
      <c r="AL524" s="28" t="str">
        <f t="shared" si="159"/>
        <v/>
      </c>
      <c r="AM524" s="27"/>
      <c r="AN524" s="26">
        <f t="shared" si="160"/>
        <v>0</v>
      </c>
      <c r="AO524" s="25">
        <f t="shared" si="161"/>
        <v>0</v>
      </c>
      <c r="AP524" s="24">
        <f t="shared" si="162"/>
        <v>0</v>
      </c>
      <c r="AQ524" s="23"/>
      <c r="AR524" s="22">
        <f t="shared" si="163"/>
        <v>0</v>
      </c>
      <c r="AS524" s="21"/>
      <c r="AT524" s="13"/>
      <c r="AU524" s="46">
        <f t="shared" si="164"/>
        <v>0</v>
      </c>
      <c r="BL524" s="20" t="str">
        <f t="shared" si="156"/>
        <v>►</v>
      </c>
      <c r="CO524" s="5">
        <v>1</v>
      </c>
    </row>
    <row r="525" spans="1:93" ht="17.25">
      <c r="A525" s="20" t="str">
        <f t="shared" si="165"/>
        <v>►</v>
      </c>
      <c r="B525" s="43" t="str">
        <f t="shared" si="166"/>
        <v>►</v>
      </c>
      <c r="C525" s="45" t="str">
        <f t="shared" si="151"/>
        <v>►</v>
      </c>
      <c r="D525" s="44" t="str">
        <f t="shared" si="152"/>
        <v>►</v>
      </c>
      <c r="E525" s="43" t="str">
        <f t="shared" si="153"/>
        <v>►</v>
      </c>
      <c r="F525" s="43" t="str">
        <f t="shared" si="154"/>
        <v>►</v>
      </c>
      <c r="G525" s="43" t="str">
        <f t="shared" si="155"/>
        <v>►</v>
      </c>
      <c r="H525" s="1256" t="s">
        <v>1</v>
      </c>
      <c r="I525" s="5175" t="s">
        <v>1</v>
      </c>
      <c r="J525" s="5161"/>
      <c r="K525" s="5161"/>
      <c r="L525" s="5161"/>
      <c r="M525" s="5176"/>
      <c r="N525" s="5177"/>
      <c r="O525" s="147"/>
      <c r="P525" s="147"/>
      <c r="Q525" s="102"/>
      <c r="R525" s="102"/>
      <c r="S525" s="1360"/>
      <c r="T525" s="43"/>
      <c r="U525" s="42"/>
      <c r="V525" s="41"/>
      <c r="W525" s="40"/>
      <c r="X525" s="39"/>
      <c r="Y525" s="38"/>
      <c r="Z525" s="37"/>
      <c r="AA525" s="36"/>
      <c r="AB525" s="35"/>
      <c r="AC525" s="34"/>
      <c r="AD525" s="55"/>
      <c r="AE525" s="33"/>
      <c r="AG525" s="32"/>
      <c r="AH525" s="31"/>
      <c r="AI525" s="30"/>
      <c r="AJ525" s="5492">
        <f t="shared" si="157"/>
        <v>0</v>
      </c>
      <c r="AK525" s="54">
        <f t="shared" si="158"/>
        <v>0</v>
      </c>
      <c r="AL525" s="53" t="str">
        <f t="shared" si="159"/>
        <v/>
      </c>
      <c r="AM525" s="52"/>
      <c r="AN525" s="51">
        <f t="shared" si="160"/>
        <v>0</v>
      </c>
      <c r="AO525" s="50">
        <f t="shared" si="161"/>
        <v>0</v>
      </c>
      <c r="AP525" s="49">
        <f t="shared" si="162"/>
        <v>0</v>
      </c>
      <c r="AQ525" s="23"/>
      <c r="AR525" s="48">
        <f t="shared" si="163"/>
        <v>0</v>
      </c>
      <c r="AS525" s="47"/>
      <c r="AT525" s="13"/>
      <c r="AU525" s="46">
        <f t="shared" si="164"/>
        <v>0</v>
      </c>
      <c r="BL525" s="20" t="str">
        <f t="shared" si="156"/>
        <v>►</v>
      </c>
      <c r="CO525" s="5">
        <v>1</v>
      </c>
    </row>
    <row r="526" spans="1:93" ht="17.25">
      <c r="A526" s="20" t="str">
        <f t="shared" si="165"/>
        <v>►</v>
      </c>
      <c r="B526" s="43" t="str">
        <f t="shared" si="166"/>
        <v>►</v>
      </c>
      <c r="C526" s="45" t="str">
        <f t="shared" ref="C526:C589" si="167">IF(B526="►","►",IFERROR(LEFT(B526,SEARCH(".",B526)-1),0))</f>
        <v>►</v>
      </c>
      <c r="D526" s="44" t="str">
        <f t="shared" ref="D526:D589" si="168">IF(B526="►","►",IFERROR(MID(B526,SEARCH(".",B526)+1,SEARCH(".",B526,SEARCH(".",B526)+1)-SEARCH(".",B526)-1),0))</f>
        <v>►</v>
      </c>
      <c r="E526" s="43" t="str">
        <f t="shared" ref="E526:E589" si="169">IF(B526="►","►",IFERROR(MID(B526,SEARCH(".",B526,SEARCH(".",B526)+1)+1,SEARCH(".",B526,SEARCH(".",B526,SEARCH(".",B526)+1)+1)-SEARCH(".",B526,SEARCH(".",B526)+1)-1),0))</f>
        <v>►</v>
      </c>
      <c r="F526" s="43" t="str">
        <f t="shared" ref="F526:F589" si="170">IF(B526="►","►",IFERROR(MID(J526,SEARCH(".",B526,SEARCH(".",B526,SEARCH(".",B526)+1)+1)+1,SEARCH(".",B526,SEARCH(".",B526,SEARCH(".",B526,SEARCH(".",B526)+1)+1)+1)-SEARCH(".",B526,SEARCH(".",B526,SEARCH(".",B526)+1)+1)-1),0))</f>
        <v>►</v>
      </c>
      <c r="G526" s="43" t="str">
        <f t="shared" si="155"/>
        <v>►</v>
      </c>
      <c r="H526" s="1256" t="s">
        <v>1</v>
      </c>
      <c r="I526" s="5175" t="s">
        <v>1</v>
      </c>
      <c r="J526" s="5161"/>
      <c r="K526" s="5161"/>
      <c r="L526" s="5161"/>
      <c r="M526" s="5176"/>
      <c r="N526" s="5177"/>
      <c r="O526" s="147"/>
      <c r="P526" s="147"/>
      <c r="Q526" s="102"/>
      <c r="R526" s="102"/>
      <c r="S526" s="1360"/>
      <c r="T526" s="43"/>
      <c r="U526" s="42"/>
      <c r="V526" s="41"/>
      <c r="W526" s="40"/>
      <c r="X526" s="39"/>
      <c r="Y526" s="38"/>
      <c r="Z526" s="37"/>
      <c r="AA526" s="36"/>
      <c r="AB526" s="35"/>
      <c r="AC526" s="34"/>
      <c r="AD526" s="55"/>
      <c r="AE526" s="33"/>
      <c r="AG526" s="32"/>
      <c r="AH526" s="31"/>
      <c r="AI526" s="30"/>
      <c r="AJ526" s="5492">
        <f t="shared" si="157"/>
        <v>0</v>
      </c>
      <c r="AK526" s="29">
        <f t="shared" si="158"/>
        <v>0</v>
      </c>
      <c r="AL526" s="28" t="str">
        <f t="shared" si="159"/>
        <v/>
      </c>
      <c r="AM526" s="27"/>
      <c r="AN526" s="26">
        <f t="shared" si="160"/>
        <v>0</v>
      </c>
      <c r="AO526" s="25">
        <f t="shared" si="161"/>
        <v>0</v>
      </c>
      <c r="AP526" s="24">
        <f t="shared" si="162"/>
        <v>0</v>
      </c>
      <c r="AQ526" s="23"/>
      <c r="AR526" s="22">
        <f t="shared" si="163"/>
        <v>0</v>
      </c>
      <c r="AS526" s="21"/>
      <c r="AT526" s="13"/>
      <c r="AU526" s="46">
        <f t="shared" si="164"/>
        <v>0</v>
      </c>
      <c r="BL526" s="20" t="str">
        <f t="shared" si="156"/>
        <v>►</v>
      </c>
      <c r="CO526" s="5">
        <v>1</v>
      </c>
    </row>
    <row r="527" spans="1:93" ht="17.25">
      <c r="A527" s="20" t="str">
        <f t="shared" si="165"/>
        <v>►</v>
      </c>
      <c r="B527" s="43" t="str">
        <f t="shared" si="166"/>
        <v>►</v>
      </c>
      <c r="C527" s="45" t="str">
        <f t="shared" si="167"/>
        <v>►</v>
      </c>
      <c r="D527" s="44" t="str">
        <f t="shared" si="168"/>
        <v>►</v>
      </c>
      <c r="E527" s="43" t="str">
        <f t="shared" si="169"/>
        <v>►</v>
      </c>
      <c r="F527" s="43" t="str">
        <f t="shared" si="170"/>
        <v>►</v>
      </c>
      <c r="G527" s="43" t="str">
        <f t="shared" si="155"/>
        <v>►</v>
      </c>
      <c r="H527" s="1256" t="s">
        <v>1</v>
      </c>
      <c r="I527" s="5175" t="s">
        <v>1</v>
      </c>
      <c r="J527" s="5161"/>
      <c r="K527" s="5161"/>
      <c r="L527" s="5161"/>
      <c r="M527" s="5176"/>
      <c r="N527" s="5177"/>
      <c r="O527" s="147"/>
      <c r="P527" s="147"/>
      <c r="Q527" s="102"/>
      <c r="R527" s="102"/>
      <c r="S527" s="1360"/>
      <c r="T527" s="43"/>
      <c r="U527" s="42"/>
      <c r="V527" s="41"/>
      <c r="W527" s="40"/>
      <c r="X527" s="39"/>
      <c r="Y527" s="38"/>
      <c r="Z527" s="37"/>
      <c r="AA527" s="36"/>
      <c r="AB527" s="35"/>
      <c r="AC527" s="34"/>
      <c r="AD527" s="55"/>
      <c r="AE527" s="33"/>
      <c r="AG527" s="32"/>
      <c r="AH527" s="31"/>
      <c r="AI527" s="30"/>
      <c r="AJ527" s="5492">
        <f t="shared" si="157"/>
        <v>0</v>
      </c>
      <c r="AK527" s="54">
        <f t="shared" si="158"/>
        <v>0</v>
      </c>
      <c r="AL527" s="53" t="str">
        <f t="shared" si="159"/>
        <v/>
      </c>
      <c r="AM527" s="52"/>
      <c r="AN527" s="51">
        <f t="shared" si="160"/>
        <v>0</v>
      </c>
      <c r="AO527" s="50">
        <f t="shared" si="161"/>
        <v>0</v>
      </c>
      <c r="AP527" s="49">
        <f t="shared" si="162"/>
        <v>0</v>
      </c>
      <c r="AQ527" s="23"/>
      <c r="AR527" s="48">
        <f t="shared" si="163"/>
        <v>0</v>
      </c>
      <c r="AS527" s="47"/>
      <c r="AT527" s="13"/>
      <c r="AU527" s="46">
        <f t="shared" si="164"/>
        <v>0</v>
      </c>
      <c r="BL527" s="20" t="str">
        <f t="shared" si="156"/>
        <v>►</v>
      </c>
      <c r="CO527" s="5">
        <v>1</v>
      </c>
    </row>
    <row r="528" spans="1:93" ht="17.25">
      <c r="A528" s="20" t="str">
        <f t="shared" si="165"/>
        <v>►</v>
      </c>
      <c r="B528" s="43" t="str">
        <f t="shared" si="166"/>
        <v>►</v>
      </c>
      <c r="C528" s="45" t="str">
        <f t="shared" si="167"/>
        <v>►</v>
      </c>
      <c r="D528" s="44" t="str">
        <f t="shared" si="168"/>
        <v>►</v>
      </c>
      <c r="E528" s="43" t="str">
        <f t="shared" si="169"/>
        <v>►</v>
      </c>
      <c r="F528" s="43" t="str">
        <f t="shared" si="170"/>
        <v>►</v>
      </c>
      <c r="G528" s="43" t="str">
        <f t="shared" ref="G528:G591" si="171">IF(B528="►","►",IF(ISBLANK(B528),"►",IFERROR(RIGHT(B528,LEN(B528)-FIND("►",B528)-1),"")))</f>
        <v>►</v>
      </c>
      <c r="H528" s="1256" t="s">
        <v>1</v>
      </c>
      <c r="I528" s="5175" t="s">
        <v>1</v>
      </c>
      <c r="J528" s="5161"/>
      <c r="K528" s="5161"/>
      <c r="L528" s="5161"/>
      <c r="M528" s="5176"/>
      <c r="N528" s="5177"/>
      <c r="O528" s="147"/>
      <c r="P528" s="147"/>
      <c r="Q528" s="102"/>
      <c r="R528" s="102"/>
      <c r="S528" s="1360"/>
      <c r="T528" s="43"/>
      <c r="U528" s="42"/>
      <c r="V528" s="41"/>
      <c r="W528" s="40"/>
      <c r="X528" s="39"/>
      <c r="Y528" s="38"/>
      <c r="Z528" s="37"/>
      <c r="AA528" s="36"/>
      <c r="AB528" s="35"/>
      <c r="AC528" s="34"/>
      <c r="AD528" s="55"/>
      <c r="AE528" s="33"/>
      <c r="AG528" s="32"/>
      <c r="AH528" s="31"/>
      <c r="AI528" s="30"/>
      <c r="AJ528" s="5492">
        <f t="shared" si="157"/>
        <v>0</v>
      </c>
      <c r="AK528" s="29">
        <f t="shared" si="158"/>
        <v>0</v>
      </c>
      <c r="AL528" s="28" t="str">
        <f t="shared" si="159"/>
        <v/>
      </c>
      <c r="AM528" s="27"/>
      <c r="AN528" s="26">
        <f t="shared" si="160"/>
        <v>0</v>
      </c>
      <c r="AO528" s="25">
        <f t="shared" si="161"/>
        <v>0</v>
      </c>
      <c r="AP528" s="24">
        <f t="shared" si="162"/>
        <v>0</v>
      </c>
      <c r="AQ528" s="23"/>
      <c r="AR528" s="22">
        <f t="shared" si="163"/>
        <v>0</v>
      </c>
      <c r="AS528" s="21"/>
      <c r="AT528" s="13"/>
      <c r="AU528" s="46">
        <f t="shared" si="164"/>
        <v>0</v>
      </c>
      <c r="BL528" s="20" t="str">
        <f t="shared" si="156"/>
        <v>►</v>
      </c>
      <c r="CO528" s="5">
        <v>1</v>
      </c>
    </row>
    <row r="529" spans="1:93" ht="17.25">
      <c r="A529" s="20" t="str">
        <f t="shared" si="165"/>
        <v>►</v>
      </c>
      <c r="B529" s="43" t="str">
        <f t="shared" si="166"/>
        <v>►</v>
      </c>
      <c r="C529" s="45" t="str">
        <f t="shared" si="167"/>
        <v>►</v>
      </c>
      <c r="D529" s="44" t="str">
        <f t="shared" si="168"/>
        <v>►</v>
      </c>
      <c r="E529" s="43" t="str">
        <f t="shared" si="169"/>
        <v>►</v>
      </c>
      <c r="F529" s="43" t="str">
        <f t="shared" si="170"/>
        <v>►</v>
      </c>
      <c r="G529" s="43" t="str">
        <f t="shared" si="171"/>
        <v>►</v>
      </c>
      <c r="H529" s="1256" t="s">
        <v>1</v>
      </c>
      <c r="I529" s="5175" t="s">
        <v>1</v>
      </c>
      <c r="J529" s="5161"/>
      <c r="K529" s="5161"/>
      <c r="L529" s="5161"/>
      <c r="M529" s="5176"/>
      <c r="N529" s="5177"/>
      <c r="O529" s="147"/>
      <c r="P529" s="147"/>
      <c r="Q529" s="102"/>
      <c r="R529" s="102"/>
      <c r="S529" s="1360"/>
      <c r="T529" s="43"/>
      <c r="U529" s="42"/>
      <c r="V529" s="41"/>
      <c r="W529" s="40"/>
      <c r="X529" s="39"/>
      <c r="Y529" s="38"/>
      <c r="Z529" s="37"/>
      <c r="AA529" s="36"/>
      <c r="AB529" s="35"/>
      <c r="AC529" s="34"/>
      <c r="AD529" s="55"/>
      <c r="AE529" s="33"/>
      <c r="AG529" s="32"/>
      <c r="AH529" s="31"/>
      <c r="AI529" s="30"/>
      <c r="AJ529" s="5492">
        <f t="shared" si="157"/>
        <v>0</v>
      </c>
      <c r="AK529" s="54">
        <f t="shared" si="158"/>
        <v>0</v>
      </c>
      <c r="AL529" s="53" t="str">
        <f t="shared" si="159"/>
        <v/>
      </c>
      <c r="AM529" s="52"/>
      <c r="AN529" s="51">
        <f t="shared" si="160"/>
        <v>0</v>
      </c>
      <c r="AO529" s="50">
        <f t="shared" si="161"/>
        <v>0</v>
      </c>
      <c r="AP529" s="49">
        <f t="shared" si="162"/>
        <v>0</v>
      </c>
      <c r="AQ529" s="23"/>
      <c r="AR529" s="48">
        <f t="shared" si="163"/>
        <v>0</v>
      </c>
      <c r="AS529" s="47"/>
      <c r="AT529" s="13"/>
      <c r="AU529" s="46">
        <f t="shared" si="164"/>
        <v>0</v>
      </c>
      <c r="BL529" s="20" t="str">
        <f t="shared" si="156"/>
        <v>►</v>
      </c>
      <c r="CO529" s="5">
        <v>1</v>
      </c>
    </row>
    <row r="530" spans="1:93" ht="17.25">
      <c r="A530" s="20" t="str">
        <f t="shared" si="165"/>
        <v>►</v>
      </c>
      <c r="B530" s="43" t="str">
        <f t="shared" si="166"/>
        <v>►</v>
      </c>
      <c r="C530" s="45" t="str">
        <f t="shared" si="167"/>
        <v>►</v>
      </c>
      <c r="D530" s="44" t="str">
        <f t="shared" si="168"/>
        <v>►</v>
      </c>
      <c r="E530" s="43" t="str">
        <f t="shared" si="169"/>
        <v>►</v>
      </c>
      <c r="F530" s="43" t="str">
        <f t="shared" si="170"/>
        <v>►</v>
      </c>
      <c r="G530" s="43" t="str">
        <f t="shared" si="171"/>
        <v>►</v>
      </c>
      <c r="H530" s="1256" t="s">
        <v>1</v>
      </c>
      <c r="I530" s="5175" t="s">
        <v>1</v>
      </c>
      <c r="J530" s="5161"/>
      <c r="K530" s="5161"/>
      <c r="L530" s="5161"/>
      <c r="M530" s="5176"/>
      <c r="N530" s="5177"/>
      <c r="O530" s="147"/>
      <c r="P530" s="147"/>
      <c r="Q530" s="102"/>
      <c r="R530" s="102"/>
      <c r="S530" s="1360"/>
      <c r="T530" s="43"/>
      <c r="U530" s="42"/>
      <c r="V530" s="41"/>
      <c r="W530" s="40"/>
      <c r="X530" s="39"/>
      <c r="Y530" s="38"/>
      <c r="Z530" s="37"/>
      <c r="AA530" s="36"/>
      <c r="AB530" s="35"/>
      <c r="AC530" s="34"/>
      <c r="AD530" s="55"/>
      <c r="AE530" s="33"/>
      <c r="AG530" s="32"/>
      <c r="AH530" s="31"/>
      <c r="AI530" s="30"/>
      <c r="AJ530" s="5492">
        <f t="shared" si="157"/>
        <v>0</v>
      </c>
      <c r="AK530" s="29">
        <f t="shared" si="158"/>
        <v>0</v>
      </c>
      <c r="AL530" s="28" t="str">
        <f t="shared" si="159"/>
        <v/>
      </c>
      <c r="AM530" s="27"/>
      <c r="AN530" s="26">
        <f t="shared" si="160"/>
        <v>0</v>
      </c>
      <c r="AO530" s="25">
        <f t="shared" si="161"/>
        <v>0</v>
      </c>
      <c r="AP530" s="24">
        <f t="shared" si="162"/>
        <v>0</v>
      </c>
      <c r="AQ530" s="23"/>
      <c r="AR530" s="22">
        <f t="shared" si="163"/>
        <v>0</v>
      </c>
      <c r="AS530" s="21"/>
      <c r="AT530" s="13"/>
      <c r="AU530" s="46">
        <f t="shared" si="164"/>
        <v>0</v>
      </c>
      <c r="BL530" s="20" t="str">
        <f t="shared" ref="BL530:BL593" si="172">A530</f>
        <v>►</v>
      </c>
      <c r="CO530" s="5">
        <v>1</v>
      </c>
    </row>
    <row r="531" spans="1:93" ht="17.25">
      <c r="A531" s="20" t="str">
        <f t="shared" si="165"/>
        <v>►</v>
      </c>
      <c r="B531" s="43" t="str">
        <f t="shared" si="166"/>
        <v>►</v>
      </c>
      <c r="C531" s="45" t="str">
        <f t="shared" si="167"/>
        <v>►</v>
      </c>
      <c r="D531" s="44" t="str">
        <f t="shared" si="168"/>
        <v>►</v>
      </c>
      <c r="E531" s="43" t="str">
        <f t="shared" si="169"/>
        <v>►</v>
      </c>
      <c r="F531" s="43" t="str">
        <f t="shared" si="170"/>
        <v>►</v>
      </c>
      <c r="G531" s="43" t="str">
        <f t="shared" si="171"/>
        <v>►</v>
      </c>
      <c r="H531" s="1256" t="s">
        <v>1</v>
      </c>
      <c r="I531" s="5175" t="s">
        <v>1</v>
      </c>
      <c r="J531" s="5161"/>
      <c r="K531" s="5161"/>
      <c r="L531" s="5161"/>
      <c r="M531" s="5176"/>
      <c r="N531" s="5177"/>
      <c r="O531" s="147"/>
      <c r="P531" s="147"/>
      <c r="Q531" s="102"/>
      <c r="R531" s="102"/>
      <c r="S531" s="1360"/>
      <c r="T531" s="43"/>
      <c r="U531" s="42"/>
      <c r="V531" s="41"/>
      <c r="W531" s="40"/>
      <c r="X531" s="39"/>
      <c r="Y531" s="38"/>
      <c r="Z531" s="37"/>
      <c r="AA531" s="36"/>
      <c r="AB531" s="35"/>
      <c r="AC531" s="34"/>
      <c r="AD531" s="55"/>
      <c r="AE531" s="33"/>
      <c r="AG531" s="32"/>
      <c r="AH531" s="31"/>
      <c r="AI531" s="30"/>
      <c r="AJ531" s="5492">
        <f t="shared" si="157"/>
        <v>0</v>
      </c>
      <c r="AK531" s="54">
        <f t="shared" si="158"/>
        <v>0</v>
      </c>
      <c r="AL531" s="53" t="str">
        <f t="shared" si="159"/>
        <v/>
      </c>
      <c r="AM531" s="52"/>
      <c r="AN531" s="51">
        <f t="shared" si="160"/>
        <v>0</v>
      </c>
      <c r="AO531" s="50">
        <f t="shared" si="161"/>
        <v>0</v>
      </c>
      <c r="AP531" s="49">
        <f t="shared" si="162"/>
        <v>0</v>
      </c>
      <c r="AQ531" s="23"/>
      <c r="AR531" s="48">
        <f t="shared" si="163"/>
        <v>0</v>
      </c>
      <c r="AS531" s="47"/>
      <c r="AT531" s="13"/>
      <c r="AU531" s="46">
        <f t="shared" si="164"/>
        <v>0</v>
      </c>
      <c r="BL531" s="20" t="str">
        <f t="shared" si="172"/>
        <v>►</v>
      </c>
      <c r="CO531" s="5">
        <v>1</v>
      </c>
    </row>
    <row r="532" spans="1:93" ht="17.25">
      <c r="A532" s="20" t="str">
        <f t="shared" si="165"/>
        <v>►</v>
      </c>
      <c r="B532" s="43" t="str">
        <f t="shared" si="166"/>
        <v>►</v>
      </c>
      <c r="C532" s="45" t="str">
        <f t="shared" si="167"/>
        <v>►</v>
      </c>
      <c r="D532" s="44" t="str">
        <f t="shared" si="168"/>
        <v>►</v>
      </c>
      <c r="E532" s="43" t="str">
        <f t="shared" si="169"/>
        <v>►</v>
      </c>
      <c r="F532" s="43" t="str">
        <f t="shared" si="170"/>
        <v>►</v>
      </c>
      <c r="G532" s="43" t="str">
        <f t="shared" si="171"/>
        <v>►</v>
      </c>
      <c r="H532" s="1256" t="s">
        <v>1</v>
      </c>
      <c r="I532" s="5175" t="s">
        <v>1</v>
      </c>
      <c r="J532" s="5161"/>
      <c r="K532" s="5161"/>
      <c r="L532" s="5161"/>
      <c r="M532" s="5176"/>
      <c r="N532" s="5177"/>
      <c r="O532" s="147"/>
      <c r="P532" s="147"/>
      <c r="Q532" s="102"/>
      <c r="R532" s="102"/>
      <c r="S532" s="1360"/>
      <c r="T532" s="43"/>
      <c r="U532" s="42"/>
      <c r="V532" s="41"/>
      <c r="W532" s="40"/>
      <c r="X532" s="39"/>
      <c r="Y532" s="38"/>
      <c r="Z532" s="37"/>
      <c r="AA532" s="36"/>
      <c r="AB532" s="35"/>
      <c r="AC532" s="34"/>
      <c r="AD532" s="55"/>
      <c r="AE532" s="33"/>
      <c r="AG532" s="32"/>
      <c r="AH532" s="31"/>
      <c r="AI532" s="30"/>
      <c r="AJ532" s="5492">
        <f t="shared" si="157"/>
        <v>0</v>
      </c>
      <c r="AK532" s="29">
        <f t="shared" si="158"/>
        <v>0</v>
      </c>
      <c r="AL532" s="28" t="str">
        <f t="shared" si="159"/>
        <v/>
      </c>
      <c r="AM532" s="27"/>
      <c r="AN532" s="26">
        <f t="shared" si="160"/>
        <v>0</v>
      </c>
      <c r="AO532" s="25">
        <f t="shared" si="161"/>
        <v>0</v>
      </c>
      <c r="AP532" s="24">
        <f t="shared" si="162"/>
        <v>0</v>
      </c>
      <c r="AQ532" s="23"/>
      <c r="AR532" s="22">
        <f t="shared" si="163"/>
        <v>0</v>
      </c>
      <c r="AS532" s="21"/>
      <c r="AT532" s="13"/>
      <c r="AU532" s="46">
        <f t="shared" si="164"/>
        <v>0</v>
      </c>
      <c r="BL532" s="20" t="str">
        <f t="shared" si="172"/>
        <v>►</v>
      </c>
      <c r="CO532" s="5">
        <v>1</v>
      </c>
    </row>
    <row r="533" spans="1:93" ht="17.25">
      <c r="A533" s="20" t="str">
        <f t="shared" si="165"/>
        <v>►</v>
      </c>
      <c r="B533" s="43" t="str">
        <f t="shared" si="166"/>
        <v>►</v>
      </c>
      <c r="C533" s="45" t="str">
        <f t="shared" si="167"/>
        <v>►</v>
      </c>
      <c r="D533" s="44" t="str">
        <f t="shared" si="168"/>
        <v>►</v>
      </c>
      <c r="E533" s="43" t="str">
        <f t="shared" si="169"/>
        <v>►</v>
      </c>
      <c r="F533" s="43" t="str">
        <f t="shared" si="170"/>
        <v>►</v>
      </c>
      <c r="G533" s="43" t="str">
        <f t="shared" si="171"/>
        <v>►</v>
      </c>
      <c r="H533" s="1256" t="s">
        <v>1</v>
      </c>
      <c r="I533" s="5175" t="s">
        <v>1</v>
      </c>
      <c r="J533" s="5161"/>
      <c r="K533" s="5161"/>
      <c r="L533" s="5161"/>
      <c r="M533" s="5176"/>
      <c r="N533" s="5177"/>
      <c r="O533" s="147"/>
      <c r="P533" s="147"/>
      <c r="Q533" s="102"/>
      <c r="R533" s="102"/>
      <c r="S533" s="1360"/>
      <c r="T533" s="43"/>
      <c r="U533" s="42"/>
      <c r="V533" s="41"/>
      <c r="W533" s="40"/>
      <c r="X533" s="39"/>
      <c r="Y533" s="38"/>
      <c r="Z533" s="37"/>
      <c r="AA533" s="36"/>
      <c r="AB533" s="35"/>
      <c r="AC533" s="34"/>
      <c r="AD533" s="55"/>
      <c r="AE533" s="33"/>
      <c r="AG533" s="32"/>
      <c r="AH533" s="31"/>
      <c r="AI533" s="30"/>
      <c r="AJ533" s="5492">
        <f t="shared" si="157"/>
        <v>0</v>
      </c>
      <c r="AK533" s="54">
        <f t="shared" si="158"/>
        <v>0</v>
      </c>
      <c r="AL533" s="53" t="str">
        <f t="shared" si="159"/>
        <v/>
      </c>
      <c r="AM533" s="52"/>
      <c r="AN533" s="51">
        <f t="shared" si="160"/>
        <v>0</v>
      </c>
      <c r="AO533" s="50">
        <f t="shared" si="161"/>
        <v>0</v>
      </c>
      <c r="AP533" s="49">
        <f t="shared" si="162"/>
        <v>0</v>
      </c>
      <c r="AQ533" s="23"/>
      <c r="AR533" s="48">
        <f t="shared" si="163"/>
        <v>0</v>
      </c>
      <c r="AS533" s="47"/>
      <c r="AT533" s="13"/>
      <c r="AU533" s="46">
        <f t="shared" si="164"/>
        <v>0</v>
      </c>
      <c r="BL533" s="20" t="str">
        <f t="shared" si="172"/>
        <v>►</v>
      </c>
      <c r="CO533" s="5">
        <v>1</v>
      </c>
    </row>
    <row r="534" spans="1:93" ht="17.25">
      <c r="A534" s="20" t="str">
        <f t="shared" si="165"/>
        <v>►</v>
      </c>
      <c r="B534" s="43" t="str">
        <f t="shared" si="166"/>
        <v>►</v>
      </c>
      <c r="C534" s="45" t="str">
        <f t="shared" si="167"/>
        <v>►</v>
      </c>
      <c r="D534" s="44" t="str">
        <f t="shared" si="168"/>
        <v>►</v>
      </c>
      <c r="E534" s="43" t="str">
        <f t="shared" si="169"/>
        <v>►</v>
      </c>
      <c r="F534" s="43" t="str">
        <f t="shared" si="170"/>
        <v>►</v>
      </c>
      <c r="G534" s="43" t="str">
        <f t="shared" si="171"/>
        <v>►</v>
      </c>
      <c r="H534" s="1256" t="s">
        <v>1</v>
      </c>
      <c r="I534" s="5175" t="s">
        <v>1</v>
      </c>
      <c r="J534" s="5161"/>
      <c r="K534" s="5161"/>
      <c r="L534" s="5161"/>
      <c r="M534" s="5176"/>
      <c r="N534" s="5177"/>
      <c r="O534" s="147"/>
      <c r="P534" s="147"/>
      <c r="Q534" s="102"/>
      <c r="R534" s="102"/>
      <c r="S534" s="1360"/>
      <c r="T534" s="43"/>
      <c r="U534" s="42"/>
      <c r="V534" s="41"/>
      <c r="W534" s="40"/>
      <c r="X534" s="39"/>
      <c r="Y534" s="38"/>
      <c r="Z534" s="37"/>
      <c r="AA534" s="36"/>
      <c r="AB534" s="35"/>
      <c r="AC534" s="34"/>
      <c r="AD534" s="55"/>
      <c r="AE534" s="33"/>
      <c r="AG534" s="32"/>
      <c r="AH534" s="31"/>
      <c r="AI534" s="30"/>
      <c r="AJ534" s="5492">
        <f t="shared" si="157"/>
        <v>0</v>
      </c>
      <c r="AK534" s="29">
        <f t="shared" si="158"/>
        <v>0</v>
      </c>
      <c r="AL534" s="28" t="str">
        <f t="shared" si="159"/>
        <v/>
      </c>
      <c r="AM534" s="27"/>
      <c r="AN534" s="26">
        <f t="shared" si="160"/>
        <v>0</v>
      </c>
      <c r="AO534" s="25">
        <f t="shared" si="161"/>
        <v>0</v>
      </c>
      <c r="AP534" s="24">
        <f t="shared" si="162"/>
        <v>0</v>
      </c>
      <c r="AQ534" s="23"/>
      <c r="AR534" s="22">
        <f t="shared" si="163"/>
        <v>0</v>
      </c>
      <c r="AS534" s="21"/>
      <c r="AT534" s="13"/>
      <c r="AU534" s="46">
        <f t="shared" si="164"/>
        <v>0</v>
      </c>
      <c r="BL534" s="20" t="str">
        <f t="shared" si="172"/>
        <v>►</v>
      </c>
      <c r="CO534" s="5">
        <v>1</v>
      </c>
    </row>
    <row r="535" spans="1:93" ht="17.25">
      <c r="A535" s="20" t="str">
        <f t="shared" si="165"/>
        <v>►</v>
      </c>
      <c r="B535" s="43" t="str">
        <f t="shared" si="166"/>
        <v>►</v>
      </c>
      <c r="C535" s="45" t="str">
        <f t="shared" si="167"/>
        <v>►</v>
      </c>
      <c r="D535" s="44" t="str">
        <f t="shared" si="168"/>
        <v>►</v>
      </c>
      <c r="E535" s="43" t="str">
        <f t="shared" si="169"/>
        <v>►</v>
      </c>
      <c r="F535" s="43" t="str">
        <f t="shared" si="170"/>
        <v>►</v>
      </c>
      <c r="G535" s="43" t="str">
        <f t="shared" si="171"/>
        <v>►</v>
      </c>
      <c r="H535" s="1256" t="s">
        <v>1</v>
      </c>
      <c r="I535" s="5175" t="s">
        <v>1</v>
      </c>
      <c r="J535" s="5161"/>
      <c r="K535" s="5161"/>
      <c r="L535" s="5161"/>
      <c r="M535" s="5176"/>
      <c r="N535" s="5177"/>
      <c r="O535" s="147"/>
      <c r="P535" s="147"/>
      <c r="Q535" s="102"/>
      <c r="R535" s="102"/>
      <c r="S535" s="1360"/>
      <c r="T535" s="43"/>
      <c r="U535" s="42"/>
      <c r="V535" s="41"/>
      <c r="W535" s="40"/>
      <c r="X535" s="39"/>
      <c r="Y535" s="38"/>
      <c r="Z535" s="37"/>
      <c r="AA535" s="36"/>
      <c r="AB535" s="35"/>
      <c r="AC535" s="34"/>
      <c r="AD535" s="55"/>
      <c r="AE535" s="33"/>
      <c r="AG535" s="32"/>
      <c r="AH535" s="31"/>
      <c r="AI535" s="30"/>
      <c r="AJ535" s="5492">
        <f t="shared" si="157"/>
        <v>0</v>
      </c>
      <c r="AK535" s="54">
        <f t="shared" si="158"/>
        <v>0</v>
      </c>
      <c r="AL535" s="53" t="str">
        <f t="shared" si="159"/>
        <v/>
      </c>
      <c r="AM535" s="52"/>
      <c r="AN535" s="51">
        <f t="shared" si="160"/>
        <v>0</v>
      </c>
      <c r="AO535" s="50">
        <f t="shared" si="161"/>
        <v>0</v>
      </c>
      <c r="AP535" s="49">
        <f t="shared" si="162"/>
        <v>0</v>
      </c>
      <c r="AQ535" s="23"/>
      <c r="AR535" s="48">
        <f t="shared" si="163"/>
        <v>0</v>
      </c>
      <c r="AS535" s="47"/>
      <c r="AT535" s="13"/>
      <c r="AU535" s="46">
        <f t="shared" si="164"/>
        <v>0</v>
      </c>
      <c r="BL535" s="20" t="str">
        <f t="shared" si="172"/>
        <v>►</v>
      </c>
      <c r="CO535" s="5">
        <v>1</v>
      </c>
    </row>
    <row r="536" spans="1:93" ht="17.25">
      <c r="A536" s="20" t="str">
        <f t="shared" si="165"/>
        <v>►</v>
      </c>
      <c r="B536" s="43" t="str">
        <f t="shared" si="166"/>
        <v>►</v>
      </c>
      <c r="C536" s="45" t="str">
        <f t="shared" si="167"/>
        <v>►</v>
      </c>
      <c r="D536" s="44" t="str">
        <f t="shared" si="168"/>
        <v>►</v>
      </c>
      <c r="E536" s="43" t="str">
        <f t="shared" si="169"/>
        <v>►</v>
      </c>
      <c r="F536" s="43" t="str">
        <f t="shared" si="170"/>
        <v>►</v>
      </c>
      <c r="G536" s="43" t="str">
        <f t="shared" si="171"/>
        <v>►</v>
      </c>
      <c r="H536" s="1256" t="s">
        <v>1</v>
      </c>
      <c r="I536" s="5175" t="s">
        <v>1</v>
      </c>
      <c r="J536" s="5161"/>
      <c r="K536" s="5161"/>
      <c r="L536" s="5161"/>
      <c r="M536" s="5176"/>
      <c r="N536" s="5177"/>
      <c r="O536" s="147"/>
      <c r="P536" s="147"/>
      <c r="Q536" s="102"/>
      <c r="R536" s="102"/>
      <c r="S536" s="1360"/>
      <c r="T536" s="43"/>
      <c r="U536" s="42"/>
      <c r="V536" s="41"/>
      <c r="W536" s="40"/>
      <c r="X536" s="39"/>
      <c r="Y536" s="38"/>
      <c r="Z536" s="37"/>
      <c r="AA536" s="36"/>
      <c r="AB536" s="35"/>
      <c r="AC536" s="34"/>
      <c r="AD536" s="55"/>
      <c r="AE536" s="33"/>
      <c r="AG536" s="32"/>
      <c r="AH536" s="31"/>
      <c r="AI536" s="30"/>
      <c r="AJ536" s="5492">
        <f t="shared" si="157"/>
        <v>0</v>
      </c>
      <c r="AK536" s="29">
        <f t="shared" si="158"/>
        <v>0</v>
      </c>
      <c r="AL536" s="28" t="str">
        <f t="shared" si="159"/>
        <v/>
      </c>
      <c r="AM536" s="27"/>
      <c r="AN536" s="26">
        <f t="shared" si="160"/>
        <v>0</v>
      </c>
      <c r="AO536" s="25">
        <f t="shared" si="161"/>
        <v>0</v>
      </c>
      <c r="AP536" s="24">
        <f t="shared" si="162"/>
        <v>0</v>
      </c>
      <c r="AQ536" s="23"/>
      <c r="AR536" s="22">
        <f t="shared" si="163"/>
        <v>0</v>
      </c>
      <c r="AS536" s="21"/>
      <c r="AT536" s="13"/>
      <c r="AU536" s="46">
        <f t="shared" si="164"/>
        <v>0</v>
      </c>
      <c r="BL536" s="20" t="str">
        <f t="shared" si="172"/>
        <v>►</v>
      </c>
      <c r="CO536" s="5">
        <v>1</v>
      </c>
    </row>
    <row r="537" spans="1:93" ht="17.25">
      <c r="A537" s="20" t="str">
        <f t="shared" si="165"/>
        <v>►</v>
      </c>
      <c r="B537" s="43" t="str">
        <f t="shared" si="166"/>
        <v>►</v>
      </c>
      <c r="C537" s="45" t="str">
        <f t="shared" si="167"/>
        <v>►</v>
      </c>
      <c r="D537" s="44" t="str">
        <f t="shared" si="168"/>
        <v>►</v>
      </c>
      <c r="E537" s="43" t="str">
        <f t="shared" si="169"/>
        <v>►</v>
      </c>
      <c r="F537" s="43" t="str">
        <f t="shared" si="170"/>
        <v>►</v>
      </c>
      <c r="G537" s="43" t="str">
        <f t="shared" si="171"/>
        <v>►</v>
      </c>
      <c r="H537" s="1256" t="s">
        <v>1</v>
      </c>
      <c r="I537" s="5175" t="s">
        <v>1</v>
      </c>
      <c r="J537" s="5161"/>
      <c r="K537" s="5161"/>
      <c r="L537" s="5161"/>
      <c r="M537" s="5176"/>
      <c r="N537" s="5177"/>
      <c r="O537" s="147"/>
      <c r="P537" s="147"/>
      <c r="Q537" s="102"/>
      <c r="R537" s="102"/>
      <c r="S537" s="1360"/>
      <c r="T537" s="43"/>
      <c r="U537" s="42"/>
      <c r="V537" s="41"/>
      <c r="W537" s="40"/>
      <c r="X537" s="39"/>
      <c r="Y537" s="38"/>
      <c r="Z537" s="37"/>
      <c r="AA537" s="36"/>
      <c r="AB537" s="35"/>
      <c r="AC537" s="34"/>
      <c r="AD537" s="55"/>
      <c r="AE537" s="33"/>
      <c r="AG537" s="32"/>
      <c r="AH537" s="31"/>
      <c r="AI537" s="30"/>
      <c r="AJ537" s="5492">
        <f t="shared" si="157"/>
        <v>0</v>
      </c>
      <c r="AK537" s="54">
        <f t="shared" si="158"/>
        <v>0</v>
      </c>
      <c r="AL537" s="53" t="str">
        <f t="shared" si="159"/>
        <v/>
      </c>
      <c r="AM537" s="52"/>
      <c r="AN537" s="51">
        <f t="shared" si="160"/>
        <v>0</v>
      </c>
      <c r="AO537" s="50">
        <f t="shared" si="161"/>
        <v>0</v>
      </c>
      <c r="AP537" s="49">
        <f t="shared" si="162"/>
        <v>0</v>
      </c>
      <c r="AQ537" s="23"/>
      <c r="AR537" s="48">
        <f t="shared" si="163"/>
        <v>0</v>
      </c>
      <c r="AS537" s="47"/>
      <c r="AT537" s="13"/>
      <c r="AU537" s="46">
        <f t="shared" si="164"/>
        <v>0</v>
      </c>
      <c r="BL537" s="20" t="str">
        <f t="shared" si="172"/>
        <v>►</v>
      </c>
      <c r="CO537" s="5">
        <v>1</v>
      </c>
    </row>
    <row r="538" spans="1:93" ht="17.25">
      <c r="A538" s="20" t="str">
        <f t="shared" si="165"/>
        <v>►</v>
      </c>
      <c r="B538" s="43" t="str">
        <f t="shared" si="166"/>
        <v>►</v>
      </c>
      <c r="C538" s="45" t="str">
        <f t="shared" si="167"/>
        <v>►</v>
      </c>
      <c r="D538" s="44" t="str">
        <f t="shared" si="168"/>
        <v>►</v>
      </c>
      <c r="E538" s="43" t="str">
        <f t="shared" si="169"/>
        <v>►</v>
      </c>
      <c r="F538" s="43" t="str">
        <f t="shared" si="170"/>
        <v>►</v>
      </c>
      <c r="G538" s="43" t="str">
        <f t="shared" si="171"/>
        <v>►</v>
      </c>
      <c r="H538" s="1256" t="s">
        <v>1</v>
      </c>
      <c r="I538" s="5175" t="s">
        <v>1</v>
      </c>
      <c r="J538" s="5161"/>
      <c r="K538" s="5161"/>
      <c r="L538" s="5161"/>
      <c r="M538" s="5176"/>
      <c r="N538" s="5177"/>
      <c r="O538" s="147"/>
      <c r="P538" s="147"/>
      <c r="Q538" s="102"/>
      <c r="R538" s="102"/>
      <c r="S538" s="1360"/>
      <c r="T538" s="43"/>
      <c r="U538" s="42"/>
      <c r="V538" s="41"/>
      <c r="W538" s="40"/>
      <c r="X538" s="39"/>
      <c r="Y538" s="38"/>
      <c r="Z538" s="37"/>
      <c r="AA538" s="36"/>
      <c r="AB538" s="35"/>
      <c r="AC538" s="34"/>
      <c r="AD538" s="55"/>
      <c r="AE538" s="33"/>
      <c r="AG538" s="32"/>
      <c r="AH538" s="31"/>
      <c r="AI538" s="30"/>
      <c r="AJ538" s="5492">
        <f t="shared" si="157"/>
        <v>0</v>
      </c>
      <c r="AK538" s="29">
        <f t="shared" si="158"/>
        <v>0</v>
      </c>
      <c r="AL538" s="28" t="str">
        <f t="shared" si="159"/>
        <v/>
      </c>
      <c r="AM538" s="27"/>
      <c r="AN538" s="26">
        <f t="shared" si="160"/>
        <v>0</v>
      </c>
      <c r="AO538" s="25">
        <f t="shared" si="161"/>
        <v>0</v>
      </c>
      <c r="AP538" s="24">
        <f t="shared" si="162"/>
        <v>0</v>
      </c>
      <c r="AQ538" s="23"/>
      <c r="AR538" s="22">
        <f t="shared" si="163"/>
        <v>0</v>
      </c>
      <c r="AS538" s="21"/>
      <c r="AT538" s="13"/>
      <c r="AU538" s="46">
        <f t="shared" si="164"/>
        <v>0</v>
      </c>
      <c r="BL538" s="20" t="str">
        <f t="shared" si="172"/>
        <v>►</v>
      </c>
      <c r="CO538" s="5">
        <v>1</v>
      </c>
    </row>
    <row r="539" spans="1:93" ht="17.25">
      <c r="A539" s="20" t="str">
        <f t="shared" si="165"/>
        <v>►</v>
      </c>
      <c r="B539" s="43" t="str">
        <f t="shared" si="166"/>
        <v>►</v>
      </c>
      <c r="C539" s="45" t="str">
        <f t="shared" si="167"/>
        <v>►</v>
      </c>
      <c r="D539" s="44" t="str">
        <f t="shared" si="168"/>
        <v>►</v>
      </c>
      <c r="E539" s="43" t="str">
        <f t="shared" si="169"/>
        <v>►</v>
      </c>
      <c r="F539" s="43" t="str">
        <f t="shared" si="170"/>
        <v>►</v>
      </c>
      <c r="G539" s="43" t="str">
        <f t="shared" si="171"/>
        <v>►</v>
      </c>
      <c r="H539" s="1256" t="s">
        <v>1</v>
      </c>
      <c r="I539" s="5175" t="s">
        <v>1</v>
      </c>
      <c r="J539" s="5161"/>
      <c r="K539" s="5161"/>
      <c r="L539" s="5161"/>
      <c r="M539" s="5176"/>
      <c r="N539" s="5177"/>
      <c r="O539" s="147"/>
      <c r="P539" s="147"/>
      <c r="Q539" s="102"/>
      <c r="R539" s="102"/>
      <c r="S539" s="1360"/>
      <c r="T539" s="43"/>
      <c r="U539" s="42"/>
      <c r="V539" s="41"/>
      <c r="W539" s="40"/>
      <c r="X539" s="39"/>
      <c r="Y539" s="38"/>
      <c r="Z539" s="37"/>
      <c r="AA539" s="36"/>
      <c r="AB539" s="35"/>
      <c r="AC539" s="34"/>
      <c r="AD539" s="55"/>
      <c r="AE539" s="33"/>
      <c r="AG539" s="32"/>
      <c r="AH539" s="31"/>
      <c r="AI539" s="30"/>
      <c r="AJ539" s="5492">
        <f t="shared" si="157"/>
        <v>0</v>
      </c>
      <c r="AK539" s="54">
        <f t="shared" si="158"/>
        <v>0</v>
      </c>
      <c r="AL539" s="53" t="str">
        <f t="shared" si="159"/>
        <v/>
      </c>
      <c r="AM539" s="52"/>
      <c r="AN539" s="51">
        <f t="shared" si="160"/>
        <v>0</v>
      </c>
      <c r="AO539" s="50">
        <f t="shared" si="161"/>
        <v>0</v>
      </c>
      <c r="AP539" s="49">
        <f t="shared" si="162"/>
        <v>0</v>
      </c>
      <c r="AQ539" s="23"/>
      <c r="AR539" s="48">
        <f t="shared" si="163"/>
        <v>0</v>
      </c>
      <c r="AS539" s="47"/>
      <c r="AT539" s="13"/>
      <c r="AU539" s="46">
        <f t="shared" si="164"/>
        <v>0</v>
      </c>
      <c r="BL539" s="20" t="str">
        <f t="shared" si="172"/>
        <v>►</v>
      </c>
      <c r="CO539" s="5">
        <v>1</v>
      </c>
    </row>
    <row r="540" spans="1:93" ht="17.25">
      <c r="A540" s="20" t="str">
        <f t="shared" si="165"/>
        <v>►</v>
      </c>
      <c r="B540" s="43" t="str">
        <f t="shared" si="166"/>
        <v>►</v>
      </c>
      <c r="C540" s="45" t="str">
        <f t="shared" si="167"/>
        <v>►</v>
      </c>
      <c r="D540" s="44" t="str">
        <f t="shared" si="168"/>
        <v>►</v>
      </c>
      <c r="E540" s="43" t="str">
        <f t="shared" si="169"/>
        <v>►</v>
      </c>
      <c r="F540" s="43" t="str">
        <f t="shared" si="170"/>
        <v>►</v>
      </c>
      <c r="G540" s="43" t="str">
        <f t="shared" si="171"/>
        <v>►</v>
      </c>
      <c r="H540" s="1256" t="s">
        <v>1</v>
      </c>
      <c r="I540" s="5175" t="s">
        <v>1</v>
      </c>
      <c r="J540" s="5161"/>
      <c r="K540" s="5161"/>
      <c r="L540" s="5161"/>
      <c r="M540" s="5176"/>
      <c r="N540" s="5177"/>
      <c r="O540" s="147"/>
      <c r="P540" s="147"/>
      <c r="Q540" s="102"/>
      <c r="R540" s="102"/>
      <c r="S540" s="1360"/>
      <c r="T540" s="43"/>
      <c r="U540" s="42"/>
      <c r="V540" s="41"/>
      <c r="W540" s="40"/>
      <c r="X540" s="39"/>
      <c r="Y540" s="38"/>
      <c r="Z540" s="37"/>
      <c r="AA540" s="36"/>
      <c r="AB540" s="35"/>
      <c r="AC540" s="34"/>
      <c r="AD540" s="55"/>
      <c r="AE540" s="33"/>
      <c r="AG540" s="32"/>
      <c r="AH540" s="31"/>
      <c r="AI540" s="30"/>
      <c r="AJ540" s="5492">
        <f t="shared" si="157"/>
        <v>0</v>
      </c>
      <c r="AK540" s="29">
        <f t="shared" si="158"/>
        <v>0</v>
      </c>
      <c r="AL540" s="28" t="str">
        <f t="shared" si="159"/>
        <v/>
      </c>
      <c r="AM540" s="27"/>
      <c r="AN540" s="26">
        <f t="shared" si="160"/>
        <v>0</v>
      </c>
      <c r="AO540" s="25">
        <f t="shared" si="161"/>
        <v>0</v>
      </c>
      <c r="AP540" s="24">
        <f t="shared" si="162"/>
        <v>0</v>
      </c>
      <c r="AQ540" s="23"/>
      <c r="AR540" s="22">
        <f t="shared" si="163"/>
        <v>0</v>
      </c>
      <c r="AS540" s="21"/>
      <c r="AT540" s="13"/>
      <c r="AU540" s="46">
        <f t="shared" si="164"/>
        <v>0</v>
      </c>
      <c r="BL540" s="20" t="str">
        <f t="shared" si="172"/>
        <v>►</v>
      </c>
      <c r="CO540" s="5">
        <v>1</v>
      </c>
    </row>
    <row r="541" spans="1:93" ht="17.25">
      <c r="A541" s="20" t="str">
        <f t="shared" si="165"/>
        <v>►</v>
      </c>
      <c r="B541" s="43" t="str">
        <f t="shared" si="166"/>
        <v>►</v>
      </c>
      <c r="C541" s="45" t="str">
        <f t="shared" si="167"/>
        <v>►</v>
      </c>
      <c r="D541" s="44" t="str">
        <f t="shared" si="168"/>
        <v>►</v>
      </c>
      <c r="E541" s="43" t="str">
        <f t="shared" si="169"/>
        <v>►</v>
      </c>
      <c r="F541" s="43" t="str">
        <f t="shared" si="170"/>
        <v>►</v>
      </c>
      <c r="G541" s="43" t="str">
        <f t="shared" si="171"/>
        <v>►</v>
      </c>
      <c r="H541" s="1256" t="s">
        <v>1</v>
      </c>
      <c r="I541" s="5175" t="s">
        <v>1</v>
      </c>
      <c r="J541" s="5161"/>
      <c r="K541" s="5161"/>
      <c r="L541" s="5161"/>
      <c r="M541" s="5176"/>
      <c r="N541" s="5177"/>
      <c r="O541" s="147"/>
      <c r="P541" s="147"/>
      <c r="Q541" s="102"/>
      <c r="R541" s="102"/>
      <c r="S541" s="1360"/>
      <c r="T541" s="43"/>
      <c r="U541" s="42"/>
      <c r="V541" s="41"/>
      <c r="W541" s="40"/>
      <c r="X541" s="39"/>
      <c r="Y541" s="38"/>
      <c r="Z541" s="37"/>
      <c r="AA541" s="36"/>
      <c r="AB541" s="35"/>
      <c r="AC541" s="34"/>
      <c r="AD541" s="55"/>
      <c r="AE541" s="33"/>
      <c r="AG541" s="32"/>
      <c r="AH541" s="31"/>
      <c r="AI541" s="30"/>
      <c r="AJ541" s="5492">
        <f t="shared" ref="AJ541:AJ600" si="173">IF(ISTEXT(Y541), 0, IFERROR(INDEX($AX$22:$AX$69, MATCH(AC541, $AW$22:$AW$69, 0)) * AB541 * IF(ISBLANK(Y541), 1, Y541), 0))</f>
        <v>0</v>
      </c>
      <c r="AK541" s="54">
        <f t="shared" ref="AK541:AK600" si="174">IF(ISNUMBER(AD541), AJ541*AD541*AU541, 0)</f>
        <v>0</v>
      </c>
      <c r="AL541" s="53" t="str">
        <f t="shared" ref="AL541:AL600" si="175">IF(AND(ISNUMBER(AB541),ISNUMBER(AD541),ISNUMBER(AU541)),IFERROR(_xlfn.LET(_xlpm.m,IF(ISBLANK(Y541),1,Y541),_xlpm.q,AB541*AD541*AU541*_xlpm.m,_xlpm.p,MATCH(AC541,AW$22:AW$69,0),_xlpm.f,INDEX(AX$22:AX$69,_xlpm.p),_xlpm.u,INDEX(AY$22:AY$69,_xlpm.p),_xlpm.s,INDEX(AZ$22:AZ$69,_xlpm.p),IF(_xlpm.q&gt;=_xlpm.s,ROUND(_xlpm.q,0)&amp;" "&amp;AC541&amp;" = "&amp;ROUND(_xlpm.q*_xlpm.f,1)&amp;" "&amp;_xlpm.u,ROUND(_xlpm.q,0)&amp;" "&amp;AC541)),""),"")</f>
        <v/>
      </c>
      <c r="AM541" s="52"/>
      <c r="AN541" s="51">
        <f t="shared" ref="AN541:AN600" si="176">((AK541-(AK541*AM541%)))</f>
        <v>0</v>
      </c>
      <c r="AO541" s="50">
        <f t="shared" ref="AO541:AO600" si="177">IF(AND(ISNUMBER(AD541), ISNUMBER(Y541)), Y541 * AD541 * AU541, 0)</f>
        <v>0</v>
      </c>
      <c r="AP541" s="49">
        <f t="shared" ref="AP541:AP600" si="178">Z541</f>
        <v>0</v>
      </c>
      <c r="AQ541" s="23"/>
      <c r="AR541" s="48">
        <f t="shared" ref="AR541:AR600" si="179">IF(OR(ISBLANK(AQ541),ISTEXT(Y541)),0,IF(AK541=0,Y541,AK541)*AQ541)</f>
        <v>0</v>
      </c>
      <c r="AS541" s="47"/>
      <c r="AT541" s="13"/>
      <c r="AU541" s="46">
        <f t="shared" ref="AU541:AU600" si="180">IF(OR(ISBLANK(AI541), ISBLANK(AG541)), 0, AI541/AG541)</f>
        <v>0</v>
      </c>
      <c r="BL541" s="20" t="str">
        <f t="shared" si="172"/>
        <v>►</v>
      </c>
      <c r="CO541" s="5">
        <v>1</v>
      </c>
    </row>
    <row r="542" spans="1:93" ht="17.25">
      <c r="A542" s="20" t="str">
        <f t="shared" ref="A542:A600" si="181">IF(OR(I542="A",U542="A"),"A",IF(AND(I542="►",U542="►"),"►",IF(AND(ISBLANK(I542),ISBLANK(U542)),"►","►")))</f>
        <v>►</v>
      </c>
      <c r="B542" s="43" t="str">
        <f t="shared" si="166"/>
        <v>►</v>
      </c>
      <c r="C542" s="45" t="str">
        <f t="shared" si="167"/>
        <v>►</v>
      </c>
      <c r="D542" s="44" t="str">
        <f t="shared" si="168"/>
        <v>►</v>
      </c>
      <c r="E542" s="43" t="str">
        <f t="shared" si="169"/>
        <v>►</v>
      </c>
      <c r="F542" s="43" t="str">
        <f t="shared" si="170"/>
        <v>►</v>
      </c>
      <c r="G542" s="43" t="str">
        <f t="shared" si="171"/>
        <v>►</v>
      </c>
      <c r="H542" s="1256" t="s">
        <v>1</v>
      </c>
      <c r="I542" s="5175" t="s">
        <v>1</v>
      </c>
      <c r="J542" s="5161"/>
      <c r="K542" s="5161"/>
      <c r="L542" s="5161"/>
      <c r="M542" s="5176"/>
      <c r="N542" s="5177"/>
      <c r="O542" s="147"/>
      <c r="P542" s="147"/>
      <c r="Q542" s="102"/>
      <c r="R542" s="102"/>
      <c r="S542" s="1360"/>
      <c r="T542" s="43"/>
      <c r="U542" s="42"/>
      <c r="V542" s="41"/>
      <c r="W542" s="40"/>
      <c r="X542" s="39"/>
      <c r="Y542" s="38"/>
      <c r="Z542" s="37"/>
      <c r="AA542" s="36"/>
      <c r="AB542" s="35"/>
      <c r="AC542" s="34"/>
      <c r="AD542" s="55"/>
      <c r="AE542" s="33"/>
      <c r="AG542" s="32"/>
      <c r="AH542" s="31"/>
      <c r="AI542" s="30"/>
      <c r="AJ542" s="5492">
        <f t="shared" si="173"/>
        <v>0</v>
      </c>
      <c r="AK542" s="29">
        <f t="shared" si="174"/>
        <v>0</v>
      </c>
      <c r="AL542" s="28" t="str">
        <f t="shared" si="175"/>
        <v/>
      </c>
      <c r="AM542" s="27"/>
      <c r="AN542" s="26">
        <f t="shared" si="176"/>
        <v>0</v>
      </c>
      <c r="AO542" s="25">
        <f t="shared" si="177"/>
        <v>0</v>
      </c>
      <c r="AP542" s="24">
        <f t="shared" si="178"/>
        <v>0</v>
      </c>
      <c r="AQ542" s="23"/>
      <c r="AR542" s="22">
        <f t="shared" si="179"/>
        <v>0</v>
      </c>
      <c r="AS542" s="21"/>
      <c r="AT542" s="13"/>
      <c r="AU542" s="46">
        <f t="shared" si="180"/>
        <v>0</v>
      </c>
      <c r="BL542" s="20" t="str">
        <f t="shared" si="172"/>
        <v>►</v>
      </c>
      <c r="CO542" s="5">
        <v>1</v>
      </c>
    </row>
    <row r="543" spans="1:93" ht="17.25">
      <c r="A543" s="20" t="str">
        <f t="shared" si="181"/>
        <v>►</v>
      </c>
      <c r="B543" s="43" t="str">
        <f t="shared" si="166"/>
        <v>►</v>
      </c>
      <c r="C543" s="45" t="str">
        <f t="shared" si="167"/>
        <v>►</v>
      </c>
      <c r="D543" s="44" t="str">
        <f t="shared" si="168"/>
        <v>►</v>
      </c>
      <c r="E543" s="43" t="str">
        <f t="shared" si="169"/>
        <v>►</v>
      </c>
      <c r="F543" s="43" t="str">
        <f t="shared" si="170"/>
        <v>►</v>
      </c>
      <c r="G543" s="43" t="str">
        <f t="shared" si="171"/>
        <v>►</v>
      </c>
      <c r="H543" s="1256" t="s">
        <v>1</v>
      </c>
      <c r="I543" s="5175" t="s">
        <v>1</v>
      </c>
      <c r="J543" s="5161"/>
      <c r="K543" s="5161"/>
      <c r="L543" s="5161"/>
      <c r="M543" s="5176"/>
      <c r="N543" s="5177"/>
      <c r="O543" s="147"/>
      <c r="P543" s="147"/>
      <c r="Q543" s="102"/>
      <c r="R543" s="102"/>
      <c r="S543" s="1360"/>
      <c r="T543" s="43"/>
      <c r="U543" s="42"/>
      <c r="V543" s="41"/>
      <c r="W543" s="40"/>
      <c r="X543" s="39"/>
      <c r="Y543" s="38"/>
      <c r="Z543" s="37"/>
      <c r="AA543" s="36"/>
      <c r="AB543" s="35"/>
      <c r="AC543" s="34"/>
      <c r="AD543" s="55"/>
      <c r="AE543" s="33"/>
      <c r="AG543" s="32"/>
      <c r="AH543" s="31"/>
      <c r="AI543" s="30"/>
      <c r="AJ543" s="5492">
        <f t="shared" si="173"/>
        <v>0</v>
      </c>
      <c r="AK543" s="54">
        <f t="shared" si="174"/>
        <v>0</v>
      </c>
      <c r="AL543" s="53" t="str">
        <f t="shared" si="175"/>
        <v/>
      </c>
      <c r="AM543" s="52"/>
      <c r="AN543" s="51">
        <f t="shared" si="176"/>
        <v>0</v>
      </c>
      <c r="AO543" s="50">
        <f t="shared" si="177"/>
        <v>0</v>
      </c>
      <c r="AP543" s="49">
        <f t="shared" si="178"/>
        <v>0</v>
      </c>
      <c r="AQ543" s="23"/>
      <c r="AR543" s="48">
        <f t="shared" si="179"/>
        <v>0</v>
      </c>
      <c r="AS543" s="47"/>
      <c r="AT543" s="13"/>
      <c r="AU543" s="46">
        <f t="shared" si="180"/>
        <v>0</v>
      </c>
      <c r="BL543" s="20" t="str">
        <f t="shared" si="172"/>
        <v>►</v>
      </c>
      <c r="CO543" s="5">
        <v>1</v>
      </c>
    </row>
    <row r="544" spans="1:93" ht="17.25">
      <c r="A544" s="20" t="str">
        <f t="shared" si="181"/>
        <v>►</v>
      </c>
      <c r="B544" s="43" t="str">
        <f t="shared" si="166"/>
        <v>►</v>
      </c>
      <c r="C544" s="45" t="str">
        <f t="shared" si="167"/>
        <v>►</v>
      </c>
      <c r="D544" s="44" t="str">
        <f t="shared" si="168"/>
        <v>►</v>
      </c>
      <c r="E544" s="43" t="str">
        <f t="shared" si="169"/>
        <v>►</v>
      </c>
      <c r="F544" s="43" t="str">
        <f t="shared" si="170"/>
        <v>►</v>
      </c>
      <c r="G544" s="43" t="str">
        <f t="shared" si="171"/>
        <v>►</v>
      </c>
      <c r="H544" s="1256" t="s">
        <v>1</v>
      </c>
      <c r="I544" s="5175" t="s">
        <v>1</v>
      </c>
      <c r="J544" s="5161"/>
      <c r="K544" s="5161"/>
      <c r="L544" s="5161"/>
      <c r="M544" s="5176"/>
      <c r="N544" s="5177"/>
      <c r="O544" s="147"/>
      <c r="P544" s="147"/>
      <c r="Q544" s="102"/>
      <c r="R544" s="102"/>
      <c r="S544" s="1360"/>
      <c r="T544" s="43"/>
      <c r="U544" s="42"/>
      <c r="V544" s="41"/>
      <c r="W544" s="40"/>
      <c r="X544" s="39"/>
      <c r="Y544" s="38"/>
      <c r="Z544" s="37"/>
      <c r="AA544" s="36"/>
      <c r="AB544" s="35"/>
      <c r="AC544" s="34"/>
      <c r="AD544" s="55"/>
      <c r="AE544" s="33"/>
      <c r="AG544" s="32"/>
      <c r="AH544" s="31"/>
      <c r="AI544" s="30"/>
      <c r="AJ544" s="5492">
        <f t="shared" si="173"/>
        <v>0</v>
      </c>
      <c r="AK544" s="29">
        <f t="shared" si="174"/>
        <v>0</v>
      </c>
      <c r="AL544" s="28" t="str">
        <f t="shared" si="175"/>
        <v/>
      </c>
      <c r="AM544" s="27"/>
      <c r="AN544" s="26">
        <f t="shared" si="176"/>
        <v>0</v>
      </c>
      <c r="AO544" s="25">
        <f t="shared" si="177"/>
        <v>0</v>
      </c>
      <c r="AP544" s="24">
        <f t="shared" si="178"/>
        <v>0</v>
      </c>
      <c r="AQ544" s="23"/>
      <c r="AR544" s="22">
        <f t="shared" si="179"/>
        <v>0</v>
      </c>
      <c r="AS544" s="21"/>
      <c r="AT544" s="13"/>
      <c r="AU544" s="46">
        <f t="shared" si="180"/>
        <v>0</v>
      </c>
      <c r="BL544" s="20" t="str">
        <f t="shared" si="172"/>
        <v>►</v>
      </c>
      <c r="CO544" s="5">
        <v>1</v>
      </c>
    </row>
    <row r="545" spans="1:93" ht="17.25">
      <c r="A545" s="20" t="str">
        <f t="shared" si="181"/>
        <v>►</v>
      </c>
      <c r="B545" s="43" t="str">
        <f t="shared" si="166"/>
        <v>►</v>
      </c>
      <c r="C545" s="45" t="str">
        <f t="shared" si="167"/>
        <v>►</v>
      </c>
      <c r="D545" s="44" t="str">
        <f t="shared" si="168"/>
        <v>►</v>
      </c>
      <c r="E545" s="43" t="str">
        <f t="shared" si="169"/>
        <v>►</v>
      </c>
      <c r="F545" s="43" t="str">
        <f t="shared" si="170"/>
        <v>►</v>
      </c>
      <c r="G545" s="43" t="str">
        <f t="shared" si="171"/>
        <v>►</v>
      </c>
      <c r="H545" s="1256" t="s">
        <v>1</v>
      </c>
      <c r="I545" s="5175" t="s">
        <v>1</v>
      </c>
      <c r="J545" s="5161"/>
      <c r="K545" s="5161"/>
      <c r="L545" s="5161"/>
      <c r="M545" s="5176"/>
      <c r="N545" s="5177"/>
      <c r="O545" s="147"/>
      <c r="P545" s="147"/>
      <c r="Q545" s="102"/>
      <c r="R545" s="102"/>
      <c r="S545" s="1360"/>
      <c r="T545" s="43"/>
      <c r="U545" s="42"/>
      <c r="V545" s="41"/>
      <c r="W545" s="40"/>
      <c r="X545" s="39"/>
      <c r="Y545" s="38"/>
      <c r="Z545" s="37"/>
      <c r="AA545" s="36"/>
      <c r="AB545" s="35"/>
      <c r="AC545" s="34"/>
      <c r="AD545" s="55"/>
      <c r="AE545" s="33"/>
      <c r="AG545" s="32"/>
      <c r="AH545" s="31"/>
      <c r="AI545" s="30"/>
      <c r="AJ545" s="5492">
        <f t="shared" si="173"/>
        <v>0</v>
      </c>
      <c r="AK545" s="54">
        <f t="shared" si="174"/>
        <v>0</v>
      </c>
      <c r="AL545" s="53" t="str">
        <f t="shared" si="175"/>
        <v/>
      </c>
      <c r="AM545" s="52"/>
      <c r="AN545" s="51">
        <f t="shared" si="176"/>
        <v>0</v>
      </c>
      <c r="AO545" s="50">
        <f t="shared" si="177"/>
        <v>0</v>
      </c>
      <c r="AP545" s="49">
        <f t="shared" si="178"/>
        <v>0</v>
      </c>
      <c r="AQ545" s="23"/>
      <c r="AR545" s="48">
        <f t="shared" si="179"/>
        <v>0</v>
      </c>
      <c r="AS545" s="47"/>
      <c r="AT545" s="13"/>
      <c r="AU545" s="46">
        <f t="shared" si="180"/>
        <v>0</v>
      </c>
      <c r="BL545" s="20" t="str">
        <f t="shared" si="172"/>
        <v>►</v>
      </c>
      <c r="CO545" s="5">
        <v>1</v>
      </c>
    </row>
    <row r="546" spans="1:93" ht="17.25">
      <c r="A546" s="20" t="str">
        <f t="shared" si="181"/>
        <v>►</v>
      </c>
      <c r="B546" s="43" t="str">
        <f t="shared" si="166"/>
        <v>►</v>
      </c>
      <c r="C546" s="45" t="str">
        <f t="shared" si="167"/>
        <v>►</v>
      </c>
      <c r="D546" s="44" t="str">
        <f t="shared" si="168"/>
        <v>►</v>
      </c>
      <c r="E546" s="43" t="str">
        <f t="shared" si="169"/>
        <v>►</v>
      </c>
      <c r="F546" s="43" t="str">
        <f t="shared" si="170"/>
        <v>►</v>
      </c>
      <c r="G546" s="43" t="str">
        <f t="shared" si="171"/>
        <v>►</v>
      </c>
      <c r="H546" s="1256" t="s">
        <v>1</v>
      </c>
      <c r="I546" s="5175" t="s">
        <v>1</v>
      </c>
      <c r="J546" s="5161"/>
      <c r="K546" s="5161"/>
      <c r="L546" s="5161"/>
      <c r="M546" s="5176"/>
      <c r="N546" s="5177"/>
      <c r="O546" s="147"/>
      <c r="P546" s="147"/>
      <c r="Q546" s="102"/>
      <c r="R546" s="102"/>
      <c r="S546" s="1360"/>
      <c r="T546" s="43"/>
      <c r="U546" s="42"/>
      <c r="V546" s="41"/>
      <c r="W546" s="40"/>
      <c r="X546" s="39"/>
      <c r="Y546" s="38"/>
      <c r="Z546" s="37"/>
      <c r="AA546" s="36"/>
      <c r="AB546" s="35"/>
      <c r="AC546" s="34"/>
      <c r="AD546" s="55"/>
      <c r="AE546" s="33"/>
      <c r="AG546" s="32"/>
      <c r="AH546" s="31"/>
      <c r="AI546" s="30"/>
      <c r="AJ546" s="5492">
        <f t="shared" si="173"/>
        <v>0</v>
      </c>
      <c r="AK546" s="29">
        <f t="shared" si="174"/>
        <v>0</v>
      </c>
      <c r="AL546" s="28" t="str">
        <f t="shared" si="175"/>
        <v/>
      </c>
      <c r="AM546" s="27"/>
      <c r="AN546" s="26">
        <f t="shared" si="176"/>
        <v>0</v>
      </c>
      <c r="AO546" s="25">
        <f t="shared" si="177"/>
        <v>0</v>
      </c>
      <c r="AP546" s="24">
        <f t="shared" si="178"/>
        <v>0</v>
      </c>
      <c r="AQ546" s="23"/>
      <c r="AR546" s="22">
        <f t="shared" si="179"/>
        <v>0</v>
      </c>
      <c r="AS546" s="21"/>
      <c r="AT546" s="13"/>
      <c r="AU546" s="46">
        <f t="shared" si="180"/>
        <v>0</v>
      </c>
      <c r="BL546" s="20" t="str">
        <f t="shared" si="172"/>
        <v>►</v>
      </c>
      <c r="CO546" s="5">
        <v>1</v>
      </c>
    </row>
    <row r="547" spans="1:93" ht="17.25">
      <c r="A547" s="20" t="str">
        <f t="shared" si="181"/>
        <v>►</v>
      </c>
      <c r="B547" s="43" t="str">
        <f t="shared" si="166"/>
        <v>►</v>
      </c>
      <c r="C547" s="45" t="str">
        <f t="shared" si="167"/>
        <v>►</v>
      </c>
      <c r="D547" s="44" t="str">
        <f t="shared" si="168"/>
        <v>►</v>
      </c>
      <c r="E547" s="43" t="str">
        <f t="shared" si="169"/>
        <v>►</v>
      </c>
      <c r="F547" s="43" t="str">
        <f t="shared" si="170"/>
        <v>►</v>
      </c>
      <c r="G547" s="43" t="str">
        <f t="shared" si="171"/>
        <v>►</v>
      </c>
      <c r="H547" s="1256" t="s">
        <v>1</v>
      </c>
      <c r="I547" s="5175" t="s">
        <v>1</v>
      </c>
      <c r="J547" s="5161"/>
      <c r="K547" s="5161"/>
      <c r="L547" s="5161"/>
      <c r="M547" s="5176"/>
      <c r="N547" s="5177"/>
      <c r="O547" s="147"/>
      <c r="P547" s="147"/>
      <c r="Q547" s="102"/>
      <c r="R547" s="102"/>
      <c r="S547" s="1360"/>
      <c r="T547" s="43"/>
      <c r="U547" s="42"/>
      <c r="V547" s="41"/>
      <c r="W547" s="40"/>
      <c r="X547" s="39"/>
      <c r="Y547" s="38"/>
      <c r="Z547" s="37"/>
      <c r="AA547" s="36"/>
      <c r="AB547" s="35"/>
      <c r="AC547" s="34"/>
      <c r="AD547" s="55"/>
      <c r="AE547" s="33"/>
      <c r="AG547" s="32"/>
      <c r="AH547" s="31"/>
      <c r="AI547" s="30"/>
      <c r="AJ547" s="5492">
        <f t="shared" si="173"/>
        <v>0</v>
      </c>
      <c r="AK547" s="54">
        <f t="shared" si="174"/>
        <v>0</v>
      </c>
      <c r="AL547" s="53" t="str">
        <f t="shared" si="175"/>
        <v/>
      </c>
      <c r="AM547" s="52"/>
      <c r="AN547" s="51">
        <f t="shared" si="176"/>
        <v>0</v>
      </c>
      <c r="AO547" s="50">
        <f t="shared" si="177"/>
        <v>0</v>
      </c>
      <c r="AP547" s="49">
        <f t="shared" si="178"/>
        <v>0</v>
      </c>
      <c r="AQ547" s="23"/>
      <c r="AR547" s="48">
        <f t="shared" si="179"/>
        <v>0</v>
      </c>
      <c r="AS547" s="47"/>
      <c r="AT547" s="13"/>
      <c r="AU547" s="46">
        <f t="shared" si="180"/>
        <v>0</v>
      </c>
      <c r="BL547" s="20" t="str">
        <f t="shared" si="172"/>
        <v>►</v>
      </c>
      <c r="CO547" s="5">
        <v>1</v>
      </c>
    </row>
    <row r="548" spans="1:93" ht="17.25">
      <c r="A548" s="20" t="str">
        <f t="shared" si="181"/>
        <v>►</v>
      </c>
      <c r="B548" s="43" t="str">
        <f t="shared" si="166"/>
        <v>►</v>
      </c>
      <c r="C548" s="45" t="str">
        <f t="shared" si="167"/>
        <v>►</v>
      </c>
      <c r="D548" s="44" t="str">
        <f t="shared" si="168"/>
        <v>►</v>
      </c>
      <c r="E548" s="43" t="str">
        <f t="shared" si="169"/>
        <v>►</v>
      </c>
      <c r="F548" s="43" t="str">
        <f t="shared" si="170"/>
        <v>►</v>
      </c>
      <c r="G548" s="43" t="str">
        <f t="shared" si="171"/>
        <v>►</v>
      </c>
      <c r="H548" s="1256" t="s">
        <v>1</v>
      </c>
      <c r="I548" s="5175" t="s">
        <v>1</v>
      </c>
      <c r="J548" s="5161"/>
      <c r="K548" s="5161"/>
      <c r="L548" s="5161"/>
      <c r="M548" s="5176"/>
      <c r="N548" s="5177"/>
      <c r="O548" s="147"/>
      <c r="P548" s="147"/>
      <c r="Q548" s="102"/>
      <c r="R548" s="102"/>
      <c r="S548" s="1360"/>
      <c r="T548" s="43"/>
      <c r="U548" s="42"/>
      <c r="V548" s="41"/>
      <c r="W548" s="40"/>
      <c r="X548" s="39"/>
      <c r="Y548" s="38"/>
      <c r="Z548" s="37"/>
      <c r="AA548" s="36"/>
      <c r="AB548" s="35"/>
      <c r="AC548" s="34"/>
      <c r="AD548" s="55"/>
      <c r="AE548" s="33"/>
      <c r="AG548" s="32"/>
      <c r="AH548" s="31"/>
      <c r="AI548" s="30"/>
      <c r="AJ548" s="5492">
        <f t="shared" si="173"/>
        <v>0</v>
      </c>
      <c r="AK548" s="29">
        <f t="shared" si="174"/>
        <v>0</v>
      </c>
      <c r="AL548" s="28" t="str">
        <f t="shared" si="175"/>
        <v/>
      </c>
      <c r="AM548" s="27"/>
      <c r="AN548" s="26">
        <f t="shared" si="176"/>
        <v>0</v>
      </c>
      <c r="AO548" s="25">
        <f t="shared" si="177"/>
        <v>0</v>
      </c>
      <c r="AP548" s="24">
        <f t="shared" si="178"/>
        <v>0</v>
      </c>
      <c r="AQ548" s="23"/>
      <c r="AR548" s="22">
        <f t="shared" si="179"/>
        <v>0</v>
      </c>
      <c r="AS548" s="21"/>
      <c r="AT548" s="13"/>
      <c r="AU548" s="46">
        <f t="shared" si="180"/>
        <v>0</v>
      </c>
      <c r="BL548" s="20" t="str">
        <f t="shared" si="172"/>
        <v>►</v>
      </c>
      <c r="CO548" s="5">
        <v>1</v>
      </c>
    </row>
    <row r="549" spans="1:93" ht="17.25">
      <c r="A549" s="20" t="str">
        <f t="shared" si="181"/>
        <v>►</v>
      </c>
      <c r="B549" s="43" t="str">
        <f t="shared" si="166"/>
        <v>►</v>
      </c>
      <c r="C549" s="45" t="str">
        <f t="shared" si="167"/>
        <v>►</v>
      </c>
      <c r="D549" s="44" t="str">
        <f t="shared" si="168"/>
        <v>►</v>
      </c>
      <c r="E549" s="43" t="str">
        <f t="shared" si="169"/>
        <v>►</v>
      </c>
      <c r="F549" s="43" t="str">
        <f t="shared" si="170"/>
        <v>►</v>
      </c>
      <c r="G549" s="43" t="str">
        <f t="shared" si="171"/>
        <v>►</v>
      </c>
      <c r="H549" s="1256" t="s">
        <v>1</v>
      </c>
      <c r="I549" s="5175" t="s">
        <v>1</v>
      </c>
      <c r="J549" s="5161"/>
      <c r="K549" s="5161"/>
      <c r="L549" s="5161"/>
      <c r="M549" s="5176"/>
      <c r="N549" s="5177"/>
      <c r="O549" s="147"/>
      <c r="P549" s="147"/>
      <c r="Q549" s="102"/>
      <c r="R549" s="102"/>
      <c r="S549" s="1360"/>
      <c r="T549" s="43"/>
      <c r="U549" s="42"/>
      <c r="V549" s="41"/>
      <c r="W549" s="40"/>
      <c r="X549" s="39"/>
      <c r="Y549" s="38"/>
      <c r="Z549" s="37"/>
      <c r="AA549" s="36"/>
      <c r="AB549" s="35"/>
      <c r="AC549" s="34"/>
      <c r="AD549" s="55"/>
      <c r="AE549" s="33"/>
      <c r="AG549" s="32"/>
      <c r="AH549" s="31"/>
      <c r="AI549" s="30"/>
      <c r="AJ549" s="5492">
        <f t="shared" si="173"/>
        <v>0</v>
      </c>
      <c r="AK549" s="54">
        <f t="shared" si="174"/>
        <v>0</v>
      </c>
      <c r="AL549" s="53" t="str">
        <f t="shared" si="175"/>
        <v/>
      </c>
      <c r="AM549" s="52"/>
      <c r="AN549" s="51">
        <f t="shared" si="176"/>
        <v>0</v>
      </c>
      <c r="AO549" s="50">
        <f t="shared" si="177"/>
        <v>0</v>
      </c>
      <c r="AP549" s="49">
        <f t="shared" si="178"/>
        <v>0</v>
      </c>
      <c r="AQ549" s="23"/>
      <c r="AR549" s="48">
        <f t="shared" si="179"/>
        <v>0</v>
      </c>
      <c r="AS549" s="47"/>
      <c r="AT549" s="13"/>
      <c r="AU549" s="46">
        <f t="shared" si="180"/>
        <v>0</v>
      </c>
      <c r="BL549" s="20" t="str">
        <f t="shared" si="172"/>
        <v>►</v>
      </c>
      <c r="CO549" s="5">
        <v>1</v>
      </c>
    </row>
    <row r="550" spans="1:93" ht="17.25">
      <c r="A550" s="20" t="str">
        <f t="shared" si="181"/>
        <v>►</v>
      </c>
      <c r="B550" s="43" t="str">
        <f t="shared" si="166"/>
        <v>►</v>
      </c>
      <c r="C550" s="45" t="str">
        <f t="shared" si="167"/>
        <v>►</v>
      </c>
      <c r="D550" s="44" t="str">
        <f t="shared" si="168"/>
        <v>►</v>
      </c>
      <c r="E550" s="43" t="str">
        <f t="shared" si="169"/>
        <v>►</v>
      </c>
      <c r="F550" s="43" t="str">
        <f t="shared" si="170"/>
        <v>►</v>
      </c>
      <c r="G550" s="43" t="str">
        <f t="shared" si="171"/>
        <v>►</v>
      </c>
      <c r="H550" s="1256" t="s">
        <v>1</v>
      </c>
      <c r="I550" s="5175" t="s">
        <v>1</v>
      </c>
      <c r="J550" s="5161"/>
      <c r="K550" s="5161"/>
      <c r="L550" s="5161"/>
      <c r="M550" s="5176"/>
      <c r="N550" s="5177"/>
      <c r="O550" s="147"/>
      <c r="P550" s="147"/>
      <c r="Q550" s="102"/>
      <c r="R550" s="102"/>
      <c r="S550" s="1360"/>
      <c r="T550" s="43"/>
      <c r="U550" s="42"/>
      <c r="V550" s="41"/>
      <c r="W550" s="40"/>
      <c r="X550" s="39"/>
      <c r="Y550" s="38"/>
      <c r="Z550" s="37"/>
      <c r="AA550" s="36"/>
      <c r="AB550" s="35"/>
      <c r="AC550" s="34"/>
      <c r="AD550" s="55"/>
      <c r="AE550" s="33"/>
      <c r="AG550" s="32"/>
      <c r="AH550" s="31"/>
      <c r="AI550" s="30"/>
      <c r="AJ550" s="5492">
        <f t="shared" si="173"/>
        <v>0</v>
      </c>
      <c r="AK550" s="29">
        <f t="shared" si="174"/>
        <v>0</v>
      </c>
      <c r="AL550" s="28" t="str">
        <f t="shared" si="175"/>
        <v/>
      </c>
      <c r="AM550" s="27"/>
      <c r="AN550" s="26">
        <f t="shared" si="176"/>
        <v>0</v>
      </c>
      <c r="AO550" s="25">
        <f t="shared" si="177"/>
        <v>0</v>
      </c>
      <c r="AP550" s="24">
        <f t="shared" si="178"/>
        <v>0</v>
      </c>
      <c r="AQ550" s="23"/>
      <c r="AR550" s="22">
        <f t="shared" si="179"/>
        <v>0</v>
      </c>
      <c r="AS550" s="21"/>
      <c r="AT550" s="13"/>
      <c r="AU550" s="46">
        <f t="shared" si="180"/>
        <v>0</v>
      </c>
      <c r="BL550" s="20" t="str">
        <f t="shared" si="172"/>
        <v>►</v>
      </c>
      <c r="CO550" s="5">
        <v>1</v>
      </c>
    </row>
    <row r="551" spans="1:93" ht="17.25">
      <c r="A551" s="20" t="str">
        <f t="shared" si="181"/>
        <v>►</v>
      </c>
      <c r="B551" s="43" t="str">
        <f t="shared" si="166"/>
        <v>►</v>
      </c>
      <c r="C551" s="45" t="str">
        <f t="shared" si="167"/>
        <v>►</v>
      </c>
      <c r="D551" s="44" t="str">
        <f t="shared" si="168"/>
        <v>►</v>
      </c>
      <c r="E551" s="43" t="str">
        <f t="shared" si="169"/>
        <v>►</v>
      </c>
      <c r="F551" s="43" t="str">
        <f t="shared" si="170"/>
        <v>►</v>
      </c>
      <c r="G551" s="43" t="str">
        <f t="shared" si="171"/>
        <v>►</v>
      </c>
      <c r="H551" s="1256" t="s">
        <v>1</v>
      </c>
      <c r="I551" s="5175" t="s">
        <v>1</v>
      </c>
      <c r="J551" s="5161"/>
      <c r="K551" s="5161"/>
      <c r="L551" s="5161"/>
      <c r="M551" s="5176"/>
      <c r="N551" s="5177"/>
      <c r="O551" s="147"/>
      <c r="P551" s="147"/>
      <c r="Q551" s="102"/>
      <c r="R551" s="102"/>
      <c r="S551" s="1360"/>
      <c r="T551" s="43"/>
      <c r="U551" s="42"/>
      <c r="V551" s="41"/>
      <c r="W551" s="40"/>
      <c r="X551" s="39"/>
      <c r="Y551" s="38"/>
      <c r="Z551" s="37"/>
      <c r="AA551" s="36"/>
      <c r="AB551" s="35"/>
      <c r="AC551" s="34"/>
      <c r="AD551" s="55"/>
      <c r="AE551" s="33"/>
      <c r="AG551" s="32"/>
      <c r="AH551" s="31"/>
      <c r="AI551" s="30"/>
      <c r="AJ551" s="5492">
        <f t="shared" si="173"/>
        <v>0</v>
      </c>
      <c r="AK551" s="54">
        <f t="shared" si="174"/>
        <v>0</v>
      </c>
      <c r="AL551" s="53" t="str">
        <f t="shared" si="175"/>
        <v/>
      </c>
      <c r="AM551" s="52"/>
      <c r="AN551" s="51">
        <f t="shared" si="176"/>
        <v>0</v>
      </c>
      <c r="AO551" s="50">
        <f t="shared" si="177"/>
        <v>0</v>
      </c>
      <c r="AP551" s="49">
        <f t="shared" si="178"/>
        <v>0</v>
      </c>
      <c r="AQ551" s="23"/>
      <c r="AR551" s="48">
        <f t="shared" si="179"/>
        <v>0</v>
      </c>
      <c r="AS551" s="47"/>
      <c r="AT551" s="13"/>
      <c r="AU551" s="46">
        <f t="shared" si="180"/>
        <v>0</v>
      </c>
      <c r="BL551" s="20" t="str">
        <f t="shared" si="172"/>
        <v>►</v>
      </c>
      <c r="CO551" s="5">
        <v>1</v>
      </c>
    </row>
    <row r="552" spans="1:93" ht="17.25">
      <c r="A552" s="20" t="str">
        <f t="shared" si="181"/>
        <v>►</v>
      </c>
      <c r="B552" s="43" t="str">
        <f t="shared" si="166"/>
        <v>►</v>
      </c>
      <c r="C552" s="45" t="str">
        <f t="shared" si="167"/>
        <v>►</v>
      </c>
      <c r="D552" s="44" t="str">
        <f t="shared" si="168"/>
        <v>►</v>
      </c>
      <c r="E552" s="43" t="str">
        <f t="shared" si="169"/>
        <v>►</v>
      </c>
      <c r="F552" s="43" t="str">
        <f t="shared" si="170"/>
        <v>►</v>
      </c>
      <c r="G552" s="43" t="str">
        <f t="shared" si="171"/>
        <v>►</v>
      </c>
      <c r="H552" s="1256" t="s">
        <v>1</v>
      </c>
      <c r="I552" s="5175" t="s">
        <v>1</v>
      </c>
      <c r="J552" s="5161"/>
      <c r="K552" s="5161"/>
      <c r="L552" s="5161"/>
      <c r="M552" s="5176"/>
      <c r="N552" s="5177"/>
      <c r="O552" s="147"/>
      <c r="P552" s="147"/>
      <c r="Q552" s="102"/>
      <c r="R552" s="102"/>
      <c r="S552" s="1360"/>
      <c r="T552" s="43"/>
      <c r="U552" s="42"/>
      <c r="V552" s="41"/>
      <c r="W552" s="40"/>
      <c r="X552" s="39"/>
      <c r="Y552" s="38"/>
      <c r="Z552" s="37"/>
      <c r="AA552" s="36"/>
      <c r="AB552" s="35"/>
      <c r="AC552" s="34"/>
      <c r="AD552" s="55"/>
      <c r="AE552" s="33"/>
      <c r="AG552" s="32"/>
      <c r="AH552" s="31"/>
      <c r="AI552" s="30"/>
      <c r="AJ552" s="5492">
        <f t="shared" si="173"/>
        <v>0</v>
      </c>
      <c r="AK552" s="29">
        <f t="shared" si="174"/>
        <v>0</v>
      </c>
      <c r="AL552" s="28" t="str">
        <f t="shared" si="175"/>
        <v/>
      </c>
      <c r="AM552" s="27"/>
      <c r="AN552" s="26">
        <f t="shared" si="176"/>
        <v>0</v>
      </c>
      <c r="AO552" s="25">
        <f t="shared" si="177"/>
        <v>0</v>
      </c>
      <c r="AP552" s="24">
        <f t="shared" si="178"/>
        <v>0</v>
      </c>
      <c r="AQ552" s="23"/>
      <c r="AR552" s="22">
        <f t="shared" si="179"/>
        <v>0</v>
      </c>
      <c r="AS552" s="21"/>
      <c r="AT552" s="13"/>
      <c r="AU552" s="46">
        <f t="shared" si="180"/>
        <v>0</v>
      </c>
      <c r="BL552" s="20" t="str">
        <f t="shared" si="172"/>
        <v>►</v>
      </c>
      <c r="CO552" s="5">
        <v>1</v>
      </c>
    </row>
    <row r="553" spans="1:93" ht="17.25">
      <c r="A553" s="20" t="str">
        <f t="shared" si="181"/>
        <v>►</v>
      </c>
      <c r="B553" s="43" t="str">
        <f t="shared" si="166"/>
        <v>►</v>
      </c>
      <c r="C553" s="45" t="str">
        <f t="shared" si="167"/>
        <v>►</v>
      </c>
      <c r="D553" s="44" t="str">
        <f t="shared" si="168"/>
        <v>►</v>
      </c>
      <c r="E553" s="43" t="str">
        <f t="shared" si="169"/>
        <v>►</v>
      </c>
      <c r="F553" s="43" t="str">
        <f t="shared" si="170"/>
        <v>►</v>
      </c>
      <c r="G553" s="43" t="str">
        <f t="shared" si="171"/>
        <v>►</v>
      </c>
      <c r="H553" s="1256" t="s">
        <v>1</v>
      </c>
      <c r="I553" s="5175" t="s">
        <v>1</v>
      </c>
      <c r="J553" s="5161"/>
      <c r="K553" s="5161"/>
      <c r="L553" s="5161"/>
      <c r="M553" s="5176"/>
      <c r="N553" s="5177"/>
      <c r="O553" s="147"/>
      <c r="P553" s="147"/>
      <c r="Q553" s="102"/>
      <c r="R553" s="102"/>
      <c r="S553" s="1360"/>
      <c r="T553" s="43"/>
      <c r="U553" s="42"/>
      <c r="V553" s="41"/>
      <c r="W553" s="40"/>
      <c r="X553" s="39"/>
      <c r="Y553" s="38"/>
      <c r="Z553" s="37"/>
      <c r="AA553" s="36"/>
      <c r="AB553" s="35"/>
      <c r="AC553" s="34"/>
      <c r="AD553" s="55"/>
      <c r="AE553" s="33"/>
      <c r="AG553" s="32"/>
      <c r="AH553" s="31"/>
      <c r="AI553" s="30"/>
      <c r="AJ553" s="5492">
        <f t="shared" si="173"/>
        <v>0</v>
      </c>
      <c r="AK553" s="54">
        <f t="shared" si="174"/>
        <v>0</v>
      </c>
      <c r="AL553" s="53" t="str">
        <f t="shared" si="175"/>
        <v/>
      </c>
      <c r="AM553" s="52"/>
      <c r="AN553" s="51">
        <f t="shared" si="176"/>
        <v>0</v>
      </c>
      <c r="AO553" s="50">
        <f t="shared" si="177"/>
        <v>0</v>
      </c>
      <c r="AP553" s="49">
        <f t="shared" si="178"/>
        <v>0</v>
      </c>
      <c r="AQ553" s="23"/>
      <c r="AR553" s="48">
        <f t="shared" si="179"/>
        <v>0</v>
      </c>
      <c r="AS553" s="47"/>
      <c r="AT553" s="13"/>
      <c r="AU553" s="46">
        <f t="shared" si="180"/>
        <v>0</v>
      </c>
      <c r="BL553" s="20" t="str">
        <f t="shared" si="172"/>
        <v>►</v>
      </c>
      <c r="CO553" s="5">
        <v>1</v>
      </c>
    </row>
    <row r="554" spans="1:93" ht="17.25">
      <c r="A554" s="20" t="str">
        <f t="shared" si="181"/>
        <v>►</v>
      </c>
      <c r="B554" s="43" t="str">
        <f t="shared" si="166"/>
        <v>►</v>
      </c>
      <c r="C554" s="45" t="str">
        <f t="shared" si="167"/>
        <v>►</v>
      </c>
      <c r="D554" s="44" t="str">
        <f t="shared" si="168"/>
        <v>►</v>
      </c>
      <c r="E554" s="43" t="str">
        <f t="shared" si="169"/>
        <v>►</v>
      </c>
      <c r="F554" s="43" t="str">
        <f t="shared" si="170"/>
        <v>►</v>
      </c>
      <c r="G554" s="43" t="str">
        <f t="shared" si="171"/>
        <v>►</v>
      </c>
      <c r="H554" s="1256" t="s">
        <v>1</v>
      </c>
      <c r="I554" s="5175" t="s">
        <v>1</v>
      </c>
      <c r="J554" s="5161"/>
      <c r="K554" s="5161"/>
      <c r="L554" s="5161"/>
      <c r="M554" s="5176"/>
      <c r="N554" s="5177"/>
      <c r="O554" s="147"/>
      <c r="P554" s="147"/>
      <c r="Q554" s="102"/>
      <c r="R554" s="102"/>
      <c r="S554" s="1360"/>
      <c r="T554" s="43"/>
      <c r="U554" s="42"/>
      <c r="V554" s="41"/>
      <c r="W554" s="40"/>
      <c r="X554" s="39"/>
      <c r="Y554" s="38"/>
      <c r="Z554" s="37"/>
      <c r="AA554" s="36"/>
      <c r="AB554" s="35"/>
      <c r="AC554" s="34"/>
      <c r="AD554" s="55"/>
      <c r="AE554" s="33"/>
      <c r="AG554" s="32"/>
      <c r="AH554" s="31"/>
      <c r="AI554" s="30"/>
      <c r="AJ554" s="5492">
        <f t="shared" si="173"/>
        <v>0</v>
      </c>
      <c r="AK554" s="29">
        <f t="shared" si="174"/>
        <v>0</v>
      </c>
      <c r="AL554" s="28" t="str">
        <f t="shared" si="175"/>
        <v/>
      </c>
      <c r="AM554" s="27"/>
      <c r="AN554" s="26">
        <f t="shared" si="176"/>
        <v>0</v>
      </c>
      <c r="AO554" s="25">
        <f t="shared" si="177"/>
        <v>0</v>
      </c>
      <c r="AP554" s="24">
        <f t="shared" si="178"/>
        <v>0</v>
      </c>
      <c r="AQ554" s="23"/>
      <c r="AR554" s="22">
        <f t="shared" si="179"/>
        <v>0</v>
      </c>
      <c r="AS554" s="21"/>
      <c r="AT554" s="13"/>
      <c r="AU554" s="46">
        <f t="shared" si="180"/>
        <v>0</v>
      </c>
      <c r="BL554" s="20" t="str">
        <f t="shared" si="172"/>
        <v>►</v>
      </c>
      <c r="CO554" s="5">
        <v>1</v>
      </c>
    </row>
    <row r="555" spans="1:93" ht="17.25">
      <c r="A555" s="20" t="str">
        <f t="shared" si="181"/>
        <v>►</v>
      </c>
      <c r="B555" s="43" t="str">
        <f t="shared" si="166"/>
        <v>►</v>
      </c>
      <c r="C555" s="45" t="str">
        <f t="shared" si="167"/>
        <v>►</v>
      </c>
      <c r="D555" s="44" t="str">
        <f t="shared" si="168"/>
        <v>►</v>
      </c>
      <c r="E555" s="43" t="str">
        <f t="shared" si="169"/>
        <v>►</v>
      </c>
      <c r="F555" s="43" t="str">
        <f t="shared" si="170"/>
        <v>►</v>
      </c>
      <c r="G555" s="43" t="str">
        <f t="shared" si="171"/>
        <v>►</v>
      </c>
      <c r="H555" s="1256" t="s">
        <v>1</v>
      </c>
      <c r="I555" s="5175" t="s">
        <v>1</v>
      </c>
      <c r="J555" s="5161"/>
      <c r="K555" s="5161"/>
      <c r="L555" s="5161"/>
      <c r="M555" s="5176"/>
      <c r="N555" s="5177"/>
      <c r="O555" s="147"/>
      <c r="P555" s="147"/>
      <c r="Q555" s="102"/>
      <c r="R555" s="102"/>
      <c r="S555" s="1360"/>
      <c r="T555" s="43"/>
      <c r="U555" s="42"/>
      <c r="V555" s="41"/>
      <c r="W555" s="40"/>
      <c r="X555" s="39"/>
      <c r="Y555" s="38"/>
      <c r="Z555" s="37"/>
      <c r="AA555" s="36"/>
      <c r="AB555" s="35"/>
      <c r="AC555" s="34"/>
      <c r="AD555" s="55"/>
      <c r="AE555" s="33"/>
      <c r="AG555" s="32"/>
      <c r="AH555" s="31"/>
      <c r="AI555" s="30"/>
      <c r="AJ555" s="5492">
        <f t="shared" si="173"/>
        <v>0</v>
      </c>
      <c r="AK555" s="54">
        <f t="shared" si="174"/>
        <v>0</v>
      </c>
      <c r="AL555" s="53" t="str">
        <f t="shared" si="175"/>
        <v/>
      </c>
      <c r="AM555" s="52"/>
      <c r="AN555" s="51">
        <f t="shared" si="176"/>
        <v>0</v>
      </c>
      <c r="AO555" s="50">
        <f t="shared" si="177"/>
        <v>0</v>
      </c>
      <c r="AP555" s="49">
        <f t="shared" si="178"/>
        <v>0</v>
      </c>
      <c r="AQ555" s="23"/>
      <c r="AR555" s="48">
        <f t="shared" si="179"/>
        <v>0</v>
      </c>
      <c r="AS555" s="47"/>
      <c r="AT555" s="13"/>
      <c r="AU555" s="46">
        <f t="shared" si="180"/>
        <v>0</v>
      </c>
      <c r="BL555" s="20" t="str">
        <f t="shared" si="172"/>
        <v>►</v>
      </c>
      <c r="CO555" s="5">
        <v>1</v>
      </c>
    </row>
    <row r="556" spans="1:93" ht="17.25">
      <c r="A556" s="20" t="str">
        <f t="shared" si="181"/>
        <v>►</v>
      </c>
      <c r="B556" s="43" t="str">
        <f t="shared" si="166"/>
        <v>►</v>
      </c>
      <c r="C556" s="45" t="str">
        <f t="shared" si="167"/>
        <v>►</v>
      </c>
      <c r="D556" s="44" t="str">
        <f t="shared" si="168"/>
        <v>►</v>
      </c>
      <c r="E556" s="43" t="str">
        <f t="shared" si="169"/>
        <v>►</v>
      </c>
      <c r="F556" s="43" t="str">
        <f t="shared" si="170"/>
        <v>►</v>
      </c>
      <c r="G556" s="43" t="str">
        <f t="shared" si="171"/>
        <v>►</v>
      </c>
      <c r="H556" s="1256" t="s">
        <v>1</v>
      </c>
      <c r="I556" s="5175" t="s">
        <v>1</v>
      </c>
      <c r="J556" s="5161"/>
      <c r="K556" s="5161"/>
      <c r="L556" s="5161"/>
      <c r="M556" s="5176"/>
      <c r="N556" s="5177"/>
      <c r="O556" s="147"/>
      <c r="P556" s="147"/>
      <c r="Q556" s="102"/>
      <c r="R556" s="102"/>
      <c r="S556" s="1360"/>
      <c r="T556" s="43"/>
      <c r="U556" s="42"/>
      <c r="V556" s="41"/>
      <c r="W556" s="40"/>
      <c r="X556" s="39"/>
      <c r="Y556" s="38"/>
      <c r="Z556" s="37"/>
      <c r="AA556" s="36"/>
      <c r="AB556" s="35"/>
      <c r="AC556" s="34"/>
      <c r="AD556" s="55"/>
      <c r="AE556" s="33"/>
      <c r="AG556" s="32"/>
      <c r="AH556" s="31"/>
      <c r="AI556" s="30"/>
      <c r="AJ556" s="5492">
        <f t="shared" si="173"/>
        <v>0</v>
      </c>
      <c r="AK556" s="29">
        <f t="shared" si="174"/>
        <v>0</v>
      </c>
      <c r="AL556" s="28" t="str">
        <f t="shared" si="175"/>
        <v/>
      </c>
      <c r="AM556" s="27"/>
      <c r="AN556" s="26">
        <f t="shared" si="176"/>
        <v>0</v>
      </c>
      <c r="AO556" s="25">
        <f t="shared" si="177"/>
        <v>0</v>
      </c>
      <c r="AP556" s="24">
        <f t="shared" si="178"/>
        <v>0</v>
      </c>
      <c r="AQ556" s="23"/>
      <c r="AR556" s="22">
        <f t="shared" si="179"/>
        <v>0</v>
      </c>
      <c r="AS556" s="21"/>
      <c r="AT556" s="13"/>
      <c r="AU556" s="46">
        <f t="shared" si="180"/>
        <v>0</v>
      </c>
      <c r="BL556" s="20" t="str">
        <f t="shared" si="172"/>
        <v>►</v>
      </c>
      <c r="CO556" s="5">
        <v>1</v>
      </c>
    </row>
    <row r="557" spans="1:93" ht="17.25">
      <c r="A557" s="20" t="str">
        <f t="shared" si="181"/>
        <v>►</v>
      </c>
      <c r="B557" s="43" t="str">
        <f t="shared" si="166"/>
        <v>►</v>
      </c>
      <c r="C557" s="45" t="str">
        <f t="shared" si="167"/>
        <v>►</v>
      </c>
      <c r="D557" s="44" t="str">
        <f t="shared" si="168"/>
        <v>►</v>
      </c>
      <c r="E557" s="43" t="str">
        <f t="shared" si="169"/>
        <v>►</v>
      </c>
      <c r="F557" s="43" t="str">
        <f t="shared" si="170"/>
        <v>►</v>
      </c>
      <c r="G557" s="43" t="str">
        <f t="shared" si="171"/>
        <v>►</v>
      </c>
      <c r="H557" s="1256" t="s">
        <v>1</v>
      </c>
      <c r="I557" s="5175" t="s">
        <v>1</v>
      </c>
      <c r="J557" s="5161"/>
      <c r="K557" s="5161"/>
      <c r="L557" s="5161"/>
      <c r="M557" s="5176"/>
      <c r="N557" s="5177"/>
      <c r="O557" s="147"/>
      <c r="P557" s="147"/>
      <c r="Q557" s="102"/>
      <c r="R557" s="102"/>
      <c r="S557" s="1360"/>
      <c r="T557" s="43"/>
      <c r="U557" s="42"/>
      <c r="V557" s="41"/>
      <c r="W557" s="40"/>
      <c r="X557" s="39"/>
      <c r="Y557" s="38"/>
      <c r="Z557" s="37"/>
      <c r="AA557" s="36"/>
      <c r="AB557" s="35"/>
      <c r="AC557" s="34"/>
      <c r="AD557" s="55"/>
      <c r="AE557" s="33"/>
      <c r="AG557" s="32"/>
      <c r="AH557" s="31"/>
      <c r="AI557" s="30"/>
      <c r="AJ557" s="5492">
        <f t="shared" si="173"/>
        <v>0</v>
      </c>
      <c r="AK557" s="54">
        <f t="shared" si="174"/>
        <v>0</v>
      </c>
      <c r="AL557" s="53" t="str">
        <f t="shared" si="175"/>
        <v/>
      </c>
      <c r="AM557" s="52"/>
      <c r="AN557" s="51">
        <f t="shared" si="176"/>
        <v>0</v>
      </c>
      <c r="AO557" s="50">
        <f t="shared" si="177"/>
        <v>0</v>
      </c>
      <c r="AP557" s="49">
        <f t="shared" si="178"/>
        <v>0</v>
      </c>
      <c r="AQ557" s="23"/>
      <c r="AR557" s="48">
        <f t="shared" si="179"/>
        <v>0</v>
      </c>
      <c r="AS557" s="47"/>
      <c r="AT557" s="13"/>
      <c r="AU557" s="46">
        <f t="shared" si="180"/>
        <v>0</v>
      </c>
      <c r="BL557" s="20" t="str">
        <f t="shared" si="172"/>
        <v>►</v>
      </c>
      <c r="CO557" s="5">
        <v>1</v>
      </c>
    </row>
    <row r="558" spans="1:93" ht="17.25">
      <c r="A558" s="20" t="str">
        <f t="shared" si="181"/>
        <v>►</v>
      </c>
      <c r="B558" s="43" t="str">
        <f t="shared" si="166"/>
        <v>►</v>
      </c>
      <c r="C558" s="45" t="str">
        <f t="shared" si="167"/>
        <v>►</v>
      </c>
      <c r="D558" s="44" t="str">
        <f t="shared" si="168"/>
        <v>►</v>
      </c>
      <c r="E558" s="43" t="str">
        <f t="shared" si="169"/>
        <v>►</v>
      </c>
      <c r="F558" s="43" t="str">
        <f t="shared" si="170"/>
        <v>►</v>
      </c>
      <c r="G558" s="43" t="str">
        <f t="shared" si="171"/>
        <v>►</v>
      </c>
      <c r="H558" s="1256" t="s">
        <v>1</v>
      </c>
      <c r="I558" s="5175" t="s">
        <v>1</v>
      </c>
      <c r="J558" s="5161"/>
      <c r="K558" s="5161"/>
      <c r="L558" s="5161"/>
      <c r="M558" s="5176"/>
      <c r="N558" s="5177"/>
      <c r="O558" s="147"/>
      <c r="P558" s="147"/>
      <c r="Q558" s="102"/>
      <c r="R558" s="102"/>
      <c r="S558" s="1360"/>
      <c r="T558" s="43"/>
      <c r="U558" s="42"/>
      <c r="V558" s="41"/>
      <c r="W558" s="40"/>
      <c r="X558" s="39"/>
      <c r="Y558" s="38"/>
      <c r="Z558" s="37"/>
      <c r="AA558" s="36"/>
      <c r="AB558" s="35"/>
      <c r="AC558" s="34"/>
      <c r="AD558" s="55"/>
      <c r="AE558" s="33"/>
      <c r="AG558" s="32"/>
      <c r="AH558" s="31"/>
      <c r="AI558" s="30"/>
      <c r="AJ558" s="5492">
        <f t="shared" si="173"/>
        <v>0</v>
      </c>
      <c r="AK558" s="29">
        <f t="shared" si="174"/>
        <v>0</v>
      </c>
      <c r="AL558" s="28" t="str">
        <f t="shared" si="175"/>
        <v/>
      </c>
      <c r="AM558" s="27"/>
      <c r="AN558" s="26">
        <f t="shared" si="176"/>
        <v>0</v>
      </c>
      <c r="AO558" s="25">
        <f t="shared" si="177"/>
        <v>0</v>
      </c>
      <c r="AP558" s="24">
        <f t="shared" si="178"/>
        <v>0</v>
      </c>
      <c r="AQ558" s="23"/>
      <c r="AR558" s="22">
        <f t="shared" si="179"/>
        <v>0</v>
      </c>
      <c r="AS558" s="21"/>
      <c r="AT558" s="13"/>
      <c r="AU558" s="46">
        <f t="shared" si="180"/>
        <v>0</v>
      </c>
      <c r="BL558" s="20" t="str">
        <f t="shared" si="172"/>
        <v>►</v>
      </c>
      <c r="CO558" s="5">
        <v>1</v>
      </c>
    </row>
    <row r="559" spans="1:93" ht="17.25">
      <c r="A559" s="20" t="str">
        <f t="shared" si="181"/>
        <v>►</v>
      </c>
      <c r="B559" s="43" t="str">
        <f t="shared" si="166"/>
        <v>►</v>
      </c>
      <c r="C559" s="45" t="str">
        <f t="shared" si="167"/>
        <v>►</v>
      </c>
      <c r="D559" s="44" t="str">
        <f t="shared" si="168"/>
        <v>►</v>
      </c>
      <c r="E559" s="43" t="str">
        <f t="shared" si="169"/>
        <v>►</v>
      </c>
      <c r="F559" s="43" t="str">
        <f t="shared" si="170"/>
        <v>►</v>
      </c>
      <c r="G559" s="43" t="str">
        <f t="shared" si="171"/>
        <v>►</v>
      </c>
      <c r="H559" s="1256" t="s">
        <v>1</v>
      </c>
      <c r="I559" s="5175" t="s">
        <v>1</v>
      </c>
      <c r="J559" s="5161"/>
      <c r="K559" s="5161"/>
      <c r="L559" s="5161"/>
      <c r="M559" s="5176"/>
      <c r="N559" s="5177"/>
      <c r="O559" s="147"/>
      <c r="P559" s="147"/>
      <c r="Q559" s="102"/>
      <c r="R559" s="102"/>
      <c r="S559" s="1360"/>
      <c r="T559" s="43"/>
      <c r="U559" s="42"/>
      <c r="V559" s="41"/>
      <c r="W559" s="40"/>
      <c r="X559" s="39"/>
      <c r="Y559" s="38"/>
      <c r="Z559" s="37"/>
      <c r="AA559" s="36"/>
      <c r="AB559" s="35"/>
      <c r="AC559" s="34"/>
      <c r="AD559" s="55"/>
      <c r="AE559" s="33"/>
      <c r="AG559" s="32"/>
      <c r="AH559" s="31"/>
      <c r="AI559" s="30"/>
      <c r="AJ559" s="5492">
        <f t="shared" si="173"/>
        <v>0</v>
      </c>
      <c r="AK559" s="54">
        <f t="shared" si="174"/>
        <v>0</v>
      </c>
      <c r="AL559" s="53" t="str">
        <f t="shared" si="175"/>
        <v/>
      </c>
      <c r="AM559" s="52"/>
      <c r="AN559" s="51">
        <f t="shared" si="176"/>
        <v>0</v>
      </c>
      <c r="AO559" s="50">
        <f t="shared" si="177"/>
        <v>0</v>
      </c>
      <c r="AP559" s="49">
        <f t="shared" si="178"/>
        <v>0</v>
      </c>
      <c r="AQ559" s="23"/>
      <c r="AR559" s="48">
        <f t="shared" si="179"/>
        <v>0</v>
      </c>
      <c r="AS559" s="47"/>
      <c r="AT559" s="13"/>
      <c r="AU559" s="46">
        <f t="shared" si="180"/>
        <v>0</v>
      </c>
      <c r="BL559" s="20" t="str">
        <f t="shared" si="172"/>
        <v>►</v>
      </c>
      <c r="CO559" s="5">
        <v>1</v>
      </c>
    </row>
    <row r="560" spans="1:93" ht="17.25">
      <c r="A560" s="20" t="str">
        <f t="shared" si="181"/>
        <v>►</v>
      </c>
      <c r="B560" s="43" t="str">
        <f t="shared" si="166"/>
        <v>►</v>
      </c>
      <c r="C560" s="45" t="str">
        <f t="shared" si="167"/>
        <v>►</v>
      </c>
      <c r="D560" s="44" t="str">
        <f t="shared" si="168"/>
        <v>►</v>
      </c>
      <c r="E560" s="43" t="str">
        <f t="shared" si="169"/>
        <v>►</v>
      </c>
      <c r="F560" s="43" t="str">
        <f t="shared" si="170"/>
        <v>►</v>
      </c>
      <c r="G560" s="43" t="str">
        <f t="shared" si="171"/>
        <v>►</v>
      </c>
      <c r="H560" s="1256" t="s">
        <v>1</v>
      </c>
      <c r="I560" s="5175" t="s">
        <v>1</v>
      </c>
      <c r="J560" s="5161"/>
      <c r="K560" s="5161"/>
      <c r="L560" s="5161"/>
      <c r="M560" s="5176"/>
      <c r="N560" s="5177"/>
      <c r="O560" s="147"/>
      <c r="P560" s="147"/>
      <c r="Q560" s="102"/>
      <c r="R560" s="102"/>
      <c r="S560" s="1360"/>
      <c r="T560" s="43"/>
      <c r="U560" s="42"/>
      <c r="V560" s="41"/>
      <c r="W560" s="40"/>
      <c r="X560" s="39"/>
      <c r="Y560" s="38"/>
      <c r="Z560" s="37"/>
      <c r="AA560" s="36"/>
      <c r="AB560" s="35"/>
      <c r="AC560" s="34"/>
      <c r="AD560" s="55"/>
      <c r="AE560" s="33"/>
      <c r="AG560" s="32"/>
      <c r="AH560" s="31"/>
      <c r="AI560" s="30"/>
      <c r="AJ560" s="5492">
        <f t="shared" si="173"/>
        <v>0</v>
      </c>
      <c r="AK560" s="29">
        <f t="shared" si="174"/>
        <v>0</v>
      </c>
      <c r="AL560" s="28" t="str">
        <f t="shared" si="175"/>
        <v/>
      </c>
      <c r="AM560" s="27"/>
      <c r="AN560" s="26">
        <f t="shared" si="176"/>
        <v>0</v>
      </c>
      <c r="AO560" s="25">
        <f t="shared" si="177"/>
        <v>0</v>
      </c>
      <c r="AP560" s="24">
        <f t="shared" si="178"/>
        <v>0</v>
      </c>
      <c r="AQ560" s="23"/>
      <c r="AR560" s="22">
        <f t="shared" si="179"/>
        <v>0</v>
      </c>
      <c r="AS560" s="21"/>
      <c r="AT560" s="13"/>
      <c r="AU560" s="46">
        <f t="shared" si="180"/>
        <v>0</v>
      </c>
      <c r="BL560" s="20" t="str">
        <f t="shared" si="172"/>
        <v>►</v>
      </c>
      <c r="CO560" s="5">
        <v>1</v>
      </c>
    </row>
    <row r="561" spans="1:93" ht="17.25">
      <c r="A561" s="20" t="str">
        <f t="shared" si="181"/>
        <v>►</v>
      </c>
      <c r="B561" s="43" t="str">
        <f t="shared" si="166"/>
        <v>►</v>
      </c>
      <c r="C561" s="45" t="str">
        <f t="shared" si="167"/>
        <v>►</v>
      </c>
      <c r="D561" s="44" t="str">
        <f t="shared" si="168"/>
        <v>►</v>
      </c>
      <c r="E561" s="43" t="str">
        <f t="shared" si="169"/>
        <v>►</v>
      </c>
      <c r="F561" s="43" t="str">
        <f t="shared" si="170"/>
        <v>►</v>
      </c>
      <c r="G561" s="43" t="str">
        <f t="shared" si="171"/>
        <v>►</v>
      </c>
      <c r="H561" s="1256" t="s">
        <v>1</v>
      </c>
      <c r="I561" s="5175" t="s">
        <v>1</v>
      </c>
      <c r="J561" s="5161"/>
      <c r="K561" s="5161"/>
      <c r="L561" s="5161"/>
      <c r="M561" s="5176"/>
      <c r="N561" s="5177"/>
      <c r="O561" s="147"/>
      <c r="P561" s="147"/>
      <c r="Q561" s="102"/>
      <c r="R561" s="102"/>
      <c r="S561" s="1360"/>
      <c r="T561" s="43"/>
      <c r="U561" s="42"/>
      <c r="V561" s="41"/>
      <c r="W561" s="40"/>
      <c r="X561" s="39"/>
      <c r="Y561" s="38"/>
      <c r="Z561" s="37"/>
      <c r="AA561" s="36"/>
      <c r="AB561" s="35"/>
      <c r="AC561" s="34"/>
      <c r="AD561" s="55"/>
      <c r="AE561" s="33"/>
      <c r="AG561" s="32"/>
      <c r="AH561" s="31"/>
      <c r="AI561" s="30"/>
      <c r="AJ561" s="5492">
        <f t="shared" si="173"/>
        <v>0</v>
      </c>
      <c r="AK561" s="54">
        <f t="shared" si="174"/>
        <v>0</v>
      </c>
      <c r="AL561" s="53" t="str">
        <f t="shared" si="175"/>
        <v/>
      </c>
      <c r="AM561" s="52"/>
      <c r="AN561" s="51">
        <f t="shared" si="176"/>
        <v>0</v>
      </c>
      <c r="AO561" s="50">
        <f t="shared" si="177"/>
        <v>0</v>
      </c>
      <c r="AP561" s="49">
        <f t="shared" si="178"/>
        <v>0</v>
      </c>
      <c r="AQ561" s="23"/>
      <c r="AR561" s="48">
        <f t="shared" si="179"/>
        <v>0</v>
      </c>
      <c r="AS561" s="47"/>
      <c r="AT561" s="13"/>
      <c r="AU561" s="46">
        <f t="shared" si="180"/>
        <v>0</v>
      </c>
      <c r="BL561" s="20" t="str">
        <f t="shared" si="172"/>
        <v>►</v>
      </c>
      <c r="CO561" s="5">
        <v>1</v>
      </c>
    </row>
    <row r="562" spans="1:93" ht="17.25">
      <c r="A562" s="20" t="str">
        <f t="shared" si="181"/>
        <v>►</v>
      </c>
      <c r="B562" s="43" t="str">
        <f t="shared" si="166"/>
        <v>►</v>
      </c>
      <c r="C562" s="45" t="str">
        <f t="shared" si="167"/>
        <v>►</v>
      </c>
      <c r="D562" s="44" t="str">
        <f t="shared" si="168"/>
        <v>►</v>
      </c>
      <c r="E562" s="43" t="str">
        <f t="shared" si="169"/>
        <v>►</v>
      </c>
      <c r="F562" s="43" t="str">
        <f t="shared" si="170"/>
        <v>►</v>
      </c>
      <c r="G562" s="43" t="str">
        <f t="shared" si="171"/>
        <v>►</v>
      </c>
      <c r="H562" s="1256" t="s">
        <v>1</v>
      </c>
      <c r="I562" s="5175" t="s">
        <v>1</v>
      </c>
      <c r="J562" s="5161"/>
      <c r="K562" s="5161"/>
      <c r="L562" s="5161"/>
      <c r="M562" s="5176"/>
      <c r="N562" s="5177"/>
      <c r="O562" s="147"/>
      <c r="P562" s="147"/>
      <c r="Q562" s="102"/>
      <c r="R562" s="102"/>
      <c r="S562" s="1360"/>
      <c r="T562" s="43"/>
      <c r="U562" s="42"/>
      <c r="V562" s="41"/>
      <c r="W562" s="40"/>
      <c r="X562" s="39"/>
      <c r="Y562" s="38"/>
      <c r="Z562" s="37"/>
      <c r="AA562" s="36"/>
      <c r="AB562" s="35"/>
      <c r="AC562" s="34"/>
      <c r="AD562" s="55"/>
      <c r="AE562" s="33"/>
      <c r="AG562" s="32"/>
      <c r="AH562" s="31"/>
      <c r="AI562" s="30"/>
      <c r="AJ562" s="5492">
        <f t="shared" si="173"/>
        <v>0</v>
      </c>
      <c r="AK562" s="29">
        <f t="shared" si="174"/>
        <v>0</v>
      </c>
      <c r="AL562" s="28" t="str">
        <f t="shared" si="175"/>
        <v/>
      </c>
      <c r="AM562" s="27"/>
      <c r="AN562" s="26">
        <f t="shared" si="176"/>
        <v>0</v>
      </c>
      <c r="AO562" s="25">
        <f t="shared" si="177"/>
        <v>0</v>
      </c>
      <c r="AP562" s="24">
        <f t="shared" si="178"/>
        <v>0</v>
      </c>
      <c r="AQ562" s="23"/>
      <c r="AR562" s="22">
        <f t="shared" si="179"/>
        <v>0</v>
      </c>
      <c r="AS562" s="21"/>
      <c r="AT562" s="13"/>
      <c r="AU562" s="46">
        <f t="shared" si="180"/>
        <v>0</v>
      </c>
      <c r="BL562" s="20" t="str">
        <f t="shared" si="172"/>
        <v>►</v>
      </c>
      <c r="CO562" s="5">
        <v>1</v>
      </c>
    </row>
    <row r="563" spans="1:93" ht="17.25">
      <c r="A563" s="20" t="str">
        <f t="shared" si="181"/>
        <v>►</v>
      </c>
      <c r="B563" s="43" t="str">
        <f t="shared" ref="B563:B600" si="182">IF(A563="►","►",IF(A563="A",IF(AND(ISTEXT(V563),ISTEXT(J563)),V563,IF(ISTEXT(V563),V563,IF(ISBLANK(V563),J563,V563)))))</f>
        <v>►</v>
      </c>
      <c r="C563" s="45" t="str">
        <f t="shared" si="167"/>
        <v>►</v>
      </c>
      <c r="D563" s="44" t="str">
        <f t="shared" si="168"/>
        <v>►</v>
      </c>
      <c r="E563" s="43" t="str">
        <f t="shared" si="169"/>
        <v>►</v>
      </c>
      <c r="F563" s="43" t="str">
        <f t="shared" si="170"/>
        <v>►</v>
      </c>
      <c r="G563" s="43" t="str">
        <f t="shared" si="171"/>
        <v>►</v>
      </c>
      <c r="H563" s="1256" t="s">
        <v>1</v>
      </c>
      <c r="I563" s="5175" t="s">
        <v>1</v>
      </c>
      <c r="J563" s="5161"/>
      <c r="K563" s="5161"/>
      <c r="L563" s="5161"/>
      <c r="M563" s="5176"/>
      <c r="N563" s="5177"/>
      <c r="O563" s="147"/>
      <c r="P563" s="147"/>
      <c r="Q563" s="102"/>
      <c r="R563" s="102"/>
      <c r="S563" s="1360"/>
      <c r="T563" s="43"/>
      <c r="U563" s="42"/>
      <c r="V563" s="41"/>
      <c r="W563" s="40"/>
      <c r="X563" s="39"/>
      <c r="Y563" s="38"/>
      <c r="Z563" s="37"/>
      <c r="AA563" s="36"/>
      <c r="AB563" s="35"/>
      <c r="AC563" s="34"/>
      <c r="AD563" s="55"/>
      <c r="AE563" s="33"/>
      <c r="AG563" s="32"/>
      <c r="AH563" s="31"/>
      <c r="AI563" s="30"/>
      <c r="AJ563" s="5492">
        <f t="shared" si="173"/>
        <v>0</v>
      </c>
      <c r="AK563" s="54">
        <f t="shared" si="174"/>
        <v>0</v>
      </c>
      <c r="AL563" s="53" t="str">
        <f t="shared" si="175"/>
        <v/>
      </c>
      <c r="AM563" s="52"/>
      <c r="AN563" s="51">
        <f t="shared" si="176"/>
        <v>0</v>
      </c>
      <c r="AO563" s="50">
        <f t="shared" si="177"/>
        <v>0</v>
      </c>
      <c r="AP563" s="49">
        <f t="shared" si="178"/>
        <v>0</v>
      </c>
      <c r="AQ563" s="23"/>
      <c r="AR563" s="48">
        <f t="shared" si="179"/>
        <v>0</v>
      </c>
      <c r="AS563" s="47"/>
      <c r="AT563" s="13"/>
      <c r="AU563" s="46">
        <f t="shared" si="180"/>
        <v>0</v>
      </c>
      <c r="BL563" s="20" t="str">
        <f t="shared" si="172"/>
        <v>►</v>
      </c>
      <c r="CO563" s="5">
        <v>1</v>
      </c>
    </row>
    <row r="564" spans="1:93" ht="17.25">
      <c r="A564" s="20" t="str">
        <f t="shared" si="181"/>
        <v>►</v>
      </c>
      <c r="B564" s="43" t="str">
        <f t="shared" si="182"/>
        <v>►</v>
      </c>
      <c r="C564" s="45" t="str">
        <f t="shared" si="167"/>
        <v>►</v>
      </c>
      <c r="D564" s="44" t="str">
        <f t="shared" si="168"/>
        <v>►</v>
      </c>
      <c r="E564" s="43" t="str">
        <f t="shared" si="169"/>
        <v>►</v>
      </c>
      <c r="F564" s="43" t="str">
        <f t="shared" si="170"/>
        <v>►</v>
      </c>
      <c r="G564" s="43" t="str">
        <f t="shared" si="171"/>
        <v>►</v>
      </c>
      <c r="H564" s="1256" t="s">
        <v>1</v>
      </c>
      <c r="I564" s="5175" t="s">
        <v>1</v>
      </c>
      <c r="J564" s="5161"/>
      <c r="K564" s="5161"/>
      <c r="L564" s="5161"/>
      <c r="M564" s="5176"/>
      <c r="N564" s="5177"/>
      <c r="O564" s="147"/>
      <c r="P564" s="147"/>
      <c r="Q564" s="102"/>
      <c r="R564" s="102"/>
      <c r="S564" s="1360"/>
      <c r="T564" s="43"/>
      <c r="U564" s="42"/>
      <c r="V564" s="41"/>
      <c r="W564" s="40"/>
      <c r="X564" s="39"/>
      <c r="Y564" s="38"/>
      <c r="Z564" s="37"/>
      <c r="AA564" s="36"/>
      <c r="AB564" s="35"/>
      <c r="AC564" s="34"/>
      <c r="AD564" s="55"/>
      <c r="AE564" s="33"/>
      <c r="AG564" s="32"/>
      <c r="AH564" s="31"/>
      <c r="AI564" s="30"/>
      <c r="AJ564" s="5492">
        <f t="shared" si="173"/>
        <v>0</v>
      </c>
      <c r="AK564" s="29">
        <f t="shared" si="174"/>
        <v>0</v>
      </c>
      <c r="AL564" s="28" t="str">
        <f t="shared" si="175"/>
        <v/>
      </c>
      <c r="AM564" s="27"/>
      <c r="AN564" s="26">
        <f t="shared" si="176"/>
        <v>0</v>
      </c>
      <c r="AO564" s="25">
        <f t="shared" si="177"/>
        <v>0</v>
      </c>
      <c r="AP564" s="24">
        <f t="shared" si="178"/>
        <v>0</v>
      </c>
      <c r="AQ564" s="23"/>
      <c r="AR564" s="22">
        <f t="shared" si="179"/>
        <v>0</v>
      </c>
      <c r="AS564" s="21"/>
      <c r="AT564" s="13"/>
      <c r="AU564" s="46">
        <f t="shared" si="180"/>
        <v>0</v>
      </c>
      <c r="BL564" s="20" t="str">
        <f t="shared" si="172"/>
        <v>►</v>
      </c>
      <c r="CO564" s="5">
        <v>1</v>
      </c>
    </row>
    <row r="565" spans="1:93" ht="17.25">
      <c r="A565" s="20" t="str">
        <f t="shared" si="181"/>
        <v>►</v>
      </c>
      <c r="B565" s="43" t="str">
        <f t="shared" si="182"/>
        <v>►</v>
      </c>
      <c r="C565" s="45" t="str">
        <f t="shared" si="167"/>
        <v>►</v>
      </c>
      <c r="D565" s="44" t="str">
        <f t="shared" si="168"/>
        <v>►</v>
      </c>
      <c r="E565" s="43" t="str">
        <f t="shared" si="169"/>
        <v>►</v>
      </c>
      <c r="F565" s="43" t="str">
        <f t="shared" si="170"/>
        <v>►</v>
      </c>
      <c r="G565" s="43" t="str">
        <f t="shared" si="171"/>
        <v>►</v>
      </c>
      <c r="H565" s="1256" t="s">
        <v>1</v>
      </c>
      <c r="I565" s="5175" t="s">
        <v>1</v>
      </c>
      <c r="J565" s="5161"/>
      <c r="K565" s="5161"/>
      <c r="L565" s="5161"/>
      <c r="M565" s="5176"/>
      <c r="N565" s="5177"/>
      <c r="O565" s="147"/>
      <c r="P565" s="147"/>
      <c r="Q565" s="102"/>
      <c r="R565" s="102"/>
      <c r="S565" s="1360"/>
      <c r="T565" s="43"/>
      <c r="U565" s="42"/>
      <c r="V565" s="41"/>
      <c r="W565" s="40"/>
      <c r="X565" s="39"/>
      <c r="Y565" s="38"/>
      <c r="Z565" s="37"/>
      <c r="AA565" s="36"/>
      <c r="AB565" s="35"/>
      <c r="AC565" s="34"/>
      <c r="AD565" s="55"/>
      <c r="AE565" s="33"/>
      <c r="AG565" s="32"/>
      <c r="AH565" s="31"/>
      <c r="AI565" s="30"/>
      <c r="AJ565" s="5492">
        <f t="shared" si="173"/>
        <v>0</v>
      </c>
      <c r="AK565" s="54">
        <f t="shared" si="174"/>
        <v>0</v>
      </c>
      <c r="AL565" s="53" t="str">
        <f t="shared" si="175"/>
        <v/>
      </c>
      <c r="AM565" s="52"/>
      <c r="AN565" s="51">
        <f t="shared" si="176"/>
        <v>0</v>
      </c>
      <c r="AO565" s="50">
        <f t="shared" si="177"/>
        <v>0</v>
      </c>
      <c r="AP565" s="49">
        <f t="shared" si="178"/>
        <v>0</v>
      </c>
      <c r="AQ565" s="23"/>
      <c r="AR565" s="48">
        <f t="shared" si="179"/>
        <v>0</v>
      </c>
      <c r="AS565" s="47"/>
      <c r="AT565" s="13"/>
      <c r="AU565" s="46">
        <f t="shared" si="180"/>
        <v>0</v>
      </c>
      <c r="BL565" s="20" t="str">
        <f t="shared" si="172"/>
        <v>►</v>
      </c>
      <c r="CO565" s="5">
        <v>1</v>
      </c>
    </row>
    <row r="566" spans="1:93" ht="17.25">
      <c r="A566" s="20" t="str">
        <f t="shared" si="181"/>
        <v>►</v>
      </c>
      <c r="B566" s="43" t="str">
        <f t="shared" si="182"/>
        <v>►</v>
      </c>
      <c r="C566" s="45" t="str">
        <f t="shared" si="167"/>
        <v>►</v>
      </c>
      <c r="D566" s="44" t="str">
        <f t="shared" si="168"/>
        <v>►</v>
      </c>
      <c r="E566" s="43" t="str">
        <f t="shared" si="169"/>
        <v>►</v>
      </c>
      <c r="F566" s="43" t="str">
        <f t="shared" si="170"/>
        <v>►</v>
      </c>
      <c r="G566" s="43" t="str">
        <f t="shared" si="171"/>
        <v>►</v>
      </c>
      <c r="H566" s="1256" t="s">
        <v>1</v>
      </c>
      <c r="I566" s="5175" t="s">
        <v>1</v>
      </c>
      <c r="J566" s="5161"/>
      <c r="K566" s="5161"/>
      <c r="L566" s="5161"/>
      <c r="M566" s="5176"/>
      <c r="N566" s="5177"/>
      <c r="O566" s="147"/>
      <c r="P566" s="147"/>
      <c r="Q566" s="102"/>
      <c r="R566" s="102"/>
      <c r="S566" s="1360"/>
      <c r="T566" s="43"/>
      <c r="U566" s="42"/>
      <c r="V566" s="41"/>
      <c r="W566" s="40"/>
      <c r="X566" s="39"/>
      <c r="Y566" s="38"/>
      <c r="Z566" s="37"/>
      <c r="AA566" s="36"/>
      <c r="AB566" s="35"/>
      <c r="AC566" s="34"/>
      <c r="AD566" s="55"/>
      <c r="AE566" s="33"/>
      <c r="AG566" s="32"/>
      <c r="AH566" s="31"/>
      <c r="AI566" s="30"/>
      <c r="AJ566" s="5492">
        <f t="shared" si="173"/>
        <v>0</v>
      </c>
      <c r="AK566" s="29">
        <f t="shared" si="174"/>
        <v>0</v>
      </c>
      <c r="AL566" s="28" t="str">
        <f t="shared" si="175"/>
        <v/>
      </c>
      <c r="AM566" s="27"/>
      <c r="AN566" s="26">
        <f t="shared" si="176"/>
        <v>0</v>
      </c>
      <c r="AO566" s="25">
        <f t="shared" si="177"/>
        <v>0</v>
      </c>
      <c r="AP566" s="24">
        <f t="shared" si="178"/>
        <v>0</v>
      </c>
      <c r="AQ566" s="23"/>
      <c r="AR566" s="22">
        <f t="shared" si="179"/>
        <v>0</v>
      </c>
      <c r="AS566" s="21"/>
      <c r="AT566" s="13"/>
      <c r="AU566" s="46">
        <f t="shared" si="180"/>
        <v>0</v>
      </c>
      <c r="BL566" s="20" t="str">
        <f t="shared" si="172"/>
        <v>►</v>
      </c>
      <c r="CO566" s="5">
        <v>1</v>
      </c>
    </row>
    <row r="567" spans="1:93" ht="17.25">
      <c r="A567" s="20" t="str">
        <f t="shared" si="181"/>
        <v>►</v>
      </c>
      <c r="B567" s="43" t="str">
        <f t="shared" si="182"/>
        <v>►</v>
      </c>
      <c r="C567" s="45" t="str">
        <f t="shared" si="167"/>
        <v>►</v>
      </c>
      <c r="D567" s="44" t="str">
        <f t="shared" si="168"/>
        <v>►</v>
      </c>
      <c r="E567" s="43" t="str">
        <f t="shared" si="169"/>
        <v>►</v>
      </c>
      <c r="F567" s="43" t="str">
        <f t="shared" si="170"/>
        <v>►</v>
      </c>
      <c r="G567" s="43" t="str">
        <f t="shared" si="171"/>
        <v>►</v>
      </c>
      <c r="H567" s="1256" t="s">
        <v>1</v>
      </c>
      <c r="I567" s="5175" t="s">
        <v>1</v>
      </c>
      <c r="J567" s="5161"/>
      <c r="K567" s="5161"/>
      <c r="L567" s="5161"/>
      <c r="M567" s="5176"/>
      <c r="N567" s="5177"/>
      <c r="O567" s="147"/>
      <c r="P567" s="147"/>
      <c r="Q567" s="102"/>
      <c r="R567" s="102"/>
      <c r="S567" s="1360"/>
      <c r="T567" s="43"/>
      <c r="U567" s="42"/>
      <c r="V567" s="41"/>
      <c r="W567" s="40"/>
      <c r="X567" s="39"/>
      <c r="Y567" s="38"/>
      <c r="Z567" s="37"/>
      <c r="AA567" s="36"/>
      <c r="AB567" s="35"/>
      <c r="AC567" s="34"/>
      <c r="AD567" s="55"/>
      <c r="AE567" s="33"/>
      <c r="AG567" s="32"/>
      <c r="AH567" s="31"/>
      <c r="AI567" s="30"/>
      <c r="AJ567" s="5492">
        <f t="shared" si="173"/>
        <v>0</v>
      </c>
      <c r="AK567" s="54">
        <f t="shared" si="174"/>
        <v>0</v>
      </c>
      <c r="AL567" s="53" t="str">
        <f t="shared" si="175"/>
        <v/>
      </c>
      <c r="AM567" s="52"/>
      <c r="AN567" s="51">
        <f t="shared" si="176"/>
        <v>0</v>
      </c>
      <c r="AO567" s="50">
        <f t="shared" si="177"/>
        <v>0</v>
      </c>
      <c r="AP567" s="49">
        <f t="shared" si="178"/>
        <v>0</v>
      </c>
      <c r="AQ567" s="23"/>
      <c r="AR567" s="48">
        <f t="shared" si="179"/>
        <v>0</v>
      </c>
      <c r="AS567" s="47"/>
      <c r="AT567" s="13"/>
      <c r="AU567" s="46">
        <f t="shared" si="180"/>
        <v>0</v>
      </c>
      <c r="BL567" s="20" t="str">
        <f t="shared" si="172"/>
        <v>►</v>
      </c>
      <c r="CO567" s="5">
        <v>1</v>
      </c>
    </row>
    <row r="568" spans="1:93" ht="17.25">
      <c r="A568" s="20" t="str">
        <f t="shared" si="181"/>
        <v>►</v>
      </c>
      <c r="B568" s="43" t="str">
        <f t="shared" si="182"/>
        <v>►</v>
      </c>
      <c r="C568" s="45" t="str">
        <f t="shared" si="167"/>
        <v>►</v>
      </c>
      <c r="D568" s="44" t="str">
        <f t="shared" si="168"/>
        <v>►</v>
      </c>
      <c r="E568" s="43" t="str">
        <f t="shared" si="169"/>
        <v>►</v>
      </c>
      <c r="F568" s="43" t="str">
        <f t="shared" si="170"/>
        <v>►</v>
      </c>
      <c r="G568" s="43" t="str">
        <f t="shared" si="171"/>
        <v>►</v>
      </c>
      <c r="H568" s="1256" t="s">
        <v>1</v>
      </c>
      <c r="I568" s="5175" t="s">
        <v>1</v>
      </c>
      <c r="J568" s="5161"/>
      <c r="K568" s="5161"/>
      <c r="L568" s="5161"/>
      <c r="M568" s="5176"/>
      <c r="N568" s="5177"/>
      <c r="O568" s="147"/>
      <c r="P568" s="147"/>
      <c r="Q568" s="102"/>
      <c r="R568" s="102"/>
      <c r="S568" s="1360"/>
      <c r="T568" s="43"/>
      <c r="U568" s="42"/>
      <c r="V568" s="41"/>
      <c r="W568" s="40"/>
      <c r="X568" s="39"/>
      <c r="Y568" s="38"/>
      <c r="Z568" s="37"/>
      <c r="AA568" s="36"/>
      <c r="AB568" s="35"/>
      <c r="AC568" s="34"/>
      <c r="AD568" s="55"/>
      <c r="AE568" s="33"/>
      <c r="AG568" s="32"/>
      <c r="AH568" s="31"/>
      <c r="AI568" s="30"/>
      <c r="AJ568" s="5492">
        <f t="shared" si="173"/>
        <v>0</v>
      </c>
      <c r="AK568" s="29">
        <f t="shared" si="174"/>
        <v>0</v>
      </c>
      <c r="AL568" s="28" t="str">
        <f t="shared" si="175"/>
        <v/>
      </c>
      <c r="AM568" s="27"/>
      <c r="AN568" s="26">
        <f t="shared" si="176"/>
        <v>0</v>
      </c>
      <c r="AO568" s="25">
        <f t="shared" si="177"/>
        <v>0</v>
      </c>
      <c r="AP568" s="24">
        <f t="shared" si="178"/>
        <v>0</v>
      </c>
      <c r="AQ568" s="23"/>
      <c r="AR568" s="22">
        <f t="shared" si="179"/>
        <v>0</v>
      </c>
      <c r="AS568" s="21"/>
      <c r="AT568" s="13"/>
      <c r="AU568" s="46">
        <f t="shared" si="180"/>
        <v>0</v>
      </c>
      <c r="BL568" s="20" t="str">
        <f t="shared" si="172"/>
        <v>►</v>
      </c>
      <c r="CO568" s="5">
        <v>1</v>
      </c>
    </row>
    <row r="569" spans="1:93" ht="17.25">
      <c r="A569" s="20" t="str">
        <f t="shared" si="181"/>
        <v>►</v>
      </c>
      <c r="B569" s="43" t="str">
        <f t="shared" si="182"/>
        <v>►</v>
      </c>
      <c r="C569" s="45" t="str">
        <f t="shared" si="167"/>
        <v>►</v>
      </c>
      <c r="D569" s="44" t="str">
        <f t="shared" si="168"/>
        <v>►</v>
      </c>
      <c r="E569" s="43" t="str">
        <f t="shared" si="169"/>
        <v>►</v>
      </c>
      <c r="F569" s="43" t="str">
        <f t="shared" si="170"/>
        <v>►</v>
      </c>
      <c r="G569" s="43" t="str">
        <f t="shared" si="171"/>
        <v>►</v>
      </c>
      <c r="H569" s="1256" t="s">
        <v>1</v>
      </c>
      <c r="I569" s="5175" t="s">
        <v>1</v>
      </c>
      <c r="J569" s="5161"/>
      <c r="K569" s="5161"/>
      <c r="L569" s="5161"/>
      <c r="M569" s="5176"/>
      <c r="N569" s="5177"/>
      <c r="O569" s="147"/>
      <c r="P569" s="147"/>
      <c r="Q569" s="102"/>
      <c r="R569" s="102"/>
      <c r="S569" s="1360"/>
      <c r="T569" s="43"/>
      <c r="U569" s="42"/>
      <c r="V569" s="41"/>
      <c r="W569" s="40"/>
      <c r="X569" s="39"/>
      <c r="Y569" s="38"/>
      <c r="Z569" s="37"/>
      <c r="AA569" s="36"/>
      <c r="AB569" s="35"/>
      <c r="AC569" s="34"/>
      <c r="AD569" s="55"/>
      <c r="AE569" s="33"/>
      <c r="AG569" s="32"/>
      <c r="AH569" s="31"/>
      <c r="AI569" s="30"/>
      <c r="AJ569" s="5492">
        <f t="shared" si="173"/>
        <v>0</v>
      </c>
      <c r="AK569" s="54">
        <f t="shared" si="174"/>
        <v>0</v>
      </c>
      <c r="AL569" s="53" t="str">
        <f t="shared" si="175"/>
        <v/>
      </c>
      <c r="AM569" s="52"/>
      <c r="AN569" s="51">
        <f t="shared" si="176"/>
        <v>0</v>
      </c>
      <c r="AO569" s="50">
        <f t="shared" si="177"/>
        <v>0</v>
      </c>
      <c r="AP569" s="49">
        <f t="shared" si="178"/>
        <v>0</v>
      </c>
      <c r="AQ569" s="23"/>
      <c r="AR569" s="48">
        <f t="shared" si="179"/>
        <v>0</v>
      </c>
      <c r="AS569" s="47"/>
      <c r="AT569" s="13"/>
      <c r="AU569" s="46">
        <f t="shared" si="180"/>
        <v>0</v>
      </c>
      <c r="BL569" s="20" t="str">
        <f t="shared" si="172"/>
        <v>►</v>
      </c>
      <c r="CO569" s="5">
        <v>1</v>
      </c>
    </row>
    <row r="570" spans="1:93" ht="17.25">
      <c r="A570" s="20" t="str">
        <f t="shared" si="181"/>
        <v>►</v>
      </c>
      <c r="B570" s="43" t="str">
        <f t="shared" si="182"/>
        <v>►</v>
      </c>
      <c r="C570" s="45" t="str">
        <f t="shared" si="167"/>
        <v>►</v>
      </c>
      <c r="D570" s="44" t="str">
        <f t="shared" si="168"/>
        <v>►</v>
      </c>
      <c r="E570" s="43" t="str">
        <f t="shared" si="169"/>
        <v>►</v>
      </c>
      <c r="F570" s="43" t="str">
        <f t="shared" si="170"/>
        <v>►</v>
      </c>
      <c r="G570" s="43" t="str">
        <f t="shared" si="171"/>
        <v>►</v>
      </c>
      <c r="H570" s="1256" t="s">
        <v>1</v>
      </c>
      <c r="I570" s="5175" t="s">
        <v>1</v>
      </c>
      <c r="J570" s="5161"/>
      <c r="K570" s="5161"/>
      <c r="L570" s="5161"/>
      <c r="M570" s="5176"/>
      <c r="N570" s="5177"/>
      <c r="O570" s="147"/>
      <c r="P570" s="147"/>
      <c r="Q570" s="102"/>
      <c r="R570" s="102"/>
      <c r="S570" s="1360"/>
      <c r="T570" s="43"/>
      <c r="U570" s="42"/>
      <c r="V570" s="41"/>
      <c r="W570" s="40"/>
      <c r="X570" s="39"/>
      <c r="Y570" s="38"/>
      <c r="Z570" s="37"/>
      <c r="AA570" s="36"/>
      <c r="AB570" s="35"/>
      <c r="AC570" s="34"/>
      <c r="AD570" s="55"/>
      <c r="AE570" s="33"/>
      <c r="AG570" s="32"/>
      <c r="AH570" s="31"/>
      <c r="AI570" s="30"/>
      <c r="AJ570" s="5492">
        <f t="shared" si="173"/>
        <v>0</v>
      </c>
      <c r="AK570" s="29">
        <f t="shared" si="174"/>
        <v>0</v>
      </c>
      <c r="AL570" s="28" t="str">
        <f t="shared" si="175"/>
        <v/>
      </c>
      <c r="AM570" s="27"/>
      <c r="AN570" s="26">
        <f t="shared" si="176"/>
        <v>0</v>
      </c>
      <c r="AO570" s="25">
        <f t="shared" si="177"/>
        <v>0</v>
      </c>
      <c r="AP570" s="24">
        <f t="shared" si="178"/>
        <v>0</v>
      </c>
      <c r="AQ570" s="23"/>
      <c r="AR570" s="22">
        <f t="shared" si="179"/>
        <v>0</v>
      </c>
      <c r="AS570" s="21"/>
      <c r="AT570" s="13"/>
      <c r="AU570" s="46">
        <f t="shared" si="180"/>
        <v>0</v>
      </c>
      <c r="BL570" s="20" t="str">
        <f t="shared" si="172"/>
        <v>►</v>
      </c>
      <c r="CO570" s="5">
        <v>1</v>
      </c>
    </row>
    <row r="571" spans="1:93" ht="17.25">
      <c r="A571" s="20" t="str">
        <f t="shared" si="181"/>
        <v>►</v>
      </c>
      <c r="B571" s="43" t="str">
        <f t="shared" si="182"/>
        <v>►</v>
      </c>
      <c r="C571" s="45" t="str">
        <f t="shared" si="167"/>
        <v>►</v>
      </c>
      <c r="D571" s="44" t="str">
        <f t="shared" si="168"/>
        <v>►</v>
      </c>
      <c r="E571" s="43" t="str">
        <f t="shared" si="169"/>
        <v>►</v>
      </c>
      <c r="F571" s="43" t="str">
        <f t="shared" si="170"/>
        <v>►</v>
      </c>
      <c r="G571" s="43" t="str">
        <f t="shared" si="171"/>
        <v>►</v>
      </c>
      <c r="H571" s="1256" t="s">
        <v>1</v>
      </c>
      <c r="I571" s="5175" t="s">
        <v>1</v>
      </c>
      <c r="J571" s="5161"/>
      <c r="K571" s="5161"/>
      <c r="L571" s="5161"/>
      <c r="M571" s="5176"/>
      <c r="N571" s="5177"/>
      <c r="O571" s="147"/>
      <c r="P571" s="147"/>
      <c r="Q571" s="102"/>
      <c r="R571" s="102"/>
      <c r="S571" s="1360"/>
      <c r="T571" s="43"/>
      <c r="U571" s="42"/>
      <c r="V571" s="41"/>
      <c r="W571" s="40"/>
      <c r="X571" s="39"/>
      <c r="Y571" s="38"/>
      <c r="Z571" s="37"/>
      <c r="AA571" s="36"/>
      <c r="AB571" s="35"/>
      <c r="AC571" s="34"/>
      <c r="AD571" s="55"/>
      <c r="AE571" s="33"/>
      <c r="AG571" s="32"/>
      <c r="AH571" s="31"/>
      <c r="AI571" s="30"/>
      <c r="AJ571" s="5492">
        <f t="shared" si="173"/>
        <v>0</v>
      </c>
      <c r="AK571" s="54">
        <f t="shared" si="174"/>
        <v>0</v>
      </c>
      <c r="AL571" s="53" t="str">
        <f t="shared" si="175"/>
        <v/>
      </c>
      <c r="AM571" s="52"/>
      <c r="AN571" s="51">
        <f t="shared" si="176"/>
        <v>0</v>
      </c>
      <c r="AO571" s="50">
        <f t="shared" si="177"/>
        <v>0</v>
      </c>
      <c r="AP571" s="49">
        <f t="shared" si="178"/>
        <v>0</v>
      </c>
      <c r="AQ571" s="23"/>
      <c r="AR571" s="48">
        <f t="shared" si="179"/>
        <v>0</v>
      </c>
      <c r="AS571" s="47"/>
      <c r="AT571" s="13"/>
      <c r="AU571" s="46">
        <f t="shared" si="180"/>
        <v>0</v>
      </c>
      <c r="BL571" s="20" t="str">
        <f t="shared" si="172"/>
        <v>►</v>
      </c>
      <c r="CO571" s="5">
        <v>1</v>
      </c>
    </row>
    <row r="572" spans="1:93" ht="17.25">
      <c r="A572" s="20" t="str">
        <f t="shared" si="181"/>
        <v>►</v>
      </c>
      <c r="B572" s="43" t="str">
        <f t="shared" si="182"/>
        <v>►</v>
      </c>
      <c r="C572" s="45" t="str">
        <f t="shared" si="167"/>
        <v>►</v>
      </c>
      <c r="D572" s="44" t="str">
        <f t="shared" si="168"/>
        <v>►</v>
      </c>
      <c r="E572" s="43" t="str">
        <f t="shared" si="169"/>
        <v>►</v>
      </c>
      <c r="F572" s="43" t="str">
        <f t="shared" si="170"/>
        <v>►</v>
      </c>
      <c r="G572" s="43" t="str">
        <f t="shared" si="171"/>
        <v>►</v>
      </c>
      <c r="H572" s="1256" t="s">
        <v>1</v>
      </c>
      <c r="I572" s="5175" t="s">
        <v>1</v>
      </c>
      <c r="J572" s="5161"/>
      <c r="K572" s="5161"/>
      <c r="L572" s="5161"/>
      <c r="M572" s="5176"/>
      <c r="N572" s="5177"/>
      <c r="O572" s="147"/>
      <c r="P572" s="147"/>
      <c r="Q572" s="102"/>
      <c r="R572" s="102"/>
      <c r="S572" s="1360"/>
      <c r="T572" s="43"/>
      <c r="U572" s="42"/>
      <c r="V572" s="41"/>
      <c r="W572" s="40"/>
      <c r="X572" s="39"/>
      <c r="Y572" s="38"/>
      <c r="Z572" s="37"/>
      <c r="AA572" s="36"/>
      <c r="AB572" s="35"/>
      <c r="AC572" s="34"/>
      <c r="AD572" s="55"/>
      <c r="AE572" s="33"/>
      <c r="AG572" s="32"/>
      <c r="AH572" s="31"/>
      <c r="AI572" s="30"/>
      <c r="AJ572" s="5492">
        <f t="shared" si="173"/>
        <v>0</v>
      </c>
      <c r="AK572" s="29">
        <f t="shared" si="174"/>
        <v>0</v>
      </c>
      <c r="AL572" s="28" t="str">
        <f t="shared" si="175"/>
        <v/>
      </c>
      <c r="AM572" s="27"/>
      <c r="AN572" s="26">
        <f t="shared" si="176"/>
        <v>0</v>
      </c>
      <c r="AO572" s="25">
        <f t="shared" si="177"/>
        <v>0</v>
      </c>
      <c r="AP572" s="24">
        <f t="shared" si="178"/>
        <v>0</v>
      </c>
      <c r="AQ572" s="23"/>
      <c r="AR572" s="22">
        <f t="shared" si="179"/>
        <v>0</v>
      </c>
      <c r="AS572" s="21"/>
      <c r="AT572" s="13"/>
      <c r="AU572" s="46">
        <f t="shared" si="180"/>
        <v>0</v>
      </c>
      <c r="BL572" s="20" t="str">
        <f t="shared" si="172"/>
        <v>►</v>
      </c>
      <c r="CO572" s="5">
        <v>1</v>
      </c>
    </row>
    <row r="573" spans="1:93" ht="17.25">
      <c r="A573" s="20" t="str">
        <f t="shared" si="181"/>
        <v>►</v>
      </c>
      <c r="B573" s="43" t="str">
        <f t="shared" si="182"/>
        <v>►</v>
      </c>
      <c r="C573" s="45" t="str">
        <f t="shared" si="167"/>
        <v>►</v>
      </c>
      <c r="D573" s="44" t="str">
        <f t="shared" si="168"/>
        <v>►</v>
      </c>
      <c r="E573" s="43" t="str">
        <f t="shared" si="169"/>
        <v>►</v>
      </c>
      <c r="F573" s="43" t="str">
        <f t="shared" si="170"/>
        <v>►</v>
      </c>
      <c r="G573" s="43" t="str">
        <f t="shared" si="171"/>
        <v>►</v>
      </c>
      <c r="H573" s="1256" t="s">
        <v>1</v>
      </c>
      <c r="I573" s="5175" t="s">
        <v>1</v>
      </c>
      <c r="J573" s="5161"/>
      <c r="K573" s="5161"/>
      <c r="L573" s="5161"/>
      <c r="M573" s="5176"/>
      <c r="N573" s="5177"/>
      <c r="O573" s="147"/>
      <c r="P573" s="147"/>
      <c r="Q573" s="102"/>
      <c r="R573" s="102"/>
      <c r="S573" s="1360"/>
      <c r="T573" s="43"/>
      <c r="U573" s="42"/>
      <c r="V573" s="41"/>
      <c r="W573" s="40"/>
      <c r="X573" s="39"/>
      <c r="Y573" s="38"/>
      <c r="Z573" s="37"/>
      <c r="AA573" s="36"/>
      <c r="AB573" s="35"/>
      <c r="AC573" s="34"/>
      <c r="AD573" s="55"/>
      <c r="AE573" s="33"/>
      <c r="AG573" s="32"/>
      <c r="AH573" s="31"/>
      <c r="AI573" s="30"/>
      <c r="AJ573" s="5492">
        <f t="shared" si="173"/>
        <v>0</v>
      </c>
      <c r="AK573" s="54">
        <f t="shared" si="174"/>
        <v>0</v>
      </c>
      <c r="AL573" s="53" t="str">
        <f t="shared" si="175"/>
        <v/>
      </c>
      <c r="AM573" s="52"/>
      <c r="AN573" s="51">
        <f t="shared" si="176"/>
        <v>0</v>
      </c>
      <c r="AO573" s="50">
        <f t="shared" si="177"/>
        <v>0</v>
      </c>
      <c r="AP573" s="49">
        <f t="shared" si="178"/>
        <v>0</v>
      </c>
      <c r="AQ573" s="23"/>
      <c r="AR573" s="48">
        <f t="shared" si="179"/>
        <v>0</v>
      </c>
      <c r="AS573" s="47"/>
      <c r="AT573" s="13"/>
      <c r="AU573" s="46">
        <f t="shared" si="180"/>
        <v>0</v>
      </c>
      <c r="BL573" s="20" t="str">
        <f t="shared" si="172"/>
        <v>►</v>
      </c>
      <c r="CO573" s="5">
        <v>1</v>
      </c>
    </row>
    <row r="574" spans="1:93" ht="17.25">
      <c r="A574" s="20" t="str">
        <f t="shared" si="181"/>
        <v>►</v>
      </c>
      <c r="B574" s="43" t="str">
        <f t="shared" si="182"/>
        <v>►</v>
      </c>
      <c r="C574" s="45" t="str">
        <f t="shared" si="167"/>
        <v>►</v>
      </c>
      <c r="D574" s="44" t="str">
        <f t="shared" si="168"/>
        <v>►</v>
      </c>
      <c r="E574" s="43" t="str">
        <f t="shared" si="169"/>
        <v>►</v>
      </c>
      <c r="F574" s="43" t="str">
        <f t="shared" si="170"/>
        <v>►</v>
      </c>
      <c r="G574" s="43" t="str">
        <f t="shared" si="171"/>
        <v>►</v>
      </c>
      <c r="H574" s="1256" t="s">
        <v>1</v>
      </c>
      <c r="I574" s="5175" t="s">
        <v>1</v>
      </c>
      <c r="J574" s="5161"/>
      <c r="K574" s="5161"/>
      <c r="L574" s="5161"/>
      <c r="M574" s="5176"/>
      <c r="N574" s="5177"/>
      <c r="O574" s="147"/>
      <c r="P574" s="147"/>
      <c r="Q574" s="102"/>
      <c r="R574" s="102"/>
      <c r="S574" s="1360"/>
      <c r="T574" s="43"/>
      <c r="U574" s="42"/>
      <c r="V574" s="41"/>
      <c r="W574" s="40"/>
      <c r="X574" s="39"/>
      <c r="Y574" s="38"/>
      <c r="Z574" s="37"/>
      <c r="AA574" s="36"/>
      <c r="AB574" s="35"/>
      <c r="AC574" s="34"/>
      <c r="AD574" s="55"/>
      <c r="AE574" s="33"/>
      <c r="AG574" s="32"/>
      <c r="AH574" s="31"/>
      <c r="AI574" s="30"/>
      <c r="AJ574" s="5492">
        <f t="shared" si="173"/>
        <v>0</v>
      </c>
      <c r="AK574" s="29">
        <f t="shared" si="174"/>
        <v>0</v>
      </c>
      <c r="AL574" s="28" t="str">
        <f t="shared" si="175"/>
        <v/>
      </c>
      <c r="AM574" s="27"/>
      <c r="AN574" s="26">
        <f t="shared" si="176"/>
        <v>0</v>
      </c>
      <c r="AO574" s="25">
        <f t="shared" si="177"/>
        <v>0</v>
      </c>
      <c r="AP574" s="24">
        <f t="shared" si="178"/>
        <v>0</v>
      </c>
      <c r="AQ574" s="23"/>
      <c r="AR574" s="22">
        <f t="shared" si="179"/>
        <v>0</v>
      </c>
      <c r="AS574" s="21"/>
      <c r="AT574" s="13"/>
      <c r="AU574" s="46">
        <f t="shared" si="180"/>
        <v>0</v>
      </c>
      <c r="BL574" s="20" t="str">
        <f t="shared" si="172"/>
        <v>►</v>
      </c>
      <c r="CO574" s="5">
        <v>1</v>
      </c>
    </row>
    <row r="575" spans="1:93" ht="17.25">
      <c r="A575" s="20" t="str">
        <f t="shared" si="181"/>
        <v>►</v>
      </c>
      <c r="B575" s="43" t="str">
        <f t="shared" si="182"/>
        <v>►</v>
      </c>
      <c r="C575" s="45" t="str">
        <f t="shared" si="167"/>
        <v>►</v>
      </c>
      <c r="D575" s="44" t="str">
        <f t="shared" si="168"/>
        <v>►</v>
      </c>
      <c r="E575" s="43" t="str">
        <f t="shared" si="169"/>
        <v>►</v>
      </c>
      <c r="F575" s="43" t="str">
        <f t="shared" si="170"/>
        <v>►</v>
      </c>
      <c r="G575" s="43" t="str">
        <f t="shared" si="171"/>
        <v>►</v>
      </c>
      <c r="H575" s="1256" t="s">
        <v>1</v>
      </c>
      <c r="I575" s="5175" t="s">
        <v>1</v>
      </c>
      <c r="J575" s="5161"/>
      <c r="K575" s="5161"/>
      <c r="L575" s="5161"/>
      <c r="M575" s="5176"/>
      <c r="N575" s="5177"/>
      <c r="O575" s="147"/>
      <c r="P575" s="147"/>
      <c r="Q575" s="102"/>
      <c r="R575" s="102"/>
      <c r="S575" s="1360"/>
      <c r="T575" s="43"/>
      <c r="U575" s="42"/>
      <c r="V575" s="41"/>
      <c r="W575" s="40"/>
      <c r="X575" s="39"/>
      <c r="Y575" s="38"/>
      <c r="Z575" s="37"/>
      <c r="AA575" s="36"/>
      <c r="AB575" s="35"/>
      <c r="AC575" s="34"/>
      <c r="AD575" s="55"/>
      <c r="AE575" s="33"/>
      <c r="AG575" s="32"/>
      <c r="AH575" s="31"/>
      <c r="AI575" s="30"/>
      <c r="AJ575" s="5492">
        <f t="shared" si="173"/>
        <v>0</v>
      </c>
      <c r="AK575" s="54">
        <f t="shared" si="174"/>
        <v>0</v>
      </c>
      <c r="AL575" s="53" t="str">
        <f t="shared" si="175"/>
        <v/>
      </c>
      <c r="AM575" s="52"/>
      <c r="AN575" s="51">
        <f t="shared" si="176"/>
        <v>0</v>
      </c>
      <c r="AO575" s="50">
        <f t="shared" si="177"/>
        <v>0</v>
      </c>
      <c r="AP575" s="49">
        <f t="shared" si="178"/>
        <v>0</v>
      </c>
      <c r="AQ575" s="23"/>
      <c r="AR575" s="48">
        <f t="shared" si="179"/>
        <v>0</v>
      </c>
      <c r="AS575" s="47"/>
      <c r="AT575" s="13"/>
      <c r="AU575" s="46">
        <f t="shared" si="180"/>
        <v>0</v>
      </c>
      <c r="BL575" s="20" t="str">
        <f t="shared" si="172"/>
        <v>►</v>
      </c>
      <c r="CO575" s="5">
        <v>1</v>
      </c>
    </row>
    <row r="576" spans="1:93" ht="17.25">
      <c r="A576" s="20" t="str">
        <f t="shared" si="181"/>
        <v>►</v>
      </c>
      <c r="B576" s="43" t="str">
        <f t="shared" si="182"/>
        <v>►</v>
      </c>
      <c r="C576" s="45" t="str">
        <f t="shared" si="167"/>
        <v>►</v>
      </c>
      <c r="D576" s="44" t="str">
        <f t="shared" si="168"/>
        <v>►</v>
      </c>
      <c r="E576" s="43" t="str">
        <f t="shared" si="169"/>
        <v>►</v>
      </c>
      <c r="F576" s="43" t="str">
        <f t="shared" si="170"/>
        <v>►</v>
      </c>
      <c r="G576" s="43" t="str">
        <f t="shared" si="171"/>
        <v>►</v>
      </c>
      <c r="H576" s="1256" t="s">
        <v>1</v>
      </c>
      <c r="I576" s="5175" t="s">
        <v>1</v>
      </c>
      <c r="J576" s="5161"/>
      <c r="K576" s="5161"/>
      <c r="L576" s="5161"/>
      <c r="M576" s="5176"/>
      <c r="N576" s="5177"/>
      <c r="O576" s="147"/>
      <c r="P576" s="147"/>
      <c r="Q576" s="102"/>
      <c r="R576" s="102"/>
      <c r="S576" s="1360"/>
      <c r="T576" s="43"/>
      <c r="U576" s="42"/>
      <c r="V576" s="41"/>
      <c r="W576" s="40"/>
      <c r="X576" s="39"/>
      <c r="Y576" s="38"/>
      <c r="Z576" s="37"/>
      <c r="AA576" s="36"/>
      <c r="AB576" s="35"/>
      <c r="AC576" s="34"/>
      <c r="AD576" s="55"/>
      <c r="AE576" s="33"/>
      <c r="AG576" s="32"/>
      <c r="AH576" s="31"/>
      <c r="AI576" s="30"/>
      <c r="AJ576" s="5492">
        <f t="shared" si="173"/>
        <v>0</v>
      </c>
      <c r="AK576" s="29">
        <f t="shared" si="174"/>
        <v>0</v>
      </c>
      <c r="AL576" s="28" t="str">
        <f t="shared" si="175"/>
        <v/>
      </c>
      <c r="AM576" s="27"/>
      <c r="AN576" s="26">
        <f t="shared" si="176"/>
        <v>0</v>
      </c>
      <c r="AO576" s="25">
        <f t="shared" si="177"/>
        <v>0</v>
      </c>
      <c r="AP576" s="24">
        <f t="shared" si="178"/>
        <v>0</v>
      </c>
      <c r="AQ576" s="23"/>
      <c r="AR576" s="22">
        <f t="shared" si="179"/>
        <v>0</v>
      </c>
      <c r="AS576" s="21"/>
      <c r="AT576" s="13"/>
      <c r="AU576" s="46">
        <f t="shared" si="180"/>
        <v>0</v>
      </c>
      <c r="BL576" s="20" t="str">
        <f t="shared" si="172"/>
        <v>►</v>
      </c>
      <c r="CO576" s="5">
        <v>1</v>
      </c>
    </row>
    <row r="577" spans="1:93" ht="17.25">
      <c r="A577" s="20" t="str">
        <f t="shared" si="181"/>
        <v>►</v>
      </c>
      <c r="B577" s="43" t="str">
        <f t="shared" si="182"/>
        <v>►</v>
      </c>
      <c r="C577" s="45" t="str">
        <f t="shared" si="167"/>
        <v>►</v>
      </c>
      <c r="D577" s="44" t="str">
        <f t="shared" si="168"/>
        <v>►</v>
      </c>
      <c r="E577" s="43" t="str">
        <f t="shared" si="169"/>
        <v>►</v>
      </c>
      <c r="F577" s="43" t="str">
        <f t="shared" si="170"/>
        <v>►</v>
      </c>
      <c r="G577" s="43" t="str">
        <f t="shared" si="171"/>
        <v>►</v>
      </c>
      <c r="H577" s="1256" t="s">
        <v>1</v>
      </c>
      <c r="I577" s="5175" t="s">
        <v>1</v>
      </c>
      <c r="J577" s="5161"/>
      <c r="K577" s="5161"/>
      <c r="L577" s="5161"/>
      <c r="M577" s="5176"/>
      <c r="N577" s="5177"/>
      <c r="O577" s="147"/>
      <c r="P577" s="147"/>
      <c r="Q577" s="102"/>
      <c r="R577" s="102"/>
      <c r="S577" s="1360"/>
      <c r="T577" s="43"/>
      <c r="U577" s="42"/>
      <c r="V577" s="41"/>
      <c r="W577" s="40"/>
      <c r="X577" s="39"/>
      <c r="Y577" s="38"/>
      <c r="Z577" s="37"/>
      <c r="AA577" s="36"/>
      <c r="AB577" s="35"/>
      <c r="AC577" s="34"/>
      <c r="AD577" s="55"/>
      <c r="AE577" s="33"/>
      <c r="AG577" s="32"/>
      <c r="AH577" s="31"/>
      <c r="AI577" s="30"/>
      <c r="AJ577" s="5492">
        <f t="shared" si="173"/>
        <v>0</v>
      </c>
      <c r="AK577" s="54">
        <f t="shared" si="174"/>
        <v>0</v>
      </c>
      <c r="AL577" s="53" t="str">
        <f t="shared" si="175"/>
        <v/>
      </c>
      <c r="AM577" s="52"/>
      <c r="AN577" s="51">
        <f t="shared" si="176"/>
        <v>0</v>
      </c>
      <c r="AO577" s="50">
        <f t="shared" si="177"/>
        <v>0</v>
      </c>
      <c r="AP577" s="49">
        <f t="shared" si="178"/>
        <v>0</v>
      </c>
      <c r="AQ577" s="23"/>
      <c r="AR577" s="48">
        <f t="shared" si="179"/>
        <v>0</v>
      </c>
      <c r="AS577" s="47"/>
      <c r="AT577" s="13"/>
      <c r="AU577" s="46">
        <f t="shared" si="180"/>
        <v>0</v>
      </c>
      <c r="BL577" s="20" t="str">
        <f t="shared" si="172"/>
        <v>►</v>
      </c>
      <c r="CO577" s="5">
        <v>1</v>
      </c>
    </row>
    <row r="578" spans="1:93" ht="17.25">
      <c r="A578" s="20" t="str">
        <f t="shared" si="181"/>
        <v>►</v>
      </c>
      <c r="B578" s="43" t="str">
        <f t="shared" si="182"/>
        <v>►</v>
      </c>
      <c r="C578" s="45" t="str">
        <f t="shared" si="167"/>
        <v>►</v>
      </c>
      <c r="D578" s="44" t="str">
        <f t="shared" si="168"/>
        <v>►</v>
      </c>
      <c r="E578" s="43" t="str">
        <f t="shared" si="169"/>
        <v>►</v>
      </c>
      <c r="F578" s="43" t="str">
        <f t="shared" si="170"/>
        <v>►</v>
      </c>
      <c r="G578" s="43" t="str">
        <f t="shared" si="171"/>
        <v>►</v>
      </c>
      <c r="H578" s="1256" t="s">
        <v>1</v>
      </c>
      <c r="I578" s="5175" t="s">
        <v>1</v>
      </c>
      <c r="J578" s="5161"/>
      <c r="K578" s="5161"/>
      <c r="L578" s="5161"/>
      <c r="M578" s="5176"/>
      <c r="N578" s="5177"/>
      <c r="O578" s="147"/>
      <c r="P578" s="147"/>
      <c r="Q578" s="102"/>
      <c r="R578" s="102"/>
      <c r="S578" s="1360"/>
      <c r="T578" s="43"/>
      <c r="U578" s="42"/>
      <c r="V578" s="41"/>
      <c r="W578" s="40"/>
      <c r="X578" s="39"/>
      <c r="Y578" s="38"/>
      <c r="Z578" s="37"/>
      <c r="AA578" s="36"/>
      <c r="AB578" s="35"/>
      <c r="AC578" s="34"/>
      <c r="AD578" s="55"/>
      <c r="AE578" s="33"/>
      <c r="AG578" s="32"/>
      <c r="AH578" s="31"/>
      <c r="AI578" s="30"/>
      <c r="AJ578" s="5492">
        <f t="shared" si="173"/>
        <v>0</v>
      </c>
      <c r="AK578" s="29">
        <f t="shared" si="174"/>
        <v>0</v>
      </c>
      <c r="AL578" s="28" t="str">
        <f t="shared" si="175"/>
        <v/>
      </c>
      <c r="AM578" s="27"/>
      <c r="AN578" s="26">
        <f t="shared" si="176"/>
        <v>0</v>
      </c>
      <c r="AO578" s="25">
        <f t="shared" si="177"/>
        <v>0</v>
      </c>
      <c r="AP578" s="24">
        <f t="shared" si="178"/>
        <v>0</v>
      </c>
      <c r="AQ578" s="23"/>
      <c r="AR578" s="22">
        <f t="shared" si="179"/>
        <v>0</v>
      </c>
      <c r="AS578" s="21"/>
      <c r="AT578" s="13"/>
      <c r="AU578" s="46">
        <f t="shared" si="180"/>
        <v>0</v>
      </c>
      <c r="BL578" s="20" t="str">
        <f t="shared" si="172"/>
        <v>►</v>
      </c>
      <c r="CO578" s="5">
        <v>1</v>
      </c>
    </row>
    <row r="579" spans="1:93" ht="17.25">
      <c r="A579" s="20" t="str">
        <f t="shared" si="181"/>
        <v>►</v>
      </c>
      <c r="B579" s="43" t="str">
        <f t="shared" si="182"/>
        <v>►</v>
      </c>
      <c r="C579" s="45" t="str">
        <f t="shared" si="167"/>
        <v>►</v>
      </c>
      <c r="D579" s="44" t="str">
        <f t="shared" si="168"/>
        <v>►</v>
      </c>
      <c r="E579" s="43" t="str">
        <f t="shared" si="169"/>
        <v>►</v>
      </c>
      <c r="F579" s="43" t="str">
        <f t="shared" si="170"/>
        <v>►</v>
      </c>
      <c r="G579" s="43" t="str">
        <f t="shared" si="171"/>
        <v>►</v>
      </c>
      <c r="H579" s="1256" t="s">
        <v>1</v>
      </c>
      <c r="I579" s="5175" t="s">
        <v>1</v>
      </c>
      <c r="J579" s="5161"/>
      <c r="K579" s="5161"/>
      <c r="L579" s="5161"/>
      <c r="M579" s="5176"/>
      <c r="N579" s="5177"/>
      <c r="O579" s="147"/>
      <c r="P579" s="147"/>
      <c r="Q579" s="102"/>
      <c r="R579" s="102"/>
      <c r="S579" s="1360"/>
      <c r="T579" s="43"/>
      <c r="U579" s="42"/>
      <c r="V579" s="41"/>
      <c r="W579" s="40"/>
      <c r="X579" s="39"/>
      <c r="Y579" s="38"/>
      <c r="Z579" s="37"/>
      <c r="AA579" s="36"/>
      <c r="AB579" s="35"/>
      <c r="AC579" s="34"/>
      <c r="AD579" s="55"/>
      <c r="AE579" s="33"/>
      <c r="AG579" s="32"/>
      <c r="AH579" s="31"/>
      <c r="AI579" s="30"/>
      <c r="AJ579" s="5492">
        <f t="shared" si="173"/>
        <v>0</v>
      </c>
      <c r="AK579" s="54">
        <f t="shared" si="174"/>
        <v>0</v>
      </c>
      <c r="AL579" s="53" t="str">
        <f t="shared" si="175"/>
        <v/>
      </c>
      <c r="AM579" s="52"/>
      <c r="AN579" s="51">
        <f t="shared" si="176"/>
        <v>0</v>
      </c>
      <c r="AO579" s="50">
        <f t="shared" si="177"/>
        <v>0</v>
      </c>
      <c r="AP579" s="49">
        <f t="shared" si="178"/>
        <v>0</v>
      </c>
      <c r="AQ579" s="23"/>
      <c r="AR579" s="48">
        <f t="shared" si="179"/>
        <v>0</v>
      </c>
      <c r="AS579" s="47"/>
      <c r="AT579" s="13"/>
      <c r="AU579" s="46">
        <f t="shared" si="180"/>
        <v>0</v>
      </c>
      <c r="BL579" s="20" t="str">
        <f t="shared" si="172"/>
        <v>►</v>
      </c>
      <c r="CO579" s="5">
        <v>1</v>
      </c>
    </row>
    <row r="580" spans="1:93" ht="17.25">
      <c r="A580" s="20" t="str">
        <f t="shared" si="181"/>
        <v>►</v>
      </c>
      <c r="B580" s="43" t="str">
        <f t="shared" si="182"/>
        <v>►</v>
      </c>
      <c r="C580" s="45" t="str">
        <f t="shared" si="167"/>
        <v>►</v>
      </c>
      <c r="D580" s="44" t="str">
        <f t="shared" si="168"/>
        <v>►</v>
      </c>
      <c r="E580" s="43" t="str">
        <f t="shared" si="169"/>
        <v>►</v>
      </c>
      <c r="F580" s="43" t="str">
        <f t="shared" si="170"/>
        <v>►</v>
      </c>
      <c r="G580" s="43" t="str">
        <f t="shared" si="171"/>
        <v>►</v>
      </c>
      <c r="H580" s="1256" t="s">
        <v>1</v>
      </c>
      <c r="I580" s="5175" t="s">
        <v>1</v>
      </c>
      <c r="J580" s="5161"/>
      <c r="K580" s="5161"/>
      <c r="L580" s="5161"/>
      <c r="M580" s="5176"/>
      <c r="N580" s="5177"/>
      <c r="O580" s="147"/>
      <c r="P580" s="147"/>
      <c r="Q580" s="102"/>
      <c r="R580" s="102"/>
      <c r="S580" s="1360"/>
      <c r="T580" s="43"/>
      <c r="U580" s="42"/>
      <c r="V580" s="41"/>
      <c r="W580" s="40"/>
      <c r="X580" s="39"/>
      <c r="Y580" s="38"/>
      <c r="Z580" s="37"/>
      <c r="AA580" s="36"/>
      <c r="AB580" s="35"/>
      <c r="AC580" s="34"/>
      <c r="AD580" s="55"/>
      <c r="AE580" s="33"/>
      <c r="AG580" s="32"/>
      <c r="AH580" s="31"/>
      <c r="AI580" s="30"/>
      <c r="AJ580" s="5492">
        <f t="shared" si="173"/>
        <v>0</v>
      </c>
      <c r="AK580" s="29">
        <f t="shared" si="174"/>
        <v>0</v>
      </c>
      <c r="AL580" s="28" t="str">
        <f t="shared" si="175"/>
        <v/>
      </c>
      <c r="AM580" s="27"/>
      <c r="AN580" s="26">
        <f t="shared" si="176"/>
        <v>0</v>
      </c>
      <c r="AO580" s="25">
        <f t="shared" si="177"/>
        <v>0</v>
      </c>
      <c r="AP580" s="24">
        <f t="shared" si="178"/>
        <v>0</v>
      </c>
      <c r="AQ580" s="23"/>
      <c r="AR580" s="22">
        <f t="shared" si="179"/>
        <v>0</v>
      </c>
      <c r="AS580" s="21"/>
      <c r="AT580" s="13"/>
      <c r="AU580" s="46">
        <f t="shared" si="180"/>
        <v>0</v>
      </c>
      <c r="BL580" s="20" t="str">
        <f t="shared" si="172"/>
        <v>►</v>
      </c>
      <c r="CO580" s="5">
        <v>1</v>
      </c>
    </row>
    <row r="581" spans="1:93" ht="17.25">
      <c r="A581" s="20" t="str">
        <f t="shared" si="181"/>
        <v>►</v>
      </c>
      <c r="B581" s="43" t="str">
        <f t="shared" si="182"/>
        <v>►</v>
      </c>
      <c r="C581" s="45" t="str">
        <f t="shared" si="167"/>
        <v>►</v>
      </c>
      <c r="D581" s="44" t="str">
        <f t="shared" si="168"/>
        <v>►</v>
      </c>
      <c r="E581" s="43" t="str">
        <f t="shared" si="169"/>
        <v>►</v>
      </c>
      <c r="F581" s="43" t="str">
        <f t="shared" si="170"/>
        <v>►</v>
      </c>
      <c r="G581" s="43" t="str">
        <f t="shared" si="171"/>
        <v>►</v>
      </c>
      <c r="H581" s="1256" t="s">
        <v>1</v>
      </c>
      <c r="I581" s="5175" t="s">
        <v>1</v>
      </c>
      <c r="J581" s="5161"/>
      <c r="K581" s="5161"/>
      <c r="L581" s="5161"/>
      <c r="M581" s="5176"/>
      <c r="N581" s="5177"/>
      <c r="O581" s="147"/>
      <c r="P581" s="147"/>
      <c r="Q581" s="102"/>
      <c r="R581" s="102"/>
      <c r="S581" s="1360"/>
      <c r="T581" s="43"/>
      <c r="U581" s="42"/>
      <c r="V581" s="41"/>
      <c r="W581" s="40"/>
      <c r="X581" s="39"/>
      <c r="Y581" s="38"/>
      <c r="Z581" s="37"/>
      <c r="AA581" s="36"/>
      <c r="AB581" s="35"/>
      <c r="AC581" s="34"/>
      <c r="AD581" s="55"/>
      <c r="AE581" s="33"/>
      <c r="AG581" s="32"/>
      <c r="AH581" s="31"/>
      <c r="AI581" s="30"/>
      <c r="AJ581" s="5492">
        <f t="shared" si="173"/>
        <v>0</v>
      </c>
      <c r="AK581" s="54">
        <f t="shared" si="174"/>
        <v>0</v>
      </c>
      <c r="AL581" s="53" t="str">
        <f t="shared" si="175"/>
        <v/>
      </c>
      <c r="AM581" s="52"/>
      <c r="AN581" s="51">
        <f t="shared" si="176"/>
        <v>0</v>
      </c>
      <c r="AO581" s="50">
        <f t="shared" si="177"/>
        <v>0</v>
      </c>
      <c r="AP581" s="49">
        <f t="shared" si="178"/>
        <v>0</v>
      </c>
      <c r="AQ581" s="23"/>
      <c r="AR581" s="48">
        <f t="shared" si="179"/>
        <v>0</v>
      </c>
      <c r="AS581" s="47"/>
      <c r="AT581" s="13"/>
      <c r="AU581" s="46">
        <f t="shared" si="180"/>
        <v>0</v>
      </c>
      <c r="BL581" s="20" t="str">
        <f t="shared" si="172"/>
        <v>►</v>
      </c>
      <c r="CO581" s="5">
        <v>1</v>
      </c>
    </row>
    <row r="582" spans="1:93" ht="17.25">
      <c r="A582" s="20" t="str">
        <f t="shared" si="181"/>
        <v>►</v>
      </c>
      <c r="B582" s="43" t="str">
        <f t="shared" si="182"/>
        <v>►</v>
      </c>
      <c r="C582" s="45" t="str">
        <f t="shared" si="167"/>
        <v>►</v>
      </c>
      <c r="D582" s="44" t="str">
        <f t="shared" si="168"/>
        <v>►</v>
      </c>
      <c r="E582" s="43" t="str">
        <f t="shared" si="169"/>
        <v>►</v>
      </c>
      <c r="F582" s="43" t="str">
        <f t="shared" si="170"/>
        <v>►</v>
      </c>
      <c r="G582" s="43" t="str">
        <f t="shared" si="171"/>
        <v>►</v>
      </c>
      <c r="H582" s="1256" t="s">
        <v>1</v>
      </c>
      <c r="I582" s="5175" t="s">
        <v>1</v>
      </c>
      <c r="J582" s="5161"/>
      <c r="K582" s="5161"/>
      <c r="L582" s="5161"/>
      <c r="M582" s="5176"/>
      <c r="N582" s="5177"/>
      <c r="O582" s="147"/>
      <c r="P582" s="147"/>
      <c r="Q582" s="102"/>
      <c r="R582" s="102"/>
      <c r="S582" s="1360"/>
      <c r="T582" s="43"/>
      <c r="U582" s="42"/>
      <c r="V582" s="41"/>
      <c r="W582" s="40"/>
      <c r="X582" s="39"/>
      <c r="Y582" s="38"/>
      <c r="Z582" s="37"/>
      <c r="AA582" s="36"/>
      <c r="AB582" s="35"/>
      <c r="AC582" s="34"/>
      <c r="AD582" s="55"/>
      <c r="AE582" s="33"/>
      <c r="AG582" s="32"/>
      <c r="AH582" s="31"/>
      <c r="AI582" s="30"/>
      <c r="AJ582" s="5492">
        <f t="shared" si="173"/>
        <v>0</v>
      </c>
      <c r="AK582" s="29">
        <f t="shared" si="174"/>
        <v>0</v>
      </c>
      <c r="AL582" s="28" t="str">
        <f t="shared" si="175"/>
        <v/>
      </c>
      <c r="AM582" s="27"/>
      <c r="AN582" s="26">
        <f t="shared" si="176"/>
        <v>0</v>
      </c>
      <c r="AO582" s="25">
        <f t="shared" si="177"/>
        <v>0</v>
      </c>
      <c r="AP582" s="24">
        <f t="shared" si="178"/>
        <v>0</v>
      </c>
      <c r="AQ582" s="23"/>
      <c r="AR582" s="22">
        <f t="shared" si="179"/>
        <v>0</v>
      </c>
      <c r="AS582" s="21"/>
      <c r="AT582" s="13"/>
      <c r="AU582" s="46">
        <f t="shared" si="180"/>
        <v>0</v>
      </c>
      <c r="BL582" s="20" t="str">
        <f t="shared" si="172"/>
        <v>►</v>
      </c>
      <c r="CO582" s="5">
        <v>1</v>
      </c>
    </row>
    <row r="583" spans="1:93" ht="17.25">
      <c r="A583" s="20" t="str">
        <f t="shared" si="181"/>
        <v>►</v>
      </c>
      <c r="B583" s="43" t="str">
        <f t="shared" si="182"/>
        <v>►</v>
      </c>
      <c r="C583" s="45" t="str">
        <f t="shared" si="167"/>
        <v>►</v>
      </c>
      <c r="D583" s="44" t="str">
        <f t="shared" si="168"/>
        <v>►</v>
      </c>
      <c r="E583" s="43" t="str">
        <f t="shared" si="169"/>
        <v>►</v>
      </c>
      <c r="F583" s="43" t="str">
        <f t="shared" si="170"/>
        <v>►</v>
      </c>
      <c r="G583" s="43" t="str">
        <f t="shared" si="171"/>
        <v>►</v>
      </c>
      <c r="H583" s="1256" t="s">
        <v>1</v>
      </c>
      <c r="I583" s="5175" t="s">
        <v>1</v>
      </c>
      <c r="J583" s="5161"/>
      <c r="K583" s="5161"/>
      <c r="L583" s="5161"/>
      <c r="M583" s="5176"/>
      <c r="N583" s="5177"/>
      <c r="O583" s="147"/>
      <c r="P583" s="147"/>
      <c r="Q583" s="102"/>
      <c r="R583" s="102"/>
      <c r="S583" s="1360"/>
      <c r="T583" s="43"/>
      <c r="U583" s="42"/>
      <c r="V583" s="41"/>
      <c r="W583" s="40"/>
      <c r="X583" s="39"/>
      <c r="Y583" s="38"/>
      <c r="Z583" s="37"/>
      <c r="AA583" s="36"/>
      <c r="AB583" s="35"/>
      <c r="AC583" s="34"/>
      <c r="AD583" s="55"/>
      <c r="AE583" s="33"/>
      <c r="AG583" s="32"/>
      <c r="AH583" s="31"/>
      <c r="AI583" s="30"/>
      <c r="AJ583" s="5492">
        <f t="shared" si="173"/>
        <v>0</v>
      </c>
      <c r="AK583" s="54">
        <f t="shared" si="174"/>
        <v>0</v>
      </c>
      <c r="AL583" s="53" t="str">
        <f t="shared" si="175"/>
        <v/>
      </c>
      <c r="AM583" s="52"/>
      <c r="AN583" s="51">
        <f t="shared" si="176"/>
        <v>0</v>
      </c>
      <c r="AO583" s="50">
        <f t="shared" si="177"/>
        <v>0</v>
      </c>
      <c r="AP583" s="49">
        <f t="shared" si="178"/>
        <v>0</v>
      </c>
      <c r="AQ583" s="23"/>
      <c r="AR583" s="48">
        <f t="shared" si="179"/>
        <v>0</v>
      </c>
      <c r="AS583" s="47"/>
      <c r="AT583" s="13"/>
      <c r="AU583" s="46">
        <f t="shared" si="180"/>
        <v>0</v>
      </c>
      <c r="BL583" s="20" t="str">
        <f t="shared" si="172"/>
        <v>►</v>
      </c>
      <c r="CO583" s="5">
        <v>1</v>
      </c>
    </row>
    <row r="584" spans="1:93" ht="17.25">
      <c r="A584" s="20" t="str">
        <f t="shared" si="181"/>
        <v>►</v>
      </c>
      <c r="B584" s="43" t="str">
        <f t="shared" si="182"/>
        <v>►</v>
      </c>
      <c r="C584" s="45" t="str">
        <f t="shared" si="167"/>
        <v>►</v>
      </c>
      <c r="D584" s="44" t="str">
        <f t="shared" si="168"/>
        <v>►</v>
      </c>
      <c r="E584" s="43" t="str">
        <f t="shared" si="169"/>
        <v>►</v>
      </c>
      <c r="F584" s="43" t="str">
        <f t="shared" si="170"/>
        <v>►</v>
      </c>
      <c r="G584" s="43" t="str">
        <f t="shared" si="171"/>
        <v>►</v>
      </c>
      <c r="H584" s="1256" t="s">
        <v>1</v>
      </c>
      <c r="I584" s="5175" t="s">
        <v>1</v>
      </c>
      <c r="J584" s="5161"/>
      <c r="K584" s="5161"/>
      <c r="L584" s="5161"/>
      <c r="M584" s="5176"/>
      <c r="N584" s="5177"/>
      <c r="O584" s="147"/>
      <c r="P584" s="147"/>
      <c r="Q584" s="102"/>
      <c r="R584" s="102"/>
      <c r="S584" s="1360"/>
      <c r="T584" s="43"/>
      <c r="U584" s="42"/>
      <c r="V584" s="41"/>
      <c r="W584" s="40"/>
      <c r="X584" s="39"/>
      <c r="Y584" s="38"/>
      <c r="Z584" s="37"/>
      <c r="AA584" s="36"/>
      <c r="AB584" s="35"/>
      <c r="AC584" s="34"/>
      <c r="AD584" s="55"/>
      <c r="AE584" s="33"/>
      <c r="AG584" s="32"/>
      <c r="AH584" s="31"/>
      <c r="AI584" s="30"/>
      <c r="AJ584" s="5492">
        <f t="shared" si="173"/>
        <v>0</v>
      </c>
      <c r="AK584" s="29">
        <f t="shared" si="174"/>
        <v>0</v>
      </c>
      <c r="AL584" s="28" t="str">
        <f t="shared" si="175"/>
        <v/>
      </c>
      <c r="AM584" s="27"/>
      <c r="AN584" s="26">
        <f t="shared" si="176"/>
        <v>0</v>
      </c>
      <c r="AO584" s="25">
        <f t="shared" si="177"/>
        <v>0</v>
      </c>
      <c r="AP584" s="24">
        <f t="shared" si="178"/>
        <v>0</v>
      </c>
      <c r="AQ584" s="23"/>
      <c r="AR584" s="22">
        <f t="shared" si="179"/>
        <v>0</v>
      </c>
      <c r="AS584" s="21"/>
      <c r="AT584" s="13"/>
      <c r="AU584" s="46">
        <f t="shared" si="180"/>
        <v>0</v>
      </c>
      <c r="BL584" s="20" t="str">
        <f t="shared" si="172"/>
        <v>►</v>
      </c>
      <c r="CO584" s="5">
        <v>1</v>
      </c>
    </row>
    <row r="585" spans="1:93" ht="17.25">
      <c r="A585" s="20" t="str">
        <f t="shared" si="181"/>
        <v>►</v>
      </c>
      <c r="B585" s="43" t="str">
        <f t="shared" si="182"/>
        <v>►</v>
      </c>
      <c r="C585" s="45" t="str">
        <f t="shared" si="167"/>
        <v>►</v>
      </c>
      <c r="D585" s="44" t="str">
        <f t="shared" si="168"/>
        <v>►</v>
      </c>
      <c r="E585" s="43" t="str">
        <f t="shared" si="169"/>
        <v>►</v>
      </c>
      <c r="F585" s="43" t="str">
        <f t="shared" si="170"/>
        <v>►</v>
      </c>
      <c r="G585" s="43" t="str">
        <f t="shared" si="171"/>
        <v>►</v>
      </c>
      <c r="H585" s="1256" t="s">
        <v>1</v>
      </c>
      <c r="I585" s="5175" t="s">
        <v>1</v>
      </c>
      <c r="J585" s="5161"/>
      <c r="K585" s="5161"/>
      <c r="L585" s="5161"/>
      <c r="M585" s="5176"/>
      <c r="N585" s="5177"/>
      <c r="O585" s="147"/>
      <c r="P585" s="147"/>
      <c r="Q585" s="102"/>
      <c r="R585" s="102"/>
      <c r="S585" s="1360"/>
      <c r="T585" s="43"/>
      <c r="U585" s="42"/>
      <c r="V585" s="41"/>
      <c r="W585" s="40"/>
      <c r="X585" s="39"/>
      <c r="Y585" s="38"/>
      <c r="Z585" s="37"/>
      <c r="AA585" s="36"/>
      <c r="AB585" s="35"/>
      <c r="AC585" s="34"/>
      <c r="AD585" s="55"/>
      <c r="AE585" s="33"/>
      <c r="AG585" s="32"/>
      <c r="AH585" s="31"/>
      <c r="AI585" s="30"/>
      <c r="AJ585" s="5492">
        <f t="shared" si="173"/>
        <v>0</v>
      </c>
      <c r="AK585" s="54">
        <f t="shared" si="174"/>
        <v>0</v>
      </c>
      <c r="AL585" s="53" t="str">
        <f t="shared" si="175"/>
        <v/>
      </c>
      <c r="AM585" s="52"/>
      <c r="AN585" s="51">
        <f t="shared" si="176"/>
        <v>0</v>
      </c>
      <c r="AO585" s="50">
        <f t="shared" si="177"/>
        <v>0</v>
      </c>
      <c r="AP585" s="49">
        <f t="shared" si="178"/>
        <v>0</v>
      </c>
      <c r="AQ585" s="23"/>
      <c r="AR585" s="48">
        <f t="shared" si="179"/>
        <v>0</v>
      </c>
      <c r="AS585" s="47"/>
      <c r="AT585" s="13"/>
      <c r="AU585" s="46">
        <f t="shared" si="180"/>
        <v>0</v>
      </c>
      <c r="BL585" s="20" t="str">
        <f t="shared" si="172"/>
        <v>►</v>
      </c>
      <c r="CO585" s="5">
        <v>1</v>
      </c>
    </row>
    <row r="586" spans="1:93" ht="17.25">
      <c r="A586" s="20" t="str">
        <f t="shared" si="181"/>
        <v>►</v>
      </c>
      <c r="B586" s="43" t="str">
        <f t="shared" si="182"/>
        <v>►</v>
      </c>
      <c r="C586" s="45" t="str">
        <f t="shared" si="167"/>
        <v>►</v>
      </c>
      <c r="D586" s="44" t="str">
        <f t="shared" si="168"/>
        <v>►</v>
      </c>
      <c r="E586" s="43" t="str">
        <f t="shared" si="169"/>
        <v>►</v>
      </c>
      <c r="F586" s="43" t="str">
        <f t="shared" si="170"/>
        <v>►</v>
      </c>
      <c r="G586" s="43" t="str">
        <f t="shared" si="171"/>
        <v>►</v>
      </c>
      <c r="H586" s="1256" t="s">
        <v>1</v>
      </c>
      <c r="I586" s="5175" t="s">
        <v>1</v>
      </c>
      <c r="J586" s="5161"/>
      <c r="K586" s="5161"/>
      <c r="L586" s="5161"/>
      <c r="M586" s="5176"/>
      <c r="N586" s="5177"/>
      <c r="O586" s="147"/>
      <c r="P586" s="147"/>
      <c r="Q586" s="102"/>
      <c r="R586" s="102"/>
      <c r="S586" s="1360"/>
      <c r="T586" s="43"/>
      <c r="U586" s="42"/>
      <c r="V586" s="41"/>
      <c r="W586" s="40"/>
      <c r="X586" s="39"/>
      <c r="Y586" s="38"/>
      <c r="Z586" s="37"/>
      <c r="AA586" s="36"/>
      <c r="AB586" s="35"/>
      <c r="AC586" s="34"/>
      <c r="AD586" s="55"/>
      <c r="AE586" s="33"/>
      <c r="AG586" s="32"/>
      <c r="AH586" s="31"/>
      <c r="AI586" s="30"/>
      <c r="AJ586" s="5492">
        <f t="shared" si="173"/>
        <v>0</v>
      </c>
      <c r="AK586" s="29">
        <f t="shared" si="174"/>
        <v>0</v>
      </c>
      <c r="AL586" s="28" t="str">
        <f t="shared" si="175"/>
        <v/>
      </c>
      <c r="AM586" s="27"/>
      <c r="AN586" s="26">
        <f t="shared" si="176"/>
        <v>0</v>
      </c>
      <c r="AO586" s="25">
        <f t="shared" si="177"/>
        <v>0</v>
      </c>
      <c r="AP586" s="24">
        <f t="shared" si="178"/>
        <v>0</v>
      </c>
      <c r="AQ586" s="23"/>
      <c r="AR586" s="22">
        <f t="shared" si="179"/>
        <v>0</v>
      </c>
      <c r="AS586" s="21"/>
      <c r="AT586" s="13"/>
      <c r="AU586" s="46">
        <f t="shared" si="180"/>
        <v>0</v>
      </c>
      <c r="BL586" s="20" t="str">
        <f t="shared" si="172"/>
        <v>►</v>
      </c>
      <c r="CO586" s="5">
        <v>1</v>
      </c>
    </row>
    <row r="587" spans="1:93" ht="17.25">
      <c r="A587" s="20" t="str">
        <f t="shared" si="181"/>
        <v>►</v>
      </c>
      <c r="B587" s="43" t="str">
        <f t="shared" si="182"/>
        <v>►</v>
      </c>
      <c r="C587" s="45" t="str">
        <f t="shared" si="167"/>
        <v>►</v>
      </c>
      <c r="D587" s="44" t="str">
        <f t="shared" si="168"/>
        <v>►</v>
      </c>
      <c r="E587" s="43" t="str">
        <f t="shared" si="169"/>
        <v>►</v>
      </c>
      <c r="F587" s="43" t="str">
        <f t="shared" si="170"/>
        <v>►</v>
      </c>
      <c r="G587" s="43" t="str">
        <f t="shared" si="171"/>
        <v>►</v>
      </c>
      <c r="H587" s="1256" t="s">
        <v>1</v>
      </c>
      <c r="I587" s="5175" t="s">
        <v>1</v>
      </c>
      <c r="J587" s="5161"/>
      <c r="K587" s="5161"/>
      <c r="L587" s="5161"/>
      <c r="M587" s="5176"/>
      <c r="N587" s="5177"/>
      <c r="O587" s="147"/>
      <c r="P587" s="147"/>
      <c r="Q587" s="102"/>
      <c r="R587" s="102"/>
      <c r="S587" s="1360"/>
      <c r="T587" s="43"/>
      <c r="U587" s="42"/>
      <c r="V587" s="41"/>
      <c r="W587" s="40"/>
      <c r="X587" s="39"/>
      <c r="Y587" s="38"/>
      <c r="Z587" s="37"/>
      <c r="AA587" s="36"/>
      <c r="AB587" s="35"/>
      <c r="AC587" s="34"/>
      <c r="AD587" s="55"/>
      <c r="AE587" s="33"/>
      <c r="AG587" s="32"/>
      <c r="AH587" s="31"/>
      <c r="AI587" s="30"/>
      <c r="AJ587" s="5492">
        <f t="shared" si="173"/>
        <v>0</v>
      </c>
      <c r="AK587" s="54">
        <f t="shared" si="174"/>
        <v>0</v>
      </c>
      <c r="AL587" s="53" t="str">
        <f t="shared" si="175"/>
        <v/>
      </c>
      <c r="AM587" s="52"/>
      <c r="AN587" s="51">
        <f t="shared" si="176"/>
        <v>0</v>
      </c>
      <c r="AO587" s="50">
        <f t="shared" si="177"/>
        <v>0</v>
      </c>
      <c r="AP587" s="49">
        <f t="shared" si="178"/>
        <v>0</v>
      </c>
      <c r="AQ587" s="23"/>
      <c r="AR587" s="48">
        <f t="shared" si="179"/>
        <v>0</v>
      </c>
      <c r="AS587" s="47"/>
      <c r="AT587" s="13"/>
      <c r="AU587" s="46">
        <f t="shared" si="180"/>
        <v>0</v>
      </c>
      <c r="BL587" s="20" t="str">
        <f t="shared" si="172"/>
        <v>►</v>
      </c>
      <c r="CO587" s="5">
        <v>1</v>
      </c>
    </row>
    <row r="588" spans="1:93" ht="17.25">
      <c r="A588" s="20" t="str">
        <f t="shared" si="181"/>
        <v>►</v>
      </c>
      <c r="B588" s="43" t="str">
        <f t="shared" si="182"/>
        <v>►</v>
      </c>
      <c r="C588" s="45" t="str">
        <f t="shared" si="167"/>
        <v>►</v>
      </c>
      <c r="D588" s="44" t="str">
        <f t="shared" si="168"/>
        <v>►</v>
      </c>
      <c r="E588" s="43" t="str">
        <f t="shared" si="169"/>
        <v>►</v>
      </c>
      <c r="F588" s="43" t="str">
        <f t="shared" si="170"/>
        <v>►</v>
      </c>
      <c r="G588" s="43" t="str">
        <f t="shared" si="171"/>
        <v>►</v>
      </c>
      <c r="H588" s="1256" t="s">
        <v>1</v>
      </c>
      <c r="I588" s="5175" t="s">
        <v>1</v>
      </c>
      <c r="J588" s="5161"/>
      <c r="K588" s="5161"/>
      <c r="L588" s="5161"/>
      <c r="M588" s="5176"/>
      <c r="N588" s="5177"/>
      <c r="O588" s="147"/>
      <c r="P588" s="147"/>
      <c r="Q588" s="102"/>
      <c r="R588" s="102"/>
      <c r="S588" s="1360"/>
      <c r="T588" s="43"/>
      <c r="U588" s="42"/>
      <c r="V588" s="41"/>
      <c r="W588" s="40"/>
      <c r="X588" s="39"/>
      <c r="Y588" s="38"/>
      <c r="Z588" s="37"/>
      <c r="AA588" s="36"/>
      <c r="AB588" s="35"/>
      <c r="AC588" s="34"/>
      <c r="AD588" s="55"/>
      <c r="AE588" s="33"/>
      <c r="AG588" s="32"/>
      <c r="AH588" s="31"/>
      <c r="AI588" s="30"/>
      <c r="AJ588" s="5492">
        <f t="shared" si="173"/>
        <v>0</v>
      </c>
      <c r="AK588" s="29">
        <f t="shared" si="174"/>
        <v>0</v>
      </c>
      <c r="AL588" s="28" t="str">
        <f t="shared" si="175"/>
        <v/>
      </c>
      <c r="AM588" s="27"/>
      <c r="AN588" s="26">
        <f t="shared" si="176"/>
        <v>0</v>
      </c>
      <c r="AO588" s="25">
        <f t="shared" si="177"/>
        <v>0</v>
      </c>
      <c r="AP588" s="24">
        <f t="shared" si="178"/>
        <v>0</v>
      </c>
      <c r="AQ588" s="23"/>
      <c r="AR588" s="22">
        <f t="shared" si="179"/>
        <v>0</v>
      </c>
      <c r="AS588" s="21"/>
      <c r="AT588" s="13"/>
      <c r="AU588" s="46">
        <f t="shared" si="180"/>
        <v>0</v>
      </c>
      <c r="BL588" s="20" t="str">
        <f t="shared" si="172"/>
        <v>►</v>
      </c>
      <c r="CO588" s="5">
        <v>1</v>
      </c>
    </row>
    <row r="589" spans="1:93" ht="17.25">
      <c r="A589" s="20" t="str">
        <f t="shared" si="181"/>
        <v>►</v>
      </c>
      <c r="B589" s="43" t="str">
        <f t="shared" si="182"/>
        <v>►</v>
      </c>
      <c r="C589" s="45" t="str">
        <f t="shared" si="167"/>
        <v>►</v>
      </c>
      <c r="D589" s="44" t="str">
        <f t="shared" si="168"/>
        <v>►</v>
      </c>
      <c r="E589" s="43" t="str">
        <f t="shared" si="169"/>
        <v>►</v>
      </c>
      <c r="F589" s="43" t="str">
        <f t="shared" si="170"/>
        <v>►</v>
      </c>
      <c r="G589" s="43" t="str">
        <f t="shared" si="171"/>
        <v>►</v>
      </c>
      <c r="H589" s="1256" t="s">
        <v>1</v>
      </c>
      <c r="I589" s="5175" t="s">
        <v>1</v>
      </c>
      <c r="J589" s="5161"/>
      <c r="K589" s="5161"/>
      <c r="L589" s="5161"/>
      <c r="M589" s="5176"/>
      <c r="N589" s="5177"/>
      <c r="O589" s="147"/>
      <c r="P589" s="147"/>
      <c r="Q589" s="102"/>
      <c r="R589" s="102"/>
      <c r="S589" s="1360"/>
      <c r="T589" s="43"/>
      <c r="U589" s="42"/>
      <c r="V589" s="41"/>
      <c r="W589" s="40"/>
      <c r="X589" s="39"/>
      <c r="Y589" s="38"/>
      <c r="Z589" s="37"/>
      <c r="AA589" s="36"/>
      <c r="AB589" s="35"/>
      <c r="AC589" s="34"/>
      <c r="AD589" s="55"/>
      <c r="AE589" s="33"/>
      <c r="AG589" s="32"/>
      <c r="AH589" s="31"/>
      <c r="AI589" s="30"/>
      <c r="AJ589" s="5492">
        <f t="shared" si="173"/>
        <v>0</v>
      </c>
      <c r="AK589" s="54">
        <f t="shared" si="174"/>
        <v>0</v>
      </c>
      <c r="AL589" s="53" t="str">
        <f t="shared" si="175"/>
        <v/>
      </c>
      <c r="AM589" s="52"/>
      <c r="AN589" s="51">
        <f t="shared" si="176"/>
        <v>0</v>
      </c>
      <c r="AO589" s="50">
        <f t="shared" si="177"/>
        <v>0</v>
      </c>
      <c r="AP589" s="49">
        <f t="shared" si="178"/>
        <v>0</v>
      </c>
      <c r="AQ589" s="23"/>
      <c r="AR589" s="48">
        <f t="shared" si="179"/>
        <v>0</v>
      </c>
      <c r="AS589" s="47"/>
      <c r="AT589" s="13"/>
      <c r="AU589" s="46">
        <f t="shared" si="180"/>
        <v>0</v>
      </c>
      <c r="BL589" s="20" t="str">
        <f t="shared" si="172"/>
        <v>►</v>
      </c>
      <c r="CO589" s="5">
        <v>1</v>
      </c>
    </row>
    <row r="590" spans="1:93" ht="17.25">
      <c r="A590" s="20" t="str">
        <f t="shared" si="181"/>
        <v>►</v>
      </c>
      <c r="B590" s="43" t="str">
        <f t="shared" si="182"/>
        <v>►</v>
      </c>
      <c r="C590" s="45" t="str">
        <f t="shared" ref="C590:C600" si="183">IF(B590="►","►",IFERROR(LEFT(B590,SEARCH(".",B590)-1),0))</f>
        <v>►</v>
      </c>
      <c r="D590" s="44" t="str">
        <f t="shared" ref="D590:D600" si="184">IF(B590="►","►",IFERROR(MID(B590,SEARCH(".",B590)+1,SEARCH(".",B590,SEARCH(".",B590)+1)-SEARCH(".",B590)-1),0))</f>
        <v>►</v>
      </c>
      <c r="E590" s="43" t="str">
        <f t="shared" ref="E590:E600" si="185">IF(B590="►","►",IFERROR(MID(B590,SEARCH(".",B590,SEARCH(".",B590)+1)+1,SEARCH(".",B590,SEARCH(".",B590,SEARCH(".",B590)+1)+1)-SEARCH(".",B590,SEARCH(".",B590)+1)-1),0))</f>
        <v>►</v>
      </c>
      <c r="F590" s="43" t="str">
        <f t="shared" ref="F590:F600" si="186">IF(B590="►","►",IFERROR(MID(J590,SEARCH(".",B590,SEARCH(".",B590,SEARCH(".",B590)+1)+1)+1,SEARCH(".",B590,SEARCH(".",B590,SEARCH(".",B590,SEARCH(".",B590)+1)+1)+1)-SEARCH(".",B590,SEARCH(".",B590,SEARCH(".",B590)+1)+1)-1),0))</f>
        <v>►</v>
      </c>
      <c r="G590" s="43" t="str">
        <f t="shared" si="171"/>
        <v>►</v>
      </c>
      <c r="H590" s="1256" t="s">
        <v>1</v>
      </c>
      <c r="I590" s="5175" t="s">
        <v>1</v>
      </c>
      <c r="J590" s="5161"/>
      <c r="K590" s="5161"/>
      <c r="L590" s="5161"/>
      <c r="M590" s="5176"/>
      <c r="N590" s="5177"/>
      <c r="O590" s="147"/>
      <c r="P590" s="147"/>
      <c r="Q590" s="102"/>
      <c r="R590" s="102"/>
      <c r="S590" s="1360"/>
      <c r="T590" s="43"/>
      <c r="U590" s="42"/>
      <c r="V590" s="41"/>
      <c r="W590" s="40"/>
      <c r="X590" s="39"/>
      <c r="Y590" s="38"/>
      <c r="Z590" s="37"/>
      <c r="AA590" s="36"/>
      <c r="AB590" s="35"/>
      <c r="AC590" s="34"/>
      <c r="AD590" s="55"/>
      <c r="AE590" s="33"/>
      <c r="AG590" s="32"/>
      <c r="AH590" s="31"/>
      <c r="AI590" s="30"/>
      <c r="AJ590" s="5492">
        <f t="shared" si="173"/>
        <v>0</v>
      </c>
      <c r="AK590" s="29">
        <f t="shared" si="174"/>
        <v>0</v>
      </c>
      <c r="AL590" s="28" t="str">
        <f t="shared" si="175"/>
        <v/>
      </c>
      <c r="AM590" s="27"/>
      <c r="AN590" s="26">
        <f t="shared" si="176"/>
        <v>0</v>
      </c>
      <c r="AO590" s="25">
        <f t="shared" si="177"/>
        <v>0</v>
      </c>
      <c r="AP590" s="24">
        <f t="shared" si="178"/>
        <v>0</v>
      </c>
      <c r="AQ590" s="23"/>
      <c r="AR590" s="22">
        <f t="shared" si="179"/>
        <v>0</v>
      </c>
      <c r="AS590" s="21"/>
      <c r="AT590" s="13"/>
      <c r="AU590" s="46">
        <f t="shared" si="180"/>
        <v>0</v>
      </c>
      <c r="BL590" s="20" t="str">
        <f t="shared" si="172"/>
        <v>►</v>
      </c>
      <c r="CO590" s="5">
        <v>1</v>
      </c>
    </row>
    <row r="591" spans="1:93" ht="17.25">
      <c r="A591" s="20" t="str">
        <f t="shared" si="181"/>
        <v>►</v>
      </c>
      <c r="B591" s="43" t="str">
        <f t="shared" si="182"/>
        <v>►</v>
      </c>
      <c r="C591" s="45" t="str">
        <f t="shared" si="183"/>
        <v>►</v>
      </c>
      <c r="D591" s="44" t="str">
        <f t="shared" si="184"/>
        <v>►</v>
      </c>
      <c r="E591" s="43" t="str">
        <f t="shared" si="185"/>
        <v>►</v>
      </c>
      <c r="F591" s="43" t="str">
        <f t="shared" si="186"/>
        <v>►</v>
      </c>
      <c r="G591" s="43" t="str">
        <f t="shared" si="171"/>
        <v>►</v>
      </c>
      <c r="H591" s="1256" t="s">
        <v>1</v>
      </c>
      <c r="I591" s="5175" t="s">
        <v>1</v>
      </c>
      <c r="J591" s="5161"/>
      <c r="K591" s="5161"/>
      <c r="L591" s="5161"/>
      <c r="M591" s="5176"/>
      <c r="N591" s="5177"/>
      <c r="O591" s="147"/>
      <c r="P591" s="147"/>
      <c r="Q591" s="102"/>
      <c r="R591" s="102"/>
      <c r="S591" s="1360"/>
      <c r="T591" s="43"/>
      <c r="U591" s="42"/>
      <c r="V591" s="41"/>
      <c r="W591" s="40"/>
      <c r="X591" s="39"/>
      <c r="Y591" s="38"/>
      <c r="Z591" s="37"/>
      <c r="AA591" s="36"/>
      <c r="AB591" s="35"/>
      <c r="AC591" s="34"/>
      <c r="AD591" s="55"/>
      <c r="AE591" s="33"/>
      <c r="AG591" s="32"/>
      <c r="AH591" s="31"/>
      <c r="AI591" s="30"/>
      <c r="AJ591" s="5492">
        <f t="shared" si="173"/>
        <v>0</v>
      </c>
      <c r="AK591" s="54">
        <f t="shared" si="174"/>
        <v>0</v>
      </c>
      <c r="AL591" s="53" t="str">
        <f t="shared" si="175"/>
        <v/>
      </c>
      <c r="AM591" s="52"/>
      <c r="AN591" s="51">
        <f t="shared" si="176"/>
        <v>0</v>
      </c>
      <c r="AO591" s="50">
        <f t="shared" si="177"/>
        <v>0</v>
      </c>
      <c r="AP591" s="49">
        <f t="shared" si="178"/>
        <v>0</v>
      </c>
      <c r="AQ591" s="23"/>
      <c r="AR591" s="48">
        <f t="shared" si="179"/>
        <v>0</v>
      </c>
      <c r="AS591" s="47"/>
      <c r="AT591" s="13"/>
      <c r="AU591" s="46">
        <f t="shared" si="180"/>
        <v>0</v>
      </c>
      <c r="BL591" s="20" t="str">
        <f t="shared" si="172"/>
        <v>►</v>
      </c>
      <c r="CO591" s="5">
        <v>1</v>
      </c>
    </row>
    <row r="592" spans="1:93" ht="17.25">
      <c r="A592" s="20" t="str">
        <f t="shared" si="181"/>
        <v>►</v>
      </c>
      <c r="B592" s="43" t="str">
        <f t="shared" si="182"/>
        <v>►</v>
      </c>
      <c r="C592" s="45" t="str">
        <f t="shared" si="183"/>
        <v>►</v>
      </c>
      <c r="D592" s="44" t="str">
        <f t="shared" si="184"/>
        <v>►</v>
      </c>
      <c r="E592" s="43" t="str">
        <f t="shared" si="185"/>
        <v>►</v>
      </c>
      <c r="F592" s="43" t="str">
        <f t="shared" si="186"/>
        <v>►</v>
      </c>
      <c r="G592" s="43" t="str">
        <f t="shared" ref="G592:G600" si="187">IF(B592="►","►",IF(ISBLANK(B592),"►",IFERROR(RIGHT(B592,LEN(B592)-FIND("►",B592)-1),"")))</f>
        <v>►</v>
      </c>
      <c r="H592" s="1256" t="s">
        <v>1</v>
      </c>
      <c r="I592" s="5175" t="s">
        <v>1</v>
      </c>
      <c r="J592" s="5161"/>
      <c r="K592" s="5161"/>
      <c r="L592" s="5161"/>
      <c r="M592" s="5176"/>
      <c r="N592" s="5177"/>
      <c r="O592" s="147"/>
      <c r="P592" s="147"/>
      <c r="Q592" s="102"/>
      <c r="R592" s="102"/>
      <c r="S592" s="1360"/>
      <c r="T592" s="43"/>
      <c r="U592" s="42"/>
      <c r="V592" s="41"/>
      <c r="W592" s="40"/>
      <c r="X592" s="39"/>
      <c r="Y592" s="38"/>
      <c r="Z592" s="37"/>
      <c r="AA592" s="36"/>
      <c r="AB592" s="35"/>
      <c r="AC592" s="34"/>
      <c r="AD592" s="55"/>
      <c r="AE592" s="33"/>
      <c r="AG592" s="32"/>
      <c r="AH592" s="31"/>
      <c r="AI592" s="30"/>
      <c r="AJ592" s="5492">
        <f t="shared" si="173"/>
        <v>0</v>
      </c>
      <c r="AK592" s="29">
        <f t="shared" si="174"/>
        <v>0</v>
      </c>
      <c r="AL592" s="28" t="str">
        <f t="shared" si="175"/>
        <v/>
      </c>
      <c r="AM592" s="27"/>
      <c r="AN592" s="26">
        <f t="shared" si="176"/>
        <v>0</v>
      </c>
      <c r="AO592" s="25">
        <f t="shared" si="177"/>
        <v>0</v>
      </c>
      <c r="AP592" s="24">
        <f t="shared" si="178"/>
        <v>0</v>
      </c>
      <c r="AQ592" s="23"/>
      <c r="AR592" s="22">
        <f t="shared" si="179"/>
        <v>0</v>
      </c>
      <c r="AS592" s="21"/>
      <c r="AT592" s="13"/>
      <c r="AU592" s="46">
        <f t="shared" si="180"/>
        <v>0</v>
      </c>
      <c r="BL592" s="20" t="str">
        <f t="shared" si="172"/>
        <v>►</v>
      </c>
      <c r="CO592" s="5">
        <v>1</v>
      </c>
    </row>
    <row r="593" spans="1:95" ht="17.25">
      <c r="A593" s="20" t="str">
        <f t="shared" si="181"/>
        <v>►</v>
      </c>
      <c r="B593" s="43" t="str">
        <f t="shared" si="182"/>
        <v>►</v>
      </c>
      <c r="C593" s="45" t="str">
        <f t="shared" si="183"/>
        <v>►</v>
      </c>
      <c r="D593" s="44" t="str">
        <f t="shared" si="184"/>
        <v>►</v>
      </c>
      <c r="E593" s="43" t="str">
        <f t="shared" si="185"/>
        <v>►</v>
      </c>
      <c r="F593" s="43" t="str">
        <f t="shared" si="186"/>
        <v>►</v>
      </c>
      <c r="G593" s="43" t="str">
        <f t="shared" si="187"/>
        <v>►</v>
      </c>
      <c r="H593" s="1256" t="s">
        <v>1</v>
      </c>
      <c r="I593" s="5175" t="s">
        <v>1</v>
      </c>
      <c r="J593" s="5161"/>
      <c r="K593" s="5161"/>
      <c r="L593" s="5161"/>
      <c r="M593" s="5176"/>
      <c r="N593" s="5177"/>
      <c r="O593" s="147"/>
      <c r="P593" s="147"/>
      <c r="Q593" s="102"/>
      <c r="R593" s="102"/>
      <c r="S593" s="1360"/>
      <c r="T593" s="43"/>
      <c r="U593" s="42"/>
      <c r="V593" s="41"/>
      <c r="W593" s="40"/>
      <c r="X593" s="39"/>
      <c r="Y593" s="38"/>
      <c r="Z593" s="37"/>
      <c r="AA593" s="36"/>
      <c r="AB593" s="35"/>
      <c r="AC593" s="34"/>
      <c r="AD593" s="55"/>
      <c r="AE593" s="33"/>
      <c r="AG593" s="32"/>
      <c r="AH593" s="31"/>
      <c r="AI593" s="30"/>
      <c r="AJ593" s="5492">
        <f t="shared" si="173"/>
        <v>0</v>
      </c>
      <c r="AK593" s="54">
        <f t="shared" si="174"/>
        <v>0</v>
      </c>
      <c r="AL593" s="53" t="str">
        <f t="shared" si="175"/>
        <v/>
      </c>
      <c r="AM593" s="52"/>
      <c r="AN593" s="51">
        <f t="shared" si="176"/>
        <v>0</v>
      </c>
      <c r="AO593" s="50">
        <f t="shared" si="177"/>
        <v>0</v>
      </c>
      <c r="AP593" s="49">
        <f t="shared" si="178"/>
        <v>0</v>
      </c>
      <c r="AQ593" s="23"/>
      <c r="AR593" s="48">
        <f t="shared" si="179"/>
        <v>0</v>
      </c>
      <c r="AS593" s="47"/>
      <c r="AT593" s="13"/>
      <c r="AU593" s="46">
        <f t="shared" si="180"/>
        <v>0</v>
      </c>
      <c r="BL593" s="20" t="str">
        <f t="shared" si="172"/>
        <v>►</v>
      </c>
      <c r="CO593" s="5">
        <v>1</v>
      </c>
    </row>
    <row r="594" spans="1:95" ht="17.25">
      <c r="A594" s="20" t="str">
        <f t="shared" si="181"/>
        <v>►</v>
      </c>
      <c r="B594" s="43" t="str">
        <f t="shared" si="182"/>
        <v>►</v>
      </c>
      <c r="C594" s="45" t="str">
        <f t="shared" si="183"/>
        <v>►</v>
      </c>
      <c r="D594" s="44" t="str">
        <f t="shared" si="184"/>
        <v>►</v>
      </c>
      <c r="E594" s="43" t="str">
        <f t="shared" si="185"/>
        <v>►</v>
      </c>
      <c r="F594" s="43" t="str">
        <f t="shared" si="186"/>
        <v>►</v>
      </c>
      <c r="G594" s="43" t="str">
        <f t="shared" si="187"/>
        <v>►</v>
      </c>
      <c r="H594" s="1256" t="s">
        <v>1</v>
      </c>
      <c r="I594" s="5175" t="s">
        <v>1</v>
      </c>
      <c r="J594" s="5161"/>
      <c r="K594" s="5161"/>
      <c r="L594" s="5161"/>
      <c r="M594" s="5176"/>
      <c r="N594" s="5177"/>
      <c r="O594" s="147"/>
      <c r="P594" s="147"/>
      <c r="Q594" s="102"/>
      <c r="R594" s="102"/>
      <c r="S594" s="1360"/>
      <c r="T594" s="43"/>
      <c r="U594" s="42"/>
      <c r="V594" s="41"/>
      <c r="W594" s="40"/>
      <c r="X594" s="39"/>
      <c r="Y594" s="38"/>
      <c r="Z594" s="37"/>
      <c r="AA594" s="36"/>
      <c r="AB594" s="35"/>
      <c r="AC594" s="34"/>
      <c r="AD594" s="55"/>
      <c r="AE594" s="33"/>
      <c r="AG594" s="32"/>
      <c r="AH594" s="31"/>
      <c r="AI594" s="30"/>
      <c r="AJ594" s="5492">
        <f t="shared" si="173"/>
        <v>0</v>
      </c>
      <c r="AK594" s="29">
        <f t="shared" si="174"/>
        <v>0</v>
      </c>
      <c r="AL594" s="28" t="str">
        <f t="shared" si="175"/>
        <v/>
      </c>
      <c r="AM594" s="27"/>
      <c r="AN594" s="26">
        <f t="shared" si="176"/>
        <v>0</v>
      </c>
      <c r="AO594" s="25">
        <f t="shared" si="177"/>
        <v>0</v>
      </c>
      <c r="AP594" s="24">
        <f t="shared" si="178"/>
        <v>0</v>
      </c>
      <c r="AQ594" s="23"/>
      <c r="AR594" s="22">
        <f t="shared" si="179"/>
        <v>0</v>
      </c>
      <c r="AS594" s="21"/>
      <c r="AT594" s="13"/>
      <c r="AU594" s="46">
        <f t="shared" si="180"/>
        <v>0</v>
      </c>
      <c r="BL594" s="20" t="str">
        <f t="shared" ref="BL594:BL600" si="188">A594</f>
        <v>►</v>
      </c>
      <c r="CO594" s="5">
        <v>1</v>
      </c>
    </row>
    <row r="595" spans="1:95" ht="17.25">
      <c r="A595" s="20" t="str">
        <f t="shared" si="181"/>
        <v>►</v>
      </c>
      <c r="B595" s="43" t="str">
        <f t="shared" si="182"/>
        <v>►</v>
      </c>
      <c r="C595" s="45" t="str">
        <f t="shared" si="183"/>
        <v>►</v>
      </c>
      <c r="D595" s="44" t="str">
        <f t="shared" si="184"/>
        <v>►</v>
      </c>
      <c r="E595" s="43" t="str">
        <f t="shared" si="185"/>
        <v>►</v>
      </c>
      <c r="F595" s="43" t="str">
        <f t="shared" si="186"/>
        <v>►</v>
      </c>
      <c r="G595" s="43" t="str">
        <f t="shared" si="187"/>
        <v>►</v>
      </c>
      <c r="H595" s="1256" t="s">
        <v>1</v>
      </c>
      <c r="I595" s="5175" t="s">
        <v>1</v>
      </c>
      <c r="J595" s="5161"/>
      <c r="K595" s="5161"/>
      <c r="L595" s="5161"/>
      <c r="M595" s="5176"/>
      <c r="N595" s="5177"/>
      <c r="O595" s="147"/>
      <c r="P595" s="147"/>
      <c r="Q595" s="102"/>
      <c r="R595" s="102"/>
      <c r="S595" s="1360"/>
      <c r="T595" s="43"/>
      <c r="U595" s="42"/>
      <c r="V595" s="41"/>
      <c r="W595" s="40"/>
      <c r="X595" s="39"/>
      <c r="Y595" s="38"/>
      <c r="Z595" s="37"/>
      <c r="AA595" s="36"/>
      <c r="AB595" s="35"/>
      <c r="AC595" s="34"/>
      <c r="AD595" s="55"/>
      <c r="AE595" s="33"/>
      <c r="AG595" s="32"/>
      <c r="AH595" s="31"/>
      <c r="AI595" s="30"/>
      <c r="AJ595" s="5492">
        <f t="shared" si="173"/>
        <v>0</v>
      </c>
      <c r="AK595" s="54">
        <f t="shared" si="174"/>
        <v>0</v>
      </c>
      <c r="AL595" s="53" t="str">
        <f t="shared" si="175"/>
        <v/>
      </c>
      <c r="AM595" s="52"/>
      <c r="AN595" s="51">
        <f t="shared" si="176"/>
        <v>0</v>
      </c>
      <c r="AO595" s="50">
        <f t="shared" si="177"/>
        <v>0</v>
      </c>
      <c r="AP595" s="49">
        <f t="shared" si="178"/>
        <v>0</v>
      </c>
      <c r="AQ595" s="23"/>
      <c r="AR595" s="48">
        <f t="shared" si="179"/>
        <v>0</v>
      </c>
      <c r="AS595" s="47"/>
      <c r="AT595" s="13"/>
      <c r="AU595" s="46">
        <f t="shared" si="180"/>
        <v>0</v>
      </c>
      <c r="BL595" s="20" t="str">
        <f t="shared" si="188"/>
        <v>►</v>
      </c>
      <c r="CO595" s="5">
        <v>1</v>
      </c>
    </row>
    <row r="596" spans="1:95" ht="17.25">
      <c r="A596" s="20" t="str">
        <f t="shared" si="181"/>
        <v>►</v>
      </c>
      <c r="B596" s="43" t="str">
        <f t="shared" si="182"/>
        <v>►</v>
      </c>
      <c r="C596" s="45" t="str">
        <f t="shared" si="183"/>
        <v>►</v>
      </c>
      <c r="D596" s="44" t="str">
        <f t="shared" si="184"/>
        <v>►</v>
      </c>
      <c r="E596" s="43" t="str">
        <f t="shared" si="185"/>
        <v>►</v>
      </c>
      <c r="F596" s="43" t="str">
        <f t="shared" si="186"/>
        <v>►</v>
      </c>
      <c r="G596" s="43" t="str">
        <f t="shared" si="187"/>
        <v>►</v>
      </c>
      <c r="H596" s="1256" t="s">
        <v>1</v>
      </c>
      <c r="I596" s="5175" t="s">
        <v>1</v>
      </c>
      <c r="J596" s="5161"/>
      <c r="K596" s="5161"/>
      <c r="L596" s="5161"/>
      <c r="M596" s="5176"/>
      <c r="N596" s="5177"/>
      <c r="O596" s="147"/>
      <c r="P596" s="147"/>
      <c r="Q596" s="102"/>
      <c r="R596" s="102"/>
      <c r="S596" s="1360"/>
      <c r="T596" s="43"/>
      <c r="U596" s="42"/>
      <c r="V596" s="41"/>
      <c r="W596" s="40"/>
      <c r="X596" s="39"/>
      <c r="Y596" s="38"/>
      <c r="Z596" s="37"/>
      <c r="AA596" s="36"/>
      <c r="AB596" s="35"/>
      <c r="AC596" s="34"/>
      <c r="AD596" s="55"/>
      <c r="AE596" s="33"/>
      <c r="AG596" s="32"/>
      <c r="AH596" s="31"/>
      <c r="AI596" s="30"/>
      <c r="AJ596" s="5492">
        <f t="shared" si="173"/>
        <v>0</v>
      </c>
      <c r="AK596" s="29">
        <f t="shared" si="174"/>
        <v>0</v>
      </c>
      <c r="AL596" s="28" t="str">
        <f t="shared" si="175"/>
        <v/>
      </c>
      <c r="AM596" s="27"/>
      <c r="AN596" s="26">
        <f t="shared" si="176"/>
        <v>0</v>
      </c>
      <c r="AO596" s="25">
        <f t="shared" si="177"/>
        <v>0</v>
      </c>
      <c r="AP596" s="24">
        <f t="shared" si="178"/>
        <v>0</v>
      </c>
      <c r="AQ596" s="23"/>
      <c r="AR596" s="22">
        <f t="shared" si="179"/>
        <v>0</v>
      </c>
      <c r="AS596" s="21"/>
      <c r="AT596" s="13"/>
      <c r="AU596" s="46">
        <f t="shared" si="180"/>
        <v>0</v>
      </c>
      <c r="BL596" s="20" t="str">
        <f t="shared" si="188"/>
        <v>►</v>
      </c>
      <c r="CO596" s="5">
        <v>1</v>
      </c>
    </row>
    <row r="597" spans="1:95" ht="17.25">
      <c r="A597" s="20" t="str">
        <f t="shared" si="181"/>
        <v>►</v>
      </c>
      <c r="B597" s="43" t="str">
        <f t="shared" si="182"/>
        <v>►</v>
      </c>
      <c r="C597" s="45" t="str">
        <f t="shared" si="183"/>
        <v>►</v>
      </c>
      <c r="D597" s="44" t="str">
        <f t="shared" si="184"/>
        <v>►</v>
      </c>
      <c r="E597" s="43" t="str">
        <f t="shared" si="185"/>
        <v>►</v>
      </c>
      <c r="F597" s="43" t="str">
        <f t="shared" si="186"/>
        <v>►</v>
      </c>
      <c r="G597" s="43" t="str">
        <f t="shared" si="187"/>
        <v>►</v>
      </c>
      <c r="H597" s="1256" t="s">
        <v>1</v>
      </c>
      <c r="I597" s="5175" t="s">
        <v>1</v>
      </c>
      <c r="J597" s="5161"/>
      <c r="K597" s="5161"/>
      <c r="L597" s="5161"/>
      <c r="M597" s="5176"/>
      <c r="N597" s="5177"/>
      <c r="O597" s="147"/>
      <c r="P597" s="147"/>
      <c r="Q597" s="102"/>
      <c r="R597" s="102"/>
      <c r="S597" s="1360"/>
      <c r="T597" s="43"/>
      <c r="U597" s="42"/>
      <c r="V597" s="41"/>
      <c r="W597" s="40"/>
      <c r="X597" s="39"/>
      <c r="Y597" s="38"/>
      <c r="Z597" s="37"/>
      <c r="AA597" s="36"/>
      <c r="AB597" s="35"/>
      <c r="AC597" s="34"/>
      <c r="AD597" s="55"/>
      <c r="AE597" s="33"/>
      <c r="AG597" s="32"/>
      <c r="AH597" s="31"/>
      <c r="AI597" s="30"/>
      <c r="AJ597" s="5492">
        <f t="shared" si="173"/>
        <v>0</v>
      </c>
      <c r="AK597" s="54">
        <f t="shared" si="174"/>
        <v>0</v>
      </c>
      <c r="AL597" s="53" t="str">
        <f t="shared" si="175"/>
        <v/>
      </c>
      <c r="AM597" s="52"/>
      <c r="AN597" s="51">
        <f t="shared" si="176"/>
        <v>0</v>
      </c>
      <c r="AO597" s="50">
        <f t="shared" si="177"/>
        <v>0</v>
      </c>
      <c r="AP597" s="49">
        <f t="shared" si="178"/>
        <v>0</v>
      </c>
      <c r="AQ597" s="23"/>
      <c r="AR597" s="48">
        <f t="shared" si="179"/>
        <v>0</v>
      </c>
      <c r="AS597" s="47"/>
      <c r="AT597" s="13"/>
      <c r="AU597" s="46">
        <f t="shared" si="180"/>
        <v>0</v>
      </c>
      <c r="BL597" s="20" t="str">
        <f t="shared" si="188"/>
        <v>►</v>
      </c>
      <c r="CO597" s="5">
        <v>1</v>
      </c>
    </row>
    <row r="598" spans="1:95" ht="17.25">
      <c r="A598" s="20" t="str">
        <f t="shared" si="181"/>
        <v>►</v>
      </c>
      <c r="B598" s="43" t="str">
        <f t="shared" si="182"/>
        <v>►</v>
      </c>
      <c r="C598" s="45" t="str">
        <f t="shared" si="183"/>
        <v>►</v>
      </c>
      <c r="D598" s="44" t="str">
        <f t="shared" si="184"/>
        <v>►</v>
      </c>
      <c r="E598" s="43" t="str">
        <f t="shared" si="185"/>
        <v>►</v>
      </c>
      <c r="F598" s="43" t="str">
        <f t="shared" si="186"/>
        <v>►</v>
      </c>
      <c r="G598" s="43" t="str">
        <f t="shared" si="187"/>
        <v>►</v>
      </c>
      <c r="H598" s="1256" t="s">
        <v>1</v>
      </c>
      <c r="I598" s="5175" t="s">
        <v>1</v>
      </c>
      <c r="J598" s="5161"/>
      <c r="K598" s="5161"/>
      <c r="L598" s="5161"/>
      <c r="M598" s="5176"/>
      <c r="N598" s="5177"/>
      <c r="O598" s="147"/>
      <c r="P598" s="147"/>
      <c r="Q598" s="102"/>
      <c r="R598" s="102"/>
      <c r="S598" s="1360"/>
      <c r="T598" s="43"/>
      <c r="U598" s="42"/>
      <c r="V598" s="41"/>
      <c r="W598" s="40"/>
      <c r="X598" s="39"/>
      <c r="Y598" s="38"/>
      <c r="Z598" s="37"/>
      <c r="AA598" s="36"/>
      <c r="AB598" s="35"/>
      <c r="AC598" s="34"/>
      <c r="AD598" s="55"/>
      <c r="AE598" s="33"/>
      <c r="AG598" s="32"/>
      <c r="AH598" s="31"/>
      <c r="AI598" s="30"/>
      <c r="AJ598" s="5492">
        <f t="shared" si="173"/>
        <v>0</v>
      </c>
      <c r="AK598" s="29">
        <f t="shared" si="174"/>
        <v>0</v>
      </c>
      <c r="AL598" s="28" t="str">
        <f t="shared" si="175"/>
        <v/>
      </c>
      <c r="AM598" s="27"/>
      <c r="AN598" s="26">
        <f t="shared" si="176"/>
        <v>0</v>
      </c>
      <c r="AO598" s="25">
        <f t="shared" si="177"/>
        <v>0</v>
      </c>
      <c r="AP598" s="24">
        <f t="shared" si="178"/>
        <v>0</v>
      </c>
      <c r="AQ598" s="23"/>
      <c r="AR598" s="22">
        <f t="shared" si="179"/>
        <v>0</v>
      </c>
      <c r="AS598" s="21"/>
      <c r="AT598" s="13"/>
      <c r="AU598" s="46">
        <f t="shared" si="180"/>
        <v>0</v>
      </c>
      <c r="BL598" s="20" t="str">
        <f t="shared" si="188"/>
        <v>►</v>
      </c>
      <c r="CO598" s="5">
        <v>1</v>
      </c>
    </row>
    <row r="599" spans="1:95" ht="17.25">
      <c r="A599" s="20" t="str">
        <f t="shared" si="181"/>
        <v>►</v>
      </c>
      <c r="B599" s="43" t="str">
        <f t="shared" si="182"/>
        <v>►</v>
      </c>
      <c r="C599" s="45" t="str">
        <f t="shared" si="183"/>
        <v>►</v>
      </c>
      <c r="D599" s="44" t="str">
        <f t="shared" si="184"/>
        <v>►</v>
      </c>
      <c r="E599" s="43" t="str">
        <f t="shared" si="185"/>
        <v>►</v>
      </c>
      <c r="F599" s="43" t="str">
        <f t="shared" si="186"/>
        <v>►</v>
      </c>
      <c r="G599" s="43" t="str">
        <f t="shared" si="187"/>
        <v>►</v>
      </c>
      <c r="H599" s="1256" t="s">
        <v>1</v>
      </c>
      <c r="I599" s="5175" t="s">
        <v>1</v>
      </c>
      <c r="J599" s="5161"/>
      <c r="K599" s="5161"/>
      <c r="L599" s="5161"/>
      <c r="M599" s="5176"/>
      <c r="N599" s="5177"/>
      <c r="O599" s="147"/>
      <c r="P599" s="147"/>
      <c r="Q599" s="102"/>
      <c r="R599" s="102"/>
      <c r="S599" s="1360"/>
      <c r="T599" s="43"/>
      <c r="U599" s="42"/>
      <c r="V599" s="41"/>
      <c r="W599" s="40"/>
      <c r="X599" s="39"/>
      <c r="Y599" s="38"/>
      <c r="Z599" s="37"/>
      <c r="AA599" s="36"/>
      <c r="AB599" s="35"/>
      <c r="AC599" s="34"/>
      <c r="AD599" s="55"/>
      <c r="AE599" s="33"/>
      <c r="AG599" s="32"/>
      <c r="AH599" s="31"/>
      <c r="AI599" s="30"/>
      <c r="AJ599" s="5492">
        <f t="shared" si="173"/>
        <v>0</v>
      </c>
      <c r="AK599" s="54">
        <f t="shared" si="174"/>
        <v>0</v>
      </c>
      <c r="AL599" s="53" t="str">
        <f t="shared" si="175"/>
        <v/>
      </c>
      <c r="AM599" s="52"/>
      <c r="AN599" s="51">
        <f t="shared" si="176"/>
        <v>0</v>
      </c>
      <c r="AO599" s="50">
        <f t="shared" si="177"/>
        <v>0</v>
      </c>
      <c r="AP599" s="49">
        <f t="shared" si="178"/>
        <v>0</v>
      </c>
      <c r="AQ599" s="23"/>
      <c r="AR599" s="48">
        <f t="shared" si="179"/>
        <v>0</v>
      </c>
      <c r="AS599" s="47"/>
      <c r="AT599" s="13"/>
      <c r="AU599" s="46">
        <f t="shared" si="180"/>
        <v>0</v>
      </c>
      <c r="BL599" s="20" t="str">
        <f t="shared" si="188"/>
        <v>►</v>
      </c>
      <c r="CO599" s="5">
        <v>1</v>
      </c>
    </row>
    <row r="600" spans="1:95" ht="17.25">
      <c r="A600" s="20" t="str">
        <f t="shared" si="181"/>
        <v>►</v>
      </c>
      <c r="B600" s="43" t="str">
        <f t="shared" si="182"/>
        <v>►</v>
      </c>
      <c r="C600" s="45" t="str">
        <f t="shared" si="183"/>
        <v>►</v>
      </c>
      <c r="D600" s="44" t="str">
        <f t="shared" si="184"/>
        <v>►</v>
      </c>
      <c r="E600" s="43" t="str">
        <f t="shared" si="185"/>
        <v>►</v>
      </c>
      <c r="F600" s="43" t="str">
        <f t="shared" si="186"/>
        <v>►</v>
      </c>
      <c r="G600" s="43" t="str">
        <f t="shared" si="187"/>
        <v>►</v>
      </c>
      <c r="H600" s="1256" t="s">
        <v>1</v>
      </c>
      <c r="I600" s="5175" t="s">
        <v>1</v>
      </c>
      <c r="J600" s="5161"/>
      <c r="K600" s="5161"/>
      <c r="L600" s="5161"/>
      <c r="M600" s="5176"/>
      <c r="N600" s="5177"/>
      <c r="O600" s="147"/>
      <c r="P600" s="147"/>
      <c r="Q600" s="102"/>
      <c r="R600" s="102"/>
      <c r="S600" s="1360"/>
      <c r="T600" s="43"/>
      <c r="U600" s="42"/>
      <c r="V600" s="41"/>
      <c r="W600" s="40"/>
      <c r="X600" s="39"/>
      <c r="Y600" s="38"/>
      <c r="Z600" s="37"/>
      <c r="AA600" s="36"/>
      <c r="AB600" s="35"/>
      <c r="AC600" s="34"/>
      <c r="AD600" s="55"/>
      <c r="AE600" s="33"/>
      <c r="AG600" s="32"/>
      <c r="AH600" s="31"/>
      <c r="AI600" s="30"/>
      <c r="AJ600" s="5492">
        <f t="shared" si="173"/>
        <v>0</v>
      </c>
      <c r="AK600" s="29">
        <f t="shared" si="174"/>
        <v>0</v>
      </c>
      <c r="AL600" s="28" t="str">
        <f t="shared" si="175"/>
        <v/>
      </c>
      <c r="AM600" s="27"/>
      <c r="AN600" s="26">
        <f t="shared" si="176"/>
        <v>0</v>
      </c>
      <c r="AO600" s="25">
        <f t="shared" si="177"/>
        <v>0</v>
      </c>
      <c r="AP600" s="24">
        <f t="shared" si="178"/>
        <v>0</v>
      </c>
      <c r="AQ600" s="23"/>
      <c r="AR600" s="22">
        <f t="shared" si="179"/>
        <v>0</v>
      </c>
      <c r="AS600" s="21"/>
      <c r="AT600" s="13"/>
      <c r="AU600" s="46">
        <f t="shared" si="180"/>
        <v>0</v>
      </c>
      <c r="BL600" s="20" t="str">
        <f t="shared" si="188"/>
        <v>►</v>
      </c>
      <c r="CO600" s="5">
        <v>1</v>
      </c>
    </row>
    <row r="601" spans="1:95">
      <c r="A601" s="19" t="str">
        <f t="shared" ref="A601:T601" si="189">SUBSTITUTE(ADDRESS(1,COLUMN(),4),"1","")</f>
        <v>A</v>
      </c>
      <c r="B601" s="19" t="str">
        <f t="shared" si="189"/>
        <v>B</v>
      </c>
      <c r="C601" s="19" t="str">
        <f t="shared" si="189"/>
        <v>C</v>
      </c>
      <c r="D601" s="19" t="str">
        <f t="shared" si="189"/>
        <v>D</v>
      </c>
      <c r="E601" s="19" t="str">
        <f t="shared" si="189"/>
        <v>E</v>
      </c>
      <c r="F601" s="19" t="str">
        <f t="shared" si="189"/>
        <v>F</v>
      </c>
      <c r="G601" s="19" t="str">
        <f t="shared" si="189"/>
        <v>G</v>
      </c>
      <c r="H601" s="19" t="str">
        <f t="shared" si="189"/>
        <v>H</v>
      </c>
      <c r="I601" s="19" t="str">
        <f t="shared" si="189"/>
        <v>I</v>
      </c>
      <c r="J601" s="19" t="str">
        <f t="shared" si="189"/>
        <v>J</v>
      </c>
      <c r="K601" s="19" t="str">
        <f t="shared" si="189"/>
        <v>K</v>
      </c>
      <c r="L601" s="19" t="str">
        <f t="shared" si="189"/>
        <v>L</v>
      </c>
      <c r="M601" s="19" t="str">
        <f t="shared" si="189"/>
        <v>M</v>
      </c>
      <c r="N601" s="19" t="str">
        <f t="shared" si="189"/>
        <v>N</v>
      </c>
      <c r="O601" s="19" t="str">
        <f t="shared" si="189"/>
        <v>O</v>
      </c>
      <c r="P601" s="19" t="str">
        <f t="shared" si="189"/>
        <v>P</v>
      </c>
      <c r="Q601" s="19" t="str">
        <f t="shared" si="189"/>
        <v>Q</v>
      </c>
      <c r="R601" s="19" t="str">
        <f t="shared" si="189"/>
        <v>R</v>
      </c>
      <c r="S601" s="19" t="str">
        <f t="shared" si="189"/>
        <v>S</v>
      </c>
      <c r="T601" s="19" t="str">
        <f t="shared" si="189"/>
        <v>T</v>
      </c>
      <c r="U601" s="19" t="str">
        <f t="shared" ref="U601:AS601" si="190">SUBSTITUTE(ADDRESS(1,COLUMN(),4),"1","")</f>
        <v>U</v>
      </c>
      <c r="V601" s="19" t="str">
        <f t="shared" si="190"/>
        <v>V</v>
      </c>
      <c r="W601" s="19" t="str">
        <f t="shared" si="190"/>
        <v>W</v>
      </c>
      <c r="X601" s="19" t="str">
        <f t="shared" si="190"/>
        <v>X</v>
      </c>
      <c r="Y601" s="19" t="str">
        <f t="shared" si="190"/>
        <v>Y</v>
      </c>
      <c r="Z601" s="19" t="str">
        <f t="shared" si="190"/>
        <v>Z</v>
      </c>
      <c r="AA601" s="19" t="str">
        <f t="shared" si="190"/>
        <v>AA</v>
      </c>
      <c r="AB601" s="19" t="str">
        <f t="shared" si="190"/>
        <v>AB</v>
      </c>
      <c r="AC601" s="19" t="str">
        <f t="shared" si="190"/>
        <v>AC</v>
      </c>
      <c r="AD601" s="19" t="str">
        <f t="shared" si="190"/>
        <v>AD</v>
      </c>
      <c r="AE601" s="19" t="str">
        <f t="shared" si="190"/>
        <v>AE</v>
      </c>
      <c r="AF601" s="19" t="str">
        <f t="shared" si="190"/>
        <v>AF</v>
      </c>
      <c r="AG601" s="19" t="str">
        <f t="shared" si="190"/>
        <v>AG</v>
      </c>
      <c r="AH601" s="19" t="str">
        <f t="shared" si="190"/>
        <v>AH</v>
      </c>
      <c r="AI601" s="19" t="str">
        <f t="shared" si="190"/>
        <v>AI</v>
      </c>
      <c r="AJ601" s="19" t="str">
        <f t="shared" si="190"/>
        <v>AJ</v>
      </c>
      <c r="AK601" s="19" t="str">
        <f t="shared" si="190"/>
        <v>AK</v>
      </c>
      <c r="AL601" s="19" t="str">
        <f t="shared" si="190"/>
        <v>AL</v>
      </c>
      <c r="AM601" s="19" t="str">
        <f t="shared" si="190"/>
        <v>AM</v>
      </c>
      <c r="AN601" s="19" t="str">
        <f t="shared" si="190"/>
        <v>AN</v>
      </c>
      <c r="AO601" s="19" t="str">
        <f t="shared" si="190"/>
        <v>AO</v>
      </c>
      <c r="AP601" s="19" t="str">
        <f t="shared" si="190"/>
        <v>AP</v>
      </c>
      <c r="AQ601" s="19" t="str">
        <f t="shared" si="190"/>
        <v>AQ</v>
      </c>
      <c r="AR601" s="19" t="str">
        <f t="shared" si="190"/>
        <v>AR</v>
      </c>
      <c r="AS601" s="18" t="str">
        <f t="shared" si="190"/>
        <v>AS</v>
      </c>
      <c r="AT601" s="13"/>
      <c r="AU601" s="17" t="str">
        <f>SUBSTITUTE(ADDRESS(1,COLUMN(),4),"1","")</f>
        <v>AU</v>
      </c>
      <c r="CO601" s="5">
        <v>1</v>
      </c>
    </row>
    <row r="602" spans="1:95">
      <c r="A602" s="15">
        <f t="shared" ref="A602:T602" ca="1" si="191">CELL("largeur",A602)</f>
        <v>5</v>
      </c>
      <c r="B602" s="15">
        <f t="shared" ca="1" si="191"/>
        <v>32</v>
      </c>
      <c r="C602" s="15">
        <f t="shared" ca="1" si="191"/>
        <v>16</v>
      </c>
      <c r="D602" s="15">
        <f t="shared" ca="1" si="191"/>
        <v>4</v>
      </c>
      <c r="E602" s="15">
        <f t="shared" ca="1" si="191"/>
        <v>19</v>
      </c>
      <c r="F602" s="15">
        <f t="shared" ca="1" si="191"/>
        <v>13</v>
      </c>
      <c r="G602" s="15">
        <f t="shared" ca="1" si="191"/>
        <v>10</v>
      </c>
      <c r="H602" s="15">
        <f t="shared" ca="1" si="191"/>
        <v>2</v>
      </c>
      <c r="I602" s="15">
        <f t="shared" ca="1" si="191"/>
        <v>4</v>
      </c>
      <c r="J602" s="15">
        <f t="shared" ca="1" si="191"/>
        <v>2</v>
      </c>
      <c r="K602" s="15">
        <f t="shared" ca="1" si="191"/>
        <v>2</v>
      </c>
      <c r="L602" s="15">
        <f t="shared" ca="1" si="191"/>
        <v>2</v>
      </c>
      <c r="M602" s="15">
        <f t="shared" ca="1" si="191"/>
        <v>12</v>
      </c>
      <c r="N602" s="15">
        <f t="shared" ca="1" si="191"/>
        <v>12</v>
      </c>
      <c r="O602" s="15">
        <f t="shared" ca="1" si="191"/>
        <v>3</v>
      </c>
      <c r="P602" s="15">
        <f t="shared" ca="1" si="191"/>
        <v>12</v>
      </c>
      <c r="Q602" s="15">
        <f t="shared" ca="1" si="191"/>
        <v>10</v>
      </c>
      <c r="R602" s="15">
        <f t="shared" ca="1" si="191"/>
        <v>12</v>
      </c>
      <c r="S602" s="15">
        <f t="shared" ca="1" si="191"/>
        <v>40</v>
      </c>
      <c r="T602" s="15">
        <f t="shared" ca="1" si="191"/>
        <v>4</v>
      </c>
      <c r="U602" s="15">
        <f t="shared" ref="U602:AS602" ca="1" si="192">CELL("largeur",U602)</f>
        <v>4</v>
      </c>
      <c r="V602" s="15">
        <f t="shared" ca="1" si="192"/>
        <v>2</v>
      </c>
      <c r="W602" s="15">
        <f t="shared" ca="1" si="192"/>
        <v>2</v>
      </c>
      <c r="X602" s="15">
        <f t="shared" ca="1" si="192"/>
        <v>2</v>
      </c>
      <c r="Y602" s="15">
        <f t="shared" ca="1" si="192"/>
        <v>11</v>
      </c>
      <c r="Z602" s="15">
        <f t="shared" ca="1" si="192"/>
        <v>11</v>
      </c>
      <c r="AA602" s="15">
        <f t="shared" ca="1" si="192"/>
        <v>3</v>
      </c>
      <c r="AB602" s="15">
        <f t="shared" ca="1" si="192"/>
        <v>12</v>
      </c>
      <c r="AC602" s="15">
        <f t="shared" ca="1" si="192"/>
        <v>10</v>
      </c>
      <c r="AD602" s="15">
        <f t="shared" ca="1" si="192"/>
        <v>12</v>
      </c>
      <c r="AE602" s="15">
        <f t="shared" ca="1" si="192"/>
        <v>40</v>
      </c>
      <c r="AF602" s="15">
        <f t="shared" ca="1" si="192"/>
        <v>1</v>
      </c>
      <c r="AG602" s="15">
        <f t="shared" ca="1" si="192"/>
        <v>11</v>
      </c>
      <c r="AH602" s="15">
        <f t="shared" ca="1" si="192"/>
        <v>15</v>
      </c>
      <c r="AI602" s="15">
        <f t="shared" ca="1" si="192"/>
        <v>16</v>
      </c>
      <c r="AJ602" s="15">
        <f t="shared" ca="1" si="192"/>
        <v>11</v>
      </c>
      <c r="AK602" s="15">
        <f t="shared" ca="1" si="192"/>
        <v>11</v>
      </c>
      <c r="AL602" s="15">
        <f t="shared" ca="1" si="192"/>
        <v>30</v>
      </c>
      <c r="AM602" s="15">
        <f t="shared" ca="1" si="192"/>
        <v>12</v>
      </c>
      <c r="AN602" s="15">
        <f t="shared" ca="1" si="192"/>
        <v>22</v>
      </c>
      <c r="AO602" s="15">
        <f t="shared" ca="1" si="192"/>
        <v>11</v>
      </c>
      <c r="AP602" s="15">
        <f t="shared" ca="1" si="192"/>
        <v>17</v>
      </c>
      <c r="AQ602" s="15">
        <f t="shared" ca="1" si="192"/>
        <v>17</v>
      </c>
      <c r="AR602" s="15">
        <f t="shared" ca="1" si="192"/>
        <v>11</v>
      </c>
      <c r="AS602" s="16">
        <f t="shared" ca="1" si="192"/>
        <v>11</v>
      </c>
      <c r="AT602" s="13"/>
      <c r="AU602" s="15">
        <f ca="1">CELL("largeur",AU602)</f>
        <v>15</v>
      </c>
      <c r="CO602" s="5">
        <v>1</v>
      </c>
    </row>
    <row r="603" spans="1:95" ht="15.75" thickBot="1">
      <c r="A603" s="12">
        <v>7</v>
      </c>
      <c r="B603" s="12">
        <v>7</v>
      </c>
      <c r="C603" s="12">
        <v>7</v>
      </c>
      <c r="D603" s="12">
        <v>7</v>
      </c>
      <c r="E603" s="12">
        <v>7</v>
      </c>
      <c r="F603" s="12">
        <v>7</v>
      </c>
      <c r="G603" s="12">
        <v>7</v>
      </c>
      <c r="H603" s="12">
        <v>7</v>
      </c>
      <c r="I603" s="12">
        <v>7</v>
      </c>
      <c r="J603" s="12">
        <v>7</v>
      </c>
      <c r="K603" s="12">
        <v>7</v>
      </c>
      <c r="L603" s="12">
        <v>7</v>
      </c>
      <c r="M603" s="12">
        <v>7</v>
      </c>
      <c r="N603" s="12">
        <v>7</v>
      </c>
      <c r="O603" s="12">
        <v>7</v>
      </c>
      <c r="P603" s="12">
        <v>7</v>
      </c>
      <c r="Q603" s="12">
        <v>7</v>
      </c>
      <c r="R603" s="12">
        <v>7</v>
      </c>
      <c r="S603" s="12">
        <v>7</v>
      </c>
      <c r="T603" s="12">
        <v>7</v>
      </c>
      <c r="U603" s="12">
        <v>7</v>
      </c>
      <c r="V603" s="12">
        <v>8</v>
      </c>
      <c r="W603" s="12">
        <v>9</v>
      </c>
      <c r="X603" s="12">
        <v>10</v>
      </c>
      <c r="Y603" s="12">
        <v>11</v>
      </c>
      <c r="Z603" s="12">
        <v>11</v>
      </c>
      <c r="AA603" s="12">
        <v>3</v>
      </c>
      <c r="AB603" s="12">
        <v>11</v>
      </c>
      <c r="AC603" s="12">
        <v>11</v>
      </c>
      <c r="AD603" s="12">
        <v>12</v>
      </c>
      <c r="AE603" s="12">
        <v>40</v>
      </c>
      <c r="AF603" s="12">
        <v>41</v>
      </c>
      <c r="AG603" s="12">
        <v>42</v>
      </c>
      <c r="AH603" s="12">
        <v>43</v>
      </c>
      <c r="AI603" s="12">
        <v>44</v>
      </c>
      <c r="AJ603" s="12">
        <v>45</v>
      </c>
      <c r="AK603" s="12">
        <v>46</v>
      </c>
      <c r="AL603" s="12">
        <v>47</v>
      </c>
      <c r="AM603" s="12">
        <v>48</v>
      </c>
      <c r="AN603" s="12">
        <v>49</v>
      </c>
      <c r="AO603" s="12">
        <v>50</v>
      </c>
      <c r="AP603" s="12">
        <v>51</v>
      </c>
      <c r="AQ603" s="12">
        <v>52</v>
      </c>
      <c r="AR603" s="12">
        <v>53</v>
      </c>
      <c r="AS603" s="14">
        <v>54</v>
      </c>
      <c r="AT603" s="13"/>
      <c r="AU603" s="12">
        <v>56</v>
      </c>
      <c r="CO603" s="5">
        <v>1</v>
      </c>
    </row>
    <row r="604" spans="1:95">
      <c r="A604"/>
      <c r="B604"/>
      <c r="C604"/>
      <c r="D604"/>
      <c r="E604"/>
      <c r="F604"/>
      <c r="G604"/>
      <c r="I604"/>
      <c r="J604"/>
      <c r="K604"/>
      <c r="L604"/>
      <c r="M604"/>
      <c r="N604"/>
      <c r="O604"/>
      <c r="P604"/>
      <c r="Q604"/>
      <c r="R604"/>
      <c r="S604"/>
      <c r="T604"/>
      <c r="AG604" s="6"/>
      <c r="AH604" s="6"/>
      <c r="AI604" s="6"/>
      <c r="AJ604" s="6"/>
      <c r="AK604" s="6"/>
      <c r="AL604" s="6"/>
      <c r="AM604" s="6"/>
      <c r="AN604" s="6"/>
      <c r="AO604" s="6"/>
      <c r="AP604" s="6"/>
      <c r="AQ604" s="6"/>
      <c r="AR604" s="6"/>
      <c r="AS604" s="6"/>
      <c r="AT604" s="6"/>
      <c r="AU604" s="6"/>
      <c r="AV604" s="6"/>
      <c r="AW604" s="6"/>
      <c r="AX604" s="6"/>
      <c r="CN604" s="11" t="str">
        <f>ADDRESS(ROW(),COLUMN(),4)</f>
        <v>CN604</v>
      </c>
      <c r="CO604" s="10" t="s">
        <v>0</v>
      </c>
    </row>
    <row r="605" spans="1:95">
      <c r="A605" s="5">
        <v>1</v>
      </c>
      <c r="B605" s="5">
        <v>1</v>
      </c>
      <c r="C605" s="5">
        <v>1</v>
      </c>
      <c r="D605" s="5">
        <v>1</v>
      </c>
      <c r="E605" s="5">
        <v>1</v>
      </c>
      <c r="F605" s="5">
        <v>1</v>
      </c>
      <c r="G605" s="5">
        <v>1</v>
      </c>
      <c r="H605" s="5">
        <v>1</v>
      </c>
      <c r="I605" s="5">
        <v>1</v>
      </c>
      <c r="J605" s="5">
        <v>1</v>
      </c>
      <c r="K605" s="5">
        <v>1</v>
      </c>
      <c r="L605" s="5">
        <v>1</v>
      </c>
      <c r="M605" s="5">
        <v>1</v>
      </c>
      <c r="N605" s="5">
        <v>1</v>
      </c>
      <c r="O605" s="5">
        <v>1</v>
      </c>
      <c r="P605" s="5">
        <v>1</v>
      </c>
      <c r="Q605" s="5">
        <v>1</v>
      </c>
      <c r="R605" s="5">
        <v>1</v>
      </c>
      <c r="S605" s="5">
        <v>1</v>
      </c>
      <c r="T605" s="5">
        <v>1</v>
      </c>
      <c r="U605" s="5">
        <v>1</v>
      </c>
      <c r="V605" s="5">
        <v>1</v>
      </c>
      <c r="W605" s="5">
        <v>1</v>
      </c>
      <c r="X605" s="5">
        <v>1</v>
      </c>
      <c r="Y605" s="5">
        <v>1</v>
      </c>
      <c r="Z605" s="5">
        <v>1</v>
      </c>
      <c r="AA605" s="5">
        <v>1</v>
      </c>
      <c r="AB605" s="5">
        <v>1</v>
      </c>
      <c r="AC605" s="5">
        <v>1</v>
      </c>
      <c r="AD605" s="5">
        <v>1</v>
      </c>
      <c r="AE605" s="5">
        <v>1</v>
      </c>
      <c r="AF605" s="5">
        <v>1</v>
      </c>
      <c r="AG605" s="5">
        <v>1</v>
      </c>
      <c r="AH605" s="5">
        <v>1</v>
      </c>
      <c r="AI605" s="5">
        <v>1</v>
      </c>
      <c r="AJ605" s="5">
        <v>1</v>
      </c>
      <c r="AK605" s="5">
        <v>1</v>
      </c>
      <c r="AL605" s="5">
        <v>1</v>
      </c>
      <c r="AM605" s="5">
        <v>1</v>
      </c>
      <c r="AN605" s="5">
        <v>1</v>
      </c>
      <c r="AO605" s="5">
        <v>1</v>
      </c>
      <c r="AP605" s="5">
        <v>1</v>
      </c>
      <c r="AQ605" s="5">
        <v>1</v>
      </c>
      <c r="AR605" s="5">
        <v>1</v>
      </c>
      <c r="AS605" s="5">
        <v>1</v>
      </c>
      <c r="AT605" s="5">
        <v>1</v>
      </c>
      <c r="AU605" s="5">
        <v>1</v>
      </c>
      <c r="AV605" s="5">
        <v>1</v>
      </c>
      <c r="AW605" s="5">
        <v>1</v>
      </c>
      <c r="AX605" s="5">
        <v>1</v>
      </c>
      <c r="AY605" s="5">
        <v>1</v>
      </c>
      <c r="AZ605" s="5">
        <v>1</v>
      </c>
      <c r="BA605" s="5">
        <v>1</v>
      </c>
      <c r="BB605" s="5">
        <v>1</v>
      </c>
      <c r="BC605" s="5">
        <v>1</v>
      </c>
      <c r="BD605" s="5">
        <v>1</v>
      </c>
      <c r="BE605" s="5">
        <v>1</v>
      </c>
      <c r="BF605" s="5">
        <v>1</v>
      </c>
      <c r="BG605" s="5">
        <v>1</v>
      </c>
      <c r="BH605" s="5">
        <v>1</v>
      </c>
      <c r="BI605" s="5">
        <v>1</v>
      </c>
      <c r="BJ605" s="5">
        <v>1</v>
      </c>
      <c r="BK605" s="5">
        <v>1</v>
      </c>
      <c r="BL605" s="5">
        <v>1</v>
      </c>
      <c r="BM605" s="5">
        <v>1</v>
      </c>
      <c r="BN605" s="5">
        <v>1</v>
      </c>
      <c r="BO605" s="5">
        <v>1</v>
      </c>
      <c r="BP605" s="5">
        <v>1</v>
      </c>
      <c r="BQ605" s="5">
        <v>1</v>
      </c>
      <c r="BR605" s="5">
        <v>1</v>
      </c>
      <c r="BS605" s="5">
        <v>1</v>
      </c>
      <c r="CN605" s="5">
        <v>1</v>
      </c>
      <c r="CO605" s="9" t="str">
        <f>ADDRESS(ROW(),COLUMN(),4)</f>
        <v>CO605</v>
      </c>
      <c r="CP605" s="8"/>
      <c r="CQ605" s="7" t="str">
        <f>ADDRESS(ROW(),COLUMN(),4)</f>
        <v>CQ605</v>
      </c>
    </row>
    <row r="613" spans="72:91">
      <c r="BT613" s="5">
        <v>1</v>
      </c>
      <c r="BU613" s="5">
        <v>1</v>
      </c>
      <c r="BV613" s="5">
        <v>1</v>
      </c>
      <c r="BW613" s="5">
        <v>1</v>
      </c>
      <c r="BX613" s="5">
        <v>1</v>
      </c>
      <c r="BY613" s="5">
        <v>1</v>
      </c>
      <c r="BZ613" s="5">
        <v>1</v>
      </c>
      <c r="CA613" s="5">
        <v>1</v>
      </c>
      <c r="CB613" s="5">
        <v>1</v>
      </c>
      <c r="CC613" s="5">
        <v>1</v>
      </c>
      <c r="CD613" s="5">
        <v>1</v>
      </c>
      <c r="CE613" s="5">
        <v>1</v>
      </c>
      <c r="CF613" s="5">
        <v>1</v>
      </c>
      <c r="CG613" s="5">
        <v>1</v>
      </c>
      <c r="CH613" s="5">
        <v>1</v>
      </c>
      <c r="CI613" s="5">
        <v>1</v>
      </c>
      <c r="CJ613" s="5">
        <v>1</v>
      </c>
      <c r="CK613" s="5">
        <v>1</v>
      </c>
      <c r="CL613" s="5">
        <v>1</v>
      </c>
      <c r="CM613" s="5">
        <v>1</v>
      </c>
    </row>
  </sheetData>
  <mergeCells count="47">
    <mergeCell ref="O49:Q49"/>
    <mergeCell ref="Q22:S23"/>
    <mergeCell ref="O25:Q25"/>
    <mergeCell ref="O43:P44"/>
    <mergeCell ref="Q43:S44"/>
    <mergeCell ref="Q46:S47"/>
    <mergeCell ref="BC85:BJ85"/>
    <mergeCell ref="BC40:BJ41"/>
    <mergeCell ref="BC42:BJ42"/>
    <mergeCell ref="BC43:BH43"/>
    <mergeCell ref="BC95:BD98"/>
    <mergeCell ref="BC86:BJ86"/>
    <mergeCell ref="BG87:BJ90"/>
    <mergeCell ref="BE90:BE91"/>
    <mergeCell ref="BG91:BJ93"/>
    <mergeCell ref="BE92:BE93"/>
    <mergeCell ref="BC21:BJ21"/>
    <mergeCell ref="AC22:AE23"/>
    <mergeCell ref="AA25:AC25"/>
    <mergeCell ref="AB27:AB28"/>
    <mergeCell ref="AC27:AC28"/>
    <mergeCell ref="AD27:AD28"/>
    <mergeCell ref="AI27:AI28"/>
    <mergeCell ref="AJ27:AJ28"/>
    <mergeCell ref="AK27:AK28"/>
    <mergeCell ref="AL27:AL28"/>
    <mergeCell ref="AO27:AO28"/>
    <mergeCell ref="AP27:AP28"/>
    <mergeCell ref="B19:G20"/>
    <mergeCell ref="AA19:AB20"/>
    <mergeCell ref="AC19:AE20"/>
    <mergeCell ref="AI19:AI20"/>
    <mergeCell ref="AJ19:AJ20"/>
    <mergeCell ref="O19:P20"/>
    <mergeCell ref="Q19:S20"/>
    <mergeCell ref="BT19:BY20"/>
    <mergeCell ref="CA19:CF20"/>
    <mergeCell ref="CH19:CM20"/>
    <mergeCell ref="BC19:BJ20"/>
    <mergeCell ref="I3:I14"/>
    <mergeCell ref="AK19:AK20"/>
    <mergeCell ref="AL19:AL20"/>
    <mergeCell ref="AO19:AO20"/>
    <mergeCell ref="AP19:AP20"/>
    <mergeCell ref="AU19:AU20"/>
    <mergeCell ref="U17:AE18"/>
    <mergeCell ref="I17:S18"/>
  </mergeCells>
  <conditionalFormatting sqref="AD29:AD70">
    <cfRule type="cellIs" dxfId="106" priority="2" operator="notEqual">
      <formula>1</formula>
    </cfRule>
  </conditionalFormatting>
  <conditionalFormatting sqref="BD72">
    <cfRule type="expression" dxfId="105" priority="3">
      <formula>"si($W$45&lt;&gt;0"</formula>
    </cfRule>
  </conditionalFormatting>
  <hyperlinks>
    <hyperlink ref="BF39" r:id="rId1" xr:uid="{53F8BDD3-8F58-4F11-A2B4-E12A7EC10196}"/>
    <hyperlink ref="BN90" r:id="rId2" xr:uid="{46466ECE-5401-4F86-9DB4-593B0A2A3821}"/>
    <hyperlink ref="BN97" r:id="rId3" xr:uid="{0618A800-51B3-4513-9396-0F91B8CF43F5}"/>
    <hyperlink ref="AK6" r:id="rId4" xr:uid="{54955B0E-FD47-4310-853A-330199671365}"/>
    <hyperlink ref="AK12" r:id="rId5" xr:uid="{6048A33F-EA11-4A12-B120-C27AFEA1ACFB}"/>
  </hyperlinks>
  <pageMargins left="0.7" right="0.7" top="0.75" bottom="0.75" header="0.3" footer="0.3"/>
  <pageSetup paperSize="9" orientation="portrait" r:id="rId6"/>
  <drawing r:id="rId7"/>
  <legacyDrawing r:id="rId8"/>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82AD-9909-4454-9E83-6939C6623AFE}">
  <dimension ref="A1:BY362"/>
  <sheetViews>
    <sheetView topLeftCell="F13" zoomScaleNormal="100" workbookViewId="0">
      <selection activeCell="BT35" sqref="BT35"/>
    </sheetView>
  </sheetViews>
  <sheetFormatPr baseColWidth="10" defaultRowHeight="15"/>
  <cols>
    <col min="2" max="2" width="3.7109375" customWidth="1"/>
    <col min="3" max="5" width="2.710937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4" max="14" width="3.7109375" customWidth="1"/>
    <col min="15" max="17" width="2.7109375" customWidth="1"/>
    <col min="18" max="19" width="11.7109375" customWidth="1"/>
    <col min="20" max="20" width="3.7109375" customWidth="1"/>
    <col min="21" max="21" width="11.7109375" customWidth="1"/>
    <col min="22" max="22" width="11.85546875" customWidth="1"/>
    <col min="23" max="23" width="12.7109375" customWidth="1"/>
    <col min="24" max="24" width="40.7109375" customWidth="1"/>
    <col min="26" max="26" width="3.7109375" customWidth="1"/>
    <col min="27" max="29" width="2.7109375" customWidth="1"/>
    <col min="30" max="31" width="11.7109375" customWidth="1"/>
    <col min="32" max="32" width="3.7109375" customWidth="1"/>
    <col min="33" max="34" width="11.7109375" customWidth="1"/>
    <col min="35" max="35" width="12.7109375" customWidth="1"/>
    <col min="36" max="36" width="40.7109375" customWidth="1"/>
    <col min="38" max="38" width="3.7109375" customWidth="1"/>
    <col min="39" max="41" width="2.7109375" customWidth="1"/>
    <col min="42" max="43" width="11.7109375" customWidth="1"/>
    <col min="44" max="44" width="3.7109375" customWidth="1"/>
    <col min="45" max="46" width="11.7109375" customWidth="1"/>
    <col min="47" max="47" width="12.7109375" customWidth="1"/>
    <col min="48" max="48" width="40.7109375" customWidth="1"/>
    <col min="50" max="50" width="3.7109375" customWidth="1"/>
    <col min="51" max="53" width="2.7109375" customWidth="1"/>
    <col min="54" max="55" width="11.7109375" customWidth="1"/>
    <col min="56" max="56" width="3.7109375" customWidth="1"/>
    <col min="57" max="58" width="11.7109375" customWidth="1"/>
    <col min="59" max="59" width="12.7109375" customWidth="1"/>
    <col min="60" max="60" width="40.7109375" customWidth="1"/>
    <col min="62" max="62" width="19.7109375" style="2" customWidth="1"/>
    <col min="63" max="63" width="19" style="2" customWidth="1"/>
    <col min="64" max="64" width="25.7109375" style="2" customWidth="1"/>
    <col min="65" max="65" width="16.7109375" style="2" customWidth="1"/>
    <col min="66" max="66" width="3.7109375" style="3" customWidth="1"/>
    <col min="67" max="67" width="19.7109375" customWidth="1"/>
    <col min="68" max="68" width="18.7109375" customWidth="1"/>
    <col min="69" max="69" width="25.7109375" customWidth="1"/>
    <col min="70" max="70" width="16.7109375" customWidth="1"/>
    <col min="71" max="71" width="17" bestFit="1" customWidth="1"/>
    <col min="72" max="72" width="11.7109375" customWidth="1"/>
    <col min="73" max="73" width="28" customWidth="1"/>
    <col min="74" max="74" width="11.42578125" style="2"/>
    <col min="75" max="75" width="8.7109375" style="2" customWidth="1"/>
    <col min="76" max="76" width="11.42578125" style="1"/>
    <col min="77" max="77" width="43.5703125" style="1" customWidth="1"/>
  </cols>
  <sheetData>
    <row r="1" spans="1:77" ht="15.75" thickTop="1">
      <c r="A1" s="9" t="str">
        <f>ADDRESS(ROW(),COLUMN(),4)</f>
        <v>A1</v>
      </c>
      <c r="B1" s="445" t="str">
        <f t="shared" ref="B1:L1" si="0">SUBSTITUTE(ADDRESS(1,COLUMN(),4),"1","")</f>
        <v>B</v>
      </c>
      <c r="C1" s="445" t="str">
        <f t="shared" si="0"/>
        <v>C</v>
      </c>
      <c r="D1" s="445" t="str">
        <f t="shared" si="0"/>
        <v>D</v>
      </c>
      <c r="E1" s="445" t="str">
        <f t="shared" si="0"/>
        <v>E</v>
      </c>
      <c r="F1" s="445" t="str">
        <f t="shared" si="0"/>
        <v>F</v>
      </c>
      <c r="G1" s="445" t="str">
        <f t="shared" si="0"/>
        <v>G</v>
      </c>
      <c r="H1" s="445" t="str">
        <f t="shared" si="0"/>
        <v>H</v>
      </c>
      <c r="I1" s="445" t="str">
        <f t="shared" si="0"/>
        <v>I</v>
      </c>
      <c r="J1" s="445" t="str">
        <f t="shared" si="0"/>
        <v>J</v>
      </c>
      <c r="K1" s="445" t="str">
        <f t="shared" si="0"/>
        <v>K</v>
      </c>
      <c r="L1" s="445" t="str">
        <f t="shared" si="0"/>
        <v>L</v>
      </c>
      <c r="N1" s="445" t="str">
        <f t="shared" ref="N1:AJ1" si="1">SUBSTITUTE(ADDRESS(1,COLUMN(),4),"1","")</f>
        <v>N</v>
      </c>
      <c r="O1" s="445" t="str">
        <f t="shared" si="1"/>
        <v>O</v>
      </c>
      <c r="P1" s="445" t="str">
        <f t="shared" si="1"/>
        <v>P</v>
      </c>
      <c r="Q1" s="445" t="str">
        <f t="shared" si="1"/>
        <v>Q</v>
      </c>
      <c r="R1" s="445" t="str">
        <f t="shared" si="1"/>
        <v>R</v>
      </c>
      <c r="S1" s="445" t="str">
        <f t="shared" si="1"/>
        <v>S</v>
      </c>
      <c r="T1" s="445" t="str">
        <f t="shared" si="1"/>
        <v>T</v>
      </c>
      <c r="U1" s="445" t="str">
        <f t="shared" si="1"/>
        <v>U</v>
      </c>
      <c r="V1" s="445" t="str">
        <f t="shared" si="1"/>
        <v>V</v>
      </c>
      <c r="W1" s="445" t="str">
        <f t="shared" si="1"/>
        <v>W</v>
      </c>
      <c r="X1" s="445" t="str">
        <f t="shared" si="1"/>
        <v>X</v>
      </c>
      <c r="Z1" s="445" t="str">
        <f t="shared" si="1"/>
        <v>Z</v>
      </c>
      <c r="AA1" s="445" t="str">
        <f t="shared" si="1"/>
        <v>AA</v>
      </c>
      <c r="AB1" s="445" t="str">
        <f t="shared" si="1"/>
        <v>AB</v>
      </c>
      <c r="AC1" s="445" t="str">
        <f t="shared" si="1"/>
        <v>AC</v>
      </c>
      <c r="AD1" s="445" t="str">
        <f t="shared" si="1"/>
        <v>AD</v>
      </c>
      <c r="AE1" s="445" t="str">
        <f t="shared" si="1"/>
        <v>AE</v>
      </c>
      <c r="AF1" s="445" t="str">
        <f t="shared" si="1"/>
        <v>AF</v>
      </c>
      <c r="AG1" s="445" t="str">
        <f t="shared" si="1"/>
        <v>AG</v>
      </c>
      <c r="AH1" s="445" t="str">
        <f t="shared" si="1"/>
        <v>AH</v>
      </c>
      <c r="AI1" s="445" t="str">
        <f t="shared" si="1"/>
        <v>AI</v>
      </c>
      <c r="AJ1" s="445" t="str">
        <f t="shared" si="1"/>
        <v>AJ</v>
      </c>
      <c r="AL1" s="445" t="str">
        <f>SUBSTITUTE(ADDRESS(1,COLUMN(),4),"1","")</f>
        <v>AL</v>
      </c>
      <c r="AM1" s="445" t="str">
        <f t="shared" ref="AM1:AV1" si="2">SUBSTITUTE(ADDRESS(1,COLUMN(),4),"1","")</f>
        <v>AM</v>
      </c>
      <c r="AN1" s="445" t="str">
        <f t="shared" si="2"/>
        <v>AN</v>
      </c>
      <c r="AO1" s="445" t="str">
        <f t="shared" si="2"/>
        <v>AO</v>
      </c>
      <c r="AP1" s="445" t="str">
        <f t="shared" si="2"/>
        <v>AP</v>
      </c>
      <c r="AQ1" s="445" t="str">
        <f t="shared" si="2"/>
        <v>AQ</v>
      </c>
      <c r="AR1" s="445" t="str">
        <f t="shared" si="2"/>
        <v>AR</v>
      </c>
      <c r="AS1" s="445" t="str">
        <f t="shared" si="2"/>
        <v>AS</v>
      </c>
      <c r="AT1" s="445" t="str">
        <f t="shared" si="2"/>
        <v>AT</v>
      </c>
      <c r="AU1" s="445" t="str">
        <f t="shared" si="2"/>
        <v>AU</v>
      </c>
      <c r="AV1" s="445" t="str">
        <f t="shared" si="2"/>
        <v>AV</v>
      </c>
      <c r="AX1" s="445" t="str">
        <f>SUBSTITUTE(ADDRESS(1,COLUMN(),4),"1","")</f>
        <v>AX</v>
      </c>
      <c r="AY1" s="445" t="str">
        <f t="shared" ref="AY1:BH1" si="3">SUBSTITUTE(ADDRESS(1,COLUMN(),4),"1","")</f>
        <v>AY</v>
      </c>
      <c r="AZ1" s="445" t="str">
        <f t="shared" si="3"/>
        <v>AZ</v>
      </c>
      <c r="BA1" s="445" t="str">
        <f t="shared" si="3"/>
        <v>BA</v>
      </c>
      <c r="BB1" s="445" t="str">
        <f t="shared" si="3"/>
        <v>BB</v>
      </c>
      <c r="BC1" s="445" t="str">
        <f t="shared" si="3"/>
        <v>BC</v>
      </c>
      <c r="BD1" s="445" t="str">
        <f t="shared" si="3"/>
        <v>BD</v>
      </c>
      <c r="BE1" s="445" t="str">
        <f t="shared" si="3"/>
        <v>BE</v>
      </c>
      <c r="BF1" s="445" t="str">
        <f t="shared" si="3"/>
        <v>BF</v>
      </c>
      <c r="BG1" s="445" t="str">
        <f t="shared" si="3"/>
        <v>BG</v>
      </c>
      <c r="BH1" s="445" t="str">
        <f t="shared" si="3"/>
        <v>BH</v>
      </c>
      <c r="BJ1" s="444" t="str">
        <f>SUBSTITUTE(ADDRESS(1,COLUMN(),4),"1","")</f>
        <v>BJ</v>
      </c>
      <c r="BK1" s="444" t="str">
        <f>SUBSTITUTE(ADDRESS(1,COLUMN(),4),"1","")</f>
        <v>BK</v>
      </c>
      <c r="BL1" s="444" t="str">
        <f>SUBSTITUTE(ADDRESS(1,COLUMN(),4),"1","")</f>
        <v>BL</v>
      </c>
      <c r="BM1" s="444" t="str">
        <f>SUBSTITUTE(ADDRESS(1,COLUMN(),4),"1","")</f>
        <v>BM</v>
      </c>
      <c r="BN1" s="62"/>
      <c r="BO1" s="444" t="str">
        <f t="shared" ref="BO1:BU1" si="4">SUBSTITUTE(ADDRESS(1,COLUMN(),4),"1","")</f>
        <v>BO</v>
      </c>
      <c r="BP1" s="444" t="str">
        <f t="shared" si="4"/>
        <v>BP</v>
      </c>
      <c r="BQ1" s="444" t="str">
        <f t="shared" si="4"/>
        <v>BQ</v>
      </c>
      <c r="BR1" s="444" t="str">
        <f t="shared" si="4"/>
        <v>BR</v>
      </c>
      <c r="BS1" s="444" t="str">
        <f t="shared" si="4"/>
        <v>BS</v>
      </c>
      <c r="BT1" s="444" t="str">
        <f t="shared" si="4"/>
        <v>BT</v>
      </c>
      <c r="BU1" s="444" t="str">
        <f t="shared" si="4"/>
        <v>BU</v>
      </c>
      <c r="BW1" s="5">
        <v>1</v>
      </c>
      <c r="BX1" s="5443" t="str">
        <f>SUBSTITUTE(ADDRESS(1,COLUMN(),4),"1","")</f>
        <v>BX</v>
      </c>
      <c r="BY1" s="5442" t="str">
        <f>SUBSTITUTE(ADDRESS(1,COLUMN(),4),"1","")</f>
        <v>BY</v>
      </c>
    </row>
    <row r="2" spans="1:77" ht="15.75" thickBot="1">
      <c r="B2" s="441">
        <f t="shared" ref="B2:L2" ca="1" si="5">CELL("largeur",B2)</f>
        <v>3</v>
      </c>
      <c r="C2" s="441">
        <f t="shared" ca="1" si="5"/>
        <v>2</v>
      </c>
      <c r="D2" s="441">
        <f t="shared" ca="1" si="5"/>
        <v>2</v>
      </c>
      <c r="E2" s="441">
        <f t="shared" ca="1" si="5"/>
        <v>2</v>
      </c>
      <c r="F2" s="441">
        <f t="shared" ca="1" si="5"/>
        <v>11</v>
      </c>
      <c r="G2" s="441">
        <f t="shared" ca="1" si="5"/>
        <v>11</v>
      </c>
      <c r="H2" s="441">
        <f t="shared" ca="1" si="5"/>
        <v>3</v>
      </c>
      <c r="I2" s="441">
        <f t="shared" ca="1" si="5"/>
        <v>11</v>
      </c>
      <c r="J2" s="441">
        <f t="shared" ca="1" si="5"/>
        <v>11</v>
      </c>
      <c r="K2" s="441">
        <f t="shared" ca="1" si="5"/>
        <v>12</v>
      </c>
      <c r="L2" s="441">
        <f t="shared" ca="1" si="5"/>
        <v>40</v>
      </c>
      <c r="N2" s="441">
        <f t="shared" ref="N2:X2" ca="1" si="6">CELL("largeur",N2)</f>
        <v>3</v>
      </c>
      <c r="O2" s="441">
        <f t="shared" ca="1" si="6"/>
        <v>2</v>
      </c>
      <c r="P2" s="441">
        <f t="shared" ca="1" si="6"/>
        <v>2</v>
      </c>
      <c r="Q2" s="441">
        <f t="shared" ca="1" si="6"/>
        <v>2</v>
      </c>
      <c r="R2" s="441">
        <f t="shared" ca="1" si="6"/>
        <v>11</v>
      </c>
      <c r="S2" s="441">
        <f t="shared" ca="1" si="6"/>
        <v>11</v>
      </c>
      <c r="T2" s="441">
        <f t="shared" ca="1" si="6"/>
        <v>3</v>
      </c>
      <c r="U2" s="441">
        <f t="shared" ca="1" si="6"/>
        <v>11</v>
      </c>
      <c r="V2" s="441">
        <f t="shared" ca="1" si="6"/>
        <v>11</v>
      </c>
      <c r="W2" s="441">
        <f t="shared" ca="1" si="6"/>
        <v>12</v>
      </c>
      <c r="X2" s="441">
        <f t="shared" ca="1" si="6"/>
        <v>40</v>
      </c>
      <c r="Z2" s="441">
        <v>3</v>
      </c>
      <c r="AA2" s="441">
        <v>2</v>
      </c>
      <c r="AB2" s="441">
        <v>2</v>
      </c>
      <c r="AC2" s="441">
        <v>2</v>
      </c>
      <c r="AD2" s="441">
        <v>11</v>
      </c>
      <c r="AE2" s="441">
        <v>11</v>
      </c>
      <c r="AF2" s="441">
        <v>3</v>
      </c>
      <c r="AG2" s="441">
        <v>11</v>
      </c>
      <c r="AH2" s="441">
        <v>11</v>
      </c>
      <c r="AI2" s="441">
        <v>12</v>
      </c>
      <c r="AJ2" s="441">
        <v>40</v>
      </c>
      <c r="AL2" s="1288">
        <f t="shared" ref="AL2:AV2" ca="1" si="7">CELL("largeur",AL2)</f>
        <v>3</v>
      </c>
      <c r="AM2" s="441">
        <f t="shared" ca="1" si="7"/>
        <v>2</v>
      </c>
      <c r="AN2" s="441">
        <f t="shared" ca="1" si="7"/>
        <v>2</v>
      </c>
      <c r="AO2" s="441">
        <f t="shared" ca="1" si="7"/>
        <v>2</v>
      </c>
      <c r="AP2" s="441">
        <f t="shared" ca="1" si="7"/>
        <v>11</v>
      </c>
      <c r="AQ2" s="441">
        <f t="shared" ca="1" si="7"/>
        <v>11</v>
      </c>
      <c r="AR2" s="441">
        <f t="shared" ca="1" si="7"/>
        <v>3</v>
      </c>
      <c r="AS2" s="441">
        <f t="shared" ca="1" si="7"/>
        <v>11</v>
      </c>
      <c r="AT2" s="441">
        <f t="shared" ca="1" si="7"/>
        <v>11</v>
      </c>
      <c r="AU2" s="441">
        <f t="shared" ca="1" si="7"/>
        <v>12</v>
      </c>
      <c r="AV2" s="441">
        <f t="shared" ca="1" si="7"/>
        <v>40</v>
      </c>
      <c r="AX2" s="1288">
        <f t="shared" ref="AX2:BH2" ca="1" si="8">CELL("largeur",AX2)</f>
        <v>3</v>
      </c>
      <c r="AY2" s="441">
        <f t="shared" ca="1" si="8"/>
        <v>2</v>
      </c>
      <c r="AZ2" s="441">
        <f t="shared" ca="1" si="8"/>
        <v>2</v>
      </c>
      <c r="BA2" s="441">
        <f t="shared" ca="1" si="8"/>
        <v>2</v>
      </c>
      <c r="BB2" s="441">
        <f t="shared" ca="1" si="8"/>
        <v>11</v>
      </c>
      <c r="BC2" s="441">
        <f t="shared" ca="1" si="8"/>
        <v>11</v>
      </c>
      <c r="BD2" s="441">
        <f t="shared" ca="1" si="8"/>
        <v>3</v>
      </c>
      <c r="BE2" s="441">
        <f t="shared" ca="1" si="8"/>
        <v>11</v>
      </c>
      <c r="BF2" s="441">
        <f t="shared" ca="1" si="8"/>
        <v>11</v>
      </c>
      <c r="BG2" s="441">
        <f t="shared" ca="1" si="8"/>
        <v>12</v>
      </c>
      <c r="BH2" s="441">
        <f t="shared" ca="1" si="8"/>
        <v>40</v>
      </c>
      <c r="BJ2" s="91">
        <f ca="1">CELL("largeur",BJ2)</f>
        <v>19</v>
      </c>
      <c r="BK2" s="91">
        <f ca="1">CELL("largeur",BK2)</f>
        <v>18</v>
      </c>
      <c r="BL2" s="91">
        <f ca="1">CELL("largeur",BL2)</f>
        <v>25</v>
      </c>
      <c r="BM2" s="91">
        <f ca="1">CELL("largeur",BM2)</f>
        <v>16</v>
      </c>
      <c r="BN2" s="62"/>
      <c r="BO2" s="91">
        <f t="shared" ref="BO2:BU2" ca="1" si="9">CELL("largeur",BO2)</f>
        <v>19</v>
      </c>
      <c r="BP2" s="91">
        <f t="shared" ca="1" si="9"/>
        <v>18</v>
      </c>
      <c r="BQ2" s="91">
        <f t="shared" ca="1" si="9"/>
        <v>25</v>
      </c>
      <c r="BR2" s="91">
        <f t="shared" ca="1" si="9"/>
        <v>16</v>
      </c>
      <c r="BS2" s="91">
        <f t="shared" ca="1" si="9"/>
        <v>16</v>
      </c>
      <c r="BT2" s="91">
        <f t="shared" ca="1" si="9"/>
        <v>11</v>
      </c>
      <c r="BU2" s="91">
        <f t="shared" ca="1" si="9"/>
        <v>27</v>
      </c>
      <c r="BW2" s="5">
        <v>1</v>
      </c>
      <c r="BX2" s="440"/>
      <c r="BY2" s="440" t="s">
        <v>295</v>
      </c>
    </row>
    <row r="3" spans="1:77" ht="21" customHeight="1">
      <c r="B3" s="7575" t="s">
        <v>252</v>
      </c>
      <c r="C3" s="439"/>
      <c r="D3" s="437"/>
      <c r="E3" s="437"/>
      <c r="F3" s="7719" t="s">
        <v>1081</v>
      </c>
      <c r="G3" s="7719"/>
      <c r="H3" s="7719"/>
      <c r="I3" s="7719"/>
      <c r="J3" s="7719"/>
      <c r="K3" s="7719"/>
      <c r="L3" s="7720"/>
      <c r="N3" s="7575" t="s">
        <v>252</v>
      </c>
      <c r="O3" s="438"/>
      <c r="P3" s="437"/>
      <c r="Q3" s="437"/>
      <c r="R3" s="7719" t="s">
        <v>1082</v>
      </c>
      <c r="S3" s="7719"/>
      <c r="T3" s="7719"/>
      <c r="U3" s="7719"/>
      <c r="V3" s="7719"/>
      <c r="W3" s="7719"/>
      <c r="X3" s="7720"/>
      <c r="Z3" s="7575" t="s">
        <v>252</v>
      </c>
      <c r="AA3" s="438"/>
      <c r="AB3" s="437"/>
      <c r="AC3" s="437"/>
      <c r="AD3" s="7719" t="s">
        <v>1083</v>
      </c>
      <c r="AE3" s="7719"/>
      <c r="AF3" s="7719"/>
      <c r="AG3" s="7719"/>
      <c r="AH3" s="7719"/>
      <c r="AI3" s="7719"/>
      <c r="AJ3" s="7720"/>
      <c r="AL3" s="7575" t="s">
        <v>252</v>
      </c>
      <c r="AM3" s="438"/>
      <c r="AN3" s="437"/>
      <c r="AO3" s="437"/>
      <c r="AP3" s="7719" t="s">
        <v>1084</v>
      </c>
      <c r="AQ3" s="7719"/>
      <c r="AR3" s="7719"/>
      <c r="AS3" s="7719"/>
      <c r="AT3" s="7719"/>
      <c r="AU3" s="7719"/>
      <c r="AV3" s="7720"/>
      <c r="AX3" s="7575" t="s">
        <v>252</v>
      </c>
      <c r="AY3" s="438"/>
      <c r="AZ3" s="437"/>
      <c r="BA3" s="437"/>
      <c r="BB3" s="7719" t="s">
        <v>1085</v>
      </c>
      <c r="BC3" s="7719"/>
      <c r="BD3" s="7719"/>
      <c r="BE3" s="7719"/>
      <c r="BF3" s="7719"/>
      <c r="BG3" s="7719"/>
      <c r="BH3" s="7720"/>
      <c r="BN3" s="62"/>
      <c r="BO3" s="2"/>
      <c r="BP3" s="2"/>
      <c r="BQ3" s="2"/>
      <c r="BR3" s="2"/>
      <c r="BS3" s="2"/>
      <c r="BT3" s="2"/>
      <c r="BU3" s="2"/>
      <c r="BW3" s="5">
        <v>1</v>
      </c>
      <c r="BX3" s="430">
        <f ca="1">COUNTA(A1:BV361) + COUNTBLANK(A1:BV361)</f>
        <v>26856</v>
      </c>
      <c r="BY3" s="429" t="str">
        <f>"cellules entre"&amp;" " &amp;A1&amp;" et  "&amp;BW362</f>
        <v>cellules entre A1 et  BW362</v>
      </c>
    </row>
    <row r="4" spans="1:77" ht="21" customHeight="1">
      <c r="B4" s="7576"/>
      <c r="C4" s="419"/>
      <c r="D4" s="417"/>
      <c r="E4" s="417"/>
      <c r="F4" s="7721"/>
      <c r="G4" s="7721"/>
      <c r="H4" s="7721"/>
      <c r="I4" s="7721"/>
      <c r="J4" s="7721"/>
      <c r="K4" s="7721"/>
      <c r="L4" s="7722"/>
      <c r="N4" s="7576"/>
      <c r="O4" s="418"/>
      <c r="P4" s="417"/>
      <c r="Q4" s="417"/>
      <c r="R4" s="7721"/>
      <c r="S4" s="7721"/>
      <c r="T4" s="7721"/>
      <c r="U4" s="7721"/>
      <c r="V4" s="7721"/>
      <c r="W4" s="7721"/>
      <c r="X4" s="7722"/>
      <c r="Z4" s="7576"/>
      <c r="AA4" s="418"/>
      <c r="AB4" s="417"/>
      <c r="AC4" s="417"/>
      <c r="AD4" s="7721"/>
      <c r="AE4" s="7721"/>
      <c r="AF4" s="7721"/>
      <c r="AG4" s="7721"/>
      <c r="AH4" s="7721"/>
      <c r="AI4" s="7721"/>
      <c r="AJ4" s="7722"/>
      <c r="AL4" s="7576"/>
      <c r="AM4" s="418"/>
      <c r="AN4" s="417"/>
      <c r="AO4" s="417"/>
      <c r="AP4" s="7721"/>
      <c r="AQ4" s="7721"/>
      <c r="AR4" s="7721"/>
      <c r="AS4" s="7721"/>
      <c r="AT4" s="7721"/>
      <c r="AU4" s="7721"/>
      <c r="AV4" s="7722"/>
      <c r="AX4" s="7576"/>
      <c r="AY4" s="418"/>
      <c r="AZ4" s="417"/>
      <c r="BA4" s="417"/>
      <c r="BB4" s="7721"/>
      <c r="BC4" s="7721"/>
      <c r="BD4" s="7721"/>
      <c r="BE4" s="7721"/>
      <c r="BF4" s="7721"/>
      <c r="BG4" s="7721"/>
      <c r="BH4" s="7722"/>
      <c r="BN4" s="62"/>
      <c r="BO4" s="2"/>
      <c r="BP4" s="2"/>
      <c r="BQ4" s="2"/>
      <c r="BR4" s="2"/>
      <c r="BS4" s="2"/>
      <c r="BT4" s="2"/>
      <c r="BU4" s="2"/>
      <c r="BW4" s="5">
        <v>1</v>
      </c>
      <c r="BX4" s="430">
        <f ca="1">COUNTA(A1:BV361)</f>
        <v>5645</v>
      </c>
      <c r="BY4" s="429" t="s">
        <v>291</v>
      </c>
    </row>
    <row r="5" spans="1:77" ht="21.75" thickBot="1">
      <c r="B5" s="7577"/>
      <c r="C5" s="408"/>
      <c r="D5" s="406"/>
      <c r="E5" s="406"/>
      <c r="F5" s="404" t="s">
        <v>1086</v>
      </c>
      <c r="G5" s="404"/>
      <c r="H5" s="404"/>
      <c r="I5" s="404"/>
      <c r="J5" s="404"/>
      <c r="K5" s="404"/>
      <c r="L5" s="1289"/>
      <c r="N5" s="7577"/>
      <c r="O5" s="407"/>
      <c r="P5" s="406"/>
      <c r="Q5" s="406"/>
      <c r="R5" s="404" t="s">
        <v>1086</v>
      </c>
      <c r="S5" s="404"/>
      <c r="T5" s="404"/>
      <c r="U5" s="404"/>
      <c r="V5" s="404"/>
      <c r="W5" s="404"/>
      <c r="X5" s="1289"/>
      <c r="Z5" s="7577"/>
      <c r="AA5" s="407"/>
      <c r="AB5" s="406"/>
      <c r="AC5" s="406"/>
      <c r="AD5" s="404" t="s">
        <v>1086</v>
      </c>
      <c r="AE5" s="404"/>
      <c r="AF5" s="404"/>
      <c r="AG5" s="404"/>
      <c r="AH5" s="404"/>
      <c r="AI5" s="404"/>
      <c r="AJ5" s="1289"/>
      <c r="AL5" s="7577"/>
      <c r="AM5" s="407"/>
      <c r="AN5" s="406"/>
      <c r="AO5" s="406"/>
      <c r="AP5" s="404" t="s">
        <v>1086</v>
      </c>
      <c r="AQ5" s="404"/>
      <c r="AR5" s="404"/>
      <c r="AS5" s="404"/>
      <c r="AT5" s="404"/>
      <c r="AU5" s="404"/>
      <c r="AV5" s="1289"/>
      <c r="AX5" s="7577"/>
      <c r="AY5" s="407"/>
      <c r="AZ5" s="406"/>
      <c r="BA5" s="406"/>
      <c r="BB5" s="404" t="s">
        <v>1086</v>
      </c>
      <c r="BC5" s="404"/>
      <c r="BD5" s="404"/>
      <c r="BE5" s="404"/>
      <c r="BF5" s="404"/>
      <c r="BG5" s="404"/>
      <c r="BH5" s="1289"/>
      <c r="BN5" s="62"/>
      <c r="BO5" s="2"/>
      <c r="BP5" s="2"/>
      <c r="BQ5" s="2"/>
      <c r="BR5" s="2"/>
      <c r="BS5" s="2"/>
      <c r="BT5" s="2"/>
      <c r="BU5" s="2"/>
      <c r="BW5" s="5">
        <v>1</v>
      </c>
      <c r="BX5" s="430">
        <f ca="1">COUNTBLANK(A1:BV361)</f>
        <v>21211</v>
      </c>
      <c r="BY5" s="429" t="s">
        <v>288</v>
      </c>
    </row>
    <row r="6" spans="1:77" ht="16.5" thickBot="1">
      <c r="B6" s="141"/>
      <c r="C6" s="141"/>
      <c r="D6" s="141"/>
      <c r="E6" s="398" t="s">
        <v>269</v>
      </c>
      <c r="F6" s="397" t="str">
        <f ca="1">CELL("nomfichier")</f>
        <v>D:\Données\1.UPRT\0-UPRT.fait\1-UPRT.FR-SITE-WEB\ff-fiches-fabrications\ff.fiches.fabrication.2023\ffr.restaurant.2023\[ff.REPERTOIRE.600.LIGNES.15.xlsx]Differents.postits.FR.EN.ES</v>
      </c>
      <c r="G6" s="141"/>
      <c r="H6" s="141"/>
      <c r="I6" s="141"/>
      <c r="J6" s="141"/>
      <c r="K6" s="141"/>
      <c r="L6" s="141"/>
      <c r="N6" s="141"/>
      <c r="O6" s="141"/>
      <c r="P6" s="141"/>
      <c r="Q6" s="398" t="s">
        <v>269</v>
      </c>
      <c r="R6" s="397" t="str">
        <f ca="1">CELL("nomfichier")</f>
        <v>D:\Données\1.UPRT\0-UPRT.fait\1-UPRT.FR-SITE-WEB\ff-fiches-fabrications\ff.fiches.fabrication.2023\ffr.restaurant.2023\[ff.REPERTOIRE.600.LIGNES.15.xlsx]Differents.postits.FR.EN.ES</v>
      </c>
      <c r="S6" s="141"/>
      <c r="T6" s="141"/>
      <c r="U6" s="141"/>
      <c r="V6" s="141"/>
      <c r="W6" s="141"/>
      <c r="X6" s="141"/>
      <c r="Z6" s="141"/>
      <c r="AA6" s="141"/>
      <c r="AB6" s="141"/>
      <c r="AC6" s="398" t="s">
        <v>269</v>
      </c>
      <c r="AD6" s="397" t="str">
        <f ca="1">CELL("nomfichier")</f>
        <v>D:\Données\1.UPRT\0-UPRT.fait\1-UPRT.FR-SITE-WEB\ff-fiches-fabrications\ff.fiches.fabrication.2023\ffr.restaurant.2023\[ff.REPERTOIRE.600.LIGNES.15.xlsx]Differents.postits.FR.EN.ES</v>
      </c>
      <c r="AE6" s="141"/>
      <c r="AF6" s="141"/>
      <c r="AG6" s="141"/>
      <c r="AH6" s="141"/>
      <c r="AI6" s="141"/>
      <c r="AJ6" s="141"/>
      <c r="AL6" s="141"/>
      <c r="AM6" s="141"/>
      <c r="AN6" s="141"/>
      <c r="AO6" s="398" t="s">
        <v>269</v>
      </c>
      <c r="AP6" s="397" t="str">
        <f ca="1">CELL("nomfichier")</f>
        <v>D:\Données\1.UPRT\0-UPRT.fait\1-UPRT.FR-SITE-WEB\ff-fiches-fabrications\ff.fiches.fabrication.2023\ffr.restaurant.2023\[ff.REPERTOIRE.600.LIGNES.15.xlsx]Differents.postits.FR.EN.ES</v>
      </c>
      <c r="AQ6" s="141"/>
      <c r="AR6" s="141"/>
      <c r="AS6" s="141"/>
      <c r="AT6" s="141"/>
      <c r="AU6" s="141"/>
      <c r="AV6" s="141"/>
      <c r="AX6" s="141"/>
      <c r="AY6" s="141"/>
      <c r="AZ6" s="141"/>
      <c r="BA6" s="398" t="s">
        <v>269</v>
      </c>
      <c r="BB6" s="397" t="str">
        <f ca="1">CELL("nomfichier")</f>
        <v>D:\Données\1.UPRT\0-UPRT.fait\1-UPRT.FR-SITE-WEB\ff-fiches-fabrications\ff.fiches.fabrication.2023\ffr.restaurant.2023\[ff.REPERTOIRE.600.LIGNES.15.xlsx]Differents.postits.FR.EN.ES</v>
      </c>
      <c r="BC6" s="141"/>
      <c r="BD6" s="141"/>
      <c r="BE6" s="141"/>
      <c r="BF6" s="141"/>
      <c r="BG6" s="141"/>
      <c r="BH6" s="141"/>
      <c r="BN6" s="62"/>
      <c r="BO6" s="2"/>
      <c r="BP6" s="2"/>
      <c r="BQ6" s="2"/>
      <c r="BR6" s="2"/>
      <c r="BS6" s="2"/>
      <c r="BT6" s="2"/>
      <c r="BU6" s="2"/>
      <c r="BW6" s="5">
        <v>1</v>
      </c>
      <c r="BX6" s="430">
        <f>SUM(BW1:BW360)+2</f>
        <v>362</v>
      </c>
      <c r="BY6" s="429" t="s">
        <v>286</v>
      </c>
    </row>
    <row r="7" spans="1:77" ht="15.75">
      <c r="B7" s="5476" t="s">
        <v>1087</v>
      </c>
      <c r="C7" s="1290"/>
      <c r="D7" s="1291"/>
      <c r="E7" s="1291"/>
      <c r="F7" s="1291"/>
      <c r="G7" s="1291"/>
      <c r="H7" s="1291"/>
      <c r="I7" s="1292"/>
      <c r="J7" s="1293"/>
      <c r="K7" s="1291"/>
      <c r="L7" s="1294"/>
      <c r="N7" s="5476" t="s">
        <v>1087</v>
      </c>
      <c r="O7" s="1290"/>
      <c r="P7" s="1291"/>
      <c r="Q7" s="1291"/>
      <c r="R7" s="1291"/>
      <c r="S7" s="1291"/>
      <c r="T7" s="1291"/>
      <c r="U7" s="1292"/>
      <c r="V7" s="1293"/>
      <c r="W7" s="1291"/>
      <c r="X7" s="1294"/>
      <c r="Z7" s="5476" t="s">
        <v>1087</v>
      </c>
      <c r="AA7" s="1290"/>
      <c r="AB7" s="1291"/>
      <c r="AC7" s="1291"/>
      <c r="AD7" s="1291"/>
      <c r="AE7" s="1291"/>
      <c r="AF7" s="1291"/>
      <c r="AG7" s="1292"/>
      <c r="AH7" s="1293"/>
      <c r="AI7" s="1291"/>
      <c r="AJ7" s="1294"/>
      <c r="AL7" s="5476" t="s">
        <v>1087</v>
      </c>
      <c r="AM7" s="1290"/>
      <c r="AN7" s="1291"/>
      <c r="AO7" s="1291"/>
      <c r="AP7" s="1291"/>
      <c r="AQ7" s="1291"/>
      <c r="AR7" s="1291"/>
      <c r="AS7" s="1292"/>
      <c r="AT7" s="1293"/>
      <c r="AU7" s="1291"/>
      <c r="AV7" s="1294"/>
      <c r="AX7" s="5476" t="s">
        <v>1087</v>
      </c>
      <c r="AY7" s="1290"/>
      <c r="AZ7" s="1291"/>
      <c r="BA7" s="1291"/>
      <c r="BB7" s="1291"/>
      <c r="BC7" s="1291"/>
      <c r="BD7" s="1291"/>
      <c r="BE7" s="1292"/>
      <c r="BF7" s="1293"/>
      <c r="BG7" s="1291"/>
      <c r="BH7" s="1294"/>
      <c r="BN7" s="62"/>
      <c r="BV7"/>
      <c r="BW7" s="5">
        <v>1</v>
      </c>
      <c r="BX7" s="430">
        <f>SUM(A362:BV362)+1</f>
        <v>75</v>
      </c>
      <c r="BY7" s="429" t="s">
        <v>284</v>
      </c>
    </row>
    <row r="8" spans="1:77" ht="21">
      <c r="B8" s="1295" t="s">
        <v>26</v>
      </c>
      <c r="C8" s="1296" t="s">
        <v>1088</v>
      </c>
      <c r="D8" s="375"/>
      <c r="E8" s="375"/>
      <c r="F8" s="375"/>
      <c r="G8" s="371"/>
      <c r="H8" s="1159"/>
      <c r="J8" s="141"/>
      <c r="K8" s="1297"/>
      <c r="L8" s="1298"/>
      <c r="N8" s="1295" t="s">
        <v>26</v>
      </c>
      <c r="O8" s="1296" t="s">
        <v>1088</v>
      </c>
      <c r="P8" s="375"/>
      <c r="Q8" s="375"/>
      <c r="R8" s="375"/>
      <c r="S8" s="371"/>
      <c r="T8" s="1159"/>
      <c r="V8" s="141"/>
      <c r="W8" s="1297"/>
      <c r="X8" s="1298"/>
      <c r="Z8" s="1295" t="s">
        <v>26</v>
      </c>
      <c r="AA8" s="1296" t="s">
        <v>1088</v>
      </c>
      <c r="AB8" s="375"/>
      <c r="AC8" s="375"/>
      <c r="AD8" s="375"/>
      <c r="AE8" s="371"/>
      <c r="AF8" s="1159"/>
      <c r="AH8" s="141"/>
      <c r="AI8" s="1297"/>
      <c r="AJ8" s="1298"/>
      <c r="AL8" s="1295" t="s">
        <v>26</v>
      </c>
      <c r="AM8" s="1296" t="s">
        <v>1088</v>
      </c>
      <c r="AN8" s="375"/>
      <c r="AO8" s="375"/>
      <c r="AP8" s="375"/>
      <c r="AQ8" s="371"/>
      <c r="AR8" s="1159"/>
      <c r="AT8" s="141"/>
      <c r="AU8" s="1297"/>
      <c r="AV8" s="1298"/>
      <c r="AX8" s="1295" t="s">
        <v>26</v>
      </c>
      <c r="AY8" s="1296" t="s">
        <v>1088</v>
      </c>
      <c r="AZ8" s="375"/>
      <c r="BA8" s="375"/>
      <c r="BB8" s="375"/>
      <c r="BC8" s="371"/>
      <c r="BD8" s="1159"/>
      <c r="BE8" s="1297"/>
      <c r="BF8" s="141"/>
      <c r="BG8" s="382"/>
      <c r="BH8" s="1299"/>
      <c r="BN8" s="62"/>
      <c r="BV8"/>
      <c r="BW8" s="5">
        <v>1</v>
      </c>
    </row>
    <row r="9" spans="1:77" ht="15.75" customHeight="1" thickBot="1">
      <c r="B9" s="1300"/>
      <c r="C9" s="1300"/>
      <c r="D9" s="1300"/>
      <c r="E9" s="1300"/>
      <c r="F9" s="1300"/>
      <c r="G9" s="1300"/>
      <c r="H9" s="141"/>
      <c r="I9" s="141"/>
      <c r="J9" s="1300"/>
      <c r="K9" s="141"/>
      <c r="L9" s="141"/>
      <c r="N9" s="1300"/>
      <c r="O9" s="1300"/>
      <c r="P9" s="1300"/>
      <c r="Q9" s="1300"/>
      <c r="R9" s="1300"/>
      <c r="S9" s="1300"/>
      <c r="T9" s="141"/>
      <c r="U9" s="141"/>
      <c r="V9" s="1300"/>
      <c r="W9" s="141"/>
      <c r="X9" s="141"/>
      <c r="Z9" s="1300"/>
      <c r="AA9" s="1300"/>
      <c r="AB9" s="1300"/>
      <c r="AC9" s="1300"/>
      <c r="AD9" s="1300"/>
      <c r="AE9" s="1300"/>
      <c r="AF9" s="141"/>
      <c r="AG9" s="141"/>
      <c r="AH9" s="1300"/>
      <c r="AI9" s="141"/>
      <c r="AJ9" s="141"/>
      <c r="AL9" s="141"/>
      <c r="AM9" s="141"/>
      <c r="AN9" s="141"/>
      <c r="AO9" s="141"/>
      <c r="AP9" s="141"/>
      <c r="AQ9" s="141"/>
      <c r="AR9" s="141"/>
      <c r="AS9" s="141"/>
      <c r="AT9" s="141"/>
      <c r="AU9" s="141"/>
      <c r="AV9" s="141"/>
      <c r="AX9" s="141"/>
      <c r="AY9" s="141"/>
      <c r="AZ9" s="141"/>
      <c r="BA9" s="141"/>
      <c r="BB9" s="141"/>
      <c r="BC9" s="141"/>
      <c r="BD9" s="141"/>
      <c r="BE9" s="141"/>
      <c r="BF9" s="141"/>
      <c r="BG9" s="141"/>
      <c r="BH9" s="141"/>
      <c r="BN9" s="62"/>
      <c r="BO9" s="2"/>
      <c r="BP9" s="2"/>
      <c r="BQ9" s="2"/>
      <c r="BR9" s="2"/>
      <c r="BS9" s="2"/>
      <c r="BT9" s="2"/>
      <c r="BU9" s="2"/>
      <c r="BV9"/>
      <c r="BW9" s="5">
        <v>1</v>
      </c>
    </row>
    <row r="10" spans="1:77" ht="15.75" customHeight="1">
      <c r="B10" s="5465" t="s">
        <v>21</v>
      </c>
      <c r="C10" s="368" t="str">
        <f>C16</f>
        <v>Famille à coller.N.Nom de votre recette.Recette mère ►.S.Saisissez le nom de la recette mère</v>
      </c>
      <c r="D10" s="367">
        <f>D16</f>
        <v>6</v>
      </c>
      <c r="E10" s="367" t="str">
        <f>E16</f>
        <v>couverts</v>
      </c>
      <c r="F10" s="366" t="s">
        <v>1</v>
      </c>
      <c r="G10" s="365" t="s">
        <v>251</v>
      </c>
      <c r="H10" s="7648" t="s">
        <v>1089</v>
      </c>
      <c r="I10" s="7648"/>
      <c r="J10" s="7601" t="s">
        <v>1090</v>
      </c>
      <c r="K10" s="7601"/>
      <c r="L10" s="7602"/>
      <c r="N10" s="5465" t="s">
        <v>21</v>
      </c>
      <c r="O10" s="368" t="str">
        <f>O16</f>
        <v>Famille à coller.N.Nom de votre recette.Recette mère ►.S.Saisissez le nom de la recette mère</v>
      </c>
      <c r="P10" s="367">
        <f>P16</f>
        <v>6</v>
      </c>
      <c r="Q10" s="367" t="str">
        <f>Q16</f>
        <v>couverts</v>
      </c>
      <c r="R10" s="366" t="s">
        <v>1</v>
      </c>
      <c r="S10" s="365" t="s">
        <v>251</v>
      </c>
      <c r="T10" s="7648" t="s">
        <v>1089</v>
      </c>
      <c r="U10" s="7648"/>
      <c r="V10" s="7601" t="s">
        <v>1090</v>
      </c>
      <c r="W10" s="7601"/>
      <c r="X10" s="7602"/>
      <c r="Z10" s="5465" t="s">
        <v>21</v>
      </c>
      <c r="AA10" s="368" t="str">
        <f>AA16</f>
        <v>Famille à coller.N.Nom de votre recette.Recette mère ►.S.Saisissez le nom de la recette mère</v>
      </c>
      <c r="AB10" s="367">
        <f>AB16</f>
        <v>6</v>
      </c>
      <c r="AC10" s="367" t="str">
        <f>AC16</f>
        <v>couverts</v>
      </c>
      <c r="AD10" s="366" t="s">
        <v>1</v>
      </c>
      <c r="AE10" s="365" t="s">
        <v>251</v>
      </c>
      <c r="AF10" s="7648" t="s">
        <v>1089</v>
      </c>
      <c r="AG10" s="7648"/>
      <c r="AH10" s="7601" t="s">
        <v>1090</v>
      </c>
      <c r="AI10" s="7601"/>
      <c r="AJ10" s="7602"/>
      <c r="AL10" s="5465" t="s">
        <v>21</v>
      </c>
      <c r="AM10" s="368" t="str">
        <f>AM16</f>
        <v>Famille à coller.N.Nom de votre recette.Recette mère ►.S.Saisissez le nom de la recette mère</v>
      </c>
      <c r="AN10" s="367">
        <f>AN16</f>
        <v>6</v>
      </c>
      <c r="AO10" s="367" t="str">
        <f>AO16</f>
        <v>couverts</v>
      </c>
      <c r="AP10" s="366" t="s">
        <v>1</v>
      </c>
      <c r="AQ10" s="365" t="s">
        <v>251</v>
      </c>
      <c r="AR10" s="7648" t="s">
        <v>1089</v>
      </c>
      <c r="AS10" s="7648"/>
      <c r="AT10" s="7601" t="s">
        <v>1090</v>
      </c>
      <c r="AU10" s="7601"/>
      <c r="AV10" s="7602"/>
      <c r="AX10" s="5465" t="s">
        <v>21</v>
      </c>
      <c r="AY10" s="368" t="str">
        <f>AY16</f>
        <v>Famille à coller.N.Nom de votre recette.Recette mère ►.S.Saisissez le nom de la recette mère</v>
      </c>
      <c r="AZ10" s="367">
        <f>AZ16</f>
        <v>6</v>
      </c>
      <c r="BA10" s="367" t="str">
        <f>BA16</f>
        <v>couverts</v>
      </c>
      <c r="BB10" s="366" t="s">
        <v>1</v>
      </c>
      <c r="BC10" s="365" t="s">
        <v>251</v>
      </c>
      <c r="BD10" s="7648" t="s">
        <v>1089</v>
      </c>
      <c r="BE10" s="7648"/>
      <c r="BF10" s="7601" t="s">
        <v>1090</v>
      </c>
      <c r="BG10" s="7601"/>
      <c r="BH10" s="7602"/>
      <c r="BJ10" s="7015" t="s">
        <v>1091</v>
      </c>
      <c r="BK10" s="7016"/>
      <c r="BL10" s="7016"/>
      <c r="BM10" s="7017"/>
      <c r="BN10" s="62"/>
      <c r="BO10" s="7015" t="s">
        <v>836</v>
      </c>
      <c r="BP10" s="7016"/>
      <c r="BQ10" s="7016"/>
      <c r="BR10" s="7016"/>
      <c r="BS10" s="7016"/>
      <c r="BT10" s="7016"/>
      <c r="BU10" s="7017"/>
      <c r="BV10" s="1301"/>
      <c r="BW10" s="5">
        <v>1</v>
      </c>
    </row>
    <row r="11" spans="1:77" ht="22.5" customHeight="1">
      <c r="B11" s="214" t="s">
        <v>21</v>
      </c>
      <c r="C11" s="363" t="str">
        <f>C16</f>
        <v>Famille à coller.N.Nom de votre recette.Recette mère ►.S.Saisissez le nom de la recette mère</v>
      </c>
      <c r="D11" s="362"/>
      <c r="E11" s="362"/>
      <c r="F11" s="361" t="s">
        <v>245</v>
      </c>
      <c r="G11" s="360" t="s">
        <v>244</v>
      </c>
      <c r="H11" s="7649"/>
      <c r="I11" s="7649"/>
      <c r="J11" s="7603"/>
      <c r="K11" s="7603"/>
      <c r="L11" s="7604"/>
      <c r="N11" s="214" t="s">
        <v>21</v>
      </c>
      <c r="O11" s="363" t="str">
        <f>O16</f>
        <v>Famille à coller.N.Nom de votre recette.Recette mère ►.S.Saisissez le nom de la recette mère</v>
      </c>
      <c r="P11" s="362"/>
      <c r="Q11" s="362"/>
      <c r="R11" s="361" t="s">
        <v>245</v>
      </c>
      <c r="S11" s="360" t="s">
        <v>244</v>
      </c>
      <c r="T11" s="7649"/>
      <c r="U11" s="7649"/>
      <c r="V11" s="7603"/>
      <c r="W11" s="7603"/>
      <c r="X11" s="7604"/>
      <c r="Z11" s="214" t="s">
        <v>21</v>
      </c>
      <c r="AA11" s="363" t="str">
        <f>AA16</f>
        <v>Famille à coller.N.Nom de votre recette.Recette mère ►.S.Saisissez le nom de la recette mère</v>
      </c>
      <c r="AB11" s="362"/>
      <c r="AC11" s="362"/>
      <c r="AD11" s="361" t="s">
        <v>245</v>
      </c>
      <c r="AE11" s="360" t="s">
        <v>244</v>
      </c>
      <c r="AF11" s="7649"/>
      <c r="AG11" s="7649"/>
      <c r="AH11" s="7603"/>
      <c r="AI11" s="7603"/>
      <c r="AJ11" s="7604"/>
      <c r="AL11" s="214" t="s">
        <v>21</v>
      </c>
      <c r="AM11" s="363" t="str">
        <f>AM16</f>
        <v>Famille à coller.N.Nom de votre recette.Recette mère ►.S.Saisissez le nom de la recette mère</v>
      </c>
      <c r="AN11" s="362"/>
      <c r="AO11" s="362"/>
      <c r="AP11" s="361" t="s">
        <v>245</v>
      </c>
      <c r="AQ11" s="360" t="s">
        <v>244</v>
      </c>
      <c r="AR11" s="7649"/>
      <c r="AS11" s="7649"/>
      <c r="AT11" s="7603"/>
      <c r="AU11" s="7603"/>
      <c r="AV11" s="7604"/>
      <c r="AX11" s="214" t="s">
        <v>21</v>
      </c>
      <c r="AY11" s="363" t="str">
        <f>AY16</f>
        <v>Famille à coller.N.Nom de votre recette.Recette mère ►.S.Saisissez le nom de la recette mère</v>
      </c>
      <c r="AZ11" s="362"/>
      <c r="BA11" s="362"/>
      <c r="BB11" s="361" t="s">
        <v>245</v>
      </c>
      <c r="BC11" s="360" t="s">
        <v>244</v>
      </c>
      <c r="BD11" s="7649"/>
      <c r="BE11" s="7649"/>
      <c r="BF11" s="7603"/>
      <c r="BG11" s="7603"/>
      <c r="BH11" s="7604"/>
      <c r="BJ11" s="7018"/>
      <c r="BK11" s="7019"/>
      <c r="BL11" s="7019"/>
      <c r="BM11" s="7020"/>
      <c r="BN11" s="62"/>
      <c r="BO11" s="7018"/>
      <c r="BP11" s="7019"/>
      <c r="BQ11" s="7019"/>
      <c r="BR11" s="7019"/>
      <c r="BS11" s="7019"/>
      <c r="BT11" s="7019"/>
      <c r="BU11" s="7020"/>
      <c r="BW11" s="5">
        <v>1</v>
      </c>
    </row>
    <row r="12" spans="1:77" ht="18.75" customHeight="1">
      <c r="B12" s="214" t="s">
        <v>21</v>
      </c>
      <c r="C12" s="354" t="str">
        <f>C16</f>
        <v>Famille à coller.N.Nom de votre recette.Recette mère ►.S.Saisissez le nom de la recette mère</v>
      </c>
      <c r="D12" s="353"/>
      <c r="E12" s="352"/>
      <c r="F12" s="351"/>
      <c r="G12" s="350" t="s">
        <v>233</v>
      </c>
      <c r="H12" s="349"/>
      <c r="I12" s="348" t="s">
        <v>232</v>
      </c>
      <c r="J12" s="347" t="s">
        <v>1092</v>
      </c>
      <c r="K12" s="141"/>
      <c r="L12" s="346"/>
      <c r="N12" s="214" t="s">
        <v>21</v>
      </c>
      <c r="O12" s="354" t="str">
        <f>O16</f>
        <v>Famille à coller.N.Nom de votre recette.Recette mère ►.S.Saisissez le nom de la recette mère</v>
      </c>
      <c r="P12" s="353"/>
      <c r="Q12" s="352"/>
      <c r="R12" s="351"/>
      <c r="S12" s="350" t="s">
        <v>233</v>
      </c>
      <c r="T12" s="349"/>
      <c r="U12" s="348" t="s">
        <v>232</v>
      </c>
      <c r="V12" s="347" t="s">
        <v>1092</v>
      </c>
      <c r="W12" s="141"/>
      <c r="X12" s="346"/>
      <c r="Z12" s="214" t="s">
        <v>21</v>
      </c>
      <c r="AA12" s="354" t="str">
        <f>AA16</f>
        <v>Famille à coller.N.Nom de votre recette.Recette mère ►.S.Saisissez le nom de la recette mère</v>
      </c>
      <c r="AB12" s="353"/>
      <c r="AC12" s="352"/>
      <c r="AD12" s="351"/>
      <c r="AE12" s="350" t="s">
        <v>233</v>
      </c>
      <c r="AF12" s="349"/>
      <c r="AG12" s="348" t="s">
        <v>232</v>
      </c>
      <c r="AH12" s="347" t="s">
        <v>1092</v>
      </c>
      <c r="AI12" s="141"/>
      <c r="AJ12" s="346"/>
      <c r="AL12" s="214" t="s">
        <v>21</v>
      </c>
      <c r="AM12" s="354" t="str">
        <f>AM16</f>
        <v>Famille à coller.N.Nom de votre recette.Recette mère ►.S.Saisissez le nom de la recette mère</v>
      </c>
      <c r="AN12" s="353"/>
      <c r="AO12" s="352"/>
      <c r="AP12" s="351"/>
      <c r="AQ12" s="350" t="s">
        <v>233</v>
      </c>
      <c r="AR12" s="349"/>
      <c r="AS12" s="348" t="s">
        <v>232</v>
      </c>
      <c r="AT12" s="347" t="s">
        <v>1092</v>
      </c>
      <c r="AU12" s="141"/>
      <c r="AV12" s="346"/>
      <c r="AX12" s="214" t="s">
        <v>21</v>
      </c>
      <c r="AY12" s="354" t="str">
        <f>AY16</f>
        <v>Famille à coller.N.Nom de votre recette.Recette mère ►.S.Saisissez le nom de la recette mère</v>
      </c>
      <c r="AZ12" s="353"/>
      <c r="BA12" s="352"/>
      <c r="BB12" s="351"/>
      <c r="BC12" s="350" t="s">
        <v>233</v>
      </c>
      <c r="BD12" s="349"/>
      <c r="BE12" s="348" t="s">
        <v>232</v>
      </c>
      <c r="BF12" s="347" t="s">
        <v>1092</v>
      </c>
      <c r="BG12" s="141"/>
      <c r="BH12" s="346"/>
      <c r="BJ12" s="7018"/>
      <c r="BK12" s="7019"/>
      <c r="BL12" s="7019"/>
      <c r="BM12" s="7020"/>
      <c r="BN12" s="62"/>
      <c r="BO12" s="7018"/>
      <c r="BP12" s="7019"/>
      <c r="BQ12" s="7019"/>
      <c r="BR12" s="7019"/>
      <c r="BS12" s="7019"/>
      <c r="BT12" s="7019"/>
      <c r="BU12" s="7020"/>
      <c r="BW12" s="5">
        <v>1</v>
      </c>
    </row>
    <row r="13" spans="1:77" ht="15.75" customHeight="1">
      <c r="B13" s="214" t="s">
        <v>21</v>
      </c>
      <c r="C13" s="40" t="str">
        <f>C16</f>
        <v>Famille à coller.N.Nom de votre recette.Recette mère ►.S.Saisissez le nom de la recette mère</v>
      </c>
      <c r="D13" s="40"/>
      <c r="E13" s="40"/>
      <c r="F13" s="333" t="s">
        <v>228</v>
      </c>
      <c r="G13" s="341"/>
      <c r="H13" s="341"/>
      <c r="I13" s="340" t="s">
        <v>227</v>
      </c>
      <c r="J13" s="6901" t="str">
        <f>F16</f>
        <v>Famille à coller.N.Nom de votre recette.Recette mère ►.S.Saisissez le nom de la recette mère</v>
      </c>
      <c r="K13" s="6901"/>
      <c r="L13" s="7612"/>
      <c r="N13" s="214" t="s">
        <v>21</v>
      </c>
      <c r="O13" s="40" t="str">
        <f>O16</f>
        <v>Famille à coller.N.Nom de votre recette.Recette mère ►.S.Saisissez le nom de la recette mère</v>
      </c>
      <c r="P13" s="40"/>
      <c r="Q13" s="40"/>
      <c r="R13" s="333" t="s">
        <v>228</v>
      </c>
      <c r="S13" s="341"/>
      <c r="T13" s="341"/>
      <c r="U13" s="340" t="s">
        <v>227</v>
      </c>
      <c r="V13" s="6901" t="str">
        <f>R16</f>
        <v>Famille à coller.N.Nom de votre recette.Recette mère ►.S.Saisissez le nom de la recette mère</v>
      </c>
      <c r="W13" s="6901"/>
      <c r="X13" s="7612"/>
      <c r="Z13" s="214" t="s">
        <v>21</v>
      </c>
      <c r="AA13" s="40" t="str">
        <f>AA16</f>
        <v>Famille à coller.N.Nom de votre recette.Recette mère ►.S.Saisissez le nom de la recette mère</v>
      </c>
      <c r="AB13" s="40"/>
      <c r="AC13" s="40"/>
      <c r="AD13" s="333" t="s">
        <v>228</v>
      </c>
      <c r="AE13" s="341"/>
      <c r="AF13" s="341"/>
      <c r="AG13" s="340" t="s">
        <v>227</v>
      </c>
      <c r="AH13" s="6901" t="str">
        <f>AD16</f>
        <v>Famille à coller.N.Nom de votre recette.Recette mère ►.S.Saisissez le nom de la recette mère</v>
      </c>
      <c r="AI13" s="6901"/>
      <c r="AJ13" s="7612"/>
      <c r="AL13" s="214" t="s">
        <v>21</v>
      </c>
      <c r="AM13" s="40" t="str">
        <f>AM16</f>
        <v>Famille à coller.N.Nom de votre recette.Recette mère ►.S.Saisissez le nom de la recette mère</v>
      </c>
      <c r="AN13" s="40"/>
      <c r="AO13" s="40"/>
      <c r="AP13" s="333" t="s">
        <v>228</v>
      </c>
      <c r="AQ13" s="341"/>
      <c r="AR13" s="341"/>
      <c r="AS13" s="340" t="s">
        <v>227</v>
      </c>
      <c r="AT13" s="6901" t="str">
        <f>AP16</f>
        <v>Famille à coller.N.Nom de votre recette.Recette mère ►.S.Saisissez le nom de la recette mère</v>
      </c>
      <c r="AU13" s="6901"/>
      <c r="AV13" s="7612"/>
      <c r="AX13" s="214" t="s">
        <v>21</v>
      </c>
      <c r="AY13" s="40" t="str">
        <f>AY16</f>
        <v>Famille à coller.N.Nom de votre recette.Recette mère ►.S.Saisissez le nom de la recette mère</v>
      </c>
      <c r="AZ13" s="40"/>
      <c r="BA13" s="40"/>
      <c r="BB13" s="333" t="s">
        <v>228</v>
      </c>
      <c r="BC13" s="341"/>
      <c r="BD13" s="341"/>
      <c r="BE13" s="340" t="s">
        <v>227</v>
      </c>
      <c r="BF13" s="6901" t="str">
        <f>BB16</f>
        <v>Famille à coller.N.Nom de votre recette.Recette mère ►.S.Saisissez le nom de la recette mère</v>
      </c>
      <c r="BG13" s="6901"/>
      <c r="BH13" s="7612"/>
      <c r="BJ13" s="243" t="s">
        <v>837</v>
      </c>
      <c r="BK13" s="107"/>
      <c r="BL13" s="106"/>
      <c r="BM13" s="105"/>
      <c r="BN13" s="953"/>
      <c r="BO13" s="954"/>
      <c r="BP13" s="955"/>
      <c r="BQ13" s="955"/>
      <c r="BR13" s="955"/>
      <c r="BS13" s="955"/>
      <c r="BT13" s="955"/>
      <c r="BU13" s="956"/>
      <c r="BW13" s="5">
        <v>1</v>
      </c>
    </row>
    <row r="14" spans="1:77" ht="15.75" customHeight="1">
      <c r="B14" s="214" t="s">
        <v>21</v>
      </c>
      <c r="C14" s="40" t="str">
        <f>C16</f>
        <v>Famille à coller.N.Nom de votre recette.Recette mère ►.S.Saisissez le nom de la recette mère</v>
      </c>
      <c r="D14" s="40"/>
      <c r="E14" s="40"/>
      <c r="F14" s="5453">
        <v>6</v>
      </c>
      <c r="G14" s="5452" t="s">
        <v>73</v>
      </c>
      <c r="H14" s="333"/>
      <c r="I14" s="333"/>
      <c r="J14" s="6901"/>
      <c r="K14" s="6901"/>
      <c r="L14" s="7612"/>
      <c r="N14" s="214" t="s">
        <v>21</v>
      </c>
      <c r="O14" s="40" t="str">
        <f>O16</f>
        <v>Famille à coller.N.Nom de votre recette.Recette mère ►.S.Saisissez le nom de la recette mère</v>
      </c>
      <c r="P14" s="40"/>
      <c r="Q14" s="40"/>
      <c r="R14" s="5453">
        <v>6</v>
      </c>
      <c r="S14" s="5452" t="s">
        <v>73</v>
      </c>
      <c r="T14" s="333"/>
      <c r="U14" s="333"/>
      <c r="V14" s="6901"/>
      <c r="W14" s="6901"/>
      <c r="X14" s="7612"/>
      <c r="Z14" s="214" t="s">
        <v>21</v>
      </c>
      <c r="AA14" s="40" t="str">
        <f>AA16</f>
        <v>Famille à coller.N.Nom de votre recette.Recette mère ►.S.Saisissez le nom de la recette mère</v>
      </c>
      <c r="AB14" s="40"/>
      <c r="AC14" s="40"/>
      <c r="AD14" s="5453">
        <v>6</v>
      </c>
      <c r="AE14" s="5452" t="s">
        <v>73</v>
      </c>
      <c r="AF14" s="333"/>
      <c r="AG14" s="333"/>
      <c r="AH14" s="6901"/>
      <c r="AI14" s="6901"/>
      <c r="AJ14" s="7612"/>
      <c r="AL14" s="214" t="s">
        <v>21</v>
      </c>
      <c r="AM14" s="40" t="str">
        <f>AM16</f>
        <v>Famille à coller.N.Nom de votre recette.Recette mère ►.S.Saisissez le nom de la recette mère</v>
      </c>
      <c r="AN14" s="40"/>
      <c r="AO14" s="40"/>
      <c r="AP14" s="5453">
        <v>6</v>
      </c>
      <c r="AQ14" s="5452" t="s">
        <v>73</v>
      </c>
      <c r="AR14" s="333"/>
      <c r="AS14" s="333"/>
      <c r="AT14" s="6901"/>
      <c r="AU14" s="6901"/>
      <c r="AV14" s="7612"/>
      <c r="AX14" s="214" t="s">
        <v>21</v>
      </c>
      <c r="AY14" s="40" t="str">
        <f>AY16</f>
        <v>Famille à coller.N.Nom de votre recette.Recette mère ►.S.Saisissez le nom de la recette mère</v>
      </c>
      <c r="AZ14" s="40"/>
      <c r="BA14" s="40"/>
      <c r="BB14" s="5453">
        <v>6</v>
      </c>
      <c r="BC14" s="5452" t="s">
        <v>73</v>
      </c>
      <c r="BD14" s="333"/>
      <c r="BE14" s="333"/>
      <c r="BF14" s="6901"/>
      <c r="BG14" s="6901"/>
      <c r="BH14" s="7612"/>
      <c r="BJ14" s="98"/>
      <c r="BK14" s="97"/>
      <c r="BL14" s="97"/>
      <c r="BM14" s="96"/>
      <c r="BN14" s="62"/>
      <c r="BO14" s="954"/>
      <c r="BP14" s="957" t="s">
        <v>838</v>
      </c>
      <c r="BQ14" s="955"/>
      <c r="BR14" s="955"/>
      <c r="BS14" s="955"/>
      <c r="BT14" s="955"/>
      <c r="BU14" s="956"/>
      <c r="BW14" s="5">
        <v>1</v>
      </c>
    </row>
    <row r="15" spans="1:77" ht="21">
      <c r="B15" s="214" t="s">
        <v>26</v>
      </c>
      <c r="C15" s="328" t="str">
        <f>C16</f>
        <v>Famille à coller.N.Nom de votre recette.Recette mère ►.S.Saisissez le nom de la recette mère</v>
      </c>
      <c r="D15" s="328"/>
      <c r="E15" s="328"/>
      <c r="F15" s="327"/>
      <c r="G15" s="326"/>
      <c r="H15" s="326"/>
      <c r="I15" s="326"/>
      <c r="J15" s="326"/>
      <c r="K15" s="326"/>
      <c r="L15" s="325"/>
      <c r="N15" s="214" t="s">
        <v>26</v>
      </c>
      <c r="O15" s="328" t="str">
        <f>O16</f>
        <v>Famille à coller.N.Nom de votre recette.Recette mère ►.S.Saisissez le nom de la recette mère</v>
      </c>
      <c r="P15" s="328"/>
      <c r="Q15" s="328"/>
      <c r="R15" s="327"/>
      <c r="S15" s="326"/>
      <c r="T15" s="326"/>
      <c r="U15" s="326"/>
      <c r="V15" s="326"/>
      <c r="W15" s="326"/>
      <c r="X15" s="325"/>
      <c r="Z15" s="214" t="s">
        <v>26</v>
      </c>
      <c r="AA15" s="328" t="str">
        <f>AA16</f>
        <v>Famille à coller.N.Nom de votre recette.Recette mère ►.S.Saisissez le nom de la recette mère</v>
      </c>
      <c r="AB15" s="328"/>
      <c r="AC15" s="328"/>
      <c r="AD15" s="327"/>
      <c r="AE15" s="326"/>
      <c r="AF15" s="326"/>
      <c r="AG15" s="326"/>
      <c r="AH15" s="326"/>
      <c r="AI15" s="326"/>
      <c r="AJ15" s="325"/>
      <c r="AL15" s="214" t="s">
        <v>26</v>
      </c>
      <c r="AM15" s="328" t="str">
        <f>AM16</f>
        <v>Famille à coller.N.Nom de votre recette.Recette mère ►.S.Saisissez le nom de la recette mère</v>
      </c>
      <c r="AN15" s="328"/>
      <c r="AO15" s="328"/>
      <c r="AP15" s="327"/>
      <c r="AQ15" s="326"/>
      <c r="AR15" s="326"/>
      <c r="AS15" s="326"/>
      <c r="AT15" s="326"/>
      <c r="AU15" s="326"/>
      <c r="AV15" s="325"/>
      <c r="AX15" s="214" t="s">
        <v>26</v>
      </c>
      <c r="AY15" s="328" t="str">
        <f>AY16</f>
        <v>Famille à coller.N.Nom de votre recette.Recette mère ►.S.Saisissez le nom de la recette mère</v>
      </c>
      <c r="AZ15" s="328"/>
      <c r="BA15" s="328"/>
      <c r="BB15" s="327"/>
      <c r="BC15" s="326"/>
      <c r="BD15" s="326"/>
      <c r="BE15" s="326"/>
      <c r="BF15" s="326"/>
      <c r="BG15" s="326"/>
      <c r="BH15" s="325"/>
      <c r="BJ15" s="243" t="s">
        <v>839</v>
      </c>
      <c r="BK15" s="107"/>
      <c r="BL15" s="106"/>
      <c r="BM15" s="105"/>
      <c r="BN15" s="62"/>
      <c r="BO15" s="954"/>
      <c r="BP15" s="958" t="s">
        <v>840</v>
      </c>
      <c r="BQ15" s="955"/>
      <c r="BR15" s="955"/>
      <c r="BS15" s="955"/>
      <c r="BT15" s="955"/>
      <c r="BU15" s="956"/>
      <c r="BW15" s="5">
        <v>1</v>
      </c>
    </row>
    <row r="16" spans="1:77" ht="15.75">
      <c r="B16" s="319" t="s">
        <v>26</v>
      </c>
      <c r="C16" s="318" t="str">
        <f>F16</f>
        <v>Famille à coller.N.Nom de votre recette.Recette mère ►.S.Saisissez le nom de la recette mère</v>
      </c>
      <c r="D16" s="318">
        <f>F14</f>
        <v>6</v>
      </c>
      <c r="E16" s="318" t="str">
        <f>G14</f>
        <v>couverts</v>
      </c>
      <c r="F16" s="5486" t="str">
        <f>UPPER(LEFT(H10,1))&amp;LOWER(MID(H10,2,999))&amp;"."&amp;UPPER(LEFT(J10,1))&amp;"."&amp;UPPER(LEFT(J10,1))&amp;LOWER(MID(J10,2,999))&amp;"."&amp;IF(ISTEXT(L16),K16&amp;"."&amp;UPPER(LEFT(L16,1))&amp;"."&amp;UPPER(LEFT(L16,1))&amp;LOWER(MID(L16,2,999)),G16)</f>
        <v>Famille à coller.N.Nom de votre recette.Recette mère ►.S.Saisissez le nom de la recette mère</v>
      </c>
      <c r="G16" s="5487" t="s">
        <v>223</v>
      </c>
      <c r="H16" s="7613" t="s">
        <v>222</v>
      </c>
      <c r="I16" s="7613"/>
      <c r="J16" s="7613"/>
      <c r="K16" s="317" t="s">
        <v>221</v>
      </c>
      <c r="L16" s="1302" t="s">
        <v>1093</v>
      </c>
      <c r="N16" s="319" t="s">
        <v>26</v>
      </c>
      <c r="O16" s="318" t="str">
        <f>R16</f>
        <v>Famille à coller.N.Nom de votre recette.Recette mère ►.S.Saisissez le nom de la recette mère</v>
      </c>
      <c r="P16" s="318">
        <f>R14</f>
        <v>6</v>
      </c>
      <c r="Q16" s="318" t="str">
        <f>S14</f>
        <v>couverts</v>
      </c>
      <c r="R16" s="5486" t="str">
        <f>UPPER(LEFT(T10,1))&amp;LOWER(MID(T10,2,999))&amp;"."&amp;UPPER(LEFT(V10,1))&amp;"."&amp;UPPER(LEFT(V10,1))&amp;LOWER(MID(V10,2,999))&amp;"."&amp;IF(ISTEXT(X16),W16&amp;"."&amp;UPPER(LEFT(X16,1))&amp;"."&amp;UPPER(LEFT(X16,1))&amp;LOWER(MID(X16,2,999)),S16)</f>
        <v>Famille à coller.N.Nom de votre recette.Recette mère ►.S.Saisissez le nom de la recette mère</v>
      </c>
      <c r="S16" s="5487" t="s">
        <v>223</v>
      </c>
      <c r="T16" s="7613" t="s">
        <v>222</v>
      </c>
      <c r="U16" s="7613"/>
      <c r="V16" s="7613"/>
      <c r="W16" s="317" t="s">
        <v>221</v>
      </c>
      <c r="X16" s="1302" t="s">
        <v>1093</v>
      </c>
      <c r="Z16" s="319" t="s">
        <v>26</v>
      </c>
      <c r="AA16" s="318" t="str">
        <f>AD16</f>
        <v>Famille à coller.N.Nom de votre recette.Recette mère ►.S.Saisissez le nom de la recette mère</v>
      </c>
      <c r="AB16" s="318">
        <f>AD14</f>
        <v>6</v>
      </c>
      <c r="AC16" s="318" t="str">
        <f>AE14</f>
        <v>couverts</v>
      </c>
      <c r="AD16" s="5486" t="str">
        <f>UPPER(LEFT(AF10,1))&amp;LOWER(MID(AF10,2,999))&amp;"."&amp;UPPER(LEFT(AH10,1))&amp;"."&amp;UPPER(LEFT(AH10,1))&amp;LOWER(MID(AH10,2,999))&amp;"."&amp;IF(ISTEXT(AJ16),AI16&amp;"."&amp;UPPER(LEFT(AJ16,1))&amp;"."&amp;UPPER(LEFT(AJ16,1))&amp;LOWER(MID(AJ16,2,999)),AE16)</f>
        <v>Famille à coller.N.Nom de votre recette.Recette mère ►.S.Saisissez le nom de la recette mère</v>
      </c>
      <c r="AE16" s="5487" t="s">
        <v>223</v>
      </c>
      <c r="AF16" s="7613" t="s">
        <v>222</v>
      </c>
      <c r="AG16" s="7613"/>
      <c r="AH16" s="7613"/>
      <c r="AI16" s="317" t="s">
        <v>221</v>
      </c>
      <c r="AJ16" s="1302" t="s">
        <v>1093</v>
      </c>
      <c r="AL16" s="319" t="s">
        <v>26</v>
      </c>
      <c r="AM16" s="318" t="str">
        <f>AP16</f>
        <v>Famille à coller.N.Nom de votre recette.Recette mère ►.S.Saisissez le nom de la recette mère</v>
      </c>
      <c r="AN16" s="318">
        <f>AP14</f>
        <v>6</v>
      </c>
      <c r="AO16" s="318" t="str">
        <f>AQ14</f>
        <v>couverts</v>
      </c>
      <c r="AP16" s="5486" t="str">
        <f>UPPER(LEFT(AR10,1))&amp;LOWER(MID(AR10,2,999))&amp;"."&amp;UPPER(LEFT(AT10,1))&amp;"."&amp;UPPER(LEFT(AT10,1))&amp;LOWER(MID(AT10,2,999))&amp;"."&amp;IF(ISTEXT(AV16),AU16&amp;"."&amp;UPPER(LEFT(AV16,1))&amp;"."&amp;UPPER(LEFT(AV16,1))&amp;LOWER(MID(AV16,2,999)),AQ16)</f>
        <v>Famille à coller.N.Nom de votre recette.Recette mère ►.S.Saisissez le nom de la recette mère</v>
      </c>
      <c r="AQ16" s="5487" t="s">
        <v>223</v>
      </c>
      <c r="AR16" s="7613" t="s">
        <v>222</v>
      </c>
      <c r="AS16" s="7613"/>
      <c r="AT16" s="7613"/>
      <c r="AU16" s="317" t="s">
        <v>221</v>
      </c>
      <c r="AV16" s="1302" t="s">
        <v>1093</v>
      </c>
      <c r="AX16" s="319" t="s">
        <v>26</v>
      </c>
      <c r="AY16" s="318" t="str">
        <f>BB16</f>
        <v>Famille à coller.N.Nom de votre recette.Recette mère ►.S.Saisissez le nom de la recette mère</v>
      </c>
      <c r="AZ16" s="318">
        <f>BB14</f>
        <v>6</v>
      </c>
      <c r="BA16" s="318" t="str">
        <f>BC14</f>
        <v>couverts</v>
      </c>
      <c r="BB16" s="5486"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5487" t="s">
        <v>223</v>
      </c>
      <c r="BD16" s="7613" t="s">
        <v>222</v>
      </c>
      <c r="BE16" s="7613"/>
      <c r="BF16" s="7613"/>
      <c r="BG16" s="317" t="s">
        <v>221</v>
      </c>
      <c r="BH16" s="1302" t="s">
        <v>1093</v>
      </c>
      <c r="BJ16" s="98"/>
      <c r="BK16" s="97"/>
      <c r="BL16" s="97"/>
      <c r="BM16" s="96"/>
      <c r="BN16" s="62"/>
      <c r="BO16" s="954"/>
      <c r="BP16" s="958" t="s">
        <v>841</v>
      </c>
      <c r="BQ16" s="955"/>
      <c r="BR16" s="955"/>
      <c r="BS16" s="955"/>
      <c r="BT16" s="955"/>
      <c r="BU16" s="956"/>
      <c r="BW16" s="5">
        <v>1</v>
      </c>
    </row>
    <row r="17" spans="2:75" ht="21">
      <c r="B17" s="313" t="s">
        <v>26</v>
      </c>
      <c r="C17" s="312" t="str">
        <f>C16</f>
        <v>Famille à coller.N.Nom de votre recette.Recette mère ►.S.Saisissez le nom de la recette mère</v>
      </c>
      <c r="D17" s="311"/>
      <c r="E17" s="311"/>
      <c r="F17" s="310" t="s">
        <v>218</v>
      </c>
      <c r="G17" s="310" t="s">
        <v>217</v>
      </c>
      <c r="H17" s="310" t="s">
        <v>216</v>
      </c>
      <c r="I17" s="310" t="s">
        <v>215</v>
      </c>
      <c r="J17" s="310" t="s">
        <v>214</v>
      </c>
      <c r="K17" s="308" t="s">
        <v>83</v>
      </c>
      <c r="L17" s="307" t="s">
        <v>213</v>
      </c>
      <c r="N17" s="313" t="s">
        <v>26</v>
      </c>
      <c r="O17" s="312" t="str">
        <f>O16</f>
        <v>Famille à coller.N.Nom de votre recette.Recette mère ►.S.Saisissez le nom de la recette mère</v>
      </c>
      <c r="P17" s="311"/>
      <c r="Q17" s="311"/>
      <c r="R17" s="310" t="s">
        <v>218</v>
      </c>
      <c r="S17" s="310" t="s">
        <v>217</v>
      </c>
      <c r="T17" s="310" t="s">
        <v>216</v>
      </c>
      <c r="U17" s="310" t="s">
        <v>215</v>
      </c>
      <c r="V17" s="309" t="s">
        <v>214</v>
      </c>
      <c r="W17" s="308" t="s">
        <v>83</v>
      </c>
      <c r="X17" s="307" t="s">
        <v>213</v>
      </c>
      <c r="Z17" s="313" t="s">
        <v>26</v>
      </c>
      <c r="AA17" s="312" t="str">
        <f>AA16</f>
        <v>Famille à coller.N.Nom de votre recette.Recette mère ►.S.Saisissez le nom de la recette mère</v>
      </c>
      <c r="AB17" s="311"/>
      <c r="AC17" s="311"/>
      <c r="AD17" s="310" t="s">
        <v>218</v>
      </c>
      <c r="AE17" s="310" t="s">
        <v>217</v>
      </c>
      <c r="AF17" s="310" t="s">
        <v>216</v>
      </c>
      <c r="AG17" s="310" t="s">
        <v>215</v>
      </c>
      <c r="AH17" s="309" t="s">
        <v>214</v>
      </c>
      <c r="AI17" s="308" t="s">
        <v>83</v>
      </c>
      <c r="AJ17" s="307" t="s">
        <v>213</v>
      </c>
      <c r="AL17" s="313" t="s">
        <v>26</v>
      </c>
      <c r="AM17" s="312" t="str">
        <f>AM16</f>
        <v>Famille à coller.N.Nom de votre recette.Recette mère ►.S.Saisissez le nom de la recette mère</v>
      </c>
      <c r="AN17" s="311"/>
      <c r="AO17" s="311"/>
      <c r="AP17" s="310" t="s">
        <v>218</v>
      </c>
      <c r="AQ17" s="310" t="s">
        <v>217</v>
      </c>
      <c r="AR17" s="310" t="s">
        <v>216</v>
      </c>
      <c r="AS17" s="310" t="s">
        <v>215</v>
      </c>
      <c r="AT17" s="309" t="s">
        <v>214</v>
      </c>
      <c r="AU17" s="308" t="s">
        <v>83</v>
      </c>
      <c r="AV17" s="307" t="s">
        <v>213</v>
      </c>
      <c r="AX17" s="313" t="s">
        <v>26</v>
      </c>
      <c r="AY17" s="312" t="str">
        <f>AY16</f>
        <v>Famille à coller.N.Nom de votre recette.Recette mère ►.S.Saisissez le nom de la recette mère</v>
      </c>
      <c r="AZ17" s="311"/>
      <c r="BA17" s="311"/>
      <c r="BB17" s="310" t="s">
        <v>218</v>
      </c>
      <c r="BC17" s="310" t="s">
        <v>217</v>
      </c>
      <c r="BD17" s="310" t="s">
        <v>216</v>
      </c>
      <c r="BE17" s="310" t="s">
        <v>215</v>
      </c>
      <c r="BF17" s="309" t="s">
        <v>214</v>
      </c>
      <c r="BG17" s="308" t="s">
        <v>83</v>
      </c>
      <c r="BH17" s="307" t="s">
        <v>213</v>
      </c>
      <c r="BJ17" s="959" t="s">
        <v>842</v>
      </c>
      <c r="BK17" s="107"/>
      <c r="BL17" s="106"/>
      <c r="BM17" s="105"/>
      <c r="BN17" s="62"/>
      <c r="BO17" s="954"/>
      <c r="BP17" s="958" t="s">
        <v>843</v>
      </c>
      <c r="BQ17" s="955"/>
      <c r="BR17" s="955"/>
      <c r="BS17" s="955"/>
      <c r="BT17" s="955"/>
      <c r="BU17" s="956"/>
      <c r="BW17" s="5">
        <v>1</v>
      </c>
    </row>
    <row r="18" spans="2:75" ht="15.75" customHeight="1">
      <c r="B18" s="214" t="s">
        <v>21</v>
      </c>
      <c r="C18" s="41" t="str">
        <f>C16</f>
        <v>Famille à coller.N.Nom de votre recette.Recette mère ►.S.Saisissez le nom de la recette mère</v>
      </c>
      <c r="D18" s="40"/>
      <c r="E18" s="40"/>
      <c r="F18" s="299" t="s">
        <v>198</v>
      </c>
      <c r="G18" s="298" t="s">
        <v>197</v>
      </c>
      <c r="H18" s="297"/>
      <c r="I18" s="6986" t="s">
        <v>196</v>
      </c>
      <c r="J18" s="6987" t="s">
        <v>195</v>
      </c>
      <c r="K18" s="7695" t="s">
        <v>82</v>
      </c>
      <c r="L18" s="296" t="s">
        <v>194</v>
      </c>
      <c r="N18" s="214" t="s">
        <v>21</v>
      </c>
      <c r="O18" s="41" t="str">
        <f>O16</f>
        <v>Famille à coller.N.Nom de votre recette.Recette mère ►.S.Saisissez le nom de la recette mère</v>
      </c>
      <c r="P18" s="40"/>
      <c r="Q18" s="40"/>
      <c r="R18" s="299" t="s">
        <v>198</v>
      </c>
      <c r="S18" s="298" t="s">
        <v>197</v>
      </c>
      <c r="T18" s="297"/>
      <c r="U18" s="6904" t="s">
        <v>196</v>
      </c>
      <c r="V18" s="7387" t="s">
        <v>195</v>
      </c>
      <c r="W18" s="7615" t="s">
        <v>82</v>
      </c>
      <c r="X18" s="296" t="s">
        <v>194</v>
      </c>
      <c r="Z18" s="214" t="s">
        <v>21</v>
      </c>
      <c r="AA18" s="302" t="str">
        <f>AA16</f>
        <v>Famille à coller.N.Nom de votre recette.Recette mère ►.S.Saisissez le nom de la recette mère</v>
      </c>
      <c r="AB18" s="301"/>
      <c r="AC18" s="300"/>
      <c r="AD18" s="299" t="s">
        <v>198</v>
      </c>
      <c r="AE18" s="298" t="s">
        <v>197</v>
      </c>
      <c r="AF18" s="297"/>
      <c r="AG18" s="6904" t="s">
        <v>196</v>
      </c>
      <c r="AH18" s="7387" t="s">
        <v>195</v>
      </c>
      <c r="AI18" s="7615" t="s">
        <v>82</v>
      </c>
      <c r="AJ18" s="296" t="s">
        <v>194</v>
      </c>
      <c r="AL18" s="214" t="s">
        <v>21</v>
      </c>
      <c r="AM18" s="302" t="str">
        <f>AM16</f>
        <v>Famille à coller.N.Nom de votre recette.Recette mère ►.S.Saisissez le nom de la recette mère</v>
      </c>
      <c r="AN18" s="301"/>
      <c r="AO18" s="300"/>
      <c r="AP18" s="299" t="s">
        <v>198</v>
      </c>
      <c r="AQ18" s="298" t="s">
        <v>197</v>
      </c>
      <c r="AR18" s="297"/>
      <c r="AS18" s="6904" t="s">
        <v>196</v>
      </c>
      <c r="AT18" s="7387" t="s">
        <v>195</v>
      </c>
      <c r="AU18" s="7615" t="s">
        <v>82</v>
      </c>
      <c r="AV18" s="296" t="s">
        <v>194</v>
      </c>
      <c r="AX18" s="214" t="s">
        <v>21</v>
      </c>
      <c r="AY18" s="302" t="str">
        <f>AY16</f>
        <v>Famille à coller.N.Nom de votre recette.Recette mère ►.S.Saisissez le nom de la recette mère</v>
      </c>
      <c r="AZ18" s="301"/>
      <c r="BA18" s="300"/>
      <c r="BB18" s="299" t="s">
        <v>198</v>
      </c>
      <c r="BC18" s="298" t="s">
        <v>197</v>
      </c>
      <c r="BD18" s="297"/>
      <c r="BE18" s="6904" t="s">
        <v>196</v>
      </c>
      <c r="BF18" s="7387" t="s">
        <v>195</v>
      </c>
      <c r="BG18" s="7615" t="s">
        <v>82</v>
      </c>
      <c r="BH18" s="296" t="s">
        <v>194</v>
      </c>
      <c r="BJ18" s="98"/>
      <c r="BK18" s="97"/>
      <c r="BL18" s="97"/>
      <c r="BM18" s="96"/>
      <c r="BN18" s="62"/>
      <c r="BO18" s="954"/>
      <c r="BP18" s="958" t="s">
        <v>844</v>
      </c>
      <c r="BQ18" s="955"/>
      <c r="BR18" s="955"/>
      <c r="BS18" s="955"/>
      <c r="BT18" s="955"/>
      <c r="BU18" s="956"/>
      <c r="BW18" s="5">
        <v>1</v>
      </c>
    </row>
    <row r="19" spans="2:75" ht="15.75" customHeight="1">
      <c r="B19" s="214" t="s">
        <v>21</v>
      </c>
      <c r="C19" s="41" t="str">
        <f>C16</f>
        <v>Famille à coller.N.Nom de votre recette.Recette mère ►.S.Saisissez le nom de la recette mère</v>
      </c>
      <c r="D19" s="40"/>
      <c r="E19" s="40"/>
      <c r="F19" s="287" t="s">
        <v>184</v>
      </c>
      <c r="G19" s="286" t="s">
        <v>162</v>
      </c>
      <c r="H19" s="285" t="s">
        <v>186</v>
      </c>
      <c r="I19" s="6905"/>
      <c r="J19" s="7614"/>
      <c r="K19" s="7616"/>
      <c r="L19" s="284" t="s">
        <v>185</v>
      </c>
      <c r="N19" s="214" t="s">
        <v>21</v>
      </c>
      <c r="O19" s="41" t="str">
        <f>O16</f>
        <v>Famille à coller.N.Nom de votre recette.Recette mère ►.S.Saisissez le nom de la recette mère</v>
      </c>
      <c r="P19" s="40"/>
      <c r="Q19" s="40"/>
      <c r="R19" s="287" t="s">
        <v>184</v>
      </c>
      <c r="S19" s="286" t="s">
        <v>162</v>
      </c>
      <c r="T19" s="285" t="s">
        <v>186</v>
      </c>
      <c r="U19" s="6905"/>
      <c r="V19" s="7614"/>
      <c r="W19" s="7696"/>
      <c r="X19" s="284" t="s">
        <v>185</v>
      </c>
      <c r="Z19" s="214" t="s">
        <v>21</v>
      </c>
      <c r="AA19" s="41" t="str">
        <f>AA16</f>
        <v>Famille à coller.N.Nom de votre recette.Recette mère ►.S.Saisissez le nom de la recette mère</v>
      </c>
      <c r="AB19" s="40"/>
      <c r="AC19" s="39"/>
      <c r="AD19" s="287" t="s">
        <v>184</v>
      </c>
      <c r="AE19" s="286" t="s">
        <v>162</v>
      </c>
      <c r="AF19" s="285" t="s">
        <v>186</v>
      </c>
      <c r="AG19" s="6905"/>
      <c r="AH19" s="7614"/>
      <c r="AI19" s="7696"/>
      <c r="AJ19" s="284" t="s">
        <v>185</v>
      </c>
      <c r="AL19" s="214" t="s">
        <v>21</v>
      </c>
      <c r="AM19" s="41" t="str">
        <f>AM16</f>
        <v>Famille à coller.N.Nom de votre recette.Recette mère ►.S.Saisissez le nom de la recette mère</v>
      </c>
      <c r="AN19" s="40"/>
      <c r="AO19" s="39"/>
      <c r="AP19" s="287" t="s">
        <v>184</v>
      </c>
      <c r="AQ19" s="286" t="s">
        <v>162</v>
      </c>
      <c r="AR19" s="285" t="s">
        <v>186</v>
      </c>
      <c r="AS19" s="6905"/>
      <c r="AT19" s="7614"/>
      <c r="AU19" s="7696"/>
      <c r="AV19" s="284" t="s">
        <v>185</v>
      </c>
      <c r="AX19" s="214" t="s">
        <v>21</v>
      </c>
      <c r="AY19" s="41" t="str">
        <f>AY16</f>
        <v>Famille à coller.N.Nom de votre recette.Recette mère ►.S.Saisissez le nom de la recette mère</v>
      </c>
      <c r="AZ19" s="40"/>
      <c r="BA19" s="39"/>
      <c r="BB19" s="287" t="s">
        <v>184</v>
      </c>
      <c r="BC19" s="286" t="s">
        <v>162</v>
      </c>
      <c r="BD19" s="285" t="s">
        <v>186</v>
      </c>
      <c r="BE19" s="6905"/>
      <c r="BF19" s="7614"/>
      <c r="BG19" s="7696"/>
      <c r="BH19" s="284" t="s">
        <v>185</v>
      </c>
      <c r="BJ19" s="959" t="s">
        <v>845</v>
      </c>
      <c r="BK19" s="107"/>
      <c r="BL19" s="106"/>
      <c r="BM19" s="105"/>
      <c r="BN19" s="62"/>
      <c r="BO19" s="954"/>
      <c r="BP19" s="958" t="s">
        <v>846</v>
      </c>
      <c r="BQ19" s="955"/>
      <c r="BR19" s="955"/>
      <c r="BS19" s="955"/>
      <c r="BT19" s="955"/>
      <c r="BU19" s="956"/>
      <c r="BW19" s="5">
        <v>1</v>
      </c>
    </row>
    <row r="20" spans="2:75" ht="17.25">
      <c r="B20" s="214" t="s">
        <v>21</v>
      </c>
      <c r="C20" s="41" t="str">
        <f>C16</f>
        <v>Famille à coller.N.Nom de votre recette.Recette mère ►.S.Saisissez le nom de la recette mère</v>
      </c>
      <c r="D20" s="40">
        <f>D16</f>
        <v>6</v>
      </c>
      <c r="E20" s="40" t="str">
        <f>E16</f>
        <v>couverts</v>
      </c>
      <c r="F20" s="213"/>
      <c r="G20" s="256"/>
      <c r="H20" s="211" t="str">
        <f t="shared" ref="H20:H26" si="10">IF(OR(ISTEXT(F20), F20&lt;=0, I20&lt;=0), "", "de")</f>
        <v/>
      </c>
      <c r="I20" s="210"/>
      <c r="J20" s="209"/>
      <c r="K20" s="5448">
        <v>1</v>
      </c>
      <c r="L20" s="5479" t="s">
        <v>1094</v>
      </c>
      <c r="N20" s="214" t="s">
        <v>21</v>
      </c>
      <c r="O20" s="41" t="str">
        <f>O16</f>
        <v>Famille à coller.N.Nom de votre recette.Recette mère ►.S.Saisissez le nom de la recette mère</v>
      </c>
      <c r="P20" s="40">
        <f>P16</f>
        <v>6</v>
      </c>
      <c r="Q20" s="40" t="str">
        <f>Q16</f>
        <v>couverts</v>
      </c>
      <c r="R20" s="213"/>
      <c r="S20" s="256"/>
      <c r="T20" s="211" t="str">
        <f t="shared" ref="T20:T33" si="11">IF(OR(ISTEXT(R20), R20&lt;=0, U20&lt;=0), "", "de")</f>
        <v/>
      </c>
      <c r="U20" s="210">
        <v>12</v>
      </c>
      <c r="V20" s="248" t="s">
        <v>128</v>
      </c>
      <c r="W20" s="5448">
        <v>1</v>
      </c>
      <c r="X20" s="33"/>
      <c r="Z20" s="214" t="s">
        <v>21</v>
      </c>
      <c r="AA20" s="41" t="str">
        <f>AA16</f>
        <v>Famille à coller.N.Nom de votre recette.Recette mère ►.S.Saisissez le nom de la recette mère</v>
      </c>
      <c r="AB20" s="40">
        <f>AB16</f>
        <v>6</v>
      </c>
      <c r="AC20" s="39" t="str">
        <f>AC16</f>
        <v>couverts</v>
      </c>
      <c r="AD20" s="213"/>
      <c r="AE20" s="212"/>
      <c r="AF20" s="211" t="str">
        <f t="shared" ref="AF20:AF41" si="12">IF(OR(ISTEXT(AD20), AD20&lt;=0, AG20&lt;=0), "", "de")</f>
        <v/>
      </c>
      <c r="AG20" s="210">
        <v>12</v>
      </c>
      <c r="AH20" s="248" t="s">
        <v>128</v>
      </c>
      <c r="AI20" s="5448">
        <v>1</v>
      </c>
      <c r="AJ20" s="33"/>
      <c r="AL20" s="214" t="s">
        <v>21</v>
      </c>
      <c r="AM20" s="41" t="str">
        <f>AM16</f>
        <v>Famille à coller.N.Nom de votre recette.Recette mère ►.S.Saisissez le nom de la recette mère</v>
      </c>
      <c r="AN20" s="40">
        <f>AN16</f>
        <v>6</v>
      </c>
      <c r="AO20" s="39" t="str">
        <f>AO16</f>
        <v>couverts</v>
      </c>
      <c r="AP20" s="213"/>
      <c r="AQ20" s="212"/>
      <c r="AR20" s="211" t="str">
        <f t="shared" ref="AR20:AR51" si="13">IF(OR(ISTEXT(AP20), AP20&lt;=0, AS20&lt;=0), "", "de")</f>
        <v/>
      </c>
      <c r="AS20" s="210">
        <v>12</v>
      </c>
      <c r="AT20" s="248" t="s">
        <v>128</v>
      </c>
      <c r="AU20" s="5448">
        <v>1</v>
      </c>
      <c r="AV20" s="33"/>
      <c r="AX20" s="214" t="s">
        <v>21</v>
      </c>
      <c r="AY20" s="41" t="str">
        <f>AY16</f>
        <v>Famille à coller.N.Nom de votre recette.Recette mère ►.S.Saisissez le nom de la recette mère</v>
      </c>
      <c r="AZ20" s="40">
        <f>AZ16</f>
        <v>6</v>
      </c>
      <c r="BA20" s="39" t="str">
        <f>BA16</f>
        <v>couverts</v>
      </c>
      <c r="BB20" s="213"/>
      <c r="BC20" s="212"/>
      <c r="BD20" s="274" t="str">
        <f t="shared" ref="BD20:BD29" si="14">IF(OR(ISTEXT(BB20), BB20&lt;=0, BE20&lt;=0), "", "de")</f>
        <v/>
      </c>
      <c r="BE20" s="210">
        <v>12</v>
      </c>
      <c r="BF20" s="248" t="s">
        <v>128</v>
      </c>
      <c r="BG20" s="5448">
        <v>1</v>
      </c>
      <c r="BH20" s="33"/>
      <c r="BJ20" s="98"/>
      <c r="BK20" s="97"/>
      <c r="BL20" s="97"/>
      <c r="BM20" s="96"/>
      <c r="BN20" s="62"/>
      <c r="BO20" s="954"/>
      <c r="BP20" s="955"/>
      <c r="BQ20" s="955"/>
      <c r="BR20" s="955"/>
      <c r="BS20" s="955"/>
      <c r="BT20" s="955"/>
      <c r="BU20" s="956"/>
      <c r="BW20" s="5">
        <v>1</v>
      </c>
    </row>
    <row r="21" spans="2:75" ht="21">
      <c r="B21" s="42" t="str">
        <f t="shared" ref="B21:B26" si="15">IF(L21&lt;&gt;"","A","►")</f>
        <v>A</v>
      </c>
      <c r="C21" s="41" t="str">
        <f>C16</f>
        <v>Famille à coller.N.Nom de votre recette.Recette mère ►.S.Saisissez le nom de la recette mère</v>
      </c>
      <c r="D21" s="40">
        <f>D16</f>
        <v>6</v>
      </c>
      <c r="E21" s="40" t="str">
        <f>E16</f>
        <v>couverts</v>
      </c>
      <c r="F21" s="213"/>
      <c r="G21" s="256"/>
      <c r="H21" s="211" t="str">
        <f t="shared" si="10"/>
        <v/>
      </c>
      <c r="I21" s="210"/>
      <c r="J21" s="209"/>
      <c r="K21" s="5448">
        <v>1</v>
      </c>
      <c r="L21" s="33" t="s">
        <v>1095</v>
      </c>
      <c r="N21" s="42" t="str">
        <f t="shared" ref="N21:N33" si="16">IF(X21&lt;&gt;"","A","►")</f>
        <v>A</v>
      </c>
      <c r="O21" s="41" t="str">
        <f>O16</f>
        <v>Famille à coller.N.Nom de votre recette.Recette mère ►.S.Saisissez le nom de la recette mère</v>
      </c>
      <c r="P21" s="40">
        <f>P16</f>
        <v>6</v>
      </c>
      <c r="Q21" s="40" t="str">
        <f>Q16</f>
        <v>couverts</v>
      </c>
      <c r="R21" s="213"/>
      <c r="S21" s="256"/>
      <c r="T21" s="211" t="str">
        <f t="shared" si="11"/>
        <v/>
      </c>
      <c r="U21" s="210">
        <v>300</v>
      </c>
      <c r="V21" s="251" t="s">
        <v>130</v>
      </c>
      <c r="W21" s="5448">
        <v>1</v>
      </c>
      <c r="X21" s="33" t="s">
        <v>1096</v>
      </c>
      <c r="Z21" s="42" t="str">
        <f t="shared" ref="Z21:Z40" si="17">IF(AJ21&lt;&gt;"","A","►")</f>
        <v>►</v>
      </c>
      <c r="AA21" s="41" t="str">
        <f>AA16</f>
        <v>Famille à coller.N.Nom de votre recette.Recette mère ►.S.Saisissez le nom de la recette mère</v>
      </c>
      <c r="AB21" s="40">
        <f>AB16</f>
        <v>6</v>
      </c>
      <c r="AC21" s="39" t="str">
        <f>AC16</f>
        <v>couverts</v>
      </c>
      <c r="AD21" s="213"/>
      <c r="AE21" s="212"/>
      <c r="AF21" s="211" t="str">
        <f t="shared" si="12"/>
        <v/>
      </c>
      <c r="AG21" s="210"/>
      <c r="AH21" s="209"/>
      <c r="AI21" s="5448">
        <v>1</v>
      </c>
      <c r="AJ21" s="33"/>
      <c r="AL21" s="42" t="str">
        <f t="shared" ref="AL21:AL50" si="18">IF(AV21&lt;&gt;"","A","►")</f>
        <v>►</v>
      </c>
      <c r="AM21" s="41" t="str">
        <f>AM16</f>
        <v>Famille à coller.N.Nom de votre recette.Recette mère ►.S.Saisissez le nom de la recette mère</v>
      </c>
      <c r="AN21" s="40">
        <f>AN16</f>
        <v>6</v>
      </c>
      <c r="AO21" s="39" t="str">
        <f>AO16</f>
        <v>couverts</v>
      </c>
      <c r="AP21" s="213"/>
      <c r="AQ21" s="212"/>
      <c r="AR21" s="211" t="str">
        <f t="shared" si="13"/>
        <v/>
      </c>
      <c r="AS21" s="210"/>
      <c r="AT21" s="209"/>
      <c r="AU21" s="5448">
        <v>1</v>
      </c>
      <c r="AV21" s="33"/>
      <c r="AX21" s="42" t="str">
        <f t="shared" ref="AX21:AX60" si="19">IF(BH21&lt;&gt;"","A","►")</f>
        <v>A</v>
      </c>
      <c r="AY21" s="41" t="str">
        <f>AY16</f>
        <v>Famille à coller.N.Nom de votre recette.Recette mère ►.S.Saisissez le nom de la recette mère</v>
      </c>
      <c r="AZ21" s="40">
        <f>AZ16</f>
        <v>6</v>
      </c>
      <c r="BA21" s="39" t="str">
        <f>BA16</f>
        <v>couverts</v>
      </c>
      <c r="BB21" s="213"/>
      <c r="BC21" s="212"/>
      <c r="BD21" s="211" t="str">
        <f t="shared" si="14"/>
        <v/>
      </c>
      <c r="BE21" s="210">
        <v>200</v>
      </c>
      <c r="BF21" s="251" t="s">
        <v>130</v>
      </c>
      <c r="BG21" s="5448">
        <v>1</v>
      </c>
      <c r="BH21" s="33" t="s">
        <v>174</v>
      </c>
      <c r="BJ21" s="960" t="s">
        <v>847</v>
      </c>
      <c r="BK21" s="107"/>
      <c r="BL21" s="106"/>
      <c r="BM21" s="105"/>
      <c r="BN21" s="62"/>
      <c r="BO21" s="954"/>
      <c r="BP21" s="955"/>
      <c r="BQ21" s="955"/>
      <c r="BR21" s="955"/>
      <c r="BS21" s="955"/>
      <c r="BT21" s="955"/>
      <c r="BU21" s="956"/>
      <c r="BW21" s="5">
        <v>1</v>
      </c>
    </row>
    <row r="22" spans="2:75" ht="21">
      <c r="B22" s="42" t="str">
        <f t="shared" si="15"/>
        <v>A</v>
      </c>
      <c r="C22" s="41" t="str">
        <f>C16</f>
        <v>Famille à coller.N.Nom de votre recette.Recette mère ►.S.Saisissez le nom de la recette mère</v>
      </c>
      <c r="D22" s="40">
        <f>D16</f>
        <v>6</v>
      </c>
      <c r="E22" s="40" t="str">
        <f>E16</f>
        <v>couverts</v>
      </c>
      <c r="F22" s="213"/>
      <c r="G22" s="212"/>
      <c r="H22" s="211" t="str">
        <f t="shared" si="10"/>
        <v/>
      </c>
      <c r="I22" s="210"/>
      <c r="J22" s="209"/>
      <c r="K22" s="5448">
        <v>1</v>
      </c>
      <c r="L22" s="33" t="s">
        <v>1097</v>
      </c>
      <c r="N22" s="42" t="str">
        <f t="shared" si="16"/>
        <v>A</v>
      </c>
      <c r="O22" s="41" t="str">
        <f>O16</f>
        <v>Famille à coller.N.Nom de votre recette.Recette mère ►.S.Saisissez le nom de la recette mère</v>
      </c>
      <c r="P22" s="40">
        <f>P16</f>
        <v>6</v>
      </c>
      <c r="Q22" s="40" t="str">
        <f>Q16</f>
        <v>couverts</v>
      </c>
      <c r="R22" s="213"/>
      <c r="S22" s="212"/>
      <c r="T22" s="211" t="str">
        <f t="shared" si="11"/>
        <v/>
      </c>
      <c r="U22" s="210">
        <v>300</v>
      </c>
      <c r="V22" s="251" t="s">
        <v>130</v>
      </c>
      <c r="W22" s="5448">
        <v>1</v>
      </c>
      <c r="X22" s="1303" t="s">
        <v>1098</v>
      </c>
      <c r="Z22" s="42" t="str">
        <f t="shared" si="17"/>
        <v>►</v>
      </c>
      <c r="AA22" s="41" t="str">
        <f>AA16</f>
        <v>Famille à coller.N.Nom de votre recette.Recette mère ►.S.Saisissez le nom de la recette mère</v>
      </c>
      <c r="AB22" s="40">
        <f>AB16</f>
        <v>6</v>
      </c>
      <c r="AC22" s="39" t="str">
        <f>AC16</f>
        <v>couverts</v>
      </c>
      <c r="AD22" s="213"/>
      <c r="AE22" s="212"/>
      <c r="AF22" s="211" t="str">
        <f t="shared" si="12"/>
        <v/>
      </c>
      <c r="AG22" s="210"/>
      <c r="AH22" s="209"/>
      <c r="AI22" s="5448">
        <v>1</v>
      </c>
      <c r="AJ22" s="33"/>
      <c r="AL22" s="42" t="str">
        <f t="shared" si="18"/>
        <v>►</v>
      </c>
      <c r="AM22" s="41" t="str">
        <f>AM16</f>
        <v>Famille à coller.N.Nom de votre recette.Recette mère ►.S.Saisissez le nom de la recette mère</v>
      </c>
      <c r="AN22" s="40">
        <f>AN16</f>
        <v>6</v>
      </c>
      <c r="AO22" s="39" t="str">
        <f>AO16</f>
        <v>couverts</v>
      </c>
      <c r="AP22" s="213"/>
      <c r="AQ22" s="212"/>
      <c r="AR22" s="211" t="str">
        <f t="shared" si="13"/>
        <v/>
      </c>
      <c r="AS22" s="210"/>
      <c r="AT22" s="209"/>
      <c r="AU22" s="5448">
        <v>1</v>
      </c>
      <c r="AV22" s="33"/>
      <c r="AX22" s="42" t="str">
        <f t="shared" si="19"/>
        <v>A</v>
      </c>
      <c r="AY22" s="41" t="str">
        <f>AY16</f>
        <v>Famille à coller.N.Nom de votre recette.Recette mère ►.S.Saisissez le nom de la recette mère</v>
      </c>
      <c r="AZ22" s="40">
        <f>AZ16</f>
        <v>6</v>
      </c>
      <c r="BA22" s="39" t="str">
        <f>BA16</f>
        <v>couverts</v>
      </c>
      <c r="BB22" s="213"/>
      <c r="BC22" s="212"/>
      <c r="BD22" s="211" t="str">
        <f t="shared" si="14"/>
        <v/>
      </c>
      <c r="BE22" s="210">
        <v>250</v>
      </c>
      <c r="BF22" s="251" t="s">
        <v>130</v>
      </c>
      <c r="BG22" s="5448">
        <v>1</v>
      </c>
      <c r="BH22" s="33" t="s">
        <v>173</v>
      </c>
      <c r="BJ22" s="98"/>
      <c r="BK22" s="97"/>
      <c r="BL22" s="97"/>
      <c r="BM22" s="96"/>
      <c r="BN22" s="62"/>
      <c r="BO22" s="954"/>
      <c r="BP22" s="961" t="s">
        <v>848</v>
      </c>
      <c r="BQ22" s="955"/>
      <c r="BR22" s="955"/>
      <c r="BS22" s="955"/>
      <c r="BT22" s="955"/>
      <c r="BU22" s="956"/>
      <c r="BW22" s="5">
        <v>1</v>
      </c>
    </row>
    <row r="23" spans="2:75" ht="18" customHeight="1" thickBot="1">
      <c r="B23" s="42" t="str">
        <f t="shared" si="15"/>
        <v>A</v>
      </c>
      <c r="C23" s="41" t="str">
        <f>C16</f>
        <v>Famille à coller.N.Nom de votre recette.Recette mère ►.S.Saisissez le nom de la recette mère</v>
      </c>
      <c r="D23" s="40">
        <f>D16</f>
        <v>6</v>
      </c>
      <c r="E23" s="40" t="str">
        <f>E16</f>
        <v>couverts</v>
      </c>
      <c r="F23" s="213"/>
      <c r="G23" s="212"/>
      <c r="H23" s="211" t="str">
        <f t="shared" si="10"/>
        <v/>
      </c>
      <c r="I23" s="210"/>
      <c r="J23" s="209"/>
      <c r="K23" s="5448">
        <v>1</v>
      </c>
      <c r="L23" s="33" t="s">
        <v>1099</v>
      </c>
      <c r="N23" s="42" t="str">
        <f t="shared" si="16"/>
        <v>A</v>
      </c>
      <c r="O23" s="41" t="str">
        <f>O16</f>
        <v>Famille à coller.N.Nom de votre recette.Recette mère ►.S.Saisissez le nom de la recette mère</v>
      </c>
      <c r="P23" s="40">
        <f>P16</f>
        <v>6</v>
      </c>
      <c r="Q23" s="40" t="str">
        <f>Q16</f>
        <v>couverts</v>
      </c>
      <c r="R23" s="213"/>
      <c r="S23" s="212"/>
      <c r="T23" s="211" t="str">
        <f t="shared" si="11"/>
        <v/>
      </c>
      <c r="U23" s="210">
        <v>600</v>
      </c>
      <c r="V23" s="251" t="s">
        <v>130</v>
      </c>
      <c r="W23" s="5448">
        <v>1</v>
      </c>
      <c r="X23" s="33" t="s">
        <v>1100</v>
      </c>
      <c r="Z23" s="42" t="str">
        <f t="shared" si="17"/>
        <v>►</v>
      </c>
      <c r="AA23" s="41" t="str">
        <f>AA16</f>
        <v>Famille à coller.N.Nom de votre recette.Recette mère ►.S.Saisissez le nom de la recette mère</v>
      </c>
      <c r="AB23" s="40">
        <f>AB16</f>
        <v>6</v>
      </c>
      <c r="AC23" s="39" t="str">
        <f>AC16</f>
        <v>couverts</v>
      </c>
      <c r="AD23" s="213"/>
      <c r="AE23" s="212"/>
      <c r="AF23" s="211" t="str">
        <f t="shared" si="12"/>
        <v/>
      </c>
      <c r="AG23" s="210"/>
      <c r="AH23" s="209"/>
      <c r="AI23" s="5448">
        <v>1</v>
      </c>
      <c r="AJ23" s="33"/>
      <c r="AL23" s="42" t="str">
        <f t="shared" si="18"/>
        <v>►</v>
      </c>
      <c r="AM23" s="41" t="str">
        <f>AM16</f>
        <v>Famille à coller.N.Nom de votre recette.Recette mère ►.S.Saisissez le nom de la recette mère</v>
      </c>
      <c r="AN23" s="40">
        <f>AN16</f>
        <v>6</v>
      </c>
      <c r="AO23" s="39" t="str">
        <f>AO16</f>
        <v>couverts</v>
      </c>
      <c r="AP23" s="213"/>
      <c r="AQ23" s="212"/>
      <c r="AR23" s="211" t="str">
        <f t="shared" si="13"/>
        <v/>
      </c>
      <c r="AS23" s="210"/>
      <c r="AT23" s="209"/>
      <c r="AU23" s="5448">
        <v>1</v>
      </c>
      <c r="AV23" s="33"/>
      <c r="AX23" s="42" t="str">
        <f t="shared" si="19"/>
        <v>A</v>
      </c>
      <c r="AY23" s="41" t="str">
        <f>AY16</f>
        <v>Famille à coller.N.Nom de votre recette.Recette mère ►.S.Saisissez le nom de la recette mère</v>
      </c>
      <c r="AZ23" s="40">
        <f>AZ16</f>
        <v>6</v>
      </c>
      <c r="BA23" s="39" t="str">
        <f>BA16</f>
        <v>couverts</v>
      </c>
      <c r="BB23" s="213"/>
      <c r="BC23" s="212"/>
      <c r="BD23" s="211" t="str">
        <f t="shared" si="14"/>
        <v/>
      </c>
      <c r="BE23" s="210">
        <v>200</v>
      </c>
      <c r="BF23" s="251" t="s">
        <v>130</v>
      </c>
      <c r="BG23" s="5448">
        <v>1</v>
      </c>
      <c r="BH23" s="33" t="s">
        <v>171</v>
      </c>
      <c r="BJ23" s="960" t="s">
        <v>849</v>
      </c>
      <c r="BK23" s="107"/>
      <c r="BL23" s="106"/>
      <c r="BM23" s="105"/>
      <c r="BN23" s="62"/>
      <c r="BO23" s="954"/>
      <c r="BP23" s="955"/>
      <c r="BQ23" s="955"/>
      <c r="BR23" s="955"/>
      <c r="BS23" s="955"/>
      <c r="BT23" s="955"/>
      <c r="BU23" s="956"/>
      <c r="BW23" s="5">
        <v>1</v>
      </c>
    </row>
    <row r="24" spans="2:75" ht="18" customHeight="1" thickTop="1">
      <c r="B24" s="42" t="str">
        <f t="shared" si="15"/>
        <v>►</v>
      </c>
      <c r="C24" s="41" t="str">
        <f>C16</f>
        <v>Famille à coller.N.Nom de votre recette.Recette mère ►.S.Saisissez le nom de la recette mère</v>
      </c>
      <c r="D24" s="40">
        <f>D16</f>
        <v>6</v>
      </c>
      <c r="E24" s="40" t="str">
        <f>E16</f>
        <v>couverts</v>
      </c>
      <c r="F24" s="213"/>
      <c r="G24" s="212"/>
      <c r="H24" s="211" t="str">
        <f t="shared" si="10"/>
        <v/>
      </c>
      <c r="I24" s="210"/>
      <c r="J24" s="209"/>
      <c r="K24" s="5448">
        <v>1</v>
      </c>
      <c r="L24" s="33"/>
      <c r="N24" s="42" t="str">
        <f t="shared" si="16"/>
        <v>A</v>
      </c>
      <c r="O24" s="41" t="str">
        <f>O16</f>
        <v>Famille à coller.N.Nom de votre recette.Recette mère ►.S.Saisissez le nom de la recette mère</v>
      </c>
      <c r="P24" s="40">
        <f>P16</f>
        <v>6</v>
      </c>
      <c r="Q24" s="40" t="str">
        <f>Q16</f>
        <v>couverts</v>
      </c>
      <c r="R24" s="213"/>
      <c r="S24" s="212"/>
      <c r="T24" s="211" t="str">
        <f t="shared" si="11"/>
        <v/>
      </c>
      <c r="U24" s="210">
        <v>200</v>
      </c>
      <c r="V24" s="251" t="s">
        <v>130</v>
      </c>
      <c r="W24" s="5448">
        <v>1</v>
      </c>
      <c r="X24" s="33" t="s">
        <v>1101</v>
      </c>
      <c r="Z24" s="42" t="str">
        <f t="shared" si="17"/>
        <v>►</v>
      </c>
      <c r="AA24" s="41" t="str">
        <f>AA16</f>
        <v>Famille à coller.N.Nom de votre recette.Recette mère ►.S.Saisissez le nom de la recette mère</v>
      </c>
      <c r="AB24" s="40">
        <f>AB16</f>
        <v>6</v>
      </c>
      <c r="AC24" s="39" t="str">
        <f>AC16</f>
        <v>couverts</v>
      </c>
      <c r="AD24" s="213">
        <v>5</v>
      </c>
      <c r="AE24" s="212" t="s">
        <v>1102</v>
      </c>
      <c r="AF24" s="211" t="str">
        <f t="shared" si="12"/>
        <v/>
      </c>
      <c r="AG24" s="210"/>
      <c r="AH24" s="209"/>
      <c r="AI24" s="5448">
        <v>1</v>
      </c>
      <c r="AJ24" s="33"/>
      <c r="AL24" s="42" t="str">
        <f t="shared" si="18"/>
        <v>►</v>
      </c>
      <c r="AM24" s="41" t="str">
        <f>AM16</f>
        <v>Famille à coller.N.Nom de votre recette.Recette mère ►.S.Saisissez le nom de la recette mère</v>
      </c>
      <c r="AN24" s="40">
        <f>AN16</f>
        <v>6</v>
      </c>
      <c r="AO24" s="39" t="str">
        <f>AO16</f>
        <v>couverts</v>
      </c>
      <c r="AP24" s="213">
        <v>5</v>
      </c>
      <c r="AQ24" s="212" t="s">
        <v>1102</v>
      </c>
      <c r="AR24" s="211" t="str">
        <f t="shared" si="13"/>
        <v/>
      </c>
      <c r="AS24" s="210"/>
      <c r="AT24" s="209"/>
      <c r="AU24" s="5448">
        <v>1</v>
      </c>
      <c r="AV24" s="33"/>
      <c r="AX24" s="42" t="str">
        <f t="shared" si="19"/>
        <v>A</v>
      </c>
      <c r="AY24" s="41" t="str">
        <f>AY16</f>
        <v>Famille à coller.N.Nom de votre recette.Recette mère ►.S.Saisissez le nom de la recette mère</v>
      </c>
      <c r="AZ24" s="40">
        <f>AZ16</f>
        <v>6</v>
      </c>
      <c r="BA24" s="39" t="str">
        <f>BA16</f>
        <v>couverts</v>
      </c>
      <c r="BB24" s="213"/>
      <c r="BC24" s="212"/>
      <c r="BD24" s="211" t="str">
        <f t="shared" si="14"/>
        <v/>
      </c>
      <c r="BE24" s="210">
        <v>200</v>
      </c>
      <c r="BF24" s="251" t="s">
        <v>130</v>
      </c>
      <c r="BG24" s="5448">
        <v>1</v>
      </c>
      <c r="BH24" s="33" t="s">
        <v>167</v>
      </c>
      <c r="BJ24" s="98"/>
      <c r="BK24" s="97"/>
      <c r="BL24" s="97"/>
      <c r="BM24" s="96"/>
      <c r="BN24" s="62"/>
      <c r="BO24" s="962" t="s">
        <v>198</v>
      </c>
      <c r="BP24" s="963" t="s">
        <v>197</v>
      </c>
      <c r="BQ24" s="964"/>
      <c r="BR24" s="7716" t="s">
        <v>196</v>
      </c>
      <c r="BS24" s="7717" t="s">
        <v>195</v>
      </c>
      <c r="BT24" s="7718" t="s">
        <v>82</v>
      </c>
      <c r="BU24" s="965" t="s">
        <v>194</v>
      </c>
      <c r="BW24" s="5">
        <v>1</v>
      </c>
    </row>
    <row r="25" spans="2:75" ht="21">
      <c r="B25" s="42" t="str">
        <f t="shared" si="15"/>
        <v>A</v>
      </c>
      <c r="C25" s="41" t="str">
        <f>C16</f>
        <v>Famille à coller.N.Nom de votre recette.Recette mère ►.S.Saisissez le nom de la recette mère</v>
      </c>
      <c r="D25" s="40">
        <f>D16</f>
        <v>6</v>
      </c>
      <c r="E25" s="40" t="str">
        <f>E16</f>
        <v>couverts</v>
      </c>
      <c r="F25" s="213"/>
      <c r="G25" s="212"/>
      <c r="H25" s="211" t="str">
        <f t="shared" si="10"/>
        <v/>
      </c>
      <c r="I25" s="210"/>
      <c r="J25" s="209"/>
      <c r="K25" s="5448">
        <v>1</v>
      </c>
      <c r="L25" s="33" t="s">
        <v>1103</v>
      </c>
      <c r="N25" s="42" t="str">
        <f t="shared" si="16"/>
        <v>A</v>
      </c>
      <c r="O25" s="41" t="str">
        <f>O16</f>
        <v>Famille à coller.N.Nom de votre recette.Recette mère ►.S.Saisissez le nom de la recette mère</v>
      </c>
      <c r="P25" s="40">
        <f>P16</f>
        <v>6</v>
      </c>
      <c r="Q25" s="40" t="str">
        <f>Q16</f>
        <v>couverts</v>
      </c>
      <c r="R25" s="213"/>
      <c r="S25" s="212"/>
      <c r="T25" s="211" t="str">
        <f t="shared" si="11"/>
        <v/>
      </c>
      <c r="U25" s="210"/>
      <c r="V25" s="209"/>
      <c r="W25" s="5448">
        <v>1</v>
      </c>
      <c r="X25" s="33" t="s">
        <v>1104</v>
      </c>
      <c r="Z25" s="42" t="str">
        <f t="shared" si="17"/>
        <v>►</v>
      </c>
      <c r="AA25" s="41" t="str">
        <f>AA16</f>
        <v>Famille à coller.N.Nom de votre recette.Recette mère ►.S.Saisissez le nom de la recette mère</v>
      </c>
      <c r="AB25" s="40">
        <f>AB16</f>
        <v>6</v>
      </c>
      <c r="AC25" s="39" t="str">
        <f>AC16</f>
        <v>couverts</v>
      </c>
      <c r="AD25" s="213"/>
      <c r="AE25" s="212"/>
      <c r="AF25" s="211" t="str">
        <f t="shared" si="12"/>
        <v/>
      </c>
      <c r="AG25" s="210">
        <v>200</v>
      </c>
      <c r="AH25" s="251" t="s">
        <v>130</v>
      </c>
      <c r="AI25" s="5448">
        <v>1</v>
      </c>
      <c r="AJ25" s="33"/>
      <c r="AL25" s="42" t="str">
        <f t="shared" si="18"/>
        <v>►</v>
      </c>
      <c r="AM25" s="41" t="str">
        <f>AM16</f>
        <v>Famille à coller.N.Nom de votre recette.Recette mère ►.S.Saisissez le nom de la recette mère</v>
      </c>
      <c r="AN25" s="40">
        <f>AN16</f>
        <v>6</v>
      </c>
      <c r="AO25" s="39" t="str">
        <f>AO16</f>
        <v>couverts</v>
      </c>
      <c r="AP25" s="213"/>
      <c r="AQ25" s="212"/>
      <c r="AR25" s="211" t="str">
        <f t="shared" si="13"/>
        <v/>
      </c>
      <c r="AS25" s="210">
        <v>200</v>
      </c>
      <c r="AT25" s="251" t="s">
        <v>130</v>
      </c>
      <c r="AU25" s="5448">
        <v>1</v>
      </c>
      <c r="AV25" s="33"/>
      <c r="AX25" s="42" t="str">
        <f t="shared" si="19"/>
        <v>A</v>
      </c>
      <c r="AY25" s="41" t="str">
        <f>AY16</f>
        <v>Famille à coller.N.Nom de votre recette.Recette mère ►.S.Saisissez le nom de la recette mère</v>
      </c>
      <c r="AZ25" s="40">
        <f>AZ16</f>
        <v>6</v>
      </c>
      <c r="BA25" s="39" t="str">
        <f>BA16</f>
        <v>couverts</v>
      </c>
      <c r="BB25" s="213">
        <v>5</v>
      </c>
      <c r="BC25" s="212" t="s">
        <v>1102</v>
      </c>
      <c r="BD25" s="211" t="str">
        <f t="shared" si="14"/>
        <v>de</v>
      </c>
      <c r="BE25" s="210">
        <v>70</v>
      </c>
      <c r="BF25" s="251" t="s">
        <v>130</v>
      </c>
      <c r="BG25" s="5448">
        <v>1</v>
      </c>
      <c r="BH25" s="33" t="s">
        <v>165</v>
      </c>
      <c r="BJ25" s="966" t="s">
        <v>853</v>
      </c>
      <c r="BK25" s="107"/>
      <c r="BL25" s="106"/>
      <c r="BM25" s="105"/>
      <c r="BN25" s="62"/>
      <c r="BO25" s="967" t="s">
        <v>184</v>
      </c>
      <c r="BP25" s="286" t="s">
        <v>162</v>
      </c>
      <c r="BQ25" s="285" t="s">
        <v>186</v>
      </c>
      <c r="BR25" s="6905"/>
      <c r="BS25" s="7614"/>
      <c r="BT25" s="7696"/>
      <c r="BU25" s="968" t="s">
        <v>185</v>
      </c>
      <c r="BW25" s="5">
        <v>1</v>
      </c>
    </row>
    <row r="26" spans="2:75" ht="17.25">
      <c r="B26" s="42" t="str">
        <f t="shared" si="15"/>
        <v>►</v>
      </c>
      <c r="C26" s="41" t="str">
        <f>C16</f>
        <v>Famille à coller.N.Nom de votre recette.Recette mère ►.S.Saisissez le nom de la recette mère</v>
      </c>
      <c r="D26" s="40">
        <f>D16</f>
        <v>6</v>
      </c>
      <c r="E26" s="40" t="str">
        <f>E16</f>
        <v>couverts</v>
      </c>
      <c r="F26" s="213"/>
      <c r="G26" s="212"/>
      <c r="H26" s="211" t="str">
        <f t="shared" si="10"/>
        <v/>
      </c>
      <c r="I26" s="210"/>
      <c r="J26" s="209"/>
      <c r="K26" s="5448">
        <v>1</v>
      </c>
      <c r="L26" s="33"/>
      <c r="N26" s="42" t="str">
        <f t="shared" si="16"/>
        <v>►</v>
      </c>
      <c r="O26" s="41" t="str">
        <f>O16</f>
        <v>Famille à coller.N.Nom de votre recette.Recette mère ►.S.Saisissez le nom de la recette mère</v>
      </c>
      <c r="P26" s="40">
        <f>P16</f>
        <v>6</v>
      </c>
      <c r="Q26" s="40" t="str">
        <f>Q16</f>
        <v>couverts</v>
      </c>
      <c r="R26" s="213"/>
      <c r="S26" s="212"/>
      <c r="T26" s="211" t="str">
        <f t="shared" si="11"/>
        <v/>
      </c>
      <c r="U26" s="210"/>
      <c r="V26" s="209"/>
      <c r="W26" s="5448">
        <v>1</v>
      </c>
      <c r="X26" s="33"/>
      <c r="Z26" s="42" t="str">
        <f t="shared" si="17"/>
        <v>►</v>
      </c>
      <c r="AA26" s="41" t="str">
        <f>AA16</f>
        <v>Famille à coller.N.Nom de votre recette.Recette mère ►.S.Saisissez le nom de la recette mère</v>
      </c>
      <c r="AB26" s="40">
        <f>AB16</f>
        <v>6</v>
      </c>
      <c r="AC26" s="39" t="str">
        <f>AC16</f>
        <v>couverts</v>
      </c>
      <c r="AD26" s="213"/>
      <c r="AE26" s="256"/>
      <c r="AF26" s="211" t="str">
        <f t="shared" si="12"/>
        <v/>
      </c>
      <c r="AG26" s="210">
        <v>200</v>
      </c>
      <c r="AH26" s="251" t="s">
        <v>130</v>
      </c>
      <c r="AI26" s="5448">
        <v>1</v>
      </c>
      <c r="AJ26" s="33"/>
      <c r="AL26" s="42" t="str">
        <f t="shared" si="18"/>
        <v>►</v>
      </c>
      <c r="AM26" s="41" t="str">
        <f>AM16</f>
        <v>Famille à coller.N.Nom de votre recette.Recette mère ►.S.Saisissez le nom de la recette mère</v>
      </c>
      <c r="AN26" s="40">
        <f>AN16</f>
        <v>6</v>
      </c>
      <c r="AO26" s="39" t="str">
        <f>AO16</f>
        <v>couverts</v>
      </c>
      <c r="AP26" s="213"/>
      <c r="AQ26" s="256"/>
      <c r="AR26" s="211" t="str">
        <f t="shared" si="13"/>
        <v/>
      </c>
      <c r="AS26" s="210">
        <v>200</v>
      </c>
      <c r="AT26" s="251" t="s">
        <v>130</v>
      </c>
      <c r="AU26" s="5448">
        <v>1</v>
      </c>
      <c r="AV26" s="33"/>
      <c r="AX26" s="42" t="str">
        <f t="shared" si="19"/>
        <v>A</v>
      </c>
      <c r="AY26" s="41" t="str">
        <f>AY16</f>
        <v>Famille à coller.N.Nom de votre recette.Recette mère ►.S.Saisissez le nom de la recette mère</v>
      </c>
      <c r="AZ26" s="40">
        <f>AZ16</f>
        <v>6</v>
      </c>
      <c r="BA26" s="39" t="str">
        <f>BA16</f>
        <v>couverts</v>
      </c>
      <c r="BB26" s="213"/>
      <c r="BC26" s="212"/>
      <c r="BD26" s="211" t="str">
        <f t="shared" si="14"/>
        <v/>
      </c>
      <c r="BE26" s="210">
        <v>100</v>
      </c>
      <c r="BF26" s="251" t="s">
        <v>130</v>
      </c>
      <c r="BG26" s="5448">
        <v>1</v>
      </c>
      <c r="BH26" s="33" t="s">
        <v>160</v>
      </c>
      <c r="BJ26" s="98"/>
      <c r="BK26" s="97"/>
      <c r="BL26" s="97"/>
      <c r="BM26" s="96"/>
      <c r="BN26" s="62"/>
      <c r="BO26" s="969"/>
      <c r="BP26" s="256"/>
      <c r="BQ26" s="274" t="str">
        <f>IF(AND(BO26&gt;0,BR26&gt;0),"de","")</f>
        <v/>
      </c>
      <c r="BR26" s="210">
        <v>150</v>
      </c>
      <c r="BS26" s="251" t="s">
        <v>130</v>
      </c>
      <c r="BT26" s="5448">
        <v>1</v>
      </c>
      <c r="BU26" s="970" t="s">
        <v>855</v>
      </c>
      <c r="BW26" s="5">
        <v>1</v>
      </c>
    </row>
    <row r="27" spans="2:75" ht="21">
      <c r="B27" s="214" t="s">
        <v>21</v>
      </c>
      <c r="C27" s="1304" t="str">
        <f>C16</f>
        <v>Famille à coller.N.Nom de votre recette.Recette mère ►.S.Saisissez le nom de la recette mère</v>
      </c>
      <c r="D27" s="1305">
        <f>D16</f>
        <v>6</v>
      </c>
      <c r="E27" s="1306" t="str">
        <f>E16</f>
        <v>couverts</v>
      </c>
      <c r="F27" s="1307" t="s">
        <v>86</v>
      </c>
      <c r="G27" s="1308"/>
      <c r="H27" s="1309"/>
      <c r="I27" s="1309"/>
      <c r="J27" s="1309"/>
      <c r="K27" s="1309"/>
      <c r="L27" s="1310"/>
      <c r="N27" s="42" t="str">
        <f t="shared" si="16"/>
        <v>►</v>
      </c>
      <c r="O27" s="41" t="str">
        <f>O16</f>
        <v>Famille à coller.N.Nom de votre recette.Recette mère ►.S.Saisissez le nom de la recette mère</v>
      </c>
      <c r="P27" s="40">
        <f>P16</f>
        <v>6</v>
      </c>
      <c r="Q27" s="40" t="str">
        <f>Q16</f>
        <v>couverts</v>
      </c>
      <c r="R27" s="213"/>
      <c r="S27" s="212"/>
      <c r="T27" s="211" t="str">
        <f t="shared" si="11"/>
        <v/>
      </c>
      <c r="U27" s="210"/>
      <c r="V27" s="209"/>
      <c r="W27" s="5448">
        <v>1</v>
      </c>
      <c r="X27" s="33"/>
      <c r="Z27" s="42" t="str">
        <f t="shared" si="17"/>
        <v>►</v>
      </c>
      <c r="AA27" s="41" t="str">
        <f>AA16</f>
        <v>Famille à coller.N.Nom de votre recette.Recette mère ►.S.Saisissez le nom de la recette mère</v>
      </c>
      <c r="AB27" s="40">
        <f>AB16</f>
        <v>6</v>
      </c>
      <c r="AC27" s="39" t="str">
        <f>AC16</f>
        <v>couverts</v>
      </c>
      <c r="AD27" s="213"/>
      <c r="AE27" s="256"/>
      <c r="AF27" s="211" t="str">
        <f t="shared" si="12"/>
        <v/>
      </c>
      <c r="AG27" s="210">
        <v>70</v>
      </c>
      <c r="AH27" s="251" t="s">
        <v>130</v>
      </c>
      <c r="AI27" s="5448">
        <v>1</v>
      </c>
      <c r="AJ27" s="33"/>
      <c r="AL27" s="42" t="str">
        <f t="shared" si="18"/>
        <v>►</v>
      </c>
      <c r="AM27" s="41" t="str">
        <f>AM16</f>
        <v>Famille à coller.N.Nom de votre recette.Recette mère ►.S.Saisissez le nom de la recette mère</v>
      </c>
      <c r="AN27" s="40">
        <f>AN16</f>
        <v>6</v>
      </c>
      <c r="AO27" s="39" t="str">
        <f>AO16</f>
        <v>couverts</v>
      </c>
      <c r="AP27" s="213"/>
      <c r="AQ27" s="256"/>
      <c r="AR27" s="211" t="str">
        <f t="shared" si="13"/>
        <v/>
      </c>
      <c r="AS27" s="210">
        <v>70</v>
      </c>
      <c r="AT27" s="251" t="s">
        <v>130</v>
      </c>
      <c r="AU27" s="5448">
        <v>1</v>
      </c>
      <c r="AV27" s="33"/>
      <c r="AX27" s="42" t="str">
        <f t="shared" si="19"/>
        <v>A</v>
      </c>
      <c r="AY27" s="41" t="str">
        <f>AY16</f>
        <v>Famille à coller.N.Nom de votre recette.Recette mère ►.S.Saisissez le nom de la recette mère</v>
      </c>
      <c r="AZ27" s="40">
        <f>AZ16</f>
        <v>6</v>
      </c>
      <c r="BA27" s="39" t="str">
        <f>BA16</f>
        <v>couverts</v>
      </c>
      <c r="BB27" s="213"/>
      <c r="BC27" s="212"/>
      <c r="BD27" s="211" t="str">
        <f t="shared" si="14"/>
        <v/>
      </c>
      <c r="BE27" s="210">
        <v>100</v>
      </c>
      <c r="BF27" s="251" t="s">
        <v>130</v>
      </c>
      <c r="BG27" s="5448">
        <v>1</v>
      </c>
      <c r="BH27" s="33" t="s">
        <v>156</v>
      </c>
      <c r="BJ27" s="966" t="s">
        <v>195</v>
      </c>
      <c r="BK27" s="107"/>
      <c r="BL27" s="106"/>
      <c r="BM27" s="105"/>
      <c r="BN27" s="62"/>
      <c r="BO27" s="969"/>
      <c r="BP27" s="256"/>
      <c r="BQ27" s="274" t="s">
        <v>856</v>
      </c>
      <c r="BR27" s="210">
        <v>8</v>
      </c>
      <c r="BS27" s="251" t="s">
        <v>130</v>
      </c>
      <c r="BT27" s="5448">
        <v>1</v>
      </c>
      <c r="BU27" s="970" t="s">
        <v>858</v>
      </c>
      <c r="BW27" s="5">
        <v>1</v>
      </c>
    </row>
    <row r="28" spans="2:75" ht="18" thickBot="1">
      <c r="B28" s="1010" t="s">
        <v>21</v>
      </c>
      <c r="N28" s="42" t="str">
        <f t="shared" si="16"/>
        <v>A</v>
      </c>
      <c r="O28" s="41" t="str">
        <f>O16</f>
        <v>Famille à coller.N.Nom de votre recette.Recette mère ►.S.Saisissez le nom de la recette mère</v>
      </c>
      <c r="P28" s="40">
        <f>P16</f>
        <v>6</v>
      </c>
      <c r="Q28" s="40" t="str">
        <f>Q16</f>
        <v>couverts</v>
      </c>
      <c r="R28" s="213"/>
      <c r="S28" s="212"/>
      <c r="T28" s="211" t="str">
        <f t="shared" si="11"/>
        <v/>
      </c>
      <c r="U28" s="210"/>
      <c r="V28" s="209"/>
      <c r="W28" s="5448">
        <v>1</v>
      </c>
      <c r="X28" s="5479" t="s">
        <v>1094</v>
      </c>
      <c r="Z28" s="42" t="str">
        <f t="shared" si="17"/>
        <v>►</v>
      </c>
      <c r="AA28" s="41" t="str">
        <f>AA16</f>
        <v>Famille à coller.N.Nom de votre recette.Recette mère ►.S.Saisissez le nom de la recette mère</v>
      </c>
      <c r="AB28" s="40">
        <f>AB16</f>
        <v>6</v>
      </c>
      <c r="AC28" s="39" t="str">
        <f>AC16</f>
        <v>couverts</v>
      </c>
      <c r="AD28" s="213"/>
      <c r="AE28" s="256"/>
      <c r="AF28" s="211" t="str">
        <f t="shared" si="12"/>
        <v/>
      </c>
      <c r="AG28" s="210"/>
      <c r="AH28" s="209"/>
      <c r="AI28" s="5448">
        <v>1</v>
      </c>
      <c r="AJ28" s="33"/>
      <c r="AL28" s="42" t="str">
        <f t="shared" si="18"/>
        <v>►</v>
      </c>
      <c r="AM28" s="41" t="str">
        <f>AM16</f>
        <v>Famille à coller.N.Nom de votre recette.Recette mère ►.S.Saisissez le nom de la recette mère</v>
      </c>
      <c r="AN28" s="40">
        <f>AN16</f>
        <v>6</v>
      </c>
      <c r="AO28" s="39" t="str">
        <f>AO16</f>
        <v>couverts</v>
      </c>
      <c r="AP28" s="213"/>
      <c r="AQ28" s="256"/>
      <c r="AR28" s="211" t="str">
        <f t="shared" si="13"/>
        <v/>
      </c>
      <c r="AS28" s="210"/>
      <c r="AT28" s="209"/>
      <c r="AU28" s="5448">
        <v>1</v>
      </c>
      <c r="AV28" s="33"/>
      <c r="AX28" s="42" t="str">
        <f t="shared" si="19"/>
        <v>►</v>
      </c>
      <c r="AY28" s="41" t="str">
        <f>AY16</f>
        <v>Famille à coller.N.Nom de votre recette.Recette mère ►.S.Saisissez le nom de la recette mère</v>
      </c>
      <c r="AZ28" s="40">
        <f>AZ16</f>
        <v>6</v>
      </c>
      <c r="BA28" s="39" t="str">
        <f>BA16</f>
        <v>couverts</v>
      </c>
      <c r="BB28" s="213"/>
      <c r="BC28" s="212"/>
      <c r="BD28" s="211" t="str">
        <f t="shared" si="14"/>
        <v/>
      </c>
      <c r="BE28" s="210"/>
      <c r="BF28" s="209"/>
      <c r="BG28" s="5448">
        <v>1</v>
      </c>
      <c r="BH28" s="33"/>
      <c r="BJ28" s="98"/>
      <c r="BK28" s="97"/>
      <c r="BL28" s="97"/>
      <c r="BM28" s="96"/>
      <c r="BN28" s="62"/>
      <c r="BO28" s="969"/>
      <c r="BP28" s="256"/>
      <c r="BQ28" s="211" t="s">
        <v>856</v>
      </c>
      <c r="BR28" s="210">
        <v>105</v>
      </c>
      <c r="BS28" s="251" t="s">
        <v>130</v>
      </c>
      <c r="BT28" s="5448">
        <v>1</v>
      </c>
      <c r="BU28" s="970" t="s">
        <v>859</v>
      </c>
      <c r="BW28" s="5">
        <v>1</v>
      </c>
    </row>
    <row r="29" spans="2:75" ht="21" customHeight="1">
      <c r="B29" s="5465" t="s">
        <v>21</v>
      </c>
      <c r="C29" s="368" t="str">
        <f>C35</f>
        <v>Famille à coller.N.Nom de votre recette.Recette mère ►.S.Saisissez le nom de la recette mère</v>
      </c>
      <c r="D29" s="367">
        <f>D35</f>
        <v>6</v>
      </c>
      <c r="E29" s="367" t="str">
        <f>E35</f>
        <v>couverts</v>
      </c>
      <c r="F29" s="366" t="s">
        <v>1</v>
      </c>
      <c r="G29" s="365" t="s">
        <v>251</v>
      </c>
      <c r="H29" s="7648" t="s">
        <v>1089</v>
      </c>
      <c r="I29" s="7648"/>
      <c r="J29" s="7601" t="s">
        <v>1090</v>
      </c>
      <c r="K29" s="7601"/>
      <c r="L29" s="7602"/>
      <c r="N29" s="42" t="str">
        <f t="shared" si="16"/>
        <v>A</v>
      </c>
      <c r="O29" s="41" t="str">
        <f>O16</f>
        <v>Famille à coller.N.Nom de votre recette.Recette mère ►.S.Saisissez le nom de la recette mère</v>
      </c>
      <c r="P29" s="40">
        <f>P16</f>
        <v>6</v>
      </c>
      <c r="Q29" s="40" t="str">
        <f>Q16</f>
        <v>couverts</v>
      </c>
      <c r="R29" s="213"/>
      <c r="S29" s="212"/>
      <c r="T29" s="211" t="str">
        <f t="shared" si="11"/>
        <v/>
      </c>
      <c r="U29" s="210"/>
      <c r="V29" s="209"/>
      <c r="W29" s="5448">
        <v>1</v>
      </c>
      <c r="X29" s="33" t="s">
        <v>1095</v>
      </c>
      <c r="Z29" s="42" t="str">
        <f t="shared" si="17"/>
        <v>A</v>
      </c>
      <c r="AA29" s="41" t="str">
        <f>AA16</f>
        <v>Famille à coller.N.Nom de votre recette.Recette mère ►.S.Saisissez le nom de la recette mère</v>
      </c>
      <c r="AB29" s="40">
        <f>AB16</f>
        <v>6</v>
      </c>
      <c r="AC29" s="39" t="str">
        <f>AC16</f>
        <v>couverts</v>
      </c>
      <c r="AD29" s="213" t="s">
        <v>26</v>
      </c>
      <c r="AE29" s="256"/>
      <c r="AF29" s="211" t="str">
        <f t="shared" si="12"/>
        <v/>
      </c>
      <c r="AG29" s="210"/>
      <c r="AH29" s="209"/>
      <c r="AI29" s="5448">
        <v>1</v>
      </c>
      <c r="AJ29" s="33" t="s">
        <v>1105</v>
      </c>
      <c r="AL29" s="42" t="str">
        <f t="shared" si="18"/>
        <v>A</v>
      </c>
      <c r="AM29" s="41" t="str">
        <f>AM16</f>
        <v>Famille à coller.N.Nom de votre recette.Recette mère ►.S.Saisissez le nom de la recette mère</v>
      </c>
      <c r="AN29" s="40">
        <f>AN16</f>
        <v>6</v>
      </c>
      <c r="AO29" s="39" t="str">
        <f>AO16</f>
        <v>couverts</v>
      </c>
      <c r="AP29" s="213" t="s">
        <v>26</v>
      </c>
      <c r="AQ29" s="256"/>
      <c r="AR29" s="211" t="str">
        <f t="shared" si="13"/>
        <v/>
      </c>
      <c r="AS29" s="210"/>
      <c r="AT29" s="209"/>
      <c r="AU29" s="5448">
        <v>1</v>
      </c>
      <c r="AV29" s="33" t="s">
        <v>1106</v>
      </c>
      <c r="AX29" s="42" t="str">
        <f t="shared" si="19"/>
        <v>A</v>
      </c>
      <c r="AY29" s="41" t="str">
        <f>AY16</f>
        <v>Famille à coller.N.Nom de votre recette.Recette mère ►.S.Saisissez le nom de la recette mère</v>
      </c>
      <c r="AZ29" s="40">
        <f>AZ16</f>
        <v>6</v>
      </c>
      <c r="BA29" s="39" t="str">
        <f>BA16</f>
        <v>couverts</v>
      </c>
      <c r="BB29" s="213"/>
      <c r="BC29" s="212"/>
      <c r="BD29" s="211" t="str">
        <f t="shared" si="14"/>
        <v/>
      </c>
      <c r="BE29" s="210"/>
      <c r="BF29" s="209"/>
      <c r="BG29" s="5448">
        <v>1</v>
      </c>
      <c r="BH29" s="33" t="s">
        <v>1107</v>
      </c>
      <c r="BJ29" s="971" t="s">
        <v>860</v>
      </c>
      <c r="BK29" s="972"/>
      <c r="BL29" s="106"/>
      <c r="BM29" s="105"/>
      <c r="BN29" s="62"/>
      <c r="BO29" s="954"/>
      <c r="BP29" s="955"/>
      <c r="BQ29" s="955"/>
      <c r="BR29" s="955"/>
      <c r="BS29" s="955"/>
      <c r="BT29" s="955"/>
      <c r="BU29" s="956"/>
      <c r="BW29" s="5">
        <v>1</v>
      </c>
    </row>
    <row r="30" spans="2:75" ht="23.25" thickBot="1">
      <c r="B30" s="214" t="s">
        <v>21</v>
      </c>
      <c r="C30" s="363" t="str">
        <f>C35</f>
        <v>Famille à coller.N.Nom de votre recette.Recette mère ►.S.Saisissez le nom de la recette mère</v>
      </c>
      <c r="D30" s="362"/>
      <c r="E30" s="362"/>
      <c r="F30" s="361" t="s">
        <v>245</v>
      </c>
      <c r="G30" s="360" t="s">
        <v>244</v>
      </c>
      <c r="H30" s="7649"/>
      <c r="I30" s="7649"/>
      <c r="J30" s="7603"/>
      <c r="K30" s="7603"/>
      <c r="L30" s="7604"/>
      <c r="N30" s="42" t="str">
        <f t="shared" si="16"/>
        <v>A</v>
      </c>
      <c r="O30" s="41" t="str">
        <f>O16</f>
        <v>Famille à coller.N.Nom de votre recette.Recette mère ►.S.Saisissez le nom de la recette mère</v>
      </c>
      <c r="P30" s="40">
        <f>P16</f>
        <v>6</v>
      </c>
      <c r="Q30" s="40" t="str">
        <f>Q16</f>
        <v>couverts</v>
      </c>
      <c r="R30" s="213"/>
      <c r="S30" s="212"/>
      <c r="T30" s="211" t="str">
        <f t="shared" si="11"/>
        <v/>
      </c>
      <c r="U30" s="210"/>
      <c r="V30" s="209"/>
      <c r="W30" s="5448">
        <v>1</v>
      </c>
      <c r="X30" s="33" t="s">
        <v>1097</v>
      </c>
      <c r="Z30" s="42" t="str">
        <f t="shared" si="17"/>
        <v>►</v>
      </c>
      <c r="AA30" s="41" t="str">
        <f>AA16</f>
        <v>Famille à coller.N.Nom de votre recette.Recette mère ►.S.Saisissez le nom de la recette mère</v>
      </c>
      <c r="AB30" s="40">
        <f>AB16</f>
        <v>6</v>
      </c>
      <c r="AC30" s="39" t="str">
        <f>AC16</f>
        <v>couverts</v>
      </c>
      <c r="AD30" s="213"/>
      <c r="AE30" s="256"/>
      <c r="AF30" s="211" t="str">
        <f t="shared" si="12"/>
        <v/>
      </c>
      <c r="AG30" s="210"/>
      <c r="AH30" s="209"/>
      <c r="AI30" s="5448">
        <v>1</v>
      </c>
      <c r="AJ30" s="33"/>
      <c r="AL30" s="42" t="str">
        <f t="shared" si="18"/>
        <v>►</v>
      </c>
      <c r="AM30" s="41" t="str">
        <f>AM16</f>
        <v>Famille à coller.N.Nom de votre recette.Recette mère ►.S.Saisissez le nom de la recette mère</v>
      </c>
      <c r="AN30" s="40">
        <f>AN16</f>
        <v>6</v>
      </c>
      <c r="AO30" s="39" t="str">
        <f>AO16</f>
        <v>couverts</v>
      </c>
      <c r="AP30" s="213"/>
      <c r="AQ30" s="256"/>
      <c r="AR30" s="211" t="str">
        <f t="shared" si="13"/>
        <v/>
      </c>
      <c r="AS30" s="210"/>
      <c r="AT30" s="209"/>
      <c r="AU30" s="5448">
        <v>1</v>
      </c>
      <c r="AV30" s="33"/>
      <c r="AX30" s="42" t="str">
        <f t="shared" si="19"/>
        <v>A</v>
      </c>
      <c r="AY30" s="41" t="str">
        <f>AY16</f>
        <v>Famille à coller.N.Nom de votre recette.Recette mère ►.S.Saisissez le nom de la recette mère</v>
      </c>
      <c r="AZ30" s="40">
        <f>AZ16</f>
        <v>6</v>
      </c>
      <c r="BA30" s="39" t="str">
        <f>BA16</f>
        <v>couverts</v>
      </c>
      <c r="BB30" s="213" t="s">
        <v>26</v>
      </c>
      <c r="BC30" s="212"/>
      <c r="BD30" s="211" t="str">
        <f>IF(OR(ISTEXT(BB30), BB30&lt;=0, BE30&lt;=0), "", "de")</f>
        <v/>
      </c>
      <c r="BE30" s="210">
        <v>70</v>
      </c>
      <c r="BF30" s="251" t="s">
        <v>130</v>
      </c>
      <c r="BG30" s="5448">
        <v>1</v>
      </c>
      <c r="BH30" s="33" t="s">
        <v>165</v>
      </c>
      <c r="BJ30" s="98"/>
      <c r="BK30" s="97"/>
      <c r="BL30" s="97"/>
      <c r="BM30" s="96"/>
      <c r="BN30" s="62"/>
      <c r="BO30" s="954"/>
      <c r="BP30" s="961" t="s">
        <v>861</v>
      </c>
      <c r="BQ30" s="955"/>
      <c r="BR30" s="955"/>
      <c r="BS30" s="955"/>
      <c r="BT30" s="955"/>
      <c r="BU30" s="956"/>
      <c r="BW30" s="5">
        <v>1</v>
      </c>
    </row>
    <row r="31" spans="2:75" ht="19.5" thickBot="1">
      <c r="B31" s="214" t="s">
        <v>21</v>
      </c>
      <c r="C31" s="354" t="str">
        <f>C35</f>
        <v>Famille à coller.N.Nom de votre recette.Recette mère ►.S.Saisissez le nom de la recette mère</v>
      </c>
      <c r="D31" s="353"/>
      <c r="E31" s="352"/>
      <c r="F31" s="351"/>
      <c r="G31" s="350" t="s">
        <v>233</v>
      </c>
      <c r="H31" s="349"/>
      <c r="I31" s="348" t="s">
        <v>232</v>
      </c>
      <c r="J31" s="347" t="s">
        <v>1092</v>
      </c>
      <c r="K31" s="141"/>
      <c r="L31" s="346"/>
      <c r="N31" s="42" t="str">
        <f t="shared" si="16"/>
        <v>A</v>
      </c>
      <c r="O31" s="41" t="str">
        <f>O16</f>
        <v>Famille à coller.N.Nom de votre recette.Recette mère ►.S.Saisissez le nom de la recette mère</v>
      </c>
      <c r="P31" s="40">
        <f>P16</f>
        <v>6</v>
      </c>
      <c r="Q31" s="40" t="str">
        <f>Q16</f>
        <v>couverts</v>
      </c>
      <c r="R31" s="213"/>
      <c r="S31" s="212"/>
      <c r="T31" s="211" t="str">
        <f t="shared" si="11"/>
        <v/>
      </c>
      <c r="U31" s="210"/>
      <c r="V31" s="209"/>
      <c r="W31" s="5448">
        <v>1</v>
      </c>
      <c r="X31" s="33" t="s">
        <v>1099</v>
      </c>
      <c r="Z31" s="42" t="str">
        <f t="shared" si="17"/>
        <v>►</v>
      </c>
      <c r="AA31" s="41" t="str">
        <f>AA16</f>
        <v>Famille à coller.N.Nom de votre recette.Recette mère ►.S.Saisissez le nom de la recette mère</v>
      </c>
      <c r="AB31" s="40">
        <f>AB16</f>
        <v>6</v>
      </c>
      <c r="AC31" s="39" t="str">
        <f>AC16</f>
        <v>couverts</v>
      </c>
      <c r="AD31" s="213"/>
      <c r="AE31" s="256"/>
      <c r="AF31" s="211" t="str">
        <f t="shared" si="12"/>
        <v/>
      </c>
      <c r="AG31" s="210"/>
      <c r="AH31" s="209"/>
      <c r="AI31" s="5448">
        <v>1</v>
      </c>
      <c r="AJ31" s="33"/>
      <c r="AL31" s="42" t="str">
        <f t="shared" si="18"/>
        <v>►</v>
      </c>
      <c r="AM31" s="41" t="str">
        <f>AM16</f>
        <v>Famille à coller.N.Nom de votre recette.Recette mère ►.S.Saisissez le nom de la recette mère</v>
      </c>
      <c r="AN31" s="40">
        <f>AN16</f>
        <v>6</v>
      </c>
      <c r="AO31" s="39" t="str">
        <f>AO16</f>
        <v>couverts</v>
      </c>
      <c r="AP31" s="213"/>
      <c r="AQ31" s="256"/>
      <c r="AR31" s="211" t="str">
        <f t="shared" si="13"/>
        <v/>
      </c>
      <c r="AS31" s="210"/>
      <c r="AT31" s="209"/>
      <c r="AU31" s="5448">
        <v>1</v>
      </c>
      <c r="AV31" s="33"/>
      <c r="AX31" s="42" t="str">
        <f t="shared" si="19"/>
        <v>►</v>
      </c>
      <c r="AY31" s="41" t="str">
        <f>AY16</f>
        <v>Famille à coller.N.Nom de votre recette.Recette mère ►.S.Saisissez le nom de la recette mère</v>
      </c>
      <c r="AZ31" s="40">
        <f>AZ16</f>
        <v>6</v>
      </c>
      <c r="BA31" s="39" t="str">
        <f>BA16</f>
        <v>couverts</v>
      </c>
      <c r="BB31" s="213"/>
      <c r="BC31" s="212"/>
      <c r="BD31" s="211" t="str">
        <f t="shared" ref="BD31:BD61" si="20">IF(OR(ISTEXT(BB31), BB31&lt;=0, BE31&lt;=0), "", "de")</f>
        <v/>
      </c>
      <c r="BE31" s="210"/>
      <c r="BF31" s="209"/>
      <c r="BG31" s="5448">
        <v>1</v>
      </c>
      <c r="BH31" s="33"/>
      <c r="BJ31" s="973" t="s">
        <v>247</v>
      </c>
      <c r="BK31" s="974"/>
      <c r="BL31" s="975"/>
      <c r="BM31" s="96"/>
      <c r="BN31" s="62"/>
      <c r="BO31" s="976" t="s">
        <v>218</v>
      </c>
      <c r="BP31" s="977">
        <v>9</v>
      </c>
      <c r="BQ31" s="978" t="s">
        <v>862</v>
      </c>
      <c r="BR31" s="979"/>
      <c r="BS31" s="979"/>
      <c r="BT31" s="979"/>
      <c r="BU31" s="980"/>
      <c r="BW31" s="5">
        <v>1</v>
      </c>
    </row>
    <row r="32" spans="2:75" ht="18" customHeight="1" thickBot="1">
      <c r="B32" s="214" t="s">
        <v>21</v>
      </c>
      <c r="C32" s="40" t="str">
        <f>C35</f>
        <v>Famille à coller.N.Nom de votre recette.Recette mère ►.S.Saisissez le nom de la recette mère</v>
      </c>
      <c r="D32" s="40"/>
      <c r="E32" s="40"/>
      <c r="F32" s="333" t="s">
        <v>228</v>
      </c>
      <c r="G32" s="341"/>
      <c r="H32" s="341"/>
      <c r="I32" s="340" t="s">
        <v>227</v>
      </c>
      <c r="J32" s="6901" t="str">
        <f>F35</f>
        <v>Famille à coller.N.Nom de votre recette.Recette mère ►.S.Saisissez le nom de la recette mère</v>
      </c>
      <c r="K32" s="6901"/>
      <c r="L32" s="7612"/>
      <c r="N32" s="42" t="str">
        <f t="shared" si="16"/>
        <v>►</v>
      </c>
      <c r="O32" s="41" t="str">
        <f>O17</f>
        <v>Famille à coller.N.Nom de votre recette.Recette mère ►.S.Saisissez le nom de la recette mère</v>
      </c>
      <c r="P32" s="40">
        <f>P16</f>
        <v>6</v>
      </c>
      <c r="Q32" s="40" t="str">
        <f>Q16</f>
        <v>couverts</v>
      </c>
      <c r="R32" s="213"/>
      <c r="S32" s="212"/>
      <c r="T32" s="211" t="str">
        <f t="shared" si="11"/>
        <v/>
      </c>
      <c r="U32" s="210"/>
      <c r="V32" s="209"/>
      <c r="W32" s="5448">
        <v>1</v>
      </c>
      <c r="X32" s="33"/>
      <c r="Z32" s="42" t="str">
        <f t="shared" si="17"/>
        <v>►</v>
      </c>
      <c r="AA32" s="41" t="str">
        <f>AA16</f>
        <v>Famille à coller.N.Nom de votre recette.Recette mère ►.S.Saisissez le nom de la recette mère</v>
      </c>
      <c r="AB32" s="40">
        <f>AB16</f>
        <v>6</v>
      </c>
      <c r="AC32" s="39" t="str">
        <f>AC16</f>
        <v>couverts</v>
      </c>
      <c r="AD32" s="213"/>
      <c r="AE32" s="256"/>
      <c r="AF32" s="211" t="str">
        <f t="shared" si="12"/>
        <v/>
      </c>
      <c r="AG32" s="210"/>
      <c r="AH32" s="209"/>
      <c r="AI32" s="5448">
        <v>1</v>
      </c>
      <c r="AJ32" s="33"/>
      <c r="AL32" s="42" t="str">
        <f t="shared" si="18"/>
        <v>►</v>
      </c>
      <c r="AM32" s="41" t="str">
        <f>AM16</f>
        <v>Famille à coller.N.Nom de votre recette.Recette mère ►.S.Saisissez le nom de la recette mère</v>
      </c>
      <c r="AN32" s="40">
        <f>AN16</f>
        <v>6</v>
      </c>
      <c r="AO32" s="39" t="str">
        <f>AO16</f>
        <v>couverts</v>
      </c>
      <c r="AP32" s="213"/>
      <c r="AQ32" s="256"/>
      <c r="AR32" s="211" t="str">
        <f t="shared" si="13"/>
        <v/>
      </c>
      <c r="AS32" s="210"/>
      <c r="AT32" s="209"/>
      <c r="AU32" s="5448">
        <v>1</v>
      </c>
      <c r="AV32" s="33"/>
      <c r="AX32" s="42" t="str">
        <f t="shared" si="19"/>
        <v>►</v>
      </c>
      <c r="AY32" s="41" t="str">
        <f>AY16</f>
        <v>Famille à coller.N.Nom de votre recette.Recette mère ►.S.Saisissez le nom de la recette mère</v>
      </c>
      <c r="AZ32" s="40">
        <f>AZ16</f>
        <v>6</v>
      </c>
      <c r="BA32" s="39" t="str">
        <f>BA16</f>
        <v>couverts</v>
      </c>
      <c r="BB32" s="213"/>
      <c r="BC32" s="212"/>
      <c r="BD32" s="211" t="str">
        <f t="shared" si="20"/>
        <v/>
      </c>
      <c r="BE32" s="210"/>
      <c r="BF32" s="209"/>
      <c r="BG32" s="5448">
        <v>1</v>
      </c>
      <c r="BH32" s="33"/>
      <c r="BJ32" s="981" t="s">
        <v>863</v>
      </c>
      <c r="BK32" s="982"/>
      <c r="BL32" s="983"/>
      <c r="BM32" s="96"/>
      <c r="BN32" s="62"/>
      <c r="BO32" s="574" t="s">
        <v>864</v>
      </c>
      <c r="BP32" s="102"/>
      <c r="BQ32" s="102"/>
      <c r="BR32" s="102"/>
      <c r="BS32" s="102"/>
      <c r="BT32" s="102"/>
      <c r="BU32" s="609"/>
      <c r="BW32" s="5">
        <v>1</v>
      </c>
    </row>
    <row r="33" spans="2:75" ht="15.75" customHeight="1">
      <c r="B33" s="214" t="s">
        <v>21</v>
      </c>
      <c r="C33" s="40" t="str">
        <f>C35</f>
        <v>Famille à coller.N.Nom de votre recette.Recette mère ►.S.Saisissez le nom de la recette mère</v>
      </c>
      <c r="D33" s="40"/>
      <c r="E33" s="40"/>
      <c r="F33" s="5453">
        <v>6</v>
      </c>
      <c r="G33" s="5452" t="s">
        <v>73</v>
      </c>
      <c r="H33" s="333"/>
      <c r="I33" s="333"/>
      <c r="J33" s="6901"/>
      <c r="K33" s="6901"/>
      <c r="L33" s="7612"/>
      <c r="N33" s="42" t="str">
        <f t="shared" si="16"/>
        <v>►</v>
      </c>
      <c r="O33" s="41" t="str">
        <f>O18</f>
        <v>Famille à coller.N.Nom de votre recette.Recette mère ►.S.Saisissez le nom de la recette mère</v>
      </c>
      <c r="P33" s="40">
        <f>P16</f>
        <v>6</v>
      </c>
      <c r="Q33" s="40" t="str">
        <f>Q16</f>
        <v>couverts</v>
      </c>
      <c r="R33" s="213"/>
      <c r="S33" s="212"/>
      <c r="T33" s="211" t="str">
        <f t="shared" si="11"/>
        <v/>
      </c>
      <c r="U33" s="210"/>
      <c r="V33" s="209"/>
      <c r="W33" s="5448">
        <v>1</v>
      </c>
      <c r="X33" s="33"/>
      <c r="Z33" s="42" t="str">
        <f t="shared" si="17"/>
        <v>►</v>
      </c>
      <c r="AA33" s="41" t="str">
        <f>AA16</f>
        <v>Famille à coller.N.Nom de votre recette.Recette mère ►.S.Saisissez le nom de la recette mère</v>
      </c>
      <c r="AB33" s="40">
        <f>AB16</f>
        <v>6</v>
      </c>
      <c r="AC33" s="39" t="str">
        <f>AC16</f>
        <v>couverts</v>
      </c>
      <c r="AD33" s="213"/>
      <c r="AE33" s="256"/>
      <c r="AF33" s="211" t="str">
        <f t="shared" si="12"/>
        <v/>
      </c>
      <c r="AG33" s="210"/>
      <c r="AH33" s="209"/>
      <c r="AI33" s="5448">
        <v>1</v>
      </c>
      <c r="AJ33" s="33"/>
      <c r="AL33" s="42" t="str">
        <f t="shared" si="18"/>
        <v>►</v>
      </c>
      <c r="AM33" s="41" t="str">
        <f>AM16</f>
        <v>Famille à coller.N.Nom de votre recette.Recette mère ►.S.Saisissez le nom de la recette mère</v>
      </c>
      <c r="AN33" s="40">
        <f>AN16</f>
        <v>6</v>
      </c>
      <c r="AO33" s="39" t="str">
        <f>AO16</f>
        <v>couverts</v>
      </c>
      <c r="AP33" s="213"/>
      <c r="AQ33" s="256"/>
      <c r="AR33" s="211" t="str">
        <f t="shared" si="13"/>
        <v/>
      </c>
      <c r="AS33" s="210"/>
      <c r="AT33" s="209"/>
      <c r="AU33" s="5448">
        <v>1</v>
      </c>
      <c r="AV33" s="33"/>
      <c r="AX33" s="42" t="str">
        <f t="shared" si="19"/>
        <v>►</v>
      </c>
      <c r="AY33" s="41" t="str">
        <f>AY16</f>
        <v>Famille à coller.N.Nom de votre recette.Recette mère ►.S.Saisissez le nom de la recette mère</v>
      </c>
      <c r="AZ33" s="40">
        <f>AZ16</f>
        <v>6</v>
      </c>
      <c r="BA33" s="39" t="str">
        <f>BA16</f>
        <v>couverts</v>
      </c>
      <c r="BB33" s="213"/>
      <c r="BC33" s="212"/>
      <c r="BD33" s="211" t="str">
        <f t="shared" si="20"/>
        <v/>
      </c>
      <c r="BE33" s="210"/>
      <c r="BF33" s="209"/>
      <c r="BG33" s="5448">
        <v>1</v>
      </c>
      <c r="BH33" s="33"/>
      <c r="BJ33" s="984" t="s">
        <v>226</v>
      </c>
      <c r="BK33" s="336">
        <v>0</v>
      </c>
      <c r="BL33" s="985" t="s">
        <v>865</v>
      </c>
      <c r="BM33" s="96"/>
      <c r="BN33" s="62"/>
      <c r="BO33" s="986" t="s">
        <v>866</v>
      </c>
      <c r="BP33" s="147"/>
      <c r="BQ33" s="147"/>
      <c r="BR33" s="147"/>
      <c r="BS33" s="147"/>
      <c r="BT33" s="147"/>
      <c r="BU33" s="609"/>
      <c r="BW33" s="5">
        <v>1</v>
      </c>
    </row>
    <row r="34" spans="2:75" ht="18" thickBot="1">
      <c r="B34" s="214" t="s">
        <v>26</v>
      </c>
      <c r="C34" s="40" t="str">
        <f>C35</f>
        <v>Famille à coller.N.Nom de votre recette.Recette mère ►.S.Saisissez le nom de la recette mère</v>
      </c>
      <c r="D34" s="40"/>
      <c r="E34" s="40"/>
      <c r="F34" s="327"/>
      <c r="G34" s="326"/>
      <c r="H34" s="326"/>
      <c r="I34" s="326"/>
      <c r="J34" s="326"/>
      <c r="K34" s="326"/>
      <c r="L34" s="1311"/>
      <c r="N34" s="205" t="s">
        <v>21</v>
      </c>
      <c r="O34" s="204" t="str">
        <f>O23</f>
        <v>Famille à coller.N.Nom de votre recette.Recette mère ►.S.Saisissez le nom de la recette mère</v>
      </c>
      <c r="P34" s="1027">
        <f>P23</f>
        <v>6</v>
      </c>
      <c r="Q34" s="202" t="str">
        <f>Q23</f>
        <v>couverts</v>
      </c>
      <c r="R34" s="1028" t="s">
        <v>86</v>
      </c>
      <c r="S34" s="1029"/>
      <c r="T34" s="200"/>
      <c r="U34" s="200"/>
      <c r="V34" s="200"/>
      <c r="W34" s="200"/>
      <c r="X34" s="199"/>
      <c r="Z34" s="42" t="str">
        <f t="shared" si="17"/>
        <v>►</v>
      </c>
      <c r="AA34" s="41" t="str">
        <f>AA16</f>
        <v>Famille à coller.N.Nom de votre recette.Recette mère ►.S.Saisissez le nom de la recette mère</v>
      </c>
      <c r="AB34" s="40">
        <f>AB16</f>
        <v>6</v>
      </c>
      <c r="AC34" s="39" t="str">
        <f>AC16</f>
        <v>couverts</v>
      </c>
      <c r="AD34" s="213"/>
      <c r="AE34" s="256"/>
      <c r="AF34" s="211" t="str">
        <f t="shared" si="12"/>
        <v/>
      </c>
      <c r="AG34" s="210"/>
      <c r="AH34" s="209"/>
      <c r="AI34" s="5448">
        <v>1</v>
      </c>
      <c r="AJ34" s="33"/>
      <c r="AL34" s="42" t="str">
        <f t="shared" si="18"/>
        <v>►</v>
      </c>
      <c r="AM34" s="41" t="str">
        <f>AM16</f>
        <v>Famille à coller.N.Nom de votre recette.Recette mère ►.S.Saisissez le nom de la recette mère</v>
      </c>
      <c r="AN34" s="40">
        <f>AN16</f>
        <v>6</v>
      </c>
      <c r="AO34" s="39" t="str">
        <f>AO16</f>
        <v>couverts</v>
      </c>
      <c r="AP34" s="213"/>
      <c r="AQ34" s="256"/>
      <c r="AR34" s="211" t="str">
        <f t="shared" si="13"/>
        <v/>
      </c>
      <c r="AS34" s="210"/>
      <c r="AT34" s="209"/>
      <c r="AU34" s="5448">
        <v>1</v>
      </c>
      <c r="AV34" s="33"/>
      <c r="AX34" s="42" t="str">
        <f t="shared" si="19"/>
        <v>►</v>
      </c>
      <c r="AY34" s="41" t="str">
        <f>AY16</f>
        <v>Famille à coller.N.Nom de votre recette.Recette mère ►.S.Saisissez le nom de la recette mère</v>
      </c>
      <c r="AZ34" s="40">
        <f>AZ16</f>
        <v>6</v>
      </c>
      <c r="BA34" s="39" t="str">
        <f>BA16</f>
        <v>couverts</v>
      </c>
      <c r="BB34" s="213"/>
      <c r="BC34" s="212"/>
      <c r="BD34" s="211" t="str">
        <f t="shared" si="20"/>
        <v/>
      </c>
      <c r="BE34" s="210"/>
      <c r="BF34" s="209"/>
      <c r="BG34" s="5448">
        <v>1</v>
      </c>
      <c r="BH34" s="33"/>
      <c r="BJ34" s="984" t="s">
        <v>225</v>
      </c>
      <c r="BK34" s="273">
        <v>0</v>
      </c>
      <c r="BL34" s="987" t="s">
        <v>867</v>
      </c>
      <c r="BM34" s="96"/>
      <c r="BN34" s="62"/>
      <c r="BO34" s="986"/>
      <c r="BP34" s="988"/>
      <c r="BQ34" s="988"/>
      <c r="BR34" s="988"/>
      <c r="BS34" s="988"/>
      <c r="BT34" s="988"/>
      <c r="BU34" s="989"/>
      <c r="BV34" s="1"/>
      <c r="BW34" s="5">
        <v>1</v>
      </c>
    </row>
    <row r="35" spans="2:75" ht="18" thickBot="1">
      <c r="B35" s="319" t="s">
        <v>26</v>
      </c>
      <c r="C35" s="318" t="str">
        <f>F35</f>
        <v>Famille à coller.N.Nom de votre recette.Recette mère ►.S.Saisissez le nom de la recette mère</v>
      </c>
      <c r="D35" s="318">
        <f>F33</f>
        <v>6</v>
      </c>
      <c r="E35" s="318" t="str">
        <f>G33</f>
        <v>couverts</v>
      </c>
      <c r="F35" s="5486" t="str">
        <f>UPPER(LEFT(H29,1))&amp;LOWER(MID(H29,2,999))&amp;"."&amp;UPPER(LEFT(J29,1))&amp;"."&amp;UPPER(LEFT(J29,1))&amp;LOWER(MID(J29,2,999))&amp;"."&amp;IF(ISTEXT(L35),K35&amp;"."&amp;UPPER(LEFT(L35,1))&amp;"."&amp;UPPER(LEFT(L35,1))&amp;LOWER(MID(L35,2,999)),G35)</f>
        <v>Famille à coller.N.Nom de votre recette.Recette mère ►.S.Saisissez le nom de la recette mère</v>
      </c>
      <c r="G35" s="5487" t="s">
        <v>223</v>
      </c>
      <c r="H35" s="7613" t="s">
        <v>222</v>
      </c>
      <c r="I35" s="7613"/>
      <c r="J35" s="7613"/>
      <c r="K35" s="317" t="s">
        <v>221</v>
      </c>
      <c r="L35" s="1302" t="s">
        <v>1093</v>
      </c>
      <c r="N35" s="1312" t="s">
        <v>21</v>
      </c>
      <c r="Z35" s="42" t="str">
        <f t="shared" si="17"/>
        <v>►</v>
      </c>
      <c r="AA35" s="41" t="str">
        <f>AA16</f>
        <v>Famille à coller.N.Nom de votre recette.Recette mère ►.S.Saisissez le nom de la recette mère</v>
      </c>
      <c r="AB35" s="40">
        <f>AB16</f>
        <v>6</v>
      </c>
      <c r="AC35" s="39" t="str">
        <f>AC16</f>
        <v>couverts</v>
      </c>
      <c r="AD35" s="213"/>
      <c r="AE35" s="256"/>
      <c r="AF35" s="211" t="str">
        <f t="shared" si="12"/>
        <v/>
      </c>
      <c r="AG35" s="210"/>
      <c r="AH35" s="209"/>
      <c r="AI35" s="5448">
        <v>1</v>
      </c>
      <c r="AJ35" s="33"/>
      <c r="AL35" s="42" t="str">
        <f t="shared" si="18"/>
        <v>►</v>
      </c>
      <c r="AM35" s="41" t="str">
        <f>AM16</f>
        <v>Famille à coller.N.Nom de votre recette.Recette mère ►.S.Saisissez le nom de la recette mère</v>
      </c>
      <c r="AN35" s="40">
        <f>AN16</f>
        <v>6</v>
      </c>
      <c r="AO35" s="39" t="str">
        <f>AO16</f>
        <v>couverts</v>
      </c>
      <c r="AP35" s="213"/>
      <c r="AQ35" s="256"/>
      <c r="AR35" s="211" t="str">
        <f t="shared" si="13"/>
        <v/>
      </c>
      <c r="AS35" s="210"/>
      <c r="AT35" s="209"/>
      <c r="AU35" s="5448">
        <v>1</v>
      </c>
      <c r="AV35" s="33"/>
      <c r="AX35" s="42" t="str">
        <f t="shared" si="19"/>
        <v>►</v>
      </c>
      <c r="AY35" s="41" t="str">
        <f>AY16</f>
        <v>Famille à coller.N.Nom de votre recette.Recette mère ►.S.Saisissez le nom de la recette mère</v>
      </c>
      <c r="AZ35" s="40">
        <f>AZ16</f>
        <v>6</v>
      </c>
      <c r="BA35" s="39" t="str">
        <f>BA16</f>
        <v>couverts</v>
      </c>
      <c r="BB35" s="213"/>
      <c r="BC35" s="212"/>
      <c r="BD35" s="211" t="str">
        <f t="shared" si="20"/>
        <v/>
      </c>
      <c r="BE35" s="210"/>
      <c r="BF35" s="209"/>
      <c r="BG35" s="5448">
        <v>1</v>
      </c>
      <c r="BH35" s="33"/>
      <c r="BJ35" s="984" t="s">
        <v>224</v>
      </c>
      <c r="BK35" s="273">
        <v>0</v>
      </c>
      <c r="BL35" s="987" t="s">
        <v>868</v>
      </c>
      <c r="BM35" s="96"/>
      <c r="BN35" s="62"/>
      <c r="BO35" s="986"/>
      <c r="BP35" s="988"/>
      <c r="BQ35" s="988"/>
      <c r="BR35" s="988"/>
      <c r="BS35" s="988"/>
      <c r="BT35" s="988"/>
      <c r="BU35" s="989"/>
      <c r="BV35" s="1"/>
      <c r="BW35" s="5">
        <v>1</v>
      </c>
    </row>
    <row r="36" spans="2:75" ht="15.75" customHeight="1">
      <c r="B36" s="5477" t="s">
        <v>21</v>
      </c>
      <c r="C36" s="1313" t="str">
        <f t="shared" ref="C36:E37" si="21">C35</f>
        <v>Famille à coller.N.Nom de votre recette.Recette mère ►.S.Saisissez le nom de la recette mère</v>
      </c>
      <c r="D36" s="1313">
        <f t="shared" si="21"/>
        <v>6</v>
      </c>
      <c r="E36" s="1313" t="str">
        <f t="shared" si="21"/>
        <v>couverts</v>
      </c>
      <c r="F36" s="1314" t="s">
        <v>218</v>
      </c>
      <c r="G36" s="1314" cm="1">
        <f t="array" ref="G36">IFERROR(ROW(F45)-(ROW(F37)+MATCH(TRUE,INDEX(ISNUMBER(FIND(K36,TRIM(SUBSTITUTE(SUBSTITUTE(SUBSTITUTE(SUBSTITUTE(SUBSTITUTE(SUBSTITUTE(SUBSTITUTE(LOWER(F37:F45),"é","e"),"è","e"),"ê","e"),"ë","e"),"à","a"),"ù","u"),"î","i")))),0),0)-1),1)</f>
        <v>8</v>
      </c>
      <c r="H36" s="1315" t="s">
        <v>1108</v>
      </c>
      <c r="I36" s="1316"/>
      <c r="J36" s="1316"/>
      <c r="K36" s="1317" t="str">
        <f>TRIM(SUBSTITUTE(SUBSTITUTE(SUBSTITUTE(SUBSTITUTE(SUBSTITUTE(SUBSTITUTE(SUBSTITUTE(LOWER(L36),"é","e"),"è","e"),"ê","e"),"ë","e"),"à","a"),"ù","u"),"î","i"))</f>
        <v>⓬ ▼ phases de progression</v>
      </c>
      <c r="L36" s="1318" t="s">
        <v>864</v>
      </c>
      <c r="N36" s="5465" t="s">
        <v>21</v>
      </c>
      <c r="O36" s="368" t="str">
        <f>O42</f>
        <v>Famille à coller.N.Nom de votre recette.Recette mère ►.S.Saisissez le nom de la recette mère</v>
      </c>
      <c r="P36" s="367">
        <f>P42</f>
        <v>6</v>
      </c>
      <c r="Q36" s="367" t="str">
        <f>Q42</f>
        <v>couverts</v>
      </c>
      <c r="R36" s="366" t="s">
        <v>1</v>
      </c>
      <c r="S36" s="365" t="s">
        <v>251</v>
      </c>
      <c r="T36" s="7648" t="s">
        <v>1089</v>
      </c>
      <c r="U36" s="7648"/>
      <c r="V36" s="7601" t="s">
        <v>1090</v>
      </c>
      <c r="W36" s="7601"/>
      <c r="X36" s="7602"/>
      <c r="Z36" s="42" t="str">
        <f t="shared" si="17"/>
        <v>►</v>
      </c>
      <c r="AA36" s="41" t="str">
        <f>AA16</f>
        <v>Famille à coller.N.Nom de votre recette.Recette mère ►.S.Saisissez le nom de la recette mère</v>
      </c>
      <c r="AB36" s="40">
        <f>AB16</f>
        <v>6</v>
      </c>
      <c r="AC36" s="39" t="str">
        <f>AC16</f>
        <v>couverts</v>
      </c>
      <c r="AD36" s="213"/>
      <c r="AE36" s="256"/>
      <c r="AF36" s="211" t="str">
        <f t="shared" si="12"/>
        <v/>
      </c>
      <c r="AG36" s="210"/>
      <c r="AH36" s="209"/>
      <c r="AI36" s="5448">
        <v>1</v>
      </c>
      <c r="AJ36" s="33"/>
      <c r="AL36" s="42" t="str">
        <f t="shared" si="18"/>
        <v>►</v>
      </c>
      <c r="AM36" s="41" t="str">
        <f>AM16</f>
        <v>Famille à coller.N.Nom de votre recette.Recette mère ►.S.Saisissez le nom de la recette mère</v>
      </c>
      <c r="AN36" s="40">
        <f>AN16</f>
        <v>6</v>
      </c>
      <c r="AO36" s="39" t="str">
        <f>AO16</f>
        <v>couverts</v>
      </c>
      <c r="AP36" s="213"/>
      <c r="AQ36" s="256"/>
      <c r="AR36" s="211" t="str">
        <f t="shared" si="13"/>
        <v/>
      </c>
      <c r="AS36" s="210"/>
      <c r="AT36" s="209"/>
      <c r="AU36" s="5448">
        <v>1</v>
      </c>
      <c r="AV36" s="33"/>
      <c r="AX36" s="42" t="str">
        <f t="shared" si="19"/>
        <v>►</v>
      </c>
      <c r="AY36" s="41" t="str">
        <f>AY16</f>
        <v>Famille à coller.N.Nom de votre recette.Recette mère ►.S.Saisissez le nom de la recette mère</v>
      </c>
      <c r="AZ36" s="40">
        <f>AZ16</f>
        <v>6</v>
      </c>
      <c r="BA36" s="39" t="str">
        <f>BA16</f>
        <v>couverts</v>
      </c>
      <c r="BB36" s="213"/>
      <c r="BC36" s="212"/>
      <c r="BD36" s="211" t="str">
        <f t="shared" si="20"/>
        <v/>
      </c>
      <c r="BE36" s="210"/>
      <c r="BF36" s="209"/>
      <c r="BG36" s="5448">
        <v>1</v>
      </c>
      <c r="BH36" s="33"/>
      <c r="BJ36" s="990" t="s">
        <v>130</v>
      </c>
      <c r="BK36" s="240">
        <f t="shared" ref="BK36:BK47" si="22">BL36 / 1000</f>
        <v>1E-3</v>
      </c>
      <c r="BL36" s="991">
        <v>1</v>
      </c>
      <c r="BM36" s="96"/>
      <c r="BN36" s="62"/>
      <c r="BO36" s="992" t="s">
        <v>869</v>
      </c>
      <c r="BP36" s="993"/>
      <c r="BQ36" s="993"/>
      <c r="BR36" s="993"/>
      <c r="BS36" s="993"/>
      <c r="BT36" s="993"/>
      <c r="BU36" s="994" t="s">
        <v>870</v>
      </c>
      <c r="BV36" s="1"/>
      <c r="BW36" s="5">
        <v>1</v>
      </c>
    </row>
    <row r="37" spans="2:75" ht="22.5">
      <c r="B37" s="1023" t="s">
        <v>21</v>
      </c>
      <c r="C37" s="196" t="str">
        <f t="shared" si="21"/>
        <v>Famille à coller.N.Nom de votre recette.Recette mère ►.S.Saisissez le nom de la recette mère</v>
      </c>
      <c r="D37" s="196">
        <f t="shared" si="21"/>
        <v>6</v>
      </c>
      <c r="E37" s="196" t="str">
        <f t="shared" si="21"/>
        <v>couverts</v>
      </c>
      <c r="F37" s="1319" t="s">
        <v>864</v>
      </c>
      <c r="G37" s="1320"/>
      <c r="H37" s="1320"/>
      <c r="I37" s="1320"/>
      <c r="J37" s="1321"/>
      <c r="K37" s="1321"/>
      <c r="L37" s="1322"/>
      <c r="N37" s="214" t="s">
        <v>21</v>
      </c>
      <c r="O37" s="363" t="str">
        <f>O42</f>
        <v>Famille à coller.N.Nom de votre recette.Recette mère ►.S.Saisissez le nom de la recette mère</v>
      </c>
      <c r="P37" s="362"/>
      <c r="Q37" s="362"/>
      <c r="R37" s="361" t="s">
        <v>245</v>
      </c>
      <c r="S37" s="360" t="s">
        <v>244</v>
      </c>
      <c r="T37" s="7649"/>
      <c r="U37" s="7649"/>
      <c r="V37" s="7603"/>
      <c r="W37" s="7603"/>
      <c r="X37" s="7604"/>
      <c r="Z37" s="42" t="str">
        <f t="shared" si="17"/>
        <v>►</v>
      </c>
      <c r="AA37" s="41" t="str">
        <f>AA16</f>
        <v>Famille à coller.N.Nom de votre recette.Recette mère ►.S.Saisissez le nom de la recette mère</v>
      </c>
      <c r="AB37" s="40">
        <f>AB16</f>
        <v>6</v>
      </c>
      <c r="AC37" s="39" t="str">
        <f>AC16</f>
        <v>couverts</v>
      </c>
      <c r="AD37" s="213"/>
      <c r="AE37" s="256"/>
      <c r="AF37" s="211" t="str">
        <f t="shared" si="12"/>
        <v/>
      </c>
      <c r="AG37" s="210"/>
      <c r="AH37" s="209"/>
      <c r="AI37" s="5448">
        <v>1</v>
      </c>
      <c r="AJ37" s="33"/>
      <c r="AL37" s="42" t="str">
        <f t="shared" si="18"/>
        <v>►</v>
      </c>
      <c r="AM37" s="41" t="str">
        <f>AM16</f>
        <v>Famille à coller.N.Nom de votre recette.Recette mère ►.S.Saisissez le nom de la recette mère</v>
      </c>
      <c r="AN37" s="40">
        <f>AN16</f>
        <v>6</v>
      </c>
      <c r="AO37" s="39" t="str">
        <f>AO16</f>
        <v>couverts</v>
      </c>
      <c r="AP37" s="213"/>
      <c r="AQ37" s="256"/>
      <c r="AR37" s="211" t="str">
        <f t="shared" si="13"/>
        <v/>
      </c>
      <c r="AS37" s="210"/>
      <c r="AT37" s="209"/>
      <c r="AU37" s="5448">
        <v>1</v>
      </c>
      <c r="AV37" s="33"/>
      <c r="AX37" s="42" t="str">
        <f t="shared" si="19"/>
        <v>►</v>
      </c>
      <c r="AY37" s="41" t="str">
        <f>AY16</f>
        <v>Famille à coller.N.Nom de votre recette.Recette mère ►.S.Saisissez le nom de la recette mère</v>
      </c>
      <c r="AZ37" s="40">
        <f>AZ16</f>
        <v>6</v>
      </c>
      <c r="BA37" s="39" t="str">
        <f>BA16</f>
        <v>couverts</v>
      </c>
      <c r="BB37" s="213"/>
      <c r="BC37" s="212"/>
      <c r="BD37" s="211" t="str">
        <f t="shared" si="20"/>
        <v/>
      </c>
      <c r="BE37" s="210"/>
      <c r="BF37" s="209"/>
      <c r="BG37" s="5448">
        <v>1</v>
      </c>
      <c r="BH37" s="33"/>
      <c r="BJ37" s="995" t="s">
        <v>219</v>
      </c>
      <c r="BK37" s="240">
        <f t="shared" si="22"/>
        <v>1</v>
      </c>
      <c r="BL37" s="991">
        <v>1000</v>
      </c>
      <c r="BM37" s="96"/>
      <c r="BN37" s="62"/>
      <c r="BO37" s="996"/>
      <c r="BP37" s="997"/>
      <c r="BQ37" s="997"/>
      <c r="BR37" s="997"/>
      <c r="BS37" s="997"/>
      <c r="BT37" s="997"/>
      <c r="BU37" s="998" t="s">
        <v>871</v>
      </c>
      <c r="BV37" s="1"/>
      <c r="BW37" s="5">
        <v>1</v>
      </c>
    </row>
    <row r="38" spans="2:75" ht="18.75">
      <c r="B38" s="42" t="str">
        <f t="shared" ref="B38:B45" si="23">IF(OR(F38&lt;&gt;"",G38&lt;&gt; "",H38&lt;&gt;"",I38&lt;&gt;""),"A", "►")</f>
        <v>►</v>
      </c>
      <c r="C38" s="196" t="str">
        <f>C36</f>
        <v>Famille à coller.N.Nom de votre recette.Recette mère ►.S.Saisissez le nom de la recette mère</v>
      </c>
      <c r="D38" s="196">
        <f>D36</f>
        <v>6</v>
      </c>
      <c r="E38" s="196" t="str">
        <f>E36</f>
        <v>couverts</v>
      </c>
      <c r="F38" s="1323"/>
      <c r="G38" s="988"/>
      <c r="H38" s="988"/>
      <c r="I38" s="988"/>
      <c r="J38" s="1320"/>
      <c r="K38" s="1320"/>
      <c r="L38" s="1324"/>
      <c r="N38" s="214" t="s">
        <v>21</v>
      </c>
      <c r="O38" s="354" t="str">
        <f>O42</f>
        <v>Famille à coller.N.Nom de votre recette.Recette mère ►.S.Saisissez le nom de la recette mère</v>
      </c>
      <c r="P38" s="353"/>
      <c r="Q38" s="352"/>
      <c r="R38" s="351"/>
      <c r="S38" s="350" t="s">
        <v>233</v>
      </c>
      <c r="T38" s="349"/>
      <c r="U38" s="348" t="s">
        <v>232</v>
      </c>
      <c r="V38" s="347" t="s">
        <v>1092</v>
      </c>
      <c r="W38" s="141"/>
      <c r="X38" s="346"/>
      <c r="Z38" s="42" t="str">
        <f t="shared" si="17"/>
        <v>►</v>
      </c>
      <c r="AA38" s="41" t="str">
        <f>AA16</f>
        <v>Famille à coller.N.Nom de votre recette.Recette mère ►.S.Saisissez le nom de la recette mère</v>
      </c>
      <c r="AB38" s="40">
        <f>AB16</f>
        <v>6</v>
      </c>
      <c r="AC38" s="39" t="str">
        <f>AC16</f>
        <v>couverts</v>
      </c>
      <c r="AD38" s="213"/>
      <c r="AE38" s="256"/>
      <c r="AF38" s="211" t="str">
        <f t="shared" si="12"/>
        <v/>
      </c>
      <c r="AG38" s="210"/>
      <c r="AH38" s="209"/>
      <c r="AI38" s="5448">
        <v>1</v>
      </c>
      <c r="AJ38" s="33"/>
      <c r="AL38" s="42" t="str">
        <f t="shared" si="18"/>
        <v>►</v>
      </c>
      <c r="AM38" s="41" t="str">
        <f>AM16</f>
        <v>Famille à coller.N.Nom de votre recette.Recette mère ►.S.Saisissez le nom de la recette mère</v>
      </c>
      <c r="AN38" s="40">
        <f>AN16</f>
        <v>6</v>
      </c>
      <c r="AO38" s="39" t="str">
        <f>AO16</f>
        <v>couverts</v>
      </c>
      <c r="AP38" s="213"/>
      <c r="AQ38" s="256"/>
      <c r="AR38" s="211" t="str">
        <f t="shared" si="13"/>
        <v/>
      </c>
      <c r="AS38" s="210"/>
      <c r="AT38" s="209"/>
      <c r="AU38" s="5448">
        <v>1</v>
      </c>
      <c r="AV38" s="33"/>
      <c r="AX38" s="42" t="str">
        <f t="shared" si="19"/>
        <v>►</v>
      </c>
      <c r="AY38" s="41" t="str">
        <f>AY16</f>
        <v>Famille à coller.N.Nom de votre recette.Recette mère ►.S.Saisissez le nom de la recette mère</v>
      </c>
      <c r="AZ38" s="40">
        <f>AZ16</f>
        <v>6</v>
      </c>
      <c r="BA38" s="39" t="str">
        <f>BA16</f>
        <v>couverts</v>
      </c>
      <c r="BB38" s="213"/>
      <c r="BC38" s="212"/>
      <c r="BD38" s="211" t="str">
        <f t="shared" si="20"/>
        <v/>
      </c>
      <c r="BE38" s="210"/>
      <c r="BF38" s="209"/>
      <c r="BG38" s="5448">
        <v>1</v>
      </c>
      <c r="BH38" s="33"/>
      <c r="BJ38" s="999" t="s">
        <v>188</v>
      </c>
      <c r="BK38" s="240">
        <f t="shared" si="22"/>
        <v>0.25</v>
      </c>
      <c r="BL38" s="991">
        <v>250</v>
      </c>
      <c r="BM38" s="96"/>
      <c r="BN38" s="62"/>
      <c r="BO38" s="1000"/>
      <c r="BP38" s="997"/>
      <c r="BQ38" s="997"/>
      <c r="BR38" s="997"/>
      <c r="BS38" s="997"/>
      <c r="BT38" s="997"/>
      <c r="BU38" s="998" t="s">
        <v>872</v>
      </c>
      <c r="BV38" s="1"/>
      <c r="BW38" s="5">
        <v>1</v>
      </c>
    </row>
    <row r="39" spans="2:75" ht="17.25" customHeight="1">
      <c r="B39" s="42" t="str">
        <f t="shared" si="23"/>
        <v>►</v>
      </c>
      <c r="C39" s="196" t="str">
        <f>C36</f>
        <v>Famille à coller.N.Nom de votre recette.Recette mère ►.S.Saisissez le nom de la recette mère</v>
      </c>
      <c r="D39" s="196">
        <f>D36</f>
        <v>6</v>
      </c>
      <c r="E39" s="196" t="str">
        <f>E36</f>
        <v>couverts</v>
      </c>
      <c r="F39" s="1323"/>
      <c r="G39" s="988"/>
      <c r="H39" s="988"/>
      <c r="I39" s="988"/>
      <c r="J39" s="988"/>
      <c r="K39" s="988"/>
      <c r="L39" s="1325"/>
      <c r="N39" s="214" t="s">
        <v>21</v>
      </c>
      <c r="O39" s="40" t="str">
        <f>O42</f>
        <v>Famille à coller.N.Nom de votre recette.Recette mère ►.S.Saisissez le nom de la recette mère</v>
      </c>
      <c r="P39" s="40"/>
      <c r="Q39" s="40"/>
      <c r="R39" s="333" t="s">
        <v>228</v>
      </c>
      <c r="S39" s="341"/>
      <c r="T39" s="341"/>
      <c r="U39" s="340" t="s">
        <v>227</v>
      </c>
      <c r="V39" s="6901" t="str">
        <f>R42</f>
        <v>Famille à coller.N.Nom de votre recette.Recette mère ►.S.Saisissez le nom de la recette mère</v>
      </c>
      <c r="W39" s="6901"/>
      <c r="X39" s="7612"/>
      <c r="Z39" s="42" t="str">
        <f t="shared" si="17"/>
        <v>►</v>
      </c>
      <c r="AA39" s="41" t="str">
        <f>AA16</f>
        <v>Famille à coller.N.Nom de votre recette.Recette mère ►.S.Saisissez le nom de la recette mère</v>
      </c>
      <c r="AB39" s="40">
        <f>AB16</f>
        <v>6</v>
      </c>
      <c r="AC39" s="39" t="str">
        <f>AC16</f>
        <v>couverts</v>
      </c>
      <c r="AD39" s="213"/>
      <c r="AE39" s="256"/>
      <c r="AF39" s="211" t="str">
        <f t="shared" si="12"/>
        <v/>
      </c>
      <c r="AG39" s="210"/>
      <c r="AH39" s="209"/>
      <c r="AI39" s="5448">
        <v>1</v>
      </c>
      <c r="AJ39" s="33"/>
      <c r="AL39" s="42" t="str">
        <f t="shared" si="18"/>
        <v>►</v>
      </c>
      <c r="AM39" s="41" t="str">
        <f>AM16</f>
        <v>Famille à coller.N.Nom de votre recette.Recette mère ►.S.Saisissez le nom de la recette mère</v>
      </c>
      <c r="AN39" s="40">
        <f>AN16</f>
        <v>6</v>
      </c>
      <c r="AO39" s="39" t="str">
        <f>AO16</f>
        <v>couverts</v>
      </c>
      <c r="AP39" s="213"/>
      <c r="AQ39" s="256"/>
      <c r="AR39" s="211" t="str">
        <f t="shared" si="13"/>
        <v/>
      </c>
      <c r="AS39" s="210"/>
      <c r="AT39" s="209"/>
      <c r="AU39" s="5448">
        <v>1</v>
      </c>
      <c r="AV39" s="33"/>
      <c r="AX39" s="42" t="str">
        <f t="shared" si="19"/>
        <v>►</v>
      </c>
      <c r="AY39" s="41" t="str">
        <f>AY16</f>
        <v>Famille à coller.N.Nom de votre recette.Recette mère ►.S.Saisissez le nom de la recette mère</v>
      </c>
      <c r="AZ39" s="40">
        <f>AZ16</f>
        <v>6</v>
      </c>
      <c r="BA39" s="39" t="str">
        <f>BA16</f>
        <v>couverts</v>
      </c>
      <c r="BB39" s="213"/>
      <c r="BC39" s="212"/>
      <c r="BD39" s="211" t="str">
        <f t="shared" si="20"/>
        <v/>
      </c>
      <c r="BE39" s="210"/>
      <c r="BF39" s="209"/>
      <c r="BG39" s="5448">
        <v>1</v>
      </c>
      <c r="BH39" s="33"/>
      <c r="BJ39" s="999" t="s">
        <v>179</v>
      </c>
      <c r="BK39" s="240">
        <f t="shared" si="22"/>
        <v>0.5</v>
      </c>
      <c r="BL39" s="991">
        <v>500</v>
      </c>
      <c r="BM39" s="96"/>
      <c r="BN39" s="62"/>
      <c r="BO39" s="1001"/>
      <c r="BP39" s="1002"/>
      <c r="BQ39" s="1002" t="s">
        <v>873</v>
      </c>
      <c r="BR39" s="1003"/>
      <c r="BS39" s="1003"/>
      <c r="BT39" s="1003"/>
      <c r="BU39" s="1004"/>
      <c r="BV39" s="1"/>
      <c r="BW39" s="5">
        <v>1</v>
      </c>
    </row>
    <row r="40" spans="2:75" ht="17.25" customHeight="1" thickBot="1">
      <c r="B40" s="42" t="str">
        <f t="shared" si="23"/>
        <v>►</v>
      </c>
      <c r="C40" s="196" t="str">
        <f>C36</f>
        <v>Famille à coller.N.Nom de votre recette.Recette mère ►.S.Saisissez le nom de la recette mère</v>
      </c>
      <c r="D40" s="196">
        <f>D36</f>
        <v>6</v>
      </c>
      <c r="E40" s="196" t="str">
        <f>E36</f>
        <v>couverts</v>
      </c>
      <c r="F40" s="1323"/>
      <c r="G40" s="988"/>
      <c r="H40" s="988"/>
      <c r="I40" s="988"/>
      <c r="J40" s="988" t="s">
        <v>1109</v>
      </c>
      <c r="K40" s="988"/>
      <c r="L40" s="1325"/>
      <c r="N40" s="214" t="s">
        <v>21</v>
      </c>
      <c r="O40" s="40" t="str">
        <f>O42</f>
        <v>Famille à coller.N.Nom de votre recette.Recette mère ►.S.Saisissez le nom de la recette mère</v>
      </c>
      <c r="P40" s="40"/>
      <c r="Q40" s="40"/>
      <c r="R40" s="5453">
        <v>6</v>
      </c>
      <c r="S40" s="5452" t="s">
        <v>73</v>
      </c>
      <c r="T40" s="333"/>
      <c r="U40" s="333"/>
      <c r="V40" s="6901"/>
      <c r="W40" s="6901"/>
      <c r="X40" s="7612"/>
      <c r="Z40" s="42" t="str">
        <f t="shared" si="17"/>
        <v>►</v>
      </c>
      <c r="AA40" s="41" t="str">
        <f>AA18</f>
        <v>Famille à coller.N.Nom de votre recette.Recette mère ►.S.Saisissez le nom de la recette mère</v>
      </c>
      <c r="AB40" s="40">
        <f>AB16</f>
        <v>6</v>
      </c>
      <c r="AC40" s="39" t="str">
        <f>AC16</f>
        <v>couverts</v>
      </c>
      <c r="AD40" s="213"/>
      <c r="AE40" s="256"/>
      <c r="AF40" s="211" t="str">
        <f t="shared" si="12"/>
        <v/>
      </c>
      <c r="AG40" s="210"/>
      <c r="AH40" s="209"/>
      <c r="AI40" s="5448">
        <v>1</v>
      </c>
      <c r="AJ40" s="33"/>
      <c r="AL40" s="42" t="str">
        <f t="shared" si="18"/>
        <v>►</v>
      </c>
      <c r="AM40" s="41" t="str">
        <f>AM16</f>
        <v>Famille à coller.N.Nom de votre recette.Recette mère ►.S.Saisissez le nom de la recette mère</v>
      </c>
      <c r="AN40" s="40">
        <f>AN16</f>
        <v>6</v>
      </c>
      <c r="AO40" s="39" t="str">
        <f>AO16</f>
        <v>couverts</v>
      </c>
      <c r="AP40" s="213"/>
      <c r="AQ40" s="256"/>
      <c r="AR40" s="211" t="str">
        <f t="shared" si="13"/>
        <v/>
      </c>
      <c r="AS40" s="210"/>
      <c r="AT40" s="209"/>
      <c r="AU40" s="5448">
        <v>1</v>
      </c>
      <c r="AV40" s="33"/>
      <c r="AX40" s="42" t="str">
        <f t="shared" si="19"/>
        <v>►</v>
      </c>
      <c r="AY40" s="41" t="str">
        <f>AY16</f>
        <v>Famille à coller.N.Nom de votre recette.Recette mère ►.S.Saisissez le nom de la recette mère</v>
      </c>
      <c r="AZ40" s="40">
        <f>AZ16</f>
        <v>6</v>
      </c>
      <c r="BA40" s="39" t="str">
        <f>BA16</f>
        <v>couverts</v>
      </c>
      <c r="BB40" s="213"/>
      <c r="BC40" s="212"/>
      <c r="BD40" s="211" t="str">
        <f t="shared" si="20"/>
        <v/>
      </c>
      <c r="BE40" s="210"/>
      <c r="BF40" s="209"/>
      <c r="BG40" s="5448">
        <v>1</v>
      </c>
      <c r="BH40" s="33"/>
      <c r="BJ40" s="999" t="s">
        <v>176</v>
      </c>
      <c r="BK40" s="240">
        <f t="shared" si="22"/>
        <v>0.33332999999999996</v>
      </c>
      <c r="BL40" s="991">
        <v>333.33</v>
      </c>
      <c r="BM40" s="96"/>
      <c r="BN40" s="62"/>
      <c r="BO40" s="1005" t="s">
        <v>86</v>
      </c>
      <c r="BP40" s="1006"/>
      <c r="BQ40" s="1007"/>
      <c r="BR40" s="1008"/>
      <c r="BS40" s="1008"/>
      <c r="BT40" s="1008"/>
      <c r="BU40" s="1009"/>
      <c r="BV40" s="1"/>
      <c r="BW40" s="5">
        <v>1</v>
      </c>
    </row>
    <row r="41" spans="2:75" ht="17.25">
      <c r="B41" s="42" t="str">
        <f t="shared" si="23"/>
        <v>►</v>
      </c>
      <c r="C41" s="196" t="str">
        <f>C36</f>
        <v>Famille à coller.N.Nom de votre recette.Recette mère ►.S.Saisissez le nom de la recette mère</v>
      </c>
      <c r="D41" s="196">
        <f>D36</f>
        <v>6</v>
      </c>
      <c r="E41" s="196" t="str">
        <f>E36</f>
        <v>couverts</v>
      </c>
      <c r="F41" s="1323"/>
      <c r="G41" s="988"/>
      <c r="H41" s="988"/>
      <c r="I41" s="988"/>
      <c r="J41" s="988"/>
      <c r="K41" s="988"/>
      <c r="L41" s="1325"/>
      <c r="N41" s="214" t="s">
        <v>26</v>
      </c>
      <c r="O41" s="40" t="str">
        <f>O42</f>
        <v>Famille à coller.N.Nom de votre recette.Recette mère ►.S.Saisissez le nom de la recette mère</v>
      </c>
      <c r="P41" s="40"/>
      <c r="Q41" s="40"/>
      <c r="R41" s="327"/>
      <c r="S41" s="326"/>
      <c r="T41" s="326"/>
      <c r="U41" s="326"/>
      <c r="V41" s="326"/>
      <c r="W41" s="326"/>
      <c r="X41" s="1311"/>
      <c r="Z41" s="214" t="s">
        <v>21</v>
      </c>
      <c r="AA41" s="41" t="str">
        <f>AA18</f>
        <v>Famille à coller.N.Nom de votre recette.Recette mère ►.S.Saisissez le nom de la recette mère</v>
      </c>
      <c r="AB41" s="40">
        <f>AB16</f>
        <v>6</v>
      </c>
      <c r="AC41" s="39" t="str">
        <f>AC16</f>
        <v>couverts</v>
      </c>
      <c r="AD41" s="213"/>
      <c r="AE41" s="256"/>
      <c r="AF41" s="211" t="str">
        <f t="shared" si="12"/>
        <v/>
      </c>
      <c r="AG41" s="210"/>
      <c r="AH41" s="209"/>
      <c r="AI41" s="5448">
        <v>1</v>
      </c>
      <c r="AJ41" s="33"/>
      <c r="AL41" s="42" t="str">
        <f t="shared" si="18"/>
        <v>►</v>
      </c>
      <c r="AM41" s="41" t="str">
        <f>AM16</f>
        <v>Famille à coller.N.Nom de votre recette.Recette mère ►.S.Saisissez le nom de la recette mère</v>
      </c>
      <c r="AN41" s="40">
        <f>AN16</f>
        <v>6</v>
      </c>
      <c r="AO41" s="39" t="str">
        <f>AO16</f>
        <v>couverts</v>
      </c>
      <c r="AP41" s="213"/>
      <c r="AQ41" s="256"/>
      <c r="AR41" s="211" t="str">
        <f t="shared" si="13"/>
        <v/>
      </c>
      <c r="AS41" s="210"/>
      <c r="AT41" s="209"/>
      <c r="AU41" s="5448">
        <v>1</v>
      </c>
      <c r="AV41" s="33"/>
      <c r="AX41" s="42" t="str">
        <f t="shared" si="19"/>
        <v>►</v>
      </c>
      <c r="AY41" s="41" t="str">
        <f>AY16</f>
        <v>Famille à coller.N.Nom de votre recette.Recette mère ►.S.Saisissez le nom de la recette mère</v>
      </c>
      <c r="AZ41" s="40">
        <f>AZ16</f>
        <v>6</v>
      </c>
      <c r="BA41" s="39" t="str">
        <f>BA16</f>
        <v>couverts</v>
      </c>
      <c r="BB41" s="213"/>
      <c r="BC41" s="212"/>
      <c r="BD41" s="211" t="str">
        <f t="shared" si="20"/>
        <v/>
      </c>
      <c r="BE41" s="210"/>
      <c r="BF41" s="209"/>
      <c r="BG41" s="5448">
        <v>1</v>
      </c>
      <c r="BH41" s="33"/>
      <c r="BJ41" s="1011" t="s">
        <v>166</v>
      </c>
      <c r="BK41" s="271">
        <f t="shared" si="22"/>
        <v>1E-3</v>
      </c>
      <c r="BL41" s="1012">
        <v>1</v>
      </c>
      <c r="BM41" s="96"/>
      <c r="BN41" s="62"/>
      <c r="BO41" s="574" t="s">
        <v>874</v>
      </c>
      <c r="BP41" s="1013"/>
      <c r="BQ41" s="1014"/>
      <c r="BR41" s="1015"/>
      <c r="BS41" s="1015"/>
      <c r="BT41" s="1015"/>
      <c r="BU41" s="1016"/>
      <c r="BV41" s="1"/>
      <c r="BW41" s="5">
        <v>1</v>
      </c>
    </row>
    <row r="42" spans="2:75" ht="18" thickBot="1">
      <c r="B42" s="42" t="str">
        <f t="shared" si="23"/>
        <v>►</v>
      </c>
      <c r="C42" s="196" t="str">
        <f>C36</f>
        <v>Famille à coller.N.Nom de votre recette.Recette mère ►.S.Saisissez le nom de la recette mère</v>
      </c>
      <c r="D42" s="196">
        <f>D36</f>
        <v>6</v>
      </c>
      <c r="E42" s="196" t="str">
        <f>E36</f>
        <v>couverts</v>
      </c>
      <c r="F42" s="1323"/>
      <c r="G42" s="988"/>
      <c r="H42" s="988"/>
      <c r="I42" s="988"/>
      <c r="J42" s="988"/>
      <c r="K42" s="988"/>
      <c r="L42" s="1325"/>
      <c r="N42" s="319" t="s">
        <v>26</v>
      </c>
      <c r="O42" s="318" t="str">
        <f>R42</f>
        <v>Famille à coller.N.Nom de votre recette.Recette mère ►.S.Saisissez le nom de la recette mère</v>
      </c>
      <c r="P42" s="318">
        <f>R40</f>
        <v>6</v>
      </c>
      <c r="Q42" s="318" t="str">
        <f>S40</f>
        <v>couverts</v>
      </c>
      <c r="R42" s="5486" t="str">
        <f>UPPER(LEFT(T36,1))&amp;LOWER(MID(T36,2,999))&amp;"."&amp;UPPER(LEFT(V36,1))&amp;"."&amp;UPPER(LEFT(V36,1))&amp;LOWER(MID(V36,2,999))&amp;"."&amp;IF(ISTEXT(X42),W42&amp;"."&amp;UPPER(LEFT(X42,1))&amp;"."&amp;UPPER(LEFT(X42,1))&amp;LOWER(MID(X42,2,999)),S42)</f>
        <v>Famille à coller.N.Nom de votre recette.Recette mère ►.S.Saisissez le nom de la recette mère</v>
      </c>
      <c r="S42" s="5487" t="s">
        <v>223</v>
      </c>
      <c r="T42" s="7613" t="s">
        <v>222</v>
      </c>
      <c r="U42" s="7613"/>
      <c r="V42" s="7613"/>
      <c r="W42" s="317" t="s">
        <v>221</v>
      </c>
      <c r="X42" s="1302" t="s">
        <v>1093</v>
      </c>
      <c r="Z42" s="205" t="s">
        <v>21</v>
      </c>
      <c r="AA42" s="204" t="str">
        <f>AA16</f>
        <v>Famille à coller.N.Nom de votre recette.Recette mère ►.S.Saisissez le nom de la recette mère</v>
      </c>
      <c r="AB42" s="203">
        <f>AB16</f>
        <v>6</v>
      </c>
      <c r="AC42" s="202" t="str">
        <f>AC16</f>
        <v>couverts</v>
      </c>
      <c r="AD42" s="201" t="s">
        <v>86</v>
      </c>
      <c r="AE42" s="200"/>
      <c r="AF42" s="200"/>
      <c r="AG42" s="200"/>
      <c r="AH42" s="200"/>
      <c r="AI42" s="200"/>
      <c r="AJ42" s="199"/>
      <c r="AL42" s="42" t="str">
        <f t="shared" si="18"/>
        <v>►</v>
      </c>
      <c r="AM42" s="41" t="str">
        <f>AM16</f>
        <v>Famille à coller.N.Nom de votre recette.Recette mère ►.S.Saisissez le nom de la recette mère</v>
      </c>
      <c r="AN42" s="40">
        <f>AN16</f>
        <v>6</v>
      </c>
      <c r="AO42" s="39" t="str">
        <f>AO16</f>
        <v>couverts</v>
      </c>
      <c r="AP42" s="213"/>
      <c r="AQ42" s="256"/>
      <c r="AR42" s="211" t="str">
        <f t="shared" si="13"/>
        <v/>
      </c>
      <c r="AS42" s="210"/>
      <c r="AT42" s="209"/>
      <c r="AU42" s="5448">
        <v>1</v>
      </c>
      <c r="AV42" s="33"/>
      <c r="AX42" s="42" t="str">
        <f t="shared" si="19"/>
        <v>►</v>
      </c>
      <c r="AY42" s="41" t="str">
        <f>AY16</f>
        <v>Famille à coller.N.Nom de votre recette.Recette mère ►.S.Saisissez le nom de la recette mère</v>
      </c>
      <c r="AZ42" s="40">
        <f>AZ16</f>
        <v>6</v>
      </c>
      <c r="BA42" s="39" t="str">
        <f>BA16</f>
        <v>couverts</v>
      </c>
      <c r="BB42" s="213"/>
      <c r="BC42" s="212"/>
      <c r="BD42" s="211" t="str">
        <f t="shared" si="20"/>
        <v/>
      </c>
      <c r="BE42" s="210"/>
      <c r="BF42" s="209"/>
      <c r="BG42" s="5448">
        <v>1</v>
      </c>
      <c r="BH42" s="33"/>
      <c r="BJ42" s="1011" t="s">
        <v>170</v>
      </c>
      <c r="BK42" s="271">
        <f t="shared" si="22"/>
        <v>0.01</v>
      </c>
      <c r="BL42" s="1012">
        <v>10</v>
      </c>
      <c r="BM42" s="96"/>
      <c r="BN42" s="62"/>
      <c r="BO42" s="574" t="s">
        <v>875</v>
      </c>
      <c r="BP42" s="1013"/>
      <c r="BQ42" s="1014"/>
      <c r="BR42" s="1015"/>
      <c r="BS42" s="1015"/>
      <c r="BT42" s="1015"/>
      <c r="BU42" s="1016"/>
      <c r="BV42" s="1"/>
      <c r="BW42" s="5">
        <v>1</v>
      </c>
    </row>
    <row r="43" spans="2:75" ht="17.25" customHeight="1" thickBot="1">
      <c r="B43" s="42" t="str">
        <f t="shared" si="23"/>
        <v>►</v>
      </c>
      <c r="C43" s="196" t="str">
        <f>C36</f>
        <v>Famille à coller.N.Nom de votre recette.Recette mère ►.S.Saisissez le nom de la recette mère</v>
      </c>
      <c r="D43" s="196">
        <f>D36</f>
        <v>6</v>
      </c>
      <c r="E43" s="196" t="str">
        <f>E36</f>
        <v>couverts</v>
      </c>
      <c r="F43" s="1323"/>
      <c r="G43" s="988"/>
      <c r="H43" s="988"/>
      <c r="I43" s="988"/>
      <c r="J43" s="988"/>
      <c r="K43" s="988"/>
      <c r="L43" s="1326"/>
      <c r="N43" s="1327" t="s">
        <v>21</v>
      </c>
      <c r="O43" s="1313" t="str">
        <f t="shared" ref="O43:Q44" si="24">O42</f>
        <v>Famille à coller.N.Nom de votre recette.Recette mère ►.S.Saisissez le nom de la recette mère</v>
      </c>
      <c r="P43" s="1313">
        <f t="shared" si="24"/>
        <v>6</v>
      </c>
      <c r="Q43" s="1313" t="str">
        <f t="shared" si="24"/>
        <v>couverts</v>
      </c>
      <c r="R43" s="1314" t="s">
        <v>218</v>
      </c>
      <c r="S43" s="1314" cm="1">
        <f t="array" ref="S43">IFERROR(ROW(R57)-(ROW(R44)+MATCH(TRUE,INDEX(ISNUMBER(FIND(W43,TRIM(SUBSTITUTE(SUBSTITUTE(SUBSTITUTE(SUBSTITUTE(SUBSTITUTE(SUBSTITUTE(SUBSTITUTE(LOWER(R44:R57),"é","e"),"è","e"),"ê","e"),"ë","e"),"à","a"),"ù","u"),"î","i")))),0),0)-1),1)</f>
        <v>12</v>
      </c>
      <c r="T43" s="1315" t="s">
        <v>1108</v>
      </c>
      <c r="U43" s="1316"/>
      <c r="V43" s="1316"/>
      <c r="W43" s="1317" t="str">
        <f>TRIM(SUBSTITUTE(SUBSTITUTE(SUBSTITUTE(SUBSTITUTE(SUBSTITUTE(SUBSTITUTE(SUBSTITUTE(LOWER(X43),"é","e"),"è","e"),"ê","e"),"ë","e"),"à","a"),"ù","u"),"î","i"))</f>
        <v>⓬ ▼ phases de progression</v>
      </c>
      <c r="X43" s="1318" t="s">
        <v>864</v>
      </c>
      <c r="Z43" s="1312" t="s">
        <v>21</v>
      </c>
      <c r="AL43" s="42" t="str">
        <f t="shared" si="18"/>
        <v>►</v>
      </c>
      <c r="AM43" s="41" t="str">
        <f>AM16</f>
        <v>Famille à coller.N.Nom de votre recette.Recette mère ►.S.Saisissez le nom de la recette mère</v>
      </c>
      <c r="AN43" s="40">
        <f>AN16</f>
        <v>6</v>
      </c>
      <c r="AO43" s="39" t="str">
        <f>AO16</f>
        <v>couverts</v>
      </c>
      <c r="AP43" s="213"/>
      <c r="AQ43" s="256"/>
      <c r="AR43" s="211" t="str">
        <f t="shared" si="13"/>
        <v/>
      </c>
      <c r="AS43" s="210"/>
      <c r="AT43" s="209"/>
      <c r="AU43" s="5448">
        <v>1</v>
      </c>
      <c r="AV43" s="33"/>
      <c r="AX43" s="42" t="str">
        <f t="shared" si="19"/>
        <v>►</v>
      </c>
      <c r="AY43" s="41" t="str">
        <f>AY16</f>
        <v>Famille à coller.N.Nom de votre recette.Recette mère ►.S.Saisissez le nom de la recette mère</v>
      </c>
      <c r="AZ43" s="40">
        <f>AZ16</f>
        <v>6</v>
      </c>
      <c r="BA43" s="39" t="str">
        <f>BA16</f>
        <v>couverts</v>
      </c>
      <c r="BB43" s="213"/>
      <c r="BC43" s="212"/>
      <c r="BD43" s="211" t="str">
        <f t="shared" si="20"/>
        <v/>
      </c>
      <c r="BE43" s="210"/>
      <c r="BF43" s="209"/>
      <c r="BG43" s="5448">
        <v>1</v>
      </c>
      <c r="BH43" s="33"/>
      <c r="BJ43" s="1011" t="s">
        <v>172</v>
      </c>
      <c r="BK43" s="271">
        <f t="shared" si="22"/>
        <v>0.1</v>
      </c>
      <c r="BL43" s="1012">
        <v>100</v>
      </c>
      <c r="BM43" s="96"/>
      <c r="BN43" s="62"/>
      <c r="BO43" s="1017" t="s">
        <v>26</v>
      </c>
      <c r="BP43" s="312" t="s">
        <v>876</v>
      </c>
      <c r="BQ43" s="311"/>
      <c r="BR43" s="311"/>
      <c r="BS43" s="310" t="s">
        <v>218</v>
      </c>
      <c r="BT43" s="310" t="s">
        <v>217</v>
      </c>
      <c r="BU43" s="1016"/>
      <c r="BV43" s="1"/>
      <c r="BW43" s="5">
        <v>1</v>
      </c>
    </row>
    <row r="44" spans="2:75" ht="17.25">
      <c r="B44" s="42" t="str">
        <f t="shared" si="23"/>
        <v>►</v>
      </c>
      <c r="C44" s="196" t="str">
        <f>C36</f>
        <v>Famille à coller.N.Nom de votre recette.Recette mère ►.S.Saisissez le nom de la recette mère</v>
      </c>
      <c r="D44" s="196">
        <f>D36</f>
        <v>6</v>
      </c>
      <c r="E44" s="196" t="str">
        <f>E36</f>
        <v>couverts</v>
      </c>
      <c r="F44" s="1323"/>
      <c r="G44" s="988"/>
      <c r="H44" s="988"/>
      <c r="I44" s="988"/>
      <c r="J44" s="988"/>
      <c r="K44" s="988"/>
      <c r="L44" s="1326" t="s">
        <v>870</v>
      </c>
      <c r="N44" s="1023" t="s">
        <v>21</v>
      </c>
      <c r="O44" s="196" t="str">
        <f t="shared" si="24"/>
        <v>Famille à coller.N.Nom de votre recette.Recette mère ►.S.Saisissez le nom de la recette mère</v>
      </c>
      <c r="P44" s="196">
        <f t="shared" si="24"/>
        <v>6</v>
      </c>
      <c r="Q44" s="196" t="str">
        <f t="shared" si="24"/>
        <v>couverts</v>
      </c>
      <c r="R44" s="369" t="s">
        <v>252</v>
      </c>
      <c r="S44" s="1321"/>
      <c r="T44" s="1321"/>
      <c r="U44" s="1321"/>
      <c r="V44" s="1321"/>
      <c r="W44" s="1321"/>
      <c r="X44" s="1322"/>
      <c r="AL44" s="42" t="str">
        <f t="shared" si="18"/>
        <v>►</v>
      </c>
      <c r="AM44" s="41" t="str">
        <f>AM16</f>
        <v>Famille à coller.N.Nom de votre recette.Recette mère ►.S.Saisissez le nom de la recette mère</v>
      </c>
      <c r="AN44" s="40">
        <f>AN16</f>
        <v>6</v>
      </c>
      <c r="AO44" s="39" t="str">
        <f>AO16</f>
        <v>couverts</v>
      </c>
      <c r="AP44" s="213"/>
      <c r="AQ44" s="256"/>
      <c r="AR44" s="211" t="str">
        <f t="shared" si="13"/>
        <v/>
      </c>
      <c r="AS44" s="210"/>
      <c r="AT44" s="209"/>
      <c r="AU44" s="5448">
        <v>1</v>
      </c>
      <c r="AV44" s="33"/>
      <c r="AX44" s="42" t="str">
        <f t="shared" si="19"/>
        <v>►</v>
      </c>
      <c r="AY44" s="41" t="str">
        <f>AY16</f>
        <v>Famille à coller.N.Nom de votre recette.Recette mère ►.S.Saisissez le nom de la recette mère</v>
      </c>
      <c r="AZ44" s="40">
        <f>AZ16</f>
        <v>6</v>
      </c>
      <c r="BA44" s="39" t="str">
        <f>BA16</f>
        <v>couverts</v>
      </c>
      <c r="BB44" s="213"/>
      <c r="BC44" s="212"/>
      <c r="BD44" s="211" t="str">
        <f t="shared" si="20"/>
        <v/>
      </c>
      <c r="BE44" s="210"/>
      <c r="BF44" s="209"/>
      <c r="BG44" s="5448">
        <v>1</v>
      </c>
      <c r="BH44" s="33"/>
      <c r="BJ44" s="1011" t="s">
        <v>88</v>
      </c>
      <c r="BK44" s="271">
        <f t="shared" si="22"/>
        <v>1</v>
      </c>
      <c r="BL44" s="1012">
        <v>1000</v>
      </c>
      <c r="BM44" s="96"/>
      <c r="BN44" s="62"/>
      <c r="BO44" s="1018" t="s">
        <v>21</v>
      </c>
      <c r="BP44" s="41" t="s">
        <v>876</v>
      </c>
      <c r="BQ44" s="40"/>
      <c r="BR44" s="40"/>
      <c r="BS44" s="299" t="s">
        <v>198</v>
      </c>
      <c r="BT44" s="298" t="s">
        <v>197</v>
      </c>
      <c r="BU44" s="1016"/>
      <c r="BV44" s="1"/>
      <c r="BW44" s="5">
        <v>1</v>
      </c>
    </row>
    <row r="45" spans="2:75" ht="17.25">
      <c r="B45" s="42" t="str">
        <f t="shared" si="23"/>
        <v>►</v>
      </c>
      <c r="C45" s="196" t="str">
        <f>C36</f>
        <v>Famille à coller.N.Nom de votre recette.Recette mère ►.S.Saisissez le nom de la recette mère</v>
      </c>
      <c r="D45" s="196">
        <f>D36</f>
        <v>6</v>
      </c>
      <c r="E45" s="196" t="str">
        <f>E36</f>
        <v>couverts</v>
      </c>
      <c r="F45" s="1328"/>
      <c r="G45" s="988"/>
      <c r="H45" s="988"/>
      <c r="I45" s="988"/>
      <c r="J45" s="988"/>
      <c r="K45" s="988"/>
      <c r="L45" s="1326" t="s">
        <v>871</v>
      </c>
      <c r="N45" s="42" t="str">
        <f t="shared" ref="N45:N55" si="25">IF(OR(R45&lt;&gt;"",S45&lt;&gt; "",T45&lt;&gt;"",U45&lt;&gt;""),"A", "►")</f>
        <v>A</v>
      </c>
      <c r="O45" s="196" t="str">
        <f>O43</f>
        <v>Famille à coller.N.Nom de votre recette.Recette mère ►.S.Saisissez le nom de la recette mère</v>
      </c>
      <c r="P45" s="196">
        <f>P43</f>
        <v>6</v>
      </c>
      <c r="Q45" s="196" t="str">
        <f>Q43</f>
        <v>couverts</v>
      </c>
      <c r="R45" s="1319" t="s">
        <v>864</v>
      </c>
      <c r="S45" s="1320"/>
      <c r="T45" s="1320"/>
      <c r="U45" s="1320"/>
      <c r="V45" s="1320"/>
      <c r="W45" s="1320"/>
      <c r="X45" s="1324"/>
      <c r="AL45" s="42" t="str">
        <f t="shared" si="18"/>
        <v>►</v>
      </c>
      <c r="AM45" s="41" t="str">
        <f>AM16</f>
        <v>Famille à coller.N.Nom de votre recette.Recette mère ►.S.Saisissez le nom de la recette mère</v>
      </c>
      <c r="AN45" s="40">
        <f>AN16</f>
        <v>6</v>
      </c>
      <c r="AO45" s="39" t="str">
        <f>AO16</f>
        <v>couverts</v>
      </c>
      <c r="AP45" s="213"/>
      <c r="AQ45" s="256"/>
      <c r="AR45" s="211" t="str">
        <f t="shared" si="13"/>
        <v/>
      </c>
      <c r="AS45" s="210"/>
      <c r="AT45" s="209"/>
      <c r="AU45" s="5448">
        <v>1</v>
      </c>
      <c r="AV45" s="33"/>
      <c r="AX45" s="42" t="str">
        <f t="shared" si="19"/>
        <v>►</v>
      </c>
      <c r="AY45" s="41" t="str">
        <f>AY16</f>
        <v>Famille à coller.N.Nom de votre recette.Recette mère ►.S.Saisissez le nom de la recette mère</v>
      </c>
      <c r="AZ45" s="40">
        <f>AZ16</f>
        <v>6</v>
      </c>
      <c r="BA45" s="39" t="str">
        <f>BA16</f>
        <v>couverts</v>
      </c>
      <c r="BB45" s="213"/>
      <c r="BC45" s="212"/>
      <c r="BD45" s="211" t="str">
        <f t="shared" si="20"/>
        <v/>
      </c>
      <c r="BE45" s="210"/>
      <c r="BF45" s="209"/>
      <c r="BG45" s="5448">
        <v>1</v>
      </c>
      <c r="BH45" s="33"/>
      <c r="BJ45" s="1019" t="s">
        <v>164</v>
      </c>
      <c r="BK45" s="271">
        <f t="shared" si="22"/>
        <v>0.25</v>
      </c>
      <c r="BL45" s="1012">
        <v>250</v>
      </c>
      <c r="BM45" s="96"/>
      <c r="BN45" s="62"/>
      <c r="BO45" s="1018" t="s">
        <v>21</v>
      </c>
      <c r="BP45" s="41" t="s">
        <v>876</v>
      </c>
      <c r="BQ45" s="40"/>
      <c r="BR45" s="40"/>
      <c r="BS45" s="287" t="s">
        <v>184</v>
      </c>
      <c r="BT45" s="286" t="s">
        <v>162</v>
      </c>
      <c r="BU45" s="1016"/>
      <c r="BV45" s="1"/>
      <c r="BW45" s="5">
        <v>1</v>
      </c>
    </row>
    <row r="46" spans="2:75" ht="17.25">
      <c r="B46" s="1037" t="s">
        <v>21</v>
      </c>
      <c r="C46" s="196" t="str">
        <f>C36</f>
        <v>Famille à coller.N.Nom de votre recette.Recette mère ►.S.Saisissez le nom de la recette mère</v>
      </c>
      <c r="D46" s="196">
        <f>D36</f>
        <v>6</v>
      </c>
      <c r="E46" s="196" t="str">
        <f>E36</f>
        <v>couverts</v>
      </c>
      <c r="F46" s="1002"/>
      <c r="G46" s="1002"/>
      <c r="H46" s="1002" t="s">
        <v>873</v>
      </c>
      <c r="I46" s="1003"/>
      <c r="J46" s="1329"/>
      <c r="K46" s="1329"/>
      <c r="L46" s="1330"/>
      <c r="N46" s="42" t="str">
        <f t="shared" si="25"/>
        <v>►</v>
      </c>
      <c r="O46" s="196" t="str">
        <f>O43</f>
        <v>Famille à coller.N.Nom de votre recette.Recette mère ►.S.Saisissez le nom de la recette mère</v>
      </c>
      <c r="P46" s="196">
        <f>P43</f>
        <v>6</v>
      </c>
      <c r="Q46" s="196" t="str">
        <f>Q43</f>
        <v>couverts</v>
      </c>
      <c r="R46" s="1323"/>
      <c r="S46" s="988"/>
      <c r="T46" s="988"/>
      <c r="U46" s="988"/>
      <c r="V46" s="988"/>
      <c r="W46" s="988"/>
      <c r="X46" s="1325"/>
      <c r="AL46" s="42" t="str">
        <f t="shared" si="18"/>
        <v>►</v>
      </c>
      <c r="AM46" s="41" t="str">
        <f>AM16</f>
        <v>Famille à coller.N.Nom de votre recette.Recette mère ►.S.Saisissez le nom de la recette mère</v>
      </c>
      <c r="AN46" s="40">
        <f>AN16</f>
        <v>6</v>
      </c>
      <c r="AO46" s="39" t="str">
        <f>AO16</f>
        <v>couverts</v>
      </c>
      <c r="AP46" s="213"/>
      <c r="AQ46" s="256"/>
      <c r="AR46" s="211" t="str">
        <f t="shared" si="13"/>
        <v/>
      </c>
      <c r="AS46" s="210"/>
      <c r="AT46" s="209"/>
      <c r="AU46" s="5448">
        <v>1</v>
      </c>
      <c r="AV46" s="33"/>
      <c r="AX46" s="42" t="str">
        <f t="shared" si="19"/>
        <v>►</v>
      </c>
      <c r="AY46" s="41" t="str">
        <f>AY16</f>
        <v>Famille à coller.N.Nom de votre recette.Recette mère ►.S.Saisissez le nom de la recette mère</v>
      </c>
      <c r="AZ46" s="40">
        <f>AZ16</f>
        <v>6</v>
      </c>
      <c r="BA46" s="39" t="str">
        <f>BA16</f>
        <v>couverts</v>
      </c>
      <c r="BB46" s="213"/>
      <c r="BC46" s="212"/>
      <c r="BD46" s="211" t="str">
        <f t="shared" si="20"/>
        <v/>
      </c>
      <c r="BE46" s="210"/>
      <c r="BF46" s="209"/>
      <c r="BG46" s="5448">
        <v>1</v>
      </c>
      <c r="BH46" s="33"/>
      <c r="BJ46" s="1019" t="s">
        <v>159</v>
      </c>
      <c r="BK46" s="271">
        <f t="shared" si="22"/>
        <v>0.5</v>
      </c>
      <c r="BL46" s="1012">
        <v>500</v>
      </c>
      <c r="BM46" s="96"/>
      <c r="BN46" s="62"/>
      <c r="BO46" s="1018" t="s">
        <v>21</v>
      </c>
      <c r="BP46" s="41" t="s">
        <v>876</v>
      </c>
      <c r="BQ46" s="40">
        <v>6</v>
      </c>
      <c r="BR46" s="40" t="s">
        <v>73</v>
      </c>
      <c r="BS46" s="213"/>
      <c r="BT46" s="256"/>
      <c r="BU46" s="1016"/>
      <c r="BV46" s="1"/>
      <c r="BW46" s="5">
        <v>1</v>
      </c>
    </row>
    <row r="47" spans="2:75" ht="18" thickBot="1">
      <c r="B47" s="1069" t="s">
        <v>21</v>
      </c>
      <c r="C47" s="1331" t="str">
        <f>C36</f>
        <v>Famille à coller.N.Nom de votre recette.Recette mère ►.S.Saisissez le nom de la recette mère</v>
      </c>
      <c r="D47" s="1331">
        <f>D36</f>
        <v>6</v>
      </c>
      <c r="E47" s="1331" t="str">
        <f>E36</f>
        <v>couverts</v>
      </c>
      <c r="F47" s="1332" t="s">
        <v>86</v>
      </c>
      <c r="G47" s="1006"/>
      <c r="H47" s="1007"/>
      <c r="I47" s="1008"/>
      <c r="J47" s="1007"/>
      <c r="K47" s="1007"/>
      <c r="L47" s="1333"/>
      <c r="N47" s="42" t="str">
        <f t="shared" si="25"/>
        <v>►</v>
      </c>
      <c r="O47" s="196" t="str">
        <f>O43</f>
        <v>Famille à coller.N.Nom de votre recette.Recette mère ►.S.Saisissez le nom de la recette mère</v>
      </c>
      <c r="P47" s="196">
        <f>P43</f>
        <v>6</v>
      </c>
      <c r="Q47" s="196" t="str">
        <f>Q43</f>
        <v>couverts</v>
      </c>
      <c r="R47" s="1323"/>
      <c r="S47" s="988"/>
      <c r="T47" s="988"/>
      <c r="U47" s="988"/>
      <c r="V47" s="988"/>
      <c r="W47" s="988"/>
      <c r="X47" s="1325"/>
      <c r="AL47" s="42" t="str">
        <f t="shared" si="18"/>
        <v>►</v>
      </c>
      <c r="AM47" s="41" t="str">
        <f>AM16</f>
        <v>Famille à coller.N.Nom de votre recette.Recette mère ►.S.Saisissez le nom de la recette mère</v>
      </c>
      <c r="AN47" s="40">
        <f>AN16</f>
        <v>6</v>
      </c>
      <c r="AO47" s="39" t="str">
        <f>AO16</f>
        <v>couverts</v>
      </c>
      <c r="AP47" s="213"/>
      <c r="AQ47" s="256"/>
      <c r="AR47" s="211" t="str">
        <f t="shared" si="13"/>
        <v/>
      </c>
      <c r="AS47" s="210"/>
      <c r="AT47" s="209"/>
      <c r="AU47" s="5448">
        <v>1</v>
      </c>
      <c r="AV47" s="33"/>
      <c r="AX47" s="42" t="str">
        <f t="shared" si="19"/>
        <v>►</v>
      </c>
      <c r="AY47" s="41" t="str">
        <f>AY16</f>
        <v>Famille à coller.N.Nom de votre recette.Recette mère ►.S.Saisissez le nom de la recette mère</v>
      </c>
      <c r="AZ47" s="40">
        <f>AZ16</f>
        <v>6</v>
      </c>
      <c r="BA47" s="39" t="str">
        <f>BA16</f>
        <v>couverts</v>
      </c>
      <c r="BB47" s="213"/>
      <c r="BC47" s="212"/>
      <c r="BD47" s="211" t="str">
        <f t="shared" si="20"/>
        <v/>
      </c>
      <c r="BE47" s="210"/>
      <c r="BF47" s="209"/>
      <c r="BG47" s="5448">
        <v>1</v>
      </c>
      <c r="BH47" s="33"/>
      <c r="BJ47" s="1020" t="s">
        <v>155</v>
      </c>
      <c r="BK47" s="271">
        <f t="shared" si="22"/>
        <v>0.1</v>
      </c>
      <c r="BL47" s="1012">
        <v>100</v>
      </c>
      <c r="BM47" s="96"/>
      <c r="BN47" s="62"/>
      <c r="BO47" s="1021" t="s">
        <v>26</v>
      </c>
      <c r="BP47" s="41" t="s">
        <v>876</v>
      </c>
      <c r="BQ47" s="40">
        <v>6</v>
      </c>
      <c r="BR47" s="40" t="s">
        <v>73</v>
      </c>
      <c r="BS47" s="213"/>
      <c r="BT47" s="256"/>
      <c r="BU47" s="1016"/>
      <c r="BV47" s="1"/>
      <c r="BW47" s="5">
        <v>1</v>
      </c>
    </row>
    <row r="48" spans="2:75" ht="18" thickBot="1">
      <c r="B48" s="1334" t="s">
        <v>21</v>
      </c>
      <c r="C48" s="1335"/>
      <c r="D48" s="1335"/>
      <c r="E48" s="1335"/>
      <c r="F48" s="1336" t="s">
        <v>1110</v>
      </c>
      <c r="G48" s="1336"/>
      <c r="H48" s="1336"/>
      <c r="I48" s="1336"/>
      <c r="J48" s="1336"/>
      <c r="K48" s="1336"/>
      <c r="L48" s="1337" t="s">
        <v>262</v>
      </c>
      <c r="N48" s="42" t="str">
        <f t="shared" si="25"/>
        <v>►</v>
      </c>
      <c r="O48" s="196" t="str">
        <f>O43</f>
        <v>Famille à coller.N.Nom de votre recette.Recette mère ►.S.Saisissez le nom de la recette mère</v>
      </c>
      <c r="P48" s="196">
        <f>P43</f>
        <v>6</v>
      </c>
      <c r="Q48" s="196" t="str">
        <f>Q43</f>
        <v>couverts</v>
      </c>
      <c r="R48" s="1323"/>
      <c r="S48" s="988"/>
      <c r="T48" s="988"/>
      <c r="U48" s="988"/>
      <c r="V48" s="988"/>
      <c r="W48" s="988"/>
      <c r="X48" s="1325"/>
      <c r="AL48" s="42" t="str">
        <f t="shared" si="18"/>
        <v>►</v>
      </c>
      <c r="AM48" s="41" t="str">
        <f>AM16</f>
        <v>Famille à coller.N.Nom de votre recette.Recette mère ►.S.Saisissez le nom de la recette mère</v>
      </c>
      <c r="AN48" s="40">
        <f>AN16</f>
        <v>6</v>
      </c>
      <c r="AO48" s="39" t="str">
        <f>AO16</f>
        <v>couverts</v>
      </c>
      <c r="AP48" s="213"/>
      <c r="AQ48" s="256"/>
      <c r="AR48" s="211" t="str">
        <f t="shared" si="13"/>
        <v/>
      </c>
      <c r="AS48" s="210"/>
      <c r="AT48" s="209"/>
      <c r="AU48" s="5448">
        <v>1</v>
      </c>
      <c r="AV48" s="33"/>
      <c r="AX48" s="42" t="str">
        <f t="shared" si="19"/>
        <v>►</v>
      </c>
      <c r="AY48" s="41" t="str">
        <f>AY16</f>
        <v>Famille à coller.N.Nom de votre recette.Recette mère ►.S.Saisissez le nom de la recette mère</v>
      </c>
      <c r="AZ48" s="40">
        <f>AZ16</f>
        <v>6</v>
      </c>
      <c r="BA48" s="39" t="str">
        <f>BA16</f>
        <v>couverts</v>
      </c>
      <c r="BB48" s="213"/>
      <c r="BC48" s="212"/>
      <c r="BD48" s="211" t="str">
        <f t="shared" si="20"/>
        <v/>
      </c>
      <c r="BE48" s="210"/>
      <c r="BF48" s="209"/>
      <c r="BG48" s="5448">
        <v>1</v>
      </c>
      <c r="BH48" s="33"/>
      <c r="BJ48" s="103"/>
      <c r="BK48" s="1"/>
      <c r="BL48" s="1"/>
      <c r="BM48" s="96"/>
      <c r="BN48" s="62"/>
      <c r="BO48" s="1021" t="str">
        <f>IF(BY52&lt;&gt;"","A","►")</f>
        <v>►</v>
      </c>
      <c r="BP48" s="41" t="s">
        <v>876</v>
      </c>
      <c r="BQ48" s="40">
        <v>6</v>
      </c>
      <c r="BR48" s="40" t="s">
        <v>73</v>
      </c>
      <c r="BS48" s="213"/>
      <c r="BT48" s="212"/>
      <c r="BU48" s="1016"/>
      <c r="BV48" s="1"/>
      <c r="BW48" s="5">
        <v>1</v>
      </c>
    </row>
    <row r="49" spans="2:75" ht="19.5" customHeight="1" thickBot="1">
      <c r="B49" s="5465" t="s">
        <v>21</v>
      </c>
      <c r="C49" s="368" t="str">
        <f>C55</f>
        <v>Famille à coller.N.Nom de votre recette.Recette mère ►.S.Saisissez le nom de la recette mère</v>
      </c>
      <c r="D49" s="367">
        <f>D55</f>
        <v>6</v>
      </c>
      <c r="E49" s="367" t="str">
        <f>E55</f>
        <v>couverts</v>
      </c>
      <c r="F49" s="366" t="s">
        <v>1</v>
      </c>
      <c r="G49" s="365" t="s">
        <v>251</v>
      </c>
      <c r="H49" s="7648" t="s">
        <v>1089</v>
      </c>
      <c r="I49" s="7648"/>
      <c r="J49" s="7601" t="s">
        <v>1090</v>
      </c>
      <c r="K49" s="7601"/>
      <c r="L49" s="7602"/>
      <c r="N49" s="42" t="str">
        <f t="shared" si="25"/>
        <v>►</v>
      </c>
      <c r="O49" s="196" t="str">
        <f>O43</f>
        <v>Famille à coller.N.Nom de votre recette.Recette mère ►.S.Saisissez le nom de la recette mère</v>
      </c>
      <c r="P49" s="196">
        <f>P43</f>
        <v>6</v>
      </c>
      <c r="Q49" s="196" t="str">
        <f>Q43</f>
        <v>couverts</v>
      </c>
      <c r="R49" s="1323"/>
      <c r="S49" s="988"/>
      <c r="T49" s="988"/>
      <c r="U49" s="988"/>
      <c r="V49" s="988"/>
      <c r="W49" s="988"/>
      <c r="X49" s="1325" t="s">
        <v>1111</v>
      </c>
      <c r="AL49" s="42" t="str">
        <f t="shared" si="18"/>
        <v>►</v>
      </c>
      <c r="AM49" s="41" t="str">
        <f>AM17</f>
        <v>Famille à coller.N.Nom de votre recette.Recette mère ►.S.Saisissez le nom de la recette mère</v>
      </c>
      <c r="AN49" s="40">
        <f>AN16</f>
        <v>6</v>
      </c>
      <c r="AO49" s="39" t="str">
        <f>AO16</f>
        <v>couverts</v>
      </c>
      <c r="AP49" s="213"/>
      <c r="AQ49" s="256"/>
      <c r="AR49" s="211" t="str">
        <f t="shared" si="13"/>
        <v/>
      </c>
      <c r="AS49" s="210"/>
      <c r="AT49" s="209"/>
      <c r="AU49" s="5448">
        <v>1</v>
      </c>
      <c r="AV49" s="33"/>
      <c r="AX49" s="42" t="str">
        <f t="shared" si="19"/>
        <v>►</v>
      </c>
      <c r="AY49" s="41" t="str">
        <f>AY16</f>
        <v>Famille à coller.N.Nom de votre recette.Recette mère ►.S.Saisissez le nom de la recette mère</v>
      </c>
      <c r="AZ49" s="40">
        <f>AZ16</f>
        <v>6</v>
      </c>
      <c r="BA49" s="39" t="str">
        <f>BA16</f>
        <v>couverts</v>
      </c>
      <c r="BB49" s="213"/>
      <c r="BC49" s="212"/>
      <c r="BD49" s="211" t="str">
        <f t="shared" si="20"/>
        <v/>
      </c>
      <c r="BE49" s="210"/>
      <c r="BF49" s="209"/>
      <c r="BG49" s="5448">
        <v>1</v>
      </c>
      <c r="BH49" s="33"/>
      <c r="BJ49" s="103"/>
      <c r="BK49" s="1024" t="s">
        <v>877</v>
      </c>
      <c r="BL49" s="1025"/>
      <c r="BM49" s="96"/>
      <c r="BN49" s="62"/>
      <c r="BO49" s="1026" t="s">
        <v>21</v>
      </c>
      <c r="BP49" s="204">
        <f>BP41</f>
        <v>0</v>
      </c>
      <c r="BQ49" s="1027">
        <f>BQ41</f>
        <v>0</v>
      </c>
      <c r="BR49" s="202">
        <f>BR41</f>
        <v>0</v>
      </c>
      <c r="BS49" s="1028" t="s">
        <v>86</v>
      </c>
      <c r="BT49" s="1029"/>
      <c r="BU49" s="1016"/>
      <c r="BV49" s="1"/>
      <c r="BW49" s="5">
        <v>1</v>
      </c>
    </row>
    <row r="50" spans="2:75" ht="18" customHeight="1">
      <c r="B50" s="214" t="s">
        <v>21</v>
      </c>
      <c r="C50" s="363" t="str">
        <f>C55</f>
        <v>Famille à coller.N.Nom de votre recette.Recette mère ►.S.Saisissez le nom de la recette mère</v>
      </c>
      <c r="D50" s="362"/>
      <c r="E50" s="362"/>
      <c r="F50" s="361" t="s">
        <v>245</v>
      </c>
      <c r="G50" s="360" t="s">
        <v>244</v>
      </c>
      <c r="H50" s="7649"/>
      <c r="I50" s="7649"/>
      <c r="J50" s="7603"/>
      <c r="K50" s="7603"/>
      <c r="L50" s="7604"/>
      <c r="N50" s="42" t="str">
        <f t="shared" si="25"/>
        <v>►</v>
      </c>
      <c r="O50" s="196" t="str">
        <f>O43</f>
        <v>Famille à coller.N.Nom de votre recette.Recette mère ►.S.Saisissez le nom de la recette mère</v>
      </c>
      <c r="P50" s="196">
        <f>P43</f>
        <v>6</v>
      </c>
      <c r="Q50" s="196" t="str">
        <f>Q43</f>
        <v>couverts</v>
      </c>
      <c r="R50" s="1323"/>
      <c r="S50" s="988"/>
      <c r="T50" s="988"/>
      <c r="U50" s="988"/>
      <c r="V50" s="988"/>
      <c r="W50" s="988"/>
      <c r="X50" s="1325"/>
      <c r="AL50" s="42" t="str">
        <f t="shared" si="18"/>
        <v>►</v>
      </c>
      <c r="AM50" s="41" t="str">
        <f>AM18</f>
        <v>Famille à coller.N.Nom de votre recette.Recette mère ►.S.Saisissez le nom de la recette mère</v>
      </c>
      <c r="AN50" s="40">
        <f>AN16</f>
        <v>6</v>
      </c>
      <c r="AO50" s="39" t="str">
        <f>AO16</f>
        <v>couverts</v>
      </c>
      <c r="AP50" s="213"/>
      <c r="AQ50" s="256"/>
      <c r="AR50" s="211" t="str">
        <f t="shared" si="13"/>
        <v/>
      </c>
      <c r="AS50" s="210"/>
      <c r="AT50" s="209"/>
      <c r="AU50" s="5448">
        <v>1</v>
      </c>
      <c r="AV50" s="33"/>
      <c r="AX50" s="42" t="str">
        <f t="shared" si="19"/>
        <v>►</v>
      </c>
      <c r="AY50" s="41" t="str">
        <f>AY16</f>
        <v>Famille à coller.N.Nom de votre recette.Recette mère ►.S.Saisissez le nom de la recette mère</v>
      </c>
      <c r="AZ50" s="40">
        <f>AZ16</f>
        <v>6</v>
      </c>
      <c r="BA50" s="39" t="str">
        <f>BA16</f>
        <v>couverts</v>
      </c>
      <c r="BB50" s="213"/>
      <c r="BC50" s="212"/>
      <c r="BD50" s="211" t="str">
        <f t="shared" si="20"/>
        <v/>
      </c>
      <c r="BE50" s="210"/>
      <c r="BF50" s="209"/>
      <c r="BG50" s="5448">
        <v>1</v>
      </c>
      <c r="BH50" s="33"/>
      <c r="BJ50" s="103"/>
      <c r="BK50" s="1030" t="s">
        <v>878</v>
      </c>
      <c r="BL50" s="1031" t="s">
        <v>879</v>
      </c>
      <c r="BM50" s="96"/>
      <c r="BN50" s="62"/>
      <c r="BO50" s="1032"/>
      <c r="BP50" s="1033"/>
      <c r="BQ50" s="1034"/>
      <c r="BR50" s="1035"/>
      <c r="BS50" s="1036"/>
      <c r="BT50" s="1013"/>
      <c r="BU50" s="1016"/>
      <c r="BV50" s="1"/>
      <c r="BW50" s="5">
        <v>1</v>
      </c>
    </row>
    <row r="51" spans="2:75" ht="19.5" customHeight="1">
      <c r="B51" s="214" t="s">
        <v>21</v>
      </c>
      <c r="C51" s="354" t="str">
        <f>C55</f>
        <v>Famille à coller.N.Nom de votre recette.Recette mère ►.S.Saisissez le nom de la recette mère</v>
      </c>
      <c r="D51" s="353"/>
      <c r="E51" s="352"/>
      <c r="F51" s="351"/>
      <c r="G51" s="350" t="s">
        <v>233</v>
      </c>
      <c r="H51" s="349"/>
      <c r="I51" s="348" t="s">
        <v>232</v>
      </c>
      <c r="J51" s="347" t="s">
        <v>1092</v>
      </c>
      <c r="K51" s="141"/>
      <c r="L51" s="346"/>
      <c r="N51" s="42" t="str">
        <f t="shared" si="25"/>
        <v>►</v>
      </c>
      <c r="O51" s="196" t="str">
        <f>O43</f>
        <v>Famille à coller.N.Nom de votre recette.Recette mère ►.S.Saisissez le nom de la recette mère</v>
      </c>
      <c r="P51" s="196">
        <f>P43</f>
        <v>6</v>
      </c>
      <c r="Q51" s="196" t="str">
        <f>Q43</f>
        <v>couverts</v>
      </c>
      <c r="R51" s="1323"/>
      <c r="S51" s="988"/>
      <c r="T51" s="988"/>
      <c r="U51" s="988"/>
      <c r="V51" s="988"/>
      <c r="W51" s="988"/>
      <c r="X51" s="1325"/>
      <c r="AL51" s="214" t="s">
        <v>21</v>
      </c>
      <c r="AM51" s="41" t="str">
        <f>AM18</f>
        <v>Famille à coller.N.Nom de votre recette.Recette mère ►.S.Saisissez le nom de la recette mère</v>
      </c>
      <c r="AN51" s="40">
        <f>AN16</f>
        <v>6</v>
      </c>
      <c r="AO51" s="39" t="str">
        <f>AO16</f>
        <v>couverts</v>
      </c>
      <c r="AP51" s="213"/>
      <c r="AQ51" s="256"/>
      <c r="AR51" s="211" t="str">
        <f t="shared" si="13"/>
        <v/>
      </c>
      <c r="AS51" s="210"/>
      <c r="AT51" s="209"/>
      <c r="AU51" s="5448">
        <v>1</v>
      </c>
      <c r="AV51" s="33"/>
      <c r="AX51" s="42" t="str">
        <f t="shared" si="19"/>
        <v>►</v>
      </c>
      <c r="AY51" s="41" t="str">
        <f>AY16</f>
        <v>Famille à coller.N.Nom de votre recette.Recette mère ►.S.Saisissez le nom de la recette mère</v>
      </c>
      <c r="AZ51" s="40">
        <f>AZ16</f>
        <v>6</v>
      </c>
      <c r="BA51" s="39" t="str">
        <f>BA16</f>
        <v>couverts</v>
      </c>
      <c r="BB51" s="213"/>
      <c r="BC51" s="212"/>
      <c r="BD51" s="211" t="str">
        <f t="shared" si="20"/>
        <v/>
      </c>
      <c r="BE51" s="210"/>
      <c r="BF51" s="209"/>
      <c r="BG51" s="5448">
        <v>1</v>
      </c>
      <c r="BH51" s="33"/>
      <c r="BJ51" s="103"/>
      <c r="BK51" s="1030" t="s">
        <v>880</v>
      </c>
      <c r="BL51" s="1031" t="s">
        <v>881</v>
      </c>
      <c r="BM51" s="96"/>
      <c r="BN51" s="62"/>
      <c r="BO51" s="7700" t="s">
        <v>882</v>
      </c>
      <c r="BP51" s="7701"/>
      <c r="BQ51" s="7701"/>
      <c r="BR51" s="7701"/>
      <c r="BS51" s="7701"/>
      <c r="BT51" s="7701"/>
      <c r="BU51" s="7702"/>
      <c r="BV51" s="1"/>
      <c r="BW51" s="5">
        <v>1</v>
      </c>
    </row>
    <row r="52" spans="2:75" ht="17.25" customHeight="1" thickBot="1">
      <c r="B52" s="214" t="s">
        <v>21</v>
      </c>
      <c r="C52" s="40" t="str">
        <f>C55</f>
        <v>Famille à coller.N.Nom de votre recette.Recette mère ►.S.Saisissez le nom de la recette mère</v>
      </c>
      <c r="D52" s="40"/>
      <c r="E52" s="40"/>
      <c r="F52" s="333" t="s">
        <v>228</v>
      </c>
      <c r="G52" s="341"/>
      <c r="H52" s="341"/>
      <c r="I52" s="340" t="s">
        <v>227</v>
      </c>
      <c r="J52" s="6901" t="str">
        <f>F55</f>
        <v>Famille à coller.N.Nom de votre recette.Recette mère ►.S.Saisissez le nom de la recette mère</v>
      </c>
      <c r="K52" s="6901"/>
      <c r="L52" s="7612"/>
      <c r="N52" s="42" t="str">
        <f t="shared" si="25"/>
        <v>►</v>
      </c>
      <c r="O52" s="196" t="str">
        <f>O43</f>
        <v>Famille à coller.N.Nom de votre recette.Recette mère ►.S.Saisissez le nom de la recette mère</v>
      </c>
      <c r="P52" s="196">
        <f>P43</f>
        <v>6</v>
      </c>
      <c r="Q52" s="196" t="str">
        <f>Q43</f>
        <v>couverts</v>
      </c>
      <c r="R52" s="1323"/>
      <c r="S52" s="988"/>
      <c r="T52" s="988"/>
      <c r="U52" s="988"/>
      <c r="V52" s="988"/>
      <c r="W52" s="988"/>
      <c r="X52" s="1325"/>
      <c r="AL52" s="205" t="s">
        <v>21</v>
      </c>
      <c r="AM52" s="204" t="str">
        <f>AM16</f>
        <v>Famille à coller.N.Nom de votre recette.Recette mère ►.S.Saisissez le nom de la recette mère</v>
      </c>
      <c r="AN52" s="203">
        <f>AN16</f>
        <v>6</v>
      </c>
      <c r="AO52" s="202" t="str">
        <f>AO16</f>
        <v>couverts</v>
      </c>
      <c r="AP52" s="201" t="s">
        <v>86</v>
      </c>
      <c r="AQ52" s="200"/>
      <c r="AR52" s="200"/>
      <c r="AS52" s="200"/>
      <c r="AT52" s="200"/>
      <c r="AU52" s="200"/>
      <c r="AV52" s="199"/>
      <c r="AX52" s="42" t="str">
        <f t="shared" si="19"/>
        <v>►</v>
      </c>
      <c r="AY52" s="41" t="str">
        <f>AY16</f>
        <v>Famille à coller.N.Nom de votre recette.Recette mère ►.S.Saisissez le nom de la recette mère</v>
      </c>
      <c r="AZ52" s="40">
        <f>AZ16</f>
        <v>6</v>
      </c>
      <c r="BA52" s="39" t="str">
        <f>BA16</f>
        <v>couverts</v>
      </c>
      <c r="BB52" s="213"/>
      <c r="BC52" s="212"/>
      <c r="BD52" s="211" t="str">
        <f t="shared" si="20"/>
        <v/>
      </c>
      <c r="BE52" s="210"/>
      <c r="BF52" s="209"/>
      <c r="BG52" s="5448">
        <v>1</v>
      </c>
      <c r="BH52" s="33"/>
      <c r="BJ52" s="103"/>
      <c r="BK52" s="1030" t="s">
        <v>883</v>
      </c>
      <c r="BL52" s="1031" t="s">
        <v>884</v>
      </c>
      <c r="BM52" s="96"/>
      <c r="BN52" s="62"/>
      <c r="BO52" s="7700"/>
      <c r="BP52" s="7701"/>
      <c r="BQ52" s="7701"/>
      <c r="BR52" s="7701"/>
      <c r="BS52" s="7701"/>
      <c r="BT52" s="7701"/>
      <c r="BU52" s="7702"/>
      <c r="BV52" s="1"/>
      <c r="BW52" s="5">
        <v>1</v>
      </c>
    </row>
    <row r="53" spans="2:75" ht="17.25" customHeight="1" thickBot="1">
      <c r="B53" s="214" t="s">
        <v>21</v>
      </c>
      <c r="C53" s="40" t="str">
        <f>C55</f>
        <v>Famille à coller.N.Nom de votre recette.Recette mère ►.S.Saisissez le nom de la recette mère</v>
      </c>
      <c r="D53" s="40"/>
      <c r="E53" s="40"/>
      <c r="F53" s="5453">
        <v>6</v>
      </c>
      <c r="G53" s="5452" t="s">
        <v>73</v>
      </c>
      <c r="H53" s="333"/>
      <c r="I53" s="333"/>
      <c r="J53" s="6901"/>
      <c r="K53" s="6901"/>
      <c r="L53" s="7612"/>
      <c r="N53" s="42" t="str">
        <f t="shared" si="25"/>
        <v>►</v>
      </c>
      <c r="O53" s="196" t="str">
        <f>O43</f>
        <v>Famille à coller.N.Nom de votre recette.Recette mère ►.S.Saisissez le nom de la recette mère</v>
      </c>
      <c r="P53" s="196">
        <f>P43</f>
        <v>6</v>
      </c>
      <c r="Q53" s="196" t="str">
        <f>Q43</f>
        <v>couverts</v>
      </c>
      <c r="R53" s="1323"/>
      <c r="S53" s="988"/>
      <c r="T53" s="988"/>
      <c r="U53" s="988"/>
      <c r="V53" s="988"/>
      <c r="W53" s="988"/>
      <c r="X53" s="1325"/>
      <c r="AL53" s="1010" t="s">
        <v>21</v>
      </c>
      <c r="AX53" s="42" t="str">
        <f t="shared" si="19"/>
        <v>►</v>
      </c>
      <c r="AY53" s="41" t="str">
        <f>AY16</f>
        <v>Famille à coller.N.Nom de votre recette.Recette mère ►.S.Saisissez le nom de la recette mère</v>
      </c>
      <c r="AZ53" s="40">
        <f>AZ16</f>
        <v>6</v>
      </c>
      <c r="BA53" s="39" t="str">
        <f>BA16</f>
        <v>couverts</v>
      </c>
      <c r="BB53" s="213"/>
      <c r="BC53" s="212"/>
      <c r="BD53" s="211" t="str">
        <f t="shared" si="20"/>
        <v/>
      </c>
      <c r="BE53" s="210"/>
      <c r="BF53" s="209"/>
      <c r="BG53" s="5448">
        <v>1</v>
      </c>
      <c r="BH53" s="33"/>
      <c r="BJ53" s="103"/>
      <c r="BK53" s="1030" t="s">
        <v>885</v>
      </c>
      <c r="BL53" s="1031" t="s">
        <v>886</v>
      </c>
      <c r="BM53" s="96"/>
      <c r="BN53" s="62"/>
      <c r="BO53" s="1040"/>
      <c r="BP53" s="1041" t="s">
        <v>887</v>
      </c>
      <c r="BQ53" s="1038"/>
      <c r="BR53" s="1038"/>
      <c r="BS53" s="1038"/>
      <c r="BT53" s="1038"/>
      <c r="BU53" s="1039"/>
      <c r="BV53" s="1"/>
      <c r="BW53" s="5">
        <v>1</v>
      </c>
    </row>
    <row r="54" spans="2:75" ht="18.75" customHeight="1">
      <c r="B54" s="214" t="s">
        <v>26</v>
      </c>
      <c r="C54" s="328" t="str">
        <f>C55</f>
        <v>Famille à coller.N.Nom de votre recette.Recette mère ►.S.Saisissez le nom de la recette mère</v>
      </c>
      <c r="D54" s="328"/>
      <c r="E54" s="328"/>
      <c r="F54" s="327"/>
      <c r="G54" s="326"/>
      <c r="H54" s="326"/>
      <c r="I54" s="326"/>
      <c r="J54" s="326"/>
      <c r="K54" s="326"/>
      <c r="L54" s="325"/>
      <c r="N54" s="42" t="str">
        <f t="shared" si="25"/>
        <v>►</v>
      </c>
      <c r="O54" s="196" t="str">
        <f>O43</f>
        <v>Famille à coller.N.Nom de votre recette.Recette mère ►.S.Saisissez le nom de la recette mère</v>
      </c>
      <c r="P54" s="196">
        <f>P43</f>
        <v>6</v>
      </c>
      <c r="Q54" s="196" t="str">
        <f>Q43</f>
        <v>couverts</v>
      </c>
      <c r="R54" s="1323"/>
      <c r="S54" s="988"/>
      <c r="T54" s="988"/>
      <c r="U54" s="988"/>
      <c r="V54" s="988"/>
      <c r="W54" s="988"/>
      <c r="X54" s="1325"/>
      <c r="AL54" s="5465" t="s">
        <v>21</v>
      </c>
      <c r="AM54" s="368" t="str">
        <f>AM60</f>
        <v>Famille à coller.N.Nom de votre recette.Recette mère ►.S.Saisissez le nom de la recette mère</v>
      </c>
      <c r="AN54" s="367">
        <f>AN60</f>
        <v>6</v>
      </c>
      <c r="AO54" s="367" t="str">
        <f>AO60</f>
        <v>couverts</v>
      </c>
      <c r="AP54" s="366" t="s">
        <v>1</v>
      </c>
      <c r="AQ54" s="365" t="s">
        <v>251</v>
      </c>
      <c r="AR54" s="7648" t="s">
        <v>1089</v>
      </c>
      <c r="AS54" s="7648"/>
      <c r="AT54" s="7601" t="s">
        <v>1090</v>
      </c>
      <c r="AU54" s="7601"/>
      <c r="AV54" s="7602"/>
      <c r="AX54" s="42" t="str">
        <f t="shared" si="19"/>
        <v>►</v>
      </c>
      <c r="AY54" s="41" t="str">
        <f>AY16</f>
        <v>Famille à coller.N.Nom de votre recette.Recette mère ►.S.Saisissez le nom de la recette mère</v>
      </c>
      <c r="AZ54" s="40">
        <f>AZ16</f>
        <v>6</v>
      </c>
      <c r="BA54" s="39" t="str">
        <f>BA16</f>
        <v>couverts</v>
      </c>
      <c r="BB54" s="213"/>
      <c r="BC54" s="212"/>
      <c r="BD54" s="211" t="str">
        <f t="shared" si="20"/>
        <v/>
      </c>
      <c r="BE54" s="210"/>
      <c r="BF54" s="209"/>
      <c r="BG54" s="5448">
        <v>1</v>
      </c>
      <c r="BH54" s="33"/>
      <c r="BJ54" s="103"/>
      <c r="BK54" s="1042" t="s">
        <v>889</v>
      </c>
      <c r="BL54" s="1043" t="s">
        <v>891</v>
      </c>
      <c r="BM54" s="96"/>
      <c r="BN54" s="62"/>
      <c r="BO54" s="5466" t="s">
        <v>21</v>
      </c>
      <c r="BP54" s="1044" t="s">
        <v>892</v>
      </c>
      <c r="BQ54" s="1045">
        <v>18</v>
      </c>
      <c r="BR54" s="1045" t="s">
        <v>157</v>
      </c>
      <c r="BS54" s="1046" t="s">
        <v>893</v>
      </c>
      <c r="BT54" s="7703" t="s">
        <v>894</v>
      </c>
      <c r="BU54" s="7705" t="s">
        <v>895</v>
      </c>
      <c r="BV54" s="1"/>
      <c r="BW54" s="5">
        <v>1</v>
      </c>
    </row>
    <row r="55" spans="2:75" ht="17.25" customHeight="1">
      <c r="B55" s="319" t="s">
        <v>26</v>
      </c>
      <c r="C55" s="318" t="str">
        <f>F55</f>
        <v>Famille à coller.N.Nom de votre recette.Recette mère ►.S.Saisissez le nom de la recette mère</v>
      </c>
      <c r="D55" s="318">
        <f>F53</f>
        <v>6</v>
      </c>
      <c r="E55" s="318" t="str">
        <f>G53</f>
        <v>couverts</v>
      </c>
      <c r="F55" s="5486" t="str">
        <f>UPPER(LEFT(H49,1))&amp;LOWER(MID(H49,2,999))&amp;"."&amp;UPPER(LEFT(J49,1))&amp;"."&amp;UPPER(LEFT(J49,1))&amp;LOWER(MID(J49,2,999))&amp;"."&amp;IF(ISTEXT(L55),K55&amp;"."&amp;UPPER(LEFT(L55,1))&amp;"."&amp;UPPER(LEFT(L55,1))&amp;LOWER(MID(L55,2,999)),G55)</f>
        <v>Famille à coller.N.Nom de votre recette.Recette mère ►.S.Saisissez le nom de la recette mère</v>
      </c>
      <c r="G55" s="5487" t="s">
        <v>223</v>
      </c>
      <c r="H55" s="7613" t="s">
        <v>222</v>
      </c>
      <c r="I55" s="7613"/>
      <c r="J55" s="7613"/>
      <c r="K55" s="317" t="s">
        <v>221</v>
      </c>
      <c r="L55" s="1302" t="s">
        <v>1093</v>
      </c>
      <c r="N55" s="42" t="str">
        <f t="shared" si="25"/>
        <v>►</v>
      </c>
      <c r="O55" s="196" t="str">
        <f>O43</f>
        <v>Famille à coller.N.Nom de votre recette.Recette mère ►.S.Saisissez le nom de la recette mère</v>
      </c>
      <c r="P55" s="196">
        <f>P43</f>
        <v>6</v>
      </c>
      <c r="Q55" s="196" t="str">
        <f>Q43</f>
        <v>couverts</v>
      </c>
      <c r="R55" s="1323"/>
      <c r="S55" s="988"/>
      <c r="T55" s="988"/>
      <c r="U55" s="988"/>
      <c r="V55" s="988"/>
      <c r="W55" s="988"/>
      <c r="X55" s="1325"/>
      <c r="AL55" s="214" t="s">
        <v>21</v>
      </c>
      <c r="AM55" s="363" t="str">
        <f>AM60</f>
        <v>Famille à coller.N.Nom de votre recette.Recette mère ►.S.Saisissez le nom de la recette mère</v>
      </c>
      <c r="AN55" s="362"/>
      <c r="AO55" s="362"/>
      <c r="AP55" s="361" t="s">
        <v>245</v>
      </c>
      <c r="AQ55" s="360" t="s">
        <v>244</v>
      </c>
      <c r="AR55" s="7649"/>
      <c r="AS55" s="7649"/>
      <c r="AT55" s="7603"/>
      <c r="AU55" s="7603"/>
      <c r="AV55" s="7604"/>
      <c r="AX55" s="42" t="str">
        <f t="shared" si="19"/>
        <v>►</v>
      </c>
      <c r="AY55" s="41" t="str">
        <f>AY16</f>
        <v>Famille à coller.N.Nom de votre recette.Recette mère ►.S.Saisissez le nom de la recette mère</v>
      </c>
      <c r="AZ55" s="40">
        <f>AZ16</f>
        <v>6</v>
      </c>
      <c r="BA55" s="39" t="str">
        <f>BA16</f>
        <v>couverts</v>
      </c>
      <c r="BB55" s="213"/>
      <c r="BC55" s="212"/>
      <c r="BD55" s="211" t="str">
        <f t="shared" si="20"/>
        <v/>
      </c>
      <c r="BE55" s="210"/>
      <c r="BF55" s="209"/>
      <c r="BG55" s="5448">
        <v>1</v>
      </c>
      <c r="BH55" s="33"/>
      <c r="BJ55" s="1047" t="s">
        <v>896</v>
      </c>
      <c r="BK55" s="1048"/>
      <c r="BL55" s="176"/>
      <c r="BM55" s="175"/>
      <c r="BN55" s="953"/>
      <c r="BO55" s="1049" t="s">
        <v>21</v>
      </c>
      <c r="BP55" s="1050" t="s">
        <v>892</v>
      </c>
      <c r="BQ55" s="1051"/>
      <c r="BR55" s="1051"/>
      <c r="BS55" s="1052" t="s">
        <v>893</v>
      </c>
      <c r="BT55" s="7704"/>
      <c r="BU55" s="7706"/>
      <c r="BV55" s="1"/>
      <c r="BW55" s="5">
        <v>1</v>
      </c>
    </row>
    <row r="56" spans="2:75" ht="17.25" customHeight="1">
      <c r="B56" s="313" t="s">
        <v>26</v>
      </c>
      <c r="C56" s="312" t="str">
        <f>C55</f>
        <v>Famille à coller.N.Nom de votre recette.Recette mère ►.S.Saisissez le nom de la recette mère</v>
      </c>
      <c r="D56" s="311"/>
      <c r="E56" s="311"/>
      <c r="F56" s="310" t="s">
        <v>218</v>
      </c>
      <c r="G56" s="310" t="s">
        <v>217</v>
      </c>
      <c r="H56" s="310" t="s">
        <v>216</v>
      </c>
      <c r="I56" s="310" t="s">
        <v>215</v>
      </c>
      <c r="J56" s="310" t="s">
        <v>214</v>
      </c>
      <c r="K56" s="308" t="s">
        <v>83</v>
      </c>
      <c r="L56" s="307" t="s">
        <v>213</v>
      </c>
      <c r="N56" s="1037" t="s">
        <v>21</v>
      </c>
      <c r="O56" s="196" t="str">
        <f>O43</f>
        <v>Famille à coller.N.Nom de votre recette.Recette mère ►.S.Saisissez le nom de la recette mère</v>
      </c>
      <c r="P56" s="196">
        <f>P43</f>
        <v>6</v>
      </c>
      <c r="Q56" s="196" t="str">
        <f>Q43</f>
        <v>couverts</v>
      </c>
      <c r="R56" s="1323"/>
      <c r="S56" s="988"/>
      <c r="T56" s="988"/>
      <c r="U56" s="988"/>
      <c r="V56" s="988"/>
      <c r="W56" s="988"/>
      <c r="X56" s="1325"/>
      <c r="AL56" s="214" t="s">
        <v>21</v>
      </c>
      <c r="AM56" s="354" t="str">
        <f>AM60</f>
        <v>Famille à coller.N.Nom de votre recette.Recette mère ►.S.Saisissez le nom de la recette mère</v>
      </c>
      <c r="AN56" s="353"/>
      <c r="AO56" s="352"/>
      <c r="AP56" s="351"/>
      <c r="AQ56" s="350" t="s">
        <v>233</v>
      </c>
      <c r="AR56" s="349"/>
      <c r="AS56" s="348" t="s">
        <v>232</v>
      </c>
      <c r="AT56" s="347" t="s">
        <v>1092</v>
      </c>
      <c r="AU56" s="141"/>
      <c r="AV56" s="346"/>
      <c r="AX56" s="42" t="str">
        <f t="shared" si="19"/>
        <v>►</v>
      </c>
      <c r="AY56" s="41" t="str">
        <f>AY16</f>
        <v>Famille à coller.N.Nom de votre recette.Recette mère ►.S.Saisissez le nom de la recette mère</v>
      </c>
      <c r="AZ56" s="40">
        <f>AZ16</f>
        <v>6</v>
      </c>
      <c r="BA56" s="39" t="str">
        <f>BA16</f>
        <v>couverts</v>
      </c>
      <c r="BB56" s="213"/>
      <c r="BC56" s="212"/>
      <c r="BD56" s="211" t="str">
        <f t="shared" si="20"/>
        <v/>
      </c>
      <c r="BE56" s="210"/>
      <c r="BF56" s="209"/>
      <c r="BG56" s="5448">
        <v>1</v>
      </c>
      <c r="BH56" s="33"/>
      <c r="BJ56" s="7713" t="s">
        <v>899</v>
      </c>
      <c r="BK56" s="7714"/>
      <c r="BL56" s="7714"/>
      <c r="BM56" s="7715"/>
      <c r="BN56" s="953"/>
      <c r="BO56" s="1049" t="s">
        <v>21</v>
      </c>
      <c r="BP56" s="1053" t="s">
        <v>892</v>
      </c>
      <c r="BQ56" s="1053"/>
      <c r="BR56" s="1054" t="s">
        <v>900</v>
      </c>
      <c r="BS56" s="1055"/>
      <c r="BT56" s="1056"/>
      <c r="BU56" s="1057" t="s">
        <v>232</v>
      </c>
      <c r="BV56" s="1"/>
      <c r="BW56" s="5">
        <v>1</v>
      </c>
    </row>
    <row r="57" spans="2:75" ht="15" customHeight="1">
      <c r="B57" s="214" t="s">
        <v>21</v>
      </c>
      <c r="C57" s="41" t="str">
        <f>C55</f>
        <v>Famille à coller.N.Nom de votre recette.Recette mère ►.S.Saisissez le nom de la recette mère</v>
      </c>
      <c r="D57" s="40"/>
      <c r="E57" s="40"/>
      <c r="F57" s="299" t="s">
        <v>198</v>
      </c>
      <c r="G57" s="298" t="s">
        <v>197</v>
      </c>
      <c r="H57" s="297"/>
      <c r="I57" s="6986" t="s">
        <v>196</v>
      </c>
      <c r="J57" s="6987" t="s">
        <v>195</v>
      </c>
      <c r="K57" s="7695" t="s">
        <v>82</v>
      </c>
      <c r="L57" s="296" t="s">
        <v>194</v>
      </c>
      <c r="N57" s="1037" t="s">
        <v>21</v>
      </c>
      <c r="O57" s="196" t="str">
        <f>O43</f>
        <v>Famille à coller.N.Nom de votre recette.Recette mère ►.S.Saisissez le nom de la recette mère</v>
      </c>
      <c r="P57" s="196">
        <f>P43</f>
        <v>6</v>
      </c>
      <c r="Q57" s="196" t="str">
        <f>Q43</f>
        <v>couverts</v>
      </c>
      <c r="R57" s="1323"/>
      <c r="S57" s="988"/>
      <c r="T57" s="988"/>
      <c r="U57" s="988"/>
      <c r="V57" s="988"/>
      <c r="W57" s="988"/>
      <c r="X57" s="1325"/>
      <c r="AL57" s="214" t="s">
        <v>21</v>
      </c>
      <c r="AM57" s="40" t="str">
        <f>AM60</f>
        <v>Famille à coller.N.Nom de votre recette.Recette mère ►.S.Saisissez le nom de la recette mère</v>
      </c>
      <c r="AN57" s="40"/>
      <c r="AO57" s="40"/>
      <c r="AP57" s="333" t="s">
        <v>228</v>
      </c>
      <c r="AQ57" s="341"/>
      <c r="AR57" s="341"/>
      <c r="AS57" s="340" t="s">
        <v>227</v>
      </c>
      <c r="AT57" s="6901" t="str">
        <f>AP60</f>
        <v>Famille à coller.N.Nom de votre recette.Recette mère ►.S.Saisissez le nom de la recette mère</v>
      </c>
      <c r="AU57" s="6901"/>
      <c r="AV57" s="7612"/>
      <c r="AX57" s="42" t="str">
        <f t="shared" si="19"/>
        <v>►</v>
      </c>
      <c r="AY57" s="41" t="str">
        <f>AY16</f>
        <v>Famille à coller.N.Nom de votre recette.Recette mère ►.S.Saisissez le nom de la recette mère</v>
      </c>
      <c r="AZ57" s="40">
        <f>AZ16</f>
        <v>6</v>
      </c>
      <c r="BA57" s="39" t="str">
        <f>BA16</f>
        <v>couverts</v>
      </c>
      <c r="BB57" s="213"/>
      <c r="BC57" s="212"/>
      <c r="BD57" s="211" t="str">
        <f t="shared" si="20"/>
        <v/>
      </c>
      <c r="BE57" s="210"/>
      <c r="BF57" s="209"/>
      <c r="BG57" s="5448">
        <v>1</v>
      </c>
      <c r="BH57" s="33"/>
      <c r="BJ57" s="7713"/>
      <c r="BK57" s="7714"/>
      <c r="BL57" s="7714"/>
      <c r="BM57" s="7715"/>
      <c r="BN57" s="953"/>
      <c r="BO57" s="1049" t="s">
        <v>21</v>
      </c>
      <c r="BP57" s="1058" t="s">
        <v>892</v>
      </c>
      <c r="BQ57" s="1058"/>
      <c r="BR57" s="1059"/>
      <c r="BS57" s="341"/>
      <c r="BT57" s="341"/>
      <c r="BU57" s="1060"/>
      <c r="BV57" s="1"/>
      <c r="BW57" s="5">
        <v>1</v>
      </c>
    </row>
    <row r="58" spans="2:75" ht="17.25" customHeight="1">
      <c r="B58" s="214" t="s">
        <v>21</v>
      </c>
      <c r="C58" s="41" t="str">
        <f>C55</f>
        <v>Famille à coller.N.Nom de votre recette.Recette mère ►.S.Saisissez le nom de la recette mère</v>
      </c>
      <c r="D58" s="40"/>
      <c r="E58" s="40"/>
      <c r="F58" s="287" t="s">
        <v>184</v>
      </c>
      <c r="G58" s="286" t="s">
        <v>162</v>
      </c>
      <c r="H58" s="285" t="s">
        <v>186</v>
      </c>
      <c r="I58" s="6905"/>
      <c r="J58" s="7614"/>
      <c r="K58" s="7696"/>
      <c r="L58" s="284" t="s">
        <v>185</v>
      </c>
      <c r="N58" s="1037" t="s">
        <v>21</v>
      </c>
      <c r="O58" s="196" t="str">
        <f>O43</f>
        <v>Famille à coller.N.Nom de votre recette.Recette mère ►.S.Saisissez le nom de la recette mère</v>
      </c>
      <c r="P58" s="196">
        <f>P43</f>
        <v>6</v>
      </c>
      <c r="Q58" s="196" t="str">
        <f>Q43</f>
        <v>couverts</v>
      </c>
      <c r="R58" s="1338"/>
      <c r="S58" s="997"/>
      <c r="T58" s="997"/>
      <c r="U58" s="997"/>
      <c r="V58" s="997"/>
      <c r="W58" s="997"/>
      <c r="X58" s="1339" t="s">
        <v>1112</v>
      </c>
      <c r="AL58" s="214" t="s">
        <v>21</v>
      </c>
      <c r="AM58" s="40" t="str">
        <f>AM60</f>
        <v>Famille à coller.N.Nom de votre recette.Recette mère ►.S.Saisissez le nom de la recette mère</v>
      </c>
      <c r="AN58" s="40"/>
      <c r="AO58" s="40"/>
      <c r="AP58" s="5453">
        <v>6</v>
      </c>
      <c r="AQ58" s="5452" t="s">
        <v>73</v>
      </c>
      <c r="AR58" s="333"/>
      <c r="AS58" s="333"/>
      <c r="AT58" s="6901"/>
      <c r="AU58" s="6901"/>
      <c r="AV58" s="7612"/>
      <c r="AX58" s="42" t="str">
        <f t="shared" si="19"/>
        <v>►</v>
      </c>
      <c r="AY58" s="41" t="str">
        <f>AY16</f>
        <v>Famille à coller.N.Nom de votre recette.Recette mère ►.S.Saisissez le nom de la recette mère</v>
      </c>
      <c r="AZ58" s="40">
        <f>AZ16</f>
        <v>6</v>
      </c>
      <c r="BA58" s="39" t="str">
        <f>BA16</f>
        <v>couverts</v>
      </c>
      <c r="BB58" s="213"/>
      <c r="BC58" s="212"/>
      <c r="BD58" s="211" t="str">
        <f t="shared" si="20"/>
        <v/>
      </c>
      <c r="BE58" s="210"/>
      <c r="BF58" s="209"/>
      <c r="BG58" s="5448">
        <v>1</v>
      </c>
      <c r="BH58" s="33"/>
      <c r="BJ58" s="7713"/>
      <c r="BK58" s="7714"/>
      <c r="BL58" s="7714"/>
      <c r="BM58" s="7715"/>
      <c r="BN58" s="953"/>
      <c r="BO58" s="1049" t="s">
        <v>21</v>
      </c>
      <c r="BP58" s="1058" t="s">
        <v>892</v>
      </c>
      <c r="BQ58" s="1058"/>
      <c r="BR58" s="1059"/>
      <c r="BS58" s="5453">
        <v>18</v>
      </c>
      <c r="BT58" s="5452" t="s">
        <v>157</v>
      </c>
      <c r="BU58" s="1061" t="s">
        <v>228</v>
      </c>
      <c r="BV58" s="1"/>
      <c r="BW58" s="5">
        <v>1</v>
      </c>
    </row>
    <row r="59" spans="2:75" ht="17.25" customHeight="1">
      <c r="B59" s="214" t="s">
        <v>21</v>
      </c>
      <c r="C59" s="41" t="str">
        <f>C55</f>
        <v>Famille à coller.N.Nom de votre recette.Recette mère ►.S.Saisissez le nom de la recette mère</v>
      </c>
      <c r="D59" s="40">
        <f>D55</f>
        <v>6</v>
      </c>
      <c r="E59" s="40" t="str">
        <f>E55</f>
        <v>couverts</v>
      </c>
      <c r="F59" s="213"/>
      <c r="G59" s="256"/>
      <c r="H59" s="211" t="str">
        <f t="shared" ref="H59:H65" si="26">IF(OR(ISTEXT(F59), F59&lt;=0, I59&lt;=0), "", "de")</f>
        <v/>
      </c>
      <c r="I59" s="210"/>
      <c r="J59" s="209"/>
      <c r="K59" s="5448">
        <v>1</v>
      </c>
      <c r="L59" s="33"/>
      <c r="N59" s="1037" t="s">
        <v>21</v>
      </c>
      <c r="O59" s="196" t="str">
        <f>O43</f>
        <v>Famille à coller.N.Nom de votre recette.Recette mère ►.S.Saisissez le nom de la recette mère</v>
      </c>
      <c r="P59" s="196">
        <f>P43</f>
        <v>6</v>
      </c>
      <c r="Q59" s="196" t="str">
        <f>Q43</f>
        <v>couverts</v>
      </c>
      <c r="R59" s="1002"/>
      <c r="S59" s="1002"/>
      <c r="T59" s="1002" t="s">
        <v>873</v>
      </c>
      <c r="U59" s="1003"/>
      <c r="V59" s="1329"/>
      <c r="W59" s="1329"/>
      <c r="X59" s="1330"/>
      <c r="AL59" s="214" t="s">
        <v>26</v>
      </c>
      <c r="AM59" s="40" t="str">
        <f>AM60</f>
        <v>Famille à coller.N.Nom de votre recette.Recette mère ►.S.Saisissez le nom de la recette mère</v>
      </c>
      <c r="AN59" s="40"/>
      <c r="AO59" s="40"/>
      <c r="AP59" s="327"/>
      <c r="AQ59" s="326"/>
      <c r="AR59" s="326"/>
      <c r="AS59" s="326"/>
      <c r="AT59" s="326"/>
      <c r="AU59" s="326"/>
      <c r="AV59" s="1311"/>
      <c r="AX59" s="42" t="str">
        <f t="shared" si="19"/>
        <v>►</v>
      </c>
      <c r="AY59" s="41" t="str">
        <f>AY16</f>
        <v>Famille à coller.N.Nom de votre recette.Recette mère ►.S.Saisissez le nom de la recette mère</v>
      </c>
      <c r="AZ59" s="40">
        <f>AZ16</f>
        <v>6</v>
      </c>
      <c r="BA59" s="39" t="str">
        <f>BA16</f>
        <v>couverts</v>
      </c>
      <c r="BB59" s="213"/>
      <c r="BC59" s="212"/>
      <c r="BD59" s="211" t="str">
        <f t="shared" si="20"/>
        <v/>
      </c>
      <c r="BE59" s="210"/>
      <c r="BF59" s="209"/>
      <c r="BG59" s="5448">
        <v>1</v>
      </c>
      <c r="BH59" s="33"/>
      <c r="BJ59" s="7713"/>
      <c r="BK59" s="7714"/>
      <c r="BL59" s="7714"/>
      <c r="BM59" s="7715"/>
      <c r="BN59" s="953"/>
      <c r="BO59" s="1049" t="s">
        <v>26</v>
      </c>
      <c r="BP59" s="1058" t="s">
        <v>892</v>
      </c>
      <c r="BQ59" s="1058"/>
      <c r="BR59" s="1059"/>
      <c r="BS59" s="1063" t="s">
        <v>902</v>
      </c>
      <c r="BT59" s="141"/>
      <c r="BU59" s="1064"/>
      <c r="BV59" s="1"/>
      <c r="BW59" s="5">
        <v>1</v>
      </c>
    </row>
    <row r="60" spans="2:75" ht="15.75" customHeight="1" thickBot="1">
      <c r="B60" s="42" t="str">
        <f t="shared" ref="B60:B65" si="27">IF(L60&lt;&gt;"","A","►")</f>
        <v>►</v>
      </c>
      <c r="C60" s="41" t="str">
        <f>C55</f>
        <v>Famille à coller.N.Nom de votre recette.Recette mère ►.S.Saisissez le nom de la recette mère</v>
      </c>
      <c r="D60" s="40">
        <f>D55</f>
        <v>6</v>
      </c>
      <c r="E60" s="40" t="str">
        <f>E55</f>
        <v>couverts</v>
      </c>
      <c r="F60" s="213"/>
      <c r="G60" s="256"/>
      <c r="H60" s="211" t="str">
        <f t="shared" si="26"/>
        <v/>
      </c>
      <c r="I60" s="210"/>
      <c r="J60" s="209"/>
      <c r="K60" s="5448">
        <v>1</v>
      </c>
      <c r="L60" s="33"/>
      <c r="N60" s="1069" t="s">
        <v>21</v>
      </c>
      <c r="O60" s="1331" t="str">
        <f>O43</f>
        <v>Famille à coller.N.Nom de votre recette.Recette mère ►.S.Saisissez le nom de la recette mère</v>
      </c>
      <c r="P60" s="1331">
        <f>P43</f>
        <v>6</v>
      </c>
      <c r="Q60" s="1331" t="str">
        <f>Q43</f>
        <v>couverts</v>
      </c>
      <c r="R60" s="1332" t="s">
        <v>86</v>
      </c>
      <c r="S60" s="1006"/>
      <c r="T60" s="1007"/>
      <c r="U60" s="1008"/>
      <c r="V60" s="1007"/>
      <c r="W60" s="1007"/>
      <c r="X60" s="1333"/>
      <c r="AL60" s="319" t="s">
        <v>26</v>
      </c>
      <c r="AM60" s="318" t="str">
        <f>AP60</f>
        <v>Famille à coller.N.Nom de votre recette.Recette mère ►.S.Saisissez le nom de la recette mère</v>
      </c>
      <c r="AN60" s="318">
        <f>AP58</f>
        <v>6</v>
      </c>
      <c r="AO60" s="318" t="str">
        <f>AQ58</f>
        <v>couverts</v>
      </c>
      <c r="AP60" s="5486" t="str">
        <f>UPPER(LEFT(AR54,1))&amp;LOWER(MID(AR54,2,999))&amp;"."&amp;UPPER(LEFT(AT54,1))&amp;"."&amp;UPPER(LEFT(AT54,1))&amp;LOWER(MID(AT54,2,999))&amp;"."&amp;IF(ISTEXT(AV60),AU60&amp;"."&amp;UPPER(LEFT(AV60,1))&amp;"."&amp;UPPER(LEFT(AV60,1))&amp;LOWER(MID(AV60,2,999)),AQ60)</f>
        <v>Famille à coller.N.Nom de votre recette.Recette mère ►.S.Saisissez le nom de la recette mère</v>
      </c>
      <c r="AQ60" s="5487" t="s">
        <v>223</v>
      </c>
      <c r="AR60" s="7613" t="s">
        <v>222</v>
      </c>
      <c r="AS60" s="7613"/>
      <c r="AT60" s="7613"/>
      <c r="AU60" s="317" t="s">
        <v>221</v>
      </c>
      <c r="AV60" s="1302" t="s">
        <v>1093</v>
      </c>
      <c r="AX60" s="42" t="str">
        <f t="shared" si="19"/>
        <v>►</v>
      </c>
      <c r="AY60" s="41" t="str">
        <f>AY16</f>
        <v>Famille à coller.N.Nom de votre recette.Recette mère ►.S.Saisissez le nom de la recette mère</v>
      </c>
      <c r="AZ60" s="40">
        <f>AZ16</f>
        <v>6</v>
      </c>
      <c r="BA60" s="39" t="str">
        <f>BA16</f>
        <v>couverts</v>
      </c>
      <c r="BB60" s="213"/>
      <c r="BC60" s="212"/>
      <c r="BD60" s="211" t="str">
        <f t="shared" si="20"/>
        <v/>
      </c>
      <c r="BE60" s="210"/>
      <c r="BF60" s="209"/>
      <c r="BG60" s="5448">
        <v>1</v>
      </c>
      <c r="BH60" s="33"/>
      <c r="BJ60" s="7697" t="s">
        <v>904</v>
      </c>
      <c r="BK60" s="7698"/>
      <c r="BL60" s="7698"/>
      <c r="BM60" s="7699"/>
      <c r="BN60" s="953"/>
      <c r="BO60" s="954"/>
      <c r="BP60" s="955"/>
      <c r="BQ60" s="955"/>
      <c r="BR60" s="955"/>
      <c r="BS60" s="7707" t="s">
        <v>222</v>
      </c>
      <c r="BT60" s="7707"/>
      <c r="BU60" s="7708"/>
      <c r="BV60" s="1"/>
      <c r="BW60" s="5">
        <v>1</v>
      </c>
    </row>
    <row r="61" spans="2:75" ht="18" customHeight="1" thickBot="1">
      <c r="B61" s="42" t="str">
        <f t="shared" si="27"/>
        <v>A</v>
      </c>
      <c r="C61" s="41" t="str">
        <f>C55</f>
        <v>Famille à coller.N.Nom de votre recette.Recette mère ►.S.Saisissez le nom de la recette mère</v>
      </c>
      <c r="D61" s="40">
        <f>D55</f>
        <v>6</v>
      </c>
      <c r="E61" s="40" t="str">
        <f>E55</f>
        <v>couverts</v>
      </c>
      <c r="F61" s="213"/>
      <c r="G61" s="212"/>
      <c r="H61" s="211" t="str">
        <f t="shared" si="26"/>
        <v/>
      </c>
      <c r="I61" s="210"/>
      <c r="J61" s="209"/>
      <c r="K61" s="5448">
        <v>1</v>
      </c>
      <c r="L61" s="33" t="s">
        <v>1103</v>
      </c>
      <c r="N61" s="1312" t="s">
        <v>21</v>
      </c>
      <c r="AL61" s="1327" t="s">
        <v>21</v>
      </c>
      <c r="AM61" s="1313" t="str">
        <f t="shared" ref="AM61:AO62" si="28">AM60</f>
        <v>Famille à coller.N.Nom de votre recette.Recette mère ►.S.Saisissez le nom de la recette mère</v>
      </c>
      <c r="AN61" s="1313">
        <f t="shared" si="28"/>
        <v>6</v>
      </c>
      <c r="AO61" s="1313" t="str">
        <f t="shared" si="28"/>
        <v>couverts</v>
      </c>
      <c r="AP61" s="1314" t="s">
        <v>218</v>
      </c>
      <c r="AQ61" s="1314" cm="1">
        <f t="array" ref="AQ61">IFERROR(ROW(AP91)-(ROW(AP62)+MATCH(TRUE,INDEX(ISNUMBER(FIND(AU61,TRIM(SUBSTITUTE(SUBSTITUTE(SUBSTITUTE(SUBSTITUTE(SUBSTITUTE(SUBSTITUTE(SUBSTITUTE(LOWER(AP62:AP91),"é","e"),"è","e"),"ê","e"),"ë","e"),"à","a"),"ù","u"),"î","i")))),0),0)-1),1)</f>
        <v>28</v>
      </c>
      <c r="AR61" s="1315" t="s">
        <v>1108</v>
      </c>
      <c r="AS61" s="1316"/>
      <c r="AT61" s="1316"/>
      <c r="AU61" s="1317" t="str">
        <f>TRIM(SUBSTITUTE(SUBSTITUTE(SUBSTITUTE(SUBSTITUTE(SUBSTITUTE(SUBSTITUTE(SUBSTITUTE(LOWER(AV61),"é","e"),"è","e"),"ê","e"),"ë","e"),"à","a"),"ù","u"),"î","i"))</f>
        <v>⓬ ▼ phases de progression</v>
      </c>
      <c r="AV61" s="1318" t="s">
        <v>864</v>
      </c>
      <c r="AX61" s="214" t="s">
        <v>21</v>
      </c>
      <c r="AY61" s="41" t="str">
        <f>AY16</f>
        <v>Famille à coller.N.Nom de votre recette.Recette mère ►.S.Saisissez le nom de la recette mère</v>
      </c>
      <c r="AZ61" s="40">
        <f>AZ16</f>
        <v>6</v>
      </c>
      <c r="BA61" s="39" t="str">
        <f>BA16</f>
        <v>couverts</v>
      </c>
      <c r="BB61" s="213"/>
      <c r="BC61" s="212"/>
      <c r="BD61" s="211" t="str">
        <f t="shared" si="20"/>
        <v/>
      </c>
      <c r="BE61" s="210"/>
      <c r="BF61" s="209"/>
      <c r="BG61" s="5448">
        <v>1</v>
      </c>
      <c r="BH61" s="33"/>
      <c r="BJ61" s="7697"/>
      <c r="BK61" s="7698"/>
      <c r="BL61" s="7698"/>
      <c r="BM61" s="7699"/>
      <c r="BN61" s="953"/>
      <c r="BO61" s="1065"/>
      <c r="BP61" s="1066" t="s">
        <v>906</v>
      </c>
      <c r="BQ61" s="1067" t="s">
        <v>895</v>
      </c>
      <c r="BR61" s="1067"/>
      <c r="BS61" s="7709" t="s">
        <v>907</v>
      </c>
      <c r="BT61" s="7709"/>
      <c r="BU61" s="7710"/>
      <c r="BV61" s="1"/>
      <c r="BW61" s="5">
        <v>1</v>
      </c>
    </row>
    <row r="62" spans="2:75" ht="21.75" customHeight="1" thickBot="1">
      <c r="B62" s="42" t="str">
        <f t="shared" si="27"/>
        <v>►</v>
      </c>
      <c r="C62" s="41" t="str">
        <f>C55</f>
        <v>Famille à coller.N.Nom de votre recette.Recette mère ►.S.Saisissez le nom de la recette mère</v>
      </c>
      <c r="D62" s="40">
        <f>D55</f>
        <v>6</v>
      </c>
      <c r="E62" s="40" t="str">
        <f>E55</f>
        <v>couverts</v>
      </c>
      <c r="F62" s="213"/>
      <c r="G62" s="212"/>
      <c r="H62" s="211" t="str">
        <f t="shared" si="26"/>
        <v/>
      </c>
      <c r="I62" s="210"/>
      <c r="J62" s="209"/>
      <c r="K62" s="5448">
        <v>1</v>
      </c>
      <c r="L62" s="33"/>
      <c r="N62" s="5465" t="s">
        <v>21</v>
      </c>
      <c r="O62" s="368" t="str">
        <f>O68</f>
        <v>Famille à coller.N.Nom de votre recette.Recette mère ►.S.Saisissez le nom de la recette mère</v>
      </c>
      <c r="P62" s="367">
        <f>P68</f>
        <v>6</v>
      </c>
      <c r="Q62" s="367" t="str">
        <f>Q68</f>
        <v>couverts</v>
      </c>
      <c r="R62" s="366" t="s">
        <v>1</v>
      </c>
      <c r="S62" s="365" t="s">
        <v>251</v>
      </c>
      <c r="T62" s="7648" t="s">
        <v>1089</v>
      </c>
      <c r="U62" s="7648"/>
      <c r="V62" s="7601" t="s">
        <v>1090</v>
      </c>
      <c r="W62" s="7601"/>
      <c r="X62" s="7602"/>
      <c r="AL62" s="1023" t="s">
        <v>21</v>
      </c>
      <c r="AM62" s="196" t="str">
        <f t="shared" si="28"/>
        <v>Famille à coller.N.Nom de votre recette.Recette mère ►.S.Saisissez le nom de la recette mère</v>
      </c>
      <c r="AN62" s="196">
        <f t="shared" si="28"/>
        <v>6</v>
      </c>
      <c r="AO62" s="196" t="str">
        <f t="shared" si="28"/>
        <v>couverts</v>
      </c>
      <c r="AP62" s="369" t="s">
        <v>252</v>
      </c>
      <c r="AQ62" s="1321"/>
      <c r="AR62" s="1321"/>
      <c r="AS62" s="1321"/>
      <c r="AT62" s="1321"/>
      <c r="AU62" s="1321"/>
      <c r="AV62" s="1322"/>
      <c r="AX62" s="205" t="s">
        <v>21</v>
      </c>
      <c r="AY62" s="204" t="str">
        <f>AY16</f>
        <v>Famille à coller.N.Nom de votre recette.Recette mère ►.S.Saisissez le nom de la recette mère</v>
      </c>
      <c r="AZ62" s="203">
        <f>AZ16</f>
        <v>6</v>
      </c>
      <c r="BA62" s="202" t="str">
        <f>BA16</f>
        <v>couverts</v>
      </c>
      <c r="BB62" s="201" t="s">
        <v>86</v>
      </c>
      <c r="BC62" s="200"/>
      <c r="BD62" s="200"/>
      <c r="BE62" s="200"/>
      <c r="BF62" s="200"/>
      <c r="BG62" s="200"/>
      <c r="BH62" s="199"/>
      <c r="BJ62" s="275"/>
      <c r="BK62" s="1"/>
      <c r="BL62" s="106"/>
      <c r="BM62" s="105"/>
      <c r="BN62" s="953"/>
      <c r="BO62" s="1065"/>
      <c r="BP62" s="1066" t="s">
        <v>909</v>
      </c>
      <c r="BQ62" s="1068" t="s">
        <v>910</v>
      </c>
      <c r="BR62" s="955"/>
      <c r="BS62" s="7709"/>
      <c r="BT62" s="7709"/>
      <c r="BU62" s="7710"/>
      <c r="BV62" s="1"/>
      <c r="BW62" s="5">
        <v>1</v>
      </c>
    </row>
    <row r="63" spans="2:75" ht="23.25" customHeight="1" thickBot="1">
      <c r="B63" s="42" t="str">
        <f t="shared" si="27"/>
        <v>►</v>
      </c>
      <c r="C63" s="41" t="str">
        <f>C55</f>
        <v>Famille à coller.N.Nom de votre recette.Recette mère ►.S.Saisissez le nom de la recette mère</v>
      </c>
      <c r="D63" s="40">
        <f>D55</f>
        <v>6</v>
      </c>
      <c r="E63" s="40" t="str">
        <f>E55</f>
        <v>couverts</v>
      </c>
      <c r="F63" s="213"/>
      <c r="G63" s="212"/>
      <c r="H63" s="211" t="str">
        <f t="shared" si="26"/>
        <v/>
      </c>
      <c r="I63" s="210"/>
      <c r="J63" s="209"/>
      <c r="K63" s="5448">
        <v>1</v>
      </c>
      <c r="L63" s="33"/>
      <c r="N63" s="214" t="s">
        <v>21</v>
      </c>
      <c r="O63" s="363" t="str">
        <f>O68</f>
        <v>Famille à coller.N.Nom de votre recette.Recette mère ►.S.Saisissez le nom de la recette mère</v>
      </c>
      <c r="P63" s="362"/>
      <c r="Q63" s="362"/>
      <c r="R63" s="361" t="s">
        <v>245</v>
      </c>
      <c r="S63" s="360" t="s">
        <v>244</v>
      </c>
      <c r="T63" s="7649"/>
      <c r="U63" s="7649"/>
      <c r="V63" s="7603"/>
      <c r="W63" s="7603"/>
      <c r="X63" s="7604"/>
      <c r="AL63" s="42" t="str">
        <f t="shared" ref="AL63:AL69" si="29">IF(OR(AP63&lt;&gt;"",AQ63&lt;&gt; "",AR63&lt;&gt;"",AS63&lt;&gt;""),"A", "►")</f>
        <v>A</v>
      </c>
      <c r="AM63" s="196" t="str">
        <f>AM61</f>
        <v>Famille à coller.N.Nom de votre recette.Recette mère ►.S.Saisissez le nom de la recette mère</v>
      </c>
      <c r="AN63" s="196">
        <f>AN61</f>
        <v>6</v>
      </c>
      <c r="AO63" s="196" t="str">
        <f>AO61</f>
        <v>couverts</v>
      </c>
      <c r="AP63" s="1319" t="s">
        <v>864</v>
      </c>
      <c r="AQ63" s="1320"/>
      <c r="AR63" s="1320"/>
      <c r="AS63" s="1320"/>
      <c r="AT63" s="1320"/>
      <c r="AU63" s="1320"/>
      <c r="AV63" s="1324"/>
      <c r="AX63" s="1010" t="s">
        <v>21</v>
      </c>
      <c r="BJ63" s="235" t="s">
        <v>82</v>
      </c>
      <c r="BK63" s="232" t="s">
        <v>912</v>
      </c>
      <c r="BL63" s="176"/>
      <c r="BM63" s="105"/>
      <c r="BN63" s="953"/>
      <c r="BO63" s="1065"/>
      <c r="BP63" s="1066" t="s">
        <v>911</v>
      </c>
      <c r="BQ63" s="1070" t="s">
        <v>894</v>
      </c>
      <c r="BR63" s="955"/>
      <c r="BS63" s="7711" t="str">
        <f>"Recette *"&amp;BQ61&amp;"/ Famille* "&amp;BQ63&amp;"/ Auteur* "&amp;BQ62&amp;" /Recette Mère ► "&amp;BR66</f>
        <v>Recette *CHIBOUST PAMPLEMOUSSE/ Famille* Dessert assiette/ Auteur* Jean-Jacques Borne MOF 1994 /Recette Mère ► MILLE-FEUILLE meringue et chiboust pamplemousse aux fraises des bois</v>
      </c>
      <c r="BT63" s="7711"/>
      <c r="BU63" s="7712"/>
      <c r="BV63" s="1"/>
      <c r="BW63" s="5">
        <v>1</v>
      </c>
    </row>
    <row r="64" spans="2:75" ht="21" customHeight="1">
      <c r="B64" s="42" t="str">
        <f t="shared" si="27"/>
        <v>►</v>
      </c>
      <c r="C64" s="41" t="str">
        <f>C55</f>
        <v>Famille à coller.N.Nom de votre recette.Recette mère ►.S.Saisissez le nom de la recette mère</v>
      </c>
      <c r="D64" s="40">
        <f>D55</f>
        <v>6</v>
      </c>
      <c r="E64" s="40" t="str">
        <f>E55</f>
        <v>couverts</v>
      </c>
      <c r="F64" s="213"/>
      <c r="G64" s="212"/>
      <c r="H64" s="211" t="str">
        <f t="shared" si="26"/>
        <v/>
      </c>
      <c r="I64" s="210"/>
      <c r="J64" s="209"/>
      <c r="K64" s="5448">
        <v>1</v>
      </c>
      <c r="L64" s="33"/>
      <c r="N64" s="214" t="s">
        <v>21</v>
      </c>
      <c r="O64" s="354" t="str">
        <f>O68</f>
        <v>Famille à coller.N.Nom de votre recette.Recette mère ►.S.Saisissez le nom de la recette mère</v>
      </c>
      <c r="P64" s="353"/>
      <c r="Q64" s="352"/>
      <c r="R64" s="351"/>
      <c r="S64" s="350" t="s">
        <v>233</v>
      </c>
      <c r="T64" s="349"/>
      <c r="U64" s="348" t="s">
        <v>232</v>
      </c>
      <c r="V64" s="347" t="s">
        <v>1092</v>
      </c>
      <c r="W64" s="141"/>
      <c r="X64" s="346"/>
      <c r="AL64" s="42" t="str">
        <f t="shared" si="29"/>
        <v>►</v>
      </c>
      <c r="AM64" s="196" t="str">
        <f>AM61</f>
        <v>Famille à coller.N.Nom de votre recette.Recette mère ►.S.Saisissez le nom de la recette mère</v>
      </c>
      <c r="AN64" s="196">
        <f>AN61</f>
        <v>6</v>
      </c>
      <c r="AO64" s="196" t="str">
        <f>AO61</f>
        <v>couverts</v>
      </c>
      <c r="AP64" s="1323"/>
      <c r="AQ64" s="988"/>
      <c r="AR64" s="988"/>
      <c r="AS64" s="988"/>
      <c r="AT64" s="988"/>
      <c r="AU64" s="988"/>
      <c r="AV64" s="1325"/>
      <c r="AX64" s="5465" t="s">
        <v>21</v>
      </c>
      <c r="AY64" s="368" t="str">
        <f>AY70</f>
        <v>Famille à coller.N.Nom de votre recette.Recette mère ►.S.Saisissez le nom de la recette mère</v>
      </c>
      <c r="AZ64" s="367">
        <f>AZ70</f>
        <v>6</v>
      </c>
      <c r="BA64" s="367" t="str">
        <f>BA70</f>
        <v>couverts</v>
      </c>
      <c r="BB64" s="366" t="s">
        <v>1</v>
      </c>
      <c r="BC64" s="365" t="s">
        <v>251</v>
      </c>
      <c r="BD64" s="7648" t="s">
        <v>1089</v>
      </c>
      <c r="BE64" s="7648"/>
      <c r="BF64" s="7601" t="s">
        <v>1090</v>
      </c>
      <c r="BG64" s="7601"/>
      <c r="BH64" s="7602"/>
      <c r="BJ64" s="233" t="s">
        <v>98</v>
      </c>
      <c r="BK64" s="232"/>
      <c r="BL64" s="176"/>
      <c r="BM64" s="105"/>
      <c r="BN64" s="953"/>
      <c r="BO64" s="1065"/>
      <c r="BP64" s="1066" t="s">
        <v>913</v>
      </c>
      <c r="BQ64" s="5454" t="s">
        <v>914</v>
      </c>
      <c r="BR64" s="955"/>
      <c r="BS64" s="7711"/>
      <c r="BT64" s="7711"/>
      <c r="BU64" s="7712"/>
      <c r="BV64" s="1"/>
      <c r="BW64" s="5">
        <v>1</v>
      </c>
    </row>
    <row r="65" spans="2:75" ht="15.75" customHeight="1">
      <c r="B65" s="42" t="str">
        <f t="shared" si="27"/>
        <v>►</v>
      </c>
      <c r="C65" s="41" t="str">
        <f>C55</f>
        <v>Famille à coller.N.Nom de votre recette.Recette mère ►.S.Saisissez le nom de la recette mère</v>
      </c>
      <c r="D65" s="40">
        <f>D55</f>
        <v>6</v>
      </c>
      <c r="E65" s="40" t="str">
        <f>E55</f>
        <v>couverts</v>
      </c>
      <c r="F65" s="213"/>
      <c r="G65" s="212"/>
      <c r="H65" s="211" t="str">
        <f t="shared" si="26"/>
        <v/>
      </c>
      <c r="I65" s="210"/>
      <c r="J65" s="209"/>
      <c r="K65" s="5448">
        <v>1</v>
      </c>
      <c r="L65" s="33"/>
      <c r="N65" s="214" t="s">
        <v>21</v>
      </c>
      <c r="O65" s="40" t="str">
        <f>O68</f>
        <v>Famille à coller.N.Nom de votre recette.Recette mère ►.S.Saisissez le nom de la recette mère</v>
      </c>
      <c r="P65" s="40"/>
      <c r="Q65" s="40"/>
      <c r="R65" s="333" t="s">
        <v>228</v>
      </c>
      <c r="S65" s="341"/>
      <c r="T65" s="341"/>
      <c r="U65" s="340" t="s">
        <v>227</v>
      </c>
      <c r="V65" s="6901" t="str">
        <f>R68</f>
        <v>Famille à coller.N.Nom de votre recette.Recette mère ►.S.Saisissez le nom de la recette mère</v>
      </c>
      <c r="W65" s="6901"/>
      <c r="X65" s="7612"/>
      <c r="AL65" s="42" t="str">
        <f t="shared" si="29"/>
        <v>►</v>
      </c>
      <c r="AM65" s="196" t="str">
        <f>AM61</f>
        <v>Famille à coller.N.Nom de votre recette.Recette mère ►.S.Saisissez le nom de la recette mère</v>
      </c>
      <c r="AN65" s="196">
        <f>AN61</f>
        <v>6</v>
      </c>
      <c r="AO65" s="196" t="str">
        <f>AO61</f>
        <v>couverts</v>
      </c>
      <c r="AP65" s="1323"/>
      <c r="AQ65" s="988"/>
      <c r="AR65" s="988"/>
      <c r="AS65" s="988"/>
      <c r="AT65" s="988"/>
      <c r="AU65" s="988"/>
      <c r="AV65" s="1325"/>
      <c r="AX65" s="214" t="s">
        <v>21</v>
      </c>
      <c r="AY65" s="363" t="str">
        <f>AY70</f>
        <v>Famille à coller.N.Nom de votre recette.Recette mère ►.S.Saisissez le nom de la recette mère</v>
      </c>
      <c r="AZ65" s="362"/>
      <c r="BA65" s="362"/>
      <c r="BB65" s="361" t="s">
        <v>245</v>
      </c>
      <c r="BC65" s="360" t="s">
        <v>244</v>
      </c>
      <c r="BD65" s="7649"/>
      <c r="BE65" s="7649"/>
      <c r="BF65" s="7603"/>
      <c r="BG65" s="7603"/>
      <c r="BH65" s="7604"/>
      <c r="BJ65" s="99" t="s">
        <v>915</v>
      </c>
      <c r="BK65" s="230"/>
      <c r="BL65" s="106"/>
      <c r="BM65" s="105"/>
      <c r="BN65" s="953"/>
      <c r="BO65" s="954"/>
      <c r="BP65" s="955"/>
      <c r="BQ65" s="955"/>
      <c r="BR65" s="955"/>
      <c r="BS65" s="7711"/>
      <c r="BT65" s="7711"/>
      <c r="BU65" s="7712"/>
      <c r="BV65" s="1"/>
      <c r="BW65" s="5">
        <v>1</v>
      </c>
    </row>
    <row r="66" spans="2:75" ht="19.5" thickBot="1">
      <c r="B66" s="205" t="s">
        <v>21</v>
      </c>
      <c r="C66" s="204" t="str">
        <f>C55</f>
        <v>Famille à coller.N.Nom de votre recette.Recette mère ►.S.Saisissez le nom de la recette mère</v>
      </c>
      <c r="D66" s="1027">
        <f>D55</f>
        <v>6</v>
      </c>
      <c r="E66" s="202" t="str">
        <f>E55</f>
        <v>couverts</v>
      </c>
      <c r="F66" s="1028" t="s">
        <v>86</v>
      </c>
      <c r="G66" s="1029"/>
      <c r="H66" s="200"/>
      <c r="I66" s="200"/>
      <c r="J66" s="200"/>
      <c r="K66" s="200"/>
      <c r="L66" s="199"/>
      <c r="N66" s="214" t="s">
        <v>21</v>
      </c>
      <c r="O66" s="40" t="str">
        <f>O68</f>
        <v>Famille à coller.N.Nom de votre recette.Recette mère ►.S.Saisissez le nom de la recette mère</v>
      </c>
      <c r="P66" s="40"/>
      <c r="Q66" s="40"/>
      <c r="R66" s="5453">
        <v>6</v>
      </c>
      <c r="S66" s="5452" t="s">
        <v>73</v>
      </c>
      <c r="T66" s="333"/>
      <c r="U66" s="333"/>
      <c r="V66" s="6901"/>
      <c r="W66" s="6901"/>
      <c r="X66" s="7612"/>
      <c r="AL66" s="42" t="str">
        <f t="shared" si="29"/>
        <v>►</v>
      </c>
      <c r="AM66" s="196" t="str">
        <f>AM61</f>
        <v>Famille à coller.N.Nom de votre recette.Recette mère ►.S.Saisissez le nom de la recette mère</v>
      </c>
      <c r="AN66" s="196">
        <f>AN61</f>
        <v>6</v>
      </c>
      <c r="AO66" s="196" t="str">
        <f>AO61</f>
        <v>couverts</v>
      </c>
      <c r="AP66" s="1323"/>
      <c r="AQ66" s="988"/>
      <c r="AR66" s="988"/>
      <c r="AS66" s="988"/>
      <c r="AT66" s="988"/>
      <c r="AU66" s="988"/>
      <c r="AV66" s="1325"/>
      <c r="AX66" s="214" t="s">
        <v>21</v>
      </c>
      <c r="AY66" s="354" t="str">
        <f>AY70</f>
        <v>Famille à coller.N.Nom de votre recette.Recette mère ►.S.Saisissez le nom de la recette mère</v>
      </c>
      <c r="AZ66" s="353"/>
      <c r="BA66" s="352"/>
      <c r="BB66" s="351"/>
      <c r="BC66" s="350" t="s">
        <v>233</v>
      </c>
      <c r="BD66" s="349"/>
      <c r="BE66" s="348" t="s">
        <v>232</v>
      </c>
      <c r="BF66" s="347" t="s">
        <v>1092</v>
      </c>
      <c r="BG66" s="141"/>
      <c r="BH66" s="346"/>
      <c r="BJ66" s="221" t="s">
        <v>918</v>
      </c>
      <c r="BK66" s="226"/>
      <c r="BL66" s="106"/>
      <c r="BM66" s="105"/>
      <c r="BN66" s="953"/>
      <c r="BO66" s="1071"/>
      <c r="BP66" s="1072"/>
      <c r="BQ66" s="1073" t="s">
        <v>917</v>
      </c>
      <c r="BR66" s="1074" t="s">
        <v>919</v>
      </c>
      <c r="BS66" s="1075"/>
      <c r="BT66" s="1075"/>
      <c r="BU66" s="1076"/>
      <c r="BV66" s="1"/>
      <c r="BW66" s="5">
        <v>1</v>
      </c>
    </row>
    <row r="67" spans="2:75" ht="19.5" customHeight="1" thickBot="1">
      <c r="B67" s="1334" t="s">
        <v>21</v>
      </c>
      <c r="C67" s="1335"/>
      <c r="D67" s="1335"/>
      <c r="E67" s="1335"/>
      <c r="F67" s="1336" t="s">
        <v>1110</v>
      </c>
      <c r="G67" s="1336"/>
      <c r="H67" s="1336"/>
      <c r="I67" s="1336"/>
      <c r="J67" s="1336"/>
      <c r="K67" s="1336"/>
      <c r="L67" s="348"/>
      <c r="N67" s="214" t="s">
        <v>26</v>
      </c>
      <c r="O67" s="328" t="str">
        <f>O68</f>
        <v>Famille à coller.N.Nom de votre recette.Recette mère ►.S.Saisissez le nom de la recette mère</v>
      </c>
      <c r="P67" s="328"/>
      <c r="Q67" s="328"/>
      <c r="R67" s="327"/>
      <c r="S67" s="326"/>
      <c r="T67" s="326"/>
      <c r="U67" s="326"/>
      <c r="V67" s="326"/>
      <c r="W67" s="326"/>
      <c r="X67" s="325"/>
      <c r="AL67" s="42" t="str">
        <f t="shared" si="29"/>
        <v>►</v>
      </c>
      <c r="AM67" s="196" t="str">
        <f>AM61</f>
        <v>Famille à coller.N.Nom de votre recette.Recette mère ►.S.Saisissez le nom de la recette mère</v>
      </c>
      <c r="AN67" s="196">
        <f>AN61</f>
        <v>6</v>
      </c>
      <c r="AO67" s="196" t="str">
        <f>AO61</f>
        <v>couverts</v>
      </c>
      <c r="AP67" s="1323"/>
      <c r="AQ67" s="988"/>
      <c r="AR67" s="988"/>
      <c r="AS67" s="988"/>
      <c r="AT67" s="988"/>
      <c r="AU67" s="988"/>
      <c r="AV67" s="1325"/>
      <c r="AX67" s="214" t="s">
        <v>21</v>
      </c>
      <c r="AY67" s="40" t="str">
        <f>AY70</f>
        <v>Famille à coller.N.Nom de votre recette.Recette mère ►.S.Saisissez le nom de la recette mère</v>
      </c>
      <c r="AZ67" s="40"/>
      <c r="BA67" s="40"/>
      <c r="BB67" s="333" t="s">
        <v>228</v>
      </c>
      <c r="BC67" s="341"/>
      <c r="BD67" s="341"/>
      <c r="BE67" s="340" t="s">
        <v>227</v>
      </c>
      <c r="BF67" s="6901" t="str">
        <f>BB70</f>
        <v>Famille à coller.N.Nom de votre recette.Recette mère ►.S.Saisissez le nom de la recette mère</v>
      </c>
      <c r="BG67" s="6901"/>
      <c r="BH67" s="7612"/>
      <c r="BJ67" s="221" t="s">
        <v>920</v>
      </c>
      <c r="BK67" s="226"/>
      <c r="BL67" s="106"/>
      <c r="BM67" s="105"/>
      <c r="BN67" s="953"/>
      <c r="BO67" s="954"/>
      <c r="BP67" s="1077"/>
      <c r="BQ67" s="955"/>
      <c r="BR67" s="955"/>
      <c r="BS67" s="955"/>
      <c r="BT67" s="955"/>
      <c r="BU67" s="956"/>
      <c r="BV67" s="1"/>
      <c r="BW67" s="5">
        <v>1</v>
      </c>
    </row>
    <row r="68" spans="2:75" ht="16.5" customHeight="1">
      <c r="B68" s="5465" t="s">
        <v>21</v>
      </c>
      <c r="C68" s="368" t="str">
        <f>C74</f>
        <v>Famille à coller.N.Nom de votre recette.Recette mère ►.S.Saisissez le nom de la recette mère</v>
      </c>
      <c r="D68" s="367">
        <f>D74</f>
        <v>6</v>
      </c>
      <c r="E68" s="367" t="str">
        <f>E74</f>
        <v>couverts</v>
      </c>
      <c r="F68" s="366" t="s">
        <v>1</v>
      </c>
      <c r="G68" s="365" t="s">
        <v>251</v>
      </c>
      <c r="H68" s="7648" t="s">
        <v>1089</v>
      </c>
      <c r="I68" s="7648"/>
      <c r="J68" s="7601" t="s">
        <v>1090</v>
      </c>
      <c r="K68" s="7601"/>
      <c r="L68" s="7602"/>
      <c r="N68" s="319" t="s">
        <v>26</v>
      </c>
      <c r="O68" s="318" t="str">
        <f>R68</f>
        <v>Famille à coller.N.Nom de votre recette.Recette mère ►.S.Saisissez le nom de la recette mère</v>
      </c>
      <c r="P68" s="318">
        <f>R66</f>
        <v>6</v>
      </c>
      <c r="Q68" s="318" t="str">
        <f>S66</f>
        <v>couverts</v>
      </c>
      <c r="R68" s="5486" t="str">
        <f>UPPER(LEFT(T62,1))&amp;LOWER(MID(T62,2,999))&amp;"."&amp;UPPER(LEFT(V62,1))&amp;"."&amp;UPPER(LEFT(V62,1))&amp;LOWER(MID(V62,2,999))&amp;"."&amp;IF(ISTEXT(X68),W68&amp;"."&amp;UPPER(LEFT(X68,1))&amp;"."&amp;UPPER(LEFT(X68,1))&amp;LOWER(MID(X68,2,999)),S68)</f>
        <v>Famille à coller.N.Nom de votre recette.Recette mère ►.S.Saisissez le nom de la recette mère</v>
      </c>
      <c r="S68" s="5487" t="s">
        <v>223</v>
      </c>
      <c r="T68" s="7613" t="s">
        <v>222</v>
      </c>
      <c r="U68" s="7613"/>
      <c r="V68" s="7613"/>
      <c r="W68" s="317" t="s">
        <v>221</v>
      </c>
      <c r="X68" s="1302" t="s">
        <v>1093</v>
      </c>
      <c r="AL68" s="42" t="str">
        <f t="shared" si="29"/>
        <v>►</v>
      </c>
      <c r="AM68" s="196" t="str">
        <f>AM61</f>
        <v>Famille à coller.N.Nom de votre recette.Recette mère ►.S.Saisissez le nom de la recette mère</v>
      </c>
      <c r="AN68" s="196">
        <f>AN61</f>
        <v>6</v>
      </c>
      <c r="AO68" s="196" t="str">
        <f>AO61</f>
        <v>couverts</v>
      </c>
      <c r="AP68" s="1323"/>
      <c r="AQ68" s="988"/>
      <c r="AR68" s="988"/>
      <c r="AS68" s="988"/>
      <c r="AT68" s="988"/>
      <c r="AU68" s="988"/>
      <c r="AV68" s="1325"/>
      <c r="AX68" s="214" t="s">
        <v>21</v>
      </c>
      <c r="AY68" s="40" t="str">
        <f>AY70</f>
        <v>Famille à coller.N.Nom de votre recette.Recette mère ►.S.Saisissez le nom de la recette mère</v>
      </c>
      <c r="AZ68" s="40"/>
      <c r="BA68" s="40"/>
      <c r="BB68" s="5453">
        <v>6</v>
      </c>
      <c r="BC68" s="5452" t="s">
        <v>73</v>
      </c>
      <c r="BD68" s="333"/>
      <c r="BE68" s="333"/>
      <c r="BF68" s="6901"/>
      <c r="BG68" s="6901"/>
      <c r="BH68" s="7612"/>
      <c r="BJ68" s="221" t="s">
        <v>921</v>
      </c>
      <c r="BK68" s="226"/>
      <c r="BL68" s="106"/>
      <c r="BM68" s="105"/>
      <c r="BN68" s="953"/>
      <c r="BO68" s="1078" t="s">
        <v>847</v>
      </c>
      <c r="BP68" s="1077"/>
      <c r="BQ68" s="955"/>
      <c r="BR68" s="955"/>
      <c r="BS68" s="955"/>
      <c r="BT68" s="955"/>
      <c r="BU68" s="956"/>
      <c r="BV68" s="1"/>
      <c r="BW68" s="5">
        <v>1</v>
      </c>
    </row>
    <row r="69" spans="2:75" ht="20.25" customHeight="1">
      <c r="B69" s="214" t="s">
        <v>21</v>
      </c>
      <c r="C69" s="363" t="str">
        <f>C74</f>
        <v>Famille à coller.N.Nom de votre recette.Recette mère ►.S.Saisissez le nom de la recette mère</v>
      </c>
      <c r="D69" s="362"/>
      <c r="E69" s="362"/>
      <c r="F69" s="361" t="s">
        <v>245</v>
      </c>
      <c r="G69" s="360" t="s">
        <v>244</v>
      </c>
      <c r="H69" s="7649"/>
      <c r="I69" s="7649"/>
      <c r="J69" s="7603"/>
      <c r="K69" s="7603"/>
      <c r="L69" s="7604"/>
      <c r="N69" s="313" t="s">
        <v>26</v>
      </c>
      <c r="O69" s="312" t="str">
        <f>O68</f>
        <v>Famille à coller.N.Nom de votre recette.Recette mère ►.S.Saisissez le nom de la recette mère</v>
      </c>
      <c r="P69" s="311"/>
      <c r="Q69" s="311"/>
      <c r="R69" s="310" t="s">
        <v>218</v>
      </c>
      <c r="S69" s="310" t="s">
        <v>217</v>
      </c>
      <c r="T69" s="310" t="s">
        <v>216</v>
      </c>
      <c r="U69" s="310" t="s">
        <v>215</v>
      </c>
      <c r="V69" s="310" t="s">
        <v>214</v>
      </c>
      <c r="W69" s="308" t="s">
        <v>83</v>
      </c>
      <c r="X69" s="307" t="s">
        <v>213</v>
      </c>
      <c r="AL69" s="42" t="str">
        <f t="shared" si="29"/>
        <v>►</v>
      </c>
      <c r="AM69" s="196" t="str">
        <f>AM61</f>
        <v>Famille à coller.N.Nom de votre recette.Recette mère ►.S.Saisissez le nom de la recette mère</v>
      </c>
      <c r="AN69" s="196">
        <f>AN61</f>
        <v>6</v>
      </c>
      <c r="AO69" s="196" t="str">
        <f>AO61</f>
        <v>couverts</v>
      </c>
      <c r="AP69" s="1340"/>
      <c r="AQ69" s="988"/>
      <c r="AR69" s="988"/>
      <c r="AS69" s="988"/>
      <c r="AT69" s="988"/>
      <c r="AU69" s="988"/>
      <c r="AV69" s="1325"/>
      <c r="AX69" s="214" t="s">
        <v>26</v>
      </c>
      <c r="AY69" s="40" t="str">
        <f>AY70</f>
        <v>Famille à coller.N.Nom de votre recette.Recette mère ►.S.Saisissez le nom de la recette mère</v>
      </c>
      <c r="AZ69" s="40"/>
      <c r="BA69" s="40"/>
      <c r="BB69" s="327"/>
      <c r="BC69" s="326"/>
      <c r="BD69" s="326"/>
      <c r="BE69" s="326"/>
      <c r="BF69" s="326"/>
      <c r="BG69" s="326"/>
      <c r="BH69" s="1311"/>
      <c r="BJ69" s="221" t="s">
        <v>922</v>
      </c>
      <c r="BK69" s="226"/>
      <c r="BL69" s="106"/>
      <c r="BM69" s="105"/>
      <c r="BN69" s="953"/>
      <c r="BO69" s="954"/>
      <c r="BP69" s="1077"/>
      <c r="BQ69" s="955"/>
      <c r="BR69" s="955"/>
      <c r="BS69" s="955"/>
      <c r="BT69" s="955"/>
      <c r="BU69" s="956"/>
      <c r="BV69" s="1"/>
      <c r="BW69" s="5">
        <v>1</v>
      </c>
    </row>
    <row r="70" spans="2:75" ht="22.5" customHeight="1">
      <c r="B70" s="214" t="s">
        <v>21</v>
      </c>
      <c r="C70" s="354" t="str">
        <f>C74</f>
        <v>Famille à coller.N.Nom de votre recette.Recette mère ►.S.Saisissez le nom de la recette mère</v>
      </c>
      <c r="D70" s="353"/>
      <c r="E70" s="352"/>
      <c r="F70" s="351"/>
      <c r="G70" s="350" t="s">
        <v>233</v>
      </c>
      <c r="H70" s="349"/>
      <c r="I70" s="348" t="s">
        <v>232</v>
      </c>
      <c r="J70" s="347" t="s">
        <v>1092</v>
      </c>
      <c r="K70" s="141"/>
      <c r="L70" s="346"/>
      <c r="N70" s="214" t="s">
        <v>21</v>
      </c>
      <c r="O70" s="41" t="str">
        <f>O68</f>
        <v>Famille à coller.N.Nom de votre recette.Recette mère ►.S.Saisissez le nom de la recette mère</v>
      </c>
      <c r="P70" s="40"/>
      <c r="Q70" s="40"/>
      <c r="R70" s="299" t="s">
        <v>198</v>
      </c>
      <c r="S70" s="298" t="s">
        <v>197</v>
      </c>
      <c r="T70" s="297"/>
      <c r="U70" s="6986" t="s">
        <v>196</v>
      </c>
      <c r="V70" s="6987" t="s">
        <v>195</v>
      </c>
      <c r="W70" s="7695" t="s">
        <v>82</v>
      </c>
      <c r="X70" s="296" t="s">
        <v>194</v>
      </c>
      <c r="AL70" s="42" t="str">
        <f t="shared" ref="AL70:AL91" si="30">IF(OR(AS70&lt;&gt;"",AT70&lt;&gt; "",AU70&lt;&gt;"",AV70&lt;&gt;""),"A", "►")</f>
        <v>A</v>
      </c>
      <c r="AM70" s="196" t="str">
        <f>AM61</f>
        <v>Famille à coller.N.Nom de votre recette.Recette mère ►.S.Saisissez le nom de la recette mère</v>
      </c>
      <c r="AN70" s="196">
        <f>AN61</f>
        <v>6</v>
      </c>
      <c r="AO70" s="196" t="str">
        <f>AO61</f>
        <v>couverts</v>
      </c>
      <c r="AP70" s="1323"/>
      <c r="AQ70" s="988"/>
      <c r="AR70" s="988"/>
      <c r="AS70" s="988"/>
      <c r="AT70" s="988" t="s">
        <v>1114</v>
      </c>
      <c r="AU70" s="988"/>
      <c r="AV70" s="1325"/>
      <c r="AX70" s="319" t="s">
        <v>26</v>
      </c>
      <c r="AY70" s="318" t="str">
        <f>BB70</f>
        <v>Famille à coller.N.Nom de votre recette.Recette mère ►.S.Saisissez le nom de la recette mère</v>
      </c>
      <c r="AZ70" s="318">
        <f>BB68</f>
        <v>6</v>
      </c>
      <c r="BA70" s="318" t="str">
        <f>BC68</f>
        <v>couverts</v>
      </c>
      <c r="BB70" s="5486" t="str">
        <f>UPPER(LEFT(BD64,1))&amp;LOWER(MID(BD64,2,999))&amp;"."&amp;UPPER(LEFT(BF64,1))&amp;"."&amp;UPPER(LEFT(BF64,1))&amp;LOWER(MID(BF64,2,999))&amp;"."&amp;IF(ISTEXT(BH70),BG70&amp;"."&amp;UPPER(LEFT(BH70,1))&amp;"."&amp;UPPER(LEFT(BH70,1))&amp;LOWER(MID(BH70,2,999)),BC70)</f>
        <v>Famille à coller.N.Nom de votre recette.Recette mère ►.S.Saisissez le nom de la recette mère</v>
      </c>
      <c r="BC70" s="5487" t="s">
        <v>223</v>
      </c>
      <c r="BD70" s="7613" t="s">
        <v>222</v>
      </c>
      <c r="BE70" s="7613"/>
      <c r="BF70" s="7613"/>
      <c r="BG70" s="317" t="s">
        <v>221</v>
      </c>
      <c r="BH70" s="1302" t="s">
        <v>1093</v>
      </c>
      <c r="BJ70" s="221" t="s">
        <v>923</v>
      </c>
      <c r="BK70" s="220"/>
      <c r="BL70" s="106"/>
      <c r="BM70" s="105"/>
      <c r="BN70" s="953"/>
      <c r="BO70" s="1079"/>
      <c r="BP70" s="1080"/>
      <c r="BQ70" s="1081"/>
      <c r="BR70" s="1080"/>
      <c r="BS70" s="1080"/>
      <c r="BT70" s="1080"/>
      <c r="BU70" s="1082"/>
      <c r="BV70" s="1"/>
      <c r="BW70" s="5">
        <v>1</v>
      </c>
    </row>
    <row r="71" spans="2:75" ht="18.75" customHeight="1" thickBot="1">
      <c r="B71" s="214" t="s">
        <v>21</v>
      </c>
      <c r="C71" s="40" t="str">
        <f>C74</f>
        <v>Famille à coller.N.Nom de votre recette.Recette mère ►.S.Saisissez le nom de la recette mère</v>
      </c>
      <c r="D71" s="40"/>
      <c r="E71" s="40"/>
      <c r="F71" s="333" t="s">
        <v>228</v>
      </c>
      <c r="G71" s="341"/>
      <c r="H71" s="341"/>
      <c r="I71" s="340" t="s">
        <v>227</v>
      </c>
      <c r="J71" s="6901" t="str">
        <f>F74</f>
        <v>Famille à coller.N.Nom de votre recette.Recette mère ►.S.Saisissez le nom de la recette mère</v>
      </c>
      <c r="K71" s="6901"/>
      <c r="L71" s="7612"/>
      <c r="N71" s="214" t="s">
        <v>21</v>
      </c>
      <c r="O71" s="41" t="str">
        <f>O68</f>
        <v>Famille à coller.N.Nom de votre recette.Recette mère ►.S.Saisissez le nom de la recette mère</v>
      </c>
      <c r="P71" s="40"/>
      <c r="Q71" s="40"/>
      <c r="R71" s="287" t="s">
        <v>184</v>
      </c>
      <c r="S71" s="286" t="s">
        <v>162</v>
      </c>
      <c r="T71" s="285" t="s">
        <v>186</v>
      </c>
      <c r="U71" s="6905"/>
      <c r="V71" s="7614"/>
      <c r="W71" s="7696"/>
      <c r="X71" s="284" t="s">
        <v>185</v>
      </c>
      <c r="AL71" s="42" t="str">
        <f t="shared" si="30"/>
        <v>►</v>
      </c>
      <c r="AM71" s="196" t="str">
        <f>AM61</f>
        <v>Famille à coller.N.Nom de votre recette.Recette mère ►.S.Saisissez le nom de la recette mère</v>
      </c>
      <c r="AN71" s="196">
        <f>AN61</f>
        <v>6</v>
      </c>
      <c r="AO71" s="196" t="str">
        <f>AO61</f>
        <v>couverts</v>
      </c>
      <c r="AP71" s="1323"/>
      <c r="AQ71" s="988"/>
      <c r="AR71" s="988"/>
      <c r="AS71" s="988"/>
      <c r="AT71" s="988"/>
      <c r="AU71" s="988"/>
      <c r="AV71" s="1325"/>
      <c r="AX71" s="1327" t="s">
        <v>21</v>
      </c>
      <c r="AY71" s="1313" t="str">
        <f>AY70</f>
        <v>Famille à coller.N.Nom de votre recette.Recette mère ►.S.Saisissez le nom de la recette mère</v>
      </c>
      <c r="AZ71" s="1313"/>
      <c r="BA71" s="1341"/>
      <c r="BB71" s="1314" t="s">
        <v>218</v>
      </c>
      <c r="BC71" s="1314" cm="1">
        <f t="array" ref="BC71">IFERROR(ROW(BB111)-(ROW(BB72)+MATCH(TRUE,INDEX(ISNUMBER(FIND(BG71,TRIM(SUBSTITUTE(SUBSTITUTE(SUBSTITUTE(SUBSTITUTE(SUBSTITUTE(SUBSTITUTE(SUBSTITUTE(LOWER(BB72:BB111),"é","e"),"è","e"),"ê","e"),"ë","e"),"à","a"),"ù","u"),"î","i")))),0),0)-1),"Non trouvé")</f>
        <v>38</v>
      </c>
      <c r="BD71" s="1315" t="s">
        <v>1108</v>
      </c>
      <c r="BE71" s="1316"/>
      <c r="BF71" s="1316"/>
      <c r="BG71" s="1317" t="str">
        <f>TRIM(SUBSTITUTE(SUBSTITUTE(SUBSTITUTE(SUBSTITUTE(SUBSTITUTE(SUBSTITUTE(SUBSTITUTE(LOWER(BH71),"é","e"),"è","e"),"ê","e"),"ë","e"),"à","a"),"ù","u"),"î","i"))</f>
        <v>⓬ ▼ phases de progression</v>
      </c>
      <c r="BH71" s="1318" t="s">
        <v>864</v>
      </c>
      <c r="BJ71" s="221"/>
      <c r="BK71" s="220"/>
      <c r="BL71" s="106"/>
      <c r="BM71" s="105"/>
      <c r="BN71" s="953"/>
      <c r="BO71" s="1083" t="s">
        <v>924</v>
      </c>
      <c r="BP71" s="147"/>
      <c r="BQ71" s="147"/>
      <c r="BR71" s="147"/>
      <c r="BS71" s="141"/>
      <c r="BT71" s="147"/>
      <c r="BU71" s="609"/>
      <c r="BV71" s="1"/>
      <c r="BW71" s="5">
        <v>1</v>
      </c>
    </row>
    <row r="72" spans="2:75" ht="19.5" customHeight="1" thickTop="1">
      <c r="B72" s="214" t="s">
        <v>21</v>
      </c>
      <c r="C72" s="40" t="str">
        <f>C74</f>
        <v>Famille à coller.N.Nom de votre recette.Recette mère ►.S.Saisissez le nom de la recette mère</v>
      </c>
      <c r="D72" s="40"/>
      <c r="E72" s="40"/>
      <c r="F72" s="5453">
        <v>6</v>
      </c>
      <c r="G72" s="5452" t="s">
        <v>73</v>
      </c>
      <c r="H72" s="333"/>
      <c r="I72" s="333"/>
      <c r="J72" s="6901"/>
      <c r="K72" s="6901"/>
      <c r="L72" s="7612"/>
      <c r="N72" s="214" t="s">
        <v>21</v>
      </c>
      <c r="O72" s="41" t="str">
        <f>O68</f>
        <v>Famille à coller.N.Nom de votre recette.Recette mère ►.S.Saisissez le nom de la recette mère</v>
      </c>
      <c r="P72" s="40">
        <f>P68</f>
        <v>6</v>
      </c>
      <c r="Q72" s="40" t="str">
        <f>Q68</f>
        <v>couverts</v>
      </c>
      <c r="R72" s="213"/>
      <c r="S72" s="256"/>
      <c r="T72" s="211" t="str">
        <f t="shared" ref="T72:T85" si="31">IF(OR(ISTEXT(R72), R72&lt;=0, U72&lt;=0), "", "de")</f>
        <v/>
      </c>
      <c r="U72" s="210"/>
      <c r="V72" s="209"/>
      <c r="W72" s="5448">
        <v>1</v>
      </c>
      <c r="X72" s="33"/>
      <c r="AL72" s="42" t="str">
        <f t="shared" si="30"/>
        <v>►</v>
      </c>
      <c r="AM72" s="196" t="str">
        <f>AM61</f>
        <v>Famille à coller.N.Nom de votre recette.Recette mère ►.S.Saisissez le nom de la recette mère</v>
      </c>
      <c r="AN72" s="196">
        <f>AN61</f>
        <v>6</v>
      </c>
      <c r="AO72" s="196" t="str">
        <f>AO61</f>
        <v>couverts</v>
      </c>
      <c r="AP72" s="1323"/>
      <c r="AQ72" s="988"/>
      <c r="AR72" s="988"/>
      <c r="AS72" s="988"/>
      <c r="AT72" s="988"/>
      <c r="AU72" s="988"/>
      <c r="AV72" s="1325"/>
      <c r="AX72" s="1023" t="s">
        <v>21</v>
      </c>
      <c r="AY72" s="1345" t="str">
        <f>AY70</f>
        <v>Famille à coller.N.Nom de votre recette.Recette mère ►.S.Saisissez le nom de la recette mère</v>
      </c>
      <c r="AZ72" s="1345"/>
      <c r="BA72" s="1346"/>
      <c r="BB72" s="369" t="s">
        <v>252</v>
      </c>
      <c r="BC72" s="1321"/>
      <c r="BD72" s="1321"/>
      <c r="BE72" s="1321"/>
      <c r="BF72" s="1321"/>
      <c r="BG72" s="1321"/>
      <c r="BH72" s="1322"/>
      <c r="BJ72" s="103"/>
      <c r="BK72" s="1084" t="s">
        <v>83</v>
      </c>
      <c r="BL72" s="102" t="s">
        <v>82</v>
      </c>
      <c r="BM72" s="101"/>
      <c r="BN72" s="953"/>
      <c r="BO72" s="1086" t="s">
        <v>198</v>
      </c>
      <c r="BP72" s="1087" t="s">
        <v>197</v>
      </c>
      <c r="BQ72" s="1088"/>
      <c r="BR72" s="7125" t="s">
        <v>196</v>
      </c>
      <c r="BS72" s="7126" t="s">
        <v>195</v>
      </c>
      <c r="BT72" s="7691" t="s">
        <v>82</v>
      </c>
      <c r="BU72" s="1085" t="s">
        <v>194</v>
      </c>
      <c r="BV72" s="1"/>
      <c r="BW72" s="5">
        <v>1</v>
      </c>
    </row>
    <row r="73" spans="2:75" ht="15.75" customHeight="1">
      <c r="B73" s="214" t="s">
        <v>26</v>
      </c>
      <c r="C73" s="40" t="str">
        <f>C74</f>
        <v>Famille à coller.N.Nom de votre recette.Recette mère ►.S.Saisissez le nom de la recette mère</v>
      </c>
      <c r="D73" s="40"/>
      <c r="E73" s="40"/>
      <c r="F73" s="327"/>
      <c r="G73" s="326"/>
      <c r="H73" s="326"/>
      <c r="I73" s="326"/>
      <c r="J73" s="326"/>
      <c r="K73" s="326"/>
      <c r="L73" s="1311"/>
      <c r="N73" s="42" t="str">
        <f t="shared" ref="N73:N85" si="32">IF(X73&lt;&gt;"","A","►")</f>
        <v>►</v>
      </c>
      <c r="O73" s="41" t="str">
        <f>O68</f>
        <v>Famille à coller.N.Nom de votre recette.Recette mère ►.S.Saisissez le nom de la recette mère</v>
      </c>
      <c r="P73" s="40">
        <f>P68</f>
        <v>6</v>
      </c>
      <c r="Q73" s="40" t="str">
        <f>Q68</f>
        <v>couverts</v>
      </c>
      <c r="R73" s="213"/>
      <c r="S73" s="256"/>
      <c r="T73" s="211" t="str">
        <f t="shared" si="31"/>
        <v/>
      </c>
      <c r="U73" s="210"/>
      <c r="V73" s="209"/>
      <c r="W73" s="5448">
        <v>1</v>
      </c>
      <c r="X73" s="33"/>
      <c r="AL73" s="42" t="str">
        <f t="shared" si="30"/>
        <v>►</v>
      </c>
      <c r="AM73" s="196" t="str">
        <f>AM61</f>
        <v>Famille à coller.N.Nom de votre recette.Recette mère ►.S.Saisissez le nom de la recette mère</v>
      </c>
      <c r="AN73" s="196">
        <f>AN61</f>
        <v>6</v>
      </c>
      <c r="AO73" s="196" t="str">
        <f>AO61</f>
        <v>couverts</v>
      </c>
      <c r="AP73" s="1323"/>
      <c r="AQ73" s="988"/>
      <c r="AR73" s="988"/>
      <c r="AS73" s="988"/>
      <c r="AT73" s="988"/>
      <c r="AU73" s="988"/>
      <c r="AV73" s="1325"/>
      <c r="AX73" s="42" t="str">
        <f t="shared" ref="AX73:AX78" si="33">IF(OR(BB73&lt;&gt;"",BC73&lt;&gt; "",BD73&lt;&gt;"",BE73&lt;&gt;""),"A", "►")</f>
        <v>A</v>
      </c>
      <c r="AY73" s="196" t="str">
        <f>AY70</f>
        <v>Famille à coller.N.Nom de votre recette.Recette mère ►.S.Saisissez le nom de la recette mère</v>
      </c>
      <c r="AZ73" s="196"/>
      <c r="BA73" s="1347"/>
      <c r="BB73" s="1319" t="s">
        <v>864</v>
      </c>
      <c r="BC73" s="1320"/>
      <c r="BD73" s="1320"/>
      <c r="BE73" s="1320"/>
      <c r="BF73" s="1320"/>
      <c r="BG73" s="1320"/>
      <c r="BH73" s="1324"/>
      <c r="BJ73" s="103"/>
      <c r="BK73" s="5451" t="s">
        <v>80</v>
      </c>
      <c r="BL73" s="102"/>
      <c r="BM73" s="101"/>
      <c r="BN73" s="953"/>
      <c r="BO73" s="967" t="s">
        <v>184</v>
      </c>
      <c r="BP73" s="286" t="s">
        <v>162</v>
      </c>
      <c r="BQ73" s="285" t="s">
        <v>186</v>
      </c>
      <c r="BR73" s="6905"/>
      <c r="BS73" s="7074"/>
      <c r="BT73" s="7692"/>
      <c r="BU73" s="1090" t="s">
        <v>185</v>
      </c>
      <c r="BV73" s="1"/>
      <c r="BW73" s="5">
        <v>1</v>
      </c>
    </row>
    <row r="74" spans="2:75" ht="17.25">
      <c r="B74" s="319" t="s">
        <v>26</v>
      </c>
      <c r="C74" s="318" t="str">
        <f>F74</f>
        <v>Famille à coller.N.Nom de votre recette.Recette mère ►.S.Saisissez le nom de la recette mère</v>
      </c>
      <c r="D74" s="318">
        <f>F72</f>
        <v>6</v>
      </c>
      <c r="E74" s="318" t="str">
        <f>G72</f>
        <v>couverts</v>
      </c>
      <c r="F74" s="5486" t="str">
        <f>UPPER(LEFT(H68,1))&amp;LOWER(MID(H68,2,999))&amp;"."&amp;UPPER(LEFT(J68,1))&amp;"."&amp;UPPER(LEFT(J68,1))&amp;LOWER(MID(J68,2,999))&amp;"."&amp;IF(ISTEXT(L74),K74&amp;"."&amp;UPPER(LEFT(L74,1))&amp;"."&amp;UPPER(LEFT(L74,1))&amp;LOWER(MID(L74,2,999)),G74)</f>
        <v>Famille à coller.N.Nom de votre recette.Recette mère ►.S.Saisissez le nom de la recette mère</v>
      </c>
      <c r="G74" s="5487" t="s">
        <v>223</v>
      </c>
      <c r="H74" s="7613" t="s">
        <v>222</v>
      </c>
      <c r="I74" s="7613"/>
      <c r="J74" s="7613"/>
      <c r="K74" s="317" t="s">
        <v>221</v>
      </c>
      <c r="L74" s="1302" t="s">
        <v>1093</v>
      </c>
      <c r="N74" s="42" t="str">
        <f t="shared" si="32"/>
        <v>►</v>
      </c>
      <c r="O74" s="41" t="str">
        <f>O68</f>
        <v>Famille à coller.N.Nom de votre recette.Recette mère ►.S.Saisissez le nom de la recette mère</v>
      </c>
      <c r="P74" s="40">
        <f>P68</f>
        <v>6</v>
      </c>
      <c r="Q74" s="40" t="str">
        <f>Q68</f>
        <v>couverts</v>
      </c>
      <c r="R74" s="213"/>
      <c r="S74" s="212"/>
      <c r="T74" s="211" t="str">
        <f t="shared" si="31"/>
        <v/>
      </c>
      <c r="U74" s="210"/>
      <c r="V74" s="209"/>
      <c r="W74" s="5448">
        <v>1</v>
      </c>
      <c r="X74" s="33"/>
      <c r="AL74" s="42" t="str">
        <f t="shared" si="30"/>
        <v>►</v>
      </c>
      <c r="AM74" s="196" t="str">
        <f>AM61</f>
        <v>Famille à coller.N.Nom de votre recette.Recette mère ►.S.Saisissez le nom de la recette mère</v>
      </c>
      <c r="AN74" s="196">
        <f>AN61</f>
        <v>6</v>
      </c>
      <c r="AO74" s="196" t="str">
        <f>AO61</f>
        <v>couverts</v>
      </c>
      <c r="AP74" s="1323"/>
      <c r="AQ74" s="988"/>
      <c r="AR74" s="988"/>
      <c r="AS74" s="988"/>
      <c r="AT74" s="988"/>
      <c r="AU74" s="988"/>
      <c r="AV74" s="1325"/>
      <c r="AX74" s="42" t="str">
        <f t="shared" si="33"/>
        <v>►</v>
      </c>
      <c r="AY74" s="196" t="str">
        <f>AY70</f>
        <v>Famille à coller.N.Nom de votre recette.Recette mère ►.S.Saisissez le nom de la recette mère</v>
      </c>
      <c r="AZ74" s="196">
        <f>AZ70</f>
        <v>6</v>
      </c>
      <c r="BA74" s="1347" t="str">
        <f>BA70</f>
        <v>couverts</v>
      </c>
      <c r="BB74" s="988"/>
      <c r="BC74" s="988"/>
      <c r="BD74" s="988"/>
      <c r="BE74" s="988"/>
      <c r="BF74" s="988"/>
      <c r="BG74" s="988"/>
      <c r="BH74" s="1325"/>
      <c r="BJ74" s="103"/>
      <c r="BK74" s="104" t="s">
        <v>78</v>
      </c>
      <c r="BL74" s="102"/>
      <c r="BM74" s="101"/>
      <c r="BN74" s="953"/>
      <c r="BO74" s="1092">
        <v>27</v>
      </c>
      <c r="BP74" s="212" t="s">
        <v>925</v>
      </c>
      <c r="BQ74" s="1093" t="s">
        <v>186</v>
      </c>
      <c r="BR74" s="210">
        <v>20</v>
      </c>
      <c r="BS74" s="251" t="s">
        <v>130</v>
      </c>
      <c r="BT74" s="5449">
        <v>1</v>
      </c>
      <c r="BU74" s="1094" t="s">
        <v>859</v>
      </c>
      <c r="BV74" s="1"/>
      <c r="BW74" s="5">
        <v>1</v>
      </c>
    </row>
    <row r="75" spans="2:75" ht="17.25">
      <c r="B75" s="5477" t="s">
        <v>21</v>
      </c>
      <c r="C75" s="1313" t="str">
        <f>$C$39</f>
        <v>Famille à coller.N.Nom de votre recette.Recette mère ►.S.Saisissez le nom de la recette mère</v>
      </c>
      <c r="D75" s="1313">
        <f>$D$39</f>
        <v>6</v>
      </c>
      <c r="E75" s="1313" t="str">
        <f>$E$39</f>
        <v>couverts</v>
      </c>
      <c r="F75" s="1314" t="s">
        <v>218</v>
      </c>
      <c r="G75" s="1314" cm="1">
        <f t="array" ref="G75">IFERROR(ROW(F84)-(ROW(F76)+MATCH(TRUE,INDEX(ISNUMBER(FIND(K75,TRIM(SUBSTITUTE(SUBSTITUTE(SUBSTITUTE(SUBSTITUTE(SUBSTITUTE(SUBSTITUTE(SUBSTITUTE(LOWER(F76:F84),"é","e"),"è","e"),"ê","e"),"ë","e"),"à","a"),"ù","u"),"î","i")))),0),0)-1),1)</f>
        <v>8</v>
      </c>
      <c r="H75" s="1315" t="s">
        <v>1108</v>
      </c>
      <c r="I75" s="1316"/>
      <c r="J75" s="1316"/>
      <c r="K75" s="1317" t="str">
        <f>TRIM(SUBSTITUTE(SUBSTITUTE(SUBSTITUTE(SUBSTITUTE(SUBSTITUTE(SUBSTITUTE(SUBSTITUTE(LOWER(L75),"é","e"),"è","e"),"ê","e"),"ë","e"),"à","a"),"ù","u"),"î","i"))</f>
        <v>⓬ ▼ phases de progression</v>
      </c>
      <c r="L75" s="1318" t="s">
        <v>864</v>
      </c>
      <c r="N75" s="42" t="str">
        <f t="shared" si="32"/>
        <v>►</v>
      </c>
      <c r="O75" s="41" t="str">
        <f>O68</f>
        <v>Famille à coller.N.Nom de votre recette.Recette mère ►.S.Saisissez le nom de la recette mère</v>
      </c>
      <c r="P75" s="40">
        <f>P68</f>
        <v>6</v>
      </c>
      <c r="Q75" s="40" t="str">
        <f>Q68</f>
        <v>couverts</v>
      </c>
      <c r="R75" s="213"/>
      <c r="S75" s="212"/>
      <c r="T75" s="211" t="str">
        <f t="shared" si="31"/>
        <v/>
      </c>
      <c r="U75" s="210"/>
      <c r="V75" s="209"/>
      <c r="W75" s="5448">
        <v>1</v>
      </c>
      <c r="X75" s="33"/>
      <c r="AL75" s="42" t="str">
        <f t="shared" si="30"/>
        <v>►</v>
      </c>
      <c r="AM75" s="196" t="str">
        <f>AM61</f>
        <v>Famille à coller.N.Nom de votre recette.Recette mère ►.S.Saisissez le nom de la recette mère</v>
      </c>
      <c r="AN75" s="196">
        <f>AN61</f>
        <v>6</v>
      </c>
      <c r="AO75" s="196" t="str">
        <f>AO61</f>
        <v>couverts</v>
      </c>
      <c r="AP75" s="1323"/>
      <c r="AQ75" s="988"/>
      <c r="AR75" s="988"/>
      <c r="AS75" s="988"/>
      <c r="AT75" s="988"/>
      <c r="AU75" s="988"/>
      <c r="AV75" s="1325"/>
      <c r="AX75" s="42" t="str">
        <f t="shared" si="33"/>
        <v>►</v>
      </c>
      <c r="AY75" s="196" t="str">
        <f>AY70</f>
        <v>Famille à coller.N.Nom de votre recette.Recette mère ►.S.Saisissez le nom de la recette mère</v>
      </c>
      <c r="AZ75" s="196">
        <f>AZ70</f>
        <v>6</v>
      </c>
      <c r="BA75" s="1347" t="str">
        <f>BA70</f>
        <v>couverts</v>
      </c>
      <c r="BB75" s="988"/>
      <c r="BC75" s="988"/>
      <c r="BD75" s="988"/>
      <c r="BE75" s="988"/>
      <c r="BF75" s="988"/>
      <c r="BG75" s="988"/>
      <c r="BH75" s="1325"/>
      <c r="BJ75" s="103"/>
      <c r="BK75" s="104" t="s">
        <v>77</v>
      </c>
      <c r="BL75" s="102"/>
      <c r="BM75" s="101"/>
      <c r="BN75" s="953"/>
      <c r="BO75" s="1083"/>
      <c r="BP75" s="147"/>
      <c r="BQ75" s="147"/>
      <c r="BR75" s="147"/>
      <c r="BS75" s="141"/>
      <c r="BT75" s="147"/>
      <c r="BU75" s="609"/>
      <c r="BV75" s="1"/>
      <c r="BW75" s="5">
        <v>1</v>
      </c>
    </row>
    <row r="76" spans="2:75" ht="15" customHeight="1">
      <c r="B76" s="1023" t="s">
        <v>21</v>
      </c>
      <c r="C76" s="196" t="str">
        <f>C75</f>
        <v>Famille à coller.N.Nom de votre recette.Recette mère ►.S.Saisissez le nom de la recette mère</v>
      </c>
      <c r="D76" s="196">
        <f>D75</f>
        <v>6</v>
      </c>
      <c r="E76" s="196" t="str">
        <f>E75</f>
        <v>couverts</v>
      </c>
      <c r="F76" s="1319" t="s">
        <v>864</v>
      </c>
      <c r="G76" s="1320"/>
      <c r="H76" s="1320"/>
      <c r="I76" s="1320"/>
      <c r="J76" s="1321"/>
      <c r="K76" s="1321"/>
      <c r="L76" s="1322"/>
      <c r="N76" s="42" t="str">
        <f t="shared" si="32"/>
        <v>A</v>
      </c>
      <c r="O76" s="41" t="str">
        <f>O68</f>
        <v>Famille à coller.N.Nom de votre recette.Recette mère ►.S.Saisissez le nom de la recette mère</v>
      </c>
      <c r="P76" s="40">
        <f>P68</f>
        <v>6</v>
      </c>
      <c r="Q76" s="40" t="str">
        <f>Q68</f>
        <v>couverts</v>
      </c>
      <c r="R76" s="213"/>
      <c r="S76" s="212"/>
      <c r="T76" s="211" t="str">
        <f t="shared" si="31"/>
        <v/>
      </c>
      <c r="U76" s="210"/>
      <c r="V76" s="209"/>
      <c r="W76" s="5448">
        <v>1</v>
      </c>
      <c r="X76" s="33" t="s">
        <v>1104</v>
      </c>
      <c r="AL76" s="42" t="str">
        <f t="shared" si="30"/>
        <v>►</v>
      </c>
      <c r="AM76" s="196" t="str">
        <f>AM61</f>
        <v>Famille à coller.N.Nom de votre recette.Recette mère ►.S.Saisissez le nom de la recette mère</v>
      </c>
      <c r="AN76" s="196">
        <f>AN61</f>
        <v>6</v>
      </c>
      <c r="AO76" s="196" t="str">
        <f>AO61</f>
        <v>couverts</v>
      </c>
      <c r="AP76" s="1323"/>
      <c r="AQ76" s="988"/>
      <c r="AR76" s="988"/>
      <c r="AS76" s="988"/>
      <c r="AT76" s="988"/>
      <c r="AU76" s="988"/>
      <c r="AV76" s="1325"/>
      <c r="AX76" s="42" t="str">
        <f t="shared" si="33"/>
        <v>►</v>
      </c>
      <c r="AY76" s="196" t="str">
        <f>AY70</f>
        <v>Famille à coller.N.Nom de votre recette.Recette mère ►.S.Saisissez le nom de la recette mère</v>
      </c>
      <c r="AZ76" s="196">
        <f>AZ70</f>
        <v>6</v>
      </c>
      <c r="BA76" s="1347" t="str">
        <f>BA70</f>
        <v>couverts</v>
      </c>
      <c r="BB76" s="988"/>
      <c r="BC76" s="988"/>
      <c r="BD76" s="988"/>
      <c r="BE76" s="988"/>
      <c r="BF76" s="988"/>
      <c r="BG76" s="988"/>
      <c r="BH76" s="1325"/>
      <c r="BJ76" s="103" t="s">
        <v>14</v>
      </c>
      <c r="BK76" s="102"/>
      <c r="BL76" s="102"/>
      <c r="BM76" s="101"/>
      <c r="BN76" s="953"/>
      <c r="BO76" s="1095" t="s">
        <v>186</v>
      </c>
      <c r="BP76" s="1096" t="s">
        <v>927</v>
      </c>
      <c r="BQ76" s="1096"/>
      <c r="BR76" s="1096"/>
      <c r="BS76" s="141"/>
      <c r="BT76" s="147"/>
      <c r="BU76" s="609"/>
      <c r="BV76" s="1"/>
      <c r="BW76" s="5">
        <v>1</v>
      </c>
    </row>
    <row r="77" spans="2:75" ht="17.25">
      <c r="B77" s="42" t="str">
        <f t="shared" ref="B77:B84" si="34">IF(OR(F77&lt;&gt;"",G77&lt;&gt; "",H77&lt;&gt;"",I77&lt;&gt;""),"A", "►")</f>
        <v>►</v>
      </c>
      <c r="C77" s="196" t="str">
        <f>C75</f>
        <v>Famille à coller.N.Nom de votre recette.Recette mère ►.S.Saisissez le nom de la recette mère</v>
      </c>
      <c r="D77" s="196">
        <f>D75</f>
        <v>6</v>
      </c>
      <c r="E77" s="196" t="str">
        <f>E75</f>
        <v>couverts</v>
      </c>
      <c r="F77" s="1323"/>
      <c r="G77" s="988"/>
      <c r="H77" s="988"/>
      <c r="I77" s="988"/>
      <c r="J77" s="1320"/>
      <c r="K77" s="1320"/>
      <c r="L77" s="1324"/>
      <c r="N77" s="42" t="str">
        <f t="shared" si="32"/>
        <v>►</v>
      </c>
      <c r="O77" s="41" t="str">
        <f>O68</f>
        <v>Famille à coller.N.Nom de votre recette.Recette mère ►.S.Saisissez le nom de la recette mère</v>
      </c>
      <c r="P77" s="40">
        <f>P68</f>
        <v>6</v>
      </c>
      <c r="Q77" s="40" t="str">
        <f>Q68</f>
        <v>couverts</v>
      </c>
      <c r="R77" s="213"/>
      <c r="S77" s="212"/>
      <c r="T77" s="211" t="str">
        <f t="shared" si="31"/>
        <v/>
      </c>
      <c r="U77" s="210"/>
      <c r="V77" s="209"/>
      <c r="W77" s="5448">
        <v>1</v>
      </c>
      <c r="X77" s="33"/>
      <c r="Z77" s="1351"/>
      <c r="AA77" s="1351"/>
      <c r="AB77" s="1351"/>
      <c r="AC77" s="1352" t="s">
        <v>1115</v>
      </c>
      <c r="AD77" s="1353" t="s">
        <v>1116</v>
      </c>
      <c r="AE77" s="102"/>
      <c r="AL77" s="42" t="str">
        <f t="shared" si="30"/>
        <v>►</v>
      </c>
      <c r="AM77" s="196" t="str">
        <f>AM61</f>
        <v>Famille à coller.N.Nom de votre recette.Recette mère ►.S.Saisissez le nom de la recette mère</v>
      </c>
      <c r="AN77" s="196">
        <f>AN61</f>
        <v>6</v>
      </c>
      <c r="AO77" s="196" t="str">
        <f>AO61</f>
        <v>couverts</v>
      </c>
      <c r="AP77" s="1323"/>
      <c r="AQ77" s="988"/>
      <c r="AR77" s="988"/>
      <c r="AS77" s="988"/>
      <c r="AT77" s="988"/>
      <c r="AU77" s="988"/>
      <c r="AV77" s="1325"/>
      <c r="AX77" s="42" t="str">
        <f t="shared" si="33"/>
        <v>►</v>
      </c>
      <c r="AY77" s="196" t="str">
        <f>AY70</f>
        <v>Famille à coller.N.Nom de votre recette.Recette mère ►.S.Saisissez le nom de la recette mère</v>
      </c>
      <c r="AZ77" s="196">
        <f>AZ70</f>
        <v>6</v>
      </c>
      <c r="BA77" s="1347" t="str">
        <f>BA70</f>
        <v>couverts</v>
      </c>
      <c r="BB77" s="988"/>
      <c r="BC77" s="988"/>
      <c r="BD77" s="988"/>
      <c r="BE77" s="988"/>
      <c r="BF77" s="988"/>
      <c r="BG77" s="988"/>
      <c r="BH77" s="1325"/>
      <c r="BJ77" s="103" t="s">
        <v>13</v>
      </c>
      <c r="BK77" s="102"/>
      <c r="BL77" s="102"/>
      <c r="BM77" s="101"/>
      <c r="BN77" s="953"/>
      <c r="BO77" s="1083" t="s">
        <v>928</v>
      </c>
      <c r="BP77" s="147"/>
      <c r="BQ77" s="147"/>
      <c r="BR77" s="147"/>
      <c r="BS77" s="141"/>
      <c r="BT77" s="147"/>
      <c r="BU77" s="609"/>
      <c r="BV77" s="1"/>
      <c r="BW77" s="5">
        <v>1</v>
      </c>
    </row>
    <row r="78" spans="2:75" ht="15.75" customHeight="1" thickBot="1">
      <c r="B78" s="42" t="str">
        <f t="shared" si="34"/>
        <v>►</v>
      </c>
      <c r="C78" s="196" t="str">
        <f>C75</f>
        <v>Famille à coller.N.Nom de votre recette.Recette mère ►.S.Saisissez le nom de la recette mère</v>
      </c>
      <c r="D78" s="196">
        <f>D75</f>
        <v>6</v>
      </c>
      <c r="E78" s="196" t="str">
        <f>E75</f>
        <v>couverts</v>
      </c>
      <c r="F78" s="1323"/>
      <c r="G78" s="988"/>
      <c r="H78" s="988"/>
      <c r="I78" s="988"/>
      <c r="J78" s="988"/>
      <c r="K78" s="988"/>
      <c r="L78" s="1325"/>
      <c r="N78" s="42" t="str">
        <f t="shared" si="32"/>
        <v>►</v>
      </c>
      <c r="O78" s="41" t="str">
        <f>O68</f>
        <v>Famille à coller.N.Nom de votre recette.Recette mère ►.S.Saisissez le nom de la recette mère</v>
      </c>
      <c r="P78" s="40">
        <f>P68</f>
        <v>6</v>
      </c>
      <c r="Q78" s="40" t="str">
        <f>Q68</f>
        <v>couverts</v>
      </c>
      <c r="R78" s="213"/>
      <c r="S78" s="212"/>
      <c r="T78" s="211" t="str">
        <f t="shared" si="31"/>
        <v/>
      </c>
      <c r="U78" s="210"/>
      <c r="V78" s="209"/>
      <c r="W78" s="5448">
        <v>1</v>
      </c>
      <c r="X78" s="33"/>
      <c r="Z78" s="1256"/>
      <c r="AA78" s="331"/>
      <c r="AB78" s="331"/>
      <c r="AC78" s="331"/>
      <c r="AD78" s="102"/>
      <c r="AE78" s="102"/>
      <c r="AF78" s="102"/>
      <c r="AG78" s="102"/>
      <c r="AH78" s="102"/>
      <c r="AI78" s="102"/>
      <c r="AJ78" s="102"/>
      <c r="AL78" s="42" t="str">
        <f t="shared" si="30"/>
        <v>►</v>
      </c>
      <c r="AM78" s="196" t="str">
        <f>AM61</f>
        <v>Famille à coller.N.Nom de votre recette.Recette mère ►.S.Saisissez le nom de la recette mère</v>
      </c>
      <c r="AN78" s="196">
        <f>AN61</f>
        <v>6</v>
      </c>
      <c r="AO78" s="196" t="str">
        <f>AO61</f>
        <v>couverts</v>
      </c>
      <c r="AP78" s="1323"/>
      <c r="AQ78" s="988"/>
      <c r="AR78" s="988"/>
      <c r="AS78" s="988"/>
      <c r="AT78" s="988"/>
      <c r="AU78" s="988"/>
      <c r="AV78" s="1325"/>
      <c r="AX78" s="42" t="str">
        <f t="shared" si="33"/>
        <v>►</v>
      </c>
      <c r="AY78" s="196" t="str">
        <f>AY70</f>
        <v>Famille à coller.N.Nom de votre recette.Recette mère ►.S.Saisissez le nom de la recette mère</v>
      </c>
      <c r="AZ78" s="196">
        <f>AZ70</f>
        <v>6</v>
      </c>
      <c r="BA78" s="1347" t="str">
        <f>BA70</f>
        <v>couverts</v>
      </c>
      <c r="BB78" s="988"/>
      <c r="BC78" s="988"/>
      <c r="BD78" s="988"/>
      <c r="BE78" s="988"/>
      <c r="BF78" s="988"/>
      <c r="BG78" s="988"/>
      <c r="BH78" s="1325"/>
      <c r="BJ78" s="103" t="s">
        <v>12</v>
      </c>
      <c r="BK78" s="102"/>
      <c r="BL78" s="102"/>
      <c r="BM78" s="101"/>
      <c r="BN78" s="953"/>
      <c r="BO78" s="1097"/>
      <c r="BP78" s="147"/>
      <c r="BQ78" s="147"/>
      <c r="BR78" s="147"/>
      <c r="BS78" s="141"/>
      <c r="BT78" s="1098" t="s">
        <v>860</v>
      </c>
      <c r="BU78" s="609"/>
      <c r="BV78" s="1"/>
      <c r="BW78" s="5">
        <v>1</v>
      </c>
    </row>
    <row r="79" spans="2:75" ht="15.75" customHeight="1" thickTop="1" thickBot="1">
      <c r="B79" s="42" t="str">
        <f t="shared" si="34"/>
        <v>►</v>
      </c>
      <c r="C79" s="196" t="str">
        <f>C75</f>
        <v>Famille à coller.N.Nom de votre recette.Recette mère ►.S.Saisissez le nom de la recette mère</v>
      </c>
      <c r="D79" s="196">
        <f>D75</f>
        <v>6</v>
      </c>
      <c r="E79" s="196" t="str">
        <f>E75</f>
        <v>couverts</v>
      </c>
      <c r="F79" s="1323"/>
      <c r="G79" s="988"/>
      <c r="H79" s="988"/>
      <c r="I79" s="988"/>
      <c r="J79" s="988" t="s">
        <v>1109</v>
      </c>
      <c r="K79" s="988"/>
      <c r="L79" s="1325"/>
      <c r="N79" s="42" t="str">
        <f t="shared" si="32"/>
        <v>►</v>
      </c>
      <c r="O79" s="41" t="str">
        <f>O68</f>
        <v>Famille à coller.N.Nom de votre recette.Recette mère ►.S.Saisissez le nom de la recette mère</v>
      </c>
      <c r="P79" s="40">
        <f>P68</f>
        <v>6</v>
      </c>
      <c r="Q79" s="40" t="str">
        <f>Q68</f>
        <v>couverts</v>
      </c>
      <c r="R79" s="213"/>
      <c r="S79" s="212"/>
      <c r="T79" s="211" t="str">
        <f t="shared" si="31"/>
        <v/>
      </c>
      <c r="U79" s="210"/>
      <c r="V79" s="209"/>
      <c r="W79" s="5448">
        <v>1</v>
      </c>
      <c r="X79" s="33"/>
      <c r="Z79" s="331"/>
      <c r="AA79" s="331"/>
      <c r="AB79" s="331"/>
      <c r="AC79" s="331"/>
      <c r="AD79" s="1354" t="s">
        <v>252</v>
      </c>
      <c r="AE79" s="1355"/>
      <c r="AF79" s="1355"/>
      <c r="AG79" s="1355"/>
      <c r="AH79" s="1355"/>
      <c r="AI79" s="1356"/>
      <c r="AJ79" s="1357" t="s">
        <v>1117</v>
      </c>
      <c r="AL79" s="42" t="str">
        <f t="shared" si="30"/>
        <v>►</v>
      </c>
      <c r="AM79" s="196" t="str">
        <f>AM61</f>
        <v>Famille à coller.N.Nom de votre recette.Recette mère ►.S.Saisissez le nom de la recette mère</v>
      </c>
      <c r="AN79" s="196">
        <f>AN61</f>
        <v>6</v>
      </c>
      <c r="AO79" s="196" t="str">
        <f>AO61</f>
        <v>couverts</v>
      </c>
      <c r="AP79" s="1323"/>
      <c r="AQ79" s="988"/>
      <c r="AR79" s="988"/>
      <c r="AS79" s="988"/>
      <c r="AT79" s="988"/>
      <c r="AU79" s="988"/>
      <c r="AV79" s="1325"/>
      <c r="AX79" s="42" t="str">
        <f>IF(OR(BB73&lt;&gt;"",BC79&lt;&gt; "",BD79&lt;&gt;"",BE79&lt;&gt;""),"A", "►")</f>
        <v>A</v>
      </c>
      <c r="AY79" s="196" t="str">
        <f>AY70</f>
        <v>Famille à coller.N.Nom de votre recette.Recette mère ►.S.Saisissez le nom de la recette mère</v>
      </c>
      <c r="AZ79" s="196">
        <f>AZ70</f>
        <v>6</v>
      </c>
      <c r="BA79" s="1347" t="str">
        <f>BA70</f>
        <v>couverts</v>
      </c>
      <c r="BB79" s="1"/>
      <c r="BC79" s="988"/>
      <c r="BD79" s="988"/>
      <c r="BE79" s="988"/>
      <c r="BF79" s="988"/>
      <c r="BG79" s="988"/>
      <c r="BH79" s="1325"/>
      <c r="BJ79" s="103" t="s">
        <v>931</v>
      </c>
      <c r="BK79" s="102"/>
      <c r="BL79" s="102"/>
      <c r="BM79" s="101"/>
      <c r="BN79" s="953"/>
      <c r="BO79" s="7693" t="s">
        <v>196</v>
      </c>
      <c r="BP79" s="1089" t="s">
        <v>195</v>
      </c>
      <c r="BQ79" s="1099" t="s">
        <v>194</v>
      </c>
      <c r="BR79" s="5488" t="s">
        <v>929</v>
      </c>
      <c r="BS79" s="141"/>
      <c r="BT79" s="1100" t="s">
        <v>930</v>
      </c>
      <c r="BU79" s="609"/>
      <c r="BV79" s="1"/>
      <c r="BW79" s="5">
        <v>1</v>
      </c>
    </row>
    <row r="80" spans="2:75" ht="19.5" thickTop="1">
      <c r="B80" s="42" t="str">
        <f t="shared" si="34"/>
        <v>►</v>
      </c>
      <c r="C80" s="196" t="str">
        <f>C75</f>
        <v>Famille à coller.N.Nom de votre recette.Recette mère ►.S.Saisissez le nom de la recette mère</v>
      </c>
      <c r="D80" s="196">
        <f>D75</f>
        <v>6</v>
      </c>
      <c r="E80" s="196" t="str">
        <f>E75</f>
        <v>couverts</v>
      </c>
      <c r="F80" s="1323"/>
      <c r="G80" s="988"/>
      <c r="H80" s="988"/>
      <c r="I80" s="988"/>
      <c r="J80" s="988"/>
      <c r="K80" s="988"/>
      <c r="L80" s="1325"/>
      <c r="N80" s="42" t="str">
        <f t="shared" si="32"/>
        <v>►</v>
      </c>
      <c r="O80" s="41" t="str">
        <f>O68</f>
        <v>Famille à coller.N.Nom de votre recette.Recette mère ►.S.Saisissez le nom de la recette mère</v>
      </c>
      <c r="P80" s="40">
        <f>P68</f>
        <v>6</v>
      </c>
      <c r="Q80" s="40" t="str">
        <f>Q68</f>
        <v>couverts</v>
      </c>
      <c r="R80" s="213"/>
      <c r="S80" s="212"/>
      <c r="T80" s="211" t="str">
        <f t="shared" si="31"/>
        <v/>
      </c>
      <c r="U80" s="210"/>
      <c r="V80" s="209"/>
      <c r="W80" s="5448">
        <v>1</v>
      </c>
      <c r="X80" s="33"/>
      <c r="Z80" s="331"/>
      <c r="AA80" s="331"/>
      <c r="AB80" s="331"/>
      <c r="AC80" s="331"/>
      <c r="AD80" s="1358" t="s">
        <v>1118</v>
      </c>
      <c r="AE80" s="1359" t="s">
        <v>1119</v>
      </c>
      <c r="AF80" s="147"/>
      <c r="AG80" s="147"/>
      <c r="AH80" s="147"/>
      <c r="AI80" s="147"/>
      <c r="AJ80" s="1360"/>
      <c r="AL80" s="42" t="str">
        <f t="shared" si="30"/>
        <v>►</v>
      </c>
      <c r="AM80" s="196" t="str">
        <f>AM61</f>
        <v>Famille à coller.N.Nom de votre recette.Recette mère ►.S.Saisissez le nom de la recette mère</v>
      </c>
      <c r="AN80" s="196">
        <f>AN61</f>
        <v>6</v>
      </c>
      <c r="AO80" s="196" t="str">
        <f>AO61</f>
        <v>couverts</v>
      </c>
      <c r="AP80" s="1323"/>
      <c r="AQ80" s="988"/>
      <c r="AR80" s="988"/>
      <c r="AS80" s="988"/>
      <c r="AT80" s="988"/>
      <c r="AU80" s="988"/>
      <c r="AV80" s="1325"/>
      <c r="AX80" s="42" t="str">
        <f t="shared" ref="AX80:AX111" si="35">IF(OR(BB80&lt;&gt;"",BC80&lt;&gt; "",BD80&lt;&gt;"",BE80&lt;&gt;""),"A", "►")</f>
        <v>►</v>
      </c>
      <c r="AY80" s="196" t="str">
        <f>AY70</f>
        <v>Famille à coller.N.Nom de votre recette.Recette mère ►.S.Saisissez le nom de la recette mère</v>
      </c>
      <c r="AZ80" s="196">
        <f>AZ70</f>
        <v>6</v>
      </c>
      <c r="BA80" s="1347" t="str">
        <f>BA70</f>
        <v>couverts</v>
      </c>
      <c r="BB80" s="988"/>
      <c r="BC80" s="988"/>
      <c r="BD80" s="988"/>
      <c r="BE80" s="988"/>
      <c r="BF80" s="988" t="s">
        <v>1120</v>
      </c>
      <c r="BG80" s="988"/>
      <c r="BH80" s="1325"/>
      <c r="BJ80" s="1101"/>
      <c r="BK80" s="1102"/>
      <c r="BL80" s="106"/>
      <c r="BM80" s="105"/>
      <c r="BN80" s="953"/>
      <c r="BO80" s="7694"/>
      <c r="BP80" s="1091"/>
      <c r="BQ80" s="1103" t="s">
        <v>185</v>
      </c>
      <c r="BR80" s="1104"/>
      <c r="BS80" s="141"/>
      <c r="BT80" s="1105" t="s">
        <v>932</v>
      </c>
      <c r="BU80" s="609"/>
      <c r="BV80" s="1"/>
      <c r="BW80" s="5">
        <v>1</v>
      </c>
    </row>
    <row r="81" spans="2:75" ht="18.75">
      <c r="B81" s="42" t="str">
        <f t="shared" si="34"/>
        <v>►</v>
      </c>
      <c r="C81" s="196" t="str">
        <f>C75</f>
        <v>Famille à coller.N.Nom de votre recette.Recette mère ►.S.Saisissez le nom de la recette mère</v>
      </c>
      <c r="D81" s="196">
        <f>D75</f>
        <v>6</v>
      </c>
      <c r="E81" s="196" t="str">
        <f>E75</f>
        <v>couverts</v>
      </c>
      <c r="F81" s="1323"/>
      <c r="G81" s="988"/>
      <c r="H81" s="988"/>
      <c r="I81" s="988"/>
      <c r="J81" s="988"/>
      <c r="K81" s="988"/>
      <c r="L81" s="1325"/>
      <c r="N81" s="42" t="str">
        <f t="shared" si="32"/>
        <v>►</v>
      </c>
      <c r="O81" s="41" t="str">
        <f>O68</f>
        <v>Famille à coller.N.Nom de votre recette.Recette mère ►.S.Saisissez le nom de la recette mère</v>
      </c>
      <c r="P81" s="40">
        <f>P68</f>
        <v>6</v>
      </c>
      <c r="Q81" s="40" t="str">
        <f>Q68</f>
        <v>couverts</v>
      </c>
      <c r="R81" s="213"/>
      <c r="S81" s="212"/>
      <c r="T81" s="211" t="str">
        <f t="shared" si="31"/>
        <v/>
      </c>
      <c r="U81" s="210"/>
      <c r="V81" s="209"/>
      <c r="W81" s="5448">
        <v>1</v>
      </c>
      <c r="X81" s="33"/>
      <c r="Z81" s="331"/>
      <c r="AA81" s="331"/>
      <c r="AB81" s="331"/>
      <c r="AC81" s="331"/>
      <c r="AD81" s="1358" t="s">
        <v>1118</v>
      </c>
      <c r="AE81" s="1359" t="s">
        <v>1121</v>
      </c>
      <c r="AF81" s="1361"/>
      <c r="AG81" s="1362"/>
      <c r="AH81" s="988"/>
      <c r="AI81" s="988"/>
      <c r="AJ81" s="1325"/>
      <c r="AL81" s="42" t="str">
        <f t="shared" si="30"/>
        <v>►</v>
      </c>
      <c r="AM81" s="196" t="str">
        <f>AM61</f>
        <v>Famille à coller.N.Nom de votre recette.Recette mère ►.S.Saisissez le nom de la recette mère</v>
      </c>
      <c r="AN81" s="196">
        <f>AN61</f>
        <v>6</v>
      </c>
      <c r="AO81" s="196" t="str">
        <f>AO61</f>
        <v>couverts</v>
      </c>
      <c r="AP81" s="1323"/>
      <c r="AQ81" s="988"/>
      <c r="AR81" s="988"/>
      <c r="AS81" s="988"/>
      <c r="AT81" s="988"/>
      <c r="AU81" s="988"/>
      <c r="AV81" s="1325"/>
      <c r="AX81" s="42" t="str">
        <f t="shared" si="35"/>
        <v>►</v>
      </c>
      <c r="AY81" s="196" t="str">
        <f>AY70</f>
        <v>Famille à coller.N.Nom de votre recette.Recette mère ►.S.Saisissez le nom de la recette mère</v>
      </c>
      <c r="AZ81" s="196">
        <f>AZ70</f>
        <v>6</v>
      </c>
      <c r="BA81" s="1347" t="str">
        <f>BA70</f>
        <v>couverts</v>
      </c>
      <c r="BB81" s="988"/>
      <c r="BC81" s="988"/>
      <c r="BD81" s="988"/>
      <c r="BE81" s="988"/>
      <c r="BF81" s="988"/>
      <c r="BG81" s="988"/>
      <c r="BH81" s="1325"/>
      <c r="BJ81" s="1106">
        <v>3</v>
      </c>
      <c r="BK81" s="1107" t="s">
        <v>934</v>
      </c>
      <c r="BL81" s="106"/>
      <c r="BM81" s="105"/>
      <c r="BN81" s="953"/>
      <c r="BO81" s="1108">
        <v>20</v>
      </c>
      <c r="BP81" s="251" t="s">
        <v>130</v>
      </c>
      <c r="BQ81" s="1109" t="s">
        <v>859</v>
      </c>
      <c r="BR81" s="1110" t="s">
        <v>933</v>
      </c>
      <c r="BS81" s="141"/>
      <c r="BT81" s="1111" t="s">
        <v>935</v>
      </c>
      <c r="BU81" s="609"/>
      <c r="BV81" s="1"/>
      <c r="BW81" s="5">
        <v>1</v>
      </c>
    </row>
    <row r="82" spans="2:75" ht="18.75">
      <c r="B82" s="42" t="str">
        <f t="shared" si="34"/>
        <v>►</v>
      </c>
      <c r="C82" s="196" t="str">
        <f>C75</f>
        <v>Famille à coller.N.Nom de votre recette.Recette mère ►.S.Saisissez le nom de la recette mère</v>
      </c>
      <c r="D82" s="196">
        <f>D75</f>
        <v>6</v>
      </c>
      <c r="E82" s="196" t="str">
        <f>E75</f>
        <v>couverts</v>
      </c>
      <c r="F82" s="1323"/>
      <c r="G82" s="988"/>
      <c r="H82" s="988"/>
      <c r="I82" s="988"/>
      <c r="J82" s="988"/>
      <c r="K82" s="988"/>
      <c r="L82" s="1326"/>
      <c r="N82" s="42" t="str">
        <f t="shared" si="32"/>
        <v>►</v>
      </c>
      <c r="O82" s="41" t="str">
        <f>O68</f>
        <v>Famille à coller.N.Nom de votre recette.Recette mère ►.S.Saisissez le nom de la recette mère</v>
      </c>
      <c r="P82" s="40">
        <f>P68</f>
        <v>6</v>
      </c>
      <c r="Q82" s="40" t="str">
        <f>Q68</f>
        <v>couverts</v>
      </c>
      <c r="R82" s="213"/>
      <c r="S82" s="212"/>
      <c r="T82" s="211" t="str">
        <f t="shared" si="31"/>
        <v/>
      </c>
      <c r="U82" s="210"/>
      <c r="V82" s="209"/>
      <c r="W82" s="5448">
        <v>1</v>
      </c>
      <c r="X82" s="33"/>
      <c r="Z82" s="331"/>
      <c r="AA82" s="331"/>
      <c r="AB82" s="331"/>
      <c r="AC82" s="331"/>
      <c r="AD82" s="1358" t="s">
        <v>1118</v>
      </c>
      <c r="AE82" s="1359" t="s">
        <v>1122</v>
      </c>
      <c r="AF82" s="1361"/>
      <c r="AG82" s="988"/>
      <c r="AH82" s="988"/>
      <c r="AI82" s="988"/>
      <c r="AJ82" s="1325"/>
      <c r="AL82" s="42" t="str">
        <f t="shared" si="30"/>
        <v>►</v>
      </c>
      <c r="AM82" s="196" t="str">
        <f>AM61</f>
        <v>Famille à coller.N.Nom de votre recette.Recette mère ►.S.Saisissez le nom de la recette mère</v>
      </c>
      <c r="AN82" s="196">
        <f>AN61</f>
        <v>6</v>
      </c>
      <c r="AO82" s="196" t="str">
        <f>AO61</f>
        <v>couverts</v>
      </c>
      <c r="AP82" s="1323"/>
      <c r="AQ82" s="988"/>
      <c r="AR82" s="988"/>
      <c r="AS82" s="988"/>
      <c r="AT82" s="988"/>
      <c r="AU82" s="988"/>
      <c r="AV82" s="1325"/>
      <c r="AX82" s="42" t="str">
        <f t="shared" si="35"/>
        <v>►</v>
      </c>
      <c r="AY82" s="196" t="str">
        <f>AY70</f>
        <v>Famille à coller.N.Nom de votre recette.Recette mère ►.S.Saisissez le nom de la recette mère</v>
      </c>
      <c r="AZ82" s="196">
        <f>AZ70</f>
        <v>6</v>
      </c>
      <c r="BA82" s="1347" t="str">
        <f>BA70</f>
        <v>couverts</v>
      </c>
      <c r="BB82" s="988"/>
      <c r="BC82" s="988"/>
      <c r="BD82" s="988"/>
      <c r="BE82" s="988"/>
      <c r="BF82" s="988"/>
      <c r="BG82" s="988"/>
      <c r="BH82" s="1325"/>
      <c r="BJ82" s="258" t="s">
        <v>937</v>
      </c>
      <c r="BK82" s="1112"/>
      <c r="BL82" s="106"/>
      <c r="BM82" s="105"/>
      <c r="BN82" s="953"/>
      <c r="BO82" s="1113">
        <v>1.75</v>
      </c>
      <c r="BP82" s="1114" t="s">
        <v>219</v>
      </c>
      <c r="BQ82" s="1109" t="s">
        <v>938</v>
      </c>
      <c r="BR82" s="1110" t="s">
        <v>936</v>
      </c>
      <c r="BS82" s="141"/>
      <c r="BT82" s="251" t="s">
        <v>130</v>
      </c>
      <c r="BU82" s="609"/>
      <c r="BV82" s="1"/>
      <c r="BW82" s="5">
        <v>1</v>
      </c>
    </row>
    <row r="83" spans="2:75" ht="18.75" customHeight="1">
      <c r="B83" s="42" t="str">
        <f t="shared" si="34"/>
        <v>►</v>
      </c>
      <c r="C83" s="196" t="str">
        <f>C75</f>
        <v>Famille à coller.N.Nom de votre recette.Recette mère ►.S.Saisissez le nom de la recette mère</v>
      </c>
      <c r="D83" s="196">
        <f>D75</f>
        <v>6</v>
      </c>
      <c r="E83" s="196" t="str">
        <f>E75</f>
        <v>couverts</v>
      </c>
      <c r="F83" s="1323"/>
      <c r="G83" s="988"/>
      <c r="H83" s="988"/>
      <c r="I83" s="988"/>
      <c r="J83" s="988"/>
      <c r="K83" s="988"/>
      <c r="L83" s="1326" t="s">
        <v>870</v>
      </c>
      <c r="N83" s="42" t="str">
        <f t="shared" si="32"/>
        <v>►</v>
      </c>
      <c r="O83" s="41" t="str">
        <f>O68</f>
        <v>Famille à coller.N.Nom de votre recette.Recette mère ►.S.Saisissez le nom de la recette mère</v>
      </c>
      <c r="P83" s="40">
        <f>P68</f>
        <v>6</v>
      </c>
      <c r="Q83" s="40" t="str">
        <f>Q68</f>
        <v>couverts</v>
      </c>
      <c r="R83" s="213"/>
      <c r="S83" s="212"/>
      <c r="T83" s="211" t="str">
        <f t="shared" si="31"/>
        <v/>
      </c>
      <c r="U83" s="210"/>
      <c r="V83" s="209"/>
      <c r="W83" s="5448">
        <v>1</v>
      </c>
      <c r="X83" s="33"/>
      <c r="Z83" s="331"/>
      <c r="AA83" s="331"/>
      <c r="AB83" s="331"/>
      <c r="AC83" s="331"/>
      <c r="AD83" s="1358" t="s">
        <v>1118</v>
      </c>
      <c r="AE83" s="1359" t="s">
        <v>1123</v>
      </c>
      <c r="AF83" s="1361"/>
      <c r="AG83" s="988"/>
      <c r="AH83" s="988"/>
      <c r="AI83" s="988"/>
      <c r="AJ83" s="1325"/>
      <c r="AL83" s="42" t="str">
        <f t="shared" si="30"/>
        <v>►</v>
      </c>
      <c r="AM83" s="196" t="str">
        <f>AM61</f>
        <v>Famille à coller.N.Nom de votre recette.Recette mère ►.S.Saisissez le nom de la recette mère</v>
      </c>
      <c r="AN83" s="196">
        <f>AN61</f>
        <v>6</v>
      </c>
      <c r="AO83" s="196" t="str">
        <f>AO61</f>
        <v>couverts</v>
      </c>
      <c r="AP83" s="1323"/>
      <c r="AQ83" s="988"/>
      <c r="AR83" s="988"/>
      <c r="AS83" s="988"/>
      <c r="AT83" s="988"/>
      <c r="AU83" s="988"/>
      <c r="AV83" s="1325"/>
      <c r="AX83" s="42" t="str">
        <f t="shared" si="35"/>
        <v>►</v>
      </c>
      <c r="AY83" s="196" t="str">
        <f>AY70</f>
        <v>Famille à coller.N.Nom de votre recette.Recette mère ►.S.Saisissez le nom de la recette mère</v>
      </c>
      <c r="AZ83" s="196">
        <f>AZ70</f>
        <v>6</v>
      </c>
      <c r="BA83" s="1347" t="str">
        <f>BA70</f>
        <v>couverts</v>
      </c>
      <c r="BB83" s="988"/>
      <c r="BC83" s="988"/>
      <c r="BD83" s="988"/>
      <c r="BE83" s="988"/>
      <c r="BF83" s="988"/>
      <c r="BG83" s="988"/>
      <c r="BH83" s="1325"/>
      <c r="BJ83" s="1115"/>
      <c r="BK83" s="1116"/>
      <c r="BL83" s="106"/>
      <c r="BM83" s="105"/>
      <c r="BN83" s="953"/>
      <c r="BO83" s="1108">
        <v>1.345</v>
      </c>
      <c r="BP83" s="265" t="s">
        <v>159</v>
      </c>
      <c r="BQ83" s="1109" t="s">
        <v>940</v>
      </c>
      <c r="BR83" s="1110" t="s">
        <v>939</v>
      </c>
      <c r="BS83" s="141"/>
      <c r="BT83" s="1114" t="s">
        <v>219</v>
      </c>
      <c r="BU83" s="609"/>
      <c r="BV83" s="1"/>
      <c r="BW83" s="5">
        <v>1</v>
      </c>
    </row>
    <row r="84" spans="2:75" ht="18.75">
      <c r="B84" s="42" t="str">
        <f t="shared" si="34"/>
        <v>►</v>
      </c>
      <c r="C84" s="196" t="str">
        <f>C75</f>
        <v>Famille à coller.N.Nom de votre recette.Recette mère ►.S.Saisissez le nom de la recette mère</v>
      </c>
      <c r="D84" s="196">
        <f>D75</f>
        <v>6</v>
      </c>
      <c r="E84" s="196" t="str">
        <f>E75</f>
        <v>couverts</v>
      </c>
      <c r="F84" s="1328"/>
      <c r="G84" s="988"/>
      <c r="H84" s="988"/>
      <c r="I84" s="988"/>
      <c r="J84" s="988"/>
      <c r="K84" s="988"/>
      <c r="L84" s="1326" t="s">
        <v>871</v>
      </c>
      <c r="N84" s="42" t="str">
        <f t="shared" si="32"/>
        <v>►</v>
      </c>
      <c r="O84" s="41" t="str">
        <f>O69</f>
        <v>Famille à coller.N.Nom de votre recette.Recette mère ►.S.Saisissez le nom de la recette mère</v>
      </c>
      <c r="P84" s="40">
        <f>P68</f>
        <v>6</v>
      </c>
      <c r="Q84" s="40" t="str">
        <f>Q68</f>
        <v>couverts</v>
      </c>
      <c r="R84" s="213"/>
      <c r="S84" s="212"/>
      <c r="T84" s="211" t="str">
        <f t="shared" si="31"/>
        <v/>
      </c>
      <c r="U84" s="210"/>
      <c r="V84" s="209"/>
      <c r="W84" s="5448">
        <v>1</v>
      </c>
      <c r="X84" s="33"/>
      <c r="Z84" s="331"/>
      <c r="AA84" s="331"/>
      <c r="AB84" s="331"/>
      <c r="AC84" s="331"/>
      <c r="AD84" s="1358" t="s">
        <v>1118</v>
      </c>
      <c r="AE84" s="1359" t="s">
        <v>1124</v>
      </c>
      <c r="AF84" s="1361"/>
      <c r="AG84" s="988"/>
      <c r="AH84" s="988"/>
      <c r="AI84" s="988"/>
      <c r="AJ84" s="1325"/>
      <c r="AL84" s="42" t="str">
        <f t="shared" si="30"/>
        <v>►</v>
      </c>
      <c r="AM84" s="196" t="str">
        <f>AM61</f>
        <v>Famille à coller.N.Nom de votre recette.Recette mère ►.S.Saisissez le nom de la recette mère</v>
      </c>
      <c r="AN84" s="196">
        <f>AN61</f>
        <v>6</v>
      </c>
      <c r="AO84" s="196" t="str">
        <f>AO61</f>
        <v>couverts</v>
      </c>
      <c r="AP84" s="1323"/>
      <c r="AQ84" s="988"/>
      <c r="AR84" s="988"/>
      <c r="AS84" s="988"/>
      <c r="AT84" s="988"/>
      <c r="AU84" s="988"/>
      <c r="AV84" s="1325"/>
      <c r="AX84" s="42" t="str">
        <f t="shared" si="35"/>
        <v>►</v>
      </c>
      <c r="AY84" s="196" t="str">
        <f>AY70</f>
        <v>Famille à coller.N.Nom de votre recette.Recette mère ►.S.Saisissez le nom de la recette mère</v>
      </c>
      <c r="AZ84" s="196">
        <f>AZ70</f>
        <v>6</v>
      </c>
      <c r="BA84" s="1347" t="str">
        <f>BA70</f>
        <v>couverts</v>
      </c>
      <c r="BB84" s="988"/>
      <c r="BC84" s="988"/>
      <c r="BD84" s="988"/>
      <c r="BE84" s="988"/>
      <c r="BF84" s="988"/>
      <c r="BG84" s="988"/>
      <c r="BH84" s="1325"/>
      <c r="BJ84" s="1117" t="s">
        <v>944</v>
      </c>
      <c r="BK84" s="109"/>
      <c r="BL84" s="106"/>
      <c r="BM84" s="105"/>
      <c r="BN84" s="953"/>
      <c r="BO84" s="1108">
        <v>3</v>
      </c>
      <c r="BP84" s="277" t="s">
        <v>942</v>
      </c>
      <c r="BQ84" s="1109" t="s">
        <v>945</v>
      </c>
      <c r="BR84" s="1110" t="s">
        <v>943</v>
      </c>
      <c r="BS84" s="141"/>
      <c r="BT84" s="272" t="s">
        <v>88</v>
      </c>
      <c r="BU84" s="609"/>
      <c r="BV84" s="1"/>
      <c r="BW84" s="5">
        <v>1</v>
      </c>
    </row>
    <row r="85" spans="2:75" ht="18.75">
      <c r="B85" s="1037" t="s">
        <v>21</v>
      </c>
      <c r="C85" s="196" t="str">
        <f>C75</f>
        <v>Famille à coller.N.Nom de votre recette.Recette mère ►.S.Saisissez le nom de la recette mère</v>
      </c>
      <c r="D85" s="196">
        <f>D75</f>
        <v>6</v>
      </c>
      <c r="E85" s="196" t="str">
        <f>E75</f>
        <v>couverts</v>
      </c>
      <c r="F85" s="1002"/>
      <c r="G85" s="1002"/>
      <c r="H85" s="1002" t="s">
        <v>873</v>
      </c>
      <c r="I85" s="1003"/>
      <c r="J85" s="1329"/>
      <c r="K85" s="1329"/>
      <c r="L85" s="1330"/>
      <c r="N85" s="42" t="str">
        <f t="shared" si="32"/>
        <v>►</v>
      </c>
      <c r="O85" s="41" t="str">
        <f>O70</f>
        <v>Famille à coller.N.Nom de votre recette.Recette mère ►.S.Saisissez le nom de la recette mère</v>
      </c>
      <c r="P85" s="40">
        <f>P68</f>
        <v>6</v>
      </c>
      <c r="Q85" s="40" t="str">
        <f>Q68</f>
        <v>couverts</v>
      </c>
      <c r="R85" s="213"/>
      <c r="S85" s="212"/>
      <c r="T85" s="211" t="str">
        <f t="shared" si="31"/>
        <v/>
      </c>
      <c r="U85" s="210"/>
      <c r="V85" s="209"/>
      <c r="W85" s="5448">
        <v>1</v>
      </c>
      <c r="X85" s="33"/>
      <c r="Z85" s="331"/>
      <c r="AA85" s="331"/>
      <c r="AB85" s="331"/>
      <c r="AC85" s="331"/>
      <c r="AD85" s="1358" t="s">
        <v>1118</v>
      </c>
      <c r="AE85" s="1359" t="s">
        <v>1125</v>
      </c>
      <c r="AF85" s="1361"/>
      <c r="AG85" s="988"/>
      <c r="AH85" s="988"/>
      <c r="AI85" s="988"/>
      <c r="AJ85" s="1325"/>
      <c r="AL85" s="42" t="str">
        <f t="shared" si="30"/>
        <v>►</v>
      </c>
      <c r="AM85" s="196" t="str">
        <f>AM61</f>
        <v>Famille à coller.N.Nom de votre recette.Recette mère ►.S.Saisissez le nom de la recette mère</v>
      </c>
      <c r="AN85" s="196">
        <f>AN61</f>
        <v>6</v>
      </c>
      <c r="AO85" s="196" t="str">
        <f>AO61</f>
        <v>couverts</v>
      </c>
      <c r="AP85" s="1323"/>
      <c r="AQ85" s="988"/>
      <c r="AR85" s="988"/>
      <c r="AS85" s="988"/>
      <c r="AT85" s="988"/>
      <c r="AU85" s="988"/>
      <c r="AV85" s="1325"/>
      <c r="AX85" s="42" t="str">
        <f t="shared" si="35"/>
        <v>►</v>
      </c>
      <c r="AY85" s="196" t="str">
        <f>AY70</f>
        <v>Famille à coller.N.Nom de votre recette.Recette mère ►.S.Saisissez le nom de la recette mère</v>
      </c>
      <c r="AZ85" s="196">
        <f>AZ70</f>
        <v>6</v>
      </c>
      <c r="BA85" s="1347" t="str">
        <f>BA70</f>
        <v>couverts</v>
      </c>
      <c r="BB85" s="988"/>
      <c r="BC85" s="988"/>
      <c r="BD85" s="988"/>
      <c r="BE85" s="988"/>
      <c r="BF85" s="988"/>
      <c r="BG85" s="988"/>
      <c r="BH85" s="1325"/>
      <c r="BJ85" s="258" t="s">
        <v>949</v>
      </c>
      <c r="BK85" s="109"/>
      <c r="BL85" s="106"/>
      <c r="BM85" s="105"/>
      <c r="BN85" s="953"/>
      <c r="BO85" s="1118">
        <v>2.5</v>
      </c>
      <c r="BP85" s="265" t="s">
        <v>946</v>
      </c>
      <c r="BQ85" s="1109" t="s">
        <v>947</v>
      </c>
      <c r="BR85" s="1110" t="s">
        <v>948</v>
      </c>
      <c r="BS85" s="141"/>
      <c r="BT85" s="272" t="s">
        <v>170</v>
      </c>
      <c r="BU85" s="609"/>
      <c r="BV85" s="1"/>
      <c r="BW85" s="5">
        <v>1</v>
      </c>
    </row>
    <row r="86" spans="2:75" ht="16.5" thickBot="1">
      <c r="B86" s="1069" t="s">
        <v>21</v>
      </c>
      <c r="C86" s="1331" t="str">
        <f>C75</f>
        <v>Famille à coller.N.Nom de votre recette.Recette mère ►.S.Saisissez le nom de la recette mère</v>
      </c>
      <c r="D86" s="1331">
        <f>D75</f>
        <v>6</v>
      </c>
      <c r="E86" s="1331" t="str">
        <f>E75</f>
        <v>couverts</v>
      </c>
      <c r="F86" s="1332" t="s">
        <v>86</v>
      </c>
      <c r="G86" s="1006"/>
      <c r="H86" s="1007"/>
      <c r="I86" s="1008"/>
      <c r="J86" s="1007"/>
      <c r="K86" s="1007"/>
      <c r="L86" s="1333"/>
      <c r="N86" s="205" t="s">
        <v>21</v>
      </c>
      <c r="O86" s="204" t="str">
        <f>O75</f>
        <v>Famille à coller.N.Nom de votre recette.Recette mère ►.S.Saisissez le nom de la recette mère</v>
      </c>
      <c r="P86" s="1027">
        <f>P75</f>
        <v>6</v>
      </c>
      <c r="Q86" s="202" t="str">
        <f>Q75</f>
        <v>couverts</v>
      </c>
      <c r="R86" s="1028" t="s">
        <v>86</v>
      </c>
      <c r="S86" s="1029"/>
      <c r="T86" s="200"/>
      <c r="U86" s="200"/>
      <c r="V86" s="200"/>
      <c r="W86" s="200"/>
      <c r="X86" s="199"/>
      <c r="Z86" s="331"/>
      <c r="AA86" s="331"/>
      <c r="AB86" s="331"/>
      <c r="AC86" s="331"/>
      <c r="AD86" s="1358" t="s">
        <v>1118</v>
      </c>
      <c r="AE86" s="1363" t="s">
        <v>1126</v>
      </c>
      <c r="AF86" s="147"/>
      <c r="AG86" s="988"/>
      <c r="AH86" s="988"/>
      <c r="AI86" s="988"/>
      <c r="AJ86" s="1325"/>
      <c r="AL86" s="42" t="str">
        <f t="shared" si="30"/>
        <v>►</v>
      </c>
      <c r="AM86" s="196" t="str">
        <f>AM61</f>
        <v>Famille à coller.N.Nom de votre recette.Recette mère ►.S.Saisissez le nom de la recette mère</v>
      </c>
      <c r="AN86" s="196">
        <f>AN61</f>
        <v>6</v>
      </c>
      <c r="AO86" s="196" t="str">
        <f>AO61</f>
        <v>couverts</v>
      </c>
      <c r="AP86" s="1323"/>
      <c r="AQ86" s="988"/>
      <c r="AR86" s="988"/>
      <c r="AS86" s="988"/>
      <c r="AT86" s="988"/>
      <c r="AU86" s="988"/>
      <c r="AV86" s="1325"/>
      <c r="AX86" s="42" t="str">
        <f t="shared" si="35"/>
        <v>►</v>
      </c>
      <c r="AY86" s="196" t="str">
        <f>AY70</f>
        <v>Famille à coller.N.Nom de votre recette.Recette mère ►.S.Saisissez le nom de la recette mère</v>
      </c>
      <c r="AZ86" s="196">
        <f>AZ70</f>
        <v>6</v>
      </c>
      <c r="BA86" s="1347" t="str">
        <f>BA70</f>
        <v>couverts</v>
      </c>
      <c r="BB86" s="988"/>
      <c r="BC86" s="988"/>
      <c r="BD86" s="988"/>
      <c r="BE86" s="988"/>
      <c r="BF86" s="988"/>
      <c r="BG86" s="988"/>
      <c r="BH86" s="1325"/>
      <c r="BJ86" s="1119">
        <v>10</v>
      </c>
      <c r="BK86" s="1120" t="s">
        <v>73</v>
      </c>
      <c r="BL86" s="106"/>
      <c r="BM86" s="105"/>
      <c r="BN86" s="953"/>
      <c r="BO86" s="343"/>
      <c r="BS86" s="141"/>
      <c r="BT86" s="272" t="s">
        <v>172</v>
      </c>
      <c r="BU86" s="609"/>
      <c r="BV86" s="1"/>
      <c r="BW86" s="5">
        <v>1</v>
      </c>
    </row>
    <row r="87" spans="2:75" ht="16.5" thickBot="1">
      <c r="B87" s="1334" t="s">
        <v>21</v>
      </c>
      <c r="C87" s="1335"/>
      <c r="D87" s="1335"/>
      <c r="E87" s="1335"/>
      <c r="F87" s="1336" t="s">
        <v>1110</v>
      </c>
      <c r="G87" s="1336"/>
      <c r="H87" s="1336"/>
      <c r="I87" s="1336"/>
      <c r="J87" s="1336"/>
      <c r="K87" s="1336"/>
      <c r="L87" s="348"/>
      <c r="N87" s="1312" t="s">
        <v>21</v>
      </c>
      <c r="Z87" s="331"/>
      <c r="AA87" s="331"/>
      <c r="AB87" s="331"/>
      <c r="AC87" s="331"/>
      <c r="AD87" s="1358" t="s">
        <v>1118</v>
      </c>
      <c r="AE87" s="1363" t="s">
        <v>1127</v>
      </c>
      <c r="AF87" s="147"/>
      <c r="AG87" s="988"/>
      <c r="AH87" s="988"/>
      <c r="AI87" s="988"/>
      <c r="AJ87" s="1325"/>
      <c r="AL87" s="42" t="str">
        <f t="shared" si="30"/>
        <v>►</v>
      </c>
      <c r="AM87" s="196" t="str">
        <f>AM61</f>
        <v>Famille à coller.N.Nom de votre recette.Recette mère ►.S.Saisissez le nom de la recette mère</v>
      </c>
      <c r="AN87" s="196">
        <f>AN61</f>
        <v>6</v>
      </c>
      <c r="AO87" s="196" t="str">
        <f>AO61</f>
        <v>couverts</v>
      </c>
      <c r="AP87" s="1323"/>
      <c r="AQ87" s="988"/>
      <c r="AR87" s="988"/>
      <c r="AS87" s="988"/>
      <c r="AT87" s="988"/>
      <c r="AU87" s="988"/>
      <c r="AV87" s="1325"/>
      <c r="AX87" s="42" t="str">
        <f t="shared" si="35"/>
        <v>►</v>
      </c>
      <c r="AY87" s="196" t="str">
        <f>AY70</f>
        <v>Famille à coller.N.Nom de votre recette.Recette mère ►.S.Saisissez le nom de la recette mère</v>
      </c>
      <c r="AZ87" s="196">
        <f>AZ70</f>
        <v>6</v>
      </c>
      <c r="BA87" s="1347" t="str">
        <f>BA70</f>
        <v>couverts</v>
      </c>
      <c r="BB87" s="988"/>
      <c r="BC87" s="988"/>
      <c r="BD87" s="988"/>
      <c r="BE87" s="988"/>
      <c r="BF87" s="988"/>
      <c r="BG87" s="988"/>
      <c r="BH87" s="1325"/>
      <c r="BJ87" s="258" t="s">
        <v>140</v>
      </c>
      <c r="BK87" s="109"/>
      <c r="BL87" s="106"/>
      <c r="BM87" s="105"/>
      <c r="BN87" s="953"/>
      <c r="BO87" s="1121"/>
      <c r="BP87" s="141"/>
      <c r="BQ87" s="141"/>
      <c r="BR87" s="141"/>
      <c r="BS87" s="1122"/>
      <c r="BT87" s="272" t="s">
        <v>166</v>
      </c>
      <c r="BU87" s="609"/>
      <c r="BV87" s="1"/>
      <c r="BW87" s="5">
        <v>1</v>
      </c>
    </row>
    <row r="88" spans="2:75" ht="15.75" customHeight="1">
      <c r="B88" s="5465" t="s">
        <v>21</v>
      </c>
      <c r="C88" s="368" t="str">
        <f>C94</f>
        <v>Famille à coller.N.Nom de votre recette.Recette mère ►.S.Saisissez le nom de la recette mère</v>
      </c>
      <c r="D88" s="367">
        <f>D94</f>
        <v>6</v>
      </c>
      <c r="E88" s="367" t="str">
        <f>E94</f>
        <v>couverts</v>
      </c>
      <c r="F88" s="366" t="s">
        <v>1</v>
      </c>
      <c r="G88" s="365" t="s">
        <v>251</v>
      </c>
      <c r="H88" s="7648" t="s">
        <v>1089</v>
      </c>
      <c r="I88" s="7648"/>
      <c r="J88" s="7601" t="s">
        <v>1090</v>
      </c>
      <c r="K88" s="7601"/>
      <c r="L88" s="7602"/>
      <c r="N88" s="5465" t="s">
        <v>21</v>
      </c>
      <c r="O88" s="368" t="str">
        <f>O94</f>
        <v>Famille à coller.N.Nom de votre recette.Recette mère ►.S.Saisissez le nom de la recette mère</v>
      </c>
      <c r="P88" s="367">
        <f>P94</f>
        <v>6</v>
      </c>
      <c r="Q88" s="367" t="str">
        <f>Q94</f>
        <v>couverts</v>
      </c>
      <c r="R88" s="366" t="s">
        <v>1</v>
      </c>
      <c r="S88" s="365" t="s">
        <v>251</v>
      </c>
      <c r="T88" s="7648" t="s">
        <v>1089</v>
      </c>
      <c r="U88" s="7648"/>
      <c r="V88" s="7601" t="s">
        <v>1090</v>
      </c>
      <c r="W88" s="7601"/>
      <c r="X88" s="7602"/>
      <c r="Z88" s="331"/>
      <c r="AA88" s="331"/>
      <c r="AB88" s="331"/>
      <c r="AC88" s="331"/>
      <c r="AD88" s="1358" t="s">
        <v>1118</v>
      </c>
      <c r="AE88" s="1363" t="s">
        <v>1128</v>
      </c>
      <c r="AF88" s="147"/>
      <c r="AG88" s="988"/>
      <c r="AH88" s="988"/>
      <c r="AI88" s="988"/>
      <c r="AJ88" s="1325"/>
      <c r="AL88" s="42" t="str">
        <f t="shared" si="30"/>
        <v>►</v>
      </c>
      <c r="AM88" s="196" t="str">
        <f>AM61</f>
        <v>Famille à coller.N.Nom de votre recette.Recette mère ►.S.Saisissez le nom de la recette mère</v>
      </c>
      <c r="AN88" s="196">
        <f>AN61</f>
        <v>6</v>
      </c>
      <c r="AO88" s="196" t="str">
        <f>AO61</f>
        <v>couverts</v>
      </c>
      <c r="AP88" s="1323"/>
      <c r="AQ88" s="988"/>
      <c r="AR88" s="988"/>
      <c r="AS88" s="988"/>
      <c r="AT88" s="988"/>
      <c r="AU88" s="988"/>
      <c r="AV88" s="1325"/>
      <c r="AX88" s="42" t="str">
        <f t="shared" si="35"/>
        <v>►</v>
      </c>
      <c r="AY88" s="196" t="str">
        <f>AY70</f>
        <v>Famille à coller.N.Nom de votre recette.Recette mère ►.S.Saisissez le nom de la recette mère</v>
      </c>
      <c r="AZ88" s="196">
        <f>AZ70</f>
        <v>6</v>
      </c>
      <c r="BA88" s="1347" t="str">
        <f>BA70</f>
        <v>couverts</v>
      </c>
      <c r="BB88" s="988"/>
      <c r="BC88" s="988"/>
      <c r="BD88" s="988"/>
      <c r="BE88" s="988"/>
      <c r="BF88" s="988"/>
      <c r="BG88" s="988"/>
      <c r="BH88" s="1325"/>
      <c r="BJ88" s="1119">
        <v>5</v>
      </c>
      <c r="BL88" s="106"/>
      <c r="BM88" s="105"/>
      <c r="BN88" s="953"/>
      <c r="BO88" s="221"/>
      <c r="BP88" s="1080" t="s">
        <v>950</v>
      </c>
      <c r="BQ88" s="1080"/>
      <c r="BR88" s="1080"/>
      <c r="BS88" s="1122"/>
      <c r="BT88" s="265" t="s">
        <v>159</v>
      </c>
      <c r="BU88" s="609"/>
      <c r="BW88" s="5">
        <v>1</v>
      </c>
    </row>
    <row r="89" spans="2:75" ht="22.5" customHeight="1">
      <c r="B89" s="214" t="s">
        <v>21</v>
      </c>
      <c r="C89" s="363" t="str">
        <f>C94</f>
        <v>Famille à coller.N.Nom de votre recette.Recette mère ►.S.Saisissez le nom de la recette mère</v>
      </c>
      <c r="D89" s="362"/>
      <c r="E89" s="362"/>
      <c r="F89" s="361" t="s">
        <v>245</v>
      </c>
      <c r="G89" s="360" t="s">
        <v>244</v>
      </c>
      <c r="H89" s="7649"/>
      <c r="I89" s="7649"/>
      <c r="J89" s="7603"/>
      <c r="K89" s="7603"/>
      <c r="L89" s="7604"/>
      <c r="N89" s="214" t="s">
        <v>21</v>
      </c>
      <c r="O89" s="363" t="str">
        <f>O94</f>
        <v>Famille à coller.N.Nom de votre recette.Recette mère ►.S.Saisissez le nom de la recette mère</v>
      </c>
      <c r="P89" s="362"/>
      <c r="Q89" s="362"/>
      <c r="R89" s="361" t="s">
        <v>245</v>
      </c>
      <c r="S89" s="360" t="s">
        <v>244</v>
      </c>
      <c r="T89" s="7649"/>
      <c r="U89" s="7649"/>
      <c r="V89" s="7603"/>
      <c r="W89" s="7603"/>
      <c r="X89" s="7604"/>
      <c r="Z89" s="331"/>
      <c r="AA89" s="331"/>
      <c r="AB89" s="331"/>
      <c r="AC89" s="331"/>
      <c r="AD89" s="1358" t="s">
        <v>1118</v>
      </c>
      <c r="AE89" s="1363" t="s">
        <v>1129</v>
      </c>
      <c r="AF89" s="1361"/>
      <c r="AG89" s="988"/>
      <c r="AH89" s="988"/>
      <c r="AI89" s="988"/>
      <c r="AJ89" s="1325"/>
      <c r="AL89" s="42" t="str">
        <f t="shared" si="30"/>
        <v>►</v>
      </c>
      <c r="AM89" s="196" t="str">
        <f>AM61</f>
        <v>Famille à coller.N.Nom de votre recette.Recette mère ►.S.Saisissez le nom de la recette mère</v>
      </c>
      <c r="AN89" s="196">
        <f>AN61</f>
        <v>6</v>
      </c>
      <c r="AO89" s="196" t="str">
        <f>AO61</f>
        <v>couverts</v>
      </c>
      <c r="AP89" s="1323"/>
      <c r="AQ89" s="988"/>
      <c r="AR89" s="988"/>
      <c r="AS89" s="988"/>
      <c r="AT89" s="988"/>
      <c r="AU89" s="988"/>
      <c r="AV89" s="1325"/>
      <c r="AX89" s="42" t="str">
        <f t="shared" si="35"/>
        <v>►</v>
      </c>
      <c r="AY89" s="196" t="str">
        <f>AY70</f>
        <v>Famille à coller.N.Nom de votre recette.Recette mère ►.S.Saisissez le nom de la recette mère</v>
      </c>
      <c r="AZ89" s="196">
        <f>AZ70</f>
        <v>6</v>
      </c>
      <c r="BA89" s="1347" t="str">
        <f>BA70</f>
        <v>couverts</v>
      </c>
      <c r="BB89" s="988"/>
      <c r="BC89" s="988"/>
      <c r="BD89" s="988"/>
      <c r="BE89" s="988"/>
      <c r="BF89" s="988"/>
      <c r="BG89" s="988"/>
      <c r="BH89" s="1325"/>
      <c r="BJ89" s="1123" t="s">
        <v>952</v>
      </c>
      <c r="BK89" s="1124" t="s">
        <v>71</v>
      </c>
      <c r="BL89" s="1125"/>
      <c r="BM89" s="105"/>
      <c r="BN89" s="953"/>
      <c r="BO89" s="1083"/>
      <c r="BQ89" s="147"/>
      <c r="BR89" s="147"/>
      <c r="BS89" s="141"/>
      <c r="BT89" s="265" t="s">
        <v>164</v>
      </c>
      <c r="BU89" s="609"/>
      <c r="BW89" s="5">
        <v>1</v>
      </c>
    </row>
    <row r="90" spans="2:75" ht="18.75">
      <c r="B90" s="214" t="s">
        <v>21</v>
      </c>
      <c r="C90" s="354" t="str">
        <f>C94</f>
        <v>Famille à coller.N.Nom de votre recette.Recette mère ►.S.Saisissez le nom de la recette mère</v>
      </c>
      <c r="D90" s="353"/>
      <c r="E90" s="352"/>
      <c r="F90" s="351"/>
      <c r="G90" s="350" t="s">
        <v>233</v>
      </c>
      <c r="H90" s="349"/>
      <c r="I90" s="348" t="s">
        <v>232</v>
      </c>
      <c r="J90" s="347" t="s">
        <v>1092</v>
      </c>
      <c r="K90" s="141"/>
      <c r="L90" s="346"/>
      <c r="N90" s="214" t="s">
        <v>21</v>
      </c>
      <c r="O90" s="354" t="str">
        <f>O94</f>
        <v>Famille à coller.N.Nom de votre recette.Recette mère ►.S.Saisissez le nom de la recette mère</v>
      </c>
      <c r="P90" s="353"/>
      <c r="Q90" s="352"/>
      <c r="R90" s="351"/>
      <c r="S90" s="350" t="s">
        <v>233</v>
      </c>
      <c r="T90" s="349"/>
      <c r="U90" s="348" t="s">
        <v>232</v>
      </c>
      <c r="V90" s="347" t="s">
        <v>1092</v>
      </c>
      <c r="W90" s="141"/>
      <c r="X90" s="346"/>
      <c r="Z90" s="331"/>
      <c r="AA90" s="331"/>
      <c r="AB90" s="331"/>
      <c r="AC90" s="331"/>
      <c r="AD90" s="1358" t="s">
        <v>1118</v>
      </c>
      <c r="AE90" s="1363" t="s">
        <v>1130</v>
      </c>
      <c r="AF90" s="147"/>
      <c r="AG90" s="988"/>
      <c r="AH90" s="988"/>
      <c r="AI90" s="988"/>
      <c r="AJ90" s="1325"/>
      <c r="AL90" s="42" t="str">
        <f t="shared" si="30"/>
        <v>►</v>
      </c>
      <c r="AM90" s="196" t="str">
        <f>AM61</f>
        <v>Famille à coller.N.Nom de votre recette.Recette mère ►.S.Saisissez le nom de la recette mère</v>
      </c>
      <c r="AN90" s="196">
        <f>AN61</f>
        <v>6</v>
      </c>
      <c r="AO90" s="196" t="str">
        <f>AO61</f>
        <v>couverts</v>
      </c>
      <c r="AP90" s="1323"/>
      <c r="AQ90" s="988"/>
      <c r="AR90" s="988"/>
      <c r="AS90" s="988"/>
      <c r="AT90" s="988"/>
      <c r="AU90" s="988"/>
      <c r="AV90" s="1325"/>
      <c r="AX90" s="42" t="str">
        <f t="shared" si="35"/>
        <v>►</v>
      </c>
      <c r="AY90" s="196" t="str">
        <f>AY70</f>
        <v>Famille à coller.N.Nom de votre recette.Recette mère ►.S.Saisissez le nom de la recette mère</v>
      </c>
      <c r="AZ90" s="196">
        <f>AZ70</f>
        <v>6</v>
      </c>
      <c r="BA90" s="1347" t="str">
        <f>BA70</f>
        <v>couverts</v>
      </c>
      <c r="BB90" s="988"/>
      <c r="BC90" s="988"/>
      <c r="BD90" s="988"/>
      <c r="BE90" s="988"/>
      <c r="BF90" s="988"/>
      <c r="BG90" s="988"/>
      <c r="BH90" s="1325"/>
      <c r="BJ90" s="99" t="s">
        <v>953</v>
      </c>
      <c r="BK90" s="109"/>
      <c r="BL90" s="176"/>
      <c r="BM90" s="175"/>
      <c r="BN90" s="953"/>
      <c r="BO90" s="1083" t="s">
        <v>924</v>
      </c>
      <c r="BQ90" s="141"/>
      <c r="BR90" s="141"/>
      <c r="BS90" s="141"/>
      <c r="BT90" s="277" t="s">
        <v>188</v>
      </c>
      <c r="BU90" s="609"/>
      <c r="BW90" s="5">
        <v>1</v>
      </c>
    </row>
    <row r="91" spans="2:75" ht="15.75" customHeight="1">
      <c r="B91" s="214" t="s">
        <v>21</v>
      </c>
      <c r="C91" s="40" t="str">
        <f>C94</f>
        <v>Famille à coller.N.Nom de votre recette.Recette mère ►.S.Saisissez le nom de la recette mère</v>
      </c>
      <c r="D91" s="40"/>
      <c r="E91" s="40"/>
      <c r="F91" s="333" t="s">
        <v>228</v>
      </c>
      <c r="G91" s="341"/>
      <c r="H91" s="341"/>
      <c r="I91" s="340" t="s">
        <v>227</v>
      </c>
      <c r="J91" s="6901" t="str">
        <f>F94</f>
        <v>Famille à coller.N.Nom de votre recette.Recette mère ►.S.Saisissez le nom de la recette mère</v>
      </c>
      <c r="K91" s="6901"/>
      <c r="L91" s="7612"/>
      <c r="N91" s="214" t="s">
        <v>21</v>
      </c>
      <c r="O91" s="40" t="str">
        <f>O94</f>
        <v>Famille à coller.N.Nom de votre recette.Recette mère ►.S.Saisissez le nom de la recette mère</v>
      </c>
      <c r="P91" s="40"/>
      <c r="Q91" s="40"/>
      <c r="R91" s="333" t="s">
        <v>228</v>
      </c>
      <c r="S91" s="341"/>
      <c r="T91" s="341"/>
      <c r="U91" s="340" t="s">
        <v>227</v>
      </c>
      <c r="V91" s="6901" t="str">
        <f>R94</f>
        <v>Famille à coller.N.Nom de votre recette.Recette mère ►.S.Saisissez le nom de la recette mère</v>
      </c>
      <c r="W91" s="6901"/>
      <c r="X91" s="7612"/>
      <c r="Z91" s="331"/>
      <c r="AA91" s="331"/>
      <c r="AB91" s="331"/>
      <c r="AC91" s="331"/>
      <c r="AD91" s="1358" t="s">
        <v>1118</v>
      </c>
      <c r="AE91" s="1363" t="s">
        <v>1131</v>
      </c>
      <c r="AF91" s="147"/>
      <c r="AG91" s="988"/>
      <c r="AH91" s="988"/>
      <c r="AI91" s="988"/>
      <c r="AJ91" s="1325"/>
      <c r="AL91" s="42" t="str">
        <f t="shared" si="30"/>
        <v>►</v>
      </c>
      <c r="AM91" s="196" t="str">
        <f>AM61</f>
        <v>Famille à coller.N.Nom de votre recette.Recette mère ►.S.Saisissez le nom de la recette mère</v>
      </c>
      <c r="AN91" s="196">
        <f>AN61</f>
        <v>6</v>
      </c>
      <c r="AO91" s="196" t="str">
        <f>AO61</f>
        <v>couverts</v>
      </c>
      <c r="AP91" s="1323"/>
      <c r="AQ91" s="988"/>
      <c r="AR91" s="988"/>
      <c r="AS91" s="988"/>
      <c r="AT91" s="988"/>
      <c r="AU91" s="988"/>
      <c r="AV91" s="1325"/>
      <c r="AX91" s="42" t="str">
        <f t="shared" si="35"/>
        <v>►</v>
      </c>
      <c r="AY91" s="196" t="str">
        <f>AY70</f>
        <v>Famille à coller.N.Nom de votre recette.Recette mère ►.S.Saisissez le nom de la recette mère</v>
      </c>
      <c r="AZ91" s="196">
        <f>AZ70</f>
        <v>6</v>
      </c>
      <c r="BA91" s="1347" t="str">
        <f>BA70</f>
        <v>couverts</v>
      </c>
      <c r="BB91" s="988"/>
      <c r="BC91" s="988"/>
      <c r="BD91" s="988"/>
      <c r="BE91" s="988"/>
      <c r="BF91" s="988"/>
      <c r="BG91" s="988"/>
      <c r="BH91" s="1325"/>
      <c r="BJ91" s="247" t="s">
        <v>954</v>
      </c>
      <c r="BK91" s="109"/>
      <c r="BL91" s="176"/>
      <c r="BM91" s="175"/>
      <c r="BN91" s="953"/>
      <c r="BO91" s="221" t="s">
        <v>955</v>
      </c>
      <c r="BQ91" s="141"/>
      <c r="BR91" s="141"/>
      <c r="BS91" s="141"/>
      <c r="BT91" s="314" t="s">
        <v>179</v>
      </c>
      <c r="BU91" s="609"/>
      <c r="BV91" s="3"/>
      <c r="BW91" s="5">
        <v>1</v>
      </c>
    </row>
    <row r="92" spans="2:75" ht="16.5" customHeight="1">
      <c r="B92" s="214" t="s">
        <v>21</v>
      </c>
      <c r="C92" s="40" t="str">
        <f>C94</f>
        <v>Famille à coller.N.Nom de votre recette.Recette mère ►.S.Saisissez le nom de la recette mère</v>
      </c>
      <c r="D92" s="40"/>
      <c r="E92" s="40"/>
      <c r="F92" s="5453">
        <v>6</v>
      </c>
      <c r="G92" s="5452" t="s">
        <v>73</v>
      </c>
      <c r="H92" s="333"/>
      <c r="I92" s="333"/>
      <c r="J92" s="6901"/>
      <c r="K92" s="6901"/>
      <c r="L92" s="7612"/>
      <c r="N92" s="214" t="s">
        <v>21</v>
      </c>
      <c r="O92" s="40" t="str">
        <f>O94</f>
        <v>Famille à coller.N.Nom de votre recette.Recette mère ►.S.Saisissez le nom de la recette mère</v>
      </c>
      <c r="P92" s="40"/>
      <c r="Q92" s="40"/>
      <c r="R92" s="5453">
        <v>6</v>
      </c>
      <c r="S92" s="5452" t="s">
        <v>73</v>
      </c>
      <c r="T92" s="333"/>
      <c r="U92" s="333"/>
      <c r="V92" s="6901"/>
      <c r="W92" s="6901"/>
      <c r="X92" s="7612"/>
      <c r="Z92" s="331"/>
      <c r="AA92" s="331"/>
      <c r="AB92" s="331"/>
      <c r="AC92" s="331"/>
      <c r="AD92" s="1358" t="s">
        <v>1118</v>
      </c>
      <c r="AE92" s="1363" t="s">
        <v>1132</v>
      </c>
      <c r="AF92" s="147"/>
      <c r="AG92" s="988"/>
      <c r="AH92" s="988"/>
      <c r="AI92" s="988"/>
      <c r="AJ92" s="1325"/>
      <c r="AL92" s="1037" t="s">
        <v>21</v>
      </c>
      <c r="AM92" s="196" t="str">
        <f>AM61</f>
        <v>Famille à coller.N.Nom de votre recette.Recette mère ►.S.Saisissez le nom de la recette mère</v>
      </c>
      <c r="AN92" s="196">
        <f>AN61</f>
        <v>6</v>
      </c>
      <c r="AO92" s="196" t="str">
        <f>AO61</f>
        <v>couverts</v>
      </c>
      <c r="AP92" s="1342" t="s">
        <v>869</v>
      </c>
      <c r="AQ92" s="993"/>
      <c r="AR92" s="993"/>
      <c r="AS92" s="993"/>
      <c r="AT92" s="993"/>
      <c r="AU92" s="1343"/>
      <c r="AV92" s="1344" t="s">
        <v>870</v>
      </c>
      <c r="AX92" s="42" t="str">
        <f t="shared" si="35"/>
        <v>►</v>
      </c>
      <c r="AY92" s="196" t="str">
        <f>AY70</f>
        <v>Famille à coller.N.Nom de votre recette.Recette mère ►.S.Saisissez le nom de la recette mère</v>
      </c>
      <c r="AZ92" s="196">
        <f>AZ70</f>
        <v>6</v>
      </c>
      <c r="BA92" s="1347" t="str">
        <f>BA70</f>
        <v>couverts</v>
      </c>
      <c r="BB92" s="988"/>
      <c r="BC92" s="988"/>
      <c r="BD92" s="988"/>
      <c r="BE92" s="988"/>
      <c r="BF92" s="988"/>
      <c r="BG92" s="988"/>
      <c r="BH92" s="1325"/>
      <c r="BJ92" s="247"/>
      <c r="BK92" s="109"/>
      <c r="BL92" s="176"/>
      <c r="BM92" s="175"/>
      <c r="BN92" s="953"/>
      <c r="BO92" s="221" t="s">
        <v>956</v>
      </c>
      <c r="BQ92" s="141"/>
      <c r="BR92" s="141"/>
      <c r="BS92" s="141"/>
      <c r="BT92" s="141"/>
      <c r="BU92" s="609"/>
      <c r="BV92" s="3"/>
      <c r="BW92" s="5">
        <v>1</v>
      </c>
    </row>
    <row r="93" spans="2:75" ht="17.25" customHeight="1" thickBot="1">
      <c r="B93" s="214" t="s">
        <v>26</v>
      </c>
      <c r="C93" s="40" t="str">
        <f>C94</f>
        <v>Famille à coller.N.Nom de votre recette.Recette mère ►.S.Saisissez le nom de la recette mère</v>
      </c>
      <c r="D93" s="40"/>
      <c r="E93" s="40"/>
      <c r="F93" s="327"/>
      <c r="G93" s="326"/>
      <c r="H93" s="326"/>
      <c r="I93" s="326"/>
      <c r="J93" s="326"/>
      <c r="K93" s="326"/>
      <c r="L93" s="1311"/>
      <c r="N93" s="214" t="s">
        <v>26</v>
      </c>
      <c r="O93" s="40" t="str">
        <f>O94</f>
        <v>Famille à coller.N.Nom de votre recette.Recette mère ►.S.Saisissez le nom de la recette mère</v>
      </c>
      <c r="P93" s="40"/>
      <c r="Q93" s="40"/>
      <c r="R93" s="327"/>
      <c r="S93" s="326"/>
      <c r="T93" s="326"/>
      <c r="U93" s="326"/>
      <c r="V93" s="326"/>
      <c r="W93" s="326"/>
      <c r="X93" s="1311"/>
      <c r="Z93" s="331"/>
      <c r="AA93" s="331"/>
      <c r="AB93" s="331"/>
      <c r="AC93" s="331"/>
      <c r="AD93" s="1358" t="s">
        <v>1118</v>
      </c>
      <c r="AE93" s="1359" t="s">
        <v>1126</v>
      </c>
      <c r="AF93" s="1361"/>
      <c r="AG93" s="988"/>
      <c r="AH93" s="988"/>
      <c r="AI93" s="988"/>
      <c r="AJ93" s="1325"/>
      <c r="AL93" s="1037" t="s">
        <v>21</v>
      </c>
      <c r="AM93" s="196" t="str">
        <f>AM61</f>
        <v>Famille à coller.N.Nom de votre recette.Recette mère ►.S.Saisissez le nom de la recette mère</v>
      </c>
      <c r="AN93" s="196">
        <f>AN61</f>
        <v>6</v>
      </c>
      <c r="AO93" s="196" t="str">
        <f>AO61</f>
        <v>couverts</v>
      </c>
      <c r="AP93" s="1348"/>
      <c r="AQ93" s="997"/>
      <c r="AR93" s="997"/>
      <c r="AS93" s="997"/>
      <c r="AT93" s="997"/>
      <c r="AU93" s="1349"/>
      <c r="AV93" s="1326" t="s">
        <v>871</v>
      </c>
      <c r="AX93" s="42" t="str">
        <f t="shared" si="35"/>
        <v>►</v>
      </c>
      <c r="AY93" s="196" t="str">
        <f>AY70</f>
        <v>Famille à coller.N.Nom de votre recette.Recette mère ►.S.Saisissez le nom de la recette mère</v>
      </c>
      <c r="AZ93" s="196">
        <f>AZ70</f>
        <v>6</v>
      </c>
      <c r="BA93" s="1347" t="str">
        <f>BA70</f>
        <v>couverts</v>
      </c>
      <c r="BB93" s="988"/>
      <c r="BC93" s="988"/>
      <c r="BD93" s="988"/>
      <c r="BE93" s="988"/>
      <c r="BF93" s="988"/>
      <c r="BG93" s="988"/>
      <c r="BH93" s="1325"/>
      <c r="BJ93" s="247"/>
      <c r="BK93" s="109"/>
      <c r="BL93" s="176"/>
      <c r="BM93" s="175"/>
      <c r="BN93" s="953"/>
      <c r="BO93" s="221"/>
      <c r="BP93" s="141"/>
      <c r="BQ93" s="141"/>
      <c r="BR93" s="141"/>
      <c r="BS93" s="141"/>
      <c r="BT93" s="141"/>
      <c r="BU93" s="609"/>
      <c r="BV93" s="3"/>
      <c r="BW93" s="5">
        <v>1</v>
      </c>
    </row>
    <row r="94" spans="2:75" ht="17.25" customHeight="1" thickTop="1">
      <c r="B94" s="319" t="s">
        <v>26</v>
      </c>
      <c r="C94" s="318" t="str">
        <f>F94</f>
        <v>Famille à coller.N.Nom de votre recette.Recette mère ►.S.Saisissez le nom de la recette mère</v>
      </c>
      <c r="D94" s="318">
        <f>F92</f>
        <v>6</v>
      </c>
      <c r="E94" s="318" t="str">
        <f>G92</f>
        <v>couverts</v>
      </c>
      <c r="F94" s="5486" t="str">
        <f>UPPER(LEFT(H88,1))&amp;LOWER(MID(H88,2,999))&amp;"."&amp;UPPER(LEFT(J88,1))&amp;"."&amp;UPPER(LEFT(J88,1))&amp;LOWER(MID(J88,2,999))&amp;"."&amp;IF(ISTEXT(L94),K94&amp;"."&amp;UPPER(LEFT(L94,1))&amp;"."&amp;UPPER(LEFT(L94,1))&amp;LOWER(MID(L94,2,999)),G94)</f>
        <v>Famille à coller.N.Nom de votre recette.Recette mère ►.S.Saisissez le nom de la recette mère</v>
      </c>
      <c r="G94" s="5487" t="s">
        <v>223</v>
      </c>
      <c r="H94" s="7613" t="s">
        <v>222</v>
      </c>
      <c r="I94" s="7613"/>
      <c r="J94" s="7613"/>
      <c r="K94" s="317" t="s">
        <v>221</v>
      </c>
      <c r="L94" s="1302" t="s">
        <v>1093</v>
      </c>
      <c r="N94" s="319" t="s">
        <v>26</v>
      </c>
      <c r="O94" s="318" t="str">
        <f>R94</f>
        <v>Famille à coller.N.Nom de votre recette.Recette mère ►.S.Saisissez le nom de la recette mère</v>
      </c>
      <c r="P94" s="318">
        <f>R92</f>
        <v>6</v>
      </c>
      <c r="Q94" s="318" t="str">
        <f>S92</f>
        <v>couverts</v>
      </c>
      <c r="R94" s="5486" t="str">
        <f>UPPER(LEFT(T88,1))&amp;LOWER(MID(T88,2,999))&amp;"."&amp;UPPER(LEFT(V88,1))&amp;"."&amp;UPPER(LEFT(V88,1))&amp;LOWER(MID(V88,2,999))&amp;"."&amp;IF(ISTEXT(X94),W94&amp;"."&amp;UPPER(LEFT(X94,1))&amp;"."&amp;UPPER(LEFT(X94,1))&amp;LOWER(MID(X94,2,999)),S94)</f>
        <v>Famille à coller.N.Nom de votre recette.Recette mère ►.S.Saisissez le nom de la recette mère</v>
      </c>
      <c r="S94" s="5487" t="s">
        <v>223</v>
      </c>
      <c r="T94" s="7613" t="s">
        <v>222</v>
      </c>
      <c r="U94" s="7613"/>
      <c r="V94" s="7613"/>
      <c r="W94" s="317" t="s">
        <v>221</v>
      </c>
      <c r="X94" s="1302" t="s">
        <v>1093</v>
      </c>
      <c r="Z94" s="331"/>
      <c r="AA94" s="331"/>
      <c r="AB94" s="331"/>
      <c r="AC94" s="331"/>
      <c r="AD94" s="1358" t="s">
        <v>1118</v>
      </c>
      <c r="AE94" s="1363" t="s">
        <v>1127</v>
      </c>
      <c r="AF94" s="147"/>
      <c r="AG94" s="988"/>
      <c r="AH94" s="988"/>
      <c r="AI94" s="988"/>
      <c r="AJ94" s="1325"/>
      <c r="AL94" s="1037" t="s">
        <v>21</v>
      </c>
      <c r="AM94" s="196" t="str">
        <f>AM61</f>
        <v>Famille à coller.N.Nom de votre recette.Recette mère ►.S.Saisissez le nom de la recette mère</v>
      </c>
      <c r="AN94" s="196">
        <f>AN61</f>
        <v>6</v>
      </c>
      <c r="AO94" s="196" t="str">
        <f>AO61</f>
        <v>couverts</v>
      </c>
      <c r="AP94" s="1350"/>
      <c r="AQ94" s="997"/>
      <c r="AR94" s="997"/>
      <c r="AS94" s="997"/>
      <c r="AT94" s="997"/>
      <c r="AU94" s="1349"/>
      <c r="AV94" s="1326" t="s">
        <v>872</v>
      </c>
      <c r="AX94" s="42" t="str">
        <f t="shared" si="35"/>
        <v>►</v>
      </c>
      <c r="AY94" s="196" t="str">
        <f>AY70</f>
        <v>Famille à coller.N.Nom de votre recette.Recette mère ►.S.Saisissez le nom de la recette mère</v>
      </c>
      <c r="AZ94" s="196">
        <f>AZ70</f>
        <v>6</v>
      </c>
      <c r="BA94" s="1347" t="str">
        <f>BA70</f>
        <v>couverts</v>
      </c>
      <c r="BB94" s="988"/>
      <c r="BC94" s="988"/>
      <c r="BD94" s="988"/>
      <c r="BE94" s="988"/>
      <c r="BF94" s="988"/>
      <c r="BG94" s="988"/>
      <c r="BH94" s="1325"/>
      <c r="BJ94" s="99" t="s">
        <v>135</v>
      </c>
      <c r="BK94" s="109"/>
      <c r="BL94" s="176"/>
      <c r="BM94" s="175"/>
      <c r="BN94" s="953"/>
      <c r="BO94" s="1086" t="s">
        <v>198</v>
      </c>
      <c r="BP94" s="1087" t="s">
        <v>197</v>
      </c>
      <c r="BQ94" s="1088"/>
      <c r="BR94" s="7125" t="s">
        <v>196</v>
      </c>
      <c r="BS94" s="7126" t="s">
        <v>195</v>
      </c>
      <c r="BT94" s="1126" t="s">
        <v>194</v>
      </c>
      <c r="BU94" s="1127"/>
      <c r="BV94" s="3"/>
      <c r="BW94" s="5">
        <v>1</v>
      </c>
    </row>
    <row r="95" spans="2:75" ht="17.25" customHeight="1">
      <c r="B95" s="5478" t="s">
        <v>21</v>
      </c>
      <c r="C95" s="1313" t="str">
        <f>$C$39</f>
        <v>Famille à coller.N.Nom de votre recette.Recette mère ►.S.Saisissez le nom de la recette mère</v>
      </c>
      <c r="D95" s="1313">
        <f>$D$39</f>
        <v>6</v>
      </c>
      <c r="E95" s="1313" t="str">
        <f>$E$39</f>
        <v>couverts</v>
      </c>
      <c r="F95" s="1364" t="s">
        <v>218</v>
      </c>
      <c r="G95" s="1364" cm="1">
        <f t="array" ref="G95">IFERROR(ROW(F105)-(ROW(F96)+MATCH(TRUE,INDEX(ISNUMBER(FIND(K95,TRIM(SUBSTITUTE(SUBSTITUTE(SUBSTITUTE(SUBSTITUTE(SUBSTITUTE(SUBSTITUTE(SUBSTITUTE(LOWER(F96:F105),"é","e"),"è","e"),"ê","e"),"ë","e"),"à","a"),"ù","u"),"î","i")))),0),0)-1),1)</f>
        <v>1</v>
      </c>
      <c r="H95" s="1365" t="s">
        <v>1133</v>
      </c>
      <c r="I95" s="1366"/>
      <c r="J95" s="1366"/>
      <c r="K95" s="1367" t="str">
        <f>TRIM(SUBSTITUTE(SUBSTITUTE(SUBSTITUTE(SUBSTITUTE(SUBSTITUTE(SUBSTITUTE(SUBSTITUTE(LOWER(L95),"é","e"),"è","e"),"ê","e"),"ë","e"),"à","a"),"ù","u"),"î","i"))</f>
        <v>⓬ observations</v>
      </c>
      <c r="L95" s="1368" t="s">
        <v>1134</v>
      </c>
      <c r="N95" s="1327" t="s">
        <v>21</v>
      </c>
      <c r="O95" s="1313" t="str">
        <f t="shared" ref="O95:Q96" si="36">O94</f>
        <v>Famille à coller.N.Nom de votre recette.Recette mère ►.S.Saisissez le nom de la recette mère</v>
      </c>
      <c r="P95" s="1313">
        <f t="shared" si="36"/>
        <v>6</v>
      </c>
      <c r="Q95" s="1313" t="str">
        <f t="shared" si="36"/>
        <v>couverts</v>
      </c>
      <c r="R95" s="1314" t="s">
        <v>218</v>
      </c>
      <c r="S95" s="1314" cm="1">
        <f t="array" ref="S95">IFERROR(ROW(R109)-(ROW(R96)+MATCH(TRUE,INDEX(ISNUMBER(FIND(W95,TRIM(SUBSTITUTE(SUBSTITUTE(SUBSTITUTE(SUBSTITUTE(SUBSTITUTE(SUBSTITUTE(SUBSTITUTE(LOWER(R96:R109),"é","e"),"è","e"),"ê","e"),"ë","e"),"à","a"),"ù","u"),"î","i")))),0),0)-1),1)</f>
        <v>12</v>
      </c>
      <c r="T95" s="1315" t="s">
        <v>1108</v>
      </c>
      <c r="U95" s="1316"/>
      <c r="V95" s="1316"/>
      <c r="W95" s="1317" t="str">
        <f>TRIM(SUBSTITUTE(SUBSTITUTE(SUBSTITUTE(SUBSTITUTE(SUBSTITUTE(SUBSTITUTE(SUBSTITUTE(LOWER(X95),"é","e"),"è","e"),"ê","e"),"ë","e"),"à","a"),"ù","u"),"î","i"))</f>
        <v>⓬ ▼ phases de progression</v>
      </c>
      <c r="X95" s="1318" t="s">
        <v>864</v>
      </c>
      <c r="Z95" s="331"/>
      <c r="AA95" s="331"/>
      <c r="AB95" s="331"/>
      <c r="AC95" s="331"/>
      <c r="AD95" s="1358" t="s">
        <v>1118</v>
      </c>
      <c r="AE95" s="1363" t="s">
        <v>1135</v>
      </c>
      <c r="AF95" s="147"/>
      <c r="AG95" s="988"/>
      <c r="AH95" s="988"/>
      <c r="AI95" s="988"/>
      <c r="AJ95" s="1325"/>
      <c r="AL95" s="1037" t="s">
        <v>21</v>
      </c>
      <c r="AM95" s="196" t="str">
        <f>AM61</f>
        <v>Famille à coller.N.Nom de votre recette.Recette mère ►.S.Saisissez le nom de la recette mère</v>
      </c>
      <c r="AN95" s="196">
        <f>AN61</f>
        <v>6</v>
      </c>
      <c r="AO95" s="196" t="str">
        <f>AO61</f>
        <v>couverts</v>
      </c>
      <c r="AP95" s="1002"/>
      <c r="AQ95" s="1002"/>
      <c r="AR95" s="1002" t="s">
        <v>873</v>
      </c>
      <c r="AS95" s="1003"/>
      <c r="AT95" s="1329"/>
      <c r="AU95" s="1329"/>
      <c r="AV95" s="1330"/>
      <c r="AX95" s="42" t="str">
        <f t="shared" si="35"/>
        <v>►</v>
      </c>
      <c r="AY95" s="196" t="str">
        <f>AY70</f>
        <v>Famille à coller.N.Nom de votre recette.Recette mère ►.S.Saisissez le nom de la recette mère</v>
      </c>
      <c r="AZ95" s="196">
        <f>AZ70</f>
        <v>6</v>
      </c>
      <c r="BA95" s="1347" t="str">
        <f>BA70</f>
        <v>couverts</v>
      </c>
      <c r="BB95" s="988"/>
      <c r="BC95" s="988"/>
      <c r="BD95" s="988"/>
      <c r="BE95" s="988"/>
      <c r="BF95" s="988"/>
      <c r="BG95" s="988"/>
      <c r="BH95" s="1325"/>
      <c r="BJ95" s="183" t="s">
        <v>957</v>
      </c>
      <c r="BK95" s="181"/>
      <c r="BL95" s="106"/>
      <c r="BM95" s="105"/>
      <c r="BN95" s="1128"/>
      <c r="BO95" s="1129" t="s">
        <v>184</v>
      </c>
      <c r="BP95" s="1130" t="s">
        <v>162</v>
      </c>
      <c r="BQ95" s="211" t="s">
        <v>186</v>
      </c>
      <c r="BR95" s="6904"/>
      <c r="BS95" s="7127"/>
      <c r="BT95" s="1131" t="s">
        <v>185</v>
      </c>
      <c r="BU95" s="1132"/>
      <c r="BV95" s="3"/>
      <c r="BW95" s="5">
        <v>1</v>
      </c>
    </row>
    <row r="96" spans="2:75" ht="15" customHeight="1" thickBot="1">
      <c r="B96" s="1037" t="s">
        <v>21</v>
      </c>
      <c r="C96" s="196" t="str">
        <f>C95</f>
        <v>Famille à coller.N.Nom de votre recette.Recette mère ►.S.Saisissez le nom de la recette mère</v>
      </c>
      <c r="D96" s="196">
        <f>D95</f>
        <v>6</v>
      </c>
      <c r="E96" s="196" t="str">
        <f>E95</f>
        <v>couverts</v>
      </c>
      <c r="F96" s="1358" t="s">
        <v>1118</v>
      </c>
      <c r="G96" s="1363" t="s">
        <v>1128</v>
      </c>
      <c r="H96" s="147"/>
      <c r="I96" s="147"/>
      <c r="J96" s="147"/>
      <c r="K96" s="147"/>
      <c r="L96" s="1360"/>
      <c r="N96" s="1023" t="s">
        <v>21</v>
      </c>
      <c r="O96" s="196" t="str">
        <f t="shared" si="36"/>
        <v>Famille à coller.N.Nom de votre recette.Recette mère ►.S.Saisissez le nom de la recette mère</v>
      </c>
      <c r="P96" s="196">
        <f t="shared" si="36"/>
        <v>6</v>
      </c>
      <c r="Q96" s="196" t="str">
        <f t="shared" si="36"/>
        <v>couverts</v>
      </c>
      <c r="R96" s="369" t="s">
        <v>252</v>
      </c>
      <c r="S96" s="1321"/>
      <c r="T96" s="1321"/>
      <c r="U96" s="1321"/>
      <c r="V96" s="1321"/>
      <c r="W96" s="1321"/>
      <c r="X96" s="1322"/>
      <c r="Z96" s="331"/>
      <c r="AA96" s="331"/>
      <c r="AB96" s="331"/>
      <c r="AC96" s="331"/>
      <c r="AD96" s="1358" t="s">
        <v>1118</v>
      </c>
      <c r="AE96" s="1363" t="s">
        <v>1136</v>
      </c>
      <c r="AF96" s="147"/>
      <c r="AG96" s="988"/>
      <c r="AH96" s="988"/>
      <c r="AI96" s="988"/>
      <c r="AJ96" s="1325"/>
      <c r="AL96" s="1069" t="s">
        <v>21</v>
      </c>
      <c r="AM96" s="1331" t="str">
        <f>AM61</f>
        <v>Famille à coller.N.Nom de votre recette.Recette mère ►.S.Saisissez le nom de la recette mère</v>
      </c>
      <c r="AN96" s="1331">
        <f>AN61</f>
        <v>6</v>
      </c>
      <c r="AO96" s="1331" t="str">
        <f>AO61</f>
        <v>couverts</v>
      </c>
      <c r="AP96" s="1332" t="s">
        <v>86</v>
      </c>
      <c r="AQ96" s="1006"/>
      <c r="AR96" s="1007"/>
      <c r="AS96" s="1008"/>
      <c r="AT96" s="1007"/>
      <c r="AU96" s="1007"/>
      <c r="AV96" s="1333"/>
      <c r="AX96" s="42" t="str">
        <f t="shared" si="35"/>
        <v>►</v>
      </c>
      <c r="AY96" s="196" t="str">
        <f>AY70</f>
        <v>Famille à coller.N.Nom de votre recette.Recette mère ►.S.Saisissez le nom de la recette mère</v>
      </c>
      <c r="AZ96" s="196">
        <f>AZ70</f>
        <v>6</v>
      </c>
      <c r="BA96" s="1347" t="str">
        <f>BA70</f>
        <v>couverts</v>
      </c>
      <c r="BB96" s="988"/>
      <c r="BC96" s="988"/>
      <c r="BD96" s="988"/>
      <c r="BE96" s="988"/>
      <c r="BF96" s="988"/>
      <c r="BG96" s="988"/>
      <c r="BH96" s="1325"/>
      <c r="BJ96" s="182" t="s">
        <v>959</v>
      </c>
      <c r="BK96" s="181"/>
      <c r="BL96" s="106"/>
      <c r="BM96" s="105"/>
      <c r="BN96" s="1128"/>
      <c r="BO96" s="1133">
        <v>27</v>
      </c>
      <c r="BP96" s="1134" t="s">
        <v>925</v>
      </c>
      <c r="BQ96" s="1135" t="s">
        <v>186</v>
      </c>
      <c r="BR96" s="35">
        <v>20</v>
      </c>
      <c r="BS96" s="1136" t="s">
        <v>130</v>
      </c>
      <c r="BT96" s="1137" t="s">
        <v>859</v>
      </c>
      <c r="BU96" s="1138"/>
      <c r="BW96" s="5">
        <v>1</v>
      </c>
    </row>
    <row r="97" spans="2:75" ht="18.75" customHeight="1">
      <c r="B97" s="42" t="str">
        <f t="shared" ref="B97:B103" si="37">IF(F97&lt;&gt;"","A","►")</f>
        <v>A</v>
      </c>
      <c r="C97" s="196" t="str">
        <f>C95</f>
        <v>Famille à coller.N.Nom de votre recette.Recette mère ►.S.Saisissez le nom de la recette mère</v>
      </c>
      <c r="D97" s="196">
        <f>D95</f>
        <v>6</v>
      </c>
      <c r="E97" s="196" t="str">
        <f>E95</f>
        <v>couverts</v>
      </c>
      <c r="F97" s="1358" t="s">
        <v>1118</v>
      </c>
      <c r="G97" s="1363" t="s">
        <v>1129</v>
      </c>
      <c r="H97" s="1361"/>
      <c r="I97" s="1361"/>
      <c r="J97" s="1362"/>
      <c r="K97" s="988"/>
      <c r="L97" s="1325"/>
      <c r="N97" s="42" t="str">
        <f t="shared" ref="N97:N107" si="38">IF(OR(R97&lt;&gt;"",S97&lt;&gt; "",T97&lt;&gt;"",U97&lt;&gt;""),"A", "►")</f>
        <v>A</v>
      </c>
      <c r="O97" s="196" t="str">
        <f>O95</f>
        <v>Famille à coller.N.Nom de votre recette.Recette mère ►.S.Saisissez le nom de la recette mère</v>
      </c>
      <c r="P97" s="196">
        <f>P95</f>
        <v>6</v>
      </c>
      <c r="Q97" s="196" t="str">
        <f>Q95</f>
        <v>couverts</v>
      </c>
      <c r="R97" s="1319" t="s">
        <v>864</v>
      </c>
      <c r="S97" s="1320"/>
      <c r="T97" s="1320"/>
      <c r="U97" s="1320"/>
      <c r="V97" s="1320"/>
      <c r="W97" s="1320"/>
      <c r="X97" s="1324"/>
      <c r="Z97" s="331"/>
      <c r="AA97" s="331"/>
      <c r="AB97" s="331"/>
      <c r="AC97" s="331"/>
      <c r="AD97" s="1358" t="s">
        <v>1118</v>
      </c>
      <c r="AE97" s="1363" t="s">
        <v>1137</v>
      </c>
      <c r="AF97" s="147"/>
      <c r="AG97" s="988"/>
      <c r="AH97" s="988"/>
      <c r="AI97" s="988"/>
      <c r="AJ97" s="1325"/>
      <c r="AL97" s="1351"/>
      <c r="AM97" s="1351"/>
      <c r="AN97" s="1351"/>
      <c r="AO97" s="1352" t="s">
        <v>1115</v>
      </c>
      <c r="AP97" s="1353" t="s">
        <v>1116</v>
      </c>
      <c r="AQ97" s="102"/>
      <c r="AX97" s="42" t="str">
        <f t="shared" si="35"/>
        <v>►</v>
      </c>
      <c r="AY97" s="196" t="str">
        <f>AY70</f>
        <v>Famille à coller.N.Nom de votre recette.Recette mère ►.S.Saisissez le nom de la recette mère</v>
      </c>
      <c r="AZ97" s="196">
        <f>AZ70</f>
        <v>6</v>
      </c>
      <c r="BA97" s="1347" t="str">
        <f>BA70</f>
        <v>couverts</v>
      </c>
      <c r="BB97" s="988"/>
      <c r="BC97" s="988"/>
      <c r="BD97" s="988"/>
      <c r="BE97" s="988"/>
      <c r="BF97" s="988"/>
      <c r="BG97" s="988"/>
      <c r="BH97" s="1325"/>
      <c r="BJ97" s="1139" t="s">
        <v>75</v>
      </c>
      <c r="BK97" s="181"/>
      <c r="BL97" s="106"/>
      <c r="BM97" s="105"/>
      <c r="BO97" s="1133"/>
      <c r="BP97" s="1134" t="s">
        <v>962</v>
      </c>
      <c r="BQ97" s="1135"/>
      <c r="BR97" s="35">
        <v>1</v>
      </c>
      <c r="BS97" s="1140" t="s">
        <v>942</v>
      </c>
      <c r="BT97" s="1137" t="s">
        <v>963</v>
      </c>
      <c r="BU97" s="1138"/>
      <c r="BW97" s="5">
        <v>1</v>
      </c>
    </row>
    <row r="98" spans="2:75" ht="15.75" customHeight="1">
      <c r="B98" s="42" t="str">
        <f t="shared" si="37"/>
        <v>A</v>
      </c>
      <c r="C98" s="196" t="str">
        <f>C95</f>
        <v>Famille à coller.N.Nom de votre recette.Recette mère ►.S.Saisissez le nom de la recette mère</v>
      </c>
      <c r="D98" s="196">
        <f>D95</f>
        <v>6</v>
      </c>
      <c r="E98" s="196" t="str">
        <f>E95</f>
        <v>couverts</v>
      </c>
      <c r="F98" s="1358" t="s">
        <v>1118</v>
      </c>
      <c r="G98" s="1363" t="s">
        <v>1130</v>
      </c>
      <c r="H98" s="147"/>
      <c r="I98" s="147"/>
      <c r="J98" s="988"/>
      <c r="K98" s="988"/>
      <c r="L98" s="1325"/>
      <c r="N98" s="42" t="str">
        <f t="shared" si="38"/>
        <v>►</v>
      </c>
      <c r="O98" s="196" t="str">
        <f>O95</f>
        <v>Famille à coller.N.Nom de votre recette.Recette mère ►.S.Saisissez le nom de la recette mère</v>
      </c>
      <c r="P98" s="196">
        <f>P95</f>
        <v>6</v>
      </c>
      <c r="Q98" s="196" t="str">
        <f>Q95</f>
        <v>couverts</v>
      </c>
      <c r="R98" s="1323"/>
      <c r="S98" s="988"/>
      <c r="T98" s="988"/>
      <c r="U98" s="988"/>
      <c r="V98" s="988"/>
      <c r="W98" s="988"/>
      <c r="X98" s="1325"/>
      <c r="Z98" s="331"/>
      <c r="AA98" s="331"/>
      <c r="AB98" s="331"/>
      <c r="AC98" s="331"/>
      <c r="AD98" s="1358" t="s">
        <v>1118</v>
      </c>
      <c r="AE98" s="1363" t="s">
        <v>1138</v>
      </c>
      <c r="AF98" s="147"/>
      <c r="AG98" s="988"/>
      <c r="AH98" s="988"/>
      <c r="AI98" s="988"/>
      <c r="AJ98" s="1325"/>
      <c r="AL98" s="1256"/>
      <c r="AM98" s="331"/>
      <c r="AN98" s="331"/>
      <c r="AO98" s="331"/>
      <c r="AP98" s="331"/>
      <c r="AQ98" s="331"/>
      <c r="AR98" s="331"/>
      <c r="AS98" s="331"/>
      <c r="AT98" s="331"/>
      <c r="AU98" s="102"/>
      <c r="AV98" s="102"/>
      <c r="AX98" s="42" t="str">
        <f t="shared" si="35"/>
        <v>►</v>
      </c>
      <c r="AY98" s="196" t="str">
        <f>AY70</f>
        <v>Famille à coller.N.Nom de votre recette.Recette mère ►.S.Saisissez le nom de la recette mère</v>
      </c>
      <c r="AZ98" s="196">
        <f>AZ70</f>
        <v>6</v>
      </c>
      <c r="BA98" s="1347" t="str">
        <f>BA70</f>
        <v>couverts</v>
      </c>
      <c r="BB98" s="988"/>
      <c r="BC98" s="988"/>
      <c r="BD98" s="988"/>
      <c r="BE98" s="988"/>
      <c r="BF98" s="988"/>
      <c r="BG98" s="988"/>
      <c r="BH98" s="1325"/>
      <c r="BJ98" s="1141">
        <v>16</v>
      </c>
      <c r="BK98" s="1142" t="s">
        <v>73</v>
      </c>
      <c r="BL98" s="106"/>
      <c r="BM98" s="1143"/>
      <c r="BO98" s="1144"/>
      <c r="BP98" s="1134" t="s">
        <v>967</v>
      </c>
      <c r="BQ98" s="1135"/>
      <c r="BR98" s="35">
        <v>1</v>
      </c>
      <c r="BS98" s="1145" t="s">
        <v>965</v>
      </c>
      <c r="BT98" s="1137" t="s">
        <v>968</v>
      </c>
      <c r="BU98" s="1138"/>
      <c r="BW98" s="5">
        <v>1</v>
      </c>
    </row>
    <row r="99" spans="2:75" ht="15.75" customHeight="1">
      <c r="B99" s="42" t="str">
        <f t="shared" si="37"/>
        <v>A</v>
      </c>
      <c r="C99" s="196" t="str">
        <f>C95</f>
        <v>Famille à coller.N.Nom de votre recette.Recette mère ►.S.Saisissez le nom de la recette mère</v>
      </c>
      <c r="D99" s="196">
        <f>D95</f>
        <v>6</v>
      </c>
      <c r="E99" s="196" t="str">
        <f>E95</f>
        <v>couverts</v>
      </c>
      <c r="F99" s="1358" t="s">
        <v>1118</v>
      </c>
      <c r="G99" s="1363" t="s">
        <v>1131</v>
      </c>
      <c r="H99" s="147"/>
      <c r="I99" s="147"/>
      <c r="J99" s="988"/>
      <c r="K99" s="988"/>
      <c r="L99" s="1325"/>
      <c r="N99" s="42" t="str">
        <f t="shared" si="38"/>
        <v>►</v>
      </c>
      <c r="O99" s="196" t="str">
        <f>O95</f>
        <v>Famille à coller.N.Nom de votre recette.Recette mère ►.S.Saisissez le nom de la recette mère</v>
      </c>
      <c r="P99" s="196">
        <f>P95</f>
        <v>6</v>
      </c>
      <c r="Q99" s="196" t="str">
        <f>Q95</f>
        <v>couverts</v>
      </c>
      <c r="R99" s="1323"/>
      <c r="S99" s="988"/>
      <c r="T99" s="988"/>
      <c r="U99" s="988"/>
      <c r="V99" s="988"/>
      <c r="W99" s="988"/>
      <c r="X99" s="1325"/>
      <c r="Z99" s="331"/>
      <c r="AA99" s="331"/>
      <c r="AB99" s="331"/>
      <c r="AC99" s="331"/>
      <c r="AD99" s="1358" t="s">
        <v>1118</v>
      </c>
      <c r="AE99" s="1363" t="s">
        <v>1139</v>
      </c>
      <c r="AF99" s="147"/>
      <c r="AG99" s="988"/>
      <c r="AH99" s="988"/>
      <c r="AI99" s="988"/>
      <c r="AJ99" s="1325"/>
      <c r="AL99" s="331"/>
      <c r="AM99" s="331"/>
      <c r="AN99" s="331"/>
      <c r="AO99" s="331"/>
      <c r="AP99" s="1354" t="s">
        <v>252</v>
      </c>
      <c r="AQ99" s="1355"/>
      <c r="AR99" s="1355"/>
      <c r="AS99" s="1355"/>
      <c r="AT99" s="1355"/>
      <c r="AU99" s="1356"/>
      <c r="AV99" s="1357" t="s">
        <v>1117</v>
      </c>
      <c r="AX99" s="42" t="str">
        <f t="shared" si="35"/>
        <v>►</v>
      </c>
      <c r="AY99" s="196" t="str">
        <f>AY70</f>
        <v>Famille à coller.N.Nom de votre recette.Recette mère ►.S.Saisissez le nom de la recette mère</v>
      </c>
      <c r="AZ99" s="196">
        <f>AZ70</f>
        <v>6</v>
      </c>
      <c r="BA99" s="1347" t="str">
        <f>BA70</f>
        <v>couverts</v>
      </c>
      <c r="BB99" s="988"/>
      <c r="BC99" s="988"/>
      <c r="BD99" s="988"/>
      <c r="BE99" s="988"/>
      <c r="BF99" s="988"/>
      <c r="BG99" s="988"/>
      <c r="BH99" s="1325"/>
      <c r="BJ99" s="1141">
        <v>25</v>
      </c>
      <c r="BK99" s="1142" t="s">
        <v>71</v>
      </c>
      <c r="BL99" s="106"/>
      <c r="BM99" s="1143"/>
      <c r="BO99" s="1144"/>
      <c r="BP99" s="1134"/>
      <c r="BQ99" s="1135"/>
      <c r="BR99" s="35">
        <v>3</v>
      </c>
      <c r="BS99" s="1146" t="s">
        <v>164</v>
      </c>
      <c r="BT99" s="1137" t="s">
        <v>940</v>
      </c>
      <c r="BU99" s="1138"/>
      <c r="BW99" s="5">
        <v>1</v>
      </c>
    </row>
    <row r="100" spans="2:75" ht="15.75">
      <c r="B100" s="42" t="str">
        <f t="shared" si="37"/>
        <v>A</v>
      </c>
      <c r="C100" s="196" t="str">
        <f>C95</f>
        <v>Famille à coller.N.Nom de votre recette.Recette mère ►.S.Saisissez le nom de la recette mère</v>
      </c>
      <c r="D100" s="196">
        <f>D95</f>
        <v>6</v>
      </c>
      <c r="E100" s="196" t="str">
        <f>E95</f>
        <v>couverts</v>
      </c>
      <c r="F100" s="1358" t="s">
        <v>1118</v>
      </c>
      <c r="G100" s="1363" t="s">
        <v>1132</v>
      </c>
      <c r="H100" s="147"/>
      <c r="I100" s="147"/>
      <c r="J100" s="988"/>
      <c r="K100" s="988"/>
      <c r="L100" s="1325"/>
      <c r="N100" s="42" t="str">
        <f t="shared" si="38"/>
        <v>►</v>
      </c>
      <c r="O100" s="196" t="str">
        <f>O95</f>
        <v>Famille à coller.N.Nom de votre recette.Recette mère ►.S.Saisissez le nom de la recette mère</v>
      </c>
      <c r="P100" s="196">
        <f>P95</f>
        <v>6</v>
      </c>
      <c r="Q100" s="196" t="str">
        <f>Q95</f>
        <v>couverts</v>
      </c>
      <c r="R100" s="1323"/>
      <c r="S100" s="988"/>
      <c r="T100" s="988"/>
      <c r="U100" s="988"/>
      <c r="V100" s="988"/>
      <c r="W100" s="988"/>
      <c r="X100" s="1325"/>
      <c r="Z100" s="331"/>
      <c r="AA100" s="331"/>
      <c r="AB100" s="331"/>
      <c r="AC100" s="331"/>
      <c r="AD100" s="1358" t="s">
        <v>1118</v>
      </c>
      <c r="AE100" s="1363" t="s">
        <v>1140</v>
      </c>
      <c r="AF100" s="147"/>
      <c r="AG100" s="988"/>
      <c r="AH100" s="988"/>
      <c r="AI100" s="988"/>
      <c r="AJ100" s="1325"/>
      <c r="AL100" s="331"/>
      <c r="AM100" s="331"/>
      <c r="AN100" s="331"/>
      <c r="AO100" s="331"/>
      <c r="AP100" s="1358" t="s">
        <v>1118</v>
      </c>
      <c r="AQ100" s="1359" t="s">
        <v>1119</v>
      </c>
      <c r="AR100" s="147"/>
      <c r="AS100" s="147"/>
      <c r="AT100" s="147"/>
      <c r="AU100" s="147"/>
      <c r="AV100" s="1360"/>
      <c r="AX100" s="42" t="str">
        <f t="shared" si="35"/>
        <v>►</v>
      </c>
      <c r="AY100" s="196" t="str">
        <f>AY70</f>
        <v>Famille à coller.N.Nom de votre recette.Recette mère ►.S.Saisissez le nom de la recette mère</v>
      </c>
      <c r="AZ100" s="196">
        <f>AZ70</f>
        <v>6</v>
      </c>
      <c r="BA100" s="1347" t="str">
        <f>BA70</f>
        <v>couverts</v>
      </c>
      <c r="BB100" s="988"/>
      <c r="BC100" s="988"/>
      <c r="BD100" s="988"/>
      <c r="BE100" s="988"/>
      <c r="BF100" s="988"/>
      <c r="BG100" s="988"/>
      <c r="BH100" s="1325"/>
      <c r="BJ100" s="1147" t="str">
        <f>BJ94</f>
        <v>augmentez ou diminuez la valeur saisie</v>
      </c>
      <c r="BK100" s="1148"/>
      <c r="BL100" s="106"/>
      <c r="BM100" s="175"/>
      <c r="BO100" s="1144">
        <v>0.25</v>
      </c>
      <c r="BP100" s="1134" t="s">
        <v>970</v>
      </c>
      <c r="BQ100" s="1135"/>
      <c r="BR100" s="35"/>
      <c r="BS100" s="1149"/>
      <c r="BT100" s="1137" t="s">
        <v>971</v>
      </c>
      <c r="BU100" s="1138"/>
      <c r="BW100" s="5">
        <v>1</v>
      </c>
    </row>
    <row r="101" spans="2:75" ht="16.5" thickBot="1">
      <c r="B101" s="42" t="str">
        <f t="shared" si="37"/>
        <v>A</v>
      </c>
      <c r="C101" s="196" t="str">
        <f>C95</f>
        <v>Famille à coller.N.Nom de votre recette.Recette mère ►.S.Saisissez le nom de la recette mère</v>
      </c>
      <c r="D101" s="196">
        <f>D95</f>
        <v>6</v>
      </c>
      <c r="E101" s="196" t="str">
        <f>E95</f>
        <v>couverts</v>
      </c>
      <c r="F101" s="1358" t="s">
        <v>1118</v>
      </c>
      <c r="G101" s="1359" t="s">
        <v>1126</v>
      </c>
      <c r="H101" s="147"/>
      <c r="I101" s="1361"/>
      <c r="J101" s="988"/>
      <c r="K101" s="988"/>
      <c r="L101" s="1325"/>
      <c r="N101" s="42" t="str">
        <f t="shared" si="38"/>
        <v>►</v>
      </c>
      <c r="O101" s="196" t="str">
        <f>O95</f>
        <v>Famille à coller.N.Nom de votre recette.Recette mère ►.S.Saisissez le nom de la recette mère</v>
      </c>
      <c r="P101" s="196">
        <f>P95</f>
        <v>6</v>
      </c>
      <c r="Q101" s="196" t="str">
        <f>Q95</f>
        <v>couverts</v>
      </c>
      <c r="R101" s="1323"/>
      <c r="S101" s="988"/>
      <c r="T101" s="988"/>
      <c r="U101" s="988"/>
      <c r="V101" s="988"/>
      <c r="W101" s="988"/>
      <c r="X101" s="1325" t="s">
        <v>1111</v>
      </c>
      <c r="Z101" s="331"/>
      <c r="AA101" s="331"/>
      <c r="AB101" s="331"/>
      <c r="AC101" s="331"/>
      <c r="AD101" s="1369" t="s">
        <v>864</v>
      </c>
      <c r="AE101" s="1321"/>
      <c r="AF101" s="1321"/>
      <c r="AG101" s="1321"/>
      <c r="AH101" s="1321"/>
      <c r="AI101" s="1321"/>
      <c r="AJ101" s="1370" t="s">
        <v>1141</v>
      </c>
      <c r="AL101" s="331"/>
      <c r="AM101" s="331"/>
      <c r="AN101" s="331"/>
      <c r="AO101" s="331"/>
      <c r="AP101" s="1358" t="s">
        <v>1118</v>
      </c>
      <c r="AQ101" s="1359" t="s">
        <v>1121</v>
      </c>
      <c r="AR101" s="1361"/>
      <c r="AS101" s="1362"/>
      <c r="AT101" s="988"/>
      <c r="AU101" s="988"/>
      <c r="AV101" s="1325"/>
      <c r="AX101" s="42" t="str">
        <f t="shared" si="35"/>
        <v>►</v>
      </c>
      <c r="AY101" s="196" t="str">
        <f>AY70</f>
        <v>Famille à coller.N.Nom de votre recette.Recette mère ►.S.Saisissez le nom de la recette mère</v>
      </c>
      <c r="AZ101" s="196">
        <f>AZ70</f>
        <v>6</v>
      </c>
      <c r="BA101" s="1347" t="str">
        <f>BA70</f>
        <v>couverts</v>
      </c>
      <c r="BB101" s="988"/>
      <c r="BC101" s="988"/>
      <c r="BD101" s="988"/>
      <c r="BE101" s="988"/>
      <c r="BF101" s="988"/>
      <c r="BG101" s="988"/>
      <c r="BH101" s="1325"/>
      <c r="BJ101" s="103"/>
      <c r="BK101" s="102"/>
      <c r="BL101" s="102"/>
      <c r="BM101" s="101"/>
      <c r="BO101" s="1144">
        <v>0.5</v>
      </c>
      <c r="BP101" s="1134" t="s">
        <v>967</v>
      </c>
      <c r="BQ101" s="1135"/>
      <c r="BR101" s="35"/>
      <c r="BS101" s="1149"/>
      <c r="BT101" s="1137" t="s">
        <v>968</v>
      </c>
      <c r="BU101" s="1138"/>
      <c r="BW101" s="5">
        <v>1</v>
      </c>
    </row>
    <row r="102" spans="2:75" ht="16.5" customHeight="1" thickTop="1">
      <c r="B102" s="42" t="str">
        <f t="shared" si="37"/>
        <v>A</v>
      </c>
      <c r="C102" s="196" t="str">
        <f>C95</f>
        <v>Famille à coller.N.Nom de votre recette.Recette mère ►.S.Saisissez le nom de la recette mère</v>
      </c>
      <c r="D102" s="196">
        <f>D95</f>
        <v>6</v>
      </c>
      <c r="E102" s="196" t="str">
        <f>E95</f>
        <v>couverts</v>
      </c>
      <c r="F102" s="1358" t="s">
        <v>1118</v>
      </c>
      <c r="G102" s="1363" t="s">
        <v>1127</v>
      </c>
      <c r="H102" s="147"/>
      <c r="I102" s="147"/>
      <c r="J102" s="988"/>
      <c r="K102" s="988"/>
      <c r="L102" s="1325"/>
      <c r="N102" s="42" t="str">
        <f t="shared" si="38"/>
        <v>►</v>
      </c>
      <c r="O102" s="196" t="str">
        <f>O95</f>
        <v>Famille à coller.N.Nom de votre recette.Recette mère ►.S.Saisissez le nom de la recette mère</v>
      </c>
      <c r="P102" s="196">
        <f>P95</f>
        <v>6</v>
      </c>
      <c r="Q102" s="196" t="str">
        <f>Q95</f>
        <v>couverts</v>
      </c>
      <c r="R102" s="1323"/>
      <c r="S102" s="988"/>
      <c r="T102" s="988"/>
      <c r="U102" s="988"/>
      <c r="V102" s="988"/>
      <c r="W102" s="988"/>
      <c r="X102" s="1325"/>
      <c r="Z102" s="331"/>
      <c r="AA102" s="331"/>
      <c r="AB102" s="331"/>
      <c r="AC102" s="331"/>
      <c r="AD102" s="1371"/>
      <c r="AE102" s="1371"/>
      <c r="AF102" s="1371"/>
      <c r="AG102" s="1371"/>
      <c r="AH102" s="1371"/>
      <c r="AI102" s="1371"/>
      <c r="AJ102" s="1371"/>
      <c r="AL102" s="331"/>
      <c r="AM102" s="331"/>
      <c r="AN102" s="331"/>
      <c r="AO102" s="331"/>
      <c r="AP102" s="1358" t="s">
        <v>1118</v>
      </c>
      <c r="AQ102" s="1359" t="s">
        <v>1122</v>
      </c>
      <c r="AR102" s="1361"/>
      <c r="AS102" s="988"/>
      <c r="AT102" s="988"/>
      <c r="AU102" s="988"/>
      <c r="AV102" s="1325"/>
      <c r="AX102" s="42" t="str">
        <f t="shared" si="35"/>
        <v>►</v>
      </c>
      <c r="AY102" s="196" t="str">
        <f>AY70</f>
        <v>Famille à coller.N.Nom de votre recette.Recette mère ►.S.Saisissez le nom de la recette mère</v>
      </c>
      <c r="AZ102" s="196">
        <f>AZ70</f>
        <v>6</v>
      </c>
      <c r="BA102" s="1347" t="str">
        <f>BA70</f>
        <v>couverts</v>
      </c>
      <c r="BB102" s="988"/>
      <c r="BC102" s="988"/>
      <c r="BD102" s="988"/>
      <c r="BE102" s="988"/>
      <c r="BF102" s="988"/>
      <c r="BG102" s="988"/>
      <c r="BH102" s="1325"/>
      <c r="BJ102" s="7687" t="s">
        <v>975</v>
      </c>
      <c r="BK102" s="7129"/>
      <c r="BL102" s="6965" t="s">
        <v>976</v>
      </c>
      <c r="BM102" s="7374"/>
      <c r="BO102" s="1144">
        <v>0.75</v>
      </c>
      <c r="BP102" s="1134" t="s">
        <v>977</v>
      </c>
      <c r="BQ102" s="1135"/>
      <c r="BR102" s="35"/>
      <c r="BS102" s="1149"/>
      <c r="BT102" s="1137" t="s">
        <v>978</v>
      </c>
      <c r="BU102" s="1138"/>
      <c r="BV102" s="3"/>
      <c r="BW102" s="5">
        <v>1</v>
      </c>
    </row>
    <row r="103" spans="2:75" ht="15.75">
      <c r="B103" s="42" t="str">
        <f t="shared" si="37"/>
        <v>A</v>
      </c>
      <c r="C103" s="196" t="str">
        <f>C95</f>
        <v>Famille à coller.N.Nom de votre recette.Recette mère ►.S.Saisissez le nom de la recette mère</v>
      </c>
      <c r="D103" s="196">
        <f>D95</f>
        <v>6</v>
      </c>
      <c r="E103" s="196" t="str">
        <f>E95</f>
        <v>couverts</v>
      </c>
      <c r="F103" s="1358" t="s">
        <v>1118</v>
      </c>
      <c r="G103" s="1363" t="s">
        <v>1142</v>
      </c>
      <c r="H103" s="147"/>
      <c r="I103" s="147"/>
      <c r="J103" s="988"/>
      <c r="K103" s="988"/>
      <c r="L103" s="1325"/>
      <c r="N103" s="42" t="str">
        <f t="shared" si="38"/>
        <v>►</v>
      </c>
      <c r="O103" s="196" t="str">
        <f>O95</f>
        <v>Famille à coller.N.Nom de votre recette.Recette mère ►.S.Saisissez le nom de la recette mère</v>
      </c>
      <c r="P103" s="196">
        <f>P95</f>
        <v>6</v>
      </c>
      <c r="Q103" s="196" t="str">
        <f>Q95</f>
        <v>couverts</v>
      </c>
      <c r="R103" s="1323"/>
      <c r="S103" s="988"/>
      <c r="T103" s="988"/>
      <c r="U103" s="988"/>
      <c r="V103" s="988"/>
      <c r="W103" s="988"/>
      <c r="X103" s="1325"/>
      <c r="Z103" s="331"/>
      <c r="AA103" s="331"/>
      <c r="AB103" s="331"/>
      <c r="AC103" s="331"/>
      <c r="AD103" s="1371"/>
      <c r="AE103" s="1371"/>
      <c r="AF103" s="1371"/>
      <c r="AG103" s="1371"/>
      <c r="AH103" s="1371"/>
      <c r="AI103" s="1371"/>
      <c r="AJ103" s="1371"/>
      <c r="AL103" s="331"/>
      <c r="AM103" s="331"/>
      <c r="AN103" s="331"/>
      <c r="AO103" s="331"/>
      <c r="AP103" s="1358" t="s">
        <v>1118</v>
      </c>
      <c r="AQ103" s="1359" t="s">
        <v>1123</v>
      </c>
      <c r="AR103" s="1361"/>
      <c r="AS103" s="988"/>
      <c r="AT103" s="988"/>
      <c r="AU103" s="988"/>
      <c r="AV103" s="1325"/>
      <c r="AX103" s="42" t="str">
        <f t="shared" si="35"/>
        <v>►</v>
      </c>
      <c r="AY103" s="196" t="str">
        <f>AY70</f>
        <v>Famille à coller.N.Nom de votre recette.Recette mère ►.S.Saisissez le nom de la recette mère</v>
      </c>
      <c r="AZ103" s="196">
        <f>AZ70</f>
        <v>6</v>
      </c>
      <c r="BA103" s="1347" t="str">
        <f>BA70</f>
        <v>couverts</v>
      </c>
      <c r="BB103" s="988"/>
      <c r="BC103" s="988"/>
      <c r="BD103" s="988"/>
      <c r="BE103" s="988"/>
      <c r="BF103" s="988"/>
      <c r="BG103" s="988"/>
      <c r="BH103" s="1325"/>
      <c r="BJ103" s="7688"/>
      <c r="BK103" s="7689"/>
      <c r="BL103" s="6891"/>
      <c r="BM103" s="7690"/>
      <c r="BO103" s="1092">
        <v>2</v>
      </c>
      <c r="BP103" s="1150" t="s">
        <v>980</v>
      </c>
      <c r="BQ103" s="1135"/>
      <c r="BR103" s="35"/>
      <c r="BS103" s="1149"/>
      <c r="BT103" s="1137"/>
      <c r="BU103" s="1138"/>
      <c r="BV103" s="3"/>
      <c r="BW103" s="5">
        <v>1</v>
      </c>
    </row>
    <row r="104" spans="2:75" ht="15.75">
      <c r="B104" s="1037" t="s">
        <v>26</v>
      </c>
      <c r="C104" s="196" t="str">
        <f>C95</f>
        <v>Famille à coller.N.Nom de votre recette.Recette mère ►.S.Saisissez le nom de la recette mère</v>
      </c>
      <c r="D104" s="196">
        <f>D95</f>
        <v>6</v>
      </c>
      <c r="E104" s="196" t="str">
        <f>E95</f>
        <v>couverts</v>
      </c>
      <c r="F104" s="1372" t="s">
        <v>1134</v>
      </c>
      <c r="G104" s="1373"/>
      <c r="H104" s="1373"/>
      <c r="I104" s="1373"/>
      <c r="J104" s="1373"/>
      <c r="K104" s="1373"/>
      <c r="L104" s="1339" t="s">
        <v>1143</v>
      </c>
      <c r="N104" s="42" t="str">
        <f t="shared" si="38"/>
        <v>►</v>
      </c>
      <c r="O104" s="196" t="str">
        <f>O95</f>
        <v>Famille à coller.N.Nom de votre recette.Recette mère ►.S.Saisissez le nom de la recette mère</v>
      </c>
      <c r="P104" s="196">
        <f>P95</f>
        <v>6</v>
      </c>
      <c r="Q104" s="196" t="str">
        <f>Q95</f>
        <v>couverts</v>
      </c>
      <c r="R104" s="1323"/>
      <c r="S104" s="988"/>
      <c r="T104" s="988"/>
      <c r="U104" s="988"/>
      <c r="V104" s="988"/>
      <c r="W104" s="988"/>
      <c r="X104" s="1325"/>
      <c r="Z104" s="331"/>
      <c r="AA104" s="331"/>
      <c r="AB104" s="331"/>
      <c r="AC104" s="331"/>
      <c r="AD104" s="1354" t="s">
        <v>252</v>
      </c>
      <c r="AE104" s="1355"/>
      <c r="AF104" s="1355"/>
      <c r="AG104" s="1355"/>
      <c r="AH104" s="1355"/>
      <c r="AI104" s="1356"/>
      <c r="AJ104" s="1357" t="s">
        <v>1144</v>
      </c>
      <c r="AL104" s="331"/>
      <c r="AM104" s="331"/>
      <c r="AN104" s="331"/>
      <c r="AO104" s="331"/>
      <c r="AP104" s="1358" t="s">
        <v>1118</v>
      </c>
      <c r="AQ104" s="1359" t="s">
        <v>1124</v>
      </c>
      <c r="AR104" s="1361"/>
      <c r="AS104" s="988"/>
      <c r="AT104" s="988"/>
      <c r="AU104" s="988"/>
      <c r="AV104" s="1325"/>
      <c r="AX104" s="42" t="str">
        <f t="shared" si="35"/>
        <v>►</v>
      </c>
      <c r="AY104" s="196" t="str">
        <f>AY70</f>
        <v>Famille à coller.N.Nom de votre recette.Recette mère ►.S.Saisissez le nom de la recette mère</v>
      </c>
      <c r="AZ104" s="196">
        <f>AZ70</f>
        <v>6</v>
      </c>
      <c r="BA104" s="1347" t="str">
        <f>BA70</f>
        <v>couverts</v>
      </c>
      <c r="BB104" s="988"/>
      <c r="BC104" s="988"/>
      <c r="BD104" s="988"/>
      <c r="BE104" s="988"/>
      <c r="BF104" s="988"/>
      <c r="BG104" s="988"/>
      <c r="BH104" s="1325"/>
      <c r="BJ104" s="1019" t="s">
        <v>159</v>
      </c>
      <c r="BK104" s="265" t="s">
        <v>164</v>
      </c>
      <c r="BL104" s="1151" t="s">
        <v>981</v>
      </c>
      <c r="BM104" s="1152" t="s">
        <v>982</v>
      </c>
      <c r="BO104" s="1092">
        <v>1</v>
      </c>
      <c r="BP104" s="1153" t="s">
        <v>225</v>
      </c>
      <c r="BQ104" s="1135"/>
      <c r="BR104" s="35"/>
      <c r="BS104" s="1149"/>
      <c r="BT104" s="1137" t="s">
        <v>983</v>
      </c>
      <c r="BU104" s="1138"/>
      <c r="BV104" s="3"/>
      <c r="BW104" s="5">
        <v>1</v>
      </c>
    </row>
    <row r="105" spans="2:75" ht="15.75">
      <c r="B105" s="1037" t="s">
        <v>21</v>
      </c>
      <c r="C105" s="196" t="str">
        <f>C95</f>
        <v>Famille à coller.N.Nom de votre recette.Recette mère ►.S.Saisissez le nom de la recette mère</v>
      </c>
      <c r="D105" s="196">
        <f>D95</f>
        <v>6</v>
      </c>
      <c r="E105" s="196" t="str">
        <f>E95</f>
        <v>couverts</v>
      </c>
      <c r="F105" s="1002"/>
      <c r="G105" s="1002"/>
      <c r="H105" s="1002" t="s">
        <v>873</v>
      </c>
      <c r="I105" s="1003"/>
      <c r="J105" s="1329"/>
      <c r="K105" s="1329"/>
      <c r="L105" s="1330"/>
      <c r="N105" s="42" t="str">
        <f t="shared" si="38"/>
        <v>►</v>
      </c>
      <c r="O105" s="196" t="str">
        <f>O95</f>
        <v>Famille à coller.N.Nom de votre recette.Recette mère ►.S.Saisissez le nom de la recette mère</v>
      </c>
      <c r="P105" s="196">
        <f>P95</f>
        <v>6</v>
      </c>
      <c r="Q105" s="196" t="str">
        <f>Q95</f>
        <v>couverts</v>
      </c>
      <c r="R105" s="1323"/>
      <c r="S105" s="988"/>
      <c r="T105" s="988"/>
      <c r="U105" s="988"/>
      <c r="V105" s="988"/>
      <c r="W105" s="988"/>
      <c r="X105" s="1325"/>
      <c r="Z105" s="331"/>
      <c r="AA105" s="331"/>
      <c r="AB105" s="331"/>
      <c r="AC105" s="331"/>
      <c r="AD105" s="1374" t="s">
        <v>1145</v>
      </c>
      <c r="AE105" s="147"/>
      <c r="AF105" s="1375"/>
      <c r="AG105" s="102"/>
      <c r="AH105" s="102"/>
      <c r="AI105" s="102"/>
      <c r="AJ105" s="1360"/>
      <c r="AL105" s="331"/>
      <c r="AM105" s="331"/>
      <c r="AN105" s="331"/>
      <c r="AO105" s="331"/>
      <c r="AP105" s="1358" t="s">
        <v>1118</v>
      </c>
      <c r="AQ105" s="1359" t="s">
        <v>1125</v>
      </c>
      <c r="AR105" s="1361"/>
      <c r="AS105" s="988"/>
      <c r="AT105" s="988"/>
      <c r="AU105" s="988"/>
      <c r="AV105" s="1325"/>
      <c r="AX105" s="42" t="str">
        <f t="shared" si="35"/>
        <v>►</v>
      </c>
      <c r="AY105" s="196" t="str">
        <f>AY70</f>
        <v>Famille à coller.N.Nom de votre recette.Recette mère ►.S.Saisissez le nom de la recette mère</v>
      </c>
      <c r="AZ105" s="196">
        <f>AZ70</f>
        <v>6</v>
      </c>
      <c r="BA105" s="1347" t="str">
        <f>BA70</f>
        <v>couverts</v>
      </c>
      <c r="BB105" s="988"/>
      <c r="BC105" s="988"/>
      <c r="BD105" s="988"/>
      <c r="BE105" s="988"/>
      <c r="BF105" s="988"/>
      <c r="BG105" s="988"/>
      <c r="BH105" s="1325"/>
      <c r="BJ105" s="1154">
        <v>0.25</v>
      </c>
      <c r="BK105" s="1155">
        <v>0.5</v>
      </c>
      <c r="BL105" s="1156" t="s">
        <v>984</v>
      </c>
      <c r="BM105" s="1157"/>
      <c r="BO105" s="1158"/>
      <c r="BP105" s="1159" t="s">
        <v>956</v>
      </c>
      <c r="BQ105" s="141"/>
      <c r="BR105" s="141"/>
      <c r="BS105" s="141"/>
      <c r="BT105" s="141"/>
      <c r="BU105" s="609"/>
      <c r="BW105" s="5">
        <v>1</v>
      </c>
    </row>
    <row r="106" spans="2:75" ht="18.75" customHeight="1" thickBot="1">
      <c r="B106" s="1069" t="s">
        <v>21</v>
      </c>
      <c r="C106" s="1331" t="str">
        <f>C95</f>
        <v>Famille à coller.N.Nom de votre recette.Recette mère ►.S.Saisissez le nom de la recette mère</v>
      </c>
      <c r="D106" s="1331">
        <f>D95</f>
        <v>6</v>
      </c>
      <c r="E106" s="1331" t="str">
        <f>E95</f>
        <v>couverts</v>
      </c>
      <c r="F106" s="1332" t="s">
        <v>86</v>
      </c>
      <c r="G106" s="1006"/>
      <c r="H106" s="1007"/>
      <c r="I106" s="1008"/>
      <c r="J106" s="1007"/>
      <c r="K106" s="1007"/>
      <c r="L106" s="1333"/>
      <c r="N106" s="42" t="str">
        <f t="shared" si="38"/>
        <v>►</v>
      </c>
      <c r="O106" s="196" t="str">
        <f>O95</f>
        <v>Famille à coller.N.Nom de votre recette.Recette mère ►.S.Saisissez le nom de la recette mère</v>
      </c>
      <c r="P106" s="196">
        <f>P95</f>
        <v>6</v>
      </c>
      <c r="Q106" s="196" t="str">
        <f>Q95</f>
        <v>couverts</v>
      </c>
      <c r="R106" s="1323"/>
      <c r="S106" s="988"/>
      <c r="T106" s="988"/>
      <c r="U106" s="988"/>
      <c r="V106" s="988"/>
      <c r="W106" s="988"/>
      <c r="X106" s="1325"/>
      <c r="Z106" s="331"/>
      <c r="AA106" s="331"/>
      <c r="AB106" s="331"/>
      <c r="AC106" s="331"/>
      <c r="AD106" s="7683" t="s">
        <v>1146</v>
      </c>
      <c r="AE106" s="7085"/>
      <c r="AF106" s="7085"/>
      <c r="AG106" s="7085"/>
      <c r="AH106" s="7085"/>
      <c r="AI106" s="7085"/>
      <c r="AJ106" s="7086"/>
      <c r="AL106" s="331"/>
      <c r="AM106" s="331"/>
      <c r="AN106" s="331"/>
      <c r="AO106" s="331"/>
      <c r="AP106" s="1358" t="s">
        <v>1118</v>
      </c>
      <c r="AQ106" s="1363" t="s">
        <v>1126</v>
      </c>
      <c r="AR106" s="147"/>
      <c r="AS106" s="988"/>
      <c r="AT106" s="988"/>
      <c r="AU106" s="988"/>
      <c r="AV106" s="1325"/>
      <c r="AX106" s="42" t="str">
        <f t="shared" si="35"/>
        <v>►</v>
      </c>
      <c r="AY106" s="196" t="str">
        <f>AY70</f>
        <v>Famille à coller.N.Nom de votre recette.Recette mère ►.S.Saisissez le nom de la recette mère</v>
      </c>
      <c r="AZ106" s="196">
        <f>AZ70</f>
        <v>6</v>
      </c>
      <c r="BA106" s="1347" t="str">
        <f>BA70</f>
        <v>couverts</v>
      </c>
      <c r="BB106" s="988"/>
      <c r="BC106" s="988"/>
      <c r="BD106" s="988"/>
      <c r="BE106" s="988"/>
      <c r="BF106" s="988"/>
      <c r="BG106" s="988"/>
      <c r="BH106" s="1325"/>
      <c r="BJ106" s="103"/>
      <c r="BK106" s="102"/>
      <c r="BL106" s="102"/>
      <c r="BM106" s="101"/>
      <c r="BO106" s="1160"/>
      <c r="BP106" s="496"/>
      <c r="BQ106" s="141"/>
      <c r="BR106" s="141"/>
      <c r="BS106" s="141"/>
      <c r="BT106" s="141"/>
      <c r="BU106" s="609"/>
      <c r="BW106" s="5">
        <v>1</v>
      </c>
    </row>
    <row r="107" spans="2:75" ht="16.5" thickBot="1">
      <c r="B107" s="1334" t="s">
        <v>21</v>
      </c>
      <c r="C107" s="1335"/>
      <c r="D107" s="1335"/>
      <c r="E107" s="1335"/>
      <c r="F107" s="1336" t="s">
        <v>1110</v>
      </c>
      <c r="G107" s="1336"/>
      <c r="H107" s="1336"/>
      <c r="I107" s="1336"/>
      <c r="J107" s="1336"/>
      <c r="K107" s="1336"/>
      <c r="L107" s="348"/>
      <c r="N107" s="42" t="str">
        <f t="shared" si="38"/>
        <v>►</v>
      </c>
      <c r="O107" s="196" t="str">
        <f>O95</f>
        <v>Famille à coller.N.Nom de votre recette.Recette mère ►.S.Saisissez le nom de la recette mère</v>
      </c>
      <c r="P107" s="196">
        <f>P95</f>
        <v>6</v>
      </c>
      <c r="Q107" s="196" t="str">
        <f>Q95</f>
        <v>couverts</v>
      </c>
      <c r="R107" s="1323"/>
      <c r="S107" s="988"/>
      <c r="T107" s="988"/>
      <c r="U107" s="988"/>
      <c r="V107" s="988"/>
      <c r="W107" s="988"/>
      <c r="X107" s="1325"/>
      <c r="Z107" s="331"/>
      <c r="AA107" s="331"/>
      <c r="AB107" s="331"/>
      <c r="AC107" s="331"/>
      <c r="AD107" s="7683"/>
      <c r="AE107" s="7085"/>
      <c r="AF107" s="7085"/>
      <c r="AG107" s="7085"/>
      <c r="AH107" s="7085"/>
      <c r="AI107" s="7085"/>
      <c r="AJ107" s="7086"/>
      <c r="AL107" s="331"/>
      <c r="AM107" s="331"/>
      <c r="AN107" s="331"/>
      <c r="AO107" s="331"/>
      <c r="AP107" s="1358" t="s">
        <v>1118</v>
      </c>
      <c r="AQ107" s="1363" t="s">
        <v>1127</v>
      </c>
      <c r="AR107" s="147"/>
      <c r="AS107" s="988"/>
      <c r="AT107" s="988"/>
      <c r="AU107" s="988"/>
      <c r="AV107" s="1325"/>
      <c r="AX107" s="42" t="str">
        <f t="shared" si="35"/>
        <v>►</v>
      </c>
      <c r="AY107" s="196" t="str">
        <f>AY70</f>
        <v>Famille à coller.N.Nom de votre recette.Recette mère ►.S.Saisissez le nom de la recette mère</v>
      </c>
      <c r="AZ107" s="196">
        <f>AZ70</f>
        <v>6</v>
      </c>
      <c r="BA107" s="1347" t="str">
        <f>BA70</f>
        <v>couverts</v>
      </c>
      <c r="BB107" s="988"/>
      <c r="BC107" s="988"/>
      <c r="BD107" s="988"/>
      <c r="BE107" s="988"/>
      <c r="BF107" s="988"/>
      <c r="BG107" s="988"/>
      <c r="BH107" s="1325"/>
      <c r="BJ107" s="999" t="s">
        <v>942</v>
      </c>
      <c r="BK107" s="314" t="s">
        <v>965</v>
      </c>
      <c r="BL107" s="1161" t="s">
        <v>985</v>
      </c>
      <c r="BM107" s="1162" t="s">
        <v>986</v>
      </c>
      <c r="BO107" s="1163"/>
      <c r="BP107" s="496" t="s">
        <v>987</v>
      </c>
      <c r="BQ107" s="141"/>
      <c r="BR107" s="141"/>
      <c r="BS107" s="141"/>
      <c r="BT107" s="141"/>
      <c r="BU107" s="609"/>
      <c r="BW107" s="5">
        <v>1</v>
      </c>
    </row>
    <row r="108" spans="2:75" ht="15.75">
      <c r="B108" s="5465" t="s">
        <v>21</v>
      </c>
      <c r="C108" s="368" t="str">
        <f>C114</f>
        <v>Famille à coller.N.Nom de votre recette.Recette mère ►.S.Saisissez le nom de la recette mère</v>
      </c>
      <c r="D108" s="367">
        <f>D114</f>
        <v>6</v>
      </c>
      <c r="E108" s="367" t="str">
        <f>E114</f>
        <v>couverts</v>
      </c>
      <c r="F108" s="366" t="s">
        <v>1</v>
      </c>
      <c r="G108" s="365" t="s">
        <v>251</v>
      </c>
      <c r="H108" s="7648" t="s">
        <v>1089</v>
      </c>
      <c r="I108" s="7648"/>
      <c r="J108" s="7601" t="s">
        <v>1090</v>
      </c>
      <c r="K108" s="7601"/>
      <c r="L108" s="7602"/>
      <c r="N108" s="1037" t="s">
        <v>21</v>
      </c>
      <c r="O108" s="196" t="str">
        <f>O95</f>
        <v>Famille à coller.N.Nom de votre recette.Recette mère ►.S.Saisissez le nom de la recette mère</v>
      </c>
      <c r="P108" s="196">
        <f>P95</f>
        <v>6</v>
      </c>
      <c r="Q108" s="196" t="str">
        <f>Q95</f>
        <v>couverts</v>
      </c>
      <c r="R108" s="1323"/>
      <c r="S108" s="988"/>
      <c r="T108" s="988"/>
      <c r="U108" s="988"/>
      <c r="V108" s="988"/>
      <c r="W108" s="988"/>
      <c r="X108" s="1325"/>
      <c r="Z108" s="331"/>
      <c r="AA108" s="331"/>
      <c r="AB108" s="331"/>
      <c r="AC108" s="331"/>
      <c r="AD108" s="7683"/>
      <c r="AE108" s="7085"/>
      <c r="AF108" s="7085"/>
      <c r="AG108" s="7085"/>
      <c r="AH108" s="7085"/>
      <c r="AI108" s="7085"/>
      <c r="AJ108" s="7086"/>
      <c r="AL108" s="331"/>
      <c r="AM108" s="331"/>
      <c r="AN108" s="331"/>
      <c r="AO108" s="331"/>
      <c r="AP108" s="1358" t="s">
        <v>1118</v>
      </c>
      <c r="AQ108" s="1363" t="s">
        <v>1128</v>
      </c>
      <c r="AR108" s="147"/>
      <c r="AS108" s="988"/>
      <c r="AT108" s="988"/>
      <c r="AU108" s="988"/>
      <c r="AV108" s="1325"/>
      <c r="AX108" s="42" t="str">
        <f t="shared" si="35"/>
        <v>►</v>
      </c>
      <c r="AY108" s="196" t="str">
        <f>AY70</f>
        <v>Famille à coller.N.Nom de votre recette.Recette mère ►.S.Saisissez le nom de la recette mère</v>
      </c>
      <c r="AZ108" s="196">
        <f>AZ70</f>
        <v>6</v>
      </c>
      <c r="BA108" s="1347" t="str">
        <f>BA70</f>
        <v>couverts</v>
      </c>
      <c r="BB108" s="988"/>
      <c r="BC108" s="988"/>
      <c r="BD108" s="988"/>
      <c r="BE108" s="988"/>
      <c r="BF108" s="988"/>
      <c r="BG108" s="988"/>
      <c r="BH108" s="1325"/>
      <c r="BJ108" s="1154">
        <v>0.25</v>
      </c>
      <c r="BK108" s="1155">
        <v>0.5</v>
      </c>
      <c r="BL108" s="1156" t="s">
        <v>988</v>
      </c>
      <c r="BM108" s="1157"/>
      <c r="BO108" s="1163" t="s">
        <v>904</v>
      </c>
      <c r="BP108" s="496"/>
      <c r="BQ108" s="141"/>
      <c r="BR108" s="141"/>
      <c r="BS108" s="141"/>
      <c r="BT108" s="141"/>
      <c r="BU108" s="609"/>
      <c r="BW108" s="5">
        <v>1</v>
      </c>
    </row>
    <row r="109" spans="2:75" ht="15.75" customHeight="1">
      <c r="B109" s="214" t="s">
        <v>21</v>
      </c>
      <c r="C109" s="363" t="str">
        <f>C114</f>
        <v>Famille à coller.N.Nom de votre recette.Recette mère ►.S.Saisissez le nom de la recette mère</v>
      </c>
      <c r="D109" s="362"/>
      <c r="E109" s="362"/>
      <c r="F109" s="361" t="s">
        <v>245</v>
      </c>
      <c r="G109" s="360" t="s">
        <v>244</v>
      </c>
      <c r="H109" s="7649"/>
      <c r="I109" s="7649"/>
      <c r="J109" s="7603"/>
      <c r="K109" s="7603"/>
      <c r="L109" s="7604"/>
      <c r="N109" s="1037" t="s">
        <v>21</v>
      </c>
      <c r="O109" s="196" t="str">
        <f>O95</f>
        <v>Famille à coller.N.Nom de votre recette.Recette mère ►.S.Saisissez le nom de la recette mère</v>
      </c>
      <c r="P109" s="196">
        <f>P95</f>
        <v>6</v>
      </c>
      <c r="Q109" s="196" t="str">
        <f>Q95</f>
        <v>couverts</v>
      </c>
      <c r="R109" s="1323"/>
      <c r="S109" s="988"/>
      <c r="T109" s="988"/>
      <c r="U109" s="988"/>
      <c r="V109" s="988"/>
      <c r="W109" s="988"/>
      <c r="X109" s="1325"/>
      <c r="Z109" s="331"/>
      <c r="AA109" s="331"/>
      <c r="AB109" s="331"/>
      <c r="AC109" s="331"/>
      <c r="AD109" s="1376" t="s">
        <v>1147</v>
      </c>
      <c r="AE109" s="988"/>
      <c r="AF109" s="988"/>
      <c r="AG109" s="988"/>
      <c r="AH109" s="988"/>
      <c r="AI109" s="988"/>
      <c r="AJ109" s="1325"/>
      <c r="AL109" s="331"/>
      <c r="AM109" s="331"/>
      <c r="AN109" s="331"/>
      <c r="AO109" s="331"/>
      <c r="AP109" s="1358" t="s">
        <v>1118</v>
      </c>
      <c r="AQ109" s="1363" t="s">
        <v>1129</v>
      </c>
      <c r="AR109" s="1361"/>
      <c r="AS109" s="988"/>
      <c r="AT109" s="988"/>
      <c r="AU109" s="988"/>
      <c r="AV109" s="1325"/>
      <c r="AX109" s="42" t="str">
        <f t="shared" si="35"/>
        <v>►</v>
      </c>
      <c r="AY109" s="196" t="str">
        <f>AY70</f>
        <v>Famille à coller.N.Nom de votre recette.Recette mère ►.S.Saisissez le nom de la recette mère</v>
      </c>
      <c r="AZ109" s="196">
        <f>AZ70</f>
        <v>6</v>
      </c>
      <c r="BA109" s="1347" t="str">
        <f>BA70</f>
        <v>couverts</v>
      </c>
      <c r="BB109" s="988"/>
      <c r="BC109" s="988"/>
      <c r="BD109" s="988"/>
      <c r="BE109" s="988"/>
      <c r="BF109" s="988"/>
      <c r="BG109" s="988"/>
      <c r="BH109" s="1325"/>
      <c r="BJ109" s="103" t="s">
        <v>989</v>
      </c>
      <c r="BK109" s="102" t="s">
        <v>990</v>
      </c>
      <c r="BL109" s="102"/>
      <c r="BM109" s="101"/>
      <c r="BO109" s="1160"/>
      <c r="BP109" s="1107"/>
      <c r="BQ109" s="141"/>
      <c r="BR109" s="141"/>
      <c r="BS109" s="141"/>
      <c r="BT109" s="141"/>
      <c r="BU109" s="609"/>
      <c r="BW109" s="5">
        <v>1</v>
      </c>
    </row>
    <row r="110" spans="2:75" ht="18.75">
      <c r="B110" s="214" t="s">
        <v>21</v>
      </c>
      <c r="C110" s="354" t="str">
        <f>C114</f>
        <v>Famille à coller.N.Nom de votre recette.Recette mère ►.S.Saisissez le nom de la recette mère</v>
      </c>
      <c r="D110" s="353"/>
      <c r="E110" s="352"/>
      <c r="F110" s="351"/>
      <c r="G110" s="350" t="s">
        <v>233</v>
      </c>
      <c r="H110" s="349"/>
      <c r="I110" s="348" t="s">
        <v>232</v>
      </c>
      <c r="J110" s="347" t="s">
        <v>1092</v>
      </c>
      <c r="K110" s="141"/>
      <c r="L110" s="346"/>
      <c r="N110" s="1037" t="s">
        <v>21</v>
      </c>
      <c r="O110" s="196" t="str">
        <f>O95</f>
        <v>Famille à coller.N.Nom de votre recette.Recette mère ►.S.Saisissez le nom de la recette mère</v>
      </c>
      <c r="P110" s="196">
        <f>P95</f>
        <v>6</v>
      </c>
      <c r="Q110" s="196" t="str">
        <f>Q95</f>
        <v>couverts</v>
      </c>
      <c r="R110" s="1338"/>
      <c r="S110" s="997"/>
      <c r="T110" s="997"/>
      <c r="U110" s="997"/>
      <c r="V110" s="997"/>
      <c r="W110" s="997"/>
      <c r="X110" s="1339" t="s">
        <v>1112</v>
      </c>
      <c r="Z110" s="331"/>
      <c r="AA110" s="331"/>
      <c r="AB110" s="331"/>
      <c r="AC110" s="331"/>
      <c r="AD110" s="1319" t="s">
        <v>1148</v>
      </c>
      <c r="AE110" s="1320"/>
      <c r="AF110" s="1320"/>
      <c r="AG110" s="1320"/>
      <c r="AH110" s="1320"/>
      <c r="AI110" s="1320"/>
      <c r="AJ110" s="1377"/>
      <c r="AL110" s="331"/>
      <c r="AM110" s="331"/>
      <c r="AN110" s="331"/>
      <c r="AO110" s="331"/>
      <c r="AP110" s="1358" t="s">
        <v>1118</v>
      </c>
      <c r="AQ110" s="1363" t="s">
        <v>1130</v>
      </c>
      <c r="AR110" s="147"/>
      <c r="AS110" s="988"/>
      <c r="AT110" s="988"/>
      <c r="AU110" s="988"/>
      <c r="AV110" s="1325"/>
      <c r="AX110" s="42" t="str">
        <f t="shared" si="35"/>
        <v>►</v>
      </c>
      <c r="AY110" s="196" t="str">
        <f>AY70</f>
        <v>Famille à coller.N.Nom de votre recette.Recette mère ►.S.Saisissez le nom de la recette mère</v>
      </c>
      <c r="AZ110" s="196">
        <f>AZ70</f>
        <v>6</v>
      </c>
      <c r="BA110" s="1347" t="str">
        <f>BA70</f>
        <v>couverts</v>
      </c>
      <c r="BB110" s="988"/>
      <c r="BC110" s="988"/>
      <c r="BD110" s="988"/>
      <c r="BE110" s="988"/>
      <c r="BF110" s="988"/>
      <c r="BG110" s="988"/>
      <c r="BH110" s="1325"/>
      <c r="BJ110" s="1164"/>
      <c r="BK110" s="1165"/>
      <c r="BL110" s="1165"/>
      <c r="BM110" s="1166"/>
      <c r="BO110" s="1160"/>
      <c r="BP110" s="1107" t="s">
        <v>991</v>
      </c>
      <c r="BQ110" s="141"/>
      <c r="BR110" s="141"/>
      <c r="BS110" s="141"/>
      <c r="BT110" s="141"/>
      <c r="BU110" s="609"/>
      <c r="BW110" s="5">
        <v>1</v>
      </c>
    </row>
    <row r="111" spans="2:75" ht="15.75">
      <c r="B111" s="214" t="s">
        <v>21</v>
      </c>
      <c r="C111" s="40" t="str">
        <f>C114</f>
        <v>Famille à coller.N.Nom de votre recette.Recette mère ►.S.Saisissez le nom de la recette mère</v>
      </c>
      <c r="D111" s="40"/>
      <c r="E111" s="40"/>
      <c r="F111" s="333" t="s">
        <v>228</v>
      </c>
      <c r="G111" s="341"/>
      <c r="H111" s="341"/>
      <c r="I111" s="340" t="s">
        <v>227</v>
      </c>
      <c r="J111" s="6901" t="str">
        <f>F114</f>
        <v>Famille à coller.N.Nom de votre recette.Recette mère ►.S.Saisissez le nom de la recette mère</v>
      </c>
      <c r="K111" s="6901"/>
      <c r="L111" s="7612"/>
      <c r="N111" s="1037" t="s">
        <v>21</v>
      </c>
      <c r="O111" s="196" t="str">
        <f>O95</f>
        <v>Famille à coller.N.Nom de votre recette.Recette mère ►.S.Saisissez le nom de la recette mère</v>
      </c>
      <c r="P111" s="196">
        <f>P95</f>
        <v>6</v>
      </c>
      <c r="Q111" s="196" t="str">
        <f>Q95</f>
        <v>couverts</v>
      </c>
      <c r="R111" s="1002"/>
      <c r="S111" s="1002"/>
      <c r="T111" s="1002" t="s">
        <v>873</v>
      </c>
      <c r="U111" s="1003"/>
      <c r="V111" s="1329"/>
      <c r="W111" s="1329"/>
      <c r="X111" s="1330"/>
      <c r="Z111" s="331"/>
      <c r="AA111" s="331"/>
      <c r="AB111" s="331"/>
      <c r="AC111" s="331"/>
      <c r="AD111" s="7684" t="s">
        <v>1149</v>
      </c>
      <c r="AE111" s="7088"/>
      <c r="AF111" s="7088"/>
      <c r="AG111" s="7088"/>
      <c r="AH111" s="7088"/>
      <c r="AI111" s="7088"/>
      <c r="AJ111" s="7089"/>
      <c r="AL111" s="331"/>
      <c r="AM111" s="331"/>
      <c r="AN111" s="331"/>
      <c r="AO111" s="331"/>
      <c r="AP111" s="1358" t="s">
        <v>1118</v>
      </c>
      <c r="AQ111" s="1363" t="s">
        <v>1131</v>
      </c>
      <c r="AR111" s="147"/>
      <c r="AS111" s="988"/>
      <c r="AT111" s="988"/>
      <c r="AU111" s="988"/>
      <c r="AV111" s="1325"/>
      <c r="AX111" s="42" t="str">
        <f t="shared" si="35"/>
        <v>►</v>
      </c>
      <c r="AY111" s="196" t="str">
        <f>AY70</f>
        <v>Famille à coller.N.Nom de votre recette.Recette mère ►.S.Saisissez le nom de la recette mère</v>
      </c>
      <c r="AZ111" s="196">
        <f>AZ70</f>
        <v>6</v>
      </c>
      <c r="BA111" s="1347" t="str">
        <f>BA70</f>
        <v>couverts</v>
      </c>
      <c r="BB111" s="988"/>
      <c r="BC111" s="988"/>
      <c r="BD111" s="988"/>
      <c r="BE111" s="988"/>
      <c r="BF111" s="988"/>
      <c r="BG111" s="988"/>
      <c r="BH111" s="1325"/>
      <c r="BJ111" s="1167"/>
      <c r="BK111" s="109"/>
      <c r="BL111" s="176"/>
      <c r="BM111" s="175"/>
      <c r="BO111" s="1168" t="s">
        <v>992</v>
      </c>
      <c r="BP111" s="141"/>
      <c r="BQ111" s="141"/>
      <c r="BR111" s="141"/>
      <c r="BS111" s="141"/>
      <c r="BT111" s="141"/>
      <c r="BU111" s="609"/>
      <c r="BW111" s="5">
        <v>1</v>
      </c>
    </row>
    <row r="112" spans="2:75" ht="20.25" customHeight="1" thickBot="1">
      <c r="B112" s="214" t="s">
        <v>21</v>
      </c>
      <c r="C112" s="40" t="str">
        <f>C114</f>
        <v>Famille à coller.N.Nom de votre recette.Recette mère ►.S.Saisissez le nom de la recette mère</v>
      </c>
      <c r="D112" s="40"/>
      <c r="E112" s="40"/>
      <c r="F112" s="5453">
        <v>6</v>
      </c>
      <c r="G112" s="5452" t="s">
        <v>73</v>
      </c>
      <c r="H112" s="333"/>
      <c r="I112" s="333"/>
      <c r="J112" s="6901"/>
      <c r="K112" s="6901"/>
      <c r="L112" s="7612"/>
      <c r="N112" s="1069" t="s">
        <v>21</v>
      </c>
      <c r="O112" s="1331" t="str">
        <f>O95</f>
        <v>Famille à coller.N.Nom de votre recette.Recette mère ►.S.Saisissez le nom de la recette mère</v>
      </c>
      <c r="P112" s="1331">
        <f>P95</f>
        <v>6</v>
      </c>
      <c r="Q112" s="1331" t="str">
        <f>Q95</f>
        <v>couverts</v>
      </c>
      <c r="R112" s="1332" t="s">
        <v>86</v>
      </c>
      <c r="S112" s="1006"/>
      <c r="T112" s="1007"/>
      <c r="U112" s="1008"/>
      <c r="V112" s="1007"/>
      <c r="W112" s="1007"/>
      <c r="X112" s="1333"/>
      <c r="Z112" s="331"/>
      <c r="AA112" s="331"/>
      <c r="AB112" s="331"/>
      <c r="AC112" s="331"/>
      <c r="AD112" s="7684"/>
      <c r="AE112" s="7088"/>
      <c r="AF112" s="7088"/>
      <c r="AG112" s="7088"/>
      <c r="AH112" s="7088"/>
      <c r="AI112" s="7088"/>
      <c r="AJ112" s="7089"/>
      <c r="AL112" s="331"/>
      <c r="AM112" s="331"/>
      <c r="AN112" s="331"/>
      <c r="AO112" s="331"/>
      <c r="AP112" s="1358" t="s">
        <v>1118</v>
      </c>
      <c r="AQ112" s="1363" t="s">
        <v>1132</v>
      </c>
      <c r="AR112" s="147"/>
      <c r="AS112" s="988"/>
      <c r="AT112" s="988"/>
      <c r="AU112" s="988"/>
      <c r="AV112" s="1325"/>
      <c r="AX112" s="1037" t="s">
        <v>21</v>
      </c>
      <c r="AY112" s="196" t="str">
        <f>AY70</f>
        <v>Famille à coller.N.Nom de votre recette.Recette mère ►.S.Saisissez le nom de la recette mère</v>
      </c>
      <c r="AZ112" s="196">
        <f>AZ70</f>
        <v>6</v>
      </c>
      <c r="BA112" s="1347" t="str">
        <f>BA70</f>
        <v>couverts</v>
      </c>
      <c r="BB112" s="1378" t="s">
        <v>869</v>
      </c>
      <c r="BC112" s="993"/>
      <c r="BD112" s="993"/>
      <c r="BE112" s="993"/>
      <c r="BF112" s="993"/>
      <c r="BG112" s="1343"/>
      <c r="BH112" s="1344" t="s">
        <v>870</v>
      </c>
      <c r="BJ112" s="1167" t="s">
        <v>993</v>
      </c>
      <c r="BK112" s="109"/>
      <c r="BL112" s="176"/>
      <c r="BM112" s="175"/>
      <c r="BO112" s="1160"/>
      <c r="BP112" s="141"/>
      <c r="BQ112" s="141"/>
      <c r="BR112" s="141"/>
      <c r="BS112" s="141"/>
      <c r="BT112" s="141"/>
      <c r="BU112" s="609"/>
      <c r="BW112" s="5">
        <v>1</v>
      </c>
    </row>
    <row r="113" spans="2:75" ht="20.25" customHeight="1" thickTop="1">
      <c r="B113" s="214" t="s">
        <v>26</v>
      </c>
      <c r="C113" s="40" t="str">
        <f>C114</f>
        <v>Famille à coller.N.Nom de votre recette.Recette mère ►.S.Saisissez le nom de la recette mère</v>
      </c>
      <c r="D113" s="40"/>
      <c r="E113" s="40"/>
      <c r="F113" s="327"/>
      <c r="G113" s="326"/>
      <c r="H113" s="326"/>
      <c r="I113" s="326"/>
      <c r="J113" s="326"/>
      <c r="K113" s="326"/>
      <c r="L113" s="1311"/>
      <c r="N113" s="1351"/>
      <c r="O113" s="1351"/>
      <c r="P113" s="1351"/>
      <c r="Q113" s="1352" t="s">
        <v>1115</v>
      </c>
      <c r="R113" s="1353" t="s">
        <v>1116</v>
      </c>
      <c r="S113" s="102"/>
      <c r="Z113" s="331"/>
      <c r="AA113" s="331"/>
      <c r="AB113" s="331"/>
      <c r="AC113" s="331"/>
      <c r="AD113" s="7684"/>
      <c r="AE113" s="7088"/>
      <c r="AF113" s="7088"/>
      <c r="AG113" s="7088"/>
      <c r="AH113" s="7088"/>
      <c r="AI113" s="7088"/>
      <c r="AJ113" s="7089"/>
      <c r="AL113" s="331"/>
      <c r="AM113" s="331"/>
      <c r="AN113" s="331"/>
      <c r="AO113" s="331"/>
      <c r="AP113" s="1358" t="s">
        <v>1118</v>
      </c>
      <c r="AQ113" s="1359" t="s">
        <v>1126</v>
      </c>
      <c r="AR113" s="1361"/>
      <c r="AS113" s="988"/>
      <c r="AT113" s="988"/>
      <c r="AU113" s="988"/>
      <c r="AV113" s="1325"/>
      <c r="AX113" s="1037" t="s">
        <v>21</v>
      </c>
      <c r="AY113" s="196" t="str">
        <f>AY70</f>
        <v>Famille à coller.N.Nom de votre recette.Recette mère ►.S.Saisissez le nom de la recette mère</v>
      </c>
      <c r="AZ113" s="196">
        <f>AZ70</f>
        <v>6</v>
      </c>
      <c r="BA113" s="1347" t="str">
        <f>BA70</f>
        <v>couverts</v>
      </c>
      <c r="BB113" s="997"/>
      <c r="BC113" s="997"/>
      <c r="BD113" s="997"/>
      <c r="BE113" s="997"/>
      <c r="BF113" s="997"/>
      <c r="BG113" s="1349"/>
      <c r="BH113" s="1326" t="s">
        <v>871</v>
      </c>
      <c r="BJ113" s="1169" t="s">
        <v>994</v>
      </c>
      <c r="BK113" s="1102"/>
      <c r="BL113" s="106"/>
      <c r="BM113" s="105"/>
      <c r="BO113" s="1160"/>
      <c r="BP113" s="7128" t="s">
        <v>975</v>
      </c>
      <c r="BQ113" s="7129"/>
      <c r="BR113" s="6965" t="s">
        <v>976</v>
      </c>
      <c r="BS113" s="6965"/>
      <c r="BT113" s="141"/>
      <c r="BU113" s="609"/>
      <c r="BW113" s="5">
        <v>1</v>
      </c>
    </row>
    <row r="114" spans="2:75" ht="15.75" customHeight="1">
      <c r="B114" s="319" t="s">
        <v>26</v>
      </c>
      <c r="C114" s="318" t="str">
        <f>F114</f>
        <v>Famille à coller.N.Nom de votre recette.Recette mère ►.S.Saisissez le nom de la recette mère</v>
      </c>
      <c r="D114" s="318">
        <f>F112</f>
        <v>6</v>
      </c>
      <c r="E114" s="318" t="str">
        <f>G112</f>
        <v>couverts</v>
      </c>
      <c r="F114" s="5486" t="str">
        <f>UPPER(LEFT(H108,1))&amp;LOWER(MID(H108,2,999))&amp;"."&amp;UPPER(LEFT(J108,1))&amp;"."&amp;UPPER(LEFT(J108,1))&amp;LOWER(MID(J108,2,999))&amp;"."&amp;IF(ISTEXT(L114),K114&amp;"."&amp;UPPER(LEFT(L114,1))&amp;"."&amp;UPPER(LEFT(L114,1))&amp;LOWER(MID(L114,2,999)),G114)</f>
        <v>Famille à coller.N.Nom de votre recette.Recette mère ►.S.Saisissez le nom de la recette mère</v>
      </c>
      <c r="G114" s="5487" t="s">
        <v>223</v>
      </c>
      <c r="H114" s="7613" t="s">
        <v>222</v>
      </c>
      <c r="I114" s="7613"/>
      <c r="J114" s="7613"/>
      <c r="K114" s="317" t="s">
        <v>221</v>
      </c>
      <c r="L114" s="1302" t="s">
        <v>1093</v>
      </c>
      <c r="N114" s="141"/>
      <c r="O114" s="141"/>
      <c r="P114" s="141"/>
      <c r="Q114" s="141"/>
      <c r="R114" s="1354" t="s">
        <v>252</v>
      </c>
      <c r="S114" s="1355"/>
      <c r="T114" s="1355"/>
      <c r="U114" s="1355"/>
      <c r="V114" s="1355"/>
      <c r="W114" s="1356"/>
      <c r="X114" s="1357" t="s">
        <v>1117</v>
      </c>
      <c r="Z114" s="331"/>
      <c r="AA114" s="331"/>
      <c r="AB114" s="331"/>
      <c r="AC114" s="331"/>
      <c r="AD114" s="7684"/>
      <c r="AE114" s="7088"/>
      <c r="AF114" s="7088"/>
      <c r="AG114" s="7088"/>
      <c r="AH114" s="7088"/>
      <c r="AI114" s="7088"/>
      <c r="AJ114" s="7089"/>
      <c r="AL114" s="331"/>
      <c r="AM114" s="331"/>
      <c r="AN114" s="331"/>
      <c r="AO114" s="331"/>
      <c r="AP114" s="1358" t="s">
        <v>1118</v>
      </c>
      <c r="AQ114" s="1363" t="s">
        <v>1127</v>
      </c>
      <c r="AR114" s="147"/>
      <c r="AS114" s="988"/>
      <c r="AT114" s="988"/>
      <c r="AU114" s="988"/>
      <c r="AV114" s="1325"/>
      <c r="AX114" s="1037" t="s">
        <v>21</v>
      </c>
      <c r="AY114" s="196" t="str">
        <f>AY70</f>
        <v>Famille à coller.N.Nom de votre recette.Recette mère ►.S.Saisissez le nom de la recette mère</v>
      </c>
      <c r="AZ114" s="196">
        <f>AZ70</f>
        <v>6</v>
      </c>
      <c r="BA114" s="1347" t="str">
        <f>BA70</f>
        <v>couverts</v>
      </c>
      <c r="BB114" s="997"/>
      <c r="BC114" s="997"/>
      <c r="BD114" s="997"/>
      <c r="BE114" s="997"/>
      <c r="BF114" s="997"/>
      <c r="BG114" s="1349"/>
      <c r="BH114" s="1326" t="s">
        <v>872</v>
      </c>
      <c r="BJ114" s="154"/>
      <c r="BK114" s="97"/>
      <c r="BL114" s="97"/>
      <c r="BM114" s="96"/>
      <c r="BO114" s="1160"/>
      <c r="BP114" s="1170" t="s">
        <v>159</v>
      </c>
      <c r="BQ114" s="1171" t="s">
        <v>164</v>
      </c>
      <c r="BR114" s="1172" t="s">
        <v>981</v>
      </c>
      <c r="BS114" s="1173" t="s">
        <v>982</v>
      </c>
      <c r="BT114" s="141"/>
      <c r="BU114" s="609"/>
      <c r="BW114" s="5">
        <v>1</v>
      </c>
    </row>
    <row r="115" spans="2:75" ht="15.75">
      <c r="B115" s="5477" t="s">
        <v>21</v>
      </c>
      <c r="C115" s="1313" t="str">
        <f>$C$39</f>
        <v>Famille à coller.N.Nom de votre recette.Recette mère ►.S.Saisissez le nom de la recette mère</v>
      </c>
      <c r="D115" s="1313">
        <f>$D$39</f>
        <v>6</v>
      </c>
      <c r="E115" s="1313" t="str">
        <f>$E$39</f>
        <v>couverts</v>
      </c>
      <c r="F115" s="1364" t="s">
        <v>218</v>
      </c>
      <c r="G115" s="1364" cm="1">
        <f t="array" ref="G115">IFERROR(ROW(F125)-(ROW(F116)+MATCH(TRUE,INDEX(ISNUMBER(FIND(K115,TRIM(SUBSTITUTE(SUBSTITUTE(SUBSTITUTE(SUBSTITUTE(SUBSTITUTE(SUBSTITUTE(SUBSTITUTE(LOWER(F116:F125),"é","e"),"è","e"),"ê","e"),"ë","e"),"à","a"),"ù","u"),"î","i")))),0),0)-1),1)</f>
        <v>5</v>
      </c>
      <c r="H115" s="1365" t="s">
        <v>1108</v>
      </c>
      <c r="I115" s="1366"/>
      <c r="J115" s="1366"/>
      <c r="K115" s="1367" t="str">
        <f>TRIM(SUBSTITUTE(SUBSTITUTE(SUBSTITUTE(SUBSTITUTE(SUBSTITUTE(SUBSTITUTE(SUBSTITUTE(LOWER(L115),"é","e"),"è","e"),"ê","e"),"ë","e"),"à","a"),"ù","u"),"î","i"))</f>
        <v>⓬ ▼ phases de progression</v>
      </c>
      <c r="L115" s="1379" t="s">
        <v>864</v>
      </c>
      <c r="N115" s="141"/>
      <c r="O115" s="141"/>
      <c r="P115" s="141"/>
      <c r="Q115" s="141"/>
      <c r="R115" s="1358" t="s">
        <v>1118</v>
      </c>
      <c r="S115" s="1363" t="s">
        <v>1128</v>
      </c>
      <c r="T115" s="147"/>
      <c r="U115" s="147"/>
      <c r="V115" s="147"/>
      <c r="W115" s="147"/>
      <c r="X115" s="1360"/>
      <c r="Z115" s="331"/>
      <c r="AA115" s="331"/>
      <c r="AB115" s="331"/>
      <c r="AC115" s="331"/>
      <c r="AD115" s="1380"/>
      <c r="AE115" s="1381"/>
      <c r="AF115" s="1381"/>
      <c r="AG115" s="1381"/>
      <c r="AH115" s="1381"/>
      <c r="AI115" s="1382"/>
      <c r="AJ115" s="1383"/>
      <c r="AL115" s="331"/>
      <c r="AM115" s="331"/>
      <c r="AN115" s="331"/>
      <c r="AO115" s="331"/>
      <c r="AP115" s="1358" t="s">
        <v>1118</v>
      </c>
      <c r="AQ115" s="1363" t="s">
        <v>1135</v>
      </c>
      <c r="AR115" s="147"/>
      <c r="AS115" s="988"/>
      <c r="AT115" s="988"/>
      <c r="AU115" s="988"/>
      <c r="AV115" s="1325"/>
      <c r="AX115" s="1037" t="s">
        <v>21</v>
      </c>
      <c r="AY115" s="196" t="str">
        <f>AY98</f>
        <v>Famille à coller.N.Nom de votre recette.Recette mère ►.S.Saisissez le nom de la recette mère</v>
      </c>
      <c r="AZ115" s="196">
        <f>AZ98</f>
        <v>6</v>
      </c>
      <c r="BA115" s="196" t="str">
        <f>BA98</f>
        <v>couverts</v>
      </c>
      <c r="BB115" s="1002"/>
      <c r="BC115" s="1002"/>
      <c r="BD115" s="1002" t="s">
        <v>873</v>
      </c>
      <c r="BE115" s="1003"/>
      <c r="BF115" s="1329"/>
      <c r="BG115" s="1329"/>
      <c r="BH115" s="1330"/>
      <c r="BJ115" s="160" t="s">
        <v>57</v>
      </c>
      <c r="BK115" s="1178" t="s">
        <v>56</v>
      </c>
      <c r="BL115" s="97"/>
      <c r="BM115" s="96"/>
      <c r="BO115" s="1160"/>
      <c r="BP115" s="1175">
        <v>0.25</v>
      </c>
      <c r="BQ115" s="1155">
        <v>0.5</v>
      </c>
      <c r="BR115" s="1176" t="s">
        <v>995</v>
      </c>
      <c r="BS115" s="1177"/>
      <c r="BT115" s="141"/>
      <c r="BU115" s="609"/>
      <c r="BW115" s="5">
        <v>1</v>
      </c>
    </row>
    <row r="116" spans="2:75" ht="15" customHeight="1" thickBot="1">
      <c r="B116" s="1023" t="s">
        <v>21</v>
      </c>
      <c r="C116" s="196" t="str">
        <f>C115</f>
        <v>Famille à coller.N.Nom de votre recette.Recette mère ►.S.Saisissez le nom de la recette mère</v>
      </c>
      <c r="D116" s="196">
        <f>D115</f>
        <v>6</v>
      </c>
      <c r="E116" s="196" t="str">
        <f>E115</f>
        <v>couverts</v>
      </c>
      <c r="F116" s="1384">
        <v>3.472222222222222E-3</v>
      </c>
      <c r="G116" s="1385" t="s">
        <v>1150</v>
      </c>
      <c r="H116" s="77"/>
      <c r="I116" s="77"/>
      <c r="J116" s="77"/>
      <c r="K116" s="1386">
        <v>100</v>
      </c>
      <c r="L116" s="1387" t="s">
        <v>1151</v>
      </c>
      <c r="N116" s="141"/>
      <c r="O116" s="141"/>
      <c r="P116" s="141"/>
      <c r="Q116" s="141"/>
      <c r="R116" s="1358" t="s">
        <v>1118</v>
      </c>
      <c r="S116" s="1363" t="s">
        <v>1129</v>
      </c>
      <c r="T116" s="1361"/>
      <c r="U116" s="1361"/>
      <c r="V116" s="1362"/>
      <c r="W116" s="988"/>
      <c r="X116" s="1325"/>
      <c r="Z116" s="331"/>
      <c r="AA116" s="331"/>
      <c r="AB116" s="331"/>
      <c r="AC116" s="331"/>
      <c r="AD116" s="1369" t="s">
        <v>864</v>
      </c>
      <c r="AE116" s="1321"/>
      <c r="AF116" s="1321"/>
      <c r="AG116" s="1321"/>
      <c r="AH116" s="1321"/>
      <c r="AI116" s="1321"/>
      <c r="AJ116" s="1370" t="s">
        <v>1141</v>
      </c>
      <c r="AL116" s="331"/>
      <c r="AM116" s="331"/>
      <c r="AN116" s="331"/>
      <c r="AO116" s="331"/>
      <c r="AP116" s="1358" t="s">
        <v>1118</v>
      </c>
      <c r="AQ116" s="1363" t="s">
        <v>1136</v>
      </c>
      <c r="AR116" s="147"/>
      <c r="AS116" s="988"/>
      <c r="AT116" s="988"/>
      <c r="AU116" s="988"/>
      <c r="AV116" s="1325"/>
      <c r="AX116" s="1069" t="s">
        <v>21</v>
      </c>
      <c r="AY116" s="1331" t="str">
        <f>AY98</f>
        <v>Famille à coller.N.Nom de votre recette.Recette mère ►.S.Saisissez le nom de la recette mère</v>
      </c>
      <c r="AZ116" s="1331">
        <f>AZ98</f>
        <v>6</v>
      </c>
      <c r="BA116" s="1331" t="str">
        <f>BA98</f>
        <v>couverts</v>
      </c>
      <c r="BB116" s="1332" t="s">
        <v>86</v>
      </c>
      <c r="BC116" s="1006"/>
      <c r="BD116" s="1007"/>
      <c r="BE116" s="1008"/>
      <c r="BF116" s="1007"/>
      <c r="BG116" s="1007"/>
      <c r="BH116" s="1333"/>
      <c r="BJ116" s="157" t="s">
        <v>54</v>
      </c>
      <c r="BK116" s="97"/>
      <c r="BL116" s="97"/>
      <c r="BM116" s="96"/>
      <c r="BO116" s="1160"/>
      <c r="BP116" s="1179" t="s">
        <v>942</v>
      </c>
      <c r="BQ116" s="1180" t="s">
        <v>965</v>
      </c>
      <c r="BR116" s="1172" t="s">
        <v>985</v>
      </c>
      <c r="BS116" s="1181" t="s">
        <v>986</v>
      </c>
      <c r="BT116" s="141"/>
      <c r="BU116" s="609"/>
      <c r="BW116" s="5">
        <v>1</v>
      </c>
    </row>
    <row r="117" spans="2:75" ht="16.5" customHeight="1">
      <c r="B117" s="1023" t="s">
        <v>21</v>
      </c>
      <c r="C117" s="196" t="str">
        <f>C115</f>
        <v>Famille à coller.N.Nom de votre recette.Recette mère ►.S.Saisissez le nom de la recette mère</v>
      </c>
      <c r="D117" s="196">
        <f>D115</f>
        <v>6</v>
      </c>
      <c r="E117" s="196" t="str">
        <f>E115</f>
        <v>couverts</v>
      </c>
      <c r="F117" s="1388">
        <v>1.0416666666666666E-2</v>
      </c>
      <c r="G117" s="1385" t="s">
        <v>1152</v>
      </c>
      <c r="H117" s="77"/>
      <c r="I117" s="77"/>
      <c r="J117" s="77"/>
      <c r="K117" s="1389">
        <v>90</v>
      </c>
      <c r="L117" s="1390" t="s">
        <v>1153</v>
      </c>
      <c r="N117" s="141"/>
      <c r="O117" s="141"/>
      <c r="P117" s="141"/>
      <c r="Q117" s="141"/>
      <c r="R117" s="1358" t="s">
        <v>1118</v>
      </c>
      <c r="S117" s="1363" t="s">
        <v>1130</v>
      </c>
      <c r="T117" s="147"/>
      <c r="U117" s="147"/>
      <c r="V117" s="988"/>
      <c r="W117" s="988"/>
      <c r="X117" s="1325"/>
      <c r="Z117" s="331"/>
      <c r="AA117" s="331"/>
      <c r="AB117" s="331"/>
      <c r="AC117" s="331"/>
      <c r="AD117" s="1371"/>
      <c r="AE117" s="1371"/>
      <c r="AF117" s="1371"/>
      <c r="AG117" s="1371"/>
      <c r="AH117" s="1371"/>
      <c r="AI117" s="1371"/>
      <c r="AJ117" s="1371"/>
      <c r="AL117" s="331"/>
      <c r="AM117" s="331"/>
      <c r="AN117" s="331"/>
      <c r="AO117" s="331"/>
      <c r="AP117" s="1358" t="s">
        <v>1118</v>
      </c>
      <c r="AQ117" s="1363" t="s">
        <v>1137</v>
      </c>
      <c r="AR117" s="147"/>
      <c r="AS117" s="988"/>
      <c r="AT117" s="988"/>
      <c r="AU117" s="988"/>
      <c r="AV117" s="1325"/>
      <c r="AX117" s="1351"/>
      <c r="AY117" s="1351"/>
      <c r="AZ117" s="1351"/>
      <c r="BA117" s="1352" t="s">
        <v>1115</v>
      </c>
      <c r="BB117" s="1353" t="s">
        <v>1116</v>
      </c>
      <c r="BC117" s="102"/>
      <c r="BJ117" s="154"/>
      <c r="BK117" s="97"/>
      <c r="BL117" s="97"/>
      <c r="BM117" s="96"/>
      <c r="BO117" s="1160"/>
      <c r="BP117" s="1175">
        <v>0.25</v>
      </c>
      <c r="BQ117" s="1155">
        <v>0.5</v>
      </c>
      <c r="BR117" s="1176" t="s">
        <v>996</v>
      </c>
      <c r="BS117" s="1177"/>
      <c r="BT117" s="141"/>
      <c r="BU117" s="609"/>
      <c r="BW117" s="5">
        <v>1</v>
      </c>
    </row>
    <row r="118" spans="2:75" ht="18.75" customHeight="1">
      <c r="B118" s="1023" t="s">
        <v>21</v>
      </c>
      <c r="C118" s="196" t="str">
        <f>C115</f>
        <v>Famille à coller.N.Nom de votre recette.Recette mère ►.S.Saisissez le nom de la recette mère</v>
      </c>
      <c r="D118" s="196">
        <f>D115</f>
        <v>6</v>
      </c>
      <c r="E118" s="196" t="str">
        <f>E115</f>
        <v>couverts</v>
      </c>
      <c r="F118" s="1391">
        <v>2.0833333333333332E-2</v>
      </c>
      <c r="G118" s="1385" t="s">
        <v>1154</v>
      </c>
      <c r="H118" s="988"/>
      <c r="I118" s="988"/>
      <c r="J118" s="988"/>
      <c r="K118" s="1392" t="s">
        <v>1155</v>
      </c>
      <c r="L118" s="1393" t="s">
        <v>1156</v>
      </c>
      <c r="N118" s="141"/>
      <c r="O118" s="141"/>
      <c r="P118" s="141"/>
      <c r="Q118" s="141"/>
      <c r="R118" s="1358" t="s">
        <v>1118</v>
      </c>
      <c r="S118" s="1363" t="s">
        <v>1131</v>
      </c>
      <c r="T118" s="147"/>
      <c r="U118" s="147"/>
      <c r="V118" s="988"/>
      <c r="W118" s="988"/>
      <c r="X118" s="1325"/>
      <c r="Z118" s="331"/>
      <c r="AA118" s="331"/>
      <c r="AB118" s="331"/>
      <c r="AC118" s="331"/>
      <c r="AD118" s="1371"/>
      <c r="AE118" s="1371"/>
      <c r="AF118" s="1371"/>
      <c r="AG118" s="1371"/>
      <c r="AH118" s="1371"/>
      <c r="AI118" s="1371"/>
      <c r="AJ118" s="1371"/>
      <c r="AL118" s="331"/>
      <c r="AM118" s="331"/>
      <c r="AN118" s="331"/>
      <c r="AO118" s="331"/>
      <c r="AP118" s="1358" t="s">
        <v>1118</v>
      </c>
      <c r="AQ118" s="1363" t="s">
        <v>1138</v>
      </c>
      <c r="AR118" s="147"/>
      <c r="AS118" s="988"/>
      <c r="AT118" s="988"/>
      <c r="AU118" s="988"/>
      <c r="AV118" s="1325"/>
      <c r="AX118" s="141"/>
      <c r="AY118" s="141"/>
      <c r="AZ118" s="141"/>
      <c r="BA118" s="141"/>
      <c r="BB118" s="141"/>
      <c r="BC118" s="141"/>
      <c r="BD118" s="141"/>
      <c r="BE118" s="141"/>
      <c r="BF118" s="141"/>
      <c r="BG118" s="141"/>
      <c r="BH118" s="141"/>
      <c r="BJ118" s="103" t="s">
        <v>44</v>
      </c>
      <c r="BK118" s="102"/>
      <c r="BL118" s="102"/>
      <c r="BM118" s="101"/>
      <c r="BO118" s="1160"/>
      <c r="BP118" s="1182" t="s">
        <v>989</v>
      </c>
      <c r="BQ118" s="102" t="s">
        <v>990</v>
      </c>
      <c r="BR118" s="102"/>
      <c r="BS118" s="102"/>
      <c r="BT118" s="141"/>
      <c r="BU118" s="609"/>
      <c r="BW118" s="5">
        <v>1</v>
      </c>
    </row>
    <row r="119" spans="2:75" ht="15.75" customHeight="1" thickBot="1">
      <c r="B119" s="1023" t="s">
        <v>21</v>
      </c>
      <c r="C119" s="196" t="str">
        <f>C115</f>
        <v>Famille à coller.N.Nom de votre recette.Recette mère ►.S.Saisissez le nom de la recette mère</v>
      </c>
      <c r="D119" s="196">
        <f>D115</f>
        <v>6</v>
      </c>
      <c r="E119" s="196" t="str">
        <f>E115</f>
        <v>couverts</v>
      </c>
      <c r="F119" s="1394">
        <f>F116+F117+F118</f>
        <v>3.4722222222222224E-2</v>
      </c>
      <c r="G119" s="1395" t="s">
        <v>37</v>
      </c>
      <c r="H119" s="988"/>
      <c r="I119" s="988"/>
      <c r="J119" s="988"/>
      <c r="K119" s="1396" t="s">
        <v>1155</v>
      </c>
      <c r="L119" s="1397" t="s">
        <v>1157</v>
      </c>
      <c r="N119" s="141"/>
      <c r="O119" s="141"/>
      <c r="P119" s="141"/>
      <c r="Q119" s="141"/>
      <c r="R119" s="1358" t="s">
        <v>1118</v>
      </c>
      <c r="S119" s="1363" t="s">
        <v>1132</v>
      </c>
      <c r="T119" s="147"/>
      <c r="U119" s="147"/>
      <c r="V119" s="988"/>
      <c r="W119" s="988"/>
      <c r="X119" s="1325"/>
      <c r="Z119" s="331"/>
      <c r="AA119" s="331"/>
      <c r="AB119" s="331"/>
      <c r="AC119" s="331"/>
      <c r="AD119" s="1354" t="s">
        <v>252</v>
      </c>
      <c r="AE119" s="1398"/>
      <c r="AF119" s="1398"/>
      <c r="AG119" s="1398"/>
      <c r="AH119" s="1398"/>
      <c r="AI119" s="1398"/>
      <c r="AJ119" s="1357" t="s">
        <v>1158</v>
      </c>
      <c r="AL119" s="331"/>
      <c r="AM119" s="331"/>
      <c r="AN119" s="331"/>
      <c r="AO119" s="331"/>
      <c r="AP119" s="1358" t="s">
        <v>1118</v>
      </c>
      <c r="AQ119" s="1363" t="s">
        <v>1139</v>
      </c>
      <c r="AR119" s="147"/>
      <c r="AS119" s="988"/>
      <c r="AT119" s="988"/>
      <c r="AU119" s="988"/>
      <c r="AV119" s="1325"/>
      <c r="AX119" s="141"/>
      <c r="AY119" s="141"/>
      <c r="AZ119" s="141"/>
      <c r="BA119" s="141"/>
      <c r="BB119" s="1354" t="s">
        <v>252</v>
      </c>
      <c r="BC119" s="1355"/>
      <c r="BD119" s="1355"/>
      <c r="BE119" s="1355"/>
      <c r="BF119" s="1355"/>
      <c r="BG119" s="1356"/>
      <c r="BH119" s="1357" t="s">
        <v>1117</v>
      </c>
      <c r="BJ119" s="146">
        <v>12</v>
      </c>
      <c r="BK119" s="102" t="s">
        <v>41</v>
      </c>
      <c r="BL119" s="102"/>
      <c r="BM119" s="101"/>
      <c r="BN119" s="1"/>
      <c r="BO119" s="1160"/>
      <c r="BP119" s="1183" t="s">
        <v>896</v>
      </c>
      <c r="BQ119" s="1184"/>
      <c r="BR119" s="1185"/>
      <c r="BS119" s="1185"/>
      <c r="BT119" s="141"/>
      <c r="BU119" s="609"/>
      <c r="BW119" s="5">
        <v>1</v>
      </c>
    </row>
    <row r="120" spans="2:75" ht="15.75">
      <c r="B120" s="1023" t="s">
        <v>21</v>
      </c>
      <c r="C120" s="196" t="str">
        <f>C115</f>
        <v>Famille à coller.N.Nom de votre recette.Recette mère ►.S.Saisissez le nom de la recette mère</v>
      </c>
      <c r="D120" s="196">
        <f>D115</f>
        <v>6</v>
      </c>
      <c r="E120" s="196" t="str">
        <f>E115</f>
        <v>couverts</v>
      </c>
      <c r="F120" s="1399" t="s">
        <v>864</v>
      </c>
      <c r="G120" s="1321"/>
      <c r="H120" s="1321"/>
      <c r="I120" s="1321"/>
      <c r="J120" s="1321"/>
      <c r="K120" s="1321"/>
      <c r="L120" s="1370"/>
      <c r="N120" s="141"/>
      <c r="O120" s="141"/>
      <c r="P120" s="141"/>
      <c r="Q120" s="141"/>
      <c r="R120" s="1358" t="s">
        <v>1118</v>
      </c>
      <c r="S120" s="1359" t="s">
        <v>1126</v>
      </c>
      <c r="T120" s="147"/>
      <c r="U120" s="1361"/>
      <c r="V120" s="988"/>
      <c r="W120" s="988"/>
      <c r="X120" s="1325"/>
      <c r="Z120" s="331"/>
      <c r="AA120" s="331"/>
      <c r="AB120" s="331"/>
      <c r="AC120" s="331"/>
      <c r="AD120" s="1400"/>
      <c r="AE120" s="1401" t="s">
        <v>1159</v>
      </c>
      <c r="AF120" s="1362"/>
      <c r="AG120" s="1362"/>
      <c r="AH120" s="1362"/>
      <c r="AI120" s="1402" t="s">
        <v>1160</v>
      </c>
      <c r="AJ120" s="1403"/>
      <c r="AL120" s="331"/>
      <c r="AM120" s="331"/>
      <c r="AN120" s="331"/>
      <c r="AO120" s="331"/>
      <c r="AP120" s="1358" t="s">
        <v>1118</v>
      </c>
      <c r="AQ120" s="1363" t="s">
        <v>1140</v>
      </c>
      <c r="AR120" s="147"/>
      <c r="AS120" s="988"/>
      <c r="AT120" s="988"/>
      <c r="AU120" s="988"/>
      <c r="AV120" s="1325"/>
      <c r="AX120" s="141"/>
      <c r="AY120" s="141"/>
      <c r="AZ120" s="141"/>
      <c r="BA120" s="141"/>
      <c r="BB120" s="1358" t="s">
        <v>1118</v>
      </c>
      <c r="BC120" s="1359" t="s">
        <v>1119</v>
      </c>
      <c r="BD120" s="147"/>
      <c r="BE120" s="147"/>
      <c r="BF120" s="147"/>
      <c r="BG120" s="147"/>
      <c r="BH120" s="1360"/>
      <c r="BJ120" s="140">
        <f ca="1">CELL("largeur",BJ120)</f>
        <v>19</v>
      </c>
      <c r="BK120" s="102" t="s">
        <v>39</v>
      </c>
      <c r="BL120" s="102"/>
      <c r="BM120" s="101"/>
      <c r="BN120" s="1"/>
      <c r="BO120" s="1160"/>
      <c r="BP120" s="141"/>
      <c r="BQ120" s="141"/>
      <c r="BR120" s="141"/>
      <c r="BS120" s="141"/>
      <c r="BT120" s="141"/>
      <c r="BU120" s="609"/>
      <c r="BW120" s="5">
        <v>1</v>
      </c>
    </row>
    <row r="121" spans="2:75" ht="15.75" customHeight="1">
      <c r="B121" s="1023" t="s">
        <v>21</v>
      </c>
      <c r="C121" s="196" t="str">
        <f>C115</f>
        <v>Famille à coller.N.Nom de votre recette.Recette mère ►.S.Saisissez le nom de la recette mère</v>
      </c>
      <c r="D121" s="196">
        <f>D115</f>
        <v>6</v>
      </c>
      <c r="E121" s="196" t="str">
        <f>E115</f>
        <v>couverts</v>
      </c>
      <c r="F121" s="1323"/>
      <c r="G121" s="988"/>
      <c r="H121" s="988"/>
      <c r="I121" s="988"/>
      <c r="J121" s="988"/>
      <c r="K121" s="988"/>
      <c r="L121" s="1325"/>
      <c r="N121" s="141"/>
      <c r="O121" s="141"/>
      <c r="P121" s="141"/>
      <c r="Q121" s="141"/>
      <c r="R121" s="1358" t="s">
        <v>1118</v>
      </c>
      <c r="S121" s="1363" t="s">
        <v>1127</v>
      </c>
      <c r="T121" s="147"/>
      <c r="U121" s="147"/>
      <c r="V121" s="988"/>
      <c r="W121" s="988"/>
      <c r="X121" s="1325"/>
      <c r="Z121" s="331"/>
      <c r="AA121" s="331"/>
      <c r="AB121" s="331"/>
      <c r="AC121" s="331"/>
      <c r="AD121" s="1400"/>
      <c r="AE121" s="1404" t="s">
        <v>1161</v>
      </c>
      <c r="AF121" s="988"/>
      <c r="AG121" s="988"/>
      <c r="AH121" s="988"/>
      <c r="AI121" s="1358" t="s">
        <v>1118</v>
      </c>
      <c r="AJ121" s="1405" t="s">
        <v>1162</v>
      </c>
      <c r="AL121" s="331"/>
      <c r="AM121" s="331"/>
      <c r="AN121" s="331"/>
      <c r="AO121" s="331"/>
      <c r="AP121" s="1369" t="s">
        <v>864</v>
      </c>
      <c r="AQ121" s="1321"/>
      <c r="AR121" s="1321"/>
      <c r="AS121" s="1321"/>
      <c r="AT121" s="1321"/>
      <c r="AU121" s="1321"/>
      <c r="AV121" s="1370" t="s">
        <v>1141</v>
      </c>
      <c r="AX121" s="141"/>
      <c r="AY121" s="141"/>
      <c r="AZ121" s="141"/>
      <c r="BA121" s="141"/>
      <c r="BB121" s="1358" t="s">
        <v>1118</v>
      </c>
      <c r="BC121" s="1359" t="s">
        <v>1121</v>
      </c>
      <c r="BD121" s="1361"/>
      <c r="BE121" s="1362"/>
      <c r="BF121" s="988"/>
      <c r="BG121" s="988"/>
      <c r="BH121" s="1325"/>
      <c r="BJ121" s="103" t="s">
        <v>36</v>
      </c>
      <c r="BK121" s="102"/>
      <c r="BL121" s="102"/>
      <c r="BM121" s="101"/>
      <c r="BN121" s="1"/>
      <c r="BO121" s="221"/>
      <c r="BP121" s="1080" t="s">
        <v>950</v>
      </c>
      <c r="BQ121" s="1080"/>
      <c r="BR121" s="1080"/>
      <c r="BS121" s="1122"/>
      <c r="BT121" s="141"/>
      <c r="BU121" s="609"/>
      <c r="BW121" s="5">
        <v>1</v>
      </c>
    </row>
    <row r="122" spans="2:75" ht="17.25" customHeight="1">
      <c r="B122" s="1023" t="s">
        <v>21</v>
      </c>
      <c r="C122" s="196" t="str">
        <f>C115</f>
        <v>Famille à coller.N.Nom de votre recette.Recette mère ►.S.Saisissez le nom de la recette mère</v>
      </c>
      <c r="D122" s="196">
        <f>D115</f>
        <v>6</v>
      </c>
      <c r="E122" s="196" t="str">
        <f>E115</f>
        <v>couverts</v>
      </c>
      <c r="F122" s="1323"/>
      <c r="G122" s="988"/>
      <c r="H122" s="988"/>
      <c r="I122" s="988"/>
      <c r="J122" s="988"/>
      <c r="K122" s="988"/>
      <c r="L122" s="1325"/>
      <c r="N122" s="141"/>
      <c r="O122" s="141"/>
      <c r="P122" s="141"/>
      <c r="Q122" s="141"/>
      <c r="R122" s="1358" t="s">
        <v>1118</v>
      </c>
      <c r="S122" s="1363" t="s">
        <v>1135</v>
      </c>
      <c r="T122" s="147"/>
      <c r="U122" s="147"/>
      <c r="V122" s="988"/>
      <c r="W122" s="988"/>
      <c r="X122" s="1325"/>
      <c r="Z122" s="331"/>
      <c r="AA122" s="331"/>
      <c r="AB122" s="331"/>
      <c r="AC122" s="331"/>
      <c r="AD122" s="1400">
        <v>3</v>
      </c>
      <c r="AE122" s="1404" t="s">
        <v>1163</v>
      </c>
      <c r="AF122" s="988"/>
      <c r="AG122" s="988"/>
      <c r="AH122" s="988"/>
      <c r="AI122" s="1406"/>
      <c r="AJ122" s="1405" t="s">
        <v>1164</v>
      </c>
      <c r="AL122" s="331"/>
      <c r="AM122" s="331"/>
      <c r="AN122" s="331"/>
      <c r="AO122" s="331"/>
      <c r="AP122" s="1371"/>
      <c r="AQ122" s="1371"/>
      <c r="AR122" s="1371"/>
      <c r="AS122" s="1371"/>
      <c r="AT122" s="1371"/>
      <c r="AU122" s="1371"/>
      <c r="AV122" s="1371"/>
      <c r="AX122" s="141"/>
      <c r="AY122" s="141"/>
      <c r="AZ122" s="141"/>
      <c r="BA122" s="141"/>
      <c r="BB122" s="1358" t="s">
        <v>1118</v>
      </c>
      <c r="BC122" s="1359" t="s">
        <v>1122</v>
      </c>
      <c r="BD122" s="1361"/>
      <c r="BE122" s="988"/>
      <c r="BF122" s="988"/>
      <c r="BG122" s="988"/>
      <c r="BH122" s="1325"/>
      <c r="BJ122" s="103" t="s">
        <v>34</v>
      </c>
      <c r="BK122" s="102"/>
      <c r="BL122" s="102"/>
      <c r="BM122" s="101"/>
      <c r="BN122" s="1"/>
      <c r="BO122" s="1083"/>
      <c r="BQ122" s="147"/>
      <c r="BR122" s="147"/>
      <c r="BS122" s="141"/>
      <c r="BT122" s="141"/>
      <c r="BU122" s="609"/>
      <c r="BW122" s="5">
        <v>1</v>
      </c>
    </row>
    <row r="123" spans="2:75" ht="15.75">
      <c r="B123" s="1023" t="s">
        <v>21</v>
      </c>
      <c r="C123" s="196" t="str">
        <f>C115</f>
        <v>Famille à coller.N.Nom de votre recette.Recette mère ►.S.Saisissez le nom de la recette mère</v>
      </c>
      <c r="D123" s="196">
        <f>D115</f>
        <v>6</v>
      </c>
      <c r="E123" s="196" t="str">
        <f>E115</f>
        <v>couverts</v>
      </c>
      <c r="F123" s="1323"/>
      <c r="G123" s="988"/>
      <c r="H123" s="988"/>
      <c r="I123" s="988"/>
      <c r="J123" s="988"/>
      <c r="K123" s="988"/>
      <c r="L123" s="1325"/>
      <c r="N123" s="141"/>
      <c r="O123" s="141"/>
      <c r="P123" s="141"/>
      <c r="Q123" s="141"/>
      <c r="R123" s="1358" t="s">
        <v>1118</v>
      </c>
      <c r="S123" s="1363" t="s">
        <v>1136</v>
      </c>
      <c r="T123" s="147"/>
      <c r="U123" s="147"/>
      <c r="V123" s="988"/>
      <c r="W123" s="988"/>
      <c r="X123" s="1325"/>
      <c r="Z123" s="331"/>
      <c r="AA123" s="331"/>
      <c r="AB123" s="331"/>
      <c r="AC123" s="331"/>
      <c r="AD123" s="1400"/>
      <c r="AE123" s="1404" t="s">
        <v>1165</v>
      </c>
      <c r="AF123" s="988"/>
      <c r="AG123" s="988"/>
      <c r="AH123" s="988"/>
      <c r="AI123" s="1407"/>
      <c r="AJ123" s="1408" t="s">
        <v>1166</v>
      </c>
      <c r="AL123" s="331"/>
      <c r="AM123" s="331"/>
      <c r="AN123" s="331"/>
      <c r="AO123" s="331"/>
      <c r="AP123" s="1371"/>
      <c r="AQ123" s="1371"/>
      <c r="AR123" s="1371"/>
      <c r="AS123" s="1371"/>
      <c r="AT123" s="1371"/>
      <c r="AU123" s="1371"/>
      <c r="AV123" s="1371"/>
      <c r="AX123" s="141"/>
      <c r="AY123" s="141"/>
      <c r="AZ123" s="141"/>
      <c r="BA123" s="141"/>
      <c r="BB123" s="1358" t="s">
        <v>1118</v>
      </c>
      <c r="BC123" s="1359" t="s">
        <v>1123</v>
      </c>
      <c r="BD123" s="1361"/>
      <c r="BE123" s="988"/>
      <c r="BF123" s="988"/>
      <c r="BG123" s="988"/>
      <c r="BH123" s="1325"/>
      <c r="BJ123" s="103" t="s">
        <v>30</v>
      </c>
      <c r="BK123" s="113"/>
      <c r="BL123" s="113"/>
      <c r="BM123" s="112"/>
      <c r="BN123" s="1"/>
      <c r="BO123" s="1083"/>
      <c r="BP123" s="147" t="s">
        <v>924</v>
      </c>
      <c r="BQ123" s="141"/>
      <c r="BR123" s="141"/>
      <c r="BS123" s="141"/>
      <c r="BT123" s="141"/>
      <c r="BU123" s="609"/>
      <c r="BW123" s="5">
        <v>1</v>
      </c>
    </row>
    <row r="124" spans="2:75" ht="18.75">
      <c r="B124" s="1023" t="s">
        <v>21</v>
      </c>
      <c r="C124" s="196" t="str">
        <f>C115</f>
        <v>Famille à coller.N.Nom de votre recette.Recette mère ►.S.Saisissez le nom de la recette mère</v>
      </c>
      <c r="D124" s="196">
        <f>D115</f>
        <v>6</v>
      </c>
      <c r="E124" s="196" t="str">
        <f>E115</f>
        <v>couverts</v>
      </c>
      <c r="F124" s="1338"/>
      <c r="G124" s="997"/>
      <c r="H124" s="997"/>
      <c r="I124" s="997"/>
      <c r="J124" s="997"/>
      <c r="K124" s="997"/>
      <c r="L124" s="1339" t="s">
        <v>1112</v>
      </c>
      <c r="N124" s="141"/>
      <c r="O124" s="141"/>
      <c r="P124" s="141"/>
      <c r="Q124" s="141"/>
      <c r="R124" s="1358" t="s">
        <v>1118</v>
      </c>
      <c r="S124" s="1363" t="s">
        <v>1137</v>
      </c>
      <c r="T124" s="147"/>
      <c r="U124" s="147"/>
      <c r="V124" s="988"/>
      <c r="W124" s="988"/>
      <c r="X124" s="1325"/>
      <c r="Z124" s="331"/>
      <c r="AA124" s="331"/>
      <c r="AB124" s="331"/>
      <c r="AC124" s="331"/>
      <c r="AD124" s="1400">
        <v>1</v>
      </c>
      <c r="AE124" s="1404" t="s">
        <v>1167</v>
      </c>
      <c r="AF124" s="988"/>
      <c r="AG124" s="988"/>
      <c r="AH124" s="988"/>
      <c r="AI124" s="1406"/>
      <c r="AJ124" s="1405" t="s">
        <v>1162</v>
      </c>
      <c r="AL124" s="331"/>
      <c r="AM124" s="331"/>
      <c r="AN124" s="331"/>
      <c r="AO124" s="331"/>
      <c r="AP124" s="1354" t="s">
        <v>252</v>
      </c>
      <c r="AQ124" s="1355"/>
      <c r="AR124" s="1355"/>
      <c r="AS124" s="1355"/>
      <c r="AT124" s="1355"/>
      <c r="AU124" s="1356"/>
      <c r="AV124" s="1357" t="s">
        <v>1144</v>
      </c>
      <c r="AX124" s="141"/>
      <c r="AY124" s="141"/>
      <c r="AZ124" s="141"/>
      <c r="BA124" s="141"/>
      <c r="BB124" s="1358" t="s">
        <v>1118</v>
      </c>
      <c r="BC124" s="1359" t="s">
        <v>1124</v>
      </c>
      <c r="BD124" s="1361"/>
      <c r="BE124" s="988"/>
      <c r="BF124" s="988"/>
      <c r="BG124" s="988"/>
      <c r="BH124" s="1325"/>
      <c r="BJ124" s="118"/>
      <c r="BK124" s="113"/>
      <c r="BL124" s="113"/>
      <c r="BM124" s="112"/>
      <c r="BN124" s="1"/>
      <c r="BO124" s="221"/>
      <c r="BP124" s="1186" t="s">
        <v>955</v>
      </c>
      <c r="BQ124" s="141"/>
      <c r="BR124" s="141"/>
      <c r="BS124" s="141"/>
      <c r="BT124" s="141"/>
      <c r="BU124" s="609"/>
      <c r="BW124" s="5">
        <v>1</v>
      </c>
    </row>
    <row r="125" spans="2:75" ht="15" customHeight="1">
      <c r="B125" s="1037" t="s">
        <v>21</v>
      </c>
      <c r="C125" s="196" t="str">
        <f>C115</f>
        <v>Famille à coller.N.Nom de votre recette.Recette mère ►.S.Saisissez le nom de la recette mère</v>
      </c>
      <c r="D125" s="196">
        <f>D115</f>
        <v>6</v>
      </c>
      <c r="E125" s="196" t="str">
        <f>E115</f>
        <v>couverts</v>
      </c>
      <c r="F125" s="1002"/>
      <c r="G125" s="1002"/>
      <c r="H125" s="1002" t="s">
        <v>873</v>
      </c>
      <c r="I125" s="1003"/>
      <c r="J125" s="1329"/>
      <c r="K125" s="1329"/>
      <c r="L125" s="1330"/>
      <c r="N125" s="141"/>
      <c r="O125" s="141"/>
      <c r="P125" s="141"/>
      <c r="Q125" s="141"/>
      <c r="R125" s="1358" t="s">
        <v>1118</v>
      </c>
      <c r="S125" s="1363" t="s">
        <v>1138</v>
      </c>
      <c r="T125" s="147"/>
      <c r="U125" s="147"/>
      <c r="V125" s="988"/>
      <c r="W125" s="988"/>
      <c r="X125" s="1325"/>
      <c r="Z125" s="331"/>
      <c r="AA125" s="331"/>
      <c r="AB125" s="331"/>
      <c r="AC125" s="331"/>
      <c r="AD125" s="1400"/>
      <c r="AE125" s="1404" t="s">
        <v>1168</v>
      </c>
      <c r="AF125" s="988"/>
      <c r="AG125" s="988"/>
      <c r="AH125" s="988"/>
      <c r="AI125" s="1406"/>
      <c r="AJ125" s="1405" t="s">
        <v>1169</v>
      </c>
      <c r="AL125" s="331"/>
      <c r="AM125" s="331"/>
      <c r="AN125" s="331"/>
      <c r="AO125" s="331"/>
      <c r="AP125" s="1374" t="s">
        <v>1145</v>
      </c>
      <c r="AQ125" s="147"/>
      <c r="AR125" s="1375"/>
      <c r="AS125" s="102"/>
      <c r="AT125" s="102"/>
      <c r="AU125" s="102"/>
      <c r="AV125" s="1360"/>
      <c r="AX125" s="141"/>
      <c r="AY125" s="141"/>
      <c r="AZ125" s="141"/>
      <c r="BA125" s="141"/>
      <c r="BB125" s="1358" t="s">
        <v>1118</v>
      </c>
      <c r="BC125" s="1359" t="s">
        <v>1125</v>
      </c>
      <c r="BD125" s="1361"/>
      <c r="BE125" s="988"/>
      <c r="BF125" s="988"/>
      <c r="BG125" s="988"/>
      <c r="BH125" s="1325"/>
      <c r="BJ125" s="116" t="s">
        <v>26</v>
      </c>
      <c r="BK125" s="97" t="s">
        <v>25</v>
      </c>
      <c r="BL125" s="97"/>
      <c r="BM125" s="112"/>
      <c r="BN125" s="1"/>
      <c r="BO125" s="221"/>
      <c r="BP125" s="1186" t="s">
        <v>956</v>
      </c>
      <c r="BQ125" s="141"/>
      <c r="BR125" s="141"/>
      <c r="BS125" s="141"/>
      <c r="BT125" s="141"/>
      <c r="BU125" s="609"/>
      <c r="BW125" s="5">
        <v>1</v>
      </c>
    </row>
    <row r="126" spans="2:75" ht="15.75" customHeight="1" thickBot="1">
      <c r="B126" s="1069" t="s">
        <v>21</v>
      </c>
      <c r="C126" s="1331" t="str">
        <f>C115</f>
        <v>Famille à coller.N.Nom de votre recette.Recette mère ►.S.Saisissez le nom de la recette mère</v>
      </c>
      <c r="D126" s="1331">
        <f>D115</f>
        <v>6</v>
      </c>
      <c r="E126" s="1331" t="str">
        <f>E115</f>
        <v>couverts</v>
      </c>
      <c r="F126" s="1332" t="s">
        <v>86</v>
      </c>
      <c r="G126" s="1006"/>
      <c r="H126" s="1007"/>
      <c r="I126" s="1008"/>
      <c r="J126" s="1007"/>
      <c r="K126" s="1007"/>
      <c r="L126" s="1333"/>
      <c r="N126" s="141"/>
      <c r="O126" s="141"/>
      <c r="P126" s="141"/>
      <c r="Q126" s="141"/>
      <c r="R126" s="1358" t="s">
        <v>1118</v>
      </c>
      <c r="S126" s="1363" t="s">
        <v>1139</v>
      </c>
      <c r="T126" s="147"/>
      <c r="U126" s="147"/>
      <c r="V126" s="988"/>
      <c r="W126" s="988"/>
      <c r="X126" s="1325"/>
      <c r="Z126" s="331"/>
      <c r="AA126" s="331"/>
      <c r="AB126" s="331"/>
      <c r="AC126" s="331"/>
      <c r="AD126" s="1400"/>
      <c r="AE126" s="1404" t="s">
        <v>1170</v>
      </c>
      <c r="AF126" s="988"/>
      <c r="AG126" s="988"/>
      <c r="AH126" s="988"/>
      <c r="AI126" s="5423" t="s">
        <v>1171</v>
      </c>
      <c r="AJ126" s="1405" t="s">
        <v>1164</v>
      </c>
      <c r="AL126" s="331"/>
      <c r="AM126" s="331"/>
      <c r="AN126" s="331"/>
      <c r="AO126" s="331"/>
      <c r="AP126" s="7683" t="s">
        <v>1146</v>
      </c>
      <c r="AQ126" s="7085"/>
      <c r="AR126" s="7085"/>
      <c r="AS126" s="7085"/>
      <c r="AT126" s="7085"/>
      <c r="AU126" s="7085"/>
      <c r="AV126" s="7086"/>
      <c r="AX126" s="141"/>
      <c r="AY126" s="141"/>
      <c r="AZ126" s="141"/>
      <c r="BA126" s="141"/>
      <c r="BB126" s="1358" t="s">
        <v>1118</v>
      </c>
      <c r="BC126" s="1363" t="s">
        <v>1126</v>
      </c>
      <c r="BD126" s="147"/>
      <c r="BE126" s="988"/>
      <c r="BF126" s="988"/>
      <c r="BG126" s="988"/>
      <c r="BH126" s="1325"/>
      <c r="BJ126" s="98"/>
      <c r="BK126" s="97" t="s">
        <v>24</v>
      </c>
      <c r="BL126" s="113"/>
      <c r="BM126" s="112"/>
      <c r="BN126" s="1"/>
      <c r="BO126" s="1160"/>
      <c r="BP126" s="141"/>
      <c r="BQ126" s="141"/>
      <c r="BR126" s="141"/>
      <c r="BS126" s="141"/>
      <c r="BT126" s="141"/>
      <c r="BU126" s="609"/>
      <c r="BW126" s="5">
        <v>1</v>
      </c>
    </row>
    <row r="127" spans="2:75" ht="16.5" customHeight="1" thickBot="1">
      <c r="B127" s="1334" t="s">
        <v>21</v>
      </c>
      <c r="C127" s="1335"/>
      <c r="D127" s="1335"/>
      <c r="E127" s="1335"/>
      <c r="F127" s="1336" t="s">
        <v>1110</v>
      </c>
      <c r="G127" s="1336"/>
      <c r="H127" s="1336"/>
      <c r="I127" s="1336"/>
      <c r="J127" s="1336"/>
      <c r="K127" s="1336"/>
      <c r="L127" s="348"/>
      <c r="N127" s="141"/>
      <c r="O127" s="141"/>
      <c r="P127" s="141"/>
      <c r="Q127" s="141"/>
      <c r="R127" s="1358" t="s">
        <v>1118</v>
      </c>
      <c r="S127" s="1363" t="s">
        <v>1140</v>
      </c>
      <c r="T127" s="147"/>
      <c r="U127" s="147"/>
      <c r="V127" s="988"/>
      <c r="W127" s="988"/>
      <c r="X127" s="1325"/>
      <c r="Z127" s="331"/>
      <c r="AA127" s="331"/>
      <c r="AB127" s="331"/>
      <c r="AC127" s="331"/>
      <c r="AD127" s="1400"/>
      <c r="AE127" s="1404" t="s">
        <v>1172</v>
      </c>
      <c r="AF127" s="988"/>
      <c r="AG127" s="988"/>
      <c r="AH127" s="988"/>
      <c r="AI127" s="1407"/>
      <c r="AJ127" s="1409" t="s">
        <v>1173</v>
      </c>
      <c r="AL127" s="331"/>
      <c r="AM127" s="331"/>
      <c r="AN127" s="331"/>
      <c r="AO127" s="331"/>
      <c r="AP127" s="7683"/>
      <c r="AQ127" s="7085"/>
      <c r="AR127" s="7085"/>
      <c r="AS127" s="7085"/>
      <c r="AT127" s="7085"/>
      <c r="AU127" s="7085"/>
      <c r="AV127" s="7086"/>
      <c r="AX127" s="141"/>
      <c r="AY127" s="141"/>
      <c r="AZ127" s="141"/>
      <c r="BA127" s="141"/>
      <c r="BB127" s="1358" t="s">
        <v>1118</v>
      </c>
      <c r="BC127" s="1363" t="s">
        <v>1127</v>
      </c>
      <c r="BD127" s="147"/>
      <c r="BE127" s="988"/>
      <c r="BF127" s="988"/>
      <c r="BG127" s="988"/>
      <c r="BH127" s="1325"/>
      <c r="BJ127" s="98"/>
      <c r="BK127" s="113"/>
      <c r="BL127" s="113"/>
      <c r="BM127" s="112"/>
      <c r="BN127" s="1"/>
      <c r="BO127" s="1160"/>
      <c r="BP127" s="141"/>
      <c r="BQ127" s="141"/>
      <c r="BR127" s="141"/>
      <c r="BS127" s="141"/>
      <c r="BT127" s="141"/>
      <c r="BU127" s="609"/>
      <c r="BW127" s="5">
        <v>1</v>
      </c>
    </row>
    <row r="128" spans="2:75" ht="16.5" thickBot="1">
      <c r="B128" s="5465" t="s">
        <v>21</v>
      </c>
      <c r="C128" s="368" t="str">
        <f>C134</f>
        <v>Famille à coller.N.Nom de votre recette.Recette mère ►.S.Saisissez le nom de la recette mère</v>
      </c>
      <c r="D128" s="367">
        <f>D134</f>
        <v>6</v>
      </c>
      <c r="E128" s="367" t="str">
        <f>E134</f>
        <v>couverts</v>
      </c>
      <c r="F128" s="366" t="s">
        <v>1</v>
      </c>
      <c r="G128" s="365" t="s">
        <v>251</v>
      </c>
      <c r="H128" s="7648" t="s">
        <v>1089</v>
      </c>
      <c r="I128" s="7648"/>
      <c r="J128" s="7601" t="s">
        <v>1090</v>
      </c>
      <c r="K128" s="7601"/>
      <c r="L128" s="7602"/>
      <c r="N128" s="141"/>
      <c r="O128" s="141"/>
      <c r="P128" s="141"/>
      <c r="Q128" s="141"/>
      <c r="R128" s="1369" t="s">
        <v>864</v>
      </c>
      <c r="S128" s="1321"/>
      <c r="T128" s="1321"/>
      <c r="U128" s="1321"/>
      <c r="V128" s="1321"/>
      <c r="W128" s="1321"/>
      <c r="X128" s="1370"/>
      <c r="Z128" s="331"/>
      <c r="AA128" s="331"/>
      <c r="AB128" s="331"/>
      <c r="AC128" s="331"/>
      <c r="AD128" s="1410"/>
      <c r="AE128" s="1404" t="s">
        <v>1174</v>
      </c>
      <c r="AF128" s="988"/>
      <c r="AG128" s="988"/>
      <c r="AH128" s="988"/>
      <c r="AI128" s="1411" t="s">
        <v>1175</v>
      </c>
      <c r="AJ128" s="1405" t="s">
        <v>1176</v>
      </c>
      <c r="AL128" s="331"/>
      <c r="AM128" s="331"/>
      <c r="AN128" s="331"/>
      <c r="AO128" s="331"/>
      <c r="AP128" s="7683"/>
      <c r="AQ128" s="7085"/>
      <c r="AR128" s="7085"/>
      <c r="AS128" s="7085"/>
      <c r="AT128" s="7085"/>
      <c r="AU128" s="7085"/>
      <c r="AV128" s="7086"/>
      <c r="AX128" s="141"/>
      <c r="AY128" s="141"/>
      <c r="AZ128" s="141"/>
      <c r="BA128" s="141"/>
      <c r="BB128" s="1358" t="s">
        <v>1118</v>
      </c>
      <c r="BC128" s="1363" t="s">
        <v>1128</v>
      </c>
      <c r="BD128" s="147"/>
      <c r="BE128" s="988"/>
      <c r="BF128" s="988"/>
      <c r="BG128" s="988"/>
      <c r="BH128" s="1325"/>
      <c r="BJ128" s="111" t="s">
        <v>23</v>
      </c>
      <c r="BK128" s="110"/>
      <c r="BL128" s="113"/>
      <c r="BM128" s="112"/>
      <c r="BN128" s="1"/>
      <c r="BO128" s="1160"/>
      <c r="BP128" s="141"/>
      <c r="BQ128" s="141"/>
      <c r="BR128" s="141"/>
      <c r="BS128" s="141"/>
      <c r="BT128" s="141"/>
      <c r="BU128" s="609"/>
      <c r="BW128" s="5">
        <v>1</v>
      </c>
    </row>
    <row r="129" spans="2:75" ht="15.75" customHeight="1" thickTop="1">
      <c r="B129" s="214" t="s">
        <v>21</v>
      </c>
      <c r="C129" s="363" t="str">
        <f>C134</f>
        <v>Famille à coller.N.Nom de votre recette.Recette mère ►.S.Saisissez le nom de la recette mère</v>
      </c>
      <c r="D129" s="362"/>
      <c r="E129" s="362"/>
      <c r="F129" s="361" t="s">
        <v>245</v>
      </c>
      <c r="G129" s="360" t="s">
        <v>244</v>
      </c>
      <c r="H129" s="7649"/>
      <c r="I129" s="7649"/>
      <c r="J129" s="7603"/>
      <c r="K129" s="7603"/>
      <c r="L129" s="7604"/>
      <c r="N129" s="141"/>
      <c r="O129" s="141"/>
      <c r="P129" s="141"/>
      <c r="Q129" s="141"/>
      <c r="R129" s="1002"/>
      <c r="S129" s="1002"/>
      <c r="T129" s="1002" t="s">
        <v>873</v>
      </c>
      <c r="U129" s="1003"/>
      <c r="V129" s="1329"/>
      <c r="W129" s="1329"/>
      <c r="X129" s="1330"/>
      <c r="Z129" s="331"/>
      <c r="AA129" s="331"/>
      <c r="AB129" s="331"/>
      <c r="AC129" s="331"/>
      <c r="AD129" s="1412" t="str">
        <f>SUM(AD120:AD128) &amp; " / " &amp; (COUNTA(AD120:AD128) * 3)</f>
        <v>4 / 6</v>
      </c>
      <c r="AE129" s="988" t="s">
        <v>1177</v>
      </c>
      <c r="AF129" s="988"/>
      <c r="AG129" s="988"/>
      <c r="AH129" s="988"/>
      <c r="AI129" s="1406"/>
      <c r="AJ129" s="1405" t="s">
        <v>1164</v>
      </c>
      <c r="AL129" s="331"/>
      <c r="AM129" s="331"/>
      <c r="AN129" s="331"/>
      <c r="AO129" s="331"/>
      <c r="AP129" s="1376" t="s">
        <v>1147</v>
      </c>
      <c r="AQ129" s="988"/>
      <c r="AR129" s="988"/>
      <c r="AS129" s="988"/>
      <c r="AT129" s="988"/>
      <c r="AU129" s="988"/>
      <c r="AV129" s="1325"/>
      <c r="AX129" s="141"/>
      <c r="AY129" s="141"/>
      <c r="AZ129" s="141"/>
      <c r="BA129" s="141"/>
      <c r="BB129" s="1358" t="s">
        <v>1118</v>
      </c>
      <c r="BC129" s="1363" t="s">
        <v>1129</v>
      </c>
      <c r="BD129" s="1361"/>
      <c r="BE129" s="988"/>
      <c r="BF129" s="988"/>
      <c r="BG129" s="988"/>
      <c r="BH129" s="1325"/>
      <c r="BJ129" s="115" t="s">
        <v>22</v>
      </c>
      <c r="BK129" s="114"/>
      <c r="BL129" s="113"/>
      <c r="BM129" s="112"/>
      <c r="BN129" s="1"/>
      <c r="BO129" s="1160"/>
      <c r="BP129" s="141"/>
      <c r="BQ129" s="141"/>
      <c r="BR129" s="141"/>
      <c r="BS129" s="141"/>
      <c r="BT129" s="141"/>
      <c r="BU129" s="609"/>
      <c r="BW129" s="5">
        <v>1</v>
      </c>
    </row>
    <row r="130" spans="2:75" ht="15" customHeight="1" thickBot="1">
      <c r="B130" s="214" t="s">
        <v>21</v>
      </c>
      <c r="C130" s="354" t="str">
        <f>C134</f>
        <v>Famille à coller.N.Nom de votre recette.Recette mère ►.S.Saisissez le nom de la recette mère</v>
      </c>
      <c r="D130" s="353"/>
      <c r="E130" s="352"/>
      <c r="F130" s="351"/>
      <c r="G130" s="350" t="s">
        <v>233</v>
      </c>
      <c r="H130" s="349"/>
      <c r="I130" s="348" t="s">
        <v>232</v>
      </c>
      <c r="J130" s="347" t="s">
        <v>1092</v>
      </c>
      <c r="K130" s="141"/>
      <c r="L130" s="346"/>
      <c r="N130" s="141"/>
      <c r="O130" s="141"/>
      <c r="P130" s="141"/>
      <c r="Q130" s="141"/>
      <c r="R130" s="1332" t="s">
        <v>86</v>
      </c>
      <c r="S130" s="1006"/>
      <c r="T130" s="1007"/>
      <c r="U130" s="1008"/>
      <c r="V130" s="1007"/>
      <c r="W130" s="1007"/>
      <c r="X130" s="1333"/>
      <c r="Z130" s="331"/>
      <c r="AA130" s="331"/>
      <c r="AB130" s="331"/>
      <c r="AC130" s="331"/>
      <c r="AD130" s="1413" t="str">
        <f>SUM(AD120:AD128) &amp;"/ "&amp;AD131</f>
        <v>4/ 27</v>
      </c>
      <c r="AE130" s="1414" t="s">
        <v>1178</v>
      </c>
      <c r="AF130" s="988"/>
      <c r="AG130" s="988"/>
      <c r="AH130" s="988"/>
      <c r="AI130" s="1415"/>
      <c r="AJ130" s="1409" t="s">
        <v>1179</v>
      </c>
      <c r="AL130" s="331"/>
      <c r="AM130" s="331"/>
      <c r="AN130" s="331"/>
      <c r="AO130" s="331"/>
      <c r="AP130" s="1319" t="s">
        <v>1148</v>
      </c>
      <c r="AQ130" s="1320"/>
      <c r="AR130" s="1320"/>
      <c r="AS130" s="1320"/>
      <c r="AT130" s="1320"/>
      <c r="AU130" s="1320"/>
      <c r="AV130" s="1377"/>
      <c r="AX130" s="141"/>
      <c r="AY130" s="141"/>
      <c r="AZ130" s="141"/>
      <c r="BA130" s="141"/>
      <c r="BB130" s="1358" t="s">
        <v>1118</v>
      </c>
      <c r="BC130" s="1363" t="s">
        <v>1130</v>
      </c>
      <c r="BD130" s="147"/>
      <c r="BE130" s="988"/>
      <c r="BF130" s="988"/>
      <c r="BG130" s="988"/>
      <c r="BH130" s="1325"/>
      <c r="BJ130" s="5467" t="s">
        <v>21</v>
      </c>
      <c r="BK130" s="114"/>
      <c r="BL130" s="113"/>
      <c r="BM130" s="112"/>
      <c r="BN130" s="1"/>
      <c r="BO130" s="1160"/>
      <c r="BP130" s="141"/>
      <c r="BQ130" s="141"/>
      <c r="BR130" s="141"/>
      <c r="BS130" s="141"/>
      <c r="BT130" s="141"/>
      <c r="BU130" s="609"/>
      <c r="BW130" s="5">
        <v>1</v>
      </c>
    </row>
    <row r="131" spans="2:75" ht="15" customHeight="1" thickBot="1">
      <c r="B131" s="214" t="s">
        <v>21</v>
      </c>
      <c r="C131" s="40" t="str">
        <f>C134</f>
        <v>Famille à coller.N.Nom de votre recette.Recette mère ►.S.Saisissez le nom de la recette mère</v>
      </c>
      <c r="D131" s="40"/>
      <c r="E131" s="40"/>
      <c r="F131" s="333" t="s">
        <v>228</v>
      </c>
      <c r="G131" s="341"/>
      <c r="H131" s="341"/>
      <c r="I131" s="340" t="s">
        <v>227</v>
      </c>
      <c r="J131" s="6901" t="str">
        <f>F134</f>
        <v>Famille à coller.N.Nom de votre recette.Recette mère ►.S.Saisissez le nom de la recette mère</v>
      </c>
      <c r="K131" s="6901"/>
      <c r="L131" s="7612"/>
      <c r="N131" s="141"/>
      <c r="O131" s="141"/>
      <c r="P131" s="141"/>
      <c r="Q131" s="141"/>
      <c r="R131" s="141"/>
      <c r="S131" s="141"/>
      <c r="T131" s="141"/>
      <c r="U131" s="141"/>
      <c r="V131" s="141"/>
      <c r="W131" s="141"/>
      <c r="X131" s="141"/>
      <c r="Z131" s="331"/>
      <c r="AA131" s="331"/>
      <c r="AB131" s="331"/>
      <c r="AC131" s="331"/>
      <c r="AD131" s="1416">
        <v>27</v>
      </c>
      <c r="AE131" s="1417" t="s">
        <v>1180</v>
      </c>
      <c r="AF131" s="988"/>
      <c r="AG131" s="988"/>
      <c r="AH131" s="988"/>
      <c r="AI131" s="1406"/>
      <c r="AJ131" s="1405" t="s">
        <v>1181</v>
      </c>
      <c r="AL131" s="331"/>
      <c r="AM131" s="331"/>
      <c r="AN131" s="331"/>
      <c r="AO131" s="331"/>
      <c r="AP131" s="7684" t="s">
        <v>1149</v>
      </c>
      <c r="AQ131" s="7088"/>
      <c r="AR131" s="7088"/>
      <c r="AS131" s="7088"/>
      <c r="AT131" s="7088"/>
      <c r="AU131" s="7088"/>
      <c r="AV131" s="7089"/>
      <c r="AX131" s="141"/>
      <c r="AY131" s="141"/>
      <c r="AZ131" s="141"/>
      <c r="BA131" s="141"/>
      <c r="BB131" s="1358" t="s">
        <v>1118</v>
      </c>
      <c r="BC131" s="1363" t="s">
        <v>1131</v>
      </c>
      <c r="BD131" s="147"/>
      <c r="BE131" s="988"/>
      <c r="BF131" s="988"/>
      <c r="BG131" s="988"/>
      <c r="BH131" s="1325"/>
      <c r="BJ131" s="111" t="s">
        <v>20</v>
      </c>
      <c r="BK131" s="110"/>
      <c r="BL131" s="113"/>
      <c r="BM131" s="112"/>
      <c r="BN131" s="1"/>
      <c r="BO131" s="1160"/>
      <c r="BP131" s="141"/>
      <c r="BQ131" s="141"/>
      <c r="BR131" s="141"/>
      <c r="BS131" s="141"/>
      <c r="BT131" s="141"/>
      <c r="BU131" s="609"/>
      <c r="BW131" s="5">
        <v>1</v>
      </c>
    </row>
    <row r="132" spans="2:75" ht="15" customHeight="1" thickTop="1">
      <c r="B132" s="214" t="s">
        <v>21</v>
      </c>
      <c r="C132" s="40" t="str">
        <f>C134</f>
        <v>Famille à coller.N.Nom de votre recette.Recette mère ►.S.Saisissez le nom de la recette mère</v>
      </c>
      <c r="D132" s="40"/>
      <c r="E132" s="40"/>
      <c r="F132" s="5453">
        <v>6</v>
      </c>
      <c r="G132" s="5452" t="s">
        <v>73</v>
      </c>
      <c r="H132" s="333"/>
      <c r="I132" s="333"/>
      <c r="J132" s="6901"/>
      <c r="K132" s="6901"/>
      <c r="L132" s="7612"/>
      <c r="N132" s="141"/>
      <c r="O132" s="141"/>
      <c r="P132" s="141"/>
      <c r="Q132" s="141"/>
      <c r="R132" s="141"/>
      <c r="S132" s="141"/>
      <c r="T132" s="141"/>
      <c r="U132" s="141"/>
      <c r="V132" s="141"/>
      <c r="W132" s="141"/>
      <c r="X132" s="141"/>
      <c r="Z132" s="331"/>
      <c r="AA132" s="331"/>
      <c r="AB132" s="331"/>
      <c r="AC132" s="331"/>
      <c r="AD132" s="1418" t="s">
        <v>1182</v>
      </c>
      <c r="AE132" s="988"/>
      <c r="AF132" s="988"/>
      <c r="AG132" s="988"/>
      <c r="AH132" s="988"/>
      <c r="AI132" s="1406"/>
      <c r="AJ132" s="1419" t="s">
        <v>1183</v>
      </c>
      <c r="AL132" s="331"/>
      <c r="AM132" s="331"/>
      <c r="AN132" s="331"/>
      <c r="AO132" s="331"/>
      <c r="AP132" s="7684"/>
      <c r="AQ132" s="7088"/>
      <c r="AR132" s="7088"/>
      <c r="AS132" s="7088"/>
      <c r="AT132" s="7088"/>
      <c r="AU132" s="7088"/>
      <c r="AV132" s="7089"/>
      <c r="AX132" s="141"/>
      <c r="AY132" s="141"/>
      <c r="AZ132" s="141"/>
      <c r="BA132" s="141"/>
      <c r="BB132" s="1358" t="s">
        <v>1118</v>
      </c>
      <c r="BC132" s="1363" t="s">
        <v>1132</v>
      </c>
      <c r="BD132" s="147"/>
      <c r="BE132" s="988"/>
      <c r="BF132" s="988"/>
      <c r="BG132" s="988"/>
      <c r="BH132" s="1325"/>
      <c r="BJ132" s="111" t="s">
        <v>19</v>
      </c>
      <c r="BK132" s="110"/>
      <c r="BL132" s="113"/>
      <c r="BM132" s="112"/>
      <c r="BN132" s="1"/>
      <c r="BO132" s="1160"/>
      <c r="BP132" s="141"/>
      <c r="BQ132" s="141"/>
      <c r="BR132" s="141"/>
      <c r="BS132" s="141"/>
      <c r="BT132" s="141"/>
      <c r="BU132" s="609"/>
      <c r="BW132" s="5">
        <v>1</v>
      </c>
    </row>
    <row r="133" spans="2:75" ht="15" customHeight="1">
      <c r="B133" s="214" t="s">
        <v>26</v>
      </c>
      <c r="C133" s="40" t="str">
        <f>C134</f>
        <v>Famille à coller.N.Nom de votre recette.Recette mère ►.S.Saisissez le nom de la recette mère</v>
      </c>
      <c r="D133" s="40"/>
      <c r="E133" s="40"/>
      <c r="F133" s="327"/>
      <c r="G133" s="326"/>
      <c r="H133" s="326"/>
      <c r="I133" s="326"/>
      <c r="J133" s="326"/>
      <c r="K133" s="326"/>
      <c r="L133" s="1311"/>
      <c r="N133" s="141"/>
      <c r="O133" s="141"/>
      <c r="P133" s="141"/>
      <c r="Q133" s="141"/>
      <c r="R133" s="1354" t="s">
        <v>252</v>
      </c>
      <c r="S133" s="1355"/>
      <c r="T133" s="1355"/>
      <c r="U133" s="1355"/>
      <c r="V133" s="1355"/>
      <c r="W133" s="1356"/>
      <c r="X133" s="1357" t="s">
        <v>1144</v>
      </c>
      <c r="Z133" s="331"/>
      <c r="AA133" s="331"/>
      <c r="AB133" s="331"/>
      <c r="AC133" s="331"/>
      <c r="AD133" s="1420"/>
      <c r="AE133" s="1421"/>
      <c r="AF133" s="1421"/>
      <c r="AG133" s="1421"/>
      <c r="AH133" s="1421"/>
      <c r="AI133" s="1421"/>
      <c r="AJ133" s="1339"/>
      <c r="AL133" s="331"/>
      <c r="AM133" s="331"/>
      <c r="AN133" s="331"/>
      <c r="AO133" s="331"/>
      <c r="AP133" s="7684"/>
      <c r="AQ133" s="7088"/>
      <c r="AR133" s="7088"/>
      <c r="AS133" s="7088"/>
      <c r="AT133" s="7088"/>
      <c r="AU133" s="7088"/>
      <c r="AV133" s="7089"/>
      <c r="AX133" s="141"/>
      <c r="AY133" s="141"/>
      <c r="AZ133" s="141"/>
      <c r="BA133" s="141"/>
      <c r="BB133" s="1358" t="s">
        <v>1118</v>
      </c>
      <c r="BC133" s="1359" t="s">
        <v>1126</v>
      </c>
      <c r="BD133" s="1361"/>
      <c r="BE133" s="988"/>
      <c r="BF133" s="988"/>
      <c r="BG133" s="988"/>
      <c r="BH133" s="1325"/>
      <c r="BJ133" s="111" t="s">
        <v>18</v>
      </c>
      <c r="BK133" s="110"/>
      <c r="BL133" s="102"/>
      <c r="BM133" s="96"/>
      <c r="BN133" s="1"/>
      <c r="BO133" s="1079"/>
      <c r="BP133" s="1080"/>
      <c r="BQ133" s="1081"/>
      <c r="BR133" s="1080"/>
      <c r="BS133" s="1080"/>
      <c r="BT133" s="1080"/>
      <c r="BU133" s="1082"/>
      <c r="BW133" s="5">
        <v>1</v>
      </c>
    </row>
    <row r="134" spans="2:75" ht="19.5" customHeight="1">
      <c r="B134" s="319" t="s">
        <v>26</v>
      </c>
      <c r="C134" s="318" t="str">
        <f>F134</f>
        <v>Famille à coller.N.Nom de votre recette.Recette mère ►.S.Saisissez le nom de la recette mère</v>
      </c>
      <c r="D134" s="318">
        <f>F132</f>
        <v>6</v>
      </c>
      <c r="E134" s="318" t="str">
        <f>G132</f>
        <v>couverts</v>
      </c>
      <c r="F134" s="5486" t="str">
        <f>UPPER(LEFT(H128,1))&amp;LOWER(MID(H128,2,999))&amp;"."&amp;UPPER(LEFT(J128,1))&amp;"."&amp;UPPER(LEFT(J128,1))&amp;LOWER(MID(J128,2,999))&amp;"."&amp;IF(ISTEXT(L134),K134&amp;"."&amp;UPPER(LEFT(L134,1))&amp;"."&amp;UPPER(LEFT(L134,1))&amp;LOWER(MID(L134,2,999)),G134)</f>
        <v>Famille à coller.N.Nom de votre recette.Recette mère ►.S.Saisissez le nom de la recette mère</v>
      </c>
      <c r="G134" s="5487" t="s">
        <v>223</v>
      </c>
      <c r="H134" s="7613" t="s">
        <v>222</v>
      </c>
      <c r="I134" s="7613"/>
      <c r="J134" s="7613"/>
      <c r="K134" s="317" t="s">
        <v>221</v>
      </c>
      <c r="L134" s="1302" t="s">
        <v>1093</v>
      </c>
      <c r="N134" s="141"/>
      <c r="O134" s="141"/>
      <c r="P134" s="141"/>
      <c r="Q134" s="141"/>
      <c r="R134" s="1374" t="s">
        <v>1145</v>
      </c>
      <c r="S134" s="147"/>
      <c r="T134" s="1375"/>
      <c r="U134" s="102"/>
      <c r="V134" s="102"/>
      <c r="W134" s="102"/>
      <c r="X134" s="1360"/>
      <c r="Z134" s="331"/>
      <c r="AA134" s="331"/>
      <c r="AB134" s="331"/>
      <c r="AC134" s="331"/>
      <c r="AD134" s="1369" t="s">
        <v>864</v>
      </c>
      <c r="AE134" s="1321"/>
      <c r="AF134" s="1321"/>
      <c r="AG134" s="1321"/>
      <c r="AH134" s="1321"/>
      <c r="AI134" s="1321"/>
      <c r="AJ134" s="1370" t="s">
        <v>1141</v>
      </c>
      <c r="AL134" s="331"/>
      <c r="AM134" s="331"/>
      <c r="AN134" s="331"/>
      <c r="AO134" s="331"/>
      <c r="AP134" s="7684"/>
      <c r="AQ134" s="7088"/>
      <c r="AR134" s="7088"/>
      <c r="AS134" s="7088"/>
      <c r="AT134" s="7088"/>
      <c r="AU134" s="7088"/>
      <c r="AV134" s="7089"/>
      <c r="AX134" s="141"/>
      <c r="AY134" s="141"/>
      <c r="AZ134" s="141"/>
      <c r="BA134" s="141"/>
      <c r="BB134" s="1358" t="s">
        <v>1118</v>
      </c>
      <c r="BC134" s="1363" t="s">
        <v>1127</v>
      </c>
      <c r="BD134" s="147"/>
      <c r="BE134" s="988"/>
      <c r="BF134" s="988"/>
      <c r="BG134" s="988"/>
      <c r="BH134" s="1325"/>
      <c r="BJ134" s="103"/>
      <c r="BK134" s="102"/>
      <c r="BL134" s="102"/>
      <c r="BM134" s="101"/>
      <c r="BN134" s="1"/>
      <c r="BO134" s="1160"/>
      <c r="BP134" s="1187"/>
      <c r="BQ134" s="1187"/>
      <c r="BR134" s="1185"/>
      <c r="BS134" s="1185"/>
      <c r="BT134" s="147"/>
      <c r="BU134" s="609"/>
      <c r="BW134" s="5">
        <v>1</v>
      </c>
    </row>
    <row r="135" spans="2:75" ht="19.5" customHeight="1">
      <c r="B135" s="5477" t="s">
        <v>21</v>
      </c>
      <c r="C135" s="1313" t="str">
        <f>$C$39</f>
        <v>Famille à coller.N.Nom de votre recette.Recette mère ►.S.Saisissez le nom de la recette mère</v>
      </c>
      <c r="D135" s="1313">
        <f>$D$39</f>
        <v>6</v>
      </c>
      <c r="E135" s="1313" t="str">
        <f>$E$39</f>
        <v>couverts</v>
      </c>
      <c r="F135" s="1364" t="s">
        <v>218</v>
      </c>
      <c r="G135" s="1364" cm="1">
        <f t="array" ref="G135">IFERROR(ROW(F145)-(ROW(F136)+MATCH(TRUE,INDEX(ISNUMBER(FIND(K135,TRIM(SUBSTITUTE(SUBSTITUTE(SUBSTITUTE(SUBSTITUTE(SUBSTITUTE(SUBSTITUTE(SUBSTITUTE(LOWER(F136:F145),"é","e"),"è","e"),"ê","e"),"ë","e"),"à","a"),"ù","u"),"î","i")))),0),0)-1),1)</f>
        <v>4</v>
      </c>
      <c r="H135" s="1365" t="s">
        <v>1133</v>
      </c>
      <c r="I135" s="1366"/>
      <c r="J135" s="1366"/>
      <c r="K135" s="1422" t="str">
        <f>TRIM(SUBSTITUTE(SUBSTITUTE(SUBSTITUTE(SUBSTITUTE(SUBSTITUTE(SUBSTITUTE(SUBSTITUTE(LOWER(L135),"é","e"),"è","e"),"ê","e"),"ë","e"),"à","a"),"ù","u"),"î","i"))</f>
        <v>⓬ ▼ observations</v>
      </c>
      <c r="L135" s="1423" t="s">
        <v>1184</v>
      </c>
      <c r="N135" s="141"/>
      <c r="O135" s="141"/>
      <c r="P135" s="141"/>
      <c r="Q135" s="141"/>
      <c r="R135" s="7683" t="s">
        <v>1146</v>
      </c>
      <c r="S135" s="7085"/>
      <c r="T135" s="7085"/>
      <c r="U135" s="7085"/>
      <c r="V135" s="7085"/>
      <c r="W135" s="7085"/>
      <c r="X135" s="7086"/>
      <c r="Z135" s="331"/>
      <c r="AA135" s="331"/>
      <c r="AB135" s="331"/>
      <c r="AC135" s="331"/>
      <c r="AD135" s="1371"/>
      <c r="AE135" s="1371"/>
      <c r="AF135" s="1371"/>
      <c r="AG135" s="1371"/>
      <c r="AH135" s="1371"/>
      <c r="AI135" s="1371"/>
      <c r="AJ135" s="1371"/>
      <c r="AL135" s="331"/>
      <c r="AM135" s="331"/>
      <c r="AN135" s="331"/>
      <c r="AO135" s="331"/>
      <c r="AP135" s="1380"/>
      <c r="AQ135" s="1381"/>
      <c r="AR135" s="1381"/>
      <c r="AS135" s="1381"/>
      <c r="AT135" s="1381"/>
      <c r="AU135" s="1382"/>
      <c r="AV135" s="1383"/>
      <c r="AX135" s="141"/>
      <c r="AY135" s="141"/>
      <c r="AZ135" s="141"/>
      <c r="BA135" s="141"/>
      <c r="BB135" s="1358" t="s">
        <v>1118</v>
      </c>
      <c r="BC135" s="1363" t="s">
        <v>1135</v>
      </c>
      <c r="BD135" s="147"/>
      <c r="BE135" s="988"/>
      <c r="BF135" s="988"/>
      <c r="BG135" s="988"/>
      <c r="BH135" s="1325"/>
      <c r="BJ135" s="99" t="s">
        <v>17</v>
      </c>
      <c r="BK135" s="109"/>
      <c r="BL135" s="109"/>
      <c r="BM135" s="108"/>
      <c r="BN135" s="1"/>
      <c r="BO135" s="7371" t="s">
        <v>197</v>
      </c>
      <c r="BP135" s="1189" t="s">
        <v>997</v>
      </c>
      <c r="BQ135" s="109"/>
      <c r="BR135" s="109"/>
      <c r="BS135" s="1122"/>
      <c r="BT135" s="141"/>
      <c r="BU135" s="609"/>
      <c r="BW135" s="5">
        <v>1</v>
      </c>
    </row>
    <row r="136" spans="2:75" ht="15" customHeight="1">
      <c r="B136" s="1023" t="s">
        <v>21</v>
      </c>
      <c r="C136" s="196" t="str">
        <f>C135</f>
        <v>Famille à coller.N.Nom de votre recette.Recette mère ►.S.Saisissez le nom de la recette mère</v>
      </c>
      <c r="D136" s="196">
        <f>D135</f>
        <v>6</v>
      </c>
      <c r="E136" s="196" t="str">
        <f>E135</f>
        <v>couverts</v>
      </c>
      <c r="F136" s="1424" t="s">
        <v>1185</v>
      </c>
      <c r="G136" s="1425" t="s">
        <v>1186</v>
      </c>
      <c r="H136" s="1426"/>
      <c r="I136" s="1426" t="s">
        <v>1187</v>
      </c>
      <c r="J136" s="1426" t="s">
        <v>1188</v>
      </c>
      <c r="K136" s="1426" t="s">
        <v>1189</v>
      </c>
      <c r="L136" s="1427" t="s">
        <v>1190</v>
      </c>
      <c r="N136" s="141"/>
      <c r="O136" s="141"/>
      <c r="P136" s="141"/>
      <c r="Q136" s="141"/>
      <c r="R136" s="7683"/>
      <c r="S136" s="7085"/>
      <c r="T136" s="7085"/>
      <c r="U136" s="7085"/>
      <c r="V136" s="7085"/>
      <c r="W136" s="7085"/>
      <c r="X136" s="7086"/>
      <c r="Z136" s="331"/>
      <c r="AA136" s="331"/>
      <c r="AB136" s="331"/>
      <c r="AC136" s="331"/>
      <c r="AD136" s="1371"/>
      <c r="AE136" s="1371"/>
      <c r="AF136" s="1371"/>
      <c r="AG136" s="1371"/>
      <c r="AH136" s="1371"/>
      <c r="AI136" s="1371"/>
      <c r="AJ136" s="1371"/>
      <c r="AL136" s="331"/>
      <c r="AM136" s="331"/>
      <c r="AN136" s="331"/>
      <c r="AO136" s="331"/>
      <c r="AP136" s="1369" t="s">
        <v>864</v>
      </c>
      <c r="AQ136" s="1321"/>
      <c r="AR136" s="1321"/>
      <c r="AS136" s="1321"/>
      <c r="AT136" s="1321"/>
      <c r="AU136" s="1321"/>
      <c r="AV136" s="1370" t="s">
        <v>1141</v>
      </c>
      <c r="AX136" s="141"/>
      <c r="AY136" s="141"/>
      <c r="AZ136" s="141"/>
      <c r="BA136" s="141"/>
      <c r="BB136" s="1358" t="s">
        <v>1118</v>
      </c>
      <c r="BC136" s="1363" t="s">
        <v>1136</v>
      </c>
      <c r="BD136" s="147"/>
      <c r="BE136" s="988"/>
      <c r="BF136" s="988"/>
      <c r="BG136" s="988"/>
      <c r="BH136" s="1325"/>
      <c r="BJ136" s="99" t="s">
        <v>16</v>
      </c>
      <c r="BK136" s="109"/>
      <c r="BL136" s="109"/>
      <c r="BM136" s="108"/>
      <c r="BN136" s="1"/>
      <c r="BO136" s="7371"/>
      <c r="BP136" s="7685" t="s">
        <v>998</v>
      </c>
      <c r="BQ136" s="7685"/>
      <c r="BR136" s="7685"/>
      <c r="BS136" s="7685"/>
      <c r="BT136" s="7685"/>
      <c r="BU136" s="7686"/>
      <c r="BW136" s="5">
        <v>1</v>
      </c>
    </row>
    <row r="137" spans="2:75" ht="15.75">
      <c r="B137" s="1023" t="s">
        <v>21</v>
      </c>
      <c r="C137" s="196" t="str">
        <f>C135</f>
        <v>Famille à coller.N.Nom de votre recette.Recette mère ►.S.Saisissez le nom de la recette mère</v>
      </c>
      <c r="D137" s="196">
        <f>D135</f>
        <v>6</v>
      </c>
      <c r="E137" s="196" t="str">
        <f>E135</f>
        <v>couverts</v>
      </c>
      <c r="F137" s="1428"/>
      <c r="G137" s="1429">
        <v>2.4305555555555556E-2</v>
      </c>
      <c r="H137" s="141"/>
      <c r="I137" s="1389">
        <v>100</v>
      </c>
      <c r="J137" s="1430">
        <v>0.6</v>
      </c>
      <c r="K137" s="1431" t="s">
        <v>1191</v>
      </c>
      <c r="L137" s="1432" t="s">
        <v>1192</v>
      </c>
      <c r="N137" s="141"/>
      <c r="O137" s="141"/>
      <c r="P137" s="141"/>
      <c r="Q137" s="141"/>
      <c r="R137" s="7683"/>
      <c r="S137" s="7085"/>
      <c r="T137" s="7085"/>
      <c r="U137" s="7085"/>
      <c r="V137" s="7085"/>
      <c r="W137" s="7085"/>
      <c r="X137" s="7086"/>
      <c r="Z137" s="331"/>
      <c r="AA137" s="331"/>
      <c r="AB137" s="331"/>
      <c r="AC137" s="331"/>
      <c r="AD137" s="369" t="s">
        <v>252</v>
      </c>
      <c r="AE137" s="1433"/>
      <c r="AF137" s="1433"/>
      <c r="AG137" s="1433"/>
      <c r="AH137" s="1433"/>
      <c r="AI137" s="1433"/>
      <c r="AJ137" s="1434" t="s">
        <v>1158</v>
      </c>
      <c r="AL137" s="331"/>
      <c r="AM137" s="331"/>
      <c r="AN137" s="331"/>
      <c r="AO137" s="331"/>
      <c r="AP137" s="1371"/>
      <c r="AQ137" s="1371"/>
      <c r="AR137" s="1371"/>
      <c r="AS137" s="1371"/>
      <c r="AT137" s="1371"/>
      <c r="AU137" s="1371"/>
      <c r="AV137" s="1371"/>
      <c r="AX137" s="141"/>
      <c r="AY137" s="141"/>
      <c r="AZ137" s="141"/>
      <c r="BA137" s="141"/>
      <c r="BB137" s="1358" t="s">
        <v>1118</v>
      </c>
      <c r="BC137" s="1363" t="s">
        <v>1137</v>
      </c>
      <c r="BD137" s="147"/>
      <c r="BE137" s="988"/>
      <c r="BF137" s="988"/>
      <c r="BG137" s="988"/>
      <c r="BH137" s="1325"/>
      <c r="BJ137" s="154"/>
      <c r="BM137" s="1188"/>
      <c r="BN137" s="1"/>
      <c r="BO137" s="7371"/>
      <c r="BP137" s="7685"/>
      <c r="BQ137" s="7685"/>
      <c r="BR137" s="7685"/>
      <c r="BS137" s="7685"/>
      <c r="BT137" s="7685"/>
      <c r="BU137" s="7686"/>
      <c r="BW137" s="5">
        <v>1</v>
      </c>
    </row>
    <row r="138" spans="2:75" ht="16.5" customHeight="1" thickBot="1">
      <c r="B138" s="1023" t="s">
        <v>21</v>
      </c>
      <c r="C138" s="196" t="str">
        <f>C135</f>
        <v>Famille à coller.N.Nom de votre recette.Recette mère ►.S.Saisissez le nom de la recette mère</v>
      </c>
      <c r="D138" s="196">
        <f>D135</f>
        <v>6</v>
      </c>
      <c r="E138" s="196" t="str">
        <f>E135</f>
        <v>couverts</v>
      </c>
      <c r="F138" s="1428" t="s">
        <v>1193</v>
      </c>
      <c r="G138" s="1429">
        <v>1.0416666666666666E-2</v>
      </c>
      <c r="H138" s="141"/>
      <c r="I138" s="1389">
        <v>100</v>
      </c>
      <c r="J138" s="1430">
        <v>0.6</v>
      </c>
      <c r="K138" s="1431" t="s">
        <v>1194</v>
      </c>
      <c r="L138" s="1432" t="s">
        <v>1195</v>
      </c>
      <c r="N138" s="141"/>
      <c r="O138" s="141"/>
      <c r="P138" s="141"/>
      <c r="Q138" s="141"/>
      <c r="R138" s="1376" t="s">
        <v>1147</v>
      </c>
      <c r="S138" s="988"/>
      <c r="T138" s="988"/>
      <c r="U138" s="988"/>
      <c r="V138" s="988"/>
      <c r="W138" s="988"/>
      <c r="X138" s="1325"/>
      <c r="Z138" s="331"/>
      <c r="AA138" s="331"/>
      <c r="AB138" s="331"/>
      <c r="AC138" s="331"/>
      <c r="AD138" s="1435"/>
      <c r="AE138" s="1435"/>
      <c r="AF138" s="1435"/>
      <c r="AG138" s="1435"/>
      <c r="AH138" s="1435"/>
      <c r="AI138" s="1435"/>
      <c r="AJ138" s="1436" t="s">
        <v>1196</v>
      </c>
      <c r="AL138" s="331"/>
      <c r="AM138" s="331"/>
      <c r="AN138" s="331"/>
      <c r="AO138" s="331"/>
      <c r="AP138" s="1371"/>
      <c r="AQ138" s="1371"/>
      <c r="AR138" s="1371"/>
      <c r="AS138" s="1371"/>
      <c r="AT138" s="1371"/>
      <c r="AU138" s="1371"/>
      <c r="AV138" s="1371"/>
      <c r="AX138" s="141"/>
      <c r="AY138" s="141"/>
      <c r="AZ138" s="141"/>
      <c r="BA138" s="141"/>
      <c r="BB138" s="1358" t="s">
        <v>1118</v>
      </c>
      <c r="BC138" s="1363" t="s">
        <v>1138</v>
      </c>
      <c r="BD138" s="147"/>
      <c r="BE138" s="988"/>
      <c r="BF138" s="988"/>
      <c r="BG138" s="988"/>
      <c r="BH138" s="1325"/>
      <c r="BJ138" s="95">
        <v>19</v>
      </c>
      <c r="BK138" s="94">
        <v>18</v>
      </c>
      <c r="BL138" s="94">
        <v>25</v>
      </c>
      <c r="BM138" s="93">
        <v>16</v>
      </c>
      <c r="BN138" s="1"/>
      <c r="BO138" s="7371"/>
      <c r="BP138" s="7685"/>
      <c r="BQ138" s="7685"/>
      <c r="BR138" s="7685"/>
      <c r="BS138" s="7685"/>
      <c r="BT138" s="7685"/>
      <c r="BU138" s="7686"/>
      <c r="BW138" s="5">
        <v>1</v>
      </c>
    </row>
    <row r="139" spans="2:75" ht="15.75" customHeight="1">
      <c r="B139" s="1023" t="s">
        <v>21</v>
      </c>
      <c r="C139" s="196" t="str">
        <f>C135</f>
        <v>Famille à coller.N.Nom de votre recette.Recette mère ►.S.Saisissez le nom de la recette mère</v>
      </c>
      <c r="D139" s="196">
        <f>D135</f>
        <v>6</v>
      </c>
      <c r="E139" s="196" t="str">
        <f>E135</f>
        <v>couverts</v>
      </c>
      <c r="F139" s="1428" t="s">
        <v>1197</v>
      </c>
      <c r="G139" s="1429">
        <v>5.2083333333333301E-2</v>
      </c>
      <c r="H139" s="141"/>
      <c r="I139" s="1389">
        <v>100</v>
      </c>
      <c r="J139" s="1430">
        <v>0.6</v>
      </c>
      <c r="K139" s="1431" t="s">
        <v>1191</v>
      </c>
      <c r="L139" s="1432" t="s">
        <v>1198</v>
      </c>
      <c r="N139" s="141"/>
      <c r="O139" s="141"/>
      <c r="P139" s="141"/>
      <c r="Q139" s="141"/>
      <c r="R139" s="1319" t="s">
        <v>1148</v>
      </c>
      <c r="S139" s="1320"/>
      <c r="T139" s="1320"/>
      <c r="U139" s="1320"/>
      <c r="V139" s="1320"/>
      <c r="W139" s="1320"/>
      <c r="X139" s="1377"/>
      <c r="Z139" s="331"/>
      <c r="AA139" s="331"/>
      <c r="AB139" s="331"/>
      <c r="AC139" s="331"/>
      <c r="AD139" s="1437" t="s">
        <v>1199</v>
      </c>
      <c r="AE139" s="1438" t="s">
        <v>1200</v>
      </c>
      <c r="AF139" s="1362"/>
      <c r="AG139" s="1439" t="s">
        <v>1201</v>
      </c>
      <c r="AH139" s="1440" t="s">
        <v>1202</v>
      </c>
      <c r="AI139" s="988"/>
      <c r="AJ139" s="1325"/>
      <c r="AL139" s="331"/>
      <c r="AM139" s="331"/>
      <c r="AN139" s="331"/>
      <c r="AO139" s="331"/>
      <c r="AP139" s="1354" t="s">
        <v>252</v>
      </c>
      <c r="AQ139" s="1398"/>
      <c r="AR139" s="1398"/>
      <c r="AS139" s="1398"/>
      <c r="AT139" s="1398"/>
      <c r="AU139" s="1398"/>
      <c r="AV139" s="1357" t="s">
        <v>1158</v>
      </c>
      <c r="AX139" s="141"/>
      <c r="AY139" s="141"/>
      <c r="AZ139" s="141"/>
      <c r="BA139" s="141"/>
      <c r="BB139" s="1358" t="s">
        <v>1118</v>
      </c>
      <c r="BC139" s="1363" t="s">
        <v>1139</v>
      </c>
      <c r="BD139" s="147"/>
      <c r="BE139" s="988"/>
      <c r="BF139" s="988"/>
      <c r="BG139" s="988"/>
      <c r="BH139" s="1325"/>
      <c r="BJ139" s="91">
        <f ca="1">CELL("largeur",BJ139)</f>
        <v>19</v>
      </c>
      <c r="BK139" s="91">
        <f ca="1">CELL("largeur",BK139)</f>
        <v>18</v>
      </c>
      <c r="BL139" s="91">
        <f ca="1">CELL("largeur",BL139)</f>
        <v>25</v>
      </c>
      <c r="BM139" s="91">
        <f ca="1">CELL("largeur",BM139)</f>
        <v>16</v>
      </c>
      <c r="BN139" s="1"/>
      <c r="BO139" s="7371"/>
      <c r="BP139" s="109" t="s">
        <v>999</v>
      </c>
      <c r="BQ139" s="109"/>
      <c r="BR139" s="109"/>
      <c r="BS139" s="109"/>
      <c r="BT139" s="141"/>
      <c r="BU139" s="609"/>
      <c r="BW139" s="5">
        <v>1</v>
      </c>
    </row>
    <row r="140" spans="2:75" ht="18.75" customHeight="1">
      <c r="B140" s="1023" t="s">
        <v>21</v>
      </c>
      <c r="C140" s="196" t="str">
        <f>C135</f>
        <v>Famille à coller.N.Nom de votre recette.Recette mère ►.S.Saisissez le nom de la recette mère</v>
      </c>
      <c r="D140" s="196">
        <f>D135</f>
        <v>6</v>
      </c>
      <c r="E140" s="196" t="str">
        <f>E135</f>
        <v>couverts</v>
      </c>
      <c r="F140" s="1441"/>
      <c r="G140" s="1442">
        <f>SUM(G137:G139)</f>
        <v>8.6805555555555525E-2</v>
      </c>
      <c r="H140" s="1385"/>
      <c r="I140" s="1385"/>
      <c r="J140" s="1385"/>
      <c r="K140" s="1385"/>
      <c r="L140" s="1443"/>
      <c r="N140" s="141"/>
      <c r="O140" s="141"/>
      <c r="P140" s="141"/>
      <c r="Q140" s="141"/>
      <c r="R140" s="7684" t="s">
        <v>1149</v>
      </c>
      <c r="S140" s="7088"/>
      <c r="T140" s="7088"/>
      <c r="U140" s="7088"/>
      <c r="V140" s="7088"/>
      <c r="W140" s="7088"/>
      <c r="X140" s="7089"/>
      <c r="Z140" s="331"/>
      <c r="AA140" s="331"/>
      <c r="AB140" s="331"/>
      <c r="AC140" s="331"/>
      <c r="AD140" s="1444"/>
      <c r="AE140" s="1445"/>
      <c r="AF140" s="988"/>
      <c r="AG140" s="1446"/>
      <c r="AH140" s="1447"/>
      <c r="AI140" s="1257" t="s">
        <v>1159</v>
      </c>
      <c r="AJ140" s="1325"/>
      <c r="AL140" s="331"/>
      <c r="AM140" s="331"/>
      <c r="AN140" s="331"/>
      <c r="AO140" s="331"/>
      <c r="AP140" s="1400"/>
      <c r="AQ140" s="1401" t="s">
        <v>1159</v>
      </c>
      <c r="AR140" s="1362"/>
      <c r="AS140" s="1362"/>
      <c r="AT140" s="1362"/>
      <c r="AU140" s="1402" t="s">
        <v>1160</v>
      </c>
      <c r="AV140" s="1403"/>
      <c r="AX140" s="141"/>
      <c r="AY140" s="141"/>
      <c r="AZ140" s="141"/>
      <c r="BA140" s="141"/>
      <c r="BB140" s="1358" t="s">
        <v>1118</v>
      </c>
      <c r="BC140" s="1363" t="s">
        <v>1140</v>
      </c>
      <c r="BD140" s="147"/>
      <c r="BE140" s="988"/>
      <c r="BF140" s="988"/>
      <c r="BG140" s="988"/>
      <c r="BH140" s="1325"/>
      <c r="BN140" s="1"/>
      <c r="BO140" s="7371"/>
      <c r="BP140" s="109" t="s">
        <v>1000</v>
      </c>
      <c r="BQ140" s="1190"/>
      <c r="BR140" s="1190"/>
      <c r="BS140" s="1190"/>
      <c r="BT140" s="141"/>
      <c r="BU140" s="609"/>
      <c r="BW140" s="5">
        <v>1</v>
      </c>
    </row>
    <row r="141" spans="2:75" ht="15.75" customHeight="1">
      <c r="B141" s="1023" t="s">
        <v>21</v>
      </c>
      <c r="C141" s="196" t="str">
        <f>C135</f>
        <v>Famille à coller.N.Nom de votre recette.Recette mère ►.S.Saisissez le nom de la recette mère</v>
      </c>
      <c r="D141" s="196">
        <f>D135</f>
        <v>6</v>
      </c>
      <c r="E141" s="196" t="str">
        <f>E135</f>
        <v>couverts</v>
      </c>
      <c r="F141" s="1448" t="s">
        <v>1184</v>
      </c>
      <c r="G141" s="1321"/>
      <c r="H141" s="1321"/>
      <c r="I141" s="1321"/>
      <c r="J141" s="1321"/>
      <c r="K141" s="1321"/>
      <c r="L141" s="1370"/>
      <c r="N141" s="141"/>
      <c r="O141" s="141"/>
      <c r="P141" s="141"/>
      <c r="Q141" s="141"/>
      <c r="R141" s="7684"/>
      <c r="S141" s="7088"/>
      <c r="T141" s="7088"/>
      <c r="U141" s="7088"/>
      <c r="V141" s="7088"/>
      <c r="W141" s="7088"/>
      <c r="X141" s="7089"/>
      <c r="Z141" s="331"/>
      <c r="AA141" s="331"/>
      <c r="AB141" s="331"/>
      <c r="AC141" s="331"/>
      <c r="AD141" s="1444">
        <v>3</v>
      </c>
      <c r="AE141" s="1445"/>
      <c r="AF141" s="988"/>
      <c r="AG141" s="1446"/>
      <c r="AH141" s="1447"/>
      <c r="AI141" s="1257" t="s">
        <v>1163</v>
      </c>
      <c r="AJ141" s="1325"/>
      <c r="AL141" s="331"/>
      <c r="AM141" s="331"/>
      <c r="AN141" s="331"/>
      <c r="AO141" s="331"/>
      <c r="AP141" s="1400"/>
      <c r="AQ141" s="1404" t="s">
        <v>1161</v>
      </c>
      <c r="AR141" s="988"/>
      <c r="AS141" s="988"/>
      <c r="AT141" s="988"/>
      <c r="AU141" s="1358" t="s">
        <v>1118</v>
      </c>
      <c r="AV141" s="1405" t="s">
        <v>1162</v>
      </c>
      <c r="AX141" s="141"/>
      <c r="AY141" s="141"/>
      <c r="AZ141" s="141"/>
      <c r="BA141" s="141"/>
      <c r="BB141" s="1369" t="s">
        <v>864</v>
      </c>
      <c r="BC141" s="1321"/>
      <c r="BD141" s="1321"/>
      <c r="BE141" s="1321"/>
      <c r="BF141" s="1321"/>
      <c r="BG141" s="1321"/>
      <c r="BH141" s="1370" t="s">
        <v>1141</v>
      </c>
      <c r="BJ141" s="3"/>
      <c r="BK141" s="3"/>
      <c r="BL141" s="3"/>
      <c r="BM141" s="3"/>
      <c r="BN141" s="1"/>
      <c r="BO141" s="1160"/>
      <c r="BP141" s="1187"/>
      <c r="BQ141" s="1187"/>
      <c r="BR141" s="1185"/>
      <c r="BS141" s="1185"/>
      <c r="BT141" s="147"/>
      <c r="BU141" s="609"/>
      <c r="BW141" s="5">
        <v>1</v>
      </c>
    </row>
    <row r="142" spans="2:75" ht="18.75" customHeight="1">
      <c r="B142" s="1023" t="s">
        <v>21</v>
      </c>
      <c r="C142" s="196" t="str">
        <f>C135</f>
        <v>Famille à coller.N.Nom de votre recette.Recette mère ►.S.Saisissez le nom de la recette mère</v>
      </c>
      <c r="D142" s="196">
        <f>D135</f>
        <v>6</v>
      </c>
      <c r="E142" s="196" t="str">
        <f>E135</f>
        <v>couverts</v>
      </c>
      <c r="F142" s="1323"/>
      <c r="G142" s="988"/>
      <c r="H142" s="988"/>
      <c r="I142" s="988"/>
      <c r="J142" s="988"/>
      <c r="K142" s="988"/>
      <c r="L142" s="1325"/>
      <c r="N142" s="141"/>
      <c r="O142" s="141"/>
      <c r="P142" s="141"/>
      <c r="Q142" s="141"/>
      <c r="R142" s="7684"/>
      <c r="S142" s="7088"/>
      <c r="T142" s="7088"/>
      <c r="U142" s="7088"/>
      <c r="V142" s="7088"/>
      <c r="W142" s="7088"/>
      <c r="X142" s="7089"/>
      <c r="Z142" s="331"/>
      <c r="AA142" s="331"/>
      <c r="AB142" s="331"/>
      <c r="AC142" s="331"/>
      <c r="AD142" s="1444"/>
      <c r="AE142" s="1445"/>
      <c r="AF142" s="988"/>
      <c r="AG142" s="1446"/>
      <c r="AH142" s="1447"/>
      <c r="AI142" s="1257" t="s">
        <v>1165</v>
      </c>
      <c r="AJ142" s="1325"/>
      <c r="AL142" s="331"/>
      <c r="AM142" s="331"/>
      <c r="AN142" s="331"/>
      <c r="AO142" s="331"/>
      <c r="AP142" s="1400">
        <v>3</v>
      </c>
      <c r="AQ142" s="1404" t="s">
        <v>1163</v>
      </c>
      <c r="AR142" s="988"/>
      <c r="AS142" s="988"/>
      <c r="AT142" s="988"/>
      <c r="AU142" s="1406"/>
      <c r="AV142" s="1405" t="s">
        <v>1164</v>
      </c>
      <c r="AX142" s="141"/>
      <c r="AY142" s="141"/>
      <c r="AZ142" s="141"/>
      <c r="BA142" s="141"/>
      <c r="BB142" s="1371"/>
      <c r="BC142" s="1371"/>
      <c r="BD142" s="1371"/>
      <c r="BE142" s="1371"/>
      <c r="BF142" s="1371"/>
      <c r="BG142" s="1371"/>
      <c r="BH142" s="1371"/>
      <c r="BJ142" s="3"/>
      <c r="BK142" s="3"/>
      <c r="BL142" s="3"/>
      <c r="BM142" s="3"/>
      <c r="BN142" s="1"/>
      <c r="BO142" s="1079"/>
      <c r="BP142" s="1080"/>
      <c r="BQ142" s="1081"/>
      <c r="BR142" s="1080"/>
      <c r="BS142" s="1080"/>
      <c r="BT142" s="1080"/>
      <c r="BU142" s="1082"/>
      <c r="BW142" s="5">
        <v>1</v>
      </c>
    </row>
    <row r="143" spans="2:75" ht="16.5" customHeight="1" thickBot="1">
      <c r="B143" s="1023" t="s">
        <v>21</v>
      </c>
      <c r="C143" s="196" t="str">
        <f>C135</f>
        <v>Famille à coller.N.Nom de votre recette.Recette mère ►.S.Saisissez le nom de la recette mère</v>
      </c>
      <c r="D143" s="196">
        <f>D135</f>
        <v>6</v>
      </c>
      <c r="E143" s="196" t="str">
        <f>E135</f>
        <v>couverts</v>
      </c>
      <c r="F143" s="1323"/>
      <c r="G143" s="988"/>
      <c r="H143" s="988"/>
      <c r="I143" s="988"/>
      <c r="J143" s="988"/>
      <c r="K143" s="988"/>
      <c r="L143" s="1325"/>
      <c r="N143" s="141"/>
      <c r="O143" s="141"/>
      <c r="P143" s="141"/>
      <c r="Q143" s="141"/>
      <c r="R143" s="7684"/>
      <c r="S143" s="7088"/>
      <c r="T143" s="7088"/>
      <c r="U143" s="7088"/>
      <c r="V143" s="7088"/>
      <c r="W143" s="7088"/>
      <c r="X143" s="7089"/>
      <c r="Z143" s="331"/>
      <c r="AA143" s="331"/>
      <c r="AB143" s="331"/>
      <c r="AC143" s="331"/>
      <c r="AD143" s="1444">
        <v>2</v>
      </c>
      <c r="AE143" s="1445"/>
      <c r="AF143" s="988"/>
      <c r="AG143" s="1446"/>
      <c r="AH143" s="1447"/>
      <c r="AI143" s="1257" t="s">
        <v>1167</v>
      </c>
      <c r="AJ143" s="1325"/>
      <c r="AL143" s="331"/>
      <c r="AM143" s="331"/>
      <c r="AN143" s="331"/>
      <c r="AO143" s="331"/>
      <c r="AP143" s="1400"/>
      <c r="AQ143" s="1404" t="s">
        <v>1165</v>
      </c>
      <c r="AR143" s="988"/>
      <c r="AS143" s="988"/>
      <c r="AT143" s="988"/>
      <c r="AU143" s="1407"/>
      <c r="AV143" s="1408" t="s">
        <v>1166</v>
      </c>
      <c r="AX143" s="141"/>
      <c r="AY143" s="141"/>
      <c r="AZ143" s="141"/>
      <c r="BA143" s="141"/>
      <c r="BB143" s="1371"/>
      <c r="BC143" s="1371"/>
      <c r="BD143" s="1371"/>
      <c r="BE143" s="1371"/>
      <c r="BF143" s="1371"/>
      <c r="BG143" s="1371"/>
      <c r="BH143" s="1371"/>
      <c r="BJ143" s="3"/>
      <c r="BK143" s="3"/>
      <c r="BL143" s="3"/>
      <c r="BM143" s="3"/>
      <c r="BN143" s="1"/>
      <c r="BO143" s="1160"/>
      <c r="BP143" s="1187"/>
      <c r="BQ143" s="1187"/>
      <c r="BR143" s="1185"/>
      <c r="BS143" s="1185"/>
      <c r="BT143" s="147"/>
      <c r="BU143" s="609"/>
      <c r="BW143" s="5">
        <v>1</v>
      </c>
    </row>
    <row r="144" spans="2:75" ht="19.5" thickTop="1">
      <c r="B144" s="1023" t="s">
        <v>21</v>
      </c>
      <c r="C144" s="196" t="str">
        <f>C135</f>
        <v>Famille à coller.N.Nom de votre recette.Recette mère ►.S.Saisissez le nom de la recette mère</v>
      </c>
      <c r="D144" s="196">
        <f>D135</f>
        <v>6</v>
      </c>
      <c r="E144" s="196" t="str">
        <f>E135</f>
        <v>couverts</v>
      </c>
      <c r="F144" s="1328"/>
      <c r="G144" s="1449"/>
      <c r="H144" s="1449"/>
      <c r="I144" s="1449"/>
      <c r="J144" s="1449"/>
      <c r="K144" s="1449"/>
      <c r="L144" s="1339" t="s">
        <v>1112</v>
      </c>
      <c r="N144" s="141"/>
      <c r="O144" s="141"/>
      <c r="P144" s="141"/>
      <c r="Q144" s="141"/>
      <c r="R144" s="1369" t="s">
        <v>864</v>
      </c>
      <c r="S144" s="1321"/>
      <c r="T144" s="1321"/>
      <c r="U144" s="1321"/>
      <c r="V144" s="1321"/>
      <c r="W144" s="1321"/>
      <c r="X144" s="1370"/>
      <c r="Z144" s="331"/>
      <c r="AA144" s="331"/>
      <c r="AB144" s="331"/>
      <c r="AC144" s="331"/>
      <c r="AD144" s="1450"/>
      <c r="AE144" s="1451"/>
      <c r="AF144" s="988"/>
      <c r="AG144" s="1452"/>
      <c r="AH144" s="1453"/>
      <c r="AI144" s="1257" t="s">
        <v>1170</v>
      </c>
      <c r="AJ144" s="1325"/>
      <c r="AL144" s="331"/>
      <c r="AM144" s="331"/>
      <c r="AN144" s="331"/>
      <c r="AO144" s="331"/>
      <c r="AP144" s="1400">
        <v>1</v>
      </c>
      <c r="AQ144" s="1404" t="s">
        <v>1167</v>
      </c>
      <c r="AR144" s="988"/>
      <c r="AS144" s="988"/>
      <c r="AT144" s="988"/>
      <c r="AU144" s="1406"/>
      <c r="AV144" s="1405" t="s">
        <v>1162</v>
      </c>
      <c r="AX144" s="141"/>
      <c r="AY144" s="141"/>
      <c r="AZ144" s="141"/>
      <c r="BA144" s="141"/>
      <c r="BB144" s="1354" t="s">
        <v>252</v>
      </c>
      <c r="BC144" s="1355"/>
      <c r="BD144" s="1355"/>
      <c r="BE144" s="1355"/>
      <c r="BF144" s="1355"/>
      <c r="BG144" s="1356"/>
      <c r="BH144" s="1357" t="s">
        <v>1144</v>
      </c>
      <c r="BJ144" s="3"/>
      <c r="BK144" s="3"/>
      <c r="BL144" s="3"/>
      <c r="BM144" s="3"/>
      <c r="BN144" s="1"/>
      <c r="BO144" s="7680" t="s">
        <v>1001</v>
      </c>
      <c r="BP144" s="7681" t="s">
        <v>1002</v>
      </c>
      <c r="BQ144" s="232" t="s">
        <v>912</v>
      </c>
      <c r="BR144" s="97"/>
      <c r="BS144" s="97"/>
      <c r="BT144" s="97"/>
      <c r="BU144" s="609"/>
      <c r="BW144" s="5">
        <v>1</v>
      </c>
    </row>
    <row r="145" spans="2:75" ht="18.75">
      <c r="B145" s="1037" t="s">
        <v>21</v>
      </c>
      <c r="C145" s="196" t="str">
        <f>C135</f>
        <v>Famille à coller.N.Nom de votre recette.Recette mère ►.S.Saisissez le nom de la recette mère</v>
      </c>
      <c r="D145" s="196">
        <f>D135</f>
        <v>6</v>
      </c>
      <c r="E145" s="196" t="str">
        <f>E135</f>
        <v>couverts</v>
      </c>
      <c r="F145" s="1454"/>
      <c r="G145" s="1002"/>
      <c r="H145" s="1002" t="s">
        <v>873</v>
      </c>
      <c r="I145" s="1003"/>
      <c r="J145" s="1329"/>
      <c r="K145" s="1329"/>
      <c r="L145" s="1330"/>
      <c r="N145" s="141"/>
      <c r="O145" s="141"/>
      <c r="P145" s="141"/>
      <c r="Q145" s="141"/>
      <c r="R145" s="1441"/>
      <c r="S145" s="1385"/>
      <c r="T145" s="1385"/>
      <c r="U145" s="1385"/>
      <c r="V145" s="1385"/>
      <c r="W145" s="1385"/>
      <c r="X145" s="1443"/>
      <c r="Z145" s="331"/>
      <c r="AA145" s="331"/>
      <c r="AB145" s="331"/>
      <c r="AC145" s="331"/>
      <c r="AD145" s="1455" t="str">
        <f>SUM(AD140:AD144) &amp; " / " &amp; (COUNTA(AD140:AD144) * 3)</f>
        <v>5 / 6</v>
      </c>
      <c r="AE145" s="1456" t="str">
        <f>SUM(AE140:AE144) &amp; " / " &amp; (COUNTA(AE140:AE144) * 3)</f>
        <v>0 / 0</v>
      </c>
      <c r="AF145" s="988"/>
      <c r="AG145" s="1455" t="str">
        <f>SUM(AG140:AG144) &amp; " / " &amp; (COUNTA(AG140:AG144) * 3)</f>
        <v>0 / 0</v>
      </c>
      <c r="AH145" s="1456" t="str">
        <f>SUM(AH140:AH144) &amp; " / " &amp; (COUNTA(AH140:AH144) * 3)</f>
        <v>0 / 0</v>
      </c>
      <c r="AI145" s="988" t="s">
        <v>1177</v>
      </c>
      <c r="AJ145" s="1325"/>
      <c r="AL145" s="331"/>
      <c r="AM145" s="331"/>
      <c r="AN145" s="331"/>
      <c r="AO145" s="331"/>
      <c r="AP145" s="1400"/>
      <c r="AQ145" s="1404" t="s">
        <v>1168</v>
      </c>
      <c r="AR145" s="988"/>
      <c r="AS145" s="988"/>
      <c r="AT145" s="988"/>
      <c r="AU145" s="1406"/>
      <c r="AV145" s="1405" t="s">
        <v>1169</v>
      </c>
      <c r="AX145" s="141"/>
      <c r="AY145" s="141"/>
      <c r="AZ145" s="141"/>
      <c r="BA145" s="141"/>
      <c r="BB145" s="1374" t="s">
        <v>1145</v>
      </c>
      <c r="BC145" s="147"/>
      <c r="BD145" s="1375"/>
      <c r="BE145" s="102"/>
      <c r="BF145" s="102"/>
      <c r="BG145" s="102"/>
      <c r="BH145" s="1360"/>
      <c r="BJ145" s="3"/>
      <c r="BK145" s="3"/>
      <c r="BL145" s="3"/>
      <c r="BM145" s="3"/>
      <c r="BN145" s="1"/>
      <c r="BO145" s="7380"/>
      <c r="BP145" s="7682"/>
      <c r="BQ145" s="232" t="s">
        <v>98</v>
      </c>
      <c r="BR145" s="97"/>
      <c r="BS145" s="97"/>
      <c r="BT145" s="97"/>
      <c r="BU145" s="609"/>
      <c r="BW145" s="5">
        <v>1</v>
      </c>
    </row>
    <row r="146" spans="2:75" ht="16.5" thickBot="1">
      <c r="B146" s="1069" t="s">
        <v>21</v>
      </c>
      <c r="C146" s="1331" t="str">
        <f>C135</f>
        <v>Famille à coller.N.Nom de votre recette.Recette mère ►.S.Saisissez le nom de la recette mère</v>
      </c>
      <c r="D146" s="1331">
        <f>D135</f>
        <v>6</v>
      </c>
      <c r="E146" s="1331" t="str">
        <f>E135</f>
        <v>couverts</v>
      </c>
      <c r="F146" s="1457" t="s">
        <v>86</v>
      </c>
      <c r="G146" s="1006"/>
      <c r="H146" s="1007"/>
      <c r="I146" s="1008"/>
      <c r="J146" s="1007"/>
      <c r="K146" s="1007"/>
      <c r="L146" s="1333"/>
      <c r="N146" s="141"/>
      <c r="O146" s="141"/>
      <c r="P146" s="141"/>
      <c r="Q146" s="141"/>
      <c r="R146" s="1441"/>
      <c r="S146" s="1385"/>
      <c r="T146" s="1385"/>
      <c r="U146" s="1385"/>
      <c r="V146" s="1385"/>
      <c r="W146" s="1385"/>
      <c r="X146" s="1443"/>
      <c r="Z146" s="331"/>
      <c r="AA146" s="331"/>
      <c r="AB146" s="331"/>
      <c r="AC146" s="331"/>
      <c r="AD146" s="1458" t="str">
        <f>SUM(AD140:AD144) &amp;"/ "&amp;AD147</f>
        <v>5/ 15</v>
      </c>
      <c r="AE146" s="1459" t="str">
        <f>SUM(AE140:AE144) &amp;"/ "&amp;AE147</f>
        <v>0/ 15</v>
      </c>
      <c r="AF146" s="988"/>
      <c r="AG146" s="1458" t="str">
        <f>SUM(AG140:AG144) &amp;"/ "&amp;AG147</f>
        <v>0/ 15</v>
      </c>
      <c r="AH146" s="1459" t="str">
        <f>SUM(AH140:AH144) &amp;"/ "&amp;AH147</f>
        <v>0/ 15</v>
      </c>
      <c r="AI146" s="1414" t="s">
        <v>1178</v>
      </c>
      <c r="AJ146" s="1325"/>
      <c r="AL146" s="331"/>
      <c r="AM146" s="331"/>
      <c r="AN146" s="331"/>
      <c r="AO146" s="331"/>
      <c r="AP146" s="1400"/>
      <c r="AQ146" s="1404" t="s">
        <v>1170</v>
      </c>
      <c r="AR146" s="988"/>
      <c r="AS146" s="988"/>
      <c r="AT146" s="988"/>
      <c r="AU146" s="5423" t="s">
        <v>1171</v>
      </c>
      <c r="AV146" s="1405" t="s">
        <v>1164</v>
      </c>
      <c r="AX146" s="141"/>
      <c r="AY146" s="141"/>
      <c r="AZ146" s="141"/>
      <c r="BA146" s="141"/>
      <c r="BB146" s="7683" t="s">
        <v>1146</v>
      </c>
      <c r="BC146" s="7085"/>
      <c r="BD146" s="7085"/>
      <c r="BE146" s="7085"/>
      <c r="BF146" s="7085"/>
      <c r="BG146" s="7085"/>
      <c r="BH146" s="7086"/>
      <c r="BJ146" s="3"/>
      <c r="BK146" s="3"/>
      <c r="BL146" s="3"/>
      <c r="BM146" s="3"/>
      <c r="BN146" s="1"/>
      <c r="BO146" s="7380"/>
      <c r="BP146" s="5450">
        <v>1</v>
      </c>
      <c r="BQ146" s="147"/>
      <c r="BR146" s="97"/>
      <c r="BS146" s="97"/>
      <c r="BT146" s="97"/>
      <c r="BU146" s="609"/>
      <c r="BW146" s="5">
        <v>1</v>
      </c>
    </row>
    <row r="147" spans="2:75" ht="16.5" customHeight="1" thickBot="1">
      <c r="B147" s="1334" t="s">
        <v>21</v>
      </c>
      <c r="C147" s="1335"/>
      <c r="D147" s="1335"/>
      <c r="E147" s="1335"/>
      <c r="F147" s="1336" t="s">
        <v>1110</v>
      </c>
      <c r="G147" s="1336"/>
      <c r="H147" s="1336"/>
      <c r="I147" s="1336"/>
      <c r="J147" s="1336"/>
      <c r="K147" s="1336"/>
      <c r="L147" s="348"/>
      <c r="N147" s="141"/>
      <c r="O147" s="141"/>
      <c r="P147" s="141"/>
      <c r="Q147" s="141"/>
      <c r="R147" s="1338"/>
      <c r="S147" s="1460"/>
      <c r="T147" s="1460"/>
      <c r="U147" s="1460"/>
      <c r="V147" s="1460"/>
      <c r="W147" s="1460"/>
      <c r="X147" s="1339" t="s">
        <v>1112</v>
      </c>
      <c r="Z147" s="331"/>
      <c r="AA147" s="331"/>
      <c r="AB147" s="331"/>
      <c r="AC147" s="331"/>
      <c r="AD147" s="1461">
        <v>15</v>
      </c>
      <c r="AE147" s="1462">
        <v>15</v>
      </c>
      <c r="AF147" s="988"/>
      <c r="AG147" s="1461">
        <v>15</v>
      </c>
      <c r="AH147" s="1462">
        <v>15</v>
      </c>
      <c r="AI147" s="1417" t="s">
        <v>1180</v>
      </c>
      <c r="AJ147" s="1325"/>
      <c r="AL147" s="331"/>
      <c r="AM147" s="331"/>
      <c r="AN147" s="331"/>
      <c r="AO147" s="331"/>
      <c r="AP147" s="1400"/>
      <c r="AQ147" s="1404" t="s">
        <v>1172</v>
      </c>
      <c r="AR147" s="988"/>
      <c r="AS147" s="988"/>
      <c r="AT147" s="988"/>
      <c r="AU147" s="1407"/>
      <c r="AV147" s="1409" t="s">
        <v>1173</v>
      </c>
      <c r="AX147" s="141"/>
      <c r="AY147" s="141"/>
      <c r="AZ147" s="141"/>
      <c r="BA147" s="141"/>
      <c r="BB147" s="7683"/>
      <c r="BC147" s="7085"/>
      <c r="BD147" s="7085"/>
      <c r="BE147" s="7085"/>
      <c r="BF147" s="7085"/>
      <c r="BG147" s="7085"/>
      <c r="BH147" s="7086"/>
      <c r="BJ147" s="3"/>
      <c r="BK147" s="3"/>
      <c r="BL147" s="3"/>
      <c r="BM147" s="3"/>
      <c r="BN147" s="1"/>
      <c r="BO147" s="7380"/>
      <c r="BP147" s="5448">
        <v>2</v>
      </c>
      <c r="BQ147" s="141"/>
      <c r="BR147" s="97"/>
      <c r="BS147" s="97"/>
      <c r="BT147" s="97"/>
      <c r="BU147" s="609"/>
      <c r="BW147" s="5">
        <v>1</v>
      </c>
    </row>
    <row r="148" spans="2:75" ht="18" customHeight="1" thickBot="1">
      <c r="B148" s="5465" t="s">
        <v>21</v>
      </c>
      <c r="C148" s="368" t="str">
        <f>C154</f>
        <v>Famille à coller.N.Nom de votre recette.Recette mère ►.S.Saisissez le nom de la recette mère</v>
      </c>
      <c r="D148" s="367">
        <f>D154</f>
        <v>6</v>
      </c>
      <c r="E148" s="367" t="str">
        <f>E154</f>
        <v>couverts</v>
      </c>
      <c r="F148" s="366" t="s">
        <v>1</v>
      </c>
      <c r="G148" s="365" t="s">
        <v>251</v>
      </c>
      <c r="H148" s="7648" t="s">
        <v>1089</v>
      </c>
      <c r="I148" s="7648"/>
      <c r="J148" s="7601" t="s">
        <v>1090</v>
      </c>
      <c r="K148" s="7601"/>
      <c r="L148" s="7602"/>
      <c r="N148" s="141"/>
      <c r="O148" s="141"/>
      <c r="P148" s="141"/>
      <c r="Q148" s="141"/>
      <c r="R148" s="1002"/>
      <c r="S148" s="1002"/>
      <c r="T148" s="1002" t="s">
        <v>873</v>
      </c>
      <c r="U148" s="1003"/>
      <c r="V148" s="1329"/>
      <c r="W148" s="1329"/>
      <c r="X148" s="1330"/>
      <c r="Z148" s="331"/>
      <c r="AA148" s="331"/>
      <c r="AB148" s="331"/>
      <c r="AC148" s="331"/>
      <c r="AD148" s="1463" t="s">
        <v>1203</v>
      </c>
      <c r="AG148" s="1464"/>
      <c r="AH148" s="1464"/>
      <c r="AI148" s="1464"/>
      <c r="AJ148" s="1465"/>
      <c r="AL148" s="331"/>
      <c r="AM148" s="331"/>
      <c r="AN148" s="331"/>
      <c r="AO148" s="331"/>
      <c r="AP148" s="1410"/>
      <c r="AQ148" s="1404" t="s">
        <v>1174</v>
      </c>
      <c r="AR148" s="988"/>
      <c r="AS148" s="988"/>
      <c r="AT148" s="988"/>
      <c r="AU148" s="1411" t="s">
        <v>1175</v>
      </c>
      <c r="AV148" s="1405" t="s">
        <v>1176</v>
      </c>
      <c r="AX148" s="141"/>
      <c r="AY148" s="141"/>
      <c r="AZ148" s="141"/>
      <c r="BA148" s="141"/>
      <c r="BB148" s="7683"/>
      <c r="BC148" s="7085"/>
      <c r="BD148" s="7085"/>
      <c r="BE148" s="7085"/>
      <c r="BF148" s="7085"/>
      <c r="BG148" s="7085"/>
      <c r="BH148" s="7086"/>
      <c r="BJ148" s="3"/>
      <c r="BK148" s="3"/>
      <c r="BL148" s="3"/>
      <c r="BM148" s="3"/>
      <c r="BN148" s="1"/>
      <c r="BO148" s="7380"/>
      <c r="BP148" s="1191" t="s">
        <v>1003</v>
      </c>
      <c r="BQ148" s="230"/>
      <c r="BR148" s="97"/>
      <c r="BS148" s="97"/>
      <c r="BT148" s="97"/>
      <c r="BU148" s="609"/>
      <c r="BW148" s="5">
        <v>1</v>
      </c>
    </row>
    <row r="149" spans="2:75" ht="18.75" customHeight="1" thickTop="1" thickBot="1">
      <c r="B149" s="214" t="s">
        <v>21</v>
      </c>
      <c r="C149" s="363" t="str">
        <f>C154</f>
        <v>Famille à coller.N.Nom de votre recette.Recette mère ►.S.Saisissez le nom de la recette mère</v>
      </c>
      <c r="D149" s="362"/>
      <c r="E149" s="362"/>
      <c r="F149" s="361" t="s">
        <v>245</v>
      </c>
      <c r="G149" s="360" t="s">
        <v>244</v>
      </c>
      <c r="H149" s="7649"/>
      <c r="I149" s="7649"/>
      <c r="J149" s="7603"/>
      <c r="K149" s="7603"/>
      <c r="L149" s="7604"/>
      <c r="N149" s="141"/>
      <c r="O149" s="141"/>
      <c r="P149" s="141"/>
      <c r="Q149" s="141"/>
      <c r="R149" s="1332" t="s">
        <v>86</v>
      </c>
      <c r="S149" s="1006"/>
      <c r="T149" s="1007"/>
      <c r="U149" s="1008"/>
      <c r="V149" s="1007"/>
      <c r="W149" s="1007"/>
      <c r="X149" s="1333"/>
      <c r="Z149" s="331"/>
      <c r="AA149" s="331"/>
      <c r="AB149" s="331"/>
      <c r="AC149" s="331"/>
      <c r="AD149" s="1466" t="s">
        <v>1204</v>
      </c>
      <c r="AG149" s="1464"/>
      <c r="AH149" s="1464"/>
      <c r="AI149" s="1464"/>
      <c r="AJ149" s="1465"/>
      <c r="AL149" s="331"/>
      <c r="AM149" s="331"/>
      <c r="AN149" s="331"/>
      <c r="AO149" s="331"/>
      <c r="AP149" s="1412" t="str">
        <f>SUM(AP140:AP148) &amp; " / " &amp; (COUNTA(AP140:AP148) * 3)</f>
        <v>4 / 6</v>
      </c>
      <c r="AQ149" s="988" t="s">
        <v>1177</v>
      </c>
      <c r="AR149" s="988"/>
      <c r="AS149" s="988"/>
      <c r="AT149" s="988"/>
      <c r="AU149" s="1406"/>
      <c r="AV149" s="1405" t="s">
        <v>1164</v>
      </c>
      <c r="AX149" s="141"/>
      <c r="AY149" s="141"/>
      <c r="AZ149" s="141"/>
      <c r="BA149" s="141"/>
      <c r="BB149" s="1376" t="s">
        <v>1147</v>
      </c>
      <c r="BC149" s="988"/>
      <c r="BD149" s="988"/>
      <c r="BE149" s="988"/>
      <c r="BF149" s="988"/>
      <c r="BG149" s="988"/>
      <c r="BH149" s="1325"/>
      <c r="BJ149" s="3"/>
      <c r="BK149" s="3"/>
      <c r="BL149" s="3"/>
      <c r="BM149" s="3"/>
      <c r="BN149" s="1"/>
      <c r="BO149" s="7380"/>
      <c r="BP149" s="1192" t="s">
        <v>1004</v>
      </c>
      <c r="BQ149" s="226"/>
      <c r="BR149" s="97"/>
      <c r="BS149" s="97"/>
      <c r="BT149" s="97"/>
      <c r="BU149" s="609"/>
      <c r="BW149" s="5">
        <v>1</v>
      </c>
    </row>
    <row r="150" spans="2:75" ht="18.75">
      <c r="B150" s="214" t="s">
        <v>21</v>
      </c>
      <c r="C150" s="354" t="str">
        <f>C154</f>
        <v>Famille à coller.N.Nom de votre recette.Recette mère ►.S.Saisissez le nom de la recette mère</v>
      </c>
      <c r="D150" s="353"/>
      <c r="E150" s="352"/>
      <c r="F150" s="351"/>
      <c r="G150" s="350" t="s">
        <v>233</v>
      </c>
      <c r="H150" s="349"/>
      <c r="I150" s="348" t="s">
        <v>232</v>
      </c>
      <c r="J150" s="347" t="s">
        <v>1092</v>
      </c>
      <c r="K150" s="141"/>
      <c r="L150" s="346"/>
      <c r="N150" s="141"/>
      <c r="O150" s="141"/>
      <c r="P150" s="141"/>
      <c r="Q150" s="141"/>
      <c r="R150" s="141"/>
      <c r="S150" s="141"/>
      <c r="T150" s="141"/>
      <c r="U150" s="141"/>
      <c r="V150" s="141"/>
      <c r="W150" s="141"/>
      <c r="X150" s="141"/>
      <c r="Z150" s="331"/>
      <c r="AA150" s="331"/>
      <c r="AB150" s="331"/>
      <c r="AC150" s="331"/>
      <c r="AD150" s="1466" t="s">
        <v>1205</v>
      </c>
      <c r="AG150" s="1464"/>
      <c r="AH150" s="1464"/>
      <c r="AI150" s="1464"/>
      <c r="AJ150" s="1465"/>
      <c r="AL150" s="331"/>
      <c r="AM150" s="331"/>
      <c r="AN150" s="331"/>
      <c r="AO150" s="331"/>
      <c r="AP150" s="1413" t="str">
        <f>SUM(AP140:AP148) &amp;"/ "&amp;AP151</f>
        <v>4/ 27</v>
      </c>
      <c r="AQ150" s="1414" t="s">
        <v>1178</v>
      </c>
      <c r="AR150" s="988"/>
      <c r="AS150" s="988"/>
      <c r="AT150" s="988"/>
      <c r="AU150" s="1415"/>
      <c r="AV150" s="1409" t="s">
        <v>1179</v>
      </c>
      <c r="AX150" s="141"/>
      <c r="AY150" s="141"/>
      <c r="AZ150" s="141"/>
      <c r="BA150" s="141"/>
      <c r="BB150" s="1319" t="s">
        <v>1148</v>
      </c>
      <c r="BC150" s="1320"/>
      <c r="BD150" s="1320"/>
      <c r="BE150" s="1320"/>
      <c r="BF150" s="1320"/>
      <c r="BG150" s="1320"/>
      <c r="BH150" s="1377"/>
      <c r="BJ150" s="3"/>
      <c r="BK150" s="3"/>
      <c r="BL150" s="3"/>
      <c r="BM150" s="3"/>
      <c r="BN150" s="1"/>
      <c r="BO150" s="7380"/>
      <c r="BP150" s="1192" t="s">
        <v>1005</v>
      </c>
      <c r="BQ150" s="226"/>
      <c r="BR150" s="97"/>
      <c r="BS150" s="97"/>
      <c r="BT150" s="97"/>
      <c r="BU150" s="609"/>
      <c r="BW150" s="5">
        <v>1</v>
      </c>
    </row>
    <row r="151" spans="2:75" ht="18.75" customHeight="1" thickBot="1">
      <c r="B151" s="214" t="s">
        <v>21</v>
      </c>
      <c r="C151" s="40" t="str">
        <f>C154</f>
        <v>Famille à coller.N.Nom de votre recette.Recette mère ►.S.Saisissez le nom de la recette mère</v>
      </c>
      <c r="D151" s="40"/>
      <c r="E151" s="40"/>
      <c r="F151" s="333" t="s">
        <v>228</v>
      </c>
      <c r="G151" s="341"/>
      <c r="H151" s="341"/>
      <c r="I151" s="340" t="s">
        <v>227</v>
      </c>
      <c r="J151" s="6901" t="str">
        <f>F154</f>
        <v>Famille à coller.N.Nom de votre recette.Recette mère ►.S.Saisissez le nom de la recette mère</v>
      </c>
      <c r="K151" s="6901"/>
      <c r="L151" s="7612"/>
      <c r="N151" s="141"/>
      <c r="O151" s="141"/>
      <c r="P151" s="141"/>
      <c r="Q151" s="141"/>
      <c r="R151" s="141"/>
      <c r="S151" s="141"/>
      <c r="T151" s="141"/>
      <c r="U151" s="141"/>
      <c r="V151" s="141"/>
      <c r="W151" s="141"/>
      <c r="X151" s="141"/>
      <c r="Z151" s="331"/>
      <c r="AA151" s="331"/>
      <c r="AB151" s="331"/>
      <c r="AC151" s="331"/>
      <c r="AD151" s="1323"/>
      <c r="AE151" s="988"/>
      <c r="AF151" s="988"/>
      <c r="AG151" s="988"/>
      <c r="AH151" s="988"/>
      <c r="AI151" s="988"/>
      <c r="AJ151" s="1325"/>
      <c r="AL151" s="331"/>
      <c r="AM151" s="331"/>
      <c r="AN151" s="331"/>
      <c r="AO151" s="331"/>
      <c r="AP151" s="1416">
        <v>27</v>
      </c>
      <c r="AQ151" s="1417" t="s">
        <v>1180</v>
      </c>
      <c r="AR151" s="988"/>
      <c r="AS151" s="988"/>
      <c r="AT151" s="988"/>
      <c r="AU151" s="1406"/>
      <c r="AV151" s="1405" t="s">
        <v>1181</v>
      </c>
      <c r="AX151" s="141"/>
      <c r="AY151" s="141"/>
      <c r="AZ151" s="141"/>
      <c r="BA151" s="141"/>
      <c r="BB151" s="7684" t="s">
        <v>1149</v>
      </c>
      <c r="BC151" s="7088"/>
      <c r="BD151" s="7088"/>
      <c r="BE151" s="7088"/>
      <c r="BF151" s="7088"/>
      <c r="BG151" s="7088"/>
      <c r="BH151" s="7089"/>
      <c r="BJ151" s="3"/>
      <c r="BK151" s="3"/>
      <c r="BL151" s="3"/>
      <c r="BM151" s="3"/>
      <c r="BN151" s="1"/>
      <c r="BO151" s="7380"/>
      <c r="BP151" t="s">
        <v>1006</v>
      </c>
      <c r="BQ151" s="226"/>
      <c r="BR151" s="97"/>
      <c r="BS151" s="97"/>
      <c r="BT151" s="97"/>
      <c r="BU151" s="609"/>
      <c r="BW151" s="5">
        <v>1</v>
      </c>
    </row>
    <row r="152" spans="2:75" ht="18.75" customHeight="1" thickTop="1">
      <c r="B152" s="214" t="s">
        <v>21</v>
      </c>
      <c r="C152" s="40" t="str">
        <f>C154</f>
        <v>Famille à coller.N.Nom de votre recette.Recette mère ►.S.Saisissez le nom de la recette mère</v>
      </c>
      <c r="D152" s="40"/>
      <c r="E152" s="40"/>
      <c r="F152" s="5453">
        <v>6</v>
      </c>
      <c r="G152" s="5452" t="s">
        <v>73</v>
      </c>
      <c r="H152" s="333"/>
      <c r="I152" s="333"/>
      <c r="J152" s="6901"/>
      <c r="K152" s="6901"/>
      <c r="L152" s="7612"/>
      <c r="N152" s="141"/>
      <c r="O152" s="141"/>
      <c r="P152" s="141"/>
      <c r="Q152" s="141"/>
      <c r="R152" s="1354" t="s">
        <v>252</v>
      </c>
      <c r="S152" s="1398"/>
      <c r="T152" s="1398"/>
      <c r="U152" s="1398"/>
      <c r="V152" s="1398"/>
      <c r="W152" s="1398"/>
      <c r="X152" s="1357" t="s">
        <v>1158</v>
      </c>
      <c r="Z152" s="331"/>
      <c r="AA152" s="331"/>
      <c r="AB152" s="331"/>
      <c r="AC152" s="331"/>
      <c r="AD152" s="1369" t="s">
        <v>864</v>
      </c>
      <c r="AE152" s="1321"/>
      <c r="AF152" s="1321"/>
      <c r="AG152" s="1321"/>
      <c r="AH152" s="1321"/>
      <c r="AI152" s="1321"/>
      <c r="AJ152" s="1370" t="s">
        <v>1141</v>
      </c>
      <c r="AL152" s="331"/>
      <c r="AM152" s="331"/>
      <c r="AN152" s="331"/>
      <c r="AO152" s="331"/>
      <c r="AP152" s="1418" t="s">
        <v>1182</v>
      </c>
      <c r="AQ152" s="988"/>
      <c r="AR152" s="988"/>
      <c r="AS152" s="988"/>
      <c r="AT152" s="988"/>
      <c r="AU152" s="1406"/>
      <c r="AV152" s="1419" t="s">
        <v>1183</v>
      </c>
      <c r="AX152" s="141"/>
      <c r="AY152" s="141"/>
      <c r="AZ152" s="141"/>
      <c r="BA152" s="141"/>
      <c r="BB152" s="7684"/>
      <c r="BC152" s="7088"/>
      <c r="BD152" s="7088"/>
      <c r="BE152" s="7088"/>
      <c r="BF152" s="7088"/>
      <c r="BG152" s="7088"/>
      <c r="BH152" s="7089"/>
      <c r="BJ152" s="3"/>
      <c r="BK152" s="3"/>
      <c r="BL152" s="3"/>
      <c r="BM152" s="3"/>
      <c r="BN152" s="1"/>
      <c r="BO152" s="7380"/>
      <c r="BP152" s="1193" t="s">
        <v>1007</v>
      </c>
      <c r="BQ152" s="226"/>
      <c r="BR152" s="97"/>
      <c r="BS152" s="97"/>
      <c r="BT152" s="97"/>
      <c r="BU152" s="609"/>
      <c r="BW152" s="5">
        <v>1</v>
      </c>
    </row>
    <row r="153" spans="2:75" ht="17.25" customHeight="1">
      <c r="B153" s="214" t="s">
        <v>26</v>
      </c>
      <c r="C153" s="40" t="str">
        <f>C154</f>
        <v>Famille à coller.N.Nom de votre recette.Recette mère ►.S.Saisissez le nom de la recette mère</v>
      </c>
      <c r="D153" s="40"/>
      <c r="E153" s="40"/>
      <c r="F153" s="327"/>
      <c r="G153" s="326"/>
      <c r="H153" s="326"/>
      <c r="I153" s="326"/>
      <c r="J153" s="326"/>
      <c r="K153" s="326"/>
      <c r="L153" s="1311"/>
      <c r="N153" s="141"/>
      <c r="O153" s="141"/>
      <c r="P153" s="141"/>
      <c r="Q153" s="141"/>
      <c r="R153" s="1400"/>
      <c r="S153" s="1401" t="s">
        <v>1159</v>
      </c>
      <c r="T153" s="1362"/>
      <c r="U153" s="1362"/>
      <c r="V153" s="1362"/>
      <c r="W153" s="1402" t="s">
        <v>1160</v>
      </c>
      <c r="X153" s="1403"/>
      <c r="Z153" s="331"/>
      <c r="AA153" s="331"/>
      <c r="AB153" s="331"/>
      <c r="AC153" s="331"/>
      <c r="AD153" s="1371"/>
      <c r="AE153" s="1371"/>
      <c r="AF153" s="1371"/>
      <c r="AG153" s="1371"/>
      <c r="AH153" s="1371"/>
      <c r="AI153" s="1371"/>
      <c r="AJ153" s="1371"/>
      <c r="AL153" s="331"/>
      <c r="AM153" s="331"/>
      <c r="AN153" s="331"/>
      <c r="AO153" s="331"/>
      <c r="AP153" s="1420"/>
      <c r="AQ153" s="1421"/>
      <c r="AR153" s="1421"/>
      <c r="AS153" s="1421"/>
      <c r="AT153" s="1421"/>
      <c r="AU153" s="1421"/>
      <c r="AV153" s="1339"/>
      <c r="AX153" s="141"/>
      <c r="AY153" s="141"/>
      <c r="AZ153" s="141"/>
      <c r="BA153" s="141"/>
      <c r="BB153" s="7684"/>
      <c r="BC153" s="7088"/>
      <c r="BD153" s="7088"/>
      <c r="BE153" s="7088"/>
      <c r="BF153" s="7088"/>
      <c r="BG153" s="7088"/>
      <c r="BH153" s="7089"/>
      <c r="BJ153" s="3"/>
      <c r="BK153" s="3"/>
      <c r="BL153" s="3"/>
      <c r="BM153" s="3"/>
      <c r="BN153" s="1"/>
      <c r="BO153" s="7380"/>
      <c r="BP153" s="1192" t="s">
        <v>1008</v>
      </c>
      <c r="BQ153" s="220"/>
      <c r="BR153" s="97"/>
      <c r="BS153" s="97"/>
      <c r="BT153" s="97"/>
      <c r="BU153" s="609"/>
      <c r="BW153" s="5">
        <v>1</v>
      </c>
    </row>
    <row r="154" spans="2:75" ht="15.75">
      <c r="B154" s="319" t="s">
        <v>26</v>
      </c>
      <c r="C154" s="318" t="str">
        <f>F154</f>
        <v>Famille à coller.N.Nom de votre recette.Recette mère ►.S.Saisissez le nom de la recette mère</v>
      </c>
      <c r="D154" s="318">
        <f>F152</f>
        <v>6</v>
      </c>
      <c r="E154" s="318" t="str">
        <f>G152</f>
        <v>couverts</v>
      </c>
      <c r="F154" s="5486" t="str">
        <f>UPPER(LEFT(H148,1))&amp;LOWER(MID(H148,2,999))&amp;"."&amp;UPPER(LEFT(J148,1))&amp;"."&amp;UPPER(LEFT(J148,1))&amp;LOWER(MID(J148,2,999))&amp;"."&amp;IF(ISTEXT(L154),K154&amp;"."&amp;UPPER(LEFT(L154,1))&amp;"."&amp;UPPER(LEFT(L154,1))&amp;LOWER(MID(L154,2,999)),G154)</f>
        <v>Famille à coller.N.Nom de votre recette.Recette mère ►.S.Saisissez le nom de la recette mère</v>
      </c>
      <c r="G154" s="5487" t="s">
        <v>223</v>
      </c>
      <c r="H154" s="7613" t="s">
        <v>222</v>
      </c>
      <c r="I154" s="7613"/>
      <c r="J154" s="7613"/>
      <c r="K154" s="317" t="s">
        <v>221</v>
      </c>
      <c r="L154" s="1302" t="s">
        <v>1093</v>
      </c>
      <c r="N154" s="141"/>
      <c r="O154" s="141"/>
      <c r="P154" s="141"/>
      <c r="Q154" s="141"/>
      <c r="R154" s="1400">
        <v>3</v>
      </c>
      <c r="S154" s="1404" t="s">
        <v>1163</v>
      </c>
      <c r="T154" s="988"/>
      <c r="U154" s="988"/>
      <c r="V154" s="988"/>
      <c r="W154" s="1358" t="s">
        <v>1118</v>
      </c>
      <c r="X154" s="1405" t="s">
        <v>1162</v>
      </c>
      <c r="Z154" s="331"/>
      <c r="AA154" s="331"/>
      <c r="AB154" s="331"/>
      <c r="AC154" s="331"/>
      <c r="AD154" s="1371"/>
      <c r="AE154" s="1371"/>
      <c r="AF154" s="1371"/>
      <c r="AG154" s="1371"/>
      <c r="AH154" s="1371"/>
      <c r="AI154" s="1371"/>
      <c r="AJ154" s="1371"/>
      <c r="AL154" s="331"/>
      <c r="AM154" s="331"/>
      <c r="AN154" s="331"/>
      <c r="AO154" s="331"/>
      <c r="AP154" s="1369" t="s">
        <v>864</v>
      </c>
      <c r="AQ154" s="1321"/>
      <c r="AR154" s="1321"/>
      <c r="AS154" s="1321"/>
      <c r="AT154" s="1321"/>
      <c r="AU154" s="1321"/>
      <c r="AV154" s="1370" t="s">
        <v>1141</v>
      </c>
      <c r="AX154" s="141"/>
      <c r="AY154" s="141"/>
      <c r="AZ154" s="141"/>
      <c r="BA154" s="141"/>
      <c r="BB154" s="7684"/>
      <c r="BC154" s="7088"/>
      <c r="BD154" s="7088"/>
      <c r="BE154" s="7088"/>
      <c r="BF154" s="7088"/>
      <c r="BG154" s="7088"/>
      <c r="BH154" s="7089"/>
      <c r="BJ154" s="3"/>
      <c r="BK154" s="3"/>
      <c r="BL154" s="3"/>
      <c r="BM154" s="3"/>
      <c r="BN154" s="1"/>
      <c r="BO154" s="1160"/>
      <c r="BP154" s="141"/>
      <c r="BQ154" s="141"/>
      <c r="BR154" s="141"/>
      <c r="BS154" s="141"/>
      <c r="BT154" s="141"/>
      <c r="BU154" s="409"/>
      <c r="BW154" s="5">
        <v>1</v>
      </c>
    </row>
    <row r="155" spans="2:75" ht="18.75">
      <c r="B155" s="5477" t="s">
        <v>21</v>
      </c>
      <c r="C155" s="1313" t="str">
        <f>$C$39</f>
        <v>Famille à coller.N.Nom de votre recette.Recette mère ►.S.Saisissez le nom de la recette mère</v>
      </c>
      <c r="D155" s="1313">
        <f>$D$39</f>
        <v>6</v>
      </c>
      <c r="E155" s="1313" t="str">
        <f>$E$39</f>
        <v>couverts</v>
      </c>
      <c r="F155" s="1314" t="s">
        <v>218</v>
      </c>
      <c r="G155" s="1314" cm="1">
        <f t="array" ref="G155">IFERROR(ROW(F165)-(ROW(F156)+MATCH(TRUE,INDEX(ISNUMBER(FIND(K155,TRIM(SUBSTITUTE(SUBSTITUTE(SUBSTITUTE(SUBSTITUTE(SUBSTITUTE(SUBSTITUTE(SUBSTITUTE(LOWER(F156:F165),"é","e"),"è","e"),"ê","e"),"ë","e"),"à","a"),"ù","u"),"î","i")))),0),0)-1),1)</f>
        <v>3</v>
      </c>
      <c r="H155" s="1315" t="s">
        <v>1206</v>
      </c>
      <c r="I155" s="1316"/>
      <c r="J155" s="1316"/>
      <c r="K155" s="1317" t="str">
        <f>TRIM(SUBSTITUTE(SUBSTITUTE(SUBSTITUTE(SUBSTITUTE(SUBSTITUTE(SUBSTITUTE(SUBSTITUTE(LOWER(L155),"é","e"),"è","e"),"ê","e"),"ë","e"),"à","a"),"ù","u"),"î","i"))</f>
        <v>⓬ conseils</v>
      </c>
      <c r="L155" s="1467" t="s">
        <v>1207</v>
      </c>
      <c r="N155" s="141"/>
      <c r="O155" s="141"/>
      <c r="P155" s="141"/>
      <c r="Q155" s="141"/>
      <c r="R155" s="1400"/>
      <c r="S155" s="1404" t="s">
        <v>1165</v>
      </c>
      <c r="T155" s="988"/>
      <c r="U155" s="988"/>
      <c r="V155" s="988"/>
      <c r="W155" s="1406"/>
      <c r="X155" s="1405" t="s">
        <v>1164</v>
      </c>
      <c r="Z155" s="331"/>
      <c r="AA155" s="331"/>
      <c r="AB155" s="331"/>
      <c r="AC155" s="331"/>
      <c r="AD155" s="1354" t="s">
        <v>252</v>
      </c>
      <c r="AE155" s="1355"/>
      <c r="AF155" s="1355"/>
      <c r="AG155" s="1355"/>
      <c r="AH155" s="1355"/>
      <c r="AI155" s="1356"/>
      <c r="AJ155" s="1357" t="s">
        <v>1117</v>
      </c>
      <c r="AL155" s="331"/>
      <c r="AM155" s="331"/>
      <c r="AN155" s="331"/>
      <c r="AO155" s="331"/>
      <c r="AP155" s="1371"/>
      <c r="AQ155" s="1371"/>
      <c r="AR155" s="1371"/>
      <c r="AS155" s="1371"/>
      <c r="AT155" s="1371"/>
      <c r="AU155" s="1371"/>
      <c r="AV155" s="1371"/>
      <c r="AX155" s="141"/>
      <c r="AY155" s="141"/>
      <c r="AZ155" s="141"/>
      <c r="BA155" s="141"/>
      <c r="BB155" s="1380"/>
      <c r="BC155" s="1381"/>
      <c r="BD155" s="1381"/>
      <c r="BE155" s="1381"/>
      <c r="BF155" s="1381"/>
      <c r="BG155" s="1382"/>
      <c r="BH155" s="1383"/>
      <c r="BJ155" s="3"/>
      <c r="BK155" s="3"/>
      <c r="BL155" s="3"/>
      <c r="BM155" s="3"/>
      <c r="BN155" s="1"/>
      <c r="BO155" s="1160"/>
      <c r="BP155" s="141"/>
      <c r="BQ155" s="141"/>
      <c r="BR155" s="141"/>
      <c r="BS155" s="141"/>
      <c r="BT155" s="141"/>
      <c r="BU155" s="409"/>
      <c r="BW155" s="5">
        <v>1</v>
      </c>
    </row>
    <row r="156" spans="2:75" ht="15" customHeight="1">
      <c r="B156" s="1468" t="s">
        <v>21</v>
      </c>
      <c r="C156" s="196" t="str">
        <f>C155</f>
        <v>Famille à coller.N.Nom de votre recette.Recette mère ►.S.Saisissez le nom de la recette mère</v>
      </c>
      <c r="D156" s="196">
        <f>D155</f>
        <v>6</v>
      </c>
      <c r="E156" s="196" t="str">
        <f>E155</f>
        <v>couverts</v>
      </c>
      <c r="F156" s="1469" t="s">
        <v>1208</v>
      </c>
      <c r="G156" s="1249" t="s">
        <v>1186</v>
      </c>
      <c r="H156" s="1249"/>
      <c r="I156" s="1470" t="s">
        <v>1209</v>
      </c>
      <c r="J156" s="1470" t="s">
        <v>1210</v>
      </c>
      <c r="K156" s="997"/>
      <c r="L156" s="1471" t="s">
        <v>1211</v>
      </c>
      <c r="N156" s="141"/>
      <c r="O156" s="141"/>
      <c r="P156" s="141"/>
      <c r="Q156" s="141"/>
      <c r="R156" s="1400">
        <v>1</v>
      </c>
      <c r="S156" s="1404" t="s">
        <v>1167</v>
      </c>
      <c r="T156" s="988"/>
      <c r="U156" s="988"/>
      <c r="V156" s="988"/>
      <c r="W156" s="1407"/>
      <c r="X156" s="1408" t="s">
        <v>1166</v>
      </c>
      <c r="Z156" s="331"/>
      <c r="AA156" s="331"/>
      <c r="AB156" s="331"/>
      <c r="AC156" s="331"/>
      <c r="AD156" s="1424" t="s">
        <v>1185</v>
      </c>
      <c r="AE156" s="1425" t="s">
        <v>1186</v>
      </c>
      <c r="AF156" s="1426"/>
      <c r="AG156" s="1426" t="s">
        <v>1187</v>
      </c>
      <c r="AH156" s="1426" t="s">
        <v>1188</v>
      </c>
      <c r="AI156" s="1426" t="s">
        <v>1189</v>
      </c>
      <c r="AJ156" s="1427" t="s">
        <v>1190</v>
      </c>
      <c r="AL156" s="331"/>
      <c r="AM156" s="331"/>
      <c r="AN156" s="331"/>
      <c r="AO156" s="331"/>
      <c r="AP156" s="1371"/>
      <c r="AQ156" s="1371"/>
      <c r="AR156" s="1371"/>
      <c r="AS156" s="1371"/>
      <c r="AT156" s="1371"/>
      <c r="AU156" s="1371"/>
      <c r="AV156" s="1371"/>
      <c r="AX156" s="141"/>
      <c r="AY156" s="141"/>
      <c r="AZ156" s="141"/>
      <c r="BA156" s="141"/>
      <c r="BB156" s="1369" t="s">
        <v>864</v>
      </c>
      <c r="BC156" s="1321"/>
      <c r="BD156" s="1321"/>
      <c r="BE156" s="1321"/>
      <c r="BF156" s="1321"/>
      <c r="BG156" s="1321"/>
      <c r="BH156" s="1370" t="s">
        <v>1141</v>
      </c>
      <c r="BJ156" s="3"/>
      <c r="BK156" s="3"/>
      <c r="BL156" s="3"/>
      <c r="BM156" s="3"/>
      <c r="BN156" s="1"/>
      <c r="BO156" s="1160"/>
      <c r="BP156" s="141"/>
      <c r="BQ156" s="141"/>
      <c r="BR156" s="141"/>
      <c r="BS156" s="141"/>
      <c r="BT156" s="141"/>
      <c r="BU156" s="409"/>
      <c r="BW156" s="5">
        <v>1</v>
      </c>
    </row>
    <row r="157" spans="2:75" ht="17.25" customHeight="1">
      <c r="B157" s="1472" t="s">
        <v>21</v>
      </c>
      <c r="C157" s="196" t="str">
        <f>C155</f>
        <v>Famille à coller.N.Nom de votre recette.Recette mère ►.S.Saisissez le nom de la recette mère</v>
      </c>
      <c r="D157" s="196">
        <f>D155</f>
        <v>6</v>
      </c>
      <c r="E157" s="196" t="str">
        <f>E155</f>
        <v>couverts</v>
      </c>
      <c r="F157" s="1473" t="s">
        <v>1212</v>
      </c>
      <c r="G157" s="1474">
        <v>4.1666666666666699E-2</v>
      </c>
      <c r="H157" s="1475"/>
      <c r="I157" s="1475">
        <v>220</v>
      </c>
      <c r="J157" s="1476" t="s">
        <v>1213</v>
      </c>
      <c r="K157" s="997"/>
      <c r="L157" s="1477"/>
      <c r="N157" s="141"/>
      <c r="O157" s="141"/>
      <c r="P157" s="141"/>
      <c r="Q157" s="141"/>
      <c r="R157" s="1400"/>
      <c r="S157" s="1404" t="s">
        <v>1168</v>
      </c>
      <c r="T157" s="988"/>
      <c r="U157" s="988"/>
      <c r="V157" s="988"/>
      <c r="W157" s="1406"/>
      <c r="X157" s="1405" t="s">
        <v>1162</v>
      </c>
      <c r="Z157" s="331"/>
      <c r="AA157" s="331"/>
      <c r="AB157" s="331"/>
      <c r="AC157" s="331"/>
      <c r="AD157" s="1478"/>
      <c r="AE157" s="1429">
        <v>2.4305555555555556E-2</v>
      </c>
      <c r="AF157" s="141"/>
      <c r="AG157" s="1389">
        <v>100</v>
      </c>
      <c r="AH157" s="1430">
        <v>0.6</v>
      </c>
      <c r="AI157" s="1431" t="s">
        <v>1191</v>
      </c>
      <c r="AJ157" s="1432" t="s">
        <v>1192</v>
      </c>
      <c r="AL157" s="331"/>
      <c r="AM157" s="331"/>
      <c r="AN157" s="331"/>
      <c r="AO157" s="331"/>
      <c r="AP157" s="369" t="s">
        <v>252</v>
      </c>
      <c r="AQ157" s="1433"/>
      <c r="AR157" s="1433"/>
      <c r="AS157" s="1433"/>
      <c r="AT157" s="1433"/>
      <c r="AU157" s="1433"/>
      <c r="AV157" s="1434" t="s">
        <v>1158</v>
      </c>
      <c r="AX157" s="141"/>
      <c r="AY157" s="141"/>
      <c r="AZ157" s="141"/>
      <c r="BA157" s="141"/>
      <c r="BB157" s="1371"/>
      <c r="BC157" s="1371"/>
      <c r="BD157" s="1371"/>
      <c r="BE157" s="1371"/>
      <c r="BF157" s="1371"/>
      <c r="BG157" s="1371"/>
      <c r="BH157" s="1371"/>
      <c r="BJ157" s="3"/>
      <c r="BK157" s="3"/>
      <c r="BL157" s="3"/>
      <c r="BM157" s="3"/>
      <c r="BN157" s="1"/>
      <c r="BO157" s="1160"/>
      <c r="BP157" s="141"/>
      <c r="BQ157" s="141"/>
      <c r="BR157" s="141"/>
      <c r="BS157" s="141"/>
      <c r="BT157" s="141"/>
      <c r="BU157" s="409"/>
      <c r="BW157" s="5">
        <v>1</v>
      </c>
    </row>
    <row r="158" spans="2:75" ht="18.75">
      <c r="B158" s="1468" t="s">
        <v>21</v>
      </c>
      <c r="C158" s="196" t="str">
        <f>C155</f>
        <v>Famille à coller.N.Nom de votre recette.Recette mère ►.S.Saisissez le nom de la recette mère</v>
      </c>
      <c r="D158" s="196">
        <f>D155</f>
        <v>6</v>
      </c>
      <c r="E158" s="196" t="str">
        <f>E155</f>
        <v>couverts</v>
      </c>
      <c r="F158" s="1479" t="s">
        <v>1208</v>
      </c>
      <c r="G158" s="1480"/>
      <c r="H158" s="1480"/>
      <c r="I158" s="1480" t="s">
        <v>1214</v>
      </c>
      <c r="J158" s="1481" t="s">
        <v>1215</v>
      </c>
      <c r="K158" s="1481"/>
      <c r="L158" s="1477"/>
      <c r="N158" s="141"/>
      <c r="O158" s="141"/>
      <c r="P158" s="141"/>
      <c r="Q158" s="141"/>
      <c r="R158" s="1400"/>
      <c r="S158" s="1404" t="s">
        <v>1170</v>
      </c>
      <c r="T158" s="988"/>
      <c r="U158" s="988"/>
      <c r="V158" s="988"/>
      <c r="W158" s="1406"/>
      <c r="X158" s="1405" t="s">
        <v>1169</v>
      </c>
      <c r="Z158" s="331"/>
      <c r="AA158" s="331"/>
      <c r="AB158" s="331"/>
      <c r="AC158" s="331"/>
      <c r="AD158" s="1478" t="s">
        <v>1193</v>
      </c>
      <c r="AE158" s="1429">
        <v>1.0416666666666666E-2</v>
      </c>
      <c r="AF158" s="141"/>
      <c r="AG158" s="1389">
        <v>100</v>
      </c>
      <c r="AH158" s="1430">
        <v>0.6</v>
      </c>
      <c r="AI158" s="1431" t="s">
        <v>1194</v>
      </c>
      <c r="AJ158" s="1432" t="s">
        <v>1195</v>
      </c>
      <c r="AL158" s="331"/>
      <c r="AM158" s="331"/>
      <c r="AN158" s="331"/>
      <c r="AO158" s="331"/>
      <c r="AP158" s="1435"/>
      <c r="AQ158" s="1435"/>
      <c r="AR158" s="1435"/>
      <c r="AS158" s="1435"/>
      <c r="AT158" s="1435"/>
      <c r="AU158" s="1435"/>
      <c r="AV158" s="1436" t="s">
        <v>1196</v>
      </c>
      <c r="AX158" s="141"/>
      <c r="AY158" s="141"/>
      <c r="AZ158" s="141"/>
      <c r="BA158" s="141"/>
      <c r="BB158" s="1371"/>
      <c r="BC158" s="1371"/>
      <c r="BD158" s="1371"/>
      <c r="BE158" s="1371"/>
      <c r="BF158" s="1371"/>
      <c r="BG158" s="1371"/>
      <c r="BH158" s="1371"/>
      <c r="BJ158" s="3"/>
      <c r="BK158" s="3"/>
      <c r="BL158" s="3"/>
      <c r="BM158" s="3"/>
      <c r="BN158" s="1"/>
      <c r="BO158" s="1160"/>
      <c r="BP158" s="141"/>
      <c r="BQ158" s="141"/>
      <c r="BR158" s="141"/>
      <c r="BS158" s="141"/>
      <c r="BT158" s="141"/>
      <c r="BU158" s="409"/>
      <c r="BW158" s="5">
        <v>1</v>
      </c>
    </row>
    <row r="159" spans="2:75" ht="15.75" customHeight="1">
      <c r="B159" s="1472" t="s">
        <v>21</v>
      </c>
      <c r="C159" s="196" t="str">
        <f>C155</f>
        <v>Famille à coller.N.Nom de votre recette.Recette mère ►.S.Saisissez le nom de la recette mère</v>
      </c>
      <c r="D159" s="196">
        <f>D155</f>
        <v>6</v>
      </c>
      <c r="E159" s="196" t="str">
        <f>E155</f>
        <v>couverts</v>
      </c>
      <c r="F159" s="1482" t="s">
        <v>1216</v>
      </c>
      <c r="G159" s="1483"/>
      <c r="H159" s="1484"/>
      <c r="I159" s="1484">
        <v>250</v>
      </c>
      <c r="J159" s="1485" t="s">
        <v>1217</v>
      </c>
      <c r="K159" s="1485"/>
      <c r="L159" s="1477"/>
      <c r="N159" s="141"/>
      <c r="O159" s="141"/>
      <c r="P159" s="141"/>
      <c r="Q159" s="141"/>
      <c r="R159" s="1400"/>
      <c r="S159" s="1404" t="s">
        <v>1172</v>
      </c>
      <c r="T159" s="988"/>
      <c r="U159" s="988"/>
      <c r="V159" s="988"/>
      <c r="W159" s="5423" t="s">
        <v>1171</v>
      </c>
      <c r="X159" s="1405" t="s">
        <v>1164</v>
      </c>
      <c r="Z159" s="331"/>
      <c r="AA159" s="331"/>
      <c r="AB159" s="331"/>
      <c r="AC159" s="331"/>
      <c r="AD159" s="1478" t="s">
        <v>1197</v>
      </c>
      <c r="AE159" s="1429">
        <v>5.2083333333333301E-2</v>
      </c>
      <c r="AF159" s="141"/>
      <c r="AG159" s="1389">
        <v>100</v>
      </c>
      <c r="AH159" s="1430">
        <v>0.6</v>
      </c>
      <c r="AI159" s="1431" t="s">
        <v>1191</v>
      </c>
      <c r="AJ159" s="1432" t="s">
        <v>1198</v>
      </c>
      <c r="AL159" s="331"/>
      <c r="AM159" s="331"/>
      <c r="AN159" s="331"/>
      <c r="AO159" s="331"/>
      <c r="AP159" s="1437" t="s">
        <v>1199</v>
      </c>
      <c r="AQ159" s="1438" t="s">
        <v>1200</v>
      </c>
      <c r="AR159" s="1362"/>
      <c r="AS159" s="1439" t="s">
        <v>1201</v>
      </c>
      <c r="AT159" s="1440" t="s">
        <v>1202</v>
      </c>
      <c r="AU159" s="988"/>
      <c r="AV159" s="1325"/>
      <c r="AX159" s="141"/>
      <c r="AY159" s="141"/>
      <c r="AZ159" s="141"/>
      <c r="BA159" s="141"/>
      <c r="BB159" s="1354" t="s">
        <v>252</v>
      </c>
      <c r="BC159" s="1398"/>
      <c r="BD159" s="1398"/>
      <c r="BE159" s="1398"/>
      <c r="BF159" s="1398"/>
      <c r="BG159" s="1398"/>
      <c r="BH159" s="1357" t="s">
        <v>1158</v>
      </c>
      <c r="BJ159" s="3"/>
      <c r="BK159" s="3"/>
      <c r="BL159" s="3"/>
      <c r="BM159" s="3"/>
      <c r="BN159" s="1"/>
      <c r="BO159" s="1160"/>
      <c r="BP159" s="141"/>
      <c r="BQ159" s="141"/>
      <c r="BR159" s="141"/>
      <c r="BS159" s="141"/>
      <c r="BT159" s="141"/>
      <c r="BU159" s="409"/>
      <c r="BW159" s="5">
        <v>1</v>
      </c>
    </row>
    <row r="160" spans="2:75" ht="16.5" thickBot="1">
      <c r="B160" s="1468" t="s">
        <v>21</v>
      </c>
      <c r="C160" s="196" t="str">
        <f>C155</f>
        <v>Famille à coller.N.Nom de votre recette.Recette mère ►.S.Saisissez le nom de la recette mère</v>
      </c>
      <c r="D160" s="196">
        <f>D155</f>
        <v>6</v>
      </c>
      <c r="E160" s="196" t="str">
        <f>E155</f>
        <v>couverts</v>
      </c>
      <c r="F160" s="1479" t="s">
        <v>1208</v>
      </c>
      <c r="G160" s="1480"/>
      <c r="H160" s="1480"/>
      <c r="I160" s="1480" t="s">
        <v>1214</v>
      </c>
      <c r="J160" s="1481" t="s">
        <v>1215</v>
      </c>
      <c r="K160" s="1481"/>
      <c r="L160" s="1477"/>
      <c r="N160" s="141"/>
      <c r="O160" s="141"/>
      <c r="P160" s="141"/>
      <c r="Q160" s="141"/>
      <c r="R160" s="1410"/>
      <c r="S160" s="1404" t="s">
        <v>1174</v>
      </c>
      <c r="T160" s="988"/>
      <c r="U160" s="988"/>
      <c r="V160" s="988"/>
      <c r="W160" s="1407"/>
      <c r="X160" s="1409" t="s">
        <v>1173</v>
      </c>
      <c r="Z160" s="331"/>
      <c r="AA160" s="331"/>
      <c r="AB160" s="331"/>
      <c r="AC160" s="331"/>
      <c r="AD160" s="1478" t="s">
        <v>157</v>
      </c>
      <c r="AE160" s="1429">
        <v>9.375E-2</v>
      </c>
      <c r="AF160" s="141"/>
      <c r="AG160" s="1389">
        <v>100</v>
      </c>
      <c r="AH160" s="1430">
        <v>0.6</v>
      </c>
      <c r="AI160" s="1431" t="s">
        <v>1194</v>
      </c>
      <c r="AJ160" s="1432" t="s">
        <v>1218</v>
      </c>
      <c r="AL160" s="331"/>
      <c r="AM160" s="331"/>
      <c r="AN160" s="331"/>
      <c r="AO160" s="331"/>
      <c r="AP160" s="1444"/>
      <c r="AQ160" s="1445"/>
      <c r="AR160" s="988"/>
      <c r="AS160" s="1446"/>
      <c r="AT160" s="1447"/>
      <c r="AU160" s="1257" t="s">
        <v>1159</v>
      </c>
      <c r="AV160" s="1325"/>
      <c r="AX160" s="141"/>
      <c r="AY160" s="141"/>
      <c r="AZ160" s="141"/>
      <c r="BA160" s="141"/>
      <c r="BB160" s="1400"/>
      <c r="BC160" s="1401" t="s">
        <v>1159</v>
      </c>
      <c r="BD160" s="1362"/>
      <c r="BE160" s="1362"/>
      <c r="BF160" s="1362"/>
      <c r="BG160" s="1402" t="s">
        <v>1160</v>
      </c>
      <c r="BH160" s="1403"/>
      <c r="BJ160" s="3"/>
      <c r="BK160" s="3"/>
      <c r="BL160" s="3"/>
      <c r="BM160" s="3"/>
      <c r="BN160" s="1"/>
      <c r="BO160" s="1160"/>
      <c r="BP160" s="141"/>
      <c r="BQ160" s="141"/>
      <c r="BR160" s="141"/>
      <c r="BS160" s="141"/>
      <c r="BT160" s="141"/>
      <c r="BU160" s="409"/>
      <c r="BW160" s="5">
        <v>1</v>
      </c>
    </row>
    <row r="161" spans="2:75" ht="16.5" thickTop="1">
      <c r="B161" s="1472" t="s">
        <v>21</v>
      </c>
      <c r="C161" s="196" t="str">
        <f>C155</f>
        <v>Famille à coller.N.Nom de votre recette.Recette mère ►.S.Saisissez le nom de la recette mère</v>
      </c>
      <c r="D161" s="196">
        <f>D155</f>
        <v>6</v>
      </c>
      <c r="E161" s="196" t="str">
        <f>E155</f>
        <v>couverts</v>
      </c>
      <c r="F161" s="1482" t="s">
        <v>1216</v>
      </c>
      <c r="G161" s="1483">
        <v>4.8611111111111112E-3</v>
      </c>
      <c r="H161" s="1484"/>
      <c r="I161" s="1484">
        <v>250</v>
      </c>
      <c r="J161" s="1485" t="s">
        <v>1219</v>
      </c>
      <c r="K161" s="1485"/>
      <c r="L161" s="1477"/>
      <c r="N161" s="141"/>
      <c r="O161" s="141"/>
      <c r="P161" s="141"/>
      <c r="Q161" s="141"/>
      <c r="R161" s="1412" t="str">
        <f>SUM(R153:R160) &amp; " / " &amp; (COUNTA(R153:R160) * 3)</f>
        <v>4 / 6</v>
      </c>
      <c r="S161" s="988" t="s">
        <v>1177</v>
      </c>
      <c r="T161" s="988"/>
      <c r="U161" s="988"/>
      <c r="V161" s="988"/>
      <c r="W161" s="1411" t="s">
        <v>1175</v>
      </c>
      <c r="X161" s="1405" t="s">
        <v>1176</v>
      </c>
      <c r="Z161" s="331"/>
      <c r="AA161" s="331"/>
      <c r="AB161" s="331"/>
      <c r="AC161" s="331"/>
      <c r="AD161" s="1441"/>
      <c r="AE161" s="1442">
        <f>SUM(AE157:AE160)</f>
        <v>0.18055555555555552</v>
      </c>
      <c r="AF161" s="1385"/>
      <c r="AG161" s="1385"/>
      <c r="AH161" s="1385"/>
      <c r="AI161" s="1385"/>
      <c r="AJ161" s="1443"/>
      <c r="AL161" s="331"/>
      <c r="AM161" s="331"/>
      <c r="AN161" s="331"/>
      <c r="AO161" s="331"/>
      <c r="AP161" s="1444">
        <v>3</v>
      </c>
      <c r="AQ161" s="1445"/>
      <c r="AR161" s="988"/>
      <c r="AS161" s="1446"/>
      <c r="AT161" s="1447"/>
      <c r="AU161" s="1257" t="s">
        <v>1163</v>
      </c>
      <c r="AV161" s="1325"/>
      <c r="AX161" s="141"/>
      <c r="AY161" s="141"/>
      <c r="AZ161" s="141"/>
      <c r="BA161" s="141"/>
      <c r="BB161" s="1400"/>
      <c r="BC161" s="1404" t="s">
        <v>1161</v>
      </c>
      <c r="BD161" s="988"/>
      <c r="BE161" s="988"/>
      <c r="BF161" s="988"/>
      <c r="BG161" s="1358" t="s">
        <v>1118</v>
      </c>
      <c r="BH161" s="1405" t="s">
        <v>1162</v>
      </c>
      <c r="BJ161" s="3"/>
      <c r="BK161" s="3"/>
      <c r="BL161" s="3"/>
      <c r="BM161" s="3"/>
      <c r="BN161" s="1"/>
      <c r="BO161" s="1160"/>
      <c r="BP161" s="141"/>
      <c r="BQ161" s="141"/>
      <c r="BR161" s="141"/>
      <c r="BS161" s="141"/>
      <c r="BT161" s="141"/>
      <c r="BU161" s="409"/>
      <c r="BW161" s="5">
        <v>1</v>
      </c>
    </row>
    <row r="162" spans="2:75" ht="17.25" customHeight="1">
      <c r="B162" s="1037" t="s">
        <v>21</v>
      </c>
      <c r="C162" s="196" t="str">
        <f>C155</f>
        <v>Famille à coller.N.Nom de votre recette.Recette mère ►.S.Saisissez le nom de la recette mère</v>
      </c>
      <c r="D162" s="196">
        <f>D155</f>
        <v>6</v>
      </c>
      <c r="E162" s="196" t="str">
        <f>E155</f>
        <v>couverts</v>
      </c>
      <c r="F162" s="1486" t="s">
        <v>1207</v>
      </c>
      <c r="G162" s="1321"/>
      <c r="H162" s="1321"/>
      <c r="I162" s="1321"/>
      <c r="J162" s="1321"/>
      <c r="K162" s="1321"/>
      <c r="L162" s="1370"/>
      <c r="N162" s="141"/>
      <c r="O162" s="141"/>
      <c r="P162" s="141"/>
      <c r="Q162" s="141"/>
      <c r="R162" s="1413" t="str">
        <f>SUM(R153:R160) &amp;"/ "&amp;R163</f>
        <v>4/ 24</v>
      </c>
      <c r="S162" s="1414" t="s">
        <v>1178</v>
      </c>
      <c r="T162" s="988"/>
      <c r="U162" s="988"/>
      <c r="V162" s="988"/>
      <c r="W162" s="1406"/>
      <c r="X162" s="1405" t="s">
        <v>1164</v>
      </c>
      <c r="Z162" s="331"/>
      <c r="AA162" s="331"/>
      <c r="AB162" s="331"/>
      <c r="AC162" s="331"/>
      <c r="AD162" s="1369" t="s">
        <v>864</v>
      </c>
      <c r="AE162" s="1321"/>
      <c r="AF162" s="1321"/>
      <c r="AG162" s="1321"/>
      <c r="AH162" s="1321"/>
      <c r="AI162" s="1321"/>
      <c r="AJ162" s="1370" t="s">
        <v>1141</v>
      </c>
      <c r="AL162" s="331"/>
      <c r="AM162" s="331"/>
      <c r="AN162" s="331"/>
      <c r="AO162" s="331"/>
      <c r="AP162" s="1444"/>
      <c r="AQ162" s="1445"/>
      <c r="AR162" s="988"/>
      <c r="AS162" s="1446"/>
      <c r="AT162" s="1447"/>
      <c r="AU162" s="1257" t="s">
        <v>1165</v>
      </c>
      <c r="AV162" s="1325"/>
      <c r="AX162" s="141"/>
      <c r="AY162" s="141"/>
      <c r="AZ162" s="141"/>
      <c r="BA162" s="141"/>
      <c r="BB162" s="1400">
        <v>3</v>
      </c>
      <c r="BC162" s="1404" t="s">
        <v>1163</v>
      </c>
      <c r="BD162" s="988"/>
      <c r="BE162" s="988"/>
      <c r="BF162" s="988"/>
      <c r="BG162" s="1406"/>
      <c r="BH162" s="1405" t="s">
        <v>1164</v>
      </c>
      <c r="BJ162" s="3"/>
      <c r="BK162" s="3"/>
      <c r="BL162" s="3"/>
      <c r="BM162" s="3"/>
      <c r="BN162" s="1"/>
      <c r="BO162" s="1160"/>
      <c r="BP162" s="141"/>
      <c r="BQ162" s="141"/>
      <c r="BR162" s="141"/>
      <c r="BS162" s="141"/>
      <c r="BT162" s="141"/>
      <c r="BU162" s="409"/>
      <c r="BW162" s="5">
        <v>1</v>
      </c>
    </row>
    <row r="163" spans="2:75" ht="19.5" thickBot="1">
      <c r="B163" s="1037" t="s">
        <v>21</v>
      </c>
      <c r="C163" s="196" t="str">
        <f>C155</f>
        <v>Famille à coller.N.Nom de votre recette.Recette mère ►.S.Saisissez le nom de la recette mère</v>
      </c>
      <c r="D163" s="196">
        <f>D155</f>
        <v>6</v>
      </c>
      <c r="E163" s="196" t="str">
        <f>E155</f>
        <v>couverts</v>
      </c>
      <c r="F163" s="1319"/>
      <c r="G163" s="1320"/>
      <c r="H163" s="1320"/>
      <c r="I163" s="1320"/>
      <c r="J163" s="1320"/>
      <c r="K163" s="1320"/>
      <c r="L163" s="1324"/>
      <c r="N163" s="141"/>
      <c r="O163" s="141"/>
      <c r="P163" s="141"/>
      <c r="Q163" s="141"/>
      <c r="R163" s="1416">
        <v>24</v>
      </c>
      <c r="S163" s="1417" t="s">
        <v>1180</v>
      </c>
      <c r="T163" s="988"/>
      <c r="U163" s="988"/>
      <c r="V163" s="988"/>
      <c r="W163" s="1415"/>
      <c r="X163" s="1409" t="s">
        <v>1179</v>
      </c>
      <c r="Z163" s="331"/>
      <c r="AA163" s="331"/>
      <c r="AB163" s="331"/>
      <c r="AC163" s="331"/>
      <c r="AD163" s="1371"/>
      <c r="AE163" s="1371"/>
      <c r="AF163" s="1371"/>
      <c r="AG163" s="1371"/>
      <c r="AH163" s="1371"/>
      <c r="AI163" s="1371"/>
      <c r="AJ163" s="1371"/>
      <c r="AL163" s="331"/>
      <c r="AM163" s="331"/>
      <c r="AN163" s="331"/>
      <c r="AO163" s="331"/>
      <c r="AP163" s="1444">
        <v>2</v>
      </c>
      <c r="AQ163" s="1445"/>
      <c r="AR163" s="988"/>
      <c r="AS163" s="1446"/>
      <c r="AT163" s="1447"/>
      <c r="AU163" s="1257" t="s">
        <v>1167</v>
      </c>
      <c r="AV163" s="1325"/>
      <c r="AX163" s="141"/>
      <c r="AY163" s="141"/>
      <c r="AZ163" s="141"/>
      <c r="BA163" s="141"/>
      <c r="BB163" s="1400"/>
      <c r="BC163" s="1404" t="s">
        <v>1165</v>
      </c>
      <c r="BD163" s="988"/>
      <c r="BE163" s="988"/>
      <c r="BF163" s="988"/>
      <c r="BG163" s="1407"/>
      <c r="BH163" s="1408" t="s">
        <v>1166</v>
      </c>
      <c r="BJ163" s="3"/>
      <c r="BK163" s="3"/>
      <c r="BL163" s="3"/>
      <c r="BM163" s="3"/>
      <c r="BN163" s="1"/>
      <c r="BO163" s="1160"/>
      <c r="BP163" s="141"/>
      <c r="BQ163" s="141"/>
      <c r="BR163" s="141"/>
      <c r="BS163" s="141"/>
      <c r="BT163" s="141"/>
      <c r="BU163" s="409"/>
      <c r="BW163" s="5">
        <v>1</v>
      </c>
    </row>
    <row r="164" spans="2:75" ht="19.5" thickTop="1">
      <c r="B164" s="1037" t="s">
        <v>21</v>
      </c>
      <c r="C164" s="196" t="str">
        <f>C155</f>
        <v>Famille à coller.N.Nom de votre recette.Recette mère ►.S.Saisissez le nom de la recette mère</v>
      </c>
      <c r="D164" s="196">
        <f>D155</f>
        <v>6</v>
      </c>
      <c r="E164" s="196" t="str">
        <f>E155</f>
        <v>couverts</v>
      </c>
      <c r="F164" s="1338"/>
      <c r="G164" s="997"/>
      <c r="H164" s="997"/>
      <c r="I164" s="997"/>
      <c r="J164" s="997"/>
      <c r="K164" s="997"/>
      <c r="L164" s="1339" t="s">
        <v>1112</v>
      </c>
      <c r="N164" s="141"/>
      <c r="O164" s="141"/>
      <c r="P164" s="141"/>
      <c r="Q164" s="141"/>
      <c r="R164" s="1418" t="s">
        <v>1182</v>
      </c>
      <c r="S164" s="988"/>
      <c r="T164" s="988"/>
      <c r="U164" s="988"/>
      <c r="V164" s="988"/>
      <c r="W164" s="1406"/>
      <c r="X164" s="1405" t="s">
        <v>1181</v>
      </c>
      <c r="Z164" s="331"/>
      <c r="AA164" s="331"/>
      <c r="AB164" s="331"/>
      <c r="AC164" s="331"/>
      <c r="AD164" s="1371"/>
      <c r="AE164" s="1371"/>
      <c r="AF164" s="1371"/>
      <c r="AG164" s="1371"/>
      <c r="AH164" s="1371"/>
      <c r="AI164" s="1371"/>
      <c r="AJ164" s="1371"/>
      <c r="AL164" s="331"/>
      <c r="AM164" s="331"/>
      <c r="AN164" s="331"/>
      <c r="AO164" s="331"/>
      <c r="AP164" s="1450"/>
      <c r="AQ164" s="1451"/>
      <c r="AR164" s="988"/>
      <c r="AS164" s="1452"/>
      <c r="AT164" s="1453"/>
      <c r="AU164" s="1257" t="s">
        <v>1170</v>
      </c>
      <c r="AV164" s="1325"/>
      <c r="AX164" s="141"/>
      <c r="AY164" s="141"/>
      <c r="AZ164" s="141"/>
      <c r="BA164" s="141"/>
      <c r="BB164" s="1400">
        <v>1</v>
      </c>
      <c r="BC164" s="1404" t="s">
        <v>1167</v>
      </c>
      <c r="BD164" s="988"/>
      <c r="BE164" s="988"/>
      <c r="BF164" s="988"/>
      <c r="BG164" s="1406"/>
      <c r="BH164" s="1405" t="s">
        <v>1162</v>
      </c>
      <c r="BJ164" s="3"/>
      <c r="BK164" s="3"/>
      <c r="BL164" s="3"/>
      <c r="BM164" s="3"/>
      <c r="BN164" s="1"/>
      <c r="BO164" s="1160"/>
      <c r="BP164" s="141"/>
      <c r="BQ164" s="141"/>
      <c r="BR164" s="141"/>
      <c r="BS164" s="141"/>
      <c r="BT164" s="141"/>
      <c r="BU164" s="409"/>
      <c r="BW164" s="5">
        <v>1</v>
      </c>
    </row>
    <row r="165" spans="2:75" ht="18.75">
      <c r="B165" s="1037" t="s">
        <v>21</v>
      </c>
      <c r="C165" s="196" t="str">
        <f>C155</f>
        <v>Famille à coller.N.Nom de votre recette.Recette mère ►.S.Saisissez le nom de la recette mère</v>
      </c>
      <c r="D165" s="196">
        <f>D155</f>
        <v>6</v>
      </c>
      <c r="E165" s="196" t="str">
        <f>E155</f>
        <v>couverts</v>
      </c>
      <c r="F165" s="1454"/>
      <c r="G165" s="1002"/>
      <c r="H165" s="1002" t="s">
        <v>873</v>
      </c>
      <c r="I165" s="1003"/>
      <c r="J165" s="1329"/>
      <c r="K165" s="1329"/>
      <c r="L165" s="1330"/>
      <c r="N165" s="141"/>
      <c r="O165" s="141"/>
      <c r="P165" s="141"/>
      <c r="Q165" s="141"/>
      <c r="R165" s="1319" t="s">
        <v>864</v>
      </c>
      <c r="S165" s="1320"/>
      <c r="T165" s="1320"/>
      <c r="U165" s="988"/>
      <c r="V165" s="988"/>
      <c r="W165" s="1406"/>
      <c r="X165" s="1419" t="s">
        <v>1183</v>
      </c>
      <c r="Z165" s="331"/>
      <c r="AA165" s="331"/>
      <c r="AB165" s="331"/>
      <c r="AC165" s="331"/>
      <c r="AD165" s="1354" t="s">
        <v>252</v>
      </c>
      <c r="AE165" s="1355"/>
      <c r="AF165" s="1355"/>
      <c r="AG165" s="1355"/>
      <c r="AH165" s="1355"/>
      <c r="AI165" s="1356"/>
      <c r="AJ165" s="1357" t="s">
        <v>1117</v>
      </c>
      <c r="AL165" s="331"/>
      <c r="AM165" s="331"/>
      <c r="AN165" s="331"/>
      <c r="AO165" s="331"/>
      <c r="AP165" s="1455" t="str">
        <f>SUM(AP160:AP164) &amp; " / " &amp; (COUNTA(AP160:AP164) * 3)</f>
        <v>5 / 6</v>
      </c>
      <c r="AQ165" s="1456" t="str">
        <f>SUM(AQ160:AQ164) &amp; " / " &amp; (COUNTA(AQ160:AQ164) * 3)</f>
        <v>0 / 0</v>
      </c>
      <c r="AR165" s="988"/>
      <c r="AS165" s="1455" t="str">
        <f>SUM(AS160:AS164) &amp; " / " &amp; (COUNTA(AS160:AS164) * 3)</f>
        <v>0 / 0</v>
      </c>
      <c r="AT165" s="1456" t="str">
        <f>SUM(AT160:AT164) &amp; " / " &amp; (COUNTA(AT160:AT164) * 3)</f>
        <v>0 / 0</v>
      </c>
      <c r="AU165" s="988" t="s">
        <v>1177</v>
      </c>
      <c r="AV165" s="1325"/>
      <c r="AX165" s="141"/>
      <c r="AY165" s="141"/>
      <c r="AZ165" s="141"/>
      <c r="BA165" s="141"/>
      <c r="BB165" s="1400"/>
      <c r="BC165" s="1404" t="s">
        <v>1168</v>
      </c>
      <c r="BD165" s="988"/>
      <c r="BE165" s="988"/>
      <c r="BF165" s="988"/>
      <c r="BG165" s="1406"/>
      <c r="BH165" s="1405" t="s">
        <v>1169</v>
      </c>
      <c r="BJ165" s="3"/>
      <c r="BK165" s="3"/>
      <c r="BL165" s="3"/>
      <c r="BM165" s="3"/>
      <c r="BN165" s="1"/>
      <c r="BO165" s="1160"/>
      <c r="BP165" s="141"/>
      <c r="BQ165" s="141"/>
      <c r="BR165" s="141"/>
      <c r="BS165" s="141"/>
      <c r="BT165" s="141"/>
      <c r="BU165" s="409"/>
      <c r="BW165" s="5">
        <v>1</v>
      </c>
    </row>
    <row r="166" spans="2:75" ht="16.5" customHeight="1" thickBot="1">
      <c r="B166" s="1069" t="s">
        <v>21</v>
      </c>
      <c r="C166" s="1331" t="str">
        <f>C155</f>
        <v>Famille à coller.N.Nom de votre recette.Recette mère ►.S.Saisissez le nom de la recette mère</v>
      </c>
      <c r="D166" s="1331">
        <f>D155</f>
        <v>6</v>
      </c>
      <c r="E166" s="1331" t="str">
        <f>E155</f>
        <v>couverts</v>
      </c>
      <c r="F166" s="1332" t="s">
        <v>86</v>
      </c>
      <c r="G166" s="1006"/>
      <c r="H166" s="1007"/>
      <c r="I166" s="1008"/>
      <c r="J166" s="1007"/>
      <c r="K166" s="1007"/>
      <c r="L166" s="1333"/>
      <c r="N166" s="141"/>
      <c r="O166" s="141"/>
      <c r="P166" s="141"/>
      <c r="Q166" s="141"/>
      <c r="R166" s="1338"/>
      <c r="S166" s="1460"/>
      <c r="T166" s="1460"/>
      <c r="U166" s="1460"/>
      <c r="V166" s="1460"/>
      <c r="W166" s="1460"/>
      <c r="X166" s="1339" t="s">
        <v>1112</v>
      </c>
      <c r="Z166" s="331"/>
      <c r="AA166" s="331"/>
      <c r="AB166" s="331"/>
      <c r="AC166" s="331"/>
      <c r="AD166" s="1469" t="s">
        <v>1208</v>
      </c>
      <c r="AE166" s="1249" t="s">
        <v>1186</v>
      </c>
      <c r="AF166" s="1249"/>
      <c r="AG166" s="1470" t="s">
        <v>1209</v>
      </c>
      <c r="AH166" s="1470" t="s">
        <v>1210</v>
      </c>
      <c r="AI166" s="997"/>
      <c r="AJ166" s="1471" t="s">
        <v>1211</v>
      </c>
      <c r="AL166" s="331"/>
      <c r="AM166" s="331"/>
      <c r="AN166" s="331"/>
      <c r="AO166" s="331"/>
      <c r="AP166" s="1458" t="str">
        <f>SUM(AP160:AP164) &amp;"/ "&amp;AP167</f>
        <v>5/ 15</v>
      </c>
      <c r="AQ166" s="1459" t="str">
        <f>SUM(AQ160:AQ164) &amp;"/ "&amp;AQ167</f>
        <v>0/ 15</v>
      </c>
      <c r="AR166" s="988"/>
      <c r="AS166" s="1458" t="str">
        <f>SUM(AS160:AS164) &amp;"/ "&amp;AS167</f>
        <v>0/ 15</v>
      </c>
      <c r="AT166" s="1459" t="str">
        <f>SUM(AT160:AT164) &amp;"/ "&amp;AT167</f>
        <v>0/ 15</v>
      </c>
      <c r="AU166" s="1414" t="s">
        <v>1178</v>
      </c>
      <c r="AV166" s="1325"/>
      <c r="AX166" s="141"/>
      <c r="AY166" s="141"/>
      <c r="AZ166" s="141"/>
      <c r="BA166" s="141"/>
      <c r="BB166" s="1400"/>
      <c r="BC166" s="1404" t="s">
        <v>1170</v>
      </c>
      <c r="BD166" s="988"/>
      <c r="BE166" s="988"/>
      <c r="BF166" s="988"/>
      <c r="BG166" s="5423" t="s">
        <v>1171</v>
      </c>
      <c r="BH166" s="1405" t="s">
        <v>1164</v>
      </c>
      <c r="BJ166" s="3"/>
      <c r="BK166" s="3"/>
      <c r="BL166" s="3"/>
      <c r="BM166" s="3"/>
      <c r="BN166" s="1"/>
      <c r="BO166" s="1079"/>
      <c r="BP166" s="1194" t="s">
        <v>1009</v>
      </c>
      <c r="BQ166" s="1081"/>
      <c r="BR166" s="1080"/>
      <c r="BS166" s="1080"/>
      <c r="BT166" s="1080"/>
      <c r="BU166" s="1082"/>
      <c r="BW166" s="5">
        <v>1</v>
      </c>
    </row>
    <row r="167" spans="2:75" ht="16.5" thickBot="1">
      <c r="B167" s="1334" t="s">
        <v>21</v>
      </c>
      <c r="C167" s="1335"/>
      <c r="D167" s="1335"/>
      <c r="E167" s="1335"/>
      <c r="F167" s="1336" t="s">
        <v>1110</v>
      </c>
      <c r="G167" s="1336"/>
      <c r="H167" s="1336"/>
      <c r="I167" s="1336"/>
      <c r="J167" s="1336"/>
      <c r="K167" s="1336"/>
      <c r="L167" s="348"/>
      <c r="N167" s="141"/>
      <c r="O167" s="141"/>
      <c r="P167" s="141"/>
      <c r="Q167" s="141"/>
      <c r="R167" s="1002"/>
      <c r="S167" s="1002"/>
      <c r="T167" s="1002" t="s">
        <v>873</v>
      </c>
      <c r="U167" s="1003"/>
      <c r="V167" s="1329"/>
      <c r="W167" s="1329"/>
      <c r="X167" s="1330"/>
      <c r="Z167" s="331"/>
      <c r="AA167" s="331"/>
      <c r="AB167" s="331"/>
      <c r="AC167" s="331"/>
      <c r="AD167" s="1473" t="s">
        <v>1212</v>
      </c>
      <c r="AE167" s="1474">
        <v>4.1666666666666699E-2</v>
      </c>
      <c r="AF167" s="1475"/>
      <c r="AG167" s="1475">
        <v>220</v>
      </c>
      <c r="AH167" s="1476" t="s">
        <v>1213</v>
      </c>
      <c r="AI167" s="997"/>
      <c r="AJ167" s="1477"/>
      <c r="AL167" s="331"/>
      <c r="AM167" s="331"/>
      <c r="AN167" s="331"/>
      <c r="AO167" s="331"/>
      <c r="AP167" s="1461">
        <v>15</v>
      </c>
      <c r="AQ167" s="1462">
        <v>15</v>
      </c>
      <c r="AR167" s="988"/>
      <c r="AS167" s="1461">
        <v>15</v>
      </c>
      <c r="AT167" s="1462">
        <v>15</v>
      </c>
      <c r="AU167" s="1417" t="s">
        <v>1180</v>
      </c>
      <c r="AV167" s="1325"/>
      <c r="AX167" s="488" t="s">
        <v>21</v>
      </c>
      <c r="AY167" s="102"/>
      <c r="AZ167" s="102"/>
      <c r="BA167" s="102"/>
      <c r="BB167" s="1400"/>
      <c r="BC167" s="1404" t="s">
        <v>1172</v>
      </c>
      <c r="BD167" s="988"/>
      <c r="BE167" s="988"/>
      <c r="BF167" s="988"/>
      <c r="BG167" s="1407"/>
      <c r="BH167" s="1409" t="s">
        <v>1173</v>
      </c>
      <c r="BJ167" s="3"/>
      <c r="BK167" s="3"/>
      <c r="BL167" s="3"/>
      <c r="BM167" s="3"/>
      <c r="BN167" s="1"/>
      <c r="BO167" s="1160"/>
      <c r="BR167" s="141"/>
      <c r="BS167" s="141"/>
      <c r="BT167" s="141"/>
      <c r="BU167" s="409"/>
      <c r="BW167" s="5">
        <v>1</v>
      </c>
    </row>
    <row r="168" spans="2:75" ht="16.5" thickBot="1">
      <c r="B168" s="5465" t="s">
        <v>21</v>
      </c>
      <c r="C168" s="368" t="str">
        <f>C174</f>
        <v>Famille à coller.N.Nom de votre recette.Recette mère ►.S.Saisissez le nom de la recette mère</v>
      </c>
      <c r="D168" s="367">
        <f>D174</f>
        <v>6</v>
      </c>
      <c r="E168" s="367" t="str">
        <f>E174</f>
        <v>couverts</v>
      </c>
      <c r="F168" s="366" t="s">
        <v>1</v>
      </c>
      <c r="G168" s="365" t="s">
        <v>251</v>
      </c>
      <c r="H168" s="7648" t="s">
        <v>1089</v>
      </c>
      <c r="I168" s="7648"/>
      <c r="J168" s="7601" t="s">
        <v>1090</v>
      </c>
      <c r="K168" s="7601"/>
      <c r="L168" s="7602"/>
      <c r="N168" s="141"/>
      <c r="O168" s="141"/>
      <c r="P168" s="141"/>
      <c r="Q168" s="141"/>
      <c r="R168" s="1332" t="s">
        <v>86</v>
      </c>
      <c r="S168" s="1006"/>
      <c r="T168" s="1007"/>
      <c r="U168" s="1008"/>
      <c r="V168" s="1007"/>
      <c r="W168" s="1007"/>
      <c r="X168" s="1333"/>
      <c r="Z168" s="331"/>
      <c r="AA168" s="331"/>
      <c r="AB168" s="331"/>
      <c r="AC168" s="331"/>
      <c r="AD168" s="1479" t="s">
        <v>1208</v>
      </c>
      <c r="AE168" s="1480"/>
      <c r="AF168" s="1480"/>
      <c r="AG168" s="1480" t="s">
        <v>1214</v>
      </c>
      <c r="AH168" s="1481" t="s">
        <v>1215</v>
      </c>
      <c r="AI168" s="1481"/>
      <c r="AJ168" s="1477"/>
      <c r="AL168" s="331"/>
      <c r="AM168" s="331"/>
      <c r="AN168" s="331"/>
      <c r="AO168" s="331"/>
      <c r="AP168" s="1463" t="s">
        <v>1203</v>
      </c>
      <c r="AS168" s="1464"/>
      <c r="AT168" s="1464"/>
      <c r="AU168" s="1464"/>
      <c r="AV168" s="1465"/>
      <c r="AX168" s="141"/>
      <c r="AY168" s="141"/>
      <c r="AZ168" s="141"/>
      <c r="BA168" s="141"/>
      <c r="BB168" s="1410"/>
      <c r="BC168" s="1404" t="s">
        <v>1174</v>
      </c>
      <c r="BD168" s="988"/>
      <c r="BE168" s="988"/>
      <c r="BF168" s="988"/>
      <c r="BG168" s="1411" t="s">
        <v>1175</v>
      </c>
      <c r="BH168" s="1405" t="s">
        <v>1176</v>
      </c>
      <c r="BJ168" s="3"/>
      <c r="BK168" s="3"/>
      <c r="BL168" s="3"/>
      <c r="BM168" s="3"/>
      <c r="BN168" s="1"/>
      <c r="BO168" s="1160"/>
      <c r="BP168" s="1195">
        <v>149.92240344353021</v>
      </c>
      <c r="BQ168" s="1196">
        <v>8</v>
      </c>
      <c r="BR168" s="141"/>
      <c r="BS168" s="147" t="s">
        <v>1010</v>
      </c>
      <c r="BT168" s="141"/>
      <c r="BU168" s="409"/>
      <c r="BW168" s="5">
        <v>1</v>
      </c>
    </row>
    <row r="169" spans="2:75" ht="15.75" customHeight="1" thickTop="1">
      <c r="B169" s="214" t="s">
        <v>21</v>
      </c>
      <c r="C169" s="363" t="str">
        <f>C174</f>
        <v>Famille à coller.N.Nom de votre recette.Recette mère ►.S.Saisissez le nom de la recette mère</v>
      </c>
      <c r="D169" s="362"/>
      <c r="E169" s="362"/>
      <c r="F169" s="361" t="s">
        <v>245</v>
      </c>
      <c r="G169" s="360" t="s">
        <v>244</v>
      </c>
      <c r="H169" s="7649"/>
      <c r="I169" s="7649"/>
      <c r="J169" s="7603"/>
      <c r="K169" s="7603"/>
      <c r="L169" s="7604"/>
      <c r="N169" s="141"/>
      <c r="O169" s="141"/>
      <c r="P169" s="141"/>
      <c r="Q169" s="141"/>
      <c r="R169" s="141"/>
      <c r="S169" s="141"/>
      <c r="T169" s="141"/>
      <c r="U169" s="141"/>
      <c r="V169" s="141"/>
      <c r="W169" s="141"/>
      <c r="X169" s="141"/>
      <c r="Z169" s="331"/>
      <c r="AA169" s="331"/>
      <c r="AB169" s="331"/>
      <c r="AC169" s="331"/>
      <c r="AD169" s="1482" t="s">
        <v>1216</v>
      </c>
      <c r="AE169" s="1483"/>
      <c r="AF169" s="1484"/>
      <c r="AG169" s="1484">
        <v>250</v>
      </c>
      <c r="AH169" s="1485" t="s">
        <v>1217</v>
      </c>
      <c r="AI169" s="1485"/>
      <c r="AJ169" s="1477"/>
      <c r="AL169" s="331"/>
      <c r="AM169" s="331"/>
      <c r="AN169" s="331"/>
      <c r="AO169" s="331"/>
      <c r="AP169" s="1466" t="s">
        <v>1204</v>
      </c>
      <c r="AS169" s="1464"/>
      <c r="AT169" s="1464"/>
      <c r="AU169" s="1464"/>
      <c r="AV169" s="1465"/>
      <c r="AX169" s="141"/>
      <c r="AY169" s="141"/>
      <c r="AZ169" s="141"/>
      <c r="BA169" s="141"/>
      <c r="BB169" s="1412" t="str">
        <f>SUM(BB160:BB168) &amp; " / " &amp; (COUNTA(BB160:BB168) * 3)</f>
        <v>4 / 6</v>
      </c>
      <c r="BC169" s="988" t="s">
        <v>1177</v>
      </c>
      <c r="BD169" s="988"/>
      <c r="BE169" s="988"/>
      <c r="BF169" s="988"/>
      <c r="BG169" s="1406"/>
      <c r="BH169" s="1405" t="s">
        <v>1164</v>
      </c>
      <c r="BJ169" s="3"/>
      <c r="BK169" s="3"/>
      <c r="BL169" s="3"/>
      <c r="BM169" s="3"/>
      <c r="BN169" s="1"/>
      <c r="BO169" s="1160"/>
      <c r="BP169" s="1197">
        <v>1.28</v>
      </c>
      <c r="BQ169" s="1198">
        <v>7</v>
      </c>
      <c r="BR169" s="141"/>
      <c r="BS169" s="147" t="s">
        <v>1011</v>
      </c>
      <c r="BT169" s="141"/>
      <c r="BU169" s="409"/>
      <c r="BW169" s="5">
        <v>1</v>
      </c>
    </row>
    <row r="170" spans="2:75" ht="18.75">
      <c r="B170" s="214" t="s">
        <v>21</v>
      </c>
      <c r="C170" s="354" t="str">
        <f>C174</f>
        <v>Famille à coller.N.Nom de votre recette.Recette mère ►.S.Saisissez le nom de la recette mère</v>
      </c>
      <c r="D170" s="353"/>
      <c r="E170" s="352"/>
      <c r="F170" s="351"/>
      <c r="G170" s="350" t="s">
        <v>233</v>
      </c>
      <c r="H170" s="349"/>
      <c r="I170" s="348" t="s">
        <v>232</v>
      </c>
      <c r="J170" s="347" t="s">
        <v>1092</v>
      </c>
      <c r="K170" s="141"/>
      <c r="L170" s="346"/>
      <c r="N170" s="141"/>
      <c r="O170" s="141"/>
      <c r="P170" s="141"/>
      <c r="Q170" s="141"/>
      <c r="R170" s="141"/>
      <c r="S170" s="141"/>
      <c r="T170" s="141"/>
      <c r="U170" s="141"/>
      <c r="V170" s="141"/>
      <c r="W170" s="141"/>
      <c r="X170" s="141"/>
      <c r="Z170" s="331"/>
      <c r="AA170" s="331"/>
      <c r="AB170" s="331"/>
      <c r="AC170" s="331"/>
      <c r="AD170" s="1479" t="s">
        <v>1208</v>
      </c>
      <c r="AE170" s="1480"/>
      <c r="AF170" s="1480"/>
      <c r="AG170" s="1480" t="s">
        <v>1214</v>
      </c>
      <c r="AH170" s="1481" t="s">
        <v>1215</v>
      </c>
      <c r="AI170" s="1481"/>
      <c r="AJ170" s="1477"/>
      <c r="AL170" s="331"/>
      <c r="AM170" s="331"/>
      <c r="AN170" s="331"/>
      <c r="AO170" s="331"/>
      <c r="AP170" s="1466" t="s">
        <v>1205</v>
      </c>
      <c r="AS170" s="1464"/>
      <c r="AT170" s="1464"/>
      <c r="AU170" s="1464"/>
      <c r="AV170" s="1465"/>
      <c r="AX170" s="141"/>
      <c r="AY170" s="141"/>
      <c r="AZ170" s="141"/>
      <c r="BA170" s="141"/>
      <c r="BB170" s="1413" t="str">
        <f>SUM(BB160:BB168) &amp;"/ "&amp;BB171</f>
        <v>4/ 27</v>
      </c>
      <c r="BC170" s="1414" t="s">
        <v>1178</v>
      </c>
      <c r="BD170" s="988"/>
      <c r="BE170" s="988"/>
      <c r="BF170" s="988"/>
      <c r="BG170" s="1415"/>
      <c r="BH170" s="1409" t="s">
        <v>1179</v>
      </c>
      <c r="BJ170" s="3"/>
      <c r="BK170" s="3"/>
      <c r="BL170" s="3"/>
      <c r="BM170" s="3"/>
      <c r="BN170" s="1"/>
      <c r="BO170" s="1160"/>
      <c r="BP170" s="1199">
        <v>3</v>
      </c>
      <c r="BQ170" s="1200">
        <v>0.38194444444444442</v>
      </c>
      <c r="BR170" s="141"/>
      <c r="BS170" s="1201" t="s">
        <v>1012</v>
      </c>
      <c r="BT170" s="1202" t="s">
        <v>1013</v>
      </c>
      <c r="BU170" s="1203" t="s">
        <v>1014</v>
      </c>
      <c r="BW170" s="5">
        <v>1</v>
      </c>
    </row>
    <row r="171" spans="2:75" ht="19.5" thickBot="1">
      <c r="B171" s="214" t="s">
        <v>21</v>
      </c>
      <c r="C171" s="40" t="str">
        <f>C174</f>
        <v>Famille à coller.N.Nom de votre recette.Recette mère ►.S.Saisissez le nom de la recette mère</v>
      </c>
      <c r="D171" s="40"/>
      <c r="E171" s="40"/>
      <c r="F171" s="333" t="s">
        <v>228</v>
      </c>
      <c r="G171" s="341"/>
      <c r="H171" s="341"/>
      <c r="I171" s="340" t="s">
        <v>227</v>
      </c>
      <c r="J171" s="6901" t="str">
        <f>F174</f>
        <v>Famille à coller.N.Nom de votre recette.Recette mère ►.S.Saisissez le nom de la recette mère</v>
      </c>
      <c r="K171" s="6901"/>
      <c r="L171" s="7612"/>
      <c r="N171" s="141"/>
      <c r="O171" s="141"/>
      <c r="P171" s="141"/>
      <c r="Q171" s="141"/>
      <c r="R171" s="369" t="s">
        <v>252</v>
      </c>
      <c r="S171" s="1433"/>
      <c r="T171" s="1433"/>
      <c r="U171" s="1433"/>
      <c r="V171" s="1433"/>
      <c r="W171" s="1433"/>
      <c r="X171" s="1434" t="s">
        <v>1158</v>
      </c>
      <c r="Z171" s="331"/>
      <c r="AA171" s="331"/>
      <c r="AB171" s="331"/>
      <c r="AC171" s="331"/>
      <c r="AD171" s="1482" t="s">
        <v>1216</v>
      </c>
      <c r="AE171" s="1483">
        <v>4.8611111111111112E-3</v>
      </c>
      <c r="AF171" s="1484"/>
      <c r="AG171" s="1484">
        <v>250</v>
      </c>
      <c r="AH171" s="1485" t="s">
        <v>1219</v>
      </c>
      <c r="AI171" s="1485"/>
      <c r="AJ171" s="1477"/>
      <c r="AL171" s="331"/>
      <c r="AM171" s="331"/>
      <c r="AN171" s="331"/>
      <c r="AO171" s="331"/>
      <c r="AP171" s="1323"/>
      <c r="AQ171" s="988"/>
      <c r="AR171" s="988"/>
      <c r="AS171" s="988"/>
      <c r="AT171" s="988"/>
      <c r="AU171" s="988"/>
      <c r="AV171" s="1325"/>
      <c r="AX171" s="141"/>
      <c r="AY171" s="141"/>
      <c r="AZ171" s="141"/>
      <c r="BA171" s="141"/>
      <c r="BB171" s="1416">
        <v>27</v>
      </c>
      <c r="BC171" s="1417" t="s">
        <v>1180</v>
      </c>
      <c r="BD171" s="988"/>
      <c r="BE171" s="988"/>
      <c r="BF171" s="988"/>
      <c r="BG171" s="1406"/>
      <c r="BH171" s="1405" t="s">
        <v>1181</v>
      </c>
      <c r="BJ171" s="3"/>
      <c r="BK171" s="3"/>
      <c r="BL171" s="3"/>
      <c r="BM171" s="3"/>
      <c r="BN171" s="1"/>
      <c r="BO171" s="103"/>
      <c r="BP171" s="1204">
        <v>2</v>
      </c>
      <c r="BQ171" s="1205">
        <v>6</v>
      </c>
      <c r="BR171" s="141"/>
      <c r="BS171" s="1206" t="s">
        <v>1015</v>
      </c>
      <c r="BT171" s="1207" t="s">
        <v>1016</v>
      </c>
      <c r="BU171" s="1208" t="s">
        <v>1017</v>
      </c>
      <c r="BW171" s="5">
        <v>1</v>
      </c>
    </row>
    <row r="172" spans="2:75" ht="16.5" customHeight="1" thickTop="1">
      <c r="B172" s="214" t="s">
        <v>21</v>
      </c>
      <c r="C172" s="40" t="str">
        <f>C174</f>
        <v>Famille à coller.N.Nom de votre recette.Recette mère ►.S.Saisissez le nom de la recette mère</v>
      </c>
      <c r="D172" s="40"/>
      <c r="E172" s="40"/>
      <c r="F172" s="5453">
        <v>6</v>
      </c>
      <c r="G172" s="5452" t="s">
        <v>73</v>
      </c>
      <c r="H172" s="333"/>
      <c r="I172" s="333"/>
      <c r="J172" s="6901"/>
      <c r="K172" s="6901"/>
      <c r="L172" s="7612"/>
      <c r="N172" s="141"/>
      <c r="O172" s="141"/>
      <c r="P172" s="141"/>
      <c r="Q172" s="141"/>
      <c r="R172" s="1435"/>
      <c r="S172" s="1435"/>
      <c r="T172" s="1435"/>
      <c r="U172" s="1435"/>
      <c r="V172" s="1435"/>
      <c r="W172" s="1435"/>
      <c r="X172" s="1436" t="s">
        <v>1196</v>
      </c>
      <c r="Z172" s="331"/>
      <c r="AA172" s="331"/>
      <c r="AB172" s="331"/>
      <c r="AC172" s="331"/>
      <c r="AD172" s="1479" t="s">
        <v>1208</v>
      </c>
      <c r="AE172" s="1480"/>
      <c r="AF172" s="1480"/>
      <c r="AG172" s="1480" t="s">
        <v>1214</v>
      </c>
      <c r="AH172" s="1481" t="s">
        <v>1215</v>
      </c>
      <c r="AI172" s="1481"/>
      <c r="AJ172" s="1477"/>
      <c r="AL172" s="331"/>
      <c r="AM172" s="331"/>
      <c r="AN172" s="331"/>
      <c r="AO172" s="331"/>
      <c r="AP172" s="1369" t="s">
        <v>864</v>
      </c>
      <c r="AQ172" s="1321"/>
      <c r="AR172" s="1321"/>
      <c r="AS172" s="1321"/>
      <c r="AT172" s="1321"/>
      <c r="AU172" s="1321"/>
      <c r="AV172" s="1370" t="s">
        <v>1141</v>
      </c>
      <c r="AX172" s="141"/>
      <c r="AY172" s="141"/>
      <c r="AZ172" s="141"/>
      <c r="BA172" s="141"/>
      <c r="BB172" s="1418" t="s">
        <v>1182</v>
      </c>
      <c r="BC172" s="988"/>
      <c r="BD172" s="988"/>
      <c r="BE172" s="988"/>
      <c r="BF172" s="988"/>
      <c r="BG172" s="1406"/>
      <c r="BH172" s="1419" t="s">
        <v>1183</v>
      </c>
      <c r="BJ172" s="3"/>
      <c r="BK172" s="3"/>
      <c r="BL172" s="3"/>
      <c r="BM172" s="3"/>
      <c r="BN172" s="1"/>
      <c r="BO172" s="99"/>
      <c r="BP172" s="1209">
        <v>2</v>
      </c>
      <c r="BQ172" s="1210">
        <f>ROW()</f>
        <v>172</v>
      </c>
      <c r="BR172" s="141"/>
      <c r="BU172" s="762"/>
      <c r="BW172" s="5">
        <v>1</v>
      </c>
    </row>
    <row r="173" spans="2:75" ht="15.75">
      <c r="B173" s="214" t="s">
        <v>26</v>
      </c>
      <c r="C173" s="40" t="str">
        <f>C174</f>
        <v>Famille à coller.N.Nom de votre recette.Recette mère ►.S.Saisissez le nom de la recette mère</v>
      </c>
      <c r="D173" s="40"/>
      <c r="E173" s="40"/>
      <c r="F173" s="327"/>
      <c r="G173" s="326"/>
      <c r="H173" s="326"/>
      <c r="I173" s="326"/>
      <c r="J173" s="326"/>
      <c r="K173" s="326"/>
      <c r="L173" s="1311"/>
      <c r="N173" s="141"/>
      <c r="O173" s="141"/>
      <c r="P173" s="141"/>
      <c r="Q173" s="141"/>
      <c r="R173" s="1437" t="s">
        <v>1199</v>
      </c>
      <c r="S173" s="1438" t="s">
        <v>1200</v>
      </c>
      <c r="T173" s="1362"/>
      <c r="U173" s="1439" t="s">
        <v>1201</v>
      </c>
      <c r="V173" s="1440" t="s">
        <v>1202</v>
      </c>
      <c r="W173" s="988"/>
      <c r="X173" s="1325"/>
      <c r="Z173" s="331"/>
      <c r="AA173" s="331"/>
      <c r="AB173" s="331"/>
      <c r="AC173" s="331"/>
      <c r="AD173" s="1482" t="s">
        <v>1216</v>
      </c>
      <c r="AE173" s="1483">
        <v>0.10416666666666667</v>
      </c>
      <c r="AF173" s="1484"/>
      <c r="AG173" s="1484">
        <v>170</v>
      </c>
      <c r="AH173" s="1485" t="s">
        <v>1220</v>
      </c>
      <c r="AI173" s="1485"/>
      <c r="AJ173" s="1477"/>
      <c r="AL173" s="331"/>
      <c r="AM173" s="331"/>
      <c r="AN173" s="331"/>
      <c r="AO173" s="331"/>
      <c r="AP173" s="1371"/>
      <c r="AQ173" s="1371"/>
      <c r="AR173" s="1371"/>
      <c r="AS173" s="1371"/>
      <c r="AT173" s="1371"/>
      <c r="AU173" s="1371"/>
      <c r="AV173" s="1371"/>
      <c r="AX173" s="141"/>
      <c r="AY173" s="141"/>
      <c r="AZ173" s="141"/>
      <c r="BA173" s="141"/>
      <c r="BB173" s="1420"/>
      <c r="BC173" s="1421"/>
      <c r="BD173" s="1421"/>
      <c r="BE173" s="1421"/>
      <c r="BF173" s="1421"/>
      <c r="BG173" s="1421"/>
      <c r="BH173" s="1339"/>
      <c r="BJ173" s="3"/>
      <c r="BK173" s="3"/>
      <c r="BL173" s="3"/>
      <c r="BM173" s="3"/>
      <c r="BN173" s="1"/>
      <c r="BO173" s="343"/>
      <c r="BP173" s="1211">
        <v>5</v>
      </c>
      <c r="BQ173" s="1212"/>
      <c r="BR173" s="141"/>
      <c r="BS173" s="1213" t="s">
        <v>1018</v>
      </c>
      <c r="BT173" s="1214" t="s">
        <v>1019</v>
      </c>
      <c r="BU173" s="1215" t="s">
        <v>1020</v>
      </c>
      <c r="BW173" s="5">
        <v>1</v>
      </c>
    </row>
    <row r="174" spans="2:75" ht="17.25" customHeight="1">
      <c r="B174" s="319" t="s">
        <v>26</v>
      </c>
      <c r="C174" s="318" t="str">
        <f>F174</f>
        <v>Famille à coller.N.Nom de votre recette.Recette mère ►.S.Saisissez le nom de la recette mère</v>
      </c>
      <c r="D174" s="318">
        <f>F172</f>
        <v>6</v>
      </c>
      <c r="E174" s="318" t="str">
        <f>G172</f>
        <v>couverts</v>
      </c>
      <c r="F174" s="5486" t="str">
        <f>UPPER(LEFT(H168,1))&amp;LOWER(MID(H168,2,999))&amp;"."&amp;UPPER(LEFT(J168,1))&amp;"."&amp;UPPER(LEFT(J168,1))&amp;LOWER(MID(J168,2,999))&amp;"."&amp;IF(ISTEXT(L174),K174&amp;"."&amp;UPPER(LEFT(L174,1))&amp;"."&amp;UPPER(LEFT(L174,1))&amp;LOWER(MID(L174,2,999)),G174)</f>
        <v>Famille à coller.N.Nom de votre recette.Recette mère ►.S.Saisissez le nom de la recette mère</v>
      </c>
      <c r="G174" s="5487" t="s">
        <v>223</v>
      </c>
      <c r="H174" s="7613" t="s">
        <v>222</v>
      </c>
      <c r="I174" s="7613"/>
      <c r="J174" s="7613"/>
      <c r="K174" s="317" t="s">
        <v>221</v>
      </c>
      <c r="L174" s="1302" t="s">
        <v>1093</v>
      </c>
      <c r="N174" s="141"/>
      <c r="O174" s="141"/>
      <c r="P174" s="141"/>
      <c r="Q174" s="141"/>
      <c r="R174" s="1444"/>
      <c r="S174" s="1445"/>
      <c r="T174" s="988"/>
      <c r="U174" s="1446"/>
      <c r="V174" s="1447"/>
      <c r="W174" s="1257" t="s">
        <v>1159</v>
      </c>
      <c r="X174" s="1325"/>
      <c r="Z174" s="331"/>
      <c r="AA174" s="331"/>
      <c r="AB174" s="331"/>
      <c r="AC174" s="331"/>
      <c r="AD174" s="1479" t="s">
        <v>1208</v>
      </c>
      <c r="AE174" s="1480"/>
      <c r="AF174" s="1480"/>
      <c r="AG174" s="1480" t="s">
        <v>1214</v>
      </c>
      <c r="AH174" s="1481" t="s">
        <v>1221</v>
      </c>
      <c r="AI174" s="1481"/>
      <c r="AJ174" s="1477"/>
      <c r="AL174" s="331"/>
      <c r="AM174" s="331"/>
      <c r="AN174" s="331"/>
      <c r="AO174" s="331"/>
      <c r="AP174" s="1371"/>
      <c r="AQ174" s="1371"/>
      <c r="AR174" s="1371"/>
      <c r="AS174" s="1371"/>
      <c r="AT174" s="1371"/>
      <c r="AU174" s="1371"/>
      <c r="AV174" s="1371"/>
      <c r="AX174" s="141"/>
      <c r="AY174" s="141"/>
      <c r="AZ174" s="141"/>
      <c r="BA174" s="141"/>
      <c r="BB174" s="1369" t="s">
        <v>864</v>
      </c>
      <c r="BC174" s="1321"/>
      <c r="BD174" s="1321"/>
      <c r="BE174" s="1321"/>
      <c r="BF174" s="1321"/>
      <c r="BG174" s="1321"/>
      <c r="BH174" s="1370" t="s">
        <v>1141</v>
      </c>
      <c r="BJ174" s="3"/>
      <c r="BK174" s="3"/>
      <c r="BL174" s="3"/>
      <c r="BM174" s="3"/>
      <c r="BN174" s="1"/>
      <c r="BO174" s="98"/>
      <c r="BP174" s="1216">
        <v>12</v>
      </c>
      <c r="BQ174" s="1217">
        <f>ROW()</f>
        <v>174</v>
      </c>
      <c r="BR174" s="141"/>
      <c r="BS174" s="1218" t="s">
        <v>1021</v>
      </c>
      <c r="BT174" s="1219" t="s">
        <v>1022</v>
      </c>
      <c r="BU174" s="1220" t="s">
        <v>1023</v>
      </c>
      <c r="BW174" s="5">
        <v>1</v>
      </c>
    </row>
    <row r="175" spans="2:75" ht="15.75" customHeight="1">
      <c r="B175" s="5477" t="s">
        <v>21</v>
      </c>
      <c r="C175" s="1313" t="str">
        <f>$C$39</f>
        <v>Famille à coller.N.Nom de votre recette.Recette mère ►.S.Saisissez le nom de la recette mère</v>
      </c>
      <c r="D175" s="1313">
        <f>$D$39</f>
        <v>6</v>
      </c>
      <c r="E175" s="1313" t="str">
        <f>$E$39</f>
        <v>couverts</v>
      </c>
      <c r="F175" s="1314" t="s">
        <v>218</v>
      </c>
      <c r="G175" s="1314" cm="1">
        <f t="array" ref="G175">IFERROR(ROW(F185)-(ROW(F176)+MATCH(TRUE,INDEX(ISNUMBER(FIND(K175,TRIM(SUBSTITUTE(SUBSTITUTE(SUBSTITUTE(SUBSTITUTE(SUBSTITUTE(SUBSTITUTE(SUBSTITUTE(LOWER(F176:F185),"é","e"),"è","e"),"ê","e"),"ë","e"),"à","a"),"ù","u"),"î","i")))),0),0)-1),1)</f>
        <v>1</v>
      </c>
      <c r="H175" s="1315" t="s">
        <v>1206</v>
      </c>
      <c r="I175" s="1316"/>
      <c r="J175" s="1316"/>
      <c r="K175" s="1317" t="str">
        <f>TRIM(SUBSTITUTE(SUBSTITUTE(SUBSTITUTE(SUBSTITUTE(SUBSTITUTE(SUBSTITUTE(SUBSTITUTE(LOWER(L175),"é","e"),"è","e"),"ê","e"),"ë","e"),"à","a"),"ù","u"),"î","i"))</f>
        <v>⓬ ▼ conseils</v>
      </c>
      <c r="L175" s="1467" t="s">
        <v>1222</v>
      </c>
      <c r="N175" s="141"/>
      <c r="O175" s="141"/>
      <c r="P175" s="141"/>
      <c r="Q175" s="141"/>
      <c r="R175" s="1444">
        <v>3</v>
      </c>
      <c r="S175" s="1445"/>
      <c r="T175" s="988"/>
      <c r="U175" s="1446"/>
      <c r="V175" s="1447"/>
      <c r="W175" s="1257" t="s">
        <v>1163</v>
      </c>
      <c r="X175" s="1325"/>
      <c r="Z175" s="331"/>
      <c r="AA175" s="331"/>
      <c r="AB175" s="331"/>
      <c r="AC175" s="331"/>
      <c r="AD175" s="1482" t="s">
        <v>1216</v>
      </c>
      <c r="AE175" s="1483">
        <v>4.8611111111111112E-3</v>
      </c>
      <c r="AF175" s="1484"/>
      <c r="AG175" s="1484">
        <v>100</v>
      </c>
      <c r="AH175" s="1485"/>
      <c r="AI175" s="1485"/>
      <c r="AJ175" s="1477"/>
      <c r="AL175" s="331"/>
      <c r="AM175" s="331"/>
      <c r="AN175" s="331"/>
      <c r="AO175" s="331"/>
      <c r="AP175" s="1354" t="s">
        <v>252</v>
      </c>
      <c r="AQ175" s="1355"/>
      <c r="AR175" s="1355"/>
      <c r="AS175" s="1355"/>
      <c r="AT175" s="1355"/>
      <c r="AU175" s="1356"/>
      <c r="AV175" s="1357" t="s">
        <v>1117</v>
      </c>
      <c r="AX175" s="141"/>
      <c r="AY175" s="141"/>
      <c r="AZ175" s="141"/>
      <c r="BA175" s="141"/>
      <c r="BB175" s="1371"/>
      <c r="BC175" s="1371"/>
      <c r="BD175" s="1371"/>
      <c r="BE175" s="1371"/>
      <c r="BF175" s="1371"/>
      <c r="BG175" s="1371"/>
      <c r="BH175" s="1371"/>
      <c r="BJ175" s="3"/>
      <c r="BK175" s="3"/>
      <c r="BL175" s="3"/>
      <c r="BM175" s="3"/>
      <c r="BN175" s="1"/>
      <c r="BO175" s="98"/>
      <c r="BP175" s="2"/>
      <c r="BQ175" s="2"/>
      <c r="BR175" s="141"/>
      <c r="BU175" s="762"/>
      <c r="BW175" s="5">
        <v>1</v>
      </c>
    </row>
    <row r="176" spans="2:75" ht="15" customHeight="1">
      <c r="B176" s="42" t="str">
        <f t="shared" ref="B176:B183" si="39">IF(OR(F176&lt;&gt;"",G176&lt;&gt; "",I176&lt;&gt;"",J176&lt;&gt;""),"A", "►")</f>
        <v>A</v>
      </c>
      <c r="C176" s="196" t="str">
        <f>C175</f>
        <v>Famille à coller.N.Nom de votre recette.Recette mère ►.S.Saisissez le nom de la recette mère</v>
      </c>
      <c r="D176" s="196">
        <f>D175</f>
        <v>6</v>
      </c>
      <c r="E176" s="196" t="str">
        <f>E175</f>
        <v>couverts</v>
      </c>
      <c r="F176" s="1411" t="s">
        <v>1175</v>
      </c>
      <c r="G176" s="1487">
        <v>1.7361111111111112E-2</v>
      </c>
      <c r="H176" s="1488"/>
      <c r="I176" s="1488">
        <v>3</v>
      </c>
      <c r="J176" s="1489" t="s">
        <v>1223</v>
      </c>
      <c r="K176" s="1148"/>
      <c r="L176" s="1490"/>
      <c r="N176" s="141"/>
      <c r="O176" s="141"/>
      <c r="P176" s="141"/>
      <c r="Q176" s="141"/>
      <c r="R176" s="1444"/>
      <c r="S176" s="1445"/>
      <c r="T176" s="988"/>
      <c r="U176" s="1446"/>
      <c r="V176" s="1447"/>
      <c r="W176" s="1257" t="s">
        <v>1165</v>
      </c>
      <c r="X176" s="1325"/>
      <c r="Z176" s="331"/>
      <c r="AA176" s="331"/>
      <c r="AB176" s="331"/>
      <c r="AC176" s="331"/>
      <c r="AD176" s="1479" t="s">
        <v>1208</v>
      </c>
      <c r="AE176" s="1480"/>
      <c r="AF176" s="1480"/>
      <c r="AG176" s="1480" t="s">
        <v>1214</v>
      </c>
      <c r="AH176" s="1481" t="s">
        <v>1224</v>
      </c>
      <c r="AI176" s="1481"/>
      <c r="AJ176" s="1477"/>
      <c r="AL176" s="331"/>
      <c r="AM176" s="331"/>
      <c r="AN176" s="331"/>
      <c r="AO176" s="331"/>
      <c r="AP176" s="1424" t="s">
        <v>1185</v>
      </c>
      <c r="AQ176" s="1425" t="s">
        <v>1186</v>
      </c>
      <c r="AR176" s="1426"/>
      <c r="AS176" s="1426" t="s">
        <v>1187</v>
      </c>
      <c r="AT176" s="1426" t="s">
        <v>1188</v>
      </c>
      <c r="AU176" s="1426" t="s">
        <v>1189</v>
      </c>
      <c r="AV176" s="1427" t="s">
        <v>1190</v>
      </c>
      <c r="AX176" s="141"/>
      <c r="AY176" s="141"/>
      <c r="AZ176" s="141"/>
      <c r="BA176" s="141"/>
      <c r="BB176" s="1371"/>
      <c r="BC176" s="1371"/>
      <c r="BD176" s="1371"/>
      <c r="BE176" s="1371"/>
      <c r="BF176" s="1371"/>
      <c r="BG176" s="1371"/>
      <c r="BH176" s="1371"/>
      <c r="BJ176" s="3"/>
      <c r="BK176" s="3"/>
      <c r="BL176" s="3"/>
      <c r="BM176" s="3"/>
      <c r="BN176" s="1"/>
      <c r="BO176" s="98"/>
      <c r="BP176" s="1221" t="s">
        <v>1027</v>
      </c>
      <c r="BQ176" s="1221" t="s">
        <v>624</v>
      </c>
      <c r="BR176" s="141"/>
      <c r="BS176" s="1222" t="s">
        <v>1024</v>
      </c>
      <c r="BT176" s="1223" t="s">
        <v>1025</v>
      </c>
      <c r="BU176" s="1224" t="s">
        <v>1026</v>
      </c>
      <c r="BW176" s="5">
        <v>1</v>
      </c>
    </row>
    <row r="177" spans="2:75" ht="17.25" customHeight="1">
      <c r="B177" s="42" t="str">
        <f t="shared" si="39"/>
        <v>A</v>
      </c>
      <c r="C177" s="196" t="str">
        <f>C175</f>
        <v>Famille à coller.N.Nom de votre recette.Recette mère ►.S.Saisissez le nom de la recette mère</v>
      </c>
      <c r="D177" s="196">
        <f>D175</f>
        <v>6</v>
      </c>
      <c r="E177" s="196" t="str">
        <f>E175</f>
        <v>couverts</v>
      </c>
      <c r="F177" s="1411" t="s">
        <v>1175</v>
      </c>
      <c r="G177" s="1487">
        <v>5.9027777777777797E-2</v>
      </c>
      <c r="H177" s="1488"/>
      <c r="I177" s="1488">
        <v>3</v>
      </c>
      <c r="J177" s="1148" t="s">
        <v>1225</v>
      </c>
      <c r="K177" s="1148"/>
      <c r="L177" s="1490"/>
      <c r="N177" s="141"/>
      <c r="O177" s="141"/>
      <c r="P177" s="141"/>
      <c r="Q177" s="141"/>
      <c r="R177" s="1444">
        <v>2</v>
      </c>
      <c r="S177" s="1445"/>
      <c r="T177" s="988"/>
      <c r="U177" s="1446"/>
      <c r="V177" s="1447"/>
      <c r="W177" s="1257" t="s">
        <v>1167</v>
      </c>
      <c r="X177" s="1325"/>
      <c r="Z177" s="331"/>
      <c r="AA177" s="331"/>
      <c r="AB177" s="331"/>
      <c r="AC177" s="331"/>
      <c r="AD177" s="1482" t="s">
        <v>1216</v>
      </c>
      <c r="AE177" s="1483">
        <v>4.8611111111111112E-3</v>
      </c>
      <c r="AF177" s="1484"/>
      <c r="AG177" s="1484">
        <v>110</v>
      </c>
      <c r="AH177" s="1485"/>
      <c r="AI177" s="1485"/>
      <c r="AJ177" s="1477"/>
      <c r="AL177" s="331"/>
      <c r="AM177" s="331"/>
      <c r="AN177" s="331"/>
      <c r="AO177" s="331"/>
      <c r="AP177" s="1478"/>
      <c r="AQ177" s="1429">
        <v>2.4305555555555556E-2</v>
      </c>
      <c r="AR177" s="141"/>
      <c r="AS177" s="1389">
        <v>100</v>
      </c>
      <c r="AT177" s="1430">
        <v>0.6</v>
      </c>
      <c r="AU177" s="1431" t="s">
        <v>1191</v>
      </c>
      <c r="AV177" s="1432" t="s">
        <v>1192</v>
      </c>
      <c r="AX177" s="141"/>
      <c r="AY177" s="141"/>
      <c r="AZ177" s="141"/>
      <c r="BA177" s="141"/>
      <c r="BB177" s="369" t="s">
        <v>252</v>
      </c>
      <c r="BC177" s="1433"/>
      <c r="BD177" s="1433"/>
      <c r="BE177" s="1433"/>
      <c r="BF177" s="1433"/>
      <c r="BG177" s="1433"/>
      <c r="BH177" s="1434" t="s">
        <v>1158</v>
      </c>
      <c r="BJ177" s="3"/>
      <c r="BK177" s="3"/>
      <c r="BL177" s="3"/>
      <c r="BM177" s="3"/>
      <c r="BN177" s="1"/>
      <c r="BO177" s="98"/>
      <c r="BP177" s="1221" t="s">
        <v>1028</v>
      </c>
      <c r="BQ177" s="1221" t="s">
        <v>1029</v>
      </c>
      <c r="BR177" s="141"/>
      <c r="BS177" s="1225" t="s">
        <v>1030</v>
      </c>
      <c r="BT177" s="1226" t="s">
        <v>1031</v>
      </c>
      <c r="BU177" s="1227" t="s">
        <v>1032</v>
      </c>
      <c r="BW177" s="5">
        <v>1</v>
      </c>
    </row>
    <row r="178" spans="2:75" ht="15.75">
      <c r="B178" s="42" t="str">
        <f t="shared" si="39"/>
        <v>A</v>
      </c>
      <c r="C178" s="196" t="str">
        <f>C175</f>
        <v>Famille à coller.N.Nom de votre recette.Recette mère ►.S.Saisissez le nom de la recette mère</v>
      </c>
      <c r="D178" s="196">
        <f>D175</f>
        <v>6</v>
      </c>
      <c r="E178" s="196" t="str">
        <f>E175</f>
        <v>couverts</v>
      </c>
      <c r="F178" s="1411" t="s">
        <v>1175</v>
      </c>
      <c r="G178" s="1487">
        <v>2.4305555555555556E-2</v>
      </c>
      <c r="H178" s="1488"/>
      <c r="I178" s="1488">
        <v>3</v>
      </c>
      <c r="J178" s="1148" t="s">
        <v>1226</v>
      </c>
      <c r="K178" s="1148"/>
      <c r="L178" s="1490"/>
      <c r="N178" s="141"/>
      <c r="O178" s="141"/>
      <c r="P178" s="141"/>
      <c r="Q178" s="141"/>
      <c r="R178" s="1450"/>
      <c r="S178" s="1451"/>
      <c r="T178" s="988"/>
      <c r="U178" s="1452"/>
      <c r="V178" s="1453"/>
      <c r="W178" s="1257" t="s">
        <v>1170</v>
      </c>
      <c r="X178" s="1325"/>
      <c r="Z178" s="331"/>
      <c r="AA178" s="331"/>
      <c r="AB178" s="331"/>
      <c r="AC178" s="331"/>
      <c r="AD178" s="1369" t="s">
        <v>864</v>
      </c>
      <c r="AE178" s="1321"/>
      <c r="AF178" s="1321"/>
      <c r="AG178" s="1321"/>
      <c r="AH178" s="1321"/>
      <c r="AI178" s="1321"/>
      <c r="AJ178" s="1370" t="s">
        <v>1141</v>
      </c>
      <c r="AL178" s="331"/>
      <c r="AM178" s="331"/>
      <c r="AN178" s="331"/>
      <c r="AO178" s="331"/>
      <c r="AP178" s="1478" t="s">
        <v>1193</v>
      </c>
      <c r="AQ178" s="1429">
        <v>1.0416666666666666E-2</v>
      </c>
      <c r="AR178" s="141"/>
      <c r="AS178" s="1389">
        <v>100</v>
      </c>
      <c r="AT178" s="1430">
        <v>0.6</v>
      </c>
      <c r="AU178" s="1431" t="s">
        <v>1194</v>
      </c>
      <c r="AV178" s="1432" t="s">
        <v>1195</v>
      </c>
      <c r="AX178" s="141"/>
      <c r="AY178" s="141"/>
      <c r="AZ178" s="141"/>
      <c r="BA178" s="141"/>
      <c r="BB178" s="1435"/>
      <c r="BC178" s="1435"/>
      <c r="BD178" s="1435"/>
      <c r="BE178" s="1435"/>
      <c r="BF178" s="1435"/>
      <c r="BG178" s="1435"/>
      <c r="BH178" s="1436" t="s">
        <v>1196</v>
      </c>
      <c r="BJ178" s="3"/>
      <c r="BK178" s="3"/>
      <c r="BL178" s="3"/>
      <c r="BM178" s="3"/>
      <c r="BN178" s="1"/>
      <c r="BO178" s="98"/>
      <c r="BP178" s="1221" t="s">
        <v>608</v>
      </c>
      <c r="BQ178" s="1221" t="s">
        <v>1033</v>
      </c>
      <c r="BR178" s="141"/>
      <c r="BS178" s="141"/>
      <c r="BT178" s="141"/>
      <c r="BU178" s="409"/>
      <c r="BW178" s="5">
        <v>1</v>
      </c>
    </row>
    <row r="179" spans="2:75" ht="15.75" customHeight="1">
      <c r="B179" s="42" t="str">
        <f t="shared" si="39"/>
        <v>A</v>
      </c>
      <c r="C179" s="196" t="str">
        <f>C175</f>
        <v>Famille à coller.N.Nom de votre recette.Recette mère ►.S.Saisissez le nom de la recette mère</v>
      </c>
      <c r="D179" s="196">
        <f>D175</f>
        <v>6</v>
      </c>
      <c r="E179" s="196" t="str">
        <f>E175</f>
        <v>couverts</v>
      </c>
      <c r="F179" s="1411" t="s">
        <v>1175</v>
      </c>
      <c r="G179" s="1487">
        <v>1.0416666666666666E-2</v>
      </c>
      <c r="H179" s="1488"/>
      <c r="I179" s="1488">
        <v>170</v>
      </c>
      <c r="J179" s="1148" t="s">
        <v>1227</v>
      </c>
      <c r="K179" s="1148"/>
      <c r="L179" s="1490"/>
      <c r="N179" s="141"/>
      <c r="O179" s="141"/>
      <c r="P179" s="141"/>
      <c r="Q179" s="141"/>
      <c r="R179" s="1455" t="str">
        <f>SUM(R174:R178) &amp; " / " &amp; (COUNTA(R174:R178) * 3)</f>
        <v>5 / 6</v>
      </c>
      <c r="S179" s="1456" t="str">
        <f>SUM(S174:S178) &amp; " / " &amp; (COUNTA(S174:S178) * 3)</f>
        <v>0 / 0</v>
      </c>
      <c r="T179" s="988"/>
      <c r="U179" s="1455" t="str">
        <f>SUM(U174:U178) &amp; " / " &amp; (COUNTA(U174:U178) * 3)</f>
        <v>0 / 0</v>
      </c>
      <c r="V179" s="1456" t="str">
        <f>SUM(V174:V178) &amp; " / " &amp; (COUNTA(V174:V178) * 3)</f>
        <v>0 / 0</v>
      </c>
      <c r="W179" s="988" t="s">
        <v>1177</v>
      </c>
      <c r="X179" s="1325"/>
      <c r="Z179" s="331"/>
      <c r="AA179" s="331"/>
      <c r="AB179" s="331"/>
      <c r="AC179" s="331"/>
      <c r="AD179" s="1371"/>
      <c r="AE179" s="1371"/>
      <c r="AF179" s="1371"/>
      <c r="AG179" s="1371"/>
      <c r="AH179" s="1371"/>
      <c r="AI179" s="1371"/>
      <c r="AJ179" s="1371"/>
      <c r="AL179" s="331"/>
      <c r="AM179" s="331"/>
      <c r="AN179" s="331"/>
      <c r="AO179" s="331"/>
      <c r="AP179" s="1478" t="s">
        <v>1197</v>
      </c>
      <c r="AQ179" s="1429">
        <v>5.2083333333333301E-2</v>
      </c>
      <c r="AR179" s="141"/>
      <c r="AS179" s="1389">
        <v>100</v>
      </c>
      <c r="AT179" s="1430">
        <v>0.6</v>
      </c>
      <c r="AU179" s="1431" t="s">
        <v>1191</v>
      </c>
      <c r="AV179" s="1432" t="s">
        <v>1198</v>
      </c>
      <c r="AX179" s="141"/>
      <c r="AY179" s="141"/>
      <c r="AZ179" s="141"/>
      <c r="BA179" s="141"/>
      <c r="BB179" s="1437" t="s">
        <v>1199</v>
      </c>
      <c r="BC179" s="1438" t="s">
        <v>1200</v>
      </c>
      <c r="BD179" s="1362"/>
      <c r="BE179" s="1439" t="s">
        <v>1201</v>
      </c>
      <c r="BF179" s="1440" t="s">
        <v>1202</v>
      </c>
      <c r="BG179" s="988"/>
      <c r="BH179" s="1325"/>
      <c r="BJ179" s="3"/>
      <c r="BK179" s="3"/>
      <c r="BL179" s="3"/>
      <c r="BM179" s="3"/>
      <c r="BN179" s="1"/>
      <c r="BO179" s="1121"/>
      <c r="BP179" s="1221" t="s">
        <v>1037</v>
      </c>
      <c r="BQ179" s="1221" t="s">
        <v>1034</v>
      </c>
      <c r="BR179" s="141"/>
      <c r="BS179" s="1228" t="s">
        <v>1035</v>
      </c>
      <c r="BT179" s="1229" t="s">
        <v>1036</v>
      </c>
      <c r="BU179" s="409"/>
      <c r="BW179" s="5">
        <v>1</v>
      </c>
    </row>
    <row r="180" spans="2:75" ht="16.5" customHeight="1">
      <c r="B180" s="42" t="str">
        <f t="shared" si="39"/>
        <v>A</v>
      </c>
      <c r="C180" s="196" t="str">
        <f>C175</f>
        <v>Famille à coller.N.Nom de votre recette.Recette mère ►.S.Saisissez le nom de la recette mère</v>
      </c>
      <c r="D180" s="196">
        <f>D175</f>
        <v>6</v>
      </c>
      <c r="E180" s="196" t="str">
        <f>E175</f>
        <v>couverts</v>
      </c>
      <c r="F180" s="1411" t="s">
        <v>1175</v>
      </c>
      <c r="G180" s="1487">
        <v>6.9444444444444441E-3</v>
      </c>
      <c r="H180" s="1488"/>
      <c r="I180" s="1488">
        <v>150</v>
      </c>
      <c r="J180" s="1148" t="s">
        <v>1217</v>
      </c>
      <c r="K180" s="1148"/>
      <c r="L180" s="1490"/>
      <c r="N180" s="141"/>
      <c r="O180" s="141"/>
      <c r="P180" s="141"/>
      <c r="Q180" s="141"/>
      <c r="R180" s="1458" t="str">
        <f>SUM(R174:R178) &amp;"/ "&amp;R181</f>
        <v>5/ 15</v>
      </c>
      <c r="S180" s="1459" t="str">
        <f>SUM(S174:S178) &amp;"/ "&amp;S181</f>
        <v>0/ 15</v>
      </c>
      <c r="T180" s="988"/>
      <c r="U180" s="1458" t="str">
        <f>SUM(U174:U178) &amp;"/ "&amp;U181</f>
        <v>0/ 15</v>
      </c>
      <c r="V180" s="1459" t="str">
        <f>SUM(V174:V178) &amp;"/ "&amp;V181</f>
        <v>0/ 15</v>
      </c>
      <c r="W180" s="1414" t="s">
        <v>1178</v>
      </c>
      <c r="X180" s="1325"/>
      <c r="Z180" s="331"/>
      <c r="AA180" s="331"/>
      <c r="AB180" s="331"/>
      <c r="AC180" s="331"/>
      <c r="AD180" s="1371"/>
      <c r="AE180" s="1371"/>
      <c r="AF180" s="1371"/>
      <c r="AG180" s="1371"/>
      <c r="AH180" s="1371"/>
      <c r="AI180" s="1371"/>
      <c r="AJ180" s="1371"/>
      <c r="AL180" s="331"/>
      <c r="AM180" s="331"/>
      <c r="AN180" s="331"/>
      <c r="AO180" s="331"/>
      <c r="AP180" s="1478" t="s">
        <v>157</v>
      </c>
      <c r="AQ180" s="1429">
        <v>9.375E-2</v>
      </c>
      <c r="AR180" s="141"/>
      <c r="AS180" s="1389">
        <v>100</v>
      </c>
      <c r="AT180" s="1430">
        <v>0.6</v>
      </c>
      <c r="AU180" s="1431" t="s">
        <v>1194</v>
      </c>
      <c r="AV180" s="1432" t="s">
        <v>1218</v>
      </c>
      <c r="AX180" s="141"/>
      <c r="AY180" s="141"/>
      <c r="AZ180" s="141"/>
      <c r="BA180" s="141"/>
      <c r="BB180" s="1444"/>
      <c r="BC180" s="1445"/>
      <c r="BD180" s="988"/>
      <c r="BE180" s="1446"/>
      <c r="BF180" s="1447"/>
      <c r="BG180" s="1257" t="s">
        <v>1159</v>
      </c>
      <c r="BH180" s="1325"/>
      <c r="BJ180" s="3"/>
      <c r="BK180" s="3"/>
      <c r="BL180" s="3"/>
      <c r="BM180" s="3"/>
      <c r="BN180" s="2"/>
      <c r="BO180" s="1121"/>
      <c r="BP180" s="1221" t="s">
        <v>1038</v>
      </c>
      <c r="BQ180" s="1221" t="s">
        <v>1039</v>
      </c>
      <c r="BR180" s="141"/>
      <c r="BS180" s="141"/>
      <c r="BT180" s="141"/>
      <c r="BU180" s="409"/>
      <c r="BW180" s="5">
        <v>1</v>
      </c>
    </row>
    <row r="181" spans="2:75" ht="15.75" customHeight="1">
      <c r="B181" s="42" t="str">
        <f t="shared" si="39"/>
        <v>A</v>
      </c>
      <c r="C181" s="196" t="str">
        <f>C175</f>
        <v>Famille à coller.N.Nom de votre recette.Recette mère ►.S.Saisissez le nom de la recette mère</v>
      </c>
      <c r="D181" s="196">
        <f>D175</f>
        <v>6</v>
      </c>
      <c r="E181" s="196" t="str">
        <f>E175</f>
        <v>couverts</v>
      </c>
      <c r="F181" s="1411" t="s">
        <v>1175</v>
      </c>
      <c r="G181" s="1487">
        <v>0.10069444444444445</v>
      </c>
      <c r="H181" s="1488"/>
      <c r="I181" s="1488">
        <v>120</v>
      </c>
      <c r="J181" s="1148" t="s">
        <v>1228</v>
      </c>
      <c r="K181" s="1120"/>
      <c r="L181" s="1491"/>
      <c r="N181" s="141"/>
      <c r="O181" s="141"/>
      <c r="P181" s="141"/>
      <c r="Q181" s="141"/>
      <c r="R181" s="1461">
        <v>15</v>
      </c>
      <c r="S181" s="1462">
        <v>15</v>
      </c>
      <c r="T181" s="988"/>
      <c r="U181" s="1461">
        <v>15</v>
      </c>
      <c r="V181" s="1462">
        <v>15</v>
      </c>
      <c r="W181" s="1417" t="s">
        <v>1180</v>
      </c>
      <c r="X181" s="1325"/>
      <c r="Z181" s="331"/>
      <c r="AA181" s="331"/>
      <c r="AB181" s="331"/>
      <c r="AC181" s="331"/>
      <c r="AD181" s="1354" t="s">
        <v>252</v>
      </c>
      <c r="AE181" s="1355"/>
      <c r="AF181" s="1355"/>
      <c r="AG181" s="1355"/>
      <c r="AH181" s="1355"/>
      <c r="AI181" s="1356"/>
      <c r="AJ181" s="1357" t="s">
        <v>1229</v>
      </c>
      <c r="AL181" s="331"/>
      <c r="AM181" s="331"/>
      <c r="AN181" s="331"/>
      <c r="AO181" s="331"/>
      <c r="AP181" s="1441"/>
      <c r="AQ181" s="1442">
        <f>SUM(AQ177:AQ180)</f>
        <v>0.18055555555555552</v>
      </c>
      <c r="AR181" s="1385"/>
      <c r="AS181" s="1385"/>
      <c r="AT181" s="1385"/>
      <c r="AU181" s="1385"/>
      <c r="AV181" s="1443"/>
      <c r="AX181" s="141"/>
      <c r="AY181" s="141"/>
      <c r="AZ181" s="141"/>
      <c r="BA181" s="141"/>
      <c r="BB181" s="1444">
        <v>3</v>
      </c>
      <c r="BC181" s="1445"/>
      <c r="BD181" s="988"/>
      <c r="BE181" s="1446"/>
      <c r="BF181" s="1447"/>
      <c r="BG181" s="1257" t="s">
        <v>1163</v>
      </c>
      <c r="BH181" s="1325"/>
      <c r="BJ181" s="3"/>
      <c r="BK181" s="3"/>
      <c r="BL181" s="3"/>
      <c r="BM181" s="3"/>
      <c r="BN181" s="2"/>
      <c r="BO181" s="1121"/>
      <c r="BP181" s="1221" t="s">
        <v>615</v>
      </c>
      <c r="BQ181" s="1212">
        <v>1</v>
      </c>
      <c r="BR181" s="141"/>
      <c r="BS181" s="141" t="s">
        <v>1040</v>
      </c>
      <c r="BT181" s="141"/>
      <c r="BU181" s="409"/>
      <c r="BW181" s="5">
        <v>1</v>
      </c>
    </row>
    <row r="182" spans="2:75" ht="15.75" customHeight="1">
      <c r="B182" s="42" t="str">
        <f t="shared" si="39"/>
        <v>A</v>
      </c>
      <c r="C182" s="196" t="str">
        <f>C175</f>
        <v>Famille à coller.N.Nom de votre recette.Recette mère ►.S.Saisissez le nom de la recette mère</v>
      </c>
      <c r="D182" s="196">
        <f>D175</f>
        <v>6</v>
      </c>
      <c r="E182" s="196" t="str">
        <f>E175</f>
        <v>couverts</v>
      </c>
      <c r="F182" s="1411" t="s">
        <v>1175</v>
      </c>
      <c r="G182" s="1487"/>
      <c r="H182" s="1492"/>
      <c r="I182" s="1389">
        <v>65</v>
      </c>
      <c r="J182" s="1493" t="s">
        <v>1230</v>
      </c>
      <c r="K182" s="1120"/>
      <c r="L182" s="1491"/>
      <c r="N182" s="141"/>
      <c r="O182" s="141"/>
      <c r="P182" s="141"/>
      <c r="Q182" s="141"/>
      <c r="R182" s="1463" t="s">
        <v>1203</v>
      </c>
      <c r="U182" s="1464"/>
      <c r="V182" s="1464"/>
      <c r="W182" s="1464"/>
      <c r="X182" s="1465"/>
      <c r="Z182" s="331"/>
      <c r="AA182" s="331"/>
      <c r="AB182" s="331"/>
      <c r="AC182" s="331"/>
      <c r="AD182" s="1319"/>
      <c r="AE182" s="612" t="s">
        <v>1231</v>
      </c>
      <c r="AF182" s="147"/>
      <c r="AG182" s="147"/>
      <c r="AH182" s="102"/>
      <c r="AI182" s="102"/>
      <c r="AJ182" s="1494" t="s">
        <v>1232</v>
      </c>
      <c r="AL182" s="331"/>
      <c r="AM182" s="331"/>
      <c r="AN182" s="331"/>
      <c r="AO182" s="331"/>
      <c r="AP182" s="1369" t="s">
        <v>864</v>
      </c>
      <c r="AQ182" s="1321"/>
      <c r="AR182" s="1321"/>
      <c r="AS182" s="1321"/>
      <c r="AT182" s="1321"/>
      <c r="AU182" s="1321"/>
      <c r="AV182" s="1370" t="s">
        <v>1141</v>
      </c>
      <c r="AX182" s="141"/>
      <c r="AY182" s="141"/>
      <c r="AZ182" s="141"/>
      <c r="BA182" s="141"/>
      <c r="BB182" s="1444"/>
      <c r="BC182" s="1445"/>
      <c r="BD182" s="988"/>
      <c r="BE182" s="1446"/>
      <c r="BF182" s="1447"/>
      <c r="BG182" s="1257" t="s">
        <v>1165</v>
      </c>
      <c r="BH182" s="1325"/>
      <c r="BJ182" s="3"/>
      <c r="BK182" s="3"/>
      <c r="BL182" s="3"/>
      <c r="BM182" s="3"/>
      <c r="BN182" s="2"/>
      <c r="BO182" s="1121"/>
      <c r="BP182" s="1221" t="s">
        <v>1041</v>
      </c>
      <c r="BQ182" s="1221" t="s">
        <v>1042</v>
      </c>
      <c r="BR182" s="1230" t="s">
        <v>1043</v>
      </c>
      <c r="BS182" s="1231" t="s">
        <v>1044</v>
      </c>
      <c r="BT182" s="141"/>
      <c r="BU182" s="409" t="s">
        <v>1</v>
      </c>
      <c r="BW182" s="5">
        <v>1</v>
      </c>
    </row>
    <row r="183" spans="2:75" ht="15.75" customHeight="1">
      <c r="B183" s="42" t="str">
        <f t="shared" si="39"/>
        <v>A</v>
      </c>
      <c r="C183" s="196" t="str">
        <f>C175</f>
        <v>Famille à coller.N.Nom de votre recette.Recette mère ►.S.Saisissez le nom de la recette mère</v>
      </c>
      <c r="D183" s="196">
        <f>D175</f>
        <v>6</v>
      </c>
      <c r="E183" s="196" t="str">
        <f>E175</f>
        <v>couverts</v>
      </c>
      <c r="F183" s="1495"/>
      <c r="G183" s="1496">
        <f>SUM(G176:G182)</f>
        <v>0.21875000000000003</v>
      </c>
      <c r="H183" s="1497"/>
      <c r="I183" s="1386">
        <v>3</v>
      </c>
      <c r="J183" s="1498" t="s">
        <v>1233</v>
      </c>
      <c r="K183" s="1120"/>
      <c r="L183" s="1491"/>
      <c r="N183" s="141"/>
      <c r="O183" s="141"/>
      <c r="P183" s="141"/>
      <c r="Q183" s="141"/>
      <c r="R183" s="1466" t="s">
        <v>1204</v>
      </c>
      <c r="U183" s="1464"/>
      <c r="V183" s="1464"/>
      <c r="W183" s="1464"/>
      <c r="X183" s="1465"/>
      <c r="Z183" s="331"/>
      <c r="AA183" s="331"/>
      <c r="AB183" s="331"/>
      <c r="AC183" s="331"/>
      <c r="AD183" s="1499"/>
      <c r="AE183" s="1500">
        <v>16</v>
      </c>
      <c r="AF183" s="141"/>
      <c r="AG183" s="1501" t="s">
        <v>1234</v>
      </c>
      <c r="AH183" t="s">
        <v>1235</v>
      </c>
      <c r="AI183" s="147"/>
      <c r="AJ183" s="1326" t="s">
        <v>1236</v>
      </c>
      <c r="AL183" s="331"/>
      <c r="AM183" s="331"/>
      <c r="AN183" s="331"/>
      <c r="AO183" s="331"/>
      <c r="AP183" s="1371"/>
      <c r="AQ183" s="1371"/>
      <c r="AR183" s="1371"/>
      <c r="AS183" s="1371"/>
      <c r="AT183" s="1371"/>
      <c r="AU183" s="1371"/>
      <c r="AV183" s="1371"/>
      <c r="AX183" s="141"/>
      <c r="AY183" s="141"/>
      <c r="AZ183" s="141"/>
      <c r="BA183" s="141"/>
      <c r="BB183" s="1444">
        <v>2</v>
      </c>
      <c r="BC183" s="1445"/>
      <c r="BD183" s="988"/>
      <c r="BE183" s="1446"/>
      <c r="BF183" s="1447"/>
      <c r="BG183" s="1257" t="s">
        <v>1167</v>
      </c>
      <c r="BH183" s="1325"/>
      <c r="BJ183" s="3"/>
      <c r="BK183" s="3"/>
      <c r="BL183" s="3"/>
      <c r="BM183" s="3"/>
      <c r="BN183" s="2"/>
      <c r="BO183" s="1160"/>
      <c r="BP183" s="141"/>
      <c r="BQ183" s="141"/>
      <c r="BR183" s="141"/>
      <c r="BS183" s="141"/>
      <c r="BT183" s="141"/>
      <c r="BU183" s="409"/>
      <c r="BW183" s="5">
        <v>1</v>
      </c>
    </row>
    <row r="184" spans="2:75" ht="15.75">
      <c r="B184" s="1037" t="s">
        <v>21</v>
      </c>
      <c r="C184" s="196" t="str">
        <f>C175</f>
        <v>Famille à coller.N.Nom de votre recette.Recette mère ►.S.Saisissez le nom de la recette mère</v>
      </c>
      <c r="D184" s="196">
        <f>D175</f>
        <v>6</v>
      </c>
      <c r="E184" s="196" t="str">
        <f>E175</f>
        <v>couverts</v>
      </c>
      <c r="F184" s="1502" t="s">
        <v>1222</v>
      </c>
      <c r="G184" s="1503"/>
      <c r="H184" s="1503"/>
      <c r="I184" s="1503"/>
      <c r="J184" s="1503"/>
      <c r="K184" s="1503"/>
      <c r="L184" s="1504"/>
      <c r="N184" s="141"/>
      <c r="O184" s="141"/>
      <c r="P184" s="141"/>
      <c r="Q184" s="141"/>
      <c r="R184" s="1466" t="s">
        <v>1205</v>
      </c>
      <c r="U184" s="1464"/>
      <c r="V184" s="1464"/>
      <c r="W184" s="1464"/>
      <c r="X184" s="1465"/>
      <c r="Z184" s="331"/>
      <c r="AA184" s="331"/>
      <c r="AB184" s="331"/>
      <c r="AC184" s="331"/>
      <c r="AD184" s="1505"/>
      <c r="AE184" s="1506" t="s">
        <v>1237</v>
      </c>
      <c r="AF184" s="1506"/>
      <c r="AG184" s="1507">
        <v>32</v>
      </c>
      <c r="AH184" s="1508" t="str">
        <f>AG183</f>
        <v xml:space="preserve">portions </v>
      </c>
      <c r="AI184" s="988"/>
      <c r="AJ184" s="1326" t="s">
        <v>1238</v>
      </c>
      <c r="AL184" s="331"/>
      <c r="AM184" s="331"/>
      <c r="AN184" s="331"/>
      <c r="AO184" s="331"/>
      <c r="AP184" s="1371"/>
      <c r="AQ184" s="1371"/>
      <c r="AR184" s="1371"/>
      <c r="AS184" s="1371"/>
      <c r="AT184" s="1371"/>
      <c r="AU184" s="1371"/>
      <c r="AV184" s="1371"/>
      <c r="AX184" s="141"/>
      <c r="AY184" s="141"/>
      <c r="AZ184" s="141"/>
      <c r="BA184" s="141"/>
      <c r="BB184" s="1450"/>
      <c r="BC184" s="1451"/>
      <c r="BD184" s="988"/>
      <c r="BE184" s="1452"/>
      <c r="BF184" s="1453"/>
      <c r="BG184" s="1257" t="s">
        <v>1170</v>
      </c>
      <c r="BH184" s="1325"/>
      <c r="BJ184" s="3"/>
      <c r="BK184" s="3"/>
      <c r="BL184" s="3"/>
      <c r="BM184" s="3"/>
      <c r="BN184" s="2"/>
      <c r="BO184" s="1160"/>
      <c r="BP184" s="141"/>
      <c r="BQ184" s="141"/>
      <c r="BR184" s="141"/>
      <c r="BS184" s="141"/>
      <c r="BT184" s="141"/>
      <c r="BU184" s="409"/>
      <c r="BW184" s="5">
        <v>1</v>
      </c>
    </row>
    <row r="185" spans="2:75" ht="15.75" customHeight="1">
      <c r="B185" s="1037" t="s">
        <v>21</v>
      </c>
      <c r="C185" s="196" t="str">
        <f>C175</f>
        <v>Famille à coller.N.Nom de votre recette.Recette mère ►.S.Saisissez le nom de la recette mère</v>
      </c>
      <c r="D185" s="196">
        <f>D175</f>
        <v>6</v>
      </c>
      <c r="E185" s="196" t="str">
        <f>E175</f>
        <v>couverts</v>
      </c>
      <c r="F185" s="1509"/>
      <c r="G185" s="1509"/>
      <c r="H185" s="1509" t="s">
        <v>873</v>
      </c>
      <c r="I185" s="1280"/>
      <c r="J185" s="97"/>
      <c r="K185" s="97"/>
      <c r="L185" s="1510"/>
      <c r="N185" s="141"/>
      <c r="O185" s="141"/>
      <c r="P185" s="141"/>
      <c r="Q185" s="141"/>
      <c r="R185" s="1369" t="s">
        <v>864</v>
      </c>
      <c r="S185" s="1321"/>
      <c r="T185" s="1321"/>
      <c r="U185" s="1321"/>
      <c r="V185" s="1321"/>
      <c r="W185" s="1321"/>
      <c r="X185" s="1370"/>
      <c r="Z185" s="331"/>
      <c r="AA185" s="331"/>
      <c r="AB185" s="331"/>
      <c r="AC185" s="331"/>
      <c r="AD185" s="1511"/>
      <c r="AE185" s="1512" t="s">
        <v>1239</v>
      </c>
      <c r="AF185" s="141"/>
      <c r="AG185" s="1513" t="str">
        <f>AE185</f>
        <v>Gastro</v>
      </c>
      <c r="AH185" s="1514" t="s">
        <v>1240</v>
      </c>
      <c r="AI185" s="988"/>
      <c r="AJ185" s="1326" t="s">
        <v>1241</v>
      </c>
      <c r="AL185" s="331"/>
      <c r="AM185" s="331"/>
      <c r="AN185" s="331"/>
      <c r="AO185" s="331"/>
      <c r="AP185" s="1354" t="s">
        <v>252</v>
      </c>
      <c r="AQ185" s="1355"/>
      <c r="AR185" s="1355"/>
      <c r="AS185" s="1355"/>
      <c r="AT185" s="1355"/>
      <c r="AU185" s="1356"/>
      <c r="AV185" s="1357" t="s">
        <v>1117</v>
      </c>
      <c r="AX185" s="141"/>
      <c r="AY185" s="141"/>
      <c r="AZ185" s="141"/>
      <c r="BA185" s="141"/>
      <c r="BB185" s="1455" t="str">
        <f>SUM(BB180:BB184) &amp; " / " &amp; (COUNTA(BB180:BB184) * 3)</f>
        <v>5 / 6</v>
      </c>
      <c r="BC185" s="1456" t="str">
        <f>SUM(BC180:BC184) &amp; " / " &amp; (COUNTA(BC180:BC184) * 3)</f>
        <v>0 / 0</v>
      </c>
      <c r="BD185" s="988"/>
      <c r="BE185" s="1455" t="str">
        <f>SUM(BE180:BE184) &amp; " / " &amp; (COUNTA(BE180:BE184) * 3)</f>
        <v>0 / 0</v>
      </c>
      <c r="BF185" s="1456" t="str">
        <f>SUM(BF180:BF184) &amp; " / " &amp; (COUNTA(BF180:BF184) * 3)</f>
        <v>0 / 0</v>
      </c>
      <c r="BG185" s="988" t="s">
        <v>1177</v>
      </c>
      <c r="BH185" s="1325"/>
      <c r="BJ185" s="3"/>
      <c r="BK185" s="3"/>
      <c r="BL185" s="3"/>
      <c r="BM185" s="3"/>
      <c r="BN185" s="2"/>
      <c r="BO185" s="1160"/>
      <c r="BP185" s="1232" t="s">
        <v>367</v>
      </c>
      <c r="BQ185" s="141"/>
      <c r="BR185" s="141"/>
      <c r="BS185" s="141"/>
      <c r="BT185" s="141"/>
      <c r="BU185" s="409"/>
      <c r="BW185" s="5">
        <v>1</v>
      </c>
    </row>
    <row r="186" spans="2:75" ht="15.75" customHeight="1" thickBot="1">
      <c r="B186" s="1069" t="s">
        <v>21</v>
      </c>
      <c r="C186" s="1331" t="str">
        <f>C175</f>
        <v>Famille à coller.N.Nom de votre recette.Recette mère ►.S.Saisissez le nom de la recette mère</v>
      </c>
      <c r="D186" s="1331">
        <f>D175</f>
        <v>6</v>
      </c>
      <c r="E186" s="1331" t="str">
        <f>E175</f>
        <v>couverts</v>
      </c>
      <c r="F186" s="1332" t="s">
        <v>86</v>
      </c>
      <c r="G186" s="1006"/>
      <c r="H186" s="1007"/>
      <c r="I186" s="1008"/>
      <c r="J186" s="1007"/>
      <c r="K186" s="1007"/>
      <c r="L186" s="1333"/>
      <c r="N186" s="141"/>
      <c r="O186" s="141"/>
      <c r="P186" s="141"/>
      <c r="Q186" s="141"/>
      <c r="R186" s="1002"/>
      <c r="S186" s="1002"/>
      <c r="T186" s="1002" t="s">
        <v>873</v>
      </c>
      <c r="U186" s="1003"/>
      <c r="V186" s="1329"/>
      <c r="W186" s="1329"/>
      <c r="X186" s="1330"/>
      <c r="Z186" s="331"/>
      <c r="AA186" s="331"/>
      <c r="AB186" s="331"/>
      <c r="AC186" s="331"/>
      <c r="AD186" s="1358" t="s">
        <v>1118</v>
      </c>
      <c r="AE186" s="1512">
        <v>1</v>
      </c>
      <c r="AF186" s="141"/>
      <c r="AG186" s="1515">
        <f>(AE186/AE183)*AG184</f>
        <v>2</v>
      </c>
      <c r="AH186" s="1516" t="s">
        <v>1242</v>
      </c>
      <c r="AI186" s="988"/>
      <c r="AJ186" s="1326" t="s">
        <v>1243</v>
      </c>
      <c r="AL186" s="331"/>
      <c r="AM186" s="331"/>
      <c r="AN186" s="331"/>
      <c r="AO186" s="331"/>
      <c r="AP186" s="1469" t="s">
        <v>1208</v>
      </c>
      <c r="AQ186" s="1249" t="s">
        <v>1186</v>
      </c>
      <c r="AR186" s="1249"/>
      <c r="AS186" s="1470" t="s">
        <v>1209</v>
      </c>
      <c r="AT186" s="1470" t="s">
        <v>1210</v>
      </c>
      <c r="AU186" s="997"/>
      <c r="AV186" s="1471" t="s">
        <v>1211</v>
      </c>
      <c r="AX186" s="141"/>
      <c r="AY186" s="141"/>
      <c r="AZ186" s="141"/>
      <c r="BA186" s="141"/>
      <c r="BB186" s="1458" t="str">
        <f>SUM(BB180:BB184) &amp;"/ "&amp;BB187</f>
        <v>5/ 15</v>
      </c>
      <c r="BC186" s="1459" t="str">
        <f>SUM(BC180:BC184) &amp;"/ "&amp;BC187</f>
        <v>0/ 15</v>
      </c>
      <c r="BD186" s="988"/>
      <c r="BE186" s="1458" t="str">
        <f>SUM(BE180:BE184) &amp;"/ "&amp;BE187</f>
        <v>0/ 15</v>
      </c>
      <c r="BF186" s="1459" t="str">
        <f>SUM(BF180:BF184) &amp;"/ "&amp;BF187</f>
        <v>0/ 15</v>
      </c>
      <c r="BG186" s="1414" t="s">
        <v>1178</v>
      </c>
      <c r="BH186" s="1325"/>
      <c r="BJ186" s="3"/>
      <c r="BK186" s="3"/>
      <c r="BL186" s="3"/>
      <c r="BM186" s="3"/>
      <c r="BN186" s="2"/>
      <c r="BO186" s="1160"/>
      <c r="BP186" s="1233" t="s">
        <v>370</v>
      </c>
      <c r="BQ186" s="141"/>
      <c r="BR186" s="141"/>
      <c r="BS186" s="141"/>
      <c r="BT186" s="141"/>
      <c r="BU186" s="409"/>
      <c r="BW186" s="5">
        <v>1</v>
      </c>
    </row>
    <row r="187" spans="2:75" ht="16.5" thickBot="1">
      <c r="B187" s="1334" t="s">
        <v>21</v>
      </c>
      <c r="C187" s="1335"/>
      <c r="D187" s="1335"/>
      <c r="E187" s="1335"/>
      <c r="F187" s="1336" t="s">
        <v>1110</v>
      </c>
      <c r="G187" s="1336"/>
      <c r="H187" s="1336"/>
      <c r="I187" s="1336"/>
      <c r="J187" s="1336"/>
      <c r="K187" s="1336"/>
      <c r="L187" s="348"/>
      <c r="N187" s="141"/>
      <c r="O187" s="141"/>
      <c r="P187" s="141"/>
      <c r="Q187" s="141"/>
      <c r="R187" s="1332" t="s">
        <v>86</v>
      </c>
      <c r="S187" s="1006"/>
      <c r="T187" s="1007"/>
      <c r="U187" s="1008"/>
      <c r="V187" s="1007"/>
      <c r="W187" s="1007"/>
      <c r="X187" s="1333"/>
      <c r="Z187" s="331"/>
      <c r="AA187" s="331"/>
      <c r="AB187" s="331"/>
      <c r="AC187" s="331"/>
      <c r="AD187" s="1358" t="s">
        <v>1118</v>
      </c>
      <c r="AE187" s="1512">
        <v>1</v>
      </c>
      <c r="AF187" s="141"/>
      <c r="AG187" s="1515">
        <f>(AE187/AE183)*AG184</f>
        <v>2</v>
      </c>
      <c r="AH187" s="1516" t="s">
        <v>1244</v>
      </c>
      <c r="AI187" s="988"/>
      <c r="AJ187" s="1326" t="s">
        <v>1245</v>
      </c>
      <c r="AL187" s="331"/>
      <c r="AM187" s="331"/>
      <c r="AN187" s="331"/>
      <c r="AO187" s="331"/>
      <c r="AP187" s="1473" t="s">
        <v>1212</v>
      </c>
      <c r="AQ187" s="1474">
        <v>4.1666666666666699E-2</v>
      </c>
      <c r="AR187" s="1475"/>
      <c r="AS187" s="1475">
        <v>220</v>
      </c>
      <c r="AT187" s="1476" t="s">
        <v>1213</v>
      </c>
      <c r="AU187" s="997"/>
      <c r="AV187" s="1477"/>
      <c r="AX187" s="141"/>
      <c r="AY187" s="141"/>
      <c r="AZ187" s="141"/>
      <c r="BA187" s="141"/>
      <c r="BB187" s="1461">
        <v>15</v>
      </c>
      <c r="BC187" s="1462">
        <v>15</v>
      </c>
      <c r="BD187" s="988"/>
      <c r="BE187" s="1461">
        <v>15</v>
      </c>
      <c r="BF187" s="1462">
        <v>15</v>
      </c>
      <c r="BG187" s="1417" t="s">
        <v>1180</v>
      </c>
      <c r="BH187" s="1325"/>
      <c r="BJ187" s="3"/>
      <c r="BK187" s="3"/>
      <c r="BL187" s="3"/>
      <c r="BM187" s="3"/>
      <c r="BN187" s="2"/>
      <c r="BO187" s="1160"/>
      <c r="BP187" s="1233" t="s">
        <v>372</v>
      </c>
      <c r="BQ187" s="141"/>
      <c r="BR187" s="141"/>
      <c r="BS187" s="141"/>
      <c r="BT187" s="141"/>
      <c r="BU187" s="409"/>
      <c r="BW187" s="5">
        <v>1</v>
      </c>
    </row>
    <row r="188" spans="2:75" ht="15.75">
      <c r="B188" s="5465" t="s">
        <v>21</v>
      </c>
      <c r="C188" s="368" t="str">
        <f>C194</f>
        <v>Famille à coller.N.Nom de votre recette.Recette mère ►.S.Saisissez le nom de la recette mère</v>
      </c>
      <c r="D188" s="367">
        <f>D194</f>
        <v>6</v>
      </c>
      <c r="E188" s="367" t="str">
        <f>E194</f>
        <v>couverts</v>
      </c>
      <c r="F188" s="366" t="s">
        <v>1</v>
      </c>
      <c r="G188" s="365" t="s">
        <v>251</v>
      </c>
      <c r="H188" s="7648" t="s">
        <v>1089</v>
      </c>
      <c r="I188" s="7648"/>
      <c r="J188" s="7601" t="s">
        <v>1090</v>
      </c>
      <c r="K188" s="7601"/>
      <c r="L188" s="7602"/>
      <c r="N188" s="141"/>
      <c r="O188" s="141"/>
      <c r="P188" s="141"/>
      <c r="Q188" s="141"/>
      <c r="R188" s="141"/>
      <c r="S188" s="141"/>
      <c r="T188" s="141"/>
      <c r="U188" s="141"/>
      <c r="V188" s="141"/>
      <c r="W188" s="141"/>
      <c r="X188" s="141"/>
      <c r="Z188" s="331"/>
      <c r="AA188" s="331"/>
      <c r="AB188" s="331"/>
      <c r="AC188" s="331"/>
      <c r="AD188" s="1358" t="s">
        <v>1118</v>
      </c>
      <c r="AE188" s="1512">
        <v>1</v>
      </c>
      <c r="AF188" s="141"/>
      <c r="AG188" s="1515">
        <f>(AE188/AE183)*AG184</f>
        <v>2</v>
      </c>
      <c r="AH188" s="1516" t="s">
        <v>1246</v>
      </c>
      <c r="AI188" s="988"/>
      <c r="AJ188" s="1326" t="s">
        <v>1247</v>
      </c>
      <c r="AL188" s="331"/>
      <c r="AM188" s="331"/>
      <c r="AN188" s="331"/>
      <c r="AO188" s="331"/>
      <c r="AP188" s="1479" t="s">
        <v>1208</v>
      </c>
      <c r="AQ188" s="1480"/>
      <c r="AR188" s="1480"/>
      <c r="AS188" s="1480" t="s">
        <v>1214</v>
      </c>
      <c r="AT188" s="1481" t="s">
        <v>1215</v>
      </c>
      <c r="AU188" s="1481"/>
      <c r="AV188" s="1477"/>
      <c r="AX188" s="141"/>
      <c r="AY188" s="141"/>
      <c r="AZ188" s="141"/>
      <c r="BA188" s="141"/>
      <c r="BB188" s="1463" t="s">
        <v>1203</v>
      </c>
      <c r="BE188" s="1464"/>
      <c r="BF188" s="1464"/>
      <c r="BG188" s="1464"/>
      <c r="BH188" s="1465"/>
      <c r="BJ188" s="3"/>
      <c r="BK188" s="3"/>
      <c r="BL188" s="3"/>
      <c r="BM188" s="3"/>
      <c r="BN188" s="2"/>
      <c r="BO188" s="1160"/>
      <c r="BP188" s="1234" t="s">
        <v>376</v>
      </c>
      <c r="BQ188" s="141"/>
      <c r="BR188" s="141"/>
      <c r="BS188" s="141"/>
      <c r="BT188" s="141"/>
      <c r="BU188" s="409"/>
      <c r="BW188" s="5">
        <v>1</v>
      </c>
    </row>
    <row r="189" spans="2:75" ht="17.25" customHeight="1">
      <c r="B189" s="214" t="s">
        <v>21</v>
      </c>
      <c r="C189" s="363" t="str">
        <f>C194</f>
        <v>Famille à coller.N.Nom de votre recette.Recette mère ►.S.Saisissez le nom de la recette mère</v>
      </c>
      <c r="D189" s="362"/>
      <c r="E189" s="362"/>
      <c r="F189" s="361" t="s">
        <v>245</v>
      </c>
      <c r="G189" s="360" t="s">
        <v>244</v>
      </c>
      <c r="H189" s="7649"/>
      <c r="I189" s="7649"/>
      <c r="J189" s="7603"/>
      <c r="K189" s="7603"/>
      <c r="L189" s="7604"/>
      <c r="N189" s="141"/>
      <c r="O189" s="141"/>
      <c r="P189" s="141"/>
      <c r="Q189" s="141"/>
      <c r="R189" s="141"/>
      <c r="S189" s="141"/>
      <c r="T189" s="141"/>
      <c r="U189" s="141"/>
      <c r="V189" s="141"/>
      <c r="W189" s="141"/>
      <c r="X189" s="141"/>
      <c r="Z189" s="331"/>
      <c r="AA189" s="331"/>
      <c r="AB189" s="331"/>
      <c r="AC189" s="331"/>
      <c r="AD189" s="1358" t="s">
        <v>1118</v>
      </c>
      <c r="AE189" s="1512">
        <v>1</v>
      </c>
      <c r="AF189" s="141"/>
      <c r="AG189" s="1515">
        <f>(AE189/AE183)*AG184</f>
        <v>2</v>
      </c>
      <c r="AH189" s="1516" t="s">
        <v>1248</v>
      </c>
      <c r="AI189" s="988"/>
      <c r="AJ189" s="1326" t="s">
        <v>1249</v>
      </c>
      <c r="AL189" s="331"/>
      <c r="AM189" s="331"/>
      <c r="AN189" s="331"/>
      <c r="AO189" s="331"/>
      <c r="AP189" s="1482" t="s">
        <v>1216</v>
      </c>
      <c r="AQ189" s="1483"/>
      <c r="AR189" s="1484"/>
      <c r="AS189" s="1484">
        <v>250</v>
      </c>
      <c r="AT189" s="1485" t="s">
        <v>1217</v>
      </c>
      <c r="AU189" s="1485"/>
      <c r="AV189" s="1477"/>
      <c r="AX189" s="141"/>
      <c r="AY189" s="141"/>
      <c r="AZ189" s="141"/>
      <c r="BA189" s="141"/>
      <c r="BB189" s="1466" t="s">
        <v>1204</v>
      </c>
      <c r="BE189" s="1464"/>
      <c r="BF189" s="1464"/>
      <c r="BG189" s="1464"/>
      <c r="BH189" s="1465"/>
      <c r="BJ189" s="3"/>
      <c r="BK189" s="3"/>
      <c r="BL189" s="3"/>
      <c r="BM189" s="3"/>
      <c r="BN189" s="2"/>
      <c r="BO189" s="1160"/>
      <c r="BP189" s="1235" t="s">
        <v>377</v>
      </c>
      <c r="BQ189" s="141"/>
      <c r="BR189" s="141"/>
      <c r="BS189" s="141"/>
      <c r="BT189" s="141"/>
      <c r="BU189" s="409"/>
      <c r="BW189" s="5">
        <v>1</v>
      </c>
    </row>
    <row r="190" spans="2:75" ht="23.25" customHeight="1">
      <c r="B190" s="214" t="s">
        <v>21</v>
      </c>
      <c r="C190" s="354" t="str">
        <f>C194</f>
        <v>Famille à coller.N.Nom de votre recette.Recette mère ►.S.Saisissez le nom de la recette mère</v>
      </c>
      <c r="D190" s="353"/>
      <c r="E190" s="352"/>
      <c r="F190" s="351"/>
      <c r="G190" s="350" t="s">
        <v>233</v>
      </c>
      <c r="H190" s="349"/>
      <c r="I190" s="348" t="s">
        <v>232</v>
      </c>
      <c r="J190" s="347" t="s">
        <v>1092</v>
      </c>
      <c r="K190" s="141"/>
      <c r="L190" s="346"/>
      <c r="N190" s="141"/>
      <c r="O190" s="141"/>
      <c r="P190" s="141"/>
      <c r="Q190" s="141"/>
      <c r="R190" s="1354" t="s">
        <v>252</v>
      </c>
      <c r="S190" s="1355"/>
      <c r="T190" s="1355"/>
      <c r="U190" s="1355"/>
      <c r="V190" s="1355"/>
      <c r="W190" s="1356"/>
      <c r="X190" s="1357" t="s">
        <v>1117</v>
      </c>
      <c r="Z190" s="331"/>
      <c r="AA190" s="331"/>
      <c r="AB190" s="331"/>
      <c r="AC190" s="331"/>
      <c r="AD190" s="1358" t="s">
        <v>1118</v>
      </c>
      <c r="AE190" s="1512">
        <v>1</v>
      </c>
      <c r="AF190" s="141"/>
      <c r="AG190" s="1515">
        <f>(AE190/AE183)*AG184</f>
        <v>2</v>
      </c>
      <c r="AH190" s="1516" t="s">
        <v>1250</v>
      </c>
      <c r="AI190" s="988"/>
      <c r="AJ190" s="1326" t="s">
        <v>1251</v>
      </c>
      <c r="AL190" s="331"/>
      <c r="AM190" s="331"/>
      <c r="AN190" s="331"/>
      <c r="AO190" s="331"/>
      <c r="AP190" s="1479" t="s">
        <v>1208</v>
      </c>
      <c r="AQ190" s="1480"/>
      <c r="AR190" s="1480"/>
      <c r="AS190" s="1480" t="s">
        <v>1214</v>
      </c>
      <c r="AT190" s="1481" t="s">
        <v>1215</v>
      </c>
      <c r="AU190" s="1481"/>
      <c r="AV190" s="1477"/>
      <c r="AX190" s="141"/>
      <c r="AY190" s="141"/>
      <c r="AZ190" s="141"/>
      <c r="BA190" s="141"/>
      <c r="BB190" s="1466" t="s">
        <v>1205</v>
      </c>
      <c r="BE190" s="1464"/>
      <c r="BF190" s="1464"/>
      <c r="BG190" s="1464"/>
      <c r="BH190" s="1465"/>
      <c r="BJ190" s="3"/>
      <c r="BK190" s="3"/>
      <c r="BL190" s="3"/>
      <c r="BM190" s="3"/>
      <c r="BN190" s="2"/>
      <c r="BO190" s="1160"/>
      <c r="BU190" s="409"/>
      <c r="BW190" s="5">
        <v>1</v>
      </c>
    </row>
    <row r="191" spans="2:75" ht="15.75">
      <c r="B191" s="214" t="s">
        <v>21</v>
      </c>
      <c r="C191" s="40" t="str">
        <f>C194</f>
        <v>Famille à coller.N.Nom de votre recette.Recette mère ►.S.Saisissez le nom de la recette mère</v>
      </c>
      <c r="D191" s="40"/>
      <c r="E191" s="40"/>
      <c r="F191" s="333" t="s">
        <v>228</v>
      </c>
      <c r="G191" s="341"/>
      <c r="H191" s="341"/>
      <c r="I191" s="340" t="s">
        <v>227</v>
      </c>
      <c r="J191" s="6901" t="str">
        <f>F194</f>
        <v>Famille à coller.N.Nom de votre recette.Recette mère ►.S.Saisissez le nom de la recette mère</v>
      </c>
      <c r="K191" s="6901"/>
      <c r="L191" s="7612"/>
      <c r="N191" s="141"/>
      <c r="O191" s="141"/>
      <c r="P191" s="141"/>
      <c r="Q191" s="141"/>
      <c r="R191" s="1517" t="s">
        <v>1185</v>
      </c>
      <c r="S191" s="1425" t="s">
        <v>1186</v>
      </c>
      <c r="T191" s="1426"/>
      <c r="U191" s="1426" t="s">
        <v>1187</v>
      </c>
      <c r="V191" s="1426" t="s">
        <v>1188</v>
      </c>
      <c r="W191" s="1426" t="s">
        <v>1189</v>
      </c>
      <c r="X191" s="1427" t="s">
        <v>1190</v>
      </c>
      <c r="Z191" s="331"/>
      <c r="AA191" s="331"/>
      <c r="AB191" s="331"/>
      <c r="AC191" s="331"/>
      <c r="AD191" s="1518" t="s">
        <v>1252</v>
      </c>
      <c r="AE191" s="1512">
        <v>1</v>
      </c>
      <c r="AF191" s="141"/>
      <c r="AG191" s="1515">
        <f>(AE191/AE183)*AG184</f>
        <v>2</v>
      </c>
      <c r="AH191" s="988"/>
      <c r="AI191" s="988"/>
      <c r="AJ191" s="1326" t="s">
        <v>1253</v>
      </c>
      <c r="AL191" s="331"/>
      <c r="AM191" s="331"/>
      <c r="AN191" s="331"/>
      <c r="AO191" s="331"/>
      <c r="AP191" s="1482" t="s">
        <v>1216</v>
      </c>
      <c r="AQ191" s="1483">
        <v>4.8611111111111112E-3</v>
      </c>
      <c r="AR191" s="1484"/>
      <c r="AS191" s="1484">
        <v>250</v>
      </c>
      <c r="AT191" s="1485" t="s">
        <v>1219</v>
      </c>
      <c r="AU191" s="1485"/>
      <c r="AV191" s="1477"/>
      <c r="AX191" s="141"/>
      <c r="AY191" s="141"/>
      <c r="AZ191" s="141"/>
      <c r="BA191" s="141"/>
      <c r="BB191" s="1323"/>
      <c r="BC191" s="988"/>
      <c r="BD191" s="988"/>
      <c r="BE191" s="988"/>
      <c r="BF191" s="988"/>
      <c r="BG191" s="988"/>
      <c r="BH191" s="1325"/>
      <c r="BJ191" s="3"/>
      <c r="BK191" s="3"/>
      <c r="BL191" s="3"/>
      <c r="BM191" s="3"/>
      <c r="BN191" s="2"/>
      <c r="BO191" s="1079"/>
      <c r="BP191" s="1194" t="s">
        <v>1045</v>
      </c>
      <c r="BQ191" s="1081"/>
      <c r="BR191" s="1080"/>
      <c r="BS191" s="1080"/>
      <c r="BT191" s="1080"/>
      <c r="BU191" s="1082"/>
      <c r="BW191" s="5">
        <v>1</v>
      </c>
    </row>
    <row r="192" spans="2:75" ht="15.75" customHeight="1">
      <c r="B192" s="214" t="s">
        <v>21</v>
      </c>
      <c r="C192" s="40" t="str">
        <f>C194</f>
        <v>Famille à coller.N.Nom de votre recette.Recette mère ►.S.Saisissez le nom de la recette mère</v>
      </c>
      <c r="D192" s="40"/>
      <c r="E192" s="40"/>
      <c r="F192" s="5453">
        <v>6</v>
      </c>
      <c r="G192" s="5452" t="s">
        <v>73</v>
      </c>
      <c r="H192" s="333"/>
      <c r="I192" s="333"/>
      <c r="J192" s="6901"/>
      <c r="K192" s="6901"/>
      <c r="L192" s="7612"/>
      <c r="N192" s="141"/>
      <c r="O192" s="141"/>
      <c r="P192" s="141"/>
      <c r="Q192" s="141"/>
      <c r="R192" s="1428"/>
      <c r="S192" s="1429">
        <v>2.4305555555555556E-2</v>
      </c>
      <c r="T192" s="141"/>
      <c r="U192" s="1389">
        <v>100</v>
      </c>
      <c r="V192" s="1430">
        <v>0.6</v>
      </c>
      <c r="W192" s="1431" t="s">
        <v>1191</v>
      </c>
      <c r="X192" s="1432" t="s">
        <v>1192</v>
      </c>
      <c r="Z192" s="331"/>
      <c r="AA192" s="331"/>
      <c r="AB192" s="331"/>
      <c r="AC192" s="331"/>
      <c r="AD192" s="1518" t="s">
        <v>1252</v>
      </c>
      <c r="AE192" s="1512">
        <v>1</v>
      </c>
      <c r="AF192" s="141"/>
      <c r="AG192" s="1515">
        <f>(AE192/AE183)*AG184</f>
        <v>2</v>
      </c>
      <c r="AH192" s="988"/>
      <c r="AI192" s="988"/>
      <c r="AJ192" s="1326"/>
      <c r="AL192" s="331"/>
      <c r="AM192" s="331"/>
      <c r="AN192" s="331"/>
      <c r="AO192" s="331"/>
      <c r="AP192" s="1479" t="s">
        <v>1208</v>
      </c>
      <c r="AQ192" s="1480"/>
      <c r="AR192" s="1480"/>
      <c r="AS192" s="1480" t="s">
        <v>1214</v>
      </c>
      <c r="AT192" s="1481" t="s">
        <v>1215</v>
      </c>
      <c r="AU192" s="1481"/>
      <c r="AV192" s="1477"/>
      <c r="AX192" s="141"/>
      <c r="AY192" s="141"/>
      <c r="AZ192" s="141"/>
      <c r="BA192" s="141"/>
      <c r="BB192" s="1369" t="s">
        <v>864</v>
      </c>
      <c r="BC192" s="1321"/>
      <c r="BD192" s="1321"/>
      <c r="BE192" s="1321"/>
      <c r="BF192" s="1321"/>
      <c r="BG192" s="1321"/>
      <c r="BH192" s="1370" t="s">
        <v>1141</v>
      </c>
      <c r="BJ192" s="3"/>
      <c r="BK192" s="3"/>
      <c r="BL192" s="3"/>
      <c r="BM192" s="3"/>
      <c r="BN192" s="2"/>
      <c r="BO192" s="1121"/>
      <c r="BP192" s="1211"/>
      <c r="BQ192" s="1122"/>
      <c r="BR192" s="141"/>
      <c r="BS192" s="141"/>
      <c r="BT192" s="141"/>
      <c r="BU192" s="409"/>
      <c r="BW192" s="5">
        <v>1</v>
      </c>
    </row>
    <row r="193" spans="2:75" ht="22.5" customHeight="1">
      <c r="B193" s="214" t="s">
        <v>26</v>
      </c>
      <c r="C193" s="40" t="str">
        <f>C194</f>
        <v>Famille à coller.N.Nom de votre recette.Recette mère ►.S.Saisissez le nom de la recette mère</v>
      </c>
      <c r="D193" s="40"/>
      <c r="E193" s="40"/>
      <c r="F193" s="327"/>
      <c r="G193" s="326"/>
      <c r="H193" s="326"/>
      <c r="I193" s="326"/>
      <c r="J193" s="326"/>
      <c r="K193" s="326"/>
      <c r="L193" s="1311"/>
      <c r="N193" s="141"/>
      <c r="O193" s="141"/>
      <c r="P193" s="141"/>
      <c r="Q193" s="141"/>
      <c r="R193" s="1428" t="s">
        <v>1193</v>
      </c>
      <c r="S193" s="1429">
        <v>1.0416666666666666E-2</v>
      </c>
      <c r="T193" s="141"/>
      <c r="U193" s="1389">
        <v>100</v>
      </c>
      <c r="V193" s="1430">
        <v>0.6</v>
      </c>
      <c r="W193" s="1431" t="s">
        <v>1194</v>
      </c>
      <c r="X193" s="1432" t="s">
        <v>1195</v>
      </c>
      <c r="Z193" s="331"/>
      <c r="AA193" s="331"/>
      <c r="AB193" s="331"/>
      <c r="AC193" s="331"/>
      <c r="AD193" s="1518" t="s">
        <v>1252</v>
      </c>
      <c r="AE193" s="1512">
        <v>1</v>
      </c>
      <c r="AF193" s="141"/>
      <c r="AG193" s="1515">
        <f>(AE193/AE183)*AG184</f>
        <v>2</v>
      </c>
      <c r="AH193" s="988"/>
      <c r="AI193" s="988"/>
      <c r="AJ193" s="1326"/>
      <c r="AL193" s="331"/>
      <c r="AM193" s="331"/>
      <c r="AN193" s="331"/>
      <c r="AO193" s="331"/>
      <c r="AP193" s="1482" t="s">
        <v>1216</v>
      </c>
      <c r="AQ193" s="1483">
        <v>0.10416666666666667</v>
      </c>
      <c r="AR193" s="1484"/>
      <c r="AS193" s="1484">
        <v>170</v>
      </c>
      <c r="AT193" s="1485" t="s">
        <v>1220</v>
      </c>
      <c r="AU193" s="1485"/>
      <c r="AV193" s="1477"/>
      <c r="AX193" s="141"/>
      <c r="AY193" s="141"/>
      <c r="AZ193" s="141"/>
      <c r="BA193" s="141"/>
      <c r="BB193" s="1371"/>
      <c r="BC193" s="1371"/>
      <c r="BD193" s="1371"/>
      <c r="BE193" s="1371"/>
      <c r="BF193" s="1371"/>
      <c r="BG193" s="1371"/>
      <c r="BH193" s="1371"/>
      <c r="BJ193" s="3"/>
      <c r="BK193" s="3"/>
      <c r="BL193" s="3"/>
      <c r="BM193" s="3"/>
      <c r="BN193" s="2"/>
      <c r="BO193" s="1121"/>
      <c r="BP193" s="541" t="s">
        <v>1046</v>
      </c>
      <c r="BQ193" s="97"/>
      <c r="BR193" s="97"/>
      <c r="BS193" s="97"/>
      <c r="BT193" s="141"/>
      <c r="BU193" s="409"/>
      <c r="BW193" s="5">
        <v>1</v>
      </c>
    </row>
    <row r="194" spans="2:75" ht="15.75">
      <c r="B194" s="319" t="s">
        <v>26</v>
      </c>
      <c r="C194" s="318" t="str">
        <f>F194</f>
        <v>Famille à coller.N.Nom de votre recette.Recette mère ►.S.Saisissez le nom de la recette mère</v>
      </c>
      <c r="D194" s="318">
        <f>F192</f>
        <v>6</v>
      </c>
      <c r="E194" s="318" t="str">
        <f>G192</f>
        <v>couverts</v>
      </c>
      <c r="F194" s="5486" t="str">
        <f>UPPER(LEFT(H188,1))&amp;LOWER(MID(H188,2,999))&amp;"."&amp;UPPER(LEFT(J188,1))&amp;"."&amp;UPPER(LEFT(J188,1))&amp;LOWER(MID(J188,2,999))&amp;"."&amp;IF(ISTEXT(L194),K194&amp;"."&amp;UPPER(LEFT(L194,1))&amp;"."&amp;UPPER(LEFT(L194,1))&amp;LOWER(MID(L194,2,999)),G194)</f>
        <v>Famille à coller.N.Nom de votre recette.Recette mère ►.S.Saisissez le nom de la recette mère</v>
      </c>
      <c r="G194" s="5487" t="s">
        <v>223</v>
      </c>
      <c r="H194" s="7613" t="s">
        <v>222</v>
      </c>
      <c r="I194" s="7613"/>
      <c r="J194" s="7613"/>
      <c r="K194" s="317" t="s">
        <v>221</v>
      </c>
      <c r="L194" s="1302" t="s">
        <v>1093</v>
      </c>
      <c r="N194" s="141"/>
      <c r="O194" s="141"/>
      <c r="P194" s="141"/>
      <c r="Q194" s="141"/>
      <c r="R194" s="1428" t="s">
        <v>1197</v>
      </c>
      <c r="S194" s="1429">
        <v>5.2083333333333301E-2</v>
      </c>
      <c r="T194" s="141"/>
      <c r="U194" s="1389">
        <v>100</v>
      </c>
      <c r="V194" s="1430">
        <v>0.6</v>
      </c>
      <c r="W194" s="1431" t="s">
        <v>1191</v>
      </c>
      <c r="X194" s="1432" t="s">
        <v>1198</v>
      </c>
      <c r="Z194" s="331"/>
      <c r="AA194" s="331"/>
      <c r="AB194" s="331"/>
      <c r="AC194" s="331"/>
      <c r="AD194" s="1519"/>
      <c r="AE194" s="988"/>
      <c r="AF194" s="988"/>
      <c r="AG194" s="988"/>
      <c r="AH194" s="988"/>
      <c r="AI194" s="988"/>
      <c r="AJ194" s="1325"/>
      <c r="AL194" s="331"/>
      <c r="AM194" s="331"/>
      <c r="AN194" s="331"/>
      <c r="AO194" s="331"/>
      <c r="AP194" s="1479" t="s">
        <v>1208</v>
      </c>
      <c r="AQ194" s="1480"/>
      <c r="AR194" s="1480"/>
      <c r="AS194" s="1480" t="s">
        <v>1214</v>
      </c>
      <c r="AT194" s="1481" t="s">
        <v>1221</v>
      </c>
      <c r="AU194" s="1481"/>
      <c r="AV194" s="1477"/>
      <c r="AX194" s="141"/>
      <c r="AY194" s="141"/>
      <c r="AZ194" s="141"/>
      <c r="BA194" s="141"/>
      <c r="BB194" s="1371"/>
      <c r="BC194" s="1371"/>
      <c r="BD194" s="1371"/>
      <c r="BE194" s="1371"/>
      <c r="BF194" s="1371"/>
      <c r="BG194" s="1371"/>
      <c r="BH194" s="1371"/>
      <c r="BJ194" s="3"/>
      <c r="BK194" s="3"/>
      <c r="BL194" s="3"/>
      <c r="BM194" s="3"/>
      <c r="BN194" s="2"/>
      <c r="BO194" s="154"/>
      <c r="BP194" s="488" t="s">
        <v>255</v>
      </c>
      <c r="BQ194" s="97" t="s">
        <v>1047</v>
      </c>
      <c r="BR194" s="97"/>
      <c r="BS194" s="97"/>
      <c r="BT194" s="141"/>
      <c r="BU194" s="409"/>
      <c r="BW194" s="5">
        <v>1</v>
      </c>
    </row>
    <row r="195" spans="2:75" ht="18.75" customHeight="1">
      <c r="B195" s="5477" t="s">
        <v>21</v>
      </c>
      <c r="C195" s="1313" t="str">
        <f>$C$39</f>
        <v>Famille à coller.N.Nom de votre recette.Recette mère ►.S.Saisissez le nom de la recette mère</v>
      </c>
      <c r="D195" s="1313">
        <f>$D$39</f>
        <v>6</v>
      </c>
      <c r="E195" s="1313" t="str">
        <f>$E$39</f>
        <v>couverts</v>
      </c>
      <c r="F195" s="1520" t="s">
        <v>218</v>
      </c>
      <c r="G195" s="1364" cm="1">
        <f t="array" ref="G195">IFERROR(ROW(F205)-(ROW(F196)+MATCH(TRUE,INDEX(ISNUMBER(FIND(K195,TRIM(SUBSTITUTE(SUBSTITUTE(SUBSTITUTE(SUBSTITUTE(SUBSTITUTE(SUBSTITUTE(SUBSTITUTE(LOWER(F196:F205),"é","e"),"è","e"),"ê","e"),"ë","e"),"à","a"),"ù","u"),"î","i")))),0),0)-1),1)</f>
        <v>2</v>
      </c>
      <c r="H195" s="1365" t="s">
        <v>1206</v>
      </c>
      <c r="I195" s="1366"/>
      <c r="J195" s="1366"/>
      <c r="K195" s="1367" t="str">
        <f>TRIM(SUBSTITUTE(SUBSTITUTE(SUBSTITUTE(SUBSTITUTE(SUBSTITUTE(SUBSTITUTE(SUBSTITUTE(LOWER(L195),"é","e"),"è","e"),"ê","e"),"ë","e"),"à","a"),"ù","u"),"î","i"))</f>
        <v>⓬ conseils</v>
      </c>
      <c r="L195" s="1423" t="s">
        <v>1207</v>
      </c>
      <c r="N195" s="141"/>
      <c r="O195" s="141"/>
      <c r="P195" s="141"/>
      <c r="Q195" s="141"/>
      <c r="R195" s="1428" t="s">
        <v>157</v>
      </c>
      <c r="S195" s="1429">
        <v>9.375E-2</v>
      </c>
      <c r="T195" s="141"/>
      <c r="U195" s="1389">
        <v>100</v>
      </c>
      <c r="V195" s="1430">
        <v>0.6</v>
      </c>
      <c r="W195" s="1431" t="s">
        <v>1194</v>
      </c>
      <c r="X195" s="1432" t="s">
        <v>1218</v>
      </c>
      <c r="Z195" s="331"/>
      <c r="AA195" s="331"/>
      <c r="AB195" s="331"/>
      <c r="AC195" s="331"/>
      <c r="AD195" s="1369" t="s">
        <v>864</v>
      </c>
      <c r="AE195" s="1321"/>
      <c r="AF195" s="1321"/>
      <c r="AG195" s="1321"/>
      <c r="AH195" s="1321"/>
      <c r="AI195" s="1321"/>
      <c r="AJ195" s="1370" t="s">
        <v>1141</v>
      </c>
      <c r="AL195" s="331"/>
      <c r="AM195" s="331"/>
      <c r="AN195" s="331"/>
      <c r="AO195" s="331"/>
      <c r="AP195" s="1482" t="s">
        <v>1216</v>
      </c>
      <c r="AQ195" s="1483">
        <v>4.8611111111111112E-3</v>
      </c>
      <c r="AR195" s="1484"/>
      <c r="AS195" s="1484">
        <v>100</v>
      </c>
      <c r="AT195" s="1485"/>
      <c r="AU195" s="1485"/>
      <c r="AV195" s="1477"/>
      <c r="AX195" s="141"/>
      <c r="AY195" s="141"/>
      <c r="AZ195" s="141"/>
      <c r="BA195" s="141"/>
      <c r="BB195" s="1354" t="s">
        <v>252</v>
      </c>
      <c r="BC195" s="1355"/>
      <c r="BD195" s="1355"/>
      <c r="BE195" s="1355"/>
      <c r="BF195" s="1355"/>
      <c r="BG195" s="1356"/>
      <c r="BH195" s="1357" t="s">
        <v>1117</v>
      </c>
      <c r="BJ195" s="3"/>
      <c r="BK195" s="3"/>
      <c r="BL195" s="3"/>
      <c r="BM195" s="3"/>
      <c r="BN195" s="2"/>
      <c r="BO195" s="1121"/>
      <c r="BP195" s="1236" t="str">
        <f>IF(COLUMN()-COLUMN(BP195)+1&lt;=26, CHAR(64+COLUMN()-COLUMN(BP195)+1), CHAR(64+INT((COLUMN()-COLUMN(BP195))/26))&amp;CHAR(64+MOD(COLUMN()-COLUMN(BP195)-1,26)+1))</f>
        <v>A</v>
      </c>
      <c r="BQ195" s="97"/>
      <c r="BR195" s="97"/>
      <c r="BS195" s="97"/>
      <c r="BT195" s="141"/>
      <c r="BU195" s="409"/>
      <c r="BW195" s="5">
        <v>1</v>
      </c>
    </row>
    <row r="196" spans="2:75" ht="15" customHeight="1">
      <c r="B196" s="1023" t="s">
        <v>21</v>
      </c>
      <c r="C196" s="196" t="str">
        <f>C195</f>
        <v>Famille à coller.N.Nom de votre recette.Recette mère ►.S.Saisissez le nom de la recette mère</v>
      </c>
      <c r="D196" s="196">
        <f>D195</f>
        <v>6</v>
      </c>
      <c r="E196" s="196" t="str">
        <f>E195</f>
        <v>couverts</v>
      </c>
      <c r="F196" s="1521" t="s">
        <v>1254</v>
      </c>
      <c r="G196" s="1522"/>
      <c r="H196" s="1522"/>
      <c r="I196" s="1522"/>
      <c r="J196" s="1522"/>
      <c r="K196" s="1523"/>
      <c r="L196" s="1524"/>
      <c r="N196" s="141"/>
      <c r="O196" s="141"/>
      <c r="P196" s="141"/>
      <c r="Q196" s="141"/>
      <c r="R196" s="1441"/>
      <c r="S196" s="1442">
        <f>SUM(S192:S195)</f>
        <v>0.18055555555555552</v>
      </c>
      <c r="T196" s="1385"/>
      <c r="U196" s="1385"/>
      <c r="V196" s="1385"/>
      <c r="W196" s="1385"/>
      <c r="X196" s="1443"/>
      <c r="Z196" s="331"/>
      <c r="AA196" s="331"/>
      <c r="AB196" s="331"/>
      <c r="AC196" s="331"/>
      <c r="AD196" s="141"/>
      <c r="AE196" s="141"/>
      <c r="AF196" s="141"/>
      <c r="AG196" s="141"/>
      <c r="AH196" s="141"/>
      <c r="AI196" s="141"/>
      <c r="AJ196" s="141"/>
      <c r="AL196" s="331"/>
      <c r="AM196" s="331"/>
      <c r="AN196" s="331"/>
      <c r="AO196" s="331"/>
      <c r="AP196" s="1479" t="s">
        <v>1208</v>
      </c>
      <c r="AQ196" s="1480"/>
      <c r="AR196" s="1480"/>
      <c r="AS196" s="1480" t="s">
        <v>1214</v>
      </c>
      <c r="AT196" s="1481" t="s">
        <v>1224</v>
      </c>
      <c r="AU196" s="1481"/>
      <c r="AV196" s="1477"/>
      <c r="AX196" s="141"/>
      <c r="AY196" s="141"/>
      <c r="AZ196" s="141"/>
      <c r="BA196" s="141"/>
      <c r="BB196" s="1424" t="s">
        <v>1185</v>
      </c>
      <c r="BC196" s="1425" t="s">
        <v>1186</v>
      </c>
      <c r="BD196" s="1426"/>
      <c r="BE196" s="1426" t="s">
        <v>1187</v>
      </c>
      <c r="BF196" s="1426" t="s">
        <v>1188</v>
      </c>
      <c r="BG196" s="1426" t="s">
        <v>1189</v>
      </c>
      <c r="BH196" s="1427" t="s">
        <v>1190</v>
      </c>
      <c r="BJ196" s="3"/>
      <c r="BK196" s="3"/>
      <c r="BL196" s="3"/>
      <c r="BM196" s="3"/>
      <c r="BN196" s="2"/>
      <c r="BO196" s="1121"/>
      <c r="BP196" s="1237" t="s">
        <v>1048</v>
      </c>
      <c r="BQ196" s="97"/>
      <c r="BR196" s="97"/>
      <c r="BS196" s="97"/>
      <c r="BT196" s="141"/>
      <c r="BU196" s="409"/>
      <c r="BW196" s="5">
        <v>1</v>
      </c>
    </row>
    <row r="197" spans="2:75" ht="16.5" thickBot="1">
      <c r="B197" s="1037" t="s">
        <v>21</v>
      </c>
      <c r="C197" s="196" t="str">
        <f>C195</f>
        <v>Famille à coller.N.Nom de votre recette.Recette mère ►.S.Saisissez le nom de la recette mère</v>
      </c>
      <c r="D197" s="196">
        <f>D195</f>
        <v>6</v>
      </c>
      <c r="E197" s="196" t="str">
        <f>E195</f>
        <v>couverts</v>
      </c>
      <c r="F197" s="1319"/>
      <c r="G197" s="102"/>
      <c r="H197" s="102"/>
      <c r="I197" s="102"/>
      <c r="J197" s="1525" t="s">
        <v>1255</v>
      </c>
      <c r="K197" s="102"/>
      <c r="L197" s="1526" t="s">
        <v>1256</v>
      </c>
      <c r="N197" s="141"/>
      <c r="O197" s="141"/>
      <c r="P197" s="141"/>
      <c r="Q197" s="141"/>
      <c r="R197" s="1369" t="s">
        <v>864</v>
      </c>
      <c r="S197" s="1321"/>
      <c r="T197" s="1321"/>
      <c r="U197" s="1321"/>
      <c r="V197" s="1321"/>
      <c r="W197" s="1321"/>
      <c r="X197" s="1370"/>
      <c r="Z197" s="331"/>
      <c r="AA197" s="331"/>
      <c r="AB197" s="331"/>
      <c r="AC197" s="331"/>
      <c r="AD197" s="141"/>
      <c r="AE197" s="141"/>
      <c r="AF197" s="141"/>
      <c r="AG197" s="141"/>
      <c r="AH197" s="141"/>
      <c r="AI197" s="141"/>
      <c r="AJ197" s="141"/>
      <c r="AL197" s="331"/>
      <c r="AM197" s="331"/>
      <c r="AN197" s="331"/>
      <c r="AO197" s="331"/>
      <c r="AP197" s="1482" t="s">
        <v>1216</v>
      </c>
      <c r="AQ197" s="1483">
        <v>4.8611111111111112E-3</v>
      </c>
      <c r="AR197" s="1484"/>
      <c r="AS197" s="1484">
        <v>110</v>
      </c>
      <c r="AT197" s="1485"/>
      <c r="AU197" s="1485"/>
      <c r="AV197" s="1477"/>
      <c r="AX197" s="141"/>
      <c r="AY197" s="141"/>
      <c r="AZ197" s="141"/>
      <c r="BA197" s="141"/>
      <c r="BB197" s="1478"/>
      <c r="BC197" s="1429">
        <v>2.4305555555555556E-2</v>
      </c>
      <c r="BD197" s="141"/>
      <c r="BE197" s="1389">
        <v>100</v>
      </c>
      <c r="BF197" s="1430">
        <v>0.6</v>
      </c>
      <c r="BG197" s="1431" t="s">
        <v>1191</v>
      </c>
      <c r="BH197" s="1432" t="s">
        <v>1192</v>
      </c>
      <c r="BJ197" s="3"/>
      <c r="BK197" s="3"/>
      <c r="BL197" s="3"/>
      <c r="BM197" s="3"/>
      <c r="BN197" s="2"/>
      <c r="BO197" s="1160"/>
      <c r="BP197" s="141"/>
      <c r="BQ197" s="141"/>
      <c r="BR197" s="141"/>
      <c r="BS197" s="141"/>
      <c r="BT197" s="141"/>
      <c r="BU197" s="409"/>
      <c r="BW197" s="5">
        <v>1</v>
      </c>
    </row>
    <row r="198" spans="2:75" ht="18.75">
      <c r="B198" s="1037" t="s">
        <v>21</v>
      </c>
      <c r="C198" s="196" t="str">
        <f>C195</f>
        <v>Famille à coller.N.Nom de votre recette.Recette mère ►.S.Saisissez le nom de la recette mère</v>
      </c>
      <c r="D198" s="196">
        <f>D195</f>
        <v>6</v>
      </c>
      <c r="E198" s="196" t="str">
        <f>E195</f>
        <v>couverts</v>
      </c>
      <c r="F198" s="1527" t="s">
        <v>1257</v>
      </c>
      <c r="G198" s="1528" t="s">
        <v>1258</v>
      </c>
      <c r="H198" s="7082" t="s">
        <v>162</v>
      </c>
      <c r="I198" s="7082"/>
      <c r="J198" s="1529" t="s">
        <v>1259</v>
      </c>
      <c r="L198" s="1530" t="s">
        <v>1185</v>
      </c>
      <c r="N198" s="141"/>
      <c r="O198" s="141"/>
      <c r="P198" s="141"/>
      <c r="Q198" s="141"/>
      <c r="R198" s="1323"/>
      <c r="S198" s="988"/>
      <c r="T198" s="988"/>
      <c r="U198" s="988"/>
      <c r="V198" s="988"/>
      <c r="W198" s="988"/>
      <c r="X198" s="1325"/>
      <c r="Z198" s="331"/>
      <c r="AA198" s="331"/>
      <c r="AB198" s="331"/>
      <c r="AC198" s="331"/>
      <c r="AD198" s="1354" t="s">
        <v>252</v>
      </c>
      <c r="AE198" s="1355"/>
      <c r="AF198" s="1355"/>
      <c r="AG198" s="1355"/>
      <c r="AH198" s="1355"/>
      <c r="AI198" s="1356"/>
      <c r="AJ198" s="1357" t="s">
        <v>1117</v>
      </c>
      <c r="AL198" s="331"/>
      <c r="AM198" s="331"/>
      <c r="AN198" s="331"/>
      <c r="AO198" s="331"/>
      <c r="AP198" s="1369" t="s">
        <v>864</v>
      </c>
      <c r="AQ198" s="1321"/>
      <c r="AR198" s="1321"/>
      <c r="AS198" s="1321"/>
      <c r="AT198" s="1321"/>
      <c r="AU198" s="1321"/>
      <c r="AV198" s="1370" t="s">
        <v>1141</v>
      </c>
      <c r="AX198" s="141"/>
      <c r="AY198" s="141"/>
      <c r="AZ198" s="141"/>
      <c r="BA198" s="141"/>
      <c r="BB198" s="1478" t="s">
        <v>1193</v>
      </c>
      <c r="BC198" s="1429">
        <v>1.0416666666666666E-2</v>
      </c>
      <c r="BD198" s="141"/>
      <c r="BE198" s="1389">
        <v>100</v>
      </c>
      <c r="BF198" s="1430">
        <v>0.6</v>
      </c>
      <c r="BG198" s="1431" t="s">
        <v>1194</v>
      </c>
      <c r="BH198" s="1432" t="s">
        <v>1195</v>
      </c>
      <c r="BJ198" s="3"/>
      <c r="BK198" s="3"/>
      <c r="BL198" s="3"/>
      <c r="BM198" s="3"/>
      <c r="BN198" s="2"/>
      <c r="BO198" s="1238" t="s">
        <v>252</v>
      </c>
      <c r="BP198" s="7673" t="s">
        <v>1049</v>
      </c>
      <c r="BQ198" s="7673"/>
      <c r="BR198" s="7673"/>
      <c r="BS198" s="7673"/>
      <c r="BT198" s="7673"/>
      <c r="BU198" s="7674"/>
      <c r="BW198" s="5">
        <v>1</v>
      </c>
    </row>
    <row r="199" spans="2:75" ht="15.75" customHeight="1">
      <c r="B199" s="1037" t="s">
        <v>21</v>
      </c>
      <c r="C199" s="196" t="str">
        <f>C195</f>
        <v>Famille à coller.N.Nom de votre recette.Recette mère ►.S.Saisissez le nom de la recette mère</v>
      </c>
      <c r="D199" s="196">
        <f>D195</f>
        <v>6</v>
      </c>
      <c r="E199" s="196" t="str">
        <f>E195</f>
        <v>couverts</v>
      </c>
      <c r="F199" s="7650">
        <v>750</v>
      </c>
      <c r="G199" s="1531">
        <v>1</v>
      </c>
      <c r="H199" s="7068" t="s">
        <v>1260</v>
      </c>
      <c r="I199" s="7068"/>
      <c r="J199" s="1532">
        <v>16</v>
      </c>
      <c r="K199" s="1401">
        <f>G199*F199</f>
        <v>750</v>
      </c>
      <c r="L199" s="1533" t="s">
        <v>1261</v>
      </c>
      <c r="N199" s="141"/>
      <c r="O199" s="141"/>
      <c r="P199" s="141"/>
      <c r="Q199" s="141"/>
      <c r="R199" s="1323"/>
      <c r="S199" s="988"/>
      <c r="T199" s="988"/>
      <c r="U199" s="988"/>
      <c r="V199" s="988"/>
      <c r="W199" s="988"/>
      <c r="X199" s="1325"/>
      <c r="Z199" s="331"/>
      <c r="AA199" s="331"/>
      <c r="AB199" s="331"/>
      <c r="AC199" s="331"/>
      <c r="AD199" s="1411" t="s">
        <v>1175</v>
      </c>
      <c r="AE199" s="1487">
        <v>1.7361111111111112E-2</v>
      </c>
      <c r="AF199" s="1488"/>
      <c r="AG199" s="1488">
        <v>3</v>
      </c>
      <c r="AH199" s="1489" t="s">
        <v>1223</v>
      </c>
      <c r="AI199" s="1534"/>
      <c r="AJ199" s="1535"/>
      <c r="AL199" s="331"/>
      <c r="AM199" s="331"/>
      <c r="AN199" s="331"/>
      <c r="AO199" s="331"/>
      <c r="AP199" s="1371"/>
      <c r="AQ199" s="1371"/>
      <c r="AR199" s="1371"/>
      <c r="AS199" s="1371"/>
      <c r="AT199" s="1371"/>
      <c r="AU199" s="1371"/>
      <c r="AV199" s="1371"/>
      <c r="AX199" s="141"/>
      <c r="AY199" s="141"/>
      <c r="AZ199" s="141"/>
      <c r="BA199" s="141"/>
      <c r="BB199" s="1478" t="s">
        <v>1197</v>
      </c>
      <c r="BC199" s="1429">
        <v>5.2083333333333301E-2</v>
      </c>
      <c r="BD199" s="141"/>
      <c r="BE199" s="1389">
        <v>100</v>
      </c>
      <c r="BF199" s="1430">
        <v>0.6</v>
      </c>
      <c r="BG199" s="1431" t="s">
        <v>1191</v>
      </c>
      <c r="BH199" s="1432" t="s">
        <v>1198</v>
      </c>
      <c r="BJ199" s="3"/>
      <c r="BK199" s="3"/>
      <c r="BL199" s="3"/>
      <c r="BM199" s="3"/>
      <c r="BN199" s="2"/>
      <c r="BO199" s="7675" t="s">
        <v>1050</v>
      </c>
      <c r="BP199" s="7676"/>
      <c r="BQ199" s="7676"/>
      <c r="BR199" s="7676"/>
      <c r="BS199" s="7676"/>
      <c r="BT199" s="7676"/>
      <c r="BU199" s="7677"/>
      <c r="BW199" s="5">
        <v>1</v>
      </c>
    </row>
    <row r="200" spans="2:75" ht="15.75" customHeight="1" thickBot="1">
      <c r="B200" s="1037" t="s">
        <v>21</v>
      </c>
      <c r="C200" s="196" t="str">
        <f>C195</f>
        <v>Famille à coller.N.Nom de votre recette.Recette mère ►.S.Saisissez le nom de la recette mère</v>
      </c>
      <c r="D200" s="196">
        <f>D195</f>
        <v>6</v>
      </c>
      <c r="E200" s="196" t="str">
        <f>E195</f>
        <v>couverts</v>
      </c>
      <c r="F200" s="7650"/>
      <c r="G200" s="5458">
        <v>120</v>
      </c>
      <c r="H200" s="260" t="s">
        <v>1262</v>
      </c>
      <c r="I200" s="1174"/>
      <c r="J200" s="5459">
        <v>1.2</v>
      </c>
      <c r="K200" s="1536">
        <f>(G200*F199)/1000</f>
        <v>90</v>
      </c>
      <c r="L200" s="7392" t="s">
        <v>1263</v>
      </c>
      <c r="N200" s="141"/>
      <c r="O200" s="141"/>
      <c r="P200" s="141"/>
      <c r="Q200" s="141"/>
      <c r="R200" s="1323"/>
      <c r="S200" s="988"/>
      <c r="T200" s="988"/>
      <c r="U200" s="988"/>
      <c r="V200" s="988"/>
      <c r="W200" s="988"/>
      <c r="X200" s="1325"/>
      <c r="Z200" s="331"/>
      <c r="AA200" s="331"/>
      <c r="AB200" s="331"/>
      <c r="AC200" s="331"/>
      <c r="AD200" s="1411" t="s">
        <v>1175</v>
      </c>
      <c r="AE200" s="1487">
        <v>1.7361111111111112E-2</v>
      </c>
      <c r="AF200" s="1488"/>
      <c r="AG200" s="1488">
        <v>3</v>
      </c>
      <c r="AH200" s="1148" t="s">
        <v>1264</v>
      </c>
      <c r="AI200" s="1148"/>
      <c r="AJ200" s="1490"/>
      <c r="AL200" s="331"/>
      <c r="AM200" s="331"/>
      <c r="AN200" s="331"/>
      <c r="AO200" s="331"/>
      <c r="AP200" s="1371"/>
      <c r="AQ200" s="1371"/>
      <c r="AR200" s="1371"/>
      <c r="AS200" s="1371"/>
      <c r="AT200" s="1371"/>
      <c r="AU200" s="1371"/>
      <c r="AV200" s="1371"/>
      <c r="AX200" s="141"/>
      <c r="AY200" s="141"/>
      <c r="AZ200" s="141"/>
      <c r="BA200" s="141"/>
      <c r="BB200" s="1478" t="s">
        <v>157</v>
      </c>
      <c r="BC200" s="1429">
        <v>9.375E-2</v>
      </c>
      <c r="BD200" s="141"/>
      <c r="BE200" s="1389">
        <v>100</v>
      </c>
      <c r="BF200" s="1430">
        <v>0.6</v>
      </c>
      <c r="BG200" s="1431" t="s">
        <v>1194</v>
      </c>
      <c r="BH200" s="1432" t="s">
        <v>1218</v>
      </c>
      <c r="BJ200" s="3"/>
      <c r="BK200" s="3"/>
      <c r="BL200" s="3"/>
      <c r="BM200" s="3"/>
      <c r="BN200" s="2"/>
      <c r="BO200" s="1239"/>
      <c r="BP200" s="1240" t="s">
        <v>1051</v>
      </c>
      <c r="BQ200" s="1241" t="s">
        <v>1052</v>
      </c>
      <c r="BR200" s="1242" t="s">
        <v>1053</v>
      </c>
      <c r="BS200" s="829" t="s">
        <v>1054</v>
      </c>
      <c r="BT200" s="141"/>
      <c r="BU200" s="1243" t="s">
        <v>1055</v>
      </c>
      <c r="BW200" s="5">
        <v>1</v>
      </c>
    </row>
    <row r="201" spans="2:75" ht="19.5" customHeight="1" thickTop="1" thickBot="1">
      <c r="B201" s="1037" t="s">
        <v>21</v>
      </c>
      <c r="C201" s="196" t="str">
        <f>C195</f>
        <v>Famille à coller.N.Nom de votre recette.Recette mère ►.S.Saisissez le nom de la recette mère</v>
      </c>
      <c r="D201" s="196">
        <f>D195</f>
        <v>6</v>
      </c>
      <c r="E201" s="196" t="str">
        <f>E195</f>
        <v>couverts</v>
      </c>
      <c r="F201" s="1537" t="str">
        <f>INT(K199/J199) &amp; " " &amp; L199 &amp; " de " &amp; J199 &amp; " " &amp; H199 &amp; IF(MOD(K199,J199)&gt;0, " + 1 "&amp;L199&amp;" de " &amp; TEXT(MOD(K199,J199), "0.00") &amp; " " &amp; H199, "")</f>
        <v>46 Assiette(s) de 16 madeleine(s) + 1 Assiette(s) de 14.00 madeleine(s)</v>
      </c>
      <c r="G201" s="141"/>
      <c r="H201" s="141"/>
      <c r="I201" s="141"/>
      <c r="J201" s="141"/>
      <c r="K201" s="988"/>
      <c r="L201" s="7392"/>
      <c r="N201" s="141"/>
      <c r="O201" s="141"/>
      <c r="P201" s="141"/>
      <c r="Q201" s="141"/>
      <c r="R201" s="1323"/>
      <c r="S201" s="988"/>
      <c r="T201" s="988"/>
      <c r="U201" s="988"/>
      <c r="V201" s="988"/>
      <c r="W201" s="988"/>
      <c r="X201" s="1325"/>
      <c r="Z201" s="331"/>
      <c r="AA201" s="331"/>
      <c r="AB201" s="331"/>
      <c r="AC201" s="331"/>
      <c r="AD201" s="1411" t="s">
        <v>1175</v>
      </c>
      <c r="AE201" s="1487">
        <v>5.9027777777777797E-2</v>
      </c>
      <c r="AF201" s="1488"/>
      <c r="AG201" s="1488">
        <v>3</v>
      </c>
      <c r="AH201" s="1148" t="s">
        <v>1225</v>
      </c>
      <c r="AI201" s="1148"/>
      <c r="AJ201" s="1490"/>
      <c r="AL201" s="331"/>
      <c r="AM201" s="331"/>
      <c r="AN201" s="331"/>
      <c r="AO201" s="331"/>
      <c r="AP201" s="1354" t="s">
        <v>252</v>
      </c>
      <c r="AQ201" s="1355"/>
      <c r="AR201" s="1355"/>
      <c r="AS201" s="1355"/>
      <c r="AT201" s="1355"/>
      <c r="AU201" s="1356"/>
      <c r="AV201" s="1357" t="s">
        <v>1229</v>
      </c>
      <c r="AX201" s="141"/>
      <c r="AY201" s="141"/>
      <c r="AZ201" s="141"/>
      <c r="BA201" s="141"/>
      <c r="BB201" s="1441"/>
      <c r="BC201" s="1442">
        <f>SUM(BC197:BC200)</f>
        <v>0.18055555555555552</v>
      </c>
      <c r="BD201" s="1385"/>
      <c r="BE201" s="1385"/>
      <c r="BF201" s="1385"/>
      <c r="BG201" s="1385"/>
      <c r="BH201" s="1443"/>
      <c r="BJ201" s="3"/>
      <c r="BK201" s="3"/>
      <c r="BL201" s="3"/>
      <c r="BM201" s="3"/>
      <c r="BN201" s="2"/>
      <c r="BO201" s="1239"/>
      <c r="BP201" s="1244" t="s">
        <v>1056</v>
      </c>
      <c r="BQ201" s="1245">
        <f>LEN(BP201) - LEN(SUBSTITUTE(BP201, " ", "")) + 1</f>
        <v>45</v>
      </c>
      <c r="BR201" s="1245">
        <f>LEN(BP201)</f>
        <v>263</v>
      </c>
      <c r="BS201" s="1246">
        <v>70</v>
      </c>
      <c r="BU201" s="1247" t="str">
        <f>TEXT(ROUND(LEN(BP201)/BS201, 1), "0.0") &amp; " lignes"</f>
        <v>3.8 lignes</v>
      </c>
      <c r="BW201" s="5">
        <v>1</v>
      </c>
    </row>
    <row r="202" spans="2:75" ht="20.25" customHeight="1" thickTop="1">
      <c r="B202" s="1037" t="s">
        <v>21</v>
      </c>
      <c r="C202" s="196" t="str">
        <f>C195</f>
        <v>Famille à coller.N.Nom de votre recette.Recette mère ►.S.Saisissez le nom de la recette mère</v>
      </c>
      <c r="D202" s="196">
        <f>D195</f>
        <v>6</v>
      </c>
      <c r="E202" s="196" t="str">
        <f>E195</f>
        <v>couverts</v>
      </c>
      <c r="F202" s="1182" t="str">
        <f>IF(MOD(K200, J200) = 0, INT(K200/J200) &amp; " " &amp; L199 &amp; " de " &amp; J200 &amp; " kg", INT(K200/J200) &amp; " " &amp; L199 &amp; " de " &amp; J200 &amp; " kg" &amp; " + 1 "&amp;L199&amp;" de " &amp; TEXT(MOD(K200, J200), "0.00") &amp; " kg")</f>
        <v>75 Assiette(s) de 1.2 kg + 1 Assiette(s) de 0.00 kg</v>
      </c>
      <c r="G202" s="141"/>
      <c r="H202" s="141"/>
      <c r="I202" s="141"/>
      <c r="J202" s="141"/>
      <c r="K202" s="988"/>
      <c r="L202" s="7392"/>
      <c r="N202" s="141"/>
      <c r="O202" s="141"/>
      <c r="P202" s="141"/>
      <c r="Q202" s="141"/>
      <c r="R202" s="1323"/>
      <c r="S202" s="988"/>
      <c r="T202" s="988"/>
      <c r="U202" s="988"/>
      <c r="V202" s="988"/>
      <c r="W202" s="988"/>
      <c r="X202" s="1325"/>
      <c r="Z202" s="331"/>
      <c r="AA202" s="331"/>
      <c r="AB202" s="331"/>
      <c r="AC202" s="331"/>
      <c r="AD202" s="1411" t="s">
        <v>1175</v>
      </c>
      <c r="AE202" s="1487">
        <v>2.4305555555555556E-2</v>
      </c>
      <c r="AF202" s="1488"/>
      <c r="AG202" s="1488">
        <v>3</v>
      </c>
      <c r="AH202" s="1148" t="s">
        <v>1226</v>
      </c>
      <c r="AI202" s="1148"/>
      <c r="AJ202" s="1490"/>
      <c r="AL202" s="331"/>
      <c r="AM202" s="331"/>
      <c r="AN202" s="331"/>
      <c r="AO202" s="331"/>
      <c r="AP202" s="1319"/>
      <c r="AQ202" s="612" t="s">
        <v>1231</v>
      </c>
      <c r="AR202" s="147"/>
      <c r="AS202" s="147"/>
      <c r="AT202" s="102"/>
      <c r="AU202" s="102"/>
      <c r="AV202" s="1494" t="s">
        <v>1232</v>
      </c>
      <c r="AX202" s="141"/>
      <c r="AY202" s="141"/>
      <c r="AZ202" s="141"/>
      <c r="BA202" s="141"/>
      <c r="BB202" s="1369" t="s">
        <v>864</v>
      </c>
      <c r="BC202" s="1321"/>
      <c r="BD202" s="1321"/>
      <c r="BE202" s="1321"/>
      <c r="BF202" s="1321"/>
      <c r="BG202" s="1321"/>
      <c r="BH202" s="1370" t="s">
        <v>1141</v>
      </c>
      <c r="BJ202" s="3"/>
      <c r="BK202" s="3"/>
      <c r="BL202" s="3"/>
      <c r="BM202" s="3"/>
      <c r="BN202" s="2"/>
      <c r="BO202" s="1239"/>
      <c r="BP202" s="7678" t="str">
        <f>BP201</f>
        <v>Épluchez l’ail et les oignons. Coupez-les en petits morceaux. Égouttez les champignons. Dans votre Cookeo, faites roussir la viande et les lardons avec le morceau de beurre sur le mode « dorer » / 3 min (préchauffage inclus), en remuant avec une cuillère en bois.</v>
      </c>
      <c r="BQ202" s="7678"/>
      <c r="BR202" s="7678"/>
      <c r="BS202" s="7678"/>
      <c r="BT202" s="7678"/>
      <c r="BU202" s="7679"/>
      <c r="BW202" s="5">
        <v>1</v>
      </c>
    </row>
    <row r="203" spans="2:75" ht="15.75" customHeight="1">
      <c r="B203" s="1037" t="s">
        <v>21</v>
      </c>
      <c r="C203" s="196" t="str">
        <f>C195</f>
        <v>Famille à coller.N.Nom de votre recette.Recette mère ►.S.Saisissez le nom de la recette mère</v>
      </c>
      <c r="D203" s="196">
        <f>D195</f>
        <v>6</v>
      </c>
      <c r="E203" s="196" t="str">
        <f>E195</f>
        <v>couverts</v>
      </c>
      <c r="F203" s="1502" t="s">
        <v>1207</v>
      </c>
      <c r="G203" s="1503"/>
      <c r="H203" s="1503"/>
      <c r="I203" s="1503"/>
      <c r="J203" s="1503"/>
      <c r="K203" s="1503"/>
      <c r="L203" s="1504"/>
      <c r="N203" s="141"/>
      <c r="O203" s="141"/>
      <c r="P203" s="141"/>
      <c r="Q203" s="141"/>
      <c r="R203" s="1323"/>
      <c r="S203" s="988"/>
      <c r="T203" s="988"/>
      <c r="U203" s="988"/>
      <c r="V203" s="988"/>
      <c r="W203" s="988"/>
      <c r="X203" s="1325"/>
      <c r="Z203" s="331"/>
      <c r="AA203" s="331"/>
      <c r="AB203" s="331"/>
      <c r="AC203" s="331"/>
      <c r="AD203" s="1411" t="s">
        <v>1175</v>
      </c>
      <c r="AE203" s="1487">
        <v>1.0416666666666666E-2</v>
      </c>
      <c r="AF203" s="1488"/>
      <c r="AG203" s="1488">
        <v>170</v>
      </c>
      <c r="AH203" s="1148" t="s">
        <v>1227</v>
      </c>
      <c r="AI203" s="1148"/>
      <c r="AJ203" s="1490"/>
      <c r="AL203" s="331"/>
      <c r="AM203" s="331"/>
      <c r="AN203" s="331"/>
      <c r="AO203" s="331"/>
      <c r="AP203" s="1499"/>
      <c r="AQ203" s="1500">
        <v>16</v>
      </c>
      <c r="AR203" s="141"/>
      <c r="AS203" s="1501" t="s">
        <v>1234</v>
      </c>
      <c r="AT203" t="s">
        <v>1235</v>
      </c>
      <c r="AU203" s="147"/>
      <c r="AV203" s="1326" t="s">
        <v>1236</v>
      </c>
      <c r="AX203" s="141"/>
      <c r="AY203" s="141"/>
      <c r="AZ203" s="141"/>
      <c r="BA203" s="141"/>
      <c r="BB203" s="1371"/>
      <c r="BC203" s="1371"/>
      <c r="BD203" s="1371"/>
      <c r="BE203" s="1371"/>
      <c r="BF203" s="1371"/>
      <c r="BG203" s="1371"/>
      <c r="BH203" s="1371"/>
      <c r="BJ203" s="3"/>
      <c r="BK203" s="3"/>
      <c r="BL203" s="3"/>
      <c r="BM203" s="3"/>
      <c r="BN203" s="2"/>
      <c r="BO203" s="1239"/>
      <c r="BP203" s="7678"/>
      <c r="BQ203" s="7678"/>
      <c r="BR203" s="7678"/>
      <c r="BS203" s="7678"/>
      <c r="BT203" s="7678"/>
      <c r="BU203" s="7679"/>
      <c r="BW203" s="5">
        <v>1</v>
      </c>
    </row>
    <row r="204" spans="2:75" ht="15" customHeight="1">
      <c r="B204" s="1037" t="s">
        <v>21</v>
      </c>
      <c r="C204" s="196" t="str">
        <f>C195</f>
        <v>Famille à coller.N.Nom de votre recette.Recette mère ►.S.Saisissez le nom de la recette mère</v>
      </c>
      <c r="D204" s="196">
        <f>D195</f>
        <v>6</v>
      </c>
      <c r="E204" s="196" t="str">
        <f>E195</f>
        <v>couverts</v>
      </c>
      <c r="F204" s="1319"/>
      <c r="G204" s="1320"/>
      <c r="H204" s="1320"/>
      <c r="I204" s="1320"/>
      <c r="J204" s="1320"/>
      <c r="K204" s="1320"/>
      <c r="L204" s="1324"/>
      <c r="N204" s="141"/>
      <c r="O204" s="141"/>
      <c r="P204" s="141"/>
      <c r="Q204" s="141"/>
      <c r="R204" s="1338"/>
      <c r="S204" s="1460"/>
      <c r="T204" s="1460"/>
      <c r="U204" s="1460"/>
      <c r="V204" s="1460"/>
      <c r="W204" s="1460"/>
      <c r="X204" s="1339" t="s">
        <v>1112</v>
      </c>
      <c r="Z204" s="331"/>
      <c r="AA204" s="331"/>
      <c r="AB204" s="331"/>
      <c r="AC204" s="331"/>
      <c r="AD204" s="1411" t="s">
        <v>1175</v>
      </c>
      <c r="AE204" s="1487">
        <v>6.9444444444444441E-3</v>
      </c>
      <c r="AF204" s="1488"/>
      <c r="AG204" s="1488">
        <v>150</v>
      </c>
      <c r="AH204" s="1148" t="s">
        <v>1217</v>
      </c>
      <c r="AI204" s="1148"/>
      <c r="AJ204" s="1490"/>
      <c r="AL204" s="331"/>
      <c r="AM204" s="331"/>
      <c r="AN204" s="331"/>
      <c r="AO204" s="331"/>
      <c r="AP204" s="1505"/>
      <c r="AQ204" s="1506" t="s">
        <v>1237</v>
      </c>
      <c r="AR204" s="1506"/>
      <c r="AS204" s="1507">
        <v>32</v>
      </c>
      <c r="AT204" s="1508" t="str">
        <f>AS203</f>
        <v xml:space="preserve">portions </v>
      </c>
      <c r="AU204" s="988"/>
      <c r="AV204" s="1326" t="s">
        <v>1238</v>
      </c>
      <c r="AX204" s="141"/>
      <c r="AY204" s="141"/>
      <c r="AZ204" s="141"/>
      <c r="BA204" s="141"/>
      <c r="BB204" s="1371"/>
      <c r="BC204" s="1371"/>
      <c r="BD204" s="1371"/>
      <c r="BE204" s="1371"/>
      <c r="BF204" s="1371"/>
      <c r="BG204" s="1371"/>
      <c r="BH204" s="1371"/>
      <c r="BJ204" s="3"/>
      <c r="BK204" s="3"/>
      <c r="BL204" s="3"/>
      <c r="BM204" s="3"/>
      <c r="BN204" s="2"/>
      <c r="BO204" s="1239"/>
      <c r="BP204" s="7678"/>
      <c r="BQ204" s="7678"/>
      <c r="BR204" s="7678"/>
      <c r="BS204" s="7678"/>
      <c r="BT204" s="7678"/>
      <c r="BU204" s="7679"/>
      <c r="BW204" s="5">
        <v>1</v>
      </c>
    </row>
    <row r="205" spans="2:75" ht="15.75">
      <c r="B205" s="1037" t="s">
        <v>21</v>
      </c>
      <c r="C205" s="196" t="str">
        <f>C195</f>
        <v>Famille à coller.N.Nom de votre recette.Recette mère ►.S.Saisissez le nom de la recette mère</v>
      </c>
      <c r="D205" s="196">
        <f>D195</f>
        <v>6</v>
      </c>
      <c r="E205" s="196" t="str">
        <f>E195</f>
        <v>couverts</v>
      </c>
      <c r="F205" s="1538"/>
      <c r="G205" s="1509"/>
      <c r="H205" s="1509" t="s">
        <v>873</v>
      </c>
      <c r="I205" s="1280"/>
      <c r="J205" s="97"/>
      <c r="K205" s="97"/>
      <c r="L205" s="1510"/>
      <c r="N205" s="141"/>
      <c r="O205" s="141"/>
      <c r="P205" s="141"/>
      <c r="Q205" s="141"/>
      <c r="R205" s="1454"/>
      <c r="S205" s="1002"/>
      <c r="T205" s="1002" t="s">
        <v>873</v>
      </c>
      <c r="U205" s="1003"/>
      <c r="V205" s="1329"/>
      <c r="W205" s="1329"/>
      <c r="X205" s="1330"/>
      <c r="Z205" s="331"/>
      <c r="AA205" s="331"/>
      <c r="AB205" s="331"/>
      <c r="AC205" s="331"/>
      <c r="AD205" s="1411" t="s">
        <v>1175</v>
      </c>
      <c r="AE205" s="1487">
        <v>0.10069444444444445</v>
      </c>
      <c r="AF205" s="1488"/>
      <c r="AG205" s="1488">
        <v>120</v>
      </c>
      <c r="AH205" s="1148" t="s">
        <v>1228</v>
      </c>
      <c r="AI205" s="1120"/>
      <c r="AJ205" s="1491"/>
      <c r="AL205" s="331"/>
      <c r="AM205" s="331"/>
      <c r="AN205" s="331"/>
      <c r="AO205" s="331"/>
      <c r="AP205" s="1511"/>
      <c r="AQ205" s="1512" t="s">
        <v>1239</v>
      </c>
      <c r="AR205" s="141"/>
      <c r="AS205" s="1513" t="str">
        <f>AQ205</f>
        <v>Gastro</v>
      </c>
      <c r="AT205" s="1514" t="s">
        <v>1240</v>
      </c>
      <c r="AU205" s="988"/>
      <c r="AV205" s="1326" t="s">
        <v>1241</v>
      </c>
      <c r="AX205" s="141"/>
      <c r="AY205" s="141"/>
      <c r="AZ205" s="141"/>
      <c r="BA205" s="141"/>
      <c r="BB205" s="1354" t="s">
        <v>252</v>
      </c>
      <c r="BC205" s="1355"/>
      <c r="BD205" s="1355"/>
      <c r="BE205" s="1355"/>
      <c r="BF205" s="1355"/>
      <c r="BG205" s="1356"/>
      <c r="BH205" s="1357" t="s">
        <v>1117</v>
      </c>
      <c r="BJ205" s="3"/>
      <c r="BK205" s="3"/>
      <c r="BL205" s="3"/>
      <c r="BM205" s="3"/>
      <c r="BN205" s="2"/>
      <c r="BO205" s="1239"/>
      <c r="BP205" s="7678"/>
      <c r="BQ205" s="7678"/>
      <c r="BR205" s="7678"/>
      <c r="BS205" s="7678"/>
      <c r="BT205" s="7678"/>
      <c r="BU205" s="7679"/>
      <c r="BW205" s="5">
        <v>1</v>
      </c>
    </row>
    <row r="206" spans="2:75" ht="16.5" thickBot="1">
      <c r="B206" s="1069" t="s">
        <v>21</v>
      </c>
      <c r="C206" s="1331" t="str">
        <f>C195</f>
        <v>Famille à coller.N.Nom de votre recette.Recette mère ►.S.Saisissez le nom de la recette mère</v>
      </c>
      <c r="D206" s="1331">
        <f>D195</f>
        <v>6</v>
      </c>
      <c r="E206" s="1331" t="str">
        <f>E195</f>
        <v>couverts</v>
      </c>
      <c r="F206" s="1332" t="s">
        <v>86</v>
      </c>
      <c r="G206" s="1006"/>
      <c r="H206" s="1007"/>
      <c r="I206" s="1008"/>
      <c r="J206" s="1007"/>
      <c r="K206" s="1007"/>
      <c r="L206" s="1333"/>
      <c r="N206" s="141"/>
      <c r="O206" s="141"/>
      <c r="P206" s="141"/>
      <c r="Q206" s="141"/>
      <c r="R206" s="1457" t="s">
        <v>86</v>
      </c>
      <c r="S206" s="1006"/>
      <c r="T206" s="1007"/>
      <c r="U206" s="1008"/>
      <c r="V206" s="1007"/>
      <c r="W206" s="1007"/>
      <c r="X206" s="1333"/>
      <c r="Z206" s="331"/>
      <c r="AA206" s="331"/>
      <c r="AB206" s="331"/>
      <c r="AC206" s="331"/>
      <c r="AD206" s="1411" t="s">
        <v>1175</v>
      </c>
      <c r="AE206" s="1487">
        <v>1.3888888888888888E-2</v>
      </c>
      <c r="AF206" s="1488"/>
      <c r="AG206" s="1488">
        <v>120</v>
      </c>
      <c r="AH206" s="1148" t="s">
        <v>1265</v>
      </c>
      <c r="AI206" s="1120"/>
      <c r="AJ206" s="1491"/>
      <c r="AL206" s="331"/>
      <c r="AM206" s="331"/>
      <c r="AN206" s="331"/>
      <c r="AO206" s="331"/>
      <c r="AP206" s="1358" t="s">
        <v>1118</v>
      </c>
      <c r="AQ206" s="1512">
        <v>1</v>
      </c>
      <c r="AR206" s="141"/>
      <c r="AS206" s="1515">
        <f>(AQ206/AQ203)*AS204</f>
        <v>2</v>
      </c>
      <c r="AT206" s="1516" t="s">
        <v>1242</v>
      </c>
      <c r="AU206" s="988"/>
      <c r="AV206" s="1326" t="s">
        <v>1243</v>
      </c>
      <c r="AX206" s="141"/>
      <c r="AY206" s="141"/>
      <c r="AZ206" s="141"/>
      <c r="BA206" s="141"/>
      <c r="BB206" s="1469" t="s">
        <v>1208</v>
      </c>
      <c r="BC206" s="1249" t="s">
        <v>1186</v>
      </c>
      <c r="BD206" s="1249"/>
      <c r="BE206" s="1470" t="s">
        <v>1209</v>
      </c>
      <c r="BF206" s="1470" t="s">
        <v>1210</v>
      </c>
      <c r="BG206" s="997"/>
      <c r="BH206" s="1471" t="s">
        <v>1211</v>
      </c>
      <c r="BJ206" s="3"/>
      <c r="BK206" s="3"/>
      <c r="BL206" s="3"/>
      <c r="BM206" s="3"/>
      <c r="BN206" s="1"/>
      <c r="BO206" s="1239"/>
      <c r="BP206" s="1248"/>
      <c r="BR206" s="1249" t="s">
        <v>1057</v>
      </c>
      <c r="BS206" s="1148" t="str">
        <f>BS201&amp;" caractères"</f>
        <v>70 caractères</v>
      </c>
      <c r="BU206" s="1250" t="str">
        <f>BU201</f>
        <v>3.8 lignes</v>
      </c>
      <c r="BW206" s="5">
        <v>1</v>
      </c>
    </row>
    <row r="207" spans="2:75" ht="15.75">
      <c r="L207" s="348"/>
      <c r="N207" s="141"/>
      <c r="O207" s="141"/>
      <c r="P207" s="141"/>
      <c r="Q207" s="141"/>
      <c r="R207" s="141"/>
      <c r="S207" s="141"/>
      <c r="T207" s="141"/>
      <c r="U207" s="141"/>
      <c r="V207" s="141"/>
      <c r="W207" s="141"/>
      <c r="X207" s="141"/>
      <c r="Z207" s="331"/>
      <c r="AA207" s="331"/>
      <c r="AB207" s="331"/>
      <c r="AC207" s="331"/>
      <c r="AD207" s="1411" t="s">
        <v>1175</v>
      </c>
      <c r="AE207" s="1487">
        <v>3.125E-2</v>
      </c>
      <c r="AF207" s="1488"/>
      <c r="AG207" s="1488"/>
      <c r="AH207" s="1148" t="s">
        <v>1266</v>
      </c>
      <c r="AI207" s="1120"/>
      <c r="AJ207" s="1491"/>
      <c r="AL207" s="331"/>
      <c r="AM207" s="331"/>
      <c r="AN207" s="331"/>
      <c r="AO207" s="331"/>
      <c r="AP207" s="1358" t="s">
        <v>1118</v>
      </c>
      <c r="AQ207" s="1512">
        <v>1</v>
      </c>
      <c r="AR207" s="141"/>
      <c r="AS207" s="1515">
        <f>(AQ207/AQ203)*AS204</f>
        <v>2</v>
      </c>
      <c r="AT207" s="1516" t="s">
        <v>1244</v>
      </c>
      <c r="AU207" s="988"/>
      <c r="AV207" s="1326" t="s">
        <v>1245</v>
      </c>
      <c r="AX207" s="141"/>
      <c r="AY207" s="141"/>
      <c r="AZ207" s="141"/>
      <c r="BA207" s="141"/>
      <c r="BB207" s="1473" t="s">
        <v>1212</v>
      </c>
      <c r="BC207" s="1474">
        <v>4.1666666666666699E-2</v>
      </c>
      <c r="BD207" s="1475"/>
      <c r="BE207" s="1475">
        <v>220</v>
      </c>
      <c r="BF207" s="1476" t="s">
        <v>1213</v>
      </c>
      <c r="BG207" s="997"/>
      <c r="BH207" s="1477"/>
      <c r="BJ207" s="3"/>
      <c r="BK207" s="3"/>
      <c r="BL207" s="3"/>
      <c r="BM207" s="3"/>
      <c r="BN207" s="1"/>
      <c r="BO207" s="1239"/>
      <c r="BP207" s="1251" t="s">
        <v>1058</v>
      </c>
      <c r="BQ207" s="1252"/>
      <c r="BR207" s="1253"/>
      <c r="BS207" s="1253"/>
      <c r="BT207" s="1253"/>
      <c r="BU207" s="1254"/>
      <c r="BW207" s="5">
        <v>1</v>
      </c>
    </row>
    <row r="208" spans="2:75" ht="15.75">
      <c r="N208" s="141"/>
      <c r="O208" s="141"/>
      <c r="P208" s="141"/>
      <c r="Q208" s="141"/>
      <c r="R208" s="141"/>
      <c r="S208" s="141"/>
      <c r="T208" s="141"/>
      <c r="U208" s="141"/>
      <c r="V208" s="141"/>
      <c r="W208" s="141"/>
      <c r="X208" s="141"/>
      <c r="Z208" s="331"/>
      <c r="AA208" s="331"/>
      <c r="AB208" s="331"/>
      <c r="AC208" s="331"/>
      <c r="AD208" s="1411" t="s">
        <v>1175</v>
      </c>
      <c r="AE208" s="1487">
        <v>2.4305555555555556E-2</v>
      </c>
      <c r="AF208" s="1488"/>
      <c r="AG208" s="1488"/>
      <c r="AH208" s="1148" t="s">
        <v>1267</v>
      </c>
      <c r="AI208" s="1120"/>
      <c r="AJ208" s="1491"/>
      <c r="AL208" s="331"/>
      <c r="AM208" s="331"/>
      <c r="AN208" s="331"/>
      <c r="AO208" s="331"/>
      <c r="AP208" s="1358" t="s">
        <v>1118</v>
      </c>
      <c r="AQ208" s="1512">
        <v>1</v>
      </c>
      <c r="AR208" s="141"/>
      <c r="AS208" s="1515">
        <f>(AQ208/AQ203)*AS204</f>
        <v>2</v>
      </c>
      <c r="AT208" s="1516" t="s">
        <v>1246</v>
      </c>
      <c r="AU208" s="988"/>
      <c r="AV208" s="1326" t="s">
        <v>1247</v>
      </c>
      <c r="AX208" s="141"/>
      <c r="AY208" s="141"/>
      <c r="AZ208" s="141"/>
      <c r="BA208" s="141"/>
      <c r="BB208" s="1479" t="s">
        <v>1208</v>
      </c>
      <c r="BC208" s="1480"/>
      <c r="BD208" s="1480"/>
      <c r="BE208" s="1480" t="s">
        <v>1214</v>
      </c>
      <c r="BF208" s="1481" t="s">
        <v>1215</v>
      </c>
      <c r="BG208" s="1481"/>
      <c r="BH208" s="1477"/>
      <c r="BJ208" s="3"/>
      <c r="BK208" s="3"/>
      <c r="BL208" s="3"/>
      <c r="BM208" s="3"/>
      <c r="BN208" s="1"/>
      <c r="BO208" s="1255" t="str">
        <f t="shared" ref="BO208:BO213" si="40">LEN(BQ208)&amp;" car."</f>
        <v>72 car.</v>
      </c>
      <c r="BP208" s="1256" t="s">
        <v>1059</v>
      </c>
      <c r="BQ208" s="7671" t="str">
        <f>LEFT(BP201,FIND(" ",BP201&amp;" ",BS201)-1) &amp; ".."</f>
        <v>Épluchez l’ail et les oignons. Coupez-les en petits morceaux. Égouttez..</v>
      </c>
      <c r="BR208" s="7671"/>
      <c r="BS208" s="7671"/>
      <c r="BT208" s="7671"/>
      <c r="BU208" s="7672"/>
      <c r="BW208" s="5">
        <v>1</v>
      </c>
    </row>
    <row r="209" spans="14:75" ht="15.75" customHeight="1">
      <c r="N209" s="141"/>
      <c r="O209" s="141"/>
      <c r="P209" s="141"/>
      <c r="Q209" s="141"/>
      <c r="R209" s="1354" t="s">
        <v>252</v>
      </c>
      <c r="S209" s="1355"/>
      <c r="T209" s="1355"/>
      <c r="U209" s="1355"/>
      <c r="V209" s="1355"/>
      <c r="W209" s="1356"/>
      <c r="X209" s="1357" t="s">
        <v>1117</v>
      </c>
      <c r="Z209" s="331"/>
      <c r="AA209" s="331"/>
      <c r="AB209" s="331"/>
      <c r="AC209" s="331"/>
      <c r="AD209" s="1411" t="s">
        <v>1175</v>
      </c>
      <c r="AE209" s="1487">
        <v>7.2916666666666671E-2</v>
      </c>
      <c r="AF209" s="1488"/>
      <c r="AG209" s="1539" t="s">
        <v>1268</v>
      </c>
      <c r="AH209" s="1148" t="s">
        <v>1269</v>
      </c>
      <c r="AI209" s="1120"/>
      <c r="AJ209" s="1491"/>
      <c r="AL209" s="331"/>
      <c r="AM209" s="331"/>
      <c r="AN209" s="331"/>
      <c r="AO209" s="331"/>
      <c r="AP209" s="1358" t="s">
        <v>1118</v>
      </c>
      <c r="AQ209" s="1512">
        <v>1</v>
      </c>
      <c r="AR209" s="141"/>
      <c r="AS209" s="1515">
        <f>(AQ209/AQ203)*AS204</f>
        <v>2</v>
      </c>
      <c r="AT209" s="1516" t="s">
        <v>1248</v>
      </c>
      <c r="AU209" s="988"/>
      <c r="AV209" s="1326" t="s">
        <v>1249</v>
      </c>
      <c r="AX209" s="141"/>
      <c r="AY209" s="141"/>
      <c r="AZ209" s="141"/>
      <c r="BA209" s="141"/>
      <c r="BB209" s="1482" t="s">
        <v>1216</v>
      </c>
      <c r="BC209" s="1483"/>
      <c r="BD209" s="1484"/>
      <c r="BE209" s="1484">
        <v>250</v>
      </c>
      <c r="BF209" s="1485" t="s">
        <v>1217</v>
      </c>
      <c r="BG209" s="1485"/>
      <c r="BH209" s="1477"/>
      <c r="BJ209" s="3"/>
      <c r="BK209" s="3"/>
      <c r="BL209" s="3"/>
      <c r="BM209" s="3"/>
      <c r="BN209" s="1"/>
      <c r="BO209" s="1255" t="str">
        <f t="shared" si="40"/>
        <v>74 car.</v>
      </c>
      <c r="BP209" s="1256" t="s">
        <v>1060</v>
      </c>
      <c r="BQ209" s="7671" t="str">
        <f>LEFT(RIGHT(BP201,LEN(BP201)-LEN(BQ208)-2),FIND(" ",RIGHT(BP201,LEN(BP201)-LEN(BQ208)-2)&amp;" ",BS201)-1) &amp; ".."</f>
        <v xml:space="preserve"> champignons. Dans votre Cookeo, faites roussir la viande et les lardons..</v>
      </c>
      <c r="BR209" s="7671"/>
      <c r="BS209" s="7671"/>
      <c r="BT209" s="7671"/>
      <c r="BU209" s="7672"/>
      <c r="BW209" s="5">
        <v>1</v>
      </c>
    </row>
    <row r="210" spans="14:75" ht="15.75">
      <c r="N210" s="141"/>
      <c r="O210" s="141"/>
      <c r="P210" s="141"/>
      <c r="Q210" s="141"/>
      <c r="R210" s="1384">
        <v>3.472222222222222E-3</v>
      </c>
      <c r="S210" s="1385" t="s">
        <v>1150</v>
      </c>
      <c r="T210" s="77"/>
      <c r="U210" s="77"/>
      <c r="V210" s="77"/>
      <c r="W210" s="1386">
        <v>100</v>
      </c>
      <c r="X210" s="1387" t="s">
        <v>1151</v>
      </c>
      <c r="Z210" s="331"/>
      <c r="AA210" s="331"/>
      <c r="AB210" s="331"/>
      <c r="AC210" s="331"/>
      <c r="AD210" s="1411" t="s">
        <v>1175</v>
      </c>
      <c r="AE210" s="1487">
        <v>3.4722222222222224E-2</v>
      </c>
      <c r="AF210" s="1488"/>
      <c r="AG210" s="1488"/>
      <c r="AH210" s="1148" t="s">
        <v>1270</v>
      </c>
      <c r="AI210" s="1120"/>
      <c r="AJ210" s="1491"/>
      <c r="AL210" s="331"/>
      <c r="AM210" s="331"/>
      <c r="AN210" s="331"/>
      <c r="AO210" s="331"/>
      <c r="AP210" s="1358" t="s">
        <v>1118</v>
      </c>
      <c r="AQ210" s="1512">
        <v>1</v>
      </c>
      <c r="AR210" s="141"/>
      <c r="AS210" s="1515">
        <f>(AQ210/AQ203)*AS204</f>
        <v>2</v>
      </c>
      <c r="AT210" s="1516" t="s">
        <v>1250</v>
      </c>
      <c r="AU210" s="988"/>
      <c r="AV210" s="1326" t="s">
        <v>1251</v>
      </c>
      <c r="AX210" s="141"/>
      <c r="AY210" s="141"/>
      <c r="AZ210" s="141"/>
      <c r="BA210" s="141"/>
      <c r="BB210" s="1479" t="s">
        <v>1208</v>
      </c>
      <c r="BC210" s="1480"/>
      <c r="BD210" s="1480"/>
      <c r="BE210" s="1480" t="s">
        <v>1214</v>
      </c>
      <c r="BF210" s="1481" t="s">
        <v>1215</v>
      </c>
      <c r="BG210" s="1481"/>
      <c r="BH210" s="1477"/>
      <c r="BJ210" s="3"/>
      <c r="BK210" s="3"/>
      <c r="BL210" s="3"/>
      <c r="BM210" s="3"/>
      <c r="BN210" s="1"/>
      <c r="BO210" s="1255" t="str">
        <f t="shared" si="40"/>
        <v>70 car.</v>
      </c>
      <c r="BP210" s="1256" t="s">
        <v>1061</v>
      </c>
      <c r="BQ210" s="7671" t="str">
        <f>LEFT(RIGHT(BP201,LEN(BP201)-LEN(BQ208)-LEN(BQ209)),BS201)</f>
        <v xml:space="preserve"> avec le morceau de beurre sur le mode « dorer » / 3 min (préchauffage</v>
      </c>
      <c r="BR210" s="7671"/>
      <c r="BS210" s="7671"/>
      <c r="BT210" s="7671"/>
      <c r="BU210" s="7672"/>
      <c r="BW210" s="5">
        <v>1</v>
      </c>
    </row>
    <row r="211" spans="14:75" ht="15.75">
      <c r="N211" s="141"/>
      <c r="O211" s="141"/>
      <c r="P211" s="141"/>
      <c r="Q211" s="141"/>
      <c r="R211" s="1388">
        <v>1.0416666666666666E-2</v>
      </c>
      <c r="S211" s="1385" t="s">
        <v>1152</v>
      </c>
      <c r="T211" s="77"/>
      <c r="U211" s="77"/>
      <c r="V211" s="77"/>
      <c r="W211" s="1389">
        <v>90</v>
      </c>
      <c r="X211" s="1390" t="s">
        <v>1153</v>
      </c>
      <c r="Z211" s="331"/>
      <c r="AA211" s="331"/>
      <c r="AB211" s="331"/>
      <c r="AC211" s="331"/>
      <c r="AD211" s="1411" t="s">
        <v>1175</v>
      </c>
      <c r="AE211" s="1487"/>
      <c r="AF211" s="5424" t="s">
        <v>1271</v>
      </c>
      <c r="AG211" s="1389">
        <v>65</v>
      </c>
      <c r="AH211" s="1493" t="s">
        <v>1272</v>
      </c>
      <c r="AI211" s="1120"/>
      <c r="AJ211" s="1491"/>
      <c r="AL211" s="331"/>
      <c r="AM211" s="331"/>
      <c r="AN211" s="331"/>
      <c r="AO211" s="331"/>
      <c r="AP211" s="1518" t="s">
        <v>1252</v>
      </c>
      <c r="AQ211" s="1512">
        <v>1</v>
      </c>
      <c r="AR211" s="141"/>
      <c r="AS211" s="1515">
        <f>(AQ211/AQ203)*AS204</f>
        <v>2</v>
      </c>
      <c r="AT211" s="988"/>
      <c r="AU211" s="988"/>
      <c r="AV211" s="1326" t="s">
        <v>1253</v>
      </c>
      <c r="AX211" s="141"/>
      <c r="AY211" s="141"/>
      <c r="AZ211" s="141"/>
      <c r="BA211" s="141"/>
      <c r="BB211" s="1482" t="s">
        <v>1216</v>
      </c>
      <c r="BC211" s="1483">
        <v>4.8611111111111112E-3</v>
      </c>
      <c r="BD211" s="1484"/>
      <c r="BE211" s="1484">
        <v>250</v>
      </c>
      <c r="BF211" s="1485" t="s">
        <v>1219</v>
      </c>
      <c r="BG211" s="1485"/>
      <c r="BH211" s="1477"/>
      <c r="BJ211" s="3"/>
      <c r="BK211" s="3"/>
      <c r="BL211" s="3"/>
      <c r="BM211" s="3"/>
      <c r="BN211" s="1"/>
      <c r="BO211" s="1255" t="str">
        <f t="shared" si="40"/>
        <v>47 car.</v>
      </c>
      <c r="BP211" s="1256" t="s">
        <v>1062</v>
      </c>
      <c r="BQ211" s="7671" t="str">
        <f>LEFT(RIGHT(BP201,LEN(BP201)-LEN(BQ208)-LEN(BQ209)-LEN(BQ210)),BS201)</f>
        <v xml:space="preserve"> inclus), en remuant avec une cuillère en bois.</v>
      </c>
      <c r="BR211" s="7671"/>
      <c r="BS211" s="7671"/>
      <c r="BT211" s="7671"/>
      <c r="BU211" s="7672"/>
      <c r="BW211" s="5">
        <v>1</v>
      </c>
    </row>
    <row r="212" spans="14:75" ht="15.75" customHeight="1">
      <c r="N212" s="141"/>
      <c r="O212" s="141"/>
      <c r="P212" s="141"/>
      <c r="Q212" s="141"/>
      <c r="R212" s="1391">
        <v>2.0833333333333332E-2</v>
      </c>
      <c r="S212" s="1385" t="s">
        <v>1154</v>
      </c>
      <c r="T212" s="988"/>
      <c r="U212" s="988"/>
      <c r="V212" s="988"/>
      <c r="W212" s="1392" t="s">
        <v>1155</v>
      </c>
      <c r="X212" s="1393" t="s">
        <v>1156</v>
      </c>
      <c r="Z212" s="331"/>
      <c r="AA212" s="331"/>
      <c r="AB212" s="331"/>
      <c r="AC212" s="331"/>
      <c r="AD212" s="1411" t="s">
        <v>1175</v>
      </c>
      <c r="AE212" s="1487"/>
      <c r="AF212" s="1497" t="s">
        <v>1271</v>
      </c>
      <c r="AG212" s="1386">
        <v>3</v>
      </c>
      <c r="AH212" s="1498" t="s">
        <v>1273</v>
      </c>
      <c r="AI212" s="1120"/>
      <c r="AJ212" s="1491"/>
      <c r="AL212" s="331"/>
      <c r="AM212" s="331"/>
      <c r="AN212" s="331"/>
      <c r="AO212" s="331"/>
      <c r="AP212" s="1518" t="s">
        <v>1252</v>
      </c>
      <c r="AQ212" s="1512">
        <v>1</v>
      </c>
      <c r="AR212" s="141"/>
      <c r="AS212" s="1515">
        <f>(AQ212/AQ203)*AS204</f>
        <v>2</v>
      </c>
      <c r="AT212" s="988"/>
      <c r="AU212" s="988"/>
      <c r="AV212" s="1326"/>
      <c r="AX212" s="141"/>
      <c r="AY212" s="141"/>
      <c r="AZ212" s="141"/>
      <c r="BA212" s="141"/>
      <c r="BB212" s="1479" t="s">
        <v>1208</v>
      </c>
      <c r="BC212" s="1480"/>
      <c r="BD212" s="1480"/>
      <c r="BE212" s="1480" t="s">
        <v>1214</v>
      </c>
      <c r="BF212" s="1481" t="s">
        <v>1215</v>
      </c>
      <c r="BG212" s="1481"/>
      <c r="BH212" s="1477"/>
      <c r="BJ212" s="3"/>
      <c r="BK212" s="3"/>
      <c r="BL212" s="3"/>
      <c r="BM212" s="3"/>
      <c r="BN212" s="1"/>
      <c r="BO212" s="1255" t="str">
        <f t="shared" si="40"/>
        <v>0 car.</v>
      </c>
      <c r="BP212" s="1256" t="s">
        <v>1063</v>
      </c>
      <c r="BQ212" s="7671" t="str">
        <f>LEFT(RIGHT(BP201,LEN(BP201)-LEN(BQ208)-LEN(BQ209)-LEN(BQ210)-LEN(BQ211)),BS201)</f>
        <v/>
      </c>
      <c r="BR212" s="7671"/>
      <c r="BS212" s="7671"/>
      <c r="BT212" s="7671"/>
      <c r="BU212" s="7672"/>
      <c r="BW212" s="5">
        <v>1</v>
      </c>
    </row>
    <row r="213" spans="14:75" ht="15.75" customHeight="1">
      <c r="N213" s="141"/>
      <c r="O213" s="141"/>
      <c r="P213" s="141"/>
      <c r="Q213" s="141"/>
      <c r="R213" s="1394">
        <f>R210+R211+R212</f>
        <v>3.4722222222222224E-2</v>
      </c>
      <c r="S213" s="1395" t="s">
        <v>37</v>
      </c>
      <c r="T213" s="988"/>
      <c r="U213" s="988"/>
      <c r="V213" s="988"/>
      <c r="W213" s="1396" t="s">
        <v>1155</v>
      </c>
      <c r="X213" s="1397" t="s">
        <v>1157</v>
      </c>
      <c r="Z213" s="331"/>
      <c r="AA213" s="331"/>
      <c r="AB213" s="331"/>
      <c r="AC213" s="331"/>
      <c r="AD213" s="1540" t="s">
        <v>37</v>
      </c>
      <c r="AE213" s="1442">
        <f>SUM(AE199:AE212)</f>
        <v>0.41319444444444448</v>
      </c>
      <c r="AI213" s="1120"/>
      <c r="AJ213" s="1491"/>
      <c r="AL213" s="331"/>
      <c r="AM213" s="331"/>
      <c r="AN213" s="331"/>
      <c r="AO213" s="331"/>
      <c r="AP213" s="1518" t="s">
        <v>1252</v>
      </c>
      <c r="AQ213" s="1512">
        <v>1</v>
      </c>
      <c r="AR213" s="141"/>
      <c r="AS213" s="1515">
        <f>(AQ213/AQ203)*AS204</f>
        <v>2</v>
      </c>
      <c r="AT213" s="988"/>
      <c r="AU213" s="988"/>
      <c r="AV213" s="1326"/>
      <c r="AX213" s="141"/>
      <c r="AY213" s="141"/>
      <c r="AZ213" s="141"/>
      <c r="BA213" s="141"/>
      <c r="BB213" s="1482" t="s">
        <v>1216</v>
      </c>
      <c r="BC213" s="1483">
        <v>0.10416666666666667</v>
      </c>
      <c r="BD213" s="1484"/>
      <c r="BE213" s="1484">
        <v>170</v>
      </c>
      <c r="BF213" s="1485" t="s">
        <v>1220</v>
      </c>
      <c r="BG213" s="1485"/>
      <c r="BH213" s="1477"/>
      <c r="BJ213" s="3"/>
      <c r="BK213" s="3"/>
      <c r="BL213" s="3"/>
      <c r="BM213" s="3"/>
      <c r="BN213" s="1"/>
      <c r="BO213" s="1255" t="str">
        <f t="shared" si="40"/>
        <v>0 car.</v>
      </c>
      <c r="BP213" s="1256" t="s">
        <v>1064</v>
      </c>
      <c r="BQ213" s="7671" t="str">
        <f>LEFT(RIGHT(BP201,LEN(BP201)-LEN(BQ208)-LEN(BQ209)-LEN(BQ210)-LEN(BQ211)-LEN(BQ212)),BS201)</f>
        <v/>
      </c>
      <c r="BR213" s="7671"/>
      <c r="BS213" s="7671"/>
      <c r="BT213" s="7671"/>
      <c r="BU213" s="7672"/>
      <c r="BW213" s="5">
        <v>1</v>
      </c>
    </row>
    <row r="214" spans="14:75" ht="15.75" customHeight="1">
      <c r="N214" s="141"/>
      <c r="O214" s="141"/>
      <c r="P214" s="141"/>
      <c r="Q214" s="141"/>
      <c r="R214" s="1369" t="s">
        <v>864</v>
      </c>
      <c r="S214" s="1321"/>
      <c r="T214" s="1321"/>
      <c r="U214" s="1321"/>
      <c r="V214" s="1321"/>
      <c r="W214" s="1321"/>
      <c r="X214" s="1370"/>
      <c r="Z214" s="331"/>
      <c r="AA214" s="331"/>
      <c r="AB214" s="331"/>
      <c r="AC214" s="331"/>
      <c r="AD214" s="1369" t="s">
        <v>864</v>
      </c>
      <c r="AE214" s="1321"/>
      <c r="AF214" s="1321"/>
      <c r="AG214" s="1321"/>
      <c r="AH214" s="1321"/>
      <c r="AI214" s="1321"/>
      <c r="AJ214" s="1370" t="s">
        <v>1141</v>
      </c>
      <c r="AL214" s="331"/>
      <c r="AM214" s="331"/>
      <c r="AN214" s="331"/>
      <c r="AO214" s="331"/>
      <c r="AP214" s="1519"/>
      <c r="AQ214" s="988"/>
      <c r="AR214" s="988"/>
      <c r="AS214" s="988"/>
      <c r="AT214" s="988"/>
      <c r="AU214" s="988"/>
      <c r="AV214" s="1325"/>
      <c r="AX214" s="141"/>
      <c r="AY214" s="141"/>
      <c r="AZ214" s="141"/>
      <c r="BA214" s="141"/>
      <c r="BB214" s="1479" t="s">
        <v>1208</v>
      </c>
      <c r="BC214" s="1480"/>
      <c r="BD214" s="1480"/>
      <c r="BE214" s="1480" t="s">
        <v>1214</v>
      </c>
      <c r="BF214" s="1481" t="s">
        <v>1221</v>
      </c>
      <c r="BG214" s="1481"/>
      <c r="BH214" s="1477"/>
      <c r="BJ214" s="3"/>
      <c r="BK214" s="3"/>
      <c r="BL214" s="3"/>
      <c r="BM214" s="3"/>
      <c r="BN214" s="1"/>
      <c r="BO214" s="1239"/>
      <c r="BP214" s="7657" t="s">
        <v>1065</v>
      </c>
      <c r="BQ214" s="7657"/>
      <c r="BR214" s="7657"/>
      <c r="BS214" s="7657"/>
      <c r="BT214" s="7657"/>
      <c r="BU214" s="7658"/>
      <c r="BW214" s="5">
        <v>1</v>
      </c>
    </row>
    <row r="215" spans="14:75" ht="15.75">
      <c r="N215" s="141"/>
      <c r="O215" s="141"/>
      <c r="P215" s="141"/>
      <c r="Q215" s="141"/>
      <c r="R215" s="1323"/>
      <c r="S215" s="988"/>
      <c r="T215" s="988"/>
      <c r="U215" s="988"/>
      <c r="V215" s="988"/>
      <c r="W215" s="988"/>
      <c r="X215" s="1325"/>
      <c r="Z215" s="331"/>
      <c r="AA215" s="331"/>
      <c r="AB215" s="331"/>
      <c r="AC215" s="331"/>
      <c r="AD215" s="141"/>
      <c r="AE215" s="141"/>
      <c r="AF215" s="141"/>
      <c r="AG215" s="141"/>
      <c r="AH215" s="141"/>
      <c r="AI215" s="141"/>
      <c r="AJ215" s="141"/>
      <c r="AL215" s="331"/>
      <c r="AM215" s="331"/>
      <c r="AN215" s="331"/>
      <c r="AO215" s="331"/>
      <c r="AP215" s="1369" t="s">
        <v>864</v>
      </c>
      <c r="AQ215" s="1321"/>
      <c r="AR215" s="1321"/>
      <c r="AS215" s="1321"/>
      <c r="AT215" s="1321"/>
      <c r="AU215" s="1321"/>
      <c r="AV215" s="1370" t="s">
        <v>1141</v>
      </c>
      <c r="AX215" s="141"/>
      <c r="AY215" s="141"/>
      <c r="AZ215" s="141"/>
      <c r="BA215" s="141"/>
      <c r="BB215" s="1482" t="s">
        <v>1216</v>
      </c>
      <c r="BC215" s="1483">
        <v>4.8611111111111112E-3</v>
      </c>
      <c r="BD215" s="1484"/>
      <c r="BE215" s="1484">
        <v>100</v>
      </c>
      <c r="BF215" s="1485"/>
      <c r="BG215" s="1485"/>
      <c r="BH215" s="1477"/>
      <c r="BJ215" s="3"/>
      <c r="BK215" s="3"/>
      <c r="BL215" s="3"/>
      <c r="BM215" s="3"/>
      <c r="BN215" s="1"/>
      <c r="BO215" s="1239"/>
      <c r="BP215" s="7657"/>
      <c r="BQ215" s="7657"/>
      <c r="BR215" s="7657"/>
      <c r="BS215" s="7657"/>
      <c r="BT215" s="7657"/>
      <c r="BU215" s="7658"/>
      <c r="BW215" s="5">
        <v>1</v>
      </c>
    </row>
    <row r="216" spans="14:75" ht="15" customHeight="1">
      <c r="N216" s="141"/>
      <c r="O216" s="141"/>
      <c r="P216" s="141"/>
      <c r="Q216" s="141"/>
      <c r="R216" s="1323"/>
      <c r="S216" s="988"/>
      <c r="T216" s="988"/>
      <c r="U216" s="988"/>
      <c r="V216" s="988"/>
      <c r="W216" s="988"/>
      <c r="X216" s="1325"/>
      <c r="Z216" s="331"/>
      <c r="AA216" s="331"/>
      <c r="AB216" s="331"/>
      <c r="AC216" s="331"/>
      <c r="AD216" s="141"/>
      <c r="AE216" s="141"/>
      <c r="AF216" s="141"/>
      <c r="AG216" s="141"/>
      <c r="AH216" s="141"/>
      <c r="AI216" s="141"/>
      <c r="AJ216" s="141"/>
      <c r="AL216" s="331"/>
      <c r="AM216" s="331"/>
      <c r="AN216" s="331"/>
      <c r="AO216" s="331"/>
      <c r="AP216" s="141"/>
      <c r="AQ216" s="141"/>
      <c r="AR216" s="141"/>
      <c r="AS216" s="141"/>
      <c r="AT216" s="141"/>
      <c r="AU216" s="141"/>
      <c r="AV216" s="141"/>
      <c r="AX216" s="141"/>
      <c r="AY216" s="141"/>
      <c r="AZ216" s="141"/>
      <c r="BA216" s="141"/>
      <c r="BB216" s="1479" t="s">
        <v>1208</v>
      </c>
      <c r="BC216" s="1480"/>
      <c r="BD216" s="1480"/>
      <c r="BE216" s="1480" t="s">
        <v>1214</v>
      </c>
      <c r="BF216" s="1481" t="s">
        <v>1224</v>
      </c>
      <c r="BG216" s="1481"/>
      <c r="BH216" s="1477"/>
      <c r="BJ216" s="3"/>
      <c r="BK216" s="3"/>
      <c r="BL216" s="3"/>
      <c r="BM216" s="3"/>
      <c r="BN216" s="1"/>
      <c r="BO216" s="1079"/>
      <c r="BP216" s="1194"/>
      <c r="BQ216" s="1081"/>
      <c r="BR216" s="1080"/>
      <c r="BS216" s="1080"/>
      <c r="BT216" s="1080"/>
      <c r="BU216" s="1082"/>
      <c r="BW216" s="5">
        <v>1</v>
      </c>
    </row>
    <row r="217" spans="14:75" ht="15.75">
      <c r="N217" s="141"/>
      <c r="O217" s="141"/>
      <c r="P217" s="141"/>
      <c r="Q217" s="141"/>
      <c r="R217" s="1323"/>
      <c r="S217" s="988"/>
      <c r="T217" s="988"/>
      <c r="U217" s="988"/>
      <c r="V217" s="988"/>
      <c r="W217" s="988"/>
      <c r="X217" s="1325"/>
      <c r="Z217" s="331"/>
      <c r="AA217" s="331"/>
      <c r="AB217" s="331"/>
      <c r="AC217" s="331"/>
      <c r="AD217" s="1354" t="s">
        <v>252</v>
      </c>
      <c r="AE217" s="1355"/>
      <c r="AF217" s="1355"/>
      <c r="AG217" s="1355"/>
      <c r="AH217" s="1355"/>
      <c r="AI217" s="1356"/>
      <c r="AJ217" s="1357" t="s">
        <v>1117</v>
      </c>
      <c r="AL217" s="331"/>
      <c r="AM217" s="331"/>
      <c r="AN217" s="331"/>
      <c r="AO217" s="331"/>
      <c r="AP217" s="141"/>
      <c r="AQ217" s="141"/>
      <c r="AR217" s="141"/>
      <c r="AS217" s="141"/>
      <c r="AT217" s="141"/>
      <c r="AU217" s="141"/>
      <c r="AV217" s="141"/>
      <c r="AX217" s="141"/>
      <c r="AY217" s="141"/>
      <c r="AZ217" s="141"/>
      <c r="BA217" s="141"/>
      <c r="BB217" s="1482" t="s">
        <v>1216</v>
      </c>
      <c r="BC217" s="1483">
        <v>4.8611111111111112E-3</v>
      </c>
      <c r="BD217" s="1484"/>
      <c r="BE217" s="1484">
        <v>110</v>
      </c>
      <c r="BF217" s="1485"/>
      <c r="BG217" s="1485"/>
      <c r="BH217" s="1477"/>
      <c r="BJ217" s="3"/>
      <c r="BK217" s="3"/>
      <c r="BL217" s="3"/>
      <c r="BM217" s="3"/>
      <c r="BN217" s="1"/>
      <c r="BO217" s="1258" t="s">
        <v>1066</v>
      </c>
      <c r="BP217" s="141"/>
      <c r="BQ217" s="141"/>
      <c r="BR217" s="141"/>
      <c r="BS217" s="141"/>
      <c r="BT217" s="141"/>
      <c r="BU217" s="409"/>
      <c r="BW217" s="5">
        <v>1</v>
      </c>
    </row>
    <row r="218" spans="14:75" ht="15.75" customHeight="1">
      <c r="N218" s="141"/>
      <c r="O218" s="141"/>
      <c r="P218" s="141"/>
      <c r="Q218" s="141"/>
      <c r="R218" s="1323"/>
      <c r="S218" s="988"/>
      <c r="T218" s="988"/>
      <c r="U218" s="988"/>
      <c r="V218" s="988"/>
      <c r="W218" s="988"/>
      <c r="X218" s="1325"/>
      <c r="Z218" s="331"/>
      <c r="AA218" s="331"/>
      <c r="AB218" s="331"/>
      <c r="AC218" s="331"/>
      <c r="AD218" s="1384">
        <v>3.472222222222222E-3</v>
      </c>
      <c r="AE218" s="1385" t="s">
        <v>1150</v>
      </c>
      <c r="AF218" s="77"/>
      <c r="AG218" s="77"/>
      <c r="AH218" s="77"/>
      <c r="AI218" s="1386">
        <v>100</v>
      </c>
      <c r="AJ218" s="1387" t="s">
        <v>1151</v>
      </c>
      <c r="AL218" s="331"/>
      <c r="AM218" s="331"/>
      <c r="AN218" s="331"/>
      <c r="AO218" s="331"/>
      <c r="AP218" s="1354" t="s">
        <v>252</v>
      </c>
      <c r="AQ218" s="1355"/>
      <c r="AR218" s="1355"/>
      <c r="AS218" s="1355"/>
      <c r="AT218" s="1355"/>
      <c r="AU218" s="1356"/>
      <c r="AV218" s="1357" t="s">
        <v>1117</v>
      </c>
      <c r="AX218" s="141"/>
      <c r="AY218" s="141"/>
      <c r="AZ218" s="141"/>
      <c r="BA218" s="141"/>
      <c r="BB218" s="1369" t="s">
        <v>864</v>
      </c>
      <c r="BC218" s="1321"/>
      <c r="BD218" s="1321"/>
      <c r="BE218" s="1321"/>
      <c r="BF218" s="1321"/>
      <c r="BG218" s="1321"/>
      <c r="BH218" s="1370" t="s">
        <v>1141</v>
      </c>
      <c r="BJ218" s="3"/>
      <c r="BK218" s="3"/>
      <c r="BL218" s="3"/>
      <c r="BM218" s="3"/>
      <c r="BN218" s="1"/>
      <c r="BO218" s="1259">
        <v>3.472222222222222E-3</v>
      </c>
      <c r="BP218" s="1260" t="s">
        <v>1067</v>
      </c>
      <c r="BQ218" s="813"/>
      <c r="BR218" s="1261" t="s">
        <v>1068</v>
      </c>
      <c r="BS218" s="1262">
        <v>1.0416666666666666E-2</v>
      </c>
      <c r="BT218" s="1261"/>
      <c r="BU218" s="1263"/>
      <c r="BW218" s="5">
        <v>1</v>
      </c>
    </row>
    <row r="219" spans="14:75" ht="15.75" customHeight="1">
      <c r="N219" s="141"/>
      <c r="O219" s="141"/>
      <c r="P219" s="141"/>
      <c r="Q219" s="141"/>
      <c r="R219" s="1323"/>
      <c r="S219" s="988"/>
      <c r="T219" s="988"/>
      <c r="U219" s="988"/>
      <c r="V219" s="988"/>
      <c r="W219" s="988"/>
      <c r="X219" s="1325"/>
      <c r="Z219" s="331"/>
      <c r="AA219" s="331"/>
      <c r="AB219" s="331"/>
      <c r="AC219" s="331"/>
      <c r="AD219" s="1388">
        <v>1.0416666666666666E-2</v>
      </c>
      <c r="AE219" s="1385" t="s">
        <v>1152</v>
      </c>
      <c r="AF219" s="77"/>
      <c r="AG219" s="77"/>
      <c r="AH219" s="77"/>
      <c r="AI219" s="1389">
        <v>90</v>
      </c>
      <c r="AJ219" s="1390" t="s">
        <v>1153</v>
      </c>
      <c r="AL219" s="331"/>
      <c r="AM219" s="331"/>
      <c r="AN219" s="331"/>
      <c r="AO219" s="331"/>
      <c r="AP219" s="1411" t="s">
        <v>1175</v>
      </c>
      <c r="AQ219" s="1487">
        <v>1.7361111111111112E-2</v>
      </c>
      <c r="AR219" s="1488"/>
      <c r="AS219" s="1488">
        <v>3</v>
      </c>
      <c r="AT219" s="1489" t="s">
        <v>1223</v>
      </c>
      <c r="AU219" s="1534"/>
      <c r="AV219" s="1535"/>
      <c r="AX219" s="141"/>
      <c r="AY219" s="141"/>
      <c r="AZ219" s="141"/>
      <c r="BA219" s="141"/>
      <c r="BB219" s="1371"/>
      <c r="BC219" s="1371"/>
      <c r="BD219" s="1371"/>
      <c r="BE219" s="1371"/>
      <c r="BF219" s="1371"/>
      <c r="BG219" s="1371"/>
      <c r="BH219" s="1371"/>
      <c r="BJ219" s="3"/>
      <c r="BK219" s="3"/>
      <c r="BL219" s="3"/>
      <c r="BM219" s="3"/>
      <c r="BN219" s="1"/>
      <c r="BO219" s="1264" t="s">
        <v>1070</v>
      </c>
      <c r="BP219" s="1265">
        <v>2.0833333333333332E-2</v>
      </c>
      <c r="BQ219" s="1266"/>
      <c r="BR219" s="1267" t="s">
        <v>1069</v>
      </c>
      <c r="BS219" s="1268">
        <f>BO218+BS218+BP219</f>
        <v>3.4722222222222224E-2</v>
      </c>
      <c r="BT219" s="1266"/>
      <c r="BU219" s="1269"/>
      <c r="BW219" s="5">
        <v>1</v>
      </c>
    </row>
    <row r="220" spans="14:75" ht="18.75">
      <c r="N220" s="141"/>
      <c r="O220" s="141"/>
      <c r="P220" s="141"/>
      <c r="Q220" s="141"/>
      <c r="R220" s="1323"/>
      <c r="S220" s="988"/>
      <c r="T220" s="988"/>
      <c r="U220" s="988"/>
      <c r="V220" s="988"/>
      <c r="W220" s="988"/>
      <c r="X220" s="1325"/>
      <c r="Z220" s="331"/>
      <c r="AA220" s="331"/>
      <c r="AB220" s="331"/>
      <c r="AC220" s="331"/>
      <c r="AD220" s="1391">
        <v>2.0833333333333332E-2</v>
      </c>
      <c r="AE220" s="1385" t="s">
        <v>1154</v>
      </c>
      <c r="AF220" s="988"/>
      <c r="AG220" s="988"/>
      <c r="AH220" s="988"/>
      <c r="AI220" s="1392" t="s">
        <v>1155</v>
      </c>
      <c r="AJ220" s="1393" t="s">
        <v>1156</v>
      </c>
      <c r="AL220" s="331"/>
      <c r="AM220" s="331"/>
      <c r="AN220" s="331"/>
      <c r="AO220" s="331"/>
      <c r="AP220" s="1411" t="s">
        <v>1175</v>
      </c>
      <c r="AQ220" s="1487">
        <v>1.7361111111111112E-2</v>
      </c>
      <c r="AR220" s="1488"/>
      <c r="AS220" s="1488">
        <v>3</v>
      </c>
      <c r="AT220" s="1148" t="s">
        <v>1264</v>
      </c>
      <c r="AU220" s="1148"/>
      <c r="AV220" s="1490"/>
      <c r="AX220" s="141"/>
      <c r="AY220" s="141"/>
      <c r="AZ220" s="141"/>
      <c r="BA220" s="141"/>
      <c r="BB220" s="1371"/>
      <c r="BC220" s="1371"/>
      <c r="BD220" s="1371"/>
      <c r="BE220" s="1371"/>
      <c r="BF220" s="1371"/>
      <c r="BG220" s="1371"/>
      <c r="BH220" s="1371"/>
      <c r="BJ220" s="3"/>
      <c r="BK220" s="3"/>
      <c r="BL220" s="3"/>
      <c r="BM220" s="3"/>
      <c r="BN220" s="1"/>
      <c r="BO220" s="1160"/>
      <c r="BP220" s="141"/>
      <c r="BQ220" s="141"/>
      <c r="BR220" s="141"/>
      <c r="BS220" s="141"/>
      <c r="BT220" s="141"/>
      <c r="BU220" s="409"/>
      <c r="BW220" s="5">
        <v>1</v>
      </c>
    </row>
    <row r="221" spans="14:75" ht="23.25" customHeight="1">
      <c r="N221" s="141"/>
      <c r="O221" s="141"/>
      <c r="P221" s="141"/>
      <c r="Q221" s="141"/>
      <c r="R221" s="1323"/>
      <c r="S221" s="988"/>
      <c r="T221" s="988"/>
      <c r="U221" s="988"/>
      <c r="V221" s="988"/>
      <c r="W221" s="988"/>
      <c r="X221" s="1325"/>
      <c r="Z221" s="331"/>
      <c r="AA221" s="331"/>
      <c r="AB221" s="331"/>
      <c r="AC221" s="331"/>
      <c r="AD221" s="1394">
        <f>AD218+AD219+AD220</f>
        <v>3.4722222222222224E-2</v>
      </c>
      <c r="AE221" s="1395" t="s">
        <v>37</v>
      </c>
      <c r="AF221" s="988"/>
      <c r="AG221" s="988"/>
      <c r="AH221" s="988"/>
      <c r="AI221" s="1396" t="s">
        <v>1155</v>
      </c>
      <c r="AJ221" s="1397" t="s">
        <v>1157</v>
      </c>
      <c r="AL221" s="331"/>
      <c r="AM221" s="331"/>
      <c r="AN221" s="331"/>
      <c r="AO221" s="331"/>
      <c r="AP221" s="1411" t="s">
        <v>1175</v>
      </c>
      <c r="AQ221" s="1487">
        <v>5.9027777777777797E-2</v>
      </c>
      <c r="AR221" s="1488"/>
      <c r="AS221" s="1488">
        <v>3</v>
      </c>
      <c r="AT221" s="1148" t="s">
        <v>1225</v>
      </c>
      <c r="AU221" s="1148"/>
      <c r="AV221" s="1490"/>
      <c r="AX221" s="141"/>
      <c r="AY221" s="141"/>
      <c r="AZ221" s="141"/>
      <c r="BA221" s="141"/>
      <c r="BB221" s="1354" t="s">
        <v>252</v>
      </c>
      <c r="BC221" s="1355"/>
      <c r="BD221" s="1355"/>
      <c r="BE221" s="1355"/>
      <c r="BF221" s="1355"/>
      <c r="BG221" s="1356"/>
      <c r="BH221" s="1357" t="s">
        <v>1229</v>
      </c>
      <c r="BJ221" s="3"/>
      <c r="BK221" s="3"/>
      <c r="BL221" s="3"/>
      <c r="BM221" s="3"/>
      <c r="BN221" s="1"/>
      <c r="BO221" s="343"/>
      <c r="BP221" s="1270" t="s">
        <v>1072</v>
      </c>
      <c r="BQ221" s="1271" t="s">
        <v>1071</v>
      </c>
      <c r="BR221" s="1272"/>
      <c r="BS221" s="1270"/>
      <c r="BT221" s="1270" t="s">
        <v>1073</v>
      </c>
      <c r="BU221" s="1273" t="s">
        <v>1071</v>
      </c>
      <c r="BW221" s="5">
        <v>1</v>
      </c>
    </row>
    <row r="222" spans="14:75" ht="15.75">
      <c r="N222" s="141"/>
      <c r="O222" s="141"/>
      <c r="P222" s="141"/>
      <c r="Q222" s="141"/>
      <c r="R222" s="1323"/>
      <c r="S222" s="988"/>
      <c r="T222" s="988"/>
      <c r="U222" s="988"/>
      <c r="V222" s="988"/>
      <c r="W222" s="988"/>
      <c r="X222" s="1325"/>
      <c r="Z222" s="331"/>
      <c r="AA222" s="331"/>
      <c r="AB222" s="331"/>
      <c r="AC222" s="331"/>
      <c r="AD222" s="1369" t="s">
        <v>864</v>
      </c>
      <c r="AE222" s="1321"/>
      <c r="AF222" s="1321"/>
      <c r="AG222" s="1321"/>
      <c r="AH222" s="1321"/>
      <c r="AI222" s="1321"/>
      <c r="AJ222" s="1370" t="s">
        <v>1141</v>
      </c>
      <c r="AL222" s="331"/>
      <c r="AM222" s="331"/>
      <c r="AN222" s="331"/>
      <c r="AO222" s="331"/>
      <c r="AP222" s="1411" t="s">
        <v>1175</v>
      </c>
      <c r="AQ222" s="1487">
        <v>2.4305555555555556E-2</v>
      </c>
      <c r="AR222" s="1488"/>
      <c r="AS222" s="1488">
        <v>3</v>
      </c>
      <c r="AT222" s="1148" t="s">
        <v>1226</v>
      </c>
      <c r="AU222" s="1148"/>
      <c r="AV222" s="1490"/>
      <c r="AX222" s="141"/>
      <c r="AY222" s="141"/>
      <c r="AZ222" s="141"/>
      <c r="BA222" s="141"/>
      <c r="BB222" s="1319"/>
      <c r="BC222" s="612" t="s">
        <v>1231</v>
      </c>
      <c r="BD222" s="147"/>
      <c r="BE222" s="147"/>
      <c r="BF222" s="102"/>
      <c r="BG222" s="102"/>
      <c r="BH222" s="1494" t="s">
        <v>1232</v>
      </c>
      <c r="BJ222" s="3"/>
      <c r="BK222" s="3"/>
      <c r="BL222" s="3"/>
      <c r="BM222" s="3"/>
      <c r="BN222" s="1"/>
      <c r="BO222" s="1160"/>
      <c r="BP222" s="141"/>
      <c r="BQ222" s="141"/>
      <c r="BR222" s="141"/>
      <c r="BS222" s="141"/>
      <c r="BT222" s="141"/>
      <c r="BU222" s="409"/>
      <c r="BW222" s="5">
        <v>1</v>
      </c>
    </row>
    <row r="223" spans="14:75" ht="16.5" customHeight="1" thickBot="1">
      <c r="N223" s="141"/>
      <c r="O223" s="141"/>
      <c r="P223" s="141"/>
      <c r="Q223" s="141"/>
      <c r="R223" s="1338"/>
      <c r="S223" s="997"/>
      <c r="T223" s="997"/>
      <c r="U223" s="997"/>
      <c r="V223" s="997"/>
      <c r="W223" s="997"/>
      <c r="X223" s="1339" t="s">
        <v>1112</v>
      </c>
      <c r="Z223" s="331"/>
      <c r="AA223" s="331"/>
      <c r="AB223" s="331"/>
      <c r="AC223" s="331"/>
      <c r="AD223" s="141"/>
      <c r="AE223" s="141"/>
      <c r="AF223" s="141"/>
      <c r="AG223" s="141"/>
      <c r="AH223" s="141"/>
      <c r="AI223" s="141"/>
      <c r="AJ223" s="141"/>
      <c r="AL223" s="331"/>
      <c r="AM223" s="331"/>
      <c r="AN223" s="331"/>
      <c r="AO223" s="331"/>
      <c r="AP223" s="1411" t="s">
        <v>1175</v>
      </c>
      <c r="AQ223" s="1487">
        <v>1.0416666666666666E-2</v>
      </c>
      <c r="AR223" s="1488"/>
      <c r="AS223" s="1488">
        <v>170</v>
      </c>
      <c r="AT223" s="1148" t="s">
        <v>1227</v>
      </c>
      <c r="AU223" s="1148"/>
      <c r="AV223" s="1490"/>
      <c r="AX223" s="141"/>
      <c r="AY223" s="141"/>
      <c r="AZ223" s="141"/>
      <c r="BA223" s="141"/>
      <c r="BB223" s="1499"/>
      <c r="BC223" s="1500">
        <v>16</v>
      </c>
      <c r="BD223" s="141"/>
      <c r="BE223" s="1501" t="s">
        <v>1234</v>
      </c>
      <c r="BF223" t="s">
        <v>1235</v>
      </c>
      <c r="BG223" s="147"/>
      <c r="BH223" s="1326" t="s">
        <v>1236</v>
      </c>
      <c r="BJ223" s="3"/>
      <c r="BK223" s="3"/>
      <c r="BL223" s="3"/>
      <c r="BM223" s="3"/>
      <c r="BN223" s="1"/>
      <c r="BO223" s="1083"/>
      <c r="BP223" s="1274" t="s">
        <v>1074</v>
      </c>
      <c r="BQ223" s="1275"/>
      <c r="BR223" s="1275"/>
      <c r="BS223" s="1275"/>
      <c r="BT223" s="1276"/>
      <c r="BU223" s="609"/>
      <c r="BW223" s="5">
        <v>1</v>
      </c>
    </row>
    <row r="224" spans="14:75" ht="17.25" customHeight="1" thickTop="1">
      <c r="N224" s="141"/>
      <c r="O224" s="141"/>
      <c r="P224" s="141"/>
      <c r="Q224" s="141"/>
      <c r="R224" s="1002"/>
      <c r="S224" s="1002"/>
      <c r="T224" s="1002" t="s">
        <v>873</v>
      </c>
      <c r="U224" s="1003"/>
      <c r="V224" s="1329"/>
      <c r="W224" s="1329"/>
      <c r="X224" s="1330"/>
      <c r="Z224" s="331"/>
      <c r="AA224" s="331"/>
      <c r="AB224" s="331"/>
      <c r="AC224" s="331"/>
      <c r="AD224" s="141"/>
      <c r="AE224" s="141"/>
      <c r="AF224" s="141"/>
      <c r="AG224" s="141"/>
      <c r="AH224" s="141"/>
      <c r="AI224" s="141"/>
      <c r="AJ224" s="141"/>
      <c r="AL224" s="331"/>
      <c r="AM224" s="331"/>
      <c r="AN224" s="331"/>
      <c r="AO224" s="331"/>
      <c r="AP224" s="1411" t="s">
        <v>1175</v>
      </c>
      <c r="AQ224" s="1487">
        <v>6.9444444444444441E-3</v>
      </c>
      <c r="AR224" s="1488"/>
      <c r="AS224" s="1488">
        <v>150</v>
      </c>
      <c r="AT224" s="1148" t="s">
        <v>1217</v>
      </c>
      <c r="AU224" s="1148"/>
      <c r="AV224" s="1490"/>
      <c r="AX224" s="141"/>
      <c r="AY224" s="141"/>
      <c r="AZ224" s="141"/>
      <c r="BA224" s="141"/>
      <c r="BB224" s="1505"/>
      <c r="BC224" s="1506" t="s">
        <v>1237</v>
      </c>
      <c r="BD224" s="1506"/>
      <c r="BE224" s="1507">
        <v>32</v>
      </c>
      <c r="BF224" s="1508" t="str">
        <f>BE223</f>
        <v xml:space="preserve">portions </v>
      </c>
      <c r="BG224" s="988"/>
      <c r="BH224" s="1326" t="s">
        <v>1238</v>
      </c>
      <c r="BN224" s="2"/>
      <c r="BO224" s="1083"/>
      <c r="BP224" s="7659" t="s">
        <v>1075</v>
      </c>
      <c r="BQ224" s="7660"/>
      <c r="BR224" s="7660"/>
      <c r="BS224" s="7660"/>
      <c r="BT224" s="7661"/>
      <c r="BU224" s="609"/>
      <c r="BW224" s="5">
        <v>1</v>
      </c>
    </row>
    <row r="225" spans="14:75" ht="16.5" thickBot="1">
      <c r="N225" s="141"/>
      <c r="O225" s="141"/>
      <c r="P225" s="141"/>
      <c r="Q225" s="141"/>
      <c r="R225" s="1332" t="s">
        <v>86</v>
      </c>
      <c r="S225" s="1006"/>
      <c r="T225" s="1007"/>
      <c r="U225" s="1008"/>
      <c r="V225" s="1007"/>
      <c r="W225" s="1007"/>
      <c r="X225" s="1333"/>
      <c r="Z225" s="331"/>
      <c r="AA225" s="331"/>
      <c r="AB225" s="331"/>
      <c r="AC225" s="331"/>
      <c r="AD225" s="1354" t="s">
        <v>252</v>
      </c>
      <c r="AE225" s="1355"/>
      <c r="AF225" s="1355"/>
      <c r="AG225" s="1355"/>
      <c r="AH225" s="1355"/>
      <c r="AI225" s="1356"/>
      <c r="AJ225" s="1357" t="s">
        <v>1274</v>
      </c>
      <c r="AL225" s="331"/>
      <c r="AM225" s="331"/>
      <c r="AN225" s="331"/>
      <c r="AO225" s="331"/>
      <c r="AP225" s="1411" t="s">
        <v>1175</v>
      </c>
      <c r="AQ225" s="1487">
        <v>0.10069444444444445</v>
      </c>
      <c r="AR225" s="1488"/>
      <c r="AS225" s="1488">
        <v>120</v>
      </c>
      <c r="AT225" s="1148" t="s">
        <v>1228</v>
      </c>
      <c r="AU225" s="1120"/>
      <c r="AV225" s="1491"/>
      <c r="AX225" s="141"/>
      <c r="AY225" s="141"/>
      <c r="AZ225" s="141"/>
      <c r="BA225" s="141"/>
      <c r="BB225" s="1511"/>
      <c r="BC225" s="1512" t="s">
        <v>1239</v>
      </c>
      <c r="BD225" s="141"/>
      <c r="BE225" s="1513" t="str">
        <f>BC225</f>
        <v>Gastro</v>
      </c>
      <c r="BF225" s="1514" t="s">
        <v>1240</v>
      </c>
      <c r="BG225" s="988"/>
      <c r="BH225" s="1326" t="s">
        <v>1241</v>
      </c>
      <c r="BN225" s="2"/>
      <c r="BO225" s="1083"/>
      <c r="BP225" s="7662"/>
      <c r="BQ225" s="7663"/>
      <c r="BR225" s="7663"/>
      <c r="BS225" s="7663"/>
      <c r="BT225" s="7664"/>
      <c r="BU225" s="609"/>
      <c r="BW225" s="5">
        <v>1</v>
      </c>
    </row>
    <row r="226" spans="14:75" ht="15.75" customHeight="1" thickBot="1">
      <c r="N226" s="141"/>
      <c r="O226" s="141"/>
      <c r="P226" s="141"/>
      <c r="Q226" s="141"/>
      <c r="R226" s="141"/>
      <c r="S226" s="141"/>
      <c r="T226" s="141"/>
      <c r="U226" s="141"/>
      <c r="V226" s="141"/>
      <c r="W226" s="141"/>
      <c r="X226" s="141"/>
      <c r="Z226" s="331"/>
      <c r="AA226" s="331"/>
      <c r="AB226" s="331"/>
      <c r="AC226" s="331"/>
      <c r="AD226" s="1541" t="s">
        <v>1275</v>
      </c>
      <c r="AE226" s="1542" t="s">
        <v>1276</v>
      </c>
      <c r="AF226" s="1543"/>
      <c r="AG226" s="1544" t="s">
        <v>1277</v>
      </c>
      <c r="AH226" s="1542" t="s">
        <v>21</v>
      </c>
      <c r="AI226" s="1542" t="s">
        <v>1278</v>
      </c>
      <c r="AJ226" s="1545" t="s">
        <v>1279</v>
      </c>
      <c r="AL226" s="331"/>
      <c r="AM226" s="331"/>
      <c r="AN226" s="331"/>
      <c r="AO226" s="331"/>
      <c r="AP226" s="1411" t="s">
        <v>1175</v>
      </c>
      <c r="AQ226" s="1487">
        <v>1.3888888888888888E-2</v>
      </c>
      <c r="AR226" s="1488"/>
      <c r="AS226" s="1488">
        <v>120</v>
      </c>
      <c r="AT226" s="1148" t="s">
        <v>1265</v>
      </c>
      <c r="AU226" s="1120"/>
      <c r="AV226" s="1491"/>
      <c r="AX226" s="141"/>
      <c r="AY226" s="141"/>
      <c r="AZ226" s="141"/>
      <c r="BA226" s="141"/>
      <c r="BB226" s="1358" t="s">
        <v>1118</v>
      </c>
      <c r="BC226" s="1512">
        <v>1</v>
      </c>
      <c r="BD226" s="141"/>
      <c r="BE226" s="1515">
        <f>(BC226/BC223)*BE224</f>
        <v>2</v>
      </c>
      <c r="BF226" s="1516" t="s">
        <v>1242</v>
      </c>
      <c r="BG226" s="988"/>
      <c r="BH226" s="1326" t="s">
        <v>1243</v>
      </c>
      <c r="BN226" s="1"/>
      <c r="BO226" s="1083"/>
      <c r="BP226" s="7665"/>
      <c r="BQ226" s="7666"/>
      <c r="BR226" s="7666"/>
      <c r="BS226" s="7666"/>
      <c r="BT226" s="7667"/>
      <c r="BU226" s="609"/>
      <c r="BW226" s="5">
        <v>1</v>
      </c>
    </row>
    <row r="227" spans="14:75" ht="16.5" customHeight="1" thickTop="1">
      <c r="N227" s="141"/>
      <c r="O227" s="141"/>
      <c r="P227" s="141"/>
      <c r="Q227" s="141"/>
      <c r="R227" s="141"/>
      <c r="S227" s="141"/>
      <c r="T227" s="141"/>
      <c r="U227" s="141"/>
      <c r="V227" s="141"/>
      <c r="W227" s="141"/>
      <c r="X227" s="141"/>
      <c r="Z227" s="331"/>
      <c r="AA227" s="331"/>
      <c r="AB227" s="331"/>
      <c r="AC227" s="331"/>
      <c r="AD227" s="1546" t="str">
        <f>"cellule "&amp;ADDRESS(ROW(AJ227),COLUMN(AJ227),4)&amp;"  vous pouvez saisir un autre poids"</f>
        <v>cellule AJ227  vous pouvez saisir un autre poids</v>
      </c>
      <c r="AE227" s="1547"/>
      <c r="AF227" s="1548"/>
      <c r="AG227" s="102"/>
      <c r="AH227" s="1547"/>
      <c r="AJ227" s="1549">
        <v>1</v>
      </c>
      <c r="AL227" s="331"/>
      <c r="AM227" s="331"/>
      <c r="AN227" s="331"/>
      <c r="AO227" s="331"/>
      <c r="AP227" s="1411" t="s">
        <v>1175</v>
      </c>
      <c r="AQ227" s="1487">
        <v>3.125E-2</v>
      </c>
      <c r="AR227" s="1488"/>
      <c r="AS227" s="1488"/>
      <c r="AT227" s="1148" t="s">
        <v>1266</v>
      </c>
      <c r="AU227" s="1120"/>
      <c r="AV227" s="1491"/>
      <c r="AX227" s="141"/>
      <c r="AY227" s="141"/>
      <c r="AZ227" s="141"/>
      <c r="BA227" s="141"/>
      <c r="BB227" s="1358" t="s">
        <v>1118</v>
      </c>
      <c r="BC227" s="1512">
        <v>1</v>
      </c>
      <c r="BD227" s="141"/>
      <c r="BE227" s="1515">
        <f>(BC227/BC223)*BE224</f>
        <v>2</v>
      </c>
      <c r="BF227" s="1516" t="s">
        <v>1244</v>
      </c>
      <c r="BG227" s="988"/>
      <c r="BH227" s="1326" t="s">
        <v>1245</v>
      </c>
      <c r="BN227" s="1"/>
      <c r="BO227" s="1083"/>
      <c r="BP227" s="1277" t="str">
        <f>LEN(SUBSTITUTE(BP224," ",""))&amp;" caractères plus "&amp;(LEN(BP224)-LEN(SUBSTITUTE(BP224," ","")))&amp;" espaces = "&amp;LEN(BP224)</f>
        <v>178 caractères plus 38 espaces = 216</v>
      </c>
      <c r="BQ227" s="1278"/>
      <c r="BR227" s="1278"/>
      <c r="BS227" s="1278"/>
      <c r="BT227" s="1278"/>
      <c r="BU227" s="609"/>
      <c r="BW227" s="5">
        <v>1</v>
      </c>
    </row>
    <row r="228" spans="14:75" ht="15.75">
      <c r="N228" s="141"/>
      <c r="O228" s="141"/>
      <c r="P228" s="141"/>
      <c r="Q228" s="141"/>
      <c r="R228" s="1354" t="s">
        <v>252</v>
      </c>
      <c r="S228" s="1550"/>
      <c r="T228" s="1550"/>
      <c r="U228" s="1550"/>
      <c r="V228" s="1550"/>
      <c r="W228" s="1551"/>
      <c r="X228" s="1434" t="s">
        <v>1280</v>
      </c>
      <c r="Z228" s="331"/>
      <c r="AA228" s="331"/>
      <c r="AB228" s="331"/>
      <c r="AC228" s="331"/>
      <c r="AD228" s="5456">
        <v>100</v>
      </c>
      <c r="AE228" s="5457">
        <v>120</v>
      </c>
      <c r="AF228" s="1552"/>
      <c r="AG228" s="5457">
        <v>180</v>
      </c>
      <c r="AH228" s="5457">
        <v>180</v>
      </c>
      <c r="AI228" s="5457">
        <v>200</v>
      </c>
      <c r="AJ228" s="1553" t="s">
        <v>1281</v>
      </c>
      <c r="AL228" s="331"/>
      <c r="AM228" s="331"/>
      <c r="AN228" s="331"/>
      <c r="AO228" s="331"/>
      <c r="AP228" s="1411" t="s">
        <v>1175</v>
      </c>
      <c r="AQ228" s="1487">
        <v>2.4305555555555556E-2</v>
      </c>
      <c r="AR228" s="1488"/>
      <c r="AS228" s="1488"/>
      <c r="AT228" s="1148" t="s">
        <v>1267</v>
      </c>
      <c r="AU228" s="1120"/>
      <c r="AV228" s="1491"/>
      <c r="AX228" s="141"/>
      <c r="AY228" s="141"/>
      <c r="AZ228" s="141"/>
      <c r="BA228" s="141"/>
      <c r="BB228" s="1358" t="s">
        <v>1118</v>
      </c>
      <c r="BC228" s="1512">
        <v>1</v>
      </c>
      <c r="BD228" s="141"/>
      <c r="BE228" s="1515">
        <f>(BC228/BC223)*BE224</f>
        <v>2</v>
      </c>
      <c r="BF228" s="1516" t="s">
        <v>1246</v>
      </c>
      <c r="BG228" s="988"/>
      <c r="BH228" s="1326" t="s">
        <v>1247</v>
      </c>
      <c r="BN228" s="1"/>
      <c r="BO228" s="343"/>
      <c r="BT228" s="141"/>
      <c r="BU228" s="409"/>
      <c r="BW228" s="5">
        <v>1</v>
      </c>
    </row>
    <row r="229" spans="14:75" ht="15.75" customHeight="1">
      <c r="N229" s="141"/>
      <c r="O229" s="141"/>
      <c r="P229" s="141"/>
      <c r="Q229" s="141"/>
      <c r="R229" s="1554" t="s">
        <v>198</v>
      </c>
      <c r="S229" s="7070" t="s">
        <v>196</v>
      </c>
      <c r="T229" s="7651" t="s">
        <v>929</v>
      </c>
      <c r="U229" s="7073" t="s">
        <v>195</v>
      </c>
      <c r="V229" s="7653" t="s">
        <v>183</v>
      </c>
      <c r="W229" s="7077" t="s">
        <v>1282</v>
      </c>
      <c r="X229" s="7393" t="s">
        <v>185</v>
      </c>
      <c r="Z229" s="331"/>
      <c r="AA229" s="331"/>
      <c r="AB229" s="331"/>
      <c r="AC229" s="331"/>
      <c r="AD229" s="1555">
        <f>IF(MOD(AJ227*1000/AD228,1)=0,AJ227*1000/AD228,IF(MOD(AJ227*1000/AD228,1)&lt;0.5,INT(AJ227*1000/AD228),INT(AJ227*1000/AD228)+1))</f>
        <v>10</v>
      </c>
      <c r="AE229" s="1556">
        <f>IF(MOD(AJ227*1000/AE228,1)=0,AJ227*1000/AE228,IF(MOD(AJ227*1000/AE228,1)&lt;0.5,INT(AJ227*1000/AE228),INT(AJ227*1000/AE228)+1))</f>
        <v>8</v>
      </c>
      <c r="AF229" s="1557"/>
      <c r="AG229" s="1556">
        <f>IF(MOD(AJ227*1000/AG228,1)=0,AJ227*1000/AG228,IF(MOD(AJ227*1000/AG228,1)&lt;0.5,INT(AJ227*1000/AG228),INT(AJ227*1000/AG228)+1))</f>
        <v>6</v>
      </c>
      <c r="AH229" s="1556">
        <f>IF(MOD(AJ227*1000/AH228,1)=0,AJ227*1000/AH228,IF(MOD(AJ227*1000/AH228,1)&lt;0.5,INT(AJ227*1000/AH228),INT(AJ227*1000/AH228)+1))</f>
        <v>6</v>
      </c>
      <c r="AI229" s="1556">
        <f>IF(MOD(AJ227*1000/AI228,1)=0,AJ227*1000/AI228,IF(MOD(AJ227*1000/AI228,1)&lt;0.5,INT(AJ227*1000/AI228),INT(AJ227*1000/AI228)+1))</f>
        <v>5</v>
      </c>
      <c r="AJ229" s="1558" t="s">
        <v>1283</v>
      </c>
      <c r="AL229" s="331"/>
      <c r="AM229" s="331"/>
      <c r="AN229" s="331"/>
      <c r="AO229" s="331"/>
      <c r="AP229" s="1411" t="s">
        <v>1175</v>
      </c>
      <c r="AQ229" s="1487">
        <v>7.2916666666666671E-2</v>
      </c>
      <c r="AR229" s="1488"/>
      <c r="AS229" s="1539" t="s">
        <v>1268</v>
      </c>
      <c r="AT229" s="1148" t="s">
        <v>1269</v>
      </c>
      <c r="AU229" s="1120"/>
      <c r="AV229" s="1491"/>
      <c r="AX229" s="141"/>
      <c r="AY229" s="141"/>
      <c r="AZ229" s="141"/>
      <c r="BA229" s="141"/>
      <c r="BB229" s="1358" t="s">
        <v>1118</v>
      </c>
      <c r="BC229" s="1512">
        <v>1</v>
      </c>
      <c r="BD229" s="141"/>
      <c r="BE229" s="1515">
        <f>(BC229/BC223)*BE224</f>
        <v>2</v>
      </c>
      <c r="BF229" s="1516" t="s">
        <v>1248</v>
      </c>
      <c r="BG229" s="988"/>
      <c r="BH229" s="1326" t="s">
        <v>1249</v>
      </c>
      <c r="BN229" s="1"/>
      <c r="BO229" s="1279" t="s">
        <v>1076</v>
      </c>
      <c r="BP229" s="1280" t="s">
        <v>1077</v>
      </c>
      <c r="BQ229" s="97"/>
      <c r="BR229" s="141"/>
      <c r="BS229" s="141"/>
      <c r="BT229" s="141"/>
      <c r="BU229" s="409"/>
      <c r="BW229" s="5">
        <v>1</v>
      </c>
    </row>
    <row r="230" spans="14:75" ht="22.5" customHeight="1">
      <c r="N230" s="141"/>
      <c r="O230" s="141"/>
      <c r="P230" s="141"/>
      <c r="Q230" s="141"/>
      <c r="R230" s="287" t="s">
        <v>191</v>
      </c>
      <c r="S230" s="6905"/>
      <c r="T230" s="7668"/>
      <c r="U230" s="7074"/>
      <c r="V230" s="7669"/>
      <c r="W230" s="7670"/>
      <c r="X230" s="7656"/>
      <c r="Z230" s="331"/>
      <c r="AA230" s="331"/>
      <c r="AB230" s="331"/>
      <c r="AC230" s="331"/>
      <c r="AD230" s="1546" t="str">
        <f>"cellule "&amp;ADDRESS(ROW(AJ230),COLUMN(AJ230),4)&amp;"  vous pouvez saisir un autre poids"</f>
        <v>cellule AJ230  vous pouvez saisir un autre poids</v>
      </c>
      <c r="AE230" s="1552"/>
      <c r="AF230" s="1559"/>
      <c r="AG230" s="141"/>
      <c r="AH230" s="1552"/>
      <c r="AJ230" s="1560">
        <v>1</v>
      </c>
      <c r="AL230" s="331"/>
      <c r="AM230" s="331"/>
      <c r="AN230" s="331"/>
      <c r="AO230" s="331"/>
      <c r="AP230" s="1411" t="s">
        <v>1175</v>
      </c>
      <c r="AQ230" s="1487">
        <v>3.4722222222222224E-2</v>
      </c>
      <c r="AR230" s="1488"/>
      <c r="AS230" s="1488"/>
      <c r="AT230" s="1148" t="s">
        <v>1270</v>
      </c>
      <c r="AU230" s="1120"/>
      <c r="AV230" s="1491"/>
      <c r="AX230" s="141"/>
      <c r="AY230" s="141"/>
      <c r="AZ230" s="141"/>
      <c r="BA230" s="141"/>
      <c r="BB230" s="1358" t="s">
        <v>1118</v>
      </c>
      <c r="BC230" s="1512">
        <v>1</v>
      </c>
      <c r="BD230" s="141"/>
      <c r="BE230" s="1515">
        <f>(BC230/BC223)*BE224</f>
        <v>2</v>
      </c>
      <c r="BF230" s="1516" t="s">
        <v>1250</v>
      </c>
      <c r="BG230" s="988"/>
      <c r="BH230" s="1326" t="s">
        <v>1251</v>
      </c>
      <c r="BJ230"/>
      <c r="BK230"/>
      <c r="BL230"/>
      <c r="BM230"/>
      <c r="BN230"/>
      <c r="BO230" s="1281" t="s">
        <v>269</v>
      </c>
      <c r="BP230" s="516" t="s">
        <v>1078</v>
      </c>
      <c r="BQ230" s="1282"/>
      <c r="BR230" s="141"/>
      <c r="BS230" s="141"/>
      <c r="BT230" s="141"/>
      <c r="BU230" s="409"/>
      <c r="BW230" s="5">
        <v>1</v>
      </c>
    </row>
    <row r="231" spans="14:75" ht="15.75">
      <c r="N231" s="141"/>
      <c r="O231" s="141"/>
      <c r="P231" s="141"/>
      <c r="Q231" s="141"/>
      <c r="R231" s="1561"/>
      <c r="S231" s="210">
        <v>350</v>
      </c>
      <c r="T231" s="5493">
        <f>IFERROR(INDEX(R237:X237,MATCH(U231,R236:X236,0)) * S231 * IF(ISBLANK(R231), 1, R231), 0)</f>
        <v>0.35000000000000003</v>
      </c>
      <c r="U231" s="251" t="s">
        <v>130</v>
      </c>
      <c r="V231" s="1562">
        <v>16</v>
      </c>
      <c r="W231" s="1563">
        <f>((T231-(T231*V231%)))</f>
        <v>0.29400000000000004</v>
      </c>
      <c r="X231" s="1564" t="s">
        <v>177</v>
      </c>
      <c r="Z231" s="331"/>
      <c r="AA231" s="331"/>
      <c r="AB231" s="331"/>
      <c r="AC231" s="331"/>
      <c r="AD231" s="1565">
        <v>10</v>
      </c>
      <c r="AE231" s="1512">
        <v>8</v>
      </c>
      <c r="AF231" s="1566"/>
      <c r="AG231" s="1512">
        <v>5</v>
      </c>
      <c r="AH231" s="1512">
        <v>6</v>
      </c>
      <c r="AI231" s="1512">
        <v>10</v>
      </c>
      <c r="AJ231" s="1567" t="s">
        <v>1284</v>
      </c>
      <c r="AL231" s="331"/>
      <c r="AM231" s="331"/>
      <c r="AN231" s="331"/>
      <c r="AO231" s="331"/>
      <c r="AP231" s="1411" t="s">
        <v>1175</v>
      </c>
      <c r="AQ231" s="1487"/>
      <c r="AR231" s="5424" t="s">
        <v>1271</v>
      </c>
      <c r="AS231" s="1389">
        <v>65</v>
      </c>
      <c r="AT231" s="1493" t="s">
        <v>1272</v>
      </c>
      <c r="AU231" s="1120"/>
      <c r="AV231" s="1491"/>
      <c r="AX231" s="141"/>
      <c r="AY231" s="141"/>
      <c r="AZ231" s="141"/>
      <c r="BA231" s="141"/>
      <c r="BB231" s="1518" t="s">
        <v>1252</v>
      </c>
      <c r="BC231" s="1512">
        <v>1</v>
      </c>
      <c r="BD231" s="141"/>
      <c r="BE231" s="1515">
        <f>(BC231/BC223)*BE224</f>
        <v>2</v>
      </c>
      <c r="BF231" s="988"/>
      <c r="BG231" s="988"/>
      <c r="BH231" s="1326" t="s">
        <v>1253</v>
      </c>
      <c r="BO231" s="1160" t="s">
        <v>1079</v>
      </c>
      <c r="BP231" s="141"/>
      <c r="BQ231" s="141"/>
      <c r="BR231" s="141"/>
      <c r="BS231" s="141"/>
      <c r="BT231" s="141"/>
      <c r="BU231" s="409"/>
      <c r="BW231" s="5">
        <v>1</v>
      </c>
    </row>
    <row r="232" spans="14:75" ht="16.5" customHeight="1">
      <c r="N232" s="141"/>
      <c r="O232" s="141"/>
      <c r="P232" s="141"/>
      <c r="Q232" s="141"/>
      <c r="R232" s="1568"/>
      <c r="S232" s="1569">
        <v>1.2</v>
      </c>
      <c r="T232" s="5493">
        <f>IFERROR(INDEX(R237:X237,MATCH(U232,R236:X236,0)) * S232 * IF(ISBLANK(R232), 1, R232), 0)</f>
        <v>1.2</v>
      </c>
      <c r="U232" s="314" t="s">
        <v>219</v>
      </c>
      <c r="V232" s="1570">
        <v>22</v>
      </c>
      <c r="W232" s="1563">
        <f>((T232-(T232*V232%)))</f>
        <v>0.93599999999999994</v>
      </c>
      <c r="X232" s="1571" t="s">
        <v>174</v>
      </c>
      <c r="Z232" s="331"/>
      <c r="AA232" s="331"/>
      <c r="AB232" s="331"/>
      <c r="AC232" s="331"/>
      <c r="AD232" s="1572">
        <f>AJ230/AD231*1000</f>
        <v>100</v>
      </c>
      <c r="AE232" s="1573">
        <f>AJ230/AE231*1000</f>
        <v>125</v>
      </c>
      <c r="AF232" s="1574"/>
      <c r="AG232" s="1573">
        <f>AJ230/AG231*1000</f>
        <v>200</v>
      </c>
      <c r="AH232" s="1573">
        <f>AJ230/AH231*1000</f>
        <v>166.66666666666666</v>
      </c>
      <c r="AI232" s="1573">
        <f>AJ230/AI231*1000</f>
        <v>100</v>
      </c>
      <c r="AJ232" s="1558" t="s">
        <v>1285</v>
      </c>
      <c r="AL232" s="331"/>
      <c r="AM232" s="331"/>
      <c r="AN232" s="331"/>
      <c r="AO232" s="331"/>
      <c r="AP232" s="1411" t="s">
        <v>1175</v>
      </c>
      <c r="AQ232" s="1487"/>
      <c r="AR232" s="1497" t="s">
        <v>1271</v>
      </c>
      <c r="AS232" s="1386">
        <v>3</v>
      </c>
      <c r="AT232" s="1498" t="s">
        <v>1273</v>
      </c>
      <c r="AU232" s="1120"/>
      <c r="AV232" s="1491"/>
      <c r="AX232" s="141"/>
      <c r="AY232" s="141"/>
      <c r="AZ232" s="141"/>
      <c r="BA232" s="141"/>
      <c r="BB232" s="1518" t="s">
        <v>1252</v>
      </c>
      <c r="BC232" s="1512">
        <v>1</v>
      </c>
      <c r="BD232" s="141"/>
      <c r="BE232" s="1515">
        <f>(BC232/BC223)*BE224</f>
        <v>2</v>
      </c>
      <c r="BF232" s="988"/>
      <c r="BG232" s="988"/>
      <c r="BH232" s="1326"/>
      <c r="BO232" s="99" t="s">
        <v>1080</v>
      </c>
      <c r="BP232" s="141"/>
      <c r="BQ232" s="141"/>
      <c r="BR232" s="141"/>
      <c r="BS232" s="141"/>
      <c r="BT232" s="141"/>
      <c r="BU232" s="409"/>
      <c r="BW232" s="5">
        <v>1</v>
      </c>
    </row>
    <row r="233" spans="14:75" ht="15.75">
      <c r="N233" s="141"/>
      <c r="O233" s="141"/>
      <c r="P233" s="141"/>
      <c r="Q233" s="141"/>
      <c r="R233" s="1568">
        <v>2</v>
      </c>
      <c r="S233" s="210">
        <v>50</v>
      </c>
      <c r="T233" s="5493">
        <f>IFERROR(INDEX(R237:X237,MATCH(U233,R236:X236,0)) * S233 * IF(ISBLANK(R233), 1, R233), 0)</f>
        <v>0.1</v>
      </c>
      <c r="U233" s="251" t="s">
        <v>130</v>
      </c>
      <c r="V233" s="1570"/>
      <c r="W233" s="1563">
        <f>((T233-(T233*V233%)))</f>
        <v>0.1</v>
      </c>
      <c r="X233" s="1575" t="s">
        <v>1286</v>
      </c>
      <c r="Z233" s="331"/>
      <c r="AA233" s="331"/>
      <c r="AB233" s="331"/>
      <c r="AC233" s="331"/>
      <c r="AD233" s="1576" t="s">
        <v>1279</v>
      </c>
      <c r="AE233" s="1577"/>
      <c r="AF233" s="1578" t="s">
        <v>1287</v>
      </c>
      <c r="AG233" s="1577"/>
      <c r="AH233" s="1577"/>
      <c r="AI233" s="1578" t="s">
        <v>1288</v>
      </c>
      <c r="AJ233" s="1325"/>
      <c r="AL233" s="331"/>
      <c r="AM233" s="331"/>
      <c r="AN233" s="331"/>
      <c r="AO233" s="331"/>
      <c r="AP233" s="1540" t="s">
        <v>37</v>
      </c>
      <c r="AQ233" s="1442">
        <f>SUM(AQ219:AQ232)</f>
        <v>0.41319444444444448</v>
      </c>
      <c r="AU233" s="1120"/>
      <c r="AV233" s="1491"/>
      <c r="AX233" s="141"/>
      <c r="AY233" s="141"/>
      <c r="AZ233" s="141"/>
      <c r="BA233" s="141"/>
      <c r="BB233" s="1518" t="s">
        <v>1252</v>
      </c>
      <c r="BC233" s="1512">
        <v>1</v>
      </c>
      <c r="BD233" s="141"/>
      <c r="BE233" s="1515">
        <f>(BC233/BC223)*BE224</f>
        <v>2</v>
      </c>
      <c r="BF233" s="988"/>
      <c r="BG233" s="988"/>
      <c r="BH233" s="1326"/>
      <c r="BO233" s="1079"/>
      <c r="BP233" s="1080"/>
      <c r="BQ233" s="1081"/>
      <c r="BR233" s="1080"/>
      <c r="BS233" s="1080"/>
      <c r="BT233" s="1080"/>
      <c r="BU233" s="1082"/>
      <c r="BW233" s="5">
        <v>1</v>
      </c>
    </row>
    <row r="234" spans="14:75" ht="15.75" customHeight="1">
      <c r="N234" s="141"/>
      <c r="O234" s="141"/>
      <c r="P234" s="141"/>
      <c r="Q234" s="141"/>
      <c r="R234" s="1568"/>
      <c r="S234" s="210">
        <v>1</v>
      </c>
      <c r="T234" s="5493">
        <f>IFERROR(INDEX(R237:X237,MATCH(U234,R236:X236,0)) * S234 * IF(ISBLANK(R234), 1, R234), 0)</f>
        <v>0.5</v>
      </c>
      <c r="U234" s="265" t="s">
        <v>159</v>
      </c>
      <c r="V234" s="1570"/>
      <c r="W234" s="1563">
        <f>((T234-(T234*V234%)))</f>
        <v>0.5</v>
      </c>
      <c r="X234" s="1571" t="s">
        <v>1289</v>
      </c>
      <c r="Z234" s="331"/>
      <c r="AA234" s="331"/>
      <c r="AB234" s="331"/>
      <c r="AC234" s="331"/>
      <c r="AD234" s="1576" t="s">
        <v>1290</v>
      </c>
      <c r="AE234" s="1577"/>
      <c r="AF234" s="1579" t="s">
        <v>1291</v>
      </c>
      <c r="AG234" s="1577"/>
      <c r="AH234" s="1577"/>
      <c r="AI234" s="1578" t="s">
        <v>1292</v>
      </c>
      <c r="AJ234" s="1580" t="s">
        <v>1293</v>
      </c>
      <c r="AL234" s="331"/>
      <c r="AM234" s="331"/>
      <c r="AN234" s="331"/>
      <c r="AO234" s="331"/>
      <c r="AP234" s="1369" t="s">
        <v>864</v>
      </c>
      <c r="AQ234" s="1321"/>
      <c r="AR234" s="1321"/>
      <c r="AS234" s="1321"/>
      <c r="AT234" s="1321"/>
      <c r="AU234" s="1321"/>
      <c r="AV234" s="1370" t="s">
        <v>1141</v>
      </c>
      <c r="AX234" s="141"/>
      <c r="AY234" s="141"/>
      <c r="AZ234" s="141"/>
      <c r="BA234" s="141"/>
      <c r="BB234" s="1519"/>
      <c r="BC234" s="988"/>
      <c r="BD234" s="988"/>
      <c r="BE234" s="988"/>
      <c r="BF234" s="988"/>
      <c r="BG234" s="988"/>
      <c r="BH234" s="1325"/>
      <c r="BO234" s="1283">
        <v>19</v>
      </c>
      <c r="BP234" s="1284">
        <v>18</v>
      </c>
      <c r="BQ234" s="1284">
        <v>25</v>
      </c>
      <c r="BR234" s="1284">
        <v>16</v>
      </c>
      <c r="BS234" s="1284">
        <v>6</v>
      </c>
      <c r="BT234" s="1284">
        <v>11</v>
      </c>
      <c r="BU234" s="1285">
        <v>11</v>
      </c>
      <c r="BW234" s="5">
        <v>1</v>
      </c>
    </row>
    <row r="235" spans="14:75" ht="16.5" thickBot="1">
      <c r="N235" s="141"/>
      <c r="O235" s="141"/>
      <c r="P235" s="141"/>
      <c r="Q235" s="141"/>
      <c r="R235" s="1581" t="s">
        <v>1294</v>
      </c>
      <c r="S235" s="988"/>
      <c r="T235" s="988"/>
      <c r="U235" s="988"/>
      <c r="V235" s="988"/>
      <c r="W235" s="988"/>
      <c r="X235" s="1582" t="s">
        <v>1295</v>
      </c>
      <c r="Z235" s="331"/>
      <c r="AA235" s="331"/>
      <c r="AB235" s="331"/>
      <c r="AC235" s="331"/>
      <c r="AD235" s="1369" t="s">
        <v>864</v>
      </c>
      <c r="AE235" s="1321"/>
      <c r="AF235" s="1321"/>
      <c r="AG235" s="1321"/>
      <c r="AH235" s="1321"/>
      <c r="AI235" s="1321"/>
      <c r="AJ235" s="1370" t="s">
        <v>1141</v>
      </c>
      <c r="AL235" s="331"/>
      <c r="AM235" s="331"/>
      <c r="AN235" s="331"/>
      <c r="AO235" s="331"/>
      <c r="AP235" s="141"/>
      <c r="AQ235" s="141"/>
      <c r="AR235" s="141"/>
      <c r="AS235" s="141"/>
      <c r="AT235" s="141"/>
      <c r="AU235" s="141"/>
      <c r="AV235" s="141"/>
      <c r="AX235" s="141"/>
      <c r="AY235" s="141"/>
      <c r="AZ235" s="141"/>
      <c r="BA235" s="141"/>
      <c r="BB235" s="1369" t="s">
        <v>864</v>
      </c>
      <c r="BC235" s="1321"/>
      <c r="BD235" s="1321"/>
      <c r="BE235" s="1321"/>
      <c r="BF235" s="1321"/>
      <c r="BG235" s="1321"/>
      <c r="BH235" s="1370" t="s">
        <v>1141</v>
      </c>
      <c r="BO235" s="1286">
        <f t="shared" ref="BO235:BU235" ca="1" si="41">CELL("largeur",BO235)</f>
        <v>19</v>
      </c>
      <c r="BP235" s="441">
        <f t="shared" ca="1" si="41"/>
        <v>18</v>
      </c>
      <c r="BQ235" s="441">
        <f t="shared" ca="1" si="41"/>
        <v>25</v>
      </c>
      <c r="BR235" s="441">
        <f t="shared" ca="1" si="41"/>
        <v>16</v>
      </c>
      <c r="BS235" s="441">
        <f t="shared" ca="1" si="41"/>
        <v>16</v>
      </c>
      <c r="BT235" s="441">
        <f t="shared" ca="1" si="41"/>
        <v>11</v>
      </c>
      <c r="BU235" s="1287">
        <f t="shared" ca="1" si="41"/>
        <v>27</v>
      </c>
      <c r="BW235" s="5">
        <v>1</v>
      </c>
    </row>
    <row r="236" spans="14:75" ht="15" customHeight="1">
      <c r="N236" s="141"/>
      <c r="O236" s="141"/>
      <c r="P236" s="141"/>
      <c r="Q236" s="141"/>
      <c r="R236" s="314" t="s">
        <v>219</v>
      </c>
      <c r="S236" s="251" t="s">
        <v>130</v>
      </c>
      <c r="T236" s="1583"/>
      <c r="U236" s="265" t="s">
        <v>159</v>
      </c>
      <c r="V236" s="265" t="s">
        <v>164</v>
      </c>
      <c r="W236" s="251" t="s">
        <v>88</v>
      </c>
      <c r="X236" s="1584" t="s">
        <v>170</v>
      </c>
      <c r="Z236" s="331"/>
      <c r="AA236" s="331"/>
      <c r="AB236" s="331"/>
      <c r="AC236" s="331"/>
      <c r="AD236" s="141"/>
      <c r="AE236" s="141"/>
      <c r="AF236" s="141"/>
      <c r="AG236" s="141"/>
      <c r="AH236" s="141"/>
      <c r="AI236" s="141"/>
      <c r="AJ236" s="141"/>
      <c r="AL236" s="331"/>
      <c r="AM236" s="331"/>
      <c r="AN236" s="331"/>
      <c r="AO236" s="331"/>
      <c r="AP236" s="141"/>
      <c r="AQ236" s="141"/>
      <c r="AR236" s="141"/>
      <c r="AS236" s="141"/>
      <c r="AT236" s="141"/>
      <c r="AU236" s="141"/>
      <c r="AV236" s="141"/>
      <c r="AX236" s="141"/>
      <c r="AY236" s="141"/>
      <c r="AZ236" s="141"/>
      <c r="BA236" s="141"/>
      <c r="BB236" s="141"/>
      <c r="BC236" s="141"/>
      <c r="BD236" s="141"/>
      <c r="BE236" s="141"/>
      <c r="BF236" s="141"/>
      <c r="BG236" s="141"/>
      <c r="BH236" s="141"/>
      <c r="BW236" s="5">
        <v>1</v>
      </c>
    </row>
    <row r="237" spans="14:75" ht="15.75" customHeight="1">
      <c r="N237" s="141"/>
      <c r="O237" s="141"/>
      <c r="P237" s="141"/>
      <c r="Q237" s="141"/>
      <c r="R237" s="1585">
        <v>1</v>
      </c>
      <c r="S237" s="1585">
        <v>1E-3</v>
      </c>
      <c r="T237" s="1583"/>
      <c r="U237" s="1586">
        <v>0.5</v>
      </c>
      <c r="V237" s="1585">
        <v>0.25</v>
      </c>
      <c r="W237" s="1587">
        <v>1</v>
      </c>
      <c r="X237" s="1588">
        <v>0.01</v>
      </c>
      <c r="Z237" s="331"/>
      <c r="AA237" s="331"/>
      <c r="AB237" s="331"/>
      <c r="AC237" s="331"/>
      <c r="AD237" s="141"/>
      <c r="AE237" s="141"/>
      <c r="AF237" s="141"/>
      <c r="AG237" s="141"/>
      <c r="AH237" s="141"/>
      <c r="AI237" s="141"/>
      <c r="AJ237" s="141"/>
      <c r="AL237" s="331"/>
      <c r="AM237" s="331"/>
      <c r="AN237" s="331"/>
      <c r="AO237" s="331"/>
      <c r="AP237" s="1354" t="s">
        <v>252</v>
      </c>
      <c r="AQ237" s="1355"/>
      <c r="AR237" s="1355"/>
      <c r="AS237" s="1355"/>
      <c r="AT237" s="1355"/>
      <c r="AU237" s="1356"/>
      <c r="AV237" s="1357" t="s">
        <v>1117</v>
      </c>
      <c r="AX237" s="141"/>
      <c r="AY237" s="141"/>
      <c r="AZ237" s="141"/>
      <c r="BA237" s="141"/>
      <c r="BB237" s="141"/>
      <c r="BC237" s="141"/>
      <c r="BD237" s="141"/>
      <c r="BE237" s="141"/>
      <c r="BF237" s="141"/>
      <c r="BG237" s="141"/>
      <c r="BH237" s="141"/>
      <c r="BW237" s="5">
        <v>1</v>
      </c>
    </row>
    <row r="238" spans="14:75" ht="15.75">
      <c r="N238" s="141"/>
      <c r="O238" s="141"/>
      <c r="P238" s="141"/>
      <c r="Q238" s="141"/>
      <c r="R238" s="1323"/>
      <c r="S238" s="988"/>
      <c r="T238" s="988"/>
      <c r="U238" s="988"/>
      <c r="V238" s="988"/>
      <c r="W238" s="988"/>
      <c r="X238" s="1325"/>
      <c r="Z238" s="331"/>
      <c r="AA238" s="331"/>
      <c r="AB238" s="331"/>
      <c r="AC238" s="331"/>
      <c r="AD238" s="1354" t="s">
        <v>252</v>
      </c>
      <c r="AE238" s="1550"/>
      <c r="AF238" s="1550"/>
      <c r="AG238" s="1550"/>
      <c r="AH238" s="1550"/>
      <c r="AI238" s="1551"/>
      <c r="AJ238" s="1434" t="s">
        <v>1256</v>
      </c>
      <c r="AL238" s="331"/>
      <c r="AM238" s="331"/>
      <c r="AN238" s="331"/>
      <c r="AO238" s="331"/>
      <c r="AP238" s="1384">
        <v>3.472222222222222E-3</v>
      </c>
      <c r="AQ238" s="1385" t="s">
        <v>1150</v>
      </c>
      <c r="AR238" s="77"/>
      <c r="AS238" s="77"/>
      <c r="AT238" s="77"/>
      <c r="AU238" s="1386">
        <v>100</v>
      </c>
      <c r="AV238" s="1387" t="s">
        <v>1151</v>
      </c>
      <c r="AX238" s="141"/>
      <c r="AY238" s="141"/>
      <c r="AZ238" s="141"/>
      <c r="BA238" s="141"/>
      <c r="BB238" s="1354" t="s">
        <v>252</v>
      </c>
      <c r="BC238" s="1355"/>
      <c r="BD238" s="1355"/>
      <c r="BE238" s="1355"/>
      <c r="BF238" s="1355"/>
      <c r="BG238" s="1356"/>
      <c r="BH238" s="1357" t="s">
        <v>1117</v>
      </c>
      <c r="BO238" s="2"/>
      <c r="BP238" s="2"/>
      <c r="BQ238" s="2"/>
      <c r="BR238" s="2"/>
      <c r="BS238" s="2"/>
      <c r="BT238" s="2"/>
      <c r="BU238" s="2"/>
      <c r="BW238" s="5">
        <v>1</v>
      </c>
    </row>
    <row r="239" spans="14:75" ht="15.75" customHeight="1">
      <c r="N239" s="141"/>
      <c r="O239" s="141"/>
      <c r="P239" s="141"/>
      <c r="Q239" s="141"/>
      <c r="R239" s="1369" t="s">
        <v>864</v>
      </c>
      <c r="S239" s="1321"/>
      <c r="T239" s="1321"/>
      <c r="U239" s="1321"/>
      <c r="V239" s="1321"/>
      <c r="W239" s="1321"/>
      <c r="X239" s="1370"/>
      <c r="Z239" s="331"/>
      <c r="AA239" s="331"/>
      <c r="AB239" s="331"/>
      <c r="AC239" s="331"/>
      <c r="AD239" s="1589" t="s">
        <v>1296</v>
      </c>
      <c r="AE239" s="1590"/>
      <c r="AF239" s="1591"/>
      <c r="AG239" s="1592"/>
      <c r="AH239" s="1591"/>
      <c r="AI239" s="1591"/>
      <c r="AJ239" s="1593"/>
      <c r="AL239" s="331"/>
      <c r="AM239" s="331"/>
      <c r="AN239" s="331"/>
      <c r="AO239" s="331"/>
      <c r="AP239" s="1388">
        <v>1.0416666666666666E-2</v>
      </c>
      <c r="AQ239" s="1385" t="s">
        <v>1152</v>
      </c>
      <c r="AR239" s="77"/>
      <c r="AS239" s="77"/>
      <c r="AT239" s="77"/>
      <c r="AU239" s="1389">
        <v>90</v>
      </c>
      <c r="AV239" s="1390" t="s">
        <v>1153</v>
      </c>
      <c r="AX239" s="141"/>
      <c r="AY239" s="141"/>
      <c r="AZ239" s="141"/>
      <c r="BA239" s="141"/>
      <c r="BB239" s="1411" t="s">
        <v>1175</v>
      </c>
      <c r="BC239" s="1487">
        <v>1.7361111111111112E-2</v>
      </c>
      <c r="BD239" s="1488"/>
      <c r="BE239" s="1488">
        <v>3</v>
      </c>
      <c r="BF239" s="1489" t="s">
        <v>1223</v>
      </c>
      <c r="BG239" s="1534"/>
      <c r="BH239" s="1535"/>
      <c r="BO239" s="2"/>
      <c r="BP239" s="2"/>
      <c r="BQ239" s="2"/>
      <c r="BR239" s="2"/>
      <c r="BS239" s="2"/>
      <c r="BT239" s="2"/>
      <c r="BU239" s="2"/>
      <c r="BW239" s="5">
        <v>1</v>
      </c>
    </row>
    <row r="240" spans="14:75" ht="18.75" customHeight="1">
      <c r="N240" s="141"/>
      <c r="O240" s="141"/>
      <c r="P240" s="141"/>
      <c r="Q240" s="141"/>
      <c r="R240" s="1594"/>
      <c r="S240" s="1595"/>
      <c r="T240" s="1596"/>
      <c r="U240" s="1596"/>
      <c r="V240" s="1596"/>
      <c r="W240" s="1596"/>
      <c r="X240" s="1597"/>
      <c r="Z240" s="331"/>
      <c r="AA240" s="331"/>
      <c r="AB240" s="331"/>
      <c r="AC240" s="331"/>
      <c r="AD240" s="1319"/>
      <c r="AE240" s="102"/>
      <c r="AF240" s="102"/>
      <c r="AG240" s="102"/>
      <c r="AH240" s="1525" t="s">
        <v>1255</v>
      </c>
      <c r="AI240" s="102"/>
      <c r="AJ240" s="1598"/>
      <c r="AL240" s="331"/>
      <c r="AM240" s="331"/>
      <c r="AN240" s="331"/>
      <c r="AO240" s="331"/>
      <c r="AP240" s="1391">
        <v>2.0833333333333332E-2</v>
      </c>
      <c r="AQ240" s="1385" t="s">
        <v>1154</v>
      </c>
      <c r="AR240" s="988"/>
      <c r="AS240" s="988"/>
      <c r="AT240" s="988"/>
      <c r="AU240" s="1392" t="s">
        <v>1155</v>
      </c>
      <c r="AV240" s="1393" t="s">
        <v>1156</v>
      </c>
      <c r="AX240" s="141"/>
      <c r="AY240" s="141"/>
      <c r="AZ240" s="141"/>
      <c r="BA240" s="141"/>
      <c r="BB240" s="1411" t="s">
        <v>1175</v>
      </c>
      <c r="BC240" s="1487">
        <v>1.7361111111111112E-2</v>
      </c>
      <c r="BD240" s="1488"/>
      <c r="BE240" s="1488">
        <v>3</v>
      </c>
      <c r="BF240" s="1148" t="s">
        <v>1264</v>
      </c>
      <c r="BG240" s="1148"/>
      <c r="BH240" s="1490"/>
      <c r="BW240" s="5">
        <v>1</v>
      </c>
    </row>
    <row r="241" spans="14:75" ht="18.75">
      <c r="N241" s="141"/>
      <c r="O241" s="141"/>
      <c r="P241" s="141"/>
      <c r="Q241" s="141"/>
      <c r="R241" s="1323"/>
      <c r="S241" s="988"/>
      <c r="T241" s="988"/>
      <c r="U241" s="988"/>
      <c r="V241" s="988"/>
      <c r="W241" s="988"/>
      <c r="X241" s="1325"/>
      <c r="Z241" s="331"/>
      <c r="AA241" s="331"/>
      <c r="AB241" s="331"/>
      <c r="AC241" s="331"/>
      <c r="AD241" s="1527" t="s">
        <v>1257</v>
      </c>
      <c r="AE241" s="1528" t="s">
        <v>1258</v>
      </c>
      <c r="AF241" s="7082" t="s">
        <v>162</v>
      </c>
      <c r="AG241" s="7082"/>
      <c r="AH241" s="1529" t="s">
        <v>1259</v>
      </c>
      <c r="AJ241" s="1530" t="s">
        <v>1185</v>
      </c>
      <c r="AL241" s="331"/>
      <c r="AM241" s="331"/>
      <c r="AN241" s="331"/>
      <c r="AO241" s="331"/>
      <c r="AP241" s="1394">
        <f>AP238+AP239+AP240</f>
        <v>3.4722222222222224E-2</v>
      </c>
      <c r="AQ241" s="1395" t="s">
        <v>37</v>
      </c>
      <c r="AR241" s="988"/>
      <c r="AS241" s="988"/>
      <c r="AT241" s="988"/>
      <c r="AU241" s="1396" t="s">
        <v>1155</v>
      </c>
      <c r="AV241" s="1397" t="s">
        <v>1157</v>
      </c>
      <c r="AX241" s="141"/>
      <c r="AY241" s="141"/>
      <c r="AZ241" s="141"/>
      <c r="BA241" s="141"/>
      <c r="BB241" s="1411" t="s">
        <v>1175</v>
      </c>
      <c r="BC241" s="1487">
        <v>5.9027777777777797E-2</v>
      </c>
      <c r="BD241" s="1488"/>
      <c r="BE241" s="1488">
        <v>3</v>
      </c>
      <c r="BF241" s="1148" t="s">
        <v>1225</v>
      </c>
      <c r="BG241" s="1148"/>
      <c r="BH241" s="1490"/>
      <c r="BW241" s="5">
        <v>1</v>
      </c>
    </row>
    <row r="242" spans="14:75" ht="15.75">
      <c r="N242" s="141"/>
      <c r="O242" s="141"/>
      <c r="P242" s="141"/>
      <c r="Q242" s="141"/>
      <c r="R242" s="1599"/>
      <c r="S242" s="997"/>
      <c r="T242" s="997"/>
      <c r="U242" s="997"/>
      <c r="V242" s="997"/>
      <c r="W242" s="997"/>
      <c r="X242" s="1339" t="s">
        <v>1112</v>
      </c>
      <c r="Z242" s="331"/>
      <c r="AA242" s="331"/>
      <c r="AB242" s="331"/>
      <c r="AC242" s="331"/>
      <c r="AD242" s="7650">
        <v>750</v>
      </c>
      <c r="AE242" s="1531">
        <v>1</v>
      </c>
      <c r="AF242" s="7068" t="s">
        <v>1260</v>
      </c>
      <c r="AG242" s="7068"/>
      <c r="AH242" s="1532">
        <v>16</v>
      </c>
      <c r="AI242" s="1401">
        <f>AE242*AD242</f>
        <v>750</v>
      </c>
      <c r="AJ242" s="1533" t="s">
        <v>1261</v>
      </c>
      <c r="AL242" s="331"/>
      <c r="AM242" s="331"/>
      <c r="AN242" s="331"/>
      <c r="AO242" s="331"/>
      <c r="AP242" s="1369" t="s">
        <v>864</v>
      </c>
      <c r="AQ242" s="1321"/>
      <c r="AR242" s="1321"/>
      <c r="AS242" s="1321"/>
      <c r="AT242" s="1321"/>
      <c r="AU242" s="1321"/>
      <c r="AV242" s="1370" t="s">
        <v>1141</v>
      </c>
      <c r="AX242" s="141"/>
      <c r="AY242" s="141"/>
      <c r="AZ242" s="141"/>
      <c r="BA242" s="141"/>
      <c r="BB242" s="1411" t="s">
        <v>1175</v>
      </c>
      <c r="BC242" s="1487">
        <v>2.4305555555555556E-2</v>
      </c>
      <c r="BD242" s="1488"/>
      <c r="BE242" s="1488">
        <v>3</v>
      </c>
      <c r="BF242" s="1148" t="s">
        <v>1226</v>
      </c>
      <c r="BG242" s="1148"/>
      <c r="BH242" s="1490"/>
      <c r="BO242" s="2"/>
      <c r="BP242" s="2"/>
      <c r="BQ242" s="2"/>
      <c r="BR242" s="2"/>
      <c r="BS242" s="2"/>
      <c r="BT242" s="2"/>
      <c r="BU242" s="2"/>
      <c r="BW242" s="5">
        <v>1</v>
      </c>
    </row>
    <row r="243" spans="14:75" ht="16.5" customHeight="1">
      <c r="N243" s="141"/>
      <c r="O243" s="141"/>
      <c r="P243" s="141"/>
      <c r="Q243" s="141"/>
      <c r="R243" s="1454"/>
      <c r="S243" s="1002"/>
      <c r="T243" s="1002" t="s">
        <v>873</v>
      </c>
      <c r="U243" s="1003"/>
      <c r="V243" s="1329"/>
      <c r="W243" s="1329"/>
      <c r="X243" s="1330"/>
      <c r="Z243" s="331"/>
      <c r="AA243" s="331"/>
      <c r="AB243" s="331"/>
      <c r="AC243" s="331"/>
      <c r="AD243" s="7650"/>
      <c r="AE243" s="5458">
        <v>120</v>
      </c>
      <c r="AF243" s="260" t="s">
        <v>1262</v>
      </c>
      <c r="AG243" s="1174"/>
      <c r="AH243" s="5459">
        <v>1.2</v>
      </c>
      <c r="AI243" s="1536">
        <f>(AE243*AD242)/1000</f>
        <v>90</v>
      </c>
      <c r="AJ243" s="7392" t="s">
        <v>1263</v>
      </c>
      <c r="AL243" s="331"/>
      <c r="AM243" s="331"/>
      <c r="AN243" s="331"/>
      <c r="AO243" s="331"/>
      <c r="AP243" s="141"/>
      <c r="AQ243" s="141"/>
      <c r="AR243" s="141"/>
      <c r="AS243" s="141"/>
      <c r="AT243" s="141"/>
      <c r="AU243" s="141"/>
      <c r="AV243" s="141"/>
      <c r="AX243" s="141"/>
      <c r="AY243" s="141"/>
      <c r="AZ243" s="141"/>
      <c r="BA243" s="141"/>
      <c r="BB243" s="1411" t="s">
        <v>1175</v>
      </c>
      <c r="BC243" s="1487">
        <v>1.0416666666666666E-2</v>
      </c>
      <c r="BD243" s="1488"/>
      <c r="BE243" s="1488">
        <v>170</v>
      </c>
      <c r="BF243" s="1148" t="s">
        <v>1227</v>
      </c>
      <c r="BG243" s="1148"/>
      <c r="BH243" s="1490"/>
      <c r="BO243" s="2"/>
      <c r="BP243" s="2"/>
      <c r="BQ243" s="2"/>
      <c r="BR243" s="2"/>
      <c r="BS243" s="2"/>
      <c r="BT243" s="2"/>
      <c r="BU243" s="2"/>
      <c r="BW243" s="5">
        <v>1</v>
      </c>
    </row>
    <row r="244" spans="14:75" ht="19.5" customHeight="1" thickBot="1">
      <c r="N244" s="141"/>
      <c r="O244" s="141"/>
      <c r="P244" s="141"/>
      <c r="Q244" s="141"/>
      <c r="R244" s="1332" t="s">
        <v>86</v>
      </c>
      <c r="S244" s="1006"/>
      <c r="T244" s="1007"/>
      <c r="U244" s="1008"/>
      <c r="V244" s="1007"/>
      <c r="W244" s="1007"/>
      <c r="X244" s="1333"/>
      <c r="Z244" s="331"/>
      <c r="AA244" s="331"/>
      <c r="AB244" s="331"/>
      <c r="AC244" s="331"/>
      <c r="AD244" s="1537" t="str">
        <f>INT(AI242/AH242) &amp; " " &amp; AJ242 &amp; " de " &amp; AH242 &amp; " " &amp; AF242 &amp; IF(MOD(AI242,AH242)&gt;0, " + 1 "&amp;AJ242&amp;" de " &amp; TEXT(MOD(AI242,AH242), "0.00") &amp; " " &amp; AF242, "")</f>
        <v>46 Assiette(s) de 16 madeleine(s) + 1 Assiette(s) de 14.00 madeleine(s)</v>
      </c>
      <c r="AE244" s="141"/>
      <c r="AF244" s="141"/>
      <c r="AG244" s="141"/>
      <c r="AH244" s="141"/>
      <c r="AI244" s="988"/>
      <c r="AJ244" s="7392"/>
      <c r="AL244" s="331"/>
      <c r="AM244" s="331"/>
      <c r="AN244" s="331"/>
      <c r="AO244" s="331"/>
      <c r="AP244" s="141"/>
      <c r="AQ244" s="141"/>
      <c r="AR244" s="141"/>
      <c r="AS244" s="141"/>
      <c r="AT244" s="141"/>
      <c r="AU244" s="141"/>
      <c r="AV244" s="141"/>
      <c r="AX244" s="141"/>
      <c r="AY244" s="141"/>
      <c r="AZ244" s="141"/>
      <c r="BA244" s="141"/>
      <c r="BB244" s="1411" t="s">
        <v>1175</v>
      </c>
      <c r="BC244" s="1487">
        <v>6.9444444444444441E-3</v>
      </c>
      <c r="BD244" s="1488"/>
      <c r="BE244" s="1488">
        <v>150</v>
      </c>
      <c r="BF244" s="1148" t="s">
        <v>1217</v>
      </c>
      <c r="BG244" s="1148"/>
      <c r="BH244" s="1490"/>
      <c r="BO244" s="2"/>
      <c r="BP244" s="2"/>
      <c r="BQ244" s="2"/>
      <c r="BR244" s="2"/>
      <c r="BS244" s="2"/>
      <c r="BT244" s="2"/>
      <c r="BU244" s="2"/>
      <c r="BW244" s="5">
        <v>1</v>
      </c>
    </row>
    <row r="245" spans="14:75" ht="15.75">
      <c r="N245" s="141"/>
      <c r="O245" s="141"/>
      <c r="P245" s="141"/>
      <c r="Q245" s="141"/>
      <c r="Z245" s="331"/>
      <c r="AA245" s="331"/>
      <c r="AB245" s="331"/>
      <c r="AC245" s="331"/>
      <c r="AD245" s="1182" t="str">
        <f>IF(MOD(AI243, AH243) = 0, INT(AI243/AH243) &amp; " " &amp; AJ242 &amp; " de " &amp; AH243 &amp; " kg", INT(AI243/AH243) &amp; " " &amp; AJ242 &amp; " de " &amp; AH243 &amp; " kg" &amp; " + 1 "&amp;AJ242&amp;" de " &amp; TEXT(MOD(AI243, AH243), "0.00") &amp; " kg")</f>
        <v>75 Assiette(s) de 1.2 kg + 1 Assiette(s) de 0.00 kg</v>
      </c>
      <c r="AE245" s="141"/>
      <c r="AF245" s="141"/>
      <c r="AG245" s="141"/>
      <c r="AH245" s="141"/>
      <c r="AI245" s="988"/>
      <c r="AJ245" s="7392"/>
      <c r="AL245" s="331"/>
      <c r="AM245" s="331"/>
      <c r="AN245" s="331"/>
      <c r="AO245" s="331"/>
      <c r="AP245" s="1354" t="s">
        <v>252</v>
      </c>
      <c r="AQ245" s="1355"/>
      <c r="AR245" s="1355"/>
      <c r="AS245" s="1355"/>
      <c r="AT245" s="1355"/>
      <c r="AU245" s="1356"/>
      <c r="AV245" s="1357" t="s">
        <v>1274</v>
      </c>
      <c r="AX245" s="141"/>
      <c r="AY245" s="141"/>
      <c r="AZ245" s="141"/>
      <c r="BA245" s="141"/>
      <c r="BB245" s="1411" t="s">
        <v>1175</v>
      </c>
      <c r="BC245" s="1487">
        <v>0.10069444444444445</v>
      </c>
      <c r="BD245" s="1488"/>
      <c r="BE245" s="1488">
        <v>120</v>
      </c>
      <c r="BF245" s="1148" t="s">
        <v>1228</v>
      </c>
      <c r="BG245" s="1120"/>
      <c r="BH245" s="1491"/>
      <c r="BO245" s="2"/>
      <c r="BP245" s="2"/>
      <c r="BQ245" s="2"/>
      <c r="BR245" s="2"/>
      <c r="BS245" s="2"/>
      <c r="BT245" s="2"/>
      <c r="BU245" s="2"/>
      <c r="BW245" s="5">
        <v>1</v>
      </c>
    </row>
    <row r="246" spans="14:75" ht="15.75">
      <c r="N246" s="141"/>
      <c r="O246" s="141"/>
      <c r="P246" s="141"/>
      <c r="Q246" s="141"/>
      <c r="R246" s="141"/>
      <c r="S246" s="141"/>
      <c r="T246" s="141"/>
      <c r="U246" s="141"/>
      <c r="V246" s="141"/>
      <c r="W246" s="141"/>
      <c r="X246" s="141"/>
      <c r="Z246" s="331"/>
      <c r="AA246" s="331"/>
      <c r="AB246" s="331"/>
      <c r="AC246" s="331"/>
      <c r="AD246" s="1323"/>
      <c r="AE246" s="988"/>
      <c r="AF246" s="988"/>
      <c r="AG246" s="988"/>
      <c r="AH246" s="988"/>
      <c r="AI246" s="988"/>
      <c r="AJ246" s="1325"/>
      <c r="AL246" s="331"/>
      <c r="AM246" s="331"/>
      <c r="AN246" s="331"/>
      <c r="AO246" s="331"/>
      <c r="AP246" s="1541" t="s">
        <v>1275</v>
      </c>
      <c r="AQ246" s="1542" t="s">
        <v>1276</v>
      </c>
      <c r="AR246" s="1543"/>
      <c r="AS246" s="1544" t="s">
        <v>1277</v>
      </c>
      <c r="AT246" s="1542" t="s">
        <v>21</v>
      </c>
      <c r="AU246" s="1542" t="s">
        <v>1278</v>
      </c>
      <c r="AV246" s="1545" t="s">
        <v>1279</v>
      </c>
      <c r="AX246" s="141"/>
      <c r="AY246" s="141"/>
      <c r="AZ246" s="141"/>
      <c r="BA246" s="141"/>
      <c r="BB246" s="1411" t="s">
        <v>1175</v>
      </c>
      <c r="BC246" s="1487">
        <v>1.3888888888888888E-2</v>
      </c>
      <c r="BD246" s="1488"/>
      <c r="BE246" s="1488">
        <v>120</v>
      </c>
      <c r="BF246" s="1148" t="s">
        <v>1265</v>
      </c>
      <c r="BG246" s="1120"/>
      <c r="BH246" s="1491"/>
      <c r="BO246" s="2"/>
      <c r="BP246" s="2"/>
      <c r="BQ246" s="2"/>
      <c r="BR246" s="2"/>
      <c r="BS246" s="2"/>
      <c r="BT246" s="2"/>
      <c r="BU246" s="2"/>
      <c r="BW246" s="5">
        <v>1</v>
      </c>
    </row>
    <row r="247" spans="14:75" ht="19.5" customHeight="1">
      <c r="N247" s="141"/>
      <c r="O247" s="141"/>
      <c r="P247" s="141"/>
      <c r="Q247" s="141"/>
      <c r="R247" s="1354" t="s">
        <v>252</v>
      </c>
      <c r="S247" s="1355"/>
      <c r="T247" s="1355"/>
      <c r="U247" s="1355"/>
      <c r="V247" s="1355"/>
      <c r="W247" s="1356"/>
      <c r="X247" s="1357" t="s">
        <v>1117</v>
      </c>
      <c r="Z247" s="331"/>
      <c r="AA247" s="331"/>
      <c r="AB247" s="331"/>
      <c r="AC247" s="331"/>
      <c r="AD247" s="1369" t="s">
        <v>864</v>
      </c>
      <c r="AE247" s="1321"/>
      <c r="AF247" s="1321"/>
      <c r="AG247" s="1321"/>
      <c r="AH247" s="1321"/>
      <c r="AI247" s="1321"/>
      <c r="AJ247" s="1370" t="s">
        <v>1297</v>
      </c>
      <c r="AL247" s="331"/>
      <c r="AM247" s="331"/>
      <c r="AN247" s="331"/>
      <c r="AO247" s="331"/>
      <c r="AP247" s="1546" t="str">
        <f>"cellule "&amp;ADDRESS(ROW(AV247),COLUMN(AV247),4)&amp;"  vous pouvez saisir un autre poids"</f>
        <v>cellule AV247  vous pouvez saisir un autre poids</v>
      </c>
      <c r="AQ247" s="1547"/>
      <c r="AR247" s="1548"/>
      <c r="AS247" s="102"/>
      <c r="AT247" s="1547"/>
      <c r="AV247" s="1549">
        <v>1</v>
      </c>
      <c r="AX247" s="141"/>
      <c r="AY247" s="141"/>
      <c r="AZ247" s="141"/>
      <c r="BA247" s="141"/>
      <c r="BB247" s="1411" t="s">
        <v>1175</v>
      </c>
      <c r="BC247" s="1487">
        <v>3.125E-2</v>
      </c>
      <c r="BD247" s="1488"/>
      <c r="BE247" s="1488"/>
      <c r="BF247" s="1148" t="s">
        <v>1266</v>
      </c>
      <c r="BG247" s="1120"/>
      <c r="BH247" s="1491"/>
      <c r="BO247" s="2"/>
      <c r="BP247" s="2"/>
      <c r="BQ247" s="2"/>
      <c r="BR247" s="2"/>
      <c r="BS247" s="2"/>
      <c r="BT247" s="2"/>
      <c r="BU247" s="2"/>
      <c r="BW247" s="5">
        <v>1</v>
      </c>
    </row>
    <row r="248" spans="14:75" ht="15.75" customHeight="1">
      <c r="N248" s="141"/>
      <c r="O248" s="141"/>
      <c r="P248" s="141"/>
      <c r="Q248" s="141"/>
      <c r="R248" s="1469" t="s">
        <v>1208</v>
      </c>
      <c r="S248" s="1249" t="s">
        <v>1186</v>
      </c>
      <c r="T248" s="1249"/>
      <c r="U248" s="1470" t="s">
        <v>1209</v>
      </c>
      <c r="V248" s="1470" t="s">
        <v>1210</v>
      </c>
      <c r="W248" s="997"/>
      <c r="X248" s="1471" t="s">
        <v>1211</v>
      </c>
      <c r="Z248" s="331"/>
      <c r="AA248" s="331"/>
      <c r="AB248" s="331"/>
      <c r="AC248" s="331"/>
      <c r="AD248" s="141"/>
      <c r="AE248" s="141"/>
      <c r="AF248" s="141"/>
      <c r="AG248" s="141"/>
      <c r="AH248" s="141"/>
      <c r="AI248" s="141"/>
      <c r="AJ248" s="141"/>
      <c r="AL248" s="331"/>
      <c r="AM248" s="331"/>
      <c r="AN248" s="331"/>
      <c r="AO248" s="331"/>
      <c r="AP248" s="5456">
        <v>100</v>
      </c>
      <c r="AQ248" s="5457">
        <v>120</v>
      </c>
      <c r="AR248" s="1552"/>
      <c r="AS248" s="5457">
        <v>180</v>
      </c>
      <c r="AT248" s="5457">
        <v>180</v>
      </c>
      <c r="AU248" s="5457">
        <v>200</v>
      </c>
      <c r="AV248" s="1553" t="s">
        <v>1281</v>
      </c>
      <c r="AX248" s="141"/>
      <c r="AY248" s="141"/>
      <c r="AZ248" s="141"/>
      <c r="BA248" s="141"/>
      <c r="BB248" s="1411" t="s">
        <v>1175</v>
      </c>
      <c r="BC248" s="1487">
        <v>2.4305555555555556E-2</v>
      </c>
      <c r="BD248" s="1488"/>
      <c r="BE248" s="1488"/>
      <c r="BF248" s="1148" t="s">
        <v>1267</v>
      </c>
      <c r="BG248" s="1120"/>
      <c r="BH248" s="1491"/>
      <c r="BO248" s="2"/>
      <c r="BP248" s="2"/>
      <c r="BQ248" s="2"/>
      <c r="BR248" s="2"/>
      <c r="BS248" s="2"/>
      <c r="BT248" s="2"/>
      <c r="BU248" s="2"/>
      <c r="BW248" s="5">
        <v>1</v>
      </c>
    </row>
    <row r="249" spans="14:75" ht="15.75">
      <c r="N249" s="141"/>
      <c r="O249" s="141"/>
      <c r="P249" s="141"/>
      <c r="Q249" s="141"/>
      <c r="R249" s="1473" t="s">
        <v>1212</v>
      </c>
      <c r="S249" s="1474">
        <v>4.1666666666666699E-2</v>
      </c>
      <c r="T249" s="1475"/>
      <c r="U249" s="1475">
        <v>220</v>
      </c>
      <c r="V249" s="1476" t="s">
        <v>1213</v>
      </c>
      <c r="W249" s="997"/>
      <c r="X249" s="1477"/>
      <c r="Z249" s="331"/>
      <c r="AA249" s="331"/>
      <c r="AB249" s="331"/>
      <c r="AC249" s="331"/>
      <c r="AD249" s="141"/>
      <c r="AE249" s="141"/>
      <c r="AF249" s="141"/>
      <c r="AG249" s="141"/>
      <c r="AH249" s="141"/>
      <c r="AI249" s="141"/>
      <c r="AJ249" s="141"/>
      <c r="AL249" s="331"/>
      <c r="AM249" s="331"/>
      <c r="AN249" s="331"/>
      <c r="AO249" s="331"/>
      <c r="AP249" s="1555">
        <f>IF(MOD(AV247*1000/AP248,1)=0,AV247*1000/AP248,IF(MOD(AV247*1000/AP248,1)&lt;0.5,INT(AV247*1000/AP248),INT(AV247*1000/AP248)+1))</f>
        <v>10</v>
      </c>
      <c r="AQ249" s="1556">
        <f>IF(MOD(AV247*1000/AQ248,1)=0,AV247*1000/AQ248,IF(MOD(AV247*1000/AQ248,1)&lt;0.5,INT(AV247*1000/AQ248),INT(AV247*1000/AQ248)+1))</f>
        <v>8</v>
      </c>
      <c r="AR249" s="1557"/>
      <c r="AS249" s="1556">
        <f>IF(MOD(AV247*1000/AS248,1)=0,AV247*1000/AS248,IF(MOD(AV247*1000/AS248,1)&lt;0.5,INT(AV247*1000/AS248),INT(AV247*1000/AS248)+1))</f>
        <v>6</v>
      </c>
      <c r="AT249" s="1556">
        <f>IF(MOD(AV247*1000/AT248,1)=0,AV247*1000/AT248,IF(MOD(AV247*1000/AT248,1)&lt;0.5,INT(AV247*1000/AT248),INT(AV247*1000/AT248)+1))</f>
        <v>6</v>
      </c>
      <c r="AU249" s="1556">
        <f>IF(MOD(AV247*1000/AU248,1)=0,AV247*1000/AU248,IF(MOD(AV247*1000/AU248,1)&lt;0.5,INT(AV247*1000/AU248),INT(AV247*1000/AU248)+1))</f>
        <v>5</v>
      </c>
      <c r="AV249" s="1558" t="s">
        <v>1283</v>
      </c>
      <c r="AX249" s="141"/>
      <c r="AY249" s="141"/>
      <c r="AZ249" s="141"/>
      <c r="BA249" s="141"/>
      <c r="BB249" s="1411" t="s">
        <v>1175</v>
      </c>
      <c r="BC249" s="1487">
        <v>7.2916666666666671E-2</v>
      </c>
      <c r="BD249" s="1488"/>
      <c r="BE249" s="1539" t="s">
        <v>1268</v>
      </c>
      <c r="BF249" s="1148" t="s">
        <v>1269</v>
      </c>
      <c r="BG249" s="1120"/>
      <c r="BH249" s="1491"/>
      <c r="BO249" s="2"/>
      <c r="BP249" s="2"/>
      <c r="BQ249" s="2"/>
      <c r="BR249" s="2"/>
      <c r="BS249" s="2"/>
      <c r="BT249" s="2"/>
      <c r="BU249" s="2"/>
      <c r="BW249" s="5">
        <v>1</v>
      </c>
    </row>
    <row r="250" spans="14:75" ht="15.75">
      <c r="N250" s="141"/>
      <c r="O250" s="141"/>
      <c r="P250" s="141"/>
      <c r="Q250" s="141"/>
      <c r="R250" s="1479" t="s">
        <v>1208</v>
      </c>
      <c r="S250" s="1480"/>
      <c r="T250" s="1480"/>
      <c r="U250" s="1480" t="s">
        <v>1214</v>
      </c>
      <c r="V250" s="1481" t="s">
        <v>1215</v>
      </c>
      <c r="W250" s="1481"/>
      <c r="X250" s="1477"/>
      <c r="Z250" s="331"/>
      <c r="AA250" s="331"/>
      <c r="AB250" s="331"/>
      <c r="AC250" s="331"/>
      <c r="AD250" s="1354" t="s">
        <v>252</v>
      </c>
      <c r="AE250" s="1550"/>
      <c r="AF250" s="1550"/>
      <c r="AG250" s="1550"/>
      <c r="AH250" s="1550"/>
      <c r="AI250" s="1551"/>
      <c r="AJ250" s="1434" t="s">
        <v>1298</v>
      </c>
      <c r="AL250" s="331"/>
      <c r="AM250" s="331"/>
      <c r="AN250" s="331"/>
      <c r="AO250" s="331"/>
      <c r="AP250" s="1546" t="str">
        <f>"cellule "&amp;ADDRESS(ROW(AV250),COLUMN(AV250),4)&amp;"  vous pouvez saisir un autre poids"</f>
        <v>cellule AV250  vous pouvez saisir un autre poids</v>
      </c>
      <c r="AQ250" s="1552"/>
      <c r="AR250" s="1559"/>
      <c r="AS250" s="141"/>
      <c r="AT250" s="1552"/>
      <c r="AV250" s="1560">
        <v>1</v>
      </c>
      <c r="AX250" s="141"/>
      <c r="AY250" s="141"/>
      <c r="AZ250" s="141"/>
      <c r="BA250" s="141"/>
      <c r="BB250" s="1411" t="s">
        <v>1175</v>
      </c>
      <c r="BC250" s="1487">
        <v>3.4722222222222224E-2</v>
      </c>
      <c r="BD250" s="1488"/>
      <c r="BE250" s="1488"/>
      <c r="BF250" s="1148" t="s">
        <v>1270</v>
      </c>
      <c r="BG250" s="1120"/>
      <c r="BH250" s="1491"/>
      <c r="BO250" s="2"/>
      <c r="BP250" s="2"/>
      <c r="BQ250" s="2"/>
      <c r="BR250" s="2"/>
      <c r="BS250" s="2"/>
      <c r="BT250" s="2"/>
      <c r="BU250" s="2"/>
      <c r="BW250" s="5">
        <v>1</v>
      </c>
    </row>
    <row r="251" spans="14:75" ht="15.75">
      <c r="N251" s="141"/>
      <c r="O251" s="141"/>
      <c r="P251" s="141"/>
      <c r="Q251" s="141"/>
      <c r="R251" s="1482" t="s">
        <v>1216</v>
      </c>
      <c r="S251" s="1483"/>
      <c r="T251" s="1484"/>
      <c r="U251" s="1484">
        <v>250</v>
      </c>
      <c r="V251" s="1485" t="s">
        <v>1217</v>
      </c>
      <c r="W251" s="1485"/>
      <c r="X251" s="1477"/>
      <c r="Z251" s="331"/>
      <c r="AA251" s="331"/>
      <c r="AB251" s="331"/>
      <c r="AC251" s="331"/>
      <c r="AD251" s="1319"/>
      <c r="AE251" s="147"/>
      <c r="AF251" s="147"/>
      <c r="AG251" s="147"/>
      <c r="AH251" s="147"/>
      <c r="AI251" s="147"/>
      <c r="AJ251" s="1580" t="s">
        <v>1293</v>
      </c>
      <c r="AL251" s="331"/>
      <c r="AM251" s="331"/>
      <c r="AN251" s="331"/>
      <c r="AO251" s="331"/>
      <c r="AP251" s="1565">
        <v>10</v>
      </c>
      <c r="AQ251" s="1512">
        <v>8</v>
      </c>
      <c r="AR251" s="1566"/>
      <c r="AS251" s="1512">
        <v>5</v>
      </c>
      <c r="AT251" s="1512">
        <v>6</v>
      </c>
      <c r="AU251" s="1512">
        <v>10</v>
      </c>
      <c r="AV251" s="1567" t="s">
        <v>1284</v>
      </c>
      <c r="AX251" s="141"/>
      <c r="AY251" s="141"/>
      <c r="AZ251" s="141"/>
      <c r="BA251" s="141"/>
      <c r="BB251" s="1411" t="s">
        <v>1175</v>
      </c>
      <c r="BC251" s="1487"/>
      <c r="BD251" s="5424" t="s">
        <v>1271</v>
      </c>
      <c r="BE251" s="1389">
        <v>65</v>
      </c>
      <c r="BF251" s="1493" t="s">
        <v>1272</v>
      </c>
      <c r="BG251" s="1120"/>
      <c r="BH251" s="1491"/>
      <c r="BO251" s="2"/>
      <c r="BP251" s="2"/>
      <c r="BQ251" s="2"/>
      <c r="BR251" s="2"/>
      <c r="BS251" s="2"/>
      <c r="BT251" s="2"/>
      <c r="BU251" s="2"/>
      <c r="BW251" s="5">
        <v>1</v>
      </c>
    </row>
    <row r="252" spans="14:75" ht="15.75" customHeight="1">
      <c r="N252" s="141"/>
      <c r="O252" s="141"/>
      <c r="P252" s="141"/>
      <c r="Q252" s="141"/>
      <c r="R252" s="1479" t="s">
        <v>1208</v>
      </c>
      <c r="S252" s="1480"/>
      <c r="T252" s="1480"/>
      <c r="U252" s="1480" t="s">
        <v>1214</v>
      </c>
      <c r="V252" s="1481" t="s">
        <v>1215</v>
      </c>
      <c r="W252" s="1481"/>
      <c r="X252" s="1477"/>
      <c r="Z252" s="331"/>
      <c r="AA252" s="331"/>
      <c r="AB252" s="331"/>
      <c r="AC252" s="331"/>
      <c r="AD252" s="1600"/>
      <c r="AE252" s="1601" t="s">
        <v>762</v>
      </c>
      <c r="AF252" s="988"/>
      <c r="AG252" s="1602">
        <v>2</v>
      </c>
      <c r="AH252" s="1603"/>
      <c r="AI252" s="1604">
        <v>10</v>
      </c>
      <c r="AJ252" s="5425" t="s">
        <v>751</v>
      </c>
      <c r="AL252" s="331"/>
      <c r="AM252" s="331"/>
      <c r="AN252" s="331"/>
      <c r="AO252" s="331"/>
      <c r="AP252" s="1572">
        <f>AV250/AP251*1000</f>
        <v>100</v>
      </c>
      <c r="AQ252" s="1573">
        <f>AV250/AQ251*1000</f>
        <v>125</v>
      </c>
      <c r="AR252" s="1574"/>
      <c r="AS252" s="1573">
        <f>AV250/AS251*1000</f>
        <v>200</v>
      </c>
      <c r="AT252" s="1573">
        <f>AV250/AT251*1000</f>
        <v>166.66666666666666</v>
      </c>
      <c r="AU252" s="1573">
        <f>AV250/AU251*1000</f>
        <v>100</v>
      </c>
      <c r="AV252" s="1558" t="s">
        <v>1285</v>
      </c>
      <c r="AX252" s="141"/>
      <c r="AY252" s="141"/>
      <c r="AZ252" s="141"/>
      <c r="BA252" s="141"/>
      <c r="BB252" s="1411" t="s">
        <v>1175</v>
      </c>
      <c r="BC252" s="1487"/>
      <c r="BD252" s="1497" t="s">
        <v>1271</v>
      </c>
      <c r="BE252" s="1386">
        <v>3</v>
      </c>
      <c r="BF252" s="1498" t="s">
        <v>1273</v>
      </c>
      <c r="BG252" s="1120"/>
      <c r="BH252" s="1491"/>
      <c r="BO252" s="2"/>
      <c r="BP252" s="2"/>
      <c r="BQ252" s="2"/>
      <c r="BR252" s="2"/>
      <c r="BS252" s="2"/>
      <c r="BT252" s="2"/>
      <c r="BU252" s="2"/>
      <c r="BW252" s="5">
        <v>1</v>
      </c>
    </row>
    <row r="253" spans="14:75" ht="15.75">
      <c r="N253" s="141"/>
      <c r="O253" s="141"/>
      <c r="P253" s="141"/>
      <c r="Q253" s="141"/>
      <c r="R253" s="1482" t="s">
        <v>1216</v>
      </c>
      <c r="S253" s="1483">
        <v>4.8611111111111112E-3</v>
      </c>
      <c r="T253" s="1484"/>
      <c r="U253" s="1484">
        <v>250</v>
      </c>
      <c r="V253" s="1485" t="s">
        <v>1219</v>
      </c>
      <c r="W253" s="1485"/>
      <c r="X253" s="1477"/>
      <c r="Z253" s="331"/>
      <c r="AA253" s="331"/>
      <c r="AB253" s="331"/>
      <c r="AC253" s="331"/>
      <c r="AD253" s="1605"/>
      <c r="AE253" s="5422" t="s">
        <v>759</v>
      </c>
      <c r="AF253" s="988"/>
      <c r="AG253" s="1606">
        <v>1</v>
      </c>
      <c r="AH253" s="1607"/>
      <c r="AI253" s="1608">
        <v>15</v>
      </c>
      <c r="AJ253" s="1609" t="s">
        <v>752</v>
      </c>
      <c r="AL253" s="331"/>
      <c r="AM253" s="331"/>
      <c r="AN253" s="331"/>
      <c r="AO253" s="331"/>
      <c r="AP253" s="1576" t="s">
        <v>1279</v>
      </c>
      <c r="AQ253" s="1577"/>
      <c r="AR253" s="1578" t="s">
        <v>1287</v>
      </c>
      <c r="AS253" s="1577"/>
      <c r="AT253" s="1577"/>
      <c r="AU253" s="1578" t="s">
        <v>1288</v>
      </c>
      <c r="AV253" s="1325"/>
      <c r="AX253" s="141"/>
      <c r="AY253" s="141"/>
      <c r="AZ253" s="141"/>
      <c r="BA253" s="141"/>
      <c r="BB253" s="1540" t="s">
        <v>37</v>
      </c>
      <c r="BC253" s="1442">
        <f>SUM(BC239:BC252)</f>
        <v>0.41319444444444448</v>
      </c>
      <c r="BG253" s="1120"/>
      <c r="BH253" s="1491"/>
      <c r="BO253" s="2"/>
      <c r="BP253" s="2"/>
      <c r="BQ253" s="2"/>
      <c r="BR253" s="2"/>
      <c r="BS253" s="2"/>
      <c r="BT253" s="2"/>
      <c r="BU253" s="2"/>
      <c r="BW253" s="5">
        <v>1</v>
      </c>
    </row>
    <row r="254" spans="14:75" ht="15.75">
      <c r="N254" s="141"/>
      <c r="O254" s="141"/>
      <c r="P254" s="141"/>
      <c r="Q254" s="141"/>
      <c r="R254" s="1479" t="s">
        <v>1208</v>
      </c>
      <c r="S254" s="1480"/>
      <c r="T254" s="1480"/>
      <c r="U254" s="1480" t="s">
        <v>1214</v>
      </c>
      <c r="V254" s="1481" t="s">
        <v>1215</v>
      </c>
      <c r="W254" s="1481"/>
      <c r="X254" s="1477"/>
      <c r="Z254" s="331"/>
      <c r="AA254" s="331"/>
      <c r="AB254" s="331"/>
      <c r="AC254" s="331"/>
      <c r="AD254" s="1610"/>
      <c r="AE254" s="1611" t="s">
        <v>765</v>
      </c>
      <c r="AF254" s="988"/>
      <c r="AG254" s="1612">
        <f>IF(AG252=0,0,IF(AG253=0,0,AG252-AG253))</f>
        <v>1</v>
      </c>
      <c r="AH254" s="1613"/>
      <c r="AI254" s="1614">
        <f>IF(AI252=0,0,IF(AI253=0,0,AI253-AI252))</f>
        <v>5</v>
      </c>
      <c r="AJ254" s="1615" t="s">
        <v>754</v>
      </c>
      <c r="AL254" s="331"/>
      <c r="AM254" s="331"/>
      <c r="AN254" s="331"/>
      <c r="AO254" s="331"/>
      <c r="AP254" s="1576" t="s">
        <v>1290</v>
      </c>
      <c r="AQ254" s="1577"/>
      <c r="AR254" s="1579" t="s">
        <v>1291</v>
      </c>
      <c r="AS254" s="1577"/>
      <c r="AT254" s="1577"/>
      <c r="AU254" s="1578" t="s">
        <v>1292</v>
      </c>
      <c r="AV254" s="1580" t="s">
        <v>1293</v>
      </c>
      <c r="AX254" s="141"/>
      <c r="AY254" s="141"/>
      <c r="AZ254" s="141"/>
      <c r="BA254" s="141"/>
      <c r="BB254" s="1369" t="s">
        <v>864</v>
      </c>
      <c r="BC254" s="1321"/>
      <c r="BD254" s="1321"/>
      <c r="BE254" s="1321"/>
      <c r="BF254" s="1321"/>
      <c r="BG254" s="1321"/>
      <c r="BH254" s="1370" t="s">
        <v>1141</v>
      </c>
      <c r="BO254" s="2"/>
      <c r="BP254" s="2"/>
      <c r="BQ254" s="2"/>
      <c r="BR254" s="2"/>
      <c r="BS254" s="2"/>
      <c r="BT254" s="2"/>
      <c r="BU254" s="2"/>
      <c r="BW254" s="5">
        <v>1</v>
      </c>
    </row>
    <row r="255" spans="14:75" ht="15.75" customHeight="1">
      <c r="N255" s="141"/>
      <c r="O255" s="141"/>
      <c r="P255" s="141"/>
      <c r="Q255" s="141"/>
      <c r="R255" s="1482" t="s">
        <v>1216</v>
      </c>
      <c r="S255" s="1483">
        <v>0.10416666666666667</v>
      </c>
      <c r="T255" s="1484"/>
      <c r="U255" s="1484">
        <v>170</v>
      </c>
      <c r="V255" s="1485" t="s">
        <v>1220</v>
      </c>
      <c r="W255" s="1485"/>
      <c r="X255" s="1477"/>
      <c r="Z255" s="331"/>
      <c r="AA255" s="331"/>
      <c r="AB255" s="331"/>
      <c r="AC255" s="331"/>
      <c r="AD255" s="1610"/>
      <c r="AE255" s="1611" t="s">
        <v>768</v>
      </c>
      <c r="AF255" s="988"/>
      <c r="AG255" s="1616">
        <f>IF(AG252=0,0,AG254/AG252)</f>
        <v>0.5</v>
      </c>
      <c r="AH255" s="1617"/>
      <c r="AI255" s="1618">
        <f>IF(AI252=0,0,IF(ISBLANK(AI252),0,(AI254/AI252)*100))</f>
        <v>50</v>
      </c>
      <c r="AJ255" s="1615" t="s">
        <v>753</v>
      </c>
      <c r="AL255" s="331"/>
      <c r="AM255" s="331"/>
      <c r="AN255" s="331"/>
      <c r="AO255" s="331"/>
      <c r="AP255" s="1369" t="s">
        <v>864</v>
      </c>
      <c r="AQ255" s="1321"/>
      <c r="AR255" s="1321"/>
      <c r="AS255" s="1321"/>
      <c r="AT255" s="1321"/>
      <c r="AU255" s="1321"/>
      <c r="AV255" s="1370" t="s">
        <v>1141</v>
      </c>
      <c r="AX255" s="141"/>
      <c r="AY255" s="141"/>
      <c r="AZ255" s="141"/>
      <c r="BA255" s="141"/>
      <c r="BB255" s="141"/>
      <c r="BC255" s="141"/>
      <c r="BD255" s="141"/>
      <c r="BE255" s="141"/>
      <c r="BF255" s="141"/>
      <c r="BG255" s="141"/>
      <c r="BH255" s="141"/>
      <c r="BO255" s="2"/>
      <c r="BP255" s="2"/>
      <c r="BQ255" s="2"/>
      <c r="BR255" s="2"/>
      <c r="BS255" s="2"/>
      <c r="BT255" s="2"/>
      <c r="BU255" s="2"/>
      <c r="BW255" s="5">
        <v>1</v>
      </c>
    </row>
    <row r="256" spans="14:75" ht="15" customHeight="1">
      <c r="N256" s="141"/>
      <c r="O256" s="141"/>
      <c r="P256" s="141"/>
      <c r="Q256" s="141"/>
      <c r="R256" s="1479" t="s">
        <v>1208</v>
      </c>
      <c r="S256" s="1480"/>
      <c r="T256" s="1480"/>
      <c r="U256" s="1480" t="s">
        <v>1214</v>
      </c>
      <c r="V256" s="1481" t="s">
        <v>1221</v>
      </c>
      <c r="W256" s="1481"/>
      <c r="X256" s="1477"/>
      <c r="Z256" s="331"/>
      <c r="AA256" s="331"/>
      <c r="AB256" s="331"/>
      <c r="AC256" s="331"/>
      <c r="AD256" s="1605"/>
      <c r="AE256" s="5422" t="s">
        <v>764</v>
      </c>
      <c r="AF256" s="988"/>
      <c r="AG256" s="1619">
        <v>50</v>
      </c>
      <c r="AH256" s="1603"/>
      <c r="AI256" s="1604">
        <v>10</v>
      </c>
      <c r="AJ256" s="5425" t="s">
        <v>751</v>
      </c>
      <c r="AL256" s="331"/>
      <c r="AM256" s="331"/>
      <c r="AN256" s="331"/>
      <c r="AO256" s="331"/>
      <c r="AP256" s="141"/>
      <c r="AQ256" s="141"/>
      <c r="AR256" s="141"/>
      <c r="AS256" s="141"/>
      <c r="AT256" s="141"/>
      <c r="AU256" s="141"/>
      <c r="AV256" s="141"/>
      <c r="AX256" s="141"/>
      <c r="AY256" s="141"/>
      <c r="AZ256" s="141"/>
      <c r="BA256" s="141"/>
      <c r="BB256" s="141"/>
      <c r="BC256" s="141"/>
      <c r="BD256" s="141"/>
      <c r="BE256" s="141"/>
      <c r="BF256" s="141"/>
      <c r="BG256" s="141"/>
      <c r="BH256" s="141"/>
      <c r="BO256" s="2"/>
      <c r="BP256" s="2"/>
      <c r="BQ256" s="2"/>
      <c r="BR256" s="2"/>
      <c r="BS256" s="2"/>
      <c r="BT256" s="2"/>
      <c r="BU256" s="2"/>
      <c r="BW256" s="5">
        <v>1</v>
      </c>
    </row>
    <row r="257" spans="14:75" ht="15.75">
      <c r="N257" s="141"/>
      <c r="O257" s="141"/>
      <c r="P257" s="141"/>
      <c r="Q257" s="141"/>
      <c r="R257" s="1482" t="s">
        <v>1216</v>
      </c>
      <c r="S257" s="1483">
        <v>4.8611111111111112E-3</v>
      </c>
      <c r="T257" s="1484"/>
      <c r="U257" s="1484">
        <v>100</v>
      </c>
      <c r="V257" s="1485"/>
      <c r="W257" s="1485"/>
      <c r="X257" s="1477"/>
      <c r="Z257" s="331"/>
      <c r="AA257" s="331"/>
      <c r="AB257" s="331"/>
      <c r="AC257" s="331"/>
      <c r="AD257" s="1610"/>
      <c r="AE257" s="1611" t="s">
        <v>765</v>
      </c>
      <c r="AF257" s="988"/>
      <c r="AG257" s="1612">
        <f>AG252*AG256%</f>
        <v>1</v>
      </c>
      <c r="AH257" s="1620"/>
      <c r="AI257" s="1621">
        <v>50</v>
      </c>
      <c r="AJ257" s="1622" t="s">
        <v>753</v>
      </c>
      <c r="AL257" s="331"/>
      <c r="AM257" s="331"/>
      <c r="AN257" s="331"/>
      <c r="AO257" s="331"/>
      <c r="AP257" s="141"/>
      <c r="AQ257" s="141"/>
      <c r="AR257" s="141"/>
      <c r="AS257" s="141"/>
      <c r="AT257" s="141"/>
      <c r="AU257" s="141"/>
      <c r="AV257" s="141"/>
      <c r="AX257" s="141"/>
      <c r="AY257" s="141"/>
      <c r="AZ257" s="141"/>
      <c r="BA257" s="141"/>
      <c r="BB257" s="1354" t="s">
        <v>252</v>
      </c>
      <c r="BC257" s="1355"/>
      <c r="BD257" s="1355"/>
      <c r="BE257" s="1355"/>
      <c r="BF257" s="1355"/>
      <c r="BG257" s="1356"/>
      <c r="BH257" s="1357" t="s">
        <v>1117</v>
      </c>
      <c r="BO257" s="2"/>
      <c r="BP257" s="2"/>
      <c r="BQ257" s="2"/>
      <c r="BR257" s="2"/>
      <c r="BS257" s="2"/>
      <c r="BT257" s="2"/>
      <c r="BU257" s="2"/>
      <c r="BW257" s="5">
        <v>1</v>
      </c>
    </row>
    <row r="258" spans="14:75" ht="15.75">
      <c r="N258" s="141"/>
      <c r="O258" s="141"/>
      <c r="P258" s="141"/>
      <c r="Q258" s="141"/>
      <c r="R258" s="1479" t="s">
        <v>1208</v>
      </c>
      <c r="S258" s="1480"/>
      <c r="T258" s="1480"/>
      <c r="U258" s="1480" t="s">
        <v>1214</v>
      </c>
      <c r="V258" s="1481" t="s">
        <v>1224</v>
      </c>
      <c r="W258" s="1481"/>
      <c r="X258" s="1477"/>
      <c r="Z258" s="331"/>
      <c r="AA258" s="331"/>
      <c r="AB258" s="331"/>
      <c r="AC258" s="331"/>
      <c r="AD258" s="1610"/>
      <c r="AE258" s="1611" t="s">
        <v>773</v>
      </c>
      <c r="AF258" s="988"/>
      <c r="AG258" s="1612">
        <f>AG252-AG257</f>
        <v>1</v>
      </c>
      <c r="AH258" s="1613"/>
      <c r="AI258" s="1614">
        <f>AI256*AI257%</f>
        <v>5</v>
      </c>
      <c r="AJ258" s="1615" t="s">
        <v>754</v>
      </c>
      <c r="AL258" s="331"/>
      <c r="AM258" s="331"/>
      <c r="AN258" s="331"/>
      <c r="AO258" s="331"/>
      <c r="AP258" s="1354" t="s">
        <v>252</v>
      </c>
      <c r="AQ258" s="1550"/>
      <c r="AR258" s="1550"/>
      <c r="AS258" s="1550"/>
      <c r="AT258" s="1550"/>
      <c r="AU258" s="1551"/>
      <c r="AV258" s="1434" t="s">
        <v>1256</v>
      </c>
      <c r="AX258" s="141"/>
      <c r="AY258" s="141"/>
      <c r="AZ258" s="141"/>
      <c r="BA258" s="141"/>
      <c r="BB258" s="1384">
        <v>3.472222222222222E-3</v>
      </c>
      <c r="BC258" s="1385" t="s">
        <v>1150</v>
      </c>
      <c r="BD258" s="77"/>
      <c r="BE258" s="77"/>
      <c r="BF258" s="77"/>
      <c r="BG258" s="1386">
        <v>100</v>
      </c>
      <c r="BH258" s="1387" t="s">
        <v>1151</v>
      </c>
      <c r="BO258" s="2"/>
      <c r="BP258" s="2"/>
      <c r="BQ258" s="2"/>
      <c r="BR258" s="2"/>
      <c r="BS258" s="2"/>
      <c r="BT258" s="2"/>
      <c r="BU258" s="2"/>
      <c r="BW258" s="5">
        <v>1</v>
      </c>
    </row>
    <row r="259" spans="14:75" ht="15.75" customHeight="1">
      <c r="N259" s="141"/>
      <c r="O259" s="141"/>
      <c r="P259" s="141"/>
      <c r="Q259" s="141"/>
      <c r="R259" s="1482" t="s">
        <v>1216</v>
      </c>
      <c r="S259" s="1483">
        <v>4.8611111111111112E-3</v>
      </c>
      <c r="T259" s="1484"/>
      <c r="U259" s="1484">
        <v>110</v>
      </c>
      <c r="V259" s="1485"/>
      <c r="W259" s="1485"/>
      <c r="X259" s="1477"/>
      <c r="Z259" s="331"/>
      <c r="AA259" s="331"/>
      <c r="AB259" s="331"/>
      <c r="AC259" s="331"/>
      <c r="AD259" s="1323"/>
      <c r="AE259" s="1257"/>
      <c r="AF259" s="988"/>
      <c r="AG259" s="1623"/>
      <c r="AH259" s="1624"/>
      <c r="AI259" s="1614">
        <f>((AI256*AI257)/100)+AI256</f>
        <v>15</v>
      </c>
      <c r="AJ259" s="1615" t="s">
        <v>752</v>
      </c>
      <c r="AL259" s="331"/>
      <c r="AM259" s="331"/>
      <c r="AN259" s="331"/>
      <c r="AO259" s="331"/>
      <c r="AP259" s="1589" t="s">
        <v>1296</v>
      </c>
      <c r="AQ259" s="1590"/>
      <c r="AR259" s="1591"/>
      <c r="AS259" s="1592"/>
      <c r="AT259" s="1591"/>
      <c r="AU259" s="1591"/>
      <c r="AV259" s="1593"/>
      <c r="AX259" s="141"/>
      <c r="AY259" s="141"/>
      <c r="AZ259" s="141"/>
      <c r="BA259" s="141"/>
      <c r="BB259" s="1388">
        <v>1.0416666666666666E-2</v>
      </c>
      <c r="BC259" s="1385" t="s">
        <v>1152</v>
      </c>
      <c r="BD259" s="77"/>
      <c r="BE259" s="77"/>
      <c r="BF259" s="77"/>
      <c r="BG259" s="1389">
        <v>90</v>
      </c>
      <c r="BH259" s="1390" t="s">
        <v>1153</v>
      </c>
      <c r="BO259" s="2"/>
      <c r="BP259" s="2"/>
      <c r="BQ259" s="2"/>
      <c r="BR259" s="2"/>
      <c r="BS259" s="2"/>
      <c r="BT259" s="2"/>
      <c r="BU259" s="2"/>
      <c r="BW259" s="5">
        <v>1</v>
      </c>
    </row>
    <row r="260" spans="14:75" ht="16.5" customHeight="1">
      <c r="N260" s="141"/>
      <c r="O260" s="141"/>
      <c r="P260" s="141"/>
      <c r="Q260" s="141"/>
      <c r="R260" s="1369" t="s">
        <v>864</v>
      </c>
      <c r="S260" s="1321"/>
      <c r="T260" s="1321"/>
      <c r="U260" s="1321"/>
      <c r="V260" s="1321"/>
      <c r="W260" s="1321"/>
      <c r="X260" s="1370"/>
      <c r="Z260" s="331"/>
      <c r="AA260" s="331"/>
      <c r="AB260" s="331"/>
      <c r="AC260" s="331"/>
      <c r="AD260" s="1369" t="s">
        <v>864</v>
      </c>
      <c r="AE260" s="1321"/>
      <c r="AF260" s="1321"/>
      <c r="AG260" s="1321"/>
      <c r="AH260" s="1321"/>
      <c r="AI260" s="1321"/>
      <c r="AJ260" s="1370" t="s">
        <v>1297</v>
      </c>
      <c r="AL260" s="331"/>
      <c r="AM260" s="331"/>
      <c r="AN260" s="331"/>
      <c r="AO260" s="331"/>
      <c r="AP260" s="1319"/>
      <c r="AQ260" s="102"/>
      <c r="AR260" s="102"/>
      <c r="AS260" s="102"/>
      <c r="AT260" s="1525" t="s">
        <v>1255</v>
      </c>
      <c r="AU260" s="102"/>
      <c r="AV260" s="1598"/>
      <c r="AX260" s="141"/>
      <c r="AY260" s="141"/>
      <c r="AZ260" s="141"/>
      <c r="BA260" s="141"/>
      <c r="BB260" s="1391">
        <v>2.0833333333333332E-2</v>
      </c>
      <c r="BC260" s="1385" t="s">
        <v>1154</v>
      </c>
      <c r="BD260" s="988"/>
      <c r="BE260" s="988"/>
      <c r="BF260" s="988"/>
      <c r="BG260" s="1392" t="s">
        <v>1155</v>
      </c>
      <c r="BH260" s="1393" t="s">
        <v>1156</v>
      </c>
      <c r="BO260" s="2"/>
      <c r="BP260" s="2"/>
      <c r="BQ260" s="2"/>
      <c r="BR260" s="2"/>
      <c r="BS260" s="2"/>
      <c r="BT260" s="2"/>
      <c r="BU260" s="2"/>
      <c r="BW260" s="5">
        <v>1</v>
      </c>
    </row>
    <row r="261" spans="14:75" ht="18.75">
      <c r="N261" s="141"/>
      <c r="O261" s="141"/>
      <c r="P261" s="141"/>
      <c r="Q261" s="141"/>
      <c r="R261" s="1599"/>
      <c r="S261" s="997"/>
      <c r="T261" s="997"/>
      <c r="U261" s="997"/>
      <c r="V261" s="997"/>
      <c r="W261" s="997"/>
      <c r="X261" s="1339" t="s">
        <v>1112</v>
      </c>
      <c r="Z261" s="331"/>
      <c r="AA261" s="331"/>
      <c r="AB261" s="331"/>
      <c r="AC261" s="331"/>
      <c r="AD261" s="141"/>
      <c r="AE261" s="141"/>
      <c r="AF261" s="141"/>
      <c r="AG261" s="141"/>
      <c r="AH261" s="141"/>
      <c r="AI261" s="141"/>
      <c r="AJ261" s="141"/>
      <c r="AL261" s="331"/>
      <c r="AM261" s="331"/>
      <c r="AN261" s="331"/>
      <c r="AO261" s="331"/>
      <c r="AP261" s="1527" t="s">
        <v>1257</v>
      </c>
      <c r="AQ261" s="1528" t="s">
        <v>1258</v>
      </c>
      <c r="AR261" s="7082" t="s">
        <v>162</v>
      </c>
      <c r="AS261" s="7082"/>
      <c r="AT261" s="1529" t="s">
        <v>1259</v>
      </c>
      <c r="AV261" s="1530" t="s">
        <v>1185</v>
      </c>
      <c r="AX261" s="141"/>
      <c r="AY261" s="141"/>
      <c r="AZ261" s="141"/>
      <c r="BA261" s="141"/>
      <c r="BB261" s="1394">
        <f>BB258+BB259+BB260</f>
        <v>3.4722222222222224E-2</v>
      </c>
      <c r="BC261" s="1395" t="s">
        <v>37</v>
      </c>
      <c r="BD261" s="988"/>
      <c r="BE261" s="988"/>
      <c r="BF261" s="988"/>
      <c r="BG261" s="1396" t="s">
        <v>1155</v>
      </c>
      <c r="BH261" s="1397" t="s">
        <v>1157</v>
      </c>
      <c r="BO261" s="2"/>
      <c r="BP261" s="2"/>
      <c r="BQ261" s="2"/>
      <c r="BR261" s="2"/>
      <c r="BS261" s="2"/>
      <c r="BT261" s="2"/>
      <c r="BU261" s="2"/>
      <c r="BW261" s="5">
        <v>1</v>
      </c>
    </row>
    <row r="262" spans="14:75" ht="15.75">
      <c r="N262" s="141"/>
      <c r="O262" s="141"/>
      <c r="P262" s="141"/>
      <c r="Q262" s="141"/>
      <c r="R262" s="1454"/>
      <c r="S262" s="1002"/>
      <c r="T262" s="1002" t="s">
        <v>873</v>
      </c>
      <c r="U262" s="1003"/>
      <c r="V262" s="1329"/>
      <c r="W262" s="1329"/>
      <c r="X262" s="1330"/>
      <c r="Z262" s="331"/>
      <c r="AA262" s="331"/>
      <c r="AB262" s="331"/>
      <c r="AC262" s="331"/>
      <c r="AD262" s="141"/>
      <c r="AE262" s="141"/>
      <c r="AF262" s="141"/>
      <c r="AG262" s="141"/>
      <c r="AH262" s="141"/>
      <c r="AI262" s="141"/>
      <c r="AJ262" s="141"/>
      <c r="AL262" s="331"/>
      <c r="AM262" s="331"/>
      <c r="AN262" s="331"/>
      <c r="AO262" s="331"/>
      <c r="AP262" s="7650">
        <v>750</v>
      </c>
      <c r="AQ262" s="1531">
        <v>1</v>
      </c>
      <c r="AR262" s="7068" t="s">
        <v>1260</v>
      </c>
      <c r="AS262" s="7068"/>
      <c r="AT262" s="1532">
        <v>16</v>
      </c>
      <c r="AU262" s="1401">
        <f>AQ262*AP262</f>
        <v>750</v>
      </c>
      <c r="AV262" s="1533" t="s">
        <v>1261</v>
      </c>
      <c r="AX262" s="141"/>
      <c r="AY262" s="141"/>
      <c r="AZ262" s="141"/>
      <c r="BA262" s="141"/>
      <c r="BB262" s="1369" t="s">
        <v>864</v>
      </c>
      <c r="BC262" s="1321"/>
      <c r="BD262" s="1321"/>
      <c r="BE262" s="1321"/>
      <c r="BF262" s="1321"/>
      <c r="BG262" s="1321"/>
      <c r="BH262" s="1370" t="s">
        <v>1141</v>
      </c>
      <c r="BO262" s="2"/>
      <c r="BP262" s="2"/>
      <c r="BQ262" s="2"/>
      <c r="BR262" s="2"/>
      <c r="BS262" s="2"/>
      <c r="BT262" s="2"/>
      <c r="BU262" s="2"/>
      <c r="BW262" s="5">
        <v>1</v>
      </c>
    </row>
    <row r="263" spans="14:75" ht="16.5" thickBot="1">
      <c r="N263" s="141"/>
      <c r="O263" s="141"/>
      <c r="P263" s="141"/>
      <c r="Q263" s="141"/>
      <c r="R263" s="1332" t="s">
        <v>86</v>
      </c>
      <c r="S263" s="1006"/>
      <c r="T263" s="1007"/>
      <c r="U263" s="1008"/>
      <c r="V263" s="1007"/>
      <c r="W263" s="1007"/>
      <c r="X263" s="1333"/>
      <c r="Z263" s="331"/>
      <c r="AA263" s="331"/>
      <c r="AB263" s="331"/>
      <c r="AC263" s="331"/>
      <c r="AD263" s="1354" t="s">
        <v>252</v>
      </c>
      <c r="AE263" s="1550"/>
      <c r="AF263" s="1550"/>
      <c r="AG263" s="1550"/>
      <c r="AH263" s="1550"/>
      <c r="AI263" s="1551"/>
      <c r="AJ263" s="1434" t="s">
        <v>1280</v>
      </c>
      <c r="AL263" s="331"/>
      <c r="AM263" s="331"/>
      <c r="AN263" s="331"/>
      <c r="AO263" s="331"/>
      <c r="AP263" s="7650"/>
      <c r="AQ263" s="5458">
        <v>120</v>
      </c>
      <c r="AR263" s="260" t="s">
        <v>1262</v>
      </c>
      <c r="AS263" s="1174"/>
      <c r="AT263" s="5459">
        <v>1.2</v>
      </c>
      <c r="AU263" s="1536">
        <f>(AQ263*AP262)/1000</f>
        <v>90</v>
      </c>
      <c r="AV263" s="7392" t="s">
        <v>1263</v>
      </c>
      <c r="AX263" s="141"/>
      <c r="AY263" s="141"/>
      <c r="AZ263" s="141"/>
      <c r="BA263" s="141"/>
      <c r="BB263" s="141"/>
      <c r="BC263" s="141"/>
      <c r="BD263" s="141"/>
      <c r="BE263" s="141"/>
      <c r="BF263" s="141"/>
      <c r="BG263" s="141"/>
      <c r="BH263" s="141"/>
      <c r="BO263" s="2"/>
      <c r="BP263" s="2"/>
      <c r="BQ263" s="2"/>
      <c r="BR263" s="2"/>
      <c r="BS263" s="2"/>
      <c r="BT263" s="2"/>
      <c r="BU263" s="2"/>
      <c r="BW263" s="5">
        <v>1</v>
      </c>
    </row>
    <row r="264" spans="14:75" ht="15.75" customHeight="1">
      <c r="N264" s="141"/>
      <c r="O264" s="141"/>
      <c r="P264" s="141"/>
      <c r="Q264" s="141"/>
      <c r="Z264" s="331"/>
      <c r="AA264" s="331"/>
      <c r="AB264" s="331"/>
      <c r="AC264" s="331"/>
      <c r="AD264" s="1554" t="s">
        <v>198</v>
      </c>
      <c r="AE264" s="7070" t="s">
        <v>196</v>
      </c>
      <c r="AF264" s="7651" t="s">
        <v>929</v>
      </c>
      <c r="AG264" s="7073" t="s">
        <v>195</v>
      </c>
      <c r="AH264" s="7653" t="s">
        <v>183</v>
      </c>
      <c r="AI264" s="7077" t="s">
        <v>1282</v>
      </c>
      <c r="AJ264" s="7393" t="s">
        <v>185</v>
      </c>
      <c r="AL264" s="331"/>
      <c r="AM264" s="331"/>
      <c r="AN264" s="331"/>
      <c r="AO264" s="331"/>
      <c r="AP264" s="1537" t="str">
        <f>INT(AU262/AT262) &amp; " " &amp; AV262 &amp; " de " &amp; AT262 &amp; " " &amp; AR262 &amp; IF(MOD(AU262,AT262)&gt;0, " + 1 "&amp;AV262&amp;" de " &amp; TEXT(MOD(AU262,AT262), "0.00") &amp; " " &amp; AR262, "")</f>
        <v>46 Assiette(s) de 16 madeleine(s) + 1 Assiette(s) de 14.00 madeleine(s)</v>
      </c>
      <c r="AQ264" s="141"/>
      <c r="AR264" s="141"/>
      <c r="AS264" s="141"/>
      <c r="AT264" s="141"/>
      <c r="AU264" s="988"/>
      <c r="AV264" s="7392"/>
      <c r="AX264" s="141"/>
      <c r="AY264" s="141"/>
      <c r="AZ264" s="141"/>
      <c r="BA264" s="141"/>
      <c r="BB264" s="141"/>
      <c r="BC264" s="141"/>
      <c r="BD264" s="141"/>
      <c r="BE264" s="141"/>
      <c r="BF264" s="141"/>
      <c r="BG264" s="141"/>
      <c r="BH264" s="141"/>
      <c r="BO264" s="2"/>
      <c r="BP264" s="2"/>
      <c r="BQ264" s="2"/>
      <c r="BR264" s="2"/>
      <c r="BS264" s="2"/>
      <c r="BT264" s="2"/>
      <c r="BU264" s="2"/>
      <c r="BW264" s="5">
        <v>1</v>
      </c>
    </row>
    <row r="265" spans="14:75" ht="15.75">
      <c r="N265" s="141"/>
      <c r="O265" s="141"/>
      <c r="P265" s="141"/>
      <c r="Q265" s="141"/>
      <c r="R265" s="141"/>
      <c r="S265" s="141"/>
      <c r="T265" s="141"/>
      <c r="U265" s="141"/>
      <c r="V265" s="141"/>
      <c r="W265" s="141"/>
      <c r="X265" s="141"/>
      <c r="Z265" s="331"/>
      <c r="AA265" s="331"/>
      <c r="AB265" s="331"/>
      <c r="AC265" s="331"/>
      <c r="AD265" s="1625" t="s">
        <v>191</v>
      </c>
      <c r="AE265" s="6905"/>
      <c r="AF265" s="7652"/>
      <c r="AG265" s="7074"/>
      <c r="AH265" s="7654"/>
      <c r="AI265" s="7655"/>
      <c r="AJ265" s="7656"/>
      <c r="AL265" s="331"/>
      <c r="AM265" s="331"/>
      <c r="AN265" s="331"/>
      <c r="AO265" s="331"/>
      <c r="AP265" s="1182" t="str">
        <f>IF(MOD(AU263, AT263) = 0, INT(AU263/AT263) &amp; " " &amp; AV262 &amp; " de " &amp; AT263 &amp; " kg", INT(AU263/AT263) &amp; " " &amp; AV262 &amp; " de " &amp; AT263 &amp; " kg" &amp; " + 1 "&amp;AV262&amp;" de " &amp; TEXT(MOD(AU263, AT263), "0.00") &amp; " kg")</f>
        <v>75 Assiette(s) de 1.2 kg + 1 Assiette(s) de 0.00 kg</v>
      </c>
      <c r="AQ265" s="141"/>
      <c r="AR265" s="141"/>
      <c r="AS265" s="141"/>
      <c r="AT265" s="141"/>
      <c r="AU265" s="988"/>
      <c r="AV265" s="7392"/>
      <c r="AX265" s="141"/>
      <c r="AY265" s="141"/>
      <c r="AZ265" s="141"/>
      <c r="BA265" s="141"/>
      <c r="BB265" s="1354" t="s">
        <v>252</v>
      </c>
      <c r="BC265" s="1355"/>
      <c r="BD265" s="1355"/>
      <c r="BE265" s="1355"/>
      <c r="BF265" s="1355"/>
      <c r="BG265" s="1356"/>
      <c r="BH265" s="1357" t="s">
        <v>1274</v>
      </c>
      <c r="BO265" s="2"/>
      <c r="BP265" s="2"/>
      <c r="BQ265" s="2"/>
      <c r="BR265" s="2"/>
      <c r="BS265" s="2"/>
      <c r="BT265" s="2"/>
      <c r="BU265" s="2"/>
      <c r="BW265" s="5">
        <v>1</v>
      </c>
    </row>
    <row r="266" spans="14:75" ht="15.75">
      <c r="N266" s="141"/>
      <c r="O266" s="141"/>
      <c r="P266" s="141"/>
      <c r="Q266" s="141"/>
      <c r="R266" s="1354" t="s">
        <v>252</v>
      </c>
      <c r="S266" s="1355"/>
      <c r="T266" s="1355"/>
      <c r="U266" s="1355"/>
      <c r="V266" s="1355"/>
      <c r="W266" s="1356"/>
      <c r="X266" s="1357" t="s">
        <v>1117</v>
      </c>
      <c r="Z266" s="331"/>
      <c r="AA266" s="331"/>
      <c r="AB266" s="331"/>
      <c r="AC266" s="331"/>
      <c r="AD266" s="1561"/>
      <c r="AE266" s="210">
        <v>350</v>
      </c>
      <c r="AF266" s="5493">
        <f>IFERROR(INDEX(AD272:AJ272,MATCH(AG266,AD271:AJ271,0)) * AE266 * IF(ISBLANK(AD266), 1, AD266), 0)</f>
        <v>0.35000000000000003</v>
      </c>
      <c r="AG266" s="251" t="s">
        <v>130</v>
      </c>
      <c r="AH266" s="1562">
        <v>16</v>
      </c>
      <c r="AI266" s="1563">
        <f>((AF266-(AF266*AH266%)))</f>
        <v>0.29400000000000004</v>
      </c>
      <c r="AJ266" s="1564" t="s">
        <v>177</v>
      </c>
      <c r="AL266" s="331"/>
      <c r="AM266" s="331"/>
      <c r="AN266" s="331"/>
      <c r="AO266" s="331"/>
      <c r="AP266" s="1323"/>
      <c r="AQ266" s="988"/>
      <c r="AR266" s="988"/>
      <c r="AS266" s="988"/>
      <c r="AT266" s="988"/>
      <c r="AU266" s="988"/>
      <c r="AV266" s="1325"/>
      <c r="AX266" s="141"/>
      <c r="AY266" s="141"/>
      <c r="AZ266" s="141"/>
      <c r="BA266" s="141"/>
      <c r="BB266" s="1541" t="s">
        <v>1275</v>
      </c>
      <c r="BC266" s="1542" t="s">
        <v>1276</v>
      </c>
      <c r="BD266" s="1543"/>
      <c r="BE266" s="1544" t="s">
        <v>1277</v>
      </c>
      <c r="BF266" s="1542" t="s">
        <v>21</v>
      </c>
      <c r="BG266" s="1542" t="s">
        <v>1278</v>
      </c>
      <c r="BH266" s="1545" t="s">
        <v>1279</v>
      </c>
      <c r="BO266" s="2"/>
      <c r="BP266" s="2"/>
      <c r="BQ266" s="2"/>
      <c r="BR266" s="2"/>
      <c r="BS266" s="2"/>
      <c r="BT266" s="2"/>
      <c r="BU266" s="2"/>
      <c r="BW266" s="5">
        <v>1</v>
      </c>
    </row>
    <row r="267" spans="14:75" ht="15.75">
      <c r="N267" s="141"/>
      <c r="O267" s="141"/>
      <c r="P267" s="141"/>
      <c r="Q267" s="141"/>
      <c r="R267" s="1411" t="s">
        <v>1175</v>
      </c>
      <c r="S267" s="1487">
        <v>1.7361111111111112E-2</v>
      </c>
      <c r="T267" s="1488"/>
      <c r="U267" s="1488">
        <v>3</v>
      </c>
      <c r="V267" s="1489" t="s">
        <v>1223</v>
      </c>
      <c r="W267" s="1534"/>
      <c r="X267" s="1535"/>
      <c r="Z267" s="331"/>
      <c r="AA267" s="331"/>
      <c r="AB267" s="331"/>
      <c r="AC267" s="331"/>
      <c r="AD267" s="1568"/>
      <c r="AE267" s="1569">
        <v>1.2</v>
      </c>
      <c r="AF267" s="5493">
        <f>IFERROR(INDEX(AD272:AJ272,MATCH(AG267,AD271:AJ271,0)) * AE267 * IF(ISBLANK(AD267), 1, AD267), 0)</f>
        <v>1.2</v>
      </c>
      <c r="AG267" s="314" t="s">
        <v>219</v>
      </c>
      <c r="AH267" s="1570">
        <v>22</v>
      </c>
      <c r="AI267" s="1563">
        <f>((AF267-(AF267*AH267%)))</f>
        <v>0.93599999999999994</v>
      </c>
      <c r="AJ267" s="1571" t="s">
        <v>174</v>
      </c>
      <c r="AL267" s="331"/>
      <c r="AM267" s="331"/>
      <c r="AN267" s="331"/>
      <c r="AO267" s="331"/>
      <c r="AP267" s="1369" t="s">
        <v>864</v>
      </c>
      <c r="AQ267" s="1321"/>
      <c r="AR267" s="1321"/>
      <c r="AS267" s="1321"/>
      <c r="AT267" s="1321"/>
      <c r="AU267" s="1321"/>
      <c r="AV267" s="1370" t="s">
        <v>1297</v>
      </c>
      <c r="AX267" s="141"/>
      <c r="AY267" s="141"/>
      <c r="AZ267" s="141"/>
      <c r="BA267" s="141"/>
      <c r="BB267" s="1546" t="str">
        <f>"cellule "&amp;ADDRESS(ROW(BH267),COLUMN(BH267),4)&amp;"  vous pouvez saisir un autre poids"</f>
        <v>cellule BH267  vous pouvez saisir un autre poids</v>
      </c>
      <c r="BC267" s="1547"/>
      <c r="BD267" s="1548"/>
      <c r="BE267" s="102"/>
      <c r="BF267" s="1547"/>
      <c r="BH267" s="1549">
        <v>1</v>
      </c>
      <c r="BO267" s="2"/>
      <c r="BP267" s="2"/>
      <c r="BQ267" s="2"/>
      <c r="BR267" s="2"/>
      <c r="BS267" s="2"/>
      <c r="BT267" s="2"/>
      <c r="BU267" s="2"/>
      <c r="BW267" s="5">
        <v>1</v>
      </c>
    </row>
    <row r="268" spans="14:75" ht="15.75">
      <c r="N268" s="141"/>
      <c r="O268" s="141"/>
      <c r="P268" s="141"/>
      <c r="Q268" s="141"/>
      <c r="R268" s="1411" t="s">
        <v>1175</v>
      </c>
      <c r="S268" s="1487">
        <v>1.7361111111111112E-2</v>
      </c>
      <c r="T268" s="1488"/>
      <c r="U268" s="1488">
        <v>3</v>
      </c>
      <c r="V268" s="1148" t="s">
        <v>1264</v>
      </c>
      <c r="W268" s="1148"/>
      <c r="X268" s="1490"/>
      <c r="Z268" s="331"/>
      <c r="AA268" s="331"/>
      <c r="AB268" s="331"/>
      <c r="AC268" s="331"/>
      <c r="AD268" s="1568">
        <v>2</v>
      </c>
      <c r="AE268" s="210">
        <v>50</v>
      </c>
      <c r="AF268" s="5493">
        <f>IFERROR(INDEX(AD272:AJ272,MATCH(AG268,AD271:AJ271,0)) * AE268 * IF(ISBLANK(AD268), 1, AD268), 0)</f>
        <v>0.1</v>
      </c>
      <c r="AG268" s="251" t="s">
        <v>130</v>
      </c>
      <c r="AH268" s="1570"/>
      <c r="AI268" s="1563">
        <f>((AF268-(AF268*AH268%)))</f>
        <v>0.1</v>
      </c>
      <c r="AJ268" s="1575" t="s">
        <v>1286</v>
      </c>
      <c r="AL268" s="331"/>
      <c r="AM268" s="331"/>
      <c r="AN268" s="331"/>
      <c r="AO268" s="331"/>
      <c r="AP268" s="141"/>
      <c r="AQ268" s="141"/>
      <c r="AR268" s="141"/>
      <c r="AS268" s="141"/>
      <c r="AT268" s="141"/>
      <c r="AU268" s="141"/>
      <c r="AV268" s="141"/>
      <c r="AX268" s="141"/>
      <c r="AY268" s="141"/>
      <c r="AZ268" s="141"/>
      <c r="BA268" s="141"/>
      <c r="BB268" s="5456">
        <v>100</v>
      </c>
      <c r="BC268" s="5457">
        <v>120</v>
      </c>
      <c r="BD268" s="1552"/>
      <c r="BE268" s="5457">
        <v>180</v>
      </c>
      <c r="BF268" s="5457">
        <v>180</v>
      </c>
      <c r="BG268" s="5457">
        <v>200</v>
      </c>
      <c r="BH268" s="1553" t="s">
        <v>1281</v>
      </c>
      <c r="BO268" s="2"/>
      <c r="BP268" s="2"/>
      <c r="BQ268" s="2"/>
      <c r="BR268" s="2"/>
      <c r="BS268" s="2"/>
      <c r="BT268" s="2"/>
      <c r="BU268" s="2"/>
      <c r="BW268" s="5">
        <v>1</v>
      </c>
    </row>
    <row r="269" spans="14:75" ht="15.75">
      <c r="N269" s="141"/>
      <c r="O269" s="141"/>
      <c r="P269" s="141"/>
      <c r="Q269" s="141"/>
      <c r="R269" s="1411" t="s">
        <v>1175</v>
      </c>
      <c r="S269" s="1487">
        <v>5.9027777777777797E-2</v>
      </c>
      <c r="T269" s="1488"/>
      <c r="U269" s="1488">
        <v>3</v>
      </c>
      <c r="V269" s="1148" t="s">
        <v>1225</v>
      </c>
      <c r="W269" s="1148"/>
      <c r="X269" s="1490"/>
      <c r="Z269" s="331"/>
      <c r="AA269" s="331"/>
      <c r="AB269" s="331"/>
      <c r="AC269" s="331"/>
      <c r="AD269" s="1568"/>
      <c r="AE269" s="210">
        <v>1</v>
      </c>
      <c r="AF269" s="5493">
        <f>IFERROR(INDEX(AD272:AJ272,MATCH(AG269,AD271:AJ271,0)) * AE269 * IF(ISBLANK(AD269), 1, AD269), 0)</f>
        <v>0.5</v>
      </c>
      <c r="AG269" s="265" t="s">
        <v>159</v>
      </c>
      <c r="AH269" s="1570"/>
      <c r="AI269" s="1563">
        <f>((AF269-(AF269*AH269%)))</f>
        <v>0.5</v>
      </c>
      <c r="AJ269" s="1571" t="s">
        <v>1289</v>
      </c>
      <c r="AL269" s="331"/>
      <c r="AM269" s="331"/>
      <c r="AN269" s="331"/>
      <c r="AO269" s="331"/>
      <c r="AP269" s="141"/>
      <c r="AQ269" s="141"/>
      <c r="AR269" s="141"/>
      <c r="AS269" s="141"/>
      <c r="AT269" s="141"/>
      <c r="AU269" s="141"/>
      <c r="AV269" s="141"/>
      <c r="AX269" s="141"/>
      <c r="AY269" s="141"/>
      <c r="AZ269" s="141"/>
      <c r="BA269" s="141"/>
      <c r="BB269" s="1555">
        <f>IF(MOD(BH267*1000/BB268,1)=0,BH267*1000/BB268,IF(MOD(BH267*1000/BB268,1)&lt;0.5,INT(BH267*1000/BB268),INT(BH267*1000/BB268)+1))</f>
        <v>10</v>
      </c>
      <c r="BC269" s="1556">
        <f>IF(MOD(BH267*1000/BC268,1)=0,BH267*1000/BC268,IF(MOD(BH267*1000/BC268,1)&lt;0.5,INT(BH267*1000/BC268),INT(BH267*1000/BC268)+1))</f>
        <v>8</v>
      </c>
      <c r="BD269" s="1557"/>
      <c r="BE269" s="1556">
        <f>IF(MOD(BH267*1000/BE268,1)=0,BH267*1000/BE268,IF(MOD(BH267*1000/BE268,1)&lt;0.5,INT(BH267*1000/BE268),INT(BH267*1000/BE268)+1))</f>
        <v>6</v>
      </c>
      <c r="BF269" s="1556">
        <f>IF(MOD(BH267*1000/BF268,1)=0,BH267*1000/BF268,IF(MOD(BH267*1000/BF268,1)&lt;0.5,INT(BH267*1000/BF268),INT(BH267*1000/BF268)+1))</f>
        <v>6</v>
      </c>
      <c r="BG269" s="1556">
        <f>IF(MOD(BH267*1000/BG268,1)=0,BH267*1000/BG268,IF(MOD(BH267*1000/BG268,1)&lt;0.5,INT(BH267*1000/BG268),INT(BH267*1000/BG268)+1))</f>
        <v>5</v>
      </c>
      <c r="BH269" s="1558" t="s">
        <v>1283</v>
      </c>
      <c r="BO269" s="2"/>
      <c r="BP269" s="2"/>
      <c r="BQ269" s="2"/>
      <c r="BR269" s="2"/>
      <c r="BS269" s="2"/>
      <c r="BT269" s="2"/>
      <c r="BU269" s="2"/>
      <c r="BW269" s="5">
        <v>1</v>
      </c>
    </row>
    <row r="270" spans="14:75" ht="15.75" customHeight="1">
      <c r="N270" s="141"/>
      <c r="O270" s="141"/>
      <c r="P270" s="141"/>
      <c r="Q270" s="141"/>
      <c r="R270" s="1411" t="s">
        <v>1175</v>
      </c>
      <c r="S270" s="1487">
        <v>2.4305555555555556E-2</v>
      </c>
      <c r="T270" s="1488"/>
      <c r="U270" s="1488">
        <v>3</v>
      </c>
      <c r="V270" s="1148" t="s">
        <v>1226</v>
      </c>
      <c r="W270" s="1148"/>
      <c r="X270" s="1490"/>
      <c r="Z270" s="331"/>
      <c r="AA270" s="331"/>
      <c r="AB270" s="331"/>
      <c r="AC270" s="331"/>
      <c r="AD270" s="1581" t="s">
        <v>1294</v>
      </c>
      <c r="AE270" s="988"/>
      <c r="AF270" s="988"/>
      <c r="AG270" s="988"/>
      <c r="AH270" s="988"/>
      <c r="AI270" s="988"/>
      <c r="AJ270" s="1582" t="s">
        <v>1295</v>
      </c>
      <c r="AL270" s="331"/>
      <c r="AM270" s="331"/>
      <c r="AN270" s="331"/>
      <c r="AO270" s="331"/>
      <c r="AP270" s="1354" t="s">
        <v>252</v>
      </c>
      <c r="AQ270" s="1550"/>
      <c r="AR270" s="1550"/>
      <c r="AS270" s="1550"/>
      <c r="AT270" s="1550"/>
      <c r="AU270" s="1551"/>
      <c r="AV270" s="1434" t="s">
        <v>1298</v>
      </c>
      <c r="AX270" s="141"/>
      <c r="AY270" s="141"/>
      <c r="AZ270" s="141"/>
      <c r="BA270" s="141"/>
      <c r="BB270" s="1546" t="str">
        <f>"cellule "&amp;ADDRESS(ROW(BH270),COLUMN(BH270),4)&amp;"  vous pouvez saisir un autre poids"</f>
        <v>cellule BH270  vous pouvez saisir un autre poids</v>
      </c>
      <c r="BC270" s="1552"/>
      <c r="BD270" s="1559"/>
      <c r="BE270" s="141"/>
      <c r="BF270" s="1552"/>
      <c r="BH270" s="1560">
        <v>1</v>
      </c>
      <c r="BO270" s="2"/>
      <c r="BP270" s="2"/>
      <c r="BQ270" s="2"/>
      <c r="BR270" s="2"/>
      <c r="BS270" s="2"/>
      <c r="BT270" s="2"/>
      <c r="BU270" s="2"/>
      <c r="BW270" s="5">
        <v>1</v>
      </c>
    </row>
    <row r="271" spans="14:75" ht="22.5" customHeight="1">
      <c r="N271" s="141"/>
      <c r="O271" s="141"/>
      <c r="P271" s="141"/>
      <c r="Q271" s="141"/>
      <c r="R271" s="1411" t="s">
        <v>1175</v>
      </c>
      <c r="S271" s="1487">
        <v>1.0416666666666666E-2</v>
      </c>
      <c r="T271" s="1488"/>
      <c r="U271" s="1488">
        <v>170</v>
      </c>
      <c r="V271" s="1148" t="s">
        <v>1227</v>
      </c>
      <c r="W271" s="1148"/>
      <c r="X271" s="1490"/>
      <c r="Z271" s="331"/>
      <c r="AA271" s="331"/>
      <c r="AB271" s="331"/>
      <c r="AC271" s="331"/>
      <c r="AD271" s="314" t="s">
        <v>219</v>
      </c>
      <c r="AE271" s="251" t="s">
        <v>130</v>
      </c>
      <c r="AF271" s="1583"/>
      <c r="AG271" s="265" t="s">
        <v>159</v>
      </c>
      <c r="AH271" s="265" t="s">
        <v>164</v>
      </c>
      <c r="AI271" s="251" t="s">
        <v>88</v>
      </c>
      <c r="AJ271" s="1584" t="s">
        <v>170</v>
      </c>
      <c r="AL271" s="331"/>
      <c r="AM271" s="331"/>
      <c r="AN271" s="331"/>
      <c r="AO271" s="331"/>
      <c r="AP271" s="1319"/>
      <c r="AQ271" s="147"/>
      <c r="AR271" s="147"/>
      <c r="AS271" s="147"/>
      <c r="AT271" s="147"/>
      <c r="AU271" s="147"/>
      <c r="AV271" s="1580" t="s">
        <v>1293</v>
      </c>
      <c r="AX271" s="141"/>
      <c r="AY271" s="141"/>
      <c r="AZ271" s="141"/>
      <c r="BA271" s="141"/>
      <c r="BB271" s="1565">
        <v>10</v>
      </c>
      <c r="BC271" s="1512">
        <v>8</v>
      </c>
      <c r="BD271" s="1566"/>
      <c r="BE271" s="1512">
        <v>5</v>
      </c>
      <c r="BF271" s="1512">
        <v>6</v>
      </c>
      <c r="BG271" s="1512">
        <v>10</v>
      </c>
      <c r="BH271" s="1567" t="s">
        <v>1284</v>
      </c>
      <c r="BO271" s="2"/>
      <c r="BP271" s="2"/>
      <c r="BQ271" s="2"/>
      <c r="BR271" s="2"/>
      <c r="BS271" s="2"/>
      <c r="BT271" s="2"/>
      <c r="BU271" s="2"/>
      <c r="BW271" s="5">
        <v>1</v>
      </c>
    </row>
    <row r="272" spans="14:75" ht="15.75">
      <c r="N272" s="141"/>
      <c r="O272" s="141"/>
      <c r="P272" s="141"/>
      <c r="Q272" s="141"/>
      <c r="R272" s="1411" t="s">
        <v>1175</v>
      </c>
      <c r="S272" s="1487">
        <v>6.9444444444444441E-3</v>
      </c>
      <c r="T272" s="1488"/>
      <c r="U272" s="1488">
        <v>150</v>
      </c>
      <c r="V272" s="1148" t="s">
        <v>1217</v>
      </c>
      <c r="W272" s="1148"/>
      <c r="X272" s="1490"/>
      <c r="Z272" s="331"/>
      <c r="AA272" s="331"/>
      <c r="AB272" s="331"/>
      <c r="AC272" s="331"/>
      <c r="AD272" s="1585">
        <v>1</v>
      </c>
      <c r="AE272" s="1585">
        <v>1E-3</v>
      </c>
      <c r="AF272" s="1583"/>
      <c r="AG272" s="1586">
        <v>0.5</v>
      </c>
      <c r="AH272" s="1585">
        <v>0.25</v>
      </c>
      <c r="AI272" s="1587">
        <v>1</v>
      </c>
      <c r="AJ272" s="1588">
        <v>0.01</v>
      </c>
      <c r="AL272" s="331"/>
      <c r="AM272" s="331"/>
      <c r="AN272" s="331"/>
      <c r="AO272" s="331"/>
      <c r="AP272" s="1600"/>
      <c r="AQ272" s="1601" t="s">
        <v>762</v>
      </c>
      <c r="AR272" s="988"/>
      <c r="AS272" s="1602">
        <v>2</v>
      </c>
      <c r="AT272" s="1603"/>
      <c r="AU272" s="1604">
        <v>10</v>
      </c>
      <c r="AV272" s="5425" t="s">
        <v>751</v>
      </c>
      <c r="AX272" s="141"/>
      <c r="AY272" s="141"/>
      <c r="AZ272" s="141"/>
      <c r="BA272" s="141"/>
      <c r="BB272" s="1572">
        <f>BH270/BB271*1000</f>
        <v>100</v>
      </c>
      <c r="BC272" s="1573">
        <f>BH270/BC271*1000</f>
        <v>125</v>
      </c>
      <c r="BD272" s="1574"/>
      <c r="BE272" s="1573">
        <f>BH270/BE271*1000</f>
        <v>200</v>
      </c>
      <c r="BF272" s="1573">
        <f>BH270/BF271*1000</f>
        <v>166.66666666666666</v>
      </c>
      <c r="BG272" s="1573">
        <f>BH270/BG271*1000</f>
        <v>100</v>
      </c>
      <c r="BH272" s="1558" t="s">
        <v>1285</v>
      </c>
      <c r="BO272" s="2"/>
      <c r="BP272" s="2"/>
      <c r="BQ272" s="2"/>
      <c r="BR272" s="2"/>
      <c r="BS272" s="2"/>
      <c r="BT272" s="2"/>
      <c r="BU272" s="2"/>
      <c r="BW272" s="5">
        <v>1</v>
      </c>
    </row>
    <row r="273" spans="14:75" ht="15.75" customHeight="1">
      <c r="N273" s="141"/>
      <c r="O273" s="141"/>
      <c r="P273" s="141"/>
      <c r="Q273" s="141"/>
      <c r="R273" s="1411" t="s">
        <v>1175</v>
      </c>
      <c r="S273" s="1487">
        <v>0.10069444444444445</v>
      </c>
      <c r="T273" s="1488"/>
      <c r="U273" s="1488">
        <v>120</v>
      </c>
      <c r="V273" s="1148" t="s">
        <v>1228</v>
      </c>
      <c r="W273" s="1120"/>
      <c r="X273" s="1491"/>
      <c r="Z273" s="331"/>
      <c r="AA273" s="331"/>
      <c r="AB273" s="331"/>
      <c r="AC273" s="331"/>
      <c r="AD273" s="1323"/>
      <c r="AE273" s="988"/>
      <c r="AF273" s="988"/>
      <c r="AG273" s="988"/>
      <c r="AH273" s="988"/>
      <c r="AI273" s="988"/>
      <c r="AJ273" s="1325"/>
      <c r="AL273" s="331"/>
      <c r="AM273" s="331"/>
      <c r="AN273" s="331"/>
      <c r="AO273" s="331"/>
      <c r="AP273" s="1605"/>
      <c r="AQ273" s="5422" t="s">
        <v>759</v>
      </c>
      <c r="AR273" s="988"/>
      <c r="AS273" s="1606">
        <v>1</v>
      </c>
      <c r="AT273" s="1607"/>
      <c r="AU273" s="1608">
        <v>15</v>
      </c>
      <c r="AV273" s="1609" t="s">
        <v>752</v>
      </c>
      <c r="AX273" s="141"/>
      <c r="AY273" s="141"/>
      <c r="AZ273" s="141"/>
      <c r="BA273" s="141"/>
      <c r="BB273" s="1576" t="s">
        <v>1279</v>
      </c>
      <c r="BC273" s="1577"/>
      <c r="BD273" s="1578" t="s">
        <v>1287</v>
      </c>
      <c r="BE273" s="1577"/>
      <c r="BF273" s="1577"/>
      <c r="BG273" s="1578" t="s">
        <v>1288</v>
      </c>
      <c r="BH273" s="1325"/>
      <c r="BO273" s="2"/>
      <c r="BP273" s="2"/>
      <c r="BQ273" s="2"/>
      <c r="BR273" s="2"/>
      <c r="BS273" s="2"/>
      <c r="BT273" s="2"/>
      <c r="BU273" s="2"/>
      <c r="BW273" s="5">
        <v>1</v>
      </c>
    </row>
    <row r="274" spans="14:75" ht="15.75" customHeight="1">
      <c r="N274" s="141"/>
      <c r="O274" s="141"/>
      <c r="P274" s="141"/>
      <c r="Q274" s="141"/>
      <c r="R274" s="1411" t="s">
        <v>1175</v>
      </c>
      <c r="S274" s="1487">
        <v>1.3888888888888888E-2</v>
      </c>
      <c r="T274" s="1488"/>
      <c r="U274" s="1488">
        <v>120</v>
      </c>
      <c r="V274" s="1148" t="s">
        <v>1265</v>
      </c>
      <c r="W274" s="1120"/>
      <c r="X274" s="1491"/>
      <c r="Z274" s="331"/>
      <c r="AA274" s="331"/>
      <c r="AB274" s="331"/>
      <c r="AC274" s="331"/>
      <c r="AD274" s="1369" t="s">
        <v>864</v>
      </c>
      <c r="AE274" s="1321"/>
      <c r="AF274" s="1321"/>
      <c r="AG274" s="1321"/>
      <c r="AH274" s="1321"/>
      <c r="AI274" s="1321"/>
      <c r="AJ274" s="1370" t="s">
        <v>1297</v>
      </c>
      <c r="AL274" s="331"/>
      <c r="AM274" s="331"/>
      <c r="AN274" s="331"/>
      <c r="AO274" s="331"/>
      <c r="AP274" s="1610"/>
      <c r="AQ274" s="1611" t="s">
        <v>765</v>
      </c>
      <c r="AR274" s="988"/>
      <c r="AS274" s="1612">
        <f>IF(AS272=0,0,IF(AS273=0,0,AS272-AS273))</f>
        <v>1</v>
      </c>
      <c r="AT274" s="1613"/>
      <c r="AU274" s="1614">
        <f>IF(AU272=0,0,IF(AU273=0,0,AU273-AU272))</f>
        <v>5</v>
      </c>
      <c r="AV274" s="1615" t="s">
        <v>754</v>
      </c>
      <c r="AX274" s="141"/>
      <c r="AY274" s="141"/>
      <c r="AZ274" s="141"/>
      <c r="BA274" s="141"/>
      <c r="BB274" s="1576" t="s">
        <v>1290</v>
      </c>
      <c r="BC274" s="1577"/>
      <c r="BD274" s="1579" t="s">
        <v>1291</v>
      </c>
      <c r="BE274" s="1577"/>
      <c r="BF274" s="1577"/>
      <c r="BG274" s="1578" t="s">
        <v>1292</v>
      </c>
      <c r="BH274" s="1580" t="s">
        <v>1293</v>
      </c>
      <c r="BO274" s="2"/>
      <c r="BP274" s="2"/>
      <c r="BQ274" s="2"/>
      <c r="BR274" s="2"/>
      <c r="BS274" s="2"/>
      <c r="BT274" s="2"/>
      <c r="BU274" s="2"/>
      <c r="BW274" s="5">
        <v>1</v>
      </c>
    </row>
    <row r="275" spans="14:75" ht="15.75">
      <c r="N275" s="141"/>
      <c r="O275" s="141"/>
      <c r="P275" s="141"/>
      <c r="Q275" s="141"/>
      <c r="R275" s="1411" t="s">
        <v>1175</v>
      </c>
      <c r="S275" s="1487">
        <v>2.4305555555555556E-2</v>
      </c>
      <c r="T275" s="1488"/>
      <c r="U275" s="1488"/>
      <c r="V275" s="1148" t="s">
        <v>1267</v>
      </c>
      <c r="W275" s="1120"/>
      <c r="X275" s="1491"/>
      <c r="Z275" s="331"/>
      <c r="AA275" s="331"/>
      <c r="AB275" s="331"/>
      <c r="AC275" s="331"/>
      <c r="AD275" s="141"/>
      <c r="AE275" s="141"/>
      <c r="AF275" s="141"/>
      <c r="AG275" s="141"/>
      <c r="AH275" s="141"/>
      <c r="AI275" s="141"/>
      <c r="AJ275" s="141"/>
      <c r="AL275" s="331"/>
      <c r="AM275" s="331"/>
      <c r="AN275" s="331"/>
      <c r="AO275" s="331"/>
      <c r="AP275" s="1610"/>
      <c r="AQ275" s="1611" t="s">
        <v>768</v>
      </c>
      <c r="AR275" s="988"/>
      <c r="AS275" s="1616">
        <f>IF(AS272=0,0,AS274/AS272)</f>
        <v>0.5</v>
      </c>
      <c r="AT275" s="1617"/>
      <c r="AU275" s="1618">
        <f>IF(AU272=0,0,IF(ISBLANK(AU272),0,(AU274/AU272)*100))</f>
        <v>50</v>
      </c>
      <c r="AV275" s="1615" t="s">
        <v>753</v>
      </c>
      <c r="AX275" s="141"/>
      <c r="AY275" s="141"/>
      <c r="AZ275" s="141"/>
      <c r="BA275" s="141"/>
      <c r="BB275" s="1369" t="s">
        <v>864</v>
      </c>
      <c r="BC275" s="1321"/>
      <c r="BD275" s="1321"/>
      <c r="BE275" s="1321"/>
      <c r="BF275" s="1321"/>
      <c r="BG275" s="1321"/>
      <c r="BH275" s="1370" t="s">
        <v>1141</v>
      </c>
      <c r="BO275" s="2"/>
      <c r="BP275" s="2"/>
      <c r="BQ275" s="2"/>
      <c r="BR275" s="2"/>
      <c r="BS275" s="2"/>
      <c r="BT275" s="2"/>
      <c r="BU275" s="2"/>
      <c r="BW275" s="5">
        <v>1</v>
      </c>
    </row>
    <row r="276" spans="14:75" ht="15" customHeight="1">
      <c r="N276" s="141"/>
      <c r="O276" s="141"/>
      <c r="P276" s="141"/>
      <c r="Q276" s="141"/>
      <c r="R276" s="1411" t="s">
        <v>1175</v>
      </c>
      <c r="S276" s="1487">
        <v>7.2916666666666671E-2</v>
      </c>
      <c r="T276" s="1488"/>
      <c r="U276" s="1539" t="s">
        <v>1268</v>
      </c>
      <c r="V276" s="1148" t="s">
        <v>1269</v>
      </c>
      <c r="W276" s="1120"/>
      <c r="X276" s="1491"/>
      <c r="Z276" s="331"/>
      <c r="AA276" s="331"/>
      <c r="AB276" s="331"/>
      <c r="AC276" s="331"/>
      <c r="AD276" s="141"/>
      <c r="AE276" s="141"/>
      <c r="AF276" s="141"/>
      <c r="AG276" s="141"/>
      <c r="AH276" s="141"/>
      <c r="AI276" s="141"/>
      <c r="AJ276" s="141"/>
      <c r="AL276" s="331"/>
      <c r="AM276" s="331"/>
      <c r="AN276" s="331"/>
      <c r="AO276" s="331"/>
      <c r="AP276" s="1605"/>
      <c r="AQ276" s="5422" t="s">
        <v>764</v>
      </c>
      <c r="AR276" s="988"/>
      <c r="AS276" s="1619">
        <v>50</v>
      </c>
      <c r="AT276" s="1603"/>
      <c r="AU276" s="1604">
        <v>10</v>
      </c>
      <c r="AV276" s="5425" t="s">
        <v>751</v>
      </c>
      <c r="AX276" s="141"/>
      <c r="AY276" s="141"/>
      <c r="AZ276" s="141"/>
      <c r="BA276" s="141"/>
      <c r="BB276" s="141"/>
      <c r="BC276" s="141"/>
      <c r="BD276" s="141"/>
      <c r="BE276" s="141"/>
      <c r="BF276" s="141"/>
      <c r="BG276" s="141"/>
      <c r="BH276" s="141"/>
      <c r="BO276" s="2"/>
      <c r="BP276" s="2"/>
      <c r="BQ276" s="2"/>
      <c r="BR276" s="2"/>
      <c r="BS276" s="2"/>
      <c r="BT276" s="2"/>
      <c r="BU276" s="2"/>
      <c r="BW276" s="5">
        <v>1</v>
      </c>
    </row>
    <row r="277" spans="14:75" ht="15.75">
      <c r="N277" s="141"/>
      <c r="O277" s="141"/>
      <c r="P277" s="141"/>
      <c r="Q277" s="141"/>
      <c r="R277" s="1411" t="s">
        <v>1175</v>
      </c>
      <c r="S277" s="1487"/>
      <c r="T277" s="5424" t="s">
        <v>1271</v>
      </c>
      <c r="U277" s="1389">
        <v>65</v>
      </c>
      <c r="V277" s="1493" t="s">
        <v>1272</v>
      </c>
      <c r="W277" s="1120"/>
      <c r="X277" s="1491"/>
      <c r="AL277" s="331"/>
      <c r="AM277" s="331"/>
      <c r="AN277" s="331"/>
      <c r="AO277" s="331"/>
      <c r="AP277" s="1610"/>
      <c r="AQ277" s="1611" t="s">
        <v>765</v>
      </c>
      <c r="AR277" s="988"/>
      <c r="AS277" s="1612">
        <f>AS272*AS276%</f>
        <v>1</v>
      </c>
      <c r="AT277" s="1620"/>
      <c r="AU277" s="1621">
        <v>50</v>
      </c>
      <c r="AV277" s="1622" t="s">
        <v>753</v>
      </c>
      <c r="AX277" s="141"/>
      <c r="AY277" s="141"/>
      <c r="AZ277" s="141"/>
      <c r="BA277" s="141"/>
      <c r="BB277" s="141"/>
      <c r="BC277" s="141"/>
      <c r="BD277" s="141"/>
      <c r="BE277" s="141"/>
      <c r="BF277" s="141"/>
      <c r="BG277" s="141"/>
      <c r="BH277" s="141"/>
      <c r="BO277" s="2"/>
      <c r="BP277" s="2"/>
      <c r="BQ277" s="2"/>
      <c r="BR277" s="2"/>
      <c r="BS277" s="2"/>
      <c r="BT277" s="2"/>
      <c r="BU277" s="2"/>
      <c r="BW277" s="5">
        <v>1</v>
      </c>
    </row>
    <row r="278" spans="14:75" ht="15.75" customHeight="1">
      <c r="N278" s="141"/>
      <c r="O278" s="141"/>
      <c r="P278" s="141"/>
      <c r="Q278" s="141"/>
      <c r="R278" s="1411" t="s">
        <v>1175</v>
      </c>
      <c r="S278" s="1487"/>
      <c r="T278" s="1497" t="s">
        <v>1271</v>
      </c>
      <c r="U278" s="1386">
        <v>3</v>
      </c>
      <c r="V278" s="1498" t="s">
        <v>1273</v>
      </c>
      <c r="W278" s="1120"/>
      <c r="X278" s="1491"/>
      <c r="AL278" s="331"/>
      <c r="AM278" s="331"/>
      <c r="AN278" s="331"/>
      <c r="AO278" s="331"/>
      <c r="AP278" s="1610"/>
      <c r="AQ278" s="1611" t="s">
        <v>773</v>
      </c>
      <c r="AR278" s="988"/>
      <c r="AS278" s="1612">
        <f>AS272-AS277</f>
        <v>1</v>
      </c>
      <c r="AT278" s="1613"/>
      <c r="AU278" s="1614">
        <f>AU276*AU277%</f>
        <v>5</v>
      </c>
      <c r="AV278" s="1615" t="s">
        <v>754</v>
      </c>
      <c r="AX278" s="141"/>
      <c r="AY278" s="141"/>
      <c r="AZ278" s="141"/>
      <c r="BA278" s="141"/>
      <c r="BB278" s="1354" t="s">
        <v>252</v>
      </c>
      <c r="BC278" s="1550"/>
      <c r="BD278" s="1550"/>
      <c r="BE278" s="1550"/>
      <c r="BF278" s="1550"/>
      <c r="BG278" s="1551"/>
      <c r="BH278" s="1434" t="s">
        <v>1256</v>
      </c>
      <c r="BO278" s="2"/>
      <c r="BP278" s="2"/>
      <c r="BQ278" s="2"/>
      <c r="BR278" s="2"/>
      <c r="BS278" s="2"/>
      <c r="BT278" s="2"/>
      <c r="BU278" s="2"/>
      <c r="BW278" s="5">
        <v>1</v>
      </c>
    </row>
    <row r="279" spans="14:75" ht="15.75" customHeight="1">
      <c r="N279" s="141"/>
      <c r="O279" s="141"/>
      <c r="P279" s="141"/>
      <c r="Q279" s="141"/>
      <c r="R279" s="1540" t="s">
        <v>37</v>
      </c>
      <c r="S279" s="1442">
        <f>SUM(S267:S278)</f>
        <v>0.34722222222222227</v>
      </c>
      <c r="W279" s="1120"/>
      <c r="X279" s="1491"/>
      <c r="AL279" s="331"/>
      <c r="AM279" s="331"/>
      <c r="AN279" s="331"/>
      <c r="AO279" s="331"/>
      <c r="AP279" s="1323"/>
      <c r="AQ279" s="1257"/>
      <c r="AR279" s="988"/>
      <c r="AS279" s="1623"/>
      <c r="AT279" s="1624"/>
      <c r="AU279" s="1614">
        <f>((AU276*AU277)/100)+AU276</f>
        <v>15</v>
      </c>
      <c r="AV279" s="1615" t="s">
        <v>752</v>
      </c>
      <c r="AX279" s="141"/>
      <c r="AY279" s="141"/>
      <c r="AZ279" s="141"/>
      <c r="BA279" s="141"/>
      <c r="BB279" s="1589" t="s">
        <v>1296</v>
      </c>
      <c r="BC279" s="1590"/>
      <c r="BD279" s="1591"/>
      <c r="BE279" s="1592"/>
      <c r="BF279" s="1591"/>
      <c r="BG279" s="1591"/>
      <c r="BH279" s="1593"/>
      <c r="BO279" s="2"/>
      <c r="BP279" s="2"/>
      <c r="BQ279" s="2"/>
      <c r="BR279" s="2"/>
      <c r="BS279" s="2"/>
      <c r="BT279" s="2"/>
      <c r="BU279" s="2"/>
      <c r="BW279" s="5">
        <v>1</v>
      </c>
    </row>
    <row r="280" spans="14:75" ht="15.75" customHeight="1">
      <c r="N280" s="141"/>
      <c r="O280" s="141"/>
      <c r="P280" s="141"/>
      <c r="Q280" s="141"/>
      <c r="R280" s="1369" t="s">
        <v>864</v>
      </c>
      <c r="S280" s="1321"/>
      <c r="T280" s="1321"/>
      <c r="U280" s="1321"/>
      <c r="V280" s="1321"/>
      <c r="W280" s="1321"/>
      <c r="X280" s="1370"/>
      <c r="AL280" s="331"/>
      <c r="AM280" s="331"/>
      <c r="AN280" s="331"/>
      <c r="AO280" s="331"/>
      <c r="AP280" s="1369" t="s">
        <v>864</v>
      </c>
      <c r="AQ280" s="1321"/>
      <c r="AR280" s="1321"/>
      <c r="AS280" s="1321"/>
      <c r="AT280" s="1321"/>
      <c r="AU280" s="1321"/>
      <c r="AV280" s="1370" t="s">
        <v>1297</v>
      </c>
      <c r="AX280" s="141"/>
      <c r="AY280" s="141"/>
      <c r="AZ280" s="141"/>
      <c r="BA280" s="141"/>
      <c r="BB280" s="1319"/>
      <c r="BC280" s="102"/>
      <c r="BD280" s="102"/>
      <c r="BE280" s="102"/>
      <c r="BF280" s="1525" t="s">
        <v>1255</v>
      </c>
      <c r="BG280" s="102"/>
      <c r="BH280" s="1598"/>
      <c r="BO280" s="2"/>
      <c r="BP280" s="2"/>
      <c r="BQ280" s="2"/>
      <c r="BR280" s="2"/>
      <c r="BS280" s="2"/>
      <c r="BT280" s="2"/>
      <c r="BU280" s="2"/>
      <c r="BW280" s="5">
        <v>1</v>
      </c>
    </row>
    <row r="281" spans="14:75" ht="15.75" customHeight="1">
      <c r="N281" s="141"/>
      <c r="O281" s="141"/>
      <c r="P281" s="141"/>
      <c r="Q281" s="141"/>
      <c r="R281" s="1454"/>
      <c r="S281" s="1002"/>
      <c r="T281" s="1002" t="s">
        <v>873</v>
      </c>
      <c r="U281" s="1003"/>
      <c r="V281" s="1329"/>
      <c r="W281" s="1329"/>
      <c r="X281" s="1330"/>
      <c r="AL281" s="331"/>
      <c r="AM281" s="331"/>
      <c r="AN281" s="331"/>
      <c r="AO281" s="331"/>
      <c r="AP281" s="141"/>
      <c r="AQ281" s="141"/>
      <c r="AR281" s="141"/>
      <c r="AS281" s="141"/>
      <c r="AT281" s="141"/>
      <c r="AU281" s="141"/>
      <c r="AV281" s="141"/>
      <c r="AX281" s="141"/>
      <c r="AY281" s="141"/>
      <c r="AZ281" s="141"/>
      <c r="BA281" s="141"/>
      <c r="BB281" s="1527" t="s">
        <v>1257</v>
      </c>
      <c r="BC281" s="1528" t="s">
        <v>1258</v>
      </c>
      <c r="BD281" s="7082" t="s">
        <v>162</v>
      </c>
      <c r="BE281" s="7082"/>
      <c r="BF281" s="1529" t="s">
        <v>1259</v>
      </c>
      <c r="BH281" s="1530" t="s">
        <v>1185</v>
      </c>
      <c r="BO281" s="2"/>
      <c r="BP281" s="2"/>
      <c r="BQ281" s="2"/>
      <c r="BR281" s="2"/>
      <c r="BS281" s="2"/>
      <c r="BT281" s="2"/>
      <c r="BU281" s="2"/>
      <c r="BW281" s="5">
        <v>1</v>
      </c>
    </row>
    <row r="282" spans="14:75" ht="16.5" thickBot="1">
      <c r="N282" s="141"/>
      <c r="O282" s="141"/>
      <c r="P282" s="141"/>
      <c r="Q282" s="141"/>
      <c r="R282" s="1332" t="s">
        <v>86</v>
      </c>
      <c r="S282" s="1006"/>
      <c r="T282" s="1007"/>
      <c r="U282" s="1008"/>
      <c r="V282" s="1007"/>
      <c r="W282" s="1007"/>
      <c r="X282" s="1333"/>
      <c r="AL282" s="331"/>
      <c r="AM282" s="331"/>
      <c r="AN282" s="331"/>
      <c r="AO282" s="331"/>
      <c r="AP282" s="141"/>
      <c r="AQ282" s="141"/>
      <c r="AR282" s="141"/>
      <c r="AS282" s="141"/>
      <c r="AT282" s="141"/>
      <c r="AU282" s="141"/>
      <c r="AV282" s="141"/>
      <c r="AX282" s="141"/>
      <c r="AY282" s="141"/>
      <c r="AZ282" s="141"/>
      <c r="BA282" s="141"/>
      <c r="BB282" s="7650">
        <v>750</v>
      </c>
      <c r="BC282" s="1531">
        <v>1</v>
      </c>
      <c r="BD282" s="7068" t="s">
        <v>1260</v>
      </c>
      <c r="BE282" s="7068"/>
      <c r="BF282" s="1532">
        <v>16</v>
      </c>
      <c r="BG282" s="1401">
        <f>BC282*BB282</f>
        <v>750</v>
      </c>
      <c r="BH282" s="1533" t="s">
        <v>1261</v>
      </c>
      <c r="BO282" s="2"/>
      <c r="BP282" s="2"/>
      <c r="BQ282" s="2"/>
      <c r="BR282" s="2"/>
      <c r="BS282" s="2"/>
      <c r="BT282" s="2"/>
      <c r="BU282" s="2"/>
      <c r="BW282" s="5">
        <v>1</v>
      </c>
    </row>
    <row r="283" spans="14:75" ht="15.75" customHeight="1">
      <c r="N283" s="141"/>
      <c r="O283" s="141"/>
      <c r="P283" s="141"/>
      <c r="Q283" s="141"/>
      <c r="R283" s="141"/>
      <c r="S283" s="141"/>
      <c r="T283" s="141"/>
      <c r="U283" s="141"/>
      <c r="V283" s="141"/>
      <c r="W283" s="141"/>
      <c r="X283" s="141"/>
      <c r="AL283" s="331"/>
      <c r="AM283" s="331"/>
      <c r="AN283" s="331"/>
      <c r="AO283" s="331"/>
      <c r="AP283" s="1354" t="s">
        <v>252</v>
      </c>
      <c r="AQ283" s="1550"/>
      <c r="AR283" s="1550"/>
      <c r="AS283" s="1550"/>
      <c r="AT283" s="1550"/>
      <c r="AU283" s="1551"/>
      <c r="AV283" s="1434" t="s">
        <v>1280</v>
      </c>
      <c r="AX283" s="141"/>
      <c r="AY283" s="141"/>
      <c r="AZ283" s="141"/>
      <c r="BA283" s="141"/>
      <c r="BB283" s="7650"/>
      <c r="BC283" s="5458">
        <v>120</v>
      </c>
      <c r="BD283" s="260" t="s">
        <v>1262</v>
      </c>
      <c r="BE283" s="1174"/>
      <c r="BF283" s="5459">
        <v>1.2</v>
      </c>
      <c r="BG283" s="1536">
        <f>(BC283*BB282)/1000</f>
        <v>90</v>
      </c>
      <c r="BH283" s="7392" t="s">
        <v>1263</v>
      </c>
      <c r="BO283" s="2"/>
      <c r="BP283" s="2"/>
      <c r="BQ283" s="2"/>
      <c r="BR283" s="2"/>
      <c r="BS283" s="2"/>
      <c r="BT283" s="2"/>
      <c r="BU283" s="2"/>
      <c r="BW283" s="5">
        <v>1</v>
      </c>
    </row>
    <row r="284" spans="14:75" ht="15.75">
      <c r="N284" s="141"/>
      <c r="O284" s="141"/>
      <c r="P284" s="141"/>
      <c r="Q284" s="141"/>
      <c r="R284" s="141"/>
      <c r="S284" s="141"/>
      <c r="T284" s="141"/>
      <c r="U284" s="141"/>
      <c r="V284" s="141"/>
      <c r="W284" s="141"/>
      <c r="X284" s="141"/>
      <c r="AL284" s="331"/>
      <c r="AM284" s="331"/>
      <c r="AN284" s="331"/>
      <c r="AO284" s="331"/>
      <c r="AP284" s="1554" t="s">
        <v>198</v>
      </c>
      <c r="AQ284" s="7070" t="s">
        <v>196</v>
      </c>
      <c r="AR284" s="7651" t="s">
        <v>929</v>
      </c>
      <c r="AS284" s="7073" t="s">
        <v>195</v>
      </c>
      <c r="AT284" s="7653" t="s">
        <v>183</v>
      </c>
      <c r="AU284" s="7077" t="s">
        <v>1282</v>
      </c>
      <c r="AV284" s="7393" t="s">
        <v>185</v>
      </c>
      <c r="AX284" s="141"/>
      <c r="AY284" s="141"/>
      <c r="AZ284" s="141"/>
      <c r="BA284" s="141"/>
      <c r="BB284" s="1537" t="str">
        <f>INT(BG282/BF282) &amp; " " &amp; BH282 &amp; " de " &amp; BF282 &amp; " " &amp; BD282 &amp; IF(MOD(BG282,BF282)&gt;0, " + 1 "&amp;BH282&amp;" de " &amp; TEXT(MOD(BG282,BF282), "0.00") &amp; " " &amp; BD282, "")</f>
        <v>46 Assiette(s) de 16 madeleine(s) + 1 Assiette(s) de 14.00 madeleine(s)</v>
      </c>
      <c r="BC284" s="141"/>
      <c r="BD284" s="141"/>
      <c r="BE284" s="141"/>
      <c r="BF284" s="141"/>
      <c r="BG284" s="988"/>
      <c r="BH284" s="7392"/>
      <c r="BO284" s="2"/>
      <c r="BP284" s="2"/>
      <c r="BQ284" s="2"/>
      <c r="BR284" s="2"/>
      <c r="BS284" s="2"/>
      <c r="BT284" s="2"/>
      <c r="BU284" s="2"/>
      <c r="BW284" s="5">
        <v>1</v>
      </c>
    </row>
    <row r="285" spans="14:75" ht="15.75" customHeight="1">
      <c r="N285" s="141"/>
      <c r="O285" s="141"/>
      <c r="P285" s="141"/>
      <c r="Q285" s="141"/>
      <c r="R285" s="1354" t="s">
        <v>252</v>
      </c>
      <c r="S285" s="1355"/>
      <c r="T285" s="1355"/>
      <c r="U285" s="1355"/>
      <c r="V285" s="1355"/>
      <c r="W285" s="1356"/>
      <c r="X285" s="1357" t="s">
        <v>1229</v>
      </c>
      <c r="AL285" s="331"/>
      <c r="AM285" s="331"/>
      <c r="AN285" s="331"/>
      <c r="AO285" s="331"/>
      <c r="AP285" s="1625" t="s">
        <v>191</v>
      </c>
      <c r="AQ285" s="6905"/>
      <c r="AR285" s="7652"/>
      <c r="AS285" s="7074"/>
      <c r="AT285" s="7654"/>
      <c r="AU285" s="7655"/>
      <c r="AV285" s="7656"/>
      <c r="AX285" s="141"/>
      <c r="AY285" s="141"/>
      <c r="AZ285" s="141"/>
      <c r="BA285" s="141"/>
      <c r="BB285" s="1182" t="str">
        <f>IF(MOD(BG283, BF283) = 0, INT(BG283/BF283) &amp; " " &amp; BH282 &amp; " de " &amp; BF283 &amp; " kg", INT(BG283/BF283) &amp; " " &amp; BH282 &amp; " de " &amp; BF283 &amp; " kg" &amp; " + 1 "&amp;BH282&amp;" de " &amp; TEXT(MOD(BG283, BF283), "0.00") &amp; " kg")</f>
        <v>75 Assiette(s) de 1.2 kg + 1 Assiette(s) de 0.00 kg</v>
      </c>
      <c r="BC285" s="141"/>
      <c r="BD285" s="141"/>
      <c r="BE285" s="141"/>
      <c r="BF285" s="141"/>
      <c r="BG285" s="988"/>
      <c r="BH285" s="7392"/>
      <c r="BO285" s="2"/>
      <c r="BP285" s="2"/>
      <c r="BQ285" s="2"/>
      <c r="BR285" s="2"/>
      <c r="BS285" s="2"/>
      <c r="BT285" s="2"/>
      <c r="BU285" s="2"/>
      <c r="BW285" s="5">
        <v>1</v>
      </c>
    </row>
    <row r="286" spans="14:75" ht="15.75">
      <c r="N286" s="141"/>
      <c r="O286" s="141"/>
      <c r="P286" s="141"/>
      <c r="Q286" s="141"/>
      <c r="R286" s="1319"/>
      <c r="S286" s="612" t="s">
        <v>1231</v>
      </c>
      <c r="T286" s="147"/>
      <c r="U286" s="147"/>
      <c r="V286" s="102"/>
      <c r="W286" s="102"/>
      <c r="X286" s="1494" t="s">
        <v>1232</v>
      </c>
      <c r="AL286" s="331"/>
      <c r="AM286" s="331"/>
      <c r="AN286" s="331"/>
      <c r="AO286" s="331"/>
      <c r="AP286" s="1561"/>
      <c r="AQ286" s="210">
        <v>350</v>
      </c>
      <c r="AR286" s="5493">
        <f>IFERROR(INDEX(AP292:AV292,MATCH(AS286,AP291:AV291,0)) * AQ286 * IF(ISBLANK(AP286), 1, AP286), 0)</f>
        <v>0.35000000000000003</v>
      </c>
      <c r="AS286" s="251" t="s">
        <v>130</v>
      </c>
      <c r="AT286" s="1562">
        <v>16</v>
      </c>
      <c r="AU286" s="1563">
        <f>((AR286-(AR286*AT286%)))</f>
        <v>0.29400000000000004</v>
      </c>
      <c r="AV286" s="1564" t="s">
        <v>177</v>
      </c>
      <c r="AX286" s="141"/>
      <c r="AY286" s="141"/>
      <c r="AZ286" s="141"/>
      <c r="BA286" s="141"/>
      <c r="BB286" s="1323"/>
      <c r="BC286" s="988"/>
      <c r="BD286" s="988"/>
      <c r="BE286" s="988"/>
      <c r="BF286" s="988"/>
      <c r="BG286" s="988"/>
      <c r="BH286" s="1325"/>
      <c r="BO286" s="2"/>
      <c r="BP286" s="2"/>
      <c r="BQ286" s="2"/>
      <c r="BR286" s="2"/>
      <c r="BS286" s="2"/>
      <c r="BT286" s="2"/>
      <c r="BU286" s="2"/>
      <c r="BW286" s="5">
        <v>1</v>
      </c>
    </row>
    <row r="287" spans="14:75" ht="15.75" customHeight="1">
      <c r="N287" s="141"/>
      <c r="O287" s="141"/>
      <c r="P287" s="141"/>
      <c r="Q287" s="141"/>
      <c r="R287" s="1499"/>
      <c r="S287" s="1500">
        <v>16</v>
      </c>
      <c r="T287" s="141"/>
      <c r="U287" s="1501" t="s">
        <v>1234</v>
      </c>
      <c r="V287" t="s">
        <v>1235</v>
      </c>
      <c r="W287" s="147"/>
      <c r="X287" s="1326" t="s">
        <v>1236</v>
      </c>
      <c r="AL287" s="331"/>
      <c r="AM287" s="331"/>
      <c r="AN287" s="331"/>
      <c r="AO287" s="331"/>
      <c r="AP287" s="1568"/>
      <c r="AQ287" s="1569">
        <v>1.2</v>
      </c>
      <c r="AR287" s="5493">
        <f>IFERROR(INDEX(AP292:AV292,MATCH(AS287,AP291:AV291,0)) * AQ287 * IF(ISBLANK(AP287), 1, AP287), 0)</f>
        <v>1.2</v>
      </c>
      <c r="AS287" s="314" t="s">
        <v>219</v>
      </c>
      <c r="AT287" s="1570">
        <v>22</v>
      </c>
      <c r="AU287" s="1563">
        <f>((AR287-(AR287*AT287%)))</f>
        <v>0.93599999999999994</v>
      </c>
      <c r="AV287" s="1571" t="s">
        <v>174</v>
      </c>
      <c r="AX287" s="141"/>
      <c r="AY287" s="141"/>
      <c r="AZ287" s="141"/>
      <c r="BA287" s="141"/>
      <c r="BB287" s="1369" t="s">
        <v>864</v>
      </c>
      <c r="BC287" s="1321"/>
      <c r="BD287" s="1321"/>
      <c r="BE287" s="1321"/>
      <c r="BF287" s="1321"/>
      <c r="BG287" s="1321"/>
      <c r="BH287" s="1370" t="s">
        <v>1297</v>
      </c>
      <c r="BO287" s="2"/>
      <c r="BP287" s="2"/>
      <c r="BQ287" s="2"/>
      <c r="BR287" s="2"/>
      <c r="BS287" s="2"/>
      <c r="BT287" s="2"/>
      <c r="BU287" s="2"/>
      <c r="BW287" s="5">
        <v>1</v>
      </c>
    </row>
    <row r="288" spans="14:75" ht="15.75" customHeight="1">
      <c r="N288" s="141"/>
      <c r="O288" s="141"/>
      <c r="P288" s="141"/>
      <c r="Q288" s="141"/>
      <c r="R288" s="1505"/>
      <c r="S288" s="1506" t="s">
        <v>1237</v>
      </c>
      <c r="T288" s="1506"/>
      <c r="U288" s="1507">
        <v>32</v>
      </c>
      <c r="V288" s="1508" t="str">
        <f>U287</f>
        <v xml:space="preserve">portions </v>
      </c>
      <c r="W288" s="988"/>
      <c r="X288" s="1326" t="s">
        <v>1238</v>
      </c>
      <c r="AL288" s="331"/>
      <c r="AM288" s="331"/>
      <c r="AN288" s="331"/>
      <c r="AO288" s="331"/>
      <c r="AP288" s="1568">
        <v>2</v>
      </c>
      <c r="AQ288" s="210">
        <v>50</v>
      </c>
      <c r="AR288" s="5493">
        <f>IFERROR(INDEX(AP292:AV292,MATCH(AS288,AP291:AV291,0)) * AQ288 * IF(ISBLANK(AP288), 1, AP288), 0)</f>
        <v>0.1</v>
      </c>
      <c r="AS288" s="251" t="s">
        <v>130</v>
      </c>
      <c r="AT288" s="1570"/>
      <c r="AU288" s="1563">
        <f>((AR288-(AR288*AT288%)))</f>
        <v>0.1</v>
      </c>
      <c r="AV288" s="1575" t="s">
        <v>1286</v>
      </c>
      <c r="AX288" s="141"/>
      <c r="AY288" s="141"/>
      <c r="AZ288" s="141"/>
      <c r="BA288" s="141"/>
      <c r="BB288" s="141"/>
      <c r="BC288" s="141"/>
      <c r="BD288" s="141"/>
      <c r="BE288" s="141"/>
      <c r="BF288" s="141"/>
      <c r="BG288" s="141"/>
      <c r="BH288" s="141"/>
      <c r="BO288" s="2"/>
      <c r="BP288" s="2"/>
      <c r="BQ288" s="2"/>
      <c r="BR288" s="2"/>
      <c r="BS288" s="2"/>
      <c r="BT288" s="2"/>
      <c r="BU288" s="2"/>
      <c r="BW288" s="5">
        <v>1</v>
      </c>
    </row>
    <row r="289" spans="14:75" ht="15.75">
      <c r="N289" s="141"/>
      <c r="O289" s="141"/>
      <c r="P289" s="141"/>
      <c r="Q289" s="141"/>
      <c r="R289" s="1511"/>
      <c r="S289" s="1512" t="s">
        <v>1239</v>
      </c>
      <c r="T289" s="141"/>
      <c r="U289" s="1513" t="str">
        <f>S289</f>
        <v>Gastro</v>
      </c>
      <c r="V289" s="1514" t="s">
        <v>1240</v>
      </c>
      <c r="W289" s="988"/>
      <c r="X289" s="1326" t="s">
        <v>1241</v>
      </c>
      <c r="AL289" s="331"/>
      <c r="AM289" s="331"/>
      <c r="AN289" s="331"/>
      <c r="AO289" s="331"/>
      <c r="AP289" s="1568"/>
      <c r="AQ289" s="210">
        <v>1</v>
      </c>
      <c r="AR289" s="5493">
        <f>IFERROR(INDEX(AP292:AV292,MATCH(AS289,AP291:AV291,0)) * AQ289 * IF(ISBLANK(AP289), 1, AP289), 0)</f>
        <v>0.5</v>
      </c>
      <c r="AS289" s="265" t="s">
        <v>159</v>
      </c>
      <c r="AT289" s="1570"/>
      <c r="AU289" s="1563">
        <f>((AR289-(AR289*AT289%)))</f>
        <v>0.5</v>
      </c>
      <c r="AV289" s="1571" t="s">
        <v>1289</v>
      </c>
      <c r="AX289" s="141"/>
      <c r="AY289" s="141"/>
      <c r="AZ289" s="141"/>
      <c r="BA289" s="141"/>
      <c r="BB289" s="141"/>
      <c r="BC289" s="141"/>
      <c r="BD289" s="141"/>
      <c r="BE289" s="141"/>
      <c r="BF289" s="141"/>
      <c r="BG289" s="141"/>
      <c r="BH289" s="141"/>
      <c r="BO289" s="2"/>
      <c r="BP289" s="2"/>
      <c r="BQ289" s="2"/>
      <c r="BR289" s="2"/>
      <c r="BS289" s="2"/>
      <c r="BT289" s="2"/>
      <c r="BU289" s="2"/>
      <c r="BW289" s="5">
        <v>1</v>
      </c>
    </row>
    <row r="290" spans="14:75" ht="15.75">
      <c r="N290" s="141"/>
      <c r="O290" s="141"/>
      <c r="P290" s="141"/>
      <c r="Q290" s="141"/>
      <c r="R290" s="1358" t="s">
        <v>1118</v>
      </c>
      <c r="S290" s="1512">
        <v>1</v>
      </c>
      <c r="T290" s="141"/>
      <c r="U290" s="1515">
        <f>(S290/S287)*U288</f>
        <v>2</v>
      </c>
      <c r="V290" s="1516" t="s">
        <v>1242</v>
      </c>
      <c r="W290" s="988"/>
      <c r="X290" s="1326" t="s">
        <v>1243</v>
      </c>
      <c r="AL290" s="331"/>
      <c r="AM290" s="331"/>
      <c r="AN290" s="331"/>
      <c r="AO290" s="331"/>
      <c r="AP290" s="1581" t="s">
        <v>1294</v>
      </c>
      <c r="AQ290" s="988"/>
      <c r="AR290" s="988"/>
      <c r="AS290" s="988"/>
      <c r="AT290" s="988"/>
      <c r="AU290" s="988"/>
      <c r="AV290" s="1582" t="s">
        <v>1295</v>
      </c>
      <c r="AX290" s="141"/>
      <c r="AY290" s="141"/>
      <c r="AZ290" s="141"/>
      <c r="BA290" s="141"/>
      <c r="BB290" s="1354" t="s">
        <v>252</v>
      </c>
      <c r="BC290" s="1550"/>
      <c r="BD290" s="1550"/>
      <c r="BE290" s="1550"/>
      <c r="BF290" s="1550"/>
      <c r="BG290" s="1551"/>
      <c r="BH290" s="1434" t="s">
        <v>1298</v>
      </c>
      <c r="BO290" s="2"/>
      <c r="BP290" s="2"/>
      <c r="BQ290" s="2"/>
      <c r="BR290" s="2"/>
      <c r="BS290" s="2"/>
      <c r="BT290" s="2"/>
      <c r="BU290" s="2"/>
      <c r="BW290" s="5">
        <v>1</v>
      </c>
    </row>
    <row r="291" spans="14:75" ht="17.25" customHeight="1">
      <c r="N291" s="141"/>
      <c r="O291" s="141"/>
      <c r="P291" s="141"/>
      <c r="Q291" s="141"/>
      <c r="R291" s="1358" t="s">
        <v>1118</v>
      </c>
      <c r="S291" s="1512">
        <v>1</v>
      </c>
      <c r="T291" s="141"/>
      <c r="U291" s="1515">
        <f>(S291/S287)*U288</f>
        <v>2</v>
      </c>
      <c r="V291" s="1516" t="s">
        <v>1244</v>
      </c>
      <c r="W291" s="988"/>
      <c r="X291" s="1326" t="s">
        <v>1245</v>
      </c>
      <c r="AL291" s="331"/>
      <c r="AM291" s="331"/>
      <c r="AN291" s="331"/>
      <c r="AO291" s="331"/>
      <c r="AP291" s="314" t="s">
        <v>219</v>
      </c>
      <c r="AQ291" s="251" t="s">
        <v>130</v>
      </c>
      <c r="AR291" s="1583"/>
      <c r="AS291" s="265" t="s">
        <v>159</v>
      </c>
      <c r="AT291" s="265" t="s">
        <v>164</v>
      </c>
      <c r="AU291" s="251" t="s">
        <v>88</v>
      </c>
      <c r="AV291" s="1584" t="s">
        <v>170</v>
      </c>
      <c r="AX291" s="141"/>
      <c r="AY291" s="141"/>
      <c r="AZ291" s="141"/>
      <c r="BA291" s="141"/>
      <c r="BB291" s="1319"/>
      <c r="BC291" s="147"/>
      <c r="BD291" s="147"/>
      <c r="BE291" s="147"/>
      <c r="BF291" s="147"/>
      <c r="BG291" s="147"/>
      <c r="BH291" s="1580" t="s">
        <v>1293</v>
      </c>
      <c r="BO291" s="2"/>
      <c r="BP291" s="2"/>
      <c r="BQ291" s="2"/>
      <c r="BR291" s="2"/>
      <c r="BS291" s="2"/>
      <c r="BT291" s="2"/>
      <c r="BU291" s="2"/>
      <c r="BW291" s="5">
        <v>1</v>
      </c>
    </row>
    <row r="292" spans="14:75" ht="15.75">
      <c r="N292" s="141"/>
      <c r="O292" s="141"/>
      <c r="P292" s="141"/>
      <c r="Q292" s="141"/>
      <c r="R292" s="1358" t="s">
        <v>1118</v>
      </c>
      <c r="S292" s="1512">
        <v>1</v>
      </c>
      <c r="T292" s="141"/>
      <c r="U292" s="1515">
        <f>(S292/S287)*U288</f>
        <v>2</v>
      </c>
      <c r="V292" s="1516" t="s">
        <v>1246</v>
      </c>
      <c r="W292" s="988"/>
      <c r="X292" s="1326" t="s">
        <v>1247</v>
      </c>
      <c r="AL292" s="331"/>
      <c r="AM292" s="331"/>
      <c r="AN292" s="331"/>
      <c r="AO292" s="331"/>
      <c r="AP292" s="1585">
        <v>1</v>
      </c>
      <c r="AQ292" s="1585">
        <v>1E-3</v>
      </c>
      <c r="AR292" s="1583"/>
      <c r="AS292" s="1586">
        <v>0.5</v>
      </c>
      <c r="AT292" s="1585">
        <v>0.25</v>
      </c>
      <c r="AU292" s="1587">
        <v>1</v>
      </c>
      <c r="AV292" s="1588">
        <v>0.01</v>
      </c>
      <c r="AX292" s="141"/>
      <c r="AY292" s="141"/>
      <c r="AZ292" s="141"/>
      <c r="BA292" s="141"/>
      <c r="BB292" s="1600"/>
      <c r="BC292" s="1601" t="s">
        <v>762</v>
      </c>
      <c r="BD292" s="988"/>
      <c r="BE292" s="1602">
        <v>2</v>
      </c>
      <c r="BF292" s="1603"/>
      <c r="BG292" s="1604">
        <v>10</v>
      </c>
      <c r="BH292" s="5425" t="s">
        <v>751</v>
      </c>
      <c r="BO292" s="2"/>
      <c r="BP292" s="2"/>
      <c r="BQ292" s="2"/>
      <c r="BR292" s="2"/>
      <c r="BS292" s="2"/>
      <c r="BT292" s="2"/>
      <c r="BU292" s="2"/>
      <c r="BW292" s="5">
        <v>1</v>
      </c>
    </row>
    <row r="293" spans="14:75" ht="15.75">
      <c r="N293" s="141"/>
      <c r="O293" s="141"/>
      <c r="P293" s="141"/>
      <c r="Q293" s="141"/>
      <c r="R293" s="1358" t="s">
        <v>1118</v>
      </c>
      <c r="S293" s="1512">
        <v>1</v>
      </c>
      <c r="T293" s="141"/>
      <c r="U293" s="1515">
        <f>(S293/S287)*U288</f>
        <v>2</v>
      </c>
      <c r="V293" s="1516" t="s">
        <v>1248</v>
      </c>
      <c r="W293" s="988"/>
      <c r="X293" s="1326" t="s">
        <v>1249</v>
      </c>
      <c r="AL293" s="331"/>
      <c r="AM293" s="331"/>
      <c r="AN293" s="331"/>
      <c r="AO293" s="331"/>
      <c r="AP293" s="1323"/>
      <c r="AQ293" s="988"/>
      <c r="AR293" s="988"/>
      <c r="AS293" s="988"/>
      <c r="AT293" s="988"/>
      <c r="AU293" s="988"/>
      <c r="AV293" s="1325"/>
      <c r="AX293" s="141"/>
      <c r="AY293" s="141"/>
      <c r="AZ293" s="141"/>
      <c r="BA293" s="141"/>
      <c r="BB293" s="1605"/>
      <c r="BC293" s="5422" t="s">
        <v>759</v>
      </c>
      <c r="BD293" s="988"/>
      <c r="BE293" s="1606">
        <v>1</v>
      </c>
      <c r="BF293" s="1607"/>
      <c r="BG293" s="1608">
        <v>15</v>
      </c>
      <c r="BH293" s="1609" t="s">
        <v>752</v>
      </c>
      <c r="BO293" s="2"/>
      <c r="BP293" s="2"/>
      <c r="BQ293" s="2"/>
      <c r="BR293" s="2"/>
      <c r="BS293" s="2"/>
      <c r="BT293" s="2"/>
      <c r="BU293" s="2"/>
      <c r="BW293" s="5">
        <v>1</v>
      </c>
    </row>
    <row r="294" spans="14:75" ht="15.75">
      <c r="N294" s="141"/>
      <c r="O294" s="141"/>
      <c r="P294" s="141"/>
      <c r="Q294" s="141"/>
      <c r="R294" s="1358" t="s">
        <v>1118</v>
      </c>
      <c r="S294" s="1512">
        <v>1</v>
      </c>
      <c r="T294" s="141"/>
      <c r="U294" s="1515">
        <f>(S294/S287)*U288</f>
        <v>2</v>
      </c>
      <c r="V294" s="1516" t="s">
        <v>1250</v>
      </c>
      <c r="W294" s="988"/>
      <c r="X294" s="1326" t="s">
        <v>1251</v>
      </c>
      <c r="AL294" s="331"/>
      <c r="AM294" s="331"/>
      <c r="AN294" s="331"/>
      <c r="AO294" s="331"/>
      <c r="AP294" s="1369" t="s">
        <v>864</v>
      </c>
      <c r="AQ294" s="1321"/>
      <c r="AR294" s="1321"/>
      <c r="AS294" s="1321"/>
      <c r="AT294" s="1321"/>
      <c r="AU294" s="1321"/>
      <c r="AV294" s="1370" t="s">
        <v>1297</v>
      </c>
      <c r="AX294" s="141"/>
      <c r="AY294" s="141"/>
      <c r="AZ294" s="141"/>
      <c r="BA294" s="141"/>
      <c r="BB294" s="1610"/>
      <c r="BC294" s="1611" t="s">
        <v>765</v>
      </c>
      <c r="BD294" s="988"/>
      <c r="BE294" s="1612">
        <f>IF(BE292=0,0,IF(BE293=0,0,BE292-BE293))</f>
        <v>1</v>
      </c>
      <c r="BF294" s="1613"/>
      <c r="BG294" s="1614">
        <f>IF(BG292=0,0,IF(BG293=0,0,BG293-BG292))</f>
        <v>5</v>
      </c>
      <c r="BH294" s="1615" t="s">
        <v>754</v>
      </c>
      <c r="BO294" s="2"/>
      <c r="BP294" s="2"/>
      <c r="BQ294" s="2"/>
      <c r="BR294" s="2"/>
      <c r="BS294" s="2"/>
      <c r="BT294" s="2"/>
      <c r="BU294" s="2"/>
      <c r="BW294" s="5">
        <v>1</v>
      </c>
    </row>
    <row r="295" spans="14:75" ht="15.75">
      <c r="N295" s="141"/>
      <c r="O295" s="141"/>
      <c r="P295" s="141"/>
      <c r="Q295" s="141"/>
      <c r="R295" s="1518" t="s">
        <v>1252</v>
      </c>
      <c r="S295" s="1512">
        <v>1</v>
      </c>
      <c r="T295" s="141"/>
      <c r="U295" s="1515">
        <f>(S295/S287)*U288</f>
        <v>2</v>
      </c>
      <c r="V295" s="988"/>
      <c r="W295" s="988"/>
      <c r="X295" s="1326" t="s">
        <v>1253</v>
      </c>
      <c r="AL295" s="331"/>
      <c r="AM295" s="331"/>
      <c r="AN295" s="331"/>
      <c r="AO295" s="331"/>
      <c r="AP295" s="141"/>
      <c r="AQ295" s="141"/>
      <c r="AR295" s="141"/>
      <c r="AS295" s="141"/>
      <c r="AT295" s="141"/>
      <c r="AU295" s="141"/>
      <c r="AV295" s="141"/>
      <c r="AX295" s="141"/>
      <c r="AY295" s="141"/>
      <c r="AZ295" s="141"/>
      <c r="BA295" s="141"/>
      <c r="BB295" s="1610"/>
      <c r="BC295" s="1611" t="s">
        <v>768</v>
      </c>
      <c r="BD295" s="988"/>
      <c r="BE295" s="1616">
        <f>IF(BE292=0,0,BE294/BE292)</f>
        <v>0.5</v>
      </c>
      <c r="BF295" s="1617"/>
      <c r="BG295" s="1618">
        <f>IF(BG292=0,0,IF(ISBLANK(BG292),0,(BG294/BG292)*100))</f>
        <v>50</v>
      </c>
      <c r="BH295" s="1615" t="s">
        <v>753</v>
      </c>
      <c r="BO295" s="2"/>
      <c r="BP295" s="2"/>
      <c r="BQ295" s="2"/>
      <c r="BR295" s="2"/>
      <c r="BS295" s="2"/>
      <c r="BT295" s="2"/>
      <c r="BU295" s="2"/>
      <c r="BW295" s="5">
        <v>1</v>
      </c>
    </row>
    <row r="296" spans="14:75" ht="15.75" customHeight="1">
      <c r="N296" s="141"/>
      <c r="O296" s="141"/>
      <c r="P296" s="141"/>
      <c r="Q296" s="141"/>
      <c r="R296" s="1518" t="s">
        <v>1252</v>
      </c>
      <c r="S296" s="1512">
        <v>1</v>
      </c>
      <c r="T296" s="141"/>
      <c r="U296" s="1515">
        <f>(S296/S287)*U288</f>
        <v>2</v>
      </c>
      <c r="V296" s="988"/>
      <c r="W296" s="988"/>
      <c r="X296" s="1326"/>
      <c r="AL296" s="331"/>
      <c r="AM296" s="331"/>
      <c r="AN296" s="331"/>
      <c r="AO296" s="331"/>
      <c r="AP296" s="141"/>
      <c r="AQ296" s="141"/>
      <c r="AR296" s="141"/>
      <c r="AS296" s="141"/>
      <c r="AT296" s="141"/>
      <c r="AU296" s="141"/>
      <c r="AV296" s="141"/>
      <c r="AX296" s="141"/>
      <c r="AY296" s="141"/>
      <c r="AZ296" s="141"/>
      <c r="BA296" s="141"/>
      <c r="BB296" s="1605"/>
      <c r="BC296" s="5422" t="s">
        <v>764</v>
      </c>
      <c r="BD296" s="988"/>
      <c r="BE296" s="1619">
        <v>50</v>
      </c>
      <c r="BF296" s="1603"/>
      <c r="BG296" s="1604">
        <v>10</v>
      </c>
      <c r="BH296" s="5425" t="s">
        <v>751</v>
      </c>
      <c r="BO296" s="2"/>
      <c r="BP296" s="2"/>
      <c r="BQ296" s="2"/>
      <c r="BR296" s="2"/>
      <c r="BS296" s="2"/>
      <c r="BT296" s="2"/>
      <c r="BU296" s="2"/>
      <c r="BW296" s="5">
        <v>1</v>
      </c>
    </row>
    <row r="297" spans="14:75" ht="22.5" customHeight="1">
      <c r="N297" s="141"/>
      <c r="O297" s="141"/>
      <c r="P297" s="141"/>
      <c r="Q297" s="141"/>
      <c r="R297" s="1518" t="s">
        <v>1252</v>
      </c>
      <c r="S297" s="1512">
        <v>1</v>
      </c>
      <c r="T297" s="141"/>
      <c r="U297" s="1515">
        <f>(S297/S287)*U288</f>
        <v>2</v>
      </c>
      <c r="V297" s="988"/>
      <c r="W297" s="988"/>
      <c r="X297" s="1326"/>
      <c r="AX297" s="141"/>
      <c r="AY297" s="141"/>
      <c r="AZ297" s="141"/>
      <c r="BA297" s="141"/>
      <c r="BB297" s="1610"/>
      <c r="BC297" s="1611" t="s">
        <v>765</v>
      </c>
      <c r="BD297" s="988"/>
      <c r="BE297" s="1612">
        <f>BE292*BE296%</f>
        <v>1</v>
      </c>
      <c r="BF297" s="1620"/>
      <c r="BG297" s="1621">
        <v>50</v>
      </c>
      <c r="BH297" s="1622" t="s">
        <v>753</v>
      </c>
      <c r="BO297" s="2"/>
      <c r="BP297" s="2"/>
      <c r="BQ297" s="2"/>
      <c r="BR297" s="2"/>
      <c r="BS297" s="2"/>
      <c r="BT297" s="2"/>
      <c r="BU297" s="2"/>
      <c r="BW297" s="5">
        <v>1</v>
      </c>
    </row>
    <row r="298" spans="14:75" ht="15.75">
      <c r="N298" s="141"/>
      <c r="O298" s="141"/>
      <c r="P298" s="141"/>
      <c r="Q298" s="141"/>
      <c r="R298" s="1369" t="s">
        <v>864</v>
      </c>
      <c r="S298" s="1321"/>
      <c r="T298" s="1321"/>
      <c r="U298" s="1321"/>
      <c r="V298" s="1321"/>
      <c r="W298" s="1321"/>
      <c r="X298" s="1370"/>
      <c r="AX298" s="141"/>
      <c r="AY298" s="141"/>
      <c r="AZ298" s="141"/>
      <c r="BA298" s="141"/>
      <c r="BB298" s="1610"/>
      <c r="BC298" s="1611" t="s">
        <v>773</v>
      </c>
      <c r="BD298" s="988"/>
      <c r="BE298" s="1612">
        <f>BE292-BE297</f>
        <v>1</v>
      </c>
      <c r="BF298" s="1613"/>
      <c r="BG298" s="1614">
        <f>BG296*BG297%</f>
        <v>5</v>
      </c>
      <c r="BH298" s="1615" t="s">
        <v>754</v>
      </c>
      <c r="BO298" s="2"/>
      <c r="BP298" s="2"/>
      <c r="BQ298" s="2"/>
      <c r="BR298" s="2"/>
      <c r="BS298" s="2"/>
      <c r="BT298" s="2"/>
      <c r="BU298" s="2"/>
      <c r="BW298" s="5">
        <v>1</v>
      </c>
    </row>
    <row r="299" spans="14:75" ht="15.75" customHeight="1">
      <c r="N299" s="141"/>
      <c r="O299" s="141"/>
      <c r="P299" s="141"/>
      <c r="Q299" s="141"/>
      <c r="R299" s="1599"/>
      <c r="S299" s="997"/>
      <c r="T299" s="997"/>
      <c r="U299" s="997"/>
      <c r="V299" s="997"/>
      <c r="W299" s="997"/>
      <c r="X299" s="1339" t="s">
        <v>1112</v>
      </c>
      <c r="AX299" s="141"/>
      <c r="AY299" s="141"/>
      <c r="AZ299" s="141"/>
      <c r="BA299" s="141"/>
      <c r="BB299" s="1323"/>
      <c r="BC299" s="1257"/>
      <c r="BD299" s="988"/>
      <c r="BE299" s="1623"/>
      <c r="BF299" s="1624"/>
      <c r="BG299" s="1614">
        <f>((BG296*BG297)/100)+BG296</f>
        <v>15</v>
      </c>
      <c r="BH299" s="1615" t="s">
        <v>752</v>
      </c>
      <c r="BO299" s="2"/>
      <c r="BP299" s="2"/>
      <c r="BQ299" s="2"/>
      <c r="BR299" s="2"/>
      <c r="BS299" s="2"/>
      <c r="BT299" s="2"/>
      <c r="BU299" s="2"/>
      <c r="BW299" s="5">
        <v>1</v>
      </c>
    </row>
    <row r="300" spans="14:75" ht="15.75">
      <c r="N300" s="141"/>
      <c r="O300" s="141"/>
      <c r="P300" s="141"/>
      <c r="Q300" s="141"/>
      <c r="R300" s="1002"/>
      <c r="S300" s="1002"/>
      <c r="T300" s="1002" t="s">
        <v>873</v>
      </c>
      <c r="U300" s="1003"/>
      <c r="V300" s="1329"/>
      <c r="W300" s="1329"/>
      <c r="X300" s="1330"/>
      <c r="AX300" s="141"/>
      <c r="AY300" s="141"/>
      <c r="AZ300" s="141"/>
      <c r="BA300" s="141"/>
      <c r="BB300" s="1369" t="s">
        <v>864</v>
      </c>
      <c r="BC300" s="1321"/>
      <c r="BD300" s="1321"/>
      <c r="BE300" s="1321"/>
      <c r="BF300" s="1321"/>
      <c r="BG300" s="1321"/>
      <c r="BH300" s="1370" t="s">
        <v>1297</v>
      </c>
      <c r="BO300" s="2"/>
      <c r="BP300" s="2"/>
      <c r="BQ300" s="2"/>
      <c r="BR300" s="2"/>
      <c r="BS300" s="2"/>
      <c r="BT300" s="2"/>
      <c r="BU300" s="2"/>
      <c r="BW300" s="5">
        <v>1</v>
      </c>
    </row>
    <row r="301" spans="14:75" ht="16.5" thickBot="1">
      <c r="N301" s="141"/>
      <c r="O301" s="141"/>
      <c r="P301" s="141"/>
      <c r="Q301" s="141"/>
      <c r="R301" s="1332" t="s">
        <v>86</v>
      </c>
      <c r="S301" s="1006"/>
      <c r="T301" s="1007"/>
      <c r="U301" s="1008"/>
      <c r="V301" s="1007"/>
      <c r="W301" s="1007"/>
      <c r="X301" s="1333"/>
      <c r="AX301" s="141"/>
      <c r="AY301" s="141"/>
      <c r="AZ301" s="141"/>
      <c r="BA301" s="141"/>
      <c r="BB301" s="141"/>
      <c r="BC301" s="141"/>
      <c r="BD301" s="141"/>
      <c r="BE301" s="141"/>
      <c r="BF301" s="141"/>
      <c r="BG301" s="141"/>
      <c r="BH301" s="141"/>
      <c r="BO301" s="2"/>
      <c r="BP301" s="2"/>
      <c r="BQ301" s="2"/>
      <c r="BR301" s="2"/>
      <c r="BS301" s="2"/>
      <c r="BT301" s="2"/>
      <c r="BU301" s="2"/>
      <c r="BW301" s="5">
        <v>1</v>
      </c>
    </row>
    <row r="302" spans="14:75" ht="16.5" customHeight="1">
      <c r="N302" s="141"/>
      <c r="O302" s="141"/>
      <c r="P302" s="141"/>
      <c r="Q302" s="141"/>
      <c r="AX302" s="141"/>
      <c r="AY302" s="141"/>
      <c r="AZ302" s="141"/>
      <c r="BA302" s="141"/>
      <c r="BB302" s="141"/>
      <c r="BC302" s="141"/>
      <c r="BD302" s="141"/>
      <c r="BE302" s="141"/>
      <c r="BF302" s="141"/>
      <c r="BG302" s="141"/>
      <c r="BH302" s="141"/>
      <c r="BO302" s="2"/>
      <c r="BP302" s="2"/>
      <c r="BQ302" s="2"/>
      <c r="BR302" s="2"/>
      <c r="BS302" s="2"/>
      <c r="BT302" s="2"/>
      <c r="BU302" s="2"/>
      <c r="BW302" s="5">
        <v>1</v>
      </c>
    </row>
    <row r="303" spans="14:75" ht="15.75">
      <c r="N303" s="141"/>
      <c r="O303" s="141"/>
      <c r="P303" s="141"/>
      <c r="Q303" s="141"/>
      <c r="R303" s="141"/>
      <c r="S303" s="141"/>
      <c r="T303" s="141"/>
      <c r="U303" s="141"/>
      <c r="V303" s="141"/>
      <c r="W303" s="141"/>
      <c r="X303" s="141"/>
      <c r="AX303" s="141"/>
      <c r="AY303" s="141"/>
      <c r="AZ303" s="141"/>
      <c r="BA303" s="141"/>
      <c r="BB303" s="1354" t="s">
        <v>252</v>
      </c>
      <c r="BC303" s="1550"/>
      <c r="BD303" s="1550"/>
      <c r="BE303" s="1550"/>
      <c r="BF303" s="1550"/>
      <c r="BG303" s="1551"/>
      <c r="BH303" s="1434" t="s">
        <v>1280</v>
      </c>
      <c r="BO303" s="2"/>
      <c r="BP303" s="2"/>
      <c r="BQ303" s="2"/>
      <c r="BR303" s="2"/>
      <c r="BS303" s="2"/>
      <c r="BT303" s="2"/>
      <c r="BU303" s="2"/>
      <c r="BW303" s="5">
        <v>1</v>
      </c>
    </row>
    <row r="304" spans="14:75" ht="15.75" customHeight="1">
      <c r="N304" s="141"/>
      <c r="O304" s="141"/>
      <c r="P304" s="141"/>
      <c r="Q304" s="141"/>
      <c r="R304" s="1354" t="s">
        <v>252</v>
      </c>
      <c r="S304" s="1355"/>
      <c r="T304" s="1355"/>
      <c r="U304" s="1355"/>
      <c r="V304" s="1355"/>
      <c r="W304" s="1356"/>
      <c r="X304" s="1357" t="s">
        <v>1274</v>
      </c>
      <c r="AX304" s="141"/>
      <c r="AY304" s="141"/>
      <c r="AZ304" s="141"/>
      <c r="BA304" s="141"/>
      <c r="BB304" s="1554" t="s">
        <v>198</v>
      </c>
      <c r="BC304" s="7070" t="s">
        <v>196</v>
      </c>
      <c r="BD304" s="7651" t="s">
        <v>929</v>
      </c>
      <c r="BE304" s="7073" t="s">
        <v>195</v>
      </c>
      <c r="BF304" s="7653" t="s">
        <v>183</v>
      </c>
      <c r="BG304" s="7077" t="s">
        <v>1282</v>
      </c>
      <c r="BH304" s="7393" t="s">
        <v>185</v>
      </c>
      <c r="BO304" s="2"/>
      <c r="BP304" s="2"/>
      <c r="BQ304" s="2"/>
      <c r="BR304" s="2"/>
      <c r="BS304" s="2"/>
      <c r="BT304" s="2"/>
      <c r="BU304" s="2"/>
      <c r="BW304" s="5">
        <v>1</v>
      </c>
    </row>
    <row r="305" spans="14:75" ht="15.75">
      <c r="N305" s="141"/>
      <c r="O305" s="141"/>
      <c r="P305" s="141"/>
      <c r="Q305" s="141"/>
      <c r="R305" s="1541" t="s">
        <v>1275</v>
      </c>
      <c r="S305" s="1542" t="s">
        <v>1276</v>
      </c>
      <c r="T305" s="1543"/>
      <c r="U305" s="1544" t="s">
        <v>1277</v>
      </c>
      <c r="V305" s="1542" t="s">
        <v>21</v>
      </c>
      <c r="W305" s="1542" t="s">
        <v>1278</v>
      </c>
      <c r="X305" s="1545" t="s">
        <v>1279</v>
      </c>
      <c r="AX305" s="141"/>
      <c r="AY305" s="141"/>
      <c r="AZ305" s="141"/>
      <c r="BA305" s="141"/>
      <c r="BB305" s="1625" t="s">
        <v>191</v>
      </c>
      <c r="BC305" s="6905"/>
      <c r="BD305" s="7652"/>
      <c r="BE305" s="7074"/>
      <c r="BF305" s="7654"/>
      <c r="BG305" s="7655"/>
      <c r="BH305" s="7656"/>
      <c r="BO305" s="2"/>
      <c r="BP305" s="2"/>
      <c r="BQ305" s="2"/>
      <c r="BR305" s="2"/>
      <c r="BS305" s="2"/>
      <c r="BT305" s="2"/>
      <c r="BU305" s="2"/>
      <c r="BW305" s="5">
        <v>1</v>
      </c>
    </row>
    <row r="306" spans="14:75" ht="15.75">
      <c r="N306" s="141"/>
      <c r="O306" s="141"/>
      <c r="P306" s="141"/>
      <c r="Q306" s="141"/>
      <c r="R306" s="1546" t="str">
        <f>"cellule "&amp;ADDRESS(ROW(X306),COLUMN(X306),4)&amp;"  vous pouvez saisir un autre poids"</f>
        <v>cellule X306  vous pouvez saisir un autre poids</v>
      </c>
      <c r="S306" s="1547"/>
      <c r="T306" s="1548"/>
      <c r="U306" s="102"/>
      <c r="V306" s="1547"/>
      <c r="X306" s="1549">
        <v>1</v>
      </c>
      <c r="AX306" s="141"/>
      <c r="AY306" s="141"/>
      <c r="AZ306" s="141"/>
      <c r="BA306" s="141"/>
      <c r="BB306" s="1561"/>
      <c r="BC306" s="210">
        <v>350</v>
      </c>
      <c r="BD306" s="5493">
        <f>IFERROR(INDEX(BB312:BH312,MATCH(BE306,BB311:BH311,0)) * BC306 * IF(ISBLANK(BB306), 1, BB306), 0)</f>
        <v>0.35000000000000003</v>
      </c>
      <c r="BE306" s="251" t="s">
        <v>130</v>
      </c>
      <c r="BF306" s="1562">
        <v>16</v>
      </c>
      <c r="BG306" s="1563">
        <f>((BD306-(BD306*BF306%)))</f>
        <v>0.29400000000000004</v>
      </c>
      <c r="BH306" s="1564" t="s">
        <v>177</v>
      </c>
      <c r="BO306" s="2"/>
      <c r="BP306" s="2"/>
      <c r="BQ306" s="2"/>
      <c r="BR306" s="2"/>
      <c r="BS306" s="2"/>
      <c r="BT306" s="2"/>
      <c r="BU306" s="2"/>
      <c r="BW306" s="5">
        <v>1</v>
      </c>
    </row>
    <row r="307" spans="14:75" ht="15.75" customHeight="1">
      <c r="N307" s="141"/>
      <c r="O307" s="141"/>
      <c r="P307" s="141"/>
      <c r="Q307" s="141"/>
      <c r="R307" s="5456">
        <v>100</v>
      </c>
      <c r="S307" s="5457">
        <v>120</v>
      </c>
      <c r="T307" s="1552"/>
      <c r="U307" s="5457">
        <v>180</v>
      </c>
      <c r="V307" s="5457">
        <v>180</v>
      </c>
      <c r="W307" s="5457">
        <v>200</v>
      </c>
      <c r="X307" s="1553" t="s">
        <v>1281</v>
      </c>
      <c r="AX307" s="141"/>
      <c r="AY307" s="141"/>
      <c r="AZ307" s="141"/>
      <c r="BA307" s="141"/>
      <c r="BB307" s="1568"/>
      <c r="BC307" s="1569">
        <v>1.2</v>
      </c>
      <c r="BD307" s="5493">
        <f>IFERROR(INDEX(BB312:BH312,MATCH(BE307,BB311:BH311,0)) * BC307 * IF(ISBLANK(BB307), 1, BB307), 0)</f>
        <v>1.2</v>
      </c>
      <c r="BE307" s="314" t="s">
        <v>219</v>
      </c>
      <c r="BF307" s="1570">
        <v>22</v>
      </c>
      <c r="BG307" s="1563">
        <f>((BD307-(BD307*BF307%)))</f>
        <v>0.93599999999999994</v>
      </c>
      <c r="BH307" s="1571" t="s">
        <v>174</v>
      </c>
      <c r="BO307" s="2"/>
      <c r="BP307" s="2"/>
      <c r="BQ307" s="2"/>
      <c r="BR307" s="2"/>
      <c r="BS307" s="2"/>
      <c r="BT307" s="2"/>
      <c r="BU307" s="2"/>
      <c r="BW307" s="5">
        <v>1</v>
      </c>
    </row>
    <row r="308" spans="14:75" ht="15.75">
      <c r="N308" s="141"/>
      <c r="O308" s="141"/>
      <c r="P308" s="141"/>
      <c r="Q308" s="141"/>
      <c r="R308" s="1555">
        <f>IF(MOD(X306*1000/R307,1)=0,X306*1000/R307,IF(MOD(X306*1000/R307,1)&lt;0.5,INT(X306*1000/R307),INT(X306*1000/R307)+1))</f>
        <v>10</v>
      </c>
      <c r="S308" s="1556">
        <f>IF(MOD(X306*1000/S307,1)=0,X306*1000/S307,IF(MOD(X306*1000/S307,1)&lt;0.5,INT(X306*1000/S307),INT(X306*1000/S307)+1))</f>
        <v>8</v>
      </c>
      <c r="T308" s="1557"/>
      <c r="U308" s="1556">
        <f>IF(MOD(X306*1000/U307,1)=0,X306*1000/U307,IF(MOD(X306*1000/U307,1)&lt;0.5,INT(X306*1000/U307),INT(X306*1000/U307)+1))</f>
        <v>6</v>
      </c>
      <c r="V308" s="1556">
        <f>IF(MOD(X306*1000/V307,1)=0,X306*1000/V307,IF(MOD(X306*1000/V307,1)&lt;0.5,INT(X306*1000/V307),INT(X306*1000/V307)+1))</f>
        <v>6</v>
      </c>
      <c r="W308" s="1556">
        <f>IF(MOD(X306*1000/W307,1)=0,X306*1000/W307,IF(MOD(X306*1000/W307,1)&lt;0.5,INT(X306*1000/W307),INT(X306*1000/W307)+1))</f>
        <v>5</v>
      </c>
      <c r="X308" s="1558" t="s">
        <v>1283</v>
      </c>
      <c r="AX308" s="141"/>
      <c r="AY308" s="141"/>
      <c r="AZ308" s="141"/>
      <c r="BA308" s="141"/>
      <c r="BB308" s="1568">
        <v>2</v>
      </c>
      <c r="BC308" s="210">
        <v>50</v>
      </c>
      <c r="BD308" s="5493">
        <f>IFERROR(INDEX(BB312:BH312,MATCH(BE308,BB311:BH311,0)) * BC308 * IF(ISBLANK(BB308), 1, BB308), 0)</f>
        <v>0.1</v>
      </c>
      <c r="BE308" s="251" t="s">
        <v>130</v>
      </c>
      <c r="BF308" s="1570"/>
      <c r="BG308" s="1563">
        <f>((BD308-(BD308*BF308%)))</f>
        <v>0.1</v>
      </c>
      <c r="BH308" s="1575" t="s">
        <v>1286</v>
      </c>
      <c r="BO308" s="2"/>
      <c r="BP308" s="2"/>
      <c r="BQ308" s="2"/>
      <c r="BR308" s="2"/>
      <c r="BS308" s="2"/>
      <c r="BT308" s="2"/>
      <c r="BU308" s="2"/>
      <c r="BW308" s="5">
        <v>1</v>
      </c>
    </row>
    <row r="309" spans="14:75" ht="15.75">
      <c r="N309" s="141"/>
      <c r="O309" s="141"/>
      <c r="P309" s="141"/>
      <c r="Q309" s="141"/>
      <c r="R309" s="1546" t="str">
        <f>"cellule "&amp;ADDRESS(ROW(X309),COLUMN(X309),4)&amp;"  vous pouvez saisir un autre poids"</f>
        <v>cellule X309  vous pouvez saisir un autre poids</v>
      </c>
      <c r="S309" s="1552"/>
      <c r="T309" s="1559"/>
      <c r="U309" s="141"/>
      <c r="V309" s="1552"/>
      <c r="X309" s="1560">
        <v>1</v>
      </c>
      <c r="AX309" s="141"/>
      <c r="AY309" s="141"/>
      <c r="AZ309" s="141"/>
      <c r="BA309" s="141"/>
      <c r="BB309" s="1568"/>
      <c r="BC309" s="210">
        <v>1</v>
      </c>
      <c r="BD309" s="5493">
        <f>IFERROR(INDEX(BB312:BH312,MATCH(BE309,BB311:BH311,0)) * BC309 * IF(ISBLANK(BB309), 1, BB309), 0)</f>
        <v>0.5</v>
      </c>
      <c r="BE309" s="265" t="s">
        <v>159</v>
      </c>
      <c r="BF309" s="1570"/>
      <c r="BG309" s="1563">
        <f>((BD309-(BD309*BF309%)))</f>
        <v>0.5</v>
      </c>
      <c r="BH309" s="1571" t="s">
        <v>1289</v>
      </c>
      <c r="BO309" s="2"/>
      <c r="BP309" s="2"/>
      <c r="BQ309" s="2"/>
      <c r="BR309" s="2"/>
      <c r="BS309" s="2"/>
      <c r="BT309" s="2"/>
      <c r="BU309" s="2"/>
      <c r="BW309" s="5">
        <v>1</v>
      </c>
    </row>
    <row r="310" spans="14:75" ht="15.75">
      <c r="N310" s="141"/>
      <c r="O310" s="141"/>
      <c r="P310" s="141"/>
      <c r="Q310" s="141"/>
      <c r="R310" s="1565">
        <v>10</v>
      </c>
      <c r="S310" s="1512">
        <v>8</v>
      </c>
      <c r="T310" s="1566"/>
      <c r="U310" s="1512">
        <v>5</v>
      </c>
      <c r="V310" s="1512">
        <v>6</v>
      </c>
      <c r="W310" s="1512">
        <v>10</v>
      </c>
      <c r="X310" s="1567" t="s">
        <v>1284</v>
      </c>
      <c r="AX310" s="141"/>
      <c r="AY310" s="141"/>
      <c r="AZ310" s="141"/>
      <c r="BA310" s="141"/>
      <c r="BB310" s="1581" t="s">
        <v>1294</v>
      </c>
      <c r="BC310" s="988"/>
      <c r="BD310" s="988"/>
      <c r="BE310" s="988"/>
      <c r="BF310" s="988"/>
      <c r="BG310" s="988"/>
      <c r="BH310" s="1582" t="s">
        <v>1295</v>
      </c>
      <c r="BO310" s="2"/>
      <c r="BP310" s="2"/>
      <c r="BQ310" s="2"/>
      <c r="BR310" s="2"/>
      <c r="BS310" s="2"/>
      <c r="BT310" s="2"/>
      <c r="BU310" s="2"/>
      <c r="BW310" s="5">
        <v>1</v>
      </c>
    </row>
    <row r="311" spans="14:75" ht="15.75">
      <c r="N311" s="141"/>
      <c r="O311" s="141"/>
      <c r="P311" s="141"/>
      <c r="Q311" s="141"/>
      <c r="R311" s="1572">
        <f>X309/R310*1000</f>
        <v>100</v>
      </c>
      <c r="S311" s="1573">
        <f>X309/S310*1000</f>
        <v>125</v>
      </c>
      <c r="T311" s="1574"/>
      <c r="U311" s="1573">
        <f>X309/U310*1000</f>
        <v>200</v>
      </c>
      <c r="V311" s="1573">
        <f>X309/V310*1000</f>
        <v>166.66666666666666</v>
      </c>
      <c r="W311" s="1573">
        <f>X309/W310*1000</f>
        <v>100</v>
      </c>
      <c r="X311" s="1558" t="s">
        <v>1285</v>
      </c>
      <c r="AX311" s="141"/>
      <c r="AY311" s="141"/>
      <c r="AZ311" s="141"/>
      <c r="BA311" s="141"/>
      <c r="BB311" s="314" t="s">
        <v>219</v>
      </c>
      <c r="BC311" s="251" t="s">
        <v>130</v>
      </c>
      <c r="BD311" s="1583"/>
      <c r="BE311" s="265" t="s">
        <v>159</v>
      </c>
      <c r="BF311" s="265" t="s">
        <v>164</v>
      </c>
      <c r="BG311" s="251" t="s">
        <v>88</v>
      </c>
      <c r="BH311" s="1584" t="s">
        <v>170</v>
      </c>
      <c r="BO311" s="2"/>
      <c r="BP311" s="2"/>
      <c r="BQ311" s="2"/>
      <c r="BR311" s="2"/>
      <c r="BS311" s="2"/>
      <c r="BT311" s="2"/>
      <c r="BU311" s="2"/>
      <c r="BW311" s="5">
        <v>1</v>
      </c>
    </row>
    <row r="312" spans="14:75" ht="15.75">
      <c r="N312" s="141"/>
      <c r="O312" s="141"/>
      <c r="P312" s="141"/>
      <c r="Q312" s="141"/>
      <c r="R312" s="1576" t="s">
        <v>1279</v>
      </c>
      <c r="S312" s="1577"/>
      <c r="T312" s="1578" t="s">
        <v>1287</v>
      </c>
      <c r="U312" s="1577"/>
      <c r="V312" s="1577"/>
      <c r="W312" s="1578" t="s">
        <v>1288</v>
      </c>
      <c r="X312" s="1325"/>
      <c r="AX312" s="141"/>
      <c r="AY312" s="141"/>
      <c r="AZ312" s="141"/>
      <c r="BA312" s="141"/>
      <c r="BB312" s="1585">
        <v>1</v>
      </c>
      <c r="BC312" s="1585">
        <v>1E-3</v>
      </c>
      <c r="BD312" s="1583"/>
      <c r="BE312" s="1586">
        <v>0.5</v>
      </c>
      <c r="BF312" s="1585">
        <v>0.25</v>
      </c>
      <c r="BG312" s="1587">
        <v>1</v>
      </c>
      <c r="BH312" s="1588">
        <v>0.01</v>
      </c>
      <c r="BO312" s="2"/>
      <c r="BP312" s="2"/>
      <c r="BQ312" s="2"/>
      <c r="BR312" s="2"/>
      <c r="BS312" s="2"/>
      <c r="BT312" s="2"/>
      <c r="BU312" s="2"/>
      <c r="BW312" s="5">
        <v>1</v>
      </c>
    </row>
    <row r="313" spans="14:75" ht="15.75">
      <c r="N313" s="141"/>
      <c r="O313" s="141"/>
      <c r="P313" s="141"/>
      <c r="Q313" s="141"/>
      <c r="R313" s="1576" t="s">
        <v>1290</v>
      </c>
      <c r="S313" s="1577"/>
      <c r="T313" s="1579" t="s">
        <v>1291</v>
      </c>
      <c r="U313" s="1577"/>
      <c r="V313" s="1577"/>
      <c r="W313" s="1578" t="s">
        <v>1292</v>
      </c>
      <c r="X313" s="1580" t="s">
        <v>1293</v>
      </c>
      <c r="AX313" s="141"/>
      <c r="AY313" s="141"/>
      <c r="AZ313" s="141"/>
      <c r="BA313" s="141"/>
      <c r="BB313" s="1323"/>
      <c r="BC313" s="988"/>
      <c r="BD313" s="988"/>
      <c r="BE313" s="988"/>
      <c r="BF313" s="988"/>
      <c r="BG313" s="988"/>
      <c r="BH313" s="1325"/>
      <c r="BO313" s="2"/>
      <c r="BP313" s="2"/>
      <c r="BQ313" s="2"/>
      <c r="BR313" s="2"/>
      <c r="BS313" s="2"/>
      <c r="BT313" s="2"/>
      <c r="BU313" s="2"/>
      <c r="BW313" s="5">
        <v>1</v>
      </c>
    </row>
    <row r="314" spans="14:75" ht="15.75" customHeight="1">
      <c r="N314" s="141"/>
      <c r="O314" s="141"/>
      <c r="P314" s="141"/>
      <c r="Q314" s="141"/>
      <c r="R314" s="1369" t="s">
        <v>864</v>
      </c>
      <c r="S314" s="1321"/>
      <c r="T314" s="1321"/>
      <c r="U314" s="1321"/>
      <c r="V314" s="1321"/>
      <c r="W314" s="1321"/>
      <c r="X314" s="1370"/>
      <c r="AX314" s="141"/>
      <c r="AY314" s="141"/>
      <c r="AZ314" s="141"/>
      <c r="BA314" s="141"/>
      <c r="BB314" s="1369" t="s">
        <v>864</v>
      </c>
      <c r="BC314" s="1321"/>
      <c r="BD314" s="1321"/>
      <c r="BE314" s="1321"/>
      <c r="BF314" s="1321"/>
      <c r="BG314" s="1321"/>
      <c r="BH314" s="1370" t="s">
        <v>1297</v>
      </c>
      <c r="BO314" s="2"/>
      <c r="BP314" s="2"/>
      <c r="BQ314" s="2"/>
      <c r="BR314" s="2"/>
      <c r="BS314" s="2"/>
      <c r="BT314" s="2"/>
      <c r="BU314" s="2"/>
      <c r="BW314" s="5">
        <v>1</v>
      </c>
    </row>
    <row r="315" spans="14:75" ht="15.75" customHeight="1">
      <c r="N315" s="141"/>
      <c r="O315" s="141"/>
      <c r="P315" s="141"/>
      <c r="Q315" s="141"/>
      <c r="R315" s="1323"/>
      <c r="S315" s="988"/>
      <c r="T315" s="988"/>
      <c r="U315" s="988"/>
      <c r="V315" s="988"/>
      <c r="W315" s="988"/>
      <c r="X315" s="1325"/>
      <c r="AX315" s="141"/>
      <c r="AY315" s="141"/>
      <c r="AZ315" s="141"/>
      <c r="BA315" s="141"/>
      <c r="BB315" s="141"/>
      <c r="BC315" s="141"/>
      <c r="BD315" s="141"/>
      <c r="BE315" s="141"/>
      <c r="BF315" s="141"/>
      <c r="BG315" s="141"/>
      <c r="BH315" s="141"/>
      <c r="BO315" s="2"/>
      <c r="BP315" s="2"/>
      <c r="BQ315" s="2"/>
      <c r="BR315" s="2"/>
      <c r="BS315" s="2"/>
      <c r="BT315" s="2"/>
      <c r="BU315" s="2"/>
      <c r="BW315" s="5">
        <v>1</v>
      </c>
    </row>
    <row r="316" spans="14:75" ht="15.75">
      <c r="N316" s="141"/>
      <c r="O316" s="141"/>
      <c r="P316" s="141"/>
      <c r="Q316" s="141"/>
      <c r="R316" s="1323"/>
      <c r="S316" s="988"/>
      <c r="T316" s="988"/>
      <c r="U316" s="988"/>
      <c r="V316" s="988"/>
      <c r="W316" s="988"/>
      <c r="X316" s="1325"/>
      <c r="AX316" s="141"/>
      <c r="AY316" s="141"/>
      <c r="AZ316" s="141"/>
      <c r="BA316" s="141"/>
      <c r="BB316" s="141"/>
      <c r="BC316" s="141"/>
      <c r="BD316" s="141"/>
      <c r="BE316" s="141"/>
      <c r="BF316" s="141"/>
      <c r="BG316" s="141"/>
      <c r="BH316" s="141"/>
      <c r="BO316" s="2"/>
      <c r="BP316" s="2"/>
      <c r="BQ316" s="2"/>
      <c r="BR316" s="2"/>
      <c r="BS316" s="2"/>
      <c r="BT316" s="2"/>
      <c r="BU316" s="2"/>
      <c r="BW316" s="5">
        <v>1</v>
      </c>
    </row>
    <row r="317" spans="14:75" ht="15.75" customHeight="1">
      <c r="N317" s="141"/>
      <c r="O317" s="141"/>
      <c r="P317" s="141"/>
      <c r="Q317" s="141"/>
      <c r="R317" s="1323"/>
      <c r="S317" s="988"/>
      <c r="T317" s="988"/>
      <c r="U317" s="988"/>
      <c r="V317" s="988"/>
      <c r="W317" s="988"/>
      <c r="X317" s="1325"/>
      <c r="BO317" s="2"/>
      <c r="BP317" s="2"/>
      <c r="BQ317" s="2"/>
      <c r="BR317" s="2"/>
      <c r="BS317" s="2"/>
      <c r="BT317" s="2"/>
      <c r="BU317" s="2"/>
      <c r="BW317" s="5">
        <v>1</v>
      </c>
    </row>
    <row r="318" spans="14:75" ht="15.75" customHeight="1">
      <c r="N318" s="141"/>
      <c r="O318" s="141"/>
      <c r="P318" s="141"/>
      <c r="Q318" s="141"/>
      <c r="R318" s="1599"/>
      <c r="S318" s="997"/>
      <c r="T318" s="997"/>
      <c r="U318" s="997"/>
      <c r="V318" s="997"/>
      <c r="W318" s="997"/>
      <c r="X318" s="1339" t="s">
        <v>1112</v>
      </c>
      <c r="BO318" s="2"/>
      <c r="BP318" s="2"/>
      <c r="BQ318" s="2"/>
      <c r="BR318" s="2"/>
      <c r="BS318" s="2"/>
      <c r="BT318" s="2"/>
      <c r="BU318" s="2"/>
      <c r="BW318" s="5">
        <v>1</v>
      </c>
    </row>
    <row r="319" spans="14:75" ht="15.75">
      <c r="N319" s="141"/>
      <c r="O319" s="141"/>
      <c r="P319" s="141"/>
      <c r="Q319" s="141"/>
      <c r="R319" s="1454"/>
      <c r="S319" s="1002"/>
      <c r="T319" s="1002" t="s">
        <v>873</v>
      </c>
      <c r="U319" s="1003"/>
      <c r="V319" s="1329"/>
      <c r="W319" s="1329"/>
      <c r="X319" s="1330"/>
      <c r="BO319" s="2"/>
      <c r="BP319" s="2"/>
      <c r="BQ319" s="2"/>
      <c r="BR319" s="2"/>
      <c r="BS319" s="2"/>
      <c r="BT319" s="2"/>
      <c r="BU319" s="2"/>
      <c r="BW319" s="5">
        <v>1</v>
      </c>
    </row>
    <row r="320" spans="14:75" ht="16.5" thickBot="1">
      <c r="N320" s="141"/>
      <c r="O320" s="141"/>
      <c r="P320" s="141"/>
      <c r="Q320" s="141"/>
      <c r="R320" s="1332" t="s">
        <v>86</v>
      </c>
      <c r="S320" s="1006"/>
      <c r="T320" s="1007"/>
      <c r="U320" s="1008"/>
      <c r="V320" s="1007"/>
      <c r="W320" s="1007"/>
      <c r="X320" s="1333"/>
      <c r="BO320" s="2"/>
      <c r="BP320" s="2"/>
      <c r="BQ320" s="2"/>
      <c r="BR320" s="2"/>
      <c r="BS320" s="2"/>
      <c r="BT320" s="2"/>
      <c r="BU320" s="2"/>
      <c r="BW320" s="5">
        <v>1</v>
      </c>
    </row>
    <row r="321" spans="14:75">
      <c r="N321" s="141"/>
      <c r="O321" s="141"/>
      <c r="P321" s="141"/>
      <c r="Q321" s="141"/>
      <c r="BO321" s="2"/>
      <c r="BP321" s="2"/>
      <c r="BQ321" s="2"/>
      <c r="BR321" s="2"/>
      <c r="BS321" s="2"/>
      <c r="BT321" s="2"/>
      <c r="BU321" s="2"/>
      <c r="BW321" s="5">
        <v>1</v>
      </c>
    </row>
    <row r="322" spans="14:75" ht="15.75" customHeight="1">
      <c r="N322" s="141"/>
      <c r="O322" s="141"/>
      <c r="P322" s="141"/>
      <c r="Q322" s="141"/>
      <c r="R322" s="141"/>
      <c r="S322" s="141"/>
      <c r="T322" s="141"/>
      <c r="U322" s="141"/>
      <c r="V322" s="141"/>
      <c r="W322" s="141"/>
      <c r="X322" s="141"/>
      <c r="BW322" s="5">
        <v>1</v>
      </c>
    </row>
    <row r="323" spans="14:75" ht="15.75">
      <c r="N323" s="141"/>
      <c r="O323" s="141"/>
      <c r="P323" s="141"/>
      <c r="Q323" s="141"/>
      <c r="R323" s="1354" t="s">
        <v>252</v>
      </c>
      <c r="S323" s="1550"/>
      <c r="T323" s="1550"/>
      <c r="U323" s="1550"/>
      <c r="V323" s="1550"/>
      <c r="W323" s="1551"/>
      <c r="X323" s="1434" t="s">
        <v>1256</v>
      </c>
      <c r="BN323" s="2"/>
      <c r="BW323" s="5">
        <v>1</v>
      </c>
    </row>
    <row r="324" spans="14:75" ht="15.75">
      <c r="N324" s="141"/>
      <c r="O324" s="141"/>
      <c r="P324" s="141"/>
      <c r="Q324" s="141"/>
      <c r="R324" s="1589" t="s">
        <v>1296</v>
      </c>
      <c r="S324" s="1590"/>
      <c r="T324" s="1591"/>
      <c r="U324" s="1592"/>
      <c r="V324" s="1591"/>
      <c r="W324" s="1591"/>
      <c r="X324" s="1593"/>
      <c r="BO324" s="2"/>
      <c r="BP324" s="2"/>
      <c r="BQ324" s="2"/>
      <c r="BR324" s="2"/>
      <c r="BS324" s="2"/>
      <c r="BT324" s="2"/>
      <c r="BU324" s="2"/>
      <c r="BW324" s="5">
        <v>1</v>
      </c>
    </row>
    <row r="325" spans="14:75" ht="15.75" customHeight="1">
      <c r="N325" s="141"/>
      <c r="O325" s="141"/>
      <c r="P325" s="141"/>
      <c r="Q325" s="141"/>
      <c r="R325" s="1319"/>
      <c r="S325" s="102"/>
      <c r="T325" s="102"/>
      <c r="U325" s="102"/>
      <c r="V325" s="1525" t="s">
        <v>1255</v>
      </c>
      <c r="W325" s="102"/>
      <c r="X325" s="1598"/>
      <c r="BW325" s="5">
        <v>1</v>
      </c>
    </row>
    <row r="326" spans="14:75">
      <c r="N326" s="141"/>
      <c r="O326" s="141"/>
      <c r="P326" s="141"/>
      <c r="Q326" s="141"/>
      <c r="R326" s="1527" t="s">
        <v>1257</v>
      </c>
      <c r="S326" s="1528" t="s">
        <v>1258</v>
      </c>
      <c r="T326" s="7082" t="s">
        <v>162</v>
      </c>
      <c r="U326" s="7082"/>
      <c r="V326" s="1529" t="s">
        <v>1259</v>
      </c>
      <c r="X326" s="1530" t="s">
        <v>1185</v>
      </c>
      <c r="BW326" s="5">
        <v>1</v>
      </c>
    </row>
    <row r="327" spans="14:75" ht="15.75">
      <c r="N327" s="141"/>
      <c r="O327" s="141"/>
      <c r="P327" s="141"/>
      <c r="Q327" s="141"/>
      <c r="R327" s="7650">
        <v>750</v>
      </c>
      <c r="S327" s="1531">
        <v>1</v>
      </c>
      <c r="T327" s="7068" t="s">
        <v>1260</v>
      </c>
      <c r="U327" s="7068"/>
      <c r="V327" s="1532">
        <v>16</v>
      </c>
      <c r="W327" s="1401">
        <f>S327*R327</f>
        <v>750</v>
      </c>
      <c r="X327" s="1533" t="s">
        <v>1261</v>
      </c>
      <c r="BW327" s="5">
        <v>1</v>
      </c>
    </row>
    <row r="328" spans="14:75" ht="15.75">
      <c r="N328" s="141"/>
      <c r="O328" s="141"/>
      <c r="P328" s="141"/>
      <c r="Q328" s="141"/>
      <c r="R328" s="7650"/>
      <c r="S328" s="5458">
        <v>120</v>
      </c>
      <c r="T328" s="260" t="s">
        <v>1262</v>
      </c>
      <c r="U328" s="1174"/>
      <c r="V328" s="5459">
        <v>1.2</v>
      </c>
      <c r="W328" s="1536">
        <f>(S328*R327)/1000</f>
        <v>90</v>
      </c>
      <c r="X328" s="7392" t="s">
        <v>1263</v>
      </c>
      <c r="BW328" s="5">
        <v>1</v>
      </c>
    </row>
    <row r="329" spans="14:75" ht="15.75">
      <c r="N329" s="141"/>
      <c r="O329" s="141"/>
      <c r="P329" s="141"/>
      <c r="Q329" s="141"/>
      <c r="R329" s="1537" t="str">
        <f>INT(W327/V327) &amp; " " &amp; X327 &amp; " de " &amp; V327 &amp; " " &amp; T327 &amp; IF(MOD(W327,V327)&gt;0, " + 1 "&amp;X327&amp;" de " &amp; TEXT(MOD(W327,V327), "0.00") &amp; " " &amp; T327, "")</f>
        <v>46 Assiette(s) de 16 madeleine(s) + 1 Assiette(s) de 14.00 madeleine(s)</v>
      </c>
      <c r="S329" s="141"/>
      <c r="T329" s="141"/>
      <c r="U329" s="141"/>
      <c r="V329" s="141"/>
      <c r="W329" s="988"/>
      <c r="X329" s="7392"/>
      <c r="BW329" s="5">
        <v>1</v>
      </c>
    </row>
    <row r="330" spans="14:75" ht="16.5" customHeight="1">
      <c r="N330" s="141"/>
      <c r="O330" s="141"/>
      <c r="P330" s="141"/>
      <c r="Q330" s="141"/>
      <c r="R330" s="1182" t="str">
        <f>IF(MOD(W328, V328) = 0, INT(W328/V328) &amp; " " &amp; X327 &amp; " de " &amp; V328 &amp; " kg", INT(W328/V328) &amp; " " &amp; X327 &amp; " de " &amp; V328 &amp; " kg" &amp; " + 1 "&amp;X327&amp;" de " &amp; TEXT(MOD(W328, V328), "0.00") &amp; " kg")</f>
        <v>75 Assiette(s) de 1.2 kg + 1 Assiette(s) de 0.00 kg</v>
      </c>
      <c r="S330" s="141"/>
      <c r="T330" s="141"/>
      <c r="U330" s="141"/>
      <c r="V330" s="141"/>
      <c r="W330" s="988"/>
      <c r="X330" s="7392"/>
      <c r="BW330" s="5">
        <v>1</v>
      </c>
    </row>
    <row r="331" spans="14:75" ht="15.75">
      <c r="N331" s="141"/>
      <c r="O331" s="141"/>
      <c r="P331" s="141"/>
      <c r="Q331" s="141"/>
      <c r="R331" s="1323"/>
      <c r="S331" s="988"/>
      <c r="T331" s="988"/>
      <c r="U331" s="988"/>
      <c r="V331" s="988"/>
      <c r="W331" s="988"/>
      <c r="X331" s="1325"/>
      <c r="BW331" s="5">
        <v>1</v>
      </c>
    </row>
    <row r="332" spans="14:75" ht="15.75">
      <c r="N332" s="141"/>
      <c r="O332" s="141"/>
      <c r="P332" s="141"/>
      <c r="Q332" s="141"/>
      <c r="R332" s="1369" t="s">
        <v>864</v>
      </c>
      <c r="S332" s="1321"/>
      <c r="T332" s="1321"/>
      <c r="U332" s="1321"/>
      <c r="V332" s="1321"/>
      <c r="W332" s="1321"/>
      <c r="X332" s="1370"/>
      <c r="BW332" s="5">
        <v>1</v>
      </c>
    </row>
    <row r="333" spans="14:75" ht="15.75" customHeight="1">
      <c r="N333" s="141"/>
      <c r="O333" s="141"/>
      <c r="P333" s="141"/>
      <c r="Q333" s="141"/>
      <c r="R333" s="1441"/>
      <c r="S333" s="1385"/>
      <c r="T333" s="1385"/>
      <c r="U333" s="1385"/>
      <c r="V333" s="1385"/>
      <c r="W333" s="1385"/>
      <c r="X333" s="1443"/>
      <c r="BW333" s="5">
        <v>1</v>
      </c>
    </row>
    <row r="334" spans="14:75" ht="15.75" customHeight="1">
      <c r="N334" s="141"/>
      <c r="O334" s="141"/>
      <c r="P334" s="141"/>
      <c r="Q334" s="141"/>
      <c r="R334" s="1441"/>
      <c r="S334" s="1385"/>
      <c r="T334" s="1385"/>
      <c r="U334" s="1385"/>
      <c r="V334" s="1385"/>
      <c r="W334" s="1385"/>
      <c r="X334" s="1443"/>
      <c r="BW334" s="5">
        <v>1</v>
      </c>
    </row>
    <row r="335" spans="14:75" ht="15.75">
      <c r="N335" s="141"/>
      <c r="O335" s="141"/>
      <c r="P335" s="141"/>
      <c r="Q335" s="141"/>
      <c r="R335" s="1441"/>
      <c r="S335" s="1385"/>
      <c r="T335" s="1385"/>
      <c r="U335" s="1385"/>
      <c r="V335" s="1385"/>
      <c r="W335" s="1385"/>
      <c r="X335" s="1443"/>
      <c r="BW335" s="5">
        <v>1</v>
      </c>
    </row>
    <row r="336" spans="14:75" ht="15.75">
      <c r="N336" s="141"/>
      <c r="O336" s="141"/>
      <c r="P336" s="141"/>
      <c r="Q336" s="141"/>
      <c r="R336" s="1441"/>
      <c r="S336" s="1385"/>
      <c r="T336" s="1385"/>
      <c r="U336" s="1385"/>
      <c r="V336" s="1385"/>
      <c r="W336" s="1385"/>
      <c r="X336" s="1443"/>
      <c r="BW336" s="5">
        <v>1</v>
      </c>
    </row>
    <row r="337" spans="14:77" ht="15.75" customHeight="1">
      <c r="N337" s="141"/>
      <c r="O337" s="141"/>
      <c r="P337" s="141"/>
      <c r="Q337" s="141"/>
      <c r="R337" s="1599"/>
      <c r="S337" s="997"/>
      <c r="T337" s="997"/>
      <c r="U337" s="997"/>
      <c r="V337" s="997"/>
      <c r="W337" s="997"/>
      <c r="X337" s="1339" t="s">
        <v>1112</v>
      </c>
      <c r="BW337" s="5">
        <v>1</v>
      </c>
    </row>
    <row r="338" spans="14:77" ht="15.75">
      <c r="N338" s="141"/>
      <c r="O338" s="141"/>
      <c r="P338" s="141"/>
      <c r="Q338" s="141"/>
      <c r="R338" s="1454"/>
      <c r="S338" s="1002"/>
      <c r="T338" s="1002" t="s">
        <v>873</v>
      </c>
      <c r="U338" s="1003"/>
      <c r="V338" s="1329"/>
      <c r="W338" s="1329"/>
      <c r="X338" s="1330"/>
      <c r="BW338" s="5">
        <v>1</v>
      </c>
    </row>
    <row r="339" spans="14:77" ht="16.5" thickBot="1">
      <c r="N339" s="141"/>
      <c r="O339" s="141"/>
      <c r="P339" s="141"/>
      <c r="Q339" s="141"/>
      <c r="R339" s="1332" t="s">
        <v>86</v>
      </c>
      <c r="S339" s="1006"/>
      <c r="T339" s="1007"/>
      <c r="U339" s="1008"/>
      <c r="V339" s="1007"/>
      <c r="W339" s="1007"/>
      <c r="X339" s="1333"/>
      <c r="BW339" s="5">
        <v>1</v>
      </c>
    </row>
    <row r="340" spans="14:77">
      <c r="N340" s="141"/>
      <c r="O340" s="141"/>
      <c r="P340" s="141"/>
      <c r="Q340" s="141"/>
      <c r="BW340" s="5">
        <v>1</v>
      </c>
    </row>
    <row r="341" spans="14:77">
      <c r="N341" s="141"/>
      <c r="O341" s="141"/>
      <c r="P341" s="141"/>
      <c r="Q341" s="141"/>
      <c r="R341" s="141"/>
      <c r="S341" s="141"/>
      <c r="T341" s="141"/>
      <c r="U341" s="141"/>
      <c r="V341" s="141"/>
      <c r="W341" s="141"/>
      <c r="X341" s="141"/>
      <c r="BW341" s="5">
        <v>1</v>
      </c>
    </row>
    <row r="342" spans="14:77" ht="15.75" customHeight="1">
      <c r="N342" s="141"/>
      <c r="O342" s="141"/>
      <c r="P342" s="141"/>
      <c r="Q342" s="141"/>
      <c r="R342" s="1354" t="s">
        <v>252</v>
      </c>
      <c r="S342" s="1550"/>
      <c r="T342" s="1550"/>
      <c r="U342" s="1550"/>
      <c r="V342" s="1550"/>
      <c r="W342" s="1551"/>
      <c r="X342" s="1434" t="s">
        <v>1298</v>
      </c>
      <c r="BW342" s="5">
        <v>1</v>
      </c>
    </row>
    <row r="343" spans="14:77" ht="15.75">
      <c r="N343" s="141"/>
      <c r="O343" s="141"/>
      <c r="P343" s="141"/>
      <c r="Q343" s="141"/>
      <c r="R343" s="1319"/>
      <c r="S343" s="147"/>
      <c r="T343" s="147"/>
      <c r="U343" s="147"/>
      <c r="V343" s="147"/>
      <c r="W343" s="147"/>
      <c r="X343" s="1580" t="s">
        <v>1293</v>
      </c>
      <c r="BW343" s="5">
        <v>1</v>
      </c>
    </row>
    <row r="344" spans="14:77" ht="15.75">
      <c r="N344" s="141"/>
      <c r="O344" s="141"/>
      <c r="P344" s="141"/>
      <c r="Q344" s="141"/>
      <c r="R344" s="1600"/>
      <c r="S344" s="1601" t="s">
        <v>762</v>
      </c>
      <c r="T344" s="988"/>
      <c r="U344" s="1602">
        <v>2</v>
      </c>
      <c r="V344" s="1603"/>
      <c r="W344" s="1604">
        <v>10</v>
      </c>
      <c r="X344" s="5425" t="s">
        <v>751</v>
      </c>
      <c r="BW344" s="5">
        <v>1</v>
      </c>
    </row>
    <row r="345" spans="14:77" ht="15.75" customHeight="1">
      <c r="N345" s="141"/>
      <c r="O345" s="141"/>
      <c r="P345" s="141"/>
      <c r="Q345" s="141"/>
      <c r="R345" s="1605"/>
      <c r="S345" s="5422" t="s">
        <v>759</v>
      </c>
      <c r="T345" s="988"/>
      <c r="U345" s="1606">
        <v>1</v>
      </c>
      <c r="V345" s="1607"/>
      <c r="W345" s="1608">
        <v>15</v>
      </c>
      <c r="X345" s="1609" t="s">
        <v>752</v>
      </c>
      <c r="BW345" s="5">
        <v>1</v>
      </c>
      <c r="BX345" s="2"/>
      <c r="BY345" s="2"/>
    </row>
    <row r="346" spans="14:77" ht="15.75">
      <c r="N346" s="141"/>
      <c r="O346" s="141"/>
      <c r="P346" s="141"/>
      <c r="Q346" s="141"/>
      <c r="R346" s="1610"/>
      <c r="S346" s="1611" t="s">
        <v>765</v>
      </c>
      <c r="T346" s="988"/>
      <c r="U346" s="1612">
        <f>IF(U344=0,0,IF(U345=0,0,U344-U345))</f>
        <v>1</v>
      </c>
      <c r="V346" s="1613"/>
      <c r="W346" s="1614">
        <f>IF(W344=0,0,IF(W345=0,0,W345-W344))</f>
        <v>5</v>
      </c>
      <c r="X346" s="1615" t="s">
        <v>754</v>
      </c>
      <c r="BJ346"/>
      <c r="BK346"/>
      <c r="BL346"/>
      <c r="BM346"/>
      <c r="BN346"/>
      <c r="BW346" s="5">
        <v>1</v>
      </c>
      <c r="BX346" s="3"/>
      <c r="BY346" s="3"/>
    </row>
    <row r="347" spans="14:77" ht="15.75">
      <c r="N347" s="141"/>
      <c r="O347" s="141"/>
      <c r="P347" s="141"/>
      <c r="Q347" s="141"/>
      <c r="R347" s="1610"/>
      <c r="S347" s="1611" t="s">
        <v>768</v>
      </c>
      <c r="T347" s="988"/>
      <c r="U347" s="1616">
        <f>IF(U344=0,0,U346/U344)</f>
        <v>0.5</v>
      </c>
      <c r="V347" s="1617"/>
      <c r="W347" s="1618">
        <f>IF(W344=0,0,IF(ISBLANK(W344),0,(W346/W344)*100))</f>
        <v>50</v>
      </c>
      <c r="X347" s="1615" t="s">
        <v>753</v>
      </c>
      <c r="BW347" s="5">
        <v>1</v>
      </c>
    </row>
    <row r="348" spans="14:77" ht="15.75" customHeight="1">
      <c r="N348" s="141"/>
      <c r="O348" s="141"/>
      <c r="P348" s="141"/>
      <c r="Q348" s="141"/>
      <c r="R348" s="1605"/>
      <c r="S348" s="5422" t="s">
        <v>764</v>
      </c>
      <c r="T348" s="988"/>
      <c r="U348" s="1619">
        <v>50</v>
      </c>
      <c r="V348" s="1603"/>
      <c r="W348" s="1604">
        <v>10</v>
      </c>
      <c r="X348" s="5425" t="s">
        <v>751</v>
      </c>
      <c r="BW348" s="5">
        <v>1</v>
      </c>
    </row>
    <row r="349" spans="14:77" ht="15.75">
      <c r="N349" s="141"/>
      <c r="O349" s="141"/>
      <c r="P349" s="141"/>
      <c r="Q349" s="141"/>
      <c r="R349" s="1610"/>
      <c r="S349" s="1611" t="s">
        <v>765</v>
      </c>
      <c r="T349" s="988"/>
      <c r="U349" s="1612">
        <f>U344*U348%</f>
        <v>1</v>
      </c>
      <c r="V349" s="1620"/>
      <c r="W349" s="1621">
        <v>50</v>
      </c>
      <c r="X349" s="1622" t="s">
        <v>753</v>
      </c>
      <c r="BW349" s="5">
        <v>1</v>
      </c>
    </row>
    <row r="350" spans="14:77" ht="15.75">
      <c r="N350" s="141"/>
      <c r="O350" s="141"/>
      <c r="P350" s="141"/>
      <c r="Q350" s="141"/>
      <c r="R350" s="1610"/>
      <c r="S350" s="1611" t="s">
        <v>773</v>
      </c>
      <c r="T350" s="988"/>
      <c r="U350" s="1612">
        <f>U344-U349</f>
        <v>1</v>
      </c>
      <c r="V350" s="1613"/>
      <c r="W350" s="1614">
        <f>W348*W349%</f>
        <v>5</v>
      </c>
      <c r="X350" s="1615" t="s">
        <v>754</v>
      </c>
      <c r="BW350" s="5">
        <v>1</v>
      </c>
    </row>
    <row r="351" spans="14:77" ht="15.75" customHeight="1">
      <c r="N351" s="141"/>
      <c r="O351" s="141"/>
      <c r="P351" s="141"/>
      <c r="Q351" s="141"/>
      <c r="R351" s="1323"/>
      <c r="S351" s="1257"/>
      <c r="T351" s="988"/>
      <c r="U351" s="1623"/>
      <c r="V351" s="1624"/>
      <c r="W351" s="1614">
        <f>((W348*W349)/100)+W348</f>
        <v>15</v>
      </c>
      <c r="X351" s="1615" t="s">
        <v>752</v>
      </c>
      <c r="BJ351"/>
      <c r="BK351"/>
      <c r="BL351"/>
      <c r="BM351"/>
      <c r="BN351"/>
      <c r="BW351" s="5">
        <v>1</v>
      </c>
    </row>
    <row r="352" spans="14:77" ht="15.75">
      <c r="N352" s="141"/>
      <c r="O352" s="141"/>
      <c r="P352" s="141"/>
      <c r="Q352" s="141"/>
      <c r="R352" s="1369" t="s">
        <v>864</v>
      </c>
      <c r="S352" s="1321"/>
      <c r="T352" s="1321"/>
      <c r="U352" s="1321"/>
      <c r="V352" s="1321"/>
      <c r="W352" s="1321"/>
      <c r="X352" s="1370"/>
      <c r="BW352" s="5">
        <v>1</v>
      </c>
    </row>
    <row r="353" spans="1:77" ht="15.75">
      <c r="N353" s="141"/>
      <c r="O353" s="141"/>
      <c r="P353" s="141"/>
      <c r="Q353" s="141"/>
      <c r="R353" s="1441"/>
      <c r="S353" s="1385"/>
      <c r="T353" s="1385"/>
      <c r="U353" s="1385"/>
      <c r="V353" s="1385"/>
      <c r="W353" s="1385"/>
      <c r="X353" s="1443"/>
      <c r="BW353" s="5">
        <v>1</v>
      </c>
    </row>
    <row r="354" spans="1:77" ht="15.75">
      <c r="N354" s="141"/>
      <c r="O354" s="141"/>
      <c r="P354" s="141"/>
      <c r="Q354" s="141"/>
      <c r="R354" s="1441"/>
      <c r="S354" s="1385"/>
      <c r="T354" s="1385"/>
      <c r="U354" s="1385"/>
      <c r="V354" s="1385"/>
      <c r="W354" s="1385"/>
      <c r="X354" s="1443"/>
      <c r="BW354" s="5">
        <v>1</v>
      </c>
    </row>
    <row r="355" spans="1:77" ht="15.75">
      <c r="N355" s="141"/>
      <c r="O355" s="141"/>
      <c r="P355" s="141"/>
      <c r="Q355" s="141"/>
      <c r="R355" s="1441"/>
      <c r="S355" s="1385"/>
      <c r="T355" s="1385"/>
      <c r="U355" s="1385"/>
      <c r="V355" s="1385"/>
      <c r="W355" s="1385"/>
      <c r="X355" s="1443"/>
      <c r="BW355" s="5">
        <v>1</v>
      </c>
    </row>
    <row r="356" spans="1:77" ht="18.75" customHeight="1">
      <c r="N356" s="141"/>
      <c r="O356" s="141"/>
      <c r="P356" s="141"/>
      <c r="Q356" s="141"/>
      <c r="R356" s="1599"/>
      <c r="S356" s="997"/>
      <c r="T356" s="997"/>
      <c r="U356" s="997"/>
      <c r="V356" s="997"/>
      <c r="W356" s="997"/>
      <c r="X356" s="1339" t="s">
        <v>1112</v>
      </c>
      <c r="BW356" s="5">
        <v>1</v>
      </c>
    </row>
    <row r="357" spans="1:77" ht="15.75">
      <c r="N357" s="141"/>
      <c r="O357" s="141"/>
      <c r="P357" s="141"/>
      <c r="Q357" s="141"/>
      <c r="R357" s="1454"/>
      <c r="S357" s="1002"/>
      <c r="T357" s="1002" t="s">
        <v>873</v>
      </c>
      <c r="U357" s="1003"/>
      <c r="V357" s="1329"/>
      <c r="W357" s="1329"/>
      <c r="X357" s="1330"/>
      <c r="BW357" s="5">
        <v>1</v>
      </c>
    </row>
    <row r="358" spans="1:77" ht="16.5" customHeight="1" thickBot="1">
      <c r="N358" s="141"/>
      <c r="O358" s="141"/>
      <c r="P358" s="141"/>
      <c r="Q358" s="141"/>
      <c r="R358" s="1332" t="s">
        <v>86</v>
      </c>
      <c r="S358" s="1006"/>
      <c r="T358" s="1007"/>
      <c r="U358" s="1008"/>
      <c r="V358" s="1007"/>
      <c r="W358" s="1007"/>
      <c r="X358" s="1333"/>
      <c r="BW358" s="5">
        <v>1</v>
      </c>
    </row>
    <row r="359" spans="1:77" ht="16.5" customHeight="1">
      <c r="N359" s="141"/>
      <c r="O359" s="141"/>
      <c r="P359" s="141"/>
      <c r="Q359" s="141"/>
      <c r="BW359" s="5">
        <v>1</v>
      </c>
    </row>
    <row r="360" spans="1:77">
      <c r="BW360" s="5">
        <v>1</v>
      </c>
    </row>
    <row r="361" spans="1:77" ht="15.75" customHeight="1">
      <c r="BV361" s="11" t="str">
        <f>ADDRESS(ROW(),COLUMN(),4)</f>
        <v>BV361</v>
      </c>
      <c r="BW361" s="10" t="s">
        <v>0</v>
      </c>
    </row>
    <row r="362" spans="1:77" ht="19.5" customHeight="1">
      <c r="A362" s="5">
        <v>1</v>
      </c>
      <c r="B362" s="5">
        <v>1</v>
      </c>
      <c r="C362" s="5">
        <v>1</v>
      </c>
      <c r="D362" s="5">
        <v>1</v>
      </c>
      <c r="E362" s="5">
        <v>1</v>
      </c>
      <c r="F362" s="5">
        <v>1</v>
      </c>
      <c r="G362" s="5">
        <v>1</v>
      </c>
      <c r="H362" s="5">
        <v>1</v>
      </c>
      <c r="I362" s="5">
        <v>1</v>
      </c>
      <c r="J362" s="5">
        <v>1</v>
      </c>
      <c r="K362" s="5">
        <v>1</v>
      </c>
      <c r="L362" s="5">
        <v>1</v>
      </c>
      <c r="M362" s="5">
        <v>1</v>
      </c>
      <c r="N362" s="5">
        <v>1</v>
      </c>
      <c r="O362" s="5">
        <v>1</v>
      </c>
      <c r="P362" s="5">
        <v>1</v>
      </c>
      <c r="Q362" s="5">
        <v>1</v>
      </c>
      <c r="R362" s="5">
        <v>1</v>
      </c>
      <c r="S362" s="5">
        <v>1</v>
      </c>
      <c r="T362" s="5">
        <v>1</v>
      </c>
      <c r="U362" s="5">
        <v>1</v>
      </c>
      <c r="V362" s="5">
        <v>1</v>
      </c>
      <c r="W362" s="5">
        <v>1</v>
      </c>
      <c r="X362" s="5">
        <v>1</v>
      </c>
      <c r="Y362" s="5">
        <v>1</v>
      </c>
      <c r="Z362" s="5">
        <v>1</v>
      </c>
      <c r="AA362" s="5">
        <v>1</v>
      </c>
      <c r="AB362" s="5">
        <v>1</v>
      </c>
      <c r="AC362" s="5">
        <v>1</v>
      </c>
      <c r="AD362" s="5">
        <v>1</v>
      </c>
      <c r="AE362" s="5">
        <v>1</v>
      </c>
      <c r="AF362" s="5">
        <v>1</v>
      </c>
      <c r="AG362" s="5">
        <v>1</v>
      </c>
      <c r="AH362" s="5">
        <v>1</v>
      </c>
      <c r="AI362" s="5">
        <v>1</v>
      </c>
      <c r="AJ362" s="5">
        <v>1</v>
      </c>
      <c r="AK362" s="5">
        <v>1</v>
      </c>
      <c r="AL362" s="5">
        <v>1</v>
      </c>
      <c r="AM362" s="5">
        <v>1</v>
      </c>
      <c r="AN362" s="5">
        <v>1</v>
      </c>
      <c r="AO362" s="5">
        <v>1</v>
      </c>
      <c r="AP362" s="5">
        <v>1</v>
      </c>
      <c r="AQ362" s="5">
        <v>1</v>
      </c>
      <c r="AR362" s="5">
        <v>1</v>
      </c>
      <c r="AS362" s="5">
        <v>1</v>
      </c>
      <c r="AT362" s="5">
        <v>1</v>
      </c>
      <c r="AU362" s="5">
        <v>1</v>
      </c>
      <c r="AV362" s="5">
        <v>1</v>
      </c>
      <c r="AW362" s="5">
        <v>1</v>
      </c>
      <c r="AX362" s="5">
        <v>1</v>
      </c>
      <c r="AY362" s="5">
        <v>1</v>
      </c>
      <c r="AZ362" s="5">
        <v>1</v>
      </c>
      <c r="BA362" s="5">
        <v>1</v>
      </c>
      <c r="BB362" s="5">
        <v>1</v>
      </c>
      <c r="BC362" s="5">
        <v>1</v>
      </c>
      <c r="BD362" s="5">
        <v>1</v>
      </c>
      <c r="BE362" s="5">
        <v>1</v>
      </c>
      <c r="BF362" s="5">
        <v>1</v>
      </c>
      <c r="BG362" s="5">
        <v>1</v>
      </c>
      <c r="BH362" s="5">
        <v>1</v>
      </c>
      <c r="BI362" s="5">
        <v>1</v>
      </c>
      <c r="BJ362" s="5">
        <v>1</v>
      </c>
      <c r="BK362" s="5">
        <v>1</v>
      </c>
      <c r="BL362" s="5">
        <v>1</v>
      </c>
      <c r="BM362" s="5">
        <v>1</v>
      </c>
      <c r="BN362" s="5">
        <v>1</v>
      </c>
      <c r="BO362" s="5">
        <v>1</v>
      </c>
      <c r="BP362" s="5">
        <v>1</v>
      </c>
      <c r="BQ362" s="5">
        <v>1</v>
      </c>
      <c r="BR362" s="5">
        <v>1</v>
      </c>
      <c r="BS362" s="5">
        <v>1</v>
      </c>
      <c r="BT362" s="5">
        <v>1</v>
      </c>
      <c r="BU362" s="5">
        <v>1</v>
      </c>
      <c r="BV362" s="5">
        <v>1</v>
      </c>
      <c r="BW362" s="9" t="str">
        <f>ADDRESS(ROW(),COLUMN(),4)</f>
        <v>BW362</v>
      </c>
      <c r="BX362" s="8"/>
      <c r="BY362" s="7" t="str">
        <f>ADDRESS(ROW(),COLUMN(),4)</f>
        <v>BY362</v>
      </c>
    </row>
  </sheetData>
  <mergeCells count="197">
    <mergeCell ref="B3:B5"/>
    <mergeCell ref="F3:L4"/>
    <mergeCell ref="N3:N5"/>
    <mergeCell ref="R3:X4"/>
    <mergeCell ref="Z3:Z5"/>
    <mergeCell ref="AD3:AJ4"/>
    <mergeCell ref="BJ10:BM12"/>
    <mergeCell ref="BO10:BU12"/>
    <mergeCell ref="AL3:AL5"/>
    <mergeCell ref="AP3:AV4"/>
    <mergeCell ref="AX3:AX5"/>
    <mergeCell ref="BB3:BH4"/>
    <mergeCell ref="H10:I11"/>
    <mergeCell ref="J10:L11"/>
    <mergeCell ref="T10:U11"/>
    <mergeCell ref="V10:X11"/>
    <mergeCell ref="AF10:AG11"/>
    <mergeCell ref="AH10:AJ11"/>
    <mergeCell ref="AT13:AV14"/>
    <mergeCell ref="BF13:BH14"/>
    <mergeCell ref="H16:J16"/>
    <mergeCell ref="T16:V16"/>
    <mergeCell ref="AF16:AH16"/>
    <mergeCell ref="AR16:AT16"/>
    <mergeCell ref="BD16:BF16"/>
    <mergeCell ref="AR10:AS11"/>
    <mergeCell ref="AT10:AV11"/>
    <mergeCell ref="BD10:BE11"/>
    <mergeCell ref="BF10:BH11"/>
    <mergeCell ref="I18:I19"/>
    <mergeCell ref="J18:J19"/>
    <mergeCell ref="K18:K19"/>
    <mergeCell ref="U18:U19"/>
    <mergeCell ref="V18:V19"/>
    <mergeCell ref="W18:W19"/>
    <mergeCell ref="J13:L14"/>
    <mergeCell ref="V13:X14"/>
    <mergeCell ref="AH13:AJ14"/>
    <mergeCell ref="BE18:BE19"/>
    <mergeCell ref="BF18:BF19"/>
    <mergeCell ref="BG18:BG19"/>
    <mergeCell ref="BR24:BR25"/>
    <mergeCell ref="BS24:BS25"/>
    <mergeCell ref="BT24:BT25"/>
    <mergeCell ref="AG18:AG19"/>
    <mergeCell ref="AH18:AH19"/>
    <mergeCell ref="AI18:AI19"/>
    <mergeCell ref="AS18:AS19"/>
    <mergeCell ref="AT18:AT19"/>
    <mergeCell ref="AU18:AU19"/>
    <mergeCell ref="V39:X40"/>
    <mergeCell ref="T42:V42"/>
    <mergeCell ref="H49:I50"/>
    <mergeCell ref="J49:L50"/>
    <mergeCell ref="H29:I30"/>
    <mergeCell ref="J29:L30"/>
    <mergeCell ref="J32:L33"/>
    <mergeCell ref="H35:J35"/>
    <mergeCell ref="T36:U37"/>
    <mergeCell ref="V36:X37"/>
    <mergeCell ref="I57:I58"/>
    <mergeCell ref="J57:J58"/>
    <mergeCell ref="K57:K58"/>
    <mergeCell ref="AT57:AV58"/>
    <mergeCell ref="AR60:AT60"/>
    <mergeCell ref="BJ60:BM61"/>
    <mergeCell ref="BO51:BU52"/>
    <mergeCell ref="J52:L53"/>
    <mergeCell ref="AR54:AS55"/>
    <mergeCell ref="AT54:AV55"/>
    <mergeCell ref="BT54:BT55"/>
    <mergeCell ref="BU54:BU55"/>
    <mergeCell ref="H55:J55"/>
    <mergeCell ref="BS60:BU60"/>
    <mergeCell ref="BS61:BU62"/>
    <mergeCell ref="T62:U63"/>
    <mergeCell ref="V62:X63"/>
    <mergeCell ref="BS63:BU65"/>
    <mergeCell ref="BD64:BE65"/>
    <mergeCell ref="BF64:BH65"/>
    <mergeCell ref="V65:X66"/>
    <mergeCell ref="BJ56:BM59"/>
    <mergeCell ref="BF67:BH68"/>
    <mergeCell ref="H68:I69"/>
    <mergeCell ref="J68:L69"/>
    <mergeCell ref="T68:V68"/>
    <mergeCell ref="U70:U71"/>
    <mergeCell ref="V70:V71"/>
    <mergeCell ref="W70:W71"/>
    <mergeCell ref="BD70:BF70"/>
    <mergeCell ref="J71:L72"/>
    <mergeCell ref="BR94:BR95"/>
    <mergeCell ref="BS94:BS95"/>
    <mergeCell ref="BR72:BR73"/>
    <mergeCell ref="BS72:BS73"/>
    <mergeCell ref="BT72:BT73"/>
    <mergeCell ref="H74:J74"/>
    <mergeCell ref="BO79:BO80"/>
    <mergeCell ref="H88:I89"/>
    <mergeCell ref="J88:L89"/>
    <mergeCell ref="T88:U89"/>
    <mergeCell ref="V88:X89"/>
    <mergeCell ref="BJ102:BK103"/>
    <mergeCell ref="BL102:BM103"/>
    <mergeCell ref="AD106:AJ108"/>
    <mergeCell ref="H108:I109"/>
    <mergeCell ref="J108:L109"/>
    <mergeCell ref="J111:L112"/>
    <mergeCell ref="AD111:AJ114"/>
    <mergeCell ref="J91:L92"/>
    <mergeCell ref="V91:X92"/>
    <mergeCell ref="H94:J94"/>
    <mergeCell ref="T94:V94"/>
    <mergeCell ref="J131:L132"/>
    <mergeCell ref="AP131:AV134"/>
    <mergeCell ref="H134:J134"/>
    <mergeCell ref="R135:X137"/>
    <mergeCell ref="BO135:BO140"/>
    <mergeCell ref="BP136:BU138"/>
    <mergeCell ref="R140:X143"/>
    <mergeCell ref="BP113:BQ113"/>
    <mergeCell ref="BR113:BS113"/>
    <mergeCell ref="H114:J114"/>
    <mergeCell ref="AP126:AV128"/>
    <mergeCell ref="H128:I129"/>
    <mergeCell ref="J128:L129"/>
    <mergeCell ref="H168:I169"/>
    <mergeCell ref="J168:L169"/>
    <mergeCell ref="J171:L172"/>
    <mergeCell ref="H174:J174"/>
    <mergeCell ref="H188:I189"/>
    <mergeCell ref="J188:L189"/>
    <mergeCell ref="BO144:BO153"/>
    <mergeCell ref="BP144:BP145"/>
    <mergeCell ref="BB146:BH148"/>
    <mergeCell ref="H148:I149"/>
    <mergeCell ref="J148:L149"/>
    <mergeCell ref="J151:L152"/>
    <mergeCell ref="BB151:BH154"/>
    <mergeCell ref="H154:J154"/>
    <mergeCell ref="J191:L192"/>
    <mergeCell ref="H194:J194"/>
    <mergeCell ref="H198:I198"/>
    <mergeCell ref="BP198:BU198"/>
    <mergeCell ref="F199:F200"/>
    <mergeCell ref="H199:I199"/>
    <mergeCell ref="BO199:BU199"/>
    <mergeCell ref="L200:L202"/>
    <mergeCell ref="BP202:BU205"/>
    <mergeCell ref="BP214:BU215"/>
    <mergeCell ref="BP224:BT226"/>
    <mergeCell ref="S229:S230"/>
    <mergeCell ref="T229:T230"/>
    <mergeCell ref="U229:U230"/>
    <mergeCell ref="V229:V230"/>
    <mergeCell ref="W229:W230"/>
    <mergeCell ref="X229:X230"/>
    <mergeCell ref="BQ208:BU208"/>
    <mergeCell ref="BQ209:BU209"/>
    <mergeCell ref="BQ210:BU210"/>
    <mergeCell ref="BQ211:BU211"/>
    <mergeCell ref="BQ212:BU212"/>
    <mergeCell ref="BQ213:BU213"/>
    <mergeCell ref="AV263:AV265"/>
    <mergeCell ref="AE264:AE265"/>
    <mergeCell ref="AF264:AF265"/>
    <mergeCell ref="AG264:AG265"/>
    <mergeCell ref="AH264:AH265"/>
    <mergeCell ref="AI264:AI265"/>
    <mergeCell ref="AJ264:AJ265"/>
    <mergeCell ref="AF241:AG241"/>
    <mergeCell ref="AD242:AD243"/>
    <mergeCell ref="AF242:AG242"/>
    <mergeCell ref="AJ243:AJ245"/>
    <mergeCell ref="AR261:AS261"/>
    <mergeCell ref="AP262:AP263"/>
    <mergeCell ref="AR262:AS262"/>
    <mergeCell ref="BH304:BH305"/>
    <mergeCell ref="BD281:BE281"/>
    <mergeCell ref="BB282:BB283"/>
    <mergeCell ref="BD282:BE282"/>
    <mergeCell ref="BH283:BH285"/>
    <mergeCell ref="AQ284:AQ285"/>
    <mergeCell ref="AR284:AR285"/>
    <mergeCell ref="AS284:AS285"/>
    <mergeCell ref="AT284:AT285"/>
    <mergeCell ref="AU284:AU285"/>
    <mergeCell ref="AV284:AV285"/>
    <mergeCell ref="T326:U326"/>
    <mergeCell ref="R327:R328"/>
    <mergeCell ref="T327:U327"/>
    <mergeCell ref="X328:X330"/>
    <mergeCell ref="BC304:BC305"/>
    <mergeCell ref="BD304:BD305"/>
    <mergeCell ref="BE304:BE305"/>
    <mergeCell ref="BF304:BF305"/>
    <mergeCell ref="BG304:BG305"/>
  </mergeCells>
  <conditionalFormatting sqref="K20:K26">
    <cfRule type="cellIs" dxfId="104" priority="10" operator="notEqual">
      <formula>1</formula>
    </cfRule>
  </conditionalFormatting>
  <conditionalFormatting sqref="K59:K65">
    <cfRule type="cellIs" dxfId="103" priority="6" operator="notEqual">
      <formula>1</formula>
    </cfRule>
  </conditionalFormatting>
  <conditionalFormatting sqref="W20:W33">
    <cfRule type="cellIs" dxfId="102" priority="5" operator="notEqual">
      <formula>1</formula>
    </cfRule>
  </conditionalFormatting>
  <conditionalFormatting sqref="W72:W85">
    <cfRule type="cellIs" dxfId="101" priority="4" operator="notEqual">
      <formula>1</formula>
    </cfRule>
  </conditionalFormatting>
  <conditionalFormatting sqref="AI20:AI41">
    <cfRule type="cellIs" dxfId="100" priority="1" operator="notEqual">
      <formula>1</formula>
    </cfRule>
  </conditionalFormatting>
  <conditionalFormatting sqref="AU20:AU51">
    <cfRule type="cellIs" dxfId="99" priority="3" operator="notEqual">
      <formula>1</formula>
    </cfRule>
  </conditionalFormatting>
  <conditionalFormatting sqref="BG20:BG61">
    <cfRule type="cellIs" dxfId="98" priority="2" operator="notEqual">
      <formula>1</formula>
    </cfRule>
  </conditionalFormatting>
  <conditionalFormatting sqref="BP146:BP147">
    <cfRule type="cellIs" dxfId="97" priority="9" operator="notEqual">
      <formula>1</formula>
    </cfRule>
  </conditionalFormatting>
  <conditionalFormatting sqref="BT26:BT28">
    <cfRule type="cellIs" dxfId="96" priority="7" operator="notEqual">
      <formula>1</formula>
    </cfRule>
  </conditionalFormatting>
  <conditionalFormatting sqref="BT74">
    <cfRule type="cellIs" dxfId="95" priority="8" operator="notEqual">
      <formula>1</formula>
    </cfRule>
  </conditionalFormatting>
  <hyperlinks>
    <hyperlink ref="BS182" r:id="rId1" xr:uid="{42CCAD13-0B0E-4C6C-A71B-D507AF452290}"/>
  </hyperlinks>
  <pageMargins left="0.7" right="0.7" top="0.75" bottom="0.75" header="0.3" footer="0.3"/>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A69FA-7744-4024-9E51-B9B073F021DE}">
  <dimension ref="A1:BY344"/>
  <sheetViews>
    <sheetView zoomScaleNormal="100" workbookViewId="0">
      <selection activeCell="Q13" sqref="Q13"/>
    </sheetView>
  </sheetViews>
  <sheetFormatPr baseColWidth="10" defaultRowHeight="15"/>
  <cols>
    <col min="3" max="3" width="30.28515625" customWidth="1"/>
    <col min="5" max="5" width="3.7109375" customWidth="1"/>
    <col min="6" max="8" width="2.7109375" customWidth="1"/>
    <col min="9" max="10" width="11.7109375" customWidth="1"/>
    <col min="11" max="11" width="3.7109375" customWidth="1"/>
    <col min="12" max="12" width="11.7109375" customWidth="1"/>
    <col min="13" max="13" width="11.85546875" customWidth="1"/>
    <col min="14" max="14" width="12.7109375" customWidth="1"/>
    <col min="15" max="15" width="40.7109375" customWidth="1"/>
    <col min="18" max="18" width="11.85546875" customWidth="1"/>
    <col min="19" max="19" width="31.5703125" customWidth="1"/>
    <col min="20" max="20" width="3.7109375" customWidth="1"/>
    <col min="21" max="23" width="2.7109375" customWidth="1"/>
    <col min="24" max="25" width="11.7109375" customWidth="1"/>
    <col min="26" max="26" width="3.7109375" customWidth="1"/>
    <col min="27" max="27" width="11.7109375" customWidth="1"/>
    <col min="28" max="28" width="11.85546875" customWidth="1"/>
    <col min="29" max="29" width="12.7109375" customWidth="1"/>
    <col min="30" max="30" width="40.7109375" customWidth="1"/>
    <col min="33" max="33" width="29.140625" customWidth="1"/>
    <col min="35" max="35" width="3.7109375" customWidth="1"/>
    <col min="36" max="38" width="2.7109375" customWidth="1"/>
    <col min="39" max="40" width="11.7109375" customWidth="1"/>
    <col min="41" max="41" width="3.7109375" customWidth="1"/>
    <col min="42" max="43" width="11.7109375" customWidth="1"/>
    <col min="44" max="44" width="12.7109375" customWidth="1"/>
    <col min="45" max="45" width="40.7109375" customWidth="1"/>
    <col min="48" max="48" width="28.140625" customWidth="1"/>
    <col min="50" max="50" width="3.7109375" customWidth="1"/>
    <col min="51" max="53" width="2.7109375" customWidth="1"/>
    <col min="54" max="55" width="11.7109375" customWidth="1"/>
    <col min="56" max="56" width="3.7109375" customWidth="1"/>
    <col min="57" max="58" width="11.7109375" customWidth="1"/>
    <col min="59" max="59" width="12.7109375" customWidth="1"/>
    <col min="60" max="60" width="40.7109375" customWidth="1"/>
    <col min="62" max="62" width="19.7109375" style="2" customWidth="1"/>
    <col min="63" max="63" width="19" style="2" customWidth="1"/>
    <col min="64" max="64" width="25.7109375" style="2" customWidth="1"/>
    <col min="65" max="65" width="16.7109375" style="2" customWidth="1"/>
    <col min="66" max="66" width="3.7109375" style="3" customWidth="1"/>
    <col min="67" max="67" width="19.7109375" customWidth="1"/>
    <col min="68" max="68" width="18.7109375" customWidth="1"/>
    <col min="69" max="69" width="25.7109375" customWidth="1"/>
    <col min="70" max="70" width="16.7109375" customWidth="1"/>
    <col min="71" max="71" width="17" bestFit="1" customWidth="1"/>
    <col min="72" max="72" width="11.7109375" customWidth="1"/>
    <col min="73" max="73" width="28" customWidth="1"/>
    <col min="74" max="74" width="11.42578125" style="2"/>
    <col min="75" max="75" width="8.7109375" style="2" customWidth="1"/>
    <col min="76" max="76" width="11.42578125" style="1"/>
    <col min="77" max="77" width="43.5703125" style="1" customWidth="1"/>
  </cols>
  <sheetData>
    <row r="1" spans="1:77" ht="15.75" thickTop="1">
      <c r="A1" s="9" t="str">
        <f>ADDRESS(ROW(),COLUMN(),4)</f>
        <v>A1</v>
      </c>
      <c r="B1" s="5155"/>
      <c r="E1" s="445" t="str">
        <f t="shared" ref="E1:O1" si="0">SUBSTITUTE(ADDRESS(1,COLUMN(),4),"1","")</f>
        <v>E</v>
      </c>
      <c r="F1" s="445" t="str">
        <f t="shared" si="0"/>
        <v>F</v>
      </c>
      <c r="G1" s="445" t="str">
        <f t="shared" si="0"/>
        <v>G</v>
      </c>
      <c r="H1" s="445" t="str">
        <f t="shared" si="0"/>
        <v>H</v>
      </c>
      <c r="I1" s="445" t="str">
        <f t="shared" si="0"/>
        <v>I</v>
      </c>
      <c r="J1" s="445" t="str">
        <f t="shared" si="0"/>
        <v>J</v>
      </c>
      <c r="K1" s="445" t="str">
        <f t="shared" si="0"/>
        <v>K</v>
      </c>
      <c r="L1" s="445" t="str">
        <f t="shared" si="0"/>
        <v>L</v>
      </c>
      <c r="M1" s="445" t="str">
        <f t="shared" si="0"/>
        <v>M</v>
      </c>
      <c r="N1" s="445" t="str">
        <f t="shared" si="0"/>
        <v>N</v>
      </c>
      <c r="O1" s="445" t="str">
        <f t="shared" si="0"/>
        <v>O</v>
      </c>
      <c r="Q1" s="5155"/>
      <c r="T1" s="445" t="str">
        <f t="shared" ref="T1:AD1" si="1">SUBSTITUTE(ADDRESS(1,COLUMN(),4),"1","")</f>
        <v>T</v>
      </c>
      <c r="U1" s="445" t="str">
        <f t="shared" si="1"/>
        <v>U</v>
      </c>
      <c r="V1" s="445" t="str">
        <f t="shared" si="1"/>
        <v>V</v>
      </c>
      <c r="W1" s="445" t="str">
        <f t="shared" si="1"/>
        <v>W</v>
      </c>
      <c r="X1" s="445" t="str">
        <f t="shared" si="1"/>
        <v>X</v>
      </c>
      <c r="Y1" s="445" t="str">
        <f t="shared" si="1"/>
        <v>Y</v>
      </c>
      <c r="Z1" s="445" t="str">
        <f t="shared" si="1"/>
        <v>Z</v>
      </c>
      <c r="AA1" s="445" t="str">
        <f t="shared" si="1"/>
        <v>AA</v>
      </c>
      <c r="AB1" s="445" t="str">
        <f t="shared" si="1"/>
        <v>AB</v>
      </c>
      <c r="AC1" s="445" t="str">
        <f t="shared" si="1"/>
        <v>AC</v>
      </c>
      <c r="AD1" s="445" t="str">
        <f t="shared" si="1"/>
        <v>AD</v>
      </c>
      <c r="AF1" s="5155"/>
      <c r="AI1" s="445" t="str">
        <f t="shared" ref="AI1:AS1" si="2">SUBSTITUTE(ADDRESS(1,COLUMN(),4),"1","")</f>
        <v>AI</v>
      </c>
      <c r="AJ1" s="445" t="str">
        <f t="shared" si="2"/>
        <v>AJ</v>
      </c>
      <c r="AK1" s="445" t="str">
        <f t="shared" si="2"/>
        <v>AK</v>
      </c>
      <c r="AL1" s="445" t="str">
        <f t="shared" si="2"/>
        <v>AL</v>
      </c>
      <c r="AM1" s="445" t="str">
        <f t="shared" si="2"/>
        <v>AM</v>
      </c>
      <c r="AN1" s="445" t="str">
        <f t="shared" si="2"/>
        <v>AN</v>
      </c>
      <c r="AO1" s="445" t="str">
        <f t="shared" si="2"/>
        <v>AO</v>
      </c>
      <c r="AP1" s="445" t="str">
        <f t="shared" si="2"/>
        <v>AP</v>
      </c>
      <c r="AQ1" s="445" t="str">
        <f t="shared" si="2"/>
        <v>AQ</v>
      </c>
      <c r="AR1" s="445" t="str">
        <f t="shared" si="2"/>
        <v>AR</v>
      </c>
      <c r="AS1" s="445" t="str">
        <f t="shared" si="2"/>
        <v>AS</v>
      </c>
      <c r="AU1" s="5155"/>
      <c r="AX1" s="445" t="str">
        <f>SUBSTITUTE(ADDRESS(1,COLUMN(),4),"1","")</f>
        <v>AX</v>
      </c>
      <c r="AY1" s="445" t="str">
        <f t="shared" ref="AY1:BH1" si="3">SUBSTITUTE(ADDRESS(1,COLUMN(),4),"1","")</f>
        <v>AY</v>
      </c>
      <c r="AZ1" s="445" t="str">
        <f t="shared" si="3"/>
        <v>AZ</v>
      </c>
      <c r="BA1" s="445" t="str">
        <f t="shared" si="3"/>
        <v>BA</v>
      </c>
      <c r="BB1" s="445" t="str">
        <f t="shared" si="3"/>
        <v>BB</v>
      </c>
      <c r="BC1" s="445" t="str">
        <f t="shared" si="3"/>
        <v>BC</v>
      </c>
      <c r="BD1" s="445" t="str">
        <f t="shared" si="3"/>
        <v>BD</v>
      </c>
      <c r="BE1" s="445" t="str">
        <f t="shared" si="3"/>
        <v>BE</v>
      </c>
      <c r="BF1" s="445" t="str">
        <f t="shared" si="3"/>
        <v>BF</v>
      </c>
      <c r="BG1" s="445" t="str">
        <f t="shared" si="3"/>
        <v>BG</v>
      </c>
      <c r="BH1" s="445" t="str">
        <f t="shared" si="3"/>
        <v>BH</v>
      </c>
      <c r="BJ1" s="444" t="str">
        <f>SUBSTITUTE(ADDRESS(1,COLUMN(),4),"1","")</f>
        <v>BJ</v>
      </c>
      <c r="BK1" s="444" t="str">
        <f>SUBSTITUTE(ADDRESS(1,COLUMN(),4),"1","")</f>
        <v>BK</v>
      </c>
      <c r="BL1" s="444" t="str">
        <f>SUBSTITUTE(ADDRESS(1,COLUMN(),4),"1","")</f>
        <v>BL</v>
      </c>
      <c r="BM1" s="444" t="str">
        <f>SUBSTITUTE(ADDRESS(1,COLUMN(),4),"1","")</f>
        <v>BM</v>
      </c>
      <c r="BN1" s="62"/>
      <c r="BO1" s="444" t="str">
        <f t="shared" ref="BO1:BU1" si="4">SUBSTITUTE(ADDRESS(1,COLUMN(),4),"1","")</f>
        <v>BO</v>
      </c>
      <c r="BP1" s="444" t="str">
        <f t="shared" si="4"/>
        <v>BP</v>
      </c>
      <c r="BQ1" s="444" t="str">
        <f t="shared" si="4"/>
        <v>BQ</v>
      </c>
      <c r="BR1" s="444" t="str">
        <f t="shared" si="4"/>
        <v>BR</v>
      </c>
      <c r="BS1" s="444" t="str">
        <f t="shared" si="4"/>
        <v>BS</v>
      </c>
      <c r="BT1" s="444" t="str">
        <f t="shared" si="4"/>
        <v>BT</v>
      </c>
      <c r="BU1" s="444" t="str">
        <f t="shared" si="4"/>
        <v>BU</v>
      </c>
      <c r="BW1" s="5">
        <v>1</v>
      </c>
      <c r="BX1" s="5443" t="str">
        <f>SUBSTITUTE(ADDRESS(1,COLUMN(),4),"1","")</f>
        <v>BX</v>
      </c>
      <c r="BY1" s="5442" t="str">
        <f>SUBSTITUTE(ADDRESS(1,COLUMN(),4),"1","")</f>
        <v>BY</v>
      </c>
    </row>
    <row r="2" spans="1:77" ht="15.75" thickBot="1">
      <c r="B2" s="5155"/>
      <c r="E2" s="441">
        <f t="shared" ref="E2:O2" ca="1" si="5">CELL("largeur",E2)</f>
        <v>3</v>
      </c>
      <c r="F2" s="441">
        <f t="shared" ca="1" si="5"/>
        <v>2</v>
      </c>
      <c r="G2" s="441">
        <f t="shared" ca="1" si="5"/>
        <v>2</v>
      </c>
      <c r="H2" s="441">
        <f t="shared" ca="1" si="5"/>
        <v>2</v>
      </c>
      <c r="I2" s="441">
        <f t="shared" ca="1" si="5"/>
        <v>11</v>
      </c>
      <c r="J2" s="441">
        <f t="shared" ca="1" si="5"/>
        <v>11</v>
      </c>
      <c r="K2" s="441">
        <f t="shared" ca="1" si="5"/>
        <v>3</v>
      </c>
      <c r="L2" s="441">
        <f t="shared" ca="1" si="5"/>
        <v>11</v>
      </c>
      <c r="M2" s="441">
        <f t="shared" ca="1" si="5"/>
        <v>11</v>
      </c>
      <c r="N2" s="441">
        <f t="shared" ca="1" si="5"/>
        <v>12</v>
      </c>
      <c r="O2" s="441">
        <f t="shared" ca="1" si="5"/>
        <v>40</v>
      </c>
      <c r="Q2" s="5155"/>
      <c r="T2" s="441">
        <f t="shared" ref="T2:AD2" ca="1" si="6">CELL("largeur",T2)</f>
        <v>3</v>
      </c>
      <c r="U2" s="441">
        <f t="shared" ca="1" si="6"/>
        <v>2</v>
      </c>
      <c r="V2" s="441">
        <f t="shared" ca="1" si="6"/>
        <v>2</v>
      </c>
      <c r="W2" s="441">
        <f t="shared" ca="1" si="6"/>
        <v>2</v>
      </c>
      <c r="X2" s="441">
        <f t="shared" ca="1" si="6"/>
        <v>11</v>
      </c>
      <c r="Y2" s="441">
        <f t="shared" ca="1" si="6"/>
        <v>11</v>
      </c>
      <c r="Z2" s="441">
        <f t="shared" ca="1" si="6"/>
        <v>3</v>
      </c>
      <c r="AA2" s="441">
        <f t="shared" ca="1" si="6"/>
        <v>11</v>
      </c>
      <c r="AB2" s="441">
        <f t="shared" ca="1" si="6"/>
        <v>11</v>
      </c>
      <c r="AC2" s="441">
        <f t="shared" ca="1" si="6"/>
        <v>12</v>
      </c>
      <c r="AD2" s="441">
        <f t="shared" ca="1" si="6"/>
        <v>40</v>
      </c>
      <c r="AF2" s="5155"/>
      <c r="AI2" s="441">
        <v>3</v>
      </c>
      <c r="AJ2" s="441">
        <v>2</v>
      </c>
      <c r="AK2" s="441">
        <v>2</v>
      </c>
      <c r="AL2" s="441">
        <v>2</v>
      </c>
      <c r="AM2" s="441">
        <v>11</v>
      </c>
      <c r="AN2" s="441">
        <v>11</v>
      </c>
      <c r="AO2" s="441">
        <v>3</v>
      </c>
      <c r="AP2" s="441">
        <v>11</v>
      </c>
      <c r="AQ2" s="441">
        <v>11</v>
      </c>
      <c r="AR2" s="441">
        <v>12</v>
      </c>
      <c r="AS2" s="441">
        <v>40</v>
      </c>
      <c r="AU2" s="5155"/>
      <c r="AX2" s="1288">
        <f ca="1">CELL("largeur",AX2)</f>
        <v>3</v>
      </c>
      <c r="AY2" s="441">
        <f t="shared" ref="AY2:BH2" ca="1" si="7">CELL("largeur",AY2)</f>
        <v>2</v>
      </c>
      <c r="AZ2" s="441">
        <f t="shared" ca="1" si="7"/>
        <v>2</v>
      </c>
      <c r="BA2" s="441">
        <f t="shared" ca="1" si="7"/>
        <v>2</v>
      </c>
      <c r="BB2" s="441">
        <f t="shared" ca="1" si="7"/>
        <v>11</v>
      </c>
      <c r="BC2" s="441">
        <f t="shared" ca="1" si="7"/>
        <v>11</v>
      </c>
      <c r="BD2" s="441">
        <f t="shared" ca="1" si="7"/>
        <v>3</v>
      </c>
      <c r="BE2" s="441">
        <f t="shared" ca="1" si="7"/>
        <v>11</v>
      </c>
      <c r="BF2" s="441">
        <f t="shared" ca="1" si="7"/>
        <v>11</v>
      </c>
      <c r="BG2" s="441">
        <f t="shared" ca="1" si="7"/>
        <v>12</v>
      </c>
      <c r="BH2" s="441">
        <f t="shared" ca="1" si="7"/>
        <v>40</v>
      </c>
      <c r="BJ2" s="91">
        <f ca="1">CELL("largeur",BJ2)</f>
        <v>19</v>
      </c>
      <c r="BK2" s="91">
        <f ca="1">CELL("largeur",BK2)</f>
        <v>18</v>
      </c>
      <c r="BL2" s="91">
        <f ca="1">CELL("largeur",BL2)</f>
        <v>25</v>
      </c>
      <c r="BM2" s="91">
        <f ca="1">CELL("largeur",BM2)</f>
        <v>16</v>
      </c>
      <c r="BN2" s="62"/>
      <c r="BO2" s="91">
        <f t="shared" ref="BO2:BU2" ca="1" si="8">CELL("largeur",BO2)</f>
        <v>19</v>
      </c>
      <c r="BP2" s="91">
        <f t="shared" ca="1" si="8"/>
        <v>18</v>
      </c>
      <c r="BQ2" s="91">
        <f t="shared" ca="1" si="8"/>
        <v>25</v>
      </c>
      <c r="BR2" s="91">
        <f t="shared" ca="1" si="8"/>
        <v>16</v>
      </c>
      <c r="BS2" s="91">
        <f t="shared" ca="1" si="8"/>
        <v>16</v>
      </c>
      <c r="BT2" s="91">
        <f t="shared" ca="1" si="8"/>
        <v>11</v>
      </c>
      <c r="BU2" s="91">
        <f t="shared" ca="1" si="8"/>
        <v>27</v>
      </c>
      <c r="BW2" s="5">
        <v>1</v>
      </c>
      <c r="BX2" s="440"/>
      <c r="BY2" s="440" t="s">
        <v>295</v>
      </c>
    </row>
    <row r="3" spans="1:77" ht="21" customHeight="1">
      <c r="B3" s="5155"/>
      <c r="E3" s="7575" t="s">
        <v>252</v>
      </c>
      <c r="F3" s="439"/>
      <c r="G3" s="437"/>
      <c r="H3" s="437"/>
      <c r="I3" s="7719" t="s">
        <v>1081</v>
      </c>
      <c r="J3" s="7719"/>
      <c r="K3" s="7719"/>
      <c r="L3" s="7719"/>
      <c r="M3" s="7719"/>
      <c r="N3" s="7719"/>
      <c r="O3" s="7720"/>
      <c r="Q3" s="5155"/>
      <c r="T3" s="7575" t="s">
        <v>252</v>
      </c>
      <c r="U3" s="438"/>
      <c r="V3" s="437"/>
      <c r="W3" s="437"/>
      <c r="X3" s="7719" t="s">
        <v>1082</v>
      </c>
      <c r="Y3" s="7719"/>
      <c r="Z3" s="7719"/>
      <c r="AA3" s="7719"/>
      <c r="AB3" s="7719"/>
      <c r="AC3" s="7719"/>
      <c r="AD3" s="7720"/>
      <c r="AF3" s="5155"/>
      <c r="AI3" s="7575" t="s">
        <v>252</v>
      </c>
      <c r="AJ3" s="438"/>
      <c r="AK3" s="437"/>
      <c r="AL3" s="437"/>
      <c r="AM3" s="7719" t="s">
        <v>1083</v>
      </c>
      <c r="AN3" s="7719"/>
      <c r="AO3" s="7719"/>
      <c r="AP3" s="7719"/>
      <c r="AQ3" s="7719"/>
      <c r="AR3" s="7719"/>
      <c r="AS3" s="7720"/>
      <c r="AU3" s="5155"/>
      <c r="AX3" s="7575" t="s">
        <v>252</v>
      </c>
      <c r="AY3" s="438"/>
      <c r="AZ3" s="437"/>
      <c r="BA3" s="437"/>
      <c r="BB3" s="7719" t="s">
        <v>1085</v>
      </c>
      <c r="BC3" s="7719"/>
      <c r="BD3" s="7719"/>
      <c r="BE3" s="7719"/>
      <c r="BF3" s="7719"/>
      <c r="BG3" s="7719"/>
      <c r="BH3" s="7720"/>
      <c r="BN3" s="62"/>
      <c r="BO3" s="2"/>
      <c r="BP3" s="2"/>
      <c r="BQ3" s="2"/>
      <c r="BR3" s="2"/>
      <c r="BS3" s="2"/>
      <c r="BT3" s="2"/>
      <c r="BU3" s="2"/>
      <c r="BW3" s="5">
        <v>1</v>
      </c>
      <c r="BX3" s="430">
        <f ca="1">COUNTA(A1:BV344) + COUNTBLANK(A1:BV344)</f>
        <v>25559</v>
      </c>
      <c r="BY3" s="429" t="str">
        <f>"cellules entre"&amp;" " &amp;C1&amp;" et  "&amp;BW344</f>
        <v>cellules entre  et  BW344</v>
      </c>
    </row>
    <row r="4" spans="1:77" ht="21" customHeight="1">
      <c r="B4" s="5155"/>
      <c r="E4" s="7576"/>
      <c r="F4" s="419"/>
      <c r="G4" s="417"/>
      <c r="H4" s="417"/>
      <c r="I4" s="7721"/>
      <c r="J4" s="7721"/>
      <c r="K4" s="7721"/>
      <c r="L4" s="7721"/>
      <c r="M4" s="7721"/>
      <c r="N4" s="7721"/>
      <c r="O4" s="7722"/>
      <c r="Q4" s="5155"/>
      <c r="T4" s="7576"/>
      <c r="U4" s="418"/>
      <c r="V4" s="417"/>
      <c r="W4" s="417"/>
      <c r="X4" s="7721"/>
      <c r="Y4" s="7721"/>
      <c r="Z4" s="7721"/>
      <c r="AA4" s="7721"/>
      <c r="AB4" s="7721"/>
      <c r="AC4" s="7721"/>
      <c r="AD4" s="7722"/>
      <c r="AF4" s="5155"/>
      <c r="AI4" s="7576"/>
      <c r="AJ4" s="418"/>
      <c r="AK4" s="417"/>
      <c r="AL4" s="417"/>
      <c r="AM4" s="7721"/>
      <c r="AN4" s="7721"/>
      <c r="AO4" s="7721"/>
      <c r="AP4" s="7721"/>
      <c r="AQ4" s="7721"/>
      <c r="AR4" s="7721"/>
      <c r="AS4" s="7722"/>
      <c r="AU4" s="5155"/>
      <c r="AX4" s="7576"/>
      <c r="AY4" s="418"/>
      <c r="AZ4" s="417"/>
      <c r="BA4" s="417"/>
      <c r="BB4" s="7721"/>
      <c r="BC4" s="7721"/>
      <c r="BD4" s="7721"/>
      <c r="BE4" s="7721"/>
      <c r="BF4" s="7721"/>
      <c r="BG4" s="7721"/>
      <c r="BH4" s="7722"/>
      <c r="BN4" s="62"/>
      <c r="BO4" s="2"/>
      <c r="BP4" s="2"/>
      <c r="BQ4" s="2"/>
      <c r="BR4" s="2"/>
      <c r="BS4" s="2"/>
      <c r="BT4" s="2"/>
      <c r="BU4" s="2"/>
      <c r="BW4" s="5">
        <v>1</v>
      </c>
      <c r="BX4" s="430">
        <f ca="1">COUNTA(A1:BV344)</f>
        <v>4129</v>
      </c>
      <c r="BY4" s="429" t="s">
        <v>291</v>
      </c>
    </row>
    <row r="5" spans="1:77" ht="21.75" thickBot="1">
      <c r="B5" s="5155"/>
      <c r="E5" s="7577"/>
      <c r="F5" s="408"/>
      <c r="G5" s="406"/>
      <c r="H5" s="406"/>
      <c r="I5" s="404" t="s">
        <v>7849</v>
      </c>
      <c r="J5" s="404"/>
      <c r="K5" s="404"/>
      <c r="L5" s="404"/>
      <c r="M5" s="404"/>
      <c r="N5" s="404"/>
      <c r="O5" s="1289"/>
      <c r="Q5" s="5155"/>
      <c r="T5" s="7577"/>
      <c r="U5" s="407"/>
      <c r="V5" s="406"/>
      <c r="W5" s="406"/>
      <c r="X5" s="404" t="s">
        <v>7849</v>
      </c>
      <c r="Y5" s="404"/>
      <c r="Z5" s="404"/>
      <c r="AA5" s="404"/>
      <c r="AB5" s="404"/>
      <c r="AC5" s="404"/>
      <c r="AD5" s="1289"/>
      <c r="AF5" s="5155"/>
      <c r="AI5" s="7577"/>
      <c r="AJ5" s="407"/>
      <c r="AK5" s="406"/>
      <c r="AL5" s="406"/>
      <c r="AM5" s="404" t="s">
        <v>7849</v>
      </c>
      <c r="AN5" s="404"/>
      <c r="AO5" s="404"/>
      <c r="AP5" s="404"/>
      <c r="AQ5" s="404"/>
      <c r="AR5" s="404"/>
      <c r="AS5" s="1289"/>
      <c r="AU5" s="5155"/>
      <c r="AX5" s="7577"/>
      <c r="AY5" s="407"/>
      <c r="AZ5" s="406"/>
      <c r="BA5" s="406"/>
      <c r="BB5" s="404" t="s">
        <v>7849</v>
      </c>
      <c r="BC5" s="404"/>
      <c r="BD5" s="404"/>
      <c r="BE5" s="404"/>
      <c r="BF5" s="404"/>
      <c r="BG5" s="404"/>
      <c r="BH5" s="1289"/>
      <c r="BN5" s="62"/>
      <c r="BO5" s="2"/>
      <c r="BP5" s="2"/>
      <c r="BQ5" s="2"/>
      <c r="BR5" s="2"/>
      <c r="BS5" s="2"/>
      <c r="BT5" s="2"/>
      <c r="BU5" s="2"/>
      <c r="BW5" s="5">
        <v>1</v>
      </c>
      <c r="BX5" s="430">
        <f ca="1">COUNTBLANK(A1:BV344)</f>
        <v>21430</v>
      </c>
      <c r="BY5" s="429" t="s">
        <v>288</v>
      </c>
    </row>
    <row r="6" spans="1:77" ht="16.5" thickBot="1">
      <c r="B6" s="5155"/>
      <c r="E6" s="141"/>
      <c r="F6" s="141"/>
      <c r="G6" s="141"/>
      <c r="H6" s="398" t="s">
        <v>269</v>
      </c>
      <c r="I6" s="397" t="str">
        <f ca="1">CELL("nomfichier")</f>
        <v>D:\Données\1.UPRT\0-UPRT.fait\1-UPRT.FR-SITE-WEB\ff-fiches-fabrications\ff.fiches.fabrication.2023\ffr.restaurant.2023\[ff.REPERTOIRE.600.LIGNES.15.xlsx]Differents.postits.FR.EN.ES</v>
      </c>
      <c r="J6" s="141"/>
      <c r="K6" s="141"/>
      <c r="L6" s="141"/>
      <c r="M6" s="141"/>
      <c r="N6" s="141"/>
      <c r="O6" s="141"/>
      <c r="Q6" s="5155"/>
      <c r="T6" s="141"/>
      <c r="U6" s="141"/>
      <c r="V6" s="141"/>
      <c r="W6" s="398" t="s">
        <v>269</v>
      </c>
      <c r="X6" s="397" t="str">
        <f ca="1">CELL("nomfichier")</f>
        <v>D:\Données\1.UPRT\0-UPRT.fait\1-UPRT.FR-SITE-WEB\ff-fiches-fabrications\ff.fiches.fabrication.2023\ffr.restaurant.2023\[ff.REPERTOIRE.600.LIGNES.15.xlsx]Differents.postits.FR.EN.ES</v>
      </c>
      <c r="Y6" s="141"/>
      <c r="Z6" s="141"/>
      <c r="AA6" s="141"/>
      <c r="AB6" s="141"/>
      <c r="AC6" s="141"/>
      <c r="AD6" s="141"/>
      <c r="AF6" s="5155"/>
      <c r="AI6" s="141"/>
      <c r="AJ6" s="141"/>
      <c r="AK6" s="141"/>
      <c r="AL6" s="398" t="s">
        <v>269</v>
      </c>
      <c r="AM6" s="397" t="str">
        <f ca="1">CELL("nomfichier")</f>
        <v>D:\Données\1.UPRT\0-UPRT.fait\1-UPRT.FR-SITE-WEB\ff-fiches-fabrications\ff.fiches.fabrication.2023\ffr.restaurant.2023\[ff.REPERTOIRE.600.LIGNES.15.xlsx]Differents.postits.FR.EN.ES</v>
      </c>
      <c r="AN6" s="141"/>
      <c r="AO6" s="141"/>
      <c r="AP6" s="141"/>
      <c r="AQ6" s="141"/>
      <c r="AR6" s="141"/>
      <c r="AS6" s="141"/>
      <c r="AU6" s="5155"/>
      <c r="AX6" s="141"/>
      <c r="AY6" s="141"/>
      <c r="AZ6" s="141"/>
      <c r="BA6" s="398" t="s">
        <v>269</v>
      </c>
      <c r="BB6" s="397" t="str">
        <f ca="1">CELL("nomfichier")</f>
        <v>D:\Données\1.UPRT\0-UPRT.fait\1-UPRT.FR-SITE-WEB\ff-fiches-fabrications\ff.fiches.fabrication.2023\ffr.restaurant.2023\[ff.REPERTOIRE.600.LIGNES.15.xlsx]Differents.postits.FR.EN.ES</v>
      </c>
      <c r="BC6" s="141"/>
      <c r="BD6" s="141"/>
      <c r="BE6" s="141"/>
      <c r="BF6" s="141"/>
      <c r="BG6" s="141"/>
      <c r="BH6" s="141"/>
      <c r="BN6" s="62"/>
      <c r="BO6" s="2"/>
      <c r="BP6" s="2"/>
      <c r="BQ6" s="2"/>
      <c r="BR6" s="2"/>
      <c r="BS6" s="2"/>
      <c r="BT6" s="2"/>
      <c r="BU6" s="2"/>
      <c r="BW6" s="5">
        <v>1</v>
      </c>
      <c r="BX6" s="430">
        <f>SUM(BW1:BW342)+2</f>
        <v>344</v>
      </c>
      <c r="BY6" s="429" t="s">
        <v>286</v>
      </c>
    </row>
    <row r="7" spans="1:77" ht="15.75">
      <c r="B7" s="5155"/>
      <c r="E7" s="5476" t="s">
        <v>1087</v>
      </c>
      <c r="F7" s="1290"/>
      <c r="G7" s="1291"/>
      <c r="H7" s="1291"/>
      <c r="I7" s="1291"/>
      <c r="J7" s="1291"/>
      <c r="K7" s="1291"/>
      <c r="L7" s="1292"/>
      <c r="M7" s="1293"/>
      <c r="N7" s="1291"/>
      <c r="O7" s="1294"/>
      <c r="Q7" s="5155"/>
      <c r="T7" s="5476" t="s">
        <v>1087</v>
      </c>
      <c r="U7" s="1290"/>
      <c r="V7" s="1291"/>
      <c r="W7" s="1291"/>
      <c r="X7" s="1291"/>
      <c r="Y7" s="1291"/>
      <c r="Z7" s="1291"/>
      <c r="AA7" s="1292"/>
      <c r="AB7" s="1293"/>
      <c r="AC7" s="1291"/>
      <c r="AD7" s="1294"/>
      <c r="AF7" s="5155"/>
      <c r="AI7" s="5476" t="s">
        <v>1087</v>
      </c>
      <c r="AJ7" s="1290"/>
      <c r="AK7" s="1291"/>
      <c r="AL7" s="1291"/>
      <c r="AM7" s="1291"/>
      <c r="AN7" s="1291"/>
      <c r="AO7" s="1291"/>
      <c r="AP7" s="1292"/>
      <c r="AQ7" s="1293"/>
      <c r="AR7" s="1291"/>
      <c r="AS7" s="1294"/>
      <c r="AU7" s="5155"/>
      <c r="AX7" s="5476" t="s">
        <v>1087</v>
      </c>
      <c r="AY7" s="1290"/>
      <c r="AZ7" s="1291"/>
      <c r="BA7" s="1291"/>
      <c r="BB7" s="1291"/>
      <c r="BC7" s="1291"/>
      <c r="BD7" s="1291"/>
      <c r="BE7" s="1292"/>
      <c r="BF7" s="1293"/>
      <c r="BG7" s="1291"/>
      <c r="BH7" s="1294"/>
      <c r="BN7" s="62"/>
      <c r="BV7"/>
      <c r="BW7" s="5">
        <v>1</v>
      </c>
      <c r="BX7" s="430">
        <f>SUM(A344:BV344)+1</f>
        <v>74</v>
      </c>
      <c r="BY7" s="429" t="s">
        <v>284</v>
      </c>
    </row>
    <row r="8" spans="1:77" ht="21">
      <c r="B8" s="5155"/>
      <c r="E8" s="1295" t="s">
        <v>26</v>
      </c>
      <c r="F8" s="1296" t="s">
        <v>1088</v>
      </c>
      <c r="G8" s="375"/>
      <c r="H8" s="375"/>
      <c r="I8" s="375"/>
      <c r="J8" s="371"/>
      <c r="K8" s="1159"/>
      <c r="M8" s="141"/>
      <c r="N8" s="1297"/>
      <c r="O8" s="1298"/>
      <c r="Q8" s="5155"/>
      <c r="T8" s="1295" t="s">
        <v>26</v>
      </c>
      <c r="U8" s="1296" t="s">
        <v>1088</v>
      </c>
      <c r="V8" s="375"/>
      <c r="W8" s="375"/>
      <c r="X8" s="375"/>
      <c r="Y8" s="371"/>
      <c r="Z8" s="1159"/>
      <c r="AB8" s="141"/>
      <c r="AC8" s="1297"/>
      <c r="AD8" s="1298"/>
      <c r="AF8" s="5155"/>
      <c r="AI8" s="1295" t="s">
        <v>26</v>
      </c>
      <c r="AJ8" s="1296" t="s">
        <v>1088</v>
      </c>
      <c r="AK8" s="375"/>
      <c r="AL8" s="375"/>
      <c r="AM8" s="375"/>
      <c r="AN8" s="371"/>
      <c r="AO8" s="1159"/>
      <c r="AQ8" s="141"/>
      <c r="AR8" s="1297"/>
      <c r="AS8" s="1298"/>
      <c r="AU8" s="5155"/>
      <c r="AX8" s="1295" t="s">
        <v>26</v>
      </c>
      <c r="AY8" s="1296" t="s">
        <v>1088</v>
      </c>
      <c r="AZ8" s="375"/>
      <c r="BA8" s="375"/>
      <c r="BB8" s="375"/>
      <c r="BC8" s="371"/>
      <c r="BD8" s="1159"/>
      <c r="BE8" s="1297"/>
      <c r="BF8" s="141"/>
      <c r="BG8" s="382"/>
      <c r="BH8" s="1299"/>
      <c r="BN8" s="62"/>
      <c r="BV8"/>
      <c r="BW8" s="5">
        <v>1</v>
      </c>
    </row>
    <row r="9" spans="1:77" ht="15.75" customHeight="1" thickBot="1">
      <c r="B9" s="5155"/>
      <c r="E9" s="1300"/>
      <c r="F9" s="1300"/>
      <c r="G9" s="1300"/>
      <c r="H9" s="1300"/>
      <c r="I9" s="1300"/>
      <c r="J9" s="1300"/>
      <c r="K9" s="141"/>
      <c r="L9" s="141"/>
      <c r="M9" s="1300"/>
      <c r="N9" s="141"/>
      <c r="O9" s="141"/>
      <c r="Q9" s="5155"/>
      <c r="T9" s="1300"/>
      <c r="U9" s="1300"/>
      <c r="V9" s="1300"/>
      <c r="W9" s="1300"/>
      <c r="X9" s="1300"/>
      <c r="Y9" s="1300"/>
      <c r="Z9" s="141"/>
      <c r="AA9" s="141"/>
      <c r="AB9" s="1300"/>
      <c r="AC9" s="141"/>
      <c r="AD9" s="141"/>
      <c r="AF9" s="5155"/>
      <c r="AI9" s="1300"/>
      <c r="AJ9" s="1300"/>
      <c r="AK9" s="1300"/>
      <c r="AL9" s="1300"/>
      <c r="AM9" s="1300"/>
      <c r="AN9" s="1300"/>
      <c r="AO9" s="141"/>
      <c r="AP9" s="141"/>
      <c r="AQ9" s="1300"/>
      <c r="AR9" s="141"/>
      <c r="AS9" s="141"/>
      <c r="AU9" s="5155"/>
      <c r="AX9" s="141"/>
      <c r="AY9" s="141"/>
      <c r="AZ9" s="141"/>
      <c r="BA9" s="141"/>
      <c r="BB9" s="141"/>
      <c r="BC9" s="141"/>
      <c r="BD9" s="141"/>
      <c r="BE9" s="141"/>
      <c r="BF9" s="141"/>
      <c r="BG9" s="141"/>
      <c r="BH9" s="141"/>
      <c r="BN9" s="62"/>
      <c r="BO9" s="2"/>
      <c r="BP9" s="2"/>
      <c r="BQ9" s="2"/>
      <c r="BR9" s="2"/>
      <c r="BS9" s="2"/>
      <c r="BT9" s="2"/>
      <c r="BU9" s="2"/>
      <c r="BV9"/>
      <c r="BW9" s="5">
        <v>1</v>
      </c>
    </row>
    <row r="10" spans="1:77" ht="15.75" customHeight="1">
      <c r="B10" s="5155"/>
      <c r="E10" s="5465" t="s">
        <v>21</v>
      </c>
      <c r="F10" s="368" t="str">
        <f>F16</f>
        <v>Famille à coller.N.Nom de votre recette.Recette mère ►.S.Saisissez le nom de la recette mère</v>
      </c>
      <c r="G10" s="367">
        <f>G16</f>
        <v>6</v>
      </c>
      <c r="H10" s="367" t="str">
        <f>H16</f>
        <v>couverts</v>
      </c>
      <c r="I10" s="366" t="s">
        <v>1</v>
      </c>
      <c r="J10" s="365" t="s">
        <v>251</v>
      </c>
      <c r="K10" s="7648" t="s">
        <v>1089</v>
      </c>
      <c r="L10" s="7648"/>
      <c r="M10" s="7601" t="s">
        <v>1090</v>
      </c>
      <c r="N10" s="7601"/>
      <c r="O10" s="7602"/>
      <c r="Q10" s="5155"/>
      <c r="T10" s="5465" t="s">
        <v>21</v>
      </c>
      <c r="U10" s="368" t="str">
        <f>U16</f>
        <v>Famille à coller.N.Nom de votre recette.Recette mère ►.S.Saisissez le nom de la recette mère</v>
      </c>
      <c r="V10" s="367">
        <f>V16</f>
        <v>6</v>
      </c>
      <c r="W10" s="367" t="str">
        <f>W16</f>
        <v>couverts</v>
      </c>
      <c r="X10" s="366" t="s">
        <v>1</v>
      </c>
      <c r="Y10" s="365" t="s">
        <v>251</v>
      </c>
      <c r="Z10" s="7648" t="s">
        <v>1089</v>
      </c>
      <c r="AA10" s="7648"/>
      <c r="AB10" s="7601" t="s">
        <v>1090</v>
      </c>
      <c r="AC10" s="7601"/>
      <c r="AD10" s="7602"/>
      <c r="AF10" s="5155"/>
      <c r="AI10" s="5465" t="s">
        <v>21</v>
      </c>
      <c r="AJ10" s="368" t="str">
        <f>AJ16</f>
        <v>Famille à coller.N.Nom de votre recette.Recette mère ►.S.Saisissez le nom de la recette mère</v>
      </c>
      <c r="AK10" s="367">
        <f>AK16</f>
        <v>6</v>
      </c>
      <c r="AL10" s="367" t="str">
        <f>AL16</f>
        <v>couverts</v>
      </c>
      <c r="AM10" s="366" t="s">
        <v>1</v>
      </c>
      <c r="AN10" s="365" t="s">
        <v>251</v>
      </c>
      <c r="AO10" s="7648" t="s">
        <v>1089</v>
      </c>
      <c r="AP10" s="7648"/>
      <c r="AQ10" s="7601" t="s">
        <v>1090</v>
      </c>
      <c r="AR10" s="7601"/>
      <c r="AS10" s="7602"/>
      <c r="AU10" s="5155"/>
      <c r="AX10" s="5465" t="s">
        <v>21</v>
      </c>
      <c r="AY10" s="368" t="str">
        <f>AY16</f>
        <v>Famille à coller.N.Nom de votre recette.Recette mère ►.S.Saisissez le nom de la recette mère</v>
      </c>
      <c r="AZ10" s="367">
        <f>AZ16</f>
        <v>6</v>
      </c>
      <c r="BA10" s="367" t="str">
        <f>BA16</f>
        <v>couverts</v>
      </c>
      <c r="BB10" s="366" t="s">
        <v>1</v>
      </c>
      <c r="BC10" s="365" t="s">
        <v>251</v>
      </c>
      <c r="BD10" s="7648" t="s">
        <v>1089</v>
      </c>
      <c r="BE10" s="7648"/>
      <c r="BF10" s="7601" t="s">
        <v>1090</v>
      </c>
      <c r="BG10" s="7601"/>
      <c r="BH10" s="7602"/>
      <c r="BJ10" s="7015" t="s">
        <v>1091</v>
      </c>
      <c r="BK10" s="7016"/>
      <c r="BL10" s="7016"/>
      <c r="BM10" s="7017"/>
      <c r="BN10" s="62"/>
      <c r="BO10" s="7015" t="s">
        <v>836</v>
      </c>
      <c r="BP10" s="7016"/>
      <c r="BQ10" s="7016"/>
      <c r="BR10" s="7016"/>
      <c r="BS10" s="7016"/>
      <c r="BT10" s="7016"/>
      <c r="BU10" s="7017"/>
      <c r="BV10" s="1301"/>
      <c r="BW10" s="5">
        <v>1</v>
      </c>
    </row>
    <row r="11" spans="1:77" ht="22.5" customHeight="1">
      <c r="B11" s="5155"/>
      <c r="E11" s="214" t="s">
        <v>21</v>
      </c>
      <c r="F11" s="363" t="str">
        <f>F16</f>
        <v>Famille à coller.N.Nom de votre recette.Recette mère ►.S.Saisissez le nom de la recette mère</v>
      </c>
      <c r="G11" s="362"/>
      <c r="H11" s="362"/>
      <c r="I11" s="361" t="s">
        <v>245</v>
      </c>
      <c r="J11" s="360" t="s">
        <v>244</v>
      </c>
      <c r="K11" s="7649"/>
      <c r="L11" s="7649"/>
      <c r="M11" s="7603"/>
      <c r="N11" s="7603"/>
      <c r="O11" s="7604"/>
      <c r="Q11" s="5155"/>
      <c r="T11" s="214" t="s">
        <v>21</v>
      </c>
      <c r="U11" s="363" t="str">
        <f>U16</f>
        <v>Famille à coller.N.Nom de votre recette.Recette mère ►.S.Saisissez le nom de la recette mère</v>
      </c>
      <c r="V11" s="362"/>
      <c r="W11" s="362"/>
      <c r="X11" s="361" t="s">
        <v>245</v>
      </c>
      <c r="Y11" s="360" t="s">
        <v>244</v>
      </c>
      <c r="Z11" s="7649"/>
      <c r="AA11" s="7649"/>
      <c r="AB11" s="7603"/>
      <c r="AC11" s="7603"/>
      <c r="AD11" s="7604"/>
      <c r="AF11" s="5155"/>
      <c r="AI11" s="214" t="s">
        <v>21</v>
      </c>
      <c r="AJ11" s="363" t="str">
        <f>AJ16</f>
        <v>Famille à coller.N.Nom de votre recette.Recette mère ►.S.Saisissez le nom de la recette mère</v>
      </c>
      <c r="AK11" s="362"/>
      <c r="AL11" s="362"/>
      <c r="AM11" s="361" t="s">
        <v>245</v>
      </c>
      <c r="AN11" s="360" t="s">
        <v>244</v>
      </c>
      <c r="AO11" s="7649"/>
      <c r="AP11" s="7649"/>
      <c r="AQ11" s="7603"/>
      <c r="AR11" s="7603"/>
      <c r="AS11" s="7604"/>
      <c r="AU11" s="5155"/>
      <c r="AX11" s="214" t="s">
        <v>21</v>
      </c>
      <c r="AY11" s="363" t="str">
        <f>AY16</f>
        <v>Famille à coller.N.Nom de votre recette.Recette mère ►.S.Saisissez le nom de la recette mère</v>
      </c>
      <c r="AZ11" s="362"/>
      <c r="BA11" s="362"/>
      <c r="BB11" s="361" t="s">
        <v>245</v>
      </c>
      <c r="BC11" s="360" t="s">
        <v>244</v>
      </c>
      <c r="BD11" s="7649"/>
      <c r="BE11" s="7649"/>
      <c r="BF11" s="7603"/>
      <c r="BG11" s="7603"/>
      <c r="BH11" s="7604"/>
      <c r="BJ11" s="7018"/>
      <c r="BK11" s="7019"/>
      <c r="BL11" s="7019"/>
      <c r="BM11" s="7020"/>
      <c r="BN11" s="62"/>
      <c r="BO11" s="7018"/>
      <c r="BP11" s="7019"/>
      <c r="BQ11" s="7019"/>
      <c r="BR11" s="7019"/>
      <c r="BS11" s="7019"/>
      <c r="BT11" s="7019"/>
      <c r="BU11" s="7020"/>
      <c r="BW11" s="5">
        <v>1</v>
      </c>
    </row>
    <row r="12" spans="1:77" ht="18.75" customHeight="1">
      <c r="B12" s="5155"/>
      <c r="E12" s="214" t="s">
        <v>21</v>
      </c>
      <c r="F12" s="354" t="str">
        <f>F16</f>
        <v>Famille à coller.N.Nom de votre recette.Recette mère ►.S.Saisissez le nom de la recette mère</v>
      </c>
      <c r="G12" s="353"/>
      <c r="H12" s="352"/>
      <c r="I12" s="351"/>
      <c r="J12" s="350" t="s">
        <v>233</v>
      </c>
      <c r="K12" s="349"/>
      <c r="L12" s="348" t="s">
        <v>232</v>
      </c>
      <c r="M12" s="347" t="s">
        <v>1092</v>
      </c>
      <c r="N12" s="141"/>
      <c r="O12" s="346"/>
      <c r="Q12" s="5155"/>
      <c r="T12" s="214" t="s">
        <v>21</v>
      </c>
      <c r="U12" s="354" t="str">
        <f>U16</f>
        <v>Famille à coller.N.Nom de votre recette.Recette mère ►.S.Saisissez le nom de la recette mère</v>
      </c>
      <c r="V12" s="353"/>
      <c r="W12" s="352"/>
      <c r="X12" s="351"/>
      <c r="Y12" s="350" t="s">
        <v>233</v>
      </c>
      <c r="Z12" s="349"/>
      <c r="AA12" s="348" t="s">
        <v>232</v>
      </c>
      <c r="AB12" s="347" t="s">
        <v>1092</v>
      </c>
      <c r="AC12" s="141"/>
      <c r="AD12" s="346"/>
      <c r="AF12" s="5155"/>
      <c r="AI12" s="214" t="s">
        <v>21</v>
      </c>
      <c r="AJ12" s="354" t="str">
        <f>AJ16</f>
        <v>Famille à coller.N.Nom de votre recette.Recette mère ►.S.Saisissez le nom de la recette mère</v>
      </c>
      <c r="AK12" s="353"/>
      <c r="AL12" s="352"/>
      <c r="AM12" s="351"/>
      <c r="AN12" s="350" t="s">
        <v>233</v>
      </c>
      <c r="AO12" s="349"/>
      <c r="AP12" s="348" t="s">
        <v>232</v>
      </c>
      <c r="AQ12" s="347" t="s">
        <v>1092</v>
      </c>
      <c r="AR12" s="141"/>
      <c r="AS12" s="346"/>
      <c r="AU12" s="5155"/>
      <c r="AX12" s="214" t="s">
        <v>21</v>
      </c>
      <c r="AY12" s="354" t="str">
        <f>AY16</f>
        <v>Famille à coller.N.Nom de votre recette.Recette mère ►.S.Saisissez le nom de la recette mère</v>
      </c>
      <c r="AZ12" s="353"/>
      <c r="BA12" s="352"/>
      <c r="BB12" s="351"/>
      <c r="BC12" s="350" t="s">
        <v>233</v>
      </c>
      <c r="BD12" s="349"/>
      <c r="BE12" s="348" t="s">
        <v>232</v>
      </c>
      <c r="BF12" s="347" t="s">
        <v>1092</v>
      </c>
      <c r="BG12" s="141"/>
      <c r="BH12" s="346"/>
      <c r="BJ12" s="7018"/>
      <c r="BK12" s="7019"/>
      <c r="BL12" s="7019"/>
      <c r="BM12" s="7020"/>
      <c r="BN12" s="62"/>
      <c r="BO12" s="7018"/>
      <c r="BP12" s="7019"/>
      <c r="BQ12" s="7019"/>
      <c r="BR12" s="7019"/>
      <c r="BS12" s="7019"/>
      <c r="BT12" s="7019"/>
      <c r="BU12" s="7020"/>
      <c r="BW12" s="5">
        <v>1</v>
      </c>
    </row>
    <row r="13" spans="1:77" ht="15.75" customHeight="1">
      <c r="B13" s="5155"/>
      <c r="E13" s="214" t="s">
        <v>21</v>
      </c>
      <c r="F13" s="40" t="str">
        <f>F16</f>
        <v>Famille à coller.N.Nom de votre recette.Recette mère ►.S.Saisissez le nom de la recette mère</v>
      </c>
      <c r="G13" s="40"/>
      <c r="H13" s="40"/>
      <c r="I13" s="333" t="s">
        <v>228</v>
      </c>
      <c r="J13" s="341"/>
      <c r="K13" s="341"/>
      <c r="L13" s="340" t="s">
        <v>227</v>
      </c>
      <c r="M13" s="6901" t="str">
        <f>I16</f>
        <v>Famille à coller.N.Nom de votre recette.Recette mère ►.S.Saisissez le nom de la recette mère</v>
      </c>
      <c r="N13" s="6901"/>
      <c r="O13" s="7612"/>
      <c r="Q13" s="5155"/>
      <c r="T13" s="214" t="s">
        <v>21</v>
      </c>
      <c r="U13" s="40" t="str">
        <f>U16</f>
        <v>Famille à coller.N.Nom de votre recette.Recette mère ►.S.Saisissez le nom de la recette mère</v>
      </c>
      <c r="V13" s="40"/>
      <c r="W13" s="40"/>
      <c r="X13" s="333" t="s">
        <v>228</v>
      </c>
      <c r="Y13" s="341"/>
      <c r="Z13" s="341"/>
      <c r="AA13" s="340" t="s">
        <v>227</v>
      </c>
      <c r="AB13" s="6901" t="str">
        <f>X16</f>
        <v>Famille à coller.N.Nom de votre recette.Recette mère ►.S.Saisissez le nom de la recette mère</v>
      </c>
      <c r="AC13" s="6901"/>
      <c r="AD13" s="7612"/>
      <c r="AF13" s="5155"/>
      <c r="AI13" s="214" t="s">
        <v>21</v>
      </c>
      <c r="AJ13" s="40" t="str">
        <f>AJ16</f>
        <v>Famille à coller.N.Nom de votre recette.Recette mère ►.S.Saisissez le nom de la recette mère</v>
      </c>
      <c r="AK13" s="40"/>
      <c r="AL13" s="40"/>
      <c r="AM13" s="333" t="s">
        <v>228</v>
      </c>
      <c r="AN13" s="341"/>
      <c r="AO13" s="341"/>
      <c r="AP13" s="340" t="s">
        <v>227</v>
      </c>
      <c r="AQ13" s="6901" t="str">
        <f>AM16</f>
        <v>Famille à coller.N.Nom de votre recette.Recette mère ►.S.Saisissez le nom de la recette mère</v>
      </c>
      <c r="AR13" s="6901"/>
      <c r="AS13" s="7612"/>
      <c r="AU13" s="5155"/>
      <c r="AX13" s="214" t="s">
        <v>21</v>
      </c>
      <c r="AY13" s="40" t="str">
        <f>AY16</f>
        <v>Famille à coller.N.Nom de votre recette.Recette mère ►.S.Saisissez le nom de la recette mère</v>
      </c>
      <c r="AZ13" s="40"/>
      <c r="BA13" s="40"/>
      <c r="BB13" s="333" t="s">
        <v>228</v>
      </c>
      <c r="BC13" s="341"/>
      <c r="BD13" s="341"/>
      <c r="BE13" s="340" t="s">
        <v>227</v>
      </c>
      <c r="BF13" s="6901" t="str">
        <f>BB16</f>
        <v>Famille à coller.N.Nom de votre recette.Recette mère ►.S.Saisissez le nom de la recette mère</v>
      </c>
      <c r="BG13" s="6901"/>
      <c r="BH13" s="7612"/>
      <c r="BJ13" s="243" t="s">
        <v>837</v>
      </c>
      <c r="BK13" s="107"/>
      <c r="BL13" s="106"/>
      <c r="BM13" s="105"/>
      <c r="BN13" s="953"/>
      <c r="BO13" s="954"/>
      <c r="BP13" s="955"/>
      <c r="BQ13" s="955"/>
      <c r="BR13" s="955"/>
      <c r="BS13" s="955"/>
      <c r="BT13" s="955"/>
      <c r="BU13" s="956"/>
      <c r="BW13" s="5">
        <v>1</v>
      </c>
    </row>
    <row r="14" spans="1:77" ht="15.75" customHeight="1">
      <c r="B14" s="5155"/>
      <c r="E14" s="214" t="s">
        <v>21</v>
      </c>
      <c r="F14" s="40" t="str">
        <f>F16</f>
        <v>Famille à coller.N.Nom de votre recette.Recette mère ►.S.Saisissez le nom de la recette mère</v>
      </c>
      <c r="G14" s="40"/>
      <c r="H14" s="40"/>
      <c r="I14" s="5453">
        <v>6</v>
      </c>
      <c r="J14" s="5452" t="s">
        <v>73</v>
      </c>
      <c r="K14" s="333"/>
      <c r="L14" s="333"/>
      <c r="M14" s="6901"/>
      <c r="N14" s="6901"/>
      <c r="O14" s="7612"/>
      <c r="Q14" s="5155"/>
      <c r="T14" s="214" t="s">
        <v>21</v>
      </c>
      <c r="U14" s="40" t="str">
        <f>U16</f>
        <v>Famille à coller.N.Nom de votre recette.Recette mère ►.S.Saisissez le nom de la recette mère</v>
      </c>
      <c r="V14" s="40"/>
      <c r="W14" s="40"/>
      <c r="X14" s="5453">
        <v>6</v>
      </c>
      <c r="Y14" s="5452" t="s">
        <v>73</v>
      </c>
      <c r="Z14" s="333"/>
      <c r="AA14" s="333"/>
      <c r="AB14" s="6901"/>
      <c r="AC14" s="6901"/>
      <c r="AD14" s="7612"/>
      <c r="AF14" s="5155"/>
      <c r="AI14" s="214" t="s">
        <v>21</v>
      </c>
      <c r="AJ14" s="40" t="str">
        <f>AJ16</f>
        <v>Famille à coller.N.Nom de votre recette.Recette mère ►.S.Saisissez le nom de la recette mère</v>
      </c>
      <c r="AK14" s="40"/>
      <c r="AL14" s="40"/>
      <c r="AM14" s="5453">
        <v>6</v>
      </c>
      <c r="AN14" s="5452" t="s">
        <v>73</v>
      </c>
      <c r="AO14" s="333"/>
      <c r="AP14" s="333"/>
      <c r="AQ14" s="6901"/>
      <c r="AR14" s="6901"/>
      <c r="AS14" s="7612"/>
      <c r="AU14" s="5155"/>
      <c r="AX14" s="214" t="s">
        <v>21</v>
      </c>
      <c r="AY14" s="40" t="str">
        <f>AY16</f>
        <v>Famille à coller.N.Nom de votre recette.Recette mère ►.S.Saisissez le nom de la recette mère</v>
      </c>
      <c r="AZ14" s="40"/>
      <c r="BA14" s="40"/>
      <c r="BB14" s="5453">
        <v>6</v>
      </c>
      <c r="BC14" s="5452" t="s">
        <v>73</v>
      </c>
      <c r="BD14" s="333"/>
      <c r="BE14" s="333"/>
      <c r="BF14" s="6901"/>
      <c r="BG14" s="6901"/>
      <c r="BH14" s="7612"/>
      <c r="BJ14" s="98"/>
      <c r="BK14" s="97"/>
      <c r="BL14" s="97"/>
      <c r="BM14" s="96"/>
      <c r="BN14" s="62"/>
      <c r="BO14" s="954"/>
      <c r="BP14" s="957" t="s">
        <v>838</v>
      </c>
      <c r="BQ14" s="955"/>
      <c r="BR14" s="955"/>
      <c r="BS14" s="955"/>
      <c r="BT14" s="955"/>
      <c r="BU14" s="956"/>
      <c r="BW14" s="5">
        <v>1</v>
      </c>
    </row>
    <row r="15" spans="1:77" ht="21">
      <c r="B15" s="5155"/>
      <c r="E15" s="214" t="s">
        <v>26</v>
      </c>
      <c r="F15" s="328" t="str">
        <f>F16</f>
        <v>Famille à coller.N.Nom de votre recette.Recette mère ►.S.Saisissez le nom de la recette mère</v>
      </c>
      <c r="G15" s="328"/>
      <c r="H15" s="328"/>
      <c r="I15" s="327"/>
      <c r="J15" s="326"/>
      <c r="K15" s="326"/>
      <c r="L15" s="326"/>
      <c r="M15" s="326"/>
      <c r="N15" s="326"/>
      <c r="O15" s="325"/>
      <c r="Q15" s="5155"/>
      <c r="T15" s="214" t="s">
        <v>26</v>
      </c>
      <c r="U15" s="328" t="str">
        <f>U16</f>
        <v>Famille à coller.N.Nom de votre recette.Recette mère ►.S.Saisissez le nom de la recette mère</v>
      </c>
      <c r="V15" s="328"/>
      <c r="W15" s="328"/>
      <c r="X15" s="327"/>
      <c r="Y15" s="326"/>
      <c r="Z15" s="326"/>
      <c r="AA15" s="326"/>
      <c r="AB15" s="326"/>
      <c r="AC15" s="326"/>
      <c r="AD15" s="325"/>
      <c r="AF15" s="5155"/>
      <c r="AI15" s="214" t="s">
        <v>26</v>
      </c>
      <c r="AJ15" s="328" t="str">
        <f>AJ16</f>
        <v>Famille à coller.N.Nom de votre recette.Recette mère ►.S.Saisissez le nom de la recette mère</v>
      </c>
      <c r="AK15" s="328"/>
      <c r="AL15" s="328"/>
      <c r="AM15" s="327"/>
      <c r="AN15" s="326"/>
      <c r="AO15" s="326"/>
      <c r="AP15" s="326"/>
      <c r="AQ15" s="326"/>
      <c r="AR15" s="326"/>
      <c r="AS15" s="325"/>
      <c r="AU15" s="5155"/>
      <c r="AX15" s="214" t="s">
        <v>26</v>
      </c>
      <c r="AY15" s="328" t="str">
        <f>AY16</f>
        <v>Famille à coller.N.Nom de votre recette.Recette mère ►.S.Saisissez le nom de la recette mère</v>
      </c>
      <c r="AZ15" s="328"/>
      <c r="BA15" s="328"/>
      <c r="BB15" s="327"/>
      <c r="BC15" s="326"/>
      <c r="BD15" s="326"/>
      <c r="BE15" s="326"/>
      <c r="BF15" s="326"/>
      <c r="BG15" s="326"/>
      <c r="BH15" s="325"/>
      <c r="BJ15" s="243" t="s">
        <v>839</v>
      </c>
      <c r="BK15" s="107"/>
      <c r="BL15" s="106"/>
      <c r="BM15" s="105"/>
      <c r="BN15" s="62"/>
      <c r="BO15" s="954"/>
      <c r="BP15" s="958" t="s">
        <v>840</v>
      </c>
      <c r="BQ15" s="955"/>
      <c r="BR15" s="955"/>
      <c r="BS15" s="955"/>
      <c r="BT15" s="955"/>
      <c r="BU15" s="956"/>
      <c r="BW15" s="5">
        <v>1</v>
      </c>
    </row>
    <row r="16" spans="1:77" ht="15.75">
      <c r="B16" s="5155"/>
      <c r="E16" s="319" t="s">
        <v>26</v>
      </c>
      <c r="F16" s="318" t="str">
        <f>I16</f>
        <v>Famille à coller.N.Nom de votre recette.Recette mère ►.S.Saisissez le nom de la recette mère</v>
      </c>
      <c r="G16" s="318">
        <f>I14</f>
        <v>6</v>
      </c>
      <c r="H16" s="318" t="str">
        <f>J14</f>
        <v>couverts</v>
      </c>
      <c r="I16" s="5486" t="str">
        <f>UPPER(LEFT(K10,1))&amp;LOWER(MID(K10,2,999))&amp;"."&amp;UPPER(LEFT(M10,1))&amp;"."&amp;UPPER(LEFT(M10,1))&amp;LOWER(MID(M10,2,999))&amp;"."&amp;IF(ISTEXT(O16),N16&amp;"."&amp;UPPER(LEFT(O16,1))&amp;"."&amp;UPPER(LEFT(O16,1))&amp;LOWER(MID(O16,2,999)),J16)</f>
        <v>Famille à coller.N.Nom de votre recette.Recette mère ►.S.Saisissez le nom de la recette mère</v>
      </c>
      <c r="J16" s="5487" t="s">
        <v>223</v>
      </c>
      <c r="K16" s="7613" t="s">
        <v>222</v>
      </c>
      <c r="L16" s="7613"/>
      <c r="M16" s="7613"/>
      <c r="N16" s="317" t="s">
        <v>221</v>
      </c>
      <c r="O16" s="1302" t="s">
        <v>1093</v>
      </c>
      <c r="Q16" s="5155"/>
      <c r="T16" s="319" t="s">
        <v>26</v>
      </c>
      <c r="U16" s="318" t="str">
        <f>X16</f>
        <v>Famille à coller.N.Nom de votre recette.Recette mère ►.S.Saisissez le nom de la recette mère</v>
      </c>
      <c r="V16" s="318">
        <f>X14</f>
        <v>6</v>
      </c>
      <c r="W16" s="318" t="str">
        <f>Y14</f>
        <v>couverts</v>
      </c>
      <c r="X16" s="5486" t="str">
        <f>UPPER(LEFT(Z10,1))&amp;LOWER(MID(Z10,2,999))&amp;"."&amp;UPPER(LEFT(AB10,1))&amp;"."&amp;UPPER(LEFT(AB10,1))&amp;LOWER(MID(AB10,2,999))&amp;"."&amp;IF(ISTEXT(AD16),AC16&amp;"."&amp;UPPER(LEFT(AD16,1))&amp;"."&amp;UPPER(LEFT(AD16,1))&amp;LOWER(MID(AD16,2,999)),Y16)</f>
        <v>Famille à coller.N.Nom de votre recette.Recette mère ►.S.Saisissez le nom de la recette mère</v>
      </c>
      <c r="Y16" s="5487" t="s">
        <v>223</v>
      </c>
      <c r="Z16" s="7613" t="s">
        <v>222</v>
      </c>
      <c r="AA16" s="7613"/>
      <c r="AB16" s="7613"/>
      <c r="AC16" s="317" t="s">
        <v>221</v>
      </c>
      <c r="AD16" s="1302" t="s">
        <v>1093</v>
      </c>
      <c r="AF16" s="5155"/>
      <c r="AI16" s="319" t="s">
        <v>26</v>
      </c>
      <c r="AJ16" s="318" t="str">
        <f>AM16</f>
        <v>Famille à coller.N.Nom de votre recette.Recette mère ►.S.Saisissez le nom de la recette mère</v>
      </c>
      <c r="AK16" s="318">
        <f>AM14</f>
        <v>6</v>
      </c>
      <c r="AL16" s="318" t="str">
        <f>AN14</f>
        <v>couverts</v>
      </c>
      <c r="AM16" s="5486" t="str">
        <f>UPPER(LEFT(AO10,1))&amp;LOWER(MID(AO10,2,999))&amp;"."&amp;UPPER(LEFT(AQ10,1))&amp;"."&amp;UPPER(LEFT(AQ10,1))&amp;LOWER(MID(AQ10,2,999))&amp;"."&amp;IF(ISTEXT(AS16),AR16&amp;"."&amp;UPPER(LEFT(AS16,1))&amp;"."&amp;UPPER(LEFT(AS16,1))&amp;LOWER(MID(AS16,2,999)),AN16)</f>
        <v>Famille à coller.N.Nom de votre recette.Recette mère ►.S.Saisissez le nom de la recette mère</v>
      </c>
      <c r="AN16" s="5487" t="s">
        <v>223</v>
      </c>
      <c r="AO16" s="7613" t="s">
        <v>222</v>
      </c>
      <c r="AP16" s="7613"/>
      <c r="AQ16" s="7613"/>
      <c r="AR16" s="317" t="s">
        <v>221</v>
      </c>
      <c r="AS16" s="1302" t="s">
        <v>1093</v>
      </c>
      <c r="AU16" s="5155"/>
      <c r="AX16" s="319" t="s">
        <v>26</v>
      </c>
      <c r="AY16" s="318" t="str">
        <f>BB16</f>
        <v>Famille à coller.N.Nom de votre recette.Recette mère ►.S.Saisissez le nom de la recette mère</v>
      </c>
      <c r="AZ16" s="318">
        <f>BB14</f>
        <v>6</v>
      </c>
      <c r="BA16" s="318" t="str">
        <f>BC14</f>
        <v>couverts</v>
      </c>
      <c r="BB16" s="5486"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5487" t="s">
        <v>223</v>
      </c>
      <c r="BD16" s="7613" t="s">
        <v>222</v>
      </c>
      <c r="BE16" s="7613"/>
      <c r="BF16" s="7613"/>
      <c r="BG16" s="317" t="s">
        <v>221</v>
      </c>
      <c r="BH16" s="1302" t="s">
        <v>1093</v>
      </c>
      <c r="BJ16" s="98"/>
      <c r="BK16" s="97"/>
      <c r="BL16" s="97"/>
      <c r="BM16" s="96"/>
      <c r="BN16" s="62"/>
      <c r="BO16" s="954"/>
      <c r="BP16" s="958" t="s">
        <v>841</v>
      </c>
      <c r="BQ16" s="955"/>
      <c r="BR16" s="955"/>
      <c r="BS16" s="955"/>
      <c r="BT16" s="955"/>
      <c r="BU16" s="956"/>
      <c r="BW16" s="5">
        <v>1</v>
      </c>
    </row>
    <row r="17" spans="2:75" ht="21">
      <c r="B17" s="5155"/>
      <c r="E17" s="313" t="s">
        <v>26</v>
      </c>
      <c r="F17" s="312" t="str">
        <f>F16</f>
        <v>Famille à coller.N.Nom de votre recette.Recette mère ►.S.Saisissez le nom de la recette mère</v>
      </c>
      <c r="G17" s="311"/>
      <c r="H17" s="311"/>
      <c r="I17" s="310" t="s">
        <v>218</v>
      </c>
      <c r="J17" s="310" t="s">
        <v>217</v>
      </c>
      <c r="K17" s="310" t="s">
        <v>216</v>
      </c>
      <c r="L17" s="310" t="s">
        <v>215</v>
      </c>
      <c r="M17" s="310" t="s">
        <v>214</v>
      </c>
      <c r="N17" s="308" t="s">
        <v>83</v>
      </c>
      <c r="O17" s="307" t="s">
        <v>213</v>
      </c>
      <c r="Q17" s="5155"/>
      <c r="T17" s="313" t="s">
        <v>26</v>
      </c>
      <c r="U17" s="312" t="str">
        <f>U16</f>
        <v>Famille à coller.N.Nom de votre recette.Recette mère ►.S.Saisissez le nom de la recette mère</v>
      </c>
      <c r="V17" s="311"/>
      <c r="W17" s="311"/>
      <c r="X17" s="310" t="s">
        <v>218</v>
      </c>
      <c r="Y17" s="310" t="s">
        <v>217</v>
      </c>
      <c r="Z17" s="310" t="s">
        <v>216</v>
      </c>
      <c r="AA17" s="310" t="s">
        <v>215</v>
      </c>
      <c r="AB17" s="309" t="s">
        <v>214</v>
      </c>
      <c r="AC17" s="308" t="s">
        <v>83</v>
      </c>
      <c r="AD17" s="307" t="s">
        <v>213</v>
      </c>
      <c r="AF17" s="5155"/>
      <c r="AI17" s="313" t="s">
        <v>26</v>
      </c>
      <c r="AJ17" s="312" t="str">
        <f>AJ16</f>
        <v>Famille à coller.N.Nom de votre recette.Recette mère ►.S.Saisissez le nom de la recette mère</v>
      </c>
      <c r="AK17" s="311"/>
      <c r="AL17" s="311"/>
      <c r="AM17" s="310" t="s">
        <v>218</v>
      </c>
      <c r="AN17" s="310" t="s">
        <v>217</v>
      </c>
      <c r="AO17" s="310" t="s">
        <v>216</v>
      </c>
      <c r="AP17" s="310" t="s">
        <v>215</v>
      </c>
      <c r="AQ17" s="309" t="s">
        <v>214</v>
      </c>
      <c r="AR17" s="308" t="s">
        <v>83</v>
      </c>
      <c r="AS17" s="307" t="s">
        <v>213</v>
      </c>
      <c r="AU17" s="5155"/>
      <c r="AX17" s="313" t="s">
        <v>26</v>
      </c>
      <c r="AY17" s="312" t="str">
        <f>AY16</f>
        <v>Famille à coller.N.Nom de votre recette.Recette mère ►.S.Saisissez le nom de la recette mère</v>
      </c>
      <c r="AZ17" s="311"/>
      <c r="BA17" s="311"/>
      <c r="BB17" s="310" t="s">
        <v>218</v>
      </c>
      <c r="BC17" s="310" t="s">
        <v>217</v>
      </c>
      <c r="BD17" s="310" t="s">
        <v>216</v>
      </c>
      <c r="BE17" s="310" t="s">
        <v>215</v>
      </c>
      <c r="BF17" s="309" t="s">
        <v>214</v>
      </c>
      <c r="BG17" s="308" t="s">
        <v>83</v>
      </c>
      <c r="BH17" s="307" t="s">
        <v>213</v>
      </c>
      <c r="BJ17" s="959" t="s">
        <v>842</v>
      </c>
      <c r="BK17" s="107"/>
      <c r="BL17" s="106"/>
      <c r="BM17" s="105"/>
      <c r="BN17" s="62"/>
      <c r="BO17" s="954"/>
      <c r="BP17" s="958" t="s">
        <v>843</v>
      </c>
      <c r="BQ17" s="955"/>
      <c r="BR17" s="955"/>
      <c r="BS17" s="955"/>
      <c r="BT17" s="955"/>
      <c r="BU17" s="956"/>
      <c r="BW17" s="5">
        <v>1</v>
      </c>
    </row>
    <row r="18" spans="2:75" ht="15.75" customHeight="1">
      <c r="B18" s="5155"/>
      <c r="E18" s="214" t="s">
        <v>21</v>
      </c>
      <c r="F18" s="41" t="str">
        <f>F16</f>
        <v>Famille à coller.N.Nom de votre recette.Recette mère ►.S.Saisissez le nom de la recette mère</v>
      </c>
      <c r="G18" s="40"/>
      <c r="H18" s="40"/>
      <c r="I18" s="299" t="s">
        <v>198</v>
      </c>
      <c r="J18" s="298" t="s">
        <v>197</v>
      </c>
      <c r="K18" s="297"/>
      <c r="L18" s="6986" t="s">
        <v>196</v>
      </c>
      <c r="M18" s="6987" t="s">
        <v>195</v>
      </c>
      <c r="N18" s="7695" t="s">
        <v>82</v>
      </c>
      <c r="O18" s="296" t="s">
        <v>194</v>
      </c>
      <c r="Q18" s="5155"/>
      <c r="T18" s="214" t="s">
        <v>21</v>
      </c>
      <c r="U18" s="41" t="str">
        <f>U16</f>
        <v>Famille à coller.N.Nom de votre recette.Recette mère ►.S.Saisissez le nom de la recette mère</v>
      </c>
      <c r="V18" s="40"/>
      <c r="W18" s="40"/>
      <c r="X18" s="299" t="s">
        <v>198</v>
      </c>
      <c r="Y18" s="298" t="s">
        <v>197</v>
      </c>
      <c r="Z18" s="297"/>
      <c r="AA18" s="6904" t="s">
        <v>196</v>
      </c>
      <c r="AB18" s="7387" t="s">
        <v>195</v>
      </c>
      <c r="AC18" s="7615" t="s">
        <v>82</v>
      </c>
      <c r="AD18" s="296" t="s">
        <v>194</v>
      </c>
      <c r="AF18" s="5155"/>
      <c r="AI18" s="214" t="s">
        <v>21</v>
      </c>
      <c r="AJ18" s="302" t="str">
        <f>AJ16</f>
        <v>Famille à coller.N.Nom de votre recette.Recette mère ►.S.Saisissez le nom de la recette mère</v>
      </c>
      <c r="AK18" s="301"/>
      <c r="AL18" s="300"/>
      <c r="AM18" s="299" t="s">
        <v>198</v>
      </c>
      <c r="AN18" s="298" t="s">
        <v>197</v>
      </c>
      <c r="AO18" s="297"/>
      <c r="AP18" s="6904" t="s">
        <v>196</v>
      </c>
      <c r="AQ18" s="7387" t="s">
        <v>195</v>
      </c>
      <c r="AR18" s="7615" t="s">
        <v>82</v>
      </c>
      <c r="AS18" s="296" t="s">
        <v>194</v>
      </c>
      <c r="AU18" s="5155"/>
      <c r="AX18" s="214" t="s">
        <v>21</v>
      </c>
      <c r="AY18" s="302" t="str">
        <f>AY16</f>
        <v>Famille à coller.N.Nom de votre recette.Recette mère ►.S.Saisissez le nom de la recette mère</v>
      </c>
      <c r="AZ18" s="301"/>
      <c r="BA18" s="300"/>
      <c r="BB18" s="299" t="s">
        <v>198</v>
      </c>
      <c r="BC18" s="298" t="s">
        <v>197</v>
      </c>
      <c r="BD18" s="297"/>
      <c r="BE18" s="6904" t="s">
        <v>196</v>
      </c>
      <c r="BF18" s="7387" t="s">
        <v>195</v>
      </c>
      <c r="BG18" s="7615" t="s">
        <v>82</v>
      </c>
      <c r="BH18" s="296" t="s">
        <v>194</v>
      </c>
      <c r="BJ18" s="98"/>
      <c r="BK18" s="97"/>
      <c r="BL18" s="97"/>
      <c r="BM18" s="96"/>
      <c r="BN18" s="62"/>
      <c r="BO18" s="954"/>
      <c r="BP18" s="958" t="s">
        <v>844</v>
      </c>
      <c r="BQ18" s="955"/>
      <c r="BR18" s="955"/>
      <c r="BS18" s="955"/>
      <c r="BT18" s="955"/>
      <c r="BU18" s="956"/>
      <c r="BW18" s="5">
        <v>1</v>
      </c>
    </row>
    <row r="19" spans="2:75" ht="15.75" customHeight="1">
      <c r="B19" s="5155"/>
      <c r="E19" s="214" t="s">
        <v>21</v>
      </c>
      <c r="F19" s="41" t="str">
        <f>F16</f>
        <v>Famille à coller.N.Nom de votre recette.Recette mère ►.S.Saisissez le nom de la recette mère</v>
      </c>
      <c r="G19" s="40"/>
      <c r="H19" s="40"/>
      <c r="I19" s="287" t="s">
        <v>184</v>
      </c>
      <c r="J19" s="286" t="s">
        <v>162</v>
      </c>
      <c r="K19" s="285" t="s">
        <v>186</v>
      </c>
      <c r="L19" s="6905"/>
      <c r="M19" s="7614"/>
      <c r="N19" s="7616"/>
      <c r="O19" s="284" t="s">
        <v>185</v>
      </c>
      <c r="Q19" s="5155"/>
      <c r="T19" s="214" t="s">
        <v>21</v>
      </c>
      <c r="U19" s="41" t="str">
        <f>U16</f>
        <v>Famille à coller.N.Nom de votre recette.Recette mère ►.S.Saisissez le nom de la recette mère</v>
      </c>
      <c r="V19" s="40"/>
      <c r="W19" s="40"/>
      <c r="X19" s="287" t="s">
        <v>184</v>
      </c>
      <c r="Y19" s="286" t="s">
        <v>162</v>
      </c>
      <c r="Z19" s="285" t="s">
        <v>186</v>
      </c>
      <c r="AA19" s="6905"/>
      <c r="AB19" s="7614"/>
      <c r="AC19" s="7696"/>
      <c r="AD19" s="284" t="s">
        <v>185</v>
      </c>
      <c r="AF19" s="5155"/>
      <c r="AI19" s="214" t="s">
        <v>21</v>
      </c>
      <c r="AJ19" s="41" t="str">
        <f>AJ16</f>
        <v>Famille à coller.N.Nom de votre recette.Recette mère ►.S.Saisissez le nom de la recette mère</v>
      </c>
      <c r="AK19" s="40"/>
      <c r="AL19" s="39"/>
      <c r="AM19" s="287" t="s">
        <v>184</v>
      </c>
      <c r="AN19" s="286" t="s">
        <v>162</v>
      </c>
      <c r="AO19" s="285" t="s">
        <v>186</v>
      </c>
      <c r="AP19" s="6905"/>
      <c r="AQ19" s="7614"/>
      <c r="AR19" s="7696"/>
      <c r="AS19" s="284" t="s">
        <v>185</v>
      </c>
      <c r="AU19" s="5155"/>
      <c r="AX19" s="214" t="s">
        <v>21</v>
      </c>
      <c r="AY19" s="41" t="str">
        <f>AY16</f>
        <v>Famille à coller.N.Nom de votre recette.Recette mère ►.S.Saisissez le nom de la recette mère</v>
      </c>
      <c r="AZ19" s="40"/>
      <c r="BA19" s="39"/>
      <c r="BB19" s="287" t="s">
        <v>184</v>
      </c>
      <c r="BC19" s="286" t="s">
        <v>162</v>
      </c>
      <c r="BD19" s="285" t="s">
        <v>186</v>
      </c>
      <c r="BE19" s="6905"/>
      <c r="BF19" s="7614"/>
      <c r="BG19" s="7696"/>
      <c r="BH19" s="284" t="s">
        <v>185</v>
      </c>
      <c r="BJ19" s="959" t="s">
        <v>845</v>
      </c>
      <c r="BK19" s="107"/>
      <c r="BL19" s="106"/>
      <c r="BM19" s="105"/>
      <c r="BN19" s="62"/>
      <c r="BO19" s="954"/>
      <c r="BP19" s="958" t="s">
        <v>846</v>
      </c>
      <c r="BQ19" s="955"/>
      <c r="BR19" s="955"/>
      <c r="BS19" s="955"/>
      <c r="BT19" s="955"/>
      <c r="BU19" s="956"/>
      <c r="BW19" s="5">
        <v>1</v>
      </c>
    </row>
    <row r="20" spans="2:75" ht="17.25">
      <c r="B20" s="5155"/>
      <c r="E20" s="214" t="s">
        <v>21</v>
      </c>
      <c r="F20" s="41" t="str">
        <f>F16</f>
        <v>Famille à coller.N.Nom de votre recette.Recette mère ►.S.Saisissez le nom de la recette mère</v>
      </c>
      <c r="G20" s="40">
        <f>G16</f>
        <v>6</v>
      </c>
      <c r="H20" s="40" t="str">
        <f>H16</f>
        <v>couverts</v>
      </c>
      <c r="I20" s="213"/>
      <c r="J20" s="256"/>
      <c r="K20" s="211" t="str">
        <f t="shared" ref="K20:K26" si="9">IF(OR(ISTEXT(I20), I20&lt;=0, L20&lt;=0), "", "de")</f>
        <v/>
      </c>
      <c r="L20" s="210"/>
      <c r="M20" s="209"/>
      <c r="N20" s="5448">
        <v>1</v>
      </c>
      <c r="O20" s="5479" t="s">
        <v>1094</v>
      </c>
      <c r="Q20" s="5155"/>
      <c r="T20" s="214" t="s">
        <v>21</v>
      </c>
      <c r="U20" s="41" t="str">
        <f>U16</f>
        <v>Famille à coller.N.Nom de votre recette.Recette mère ►.S.Saisissez le nom de la recette mère</v>
      </c>
      <c r="V20" s="40">
        <f>V16</f>
        <v>6</v>
      </c>
      <c r="W20" s="40" t="str">
        <f>W16</f>
        <v>couverts</v>
      </c>
      <c r="X20" s="213"/>
      <c r="Y20" s="256"/>
      <c r="Z20" s="211" t="str">
        <f t="shared" ref="Z20:Z33" si="10">IF(OR(ISTEXT(X20), X20&lt;=0, AA20&lt;=0), "", "de")</f>
        <v/>
      </c>
      <c r="AA20" s="210">
        <v>12</v>
      </c>
      <c r="AB20" s="248" t="s">
        <v>128</v>
      </c>
      <c r="AC20" s="5448">
        <v>1</v>
      </c>
      <c r="AD20" s="33"/>
      <c r="AF20" s="5155"/>
      <c r="AI20" s="214" t="s">
        <v>21</v>
      </c>
      <c r="AJ20" s="41" t="str">
        <f>AJ16</f>
        <v>Famille à coller.N.Nom de votre recette.Recette mère ►.S.Saisissez le nom de la recette mère</v>
      </c>
      <c r="AK20" s="40">
        <f>AK16</f>
        <v>6</v>
      </c>
      <c r="AL20" s="39" t="str">
        <f>AL16</f>
        <v>couverts</v>
      </c>
      <c r="AM20" s="213"/>
      <c r="AN20" s="212"/>
      <c r="AO20" s="211" t="str">
        <f t="shared" ref="AO20:AO41" si="11">IF(OR(ISTEXT(AM20), AM20&lt;=0, AP20&lt;=0), "", "de")</f>
        <v/>
      </c>
      <c r="AP20" s="210">
        <v>12</v>
      </c>
      <c r="AQ20" s="248" t="s">
        <v>128</v>
      </c>
      <c r="AR20" s="5448">
        <v>1</v>
      </c>
      <c r="AS20" s="33"/>
      <c r="AU20" s="5155"/>
      <c r="AX20" s="214" t="s">
        <v>21</v>
      </c>
      <c r="AY20" s="41" t="str">
        <f>AY16</f>
        <v>Famille à coller.N.Nom de votre recette.Recette mère ►.S.Saisissez le nom de la recette mère</v>
      </c>
      <c r="AZ20" s="40">
        <f>AZ16</f>
        <v>6</v>
      </c>
      <c r="BA20" s="39" t="str">
        <f>BA16</f>
        <v>couverts</v>
      </c>
      <c r="BB20" s="213"/>
      <c r="BC20" s="212"/>
      <c r="BD20" s="274" t="str">
        <f t="shared" ref="BD20:BD29" si="12">IF(OR(ISTEXT(BB20), BB20&lt;=0, BE20&lt;=0), "", "de")</f>
        <v/>
      </c>
      <c r="BE20" s="210">
        <v>12</v>
      </c>
      <c r="BF20" s="248" t="s">
        <v>128</v>
      </c>
      <c r="BG20" s="5448">
        <v>1</v>
      </c>
      <c r="BH20" s="33"/>
      <c r="BJ20" s="98"/>
      <c r="BK20" s="97"/>
      <c r="BL20" s="97"/>
      <c r="BM20" s="96"/>
      <c r="BN20" s="62"/>
      <c r="BO20" s="954"/>
      <c r="BP20" s="955"/>
      <c r="BQ20" s="955"/>
      <c r="BR20" s="955"/>
      <c r="BS20" s="955"/>
      <c r="BT20" s="955"/>
      <c r="BU20" s="956"/>
      <c r="BW20" s="5">
        <v>1</v>
      </c>
    </row>
    <row r="21" spans="2:75" ht="21">
      <c r="B21" s="5155"/>
      <c r="E21" s="42" t="str">
        <f t="shared" ref="E21:E26" si="13">IF(O21&lt;&gt;"","A","►")</f>
        <v>A</v>
      </c>
      <c r="F21" s="41" t="str">
        <f>F16</f>
        <v>Famille à coller.N.Nom de votre recette.Recette mère ►.S.Saisissez le nom de la recette mère</v>
      </c>
      <c r="G21" s="40">
        <f>G16</f>
        <v>6</v>
      </c>
      <c r="H21" s="40" t="str">
        <f>H16</f>
        <v>couverts</v>
      </c>
      <c r="I21" s="213"/>
      <c r="J21" s="256"/>
      <c r="K21" s="211" t="str">
        <f t="shared" si="9"/>
        <v/>
      </c>
      <c r="L21" s="210"/>
      <c r="M21" s="209"/>
      <c r="N21" s="5448">
        <v>1</v>
      </c>
      <c r="O21" s="33" t="s">
        <v>1095</v>
      </c>
      <c r="Q21" s="5155"/>
      <c r="T21" s="42" t="str">
        <f t="shared" ref="T21:T33" si="14">IF(AD21&lt;&gt;"","A","►")</f>
        <v>A</v>
      </c>
      <c r="U21" s="41" t="str">
        <f>U16</f>
        <v>Famille à coller.N.Nom de votre recette.Recette mère ►.S.Saisissez le nom de la recette mère</v>
      </c>
      <c r="V21" s="40">
        <f>V16</f>
        <v>6</v>
      </c>
      <c r="W21" s="40" t="str">
        <f>W16</f>
        <v>couverts</v>
      </c>
      <c r="X21" s="213"/>
      <c r="Y21" s="256"/>
      <c r="Z21" s="211" t="str">
        <f t="shared" si="10"/>
        <v/>
      </c>
      <c r="AA21" s="210">
        <v>300</v>
      </c>
      <c r="AB21" s="251" t="s">
        <v>130</v>
      </c>
      <c r="AC21" s="5448">
        <v>1</v>
      </c>
      <c r="AD21" s="33" t="s">
        <v>1096</v>
      </c>
      <c r="AF21" s="5155"/>
      <c r="AI21" s="42" t="str">
        <f t="shared" ref="AI21:AI40" si="15">IF(AS21&lt;&gt;"","A","►")</f>
        <v>►</v>
      </c>
      <c r="AJ21" s="41" t="str">
        <f>AJ16</f>
        <v>Famille à coller.N.Nom de votre recette.Recette mère ►.S.Saisissez le nom de la recette mère</v>
      </c>
      <c r="AK21" s="40">
        <f>AK16</f>
        <v>6</v>
      </c>
      <c r="AL21" s="39" t="str">
        <f>AL16</f>
        <v>couverts</v>
      </c>
      <c r="AM21" s="213"/>
      <c r="AN21" s="212"/>
      <c r="AO21" s="211" t="str">
        <f t="shared" si="11"/>
        <v/>
      </c>
      <c r="AP21" s="210"/>
      <c r="AQ21" s="209"/>
      <c r="AR21" s="5448">
        <v>1</v>
      </c>
      <c r="AS21" s="33"/>
      <c r="AU21" s="5155"/>
      <c r="AX21" s="42" t="str">
        <f t="shared" ref="AX21:AX60" si="16">IF(BH21&lt;&gt;"","A","►")</f>
        <v>A</v>
      </c>
      <c r="AY21" s="41" t="str">
        <f>AY16</f>
        <v>Famille à coller.N.Nom de votre recette.Recette mère ►.S.Saisissez le nom de la recette mère</v>
      </c>
      <c r="AZ21" s="40">
        <f>AZ16</f>
        <v>6</v>
      </c>
      <c r="BA21" s="39" t="str">
        <f>BA16</f>
        <v>couverts</v>
      </c>
      <c r="BB21" s="213"/>
      <c r="BC21" s="212"/>
      <c r="BD21" s="211" t="str">
        <f t="shared" si="12"/>
        <v/>
      </c>
      <c r="BE21" s="210">
        <v>200</v>
      </c>
      <c r="BF21" s="251" t="s">
        <v>130</v>
      </c>
      <c r="BG21" s="5448">
        <v>1</v>
      </c>
      <c r="BH21" s="33" t="s">
        <v>174</v>
      </c>
      <c r="BJ21" s="960" t="s">
        <v>847</v>
      </c>
      <c r="BK21" s="107"/>
      <c r="BL21" s="106"/>
      <c r="BM21" s="105"/>
      <c r="BN21" s="62"/>
      <c r="BO21" s="954"/>
      <c r="BP21" s="955"/>
      <c r="BQ21" s="955"/>
      <c r="BR21" s="955"/>
      <c r="BS21" s="955"/>
      <c r="BT21" s="955"/>
      <c r="BU21" s="956"/>
      <c r="BW21" s="5">
        <v>1</v>
      </c>
    </row>
    <row r="22" spans="2:75" ht="21">
      <c r="B22" s="5155"/>
      <c r="E22" s="42" t="str">
        <f t="shared" si="13"/>
        <v>A</v>
      </c>
      <c r="F22" s="41" t="str">
        <f>F16</f>
        <v>Famille à coller.N.Nom de votre recette.Recette mère ►.S.Saisissez le nom de la recette mère</v>
      </c>
      <c r="G22" s="40">
        <f>G16</f>
        <v>6</v>
      </c>
      <c r="H22" s="40" t="str">
        <f>H16</f>
        <v>couverts</v>
      </c>
      <c r="I22" s="213"/>
      <c r="J22" s="212"/>
      <c r="K22" s="211" t="str">
        <f t="shared" si="9"/>
        <v/>
      </c>
      <c r="L22" s="210"/>
      <c r="M22" s="209"/>
      <c r="N22" s="5448">
        <v>1</v>
      </c>
      <c r="O22" s="33" t="s">
        <v>1097</v>
      </c>
      <c r="Q22" s="5155"/>
      <c r="T22" s="42" t="str">
        <f t="shared" si="14"/>
        <v>A</v>
      </c>
      <c r="U22" s="41" t="str">
        <f>U16</f>
        <v>Famille à coller.N.Nom de votre recette.Recette mère ►.S.Saisissez le nom de la recette mère</v>
      </c>
      <c r="V22" s="40">
        <f>V16</f>
        <v>6</v>
      </c>
      <c r="W22" s="40" t="str">
        <f>W16</f>
        <v>couverts</v>
      </c>
      <c r="X22" s="213"/>
      <c r="Y22" s="212"/>
      <c r="Z22" s="211" t="str">
        <f t="shared" si="10"/>
        <v/>
      </c>
      <c r="AA22" s="210">
        <v>300</v>
      </c>
      <c r="AB22" s="251" t="s">
        <v>130</v>
      </c>
      <c r="AC22" s="5448">
        <v>1</v>
      </c>
      <c r="AD22" s="1303" t="s">
        <v>1098</v>
      </c>
      <c r="AF22" s="5155"/>
      <c r="AI22" s="42" t="str">
        <f t="shared" si="15"/>
        <v>►</v>
      </c>
      <c r="AJ22" s="41" t="str">
        <f>AJ16</f>
        <v>Famille à coller.N.Nom de votre recette.Recette mère ►.S.Saisissez le nom de la recette mère</v>
      </c>
      <c r="AK22" s="40">
        <f>AK16</f>
        <v>6</v>
      </c>
      <c r="AL22" s="39" t="str">
        <f>AL16</f>
        <v>couverts</v>
      </c>
      <c r="AM22" s="213"/>
      <c r="AN22" s="212"/>
      <c r="AO22" s="211" t="str">
        <f t="shared" si="11"/>
        <v/>
      </c>
      <c r="AP22" s="210"/>
      <c r="AQ22" s="209"/>
      <c r="AR22" s="5448">
        <v>1</v>
      </c>
      <c r="AS22" s="33"/>
      <c r="AU22" s="5155"/>
      <c r="AX22" s="42" t="str">
        <f t="shared" si="16"/>
        <v>A</v>
      </c>
      <c r="AY22" s="41" t="str">
        <f>AY16</f>
        <v>Famille à coller.N.Nom de votre recette.Recette mère ►.S.Saisissez le nom de la recette mère</v>
      </c>
      <c r="AZ22" s="40">
        <f>AZ16</f>
        <v>6</v>
      </c>
      <c r="BA22" s="39" t="str">
        <f>BA16</f>
        <v>couverts</v>
      </c>
      <c r="BB22" s="213"/>
      <c r="BC22" s="212"/>
      <c r="BD22" s="211" t="str">
        <f t="shared" si="12"/>
        <v/>
      </c>
      <c r="BE22" s="210">
        <v>250</v>
      </c>
      <c r="BF22" s="251" t="s">
        <v>130</v>
      </c>
      <c r="BG22" s="5448">
        <v>1</v>
      </c>
      <c r="BH22" s="33" t="s">
        <v>173</v>
      </c>
      <c r="BJ22" s="98"/>
      <c r="BK22" s="97"/>
      <c r="BL22" s="97"/>
      <c r="BM22" s="96"/>
      <c r="BN22" s="62"/>
      <c r="BO22" s="954"/>
      <c r="BP22" s="961" t="s">
        <v>848</v>
      </c>
      <c r="BQ22" s="955"/>
      <c r="BR22" s="955"/>
      <c r="BS22" s="955"/>
      <c r="BT22" s="955"/>
      <c r="BU22" s="956"/>
      <c r="BW22" s="5">
        <v>1</v>
      </c>
    </row>
    <row r="23" spans="2:75" ht="18" customHeight="1" thickBot="1">
      <c r="B23" s="5155"/>
      <c r="E23" s="42" t="str">
        <f t="shared" si="13"/>
        <v>A</v>
      </c>
      <c r="F23" s="41" t="str">
        <f>F16</f>
        <v>Famille à coller.N.Nom de votre recette.Recette mère ►.S.Saisissez le nom de la recette mère</v>
      </c>
      <c r="G23" s="40">
        <f>G16</f>
        <v>6</v>
      </c>
      <c r="H23" s="40" t="str">
        <f>H16</f>
        <v>couverts</v>
      </c>
      <c r="I23" s="213"/>
      <c r="J23" s="212"/>
      <c r="K23" s="211" t="str">
        <f t="shared" si="9"/>
        <v/>
      </c>
      <c r="L23" s="210"/>
      <c r="M23" s="209"/>
      <c r="N23" s="5448">
        <v>1</v>
      </c>
      <c r="O23" s="33" t="s">
        <v>1099</v>
      </c>
      <c r="Q23" s="5155"/>
      <c r="T23" s="42" t="str">
        <f t="shared" si="14"/>
        <v>A</v>
      </c>
      <c r="U23" s="41" t="str">
        <f>U16</f>
        <v>Famille à coller.N.Nom de votre recette.Recette mère ►.S.Saisissez le nom de la recette mère</v>
      </c>
      <c r="V23" s="40">
        <f>V16</f>
        <v>6</v>
      </c>
      <c r="W23" s="40" t="str">
        <f>W16</f>
        <v>couverts</v>
      </c>
      <c r="X23" s="213"/>
      <c r="Y23" s="212"/>
      <c r="Z23" s="211" t="str">
        <f t="shared" si="10"/>
        <v/>
      </c>
      <c r="AA23" s="210">
        <v>600</v>
      </c>
      <c r="AB23" s="251" t="s">
        <v>130</v>
      </c>
      <c r="AC23" s="5448">
        <v>1</v>
      </c>
      <c r="AD23" s="33" t="s">
        <v>1100</v>
      </c>
      <c r="AF23" s="5155"/>
      <c r="AI23" s="42" t="str">
        <f t="shared" si="15"/>
        <v>►</v>
      </c>
      <c r="AJ23" s="41" t="str">
        <f>AJ16</f>
        <v>Famille à coller.N.Nom de votre recette.Recette mère ►.S.Saisissez le nom de la recette mère</v>
      </c>
      <c r="AK23" s="40">
        <f>AK16</f>
        <v>6</v>
      </c>
      <c r="AL23" s="39" t="str">
        <f>AL16</f>
        <v>couverts</v>
      </c>
      <c r="AM23" s="213"/>
      <c r="AN23" s="212"/>
      <c r="AO23" s="211" t="str">
        <f t="shared" si="11"/>
        <v/>
      </c>
      <c r="AP23" s="210"/>
      <c r="AQ23" s="209"/>
      <c r="AR23" s="5448">
        <v>1</v>
      </c>
      <c r="AS23" s="33"/>
      <c r="AU23" s="5155"/>
      <c r="AX23" s="42" t="str">
        <f t="shared" si="16"/>
        <v>A</v>
      </c>
      <c r="AY23" s="41" t="str">
        <f>AY16</f>
        <v>Famille à coller.N.Nom de votre recette.Recette mère ►.S.Saisissez le nom de la recette mère</v>
      </c>
      <c r="AZ23" s="40">
        <f>AZ16</f>
        <v>6</v>
      </c>
      <c r="BA23" s="39" t="str">
        <f>BA16</f>
        <v>couverts</v>
      </c>
      <c r="BB23" s="213"/>
      <c r="BC23" s="212"/>
      <c r="BD23" s="211" t="str">
        <f t="shared" si="12"/>
        <v/>
      </c>
      <c r="BE23" s="210">
        <v>200</v>
      </c>
      <c r="BF23" s="251" t="s">
        <v>130</v>
      </c>
      <c r="BG23" s="5448">
        <v>1</v>
      </c>
      <c r="BH23" s="33" t="s">
        <v>171</v>
      </c>
      <c r="BJ23" s="960" t="s">
        <v>849</v>
      </c>
      <c r="BK23" s="107"/>
      <c r="BL23" s="106"/>
      <c r="BM23" s="105"/>
      <c r="BN23" s="62"/>
      <c r="BO23" s="954"/>
      <c r="BP23" s="955"/>
      <c r="BQ23" s="955"/>
      <c r="BR23" s="955"/>
      <c r="BS23" s="955"/>
      <c r="BT23" s="955"/>
      <c r="BU23" s="956"/>
      <c r="BW23" s="5">
        <v>1</v>
      </c>
    </row>
    <row r="24" spans="2:75" ht="18" customHeight="1" thickTop="1">
      <c r="B24" s="5155"/>
      <c r="E24" s="42" t="str">
        <f t="shared" si="13"/>
        <v>►</v>
      </c>
      <c r="F24" s="41" t="str">
        <f>F16</f>
        <v>Famille à coller.N.Nom de votre recette.Recette mère ►.S.Saisissez le nom de la recette mère</v>
      </c>
      <c r="G24" s="40">
        <f>G16</f>
        <v>6</v>
      </c>
      <c r="H24" s="40" t="str">
        <f>H16</f>
        <v>couverts</v>
      </c>
      <c r="I24" s="213"/>
      <c r="J24" s="212"/>
      <c r="K24" s="211" t="str">
        <f t="shared" si="9"/>
        <v/>
      </c>
      <c r="L24" s="210"/>
      <c r="M24" s="209"/>
      <c r="N24" s="5448">
        <v>1</v>
      </c>
      <c r="O24" s="33"/>
      <c r="Q24" s="5155"/>
      <c r="T24" s="42" t="str">
        <f t="shared" si="14"/>
        <v>A</v>
      </c>
      <c r="U24" s="41" t="str">
        <f>U16</f>
        <v>Famille à coller.N.Nom de votre recette.Recette mère ►.S.Saisissez le nom de la recette mère</v>
      </c>
      <c r="V24" s="40">
        <f>V16</f>
        <v>6</v>
      </c>
      <c r="W24" s="40" t="str">
        <f>W16</f>
        <v>couverts</v>
      </c>
      <c r="X24" s="213"/>
      <c r="Y24" s="212"/>
      <c r="Z24" s="211" t="str">
        <f t="shared" si="10"/>
        <v/>
      </c>
      <c r="AA24" s="210">
        <v>200</v>
      </c>
      <c r="AB24" s="251" t="s">
        <v>130</v>
      </c>
      <c r="AC24" s="5448">
        <v>1</v>
      </c>
      <c r="AD24" s="33" t="s">
        <v>1101</v>
      </c>
      <c r="AF24" s="5155"/>
      <c r="AI24" s="42" t="str">
        <f t="shared" si="15"/>
        <v>►</v>
      </c>
      <c r="AJ24" s="41" t="str">
        <f>AJ16</f>
        <v>Famille à coller.N.Nom de votre recette.Recette mère ►.S.Saisissez le nom de la recette mère</v>
      </c>
      <c r="AK24" s="40">
        <f>AK16</f>
        <v>6</v>
      </c>
      <c r="AL24" s="39" t="str">
        <f>AL16</f>
        <v>couverts</v>
      </c>
      <c r="AM24" s="213">
        <v>5</v>
      </c>
      <c r="AN24" s="212" t="s">
        <v>1102</v>
      </c>
      <c r="AO24" s="211" t="str">
        <f t="shared" si="11"/>
        <v/>
      </c>
      <c r="AP24" s="210"/>
      <c r="AQ24" s="209"/>
      <c r="AR24" s="5448">
        <v>1</v>
      </c>
      <c r="AS24" s="33"/>
      <c r="AU24" s="5155"/>
      <c r="AX24" s="42" t="str">
        <f t="shared" si="16"/>
        <v>A</v>
      </c>
      <c r="AY24" s="41" t="str">
        <f>AY16</f>
        <v>Famille à coller.N.Nom de votre recette.Recette mère ►.S.Saisissez le nom de la recette mère</v>
      </c>
      <c r="AZ24" s="40">
        <f>AZ16</f>
        <v>6</v>
      </c>
      <c r="BA24" s="39" t="str">
        <f>BA16</f>
        <v>couverts</v>
      </c>
      <c r="BB24" s="213"/>
      <c r="BC24" s="212"/>
      <c r="BD24" s="211" t="str">
        <f t="shared" si="12"/>
        <v/>
      </c>
      <c r="BE24" s="210">
        <v>200</v>
      </c>
      <c r="BF24" s="251" t="s">
        <v>130</v>
      </c>
      <c r="BG24" s="5448">
        <v>1</v>
      </c>
      <c r="BH24" s="33" t="s">
        <v>167</v>
      </c>
      <c r="BJ24" s="98"/>
      <c r="BK24" s="97"/>
      <c r="BL24" s="97"/>
      <c r="BM24" s="96"/>
      <c r="BN24" s="62"/>
      <c r="BO24" s="962" t="s">
        <v>198</v>
      </c>
      <c r="BP24" s="963" t="s">
        <v>197</v>
      </c>
      <c r="BQ24" s="964"/>
      <c r="BR24" s="7716" t="s">
        <v>196</v>
      </c>
      <c r="BS24" s="7717" t="s">
        <v>195</v>
      </c>
      <c r="BT24" s="7718" t="s">
        <v>82</v>
      </c>
      <c r="BU24" s="965" t="s">
        <v>194</v>
      </c>
      <c r="BW24" s="5">
        <v>1</v>
      </c>
    </row>
    <row r="25" spans="2:75" ht="21">
      <c r="B25" s="5155"/>
      <c r="E25" s="42" t="str">
        <f t="shared" si="13"/>
        <v>A</v>
      </c>
      <c r="F25" s="41" t="str">
        <f>F16</f>
        <v>Famille à coller.N.Nom de votre recette.Recette mère ►.S.Saisissez le nom de la recette mère</v>
      </c>
      <c r="G25" s="40">
        <f>G16</f>
        <v>6</v>
      </c>
      <c r="H25" s="40" t="str">
        <f>H16</f>
        <v>couverts</v>
      </c>
      <c r="I25" s="213"/>
      <c r="J25" s="212"/>
      <c r="K25" s="211" t="str">
        <f t="shared" si="9"/>
        <v/>
      </c>
      <c r="L25" s="210"/>
      <c r="M25" s="209"/>
      <c r="N25" s="5448">
        <v>1</v>
      </c>
      <c r="O25" s="33" t="s">
        <v>1103</v>
      </c>
      <c r="Q25" s="5155"/>
      <c r="T25" s="42" t="str">
        <f t="shared" si="14"/>
        <v>A</v>
      </c>
      <c r="U25" s="41" t="str">
        <f>U16</f>
        <v>Famille à coller.N.Nom de votre recette.Recette mère ►.S.Saisissez le nom de la recette mère</v>
      </c>
      <c r="V25" s="40">
        <f>V16</f>
        <v>6</v>
      </c>
      <c r="W25" s="40" t="str">
        <f>W16</f>
        <v>couverts</v>
      </c>
      <c r="X25" s="213"/>
      <c r="Y25" s="212"/>
      <c r="Z25" s="211" t="str">
        <f t="shared" si="10"/>
        <v/>
      </c>
      <c r="AA25" s="210"/>
      <c r="AB25" s="209"/>
      <c r="AC25" s="5448">
        <v>1</v>
      </c>
      <c r="AD25" s="33" t="s">
        <v>1104</v>
      </c>
      <c r="AF25" s="5155"/>
      <c r="AI25" s="42" t="str">
        <f t="shared" si="15"/>
        <v>►</v>
      </c>
      <c r="AJ25" s="41" t="str">
        <f>AJ16</f>
        <v>Famille à coller.N.Nom de votre recette.Recette mère ►.S.Saisissez le nom de la recette mère</v>
      </c>
      <c r="AK25" s="40">
        <f>AK16</f>
        <v>6</v>
      </c>
      <c r="AL25" s="39" t="str">
        <f>AL16</f>
        <v>couverts</v>
      </c>
      <c r="AM25" s="213"/>
      <c r="AN25" s="212"/>
      <c r="AO25" s="211" t="str">
        <f t="shared" si="11"/>
        <v/>
      </c>
      <c r="AP25" s="210">
        <v>200</v>
      </c>
      <c r="AQ25" s="251" t="s">
        <v>130</v>
      </c>
      <c r="AR25" s="5448">
        <v>1</v>
      </c>
      <c r="AS25" s="33"/>
      <c r="AU25" s="5155"/>
      <c r="AX25" s="42" t="str">
        <f t="shared" si="16"/>
        <v>A</v>
      </c>
      <c r="AY25" s="41" t="str">
        <f>AY16</f>
        <v>Famille à coller.N.Nom de votre recette.Recette mère ►.S.Saisissez le nom de la recette mère</v>
      </c>
      <c r="AZ25" s="40">
        <f>AZ16</f>
        <v>6</v>
      </c>
      <c r="BA25" s="39" t="str">
        <f>BA16</f>
        <v>couverts</v>
      </c>
      <c r="BB25" s="213">
        <v>5</v>
      </c>
      <c r="BC25" s="212" t="s">
        <v>1102</v>
      </c>
      <c r="BD25" s="211" t="str">
        <f t="shared" si="12"/>
        <v>de</v>
      </c>
      <c r="BE25" s="210">
        <v>70</v>
      </c>
      <c r="BF25" s="251" t="s">
        <v>130</v>
      </c>
      <c r="BG25" s="5448">
        <v>1</v>
      </c>
      <c r="BH25" s="33" t="s">
        <v>165</v>
      </c>
      <c r="BJ25" s="966" t="s">
        <v>853</v>
      </c>
      <c r="BK25" s="107"/>
      <c r="BL25" s="106"/>
      <c r="BM25" s="105"/>
      <c r="BN25" s="62"/>
      <c r="BO25" s="967" t="s">
        <v>184</v>
      </c>
      <c r="BP25" s="286" t="s">
        <v>162</v>
      </c>
      <c r="BQ25" s="285" t="s">
        <v>186</v>
      </c>
      <c r="BR25" s="6905"/>
      <c r="BS25" s="7614"/>
      <c r="BT25" s="7696"/>
      <c r="BU25" s="968" t="s">
        <v>185</v>
      </c>
      <c r="BW25" s="5">
        <v>1</v>
      </c>
    </row>
    <row r="26" spans="2:75" ht="17.25">
      <c r="B26" s="5155"/>
      <c r="D26" s="1720" t="s">
        <v>7844</v>
      </c>
      <c r="E26" s="42" t="str">
        <f t="shared" si="13"/>
        <v>►</v>
      </c>
      <c r="F26" s="41" t="str">
        <f>F16</f>
        <v>Famille à coller.N.Nom de votre recette.Recette mère ►.S.Saisissez le nom de la recette mère</v>
      </c>
      <c r="G26" s="40">
        <f>G16</f>
        <v>6</v>
      </c>
      <c r="H26" s="40" t="str">
        <f>H16</f>
        <v>couverts</v>
      </c>
      <c r="I26" s="213"/>
      <c r="J26" s="212"/>
      <c r="K26" s="211" t="str">
        <f t="shared" si="9"/>
        <v/>
      </c>
      <c r="L26" s="210"/>
      <c r="M26" s="209"/>
      <c r="N26" s="5448">
        <v>1</v>
      </c>
      <c r="O26" s="33"/>
      <c r="Q26" s="5155"/>
      <c r="T26" s="42" t="str">
        <f t="shared" si="14"/>
        <v>►</v>
      </c>
      <c r="U26" s="41" t="str">
        <f>U16</f>
        <v>Famille à coller.N.Nom de votre recette.Recette mère ►.S.Saisissez le nom de la recette mère</v>
      </c>
      <c r="V26" s="40">
        <f>V16</f>
        <v>6</v>
      </c>
      <c r="W26" s="40" t="str">
        <f>W16</f>
        <v>couverts</v>
      </c>
      <c r="X26" s="213"/>
      <c r="Y26" s="212"/>
      <c r="Z26" s="211" t="str">
        <f t="shared" si="10"/>
        <v/>
      </c>
      <c r="AA26" s="210"/>
      <c r="AB26" s="209"/>
      <c r="AC26" s="5448">
        <v>1</v>
      </c>
      <c r="AD26" s="33"/>
      <c r="AF26" s="5155"/>
      <c r="AI26" s="42" t="str">
        <f t="shared" si="15"/>
        <v>►</v>
      </c>
      <c r="AJ26" s="41" t="str">
        <f>AJ16</f>
        <v>Famille à coller.N.Nom de votre recette.Recette mère ►.S.Saisissez le nom de la recette mère</v>
      </c>
      <c r="AK26" s="40">
        <f>AK16</f>
        <v>6</v>
      </c>
      <c r="AL26" s="39" t="str">
        <f>AL16</f>
        <v>couverts</v>
      </c>
      <c r="AM26" s="213"/>
      <c r="AN26" s="256"/>
      <c r="AO26" s="211" t="str">
        <f t="shared" si="11"/>
        <v/>
      </c>
      <c r="AP26" s="210">
        <v>200</v>
      </c>
      <c r="AQ26" s="251" t="s">
        <v>130</v>
      </c>
      <c r="AR26" s="5448">
        <v>1</v>
      </c>
      <c r="AS26" s="33"/>
      <c r="AU26" s="5155"/>
      <c r="AX26" s="42" t="str">
        <f t="shared" si="16"/>
        <v>A</v>
      </c>
      <c r="AY26" s="41" t="str">
        <f>AY16</f>
        <v>Famille à coller.N.Nom de votre recette.Recette mère ►.S.Saisissez le nom de la recette mère</v>
      </c>
      <c r="AZ26" s="40">
        <f>AZ16</f>
        <v>6</v>
      </c>
      <c r="BA26" s="39" t="str">
        <f>BA16</f>
        <v>couverts</v>
      </c>
      <c r="BB26" s="213"/>
      <c r="BC26" s="212"/>
      <c r="BD26" s="211" t="str">
        <f t="shared" si="12"/>
        <v/>
      </c>
      <c r="BE26" s="210">
        <v>100</v>
      </c>
      <c r="BF26" s="251" t="s">
        <v>130</v>
      </c>
      <c r="BG26" s="5448">
        <v>1</v>
      </c>
      <c r="BH26" s="33" t="s">
        <v>160</v>
      </c>
      <c r="BJ26" s="98"/>
      <c r="BK26" s="97"/>
      <c r="BL26" s="97"/>
      <c r="BM26" s="96"/>
      <c r="BN26" s="62"/>
      <c r="BO26" s="969"/>
      <c r="BP26" s="256"/>
      <c r="BQ26" s="274" t="str">
        <f>IF(AND(BO26&gt;0,BR26&gt;0),"de","")</f>
        <v/>
      </c>
      <c r="BR26" s="210">
        <v>150</v>
      </c>
      <c r="BS26" s="251" t="s">
        <v>130</v>
      </c>
      <c r="BT26" s="5448">
        <v>1</v>
      </c>
      <c r="BU26" s="970" t="s">
        <v>855</v>
      </c>
      <c r="BW26" s="5">
        <v>1</v>
      </c>
    </row>
    <row r="27" spans="2:75" ht="21">
      <c r="B27" s="5155"/>
      <c r="D27" s="5149">
        <f>ROW()</f>
        <v>27</v>
      </c>
      <c r="E27" s="5477" t="s">
        <v>21</v>
      </c>
      <c r="F27" s="1313" t="str">
        <f>F16</f>
        <v>Famille à coller.N.Nom de votre recette.Recette mère ►.S.Saisissez le nom de la recette mère</v>
      </c>
      <c r="G27" s="1313">
        <f>G16</f>
        <v>6</v>
      </c>
      <c r="H27" s="1313" t="str">
        <f>H16</f>
        <v>couverts</v>
      </c>
      <c r="I27" s="5150" t="s">
        <v>218</v>
      </c>
      <c r="J27" s="1314" cm="1">
        <f t="array" ref="J27">IFERROR(ROW(I36)-(ROW(I28)+MATCH(TRUE,INDEX(ISNUMBER(FIND(N27,TRIM(SUBSTITUTE(SUBSTITUTE(SUBSTITUTE(SUBSTITUTE(SUBSTITUTE(SUBSTITUTE(SUBSTITUTE(LOWER(I28:I36),"é","e"),"è","e"),"ê","e"),"ë","e"),"à","a"),"ù","u"),"î","i")))),0),0)-1),1)</f>
        <v>8</v>
      </c>
      <c r="K27" s="1315" t="s">
        <v>1108</v>
      </c>
      <c r="L27" s="1316"/>
      <c r="M27" s="1316"/>
      <c r="N27" s="1317" t="str">
        <f>TRIM(SUBSTITUTE(SUBSTITUTE(SUBSTITUTE(SUBSTITUTE(SUBSTITUTE(SUBSTITUTE(SUBSTITUTE(LOWER(O27),"é","e"),"è","e"),"ê","e"),"ë","e"),"à","a"),"ù","u"),"î","i"))</f>
        <v>⓬ ▼ phases de progression</v>
      </c>
      <c r="O27" s="1318" t="s">
        <v>864</v>
      </c>
      <c r="Q27" s="5155"/>
      <c r="T27" s="42" t="str">
        <f t="shared" si="14"/>
        <v>►</v>
      </c>
      <c r="U27" s="41" t="str">
        <f>U16</f>
        <v>Famille à coller.N.Nom de votre recette.Recette mère ►.S.Saisissez le nom de la recette mère</v>
      </c>
      <c r="V27" s="40">
        <f>V16</f>
        <v>6</v>
      </c>
      <c r="W27" s="40" t="str">
        <f>W16</f>
        <v>couverts</v>
      </c>
      <c r="X27" s="213"/>
      <c r="Y27" s="212"/>
      <c r="Z27" s="211" t="str">
        <f t="shared" si="10"/>
        <v/>
      </c>
      <c r="AA27" s="210"/>
      <c r="AB27" s="209"/>
      <c r="AC27" s="5448">
        <v>1</v>
      </c>
      <c r="AD27" s="33"/>
      <c r="AF27" s="5155"/>
      <c r="AI27" s="42" t="str">
        <f t="shared" si="15"/>
        <v>►</v>
      </c>
      <c r="AJ27" s="41" t="str">
        <f>AJ16</f>
        <v>Famille à coller.N.Nom de votre recette.Recette mère ►.S.Saisissez le nom de la recette mère</v>
      </c>
      <c r="AK27" s="40">
        <f>AK16</f>
        <v>6</v>
      </c>
      <c r="AL27" s="39" t="str">
        <f>AL16</f>
        <v>couverts</v>
      </c>
      <c r="AM27" s="213"/>
      <c r="AN27" s="256"/>
      <c r="AO27" s="211" t="str">
        <f t="shared" si="11"/>
        <v/>
      </c>
      <c r="AP27" s="210">
        <v>70</v>
      </c>
      <c r="AQ27" s="251" t="s">
        <v>130</v>
      </c>
      <c r="AR27" s="5448">
        <v>1</v>
      </c>
      <c r="AS27" s="33"/>
      <c r="AU27" s="5155"/>
      <c r="AX27" s="42" t="str">
        <f t="shared" si="16"/>
        <v>A</v>
      </c>
      <c r="AY27" s="41" t="str">
        <f>AY16</f>
        <v>Famille à coller.N.Nom de votre recette.Recette mère ►.S.Saisissez le nom de la recette mère</v>
      </c>
      <c r="AZ27" s="40">
        <f>AZ16</f>
        <v>6</v>
      </c>
      <c r="BA27" s="39" t="str">
        <f>BA16</f>
        <v>couverts</v>
      </c>
      <c r="BB27" s="213"/>
      <c r="BC27" s="212"/>
      <c r="BD27" s="211" t="str">
        <f t="shared" si="12"/>
        <v/>
      </c>
      <c r="BE27" s="210">
        <v>100</v>
      </c>
      <c r="BF27" s="251" t="s">
        <v>130</v>
      </c>
      <c r="BG27" s="5448">
        <v>1</v>
      </c>
      <c r="BH27" s="33" t="s">
        <v>156</v>
      </c>
      <c r="BJ27" s="966" t="s">
        <v>195</v>
      </c>
      <c r="BK27" s="107"/>
      <c r="BL27" s="106"/>
      <c r="BM27" s="105"/>
      <c r="BN27" s="62"/>
      <c r="BO27" s="969"/>
      <c r="BP27" s="256"/>
      <c r="BQ27" s="274" t="s">
        <v>856</v>
      </c>
      <c r="BR27" s="210">
        <v>8</v>
      </c>
      <c r="BS27" s="251" t="s">
        <v>130</v>
      </c>
      <c r="BT27" s="5448">
        <v>1</v>
      </c>
      <c r="BU27" s="970" t="s">
        <v>858</v>
      </c>
      <c r="BW27" s="5">
        <v>1</v>
      </c>
    </row>
    <row r="28" spans="2:75" ht="17.25">
      <c r="B28" s="5155"/>
      <c r="E28" s="1023" t="s">
        <v>21</v>
      </c>
      <c r="F28" s="196" t="str">
        <f>F16</f>
        <v>Famille à coller.N.Nom de votre recette.Recette mère ►.S.Saisissez le nom de la recette mère</v>
      </c>
      <c r="G28" s="196">
        <f>G16</f>
        <v>6</v>
      </c>
      <c r="H28" s="196" t="str">
        <f>H16</f>
        <v>couverts</v>
      </c>
      <c r="I28" s="1319" t="s">
        <v>864</v>
      </c>
      <c r="J28" s="1320"/>
      <c r="K28" s="1320"/>
      <c r="L28" s="1320"/>
      <c r="M28" s="1321"/>
      <c r="N28" s="1321"/>
      <c r="O28" s="1322"/>
      <c r="Q28" s="5155"/>
      <c r="T28" s="42" t="str">
        <f t="shared" si="14"/>
        <v>A</v>
      </c>
      <c r="U28" s="41" t="str">
        <f>U16</f>
        <v>Famille à coller.N.Nom de votre recette.Recette mère ►.S.Saisissez le nom de la recette mère</v>
      </c>
      <c r="V28" s="40">
        <f>V16</f>
        <v>6</v>
      </c>
      <c r="W28" s="40" t="str">
        <f>W16</f>
        <v>couverts</v>
      </c>
      <c r="X28" s="213"/>
      <c r="Y28" s="212"/>
      <c r="Z28" s="211" t="str">
        <f t="shared" si="10"/>
        <v/>
      </c>
      <c r="AA28" s="210"/>
      <c r="AB28" s="209"/>
      <c r="AC28" s="5448">
        <v>1</v>
      </c>
      <c r="AD28" s="5479" t="s">
        <v>1094</v>
      </c>
      <c r="AF28" s="5155"/>
      <c r="AI28" s="42" t="str">
        <f t="shared" si="15"/>
        <v>►</v>
      </c>
      <c r="AJ28" s="41" t="str">
        <f>AJ16</f>
        <v>Famille à coller.N.Nom de votre recette.Recette mère ►.S.Saisissez le nom de la recette mère</v>
      </c>
      <c r="AK28" s="40">
        <f>AK16</f>
        <v>6</v>
      </c>
      <c r="AL28" s="39" t="str">
        <f>AL16</f>
        <v>couverts</v>
      </c>
      <c r="AM28" s="213"/>
      <c r="AN28" s="256"/>
      <c r="AO28" s="211" t="str">
        <f t="shared" si="11"/>
        <v/>
      </c>
      <c r="AP28" s="210"/>
      <c r="AQ28" s="209"/>
      <c r="AR28" s="5448">
        <v>1</v>
      </c>
      <c r="AS28" s="33"/>
      <c r="AU28" s="5155"/>
      <c r="AX28" s="42" t="str">
        <f t="shared" si="16"/>
        <v>►</v>
      </c>
      <c r="AY28" s="41" t="str">
        <f>AY16</f>
        <v>Famille à coller.N.Nom de votre recette.Recette mère ►.S.Saisissez le nom de la recette mère</v>
      </c>
      <c r="AZ28" s="40">
        <f>AZ16</f>
        <v>6</v>
      </c>
      <c r="BA28" s="39" t="str">
        <f>BA16</f>
        <v>couverts</v>
      </c>
      <c r="BB28" s="213"/>
      <c r="BC28" s="212"/>
      <c r="BD28" s="211" t="str">
        <f t="shared" si="12"/>
        <v/>
      </c>
      <c r="BE28" s="210"/>
      <c r="BF28" s="209"/>
      <c r="BG28" s="5448">
        <v>1</v>
      </c>
      <c r="BH28" s="33"/>
      <c r="BJ28" s="98"/>
      <c r="BK28" s="97"/>
      <c r="BL28" s="97"/>
      <c r="BM28" s="96"/>
      <c r="BN28" s="62"/>
      <c r="BO28" s="969"/>
      <c r="BP28" s="256"/>
      <c r="BQ28" s="211" t="s">
        <v>856</v>
      </c>
      <c r="BR28" s="210">
        <v>105</v>
      </c>
      <c r="BS28" s="251" t="s">
        <v>130</v>
      </c>
      <c r="BT28" s="5448">
        <v>1</v>
      </c>
      <c r="BU28" s="970" t="s">
        <v>859</v>
      </c>
      <c r="BW28" s="5">
        <v>1</v>
      </c>
    </row>
    <row r="29" spans="2:75" ht="21" customHeight="1">
      <c r="B29" s="5155"/>
      <c r="E29" s="42" t="str">
        <f t="shared" ref="E29:E36" si="17">IF(OR(I29&lt;&gt;"",J29&lt;&gt; "",K29&lt;&gt;"",L29&lt;&gt;""),"A", "►")</f>
        <v>►</v>
      </c>
      <c r="F29" s="196" t="str">
        <f>F16</f>
        <v>Famille à coller.N.Nom de votre recette.Recette mère ►.S.Saisissez le nom de la recette mère</v>
      </c>
      <c r="G29" s="196">
        <f>G16</f>
        <v>6</v>
      </c>
      <c r="H29" s="196" t="str">
        <f>H16</f>
        <v>couverts</v>
      </c>
      <c r="I29" s="1323"/>
      <c r="J29" s="988"/>
      <c r="K29" s="988"/>
      <c r="L29" s="988"/>
      <c r="M29" s="1320"/>
      <c r="N29" s="1320"/>
      <c r="O29" s="1324"/>
      <c r="Q29" s="5155"/>
      <c r="T29" s="42" t="str">
        <f t="shared" si="14"/>
        <v>A</v>
      </c>
      <c r="U29" s="41" t="str">
        <f>U16</f>
        <v>Famille à coller.N.Nom de votre recette.Recette mère ►.S.Saisissez le nom de la recette mère</v>
      </c>
      <c r="V29" s="40">
        <f>V16</f>
        <v>6</v>
      </c>
      <c r="W29" s="40" t="str">
        <f>W16</f>
        <v>couverts</v>
      </c>
      <c r="X29" s="213"/>
      <c r="Y29" s="212"/>
      <c r="Z29" s="211" t="str">
        <f t="shared" si="10"/>
        <v/>
      </c>
      <c r="AA29" s="210"/>
      <c r="AB29" s="209"/>
      <c r="AC29" s="5448">
        <v>1</v>
      </c>
      <c r="AD29" s="33" t="s">
        <v>1095</v>
      </c>
      <c r="AF29" s="5155"/>
      <c r="AI29" s="42" t="str">
        <f t="shared" si="15"/>
        <v>A</v>
      </c>
      <c r="AJ29" s="41" t="str">
        <f>AJ16</f>
        <v>Famille à coller.N.Nom de votre recette.Recette mère ►.S.Saisissez le nom de la recette mère</v>
      </c>
      <c r="AK29" s="40">
        <f>AK16</f>
        <v>6</v>
      </c>
      <c r="AL29" s="39" t="str">
        <f>AL16</f>
        <v>couverts</v>
      </c>
      <c r="AM29" s="213" t="s">
        <v>26</v>
      </c>
      <c r="AN29" s="256"/>
      <c r="AO29" s="211" t="str">
        <f t="shared" si="11"/>
        <v/>
      </c>
      <c r="AP29" s="210"/>
      <c r="AQ29" s="209"/>
      <c r="AR29" s="5448">
        <v>1</v>
      </c>
      <c r="AS29" s="33" t="s">
        <v>1105</v>
      </c>
      <c r="AU29" s="5155"/>
      <c r="AX29" s="42" t="str">
        <f t="shared" si="16"/>
        <v>A</v>
      </c>
      <c r="AY29" s="41" t="str">
        <f>AY16</f>
        <v>Famille à coller.N.Nom de votre recette.Recette mère ►.S.Saisissez le nom de la recette mère</v>
      </c>
      <c r="AZ29" s="40">
        <f>AZ16</f>
        <v>6</v>
      </c>
      <c r="BA29" s="39" t="str">
        <f>BA16</f>
        <v>couverts</v>
      </c>
      <c r="BB29" s="213"/>
      <c r="BC29" s="212"/>
      <c r="BD29" s="211" t="str">
        <f t="shared" si="12"/>
        <v/>
      </c>
      <c r="BE29" s="210"/>
      <c r="BF29" s="209"/>
      <c r="BG29" s="5448">
        <v>1</v>
      </c>
      <c r="BH29" s="33" t="s">
        <v>1107</v>
      </c>
      <c r="BJ29" s="971" t="s">
        <v>860</v>
      </c>
      <c r="BK29" s="972"/>
      <c r="BL29" s="106"/>
      <c r="BM29" s="105"/>
      <c r="BN29" s="62"/>
      <c r="BO29" s="954"/>
      <c r="BP29" s="955"/>
      <c r="BQ29" s="955"/>
      <c r="BR29" s="955"/>
      <c r="BS29" s="955"/>
      <c r="BT29" s="955"/>
      <c r="BU29" s="956"/>
      <c r="BW29" s="5">
        <v>1</v>
      </c>
    </row>
    <row r="30" spans="2:75" ht="21.75" thickBot="1">
      <c r="B30" s="5155"/>
      <c r="E30" s="42" t="str">
        <f t="shared" si="17"/>
        <v>►</v>
      </c>
      <c r="F30" s="196" t="str">
        <f>F16</f>
        <v>Famille à coller.N.Nom de votre recette.Recette mère ►.S.Saisissez le nom de la recette mère</v>
      </c>
      <c r="G30" s="196">
        <f>G16</f>
        <v>6</v>
      </c>
      <c r="H30" s="196" t="str">
        <f>H16</f>
        <v>couverts</v>
      </c>
      <c r="I30" s="1323"/>
      <c r="J30" s="988"/>
      <c r="K30" s="988"/>
      <c r="L30" s="988"/>
      <c r="M30" s="988"/>
      <c r="N30" s="988"/>
      <c r="O30" s="1325"/>
      <c r="Q30" s="5155"/>
      <c r="T30" s="42" t="str">
        <f t="shared" si="14"/>
        <v>A</v>
      </c>
      <c r="U30" s="41" t="str">
        <f>U16</f>
        <v>Famille à coller.N.Nom de votre recette.Recette mère ►.S.Saisissez le nom de la recette mère</v>
      </c>
      <c r="V30" s="40">
        <f>V16</f>
        <v>6</v>
      </c>
      <c r="W30" s="40" t="str">
        <f>W16</f>
        <v>couverts</v>
      </c>
      <c r="X30" s="213"/>
      <c r="Y30" s="212"/>
      <c r="Z30" s="211" t="str">
        <f t="shared" si="10"/>
        <v/>
      </c>
      <c r="AA30" s="210"/>
      <c r="AB30" s="209"/>
      <c r="AC30" s="5448">
        <v>1</v>
      </c>
      <c r="AD30" s="33" t="s">
        <v>1097</v>
      </c>
      <c r="AF30" s="5155"/>
      <c r="AI30" s="42" t="str">
        <f t="shared" si="15"/>
        <v>►</v>
      </c>
      <c r="AJ30" s="41" t="str">
        <f>AJ16</f>
        <v>Famille à coller.N.Nom de votre recette.Recette mère ►.S.Saisissez le nom de la recette mère</v>
      </c>
      <c r="AK30" s="40">
        <f>AK16</f>
        <v>6</v>
      </c>
      <c r="AL30" s="39" t="str">
        <f>AL16</f>
        <v>couverts</v>
      </c>
      <c r="AM30" s="213"/>
      <c r="AN30" s="256"/>
      <c r="AO30" s="211" t="str">
        <f t="shared" si="11"/>
        <v/>
      </c>
      <c r="AP30" s="210"/>
      <c r="AQ30" s="209"/>
      <c r="AR30" s="5448">
        <v>1</v>
      </c>
      <c r="AS30" s="33"/>
      <c r="AU30" s="5155"/>
      <c r="AX30" s="42" t="str">
        <f t="shared" si="16"/>
        <v>A</v>
      </c>
      <c r="AY30" s="41" t="str">
        <f>AY16</f>
        <v>Famille à coller.N.Nom de votre recette.Recette mère ►.S.Saisissez le nom de la recette mère</v>
      </c>
      <c r="AZ30" s="40">
        <f>AZ16</f>
        <v>6</v>
      </c>
      <c r="BA30" s="39" t="str">
        <f>BA16</f>
        <v>couverts</v>
      </c>
      <c r="BB30" s="213" t="s">
        <v>26</v>
      </c>
      <c r="BC30" s="212"/>
      <c r="BD30" s="211" t="str">
        <f>IF(OR(ISTEXT(BB30), BB30&lt;=0, BE30&lt;=0), "", "de")</f>
        <v/>
      </c>
      <c r="BE30" s="210">
        <v>70</v>
      </c>
      <c r="BF30" s="251" t="s">
        <v>130</v>
      </c>
      <c r="BG30" s="5448">
        <v>1</v>
      </c>
      <c r="BH30" s="33" t="s">
        <v>165</v>
      </c>
      <c r="BJ30" s="98"/>
      <c r="BK30" s="97"/>
      <c r="BL30" s="97"/>
      <c r="BM30" s="96"/>
      <c r="BN30" s="62"/>
      <c r="BO30" s="954"/>
      <c r="BP30" s="961" t="s">
        <v>861</v>
      </c>
      <c r="BQ30" s="955"/>
      <c r="BR30" s="955"/>
      <c r="BS30" s="955"/>
      <c r="BT30" s="955"/>
      <c r="BU30" s="956"/>
      <c r="BW30" s="5">
        <v>1</v>
      </c>
    </row>
    <row r="31" spans="2:75" ht="19.5" thickBot="1">
      <c r="B31" s="5155"/>
      <c r="E31" s="42" t="str">
        <f t="shared" si="17"/>
        <v>►</v>
      </c>
      <c r="F31" s="196" t="str">
        <f>F16</f>
        <v>Famille à coller.N.Nom de votre recette.Recette mère ►.S.Saisissez le nom de la recette mère</v>
      </c>
      <c r="G31" s="196">
        <f>G16</f>
        <v>6</v>
      </c>
      <c r="H31" s="196" t="str">
        <f>H16</f>
        <v>couverts</v>
      </c>
      <c r="I31" s="1323"/>
      <c r="J31" s="988"/>
      <c r="K31" s="988"/>
      <c r="L31" s="988"/>
      <c r="M31" s="988" t="s">
        <v>1109</v>
      </c>
      <c r="N31" s="988"/>
      <c r="O31" s="1325"/>
      <c r="Q31" s="5155"/>
      <c r="T31" s="42" t="str">
        <f t="shared" si="14"/>
        <v>A</v>
      </c>
      <c r="U31" s="41" t="str">
        <f>U16</f>
        <v>Famille à coller.N.Nom de votre recette.Recette mère ►.S.Saisissez le nom de la recette mère</v>
      </c>
      <c r="V31" s="40">
        <f>V16</f>
        <v>6</v>
      </c>
      <c r="W31" s="40" t="str">
        <f>W16</f>
        <v>couverts</v>
      </c>
      <c r="X31" s="213"/>
      <c r="Y31" s="212"/>
      <c r="Z31" s="211" t="str">
        <f t="shared" si="10"/>
        <v/>
      </c>
      <c r="AA31" s="210"/>
      <c r="AB31" s="209"/>
      <c r="AC31" s="5448">
        <v>1</v>
      </c>
      <c r="AD31" s="33" t="s">
        <v>1099</v>
      </c>
      <c r="AF31" s="5155"/>
      <c r="AI31" s="42" t="str">
        <f t="shared" si="15"/>
        <v>►</v>
      </c>
      <c r="AJ31" s="41" t="str">
        <f>AJ16</f>
        <v>Famille à coller.N.Nom de votre recette.Recette mère ►.S.Saisissez le nom de la recette mère</v>
      </c>
      <c r="AK31" s="40">
        <f>AK16</f>
        <v>6</v>
      </c>
      <c r="AL31" s="39" t="str">
        <f>AL16</f>
        <v>couverts</v>
      </c>
      <c r="AM31" s="213"/>
      <c r="AN31" s="256"/>
      <c r="AO31" s="211" t="str">
        <f t="shared" si="11"/>
        <v/>
      </c>
      <c r="AP31" s="210"/>
      <c r="AQ31" s="209"/>
      <c r="AR31" s="5448">
        <v>1</v>
      </c>
      <c r="AS31" s="33"/>
      <c r="AU31" s="5155"/>
      <c r="AX31" s="42" t="str">
        <f t="shared" si="16"/>
        <v>►</v>
      </c>
      <c r="AY31" s="41" t="str">
        <f>AY16</f>
        <v>Famille à coller.N.Nom de votre recette.Recette mère ►.S.Saisissez le nom de la recette mère</v>
      </c>
      <c r="AZ31" s="40">
        <f>AZ16</f>
        <v>6</v>
      </c>
      <c r="BA31" s="39" t="str">
        <f>BA16</f>
        <v>couverts</v>
      </c>
      <c r="BB31" s="213"/>
      <c r="BC31" s="212"/>
      <c r="BD31" s="211" t="str">
        <f t="shared" ref="BD31:BD61" si="18">IF(OR(ISTEXT(BB31), BB31&lt;=0, BE31&lt;=0), "", "de")</f>
        <v/>
      </c>
      <c r="BE31" s="210"/>
      <c r="BF31" s="209"/>
      <c r="BG31" s="5448">
        <v>1</v>
      </c>
      <c r="BH31" s="33"/>
      <c r="BJ31" s="973" t="s">
        <v>247</v>
      </c>
      <c r="BK31" s="974"/>
      <c r="BL31" s="975"/>
      <c r="BM31" s="96"/>
      <c r="BN31" s="62"/>
      <c r="BO31" s="976" t="s">
        <v>218</v>
      </c>
      <c r="BP31" s="977">
        <v>9</v>
      </c>
      <c r="BQ31" s="978" t="s">
        <v>862</v>
      </c>
      <c r="BR31" s="979"/>
      <c r="BS31" s="979"/>
      <c r="BT31" s="979"/>
      <c r="BU31" s="980"/>
      <c r="BW31" s="5">
        <v>1</v>
      </c>
    </row>
    <row r="32" spans="2:75" ht="18" customHeight="1" thickBot="1">
      <c r="B32" s="5155"/>
      <c r="E32" s="42" t="str">
        <f t="shared" si="17"/>
        <v>►</v>
      </c>
      <c r="F32" s="196" t="str">
        <f>F16</f>
        <v>Famille à coller.N.Nom de votre recette.Recette mère ►.S.Saisissez le nom de la recette mère</v>
      </c>
      <c r="G32" s="196">
        <f>G16</f>
        <v>6</v>
      </c>
      <c r="H32" s="196" t="str">
        <f>H16</f>
        <v>couverts</v>
      </c>
      <c r="I32" s="1323"/>
      <c r="J32" s="988"/>
      <c r="K32" s="988"/>
      <c r="L32" s="988"/>
      <c r="M32" s="988"/>
      <c r="N32" s="988"/>
      <c r="O32" s="1325"/>
      <c r="Q32" s="5155"/>
      <c r="T32" s="42" t="str">
        <f t="shared" si="14"/>
        <v>►</v>
      </c>
      <c r="U32" s="41" t="str">
        <f>U17</f>
        <v>Famille à coller.N.Nom de votre recette.Recette mère ►.S.Saisissez le nom de la recette mère</v>
      </c>
      <c r="V32" s="40">
        <f>V16</f>
        <v>6</v>
      </c>
      <c r="W32" s="40" t="str">
        <f>W16</f>
        <v>couverts</v>
      </c>
      <c r="X32" s="213"/>
      <c r="Y32" s="212"/>
      <c r="Z32" s="211" t="str">
        <f t="shared" si="10"/>
        <v/>
      </c>
      <c r="AA32" s="210"/>
      <c r="AB32" s="209"/>
      <c r="AC32" s="5448">
        <v>1</v>
      </c>
      <c r="AD32" s="33"/>
      <c r="AF32" s="5155"/>
      <c r="AI32" s="42" t="str">
        <f t="shared" si="15"/>
        <v>►</v>
      </c>
      <c r="AJ32" s="41" t="str">
        <f>AJ16</f>
        <v>Famille à coller.N.Nom de votre recette.Recette mère ►.S.Saisissez le nom de la recette mère</v>
      </c>
      <c r="AK32" s="40">
        <f>AK16</f>
        <v>6</v>
      </c>
      <c r="AL32" s="39" t="str">
        <f>AL16</f>
        <v>couverts</v>
      </c>
      <c r="AM32" s="213"/>
      <c r="AN32" s="256"/>
      <c r="AO32" s="211" t="str">
        <f t="shared" si="11"/>
        <v/>
      </c>
      <c r="AP32" s="210"/>
      <c r="AQ32" s="209"/>
      <c r="AR32" s="5448">
        <v>1</v>
      </c>
      <c r="AS32" s="33"/>
      <c r="AU32" s="5155"/>
      <c r="AX32" s="42" t="str">
        <f t="shared" si="16"/>
        <v>►</v>
      </c>
      <c r="AY32" s="41" t="str">
        <f>AY16</f>
        <v>Famille à coller.N.Nom de votre recette.Recette mère ►.S.Saisissez le nom de la recette mère</v>
      </c>
      <c r="AZ32" s="40">
        <f>AZ16</f>
        <v>6</v>
      </c>
      <c r="BA32" s="39" t="str">
        <f>BA16</f>
        <v>couverts</v>
      </c>
      <c r="BB32" s="213"/>
      <c r="BC32" s="212"/>
      <c r="BD32" s="211" t="str">
        <f t="shared" si="18"/>
        <v/>
      </c>
      <c r="BE32" s="210"/>
      <c r="BF32" s="209"/>
      <c r="BG32" s="5448">
        <v>1</v>
      </c>
      <c r="BH32" s="33"/>
      <c r="BJ32" s="981" t="s">
        <v>863</v>
      </c>
      <c r="BK32" s="982"/>
      <c r="BL32" s="983"/>
      <c r="BM32" s="96"/>
      <c r="BN32" s="62"/>
      <c r="BO32" s="574" t="s">
        <v>864</v>
      </c>
      <c r="BP32" s="102"/>
      <c r="BQ32" s="102"/>
      <c r="BR32" s="102"/>
      <c r="BS32" s="102"/>
      <c r="BT32" s="102"/>
      <c r="BU32" s="609"/>
      <c r="BW32" s="5">
        <v>1</v>
      </c>
    </row>
    <row r="33" spans="2:75" ht="15.75" customHeight="1">
      <c r="B33" s="5155"/>
      <c r="E33" s="42" t="str">
        <f t="shared" si="17"/>
        <v>►</v>
      </c>
      <c r="F33" s="196" t="str">
        <f>F16</f>
        <v>Famille à coller.N.Nom de votre recette.Recette mère ►.S.Saisissez le nom de la recette mère</v>
      </c>
      <c r="G33" s="196">
        <f>G16</f>
        <v>6</v>
      </c>
      <c r="H33" s="196" t="str">
        <f>H16</f>
        <v>couverts</v>
      </c>
      <c r="I33" s="1323"/>
      <c r="J33" s="988"/>
      <c r="K33" s="988"/>
      <c r="L33" s="988"/>
      <c r="M33" s="988"/>
      <c r="N33" s="988"/>
      <c r="O33" s="1325"/>
      <c r="Q33" s="5155"/>
      <c r="T33" s="42" t="str">
        <f t="shared" si="14"/>
        <v>►</v>
      </c>
      <c r="U33" s="41" t="str">
        <f>$F$18</f>
        <v>Famille à coller.N.Nom de votre recette.Recette mère ►.S.Saisissez le nom de la recette mère</v>
      </c>
      <c r="V33" s="40">
        <f>$G$16</f>
        <v>6</v>
      </c>
      <c r="W33" s="40" t="str">
        <f>$H$16</f>
        <v>couverts</v>
      </c>
      <c r="X33" s="213"/>
      <c r="Y33" s="212"/>
      <c r="Z33" s="211" t="str">
        <f t="shared" si="10"/>
        <v/>
      </c>
      <c r="AA33" s="210"/>
      <c r="AB33" s="209"/>
      <c r="AC33" s="5448">
        <v>1</v>
      </c>
      <c r="AD33" s="33"/>
      <c r="AF33" s="5155"/>
      <c r="AI33" s="42" t="str">
        <f t="shared" si="15"/>
        <v>►</v>
      </c>
      <c r="AJ33" s="41" t="str">
        <f>AJ16</f>
        <v>Famille à coller.N.Nom de votre recette.Recette mère ►.S.Saisissez le nom de la recette mère</v>
      </c>
      <c r="AK33" s="40">
        <f>AK16</f>
        <v>6</v>
      </c>
      <c r="AL33" s="39" t="str">
        <f>AL16</f>
        <v>couverts</v>
      </c>
      <c r="AM33" s="213"/>
      <c r="AN33" s="256"/>
      <c r="AO33" s="211" t="str">
        <f t="shared" si="11"/>
        <v/>
      </c>
      <c r="AP33" s="210"/>
      <c r="AQ33" s="209"/>
      <c r="AR33" s="5448">
        <v>1</v>
      </c>
      <c r="AS33" s="33"/>
      <c r="AU33" s="5155"/>
      <c r="AX33" s="42" t="str">
        <f t="shared" si="16"/>
        <v>►</v>
      </c>
      <c r="AY33" s="41" t="str">
        <f>AY16</f>
        <v>Famille à coller.N.Nom de votre recette.Recette mère ►.S.Saisissez le nom de la recette mère</v>
      </c>
      <c r="AZ33" s="40">
        <f>AZ16</f>
        <v>6</v>
      </c>
      <c r="BA33" s="39" t="str">
        <f>BA16</f>
        <v>couverts</v>
      </c>
      <c r="BB33" s="213"/>
      <c r="BC33" s="212"/>
      <c r="BD33" s="211" t="str">
        <f t="shared" si="18"/>
        <v/>
      </c>
      <c r="BE33" s="210"/>
      <c r="BF33" s="209"/>
      <c r="BG33" s="5448">
        <v>1</v>
      </c>
      <c r="BH33" s="33"/>
      <c r="BJ33" s="984" t="s">
        <v>226</v>
      </c>
      <c r="BK33" s="336">
        <v>0</v>
      </c>
      <c r="BL33" s="985" t="s">
        <v>865</v>
      </c>
      <c r="BM33" s="96"/>
      <c r="BN33" s="62"/>
      <c r="BO33" s="986" t="s">
        <v>866</v>
      </c>
      <c r="BP33" s="147"/>
      <c r="BQ33" s="147"/>
      <c r="BR33" s="147"/>
      <c r="BS33" s="147"/>
      <c r="BT33" s="147"/>
      <c r="BU33" s="609"/>
      <c r="BW33" s="5">
        <v>1</v>
      </c>
    </row>
    <row r="34" spans="2:75" ht="17.25">
      <c r="B34" s="5155"/>
      <c r="E34" s="42" t="str">
        <f t="shared" si="17"/>
        <v>►</v>
      </c>
      <c r="F34" s="196" t="str">
        <f>F16</f>
        <v>Famille à coller.N.Nom de votre recette.Recette mère ►.S.Saisissez le nom de la recette mère</v>
      </c>
      <c r="G34" s="196">
        <f>G16</f>
        <v>6</v>
      </c>
      <c r="H34" s="196" t="str">
        <f>H16</f>
        <v>couverts</v>
      </c>
      <c r="I34" s="1323"/>
      <c r="J34" s="988"/>
      <c r="K34" s="988"/>
      <c r="L34" s="988"/>
      <c r="M34" s="988"/>
      <c r="N34" s="988"/>
      <c r="O34" s="1326"/>
      <c r="Q34" s="5155"/>
      <c r="R34" s="1720" t="s">
        <v>7844</v>
      </c>
      <c r="S34" s="1720"/>
      <c r="T34" s="1327" t="s">
        <v>21</v>
      </c>
      <c r="U34" s="1313" t="str">
        <f>U18</f>
        <v>Famille à coller.N.Nom de votre recette.Recette mère ►.S.Saisissez le nom de la recette mère</v>
      </c>
      <c r="V34" s="1313">
        <f>V16</f>
        <v>6</v>
      </c>
      <c r="W34" s="1313" t="str">
        <f>W16</f>
        <v>couverts</v>
      </c>
      <c r="X34" s="1314" t="s">
        <v>218</v>
      </c>
      <c r="Y34" s="1314" cm="1">
        <f t="array" ref="Y34">IFERROR(ROW(X48)-(ROW(X35)+MATCH(TRUE,INDEX(ISNUMBER(FIND(AC34,TRIM(SUBSTITUTE(SUBSTITUTE(SUBSTITUTE(SUBSTITUTE(SUBSTITUTE(SUBSTITUTE(SUBSTITUTE(LOWER(X35:X48),"é","e"),"è","e"),"ê","e"),"ë","e"),"à","a"),"ù","u"),"î","i")))),0),0)-1),1)</f>
        <v>12</v>
      </c>
      <c r="Z34" s="1315" t="s">
        <v>1108</v>
      </c>
      <c r="AA34" s="1316"/>
      <c r="AB34" s="1316"/>
      <c r="AC34" s="1317" t="str">
        <f>TRIM(SUBSTITUTE(SUBSTITUTE(SUBSTITUTE(SUBSTITUTE(SUBSTITUTE(SUBSTITUTE(SUBSTITUTE(LOWER(AD34),"é","e"),"è","e"),"ê","e"),"ë","e"),"à","a"),"ù","u"),"î","i"))</f>
        <v>⓬ ▼ phases de progression</v>
      </c>
      <c r="AD34" s="1318" t="s">
        <v>864</v>
      </c>
      <c r="AF34" s="5155"/>
      <c r="AI34" s="42" t="str">
        <f t="shared" si="15"/>
        <v>►</v>
      </c>
      <c r="AJ34" s="41" t="str">
        <f>AJ16</f>
        <v>Famille à coller.N.Nom de votre recette.Recette mère ►.S.Saisissez le nom de la recette mère</v>
      </c>
      <c r="AK34" s="40">
        <f>AK16</f>
        <v>6</v>
      </c>
      <c r="AL34" s="39" t="str">
        <f>AL16</f>
        <v>couverts</v>
      </c>
      <c r="AM34" s="213"/>
      <c r="AN34" s="256"/>
      <c r="AO34" s="211" t="str">
        <f t="shared" si="11"/>
        <v/>
      </c>
      <c r="AP34" s="210"/>
      <c r="AQ34" s="209"/>
      <c r="AR34" s="5448">
        <v>1</v>
      </c>
      <c r="AS34" s="33"/>
      <c r="AU34" s="5155"/>
      <c r="AX34" s="42" t="str">
        <f t="shared" si="16"/>
        <v>►</v>
      </c>
      <c r="AY34" s="41" t="str">
        <f>AY16</f>
        <v>Famille à coller.N.Nom de votre recette.Recette mère ►.S.Saisissez le nom de la recette mère</v>
      </c>
      <c r="AZ34" s="40">
        <f>AZ16</f>
        <v>6</v>
      </c>
      <c r="BA34" s="39" t="str">
        <f>BA16</f>
        <v>couverts</v>
      </c>
      <c r="BB34" s="213"/>
      <c r="BC34" s="212"/>
      <c r="BD34" s="211" t="str">
        <f t="shared" si="18"/>
        <v/>
      </c>
      <c r="BE34" s="210"/>
      <c r="BF34" s="209"/>
      <c r="BG34" s="5448">
        <v>1</v>
      </c>
      <c r="BH34" s="33"/>
      <c r="BJ34" s="984" t="s">
        <v>225</v>
      </c>
      <c r="BK34" s="273">
        <v>0</v>
      </c>
      <c r="BL34" s="987" t="s">
        <v>867</v>
      </c>
      <c r="BM34" s="96"/>
      <c r="BN34" s="62"/>
      <c r="BO34" s="986"/>
      <c r="BP34" s="988"/>
      <c r="BQ34" s="988"/>
      <c r="BR34" s="988"/>
      <c r="BS34" s="988"/>
      <c r="BT34" s="988"/>
      <c r="BU34" s="989"/>
      <c r="BV34" s="1"/>
      <c r="BW34" s="5">
        <v>1</v>
      </c>
    </row>
    <row r="35" spans="2:75" ht="17.25">
      <c r="B35" s="5155"/>
      <c r="E35" s="42" t="str">
        <f t="shared" si="17"/>
        <v>►</v>
      </c>
      <c r="F35" s="196" t="str">
        <f>F16</f>
        <v>Famille à coller.N.Nom de votre recette.Recette mère ►.S.Saisissez le nom de la recette mère</v>
      </c>
      <c r="G35" s="196">
        <f>G16</f>
        <v>6</v>
      </c>
      <c r="H35" s="196" t="str">
        <f>H16</f>
        <v>couverts</v>
      </c>
      <c r="I35" s="1323"/>
      <c r="J35" s="988"/>
      <c r="K35" s="988"/>
      <c r="L35" s="988"/>
      <c r="M35" s="988"/>
      <c r="N35" s="988"/>
      <c r="O35" s="1326" t="s">
        <v>870</v>
      </c>
      <c r="Q35" s="5155"/>
      <c r="R35" s="5149">
        <f>ROW()</f>
        <v>35</v>
      </c>
      <c r="S35" s="5149"/>
      <c r="T35" s="1023" t="s">
        <v>21</v>
      </c>
      <c r="U35" s="196" t="str">
        <f>U18</f>
        <v>Famille à coller.N.Nom de votre recette.Recette mère ►.S.Saisissez le nom de la recette mère</v>
      </c>
      <c r="V35" s="196">
        <f>V16</f>
        <v>6</v>
      </c>
      <c r="W35" s="196" t="str">
        <f>W16</f>
        <v>couverts</v>
      </c>
      <c r="X35" s="369" t="s">
        <v>252</v>
      </c>
      <c r="Y35" s="1321"/>
      <c r="Z35" s="1321"/>
      <c r="AA35" s="1321"/>
      <c r="AB35" s="1321"/>
      <c r="AC35" s="1321"/>
      <c r="AD35" s="1322"/>
      <c r="AF35" s="5155"/>
      <c r="AI35" s="42" t="str">
        <f t="shared" si="15"/>
        <v>►</v>
      </c>
      <c r="AJ35" s="41" t="str">
        <f>AJ16</f>
        <v>Famille à coller.N.Nom de votre recette.Recette mère ►.S.Saisissez le nom de la recette mère</v>
      </c>
      <c r="AK35" s="40">
        <f>AK16</f>
        <v>6</v>
      </c>
      <c r="AL35" s="39" t="str">
        <f>AL16</f>
        <v>couverts</v>
      </c>
      <c r="AM35" s="213"/>
      <c r="AN35" s="256"/>
      <c r="AO35" s="211" t="str">
        <f t="shared" si="11"/>
        <v/>
      </c>
      <c r="AP35" s="210"/>
      <c r="AQ35" s="209"/>
      <c r="AR35" s="5448">
        <v>1</v>
      </c>
      <c r="AS35" s="33"/>
      <c r="AU35" s="5155"/>
      <c r="AX35" s="42" t="str">
        <f t="shared" si="16"/>
        <v>►</v>
      </c>
      <c r="AY35" s="41" t="str">
        <f>AY16</f>
        <v>Famille à coller.N.Nom de votre recette.Recette mère ►.S.Saisissez le nom de la recette mère</v>
      </c>
      <c r="AZ35" s="40">
        <f>AZ16</f>
        <v>6</v>
      </c>
      <c r="BA35" s="39" t="str">
        <f>BA16</f>
        <v>couverts</v>
      </c>
      <c r="BB35" s="213"/>
      <c r="BC35" s="212"/>
      <c r="BD35" s="211" t="str">
        <f t="shared" si="18"/>
        <v/>
      </c>
      <c r="BE35" s="210"/>
      <c r="BF35" s="209"/>
      <c r="BG35" s="5448">
        <v>1</v>
      </c>
      <c r="BH35" s="33"/>
      <c r="BJ35" s="984" t="s">
        <v>224</v>
      </c>
      <c r="BK35" s="273">
        <v>0</v>
      </c>
      <c r="BL35" s="987" t="s">
        <v>868</v>
      </c>
      <c r="BM35" s="96"/>
      <c r="BN35" s="62"/>
      <c r="BO35" s="986"/>
      <c r="BP35" s="988"/>
      <c r="BQ35" s="988"/>
      <c r="BR35" s="988"/>
      <c r="BS35" s="988"/>
      <c r="BT35" s="988"/>
      <c r="BU35" s="989"/>
      <c r="BV35" s="1"/>
      <c r="BW35" s="5">
        <v>1</v>
      </c>
    </row>
    <row r="36" spans="2:75" ht="15.75" customHeight="1">
      <c r="B36" s="5155"/>
      <c r="E36" s="42" t="str">
        <f t="shared" si="17"/>
        <v>►</v>
      </c>
      <c r="F36" s="196" t="str">
        <f>F16</f>
        <v>Famille à coller.N.Nom de votre recette.Recette mère ►.S.Saisissez le nom de la recette mère</v>
      </c>
      <c r="G36" s="196">
        <f>G16</f>
        <v>6</v>
      </c>
      <c r="H36" s="196" t="str">
        <f>H16</f>
        <v>couverts</v>
      </c>
      <c r="I36" s="1328"/>
      <c r="J36" s="988"/>
      <c r="K36" s="988"/>
      <c r="L36" s="988"/>
      <c r="M36" s="988"/>
      <c r="N36" s="988"/>
      <c r="O36" s="1326" t="s">
        <v>871</v>
      </c>
      <c r="Q36" s="5155"/>
      <c r="T36" s="42" t="str">
        <f t="shared" ref="T36:T46" si="19">IF(OR(X36&lt;&gt;"",Y36&lt;&gt; "",Z36&lt;&gt;"",AA36&lt;&gt;""),"A", "►")</f>
        <v>A</v>
      </c>
      <c r="U36" s="196" t="str">
        <f>U18</f>
        <v>Famille à coller.N.Nom de votre recette.Recette mère ►.S.Saisissez le nom de la recette mère</v>
      </c>
      <c r="V36" s="196">
        <f>V16</f>
        <v>6</v>
      </c>
      <c r="W36" s="196" t="str">
        <f>W16</f>
        <v>couverts</v>
      </c>
      <c r="X36" s="1319" t="s">
        <v>864</v>
      </c>
      <c r="Y36" s="1320"/>
      <c r="Z36" s="1320"/>
      <c r="AA36" s="1320"/>
      <c r="AB36" s="1320"/>
      <c r="AC36" s="1320"/>
      <c r="AD36" s="1324"/>
      <c r="AF36" s="5155"/>
      <c r="AI36" s="42" t="str">
        <f t="shared" si="15"/>
        <v>►</v>
      </c>
      <c r="AJ36" s="41" t="str">
        <f>AJ16</f>
        <v>Famille à coller.N.Nom de votre recette.Recette mère ►.S.Saisissez le nom de la recette mère</v>
      </c>
      <c r="AK36" s="40">
        <f>AK16</f>
        <v>6</v>
      </c>
      <c r="AL36" s="39" t="str">
        <f>AL16</f>
        <v>couverts</v>
      </c>
      <c r="AM36" s="213"/>
      <c r="AN36" s="256"/>
      <c r="AO36" s="211" t="str">
        <f t="shared" si="11"/>
        <v/>
      </c>
      <c r="AP36" s="210"/>
      <c r="AQ36" s="209"/>
      <c r="AR36" s="5448">
        <v>1</v>
      </c>
      <c r="AS36" s="33"/>
      <c r="AU36" s="5155"/>
      <c r="AX36" s="42" t="str">
        <f t="shared" si="16"/>
        <v>►</v>
      </c>
      <c r="AY36" s="41" t="str">
        <f>AY16</f>
        <v>Famille à coller.N.Nom de votre recette.Recette mère ►.S.Saisissez le nom de la recette mère</v>
      </c>
      <c r="AZ36" s="40">
        <f>AZ16</f>
        <v>6</v>
      </c>
      <c r="BA36" s="39" t="str">
        <f>BA16</f>
        <v>couverts</v>
      </c>
      <c r="BB36" s="213"/>
      <c r="BC36" s="212"/>
      <c r="BD36" s="211" t="str">
        <f t="shared" si="18"/>
        <v/>
      </c>
      <c r="BE36" s="210"/>
      <c r="BF36" s="209"/>
      <c r="BG36" s="5448">
        <v>1</v>
      </c>
      <c r="BH36" s="33"/>
      <c r="BJ36" s="990" t="s">
        <v>130</v>
      </c>
      <c r="BK36" s="240">
        <f t="shared" ref="BK36:BK47" si="20">BL36 / 1000</f>
        <v>1E-3</v>
      </c>
      <c r="BL36" s="991">
        <v>1</v>
      </c>
      <c r="BM36" s="96"/>
      <c r="BN36" s="62"/>
      <c r="BO36" s="992" t="s">
        <v>869</v>
      </c>
      <c r="BP36" s="993"/>
      <c r="BQ36" s="993"/>
      <c r="BR36" s="993"/>
      <c r="BS36" s="993"/>
      <c r="BT36" s="993"/>
      <c r="BU36" s="994" t="s">
        <v>870</v>
      </c>
      <c r="BV36" s="1"/>
      <c r="BW36" s="5">
        <v>1</v>
      </c>
    </row>
    <row r="37" spans="2:75" ht="17.25">
      <c r="B37" s="5155"/>
      <c r="E37" s="1037" t="s">
        <v>21</v>
      </c>
      <c r="F37" s="196" t="str">
        <f>F16</f>
        <v>Famille à coller.N.Nom de votre recette.Recette mère ►.S.Saisissez le nom de la recette mère</v>
      </c>
      <c r="G37" s="196">
        <f>G16</f>
        <v>6</v>
      </c>
      <c r="H37" s="196" t="str">
        <f>H16</f>
        <v>couverts</v>
      </c>
      <c r="I37" s="1002"/>
      <c r="J37" s="1002"/>
      <c r="K37" s="1002" t="s">
        <v>873</v>
      </c>
      <c r="L37" s="1003"/>
      <c r="M37" s="1329"/>
      <c r="N37" s="1329"/>
      <c r="O37" s="1330"/>
      <c r="Q37" s="5155"/>
      <c r="T37" s="42" t="str">
        <f t="shared" si="19"/>
        <v>►</v>
      </c>
      <c r="U37" s="196" t="str">
        <f>U18</f>
        <v>Famille à coller.N.Nom de votre recette.Recette mère ►.S.Saisissez le nom de la recette mère</v>
      </c>
      <c r="V37" s="196">
        <f>V16</f>
        <v>6</v>
      </c>
      <c r="W37" s="196" t="str">
        <f>W16</f>
        <v>couverts</v>
      </c>
      <c r="X37" s="1323"/>
      <c r="Y37" s="988"/>
      <c r="Z37" s="988"/>
      <c r="AA37" s="988"/>
      <c r="AB37" s="988"/>
      <c r="AC37" s="988"/>
      <c r="AD37" s="1325"/>
      <c r="AF37" s="5155"/>
      <c r="AI37" s="42" t="str">
        <f t="shared" si="15"/>
        <v>►</v>
      </c>
      <c r="AJ37" s="41" t="str">
        <f>AJ16</f>
        <v>Famille à coller.N.Nom de votre recette.Recette mère ►.S.Saisissez le nom de la recette mère</v>
      </c>
      <c r="AK37" s="40">
        <f>AK16</f>
        <v>6</v>
      </c>
      <c r="AL37" s="39" t="str">
        <f>AL16</f>
        <v>couverts</v>
      </c>
      <c r="AM37" s="213"/>
      <c r="AN37" s="256"/>
      <c r="AO37" s="211" t="str">
        <f t="shared" si="11"/>
        <v/>
      </c>
      <c r="AP37" s="210"/>
      <c r="AQ37" s="209"/>
      <c r="AR37" s="5448">
        <v>1</v>
      </c>
      <c r="AS37" s="33"/>
      <c r="AU37" s="5155"/>
      <c r="AX37" s="42" t="str">
        <f t="shared" si="16"/>
        <v>►</v>
      </c>
      <c r="AY37" s="41" t="str">
        <f>AY16</f>
        <v>Famille à coller.N.Nom de votre recette.Recette mère ►.S.Saisissez le nom de la recette mère</v>
      </c>
      <c r="AZ37" s="40">
        <f>AZ16</f>
        <v>6</v>
      </c>
      <c r="BA37" s="39" t="str">
        <f>BA16</f>
        <v>couverts</v>
      </c>
      <c r="BB37" s="213"/>
      <c r="BC37" s="212"/>
      <c r="BD37" s="211" t="str">
        <f t="shared" si="18"/>
        <v/>
      </c>
      <c r="BE37" s="210"/>
      <c r="BF37" s="209"/>
      <c r="BG37" s="5448">
        <v>1</v>
      </c>
      <c r="BH37" s="33"/>
      <c r="BJ37" s="995" t="s">
        <v>219</v>
      </c>
      <c r="BK37" s="240">
        <f t="shared" si="20"/>
        <v>1</v>
      </c>
      <c r="BL37" s="991">
        <v>1000</v>
      </c>
      <c r="BM37" s="96"/>
      <c r="BN37" s="62"/>
      <c r="BO37" s="996"/>
      <c r="BP37" s="997"/>
      <c r="BQ37" s="997"/>
      <c r="BR37" s="997"/>
      <c r="BS37" s="997"/>
      <c r="BT37" s="997"/>
      <c r="BU37" s="998" t="s">
        <v>871</v>
      </c>
      <c r="BV37" s="1"/>
      <c r="BW37" s="5">
        <v>1</v>
      </c>
    </row>
    <row r="38" spans="2:75" ht="18" thickBot="1">
      <c r="B38" s="5155"/>
      <c r="E38" s="1069" t="s">
        <v>21</v>
      </c>
      <c r="F38" s="1331" t="str">
        <f>F16</f>
        <v>Famille à coller.N.Nom de votre recette.Recette mère ►.S.Saisissez le nom de la recette mère</v>
      </c>
      <c r="G38" s="1331">
        <f>G16</f>
        <v>6</v>
      </c>
      <c r="H38" s="1331" t="str">
        <f>H16</f>
        <v>couverts</v>
      </c>
      <c r="I38" s="1332" t="s">
        <v>86</v>
      </c>
      <c r="J38" s="1006"/>
      <c r="K38" s="1007"/>
      <c r="L38" s="1008"/>
      <c r="M38" s="1007"/>
      <c r="N38" s="1007"/>
      <c r="O38" s="1333"/>
      <c r="Q38" s="5155"/>
      <c r="T38" s="42" t="str">
        <f t="shared" si="19"/>
        <v>►</v>
      </c>
      <c r="U38" s="196" t="str">
        <f>U18</f>
        <v>Famille à coller.N.Nom de votre recette.Recette mère ►.S.Saisissez le nom de la recette mère</v>
      </c>
      <c r="V38" s="196">
        <f>V16</f>
        <v>6</v>
      </c>
      <c r="W38" s="196" t="str">
        <f>W16</f>
        <v>couverts</v>
      </c>
      <c r="X38" s="1323"/>
      <c r="Y38" s="988"/>
      <c r="Z38" s="988"/>
      <c r="AA38" s="988"/>
      <c r="AB38" s="988"/>
      <c r="AC38" s="988"/>
      <c r="AD38" s="1325"/>
      <c r="AF38" s="5155"/>
      <c r="AI38" s="42" t="str">
        <f t="shared" si="15"/>
        <v>►</v>
      </c>
      <c r="AJ38" s="41" t="str">
        <f>AJ16</f>
        <v>Famille à coller.N.Nom de votre recette.Recette mère ►.S.Saisissez le nom de la recette mère</v>
      </c>
      <c r="AK38" s="40">
        <f>AK16</f>
        <v>6</v>
      </c>
      <c r="AL38" s="39" t="str">
        <f>AL16</f>
        <v>couverts</v>
      </c>
      <c r="AM38" s="213"/>
      <c r="AN38" s="256"/>
      <c r="AO38" s="211" t="str">
        <f t="shared" si="11"/>
        <v/>
      </c>
      <c r="AP38" s="210"/>
      <c r="AQ38" s="209"/>
      <c r="AR38" s="5448">
        <v>1</v>
      </c>
      <c r="AS38" s="33"/>
      <c r="AU38" s="5155"/>
      <c r="AX38" s="42" t="str">
        <f t="shared" si="16"/>
        <v>►</v>
      </c>
      <c r="AY38" s="41" t="str">
        <f>AY16</f>
        <v>Famille à coller.N.Nom de votre recette.Recette mère ►.S.Saisissez le nom de la recette mère</v>
      </c>
      <c r="AZ38" s="40">
        <f>AZ16</f>
        <v>6</v>
      </c>
      <c r="BA38" s="39" t="str">
        <f>BA16</f>
        <v>couverts</v>
      </c>
      <c r="BB38" s="213"/>
      <c r="BC38" s="212"/>
      <c r="BD38" s="211" t="str">
        <f t="shared" si="18"/>
        <v/>
      </c>
      <c r="BE38" s="210"/>
      <c r="BF38" s="209"/>
      <c r="BG38" s="5448">
        <v>1</v>
      </c>
      <c r="BH38" s="33"/>
      <c r="BJ38" s="999" t="s">
        <v>188</v>
      </c>
      <c r="BK38" s="240">
        <f t="shared" si="20"/>
        <v>0.25</v>
      </c>
      <c r="BL38" s="991">
        <v>250</v>
      </c>
      <c r="BM38" s="96"/>
      <c r="BN38" s="62"/>
      <c r="BO38" s="1000"/>
      <c r="BP38" s="997"/>
      <c r="BQ38" s="997"/>
      <c r="BR38" s="997"/>
      <c r="BS38" s="997"/>
      <c r="BT38" s="997"/>
      <c r="BU38" s="998" t="s">
        <v>872</v>
      </c>
      <c r="BV38" s="1"/>
      <c r="BW38" s="5">
        <v>1</v>
      </c>
    </row>
    <row r="39" spans="2:75" ht="17.25" customHeight="1">
      <c r="B39" s="5155"/>
      <c r="E39" s="141"/>
      <c r="F39" s="141"/>
      <c r="G39" s="141"/>
      <c r="H39" s="141"/>
      <c r="I39" s="141"/>
      <c r="J39" s="141"/>
      <c r="K39" s="141"/>
      <c r="L39" s="141"/>
      <c r="M39" s="141"/>
      <c r="N39" s="141"/>
      <c r="O39" s="141"/>
      <c r="Q39" s="5155"/>
      <c r="T39" s="42" t="str">
        <f t="shared" si="19"/>
        <v>►</v>
      </c>
      <c r="U39" s="196" t="str">
        <f>U18</f>
        <v>Famille à coller.N.Nom de votre recette.Recette mère ►.S.Saisissez le nom de la recette mère</v>
      </c>
      <c r="V39" s="196">
        <f>V16</f>
        <v>6</v>
      </c>
      <c r="W39" s="196" t="str">
        <f>W16</f>
        <v>couverts</v>
      </c>
      <c r="X39" s="1323"/>
      <c r="Y39" s="988"/>
      <c r="Z39" s="988"/>
      <c r="AA39" s="988"/>
      <c r="AB39" s="988"/>
      <c r="AC39" s="988"/>
      <c r="AD39" s="1325"/>
      <c r="AF39" s="5155"/>
      <c r="AI39" s="42" t="str">
        <f t="shared" si="15"/>
        <v>►</v>
      </c>
      <c r="AJ39" s="41" t="str">
        <f>AJ16</f>
        <v>Famille à coller.N.Nom de votre recette.Recette mère ►.S.Saisissez le nom de la recette mère</v>
      </c>
      <c r="AK39" s="40">
        <f>AK16</f>
        <v>6</v>
      </c>
      <c r="AL39" s="39" t="str">
        <f>AL16</f>
        <v>couverts</v>
      </c>
      <c r="AM39" s="213"/>
      <c r="AN39" s="256"/>
      <c r="AO39" s="211" t="str">
        <f t="shared" si="11"/>
        <v/>
      </c>
      <c r="AP39" s="210"/>
      <c r="AQ39" s="209"/>
      <c r="AR39" s="5448">
        <v>1</v>
      </c>
      <c r="AS39" s="33"/>
      <c r="AU39" s="5155"/>
      <c r="AX39" s="42" t="str">
        <f t="shared" si="16"/>
        <v>►</v>
      </c>
      <c r="AY39" s="41" t="str">
        <f>AY16</f>
        <v>Famille à coller.N.Nom de votre recette.Recette mère ►.S.Saisissez le nom de la recette mère</v>
      </c>
      <c r="AZ39" s="40">
        <f>AZ16</f>
        <v>6</v>
      </c>
      <c r="BA39" s="39" t="str">
        <f>BA16</f>
        <v>couverts</v>
      </c>
      <c r="BB39" s="213"/>
      <c r="BC39" s="212"/>
      <c r="BD39" s="211" t="str">
        <f t="shared" si="18"/>
        <v/>
      </c>
      <c r="BE39" s="210"/>
      <c r="BF39" s="209"/>
      <c r="BG39" s="5448">
        <v>1</v>
      </c>
      <c r="BH39" s="33"/>
      <c r="BJ39" s="999" t="s">
        <v>179</v>
      </c>
      <c r="BK39" s="240">
        <f t="shared" si="20"/>
        <v>0.5</v>
      </c>
      <c r="BL39" s="991">
        <v>500</v>
      </c>
      <c r="BM39" s="96"/>
      <c r="BN39" s="62"/>
      <c r="BO39" s="1001"/>
      <c r="BP39" s="1002"/>
      <c r="BQ39" s="1002" t="s">
        <v>873</v>
      </c>
      <c r="BR39" s="1003"/>
      <c r="BS39" s="1003"/>
      <c r="BT39" s="1003"/>
      <c r="BU39" s="1004"/>
      <c r="BV39" s="1"/>
      <c r="BW39" s="5">
        <v>1</v>
      </c>
    </row>
    <row r="40" spans="2:75" ht="17.25" customHeight="1" thickBot="1">
      <c r="B40" s="5155"/>
      <c r="C40" s="5153"/>
      <c r="D40" s="5154" t="s">
        <v>7845</v>
      </c>
      <c r="E40" s="141"/>
      <c r="F40" s="141"/>
      <c r="G40" s="141"/>
      <c r="H40" s="141"/>
      <c r="I40" s="5150" t="s">
        <v>218</v>
      </c>
      <c r="J40" s="1364" cm="1">
        <f t="array" ref="J40">IFERROR(ROW(I50)-(ROW(I41)+MATCH(TRUE,INDEX(ISNUMBER(FIND(N40,TRIM(SUBSTITUTE(SUBSTITUTE(SUBSTITUTE(SUBSTITUTE(SUBSTITUTE(SUBSTITUTE(SUBSTITUTE(LOWER(I41:I50),"é","e"),"è","e"),"ê","e"),"ë","e"),"à","a"),"ù","u"),"î","i")))),0),0)-1),1)</f>
        <v>1</v>
      </c>
      <c r="K40" s="1365" t="s">
        <v>1133</v>
      </c>
      <c r="L40" s="1366"/>
      <c r="M40" s="1366"/>
      <c r="N40" s="1367" t="str">
        <f>TRIM(SUBSTITUTE(SUBSTITUTE(SUBSTITUTE(SUBSTITUTE(SUBSTITUTE(SUBSTITUTE(SUBSTITUTE(LOWER(O40),"é","e"),"è","e"),"ê","e"),"ë","e"),"à","a"),"ù","u"),"î","i"))</f>
        <v>⓬ observations</v>
      </c>
      <c r="O40" s="1368" t="s">
        <v>1134</v>
      </c>
      <c r="Q40" s="5155"/>
      <c r="T40" s="42" t="str">
        <f t="shared" si="19"/>
        <v>►</v>
      </c>
      <c r="U40" s="196" t="str">
        <f>U18</f>
        <v>Famille à coller.N.Nom de votre recette.Recette mère ►.S.Saisissez le nom de la recette mère</v>
      </c>
      <c r="V40" s="196">
        <f>V16</f>
        <v>6</v>
      </c>
      <c r="W40" s="196" t="str">
        <f>W16</f>
        <v>couverts</v>
      </c>
      <c r="X40" s="1323"/>
      <c r="Y40" s="988"/>
      <c r="Z40" s="988"/>
      <c r="AA40" s="988"/>
      <c r="AB40" s="988"/>
      <c r="AC40" s="988"/>
      <c r="AD40" s="1325" t="s">
        <v>1111</v>
      </c>
      <c r="AF40" s="5155"/>
      <c r="AI40" s="42" t="str">
        <f t="shared" si="15"/>
        <v>►</v>
      </c>
      <c r="AJ40" s="41" t="str">
        <f>AJ18</f>
        <v>Famille à coller.N.Nom de votre recette.Recette mère ►.S.Saisissez le nom de la recette mère</v>
      </c>
      <c r="AK40" s="40">
        <f>AK16</f>
        <v>6</v>
      </c>
      <c r="AL40" s="39" t="str">
        <f>AL16</f>
        <v>couverts</v>
      </c>
      <c r="AM40" s="213"/>
      <c r="AN40" s="256"/>
      <c r="AO40" s="211" t="str">
        <f t="shared" si="11"/>
        <v/>
      </c>
      <c r="AP40" s="210"/>
      <c r="AQ40" s="209"/>
      <c r="AR40" s="5448">
        <v>1</v>
      </c>
      <c r="AS40" s="33"/>
      <c r="AU40" s="5155"/>
      <c r="AX40" s="42" t="str">
        <f t="shared" si="16"/>
        <v>►</v>
      </c>
      <c r="AY40" s="41" t="str">
        <f>AY16</f>
        <v>Famille à coller.N.Nom de votre recette.Recette mère ►.S.Saisissez le nom de la recette mère</v>
      </c>
      <c r="AZ40" s="40">
        <f>AZ16</f>
        <v>6</v>
      </c>
      <c r="BA40" s="39" t="str">
        <f>BA16</f>
        <v>couverts</v>
      </c>
      <c r="BB40" s="213"/>
      <c r="BC40" s="212"/>
      <c r="BD40" s="211" t="str">
        <f t="shared" si="18"/>
        <v/>
      </c>
      <c r="BE40" s="210"/>
      <c r="BF40" s="209"/>
      <c r="BG40" s="5448">
        <v>1</v>
      </c>
      <c r="BH40" s="33"/>
      <c r="BJ40" s="999" t="s">
        <v>176</v>
      </c>
      <c r="BK40" s="240">
        <f t="shared" si="20"/>
        <v>0.33332999999999996</v>
      </c>
      <c r="BL40" s="991">
        <v>333.33</v>
      </c>
      <c r="BM40" s="96"/>
      <c r="BN40" s="62"/>
      <c r="BO40" s="1005" t="s">
        <v>86</v>
      </c>
      <c r="BP40" s="1006"/>
      <c r="BQ40" s="1007"/>
      <c r="BR40" s="1008"/>
      <c r="BS40" s="1008"/>
      <c r="BT40" s="1008"/>
      <c r="BU40" s="1009"/>
      <c r="BV40" s="1"/>
      <c r="BW40" s="5">
        <v>1</v>
      </c>
    </row>
    <row r="41" spans="2:75" ht="17.25">
      <c r="B41" s="5155"/>
      <c r="D41" s="5152" t="s">
        <v>7842</v>
      </c>
      <c r="E41" s="141"/>
      <c r="F41" s="141"/>
      <c r="G41" s="141"/>
      <c r="H41" s="141"/>
      <c r="I41" s="1358" t="s">
        <v>1118</v>
      </c>
      <c r="J41" s="1363" t="s">
        <v>1128</v>
      </c>
      <c r="K41" s="147"/>
      <c r="L41" s="147"/>
      <c r="M41" s="147"/>
      <c r="N41" s="147"/>
      <c r="O41" s="1360"/>
      <c r="Q41" s="5155"/>
      <c r="T41" s="42" t="str">
        <f t="shared" si="19"/>
        <v>►</v>
      </c>
      <c r="U41" s="196" t="str">
        <f>U18</f>
        <v>Famille à coller.N.Nom de votre recette.Recette mère ►.S.Saisissez le nom de la recette mère</v>
      </c>
      <c r="V41" s="196">
        <f>V16</f>
        <v>6</v>
      </c>
      <c r="W41" s="196" t="str">
        <f>W16</f>
        <v>couverts</v>
      </c>
      <c r="X41" s="1323"/>
      <c r="Y41" s="988"/>
      <c r="Z41" s="988"/>
      <c r="AA41" s="988"/>
      <c r="AB41" s="988"/>
      <c r="AC41" s="988"/>
      <c r="AD41" s="1325"/>
      <c r="AF41" s="5155"/>
      <c r="AI41" s="214" t="s">
        <v>21</v>
      </c>
      <c r="AJ41" s="41" t="str">
        <f>AJ18</f>
        <v>Famille à coller.N.Nom de votre recette.Recette mère ►.S.Saisissez le nom de la recette mère</v>
      </c>
      <c r="AK41" s="40">
        <f>AK16</f>
        <v>6</v>
      </c>
      <c r="AL41" s="39" t="str">
        <f>AL16</f>
        <v>couverts</v>
      </c>
      <c r="AM41" s="213"/>
      <c r="AN41" s="256"/>
      <c r="AO41" s="211" t="str">
        <f t="shared" si="11"/>
        <v/>
      </c>
      <c r="AP41" s="210"/>
      <c r="AQ41" s="209"/>
      <c r="AR41" s="5448">
        <v>1</v>
      </c>
      <c r="AS41" s="33"/>
      <c r="AU41" s="5155"/>
      <c r="AX41" s="42" t="str">
        <f t="shared" si="16"/>
        <v>►</v>
      </c>
      <c r="AY41" s="41" t="str">
        <f>AY16</f>
        <v>Famille à coller.N.Nom de votre recette.Recette mère ►.S.Saisissez le nom de la recette mère</v>
      </c>
      <c r="AZ41" s="40">
        <f>AZ16</f>
        <v>6</v>
      </c>
      <c r="BA41" s="39" t="str">
        <f>BA16</f>
        <v>couverts</v>
      </c>
      <c r="BB41" s="213"/>
      <c r="BC41" s="212"/>
      <c r="BD41" s="211" t="str">
        <f t="shared" si="18"/>
        <v/>
      </c>
      <c r="BE41" s="210"/>
      <c r="BF41" s="209"/>
      <c r="BG41" s="5448">
        <v>1</v>
      </c>
      <c r="BH41" s="33"/>
      <c r="BJ41" s="1011" t="s">
        <v>166</v>
      </c>
      <c r="BK41" s="271">
        <f t="shared" si="20"/>
        <v>1E-3</v>
      </c>
      <c r="BL41" s="1012">
        <v>1</v>
      </c>
      <c r="BM41" s="96"/>
      <c r="BN41" s="62"/>
      <c r="BO41" s="574" t="s">
        <v>874</v>
      </c>
      <c r="BP41" s="1013"/>
      <c r="BQ41" s="1014"/>
      <c r="BR41" s="1015"/>
      <c r="BS41" s="1015"/>
      <c r="BT41" s="1015"/>
      <c r="BU41" s="1016"/>
      <c r="BV41" s="1"/>
      <c r="BW41" s="5">
        <v>1</v>
      </c>
    </row>
    <row r="42" spans="2:75" ht="18" thickBot="1">
      <c r="B42" s="5155"/>
      <c r="D42" s="1353"/>
      <c r="E42" s="141"/>
      <c r="F42" s="141"/>
      <c r="G42" s="141"/>
      <c r="H42" s="141"/>
      <c r="I42" s="1358" t="s">
        <v>1118</v>
      </c>
      <c r="J42" s="1363" t="s">
        <v>1129</v>
      </c>
      <c r="K42" s="1361"/>
      <c r="L42" s="1361"/>
      <c r="M42" s="1362"/>
      <c r="N42" s="988"/>
      <c r="O42" s="1325"/>
      <c r="Q42" s="5155"/>
      <c r="T42" s="42" t="str">
        <f t="shared" si="19"/>
        <v>►</v>
      </c>
      <c r="U42" s="196" t="str">
        <f>U18</f>
        <v>Famille à coller.N.Nom de votre recette.Recette mère ►.S.Saisissez le nom de la recette mère</v>
      </c>
      <c r="V42" s="196">
        <f>V16</f>
        <v>6</v>
      </c>
      <c r="W42" s="196" t="str">
        <f>W16</f>
        <v>couverts</v>
      </c>
      <c r="X42" s="1323"/>
      <c r="Y42" s="988"/>
      <c r="Z42" s="988"/>
      <c r="AA42" s="988"/>
      <c r="AB42" s="988"/>
      <c r="AC42" s="988"/>
      <c r="AD42" s="1325"/>
      <c r="AF42" s="5155"/>
      <c r="AI42" s="205" t="s">
        <v>21</v>
      </c>
      <c r="AJ42" s="204" t="str">
        <f>AJ18</f>
        <v>Famille à coller.N.Nom de votre recette.Recette mère ►.S.Saisissez le nom de la recette mère</v>
      </c>
      <c r="AK42" s="203">
        <f>AK16</f>
        <v>6</v>
      </c>
      <c r="AL42" s="202" t="str">
        <f>AL16</f>
        <v>couverts</v>
      </c>
      <c r="AM42" s="201" t="s">
        <v>86</v>
      </c>
      <c r="AN42" s="200"/>
      <c r="AO42" s="200"/>
      <c r="AP42" s="200"/>
      <c r="AQ42" s="200"/>
      <c r="AR42" s="200"/>
      <c r="AS42" s="199"/>
      <c r="AU42" s="5155"/>
      <c r="AX42" s="42" t="str">
        <f t="shared" si="16"/>
        <v>►</v>
      </c>
      <c r="AY42" s="41" t="str">
        <f>AY16</f>
        <v>Famille à coller.N.Nom de votre recette.Recette mère ►.S.Saisissez le nom de la recette mère</v>
      </c>
      <c r="AZ42" s="40">
        <f>AZ16</f>
        <v>6</v>
      </c>
      <c r="BA42" s="39" t="str">
        <f>BA16</f>
        <v>couverts</v>
      </c>
      <c r="BB42" s="213"/>
      <c r="BC42" s="212"/>
      <c r="BD42" s="211" t="str">
        <f t="shared" si="18"/>
        <v/>
      </c>
      <c r="BE42" s="210"/>
      <c r="BF42" s="209"/>
      <c r="BG42" s="5448">
        <v>1</v>
      </c>
      <c r="BH42" s="33"/>
      <c r="BJ42" s="1011" t="s">
        <v>170</v>
      </c>
      <c r="BK42" s="271">
        <f t="shared" si="20"/>
        <v>0.01</v>
      </c>
      <c r="BL42" s="1012">
        <v>10</v>
      </c>
      <c r="BM42" s="96"/>
      <c r="BN42" s="62"/>
      <c r="BO42" s="574" t="s">
        <v>875</v>
      </c>
      <c r="BP42" s="1013"/>
      <c r="BQ42" s="1014"/>
      <c r="BR42" s="1015"/>
      <c r="BS42" s="1015"/>
      <c r="BT42" s="1015"/>
      <c r="BU42" s="1016"/>
      <c r="BV42" s="1"/>
      <c r="BW42" s="5">
        <v>1</v>
      </c>
    </row>
    <row r="43" spans="2:75" ht="17.25" customHeight="1">
      <c r="B43" s="5155"/>
      <c r="D43" s="1"/>
      <c r="E43" s="141"/>
      <c r="F43" s="141"/>
      <c r="G43" s="141"/>
      <c r="H43" s="141"/>
      <c r="I43" s="1358" t="s">
        <v>1118</v>
      </c>
      <c r="J43" s="1363" t="s">
        <v>1130</v>
      </c>
      <c r="K43" s="147"/>
      <c r="L43" s="147"/>
      <c r="M43" s="988"/>
      <c r="N43" s="988"/>
      <c r="O43" s="1325"/>
      <c r="Q43" s="5155"/>
      <c r="T43" s="42" t="str">
        <f t="shared" si="19"/>
        <v>►</v>
      </c>
      <c r="U43" s="196" t="str">
        <f>U18</f>
        <v>Famille à coller.N.Nom de votre recette.Recette mère ►.S.Saisissez le nom de la recette mère</v>
      </c>
      <c r="V43" s="196">
        <f>V16</f>
        <v>6</v>
      </c>
      <c r="W43" s="196" t="str">
        <f>W16</f>
        <v>couverts</v>
      </c>
      <c r="X43" s="1323"/>
      <c r="Y43" s="988"/>
      <c r="Z43" s="988"/>
      <c r="AA43" s="988"/>
      <c r="AB43" s="988"/>
      <c r="AC43" s="988"/>
      <c r="AD43" s="1325"/>
      <c r="AF43" s="5155"/>
      <c r="AH43" s="1720" t="s">
        <v>7844</v>
      </c>
      <c r="AI43" s="1327" t="s">
        <v>21</v>
      </c>
      <c r="AJ43" s="1313" t="str">
        <f>AJ18</f>
        <v>Famille à coller.N.Nom de votre recette.Recette mère ►.S.Saisissez le nom de la recette mère</v>
      </c>
      <c r="AK43" s="1313">
        <f>AK16</f>
        <v>6</v>
      </c>
      <c r="AL43" s="1313" t="str">
        <f>AL16</f>
        <v>couverts</v>
      </c>
      <c r="AM43" s="1314" t="s">
        <v>218</v>
      </c>
      <c r="AN43" s="1314" cm="1">
        <f t="array" ref="AN43">IFERROR(ROW(AM63)-(ROW(AM44)+MATCH(TRUE,INDEX(ISNUMBER(FIND(AR43,TRIM(SUBSTITUTE(SUBSTITUTE(SUBSTITUTE(SUBSTITUTE(SUBSTITUTE(SUBSTITUTE(SUBSTITUTE(LOWER(AM44:AM63),"é","e"),"è","e"),"ê","e"),"ë","e"),"à","a"),"ù","u"),"î","i")))),0),0)-1),1)</f>
        <v>18</v>
      </c>
      <c r="AO43" s="1315" t="s">
        <v>1108</v>
      </c>
      <c r="AP43" s="1316"/>
      <c r="AQ43" s="1316"/>
      <c r="AR43" s="1317" t="str">
        <f>TRIM(SUBSTITUTE(SUBSTITUTE(SUBSTITUTE(SUBSTITUTE(SUBSTITUTE(SUBSTITUTE(SUBSTITUTE(LOWER(AS43),"é","e"),"è","e"),"ê","e"),"ë","e"),"à","a"),"ù","u"),"î","i"))</f>
        <v>⓬ ▼ phases de progression</v>
      </c>
      <c r="AS43" s="1318" t="s">
        <v>864</v>
      </c>
      <c r="AU43" s="5155"/>
      <c r="AX43" s="42" t="str">
        <f t="shared" si="16"/>
        <v>►</v>
      </c>
      <c r="AY43" s="41" t="str">
        <f>AY16</f>
        <v>Famille à coller.N.Nom de votre recette.Recette mère ►.S.Saisissez le nom de la recette mère</v>
      </c>
      <c r="AZ43" s="40">
        <f>AZ16</f>
        <v>6</v>
      </c>
      <c r="BA43" s="39" t="str">
        <f>BA16</f>
        <v>couverts</v>
      </c>
      <c r="BB43" s="213"/>
      <c r="BC43" s="212"/>
      <c r="BD43" s="211" t="str">
        <f t="shared" si="18"/>
        <v/>
      </c>
      <c r="BE43" s="210"/>
      <c r="BF43" s="209"/>
      <c r="BG43" s="5448">
        <v>1</v>
      </c>
      <c r="BH43" s="33"/>
      <c r="BJ43" s="1011" t="s">
        <v>172</v>
      </c>
      <c r="BK43" s="271">
        <f t="shared" si="20"/>
        <v>0.1</v>
      </c>
      <c r="BL43" s="1012">
        <v>100</v>
      </c>
      <c r="BM43" s="96"/>
      <c r="BN43" s="62"/>
      <c r="BO43" s="1017" t="s">
        <v>26</v>
      </c>
      <c r="BP43" s="312" t="s">
        <v>876</v>
      </c>
      <c r="BQ43" s="311"/>
      <c r="BR43" s="311"/>
      <c r="BS43" s="310" t="s">
        <v>218</v>
      </c>
      <c r="BT43" s="310" t="s">
        <v>217</v>
      </c>
      <c r="BU43" s="1016"/>
      <c r="BV43" s="1"/>
      <c r="BW43" s="5">
        <v>1</v>
      </c>
    </row>
    <row r="44" spans="2:75" ht="18" customHeight="1" thickBot="1">
      <c r="B44" s="5155"/>
      <c r="D44" s="1"/>
      <c r="E44" s="141"/>
      <c r="F44" s="141"/>
      <c r="G44" s="141"/>
      <c r="H44" s="141"/>
      <c r="I44" s="1358" t="s">
        <v>1118</v>
      </c>
      <c r="J44" s="1363" t="s">
        <v>1131</v>
      </c>
      <c r="K44" s="147"/>
      <c r="L44" s="147"/>
      <c r="M44" s="988"/>
      <c r="N44" s="988"/>
      <c r="O44" s="1325"/>
      <c r="Q44" s="5155"/>
      <c r="T44" s="42" t="str">
        <f t="shared" si="19"/>
        <v>►</v>
      </c>
      <c r="U44" s="196" t="str">
        <f>U18</f>
        <v>Famille à coller.N.Nom de votre recette.Recette mère ►.S.Saisissez le nom de la recette mère</v>
      </c>
      <c r="V44" s="196">
        <f>V16</f>
        <v>6</v>
      </c>
      <c r="W44" s="196" t="str">
        <f>W16</f>
        <v>couverts</v>
      </c>
      <c r="X44" s="1323"/>
      <c r="Y44" s="988"/>
      <c r="Z44" s="988"/>
      <c r="AA44" s="988"/>
      <c r="AB44" s="988"/>
      <c r="AC44" s="988"/>
      <c r="AD44" s="1325"/>
      <c r="AF44" s="5155"/>
      <c r="AH44" s="5149">
        <f>ROW()</f>
        <v>44</v>
      </c>
      <c r="AI44" s="1023" t="s">
        <v>21</v>
      </c>
      <c r="AJ44" s="196" t="str">
        <f>AJ18</f>
        <v>Famille à coller.N.Nom de votre recette.Recette mère ►.S.Saisissez le nom de la recette mère</v>
      </c>
      <c r="AK44" s="196">
        <f>AK16</f>
        <v>6</v>
      </c>
      <c r="AL44" s="196" t="str">
        <f>AL16</f>
        <v>couverts</v>
      </c>
      <c r="AM44" s="369" t="s">
        <v>252</v>
      </c>
      <c r="AN44" s="1321"/>
      <c r="AO44" s="1321"/>
      <c r="AP44" s="1321"/>
      <c r="AQ44" s="1321"/>
      <c r="AR44" s="1321"/>
      <c r="AS44" s="1322"/>
      <c r="AU44" s="5155"/>
      <c r="AX44" s="42" t="str">
        <f t="shared" si="16"/>
        <v>►</v>
      </c>
      <c r="AY44" s="41" t="str">
        <f>AY16</f>
        <v>Famille à coller.N.Nom de votre recette.Recette mère ►.S.Saisissez le nom de la recette mère</v>
      </c>
      <c r="AZ44" s="40">
        <f>AZ16</f>
        <v>6</v>
      </c>
      <c r="BA44" s="39" t="str">
        <f>BA16</f>
        <v>couverts</v>
      </c>
      <c r="BB44" s="213"/>
      <c r="BC44" s="212"/>
      <c r="BD44" s="211" t="str">
        <f t="shared" si="18"/>
        <v/>
      </c>
      <c r="BE44" s="210"/>
      <c r="BF44" s="209"/>
      <c r="BG44" s="5448">
        <v>1</v>
      </c>
      <c r="BH44" s="33"/>
      <c r="BJ44" s="1011" t="s">
        <v>88</v>
      </c>
      <c r="BK44" s="271">
        <f t="shared" si="20"/>
        <v>1</v>
      </c>
      <c r="BL44" s="1012">
        <v>1000</v>
      </c>
      <c r="BM44" s="96"/>
      <c r="BN44" s="62"/>
      <c r="BO44" s="1018" t="s">
        <v>21</v>
      </c>
      <c r="BP44" s="41" t="s">
        <v>876</v>
      </c>
      <c r="BQ44" s="40"/>
      <c r="BR44" s="40"/>
      <c r="BS44" s="299" t="s">
        <v>198</v>
      </c>
      <c r="BT44" s="298" t="s">
        <v>197</v>
      </c>
      <c r="BU44" s="1016"/>
      <c r="BV44" s="1"/>
      <c r="BW44" s="5">
        <v>1</v>
      </c>
    </row>
    <row r="45" spans="2:75" ht="18.75" thickTop="1" thickBot="1">
      <c r="B45" s="5155"/>
      <c r="D45" s="5151" t="s">
        <v>218</v>
      </c>
      <c r="E45" s="141"/>
      <c r="F45" s="141"/>
      <c r="G45" s="141"/>
      <c r="H45" s="141"/>
      <c r="I45" s="1358" t="s">
        <v>1118</v>
      </c>
      <c r="J45" s="1363" t="s">
        <v>1132</v>
      </c>
      <c r="K45" s="147"/>
      <c r="L45" s="147"/>
      <c r="M45" s="988"/>
      <c r="N45" s="988"/>
      <c r="O45" s="1325"/>
      <c r="Q45" s="5155"/>
      <c r="T45" s="42" t="str">
        <f t="shared" si="19"/>
        <v>►</v>
      </c>
      <c r="U45" s="196" t="str">
        <f>U18</f>
        <v>Famille à coller.N.Nom de votre recette.Recette mère ►.S.Saisissez le nom de la recette mère</v>
      </c>
      <c r="V45" s="196">
        <f>V16</f>
        <v>6</v>
      </c>
      <c r="W45" s="196" t="str">
        <f>W16</f>
        <v>couverts</v>
      </c>
      <c r="X45" s="1323"/>
      <c r="Y45" s="988"/>
      <c r="Z45" s="988"/>
      <c r="AA45" s="988"/>
      <c r="AB45" s="988"/>
      <c r="AC45" s="988"/>
      <c r="AD45" s="1325"/>
      <c r="AF45" s="5155"/>
      <c r="AI45" s="42" t="str">
        <f t="shared" ref="AI45:AI51" si="21">IF(OR(AM45&lt;&gt;"",AN45&lt;&gt; "",AO45&lt;&gt;"",AP45&lt;&gt;""),"A", "►")</f>
        <v>A</v>
      </c>
      <c r="AJ45" s="196" t="str">
        <f>AJ18</f>
        <v>Famille à coller.N.Nom de votre recette.Recette mère ►.S.Saisissez le nom de la recette mère</v>
      </c>
      <c r="AK45" s="196">
        <f>AK16</f>
        <v>6</v>
      </c>
      <c r="AL45" s="196" t="str">
        <f>AL16</f>
        <v>couverts</v>
      </c>
      <c r="AM45" s="1319" t="s">
        <v>864</v>
      </c>
      <c r="AN45" s="1320"/>
      <c r="AO45" s="1320"/>
      <c r="AP45" s="1320"/>
      <c r="AQ45" s="1320"/>
      <c r="AR45" s="1320"/>
      <c r="AS45" s="1324"/>
      <c r="AU45" s="5155"/>
      <c r="AX45" s="42" t="str">
        <f t="shared" si="16"/>
        <v>►</v>
      </c>
      <c r="AY45" s="41" t="str">
        <f>AY16</f>
        <v>Famille à coller.N.Nom de votre recette.Recette mère ►.S.Saisissez le nom de la recette mère</v>
      </c>
      <c r="AZ45" s="40">
        <f>AZ16</f>
        <v>6</v>
      </c>
      <c r="BA45" s="39" t="str">
        <f>BA16</f>
        <v>couverts</v>
      </c>
      <c r="BB45" s="213"/>
      <c r="BC45" s="212"/>
      <c r="BD45" s="211" t="str">
        <f t="shared" si="18"/>
        <v/>
      </c>
      <c r="BE45" s="210"/>
      <c r="BF45" s="209"/>
      <c r="BG45" s="5448">
        <v>1</v>
      </c>
      <c r="BH45" s="33"/>
      <c r="BJ45" s="1019" t="s">
        <v>164</v>
      </c>
      <c r="BK45" s="271">
        <f t="shared" si="20"/>
        <v>0.25</v>
      </c>
      <c r="BL45" s="1012">
        <v>250</v>
      </c>
      <c r="BM45" s="96"/>
      <c r="BN45" s="62"/>
      <c r="BO45" s="1018" t="s">
        <v>21</v>
      </c>
      <c r="BP45" s="41" t="s">
        <v>876</v>
      </c>
      <c r="BQ45" s="40"/>
      <c r="BR45" s="40"/>
      <c r="BS45" s="287" t="s">
        <v>184</v>
      </c>
      <c r="BT45" s="286" t="s">
        <v>162</v>
      </c>
      <c r="BU45" s="1016"/>
      <c r="BV45" s="1"/>
      <c r="BW45" s="5">
        <v>1</v>
      </c>
    </row>
    <row r="46" spans="2:75" ht="18" thickTop="1">
      <c r="B46" s="5155"/>
      <c r="D46" s="1111" t="s">
        <v>935</v>
      </c>
      <c r="E46" s="141"/>
      <c r="F46" s="141"/>
      <c r="G46" s="141"/>
      <c r="H46" s="141"/>
      <c r="I46" s="1358" t="s">
        <v>1118</v>
      </c>
      <c r="J46" s="1359" t="s">
        <v>1126</v>
      </c>
      <c r="K46" s="147"/>
      <c r="L46" s="1361"/>
      <c r="M46" s="988"/>
      <c r="N46" s="988"/>
      <c r="O46" s="1325"/>
      <c r="Q46" s="5155"/>
      <c r="T46" s="42" t="str">
        <f t="shared" si="19"/>
        <v>►</v>
      </c>
      <c r="U46" s="196" t="str">
        <f>U18</f>
        <v>Famille à coller.N.Nom de votre recette.Recette mère ►.S.Saisissez le nom de la recette mère</v>
      </c>
      <c r="V46" s="196">
        <f>V16</f>
        <v>6</v>
      </c>
      <c r="W46" s="196" t="str">
        <f>W16</f>
        <v>couverts</v>
      </c>
      <c r="X46" s="1323"/>
      <c r="Y46" s="988"/>
      <c r="Z46" s="988"/>
      <c r="AA46" s="988"/>
      <c r="AB46" s="988"/>
      <c r="AC46" s="988"/>
      <c r="AD46" s="1325"/>
      <c r="AF46" s="5155"/>
      <c r="AI46" s="42" t="str">
        <f t="shared" si="21"/>
        <v>►</v>
      </c>
      <c r="AJ46" s="196" t="str">
        <f>AJ18</f>
        <v>Famille à coller.N.Nom de votre recette.Recette mère ►.S.Saisissez le nom de la recette mère</v>
      </c>
      <c r="AK46" s="196">
        <f>AK16</f>
        <v>6</v>
      </c>
      <c r="AL46" s="196" t="str">
        <f>AL16</f>
        <v>couverts</v>
      </c>
      <c r="AM46" s="1323"/>
      <c r="AN46" s="988"/>
      <c r="AO46" s="988"/>
      <c r="AP46" s="988"/>
      <c r="AQ46" s="988"/>
      <c r="AR46" s="988"/>
      <c r="AS46" s="1325"/>
      <c r="AU46" s="5155"/>
      <c r="AX46" s="42" t="str">
        <f t="shared" si="16"/>
        <v>►</v>
      </c>
      <c r="AY46" s="41" t="str">
        <f>AY16</f>
        <v>Famille à coller.N.Nom de votre recette.Recette mère ►.S.Saisissez le nom de la recette mère</v>
      </c>
      <c r="AZ46" s="40">
        <f>AZ16</f>
        <v>6</v>
      </c>
      <c r="BA46" s="39" t="str">
        <f>BA16</f>
        <v>couverts</v>
      </c>
      <c r="BB46" s="213"/>
      <c r="BC46" s="212"/>
      <c r="BD46" s="211" t="str">
        <f t="shared" si="18"/>
        <v/>
      </c>
      <c r="BE46" s="210"/>
      <c r="BF46" s="209"/>
      <c r="BG46" s="5448">
        <v>1</v>
      </c>
      <c r="BH46" s="33"/>
      <c r="BJ46" s="1019" t="s">
        <v>159</v>
      </c>
      <c r="BK46" s="271">
        <f t="shared" si="20"/>
        <v>0.5</v>
      </c>
      <c r="BL46" s="1012">
        <v>500</v>
      </c>
      <c r="BM46" s="96"/>
      <c r="BN46" s="62"/>
      <c r="BO46" s="1018" t="s">
        <v>21</v>
      </c>
      <c r="BP46" s="41" t="s">
        <v>876</v>
      </c>
      <c r="BQ46" s="40">
        <v>6</v>
      </c>
      <c r="BR46" s="40" t="s">
        <v>73</v>
      </c>
      <c r="BS46" s="213"/>
      <c r="BT46" s="256"/>
      <c r="BU46" s="1016"/>
      <c r="BV46" s="1"/>
      <c r="BW46" s="5">
        <v>1</v>
      </c>
    </row>
    <row r="47" spans="2:75" ht="17.25" customHeight="1">
      <c r="B47" s="5155"/>
      <c r="D47" s="1358" t="s">
        <v>1118</v>
      </c>
      <c r="E47" s="141"/>
      <c r="F47" s="141"/>
      <c r="G47" s="141"/>
      <c r="H47" s="141"/>
      <c r="I47" s="1358" t="s">
        <v>1118</v>
      </c>
      <c r="J47" s="1363" t="s">
        <v>1127</v>
      </c>
      <c r="K47" s="147"/>
      <c r="L47" s="147"/>
      <c r="M47" s="988"/>
      <c r="N47" s="988"/>
      <c r="O47" s="1325"/>
      <c r="Q47" s="5155"/>
      <c r="T47" s="1037" t="s">
        <v>21</v>
      </c>
      <c r="U47" s="196" t="str">
        <f>U18</f>
        <v>Famille à coller.N.Nom de votre recette.Recette mère ►.S.Saisissez le nom de la recette mère</v>
      </c>
      <c r="V47" s="196">
        <f>V16</f>
        <v>6</v>
      </c>
      <c r="W47" s="196" t="str">
        <f>W16</f>
        <v>couverts</v>
      </c>
      <c r="X47" s="1323"/>
      <c r="Y47" s="988"/>
      <c r="Z47" s="988"/>
      <c r="AA47" s="988"/>
      <c r="AB47" s="988"/>
      <c r="AC47" s="988"/>
      <c r="AD47" s="1325"/>
      <c r="AF47" s="5155"/>
      <c r="AI47" s="42" t="str">
        <f t="shared" si="21"/>
        <v>►</v>
      </c>
      <c r="AJ47" s="196" t="str">
        <f>AJ18</f>
        <v>Famille à coller.N.Nom de votre recette.Recette mère ►.S.Saisissez le nom de la recette mère</v>
      </c>
      <c r="AK47" s="196">
        <f>AK16</f>
        <v>6</v>
      </c>
      <c r="AL47" s="196" t="str">
        <f>AL16</f>
        <v>couverts</v>
      </c>
      <c r="AM47" s="1323"/>
      <c r="AN47" s="988"/>
      <c r="AO47" s="988"/>
      <c r="AP47" s="988"/>
      <c r="AQ47" s="988"/>
      <c r="AR47" s="988"/>
      <c r="AS47" s="1325"/>
      <c r="AU47" s="5155"/>
      <c r="AX47" s="42" t="str">
        <f t="shared" si="16"/>
        <v>►</v>
      </c>
      <c r="AY47" s="41" t="str">
        <f>AY16</f>
        <v>Famille à coller.N.Nom de votre recette.Recette mère ►.S.Saisissez le nom de la recette mère</v>
      </c>
      <c r="AZ47" s="40">
        <f>AZ16</f>
        <v>6</v>
      </c>
      <c r="BA47" s="39" t="str">
        <f>BA16</f>
        <v>couverts</v>
      </c>
      <c r="BB47" s="213"/>
      <c r="BC47" s="212"/>
      <c r="BD47" s="211" t="str">
        <f t="shared" si="18"/>
        <v/>
      </c>
      <c r="BE47" s="210"/>
      <c r="BF47" s="209"/>
      <c r="BG47" s="5448">
        <v>1</v>
      </c>
      <c r="BH47" s="33"/>
      <c r="BJ47" s="1020" t="s">
        <v>155</v>
      </c>
      <c r="BK47" s="271">
        <f t="shared" si="20"/>
        <v>0.1</v>
      </c>
      <c r="BL47" s="1012">
        <v>100</v>
      </c>
      <c r="BM47" s="96"/>
      <c r="BN47" s="62"/>
      <c r="BO47" s="1021" t="s">
        <v>26</v>
      </c>
      <c r="BP47" s="41" t="s">
        <v>876</v>
      </c>
      <c r="BQ47" s="40">
        <v>6</v>
      </c>
      <c r="BR47" s="40" t="s">
        <v>73</v>
      </c>
      <c r="BS47" s="213"/>
      <c r="BT47" s="256"/>
      <c r="BU47" s="1016"/>
      <c r="BV47" s="1"/>
      <c r="BW47" s="5">
        <v>1</v>
      </c>
    </row>
    <row r="48" spans="2:75" ht="17.25">
      <c r="B48" s="5155"/>
      <c r="D48" s="1411" t="s">
        <v>1175</v>
      </c>
      <c r="E48" s="141"/>
      <c r="F48" s="141"/>
      <c r="G48" s="141"/>
      <c r="H48" s="141"/>
      <c r="I48" s="1358" t="s">
        <v>1118</v>
      </c>
      <c r="J48" s="1363" t="s">
        <v>1142</v>
      </c>
      <c r="K48" s="147"/>
      <c r="L48" s="147"/>
      <c r="M48" s="988"/>
      <c r="N48" s="988"/>
      <c r="O48" s="1325"/>
      <c r="Q48" s="5155"/>
      <c r="T48" s="1037" t="s">
        <v>21</v>
      </c>
      <c r="U48" s="196" t="str">
        <f>U18</f>
        <v>Famille à coller.N.Nom de votre recette.Recette mère ►.S.Saisissez le nom de la recette mère</v>
      </c>
      <c r="V48" s="196">
        <f>V16</f>
        <v>6</v>
      </c>
      <c r="W48" s="196" t="str">
        <f>W16</f>
        <v>couverts</v>
      </c>
      <c r="X48" s="1323"/>
      <c r="Y48" s="988"/>
      <c r="Z48" s="988"/>
      <c r="AA48" s="988"/>
      <c r="AB48" s="988"/>
      <c r="AC48" s="988"/>
      <c r="AD48" s="1325"/>
      <c r="AF48" s="5155"/>
      <c r="AI48" s="42" t="str">
        <f t="shared" si="21"/>
        <v>►</v>
      </c>
      <c r="AJ48" s="196" t="str">
        <f>AJ18</f>
        <v>Famille à coller.N.Nom de votre recette.Recette mère ►.S.Saisissez le nom de la recette mère</v>
      </c>
      <c r="AK48" s="196">
        <f>AK16</f>
        <v>6</v>
      </c>
      <c r="AL48" s="196" t="str">
        <f>AL16</f>
        <v>couverts</v>
      </c>
      <c r="AM48" s="1323"/>
      <c r="AN48" s="988"/>
      <c r="AO48" s="988"/>
      <c r="AP48" s="988"/>
      <c r="AQ48" s="988"/>
      <c r="AR48" s="988"/>
      <c r="AS48" s="1325"/>
      <c r="AU48" s="5155"/>
      <c r="AX48" s="42" t="str">
        <f t="shared" si="16"/>
        <v>►</v>
      </c>
      <c r="AY48" s="41" t="str">
        <f>AY16</f>
        <v>Famille à coller.N.Nom de votre recette.Recette mère ►.S.Saisissez le nom de la recette mère</v>
      </c>
      <c r="AZ48" s="40">
        <f>AZ16</f>
        <v>6</v>
      </c>
      <c r="BA48" s="39" t="str">
        <f>BA16</f>
        <v>couverts</v>
      </c>
      <c r="BB48" s="213"/>
      <c r="BC48" s="212"/>
      <c r="BD48" s="211" t="str">
        <f t="shared" si="18"/>
        <v/>
      </c>
      <c r="BE48" s="210"/>
      <c r="BF48" s="209"/>
      <c r="BG48" s="5448">
        <v>1</v>
      </c>
      <c r="BH48" s="33"/>
      <c r="BJ48" s="103"/>
      <c r="BK48" s="1"/>
      <c r="BL48" s="1"/>
      <c r="BM48" s="96"/>
      <c r="BN48" s="62"/>
      <c r="BO48" s="1021" t="str">
        <f>IF(BY52&lt;&gt;"","A","►")</f>
        <v>►</v>
      </c>
      <c r="BP48" s="41" t="s">
        <v>876</v>
      </c>
      <c r="BQ48" s="40">
        <v>6</v>
      </c>
      <c r="BR48" s="40" t="s">
        <v>73</v>
      </c>
      <c r="BS48" s="213"/>
      <c r="BT48" s="212"/>
      <c r="BU48" s="1016"/>
      <c r="BV48" s="1"/>
      <c r="BW48" s="5">
        <v>1</v>
      </c>
    </row>
    <row r="49" spans="2:75" ht="19.5" customHeight="1" thickBot="1">
      <c r="B49" s="5155"/>
      <c r="D49" s="5423" t="s">
        <v>1171</v>
      </c>
      <c r="E49" s="141"/>
      <c r="F49" s="141"/>
      <c r="G49" s="141"/>
      <c r="H49" s="141"/>
      <c r="I49" s="1372" t="s">
        <v>1134</v>
      </c>
      <c r="J49" s="1373"/>
      <c r="K49" s="1373"/>
      <c r="L49" s="1373"/>
      <c r="M49" s="1373"/>
      <c r="N49" s="1373"/>
      <c r="O49" s="1339" t="s">
        <v>1143</v>
      </c>
      <c r="Q49" s="5155"/>
      <c r="T49" s="1037" t="s">
        <v>21</v>
      </c>
      <c r="U49" s="196" t="str">
        <f>U18</f>
        <v>Famille à coller.N.Nom de votre recette.Recette mère ►.S.Saisissez le nom de la recette mère</v>
      </c>
      <c r="V49" s="196">
        <f>V16</f>
        <v>6</v>
      </c>
      <c r="W49" s="196" t="str">
        <f>W16</f>
        <v>couverts</v>
      </c>
      <c r="X49" s="1338"/>
      <c r="Y49" s="997"/>
      <c r="Z49" s="997"/>
      <c r="AA49" s="997"/>
      <c r="AB49" s="997"/>
      <c r="AC49" s="997"/>
      <c r="AD49" s="1339" t="s">
        <v>1112</v>
      </c>
      <c r="AF49" s="5155"/>
      <c r="AI49" s="42" t="str">
        <f t="shared" si="21"/>
        <v>►</v>
      </c>
      <c r="AJ49" s="196" t="str">
        <f>AJ18</f>
        <v>Famille à coller.N.Nom de votre recette.Recette mère ►.S.Saisissez le nom de la recette mère</v>
      </c>
      <c r="AK49" s="196">
        <f>AK16</f>
        <v>6</v>
      </c>
      <c r="AL49" s="196" t="str">
        <f>AL16</f>
        <v>couverts</v>
      </c>
      <c r="AM49" s="1323"/>
      <c r="AN49" s="988"/>
      <c r="AO49" s="988"/>
      <c r="AP49" s="988"/>
      <c r="AQ49" s="988"/>
      <c r="AR49" s="988"/>
      <c r="AS49" s="1325"/>
      <c r="AU49" s="5155"/>
      <c r="AX49" s="42" t="str">
        <f t="shared" si="16"/>
        <v>►</v>
      </c>
      <c r="AY49" s="41" t="str">
        <f>AY16</f>
        <v>Famille à coller.N.Nom de votre recette.Recette mère ►.S.Saisissez le nom de la recette mère</v>
      </c>
      <c r="AZ49" s="40">
        <f>AZ16</f>
        <v>6</v>
      </c>
      <c r="BA49" s="39" t="str">
        <f>BA16</f>
        <v>couverts</v>
      </c>
      <c r="BB49" s="213"/>
      <c r="BC49" s="212"/>
      <c r="BD49" s="211" t="str">
        <f t="shared" si="18"/>
        <v/>
      </c>
      <c r="BE49" s="210"/>
      <c r="BF49" s="209"/>
      <c r="BG49" s="5448">
        <v>1</v>
      </c>
      <c r="BH49" s="33"/>
      <c r="BJ49" s="103"/>
      <c r="BK49" s="1024" t="s">
        <v>877</v>
      </c>
      <c r="BL49" s="1025"/>
      <c r="BM49" s="96"/>
      <c r="BN49" s="62"/>
      <c r="BO49" s="1026" t="s">
        <v>21</v>
      </c>
      <c r="BP49" s="204">
        <f>BP41</f>
        <v>0</v>
      </c>
      <c r="BQ49" s="1027">
        <f>BQ41</f>
        <v>0</v>
      </c>
      <c r="BR49" s="202">
        <f>BR41</f>
        <v>0</v>
      </c>
      <c r="BS49" s="1028" t="s">
        <v>86</v>
      </c>
      <c r="BT49" s="1029"/>
      <c r="BU49" s="1016"/>
      <c r="BV49" s="1"/>
      <c r="BW49" s="5">
        <v>1</v>
      </c>
    </row>
    <row r="50" spans="2:75" ht="18" customHeight="1">
      <c r="B50" s="5155"/>
      <c r="D50" s="5423" t="s">
        <v>7843</v>
      </c>
      <c r="E50" s="141"/>
      <c r="F50" s="141"/>
      <c r="G50" s="141"/>
      <c r="H50" s="141"/>
      <c r="I50" s="1002"/>
      <c r="J50" s="1002"/>
      <c r="K50" s="1002" t="s">
        <v>873</v>
      </c>
      <c r="L50" s="1003"/>
      <c r="M50" s="1329"/>
      <c r="N50" s="1329"/>
      <c r="O50" s="1330"/>
      <c r="Q50" s="5155"/>
      <c r="T50" s="1037" t="s">
        <v>21</v>
      </c>
      <c r="U50" s="196" t="str">
        <f>U18</f>
        <v>Famille à coller.N.Nom de votre recette.Recette mère ►.S.Saisissez le nom de la recette mère</v>
      </c>
      <c r="V50" s="196">
        <f>V16</f>
        <v>6</v>
      </c>
      <c r="W50" s="196" t="str">
        <f>W16</f>
        <v>couverts</v>
      </c>
      <c r="X50" s="1002"/>
      <c r="Y50" s="1002"/>
      <c r="Z50" s="1002" t="s">
        <v>873</v>
      </c>
      <c r="AA50" s="1003"/>
      <c r="AB50" s="1329"/>
      <c r="AC50" s="1329"/>
      <c r="AD50" s="1330"/>
      <c r="AF50" s="5155"/>
      <c r="AI50" s="42" t="str">
        <f t="shared" si="21"/>
        <v>►</v>
      </c>
      <c r="AJ50" s="196" t="str">
        <f>AJ18</f>
        <v>Famille à coller.N.Nom de votre recette.Recette mère ►.S.Saisissez le nom de la recette mère</v>
      </c>
      <c r="AK50" s="196">
        <f>AK16</f>
        <v>6</v>
      </c>
      <c r="AL50" s="196" t="str">
        <f>AL16</f>
        <v>couverts</v>
      </c>
      <c r="AM50" s="1323"/>
      <c r="AN50" s="988"/>
      <c r="AO50" s="988"/>
      <c r="AP50" s="988"/>
      <c r="AQ50" s="988"/>
      <c r="AR50" s="988"/>
      <c r="AS50" s="1325"/>
      <c r="AU50" s="5155"/>
      <c r="AX50" s="42" t="str">
        <f t="shared" si="16"/>
        <v>►</v>
      </c>
      <c r="AY50" s="41" t="str">
        <f>AY16</f>
        <v>Famille à coller.N.Nom de votre recette.Recette mère ►.S.Saisissez le nom de la recette mère</v>
      </c>
      <c r="AZ50" s="40">
        <f>AZ16</f>
        <v>6</v>
      </c>
      <c r="BA50" s="39" t="str">
        <f>BA16</f>
        <v>couverts</v>
      </c>
      <c r="BB50" s="213"/>
      <c r="BC50" s="212"/>
      <c r="BD50" s="211" t="str">
        <f t="shared" si="18"/>
        <v/>
      </c>
      <c r="BE50" s="210"/>
      <c r="BF50" s="209"/>
      <c r="BG50" s="5448">
        <v>1</v>
      </c>
      <c r="BH50" s="33"/>
      <c r="BJ50" s="103"/>
      <c r="BK50" s="1030" t="s">
        <v>878</v>
      </c>
      <c r="BL50" s="1031" t="s">
        <v>879</v>
      </c>
      <c r="BM50" s="96"/>
      <c r="BN50" s="62"/>
      <c r="BO50" s="1032"/>
      <c r="BP50" s="1033"/>
      <c r="BQ50" s="1034"/>
      <c r="BR50" s="1035"/>
      <c r="BS50" s="1036"/>
      <c r="BT50" s="1013"/>
      <c r="BU50" s="1016"/>
      <c r="BV50" s="1"/>
      <c r="BW50" s="5">
        <v>1</v>
      </c>
    </row>
    <row r="51" spans="2:75" ht="19.5" customHeight="1" thickBot="1">
      <c r="B51" s="5155"/>
      <c r="E51" s="141"/>
      <c r="F51" s="141"/>
      <c r="G51" s="141"/>
      <c r="H51" s="141"/>
      <c r="I51" s="1332" t="s">
        <v>86</v>
      </c>
      <c r="J51" s="1006"/>
      <c r="K51" s="1007"/>
      <c r="L51" s="1008"/>
      <c r="M51" s="1007"/>
      <c r="N51" s="1007"/>
      <c r="O51" s="1333"/>
      <c r="Q51" s="5155"/>
      <c r="T51" s="1069" t="s">
        <v>21</v>
      </c>
      <c r="U51" s="1331" t="str">
        <f>U34</f>
        <v>Famille à coller.N.Nom de votre recette.Recette mère ►.S.Saisissez le nom de la recette mère</v>
      </c>
      <c r="V51" s="1331">
        <f>V34</f>
        <v>6</v>
      </c>
      <c r="W51" s="1331" t="str">
        <f>W34</f>
        <v>couverts</v>
      </c>
      <c r="X51" s="1332" t="s">
        <v>86</v>
      </c>
      <c r="Y51" s="1006"/>
      <c r="Z51" s="1007"/>
      <c r="AA51" s="1008"/>
      <c r="AB51" s="1007"/>
      <c r="AC51" s="1007"/>
      <c r="AD51" s="1333"/>
      <c r="AF51" s="5155"/>
      <c r="AI51" s="42" t="str">
        <f t="shared" si="21"/>
        <v>►</v>
      </c>
      <c r="AJ51" s="196" t="str">
        <f>AJ18</f>
        <v>Famille à coller.N.Nom de votre recette.Recette mère ►.S.Saisissez le nom de la recette mère</v>
      </c>
      <c r="AK51" s="196">
        <f>AK16</f>
        <v>6</v>
      </c>
      <c r="AL51" s="196" t="str">
        <f>AL16</f>
        <v>couverts</v>
      </c>
      <c r="AM51" s="1340"/>
      <c r="AN51" s="988"/>
      <c r="AO51" s="988"/>
      <c r="AP51" s="988"/>
      <c r="AQ51" s="988"/>
      <c r="AR51" s="988"/>
      <c r="AS51" s="1325"/>
      <c r="AU51" s="5155"/>
      <c r="AX51" s="42" t="str">
        <f t="shared" si="16"/>
        <v>►</v>
      </c>
      <c r="AY51" s="41" t="str">
        <f>AY16</f>
        <v>Famille à coller.N.Nom de votre recette.Recette mère ►.S.Saisissez le nom de la recette mère</v>
      </c>
      <c r="AZ51" s="40">
        <f>AZ16</f>
        <v>6</v>
      </c>
      <c r="BA51" s="39" t="str">
        <f>BA16</f>
        <v>couverts</v>
      </c>
      <c r="BB51" s="213"/>
      <c r="BC51" s="212"/>
      <c r="BD51" s="211" t="str">
        <f t="shared" si="18"/>
        <v/>
      </c>
      <c r="BE51" s="210"/>
      <c r="BF51" s="209"/>
      <c r="BG51" s="5448">
        <v>1</v>
      </c>
      <c r="BH51" s="33"/>
      <c r="BJ51" s="103"/>
      <c r="BK51" s="1030" t="s">
        <v>880</v>
      </c>
      <c r="BL51" s="1031" t="s">
        <v>881</v>
      </c>
      <c r="BM51" s="96"/>
      <c r="BN51" s="62"/>
      <c r="BO51" s="7700" t="s">
        <v>882</v>
      </c>
      <c r="BP51" s="7701"/>
      <c r="BQ51" s="7701"/>
      <c r="BR51" s="7701"/>
      <c r="BS51" s="7701"/>
      <c r="BT51" s="7701"/>
      <c r="BU51" s="7702"/>
      <c r="BV51" s="1"/>
      <c r="BW51" s="5">
        <v>1</v>
      </c>
    </row>
    <row r="52" spans="2:75" ht="17.25" customHeight="1" thickBot="1">
      <c r="B52" s="5155"/>
      <c r="C52" s="5153"/>
      <c r="D52" s="5154" t="s">
        <v>7845</v>
      </c>
      <c r="E52" s="141"/>
      <c r="F52" s="141"/>
      <c r="G52" s="141"/>
      <c r="H52" s="141"/>
      <c r="I52" s="141"/>
      <c r="J52" s="141"/>
      <c r="K52" s="141"/>
      <c r="L52" s="141"/>
      <c r="M52" s="141"/>
      <c r="N52" s="141"/>
      <c r="O52" s="141"/>
      <c r="Q52" s="5155"/>
      <c r="T52" s="1312" t="s">
        <v>21</v>
      </c>
      <c r="AF52" s="5155"/>
      <c r="AI52" s="42" t="str">
        <f t="shared" ref="AI52:AI63" si="22">IF(OR(AP52&lt;&gt;"",AQ52&lt;&gt; "",AR52&lt;&gt;"",AS52&lt;&gt;""),"A", "►")</f>
        <v>A</v>
      </c>
      <c r="AJ52" s="196" t="str">
        <f>AJ18</f>
        <v>Famille à coller.N.Nom de votre recette.Recette mère ►.S.Saisissez le nom de la recette mère</v>
      </c>
      <c r="AK52" s="196">
        <f>AK16</f>
        <v>6</v>
      </c>
      <c r="AL52" s="196" t="str">
        <f>AL16</f>
        <v>couverts</v>
      </c>
      <c r="AM52" s="1323"/>
      <c r="AN52" s="988"/>
      <c r="AO52" s="988"/>
      <c r="AP52" s="988"/>
      <c r="AQ52" s="988" t="s">
        <v>1113</v>
      </c>
      <c r="AR52" s="988"/>
      <c r="AS52" s="1325"/>
      <c r="AU52" s="5155"/>
      <c r="AX52" s="42" t="str">
        <f t="shared" si="16"/>
        <v>►</v>
      </c>
      <c r="AY52" s="41" t="str">
        <f>AY16</f>
        <v>Famille à coller.N.Nom de votre recette.Recette mère ►.S.Saisissez le nom de la recette mère</v>
      </c>
      <c r="AZ52" s="40">
        <f>AZ16</f>
        <v>6</v>
      </c>
      <c r="BA52" s="39" t="str">
        <f>BA16</f>
        <v>couverts</v>
      </c>
      <c r="BB52" s="213"/>
      <c r="BC52" s="212"/>
      <c r="BD52" s="211" t="str">
        <f t="shared" si="18"/>
        <v/>
      </c>
      <c r="BE52" s="210"/>
      <c r="BF52" s="209"/>
      <c r="BG52" s="5448">
        <v>1</v>
      </c>
      <c r="BH52" s="33"/>
      <c r="BJ52" s="103"/>
      <c r="BK52" s="1030" t="s">
        <v>883</v>
      </c>
      <c r="BL52" s="1031" t="s">
        <v>884</v>
      </c>
      <c r="BM52" s="96"/>
      <c r="BN52" s="62"/>
      <c r="BO52" s="7700"/>
      <c r="BP52" s="7701"/>
      <c r="BQ52" s="7701"/>
      <c r="BR52" s="7701"/>
      <c r="BS52" s="7701"/>
      <c r="BT52" s="7701"/>
      <c r="BU52" s="7702"/>
      <c r="BV52" s="1"/>
      <c r="BW52" s="5">
        <v>1</v>
      </c>
    </row>
    <row r="53" spans="2:75" ht="17.25" customHeight="1" thickBot="1">
      <c r="B53" s="5155"/>
      <c r="D53" s="5152" t="s">
        <v>7842</v>
      </c>
      <c r="E53" s="141"/>
      <c r="F53" s="141"/>
      <c r="G53" s="141"/>
      <c r="H53" s="141"/>
      <c r="I53" s="5150" t="s">
        <v>218</v>
      </c>
      <c r="J53" s="1364" cm="1">
        <f t="array" ref="J53">IFERROR(ROW(I63)-(ROW(I54)+MATCH(TRUE,INDEX(ISNUMBER(FIND(N53,TRIM(SUBSTITUTE(SUBSTITUTE(SUBSTITUTE(SUBSTITUTE(SUBSTITUTE(SUBSTITUTE(SUBSTITUTE(LOWER(I54:I63),"é","e"),"è","e"),"ê","e"),"ë","e"),"à","a"),"ù","u"),"î","i")))),0),0)-1),1)</f>
        <v>5</v>
      </c>
      <c r="K53" s="1365" t="s">
        <v>1108</v>
      </c>
      <c r="L53" s="1366"/>
      <c r="M53" s="1366"/>
      <c r="N53" s="1367" t="str">
        <f>TRIM(SUBSTITUTE(SUBSTITUTE(SUBSTITUTE(SUBSTITUTE(SUBSTITUTE(SUBSTITUTE(SUBSTITUTE(LOWER(O53),"é","e"),"è","e"),"ê","e"),"ë","e"),"à","a"),"ù","u"),"î","i"))</f>
        <v>⓬ ▼ phases de progression</v>
      </c>
      <c r="O53" s="1379" t="s">
        <v>864</v>
      </c>
      <c r="Q53" s="5155"/>
      <c r="T53" s="5465" t="s">
        <v>21</v>
      </c>
      <c r="U53" s="368" t="str">
        <f>U59</f>
        <v>Famille à coller.N.Nom de votre recette.Recette mère ►.S.Saisissez le nom de la recette mère</v>
      </c>
      <c r="V53" s="367">
        <f>V59</f>
        <v>6</v>
      </c>
      <c r="W53" s="367" t="str">
        <f>W59</f>
        <v>couverts</v>
      </c>
      <c r="X53" s="366" t="s">
        <v>1</v>
      </c>
      <c r="Y53" s="365" t="s">
        <v>251</v>
      </c>
      <c r="Z53" s="7648" t="s">
        <v>1089</v>
      </c>
      <c r="AA53" s="7648"/>
      <c r="AB53" s="7601" t="s">
        <v>1090</v>
      </c>
      <c r="AC53" s="7601"/>
      <c r="AD53" s="7602"/>
      <c r="AF53" s="5155"/>
      <c r="AI53" s="42" t="str">
        <f t="shared" si="22"/>
        <v>►</v>
      </c>
      <c r="AJ53" s="196" t="str">
        <f>AJ18</f>
        <v>Famille à coller.N.Nom de votre recette.Recette mère ►.S.Saisissez le nom de la recette mère</v>
      </c>
      <c r="AK53" s="196">
        <f>AK16</f>
        <v>6</v>
      </c>
      <c r="AL53" s="196" t="str">
        <f>AL16</f>
        <v>couverts</v>
      </c>
      <c r="AM53" s="1323"/>
      <c r="AN53" s="988"/>
      <c r="AO53" s="988"/>
      <c r="AP53" s="988"/>
      <c r="AQ53" s="988"/>
      <c r="AR53" s="988"/>
      <c r="AS53" s="1325"/>
      <c r="AU53" s="5155"/>
      <c r="AX53" s="42" t="str">
        <f t="shared" si="16"/>
        <v>►</v>
      </c>
      <c r="AY53" s="41" t="str">
        <f>AY16</f>
        <v>Famille à coller.N.Nom de votre recette.Recette mère ►.S.Saisissez le nom de la recette mère</v>
      </c>
      <c r="AZ53" s="40">
        <f>AZ16</f>
        <v>6</v>
      </c>
      <c r="BA53" s="39" t="str">
        <f>BA16</f>
        <v>couverts</v>
      </c>
      <c r="BB53" s="213"/>
      <c r="BC53" s="212"/>
      <c r="BD53" s="211" t="str">
        <f t="shared" si="18"/>
        <v/>
      </c>
      <c r="BE53" s="210"/>
      <c r="BF53" s="209"/>
      <c r="BG53" s="5448">
        <v>1</v>
      </c>
      <c r="BH53" s="33"/>
      <c r="BJ53" s="103"/>
      <c r="BK53" s="1030" t="s">
        <v>885</v>
      </c>
      <c r="BL53" s="1031" t="s">
        <v>886</v>
      </c>
      <c r="BM53" s="96"/>
      <c r="BN53" s="62"/>
      <c r="BO53" s="1040"/>
      <c r="BP53" s="1041" t="s">
        <v>887</v>
      </c>
      <c r="BQ53" s="1038"/>
      <c r="BR53" s="1038"/>
      <c r="BS53" s="1038"/>
      <c r="BT53" s="1038"/>
      <c r="BU53" s="1039"/>
      <c r="BV53" s="1"/>
      <c r="BW53" s="5">
        <v>1</v>
      </c>
    </row>
    <row r="54" spans="2:75" ht="18.75" customHeight="1">
      <c r="B54" s="5155"/>
      <c r="E54" s="141"/>
      <c r="F54" s="141"/>
      <c r="G54" s="141"/>
      <c r="H54" s="141"/>
      <c r="I54" s="1384">
        <v>3.472222222222222E-3</v>
      </c>
      <c r="J54" s="1385" t="s">
        <v>1150</v>
      </c>
      <c r="K54" s="77"/>
      <c r="L54" s="77"/>
      <c r="M54" s="77"/>
      <c r="N54" s="1386">
        <v>100</v>
      </c>
      <c r="O54" s="1387" t="s">
        <v>1151</v>
      </c>
      <c r="Q54" s="5155"/>
      <c r="T54" s="214" t="s">
        <v>21</v>
      </c>
      <c r="U54" s="363" t="str">
        <f>U59</f>
        <v>Famille à coller.N.Nom de votre recette.Recette mère ►.S.Saisissez le nom de la recette mère</v>
      </c>
      <c r="V54" s="362"/>
      <c r="W54" s="362"/>
      <c r="X54" s="361" t="s">
        <v>245</v>
      </c>
      <c r="Y54" s="360" t="s">
        <v>244</v>
      </c>
      <c r="Z54" s="7649"/>
      <c r="AA54" s="7649"/>
      <c r="AB54" s="7603"/>
      <c r="AC54" s="7603"/>
      <c r="AD54" s="7604"/>
      <c r="AF54" s="5155"/>
      <c r="AI54" s="42" t="str">
        <f t="shared" si="22"/>
        <v>►</v>
      </c>
      <c r="AJ54" s="196" t="str">
        <f>AJ18</f>
        <v>Famille à coller.N.Nom de votre recette.Recette mère ►.S.Saisissez le nom de la recette mère</v>
      </c>
      <c r="AK54" s="196">
        <f>AK16</f>
        <v>6</v>
      </c>
      <c r="AL54" s="196" t="str">
        <f>AL16</f>
        <v>couverts</v>
      </c>
      <c r="AM54" s="1323"/>
      <c r="AN54" s="988"/>
      <c r="AO54" s="988"/>
      <c r="AP54" s="988"/>
      <c r="AQ54" s="988"/>
      <c r="AR54" s="988"/>
      <c r="AS54" s="1325"/>
      <c r="AU54" s="5155"/>
      <c r="AX54" s="42" t="str">
        <f t="shared" si="16"/>
        <v>►</v>
      </c>
      <c r="AY54" s="41" t="str">
        <f>AY16</f>
        <v>Famille à coller.N.Nom de votre recette.Recette mère ►.S.Saisissez le nom de la recette mère</v>
      </c>
      <c r="AZ54" s="40">
        <f>AZ16</f>
        <v>6</v>
      </c>
      <c r="BA54" s="39" t="str">
        <f>BA16</f>
        <v>couverts</v>
      </c>
      <c r="BB54" s="213"/>
      <c r="BC54" s="212"/>
      <c r="BD54" s="211" t="str">
        <f t="shared" si="18"/>
        <v/>
      </c>
      <c r="BE54" s="210"/>
      <c r="BF54" s="209"/>
      <c r="BG54" s="5448">
        <v>1</v>
      </c>
      <c r="BH54" s="33"/>
      <c r="BJ54" s="103"/>
      <c r="BK54" s="1042" t="s">
        <v>889</v>
      </c>
      <c r="BL54" s="1043" t="s">
        <v>891</v>
      </c>
      <c r="BM54" s="96"/>
      <c r="BN54" s="62"/>
      <c r="BO54" s="5466" t="s">
        <v>21</v>
      </c>
      <c r="BP54" s="1044" t="s">
        <v>892</v>
      </c>
      <c r="BQ54" s="1045">
        <v>18</v>
      </c>
      <c r="BR54" s="1045" t="s">
        <v>157</v>
      </c>
      <c r="BS54" s="1046" t="s">
        <v>893</v>
      </c>
      <c r="BT54" s="7703" t="s">
        <v>894</v>
      </c>
      <c r="BU54" s="7705" t="s">
        <v>895</v>
      </c>
      <c r="BV54" s="1"/>
      <c r="BW54" s="5">
        <v>1</v>
      </c>
    </row>
    <row r="55" spans="2:75" ht="17.25" customHeight="1">
      <c r="B55" s="5155"/>
      <c r="E55" s="141"/>
      <c r="F55" s="141"/>
      <c r="G55" s="141"/>
      <c r="H55" s="141"/>
      <c r="I55" s="1388">
        <v>1.0416666666666666E-2</v>
      </c>
      <c r="J55" s="1385" t="s">
        <v>1152</v>
      </c>
      <c r="K55" s="77"/>
      <c r="L55" s="77"/>
      <c r="M55" s="77"/>
      <c r="N55" s="1389">
        <v>90</v>
      </c>
      <c r="O55" s="1390" t="s">
        <v>1153</v>
      </c>
      <c r="Q55" s="5155"/>
      <c r="T55" s="214" t="s">
        <v>21</v>
      </c>
      <c r="U55" s="354" t="str">
        <f>U59</f>
        <v>Famille à coller.N.Nom de votre recette.Recette mère ►.S.Saisissez le nom de la recette mère</v>
      </c>
      <c r="V55" s="353"/>
      <c r="W55" s="352"/>
      <c r="X55" s="351"/>
      <c r="Y55" s="350" t="s">
        <v>233</v>
      </c>
      <c r="Z55" s="349"/>
      <c r="AA55" s="348" t="s">
        <v>232</v>
      </c>
      <c r="AB55" s="347" t="s">
        <v>1092</v>
      </c>
      <c r="AC55" s="141"/>
      <c r="AD55" s="346"/>
      <c r="AF55" s="5155"/>
      <c r="AI55" s="42" t="str">
        <f t="shared" si="22"/>
        <v>►</v>
      </c>
      <c r="AJ55" s="196" t="str">
        <f>AJ18</f>
        <v>Famille à coller.N.Nom de votre recette.Recette mère ►.S.Saisissez le nom de la recette mère</v>
      </c>
      <c r="AK55" s="196">
        <f>AK16</f>
        <v>6</v>
      </c>
      <c r="AL55" s="196" t="str">
        <f>AL16</f>
        <v>couverts</v>
      </c>
      <c r="AM55" s="1323"/>
      <c r="AN55" s="988"/>
      <c r="AO55" s="988"/>
      <c r="AP55" s="988"/>
      <c r="AQ55" s="988"/>
      <c r="AR55" s="988"/>
      <c r="AS55" s="1325"/>
      <c r="AU55" s="5155"/>
      <c r="AX55" s="42" t="str">
        <f t="shared" si="16"/>
        <v>►</v>
      </c>
      <c r="AY55" s="41" t="str">
        <f>AY16</f>
        <v>Famille à coller.N.Nom de votre recette.Recette mère ►.S.Saisissez le nom de la recette mère</v>
      </c>
      <c r="AZ55" s="40">
        <f>AZ16</f>
        <v>6</v>
      </c>
      <c r="BA55" s="39" t="str">
        <f>BA16</f>
        <v>couverts</v>
      </c>
      <c r="BB55" s="213"/>
      <c r="BC55" s="212"/>
      <c r="BD55" s="211" t="str">
        <f t="shared" si="18"/>
        <v/>
      </c>
      <c r="BE55" s="210"/>
      <c r="BF55" s="209"/>
      <c r="BG55" s="5448">
        <v>1</v>
      </c>
      <c r="BH55" s="33"/>
      <c r="BJ55" s="1047" t="s">
        <v>896</v>
      </c>
      <c r="BK55" s="1048"/>
      <c r="BL55" s="176"/>
      <c r="BM55" s="175"/>
      <c r="BN55" s="953"/>
      <c r="BO55" s="1049" t="s">
        <v>21</v>
      </c>
      <c r="BP55" s="1050" t="s">
        <v>892</v>
      </c>
      <c r="BQ55" s="1051"/>
      <c r="BR55" s="1051"/>
      <c r="BS55" s="1052" t="s">
        <v>893</v>
      </c>
      <c r="BT55" s="7704"/>
      <c r="BU55" s="7706"/>
      <c r="BV55" s="1"/>
      <c r="BW55" s="5">
        <v>1</v>
      </c>
    </row>
    <row r="56" spans="2:75" ht="17.25" customHeight="1">
      <c r="B56" s="5155"/>
      <c r="E56" s="141"/>
      <c r="F56" s="141"/>
      <c r="G56" s="141"/>
      <c r="H56" s="141"/>
      <c r="I56" s="1391">
        <v>2.0833333333333332E-2</v>
      </c>
      <c r="J56" s="1385" t="s">
        <v>1154</v>
      </c>
      <c r="K56" s="988"/>
      <c r="L56" s="988"/>
      <c r="M56" s="988"/>
      <c r="N56" s="1392" t="s">
        <v>1155</v>
      </c>
      <c r="O56" s="1393" t="s">
        <v>1156</v>
      </c>
      <c r="Q56" s="5155"/>
      <c r="T56" s="214" t="s">
        <v>21</v>
      </c>
      <c r="U56" s="40" t="str">
        <f>U59</f>
        <v>Famille à coller.N.Nom de votre recette.Recette mère ►.S.Saisissez le nom de la recette mère</v>
      </c>
      <c r="V56" s="40"/>
      <c r="W56" s="40"/>
      <c r="X56" s="333" t="s">
        <v>228</v>
      </c>
      <c r="Y56" s="341"/>
      <c r="Z56" s="341"/>
      <c r="AA56" s="340" t="s">
        <v>227</v>
      </c>
      <c r="AB56" s="6901" t="str">
        <f>X59</f>
        <v>Famille à coller.N.Nom de votre recette.Recette mère ►.S.Saisissez le nom de la recette mère</v>
      </c>
      <c r="AC56" s="6901"/>
      <c r="AD56" s="7612"/>
      <c r="AF56" s="5155"/>
      <c r="AI56" s="42" t="str">
        <f t="shared" si="22"/>
        <v>►</v>
      </c>
      <c r="AJ56" s="196" t="str">
        <f>AJ18</f>
        <v>Famille à coller.N.Nom de votre recette.Recette mère ►.S.Saisissez le nom de la recette mère</v>
      </c>
      <c r="AK56" s="196">
        <f>AK16</f>
        <v>6</v>
      </c>
      <c r="AL56" s="196" t="str">
        <f>AL16</f>
        <v>couverts</v>
      </c>
      <c r="AM56" s="1323"/>
      <c r="AN56" s="988"/>
      <c r="AO56" s="988"/>
      <c r="AP56" s="988"/>
      <c r="AQ56" s="988"/>
      <c r="AR56" s="988"/>
      <c r="AS56" s="1325"/>
      <c r="AU56" s="5155"/>
      <c r="AX56" s="42" t="str">
        <f t="shared" si="16"/>
        <v>►</v>
      </c>
      <c r="AY56" s="41" t="str">
        <f>AY16</f>
        <v>Famille à coller.N.Nom de votre recette.Recette mère ►.S.Saisissez le nom de la recette mère</v>
      </c>
      <c r="AZ56" s="40">
        <f>AZ16</f>
        <v>6</v>
      </c>
      <c r="BA56" s="39" t="str">
        <f>BA16</f>
        <v>couverts</v>
      </c>
      <c r="BB56" s="213"/>
      <c r="BC56" s="212"/>
      <c r="BD56" s="211" t="str">
        <f t="shared" si="18"/>
        <v/>
      </c>
      <c r="BE56" s="210"/>
      <c r="BF56" s="209"/>
      <c r="BG56" s="5448">
        <v>1</v>
      </c>
      <c r="BH56" s="33"/>
      <c r="BJ56" s="7713" t="s">
        <v>899</v>
      </c>
      <c r="BK56" s="7714"/>
      <c r="BL56" s="7714"/>
      <c r="BM56" s="7715"/>
      <c r="BN56" s="953"/>
      <c r="BO56" s="1049" t="s">
        <v>21</v>
      </c>
      <c r="BP56" s="1053" t="s">
        <v>892</v>
      </c>
      <c r="BQ56" s="1053"/>
      <c r="BR56" s="1054" t="s">
        <v>900</v>
      </c>
      <c r="BS56" s="1055"/>
      <c r="BT56" s="1056"/>
      <c r="BU56" s="1057" t="s">
        <v>232</v>
      </c>
      <c r="BV56" s="1"/>
      <c r="BW56" s="5">
        <v>1</v>
      </c>
    </row>
    <row r="57" spans="2:75" ht="15" customHeight="1">
      <c r="B57" s="5155"/>
      <c r="E57" s="141"/>
      <c r="F57" s="141"/>
      <c r="G57" s="141"/>
      <c r="H57" s="141"/>
      <c r="I57" s="1394">
        <f>I54+I55+I56</f>
        <v>3.4722222222222224E-2</v>
      </c>
      <c r="J57" s="1395" t="s">
        <v>37</v>
      </c>
      <c r="K57" s="988"/>
      <c r="L57" s="988"/>
      <c r="M57" s="988"/>
      <c r="N57" s="1396" t="s">
        <v>1155</v>
      </c>
      <c r="O57" s="1397" t="s">
        <v>1157</v>
      </c>
      <c r="Q57" s="5155"/>
      <c r="T57" s="214" t="s">
        <v>21</v>
      </c>
      <c r="U57" s="40" t="str">
        <f>U59</f>
        <v>Famille à coller.N.Nom de votre recette.Recette mère ►.S.Saisissez le nom de la recette mère</v>
      </c>
      <c r="V57" s="40"/>
      <c r="W57" s="40"/>
      <c r="X57" s="5453">
        <v>6</v>
      </c>
      <c r="Y57" s="5452" t="s">
        <v>73</v>
      </c>
      <c r="Z57" s="333"/>
      <c r="AA57" s="333"/>
      <c r="AB57" s="6901"/>
      <c r="AC57" s="6901"/>
      <c r="AD57" s="7612"/>
      <c r="AF57" s="5155"/>
      <c r="AI57" s="42" t="str">
        <f t="shared" si="22"/>
        <v>►</v>
      </c>
      <c r="AJ57" s="196" t="str">
        <f>AJ18</f>
        <v>Famille à coller.N.Nom de votre recette.Recette mère ►.S.Saisissez le nom de la recette mère</v>
      </c>
      <c r="AK57" s="196">
        <f>AK16</f>
        <v>6</v>
      </c>
      <c r="AL57" s="196" t="str">
        <f>AL16</f>
        <v>couverts</v>
      </c>
      <c r="AM57" s="1323"/>
      <c r="AN57" s="988"/>
      <c r="AO57" s="988"/>
      <c r="AP57" s="988"/>
      <c r="AQ57" s="988"/>
      <c r="AR57" s="988"/>
      <c r="AS57" s="1325"/>
      <c r="AU57" s="5155"/>
      <c r="AX57" s="42" t="str">
        <f t="shared" si="16"/>
        <v>►</v>
      </c>
      <c r="AY57" s="41" t="str">
        <f>AY16</f>
        <v>Famille à coller.N.Nom de votre recette.Recette mère ►.S.Saisissez le nom de la recette mère</v>
      </c>
      <c r="AZ57" s="40">
        <f>AZ16</f>
        <v>6</v>
      </c>
      <c r="BA57" s="39" t="str">
        <f>BA16</f>
        <v>couverts</v>
      </c>
      <c r="BB57" s="213"/>
      <c r="BC57" s="212"/>
      <c r="BD57" s="211" t="str">
        <f t="shared" si="18"/>
        <v/>
      </c>
      <c r="BE57" s="210"/>
      <c r="BF57" s="209"/>
      <c r="BG57" s="5448">
        <v>1</v>
      </c>
      <c r="BH57" s="33"/>
      <c r="BJ57" s="7713"/>
      <c r="BK57" s="7714"/>
      <c r="BL57" s="7714"/>
      <c r="BM57" s="7715"/>
      <c r="BN57" s="953"/>
      <c r="BO57" s="1049" t="s">
        <v>21</v>
      </c>
      <c r="BP57" s="1058" t="s">
        <v>892</v>
      </c>
      <c r="BQ57" s="1058"/>
      <c r="BR57" s="1059"/>
      <c r="BS57" s="341"/>
      <c r="BT57" s="341"/>
      <c r="BU57" s="1060"/>
      <c r="BV57" s="1"/>
      <c r="BW57" s="5">
        <v>1</v>
      </c>
    </row>
    <row r="58" spans="2:75" ht="17.25" customHeight="1">
      <c r="B58" s="5155"/>
      <c r="E58" s="141"/>
      <c r="F58" s="141"/>
      <c r="G58" s="141"/>
      <c r="H58" s="141"/>
      <c r="I58" s="1399" t="s">
        <v>864</v>
      </c>
      <c r="J58" s="1321"/>
      <c r="K58" s="1321"/>
      <c r="L58" s="1321"/>
      <c r="M58" s="1321"/>
      <c r="N58" s="1321"/>
      <c r="O58" s="1370"/>
      <c r="Q58" s="5155"/>
      <c r="T58" s="214" t="s">
        <v>26</v>
      </c>
      <c r="U58" s="328" t="str">
        <f>U59</f>
        <v>Famille à coller.N.Nom de votre recette.Recette mère ►.S.Saisissez le nom de la recette mère</v>
      </c>
      <c r="V58" s="328"/>
      <c r="W58" s="328"/>
      <c r="X58" s="327"/>
      <c r="Y58" s="326"/>
      <c r="Z58" s="326"/>
      <c r="AA58" s="326"/>
      <c r="AB58" s="326"/>
      <c r="AC58" s="326"/>
      <c r="AD58" s="325"/>
      <c r="AF58" s="5155"/>
      <c r="AI58" s="42" t="str">
        <f t="shared" si="22"/>
        <v>►</v>
      </c>
      <c r="AJ58" s="196" t="str">
        <f>AJ18</f>
        <v>Famille à coller.N.Nom de votre recette.Recette mère ►.S.Saisissez le nom de la recette mère</v>
      </c>
      <c r="AK58" s="196">
        <f>AK16</f>
        <v>6</v>
      </c>
      <c r="AL58" s="196" t="str">
        <f>AL16</f>
        <v>couverts</v>
      </c>
      <c r="AM58" s="1323"/>
      <c r="AN58" s="988"/>
      <c r="AO58" s="988"/>
      <c r="AP58" s="988"/>
      <c r="AQ58" s="988"/>
      <c r="AR58" s="988"/>
      <c r="AS58" s="1325"/>
      <c r="AU58" s="5155"/>
      <c r="AX58" s="42" t="str">
        <f t="shared" si="16"/>
        <v>►</v>
      </c>
      <c r="AY58" s="41" t="str">
        <f>AY16</f>
        <v>Famille à coller.N.Nom de votre recette.Recette mère ►.S.Saisissez le nom de la recette mère</v>
      </c>
      <c r="AZ58" s="40">
        <f>AZ16</f>
        <v>6</v>
      </c>
      <c r="BA58" s="39" t="str">
        <f>BA16</f>
        <v>couverts</v>
      </c>
      <c r="BB58" s="213"/>
      <c r="BC58" s="212"/>
      <c r="BD58" s="211" t="str">
        <f t="shared" si="18"/>
        <v/>
      </c>
      <c r="BE58" s="210"/>
      <c r="BF58" s="209"/>
      <c r="BG58" s="5448">
        <v>1</v>
      </c>
      <c r="BH58" s="33"/>
      <c r="BJ58" s="7713"/>
      <c r="BK58" s="7714"/>
      <c r="BL58" s="7714"/>
      <c r="BM58" s="7715"/>
      <c r="BN58" s="953"/>
      <c r="BO58" s="1049" t="s">
        <v>21</v>
      </c>
      <c r="BP58" s="1058" t="s">
        <v>892</v>
      </c>
      <c r="BQ58" s="1058"/>
      <c r="BR58" s="1059"/>
      <c r="BS58" s="5453">
        <v>18</v>
      </c>
      <c r="BT58" s="5452" t="s">
        <v>157</v>
      </c>
      <c r="BU58" s="1061" t="s">
        <v>228</v>
      </c>
      <c r="BV58" s="1"/>
      <c r="BW58" s="5">
        <v>1</v>
      </c>
    </row>
    <row r="59" spans="2:75" ht="17.25" customHeight="1">
      <c r="B59" s="5155"/>
      <c r="E59" s="141"/>
      <c r="F59" s="141"/>
      <c r="G59" s="141"/>
      <c r="H59" s="141"/>
      <c r="I59" s="1323"/>
      <c r="J59" s="988"/>
      <c r="K59" s="988"/>
      <c r="L59" s="988"/>
      <c r="M59" s="988"/>
      <c r="N59" s="988"/>
      <c r="O59" s="1325"/>
      <c r="Q59" s="5155"/>
      <c r="T59" s="319" t="s">
        <v>26</v>
      </c>
      <c r="U59" s="318" t="str">
        <f>X59</f>
        <v>Famille à coller.N.Nom de votre recette.Recette mère ►.S.Saisissez le nom de la recette mère</v>
      </c>
      <c r="V59" s="318">
        <f>X57</f>
        <v>6</v>
      </c>
      <c r="W59" s="318" t="str">
        <f>Y57</f>
        <v>couverts</v>
      </c>
      <c r="X59" s="5486" t="str">
        <f>UPPER(LEFT(Z53,1))&amp;LOWER(MID(Z53,2,999))&amp;"."&amp;UPPER(LEFT(AB53,1))&amp;"."&amp;UPPER(LEFT(AB53,1))&amp;LOWER(MID(AB53,2,999))&amp;"."&amp;IF(ISTEXT(AD59),AC59&amp;"."&amp;UPPER(LEFT(AD59,1))&amp;"."&amp;UPPER(LEFT(AD59,1))&amp;LOWER(MID(AD59,2,999)),Y59)</f>
        <v>Famille à coller.N.Nom de votre recette.Recette mère ►.S.Saisissez le nom de la recette mère</v>
      </c>
      <c r="Y59" s="5487" t="s">
        <v>223</v>
      </c>
      <c r="Z59" s="7613" t="s">
        <v>222</v>
      </c>
      <c r="AA59" s="7613"/>
      <c r="AB59" s="7613"/>
      <c r="AC59" s="317" t="s">
        <v>221</v>
      </c>
      <c r="AD59" s="1302" t="s">
        <v>1093</v>
      </c>
      <c r="AF59" s="5155"/>
      <c r="AI59" s="42" t="str">
        <f t="shared" si="22"/>
        <v>►</v>
      </c>
      <c r="AJ59" s="196" t="str">
        <f>AJ18</f>
        <v>Famille à coller.N.Nom de votre recette.Recette mère ►.S.Saisissez le nom de la recette mère</v>
      </c>
      <c r="AK59" s="196">
        <f>AK16</f>
        <v>6</v>
      </c>
      <c r="AL59" s="196" t="str">
        <f>AL16</f>
        <v>couverts</v>
      </c>
      <c r="AM59" s="1323"/>
      <c r="AN59" s="988"/>
      <c r="AO59" s="988"/>
      <c r="AP59" s="988"/>
      <c r="AQ59" s="988"/>
      <c r="AR59" s="988"/>
      <c r="AS59" s="1325"/>
      <c r="AU59" s="5155"/>
      <c r="AX59" s="42" t="str">
        <f t="shared" si="16"/>
        <v>►</v>
      </c>
      <c r="AY59" s="41" t="str">
        <f>AY16</f>
        <v>Famille à coller.N.Nom de votre recette.Recette mère ►.S.Saisissez le nom de la recette mère</v>
      </c>
      <c r="AZ59" s="40">
        <f>AZ16</f>
        <v>6</v>
      </c>
      <c r="BA59" s="39" t="str">
        <f>BA16</f>
        <v>couverts</v>
      </c>
      <c r="BB59" s="213"/>
      <c r="BC59" s="212"/>
      <c r="BD59" s="211" t="str">
        <f t="shared" si="18"/>
        <v/>
      </c>
      <c r="BE59" s="210"/>
      <c r="BF59" s="209"/>
      <c r="BG59" s="5448">
        <v>1</v>
      </c>
      <c r="BH59" s="33"/>
      <c r="BJ59" s="7713"/>
      <c r="BK59" s="7714"/>
      <c r="BL59" s="7714"/>
      <c r="BM59" s="7715"/>
      <c r="BN59" s="953"/>
      <c r="BO59" s="1049" t="s">
        <v>26</v>
      </c>
      <c r="BP59" s="1058" t="s">
        <v>892</v>
      </c>
      <c r="BQ59" s="1058"/>
      <c r="BR59" s="1059"/>
      <c r="BS59" s="1063" t="s">
        <v>902</v>
      </c>
      <c r="BT59" s="141"/>
      <c r="BU59" s="1064"/>
      <c r="BV59" s="1"/>
      <c r="BW59" s="5">
        <v>1</v>
      </c>
    </row>
    <row r="60" spans="2:75" ht="15.75" customHeight="1">
      <c r="B60" s="5155"/>
      <c r="E60" s="141"/>
      <c r="F60" s="141"/>
      <c r="G60" s="141"/>
      <c r="H60" s="141"/>
      <c r="I60" s="1323"/>
      <c r="J60" s="988"/>
      <c r="K60" s="988"/>
      <c r="L60" s="988"/>
      <c r="M60" s="988"/>
      <c r="N60" s="988"/>
      <c r="O60" s="1325"/>
      <c r="Q60" s="5155"/>
      <c r="T60" s="313" t="s">
        <v>26</v>
      </c>
      <c r="U60" s="312" t="str">
        <f>U59</f>
        <v>Famille à coller.N.Nom de votre recette.Recette mère ►.S.Saisissez le nom de la recette mère</v>
      </c>
      <c r="V60" s="311"/>
      <c r="W60" s="311"/>
      <c r="X60" s="310" t="s">
        <v>218</v>
      </c>
      <c r="Y60" s="310" t="s">
        <v>217</v>
      </c>
      <c r="Z60" s="310" t="s">
        <v>216</v>
      </c>
      <c r="AA60" s="310" t="s">
        <v>215</v>
      </c>
      <c r="AB60" s="310" t="s">
        <v>214</v>
      </c>
      <c r="AC60" s="308" t="s">
        <v>83</v>
      </c>
      <c r="AD60" s="307" t="s">
        <v>213</v>
      </c>
      <c r="AF60" s="5155"/>
      <c r="AI60" s="42" t="str">
        <f t="shared" si="22"/>
        <v>►</v>
      </c>
      <c r="AJ60" s="196" t="str">
        <f>AJ18</f>
        <v>Famille à coller.N.Nom de votre recette.Recette mère ►.S.Saisissez le nom de la recette mère</v>
      </c>
      <c r="AK60" s="196">
        <f>AK16</f>
        <v>6</v>
      </c>
      <c r="AL60" s="196" t="str">
        <f>AL16</f>
        <v>couverts</v>
      </c>
      <c r="AM60" s="1323"/>
      <c r="AN60" s="988"/>
      <c r="AO60" s="988"/>
      <c r="AP60" s="988"/>
      <c r="AQ60" s="988"/>
      <c r="AR60" s="988"/>
      <c r="AS60" s="1325"/>
      <c r="AU60" s="5155"/>
      <c r="AX60" s="42" t="str">
        <f t="shared" si="16"/>
        <v>►</v>
      </c>
      <c r="AY60" s="41" t="str">
        <f>AY16</f>
        <v>Famille à coller.N.Nom de votre recette.Recette mère ►.S.Saisissez le nom de la recette mère</v>
      </c>
      <c r="AZ60" s="40">
        <f>AZ16</f>
        <v>6</v>
      </c>
      <c r="BA60" s="39" t="str">
        <f>BA16</f>
        <v>couverts</v>
      </c>
      <c r="BB60" s="213"/>
      <c r="BC60" s="212"/>
      <c r="BD60" s="211" t="str">
        <f t="shared" si="18"/>
        <v/>
      </c>
      <c r="BE60" s="210"/>
      <c r="BF60" s="209"/>
      <c r="BG60" s="5448">
        <v>1</v>
      </c>
      <c r="BH60" s="33"/>
      <c r="BJ60" s="7697" t="s">
        <v>904</v>
      </c>
      <c r="BK60" s="7698"/>
      <c r="BL60" s="7698"/>
      <c r="BM60" s="7699"/>
      <c r="BN60" s="953"/>
      <c r="BO60" s="954"/>
      <c r="BP60" s="955"/>
      <c r="BQ60" s="955"/>
      <c r="BR60" s="955"/>
      <c r="BS60" s="7707" t="s">
        <v>222</v>
      </c>
      <c r="BT60" s="7707"/>
      <c r="BU60" s="7708"/>
      <c r="BV60" s="1"/>
      <c r="BW60" s="5">
        <v>1</v>
      </c>
    </row>
    <row r="61" spans="2:75" ht="18" customHeight="1">
      <c r="B61" s="5155"/>
      <c r="E61" s="141"/>
      <c r="F61" s="141"/>
      <c r="G61" s="141"/>
      <c r="H61" s="141"/>
      <c r="I61" s="1323"/>
      <c r="J61" s="988"/>
      <c r="K61" s="988"/>
      <c r="L61" s="988"/>
      <c r="M61" s="988"/>
      <c r="N61" s="988"/>
      <c r="O61" s="1325"/>
      <c r="Q61" s="5155"/>
      <c r="T61" s="214" t="s">
        <v>21</v>
      </c>
      <c r="U61" s="41" t="str">
        <f>U59</f>
        <v>Famille à coller.N.Nom de votre recette.Recette mère ►.S.Saisissez le nom de la recette mère</v>
      </c>
      <c r="V61" s="40"/>
      <c r="W61" s="40"/>
      <c r="X61" s="299" t="s">
        <v>198</v>
      </c>
      <c r="Y61" s="298" t="s">
        <v>197</v>
      </c>
      <c r="Z61" s="297"/>
      <c r="AA61" s="6986" t="s">
        <v>196</v>
      </c>
      <c r="AB61" s="6987" t="s">
        <v>195</v>
      </c>
      <c r="AC61" s="7695" t="s">
        <v>82</v>
      </c>
      <c r="AD61" s="296" t="s">
        <v>194</v>
      </c>
      <c r="AF61" s="5155"/>
      <c r="AI61" s="42" t="str">
        <f t="shared" si="22"/>
        <v>►</v>
      </c>
      <c r="AJ61" s="196" t="str">
        <f>AJ18</f>
        <v>Famille à coller.N.Nom de votre recette.Recette mère ►.S.Saisissez le nom de la recette mère</v>
      </c>
      <c r="AK61" s="196">
        <f>AK16</f>
        <v>6</v>
      </c>
      <c r="AL61" s="196" t="str">
        <f>AL16</f>
        <v>couverts</v>
      </c>
      <c r="AM61" s="1323"/>
      <c r="AN61" s="988"/>
      <c r="AO61" s="988"/>
      <c r="AP61" s="988"/>
      <c r="AQ61" s="988"/>
      <c r="AR61" s="988"/>
      <c r="AS61" s="1325"/>
      <c r="AU61" s="5155"/>
      <c r="AX61" s="214" t="s">
        <v>21</v>
      </c>
      <c r="AY61" s="41" t="str">
        <f>AY16</f>
        <v>Famille à coller.N.Nom de votre recette.Recette mère ►.S.Saisissez le nom de la recette mère</v>
      </c>
      <c r="AZ61" s="40">
        <f>AZ16</f>
        <v>6</v>
      </c>
      <c r="BA61" s="39" t="str">
        <f>BA16</f>
        <v>couverts</v>
      </c>
      <c r="BB61" s="213"/>
      <c r="BC61" s="212"/>
      <c r="BD61" s="211" t="str">
        <f t="shared" si="18"/>
        <v/>
      </c>
      <c r="BE61" s="210"/>
      <c r="BF61" s="209"/>
      <c r="BG61" s="5448">
        <v>1</v>
      </c>
      <c r="BH61" s="33"/>
      <c r="BJ61" s="7697"/>
      <c r="BK61" s="7698"/>
      <c r="BL61" s="7698"/>
      <c r="BM61" s="7699"/>
      <c r="BN61" s="953"/>
      <c r="BO61" s="1065"/>
      <c r="BP61" s="1066" t="s">
        <v>906</v>
      </c>
      <c r="BQ61" s="1067" t="s">
        <v>895</v>
      </c>
      <c r="BR61" s="1067"/>
      <c r="BS61" s="7709" t="s">
        <v>907</v>
      </c>
      <c r="BT61" s="7709"/>
      <c r="BU61" s="7710"/>
      <c r="BV61" s="1"/>
      <c r="BW61" s="5">
        <v>1</v>
      </c>
    </row>
    <row r="62" spans="2:75" ht="21.75" customHeight="1">
      <c r="B62" s="5155"/>
      <c r="E62" s="141"/>
      <c r="F62" s="141"/>
      <c r="G62" s="141"/>
      <c r="H62" s="141"/>
      <c r="I62" s="1338"/>
      <c r="J62" s="997"/>
      <c r="K62" s="997"/>
      <c r="L62" s="997"/>
      <c r="M62" s="997"/>
      <c r="N62" s="997"/>
      <c r="O62" s="1339" t="s">
        <v>1112</v>
      </c>
      <c r="Q62" s="5155"/>
      <c r="T62" s="214" t="s">
        <v>21</v>
      </c>
      <c r="U62" s="41" t="str">
        <f>U59</f>
        <v>Famille à coller.N.Nom de votre recette.Recette mère ►.S.Saisissez le nom de la recette mère</v>
      </c>
      <c r="V62" s="40"/>
      <c r="W62" s="40"/>
      <c r="X62" s="287" t="s">
        <v>184</v>
      </c>
      <c r="Y62" s="286" t="s">
        <v>162</v>
      </c>
      <c r="Z62" s="285" t="s">
        <v>186</v>
      </c>
      <c r="AA62" s="6905"/>
      <c r="AB62" s="7614"/>
      <c r="AC62" s="7696"/>
      <c r="AD62" s="284" t="s">
        <v>185</v>
      </c>
      <c r="AF62" s="5155"/>
      <c r="AI62" s="42" t="str">
        <f t="shared" si="22"/>
        <v>►</v>
      </c>
      <c r="AJ62" s="196" t="str">
        <f>AJ18</f>
        <v>Famille à coller.N.Nom de votre recette.Recette mère ►.S.Saisissez le nom de la recette mère</v>
      </c>
      <c r="AK62" s="196">
        <f>AK16</f>
        <v>6</v>
      </c>
      <c r="AL62" s="196" t="str">
        <f>AL16</f>
        <v>couverts</v>
      </c>
      <c r="AM62" s="1323"/>
      <c r="AN62" s="988"/>
      <c r="AO62" s="988"/>
      <c r="AP62" s="988"/>
      <c r="AQ62" s="988"/>
      <c r="AR62" s="988"/>
      <c r="AS62" s="1325"/>
      <c r="AU62" s="5155"/>
      <c r="AW62" s="1720" t="s">
        <v>7844</v>
      </c>
      <c r="AX62" s="1327" t="s">
        <v>21</v>
      </c>
      <c r="AY62" s="1313" t="str">
        <f>AY16</f>
        <v>Famille à coller.N.Nom de votre recette.Recette mère ►.S.Saisissez le nom de la recette mère</v>
      </c>
      <c r="AZ62" s="1313">
        <f>AZ16</f>
        <v>6</v>
      </c>
      <c r="BA62" s="1341" t="str">
        <f>BA16</f>
        <v>couverts</v>
      </c>
      <c r="BB62" s="1314" t="s">
        <v>218</v>
      </c>
      <c r="BC62" s="1314" cm="1">
        <f t="array" ref="BC62">IFERROR(ROW(BB102)-(ROW(BB63)+MATCH(TRUE,INDEX(ISNUMBER(FIND(BG62,TRIM(SUBSTITUTE(SUBSTITUTE(SUBSTITUTE(SUBSTITUTE(SUBSTITUTE(SUBSTITUTE(SUBSTITUTE(LOWER(BB63:BB102),"é","e"),"è","e"),"ê","e"),"ë","e"),"à","a"),"ù","u"),"î","i")))),0),0)-1),"Non trouvé")</f>
        <v>38</v>
      </c>
      <c r="BD62" s="1315" t="s">
        <v>1108</v>
      </c>
      <c r="BE62" s="1316"/>
      <c r="BF62" s="1316"/>
      <c r="BG62" s="1317" t="str">
        <f>TRIM(SUBSTITUTE(SUBSTITUTE(SUBSTITUTE(SUBSTITUTE(SUBSTITUTE(SUBSTITUTE(SUBSTITUTE(LOWER(BH62),"é","e"),"è","e"),"ê","e"),"ë","e"),"à","a"),"ù","u"),"î","i"))</f>
        <v>⓬ ▼ phases de progression</v>
      </c>
      <c r="BH62" s="1318" t="s">
        <v>864</v>
      </c>
      <c r="BJ62" s="275"/>
      <c r="BK62" s="1"/>
      <c r="BL62" s="106"/>
      <c r="BM62" s="105"/>
      <c r="BN62" s="953"/>
      <c r="BO62" s="1065"/>
      <c r="BP62" s="1066" t="s">
        <v>909</v>
      </c>
      <c r="BQ62" s="1068" t="s">
        <v>910</v>
      </c>
      <c r="BR62" s="955"/>
      <c r="BS62" s="7709"/>
      <c r="BT62" s="7709"/>
      <c r="BU62" s="7710"/>
      <c r="BV62" s="1"/>
      <c r="BW62" s="5">
        <v>1</v>
      </c>
    </row>
    <row r="63" spans="2:75" ht="23.25" customHeight="1">
      <c r="B63" s="5155"/>
      <c r="E63" s="141"/>
      <c r="F63" s="141"/>
      <c r="G63" s="141"/>
      <c r="H63" s="141"/>
      <c r="I63" s="1002"/>
      <c r="J63" s="1002"/>
      <c r="K63" s="1002" t="s">
        <v>873</v>
      </c>
      <c r="L63" s="1003"/>
      <c r="M63" s="1329"/>
      <c r="N63" s="1329"/>
      <c r="O63" s="1330"/>
      <c r="Q63" s="5155"/>
      <c r="T63" s="214" t="s">
        <v>21</v>
      </c>
      <c r="U63" s="41" t="str">
        <f>U59</f>
        <v>Famille à coller.N.Nom de votre recette.Recette mère ►.S.Saisissez le nom de la recette mère</v>
      </c>
      <c r="V63" s="40">
        <f>V59</f>
        <v>6</v>
      </c>
      <c r="W63" s="40" t="str">
        <f>W59</f>
        <v>couverts</v>
      </c>
      <c r="X63" s="213"/>
      <c r="Y63" s="256"/>
      <c r="Z63" s="211" t="str">
        <f t="shared" ref="Z63:Z76" si="23">IF(OR(ISTEXT(X63), X63&lt;=0, AA63&lt;=0), "", "de")</f>
        <v/>
      </c>
      <c r="AA63" s="210"/>
      <c r="AB63" s="209"/>
      <c r="AC63" s="5448">
        <v>1</v>
      </c>
      <c r="AD63" s="33"/>
      <c r="AF63" s="5155"/>
      <c r="AI63" s="42" t="str">
        <f t="shared" si="22"/>
        <v>►</v>
      </c>
      <c r="AJ63" s="196" t="str">
        <f>AJ18</f>
        <v>Famille à coller.N.Nom de votre recette.Recette mère ►.S.Saisissez le nom de la recette mère</v>
      </c>
      <c r="AK63" s="196">
        <f>AK16</f>
        <v>6</v>
      </c>
      <c r="AL63" s="196" t="str">
        <f>AL16</f>
        <v>couverts</v>
      </c>
      <c r="AM63" s="1323"/>
      <c r="AN63" s="988"/>
      <c r="AO63" s="988"/>
      <c r="AP63" s="988"/>
      <c r="AQ63" s="988"/>
      <c r="AR63" s="988"/>
      <c r="AS63" s="1325"/>
      <c r="AU63" s="5155"/>
      <c r="AW63" s="5149">
        <f>ROW()</f>
        <v>63</v>
      </c>
      <c r="AX63" s="1023" t="s">
        <v>21</v>
      </c>
      <c r="AY63" s="1345" t="str">
        <f>AY16</f>
        <v>Famille à coller.N.Nom de votre recette.Recette mère ►.S.Saisissez le nom de la recette mère</v>
      </c>
      <c r="AZ63" s="1345">
        <f>AZ16</f>
        <v>6</v>
      </c>
      <c r="BA63" s="1346" t="str">
        <f>BA16</f>
        <v>couverts</v>
      </c>
      <c r="BB63" s="369" t="s">
        <v>252</v>
      </c>
      <c r="BC63" s="1321"/>
      <c r="BD63" s="1321"/>
      <c r="BE63" s="1321"/>
      <c r="BF63" s="1321"/>
      <c r="BG63" s="1321"/>
      <c r="BH63" s="1322"/>
      <c r="BJ63" s="235" t="s">
        <v>82</v>
      </c>
      <c r="BK63" s="232" t="s">
        <v>912</v>
      </c>
      <c r="BL63" s="176"/>
      <c r="BM63" s="105"/>
      <c r="BN63" s="953"/>
      <c r="BO63" s="1065"/>
      <c r="BP63" s="1066" t="s">
        <v>911</v>
      </c>
      <c r="BQ63" s="1070" t="s">
        <v>894</v>
      </c>
      <c r="BR63" s="955"/>
      <c r="BS63" s="7711" t="str">
        <f>"Recette *"&amp;BQ61&amp;"/ Famille* "&amp;BQ63&amp;"/ Auteur* "&amp;BQ62&amp;" /Recette Mère ► "&amp;BR66</f>
        <v>Recette *CHIBOUST PAMPLEMOUSSE/ Famille* Dessert assiette/ Auteur* Jean-Jacques Borne MOF 1994 /Recette Mère ► MILLE-FEUILLE meringue et chiboust pamplemousse aux fraises des bois</v>
      </c>
      <c r="BT63" s="7711"/>
      <c r="BU63" s="7712"/>
      <c r="BV63" s="1"/>
      <c r="BW63" s="5">
        <v>1</v>
      </c>
    </row>
    <row r="64" spans="2:75" ht="21" customHeight="1" thickBot="1">
      <c r="B64" s="5155"/>
      <c r="E64" s="141"/>
      <c r="F64" s="141"/>
      <c r="G64" s="141"/>
      <c r="H64" s="141"/>
      <c r="I64" s="1332" t="s">
        <v>86</v>
      </c>
      <c r="J64" s="1006"/>
      <c r="K64" s="1007"/>
      <c r="L64" s="1008"/>
      <c r="M64" s="1007"/>
      <c r="N64" s="1007"/>
      <c r="O64" s="1333"/>
      <c r="Q64" s="5155"/>
      <c r="T64" s="42" t="str">
        <f t="shared" ref="T64:T76" si="24">IF(AD64&lt;&gt;"","A","►")</f>
        <v>►</v>
      </c>
      <c r="U64" s="41" t="str">
        <f>U59</f>
        <v>Famille à coller.N.Nom de votre recette.Recette mère ►.S.Saisissez le nom de la recette mère</v>
      </c>
      <c r="V64" s="40">
        <f>V59</f>
        <v>6</v>
      </c>
      <c r="W64" s="40" t="str">
        <f>W59</f>
        <v>couverts</v>
      </c>
      <c r="X64" s="213"/>
      <c r="Y64" s="256"/>
      <c r="Z64" s="211" t="str">
        <f t="shared" si="23"/>
        <v/>
      </c>
      <c r="AA64" s="210"/>
      <c r="AB64" s="209"/>
      <c r="AC64" s="5448">
        <v>1</v>
      </c>
      <c r="AD64" s="33"/>
      <c r="AF64" s="5155"/>
      <c r="AI64" s="1037" t="s">
        <v>21</v>
      </c>
      <c r="AJ64" s="196" t="str">
        <f>AJ18</f>
        <v>Famille à coller.N.Nom de votre recette.Recette mère ►.S.Saisissez le nom de la recette mère</v>
      </c>
      <c r="AK64" s="196">
        <f>AK16</f>
        <v>6</v>
      </c>
      <c r="AL64" s="196" t="str">
        <f>AL16</f>
        <v>couverts</v>
      </c>
      <c r="AM64" s="1342" t="s">
        <v>869</v>
      </c>
      <c r="AN64" s="993"/>
      <c r="AO64" s="993"/>
      <c r="AP64" s="993"/>
      <c r="AQ64" s="993"/>
      <c r="AR64" s="1343"/>
      <c r="AS64" s="1344" t="s">
        <v>870</v>
      </c>
      <c r="AU64" s="5155"/>
      <c r="AX64" s="42" t="str">
        <f t="shared" ref="AX64:AX69" si="25">IF(OR(BB64&lt;&gt;"",BC64&lt;&gt; "",BD64&lt;&gt;"",BE64&lt;&gt;""),"A", "►")</f>
        <v>A</v>
      </c>
      <c r="AY64" s="196" t="str">
        <f>AY16</f>
        <v>Famille à coller.N.Nom de votre recette.Recette mère ►.S.Saisissez le nom de la recette mère</v>
      </c>
      <c r="AZ64" s="196">
        <f>AZ16</f>
        <v>6</v>
      </c>
      <c r="BA64" s="1347" t="str">
        <f>BA16</f>
        <v>couverts</v>
      </c>
      <c r="BB64" s="1319" t="s">
        <v>864</v>
      </c>
      <c r="BC64" s="1320"/>
      <c r="BD64" s="1320"/>
      <c r="BE64" s="1320"/>
      <c r="BF64" s="1320"/>
      <c r="BG64" s="1320"/>
      <c r="BH64" s="1324"/>
      <c r="BJ64" s="233" t="s">
        <v>98</v>
      </c>
      <c r="BK64" s="232"/>
      <c r="BL64" s="176"/>
      <c r="BM64" s="105"/>
      <c r="BN64" s="953"/>
      <c r="BO64" s="1065"/>
      <c r="BP64" s="1066" t="s">
        <v>913</v>
      </c>
      <c r="BQ64" s="5454" t="s">
        <v>914</v>
      </c>
      <c r="BR64" s="955"/>
      <c r="BS64" s="7711"/>
      <c r="BT64" s="7711"/>
      <c r="BU64" s="7712"/>
      <c r="BV64" s="1"/>
      <c r="BW64" s="5">
        <v>1</v>
      </c>
    </row>
    <row r="65" spans="2:75" ht="15.75" customHeight="1">
      <c r="B65" s="5155"/>
      <c r="E65" s="141"/>
      <c r="F65" s="141"/>
      <c r="G65" s="141"/>
      <c r="H65" s="141"/>
      <c r="I65" s="141"/>
      <c r="J65" s="141"/>
      <c r="K65" s="141"/>
      <c r="L65" s="141"/>
      <c r="M65" s="141"/>
      <c r="N65" s="141"/>
      <c r="O65" s="141"/>
      <c r="Q65" s="5155"/>
      <c r="T65" s="42" t="str">
        <f t="shared" si="24"/>
        <v>►</v>
      </c>
      <c r="U65" s="41" t="str">
        <f>U59</f>
        <v>Famille à coller.N.Nom de votre recette.Recette mère ►.S.Saisissez le nom de la recette mère</v>
      </c>
      <c r="V65" s="40">
        <f>V59</f>
        <v>6</v>
      </c>
      <c r="W65" s="40" t="str">
        <f>W59</f>
        <v>couverts</v>
      </c>
      <c r="X65" s="213"/>
      <c r="Y65" s="212"/>
      <c r="Z65" s="211" t="str">
        <f t="shared" si="23"/>
        <v/>
      </c>
      <c r="AA65" s="210"/>
      <c r="AB65" s="209"/>
      <c r="AC65" s="5448">
        <v>1</v>
      </c>
      <c r="AD65" s="33"/>
      <c r="AF65" s="5155"/>
      <c r="AI65" s="1037" t="s">
        <v>21</v>
      </c>
      <c r="AJ65" s="196" t="str">
        <f>AJ18</f>
        <v>Famille à coller.N.Nom de votre recette.Recette mère ►.S.Saisissez le nom de la recette mère</v>
      </c>
      <c r="AK65" s="196">
        <f>AK16</f>
        <v>6</v>
      </c>
      <c r="AL65" s="1347" t="str">
        <f>AL16</f>
        <v>couverts</v>
      </c>
      <c r="AM65" s="1348"/>
      <c r="AN65" s="997"/>
      <c r="AO65" s="997"/>
      <c r="AP65" s="997"/>
      <c r="AQ65" s="997"/>
      <c r="AR65" s="1349"/>
      <c r="AS65" s="1326" t="s">
        <v>871</v>
      </c>
      <c r="AU65" s="5155"/>
      <c r="AX65" s="42" t="str">
        <f t="shared" si="25"/>
        <v>►</v>
      </c>
      <c r="AY65" s="196" t="str">
        <f>AY16</f>
        <v>Famille à coller.N.Nom de votre recette.Recette mère ►.S.Saisissez le nom de la recette mère</v>
      </c>
      <c r="AZ65" s="196">
        <f>AZ16</f>
        <v>6</v>
      </c>
      <c r="BA65" s="1347" t="str">
        <f>BA16</f>
        <v>couverts</v>
      </c>
      <c r="BB65" s="988"/>
      <c r="BC65" s="988"/>
      <c r="BD65" s="988"/>
      <c r="BE65" s="988"/>
      <c r="BF65" s="988"/>
      <c r="BG65" s="988"/>
      <c r="BH65" s="1325"/>
      <c r="BJ65" s="99" t="s">
        <v>915</v>
      </c>
      <c r="BK65" s="230"/>
      <c r="BL65" s="106"/>
      <c r="BM65" s="105"/>
      <c r="BN65" s="953"/>
      <c r="BO65" s="954"/>
      <c r="BP65" s="955"/>
      <c r="BQ65" s="955"/>
      <c r="BR65" s="955"/>
      <c r="BS65" s="7711"/>
      <c r="BT65" s="7711"/>
      <c r="BU65" s="7712"/>
      <c r="BV65" s="1"/>
      <c r="BW65" s="5">
        <v>1</v>
      </c>
    </row>
    <row r="66" spans="2:75" ht="18.75">
      <c r="B66" s="5155"/>
      <c r="C66" s="5153"/>
      <c r="D66" s="5154" t="s">
        <v>7845</v>
      </c>
      <c r="E66" s="141"/>
      <c r="F66" s="141"/>
      <c r="G66" s="141"/>
      <c r="H66" s="141"/>
      <c r="I66" s="5150" t="s">
        <v>218</v>
      </c>
      <c r="J66" s="1364" cm="1">
        <f t="array" ref="J66">IFERROR(ROW(I76)-(ROW(I67)+MATCH(TRUE,INDEX(ISNUMBER(FIND(N66,TRIM(SUBSTITUTE(SUBSTITUTE(SUBSTITUTE(SUBSTITUTE(SUBSTITUTE(SUBSTITUTE(SUBSTITUTE(LOWER(I67:I76),"é","e"),"è","e"),"ê","e"),"ë","e"),"à","a"),"ù","u"),"î","i")))),0),0)-1),1)</f>
        <v>4</v>
      </c>
      <c r="K66" s="1365" t="s">
        <v>1133</v>
      </c>
      <c r="L66" s="1366"/>
      <c r="M66" s="1366"/>
      <c r="N66" s="1422" t="str">
        <f>TRIM(SUBSTITUTE(SUBSTITUTE(SUBSTITUTE(SUBSTITUTE(SUBSTITUTE(SUBSTITUTE(SUBSTITUTE(LOWER(O66),"é","e"),"è","e"),"ê","e"),"ë","e"),"à","a"),"ù","u"),"î","i"))</f>
        <v>⓬ ▼ observations</v>
      </c>
      <c r="O66" s="1423" t="s">
        <v>1184</v>
      </c>
      <c r="Q66" s="5155"/>
      <c r="T66" s="42" t="str">
        <f t="shared" si="24"/>
        <v>►</v>
      </c>
      <c r="U66" s="41" t="str">
        <f>U59</f>
        <v>Famille à coller.N.Nom de votre recette.Recette mère ►.S.Saisissez le nom de la recette mère</v>
      </c>
      <c r="V66" s="40">
        <f>V59</f>
        <v>6</v>
      </c>
      <c r="W66" s="40" t="str">
        <f>W59</f>
        <v>couverts</v>
      </c>
      <c r="X66" s="213"/>
      <c r="Y66" s="212"/>
      <c r="Z66" s="211" t="str">
        <f t="shared" si="23"/>
        <v/>
      </c>
      <c r="AA66" s="210"/>
      <c r="AB66" s="209"/>
      <c r="AC66" s="5448">
        <v>1</v>
      </c>
      <c r="AD66" s="33"/>
      <c r="AF66" s="5155"/>
      <c r="AI66" s="1037" t="s">
        <v>21</v>
      </c>
      <c r="AJ66" s="196" t="str">
        <f>AJ18</f>
        <v>Famille à coller.N.Nom de votre recette.Recette mère ►.S.Saisissez le nom de la recette mère</v>
      </c>
      <c r="AK66" s="196">
        <f>AK16</f>
        <v>6</v>
      </c>
      <c r="AL66" s="1347" t="str">
        <f>AL16</f>
        <v>couverts</v>
      </c>
      <c r="AM66" s="1350"/>
      <c r="AN66" s="997"/>
      <c r="AO66" s="997"/>
      <c r="AP66" s="997"/>
      <c r="AQ66" s="997"/>
      <c r="AR66" s="1349"/>
      <c r="AS66" s="1326" t="s">
        <v>872</v>
      </c>
      <c r="AU66" s="5155"/>
      <c r="AX66" s="42" t="str">
        <f t="shared" si="25"/>
        <v>►</v>
      </c>
      <c r="AY66" s="196" t="str">
        <f>AY16</f>
        <v>Famille à coller.N.Nom de votre recette.Recette mère ►.S.Saisissez le nom de la recette mère</v>
      </c>
      <c r="AZ66" s="196">
        <f>AZ16</f>
        <v>6</v>
      </c>
      <c r="BA66" s="1347" t="str">
        <f>BA16</f>
        <v>couverts</v>
      </c>
      <c r="BB66" s="988"/>
      <c r="BC66" s="988"/>
      <c r="BD66" s="988"/>
      <c r="BE66" s="988"/>
      <c r="BF66" s="988"/>
      <c r="BG66" s="988"/>
      <c r="BH66" s="1325"/>
      <c r="BJ66" s="221" t="s">
        <v>918</v>
      </c>
      <c r="BK66" s="226"/>
      <c r="BL66" s="106"/>
      <c r="BM66" s="105"/>
      <c r="BN66" s="953"/>
      <c r="BO66" s="1071"/>
      <c r="BP66" s="1072"/>
      <c r="BQ66" s="1073" t="s">
        <v>917</v>
      </c>
      <c r="BR66" s="1074" t="s">
        <v>919</v>
      </c>
      <c r="BS66" s="1075"/>
      <c r="BT66" s="1075"/>
      <c r="BU66" s="1076"/>
      <c r="BV66" s="1"/>
      <c r="BW66" s="5">
        <v>1</v>
      </c>
    </row>
    <row r="67" spans="2:75" ht="19.5" customHeight="1">
      <c r="B67" s="5155"/>
      <c r="D67" s="5152" t="s">
        <v>7842</v>
      </c>
      <c r="E67" s="141"/>
      <c r="F67" s="141"/>
      <c r="G67" s="141"/>
      <c r="H67" s="141"/>
      <c r="I67" s="1424" t="s">
        <v>1185</v>
      </c>
      <c r="J67" s="1425" t="s">
        <v>1186</v>
      </c>
      <c r="K67" s="1426"/>
      <c r="L67" s="1426" t="s">
        <v>1187</v>
      </c>
      <c r="M67" s="1426" t="s">
        <v>1188</v>
      </c>
      <c r="N67" s="1426" t="s">
        <v>1189</v>
      </c>
      <c r="O67" s="1427" t="s">
        <v>1190</v>
      </c>
      <c r="Q67" s="5155"/>
      <c r="T67" s="42" t="str">
        <f t="shared" si="24"/>
        <v>A</v>
      </c>
      <c r="U67" s="41" t="str">
        <f>U59</f>
        <v>Famille à coller.N.Nom de votre recette.Recette mère ►.S.Saisissez le nom de la recette mère</v>
      </c>
      <c r="V67" s="40">
        <f>V59</f>
        <v>6</v>
      </c>
      <c r="W67" s="40" t="str">
        <f>W59</f>
        <v>couverts</v>
      </c>
      <c r="X67" s="213"/>
      <c r="Y67" s="212"/>
      <c r="Z67" s="211" t="str">
        <f t="shared" si="23"/>
        <v/>
      </c>
      <c r="AA67" s="210"/>
      <c r="AB67" s="209"/>
      <c r="AC67" s="5448">
        <v>1</v>
      </c>
      <c r="AD67" s="33" t="s">
        <v>1104</v>
      </c>
      <c r="AF67" s="5155"/>
      <c r="AI67" s="1037" t="s">
        <v>21</v>
      </c>
      <c r="AJ67" s="196" t="str">
        <f>AJ18</f>
        <v>Famille à coller.N.Nom de votre recette.Recette mère ►.S.Saisissez le nom de la recette mère</v>
      </c>
      <c r="AK67" s="196">
        <f>AK16</f>
        <v>6</v>
      </c>
      <c r="AL67" s="196" t="str">
        <f>AL16</f>
        <v>couverts</v>
      </c>
      <c r="AM67" s="1002"/>
      <c r="AN67" s="1002"/>
      <c r="AO67" s="1002" t="s">
        <v>873</v>
      </c>
      <c r="AP67" s="1003"/>
      <c r="AQ67" s="1329"/>
      <c r="AR67" s="1329"/>
      <c r="AS67" s="1330"/>
      <c r="AU67" s="5155"/>
      <c r="AX67" s="42" t="str">
        <f t="shared" si="25"/>
        <v>►</v>
      </c>
      <c r="AY67" s="196" t="str">
        <f>AY16</f>
        <v>Famille à coller.N.Nom de votre recette.Recette mère ►.S.Saisissez le nom de la recette mère</v>
      </c>
      <c r="AZ67" s="196">
        <f>AZ16</f>
        <v>6</v>
      </c>
      <c r="BA67" s="1347" t="str">
        <f>BA16</f>
        <v>couverts</v>
      </c>
      <c r="BB67" s="988"/>
      <c r="BC67" s="988"/>
      <c r="BD67" s="988"/>
      <c r="BE67" s="988"/>
      <c r="BF67" s="988"/>
      <c r="BG67" s="988"/>
      <c r="BH67" s="1325"/>
      <c r="BJ67" s="221" t="s">
        <v>920</v>
      </c>
      <c r="BK67" s="226"/>
      <c r="BL67" s="106"/>
      <c r="BM67" s="105"/>
      <c r="BN67" s="953"/>
      <c r="BO67" s="954"/>
      <c r="BP67" s="1077"/>
      <c r="BQ67" s="955"/>
      <c r="BR67" s="955"/>
      <c r="BS67" s="955"/>
      <c r="BT67" s="955"/>
      <c r="BU67" s="956"/>
      <c r="BV67" s="1"/>
      <c r="BW67" s="5">
        <v>1</v>
      </c>
    </row>
    <row r="68" spans="2:75" ht="16.5" customHeight="1" thickBot="1">
      <c r="B68" s="5155"/>
      <c r="E68" s="141"/>
      <c r="F68" s="141"/>
      <c r="G68" s="141"/>
      <c r="H68" s="141"/>
      <c r="I68" s="1428"/>
      <c r="J68" s="1429">
        <v>2.4305555555555556E-2</v>
      </c>
      <c r="K68" s="141"/>
      <c r="L68" s="1389">
        <v>100</v>
      </c>
      <c r="M68" s="1430">
        <v>0.6</v>
      </c>
      <c r="N68" s="1431" t="s">
        <v>1191</v>
      </c>
      <c r="O68" s="1432" t="s">
        <v>1192</v>
      </c>
      <c r="Q68" s="5155"/>
      <c r="T68" s="42" t="str">
        <f t="shared" si="24"/>
        <v>►</v>
      </c>
      <c r="U68" s="41" t="str">
        <f>U59</f>
        <v>Famille à coller.N.Nom de votre recette.Recette mère ►.S.Saisissez le nom de la recette mère</v>
      </c>
      <c r="V68" s="40">
        <f>V59</f>
        <v>6</v>
      </c>
      <c r="W68" s="40" t="str">
        <f>W59</f>
        <v>couverts</v>
      </c>
      <c r="X68" s="213"/>
      <c r="Y68" s="212"/>
      <c r="Z68" s="211" t="str">
        <f t="shared" si="23"/>
        <v/>
      </c>
      <c r="AA68" s="210"/>
      <c r="AB68" s="209"/>
      <c r="AC68" s="5448">
        <v>1</v>
      </c>
      <c r="AD68" s="33"/>
      <c r="AF68" s="5155"/>
      <c r="AI68" s="1069" t="s">
        <v>21</v>
      </c>
      <c r="AJ68" s="1331" t="str">
        <f>AJ18</f>
        <v>Famille à coller.N.Nom de votre recette.Recette mère ►.S.Saisissez le nom de la recette mère</v>
      </c>
      <c r="AK68" s="1331">
        <f>AK16</f>
        <v>6</v>
      </c>
      <c r="AL68" s="1331" t="str">
        <f>AL16</f>
        <v>couverts</v>
      </c>
      <c r="AM68" s="1332" t="s">
        <v>86</v>
      </c>
      <c r="AN68" s="1006"/>
      <c r="AO68" s="1007"/>
      <c r="AP68" s="1008"/>
      <c r="AQ68" s="1007"/>
      <c r="AR68" s="1007"/>
      <c r="AS68" s="1333"/>
      <c r="AU68" s="5155"/>
      <c r="AX68" s="42" t="str">
        <f t="shared" si="25"/>
        <v>►</v>
      </c>
      <c r="AY68" s="196" t="str">
        <f>AY16</f>
        <v>Famille à coller.N.Nom de votre recette.Recette mère ►.S.Saisissez le nom de la recette mère</v>
      </c>
      <c r="AZ68" s="196">
        <f>AZ16</f>
        <v>6</v>
      </c>
      <c r="BA68" s="1347" t="str">
        <f>BA16</f>
        <v>couverts</v>
      </c>
      <c r="BB68" s="988"/>
      <c r="BC68" s="988"/>
      <c r="BD68" s="988"/>
      <c r="BE68" s="988"/>
      <c r="BF68" s="988"/>
      <c r="BG68" s="988"/>
      <c r="BH68" s="1325"/>
      <c r="BJ68" s="221" t="s">
        <v>921</v>
      </c>
      <c r="BK68" s="226"/>
      <c r="BL68" s="106"/>
      <c r="BM68" s="105"/>
      <c r="BN68" s="953"/>
      <c r="BO68" s="1078" t="s">
        <v>847</v>
      </c>
      <c r="BP68" s="1077"/>
      <c r="BQ68" s="955"/>
      <c r="BR68" s="955"/>
      <c r="BS68" s="955"/>
      <c r="BT68" s="955"/>
      <c r="BU68" s="956"/>
      <c r="BV68" s="1"/>
      <c r="BW68" s="5">
        <v>1</v>
      </c>
    </row>
    <row r="69" spans="2:75" ht="20.25" customHeight="1">
      <c r="B69" s="5155"/>
      <c r="E69" s="141"/>
      <c r="F69" s="141"/>
      <c r="G69" s="141"/>
      <c r="H69" s="141"/>
      <c r="I69" s="1428" t="s">
        <v>1193</v>
      </c>
      <c r="J69" s="1429">
        <v>1.0416666666666666E-2</v>
      </c>
      <c r="K69" s="141"/>
      <c r="L69" s="1389">
        <v>100</v>
      </c>
      <c r="M69" s="1430">
        <v>0.6</v>
      </c>
      <c r="N69" s="1431" t="s">
        <v>1194</v>
      </c>
      <c r="O69" s="1432" t="s">
        <v>1195</v>
      </c>
      <c r="Q69" s="5155"/>
      <c r="T69" s="42" t="str">
        <f t="shared" si="24"/>
        <v>►</v>
      </c>
      <c r="U69" s="41" t="str">
        <f>U59</f>
        <v>Famille à coller.N.Nom de votre recette.Recette mère ►.S.Saisissez le nom de la recette mère</v>
      </c>
      <c r="V69" s="40">
        <f>V59</f>
        <v>6</v>
      </c>
      <c r="W69" s="40" t="str">
        <f>W59</f>
        <v>couverts</v>
      </c>
      <c r="X69" s="213"/>
      <c r="Y69" s="212"/>
      <c r="Z69" s="211" t="str">
        <f t="shared" si="23"/>
        <v/>
      </c>
      <c r="AA69" s="210"/>
      <c r="AB69" s="209"/>
      <c r="AC69" s="5448">
        <v>1</v>
      </c>
      <c r="AD69" s="33"/>
      <c r="AF69" s="5155"/>
      <c r="AI69" s="1351"/>
      <c r="AJ69" s="1351"/>
      <c r="AK69" s="1351"/>
      <c r="AL69" s="1352" t="s">
        <v>1115</v>
      </c>
      <c r="AM69" s="1353" t="s">
        <v>1116</v>
      </c>
      <c r="AN69" s="102"/>
      <c r="AU69" s="5155"/>
      <c r="AX69" s="42" t="str">
        <f t="shared" si="25"/>
        <v>►</v>
      </c>
      <c r="AY69" s="196" t="str">
        <f>AY16</f>
        <v>Famille à coller.N.Nom de votre recette.Recette mère ►.S.Saisissez le nom de la recette mère</v>
      </c>
      <c r="AZ69" s="196">
        <f>AZ16</f>
        <v>6</v>
      </c>
      <c r="BA69" s="1347" t="str">
        <f>BA16</f>
        <v>couverts</v>
      </c>
      <c r="BB69" s="988"/>
      <c r="BC69" s="988"/>
      <c r="BD69" s="988"/>
      <c r="BE69" s="988"/>
      <c r="BF69" s="988"/>
      <c r="BG69" s="988"/>
      <c r="BH69" s="1325"/>
      <c r="BJ69" s="221" t="s">
        <v>922</v>
      </c>
      <c r="BK69" s="226"/>
      <c r="BL69" s="106"/>
      <c r="BM69" s="105"/>
      <c r="BN69" s="953"/>
      <c r="BO69" s="954"/>
      <c r="BP69" s="1077"/>
      <c r="BQ69" s="955"/>
      <c r="BR69" s="955"/>
      <c r="BS69" s="955"/>
      <c r="BT69" s="955"/>
      <c r="BU69" s="956"/>
      <c r="BV69" s="1"/>
      <c r="BW69" s="5">
        <v>1</v>
      </c>
    </row>
    <row r="70" spans="2:75" ht="22.5" customHeight="1">
      <c r="B70" s="5155"/>
      <c r="E70" s="141"/>
      <c r="F70" s="141"/>
      <c r="G70" s="141"/>
      <c r="H70" s="141"/>
      <c r="I70" s="1428" t="s">
        <v>1197</v>
      </c>
      <c r="J70" s="1429">
        <v>5.2083333333333301E-2</v>
      </c>
      <c r="K70" s="141"/>
      <c r="L70" s="1389">
        <v>100</v>
      </c>
      <c r="M70" s="1430">
        <v>0.6</v>
      </c>
      <c r="N70" s="1431" t="s">
        <v>1191</v>
      </c>
      <c r="O70" s="1432" t="s">
        <v>1198</v>
      </c>
      <c r="Q70" s="5155"/>
      <c r="T70" s="42" t="str">
        <f t="shared" si="24"/>
        <v>►</v>
      </c>
      <c r="U70" s="41" t="str">
        <f>U59</f>
        <v>Famille à coller.N.Nom de votre recette.Recette mère ►.S.Saisissez le nom de la recette mère</v>
      </c>
      <c r="V70" s="40">
        <f>V59</f>
        <v>6</v>
      </c>
      <c r="W70" s="40" t="str">
        <f>W59</f>
        <v>couverts</v>
      </c>
      <c r="X70" s="213"/>
      <c r="Y70" s="212"/>
      <c r="Z70" s="211" t="str">
        <f t="shared" si="23"/>
        <v/>
      </c>
      <c r="AA70" s="210"/>
      <c r="AB70" s="209"/>
      <c r="AC70" s="5448">
        <v>1</v>
      </c>
      <c r="AD70" s="33"/>
      <c r="AF70" s="5155"/>
      <c r="AI70" s="1256"/>
      <c r="AJ70" s="331"/>
      <c r="AK70" s="331"/>
      <c r="AL70" s="331"/>
      <c r="AM70" s="102"/>
      <c r="AN70" s="102"/>
      <c r="AO70" s="102"/>
      <c r="AP70" s="102"/>
      <c r="AQ70" s="102"/>
      <c r="AR70" s="102"/>
      <c r="AS70" s="102"/>
      <c r="AU70" s="5155"/>
      <c r="AX70" s="42" t="str">
        <f>IF(OR(BB64&lt;&gt;"",BC70&lt;&gt; "",BD70&lt;&gt;"",BE70&lt;&gt;""),"A", "►")</f>
        <v>A</v>
      </c>
      <c r="AY70" s="196" t="str">
        <f>AY16</f>
        <v>Famille à coller.N.Nom de votre recette.Recette mère ►.S.Saisissez le nom de la recette mère</v>
      </c>
      <c r="AZ70" s="196">
        <f>AZ16</f>
        <v>6</v>
      </c>
      <c r="BA70" s="1347" t="str">
        <f>BA16</f>
        <v>couverts</v>
      </c>
      <c r="BB70" s="1"/>
      <c r="BC70" s="988"/>
      <c r="BD70" s="988"/>
      <c r="BE70" s="988"/>
      <c r="BF70" s="988"/>
      <c r="BG70" s="988"/>
      <c r="BH70" s="1325"/>
      <c r="BJ70" s="221" t="s">
        <v>923</v>
      </c>
      <c r="BK70" s="220"/>
      <c r="BL70" s="106"/>
      <c r="BM70" s="105"/>
      <c r="BN70" s="953"/>
      <c r="BO70" s="1079"/>
      <c r="BP70" s="1080"/>
      <c r="BQ70" s="1081"/>
      <c r="BR70" s="1080"/>
      <c r="BS70" s="1080"/>
      <c r="BT70" s="1080"/>
      <c r="BU70" s="1082"/>
      <c r="BV70" s="1"/>
      <c r="BW70" s="5">
        <v>1</v>
      </c>
    </row>
    <row r="71" spans="2:75" ht="18.75" customHeight="1" thickBot="1">
      <c r="B71" s="5155"/>
      <c r="E71" s="141"/>
      <c r="F71" s="141"/>
      <c r="G71" s="141"/>
      <c r="H71" s="141"/>
      <c r="I71" s="1441"/>
      <c r="J71" s="1442">
        <f>SUM(J68:J70)</f>
        <v>8.6805555555555525E-2</v>
      </c>
      <c r="K71" s="1385"/>
      <c r="L71" s="1385"/>
      <c r="M71" s="1385"/>
      <c r="N71" s="1385"/>
      <c r="O71" s="1443"/>
      <c r="Q71" s="5155"/>
      <c r="T71" s="42" t="str">
        <f t="shared" si="24"/>
        <v>►</v>
      </c>
      <c r="U71" s="41" t="str">
        <f>U59</f>
        <v>Famille à coller.N.Nom de votre recette.Recette mère ►.S.Saisissez le nom de la recette mère</v>
      </c>
      <c r="V71" s="40">
        <f>V59</f>
        <v>6</v>
      </c>
      <c r="W71" s="40" t="str">
        <f>W59</f>
        <v>couverts</v>
      </c>
      <c r="X71" s="213"/>
      <c r="Y71" s="212"/>
      <c r="Z71" s="211" t="str">
        <f t="shared" si="23"/>
        <v/>
      </c>
      <c r="AA71" s="210"/>
      <c r="AB71" s="209"/>
      <c r="AC71" s="5448">
        <v>1</v>
      </c>
      <c r="AD71" s="33"/>
      <c r="AF71" s="5155"/>
      <c r="AG71" s="5153"/>
      <c r="AH71" s="5154" t="s">
        <v>7847</v>
      </c>
      <c r="AI71" s="331"/>
      <c r="AJ71" s="331"/>
      <c r="AK71" s="331"/>
      <c r="AL71" s="331"/>
      <c r="AM71" s="1354" t="s">
        <v>252</v>
      </c>
      <c r="AN71" s="1355"/>
      <c r="AO71" s="1355"/>
      <c r="AP71" s="1355"/>
      <c r="AQ71" s="1355"/>
      <c r="AR71" s="1356"/>
      <c r="AS71" s="1357" t="s">
        <v>1117</v>
      </c>
      <c r="AU71" s="5155"/>
      <c r="AX71" s="42" t="str">
        <f t="shared" ref="AX71:AX102" si="26">IF(OR(BB71&lt;&gt;"",BC71&lt;&gt; "",BD71&lt;&gt;"",BE71&lt;&gt;""),"A", "►")</f>
        <v>►</v>
      </c>
      <c r="AY71" s="196" t="str">
        <f>AY16</f>
        <v>Famille à coller.N.Nom de votre recette.Recette mère ►.S.Saisissez le nom de la recette mère</v>
      </c>
      <c r="AZ71" s="196">
        <f>AZ16</f>
        <v>6</v>
      </c>
      <c r="BA71" s="1347" t="str">
        <f>BA16</f>
        <v>couverts</v>
      </c>
      <c r="BB71" s="988"/>
      <c r="BC71" s="988"/>
      <c r="BD71" s="988"/>
      <c r="BE71" s="988"/>
      <c r="BF71" s="988" t="s">
        <v>1120</v>
      </c>
      <c r="BG71" s="988"/>
      <c r="BH71" s="1325"/>
      <c r="BJ71" s="221"/>
      <c r="BK71" s="220"/>
      <c r="BL71" s="106"/>
      <c r="BM71" s="105"/>
      <c r="BN71" s="953"/>
      <c r="BO71" s="1083" t="s">
        <v>924</v>
      </c>
      <c r="BP71" s="147"/>
      <c r="BQ71" s="147"/>
      <c r="BR71" s="147"/>
      <c r="BS71" s="141"/>
      <c r="BT71" s="147"/>
      <c r="BU71" s="609"/>
      <c r="BV71" s="1"/>
      <c r="BW71" s="5">
        <v>1</v>
      </c>
    </row>
    <row r="72" spans="2:75" ht="19.5" customHeight="1" thickTop="1">
      <c r="B72" s="5155"/>
      <c r="E72" s="141"/>
      <c r="F72" s="141"/>
      <c r="G72" s="141"/>
      <c r="H72" s="141"/>
      <c r="I72" s="1448" t="s">
        <v>1184</v>
      </c>
      <c r="J72" s="1321"/>
      <c r="K72" s="1321"/>
      <c r="L72" s="1321"/>
      <c r="M72" s="1321"/>
      <c r="N72" s="1321"/>
      <c r="O72" s="1370"/>
      <c r="Q72" s="5155"/>
      <c r="T72" s="42" t="str">
        <f t="shared" si="24"/>
        <v>►</v>
      </c>
      <c r="U72" s="41" t="str">
        <f>U59</f>
        <v>Famille à coller.N.Nom de votre recette.Recette mère ►.S.Saisissez le nom de la recette mère</v>
      </c>
      <c r="V72" s="40">
        <f>V59</f>
        <v>6</v>
      </c>
      <c r="W72" s="40" t="str">
        <f>W59</f>
        <v>couverts</v>
      </c>
      <c r="X72" s="213"/>
      <c r="Y72" s="212"/>
      <c r="Z72" s="211" t="str">
        <f t="shared" si="23"/>
        <v/>
      </c>
      <c r="AA72" s="210"/>
      <c r="AB72" s="209"/>
      <c r="AC72" s="5448">
        <v>1</v>
      </c>
      <c r="AD72" s="33"/>
      <c r="AF72" s="5155"/>
      <c r="AH72" s="5152" t="s">
        <v>7842</v>
      </c>
      <c r="AI72" s="331"/>
      <c r="AJ72" s="331"/>
      <c r="AK72" s="331"/>
      <c r="AL72" s="331"/>
      <c r="AM72" s="1358" t="s">
        <v>1118</v>
      </c>
      <c r="AN72" s="1359" t="s">
        <v>1119</v>
      </c>
      <c r="AO72" s="147"/>
      <c r="AP72" s="147"/>
      <c r="AQ72" s="147"/>
      <c r="AR72" s="147"/>
      <c r="AS72" s="1360"/>
      <c r="AU72" s="5155"/>
      <c r="AX72" s="42" t="str">
        <f t="shared" si="26"/>
        <v>►</v>
      </c>
      <c r="AY72" s="196" t="str">
        <f>AY16</f>
        <v>Famille à coller.N.Nom de votre recette.Recette mère ►.S.Saisissez le nom de la recette mère</v>
      </c>
      <c r="AZ72" s="196">
        <f>AZ16</f>
        <v>6</v>
      </c>
      <c r="BA72" s="1347" t="str">
        <f>BA16</f>
        <v>couverts</v>
      </c>
      <c r="BB72" s="988"/>
      <c r="BC72" s="988"/>
      <c r="BD72" s="988"/>
      <c r="BE72" s="988"/>
      <c r="BF72" s="988"/>
      <c r="BG72" s="988"/>
      <c r="BH72" s="1325"/>
      <c r="BJ72" s="103"/>
      <c r="BK72" s="1084" t="s">
        <v>83</v>
      </c>
      <c r="BL72" s="102" t="s">
        <v>82</v>
      </c>
      <c r="BM72" s="101"/>
      <c r="BN72" s="953"/>
      <c r="BO72" s="1086" t="s">
        <v>198</v>
      </c>
      <c r="BP72" s="1087" t="s">
        <v>197</v>
      </c>
      <c r="BQ72" s="1088"/>
      <c r="BR72" s="7125" t="s">
        <v>196</v>
      </c>
      <c r="BS72" s="7126" t="s">
        <v>195</v>
      </c>
      <c r="BT72" s="7691" t="s">
        <v>82</v>
      </c>
      <c r="BU72" s="1085" t="s">
        <v>194</v>
      </c>
      <c r="BV72" s="1"/>
      <c r="BW72" s="5">
        <v>1</v>
      </c>
    </row>
    <row r="73" spans="2:75" ht="15.75" customHeight="1">
      <c r="B73" s="5155"/>
      <c r="E73" s="141"/>
      <c r="F73" s="141"/>
      <c r="G73" s="141"/>
      <c r="H73" s="141"/>
      <c r="I73" s="1323"/>
      <c r="J73" s="988"/>
      <c r="K73" s="988"/>
      <c r="L73" s="988"/>
      <c r="M73" s="988"/>
      <c r="N73" s="988"/>
      <c r="O73" s="1325"/>
      <c r="Q73" s="5155"/>
      <c r="T73" s="42" t="str">
        <f t="shared" si="24"/>
        <v>►</v>
      </c>
      <c r="U73" s="41" t="str">
        <f>U59</f>
        <v>Famille à coller.N.Nom de votre recette.Recette mère ►.S.Saisissez le nom de la recette mère</v>
      </c>
      <c r="V73" s="40">
        <f>V59</f>
        <v>6</v>
      </c>
      <c r="W73" s="40" t="str">
        <f>W59</f>
        <v>couverts</v>
      </c>
      <c r="X73" s="213"/>
      <c r="Y73" s="212"/>
      <c r="Z73" s="211" t="str">
        <f t="shared" si="23"/>
        <v/>
      </c>
      <c r="AA73" s="210"/>
      <c r="AB73" s="209"/>
      <c r="AC73" s="5448">
        <v>1</v>
      </c>
      <c r="AD73" s="33"/>
      <c r="AF73" s="5155"/>
      <c r="AH73" s="1353"/>
      <c r="AI73" s="331"/>
      <c r="AJ73" s="331"/>
      <c r="AK73" s="331"/>
      <c r="AL73" s="331"/>
      <c r="AM73" s="1358" t="s">
        <v>1118</v>
      </c>
      <c r="AN73" s="1359" t="s">
        <v>1121</v>
      </c>
      <c r="AO73" s="1361"/>
      <c r="AP73" s="1362"/>
      <c r="AQ73" s="988"/>
      <c r="AR73" s="988"/>
      <c r="AS73" s="1325"/>
      <c r="AU73" s="5155"/>
      <c r="AX73" s="42" t="str">
        <f t="shared" si="26"/>
        <v>►</v>
      </c>
      <c r="AY73" s="196" t="str">
        <f>AY16</f>
        <v>Famille à coller.N.Nom de votre recette.Recette mère ►.S.Saisissez le nom de la recette mère</v>
      </c>
      <c r="AZ73" s="196">
        <f>AZ16</f>
        <v>6</v>
      </c>
      <c r="BA73" s="1347" t="str">
        <f>BA16</f>
        <v>couverts</v>
      </c>
      <c r="BB73" s="988"/>
      <c r="BC73" s="988"/>
      <c r="BD73" s="988"/>
      <c r="BE73" s="988"/>
      <c r="BF73" s="988"/>
      <c r="BG73" s="988"/>
      <c r="BH73" s="1325"/>
      <c r="BJ73" s="103"/>
      <c r="BK73" s="5451" t="s">
        <v>80</v>
      </c>
      <c r="BL73" s="102"/>
      <c r="BM73" s="101"/>
      <c r="BN73" s="953"/>
      <c r="BO73" s="967" t="s">
        <v>184</v>
      </c>
      <c r="BP73" s="286" t="s">
        <v>162</v>
      </c>
      <c r="BQ73" s="285" t="s">
        <v>186</v>
      </c>
      <c r="BR73" s="6905"/>
      <c r="BS73" s="7074"/>
      <c r="BT73" s="7692"/>
      <c r="BU73" s="1090" t="s">
        <v>185</v>
      </c>
      <c r="BV73" s="1"/>
      <c r="BW73" s="5">
        <v>1</v>
      </c>
    </row>
    <row r="74" spans="2:75" ht="17.25">
      <c r="B74" s="5155"/>
      <c r="E74" s="141"/>
      <c r="F74" s="141"/>
      <c r="G74" s="141"/>
      <c r="H74" s="141"/>
      <c r="I74" s="1323"/>
      <c r="J74" s="988"/>
      <c r="K74" s="988"/>
      <c r="L74" s="988"/>
      <c r="M74" s="988"/>
      <c r="N74" s="988"/>
      <c r="O74" s="1325"/>
      <c r="Q74" s="5155"/>
      <c r="T74" s="42" t="str">
        <f t="shared" si="24"/>
        <v>►</v>
      </c>
      <c r="U74" s="41" t="str">
        <f>U59</f>
        <v>Famille à coller.N.Nom de votre recette.Recette mère ►.S.Saisissez le nom de la recette mère</v>
      </c>
      <c r="V74" s="40">
        <f>V59</f>
        <v>6</v>
      </c>
      <c r="W74" s="40" t="str">
        <f>W59</f>
        <v>couverts</v>
      </c>
      <c r="X74" s="213"/>
      <c r="Y74" s="212"/>
      <c r="Z74" s="211" t="str">
        <f t="shared" si="23"/>
        <v/>
      </c>
      <c r="AA74" s="210"/>
      <c r="AB74" s="209"/>
      <c r="AC74" s="5448">
        <v>1</v>
      </c>
      <c r="AD74" s="33"/>
      <c r="AF74" s="5155"/>
      <c r="AH74" s="1"/>
      <c r="AI74" s="331"/>
      <c r="AJ74" s="331"/>
      <c r="AK74" s="331"/>
      <c r="AL74" s="331"/>
      <c r="AM74" s="1358" t="s">
        <v>1118</v>
      </c>
      <c r="AN74" s="1359" t="s">
        <v>1122</v>
      </c>
      <c r="AO74" s="1361"/>
      <c r="AP74" s="988"/>
      <c r="AQ74" s="988"/>
      <c r="AR74" s="988"/>
      <c r="AS74" s="1325"/>
      <c r="AU74" s="5155"/>
      <c r="AX74" s="42" t="str">
        <f t="shared" si="26"/>
        <v>►</v>
      </c>
      <c r="AY74" s="196" t="str">
        <f>AY16</f>
        <v>Famille à coller.N.Nom de votre recette.Recette mère ►.S.Saisissez le nom de la recette mère</v>
      </c>
      <c r="AZ74" s="196">
        <f>AZ16</f>
        <v>6</v>
      </c>
      <c r="BA74" s="1347" t="str">
        <f>BA16</f>
        <v>couverts</v>
      </c>
      <c r="BB74" s="988"/>
      <c r="BC74" s="988"/>
      <c r="BD74" s="988"/>
      <c r="BE74" s="988"/>
      <c r="BF74" s="988"/>
      <c r="BG74" s="988"/>
      <c r="BH74" s="1325"/>
      <c r="BJ74" s="103"/>
      <c r="BK74" s="104" t="s">
        <v>78</v>
      </c>
      <c r="BL74" s="102"/>
      <c r="BM74" s="101"/>
      <c r="BN74" s="953"/>
      <c r="BO74" s="1092">
        <v>27</v>
      </c>
      <c r="BP74" s="212" t="s">
        <v>925</v>
      </c>
      <c r="BQ74" s="1093" t="s">
        <v>186</v>
      </c>
      <c r="BR74" s="210">
        <v>20</v>
      </c>
      <c r="BS74" s="251" t="s">
        <v>130</v>
      </c>
      <c r="BT74" s="5449">
        <v>1</v>
      </c>
      <c r="BU74" s="1094" t="s">
        <v>859</v>
      </c>
      <c r="BV74" s="1"/>
      <c r="BW74" s="5">
        <v>1</v>
      </c>
    </row>
    <row r="75" spans="2:75" ht="18" thickBot="1">
      <c r="B75" s="5155"/>
      <c r="E75" s="141"/>
      <c r="F75" s="141"/>
      <c r="G75" s="141"/>
      <c r="H75" s="141"/>
      <c r="I75" s="1328"/>
      <c r="J75" s="1449"/>
      <c r="K75" s="1449"/>
      <c r="L75" s="1449"/>
      <c r="M75" s="1449"/>
      <c r="N75" s="1449"/>
      <c r="O75" s="1339" t="s">
        <v>1112</v>
      </c>
      <c r="Q75" s="5155"/>
      <c r="T75" s="42" t="str">
        <f t="shared" si="24"/>
        <v>►</v>
      </c>
      <c r="U75" s="41" t="str">
        <f>U60</f>
        <v>Famille à coller.N.Nom de votre recette.Recette mère ►.S.Saisissez le nom de la recette mère</v>
      </c>
      <c r="V75" s="40">
        <f>V59</f>
        <v>6</v>
      </c>
      <c r="W75" s="40" t="str">
        <f>W59</f>
        <v>couverts</v>
      </c>
      <c r="X75" s="213"/>
      <c r="Y75" s="212"/>
      <c r="Z75" s="211" t="str">
        <f t="shared" si="23"/>
        <v/>
      </c>
      <c r="AA75" s="210"/>
      <c r="AB75" s="209"/>
      <c r="AC75" s="5448">
        <v>1</v>
      </c>
      <c r="AD75" s="33"/>
      <c r="AF75" s="5155"/>
      <c r="AH75" s="1"/>
      <c r="AI75" s="331"/>
      <c r="AJ75" s="331"/>
      <c r="AK75" s="331"/>
      <c r="AL75" s="331"/>
      <c r="AM75" s="1358" t="s">
        <v>1118</v>
      </c>
      <c r="AN75" s="1359" t="s">
        <v>1123</v>
      </c>
      <c r="AO75" s="1361"/>
      <c r="AP75" s="988"/>
      <c r="AQ75" s="988"/>
      <c r="AR75" s="988"/>
      <c r="AS75" s="1325"/>
      <c r="AU75" s="5155"/>
      <c r="AX75" s="42" t="str">
        <f t="shared" si="26"/>
        <v>►</v>
      </c>
      <c r="AY75" s="196" t="str">
        <f>AY16</f>
        <v>Famille à coller.N.Nom de votre recette.Recette mère ►.S.Saisissez le nom de la recette mère</v>
      </c>
      <c r="AZ75" s="196">
        <f>AZ16</f>
        <v>6</v>
      </c>
      <c r="BA75" s="1347" t="str">
        <f>BA16</f>
        <v>couverts</v>
      </c>
      <c r="BB75" s="988"/>
      <c r="BC75" s="988"/>
      <c r="BD75" s="988"/>
      <c r="BE75" s="988"/>
      <c r="BF75" s="988"/>
      <c r="BG75" s="988"/>
      <c r="BH75" s="1325"/>
      <c r="BJ75" s="103"/>
      <c r="BK75" s="104" t="s">
        <v>77</v>
      </c>
      <c r="BL75" s="102"/>
      <c r="BM75" s="101"/>
      <c r="BN75" s="953"/>
      <c r="BO75" s="1083"/>
      <c r="BP75" s="147"/>
      <c r="BQ75" s="147"/>
      <c r="BR75" s="147"/>
      <c r="BS75" s="141"/>
      <c r="BT75" s="147"/>
      <c r="BU75" s="609"/>
      <c r="BV75" s="1"/>
      <c r="BW75" s="5">
        <v>1</v>
      </c>
    </row>
    <row r="76" spans="2:75" ht="15" customHeight="1" thickTop="1" thickBot="1">
      <c r="B76" s="5155"/>
      <c r="E76" s="141"/>
      <c r="F76" s="141"/>
      <c r="G76" s="141"/>
      <c r="H76" s="141"/>
      <c r="I76" s="1454"/>
      <c r="J76" s="1002"/>
      <c r="K76" s="1002" t="s">
        <v>873</v>
      </c>
      <c r="L76" s="1003"/>
      <c r="M76" s="1329"/>
      <c r="N76" s="1329"/>
      <c r="O76" s="1330"/>
      <c r="Q76" s="5155"/>
      <c r="T76" s="42" t="str">
        <f t="shared" si="24"/>
        <v>►</v>
      </c>
      <c r="U76" s="41" t="str">
        <f>$F$18</f>
        <v>Famille à coller.N.Nom de votre recette.Recette mère ►.S.Saisissez le nom de la recette mère</v>
      </c>
      <c r="V76" s="40">
        <f>$G$16</f>
        <v>6</v>
      </c>
      <c r="W76" s="40" t="str">
        <f>$H$16</f>
        <v>couverts</v>
      </c>
      <c r="X76" s="213"/>
      <c r="Y76" s="212"/>
      <c r="Z76" s="211" t="str">
        <f t="shared" si="23"/>
        <v/>
      </c>
      <c r="AA76" s="210"/>
      <c r="AB76" s="209"/>
      <c r="AC76" s="5448">
        <v>1</v>
      </c>
      <c r="AD76" s="33"/>
      <c r="AF76" s="5155"/>
      <c r="AH76" s="5151" t="s">
        <v>218</v>
      </c>
      <c r="AI76" s="331"/>
      <c r="AJ76" s="331"/>
      <c r="AK76" s="331"/>
      <c r="AL76" s="331"/>
      <c r="AM76" s="1358" t="s">
        <v>1118</v>
      </c>
      <c r="AN76" s="1359" t="s">
        <v>1124</v>
      </c>
      <c r="AO76" s="1361"/>
      <c r="AP76" s="988"/>
      <c r="AQ76" s="988"/>
      <c r="AR76" s="988"/>
      <c r="AS76" s="1325"/>
      <c r="AU76" s="5155"/>
      <c r="AX76" s="42" t="str">
        <f t="shared" si="26"/>
        <v>►</v>
      </c>
      <c r="AY76" s="196" t="str">
        <f>AY16</f>
        <v>Famille à coller.N.Nom de votre recette.Recette mère ►.S.Saisissez le nom de la recette mère</v>
      </c>
      <c r="AZ76" s="196">
        <f>AZ16</f>
        <v>6</v>
      </c>
      <c r="BA76" s="1347" t="str">
        <f>BA16</f>
        <v>couverts</v>
      </c>
      <c r="BB76" s="988"/>
      <c r="BC76" s="988"/>
      <c r="BD76" s="988"/>
      <c r="BE76" s="988"/>
      <c r="BF76" s="988"/>
      <c r="BG76" s="988"/>
      <c r="BH76" s="1325"/>
      <c r="BJ76" s="103" t="s">
        <v>14</v>
      </c>
      <c r="BK76" s="102"/>
      <c r="BL76" s="102"/>
      <c r="BM76" s="101"/>
      <c r="BN76" s="953"/>
      <c r="BO76" s="1095" t="s">
        <v>186</v>
      </c>
      <c r="BP76" s="1096" t="s">
        <v>927</v>
      </c>
      <c r="BQ76" s="1096"/>
      <c r="BR76" s="1096"/>
      <c r="BS76" s="141"/>
      <c r="BT76" s="147"/>
      <c r="BU76" s="609"/>
      <c r="BV76" s="1"/>
      <c r="BW76" s="5">
        <v>1</v>
      </c>
    </row>
    <row r="77" spans="2:75" ht="17.25" thickTop="1" thickBot="1">
      <c r="B77" s="5155"/>
      <c r="E77" s="141"/>
      <c r="F77" s="141"/>
      <c r="G77" s="141"/>
      <c r="H77" s="141"/>
      <c r="I77" s="1457" t="s">
        <v>86</v>
      </c>
      <c r="J77" s="1006"/>
      <c r="K77" s="1007"/>
      <c r="L77" s="1008"/>
      <c r="M77" s="1007"/>
      <c r="N77" s="1007"/>
      <c r="O77" s="1333"/>
      <c r="Q77" s="5155"/>
      <c r="T77" s="1327" t="s">
        <v>21</v>
      </c>
      <c r="U77" s="1313" t="str">
        <f>U61</f>
        <v>Famille à coller.N.Nom de votre recette.Recette mère ►.S.Saisissez le nom de la recette mère</v>
      </c>
      <c r="V77" s="1313">
        <f>V59</f>
        <v>6</v>
      </c>
      <c r="W77" s="1313" t="str">
        <f>W59</f>
        <v>couverts</v>
      </c>
      <c r="X77" s="1314" t="s">
        <v>218</v>
      </c>
      <c r="Y77" s="1314" cm="1">
        <f t="array" ref="Y77">IFERROR(ROW(X91)-(ROW(X78)+MATCH(TRUE,INDEX(ISNUMBER(FIND(AC77,TRIM(SUBSTITUTE(SUBSTITUTE(SUBSTITUTE(SUBSTITUTE(SUBSTITUTE(SUBSTITUTE(SUBSTITUTE(LOWER(X78:X91),"é","e"),"è","e"),"ê","e"),"ë","e"),"à","a"),"ù","u"),"î","i")))),0),0)-1),1)</f>
        <v>12</v>
      </c>
      <c r="Z77" s="1315" t="s">
        <v>1108</v>
      </c>
      <c r="AA77" s="1316"/>
      <c r="AB77" s="1316"/>
      <c r="AC77" s="1317" t="str">
        <f>TRIM(SUBSTITUTE(SUBSTITUTE(SUBSTITUTE(SUBSTITUTE(SUBSTITUTE(SUBSTITUTE(SUBSTITUTE(LOWER(AD77),"é","e"),"è","e"),"ê","e"),"ë","e"),"à","a"),"ù","u"),"î","i"))</f>
        <v>⓬ ▼ phases de progression</v>
      </c>
      <c r="AD77" s="1318" t="s">
        <v>864</v>
      </c>
      <c r="AF77" s="5155"/>
      <c r="AH77" s="1111" t="s">
        <v>935</v>
      </c>
      <c r="AI77" s="331"/>
      <c r="AJ77" s="331"/>
      <c r="AK77" s="331"/>
      <c r="AL77" s="331"/>
      <c r="AM77" s="1358" t="s">
        <v>1118</v>
      </c>
      <c r="AN77" s="1359" t="s">
        <v>1125</v>
      </c>
      <c r="AO77" s="1361"/>
      <c r="AP77" s="988"/>
      <c r="AQ77" s="988"/>
      <c r="AR77" s="988"/>
      <c r="AS77" s="1325"/>
      <c r="AU77" s="5155"/>
      <c r="AX77" s="42" t="str">
        <f t="shared" si="26"/>
        <v>►</v>
      </c>
      <c r="AY77" s="196" t="str">
        <f>AY16</f>
        <v>Famille à coller.N.Nom de votre recette.Recette mère ►.S.Saisissez le nom de la recette mère</v>
      </c>
      <c r="AZ77" s="196">
        <f>AZ16</f>
        <v>6</v>
      </c>
      <c r="BA77" s="1347" t="str">
        <f>BA16</f>
        <v>couverts</v>
      </c>
      <c r="BB77" s="988"/>
      <c r="BC77" s="988"/>
      <c r="BD77" s="988"/>
      <c r="BE77" s="988"/>
      <c r="BF77" s="988"/>
      <c r="BG77" s="988"/>
      <c r="BH77" s="1325"/>
      <c r="BJ77" s="103" t="s">
        <v>13</v>
      </c>
      <c r="BK77" s="102"/>
      <c r="BL77" s="102"/>
      <c r="BM77" s="101"/>
      <c r="BN77" s="953"/>
      <c r="BO77" s="1083" t="s">
        <v>928</v>
      </c>
      <c r="BP77" s="147"/>
      <c r="BQ77" s="147"/>
      <c r="BR77" s="147"/>
      <c r="BS77" s="141"/>
      <c r="BT77" s="147"/>
      <c r="BU77" s="609"/>
      <c r="BV77" s="1"/>
      <c r="BW77" s="5">
        <v>1</v>
      </c>
    </row>
    <row r="78" spans="2:75" ht="15.75" customHeight="1" thickBot="1">
      <c r="B78" s="5155"/>
      <c r="E78" s="141"/>
      <c r="F78" s="141"/>
      <c r="G78" s="141"/>
      <c r="H78" s="141"/>
      <c r="I78" s="141"/>
      <c r="J78" s="141"/>
      <c r="K78" s="141"/>
      <c r="L78" s="141"/>
      <c r="M78" s="141"/>
      <c r="N78" s="141"/>
      <c r="O78" s="141"/>
      <c r="Q78" s="5155"/>
      <c r="T78" s="1023" t="s">
        <v>21</v>
      </c>
      <c r="U78" s="196" t="str">
        <f>U61</f>
        <v>Famille à coller.N.Nom de votre recette.Recette mère ►.S.Saisissez le nom de la recette mère</v>
      </c>
      <c r="V78" s="196">
        <f>V59</f>
        <v>6</v>
      </c>
      <c r="W78" s="196" t="str">
        <f>W59</f>
        <v>couverts</v>
      </c>
      <c r="X78" s="369" t="s">
        <v>252</v>
      </c>
      <c r="Y78" s="1321"/>
      <c r="Z78" s="1321"/>
      <c r="AA78" s="1321"/>
      <c r="AB78" s="1321"/>
      <c r="AC78" s="1321"/>
      <c r="AD78" s="1322"/>
      <c r="AF78" s="5155"/>
      <c r="AH78" s="1358" t="s">
        <v>1118</v>
      </c>
      <c r="AI78" s="331"/>
      <c r="AJ78" s="331"/>
      <c r="AK78" s="331"/>
      <c r="AL78" s="331"/>
      <c r="AM78" s="1358" t="s">
        <v>1118</v>
      </c>
      <c r="AN78" s="1363" t="s">
        <v>1126</v>
      </c>
      <c r="AO78" s="147"/>
      <c r="AP78" s="988"/>
      <c r="AQ78" s="988"/>
      <c r="AR78" s="988"/>
      <c r="AS78" s="1325"/>
      <c r="AU78" s="5155"/>
      <c r="AX78" s="42" t="str">
        <f t="shared" si="26"/>
        <v>►</v>
      </c>
      <c r="AY78" s="196" t="str">
        <f>AY16</f>
        <v>Famille à coller.N.Nom de votre recette.Recette mère ►.S.Saisissez le nom de la recette mère</v>
      </c>
      <c r="AZ78" s="196">
        <f>AZ16</f>
        <v>6</v>
      </c>
      <c r="BA78" s="1347" t="str">
        <f>BA16</f>
        <v>couverts</v>
      </c>
      <c r="BB78" s="988"/>
      <c r="BC78" s="988"/>
      <c r="BD78" s="988"/>
      <c r="BE78" s="988"/>
      <c r="BF78" s="988"/>
      <c r="BG78" s="988"/>
      <c r="BH78" s="1325"/>
      <c r="BJ78" s="103" t="s">
        <v>12</v>
      </c>
      <c r="BK78" s="102"/>
      <c r="BL78" s="102"/>
      <c r="BM78" s="101"/>
      <c r="BN78" s="953"/>
      <c r="BO78" s="1097"/>
      <c r="BP78" s="147"/>
      <c r="BQ78" s="147"/>
      <c r="BR78" s="147"/>
      <c r="BS78" s="141"/>
      <c r="BT78" s="1098" t="s">
        <v>860</v>
      </c>
      <c r="BU78" s="609"/>
      <c r="BV78" s="1"/>
      <c r="BW78" s="5">
        <v>1</v>
      </c>
    </row>
    <row r="79" spans="2:75" ht="15.75" customHeight="1" thickTop="1" thickBot="1">
      <c r="B79" s="5155"/>
      <c r="C79" s="5153"/>
      <c r="D79" s="5154" t="s">
        <v>7845</v>
      </c>
      <c r="E79" s="141"/>
      <c r="F79" s="141"/>
      <c r="G79" s="141"/>
      <c r="H79" s="141"/>
      <c r="I79" s="5150" t="s">
        <v>218</v>
      </c>
      <c r="J79" s="1314" cm="1">
        <f t="array" ref="J79">IFERROR(ROW(I89)-(ROW(I80)+MATCH(TRUE,INDEX(ISNUMBER(FIND(N79,TRIM(SUBSTITUTE(SUBSTITUTE(SUBSTITUTE(SUBSTITUTE(SUBSTITUTE(SUBSTITUTE(SUBSTITUTE(LOWER(I80:I89),"é","e"),"è","e"),"ê","e"),"ë","e"),"à","a"),"ù","u"),"î","i")))),0),0)-1),1)</f>
        <v>3</v>
      </c>
      <c r="K79" s="1315" t="s">
        <v>1206</v>
      </c>
      <c r="L79" s="1316"/>
      <c r="M79" s="1316"/>
      <c r="N79" s="1317" t="str">
        <f>TRIM(SUBSTITUTE(SUBSTITUTE(SUBSTITUTE(SUBSTITUTE(SUBSTITUTE(SUBSTITUTE(SUBSTITUTE(LOWER(O79),"é","e"),"è","e"),"ê","e"),"ë","e"),"à","a"),"ù","u"),"î","i"))</f>
        <v>⓬ conseils</v>
      </c>
      <c r="O79" s="1467" t="s">
        <v>1207</v>
      </c>
      <c r="Q79" s="5155"/>
      <c r="T79" s="42" t="str">
        <f t="shared" ref="T79:T89" si="27">IF(OR(X79&lt;&gt;"",Y79&lt;&gt; "",Z79&lt;&gt;"",AA79&lt;&gt;""),"A", "►")</f>
        <v>A</v>
      </c>
      <c r="U79" s="196" t="str">
        <f>U61</f>
        <v>Famille à coller.N.Nom de votre recette.Recette mère ►.S.Saisissez le nom de la recette mère</v>
      </c>
      <c r="V79" s="196">
        <f>V59</f>
        <v>6</v>
      </c>
      <c r="W79" s="196" t="str">
        <f>W59</f>
        <v>couverts</v>
      </c>
      <c r="X79" s="1319" t="s">
        <v>864</v>
      </c>
      <c r="Y79" s="1320"/>
      <c r="Z79" s="1320"/>
      <c r="AA79" s="1320"/>
      <c r="AB79" s="1320"/>
      <c r="AC79" s="1320"/>
      <c r="AD79" s="1324"/>
      <c r="AF79" s="5155"/>
      <c r="AH79" s="1411" t="s">
        <v>1175</v>
      </c>
      <c r="AI79" s="331"/>
      <c r="AJ79" s="331"/>
      <c r="AK79" s="331"/>
      <c r="AL79" s="331"/>
      <c r="AM79" s="1358" t="s">
        <v>1118</v>
      </c>
      <c r="AN79" s="1363" t="s">
        <v>1127</v>
      </c>
      <c r="AO79" s="147"/>
      <c r="AP79" s="988"/>
      <c r="AQ79" s="988"/>
      <c r="AR79" s="988"/>
      <c r="AS79" s="1325"/>
      <c r="AU79" s="5155"/>
      <c r="AX79" s="42" t="str">
        <f t="shared" si="26"/>
        <v>►</v>
      </c>
      <c r="AY79" s="196" t="str">
        <f>AY16</f>
        <v>Famille à coller.N.Nom de votre recette.Recette mère ►.S.Saisissez le nom de la recette mère</v>
      </c>
      <c r="AZ79" s="196">
        <f>AZ16</f>
        <v>6</v>
      </c>
      <c r="BA79" s="1347" t="str">
        <f>BA16</f>
        <v>couverts</v>
      </c>
      <c r="BB79" s="988"/>
      <c r="BC79" s="988"/>
      <c r="BD79" s="988"/>
      <c r="BE79" s="988"/>
      <c r="BF79" s="988"/>
      <c r="BG79" s="988"/>
      <c r="BH79" s="1325"/>
      <c r="BJ79" s="103" t="s">
        <v>931</v>
      </c>
      <c r="BK79" s="102"/>
      <c r="BL79" s="102"/>
      <c r="BM79" s="101"/>
      <c r="BN79" s="953"/>
      <c r="BO79" s="7693" t="s">
        <v>196</v>
      </c>
      <c r="BP79" s="1089" t="s">
        <v>195</v>
      </c>
      <c r="BQ79" s="1099" t="s">
        <v>194</v>
      </c>
      <c r="BR79" s="5488" t="s">
        <v>929</v>
      </c>
      <c r="BS79" s="141"/>
      <c r="BT79" s="1100" t="s">
        <v>930</v>
      </c>
      <c r="BU79" s="609"/>
      <c r="BV79" s="1"/>
      <c r="BW79" s="5">
        <v>1</v>
      </c>
    </row>
    <row r="80" spans="2:75" ht="19.5" thickTop="1">
      <c r="B80" s="5155"/>
      <c r="D80" s="5152" t="s">
        <v>7842</v>
      </c>
      <c r="E80" s="141"/>
      <c r="F80" s="141"/>
      <c r="G80" s="141"/>
      <c r="H80" s="141"/>
      <c r="I80" s="1469" t="s">
        <v>1208</v>
      </c>
      <c r="J80" s="1249" t="s">
        <v>1186</v>
      </c>
      <c r="K80" s="1249"/>
      <c r="L80" s="1470" t="s">
        <v>1209</v>
      </c>
      <c r="M80" s="1470" t="s">
        <v>1210</v>
      </c>
      <c r="N80" s="997"/>
      <c r="O80" s="1471" t="s">
        <v>1211</v>
      </c>
      <c r="Q80" s="5155"/>
      <c r="T80" s="42" t="str">
        <f t="shared" si="27"/>
        <v>►</v>
      </c>
      <c r="U80" s="196" t="str">
        <f>U61</f>
        <v>Famille à coller.N.Nom de votre recette.Recette mère ►.S.Saisissez le nom de la recette mère</v>
      </c>
      <c r="V80" s="196">
        <f>V59</f>
        <v>6</v>
      </c>
      <c r="W80" s="196" t="str">
        <f>W59</f>
        <v>couverts</v>
      </c>
      <c r="X80" s="1323"/>
      <c r="Y80" s="988"/>
      <c r="Z80" s="988"/>
      <c r="AA80" s="988"/>
      <c r="AB80" s="988"/>
      <c r="AC80" s="988"/>
      <c r="AD80" s="1325"/>
      <c r="AF80" s="5155"/>
      <c r="AH80" s="5423" t="s">
        <v>1171</v>
      </c>
      <c r="AI80" s="331"/>
      <c r="AJ80" s="331"/>
      <c r="AK80" s="331"/>
      <c r="AL80" s="331"/>
      <c r="AM80" s="1358" t="s">
        <v>1118</v>
      </c>
      <c r="AN80" s="1363" t="s">
        <v>1128</v>
      </c>
      <c r="AO80" s="147"/>
      <c r="AP80" s="988"/>
      <c r="AQ80" s="988"/>
      <c r="AR80" s="988"/>
      <c r="AS80" s="1325"/>
      <c r="AU80" s="5155"/>
      <c r="AX80" s="42" t="str">
        <f t="shared" si="26"/>
        <v>►</v>
      </c>
      <c r="AY80" s="196" t="str">
        <f>AY16</f>
        <v>Famille à coller.N.Nom de votre recette.Recette mère ►.S.Saisissez le nom de la recette mère</v>
      </c>
      <c r="AZ80" s="196">
        <f>AZ16</f>
        <v>6</v>
      </c>
      <c r="BA80" s="1347" t="str">
        <f>BA16</f>
        <v>couverts</v>
      </c>
      <c r="BB80" s="988"/>
      <c r="BC80" s="988"/>
      <c r="BD80" s="988"/>
      <c r="BE80" s="988"/>
      <c r="BF80" s="988"/>
      <c r="BG80" s="988"/>
      <c r="BH80" s="1325"/>
      <c r="BJ80" s="1101"/>
      <c r="BK80" s="1102"/>
      <c r="BL80" s="106"/>
      <c r="BM80" s="105"/>
      <c r="BN80" s="953"/>
      <c r="BO80" s="7694"/>
      <c r="BP80" s="1091"/>
      <c r="BQ80" s="1103" t="s">
        <v>185</v>
      </c>
      <c r="BR80" s="1104"/>
      <c r="BS80" s="141"/>
      <c r="BT80" s="1105" t="s">
        <v>932</v>
      </c>
      <c r="BU80" s="609"/>
      <c r="BV80" s="1"/>
      <c r="BW80" s="5">
        <v>1</v>
      </c>
    </row>
    <row r="81" spans="2:75" ht="18.75">
      <c r="B81" s="5155"/>
      <c r="E81" s="141"/>
      <c r="F81" s="141"/>
      <c r="G81" s="141"/>
      <c r="H81" s="141"/>
      <c r="I81" s="1473" t="s">
        <v>1212</v>
      </c>
      <c r="J81" s="1474">
        <v>4.1666666666666699E-2</v>
      </c>
      <c r="K81" s="1475"/>
      <c r="L81" s="1475">
        <v>220</v>
      </c>
      <c r="M81" s="1476" t="s">
        <v>1213</v>
      </c>
      <c r="N81" s="997"/>
      <c r="O81" s="1477"/>
      <c r="Q81" s="5155"/>
      <c r="T81" s="42" t="str">
        <f t="shared" si="27"/>
        <v>►</v>
      </c>
      <c r="U81" s="196" t="str">
        <f>U61</f>
        <v>Famille à coller.N.Nom de votre recette.Recette mère ►.S.Saisissez le nom de la recette mère</v>
      </c>
      <c r="V81" s="196">
        <f>V59</f>
        <v>6</v>
      </c>
      <c r="W81" s="196" t="str">
        <f>W59</f>
        <v>couverts</v>
      </c>
      <c r="X81" s="1323"/>
      <c r="Y81" s="988"/>
      <c r="Z81" s="988"/>
      <c r="AA81" s="988"/>
      <c r="AB81" s="988"/>
      <c r="AC81" s="988"/>
      <c r="AD81" s="1325"/>
      <c r="AF81" s="5155"/>
      <c r="AH81" s="5423" t="s">
        <v>7843</v>
      </c>
      <c r="AI81" s="331"/>
      <c r="AJ81" s="331"/>
      <c r="AK81" s="331"/>
      <c r="AL81" s="331"/>
      <c r="AM81" s="1358" t="s">
        <v>1118</v>
      </c>
      <c r="AN81" s="1363" t="s">
        <v>1129</v>
      </c>
      <c r="AO81" s="1361"/>
      <c r="AP81" s="988"/>
      <c r="AQ81" s="988"/>
      <c r="AR81" s="988"/>
      <c r="AS81" s="1325"/>
      <c r="AU81" s="5155"/>
      <c r="AX81" s="42" t="str">
        <f t="shared" si="26"/>
        <v>►</v>
      </c>
      <c r="AY81" s="196" t="str">
        <f>AY16</f>
        <v>Famille à coller.N.Nom de votre recette.Recette mère ►.S.Saisissez le nom de la recette mère</v>
      </c>
      <c r="AZ81" s="196">
        <f>AZ16</f>
        <v>6</v>
      </c>
      <c r="BA81" s="1347" t="str">
        <f>BA16</f>
        <v>couverts</v>
      </c>
      <c r="BB81" s="988"/>
      <c r="BC81" s="988"/>
      <c r="BD81" s="988"/>
      <c r="BE81" s="988"/>
      <c r="BF81" s="988"/>
      <c r="BG81" s="988"/>
      <c r="BH81" s="1325"/>
      <c r="BJ81" s="1106">
        <v>3</v>
      </c>
      <c r="BK81" s="1107" t="s">
        <v>934</v>
      </c>
      <c r="BL81" s="106"/>
      <c r="BM81" s="105"/>
      <c r="BN81" s="953"/>
      <c r="BO81" s="1108">
        <v>20</v>
      </c>
      <c r="BP81" s="251" t="s">
        <v>130</v>
      </c>
      <c r="BQ81" s="1109" t="s">
        <v>859</v>
      </c>
      <c r="BR81" s="1110" t="s">
        <v>933</v>
      </c>
      <c r="BS81" s="141"/>
      <c r="BT81" s="1111" t="s">
        <v>935</v>
      </c>
      <c r="BU81" s="609"/>
      <c r="BV81" s="1"/>
      <c r="BW81" s="5">
        <v>1</v>
      </c>
    </row>
    <row r="82" spans="2:75" ht="18.75">
      <c r="B82" s="5155"/>
      <c r="E82" s="141"/>
      <c r="F82" s="141"/>
      <c r="G82" s="141"/>
      <c r="H82" s="141"/>
      <c r="I82" s="1479" t="s">
        <v>1208</v>
      </c>
      <c r="J82" s="1480"/>
      <c r="K82" s="1480"/>
      <c r="L82" s="1480" t="s">
        <v>1214</v>
      </c>
      <c r="M82" s="1481" t="s">
        <v>1215</v>
      </c>
      <c r="N82" s="1481"/>
      <c r="O82" s="1477"/>
      <c r="Q82" s="5155"/>
      <c r="T82" s="42" t="str">
        <f t="shared" si="27"/>
        <v>►</v>
      </c>
      <c r="U82" s="196" t="str">
        <f>U61</f>
        <v>Famille à coller.N.Nom de votre recette.Recette mère ►.S.Saisissez le nom de la recette mère</v>
      </c>
      <c r="V82" s="196">
        <f>V59</f>
        <v>6</v>
      </c>
      <c r="W82" s="196" t="str">
        <f>W59</f>
        <v>couverts</v>
      </c>
      <c r="X82" s="1323"/>
      <c r="Y82" s="988"/>
      <c r="Z82" s="988"/>
      <c r="AA82" s="988"/>
      <c r="AB82" s="988"/>
      <c r="AC82" s="988"/>
      <c r="AD82" s="1325"/>
      <c r="AF82" s="5155"/>
      <c r="AI82" s="331"/>
      <c r="AJ82" s="331"/>
      <c r="AK82" s="331"/>
      <c r="AL82" s="331"/>
      <c r="AM82" s="1358" t="s">
        <v>1118</v>
      </c>
      <c r="AN82" s="1363" t="s">
        <v>1130</v>
      </c>
      <c r="AO82" s="147"/>
      <c r="AP82" s="988"/>
      <c r="AQ82" s="988"/>
      <c r="AR82" s="988"/>
      <c r="AS82" s="1325"/>
      <c r="AU82" s="5155"/>
      <c r="AX82" s="42" t="str">
        <f t="shared" si="26"/>
        <v>►</v>
      </c>
      <c r="AY82" s="196" t="str">
        <f>AY16</f>
        <v>Famille à coller.N.Nom de votre recette.Recette mère ►.S.Saisissez le nom de la recette mère</v>
      </c>
      <c r="AZ82" s="196">
        <f>AZ16</f>
        <v>6</v>
      </c>
      <c r="BA82" s="1347" t="str">
        <f>BA16</f>
        <v>couverts</v>
      </c>
      <c r="BB82" s="988"/>
      <c r="BC82" s="988"/>
      <c r="BD82" s="988"/>
      <c r="BE82" s="988"/>
      <c r="BF82" s="988"/>
      <c r="BG82" s="988"/>
      <c r="BH82" s="1325"/>
      <c r="BJ82" s="258" t="s">
        <v>937</v>
      </c>
      <c r="BK82" s="1112"/>
      <c r="BL82" s="106"/>
      <c r="BM82" s="105"/>
      <c r="BN82" s="953"/>
      <c r="BO82" s="1113">
        <v>1.75</v>
      </c>
      <c r="BP82" s="1114" t="s">
        <v>219</v>
      </c>
      <c r="BQ82" s="1109" t="s">
        <v>938</v>
      </c>
      <c r="BR82" s="1110" t="s">
        <v>936</v>
      </c>
      <c r="BS82" s="141"/>
      <c r="BT82" s="251" t="s">
        <v>130</v>
      </c>
      <c r="BU82" s="609"/>
      <c r="BV82" s="1"/>
      <c r="BW82" s="5">
        <v>1</v>
      </c>
    </row>
    <row r="83" spans="2:75" ht="18.75" customHeight="1">
      <c r="B83" s="5155"/>
      <c r="E83" s="141"/>
      <c r="F83" s="141"/>
      <c r="G83" s="141"/>
      <c r="H83" s="141"/>
      <c r="I83" s="1482" t="s">
        <v>1216</v>
      </c>
      <c r="J83" s="1483"/>
      <c r="K83" s="1484"/>
      <c r="L83" s="1484">
        <v>250</v>
      </c>
      <c r="M83" s="1485" t="s">
        <v>1217</v>
      </c>
      <c r="N83" s="1485"/>
      <c r="O83" s="1477"/>
      <c r="Q83" s="5155"/>
      <c r="T83" s="42" t="str">
        <f t="shared" si="27"/>
        <v>►</v>
      </c>
      <c r="U83" s="196" t="str">
        <f>U61</f>
        <v>Famille à coller.N.Nom de votre recette.Recette mère ►.S.Saisissez le nom de la recette mère</v>
      </c>
      <c r="V83" s="196">
        <f>V59</f>
        <v>6</v>
      </c>
      <c r="W83" s="196" t="str">
        <f>W59</f>
        <v>couverts</v>
      </c>
      <c r="X83" s="1323"/>
      <c r="Y83" s="988"/>
      <c r="Z83" s="988"/>
      <c r="AA83" s="988"/>
      <c r="AB83" s="988"/>
      <c r="AC83" s="988"/>
      <c r="AD83" s="1325" t="s">
        <v>1111</v>
      </c>
      <c r="AF83" s="5155"/>
      <c r="AI83" s="331"/>
      <c r="AJ83" s="331"/>
      <c r="AK83" s="331"/>
      <c r="AL83" s="331"/>
      <c r="AM83" s="1358" t="s">
        <v>1118</v>
      </c>
      <c r="AN83" s="1363" t="s">
        <v>1131</v>
      </c>
      <c r="AO83" s="147"/>
      <c r="AP83" s="988"/>
      <c r="AQ83" s="988"/>
      <c r="AR83" s="988"/>
      <c r="AS83" s="1325"/>
      <c r="AU83" s="5155"/>
      <c r="AX83" s="42" t="str">
        <f t="shared" si="26"/>
        <v>►</v>
      </c>
      <c r="AY83" s="196" t="str">
        <f>AY16</f>
        <v>Famille à coller.N.Nom de votre recette.Recette mère ►.S.Saisissez le nom de la recette mère</v>
      </c>
      <c r="AZ83" s="196">
        <f>AZ16</f>
        <v>6</v>
      </c>
      <c r="BA83" s="1347" t="str">
        <f>BA16</f>
        <v>couverts</v>
      </c>
      <c r="BB83" s="988"/>
      <c r="BC83" s="988"/>
      <c r="BD83" s="988"/>
      <c r="BE83" s="988"/>
      <c r="BF83" s="988"/>
      <c r="BG83" s="988"/>
      <c r="BH83" s="1325"/>
      <c r="BJ83" s="1115"/>
      <c r="BK83" s="1116"/>
      <c r="BL83" s="106"/>
      <c r="BM83" s="105"/>
      <c r="BN83" s="953"/>
      <c r="BO83" s="1108">
        <v>1.345</v>
      </c>
      <c r="BP83" s="265" t="s">
        <v>159</v>
      </c>
      <c r="BQ83" s="1109" t="s">
        <v>940</v>
      </c>
      <c r="BR83" s="1110" t="s">
        <v>939</v>
      </c>
      <c r="BS83" s="141"/>
      <c r="BT83" s="1114" t="s">
        <v>219</v>
      </c>
      <c r="BU83" s="609"/>
      <c r="BV83" s="1"/>
      <c r="BW83" s="5">
        <v>1</v>
      </c>
    </row>
    <row r="84" spans="2:75" ht="18.75">
      <c r="B84" s="5155"/>
      <c r="E84" s="141"/>
      <c r="F84" s="141"/>
      <c r="G84" s="141"/>
      <c r="H84" s="141"/>
      <c r="I84" s="1479" t="s">
        <v>1208</v>
      </c>
      <c r="J84" s="1480"/>
      <c r="K84" s="1480"/>
      <c r="L84" s="1480" t="s">
        <v>1214</v>
      </c>
      <c r="M84" s="1481" t="s">
        <v>1215</v>
      </c>
      <c r="N84" s="1481"/>
      <c r="O84" s="1477"/>
      <c r="Q84" s="5155"/>
      <c r="T84" s="42" t="str">
        <f t="shared" si="27"/>
        <v>►</v>
      </c>
      <c r="U84" s="196" t="str">
        <f>U61</f>
        <v>Famille à coller.N.Nom de votre recette.Recette mère ►.S.Saisissez le nom de la recette mère</v>
      </c>
      <c r="V84" s="196">
        <f>V59</f>
        <v>6</v>
      </c>
      <c r="W84" s="196" t="str">
        <f>W59</f>
        <v>couverts</v>
      </c>
      <c r="X84" s="1323"/>
      <c r="Y84" s="988"/>
      <c r="Z84" s="988"/>
      <c r="AA84" s="988"/>
      <c r="AB84" s="988"/>
      <c r="AC84" s="988"/>
      <c r="AD84" s="1325"/>
      <c r="AF84" s="5155"/>
      <c r="AI84" s="331"/>
      <c r="AJ84" s="331"/>
      <c r="AK84" s="331"/>
      <c r="AL84" s="331"/>
      <c r="AM84" s="1358" t="s">
        <v>1118</v>
      </c>
      <c r="AN84" s="1363" t="s">
        <v>1132</v>
      </c>
      <c r="AO84" s="147"/>
      <c r="AP84" s="988"/>
      <c r="AQ84" s="988"/>
      <c r="AR84" s="988"/>
      <c r="AS84" s="1325"/>
      <c r="AU84" s="5155"/>
      <c r="AX84" s="42" t="str">
        <f t="shared" si="26"/>
        <v>►</v>
      </c>
      <c r="AY84" s="196" t="str">
        <f>AY16</f>
        <v>Famille à coller.N.Nom de votre recette.Recette mère ►.S.Saisissez le nom de la recette mère</v>
      </c>
      <c r="AZ84" s="196">
        <f>AZ16</f>
        <v>6</v>
      </c>
      <c r="BA84" s="1347" t="str">
        <f>BA16</f>
        <v>couverts</v>
      </c>
      <c r="BB84" s="988"/>
      <c r="BC84" s="988"/>
      <c r="BD84" s="988"/>
      <c r="BE84" s="988"/>
      <c r="BF84" s="988"/>
      <c r="BG84" s="988"/>
      <c r="BH84" s="1325"/>
      <c r="BJ84" s="1117" t="s">
        <v>944</v>
      </c>
      <c r="BK84" s="109"/>
      <c r="BL84" s="106"/>
      <c r="BM84" s="105"/>
      <c r="BN84" s="953"/>
      <c r="BO84" s="1108">
        <v>3</v>
      </c>
      <c r="BP84" s="277" t="s">
        <v>942</v>
      </c>
      <c r="BQ84" s="1109" t="s">
        <v>945</v>
      </c>
      <c r="BR84" s="1110" t="s">
        <v>943</v>
      </c>
      <c r="BS84" s="141"/>
      <c r="BT84" s="272" t="s">
        <v>88</v>
      </c>
      <c r="BU84" s="609"/>
      <c r="BV84" s="1"/>
      <c r="BW84" s="5">
        <v>1</v>
      </c>
    </row>
    <row r="85" spans="2:75" ht="18.75">
      <c r="B85" s="5155"/>
      <c r="E85" s="141"/>
      <c r="F85" s="141"/>
      <c r="G85" s="141"/>
      <c r="H85" s="141"/>
      <c r="I85" s="1482" t="s">
        <v>1216</v>
      </c>
      <c r="J85" s="1483">
        <v>4.8611111111111112E-3</v>
      </c>
      <c r="K85" s="1484"/>
      <c r="L85" s="1484">
        <v>250</v>
      </c>
      <c r="M85" s="1485" t="s">
        <v>1219</v>
      </c>
      <c r="N85" s="1485"/>
      <c r="O85" s="1477"/>
      <c r="Q85" s="5155"/>
      <c r="T85" s="42" t="str">
        <f t="shared" si="27"/>
        <v>►</v>
      </c>
      <c r="U85" s="196" t="str">
        <f>U61</f>
        <v>Famille à coller.N.Nom de votre recette.Recette mère ►.S.Saisissez le nom de la recette mère</v>
      </c>
      <c r="V85" s="196">
        <f>V59</f>
        <v>6</v>
      </c>
      <c r="W85" s="196" t="str">
        <f>W59</f>
        <v>couverts</v>
      </c>
      <c r="X85" s="1323"/>
      <c r="Y85" s="988"/>
      <c r="Z85" s="988"/>
      <c r="AA85" s="988"/>
      <c r="AB85" s="988"/>
      <c r="AC85" s="988"/>
      <c r="AD85" s="1325"/>
      <c r="AF85" s="5155"/>
      <c r="AI85" s="331"/>
      <c r="AJ85" s="331"/>
      <c r="AK85" s="331"/>
      <c r="AL85" s="331"/>
      <c r="AM85" s="1358" t="s">
        <v>1118</v>
      </c>
      <c r="AN85" s="1359" t="s">
        <v>1126</v>
      </c>
      <c r="AO85" s="1361"/>
      <c r="AP85" s="988"/>
      <c r="AQ85" s="988"/>
      <c r="AR85" s="988"/>
      <c r="AS85" s="1325"/>
      <c r="AU85" s="5155"/>
      <c r="AX85" s="42" t="str">
        <f t="shared" si="26"/>
        <v>►</v>
      </c>
      <c r="AY85" s="196" t="str">
        <f>AY16</f>
        <v>Famille à coller.N.Nom de votre recette.Recette mère ►.S.Saisissez le nom de la recette mère</v>
      </c>
      <c r="AZ85" s="196">
        <f>AZ16</f>
        <v>6</v>
      </c>
      <c r="BA85" s="1347" t="str">
        <f>BA16</f>
        <v>couverts</v>
      </c>
      <c r="BB85" s="988"/>
      <c r="BC85" s="988"/>
      <c r="BD85" s="988"/>
      <c r="BE85" s="988"/>
      <c r="BF85" s="988"/>
      <c r="BG85" s="988"/>
      <c r="BH85" s="1325"/>
      <c r="BJ85" s="258" t="s">
        <v>949</v>
      </c>
      <c r="BK85" s="109"/>
      <c r="BL85" s="106"/>
      <c r="BM85" s="105"/>
      <c r="BN85" s="953"/>
      <c r="BO85" s="1118">
        <v>2.5</v>
      </c>
      <c r="BP85" s="265" t="s">
        <v>946</v>
      </c>
      <c r="BQ85" s="1109" t="s">
        <v>947</v>
      </c>
      <c r="BR85" s="1110" t="s">
        <v>948</v>
      </c>
      <c r="BS85" s="141"/>
      <c r="BT85" s="272" t="s">
        <v>170</v>
      </c>
      <c r="BU85" s="609"/>
      <c r="BV85" s="1"/>
      <c r="BW85" s="5">
        <v>1</v>
      </c>
    </row>
    <row r="86" spans="2:75" ht="15.75">
      <c r="B86" s="5155"/>
      <c r="E86" s="141"/>
      <c r="F86" s="141"/>
      <c r="G86" s="141"/>
      <c r="H86" s="141"/>
      <c r="I86" s="1486" t="s">
        <v>1207</v>
      </c>
      <c r="J86" s="1321"/>
      <c r="K86" s="1321"/>
      <c r="L86" s="1321"/>
      <c r="M86" s="1321"/>
      <c r="N86" s="1321"/>
      <c r="O86" s="1370"/>
      <c r="Q86" s="5155"/>
      <c r="T86" s="42" t="str">
        <f t="shared" si="27"/>
        <v>►</v>
      </c>
      <c r="U86" s="196" t="str">
        <f>U61</f>
        <v>Famille à coller.N.Nom de votre recette.Recette mère ►.S.Saisissez le nom de la recette mère</v>
      </c>
      <c r="V86" s="196">
        <f>V59</f>
        <v>6</v>
      </c>
      <c r="W86" s="196" t="str">
        <f>W59</f>
        <v>couverts</v>
      </c>
      <c r="X86" s="1323"/>
      <c r="Y86" s="988"/>
      <c r="Z86" s="988"/>
      <c r="AA86" s="988"/>
      <c r="AB86" s="988"/>
      <c r="AC86" s="988"/>
      <c r="AD86" s="1325"/>
      <c r="AF86" s="5155"/>
      <c r="AI86" s="331"/>
      <c r="AJ86" s="331"/>
      <c r="AK86" s="331"/>
      <c r="AL86" s="331"/>
      <c r="AM86" s="1358" t="s">
        <v>1118</v>
      </c>
      <c r="AN86" s="1363" t="s">
        <v>1127</v>
      </c>
      <c r="AO86" s="147"/>
      <c r="AP86" s="988"/>
      <c r="AQ86" s="988"/>
      <c r="AR86" s="988"/>
      <c r="AS86" s="1325"/>
      <c r="AU86" s="5155"/>
      <c r="AX86" s="42" t="str">
        <f t="shared" si="26"/>
        <v>►</v>
      </c>
      <c r="AY86" s="196" t="str">
        <f>AY16</f>
        <v>Famille à coller.N.Nom de votre recette.Recette mère ►.S.Saisissez le nom de la recette mère</v>
      </c>
      <c r="AZ86" s="196">
        <f>AZ16</f>
        <v>6</v>
      </c>
      <c r="BA86" s="1347" t="str">
        <f>BA16</f>
        <v>couverts</v>
      </c>
      <c r="BB86" s="988"/>
      <c r="BC86" s="988"/>
      <c r="BD86" s="988"/>
      <c r="BE86" s="988"/>
      <c r="BF86" s="988"/>
      <c r="BG86" s="988"/>
      <c r="BH86" s="1325"/>
      <c r="BJ86" s="1119">
        <v>10</v>
      </c>
      <c r="BK86" s="1120" t="s">
        <v>73</v>
      </c>
      <c r="BL86" s="106"/>
      <c r="BM86" s="105"/>
      <c r="BN86" s="953"/>
      <c r="BO86" s="343"/>
      <c r="BS86" s="141"/>
      <c r="BT86" s="272" t="s">
        <v>172</v>
      </c>
      <c r="BU86" s="609"/>
      <c r="BV86" s="1"/>
      <c r="BW86" s="5">
        <v>1</v>
      </c>
    </row>
    <row r="87" spans="2:75" ht="15.75">
      <c r="B87" s="5155"/>
      <c r="E87" s="141"/>
      <c r="F87" s="141"/>
      <c r="G87" s="141"/>
      <c r="H87" s="141"/>
      <c r="I87" s="1319"/>
      <c r="J87" s="1320"/>
      <c r="K87" s="1320"/>
      <c r="L87" s="1320"/>
      <c r="M87" s="1320"/>
      <c r="N87" s="1320"/>
      <c r="O87" s="1324"/>
      <c r="Q87" s="5155"/>
      <c r="T87" s="42" t="str">
        <f t="shared" si="27"/>
        <v>►</v>
      </c>
      <c r="U87" s="196" t="str">
        <f>U61</f>
        <v>Famille à coller.N.Nom de votre recette.Recette mère ►.S.Saisissez le nom de la recette mère</v>
      </c>
      <c r="V87" s="196">
        <f>V59</f>
        <v>6</v>
      </c>
      <c r="W87" s="196" t="str">
        <f>W59</f>
        <v>couverts</v>
      </c>
      <c r="X87" s="1323"/>
      <c r="Y87" s="988"/>
      <c r="Z87" s="988"/>
      <c r="AA87" s="988"/>
      <c r="AB87" s="988"/>
      <c r="AC87" s="988"/>
      <c r="AD87" s="1325"/>
      <c r="AF87" s="5155"/>
      <c r="AI87" s="331"/>
      <c r="AJ87" s="331"/>
      <c r="AK87" s="331"/>
      <c r="AL87" s="331"/>
      <c r="AM87" s="1358" t="s">
        <v>1118</v>
      </c>
      <c r="AN87" s="1363" t="s">
        <v>1135</v>
      </c>
      <c r="AO87" s="147"/>
      <c r="AP87" s="988"/>
      <c r="AQ87" s="988"/>
      <c r="AR87" s="988"/>
      <c r="AS87" s="1325"/>
      <c r="AU87" s="5155"/>
      <c r="AX87" s="42" t="str">
        <f t="shared" si="26"/>
        <v>►</v>
      </c>
      <c r="AY87" s="196" t="str">
        <f>AY16</f>
        <v>Famille à coller.N.Nom de votre recette.Recette mère ►.S.Saisissez le nom de la recette mère</v>
      </c>
      <c r="AZ87" s="196">
        <f>AZ16</f>
        <v>6</v>
      </c>
      <c r="BA87" s="1347" t="str">
        <f>BA16</f>
        <v>couverts</v>
      </c>
      <c r="BB87" s="988"/>
      <c r="BC87" s="988"/>
      <c r="BD87" s="988"/>
      <c r="BE87" s="988"/>
      <c r="BF87" s="988"/>
      <c r="BG87" s="988"/>
      <c r="BH87" s="1325"/>
      <c r="BJ87" s="258" t="s">
        <v>140</v>
      </c>
      <c r="BK87" s="109"/>
      <c r="BL87" s="106"/>
      <c r="BM87" s="105"/>
      <c r="BN87" s="953"/>
      <c r="BO87" s="1121"/>
      <c r="BP87" s="141"/>
      <c r="BQ87" s="141"/>
      <c r="BR87" s="141"/>
      <c r="BS87" s="1122"/>
      <c r="BT87" s="272" t="s">
        <v>166</v>
      </c>
      <c r="BU87" s="609"/>
      <c r="BV87" s="1"/>
      <c r="BW87" s="5">
        <v>1</v>
      </c>
    </row>
    <row r="88" spans="2:75" ht="15.75" customHeight="1">
      <c r="B88" s="5155"/>
      <c r="E88" s="141"/>
      <c r="F88" s="141"/>
      <c r="G88" s="141"/>
      <c r="H88" s="141"/>
      <c r="I88" s="1338"/>
      <c r="J88" s="997"/>
      <c r="K88" s="997"/>
      <c r="L88" s="997"/>
      <c r="M88" s="997"/>
      <c r="N88" s="997"/>
      <c r="O88" s="1339" t="s">
        <v>1112</v>
      </c>
      <c r="Q88" s="5155"/>
      <c r="T88" s="42" t="str">
        <f t="shared" si="27"/>
        <v>►</v>
      </c>
      <c r="U88" s="196" t="str">
        <f>U61</f>
        <v>Famille à coller.N.Nom de votre recette.Recette mère ►.S.Saisissez le nom de la recette mère</v>
      </c>
      <c r="V88" s="196">
        <f>V59</f>
        <v>6</v>
      </c>
      <c r="W88" s="196" t="str">
        <f>W59</f>
        <v>couverts</v>
      </c>
      <c r="X88" s="1323"/>
      <c r="Y88" s="988"/>
      <c r="Z88" s="988"/>
      <c r="AA88" s="988"/>
      <c r="AB88" s="988"/>
      <c r="AC88" s="988"/>
      <c r="AD88" s="1325"/>
      <c r="AF88" s="5155"/>
      <c r="AI88" s="331"/>
      <c r="AJ88" s="331"/>
      <c r="AK88" s="331"/>
      <c r="AL88" s="331"/>
      <c r="AM88" s="1358" t="s">
        <v>1118</v>
      </c>
      <c r="AN88" s="1363" t="s">
        <v>1136</v>
      </c>
      <c r="AO88" s="147"/>
      <c r="AP88" s="988"/>
      <c r="AQ88" s="988"/>
      <c r="AR88" s="988"/>
      <c r="AS88" s="1325"/>
      <c r="AU88" s="5155"/>
      <c r="AX88" s="42" t="str">
        <f t="shared" si="26"/>
        <v>►</v>
      </c>
      <c r="AY88" s="196" t="str">
        <f>AY16</f>
        <v>Famille à coller.N.Nom de votre recette.Recette mère ►.S.Saisissez le nom de la recette mère</v>
      </c>
      <c r="AZ88" s="196">
        <f>AZ16</f>
        <v>6</v>
      </c>
      <c r="BA88" s="1347" t="str">
        <f>BA16</f>
        <v>couverts</v>
      </c>
      <c r="BB88" s="988"/>
      <c r="BC88" s="988"/>
      <c r="BD88" s="988"/>
      <c r="BE88" s="988"/>
      <c r="BF88" s="988"/>
      <c r="BG88" s="988"/>
      <c r="BH88" s="1325"/>
      <c r="BJ88" s="1119">
        <v>5</v>
      </c>
      <c r="BL88" s="106"/>
      <c r="BM88" s="105"/>
      <c r="BN88" s="953"/>
      <c r="BO88" s="221"/>
      <c r="BP88" s="1080" t="s">
        <v>950</v>
      </c>
      <c r="BQ88" s="1080"/>
      <c r="BR88" s="1080"/>
      <c r="BS88" s="1122"/>
      <c r="BT88" s="265" t="s">
        <v>159</v>
      </c>
      <c r="BU88" s="609"/>
      <c r="BW88" s="5">
        <v>1</v>
      </c>
    </row>
    <row r="89" spans="2:75" ht="22.5" customHeight="1">
      <c r="B89" s="5155"/>
      <c r="E89" s="141"/>
      <c r="F89" s="141"/>
      <c r="G89" s="141"/>
      <c r="H89" s="141"/>
      <c r="I89" s="1454"/>
      <c r="J89" s="1002"/>
      <c r="K89" s="1002" t="s">
        <v>873</v>
      </c>
      <c r="L89" s="1003"/>
      <c r="M89" s="1329"/>
      <c r="N89" s="1329"/>
      <c r="O89" s="1330"/>
      <c r="Q89" s="5155"/>
      <c r="T89" s="42" t="str">
        <f t="shared" si="27"/>
        <v>►</v>
      </c>
      <c r="U89" s="196" t="str">
        <f>U61</f>
        <v>Famille à coller.N.Nom de votre recette.Recette mère ►.S.Saisissez le nom de la recette mère</v>
      </c>
      <c r="V89" s="196">
        <f>V59</f>
        <v>6</v>
      </c>
      <c r="W89" s="196" t="str">
        <f>W59</f>
        <v>couverts</v>
      </c>
      <c r="X89" s="1323"/>
      <c r="Y89" s="988"/>
      <c r="Z89" s="988"/>
      <c r="AA89" s="988"/>
      <c r="AB89" s="988"/>
      <c r="AC89" s="988"/>
      <c r="AD89" s="1325"/>
      <c r="AF89" s="5155"/>
      <c r="AI89" s="331"/>
      <c r="AJ89" s="331"/>
      <c r="AK89" s="331"/>
      <c r="AL89" s="331"/>
      <c r="AM89" s="1358" t="s">
        <v>1118</v>
      </c>
      <c r="AN89" s="1363" t="s">
        <v>1137</v>
      </c>
      <c r="AO89" s="147"/>
      <c r="AP89" s="988"/>
      <c r="AQ89" s="988"/>
      <c r="AR89" s="988"/>
      <c r="AS89" s="1325"/>
      <c r="AU89" s="5155"/>
      <c r="AX89" s="42" t="str">
        <f t="shared" si="26"/>
        <v>►</v>
      </c>
      <c r="AY89" s="196" t="str">
        <f>AY16</f>
        <v>Famille à coller.N.Nom de votre recette.Recette mère ►.S.Saisissez le nom de la recette mère</v>
      </c>
      <c r="AZ89" s="196">
        <f>AZ16</f>
        <v>6</v>
      </c>
      <c r="BA89" s="1347" t="str">
        <f>BA16</f>
        <v>couverts</v>
      </c>
      <c r="BB89" s="988"/>
      <c r="BC89" s="988"/>
      <c r="BD89" s="988"/>
      <c r="BE89" s="988"/>
      <c r="BF89" s="988"/>
      <c r="BG89" s="988"/>
      <c r="BH89" s="1325"/>
      <c r="BJ89" s="1123" t="s">
        <v>952</v>
      </c>
      <c r="BK89" s="1124" t="s">
        <v>71</v>
      </c>
      <c r="BL89" s="1125"/>
      <c r="BM89" s="105"/>
      <c r="BN89" s="953"/>
      <c r="BO89" s="1083"/>
      <c r="BQ89" s="147"/>
      <c r="BR89" s="147"/>
      <c r="BS89" s="141"/>
      <c r="BT89" s="265" t="s">
        <v>164</v>
      </c>
      <c r="BU89" s="609"/>
      <c r="BW89" s="5">
        <v>1</v>
      </c>
    </row>
    <row r="90" spans="2:75" ht="16.5" thickBot="1">
      <c r="B90" s="5155"/>
      <c r="E90" s="141"/>
      <c r="F90" s="141"/>
      <c r="G90" s="141"/>
      <c r="H90" s="141"/>
      <c r="I90" s="1332" t="s">
        <v>86</v>
      </c>
      <c r="J90" s="1006"/>
      <c r="K90" s="1007"/>
      <c r="L90" s="1008"/>
      <c r="M90" s="1007"/>
      <c r="N90" s="1007"/>
      <c r="O90" s="1333"/>
      <c r="Q90" s="5155"/>
      <c r="T90" s="1037" t="s">
        <v>21</v>
      </c>
      <c r="U90" s="196" t="str">
        <f>U61</f>
        <v>Famille à coller.N.Nom de votre recette.Recette mère ►.S.Saisissez le nom de la recette mère</v>
      </c>
      <c r="V90" s="196">
        <f>V59</f>
        <v>6</v>
      </c>
      <c r="W90" s="196" t="str">
        <f>W59</f>
        <v>couverts</v>
      </c>
      <c r="X90" s="1323"/>
      <c r="Y90" s="988"/>
      <c r="Z90" s="988"/>
      <c r="AA90" s="988"/>
      <c r="AB90" s="988"/>
      <c r="AC90" s="988"/>
      <c r="AD90" s="1325"/>
      <c r="AF90" s="5155"/>
      <c r="AI90" s="331"/>
      <c r="AJ90" s="331"/>
      <c r="AK90" s="331"/>
      <c r="AL90" s="331"/>
      <c r="AM90" s="1358" t="s">
        <v>1118</v>
      </c>
      <c r="AN90" s="1363" t="s">
        <v>1138</v>
      </c>
      <c r="AO90" s="147"/>
      <c r="AP90" s="988"/>
      <c r="AQ90" s="988"/>
      <c r="AR90" s="988"/>
      <c r="AS90" s="1325"/>
      <c r="AU90" s="5155"/>
      <c r="AX90" s="42" t="str">
        <f t="shared" si="26"/>
        <v>►</v>
      </c>
      <c r="AY90" s="196" t="str">
        <f>AY16</f>
        <v>Famille à coller.N.Nom de votre recette.Recette mère ►.S.Saisissez le nom de la recette mère</v>
      </c>
      <c r="AZ90" s="196">
        <f>AZ16</f>
        <v>6</v>
      </c>
      <c r="BA90" s="1347" t="str">
        <f>BA16</f>
        <v>couverts</v>
      </c>
      <c r="BB90" s="988"/>
      <c r="BC90" s="988"/>
      <c r="BD90" s="988"/>
      <c r="BE90" s="988"/>
      <c r="BF90" s="988"/>
      <c r="BG90" s="988"/>
      <c r="BH90" s="1325"/>
      <c r="BJ90" s="99" t="s">
        <v>953</v>
      </c>
      <c r="BK90" s="109"/>
      <c r="BL90" s="176"/>
      <c r="BM90" s="175"/>
      <c r="BN90" s="953"/>
      <c r="BO90" s="1083" t="s">
        <v>924</v>
      </c>
      <c r="BQ90" s="141"/>
      <c r="BR90" s="141"/>
      <c r="BS90" s="141"/>
      <c r="BT90" s="277" t="s">
        <v>188</v>
      </c>
      <c r="BU90" s="609"/>
      <c r="BW90" s="5">
        <v>1</v>
      </c>
    </row>
    <row r="91" spans="2:75" ht="15.75" customHeight="1">
      <c r="B91" s="5155"/>
      <c r="C91" s="5153"/>
      <c r="D91" s="5154" t="s">
        <v>7845</v>
      </c>
      <c r="E91" s="141"/>
      <c r="F91" s="141"/>
      <c r="G91" s="141"/>
      <c r="H91" s="141"/>
      <c r="I91" s="141"/>
      <c r="J91" s="141"/>
      <c r="K91" s="141"/>
      <c r="L91" s="141"/>
      <c r="M91" s="141"/>
      <c r="N91" s="141"/>
      <c r="O91" s="141"/>
      <c r="Q91" s="5155"/>
      <c r="T91" s="1037" t="s">
        <v>21</v>
      </c>
      <c r="U91" s="196" t="str">
        <f>U61</f>
        <v>Famille à coller.N.Nom de votre recette.Recette mère ►.S.Saisissez le nom de la recette mère</v>
      </c>
      <c r="V91" s="196">
        <f>V59</f>
        <v>6</v>
      </c>
      <c r="W91" s="196" t="str">
        <f>W59</f>
        <v>couverts</v>
      </c>
      <c r="X91" s="1323"/>
      <c r="Y91" s="988"/>
      <c r="Z91" s="988"/>
      <c r="AA91" s="988"/>
      <c r="AB91" s="988"/>
      <c r="AC91" s="988"/>
      <c r="AD91" s="1325"/>
      <c r="AF91" s="5155"/>
      <c r="AI91" s="331"/>
      <c r="AJ91" s="331"/>
      <c r="AK91" s="331"/>
      <c r="AL91" s="331"/>
      <c r="AM91" s="1358" t="s">
        <v>1118</v>
      </c>
      <c r="AN91" s="1363" t="s">
        <v>1139</v>
      </c>
      <c r="AO91" s="147"/>
      <c r="AP91" s="988"/>
      <c r="AQ91" s="988"/>
      <c r="AR91" s="988"/>
      <c r="AS91" s="1325"/>
      <c r="AU91" s="5155"/>
      <c r="AX91" s="42" t="str">
        <f t="shared" si="26"/>
        <v>►</v>
      </c>
      <c r="AY91" s="196" t="str">
        <f>AY16</f>
        <v>Famille à coller.N.Nom de votre recette.Recette mère ►.S.Saisissez le nom de la recette mère</v>
      </c>
      <c r="AZ91" s="196">
        <f>AZ16</f>
        <v>6</v>
      </c>
      <c r="BA91" s="1347" t="str">
        <f>BA16</f>
        <v>couverts</v>
      </c>
      <c r="BB91" s="988"/>
      <c r="BC91" s="988"/>
      <c r="BD91" s="988"/>
      <c r="BE91" s="988"/>
      <c r="BF91" s="988"/>
      <c r="BG91" s="988"/>
      <c r="BH91" s="1325"/>
      <c r="BJ91" s="247" t="s">
        <v>954</v>
      </c>
      <c r="BK91" s="109"/>
      <c r="BL91" s="176"/>
      <c r="BM91" s="175"/>
      <c r="BN91" s="953"/>
      <c r="BO91" s="221" t="s">
        <v>955</v>
      </c>
      <c r="BQ91" s="141"/>
      <c r="BR91" s="141"/>
      <c r="BS91" s="141"/>
      <c r="BT91" s="314" t="s">
        <v>179</v>
      </c>
      <c r="BU91" s="609"/>
      <c r="BV91" s="3"/>
      <c r="BW91" s="5">
        <v>1</v>
      </c>
    </row>
    <row r="92" spans="2:75" ht="16.5" customHeight="1">
      <c r="B92" s="5155"/>
      <c r="D92" s="5152" t="s">
        <v>7842</v>
      </c>
      <c r="E92" s="141"/>
      <c r="F92" s="141"/>
      <c r="G92" s="141"/>
      <c r="H92" s="141"/>
      <c r="I92" s="5150" t="s">
        <v>218</v>
      </c>
      <c r="J92" s="1314" cm="1">
        <f t="array" ref="J92">IFERROR(ROW(I102)-(ROW(I93)+MATCH(TRUE,INDEX(ISNUMBER(FIND(N92,TRIM(SUBSTITUTE(SUBSTITUTE(SUBSTITUTE(SUBSTITUTE(SUBSTITUTE(SUBSTITUTE(SUBSTITUTE(LOWER(I93:I102),"é","e"),"è","e"),"ê","e"),"ë","e"),"à","a"),"ù","u"),"î","i")))),0),0)-1),1)</f>
        <v>1</v>
      </c>
      <c r="K92" s="1315" t="s">
        <v>1206</v>
      </c>
      <c r="L92" s="1316"/>
      <c r="M92" s="1316"/>
      <c r="N92" s="1317" t="str">
        <f>TRIM(SUBSTITUTE(SUBSTITUTE(SUBSTITUTE(SUBSTITUTE(SUBSTITUTE(SUBSTITUTE(SUBSTITUTE(LOWER(O92),"é","e"),"è","e"),"ê","e"),"ë","e"),"à","a"),"ù","u"),"î","i"))</f>
        <v>⓬ ▼ conseils</v>
      </c>
      <c r="O92" s="1467" t="s">
        <v>1222</v>
      </c>
      <c r="Q92" s="5155"/>
      <c r="T92" s="1037" t="s">
        <v>21</v>
      </c>
      <c r="U92" s="196" t="str">
        <f>U61</f>
        <v>Famille à coller.N.Nom de votre recette.Recette mère ►.S.Saisissez le nom de la recette mère</v>
      </c>
      <c r="V92" s="196">
        <f>V59</f>
        <v>6</v>
      </c>
      <c r="W92" s="196" t="str">
        <f>W59</f>
        <v>couverts</v>
      </c>
      <c r="X92" s="1338"/>
      <c r="Y92" s="997"/>
      <c r="Z92" s="997"/>
      <c r="AA92" s="997"/>
      <c r="AB92" s="997"/>
      <c r="AC92" s="997"/>
      <c r="AD92" s="1339" t="s">
        <v>1112</v>
      </c>
      <c r="AF92" s="5155"/>
      <c r="AI92" s="331"/>
      <c r="AJ92" s="331"/>
      <c r="AK92" s="331"/>
      <c r="AL92" s="331"/>
      <c r="AM92" s="1358" t="s">
        <v>1118</v>
      </c>
      <c r="AN92" s="1363" t="s">
        <v>1140</v>
      </c>
      <c r="AO92" s="147"/>
      <c r="AP92" s="988"/>
      <c r="AQ92" s="988"/>
      <c r="AR92" s="988"/>
      <c r="AS92" s="1325"/>
      <c r="AU92" s="5155"/>
      <c r="AX92" s="42" t="str">
        <f t="shared" si="26"/>
        <v>►</v>
      </c>
      <c r="AY92" s="196" t="str">
        <f>AY16</f>
        <v>Famille à coller.N.Nom de votre recette.Recette mère ►.S.Saisissez le nom de la recette mère</v>
      </c>
      <c r="AZ92" s="196">
        <f>AZ16</f>
        <v>6</v>
      </c>
      <c r="BA92" s="1347" t="str">
        <f>BA16</f>
        <v>couverts</v>
      </c>
      <c r="BB92" s="988"/>
      <c r="BC92" s="988"/>
      <c r="BD92" s="988"/>
      <c r="BE92" s="988"/>
      <c r="BF92" s="988"/>
      <c r="BG92" s="988"/>
      <c r="BH92" s="1325"/>
      <c r="BJ92" s="247"/>
      <c r="BK92" s="109"/>
      <c r="BL92" s="176"/>
      <c r="BM92" s="175"/>
      <c r="BN92" s="953"/>
      <c r="BO92" s="221" t="s">
        <v>956</v>
      </c>
      <c r="BQ92" s="141"/>
      <c r="BR92" s="141"/>
      <c r="BS92" s="141"/>
      <c r="BT92" s="141"/>
      <c r="BU92" s="609"/>
      <c r="BV92" s="3"/>
      <c r="BW92" s="5">
        <v>1</v>
      </c>
    </row>
    <row r="93" spans="2:75" ht="17.25" customHeight="1" thickBot="1">
      <c r="B93" s="5155"/>
      <c r="E93" s="141"/>
      <c r="F93" s="141"/>
      <c r="G93" s="141"/>
      <c r="H93" s="141"/>
      <c r="I93" s="1411" t="s">
        <v>1175</v>
      </c>
      <c r="J93" s="1487">
        <v>1.7361111111111112E-2</v>
      </c>
      <c r="K93" s="1488"/>
      <c r="L93" s="1488">
        <v>3</v>
      </c>
      <c r="M93" s="1489" t="s">
        <v>1223</v>
      </c>
      <c r="N93" s="1148"/>
      <c r="O93" s="1490"/>
      <c r="Q93" s="5155"/>
      <c r="T93" s="1037" t="s">
        <v>21</v>
      </c>
      <c r="U93" s="196" t="str">
        <f>U61</f>
        <v>Famille à coller.N.Nom de votre recette.Recette mère ►.S.Saisissez le nom de la recette mère</v>
      </c>
      <c r="V93" s="196">
        <f>V59</f>
        <v>6</v>
      </c>
      <c r="W93" s="196" t="str">
        <f>W59</f>
        <v>couverts</v>
      </c>
      <c r="X93" s="1002"/>
      <c r="Y93" s="1002"/>
      <c r="Z93" s="1002" t="s">
        <v>873</v>
      </c>
      <c r="AA93" s="1003"/>
      <c r="AB93" s="1329"/>
      <c r="AC93" s="1329"/>
      <c r="AD93" s="1330"/>
      <c r="AF93" s="5155"/>
      <c r="AI93" s="331"/>
      <c r="AJ93" s="331"/>
      <c r="AK93" s="331"/>
      <c r="AL93" s="331"/>
      <c r="AM93" s="1369" t="s">
        <v>864</v>
      </c>
      <c r="AN93" s="1321"/>
      <c r="AO93" s="1321"/>
      <c r="AP93" s="1321"/>
      <c r="AQ93" s="1321"/>
      <c r="AR93" s="1321"/>
      <c r="AS93" s="1370" t="s">
        <v>1141</v>
      </c>
      <c r="AU93" s="5155"/>
      <c r="AX93" s="42" t="str">
        <f t="shared" si="26"/>
        <v>►</v>
      </c>
      <c r="AY93" s="196" t="str">
        <f>AY16</f>
        <v>Famille à coller.N.Nom de votre recette.Recette mère ►.S.Saisissez le nom de la recette mère</v>
      </c>
      <c r="AZ93" s="196">
        <f>AZ16</f>
        <v>6</v>
      </c>
      <c r="BA93" s="1347" t="str">
        <f>BA16</f>
        <v>couverts</v>
      </c>
      <c r="BB93" s="988"/>
      <c r="BC93" s="988"/>
      <c r="BD93" s="988"/>
      <c r="BE93" s="988"/>
      <c r="BF93" s="988"/>
      <c r="BG93" s="988"/>
      <c r="BH93" s="1325"/>
      <c r="BJ93" s="247"/>
      <c r="BK93" s="109"/>
      <c r="BL93" s="176"/>
      <c r="BM93" s="175"/>
      <c r="BN93" s="953"/>
      <c r="BO93" s="221"/>
      <c r="BP93" s="141"/>
      <c r="BQ93" s="141"/>
      <c r="BR93" s="141"/>
      <c r="BS93" s="141"/>
      <c r="BT93" s="141"/>
      <c r="BU93" s="609"/>
      <c r="BV93" s="3"/>
      <c r="BW93" s="5">
        <v>1</v>
      </c>
    </row>
    <row r="94" spans="2:75" ht="17.25" customHeight="1" thickTop="1" thickBot="1">
      <c r="B94" s="5155"/>
      <c r="D94" s="1353"/>
      <c r="E94" s="141"/>
      <c r="F94" s="141"/>
      <c r="G94" s="141"/>
      <c r="H94" s="141"/>
      <c r="I94" s="1411" t="s">
        <v>1175</v>
      </c>
      <c r="J94" s="1487">
        <v>5.9027777777777797E-2</v>
      </c>
      <c r="K94" s="1488"/>
      <c r="L94" s="1488">
        <v>3</v>
      </c>
      <c r="M94" s="1148" t="s">
        <v>1225</v>
      </c>
      <c r="N94" s="1148"/>
      <c r="O94" s="1490"/>
      <c r="Q94" s="5155"/>
      <c r="T94" s="1069" t="s">
        <v>21</v>
      </c>
      <c r="U94" s="1331" t="str">
        <f>U77</f>
        <v>Famille à coller.N.Nom de votre recette.Recette mère ►.S.Saisissez le nom de la recette mère</v>
      </c>
      <c r="V94" s="1331">
        <f>V77</f>
        <v>6</v>
      </c>
      <c r="W94" s="1331" t="str">
        <f>W77</f>
        <v>couverts</v>
      </c>
      <c r="X94" s="1332" t="s">
        <v>86</v>
      </c>
      <c r="Y94" s="1006"/>
      <c r="Z94" s="1007"/>
      <c r="AA94" s="1008"/>
      <c r="AB94" s="1007"/>
      <c r="AC94" s="1007"/>
      <c r="AD94" s="1333"/>
      <c r="AF94" s="5155"/>
      <c r="AI94" s="331"/>
      <c r="AJ94" s="331"/>
      <c r="AK94" s="331"/>
      <c r="AL94" s="331"/>
      <c r="AM94" s="1371"/>
      <c r="AN94" s="1371"/>
      <c r="AO94" s="1371"/>
      <c r="AP94" s="1371"/>
      <c r="AQ94" s="1371"/>
      <c r="AR94" s="1371"/>
      <c r="AS94" s="1371"/>
      <c r="AU94" s="5155"/>
      <c r="AX94" s="42" t="str">
        <f t="shared" si="26"/>
        <v>►</v>
      </c>
      <c r="AY94" s="196" t="str">
        <f>AY16</f>
        <v>Famille à coller.N.Nom de votre recette.Recette mère ►.S.Saisissez le nom de la recette mère</v>
      </c>
      <c r="AZ94" s="196">
        <f>AZ16</f>
        <v>6</v>
      </c>
      <c r="BA94" s="1347" t="str">
        <f>BA16</f>
        <v>couverts</v>
      </c>
      <c r="BB94" s="988"/>
      <c r="BC94" s="988"/>
      <c r="BD94" s="988"/>
      <c r="BE94" s="988"/>
      <c r="BF94" s="988"/>
      <c r="BG94" s="988"/>
      <c r="BH94" s="1325"/>
      <c r="BJ94" s="99" t="s">
        <v>135</v>
      </c>
      <c r="BK94" s="109"/>
      <c r="BL94" s="176"/>
      <c r="BM94" s="175"/>
      <c r="BN94" s="953"/>
      <c r="BO94" s="1086" t="s">
        <v>198</v>
      </c>
      <c r="BP94" s="1087" t="s">
        <v>197</v>
      </c>
      <c r="BQ94" s="1088"/>
      <c r="BR94" s="7125" t="s">
        <v>196</v>
      </c>
      <c r="BS94" s="7126" t="s">
        <v>195</v>
      </c>
      <c r="BT94" s="1126" t="s">
        <v>194</v>
      </c>
      <c r="BU94" s="1127"/>
      <c r="BV94" s="3"/>
      <c r="BW94" s="5">
        <v>1</v>
      </c>
    </row>
    <row r="95" spans="2:75" ht="17.25" customHeight="1">
      <c r="B95" s="5155"/>
      <c r="D95" s="1"/>
      <c r="E95" s="141"/>
      <c r="F95" s="141"/>
      <c r="G95" s="141"/>
      <c r="H95" s="141"/>
      <c r="I95" s="1411" t="s">
        <v>1175</v>
      </c>
      <c r="J95" s="1487">
        <v>2.4305555555555556E-2</v>
      </c>
      <c r="K95" s="1488"/>
      <c r="L95" s="1488">
        <v>3</v>
      </c>
      <c r="M95" s="1148" t="s">
        <v>1226</v>
      </c>
      <c r="N95" s="1148"/>
      <c r="O95" s="1490"/>
      <c r="Q95" s="5155"/>
      <c r="T95" s="1351"/>
      <c r="U95" s="1351"/>
      <c r="V95" s="1351"/>
      <c r="W95" s="1352" t="s">
        <v>1115</v>
      </c>
      <c r="X95" s="1353" t="s">
        <v>1116</v>
      </c>
      <c r="Y95" s="102"/>
      <c r="AF95" s="5155"/>
      <c r="AI95" s="331"/>
      <c r="AJ95" s="331"/>
      <c r="AK95" s="331"/>
      <c r="AL95" s="331"/>
      <c r="AM95" s="1371"/>
      <c r="AN95" s="1371"/>
      <c r="AO95" s="1371"/>
      <c r="AP95" s="1371"/>
      <c r="AQ95" s="1371"/>
      <c r="AR95" s="1371"/>
      <c r="AS95" s="1371"/>
      <c r="AU95" s="5155"/>
      <c r="AX95" s="42" t="str">
        <f t="shared" si="26"/>
        <v>►</v>
      </c>
      <c r="AY95" s="196" t="str">
        <f>AY16</f>
        <v>Famille à coller.N.Nom de votre recette.Recette mère ►.S.Saisissez le nom de la recette mère</v>
      </c>
      <c r="AZ95" s="196">
        <f>AZ16</f>
        <v>6</v>
      </c>
      <c r="BA95" s="1347" t="str">
        <f>BA16</f>
        <v>couverts</v>
      </c>
      <c r="BB95" s="988"/>
      <c r="BC95" s="988"/>
      <c r="BD95" s="988"/>
      <c r="BE95" s="988"/>
      <c r="BF95" s="988"/>
      <c r="BG95" s="988"/>
      <c r="BH95" s="1325"/>
      <c r="BJ95" s="183" t="s">
        <v>957</v>
      </c>
      <c r="BK95" s="181"/>
      <c r="BL95" s="106"/>
      <c r="BM95" s="105"/>
      <c r="BN95" s="1128"/>
      <c r="BO95" s="1129" t="s">
        <v>184</v>
      </c>
      <c r="BP95" s="1130" t="s">
        <v>162</v>
      </c>
      <c r="BQ95" s="211" t="s">
        <v>186</v>
      </c>
      <c r="BR95" s="6904"/>
      <c r="BS95" s="7127"/>
      <c r="BT95" s="1131" t="s">
        <v>185</v>
      </c>
      <c r="BU95" s="1132"/>
      <c r="BV95" s="3"/>
      <c r="BW95" s="5">
        <v>1</v>
      </c>
    </row>
    <row r="96" spans="2:75" ht="15" customHeight="1" thickBot="1">
      <c r="B96" s="5155"/>
      <c r="D96" s="1"/>
      <c r="E96" s="141"/>
      <c r="F96" s="141"/>
      <c r="G96" s="141"/>
      <c r="H96" s="141"/>
      <c r="I96" s="1411" t="s">
        <v>1175</v>
      </c>
      <c r="J96" s="1487">
        <v>1.0416666666666666E-2</v>
      </c>
      <c r="K96" s="1488"/>
      <c r="L96" s="1488">
        <v>170</v>
      </c>
      <c r="M96" s="1148" t="s">
        <v>1227</v>
      </c>
      <c r="N96" s="1148"/>
      <c r="O96" s="1490"/>
      <c r="Q96" s="5155"/>
      <c r="AF96" s="5155"/>
      <c r="AG96" s="5153"/>
      <c r="AH96" s="5154" t="s">
        <v>7847</v>
      </c>
      <c r="AI96" s="331"/>
      <c r="AJ96" s="331"/>
      <c r="AK96" s="331"/>
      <c r="AL96" s="331"/>
      <c r="AM96" s="1354" t="s">
        <v>252</v>
      </c>
      <c r="AN96" s="1355"/>
      <c r="AO96" s="1355"/>
      <c r="AP96" s="1355"/>
      <c r="AQ96" s="1355"/>
      <c r="AR96" s="1356"/>
      <c r="AS96" s="1357" t="s">
        <v>1144</v>
      </c>
      <c r="AU96" s="5155"/>
      <c r="AX96" s="42" t="str">
        <f t="shared" si="26"/>
        <v>►</v>
      </c>
      <c r="AY96" s="196" t="str">
        <f>AY16</f>
        <v>Famille à coller.N.Nom de votre recette.Recette mère ►.S.Saisissez le nom de la recette mère</v>
      </c>
      <c r="AZ96" s="196">
        <f>AZ16</f>
        <v>6</v>
      </c>
      <c r="BA96" s="1347" t="str">
        <f>BA16</f>
        <v>couverts</v>
      </c>
      <c r="BB96" s="988"/>
      <c r="BC96" s="988"/>
      <c r="BD96" s="988"/>
      <c r="BE96" s="988"/>
      <c r="BF96" s="988"/>
      <c r="BG96" s="988"/>
      <c r="BH96" s="1325"/>
      <c r="BJ96" s="182" t="s">
        <v>959</v>
      </c>
      <c r="BK96" s="181"/>
      <c r="BL96" s="106"/>
      <c r="BM96" s="105"/>
      <c r="BN96" s="1128"/>
      <c r="BO96" s="1133">
        <v>27</v>
      </c>
      <c r="BP96" s="1134" t="s">
        <v>925</v>
      </c>
      <c r="BQ96" s="1135" t="s">
        <v>186</v>
      </c>
      <c r="BR96" s="35">
        <v>20</v>
      </c>
      <c r="BS96" s="1136" t="s">
        <v>130</v>
      </c>
      <c r="BT96" s="1137" t="s">
        <v>859</v>
      </c>
      <c r="BU96" s="1138"/>
      <c r="BW96" s="5">
        <v>1</v>
      </c>
    </row>
    <row r="97" spans="2:75" ht="18.75" customHeight="1" thickTop="1" thickBot="1">
      <c r="B97" s="5155"/>
      <c r="D97" s="5151" t="s">
        <v>218</v>
      </c>
      <c r="E97" s="141"/>
      <c r="F97" s="141"/>
      <c r="G97" s="141"/>
      <c r="H97" s="141"/>
      <c r="I97" s="1411" t="s">
        <v>1175</v>
      </c>
      <c r="J97" s="1487">
        <v>6.9444444444444441E-3</v>
      </c>
      <c r="K97" s="1488"/>
      <c r="L97" s="1488">
        <v>150</v>
      </c>
      <c r="M97" s="1148" t="s">
        <v>1217</v>
      </c>
      <c r="N97" s="1148"/>
      <c r="O97" s="1490"/>
      <c r="Q97" s="5155"/>
      <c r="R97" s="5153"/>
      <c r="S97" s="5153"/>
      <c r="T97" s="5154" t="s">
        <v>7846</v>
      </c>
      <c r="U97" s="141"/>
      <c r="V97" s="141"/>
      <c r="W97" s="141"/>
      <c r="X97" s="1354" t="s">
        <v>252</v>
      </c>
      <c r="Y97" s="1355"/>
      <c r="Z97" s="1355"/>
      <c r="AA97" s="1355"/>
      <c r="AB97" s="1355"/>
      <c r="AC97" s="1356"/>
      <c r="AD97" s="1357" t="s">
        <v>1117</v>
      </c>
      <c r="AF97" s="5155"/>
      <c r="AH97" s="5152" t="s">
        <v>7842</v>
      </c>
      <c r="AI97" s="331"/>
      <c r="AJ97" s="331"/>
      <c r="AK97" s="331"/>
      <c r="AL97" s="331"/>
      <c r="AM97" s="1374" t="s">
        <v>1145</v>
      </c>
      <c r="AN97" s="147"/>
      <c r="AO97" s="1375"/>
      <c r="AP97" s="102"/>
      <c r="AQ97" s="102"/>
      <c r="AR97" s="102"/>
      <c r="AS97" s="1360"/>
      <c r="AU97" s="5155"/>
      <c r="AX97" s="42" t="str">
        <f t="shared" si="26"/>
        <v>►</v>
      </c>
      <c r="AY97" s="196" t="str">
        <f>AY16</f>
        <v>Famille à coller.N.Nom de votre recette.Recette mère ►.S.Saisissez le nom de la recette mère</v>
      </c>
      <c r="AZ97" s="196">
        <f>AZ16</f>
        <v>6</v>
      </c>
      <c r="BA97" s="1347" t="str">
        <f>BA16</f>
        <v>couverts</v>
      </c>
      <c r="BB97" s="988"/>
      <c r="BC97" s="988"/>
      <c r="BD97" s="988"/>
      <c r="BE97" s="988"/>
      <c r="BF97" s="988"/>
      <c r="BG97" s="988"/>
      <c r="BH97" s="1325"/>
      <c r="BJ97" s="1139" t="s">
        <v>75</v>
      </c>
      <c r="BK97" s="181"/>
      <c r="BL97" s="106"/>
      <c r="BM97" s="105"/>
      <c r="BO97" s="1133"/>
      <c r="BP97" s="1134" t="s">
        <v>962</v>
      </c>
      <c r="BQ97" s="1135"/>
      <c r="BR97" s="35">
        <v>1</v>
      </c>
      <c r="BS97" s="1140" t="s">
        <v>942</v>
      </c>
      <c r="BT97" s="1137" t="s">
        <v>963</v>
      </c>
      <c r="BU97" s="1138"/>
      <c r="BW97" s="5">
        <v>1</v>
      </c>
    </row>
    <row r="98" spans="2:75" ht="15.75" customHeight="1" thickTop="1">
      <c r="B98" s="5155"/>
      <c r="D98" s="1111" t="s">
        <v>935</v>
      </c>
      <c r="E98" s="141"/>
      <c r="F98" s="141"/>
      <c r="G98" s="141"/>
      <c r="H98" s="141"/>
      <c r="I98" s="1411" t="s">
        <v>1175</v>
      </c>
      <c r="J98" s="1487">
        <v>0.10069444444444445</v>
      </c>
      <c r="K98" s="1488"/>
      <c r="L98" s="1488">
        <v>120</v>
      </c>
      <c r="M98" s="1148" t="s">
        <v>1228</v>
      </c>
      <c r="N98" s="1120"/>
      <c r="O98" s="1491"/>
      <c r="Q98" s="5155"/>
      <c r="T98" s="5152" t="s">
        <v>7842</v>
      </c>
      <c r="U98" s="141"/>
      <c r="V98" s="141"/>
      <c r="W98" s="141"/>
      <c r="X98" s="1358" t="s">
        <v>1118</v>
      </c>
      <c r="Y98" s="1363" t="s">
        <v>1128</v>
      </c>
      <c r="Z98" s="147"/>
      <c r="AA98" s="147"/>
      <c r="AB98" s="147"/>
      <c r="AC98" s="147"/>
      <c r="AD98" s="1360"/>
      <c r="AF98" s="5155"/>
      <c r="AI98" s="331"/>
      <c r="AJ98" s="331"/>
      <c r="AK98" s="331"/>
      <c r="AL98" s="331"/>
      <c r="AM98" s="7683" t="s">
        <v>1146</v>
      </c>
      <c r="AN98" s="7085"/>
      <c r="AO98" s="7085"/>
      <c r="AP98" s="7085"/>
      <c r="AQ98" s="7085"/>
      <c r="AR98" s="7085"/>
      <c r="AS98" s="7086"/>
      <c r="AU98" s="5155"/>
      <c r="AX98" s="42" t="str">
        <f t="shared" si="26"/>
        <v>►</v>
      </c>
      <c r="AY98" s="196" t="str">
        <f>AY16</f>
        <v>Famille à coller.N.Nom de votre recette.Recette mère ►.S.Saisissez le nom de la recette mère</v>
      </c>
      <c r="AZ98" s="196">
        <f>AZ16</f>
        <v>6</v>
      </c>
      <c r="BA98" s="1347" t="str">
        <f>BA16</f>
        <v>couverts</v>
      </c>
      <c r="BB98" s="988"/>
      <c r="BC98" s="988"/>
      <c r="BD98" s="988"/>
      <c r="BE98" s="988"/>
      <c r="BF98" s="988"/>
      <c r="BG98" s="988"/>
      <c r="BH98" s="1325"/>
      <c r="BJ98" s="1141">
        <v>16</v>
      </c>
      <c r="BK98" s="1142" t="s">
        <v>73</v>
      </c>
      <c r="BL98" s="106"/>
      <c r="BM98" s="1143"/>
      <c r="BO98" s="1144"/>
      <c r="BP98" s="1134" t="s">
        <v>967</v>
      </c>
      <c r="BQ98" s="1135"/>
      <c r="BR98" s="35">
        <v>1</v>
      </c>
      <c r="BS98" s="1145" t="s">
        <v>965</v>
      </c>
      <c r="BT98" s="1137" t="s">
        <v>968</v>
      </c>
      <c r="BU98" s="1138"/>
      <c r="BW98" s="5">
        <v>1</v>
      </c>
    </row>
    <row r="99" spans="2:75" ht="15.75" customHeight="1">
      <c r="B99" s="5155"/>
      <c r="D99" s="1358" t="s">
        <v>1118</v>
      </c>
      <c r="E99" s="141"/>
      <c r="F99" s="141"/>
      <c r="G99" s="141"/>
      <c r="H99" s="141"/>
      <c r="I99" s="1411" t="s">
        <v>1175</v>
      </c>
      <c r="J99" s="1487"/>
      <c r="K99" s="1492"/>
      <c r="L99" s="1389">
        <v>65</v>
      </c>
      <c r="M99" s="1493" t="s">
        <v>1230</v>
      </c>
      <c r="N99" s="1120"/>
      <c r="O99" s="1491"/>
      <c r="Q99" s="5155"/>
      <c r="T99" s="141"/>
      <c r="U99" s="141"/>
      <c r="V99" s="141"/>
      <c r="W99" s="141"/>
      <c r="X99" s="1358" t="s">
        <v>1118</v>
      </c>
      <c r="Y99" s="1363" t="s">
        <v>1129</v>
      </c>
      <c r="Z99" s="1361"/>
      <c r="AA99" s="1361"/>
      <c r="AB99" s="1362"/>
      <c r="AC99" s="988"/>
      <c r="AD99" s="1325"/>
      <c r="AF99" s="5155"/>
      <c r="AI99" s="331"/>
      <c r="AJ99" s="331"/>
      <c r="AK99" s="331"/>
      <c r="AL99" s="331"/>
      <c r="AM99" s="7683"/>
      <c r="AN99" s="7085"/>
      <c r="AO99" s="7085"/>
      <c r="AP99" s="7085"/>
      <c r="AQ99" s="7085"/>
      <c r="AR99" s="7085"/>
      <c r="AS99" s="7086"/>
      <c r="AU99" s="5155"/>
      <c r="AX99" s="42" t="str">
        <f t="shared" si="26"/>
        <v>►</v>
      </c>
      <c r="AY99" s="196" t="str">
        <f>AY16</f>
        <v>Famille à coller.N.Nom de votre recette.Recette mère ►.S.Saisissez le nom de la recette mère</v>
      </c>
      <c r="AZ99" s="196">
        <f>AZ16</f>
        <v>6</v>
      </c>
      <c r="BA99" s="1347" t="str">
        <f>BA16</f>
        <v>couverts</v>
      </c>
      <c r="BB99" s="988"/>
      <c r="BC99" s="988"/>
      <c r="BD99" s="988"/>
      <c r="BE99" s="988"/>
      <c r="BF99" s="988"/>
      <c r="BG99" s="988"/>
      <c r="BH99" s="1325"/>
      <c r="BJ99" s="1141">
        <v>25</v>
      </c>
      <c r="BK99" s="1142" t="s">
        <v>71</v>
      </c>
      <c r="BL99" s="106"/>
      <c r="BM99" s="1143"/>
      <c r="BO99" s="1144"/>
      <c r="BP99" s="1134"/>
      <c r="BQ99" s="1135"/>
      <c r="BR99" s="35">
        <v>3</v>
      </c>
      <c r="BS99" s="1146" t="s">
        <v>164</v>
      </c>
      <c r="BT99" s="1137" t="s">
        <v>940</v>
      </c>
      <c r="BU99" s="1138"/>
      <c r="BW99" s="5">
        <v>1</v>
      </c>
    </row>
    <row r="100" spans="2:75" ht="15.75">
      <c r="B100" s="5155"/>
      <c r="D100" s="1411" t="s">
        <v>1175</v>
      </c>
      <c r="E100" s="141"/>
      <c r="F100" s="141"/>
      <c r="G100" s="141"/>
      <c r="H100" s="141"/>
      <c r="I100" s="1495"/>
      <c r="J100" s="1496">
        <f>SUM(J93:J99)</f>
        <v>0.21875000000000003</v>
      </c>
      <c r="K100" s="1497"/>
      <c r="L100" s="1386">
        <v>3</v>
      </c>
      <c r="M100" s="1498" t="s">
        <v>1233</v>
      </c>
      <c r="N100" s="1120"/>
      <c r="O100" s="1491"/>
      <c r="Q100" s="5155"/>
      <c r="R100" s="1353"/>
      <c r="S100" s="1353"/>
      <c r="T100" s="141"/>
      <c r="U100" s="141"/>
      <c r="V100" s="141"/>
      <c r="W100" s="141"/>
      <c r="X100" s="1358" t="s">
        <v>1118</v>
      </c>
      <c r="Y100" s="1363" t="s">
        <v>1130</v>
      </c>
      <c r="Z100" s="147"/>
      <c r="AA100" s="147"/>
      <c r="AB100" s="988"/>
      <c r="AC100" s="988"/>
      <c r="AD100" s="1325"/>
      <c r="AF100" s="5155"/>
      <c r="AI100" s="331"/>
      <c r="AJ100" s="331"/>
      <c r="AK100" s="331"/>
      <c r="AL100" s="331"/>
      <c r="AM100" s="7683"/>
      <c r="AN100" s="7085"/>
      <c r="AO100" s="7085"/>
      <c r="AP100" s="7085"/>
      <c r="AQ100" s="7085"/>
      <c r="AR100" s="7085"/>
      <c r="AS100" s="7086"/>
      <c r="AU100" s="5155"/>
      <c r="AX100" s="42" t="str">
        <f t="shared" si="26"/>
        <v>►</v>
      </c>
      <c r="AY100" s="196" t="str">
        <f>AY16</f>
        <v>Famille à coller.N.Nom de votre recette.Recette mère ►.S.Saisissez le nom de la recette mère</v>
      </c>
      <c r="AZ100" s="196">
        <f>AZ16</f>
        <v>6</v>
      </c>
      <c r="BA100" s="1347" t="str">
        <f>BA16</f>
        <v>couverts</v>
      </c>
      <c r="BB100" s="988"/>
      <c r="BC100" s="988"/>
      <c r="BD100" s="988"/>
      <c r="BE100" s="988"/>
      <c r="BF100" s="988"/>
      <c r="BG100" s="988"/>
      <c r="BH100" s="1325"/>
      <c r="BJ100" s="1147" t="str">
        <f>BJ94</f>
        <v>augmentez ou diminuez la valeur saisie</v>
      </c>
      <c r="BK100" s="1148"/>
      <c r="BL100" s="106"/>
      <c r="BM100" s="175"/>
      <c r="BO100" s="1144">
        <v>0.25</v>
      </c>
      <c r="BP100" s="1134" t="s">
        <v>970</v>
      </c>
      <c r="BQ100" s="1135"/>
      <c r="BR100" s="35"/>
      <c r="BS100" s="1149"/>
      <c r="BT100" s="1137" t="s">
        <v>971</v>
      </c>
      <c r="BU100" s="1138"/>
      <c r="BW100" s="5">
        <v>1</v>
      </c>
    </row>
    <row r="101" spans="2:75" ht="16.5" thickBot="1">
      <c r="B101" s="5155"/>
      <c r="D101" s="5423" t="s">
        <v>1171</v>
      </c>
      <c r="E101" s="141"/>
      <c r="F101" s="141"/>
      <c r="G101" s="141"/>
      <c r="H101" s="141"/>
      <c r="I101" s="1502" t="s">
        <v>1222</v>
      </c>
      <c r="J101" s="1503"/>
      <c r="K101" s="1503"/>
      <c r="L101" s="1503"/>
      <c r="M101" s="1503"/>
      <c r="N101" s="1503"/>
      <c r="O101" s="1504"/>
      <c r="Q101" s="5155"/>
      <c r="R101" s="1"/>
      <c r="S101" s="1"/>
      <c r="T101" s="141"/>
      <c r="U101" s="141"/>
      <c r="V101" s="141"/>
      <c r="W101" s="141"/>
      <c r="X101" s="1358" t="s">
        <v>1118</v>
      </c>
      <c r="Y101" s="1363" t="s">
        <v>1131</v>
      </c>
      <c r="Z101" s="147"/>
      <c r="AA101" s="147"/>
      <c r="AB101" s="988"/>
      <c r="AC101" s="988"/>
      <c r="AD101" s="1325"/>
      <c r="AF101" s="5155"/>
      <c r="AI101" s="331"/>
      <c r="AJ101" s="331"/>
      <c r="AK101" s="331"/>
      <c r="AL101" s="331"/>
      <c r="AM101" s="1376" t="s">
        <v>1147</v>
      </c>
      <c r="AN101" s="988"/>
      <c r="AO101" s="988"/>
      <c r="AP101" s="988"/>
      <c r="AQ101" s="988"/>
      <c r="AR101" s="988"/>
      <c r="AS101" s="1325"/>
      <c r="AU101" s="5155"/>
      <c r="AX101" s="42" t="str">
        <f t="shared" si="26"/>
        <v>►</v>
      </c>
      <c r="AY101" s="196" t="str">
        <f>AY16</f>
        <v>Famille à coller.N.Nom de votre recette.Recette mère ►.S.Saisissez le nom de la recette mère</v>
      </c>
      <c r="AZ101" s="196">
        <f>AZ16</f>
        <v>6</v>
      </c>
      <c r="BA101" s="1347" t="str">
        <f>BA16</f>
        <v>couverts</v>
      </c>
      <c r="BB101" s="988"/>
      <c r="BC101" s="988"/>
      <c r="BD101" s="988"/>
      <c r="BE101" s="988"/>
      <c r="BF101" s="988"/>
      <c r="BG101" s="988"/>
      <c r="BH101" s="1325"/>
      <c r="BJ101" s="103"/>
      <c r="BK101" s="102"/>
      <c r="BL101" s="102"/>
      <c r="BM101" s="101"/>
      <c r="BO101" s="1144">
        <v>0.5</v>
      </c>
      <c r="BP101" s="1134" t="s">
        <v>967</v>
      </c>
      <c r="BQ101" s="1135"/>
      <c r="BR101" s="35"/>
      <c r="BS101" s="1149"/>
      <c r="BT101" s="1137" t="s">
        <v>968</v>
      </c>
      <c r="BU101" s="1138"/>
      <c r="BW101" s="5">
        <v>1</v>
      </c>
    </row>
    <row r="102" spans="2:75" ht="16.5" customHeight="1" thickTop="1" thickBot="1">
      <c r="B102" s="5155"/>
      <c r="D102" s="5423" t="s">
        <v>7843</v>
      </c>
      <c r="E102" s="141"/>
      <c r="F102" s="141"/>
      <c r="G102" s="141"/>
      <c r="H102" s="141"/>
      <c r="I102" s="1509"/>
      <c r="J102" s="1509"/>
      <c r="K102" s="1509" t="s">
        <v>873</v>
      </c>
      <c r="L102" s="1280"/>
      <c r="M102" s="97"/>
      <c r="N102" s="97"/>
      <c r="O102" s="1510"/>
      <c r="Q102" s="5155"/>
      <c r="R102" s="1"/>
      <c r="S102" s="5156"/>
      <c r="T102" s="141"/>
      <c r="U102" s="141"/>
      <c r="V102" s="141"/>
      <c r="W102" s="141"/>
      <c r="X102" s="1358" t="s">
        <v>1118</v>
      </c>
      <c r="Y102" s="1363" t="s">
        <v>1132</v>
      </c>
      <c r="Z102" s="147"/>
      <c r="AA102" s="147"/>
      <c r="AB102" s="988"/>
      <c r="AC102" s="988"/>
      <c r="AD102" s="1325"/>
      <c r="AF102" s="5155"/>
      <c r="AI102" s="331"/>
      <c r="AJ102" s="331"/>
      <c r="AK102" s="331"/>
      <c r="AL102" s="331"/>
      <c r="AM102" s="1319" t="s">
        <v>1148</v>
      </c>
      <c r="AN102" s="1320"/>
      <c r="AO102" s="1320"/>
      <c r="AP102" s="1320"/>
      <c r="AQ102" s="1320"/>
      <c r="AR102" s="1320"/>
      <c r="AS102" s="1377"/>
      <c r="AU102" s="5155"/>
      <c r="AX102" s="42" t="str">
        <f t="shared" si="26"/>
        <v>►</v>
      </c>
      <c r="AY102" s="196" t="str">
        <f>AY16</f>
        <v>Famille à coller.N.Nom de votre recette.Recette mère ►.S.Saisissez le nom de la recette mère</v>
      </c>
      <c r="AZ102" s="196">
        <f>AZ16</f>
        <v>6</v>
      </c>
      <c r="BA102" s="1347" t="str">
        <f>BA16</f>
        <v>couverts</v>
      </c>
      <c r="BB102" s="988"/>
      <c r="BC102" s="988"/>
      <c r="BD102" s="988"/>
      <c r="BE102" s="988"/>
      <c r="BF102" s="988"/>
      <c r="BG102" s="988"/>
      <c r="BH102" s="1325"/>
      <c r="BJ102" s="7687" t="s">
        <v>975</v>
      </c>
      <c r="BK102" s="7129"/>
      <c r="BL102" s="6965" t="s">
        <v>976</v>
      </c>
      <c r="BM102" s="7374"/>
      <c r="BO102" s="1144">
        <v>0.75</v>
      </c>
      <c r="BP102" s="1134" t="s">
        <v>977</v>
      </c>
      <c r="BQ102" s="1135"/>
      <c r="BR102" s="35"/>
      <c r="BS102" s="1149"/>
      <c r="BT102" s="1137" t="s">
        <v>978</v>
      </c>
      <c r="BU102" s="1138"/>
      <c r="BV102" s="3"/>
      <c r="BW102" s="5">
        <v>1</v>
      </c>
    </row>
    <row r="103" spans="2:75" ht="17.25" thickTop="1" thickBot="1">
      <c r="B103" s="5155"/>
      <c r="E103" s="141"/>
      <c r="F103" s="141"/>
      <c r="G103" s="141"/>
      <c r="H103" s="141"/>
      <c r="I103" s="1332" t="s">
        <v>86</v>
      </c>
      <c r="J103" s="1006"/>
      <c r="K103" s="1007"/>
      <c r="L103" s="1008"/>
      <c r="M103" s="1007"/>
      <c r="N103" s="1007"/>
      <c r="O103" s="1333"/>
      <c r="Q103" s="5155"/>
      <c r="R103" s="5151" t="s">
        <v>218</v>
      </c>
      <c r="S103" s="5156"/>
      <c r="T103" s="141"/>
      <c r="U103" s="141"/>
      <c r="V103" s="141"/>
      <c r="W103" s="141"/>
      <c r="X103" s="1358" t="s">
        <v>1118</v>
      </c>
      <c r="Y103" s="1359" t="s">
        <v>1126</v>
      </c>
      <c r="Z103" s="147"/>
      <c r="AA103" s="1361"/>
      <c r="AB103" s="988"/>
      <c r="AC103" s="988"/>
      <c r="AD103" s="1325"/>
      <c r="AF103" s="5155"/>
      <c r="AI103" s="331"/>
      <c r="AJ103" s="331"/>
      <c r="AK103" s="331"/>
      <c r="AL103" s="331"/>
      <c r="AM103" s="7684" t="s">
        <v>1149</v>
      </c>
      <c r="AN103" s="7088"/>
      <c r="AO103" s="7088"/>
      <c r="AP103" s="7088"/>
      <c r="AQ103" s="7088"/>
      <c r="AR103" s="7088"/>
      <c r="AS103" s="7089"/>
      <c r="AU103" s="5155"/>
      <c r="AX103" s="1037" t="s">
        <v>21</v>
      </c>
      <c r="AY103" s="196" t="str">
        <f>AY16</f>
        <v>Famille à coller.N.Nom de votre recette.Recette mère ►.S.Saisissez le nom de la recette mère</v>
      </c>
      <c r="AZ103" s="196">
        <f>AZ16</f>
        <v>6</v>
      </c>
      <c r="BA103" s="1347" t="str">
        <f>BA16</f>
        <v>couverts</v>
      </c>
      <c r="BB103" s="1378" t="s">
        <v>869</v>
      </c>
      <c r="BC103" s="993"/>
      <c r="BD103" s="993"/>
      <c r="BE103" s="993"/>
      <c r="BF103" s="993"/>
      <c r="BG103" s="1343"/>
      <c r="BH103" s="1344" t="s">
        <v>870</v>
      </c>
      <c r="BJ103" s="7688"/>
      <c r="BK103" s="7689"/>
      <c r="BL103" s="6891"/>
      <c r="BM103" s="7690"/>
      <c r="BO103" s="1092">
        <v>2</v>
      </c>
      <c r="BP103" s="1150" t="s">
        <v>980</v>
      </c>
      <c r="BQ103" s="1135"/>
      <c r="BR103" s="35"/>
      <c r="BS103" s="1149"/>
      <c r="BT103" s="1137"/>
      <c r="BU103" s="1138"/>
      <c r="BV103" s="3"/>
      <c r="BW103" s="5">
        <v>1</v>
      </c>
    </row>
    <row r="104" spans="2:75" ht="15.75">
      <c r="B104" s="5155"/>
      <c r="E104" s="141"/>
      <c r="F104" s="141"/>
      <c r="G104" s="141"/>
      <c r="H104" s="141"/>
      <c r="I104" s="141"/>
      <c r="J104" s="141"/>
      <c r="K104" s="141"/>
      <c r="L104" s="141"/>
      <c r="M104" s="141"/>
      <c r="N104" s="141"/>
      <c r="O104" s="141"/>
      <c r="Q104" s="5155"/>
      <c r="R104" s="1111" t="s">
        <v>935</v>
      </c>
      <c r="S104" s="5156"/>
      <c r="T104" s="141"/>
      <c r="U104" s="141"/>
      <c r="V104" s="141"/>
      <c r="W104" s="141"/>
      <c r="X104" s="1358" t="s">
        <v>1118</v>
      </c>
      <c r="Y104" s="1363" t="s">
        <v>1127</v>
      </c>
      <c r="Z104" s="147"/>
      <c r="AA104" s="147"/>
      <c r="AB104" s="988"/>
      <c r="AC104" s="988"/>
      <c r="AD104" s="1325"/>
      <c r="AF104" s="5155"/>
      <c r="AI104" s="331"/>
      <c r="AJ104" s="331"/>
      <c r="AK104" s="331"/>
      <c r="AL104" s="331"/>
      <c r="AM104" s="7684"/>
      <c r="AN104" s="7088"/>
      <c r="AO104" s="7088"/>
      <c r="AP104" s="7088"/>
      <c r="AQ104" s="7088"/>
      <c r="AR104" s="7088"/>
      <c r="AS104" s="7089"/>
      <c r="AU104" s="5155"/>
      <c r="AX104" s="1037" t="s">
        <v>21</v>
      </c>
      <c r="AY104" s="196" t="str">
        <f>AY16</f>
        <v>Famille à coller.N.Nom de votre recette.Recette mère ►.S.Saisissez le nom de la recette mère</v>
      </c>
      <c r="AZ104" s="196">
        <f>AZ16</f>
        <v>6</v>
      </c>
      <c r="BA104" s="1347" t="str">
        <f>BA16</f>
        <v>couverts</v>
      </c>
      <c r="BB104" s="997"/>
      <c r="BC104" s="997"/>
      <c r="BD104" s="997"/>
      <c r="BE104" s="997"/>
      <c r="BF104" s="997"/>
      <c r="BG104" s="1349"/>
      <c r="BH104" s="1326" t="s">
        <v>871</v>
      </c>
      <c r="BJ104" s="1019" t="s">
        <v>159</v>
      </c>
      <c r="BK104" s="265" t="s">
        <v>164</v>
      </c>
      <c r="BL104" s="1151" t="s">
        <v>981</v>
      </c>
      <c r="BM104" s="1152" t="s">
        <v>982</v>
      </c>
      <c r="BO104" s="1092">
        <v>1</v>
      </c>
      <c r="BP104" s="1153" t="s">
        <v>225</v>
      </c>
      <c r="BQ104" s="1135"/>
      <c r="BR104" s="35"/>
      <c r="BS104" s="1149"/>
      <c r="BT104" s="1137" t="s">
        <v>983</v>
      </c>
      <c r="BU104" s="1138"/>
      <c r="BV104" s="3"/>
      <c r="BW104" s="5">
        <v>1</v>
      </c>
    </row>
    <row r="105" spans="2:75" ht="15.75">
      <c r="B105" s="5155"/>
      <c r="C105" s="5153"/>
      <c r="D105" s="5154" t="s">
        <v>7845</v>
      </c>
      <c r="E105" s="141"/>
      <c r="F105" s="141"/>
      <c r="G105" s="141"/>
      <c r="H105" s="141"/>
      <c r="I105" s="5150" t="s">
        <v>218</v>
      </c>
      <c r="J105" s="1364" cm="1">
        <f t="array" ref="J105">IFERROR(ROW(I115)-(ROW(I106)+MATCH(TRUE,INDEX(ISNUMBER(FIND(N105,TRIM(SUBSTITUTE(SUBSTITUTE(SUBSTITUTE(SUBSTITUTE(SUBSTITUTE(SUBSTITUTE(SUBSTITUTE(LOWER(I106:I115),"é","e"),"è","e"),"ê","e"),"ë","e"),"à","a"),"ù","u"),"î","i")))),0),0)-1),1)</f>
        <v>2</v>
      </c>
      <c r="K105" s="1365" t="s">
        <v>1206</v>
      </c>
      <c r="L105" s="1366"/>
      <c r="M105" s="1366"/>
      <c r="N105" s="1367" t="str">
        <f>TRIM(SUBSTITUTE(SUBSTITUTE(SUBSTITUTE(SUBSTITUTE(SUBSTITUTE(SUBSTITUTE(SUBSTITUTE(LOWER(O105),"é","e"),"è","e"),"ê","e"),"ë","e"),"à","a"),"ù","u"),"î","i"))</f>
        <v>⓬ conseils</v>
      </c>
      <c r="O105" s="1423" t="s">
        <v>1207</v>
      </c>
      <c r="Q105" s="5155"/>
      <c r="R105" s="1358" t="s">
        <v>1118</v>
      </c>
      <c r="S105" s="5156"/>
      <c r="T105" s="141"/>
      <c r="U105" s="141"/>
      <c r="V105" s="141"/>
      <c r="W105" s="141"/>
      <c r="X105" s="1358" t="s">
        <v>1118</v>
      </c>
      <c r="Y105" s="1363" t="s">
        <v>1135</v>
      </c>
      <c r="Z105" s="147"/>
      <c r="AA105" s="147"/>
      <c r="AB105" s="988"/>
      <c r="AC105" s="988"/>
      <c r="AD105" s="1325"/>
      <c r="AF105" s="5155"/>
      <c r="AI105" s="331"/>
      <c r="AJ105" s="331"/>
      <c r="AK105" s="331"/>
      <c r="AL105" s="331"/>
      <c r="AM105" s="7684"/>
      <c r="AN105" s="7088"/>
      <c r="AO105" s="7088"/>
      <c r="AP105" s="7088"/>
      <c r="AQ105" s="7088"/>
      <c r="AR105" s="7088"/>
      <c r="AS105" s="7089"/>
      <c r="AU105" s="5155"/>
      <c r="AX105" s="1037" t="s">
        <v>21</v>
      </c>
      <c r="AY105" s="196" t="str">
        <f>AY16</f>
        <v>Famille à coller.N.Nom de votre recette.Recette mère ►.S.Saisissez le nom de la recette mère</v>
      </c>
      <c r="AZ105" s="196">
        <f>AZ16</f>
        <v>6</v>
      </c>
      <c r="BA105" s="1347" t="str">
        <f>BA16</f>
        <v>couverts</v>
      </c>
      <c r="BB105" s="997"/>
      <c r="BC105" s="997"/>
      <c r="BD105" s="997"/>
      <c r="BE105" s="997"/>
      <c r="BF105" s="997"/>
      <c r="BG105" s="1349"/>
      <c r="BH105" s="1326" t="s">
        <v>872</v>
      </c>
      <c r="BJ105" s="1154">
        <v>0.25</v>
      </c>
      <c r="BK105" s="1155">
        <v>0.5</v>
      </c>
      <c r="BL105" s="1156" t="s">
        <v>984</v>
      </c>
      <c r="BM105" s="1157"/>
      <c r="BO105" s="1158"/>
      <c r="BP105" s="1159" t="s">
        <v>956</v>
      </c>
      <c r="BQ105" s="141"/>
      <c r="BR105" s="141"/>
      <c r="BS105" s="141"/>
      <c r="BT105" s="141"/>
      <c r="BU105" s="609"/>
      <c r="BW105" s="5">
        <v>1</v>
      </c>
    </row>
    <row r="106" spans="2:75" ht="18.75" customHeight="1">
      <c r="B106" s="5155"/>
      <c r="D106" s="5152" t="s">
        <v>7842</v>
      </c>
      <c r="E106" s="141"/>
      <c r="F106" s="141"/>
      <c r="G106" s="141"/>
      <c r="H106" s="141"/>
      <c r="I106" s="1521" t="s">
        <v>1254</v>
      </c>
      <c r="J106" s="1522"/>
      <c r="K106" s="1522"/>
      <c r="L106" s="1522"/>
      <c r="M106" s="1522"/>
      <c r="N106" s="1523"/>
      <c r="O106" s="1524"/>
      <c r="Q106" s="5155"/>
      <c r="R106" s="1411" t="s">
        <v>1175</v>
      </c>
      <c r="S106" s="5157"/>
      <c r="T106" s="141"/>
      <c r="U106" s="141"/>
      <c r="V106" s="141"/>
      <c r="W106" s="141"/>
      <c r="X106" s="1358" t="s">
        <v>1118</v>
      </c>
      <c r="Y106" s="1363" t="s">
        <v>1136</v>
      </c>
      <c r="Z106" s="147"/>
      <c r="AA106" s="147"/>
      <c r="AB106" s="988"/>
      <c r="AC106" s="988"/>
      <c r="AD106" s="1325"/>
      <c r="AF106" s="5155"/>
      <c r="AI106" s="331"/>
      <c r="AJ106" s="331"/>
      <c r="AK106" s="331"/>
      <c r="AL106" s="331"/>
      <c r="AM106" s="7684"/>
      <c r="AN106" s="7088"/>
      <c r="AO106" s="7088"/>
      <c r="AP106" s="7088"/>
      <c r="AQ106" s="7088"/>
      <c r="AR106" s="7088"/>
      <c r="AS106" s="7089"/>
      <c r="AU106" s="5155"/>
      <c r="AX106" s="1037" t="s">
        <v>21</v>
      </c>
      <c r="AY106" s="196" t="str">
        <f>AY16</f>
        <v>Famille à coller.N.Nom de votre recette.Recette mère ►.S.Saisissez le nom de la recette mère</v>
      </c>
      <c r="AZ106" s="196">
        <f>AZ16</f>
        <v>6</v>
      </c>
      <c r="BA106" s="196" t="str">
        <f>BA16</f>
        <v>couverts</v>
      </c>
      <c r="BB106" s="1002"/>
      <c r="BC106" s="1002"/>
      <c r="BD106" s="1002" t="s">
        <v>873</v>
      </c>
      <c r="BE106" s="1003"/>
      <c r="BF106" s="1329"/>
      <c r="BG106" s="1329"/>
      <c r="BH106" s="1330"/>
      <c r="BJ106" s="103"/>
      <c r="BK106" s="102"/>
      <c r="BL106" s="102"/>
      <c r="BM106" s="101"/>
      <c r="BO106" s="1160"/>
      <c r="BP106" s="496"/>
      <c r="BQ106" s="141"/>
      <c r="BR106" s="141"/>
      <c r="BS106" s="141"/>
      <c r="BT106" s="141"/>
      <c r="BU106" s="609"/>
      <c r="BW106" s="5">
        <v>1</v>
      </c>
    </row>
    <row r="107" spans="2:75" ht="16.5" thickBot="1">
      <c r="B107" s="5155"/>
      <c r="E107" s="141"/>
      <c r="F107" s="141"/>
      <c r="G107" s="141"/>
      <c r="H107" s="141"/>
      <c r="I107" s="1319"/>
      <c r="J107" s="102"/>
      <c r="K107" s="102"/>
      <c r="L107" s="102"/>
      <c r="M107" s="1525" t="s">
        <v>1255</v>
      </c>
      <c r="N107" s="102"/>
      <c r="O107" s="1526" t="s">
        <v>1256</v>
      </c>
      <c r="Q107" s="5155"/>
      <c r="R107" s="5423" t="s">
        <v>1171</v>
      </c>
      <c r="S107" s="5158"/>
      <c r="T107" s="141"/>
      <c r="U107" s="141"/>
      <c r="V107" s="141"/>
      <c r="W107" s="141"/>
      <c r="X107" s="1358" t="s">
        <v>1118</v>
      </c>
      <c r="Y107" s="1363" t="s">
        <v>1137</v>
      </c>
      <c r="Z107" s="147"/>
      <c r="AA107" s="147"/>
      <c r="AB107" s="988"/>
      <c r="AC107" s="988"/>
      <c r="AD107" s="1325"/>
      <c r="AF107" s="5155"/>
      <c r="AI107" s="331"/>
      <c r="AJ107" s="331"/>
      <c r="AK107" s="331"/>
      <c r="AL107" s="331"/>
      <c r="AM107" s="1380"/>
      <c r="AN107" s="1381"/>
      <c r="AO107" s="1381"/>
      <c r="AP107" s="1381"/>
      <c r="AQ107" s="1381"/>
      <c r="AR107" s="1382"/>
      <c r="AS107" s="1383"/>
      <c r="AU107" s="5155"/>
      <c r="AX107" s="1069" t="s">
        <v>21</v>
      </c>
      <c r="AY107" s="1331" t="str">
        <f>AY16</f>
        <v>Famille à coller.N.Nom de votre recette.Recette mère ►.S.Saisissez le nom de la recette mère</v>
      </c>
      <c r="AZ107" s="1331">
        <f>AZ16</f>
        <v>6</v>
      </c>
      <c r="BA107" s="1331" t="str">
        <f>BA16</f>
        <v>couverts</v>
      </c>
      <c r="BB107" s="1332" t="s">
        <v>86</v>
      </c>
      <c r="BC107" s="1006"/>
      <c r="BD107" s="1007"/>
      <c r="BE107" s="1008"/>
      <c r="BF107" s="1007"/>
      <c r="BG107" s="1007"/>
      <c r="BH107" s="1333"/>
      <c r="BJ107" s="999" t="s">
        <v>942</v>
      </c>
      <c r="BK107" s="314" t="s">
        <v>965</v>
      </c>
      <c r="BL107" s="1161" t="s">
        <v>985</v>
      </c>
      <c r="BM107" s="1162" t="s">
        <v>986</v>
      </c>
      <c r="BO107" s="1163"/>
      <c r="BP107" s="496" t="s">
        <v>987</v>
      </c>
      <c r="BQ107" s="141"/>
      <c r="BR107" s="141"/>
      <c r="BS107" s="141"/>
      <c r="BT107" s="141"/>
      <c r="BU107" s="609"/>
      <c r="BW107" s="5">
        <v>1</v>
      </c>
    </row>
    <row r="108" spans="2:75" ht="15.75" customHeight="1">
      <c r="B108" s="5155"/>
      <c r="E108" s="141"/>
      <c r="F108" s="141"/>
      <c r="G108" s="141"/>
      <c r="H108" s="141"/>
      <c r="I108" s="1527" t="s">
        <v>1257</v>
      </c>
      <c r="J108" s="1528" t="s">
        <v>1258</v>
      </c>
      <c r="K108" s="7082" t="s">
        <v>162</v>
      </c>
      <c r="L108" s="7082"/>
      <c r="M108" s="1529" t="s">
        <v>1259</v>
      </c>
      <c r="O108" s="1530" t="s">
        <v>1185</v>
      </c>
      <c r="Q108" s="5155"/>
      <c r="R108" s="5423" t="s">
        <v>7843</v>
      </c>
      <c r="S108" s="5158"/>
      <c r="T108" s="141"/>
      <c r="U108" s="141"/>
      <c r="V108" s="141"/>
      <c r="W108" s="141"/>
      <c r="X108" s="1358" t="s">
        <v>1118</v>
      </c>
      <c r="Y108" s="1363" t="s">
        <v>1138</v>
      </c>
      <c r="Z108" s="147"/>
      <c r="AA108" s="147"/>
      <c r="AB108" s="988"/>
      <c r="AC108" s="988"/>
      <c r="AD108" s="1325"/>
      <c r="AF108" s="5155"/>
      <c r="AI108" s="331"/>
      <c r="AJ108" s="331"/>
      <c r="AK108" s="331"/>
      <c r="AL108" s="331"/>
      <c r="AM108" s="1369" t="s">
        <v>864</v>
      </c>
      <c r="AN108" s="1321"/>
      <c r="AO108" s="1321"/>
      <c r="AP108" s="1321"/>
      <c r="AQ108" s="1321"/>
      <c r="AR108" s="1321"/>
      <c r="AS108" s="1370" t="s">
        <v>1141</v>
      </c>
      <c r="AU108" s="5155"/>
      <c r="AX108" s="1351"/>
      <c r="AY108" s="1351"/>
      <c r="AZ108" s="1351"/>
      <c r="BA108" s="1352" t="s">
        <v>1115</v>
      </c>
      <c r="BB108" s="1353" t="s">
        <v>1116</v>
      </c>
      <c r="BC108" s="102"/>
      <c r="BJ108" s="1154">
        <v>0.25</v>
      </c>
      <c r="BK108" s="1155">
        <v>0.5</v>
      </c>
      <c r="BL108" s="1156" t="s">
        <v>988</v>
      </c>
      <c r="BM108" s="1157"/>
      <c r="BO108" s="1163" t="s">
        <v>904</v>
      </c>
      <c r="BP108" s="496"/>
      <c r="BQ108" s="141"/>
      <c r="BR108" s="141"/>
      <c r="BS108" s="141"/>
      <c r="BT108" s="141"/>
      <c r="BU108" s="609"/>
      <c r="BW108" s="5">
        <v>1</v>
      </c>
    </row>
    <row r="109" spans="2:75" ht="15.75" customHeight="1">
      <c r="B109" s="5155"/>
      <c r="E109" s="141"/>
      <c r="F109" s="141"/>
      <c r="G109" s="141"/>
      <c r="H109" s="141"/>
      <c r="I109" s="7650">
        <v>750</v>
      </c>
      <c r="J109" s="1531">
        <v>1</v>
      </c>
      <c r="K109" s="7068" t="s">
        <v>1260</v>
      </c>
      <c r="L109" s="7068"/>
      <c r="M109" s="1532">
        <v>16</v>
      </c>
      <c r="N109" s="1401">
        <f>J109*I109</f>
        <v>750</v>
      </c>
      <c r="O109" s="1533" t="s">
        <v>1261</v>
      </c>
      <c r="Q109" s="5155"/>
      <c r="T109" s="141"/>
      <c r="U109" s="141"/>
      <c r="V109" s="141"/>
      <c r="W109" s="141"/>
      <c r="X109" s="1358" t="s">
        <v>1118</v>
      </c>
      <c r="Y109" s="1363" t="s">
        <v>1139</v>
      </c>
      <c r="Z109" s="147"/>
      <c r="AA109" s="147"/>
      <c r="AB109" s="988"/>
      <c r="AC109" s="988"/>
      <c r="AD109" s="1325"/>
      <c r="AF109" s="5155"/>
      <c r="AI109" s="331"/>
      <c r="AJ109" s="331"/>
      <c r="AK109" s="331"/>
      <c r="AL109" s="331"/>
      <c r="AM109" s="1371"/>
      <c r="AN109" s="1371"/>
      <c r="AO109" s="1371"/>
      <c r="AP109" s="1371"/>
      <c r="AQ109" s="1371"/>
      <c r="AR109" s="1371"/>
      <c r="AS109" s="1371"/>
      <c r="AU109" s="5155"/>
      <c r="AX109" s="141"/>
      <c r="AY109" s="141"/>
      <c r="AZ109" s="141"/>
      <c r="BA109" s="141"/>
      <c r="BB109" s="141"/>
      <c r="BC109" s="141"/>
      <c r="BD109" s="141"/>
      <c r="BE109" s="141"/>
      <c r="BF109" s="141"/>
      <c r="BG109" s="141"/>
      <c r="BH109" s="141"/>
      <c r="BJ109" s="103" t="s">
        <v>989</v>
      </c>
      <c r="BK109" s="102" t="s">
        <v>990</v>
      </c>
      <c r="BL109" s="102"/>
      <c r="BM109" s="101"/>
      <c r="BO109" s="1160"/>
      <c r="BP109" s="1107"/>
      <c r="BQ109" s="141"/>
      <c r="BR109" s="141"/>
      <c r="BS109" s="141"/>
      <c r="BT109" s="141"/>
      <c r="BU109" s="609"/>
      <c r="BW109" s="5">
        <v>1</v>
      </c>
    </row>
    <row r="110" spans="2:75" ht="15.75" customHeight="1">
      <c r="B110" s="5155"/>
      <c r="E110" s="141"/>
      <c r="F110" s="141"/>
      <c r="G110" s="141"/>
      <c r="H110" s="141"/>
      <c r="I110" s="7650"/>
      <c r="J110" s="5458">
        <v>120</v>
      </c>
      <c r="K110" s="260" t="s">
        <v>1262</v>
      </c>
      <c r="L110" s="1174"/>
      <c r="M110" s="5459">
        <v>1.2</v>
      </c>
      <c r="N110" s="1536">
        <f>(J110*I109)/1000</f>
        <v>90</v>
      </c>
      <c r="O110" s="7392" t="s">
        <v>1263</v>
      </c>
      <c r="Q110" s="5155"/>
      <c r="T110" s="141"/>
      <c r="U110" s="141"/>
      <c r="V110" s="141"/>
      <c r="W110" s="141"/>
      <c r="X110" s="1358" t="s">
        <v>1118</v>
      </c>
      <c r="Y110" s="1363" t="s">
        <v>1140</v>
      </c>
      <c r="Z110" s="147"/>
      <c r="AA110" s="147"/>
      <c r="AB110" s="988"/>
      <c r="AC110" s="988"/>
      <c r="AD110" s="1325"/>
      <c r="AF110" s="5155"/>
      <c r="AI110" s="331"/>
      <c r="AJ110" s="331"/>
      <c r="AK110" s="331"/>
      <c r="AL110" s="331"/>
      <c r="AM110" s="1371"/>
      <c r="AN110" s="1371"/>
      <c r="AO110" s="1371"/>
      <c r="AP110" s="1371"/>
      <c r="AQ110" s="1371"/>
      <c r="AR110" s="1371"/>
      <c r="AS110" s="1371"/>
      <c r="AU110" s="5155"/>
      <c r="AV110" s="5153"/>
      <c r="AW110" s="5154" t="s">
        <v>7848</v>
      </c>
      <c r="AX110" s="141"/>
      <c r="AY110" s="141"/>
      <c r="AZ110" s="141"/>
      <c r="BA110" s="141"/>
      <c r="BB110" s="1354" t="s">
        <v>252</v>
      </c>
      <c r="BC110" s="1355"/>
      <c r="BD110" s="1355"/>
      <c r="BE110" s="1355"/>
      <c r="BF110" s="1355"/>
      <c r="BG110" s="1356"/>
      <c r="BH110" s="1357" t="s">
        <v>1117</v>
      </c>
      <c r="BJ110" s="1164"/>
      <c r="BK110" s="1165"/>
      <c r="BL110" s="1165"/>
      <c r="BM110" s="1166"/>
      <c r="BO110" s="1160"/>
      <c r="BP110" s="1107" t="s">
        <v>991</v>
      </c>
      <c r="BQ110" s="141"/>
      <c r="BR110" s="141"/>
      <c r="BS110" s="141"/>
      <c r="BT110" s="141"/>
      <c r="BU110" s="609"/>
      <c r="BW110" s="5">
        <v>1</v>
      </c>
    </row>
    <row r="111" spans="2:75" ht="15.75" customHeight="1">
      <c r="B111" s="5155"/>
      <c r="E111" s="141"/>
      <c r="F111" s="141"/>
      <c r="G111" s="141"/>
      <c r="H111" s="141"/>
      <c r="I111" s="1537" t="str">
        <f>INT(N109/M109) &amp; " " &amp; O109 &amp; " de " &amp; M109 &amp; " " &amp; K109 &amp; IF(MOD(N109,M109)&gt;0, " + 1 "&amp;O109&amp;" de " &amp; TEXT(MOD(N109,M109), "0.00") &amp; " " &amp; K109, "")</f>
        <v>46 Assiette(s) de 16 madeleine(s) + 1 Assiette(s) de 14.00 madeleine(s)</v>
      </c>
      <c r="J111" s="141"/>
      <c r="K111" s="141"/>
      <c r="L111" s="141"/>
      <c r="M111" s="141"/>
      <c r="N111" s="988"/>
      <c r="O111" s="7392"/>
      <c r="Q111" s="5155"/>
      <c r="T111" s="141"/>
      <c r="U111" s="141"/>
      <c r="V111" s="141"/>
      <c r="W111" s="141"/>
      <c r="X111" s="1369" t="s">
        <v>864</v>
      </c>
      <c r="Y111" s="1321"/>
      <c r="Z111" s="1321"/>
      <c r="AA111" s="1321"/>
      <c r="AB111" s="1321"/>
      <c r="AC111" s="1321"/>
      <c r="AD111" s="1370"/>
      <c r="AF111" s="5155"/>
      <c r="AG111" s="5153"/>
      <c r="AH111" s="5154" t="s">
        <v>7847</v>
      </c>
      <c r="AI111" s="331"/>
      <c r="AJ111" s="331"/>
      <c r="AK111" s="331"/>
      <c r="AL111" s="331"/>
      <c r="AM111" s="1354" t="s">
        <v>252</v>
      </c>
      <c r="AN111" s="1398"/>
      <c r="AO111" s="1398"/>
      <c r="AP111" s="1398"/>
      <c r="AQ111" s="1398"/>
      <c r="AR111" s="1398"/>
      <c r="AS111" s="1357" t="s">
        <v>1158</v>
      </c>
      <c r="AU111" s="5155"/>
      <c r="AW111" s="5152" t="s">
        <v>7842</v>
      </c>
      <c r="AX111" s="141"/>
      <c r="AY111" s="141"/>
      <c r="AZ111" s="141"/>
      <c r="BA111" s="141"/>
      <c r="BB111" s="1358" t="s">
        <v>1118</v>
      </c>
      <c r="BC111" s="1359" t="s">
        <v>1119</v>
      </c>
      <c r="BD111" s="147"/>
      <c r="BE111" s="147"/>
      <c r="BF111" s="147"/>
      <c r="BG111" s="147"/>
      <c r="BH111" s="1360"/>
      <c r="BJ111" s="1167"/>
      <c r="BK111" s="109"/>
      <c r="BL111" s="176"/>
      <c r="BM111" s="175"/>
      <c r="BO111" s="1168" t="s">
        <v>992</v>
      </c>
      <c r="BP111" s="141"/>
      <c r="BQ111" s="141"/>
      <c r="BR111" s="141"/>
      <c r="BS111" s="141"/>
      <c r="BT111" s="141"/>
      <c r="BU111" s="609"/>
      <c r="BW111" s="5">
        <v>1</v>
      </c>
    </row>
    <row r="112" spans="2:75" ht="20.25" customHeight="1" thickBot="1">
      <c r="B112" s="5155"/>
      <c r="E112" s="141"/>
      <c r="F112" s="141"/>
      <c r="G112" s="141"/>
      <c r="H112" s="141"/>
      <c r="I112" s="1182" t="str">
        <f>IF(MOD(N110, M110) = 0, INT(N110/M110) &amp; " " &amp; O109 &amp; " de " &amp; M110 &amp; " kg", INT(N110/M110) &amp; " " &amp; O109 &amp; " de " &amp; M110 &amp; " kg" &amp; " + 1 "&amp;O109&amp;" de " &amp; TEXT(MOD(N110, M110), "0.00") &amp; " kg")</f>
        <v>75 Assiette(s) de 1.2 kg + 1 Assiette(s) de 0.00 kg</v>
      </c>
      <c r="J112" s="141"/>
      <c r="K112" s="141"/>
      <c r="L112" s="141"/>
      <c r="M112" s="141"/>
      <c r="N112" s="988"/>
      <c r="O112" s="7392"/>
      <c r="Q112" s="5155"/>
      <c r="T112" s="141"/>
      <c r="U112" s="141"/>
      <c r="V112" s="141"/>
      <c r="W112" s="141"/>
      <c r="X112" s="1002"/>
      <c r="Y112" s="1002"/>
      <c r="Z112" s="1002" t="s">
        <v>873</v>
      </c>
      <c r="AA112" s="1003"/>
      <c r="AB112" s="1329"/>
      <c r="AC112" s="1329"/>
      <c r="AD112" s="1330"/>
      <c r="AF112" s="5155"/>
      <c r="AH112" s="5152" t="s">
        <v>7842</v>
      </c>
      <c r="AI112" s="331"/>
      <c r="AJ112" s="331"/>
      <c r="AK112" s="331"/>
      <c r="AL112" s="331"/>
      <c r="AM112" s="1400"/>
      <c r="AN112" s="1401" t="s">
        <v>1159</v>
      </c>
      <c r="AO112" s="1362"/>
      <c r="AP112" s="1362"/>
      <c r="AQ112" s="1362"/>
      <c r="AR112" s="1402" t="s">
        <v>1160</v>
      </c>
      <c r="AS112" s="1403"/>
      <c r="AU112" s="5155"/>
      <c r="AW112" s="1353"/>
      <c r="AX112" s="141"/>
      <c r="AY112" s="141"/>
      <c r="AZ112" s="141"/>
      <c r="BA112" s="141"/>
      <c r="BB112" s="1358" t="s">
        <v>1118</v>
      </c>
      <c r="BC112" s="1359" t="s">
        <v>1121</v>
      </c>
      <c r="BD112" s="1361"/>
      <c r="BE112" s="1362"/>
      <c r="BF112" s="988"/>
      <c r="BG112" s="988"/>
      <c r="BH112" s="1325"/>
      <c r="BJ112" s="1167" t="s">
        <v>993</v>
      </c>
      <c r="BK112" s="109"/>
      <c r="BL112" s="176"/>
      <c r="BM112" s="175"/>
      <c r="BO112" s="1160"/>
      <c r="BP112" s="141"/>
      <c r="BQ112" s="141"/>
      <c r="BR112" s="141"/>
      <c r="BS112" s="141"/>
      <c r="BT112" s="141"/>
      <c r="BU112" s="609"/>
      <c r="BW112" s="5">
        <v>1</v>
      </c>
    </row>
    <row r="113" spans="2:75" ht="20.25" customHeight="1" thickTop="1" thickBot="1">
      <c r="B113" s="5155"/>
      <c r="E113" s="141"/>
      <c r="F113" s="141"/>
      <c r="G113" s="141"/>
      <c r="H113" s="141"/>
      <c r="I113" s="1502" t="s">
        <v>1207</v>
      </c>
      <c r="J113" s="1503"/>
      <c r="K113" s="1503"/>
      <c r="L113" s="1503"/>
      <c r="M113" s="1503"/>
      <c r="N113" s="1503"/>
      <c r="O113" s="1504"/>
      <c r="Q113" s="5155"/>
      <c r="T113" s="141"/>
      <c r="U113" s="141"/>
      <c r="V113" s="141"/>
      <c r="W113" s="141"/>
      <c r="X113" s="1332" t="s">
        <v>86</v>
      </c>
      <c r="Y113" s="1006"/>
      <c r="Z113" s="1007"/>
      <c r="AA113" s="1008"/>
      <c r="AB113" s="1007"/>
      <c r="AC113" s="1007"/>
      <c r="AD113" s="1333"/>
      <c r="AF113" s="5155"/>
      <c r="AI113" s="331"/>
      <c r="AJ113" s="331"/>
      <c r="AK113" s="331"/>
      <c r="AL113" s="331"/>
      <c r="AM113" s="1400"/>
      <c r="AN113" s="1404" t="s">
        <v>1161</v>
      </c>
      <c r="AO113" s="988"/>
      <c r="AP113" s="988"/>
      <c r="AQ113" s="988"/>
      <c r="AR113" s="1358" t="s">
        <v>1118</v>
      </c>
      <c r="AS113" s="1405" t="s">
        <v>1162</v>
      </c>
      <c r="AU113" s="5155"/>
      <c r="AW113" s="1"/>
      <c r="AX113" s="141"/>
      <c r="AY113" s="141"/>
      <c r="AZ113" s="141"/>
      <c r="BA113" s="141"/>
      <c r="BB113" s="1358" t="s">
        <v>1118</v>
      </c>
      <c r="BC113" s="1359" t="s">
        <v>1122</v>
      </c>
      <c r="BD113" s="1361"/>
      <c r="BE113" s="988"/>
      <c r="BF113" s="988"/>
      <c r="BG113" s="988"/>
      <c r="BH113" s="1325"/>
      <c r="BJ113" s="1169" t="s">
        <v>994</v>
      </c>
      <c r="BK113" s="1102"/>
      <c r="BL113" s="106"/>
      <c r="BM113" s="105"/>
      <c r="BO113" s="1160"/>
      <c r="BP113" s="7128" t="s">
        <v>975</v>
      </c>
      <c r="BQ113" s="7129"/>
      <c r="BR113" s="6965" t="s">
        <v>976</v>
      </c>
      <c r="BS113" s="6965"/>
      <c r="BT113" s="141"/>
      <c r="BU113" s="609"/>
      <c r="BW113" s="5">
        <v>1</v>
      </c>
    </row>
    <row r="114" spans="2:75" ht="15.75" customHeight="1" thickBot="1">
      <c r="B114" s="5155"/>
      <c r="E114" s="141"/>
      <c r="F114" s="141"/>
      <c r="G114" s="141"/>
      <c r="H114" s="141"/>
      <c r="I114" s="1319"/>
      <c r="J114" s="1320"/>
      <c r="K114" s="1320"/>
      <c r="L114" s="1320"/>
      <c r="M114" s="1320"/>
      <c r="N114" s="1320"/>
      <c r="O114" s="1324"/>
      <c r="Q114" s="5155"/>
      <c r="T114" s="141"/>
      <c r="U114" s="141"/>
      <c r="V114" s="141"/>
      <c r="W114" s="141"/>
      <c r="X114" s="141"/>
      <c r="Y114" s="141"/>
      <c r="Z114" s="141"/>
      <c r="AA114" s="141"/>
      <c r="AB114" s="141"/>
      <c r="AC114" s="141"/>
      <c r="AD114" s="141"/>
      <c r="AF114" s="5155"/>
      <c r="AH114" s="1353"/>
      <c r="AI114" s="331"/>
      <c r="AJ114" s="331"/>
      <c r="AK114" s="331"/>
      <c r="AL114" s="331"/>
      <c r="AM114" s="1400">
        <v>3</v>
      </c>
      <c r="AN114" s="1404" t="s">
        <v>1163</v>
      </c>
      <c r="AO114" s="988"/>
      <c r="AP114" s="988"/>
      <c r="AQ114" s="988"/>
      <c r="AR114" s="1406"/>
      <c r="AS114" s="1405" t="s">
        <v>1164</v>
      </c>
      <c r="AU114" s="5155"/>
      <c r="AW114" s="1"/>
      <c r="AX114" s="141"/>
      <c r="AY114" s="141"/>
      <c r="AZ114" s="141"/>
      <c r="BA114" s="141"/>
      <c r="BB114" s="1358" t="s">
        <v>1118</v>
      </c>
      <c r="BC114" s="1359" t="s">
        <v>1123</v>
      </c>
      <c r="BD114" s="1361"/>
      <c r="BE114" s="988"/>
      <c r="BF114" s="988"/>
      <c r="BG114" s="988"/>
      <c r="BH114" s="1325"/>
      <c r="BJ114" s="154"/>
      <c r="BK114" s="97"/>
      <c r="BL114" s="97"/>
      <c r="BM114" s="96"/>
      <c r="BO114" s="1160"/>
      <c r="BP114" s="1170" t="s">
        <v>159</v>
      </c>
      <c r="BQ114" s="1171" t="s">
        <v>164</v>
      </c>
      <c r="BR114" s="1172" t="s">
        <v>981</v>
      </c>
      <c r="BS114" s="1173" t="s">
        <v>982</v>
      </c>
      <c r="BT114" s="141"/>
      <c r="BU114" s="609"/>
      <c r="BW114" s="5">
        <v>1</v>
      </c>
    </row>
    <row r="115" spans="2:75" ht="17.25" thickTop="1" thickBot="1">
      <c r="B115" s="5155"/>
      <c r="E115" s="141"/>
      <c r="F115" s="141"/>
      <c r="G115" s="141"/>
      <c r="H115" s="141"/>
      <c r="I115" s="1538"/>
      <c r="J115" s="1509"/>
      <c r="K115" s="1509" t="s">
        <v>873</v>
      </c>
      <c r="L115" s="1280"/>
      <c r="M115" s="97"/>
      <c r="N115" s="97"/>
      <c r="O115" s="1510"/>
      <c r="Q115" s="5155"/>
      <c r="T115" s="141"/>
      <c r="U115" s="141"/>
      <c r="V115" s="141"/>
      <c r="W115" s="141"/>
      <c r="X115" s="141"/>
      <c r="Y115" s="141"/>
      <c r="Z115" s="141"/>
      <c r="AA115" s="141"/>
      <c r="AB115" s="141"/>
      <c r="AC115" s="141"/>
      <c r="AD115" s="141"/>
      <c r="AF115" s="5155"/>
      <c r="AH115" s="1"/>
      <c r="AI115" s="331"/>
      <c r="AJ115" s="331"/>
      <c r="AK115" s="331"/>
      <c r="AL115" s="331"/>
      <c r="AM115" s="1400"/>
      <c r="AN115" s="1404" t="s">
        <v>1165</v>
      </c>
      <c r="AO115" s="988"/>
      <c r="AP115" s="988"/>
      <c r="AQ115" s="988"/>
      <c r="AR115" s="1407"/>
      <c r="AS115" s="1408" t="s">
        <v>1166</v>
      </c>
      <c r="AU115" s="5155"/>
      <c r="AW115" s="5151" t="s">
        <v>218</v>
      </c>
      <c r="AX115" s="141"/>
      <c r="AY115" s="141"/>
      <c r="AZ115" s="141"/>
      <c r="BA115" s="141"/>
      <c r="BB115" s="1358" t="s">
        <v>1118</v>
      </c>
      <c r="BC115" s="1359" t="s">
        <v>1124</v>
      </c>
      <c r="BD115" s="1361"/>
      <c r="BE115" s="988"/>
      <c r="BF115" s="988"/>
      <c r="BG115" s="988"/>
      <c r="BH115" s="1325"/>
      <c r="BJ115" s="160" t="s">
        <v>57</v>
      </c>
      <c r="BK115" s="1178" t="s">
        <v>56</v>
      </c>
      <c r="BL115" s="97"/>
      <c r="BM115" s="96"/>
      <c r="BO115" s="1160"/>
      <c r="BP115" s="1175">
        <v>0.25</v>
      </c>
      <c r="BQ115" s="1155">
        <v>0.5</v>
      </c>
      <c r="BR115" s="1176" t="s">
        <v>995</v>
      </c>
      <c r="BS115" s="1177"/>
      <c r="BT115" s="141"/>
      <c r="BU115" s="609"/>
      <c r="BW115" s="5">
        <v>1</v>
      </c>
    </row>
    <row r="116" spans="2:75" ht="15" customHeight="1" thickTop="1" thickBot="1">
      <c r="B116" s="5155"/>
      <c r="E116" s="141"/>
      <c r="F116" s="141"/>
      <c r="G116" s="141"/>
      <c r="H116" s="141"/>
      <c r="I116" s="1332" t="s">
        <v>86</v>
      </c>
      <c r="J116" s="1006"/>
      <c r="K116" s="1007"/>
      <c r="L116" s="1008"/>
      <c r="M116" s="1007"/>
      <c r="N116" s="1007"/>
      <c r="O116" s="1333"/>
      <c r="Q116" s="5155"/>
      <c r="R116" s="5153"/>
      <c r="S116" s="5153"/>
      <c r="T116" s="5154" t="s">
        <v>7846</v>
      </c>
      <c r="U116" s="141"/>
      <c r="V116" s="141"/>
      <c r="W116" s="141"/>
      <c r="X116" s="1354" t="s">
        <v>252</v>
      </c>
      <c r="Y116" s="1355"/>
      <c r="Z116" s="1355"/>
      <c r="AA116" s="1355"/>
      <c r="AB116" s="1355"/>
      <c r="AC116" s="1356"/>
      <c r="AD116" s="1357" t="s">
        <v>1144</v>
      </c>
      <c r="AF116" s="5155"/>
      <c r="AH116" s="1"/>
      <c r="AI116" s="331"/>
      <c r="AJ116" s="331"/>
      <c r="AK116" s="331"/>
      <c r="AL116" s="331"/>
      <c r="AM116" s="1400">
        <v>1</v>
      </c>
      <c r="AN116" s="1404" t="s">
        <v>1167</v>
      </c>
      <c r="AO116" s="988"/>
      <c r="AP116" s="988"/>
      <c r="AQ116" s="988"/>
      <c r="AR116" s="1406"/>
      <c r="AS116" s="1405" t="s">
        <v>1162</v>
      </c>
      <c r="AU116" s="5155"/>
      <c r="AW116" s="1111" t="s">
        <v>935</v>
      </c>
      <c r="AX116" s="141"/>
      <c r="AY116" s="141"/>
      <c r="AZ116" s="141"/>
      <c r="BA116" s="141"/>
      <c r="BB116" s="1358" t="s">
        <v>1118</v>
      </c>
      <c r="BC116" s="1359" t="s">
        <v>1125</v>
      </c>
      <c r="BD116" s="1361"/>
      <c r="BE116" s="988"/>
      <c r="BF116" s="988"/>
      <c r="BG116" s="988"/>
      <c r="BH116" s="1325"/>
      <c r="BJ116" s="157" t="s">
        <v>54</v>
      </c>
      <c r="BK116" s="97"/>
      <c r="BL116" s="97"/>
      <c r="BM116" s="96"/>
      <c r="BO116" s="1160"/>
      <c r="BP116" s="1179" t="s">
        <v>942</v>
      </c>
      <c r="BQ116" s="1180" t="s">
        <v>965</v>
      </c>
      <c r="BR116" s="1172" t="s">
        <v>985</v>
      </c>
      <c r="BS116" s="1181" t="s">
        <v>986</v>
      </c>
      <c r="BT116" s="141"/>
      <c r="BU116" s="609"/>
      <c r="BW116" s="5">
        <v>1</v>
      </c>
    </row>
    <row r="117" spans="2:75" ht="16.5" customHeight="1" thickTop="1" thickBot="1">
      <c r="B117" s="5155"/>
      <c r="O117" s="348"/>
      <c r="Q117" s="5155"/>
      <c r="T117" s="5152" t="s">
        <v>7842</v>
      </c>
      <c r="U117" s="141"/>
      <c r="V117" s="141"/>
      <c r="W117" s="141"/>
      <c r="X117" s="1374" t="s">
        <v>1145</v>
      </c>
      <c r="Y117" s="147"/>
      <c r="Z117" s="1375"/>
      <c r="AA117" s="102"/>
      <c r="AB117" s="102"/>
      <c r="AC117" s="102"/>
      <c r="AD117" s="1360"/>
      <c r="AF117" s="5155"/>
      <c r="AH117" s="5151" t="s">
        <v>218</v>
      </c>
      <c r="AI117" s="331"/>
      <c r="AJ117" s="331"/>
      <c r="AK117" s="331"/>
      <c r="AL117" s="331"/>
      <c r="AM117" s="1400"/>
      <c r="AN117" s="1404" t="s">
        <v>1168</v>
      </c>
      <c r="AO117" s="988"/>
      <c r="AP117" s="988"/>
      <c r="AQ117" s="988"/>
      <c r="AR117" s="1406"/>
      <c r="AS117" s="1405" t="s">
        <v>1169</v>
      </c>
      <c r="AU117" s="5155"/>
      <c r="AW117" s="1358" t="s">
        <v>1118</v>
      </c>
      <c r="AX117" s="141"/>
      <c r="AY117" s="141"/>
      <c r="AZ117" s="141"/>
      <c r="BA117" s="141"/>
      <c r="BB117" s="1358" t="s">
        <v>1118</v>
      </c>
      <c r="BC117" s="1363" t="s">
        <v>1126</v>
      </c>
      <c r="BD117" s="147"/>
      <c r="BE117" s="988"/>
      <c r="BF117" s="988"/>
      <c r="BG117" s="988"/>
      <c r="BH117" s="1325"/>
      <c r="BJ117" s="154"/>
      <c r="BK117" s="97"/>
      <c r="BL117" s="97"/>
      <c r="BM117" s="96"/>
      <c r="BO117" s="1160"/>
      <c r="BP117" s="1175">
        <v>0.25</v>
      </c>
      <c r="BQ117" s="1155">
        <v>0.5</v>
      </c>
      <c r="BR117" s="1176" t="s">
        <v>996</v>
      </c>
      <c r="BS117" s="1177"/>
      <c r="BT117" s="141"/>
      <c r="BU117" s="609"/>
      <c r="BW117" s="5">
        <v>1</v>
      </c>
    </row>
    <row r="118" spans="2:75" ht="18.75" customHeight="1" thickTop="1">
      <c r="B118" s="5155"/>
      <c r="Q118" s="5155"/>
      <c r="T118" s="141"/>
      <c r="U118" s="141"/>
      <c r="V118" s="141"/>
      <c r="W118" s="141"/>
      <c r="X118" s="7683" t="s">
        <v>1146</v>
      </c>
      <c r="Y118" s="7085"/>
      <c r="Z118" s="7085"/>
      <c r="AA118" s="7085"/>
      <c r="AB118" s="7085"/>
      <c r="AC118" s="7085"/>
      <c r="AD118" s="7086"/>
      <c r="AF118" s="5155"/>
      <c r="AH118" s="1111" t="s">
        <v>935</v>
      </c>
      <c r="AI118" s="331"/>
      <c r="AJ118" s="331"/>
      <c r="AK118" s="331"/>
      <c r="AL118" s="331"/>
      <c r="AM118" s="1400"/>
      <c r="AN118" s="1404" t="s">
        <v>1170</v>
      </c>
      <c r="AO118" s="988"/>
      <c r="AP118" s="988"/>
      <c r="AQ118" s="988"/>
      <c r="AR118" s="5423" t="s">
        <v>1171</v>
      </c>
      <c r="AS118" s="1405" t="s">
        <v>1164</v>
      </c>
      <c r="AU118" s="5155"/>
      <c r="AW118" s="1411" t="s">
        <v>1175</v>
      </c>
      <c r="AX118" s="141"/>
      <c r="AY118" s="141"/>
      <c r="AZ118" s="141"/>
      <c r="BA118" s="141"/>
      <c r="BB118" s="1358" t="s">
        <v>1118</v>
      </c>
      <c r="BC118" s="1363" t="s">
        <v>1127</v>
      </c>
      <c r="BD118" s="147"/>
      <c r="BE118" s="988"/>
      <c r="BF118" s="988"/>
      <c r="BG118" s="988"/>
      <c r="BH118" s="1325"/>
      <c r="BJ118" s="103" t="s">
        <v>44</v>
      </c>
      <c r="BK118" s="102"/>
      <c r="BL118" s="102"/>
      <c r="BM118" s="101"/>
      <c r="BO118" s="1160"/>
      <c r="BP118" s="1182" t="s">
        <v>989</v>
      </c>
      <c r="BQ118" s="102" t="s">
        <v>990</v>
      </c>
      <c r="BR118" s="102"/>
      <c r="BS118" s="102"/>
      <c r="BT118" s="141"/>
      <c r="BU118" s="609"/>
      <c r="BW118" s="5">
        <v>1</v>
      </c>
    </row>
    <row r="119" spans="2:75" ht="15.75" customHeight="1" thickBot="1">
      <c r="B119" s="5155"/>
      <c r="Q119" s="5155"/>
      <c r="T119" s="141"/>
      <c r="U119" s="141"/>
      <c r="V119" s="141"/>
      <c r="W119" s="141"/>
      <c r="X119" s="7683"/>
      <c r="Y119" s="7085"/>
      <c r="Z119" s="7085"/>
      <c r="AA119" s="7085"/>
      <c r="AB119" s="7085"/>
      <c r="AC119" s="7085"/>
      <c r="AD119" s="7086"/>
      <c r="AF119" s="5155"/>
      <c r="AH119" s="1358" t="s">
        <v>1118</v>
      </c>
      <c r="AI119" s="331"/>
      <c r="AJ119" s="331"/>
      <c r="AK119" s="331"/>
      <c r="AL119" s="331"/>
      <c r="AM119" s="1400"/>
      <c r="AN119" s="1404" t="s">
        <v>1172</v>
      </c>
      <c r="AO119" s="988"/>
      <c r="AP119" s="988"/>
      <c r="AQ119" s="988"/>
      <c r="AR119" s="1407"/>
      <c r="AS119" s="1409" t="s">
        <v>1173</v>
      </c>
      <c r="AU119" s="5155"/>
      <c r="AW119" s="5423" t="s">
        <v>1171</v>
      </c>
      <c r="AX119" s="141"/>
      <c r="AY119" s="141"/>
      <c r="AZ119" s="141"/>
      <c r="BA119" s="141"/>
      <c r="BB119" s="1358" t="s">
        <v>1118</v>
      </c>
      <c r="BC119" s="1363" t="s">
        <v>1128</v>
      </c>
      <c r="BD119" s="147"/>
      <c r="BE119" s="988"/>
      <c r="BF119" s="988"/>
      <c r="BG119" s="988"/>
      <c r="BH119" s="1325"/>
      <c r="BJ119" s="146">
        <v>12</v>
      </c>
      <c r="BK119" s="102" t="s">
        <v>41</v>
      </c>
      <c r="BL119" s="102"/>
      <c r="BM119" s="101"/>
      <c r="BN119" s="1"/>
      <c r="BO119" s="1160"/>
      <c r="BP119" s="1183" t="s">
        <v>896</v>
      </c>
      <c r="BQ119" s="1184"/>
      <c r="BR119" s="1185"/>
      <c r="BS119" s="1185"/>
      <c r="BT119" s="141"/>
      <c r="BU119" s="609"/>
      <c r="BW119" s="5">
        <v>1</v>
      </c>
    </row>
    <row r="120" spans="2:75" ht="16.5" thickBot="1">
      <c r="B120" s="5155"/>
      <c r="Q120" s="5155"/>
      <c r="T120" s="141"/>
      <c r="U120" s="141"/>
      <c r="V120" s="141"/>
      <c r="W120" s="141"/>
      <c r="X120" s="7683"/>
      <c r="Y120" s="7085"/>
      <c r="Z120" s="7085"/>
      <c r="AA120" s="7085"/>
      <c r="AB120" s="7085"/>
      <c r="AC120" s="7085"/>
      <c r="AD120" s="7086"/>
      <c r="AF120" s="5155"/>
      <c r="AH120" s="1411" t="s">
        <v>1175</v>
      </c>
      <c r="AI120" s="331"/>
      <c r="AJ120" s="331"/>
      <c r="AK120" s="331"/>
      <c r="AL120" s="331"/>
      <c r="AM120" s="1410"/>
      <c r="AN120" s="1404" t="s">
        <v>1174</v>
      </c>
      <c r="AO120" s="988"/>
      <c r="AP120" s="988"/>
      <c r="AQ120" s="988"/>
      <c r="AR120" s="1411" t="s">
        <v>1175</v>
      </c>
      <c r="AS120" s="1405" t="s">
        <v>1176</v>
      </c>
      <c r="AU120" s="5155"/>
      <c r="AW120" s="5423" t="s">
        <v>7843</v>
      </c>
      <c r="AX120" s="141"/>
      <c r="AY120" s="141"/>
      <c r="AZ120" s="141"/>
      <c r="BA120" s="141"/>
      <c r="BB120" s="1358" t="s">
        <v>1118</v>
      </c>
      <c r="BC120" s="1363" t="s">
        <v>1129</v>
      </c>
      <c r="BD120" s="1361"/>
      <c r="BE120" s="988"/>
      <c r="BF120" s="988"/>
      <c r="BG120" s="988"/>
      <c r="BH120" s="1325"/>
      <c r="BJ120" s="140">
        <f ca="1">CELL("largeur",BJ120)</f>
        <v>19</v>
      </c>
      <c r="BK120" s="102" t="s">
        <v>39</v>
      </c>
      <c r="BL120" s="102"/>
      <c r="BM120" s="101"/>
      <c r="BN120" s="1"/>
      <c r="BO120" s="1160"/>
      <c r="BP120" s="141"/>
      <c r="BQ120" s="141"/>
      <c r="BR120" s="141"/>
      <c r="BS120" s="141"/>
      <c r="BT120" s="141"/>
      <c r="BU120" s="609"/>
      <c r="BW120" s="5">
        <v>1</v>
      </c>
    </row>
    <row r="121" spans="2:75" ht="15.75" customHeight="1" thickTop="1">
      <c r="B121" s="5155"/>
      <c r="Q121" s="5155"/>
      <c r="T121" s="141"/>
      <c r="U121" s="141"/>
      <c r="V121" s="141"/>
      <c r="W121" s="141"/>
      <c r="X121" s="1376" t="s">
        <v>1147</v>
      </c>
      <c r="Y121" s="988"/>
      <c r="Z121" s="988"/>
      <c r="AA121" s="988"/>
      <c r="AB121" s="988"/>
      <c r="AC121" s="988"/>
      <c r="AD121" s="1325"/>
      <c r="AF121" s="5155"/>
      <c r="AH121" s="5423" t="s">
        <v>1171</v>
      </c>
      <c r="AI121" s="331"/>
      <c r="AJ121" s="331"/>
      <c r="AK121" s="331"/>
      <c r="AL121" s="331"/>
      <c r="AM121" s="1412" t="str">
        <f>SUM(AM112:AM120) &amp; " / " &amp; (COUNTA(AM112:AM120) * 3)</f>
        <v>4 / 6</v>
      </c>
      <c r="AN121" s="988" t="s">
        <v>1177</v>
      </c>
      <c r="AO121" s="988"/>
      <c r="AP121" s="988"/>
      <c r="AQ121" s="988"/>
      <c r="AR121" s="1406"/>
      <c r="AS121" s="1405" t="s">
        <v>1164</v>
      </c>
      <c r="AU121" s="5155"/>
      <c r="AX121" s="141"/>
      <c r="AY121" s="141"/>
      <c r="AZ121" s="141"/>
      <c r="BA121" s="141"/>
      <c r="BB121" s="1358" t="s">
        <v>1118</v>
      </c>
      <c r="BC121" s="1363" t="s">
        <v>1130</v>
      </c>
      <c r="BD121" s="147"/>
      <c r="BE121" s="988"/>
      <c r="BF121" s="988"/>
      <c r="BG121" s="988"/>
      <c r="BH121" s="1325"/>
      <c r="BJ121" s="103" t="s">
        <v>36</v>
      </c>
      <c r="BK121" s="102"/>
      <c r="BL121" s="102"/>
      <c r="BM121" s="101"/>
      <c r="BN121" s="1"/>
      <c r="BO121" s="221"/>
      <c r="BP121" s="1080" t="s">
        <v>950</v>
      </c>
      <c r="BQ121" s="1080"/>
      <c r="BR121" s="1080"/>
      <c r="BS121" s="1122"/>
      <c r="BT121" s="141"/>
      <c r="BU121" s="609"/>
      <c r="BW121" s="5">
        <v>1</v>
      </c>
    </row>
    <row r="122" spans="2:75" ht="17.25" customHeight="1">
      <c r="B122" s="5155"/>
      <c r="Q122" s="5155"/>
      <c r="T122" s="141"/>
      <c r="U122" s="141"/>
      <c r="V122" s="141"/>
      <c r="W122" s="141"/>
      <c r="X122" s="1319" t="s">
        <v>1148</v>
      </c>
      <c r="Y122" s="1320"/>
      <c r="Z122" s="1320"/>
      <c r="AA122" s="1320"/>
      <c r="AB122" s="1320"/>
      <c r="AC122" s="1320"/>
      <c r="AD122" s="1377"/>
      <c r="AF122" s="5155"/>
      <c r="AH122" s="5423" t="s">
        <v>7843</v>
      </c>
      <c r="AI122" s="331"/>
      <c r="AJ122" s="331"/>
      <c r="AK122" s="331"/>
      <c r="AL122" s="331"/>
      <c r="AM122" s="1413" t="str">
        <f>SUM(AM112:AM120) &amp;"/ "&amp;AM123</f>
        <v>4/ 27</v>
      </c>
      <c r="AN122" s="1414" t="s">
        <v>1178</v>
      </c>
      <c r="AO122" s="988"/>
      <c r="AP122" s="988"/>
      <c r="AQ122" s="988"/>
      <c r="AR122" s="1415"/>
      <c r="AS122" s="1409" t="s">
        <v>1179</v>
      </c>
      <c r="AU122" s="5155"/>
      <c r="AX122" s="141"/>
      <c r="AY122" s="141"/>
      <c r="AZ122" s="141"/>
      <c r="BA122" s="141"/>
      <c r="BB122" s="1358" t="s">
        <v>1118</v>
      </c>
      <c r="BC122" s="1363" t="s">
        <v>1131</v>
      </c>
      <c r="BD122" s="147"/>
      <c r="BE122" s="988"/>
      <c r="BF122" s="988"/>
      <c r="BG122" s="988"/>
      <c r="BH122" s="1325"/>
      <c r="BJ122" s="103" t="s">
        <v>34</v>
      </c>
      <c r="BK122" s="102"/>
      <c r="BL122" s="102"/>
      <c r="BM122" s="101"/>
      <c r="BN122" s="1"/>
      <c r="BO122" s="1083"/>
      <c r="BQ122" s="147"/>
      <c r="BR122" s="147"/>
      <c r="BS122" s="141"/>
      <c r="BT122" s="141"/>
      <c r="BU122" s="609"/>
      <c r="BW122" s="5">
        <v>1</v>
      </c>
    </row>
    <row r="123" spans="2:75" ht="15.75" customHeight="1" thickBot="1">
      <c r="B123" s="5155"/>
      <c r="Q123" s="5155"/>
      <c r="T123" s="141"/>
      <c r="U123" s="141"/>
      <c r="V123" s="141"/>
      <c r="W123" s="141"/>
      <c r="X123" s="7684" t="s">
        <v>1149</v>
      </c>
      <c r="Y123" s="7088"/>
      <c r="Z123" s="7088"/>
      <c r="AA123" s="7088"/>
      <c r="AB123" s="7088"/>
      <c r="AC123" s="7088"/>
      <c r="AD123" s="7089"/>
      <c r="AF123" s="5155"/>
      <c r="AI123" s="331"/>
      <c r="AJ123" s="331"/>
      <c r="AK123" s="331"/>
      <c r="AL123" s="331"/>
      <c r="AM123" s="1416">
        <v>27</v>
      </c>
      <c r="AN123" s="1417" t="s">
        <v>1180</v>
      </c>
      <c r="AO123" s="988"/>
      <c r="AP123" s="988"/>
      <c r="AQ123" s="988"/>
      <c r="AR123" s="1406"/>
      <c r="AS123" s="1405" t="s">
        <v>1181</v>
      </c>
      <c r="AU123" s="5155"/>
      <c r="AX123" s="141"/>
      <c r="AY123" s="141"/>
      <c r="AZ123" s="141"/>
      <c r="BA123" s="141"/>
      <c r="BB123" s="1358" t="s">
        <v>1118</v>
      </c>
      <c r="BC123" s="1363" t="s">
        <v>1132</v>
      </c>
      <c r="BD123" s="147"/>
      <c r="BE123" s="988"/>
      <c r="BF123" s="988"/>
      <c r="BG123" s="988"/>
      <c r="BH123" s="1325"/>
      <c r="BJ123" s="103" t="s">
        <v>30</v>
      </c>
      <c r="BK123" s="113"/>
      <c r="BL123" s="113"/>
      <c r="BM123" s="112"/>
      <c r="BN123" s="1"/>
      <c r="BO123" s="1083"/>
      <c r="BP123" s="147" t="s">
        <v>924</v>
      </c>
      <c r="BQ123" s="141"/>
      <c r="BR123" s="141"/>
      <c r="BS123" s="141"/>
      <c r="BT123" s="141"/>
      <c r="BU123" s="609"/>
      <c r="BW123" s="5">
        <v>1</v>
      </c>
    </row>
    <row r="124" spans="2:75" ht="19.5" thickTop="1">
      <c r="B124" s="5155"/>
      <c r="Q124" s="5155"/>
      <c r="T124" s="141"/>
      <c r="U124" s="141"/>
      <c r="V124" s="141"/>
      <c r="W124" s="141"/>
      <c r="X124" s="7684"/>
      <c r="Y124" s="7088"/>
      <c r="Z124" s="7088"/>
      <c r="AA124" s="7088"/>
      <c r="AB124" s="7088"/>
      <c r="AC124" s="7088"/>
      <c r="AD124" s="7089"/>
      <c r="AF124" s="5155"/>
      <c r="AI124" s="331"/>
      <c r="AJ124" s="331"/>
      <c r="AK124" s="331"/>
      <c r="AL124" s="331"/>
      <c r="AM124" s="1418" t="s">
        <v>1182</v>
      </c>
      <c r="AN124" s="988"/>
      <c r="AO124" s="988"/>
      <c r="AP124" s="988"/>
      <c r="AQ124" s="988"/>
      <c r="AR124" s="1406"/>
      <c r="AS124" s="1419" t="s">
        <v>1183</v>
      </c>
      <c r="AU124" s="5155"/>
      <c r="AX124" s="141"/>
      <c r="AY124" s="141"/>
      <c r="AZ124" s="141"/>
      <c r="BA124" s="141"/>
      <c r="BB124" s="1358" t="s">
        <v>1118</v>
      </c>
      <c r="BC124" s="1359" t="s">
        <v>1126</v>
      </c>
      <c r="BD124" s="1361"/>
      <c r="BE124" s="988"/>
      <c r="BF124" s="988"/>
      <c r="BG124" s="988"/>
      <c r="BH124" s="1325"/>
      <c r="BJ124" s="118"/>
      <c r="BK124" s="113"/>
      <c r="BL124" s="113"/>
      <c r="BM124" s="112"/>
      <c r="BN124" s="1"/>
      <c r="BO124" s="221"/>
      <c r="BP124" s="1186" t="s">
        <v>955</v>
      </c>
      <c r="BQ124" s="141"/>
      <c r="BR124" s="141"/>
      <c r="BS124" s="141"/>
      <c r="BT124" s="141"/>
      <c r="BU124" s="609"/>
      <c r="BW124" s="5">
        <v>1</v>
      </c>
    </row>
    <row r="125" spans="2:75" ht="15" customHeight="1">
      <c r="B125" s="5155"/>
      <c r="Q125" s="5155"/>
      <c r="T125" s="141"/>
      <c r="U125" s="141"/>
      <c r="V125" s="141"/>
      <c r="W125" s="141"/>
      <c r="X125" s="7684"/>
      <c r="Y125" s="7088"/>
      <c r="Z125" s="7088"/>
      <c r="AA125" s="7088"/>
      <c r="AB125" s="7088"/>
      <c r="AC125" s="7088"/>
      <c r="AD125" s="7089"/>
      <c r="AF125" s="5155"/>
      <c r="AI125" s="331"/>
      <c r="AJ125" s="331"/>
      <c r="AK125" s="331"/>
      <c r="AL125" s="331"/>
      <c r="AM125" s="1420"/>
      <c r="AN125" s="1421"/>
      <c r="AO125" s="1421"/>
      <c r="AP125" s="1421"/>
      <c r="AQ125" s="1421"/>
      <c r="AR125" s="1421"/>
      <c r="AS125" s="1339"/>
      <c r="AU125" s="5155"/>
      <c r="AX125" s="141"/>
      <c r="AY125" s="141"/>
      <c r="AZ125" s="141"/>
      <c r="BA125" s="141"/>
      <c r="BB125" s="1358" t="s">
        <v>1118</v>
      </c>
      <c r="BC125" s="1363" t="s">
        <v>1127</v>
      </c>
      <c r="BD125" s="147"/>
      <c r="BE125" s="988"/>
      <c r="BF125" s="988"/>
      <c r="BG125" s="988"/>
      <c r="BH125" s="1325"/>
      <c r="BJ125" s="116" t="s">
        <v>26</v>
      </c>
      <c r="BK125" s="97" t="s">
        <v>25</v>
      </c>
      <c r="BL125" s="97"/>
      <c r="BM125" s="112"/>
      <c r="BN125" s="1"/>
      <c r="BO125" s="221"/>
      <c r="BP125" s="1186" t="s">
        <v>956</v>
      </c>
      <c r="BQ125" s="141"/>
      <c r="BR125" s="141"/>
      <c r="BS125" s="141"/>
      <c r="BT125" s="141"/>
      <c r="BU125" s="609"/>
      <c r="BW125" s="5">
        <v>1</v>
      </c>
    </row>
    <row r="126" spans="2:75" ht="15.75" customHeight="1">
      <c r="B126" s="5155"/>
      <c r="Q126" s="5155"/>
      <c r="T126" s="141"/>
      <c r="U126" s="141"/>
      <c r="V126" s="141"/>
      <c r="W126" s="141"/>
      <c r="X126" s="7684"/>
      <c r="Y126" s="7088"/>
      <c r="Z126" s="7088"/>
      <c r="AA126" s="7088"/>
      <c r="AB126" s="7088"/>
      <c r="AC126" s="7088"/>
      <c r="AD126" s="7089"/>
      <c r="AF126" s="5155"/>
      <c r="AI126" s="331"/>
      <c r="AJ126" s="331"/>
      <c r="AK126" s="331"/>
      <c r="AL126" s="331"/>
      <c r="AM126" s="1369" t="s">
        <v>864</v>
      </c>
      <c r="AN126" s="1321"/>
      <c r="AO126" s="1321"/>
      <c r="AP126" s="1321"/>
      <c r="AQ126" s="1321"/>
      <c r="AR126" s="1321"/>
      <c r="AS126" s="1370" t="s">
        <v>1141</v>
      </c>
      <c r="AU126" s="5155"/>
      <c r="AX126" s="141"/>
      <c r="AY126" s="141"/>
      <c r="AZ126" s="141"/>
      <c r="BA126" s="141"/>
      <c r="BB126" s="1358" t="s">
        <v>1118</v>
      </c>
      <c r="BC126" s="1363" t="s">
        <v>1135</v>
      </c>
      <c r="BD126" s="147"/>
      <c r="BE126" s="988"/>
      <c r="BF126" s="988"/>
      <c r="BG126" s="988"/>
      <c r="BH126" s="1325"/>
      <c r="BJ126" s="98"/>
      <c r="BK126" s="97" t="s">
        <v>24</v>
      </c>
      <c r="BL126" s="113"/>
      <c r="BM126" s="112"/>
      <c r="BN126" s="1"/>
      <c r="BO126" s="1160"/>
      <c r="BP126" s="141"/>
      <c r="BQ126" s="141"/>
      <c r="BR126" s="141"/>
      <c r="BS126" s="141"/>
      <c r="BT126" s="141"/>
      <c r="BU126" s="609"/>
      <c r="BW126" s="5">
        <v>1</v>
      </c>
    </row>
    <row r="127" spans="2:75" ht="16.5" customHeight="1">
      <c r="B127" s="5155"/>
      <c r="Q127" s="5155"/>
      <c r="T127" s="141"/>
      <c r="U127" s="141"/>
      <c r="V127" s="141"/>
      <c r="W127" s="141"/>
      <c r="X127" s="1369" t="s">
        <v>864</v>
      </c>
      <c r="Y127" s="1321"/>
      <c r="Z127" s="1321"/>
      <c r="AA127" s="1321"/>
      <c r="AB127" s="1321"/>
      <c r="AC127" s="1321"/>
      <c r="AD127" s="1370"/>
      <c r="AF127" s="5155"/>
      <c r="AI127" s="331"/>
      <c r="AJ127" s="331"/>
      <c r="AK127" s="331"/>
      <c r="AL127" s="331"/>
      <c r="AM127" s="1371"/>
      <c r="AN127" s="1371"/>
      <c r="AO127" s="1371"/>
      <c r="AP127" s="1371"/>
      <c r="AQ127" s="1371"/>
      <c r="AR127" s="1371"/>
      <c r="AS127" s="1371"/>
      <c r="AU127" s="5155"/>
      <c r="AX127" s="141"/>
      <c r="AY127" s="141"/>
      <c r="AZ127" s="141"/>
      <c r="BA127" s="141"/>
      <c r="BB127" s="1358" t="s">
        <v>1118</v>
      </c>
      <c r="BC127" s="1363" t="s">
        <v>1136</v>
      </c>
      <c r="BD127" s="147"/>
      <c r="BE127" s="988"/>
      <c r="BF127" s="988"/>
      <c r="BG127" s="988"/>
      <c r="BH127" s="1325"/>
      <c r="BJ127" s="98"/>
      <c r="BK127" s="113"/>
      <c r="BL127" s="113"/>
      <c r="BM127" s="112"/>
      <c r="BN127" s="1"/>
      <c r="BO127" s="1160"/>
      <c r="BP127" s="141"/>
      <c r="BQ127" s="141"/>
      <c r="BR127" s="141"/>
      <c r="BS127" s="141"/>
      <c r="BT127" s="141"/>
      <c r="BU127" s="609"/>
      <c r="BW127" s="5">
        <v>1</v>
      </c>
    </row>
    <row r="128" spans="2:75" ht="16.5" customHeight="1">
      <c r="B128" s="5155"/>
      <c r="Q128" s="5155"/>
      <c r="T128" s="141"/>
      <c r="U128" s="141"/>
      <c r="V128" s="141"/>
      <c r="W128" s="141"/>
      <c r="X128" s="1441"/>
      <c r="Y128" s="1385"/>
      <c r="Z128" s="1385"/>
      <c r="AA128" s="1385"/>
      <c r="AB128" s="1385"/>
      <c r="AC128" s="1385"/>
      <c r="AD128" s="1443"/>
      <c r="AF128" s="5155"/>
      <c r="AI128" s="331"/>
      <c r="AJ128" s="331"/>
      <c r="AK128" s="331"/>
      <c r="AL128" s="331"/>
      <c r="AM128" s="1371"/>
      <c r="AN128" s="1371"/>
      <c r="AO128" s="1371"/>
      <c r="AP128" s="1371"/>
      <c r="AQ128" s="1371"/>
      <c r="AR128" s="1371"/>
      <c r="AS128" s="1371"/>
      <c r="AU128" s="5155"/>
      <c r="AX128" s="141"/>
      <c r="AY128" s="141"/>
      <c r="AZ128" s="141"/>
      <c r="BA128" s="141"/>
      <c r="BB128" s="1358" t="s">
        <v>1118</v>
      </c>
      <c r="BC128" s="1363" t="s">
        <v>1137</v>
      </c>
      <c r="BD128" s="147"/>
      <c r="BE128" s="988"/>
      <c r="BF128" s="988"/>
      <c r="BG128" s="988"/>
      <c r="BH128" s="1325"/>
      <c r="BJ128" s="111" t="s">
        <v>23</v>
      </c>
      <c r="BK128" s="110"/>
      <c r="BL128" s="113"/>
      <c r="BM128" s="112"/>
      <c r="BN128" s="1"/>
      <c r="BO128" s="1160"/>
      <c r="BP128" s="141"/>
      <c r="BQ128" s="141"/>
      <c r="BR128" s="141"/>
      <c r="BS128" s="141"/>
      <c r="BT128" s="141"/>
      <c r="BU128" s="609"/>
      <c r="BW128" s="5">
        <v>1</v>
      </c>
    </row>
    <row r="129" spans="2:75" ht="15.75" customHeight="1">
      <c r="B129" s="5155"/>
      <c r="Q129" s="5155"/>
      <c r="T129" s="141"/>
      <c r="U129" s="141"/>
      <c r="V129" s="141"/>
      <c r="W129" s="141"/>
      <c r="X129" s="1441"/>
      <c r="Y129" s="1385"/>
      <c r="Z129" s="1385"/>
      <c r="AA129" s="1385"/>
      <c r="AB129" s="1385"/>
      <c r="AC129" s="1385"/>
      <c r="AD129" s="1443"/>
      <c r="AF129" s="5155"/>
      <c r="AG129" s="5153"/>
      <c r="AH129" s="5154" t="s">
        <v>7847</v>
      </c>
      <c r="AI129" s="331"/>
      <c r="AJ129" s="331"/>
      <c r="AK129" s="331"/>
      <c r="AL129" s="331"/>
      <c r="AM129" s="369" t="s">
        <v>252</v>
      </c>
      <c r="AN129" s="1433"/>
      <c r="AO129" s="1433"/>
      <c r="AP129" s="1433"/>
      <c r="AQ129" s="1433"/>
      <c r="AR129" s="1433"/>
      <c r="AS129" s="1434" t="s">
        <v>1158</v>
      </c>
      <c r="AU129" s="5155"/>
      <c r="AX129" s="141"/>
      <c r="AY129" s="141"/>
      <c r="AZ129" s="141"/>
      <c r="BA129" s="141"/>
      <c r="BB129" s="1358" t="s">
        <v>1118</v>
      </c>
      <c r="BC129" s="1363" t="s">
        <v>1138</v>
      </c>
      <c r="BD129" s="147"/>
      <c r="BE129" s="988"/>
      <c r="BF129" s="988"/>
      <c r="BG129" s="988"/>
      <c r="BH129" s="1325"/>
      <c r="BJ129" s="115" t="s">
        <v>22</v>
      </c>
      <c r="BK129" s="114"/>
      <c r="BL129" s="113"/>
      <c r="BM129" s="112"/>
      <c r="BN129" s="1"/>
      <c r="BO129" s="1160"/>
      <c r="BP129" s="141"/>
      <c r="BQ129" s="141"/>
      <c r="BR129" s="141"/>
      <c r="BS129" s="141"/>
      <c r="BT129" s="141"/>
      <c r="BU129" s="609"/>
      <c r="BW129" s="5">
        <v>1</v>
      </c>
    </row>
    <row r="130" spans="2:75" ht="15" customHeight="1">
      <c r="B130" s="5155"/>
      <c r="Q130" s="5155"/>
      <c r="T130" s="141"/>
      <c r="U130" s="141"/>
      <c r="V130" s="141"/>
      <c r="W130" s="141"/>
      <c r="X130" s="1338"/>
      <c r="Y130" s="1460"/>
      <c r="Z130" s="1460"/>
      <c r="AA130" s="1460"/>
      <c r="AB130" s="1460"/>
      <c r="AC130" s="1460"/>
      <c r="AD130" s="1339" t="s">
        <v>1112</v>
      </c>
      <c r="AF130" s="5155"/>
      <c r="AH130" s="5152" t="s">
        <v>7842</v>
      </c>
      <c r="AI130" s="331"/>
      <c r="AJ130" s="331"/>
      <c r="AK130" s="331"/>
      <c r="AL130" s="331"/>
      <c r="AM130" s="1435"/>
      <c r="AN130" s="1435"/>
      <c r="AO130" s="1435"/>
      <c r="AP130" s="1435"/>
      <c r="AQ130" s="1435"/>
      <c r="AR130" s="1435"/>
      <c r="AS130" s="1436" t="s">
        <v>1196</v>
      </c>
      <c r="AU130" s="5155"/>
      <c r="AX130" s="141"/>
      <c r="AY130" s="141"/>
      <c r="AZ130" s="141"/>
      <c r="BA130" s="141"/>
      <c r="BB130" s="1358" t="s">
        <v>1118</v>
      </c>
      <c r="BC130" s="1363" t="s">
        <v>1139</v>
      </c>
      <c r="BD130" s="147"/>
      <c r="BE130" s="988"/>
      <c r="BF130" s="988"/>
      <c r="BG130" s="988"/>
      <c r="BH130" s="1325"/>
      <c r="BJ130" s="5467" t="s">
        <v>21</v>
      </c>
      <c r="BK130" s="114"/>
      <c r="BL130" s="113"/>
      <c r="BM130" s="112"/>
      <c r="BN130" s="1"/>
      <c r="BO130" s="1160"/>
      <c r="BP130" s="141"/>
      <c r="BQ130" s="141"/>
      <c r="BR130" s="141"/>
      <c r="BS130" s="141"/>
      <c r="BT130" s="141"/>
      <c r="BU130" s="609"/>
      <c r="BW130" s="5">
        <v>1</v>
      </c>
    </row>
    <row r="131" spans="2:75" ht="15" customHeight="1">
      <c r="B131" s="5155"/>
      <c r="Q131" s="5155"/>
      <c r="T131" s="141"/>
      <c r="U131" s="141"/>
      <c r="V131" s="141"/>
      <c r="W131" s="141"/>
      <c r="X131" s="1002"/>
      <c r="Y131" s="1002"/>
      <c r="Z131" s="1002" t="s">
        <v>873</v>
      </c>
      <c r="AA131" s="1003"/>
      <c r="AB131" s="1329"/>
      <c r="AC131" s="1329"/>
      <c r="AD131" s="1330"/>
      <c r="AF131" s="5155"/>
      <c r="AI131" s="331"/>
      <c r="AJ131" s="331"/>
      <c r="AK131" s="331"/>
      <c r="AL131" s="331"/>
      <c r="AM131" s="1437" t="s">
        <v>1199</v>
      </c>
      <c r="AN131" s="1438" t="s">
        <v>1200</v>
      </c>
      <c r="AO131" s="1362"/>
      <c r="AP131" s="1439" t="s">
        <v>1201</v>
      </c>
      <c r="AQ131" s="1440" t="s">
        <v>1202</v>
      </c>
      <c r="AR131" s="988"/>
      <c r="AS131" s="1325"/>
      <c r="AU131" s="5155"/>
      <c r="AX131" s="141"/>
      <c r="AY131" s="141"/>
      <c r="AZ131" s="141"/>
      <c r="BA131" s="141"/>
      <c r="BB131" s="1358" t="s">
        <v>1118</v>
      </c>
      <c r="BC131" s="1363" t="s">
        <v>1140</v>
      </c>
      <c r="BD131" s="147"/>
      <c r="BE131" s="988"/>
      <c r="BF131" s="988"/>
      <c r="BG131" s="988"/>
      <c r="BH131" s="1325"/>
      <c r="BJ131" s="111" t="s">
        <v>20</v>
      </c>
      <c r="BK131" s="110"/>
      <c r="BL131" s="113"/>
      <c r="BM131" s="112"/>
      <c r="BN131" s="1"/>
      <c r="BO131" s="1160"/>
      <c r="BP131" s="141"/>
      <c r="BQ131" s="141"/>
      <c r="BR131" s="141"/>
      <c r="BS131" s="141"/>
      <c r="BT131" s="141"/>
      <c r="BU131" s="609"/>
      <c r="BW131" s="5">
        <v>1</v>
      </c>
    </row>
    <row r="132" spans="2:75" ht="15" customHeight="1" thickBot="1">
      <c r="B132" s="5155"/>
      <c r="Q132" s="5155"/>
      <c r="T132" s="141"/>
      <c r="U132" s="141"/>
      <c r="V132" s="141"/>
      <c r="W132" s="141"/>
      <c r="X132" s="1332" t="s">
        <v>86</v>
      </c>
      <c r="Y132" s="1006"/>
      <c r="Z132" s="1007"/>
      <c r="AA132" s="1008"/>
      <c r="AB132" s="1007"/>
      <c r="AC132" s="1007"/>
      <c r="AD132" s="1333"/>
      <c r="AF132" s="5155"/>
      <c r="AI132" s="331"/>
      <c r="AJ132" s="331"/>
      <c r="AK132" s="331"/>
      <c r="AL132" s="331"/>
      <c r="AM132" s="1444"/>
      <c r="AN132" s="1445"/>
      <c r="AO132" s="988"/>
      <c r="AP132" s="1446"/>
      <c r="AQ132" s="1447"/>
      <c r="AR132" s="1257" t="s">
        <v>1159</v>
      </c>
      <c r="AS132" s="1325"/>
      <c r="AU132" s="5155"/>
      <c r="AX132" s="141"/>
      <c r="AY132" s="141"/>
      <c r="AZ132" s="141"/>
      <c r="BA132" s="141"/>
      <c r="BB132" s="1369" t="s">
        <v>864</v>
      </c>
      <c r="BC132" s="1321"/>
      <c r="BD132" s="1321"/>
      <c r="BE132" s="1321"/>
      <c r="BF132" s="1321"/>
      <c r="BG132" s="1321"/>
      <c r="BH132" s="1370" t="s">
        <v>1141</v>
      </c>
      <c r="BJ132" s="111" t="s">
        <v>19</v>
      </c>
      <c r="BK132" s="110"/>
      <c r="BL132" s="113"/>
      <c r="BM132" s="112"/>
      <c r="BN132" s="1"/>
      <c r="BO132" s="1160"/>
      <c r="BP132" s="141"/>
      <c r="BQ132" s="141"/>
      <c r="BR132" s="141"/>
      <c r="BS132" s="141"/>
      <c r="BT132" s="141"/>
      <c r="BU132" s="609"/>
      <c r="BW132" s="5">
        <v>1</v>
      </c>
    </row>
    <row r="133" spans="2:75" ht="15" customHeight="1">
      <c r="B133" s="5155"/>
      <c r="Q133" s="5155"/>
      <c r="T133" s="141"/>
      <c r="U133" s="141"/>
      <c r="V133" s="141"/>
      <c r="W133" s="141"/>
      <c r="X133" s="141"/>
      <c r="Y133" s="141"/>
      <c r="Z133" s="141"/>
      <c r="AA133" s="141"/>
      <c r="AB133" s="141"/>
      <c r="AC133" s="141"/>
      <c r="AD133" s="141"/>
      <c r="AF133" s="5155"/>
      <c r="AI133" s="331"/>
      <c r="AJ133" s="331"/>
      <c r="AK133" s="331"/>
      <c r="AL133" s="331"/>
      <c r="AM133" s="1444">
        <v>3</v>
      </c>
      <c r="AN133" s="1445"/>
      <c r="AO133" s="988"/>
      <c r="AP133" s="1446"/>
      <c r="AQ133" s="1447"/>
      <c r="AR133" s="1257" t="s">
        <v>1163</v>
      </c>
      <c r="AS133" s="1325"/>
      <c r="AU133" s="5155"/>
      <c r="AX133" s="141"/>
      <c r="AY133" s="141"/>
      <c r="AZ133" s="141"/>
      <c r="BA133" s="141"/>
      <c r="BB133" s="1371"/>
      <c r="BC133" s="1371"/>
      <c r="BD133" s="1371"/>
      <c r="BE133" s="1371"/>
      <c r="BF133" s="1371"/>
      <c r="BG133" s="1371"/>
      <c r="BH133" s="1371"/>
      <c r="BJ133" s="111" t="s">
        <v>18</v>
      </c>
      <c r="BK133" s="110"/>
      <c r="BL133" s="102"/>
      <c r="BM133" s="96"/>
      <c r="BN133" s="1"/>
      <c r="BO133" s="1079"/>
      <c r="BP133" s="1080"/>
      <c r="BQ133" s="1081"/>
      <c r="BR133" s="1080"/>
      <c r="BS133" s="1080"/>
      <c r="BT133" s="1080"/>
      <c r="BU133" s="1082"/>
      <c r="BW133" s="5">
        <v>1</v>
      </c>
    </row>
    <row r="134" spans="2:75" ht="19.5" customHeight="1">
      <c r="B134" s="5155"/>
      <c r="Q134" s="5155"/>
      <c r="T134" s="141"/>
      <c r="U134" s="141"/>
      <c r="V134" s="141"/>
      <c r="W134" s="141"/>
      <c r="X134" s="141"/>
      <c r="Y134" s="141"/>
      <c r="Z134" s="141"/>
      <c r="AA134" s="141"/>
      <c r="AB134" s="141"/>
      <c r="AC134" s="141"/>
      <c r="AD134" s="141"/>
      <c r="AF134" s="5155"/>
      <c r="AI134" s="331"/>
      <c r="AJ134" s="331"/>
      <c r="AK134" s="331"/>
      <c r="AL134" s="331"/>
      <c r="AM134" s="1444"/>
      <c r="AN134" s="1445"/>
      <c r="AO134" s="988"/>
      <c r="AP134" s="1446"/>
      <c r="AQ134" s="1447"/>
      <c r="AR134" s="1257" t="s">
        <v>1165</v>
      </c>
      <c r="AS134" s="1325"/>
      <c r="AU134" s="5155"/>
      <c r="AX134" s="141"/>
      <c r="AY134" s="141"/>
      <c r="AZ134" s="141"/>
      <c r="BA134" s="141"/>
      <c r="BB134" s="1371"/>
      <c r="BC134" s="1371"/>
      <c r="BD134" s="1371"/>
      <c r="BE134" s="1371"/>
      <c r="BF134" s="1371"/>
      <c r="BG134" s="1371"/>
      <c r="BH134" s="1371"/>
      <c r="BJ134" s="103"/>
      <c r="BK134" s="102"/>
      <c r="BL134" s="102"/>
      <c r="BM134" s="101"/>
      <c r="BN134" s="1"/>
      <c r="BO134" s="1160"/>
      <c r="BP134" s="1187"/>
      <c r="BQ134" s="1187"/>
      <c r="BR134" s="1185"/>
      <c r="BS134" s="1185"/>
      <c r="BT134" s="147"/>
      <c r="BU134" s="609"/>
      <c r="BW134" s="5">
        <v>1</v>
      </c>
    </row>
    <row r="135" spans="2:75" ht="19.5" customHeight="1">
      <c r="B135" s="5155"/>
      <c r="Q135" s="5155"/>
      <c r="R135" s="5153"/>
      <c r="S135" s="5153"/>
      <c r="T135" s="5154" t="s">
        <v>7846</v>
      </c>
      <c r="U135" s="141"/>
      <c r="V135" s="141"/>
      <c r="W135" s="141"/>
      <c r="X135" s="1354" t="s">
        <v>252</v>
      </c>
      <c r="Y135" s="1398"/>
      <c r="Z135" s="1398"/>
      <c r="AA135" s="1398"/>
      <c r="AB135" s="1398"/>
      <c r="AC135" s="1398"/>
      <c r="AD135" s="1357" t="s">
        <v>1158</v>
      </c>
      <c r="AF135" s="5155"/>
      <c r="AI135" s="331"/>
      <c r="AJ135" s="331"/>
      <c r="AK135" s="331"/>
      <c r="AL135" s="331"/>
      <c r="AM135" s="1444">
        <v>2</v>
      </c>
      <c r="AN135" s="1445"/>
      <c r="AO135" s="988"/>
      <c r="AP135" s="1446"/>
      <c r="AQ135" s="1447"/>
      <c r="AR135" s="1257" t="s">
        <v>1167</v>
      </c>
      <c r="AS135" s="1325"/>
      <c r="AU135" s="5155"/>
      <c r="AV135" s="5153"/>
      <c r="AW135" s="5154" t="s">
        <v>7848</v>
      </c>
      <c r="AX135" s="141"/>
      <c r="AY135" s="141"/>
      <c r="AZ135" s="141"/>
      <c r="BA135" s="141"/>
      <c r="BB135" s="1354" t="s">
        <v>252</v>
      </c>
      <c r="BC135" s="1355"/>
      <c r="BD135" s="1355"/>
      <c r="BE135" s="1355"/>
      <c r="BF135" s="1355"/>
      <c r="BG135" s="1356"/>
      <c r="BH135" s="1357" t="s">
        <v>1144</v>
      </c>
      <c r="BJ135" s="99" t="s">
        <v>17</v>
      </c>
      <c r="BK135" s="109"/>
      <c r="BL135" s="109"/>
      <c r="BM135" s="108"/>
      <c r="BN135" s="1"/>
      <c r="BO135" s="7371" t="s">
        <v>197</v>
      </c>
      <c r="BP135" s="1189" t="s">
        <v>997</v>
      </c>
      <c r="BQ135" s="109"/>
      <c r="BR135" s="109"/>
      <c r="BS135" s="1122"/>
      <c r="BT135" s="141"/>
      <c r="BU135" s="609"/>
      <c r="BW135" s="5">
        <v>1</v>
      </c>
    </row>
    <row r="136" spans="2:75" ht="15" customHeight="1">
      <c r="B136" s="5155"/>
      <c r="Q136" s="5155"/>
      <c r="T136" s="5152" t="s">
        <v>7842</v>
      </c>
      <c r="U136" s="141"/>
      <c r="V136" s="141"/>
      <c r="W136" s="141"/>
      <c r="X136" s="1400"/>
      <c r="Y136" s="1401" t="s">
        <v>1159</v>
      </c>
      <c r="Z136" s="1362"/>
      <c r="AA136" s="1362"/>
      <c r="AB136" s="1362"/>
      <c r="AC136" s="1402" t="s">
        <v>1160</v>
      </c>
      <c r="AD136" s="1403"/>
      <c r="AF136" s="5155"/>
      <c r="AI136" s="331"/>
      <c r="AJ136" s="331"/>
      <c r="AK136" s="331"/>
      <c r="AL136" s="331"/>
      <c r="AM136" s="1450"/>
      <c r="AN136" s="1451"/>
      <c r="AO136" s="988"/>
      <c r="AP136" s="1452"/>
      <c r="AQ136" s="1453"/>
      <c r="AR136" s="1257" t="s">
        <v>1170</v>
      </c>
      <c r="AS136" s="1325"/>
      <c r="AU136" s="5155"/>
      <c r="AW136" s="5152" t="s">
        <v>7842</v>
      </c>
      <c r="AX136" s="141"/>
      <c r="AY136" s="141"/>
      <c r="AZ136" s="141"/>
      <c r="BA136" s="141"/>
      <c r="BB136" s="1374" t="s">
        <v>1145</v>
      </c>
      <c r="BC136" s="147"/>
      <c r="BD136" s="1375"/>
      <c r="BE136" s="102"/>
      <c r="BF136" s="102"/>
      <c r="BG136" s="102"/>
      <c r="BH136" s="1360"/>
      <c r="BJ136" s="99" t="s">
        <v>16</v>
      </c>
      <c r="BK136" s="109"/>
      <c r="BL136" s="109"/>
      <c r="BM136" s="108"/>
      <c r="BN136" s="1"/>
      <c r="BO136" s="7371"/>
      <c r="BP136" s="7685" t="s">
        <v>998</v>
      </c>
      <c r="BQ136" s="7685"/>
      <c r="BR136" s="7685"/>
      <c r="BS136" s="7685"/>
      <c r="BT136" s="7685"/>
      <c r="BU136" s="7686"/>
      <c r="BW136" s="5">
        <v>1</v>
      </c>
    </row>
    <row r="137" spans="2:75" ht="15.75" customHeight="1">
      <c r="B137" s="5155"/>
      <c r="Q137" s="5155"/>
      <c r="T137" s="141"/>
      <c r="U137" s="141"/>
      <c r="V137" s="141"/>
      <c r="W137" s="141"/>
      <c r="X137" s="1400">
        <v>3</v>
      </c>
      <c r="Y137" s="1404" t="s">
        <v>1163</v>
      </c>
      <c r="Z137" s="988"/>
      <c r="AA137" s="988"/>
      <c r="AB137" s="988"/>
      <c r="AC137" s="1358" t="s">
        <v>1118</v>
      </c>
      <c r="AD137" s="1405" t="s">
        <v>1162</v>
      </c>
      <c r="AF137" s="5155"/>
      <c r="AI137" s="331"/>
      <c r="AJ137" s="331"/>
      <c r="AK137" s="331"/>
      <c r="AL137" s="331"/>
      <c r="AM137" s="1455" t="str">
        <f>SUM(AM132:AM136) &amp; " / " &amp; (COUNTA(AM132:AM136) * 3)</f>
        <v>5 / 6</v>
      </c>
      <c r="AN137" s="1456" t="str">
        <f>SUM(AN132:AN136) &amp; " / " &amp; (COUNTA(AN132:AN136) * 3)</f>
        <v>0 / 0</v>
      </c>
      <c r="AO137" s="988"/>
      <c r="AP137" s="1455" t="str">
        <f>SUM(AP132:AP136) &amp; " / " &amp; (COUNTA(AP132:AP136) * 3)</f>
        <v>0 / 0</v>
      </c>
      <c r="AQ137" s="1456" t="str">
        <f>SUM(AQ132:AQ136) &amp; " / " &amp; (COUNTA(AQ132:AQ136) * 3)</f>
        <v>0 / 0</v>
      </c>
      <c r="AR137" s="988" t="s">
        <v>1177</v>
      </c>
      <c r="AS137" s="1325"/>
      <c r="AU137" s="5155"/>
      <c r="AX137" s="141"/>
      <c r="AY137" s="141"/>
      <c r="AZ137" s="141"/>
      <c r="BA137" s="141"/>
      <c r="BB137" s="7683" t="s">
        <v>1146</v>
      </c>
      <c r="BC137" s="7085"/>
      <c r="BD137" s="7085"/>
      <c r="BE137" s="7085"/>
      <c r="BF137" s="7085"/>
      <c r="BG137" s="7085"/>
      <c r="BH137" s="7086"/>
      <c r="BJ137" s="154"/>
      <c r="BM137" s="1188"/>
      <c r="BN137" s="1"/>
      <c r="BO137" s="7371"/>
      <c r="BP137" s="7685"/>
      <c r="BQ137" s="7685"/>
      <c r="BR137" s="7685"/>
      <c r="BS137" s="7685"/>
      <c r="BT137" s="7685"/>
      <c r="BU137" s="7686"/>
      <c r="BW137" s="5">
        <v>1</v>
      </c>
    </row>
    <row r="138" spans="2:75" ht="16.5" customHeight="1" thickBot="1">
      <c r="B138" s="5155"/>
      <c r="Q138" s="5155"/>
      <c r="T138" s="141"/>
      <c r="U138" s="141"/>
      <c r="V138" s="141"/>
      <c r="W138" s="141"/>
      <c r="X138" s="1400"/>
      <c r="Y138" s="1404" t="s">
        <v>1165</v>
      </c>
      <c r="Z138" s="988"/>
      <c r="AA138" s="988"/>
      <c r="AB138" s="988"/>
      <c r="AC138" s="1406"/>
      <c r="AD138" s="1405" t="s">
        <v>1164</v>
      </c>
      <c r="AF138" s="5155"/>
      <c r="AI138" s="331"/>
      <c r="AJ138" s="331"/>
      <c r="AK138" s="331"/>
      <c r="AL138" s="331"/>
      <c r="AM138" s="1458" t="str">
        <f>SUM(AM132:AM136) &amp;"/ "&amp;AM139</f>
        <v>5/ 15</v>
      </c>
      <c r="AN138" s="1459" t="str">
        <f>SUM(AN132:AN136) &amp;"/ "&amp;AN139</f>
        <v>0/ 15</v>
      </c>
      <c r="AO138" s="988"/>
      <c r="AP138" s="1458" t="str">
        <f>SUM(AP132:AP136) &amp;"/ "&amp;AP139</f>
        <v>0/ 15</v>
      </c>
      <c r="AQ138" s="1459" t="str">
        <f>SUM(AQ132:AQ136) &amp;"/ "&amp;AQ139</f>
        <v>0/ 15</v>
      </c>
      <c r="AR138" s="1414" t="s">
        <v>1178</v>
      </c>
      <c r="AS138" s="1325"/>
      <c r="AU138" s="5155"/>
      <c r="AX138" s="141"/>
      <c r="AY138" s="141"/>
      <c r="AZ138" s="141"/>
      <c r="BA138" s="141"/>
      <c r="BB138" s="7683"/>
      <c r="BC138" s="7085"/>
      <c r="BD138" s="7085"/>
      <c r="BE138" s="7085"/>
      <c r="BF138" s="7085"/>
      <c r="BG138" s="7085"/>
      <c r="BH138" s="7086"/>
      <c r="BJ138" s="95">
        <v>19</v>
      </c>
      <c r="BK138" s="94">
        <v>18</v>
      </c>
      <c r="BL138" s="94">
        <v>25</v>
      </c>
      <c r="BM138" s="93">
        <v>16</v>
      </c>
      <c r="BN138" s="1"/>
      <c r="BO138" s="7371"/>
      <c r="BP138" s="7685"/>
      <c r="BQ138" s="7685"/>
      <c r="BR138" s="7685"/>
      <c r="BS138" s="7685"/>
      <c r="BT138" s="7685"/>
      <c r="BU138" s="7686"/>
      <c r="BW138" s="5">
        <v>1</v>
      </c>
    </row>
    <row r="139" spans="2:75" ht="15.75" customHeight="1">
      <c r="B139" s="5155"/>
      <c r="Q139" s="5155"/>
      <c r="R139" s="1353"/>
      <c r="S139" s="1353"/>
      <c r="T139" s="141"/>
      <c r="U139" s="141"/>
      <c r="V139" s="141"/>
      <c r="W139" s="141"/>
      <c r="X139" s="1400">
        <v>1</v>
      </c>
      <c r="Y139" s="1404" t="s">
        <v>1167</v>
      </c>
      <c r="Z139" s="988"/>
      <c r="AA139" s="988"/>
      <c r="AB139" s="988"/>
      <c r="AC139" s="1407"/>
      <c r="AD139" s="1408" t="s">
        <v>1166</v>
      </c>
      <c r="AF139" s="5155"/>
      <c r="AI139" s="331"/>
      <c r="AJ139" s="331"/>
      <c r="AK139" s="331"/>
      <c r="AL139" s="331"/>
      <c r="AM139" s="1461">
        <v>15</v>
      </c>
      <c r="AN139" s="1462">
        <v>15</v>
      </c>
      <c r="AO139" s="988"/>
      <c r="AP139" s="1461">
        <v>15</v>
      </c>
      <c r="AQ139" s="1462">
        <v>15</v>
      </c>
      <c r="AR139" s="1417" t="s">
        <v>1180</v>
      </c>
      <c r="AS139" s="1325"/>
      <c r="AU139" s="5155"/>
      <c r="AX139" s="141"/>
      <c r="AY139" s="141"/>
      <c r="AZ139" s="141"/>
      <c r="BA139" s="141"/>
      <c r="BB139" s="7683"/>
      <c r="BC139" s="7085"/>
      <c r="BD139" s="7085"/>
      <c r="BE139" s="7085"/>
      <c r="BF139" s="7085"/>
      <c r="BG139" s="7085"/>
      <c r="BH139" s="7086"/>
      <c r="BJ139" s="91">
        <f ca="1">CELL("largeur",BJ139)</f>
        <v>19</v>
      </c>
      <c r="BK139" s="91">
        <f ca="1">CELL("largeur",BK139)</f>
        <v>18</v>
      </c>
      <c r="BL139" s="91">
        <f ca="1">CELL("largeur",BL139)</f>
        <v>25</v>
      </c>
      <c r="BM139" s="91">
        <f ca="1">CELL("largeur",BM139)</f>
        <v>16</v>
      </c>
      <c r="BN139" s="1"/>
      <c r="BO139" s="7371"/>
      <c r="BP139" s="109" t="s">
        <v>999</v>
      </c>
      <c r="BQ139" s="109"/>
      <c r="BR139" s="109"/>
      <c r="BS139" s="109"/>
      <c r="BT139" s="141"/>
      <c r="BU139" s="609"/>
      <c r="BW139" s="5">
        <v>1</v>
      </c>
    </row>
    <row r="140" spans="2:75" ht="18.75" customHeight="1">
      <c r="B140" s="5155"/>
      <c r="Q140" s="5155"/>
      <c r="R140" s="1"/>
      <c r="S140" s="1"/>
      <c r="T140" s="141"/>
      <c r="U140" s="141"/>
      <c r="V140" s="141"/>
      <c r="W140" s="141"/>
      <c r="X140" s="1400"/>
      <c r="Y140" s="1404" t="s">
        <v>1168</v>
      </c>
      <c r="Z140" s="988"/>
      <c r="AA140" s="988"/>
      <c r="AB140" s="988"/>
      <c r="AC140" s="1406"/>
      <c r="AD140" s="1405" t="s">
        <v>1162</v>
      </c>
      <c r="AF140" s="5155"/>
      <c r="AI140" s="331"/>
      <c r="AJ140" s="331"/>
      <c r="AK140" s="331"/>
      <c r="AL140" s="331"/>
      <c r="AM140" s="1463" t="s">
        <v>1203</v>
      </c>
      <c r="AP140" s="1464"/>
      <c r="AQ140" s="1464"/>
      <c r="AR140" s="1464"/>
      <c r="AS140" s="1465"/>
      <c r="AU140" s="5155"/>
      <c r="AX140" s="141"/>
      <c r="AY140" s="141"/>
      <c r="AZ140" s="141"/>
      <c r="BA140" s="141"/>
      <c r="BB140" s="1376" t="s">
        <v>1147</v>
      </c>
      <c r="BC140" s="988"/>
      <c r="BD140" s="988"/>
      <c r="BE140" s="988"/>
      <c r="BF140" s="988"/>
      <c r="BG140" s="988"/>
      <c r="BH140" s="1325"/>
      <c r="BN140" s="1"/>
      <c r="BO140" s="7371"/>
      <c r="BP140" s="109" t="s">
        <v>1000</v>
      </c>
      <c r="BQ140" s="1190"/>
      <c r="BR140" s="1190"/>
      <c r="BS140" s="1190"/>
      <c r="BT140" s="141"/>
      <c r="BU140" s="609"/>
      <c r="BW140" s="5">
        <v>1</v>
      </c>
    </row>
    <row r="141" spans="2:75" ht="15.75" customHeight="1" thickBot="1">
      <c r="B141" s="5155"/>
      <c r="Q141" s="5155"/>
      <c r="R141" s="1"/>
      <c r="S141" s="1"/>
      <c r="T141" s="141"/>
      <c r="U141" s="141"/>
      <c r="V141" s="141"/>
      <c r="W141" s="141"/>
      <c r="X141" s="1400"/>
      <c r="Y141" s="1404" t="s">
        <v>1170</v>
      </c>
      <c r="Z141" s="988"/>
      <c r="AA141" s="988"/>
      <c r="AB141" s="988"/>
      <c r="AC141" s="1406"/>
      <c r="AD141" s="1405" t="s">
        <v>1169</v>
      </c>
      <c r="AF141" s="5155"/>
      <c r="AI141" s="331"/>
      <c r="AJ141" s="331"/>
      <c r="AK141" s="331"/>
      <c r="AL141" s="331"/>
      <c r="AM141" s="1466" t="s">
        <v>1204</v>
      </c>
      <c r="AP141" s="1464"/>
      <c r="AQ141" s="1464"/>
      <c r="AR141" s="1464"/>
      <c r="AS141" s="1465"/>
      <c r="AU141" s="5155"/>
      <c r="AX141" s="141"/>
      <c r="AY141" s="141"/>
      <c r="AZ141" s="141"/>
      <c r="BA141" s="141"/>
      <c r="BB141" s="1319" t="s">
        <v>1148</v>
      </c>
      <c r="BC141" s="1320"/>
      <c r="BD141" s="1320"/>
      <c r="BE141" s="1320"/>
      <c r="BF141" s="1320"/>
      <c r="BG141" s="1320"/>
      <c r="BH141" s="1377"/>
      <c r="BJ141" s="3"/>
      <c r="BK141" s="3"/>
      <c r="BL141" s="3"/>
      <c r="BM141" s="3"/>
      <c r="BN141" s="1"/>
      <c r="BO141" s="1160"/>
      <c r="BP141" s="1187"/>
      <c r="BQ141" s="1187"/>
      <c r="BR141" s="1185"/>
      <c r="BS141" s="1185"/>
      <c r="BT141" s="147"/>
      <c r="BU141" s="609"/>
      <c r="BW141" s="5">
        <v>1</v>
      </c>
    </row>
    <row r="142" spans="2:75" ht="18.75" customHeight="1" thickTop="1" thickBot="1">
      <c r="B142" s="5155"/>
      <c r="Q142" s="5155"/>
      <c r="R142" s="5151" t="s">
        <v>218</v>
      </c>
      <c r="S142" s="1"/>
      <c r="T142" s="141"/>
      <c r="U142" s="141"/>
      <c r="V142" s="141"/>
      <c r="W142" s="141"/>
      <c r="X142" s="1400"/>
      <c r="Y142" s="1404" t="s">
        <v>1172</v>
      </c>
      <c r="Z142" s="988"/>
      <c r="AA142" s="988"/>
      <c r="AB142" s="988"/>
      <c r="AC142" s="5423" t="s">
        <v>1171</v>
      </c>
      <c r="AD142" s="1405" t="s">
        <v>1164</v>
      </c>
      <c r="AF142" s="5155"/>
      <c r="AI142" s="331"/>
      <c r="AJ142" s="331"/>
      <c r="AK142" s="331"/>
      <c r="AL142" s="331"/>
      <c r="AM142" s="1466" t="s">
        <v>1205</v>
      </c>
      <c r="AP142" s="1464"/>
      <c r="AQ142" s="1464"/>
      <c r="AR142" s="1464"/>
      <c r="AS142" s="1465"/>
      <c r="AU142" s="5155"/>
      <c r="AX142" s="141"/>
      <c r="AY142" s="141"/>
      <c r="AZ142" s="141"/>
      <c r="BA142" s="141"/>
      <c r="BB142" s="7684" t="s">
        <v>1149</v>
      </c>
      <c r="BC142" s="7088"/>
      <c r="BD142" s="7088"/>
      <c r="BE142" s="7088"/>
      <c r="BF142" s="7088"/>
      <c r="BG142" s="7088"/>
      <c r="BH142" s="7089"/>
      <c r="BJ142" s="3"/>
      <c r="BK142" s="3"/>
      <c r="BL142" s="3"/>
      <c r="BM142" s="3"/>
      <c r="BN142" s="1"/>
      <c r="BO142" s="1079"/>
      <c r="BP142" s="1080"/>
      <c r="BQ142" s="1081"/>
      <c r="BR142" s="1080"/>
      <c r="BS142" s="1080"/>
      <c r="BT142" s="1080"/>
      <c r="BU142" s="1082"/>
      <c r="BW142" s="5">
        <v>1</v>
      </c>
    </row>
    <row r="143" spans="2:75" ht="16.5" customHeight="1" thickTop="1" thickBot="1">
      <c r="B143" s="5155"/>
      <c r="Q143" s="5155"/>
      <c r="R143" s="1111" t="s">
        <v>935</v>
      </c>
      <c r="S143" s="1"/>
      <c r="T143" s="141"/>
      <c r="U143" s="141"/>
      <c r="V143" s="141"/>
      <c r="W143" s="141"/>
      <c r="X143" s="1410"/>
      <c r="Y143" s="1404" t="s">
        <v>1174</v>
      </c>
      <c r="Z143" s="988"/>
      <c r="AA143" s="988"/>
      <c r="AB143" s="988"/>
      <c r="AC143" s="1407"/>
      <c r="AD143" s="1409" t="s">
        <v>1173</v>
      </c>
      <c r="AF143" s="5155"/>
      <c r="AI143" s="331"/>
      <c r="AJ143" s="331"/>
      <c r="AK143" s="331"/>
      <c r="AL143" s="331"/>
      <c r="AM143" s="1323"/>
      <c r="AN143" s="988"/>
      <c r="AO143" s="988"/>
      <c r="AP143" s="988"/>
      <c r="AQ143" s="988"/>
      <c r="AR143" s="988"/>
      <c r="AS143" s="1325"/>
      <c r="AU143" s="5155"/>
      <c r="AX143" s="141"/>
      <c r="AY143" s="141"/>
      <c r="AZ143" s="141"/>
      <c r="BA143" s="141"/>
      <c r="BB143" s="7684"/>
      <c r="BC143" s="7088"/>
      <c r="BD143" s="7088"/>
      <c r="BE143" s="7088"/>
      <c r="BF143" s="7088"/>
      <c r="BG143" s="7088"/>
      <c r="BH143" s="7089"/>
      <c r="BJ143" s="3"/>
      <c r="BK143" s="3"/>
      <c r="BL143" s="3"/>
      <c r="BM143" s="3"/>
      <c r="BN143" s="1"/>
      <c r="BO143" s="1160"/>
      <c r="BP143" s="1187"/>
      <c r="BQ143" s="1187"/>
      <c r="BR143" s="1185"/>
      <c r="BS143" s="1185"/>
      <c r="BT143" s="147"/>
      <c r="BU143" s="609"/>
      <c r="BW143" s="5">
        <v>1</v>
      </c>
    </row>
    <row r="144" spans="2:75" ht="16.5" thickTop="1">
      <c r="B144" s="5155"/>
      <c r="Q144" s="5155"/>
      <c r="R144" s="1358" t="s">
        <v>1118</v>
      </c>
      <c r="S144" s="5156"/>
      <c r="T144" s="141"/>
      <c r="U144" s="141"/>
      <c r="V144" s="141"/>
      <c r="W144" s="141"/>
      <c r="X144" s="1412" t="str">
        <f>SUM(X136:X143) &amp; " / " &amp; (COUNTA(X136:X143) * 3)</f>
        <v>4 / 6</v>
      </c>
      <c r="Y144" s="988" t="s">
        <v>1177</v>
      </c>
      <c r="Z144" s="988"/>
      <c r="AA144" s="988"/>
      <c r="AB144" s="988"/>
      <c r="AC144" s="1411" t="s">
        <v>1175</v>
      </c>
      <c r="AD144" s="1405" t="s">
        <v>1176</v>
      </c>
      <c r="AF144" s="5155"/>
      <c r="AI144" s="331"/>
      <c r="AJ144" s="331"/>
      <c r="AK144" s="331"/>
      <c r="AL144" s="331"/>
      <c r="AM144" s="1369" t="s">
        <v>864</v>
      </c>
      <c r="AN144" s="1321"/>
      <c r="AO144" s="1321"/>
      <c r="AP144" s="1321"/>
      <c r="AQ144" s="1321"/>
      <c r="AR144" s="1321"/>
      <c r="AS144" s="1370" t="s">
        <v>1141</v>
      </c>
      <c r="AU144" s="5155"/>
      <c r="AX144" s="141"/>
      <c r="AY144" s="141"/>
      <c r="AZ144" s="141"/>
      <c r="BA144" s="141"/>
      <c r="BB144" s="7684"/>
      <c r="BC144" s="7088"/>
      <c r="BD144" s="7088"/>
      <c r="BE144" s="7088"/>
      <c r="BF144" s="7088"/>
      <c r="BG144" s="7088"/>
      <c r="BH144" s="7089"/>
      <c r="BJ144" s="3"/>
      <c r="BK144" s="3"/>
      <c r="BL144" s="3"/>
      <c r="BM144" s="3"/>
      <c r="BN144" s="1"/>
      <c r="BO144" s="7680" t="s">
        <v>1001</v>
      </c>
      <c r="BP144" s="7681" t="s">
        <v>1002</v>
      </c>
      <c r="BQ144" s="232" t="s">
        <v>912</v>
      </c>
      <c r="BR144" s="97"/>
      <c r="BS144" s="97"/>
      <c r="BT144" s="97"/>
      <c r="BU144" s="609"/>
      <c r="BW144" s="5">
        <v>1</v>
      </c>
    </row>
    <row r="145" spans="2:75" ht="18.75">
      <c r="B145" s="5155"/>
      <c r="Q145" s="5155"/>
      <c r="R145" s="1411" t="s">
        <v>1175</v>
      </c>
      <c r="S145" s="5157"/>
      <c r="T145" s="141"/>
      <c r="U145" s="141"/>
      <c r="V145" s="141"/>
      <c r="W145" s="141"/>
      <c r="X145" s="1413" t="str">
        <f>SUM(X136:X143) &amp;"/ "&amp;X146</f>
        <v>4/ 24</v>
      </c>
      <c r="Y145" s="1414" t="s">
        <v>1178</v>
      </c>
      <c r="Z145" s="988"/>
      <c r="AA145" s="988"/>
      <c r="AB145" s="988"/>
      <c r="AC145" s="1406"/>
      <c r="AD145" s="1405" t="s">
        <v>1164</v>
      </c>
      <c r="AF145" s="5155"/>
      <c r="AI145" s="331"/>
      <c r="AJ145" s="331"/>
      <c r="AK145" s="331"/>
      <c r="AL145" s="331"/>
      <c r="AM145" s="1371"/>
      <c r="AN145" s="1371"/>
      <c r="AO145" s="1371"/>
      <c r="AP145" s="1371"/>
      <c r="AQ145" s="1371"/>
      <c r="AR145" s="1371"/>
      <c r="AS145" s="1371"/>
      <c r="AU145" s="5155"/>
      <c r="AX145" s="141"/>
      <c r="AY145" s="141"/>
      <c r="AZ145" s="141"/>
      <c r="BA145" s="141"/>
      <c r="BB145" s="7684"/>
      <c r="BC145" s="7088"/>
      <c r="BD145" s="7088"/>
      <c r="BE145" s="7088"/>
      <c r="BF145" s="7088"/>
      <c r="BG145" s="7088"/>
      <c r="BH145" s="7089"/>
      <c r="BJ145" s="3"/>
      <c r="BK145" s="3"/>
      <c r="BL145" s="3"/>
      <c r="BM145" s="3"/>
      <c r="BN145" s="1"/>
      <c r="BO145" s="7380"/>
      <c r="BP145" s="7682"/>
      <c r="BQ145" s="232" t="s">
        <v>98</v>
      </c>
      <c r="BR145" s="97"/>
      <c r="BS145" s="97"/>
      <c r="BT145" s="97"/>
      <c r="BU145" s="609"/>
      <c r="BW145" s="5">
        <v>1</v>
      </c>
    </row>
    <row r="146" spans="2:75" ht="19.5" customHeight="1" thickBot="1">
      <c r="B146" s="5155"/>
      <c r="Q146" s="5155"/>
      <c r="R146" s="5423" t="s">
        <v>1171</v>
      </c>
      <c r="S146" s="5158"/>
      <c r="T146" s="141"/>
      <c r="U146" s="141"/>
      <c r="V146" s="141"/>
      <c r="W146" s="141"/>
      <c r="X146" s="1416">
        <v>24</v>
      </c>
      <c r="Y146" s="1417" t="s">
        <v>1180</v>
      </c>
      <c r="Z146" s="988"/>
      <c r="AA146" s="988"/>
      <c r="AB146" s="988"/>
      <c r="AC146" s="1415"/>
      <c r="AD146" s="1409" t="s">
        <v>1179</v>
      </c>
      <c r="AF146" s="5155"/>
      <c r="AI146" s="331"/>
      <c r="AJ146" s="331"/>
      <c r="AK146" s="331"/>
      <c r="AL146" s="331"/>
      <c r="AM146" s="1371"/>
      <c r="AN146" s="1371"/>
      <c r="AO146" s="1371"/>
      <c r="AP146" s="1371"/>
      <c r="AQ146" s="1371"/>
      <c r="AR146" s="1371"/>
      <c r="AS146" s="1371"/>
      <c r="AU146" s="5155"/>
      <c r="AX146" s="141"/>
      <c r="AY146" s="141"/>
      <c r="AZ146" s="141"/>
      <c r="BA146" s="141"/>
      <c r="BB146" s="1380"/>
      <c r="BC146" s="1381"/>
      <c r="BD146" s="1381"/>
      <c r="BE146" s="1381"/>
      <c r="BF146" s="1381"/>
      <c r="BG146" s="1382"/>
      <c r="BH146" s="1383"/>
      <c r="BJ146" s="3"/>
      <c r="BK146" s="3"/>
      <c r="BL146" s="3"/>
      <c r="BM146" s="3"/>
      <c r="BN146" s="1"/>
      <c r="BO146" s="7380"/>
      <c r="BP146" s="5450">
        <v>1</v>
      </c>
      <c r="BQ146" s="147"/>
      <c r="BR146" s="97"/>
      <c r="BS146" s="97"/>
      <c r="BT146" s="97"/>
      <c r="BU146" s="609"/>
      <c r="BW146" s="5">
        <v>1</v>
      </c>
    </row>
    <row r="147" spans="2:75" ht="16.5" customHeight="1" thickTop="1">
      <c r="B147" s="5155"/>
      <c r="Q147" s="5155"/>
      <c r="R147" s="5423" t="s">
        <v>7843</v>
      </c>
      <c r="S147" s="5158"/>
      <c r="T147" s="141"/>
      <c r="U147" s="141"/>
      <c r="V147" s="141"/>
      <c r="W147" s="141"/>
      <c r="X147" s="1418" t="s">
        <v>1182</v>
      </c>
      <c r="Y147" s="988"/>
      <c r="Z147" s="988"/>
      <c r="AA147" s="988"/>
      <c r="AB147" s="988"/>
      <c r="AC147" s="1406"/>
      <c r="AD147" s="1405" t="s">
        <v>1181</v>
      </c>
      <c r="AF147" s="5155"/>
      <c r="AG147" s="5153"/>
      <c r="AH147" s="5154" t="s">
        <v>7847</v>
      </c>
      <c r="AI147" s="331"/>
      <c r="AJ147" s="331"/>
      <c r="AK147" s="331"/>
      <c r="AL147" s="331"/>
      <c r="AM147" s="1354" t="s">
        <v>252</v>
      </c>
      <c r="AN147" s="1355"/>
      <c r="AO147" s="1355"/>
      <c r="AP147" s="1355"/>
      <c r="AQ147" s="1355"/>
      <c r="AR147" s="1356"/>
      <c r="AS147" s="1357" t="s">
        <v>1117</v>
      </c>
      <c r="AU147" s="5155"/>
      <c r="AX147" s="141"/>
      <c r="AY147" s="141"/>
      <c r="AZ147" s="141"/>
      <c r="BA147" s="141"/>
      <c r="BB147" s="1369" t="s">
        <v>864</v>
      </c>
      <c r="BC147" s="1321"/>
      <c r="BD147" s="1321"/>
      <c r="BE147" s="1321"/>
      <c r="BF147" s="1321"/>
      <c r="BG147" s="1321"/>
      <c r="BH147" s="1370" t="s">
        <v>1141</v>
      </c>
      <c r="BJ147" s="3"/>
      <c r="BK147" s="3"/>
      <c r="BL147" s="3"/>
      <c r="BM147" s="3"/>
      <c r="BN147" s="1"/>
      <c r="BO147" s="7380"/>
      <c r="BP147" s="5448">
        <v>2</v>
      </c>
      <c r="BQ147" s="141"/>
      <c r="BR147" s="97"/>
      <c r="BS147" s="97"/>
      <c r="BT147" s="97"/>
      <c r="BU147" s="609"/>
      <c r="BW147" s="5">
        <v>1</v>
      </c>
    </row>
    <row r="148" spans="2:75" ht="18" customHeight="1">
      <c r="B148" s="5155"/>
      <c r="Q148" s="5155"/>
      <c r="T148" s="141"/>
      <c r="U148" s="141"/>
      <c r="V148" s="141"/>
      <c r="W148" s="141"/>
      <c r="X148" s="1319" t="s">
        <v>864</v>
      </c>
      <c r="Y148" s="1320"/>
      <c r="Z148" s="1320"/>
      <c r="AA148" s="988"/>
      <c r="AB148" s="988"/>
      <c r="AC148" s="1406"/>
      <c r="AD148" s="1419" t="s">
        <v>1183</v>
      </c>
      <c r="AF148" s="5155"/>
      <c r="AH148" s="5152" t="s">
        <v>7842</v>
      </c>
      <c r="AI148" s="331"/>
      <c r="AJ148" s="331"/>
      <c r="AK148" s="331"/>
      <c r="AL148" s="331"/>
      <c r="AM148" s="1424" t="s">
        <v>1185</v>
      </c>
      <c r="AN148" s="1425" t="s">
        <v>1186</v>
      </c>
      <c r="AO148" s="1426"/>
      <c r="AP148" s="1426" t="s">
        <v>1187</v>
      </c>
      <c r="AQ148" s="1426" t="s">
        <v>1188</v>
      </c>
      <c r="AR148" s="1426" t="s">
        <v>1189</v>
      </c>
      <c r="AS148" s="1427" t="s">
        <v>1190</v>
      </c>
      <c r="AU148" s="5155"/>
      <c r="AX148" s="141"/>
      <c r="AY148" s="141"/>
      <c r="AZ148" s="141"/>
      <c r="BA148" s="141"/>
      <c r="BB148" s="1371"/>
      <c r="BC148" s="1371"/>
      <c r="BD148" s="1371"/>
      <c r="BE148" s="1371"/>
      <c r="BF148" s="1371"/>
      <c r="BG148" s="1371"/>
      <c r="BH148" s="1371"/>
      <c r="BJ148" s="3"/>
      <c r="BK148" s="3"/>
      <c r="BL148" s="3"/>
      <c r="BM148" s="3"/>
      <c r="BN148" s="1"/>
      <c r="BO148" s="7380"/>
      <c r="BP148" s="1191" t="s">
        <v>1003</v>
      </c>
      <c r="BQ148" s="230"/>
      <c r="BR148" s="97"/>
      <c r="BS148" s="97"/>
      <c r="BT148" s="97"/>
      <c r="BU148" s="609"/>
      <c r="BW148" s="5">
        <v>1</v>
      </c>
    </row>
    <row r="149" spans="2:75" ht="18.75" customHeight="1">
      <c r="B149" s="5155"/>
      <c r="Q149" s="5155"/>
      <c r="T149" s="141"/>
      <c r="U149" s="141"/>
      <c r="V149" s="141"/>
      <c r="W149" s="141"/>
      <c r="X149" s="1338"/>
      <c r="Y149" s="1460"/>
      <c r="Z149" s="1460"/>
      <c r="AA149" s="1460"/>
      <c r="AB149" s="1460"/>
      <c r="AC149" s="1460"/>
      <c r="AD149" s="1339" t="s">
        <v>1112</v>
      </c>
      <c r="AF149" s="5155"/>
      <c r="AI149" s="331"/>
      <c r="AJ149" s="331"/>
      <c r="AK149" s="331"/>
      <c r="AL149" s="331"/>
      <c r="AM149" s="1478"/>
      <c r="AN149" s="1429">
        <v>2.4305555555555556E-2</v>
      </c>
      <c r="AO149" s="141"/>
      <c r="AP149" s="1389">
        <v>100</v>
      </c>
      <c r="AQ149" s="1430">
        <v>0.6</v>
      </c>
      <c r="AR149" s="1431" t="s">
        <v>1191</v>
      </c>
      <c r="AS149" s="1432" t="s">
        <v>1192</v>
      </c>
      <c r="AU149" s="5155"/>
      <c r="AX149" s="141"/>
      <c r="AY149" s="141"/>
      <c r="AZ149" s="141"/>
      <c r="BA149" s="141"/>
      <c r="BB149" s="1371"/>
      <c r="BC149" s="1371"/>
      <c r="BD149" s="1371"/>
      <c r="BE149" s="1371"/>
      <c r="BF149" s="1371"/>
      <c r="BG149" s="1371"/>
      <c r="BH149" s="1371"/>
      <c r="BJ149" s="3"/>
      <c r="BK149" s="3"/>
      <c r="BL149" s="3"/>
      <c r="BM149" s="3"/>
      <c r="BN149" s="1"/>
      <c r="BO149" s="7380"/>
      <c r="BP149" s="1192" t="s">
        <v>1004</v>
      </c>
      <c r="BQ149" s="226"/>
      <c r="BR149" s="97"/>
      <c r="BS149" s="97"/>
      <c r="BT149" s="97"/>
      <c r="BU149" s="609"/>
      <c r="BW149" s="5">
        <v>1</v>
      </c>
    </row>
    <row r="150" spans="2:75" ht="18.75">
      <c r="B150" s="5155"/>
      <c r="Q150" s="5155"/>
      <c r="T150" s="141"/>
      <c r="U150" s="141"/>
      <c r="V150" s="141"/>
      <c r="W150" s="141"/>
      <c r="X150" s="1002"/>
      <c r="Y150" s="1002"/>
      <c r="Z150" s="1002" t="s">
        <v>873</v>
      </c>
      <c r="AA150" s="1003"/>
      <c r="AB150" s="1329"/>
      <c r="AC150" s="1329"/>
      <c r="AD150" s="1330"/>
      <c r="AF150" s="5155"/>
      <c r="AI150" s="331"/>
      <c r="AJ150" s="331"/>
      <c r="AK150" s="331"/>
      <c r="AL150" s="331"/>
      <c r="AM150" s="1478" t="s">
        <v>1193</v>
      </c>
      <c r="AN150" s="1429">
        <v>1.0416666666666666E-2</v>
      </c>
      <c r="AO150" s="141"/>
      <c r="AP150" s="1389">
        <v>100</v>
      </c>
      <c r="AQ150" s="1430">
        <v>0.6</v>
      </c>
      <c r="AR150" s="1431" t="s">
        <v>1194</v>
      </c>
      <c r="AS150" s="1432" t="s">
        <v>1195</v>
      </c>
      <c r="AU150" s="5155"/>
      <c r="AV150" s="5153"/>
      <c r="AW150" s="5154" t="s">
        <v>7848</v>
      </c>
      <c r="AX150" s="141"/>
      <c r="AY150" s="141"/>
      <c r="AZ150" s="141"/>
      <c r="BA150" s="141"/>
      <c r="BB150" s="1354" t="s">
        <v>252</v>
      </c>
      <c r="BC150" s="1398"/>
      <c r="BD150" s="1398"/>
      <c r="BE150" s="1398"/>
      <c r="BF150" s="1398"/>
      <c r="BG150" s="1398"/>
      <c r="BH150" s="1357" t="s">
        <v>1158</v>
      </c>
      <c r="BJ150" s="3"/>
      <c r="BK150" s="3"/>
      <c r="BL150" s="3"/>
      <c r="BM150" s="3"/>
      <c r="BN150" s="1"/>
      <c r="BO150" s="7380"/>
      <c r="BP150" s="1192" t="s">
        <v>1005</v>
      </c>
      <c r="BQ150" s="226"/>
      <c r="BR150" s="97"/>
      <c r="BS150" s="97"/>
      <c r="BT150" s="97"/>
      <c r="BU150" s="609"/>
      <c r="BW150" s="5">
        <v>1</v>
      </c>
    </row>
    <row r="151" spans="2:75" ht="18.75" customHeight="1" thickBot="1">
      <c r="B151" s="5155"/>
      <c r="Q151" s="5155"/>
      <c r="T151" s="141"/>
      <c r="U151" s="141"/>
      <c r="V151" s="141"/>
      <c r="W151" s="141"/>
      <c r="X151" s="1332" t="s">
        <v>86</v>
      </c>
      <c r="Y151" s="1006"/>
      <c r="Z151" s="1007"/>
      <c r="AA151" s="1008"/>
      <c r="AB151" s="1007"/>
      <c r="AC151" s="1007"/>
      <c r="AD151" s="1333"/>
      <c r="AF151" s="5155"/>
      <c r="AI151" s="331"/>
      <c r="AJ151" s="331"/>
      <c r="AK151" s="331"/>
      <c r="AL151" s="331"/>
      <c r="AM151" s="1478" t="s">
        <v>1197</v>
      </c>
      <c r="AN151" s="1429">
        <v>5.2083333333333301E-2</v>
      </c>
      <c r="AO151" s="141"/>
      <c r="AP151" s="1389">
        <v>100</v>
      </c>
      <c r="AQ151" s="1430">
        <v>0.6</v>
      </c>
      <c r="AR151" s="1431" t="s">
        <v>1191</v>
      </c>
      <c r="AS151" s="1432" t="s">
        <v>1198</v>
      </c>
      <c r="AU151" s="5155"/>
      <c r="AW151" s="5152" t="s">
        <v>7842</v>
      </c>
      <c r="AX151" s="141"/>
      <c r="AY151" s="141"/>
      <c r="AZ151" s="141"/>
      <c r="BA151" s="141"/>
      <c r="BB151" s="1400"/>
      <c r="BC151" s="1401" t="s">
        <v>1159</v>
      </c>
      <c r="BD151" s="1362"/>
      <c r="BE151" s="1362"/>
      <c r="BF151" s="1362"/>
      <c r="BG151" s="1402" t="s">
        <v>1160</v>
      </c>
      <c r="BH151" s="1403"/>
      <c r="BJ151" s="3"/>
      <c r="BK151" s="3"/>
      <c r="BL151" s="3"/>
      <c r="BM151" s="3"/>
      <c r="BN151" s="1"/>
      <c r="BO151" s="7380"/>
      <c r="BP151" t="s">
        <v>1006</v>
      </c>
      <c r="BQ151" s="226"/>
      <c r="BR151" s="97"/>
      <c r="BS151" s="97"/>
      <c r="BT151" s="97"/>
      <c r="BU151" s="609"/>
      <c r="BW151" s="5">
        <v>1</v>
      </c>
    </row>
    <row r="152" spans="2:75" ht="18.75" customHeight="1">
      <c r="B152" s="5155"/>
      <c r="Q152" s="5155"/>
      <c r="T152" s="141"/>
      <c r="U152" s="141"/>
      <c r="V152" s="141"/>
      <c r="W152" s="141"/>
      <c r="X152" s="141"/>
      <c r="Y152" s="141"/>
      <c r="Z152" s="141"/>
      <c r="AA152" s="141"/>
      <c r="AB152" s="141"/>
      <c r="AC152" s="141"/>
      <c r="AD152" s="141"/>
      <c r="AF152" s="5155"/>
      <c r="AI152" s="331"/>
      <c r="AJ152" s="331"/>
      <c r="AK152" s="331"/>
      <c r="AL152" s="331"/>
      <c r="AM152" s="1478" t="s">
        <v>157</v>
      </c>
      <c r="AN152" s="1429">
        <v>9.375E-2</v>
      </c>
      <c r="AO152" s="141"/>
      <c r="AP152" s="1389">
        <v>100</v>
      </c>
      <c r="AQ152" s="1430">
        <v>0.6</v>
      </c>
      <c r="AR152" s="1431" t="s">
        <v>1194</v>
      </c>
      <c r="AS152" s="1432" t="s">
        <v>1218</v>
      </c>
      <c r="AU152" s="5155"/>
      <c r="AX152" s="141"/>
      <c r="AY152" s="141"/>
      <c r="AZ152" s="141"/>
      <c r="BA152" s="141"/>
      <c r="BB152" s="1400"/>
      <c r="BC152" s="1404" t="s">
        <v>1161</v>
      </c>
      <c r="BD152" s="988"/>
      <c r="BE152" s="988"/>
      <c r="BF152" s="988"/>
      <c r="BG152" s="1358" t="s">
        <v>1118</v>
      </c>
      <c r="BH152" s="1405" t="s">
        <v>1162</v>
      </c>
      <c r="BJ152" s="3"/>
      <c r="BK152" s="3"/>
      <c r="BL152" s="3"/>
      <c r="BM152" s="3"/>
      <c r="BN152" s="1"/>
      <c r="BO152" s="7380"/>
      <c r="BP152" s="1193" t="s">
        <v>1007</v>
      </c>
      <c r="BQ152" s="226"/>
      <c r="BR152" s="97"/>
      <c r="BS152" s="97"/>
      <c r="BT152" s="97"/>
      <c r="BU152" s="609"/>
      <c r="BW152" s="5">
        <v>1</v>
      </c>
    </row>
    <row r="153" spans="2:75" ht="17.25" customHeight="1">
      <c r="B153" s="5155"/>
      <c r="Q153" s="5155"/>
      <c r="T153" s="141"/>
      <c r="U153" s="141"/>
      <c r="V153" s="141"/>
      <c r="W153" s="141"/>
      <c r="X153" s="141"/>
      <c r="Y153" s="141"/>
      <c r="Z153" s="141"/>
      <c r="AA153" s="141"/>
      <c r="AB153" s="141"/>
      <c r="AC153" s="141"/>
      <c r="AD153" s="141"/>
      <c r="AF153" s="5155"/>
      <c r="AI153" s="331"/>
      <c r="AJ153" s="331"/>
      <c r="AK153" s="331"/>
      <c r="AL153" s="331"/>
      <c r="AM153" s="1441"/>
      <c r="AN153" s="1442">
        <f>SUM(AN149:AN152)</f>
        <v>0.18055555555555552</v>
      </c>
      <c r="AO153" s="1385"/>
      <c r="AP153" s="1385"/>
      <c r="AQ153" s="1385"/>
      <c r="AR153" s="1385"/>
      <c r="AS153" s="1443"/>
      <c r="AU153" s="5155"/>
      <c r="AW153" s="1353"/>
      <c r="AX153" s="141"/>
      <c r="AY153" s="141"/>
      <c r="AZ153" s="141"/>
      <c r="BA153" s="141"/>
      <c r="BB153" s="1400">
        <v>3</v>
      </c>
      <c r="BC153" s="1404" t="s">
        <v>1163</v>
      </c>
      <c r="BD153" s="988"/>
      <c r="BE153" s="988"/>
      <c r="BF153" s="988"/>
      <c r="BG153" s="1406"/>
      <c r="BH153" s="1405" t="s">
        <v>1164</v>
      </c>
      <c r="BJ153" s="3"/>
      <c r="BK153" s="3"/>
      <c r="BL153" s="3"/>
      <c r="BM153" s="3"/>
      <c r="BN153" s="1"/>
      <c r="BO153" s="7380"/>
      <c r="BP153" s="1192" t="s">
        <v>1008</v>
      </c>
      <c r="BQ153" s="220"/>
      <c r="BR153" s="97"/>
      <c r="BS153" s="97"/>
      <c r="BT153" s="97"/>
      <c r="BU153" s="609"/>
      <c r="BW153" s="5">
        <v>1</v>
      </c>
    </row>
    <row r="154" spans="2:75" ht="15.75">
      <c r="B154" s="5155"/>
      <c r="Q154" s="5155"/>
      <c r="R154" s="5153"/>
      <c r="S154" s="5153"/>
      <c r="T154" s="5154" t="s">
        <v>7846</v>
      </c>
      <c r="U154" s="141"/>
      <c r="V154" s="141"/>
      <c r="W154" s="141"/>
      <c r="X154" s="369" t="s">
        <v>252</v>
      </c>
      <c r="Y154" s="1433"/>
      <c r="Z154" s="1433"/>
      <c r="AA154" s="1433"/>
      <c r="AB154" s="1433"/>
      <c r="AC154" s="1433"/>
      <c r="AD154" s="1434" t="s">
        <v>1158</v>
      </c>
      <c r="AF154" s="5155"/>
      <c r="AI154" s="331"/>
      <c r="AJ154" s="331"/>
      <c r="AK154" s="331"/>
      <c r="AL154" s="331"/>
      <c r="AM154" s="1369" t="s">
        <v>864</v>
      </c>
      <c r="AN154" s="1321"/>
      <c r="AO154" s="1321"/>
      <c r="AP154" s="1321"/>
      <c r="AQ154" s="1321"/>
      <c r="AR154" s="1321"/>
      <c r="AS154" s="1370" t="s">
        <v>1141</v>
      </c>
      <c r="AU154" s="5155"/>
      <c r="AW154" s="1"/>
      <c r="AX154" s="141"/>
      <c r="AY154" s="141"/>
      <c r="AZ154" s="141"/>
      <c r="BA154" s="141"/>
      <c r="BB154" s="1400"/>
      <c r="BC154" s="1404" t="s">
        <v>1165</v>
      </c>
      <c r="BD154" s="988"/>
      <c r="BE154" s="988"/>
      <c r="BF154" s="988"/>
      <c r="BG154" s="1407"/>
      <c r="BH154" s="1408" t="s">
        <v>1166</v>
      </c>
      <c r="BJ154" s="3"/>
      <c r="BK154" s="3"/>
      <c r="BL154" s="3"/>
      <c r="BM154" s="3"/>
      <c r="BN154" s="1"/>
      <c r="BO154" s="1160"/>
      <c r="BP154" s="141"/>
      <c r="BQ154" s="141"/>
      <c r="BR154" s="141"/>
      <c r="BS154" s="141"/>
      <c r="BT154" s="141"/>
      <c r="BU154" s="409"/>
      <c r="BW154" s="5">
        <v>1</v>
      </c>
    </row>
    <row r="155" spans="2:75" ht="19.5" thickBot="1">
      <c r="B155" s="5155"/>
      <c r="Q155" s="5155"/>
      <c r="T155" s="5152" t="s">
        <v>7842</v>
      </c>
      <c r="U155" s="141"/>
      <c r="V155" s="141"/>
      <c r="W155" s="141"/>
      <c r="X155" s="1435"/>
      <c r="Y155" s="1435"/>
      <c r="Z155" s="1435"/>
      <c r="AA155" s="1435"/>
      <c r="AB155" s="1435"/>
      <c r="AC155" s="1435"/>
      <c r="AD155" s="1436" t="s">
        <v>1196</v>
      </c>
      <c r="AF155" s="5155"/>
      <c r="AI155" s="331"/>
      <c r="AJ155" s="331"/>
      <c r="AK155" s="331"/>
      <c r="AL155" s="331"/>
      <c r="AM155" s="1371"/>
      <c r="AN155" s="1371"/>
      <c r="AO155" s="1371"/>
      <c r="AP155" s="1371"/>
      <c r="AQ155" s="1371"/>
      <c r="AR155" s="1371"/>
      <c r="AS155" s="1371"/>
      <c r="AU155" s="5155"/>
      <c r="AW155" s="1"/>
      <c r="AX155" s="141"/>
      <c r="AY155" s="141"/>
      <c r="AZ155" s="141"/>
      <c r="BA155" s="141"/>
      <c r="BB155" s="1400">
        <v>1</v>
      </c>
      <c r="BC155" s="1404" t="s">
        <v>1167</v>
      </c>
      <c r="BD155" s="988"/>
      <c r="BE155" s="988"/>
      <c r="BF155" s="988"/>
      <c r="BG155" s="1406"/>
      <c r="BH155" s="1405" t="s">
        <v>1162</v>
      </c>
      <c r="BJ155" s="3"/>
      <c r="BK155" s="3"/>
      <c r="BL155" s="3"/>
      <c r="BM155" s="3"/>
      <c r="BN155" s="1"/>
      <c r="BO155" s="1160"/>
      <c r="BP155" s="141"/>
      <c r="BQ155" s="141"/>
      <c r="BR155" s="141"/>
      <c r="BS155" s="141"/>
      <c r="BT155" s="141"/>
      <c r="BU155" s="409"/>
      <c r="BW155" s="5">
        <v>1</v>
      </c>
    </row>
    <row r="156" spans="2:75" ht="15" customHeight="1" thickTop="1" thickBot="1">
      <c r="B156" s="5155"/>
      <c r="Q156" s="5155"/>
      <c r="T156" s="141"/>
      <c r="U156" s="141"/>
      <c r="V156" s="141"/>
      <c r="W156" s="141"/>
      <c r="X156" s="1437" t="s">
        <v>1199</v>
      </c>
      <c r="Y156" s="1438" t="s">
        <v>1200</v>
      </c>
      <c r="Z156" s="1362"/>
      <c r="AA156" s="1439" t="s">
        <v>1201</v>
      </c>
      <c r="AB156" s="1440" t="s">
        <v>1202</v>
      </c>
      <c r="AC156" s="988"/>
      <c r="AD156" s="1325"/>
      <c r="AF156" s="5155"/>
      <c r="AI156" s="331"/>
      <c r="AJ156" s="331"/>
      <c r="AK156" s="331"/>
      <c r="AL156" s="331"/>
      <c r="AM156" s="1371"/>
      <c r="AN156" s="1371"/>
      <c r="AO156" s="1371"/>
      <c r="AP156" s="1371"/>
      <c r="AQ156" s="1371"/>
      <c r="AR156" s="1371"/>
      <c r="AS156" s="1371"/>
      <c r="AU156" s="5155"/>
      <c r="AW156" s="5151" t="s">
        <v>218</v>
      </c>
      <c r="AX156" s="141"/>
      <c r="AY156" s="141"/>
      <c r="AZ156" s="141"/>
      <c r="BA156" s="141"/>
      <c r="BB156" s="1400"/>
      <c r="BC156" s="1404" t="s">
        <v>1168</v>
      </c>
      <c r="BD156" s="988"/>
      <c r="BE156" s="988"/>
      <c r="BF156" s="988"/>
      <c r="BG156" s="1406"/>
      <c r="BH156" s="1405" t="s">
        <v>1169</v>
      </c>
      <c r="BJ156" s="3"/>
      <c r="BK156" s="3"/>
      <c r="BL156" s="3"/>
      <c r="BM156" s="3"/>
      <c r="BN156" s="1"/>
      <c r="BO156" s="1160"/>
      <c r="BP156" s="141"/>
      <c r="BQ156" s="141"/>
      <c r="BR156" s="141"/>
      <c r="BS156" s="141"/>
      <c r="BT156" s="141"/>
      <c r="BU156" s="409"/>
      <c r="BW156" s="5">
        <v>1</v>
      </c>
    </row>
    <row r="157" spans="2:75" ht="17.25" customHeight="1" thickTop="1">
      <c r="B157" s="5155"/>
      <c r="Q157" s="5155"/>
      <c r="T157" s="141"/>
      <c r="U157" s="141"/>
      <c r="V157" s="141"/>
      <c r="W157" s="141"/>
      <c r="X157" s="1444"/>
      <c r="Y157" s="1445"/>
      <c r="Z157" s="988"/>
      <c r="AA157" s="1446"/>
      <c r="AB157" s="1447"/>
      <c r="AC157" s="1257" t="s">
        <v>1159</v>
      </c>
      <c r="AD157" s="1325"/>
      <c r="AF157" s="5155"/>
      <c r="AG157" s="5153"/>
      <c r="AH157" s="5154" t="s">
        <v>7847</v>
      </c>
      <c r="AI157" s="331"/>
      <c r="AJ157" s="331"/>
      <c r="AK157" s="331"/>
      <c r="AL157" s="331"/>
      <c r="AM157" s="1354" t="s">
        <v>252</v>
      </c>
      <c r="AN157" s="1355"/>
      <c r="AO157" s="1355"/>
      <c r="AP157" s="1355"/>
      <c r="AQ157" s="1355"/>
      <c r="AR157" s="1356"/>
      <c r="AS157" s="1357" t="s">
        <v>1117</v>
      </c>
      <c r="AU157" s="5155"/>
      <c r="AW157" s="1111" t="s">
        <v>935</v>
      </c>
      <c r="AX157" s="141"/>
      <c r="AY157" s="141"/>
      <c r="AZ157" s="141"/>
      <c r="BA157" s="141"/>
      <c r="BB157" s="1400"/>
      <c r="BC157" s="1404" t="s">
        <v>1170</v>
      </c>
      <c r="BD157" s="988"/>
      <c r="BE157" s="988"/>
      <c r="BF157" s="988"/>
      <c r="BG157" s="5423" t="s">
        <v>1171</v>
      </c>
      <c r="BH157" s="1405" t="s">
        <v>1164</v>
      </c>
      <c r="BJ157" s="3"/>
      <c r="BK157" s="3"/>
      <c r="BL157" s="3"/>
      <c r="BM157" s="3"/>
      <c r="BN157" s="1"/>
      <c r="BO157" s="1160"/>
      <c r="BP157" s="141"/>
      <c r="BQ157" s="141"/>
      <c r="BR157" s="141"/>
      <c r="BS157" s="141"/>
      <c r="BT157" s="141"/>
      <c r="BU157" s="409"/>
      <c r="BW157" s="5">
        <v>1</v>
      </c>
    </row>
    <row r="158" spans="2:75" ht="15.75">
      <c r="B158" s="5155"/>
      <c r="Q158" s="5155"/>
      <c r="T158" s="141"/>
      <c r="U158" s="141"/>
      <c r="V158" s="141"/>
      <c r="W158" s="141"/>
      <c r="X158" s="1444">
        <v>3</v>
      </c>
      <c r="Y158" s="1445"/>
      <c r="Z158" s="988"/>
      <c r="AA158" s="1446"/>
      <c r="AB158" s="1447"/>
      <c r="AC158" s="1257" t="s">
        <v>1163</v>
      </c>
      <c r="AD158" s="1325"/>
      <c r="AF158" s="5155"/>
      <c r="AH158" s="5152" t="s">
        <v>7842</v>
      </c>
      <c r="AI158" s="331"/>
      <c r="AJ158" s="331"/>
      <c r="AK158" s="331"/>
      <c r="AL158" s="331"/>
      <c r="AM158" s="1469" t="s">
        <v>1208</v>
      </c>
      <c r="AN158" s="1249" t="s">
        <v>1186</v>
      </c>
      <c r="AO158" s="1249"/>
      <c r="AP158" s="1470" t="s">
        <v>1209</v>
      </c>
      <c r="AQ158" s="1470" t="s">
        <v>1210</v>
      </c>
      <c r="AR158" s="997"/>
      <c r="AS158" s="1471" t="s">
        <v>1211</v>
      </c>
      <c r="AU158" s="5155"/>
      <c r="AW158" s="1358" t="s">
        <v>1118</v>
      </c>
      <c r="AX158" s="141"/>
      <c r="AY158" s="102"/>
      <c r="AZ158" s="102"/>
      <c r="BA158" s="102"/>
      <c r="BB158" s="1400"/>
      <c r="BC158" s="1404" t="s">
        <v>1172</v>
      </c>
      <c r="BD158" s="988"/>
      <c r="BE158" s="988"/>
      <c r="BF158" s="988"/>
      <c r="BG158" s="1407"/>
      <c r="BH158" s="1409" t="s">
        <v>1173</v>
      </c>
      <c r="BJ158" s="3"/>
      <c r="BK158" s="3"/>
      <c r="BL158" s="3"/>
      <c r="BM158" s="3"/>
      <c r="BN158" s="1"/>
      <c r="BO158" s="1160"/>
      <c r="BP158" s="141"/>
      <c r="BQ158" s="141"/>
      <c r="BR158" s="141"/>
      <c r="BS158" s="141"/>
      <c r="BT158" s="141"/>
      <c r="BU158" s="409"/>
      <c r="BW158" s="5">
        <v>1</v>
      </c>
    </row>
    <row r="159" spans="2:75" ht="15.75" customHeight="1" thickBot="1">
      <c r="B159" s="5155"/>
      <c r="Q159" s="5155"/>
      <c r="T159" s="141"/>
      <c r="U159" s="141"/>
      <c r="V159" s="141"/>
      <c r="W159" s="141"/>
      <c r="X159" s="1444"/>
      <c r="Y159" s="1445"/>
      <c r="Z159" s="988"/>
      <c r="AA159" s="1446"/>
      <c r="AB159" s="1447"/>
      <c r="AC159" s="1257" t="s">
        <v>1165</v>
      </c>
      <c r="AD159" s="1325"/>
      <c r="AF159" s="5155"/>
      <c r="AI159" s="331"/>
      <c r="AJ159" s="331"/>
      <c r="AK159" s="331"/>
      <c r="AL159" s="331"/>
      <c r="AM159" s="1473" t="s">
        <v>1212</v>
      </c>
      <c r="AN159" s="1474">
        <v>4.1666666666666699E-2</v>
      </c>
      <c r="AO159" s="1475"/>
      <c r="AP159" s="1475">
        <v>220</v>
      </c>
      <c r="AQ159" s="1476" t="s">
        <v>1213</v>
      </c>
      <c r="AR159" s="997"/>
      <c r="AS159" s="1477"/>
      <c r="AU159" s="5155"/>
      <c r="AW159" s="1411" t="s">
        <v>1175</v>
      </c>
      <c r="AX159" s="141"/>
      <c r="AY159" s="141"/>
      <c r="AZ159" s="141"/>
      <c r="BA159" s="141"/>
      <c r="BB159" s="1410"/>
      <c r="BC159" s="1404" t="s">
        <v>1174</v>
      </c>
      <c r="BD159" s="988"/>
      <c r="BE159" s="988"/>
      <c r="BF159" s="988"/>
      <c r="BG159" s="1411" t="s">
        <v>1175</v>
      </c>
      <c r="BH159" s="1405" t="s">
        <v>1176</v>
      </c>
      <c r="BJ159" s="3"/>
      <c r="BK159" s="3"/>
      <c r="BL159" s="3"/>
      <c r="BM159" s="3"/>
      <c r="BN159" s="1"/>
      <c r="BO159" s="1160"/>
      <c r="BP159" s="141"/>
      <c r="BQ159" s="141"/>
      <c r="BR159" s="141"/>
      <c r="BS159" s="141"/>
      <c r="BT159" s="141"/>
      <c r="BU159" s="409"/>
      <c r="BW159" s="5">
        <v>1</v>
      </c>
    </row>
    <row r="160" spans="2:75" ht="19.5" thickTop="1">
      <c r="B160" s="5155"/>
      <c r="Q160" s="5155"/>
      <c r="T160" s="141"/>
      <c r="U160" s="141"/>
      <c r="V160" s="141"/>
      <c r="W160" s="141"/>
      <c r="X160" s="1444">
        <v>2</v>
      </c>
      <c r="Y160" s="1445"/>
      <c r="Z160" s="988"/>
      <c r="AA160" s="1446"/>
      <c r="AB160" s="1447"/>
      <c r="AC160" s="1257" t="s">
        <v>1167</v>
      </c>
      <c r="AD160" s="1325"/>
      <c r="AF160" s="5155"/>
      <c r="AI160" s="331"/>
      <c r="AJ160" s="331"/>
      <c r="AK160" s="331"/>
      <c r="AL160" s="331"/>
      <c r="AM160" s="1479" t="s">
        <v>1208</v>
      </c>
      <c r="AN160" s="1480"/>
      <c r="AO160" s="1480"/>
      <c r="AP160" s="1480" t="s">
        <v>1214</v>
      </c>
      <c r="AQ160" s="1481" t="s">
        <v>1215</v>
      </c>
      <c r="AR160" s="1481"/>
      <c r="AS160" s="1477"/>
      <c r="AU160" s="5155"/>
      <c r="AW160" s="5423" t="s">
        <v>1171</v>
      </c>
      <c r="AX160" s="141"/>
      <c r="AY160" s="141"/>
      <c r="AZ160" s="141"/>
      <c r="BA160" s="141"/>
      <c r="BB160" s="1412" t="str">
        <f>SUM(BB151:BB159) &amp; " / " &amp; (COUNTA(BB151:BB159) * 3)</f>
        <v>4 / 6</v>
      </c>
      <c r="BC160" s="988" t="s">
        <v>1177</v>
      </c>
      <c r="BD160" s="988"/>
      <c r="BE160" s="988"/>
      <c r="BF160" s="988"/>
      <c r="BG160" s="1406"/>
      <c r="BH160" s="1405" t="s">
        <v>1164</v>
      </c>
      <c r="BJ160" s="3"/>
      <c r="BK160" s="3"/>
      <c r="BL160" s="3"/>
      <c r="BM160" s="3"/>
      <c r="BN160" s="1"/>
      <c r="BO160" s="1160"/>
      <c r="BP160" s="141"/>
      <c r="BQ160" s="141"/>
      <c r="BR160" s="141"/>
      <c r="BS160" s="141"/>
      <c r="BT160" s="141"/>
      <c r="BU160" s="409"/>
      <c r="BW160" s="5">
        <v>1</v>
      </c>
    </row>
    <row r="161" spans="2:75" ht="18.75">
      <c r="B161" s="5155"/>
      <c r="Q161" s="5155"/>
      <c r="T161" s="141"/>
      <c r="U161" s="141"/>
      <c r="V161" s="141"/>
      <c r="W161" s="141"/>
      <c r="X161" s="1450"/>
      <c r="Y161" s="1451"/>
      <c r="Z161" s="988"/>
      <c r="AA161" s="1452"/>
      <c r="AB161" s="1453"/>
      <c r="AC161" s="1257" t="s">
        <v>1170</v>
      </c>
      <c r="AD161" s="1325"/>
      <c r="AF161" s="5155"/>
      <c r="AI161" s="331"/>
      <c r="AJ161" s="331"/>
      <c r="AK161" s="331"/>
      <c r="AL161" s="331"/>
      <c r="AM161" s="1482" t="s">
        <v>1216</v>
      </c>
      <c r="AN161" s="1483"/>
      <c r="AO161" s="1484"/>
      <c r="AP161" s="1484">
        <v>250</v>
      </c>
      <c r="AQ161" s="1485" t="s">
        <v>1217</v>
      </c>
      <c r="AR161" s="1485"/>
      <c r="AS161" s="1477"/>
      <c r="AU161" s="5155"/>
      <c r="AW161" s="5423" t="s">
        <v>7843</v>
      </c>
      <c r="AX161" s="141"/>
      <c r="AY161" s="141"/>
      <c r="AZ161" s="141"/>
      <c r="BA161" s="141"/>
      <c r="BB161" s="1413" t="str">
        <f>SUM(BB151:BB159) &amp;"/ "&amp;BB162</f>
        <v>4/ 27</v>
      </c>
      <c r="BC161" s="1414" t="s">
        <v>1178</v>
      </c>
      <c r="BD161" s="988"/>
      <c r="BE161" s="988"/>
      <c r="BF161" s="988"/>
      <c r="BG161" s="1415"/>
      <c r="BH161" s="1409" t="s">
        <v>1179</v>
      </c>
      <c r="BJ161" s="3"/>
      <c r="BK161" s="3"/>
      <c r="BL161" s="3"/>
      <c r="BM161" s="3"/>
      <c r="BN161" s="1"/>
      <c r="BO161" s="1160"/>
      <c r="BP161" s="141"/>
      <c r="BQ161" s="141"/>
      <c r="BR161" s="141"/>
      <c r="BS161" s="141"/>
      <c r="BT161" s="141"/>
      <c r="BU161" s="409"/>
      <c r="BW161" s="5">
        <v>1</v>
      </c>
    </row>
    <row r="162" spans="2:75" ht="17.25" customHeight="1" thickBot="1">
      <c r="B162" s="5155"/>
      <c r="Q162" s="5155"/>
      <c r="T162" s="141"/>
      <c r="U162" s="141"/>
      <c r="V162" s="141"/>
      <c r="W162" s="141"/>
      <c r="X162" s="1455" t="str">
        <f>SUM(X157:X161) &amp; " / " &amp; (COUNTA(X157:X161) * 3)</f>
        <v>5 / 6</v>
      </c>
      <c r="Y162" s="1456" t="str">
        <f>SUM(Y157:Y161) &amp; " / " &amp; (COUNTA(Y157:Y161) * 3)</f>
        <v>0 / 0</v>
      </c>
      <c r="Z162" s="988"/>
      <c r="AA162" s="1455" t="str">
        <f>SUM(AA157:AA161) &amp; " / " &amp; (COUNTA(AA157:AA161) * 3)</f>
        <v>0 / 0</v>
      </c>
      <c r="AB162" s="1456" t="str">
        <f>SUM(AB157:AB161) &amp; " / " &amp; (COUNTA(AB157:AB161) * 3)</f>
        <v>0 / 0</v>
      </c>
      <c r="AC162" s="988" t="s">
        <v>1177</v>
      </c>
      <c r="AD162" s="1325"/>
      <c r="AF162" s="5155"/>
      <c r="AI162" s="331"/>
      <c r="AJ162" s="331"/>
      <c r="AK162" s="331"/>
      <c r="AL162" s="331"/>
      <c r="AM162" s="1479" t="s">
        <v>1208</v>
      </c>
      <c r="AN162" s="1480"/>
      <c r="AO162" s="1480"/>
      <c r="AP162" s="1480" t="s">
        <v>1214</v>
      </c>
      <c r="AQ162" s="1481" t="s">
        <v>1215</v>
      </c>
      <c r="AR162" s="1481"/>
      <c r="AS162" s="1477"/>
      <c r="AU162" s="5155"/>
      <c r="AX162" s="141"/>
      <c r="AY162" s="141"/>
      <c r="AZ162" s="141"/>
      <c r="BA162" s="141"/>
      <c r="BB162" s="1416">
        <v>27</v>
      </c>
      <c r="BC162" s="1417" t="s">
        <v>1180</v>
      </c>
      <c r="BD162" s="988"/>
      <c r="BE162" s="988"/>
      <c r="BF162" s="988"/>
      <c r="BG162" s="1406"/>
      <c r="BH162" s="1405" t="s">
        <v>1181</v>
      </c>
      <c r="BJ162" s="3"/>
      <c r="BK162" s="3"/>
      <c r="BL162" s="3"/>
      <c r="BM162" s="3"/>
      <c r="BN162" s="1"/>
      <c r="BO162" s="1160"/>
      <c r="BP162" s="141"/>
      <c r="BQ162" s="141"/>
      <c r="BR162" s="141"/>
      <c r="BS162" s="141"/>
      <c r="BT162" s="141"/>
      <c r="BU162" s="409"/>
      <c r="BW162" s="5">
        <v>1</v>
      </c>
    </row>
    <row r="163" spans="2:75" ht="19.5" thickTop="1">
      <c r="B163" s="5155"/>
      <c r="Q163" s="5155"/>
      <c r="T163" s="141"/>
      <c r="U163" s="141"/>
      <c r="V163" s="141"/>
      <c r="W163" s="141"/>
      <c r="X163" s="1458" t="str">
        <f>SUM(X157:X161) &amp;"/ "&amp;X164</f>
        <v>5/ 15</v>
      </c>
      <c r="Y163" s="1459" t="str">
        <f>SUM(Y157:Y161) &amp;"/ "&amp;Y164</f>
        <v>0/ 15</v>
      </c>
      <c r="Z163" s="988"/>
      <c r="AA163" s="1458" t="str">
        <f>SUM(AA157:AA161) &amp;"/ "&amp;AA164</f>
        <v>0/ 15</v>
      </c>
      <c r="AB163" s="1459" t="str">
        <f>SUM(AB157:AB161) &amp;"/ "&amp;AB164</f>
        <v>0/ 15</v>
      </c>
      <c r="AC163" s="1414" t="s">
        <v>1178</v>
      </c>
      <c r="AD163" s="1325"/>
      <c r="AF163" s="5155"/>
      <c r="AI163" s="331"/>
      <c r="AJ163" s="331"/>
      <c r="AK163" s="331"/>
      <c r="AL163" s="331"/>
      <c r="AM163" s="1482" t="s">
        <v>1216</v>
      </c>
      <c r="AN163" s="1483">
        <v>4.8611111111111112E-3</v>
      </c>
      <c r="AO163" s="1484"/>
      <c r="AP163" s="1484">
        <v>250</v>
      </c>
      <c r="AQ163" s="1485" t="s">
        <v>1219</v>
      </c>
      <c r="AR163" s="1485"/>
      <c r="AS163" s="1477"/>
      <c r="AU163" s="5155"/>
      <c r="AX163" s="141"/>
      <c r="AY163" s="141"/>
      <c r="AZ163" s="141"/>
      <c r="BA163" s="141"/>
      <c r="BB163" s="1418" t="s">
        <v>1182</v>
      </c>
      <c r="BC163" s="988"/>
      <c r="BD163" s="988"/>
      <c r="BE163" s="988"/>
      <c r="BF163" s="988"/>
      <c r="BG163" s="1406"/>
      <c r="BH163" s="1419" t="s">
        <v>1183</v>
      </c>
      <c r="BJ163" s="3"/>
      <c r="BK163" s="3"/>
      <c r="BL163" s="3"/>
      <c r="BM163" s="3"/>
      <c r="BN163" s="1"/>
      <c r="BO163" s="1160"/>
      <c r="BP163" s="141"/>
      <c r="BQ163" s="141"/>
      <c r="BR163" s="141"/>
      <c r="BS163" s="141"/>
      <c r="BT163" s="141"/>
      <c r="BU163" s="409"/>
      <c r="BW163" s="5">
        <v>1</v>
      </c>
    </row>
    <row r="164" spans="2:75" ht="15.75">
      <c r="B164" s="5155"/>
      <c r="Q164" s="5155"/>
      <c r="T164" s="141"/>
      <c r="U164" s="141"/>
      <c r="V164" s="141"/>
      <c r="W164" s="141"/>
      <c r="X164" s="1461">
        <v>15</v>
      </c>
      <c r="Y164" s="1462">
        <v>15</v>
      </c>
      <c r="Z164" s="988"/>
      <c r="AA164" s="1461">
        <v>15</v>
      </c>
      <c r="AB164" s="1462">
        <v>15</v>
      </c>
      <c r="AC164" s="1417" t="s">
        <v>1180</v>
      </c>
      <c r="AD164" s="1325"/>
      <c r="AF164" s="5155"/>
      <c r="AI164" s="331"/>
      <c r="AJ164" s="331"/>
      <c r="AK164" s="331"/>
      <c r="AL164" s="331"/>
      <c r="AM164" s="1479" t="s">
        <v>1208</v>
      </c>
      <c r="AN164" s="1480"/>
      <c r="AO164" s="1480"/>
      <c r="AP164" s="1480" t="s">
        <v>1214</v>
      </c>
      <c r="AQ164" s="1481" t="s">
        <v>1215</v>
      </c>
      <c r="AR164" s="1481"/>
      <c r="AS164" s="1477"/>
      <c r="AU164" s="5155"/>
      <c r="AX164" s="141"/>
      <c r="AY164" s="141"/>
      <c r="AZ164" s="141"/>
      <c r="BA164" s="141"/>
      <c r="BB164" s="1420"/>
      <c r="BC164" s="1421"/>
      <c r="BD164" s="1421"/>
      <c r="BE164" s="1421"/>
      <c r="BF164" s="1421"/>
      <c r="BG164" s="1421"/>
      <c r="BH164" s="1339"/>
      <c r="BJ164" s="3"/>
      <c r="BK164" s="3"/>
      <c r="BL164" s="3"/>
      <c r="BM164" s="3"/>
      <c r="BN164" s="1"/>
      <c r="BO164" s="1160"/>
      <c r="BP164" s="141"/>
      <c r="BQ164" s="141"/>
      <c r="BR164" s="141"/>
      <c r="BS164" s="141"/>
      <c r="BT164" s="141"/>
      <c r="BU164" s="409"/>
      <c r="BW164" s="5">
        <v>1</v>
      </c>
    </row>
    <row r="165" spans="2:75" ht="15.75">
      <c r="B165" s="5155"/>
      <c r="Q165" s="5155"/>
      <c r="T165" s="141"/>
      <c r="U165" s="141"/>
      <c r="V165" s="141"/>
      <c r="W165" s="141"/>
      <c r="X165" s="1463" t="s">
        <v>1203</v>
      </c>
      <c r="AA165" s="1464"/>
      <c r="AB165" s="1464"/>
      <c r="AC165" s="1464"/>
      <c r="AD165" s="1465"/>
      <c r="AF165" s="5155"/>
      <c r="AI165" s="331"/>
      <c r="AJ165" s="331"/>
      <c r="AK165" s="331"/>
      <c r="AL165" s="331"/>
      <c r="AM165" s="1482" t="s">
        <v>1216</v>
      </c>
      <c r="AN165" s="1483">
        <v>0.10416666666666667</v>
      </c>
      <c r="AO165" s="1484"/>
      <c r="AP165" s="1484">
        <v>170</v>
      </c>
      <c r="AQ165" s="1485" t="s">
        <v>1220</v>
      </c>
      <c r="AR165" s="1485"/>
      <c r="AS165" s="1477"/>
      <c r="AU165" s="5155"/>
      <c r="AX165" s="141"/>
      <c r="AY165" s="141"/>
      <c r="AZ165" s="141"/>
      <c r="BA165" s="141"/>
      <c r="BB165" s="1369" t="s">
        <v>864</v>
      </c>
      <c r="BC165" s="1321"/>
      <c r="BD165" s="1321"/>
      <c r="BE165" s="1321"/>
      <c r="BF165" s="1321"/>
      <c r="BG165" s="1321"/>
      <c r="BH165" s="1370" t="s">
        <v>1141</v>
      </c>
      <c r="BJ165" s="3"/>
      <c r="BK165" s="3"/>
      <c r="BL165" s="3"/>
      <c r="BM165" s="3"/>
      <c r="BN165" s="1"/>
      <c r="BO165" s="1160"/>
      <c r="BP165" s="141"/>
      <c r="BQ165" s="141"/>
      <c r="BR165" s="141"/>
      <c r="BS165" s="141"/>
      <c r="BT165" s="141"/>
      <c r="BU165" s="409"/>
      <c r="BW165" s="5">
        <v>1</v>
      </c>
    </row>
    <row r="166" spans="2:75" ht="16.5" customHeight="1">
      <c r="B166" s="5155"/>
      <c r="Q166" s="5155"/>
      <c r="T166" s="141"/>
      <c r="U166" s="141"/>
      <c r="V166" s="141"/>
      <c r="W166" s="141"/>
      <c r="X166" s="1466" t="s">
        <v>1204</v>
      </c>
      <c r="AA166" s="1464"/>
      <c r="AB166" s="1464"/>
      <c r="AC166" s="1464"/>
      <c r="AD166" s="1465"/>
      <c r="AF166" s="5155"/>
      <c r="AI166" s="331"/>
      <c r="AJ166" s="331"/>
      <c r="AK166" s="331"/>
      <c r="AL166" s="331"/>
      <c r="AM166" s="1479" t="s">
        <v>1208</v>
      </c>
      <c r="AN166" s="1480"/>
      <c r="AO166" s="1480"/>
      <c r="AP166" s="1480" t="s">
        <v>1214</v>
      </c>
      <c r="AQ166" s="1481" t="s">
        <v>1221</v>
      </c>
      <c r="AR166" s="1481"/>
      <c r="AS166" s="1477"/>
      <c r="AU166" s="5155"/>
      <c r="AX166" s="141"/>
      <c r="AY166" s="141"/>
      <c r="AZ166" s="141"/>
      <c r="BA166" s="141"/>
      <c r="BB166" s="1371"/>
      <c r="BC166" s="1371"/>
      <c r="BD166" s="1371"/>
      <c r="BE166" s="1371"/>
      <c r="BF166" s="1371"/>
      <c r="BG166" s="1371"/>
      <c r="BH166" s="1371"/>
      <c r="BJ166" s="3"/>
      <c r="BK166" s="3"/>
      <c r="BL166" s="3"/>
      <c r="BM166" s="3"/>
      <c r="BN166" s="1"/>
      <c r="BO166" s="1079"/>
      <c r="BP166" s="1194" t="s">
        <v>1009</v>
      </c>
      <c r="BQ166" s="1081"/>
      <c r="BR166" s="1080"/>
      <c r="BS166" s="1080"/>
      <c r="BT166" s="1080"/>
      <c r="BU166" s="1082"/>
      <c r="BW166" s="5">
        <v>1</v>
      </c>
    </row>
    <row r="167" spans="2:75" ht="15.75">
      <c r="B167" s="5155"/>
      <c r="Q167" s="5155"/>
      <c r="T167" s="141"/>
      <c r="U167" s="141"/>
      <c r="V167" s="141"/>
      <c r="W167" s="141"/>
      <c r="X167" s="1466" t="s">
        <v>1205</v>
      </c>
      <c r="AA167" s="1464"/>
      <c r="AB167" s="1464"/>
      <c r="AC167" s="1464"/>
      <c r="AD167" s="1465"/>
      <c r="AF167" s="5155"/>
      <c r="AI167" s="331"/>
      <c r="AJ167" s="331"/>
      <c r="AK167" s="331"/>
      <c r="AL167" s="331"/>
      <c r="AM167" s="1482" t="s">
        <v>1216</v>
      </c>
      <c r="AN167" s="1483">
        <v>4.8611111111111112E-3</v>
      </c>
      <c r="AO167" s="1484"/>
      <c r="AP167" s="1484">
        <v>100</v>
      </c>
      <c r="AQ167" s="1485"/>
      <c r="AR167" s="1485"/>
      <c r="AS167" s="1477"/>
      <c r="AU167" s="5155"/>
      <c r="AX167" s="141"/>
      <c r="AY167" s="141"/>
      <c r="AZ167" s="141"/>
      <c r="BA167" s="141"/>
      <c r="BB167" s="1371"/>
      <c r="BC167" s="1371"/>
      <c r="BD167" s="1371"/>
      <c r="BE167" s="1371"/>
      <c r="BF167" s="1371"/>
      <c r="BG167" s="1371"/>
      <c r="BH167" s="1371"/>
      <c r="BJ167" s="3"/>
      <c r="BK167" s="3"/>
      <c r="BL167" s="3"/>
      <c r="BM167" s="3"/>
      <c r="BN167" s="1"/>
      <c r="BO167" s="1160"/>
      <c r="BR167" s="141"/>
      <c r="BS167" s="141"/>
      <c r="BT167" s="141"/>
      <c r="BU167" s="409"/>
      <c r="BW167" s="5">
        <v>1</v>
      </c>
    </row>
    <row r="168" spans="2:75" ht="16.5" customHeight="1">
      <c r="B168" s="5155"/>
      <c r="Q168" s="5155"/>
      <c r="T168" s="141"/>
      <c r="U168" s="141"/>
      <c r="V168" s="141"/>
      <c r="W168" s="141"/>
      <c r="X168" s="1369" t="s">
        <v>864</v>
      </c>
      <c r="Y168" s="1321"/>
      <c r="Z168" s="1321"/>
      <c r="AA168" s="1321"/>
      <c r="AB168" s="1321"/>
      <c r="AC168" s="1321"/>
      <c r="AD168" s="1370"/>
      <c r="AF168" s="5155"/>
      <c r="AI168" s="331"/>
      <c r="AJ168" s="331"/>
      <c r="AK168" s="331"/>
      <c r="AL168" s="331"/>
      <c r="AM168" s="1479" t="s">
        <v>1208</v>
      </c>
      <c r="AN168" s="1480"/>
      <c r="AO168" s="1480"/>
      <c r="AP168" s="1480" t="s">
        <v>1214</v>
      </c>
      <c r="AQ168" s="1481" t="s">
        <v>1224</v>
      </c>
      <c r="AR168" s="1481"/>
      <c r="AS168" s="1477"/>
      <c r="AU168" s="5155"/>
      <c r="AV168" s="5153"/>
      <c r="AW168" s="5154" t="s">
        <v>7848</v>
      </c>
      <c r="AX168" s="141"/>
      <c r="AY168" s="141"/>
      <c r="AZ168" s="141"/>
      <c r="BA168" s="141"/>
      <c r="BB168" s="369" t="s">
        <v>252</v>
      </c>
      <c r="BC168" s="1433"/>
      <c r="BD168" s="1433"/>
      <c r="BE168" s="1433"/>
      <c r="BF168" s="1433"/>
      <c r="BG168" s="1433"/>
      <c r="BH168" s="1434" t="s">
        <v>1158</v>
      </c>
      <c r="BJ168" s="3"/>
      <c r="BK168" s="3"/>
      <c r="BL168" s="3"/>
      <c r="BM168" s="3"/>
      <c r="BN168" s="1"/>
      <c r="BO168" s="1160"/>
      <c r="BP168" s="1195">
        <v>149.92240344353021</v>
      </c>
      <c r="BQ168" s="1196">
        <v>8</v>
      </c>
      <c r="BR168" s="141"/>
      <c r="BS168" s="147" t="s">
        <v>1010</v>
      </c>
      <c r="BT168" s="141"/>
      <c r="BU168" s="409"/>
      <c r="BW168" s="5">
        <v>1</v>
      </c>
    </row>
    <row r="169" spans="2:75" ht="15.75" customHeight="1">
      <c r="B169" s="5155"/>
      <c r="Q169" s="5155"/>
      <c r="T169" s="141"/>
      <c r="U169" s="141"/>
      <c r="V169" s="141"/>
      <c r="W169" s="141"/>
      <c r="X169" s="1002"/>
      <c r="Y169" s="1002"/>
      <c r="Z169" s="1002" t="s">
        <v>873</v>
      </c>
      <c r="AA169" s="1003"/>
      <c r="AB169" s="1329"/>
      <c r="AC169" s="1329"/>
      <c r="AD169" s="1330"/>
      <c r="AF169" s="5155"/>
      <c r="AI169" s="331"/>
      <c r="AJ169" s="331"/>
      <c r="AK169" s="331"/>
      <c r="AL169" s="331"/>
      <c r="AM169" s="1482" t="s">
        <v>1216</v>
      </c>
      <c r="AN169" s="1483">
        <v>4.8611111111111112E-3</v>
      </c>
      <c r="AO169" s="1484"/>
      <c r="AP169" s="1484">
        <v>110</v>
      </c>
      <c r="AQ169" s="1485"/>
      <c r="AR169" s="1485"/>
      <c r="AS169" s="1477"/>
      <c r="AU169" s="5155"/>
      <c r="AW169" s="5152" t="s">
        <v>7842</v>
      </c>
      <c r="AX169" s="141"/>
      <c r="AY169" s="141"/>
      <c r="AZ169" s="141"/>
      <c r="BA169" s="141"/>
      <c r="BB169" s="1435"/>
      <c r="BC169" s="1435"/>
      <c r="BD169" s="1435"/>
      <c r="BE169" s="1435"/>
      <c r="BF169" s="1435"/>
      <c r="BG169" s="1435"/>
      <c r="BH169" s="1436" t="s">
        <v>1196</v>
      </c>
      <c r="BJ169" s="3"/>
      <c r="BK169" s="3"/>
      <c r="BL169" s="3"/>
      <c r="BM169" s="3"/>
      <c r="BN169" s="1"/>
      <c r="BO169" s="1160"/>
      <c r="BP169" s="1197">
        <v>1.28</v>
      </c>
      <c r="BQ169" s="1198">
        <v>7</v>
      </c>
      <c r="BR169" s="141"/>
      <c r="BS169" s="147" t="s">
        <v>1011</v>
      </c>
      <c r="BT169" s="141"/>
      <c r="BU169" s="409"/>
      <c r="BW169" s="5">
        <v>1</v>
      </c>
    </row>
    <row r="170" spans="2:75" ht="16.5" thickBot="1">
      <c r="B170" s="5155"/>
      <c r="Q170" s="5155"/>
      <c r="T170" s="141"/>
      <c r="U170" s="141"/>
      <c r="V170" s="141"/>
      <c r="W170" s="141"/>
      <c r="X170" s="1332" t="s">
        <v>86</v>
      </c>
      <c r="Y170" s="1006"/>
      <c r="Z170" s="1007"/>
      <c r="AA170" s="1008"/>
      <c r="AB170" s="1007"/>
      <c r="AC170" s="1007"/>
      <c r="AD170" s="1333"/>
      <c r="AF170" s="5155"/>
      <c r="AI170" s="331"/>
      <c r="AJ170" s="331"/>
      <c r="AK170" s="331"/>
      <c r="AL170" s="331"/>
      <c r="AM170" s="1369" t="s">
        <v>864</v>
      </c>
      <c r="AN170" s="1321"/>
      <c r="AO170" s="1321"/>
      <c r="AP170" s="1321"/>
      <c r="AQ170" s="1321"/>
      <c r="AR170" s="1321"/>
      <c r="AS170" s="1370" t="s">
        <v>1141</v>
      </c>
      <c r="AU170" s="5155"/>
      <c r="AX170" s="141"/>
      <c r="AY170" s="141"/>
      <c r="AZ170" s="141"/>
      <c r="BA170" s="141"/>
      <c r="BB170" s="1437" t="s">
        <v>1199</v>
      </c>
      <c r="BC170" s="1438" t="s">
        <v>1200</v>
      </c>
      <c r="BD170" s="1362"/>
      <c r="BE170" s="1439" t="s">
        <v>1201</v>
      </c>
      <c r="BF170" s="1440" t="s">
        <v>1202</v>
      </c>
      <c r="BG170" s="988"/>
      <c r="BH170" s="1325"/>
      <c r="BJ170" s="3"/>
      <c r="BK170" s="3"/>
      <c r="BL170" s="3"/>
      <c r="BM170" s="3"/>
      <c r="BN170" s="1"/>
      <c r="BO170" s="1160"/>
      <c r="BP170" s="1199">
        <v>3</v>
      </c>
      <c r="BQ170" s="1200">
        <v>0.38194444444444442</v>
      </c>
      <c r="BR170" s="141"/>
      <c r="BS170" s="1201" t="s">
        <v>1012</v>
      </c>
      <c r="BT170" s="1202" t="s">
        <v>1013</v>
      </c>
      <c r="BU170" s="1203" t="s">
        <v>1014</v>
      </c>
      <c r="BW170" s="5">
        <v>1</v>
      </c>
    </row>
    <row r="171" spans="2:75" ht="19.5" customHeight="1">
      <c r="B171" s="5155"/>
      <c r="Q171" s="5155"/>
      <c r="T171" s="141"/>
      <c r="U171" s="141"/>
      <c r="V171" s="141"/>
      <c r="W171" s="141"/>
      <c r="X171" s="141"/>
      <c r="Y171" s="141"/>
      <c r="Z171" s="141"/>
      <c r="AA171" s="141"/>
      <c r="AB171" s="141"/>
      <c r="AC171" s="141"/>
      <c r="AD171" s="141"/>
      <c r="AF171" s="5155"/>
      <c r="AI171" s="331"/>
      <c r="AJ171" s="331"/>
      <c r="AK171" s="331"/>
      <c r="AL171" s="331"/>
      <c r="AM171" s="1371"/>
      <c r="AN171" s="1371"/>
      <c r="AO171" s="1371"/>
      <c r="AP171" s="1371"/>
      <c r="AQ171" s="1371"/>
      <c r="AR171" s="1371"/>
      <c r="AS171" s="1371"/>
      <c r="AU171" s="5155"/>
      <c r="AX171" s="141"/>
      <c r="AY171" s="141"/>
      <c r="AZ171" s="141"/>
      <c r="BA171" s="141"/>
      <c r="BB171" s="1444"/>
      <c r="BC171" s="1445"/>
      <c r="BD171" s="988"/>
      <c r="BE171" s="1446"/>
      <c r="BF171" s="1447"/>
      <c r="BG171" s="1257" t="s">
        <v>1159</v>
      </c>
      <c r="BH171" s="1325"/>
      <c r="BJ171" s="3"/>
      <c r="BK171" s="3"/>
      <c r="BL171" s="3"/>
      <c r="BM171" s="3"/>
      <c r="BN171" s="1"/>
      <c r="BO171" s="103"/>
      <c r="BP171" s="1204">
        <v>2</v>
      </c>
      <c r="BQ171" s="1205">
        <v>6</v>
      </c>
      <c r="BR171" s="141"/>
      <c r="BS171" s="1206" t="s">
        <v>1015</v>
      </c>
      <c r="BT171" s="1207" t="s">
        <v>1016</v>
      </c>
      <c r="BU171" s="1208" t="s">
        <v>1017</v>
      </c>
      <c r="BW171" s="5">
        <v>1</v>
      </c>
    </row>
    <row r="172" spans="2:75" ht="16.5" customHeight="1">
      <c r="B172" s="5155"/>
      <c r="Q172" s="5155"/>
      <c r="T172" s="141"/>
      <c r="U172" s="141"/>
      <c r="V172" s="141"/>
      <c r="W172" s="141"/>
      <c r="X172" s="141"/>
      <c r="Y172" s="141"/>
      <c r="Z172" s="141"/>
      <c r="AA172" s="141"/>
      <c r="AB172" s="141"/>
      <c r="AC172" s="141"/>
      <c r="AD172" s="141"/>
      <c r="AF172" s="5155"/>
      <c r="AI172" s="331"/>
      <c r="AJ172" s="331"/>
      <c r="AK172" s="331"/>
      <c r="AL172" s="331"/>
      <c r="AM172" s="1371"/>
      <c r="AN172" s="1371"/>
      <c r="AO172" s="1371"/>
      <c r="AP172" s="1371"/>
      <c r="AQ172" s="1371"/>
      <c r="AR172" s="1371"/>
      <c r="AS172" s="1371"/>
      <c r="AU172" s="5155"/>
      <c r="AX172" s="141"/>
      <c r="AY172" s="141"/>
      <c r="AZ172" s="141"/>
      <c r="BA172" s="141"/>
      <c r="BB172" s="1444">
        <v>3</v>
      </c>
      <c r="BC172" s="1445"/>
      <c r="BD172" s="988"/>
      <c r="BE172" s="1446"/>
      <c r="BF172" s="1447"/>
      <c r="BG172" s="1257" t="s">
        <v>1163</v>
      </c>
      <c r="BH172" s="1325"/>
      <c r="BJ172" s="3"/>
      <c r="BK172" s="3"/>
      <c r="BL172" s="3"/>
      <c r="BM172" s="3"/>
      <c r="BN172" s="1"/>
      <c r="BO172" s="99"/>
      <c r="BP172" s="1209">
        <v>2</v>
      </c>
      <c r="BQ172" s="1210">
        <f>ROW()</f>
        <v>172</v>
      </c>
      <c r="BR172" s="141"/>
      <c r="BU172" s="762"/>
      <c r="BW172" s="5">
        <v>1</v>
      </c>
    </row>
    <row r="173" spans="2:75" ht="15.75">
      <c r="B173" s="5155"/>
      <c r="Q173" s="5155"/>
      <c r="R173" s="5153"/>
      <c r="S173" s="5153"/>
      <c r="T173" s="5154" t="s">
        <v>7846</v>
      </c>
      <c r="U173" s="141"/>
      <c r="V173" s="141"/>
      <c r="W173" s="141"/>
      <c r="X173" s="1354" t="s">
        <v>252</v>
      </c>
      <c r="Y173" s="1355"/>
      <c r="Z173" s="1355"/>
      <c r="AA173" s="1355"/>
      <c r="AB173" s="1355"/>
      <c r="AC173" s="1356"/>
      <c r="AD173" s="1357" t="s">
        <v>1117</v>
      </c>
      <c r="AF173" s="5155"/>
      <c r="AG173" s="5153"/>
      <c r="AH173" s="5154" t="s">
        <v>7847</v>
      </c>
      <c r="AI173" s="331"/>
      <c r="AJ173" s="331"/>
      <c r="AK173" s="331"/>
      <c r="AL173" s="331"/>
      <c r="AM173" s="1354" t="s">
        <v>252</v>
      </c>
      <c r="AN173" s="1355"/>
      <c r="AO173" s="1355"/>
      <c r="AP173" s="1355"/>
      <c r="AQ173" s="1355"/>
      <c r="AR173" s="1356"/>
      <c r="AS173" s="1357" t="s">
        <v>1229</v>
      </c>
      <c r="AU173" s="5155"/>
      <c r="AX173" s="141"/>
      <c r="AY173" s="141"/>
      <c r="AZ173" s="141"/>
      <c r="BA173" s="141"/>
      <c r="BB173" s="1444"/>
      <c r="BC173" s="1445"/>
      <c r="BD173" s="988"/>
      <c r="BE173" s="1446"/>
      <c r="BF173" s="1447"/>
      <c r="BG173" s="1257" t="s">
        <v>1165</v>
      </c>
      <c r="BH173" s="1325"/>
      <c r="BJ173" s="3"/>
      <c r="BK173" s="3"/>
      <c r="BL173" s="3"/>
      <c r="BM173" s="3"/>
      <c r="BN173" s="1"/>
      <c r="BO173" s="343"/>
      <c r="BP173" s="1211">
        <v>5</v>
      </c>
      <c r="BQ173" s="1212"/>
      <c r="BR173" s="141"/>
      <c r="BS173" s="1213" t="s">
        <v>1018</v>
      </c>
      <c r="BT173" s="1214" t="s">
        <v>1019</v>
      </c>
      <c r="BU173" s="1215" t="s">
        <v>1020</v>
      </c>
      <c r="BW173" s="5">
        <v>1</v>
      </c>
    </row>
    <row r="174" spans="2:75" ht="17.25" customHeight="1">
      <c r="B174" s="5155"/>
      <c r="Q174" s="5155"/>
      <c r="T174" s="5152" t="s">
        <v>7842</v>
      </c>
      <c r="U174" s="141"/>
      <c r="V174" s="141"/>
      <c r="W174" s="141"/>
      <c r="X174" s="1517" t="s">
        <v>1185</v>
      </c>
      <c r="Y174" s="1425" t="s">
        <v>1186</v>
      </c>
      <c r="Z174" s="1426"/>
      <c r="AA174" s="1426" t="s">
        <v>1187</v>
      </c>
      <c r="AB174" s="1426" t="s">
        <v>1188</v>
      </c>
      <c r="AC174" s="1426" t="s">
        <v>1189</v>
      </c>
      <c r="AD174" s="1427" t="s">
        <v>1190</v>
      </c>
      <c r="AF174" s="5155"/>
      <c r="AH174" s="5152" t="s">
        <v>7842</v>
      </c>
      <c r="AI174" s="331"/>
      <c r="AJ174" s="331"/>
      <c r="AK174" s="331"/>
      <c r="AL174" s="331"/>
      <c r="AM174" s="1319"/>
      <c r="AN174" s="612" t="s">
        <v>1231</v>
      </c>
      <c r="AO174" s="147"/>
      <c r="AP174" s="147"/>
      <c r="AQ174" s="102"/>
      <c r="AR174" s="102"/>
      <c r="AS174" s="1494" t="s">
        <v>1232</v>
      </c>
      <c r="AU174" s="5155"/>
      <c r="AX174" s="141"/>
      <c r="AY174" s="141"/>
      <c r="AZ174" s="141"/>
      <c r="BA174" s="141"/>
      <c r="BB174" s="1444">
        <v>2</v>
      </c>
      <c r="BC174" s="1445"/>
      <c r="BD174" s="988"/>
      <c r="BE174" s="1446"/>
      <c r="BF174" s="1447"/>
      <c r="BG174" s="1257" t="s">
        <v>1167</v>
      </c>
      <c r="BH174" s="1325"/>
      <c r="BJ174" s="3"/>
      <c r="BK174" s="3"/>
      <c r="BL174" s="3"/>
      <c r="BM174" s="3"/>
      <c r="BN174" s="1"/>
      <c r="BO174" s="98"/>
      <c r="BP174" s="1216">
        <v>12</v>
      </c>
      <c r="BQ174" s="1217">
        <f>ROW()</f>
        <v>174</v>
      </c>
      <c r="BR174" s="141"/>
      <c r="BS174" s="1218" t="s">
        <v>1021</v>
      </c>
      <c r="BT174" s="1219" t="s">
        <v>1022</v>
      </c>
      <c r="BU174" s="1220" t="s">
        <v>1023</v>
      </c>
      <c r="BW174" s="5">
        <v>1</v>
      </c>
    </row>
    <row r="175" spans="2:75" ht="15.75" customHeight="1">
      <c r="B175" s="5155"/>
      <c r="Q175" s="5155"/>
      <c r="T175" s="141"/>
      <c r="U175" s="141"/>
      <c r="V175" s="141"/>
      <c r="W175" s="141"/>
      <c r="X175" s="1428"/>
      <c r="Y175" s="1429">
        <v>2.4305555555555556E-2</v>
      </c>
      <c r="Z175" s="141"/>
      <c r="AA175" s="1389">
        <v>100</v>
      </c>
      <c r="AB175" s="1430">
        <v>0.6</v>
      </c>
      <c r="AC175" s="1431" t="s">
        <v>1191</v>
      </c>
      <c r="AD175" s="1432" t="s">
        <v>1192</v>
      </c>
      <c r="AF175" s="5155"/>
      <c r="AI175" s="331"/>
      <c r="AJ175" s="331"/>
      <c r="AK175" s="331"/>
      <c r="AL175" s="331"/>
      <c r="AM175" s="1499"/>
      <c r="AN175" s="1500">
        <v>16</v>
      </c>
      <c r="AO175" s="141"/>
      <c r="AP175" s="1501" t="s">
        <v>1234</v>
      </c>
      <c r="AQ175" t="s">
        <v>1235</v>
      </c>
      <c r="AR175" s="147"/>
      <c r="AS175" s="1326" t="s">
        <v>1236</v>
      </c>
      <c r="AU175" s="5155"/>
      <c r="AX175" s="141"/>
      <c r="AY175" s="141"/>
      <c r="AZ175" s="141"/>
      <c r="BA175" s="141"/>
      <c r="BB175" s="1450"/>
      <c r="BC175" s="1451"/>
      <c r="BD175" s="988"/>
      <c r="BE175" s="1452"/>
      <c r="BF175" s="1453"/>
      <c r="BG175" s="1257" t="s">
        <v>1170</v>
      </c>
      <c r="BH175" s="1325"/>
      <c r="BJ175" s="3"/>
      <c r="BK175" s="3"/>
      <c r="BL175" s="3"/>
      <c r="BM175" s="3"/>
      <c r="BN175" s="1"/>
      <c r="BO175" s="98"/>
      <c r="BP175" s="2"/>
      <c r="BQ175" s="2"/>
      <c r="BR175" s="141"/>
      <c r="BU175" s="762"/>
      <c r="BW175" s="5">
        <v>1</v>
      </c>
    </row>
    <row r="176" spans="2:75" ht="15" customHeight="1">
      <c r="B176" s="5155"/>
      <c r="Q176" s="5155"/>
      <c r="T176" s="141"/>
      <c r="U176" s="141"/>
      <c r="V176" s="141"/>
      <c r="W176" s="141"/>
      <c r="X176" s="1428" t="s">
        <v>1193</v>
      </c>
      <c r="Y176" s="1429">
        <v>1.0416666666666666E-2</v>
      </c>
      <c r="Z176" s="141"/>
      <c r="AA176" s="1389">
        <v>100</v>
      </c>
      <c r="AB176" s="1430">
        <v>0.6</v>
      </c>
      <c r="AC176" s="1431" t="s">
        <v>1194</v>
      </c>
      <c r="AD176" s="1432" t="s">
        <v>1195</v>
      </c>
      <c r="AF176" s="5155"/>
      <c r="AH176" s="1353"/>
      <c r="AI176" s="331"/>
      <c r="AJ176" s="331"/>
      <c r="AK176" s="331"/>
      <c r="AL176" s="331"/>
      <c r="AM176" s="1505"/>
      <c r="AN176" s="1506" t="s">
        <v>1237</v>
      </c>
      <c r="AO176" s="1506"/>
      <c r="AP176" s="1507">
        <v>32</v>
      </c>
      <c r="AQ176" s="1508" t="str">
        <f>AP175</f>
        <v xml:space="preserve">portions </v>
      </c>
      <c r="AR176" s="988"/>
      <c r="AS176" s="1326" t="s">
        <v>1238</v>
      </c>
      <c r="AU176" s="5155"/>
      <c r="AX176" s="141"/>
      <c r="AY176" s="141"/>
      <c r="AZ176" s="141"/>
      <c r="BA176" s="141"/>
      <c r="BB176" s="1455" t="str">
        <f>SUM(BB171:BB175) &amp; " / " &amp; (COUNTA(BB171:BB175) * 3)</f>
        <v>5 / 6</v>
      </c>
      <c r="BC176" s="1456" t="str">
        <f>SUM(BC171:BC175) &amp; " / " &amp; (COUNTA(BC171:BC175) * 3)</f>
        <v>0 / 0</v>
      </c>
      <c r="BD176" s="988"/>
      <c r="BE176" s="1455" t="str">
        <f>SUM(BE171:BE175) &amp; " / " &amp; (COUNTA(BE171:BE175) * 3)</f>
        <v>0 / 0</v>
      </c>
      <c r="BF176" s="1456" t="str">
        <f>SUM(BF171:BF175) &amp; " / " &amp; (COUNTA(BF171:BF175) * 3)</f>
        <v>0 / 0</v>
      </c>
      <c r="BG176" s="988" t="s">
        <v>1177</v>
      </c>
      <c r="BH176" s="1325"/>
      <c r="BJ176" s="3"/>
      <c r="BK176" s="3"/>
      <c r="BL176" s="3"/>
      <c r="BM176" s="3"/>
      <c r="BN176" s="1"/>
      <c r="BO176" s="98"/>
      <c r="BP176" s="1221" t="s">
        <v>1027</v>
      </c>
      <c r="BQ176" s="1221" t="s">
        <v>624</v>
      </c>
      <c r="BR176" s="141"/>
      <c r="BS176" s="1222" t="s">
        <v>1024</v>
      </c>
      <c r="BT176" s="1223" t="s">
        <v>1025</v>
      </c>
      <c r="BU176" s="1224" t="s">
        <v>1026</v>
      </c>
      <c r="BW176" s="5">
        <v>1</v>
      </c>
    </row>
    <row r="177" spans="2:75" ht="17.25" customHeight="1">
      <c r="B177" s="5155"/>
      <c r="Q177" s="5155"/>
      <c r="T177" s="141"/>
      <c r="U177" s="141"/>
      <c r="V177" s="141"/>
      <c r="W177" s="141"/>
      <c r="X177" s="1428" t="s">
        <v>1197</v>
      </c>
      <c r="Y177" s="1429">
        <v>5.2083333333333301E-2</v>
      </c>
      <c r="Z177" s="141"/>
      <c r="AA177" s="1389">
        <v>100</v>
      </c>
      <c r="AB177" s="1430">
        <v>0.6</v>
      </c>
      <c r="AC177" s="1431" t="s">
        <v>1191</v>
      </c>
      <c r="AD177" s="1432" t="s">
        <v>1198</v>
      </c>
      <c r="AF177" s="5155"/>
      <c r="AH177" s="1"/>
      <c r="AI177" s="331"/>
      <c r="AJ177" s="331"/>
      <c r="AK177" s="331"/>
      <c r="AL177" s="331"/>
      <c r="AM177" s="1511"/>
      <c r="AN177" s="1512" t="s">
        <v>1239</v>
      </c>
      <c r="AO177" s="141"/>
      <c r="AP177" s="1513" t="str">
        <f>AN177</f>
        <v>Gastro</v>
      </c>
      <c r="AQ177" s="1514" t="s">
        <v>1240</v>
      </c>
      <c r="AR177" s="988"/>
      <c r="AS177" s="1326" t="s">
        <v>1241</v>
      </c>
      <c r="AU177" s="5155"/>
      <c r="AX177" s="141"/>
      <c r="AY177" s="141"/>
      <c r="AZ177" s="141"/>
      <c r="BA177" s="141"/>
      <c r="BB177" s="1458" t="str">
        <f>SUM(BB171:BB175) &amp;"/ "&amp;BB178</f>
        <v>5/ 15</v>
      </c>
      <c r="BC177" s="1459" t="str">
        <f>SUM(BC171:BC175) &amp;"/ "&amp;BC178</f>
        <v>0/ 15</v>
      </c>
      <c r="BD177" s="988"/>
      <c r="BE177" s="1458" t="str">
        <f>SUM(BE171:BE175) &amp;"/ "&amp;BE178</f>
        <v>0/ 15</v>
      </c>
      <c r="BF177" s="1459" t="str">
        <f>SUM(BF171:BF175) &amp;"/ "&amp;BF178</f>
        <v>0/ 15</v>
      </c>
      <c r="BG177" s="1414" t="s">
        <v>1178</v>
      </c>
      <c r="BH177" s="1325"/>
      <c r="BJ177" s="3"/>
      <c r="BK177" s="3"/>
      <c r="BL177" s="3"/>
      <c r="BM177" s="3"/>
      <c r="BN177" s="1"/>
      <c r="BO177" s="98"/>
      <c r="BP177" s="1221" t="s">
        <v>1028</v>
      </c>
      <c r="BQ177" s="1221" t="s">
        <v>1029</v>
      </c>
      <c r="BR177" s="141"/>
      <c r="BS177" s="1225" t="s">
        <v>1030</v>
      </c>
      <c r="BT177" s="1226" t="s">
        <v>1031</v>
      </c>
      <c r="BU177" s="1227" t="s">
        <v>1032</v>
      </c>
      <c r="BW177" s="5">
        <v>1</v>
      </c>
    </row>
    <row r="178" spans="2:75" ht="16.5" thickBot="1">
      <c r="B178" s="5155"/>
      <c r="Q178" s="5155"/>
      <c r="T178" s="141"/>
      <c r="U178" s="141"/>
      <c r="V178" s="141"/>
      <c r="W178" s="141"/>
      <c r="X178" s="1428" t="s">
        <v>157</v>
      </c>
      <c r="Y178" s="1429">
        <v>9.375E-2</v>
      </c>
      <c r="Z178" s="141"/>
      <c r="AA178" s="1389">
        <v>100</v>
      </c>
      <c r="AB178" s="1430">
        <v>0.6</v>
      </c>
      <c r="AC178" s="1431" t="s">
        <v>1194</v>
      </c>
      <c r="AD178" s="1432" t="s">
        <v>1218</v>
      </c>
      <c r="AF178" s="5155"/>
      <c r="AH178" s="1"/>
      <c r="AI178" s="331"/>
      <c r="AJ178" s="331"/>
      <c r="AK178" s="331"/>
      <c r="AL178" s="331"/>
      <c r="AM178" s="1358" t="s">
        <v>1118</v>
      </c>
      <c r="AN178" s="1512">
        <v>1</v>
      </c>
      <c r="AO178" s="141"/>
      <c r="AP178" s="1515">
        <f>(AN178/AN175)*AP176</f>
        <v>2</v>
      </c>
      <c r="AQ178" s="1516" t="s">
        <v>1242</v>
      </c>
      <c r="AR178" s="988"/>
      <c r="AS178" s="1326" t="s">
        <v>1243</v>
      </c>
      <c r="AU178" s="5155"/>
      <c r="AX178" s="141"/>
      <c r="AY178" s="141"/>
      <c r="AZ178" s="141"/>
      <c r="BA178" s="141"/>
      <c r="BB178" s="1461">
        <v>15</v>
      </c>
      <c r="BC178" s="1462">
        <v>15</v>
      </c>
      <c r="BD178" s="988"/>
      <c r="BE178" s="1461">
        <v>15</v>
      </c>
      <c r="BF178" s="1462">
        <v>15</v>
      </c>
      <c r="BG178" s="1417" t="s">
        <v>1180</v>
      </c>
      <c r="BH178" s="1325"/>
      <c r="BJ178" s="3"/>
      <c r="BK178" s="3"/>
      <c r="BL178" s="3"/>
      <c r="BM178" s="3"/>
      <c r="BN178" s="1"/>
      <c r="BO178" s="98"/>
      <c r="BP178" s="1221" t="s">
        <v>608</v>
      </c>
      <c r="BQ178" s="1221" t="s">
        <v>1033</v>
      </c>
      <c r="BR178" s="141"/>
      <c r="BS178" s="141"/>
      <c r="BT178" s="141"/>
      <c r="BU178" s="409"/>
      <c r="BW178" s="5">
        <v>1</v>
      </c>
    </row>
    <row r="179" spans="2:75" ht="15.75" customHeight="1" thickTop="1" thickBot="1">
      <c r="B179" s="5155"/>
      <c r="Q179" s="5155"/>
      <c r="T179" s="141"/>
      <c r="U179" s="141"/>
      <c r="V179" s="141"/>
      <c r="W179" s="141"/>
      <c r="X179" s="1441"/>
      <c r="Y179" s="1442">
        <f>SUM(Y175:Y178)</f>
        <v>0.18055555555555552</v>
      </c>
      <c r="Z179" s="1385"/>
      <c r="AA179" s="1385"/>
      <c r="AB179" s="1385"/>
      <c r="AC179" s="1385"/>
      <c r="AD179" s="1443"/>
      <c r="AF179" s="5155"/>
      <c r="AH179" s="5151" t="s">
        <v>218</v>
      </c>
      <c r="AI179" s="331"/>
      <c r="AJ179" s="331"/>
      <c r="AK179" s="331"/>
      <c r="AL179" s="331"/>
      <c r="AM179" s="1358" t="s">
        <v>1118</v>
      </c>
      <c r="AN179" s="1512">
        <v>1</v>
      </c>
      <c r="AO179" s="141"/>
      <c r="AP179" s="1515">
        <f>(AN179/AN175)*AP176</f>
        <v>2</v>
      </c>
      <c r="AQ179" s="1516" t="s">
        <v>1244</v>
      </c>
      <c r="AR179" s="988"/>
      <c r="AS179" s="1326" t="s">
        <v>1245</v>
      </c>
      <c r="AU179" s="5155"/>
      <c r="AX179" s="141"/>
      <c r="AY179" s="141"/>
      <c r="AZ179" s="141"/>
      <c r="BA179" s="141"/>
      <c r="BB179" s="1463" t="s">
        <v>1203</v>
      </c>
      <c r="BE179" s="1464"/>
      <c r="BF179" s="1464"/>
      <c r="BG179" s="1464"/>
      <c r="BH179" s="1465"/>
      <c r="BJ179" s="3"/>
      <c r="BK179" s="3"/>
      <c r="BL179" s="3"/>
      <c r="BM179" s="3"/>
      <c r="BN179" s="1"/>
      <c r="BO179" s="1121"/>
      <c r="BP179" s="1221" t="s">
        <v>1037</v>
      </c>
      <c r="BQ179" s="1221" t="s">
        <v>1034</v>
      </c>
      <c r="BR179" s="141"/>
      <c r="BS179" s="1228" t="s">
        <v>1035</v>
      </c>
      <c r="BT179" s="1229" t="s">
        <v>1036</v>
      </c>
      <c r="BU179" s="409"/>
      <c r="BW179" s="5">
        <v>1</v>
      </c>
    </row>
    <row r="180" spans="2:75" ht="16.5" customHeight="1" thickTop="1">
      <c r="B180" s="5155"/>
      <c r="Q180" s="5155"/>
      <c r="T180" s="141"/>
      <c r="U180" s="141"/>
      <c r="V180" s="141"/>
      <c r="W180" s="141"/>
      <c r="X180" s="1369" t="s">
        <v>864</v>
      </c>
      <c r="Y180" s="1321"/>
      <c r="Z180" s="1321"/>
      <c r="AA180" s="1321"/>
      <c r="AB180" s="1321"/>
      <c r="AC180" s="1321"/>
      <c r="AD180" s="1370"/>
      <c r="AF180" s="5155"/>
      <c r="AH180" s="1111" t="s">
        <v>935</v>
      </c>
      <c r="AI180" s="331"/>
      <c r="AJ180" s="331"/>
      <c r="AK180" s="331"/>
      <c r="AL180" s="331"/>
      <c r="AM180" s="1358" t="s">
        <v>1118</v>
      </c>
      <c r="AN180" s="1512">
        <v>1</v>
      </c>
      <c r="AO180" s="141"/>
      <c r="AP180" s="1515">
        <f>(AN180/AN175)*AP176</f>
        <v>2</v>
      </c>
      <c r="AQ180" s="1516" t="s">
        <v>1246</v>
      </c>
      <c r="AR180" s="988"/>
      <c r="AS180" s="1326" t="s">
        <v>1247</v>
      </c>
      <c r="AU180" s="5155"/>
      <c r="AX180" s="141"/>
      <c r="AY180" s="141"/>
      <c r="AZ180" s="141"/>
      <c r="BA180" s="141"/>
      <c r="BB180" s="1466" t="s">
        <v>1204</v>
      </c>
      <c r="BE180" s="1464"/>
      <c r="BF180" s="1464"/>
      <c r="BG180" s="1464"/>
      <c r="BH180" s="1465"/>
      <c r="BJ180" s="3"/>
      <c r="BK180" s="3"/>
      <c r="BL180" s="3"/>
      <c r="BM180" s="3"/>
      <c r="BN180" s="2"/>
      <c r="BO180" s="1121"/>
      <c r="BP180" s="1221" t="s">
        <v>1038</v>
      </c>
      <c r="BQ180" s="1221" t="s">
        <v>1039</v>
      </c>
      <c r="BR180" s="141"/>
      <c r="BS180" s="141"/>
      <c r="BT180" s="141"/>
      <c r="BU180" s="409"/>
      <c r="BW180" s="5">
        <v>1</v>
      </c>
    </row>
    <row r="181" spans="2:75" ht="15.75" customHeight="1">
      <c r="B181" s="5155"/>
      <c r="Q181" s="5155"/>
      <c r="T181" s="141"/>
      <c r="U181" s="141"/>
      <c r="V181" s="141"/>
      <c r="W181" s="141"/>
      <c r="X181" s="1323"/>
      <c r="Y181" s="988"/>
      <c r="Z181" s="988"/>
      <c r="AA181" s="988"/>
      <c r="AB181" s="988"/>
      <c r="AC181" s="988"/>
      <c r="AD181" s="1325"/>
      <c r="AF181" s="5155"/>
      <c r="AH181" s="1358" t="s">
        <v>1118</v>
      </c>
      <c r="AI181" s="331"/>
      <c r="AJ181" s="331"/>
      <c r="AK181" s="331"/>
      <c r="AL181" s="331"/>
      <c r="AM181" s="1358" t="s">
        <v>1118</v>
      </c>
      <c r="AN181" s="1512">
        <v>1</v>
      </c>
      <c r="AO181" s="141"/>
      <c r="AP181" s="1515">
        <f>(AN181/AN175)*AP176</f>
        <v>2</v>
      </c>
      <c r="AQ181" s="1516" t="s">
        <v>1248</v>
      </c>
      <c r="AR181" s="988"/>
      <c r="AS181" s="1326" t="s">
        <v>1249</v>
      </c>
      <c r="AU181" s="5155"/>
      <c r="AX181" s="141"/>
      <c r="AY181" s="141"/>
      <c r="AZ181" s="141"/>
      <c r="BA181" s="141"/>
      <c r="BB181" s="1466" t="s">
        <v>1205</v>
      </c>
      <c r="BE181" s="1464"/>
      <c r="BF181" s="1464"/>
      <c r="BG181" s="1464"/>
      <c r="BH181" s="1465"/>
      <c r="BJ181" s="3"/>
      <c r="BK181" s="3"/>
      <c r="BL181" s="3"/>
      <c r="BM181" s="3"/>
      <c r="BN181" s="2"/>
      <c r="BO181" s="1121"/>
      <c r="BP181" s="1221" t="s">
        <v>615</v>
      </c>
      <c r="BQ181" s="1212">
        <v>1</v>
      </c>
      <c r="BR181" s="141"/>
      <c r="BS181" s="141" t="s">
        <v>1040</v>
      </c>
      <c r="BT181" s="141"/>
      <c r="BU181" s="409"/>
      <c r="BW181" s="5">
        <v>1</v>
      </c>
    </row>
    <row r="182" spans="2:75" ht="15.75" customHeight="1">
      <c r="B182" s="5155"/>
      <c r="Q182" s="5155"/>
      <c r="T182" s="141"/>
      <c r="U182" s="141"/>
      <c r="V182" s="141"/>
      <c r="W182" s="141"/>
      <c r="X182" s="1323"/>
      <c r="Y182" s="988"/>
      <c r="Z182" s="988"/>
      <c r="AA182" s="988"/>
      <c r="AB182" s="988"/>
      <c r="AC182" s="988"/>
      <c r="AD182" s="1325"/>
      <c r="AF182" s="5155"/>
      <c r="AH182" s="1411" t="s">
        <v>1175</v>
      </c>
      <c r="AI182" s="331"/>
      <c r="AJ182" s="331"/>
      <c r="AK182" s="331"/>
      <c r="AL182" s="331"/>
      <c r="AM182" s="1358" t="s">
        <v>1118</v>
      </c>
      <c r="AN182" s="1512">
        <v>1</v>
      </c>
      <c r="AO182" s="141"/>
      <c r="AP182" s="1515">
        <f>(AN182/AN175)*AP176</f>
        <v>2</v>
      </c>
      <c r="AQ182" s="1516" t="s">
        <v>1250</v>
      </c>
      <c r="AR182" s="988"/>
      <c r="AS182" s="1326" t="s">
        <v>1251</v>
      </c>
      <c r="AU182" s="5155"/>
      <c r="AX182" s="141"/>
      <c r="AY182" s="141"/>
      <c r="AZ182" s="141"/>
      <c r="BA182" s="141"/>
      <c r="BB182" s="1323"/>
      <c r="BC182" s="988"/>
      <c r="BD182" s="988"/>
      <c r="BE182" s="988"/>
      <c r="BF182" s="988"/>
      <c r="BG182" s="988"/>
      <c r="BH182" s="1325"/>
      <c r="BJ182" s="3"/>
      <c r="BK182" s="3"/>
      <c r="BL182" s="3"/>
      <c r="BM182" s="3"/>
      <c r="BN182" s="2"/>
      <c r="BO182" s="1121"/>
      <c r="BP182" s="1221" t="s">
        <v>1041</v>
      </c>
      <c r="BQ182" s="1221" t="s">
        <v>1042</v>
      </c>
      <c r="BR182" s="1230" t="s">
        <v>1043</v>
      </c>
      <c r="BS182" s="1231" t="s">
        <v>1044</v>
      </c>
      <c r="BT182" s="141"/>
      <c r="BU182" s="409" t="s">
        <v>1</v>
      </c>
      <c r="BW182" s="5">
        <v>1</v>
      </c>
    </row>
    <row r="183" spans="2:75" ht="15.75" customHeight="1">
      <c r="B183" s="5155"/>
      <c r="Q183" s="5155"/>
      <c r="T183" s="141"/>
      <c r="U183" s="141"/>
      <c r="V183" s="141"/>
      <c r="W183" s="141"/>
      <c r="X183" s="1323"/>
      <c r="Y183" s="988"/>
      <c r="Z183" s="988"/>
      <c r="AA183" s="988"/>
      <c r="AB183" s="988"/>
      <c r="AC183" s="988"/>
      <c r="AD183" s="1325"/>
      <c r="AF183" s="5155"/>
      <c r="AH183" s="5423" t="s">
        <v>1171</v>
      </c>
      <c r="AI183" s="331"/>
      <c r="AJ183" s="331"/>
      <c r="AK183" s="331"/>
      <c r="AL183" s="331"/>
      <c r="AM183" s="1518" t="s">
        <v>1252</v>
      </c>
      <c r="AN183" s="1512">
        <v>1</v>
      </c>
      <c r="AO183" s="141"/>
      <c r="AP183" s="1515">
        <f>(AN183/AN175)*AP176</f>
        <v>2</v>
      </c>
      <c r="AQ183" s="988"/>
      <c r="AR183" s="988"/>
      <c r="AS183" s="1326" t="s">
        <v>1253</v>
      </c>
      <c r="AU183" s="5155"/>
      <c r="AX183" s="141"/>
      <c r="AY183" s="141"/>
      <c r="AZ183" s="141"/>
      <c r="BA183" s="141"/>
      <c r="BB183" s="1369" t="s">
        <v>864</v>
      </c>
      <c r="BC183" s="1321"/>
      <c r="BD183" s="1321"/>
      <c r="BE183" s="1321"/>
      <c r="BF183" s="1321"/>
      <c r="BG183" s="1321"/>
      <c r="BH183" s="1370" t="s">
        <v>1141</v>
      </c>
      <c r="BJ183" s="3"/>
      <c r="BK183" s="3"/>
      <c r="BL183" s="3"/>
      <c r="BM183" s="3"/>
      <c r="BN183" s="2"/>
      <c r="BO183" s="1160"/>
      <c r="BP183" s="141"/>
      <c r="BQ183" s="141"/>
      <c r="BR183" s="141"/>
      <c r="BS183" s="141"/>
      <c r="BT183" s="141"/>
      <c r="BU183" s="409"/>
      <c r="BW183" s="5">
        <v>1</v>
      </c>
    </row>
    <row r="184" spans="2:75" ht="15.75">
      <c r="B184" s="5155"/>
      <c r="Q184" s="5155"/>
      <c r="T184" s="141"/>
      <c r="U184" s="141"/>
      <c r="V184" s="141"/>
      <c r="W184" s="141"/>
      <c r="X184" s="1323"/>
      <c r="Y184" s="988"/>
      <c r="Z184" s="988"/>
      <c r="AA184" s="988"/>
      <c r="AB184" s="988"/>
      <c r="AC184" s="988"/>
      <c r="AD184" s="1325"/>
      <c r="AF184" s="5155"/>
      <c r="AH184" s="5423" t="s">
        <v>7843</v>
      </c>
      <c r="AI184" s="331"/>
      <c r="AJ184" s="331"/>
      <c r="AK184" s="331"/>
      <c r="AL184" s="331"/>
      <c r="AM184" s="1518" t="s">
        <v>1252</v>
      </c>
      <c r="AN184" s="1512">
        <v>1</v>
      </c>
      <c r="AO184" s="141"/>
      <c r="AP184" s="1515">
        <f>(AN184/AN175)*AP176</f>
        <v>2</v>
      </c>
      <c r="AQ184" s="988"/>
      <c r="AR184" s="988"/>
      <c r="AS184" s="1326"/>
      <c r="AU184" s="5155"/>
      <c r="AX184" s="141"/>
      <c r="AY184" s="141"/>
      <c r="AZ184" s="141"/>
      <c r="BA184" s="141"/>
      <c r="BB184" s="1371"/>
      <c r="BC184" s="1371"/>
      <c r="BD184" s="1371"/>
      <c r="BE184" s="1371"/>
      <c r="BF184" s="1371"/>
      <c r="BG184" s="1371"/>
      <c r="BH184" s="1371"/>
      <c r="BJ184" s="3"/>
      <c r="BK184" s="3"/>
      <c r="BL184" s="3"/>
      <c r="BM184" s="3"/>
      <c r="BN184" s="2"/>
      <c r="BO184" s="1160"/>
      <c r="BP184" s="141"/>
      <c r="BQ184" s="141"/>
      <c r="BR184" s="141"/>
      <c r="BS184" s="141"/>
      <c r="BT184" s="141"/>
      <c r="BU184" s="409"/>
      <c r="BW184" s="5">
        <v>1</v>
      </c>
    </row>
    <row r="185" spans="2:75" ht="15.75" customHeight="1">
      <c r="B185" s="5155"/>
      <c r="Q185" s="5155"/>
      <c r="T185" s="141"/>
      <c r="U185" s="141"/>
      <c r="V185" s="141"/>
      <c r="W185" s="141"/>
      <c r="X185" s="1323"/>
      <c r="Y185" s="988"/>
      <c r="Z185" s="988"/>
      <c r="AA185" s="988"/>
      <c r="AB185" s="988"/>
      <c r="AC185" s="988"/>
      <c r="AD185" s="1325"/>
      <c r="AF185" s="5155"/>
      <c r="AI185" s="331"/>
      <c r="AJ185" s="331"/>
      <c r="AK185" s="331"/>
      <c r="AL185" s="331"/>
      <c r="AM185" s="1518" t="s">
        <v>1252</v>
      </c>
      <c r="AN185" s="1512">
        <v>1</v>
      </c>
      <c r="AO185" s="141"/>
      <c r="AP185" s="1515">
        <f>(AN185/AN175)*AP176</f>
        <v>2</v>
      </c>
      <c r="AQ185" s="988"/>
      <c r="AR185" s="988"/>
      <c r="AS185" s="1326"/>
      <c r="AU185" s="5155"/>
      <c r="AX185" s="141"/>
      <c r="AY185" s="141"/>
      <c r="AZ185" s="141"/>
      <c r="BA185" s="141"/>
      <c r="BB185" s="1371"/>
      <c r="BC185" s="1371"/>
      <c r="BD185" s="1371"/>
      <c r="BE185" s="1371"/>
      <c r="BF185" s="1371"/>
      <c r="BG185" s="1371"/>
      <c r="BH185" s="1371"/>
      <c r="BJ185" s="3"/>
      <c r="BK185" s="3"/>
      <c r="BL185" s="3"/>
      <c r="BM185" s="3"/>
      <c r="BN185" s="2"/>
      <c r="BO185" s="1160"/>
      <c r="BP185" s="1232" t="s">
        <v>367</v>
      </c>
      <c r="BQ185" s="141"/>
      <c r="BR185" s="141"/>
      <c r="BS185" s="141"/>
      <c r="BT185" s="141"/>
      <c r="BU185" s="409"/>
      <c r="BW185" s="5">
        <v>1</v>
      </c>
    </row>
    <row r="186" spans="2:75" ht="15.75" customHeight="1">
      <c r="B186" s="5155"/>
      <c r="Q186" s="5155"/>
      <c r="T186" s="141"/>
      <c r="U186" s="141"/>
      <c r="V186" s="141"/>
      <c r="W186" s="141"/>
      <c r="X186" s="1323"/>
      <c r="Y186" s="988"/>
      <c r="Z186" s="988"/>
      <c r="AA186" s="988"/>
      <c r="AB186" s="988"/>
      <c r="AC186" s="988"/>
      <c r="AD186" s="1325"/>
      <c r="AF186" s="5155"/>
      <c r="AI186" s="331"/>
      <c r="AJ186" s="331"/>
      <c r="AK186" s="331"/>
      <c r="AL186" s="331"/>
      <c r="AM186" s="1519"/>
      <c r="AN186" s="988"/>
      <c r="AO186" s="988"/>
      <c r="AP186" s="988"/>
      <c r="AQ186" s="988"/>
      <c r="AR186" s="988"/>
      <c r="AS186" s="1325"/>
      <c r="AU186" s="5155"/>
      <c r="AV186" s="5153"/>
      <c r="AW186" s="5154" t="s">
        <v>7848</v>
      </c>
      <c r="AX186" s="141"/>
      <c r="AY186" s="141"/>
      <c r="AZ186" s="141"/>
      <c r="BA186" s="141"/>
      <c r="BB186" s="1354" t="s">
        <v>252</v>
      </c>
      <c r="BC186" s="1355"/>
      <c r="BD186" s="1355"/>
      <c r="BE186" s="1355"/>
      <c r="BF186" s="1355"/>
      <c r="BG186" s="1356"/>
      <c r="BH186" s="1357" t="s">
        <v>1117</v>
      </c>
      <c r="BJ186" s="3"/>
      <c r="BK186" s="3"/>
      <c r="BL186" s="3"/>
      <c r="BM186" s="3"/>
      <c r="BN186" s="2"/>
      <c r="BO186" s="1160"/>
      <c r="BP186" s="1233" t="s">
        <v>370</v>
      </c>
      <c r="BQ186" s="141"/>
      <c r="BR186" s="141"/>
      <c r="BS186" s="141"/>
      <c r="BT186" s="141"/>
      <c r="BU186" s="409"/>
      <c r="BW186" s="5">
        <v>1</v>
      </c>
    </row>
    <row r="187" spans="2:75" ht="15.75">
      <c r="B187" s="5155"/>
      <c r="Q187" s="5155"/>
      <c r="T187" s="141"/>
      <c r="U187" s="141"/>
      <c r="V187" s="141"/>
      <c r="W187" s="141"/>
      <c r="X187" s="1338"/>
      <c r="Y187" s="1460"/>
      <c r="Z187" s="1460"/>
      <c r="AA187" s="1460"/>
      <c r="AB187" s="1460"/>
      <c r="AC187" s="1460"/>
      <c r="AD187" s="1339" t="s">
        <v>1112</v>
      </c>
      <c r="AF187" s="5155"/>
      <c r="AI187" s="331"/>
      <c r="AJ187" s="331"/>
      <c r="AK187" s="331"/>
      <c r="AL187" s="331"/>
      <c r="AM187" s="1369" t="s">
        <v>864</v>
      </c>
      <c r="AN187" s="1321"/>
      <c r="AO187" s="1321"/>
      <c r="AP187" s="1321"/>
      <c r="AQ187" s="1321"/>
      <c r="AR187" s="1321"/>
      <c r="AS187" s="1370" t="s">
        <v>1141</v>
      </c>
      <c r="AU187" s="5155"/>
      <c r="AW187" s="5152" t="s">
        <v>7842</v>
      </c>
      <c r="AX187" s="141"/>
      <c r="AY187" s="141"/>
      <c r="AZ187" s="141"/>
      <c r="BA187" s="141"/>
      <c r="BB187" s="1424" t="s">
        <v>1185</v>
      </c>
      <c r="BC187" s="1425" t="s">
        <v>1186</v>
      </c>
      <c r="BD187" s="1426"/>
      <c r="BE187" s="1426" t="s">
        <v>1187</v>
      </c>
      <c r="BF187" s="1426" t="s">
        <v>1188</v>
      </c>
      <c r="BG187" s="1426" t="s">
        <v>1189</v>
      </c>
      <c r="BH187" s="1427" t="s">
        <v>1190</v>
      </c>
      <c r="BJ187" s="3"/>
      <c r="BK187" s="3"/>
      <c r="BL187" s="3"/>
      <c r="BM187" s="3"/>
      <c r="BN187" s="2"/>
      <c r="BO187" s="1160"/>
      <c r="BP187" s="1233" t="s">
        <v>372</v>
      </c>
      <c r="BQ187" s="141"/>
      <c r="BR187" s="141"/>
      <c r="BS187" s="141"/>
      <c r="BT187" s="141"/>
      <c r="BU187" s="409"/>
      <c r="BW187" s="5">
        <v>1</v>
      </c>
    </row>
    <row r="188" spans="2:75" ht="15.75" customHeight="1">
      <c r="B188" s="5155"/>
      <c r="Q188" s="5155"/>
      <c r="T188" s="141"/>
      <c r="U188" s="141"/>
      <c r="V188" s="141"/>
      <c r="W188" s="141"/>
      <c r="X188" s="1454"/>
      <c r="Y188" s="1002"/>
      <c r="Z188" s="1002" t="s">
        <v>873</v>
      </c>
      <c r="AA188" s="1003"/>
      <c r="AB188" s="1329"/>
      <c r="AC188" s="1329"/>
      <c r="AD188" s="1330"/>
      <c r="AF188" s="5155"/>
      <c r="AI188" s="331"/>
      <c r="AJ188" s="331"/>
      <c r="AK188" s="331"/>
      <c r="AL188" s="331"/>
      <c r="AM188" s="141"/>
      <c r="AN188" s="141"/>
      <c r="AO188" s="141"/>
      <c r="AP188" s="141"/>
      <c r="AQ188" s="141"/>
      <c r="AR188" s="141"/>
      <c r="AS188" s="141"/>
      <c r="AU188" s="5155"/>
      <c r="AX188" s="141"/>
      <c r="AY188" s="141"/>
      <c r="AZ188" s="141"/>
      <c r="BA188" s="141"/>
      <c r="BB188" s="1478"/>
      <c r="BC188" s="1429">
        <v>2.4305555555555556E-2</v>
      </c>
      <c r="BD188" s="141"/>
      <c r="BE188" s="1389">
        <v>100</v>
      </c>
      <c r="BF188" s="1430">
        <v>0.6</v>
      </c>
      <c r="BG188" s="1431" t="s">
        <v>1191</v>
      </c>
      <c r="BH188" s="1432" t="s">
        <v>1192</v>
      </c>
      <c r="BJ188" s="3"/>
      <c r="BK188" s="3"/>
      <c r="BL188" s="3"/>
      <c r="BM188" s="3"/>
      <c r="BN188" s="2"/>
      <c r="BO188" s="1160"/>
      <c r="BP188" s="1234" t="s">
        <v>376</v>
      </c>
      <c r="BQ188" s="141"/>
      <c r="BR188" s="141"/>
      <c r="BS188" s="141"/>
      <c r="BT188" s="141"/>
      <c r="BU188" s="409"/>
      <c r="BW188" s="5">
        <v>1</v>
      </c>
    </row>
    <row r="189" spans="2:75" ht="17.25" customHeight="1" thickBot="1">
      <c r="B189" s="5155"/>
      <c r="Q189" s="5155"/>
      <c r="T189" s="141"/>
      <c r="U189" s="141"/>
      <c r="V189" s="141"/>
      <c r="W189" s="141"/>
      <c r="X189" s="1457" t="s">
        <v>86</v>
      </c>
      <c r="Y189" s="1006"/>
      <c r="Z189" s="1007"/>
      <c r="AA189" s="1008"/>
      <c r="AB189" s="1007"/>
      <c r="AC189" s="1007"/>
      <c r="AD189" s="1333"/>
      <c r="AF189" s="5155"/>
      <c r="AI189" s="331"/>
      <c r="AJ189" s="331"/>
      <c r="AK189" s="331"/>
      <c r="AL189" s="331"/>
      <c r="AM189" s="141"/>
      <c r="AN189" s="141"/>
      <c r="AO189" s="141"/>
      <c r="AP189" s="141"/>
      <c r="AQ189" s="141"/>
      <c r="AR189" s="141"/>
      <c r="AS189" s="141"/>
      <c r="AU189" s="5155"/>
      <c r="AX189" s="141"/>
      <c r="AY189" s="141"/>
      <c r="AZ189" s="141"/>
      <c r="BA189" s="141"/>
      <c r="BB189" s="1478" t="s">
        <v>1193</v>
      </c>
      <c r="BC189" s="1429">
        <v>1.0416666666666666E-2</v>
      </c>
      <c r="BD189" s="141"/>
      <c r="BE189" s="1389">
        <v>100</v>
      </c>
      <c r="BF189" s="1430">
        <v>0.6</v>
      </c>
      <c r="BG189" s="1431" t="s">
        <v>1194</v>
      </c>
      <c r="BH189" s="1432" t="s">
        <v>1195</v>
      </c>
      <c r="BJ189" s="3"/>
      <c r="BK189" s="3"/>
      <c r="BL189" s="3"/>
      <c r="BM189" s="3"/>
      <c r="BN189" s="2"/>
      <c r="BO189" s="1160"/>
      <c r="BP189" s="1235" t="s">
        <v>377</v>
      </c>
      <c r="BQ189" s="141"/>
      <c r="BR189" s="141"/>
      <c r="BS189" s="141"/>
      <c r="BT189" s="141"/>
      <c r="BU189" s="409"/>
      <c r="BW189" s="5">
        <v>1</v>
      </c>
    </row>
    <row r="190" spans="2:75" ht="23.25" customHeight="1">
      <c r="B190" s="5155"/>
      <c r="Q190" s="5155"/>
      <c r="T190" s="141"/>
      <c r="U190" s="141"/>
      <c r="V190" s="141"/>
      <c r="W190" s="141"/>
      <c r="X190" s="141"/>
      <c r="Y190" s="141"/>
      <c r="Z190" s="141"/>
      <c r="AA190" s="141"/>
      <c r="AB190" s="141"/>
      <c r="AC190" s="141"/>
      <c r="AD190" s="141"/>
      <c r="AF190" s="5155"/>
      <c r="AG190" s="5153"/>
      <c r="AH190" s="5154" t="s">
        <v>7847</v>
      </c>
      <c r="AI190" s="331"/>
      <c r="AJ190" s="331"/>
      <c r="AK190" s="331"/>
      <c r="AL190" s="331"/>
      <c r="AM190" s="1354" t="s">
        <v>252</v>
      </c>
      <c r="AN190" s="1355"/>
      <c r="AO190" s="1355"/>
      <c r="AP190" s="1355"/>
      <c r="AQ190" s="1355"/>
      <c r="AR190" s="1356"/>
      <c r="AS190" s="1357" t="s">
        <v>1117</v>
      </c>
      <c r="AU190" s="5155"/>
      <c r="AX190" s="141"/>
      <c r="AY190" s="141"/>
      <c r="AZ190" s="141"/>
      <c r="BA190" s="141"/>
      <c r="BB190" s="1478" t="s">
        <v>1197</v>
      </c>
      <c r="BC190" s="1429">
        <v>5.2083333333333301E-2</v>
      </c>
      <c r="BD190" s="141"/>
      <c r="BE190" s="1389">
        <v>100</v>
      </c>
      <c r="BF190" s="1430">
        <v>0.6</v>
      </c>
      <c r="BG190" s="1431" t="s">
        <v>1191</v>
      </c>
      <c r="BH190" s="1432" t="s">
        <v>1198</v>
      </c>
      <c r="BJ190" s="3"/>
      <c r="BK190" s="3"/>
      <c r="BL190" s="3"/>
      <c r="BM190" s="3"/>
      <c r="BN190" s="2"/>
      <c r="BO190" s="1160"/>
      <c r="BU190" s="409"/>
      <c r="BW190" s="5">
        <v>1</v>
      </c>
    </row>
    <row r="191" spans="2:75" ht="15.75" customHeight="1">
      <c r="B191" s="5155"/>
      <c r="Q191" s="5155"/>
      <c r="T191" s="141"/>
      <c r="U191" s="141"/>
      <c r="V191" s="141"/>
      <c r="W191" s="141"/>
      <c r="X191" s="141"/>
      <c r="Y191" s="141"/>
      <c r="Z191" s="141"/>
      <c r="AA191" s="141"/>
      <c r="AB191" s="141"/>
      <c r="AC191" s="141"/>
      <c r="AD191" s="141"/>
      <c r="AF191" s="5155"/>
      <c r="AH191" s="5152" t="s">
        <v>7842</v>
      </c>
      <c r="AI191" s="331"/>
      <c r="AJ191" s="331"/>
      <c r="AK191" s="331"/>
      <c r="AL191" s="331"/>
      <c r="AM191" s="1411" t="s">
        <v>1175</v>
      </c>
      <c r="AN191" s="1487">
        <v>1.7361111111111112E-2</v>
      </c>
      <c r="AO191" s="1488"/>
      <c r="AP191" s="1488">
        <v>3</v>
      </c>
      <c r="AQ191" s="1489" t="s">
        <v>1223</v>
      </c>
      <c r="AR191" s="1534"/>
      <c r="AS191" s="1535"/>
      <c r="AU191" s="5155"/>
      <c r="AX191" s="141"/>
      <c r="AY191" s="141"/>
      <c r="AZ191" s="141"/>
      <c r="BA191" s="141"/>
      <c r="BB191" s="1478" t="s">
        <v>157</v>
      </c>
      <c r="BC191" s="1429">
        <v>9.375E-2</v>
      </c>
      <c r="BD191" s="141"/>
      <c r="BE191" s="1389">
        <v>100</v>
      </c>
      <c r="BF191" s="1430">
        <v>0.6</v>
      </c>
      <c r="BG191" s="1431" t="s">
        <v>1194</v>
      </c>
      <c r="BH191" s="1432" t="s">
        <v>1218</v>
      </c>
      <c r="BJ191" s="3"/>
      <c r="BK191" s="3"/>
      <c r="BL191" s="3"/>
      <c r="BM191" s="3"/>
      <c r="BN191" s="2"/>
      <c r="BO191" s="1079"/>
      <c r="BP191" s="1194" t="s">
        <v>1045</v>
      </c>
      <c r="BQ191" s="1081"/>
      <c r="BR191" s="1080"/>
      <c r="BS191" s="1080"/>
      <c r="BT191" s="1080"/>
      <c r="BU191" s="1082"/>
      <c r="BW191" s="5">
        <v>1</v>
      </c>
    </row>
    <row r="192" spans="2:75" ht="15.75" customHeight="1">
      <c r="B192" s="5155"/>
      <c r="Q192" s="5155"/>
      <c r="R192" s="5153"/>
      <c r="S192" s="5153"/>
      <c r="T192" s="5154" t="s">
        <v>7846</v>
      </c>
      <c r="U192" s="141"/>
      <c r="V192" s="141"/>
      <c r="W192" s="141"/>
      <c r="X192" s="1354" t="s">
        <v>252</v>
      </c>
      <c r="Y192" s="1355"/>
      <c r="Z192" s="1355"/>
      <c r="AA192" s="1355"/>
      <c r="AB192" s="1355"/>
      <c r="AC192" s="1356"/>
      <c r="AD192" s="1357" t="s">
        <v>1117</v>
      </c>
      <c r="AF192" s="5155"/>
      <c r="AI192" s="331"/>
      <c r="AJ192" s="331"/>
      <c r="AK192" s="331"/>
      <c r="AL192" s="331"/>
      <c r="AM192" s="1411" t="s">
        <v>1175</v>
      </c>
      <c r="AN192" s="1487">
        <v>1.7361111111111112E-2</v>
      </c>
      <c r="AO192" s="1488"/>
      <c r="AP192" s="1488">
        <v>3</v>
      </c>
      <c r="AQ192" s="1148" t="s">
        <v>1264</v>
      </c>
      <c r="AR192" s="1148"/>
      <c r="AS192" s="1490"/>
      <c r="AU192" s="5155"/>
      <c r="AX192" s="141"/>
      <c r="AY192" s="141"/>
      <c r="AZ192" s="141"/>
      <c r="BA192" s="141"/>
      <c r="BB192" s="1441"/>
      <c r="BC192" s="1442">
        <f>SUM(BC188:BC191)</f>
        <v>0.18055555555555552</v>
      </c>
      <c r="BD192" s="1385"/>
      <c r="BE192" s="1385"/>
      <c r="BF192" s="1385"/>
      <c r="BG192" s="1385"/>
      <c r="BH192" s="1443"/>
      <c r="BJ192" s="3"/>
      <c r="BK192" s="3"/>
      <c r="BL192" s="3"/>
      <c r="BM192" s="3"/>
      <c r="BN192" s="2"/>
      <c r="BO192" s="1121"/>
      <c r="BP192" s="1211"/>
      <c r="BQ192" s="1122"/>
      <c r="BR192" s="141"/>
      <c r="BS192" s="141"/>
      <c r="BT192" s="141"/>
      <c r="BU192" s="409"/>
      <c r="BW192" s="5">
        <v>1</v>
      </c>
    </row>
    <row r="193" spans="2:75" ht="22.5" customHeight="1">
      <c r="B193" s="5155"/>
      <c r="Q193" s="5155"/>
      <c r="T193" s="5152" t="s">
        <v>7842</v>
      </c>
      <c r="U193" s="141"/>
      <c r="V193" s="141"/>
      <c r="W193" s="141"/>
      <c r="X193" s="1384">
        <v>3.472222222222222E-3</v>
      </c>
      <c r="Y193" s="1385" t="s">
        <v>1150</v>
      </c>
      <c r="Z193" s="77"/>
      <c r="AA193" s="77"/>
      <c r="AB193" s="77"/>
      <c r="AC193" s="1386">
        <v>100</v>
      </c>
      <c r="AD193" s="1387" t="s">
        <v>1151</v>
      </c>
      <c r="AF193" s="5155"/>
      <c r="AH193" s="1353"/>
      <c r="AI193" s="331"/>
      <c r="AJ193" s="331"/>
      <c r="AK193" s="331"/>
      <c r="AL193" s="331"/>
      <c r="AM193" s="1411" t="s">
        <v>1175</v>
      </c>
      <c r="AN193" s="1487">
        <v>5.9027777777777797E-2</v>
      </c>
      <c r="AO193" s="1488"/>
      <c r="AP193" s="1488">
        <v>3</v>
      </c>
      <c r="AQ193" s="1148" t="s">
        <v>1225</v>
      </c>
      <c r="AR193" s="1148"/>
      <c r="AS193" s="1490"/>
      <c r="AU193" s="5155"/>
      <c r="AX193" s="141"/>
      <c r="AY193" s="141"/>
      <c r="AZ193" s="141"/>
      <c r="BA193" s="141"/>
      <c r="BB193" s="1369" t="s">
        <v>864</v>
      </c>
      <c r="BC193" s="1321"/>
      <c r="BD193" s="1321"/>
      <c r="BE193" s="1321"/>
      <c r="BF193" s="1321"/>
      <c r="BG193" s="1321"/>
      <c r="BH193" s="1370" t="s">
        <v>1141</v>
      </c>
      <c r="BJ193" s="3"/>
      <c r="BK193" s="3"/>
      <c r="BL193" s="3"/>
      <c r="BM193" s="3"/>
      <c r="BN193" s="2"/>
      <c r="BO193" s="1121"/>
      <c r="BP193" s="541" t="s">
        <v>1046</v>
      </c>
      <c r="BQ193" s="97"/>
      <c r="BR193" s="97"/>
      <c r="BS193" s="97"/>
      <c r="BT193" s="141"/>
      <c r="BU193" s="409"/>
      <c r="BW193" s="5">
        <v>1</v>
      </c>
    </row>
    <row r="194" spans="2:75" ht="15.75">
      <c r="B194" s="5155"/>
      <c r="Q194" s="5155"/>
      <c r="T194" s="141"/>
      <c r="U194" s="141"/>
      <c r="V194" s="141"/>
      <c r="W194" s="141"/>
      <c r="X194" s="1388">
        <v>1.0416666666666666E-2</v>
      </c>
      <c r="Y194" s="1385" t="s">
        <v>1152</v>
      </c>
      <c r="Z194" s="77"/>
      <c r="AA194" s="77"/>
      <c r="AB194" s="77"/>
      <c r="AC194" s="1389">
        <v>90</v>
      </c>
      <c r="AD194" s="1390" t="s">
        <v>1153</v>
      </c>
      <c r="AF194" s="5155"/>
      <c r="AH194" s="1"/>
      <c r="AI194" s="331"/>
      <c r="AJ194" s="331"/>
      <c r="AK194" s="331"/>
      <c r="AL194" s="331"/>
      <c r="AM194" s="1411" t="s">
        <v>1175</v>
      </c>
      <c r="AN194" s="1487">
        <v>2.4305555555555556E-2</v>
      </c>
      <c r="AO194" s="1488"/>
      <c r="AP194" s="1488">
        <v>3</v>
      </c>
      <c r="AQ194" s="1148" t="s">
        <v>1226</v>
      </c>
      <c r="AR194" s="1148"/>
      <c r="AS194" s="1490"/>
      <c r="AU194" s="5155"/>
      <c r="AX194" s="141"/>
      <c r="AY194" s="141"/>
      <c r="AZ194" s="141"/>
      <c r="BA194" s="141"/>
      <c r="BB194" s="1371"/>
      <c r="BC194" s="1371"/>
      <c r="BD194" s="1371"/>
      <c r="BE194" s="1371"/>
      <c r="BF194" s="1371"/>
      <c r="BG194" s="1371"/>
      <c r="BH194" s="1371"/>
      <c r="BJ194" s="3"/>
      <c r="BK194" s="3"/>
      <c r="BL194" s="3"/>
      <c r="BM194" s="3"/>
      <c r="BN194" s="2"/>
      <c r="BO194" s="154"/>
      <c r="BP194" s="488" t="s">
        <v>255</v>
      </c>
      <c r="BQ194" s="97" t="s">
        <v>1047</v>
      </c>
      <c r="BR194" s="97"/>
      <c r="BS194" s="97"/>
      <c r="BT194" s="141"/>
      <c r="BU194" s="409"/>
      <c r="BW194" s="5">
        <v>1</v>
      </c>
    </row>
    <row r="195" spans="2:75" ht="18.75" customHeight="1" thickBot="1">
      <c r="B195" s="5155"/>
      <c r="Q195" s="5155"/>
      <c r="T195" s="141"/>
      <c r="U195" s="141"/>
      <c r="V195" s="141"/>
      <c r="W195" s="141"/>
      <c r="X195" s="1391">
        <v>2.0833333333333332E-2</v>
      </c>
      <c r="Y195" s="1385" t="s">
        <v>1154</v>
      </c>
      <c r="Z195" s="988"/>
      <c r="AA195" s="988"/>
      <c r="AB195" s="988"/>
      <c r="AC195" s="1392" t="s">
        <v>1155</v>
      </c>
      <c r="AD195" s="1393" t="s">
        <v>1156</v>
      </c>
      <c r="AF195" s="5155"/>
      <c r="AH195" s="1"/>
      <c r="AI195" s="331"/>
      <c r="AJ195" s="331"/>
      <c r="AK195" s="331"/>
      <c r="AL195" s="331"/>
      <c r="AM195" s="1411" t="s">
        <v>1175</v>
      </c>
      <c r="AN195" s="1487">
        <v>1.0416666666666666E-2</v>
      </c>
      <c r="AO195" s="1488"/>
      <c r="AP195" s="1488">
        <v>170</v>
      </c>
      <c r="AQ195" s="1148" t="s">
        <v>1227</v>
      </c>
      <c r="AR195" s="1148"/>
      <c r="AS195" s="1490"/>
      <c r="AU195" s="5155"/>
      <c r="AX195" s="141"/>
      <c r="AY195" s="141"/>
      <c r="AZ195" s="141"/>
      <c r="BA195" s="141"/>
      <c r="BB195" s="1371"/>
      <c r="BC195" s="1371"/>
      <c r="BD195" s="1371"/>
      <c r="BE195" s="1371"/>
      <c r="BF195" s="1371"/>
      <c r="BG195" s="1371"/>
      <c r="BH195" s="1371"/>
      <c r="BJ195" s="3"/>
      <c r="BK195" s="3"/>
      <c r="BL195" s="3"/>
      <c r="BM195" s="3"/>
      <c r="BN195" s="2"/>
      <c r="BO195" s="1121"/>
      <c r="BP195" s="1236" t="str">
        <f>IF(COLUMN()-COLUMN(BP195)+1&lt;=26, CHAR(64+COLUMN()-COLUMN(BP195)+1), CHAR(64+INT((COLUMN()-COLUMN(BP195))/26))&amp;CHAR(64+MOD(COLUMN()-COLUMN(BP195)-1,26)+1))</f>
        <v>A</v>
      </c>
      <c r="BQ195" s="97"/>
      <c r="BR195" s="97"/>
      <c r="BS195" s="97"/>
      <c r="BT195" s="141"/>
      <c r="BU195" s="409"/>
      <c r="BW195" s="5">
        <v>1</v>
      </c>
    </row>
    <row r="196" spans="2:75" ht="15" customHeight="1" thickTop="1" thickBot="1">
      <c r="B196" s="5155"/>
      <c r="Q196" s="5155"/>
      <c r="T196" s="141"/>
      <c r="U196" s="141"/>
      <c r="V196" s="141"/>
      <c r="W196" s="141"/>
      <c r="X196" s="1394">
        <f>X193+X194+X195</f>
        <v>3.4722222222222224E-2</v>
      </c>
      <c r="Y196" s="1395" t="s">
        <v>37</v>
      </c>
      <c r="Z196" s="988"/>
      <c r="AA196" s="988"/>
      <c r="AB196" s="988"/>
      <c r="AC196" s="1396" t="s">
        <v>1155</v>
      </c>
      <c r="AD196" s="1397" t="s">
        <v>1157</v>
      </c>
      <c r="AF196" s="5155"/>
      <c r="AH196" s="5151" t="s">
        <v>218</v>
      </c>
      <c r="AI196" s="331"/>
      <c r="AJ196" s="331"/>
      <c r="AK196" s="331"/>
      <c r="AL196" s="331"/>
      <c r="AM196" s="1411" t="s">
        <v>1175</v>
      </c>
      <c r="AN196" s="1487">
        <v>6.9444444444444441E-3</v>
      </c>
      <c r="AO196" s="1488"/>
      <c r="AP196" s="1488">
        <v>150</v>
      </c>
      <c r="AQ196" s="1148" t="s">
        <v>1217</v>
      </c>
      <c r="AR196" s="1148"/>
      <c r="AS196" s="1490"/>
      <c r="AU196" s="5155"/>
      <c r="AV196" s="5153"/>
      <c r="AW196" s="5154" t="s">
        <v>7848</v>
      </c>
      <c r="AX196" s="141"/>
      <c r="AY196" s="141"/>
      <c r="AZ196" s="141"/>
      <c r="BA196" s="141"/>
      <c r="BB196" s="1354" t="s">
        <v>252</v>
      </c>
      <c r="BC196" s="1355"/>
      <c r="BD196" s="1355"/>
      <c r="BE196" s="1355"/>
      <c r="BF196" s="1355"/>
      <c r="BG196" s="1356"/>
      <c r="BH196" s="1357" t="s">
        <v>1117</v>
      </c>
      <c r="BJ196" s="3"/>
      <c r="BK196" s="3"/>
      <c r="BL196" s="3"/>
      <c r="BM196" s="3"/>
      <c r="BN196" s="2"/>
      <c r="BO196" s="1121"/>
      <c r="BP196" s="1237" t="s">
        <v>1048</v>
      </c>
      <c r="BQ196" s="97"/>
      <c r="BR196" s="97"/>
      <c r="BS196" s="97"/>
      <c r="BT196" s="141"/>
      <c r="BU196" s="409"/>
      <c r="BW196" s="5">
        <v>1</v>
      </c>
    </row>
    <row r="197" spans="2:75" ht="17.25" thickTop="1" thickBot="1">
      <c r="B197" s="5155"/>
      <c r="Q197" s="5155"/>
      <c r="T197" s="141"/>
      <c r="U197" s="141"/>
      <c r="V197" s="141"/>
      <c r="W197" s="141"/>
      <c r="X197" s="1369" t="s">
        <v>864</v>
      </c>
      <c r="Y197" s="1321"/>
      <c r="Z197" s="1321"/>
      <c r="AA197" s="1321"/>
      <c r="AB197" s="1321"/>
      <c r="AC197" s="1321"/>
      <c r="AD197" s="1370"/>
      <c r="AF197" s="5155"/>
      <c r="AH197" s="1111" t="s">
        <v>935</v>
      </c>
      <c r="AI197" s="331"/>
      <c r="AJ197" s="331"/>
      <c r="AK197" s="331"/>
      <c r="AL197" s="331"/>
      <c r="AM197" s="1411" t="s">
        <v>1175</v>
      </c>
      <c r="AN197" s="1487">
        <v>0.10069444444444445</v>
      </c>
      <c r="AO197" s="1488"/>
      <c r="AP197" s="1488">
        <v>120</v>
      </c>
      <c r="AQ197" s="1148" t="s">
        <v>1228</v>
      </c>
      <c r="AR197" s="1120"/>
      <c r="AS197" s="1491"/>
      <c r="AU197" s="5155"/>
      <c r="AW197" s="5152" t="s">
        <v>7842</v>
      </c>
      <c r="AX197" s="141"/>
      <c r="AY197" s="141"/>
      <c r="AZ197" s="141"/>
      <c r="BA197" s="141"/>
      <c r="BB197" s="1469" t="s">
        <v>1208</v>
      </c>
      <c r="BC197" s="1249" t="s">
        <v>1186</v>
      </c>
      <c r="BD197" s="1249"/>
      <c r="BE197" s="1470" t="s">
        <v>1209</v>
      </c>
      <c r="BF197" s="1470" t="s">
        <v>1210</v>
      </c>
      <c r="BG197" s="997"/>
      <c r="BH197" s="1471" t="s">
        <v>1211</v>
      </c>
      <c r="BJ197" s="3"/>
      <c r="BK197" s="3"/>
      <c r="BL197" s="3"/>
      <c r="BM197" s="3"/>
      <c r="BN197" s="2"/>
      <c r="BO197" s="1160"/>
      <c r="BP197" s="141"/>
      <c r="BQ197" s="141"/>
      <c r="BR197" s="141"/>
      <c r="BS197" s="141"/>
      <c r="BT197" s="141"/>
      <c r="BU197" s="409"/>
      <c r="BW197" s="5">
        <v>1</v>
      </c>
    </row>
    <row r="198" spans="2:75" ht="18.75">
      <c r="B198" s="5155"/>
      <c r="Q198" s="5155"/>
      <c r="T198" s="141"/>
      <c r="U198" s="141"/>
      <c r="V198" s="141"/>
      <c r="W198" s="141"/>
      <c r="X198" s="1323"/>
      <c r="Y198" s="988"/>
      <c r="Z198" s="988"/>
      <c r="AA198" s="988"/>
      <c r="AB198" s="988"/>
      <c r="AC198" s="988"/>
      <c r="AD198" s="1325"/>
      <c r="AF198" s="5155"/>
      <c r="AH198" s="1358" t="s">
        <v>1118</v>
      </c>
      <c r="AI198" s="331"/>
      <c r="AJ198" s="331"/>
      <c r="AK198" s="331"/>
      <c r="AL198" s="331"/>
      <c r="AM198" s="1411" t="s">
        <v>1175</v>
      </c>
      <c r="AN198" s="1487">
        <v>1.3888888888888888E-2</v>
      </c>
      <c r="AO198" s="1488"/>
      <c r="AP198" s="1488">
        <v>120</v>
      </c>
      <c r="AQ198" s="1148" t="s">
        <v>1265</v>
      </c>
      <c r="AR198" s="1120"/>
      <c r="AS198" s="1491"/>
      <c r="AU198" s="5155"/>
      <c r="AX198" s="141"/>
      <c r="AY198" s="141"/>
      <c r="AZ198" s="141"/>
      <c r="BA198" s="141"/>
      <c r="BB198" s="1473" t="s">
        <v>1212</v>
      </c>
      <c r="BC198" s="1474">
        <v>4.1666666666666699E-2</v>
      </c>
      <c r="BD198" s="1475"/>
      <c r="BE198" s="1475">
        <v>220</v>
      </c>
      <c r="BF198" s="1476" t="s">
        <v>1213</v>
      </c>
      <c r="BG198" s="997"/>
      <c r="BH198" s="1477"/>
      <c r="BJ198" s="3"/>
      <c r="BK198" s="3"/>
      <c r="BL198" s="3"/>
      <c r="BM198" s="3"/>
      <c r="BN198" s="2"/>
      <c r="BO198" s="1238" t="s">
        <v>252</v>
      </c>
      <c r="BP198" s="7673" t="s">
        <v>1049</v>
      </c>
      <c r="BQ198" s="7673"/>
      <c r="BR198" s="7673"/>
      <c r="BS198" s="7673"/>
      <c r="BT198" s="7673"/>
      <c r="BU198" s="7674"/>
      <c r="BW198" s="5">
        <v>1</v>
      </c>
    </row>
    <row r="199" spans="2:75" ht="15.75" customHeight="1">
      <c r="B199" s="5155"/>
      <c r="Q199" s="5155"/>
      <c r="T199" s="141"/>
      <c r="U199" s="141"/>
      <c r="V199" s="141"/>
      <c r="W199" s="141"/>
      <c r="X199" s="1323"/>
      <c r="Y199" s="988"/>
      <c r="Z199" s="988"/>
      <c r="AA199" s="988"/>
      <c r="AB199" s="988"/>
      <c r="AC199" s="988"/>
      <c r="AD199" s="1325"/>
      <c r="AF199" s="5155"/>
      <c r="AH199" s="1411" t="s">
        <v>1175</v>
      </c>
      <c r="AI199" s="331"/>
      <c r="AJ199" s="331"/>
      <c r="AK199" s="331"/>
      <c r="AL199" s="331"/>
      <c r="AM199" s="1411" t="s">
        <v>1175</v>
      </c>
      <c r="AN199" s="1487">
        <v>3.125E-2</v>
      </c>
      <c r="AO199" s="1488"/>
      <c r="AP199" s="1488"/>
      <c r="AQ199" s="1148" t="s">
        <v>1266</v>
      </c>
      <c r="AR199" s="1120"/>
      <c r="AS199" s="1491"/>
      <c r="AU199" s="5155"/>
      <c r="AX199" s="141"/>
      <c r="AY199" s="141"/>
      <c r="AZ199" s="141"/>
      <c r="BA199" s="141"/>
      <c r="BB199" s="1479" t="s">
        <v>1208</v>
      </c>
      <c r="BC199" s="1480"/>
      <c r="BD199" s="1480"/>
      <c r="BE199" s="1480" t="s">
        <v>1214</v>
      </c>
      <c r="BF199" s="1481" t="s">
        <v>1215</v>
      </c>
      <c r="BG199" s="1481"/>
      <c r="BH199" s="1477"/>
      <c r="BJ199" s="3"/>
      <c r="BK199" s="3"/>
      <c r="BL199" s="3"/>
      <c r="BM199" s="3"/>
      <c r="BN199" s="2"/>
      <c r="BO199" s="7675" t="s">
        <v>1050</v>
      </c>
      <c r="BP199" s="7676"/>
      <c r="BQ199" s="7676"/>
      <c r="BR199" s="7676"/>
      <c r="BS199" s="7676"/>
      <c r="BT199" s="7676"/>
      <c r="BU199" s="7677"/>
      <c r="BW199" s="5">
        <v>1</v>
      </c>
    </row>
    <row r="200" spans="2:75" ht="15.75" customHeight="1" thickBot="1">
      <c r="B200" s="5155"/>
      <c r="Q200" s="5155"/>
      <c r="T200" s="141"/>
      <c r="U200" s="141"/>
      <c r="V200" s="141"/>
      <c r="W200" s="141"/>
      <c r="X200" s="1323"/>
      <c r="Y200" s="988"/>
      <c r="Z200" s="988"/>
      <c r="AA200" s="988"/>
      <c r="AB200" s="988"/>
      <c r="AC200" s="988"/>
      <c r="AD200" s="1325"/>
      <c r="AF200" s="5155"/>
      <c r="AH200" s="5423" t="s">
        <v>1171</v>
      </c>
      <c r="AI200" s="331"/>
      <c r="AJ200" s="331"/>
      <c r="AK200" s="331"/>
      <c r="AL200" s="331"/>
      <c r="AM200" s="1411" t="s">
        <v>1175</v>
      </c>
      <c r="AN200" s="1487">
        <v>2.4305555555555556E-2</v>
      </c>
      <c r="AO200" s="1488"/>
      <c r="AP200" s="1488"/>
      <c r="AQ200" s="1148" t="s">
        <v>1267</v>
      </c>
      <c r="AR200" s="1120"/>
      <c r="AS200" s="1491"/>
      <c r="AU200" s="5155"/>
      <c r="AX200" s="141"/>
      <c r="AY200" s="141"/>
      <c r="AZ200" s="141"/>
      <c r="BA200" s="141"/>
      <c r="BB200" s="1482" t="s">
        <v>1216</v>
      </c>
      <c r="BC200" s="1483"/>
      <c r="BD200" s="1484"/>
      <c r="BE200" s="1484">
        <v>250</v>
      </c>
      <c r="BF200" s="1485" t="s">
        <v>1217</v>
      </c>
      <c r="BG200" s="1485"/>
      <c r="BH200" s="1477"/>
      <c r="BJ200" s="3"/>
      <c r="BK200" s="3"/>
      <c r="BL200" s="3"/>
      <c r="BM200" s="3"/>
      <c r="BN200" s="2"/>
      <c r="BO200" s="1239"/>
      <c r="BP200" s="1240" t="s">
        <v>1051</v>
      </c>
      <c r="BQ200" s="1241" t="s">
        <v>1052</v>
      </c>
      <c r="BR200" s="1242" t="s">
        <v>1053</v>
      </c>
      <c r="BS200" s="829" t="s">
        <v>1054</v>
      </c>
      <c r="BT200" s="141"/>
      <c r="BU200" s="1243" t="s">
        <v>1055</v>
      </c>
      <c r="BW200" s="5">
        <v>1</v>
      </c>
    </row>
    <row r="201" spans="2:75" ht="19.5" customHeight="1" thickTop="1" thickBot="1">
      <c r="B201" s="5155"/>
      <c r="Q201" s="5155"/>
      <c r="T201" s="141"/>
      <c r="U201" s="141"/>
      <c r="V201" s="141"/>
      <c r="W201" s="141"/>
      <c r="X201" s="1323"/>
      <c r="Y201" s="988"/>
      <c r="Z201" s="988"/>
      <c r="AA201" s="988"/>
      <c r="AB201" s="988"/>
      <c r="AC201" s="988"/>
      <c r="AD201" s="1325"/>
      <c r="AF201" s="5155"/>
      <c r="AH201" s="5423" t="s">
        <v>7843</v>
      </c>
      <c r="AI201" s="331"/>
      <c r="AJ201" s="331"/>
      <c r="AK201" s="331"/>
      <c r="AL201" s="331"/>
      <c r="AM201" s="1411" t="s">
        <v>1175</v>
      </c>
      <c r="AN201" s="1487">
        <v>7.2916666666666671E-2</v>
      </c>
      <c r="AO201" s="1488"/>
      <c r="AP201" s="1539" t="s">
        <v>1268</v>
      </c>
      <c r="AQ201" s="1148" t="s">
        <v>1269</v>
      </c>
      <c r="AR201" s="1120"/>
      <c r="AS201" s="1491"/>
      <c r="AU201" s="5155"/>
      <c r="AX201" s="141"/>
      <c r="AY201" s="141"/>
      <c r="AZ201" s="141"/>
      <c r="BA201" s="141"/>
      <c r="BB201" s="1479" t="s">
        <v>1208</v>
      </c>
      <c r="BC201" s="1480"/>
      <c r="BD201" s="1480"/>
      <c r="BE201" s="1480" t="s">
        <v>1214</v>
      </c>
      <c r="BF201" s="1481" t="s">
        <v>1215</v>
      </c>
      <c r="BG201" s="1481"/>
      <c r="BH201" s="1477"/>
      <c r="BJ201" s="3"/>
      <c r="BK201" s="3"/>
      <c r="BL201" s="3"/>
      <c r="BM201" s="3"/>
      <c r="BN201" s="2"/>
      <c r="BO201" s="1239"/>
      <c r="BP201" s="1244" t="s">
        <v>1056</v>
      </c>
      <c r="BQ201" s="1245">
        <f>LEN(BP201) - LEN(SUBSTITUTE(BP201, " ", "")) + 1</f>
        <v>45</v>
      </c>
      <c r="BR201" s="1245">
        <f>LEN(BP201)</f>
        <v>263</v>
      </c>
      <c r="BS201" s="1246">
        <v>70</v>
      </c>
      <c r="BU201" s="1247" t="str">
        <f>TEXT(ROUND(LEN(BP201)/BS201, 1), "0.0") &amp; " lignes"</f>
        <v>3.8 lignes</v>
      </c>
      <c r="BW201" s="5">
        <v>1</v>
      </c>
    </row>
    <row r="202" spans="2:75" ht="20.25" customHeight="1" thickTop="1">
      <c r="B202" s="5155"/>
      <c r="Q202" s="5155"/>
      <c r="T202" s="141"/>
      <c r="U202" s="141"/>
      <c r="V202" s="141"/>
      <c r="W202" s="141"/>
      <c r="X202" s="1323"/>
      <c r="Y202" s="988"/>
      <c r="Z202" s="988"/>
      <c r="AA202" s="988"/>
      <c r="AB202" s="988"/>
      <c r="AC202" s="988"/>
      <c r="AD202" s="1325"/>
      <c r="AF202" s="5155"/>
      <c r="AI202" s="331"/>
      <c r="AJ202" s="331"/>
      <c r="AK202" s="331"/>
      <c r="AL202" s="331"/>
      <c r="AM202" s="1411" t="s">
        <v>1175</v>
      </c>
      <c r="AN202" s="1487">
        <v>3.4722222222222224E-2</v>
      </c>
      <c r="AO202" s="1488"/>
      <c r="AP202" s="1488"/>
      <c r="AQ202" s="1148" t="s">
        <v>1270</v>
      </c>
      <c r="AR202" s="1120"/>
      <c r="AS202" s="1491"/>
      <c r="AU202" s="5155"/>
      <c r="AX202" s="141"/>
      <c r="AY202" s="141"/>
      <c r="AZ202" s="141"/>
      <c r="BA202" s="141"/>
      <c r="BB202" s="1482" t="s">
        <v>1216</v>
      </c>
      <c r="BC202" s="1483">
        <v>4.8611111111111112E-3</v>
      </c>
      <c r="BD202" s="1484"/>
      <c r="BE202" s="1484">
        <v>250</v>
      </c>
      <c r="BF202" s="1485" t="s">
        <v>1219</v>
      </c>
      <c r="BG202" s="1485"/>
      <c r="BH202" s="1477"/>
      <c r="BJ202" s="3"/>
      <c r="BK202" s="3"/>
      <c r="BL202" s="3"/>
      <c r="BM202" s="3"/>
      <c r="BN202" s="2"/>
      <c r="BO202" s="1239"/>
      <c r="BP202" s="7678" t="str">
        <f>BP201</f>
        <v>Épluchez l’ail et les oignons. Coupez-les en petits morceaux. Égouttez les champignons. Dans votre Cookeo, faites roussir la viande et les lardons avec le morceau de beurre sur le mode « dorer » / 3 min (préchauffage inclus), en remuant avec une cuillère en bois.</v>
      </c>
      <c r="BQ202" s="7678"/>
      <c r="BR202" s="7678"/>
      <c r="BS202" s="7678"/>
      <c r="BT202" s="7678"/>
      <c r="BU202" s="7679"/>
      <c r="BW202" s="5">
        <v>1</v>
      </c>
    </row>
    <row r="203" spans="2:75" ht="15.75" customHeight="1">
      <c r="B203" s="5155"/>
      <c r="Q203" s="5155"/>
      <c r="T203" s="141"/>
      <c r="U203" s="141"/>
      <c r="V203" s="141"/>
      <c r="W203" s="141"/>
      <c r="X203" s="1323"/>
      <c r="Y203" s="988"/>
      <c r="Z203" s="988"/>
      <c r="AA203" s="988"/>
      <c r="AB203" s="988"/>
      <c r="AC203" s="988"/>
      <c r="AD203" s="1325"/>
      <c r="AF203" s="5155"/>
      <c r="AI203" s="331"/>
      <c r="AJ203" s="331"/>
      <c r="AK203" s="331"/>
      <c r="AL203" s="331"/>
      <c r="AM203" s="1411" t="s">
        <v>1175</v>
      </c>
      <c r="AN203" s="1487"/>
      <c r="AO203" s="5424" t="s">
        <v>1271</v>
      </c>
      <c r="AP203" s="1389">
        <v>65</v>
      </c>
      <c r="AQ203" s="1493" t="s">
        <v>1272</v>
      </c>
      <c r="AR203" s="1120"/>
      <c r="AS203" s="1491"/>
      <c r="AU203" s="5155"/>
      <c r="AX203" s="141"/>
      <c r="AY203" s="141"/>
      <c r="AZ203" s="141"/>
      <c r="BA203" s="141"/>
      <c r="BB203" s="1479" t="s">
        <v>1208</v>
      </c>
      <c r="BC203" s="1480"/>
      <c r="BD203" s="1480"/>
      <c r="BE203" s="1480" t="s">
        <v>1214</v>
      </c>
      <c r="BF203" s="1481" t="s">
        <v>1215</v>
      </c>
      <c r="BG203" s="1481"/>
      <c r="BH203" s="1477"/>
      <c r="BJ203" s="3"/>
      <c r="BK203" s="3"/>
      <c r="BL203" s="3"/>
      <c r="BM203" s="3"/>
      <c r="BN203" s="2"/>
      <c r="BO203" s="1239"/>
      <c r="BP203" s="7678"/>
      <c r="BQ203" s="7678"/>
      <c r="BR203" s="7678"/>
      <c r="BS203" s="7678"/>
      <c r="BT203" s="7678"/>
      <c r="BU203" s="7679"/>
      <c r="BW203" s="5">
        <v>1</v>
      </c>
    </row>
    <row r="204" spans="2:75" ht="15" customHeight="1">
      <c r="B204" s="5155"/>
      <c r="Q204" s="5155"/>
      <c r="T204" s="141"/>
      <c r="U204" s="141"/>
      <c r="V204" s="141"/>
      <c r="W204" s="141"/>
      <c r="X204" s="1323"/>
      <c r="Y204" s="988"/>
      <c r="Z204" s="988"/>
      <c r="AA204" s="988"/>
      <c r="AB204" s="988"/>
      <c r="AC204" s="988"/>
      <c r="AD204" s="1325"/>
      <c r="AF204" s="5155"/>
      <c r="AI204" s="331"/>
      <c r="AJ204" s="331"/>
      <c r="AK204" s="331"/>
      <c r="AL204" s="331"/>
      <c r="AM204" s="1411" t="s">
        <v>1175</v>
      </c>
      <c r="AN204" s="1487"/>
      <c r="AO204" s="1497" t="s">
        <v>1271</v>
      </c>
      <c r="AP204" s="1386">
        <v>3</v>
      </c>
      <c r="AQ204" s="1498" t="s">
        <v>1273</v>
      </c>
      <c r="AR204" s="1120"/>
      <c r="AS204" s="1491"/>
      <c r="AU204" s="5155"/>
      <c r="AX204" s="141"/>
      <c r="AY204" s="141"/>
      <c r="AZ204" s="141"/>
      <c r="BA204" s="141"/>
      <c r="BB204" s="1482" t="s">
        <v>1216</v>
      </c>
      <c r="BC204" s="1483">
        <v>0.10416666666666667</v>
      </c>
      <c r="BD204" s="1484"/>
      <c r="BE204" s="1484">
        <v>170</v>
      </c>
      <c r="BF204" s="1485" t="s">
        <v>1220</v>
      </c>
      <c r="BG204" s="1485"/>
      <c r="BH204" s="1477"/>
      <c r="BJ204" s="3"/>
      <c r="BK204" s="3"/>
      <c r="BL204" s="3"/>
      <c r="BM204" s="3"/>
      <c r="BN204" s="2"/>
      <c r="BO204" s="1239"/>
      <c r="BP204" s="7678"/>
      <c r="BQ204" s="7678"/>
      <c r="BR204" s="7678"/>
      <c r="BS204" s="7678"/>
      <c r="BT204" s="7678"/>
      <c r="BU204" s="7679"/>
      <c r="BW204" s="5">
        <v>1</v>
      </c>
    </row>
    <row r="205" spans="2:75" ht="15.75">
      <c r="B205" s="5155"/>
      <c r="Q205" s="5155"/>
      <c r="T205" s="141"/>
      <c r="U205" s="141"/>
      <c r="V205" s="141"/>
      <c r="W205" s="141"/>
      <c r="X205" s="1323"/>
      <c r="Y205" s="988"/>
      <c r="Z205" s="988"/>
      <c r="AA205" s="988"/>
      <c r="AB205" s="988"/>
      <c r="AC205" s="988"/>
      <c r="AD205" s="1325"/>
      <c r="AF205" s="5155"/>
      <c r="AI205" s="331"/>
      <c r="AJ205" s="331"/>
      <c r="AK205" s="331"/>
      <c r="AL205" s="331"/>
      <c r="AM205" s="1540" t="s">
        <v>37</v>
      </c>
      <c r="AN205" s="1442">
        <f>SUM(AN191:AN204)</f>
        <v>0.41319444444444448</v>
      </c>
      <c r="AR205" s="1120"/>
      <c r="AS205" s="1491"/>
      <c r="AU205" s="5155"/>
      <c r="AX205" s="141"/>
      <c r="AY205" s="141"/>
      <c r="AZ205" s="141"/>
      <c r="BA205" s="141"/>
      <c r="BB205" s="1479" t="s">
        <v>1208</v>
      </c>
      <c r="BC205" s="1480"/>
      <c r="BD205" s="1480"/>
      <c r="BE205" s="1480" t="s">
        <v>1214</v>
      </c>
      <c r="BF205" s="1481" t="s">
        <v>1221</v>
      </c>
      <c r="BG205" s="1481"/>
      <c r="BH205" s="1477"/>
      <c r="BJ205" s="3"/>
      <c r="BK205" s="3"/>
      <c r="BL205" s="3"/>
      <c r="BM205" s="3"/>
      <c r="BN205" s="2"/>
      <c r="BO205" s="1239"/>
      <c r="BP205" s="7678"/>
      <c r="BQ205" s="7678"/>
      <c r="BR205" s="7678"/>
      <c r="BS205" s="7678"/>
      <c r="BT205" s="7678"/>
      <c r="BU205" s="7679"/>
      <c r="BW205" s="5">
        <v>1</v>
      </c>
    </row>
    <row r="206" spans="2:75" ht="15.75">
      <c r="B206" s="5155"/>
      <c r="Q206" s="5155"/>
      <c r="T206" s="141"/>
      <c r="U206" s="141"/>
      <c r="V206" s="141"/>
      <c r="W206" s="141"/>
      <c r="X206" s="1338"/>
      <c r="Y206" s="997"/>
      <c r="Z206" s="997"/>
      <c r="AA206" s="997"/>
      <c r="AB206" s="997"/>
      <c r="AC206" s="997"/>
      <c r="AD206" s="1339" t="s">
        <v>1112</v>
      </c>
      <c r="AF206" s="5155"/>
      <c r="AI206" s="331"/>
      <c r="AJ206" s="331"/>
      <c r="AK206" s="331"/>
      <c r="AL206" s="331"/>
      <c r="AM206" s="1369" t="s">
        <v>864</v>
      </c>
      <c r="AN206" s="1321"/>
      <c r="AO206" s="1321"/>
      <c r="AP206" s="1321"/>
      <c r="AQ206" s="1321"/>
      <c r="AR206" s="1321"/>
      <c r="AS206" s="1370" t="s">
        <v>1141</v>
      </c>
      <c r="AU206" s="5155"/>
      <c r="AX206" s="141"/>
      <c r="AY206" s="141"/>
      <c r="AZ206" s="141"/>
      <c r="BA206" s="141"/>
      <c r="BB206" s="1482" t="s">
        <v>1216</v>
      </c>
      <c r="BC206" s="1483">
        <v>4.8611111111111112E-3</v>
      </c>
      <c r="BD206" s="1484"/>
      <c r="BE206" s="1484">
        <v>100</v>
      </c>
      <c r="BF206" s="1485"/>
      <c r="BG206" s="1485"/>
      <c r="BH206" s="1477"/>
      <c r="BJ206" s="3"/>
      <c r="BK206" s="3"/>
      <c r="BL206" s="3"/>
      <c r="BM206" s="3"/>
      <c r="BN206" s="1"/>
      <c r="BO206" s="1239"/>
      <c r="BP206" s="1248"/>
      <c r="BR206" s="1249" t="s">
        <v>1057</v>
      </c>
      <c r="BS206" s="1148" t="str">
        <f>BS201&amp;" caractères"</f>
        <v>70 caractères</v>
      </c>
      <c r="BU206" s="1250" t="str">
        <f>BU201</f>
        <v>3.8 lignes</v>
      </c>
      <c r="BW206" s="5">
        <v>1</v>
      </c>
    </row>
    <row r="207" spans="2:75" ht="15.75">
      <c r="B207" s="5155"/>
      <c r="Q207" s="5155"/>
      <c r="T207" s="141"/>
      <c r="U207" s="141"/>
      <c r="V207" s="141"/>
      <c r="W207" s="141"/>
      <c r="X207" s="1002"/>
      <c r="Y207" s="1002"/>
      <c r="Z207" s="1002" t="s">
        <v>873</v>
      </c>
      <c r="AA207" s="1003"/>
      <c r="AB207" s="1329"/>
      <c r="AC207" s="1329"/>
      <c r="AD207" s="1330"/>
      <c r="AF207" s="5155"/>
      <c r="AI207" s="331"/>
      <c r="AJ207" s="331"/>
      <c r="AK207" s="331"/>
      <c r="AL207" s="331"/>
      <c r="AM207" s="141"/>
      <c r="AN207" s="141"/>
      <c r="AO207" s="141"/>
      <c r="AP207" s="141"/>
      <c r="AQ207" s="141"/>
      <c r="AR207" s="141"/>
      <c r="AS207" s="141"/>
      <c r="AU207" s="5155"/>
      <c r="AX207" s="141"/>
      <c r="AY207" s="141"/>
      <c r="AZ207" s="141"/>
      <c r="BA207" s="141"/>
      <c r="BB207" s="1479" t="s">
        <v>1208</v>
      </c>
      <c r="BC207" s="1480"/>
      <c r="BD207" s="1480"/>
      <c r="BE207" s="1480" t="s">
        <v>1214</v>
      </c>
      <c r="BF207" s="1481" t="s">
        <v>1224</v>
      </c>
      <c r="BG207" s="1481"/>
      <c r="BH207" s="1477"/>
      <c r="BJ207" s="3"/>
      <c r="BK207" s="3"/>
      <c r="BL207" s="3"/>
      <c r="BM207" s="3"/>
      <c r="BN207" s="1"/>
      <c r="BO207" s="1239"/>
      <c r="BP207" s="1251" t="s">
        <v>1058</v>
      </c>
      <c r="BQ207" s="1252"/>
      <c r="BR207" s="1253"/>
      <c r="BS207" s="1253"/>
      <c r="BT207" s="1253"/>
      <c r="BU207" s="1254"/>
      <c r="BW207" s="5">
        <v>1</v>
      </c>
    </row>
    <row r="208" spans="2:75" ht="16.5" thickBot="1">
      <c r="B208" s="5155"/>
      <c r="Q208" s="5155"/>
      <c r="T208" s="141"/>
      <c r="U208" s="141"/>
      <c r="V208" s="141"/>
      <c r="W208" s="141"/>
      <c r="X208" s="1332" t="s">
        <v>86</v>
      </c>
      <c r="Y208" s="1006"/>
      <c r="Z208" s="1007"/>
      <c r="AA208" s="1008"/>
      <c r="AB208" s="1007"/>
      <c r="AC208" s="1007"/>
      <c r="AD208" s="1333"/>
      <c r="AF208" s="5155"/>
      <c r="AI208" s="331"/>
      <c r="AJ208" s="331"/>
      <c r="AK208" s="331"/>
      <c r="AL208" s="331"/>
      <c r="AM208" s="141"/>
      <c r="AN208" s="141"/>
      <c r="AO208" s="141"/>
      <c r="AP208" s="141"/>
      <c r="AQ208" s="141"/>
      <c r="AR208" s="141"/>
      <c r="AS208" s="141"/>
      <c r="AU208" s="5155"/>
      <c r="AX208" s="141"/>
      <c r="AY208" s="141"/>
      <c r="AZ208" s="141"/>
      <c r="BA208" s="141"/>
      <c r="BB208" s="1482" t="s">
        <v>1216</v>
      </c>
      <c r="BC208" s="1483">
        <v>4.8611111111111112E-3</v>
      </c>
      <c r="BD208" s="1484"/>
      <c r="BE208" s="1484">
        <v>110</v>
      </c>
      <c r="BF208" s="1485"/>
      <c r="BG208" s="1485"/>
      <c r="BH208" s="1477"/>
      <c r="BJ208" s="3"/>
      <c r="BK208" s="3"/>
      <c r="BL208" s="3"/>
      <c r="BM208" s="3"/>
      <c r="BN208" s="1"/>
      <c r="BO208" s="1255" t="str">
        <f t="shared" ref="BO208:BO213" si="28">LEN(BQ208)&amp;" car."</f>
        <v>72 car.</v>
      </c>
      <c r="BP208" s="1256" t="s">
        <v>1059</v>
      </c>
      <c r="BQ208" s="7671" t="str">
        <f>LEFT(BP201,FIND(" ",BP201&amp;" ",BS201)-1) &amp; ".."</f>
        <v>Épluchez l’ail et les oignons. Coupez-les en petits morceaux. Égouttez..</v>
      </c>
      <c r="BR208" s="7671"/>
      <c r="BS208" s="7671"/>
      <c r="BT208" s="7671"/>
      <c r="BU208" s="7672"/>
      <c r="BW208" s="5">
        <v>1</v>
      </c>
    </row>
    <row r="209" spans="2:75" ht="15.75" customHeight="1">
      <c r="B209" s="5155"/>
      <c r="Q209" s="5155"/>
      <c r="T209" s="141"/>
      <c r="U209" s="141"/>
      <c r="V209" s="141"/>
      <c r="W209" s="141"/>
      <c r="X209" s="141"/>
      <c r="Y209" s="141"/>
      <c r="Z209" s="141"/>
      <c r="AA209" s="141"/>
      <c r="AB209" s="141"/>
      <c r="AC209" s="141"/>
      <c r="AD209" s="141"/>
      <c r="AF209" s="5155"/>
      <c r="AG209" s="5153"/>
      <c r="AH209" s="5154" t="s">
        <v>7847</v>
      </c>
      <c r="AI209" s="331"/>
      <c r="AJ209" s="331"/>
      <c r="AK209" s="331"/>
      <c r="AL209" s="331"/>
      <c r="AM209" s="1354" t="s">
        <v>252</v>
      </c>
      <c r="AN209" s="1355"/>
      <c r="AO209" s="1355"/>
      <c r="AP209" s="1355"/>
      <c r="AQ209" s="1355"/>
      <c r="AR209" s="1356"/>
      <c r="AS209" s="1357" t="s">
        <v>1117</v>
      </c>
      <c r="AU209" s="5155"/>
      <c r="AX209" s="141"/>
      <c r="AY209" s="141"/>
      <c r="AZ209" s="141"/>
      <c r="BA209" s="141"/>
      <c r="BB209" s="1369" t="s">
        <v>864</v>
      </c>
      <c r="BC209" s="1321"/>
      <c r="BD209" s="1321"/>
      <c r="BE209" s="1321"/>
      <c r="BF209" s="1321"/>
      <c r="BG209" s="1321"/>
      <c r="BH209" s="1370" t="s">
        <v>1141</v>
      </c>
      <c r="BJ209" s="3"/>
      <c r="BK209" s="3"/>
      <c r="BL209" s="3"/>
      <c r="BM209" s="3"/>
      <c r="BN209" s="1"/>
      <c r="BO209" s="1255" t="str">
        <f t="shared" si="28"/>
        <v>74 car.</v>
      </c>
      <c r="BP209" s="1256" t="s">
        <v>1060</v>
      </c>
      <c r="BQ209" s="7671" t="str">
        <f>LEFT(RIGHT(BP201,LEN(BP201)-LEN(BQ208)-2),FIND(" ",RIGHT(BP201,LEN(BP201)-LEN(BQ208)-2)&amp;" ",BS201)-1) &amp; ".."</f>
        <v xml:space="preserve"> champignons. Dans votre Cookeo, faites roussir la viande et les lardons..</v>
      </c>
      <c r="BR209" s="7671"/>
      <c r="BS209" s="7671"/>
      <c r="BT209" s="7671"/>
      <c r="BU209" s="7672"/>
      <c r="BW209" s="5">
        <v>1</v>
      </c>
    </row>
    <row r="210" spans="2:75" ht="15.75">
      <c r="B210" s="5155"/>
      <c r="Q210" s="5155"/>
      <c r="T210" s="141"/>
      <c r="U210" s="141"/>
      <c r="V210" s="141"/>
      <c r="W210" s="141"/>
      <c r="X210" s="141"/>
      <c r="Y210" s="141"/>
      <c r="Z210" s="141"/>
      <c r="AA210" s="141"/>
      <c r="AB210" s="141"/>
      <c r="AC210" s="141"/>
      <c r="AD210" s="141"/>
      <c r="AF210" s="5155"/>
      <c r="AH210" s="5152" t="s">
        <v>7842</v>
      </c>
      <c r="AI210" s="331"/>
      <c r="AJ210" s="331"/>
      <c r="AK210" s="331"/>
      <c r="AL210" s="331"/>
      <c r="AM210" s="1384">
        <v>3.472222222222222E-3</v>
      </c>
      <c r="AN210" s="1385" t="s">
        <v>1150</v>
      </c>
      <c r="AO210" s="77"/>
      <c r="AP210" s="77"/>
      <c r="AQ210" s="77"/>
      <c r="AR210" s="1386">
        <v>100</v>
      </c>
      <c r="AS210" s="1387" t="s">
        <v>1151</v>
      </c>
      <c r="AU210" s="5155"/>
      <c r="AX210" s="141"/>
      <c r="AY210" s="141"/>
      <c r="AZ210" s="141"/>
      <c r="BA210" s="141"/>
      <c r="BB210" s="1371"/>
      <c r="BC210" s="1371"/>
      <c r="BD210" s="1371"/>
      <c r="BE210" s="1371"/>
      <c r="BF210" s="1371"/>
      <c r="BG210" s="1371"/>
      <c r="BH210" s="1371"/>
      <c r="BJ210" s="3"/>
      <c r="BK210" s="3"/>
      <c r="BL210" s="3"/>
      <c r="BM210" s="3"/>
      <c r="BN210" s="1"/>
      <c r="BO210" s="1255" t="str">
        <f t="shared" si="28"/>
        <v>70 car.</v>
      </c>
      <c r="BP210" s="1256" t="s">
        <v>1061</v>
      </c>
      <c r="BQ210" s="7671" t="str">
        <f>LEFT(RIGHT(BP201,LEN(BP201)-LEN(BQ208)-LEN(BQ209)),BS201)</f>
        <v xml:space="preserve"> avec le morceau de beurre sur le mode « dorer » / 3 min (préchauffage</v>
      </c>
      <c r="BR210" s="7671"/>
      <c r="BS210" s="7671"/>
      <c r="BT210" s="7671"/>
      <c r="BU210" s="7672"/>
      <c r="BW210" s="5">
        <v>1</v>
      </c>
    </row>
    <row r="211" spans="2:75" ht="15.75">
      <c r="B211" s="5155"/>
      <c r="Q211" s="5155"/>
      <c r="R211" s="5153"/>
      <c r="S211" s="5153"/>
      <c r="T211" s="5154" t="s">
        <v>7846</v>
      </c>
      <c r="U211" s="141"/>
      <c r="V211" s="141"/>
      <c r="W211" s="141"/>
      <c r="X211" s="1354" t="s">
        <v>252</v>
      </c>
      <c r="Y211" s="1550"/>
      <c r="Z211" s="1550"/>
      <c r="AA211" s="1550"/>
      <c r="AB211" s="1550"/>
      <c r="AC211" s="1551"/>
      <c r="AD211" s="1434" t="s">
        <v>1280</v>
      </c>
      <c r="AF211" s="5155"/>
      <c r="AI211" s="331"/>
      <c r="AJ211" s="331"/>
      <c r="AK211" s="331"/>
      <c r="AL211" s="331"/>
      <c r="AM211" s="1388">
        <v>1.0416666666666666E-2</v>
      </c>
      <c r="AN211" s="1385" t="s">
        <v>1152</v>
      </c>
      <c r="AO211" s="77"/>
      <c r="AP211" s="77"/>
      <c r="AQ211" s="77"/>
      <c r="AR211" s="1389">
        <v>90</v>
      </c>
      <c r="AS211" s="1390" t="s">
        <v>1153</v>
      </c>
      <c r="AU211" s="5155"/>
      <c r="AX211" s="141"/>
      <c r="AY211" s="141"/>
      <c r="AZ211" s="141"/>
      <c r="BA211" s="141"/>
      <c r="BB211" s="1371"/>
      <c r="BC211" s="1371"/>
      <c r="BD211" s="1371"/>
      <c r="BE211" s="1371"/>
      <c r="BF211" s="1371"/>
      <c r="BG211" s="1371"/>
      <c r="BH211" s="1371"/>
      <c r="BJ211" s="3"/>
      <c r="BK211" s="3"/>
      <c r="BL211" s="3"/>
      <c r="BM211" s="3"/>
      <c r="BN211" s="1"/>
      <c r="BO211" s="1255" t="str">
        <f t="shared" si="28"/>
        <v>47 car.</v>
      </c>
      <c r="BP211" s="1256" t="s">
        <v>1062</v>
      </c>
      <c r="BQ211" s="7671" t="str">
        <f>LEFT(RIGHT(BP201,LEN(BP201)-LEN(BQ208)-LEN(BQ209)-LEN(BQ210)),BS201)</f>
        <v xml:space="preserve"> inclus), en remuant avec une cuillère en bois.</v>
      </c>
      <c r="BR211" s="7671"/>
      <c r="BS211" s="7671"/>
      <c r="BT211" s="7671"/>
      <c r="BU211" s="7672"/>
      <c r="BW211" s="5">
        <v>1</v>
      </c>
    </row>
    <row r="212" spans="2:75" ht="15.75" customHeight="1">
      <c r="B212" s="5155"/>
      <c r="Q212" s="5155"/>
      <c r="T212" s="5152" t="s">
        <v>7842</v>
      </c>
      <c r="U212" s="141"/>
      <c r="V212" s="141"/>
      <c r="W212" s="141"/>
      <c r="X212" s="1554" t="s">
        <v>198</v>
      </c>
      <c r="Y212" s="7070" t="s">
        <v>196</v>
      </c>
      <c r="Z212" s="7651" t="s">
        <v>929</v>
      </c>
      <c r="AA212" s="7073" t="s">
        <v>195</v>
      </c>
      <c r="AB212" s="7653" t="s">
        <v>183</v>
      </c>
      <c r="AC212" s="7077" t="s">
        <v>1282</v>
      </c>
      <c r="AD212" s="7393" t="s">
        <v>185</v>
      </c>
      <c r="AF212" s="5155"/>
      <c r="AI212" s="331"/>
      <c r="AJ212" s="331"/>
      <c r="AK212" s="331"/>
      <c r="AL212" s="331"/>
      <c r="AM212" s="1391">
        <v>2.0833333333333332E-2</v>
      </c>
      <c r="AN212" s="1385" t="s">
        <v>1154</v>
      </c>
      <c r="AO212" s="988"/>
      <c r="AP212" s="988"/>
      <c r="AQ212" s="988"/>
      <c r="AR212" s="1392" t="s">
        <v>1155</v>
      </c>
      <c r="AS212" s="1393" t="s">
        <v>1156</v>
      </c>
      <c r="AU212" s="5155"/>
      <c r="AV212" s="5153"/>
      <c r="AW212" s="5154" t="s">
        <v>7848</v>
      </c>
      <c r="AX212" s="141"/>
      <c r="AY212" s="141"/>
      <c r="AZ212" s="141"/>
      <c r="BA212" s="141"/>
      <c r="BB212" s="1354" t="s">
        <v>252</v>
      </c>
      <c r="BC212" s="1355"/>
      <c r="BD212" s="1355"/>
      <c r="BE212" s="1355"/>
      <c r="BF212" s="1355"/>
      <c r="BG212" s="1356"/>
      <c r="BH212" s="1357" t="s">
        <v>1229</v>
      </c>
      <c r="BJ212" s="3"/>
      <c r="BK212" s="3"/>
      <c r="BL212" s="3"/>
      <c r="BM212" s="3"/>
      <c r="BN212" s="1"/>
      <c r="BO212" s="1255" t="str">
        <f t="shared" si="28"/>
        <v>0 car.</v>
      </c>
      <c r="BP212" s="1256" t="s">
        <v>1063</v>
      </c>
      <c r="BQ212" s="7671" t="str">
        <f>LEFT(RIGHT(BP201,LEN(BP201)-LEN(BQ208)-LEN(BQ209)-LEN(BQ210)-LEN(BQ211)),BS201)</f>
        <v/>
      </c>
      <c r="BR212" s="7671"/>
      <c r="BS212" s="7671"/>
      <c r="BT212" s="7671"/>
      <c r="BU212" s="7672"/>
      <c r="BW212" s="5">
        <v>1</v>
      </c>
    </row>
    <row r="213" spans="2:75" ht="15.75" customHeight="1">
      <c r="B213" s="5155"/>
      <c r="Q213" s="5155"/>
      <c r="T213" s="141"/>
      <c r="U213" s="141"/>
      <c r="V213" s="141"/>
      <c r="W213" s="141"/>
      <c r="X213" s="287" t="s">
        <v>191</v>
      </c>
      <c r="Y213" s="6905"/>
      <c r="Z213" s="7668"/>
      <c r="AA213" s="7074"/>
      <c r="AB213" s="7669"/>
      <c r="AC213" s="7670"/>
      <c r="AD213" s="7656"/>
      <c r="AF213" s="5155"/>
      <c r="AI213" s="331"/>
      <c r="AJ213" s="331"/>
      <c r="AK213" s="331"/>
      <c r="AL213" s="331"/>
      <c r="AM213" s="1394">
        <f>AM210+AM211+AM212</f>
        <v>3.4722222222222224E-2</v>
      </c>
      <c r="AN213" s="1395" t="s">
        <v>37</v>
      </c>
      <c r="AO213" s="988"/>
      <c r="AP213" s="988"/>
      <c r="AQ213" s="988"/>
      <c r="AR213" s="1396" t="s">
        <v>1155</v>
      </c>
      <c r="AS213" s="1397" t="s">
        <v>1157</v>
      </c>
      <c r="AU213" s="5155"/>
      <c r="AW213" s="5152" t="s">
        <v>7842</v>
      </c>
      <c r="AX213" s="141"/>
      <c r="AY213" s="141"/>
      <c r="AZ213" s="141"/>
      <c r="BA213" s="141"/>
      <c r="BB213" s="1319"/>
      <c r="BC213" s="612" t="s">
        <v>1231</v>
      </c>
      <c r="BD213" s="147"/>
      <c r="BE213" s="147"/>
      <c r="BF213" s="102"/>
      <c r="BG213" s="102"/>
      <c r="BH213" s="1494" t="s">
        <v>1232</v>
      </c>
      <c r="BJ213" s="3"/>
      <c r="BK213" s="3"/>
      <c r="BL213" s="3"/>
      <c r="BM213" s="3"/>
      <c r="BN213" s="1"/>
      <c r="BO213" s="1255" t="str">
        <f t="shared" si="28"/>
        <v>0 car.</v>
      </c>
      <c r="BP213" s="1256" t="s">
        <v>1064</v>
      </c>
      <c r="BQ213" s="7671" t="str">
        <f>LEFT(RIGHT(BP201,LEN(BP201)-LEN(BQ208)-LEN(BQ209)-LEN(BQ210)-LEN(BQ211)-LEN(BQ212)),BS201)</f>
        <v/>
      </c>
      <c r="BR213" s="7671"/>
      <c r="BS213" s="7671"/>
      <c r="BT213" s="7671"/>
      <c r="BU213" s="7672"/>
      <c r="BW213" s="5">
        <v>1</v>
      </c>
    </row>
    <row r="214" spans="2:75" ht="15.75" customHeight="1">
      <c r="B214" s="5155"/>
      <c r="Q214" s="5155"/>
      <c r="T214" s="141"/>
      <c r="U214" s="141"/>
      <c r="V214" s="141"/>
      <c r="W214" s="141"/>
      <c r="X214" s="1561"/>
      <c r="Y214" s="210">
        <v>350</v>
      </c>
      <c r="Z214" s="5493">
        <f>IFERROR(INDEX(X220:AD220,MATCH(AA214,X219:AD219,0)) * Y214 * IF(ISBLANK(X214), 1, X214), 0)</f>
        <v>0.35000000000000003</v>
      </c>
      <c r="AA214" s="251" t="s">
        <v>130</v>
      </c>
      <c r="AB214" s="1562">
        <v>16</v>
      </c>
      <c r="AC214" s="1563">
        <f>((Z214-(Z214*AB214%)))</f>
        <v>0.29400000000000004</v>
      </c>
      <c r="AD214" s="1564" t="s">
        <v>177</v>
      </c>
      <c r="AF214" s="5155"/>
      <c r="AI214" s="331"/>
      <c r="AJ214" s="331"/>
      <c r="AK214" s="331"/>
      <c r="AL214" s="331"/>
      <c r="AM214" s="1369" t="s">
        <v>864</v>
      </c>
      <c r="AN214" s="1321"/>
      <c r="AO214" s="1321"/>
      <c r="AP214" s="1321"/>
      <c r="AQ214" s="1321"/>
      <c r="AR214" s="1321"/>
      <c r="AS214" s="1370" t="s">
        <v>1141</v>
      </c>
      <c r="AU214" s="5155"/>
      <c r="AX214" s="141"/>
      <c r="AY214" s="141"/>
      <c r="AZ214" s="141"/>
      <c r="BA214" s="141"/>
      <c r="BB214" s="1499"/>
      <c r="BC214" s="1500">
        <v>16</v>
      </c>
      <c r="BD214" s="141"/>
      <c r="BE214" s="1501" t="s">
        <v>1234</v>
      </c>
      <c r="BF214" t="s">
        <v>1235</v>
      </c>
      <c r="BG214" s="147"/>
      <c r="BH214" s="1326" t="s">
        <v>1236</v>
      </c>
      <c r="BJ214" s="3"/>
      <c r="BK214" s="3"/>
      <c r="BL214" s="3"/>
      <c r="BM214" s="3"/>
      <c r="BN214" s="1"/>
      <c r="BO214" s="1239"/>
      <c r="BP214" s="7657" t="s">
        <v>1065</v>
      </c>
      <c r="BQ214" s="7657"/>
      <c r="BR214" s="7657"/>
      <c r="BS214" s="7657"/>
      <c r="BT214" s="7657"/>
      <c r="BU214" s="7658"/>
      <c r="BW214" s="5">
        <v>1</v>
      </c>
    </row>
    <row r="215" spans="2:75" ht="15.75">
      <c r="B215" s="5155"/>
      <c r="Q215" s="5155"/>
      <c r="T215" s="141"/>
      <c r="U215" s="141"/>
      <c r="V215" s="141"/>
      <c r="W215" s="141"/>
      <c r="X215" s="1568"/>
      <c r="Y215" s="1569">
        <v>1.2</v>
      </c>
      <c r="Z215" s="5493">
        <f>IFERROR(INDEX(X220:AD220,MATCH(AA215,X219:AD219,0)) * Y215 * IF(ISBLANK(X215), 1, X215), 0)</f>
        <v>1.2</v>
      </c>
      <c r="AA215" s="314" t="s">
        <v>219</v>
      </c>
      <c r="AB215" s="1570">
        <v>22</v>
      </c>
      <c r="AC215" s="1563">
        <f>((Z215-(Z215*AB215%)))</f>
        <v>0.93599999999999994</v>
      </c>
      <c r="AD215" s="1571" t="s">
        <v>174</v>
      </c>
      <c r="AF215" s="5155"/>
      <c r="AI215" s="331"/>
      <c r="AJ215" s="331"/>
      <c r="AK215" s="331"/>
      <c r="AL215" s="331"/>
      <c r="AM215" s="141"/>
      <c r="AN215" s="141"/>
      <c r="AO215" s="141"/>
      <c r="AP215" s="141"/>
      <c r="AQ215" s="141"/>
      <c r="AR215" s="141"/>
      <c r="AS215" s="141"/>
      <c r="AU215" s="5155"/>
      <c r="AW215" s="1353"/>
      <c r="AX215" s="141"/>
      <c r="AY215" s="141"/>
      <c r="AZ215" s="141"/>
      <c r="BA215" s="141"/>
      <c r="BB215" s="1505"/>
      <c r="BC215" s="1506" t="s">
        <v>1237</v>
      </c>
      <c r="BD215" s="1506"/>
      <c r="BE215" s="1507">
        <v>32</v>
      </c>
      <c r="BF215" s="1508" t="str">
        <f>BE214</f>
        <v xml:space="preserve">portions </v>
      </c>
      <c r="BG215" s="988"/>
      <c r="BH215" s="1326" t="s">
        <v>1238</v>
      </c>
      <c r="BJ215" s="3"/>
      <c r="BK215" s="3"/>
      <c r="BL215" s="3"/>
      <c r="BM215" s="3"/>
      <c r="BN215" s="1"/>
      <c r="BO215" s="1239"/>
      <c r="BP215" s="7657"/>
      <c r="BQ215" s="7657"/>
      <c r="BR215" s="7657"/>
      <c r="BS215" s="7657"/>
      <c r="BT215" s="7657"/>
      <c r="BU215" s="7658"/>
      <c r="BW215" s="5">
        <v>1</v>
      </c>
    </row>
    <row r="216" spans="2:75" ht="15" customHeight="1">
      <c r="B216" s="5155"/>
      <c r="Q216" s="5155"/>
      <c r="T216" s="141"/>
      <c r="U216" s="141"/>
      <c r="V216" s="141"/>
      <c r="W216" s="141"/>
      <c r="X216" s="1568">
        <v>2</v>
      </c>
      <c r="Y216" s="210">
        <v>50</v>
      </c>
      <c r="Z216" s="5493">
        <f>IFERROR(INDEX(X220:AD220,MATCH(AA216,X219:AD219,0)) * Y216 * IF(ISBLANK(X216), 1, X216), 0)</f>
        <v>0.1</v>
      </c>
      <c r="AA216" s="251" t="s">
        <v>130</v>
      </c>
      <c r="AB216" s="1570"/>
      <c r="AC216" s="1563">
        <f>((Z216-(Z216*AB216%)))</f>
        <v>0.1</v>
      </c>
      <c r="AD216" s="1575" t="s">
        <v>1286</v>
      </c>
      <c r="AF216" s="5155"/>
      <c r="AI216" s="331"/>
      <c r="AJ216" s="331"/>
      <c r="AK216" s="331"/>
      <c r="AL216" s="331"/>
      <c r="AM216" s="141"/>
      <c r="AN216" s="141"/>
      <c r="AO216" s="141"/>
      <c r="AP216" s="141"/>
      <c r="AQ216" s="141"/>
      <c r="AR216" s="141"/>
      <c r="AS216" s="141"/>
      <c r="AU216" s="5155"/>
      <c r="AW216" s="1"/>
      <c r="AX216" s="141"/>
      <c r="AY216" s="141"/>
      <c r="AZ216" s="141"/>
      <c r="BA216" s="141"/>
      <c r="BB216" s="1511"/>
      <c r="BC216" s="1512" t="s">
        <v>1239</v>
      </c>
      <c r="BD216" s="141"/>
      <c r="BE216" s="1513" t="str">
        <f>BC216</f>
        <v>Gastro</v>
      </c>
      <c r="BF216" s="1514" t="s">
        <v>1240</v>
      </c>
      <c r="BG216" s="988"/>
      <c r="BH216" s="1326" t="s">
        <v>1241</v>
      </c>
      <c r="BJ216" s="3"/>
      <c r="BK216" s="3"/>
      <c r="BL216" s="3"/>
      <c r="BM216" s="3"/>
      <c r="BN216" s="1"/>
      <c r="BO216" s="1079"/>
      <c r="BP216" s="1194"/>
      <c r="BQ216" s="1081"/>
      <c r="BR216" s="1080"/>
      <c r="BS216" s="1080"/>
      <c r="BT216" s="1080"/>
      <c r="BU216" s="1082"/>
      <c r="BW216" s="5">
        <v>1</v>
      </c>
    </row>
    <row r="217" spans="2:75" ht="16.5" thickBot="1">
      <c r="B217" s="5155"/>
      <c r="Q217" s="5155"/>
      <c r="T217" s="141"/>
      <c r="U217" s="141"/>
      <c r="V217" s="141"/>
      <c r="W217" s="141"/>
      <c r="X217" s="1568"/>
      <c r="Y217" s="210">
        <v>1</v>
      </c>
      <c r="Z217" s="5493">
        <f>IFERROR(INDEX(X220:AD220,MATCH(AA217,X219:AD219,0)) * Y217 * IF(ISBLANK(X217), 1, X217), 0)</f>
        <v>0.5</v>
      </c>
      <c r="AA217" s="265" t="s">
        <v>159</v>
      </c>
      <c r="AB217" s="1570"/>
      <c r="AC217" s="1563">
        <f>((Z217-(Z217*AB217%)))</f>
        <v>0.5</v>
      </c>
      <c r="AD217" s="1571" t="s">
        <v>1289</v>
      </c>
      <c r="AF217" s="5155"/>
      <c r="AG217" s="5153"/>
      <c r="AH217" s="5154" t="s">
        <v>7847</v>
      </c>
      <c r="AI217" s="331"/>
      <c r="AJ217" s="331"/>
      <c r="AK217" s="331"/>
      <c r="AL217" s="331"/>
      <c r="AM217" s="1354" t="s">
        <v>252</v>
      </c>
      <c r="AN217" s="1355"/>
      <c r="AO217" s="1355"/>
      <c r="AP217" s="1355"/>
      <c r="AQ217" s="1355"/>
      <c r="AR217" s="1356"/>
      <c r="AS217" s="1357" t="s">
        <v>1274</v>
      </c>
      <c r="AU217" s="5155"/>
      <c r="AW217" s="1"/>
      <c r="AX217" s="141"/>
      <c r="AY217" s="141"/>
      <c r="AZ217" s="141"/>
      <c r="BA217" s="141"/>
      <c r="BB217" s="1358" t="s">
        <v>1118</v>
      </c>
      <c r="BC217" s="1512">
        <v>1</v>
      </c>
      <c r="BD217" s="141"/>
      <c r="BE217" s="1515">
        <f>(BC217/BC214)*BE215</f>
        <v>2</v>
      </c>
      <c r="BF217" s="1516" t="s">
        <v>1242</v>
      </c>
      <c r="BG217" s="988"/>
      <c r="BH217" s="1326" t="s">
        <v>1243</v>
      </c>
      <c r="BJ217" s="3"/>
      <c r="BK217" s="3"/>
      <c r="BL217" s="3"/>
      <c r="BM217" s="3"/>
      <c r="BN217" s="1"/>
      <c r="BO217" s="1258" t="s">
        <v>1066</v>
      </c>
      <c r="BP217" s="141"/>
      <c r="BQ217" s="141"/>
      <c r="BR217" s="141"/>
      <c r="BS217" s="141"/>
      <c r="BT217" s="141"/>
      <c r="BU217" s="409"/>
      <c r="BW217" s="5">
        <v>1</v>
      </c>
    </row>
    <row r="218" spans="2:75" ht="15.75" customHeight="1" thickTop="1" thickBot="1">
      <c r="B218" s="5155"/>
      <c r="Q218" s="5155"/>
      <c r="T218" s="141"/>
      <c r="U218" s="141"/>
      <c r="V218" s="141"/>
      <c r="W218" s="141"/>
      <c r="X218" s="1581" t="s">
        <v>1294</v>
      </c>
      <c r="Y218" s="988"/>
      <c r="Z218" s="988"/>
      <c r="AA218" s="988"/>
      <c r="AB218" s="988"/>
      <c r="AC218" s="988"/>
      <c r="AD218" s="1582" t="s">
        <v>1295</v>
      </c>
      <c r="AF218" s="5155"/>
      <c r="AH218" s="5152" t="s">
        <v>7842</v>
      </c>
      <c r="AI218" s="331"/>
      <c r="AJ218" s="331"/>
      <c r="AK218" s="331"/>
      <c r="AL218" s="331"/>
      <c r="AM218" s="1541" t="s">
        <v>1275</v>
      </c>
      <c r="AN218" s="1542" t="s">
        <v>1276</v>
      </c>
      <c r="AO218" s="1543"/>
      <c r="AP218" s="1544" t="s">
        <v>1277</v>
      </c>
      <c r="AQ218" s="1542" t="s">
        <v>21</v>
      </c>
      <c r="AR218" s="1542" t="s">
        <v>1278</v>
      </c>
      <c r="AS218" s="1545" t="s">
        <v>1279</v>
      </c>
      <c r="AU218" s="5155"/>
      <c r="AW218" s="5151" t="s">
        <v>218</v>
      </c>
      <c r="AX218" s="141"/>
      <c r="AY218" s="141"/>
      <c r="AZ218" s="141"/>
      <c r="BA218" s="141"/>
      <c r="BB218" s="1358" t="s">
        <v>1118</v>
      </c>
      <c r="BC218" s="1512">
        <v>1</v>
      </c>
      <c r="BD218" s="141"/>
      <c r="BE218" s="1515">
        <f>(BC218/BC214)*BE215</f>
        <v>2</v>
      </c>
      <c r="BF218" s="1516" t="s">
        <v>1244</v>
      </c>
      <c r="BG218" s="988"/>
      <c r="BH218" s="1326" t="s">
        <v>1245</v>
      </c>
      <c r="BJ218" s="3"/>
      <c r="BK218" s="3"/>
      <c r="BL218" s="3"/>
      <c r="BM218" s="3"/>
      <c r="BN218" s="1"/>
      <c r="BO218" s="1259">
        <v>3.472222222222222E-3</v>
      </c>
      <c r="BP218" s="1260" t="s">
        <v>1067</v>
      </c>
      <c r="BQ218" s="813"/>
      <c r="BR218" s="1261" t="s">
        <v>1068</v>
      </c>
      <c r="BS218" s="1262">
        <v>1.0416666666666666E-2</v>
      </c>
      <c r="BT218" s="1261"/>
      <c r="BU218" s="1263"/>
      <c r="BW218" s="5">
        <v>1</v>
      </c>
    </row>
    <row r="219" spans="2:75" ht="15.75" customHeight="1" thickTop="1">
      <c r="B219" s="5155"/>
      <c r="Q219" s="5155"/>
      <c r="T219" s="141"/>
      <c r="U219" s="141"/>
      <c r="V219" s="141"/>
      <c r="W219" s="141"/>
      <c r="X219" s="314" t="s">
        <v>219</v>
      </c>
      <c r="Y219" s="251" t="s">
        <v>130</v>
      </c>
      <c r="Z219" s="1583"/>
      <c r="AA219" s="265" t="s">
        <v>159</v>
      </c>
      <c r="AB219" s="265" t="s">
        <v>164</v>
      </c>
      <c r="AC219" s="251" t="s">
        <v>88</v>
      </c>
      <c r="AD219" s="1584" t="s">
        <v>170</v>
      </c>
      <c r="AF219" s="5155"/>
      <c r="AI219" s="331"/>
      <c r="AJ219" s="331"/>
      <c r="AK219" s="331"/>
      <c r="AL219" s="331"/>
      <c r="AM219" s="1546" t="str">
        <f>"cellule "&amp;ADDRESS(ROW(AS219),COLUMN(AS219),4)&amp;"  vous pouvez saisir un autre poids"</f>
        <v>cellule AS219  vous pouvez saisir un autre poids</v>
      </c>
      <c r="AN219" s="1547"/>
      <c r="AO219" s="1548"/>
      <c r="AP219" s="102"/>
      <c r="AQ219" s="1547"/>
      <c r="AS219" s="1549">
        <v>1</v>
      </c>
      <c r="AU219" s="5155"/>
      <c r="AW219" s="1111" t="s">
        <v>935</v>
      </c>
      <c r="AX219" s="141"/>
      <c r="AY219" s="141"/>
      <c r="AZ219" s="141"/>
      <c r="BA219" s="141"/>
      <c r="BB219" s="1358" t="s">
        <v>1118</v>
      </c>
      <c r="BC219" s="1512">
        <v>1</v>
      </c>
      <c r="BD219" s="141"/>
      <c r="BE219" s="1515">
        <f>(BC219/BC214)*BE215</f>
        <v>2</v>
      </c>
      <c r="BF219" s="1516" t="s">
        <v>1246</v>
      </c>
      <c r="BG219" s="988"/>
      <c r="BH219" s="1326" t="s">
        <v>1247</v>
      </c>
      <c r="BJ219" s="3"/>
      <c r="BK219" s="3"/>
      <c r="BL219" s="3"/>
      <c r="BM219" s="3"/>
      <c r="BN219" s="1"/>
      <c r="BO219" s="1264" t="s">
        <v>1070</v>
      </c>
      <c r="BP219" s="1265">
        <v>2.0833333333333332E-2</v>
      </c>
      <c r="BQ219" s="1266"/>
      <c r="BR219" s="1267" t="s">
        <v>1069</v>
      </c>
      <c r="BS219" s="1268">
        <f>BO218+BS218+BP219</f>
        <v>3.4722222222222224E-2</v>
      </c>
      <c r="BT219" s="1266"/>
      <c r="BU219" s="1269"/>
      <c r="BW219" s="5">
        <v>1</v>
      </c>
    </row>
    <row r="220" spans="2:75" ht="15.75">
      <c r="B220" s="5155"/>
      <c r="Q220" s="5155"/>
      <c r="T220" s="141"/>
      <c r="U220" s="141"/>
      <c r="V220" s="141"/>
      <c r="W220" s="141"/>
      <c r="X220" s="1585">
        <v>1</v>
      </c>
      <c r="Y220" s="1585">
        <v>1E-3</v>
      </c>
      <c r="Z220" s="1583"/>
      <c r="AA220" s="1586">
        <v>0.5</v>
      </c>
      <c r="AB220" s="1585">
        <v>0.25</v>
      </c>
      <c r="AC220" s="1587">
        <v>1</v>
      </c>
      <c r="AD220" s="1588">
        <v>0.01</v>
      </c>
      <c r="AF220" s="5155"/>
      <c r="AI220" s="331"/>
      <c r="AJ220" s="331"/>
      <c r="AK220" s="331"/>
      <c r="AL220" s="331"/>
      <c r="AM220" s="5456">
        <v>100</v>
      </c>
      <c r="AN220" s="5457">
        <v>120</v>
      </c>
      <c r="AO220" s="1552"/>
      <c r="AP220" s="5457">
        <v>180</v>
      </c>
      <c r="AQ220" s="5457">
        <v>180</v>
      </c>
      <c r="AR220" s="5457">
        <v>200</v>
      </c>
      <c r="AS220" s="1553" t="s">
        <v>1281</v>
      </c>
      <c r="AU220" s="5155"/>
      <c r="AW220" s="1358" t="s">
        <v>1118</v>
      </c>
      <c r="AX220" s="141"/>
      <c r="AY220" s="141"/>
      <c r="AZ220" s="141"/>
      <c r="BA220" s="141"/>
      <c r="BB220" s="1358" t="s">
        <v>1118</v>
      </c>
      <c r="BC220" s="1512">
        <v>1</v>
      </c>
      <c r="BD220" s="141"/>
      <c r="BE220" s="1515">
        <f>(BC220/BC214)*BE215</f>
        <v>2</v>
      </c>
      <c r="BF220" s="1516" t="s">
        <v>1248</v>
      </c>
      <c r="BG220" s="988"/>
      <c r="BH220" s="1326" t="s">
        <v>1249</v>
      </c>
      <c r="BJ220" s="3"/>
      <c r="BK220" s="3"/>
      <c r="BL220" s="3"/>
      <c r="BM220" s="3"/>
      <c r="BN220" s="1"/>
      <c r="BO220" s="1160"/>
      <c r="BP220" s="141"/>
      <c r="BQ220" s="141"/>
      <c r="BR220" s="141"/>
      <c r="BS220" s="141"/>
      <c r="BT220" s="141"/>
      <c r="BU220" s="409"/>
      <c r="BW220" s="5">
        <v>1</v>
      </c>
    </row>
    <row r="221" spans="2:75" ht="23.25" customHeight="1">
      <c r="B221" s="5155"/>
      <c r="Q221" s="5155"/>
      <c r="T221" s="141"/>
      <c r="U221" s="141"/>
      <c r="V221" s="141"/>
      <c r="W221" s="141"/>
      <c r="X221" s="1323"/>
      <c r="Y221" s="988"/>
      <c r="Z221" s="988"/>
      <c r="AA221" s="988"/>
      <c r="AB221" s="988"/>
      <c r="AC221" s="988"/>
      <c r="AD221" s="1325"/>
      <c r="AF221" s="5155"/>
      <c r="AI221" s="331"/>
      <c r="AJ221" s="331"/>
      <c r="AK221" s="331"/>
      <c r="AL221" s="331"/>
      <c r="AM221" s="1555">
        <f>IF(MOD(AS219*1000/AM220,1)=0,AS219*1000/AM220,IF(MOD(AS219*1000/AM220,1)&lt;0.5,INT(AS219*1000/AM220),INT(AS219*1000/AM220)+1))</f>
        <v>10</v>
      </c>
      <c r="AN221" s="1556">
        <f>IF(MOD(AS219*1000/AN220,1)=0,AS219*1000/AN220,IF(MOD(AS219*1000/AN220,1)&lt;0.5,INT(AS219*1000/AN220),INT(AS219*1000/AN220)+1))</f>
        <v>8</v>
      </c>
      <c r="AO221" s="1557"/>
      <c r="AP221" s="1556">
        <f>IF(MOD(AS219*1000/AP220,1)=0,AS219*1000/AP220,IF(MOD(AS219*1000/AP220,1)&lt;0.5,INT(AS219*1000/AP220),INT(AS219*1000/AP220)+1))</f>
        <v>6</v>
      </c>
      <c r="AQ221" s="1556">
        <f>IF(MOD(AS219*1000/AQ220,1)=0,AS219*1000/AQ220,IF(MOD(AS219*1000/AQ220,1)&lt;0.5,INT(AS219*1000/AQ220),INT(AS219*1000/AQ220)+1))</f>
        <v>6</v>
      </c>
      <c r="AR221" s="1556">
        <f>IF(MOD(AS219*1000/AR220,1)=0,AS219*1000/AR220,IF(MOD(AS219*1000/AR220,1)&lt;0.5,INT(AS219*1000/AR220),INT(AS219*1000/AR220)+1))</f>
        <v>5</v>
      </c>
      <c r="AS221" s="1558" t="s">
        <v>1283</v>
      </c>
      <c r="AU221" s="5155"/>
      <c r="AW221" s="1411" t="s">
        <v>1175</v>
      </c>
      <c r="AX221" s="141"/>
      <c r="AY221" s="141"/>
      <c r="AZ221" s="141"/>
      <c r="BA221" s="141"/>
      <c r="BB221" s="1358" t="s">
        <v>1118</v>
      </c>
      <c r="BC221" s="1512">
        <v>1</v>
      </c>
      <c r="BD221" s="141"/>
      <c r="BE221" s="1515">
        <f>(BC221/BC214)*BE215</f>
        <v>2</v>
      </c>
      <c r="BF221" s="1516" t="s">
        <v>1250</v>
      </c>
      <c r="BG221" s="988"/>
      <c r="BH221" s="1326" t="s">
        <v>1251</v>
      </c>
      <c r="BJ221" s="3"/>
      <c r="BK221" s="3"/>
      <c r="BL221" s="3"/>
      <c r="BM221" s="3"/>
      <c r="BN221" s="1"/>
      <c r="BO221" s="343"/>
      <c r="BP221" s="1270" t="s">
        <v>1072</v>
      </c>
      <c r="BQ221" s="1271" t="s">
        <v>1071</v>
      </c>
      <c r="BR221" s="1272"/>
      <c r="BS221" s="1270"/>
      <c r="BT221" s="1270" t="s">
        <v>1073</v>
      </c>
      <c r="BU221" s="1273" t="s">
        <v>1071</v>
      </c>
      <c r="BW221" s="5">
        <v>1</v>
      </c>
    </row>
    <row r="222" spans="2:75" ht="15.75">
      <c r="B222" s="5155"/>
      <c r="Q222" s="5155"/>
      <c r="T222" s="141"/>
      <c r="U222" s="141"/>
      <c r="V222" s="141"/>
      <c r="W222" s="141"/>
      <c r="X222" s="1369" t="s">
        <v>864</v>
      </c>
      <c r="Y222" s="1321"/>
      <c r="Z222" s="1321"/>
      <c r="AA222" s="1321"/>
      <c r="AB222" s="1321"/>
      <c r="AC222" s="1321"/>
      <c r="AD222" s="1370"/>
      <c r="AF222" s="5155"/>
      <c r="AI222" s="331"/>
      <c r="AJ222" s="331"/>
      <c r="AK222" s="331"/>
      <c r="AL222" s="331"/>
      <c r="AM222" s="1546" t="str">
        <f>"cellule "&amp;ADDRESS(ROW(AS222),COLUMN(AS222),4)&amp;"  vous pouvez saisir un autre poids"</f>
        <v>cellule AS222  vous pouvez saisir un autre poids</v>
      </c>
      <c r="AN222" s="1552"/>
      <c r="AO222" s="1559"/>
      <c r="AP222" s="141"/>
      <c r="AQ222" s="1552"/>
      <c r="AS222" s="1560">
        <v>1</v>
      </c>
      <c r="AU222" s="5155"/>
      <c r="AW222" s="5423" t="s">
        <v>1171</v>
      </c>
      <c r="AX222" s="141"/>
      <c r="AY222" s="141"/>
      <c r="AZ222" s="141"/>
      <c r="BA222" s="141"/>
      <c r="BB222" s="1518" t="s">
        <v>1252</v>
      </c>
      <c r="BC222" s="1512">
        <v>1</v>
      </c>
      <c r="BD222" s="141"/>
      <c r="BE222" s="1515">
        <f>(BC222/BC214)*BE215</f>
        <v>2</v>
      </c>
      <c r="BF222" s="988"/>
      <c r="BG222" s="988"/>
      <c r="BH222" s="1326" t="s">
        <v>1253</v>
      </c>
      <c r="BJ222" s="3"/>
      <c r="BK222" s="3"/>
      <c r="BL222" s="3"/>
      <c r="BM222" s="3"/>
      <c r="BN222" s="1"/>
      <c r="BO222" s="1160"/>
      <c r="BP222" s="141"/>
      <c r="BQ222" s="141"/>
      <c r="BR222" s="141"/>
      <c r="BS222" s="141"/>
      <c r="BT222" s="141"/>
      <c r="BU222" s="409"/>
      <c r="BW222" s="5">
        <v>1</v>
      </c>
    </row>
    <row r="223" spans="2:75" ht="16.5" customHeight="1" thickBot="1">
      <c r="B223" s="5155"/>
      <c r="Q223" s="5155"/>
      <c r="T223" s="141"/>
      <c r="U223" s="141"/>
      <c r="V223" s="141"/>
      <c r="W223" s="141"/>
      <c r="X223" s="1594"/>
      <c r="Y223" s="1595"/>
      <c r="Z223" s="1596"/>
      <c r="AA223" s="1596"/>
      <c r="AB223" s="1596"/>
      <c r="AC223" s="1596"/>
      <c r="AD223" s="1597"/>
      <c r="AF223" s="5155"/>
      <c r="AI223" s="331"/>
      <c r="AJ223" s="331"/>
      <c r="AK223" s="331"/>
      <c r="AL223" s="331"/>
      <c r="AM223" s="1565">
        <v>10</v>
      </c>
      <c r="AN223" s="1512">
        <v>8</v>
      </c>
      <c r="AO223" s="1566"/>
      <c r="AP223" s="1512">
        <v>5</v>
      </c>
      <c r="AQ223" s="1512">
        <v>6</v>
      </c>
      <c r="AR223" s="1512">
        <v>10</v>
      </c>
      <c r="AS223" s="1567" t="s">
        <v>1284</v>
      </c>
      <c r="AU223" s="5155"/>
      <c r="AW223" s="5423" t="s">
        <v>7843</v>
      </c>
      <c r="AX223" s="141"/>
      <c r="AY223" s="141"/>
      <c r="AZ223" s="141"/>
      <c r="BA223" s="141"/>
      <c r="BB223" s="1518" t="s">
        <v>1252</v>
      </c>
      <c r="BC223" s="1512">
        <v>1</v>
      </c>
      <c r="BD223" s="141"/>
      <c r="BE223" s="1515">
        <f>(BC223/BC214)*BE215</f>
        <v>2</v>
      </c>
      <c r="BF223" s="988"/>
      <c r="BG223" s="988"/>
      <c r="BH223" s="1326"/>
      <c r="BJ223" s="3"/>
      <c r="BK223" s="3"/>
      <c r="BL223" s="3"/>
      <c r="BM223" s="3"/>
      <c r="BN223" s="1"/>
      <c r="BO223" s="1083"/>
      <c r="BP223" s="1274" t="s">
        <v>1074</v>
      </c>
      <c r="BQ223" s="1275"/>
      <c r="BR223" s="1275"/>
      <c r="BS223" s="1275"/>
      <c r="BT223" s="1276"/>
      <c r="BU223" s="609"/>
      <c r="BW223" s="5">
        <v>1</v>
      </c>
    </row>
    <row r="224" spans="2:75" ht="17.25" customHeight="1" thickTop="1">
      <c r="B224" s="5155"/>
      <c r="Q224" s="5155"/>
      <c r="T224" s="141"/>
      <c r="U224" s="141"/>
      <c r="V224" s="141"/>
      <c r="W224" s="141"/>
      <c r="X224" s="1323"/>
      <c r="Y224" s="988"/>
      <c r="Z224" s="988"/>
      <c r="AA224" s="988"/>
      <c r="AB224" s="988"/>
      <c r="AC224" s="988"/>
      <c r="AD224" s="1325"/>
      <c r="AF224" s="5155"/>
      <c r="AI224" s="331"/>
      <c r="AJ224" s="331"/>
      <c r="AK224" s="331"/>
      <c r="AL224" s="331"/>
      <c r="AM224" s="1572">
        <f>AS222/AM223*1000</f>
        <v>100</v>
      </c>
      <c r="AN224" s="1573">
        <f>AS222/AN223*1000</f>
        <v>125</v>
      </c>
      <c r="AO224" s="1574"/>
      <c r="AP224" s="1573">
        <f>AS222/AP223*1000</f>
        <v>200</v>
      </c>
      <c r="AQ224" s="1573">
        <f>AS222/AQ223*1000</f>
        <v>166.66666666666666</v>
      </c>
      <c r="AR224" s="1573">
        <f>AS222/AR223*1000</f>
        <v>100</v>
      </c>
      <c r="AS224" s="1558" t="s">
        <v>1285</v>
      </c>
      <c r="AU224" s="5155"/>
      <c r="AX224" s="141"/>
      <c r="AY224" s="141"/>
      <c r="AZ224" s="141"/>
      <c r="BA224" s="141"/>
      <c r="BB224" s="1518" t="s">
        <v>1252</v>
      </c>
      <c r="BC224" s="1512">
        <v>1</v>
      </c>
      <c r="BD224" s="141"/>
      <c r="BE224" s="1515">
        <f>(BC224/BC214)*BE215</f>
        <v>2</v>
      </c>
      <c r="BF224" s="988"/>
      <c r="BG224" s="988"/>
      <c r="BH224" s="1326"/>
      <c r="BN224" s="2"/>
      <c r="BO224" s="1083"/>
      <c r="BP224" s="7659" t="s">
        <v>1075</v>
      </c>
      <c r="BQ224" s="7660"/>
      <c r="BR224" s="7660"/>
      <c r="BS224" s="7660"/>
      <c r="BT224" s="7661"/>
      <c r="BU224" s="609"/>
      <c r="BW224" s="5">
        <v>1</v>
      </c>
    </row>
    <row r="225" spans="2:75" ht="15.75">
      <c r="B225" s="5155"/>
      <c r="Q225" s="5155"/>
      <c r="T225" s="141"/>
      <c r="U225" s="141"/>
      <c r="V225" s="141"/>
      <c r="W225" s="141"/>
      <c r="X225" s="1599"/>
      <c r="Y225" s="997"/>
      <c r="Z225" s="997"/>
      <c r="AA225" s="997"/>
      <c r="AB225" s="997"/>
      <c r="AC225" s="997"/>
      <c r="AD225" s="1339" t="s">
        <v>1112</v>
      </c>
      <c r="AF225" s="5155"/>
      <c r="AI225" s="331"/>
      <c r="AJ225" s="331"/>
      <c r="AK225" s="331"/>
      <c r="AL225" s="331"/>
      <c r="AM225" s="1576" t="s">
        <v>1279</v>
      </c>
      <c r="AN225" s="1577"/>
      <c r="AO225" s="1578" t="s">
        <v>1287</v>
      </c>
      <c r="AP225" s="1577"/>
      <c r="AQ225" s="1577"/>
      <c r="AR225" s="1578" t="s">
        <v>1288</v>
      </c>
      <c r="AS225" s="1325"/>
      <c r="AU225" s="5155"/>
      <c r="AX225" s="141"/>
      <c r="AY225" s="141"/>
      <c r="AZ225" s="141"/>
      <c r="BA225" s="141"/>
      <c r="BB225" s="1519"/>
      <c r="BC225" s="988"/>
      <c r="BD225" s="988"/>
      <c r="BE225" s="988"/>
      <c r="BF225" s="988"/>
      <c r="BG225" s="988"/>
      <c r="BH225" s="1325"/>
      <c r="BN225" s="2"/>
      <c r="BO225" s="1083"/>
      <c r="BP225" s="7662"/>
      <c r="BQ225" s="7663"/>
      <c r="BR225" s="7663"/>
      <c r="BS225" s="7663"/>
      <c r="BT225" s="7664"/>
      <c r="BU225" s="609"/>
      <c r="BW225" s="5">
        <v>1</v>
      </c>
    </row>
    <row r="226" spans="2:75" ht="15.75" customHeight="1" thickBot="1">
      <c r="B226" s="5155"/>
      <c r="Q226" s="5155"/>
      <c r="T226" s="141"/>
      <c r="U226" s="141"/>
      <c r="V226" s="141"/>
      <c r="W226" s="141"/>
      <c r="X226" s="1454"/>
      <c r="Y226" s="1002"/>
      <c r="Z226" s="1002" t="s">
        <v>873</v>
      </c>
      <c r="AA226" s="1003"/>
      <c r="AB226" s="1329"/>
      <c r="AC226" s="1329"/>
      <c r="AD226" s="1330"/>
      <c r="AF226" s="5155"/>
      <c r="AI226" s="331"/>
      <c r="AJ226" s="331"/>
      <c r="AK226" s="331"/>
      <c r="AL226" s="331"/>
      <c r="AM226" s="1576" t="s">
        <v>1290</v>
      </c>
      <c r="AN226" s="1577"/>
      <c r="AO226" s="1579" t="s">
        <v>1291</v>
      </c>
      <c r="AP226" s="1577"/>
      <c r="AQ226" s="1577"/>
      <c r="AR226" s="1578" t="s">
        <v>1292</v>
      </c>
      <c r="AS226" s="1580" t="s">
        <v>1293</v>
      </c>
      <c r="AU226" s="5155"/>
      <c r="AX226" s="141"/>
      <c r="AY226" s="141"/>
      <c r="AZ226" s="141"/>
      <c r="BA226" s="141"/>
      <c r="BB226" s="1369" t="s">
        <v>864</v>
      </c>
      <c r="BC226" s="1321"/>
      <c r="BD226" s="1321"/>
      <c r="BE226" s="1321"/>
      <c r="BF226" s="1321"/>
      <c r="BG226" s="1321"/>
      <c r="BH226" s="1370" t="s">
        <v>1141</v>
      </c>
      <c r="BN226" s="1"/>
      <c r="BO226" s="1083"/>
      <c r="BP226" s="7665"/>
      <c r="BQ226" s="7666"/>
      <c r="BR226" s="7666"/>
      <c r="BS226" s="7666"/>
      <c r="BT226" s="7667"/>
      <c r="BU226" s="609"/>
      <c r="BW226" s="5">
        <v>1</v>
      </c>
    </row>
    <row r="227" spans="2:75" ht="16.5" customHeight="1" thickTop="1" thickBot="1">
      <c r="B227" s="5155"/>
      <c r="Q227" s="5155"/>
      <c r="T227" s="141"/>
      <c r="U227" s="141"/>
      <c r="V227" s="141"/>
      <c r="W227" s="141"/>
      <c r="X227" s="1332" t="s">
        <v>86</v>
      </c>
      <c r="Y227" s="1006"/>
      <c r="Z227" s="1007"/>
      <c r="AA227" s="1008"/>
      <c r="AB227" s="1007"/>
      <c r="AC227" s="1007"/>
      <c r="AD227" s="1333"/>
      <c r="AF227" s="5155"/>
      <c r="AI227" s="331"/>
      <c r="AJ227" s="331"/>
      <c r="AK227" s="331"/>
      <c r="AL227" s="331"/>
      <c r="AM227" s="1369" t="s">
        <v>864</v>
      </c>
      <c r="AN227" s="1321"/>
      <c r="AO227" s="1321"/>
      <c r="AP227" s="1321"/>
      <c r="AQ227" s="1321"/>
      <c r="AR227" s="1321"/>
      <c r="AS227" s="1370" t="s">
        <v>1141</v>
      </c>
      <c r="AU227" s="5155"/>
      <c r="AX227" s="141"/>
      <c r="AY227" s="141"/>
      <c r="AZ227" s="141"/>
      <c r="BA227" s="141"/>
      <c r="BB227" s="141"/>
      <c r="BC227" s="141"/>
      <c r="BD227" s="141"/>
      <c r="BE227" s="141"/>
      <c r="BF227" s="141"/>
      <c r="BG227" s="141"/>
      <c r="BH227" s="141"/>
      <c r="BN227" s="1"/>
      <c r="BO227" s="1083"/>
      <c r="BP227" s="1277" t="str">
        <f>LEN(SUBSTITUTE(BP224," ",""))&amp;" caractères plus "&amp;(LEN(BP224)-LEN(SUBSTITUTE(BP224," ","")))&amp;" espaces = "&amp;LEN(BP224)</f>
        <v>178 caractères plus 38 espaces = 216</v>
      </c>
      <c r="BQ227" s="1278"/>
      <c r="BR227" s="1278"/>
      <c r="BS227" s="1278"/>
      <c r="BT227" s="1278"/>
      <c r="BU227" s="609"/>
      <c r="BW227" s="5">
        <v>1</v>
      </c>
    </row>
    <row r="228" spans="2:75">
      <c r="B228" s="5155"/>
      <c r="Q228" s="5155"/>
      <c r="T228" s="141"/>
      <c r="U228" s="141"/>
      <c r="V228" s="141"/>
      <c r="W228" s="141"/>
      <c r="AF228" s="5155"/>
      <c r="AI228" s="331"/>
      <c r="AJ228" s="331"/>
      <c r="AK228" s="331"/>
      <c r="AL228" s="331"/>
      <c r="AM228" s="141"/>
      <c r="AN228" s="141"/>
      <c r="AO228" s="141"/>
      <c r="AP228" s="141"/>
      <c r="AQ228" s="141"/>
      <c r="AR228" s="141"/>
      <c r="AS228" s="141"/>
      <c r="AU228" s="5155"/>
      <c r="AX228" s="141"/>
      <c r="AY228" s="141"/>
      <c r="AZ228" s="141"/>
      <c r="BA228" s="141"/>
      <c r="BB228" s="141"/>
      <c r="BC228" s="141"/>
      <c r="BD228" s="141"/>
      <c r="BE228" s="141"/>
      <c r="BF228" s="141"/>
      <c r="BG228" s="141"/>
      <c r="BH228" s="141"/>
      <c r="BN228" s="1"/>
      <c r="BO228" s="343"/>
      <c r="BT228" s="141"/>
      <c r="BU228" s="409"/>
      <c r="BW228" s="5">
        <v>1</v>
      </c>
    </row>
    <row r="229" spans="2:75" ht="15.75" customHeight="1">
      <c r="B229" s="5155"/>
      <c r="Q229" s="5155"/>
      <c r="T229" s="141"/>
      <c r="U229" s="141"/>
      <c r="V229" s="141"/>
      <c r="W229" s="141"/>
      <c r="X229" s="141"/>
      <c r="Y229" s="141"/>
      <c r="Z229" s="141"/>
      <c r="AA229" s="141"/>
      <c r="AB229" s="141"/>
      <c r="AC229" s="141"/>
      <c r="AD229" s="141"/>
      <c r="AF229" s="5155"/>
      <c r="AI229" s="331"/>
      <c r="AJ229" s="331"/>
      <c r="AK229" s="331"/>
      <c r="AL229" s="331"/>
      <c r="AM229" s="141"/>
      <c r="AN229" s="141"/>
      <c r="AO229" s="141"/>
      <c r="AP229" s="141"/>
      <c r="AQ229" s="141"/>
      <c r="AR229" s="141"/>
      <c r="AS229" s="141"/>
      <c r="AU229" s="5155"/>
      <c r="AV229" s="5153"/>
      <c r="AW229" s="5154" t="s">
        <v>7848</v>
      </c>
      <c r="AX229" s="141"/>
      <c r="AY229" s="141"/>
      <c r="AZ229" s="141"/>
      <c r="BA229" s="141"/>
      <c r="BB229" s="1354" t="s">
        <v>252</v>
      </c>
      <c r="BC229" s="1355"/>
      <c r="BD229" s="1355"/>
      <c r="BE229" s="1355"/>
      <c r="BF229" s="1355"/>
      <c r="BG229" s="1356"/>
      <c r="BH229" s="1357" t="s">
        <v>1117</v>
      </c>
      <c r="BN229" s="1"/>
      <c r="BO229" s="1279" t="s">
        <v>1076</v>
      </c>
      <c r="BP229" s="1280" t="s">
        <v>1077</v>
      </c>
      <c r="BQ229" s="97"/>
      <c r="BR229" s="141"/>
      <c r="BS229" s="141"/>
      <c r="BT229" s="141"/>
      <c r="BU229" s="409"/>
      <c r="BW229" s="5">
        <v>1</v>
      </c>
    </row>
    <row r="230" spans="2:75" ht="22.5" customHeight="1">
      <c r="B230" s="5155"/>
      <c r="Q230" s="5155"/>
      <c r="R230" s="5153"/>
      <c r="S230" s="5153"/>
      <c r="T230" s="5154" t="s">
        <v>7846</v>
      </c>
      <c r="U230" s="141"/>
      <c r="V230" s="141"/>
      <c r="W230" s="141"/>
      <c r="X230" s="1354" t="s">
        <v>252</v>
      </c>
      <c r="Y230" s="1355"/>
      <c r="Z230" s="1355"/>
      <c r="AA230" s="1355"/>
      <c r="AB230" s="1355"/>
      <c r="AC230" s="1356"/>
      <c r="AD230" s="1357" t="s">
        <v>1117</v>
      </c>
      <c r="AF230" s="5155"/>
      <c r="AG230" s="5153"/>
      <c r="AH230" s="5154" t="s">
        <v>7847</v>
      </c>
      <c r="AI230" s="331"/>
      <c r="AJ230" s="331"/>
      <c r="AK230" s="331"/>
      <c r="AL230" s="331"/>
      <c r="AM230" s="1354" t="s">
        <v>252</v>
      </c>
      <c r="AN230" s="1550"/>
      <c r="AO230" s="1550"/>
      <c r="AP230" s="1550"/>
      <c r="AQ230" s="1550"/>
      <c r="AR230" s="1551"/>
      <c r="AS230" s="1434" t="s">
        <v>1256</v>
      </c>
      <c r="AU230" s="5155"/>
      <c r="AW230" s="5152" t="s">
        <v>7842</v>
      </c>
      <c r="AX230" s="141"/>
      <c r="AY230" s="141"/>
      <c r="AZ230" s="141"/>
      <c r="BA230" s="141"/>
      <c r="BB230" s="1411" t="s">
        <v>1175</v>
      </c>
      <c r="BC230" s="1487">
        <v>1.7361111111111112E-2</v>
      </c>
      <c r="BD230" s="1488"/>
      <c r="BE230" s="1488">
        <v>3</v>
      </c>
      <c r="BF230" s="1489" t="s">
        <v>1223</v>
      </c>
      <c r="BG230" s="1534"/>
      <c r="BH230" s="1535"/>
      <c r="BJ230"/>
      <c r="BK230"/>
      <c r="BL230"/>
      <c r="BM230"/>
      <c r="BN230"/>
      <c r="BO230" s="1281" t="s">
        <v>269</v>
      </c>
      <c r="BP230" s="516" t="s">
        <v>1078</v>
      </c>
      <c r="BQ230" s="1282"/>
      <c r="BR230" s="141"/>
      <c r="BS230" s="141"/>
      <c r="BT230" s="141"/>
      <c r="BU230" s="409"/>
      <c r="BW230" s="5">
        <v>1</v>
      </c>
    </row>
    <row r="231" spans="2:75" ht="15.75">
      <c r="B231" s="5155"/>
      <c r="Q231" s="5155"/>
      <c r="T231" s="5152" t="s">
        <v>7842</v>
      </c>
      <c r="U231" s="141"/>
      <c r="V231" s="141"/>
      <c r="W231" s="141"/>
      <c r="X231" s="1469" t="s">
        <v>1208</v>
      </c>
      <c r="Y231" s="1249" t="s">
        <v>1186</v>
      </c>
      <c r="Z231" s="1249"/>
      <c r="AA231" s="1470" t="s">
        <v>1209</v>
      </c>
      <c r="AB231" s="1470" t="s">
        <v>1210</v>
      </c>
      <c r="AC231" s="997"/>
      <c r="AD231" s="1471" t="s">
        <v>1211</v>
      </c>
      <c r="AF231" s="5155"/>
      <c r="AH231" s="5152" t="s">
        <v>7842</v>
      </c>
      <c r="AI231" s="331"/>
      <c r="AJ231" s="331"/>
      <c r="AK231" s="331"/>
      <c r="AL231" s="331"/>
      <c r="AM231" s="1589" t="s">
        <v>1296</v>
      </c>
      <c r="AN231" s="1590"/>
      <c r="AO231" s="1591"/>
      <c r="AP231" s="1592"/>
      <c r="AQ231" s="1591"/>
      <c r="AR231" s="1591"/>
      <c r="AS231" s="1593"/>
      <c r="AU231" s="5155"/>
      <c r="AX231" s="141"/>
      <c r="AY231" s="141"/>
      <c r="AZ231" s="141"/>
      <c r="BA231" s="141"/>
      <c r="BB231" s="1411" t="s">
        <v>1175</v>
      </c>
      <c r="BC231" s="1487">
        <v>1.7361111111111112E-2</v>
      </c>
      <c r="BD231" s="1488"/>
      <c r="BE231" s="1488">
        <v>3</v>
      </c>
      <c r="BF231" s="1148" t="s">
        <v>1264</v>
      </c>
      <c r="BG231" s="1148"/>
      <c r="BH231" s="1490"/>
      <c r="BO231" s="1160" t="s">
        <v>1079</v>
      </c>
      <c r="BP231" s="141"/>
      <c r="BQ231" s="141"/>
      <c r="BR231" s="141"/>
      <c r="BS231" s="141"/>
      <c r="BT231" s="141"/>
      <c r="BU231" s="409"/>
      <c r="BW231" s="5">
        <v>1</v>
      </c>
    </row>
    <row r="232" spans="2:75" ht="16.5" customHeight="1">
      <c r="B232" s="5155"/>
      <c r="Q232" s="5155"/>
      <c r="T232" s="141"/>
      <c r="U232" s="141"/>
      <c r="V232" s="141"/>
      <c r="W232" s="141"/>
      <c r="X232" s="1473" t="s">
        <v>1212</v>
      </c>
      <c r="Y232" s="1474">
        <v>4.1666666666666699E-2</v>
      </c>
      <c r="Z232" s="1475"/>
      <c r="AA232" s="1475">
        <v>220</v>
      </c>
      <c r="AB232" s="1476" t="s">
        <v>1213</v>
      </c>
      <c r="AC232" s="997"/>
      <c r="AD232" s="1477"/>
      <c r="AF232" s="5155"/>
      <c r="AI232" s="331"/>
      <c r="AJ232" s="331"/>
      <c r="AK232" s="331"/>
      <c r="AL232" s="331"/>
      <c r="AM232" s="1319"/>
      <c r="AN232" s="102"/>
      <c r="AO232" s="102"/>
      <c r="AP232" s="102"/>
      <c r="AQ232" s="1525" t="s">
        <v>1255</v>
      </c>
      <c r="AR232" s="102"/>
      <c r="AS232" s="1598"/>
      <c r="AU232" s="5155"/>
      <c r="AW232" s="1353"/>
      <c r="AX232" s="141"/>
      <c r="AY232" s="141"/>
      <c r="AZ232" s="141"/>
      <c r="BA232" s="141"/>
      <c r="BB232" s="1411" t="s">
        <v>1175</v>
      </c>
      <c r="BC232" s="1487">
        <v>5.9027777777777797E-2</v>
      </c>
      <c r="BD232" s="1488"/>
      <c r="BE232" s="1488">
        <v>3</v>
      </c>
      <c r="BF232" s="1148" t="s">
        <v>1225</v>
      </c>
      <c r="BG232" s="1148"/>
      <c r="BH232" s="1490"/>
      <c r="BO232" s="99" t="s">
        <v>1080</v>
      </c>
      <c r="BP232" s="141"/>
      <c r="BQ232" s="141"/>
      <c r="BR232" s="141"/>
      <c r="BS232" s="141"/>
      <c r="BT232" s="141"/>
      <c r="BU232" s="409"/>
      <c r="BW232" s="5">
        <v>1</v>
      </c>
    </row>
    <row r="233" spans="2:75" ht="15.75">
      <c r="B233" s="5155"/>
      <c r="Q233" s="5155"/>
      <c r="T233" s="141"/>
      <c r="U233" s="141"/>
      <c r="V233" s="141"/>
      <c r="W233" s="141"/>
      <c r="X233" s="1479" t="s">
        <v>1208</v>
      </c>
      <c r="Y233" s="1480"/>
      <c r="Z233" s="1480"/>
      <c r="AA233" s="1480" t="s">
        <v>1214</v>
      </c>
      <c r="AB233" s="1481" t="s">
        <v>1215</v>
      </c>
      <c r="AC233" s="1481"/>
      <c r="AD233" s="1477"/>
      <c r="AF233" s="5155"/>
      <c r="AI233" s="331"/>
      <c r="AJ233" s="331"/>
      <c r="AK233" s="331"/>
      <c r="AL233" s="331"/>
      <c r="AM233" s="1527" t="s">
        <v>1257</v>
      </c>
      <c r="AN233" s="1528" t="s">
        <v>1258</v>
      </c>
      <c r="AO233" s="7082" t="s">
        <v>162</v>
      </c>
      <c r="AP233" s="7082"/>
      <c r="AQ233" s="1529" t="s">
        <v>1259</v>
      </c>
      <c r="AS233" s="1530" t="s">
        <v>1185</v>
      </c>
      <c r="AU233" s="5155"/>
      <c r="AW233" s="1"/>
      <c r="AX233" s="141"/>
      <c r="AY233" s="141"/>
      <c r="AZ233" s="141"/>
      <c r="BA233" s="141"/>
      <c r="BB233" s="1411" t="s">
        <v>1175</v>
      </c>
      <c r="BC233" s="1487">
        <v>2.4305555555555556E-2</v>
      </c>
      <c r="BD233" s="1488"/>
      <c r="BE233" s="1488">
        <v>3</v>
      </c>
      <c r="BF233" s="1148" t="s">
        <v>1226</v>
      </c>
      <c r="BG233" s="1148"/>
      <c r="BH233" s="1490"/>
      <c r="BO233" s="1079"/>
      <c r="BP233" s="1080"/>
      <c r="BQ233" s="1081"/>
      <c r="BR233" s="1080"/>
      <c r="BS233" s="1080"/>
      <c r="BT233" s="1080"/>
      <c r="BU233" s="1082"/>
      <c r="BW233" s="5">
        <v>1</v>
      </c>
    </row>
    <row r="234" spans="2:75" ht="15.75" customHeight="1" thickBot="1">
      <c r="B234" s="5155"/>
      <c r="Q234" s="5155"/>
      <c r="T234" s="141"/>
      <c r="U234" s="141"/>
      <c r="V234" s="141"/>
      <c r="W234" s="141"/>
      <c r="X234" s="1482" t="s">
        <v>1216</v>
      </c>
      <c r="Y234" s="1483"/>
      <c r="Z234" s="1484"/>
      <c r="AA234" s="1484">
        <v>250</v>
      </c>
      <c r="AB234" s="1485" t="s">
        <v>1217</v>
      </c>
      <c r="AC234" s="1485"/>
      <c r="AD234" s="1477"/>
      <c r="AF234" s="5155"/>
      <c r="AI234" s="331"/>
      <c r="AJ234" s="331"/>
      <c r="AK234" s="331"/>
      <c r="AL234" s="331"/>
      <c r="AM234" s="7650">
        <v>750</v>
      </c>
      <c r="AN234" s="1531">
        <v>1</v>
      </c>
      <c r="AO234" s="7068" t="s">
        <v>1260</v>
      </c>
      <c r="AP234" s="7068"/>
      <c r="AQ234" s="1532">
        <v>16</v>
      </c>
      <c r="AR234" s="1401">
        <f>AN234*AM234</f>
        <v>750</v>
      </c>
      <c r="AS234" s="1533" t="s">
        <v>1261</v>
      </c>
      <c r="AU234" s="5155"/>
      <c r="AW234" s="1"/>
      <c r="AX234" s="141"/>
      <c r="AY234" s="141"/>
      <c r="AZ234" s="141"/>
      <c r="BA234" s="141"/>
      <c r="BB234" s="1411" t="s">
        <v>1175</v>
      </c>
      <c r="BC234" s="1487">
        <v>1.0416666666666666E-2</v>
      </c>
      <c r="BD234" s="1488"/>
      <c r="BE234" s="1488">
        <v>170</v>
      </c>
      <c r="BF234" s="1148" t="s">
        <v>1227</v>
      </c>
      <c r="BG234" s="1148"/>
      <c r="BH234" s="1490"/>
      <c r="BO234" s="1283">
        <v>19</v>
      </c>
      <c r="BP234" s="1284">
        <v>18</v>
      </c>
      <c r="BQ234" s="1284">
        <v>25</v>
      </c>
      <c r="BR234" s="1284">
        <v>16</v>
      </c>
      <c r="BS234" s="1284">
        <v>6</v>
      </c>
      <c r="BT234" s="1284">
        <v>11</v>
      </c>
      <c r="BU234" s="1285">
        <v>11</v>
      </c>
      <c r="BW234" s="5">
        <v>1</v>
      </c>
    </row>
    <row r="235" spans="2:75" ht="17.25" thickTop="1" thickBot="1">
      <c r="B235" s="5155"/>
      <c r="Q235" s="5155"/>
      <c r="T235" s="141"/>
      <c r="U235" s="141"/>
      <c r="V235" s="141"/>
      <c r="W235" s="141"/>
      <c r="X235" s="1479" t="s">
        <v>1208</v>
      </c>
      <c r="Y235" s="1480"/>
      <c r="Z235" s="1480"/>
      <c r="AA235" s="1480" t="s">
        <v>1214</v>
      </c>
      <c r="AB235" s="1481" t="s">
        <v>1215</v>
      </c>
      <c r="AC235" s="1481"/>
      <c r="AD235" s="1477"/>
      <c r="AF235" s="5155"/>
      <c r="AI235" s="331"/>
      <c r="AJ235" s="331"/>
      <c r="AK235" s="331"/>
      <c r="AL235" s="331"/>
      <c r="AM235" s="7650"/>
      <c r="AN235" s="5458">
        <v>120</v>
      </c>
      <c r="AO235" s="260" t="s">
        <v>1262</v>
      </c>
      <c r="AP235" s="1174"/>
      <c r="AQ235" s="5459">
        <v>1.2</v>
      </c>
      <c r="AR235" s="1536">
        <f>(AN235*AM234)/1000</f>
        <v>90</v>
      </c>
      <c r="AS235" s="7392" t="s">
        <v>1263</v>
      </c>
      <c r="AU235" s="5155"/>
      <c r="AW235" s="5151" t="s">
        <v>218</v>
      </c>
      <c r="AX235" s="141"/>
      <c r="AY235" s="141"/>
      <c r="AZ235" s="141"/>
      <c r="BA235" s="141"/>
      <c r="BB235" s="1411" t="s">
        <v>1175</v>
      </c>
      <c r="BC235" s="1487">
        <v>6.9444444444444441E-3</v>
      </c>
      <c r="BD235" s="1488"/>
      <c r="BE235" s="1488">
        <v>150</v>
      </c>
      <c r="BF235" s="1148" t="s">
        <v>1217</v>
      </c>
      <c r="BG235" s="1148"/>
      <c r="BH235" s="1490"/>
      <c r="BO235" s="1286">
        <f t="shared" ref="BO235:BU235" ca="1" si="29">CELL("largeur",BO235)</f>
        <v>19</v>
      </c>
      <c r="BP235" s="441">
        <f t="shared" ca="1" si="29"/>
        <v>18</v>
      </c>
      <c r="BQ235" s="441">
        <f t="shared" ca="1" si="29"/>
        <v>25</v>
      </c>
      <c r="BR235" s="441">
        <f t="shared" ca="1" si="29"/>
        <v>16</v>
      </c>
      <c r="BS235" s="441">
        <f t="shared" ca="1" si="29"/>
        <v>16</v>
      </c>
      <c r="BT235" s="441">
        <f t="shared" ca="1" si="29"/>
        <v>11</v>
      </c>
      <c r="BU235" s="1287">
        <f t="shared" ca="1" si="29"/>
        <v>27</v>
      </c>
      <c r="BW235" s="5">
        <v>1</v>
      </c>
    </row>
    <row r="236" spans="2:75" ht="15" customHeight="1" thickTop="1">
      <c r="B236" s="5155"/>
      <c r="Q236" s="5155"/>
      <c r="T236" s="141"/>
      <c r="U236" s="141"/>
      <c r="V236" s="141"/>
      <c r="W236" s="141"/>
      <c r="X236" s="1482" t="s">
        <v>1216</v>
      </c>
      <c r="Y236" s="1483">
        <v>4.8611111111111112E-3</v>
      </c>
      <c r="Z236" s="1484"/>
      <c r="AA236" s="1484">
        <v>250</v>
      </c>
      <c r="AB236" s="1485" t="s">
        <v>1219</v>
      </c>
      <c r="AC236" s="1485"/>
      <c r="AD236" s="1477"/>
      <c r="AF236" s="5155"/>
      <c r="AI236" s="331"/>
      <c r="AJ236" s="331"/>
      <c r="AK236" s="331"/>
      <c r="AL236" s="331"/>
      <c r="AM236" s="1537" t="str">
        <f>INT(AR234/AQ234) &amp; " " &amp; AS234 &amp; " de " &amp; AQ234 &amp; " " &amp; AO234 &amp; IF(MOD(AR234,AQ234)&gt;0, " + 1 "&amp;AS234&amp;" de " &amp; TEXT(MOD(AR234,AQ234), "0.00") &amp; " " &amp; AO234, "")</f>
        <v>46 Assiette(s) de 16 madeleine(s) + 1 Assiette(s) de 14.00 madeleine(s)</v>
      </c>
      <c r="AN236" s="141"/>
      <c r="AO236" s="141"/>
      <c r="AP236" s="141"/>
      <c r="AQ236" s="141"/>
      <c r="AR236" s="988"/>
      <c r="AS236" s="7392"/>
      <c r="AU236" s="5155"/>
      <c r="AW236" s="1111" t="s">
        <v>935</v>
      </c>
      <c r="AX236" s="141"/>
      <c r="AY236" s="141"/>
      <c r="AZ236" s="141"/>
      <c r="BA236" s="141"/>
      <c r="BB236" s="1411" t="s">
        <v>1175</v>
      </c>
      <c r="BC236" s="1487">
        <v>0.10069444444444445</v>
      </c>
      <c r="BD236" s="1488"/>
      <c r="BE236" s="1488">
        <v>120</v>
      </c>
      <c r="BF236" s="1148" t="s">
        <v>1228</v>
      </c>
      <c r="BG236" s="1120"/>
      <c r="BH236" s="1491"/>
      <c r="BW236" s="5">
        <v>1</v>
      </c>
    </row>
    <row r="237" spans="2:75" ht="15.75" customHeight="1">
      <c r="B237" s="5155"/>
      <c r="Q237" s="5155"/>
      <c r="T237" s="141"/>
      <c r="U237" s="141"/>
      <c r="V237" s="141"/>
      <c r="W237" s="141"/>
      <c r="X237" s="1479" t="s">
        <v>1208</v>
      </c>
      <c r="Y237" s="1480"/>
      <c r="Z237" s="1480"/>
      <c r="AA237" s="1480" t="s">
        <v>1214</v>
      </c>
      <c r="AB237" s="1481" t="s">
        <v>1215</v>
      </c>
      <c r="AC237" s="1481"/>
      <c r="AD237" s="1477"/>
      <c r="AF237" s="5155"/>
      <c r="AI237" s="331"/>
      <c r="AJ237" s="331"/>
      <c r="AK237" s="331"/>
      <c r="AL237" s="331"/>
      <c r="AM237" s="1182" t="str">
        <f>IF(MOD(AR235, AQ235) = 0, INT(AR235/AQ235) &amp; " " &amp; AS234 &amp; " de " &amp; AQ235 &amp; " kg", INT(AR235/AQ235) &amp; " " &amp; AS234 &amp; " de " &amp; AQ235 &amp; " kg" &amp; " + 1 "&amp;AS234&amp;" de " &amp; TEXT(MOD(AR235, AQ235), "0.00") &amp; " kg")</f>
        <v>75 Assiette(s) de 1.2 kg + 1 Assiette(s) de 0.00 kg</v>
      </c>
      <c r="AN237" s="141"/>
      <c r="AO237" s="141"/>
      <c r="AP237" s="141"/>
      <c r="AQ237" s="141"/>
      <c r="AR237" s="988"/>
      <c r="AS237" s="7392"/>
      <c r="AU237" s="5155"/>
      <c r="AW237" s="1358" t="s">
        <v>1118</v>
      </c>
      <c r="AX237" s="141"/>
      <c r="AY237" s="141"/>
      <c r="AZ237" s="141"/>
      <c r="BA237" s="141"/>
      <c r="BB237" s="1411" t="s">
        <v>1175</v>
      </c>
      <c r="BC237" s="1487">
        <v>1.3888888888888888E-2</v>
      </c>
      <c r="BD237" s="1488"/>
      <c r="BE237" s="1488">
        <v>120</v>
      </c>
      <c r="BF237" s="1148" t="s">
        <v>1265</v>
      </c>
      <c r="BG237" s="1120"/>
      <c r="BH237" s="1491"/>
      <c r="BW237" s="5">
        <v>1</v>
      </c>
    </row>
    <row r="238" spans="2:75" ht="15.75">
      <c r="B238" s="5155"/>
      <c r="Q238" s="5155"/>
      <c r="T238" s="141"/>
      <c r="U238" s="141"/>
      <c r="V238" s="141"/>
      <c r="W238" s="141"/>
      <c r="X238" s="1482" t="s">
        <v>1216</v>
      </c>
      <c r="Y238" s="1483">
        <v>0.10416666666666667</v>
      </c>
      <c r="Z238" s="1484"/>
      <c r="AA238" s="1484">
        <v>170</v>
      </c>
      <c r="AB238" s="1485" t="s">
        <v>1220</v>
      </c>
      <c r="AC238" s="1485"/>
      <c r="AD238" s="1477"/>
      <c r="AF238" s="5155"/>
      <c r="AI238" s="331"/>
      <c r="AJ238" s="331"/>
      <c r="AK238" s="331"/>
      <c r="AL238" s="331"/>
      <c r="AM238" s="1323"/>
      <c r="AN238" s="988"/>
      <c r="AO238" s="988"/>
      <c r="AP238" s="988"/>
      <c r="AQ238" s="988"/>
      <c r="AR238" s="988"/>
      <c r="AS238" s="1325"/>
      <c r="AU238" s="5155"/>
      <c r="AW238" s="1411" t="s">
        <v>1175</v>
      </c>
      <c r="AX238" s="141"/>
      <c r="AY238" s="141"/>
      <c r="AZ238" s="141"/>
      <c r="BA238" s="141"/>
      <c r="BB238" s="1411" t="s">
        <v>1175</v>
      </c>
      <c r="BC238" s="1487">
        <v>3.125E-2</v>
      </c>
      <c r="BD238" s="1488"/>
      <c r="BE238" s="1488"/>
      <c r="BF238" s="1148" t="s">
        <v>1266</v>
      </c>
      <c r="BG238" s="1120"/>
      <c r="BH238" s="1491"/>
      <c r="BO238" s="2"/>
      <c r="BP238" s="2"/>
      <c r="BQ238" s="2"/>
      <c r="BR238" s="2"/>
      <c r="BS238" s="2"/>
      <c r="BT238" s="2"/>
      <c r="BU238" s="2"/>
      <c r="BW238" s="5">
        <v>1</v>
      </c>
    </row>
    <row r="239" spans="2:75" ht="15.75" customHeight="1">
      <c r="B239" s="5155"/>
      <c r="Q239" s="5155"/>
      <c r="T239" s="141"/>
      <c r="U239" s="141"/>
      <c r="V239" s="141"/>
      <c r="W239" s="141"/>
      <c r="X239" s="1479" t="s">
        <v>1208</v>
      </c>
      <c r="Y239" s="1480"/>
      <c r="Z239" s="1480"/>
      <c r="AA239" s="1480" t="s">
        <v>1214</v>
      </c>
      <c r="AB239" s="1481" t="s">
        <v>1221</v>
      </c>
      <c r="AC239" s="1481"/>
      <c r="AD239" s="1477"/>
      <c r="AF239" s="5155"/>
      <c r="AI239" s="331"/>
      <c r="AJ239" s="331"/>
      <c r="AK239" s="331"/>
      <c r="AL239" s="331"/>
      <c r="AM239" s="1369" t="s">
        <v>864</v>
      </c>
      <c r="AN239" s="1321"/>
      <c r="AO239" s="1321"/>
      <c r="AP239" s="1321"/>
      <c r="AQ239" s="1321"/>
      <c r="AR239" s="1321"/>
      <c r="AS239" s="1370" t="s">
        <v>1297</v>
      </c>
      <c r="AU239" s="5155"/>
      <c r="AW239" s="5423" t="s">
        <v>1171</v>
      </c>
      <c r="AX239" s="141"/>
      <c r="AY239" s="141"/>
      <c r="AZ239" s="141"/>
      <c r="BA239" s="141"/>
      <c r="BB239" s="1411" t="s">
        <v>1175</v>
      </c>
      <c r="BC239" s="1487">
        <v>2.4305555555555556E-2</v>
      </c>
      <c r="BD239" s="1488"/>
      <c r="BE239" s="1488"/>
      <c r="BF239" s="1148" t="s">
        <v>1267</v>
      </c>
      <c r="BG239" s="1120"/>
      <c r="BH239" s="1491"/>
      <c r="BO239" s="2"/>
      <c r="BP239" s="2"/>
      <c r="BQ239" s="2"/>
      <c r="BR239" s="2"/>
      <c r="BS239" s="2"/>
      <c r="BT239" s="2"/>
      <c r="BU239" s="2"/>
      <c r="BW239" s="5">
        <v>1</v>
      </c>
    </row>
    <row r="240" spans="2:75" ht="18.75" customHeight="1">
      <c r="B240" s="5155"/>
      <c r="Q240" s="5155"/>
      <c r="T240" s="141"/>
      <c r="U240" s="141"/>
      <c r="V240" s="141"/>
      <c r="W240" s="141"/>
      <c r="X240" s="1482" t="s">
        <v>1216</v>
      </c>
      <c r="Y240" s="1483">
        <v>4.8611111111111112E-3</v>
      </c>
      <c r="Z240" s="1484"/>
      <c r="AA240" s="1484">
        <v>100</v>
      </c>
      <c r="AB240" s="1485"/>
      <c r="AC240" s="1485"/>
      <c r="AD240" s="1477"/>
      <c r="AF240" s="5155"/>
      <c r="AI240" s="331"/>
      <c r="AJ240" s="331"/>
      <c r="AK240" s="331"/>
      <c r="AL240" s="331"/>
      <c r="AM240" s="141"/>
      <c r="AN240" s="141"/>
      <c r="AO240" s="141"/>
      <c r="AP240" s="141"/>
      <c r="AQ240" s="141"/>
      <c r="AR240" s="141"/>
      <c r="AS240" s="141"/>
      <c r="AU240" s="5155"/>
      <c r="AW240" s="5423" t="s">
        <v>7843</v>
      </c>
      <c r="AX240" s="141"/>
      <c r="AY240" s="141"/>
      <c r="AZ240" s="141"/>
      <c r="BA240" s="141"/>
      <c r="BB240" s="1411" t="s">
        <v>1175</v>
      </c>
      <c r="BC240" s="1487">
        <v>7.2916666666666671E-2</v>
      </c>
      <c r="BD240" s="1488"/>
      <c r="BE240" s="1539" t="s">
        <v>1268</v>
      </c>
      <c r="BF240" s="1148" t="s">
        <v>1269</v>
      </c>
      <c r="BG240" s="1120"/>
      <c r="BH240" s="1491"/>
      <c r="BW240" s="5">
        <v>1</v>
      </c>
    </row>
    <row r="241" spans="2:75" ht="15.75">
      <c r="B241" s="5155"/>
      <c r="Q241" s="5155"/>
      <c r="T241" s="141"/>
      <c r="U241" s="141"/>
      <c r="V241" s="141"/>
      <c r="W241" s="141"/>
      <c r="X241" s="1479" t="s">
        <v>1208</v>
      </c>
      <c r="Y241" s="1480"/>
      <c r="Z241" s="1480"/>
      <c r="AA241" s="1480" t="s">
        <v>1214</v>
      </c>
      <c r="AB241" s="1481" t="s">
        <v>1224</v>
      </c>
      <c r="AC241" s="1481"/>
      <c r="AD241" s="1477"/>
      <c r="AF241" s="5155"/>
      <c r="AI241" s="331"/>
      <c r="AJ241" s="331"/>
      <c r="AK241" s="331"/>
      <c r="AL241" s="331"/>
      <c r="AM241" s="141"/>
      <c r="AN241" s="141"/>
      <c r="AO241" s="141"/>
      <c r="AP241" s="141"/>
      <c r="AQ241" s="141"/>
      <c r="AR241" s="141"/>
      <c r="AS241" s="141"/>
      <c r="AU241" s="5155"/>
      <c r="AX241" s="141"/>
      <c r="AY241" s="141"/>
      <c r="AZ241" s="141"/>
      <c r="BA241" s="141"/>
      <c r="BB241" s="1411" t="s">
        <v>1175</v>
      </c>
      <c r="BC241" s="1487">
        <v>3.4722222222222224E-2</v>
      </c>
      <c r="BD241" s="1488"/>
      <c r="BE241" s="1488"/>
      <c r="BF241" s="1148" t="s">
        <v>1270</v>
      </c>
      <c r="BG241" s="1120"/>
      <c r="BH241" s="1491"/>
      <c r="BW241" s="5">
        <v>1</v>
      </c>
    </row>
    <row r="242" spans="2:75" ht="15.75">
      <c r="B242" s="5155"/>
      <c r="Q242" s="5155"/>
      <c r="T242" s="141"/>
      <c r="U242" s="141"/>
      <c r="V242" s="141"/>
      <c r="W242" s="141"/>
      <c r="X242" s="1482" t="s">
        <v>1216</v>
      </c>
      <c r="Y242" s="1483">
        <v>4.8611111111111112E-3</v>
      </c>
      <c r="Z242" s="1484"/>
      <c r="AA242" s="1484">
        <v>110</v>
      </c>
      <c r="AB242" s="1485"/>
      <c r="AC242" s="1485"/>
      <c r="AD242" s="1477"/>
      <c r="AF242" s="5155"/>
      <c r="AG242" s="5153"/>
      <c r="AH242" s="5154" t="s">
        <v>7847</v>
      </c>
      <c r="AI242" s="331"/>
      <c r="AJ242" s="331"/>
      <c r="AK242" s="331"/>
      <c r="AL242" s="331"/>
      <c r="AM242" s="1354" t="s">
        <v>252</v>
      </c>
      <c r="AN242" s="1550"/>
      <c r="AO242" s="1550"/>
      <c r="AP242" s="1550"/>
      <c r="AQ242" s="1550"/>
      <c r="AR242" s="1551"/>
      <c r="AS242" s="1434" t="s">
        <v>1298</v>
      </c>
      <c r="AU242" s="5155"/>
      <c r="AX242" s="141"/>
      <c r="AY242" s="141"/>
      <c r="AZ242" s="141"/>
      <c r="BA242" s="141"/>
      <c r="BB242" s="1411" t="s">
        <v>1175</v>
      </c>
      <c r="BC242" s="1487"/>
      <c r="BD242" s="5424" t="s">
        <v>1271</v>
      </c>
      <c r="BE242" s="1389">
        <v>65</v>
      </c>
      <c r="BF242" s="1493" t="s">
        <v>1272</v>
      </c>
      <c r="BG242" s="1120"/>
      <c r="BH242" s="1491"/>
      <c r="BO242" s="2"/>
      <c r="BP242" s="2"/>
      <c r="BQ242" s="2"/>
      <c r="BR242" s="2"/>
      <c r="BS242" s="2"/>
      <c r="BT242" s="2"/>
      <c r="BU242" s="2"/>
      <c r="BW242" s="5">
        <v>1</v>
      </c>
    </row>
    <row r="243" spans="2:75" ht="16.5" customHeight="1">
      <c r="B243" s="5155"/>
      <c r="Q243" s="5155"/>
      <c r="T243" s="141"/>
      <c r="U243" s="141"/>
      <c r="V243" s="141"/>
      <c r="W243" s="141"/>
      <c r="X243" s="1369" t="s">
        <v>864</v>
      </c>
      <c r="Y243" s="1321"/>
      <c r="Z243" s="1321"/>
      <c r="AA243" s="1321"/>
      <c r="AB243" s="1321"/>
      <c r="AC243" s="1321"/>
      <c r="AD243" s="1370"/>
      <c r="AF243" s="5155"/>
      <c r="AH243" s="5152" t="s">
        <v>7842</v>
      </c>
      <c r="AI243" s="331"/>
      <c r="AJ243" s="331"/>
      <c r="AK243" s="331"/>
      <c r="AL243" s="331"/>
      <c r="AM243" s="1319"/>
      <c r="AN243" s="147"/>
      <c r="AO243" s="147"/>
      <c r="AP243" s="147"/>
      <c r="AQ243" s="147"/>
      <c r="AR243" s="147"/>
      <c r="AS243" s="1580" t="s">
        <v>1293</v>
      </c>
      <c r="AU243" s="5155"/>
      <c r="AX243" s="141"/>
      <c r="AY243" s="141"/>
      <c r="AZ243" s="141"/>
      <c r="BA243" s="141"/>
      <c r="BB243" s="1411" t="s">
        <v>1175</v>
      </c>
      <c r="BC243" s="1487"/>
      <c r="BD243" s="1497" t="s">
        <v>1271</v>
      </c>
      <c r="BE243" s="1386">
        <v>3</v>
      </c>
      <c r="BF243" s="1498" t="s">
        <v>1273</v>
      </c>
      <c r="BG243" s="1120"/>
      <c r="BH243" s="1491"/>
      <c r="BO243" s="2"/>
      <c r="BP243" s="2"/>
      <c r="BQ243" s="2"/>
      <c r="BR243" s="2"/>
      <c r="BS243" s="2"/>
      <c r="BT243" s="2"/>
      <c r="BU243" s="2"/>
      <c r="BW243" s="5">
        <v>1</v>
      </c>
    </row>
    <row r="244" spans="2:75" ht="19.5" customHeight="1">
      <c r="B244" s="5155"/>
      <c r="Q244" s="5155"/>
      <c r="T244" s="141"/>
      <c r="U244" s="141"/>
      <c r="V244" s="141"/>
      <c r="W244" s="141"/>
      <c r="X244" s="1599"/>
      <c r="Y244" s="997"/>
      <c r="Z244" s="997"/>
      <c r="AA244" s="997"/>
      <c r="AB244" s="997"/>
      <c r="AC244" s="997"/>
      <c r="AD244" s="1339" t="s">
        <v>1112</v>
      </c>
      <c r="AF244" s="5155"/>
      <c r="AI244" s="331"/>
      <c r="AJ244" s="331"/>
      <c r="AK244" s="331"/>
      <c r="AL244" s="331"/>
      <c r="AM244" s="1600"/>
      <c r="AN244" s="1601" t="s">
        <v>762</v>
      </c>
      <c r="AO244" s="988"/>
      <c r="AP244" s="1602">
        <v>2</v>
      </c>
      <c r="AQ244" s="1603"/>
      <c r="AR244" s="1604">
        <v>10</v>
      </c>
      <c r="AS244" s="5425" t="s">
        <v>751</v>
      </c>
      <c r="AU244" s="5155"/>
      <c r="AX244" s="141"/>
      <c r="AY244" s="141"/>
      <c r="AZ244" s="141"/>
      <c r="BA244" s="141"/>
      <c r="BB244" s="1540" t="s">
        <v>37</v>
      </c>
      <c r="BC244" s="1442">
        <f>SUM(BC230:BC243)</f>
        <v>0.41319444444444448</v>
      </c>
      <c r="BG244" s="1120"/>
      <c r="BH244" s="1491"/>
      <c r="BO244" s="2"/>
      <c r="BP244" s="2"/>
      <c r="BQ244" s="2"/>
      <c r="BR244" s="2"/>
      <c r="BS244" s="2"/>
      <c r="BT244" s="2"/>
      <c r="BU244" s="2"/>
      <c r="BW244" s="5">
        <v>1</v>
      </c>
    </row>
    <row r="245" spans="2:75" ht="15.75">
      <c r="B245" s="5155"/>
      <c r="Q245" s="5155"/>
      <c r="T245" s="141"/>
      <c r="U245" s="141"/>
      <c r="V245" s="141"/>
      <c r="W245" s="141"/>
      <c r="X245" s="1454"/>
      <c r="Y245" s="1002"/>
      <c r="Z245" s="1002" t="s">
        <v>873</v>
      </c>
      <c r="AA245" s="1003"/>
      <c r="AB245" s="1329"/>
      <c r="AC245" s="1329"/>
      <c r="AD245" s="1330"/>
      <c r="AF245" s="5155"/>
      <c r="AI245" s="331"/>
      <c r="AJ245" s="331"/>
      <c r="AK245" s="331"/>
      <c r="AL245" s="331"/>
      <c r="AM245" s="1605"/>
      <c r="AN245" s="5422" t="s">
        <v>759</v>
      </c>
      <c r="AO245" s="988"/>
      <c r="AP245" s="1606">
        <v>1</v>
      </c>
      <c r="AQ245" s="1607"/>
      <c r="AR245" s="1608">
        <v>15</v>
      </c>
      <c r="AS245" s="1609" t="s">
        <v>752</v>
      </c>
      <c r="AU245" s="5155"/>
      <c r="AX245" s="141"/>
      <c r="AY245" s="141"/>
      <c r="AZ245" s="141"/>
      <c r="BA245" s="141"/>
      <c r="BB245" s="1369" t="s">
        <v>864</v>
      </c>
      <c r="BC245" s="1321"/>
      <c r="BD245" s="1321"/>
      <c r="BE245" s="1321"/>
      <c r="BF245" s="1321"/>
      <c r="BG245" s="1321"/>
      <c r="BH245" s="1370" t="s">
        <v>1141</v>
      </c>
      <c r="BO245" s="2"/>
      <c r="BP245" s="2"/>
      <c r="BQ245" s="2"/>
      <c r="BR245" s="2"/>
      <c r="BS245" s="2"/>
      <c r="BT245" s="2"/>
      <c r="BU245" s="2"/>
      <c r="BW245" s="5">
        <v>1</v>
      </c>
    </row>
    <row r="246" spans="2:75" ht="16.5" thickBot="1">
      <c r="B246" s="5155"/>
      <c r="Q246" s="5155"/>
      <c r="T246" s="141"/>
      <c r="U246" s="141"/>
      <c r="V246" s="141"/>
      <c r="W246" s="141"/>
      <c r="X246" s="1332" t="s">
        <v>86</v>
      </c>
      <c r="Y246" s="1006"/>
      <c r="Z246" s="1007"/>
      <c r="AA246" s="1008"/>
      <c r="AB246" s="1007"/>
      <c r="AC246" s="1007"/>
      <c r="AD246" s="1333"/>
      <c r="AF246" s="5155"/>
      <c r="AI246" s="331"/>
      <c r="AJ246" s="331"/>
      <c r="AK246" s="331"/>
      <c r="AL246" s="331"/>
      <c r="AM246" s="1610"/>
      <c r="AN246" s="1611" t="s">
        <v>765</v>
      </c>
      <c r="AO246" s="988"/>
      <c r="AP246" s="1612">
        <f>IF(AP244=0,0,IF(AP245=0,0,AP244-AP245))</f>
        <v>1</v>
      </c>
      <c r="AQ246" s="1613"/>
      <c r="AR246" s="1614">
        <f>IF(AR244=0,0,IF(AR245=0,0,AR245-AR244))</f>
        <v>5</v>
      </c>
      <c r="AS246" s="1615" t="s">
        <v>754</v>
      </c>
      <c r="AU246" s="5155"/>
      <c r="AX246" s="141"/>
      <c r="AY246" s="141"/>
      <c r="AZ246" s="141"/>
      <c r="BA246" s="141"/>
      <c r="BB246" s="141"/>
      <c r="BC246" s="141"/>
      <c r="BD246" s="141"/>
      <c r="BE246" s="141"/>
      <c r="BF246" s="141"/>
      <c r="BG246" s="141"/>
      <c r="BH246" s="141"/>
      <c r="BO246" s="2"/>
      <c r="BP246" s="2"/>
      <c r="BQ246" s="2"/>
      <c r="BR246" s="2"/>
      <c r="BS246" s="2"/>
      <c r="BT246" s="2"/>
      <c r="BU246" s="2"/>
      <c r="BW246" s="5">
        <v>1</v>
      </c>
    </row>
    <row r="247" spans="2:75" ht="19.5" customHeight="1">
      <c r="B247" s="5155"/>
      <c r="Q247" s="5155"/>
      <c r="T247" s="141"/>
      <c r="U247" s="141"/>
      <c r="V247" s="141"/>
      <c r="W247" s="141"/>
      <c r="AF247" s="5155"/>
      <c r="AI247" s="331"/>
      <c r="AJ247" s="331"/>
      <c r="AK247" s="331"/>
      <c r="AL247" s="331"/>
      <c r="AM247" s="1610"/>
      <c r="AN247" s="1611" t="s">
        <v>768</v>
      </c>
      <c r="AO247" s="988"/>
      <c r="AP247" s="1616">
        <f>IF(AP244=0,0,AP246/AP244)</f>
        <v>0.5</v>
      </c>
      <c r="AQ247" s="1617"/>
      <c r="AR247" s="1618">
        <f>IF(AR244=0,0,IF(ISBLANK(AR244),0,(AR246/AR244)*100))</f>
        <v>50</v>
      </c>
      <c r="AS247" s="1615" t="s">
        <v>753</v>
      </c>
      <c r="AU247" s="5155"/>
      <c r="AX247" s="141"/>
      <c r="AY247" s="141"/>
      <c r="AZ247" s="141"/>
      <c r="BA247" s="141"/>
      <c r="BB247" s="141"/>
      <c r="BC247" s="141"/>
      <c r="BD247" s="141"/>
      <c r="BE247" s="141"/>
      <c r="BF247" s="141"/>
      <c r="BG247" s="141"/>
      <c r="BH247" s="141"/>
      <c r="BO247" s="2"/>
      <c r="BP247" s="2"/>
      <c r="BQ247" s="2"/>
      <c r="BR247" s="2"/>
      <c r="BS247" s="2"/>
      <c r="BT247" s="2"/>
      <c r="BU247" s="2"/>
      <c r="BW247" s="5">
        <v>1</v>
      </c>
    </row>
    <row r="248" spans="2:75" ht="15.75" customHeight="1">
      <c r="B248" s="5155"/>
      <c r="Q248" s="5155"/>
      <c r="T248" s="141"/>
      <c r="U248" s="141"/>
      <c r="V248" s="141"/>
      <c r="W248" s="141"/>
      <c r="X248" s="141"/>
      <c r="Y248" s="141"/>
      <c r="Z248" s="141"/>
      <c r="AA248" s="141"/>
      <c r="AB248" s="141"/>
      <c r="AC248" s="141"/>
      <c r="AD248" s="141"/>
      <c r="AF248" s="5155"/>
      <c r="AI248" s="331"/>
      <c r="AJ248" s="331"/>
      <c r="AK248" s="331"/>
      <c r="AL248" s="331"/>
      <c r="AM248" s="1605"/>
      <c r="AN248" s="5422" t="s">
        <v>764</v>
      </c>
      <c r="AO248" s="988"/>
      <c r="AP248" s="1619">
        <v>50</v>
      </c>
      <c r="AQ248" s="1603"/>
      <c r="AR248" s="1604">
        <v>10</v>
      </c>
      <c r="AS248" s="5425" t="s">
        <v>751</v>
      </c>
      <c r="AU248" s="5155"/>
      <c r="AV248" s="5153"/>
      <c r="AW248" s="5154" t="s">
        <v>7848</v>
      </c>
      <c r="AX248" s="141"/>
      <c r="AY248" s="141"/>
      <c r="AZ248" s="141"/>
      <c r="BA248" s="141"/>
      <c r="BB248" s="1354" t="s">
        <v>252</v>
      </c>
      <c r="BC248" s="1355"/>
      <c r="BD248" s="1355"/>
      <c r="BE248" s="1355"/>
      <c r="BF248" s="1355"/>
      <c r="BG248" s="1356"/>
      <c r="BH248" s="1357" t="s">
        <v>1117</v>
      </c>
      <c r="BO248" s="2"/>
      <c r="BP248" s="2"/>
      <c r="BQ248" s="2"/>
      <c r="BR248" s="2"/>
      <c r="BS248" s="2"/>
      <c r="BT248" s="2"/>
      <c r="BU248" s="2"/>
      <c r="BW248" s="5">
        <v>1</v>
      </c>
    </row>
    <row r="249" spans="2:75" ht="15.75">
      <c r="B249" s="5155"/>
      <c r="Q249" s="5155"/>
      <c r="R249" s="5153"/>
      <c r="S249" s="5153"/>
      <c r="T249" s="5154" t="s">
        <v>7846</v>
      </c>
      <c r="U249" s="141"/>
      <c r="V249" s="141"/>
      <c r="W249" s="141"/>
      <c r="X249" s="1354" t="s">
        <v>252</v>
      </c>
      <c r="Y249" s="1355"/>
      <c r="Z249" s="1355"/>
      <c r="AA249" s="1355"/>
      <c r="AB249" s="1355"/>
      <c r="AC249" s="1356"/>
      <c r="AD249" s="1357" t="s">
        <v>1117</v>
      </c>
      <c r="AF249" s="5155"/>
      <c r="AI249" s="331"/>
      <c r="AJ249" s="331"/>
      <c r="AK249" s="331"/>
      <c r="AL249" s="331"/>
      <c r="AM249" s="1610"/>
      <c r="AN249" s="1611" t="s">
        <v>765</v>
      </c>
      <c r="AO249" s="988"/>
      <c r="AP249" s="1612">
        <f>AP244*AP248%</f>
        <v>1</v>
      </c>
      <c r="AQ249" s="1620"/>
      <c r="AR249" s="1621">
        <v>50</v>
      </c>
      <c r="AS249" s="1622" t="s">
        <v>753</v>
      </c>
      <c r="AU249" s="5155"/>
      <c r="AW249" s="5152" t="s">
        <v>7842</v>
      </c>
      <c r="AX249" s="141"/>
      <c r="AY249" s="141"/>
      <c r="AZ249" s="141"/>
      <c r="BA249" s="141"/>
      <c r="BB249" s="1384">
        <v>3.472222222222222E-3</v>
      </c>
      <c r="BC249" s="1385" t="s">
        <v>1150</v>
      </c>
      <c r="BD249" s="77"/>
      <c r="BE249" s="77"/>
      <c r="BF249" s="77"/>
      <c r="BG249" s="1386">
        <v>100</v>
      </c>
      <c r="BH249" s="1387" t="s">
        <v>1151</v>
      </c>
      <c r="BO249" s="2"/>
      <c r="BP249" s="2"/>
      <c r="BQ249" s="2"/>
      <c r="BR249" s="2"/>
      <c r="BS249" s="2"/>
      <c r="BT249" s="2"/>
      <c r="BU249" s="2"/>
      <c r="BW249" s="5">
        <v>1</v>
      </c>
    </row>
    <row r="250" spans="2:75" ht="15.75">
      <c r="B250" s="5155"/>
      <c r="Q250" s="5155"/>
      <c r="T250" s="5152" t="s">
        <v>7842</v>
      </c>
      <c r="U250" s="141"/>
      <c r="V250" s="141"/>
      <c r="W250" s="141"/>
      <c r="X250" s="1411" t="s">
        <v>1175</v>
      </c>
      <c r="Y250" s="1487">
        <v>1.7361111111111112E-2</v>
      </c>
      <c r="Z250" s="1488"/>
      <c r="AA250" s="1488">
        <v>3</v>
      </c>
      <c r="AB250" s="1489" t="s">
        <v>1223</v>
      </c>
      <c r="AC250" s="1534"/>
      <c r="AD250" s="1535"/>
      <c r="AF250" s="5155"/>
      <c r="AI250" s="331"/>
      <c r="AJ250" s="331"/>
      <c r="AK250" s="331"/>
      <c r="AL250" s="331"/>
      <c r="AM250" s="1610"/>
      <c r="AN250" s="1611" t="s">
        <v>773</v>
      </c>
      <c r="AO250" s="988"/>
      <c r="AP250" s="1612">
        <f>AP244-AP249</f>
        <v>1</v>
      </c>
      <c r="AQ250" s="1613"/>
      <c r="AR250" s="1614">
        <f>AR248*AR249%</f>
        <v>5</v>
      </c>
      <c r="AS250" s="1615" t="s">
        <v>754</v>
      </c>
      <c r="AU250" s="5155"/>
      <c r="AX250" s="141"/>
      <c r="AY250" s="141"/>
      <c r="AZ250" s="141"/>
      <c r="BA250" s="141"/>
      <c r="BB250" s="1388">
        <v>1.0416666666666666E-2</v>
      </c>
      <c r="BC250" s="1385" t="s">
        <v>1152</v>
      </c>
      <c r="BD250" s="77"/>
      <c r="BE250" s="77"/>
      <c r="BF250" s="77"/>
      <c r="BG250" s="1389">
        <v>90</v>
      </c>
      <c r="BH250" s="1390" t="s">
        <v>1153</v>
      </c>
      <c r="BO250" s="2"/>
      <c r="BP250" s="2"/>
      <c r="BQ250" s="2"/>
      <c r="BR250" s="2"/>
      <c r="BS250" s="2"/>
      <c r="BT250" s="2"/>
      <c r="BU250" s="2"/>
      <c r="BW250" s="5">
        <v>1</v>
      </c>
    </row>
    <row r="251" spans="2:75" ht="18.75">
      <c r="B251" s="5155"/>
      <c r="Q251" s="5155"/>
      <c r="T251" s="141"/>
      <c r="U251" s="141"/>
      <c r="V251" s="141"/>
      <c r="W251" s="141"/>
      <c r="X251" s="1411" t="s">
        <v>1175</v>
      </c>
      <c r="Y251" s="1487">
        <v>1.7361111111111112E-2</v>
      </c>
      <c r="Z251" s="1488"/>
      <c r="AA251" s="1488">
        <v>3</v>
      </c>
      <c r="AB251" s="1148" t="s">
        <v>1264</v>
      </c>
      <c r="AC251" s="1148"/>
      <c r="AD251" s="1490"/>
      <c r="AF251" s="5155"/>
      <c r="AI251" s="331"/>
      <c r="AJ251" s="331"/>
      <c r="AK251" s="331"/>
      <c r="AL251" s="331"/>
      <c r="AM251" s="1323"/>
      <c r="AN251" s="1257"/>
      <c r="AO251" s="988"/>
      <c r="AP251" s="1623"/>
      <c r="AQ251" s="1624"/>
      <c r="AR251" s="1614">
        <f>((AR248*AR249)/100)+AR248</f>
        <v>15</v>
      </c>
      <c r="AS251" s="1615" t="s">
        <v>752</v>
      </c>
      <c r="AU251" s="5155"/>
      <c r="AX251" s="141"/>
      <c r="AY251" s="141"/>
      <c r="AZ251" s="141"/>
      <c r="BA251" s="141"/>
      <c r="BB251" s="1391">
        <v>2.0833333333333332E-2</v>
      </c>
      <c r="BC251" s="1385" t="s">
        <v>1154</v>
      </c>
      <c r="BD251" s="988"/>
      <c r="BE251" s="988"/>
      <c r="BF251" s="988"/>
      <c r="BG251" s="1392" t="s">
        <v>1155</v>
      </c>
      <c r="BH251" s="1393" t="s">
        <v>1156</v>
      </c>
      <c r="BO251" s="2"/>
      <c r="BP251" s="2"/>
      <c r="BQ251" s="2"/>
      <c r="BR251" s="2"/>
      <c r="BS251" s="2"/>
      <c r="BT251" s="2"/>
      <c r="BU251" s="2"/>
      <c r="BW251" s="5">
        <v>1</v>
      </c>
    </row>
    <row r="252" spans="2:75" ht="15.75" customHeight="1">
      <c r="B252" s="5155"/>
      <c r="Q252" s="5155"/>
      <c r="T252" s="141"/>
      <c r="U252" s="141"/>
      <c r="V252" s="141"/>
      <c r="W252" s="141"/>
      <c r="X252" s="1411" t="s">
        <v>1175</v>
      </c>
      <c r="Y252" s="1487">
        <v>5.9027777777777797E-2</v>
      </c>
      <c r="Z252" s="1488"/>
      <c r="AA252" s="1488">
        <v>3</v>
      </c>
      <c r="AB252" s="1148" t="s">
        <v>1225</v>
      </c>
      <c r="AC252" s="1148"/>
      <c r="AD252" s="1490"/>
      <c r="AF252" s="5155"/>
      <c r="AI252" s="331"/>
      <c r="AJ252" s="331"/>
      <c r="AK252" s="331"/>
      <c r="AL252" s="331"/>
      <c r="AM252" s="1369" t="s">
        <v>864</v>
      </c>
      <c r="AN252" s="1321"/>
      <c r="AO252" s="1321"/>
      <c r="AP252" s="1321"/>
      <c r="AQ252" s="1321"/>
      <c r="AR252" s="1321"/>
      <c r="AS252" s="1370" t="s">
        <v>1297</v>
      </c>
      <c r="AU252" s="5155"/>
      <c r="AX252" s="141"/>
      <c r="AY252" s="141"/>
      <c r="AZ252" s="141"/>
      <c r="BA252" s="141"/>
      <c r="BB252" s="1394">
        <f>BB249+BB250+BB251</f>
        <v>3.4722222222222224E-2</v>
      </c>
      <c r="BC252" s="1395" t="s">
        <v>37</v>
      </c>
      <c r="BD252" s="988"/>
      <c r="BE252" s="988"/>
      <c r="BF252" s="988"/>
      <c r="BG252" s="1396" t="s">
        <v>1155</v>
      </c>
      <c r="BH252" s="1397" t="s">
        <v>1157</v>
      </c>
      <c r="BO252" s="2"/>
      <c r="BP252" s="2"/>
      <c r="BQ252" s="2"/>
      <c r="BR252" s="2"/>
      <c r="BS252" s="2"/>
      <c r="BT252" s="2"/>
      <c r="BU252" s="2"/>
      <c r="BW252" s="5">
        <v>1</v>
      </c>
    </row>
    <row r="253" spans="2:75" ht="15.75">
      <c r="B253" s="5155"/>
      <c r="Q253" s="5155"/>
      <c r="R253" s="1353"/>
      <c r="S253" s="1353"/>
      <c r="T253" s="141"/>
      <c r="U253" s="141"/>
      <c r="V253" s="141"/>
      <c r="W253" s="141"/>
      <c r="X253" s="1411" t="s">
        <v>1175</v>
      </c>
      <c r="Y253" s="1487">
        <v>2.4305555555555556E-2</v>
      </c>
      <c r="Z253" s="1488"/>
      <c r="AA253" s="1488">
        <v>3</v>
      </c>
      <c r="AB253" s="1148" t="s">
        <v>1226</v>
      </c>
      <c r="AC253" s="1148"/>
      <c r="AD253" s="1490"/>
      <c r="AF253" s="5155"/>
      <c r="AI253" s="331"/>
      <c r="AJ253" s="331"/>
      <c r="AK253" s="331"/>
      <c r="AL253" s="331"/>
      <c r="AM253" s="141"/>
      <c r="AN253" s="141"/>
      <c r="AO253" s="141"/>
      <c r="AP253" s="141"/>
      <c r="AQ253" s="141"/>
      <c r="AR253" s="141"/>
      <c r="AS253" s="141"/>
      <c r="AU253" s="5155"/>
      <c r="AX253" s="141"/>
      <c r="AY253" s="141"/>
      <c r="AZ253" s="141"/>
      <c r="BA253" s="141"/>
      <c r="BB253" s="1369" t="s">
        <v>864</v>
      </c>
      <c r="BC253" s="1321"/>
      <c r="BD253" s="1321"/>
      <c r="BE253" s="1321"/>
      <c r="BF253" s="1321"/>
      <c r="BG253" s="1321"/>
      <c r="BH253" s="1370" t="s">
        <v>1141</v>
      </c>
      <c r="BO253" s="2"/>
      <c r="BP253" s="2"/>
      <c r="BQ253" s="2"/>
      <c r="BR253" s="2"/>
      <c r="BS253" s="2"/>
      <c r="BT253" s="2"/>
      <c r="BU253" s="2"/>
      <c r="BW253" s="5">
        <v>1</v>
      </c>
    </row>
    <row r="254" spans="2:75" ht="15.75">
      <c r="B254" s="5155"/>
      <c r="Q254" s="5155"/>
      <c r="R254" s="1"/>
      <c r="S254" s="1"/>
      <c r="T254" s="141"/>
      <c r="U254" s="141"/>
      <c r="V254" s="141"/>
      <c r="W254" s="141"/>
      <c r="X254" s="1411" t="s">
        <v>1175</v>
      </c>
      <c r="Y254" s="1487">
        <v>1.0416666666666666E-2</v>
      </c>
      <c r="Z254" s="1488"/>
      <c r="AA254" s="1488">
        <v>170</v>
      </c>
      <c r="AB254" s="1148" t="s">
        <v>1227</v>
      </c>
      <c r="AC254" s="1148"/>
      <c r="AD254" s="1490"/>
      <c r="AF254" s="5155"/>
      <c r="AI254" s="331"/>
      <c r="AJ254" s="331"/>
      <c r="AK254" s="331"/>
      <c r="AL254" s="331"/>
      <c r="AM254" s="141"/>
      <c r="AN254" s="141"/>
      <c r="AO254" s="141"/>
      <c r="AP254" s="141"/>
      <c r="AQ254" s="141"/>
      <c r="AR254" s="141"/>
      <c r="AS254" s="141"/>
      <c r="AU254" s="5155"/>
      <c r="AX254" s="141"/>
      <c r="AY254" s="141"/>
      <c r="AZ254" s="141"/>
      <c r="BA254" s="141"/>
      <c r="BB254" s="141"/>
      <c r="BC254" s="141"/>
      <c r="BD254" s="141"/>
      <c r="BE254" s="141"/>
      <c r="BF254" s="141"/>
      <c r="BG254" s="141"/>
      <c r="BH254" s="141"/>
      <c r="BO254" s="2"/>
      <c r="BP254" s="2"/>
      <c r="BQ254" s="2"/>
      <c r="BR254" s="2"/>
      <c r="BS254" s="2"/>
      <c r="BT254" s="2"/>
      <c r="BU254" s="2"/>
      <c r="BW254" s="5">
        <v>1</v>
      </c>
    </row>
    <row r="255" spans="2:75" ht="15.75" customHeight="1" thickBot="1">
      <c r="B255" s="5155"/>
      <c r="Q255" s="5155"/>
      <c r="R255" s="1"/>
      <c r="S255" s="1"/>
      <c r="T255" s="141"/>
      <c r="U255" s="141"/>
      <c r="V255" s="141"/>
      <c r="W255" s="141"/>
      <c r="X255" s="1411" t="s">
        <v>1175</v>
      </c>
      <c r="Y255" s="1487">
        <v>6.9444444444444441E-3</v>
      </c>
      <c r="Z255" s="1488"/>
      <c r="AA255" s="1488">
        <v>150</v>
      </c>
      <c r="AB255" s="1148" t="s">
        <v>1217</v>
      </c>
      <c r="AC255" s="1148"/>
      <c r="AD255" s="1490"/>
      <c r="AF255" s="5155"/>
      <c r="AG255" s="5153"/>
      <c r="AH255" s="5154" t="s">
        <v>7847</v>
      </c>
      <c r="AI255" s="331"/>
      <c r="AJ255" s="331"/>
      <c r="AK255" s="331"/>
      <c r="AL255" s="331"/>
      <c r="AM255" s="1354" t="s">
        <v>252</v>
      </c>
      <c r="AN255" s="1550"/>
      <c r="AO255" s="1550"/>
      <c r="AP255" s="1550"/>
      <c r="AQ255" s="1550"/>
      <c r="AR255" s="1551"/>
      <c r="AS255" s="1434" t="s">
        <v>1280</v>
      </c>
      <c r="AU255" s="5155"/>
      <c r="AX255" s="141"/>
      <c r="AY255" s="141"/>
      <c r="AZ255" s="141"/>
      <c r="BA255" s="141"/>
      <c r="BB255" s="141"/>
      <c r="BC255" s="141"/>
      <c r="BD255" s="141"/>
      <c r="BE255" s="141"/>
      <c r="BF255" s="141"/>
      <c r="BG255" s="141"/>
      <c r="BH255" s="141"/>
      <c r="BO255" s="2"/>
      <c r="BP255" s="2"/>
      <c r="BQ255" s="2"/>
      <c r="BR255" s="2"/>
      <c r="BS255" s="2"/>
      <c r="BT255" s="2"/>
      <c r="BU255" s="2"/>
      <c r="BW255" s="5">
        <v>1</v>
      </c>
    </row>
    <row r="256" spans="2:75" ht="15" customHeight="1" thickTop="1" thickBot="1">
      <c r="B256" s="5155"/>
      <c r="Q256" s="5155"/>
      <c r="R256" s="5151" t="s">
        <v>218</v>
      </c>
      <c r="S256" s="1"/>
      <c r="T256" s="141"/>
      <c r="U256" s="141"/>
      <c r="V256" s="141"/>
      <c r="W256" s="141"/>
      <c r="X256" s="1411" t="s">
        <v>1175</v>
      </c>
      <c r="Y256" s="1487">
        <v>0.10069444444444445</v>
      </c>
      <c r="Z256" s="1488"/>
      <c r="AA256" s="1488">
        <v>120</v>
      </c>
      <c r="AB256" s="1148" t="s">
        <v>1228</v>
      </c>
      <c r="AC256" s="1120"/>
      <c r="AD256" s="1491"/>
      <c r="AF256" s="5155"/>
      <c r="AH256" s="5152" t="s">
        <v>7842</v>
      </c>
      <c r="AI256" s="331"/>
      <c r="AJ256" s="331"/>
      <c r="AK256" s="331"/>
      <c r="AL256" s="331"/>
      <c r="AM256" s="1554" t="s">
        <v>198</v>
      </c>
      <c r="AN256" s="7070" t="s">
        <v>196</v>
      </c>
      <c r="AO256" s="7651" t="s">
        <v>929</v>
      </c>
      <c r="AP256" s="7073" t="s">
        <v>195</v>
      </c>
      <c r="AQ256" s="7653" t="s">
        <v>183</v>
      </c>
      <c r="AR256" s="7077" t="s">
        <v>1282</v>
      </c>
      <c r="AS256" s="7393" t="s">
        <v>185</v>
      </c>
      <c r="AU256" s="5155"/>
      <c r="AX256" s="141"/>
      <c r="AY256" s="141"/>
      <c r="AZ256" s="141"/>
      <c r="BA256" s="141"/>
      <c r="BB256" s="1354" t="s">
        <v>252</v>
      </c>
      <c r="BC256" s="1355"/>
      <c r="BD256" s="1355"/>
      <c r="BE256" s="1355"/>
      <c r="BF256" s="1355"/>
      <c r="BG256" s="1356"/>
      <c r="BH256" s="1357" t="s">
        <v>1274</v>
      </c>
      <c r="BO256" s="2"/>
      <c r="BP256" s="2"/>
      <c r="BQ256" s="2"/>
      <c r="BR256" s="2"/>
      <c r="BS256" s="2"/>
      <c r="BT256" s="2"/>
      <c r="BU256" s="2"/>
      <c r="BW256" s="5">
        <v>1</v>
      </c>
    </row>
    <row r="257" spans="2:75" ht="16.5" thickTop="1">
      <c r="B257" s="5155"/>
      <c r="Q257" s="5155"/>
      <c r="R257" s="1111" t="s">
        <v>935</v>
      </c>
      <c r="S257" s="1"/>
      <c r="T257" s="141"/>
      <c r="U257" s="141"/>
      <c r="V257" s="141"/>
      <c r="W257" s="141"/>
      <c r="X257" s="1411" t="s">
        <v>1175</v>
      </c>
      <c r="Y257" s="1487">
        <v>1.3888888888888888E-2</v>
      </c>
      <c r="Z257" s="1488"/>
      <c r="AA257" s="1488">
        <v>120</v>
      </c>
      <c r="AB257" s="1148" t="s">
        <v>1265</v>
      </c>
      <c r="AC257" s="1120"/>
      <c r="AD257" s="1491"/>
      <c r="AF257" s="5155"/>
      <c r="AI257" s="331"/>
      <c r="AJ257" s="331"/>
      <c r="AK257" s="331"/>
      <c r="AL257" s="331"/>
      <c r="AM257" s="1625" t="s">
        <v>191</v>
      </c>
      <c r="AN257" s="6905"/>
      <c r="AO257" s="7652"/>
      <c r="AP257" s="7074"/>
      <c r="AQ257" s="7654"/>
      <c r="AR257" s="7655"/>
      <c r="AS257" s="7656"/>
      <c r="AU257" s="5155"/>
      <c r="AX257" s="141"/>
      <c r="AY257" s="141"/>
      <c r="AZ257" s="141"/>
      <c r="BA257" s="141"/>
      <c r="BB257" s="1541" t="s">
        <v>1275</v>
      </c>
      <c r="BC257" s="1542" t="s">
        <v>1276</v>
      </c>
      <c r="BD257" s="1543"/>
      <c r="BE257" s="1544" t="s">
        <v>1277</v>
      </c>
      <c r="BF257" s="1542" t="s">
        <v>21</v>
      </c>
      <c r="BG257" s="1542" t="s">
        <v>1278</v>
      </c>
      <c r="BH257" s="1545" t="s">
        <v>1279</v>
      </c>
      <c r="BO257" s="2"/>
      <c r="BP257" s="2"/>
      <c r="BQ257" s="2"/>
      <c r="BR257" s="2"/>
      <c r="BS257" s="2"/>
      <c r="BT257" s="2"/>
      <c r="BU257" s="2"/>
      <c r="BW257" s="5">
        <v>1</v>
      </c>
    </row>
    <row r="258" spans="2:75" ht="15.75">
      <c r="B258" s="5155"/>
      <c r="Q258" s="5155"/>
      <c r="R258" s="1358" t="s">
        <v>1118</v>
      </c>
      <c r="S258" s="5156"/>
      <c r="T258" s="141"/>
      <c r="U258" s="141"/>
      <c r="V258" s="141"/>
      <c r="W258" s="141"/>
      <c r="X258" s="1411" t="s">
        <v>1175</v>
      </c>
      <c r="Y258" s="1487">
        <v>2.4305555555555556E-2</v>
      </c>
      <c r="Z258" s="1488"/>
      <c r="AA258" s="1488"/>
      <c r="AB258" s="1148" t="s">
        <v>1267</v>
      </c>
      <c r="AC258" s="1120"/>
      <c r="AD258" s="1491"/>
      <c r="AF258" s="5155"/>
      <c r="AI258" s="331"/>
      <c r="AJ258" s="331"/>
      <c r="AK258" s="331"/>
      <c r="AL258" s="331"/>
      <c r="AM258" s="1561"/>
      <c r="AN258" s="210">
        <v>350</v>
      </c>
      <c r="AO258" s="5493">
        <f>IFERROR(INDEX(AM264:AS264,MATCH(AP258,AM263:AS263,0)) * AN258 * IF(ISBLANK(AM258), 1, AM258), 0)</f>
        <v>0.35000000000000003</v>
      </c>
      <c r="AP258" s="251" t="s">
        <v>130</v>
      </c>
      <c r="AQ258" s="1562">
        <v>16</v>
      </c>
      <c r="AR258" s="1563">
        <f>((AO258-(AO258*AQ258%)))</f>
        <v>0.29400000000000004</v>
      </c>
      <c r="AS258" s="1564" t="s">
        <v>177</v>
      </c>
      <c r="AU258" s="5155"/>
      <c r="AX258" s="141"/>
      <c r="AY258" s="141"/>
      <c r="AZ258" s="141"/>
      <c r="BA258" s="141"/>
      <c r="BB258" s="1546" t="str">
        <f>"cellule "&amp;ADDRESS(ROW(BH258),COLUMN(BH258),4)&amp;"  vous pouvez saisir un autre poids"</f>
        <v>cellule BH258  vous pouvez saisir un autre poids</v>
      </c>
      <c r="BC258" s="1547"/>
      <c r="BD258" s="1548"/>
      <c r="BE258" s="102"/>
      <c r="BF258" s="1547"/>
      <c r="BH258" s="1549">
        <v>1</v>
      </c>
      <c r="BO258" s="2"/>
      <c r="BP258" s="2"/>
      <c r="BQ258" s="2"/>
      <c r="BR258" s="2"/>
      <c r="BS258" s="2"/>
      <c r="BT258" s="2"/>
      <c r="BU258" s="2"/>
      <c r="BW258" s="5">
        <v>1</v>
      </c>
    </row>
    <row r="259" spans="2:75" ht="15.75" customHeight="1">
      <c r="B259" s="5155"/>
      <c r="Q259" s="5155"/>
      <c r="R259" s="1411" t="s">
        <v>1175</v>
      </c>
      <c r="S259" s="5157"/>
      <c r="T259" s="141"/>
      <c r="U259" s="141"/>
      <c r="V259" s="141"/>
      <c r="W259" s="141"/>
      <c r="X259" s="1411" t="s">
        <v>1175</v>
      </c>
      <c r="Y259" s="1487">
        <v>7.2916666666666671E-2</v>
      </c>
      <c r="Z259" s="1488"/>
      <c r="AA259" s="1539" t="s">
        <v>1268</v>
      </c>
      <c r="AB259" s="1148" t="s">
        <v>1269</v>
      </c>
      <c r="AC259" s="1120"/>
      <c r="AD259" s="1491"/>
      <c r="AF259" s="5155"/>
      <c r="AI259" s="331"/>
      <c r="AJ259" s="331"/>
      <c r="AK259" s="331"/>
      <c r="AL259" s="331"/>
      <c r="AM259" s="1568"/>
      <c r="AN259" s="1569">
        <v>1.2</v>
      </c>
      <c r="AO259" s="5493">
        <f>IFERROR(INDEX(AM264:AS264,MATCH(AP259,AM263:AS263,0)) * AN259 * IF(ISBLANK(AM259), 1, AM259), 0)</f>
        <v>1.2</v>
      </c>
      <c r="AP259" s="314" t="s">
        <v>219</v>
      </c>
      <c r="AQ259" s="1570">
        <v>22</v>
      </c>
      <c r="AR259" s="1563">
        <f>((AO259-(AO259*AQ259%)))</f>
        <v>0.93599999999999994</v>
      </c>
      <c r="AS259" s="1571" t="s">
        <v>174</v>
      </c>
      <c r="AU259" s="5155"/>
      <c r="AX259" s="141"/>
      <c r="AY259" s="141"/>
      <c r="AZ259" s="141"/>
      <c r="BA259" s="141"/>
      <c r="BB259" s="5456">
        <v>100</v>
      </c>
      <c r="BC259" s="5457">
        <v>120</v>
      </c>
      <c r="BD259" s="1552"/>
      <c r="BE259" s="5457">
        <v>180</v>
      </c>
      <c r="BF259" s="5457">
        <v>180</v>
      </c>
      <c r="BG259" s="5457">
        <v>200</v>
      </c>
      <c r="BH259" s="1553" t="s">
        <v>1281</v>
      </c>
      <c r="BO259" s="2"/>
      <c r="BP259" s="2"/>
      <c r="BQ259" s="2"/>
      <c r="BR259" s="2"/>
      <c r="BS259" s="2"/>
      <c r="BT259" s="2"/>
      <c r="BU259" s="2"/>
      <c r="BW259" s="5">
        <v>1</v>
      </c>
    </row>
    <row r="260" spans="2:75" ht="16.5" customHeight="1">
      <c r="B260" s="5155"/>
      <c r="Q260" s="5155"/>
      <c r="R260" s="5423" t="s">
        <v>1171</v>
      </c>
      <c r="S260" s="5158"/>
      <c r="T260" s="141"/>
      <c r="U260" s="141"/>
      <c r="V260" s="141"/>
      <c r="W260" s="141"/>
      <c r="X260" s="1411" t="s">
        <v>1175</v>
      </c>
      <c r="Y260" s="1487"/>
      <c r="Z260" s="5424" t="s">
        <v>1271</v>
      </c>
      <c r="AA260" s="1389">
        <v>65</v>
      </c>
      <c r="AB260" s="1493" t="s">
        <v>1272</v>
      </c>
      <c r="AC260" s="1120"/>
      <c r="AD260" s="1491"/>
      <c r="AF260" s="5155"/>
      <c r="AI260" s="331"/>
      <c r="AJ260" s="331"/>
      <c r="AK260" s="331"/>
      <c r="AL260" s="331"/>
      <c r="AM260" s="1568">
        <v>2</v>
      </c>
      <c r="AN260" s="210">
        <v>50</v>
      </c>
      <c r="AO260" s="5493">
        <f>IFERROR(INDEX(AM264:AS264,MATCH(AP260,AM263:AS263,0)) * AN260 * IF(ISBLANK(AM260), 1, AM260), 0)</f>
        <v>0.1</v>
      </c>
      <c r="AP260" s="251" t="s">
        <v>130</v>
      </c>
      <c r="AQ260" s="1570"/>
      <c r="AR260" s="1563">
        <f>((AO260-(AO260*AQ260%)))</f>
        <v>0.1</v>
      </c>
      <c r="AS260" s="1575" t="s">
        <v>1286</v>
      </c>
      <c r="AU260" s="5155"/>
      <c r="AX260" s="141"/>
      <c r="AY260" s="141"/>
      <c r="AZ260" s="141"/>
      <c r="BA260" s="141"/>
      <c r="BB260" s="1555">
        <f>IF(MOD(BH258*1000/BB259,1)=0,BH258*1000/BB259,IF(MOD(BH258*1000/BB259,1)&lt;0.5,INT(BH258*1000/BB259),INT(BH258*1000/BB259)+1))</f>
        <v>10</v>
      </c>
      <c r="BC260" s="1556">
        <f>IF(MOD(BH258*1000/BC259,1)=0,BH258*1000/BC259,IF(MOD(BH258*1000/BC259,1)&lt;0.5,INT(BH258*1000/BC259),INT(BH258*1000/BC259)+1))</f>
        <v>8</v>
      </c>
      <c r="BD260" s="1557"/>
      <c r="BE260" s="1556">
        <f>IF(MOD(BH258*1000/BE259,1)=0,BH258*1000/BE259,IF(MOD(BH258*1000/BE259,1)&lt;0.5,INT(BH258*1000/BE259),INT(BH258*1000/BE259)+1))</f>
        <v>6</v>
      </c>
      <c r="BF260" s="1556">
        <f>IF(MOD(BH258*1000/BF259,1)=0,BH258*1000/BF259,IF(MOD(BH258*1000/BF259,1)&lt;0.5,INT(BH258*1000/BF259),INT(BH258*1000/BF259)+1))</f>
        <v>6</v>
      </c>
      <c r="BG260" s="1556">
        <f>IF(MOD(BH258*1000/BG259,1)=0,BH258*1000/BG259,IF(MOD(BH258*1000/BG259,1)&lt;0.5,INT(BH258*1000/BG259),INT(BH258*1000/BG259)+1))</f>
        <v>5</v>
      </c>
      <c r="BH260" s="1558" t="s">
        <v>1283</v>
      </c>
      <c r="BO260" s="2"/>
      <c r="BP260" s="2"/>
      <c r="BQ260" s="2"/>
      <c r="BR260" s="2"/>
      <c r="BS260" s="2"/>
      <c r="BT260" s="2"/>
      <c r="BU260" s="2"/>
      <c r="BW260" s="5">
        <v>1</v>
      </c>
    </row>
    <row r="261" spans="2:75" ht="15.75">
      <c r="B261" s="5155"/>
      <c r="Q261" s="5155"/>
      <c r="R261" s="5423" t="s">
        <v>7843</v>
      </c>
      <c r="S261" s="5158"/>
      <c r="T261" s="141"/>
      <c r="U261" s="141"/>
      <c r="V261" s="141"/>
      <c r="W261" s="141"/>
      <c r="X261" s="1411" t="s">
        <v>1175</v>
      </c>
      <c r="Y261" s="1487"/>
      <c r="Z261" s="1497" t="s">
        <v>1271</v>
      </c>
      <c r="AA261" s="1386">
        <v>3</v>
      </c>
      <c r="AB261" s="1498" t="s">
        <v>1273</v>
      </c>
      <c r="AC261" s="1120"/>
      <c r="AD261" s="1491"/>
      <c r="AF261" s="5155"/>
      <c r="AI261" s="331"/>
      <c r="AJ261" s="331"/>
      <c r="AK261" s="331"/>
      <c r="AL261" s="331"/>
      <c r="AM261" s="1568"/>
      <c r="AN261" s="210">
        <v>1</v>
      </c>
      <c r="AO261" s="5493">
        <f>IFERROR(INDEX(AM264:AS264,MATCH(AP261,AM263:AS263,0)) * AN261 * IF(ISBLANK(AM261), 1, AM261), 0)</f>
        <v>0.5</v>
      </c>
      <c r="AP261" s="265" t="s">
        <v>159</v>
      </c>
      <c r="AQ261" s="1570"/>
      <c r="AR261" s="1563">
        <f>((AO261-(AO261*AQ261%)))</f>
        <v>0.5</v>
      </c>
      <c r="AS261" s="1571" t="s">
        <v>1289</v>
      </c>
      <c r="AU261" s="5155"/>
      <c r="AX261" s="141"/>
      <c r="AY261" s="141"/>
      <c r="AZ261" s="141"/>
      <c r="BA261" s="141"/>
      <c r="BB261" s="1546" t="str">
        <f>"cellule "&amp;ADDRESS(ROW(BH261),COLUMN(BH261),4)&amp;"  vous pouvez saisir un autre poids"</f>
        <v>cellule BH261  vous pouvez saisir un autre poids</v>
      </c>
      <c r="BC261" s="1552"/>
      <c r="BD261" s="1559"/>
      <c r="BE261" s="141"/>
      <c r="BF261" s="1552"/>
      <c r="BH261" s="1560">
        <v>1</v>
      </c>
      <c r="BO261" s="2"/>
      <c r="BP261" s="2"/>
      <c r="BQ261" s="2"/>
      <c r="BR261" s="2"/>
      <c r="BS261" s="2"/>
      <c r="BT261" s="2"/>
      <c r="BU261" s="2"/>
      <c r="BW261" s="5">
        <v>1</v>
      </c>
    </row>
    <row r="262" spans="2:75" ht="15.75">
      <c r="B262" s="5155"/>
      <c r="Q262" s="5155"/>
      <c r="T262" s="141"/>
      <c r="U262" s="141"/>
      <c r="V262" s="141"/>
      <c r="W262" s="141"/>
      <c r="X262" s="1540" t="s">
        <v>37</v>
      </c>
      <c r="Y262" s="1442">
        <f>SUM(Y250:Y261)</f>
        <v>0.34722222222222227</v>
      </c>
      <c r="AC262" s="1120"/>
      <c r="AD262" s="1491"/>
      <c r="AF262" s="5155"/>
      <c r="AI262" s="331"/>
      <c r="AJ262" s="331"/>
      <c r="AK262" s="331"/>
      <c r="AL262" s="331"/>
      <c r="AM262" s="1581" t="s">
        <v>1294</v>
      </c>
      <c r="AN262" s="988"/>
      <c r="AO262" s="988"/>
      <c r="AP262" s="988"/>
      <c r="AQ262" s="988"/>
      <c r="AR262" s="988"/>
      <c r="AS262" s="1582" t="s">
        <v>1295</v>
      </c>
      <c r="AU262" s="5155"/>
      <c r="AX262" s="141"/>
      <c r="AY262" s="141"/>
      <c r="AZ262" s="141"/>
      <c r="BA262" s="141"/>
      <c r="BB262" s="1565">
        <v>10</v>
      </c>
      <c r="BC262" s="1512">
        <v>8</v>
      </c>
      <c r="BD262" s="1566"/>
      <c r="BE262" s="1512">
        <v>5</v>
      </c>
      <c r="BF262" s="1512">
        <v>6</v>
      </c>
      <c r="BG262" s="1512">
        <v>10</v>
      </c>
      <c r="BH262" s="1567" t="s">
        <v>1284</v>
      </c>
      <c r="BO262" s="2"/>
      <c r="BP262" s="2"/>
      <c r="BQ262" s="2"/>
      <c r="BR262" s="2"/>
      <c r="BS262" s="2"/>
      <c r="BT262" s="2"/>
      <c r="BU262" s="2"/>
      <c r="BW262" s="5">
        <v>1</v>
      </c>
    </row>
    <row r="263" spans="2:75" ht="15.75" customHeight="1">
      <c r="B263" s="5155"/>
      <c r="Q263" s="5155"/>
      <c r="T263" s="141"/>
      <c r="U263" s="141"/>
      <c r="V263" s="141"/>
      <c r="W263" s="141"/>
      <c r="X263" s="1369" t="s">
        <v>864</v>
      </c>
      <c r="Y263" s="1321"/>
      <c r="Z263" s="1321"/>
      <c r="AA263" s="1321"/>
      <c r="AB263" s="1321"/>
      <c r="AC263" s="1321"/>
      <c r="AD263" s="1370"/>
      <c r="AF263" s="5155"/>
      <c r="AI263" s="331"/>
      <c r="AJ263" s="331"/>
      <c r="AK263" s="331"/>
      <c r="AL263" s="331"/>
      <c r="AM263" s="314" t="s">
        <v>219</v>
      </c>
      <c r="AN263" s="251" t="s">
        <v>130</v>
      </c>
      <c r="AO263" s="1583"/>
      <c r="AP263" s="265" t="s">
        <v>159</v>
      </c>
      <c r="AQ263" s="265" t="s">
        <v>164</v>
      </c>
      <c r="AR263" s="251" t="s">
        <v>88</v>
      </c>
      <c r="AS263" s="1584" t="s">
        <v>170</v>
      </c>
      <c r="AU263" s="5155"/>
      <c r="AX263" s="141"/>
      <c r="AY263" s="141"/>
      <c r="AZ263" s="141"/>
      <c r="BA263" s="141"/>
      <c r="BB263" s="1572">
        <f>BH261/BB262*1000</f>
        <v>100</v>
      </c>
      <c r="BC263" s="1573">
        <f>BH261/BC262*1000</f>
        <v>125</v>
      </c>
      <c r="BD263" s="1574"/>
      <c r="BE263" s="1573">
        <f>BH261/BE262*1000</f>
        <v>200</v>
      </c>
      <c r="BF263" s="1573">
        <f>BH261/BF262*1000</f>
        <v>166.66666666666666</v>
      </c>
      <c r="BG263" s="1573">
        <f>BH261/BG262*1000</f>
        <v>100</v>
      </c>
      <c r="BH263" s="1558" t="s">
        <v>1285</v>
      </c>
      <c r="BO263" s="2"/>
      <c r="BP263" s="2"/>
      <c r="BQ263" s="2"/>
      <c r="BR263" s="2"/>
      <c r="BS263" s="2"/>
      <c r="BT263" s="2"/>
      <c r="BU263" s="2"/>
      <c r="BW263" s="5">
        <v>1</v>
      </c>
    </row>
    <row r="264" spans="2:75" ht="15.75" customHeight="1">
      <c r="B264" s="5155"/>
      <c r="Q264" s="5155"/>
      <c r="T264" s="141"/>
      <c r="U264" s="141"/>
      <c r="V264" s="141"/>
      <c r="W264" s="141"/>
      <c r="X264" s="1454"/>
      <c r="Y264" s="1002"/>
      <c r="Z264" s="1002" t="s">
        <v>873</v>
      </c>
      <c r="AA264" s="1003"/>
      <c r="AB264" s="1329"/>
      <c r="AC264" s="1329"/>
      <c r="AD264" s="1330"/>
      <c r="AF264" s="5155"/>
      <c r="AI264" s="331"/>
      <c r="AJ264" s="331"/>
      <c r="AK264" s="331"/>
      <c r="AL264" s="331"/>
      <c r="AM264" s="1585">
        <v>1</v>
      </c>
      <c r="AN264" s="1585">
        <v>1E-3</v>
      </c>
      <c r="AO264" s="1583"/>
      <c r="AP264" s="1586">
        <v>0.5</v>
      </c>
      <c r="AQ264" s="1585">
        <v>0.25</v>
      </c>
      <c r="AR264" s="1587">
        <v>1</v>
      </c>
      <c r="AS264" s="1588">
        <v>0.01</v>
      </c>
      <c r="AU264" s="5155"/>
      <c r="AX264" s="141"/>
      <c r="AY264" s="141"/>
      <c r="AZ264" s="141"/>
      <c r="BA264" s="141"/>
      <c r="BB264" s="1576" t="s">
        <v>1279</v>
      </c>
      <c r="BC264" s="1577"/>
      <c r="BD264" s="1578" t="s">
        <v>1287</v>
      </c>
      <c r="BE264" s="1577"/>
      <c r="BF264" s="1577"/>
      <c r="BG264" s="1578" t="s">
        <v>1288</v>
      </c>
      <c r="BH264" s="1325"/>
      <c r="BO264" s="2"/>
      <c r="BP264" s="2"/>
      <c r="BQ264" s="2"/>
      <c r="BR264" s="2"/>
      <c r="BS264" s="2"/>
      <c r="BT264" s="2"/>
      <c r="BU264" s="2"/>
      <c r="BW264" s="5">
        <v>1</v>
      </c>
    </row>
    <row r="265" spans="2:75" ht="16.5" thickBot="1">
      <c r="B265" s="5155"/>
      <c r="Q265" s="5155"/>
      <c r="T265" s="141"/>
      <c r="U265" s="141"/>
      <c r="V265" s="141"/>
      <c r="W265" s="141"/>
      <c r="X265" s="1332" t="s">
        <v>86</v>
      </c>
      <c r="Y265" s="1006"/>
      <c r="Z265" s="1007"/>
      <c r="AA265" s="1008"/>
      <c r="AB265" s="1007"/>
      <c r="AC265" s="1007"/>
      <c r="AD265" s="1333"/>
      <c r="AF265" s="5155"/>
      <c r="AI265" s="331"/>
      <c r="AJ265" s="331"/>
      <c r="AK265" s="331"/>
      <c r="AL265" s="331"/>
      <c r="AM265" s="1323"/>
      <c r="AN265" s="988"/>
      <c r="AO265" s="988"/>
      <c r="AP265" s="988"/>
      <c r="AQ265" s="988"/>
      <c r="AR265" s="988"/>
      <c r="AS265" s="1325"/>
      <c r="AU265" s="5155"/>
      <c r="AX265" s="141"/>
      <c r="AY265" s="141"/>
      <c r="AZ265" s="141"/>
      <c r="BA265" s="141"/>
      <c r="BB265" s="1576" t="s">
        <v>1290</v>
      </c>
      <c r="BC265" s="1577"/>
      <c r="BD265" s="1579" t="s">
        <v>1291</v>
      </c>
      <c r="BE265" s="1577"/>
      <c r="BF265" s="1577"/>
      <c r="BG265" s="1578" t="s">
        <v>1292</v>
      </c>
      <c r="BH265" s="1580" t="s">
        <v>1293</v>
      </c>
      <c r="BO265" s="2"/>
      <c r="BP265" s="2"/>
      <c r="BQ265" s="2"/>
      <c r="BR265" s="2"/>
      <c r="BS265" s="2"/>
      <c r="BT265" s="2"/>
      <c r="BU265" s="2"/>
      <c r="BW265" s="5">
        <v>1</v>
      </c>
    </row>
    <row r="266" spans="2:75" ht="15.75">
      <c r="B266" s="5155"/>
      <c r="Q266" s="5155"/>
      <c r="T266" s="141"/>
      <c r="U266" s="141"/>
      <c r="V266" s="141"/>
      <c r="W266" s="141"/>
      <c r="X266" s="141"/>
      <c r="Y266" s="141"/>
      <c r="Z266" s="141"/>
      <c r="AA266" s="141"/>
      <c r="AB266" s="141"/>
      <c r="AC266" s="141"/>
      <c r="AD266" s="141"/>
      <c r="AF266" s="5155"/>
      <c r="AI266" s="331"/>
      <c r="AJ266" s="331"/>
      <c r="AK266" s="331"/>
      <c r="AL266" s="331"/>
      <c r="AM266" s="1369" t="s">
        <v>864</v>
      </c>
      <c r="AN266" s="1321"/>
      <c r="AO266" s="1321"/>
      <c r="AP266" s="1321"/>
      <c r="AQ266" s="1321"/>
      <c r="AR266" s="1321"/>
      <c r="AS266" s="1370" t="s">
        <v>1297</v>
      </c>
      <c r="AU266" s="5155"/>
      <c r="AX266" s="141"/>
      <c r="AY266" s="141"/>
      <c r="AZ266" s="141"/>
      <c r="BA266" s="141"/>
      <c r="BB266" s="1369" t="s">
        <v>864</v>
      </c>
      <c r="BC266" s="1321"/>
      <c r="BD266" s="1321"/>
      <c r="BE266" s="1321"/>
      <c r="BF266" s="1321"/>
      <c r="BG266" s="1321"/>
      <c r="BH266" s="1370" t="s">
        <v>1141</v>
      </c>
      <c r="BO266" s="2"/>
      <c r="BP266" s="2"/>
      <c r="BQ266" s="2"/>
      <c r="BR266" s="2"/>
      <c r="BS266" s="2"/>
      <c r="BT266" s="2"/>
      <c r="BU266" s="2"/>
      <c r="BW266" s="5">
        <v>1</v>
      </c>
    </row>
    <row r="267" spans="2:75">
      <c r="B267" s="5155"/>
      <c r="Q267" s="5155"/>
      <c r="T267" s="141"/>
      <c r="U267" s="141"/>
      <c r="V267" s="141"/>
      <c r="W267" s="141"/>
      <c r="X267" s="141"/>
      <c r="Y267" s="141"/>
      <c r="Z267" s="141"/>
      <c r="AA267" s="141"/>
      <c r="AB267" s="141"/>
      <c r="AC267" s="141"/>
      <c r="AD267" s="141"/>
      <c r="AF267" s="5155"/>
      <c r="AI267" s="331"/>
      <c r="AJ267" s="331"/>
      <c r="AK267" s="331"/>
      <c r="AL267" s="331"/>
      <c r="AM267" s="141"/>
      <c r="AN267" s="141"/>
      <c r="AO267" s="141"/>
      <c r="AP267" s="141"/>
      <c r="AQ267" s="141"/>
      <c r="AR267" s="141"/>
      <c r="AS267" s="141"/>
      <c r="AU267" s="5155"/>
      <c r="AX267" s="141"/>
      <c r="AY267" s="141"/>
      <c r="AZ267" s="141"/>
      <c r="BA267" s="141"/>
      <c r="BB267" s="141"/>
      <c r="BC267" s="141"/>
      <c r="BD267" s="141"/>
      <c r="BE267" s="141"/>
      <c r="BF267" s="141"/>
      <c r="BG267" s="141"/>
      <c r="BH267" s="141"/>
      <c r="BO267" s="2"/>
      <c r="BP267" s="2"/>
      <c r="BQ267" s="2"/>
      <c r="BR267" s="2"/>
      <c r="BS267" s="2"/>
      <c r="BT267" s="2"/>
      <c r="BU267" s="2"/>
      <c r="BW267" s="5">
        <v>1</v>
      </c>
    </row>
    <row r="268" spans="2:75" ht="15.75">
      <c r="B268" s="5155"/>
      <c r="Q268" s="5155"/>
      <c r="R268" s="5153"/>
      <c r="S268" s="5153"/>
      <c r="T268" s="5154" t="s">
        <v>7846</v>
      </c>
      <c r="U268" s="141"/>
      <c r="V268" s="141"/>
      <c r="W268" s="141"/>
      <c r="X268" s="1354" t="s">
        <v>252</v>
      </c>
      <c r="Y268" s="1355"/>
      <c r="Z268" s="1355"/>
      <c r="AA268" s="1355"/>
      <c r="AB268" s="1355"/>
      <c r="AC268" s="1356"/>
      <c r="AD268" s="1357" t="s">
        <v>1229</v>
      </c>
      <c r="AF268" s="5155"/>
      <c r="AI268" s="331"/>
      <c r="AJ268" s="331"/>
      <c r="AK268" s="331"/>
      <c r="AL268" s="331"/>
      <c r="AM268" s="141"/>
      <c r="AN268" s="141"/>
      <c r="AO268" s="141"/>
      <c r="AP268" s="141"/>
      <c r="AQ268" s="141"/>
      <c r="AR268" s="141"/>
      <c r="AS268" s="141"/>
      <c r="AU268" s="5155"/>
      <c r="AX268" s="141"/>
      <c r="AY268" s="141"/>
      <c r="AZ268" s="141"/>
      <c r="BA268" s="141"/>
      <c r="BB268" s="141"/>
      <c r="BC268" s="141"/>
      <c r="BD268" s="141"/>
      <c r="BE268" s="141"/>
      <c r="BF268" s="141"/>
      <c r="BG268" s="141"/>
      <c r="BH268" s="141"/>
      <c r="BO268" s="2"/>
      <c r="BP268" s="2"/>
      <c r="BQ268" s="2"/>
      <c r="BR268" s="2"/>
      <c r="BS268" s="2"/>
      <c r="BT268" s="2"/>
      <c r="BU268" s="2"/>
      <c r="BW268" s="5">
        <v>1</v>
      </c>
    </row>
    <row r="269" spans="2:75" ht="15.75">
      <c r="B269" s="5155"/>
      <c r="Q269" s="5155"/>
      <c r="T269" s="5152" t="s">
        <v>7842</v>
      </c>
      <c r="U269" s="141"/>
      <c r="V269" s="141"/>
      <c r="W269" s="141"/>
      <c r="X269" s="1319"/>
      <c r="Y269" s="612" t="s">
        <v>1231</v>
      </c>
      <c r="Z269" s="147"/>
      <c r="AA269" s="147"/>
      <c r="AB269" s="102"/>
      <c r="AC269" s="102"/>
      <c r="AD269" s="1494" t="s">
        <v>1232</v>
      </c>
      <c r="AF269" s="5155"/>
      <c r="AU269" s="5155"/>
      <c r="AV269" s="5153"/>
      <c r="AW269" s="5154" t="s">
        <v>7848</v>
      </c>
      <c r="AX269" s="141"/>
      <c r="AY269" s="141"/>
      <c r="AZ269" s="141"/>
      <c r="BA269" s="141"/>
      <c r="BB269" s="1354" t="s">
        <v>252</v>
      </c>
      <c r="BC269" s="1550"/>
      <c r="BD269" s="1550"/>
      <c r="BE269" s="1550"/>
      <c r="BF269" s="1550"/>
      <c r="BG269" s="1551"/>
      <c r="BH269" s="1434" t="s">
        <v>1256</v>
      </c>
      <c r="BO269" s="2"/>
      <c r="BP269" s="2"/>
      <c r="BQ269" s="2"/>
      <c r="BR269" s="2"/>
      <c r="BS269" s="2"/>
      <c r="BT269" s="2"/>
      <c r="BU269" s="2"/>
      <c r="BW269" s="5">
        <v>1</v>
      </c>
    </row>
    <row r="270" spans="2:75" ht="15.75" customHeight="1">
      <c r="B270" s="5155"/>
      <c r="Q270" s="5155"/>
      <c r="T270" s="141"/>
      <c r="U270" s="141"/>
      <c r="V270" s="141"/>
      <c r="W270" s="141"/>
      <c r="X270" s="1499"/>
      <c r="Y270" s="1500">
        <v>16</v>
      </c>
      <c r="Z270" s="141"/>
      <c r="AA270" s="1501" t="s">
        <v>1234</v>
      </c>
      <c r="AB270" t="s">
        <v>1235</v>
      </c>
      <c r="AC270" s="147"/>
      <c r="AD270" s="1326" t="s">
        <v>1236</v>
      </c>
      <c r="AF270" s="5155"/>
      <c r="AU270" s="5155"/>
      <c r="AW270" s="5152" t="s">
        <v>7842</v>
      </c>
      <c r="AX270" s="141"/>
      <c r="AY270" s="141"/>
      <c r="AZ270" s="141"/>
      <c r="BA270" s="141"/>
      <c r="BB270" s="1589" t="s">
        <v>1296</v>
      </c>
      <c r="BC270" s="1590"/>
      <c r="BD270" s="1591"/>
      <c r="BE270" s="1592"/>
      <c r="BF270" s="1591"/>
      <c r="BG270" s="1591"/>
      <c r="BH270" s="1593"/>
      <c r="BO270" s="2"/>
      <c r="BP270" s="2"/>
      <c r="BQ270" s="2"/>
      <c r="BR270" s="2"/>
      <c r="BS270" s="2"/>
      <c r="BT270" s="2"/>
      <c r="BU270" s="2"/>
      <c r="BW270" s="5">
        <v>1</v>
      </c>
    </row>
    <row r="271" spans="2:75" ht="22.5" customHeight="1">
      <c r="B271" s="5155"/>
      <c r="Q271" s="5155"/>
      <c r="T271" s="141"/>
      <c r="U271" s="141"/>
      <c r="V271" s="141"/>
      <c r="W271" s="141"/>
      <c r="X271" s="1505"/>
      <c r="Y271" s="1506" t="s">
        <v>1237</v>
      </c>
      <c r="Z271" s="1506"/>
      <c r="AA271" s="1507">
        <v>32</v>
      </c>
      <c r="AB271" s="1508" t="str">
        <f>AA270</f>
        <v xml:space="preserve">portions </v>
      </c>
      <c r="AC271" s="988"/>
      <c r="AD271" s="1326" t="s">
        <v>1238</v>
      </c>
      <c r="AF271" s="5155"/>
      <c r="AU271" s="5155"/>
      <c r="AX271" s="141"/>
      <c r="AY271" s="141"/>
      <c r="AZ271" s="141"/>
      <c r="BA271" s="141"/>
      <c r="BB271" s="1319"/>
      <c r="BC271" s="102"/>
      <c r="BD271" s="102"/>
      <c r="BE271" s="102"/>
      <c r="BF271" s="1525" t="s">
        <v>1255</v>
      </c>
      <c r="BG271" s="102"/>
      <c r="BH271" s="1598"/>
      <c r="BO271" s="2"/>
      <c r="BP271" s="2"/>
      <c r="BQ271" s="2"/>
      <c r="BR271" s="2"/>
      <c r="BS271" s="2"/>
      <c r="BT271" s="2"/>
      <c r="BU271" s="2"/>
      <c r="BW271" s="5">
        <v>1</v>
      </c>
    </row>
    <row r="272" spans="2:75" ht="15.75">
      <c r="B272" s="5155"/>
      <c r="Q272" s="5155"/>
      <c r="T272" s="141"/>
      <c r="U272" s="141"/>
      <c r="V272" s="141"/>
      <c r="W272" s="141"/>
      <c r="X272" s="1511"/>
      <c r="Y272" s="1512" t="s">
        <v>1239</v>
      </c>
      <c r="Z272" s="141"/>
      <c r="AA272" s="1513" t="str">
        <f>Y272</f>
        <v>Gastro</v>
      </c>
      <c r="AB272" s="1514" t="s">
        <v>1240</v>
      </c>
      <c r="AC272" s="988"/>
      <c r="AD272" s="1326" t="s">
        <v>1241</v>
      </c>
      <c r="AF272" s="5155"/>
      <c r="AU272" s="5155"/>
      <c r="AX272" s="141"/>
      <c r="AY272" s="141"/>
      <c r="AZ272" s="141"/>
      <c r="BA272" s="141"/>
      <c r="BB272" s="1527" t="s">
        <v>1257</v>
      </c>
      <c r="BC272" s="1528" t="s">
        <v>1258</v>
      </c>
      <c r="BD272" s="7082" t="s">
        <v>162</v>
      </c>
      <c r="BE272" s="7082"/>
      <c r="BF272" s="1529" t="s">
        <v>1259</v>
      </c>
      <c r="BH272" s="1530" t="s">
        <v>1185</v>
      </c>
      <c r="BO272" s="2"/>
      <c r="BP272" s="2"/>
      <c r="BQ272" s="2"/>
      <c r="BR272" s="2"/>
      <c r="BS272" s="2"/>
      <c r="BT272" s="2"/>
      <c r="BU272" s="2"/>
      <c r="BW272" s="5">
        <v>1</v>
      </c>
    </row>
    <row r="273" spans="2:75" ht="15.75" customHeight="1">
      <c r="B273" s="5155"/>
      <c r="Q273" s="5155"/>
      <c r="R273" s="1353"/>
      <c r="S273" s="1353"/>
      <c r="T273" s="141"/>
      <c r="U273" s="141"/>
      <c r="V273" s="141"/>
      <c r="W273" s="141"/>
      <c r="X273" s="1358" t="s">
        <v>1118</v>
      </c>
      <c r="Y273" s="1512">
        <v>1</v>
      </c>
      <c r="Z273" s="141"/>
      <c r="AA273" s="1515">
        <f>(Y273/Y270)*AA271</f>
        <v>2</v>
      </c>
      <c r="AB273" s="1516" t="s">
        <v>1242</v>
      </c>
      <c r="AC273" s="988"/>
      <c r="AD273" s="1326" t="s">
        <v>1243</v>
      </c>
      <c r="AF273" s="5155"/>
      <c r="AU273" s="5155"/>
      <c r="AX273" s="141"/>
      <c r="AY273" s="141"/>
      <c r="AZ273" s="141"/>
      <c r="BA273" s="141"/>
      <c r="BB273" s="7650">
        <v>750</v>
      </c>
      <c r="BC273" s="1531">
        <v>1</v>
      </c>
      <c r="BD273" s="7068" t="s">
        <v>1260</v>
      </c>
      <c r="BE273" s="7068"/>
      <c r="BF273" s="1532">
        <v>16</v>
      </c>
      <c r="BG273" s="1401">
        <f>BC273*BB273</f>
        <v>750</v>
      </c>
      <c r="BH273" s="1533" t="s">
        <v>1261</v>
      </c>
      <c r="BO273" s="2"/>
      <c r="BP273" s="2"/>
      <c r="BQ273" s="2"/>
      <c r="BR273" s="2"/>
      <c r="BS273" s="2"/>
      <c r="BT273" s="2"/>
      <c r="BU273" s="2"/>
      <c r="BW273" s="5">
        <v>1</v>
      </c>
    </row>
    <row r="274" spans="2:75" ht="15.75" customHeight="1">
      <c r="B274" s="5155"/>
      <c r="Q274" s="5155"/>
      <c r="R274" s="1"/>
      <c r="S274" s="1"/>
      <c r="T274" s="141"/>
      <c r="U274" s="141"/>
      <c r="V274" s="141"/>
      <c r="W274" s="141"/>
      <c r="X274" s="1358" t="s">
        <v>1118</v>
      </c>
      <c r="Y274" s="1512">
        <v>1</v>
      </c>
      <c r="Z274" s="141"/>
      <c r="AA274" s="1515">
        <f>(Y274/Y270)*AA271</f>
        <v>2</v>
      </c>
      <c r="AB274" s="1516" t="s">
        <v>1244</v>
      </c>
      <c r="AC274" s="988"/>
      <c r="AD274" s="1326" t="s">
        <v>1245</v>
      </c>
      <c r="AF274" s="5155"/>
      <c r="AU274" s="5155"/>
      <c r="AX274" s="141"/>
      <c r="AY274" s="141"/>
      <c r="AZ274" s="141"/>
      <c r="BA274" s="141"/>
      <c r="BB274" s="7650"/>
      <c r="BC274" s="5458">
        <v>120</v>
      </c>
      <c r="BD274" s="260" t="s">
        <v>1262</v>
      </c>
      <c r="BE274" s="1174"/>
      <c r="BF274" s="5459">
        <v>1.2</v>
      </c>
      <c r="BG274" s="1536">
        <f>(BC274*BB273)/1000</f>
        <v>90</v>
      </c>
      <c r="BH274" s="7392" t="s">
        <v>1263</v>
      </c>
      <c r="BO274" s="2"/>
      <c r="BP274" s="2"/>
      <c r="BQ274" s="2"/>
      <c r="BR274" s="2"/>
      <c r="BS274" s="2"/>
      <c r="BT274" s="2"/>
      <c r="BU274" s="2"/>
      <c r="BW274" s="5">
        <v>1</v>
      </c>
    </row>
    <row r="275" spans="2:75" ht="16.5" thickBot="1">
      <c r="B275" s="5155"/>
      <c r="Q275" s="5155"/>
      <c r="R275" s="1"/>
      <c r="S275" s="1"/>
      <c r="T275" s="141"/>
      <c r="U275" s="141"/>
      <c r="V275" s="141"/>
      <c r="W275" s="141"/>
      <c r="X275" s="1358" t="s">
        <v>1118</v>
      </c>
      <c r="Y275" s="1512">
        <v>1</v>
      </c>
      <c r="Z275" s="141"/>
      <c r="AA275" s="1515">
        <f>(Y275/Y270)*AA271</f>
        <v>2</v>
      </c>
      <c r="AB275" s="1516" t="s">
        <v>1246</v>
      </c>
      <c r="AC275" s="988"/>
      <c r="AD275" s="1326" t="s">
        <v>1247</v>
      </c>
      <c r="AF275" s="5155"/>
      <c r="AU275" s="5155"/>
      <c r="AX275" s="141"/>
      <c r="AY275" s="141"/>
      <c r="AZ275" s="141"/>
      <c r="BA275" s="141"/>
      <c r="BB275" s="1537" t="str">
        <f>INT(BG273/BF273) &amp; " " &amp; BH273 &amp; " de " &amp; BF273 &amp; " " &amp; BD273 &amp; IF(MOD(BG273,BF273)&gt;0, " + 1 "&amp;BH273&amp;" de " &amp; TEXT(MOD(BG273,BF273), "0.00") &amp; " " &amp; BD273, "")</f>
        <v>46 Assiette(s) de 16 madeleine(s) + 1 Assiette(s) de 14.00 madeleine(s)</v>
      </c>
      <c r="BC275" s="141"/>
      <c r="BD275" s="141"/>
      <c r="BE275" s="141"/>
      <c r="BF275" s="141"/>
      <c r="BG275" s="988"/>
      <c r="BH275" s="7392"/>
      <c r="BO275" s="2"/>
      <c r="BP275" s="2"/>
      <c r="BQ275" s="2"/>
      <c r="BR275" s="2"/>
      <c r="BS275" s="2"/>
      <c r="BT275" s="2"/>
      <c r="BU275" s="2"/>
      <c r="BW275" s="5">
        <v>1</v>
      </c>
    </row>
    <row r="276" spans="2:75" ht="15" customHeight="1" thickTop="1" thickBot="1">
      <c r="B276" s="5155"/>
      <c r="Q276" s="5155"/>
      <c r="R276" s="5151" t="s">
        <v>218</v>
      </c>
      <c r="S276" s="1"/>
      <c r="T276" s="141"/>
      <c r="U276" s="141"/>
      <c r="V276" s="141"/>
      <c r="W276" s="141"/>
      <c r="X276" s="1358" t="s">
        <v>1118</v>
      </c>
      <c r="Y276" s="1512">
        <v>1</v>
      </c>
      <c r="Z276" s="141"/>
      <c r="AA276" s="1515">
        <f>(Y276/Y270)*AA271</f>
        <v>2</v>
      </c>
      <c r="AB276" s="1516" t="s">
        <v>1248</v>
      </c>
      <c r="AC276" s="988"/>
      <c r="AD276" s="1326" t="s">
        <v>1249</v>
      </c>
      <c r="AF276" s="5155"/>
      <c r="AU276" s="5155"/>
      <c r="AX276" s="141"/>
      <c r="AY276" s="141"/>
      <c r="AZ276" s="141"/>
      <c r="BA276" s="141"/>
      <c r="BB276" s="1182" t="str">
        <f>IF(MOD(BG274, BF274) = 0, INT(BG274/BF274) &amp; " " &amp; BH273 &amp; " de " &amp; BF274 &amp; " kg", INT(BG274/BF274) &amp; " " &amp; BH273 &amp; " de " &amp; BF274 &amp; " kg" &amp; " + 1 "&amp;BH273&amp;" de " &amp; TEXT(MOD(BG274, BF274), "0.00") &amp; " kg")</f>
        <v>75 Assiette(s) de 1.2 kg + 1 Assiette(s) de 0.00 kg</v>
      </c>
      <c r="BC276" s="141"/>
      <c r="BD276" s="141"/>
      <c r="BE276" s="141"/>
      <c r="BF276" s="141"/>
      <c r="BG276" s="988"/>
      <c r="BH276" s="7392"/>
      <c r="BO276" s="2"/>
      <c r="BP276" s="2"/>
      <c r="BQ276" s="2"/>
      <c r="BR276" s="2"/>
      <c r="BS276" s="2"/>
      <c r="BT276" s="2"/>
      <c r="BU276" s="2"/>
      <c r="BW276" s="5">
        <v>1</v>
      </c>
    </row>
    <row r="277" spans="2:75" ht="16.5" thickTop="1">
      <c r="B277" s="5155"/>
      <c r="Q277" s="5155"/>
      <c r="R277" s="1111" t="s">
        <v>935</v>
      </c>
      <c r="S277" s="1"/>
      <c r="T277" s="141"/>
      <c r="U277" s="141"/>
      <c r="V277" s="141"/>
      <c r="W277" s="141"/>
      <c r="X277" s="1358" t="s">
        <v>1118</v>
      </c>
      <c r="Y277" s="1512">
        <v>1</v>
      </c>
      <c r="Z277" s="141"/>
      <c r="AA277" s="1515">
        <f>(Y277/Y270)*AA271</f>
        <v>2</v>
      </c>
      <c r="AB277" s="1516" t="s">
        <v>1250</v>
      </c>
      <c r="AC277" s="988"/>
      <c r="AD277" s="1326" t="s">
        <v>1251</v>
      </c>
      <c r="AF277" s="5155"/>
      <c r="AU277" s="5155"/>
      <c r="AX277" s="141"/>
      <c r="AY277" s="141"/>
      <c r="AZ277" s="141"/>
      <c r="BA277" s="141"/>
      <c r="BB277" s="1323"/>
      <c r="BC277" s="988"/>
      <c r="BD277" s="988"/>
      <c r="BE277" s="988"/>
      <c r="BF277" s="988"/>
      <c r="BG277" s="988"/>
      <c r="BH277" s="1325"/>
      <c r="BO277" s="2"/>
      <c r="BP277" s="2"/>
      <c r="BQ277" s="2"/>
      <c r="BR277" s="2"/>
      <c r="BS277" s="2"/>
      <c r="BT277" s="2"/>
      <c r="BU277" s="2"/>
      <c r="BW277" s="5">
        <v>1</v>
      </c>
    </row>
    <row r="278" spans="2:75" ht="15.75" customHeight="1">
      <c r="B278" s="5155"/>
      <c r="Q278" s="5155"/>
      <c r="R278" s="1358" t="s">
        <v>1118</v>
      </c>
      <c r="S278" s="5156"/>
      <c r="T278" s="141"/>
      <c r="U278" s="141"/>
      <c r="V278" s="141"/>
      <c r="W278" s="141"/>
      <c r="X278" s="1518" t="s">
        <v>1252</v>
      </c>
      <c r="Y278" s="1512">
        <v>1</v>
      </c>
      <c r="Z278" s="141"/>
      <c r="AA278" s="1515">
        <f>(Y278/Y270)*AA271</f>
        <v>2</v>
      </c>
      <c r="AB278" s="988"/>
      <c r="AC278" s="988"/>
      <c r="AD278" s="1326" t="s">
        <v>1253</v>
      </c>
      <c r="AF278" s="5155"/>
      <c r="AU278" s="5155"/>
      <c r="AX278" s="141"/>
      <c r="AY278" s="141"/>
      <c r="AZ278" s="141"/>
      <c r="BA278" s="141"/>
      <c r="BB278" s="1369" t="s">
        <v>864</v>
      </c>
      <c r="BC278" s="1321"/>
      <c r="BD278" s="1321"/>
      <c r="BE278" s="1321"/>
      <c r="BF278" s="1321"/>
      <c r="BG278" s="1321"/>
      <c r="BH278" s="1370" t="s">
        <v>1297</v>
      </c>
      <c r="BO278" s="2"/>
      <c r="BP278" s="2"/>
      <c r="BQ278" s="2"/>
      <c r="BR278" s="2"/>
      <c r="BS278" s="2"/>
      <c r="BT278" s="2"/>
      <c r="BU278" s="2"/>
      <c r="BW278" s="5">
        <v>1</v>
      </c>
    </row>
    <row r="279" spans="2:75" ht="15.75" customHeight="1">
      <c r="B279" s="5155"/>
      <c r="Q279" s="5155"/>
      <c r="R279" s="1411" t="s">
        <v>1175</v>
      </c>
      <c r="S279" s="5157"/>
      <c r="T279" s="141"/>
      <c r="U279" s="141"/>
      <c r="V279" s="141"/>
      <c r="W279" s="141"/>
      <c r="X279" s="1518" t="s">
        <v>1252</v>
      </c>
      <c r="Y279" s="1512">
        <v>1</v>
      </c>
      <c r="Z279" s="141"/>
      <c r="AA279" s="1515">
        <f>(Y279/Y270)*AA271</f>
        <v>2</v>
      </c>
      <c r="AB279" s="988"/>
      <c r="AC279" s="988"/>
      <c r="AD279" s="1326"/>
      <c r="AF279" s="5155"/>
      <c r="AU279" s="5155"/>
      <c r="AX279" s="141"/>
      <c r="AY279" s="141"/>
      <c r="AZ279" s="141"/>
      <c r="BA279" s="141"/>
      <c r="BB279" s="141"/>
      <c r="BC279" s="141"/>
      <c r="BD279" s="141"/>
      <c r="BE279" s="141"/>
      <c r="BF279" s="141"/>
      <c r="BG279" s="141"/>
      <c r="BH279" s="141"/>
      <c r="BO279" s="2"/>
      <c r="BP279" s="2"/>
      <c r="BQ279" s="2"/>
      <c r="BR279" s="2"/>
      <c r="BS279" s="2"/>
      <c r="BT279" s="2"/>
      <c r="BU279" s="2"/>
      <c r="BW279" s="5">
        <v>1</v>
      </c>
    </row>
    <row r="280" spans="2:75" ht="15.75" customHeight="1">
      <c r="B280" s="5155"/>
      <c r="Q280" s="5155"/>
      <c r="R280" s="5423" t="s">
        <v>1171</v>
      </c>
      <c r="S280" s="5158"/>
      <c r="T280" s="141"/>
      <c r="U280" s="141"/>
      <c r="V280" s="141"/>
      <c r="W280" s="141"/>
      <c r="X280" s="1518" t="s">
        <v>1252</v>
      </c>
      <c r="Y280" s="1512">
        <v>1</v>
      </c>
      <c r="Z280" s="141"/>
      <c r="AA280" s="1515">
        <f>(Y280/Y270)*AA271</f>
        <v>2</v>
      </c>
      <c r="AB280" s="988"/>
      <c r="AC280" s="988"/>
      <c r="AD280" s="1326"/>
      <c r="AF280" s="5155"/>
      <c r="AU280" s="5155"/>
      <c r="AX280" s="141"/>
      <c r="AY280" s="141"/>
      <c r="AZ280" s="141"/>
      <c r="BA280" s="141"/>
      <c r="BB280" s="141"/>
      <c r="BC280" s="141"/>
      <c r="BD280" s="141"/>
      <c r="BE280" s="141"/>
      <c r="BF280" s="141"/>
      <c r="BG280" s="141"/>
      <c r="BH280" s="141"/>
      <c r="BO280" s="2"/>
      <c r="BP280" s="2"/>
      <c r="BQ280" s="2"/>
      <c r="BR280" s="2"/>
      <c r="BS280" s="2"/>
      <c r="BT280" s="2"/>
      <c r="BU280" s="2"/>
      <c r="BW280" s="5">
        <v>1</v>
      </c>
    </row>
    <row r="281" spans="2:75" ht="15.75" customHeight="1">
      <c r="B281" s="5155"/>
      <c r="Q281" s="5155"/>
      <c r="R281" s="5423" t="s">
        <v>7843</v>
      </c>
      <c r="S281" s="5158"/>
      <c r="T281" s="141"/>
      <c r="U281" s="141"/>
      <c r="V281" s="141"/>
      <c r="W281" s="141"/>
      <c r="X281" s="1369" t="s">
        <v>864</v>
      </c>
      <c r="Y281" s="1321"/>
      <c r="Z281" s="1321"/>
      <c r="AA281" s="1321"/>
      <c r="AB281" s="1321"/>
      <c r="AC281" s="1321"/>
      <c r="AD281" s="1370"/>
      <c r="AF281" s="5155"/>
      <c r="AU281" s="5155"/>
      <c r="AV281" s="5153"/>
      <c r="AW281" s="5154" t="s">
        <v>7848</v>
      </c>
      <c r="AX281" s="141"/>
      <c r="AY281" s="141"/>
      <c r="AZ281" s="141"/>
      <c r="BA281" s="141"/>
      <c r="BB281" s="1354" t="s">
        <v>252</v>
      </c>
      <c r="BC281" s="1550"/>
      <c r="BD281" s="1550"/>
      <c r="BE281" s="1550"/>
      <c r="BF281" s="1550"/>
      <c r="BG281" s="1551"/>
      <c r="BH281" s="1434" t="s">
        <v>1298</v>
      </c>
      <c r="BO281" s="2"/>
      <c r="BP281" s="2"/>
      <c r="BQ281" s="2"/>
      <c r="BR281" s="2"/>
      <c r="BS281" s="2"/>
      <c r="BT281" s="2"/>
      <c r="BU281" s="2"/>
      <c r="BW281" s="5">
        <v>1</v>
      </c>
    </row>
    <row r="282" spans="2:75" ht="15.75">
      <c r="B282" s="5155"/>
      <c r="Q282" s="5155"/>
      <c r="T282" s="141"/>
      <c r="U282" s="141"/>
      <c r="V282" s="141"/>
      <c r="W282" s="141"/>
      <c r="X282" s="1599"/>
      <c r="Y282" s="997"/>
      <c r="Z282" s="997"/>
      <c r="AA282" s="997"/>
      <c r="AB282" s="997"/>
      <c r="AC282" s="997"/>
      <c r="AD282" s="1339" t="s">
        <v>1112</v>
      </c>
      <c r="AF282" s="5155"/>
      <c r="AU282" s="5155"/>
      <c r="AW282" s="5152" t="s">
        <v>7842</v>
      </c>
      <c r="AX282" s="141"/>
      <c r="AY282" s="141"/>
      <c r="AZ282" s="141"/>
      <c r="BA282" s="141"/>
      <c r="BB282" s="1319"/>
      <c r="BC282" s="147"/>
      <c r="BD282" s="147"/>
      <c r="BE282" s="147"/>
      <c r="BF282" s="147"/>
      <c r="BG282" s="147"/>
      <c r="BH282" s="1580" t="s">
        <v>1293</v>
      </c>
      <c r="BO282" s="2"/>
      <c r="BP282" s="2"/>
      <c r="BQ282" s="2"/>
      <c r="BR282" s="2"/>
      <c r="BS282" s="2"/>
      <c r="BT282" s="2"/>
      <c r="BU282" s="2"/>
      <c r="BW282" s="5">
        <v>1</v>
      </c>
    </row>
    <row r="283" spans="2:75" ht="15.75" customHeight="1">
      <c r="B283" s="5155"/>
      <c r="Q283" s="5155"/>
      <c r="T283" s="141"/>
      <c r="U283" s="141"/>
      <c r="V283" s="141"/>
      <c r="W283" s="141"/>
      <c r="X283" s="1002"/>
      <c r="Y283" s="1002"/>
      <c r="Z283" s="1002" t="s">
        <v>873</v>
      </c>
      <c r="AA283" s="1003"/>
      <c r="AB283" s="1329"/>
      <c r="AC283" s="1329"/>
      <c r="AD283" s="1330"/>
      <c r="AF283" s="5155"/>
      <c r="AU283" s="5155"/>
      <c r="AX283" s="141"/>
      <c r="AY283" s="141"/>
      <c r="AZ283" s="141"/>
      <c r="BA283" s="141"/>
      <c r="BB283" s="1600"/>
      <c r="BC283" s="1601" t="s">
        <v>762</v>
      </c>
      <c r="BD283" s="988"/>
      <c r="BE283" s="1602">
        <v>2</v>
      </c>
      <c r="BF283" s="1603"/>
      <c r="BG283" s="1604">
        <v>10</v>
      </c>
      <c r="BH283" s="5425" t="s">
        <v>751</v>
      </c>
      <c r="BO283" s="2"/>
      <c r="BP283" s="2"/>
      <c r="BQ283" s="2"/>
      <c r="BR283" s="2"/>
      <c r="BS283" s="2"/>
      <c r="BT283" s="2"/>
      <c r="BU283" s="2"/>
      <c r="BW283" s="5">
        <v>1</v>
      </c>
    </row>
    <row r="284" spans="2:75" ht="16.5" customHeight="1" thickBot="1">
      <c r="B284" s="5155"/>
      <c r="Q284" s="5155"/>
      <c r="T284" s="141"/>
      <c r="U284" s="141"/>
      <c r="V284" s="141"/>
      <c r="W284" s="141"/>
      <c r="X284" s="1332" t="s">
        <v>86</v>
      </c>
      <c r="Y284" s="1006"/>
      <c r="Z284" s="1007"/>
      <c r="AA284" s="1008"/>
      <c r="AB284" s="1007"/>
      <c r="AC284" s="1007"/>
      <c r="AD284" s="1333"/>
      <c r="AF284" s="5155"/>
      <c r="AU284" s="5155"/>
      <c r="AX284" s="141"/>
      <c r="AY284" s="141"/>
      <c r="AZ284" s="141"/>
      <c r="BA284" s="141"/>
      <c r="BB284" s="1605"/>
      <c r="BC284" s="5422" t="s">
        <v>759</v>
      </c>
      <c r="BD284" s="988"/>
      <c r="BE284" s="1606">
        <v>1</v>
      </c>
      <c r="BF284" s="1607"/>
      <c r="BG284" s="1608">
        <v>15</v>
      </c>
      <c r="BH284" s="1609" t="s">
        <v>752</v>
      </c>
      <c r="BO284" s="2"/>
      <c r="BP284" s="2"/>
      <c r="BQ284" s="2"/>
      <c r="BR284" s="2"/>
      <c r="BS284" s="2"/>
      <c r="BT284" s="2"/>
      <c r="BU284" s="2"/>
      <c r="BW284" s="5">
        <v>1</v>
      </c>
    </row>
    <row r="285" spans="2:75" ht="15.75" customHeight="1">
      <c r="B285" s="5155"/>
      <c r="Q285" s="5155"/>
      <c r="T285" s="141"/>
      <c r="U285" s="141"/>
      <c r="V285" s="141"/>
      <c r="W285" s="141"/>
      <c r="AF285" s="5155"/>
      <c r="AU285" s="5155"/>
      <c r="AX285" s="141"/>
      <c r="AY285" s="141"/>
      <c r="AZ285" s="141"/>
      <c r="BA285" s="141"/>
      <c r="BB285" s="1610"/>
      <c r="BC285" s="1611" t="s">
        <v>765</v>
      </c>
      <c r="BD285" s="988"/>
      <c r="BE285" s="1612">
        <f>IF(BE283=0,0,IF(BE284=0,0,BE283-BE284))</f>
        <v>1</v>
      </c>
      <c r="BF285" s="1613"/>
      <c r="BG285" s="1614">
        <f>IF(BG283=0,0,IF(BG284=0,0,BG284-BG283))</f>
        <v>5</v>
      </c>
      <c r="BH285" s="1615" t="s">
        <v>754</v>
      </c>
      <c r="BO285" s="2"/>
      <c r="BP285" s="2"/>
      <c r="BQ285" s="2"/>
      <c r="BR285" s="2"/>
      <c r="BS285" s="2"/>
      <c r="BT285" s="2"/>
      <c r="BU285" s="2"/>
      <c r="BW285" s="5">
        <v>1</v>
      </c>
    </row>
    <row r="286" spans="2:75" ht="15.75">
      <c r="B286" s="5155"/>
      <c r="Q286" s="5155"/>
      <c r="T286" s="141"/>
      <c r="U286" s="141"/>
      <c r="V286" s="141"/>
      <c r="W286" s="141"/>
      <c r="X286" s="141"/>
      <c r="Y286" s="141"/>
      <c r="Z286" s="141"/>
      <c r="AA286" s="141"/>
      <c r="AB286" s="141"/>
      <c r="AC286" s="141"/>
      <c r="AD286" s="141"/>
      <c r="AF286" s="5155"/>
      <c r="AU286" s="5155"/>
      <c r="AX286" s="141"/>
      <c r="AY286" s="141"/>
      <c r="AZ286" s="141"/>
      <c r="BA286" s="141"/>
      <c r="BB286" s="1610"/>
      <c r="BC286" s="1611" t="s">
        <v>768</v>
      </c>
      <c r="BD286" s="988"/>
      <c r="BE286" s="1616">
        <f>IF(BE283=0,0,BE285/BE283)</f>
        <v>0.5</v>
      </c>
      <c r="BF286" s="1617"/>
      <c r="BG286" s="1618">
        <f>IF(BG283=0,0,IF(ISBLANK(BG283),0,(BG285/BG283)*100))</f>
        <v>50</v>
      </c>
      <c r="BH286" s="1615" t="s">
        <v>753</v>
      </c>
      <c r="BO286" s="2"/>
      <c r="BP286" s="2"/>
      <c r="BQ286" s="2"/>
      <c r="BR286" s="2"/>
      <c r="BS286" s="2"/>
      <c r="BT286" s="2"/>
      <c r="BU286" s="2"/>
      <c r="BW286" s="5">
        <v>1</v>
      </c>
    </row>
    <row r="287" spans="2:75" ht="15.75" customHeight="1">
      <c r="B287" s="5155"/>
      <c r="Q287" s="5155"/>
      <c r="R287" s="5153"/>
      <c r="S287" s="5153"/>
      <c r="T287" s="5154" t="s">
        <v>7846</v>
      </c>
      <c r="U287" s="141"/>
      <c r="V287" s="141"/>
      <c r="W287" s="141"/>
      <c r="X287" s="1354" t="s">
        <v>252</v>
      </c>
      <c r="Y287" s="1355"/>
      <c r="Z287" s="1355"/>
      <c r="AA287" s="1355"/>
      <c r="AB287" s="1355"/>
      <c r="AC287" s="1356"/>
      <c r="AD287" s="1357" t="s">
        <v>1274</v>
      </c>
      <c r="AF287" s="5155"/>
      <c r="AU287" s="5155"/>
      <c r="AX287" s="141"/>
      <c r="AY287" s="141"/>
      <c r="AZ287" s="141"/>
      <c r="BA287" s="141"/>
      <c r="BB287" s="1605"/>
      <c r="BC287" s="5422" t="s">
        <v>764</v>
      </c>
      <c r="BD287" s="988"/>
      <c r="BE287" s="1619">
        <v>50</v>
      </c>
      <c r="BF287" s="1603"/>
      <c r="BG287" s="1604">
        <v>10</v>
      </c>
      <c r="BH287" s="5425" t="s">
        <v>751</v>
      </c>
      <c r="BO287" s="2"/>
      <c r="BP287" s="2"/>
      <c r="BQ287" s="2"/>
      <c r="BR287" s="2"/>
      <c r="BS287" s="2"/>
      <c r="BT287" s="2"/>
      <c r="BU287" s="2"/>
      <c r="BW287" s="5">
        <v>1</v>
      </c>
    </row>
    <row r="288" spans="2:75" ht="15.75" customHeight="1">
      <c r="B288" s="5155"/>
      <c r="Q288" s="5155"/>
      <c r="T288" s="5152" t="s">
        <v>7842</v>
      </c>
      <c r="U288" s="141"/>
      <c r="V288" s="141"/>
      <c r="W288" s="141"/>
      <c r="X288" s="1541" t="s">
        <v>1275</v>
      </c>
      <c r="Y288" s="1542" t="s">
        <v>1276</v>
      </c>
      <c r="Z288" s="1543"/>
      <c r="AA288" s="1544" t="s">
        <v>1277</v>
      </c>
      <c r="AB288" s="1542" t="s">
        <v>21</v>
      </c>
      <c r="AC288" s="1542" t="s">
        <v>1278</v>
      </c>
      <c r="AD288" s="1545" t="s">
        <v>1279</v>
      </c>
      <c r="AF288" s="5155"/>
      <c r="AU288" s="5155"/>
      <c r="AX288" s="141"/>
      <c r="AY288" s="141"/>
      <c r="AZ288" s="141"/>
      <c r="BA288" s="141"/>
      <c r="BB288" s="1610"/>
      <c r="BC288" s="1611" t="s">
        <v>765</v>
      </c>
      <c r="BD288" s="988"/>
      <c r="BE288" s="1612">
        <f>BE283*BE287%</f>
        <v>1</v>
      </c>
      <c r="BF288" s="1620"/>
      <c r="BG288" s="1621">
        <v>50</v>
      </c>
      <c r="BH288" s="1622" t="s">
        <v>753</v>
      </c>
      <c r="BO288" s="2"/>
      <c r="BP288" s="2"/>
      <c r="BQ288" s="2"/>
      <c r="BR288" s="2"/>
      <c r="BS288" s="2"/>
      <c r="BT288" s="2"/>
      <c r="BU288" s="2"/>
      <c r="BW288" s="5">
        <v>1</v>
      </c>
    </row>
    <row r="289" spans="2:75" ht="15.75">
      <c r="B289" s="5155"/>
      <c r="Q289" s="5155"/>
      <c r="T289" s="141"/>
      <c r="U289" s="141"/>
      <c r="V289" s="141"/>
      <c r="W289" s="141"/>
      <c r="X289" s="1546" t="str">
        <f>"cellule "&amp;ADDRESS(ROW(AD289),COLUMN(AD289),4)&amp;"  vous pouvez saisir un autre poids"</f>
        <v>cellule AD289  vous pouvez saisir un autre poids</v>
      </c>
      <c r="Y289" s="1547"/>
      <c r="Z289" s="1548"/>
      <c r="AA289" s="102"/>
      <c r="AB289" s="1547"/>
      <c r="AD289" s="1549">
        <v>1</v>
      </c>
      <c r="AF289" s="5155"/>
      <c r="AU289" s="5155"/>
      <c r="AX289" s="141"/>
      <c r="AY289" s="141"/>
      <c r="AZ289" s="141"/>
      <c r="BA289" s="141"/>
      <c r="BB289" s="1610"/>
      <c r="BC289" s="1611" t="s">
        <v>773</v>
      </c>
      <c r="BD289" s="988"/>
      <c r="BE289" s="1612">
        <f>BE283-BE288</f>
        <v>1</v>
      </c>
      <c r="BF289" s="1613"/>
      <c r="BG289" s="1614">
        <f>BG287*BG288%</f>
        <v>5</v>
      </c>
      <c r="BH289" s="1615" t="s">
        <v>754</v>
      </c>
      <c r="BO289" s="2"/>
      <c r="BP289" s="2"/>
      <c r="BQ289" s="2"/>
      <c r="BR289" s="2"/>
      <c r="BS289" s="2"/>
      <c r="BT289" s="2"/>
      <c r="BU289" s="2"/>
      <c r="BW289" s="5">
        <v>1</v>
      </c>
    </row>
    <row r="290" spans="2:75" ht="15.75">
      <c r="B290" s="5155"/>
      <c r="Q290" s="5155"/>
      <c r="T290" s="141"/>
      <c r="U290" s="141"/>
      <c r="V290" s="141"/>
      <c r="W290" s="141"/>
      <c r="X290" s="5456">
        <v>100</v>
      </c>
      <c r="Y290" s="5457">
        <v>120</v>
      </c>
      <c r="Z290" s="1552"/>
      <c r="AA290" s="5457">
        <v>180</v>
      </c>
      <c r="AB290" s="5457">
        <v>180</v>
      </c>
      <c r="AC290" s="5457">
        <v>200</v>
      </c>
      <c r="AD290" s="1553" t="s">
        <v>1281</v>
      </c>
      <c r="AF290" s="5155"/>
      <c r="AU290" s="5155"/>
      <c r="AX290" s="141"/>
      <c r="AY290" s="141"/>
      <c r="AZ290" s="141"/>
      <c r="BA290" s="141"/>
      <c r="BB290" s="1323"/>
      <c r="BC290" s="1257"/>
      <c r="BD290" s="988"/>
      <c r="BE290" s="1623"/>
      <c r="BF290" s="1624"/>
      <c r="BG290" s="1614">
        <f>((BG287*BG288)/100)+BG287</f>
        <v>15</v>
      </c>
      <c r="BH290" s="1615" t="s">
        <v>752</v>
      </c>
      <c r="BO290" s="2"/>
      <c r="BP290" s="2"/>
      <c r="BQ290" s="2"/>
      <c r="BR290" s="2"/>
      <c r="BS290" s="2"/>
      <c r="BT290" s="2"/>
      <c r="BU290" s="2"/>
      <c r="BW290" s="5">
        <v>1</v>
      </c>
    </row>
    <row r="291" spans="2:75" ht="17.25" customHeight="1">
      <c r="B291" s="5155"/>
      <c r="Q291" s="5155"/>
      <c r="T291" s="141"/>
      <c r="U291" s="141"/>
      <c r="V291" s="141"/>
      <c r="W291" s="141"/>
      <c r="X291" s="1555">
        <f>IF(MOD(AD289*1000/X290,1)=0,AD289*1000/X290,IF(MOD(AD289*1000/X290,1)&lt;0.5,INT(AD289*1000/X290),INT(AD289*1000/X290)+1))</f>
        <v>10</v>
      </c>
      <c r="Y291" s="1556">
        <f>IF(MOD(AD289*1000/Y290,1)=0,AD289*1000/Y290,IF(MOD(AD289*1000/Y290,1)&lt;0.5,INT(AD289*1000/Y290),INT(AD289*1000/Y290)+1))</f>
        <v>8</v>
      </c>
      <c r="Z291" s="1557"/>
      <c r="AA291" s="1556">
        <f>IF(MOD(AD289*1000/AA290,1)=0,AD289*1000/AA290,IF(MOD(AD289*1000/AA290,1)&lt;0.5,INT(AD289*1000/AA290),INT(AD289*1000/AA290)+1))</f>
        <v>6</v>
      </c>
      <c r="AB291" s="1556">
        <f>IF(MOD(AD289*1000/AB290,1)=0,AD289*1000/AB290,IF(MOD(AD289*1000/AB290,1)&lt;0.5,INT(AD289*1000/AB290),INT(AD289*1000/AB290)+1))</f>
        <v>6</v>
      </c>
      <c r="AC291" s="1556">
        <f>IF(MOD(AD289*1000/AC290,1)=0,AD289*1000/AC290,IF(MOD(AD289*1000/AC290,1)&lt;0.5,INT(AD289*1000/AC290),INT(AD289*1000/AC290)+1))</f>
        <v>5</v>
      </c>
      <c r="AD291" s="1558" t="s">
        <v>1283</v>
      </c>
      <c r="AF291" s="5155"/>
      <c r="AU291" s="5155"/>
      <c r="AX291" s="141"/>
      <c r="AY291" s="141"/>
      <c r="AZ291" s="141"/>
      <c r="BA291" s="141"/>
      <c r="BB291" s="1369" t="s">
        <v>864</v>
      </c>
      <c r="BC291" s="1321"/>
      <c r="BD291" s="1321"/>
      <c r="BE291" s="1321"/>
      <c r="BF291" s="1321"/>
      <c r="BG291" s="1321"/>
      <c r="BH291" s="1370" t="s">
        <v>1297</v>
      </c>
      <c r="BO291" s="2"/>
      <c r="BP291" s="2"/>
      <c r="BQ291" s="2"/>
      <c r="BR291" s="2"/>
      <c r="BS291" s="2"/>
      <c r="BT291" s="2"/>
      <c r="BU291" s="2"/>
      <c r="BW291" s="5">
        <v>1</v>
      </c>
    </row>
    <row r="292" spans="2:75" ht="15.75">
      <c r="B292" s="5155"/>
      <c r="Q292" s="5155"/>
      <c r="T292" s="141"/>
      <c r="U292" s="141"/>
      <c r="V292" s="141"/>
      <c r="W292" s="141"/>
      <c r="X292" s="1546" t="str">
        <f>"cellule "&amp;ADDRESS(ROW(AD292),COLUMN(AD292),4)&amp;"  vous pouvez saisir un autre poids"</f>
        <v>cellule AD292  vous pouvez saisir un autre poids</v>
      </c>
      <c r="Y292" s="1552"/>
      <c r="Z292" s="1559"/>
      <c r="AA292" s="141"/>
      <c r="AB292" s="1552"/>
      <c r="AD292" s="1560">
        <v>1</v>
      </c>
      <c r="AF292" s="5155"/>
      <c r="AU292" s="5155"/>
      <c r="AX292" s="141"/>
      <c r="AY292" s="141"/>
      <c r="AZ292" s="141"/>
      <c r="BA292" s="141"/>
      <c r="BB292" s="141"/>
      <c r="BC292" s="141"/>
      <c r="BD292" s="141"/>
      <c r="BE292" s="141"/>
      <c r="BF292" s="141"/>
      <c r="BG292" s="141"/>
      <c r="BH292" s="141"/>
      <c r="BO292" s="2"/>
      <c r="BP292" s="2"/>
      <c r="BQ292" s="2"/>
      <c r="BR292" s="2"/>
      <c r="BS292" s="2"/>
      <c r="BT292" s="2"/>
      <c r="BU292" s="2"/>
      <c r="BW292" s="5">
        <v>1</v>
      </c>
    </row>
    <row r="293" spans="2:75">
      <c r="B293" s="5155"/>
      <c r="Q293" s="5155"/>
      <c r="T293" s="141"/>
      <c r="U293" s="141"/>
      <c r="V293" s="141"/>
      <c r="W293" s="141"/>
      <c r="X293" s="1565">
        <v>10</v>
      </c>
      <c r="Y293" s="1512">
        <v>8</v>
      </c>
      <c r="Z293" s="1566"/>
      <c r="AA293" s="1512">
        <v>5</v>
      </c>
      <c r="AB293" s="1512">
        <v>6</v>
      </c>
      <c r="AC293" s="1512">
        <v>10</v>
      </c>
      <c r="AD293" s="1567" t="s">
        <v>1284</v>
      </c>
      <c r="AF293" s="5155"/>
      <c r="AU293" s="5155"/>
      <c r="AX293" s="141"/>
      <c r="AY293" s="141"/>
      <c r="AZ293" s="141"/>
      <c r="BA293" s="141"/>
      <c r="BB293" s="141"/>
      <c r="BC293" s="141"/>
      <c r="BD293" s="141"/>
      <c r="BE293" s="141"/>
      <c r="BF293" s="141"/>
      <c r="BG293" s="141"/>
      <c r="BH293" s="141"/>
      <c r="BO293" s="2"/>
      <c r="BP293" s="2"/>
      <c r="BQ293" s="2"/>
      <c r="BR293" s="2"/>
      <c r="BS293" s="2"/>
      <c r="BT293" s="2"/>
      <c r="BU293" s="2"/>
      <c r="BW293" s="5">
        <v>1</v>
      </c>
    </row>
    <row r="294" spans="2:75" ht="15.75">
      <c r="B294" s="5155"/>
      <c r="Q294" s="5155"/>
      <c r="T294" s="141"/>
      <c r="U294" s="141"/>
      <c r="V294" s="141"/>
      <c r="W294" s="141"/>
      <c r="X294" s="1572">
        <f>AD292/X293*1000</f>
        <v>100</v>
      </c>
      <c r="Y294" s="1573">
        <f>AD292/Y293*1000</f>
        <v>125</v>
      </c>
      <c r="Z294" s="1574"/>
      <c r="AA294" s="1573">
        <f>AD292/AA293*1000</f>
        <v>200</v>
      </c>
      <c r="AB294" s="1573">
        <f>AD292/AB293*1000</f>
        <v>166.66666666666666</v>
      </c>
      <c r="AC294" s="1573">
        <f>AD292/AC293*1000</f>
        <v>100</v>
      </c>
      <c r="AD294" s="1558" t="s">
        <v>1285</v>
      </c>
      <c r="AF294" s="5155"/>
      <c r="AU294" s="5155"/>
      <c r="AV294" s="5153"/>
      <c r="AW294" s="5154" t="s">
        <v>7848</v>
      </c>
      <c r="AX294" s="141"/>
      <c r="AY294" s="141"/>
      <c r="AZ294" s="141"/>
      <c r="BA294" s="141"/>
      <c r="BB294" s="1354" t="s">
        <v>252</v>
      </c>
      <c r="BC294" s="1550"/>
      <c r="BD294" s="1550"/>
      <c r="BE294" s="1550"/>
      <c r="BF294" s="1550"/>
      <c r="BG294" s="1551"/>
      <c r="BH294" s="1434" t="s">
        <v>1280</v>
      </c>
      <c r="BO294" s="2"/>
      <c r="BP294" s="2"/>
      <c r="BQ294" s="2"/>
      <c r="BR294" s="2"/>
      <c r="BS294" s="2"/>
      <c r="BT294" s="2"/>
      <c r="BU294" s="2"/>
      <c r="BW294" s="5">
        <v>1</v>
      </c>
    </row>
    <row r="295" spans="2:75" ht="15.75" customHeight="1">
      <c r="B295" s="5155"/>
      <c r="Q295" s="5155"/>
      <c r="T295" s="141"/>
      <c r="U295" s="141"/>
      <c r="V295" s="141"/>
      <c r="W295" s="141"/>
      <c r="X295" s="1576" t="s">
        <v>1279</v>
      </c>
      <c r="Y295" s="1577"/>
      <c r="Z295" s="1578" t="s">
        <v>1287</v>
      </c>
      <c r="AA295" s="1577"/>
      <c r="AB295" s="1577"/>
      <c r="AC295" s="1578" t="s">
        <v>1288</v>
      </c>
      <c r="AD295" s="1325"/>
      <c r="AF295" s="5155"/>
      <c r="AU295" s="5155"/>
      <c r="AW295" s="5152" t="s">
        <v>7842</v>
      </c>
      <c r="AX295" s="141"/>
      <c r="AY295" s="141"/>
      <c r="AZ295" s="141"/>
      <c r="BA295" s="141"/>
      <c r="BB295" s="1554" t="s">
        <v>198</v>
      </c>
      <c r="BC295" s="7070" t="s">
        <v>196</v>
      </c>
      <c r="BD295" s="7651" t="s">
        <v>929</v>
      </c>
      <c r="BE295" s="7073" t="s">
        <v>195</v>
      </c>
      <c r="BF295" s="7653" t="s">
        <v>183</v>
      </c>
      <c r="BG295" s="7077" t="s">
        <v>1282</v>
      </c>
      <c r="BH295" s="7393" t="s">
        <v>185</v>
      </c>
      <c r="BO295" s="2"/>
      <c r="BP295" s="2"/>
      <c r="BQ295" s="2"/>
      <c r="BR295" s="2"/>
      <c r="BS295" s="2"/>
      <c r="BT295" s="2"/>
      <c r="BU295" s="2"/>
      <c r="BW295" s="5">
        <v>1</v>
      </c>
    </row>
    <row r="296" spans="2:75" ht="15.75" customHeight="1">
      <c r="B296" s="5155"/>
      <c r="Q296" s="5155"/>
      <c r="T296" s="141"/>
      <c r="U296" s="141"/>
      <c r="V296" s="141"/>
      <c r="W296" s="141"/>
      <c r="X296" s="1576" t="s">
        <v>1290</v>
      </c>
      <c r="Y296" s="1577"/>
      <c r="Z296" s="1579" t="s">
        <v>1291</v>
      </c>
      <c r="AA296" s="1577"/>
      <c r="AB296" s="1577"/>
      <c r="AC296" s="1578" t="s">
        <v>1292</v>
      </c>
      <c r="AD296" s="1580" t="s">
        <v>1293</v>
      </c>
      <c r="AF296" s="5155"/>
      <c r="AU296" s="5155"/>
      <c r="AX296" s="141"/>
      <c r="AY296" s="141"/>
      <c r="AZ296" s="141"/>
      <c r="BA296" s="141"/>
      <c r="BB296" s="1625" t="s">
        <v>191</v>
      </c>
      <c r="BC296" s="6905"/>
      <c r="BD296" s="7652"/>
      <c r="BE296" s="7074"/>
      <c r="BF296" s="7654"/>
      <c r="BG296" s="7655"/>
      <c r="BH296" s="7656"/>
      <c r="BO296" s="2"/>
      <c r="BP296" s="2"/>
      <c r="BQ296" s="2"/>
      <c r="BR296" s="2"/>
      <c r="BS296" s="2"/>
      <c r="BT296" s="2"/>
      <c r="BU296" s="2"/>
      <c r="BW296" s="5">
        <v>1</v>
      </c>
    </row>
    <row r="297" spans="2:75" ht="22.5" customHeight="1">
      <c r="B297" s="5155"/>
      <c r="Q297" s="5155"/>
      <c r="T297" s="141"/>
      <c r="U297" s="141"/>
      <c r="V297" s="141"/>
      <c r="W297" s="141"/>
      <c r="X297" s="1369" t="s">
        <v>864</v>
      </c>
      <c r="Y297" s="1321"/>
      <c r="Z297" s="1321"/>
      <c r="AA297" s="1321"/>
      <c r="AB297" s="1321"/>
      <c r="AC297" s="1321"/>
      <c r="AD297" s="1370"/>
      <c r="AF297" s="5155"/>
      <c r="AU297" s="5155"/>
      <c r="AX297" s="141"/>
      <c r="AY297" s="141"/>
      <c r="AZ297" s="141"/>
      <c r="BA297" s="141"/>
      <c r="BB297" s="1561"/>
      <c r="BC297" s="210">
        <v>350</v>
      </c>
      <c r="BD297" s="5493">
        <f>IFERROR(INDEX(BB303:BH303,MATCH(BE297,BB302:BH302,0)) * BC297 * IF(ISBLANK(BB297), 1, BB297), 0)</f>
        <v>0.35000000000000003</v>
      </c>
      <c r="BE297" s="251" t="s">
        <v>130</v>
      </c>
      <c r="BF297" s="1562">
        <v>16</v>
      </c>
      <c r="BG297" s="1563">
        <f>((BD297-(BD297*BF297%)))</f>
        <v>0.29400000000000004</v>
      </c>
      <c r="BH297" s="1564" t="s">
        <v>177</v>
      </c>
      <c r="BO297" s="2"/>
      <c r="BP297" s="2"/>
      <c r="BQ297" s="2"/>
      <c r="BR297" s="2"/>
      <c r="BS297" s="2"/>
      <c r="BT297" s="2"/>
      <c r="BU297" s="2"/>
      <c r="BW297" s="5">
        <v>1</v>
      </c>
    </row>
    <row r="298" spans="2:75" ht="15.75">
      <c r="B298" s="5155"/>
      <c r="Q298" s="5155"/>
      <c r="T298" s="141"/>
      <c r="U298" s="141"/>
      <c r="V298" s="141"/>
      <c r="W298" s="141"/>
      <c r="X298" s="1323"/>
      <c r="Y298" s="988"/>
      <c r="Z298" s="988"/>
      <c r="AA298" s="988"/>
      <c r="AB298" s="988"/>
      <c r="AC298" s="988"/>
      <c r="AD298" s="1325"/>
      <c r="AF298" s="5155"/>
      <c r="AU298" s="5155"/>
      <c r="AX298" s="141"/>
      <c r="AY298" s="141"/>
      <c r="AZ298" s="141"/>
      <c r="BA298" s="141"/>
      <c r="BB298" s="1568"/>
      <c r="BC298" s="1569">
        <v>1.2</v>
      </c>
      <c r="BD298" s="5493">
        <f>IFERROR(INDEX(BB303:BH303,MATCH(BE298,BB302:BH302,0)) * BC298 * IF(ISBLANK(BB298), 1, BB298), 0)</f>
        <v>1.2</v>
      </c>
      <c r="BE298" s="314" t="s">
        <v>219</v>
      </c>
      <c r="BF298" s="1570">
        <v>22</v>
      </c>
      <c r="BG298" s="1563">
        <f>((BD298-(BD298*BF298%)))</f>
        <v>0.93599999999999994</v>
      </c>
      <c r="BH298" s="1571" t="s">
        <v>174</v>
      </c>
      <c r="BO298" s="2"/>
      <c r="BP298" s="2"/>
      <c r="BQ298" s="2"/>
      <c r="BR298" s="2"/>
      <c r="BS298" s="2"/>
      <c r="BT298" s="2"/>
      <c r="BU298" s="2"/>
      <c r="BW298" s="5">
        <v>1</v>
      </c>
    </row>
    <row r="299" spans="2:75" ht="15.75" customHeight="1">
      <c r="B299" s="5155"/>
      <c r="Q299" s="5155"/>
      <c r="T299" s="141"/>
      <c r="U299" s="141"/>
      <c r="V299" s="141"/>
      <c r="W299" s="141"/>
      <c r="X299" s="1323"/>
      <c r="Y299" s="988"/>
      <c r="Z299" s="988"/>
      <c r="AA299" s="988"/>
      <c r="AB299" s="988"/>
      <c r="AC299" s="988"/>
      <c r="AD299" s="1325"/>
      <c r="AF299" s="5155"/>
      <c r="AU299" s="5155"/>
      <c r="AX299" s="141"/>
      <c r="AY299" s="141"/>
      <c r="AZ299" s="141"/>
      <c r="BA299" s="141"/>
      <c r="BB299" s="1568">
        <v>2</v>
      </c>
      <c r="BC299" s="210">
        <v>50</v>
      </c>
      <c r="BD299" s="5493">
        <f>IFERROR(INDEX(BB303:BH303,MATCH(BE299,BB302:BH302,0)) * BC299 * IF(ISBLANK(BB299), 1, BB299), 0)</f>
        <v>0.1</v>
      </c>
      <c r="BE299" s="251" t="s">
        <v>130</v>
      </c>
      <c r="BF299" s="1570"/>
      <c r="BG299" s="1563">
        <f>((BD299-(BD299*BF299%)))</f>
        <v>0.1</v>
      </c>
      <c r="BH299" s="1575" t="s">
        <v>1286</v>
      </c>
      <c r="BO299" s="2"/>
      <c r="BP299" s="2"/>
      <c r="BQ299" s="2"/>
      <c r="BR299" s="2"/>
      <c r="BS299" s="2"/>
      <c r="BT299" s="2"/>
      <c r="BU299" s="2"/>
      <c r="BW299" s="5">
        <v>1</v>
      </c>
    </row>
    <row r="300" spans="2:75" ht="15.75">
      <c r="B300" s="5155"/>
      <c r="Q300" s="5155"/>
      <c r="T300" s="141"/>
      <c r="U300" s="141"/>
      <c r="V300" s="141"/>
      <c r="W300" s="141"/>
      <c r="X300" s="1323"/>
      <c r="Y300" s="988"/>
      <c r="Z300" s="988"/>
      <c r="AA300" s="988"/>
      <c r="AB300" s="988"/>
      <c r="AC300" s="988"/>
      <c r="AD300" s="1325"/>
      <c r="AF300" s="5155"/>
      <c r="AU300" s="5155"/>
      <c r="AX300" s="141"/>
      <c r="AY300" s="141"/>
      <c r="AZ300" s="141"/>
      <c r="BA300" s="141"/>
      <c r="BB300" s="1568"/>
      <c r="BC300" s="210">
        <v>1</v>
      </c>
      <c r="BD300" s="5493">
        <f>IFERROR(INDEX(BB303:BH303,MATCH(BE300,BB302:BH302,0)) * BC300 * IF(ISBLANK(BB300), 1, BB300), 0)</f>
        <v>0.5</v>
      </c>
      <c r="BE300" s="265" t="s">
        <v>159</v>
      </c>
      <c r="BF300" s="1570"/>
      <c r="BG300" s="1563">
        <f>((BD300-(BD300*BF300%)))</f>
        <v>0.5</v>
      </c>
      <c r="BH300" s="1571" t="s">
        <v>1289</v>
      </c>
      <c r="BO300" s="2"/>
      <c r="BP300" s="2"/>
      <c r="BQ300" s="2"/>
      <c r="BR300" s="2"/>
      <c r="BS300" s="2"/>
      <c r="BT300" s="2"/>
      <c r="BU300" s="2"/>
      <c r="BW300" s="5">
        <v>1</v>
      </c>
    </row>
    <row r="301" spans="2:75" ht="15.75">
      <c r="B301" s="5155"/>
      <c r="Q301" s="5155"/>
      <c r="T301" s="141"/>
      <c r="U301" s="141"/>
      <c r="V301" s="141"/>
      <c r="W301" s="141"/>
      <c r="X301" s="1599"/>
      <c r="Y301" s="997"/>
      <c r="Z301" s="997"/>
      <c r="AA301" s="997"/>
      <c r="AB301" s="997"/>
      <c r="AC301" s="997"/>
      <c r="AD301" s="1339" t="s">
        <v>1112</v>
      </c>
      <c r="AF301" s="5155"/>
      <c r="AU301" s="5155"/>
      <c r="AX301" s="141"/>
      <c r="AY301" s="141"/>
      <c r="AZ301" s="141"/>
      <c r="BA301" s="141"/>
      <c r="BB301" s="1581" t="s">
        <v>1294</v>
      </c>
      <c r="BC301" s="988"/>
      <c r="BD301" s="988"/>
      <c r="BE301" s="988"/>
      <c r="BF301" s="988"/>
      <c r="BG301" s="988"/>
      <c r="BH301" s="1582" t="s">
        <v>1295</v>
      </c>
      <c r="BO301" s="2"/>
      <c r="BP301" s="2"/>
      <c r="BQ301" s="2"/>
      <c r="BR301" s="2"/>
      <c r="BS301" s="2"/>
      <c r="BT301" s="2"/>
      <c r="BU301" s="2"/>
      <c r="BW301" s="5">
        <v>1</v>
      </c>
    </row>
    <row r="302" spans="2:75" ht="16.5" customHeight="1">
      <c r="B302" s="5155"/>
      <c r="Q302" s="5155"/>
      <c r="T302" s="141"/>
      <c r="U302" s="141"/>
      <c r="V302" s="141"/>
      <c r="W302" s="141"/>
      <c r="X302" s="1454"/>
      <c r="Y302" s="1002"/>
      <c r="Z302" s="1002" t="s">
        <v>873</v>
      </c>
      <c r="AA302" s="1003"/>
      <c r="AB302" s="1329"/>
      <c r="AC302" s="1329"/>
      <c r="AD302" s="1330"/>
      <c r="AF302" s="5155"/>
      <c r="AU302" s="5155"/>
      <c r="AX302" s="141"/>
      <c r="AY302" s="141"/>
      <c r="AZ302" s="141"/>
      <c r="BA302" s="141"/>
      <c r="BB302" s="314" t="s">
        <v>219</v>
      </c>
      <c r="BC302" s="251" t="s">
        <v>130</v>
      </c>
      <c r="BD302" s="1583"/>
      <c r="BE302" s="265" t="s">
        <v>159</v>
      </c>
      <c r="BF302" s="265" t="s">
        <v>164</v>
      </c>
      <c r="BG302" s="251" t="s">
        <v>88</v>
      </c>
      <c r="BH302" s="1584" t="s">
        <v>170</v>
      </c>
      <c r="BO302" s="2"/>
      <c r="BP302" s="2"/>
      <c r="BQ302" s="2"/>
      <c r="BR302" s="2"/>
      <c r="BS302" s="2"/>
      <c r="BT302" s="2"/>
      <c r="BU302" s="2"/>
      <c r="BW302" s="5">
        <v>1</v>
      </c>
    </row>
    <row r="303" spans="2:75" ht="16.5" thickBot="1">
      <c r="B303" s="5155"/>
      <c r="Q303" s="5155"/>
      <c r="T303" s="141"/>
      <c r="U303" s="141"/>
      <c r="V303" s="141"/>
      <c r="W303" s="141"/>
      <c r="X303" s="1332" t="s">
        <v>86</v>
      </c>
      <c r="Y303" s="1006"/>
      <c r="Z303" s="1007"/>
      <c r="AA303" s="1008"/>
      <c r="AB303" s="1007"/>
      <c r="AC303" s="1007"/>
      <c r="AD303" s="1333"/>
      <c r="AF303" s="5155"/>
      <c r="AU303" s="5155"/>
      <c r="AX303" s="141"/>
      <c r="AY303" s="141"/>
      <c r="AZ303" s="141"/>
      <c r="BA303" s="141"/>
      <c r="BB303" s="1585">
        <v>1</v>
      </c>
      <c r="BC303" s="1585">
        <v>1E-3</v>
      </c>
      <c r="BD303" s="1583"/>
      <c r="BE303" s="1586">
        <v>0.5</v>
      </c>
      <c r="BF303" s="1585">
        <v>0.25</v>
      </c>
      <c r="BG303" s="1587">
        <v>1</v>
      </c>
      <c r="BH303" s="1588">
        <v>0.01</v>
      </c>
      <c r="BO303" s="2"/>
      <c r="BP303" s="2"/>
      <c r="BQ303" s="2"/>
      <c r="BR303" s="2"/>
      <c r="BS303" s="2"/>
      <c r="BT303" s="2"/>
      <c r="BU303" s="2"/>
      <c r="BW303" s="5">
        <v>1</v>
      </c>
    </row>
    <row r="304" spans="2:75" ht="15.75" customHeight="1">
      <c r="B304" s="5155"/>
      <c r="Q304" s="5155"/>
      <c r="T304" s="141"/>
      <c r="U304" s="141"/>
      <c r="V304" s="141"/>
      <c r="W304" s="141"/>
      <c r="AF304" s="5155"/>
      <c r="AU304" s="5155"/>
      <c r="AX304" s="141"/>
      <c r="AY304" s="141"/>
      <c r="AZ304" s="141"/>
      <c r="BA304" s="141"/>
      <c r="BB304" s="1323"/>
      <c r="BC304" s="988"/>
      <c r="BD304" s="988"/>
      <c r="BE304" s="988"/>
      <c r="BF304" s="988"/>
      <c r="BG304" s="988"/>
      <c r="BH304" s="1325"/>
      <c r="BO304" s="2"/>
      <c r="BP304" s="2"/>
      <c r="BQ304" s="2"/>
      <c r="BR304" s="2"/>
      <c r="BS304" s="2"/>
      <c r="BT304" s="2"/>
      <c r="BU304" s="2"/>
      <c r="BW304" s="5">
        <v>1</v>
      </c>
    </row>
    <row r="305" spans="2:75" ht="15.75">
      <c r="B305" s="5155"/>
      <c r="Q305" s="5155"/>
      <c r="T305" s="141"/>
      <c r="U305" s="141"/>
      <c r="V305" s="141"/>
      <c r="W305" s="141"/>
      <c r="X305" s="141"/>
      <c r="Y305" s="141"/>
      <c r="Z305" s="141"/>
      <c r="AA305" s="141"/>
      <c r="AB305" s="141"/>
      <c r="AC305" s="141"/>
      <c r="AD305" s="141"/>
      <c r="AF305" s="5155"/>
      <c r="AU305" s="5155"/>
      <c r="AX305" s="141"/>
      <c r="AY305" s="141"/>
      <c r="AZ305" s="141"/>
      <c r="BA305" s="141"/>
      <c r="BB305" s="1369" t="s">
        <v>864</v>
      </c>
      <c r="BC305" s="1321"/>
      <c r="BD305" s="1321"/>
      <c r="BE305" s="1321"/>
      <c r="BF305" s="1321"/>
      <c r="BG305" s="1321"/>
      <c r="BH305" s="1370" t="s">
        <v>1297</v>
      </c>
      <c r="BO305" s="2"/>
      <c r="BP305" s="2"/>
      <c r="BQ305" s="2"/>
      <c r="BR305" s="2"/>
      <c r="BS305" s="2"/>
      <c r="BT305" s="2"/>
      <c r="BU305" s="2"/>
      <c r="BW305" s="5">
        <v>1</v>
      </c>
    </row>
    <row r="306" spans="2:75" ht="15.75">
      <c r="B306" s="5155"/>
      <c r="Q306" s="5155"/>
      <c r="R306" s="5153"/>
      <c r="S306" s="5153"/>
      <c r="T306" s="5154" t="s">
        <v>7846</v>
      </c>
      <c r="U306" s="141"/>
      <c r="V306" s="141"/>
      <c r="W306" s="141"/>
      <c r="X306" s="1354" t="s">
        <v>252</v>
      </c>
      <c r="Y306" s="1550"/>
      <c r="Z306" s="1550"/>
      <c r="AA306" s="1550"/>
      <c r="AB306" s="1550"/>
      <c r="AC306" s="1551"/>
      <c r="AD306" s="1434" t="s">
        <v>1256</v>
      </c>
      <c r="AF306" s="5155"/>
      <c r="AU306" s="5155"/>
      <c r="AX306" s="141"/>
      <c r="AY306" s="141"/>
      <c r="AZ306" s="141"/>
      <c r="BA306" s="141"/>
      <c r="BB306" s="141"/>
      <c r="BC306" s="141"/>
      <c r="BD306" s="141"/>
      <c r="BE306" s="141"/>
      <c r="BF306" s="141"/>
      <c r="BG306" s="141"/>
      <c r="BH306" s="141"/>
      <c r="BO306" s="2"/>
      <c r="BP306" s="2"/>
      <c r="BQ306" s="2"/>
      <c r="BR306" s="2"/>
      <c r="BS306" s="2"/>
      <c r="BT306" s="2"/>
      <c r="BU306" s="2"/>
      <c r="BW306" s="5">
        <v>1</v>
      </c>
    </row>
    <row r="307" spans="2:75" ht="15.75" customHeight="1">
      <c r="B307" s="5155"/>
      <c r="Q307" s="5155"/>
      <c r="T307" s="5152" t="s">
        <v>7842</v>
      </c>
      <c r="U307" s="141"/>
      <c r="V307" s="141"/>
      <c r="W307" s="141"/>
      <c r="X307" s="1589" t="s">
        <v>1296</v>
      </c>
      <c r="Y307" s="1590"/>
      <c r="Z307" s="1591"/>
      <c r="AA307" s="1592"/>
      <c r="AB307" s="1591"/>
      <c r="AC307" s="1591"/>
      <c r="AD307" s="1593"/>
      <c r="AF307" s="5155"/>
      <c r="AU307" s="5155"/>
      <c r="AX307" s="141"/>
      <c r="AY307" s="141"/>
      <c r="AZ307" s="141"/>
      <c r="BA307" s="141"/>
      <c r="BB307" s="141"/>
      <c r="BC307" s="141"/>
      <c r="BD307" s="141"/>
      <c r="BE307" s="141"/>
      <c r="BF307" s="141"/>
      <c r="BG307" s="141"/>
      <c r="BH307" s="141"/>
      <c r="BO307" s="2"/>
      <c r="BP307" s="2"/>
      <c r="BQ307" s="2"/>
      <c r="BR307" s="2"/>
      <c r="BS307" s="2"/>
      <c r="BT307" s="2"/>
      <c r="BU307" s="2"/>
      <c r="BW307" s="5">
        <v>1</v>
      </c>
    </row>
    <row r="308" spans="2:75" ht="15.75">
      <c r="B308" s="5155"/>
      <c r="Q308" s="5155"/>
      <c r="T308" s="141"/>
      <c r="U308" s="141"/>
      <c r="V308" s="141"/>
      <c r="W308" s="141"/>
      <c r="X308" s="1319"/>
      <c r="Y308" s="102"/>
      <c r="Z308" s="102"/>
      <c r="AA308" s="102"/>
      <c r="AB308" s="1525" t="s">
        <v>1255</v>
      </c>
      <c r="AC308" s="102"/>
      <c r="AD308" s="1598"/>
      <c r="AF308" s="5155"/>
      <c r="AU308" s="5155"/>
      <c r="BO308" s="2"/>
      <c r="BP308" s="2"/>
      <c r="BQ308" s="2"/>
      <c r="BR308" s="2"/>
      <c r="BS308" s="2"/>
      <c r="BT308" s="2"/>
      <c r="BU308" s="2"/>
      <c r="BW308" s="5">
        <v>1</v>
      </c>
    </row>
    <row r="309" spans="2:75">
      <c r="B309" s="5155"/>
      <c r="Q309" s="5155"/>
      <c r="T309" s="141"/>
      <c r="U309" s="141"/>
      <c r="V309" s="141"/>
      <c r="W309" s="141"/>
      <c r="X309" s="1527" t="s">
        <v>1257</v>
      </c>
      <c r="Y309" s="1528" t="s">
        <v>1258</v>
      </c>
      <c r="Z309" s="7082" t="s">
        <v>162</v>
      </c>
      <c r="AA309" s="7082"/>
      <c r="AB309" s="1529" t="s">
        <v>1259</v>
      </c>
      <c r="AD309" s="1530" t="s">
        <v>1185</v>
      </c>
      <c r="AF309" s="5155"/>
      <c r="AU309" s="5155"/>
      <c r="BO309" s="2"/>
      <c r="BP309" s="2"/>
      <c r="BQ309" s="2"/>
      <c r="BR309" s="2"/>
      <c r="BS309" s="2"/>
      <c r="BT309" s="2"/>
      <c r="BU309" s="2"/>
      <c r="BW309" s="5">
        <v>1</v>
      </c>
    </row>
    <row r="310" spans="2:75" ht="15.75">
      <c r="B310" s="5155"/>
      <c r="Q310" s="5155"/>
      <c r="T310" s="141"/>
      <c r="U310" s="141"/>
      <c r="V310" s="141"/>
      <c r="W310" s="141"/>
      <c r="X310" s="7650">
        <v>750</v>
      </c>
      <c r="Y310" s="1531">
        <v>1</v>
      </c>
      <c r="Z310" s="7068" t="s">
        <v>1260</v>
      </c>
      <c r="AA310" s="7068"/>
      <c r="AB310" s="1532">
        <v>16</v>
      </c>
      <c r="AC310" s="1401">
        <f>Y310*X310</f>
        <v>750</v>
      </c>
      <c r="AD310" s="1533" t="s">
        <v>1261</v>
      </c>
      <c r="AF310" s="5155"/>
      <c r="AU310" s="5155"/>
      <c r="BO310" s="2"/>
      <c r="BP310" s="2"/>
      <c r="BQ310" s="2"/>
      <c r="BR310" s="2"/>
      <c r="BS310" s="2"/>
      <c r="BT310" s="2"/>
      <c r="BU310" s="2"/>
      <c r="BW310" s="5">
        <v>1</v>
      </c>
    </row>
    <row r="311" spans="2:75" ht="15.75" customHeight="1">
      <c r="B311" s="5155"/>
      <c r="Q311" s="5155"/>
      <c r="T311" s="141"/>
      <c r="U311" s="141"/>
      <c r="V311" s="141"/>
      <c r="W311" s="141"/>
      <c r="X311" s="7650"/>
      <c r="Y311" s="5458">
        <v>120</v>
      </c>
      <c r="Z311" s="260" t="s">
        <v>1262</v>
      </c>
      <c r="AA311" s="1174"/>
      <c r="AB311" s="5459">
        <v>1.2</v>
      </c>
      <c r="AC311" s="1536">
        <f>(Y311*X310)/1000</f>
        <v>90</v>
      </c>
      <c r="AD311" s="7392" t="s">
        <v>1263</v>
      </c>
      <c r="AF311" s="5155"/>
      <c r="AU311" s="5155"/>
      <c r="BO311" s="2"/>
      <c r="BP311" s="2"/>
      <c r="BQ311" s="2"/>
      <c r="BR311" s="2"/>
      <c r="BS311" s="2"/>
      <c r="BT311" s="2"/>
      <c r="BU311" s="2"/>
      <c r="BW311" s="5">
        <v>1</v>
      </c>
    </row>
    <row r="312" spans="2:75" ht="15.75">
      <c r="B312" s="5155"/>
      <c r="Q312" s="5155"/>
      <c r="T312" s="141"/>
      <c r="U312" s="141"/>
      <c r="V312" s="141"/>
      <c r="W312" s="141"/>
      <c r="X312" s="1537" t="str">
        <f>INT(AC310/AB310) &amp; " " &amp; AD310 &amp; " de " &amp; AB310 &amp; " " &amp; Z310 &amp; IF(MOD(AC310,AB310)&gt;0, " + 1 "&amp;AD310&amp;" de " &amp; TEXT(MOD(AC310,AB310), "0.00") &amp; " " &amp; Z310, "")</f>
        <v>46 Assiette(s) de 16 madeleine(s) + 1 Assiette(s) de 14.00 madeleine(s)</v>
      </c>
      <c r="Y312" s="141"/>
      <c r="Z312" s="141"/>
      <c r="AA312" s="141"/>
      <c r="AB312" s="141"/>
      <c r="AC312" s="988"/>
      <c r="AD312" s="7392"/>
      <c r="AF312" s="5155"/>
      <c r="AU312" s="5155"/>
      <c r="BO312" s="2"/>
      <c r="BP312" s="2"/>
      <c r="BQ312" s="2"/>
      <c r="BR312" s="2"/>
      <c r="BS312" s="2"/>
      <c r="BT312" s="2"/>
      <c r="BU312" s="2"/>
      <c r="BW312" s="5">
        <v>1</v>
      </c>
    </row>
    <row r="313" spans="2:75" ht="15.75">
      <c r="B313" s="5155"/>
      <c r="Q313" s="5155"/>
      <c r="T313" s="141"/>
      <c r="U313" s="141"/>
      <c r="V313" s="141"/>
      <c r="W313" s="141"/>
      <c r="X313" s="1182" t="str">
        <f>IF(MOD(AC311, AB311) = 0, INT(AC311/AB311) &amp; " " &amp; AD310 &amp; " de " &amp; AB311 &amp; " kg", INT(AC311/AB311) &amp; " " &amp; AD310 &amp; " de " &amp; AB311 &amp; " kg" &amp; " + 1 "&amp;AD310&amp;" de " &amp; TEXT(MOD(AC311, AB311), "0.00") &amp; " kg")</f>
        <v>75 Assiette(s) de 1.2 kg + 1 Assiette(s) de 0.00 kg</v>
      </c>
      <c r="Y313" s="141"/>
      <c r="Z313" s="141"/>
      <c r="AA313" s="141"/>
      <c r="AB313" s="141"/>
      <c r="AC313" s="988"/>
      <c r="AD313" s="7392"/>
      <c r="AF313" s="5155"/>
      <c r="AU313" s="5155"/>
      <c r="BO313" s="2"/>
      <c r="BP313" s="2"/>
      <c r="BQ313" s="2"/>
      <c r="BR313" s="2"/>
      <c r="BS313" s="2"/>
      <c r="BT313" s="2"/>
      <c r="BU313" s="2"/>
      <c r="BW313" s="5">
        <v>1</v>
      </c>
    </row>
    <row r="314" spans="2:75" ht="15.75" customHeight="1">
      <c r="B314" s="5155"/>
      <c r="Q314" s="5155"/>
      <c r="T314" s="141"/>
      <c r="U314" s="141"/>
      <c r="V314" s="141"/>
      <c r="W314" s="141"/>
      <c r="X314" s="1323"/>
      <c r="Y314" s="988"/>
      <c r="Z314" s="988"/>
      <c r="AA314" s="988"/>
      <c r="AB314" s="988"/>
      <c r="AC314" s="988"/>
      <c r="AD314" s="1325"/>
      <c r="AF314" s="5155"/>
      <c r="AU314" s="5155"/>
      <c r="BO314" s="2"/>
      <c r="BP314" s="2"/>
      <c r="BQ314" s="2"/>
      <c r="BR314" s="2"/>
      <c r="BS314" s="2"/>
      <c r="BT314" s="2"/>
      <c r="BU314" s="2"/>
      <c r="BW314" s="5">
        <v>1</v>
      </c>
    </row>
    <row r="315" spans="2:75" ht="15.75" customHeight="1">
      <c r="B315" s="5155"/>
      <c r="Q315" s="5155"/>
      <c r="T315" s="141"/>
      <c r="U315" s="141"/>
      <c r="V315" s="141"/>
      <c r="W315" s="141"/>
      <c r="X315" s="1369" t="s">
        <v>864</v>
      </c>
      <c r="Y315" s="1321"/>
      <c r="Z315" s="1321"/>
      <c r="AA315" s="1321"/>
      <c r="AB315" s="1321"/>
      <c r="AC315" s="1321"/>
      <c r="AD315" s="1370"/>
      <c r="AF315" s="5155"/>
      <c r="AU315" s="5155"/>
      <c r="BO315" s="2"/>
      <c r="BP315" s="2"/>
      <c r="BQ315" s="2"/>
      <c r="BR315" s="2"/>
      <c r="BS315" s="2"/>
      <c r="BT315" s="2"/>
      <c r="BU315" s="2"/>
      <c r="BW315" s="5">
        <v>1</v>
      </c>
    </row>
    <row r="316" spans="2:75" ht="15.75">
      <c r="B316" s="5155"/>
      <c r="Q316" s="5155"/>
      <c r="T316" s="141"/>
      <c r="U316" s="141"/>
      <c r="V316" s="141"/>
      <c r="W316" s="141"/>
      <c r="X316" s="1441"/>
      <c r="Y316" s="1385"/>
      <c r="Z316" s="1385"/>
      <c r="AA316" s="1385"/>
      <c r="AB316" s="1385"/>
      <c r="AC316" s="1385"/>
      <c r="AD316" s="1443"/>
      <c r="AF316" s="5155"/>
      <c r="AU316" s="5155"/>
      <c r="BO316" s="2"/>
      <c r="BP316" s="2"/>
      <c r="BQ316" s="2"/>
      <c r="BR316" s="2"/>
      <c r="BS316" s="2"/>
      <c r="BT316" s="2"/>
      <c r="BU316" s="2"/>
      <c r="BW316" s="5">
        <v>1</v>
      </c>
    </row>
    <row r="317" spans="2:75" ht="15.75" customHeight="1">
      <c r="B317" s="5155"/>
      <c r="Q317" s="5155"/>
      <c r="T317" s="141"/>
      <c r="U317" s="141"/>
      <c r="V317" s="141"/>
      <c r="W317" s="141"/>
      <c r="X317" s="1441"/>
      <c r="Y317" s="1385"/>
      <c r="Z317" s="1385"/>
      <c r="AA317" s="1385"/>
      <c r="AB317" s="1385"/>
      <c r="AC317" s="1385"/>
      <c r="AD317" s="1443"/>
      <c r="AF317" s="5155"/>
      <c r="AU317" s="5155"/>
      <c r="BO317" s="2"/>
      <c r="BP317" s="2"/>
      <c r="BQ317" s="2"/>
      <c r="BR317" s="2"/>
      <c r="BS317" s="2"/>
      <c r="BT317" s="2"/>
      <c r="BU317" s="2"/>
      <c r="BW317" s="5">
        <v>1</v>
      </c>
    </row>
    <row r="318" spans="2:75" ht="15.75" customHeight="1">
      <c r="B318" s="5155"/>
      <c r="Q318" s="5155"/>
      <c r="T318" s="141"/>
      <c r="U318" s="141"/>
      <c r="V318" s="141"/>
      <c r="W318" s="141"/>
      <c r="X318" s="1441"/>
      <c r="Y318" s="1385"/>
      <c r="Z318" s="1385"/>
      <c r="AA318" s="1385"/>
      <c r="AB318" s="1385"/>
      <c r="AC318" s="1385"/>
      <c r="AD318" s="1443"/>
      <c r="AF318" s="5155"/>
      <c r="AU318" s="5155"/>
      <c r="BO318" s="2"/>
      <c r="BP318" s="2"/>
      <c r="BQ318" s="2"/>
      <c r="BR318" s="2"/>
      <c r="BS318" s="2"/>
      <c r="BT318" s="2"/>
      <c r="BU318" s="2"/>
      <c r="BW318" s="5">
        <v>1</v>
      </c>
    </row>
    <row r="319" spans="2:75" ht="15.75">
      <c r="B319" s="5155"/>
      <c r="Q319" s="5155"/>
      <c r="T319" s="141"/>
      <c r="U319" s="141"/>
      <c r="V319" s="141"/>
      <c r="W319" s="141"/>
      <c r="X319" s="1441"/>
      <c r="Y319" s="1385"/>
      <c r="Z319" s="1385"/>
      <c r="AA319" s="1385"/>
      <c r="AB319" s="1385"/>
      <c r="AC319" s="1385"/>
      <c r="AD319" s="1443"/>
      <c r="AF319" s="5155"/>
      <c r="AU319" s="5155"/>
      <c r="BO319" s="2"/>
      <c r="BP319" s="2"/>
      <c r="BQ319" s="2"/>
      <c r="BR319" s="2"/>
      <c r="BS319" s="2"/>
      <c r="BT319" s="2"/>
      <c r="BU319" s="2"/>
      <c r="BW319" s="5">
        <v>1</v>
      </c>
    </row>
    <row r="320" spans="2:75">
      <c r="B320" s="5155"/>
      <c r="Q320" s="5155"/>
      <c r="T320" s="141"/>
      <c r="U320" s="141"/>
      <c r="V320" s="141"/>
      <c r="W320" s="141"/>
      <c r="X320" s="1599"/>
      <c r="Y320" s="997"/>
      <c r="Z320" s="997"/>
      <c r="AA320" s="997"/>
      <c r="AB320" s="997"/>
      <c r="AC320" s="997"/>
      <c r="AD320" s="1339" t="s">
        <v>1112</v>
      </c>
      <c r="AF320" s="5155"/>
      <c r="AU320" s="5155"/>
      <c r="BO320" s="2"/>
      <c r="BP320" s="2"/>
      <c r="BQ320" s="2"/>
      <c r="BR320" s="2"/>
      <c r="BS320" s="2"/>
      <c r="BT320" s="2"/>
      <c r="BU320" s="2"/>
      <c r="BW320" s="5">
        <v>1</v>
      </c>
    </row>
    <row r="321" spans="2:75" ht="15.75">
      <c r="B321" s="5155"/>
      <c r="Q321" s="5155"/>
      <c r="T321" s="141"/>
      <c r="U321" s="141"/>
      <c r="V321" s="141"/>
      <c r="W321" s="141"/>
      <c r="X321" s="1454"/>
      <c r="Y321" s="1002"/>
      <c r="Z321" s="1002" t="s">
        <v>873</v>
      </c>
      <c r="AA321" s="1003"/>
      <c r="AB321" s="1329"/>
      <c r="AC321" s="1329"/>
      <c r="AD321" s="1330"/>
      <c r="AF321" s="5155"/>
      <c r="AU321" s="5155"/>
      <c r="BO321" s="2"/>
      <c r="BP321" s="2"/>
      <c r="BQ321" s="2"/>
      <c r="BR321" s="2"/>
      <c r="BS321" s="2"/>
      <c r="BT321" s="2"/>
      <c r="BU321" s="2"/>
      <c r="BW321" s="5">
        <v>1</v>
      </c>
    </row>
    <row r="322" spans="2:75" ht="15.75" customHeight="1" thickBot="1">
      <c r="B322" s="5155"/>
      <c r="Q322" s="5155"/>
      <c r="T322" s="141"/>
      <c r="U322" s="141"/>
      <c r="V322" s="141"/>
      <c r="W322" s="141"/>
      <c r="X322" s="1332" t="s">
        <v>86</v>
      </c>
      <c r="Y322" s="1006"/>
      <c r="Z322" s="1007"/>
      <c r="AA322" s="1008"/>
      <c r="AB322" s="1007"/>
      <c r="AC322" s="1007"/>
      <c r="AD322" s="1333"/>
      <c r="AF322" s="5155"/>
      <c r="AU322" s="5155"/>
      <c r="BW322" s="5">
        <v>1</v>
      </c>
    </row>
    <row r="323" spans="2:75">
      <c r="B323" s="5155"/>
      <c r="Q323" s="5155"/>
      <c r="T323" s="141"/>
      <c r="U323" s="141"/>
      <c r="V323" s="141"/>
      <c r="W323" s="141"/>
      <c r="AF323" s="5155"/>
      <c r="AU323" s="5155"/>
      <c r="BN323" s="2"/>
      <c r="BW323" s="5">
        <v>1</v>
      </c>
    </row>
    <row r="324" spans="2:75">
      <c r="B324" s="5155"/>
      <c r="Q324" s="5155"/>
      <c r="T324" s="141"/>
      <c r="U324" s="141"/>
      <c r="V324" s="141"/>
      <c r="W324" s="141"/>
      <c r="X324" s="141"/>
      <c r="Y324" s="141"/>
      <c r="Z324" s="141"/>
      <c r="AA324" s="141"/>
      <c r="AB324" s="141"/>
      <c r="AC324" s="141"/>
      <c r="AD324" s="141"/>
      <c r="AF324" s="5155"/>
      <c r="AU324" s="5155"/>
      <c r="BO324" s="2"/>
      <c r="BP324" s="2"/>
      <c r="BQ324" s="2"/>
      <c r="BR324" s="2"/>
      <c r="BS324" s="2"/>
      <c r="BT324" s="2"/>
      <c r="BU324" s="2"/>
      <c r="BW324" s="5">
        <v>1</v>
      </c>
    </row>
    <row r="325" spans="2:75" ht="15.75" customHeight="1">
      <c r="B325" s="5155"/>
      <c r="Q325" s="5155"/>
      <c r="R325" s="5153"/>
      <c r="S325" s="5153"/>
      <c r="T325" s="5154" t="s">
        <v>7846</v>
      </c>
      <c r="U325" s="141"/>
      <c r="V325" s="141"/>
      <c r="W325" s="141"/>
      <c r="X325" s="1354" t="s">
        <v>252</v>
      </c>
      <c r="Y325" s="1550"/>
      <c r="Z325" s="1550"/>
      <c r="AA325" s="1550"/>
      <c r="AB325" s="1550"/>
      <c r="AC325" s="1551"/>
      <c r="AD325" s="1434" t="s">
        <v>1298</v>
      </c>
      <c r="AF325" s="5155"/>
      <c r="AU325" s="5155"/>
      <c r="BW325" s="5">
        <v>1</v>
      </c>
    </row>
    <row r="326" spans="2:75" ht="15.75">
      <c r="B326" s="5155"/>
      <c r="Q326" s="5155"/>
      <c r="T326" s="5152" t="s">
        <v>7842</v>
      </c>
      <c r="U326" s="141"/>
      <c r="V326" s="141"/>
      <c r="W326" s="141"/>
      <c r="X326" s="1319"/>
      <c r="Y326" s="147"/>
      <c r="Z326" s="147"/>
      <c r="AA326" s="147"/>
      <c r="AB326" s="147"/>
      <c r="AC326" s="147"/>
      <c r="AD326" s="1580" t="s">
        <v>1293</v>
      </c>
      <c r="AF326" s="5155"/>
      <c r="AU326" s="5155"/>
      <c r="BW326" s="5">
        <v>1</v>
      </c>
    </row>
    <row r="327" spans="2:75" ht="15.75">
      <c r="B327" s="5155"/>
      <c r="Q327" s="5155"/>
      <c r="T327" s="141"/>
      <c r="U327" s="141"/>
      <c r="V327" s="141"/>
      <c r="W327" s="141"/>
      <c r="X327" s="1600"/>
      <c r="Y327" s="1601" t="s">
        <v>762</v>
      </c>
      <c r="Z327" s="988"/>
      <c r="AA327" s="1602">
        <v>2</v>
      </c>
      <c r="AB327" s="1603"/>
      <c r="AC327" s="1604">
        <v>10</v>
      </c>
      <c r="AD327" s="5425" t="s">
        <v>751</v>
      </c>
      <c r="AF327" s="5155"/>
      <c r="AU327" s="5155"/>
      <c r="BW327" s="5">
        <v>1</v>
      </c>
    </row>
    <row r="328" spans="2:75" ht="15.75" customHeight="1">
      <c r="B328" s="5155"/>
      <c r="Q328" s="5155"/>
      <c r="T328" s="141"/>
      <c r="U328" s="141"/>
      <c r="V328" s="141"/>
      <c r="W328" s="141"/>
      <c r="X328" s="1605"/>
      <c r="Y328" s="5422" t="s">
        <v>759</v>
      </c>
      <c r="Z328" s="988"/>
      <c r="AA328" s="1606">
        <v>1</v>
      </c>
      <c r="AB328" s="1607"/>
      <c r="AC328" s="1608">
        <v>15</v>
      </c>
      <c r="AD328" s="1609" t="s">
        <v>752</v>
      </c>
      <c r="AF328" s="5155"/>
      <c r="AU328" s="5155"/>
      <c r="BW328" s="5">
        <v>1</v>
      </c>
    </row>
    <row r="329" spans="2:75" ht="15.75">
      <c r="B329" s="5155"/>
      <c r="Q329" s="5155"/>
      <c r="T329" s="141"/>
      <c r="U329" s="141"/>
      <c r="V329" s="141"/>
      <c r="W329" s="141"/>
      <c r="X329" s="1610"/>
      <c r="Y329" s="1611" t="s">
        <v>765</v>
      </c>
      <c r="Z329" s="988"/>
      <c r="AA329" s="1612">
        <f>IF(AA327=0,0,IF(AA328=0,0,AA327-AA328))</f>
        <v>1</v>
      </c>
      <c r="AB329" s="1613"/>
      <c r="AC329" s="1614">
        <f>IF(AC327=0,0,IF(AC328=0,0,AC328-AC327))</f>
        <v>5</v>
      </c>
      <c r="AD329" s="1615" t="s">
        <v>754</v>
      </c>
      <c r="AF329" s="5155"/>
      <c r="AU329" s="5155"/>
      <c r="BW329" s="5">
        <v>1</v>
      </c>
    </row>
    <row r="330" spans="2:75" ht="16.5" customHeight="1">
      <c r="B330" s="5155"/>
      <c r="Q330" s="5155"/>
      <c r="T330" s="141"/>
      <c r="U330" s="141"/>
      <c r="V330" s="141"/>
      <c r="W330" s="141"/>
      <c r="X330" s="1610"/>
      <c r="Y330" s="1611" t="s">
        <v>768</v>
      </c>
      <c r="Z330" s="988"/>
      <c r="AA330" s="1616">
        <f>IF(AA327=0,0,AA329/AA327)</f>
        <v>0.5</v>
      </c>
      <c r="AB330" s="1617"/>
      <c r="AC330" s="1618">
        <f>IF(AC327=0,0,IF(ISBLANK(AC327),0,(AC329/AC327)*100))</f>
        <v>50</v>
      </c>
      <c r="AD330" s="1615" t="s">
        <v>753</v>
      </c>
      <c r="AF330" s="5155"/>
      <c r="AU330" s="5155"/>
      <c r="BW330" s="5">
        <v>1</v>
      </c>
    </row>
    <row r="331" spans="2:75" ht="15.75">
      <c r="B331" s="5155"/>
      <c r="Q331" s="5155"/>
      <c r="T331" s="141"/>
      <c r="U331" s="141"/>
      <c r="V331" s="141"/>
      <c r="W331" s="141"/>
      <c r="X331" s="1605"/>
      <c r="Y331" s="5422" t="s">
        <v>764</v>
      </c>
      <c r="Z331" s="988"/>
      <c r="AA331" s="1619">
        <v>50</v>
      </c>
      <c r="AB331" s="1603"/>
      <c r="AC331" s="1604">
        <v>10</v>
      </c>
      <c r="AD331" s="5425" t="s">
        <v>751</v>
      </c>
      <c r="AF331" s="5155"/>
      <c r="AU331" s="5155"/>
      <c r="BW331" s="5">
        <v>1</v>
      </c>
    </row>
    <row r="332" spans="2:75" ht="15.75">
      <c r="B332" s="5155"/>
      <c r="Q332" s="5155"/>
      <c r="T332" s="141"/>
      <c r="U332" s="141"/>
      <c r="V332" s="141"/>
      <c r="W332" s="141"/>
      <c r="X332" s="1610"/>
      <c r="Y332" s="1611" t="s">
        <v>765</v>
      </c>
      <c r="Z332" s="988"/>
      <c r="AA332" s="1612">
        <f>AA327*AA331%</f>
        <v>1</v>
      </c>
      <c r="AB332" s="1620"/>
      <c r="AC332" s="1621">
        <v>50</v>
      </c>
      <c r="AD332" s="1622" t="s">
        <v>753</v>
      </c>
      <c r="AF332" s="5155"/>
      <c r="AU332" s="5155"/>
      <c r="BW332" s="5">
        <v>1</v>
      </c>
    </row>
    <row r="333" spans="2:75" ht="15.75" customHeight="1">
      <c r="B333" s="5155"/>
      <c r="Q333" s="5155"/>
      <c r="T333" s="141"/>
      <c r="U333" s="141"/>
      <c r="V333" s="141"/>
      <c r="W333" s="141"/>
      <c r="X333" s="1610"/>
      <c r="Y333" s="1611" t="s">
        <v>773</v>
      </c>
      <c r="Z333" s="988"/>
      <c r="AA333" s="1612">
        <f>AA327-AA332</f>
        <v>1</v>
      </c>
      <c r="AB333" s="1613"/>
      <c r="AC333" s="1614">
        <f>AC331*AC332%</f>
        <v>5</v>
      </c>
      <c r="AD333" s="1615" t="s">
        <v>754</v>
      </c>
      <c r="AF333" s="5155"/>
      <c r="AU333" s="5155"/>
      <c r="BW333" s="5">
        <v>1</v>
      </c>
    </row>
    <row r="334" spans="2:75" ht="15.75" customHeight="1">
      <c r="B334" s="5155"/>
      <c r="Q334" s="5155"/>
      <c r="T334" s="141"/>
      <c r="U334" s="141"/>
      <c r="V334" s="141"/>
      <c r="W334" s="141"/>
      <c r="X334" s="1323"/>
      <c r="Y334" s="1257"/>
      <c r="Z334" s="988"/>
      <c r="AA334" s="1623"/>
      <c r="AB334" s="1624"/>
      <c r="AC334" s="1614">
        <f>((AC331*AC332)/100)+AC331</f>
        <v>15</v>
      </c>
      <c r="AD334" s="1615" t="s">
        <v>752</v>
      </c>
      <c r="AF334" s="5155"/>
      <c r="AU334" s="5155"/>
      <c r="BW334" s="5">
        <v>1</v>
      </c>
    </row>
    <row r="335" spans="2:75" ht="15.75">
      <c r="B335" s="5155"/>
      <c r="Q335" s="5155"/>
      <c r="T335" s="141"/>
      <c r="U335" s="141"/>
      <c r="V335" s="141"/>
      <c r="W335" s="141"/>
      <c r="X335" s="1369" t="s">
        <v>864</v>
      </c>
      <c r="Y335" s="1321"/>
      <c r="Z335" s="1321"/>
      <c r="AA335" s="1321"/>
      <c r="AB335" s="1321"/>
      <c r="AC335" s="1321"/>
      <c r="AD335" s="1370"/>
      <c r="AF335" s="5155"/>
      <c r="AU335" s="5155"/>
      <c r="BW335" s="5">
        <v>1</v>
      </c>
    </row>
    <row r="336" spans="2:75" ht="15.75">
      <c r="B336" s="5155"/>
      <c r="Q336" s="5155"/>
      <c r="T336" s="141"/>
      <c r="U336" s="141"/>
      <c r="V336" s="141"/>
      <c r="W336" s="141"/>
      <c r="X336" s="1441"/>
      <c r="Y336" s="1385"/>
      <c r="Z336" s="1385"/>
      <c r="AA336" s="1385"/>
      <c r="AB336" s="1385"/>
      <c r="AC336" s="1385"/>
      <c r="AD336" s="1443"/>
      <c r="AF336" s="5155"/>
      <c r="AU336" s="5155"/>
      <c r="BW336" s="5">
        <v>1</v>
      </c>
    </row>
    <row r="337" spans="1:77" ht="15.75" customHeight="1">
      <c r="B337" s="5155"/>
      <c r="Q337" s="5155"/>
      <c r="T337" s="141"/>
      <c r="U337" s="141"/>
      <c r="V337" s="141"/>
      <c r="W337" s="141"/>
      <c r="X337" s="1441"/>
      <c r="Y337" s="1385"/>
      <c r="Z337" s="1385"/>
      <c r="AA337" s="1385"/>
      <c r="AB337" s="1385"/>
      <c r="AC337" s="1385"/>
      <c r="AD337" s="1443"/>
      <c r="AF337" s="5155"/>
      <c r="AU337" s="5155"/>
      <c r="BW337" s="5">
        <v>1</v>
      </c>
    </row>
    <row r="338" spans="1:77" ht="15.75">
      <c r="B338" s="5155"/>
      <c r="Q338" s="5155"/>
      <c r="T338" s="141"/>
      <c r="U338" s="141"/>
      <c r="V338" s="141"/>
      <c r="W338" s="141"/>
      <c r="X338" s="1441"/>
      <c r="Y338" s="1385"/>
      <c r="Z338" s="1385"/>
      <c r="AA338" s="1385"/>
      <c r="AB338" s="1385"/>
      <c r="AC338" s="1385"/>
      <c r="AD338" s="1443"/>
      <c r="AF338" s="5155"/>
      <c r="AU338" s="5155"/>
      <c r="BW338" s="5">
        <v>1</v>
      </c>
    </row>
    <row r="339" spans="1:77">
      <c r="B339" s="5155"/>
      <c r="Q339" s="5155"/>
      <c r="T339" s="141"/>
      <c r="U339" s="141"/>
      <c r="V339" s="141"/>
      <c r="W339" s="141"/>
      <c r="X339" s="1599"/>
      <c r="Y339" s="997"/>
      <c r="Z339" s="997"/>
      <c r="AA339" s="997"/>
      <c r="AB339" s="997"/>
      <c r="AC339" s="997"/>
      <c r="AD339" s="1339" t="s">
        <v>1112</v>
      </c>
      <c r="AF339" s="5155"/>
      <c r="AU339" s="5155"/>
      <c r="BW339" s="5">
        <v>1</v>
      </c>
    </row>
    <row r="340" spans="1:77" ht="15.75">
      <c r="B340" s="5155"/>
      <c r="Q340" s="5155"/>
      <c r="T340" s="141"/>
      <c r="U340" s="141"/>
      <c r="V340" s="141"/>
      <c r="W340" s="141"/>
      <c r="X340" s="1454"/>
      <c r="Y340" s="1002"/>
      <c r="Z340" s="1002" t="s">
        <v>873</v>
      </c>
      <c r="AA340" s="1003"/>
      <c r="AB340" s="1329"/>
      <c r="AC340" s="1329"/>
      <c r="AD340" s="1330"/>
      <c r="AF340" s="5155"/>
      <c r="AU340" s="5155"/>
      <c r="BW340" s="5">
        <v>1</v>
      </c>
    </row>
    <row r="341" spans="1:77" ht="16.5" thickBot="1">
      <c r="B341" s="5155"/>
      <c r="Q341" s="5155"/>
      <c r="T341" s="141"/>
      <c r="U341" s="141"/>
      <c r="V341" s="141"/>
      <c r="W341" s="141"/>
      <c r="X341" s="1332" t="s">
        <v>86</v>
      </c>
      <c r="Y341" s="1006"/>
      <c r="Z341" s="1007"/>
      <c r="AA341" s="1008"/>
      <c r="AB341" s="1007"/>
      <c r="AC341" s="1007"/>
      <c r="AD341" s="1333"/>
      <c r="AF341" s="5155"/>
      <c r="AU341" s="5155"/>
      <c r="BW341" s="5">
        <v>1</v>
      </c>
    </row>
    <row r="342" spans="1:77" ht="15.75" customHeight="1">
      <c r="B342" s="5155"/>
      <c r="Q342" s="5155"/>
      <c r="T342" s="141"/>
      <c r="U342" s="141"/>
      <c r="V342" s="141"/>
      <c r="W342" s="141"/>
      <c r="AF342" s="5155"/>
      <c r="AU342" s="5155"/>
      <c r="BW342" s="5">
        <v>1</v>
      </c>
    </row>
    <row r="343" spans="1:77">
      <c r="B343" s="5155"/>
      <c r="Q343" s="5155"/>
      <c r="AF343" s="5155"/>
      <c r="AU343" s="5155"/>
      <c r="BV343" s="11" t="str">
        <f>ADDRESS(ROW(),COLUMN(),4)</f>
        <v>BV343</v>
      </c>
      <c r="BW343" s="10" t="s">
        <v>0</v>
      </c>
    </row>
    <row r="344" spans="1:77">
      <c r="A344" s="5">
        <v>1</v>
      </c>
      <c r="B344" s="5">
        <v>1</v>
      </c>
      <c r="C344" s="5">
        <v>1</v>
      </c>
      <c r="D344" s="5">
        <v>1</v>
      </c>
      <c r="E344" s="5">
        <v>1</v>
      </c>
      <c r="F344" s="5">
        <v>1</v>
      </c>
      <c r="G344" s="5">
        <v>1</v>
      </c>
      <c r="H344" s="5">
        <v>1</v>
      </c>
      <c r="I344" s="5">
        <v>1</v>
      </c>
      <c r="J344" s="5">
        <v>1</v>
      </c>
      <c r="K344" s="5">
        <v>1</v>
      </c>
      <c r="L344" s="5">
        <v>1</v>
      </c>
      <c r="M344" s="5">
        <v>1</v>
      </c>
      <c r="N344" s="5">
        <v>1</v>
      </c>
      <c r="O344" s="5">
        <v>1</v>
      </c>
      <c r="P344" s="5">
        <v>1</v>
      </c>
      <c r="Q344" s="5">
        <v>1</v>
      </c>
      <c r="R344" s="5">
        <v>1</v>
      </c>
      <c r="S344" s="5"/>
      <c r="T344" s="5">
        <v>1</v>
      </c>
      <c r="U344" s="5">
        <v>1</v>
      </c>
      <c r="V344" s="5">
        <v>1</v>
      </c>
      <c r="W344" s="5">
        <v>1</v>
      </c>
      <c r="X344" s="5">
        <v>1</v>
      </c>
      <c r="Y344" s="5">
        <v>1</v>
      </c>
      <c r="Z344" s="5">
        <v>1</v>
      </c>
      <c r="AA344" s="5">
        <v>1</v>
      </c>
      <c r="AB344" s="5">
        <v>1</v>
      </c>
      <c r="AC344" s="5">
        <v>1</v>
      </c>
      <c r="AD344" s="5">
        <v>1</v>
      </c>
      <c r="AE344" s="5">
        <v>1</v>
      </c>
      <c r="AF344" s="5">
        <v>1</v>
      </c>
      <c r="AG344" s="5">
        <v>1</v>
      </c>
      <c r="AH344" s="5">
        <v>1</v>
      </c>
      <c r="AI344" s="5">
        <v>1</v>
      </c>
      <c r="AJ344" s="5">
        <v>1</v>
      </c>
      <c r="AK344" s="5">
        <v>1</v>
      </c>
      <c r="AL344" s="5">
        <v>1</v>
      </c>
      <c r="AM344" s="5">
        <v>1</v>
      </c>
      <c r="AN344" s="5">
        <v>1</v>
      </c>
      <c r="AO344" s="5">
        <v>1</v>
      </c>
      <c r="AP344" s="5">
        <v>1</v>
      </c>
      <c r="AQ344" s="5">
        <v>1</v>
      </c>
      <c r="AR344" s="5">
        <v>1</v>
      </c>
      <c r="AS344" s="5">
        <v>1</v>
      </c>
      <c r="AT344" s="5">
        <v>1</v>
      </c>
      <c r="AU344" s="5">
        <v>1</v>
      </c>
      <c r="AV344" s="5">
        <v>1</v>
      </c>
      <c r="AW344" s="5">
        <v>1</v>
      </c>
      <c r="AX344" s="5">
        <v>1</v>
      </c>
      <c r="AY344" s="5">
        <v>1</v>
      </c>
      <c r="AZ344" s="5">
        <v>1</v>
      </c>
      <c r="BA344" s="5">
        <v>1</v>
      </c>
      <c r="BB344" s="5">
        <v>1</v>
      </c>
      <c r="BC344" s="5">
        <v>1</v>
      </c>
      <c r="BD344" s="5">
        <v>1</v>
      </c>
      <c r="BE344" s="5">
        <v>1</v>
      </c>
      <c r="BF344" s="5">
        <v>1</v>
      </c>
      <c r="BG344" s="5">
        <v>1</v>
      </c>
      <c r="BH344" s="5">
        <v>1</v>
      </c>
      <c r="BI344" s="5">
        <v>1</v>
      </c>
      <c r="BJ344" s="5">
        <v>1</v>
      </c>
      <c r="BK344" s="5">
        <v>1</v>
      </c>
      <c r="BL344" s="5">
        <v>1</v>
      </c>
      <c r="BM344" s="5">
        <v>1</v>
      </c>
      <c r="BN344" s="5">
        <v>1</v>
      </c>
      <c r="BO344" s="5">
        <v>1</v>
      </c>
      <c r="BP344" s="5">
        <v>1</v>
      </c>
      <c r="BQ344" s="5">
        <v>1</v>
      </c>
      <c r="BR344" s="5">
        <v>1</v>
      </c>
      <c r="BS344" s="5">
        <v>1</v>
      </c>
      <c r="BT344" s="5">
        <v>1</v>
      </c>
      <c r="BU344" s="5">
        <v>1</v>
      </c>
      <c r="BV344" s="5">
        <v>1</v>
      </c>
      <c r="BW344" s="9" t="str">
        <f>ADDRESS(ROW(),COLUMN(),4)</f>
        <v>BW344</v>
      </c>
      <c r="BX344" s="8"/>
      <c r="BY344" s="7" t="str">
        <f>ADDRESS(ROW(),COLUMN(),4)</f>
        <v>BY344</v>
      </c>
    </row>
  </sheetData>
  <mergeCells count="121">
    <mergeCell ref="E3:E5"/>
    <mergeCell ref="I3:O4"/>
    <mergeCell ref="AI3:AI5"/>
    <mergeCell ref="AM3:AS4"/>
    <mergeCell ref="L18:L19"/>
    <mergeCell ref="M18:M19"/>
    <mergeCell ref="N18:N19"/>
    <mergeCell ref="AC18:AC19"/>
    <mergeCell ref="M13:O14"/>
    <mergeCell ref="K16:M16"/>
    <mergeCell ref="T3:T5"/>
    <mergeCell ref="X3:AD4"/>
    <mergeCell ref="AB18:AB19"/>
    <mergeCell ref="AQ13:AS14"/>
    <mergeCell ref="AO16:AQ16"/>
    <mergeCell ref="BJ10:BM12"/>
    <mergeCell ref="BO10:BU12"/>
    <mergeCell ref="K10:L11"/>
    <mergeCell ref="M10:O11"/>
    <mergeCell ref="BJ56:BM59"/>
    <mergeCell ref="BJ60:BM61"/>
    <mergeCell ref="BO51:BU52"/>
    <mergeCell ref="BT54:BT55"/>
    <mergeCell ref="BU54:BU55"/>
    <mergeCell ref="BR24:BR25"/>
    <mergeCell ref="BS24:BS25"/>
    <mergeCell ref="BT24:BT25"/>
    <mergeCell ref="BE18:BE19"/>
    <mergeCell ref="BF18:BF19"/>
    <mergeCell ref="BG18:BG19"/>
    <mergeCell ref="Z16:AB16"/>
    <mergeCell ref="AA18:AA19"/>
    <mergeCell ref="Z53:AA54"/>
    <mergeCell ref="AB53:AD54"/>
    <mergeCell ref="AB56:AD57"/>
    <mergeCell ref="Z59:AB59"/>
    <mergeCell ref="Z10:AA11"/>
    <mergeCell ref="AB10:AD11"/>
    <mergeCell ref="AB13:AD14"/>
    <mergeCell ref="BJ102:BK103"/>
    <mergeCell ref="BL102:BM103"/>
    <mergeCell ref="BR94:BR95"/>
    <mergeCell ref="BS94:BS95"/>
    <mergeCell ref="BR72:BR73"/>
    <mergeCell ref="BS72:BS73"/>
    <mergeCell ref="BT72:BT73"/>
    <mergeCell ref="BO79:BO80"/>
    <mergeCell ref="BS60:BU60"/>
    <mergeCell ref="BS61:BU62"/>
    <mergeCell ref="BS63:BU65"/>
    <mergeCell ref="K108:L108"/>
    <mergeCell ref="I109:I110"/>
    <mergeCell ref="K109:L109"/>
    <mergeCell ref="O110:O112"/>
    <mergeCell ref="BP214:BU215"/>
    <mergeCell ref="BP224:BT226"/>
    <mergeCell ref="BQ208:BU208"/>
    <mergeCell ref="BQ209:BU209"/>
    <mergeCell ref="BQ210:BU210"/>
    <mergeCell ref="BQ211:BU211"/>
    <mergeCell ref="BQ212:BU212"/>
    <mergeCell ref="BQ213:BU213"/>
    <mergeCell ref="BP198:BU198"/>
    <mergeCell ref="BO199:BU199"/>
    <mergeCell ref="BP202:BU205"/>
    <mergeCell ref="BO144:BO153"/>
    <mergeCell ref="BP144:BP145"/>
    <mergeCell ref="BO135:BO140"/>
    <mergeCell ref="BP136:BU138"/>
    <mergeCell ref="BB137:BH139"/>
    <mergeCell ref="BB142:BH145"/>
    <mergeCell ref="BP113:BQ113"/>
    <mergeCell ref="BR113:BS113"/>
    <mergeCell ref="Z212:Z213"/>
    <mergeCell ref="AA212:AA213"/>
    <mergeCell ref="AB212:AB213"/>
    <mergeCell ref="AC212:AC213"/>
    <mergeCell ref="AD212:AD213"/>
    <mergeCell ref="AC61:AC62"/>
    <mergeCell ref="AB61:AB62"/>
    <mergeCell ref="AR18:AR19"/>
    <mergeCell ref="AA61:AA62"/>
    <mergeCell ref="X118:AD120"/>
    <mergeCell ref="X123:AD126"/>
    <mergeCell ref="Y212:Y213"/>
    <mergeCell ref="AP18:AP19"/>
    <mergeCell ref="AQ18:AQ19"/>
    <mergeCell ref="Z309:AA309"/>
    <mergeCell ref="X310:X311"/>
    <mergeCell ref="Z310:AA310"/>
    <mergeCell ref="AD311:AD313"/>
    <mergeCell ref="AX3:AX5"/>
    <mergeCell ref="BB3:BH4"/>
    <mergeCell ref="BD10:BE11"/>
    <mergeCell ref="BF10:BH11"/>
    <mergeCell ref="BF13:BH14"/>
    <mergeCell ref="BD16:BF16"/>
    <mergeCell ref="AN256:AN257"/>
    <mergeCell ref="AO256:AO257"/>
    <mergeCell ref="AP256:AP257"/>
    <mergeCell ref="AQ256:AQ257"/>
    <mergeCell ref="AR256:AR257"/>
    <mergeCell ref="AS256:AS257"/>
    <mergeCell ref="AM98:AS100"/>
    <mergeCell ref="AM103:AS106"/>
    <mergeCell ref="AO233:AP233"/>
    <mergeCell ref="AM234:AM235"/>
    <mergeCell ref="AO234:AP234"/>
    <mergeCell ref="AS235:AS237"/>
    <mergeCell ref="AO10:AP11"/>
    <mergeCell ref="AQ10:AS11"/>
    <mergeCell ref="BD272:BE272"/>
    <mergeCell ref="BB273:BB274"/>
    <mergeCell ref="BD273:BE273"/>
    <mergeCell ref="BH274:BH276"/>
    <mergeCell ref="BC295:BC296"/>
    <mergeCell ref="BD295:BD296"/>
    <mergeCell ref="BE295:BE296"/>
    <mergeCell ref="BF295:BF296"/>
    <mergeCell ref="BG295:BG296"/>
    <mergeCell ref="BH295:BH296"/>
  </mergeCells>
  <conditionalFormatting sqref="N20:N26">
    <cfRule type="cellIs" dxfId="94" priority="8" operator="notEqual">
      <formula>1</formula>
    </cfRule>
  </conditionalFormatting>
  <conditionalFormatting sqref="AC20:AC33">
    <cfRule type="cellIs" dxfId="93" priority="5" operator="notEqual">
      <formula>1</formula>
    </cfRule>
  </conditionalFormatting>
  <conditionalFormatting sqref="AC63:AC76">
    <cfRule type="cellIs" dxfId="92" priority="4" operator="notEqual">
      <formula>1</formula>
    </cfRule>
  </conditionalFormatting>
  <conditionalFormatting sqref="AR20:AR41">
    <cfRule type="cellIs" dxfId="91" priority="3" operator="notEqual">
      <formula>1</formula>
    </cfRule>
  </conditionalFormatting>
  <conditionalFormatting sqref="BG20:BG61">
    <cfRule type="cellIs" dxfId="90" priority="1" operator="notEqual">
      <formula>1</formula>
    </cfRule>
  </conditionalFormatting>
  <conditionalFormatting sqref="BP146:BP147">
    <cfRule type="cellIs" dxfId="89" priority="18" operator="notEqual">
      <formula>1</formula>
    </cfRule>
  </conditionalFormatting>
  <conditionalFormatting sqref="BT26:BT28">
    <cfRule type="cellIs" dxfId="88" priority="16" operator="notEqual">
      <formula>1</formula>
    </cfRule>
  </conditionalFormatting>
  <conditionalFormatting sqref="BT74">
    <cfRule type="cellIs" dxfId="87" priority="17" operator="notEqual">
      <formula>1</formula>
    </cfRule>
  </conditionalFormatting>
  <hyperlinks>
    <hyperlink ref="BS182" r:id="rId1" xr:uid="{3E1AC4F3-0EEE-4EC9-A848-CF186A7B2CB3}"/>
  </hyperlinks>
  <pageMargins left="0.7" right="0.7" top="0.75" bottom="0.75" header="0.3" footer="0.3"/>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6594-67DB-4677-9207-A5D826EC05CA}">
  <dimension ref="A1:AQ113"/>
  <sheetViews>
    <sheetView showZeros="0" topLeftCell="AE42" zoomScaleNormal="100" workbookViewId="0">
      <selection activeCell="AQ64" sqref="AQ64"/>
    </sheetView>
  </sheetViews>
  <sheetFormatPr baseColWidth="10" defaultColWidth="11.5703125" defaultRowHeight="15"/>
  <cols>
    <col min="1" max="1" width="6.7109375" customWidth="1"/>
    <col min="2" max="2" width="40.7109375" style="2" customWidth="1"/>
    <col min="3" max="3" width="4.5703125" style="2" customWidth="1"/>
    <col min="4" max="4" width="40.7109375" style="2" customWidth="1"/>
    <col min="5" max="5" width="4.5703125" style="2" customWidth="1"/>
    <col min="6" max="6" width="40.7109375" style="2" customWidth="1"/>
    <col min="7" max="7" width="4.5703125" style="2" customWidth="1"/>
    <col min="8" max="8" width="40.7109375" style="2" customWidth="1"/>
    <col min="9" max="9" width="4.5703125" style="2" customWidth="1"/>
    <col min="10" max="10" width="40.7109375" style="2" customWidth="1"/>
    <col min="11" max="11" width="4.5703125" style="2" customWidth="1"/>
    <col min="12" max="12" width="40.7109375" style="2" customWidth="1"/>
    <col min="13" max="13" width="4.5703125" style="2" customWidth="1"/>
    <col min="14" max="14" width="40.7109375" style="2" customWidth="1"/>
    <col min="15" max="15" width="4.5703125" style="2" customWidth="1"/>
    <col min="16" max="16" width="40.7109375" style="2" customWidth="1"/>
    <col min="17" max="17" width="4.5703125" style="2" customWidth="1"/>
    <col min="18" max="18" width="40.7109375" style="2" customWidth="1"/>
    <col min="19" max="19" width="14.5703125" style="2" customWidth="1"/>
    <col min="20" max="20" width="40.7109375" style="2" customWidth="1"/>
    <col min="21" max="21" width="4.5703125" style="2" customWidth="1"/>
    <col min="22" max="22" width="40.7109375" style="2" customWidth="1"/>
    <col min="23" max="23" width="4.5703125" style="2" customWidth="1"/>
    <col min="24" max="24" width="40.7109375" style="2" customWidth="1"/>
    <col min="25" max="25" width="4.5703125" style="2" customWidth="1"/>
    <col min="26" max="26" width="40.7109375" style="2" customWidth="1"/>
    <col min="27" max="27" width="4.5703125" style="2" customWidth="1"/>
    <col min="28" max="28" width="40.7109375" style="2" customWidth="1"/>
    <col min="29" max="29" width="4.5703125" style="2" customWidth="1"/>
    <col min="30" max="30" width="40.7109375" style="2" customWidth="1"/>
    <col min="31" max="31" width="4.5703125" style="2" customWidth="1"/>
    <col min="32" max="32" width="40.7109375" style="2" customWidth="1"/>
    <col min="33" max="33" width="4.5703125" style="2" customWidth="1"/>
    <col min="34" max="34" width="40.7109375" style="2" customWidth="1"/>
    <col min="35" max="35" width="4.5703125" style="2" customWidth="1"/>
    <col min="36" max="36" width="40.7109375" style="2" customWidth="1"/>
    <col min="37" max="37" width="2.140625" style="2" customWidth="1"/>
    <col min="38" max="39" width="12.7109375" style="2" customWidth="1"/>
    <col min="40" max="40" width="5.140625" style="2" customWidth="1"/>
    <col min="41" max="41" width="8.7109375" style="2" customWidth="1"/>
    <col min="42" max="42" width="11.5703125" style="1"/>
    <col min="43" max="43" width="43.5703125" style="1" customWidth="1"/>
  </cols>
  <sheetData>
    <row r="1" spans="1:43">
      <c r="A1" s="9" t="str">
        <f>ADDRESS(ROW(),COLUMN(),4)</f>
        <v>A1</v>
      </c>
      <c r="B1" s="5445" t="str">
        <f>SUBSTITUTE(ADDRESS(1,COLUMN(),4),"1","")</f>
        <v>B</v>
      </c>
      <c r="D1" s="5445" t="str">
        <f>SUBSTITUTE(ADDRESS(1,COLUMN(),4),"1","")</f>
        <v>D</v>
      </c>
      <c r="F1" s="5445" t="str">
        <f>SUBSTITUTE(ADDRESS(1,COLUMN(),4),"1","")</f>
        <v>F</v>
      </c>
      <c r="H1" s="5445" t="str">
        <f>SUBSTITUTE(ADDRESS(1,COLUMN(),4),"1","")</f>
        <v>H</v>
      </c>
      <c r="J1" s="5445" t="str">
        <f>SUBSTITUTE(ADDRESS(1,COLUMN(),4),"1","")</f>
        <v>J</v>
      </c>
      <c r="L1" s="5445" t="str">
        <f>SUBSTITUTE(ADDRESS(1,COLUMN(),4),"1","")</f>
        <v>L</v>
      </c>
      <c r="N1" s="5445" t="str">
        <f>SUBSTITUTE(ADDRESS(1,COLUMN(),4),"1","")</f>
        <v>N</v>
      </c>
      <c r="P1" s="5445" t="str">
        <f>SUBSTITUTE(ADDRESS(1,COLUMN(),4),"1","")</f>
        <v>P</v>
      </c>
      <c r="R1" s="5445" t="str">
        <f>SUBSTITUTE(ADDRESS(1,COLUMN(),4),"1","")</f>
        <v>R</v>
      </c>
      <c r="S1"/>
      <c r="T1" s="5445" t="str">
        <f>SUBSTITUTE(ADDRESS(1,COLUMN(),4),"1","")</f>
        <v>T</v>
      </c>
      <c r="V1" s="5445" t="str">
        <f>SUBSTITUTE(ADDRESS(1,COLUMN(),4),"1","")</f>
        <v>V</v>
      </c>
      <c r="X1" s="5445" t="str">
        <f>SUBSTITUTE(ADDRESS(1,COLUMN(),4),"1","")</f>
        <v>X</v>
      </c>
      <c r="Z1" s="5445" t="str">
        <f>SUBSTITUTE(ADDRESS(1,COLUMN(),4),"1","")</f>
        <v>Z</v>
      </c>
      <c r="AB1" s="5445" t="str">
        <f>SUBSTITUTE(ADDRESS(1,COLUMN(),4),"1","")</f>
        <v>AB</v>
      </c>
      <c r="AD1" s="5445" t="str">
        <f>SUBSTITUTE(ADDRESS(1,COLUMN(),4),"1","")</f>
        <v>AD</v>
      </c>
      <c r="AF1" s="5445" t="str">
        <f>SUBSTITUTE(ADDRESS(1,COLUMN(),4),"1","")</f>
        <v>AF</v>
      </c>
      <c r="AH1" s="5445" t="str">
        <f>SUBSTITUTE(ADDRESS(1,COLUMN(),4),"1","")</f>
        <v>AH</v>
      </c>
      <c r="AJ1" s="5445" t="str">
        <f>SUBSTITUTE(ADDRESS(1,COLUMN(),4),"1","")</f>
        <v>AJ</v>
      </c>
      <c r="AK1"/>
      <c r="AL1" s="5445" t="str">
        <f>SUBSTITUTE(ADDRESS(1,COLUMN(),4),"1","")</f>
        <v>AL</v>
      </c>
      <c r="AM1" s="5445" t="str">
        <f>SUBSTITUTE(ADDRESS(1,COLUMN(),4),"1","")</f>
        <v>AM</v>
      </c>
      <c r="AN1"/>
      <c r="AO1" s="5">
        <v>1</v>
      </c>
      <c r="AP1" s="5445" t="str">
        <f>SUBSTITUTE(ADDRESS(1,COLUMN(),4),"1","")</f>
        <v>AP</v>
      </c>
      <c r="AQ1" s="5444" t="str">
        <f>SUBSTITUTE(ADDRESS(1,COLUMN(),4),"1","")</f>
        <v>AQ</v>
      </c>
    </row>
    <row r="2" spans="1:43">
      <c r="A2" s="1626"/>
      <c r="B2" s="91">
        <f ca="1">CELL("largeur",B2)</f>
        <v>40</v>
      </c>
      <c r="D2" s="91">
        <f ca="1">CELL("largeur",D2)</f>
        <v>40</v>
      </c>
      <c r="F2" s="91">
        <f ca="1">CELL("largeur",F2)</f>
        <v>40</v>
      </c>
      <c r="H2" s="91">
        <f ca="1">CELL("largeur",H2)</f>
        <v>40</v>
      </c>
      <c r="J2" s="91">
        <f ca="1">CELL("largeur",J2)</f>
        <v>40</v>
      </c>
      <c r="L2" s="91">
        <f ca="1">CELL("largeur",L2)</f>
        <v>40</v>
      </c>
      <c r="N2" s="91">
        <f ca="1">CELL("largeur",N2)</f>
        <v>40</v>
      </c>
      <c r="P2" s="91">
        <f ca="1">CELL("largeur",P2)</f>
        <v>40</v>
      </c>
      <c r="R2" s="91">
        <f ca="1">CELL("largeur",R2)</f>
        <v>40</v>
      </c>
      <c r="S2"/>
      <c r="T2" s="91">
        <f ca="1">CELL("largeur",T2)</f>
        <v>40</v>
      </c>
      <c r="V2" s="91">
        <f ca="1">CELL("largeur",V2)</f>
        <v>40</v>
      </c>
      <c r="X2" s="91">
        <f ca="1">CELL("largeur",X2)</f>
        <v>40</v>
      </c>
      <c r="Z2" s="91">
        <f ca="1">CELL("largeur",Z2)</f>
        <v>40</v>
      </c>
      <c r="AB2" s="91">
        <f ca="1">CELL("largeur",AB2)</f>
        <v>40</v>
      </c>
      <c r="AD2" s="91">
        <f ca="1">CELL("largeur",AD2)</f>
        <v>40</v>
      </c>
      <c r="AF2" s="91">
        <f ca="1">CELL("largeur",AF2)</f>
        <v>40</v>
      </c>
      <c r="AH2" s="91">
        <f ca="1">CELL("largeur",AH2)</f>
        <v>40</v>
      </c>
      <c r="AJ2" s="91">
        <f ca="1">CELL("largeur",AJ2)</f>
        <v>40</v>
      </c>
      <c r="AK2"/>
      <c r="AL2" s="91">
        <f ca="1">CELL("largeur",AL2)</f>
        <v>12</v>
      </c>
      <c r="AM2" s="91">
        <f ca="1">CELL("largeur",AM2)</f>
        <v>12</v>
      </c>
      <c r="AN2"/>
      <c r="AO2" s="5">
        <v>1</v>
      </c>
      <c r="AP2" s="440"/>
      <c r="AQ2" s="440" t="s">
        <v>295</v>
      </c>
    </row>
    <row r="3" spans="1:43" ht="15.75">
      <c r="B3"/>
      <c r="C3"/>
      <c r="D3"/>
      <c r="E3"/>
      <c r="F3"/>
      <c r="G3"/>
      <c r="H3"/>
      <c r="I3"/>
      <c r="J3"/>
      <c r="K3"/>
      <c r="L3"/>
      <c r="M3"/>
      <c r="N3"/>
      <c r="O3"/>
      <c r="P3"/>
      <c r="Q3"/>
      <c r="R3"/>
      <c r="S3"/>
      <c r="T3"/>
      <c r="U3"/>
      <c r="V3"/>
      <c r="W3"/>
      <c r="X3"/>
      <c r="Y3"/>
      <c r="Z3"/>
      <c r="AA3"/>
      <c r="AB3"/>
      <c r="AC3"/>
      <c r="AD3"/>
      <c r="AE3"/>
      <c r="AF3"/>
      <c r="AG3"/>
      <c r="AH3"/>
      <c r="AI3"/>
      <c r="AJ3"/>
      <c r="AK3"/>
      <c r="AL3" s="141"/>
      <c r="AM3" s="141"/>
      <c r="AN3" s="141"/>
      <c r="AO3" s="5">
        <v>1</v>
      </c>
      <c r="AP3" s="430">
        <f t="array" aca="1" ref="AP3" ca="1">COUNTA(A1:AO113+COUNTBLANK(A1:AO113))</f>
        <v>4633</v>
      </c>
      <c r="AQ3" s="429" t="str">
        <f>"cellules entre"&amp;" " &amp;A1&amp;" et  "&amp;AO113</f>
        <v>cellules entre A1 et  AO113</v>
      </c>
    </row>
    <row r="4" spans="1:43" ht="21.75" customHeight="1">
      <c r="B4" s="1627" t="s">
        <v>1299</v>
      </c>
      <c r="T4" s="1627" t="s">
        <v>1299</v>
      </c>
      <c r="AL4" s="97"/>
      <c r="AM4" s="97"/>
      <c r="AN4" s="97"/>
      <c r="AO4" s="5">
        <v>1</v>
      </c>
      <c r="AP4" s="430">
        <f ca="1">COUNTA(A1:AO113)</f>
        <v>947</v>
      </c>
      <c r="AQ4" s="429" t="s">
        <v>291</v>
      </c>
    </row>
    <row r="5" spans="1:43" ht="21.75" customHeight="1">
      <c r="AL5" s="97"/>
      <c r="AM5" s="97"/>
      <c r="AN5" s="97"/>
      <c r="AO5" s="5">
        <v>1</v>
      </c>
      <c r="AP5" s="430">
        <f ca="1">COUNTBLANK(A1:AO113)</f>
        <v>3922</v>
      </c>
      <c r="AQ5" s="429" t="s">
        <v>288</v>
      </c>
    </row>
    <row r="6" spans="1:43" ht="22.5" customHeight="1">
      <c r="B6" s="1628" t="s">
        <v>8343</v>
      </c>
      <c r="C6" s="1628"/>
      <c r="D6" s="1628"/>
      <c r="E6" s="1628"/>
      <c r="F6" s="1628"/>
      <c r="G6" s="1628"/>
      <c r="H6" s="1628"/>
      <c r="I6" s="1628"/>
      <c r="J6" s="1628"/>
      <c r="K6" s="1628"/>
      <c r="L6" s="1628"/>
      <c r="M6" s="1628"/>
      <c r="N6" s="1628"/>
      <c r="O6" s="1628"/>
      <c r="P6" s="1628"/>
      <c r="Q6" s="1628"/>
      <c r="R6" s="1628"/>
      <c r="T6" s="1628" t="s">
        <v>1536</v>
      </c>
      <c r="U6" s="1628"/>
      <c r="V6" s="1628"/>
      <c r="W6" s="1628"/>
      <c r="X6" s="1628"/>
      <c r="Y6" s="1628"/>
      <c r="Z6" s="1628"/>
      <c r="AA6" s="1628"/>
      <c r="AB6" s="1628"/>
      <c r="AC6" s="1628"/>
      <c r="AD6" s="1628"/>
      <c r="AE6" s="1628"/>
      <c r="AF6" s="1628"/>
      <c r="AG6" s="1628"/>
      <c r="AH6" s="1628"/>
      <c r="AI6" s="1628"/>
      <c r="AJ6" s="1628"/>
      <c r="AL6" s="97"/>
      <c r="AM6" s="97"/>
      <c r="AN6" s="97"/>
      <c r="AO6" s="5">
        <v>1</v>
      </c>
      <c r="AP6" s="430">
        <f>SUM(AO1:AO111)+2</f>
        <v>104</v>
      </c>
      <c r="AQ6" s="429" t="s">
        <v>286</v>
      </c>
    </row>
    <row r="7" spans="1:43" ht="21" customHeight="1">
      <c r="AL7" s="97"/>
      <c r="AM7" s="97"/>
      <c r="AN7" s="97"/>
      <c r="AO7" s="5">
        <v>1</v>
      </c>
      <c r="AP7" s="430">
        <f>SUM(A113:AN113)+1</f>
        <v>40</v>
      </c>
      <c r="AQ7" s="429" t="s">
        <v>284</v>
      </c>
    </row>
    <row r="8" spans="1:43" ht="21" customHeight="1">
      <c r="B8" s="1635" t="s">
        <v>1300</v>
      </c>
      <c r="D8" s="1636"/>
      <c r="F8" s="1636"/>
      <c r="H8" s="1636"/>
      <c r="J8" s="1636"/>
      <c r="L8" s="1636"/>
      <c r="N8" s="1636"/>
      <c r="P8" s="1636"/>
      <c r="R8" s="1636"/>
      <c r="T8" s="1635" t="s">
        <v>1300</v>
      </c>
      <c r="V8" s="1636"/>
      <c r="X8" s="1636"/>
      <c r="Z8" s="1636"/>
      <c r="AB8" s="1636"/>
      <c r="AD8" s="1636"/>
      <c r="AF8" s="1636"/>
      <c r="AH8" s="1636"/>
      <c r="AJ8" s="1636"/>
      <c r="AL8" s="97"/>
      <c r="AM8" s="97"/>
      <c r="AN8" s="97"/>
      <c r="AO8" s="5">
        <v>1</v>
      </c>
    </row>
    <row r="9" spans="1:43" ht="24" customHeight="1">
      <c r="B9" s="1629" t="s">
        <v>1302</v>
      </c>
      <c r="D9" s="1629" t="s">
        <v>1302</v>
      </c>
      <c r="F9" s="1629" t="s">
        <v>1302</v>
      </c>
      <c r="H9" s="1629" t="s">
        <v>1302</v>
      </c>
      <c r="J9" s="1629" t="s">
        <v>1302</v>
      </c>
      <c r="L9" s="1629" t="s">
        <v>1302</v>
      </c>
      <c r="N9" s="1629" t="s">
        <v>1302</v>
      </c>
      <c r="P9" s="1629" t="s">
        <v>1302</v>
      </c>
      <c r="R9" s="1629" t="s">
        <v>1302</v>
      </c>
      <c r="T9" s="1629" t="s">
        <v>1541</v>
      </c>
      <c r="V9" s="1629" t="s">
        <v>1541</v>
      </c>
      <c r="X9" s="1629" t="s">
        <v>1541</v>
      </c>
      <c r="Z9" s="1629" t="s">
        <v>1541</v>
      </c>
      <c r="AB9" s="1629" t="s">
        <v>1541</v>
      </c>
      <c r="AD9" s="1629" t="s">
        <v>1541</v>
      </c>
      <c r="AF9" s="1629" t="s">
        <v>1541</v>
      </c>
      <c r="AH9" s="1629" t="s">
        <v>1541</v>
      </c>
      <c r="AJ9" s="1629" t="s">
        <v>1541</v>
      </c>
      <c r="AL9" s="97"/>
      <c r="AM9" s="97"/>
      <c r="AN9" s="97"/>
      <c r="AO9" s="5">
        <v>1</v>
      </c>
    </row>
    <row r="10" spans="1:43" ht="18" customHeight="1">
      <c r="B10" s="5325" t="s">
        <v>1303</v>
      </c>
      <c r="C10" s="5326"/>
      <c r="D10" s="5327" t="s">
        <v>1304</v>
      </c>
      <c r="E10" s="5326"/>
      <c r="F10" s="5328" t="s">
        <v>1305</v>
      </c>
      <c r="G10" s="5326"/>
      <c r="H10" s="5329" t="s">
        <v>250</v>
      </c>
      <c r="I10" s="5326"/>
      <c r="J10" s="5330" t="s">
        <v>1306</v>
      </c>
      <c r="K10" s="5326"/>
      <c r="L10" s="5480" t="s">
        <v>1307</v>
      </c>
      <c r="M10" s="5326"/>
      <c r="N10" s="5331" t="s">
        <v>1308</v>
      </c>
      <c r="O10" s="5326"/>
      <c r="P10" s="5332" t="s">
        <v>1309</v>
      </c>
      <c r="Q10" s="5326"/>
      <c r="R10" s="5333" t="s">
        <v>1310</v>
      </c>
      <c r="S10" s="5326"/>
      <c r="T10" s="5334" t="s">
        <v>1542</v>
      </c>
      <c r="U10" s="5326"/>
      <c r="V10" s="5335" t="s">
        <v>1543</v>
      </c>
      <c r="W10" s="5326"/>
      <c r="X10" s="5336" t="s">
        <v>1544</v>
      </c>
      <c r="Y10" s="5326"/>
      <c r="Z10" s="5337" t="s">
        <v>1545</v>
      </c>
      <c r="AA10" s="5326"/>
      <c r="AB10" s="5338" t="s">
        <v>1546</v>
      </c>
      <c r="AC10" s="5326"/>
      <c r="AD10" s="5481" t="s">
        <v>1547</v>
      </c>
      <c r="AE10" s="5326"/>
      <c r="AF10" s="5339" t="s">
        <v>1548</v>
      </c>
      <c r="AG10" s="5326"/>
      <c r="AH10" s="5340" t="s">
        <v>1549</v>
      </c>
      <c r="AI10" s="5326"/>
      <c r="AJ10" s="5341" t="s">
        <v>1550</v>
      </c>
      <c r="AL10" s="97"/>
      <c r="AM10" s="97"/>
      <c r="AN10" s="97"/>
      <c r="AO10" s="5">
        <v>1</v>
      </c>
    </row>
    <row r="11" spans="1:43" ht="18" customHeight="1">
      <c r="B11" s="5342"/>
      <c r="C11" s="5326"/>
      <c r="D11" s="5342"/>
      <c r="E11" s="5326"/>
      <c r="F11" s="5342"/>
      <c r="G11" s="5326"/>
      <c r="H11" s="5342"/>
      <c r="I11" s="5326"/>
      <c r="J11" s="5342"/>
      <c r="K11" s="5326"/>
      <c r="L11" s="5342"/>
      <c r="M11" s="5326"/>
      <c r="N11" s="5342"/>
      <c r="O11" s="5326"/>
      <c r="P11" s="5342"/>
      <c r="Q11" s="5326"/>
      <c r="R11" s="5342"/>
      <c r="S11" s="5326"/>
      <c r="T11" s="5326" t="s">
        <v>856</v>
      </c>
      <c r="U11" s="5326"/>
      <c r="V11" s="5326" t="s">
        <v>856</v>
      </c>
      <c r="W11" s="5326"/>
      <c r="X11" s="5326" t="s">
        <v>856</v>
      </c>
      <c r="Y11" s="5326"/>
      <c r="Z11" s="5326" t="s">
        <v>856</v>
      </c>
      <c r="AA11" s="5326"/>
      <c r="AB11" s="5326" t="s">
        <v>856</v>
      </c>
      <c r="AC11" s="5326"/>
      <c r="AD11" s="5326" t="s">
        <v>856</v>
      </c>
      <c r="AE11" s="5326"/>
      <c r="AF11" s="5326" t="s">
        <v>856</v>
      </c>
      <c r="AG11" s="5326"/>
      <c r="AH11" s="5326" t="s">
        <v>856</v>
      </c>
      <c r="AI11" s="5326"/>
      <c r="AJ11" s="5326" t="s">
        <v>856</v>
      </c>
      <c r="AL11" s="1630" t="s">
        <v>1312</v>
      </c>
      <c r="AM11" s="97"/>
      <c r="AO11" s="5">
        <v>1</v>
      </c>
    </row>
    <row r="12" spans="1:43" ht="18" customHeight="1">
      <c r="B12" s="5343" t="s">
        <v>1313</v>
      </c>
      <c r="C12" s="5326"/>
      <c r="D12" s="5327" t="s">
        <v>1314</v>
      </c>
      <c r="E12" s="5326"/>
      <c r="F12" s="5328" t="s">
        <v>1315</v>
      </c>
      <c r="G12" s="5326"/>
      <c r="H12" s="5329" t="s">
        <v>1316</v>
      </c>
      <c r="I12" s="5326"/>
      <c r="J12" s="5330" t="s">
        <v>1317</v>
      </c>
      <c r="K12" s="5326"/>
      <c r="L12" s="5480" t="s">
        <v>1318</v>
      </c>
      <c r="M12" s="5326"/>
      <c r="N12" s="5331" t="s">
        <v>1319</v>
      </c>
      <c r="O12" s="5326"/>
      <c r="P12" s="5332" t="s">
        <v>1319</v>
      </c>
      <c r="Q12" s="5326"/>
      <c r="R12" s="5333" t="s">
        <v>1320</v>
      </c>
      <c r="S12" s="5326"/>
      <c r="T12" s="5344" t="s">
        <v>1551</v>
      </c>
      <c r="U12" s="5326"/>
      <c r="V12" s="5335" t="s">
        <v>1552</v>
      </c>
      <c r="W12" s="5326"/>
      <c r="X12" s="5336" t="s">
        <v>1553</v>
      </c>
      <c r="Y12" s="5326"/>
      <c r="Z12" s="5337" t="s">
        <v>1554</v>
      </c>
      <c r="AA12" s="5326"/>
      <c r="AB12" s="5338" t="s">
        <v>1555</v>
      </c>
      <c r="AC12" s="5326"/>
      <c r="AD12" s="5481" t="s">
        <v>1556</v>
      </c>
      <c r="AE12" s="5326"/>
      <c r="AF12" s="5339" t="s">
        <v>1557</v>
      </c>
      <c r="AG12" s="5326"/>
      <c r="AH12" s="5340" t="s">
        <v>1557</v>
      </c>
      <c r="AI12" s="5326"/>
      <c r="AJ12" s="5341" t="s">
        <v>1558</v>
      </c>
      <c r="AL12" s="1630" t="s">
        <v>1323</v>
      </c>
      <c r="AM12" s="1630"/>
      <c r="AO12" s="5">
        <v>1</v>
      </c>
    </row>
    <row r="13" spans="1:43" ht="18" customHeight="1">
      <c r="B13" s="5342"/>
      <c r="C13" s="5326"/>
      <c r="D13" s="5342"/>
      <c r="E13" s="5326"/>
      <c r="F13" s="5342"/>
      <c r="G13" s="5326"/>
      <c r="H13" s="5342"/>
      <c r="I13" s="5326"/>
      <c r="J13" s="5342"/>
      <c r="K13" s="5326"/>
      <c r="L13" s="5342"/>
      <c r="M13" s="5326"/>
      <c r="N13" s="5342"/>
      <c r="O13" s="5326"/>
      <c r="P13" s="5342"/>
      <c r="Q13" s="5326"/>
      <c r="R13" s="5342"/>
      <c r="S13" s="5326"/>
      <c r="T13" s="5326" t="s">
        <v>856</v>
      </c>
      <c r="U13" s="5326"/>
      <c r="V13" s="5326" t="s">
        <v>856</v>
      </c>
      <c r="W13" s="5326"/>
      <c r="X13" s="5326" t="s">
        <v>856</v>
      </c>
      <c r="Y13" s="5326"/>
      <c r="Z13" s="5326" t="s">
        <v>856</v>
      </c>
      <c r="AA13" s="5326"/>
      <c r="AB13" s="5326" t="s">
        <v>856</v>
      </c>
      <c r="AC13" s="5326"/>
      <c r="AD13" s="5326" t="s">
        <v>856</v>
      </c>
      <c r="AE13" s="5326"/>
      <c r="AF13" s="5326" t="s">
        <v>856</v>
      </c>
      <c r="AG13" s="5326"/>
      <c r="AH13" s="5326" t="s">
        <v>856</v>
      </c>
      <c r="AI13" s="5326"/>
      <c r="AJ13" s="5326" t="s">
        <v>856</v>
      </c>
      <c r="AL13" s="1648"/>
      <c r="AM13" s="1648"/>
      <c r="AO13" s="5">
        <v>1</v>
      </c>
    </row>
    <row r="14" spans="1:43" ht="18" customHeight="1">
      <c r="B14" s="5345" t="s">
        <v>1325</v>
      </c>
      <c r="C14" s="5326"/>
      <c r="D14" s="5327" t="s">
        <v>1326</v>
      </c>
      <c r="E14" s="5326"/>
      <c r="F14" s="5328" t="s">
        <v>1327</v>
      </c>
      <c r="G14" s="5326"/>
      <c r="H14" s="5329" t="s">
        <v>1328</v>
      </c>
      <c r="I14" s="5326"/>
      <c r="J14" s="5330" t="s">
        <v>1329</v>
      </c>
      <c r="K14" s="5326"/>
      <c r="L14" s="5480" t="s">
        <v>1330</v>
      </c>
      <c r="M14" s="5326"/>
      <c r="N14" s="5331" t="s">
        <v>1331</v>
      </c>
      <c r="O14" s="5326"/>
      <c r="P14" s="5332" t="s">
        <v>1332</v>
      </c>
      <c r="Q14" s="5326"/>
      <c r="R14" s="5333" t="s">
        <v>1333</v>
      </c>
      <c r="S14" s="5326"/>
      <c r="T14" s="5346" t="s">
        <v>1559</v>
      </c>
      <c r="U14" s="5326"/>
      <c r="V14" s="5335" t="s">
        <v>1560</v>
      </c>
      <c r="W14" s="5326"/>
      <c r="X14" s="5336" t="s">
        <v>1561</v>
      </c>
      <c r="Y14" s="5326"/>
      <c r="Z14" s="5337" t="s">
        <v>1562</v>
      </c>
      <c r="AA14" s="5326"/>
      <c r="AB14" s="5338" t="s">
        <v>1563</v>
      </c>
      <c r="AC14" s="5326"/>
      <c r="AD14" s="5481" t="s">
        <v>1564</v>
      </c>
      <c r="AE14" s="5326"/>
      <c r="AF14" s="5339" t="s">
        <v>1565</v>
      </c>
      <c r="AG14" s="5326"/>
      <c r="AH14" s="5340" t="s">
        <v>1566</v>
      </c>
      <c r="AI14" s="5326"/>
      <c r="AJ14" s="5341" t="s">
        <v>1567</v>
      </c>
      <c r="AL14" s="1648"/>
      <c r="AM14" s="1648"/>
      <c r="AO14" s="5">
        <v>1</v>
      </c>
    </row>
    <row r="15" spans="1:43" s="1" customFormat="1" ht="18" customHeight="1">
      <c r="A15"/>
      <c r="B15" s="5342"/>
      <c r="C15" s="5326"/>
      <c r="D15" s="5342"/>
      <c r="E15" s="5326"/>
      <c r="F15" s="5342"/>
      <c r="G15" s="5326"/>
      <c r="H15" s="5342"/>
      <c r="I15" s="5326"/>
      <c r="J15" s="5342"/>
      <c r="K15" s="5326"/>
      <c r="L15" s="5342"/>
      <c r="M15" s="5326"/>
      <c r="N15" s="5342"/>
      <c r="O15" s="5326"/>
      <c r="P15" s="5342"/>
      <c r="Q15" s="5326"/>
      <c r="R15" s="5342"/>
      <c r="S15" s="5326"/>
      <c r="T15" s="5326" t="s">
        <v>856</v>
      </c>
      <c r="U15" s="5326"/>
      <c r="V15" s="5326" t="s">
        <v>856</v>
      </c>
      <c r="W15" s="5326"/>
      <c r="X15" s="5326" t="s">
        <v>856</v>
      </c>
      <c r="Y15" s="5326"/>
      <c r="Z15" s="5326" t="s">
        <v>856</v>
      </c>
      <c r="AA15" s="5326"/>
      <c r="AB15" s="5326" t="s">
        <v>856</v>
      </c>
      <c r="AC15" s="5326"/>
      <c r="AD15" s="5326" t="s">
        <v>856</v>
      </c>
      <c r="AE15" s="5326"/>
      <c r="AF15" s="5326" t="s">
        <v>856</v>
      </c>
      <c r="AG15" s="5326"/>
      <c r="AH15" s="5326" t="s">
        <v>856</v>
      </c>
      <c r="AI15" s="5326"/>
      <c r="AJ15" s="5326" t="s">
        <v>856</v>
      </c>
      <c r="AK15" s="2"/>
      <c r="AL15" s="1650" t="s">
        <v>1337</v>
      </c>
      <c r="AM15" s="1650"/>
      <c r="AN15" s="2"/>
      <c r="AO15" s="5">
        <v>1</v>
      </c>
    </row>
    <row r="16" spans="1:43" s="1" customFormat="1" ht="18" customHeight="1">
      <c r="A16" s="187"/>
      <c r="B16" s="5332" t="s">
        <v>1338</v>
      </c>
      <c r="C16" s="5326"/>
      <c r="D16" s="5327" t="s">
        <v>1339</v>
      </c>
      <c r="E16" s="5326"/>
      <c r="F16" s="5328" t="s">
        <v>1340</v>
      </c>
      <c r="G16" s="5326"/>
      <c r="H16" s="5329" t="s">
        <v>1341</v>
      </c>
      <c r="I16" s="5326"/>
      <c r="J16" s="5330" t="s">
        <v>1342</v>
      </c>
      <c r="K16" s="5326"/>
      <c r="L16" s="5480" t="s">
        <v>1343</v>
      </c>
      <c r="M16" s="5326"/>
      <c r="N16" s="5331" t="s">
        <v>1344</v>
      </c>
      <c r="O16" s="5326"/>
      <c r="P16" s="5332" t="s">
        <v>1345</v>
      </c>
      <c r="Q16" s="5326"/>
      <c r="R16" s="5333" t="s">
        <v>1346</v>
      </c>
      <c r="S16" s="5326"/>
      <c r="T16" s="5340" t="s">
        <v>1568</v>
      </c>
      <c r="U16" s="5326"/>
      <c r="V16" s="5335" t="s">
        <v>1569</v>
      </c>
      <c r="W16" s="5326"/>
      <c r="X16" s="5336" t="s">
        <v>1570</v>
      </c>
      <c r="Y16" s="5326"/>
      <c r="Z16" s="5337" t="s">
        <v>1571</v>
      </c>
      <c r="AA16" s="5326"/>
      <c r="AB16" s="5338" t="s">
        <v>1572</v>
      </c>
      <c r="AC16" s="5326"/>
      <c r="AD16" s="5481" t="s">
        <v>1573</v>
      </c>
      <c r="AE16" s="5326"/>
      <c r="AF16" s="5339" t="s">
        <v>1574</v>
      </c>
      <c r="AG16" s="5326"/>
      <c r="AH16" s="5340" t="s">
        <v>1575</v>
      </c>
      <c r="AI16" s="5326"/>
      <c r="AJ16" s="5341" t="s">
        <v>1576</v>
      </c>
      <c r="AK16" s="2"/>
      <c r="AL16" s="1650"/>
      <c r="AM16" s="1650"/>
      <c r="AN16" s="2"/>
      <c r="AO16" s="5">
        <v>1</v>
      </c>
    </row>
    <row r="17" spans="1:41" s="1" customFormat="1" ht="18" customHeight="1">
      <c r="A17"/>
      <c r="B17" s="5342"/>
      <c r="C17" s="5326"/>
      <c r="D17" s="5342"/>
      <c r="E17" s="5326"/>
      <c r="F17" s="5342"/>
      <c r="G17" s="5326"/>
      <c r="H17" s="5342"/>
      <c r="I17" s="5326"/>
      <c r="J17" s="5342"/>
      <c r="K17" s="5326"/>
      <c r="L17" s="5342"/>
      <c r="M17" s="5326"/>
      <c r="N17" s="5342"/>
      <c r="O17" s="5326"/>
      <c r="P17" s="5342"/>
      <c r="Q17" s="5326"/>
      <c r="R17" s="5342"/>
      <c r="S17" s="5326"/>
      <c r="T17" s="5326" t="s">
        <v>856</v>
      </c>
      <c r="U17" s="5326"/>
      <c r="V17" s="5326" t="s">
        <v>856</v>
      </c>
      <c r="W17" s="5326"/>
      <c r="X17" s="5326" t="s">
        <v>856</v>
      </c>
      <c r="Y17" s="5326"/>
      <c r="Z17" s="5326" t="s">
        <v>856</v>
      </c>
      <c r="AA17" s="5326"/>
      <c r="AB17" s="5326" t="s">
        <v>856</v>
      </c>
      <c r="AC17" s="5326"/>
      <c r="AD17" s="5326" t="s">
        <v>856</v>
      </c>
      <c r="AE17" s="5326"/>
      <c r="AF17" s="5326" t="s">
        <v>856</v>
      </c>
      <c r="AG17" s="5326"/>
      <c r="AH17" s="5326" t="s">
        <v>856</v>
      </c>
      <c r="AI17" s="5326"/>
      <c r="AJ17" s="5326" t="s">
        <v>856</v>
      </c>
      <c r="AK17" s="2"/>
      <c r="AL17" s="1651" t="s">
        <v>1349</v>
      </c>
      <c r="AM17" s="1651"/>
      <c r="AN17" s="2"/>
      <c r="AO17" s="5">
        <v>1</v>
      </c>
    </row>
    <row r="18" spans="1:41" s="1" customFormat="1" ht="18" customHeight="1">
      <c r="A18"/>
      <c r="B18" s="5331" t="s">
        <v>1350</v>
      </c>
      <c r="C18" s="5326"/>
      <c r="D18" s="5327" t="s">
        <v>1351</v>
      </c>
      <c r="E18" s="5326"/>
      <c r="F18" s="5328" t="s">
        <v>1352</v>
      </c>
      <c r="G18" s="5326"/>
      <c r="H18" s="5329" t="s">
        <v>1353</v>
      </c>
      <c r="I18" s="5326"/>
      <c r="J18" s="5330" t="s">
        <v>1354</v>
      </c>
      <c r="K18" s="5326"/>
      <c r="L18" s="5480" t="s">
        <v>677</v>
      </c>
      <c r="M18" s="5326"/>
      <c r="N18" s="5331" t="s">
        <v>1345</v>
      </c>
      <c r="O18" s="5326"/>
      <c r="P18" s="5332" t="s">
        <v>1355</v>
      </c>
      <c r="Q18" s="5326"/>
      <c r="R18" s="5333" t="s">
        <v>1356</v>
      </c>
      <c r="S18" s="5326"/>
      <c r="T18" s="5339" t="s">
        <v>1577</v>
      </c>
      <c r="U18" s="5326"/>
      <c r="V18" s="5335" t="s">
        <v>1578</v>
      </c>
      <c r="W18" s="5326"/>
      <c r="X18" s="5336" t="s">
        <v>1579</v>
      </c>
      <c r="Y18" s="5326"/>
      <c r="Z18" s="5337" t="s">
        <v>1580</v>
      </c>
      <c r="AA18" s="5326"/>
      <c r="AB18" s="5338" t="s">
        <v>1581</v>
      </c>
      <c r="AC18" s="5326"/>
      <c r="AD18" s="5481" t="s">
        <v>1582</v>
      </c>
      <c r="AE18" s="5326"/>
      <c r="AF18" s="5339" t="s">
        <v>1575</v>
      </c>
      <c r="AG18" s="5326"/>
      <c r="AH18" s="5340" t="s">
        <v>1583</v>
      </c>
      <c r="AI18" s="5326"/>
      <c r="AJ18" s="5341" t="s">
        <v>1584</v>
      </c>
      <c r="AK18" s="2"/>
      <c r="AL18" s="1651" t="s">
        <v>1359</v>
      </c>
      <c r="AM18" s="1651"/>
      <c r="AN18" s="2"/>
      <c r="AO18" s="5">
        <v>1</v>
      </c>
    </row>
    <row r="19" spans="1:41" s="1" customFormat="1" ht="18" customHeight="1">
      <c r="A19"/>
      <c r="B19" s="5342"/>
      <c r="C19" s="5326"/>
      <c r="D19" s="5342"/>
      <c r="E19" s="5326"/>
      <c r="F19" s="5342"/>
      <c r="G19" s="5326"/>
      <c r="H19" s="5342"/>
      <c r="I19" s="5326"/>
      <c r="J19" s="5342"/>
      <c r="K19" s="5326"/>
      <c r="L19" s="5342"/>
      <c r="M19" s="5326"/>
      <c r="N19" s="5342"/>
      <c r="O19" s="5326"/>
      <c r="P19" s="5342"/>
      <c r="Q19" s="5326"/>
      <c r="R19" s="5342"/>
      <c r="S19" s="5326"/>
      <c r="T19" s="5326" t="s">
        <v>856</v>
      </c>
      <c r="U19" s="5326"/>
      <c r="V19" s="5326" t="s">
        <v>856</v>
      </c>
      <c r="W19" s="5326"/>
      <c r="X19" s="5326" t="s">
        <v>856</v>
      </c>
      <c r="Y19" s="5326"/>
      <c r="Z19" s="5326" t="s">
        <v>856</v>
      </c>
      <c r="AA19" s="5326"/>
      <c r="AB19" s="5326" t="s">
        <v>856</v>
      </c>
      <c r="AC19" s="5326"/>
      <c r="AD19" s="5326" t="s">
        <v>856</v>
      </c>
      <c r="AE19" s="5326"/>
      <c r="AF19" s="5326" t="s">
        <v>856</v>
      </c>
      <c r="AG19" s="5326"/>
      <c r="AH19" s="5326" t="s">
        <v>856</v>
      </c>
      <c r="AI19" s="5326"/>
      <c r="AJ19" s="5326" t="s">
        <v>856</v>
      </c>
      <c r="AK19" s="2"/>
      <c r="AL19" s="1652" t="s">
        <v>1361</v>
      </c>
      <c r="AM19" s="1652"/>
      <c r="AN19" s="2"/>
      <c r="AO19" s="5">
        <v>1</v>
      </c>
    </row>
    <row r="20" spans="1:41" s="1" customFormat="1" ht="18" customHeight="1">
      <c r="A20"/>
      <c r="B20" s="5347" t="s">
        <v>1362</v>
      </c>
      <c r="C20" s="5326"/>
      <c r="D20" s="5327" t="s">
        <v>1363</v>
      </c>
      <c r="E20" s="5326"/>
      <c r="F20" s="5328" t="s">
        <v>1364</v>
      </c>
      <c r="G20" s="5326"/>
      <c r="H20" s="5329" t="s">
        <v>1365</v>
      </c>
      <c r="I20" s="5326"/>
      <c r="J20" s="5330" t="s">
        <v>1366</v>
      </c>
      <c r="K20" s="5326"/>
      <c r="L20" s="5480" t="s">
        <v>1094</v>
      </c>
      <c r="M20" s="5326"/>
      <c r="N20" s="5331" t="s">
        <v>1355</v>
      </c>
      <c r="O20" s="5326"/>
      <c r="P20" s="5332" t="s">
        <v>1367</v>
      </c>
      <c r="Q20" s="5326"/>
      <c r="R20" s="5333" t="s">
        <v>1368</v>
      </c>
      <c r="S20" s="5326"/>
      <c r="T20" s="5348" t="s">
        <v>1585</v>
      </c>
      <c r="U20" s="5326"/>
      <c r="V20" s="5335" t="s">
        <v>1586</v>
      </c>
      <c r="W20" s="5326"/>
      <c r="X20" s="5336" t="s">
        <v>1587</v>
      </c>
      <c r="Y20" s="5326"/>
      <c r="Z20" s="5337" t="s">
        <v>1588</v>
      </c>
      <c r="AA20" s="5326"/>
      <c r="AB20" s="5338" t="s">
        <v>1589</v>
      </c>
      <c r="AC20" s="5326"/>
      <c r="AD20" s="5481" t="s">
        <v>1590</v>
      </c>
      <c r="AE20" s="5326"/>
      <c r="AF20" s="5339" t="s">
        <v>1583</v>
      </c>
      <c r="AG20" s="5326"/>
      <c r="AH20" s="5340" t="s">
        <v>1591</v>
      </c>
      <c r="AI20" s="5326"/>
      <c r="AJ20" s="5341" t="s">
        <v>1592</v>
      </c>
      <c r="AK20" s="2"/>
      <c r="AL20" s="1652" t="s">
        <v>1371</v>
      </c>
      <c r="AM20" s="1652"/>
      <c r="AN20" s="2"/>
      <c r="AO20" s="5">
        <v>1</v>
      </c>
    </row>
    <row r="21" spans="1:41" s="1" customFormat="1" ht="18" customHeight="1">
      <c r="A21"/>
      <c r="B21" s="5342"/>
      <c r="C21" s="5326"/>
      <c r="D21" s="5342"/>
      <c r="E21" s="5326"/>
      <c r="F21" s="5342"/>
      <c r="G21" s="5326"/>
      <c r="H21" s="5342"/>
      <c r="I21" s="5326"/>
      <c r="J21" s="5342"/>
      <c r="K21" s="5326"/>
      <c r="L21" s="5342"/>
      <c r="M21" s="5326"/>
      <c r="N21" s="5342"/>
      <c r="O21" s="5326"/>
      <c r="P21" s="5342"/>
      <c r="Q21" s="5326"/>
      <c r="R21" s="5342"/>
      <c r="S21" s="5326"/>
      <c r="T21" s="5326" t="s">
        <v>856</v>
      </c>
      <c r="U21" s="5326"/>
      <c r="V21" s="5326" t="s">
        <v>856</v>
      </c>
      <c r="W21" s="5326"/>
      <c r="X21" s="5326" t="s">
        <v>856</v>
      </c>
      <c r="Y21" s="5326"/>
      <c r="Z21" s="5326" t="s">
        <v>856</v>
      </c>
      <c r="AA21" s="5326"/>
      <c r="AB21" s="5326" t="s">
        <v>856</v>
      </c>
      <c r="AC21" s="5326"/>
      <c r="AD21" s="5326" t="s">
        <v>856</v>
      </c>
      <c r="AE21" s="5326"/>
      <c r="AF21" s="5326" t="s">
        <v>856</v>
      </c>
      <c r="AG21" s="5326"/>
      <c r="AH21" s="5326" t="s">
        <v>856</v>
      </c>
      <c r="AI21" s="5326"/>
      <c r="AJ21" s="5326" t="s">
        <v>856</v>
      </c>
      <c r="AK21" s="2"/>
      <c r="AL21" s="1652" t="s">
        <v>1373</v>
      </c>
      <c r="AM21" s="1652"/>
      <c r="AN21" s="2"/>
      <c r="AO21" s="5">
        <v>1</v>
      </c>
    </row>
    <row r="22" spans="1:41" s="1" customFormat="1" ht="18" customHeight="1">
      <c r="A22"/>
      <c r="B22" s="5349" t="s">
        <v>1374</v>
      </c>
      <c r="C22" s="5326"/>
      <c r="D22" s="5327" t="s">
        <v>1375</v>
      </c>
      <c r="E22" s="5326"/>
      <c r="F22" s="5328" t="s">
        <v>1376</v>
      </c>
      <c r="G22" s="5326"/>
      <c r="H22" s="5329" t="s">
        <v>1377</v>
      </c>
      <c r="I22" s="5326"/>
      <c r="J22" s="5330" t="s">
        <v>1378</v>
      </c>
      <c r="K22" s="5326"/>
      <c r="L22" s="5480" t="s">
        <v>1379</v>
      </c>
      <c r="M22" s="5326"/>
      <c r="N22" s="5331" t="s">
        <v>1367</v>
      </c>
      <c r="O22" s="5326"/>
      <c r="P22" s="5332" t="s">
        <v>1380</v>
      </c>
      <c r="Q22" s="5326"/>
      <c r="R22" s="5333" t="s">
        <v>1381</v>
      </c>
      <c r="S22" s="5326"/>
      <c r="T22" s="5350" t="s">
        <v>1593</v>
      </c>
      <c r="U22" s="5326"/>
      <c r="V22" s="5335" t="s">
        <v>1594</v>
      </c>
      <c r="W22" s="5326"/>
      <c r="X22" s="5336" t="s">
        <v>1595</v>
      </c>
      <c r="Y22" s="5326"/>
      <c r="Z22" s="5337" t="s">
        <v>1596</v>
      </c>
      <c r="AA22" s="5326"/>
      <c r="AB22" s="5338" t="s">
        <v>1597</v>
      </c>
      <c r="AC22" s="5326"/>
      <c r="AD22" s="5481" t="s">
        <v>1598</v>
      </c>
      <c r="AE22" s="5326"/>
      <c r="AF22" s="5339" t="s">
        <v>1591</v>
      </c>
      <c r="AG22" s="5326"/>
      <c r="AH22" s="5340" t="s">
        <v>1599</v>
      </c>
      <c r="AI22" s="5326"/>
      <c r="AJ22" s="5341" t="s">
        <v>1600</v>
      </c>
      <c r="AK22" s="2"/>
      <c r="AL22" s="1652" t="s">
        <v>1383</v>
      </c>
      <c r="AM22" s="1652"/>
      <c r="AN22" s="2"/>
      <c r="AO22" s="5">
        <v>1</v>
      </c>
    </row>
    <row r="23" spans="1:41" s="1" customFormat="1" ht="18" customHeight="1">
      <c r="A23"/>
      <c r="B23" s="5342"/>
      <c r="C23" s="5326"/>
      <c r="D23" s="5342"/>
      <c r="E23" s="5326"/>
      <c r="F23" s="5342"/>
      <c r="G23" s="5326"/>
      <c r="H23" s="5342"/>
      <c r="I23" s="5326"/>
      <c r="J23" s="5342"/>
      <c r="K23" s="5326"/>
      <c r="L23" s="5342"/>
      <c r="M23" s="5326"/>
      <c r="N23" s="5342"/>
      <c r="O23" s="5326"/>
      <c r="P23" s="5342"/>
      <c r="Q23" s="5326"/>
      <c r="R23" s="5342"/>
      <c r="S23" s="5326"/>
      <c r="T23" s="5326" t="s">
        <v>856</v>
      </c>
      <c r="U23" s="5326"/>
      <c r="V23" s="5326" t="s">
        <v>856</v>
      </c>
      <c r="W23" s="5326"/>
      <c r="X23" s="5326" t="s">
        <v>856</v>
      </c>
      <c r="Y23" s="5326"/>
      <c r="Z23" s="5326" t="s">
        <v>856</v>
      </c>
      <c r="AA23" s="5326"/>
      <c r="AB23" s="5326" t="s">
        <v>856</v>
      </c>
      <c r="AC23" s="5326"/>
      <c r="AD23" s="5326" t="s">
        <v>856</v>
      </c>
      <c r="AE23" s="5326"/>
      <c r="AF23" s="5326" t="s">
        <v>856</v>
      </c>
      <c r="AG23" s="5326"/>
      <c r="AH23" s="5326" t="s">
        <v>856</v>
      </c>
      <c r="AI23" s="5326"/>
      <c r="AJ23" s="5326" t="s">
        <v>856</v>
      </c>
      <c r="AK23" s="2"/>
      <c r="AL23" s="1652" t="s">
        <v>1385</v>
      </c>
      <c r="AM23" s="1652"/>
      <c r="AN23" s="2"/>
      <c r="AO23" s="5">
        <v>1</v>
      </c>
    </row>
    <row r="24" spans="1:41" s="1" customFormat="1" ht="18" customHeight="1">
      <c r="A24"/>
      <c r="B24" s="5351" t="s">
        <v>1386</v>
      </c>
      <c r="C24" s="5326"/>
      <c r="D24" s="5327" t="s">
        <v>1387</v>
      </c>
      <c r="E24" s="5326"/>
      <c r="F24" s="5328" t="s">
        <v>1388</v>
      </c>
      <c r="G24" s="5326"/>
      <c r="H24" s="5329" t="s">
        <v>1389</v>
      </c>
      <c r="I24" s="5326"/>
      <c r="J24" s="5330" t="s">
        <v>1390</v>
      </c>
      <c r="K24" s="5326"/>
      <c r="L24" s="5480" t="s">
        <v>1391</v>
      </c>
      <c r="M24" s="5326"/>
      <c r="N24" s="5331" t="s">
        <v>1380</v>
      </c>
      <c r="O24" s="5326"/>
      <c r="P24" s="5332" t="s">
        <v>1392</v>
      </c>
      <c r="Q24" s="5326"/>
      <c r="R24" s="5333" t="s">
        <v>1393</v>
      </c>
      <c r="S24" s="5326"/>
      <c r="T24" s="5352" t="s">
        <v>1601</v>
      </c>
      <c r="U24" s="5326"/>
      <c r="V24" s="5335" t="s">
        <v>1602</v>
      </c>
      <c r="W24" s="5326"/>
      <c r="X24" s="5336" t="s">
        <v>1603</v>
      </c>
      <c r="Y24" s="5326"/>
      <c r="Z24" s="5337" t="s">
        <v>1604</v>
      </c>
      <c r="AA24" s="5326"/>
      <c r="AB24" s="5338" t="s">
        <v>1605</v>
      </c>
      <c r="AC24" s="5326"/>
      <c r="AD24" s="5481" t="s">
        <v>1606</v>
      </c>
      <c r="AE24" s="5326"/>
      <c r="AF24" s="5339" t="s">
        <v>1599</v>
      </c>
      <c r="AG24" s="5326"/>
      <c r="AH24" s="5340" t="s">
        <v>1607</v>
      </c>
      <c r="AI24" s="5326"/>
      <c r="AJ24" s="5341" t="s">
        <v>1608</v>
      </c>
      <c r="AK24" s="2"/>
      <c r="AL24" s="1652" t="s">
        <v>1396</v>
      </c>
      <c r="AM24" s="1652"/>
      <c r="AN24" s="2"/>
      <c r="AO24" s="5">
        <v>1</v>
      </c>
    </row>
    <row r="25" spans="1:41" s="1" customFormat="1" ht="18" customHeight="1">
      <c r="B25" s="5342"/>
      <c r="C25" s="5326"/>
      <c r="D25" s="5342"/>
      <c r="E25" s="5326"/>
      <c r="F25" s="5342"/>
      <c r="G25" s="5326"/>
      <c r="H25" s="5342"/>
      <c r="I25" s="5326"/>
      <c r="J25" s="5342"/>
      <c r="K25" s="5326"/>
      <c r="L25" s="5342"/>
      <c r="M25" s="5326"/>
      <c r="N25" s="5342"/>
      <c r="O25" s="5326"/>
      <c r="P25" s="5342"/>
      <c r="Q25" s="5326"/>
      <c r="R25" s="5342"/>
      <c r="S25" s="5326"/>
      <c r="T25" s="5326" t="s">
        <v>856</v>
      </c>
      <c r="U25" s="5326"/>
      <c r="V25" s="5326" t="s">
        <v>856</v>
      </c>
      <c r="W25" s="5326"/>
      <c r="X25" s="5326" t="s">
        <v>856</v>
      </c>
      <c r="Y25" s="5326"/>
      <c r="Z25" s="5326" t="s">
        <v>856</v>
      </c>
      <c r="AA25" s="5326"/>
      <c r="AB25" s="5326" t="s">
        <v>856</v>
      </c>
      <c r="AC25" s="5326"/>
      <c r="AD25" s="5326" t="s">
        <v>856</v>
      </c>
      <c r="AE25" s="5326"/>
      <c r="AF25" s="5326" t="s">
        <v>856</v>
      </c>
      <c r="AG25" s="5326"/>
      <c r="AH25" s="5326" t="s">
        <v>856</v>
      </c>
      <c r="AI25" s="5326"/>
      <c r="AJ25" s="5326" t="s">
        <v>856</v>
      </c>
      <c r="AK25" s="2"/>
      <c r="AL25" s="1656">
        <v>12</v>
      </c>
      <c r="AM25" s="1656">
        <v>12</v>
      </c>
      <c r="AN25" s="2"/>
      <c r="AO25" s="5">
        <v>1</v>
      </c>
    </row>
    <row r="26" spans="1:41" s="1" customFormat="1" ht="18" customHeight="1">
      <c r="B26" s="5347" t="s">
        <v>1375</v>
      </c>
      <c r="C26" s="5326"/>
      <c r="D26" s="5327" t="s">
        <v>1398</v>
      </c>
      <c r="E26" s="5326"/>
      <c r="F26" s="5328" t="s">
        <v>1199</v>
      </c>
      <c r="G26" s="5326"/>
      <c r="H26" s="5329" t="s">
        <v>1399</v>
      </c>
      <c r="I26" s="5326"/>
      <c r="J26" s="5330" t="s">
        <v>1400</v>
      </c>
      <c r="K26" s="5326"/>
      <c r="L26" s="5480" t="s">
        <v>1401</v>
      </c>
      <c r="M26" s="5326"/>
      <c r="N26" s="5331" t="s">
        <v>1392</v>
      </c>
      <c r="O26" s="5326"/>
      <c r="P26" s="5332" t="s">
        <v>1402</v>
      </c>
      <c r="Q26" s="5326"/>
      <c r="R26" s="5333" t="s">
        <v>1403</v>
      </c>
      <c r="S26" s="5326"/>
      <c r="T26" s="5348" t="s">
        <v>1594</v>
      </c>
      <c r="U26" s="5326"/>
      <c r="V26" s="5335" t="s">
        <v>1609</v>
      </c>
      <c r="W26" s="5326"/>
      <c r="X26" s="5336" t="s">
        <v>1610</v>
      </c>
      <c r="Y26" s="5326"/>
      <c r="Z26" s="5337" t="s">
        <v>1611</v>
      </c>
      <c r="AA26" s="5326"/>
      <c r="AB26" s="5338" t="s">
        <v>1612</v>
      </c>
      <c r="AC26" s="5326"/>
      <c r="AD26" s="5481" t="s">
        <v>1613</v>
      </c>
      <c r="AE26" s="5326"/>
      <c r="AF26" s="5339" t="s">
        <v>1607</v>
      </c>
      <c r="AG26" s="5326"/>
      <c r="AH26" s="5340" t="s">
        <v>1614</v>
      </c>
      <c r="AI26" s="5326"/>
      <c r="AJ26" s="5341" t="s">
        <v>1615</v>
      </c>
      <c r="AK26" s="2"/>
      <c r="AL26" s="2"/>
      <c r="AM26" s="2"/>
      <c r="AN26" s="2"/>
      <c r="AO26" s="5">
        <v>1</v>
      </c>
    </row>
    <row r="27" spans="1:41" s="1" customFormat="1" ht="18" customHeight="1">
      <c r="B27" s="5342"/>
      <c r="C27" s="5326"/>
      <c r="D27" s="5342"/>
      <c r="E27" s="5326"/>
      <c r="F27" s="5342"/>
      <c r="G27" s="5326"/>
      <c r="H27" s="5342"/>
      <c r="I27" s="5326"/>
      <c r="J27" s="5342"/>
      <c r="K27" s="5326"/>
      <c r="L27" s="5342"/>
      <c r="M27" s="5326"/>
      <c r="N27" s="5342"/>
      <c r="O27" s="5326"/>
      <c r="P27" s="5342"/>
      <c r="Q27" s="5326"/>
      <c r="R27" s="5342"/>
      <c r="S27" s="5326"/>
      <c r="T27" s="5326" t="s">
        <v>856</v>
      </c>
      <c r="U27" s="5326"/>
      <c r="V27" s="5326" t="s">
        <v>856</v>
      </c>
      <c r="W27" s="5326"/>
      <c r="X27" s="5326" t="s">
        <v>856</v>
      </c>
      <c r="Y27" s="5326"/>
      <c r="Z27" s="5326" t="s">
        <v>856</v>
      </c>
      <c r="AA27" s="5326"/>
      <c r="AB27" s="5326" t="s">
        <v>856</v>
      </c>
      <c r="AC27" s="5326"/>
      <c r="AD27" s="5326" t="s">
        <v>856</v>
      </c>
      <c r="AE27" s="5326"/>
      <c r="AF27" s="5326" t="s">
        <v>856</v>
      </c>
      <c r="AG27" s="5326"/>
      <c r="AH27" s="5326" t="s">
        <v>856</v>
      </c>
      <c r="AI27" s="5326"/>
      <c r="AJ27" s="5326" t="s">
        <v>856</v>
      </c>
      <c r="AK27" s="2"/>
      <c r="AL27" s="2"/>
      <c r="AM27" s="2"/>
      <c r="AN27" s="2"/>
      <c r="AO27" s="5">
        <v>1</v>
      </c>
    </row>
    <row r="28" spans="1:41" s="1" customFormat="1" ht="18" customHeight="1">
      <c r="B28" s="5353" t="s">
        <v>1310</v>
      </c>
      <c r="C28" s="5326"/>
      <c r="D28" s="5327" t="s">
        <v>1406</v>
      </c>
      <c r="E28" s="5326"/>
      <c r="F28" s="5328" t="s">
        <v>1407</v>
      </c>
      <c r="G28" s="5326"/>
      <c r="H28" s="5329" t="s">
        <v>1408</v>
      </c>
      <c r="I28" s="5326"/>
      <c r="J28" s="5330" t="s">
        <v>1409</v>
      </c>
      <c r="K28" s="5326"/>
      <c r="L28" s="5480" t="s">
        <v>1410</v>
      </c>
      <c r="M28" s="5326"/>
      <c r="N28" s="5331" t="s">
        <v>1402</v>
      </c>
      <c r="O28" s="5326"/>
      <c r="P28" s="5332" t="s">
        <v>1411</v>
      </c>
      <c r="Q28" s="5326"/>
      <c r="R28" s="5333" t="s">
        <v>1412</v>
      </c>
      <c r="S28" s="5326"/>
      <c r="T28" s="5354" t="s">
        <v>1550</v>
      </c>
      <c r="U28" s="5326"/>
      <c r="V28" s="5335" t="s">
        <v>1616</v>
      </c>
      <c r="W28" s="5326"/>
      <c r="X28" s="5336" t="s">
        <v>1617</v>
      </c>
      <c r="Y28" s="5326"/>
      <c r="Z28" s="5337" t="s">
        <v>1618</v>
      </c>
      <c r="AA28" s="5326"/>
      <c r="AB28" s="5338" t="s">
        <v>1619</v>
      </c>
      <c r="AC28" s="5326"/>
      <c r="AD28" s="5481" t="s">
        <v>1620</v>
      </c>
      <c r="AE28" s="5326"/>
      <c r="AF28" s="5339" t="s">
        <v>1614</v>
      </c>
      <c r="AG28" s="5326"/>
      <c r="AH28" s="5340" t="s">
        <v>1621</v>
      </c>
      <c r="AI28" s="5326"/>
      <c r="AJ28" s="5341" t="s">
        <v>1622</v>
      </c>
      <c r="AK28" s="2"/>
      <c r="AL28" s="2"/>
      <c r="AM28" s="2"/>
      <c r="AN28" s="2"/>
      <c r="AO28" s="5">
        <v>1</v>
      </c>
    </row>
    <row r="29" spans="1:41" s="1" customFormat="1" ht="18" customHeight="1">
      <c r="B29" s="5342"/>
      <c r="C29" s="5326"/>
      <c r="D29" s="5342"/>
      <c r="E29" s="5326"/>
      <c r="F29" s="5342"/>
      <c r="G29" s="5326"/>
      <c r="H29" s="5342"/>
      <c r="I29" s="5326"/>
      <c r="J29" s="5342"/>
      <c r="K29" s="5326"/>
      <c r="L29" s="5342"/>
      <c r="M29" s="5326"/>
      <c r="N29" s="5342"/>
      <c r="O29" s="5326"/>
      <c r="P29" s="5342"/>
      <c r="Q29" s="5326"/>
      <c r="R29" s="5342"/>
      <c r="S29" s="5326"/>
      <c r="T29" s="5326" t="s">
        <v>856</v>
      </c>
      <c r="U29" s="5326"/>
      <c r="V29" s="5326" t="s">
        <v>856</v>
      </c>
      <c r="W29" s="5326"/>
      <c r="X29" s="5326" t="s">
        <v>856</v>
      </c>
      <c r="Y29" s="5326"/>
      <c r="Z29" s="5326" t="s">
        <v>856</v>
      </c>
      <c r="AA29" s="5326"/>
      <c r="AB29" s="5326" t="s">
        <v>856</v>
      </c>
      <c r="AC29" s="5326"/>
      <c r="AD29" s="5326" t="s">
        <v>856</v>
      </c>
      <c r="AE29" s="5326"/>
      <c r="AF29" s="5326" t="s">
        <v>856</v>
      </c>
      <c r="AG29" s="5326"/>
      <c r="AH29" s="5326" t="s">
        <v>856</v>
      </c>
      <c r="AI29" s="5326"/>
      <c r="AJ29" s="5326" t="s">
        <v>856</v>
      </c>
      <c r="AK29" s="2"/>
      <c r="AL29" s="2"/>
      <c r="AM29" s="2"/>
      <c r="AN29" s="2"/>
      <c r="AO29" s="5">
        <v>1</v>
      </c>
    </row>
    <row r="30" spans="1:41" s="1" customFormat="1" ht="18" customHeight="1">
      <c r="B30" s="5355" t="s">
        <v>1413</v>
      </c>
      <c r="C30" s="5326"/>
      <c r="D30" s="5327" t="s">
        <v>1414</v>
      </c>
      <c r="E30" s="5326"/>
      <c r="F30" s="5328" t="s">
        <v>1415</v>
      </c>
      <c r="G30" s="5326"/>
      <c r="H30" s="5329" t="s">
        <v>1416</v>
      </c>
      <c r="I30" s="5326"/>
      <c r="J30" s="5330" t="s">
        <v>1417</v>
      </c>
      <c r="K30" s="5326"/>
      <c r="L30" s="5480" t="s">
        <v>1418</v>
      </c>
      <c r="M30" s="5326"/>
      <c r="N30" s="5331" t="s">
        <v>1411</v>
      </c>
      <c r="O30" s="5326"/>
      <c r="P30" s="5332" t="s">
        <v>1419</v>
      </c>
      <c r="Q30" s="5326"/>
      <c r="R30" s="5333" t="s">
        <v>1420</v>
      </c>
      <c r="S30" s="5326"/>
      <c r="T30" s="5356" t="s">
        <v>1623</v>
      </c>
      <c r="U30" s="5326"/>
      <c r="V30" s="5335" t="s">
        <v>1624</v>
      </c>
      <c r="W30" s="5326"/>
      <c r="X30" s="5336" t="s">
        <v>1625</v>
      </c>
      <c r="Y30" s="5326"/>
      <c r="Z30" s="5337" t="s">
        <v>1626</v>
      </c>
      <c r="AA30" s="5326"/>
      <c r="AB30" s="5338" t="s">
        <v>1627</v>
      </c>
      <c r="AC30" s="5326"/>
      <c r="AD30" s="5481" t="s">
        <v>1628</v>
      </c>
      <c r="AE30" s="5326"/>
      <c r="AF30" s="5339" t="s">
        <v>1621</v>
      </c>
      <c r="AG30" s="5326"/>
      <c r="AH30" s="5340" t="s">
        <v>1629</v>
      </c>
      <c r="AI30" s="5326"/>
      <c r="AJ30" s="5341" t="s">
        <v>1630</v>
      </c>
      <c r="AK30" s="2"/>
      <c r="AL30" s="2"/>
      <c r="AM30" s="2"/>
      <c r="AN30" s="2"/>
      <c r="AO30" s="5">
        <v>1</v>
      </c>
    </row>
    <row r="31" spans="1:41" s="1" customFormat="1" ht="18" customHeight="1">
      <c r="B31" s="5342"/>
      <c r="C31" s="5326"/>
      <c r="D31" s="5342"/>
      <c r="E31" s="5326"/>
      <c r="F31" s="5342"/>
      <c r="G31" s="5326"/>
      <c r="H31" s="5342"/>
      <c r="I31" s="5326"/>
      <c r="J31" s="5342"/>
      <c r="K31" s="5326"/>
      <c r="L31" s="5342"/>
      <c r="M31" s="5326"/>
      <c r="N31" s="5342"/>
      <c r="O31" s="5326"/>
      <c r="P31" s="5342"/>
      <c r="Q31" s="5326"/>
      <c r="R31" s="5342"/>
      <c r="S31" s="5326"/>
      <c r="T31" s="5326" t="s">
        <v>856</v>
      </c>
      <c r="U31" s="5326"/>
      <c r="V31" s="5326" t="s">
        <v>856</v>
      </c>
      <c r="W31" s="5326"/>
      <c r="X31" s="5326" t="s">
        <v>856</v>
      </c>
      <c r="Y31" s="5326"/>
      <c r="Z31" s="5326" t="s">
        <v>856</v>
      </c>
      <c r="AA31" s="5326"/>
      <c r="AB31" s="5326" t="s">
        <v>856</v>
      </c>
      <c r="AC31" s="5326"/>
      <c r="AD31" s="5326" t="s">
        <v>856</v>
      </c>
      <c r="AE31" s="5326"/>
      <c r="AF31" s="5326" t="s">
        <v>856</v>
      </c>
      <c r="AG31" s="5326"/>
      <c r="AH31" s="5326" t="s">
        <v>856</v>
      </c>
      <c r="AI31" s="5326"/>
      <c r="AJ31" s="5326" t="s">
        <v>856</v>
      </c>
      <c r="AK31" s="2"/>
      <c r="AL31" s="2"/>
      <c r="AM31" s="2"/>
      <c r="AN31" s="2"/>
      <c r="AO31" s="5">
        <v>1</v>
      </c>
    </row>
    <row r="32" spans="1:41" s="1" customFormat="1" ht="18" customHeight="1">
      <c r="B32" s="5357" t="s">
        <v>1421</v>
      </c>
      <c r="C32" s="5326"/>
      <c r="D32" s="5327" t="s">
        <v>1422</v>
      </c>
      <c r="E32" s="5326"/>
      <c r="F32" s="5328" t="s">
        <v>1423</v>
      </c>
      <c r="G32" s="5326"/>
      <c r="H32" s="5329" t="s">
        <v>1424</v>
      </c>
      <c r="I32" s="5326"/>
      <c r="J32" s="5330" t="s">
        <v>1425</v>
      </c>
      <c r="K32" s="5326"/>
      <c r="L32" s="5480" t="s">
        <v>1426</v>
      </c>
      <c r="M32" s="5326"/>
      <c r="N32" s="5331" t="s">
        <v>1419</v>
      </c>
      <c r="O32" s="5326"/>
      <c r="P32" s="5332" t="s">
        <v>1427</v>
      </c>
      <c r="Q32" s="5326"/>
      <c r="R32" s="5333" t="s">
        <v>1428</v>
      </c>
      <c r="S32" s="5326"/>
      <c r="T32" s="5358" t="s">
        <v>1631</v>
      </c>
      <c r="U32" s="5326"/>
      <c r="V32" s="5335" t="s">
        <v>1632</v>
      </c>
      <c r="W32" s="5326"/>
      <c r="X32" s="5336" t="s">
        <v>1633</v>
      </c>
      <c r="Y32" s="5326"/>
      <c r="Z32" s="5337" t="s">
        <v>1634</v>
      </c>
      <c r="AA32" s="5326"/>
      <c r="AB32" s="5338" t="s">
        <v>1635</v>
      </c>
      <c r="AC32" s="5326"/>
      <c r="AD32" s="5481" t="s">
        <v>1636</v>
      </c>
      <c r="AE32" s="5326"/>
      <c r="AF32" s="5339" t="s">
        <v>1629</v>
      </c>
      <c r="AG32" s="5326"/>
      <c r="AH32" s="5340" t="s">
        <v>1637</v>
      </c>
      <c r="AI32" s="5326"/>
      <c r="AJ32" s="5341" t="s">
        <v>1638</v>
      </c>
      <c r="AK32" s="2"/>
      <c r="AL32" s="2"/>
      <c r="AM32" s="2"/>
      <c r="AN32" s="2"/>
      <c r="AO32" s="5">
        <v>1</v>
      </c>
    </row>
    <row r="33" spans="1:41" s="1" customFormat="1" ht="18" customHeight="1">
      <c r="B33" s="5342"/>
      <c r="C33" s="5326"/>
      <c r="D33" s="5342"/>
      <c r="E33" s="5326"/>
      <c r="F33" s="5342"/>
      <c r="G33" s="5326"/>
      <c r="H33" s="5342"/>
      <c r="I33" s="5326"/>
      <c r="J33" s="5342"/>
      <c r="K33" s="5326"/>
      <c r="L33" s="5342"/>
      <c r="M33" s="5326"/>
      <c r="N33" s="5342"/>
      <c r="O33" s="5326"/>
      <c r="P33" s="5342"/>
      <c r="Q33" s="5326"/>
      <c r="R33" s="5342"/>
      <c r="S33" s="5326"/>
      <c r="T33" s="5326" t="s">
        <v>856</v>
      </c>
      <c r="U33" s="5326"/>
      <c r="V33" s="5326" t="s">
        <v>856</v>
      </c>
      <c r="W33" s="5326"/>
      <c r="X33" s="5326" t="s">
        <v>856</v>
      </c>
      <c r="Y33" s="5326"/>
      <c r="Z33" s="5326" t="s">
        <v>856</v>
      </c>
      <c r="AA33" s="5326"/>
      <c r="AB33" s="5326" t="s">
        <v>856</v>
      </c>
      <c r="AC33" s="5326"/>
      <c r="AD33" s="5326" t="s">
        <v>856</v>
      </c>
      <c r="AE33" s="5326"/>
      <c r="AF33" s="5326" t="s">
        <v>856</v>
      </c>
      <c r="AG33" s="5326"/>
      <c r="AH33" s="5326" t="s">
        <v>856</v>
      </c>
      <c r="AI33" s="5326"/>
      <c r="AJ33" s="5326" t="s">
        <v>856</v>
      </c>
      <c r="AK33" s="2"/>
      <c r="AL33" s="2"/>
      <c r="AM33" s="2"/>
      <c r="AN33" s="2"/>
      <c r="AO33" s="5">
        <v>1</v>
      </c>
    </row>
    <row r="34" spans="1:41" s="1" customFormat="1" ht="18" customHeight="1">
      <c r="B34" s="5359" t="s">
        <v>1429</v>
      </c>
      <c r="C34" s="5326"/>
      <c r="D34" s="5327" t="s">
        <v>1430</v>
      </c>
      <c r="E34" s="5326"/>
      <c r="F34" s="5328" t="s">
        <v>1431</v>
      </c>
      <c r="G34" s="5326"/>
      <c r="H34" s="5329" t="s">
        <v>1432</v>
      </c>
      <c r="I34" s="5326"/>
      <c r="J34" s="5330" t="s">
        <v>1433</v>
      </c>
      <c r="K34" s="5326"/>
      <c r="L34" s="5480" t="s">
        <v>1434</v>
      </c>
      <c r="M34" s="5326"/>
      <c r="N34" s="5331" t="s">
        <v>1435</v>
      </c>
      <c r="O34" s="5326"/>
      <c r="P34" s="5332" t="s">
        <v>1436</v>
      </c>
      <c r="Q34" s="5326"/>
      <c r="R34" s="5333" t="s">
        <v>1437</v>
      </c>
      <c r="S34" s="5326"/>
      <c r="T34" s="5360" t="s">
        <v>1639</v>
      </c>
      <c r="U34" s="5326"/>
      <c r="V34" s="5335" t="s">
        <v>1640</v>
      </c>
      <c r="W34" s="5326"/>
      <c r="X34" s="5336" t="s">
        <v>1641</v>
      </c>
      <c r="Y34" s="5326"/>
      <c r="Z34" s="5337" t="s">
        <v>1642</v>
      </c>
      <c r="AA34" s="5326"/>
      <c r="AB34" s="5338" t="s">
        <v>1643</v>
      </c>
      <c r="AC34" s="5326"/>
      <c r="AD34" s="5481" t="s">
        <v>1644</v>
      </c>
      <c r="AE34" s="5326"/>
      <c r="AF34" s="5339" t="s">
        <v>1645</v>
      </c>
      <c r="AG34" s="5326"/>
      <c r="AH34" s="5340" t="s">
        <v>1646</v>
      </c>
      <c r="AI34" s="5326"/>
      <c r="AJ34" s="5341" t="s">
        <v>1647</v>
      </c>
      <c r="AK34" s="2"/>
      <c r="AL34" s="2"/>
      <c r="AM34" s="2"/>
      <c r="AN34" s="2"/>
      <c r="AO34" s="5">
        <v>1</v>
      </c>
    </row>
    <row r="35" spans="1:41" s="1" customFormat="1" ht="18" customHeight="1">
      <c r="B35" s="5342"/>
      <c r="C35" s="5326"/>
      <c r="D35" s="5342"/>
      <c r="E35" s="5326"/>
      <c r="F35" s="5342"/>
      <c r="G35" s="5326"/>
      <c r="H35" s="5342"/>
      <c r="I35" s="5326"/>
      <c r="J35" s="5342"/>
      <c r="K35" s="5326"/>
      <c r="L35" s="5342"/>
      <c r="M35" s="5326"/>
      <c r="N35" s="5342"/>
      <c r="O35" s="5326"/>
      <c r="P35" s="5342"/>
      <c r="Q35" s="5326"/>
      <c r="R35" s="5342"/>
      <c r="S35" s="5326"/>
      <c r="T35" s="5326" t="s">
        <v>856</v>
      </c>
      <c r="U35" s="5326"/>
      <c r="V35" s="5326" t="s">
        <v>856</v>
      </c>
      <c r="W35" s="5326"/>
      <c r="X35" s="5326" t="s">
        <v>856</v>
      </c>
      <c r="Y35" s="5326"/>
      <c r="Z35" s="5326" t="s">
        <v>856</v>
      </c>
      <c r="AA35" s="5326"/>
      <c r="AB35" s="5326" t="s">
        <v>856</v>
      </c>
      <c r="AC35" s="5326"/>
      <c r="AD35" s="5326" t="s">
        <v>856</v>
      </c>
      <c r="AE35" s="5326"/>
      <c r="AF35" s="5326" t="s">
        <v>856</v>
      </c>
      <c r="AG35" s="5326"/>
      <c r="AH35" s="5326" t="s">
        <v>856</v>
      </c>
      <c r="AI35" s="5326"/>
      <c r="AJ35" s="5326" t="s">
        <v>856</v>
      </c>
      <c r="AK35" s="2"/>
      <c r="AL35" s="2"/>
      <c r="AM35" s="2"/>
      <c r="AN35" s="2"/>
      <c r="AO35" s="5">
        <v>1</v>
      </c>
    </row>
    <row r="36" spans="1:41" s="1" customFormat="1" ht="18" customHeight="1">
      <c r="A36"/>
      <c r="B36" s="5361" t="s">
        <v>1438</v>
      </c>
      <c r="C36" s="5326"/>
      <c r="D36" s="5327" t="s">
        <v>1439</v>
      </c>
      <c r="E36" s="5326"/>
      <c r="F36" s="5328" t="s">
        <v>1440</v>
      </c>
      <c r="G36" s="5326"/>
      <c r="H36" s="5329" t="s">
        <v>1441</v>
      </c>
      <c r="I36" s="5326"/>
      <c r="J36" s="5330" t="s">
        <v>1442</v>
      </c>
      <c r="K36" s="5326"/>
      <c r="L36" s="5480" t="s">
        <v>1443</v>
      </c>
      <c r="M36" s="5326"/>
      <c r="N36" s="5331" t="s">
        <v>1427</v>
      </c>
      <c r="O36" s="5326"/>
      <c r="P36" s="5332" t="s">
        <v>1444</v>
      </c>
      <c r="Q36" s="5326"/>
      <c r="R36" s="5333" t="s">
        <v>1445</v>
      </c>
      <c r="S36" s="5326"/>
      <c r="T36" s="5362" t="s">
        <v>1648</v>
      </c>
      <c r="U36" s="5326"/>
      <c r="V36" s="5335" t="s">
        <v>1649</v>
      </c>
      <c r="W36" s="5326"/>
      <c r="X36" s="5336" t="s">
        <v>1650</v>
      </c>
      <c r="Y36" s="5326"/>
      <c r="Z36" s="5337" t="s">
        <v>1651</v>
      </c>
      <c r="AA36" s="5326"/>
      <c r="AB36" s="5338" t="s">
        <v>1652</v>
      </c>
      <c r="AC36" s="5326"/>
      <c r="AD36" s="5481" t="s">
        <v>1653</v>
      </c>
      <c r="AE36" s="5326"/>
      <c r="AF36" s="5339" t="s">
        <v>1637</v>
      </c>
      <c r="AG36" s="5326"/>
      <c r="AH36" s="5340" t="s">
        <v>1654</v>
      </c>
      <c r="AI36" s="5326"/>
      <c r="AJ36" s="5341" t="s">
        <v>1655</v>
      </c>
      <c r="AK36" s="2"/>
      <c r="AL36" s="2"/>
      <c r="AM36" s="2"/>
      <c r="AN36" s="2"/>
      <c r="AO36" s="5">
        <v>1</v>
      </c>
    </row>
    <row r="37" spans="1:41" s="1" customFormat="1" ht="18" customHeight="1">
      <c r="A37"/>
      <c r="B37" s="5342"/>
      <c r="C37" s="5326"/>
      <c r="D37" s="5342"/>
      <c r="E37" s="5326"/>
      <c r="F37" s="5342"/>
      <c r="G37" s="5326"/>
      <c r="H37" s="5342"/>
      <c r="I37" s="5326"/>
      <c r="J37" s="5342"/>
      <c r="K37" s="5326"/>
      <c r="L37" s="5342"/>
      <c r="M37" s="5326"/>
      <c r="N37" s="5342"/>
      <c r="O37" s="5326"/>
      <c r="P37" s="5342"/>
      <c r="Q37" s="5326"/>
      <c r="R37" s="5342"/>
      <c r="S37" s="5326"/>
      <c r="T37" s="5326" t="s">
        <v>856</v>
      </c>
      <c r="U37" s="5326"/>
      <c r="V37" s="5326" t="s">
        <v>856</v>
      </c>
      <c r="W37" s="5326"/>
      <c r="X37" s="5326" t="s">
        <v>856</v>
      </c>
      <c r="Y37" s="5326"/>
      <c r="Z37" s="5326" t="s">
        <v>856</v>
      </c>
      <c r="AA37" s="5326"/>
      <c r="AB37" s="5326" t="s">
        <v>856</v>
      </c>
      <c r="AC37" s="5326"/>
      <c r="AD37" s="5326" t="s">
        <v>856</v>
      </c>
      <c r="AE37" s="5326"/>
      <c r="AF37" s="5326" t="s">
        <v>856</v>
      </c>
      <c r="AG37" s="5326"/>
      <c r="AH37" s="5326" t="s">
        <v>856</v>
      </c>
      <c r="AI37" s="5326"/>
      <c r="AJ37" s="5326" t="s">
        <v>856</v>
      </c>
      <c r="AK37" s="2"/>
      <c r="AL37" s="2"/>
      <c r="AM37" s="2"/>
      <c r="AN37" s="2"/>
      <c r="AO37" s="5">
        <v>1</v>
      </c>
    </row>
    <row r="38" spans="1:41" s="1" customFormat="1" ht="18" customHeight="1">
      <c r="A38"/>
      <c r="B38" s="5363" t="s">
        <v>1446</v>
      </c>
      <c r="C38" s="5326"/>
      <c r="D38" s="5327" t="s">
        <v>1447</v>
      </c>
      <c r="E38" s="5326"/>
      <c r="F38" s="5328" t="s">
        <v>1448</v>
      </c>
      <c r="G38" s="5326"/>
      <c r="H38" s="5329" t="s">
        <v>1449</v>
      </c>
      <c r="I38" s="5326"/>
      <c r="J38" s="5330" t="s">
        <v>1450</v>
      </c>
      <c r="K38" s="5326"/>
      <c r="L38" s="5480" t="s">
        <v>1451</v>
      </c>
      <c r="M38" s="5326"/>
      <c r="N38" s="5331" t="s">
        <v>1452</v>
      </c>
      <c r="O38" s="5326"/>
      <c r="P38" s="5332" t="s">
        <v>1453</v>
      </c>
      <c r="Q38" s="5326"/>
      <c r="R38" s="5333" t="s">
        <v>1454</v>
      </c>
      <c r="S38" s="5326"/>
      <c r="T38" s="5364" t="s">
        <v>1656</v>
      </c>
      <c r="U38" s="5326"/>
      <c r="V38" s="5335" t="s">
        <v>1657</v>
      </c>
      <c r="W38" s="5326"/>
      <c r="X38" s="5336" t="s">
        <v>1658</v>
      </c>
      <c r="Y38" s="5326"/>
      <c r="Z38" s="5337" t="s">
        <v>1659</v>
      </c>
      <c r="AA38" s="5326"/>
      <c r="AB38" s="5338" t="s">
        <v>1660</v>
      </c>
      <c r="AC38" s="5326"/>
      <c r="AD38" s="5481" t="s">
        <v>1661</v>
      </c>
      <c r="AE38" s="5326"/>
      <c r="AF38" s="5339" t="s">
        <v>1662</v>
      </c>
      <c r="AG38" s="5326"/>
      <c r="AH38" s="5340" t="s">
        <v>1663</v>
      </c>
      <c r="AI38" s="5326"/>
      <c r="AJ38" s="5341" t="s">
        <v>1664</v>
      </c>
      <c r="AK38" s="2"/>
      <c r="AL38" s="2"/>
      <c r="AM38" s="2"/>
      <c r="AN38" s="2"/>
      <c r="AO38" s="5">
        <v>1</v>
      </c>
    </row>
    <row r="39" spans="1:41" s="1" customFormat="1" ht="18" customHeight="1">
      <c r="A39"/>
      <c r="B39" s="5342"/>
      <c r="C39" s="5326"/>
      <c r="D39" s="5342"/>
      <c r="E39" s="5326"/>
      <c r="F39" s="5342"/>
      <c r="G39" s="5326"/>
      <c r="H39" s="5342"/>
      <c r="I39" s="5326"/>
      <c r="J39" s="5342"/>
      <c r="K39" s="5326"/>
      <c r="L39" s="5342"/>
      <c r="M39" s="5326"/>
      <c r="N39" s="5342"/>
      <c r="O39" s="5326"/>
      <c r="P39" s="5342"/>
      <c r="Q39" s="5326"/>
      <c r="R39" s="5342"/>
      <c r="S39" s="5326"/>
      <c r="T39" s="5326" t="s">
        <v>856</v>
      </c>
      <c r="U39" s="5326"/>
      <c r="V39" s="5326" t="s">
        <v>856</v>
      </c>
      <c r="W39" s="5326"/>
      <c r="X39" s="5326" t="s">
        <v>856</v>
      </c>
      <c r="Y39" s="5326"/>
      <c r="Z39" s="5326" t="s">
        <v>856</v>
      </c>
      <c r="AA39" s="5326"/>
      <c r="AB39" s="5326" t="s">
        <v>856</v>
      </c>
      <c r="AC39" s="5326"/>
      <c r="AD39" s="5326" t="s">
        <v>856</v>
      </c>
      <c r="AE39" s="5326"/>
      <c r="AF39" s="5326" t="s">
        <v>856</v>
      </c>
      <c r="AG39" s="5326"/>
      <c r="AH39" s="5326" t="s">
        <v>856</v>
      </c>
      <c r="AI39" s="5326"/>
      <c r="AJ39" s="5326" t="s">
        <v>856</v>
      </c>
      <c r="AK39" s="2"/>
      <c r="AL39" s="2"/>
      <c r="AM39" s="2"/>
      <c r="AN39" s="2"/>
      <c r="AO39" s="5">
        <v>1</v>
      </c>
    </row>
    <row r="40" spans="1:41" s="1" customFormat="1" ht="18" customHeight="1">
      <c r="A40"/>
      <c r="B40" s="5365" t="s">
        <v>1455</v>
      </c>
      <c r="C40" s="5326"/>
      <c r="D40" s="5327" t="s">
        <v>1456</v>
      </c>
      <c r="E40" s="5326"/>
      <c r="F40" s="5328" t="s">
        <v>1457</v>
      </c>
      <c r="G40" s="5326"/>
      <c r="H40" s="5329" t="s">
        <v>1458</v>
      </c>
      <c r="I40" s="5326"/>
      <c r="J40" s="5330" t="s">
        <v>1221</v>
      </c>
      <c r="K40" s="5326"/>
      <c r="L40" s="5480" t="s">
        <v>1459</v>
      </c>
      <c r="M40" s="5326"/>
      <c r="N40" s="5331" t="s">
        <v>1436</v>
      </c>
      <c r="O40" s="5326"/>
      <c r="P40" s="5332" t="s">
        <v>1460</v>
      </c>
      <c r="Q40" s="5326"/>
      <c r="R40" s="5333" t="s">
        <v>1461</v>
      </c>
      <c r="S40" s="5326"/>
      <c r="T40" s="5366" t="s">
        <v>1665</v>
      </c>
      <c r="U40" s="5326"/>
      <c r="V40" s="5335" t="s">
        <v>1666</v>
      </c>
      <c r="W40" s="5326"/>
      <c r="X40" s="5336" t="s">
        <v>1667</v>
      </c>
      <c r="Y40" s="5326"/>
      <c r="Z40" s="5337" t="s">
        <v>1668</v>
      </c>
      <c r="AA40" s="5326"/>
      <c r="AB40" s="5338" t="s">
        <v>1669</v>
      </c>
      <c r="AC40" s="5326"/>
      <c r="AD40" s="5481" t="s">
        <v>1670</v>
      </c>
      <c r="AE40" s="5326"/>
      <c r="AF40" s="5339" t="s">
        <v>1646</v>
      </c>
      <c r="AG40" s="5326"/>
      <c r="AH40" s="5340" t="s">
        <v>1671</v>
      </c>
      <c r="AI40" s="5326"/>
      <c r="AJ40" s="5341" t="s">
        <v>1672</v>
      </c>
      <c r="AK40" s="2"/>
      <c r="AL40" s="2"/>
      <c r="AM40" s="2"/>
      <c r="AN40" s="2"/>
      <c r="AO40" s="5">
        <v>1</v>
      </c>
    </row>
    <row r="41" spans="1:41" s="1" customFormat="1" ht="18" customHeight="1">
      <c r="A41"/>
      <c r="B41" s="5342"/>
      <c r="C41" s="5326"/>
      <c r="D41" s="5342"/>
      <c r="E41" s="5326"/>
      <c r="F41" s="5342"/>
      <c r="G41" s="5326"/>
      <c r="H41" s="5342"/>
      <c r="I41" s="5326"/>
      <c r="J41" s="5326"/>
      <c r="K41" s="5326"/>
      <c r="L41" s="5342"/>
      <c r="M41" s="5326"/>
      <c r="N41" s="5342"/>
      <c r="O41" s="5326"/>
      <c r="P41" s="5342"/>
      <c r="Q41" s="5326"/>
      <c r="R41" s="5342"/>
      <c r="S41" s="5326"/>
      <c r="T41" s="5326" t="s">
        <v>856</v>
      </c>
      <c r="U41" s="5326"/>
      <c r="V41" s="5326" t="s">
        <v>856</v>
      </c>
      <c r="W41" s="5326"/>
      <c r="X41" s="5326" t="s">
        <v>856</v>
      </c>
      <c r="Y41" s="5326"/>
      <c r="Z41" s="5326" t="s">
        <v>856</v>
      </c>
      <c r="AA41" s="5326"/>
      <c r="AB41" s="5326"/>
      <c r="AC41" s="5326"/>
      <c r="AD41" s="5326" t="s">
        <v>856</v>
      </c>
      <c r="AE41" s="5326"/>
      <c r="AF41" s="5326" t="s">
        <v>856</v>
      </c>
      <c r="AG41" s="5326"/>
      <c r="AH41" s="5326" t="s">
        <v>856</v>
      </c>
      <c r="AI41" s="5326"/>
      <c r="AJ41" s="5326" t="s">
        <v>856</v>
      </c>
      <c r="AK41" s="2"/>
      <c r="AL41" s="2"/>
      <c r="AM41" s="2"/>
      <c r="AN41" s="2"/>
      <c r="AO41" s="5">
        <v>1</v>
      </c>
    </row>
    <row r="42" spans="1:41" s="1" customFormat="1" ht="18" customHeight="1">
      <c r="A42"/>
      <c r="B42" s="5367" t="s">
        <v>1462</v>
      </c>
      <c r="C42" s="5326"/>
      <c r="D42" s="5327" t="s">
        <v>1463</v>
      </c>
      <c r="E42" s="5326"/>
      <c r="F42" s="5328" t="s">
        <v>1464</v>
      </c>
      <c r="G42" s="5326"/>
      <c r="H42" s="5329" t="s">
        <v>1465</v>
      </c>
      <c r="I42" s="5326"/>
      <c r="J42" s="5326"/>
      <c r="K42" s="5326"/>
      <c r="L42" s="5480" t="s">
        <v>1466</v>
      </c>
      <c r="M42" s="5326"/>
      <c r="N42" s="5331" t="s">
        <v>1444</v>
      </c>
      <c r="O42" s="5326"/>
      <c r="P42" s="5332" t="s">
        <v>1467</v>
      </c>
      <c r="Q42" s="5326"/>
      <c r="R42" s="5333" t="s">
        <v>1468</v>
      </c>
      <c r="S42" s="5326"/>
      <c r="T42" s="5368" t="s">
        <v>1673</v>
      </c>
      <c r="U42" s="5326"/>
      <c r="V42" s="5335" t="s">
        <v>1674</v>
      </c>
      <c r="W42" s="5326"/>
      <c r="X42" s="5336" t="s">
        <v>1675</v>
      </c>
      <c r="Y42" s="5326"/>
      <c r="Z42" s="5337" t="s">
        <v>1676</v>
      </c>
      <c r="AA42" s="5326"/>
      <c r="AB42" s="5326"/>
      <c r="AC42" s="5326"/>
      <c r="AD42" s="5481" t="s">
        <v>1677</v>
      </c>
      <c r="AE42" s="5326"/>
      <c r="AF42" s="5339" t="s">
        <v>1654</v>
      </c>
      <c r="AG42" s="5326"/>
      <c r="AH42" s="5340" t="s">
        <v>1678</v>
      </c>
      <c r="AI42" s="5326"/>
      <c r="AJ42" s="5341" t="s">
        <v>1679</v>
      </c>
      <c r="AK42" s="2"/>
      <c r="AL42" s="2"/>
      <c r="AM42" s="2"/>
      <c r="AN42" s="2"/>
      <c r="AO42" s="5">
        <v>1</v>
      </c>
    </row>
    <row r="43" spans="1:41" s="1" customFormat="1" ht="18" customHeight="1">
      <c r="A43"/>
      <c r="B43" s="5342"/>
      <c r="C43" s="5326"/>
      <c r="D43" s="5342"/>
      <c r="E43" s="5326"/>
      <c r="F43" s="5342"/>
      <c r="G43" s="5326"/>
      <c r="H43" s="5342"/>
      <c r="I43" s="5326"/>
      <c r="J43" s="5326"/>
      <c r="K43" s="5326"/>
      <c r="L43" s="5342"/>
      <c r="M43" s="5326"/>
      <c r="N43" s="5342"/>
      <c r="O43" s="5326"/>
      <c r="P43" s="5342"/>
      <c r="Q43" s="5326"/>
      <c r="R43" s="5342"/>
      <c r="S43" s="5326"/>
      <c r="T43" s="5326" t="s">
        <v>856</v>
      </c>
      <c r="U43" s="5326"/>
      <c r="V43" s="5326" t="s">
        <v>856</v>
      </c>
      <c r="W43" s="5326"/>
      <c r="X43" s="5326" t="s">
        <v>856</v>
      </c>
      <c r="Y43" s="5326"/>
      <c r="Z43" s="5326" t="s">
        <v>856</v>
      </c>
      <c r="AA43" s="5326"/>
      <c r="AB43" s="5326"/>
      <c r="AC43" s="5326"/>
      <c r="AD43" s="5326" t="s">
        <v>856</v>
      </c>
      <c r="AE43" s="5326"/>
      <c r="AF43" s="5326" t="s">
        <v>856</v>
      </c>
      <c r="AG43" s="5326"/>
      <c r="AH43" s="5326" t="s">
        <v>856</v>
      </c>
      <c r="AI43" s="5326"/>
      <c r="AJ43" s="5326" t="s">
        <v>856</v>
      </c>
      <c r="AK43" s="2"/>
      <c r="AL43" s="2"/>
      <c r="AM43" s="2"/>
      <c r="AN43" s="2"/>
      <c r="AO43" s="5">
        <v>1</v>
      </c>
    </row>
    <row r="44" spans="1:41" s="1" customFormat="1" ht="18" customHeight="1">
      <c r="A44" s="187"/>
      <c r="B44" s="5369" t="s">
        <v>1469</v>
      </c>
      <c r="C44" s="5326"/>
      <c r="D44" s="5327" t="s">
        <v>1470</v>
      </c>
      <c r="E44" s="5326"/>
      <c r="F44" s="5328" t="s">
        <v>1471</v>
      </c>
      <c r="G44" s="5326"/>
      <c r="H44" s="5329" t="s">
        <v>1318</v>
      </c>
      <c r="I44" s="5326"/>
      <c r="J44" s="5326"/>
      <c r="K44" s="5326"/>
      <c r="L44" s="5480" t="s">
        <v>1472</v>
      </c>
      <c r="M44" s="5326"/>
      <c r="N44" s="5331" t="s">
        <v>1473</v>
      </c>
      <c r="O44" s="5326"/>
      <c r="P44" s="5332" t="s">
        <v>1474</v>
      </c>
      <c r="Q44" s="5326"/>
      <c r="R44" s="5333" t="s">
        <v>1475</v>
      </c>
      <c r="S44" s="5326"/>
      <c r="T44" s="5370" t="s">
        <v>1680</v>
      </c>
      <c r="U44" s="5326"/>
      <c r="V44" s="5335" t="s">
        <v>1681</v>
      </c>
      <c r="W44" s="5326"/>
      <c r="X44" s="5336" t="s">
        <v>1682</v>
      </c>
      <c r="Y44" s="5326"/>
      <c r="Z44" s="5337" t="s">
        <v>1556</v>
      </c>
      <c r="AA44" s="5326"/>
      <c r="AB44" s="5326"/>
      <c r="AC44" s="5326"/>
      <c r="AD44" s="5481" t="s">
        <v>1683</v>
      </c>
      <c r="AE44" s="5326"/>
      <c r="AF44" s="5339" t="s">
        <v>1684</v>
      </c>
      <c r="AG44" s="5326"/>
      <c r="AH44" s="5340" t="s">
        <v>1685</v>
      </c>
      <c r="AI44" s="5326"/>
      <c r="AJ44" s="5341" t="s">
        <v>1686</v>
      </c>
      <c r="AK44" s="2"/>
      <c r="AL44" s="2"/>
      <c r="AM44" s="2"/>
      <c r="AN44" s="2"/>
      <c r="AO44" s="5">
        <v>1</v>
      </c>
    </row>
    <row r="45" spans="1:41" s="1" customFormat="1" ht="18" customHeight="1">
      <c r="A45" s="187"/>
      <c r="B45" s="5342"/>
      <c r="C45" s="5326"/>
      <c r="D45" s="5342"/>
      <c r="E45" s="5326"/>
      <c r="F45" s="5342"/>
      <c r="G45" s="5326"/>
      <c r="H45" s="5342"/>
      <c r="I45" s="5326"/>
      <c r="J45" s="5326"/>
      <c r="K45" s="5326"/>
      <c r="L45" s="5342"/>
      <c r="M45" s="5326"/>
      <c r="N45" s="5342"/>
      <c r="O45" s="5326"/>
      <c r="P45" s="5342"/>
      <c r="Q45" s="5326"/>
      <c r="R45" s="5342"/>
      <c r="S45" s="5326"/>
      <c r="T45" s="5326" t="s">
        <v>856</v>
      </c>
      <c r="U45" s="5326"/>
      <c r="V45" s="5326" t="s">
        <v>856</v>
      </c>
      <c r="W45" s="5326"/>
      <c r="X45" s="5326" t="s">
        <v>856</v>
      </c>
      <c r="Y45" s="5326"/>
      <c r="Z45" s="5326"/>
      <c r="AA45" s="5326"/>
      <c r="AB45" s="5326"/>
      <c r="AC45" s="5326"/>
      <c r="AD45" s="5326" t="s">
        <v>856</v>
      </c>
      <c r="AE45" s="5326"/>
      <c r="AF45" s="5326" t="s">
        <v>856</v>
      </c>
      <c r="AG45" s="5326"/>
      <c r="AH45" s="5326" t="s">
        <v>856</v>
      </c>
      <c r="AI45" s="5326"/>
      <c r="AJ45" s="5326" t="s">
        <v>856</v>
      </c>
      <c r="AK45" s="2"/>
      <c r="AL45" s="2"/>
      <c r="AM45" s="2"/>
      <c r="AN45" s="2"/>
      <c r="AO45" s="5">
        <v>1</v>
      </c>
    </row>
    <row r="46" spans="1:41" s="1" customFormat="1" ht="18" customHeight="1">
      <c r="A46" s="187"/>
      <c r="B46" s="5480" t="s">
        <v>1476</v>
      </c>
      <c r="C46" s="5326"/>
      <c r="D46" s="5327" t="s">
        <v>1477</v>
      </c>
      <c r="E46" s="5326"/>
      <c r="F46" s="5328" t="s">
        <v>1478</v>
      </c>
      <c r="G46" s="5326"/>
      <c r="H46" s="5329"/>
      <c r="I46" s="5326"/>
      <c r="J46" s="5326"/>
      <c r="K46" s="5326"/>
      <c r="L46" s="5480" t="s">
        <v>1479</v>
      </c>
      <c r="M46" s="5326"/>
      <c r="N46" s="5331" t="s">
        <v>1453</v>
      </c>
      <c r="O46" s="5326"/>
      <c r="P46" s="5332" t="s">
        <v>1480</v>
      </c>
      <c r="Q46" s="5326"/>
      <c r="R46" s="5333" t="s">
        <v>1481</v>
      </c>
      <c r="S46" s="5326"/>
      <c r="T46" s="5481" t="s">
        <v>1687</v>
      </c>
      <c r="U46" s="5326"/>
      <c r="V46" s="5335" t="s">
        <v>1688</v>
      </c>
      <c r="W46" s="5326"/>
      <c r="X46" s="5336" t="s">
        <v>1689</v>
      </c>
      <c r="Y46" s="5326"/>
      <c r="Z46" s="5337"/>
      <c r="AA46" s="5326"/>
      <c r="AB46" s="5326"/>
      <c r="AC46" s="5326"/>
      <c r="AD46" s="5481" t="s">
        <v>1690</v>
      </c>
      <c r="AE46" s="5326"/>
      <c r="AF46" s="5339" t="s">
        <v>1663</v>
      </c>
      <c r="AG46" s="5326"/>
      <c r="AH46" s="5340" t="s">
        <v>1691</v>
      </c>
      <c r="AI46" s="5326"/>
      <c r="AJ46" s="5341" t="s">
        <v>1692</v>
      </c>
      <c r="AK46" s="2"/>
      <c r="AL46" s="2"/>
      <c r="AM46" s="2"/>
      <c r="AN46" s="2"/>
      <c r="AO46" s="5">
        <v>1</v>
      </c>
    </row>
    <row r="47" spans="1:41" s="1" customFormat="1" ht="18" customHeight="1">
      <c r="A47" s="187"/>
      <c r="B47" s="5342"/>
      <c r="C47" s="5326"/>
      <c r="D47" s="5342"/>
      <c r="E47" s="5326"/>
      <c r="F47" s="5326"/>
      <c r="G47" s="5326"/>
      <c r="H47" s="5326"/>
      <c r="I47" s="5326"/>
      <c r="J47" s="5326"/>
      <c r="K47" s="5326"/>
      <c r="L47" s="5342"/>
      <c r="M47" s="5326"/>
      <c r="N47" s="5342"/>
      <c r="O47" s="5326"/>
      <c r="P47" s="5342"/>
      <c r="Q47" s="5326"/>
      <c r="R47" s="5342"/>
      <c r="S47" s="5326"/>
      <c r="T47" s="5326" t="s">
        <v>856</v>
      </c>
      <c r="U47" s="5326"/>
      <c r="V47" s="5326" t="s">
        <v>856</v>
      </c>
      <c r="W47" s="5326"/>
      <c r="X47" s="5326"/>
      <c r="Y47" s="5326"/>
      <c r="Z47" s="5326"/>
      <c r="AA47" s="5326"/>
      <c r="AB47" s="5326"/>
      <c r="AC47" s="5326"/>
      <c r="AD47" s="5326" t="s">
        <v>856</v>
      </c>
      <c r="AE47" s="5326"/>
      <c r="AF47" s="5326" t="s">
        <v>856</v>
      </c>
      <c r="AG47" s="5326"/>
      <c r="AH47" s="5326" t="s">
        <v>856</v>
      </c>
      <c r="AI47" s="5326"/>
      <c r="AJ47" s="5326" t="s">
        <v>856</v>
      </c>
      <c r="AK47" s="2"/>
      <c r="AL47" s="2"/>
      <c r="AM47" s="2"/>
      <c r="AN47" s="2"/>
      <c r="AO47" s="5">
        <v>1</v>
      </c>
    </row>
    <row r="48" spans="1:41" s="1" customFormat="1" ht="18" customHeight="1">
      <c r="A48" s="187"/>
      <c r="B48" s="5371" t="s">
        <v>1482</v>
      </c>
      <c r="C48" s="5326"/>
      <c r="D48" s="5327" t="s">
        <v>1483</v>
      </c>
      <c r="E48" s="5326"/>
      <c r="F48" s="5326"/>
      <c r="G48" s="5326"/>
      <c r="H48" s="5326"/>
      <c r="I48" s="5326"/>
      <c r="J48" s="5326"/>
      <c r="K48" s="5326"/>
      <c r="L48" s="5480" t="s">
        <v>1484</v>
      </c>
      <c r="M48" s="5326"/>
      <c r="N48" s="5331" t="s">
        <v>1485</v>
      </c>
      <c r="O48" s="5326"/>
      <c r="P48" s="5332" t="s">
        <v>1486</v>
      </c>
      <c r="Q48" s="5326"/>
      <c r="R48" s="5333" t="s">
        <v>1487</v>
      </c>
      <c r="S48" s="5326"/>
      <c r="T48" s="5372" t="s">
        <v>1693</v>
      </c>
      <c r="U48" s="5326"/>
      <c r="V48" s="5335" t="s">
        <v>1694</v>
      </c>
      <c r="W48" s="5326"/>
      <c r="X48" s="5326"/>
      <c r="Y48" s="5326"/>
      <c r="Z48" s="5326"/>
      <c r="AA48" s="5326"/>
      <c r="AB48" s="5326"/>
      <c r="AC48" s="5326"/>
      <c r="AD48" s="5481" t="s">
        <v>1695</v>
      </c>
      <c r="AE48" s="5326"/>
      <c r="AF48" s="5339" t="s">
        <v>1696</v>
      </c>
      <c r="AG48" s="5326"/>
      <c r="AH48" s="5340" t="s">
        <v>1697</v>
      </c>
      <c r="AI48" s="5326"/>
      <c r="AJ48" s="5341" t="s">
        <v>1698</v>
      </c>
      <c r="AK48" s="2"/>
      <c r="AL48" s="2"/>
      <c r="AM48" s="2"/>
      <c r="AN48" s="2"/>
      <c r="AO48" s="5">
        <v>1</v>
      </c>
    </row>
    <row r="49" spans="1:41" s="1" customFormat="1" ht="18" customHeight="1">
      <c r="A49" s="187"/>
      <c r="B49" s="5342"/>
      <c r="C49" s="5326"/>
      <c r="D49" s="5342"/>
      <c r="E49" s="5326"/>
      <c r="F49" s="5326"/>
      <c r="G49" s="5326"/>
      <c r="H49" s="5326"/>
      <c r="I49" s="5326"/>
      <c r="J49" s="5326"/>
      <c r="K49" s="5326"/>
      <c r="L49" s="5342"/>
      <c r="M49" s="5326"/>
      <c r="N49" s="5342"/>
      <c r="O49" s="5326"/>
      <c r="P49" s="5342"/>
      <c r="Q49" s="5326"/>
      <c r="R49" s="5342"/>
      <c r="S49" s="5326"/>
      <c r="T49" s="5326" t="s">
        <v>856</v>
      </c>
      <c r="U49" s="5326"/>
      <c r="V49" s="5326" t="s">
        <v>856</v>
      </c>
      <c r="W49" s="5326"/>
      <c r="X49" s="5326"/>
      <c r="Y49" s="5326"/>
      <c r="Z49" s="5326"/>
      <c r="AA49" s="5326"/>
      <c r="AB49" s="5326"/>
      <c r="AC49" s="5326"/>
      <c r="AD49" s="5326" t="s">
        <v>856</v>
      </c>
      <c r="AE49" s="5326"/>
      <c r="AF49" s="5326" t="s">
        <v>856</v>
      </c>
      <c r="AG49" s="5326"/>
      <c r="AH49" s="5326" t="s">
        <v>856</v>
      </c>
      <c r="AI49" s="5326"/>
      <c r="AJ49" s="5326" t="s">
        <v>856</v>
      </c>
      <c r="AK49" s="2"/>
      <c r="AL49" s="2"/>
      <c r="AM49" s="2"/>
      <c r="AN49" s="2"/>
      <c r="AO49" s="5">
        <v>1</v>
      </c>
    </row>
    <row r="50" spans="1:41" s="1" customFormat="1" ht="18" customHeight="1">
      <c r="A50" s="187"/>
      <c r="B50" s="5325" t="s">
        <v>1488</v>
      </c>
      <c r="C50" s="5326"/>
      <c r="D50" s="5327" t="s">
        <v>1489</v>
      </c>
      <c r="E50" s="5326"/>
      <c r="F50" s="5326"/>
      <c r="G50" s="5326"/>
      <c r="H50" s="5326"/>
      <c r="I50" s="5326"/>
      <c r="J50" s="5326"/>
      <c r="K50" s="5326"/>
      <c r="L50" s="5480" t="s">
        <v>1490</v>
      </c>
      <c r="M50" s="5326"/>
      <c r="N50" s="5331" t="s">
        <v>1460</v>
      </c>
      <c r="O50" s="5326"/>
      <c r="P50" s="5332" t="s">
        <v>1491</v>
      </c>
      <c r="Q50" s="5326"/>
      <c r="R50" s="5333" t="s">
        <v>1492</v>
      </c>
      <c r="S50" s="5326"/>
      <c r="T50" s="5334" t="s">
        <v>1699</v>
      </c>
      <c r="U50" s="5326"/>
      <c r="V50" s="5335" t="s">
        <v>1700</v>
      </c>
      <c r="W50" s="5326"/>
      <c r="X50" s="5326"/>
      <c r="Y50" s="5326"/>
      <c r="Z50" s="5326"/>
      <c r="AA50" s="5326"/>
      <c r="AB50" s="5326"/>
      <c r="AC50" s="5326"/>
      <c r="AD50" s="5481" t="s">
        <v>1701</v>
      </c>
      <c r="AE50" s="5326"/>
      <c r="AF50" s="5339" t="s">
        <v>1671</v>
      </c>
      <c r="AG50" s="5326"/>
      <c r="AH50" s="5340" t="s">
        <v>1702</v>
      </c>
      <c r="AI50" s="5326"/>
      <c r="AJ50" s="5341" t="s">
        <v>1703</v>
      </c>
      <c r="AK50" s="2"/>
      <c r="AL50" s="2"/>
      <c r="AM50" s="2"/>
      <c r="AN50" s="2"/>
      <c r="AO50" s="5">
        <v>1</v>
      </c>
    </row>
    <row r="51" spans="1:41" s="1" customFormat="1" ht="18" customHeight="1">
      <c r="A51" s="187"/>
      <c r="B51" s="5342"/>
      <c r="C51" s="5326"/>
      <c r="D51" s="5342"/>
      <c r="E51" s="5326"/>
      <c r="F51" s="5326"/>
      <c r="G51" s="5326"/>
      <c r="H51" s="5326"/>
      <c r="I51" s="5326"/>
      <c r="J51" s="5326"/>
      <c r="K51" s="5326"/>
      <c r="L51" s="5342"/>
      <c r="M51" s="5326"/>
      <c r="N51" s="5342"/>
      <c r="O51" s="5326"/>
      <c r="P51" s="5342"/>
      <c r="Q51" s="5326"/>
      <c r="R51" s="5326"/>
      <c r="S51" s="5326"/>
      <c r="T51" s="5326" t="s">
        <v>856</v>
      </c>
      <c r="U51" s="5326"/>
      <c r="V51" s="5326" t="s">
        <v>856</v>
      </c>
      <c r="W51" s="5326"/>
      <c r="X51" s="5326"/>
      <c r="Y51" s="5326"/>
      <c r="Z51" s="5326"/>
      <c r="AA51" s="5326"/>
      <c r="AB51" s="5326"/>
      <c r="AC51" s="5326"/>
      <c r="AD51" s="5326" t="s">
        <v>856</v>
      </c>
      <c r="AE51" s="5326"/>
      <c r="AF51" s="5326" t="s">
        <v>856</v>
      </c>
      <c r="AG51" s="5326"/>
      <c r="AH51" s="5326" t="s">
        <v>856</v>
      </c>
      <c r="AI51" s="5326"/>
      <c r="AJ51" s="5326"/>
      <c r="AK51" s="2"/>
      <c r="AL51" s="2"/>
      <c r="AM51" s="2"/>
      <c r="AN51" s="2"/>
      <c r="AO51" s="5">
        <v>1</v>
      </c>
    </row>
    <row r="52" spans="1:41" s="1" customFormat="1" ht="18" customHeight="1">
      <c r="A52" s="187"/>
      <c r="B52" s="5325" t="s">
        <v>1472</v>
      </c>
      <c r="C52" s="5326"/>
      <c r="D52" s="5327" t="s">
        <v>1493</v>
      </c>
      <c r="E52" s="5326"/>
      <c r="F52" s="5326"/>
      <c r="G52" s="5326"/>
      <c r="H52" s="5326"/>
      <c r="I52" s="5326"/>
      <c r="J52" s="5326"/>
      <c r="K52" s="5326"/>
      <c r="L52" s="5480" t="s">
        <v>1494</v>
      </c>
      <c r="M52" s="5326"/>
      <c r="N52" s="5331" t="s">
        <v>1495</v>
      </c>
      <c r="O52" s="5326"/>
      <c r="P52" s="5332" t="s">
        <v>1496</v>
      </c>
      <c r="Q52" s="5326"/>
      <c r="R52" s="5326"/>
      <c r="S52" s="5326"/>
      <c r="T52" s="5334" t="s">
        <v>1683</v>
      </c>
      <c r="U52" s="5326"/>
      <c r="V52" s="5335" t="s">
        <v>1704</v>
      </c>
      <c r="W52" s="5326"/>
      <c r="X52" s="5326"/>
      <c r="Y52" s="5326"/>
      <c r="Z52" s="5326"/>
      <c r="AA52" s="5326"/>
      <c r="AB52" s="5326"/>
      <c r="AC52" s="5326"/>
      <c r="AD52" s="5481" t="s">
        <v>1705</v>
      </c>
      <c r="AE52" s="5326"/>
      <c r="AF52" s="5339" t="s">
        <v>1706</v>
      </c>
      <c r="AG52" s="5326"/>
      <c r="AH52" s="5340" t="s">
        <v>1707</v>
      </c>
      <c r="AI52" s="5326"/>
      <c r="AJ52" s="5326"/>
      <c r="AK52" s="2"/>
      <c r="AL52" s="2"/>
      <c r="AM52" s="2"/>
      <c r="AN52" s="2"/>
      <c r="AO52" s="5">
        <v>1</v>
      </c>
    </row>
    <row r="53" spans="1:41" s="1" customFormat="1" ht="18" customHeight="1">
      <c r="A53" s="187"/>
      <c r="B53" s="5342"/>
      <c r="C53" s="5326"/>
      <c r="D53" s="5342"/>
      <c r="E53" s="5326"/>
      <c r="F53" s="5326"/>
      <c r="G53" s="5326"/>
      <c r="H53" s="5326"/>
      <c r="I53" s="5326"/>
      <c r="J53" s="5326"/>
      <c r="K53" s="5326"/>
      <c r="L53" s="5342"/>
      <c r="M53" s="5326"/>
      <c r="N53" s="5342"/>
      <c r="O53" s="5326"/>
      <c r="P53" s="5342"/>
      <c r="Q53" s="5326"/>
      <c r="R53" s="5326"/>
      <c r="S53" s="5326"/>
      <c r="T53" s="5326" t="s">
        <v>856</v>
      </c>
      <c r="U53" s="5326"/>
      <c r="V53" s="5326" t="s">
        <v>856</v>
      </c>
      <c r="W53" s="5326"/>
      <c r="X53" s="5326"/>
      <c r="Y53" s="5326"/>
      <c r="Z53" s="5326"/>
      <c r="AA53" s="5326"/>
      <c r="AB53" s="5326"/>
      <c r="AC53" s="5326"/>
      <c r="AD53" s="5326" t="s">
        <v>856</v>
      </c>
      <c r="AE53" s="5326"/>
      <c r="AF53" s="5326" t="s">
        <v>856</v>
      </c>
      <c r="AG53" s="5326"/>
      <c r="AH53" s="5326" t="s">
        <v>856</v>
      </c>
      <c r="AI53" s="5326"/>
      <c r="AJ53" s="5326"/>
      <c r="AK53" s="2"/>
      <c r="AL53" s="2"/>
      <c r="AM53" s="2"/>
      <c r="AN53" s="2"/>
      <c r="AO53" s="5">
        <v>1</v>
      </c>
    </row>
    <row r="54" spans="1:41" s="1" customFormat="1" ht="18" customHeight="1">
      <c r="A54" s="187"/>
      <c r="B54" s="5325" t="s">
        <v>1410</v>
      </c>
      <c r="C54" s="5326"/>
      <c r="D54" s="5327" t="s">
        <v>1497</v>
      </c>
      <c r="E54" s="5326"/>
      <c r="F54" s="5326"/>
      <c r="G54" s="5326"/>
      <c r="H54" s="5326"/>
      <c r="I54" s="5326"/>
      <c r="J54" s="5326"/>
      <c r="K54" s="5326"/>
      <c r="L54" s="5480" t="s">
        <v>1498</v>
      </c>
      <c r="M54" s="5326"/>
      <c r="N54" s="5331" t="s">
        <v>1467</v>
      </c>
      <c r="O54" s="5326"/>
      <c r="P54" s="5332" t="s">
        <v>1499</v>
      </c>
      <c r="Q54" s="5326"/>
      <c r="R54" s="5326"/>
      <c r="S54" s="5326"/>
      <c r="T54" s="5334" t="s">
        <v>1620</v>
      </c>
      <c r="U54" s="5326"/>
      <c r="V54" s="5335" t="s">
        <v>1708</v>
      </c>
      <c r="W54" s="5326"/>
      <c r="X54" s="5326"/>
      <c r="Y54" s="5326"/>
      <c r="Z54" s="5326"/>
      <c r="AA54" s="5326"/>
      <c r="AB54" s="5326"/>
      <c r="AC54" s="5326"/>
      <c r="AD54" s="5481" t="s">
        <v>1709</v>
      </c>
      <c r="AE54" s="5326"/>
      <c r="AF54" s="5339" t="s">
        <v>1678</v>
      </c>
      <c r="AG54" s="5326"/>
      <c r="AH54" s="5340" t="s">
        <v>1710</v>
      </c>
      <c r="AI54" s="5326"/>
      <c r="AJ54" s="5326"/>
      <c r="AK54" s="2"/>
      <c r="AL54" s="2"/>
      <c r="AM54" s="2"/>
      <c r="AN54" s="2"/>
      <c r="AO54" s="5">
        <v>1</v>
      </c>
    </row>
    <row r="55" spans="1:41" s="1" customFormat="1" ht="18" customHeight="1">
      <c r="A55" s="187"/>
      <c r="B55" s="5342"/>
      <c r="C55" s="5326"/>
      <c r="D55" s="5342"/>
      <c r="E55" s="5326"/>
      <c r="F55" s="5326"/>
      <c r="G55" s="5326"/>
      <c r="H55" s="5326"/>
      <c r="I55" s="5326"/>
      <c r="J55" s="5326"/>
      <c r="K55" s="5326"/>
      <c r="L55" s="5326"/>
      <c r="M55" s="5326"/>
      <c r="N55" s="5342"/>
      <c r="O55" s="5326"/>
      <c r="P55" s="5342"/>
      <c r="Q55" s="5326"/>
      <c r="R55" s="5326"/>
      <c r="S55" s="5326"/>
      <c r="T55" s="5326" t="s">
        <v>856</v>
      </c>
      <c r="U55" s="5326"/>
      <c r="V55" s="5326" t="s">
        <v>856</v>
      </c>
      <c r="W55" s="5326"/>
      <c r="X55" s="5326"/>
      <c r="Y55" s="5326"/>
      <c r="Z55" s="5326"/>
      <c r="AA55" s="5326"/>
      <c r="AB55" s="5326"/>
      <c r="AC55" s="5326"/>
      <c r="AD55" s="5326"/>
      <c r="AE55" s="5326"/>
      <c r="AF55" s="5326" t="s">
        <v>856</v>
      </c>
      <c r="AG55" s="5326"/>
      <c r="AH55" s="5326" t="s">
        <v>856</v>
      </c>
      <c r="AI55" s="5326"/>
      <c r="AJ55" s="5326"/>
      <c r="AK55" s="2"/>
      <c r="AL55" s="2"/>
      <c r="AM55" s="2"/>
      <c r="AN55" s="2"/>
      <c r="AO55" s="5">
        <v>1</v>
      </c>
    </row>
    <row r="56" spans="1:41" s="1" customFormat="1" ht="18" customHeight="1">
      <c r="A56" s="187"/>
      <c r="B56" s="5325" t="s">
        <v>1500</v>
      </c>
      <c r="C56" s="5326"/>
      <c r="D56" s="5327" t="s">
        <v>1501</v>
      </c>
      <c r="E56" s="5326"/>
      <c r="F56" s="5326"/>
      <c r="G56" s="5326"/>
      <c r="H56" s="5326"/>
      <c r="I56" s="5326"/>
      <c r="J56" s="5326"/>
      <c r="K56" s="5326"/>
      <c r="L56" s="5326"/>
      <c r="M56" s="5326"/>
      <c r="N56" s="5331" t="s">
        <v>1474</v>
      </c>
      <c r="O56" s="5326"/>
      <c r="P56" s="5332" t="s">
        <v>1101</v>
      </c>
      <c r="Q56" s="5326"/>
      <c r="R56" s="5326"/>
      <c r="S56" s="5326"/>
      <c r="T56" s="5334" t="s">
        <v>1711</v>
      </c>
      <c r="U56" s="5326"/>
      <c r="V56" s="5335" t="s">
        <v>1712</v>
      </c>
      <c r="W56" s="5326"/>
      <c r="X56" s="5326"/>
      <c r="Y56" s="5326"/>
      <c r="Z56" s="5326"/>
      <c r="AA56" s="5326"/>
      <c r="AB56" s="5326"/>
      <c r="AC56" s="5326"/>
      <c r="AD56" s="5326"/>
      <c r="AE56" s="5326"/>
      <c r="AF56" s="5339" t="s">
        <v>1685</v>
      </c>
      <c r="AG56" s="5326"/>
      <c r="AH56" s="5340" t="s">
        <v>1713</v>
      </c>
      <c r="AI56" s="5326"/>
      <c r="AJ56" s="5326"/>
      <c r="AK56" s="2"/>
      <c r="AL56" s="2"/>
      <c r="AM56" s="2"/>
      <c r="AN56" s="2"/>
      <c r="AO56" s="5">
        <v>1</v>
      </c>
    </row>
    <row r="57" spans="1:41" s="1" customFormat="1" ht="18" customHeight="1">
      <c r="B57" s="5342"/>
      <c r="C57" s="5326"/>
      <c r="D57" s="5342"/>
      <c r="E57" s="5326"/>
      <c r="F57" s="5326"/>
      <c r="G57" s="5326"/>
      <c r="H57" s="5326"/>
      <c r="I57" s="5326"/>
      <c r="J57" s="5326"/>
      <c r="K57" s="5326"/>
      <c r="L57" s="5326"/>
      <c r="M57" s="5326"/>
      <c r="N57" s="5342"/>
      <c r="O57" s="5326"/>
      <c r="P57" s="5342"/>
      <c r="Q57" s="5326"/>
      <c r="R57" s="5326"/>
      <c r="S57" s="5326"/>
      <c r="T57" s="5326" t="s">
        <v>856</v>
      </c>
      <c r="U57" s="5326"/>
      <c r="V57" s="5326" t="s">
        <v>856</v>
      </c>
      <c r="W57" s="5326"/>
      <c r="X57" s="5326"/>
      <c r="Y57" s="5326"/>
      <c r="Z57" s="5326"/>
      <c r="AA57" s="5326"/>
      <c r="AB57" s="5326"/>
      <c r="AC57" s="5326"/>
      <c r="AD57" s="5326"/>
      <c r="AE57" s="5326"/>
      <c r="AF57" s="5326" t="s">
        <v>856</v>
      </c>
      <c r="AG57" s="5326"/>
      <c r="AH57" s="5326" t="s">
        <v>856</v>
      </c>
      <c r="AI57" s="5326"/>
      <c r="AJ57" s="5326"/>
      <c r="AK57" s="2"/>
      <c r="AL57" s="2"/>
      <c r="AM57" s="2"/>
      <c r="AN57" s="2"/>
      <c r="AO57" s="5">
        <v>1</v>
      </c>
    </row>
    <row r="58" spans="1:41" s="1" customFormat="1" ht="18" customHeight="1">
      <c r="B58" s="5325" t="s">
        <v>1502</v>
      </c>
      <c r="C58" s="5326"/>
      <c r="D58" s="5327" t="s">
        <v>1503</v>
      </c>
      <c r="E58" s="5326"/>
      <c r="F58" s="5326"/>
      <c r="G58" s="5326"/>
      <c r="H58" s="5326"/>
      <c r="I58" s="5326"/>
      <c r="J58" s="5326"/>
      <c r="K58" s="5326"/>
      <c r="L58" s="5326"/>
      <c r="M58" s="5326"/>
      <c r="N58" s="5331" t="s">
        <v>1480</v>
      </c>
      <c r="O58" s="5326"/>
      <c r="P58" s="5332" t="s">
        <v>1504</v>
      </c>
      <c r="Q58" s="5326"/>
      <c r="R58" s="5326"/>
      <c r="S58" s="5326"/>
      <c r="T58" s="5334" t="s">
        <v>1714</v>
      </c>
      <c r="U58" s="5326"/>
      <c r="V58" s="5335" t="s">
        <v>1715</v>
      </c>
      <c r="W58" s="5326"/>
      <c r="X58" s="5326"/>
      <c r="Y58" s="5326"/>
      <c r="Z58" s="5326"/>
      <c r="AA58" s="5326"/>
      <c r="AB58" s="5326"/>
      <c r="AC58" s="5326"/>
      <c r="AD58" s="5326"/>
      <c r="AE58" s="5326"/>
      <c r="AF58" s="5339" t="s">
        <v>1691</v>
      </c>
      <c r="AG58" s="5326"/>
      <c r="AH58" s="5340" t="s">
        <v>1716</v>
      </c>
      <c r="AI58" s="5326"/>
      <c r="AJ58" s="5326"/>
      <c r="AK58" s="2"/>
      <c r="AL58" s="2"/>
      <c r="AM58" s="2"/>
      <c r="AN58" s="2"/>
      <c r="AO58" s="5">
        <v>1</v>
      </c>
    </row>
    <row r="59" spans="1:41" s="1" customFormat="1" ht="18" customHeight="1">
      <c r="B59" s="5342"/>
      <c r="C59" s="5326"/>
      <c r="D59" s="5342"/>
      <c r="E59" s="5326"/>
      <c r="F59" s="5326"/>
      <c r="G59" s="5326"/>
      <c r="H59" s="5326"/>
      <c r="I59" s="5326"/>
      <c r="J59" s="5326"/>
      <c r="K59" s="5326"/>
      <c r="L59" s="5326"/>
      <c r="M59" s="5326"/>
      <c r="N59" s="5342"/>
      <c r="O59" s="5326"/>
      <c r="P59" s="5342"/>
      <c r="Q59" s="5326"/>
      <c r="R59" s="5326"/>
      <c r="S59" s="5326"/>
      <c r="T59" s="5326" t="s">
        <v>856</v>
      </c>
      <c r="U59" s="5326"/>
      <c r="V59" s="5326" t="s">
        <v>856</v>
      </c>
      <c r="W59" s="5326"/>
      <c r="X59" s="5326"/>
      <c r="Y59" s="5326"/>
      <c r="Z59" s="5326"/>
      <c r="AA59" s="5326"/>
      <c r="AB59" s="5326"/>
      <c r="AC59" s="5326"/>
      <c r="AD59" s="5326"/>
      <c r="AE59" s="5326"/>
      <c r="AF59" s="5326" t="s">
        <v>856</v>
      </c>
      <c r="AG59" s="5326"/>
      <c r="AH59" s="5326" t="s">
        <v>856</v>
      </c>
      <c r="AI59" s="5326"/>
      <c r="AJ59" s="5326"/>
      <c r="AK59" s="2"/>
      <c r="AL59" s="2"/>
      <c r="AM59" s="2"/>
      <c r="AN59" s="2"/>
      <c r="AO59" s="5">
        <v>1</v>
      </c>
    </row>
    <row r="60" spans="1:41" s="1" customFormat="1" ht="18" customHeight="1">
      <c r="B60" s="5325" t="s">
        <v>1505</v>
      </c>
      <c r="C60" s="5326"/>
      <c r="D60" s="5327" t="s">
        <v>1506</v>
      </c>
      <c r="E60" s="5326"/>
      <c r="F60" s="5326"/>
      <c r="G60" s="5326"/>
      <c r="H60" s="5326"/>
      <c r="I60" s="5326"/>
      <c r="J60" s="5326"/>
      <c r="K60" s="5326"/>
      <c r="L60" s="5326"/>
      <c r="M60" s="5326"/>
      <c r="N60" s="5331" t="s">
        <v>1486</v>
      </c>
      <c r="O60" s="5326"/>
      <c r="P60" s="5332" t="s">
        <v>1507</v>
      </c>
      <c r="Q60" s="5326"/>
      <c r="R60" s="5326"/>
      <c r="S60" s="5326"/>
      <c r="T60" s="5334" t="s">
        <v>1717</v>
      </c>
      <c r="U60" s="5326"/>
      <c r="V60" s="5335" t="s">
        <v>1718</v>
      </c>
      <c r="W60" s="5326"/>
      <c r="X60" s="5326"/>
      <c r="Y60" s="5326"/>
      <c r="Z60" s="5326"/>
      <c r="AA60" s="5326"/>
      <c r="AB60" s="5326"/>
      <c r="AC60" s="5326"/>
      <c r="AD60" s="5326"/>
      <c r="AE60" s="5326"/>
      <c r="AF60" s="5339" t="s">
        <v>1697</v>
      </c>
      <c r="AG60" s="5326"/>
      <c r="AH60" s="5340" t="s">
        <v>1719</v>
      </c>
      <c r="AI60" s="5326"/>
      <c r="AJ60" s="5326"/>
      <c r="AK60" s="2"/>
      <c r="AL60" s="2"/>
      <c r="AM60" s="2"/>
      <c r="AN60" s="2"/>
      <c r="AO60" s="5">
        <v>1</v>
      </c>
    </row>
    <row r="61" spans="1:41" s="1" customFormat="1" ht="18" customHeight="1">
      <c r="B61" s="5342"/>
      <c r="C61" s="5326"/>
      <c r="D61" s="5326"/>
      <c r="E61" s="5326"/>
      <c r="F61" s="5326"/>
      <c r="G61" s="5326"/>
      <c r="H61" s="5326"/>
      <c r="I61" s="5326"/>
      <c r="J61" s="5326"/>
      <c r="K61" s="5326"/>
      <c r="L61" s="5326"/>
      <c r="M61" s="5326"/>
      <c r="N61" s="5342"/>
      <c r="O61" s="5326"/>
      <c r="P61" s="5342"/>
      <c r="Q61" s="5326"/>
      <c r="R61" s="5326"/>
      <c r="S61" s="5326"/>
      <c r="T61" s="5326" t="s">
        <v>856</v>
      </c>
      <c r="U61" s="5326"/>
      <c r="V61" s="5326"/>
      <c r="W61" s="5326"/>
      <c r="X61" s="5326"/>
      <c r="Y61" s="5326"/>
      <c r="Z61" s="5326"/>
      <c r="AA61" s="5326"/>
      <c r="AB61" s="5326"/>
      <c r="AC61" s="5326"/>
      <c r="AD61" s="5326"/>
      <c r="AE61" s="5326"/>
      <c r="AF61" s="5326" t="s">
        <v>856</v>
      </c>
      <c r="AG61" s="5326"/>
      <c r="AH61" s="5326" t="s">
        <v>856</v>
      </c>
      <c r="AI61" s="5326"/>
      <c r="AJ61" s="5326"/>
      <c r="AK61" s="2"/>
      <c r="AL61" s="2"/>
      <c r="AM61" s="2"/>
      <c r="AN61" s="2"/>
      <c r="AO61" s="5">
        <v>1</v>
      </c>
    </row>
    <row r="62" spans="1:41" s="1" customFormat="1" ht="18" customHeight="1">
      <c r="B62" s="5325" t="s">
        <v>1484</v>
      </c>
      <c r="C62" s="5326"/>
      <c r="D62" s="5326"/>
      <c r="E62" s="5326"/>
      <c r="F62" s="5326"/>
      <c r="G62" s="5326"/>
      <c r="H62" s="5326"/>
      <c r="I62" s="5326"/>
      <c r="J62" s="5326"/>
      <c r="K62" s="5326"/>
      <c r="L62" s="5326"/>
      <c r="M62" s="5326"/>
      <c r="N62" s="5331" t="s">
        <v>1491</v>
      </c>
      <c r="O62" s="5326"/>
      <c r="P62" s="5332" t="s">
        <v>1508</v>
      </c>
      <c r="Q62" s="5326"/>
      <c r="R62" s="5326"/>
      <c r="S62" s="5326"/>
      <c r="T62" s="5334" t="s">
        <v>1695</v>
      </c>
      <c r="U62" s="5326"/>
      <c r="V62" s="5326"/>
      <c r="W62" s="5326"/>
      <c r="X62" s="5326"/>
      <c r="Y62" s="5326"/>
      <c r="Z62" s="5326"/>
      <c r="AA62" s="5326"/>
      <c r="AB62" s="5326"/>
      <c r="AC62" s="5326"/>
      <c r="AD62" s="5326"/>
      <c r="AE62" s="5326"/>
      <c r="AF62" s="5339" t="s">
        <v>1702</v>
      </c>
      <c r="AG62" s="5326"/>
      <c r="AH62" s="5340" t="s">
        <v>1720</v>
      </c>
      <c r="AI62" s="5326"/>
      <c r="AJ62" s="5326"/>
      <c r="AK62" s="2"/>
      <c r="AL62" s="2"/>
      <c r="AM62" s="2"/>
      <c r="AN62" s="2"/>
      <c r="AO62" s="5">
        <v>1</v>
      </c>
    </row>
    <row r="63" spans="1:41" s="1" customFormat="1" ht="18" customHeight="1">
      <c r="B63" s="5342"/>
      <c r="C63" s="5326"/>
      <c r="D63" s="5326"/>
      <c r="E63" s="5326"/>
      <c r="F63" s="5326"/>
      <c r="G63" s="5326"/>
      <c r="H63" s="5326"/>
      <c r="I63" s="5326"/>
      <c r="J63" s="5326"/>
      <c r="K63" s="5326"/>
      <c r="L63" s="5326"/>
      <c r="M63" s="5326"/>
      <c r="N63" s="5342"/>
      <c r="O63" s="5326"/>
      <c r="P63" s="5342"/>
      <c r="Q63" s="5326"/>
      <c r="R63" s="5326"/>
      <c r="S63" s="5326"/>
      <c r="T63" s="5326" t="s">
        <v>856</v>
      </c>
      <c r="U63" s="5326"/>
      <c r="V63" s="5326"/>
      <c r="W63" s="5326"/>
      <c r="X63" s="5326"/>
      <c r="Y63" s="5326"/>
      <c r="Z63" s="5326"/>
      <c r="AA63" s="5326"/>
      <c r="AB63" s="5326"/>
      <c r="AC63" s="5326"/>
      <c r="AD63" s="5326"/>
      <c r="AE63" s="5326"/>
      <c r="AF63" s="5326" t="s">
        <v>856</v>
      </c>
      <c r="AG63" s="5326"/>
      <c r="AH63" s="5326" t="s">
        <v>856</v>
      </c>
      <c r="AI63" s="5326"/>
      <c r="AJ63" s="5326"/>
      <c r="AK63" s="2"/>
      <c r="AL63" s="2"/>
      <c r="AM63" s="2"/>
      <c r="AN63" s="2"/>
      <c r="AO63" s="5">
        <v>1</v>
      </c>
    </row>
    <row r="64" spans="1:41" s="1" customFormat="1" ht="18" customHeight="1">
      <c r="B64" s="5325" t="s">
        <v>1498</v>
      </c>
      <c r="C64" s="5326"/>
      <c r="D64" s="5326"/>
      <c r="E64" s="5326"/>
      <c r="F64" s="5326"/>
      <c r="G64" s="5326"/>
      <c r="H64" s="5326"/>
      <c r="I64" s="5326"/>
      <c r="J64" s="5326"/>
      <c r="K64" s="5326"/>
      <c r="L64" s="5326"/>
      <c r="M64" s="5326"/>
      <c r="N64" s="5331" t="s">
        <v>1509</v>
      </c>
      <c r="O64" s="5326"/>
      <c r="P64" s="5332" t="s">
        <v>1510</v>
      </c>
      <c r="Q64" s="5326"/>
      <c r="R64" s="5326"/>
      <c r="S64" s="5326"/>
      <c r="T64" s="5334" t="s">
        <v>1709</v>
      </c>
      <c r="U64" s="5326"/>
      <c r="V64" s="5326"/>
      <c r="W64" s="5326"/>
      <c r="X64" s="5326"/>
      <c r="Y64" s="5326"/>
      <c r="Z64" s="5326"/>
      <c r="AA64" s="5326"/>
      <c r="AB64" s="5326"/>
      <c r="AC64" s="5326"/>
      <c r="AD64" s="5326"/>
      <c r="AE64" s="5326"/>
      <c r="AF64" s="5339" t="s">
        <v>1721</v>
      </c>
      <c r="AG64" s="5326"/>
      <c r="AH64" s="5340" t="s">
        <v>1722</v>
      </c>
      <c r="AI64" s="5326"/>
      <c r="AJ64" s="5326"/>
      <c r="AK64" s="2"/>
      <c r="AL64" s="2"/>
      <c r="AM64" s="2"/>
      <c r="AN64" s="2"/>
      <c r="AO64" s="5">
        <v>1</v>
      </c>
    </row>
    <row r="65" spans="2:41" s="1" customFormat="1" ht="18" customHeight="1">
      <c r="B65" s="5342"/>
      <c r="C65" s="5326"/>
      <c r="D65" s="5326"/>
      <c r="E65" s="5326"/>
      <c r="F65" s="5326"/>
      <c r="G65" s="5326"/>
      <c r="H65" s="5326"/>
      <c r="I65" s="5326"/>
      <c r="J65" s="5326"/>
      <c r="K65" s="5326"/>
      <c r="L65" s="5326"/>
      <c r="M65" s="5326"/>
      <c r="N65" s="5342"/>
      <c r="O65" s="5326"/>
      <c r="P65" s="5342"/>
      <c r="Q65" s="5326"/>
      <c r="R65" s="5326"/>
      <c r="S65" s="5326"/>
      <c r="T65" s="5326" t="s">
        <v>856</v>
      </c>
      <c r="U65" s="5326"/>
      <c r="V65" s="5326"/>
      <c r="W65" s="5326"/>
      <c r="X65" s="5326"/>
      <c r="Y65" s="5326"/>
      <c r="Z65" s="5326"/>
      <c r="AA65" s="5326"/>
      <c r="AB65" s="5326"/>
      <c r="AC65" s="5326"/>
      <c r="AD65" s="5326"/>
      <c r="AE65" s="5326"/>
      <c r="AF65" s="5326" t="s">
        <v>856</v>
      </c>
      <c r="AG65" s="5326"/>
      <c r="AH65" s="5326" t="s">
        <v>856</v>
      </c>
      <c r="AI65" s="5326"/>
      <c r="AJ65" s="5326"/>
      <c r="AK65" s="2"/>
      <c r="AL65" s="2"/>
      <c r="AM65" s="2"/>
      <c r="AN65" s="2"/>
      <c r="AO65" s="5">
        <v>1</v>
      </c>
    </row>
    <row r="66" spans="2:41" s="1" customFormat="1" ht="18" customHeight="1">
      <c r="B66" s="5325" t="s">
        <v>1343</v>
      </c>
      <c r="C66" s="5326"/>
      <c r="D66" s="5326"/>
      <c r="E66" s="5326"/>
      <c r="F66" s="5326"/>
      <c r="G66" s="5326"/>
      <c r="H66" s="5326"/>
      <c r="I66" s="5326"/>
      <c r="J66" s="5326"/>
      <c r="K66" s="5326"/>
      <c r="L66" s="5326"/>
      <c r="M66" s="5326"/>
      <c r="N66" s="5331" t="s">
        <v>1496</v>
      </c>
      <c r="O66" s="5326"/>
      <c r="P66" s="5332" t="s">
        <v>1511</v>
      </c>
      <c r="Q66" s="5326"/>
      <c r="R66" s="5326"/>
      <c r="S66" s="5326"/>
      <c r="T66" s="5334" t="s">
        <v>1573</v>
      </c>
      <c r="U66" s="5326"/>
      <c r="V66" s="5326"/>
      <c r="W66" s="5326"/>
      <c r="X66" s="5326"/>
      <c r="Y66" s="5326"/>
      <c r="Z66" s="5326"/>
      <c r="AA66" s="5326"/>
      <c r="AB66" s="5326"/>
      <c r="AC66" s="5326"/>
      <c r="AD66" s="5326"/>
      <c r="AE66" s="5326"/>
      <c r="AF66" s="5339" t="s">
        <v>1707</v>
      </c>
      <c r="AG66" s="5326"/>
      <c r="AH66" s="5340" t="s">
        <v>1723</v>
      </c>
      <c r="AI66" s="5326"/>
      <c r="AJ66" s="5326"/>
      <c r="AK66" s="2"/>
      <c r="AL66" s="2"/>
      <c r="AM66" s="2"/>
      <c r="AN66" s="2"/>
      <c r="AO66" s="5">
        <v>1</v>
      </c>
    </row>
    <row r="67" spans="2:41" s="1" customFormat="1" ht="18" customHeight="1">
      <c r="B67" s="5326"/>
      <c r="C67" s="5326"/>
      <c r="D67" s="5326"/>
      <c r="E67" s="5326"/>
      <c r="F67" s="5326"/>
      <c r="G67" s="5326"/>
      <c r="H67" s="5326"/>
      <c r="I67" s="5326"/>
      <c r="J67" s="5326"/>
      <c r="K67" s="5326"/>
      <c r="L67" s="5326"/>
      <c r="M67" s="5326"/>
      <c r="N67" s="5342"/>
      <c r="O67" s="5326"/>
      <c r="P67" s="5342"/>
      <c r="Q67" s="5326"/>
      <c r="R67" s="5326"/>
      <c r="S67" s="5326"/>
      <c r="T67" s="5326"/>
      <c r="U67" s="5326"/>
      <c r="V67" s="5326"/>
      <c r="W67" s="5326"/>
      <c r="X67" s="5326"/>
      <c r="Y67" s="5326"/>
      <c r="Z67" s="5326"/>
      <c r="AA67" s="5326"/>
      <c r="AB67" s="5326"/>
      <c r="AC67" s="5326"/>
      <c r="AD67" s="5326"/>
      <c r="AE67" s="5326"/>
      <c r="AF67" s="5326" t="s">
        <v>856</v>
      </c>
      <c r="AG67" s="5326"/>
      <c r="AH67" s="5326" t="s">
        <v>856</v>
      </c>
      <c r="AI67" s="5326"/>
      <c r="AJ67" s="5326"/>
      <c r="AK67" s="2"/>
      <c r="AL67" s="2"/>
      <c r="AM67" s="2"/>
      <c r="AN67" s="2"/>
      <c r="AO67" s="5">
        <v>1</v>
      </c>
    </row>
    <row r="68" spans="2:41" s="1" customFormat="1" ht="18" customHeight="1">
      <c r="B68" s="5373"/>
      <c r="C68" s="5326"/>
      <c r="D68" s="5326"/>
      <c r="E68" s="5326"/>
      <c r="F68" s="5326"/>
      <c r="G68" s="5326"/>
      <c r="H68" s="5326"/>
      <c r="I68" s="5326"/>
      <c r="J68" s="5326"/>
      <c r="K68" s="5326"/>
      <c r="L68" s="5326"/>
      <c r="M68" s="5326"/>
      <c r="N68" s="5331" t="s">
        <v>1499</v>
      </c>
      <c r="O68" s="5326"/>
      <c r="P68" s="5332" t="s">
        <v>1512</v>
      </c>
      <c r="Q68" s="5326"/>
      <c r="R68" s="5326"/>
      <c r="S68" s="5326"/>
      <c r="T68" s="5373"/>
      <c r="U68" s="5326"/>
      <c r="V68" s="5326"/>
      <c r="W68" s="5326"/>
      <c r="X68" s="5326"/>
      <c r="Y68" s="5326"/>
      <c r="Z68" s="5326"/>
      <c r="AA68" s="5326"/>
      <c r="AB68" s="5326"/>
      <c r="AC68" s="5326"/>
      <c r="AD68" s="5326"/>
      <c r="AE68" s="5326"/>
      <c r="AF68" s="5339" t="s">
        <v>1710</v>
      </c>
      <c r="AG68" s="5326"/>
      <c r="AH68" s="5340" t="s">
        <v>1724</v>
      </c>
      <c r="AI68" s="5326"/>
      <c r="AJ68" s="5326"/>
      <c r="AK68" s="2"/>
      <c r="AL68" s="2"/>
      <c r="AM68" s="2"/>
      <c r="AN68" s="2"/>
      <c r="AO68" s="5">
        <v>1</v>
      </c>
    </row>
    <row r="69" spans="2:41" s="1" customFormat="1" ht="18" customHeight="1">
      <c r="B69" s="5373"/>
      <c r="C69" s="5326"/>
      <c r="D69" s="5326"/>
      <c r="E69" s="5326"/>
      <c r="F69" s="5326"/>
      <c r="G69" s="5326"/>
      <c r="H69" s="5326"/>
      <c r="I69" s="5326"/>
      <c r="J69" s="5326"/>
      <c r="K69" s="5326"/>
      <c r="L69" s="5326"/>
      <c r="M69" s="5326"/>
      <c r="N69" s="5374"/>
      <c r="O69" s="5326"/>
      <c r="P69" s="5374"/>
      <c r="Q69" s="5326"/>
      <c r="R69" s="5326"/>
      <c r="S69" s="5326"/>
      <c r="T69" s="5373"/>
      <c r="U69" s="5326"/>
      <c r="V69" s="5326"/>
      <c r="W69" s="5326"/>
      <c r="X69" s="5326"/>
      <c r="Y69" s="5326"/>
      <c r="Z69" s="5326"/>
      <c r="AA69" s="5326"/>
      <c r="AB69" s="5326"/>
      <c r="AC69" s="5326"/>
      <c r="AD69" s="5326"/>
      <c r="AE69" s="5326"/>
      <c r="AF69" s="5375" t="s">
        <v>856</v>
      </c>
      <c r="AG69" s="5326"/>
      <c r="AH69" s="5375" t="s">
        <v>856</v>
      </c>
      <c r="AI69" s="5326"/>
      <c r="AJ69" s="5326"/>
      <c r="AK69" s="2"/>
      <c r="AL69" s="2"/>
      <c r="AM69" s="2"/>
      <c r="AN69" s="2"/>
      <c r="AO69" s="5"/>
    </row>
    <row r="70" spans="2:41" s="1" customFormat="1" ht="18" customHeight="1">
      <c r="B70" s="5373"/>
      <c r="C70" s="5326"/>
      <c r="D70" s="5326"/>
      <c r="E70" s="5326"/>
      <c r="F70" s="5326"/>
      <c r="G70" s="5326"/>
      <c r="H70" s="5326"/>
      <c r="I70" s="5326"/>
      <c r="J70" s="5326"/>
      <c r="K70" s="5326"/>
      <c r="L70" s="5326"/>
      <c r="M70" s="5326"/>
      <c r="N70" s="5331" t="s">
        <v>1101</v>
      </c>
      <c r="O70" s="5326"/>
      <c r="P70" s="5332" t="s">
        <v>1513</v>
      </c>
      <c r="Q70" s="5326"/>
      <c r="R70" s="5326"/>
      <c r="S70" s="5326"/>
      <c r="T70" s="5373"/>
      <c r="U70" s="5326"/>
      <c r="V70" s="5326"/>
      <c r="W70" s="5326"/>
      <c r="X70" s="5326"/>
      <c r="Y70" s="5326"/>
      <c r="Z70" s="5326"/>
      <c r="AA70" s="5326"/>
      <c r="AB70" s="5326"/>
      <c r="AC70" s="5326"/>
      <c r="AD70" s="5326"/>
      <c r="AE70" s="5326"/>
      <c r="AF70" s="5339" t="s">
        <v>1713</v>
      </c>
      <c r="AG70" s="5326"/>
      <c r="AH70" s="5340" t="s">
        <v>1725</v>
      </c>
      <c r="AI70" s="5326"/>
      <c r="AJ70" s="5326"/>
      <c r="AK70" s="2"/>
      <c r="AL70" s="2"/>
      <c r="AM70" s="2"/>
      <c r="AN70" s="2"/>
      <c r="AO70" s="5">
        <v>1</v>
      </c>
    </row>
    <row r="71" spans="2:41" s="1" customFormat="1" ht="18" customHeight="1">
      <c r="B71" s="5373"/>
      <c r="C71" s="5326"/>
      <c r="D71" s="5326"/>
      <c r="E71" s="5326"/>
      <c r="F71" s="5326"/>
      <c r="G71" s="5326"/>
      <c r="H71" s="5326"/>
      <c r="I71" s="5326"/>
      <c r="J71" s="5326"/>
      <c r="K71" s="5326"/>
      <c r="L71" s="5326"/>
      <c r="M71" s="5326"/>
      <c r="N71" s="5374"/>
      <c r="O71" s="5326"/>
      <c r="P71" s="5374"/>
      <c r="Q71" s="5326"/>
      <c r="R71" s="5326"/>
      <c r="S71" s="5326"/>
      <c r="T71" s="5373"/>
      <c r="U71" s="5326"/>
      <c r="V71" s="5326"/>
      <c r="W71" s="5326"/>
      <c r="X71" s="5326"/>
      <c r="Y71" s="5326"/>
      <c r="Z71" s="5326"/>
      <c r="AA71" s="5326"/>
      <c r="AB71" s="5326"/>
      <c r="AC71" s="5326"/>
      <c r="AD71" s="5326"/>
      <c r="AE71" s="5326"/>
      <c r="AF71" s="5375" t="s">
        <v>856</v>
      </c>
      <c r="AG71" s="5326"/>
      <c r="AH71" s="5375" t="s">
        <v>856</v>
      </c>
      <c r="AI71" s="5326"/>
      <c r="AJ71" s="5326"/>
      <c r="AK71" s="2"/>
      <c r="AL71" s="2"/>
      <c r="AM71" s="2"/>
      <c r="AN71" s="2"/>
      <c r="AO71" s="5"/>
    </row>
    <row r="72" spans="2:41" s="1" customFormat="1" ht="18" customHeight="1">
      <c r="B72" s="5373"/>
      <c r="C72" s="5326"/>
      <c r="D72" s="5326"/>
      <c r="E72" s="5326"/>
      <c r="F72" s="5326"/>
      <c r="G72" s="5326"/>
      <c r="H72" s="5326"/>
      <c r="I72" s="5326"/>
      <c r="J72" s="5326"/>
      <c r="K72" s="5326"/>
      <c r="L72" s="5326"/>
      <c r="M72" s="5326"/>
      <c r="N72" s="5331" t="s">
        <v>1514</v>
      </c>
      <c r="O72" s="5326"/>
      <c r="P72" s="5332" t="s">
        <v>1515</v>
      </c>
      <c r="Q72" s="5326"/>
      <c r="R72" s="5326"/>
      <c r="S72" s="5326"/>
      <c r="T72" s="5373"/>
      <c r="U72" s="5326"/>
      <c r="V72" s="5326"/>
      <c r="W72" s="5326"/>
      <c r="X72" s="5326"/>
      <c r="Y72" s="5326"/>
      <c r="Z72" s="5326"/>
      <c r="AA72" s="5326"/>
      <c r="AB72" s="5326"/>
      <c r="AC72" s="5326"/>
      <c r="AD72" s="5326"/>
      <c r="AE72" s="5326"/>
      <c r="AF72" s="5339" t="s">
        <v>1726</v>
      </c>
      <c r="AG72" s="5326"/>
      <c r="AH72" s="5340" t="s">
        <v>1727</v>
      </c>
      <c r="AI72" s="5326"/>
      <c r="AJ72" s="5326"/>
      <c r="AK72" s="2"/>
      <c r="AL72" s="2"/>
      <c r="AM72" s="2"/>
      <c r="AN72" s="2"/>
      <c r="AO72" s="5">
        <v>1</v>
      </c>
    </row>
    <row r="73" spans="2:41" s="1" customFormat="1" ht="18" customHeight="1">
      <c r="B73" s="5373"/>
      <c r="C73" s="5326"/>
      <c r="D73" s="5326"/>
      <c r="E73" s="5326"/>
      <c r="F73" s="5326"/>
      <c r="G73" s="5326"/>
      <c r="H73" s="5326"/>
      <c r="I73" s="5326"/>
      <c r="J73" s="5326"/>
      <c r="K73" s="5326"/>
      <c r="L73" s="5326"/>
      <c r="M73" s="5326"/>
      <c r="N73" s="5374"/>
      <c r="O73" s="5326"/>
      <c r="P73" s="5374"/>
      <c r="Q73" s="5326"/>
      <c r="R73" s="5326"/>
      <c r="S73" s="5326"/>
      <c r="T73" s="5373"/>
      <c r="U73" s="5326"/>
      <c r="V73" s="5326"/>
      <c r="W73" s="5326"/>
      <c r="X73" s="5326"/>
      <c r="Y73" s="5326"/>
      <c r="Z73" s="5326"/>
      <c r="AA73" s="5326"/>
      <c r="AB73" s="5326"/>
      <c r="AC73" s="5326"/>
      <c r="AD73" s="5326"/>
      <c r="AE73" s="5326"/>
      <c r="AF73" s="5375" t="s">
        <v>856</v>
      </c>
      <c r="AG73" s="5326"/>
      <c r="AH73" s="5375" t="s">
        <v>856</v>
      </c>
      <c r="AI73" s="5326"/>
      <c r="AJ73" s="5326"/>
      <c r="AK73" s="2"/>
      <c r="AL73" s="2"/>
      <c r="AM73" s="2"/>
      <c r="AN73" s="2"/>
      <c r="AO73" s="5"/>
    </row>
    <row r="74" spans="2:41" s="1" customFormat="1" ht="18" customHeight="1">
      <c r="B74" s="5373"/>
      <c r="C74" s="5326"/>
      <c r="D74" s="5326"/>
      <c r="E74" s="5326"/>
      <c r="F74" s="5326"/>
      <c r="G74" s="5326"/>
      <c r="H74" s="5326"/>
      <c r="I74" s="5326"/>
      <c r="J74" s="5326"/>
      <c r="K74" s="5326"/>
      <c r="L74" s="5326"/>
      <c r="M74" s="5326"/>
      <c r="N74" s="5331" t="s">
        <v>1516</v>
      </c>
      <c r="O74" s="5326"/>
      <c r="P74" s="5332" t="s">
        <v>1517</v>
      </c>
      <c r="Q74" s="5326"/>
      <c r="R74" s="5326"/>
      <c r="S74" s="5326"/>
      <c r="T74" s="5373"/>
      <c r="U74" s="5326"/>
      <c r="V74" s="5326"/>
      <c r="W74" s="5326"/>
      <c r="X74" s="5326"/>
      <c r="Y74" s="5326"/>
      <c r="Z74" s="5326"/>
      <c r="AA74" s="5326"/>
      <c r="AB74" s="5326"/>
      <c r="AC74" s="5326"/>
      <c r="AD74" s="5326"/>
      <c r="AE74" s="5326"/>
      <c r="AF74" s="5339" t="s">
        <v>1728</v>
      </c>
      <c r="AG74" s="5326"/>
      <c r="AH74" s="5340" t="s">
        <v>1729</v>
      </c>
      <c r="AI74" s="5326"/>
      <c r="AJ74" s="5326"/>
      <c r="AK74" s="2"/>
      <c r="AL74" s="2"/>
      <c r="AM74" s="2"/>
      <c r="AN74" s="2"/>
      <c r="AO74" s="5">
        <v>1</v>
      </c>
    </row>
    <row r="75" spans="2:41" s="1" customFormat="1" ht="18" customHeight="1">
      <c r="B75" s="5373"/>
      <c r="C75" s="5326"/>
      <c r="D75" s="5326"/>
      <c r="E75" s="5326"/>
      <c r="F75" s="5326"/>
      <c r="G75" s="5326"/>
      <c r="H75" s="5326"/>
      <c r="I75" s="5326"/>
      <c r="J75" s="5326"/>
      <c r="K75" s="5326"/>
      <c r="L75" s="5326"/>
      <c r="M75" s="5326"/>
      <c r="N75" s="5374"/>
      <c r="O75" s="5326"/>
      <c r="P75" s="5374"/>
      <c r="Q75" s="5326"/>
      <c r="R75" s="5326"/>
      <c r="S75" s="5326"/>
      <c r="T75" s="5373"/>
      <c r="U75" s="5326"/>
      <c r="V75" s="5326"/>
      <c r="W75" s="5326"/>
      <c r="X75" s="5326"/>
      <c r="Y75" s="5326"/>
      <c r="Z75" s="5326"/>
      <c r="AA75" s="5326"/>
      <c r="AB75" s="5326"/>
      <c r="AC75" s="5326"/>
      <c r="AD75" s="5326"/>
      <c r="AE75" s="5326"/>
      <c r="AF75" s="5375" t="s">
        <v>856</v>
      </c>
      <c r="AG75" s="5326"/>
      <c r="AH75" s="5375" t="s">
        <v>856</v>
      </c>
      <c r="AI75" s="5326"/>
      <c r="AJ75" s="5326"/>
      <c r="AK75" s="2"/>
      <c r="AL75" s="2"/>
      <c r="AM75" s="2"/>
      <c r="AN75" s="2"/>
      <c r="AO75" s="5"/>
    </row>
    <row r="76" spans="2:41" s="1" customFormat="1" ht="18" customHeight="1">
      <c r="B76" s="5373"/>
      <c r="C76" s="5326"/>
      <c r="D76" s="5326"/>
      <c r="E76" s="5326"/>
      <c r="F76" s="5326"/>
      <c r="G76" s="5326"/>
      <c r="H76" s="5326"/>
      <c r="I76" s="5326"/>
      <c r="J76" s="5326"/>
      <c r="K76" s="5326"/>
      <c r="L76" s="5326"/>
      <c r="M76" s="5326"/>
      <c r="N76" s="5331" t="s">
        <v>1504</v>
      </c>
      <c r="O76" s="5326"/>
      <c r="P76" s="5332" t="s">
        <v>1518</v>
      </c>
      <c r="Q76" s="5326"/>
      <c r="R76" s="5326"/>
      <c r="S76" s="5326"/>
      <c r="T76" s="5373"/>
      <c r="U76" s="5326"/>
      <c r="V76" s="5326"/>
      <c r="W76" s="5326"/>
      <c r="X76" s="5326"/>
      <c r="Y76" s="5326"/>
      <c r="Z76" s="5326"/>
      <c r="AA76" s="5326"/>
      <c r="AB76" s="5326"/>
      <c r="AC76" s="5326"/>
      <c r="AD76" s="5326"/>
      <c r="AE76" s="5326"/>
      <c r="AF76" s="5339" t="s">
        <v>1716</v>
      </c>
      <c r="AG76" s="5326"/>
      <c r="AH76" s="5340" t="s">
        <v>1730</v>
      </c>
      <c r="AI76" s="5326"/>
      <c r="AJ76" s="5326"/>
      <c r="AK76" s="2"/>
      <c r="AL76" s="2"/>
      <c r="AM76" s="2"/>
      <c r="AN76" s="2"/>
      <c r="AO76" s="5">
        <v>1</v>
      </c>
    </row>
    <row r="77" spans="2:41" s="1" customFormat="1" ht="18" customHeight="1">
      <c r="B77" s="5373"/>
      <c r="C77" s="5326"/>
      <c r="D77" s="5326"/>
      <c r="E77" s="5326"/>
      <c r="F77" s="5326"/>
      <c r="G77" s="5326"/>
      <c r="H77" s="5326"/>
      <c r="I77" s="5326"/>
      <c r="J77" s="5326"/>
      <c r="K77" s="5326"/>
      <c r="L77" s="5326"/>
      <c r="M77" s="5326"/>
      <c r="N77" s="5374"/>
      <c r="O77" s="5326"/>
      <c r="P77" s="5374"/>
      <c r="Q77" s="5326"/>
      <c r="R77" s="5326"/>
      <c r="S77" s="5326"/>
      <c r="T77" s="5373"/>
      <c r="U77" s="5326"/>
      <c r="V77" s="5326"/>
      <c r="W77" s="5326"/>
      <c r="X77" s="5326"/>
      <c r="Y77" s="5326"/>
      <c r="Z77" s="5326"/>
      <c r="AA77" s="5326"/>
      <c r="AB77" s="5326"/>
      <c r="AC77" s="5326"/>
      <c r="AD77" s="5326"/>
      <c r="AE77" s="5326"/>
      <c r="AF77" s="5375" t="s">
        <v>856</v>
      </c>
      <c r="AG77" s="5326"/>
      <c r="AH77" s="5375" t="s">
        <v>856</v>
      </c>
      <c r="AI77" s="5326"/>
      <c r="AJ77" s="5326"/>
      <c r="AK77" s="2"/>
      <c r="AL77" s="2"/>
      <c r="AM77" s="2"/>
      <c r="AN77" s="2"/>
      <c r="AO77" s="5"/>
    </row>
    <row r="78" spans="2:41" s="1" customFormat="1" ht="18" customHeight="1">
      <c r="B78" s="5373"/>
      <c r="C78" s="5326"/>
      <c r="D78" s="5326"/>
      <c r="E78" s="5326"/>
      <c r="F78" s="5326"/>
      <c r="G78" s="5326"/>
      <c r="H78" s="5326"/>
      <c r="I78" s="5326"/>
      <c r="J78" s="5326"/>
      <c r="K78" s="5326"/>
      <c r="L78" s="5326"/>
      <c r="M78" s="5326"/>
      <c r="N78" s="5331" t="s">
        <v>1507</v>
      </c>
      <c r="O78" s="5326"/>
      <c r="P78" s="5332" t="s">
        <v>1519</v>
      </c>
      <c r="Q78" s="5326"/>
      <c r="R78" s="5326"/>
      <c r="S78" s="5326"/>
      <c r="T78" s="5373"/>
      <c r="U78" s="5326"/>
      <c r="V78" s="5326"/>
      <c r="W78" s="5326"/>
      <c r="X78" s="5326"/>
      <c r="Y78" s="5326"/>
      <c r="Z78" s="5326"/>
      <c r="AA78" s="5326"/>
      <c r="AB78" s="5326"/>
      <c r="AC78" s="5326"/>
      <c r="AD78" s="5326"/>
      <c r="AE78" s="5326"/>
      <c r="AF78" s="5339" t="s">
        <v>1719</v>
      </c>
      <c r="AG78" s="5326"/>
      <c r="AH78" s="5340" t="s">
        <v>1731</v>
      </c>
      <c r="AI78" s="5326"/>
      <c r="AJ78" s="5326"/>
      <c r="AK78" s="2"/>
      <c r="AL78" s="2"/>
      <c r="AM78" s="2"/>
      <c r="AN78" s="2"/>
      <c r="AO78" s="5">
        <v>1</v>
      </c>
    </row>
    <row r="79" spans="2:41" s="1" customFormat="1" ht="18" customHeight="1">
      <c r="B79" s="5373"/>
      <c r="C79" s="5326"/>
      <c r="D79" s="5326"/>
      <c r="E79" s="5326"/>
      <c r="F79" s="5326"/>
      <c r="G79" s="5326"/>
      <c r="H79" s="5326"/>
      <c r="I79" s="5326"/>
      <c r="J79" s="5326"/>
      <c r="K79" s="5326"/>
      <c r="L79" s="5326"/>
      <c r="M79" s="5326"/>
      <c r="N79" s="5342"/>
      <c r="O79" s="5326"/>
      <c r="P79" s="5342"/>
      <c r="Q79" s="5326"/>
      <c r="R79" s="5326"/>
      <c r="S79" s="5326"/>
      <c r="T79" s="5373"/>
      <c r="U79" s="5326"/>
      <c r="V79" s="5326"/>
      <c r="W79" s="5326"/>
      <c r="X79" s="5326"/>
      <c r="Y79" s="5326"/>
      <c r="Z79" s="5326"/>
      <c r="AA79" s="5326"/>
      <c r="AB79" s="5326"/>
      <c r="AC79" s="5326"/>
      <c r="AD79" s="5326"/>
      <c r="AE79" s="5326"/>
      <c r="AF79" s="5326" t="s">
        <v>856</v>
      </c>
      <c r="AG79" s="5326"/>
      <c r="AH79" s="5326" t="s">
        <v>856</v>
      </c>
      <c r="AI79" s="5326"/>
      <c r="AJ79" s="5326"/>
      <c r="AK79" s="2"/>
      <c r="AL79" s="2"/>
      <c r="AM79" s="2"/>
      <c r="AN79" s="2"/>
      <c r="AO79" s="5"/>
    </row>
    <row r="80" spans="2:41" s="1" customFormat="1" ht="18" customHeight="1">
      <c r="B80" s="5373"/>
      <c r="C80" s="5326"/>
      <c r="D80" s="5326"/>
      <c r="E80" s="5326"/>
      <c r="F80" s="5326"/>
      <c r="G80" s="5326"/>
      <c r="H80" s="5326"/>
      <c r="I80" s="5326"/>
      <c r="J80" s="5326"/>
      <c r="K80" s="5326"/>
      <c r="L80" s="5326"/>
      <c r="M80" s="5326"/>
      <c r="N80" s="5331" t="s">
        <v>1520</v>
      </c>
      <c r="O80" s="5326"/>
      <c r="P80" s="5332" t="s">
        <v>1521</v>
      </c>
      <c r="Q80" s="5326"/>
      <c r="R80" s="5326"/>
      <c r="S80" s="5326"/>
      <c r="T80" s="5373"/>
      <c r="U80" s="5326"/>
      <c r="V80" s="5326"/>
      <c r="W80" s="5326"/>
      <c r="X80" s="5326"/>
      <c r="Y80" s="5326"/>
      <c r="Z80" s="5326"/>
      <c r="AA80" s="5326"/>
      <c r="AB80" s="5326"/>
      <c r="AC80" s="5326"/>
      <c r="AD80" s="5326"/>
      <c r="AE80" s="5326"/>
      <c r="AF80" s="5339" t="s">
        <v>1732</v>
      </c>
      <c r="AG80" s="5326"/>
      <c r="AH80" s="5340" t="s">
        <v>1733</v>
      </c>
      <c r="AI80" s="5326"/>
      <c r="AJ80" s="5326"/>
      <c r="AK80" s="2"/>
      <c r="AL80" s="2"/>
      <c r="AM80" s="2"/>
      <c r="AN80" s="2"/>
      <c r="AO80" s="5">
        <v>1</v>
      </c>
    </row>
    <row r="81" spans="2:41" s="1" customFormat="1" ht="18" customHeight="1">
      <c r="B81" s="5373"/>
      <c r="C81" s="5326"/>
      <c r="D81" s="5326"/>
      <c r="E81" s="5326"/>
      <c r="F81" s="5326"/>
      <c r="G81" s="5326"/>
      <c r="H81" s="5326"/>
      <c r="I81" s="5326"/>
      <c r="J81" s="5326"/>
      <c r="K81" s="5326"/>
      <c r="L81" s="5326"/>
      <c r="M81" s="5326"/>
      <c r="N81" s="5342"/>
      <c r="O81" s="5326"/>
      <c r="P81" s="5342"/>
      <c r="Q81" s="5326"/>
      <c r="R81" s="5326"/>
      <c r="S81" s="5326"/>
      <c r="T81" s="5373"/>
      <c r="U81" s="5326"/>
      <c r="V81" s="5326"/>
      <c r="W81" s="5326"/>
      <c r="X81" s="5326"/>
      <c r="Y81" s="5326"/>
      <c r="Z81" s="5326"/>
      <c r="AA81" s="5326"/>
      <c r="AB81" s="5326"/>
      <c r="AC81" s="5326"/>
      <c r="AD81" s="5326"/>
      <c r="AE81" s="5326"/>
      <c r="AF81" s="5326" t="s">
        <v>856</v>
      </c>
      <c r="AG81" s="5326"/>
      <c r="AH81" s="5326" t="s">
        <v>856</v>
      </c>
      <c r="AI81" s="5326"/>
      <c r="AJ81" s="5326"/>
      <c r="AK81" s="2"/>
      <c r="AL81" s="2"/>
      <c r="AM81" s="2"/>
      <c r="AN81" s="2"/>
      <c r="AO81" s="5"/>
    </row>
    <row r="82" spans="2:41" s="1" customFormat="1" ht="18" customHeight="1">
      <c r="B82" s="5373"/>
      <c r="C82" s="5326"/>
      <c r="D82" s="5326"/>
      <c r="E82" s="5326"/>
      <c r="F82" s="5326"/>
      <c r="G82" s="5326"/>
      <c r="H82" s="5326"/>
      <c r="I82" s="5326"/>
      <c r="J82" s="5326"/>
      <c r="K82" s="5326"/>
      <c r="L82" s="5326"/>
      <c r="M82" s="5326"/>
      <c r="N82" s="5331" t="s">
        <v>1522</v>
      </c>
      <c r="O82" s="5326"/>
      <c r="P82" s="5332" t="s">
        <v>1523</v>
      </c>
      <c r="Q82" s="5326"/>
      <c r="R82" s="5326"/>
      <c r="S82" s="5326"/>
      <c r="T82" s="5373"/>
      <c r="U82" s="5326"/>
      <c r="V82" s="5326"/>
      <c r="W82" s="5326"/>
      <c r="X82" s="5326"/>
      <c r="Y82" s="5326"/>
      <c r="Z82" s="5326"/>
      <c r="AA82" s="5326"/>
      <c r="AB82" s="5326"/>
      <c r="AC82" s="5326"/>
      <c r="AD82" s="5326"/>
      <c r="AE82" s="5326"/>
      <c r="AF82" s="5339" t="s">
        <v>1734</v>
      </c>
      <c r="AG82" s="5326"/>
      <c r="AH82" s="5340" t="s">
        <v>1735</v>
      </c>
      <c r="AI82" s="5326"/>
      <c r="AJ82" s="5326"/>
      <c r="AK82" s="2"/>
      <c r="AL82" s="2"/>
      <c r="AM82" s="2"/>
      <c r="AN82" s="2"/>
      <c r="AO82" s="5">
        <v>1</v>
      </c>
    </row>
    <row r="83" spans="2:41" s="1" customFormat="1" ht="18" customHeight="1">
      <c r="B83" s="5373"/>
      <c r="C83" s="5326"/>
      <c r="D83" s="5326"/>
      <c r="E83" s="5326"/>
      <c r="F83" s="5326"/>
      <c r="G83" s="5326"/>
      <c r="H83" s="5326"/>
      <c r="I83" s="5326"/>
      <c r="J83" s="5326"/>
      <c r="K83" s="5326"/>
      <c r="L83" s="5326"/>
      <c r="M83" s="5326"/>
      <c r="N83" s="5342"/>
      <c r="O83" s="5326"/>
      <c r="P83" s="5342"/>
      <c r="Q83" s="5326"/>
      <c r="R83" s="5326"/>
      <c r="S83" s="5326"/>
      <c r="T83" s="5373"/>
      <c r="U83" s="5326"/>
      <c r="V83" s="5326"/>
      <c r="W83" s="5326"/>
      <c r="X83" s="5326"/>
      <c r="Y83" s="5326"/>
      <c r="Z83" s="5326"/>
      <c r="AA83" s="5326"/>
      <c r="AB83" s="5326"/>
      <c r="AC83" s="5326"/>
      <c r="AD83" s="5326"/>
      <c r="AE83" s="5326"/>
      <c r="AF83" s="5326" t="s">
        <v>856</v>
      </c>
      <c r="AG83" s="5326"/>
      <c r="AH83" s="5326" t="s">
        <v>856</v>
      </c>
      <c r="AI83" s="5326"/>
      <c r="AJ83" s="5326"/>
      <c r="AK83" s="2"/>
      <c r="AL83" s="2"/>
      <c r="AM83" s="2"/>
      <c r="AN83" s="2"/>
      <c r="AO83" s="5"/>
    </row>
    <row r="84" spans="2:41" s="1" customFormat="1" ht="18" customHeight="1">
      <c r="B84" s="5373"/>
      <c r="C84" s="5326"/>
      <c r="D84" s="5326"/>
      <c r="E84" s="5326"/>
      <c r="F84" s="5326"/>
      <c r="G84" s="5326"/>
      <c r="H84" s="5326"/>
      <c r="I84" s="5326"/>
      <c r="J84" s="5326"/>
      <c r="K84" s="5326"/>
      <c r="L84" s="5326"/>
      <c r="M84" s="5326"/>
      <c r="N84" s="5331" t="s">
        <v>1524</v>
      </c>
      <c r="O84" s="5326"/>
      <c r="P84" s="5332" t="s">
        <v>1525</v>
      </c>
      <c r="Q84" s="5326"/>
      <c r="R84" s="5326"/>
      <c r="S84" s="5326"/>
      <c r="T84" s="5373"/>
      <c r="U84" s="5326"/>
      <c r="V84" s="5326"/>
      <c r="W84" s="5326"/>
      <c r="X84" s="5326"/>
      <c r="Y84" s="5326"/>
      <c r="Z84" s="5326"/>
      <c r="AA84" s="5326"/>
      <c r="AB84" s="5326"/>
      <c r="AC84" s="5326"/>
      <c r="AD84" s="5326"/>
      <c r="AE84" s="5326"/>
      <c r="AF84" s="5339" t="s">
        <v>1736</v>
      </c>
      <c r="AG84" s="5326"/>
      <c r="AH84" s="5340" t="s">
        <v>1737</v>
      </c>
      <c r="AI84" s="5326"/>
      <c r="AJ84" s="5326"/>
      <c r="AK84" s="2"/>
      <c r="AL84" s="2"/>
      <c r="AM84" s="2"/>
      <c r="AN84" s="2"/>
      <c r="AO84" s="5">
        <v>1</v>
      </c>
    </row>
    <row r="85" spans="2:41" s="1" customFormat="1" ht="18" customHeight="1">
      <c r="B85" s="5326"/>
      <c r="C85" s="5326"/>
      <c r="D85" s="5326"/>
      <c r="E85" s="5326"/>
      <c r="F85" s="5326"/>
      <c r="G85" s="5326"/>
      <c r="H85" s="5326"/>
      <c r="I85" s="5326"/>
      <c r="J85" s="5326"/>
      <c r="K85" s="5326"/>
      <c r="L85" s="5326"/>
      <c r="M85" s="5326"/>
      <c r="N85" s="5342"/>
      <c r="O85" s="5326"/>
      <c r="P85" s="5342"/>
      <c r="Q85" s="5326"/>
      <c r="R85" s="5326"/>
      <c r="S85" s="5326"/>
      <c r="T85" s="5326"/>
      <c r="U85" s="5326"/>
      <c r="V85" s="5326"/>
      <c r="W85" s="5326"/>
      <c r="X85" s="5326"/>
      <c r="Y85" s="5326"/>
      <c r="Z85" s="5326"/>
      <c r="AA85" s="5326"/>
      <c r="AB85" s="5326"/>
      <c r="AC85" s="5326"/>
      <c r="AD85" s="5326"/>
      <c r="AE85" s="5326"/>
      <c r="AF85" s="5326" t="s">
        <v>856</v>
      </c>
      <c r="AG85" s="5326"/>
      <c r="AH85" s="5326" t="s">
        <v>856</v>
      </c>
      <c r="AI85" s="5326"/>
      <c r="AJ85" s="5326"/>
      <c r="AK85" s="2"/>
      <c r="AL85" s="2"/>
      <c r="AM85" s="2"/>
      <c r="AN85" s="2"/>
      <c r="AO85" s="5"/>
    </row>
    <row r="86" spans="2:41" s="1" customFormat="1" ht="18" customHeight="1">
      <c r="B86" s="5326"/>
      <c r="C86" s="5326"/>
      <c r="D86" s="5326"/>
      <c r="E86" s="5326"/>
      <c r="F86" s="5326"/>
      <c r="G86" s="5326"/>
      <c r="H86" s="5326"/>
      <c r="I86" s="5326"/>
      <c r="J86" s="5326"/>
      <c r="K86" s="5326"/>
      <c r="L86" s="5326"/>
      <c r="M86" s="5326"/>
      <c r="N86" s="5331" t="s">
        <v>1526</v>
      </c>
      <c r="O86" s="5326"/>
      <c r="P86" s="5332" t="s">
        <v>1527</v>
      </c>
      <c r="Q86" s="5326"/>
      <c r="R86" s="5326"/>
      <c r="S86" s="5326"/>
      <c r="T86" s="5326"/>
      <c r="U86" s="5326"/>
      <c r="V86" s="5326"/>
      <c r="W86" s="5326"/>
      <c r="X86" s="5326"/>
      <c r="Y86" s="5326"/>
      <c r="Z86" s="5326"/>
      <c r="AA86" s="5326"/>
      <c r="AB86" s="5326"/>
      <c r="AC86" s="5326"/>
      <c r="AD86" s="5326"/>
      <c r="AE86" s="5326"/>
      <c r="AF86" s="5339" t="s">
        <v>1738</v>
      </c>
      <c r="AG86" s="5326"/>
      <c r="AH86" s="5340" t="s">
        <v>1739</v>
      </c>
      <c r="AI86" s="5326"/>
      <c r="AJ86" s="5326"/>
      <c r="AK86" s="2"/>
      <c r="AL86" s="2"/>
      <c r="AM86" s="2"/>
      <c r="AN86" s="2"/>
      <c r="AO86" s="5">
        <v>1</v>
      </c>
    </row>
    <row r="87" spans="2:41" s="1" customFormat="1" ht="18" customHeight="1">
      <c r="B87" s="5326"/>
      <c r="C87" s="5326"/>
      <c r="D87" s="5326"/>
      <c r="E87" s="5326"/>
      <c r="F87" s="5326"/>
      <c r="G87" s="5326"/>
      <c r="H87" s="5326"/>
      <c r="I87" s="5326"/>
      <c r="J87" s="5326"/>
      <c r="K87" s="5326"/>
      <c r="L87" s="5326"/>
      <c r="M87" s="5326"/>
      <c r="N87" s="5342"/>
      <c r="O87" s="5326"/>
      <c r="P87" s="5342"/>
      <c r="Q87" s="5326"/>
      <c r="R87" s="5326"/>
      <c r="S87" s="5326"/>
      <c r="T87" s="5326"/>
      <c r="U87" s="5326"/>
      <c r="V87" s="5326"/>
      <c r="W87" s="5326"/>
      <c r="X87" s="5326"/>
      <c r="Y87" s="5326"/>
      <c r="Z87" s="5326"/>
      <c r="AA87" s="5326"/>
      <c r="AB87" s="5326"/>
      <c r="AC87" s="5326"/>
      <c r="AD87" s="5326"/>
      <c r="AE87" s="5326"/>
      <c r="AF87" s="5326" t="s">
        <v>856</v>
      </c>
      <c r="AG87" s="5326"/>
      <c r="AH87" s="5326" t="s">
        <v>856</v>
      </c>
      <c r="AI87" s="5326"/>
      <c r="AJ87" s="5326"/>
      <c r="AK87" s="2"/>
      <c r="AL87" s="2"/>
      <c r="AM87" s="2"/>
      <c r="AN87" s="2"/>
      <c r="AO87" s="5">
        <v>1</v>
      </c>
    </row>
    <row r="88" spans="2:41" s="1" customFormat="1" ht="18" customHeight="1">
      <c r="B88" s="5326"/>
      <c r="C88" s="5326"/>
      <c r="D88" s="5326"/>
      <c r="E88" s="5326"/>
      <c r="F88" s="5326"/>
      <c r="G88" s="5326"/>
      <c r="H88" s="5326"/>
      <c r="I88" s="5326"/>
      <c r="J88" s="5326"/>
      <c r="K88" s="5326"/>
      <c r="L88" s="5326"/>
      <c r="M88" s="5326"/>
      <c r="N88" s="5331" t="s">
        <v>1528</v>
      </c>
      <c r="O88" s="5326"/>
      <c r="P88" s="5332" t="s">
        <v>1529</v>
      </c>
      <c r="Q88" s="5326"/>
      <c r="R88" s="5326"/>
      <c r="S88" s="5326"/>
      <c r="T88" s="5326"/>
      <c r="U88" s="5326"/>
      <c r="V88" s="5326"/>
      <c r="W88" s="5326"/>
      <c r="X88" s="5326"/>
      <c r="Y88" s="5326"/>
      <c r="Z88" s="5326"/>
      <c r="AA88" s="5326"/>
      <c r="AB88" s="5326"/>
      <c r="AC88" s="5326"/>
      <c r="AD88" s="5326"/>
      <c r="AE88" s="5326"/>
      <c r="AF88" s="5339" t="s">
        <v>1740</v>
      </c>
      <c r="AG88" s="5326"/>
      <c r="AH88" s="5340" t="s">
        <v>1741</v>
      </c>
      <c r="AI88" s="5326"/>
      <c r="AJ88" s="5326"/>
      <c r="AK88" s="2"/>
      <c r="AL88" s="2"/>
      <c r="AM88" s="2"/>
      <c r="AN88" s="2"/>
      <c r="AO88" s="5">
        <v>1</v>
      </c>
    </row>
    <row r="89" spans="2:41" s="1" customFormat="1" ht="18" customHeight="1">
      <c r="B89" s="5326"/>
      <c r="C89" s="5326"/>
      <c r="D89" s="5326"/>
      <c r="E89" s="5326"/>
      <c r="F89" s="5326"/>
      <c r="G89" s="5326"/>
      <c r="H89" s="5326"/>
      <c r="I89" s="5326"/>
      <c r="J89" s="5326"/>
      <c r="K89" s="5326"/>
      <c r="L89" s="5326"/>
      <c r="M89" s="5326"/>
      <c r="N89" s="5342"/>
      <c r="O89" s="5326"/>
      <c r="P89" s="5342"/>
      <c r="Q89" s="5326"/>
      <c r="R89" s="5326"/>
      <c r="S89" s="5326"/>
      <c r="T89" s="5326"/>
      <c r="U89" s="5326"/>
      <c r="V89" s="5326"/>
      <c r="W89" s="5326"/>
      <c r="X89" s="5326"/>
      <c r="Y89" s="5326"/>
      <c r="Z89" s="5326"/>
      <c r="AA89" s="5326"/>
      <c r="AB89" s="5326"/>
      <c r="AC89" s="5326"/>
      <c r="AD89" s="5326"/>
      <c r="AE89" s="5326"/>
      <c r="AF89" s="5326" t="s">
        <v>856</v>
      </c>
      <c r="AG89" s="5326"/>
      <c r="AH89" s="5326" t="s">
        <v>856</v>
      </c>
      <c r="AI89" s="5326"/>
      <c r="AJ89" s="5326"/>
      <c r="AK89" s="2"/>
      <c r="AL89" s="2"/>
      <c r="AM89" s="2"/>
      <c r="AN89" s="2"/>
      <c r="AO89" s="5">
        <v>1</v>
      </c>
    </row>
    <row r="90" spans="2:41" s="1" customFormat="1" ht="18" customHeight="1">
      <c r="B90" s="5326"/>
      <c r="C90" s="5326"/>
      <c r="D90" s="5326"/>
      <c r="E90" s="5326"/>
      <c r="F90" s="5326"/>
      <c r="G90" s="5326"/>
      <c r="H90" s="5326"/>
      <c r="I90" s="5326"/>
      <c r="J90" s="5326"/>
      <c r="K90" s="5326"/>
      <c r="L90" s="5326"/>
      <c r="M90" s="5326"/>
      <c r="N90" s="5331" t="s">
        <v>1530</v>
      </c>
      <c r="O90" s="5326"/>
      <c r="P90" s="5332" t="s">
        <v>1531</v>
      </c>
      <c r="Q90" s="5326"/>
      <c r="R90" s="5326"/>
      <c r="S90" s="5326"/>
      <c r="T90" s="5326"/>
      <c r="U90" s="5326"/>
      <c r="V90" s="5326"/>
      <c r="W90" s="5326"/>
      <c r="X90" s="5326"/>
      <c r="Y90" s="5326"/>
      <c r="Z90" s="5326"/>
      <c r="AA90" s="5326"/>
      <c r="AB90" s="5326"/>
      <c r="AC90" s="5326"/>
      <c r="AD90" s="5326"/>
      <c r="AE90" s="5326"/>
      <c r="AF90" s="5339" t="s">
        <v>1742</v>
      </c>
      <c r="AG90" s="5326"/>
      <c r="AH90" s="5340" t="s">
        <v>1743</v>
      </c>
      <c r="AI90" s="5326"/>
      <c r="AJ90" s="5326"/>
      <c r="AK90" s="2"/>
      <c r="AL90" s="2"/>
      <c r="AM90" s="2"/>
      <c r="AN90" s="2"/>
      <c r="AO90" s="5">
        <v>1</v>
      </c>
    </row>
    <row r="91" spans="2:41" s="1" customFormat="1" ht="18" customHeight="1">
      <c r="B91" s="5326"/>
      <c r="C91" s="5326"/>
      <c r="D91" s="5326"/>
      <c r="E91" s="5326"/>
      <c r="F91" s="5326"/>
      <c r="G91" s="5326"/>
      <c r="H91" s="5326"/>
      <c r="I91" s="5326"/>
      <c r="J91" s="5326"/>
      <c r="K91" s="5326"/>
      <c r="L91" s="5326"/>
      <c r="M91" s="5326"/>
      <c r="N91" s="5342"/>
      <c r="O91" s="5326"/>
      <c r="P91" s="5342"/>
      <c r="Q91" s="5326"/>
      <c r="R91" s="5326"/>
      <c r="S91" s="5326"/>
      <c r="T91" s="5326"/>
      <c r="U91" s="5326"/>
      <c r="V91" s="5326"/>
      <c r="W91" s="5326"/>
      <c r="X91" s="5326"/>
      <c r="Y91" s="5326"/>
      <c r="Z91" s="5326"/>
      <c r="AA91" s="5326"/>
      <c r="AB91" s="5326"/>
      <c r="AC91" s="5326"/>
      <c r="AD91" s="5326"/>
      <c r="AE91" s="5326"/>
      <c r="AF91" s="5326" t="s">
        <v>856</v>
      </c>
      <c r="AG91" s="5326"/>
      <c r="AH91" s="5326" t="s">
        <v>856</v>
      </c>
      <c r="AI91" s="5326"/>
      <c r="AJ91" s="5326"/>
      <c r="AK91" s="2"/>
      <c r="AL91" s="2"/>
      <c r="AM91" s="2"/>
      <c r="AN91" s="2"/>
      <c r="AO91" s="5">
        <v>1</v>
      </c>
    </row>
    <row r="92" spans="2:41" s="1" customFormat="1" ht="18" customHeight="1">
      <c r="B92" s="5326"/>
      <c r="C92" s="5326"/>
      <c r="D92" s="5326"/>
      <c r="E92" s="5326"/>
      <c r="F92" s="5326"/>
      <c r="G92" s="5326"/>
      <c r="H92" s="5326"/>
      <c r="I92" s="5326"/>
      <c r="J92" s="5326"/>
      <c r="K92" s="5326"/>
      <c r="L92" s="5326"/>
      <c r="M92" s="5326"/>
      <c r="N92" s="5331" t="s">
        <v>1532</v>
      </c>
      <c r="O92" s="5326"/>
      <c r="P92" s="5332" t="s">
        <v>1533</v>
      </c>
      <c r="Q92" s="5326"/>
      <c r="R92" s="5326"/>
      <c r="S92" s="5326"/>
      <c r="T92" s="5326"/>
      <c r="U92" s="5326"/>
      <c r="V92" s="5326"/>
      <c r="W92" s="5326"/>
      <c r="X92" s="5326"/>
      <c r="Y92" s="5326"/>
      <c r="Z92" s="5326"/>
      <c r="AA92" s="5326"/>
      <c r="AB92" s="5326"/>
      <c r="AC92" s="5326"/>
      <c r="AD92" s="5326"/>
      <c r="AE92" s="5326"/>
      <c r="AF92" s="5339" t="s">
        <v>1744</v>
      </c>
      <c r="AG92" s="5326"/>
      <c r="AH92" s="5340" t="s">
        <v>1745</v>
      </c>
      <c r="AI92" s="5326"/>
      <c r="AJ92" s="5326"/>
      <c r="AK92" s="2"/>
      <c r="AL92" s="2"/>
      <c r="AM92" s="2"/>
      <c r="AN92" s="2"/>
      <c r="AO92" s="5">
        <v>1</v>
      </c>
    </row>
    <row r="93" spans="2:41" s="1" customFormat="1" ht="18" customHeight="1">
      <c r="B93" s="5326"/>
      <c r="C93" s="5326"/>
      <c r="D93" s="5326"/>
      <c r="E93" s="5326"/>
      <c r="F93" s="5326"/>
      <c r="G93" s="5326"/>
      <c r="H93" s="5326"/>
      <c r="I93" s="5326"/>
      <c r="J93" s="5326"/>
      <c r="K93" s="5326"/>
      <c r="L93" s="5326"/>
      <c r="M93" s="5326"/>
      <c r="N93" s="5326"/>
      <c r="O93" s="5326"/>
      <c r="P93" s="5342"/>
      <c r="Q93" s="5326"/>
      <c r="R93" s="5326"/>
      <c r="S93" s="5326"/>
      <c r="T93" s="5326"/>
      <c r="U93" s="5326"/>
      <c r="V93" s="5326"/>
      <c r="W93" s="5326"/>
      <c r="X93" s="5326"/>
      <c r="Y93" s="5326"/>
      <c r="Z93" s="5326"/>
      <c r="AA93" s="5326"/>
      <c r="AB93" s="5326"/>
      <c r="AC93" s="5326"/>
      <c r="AD93" s="5326"/>
      <c r="AE93" s="5326"/>
      <c r="AF93" s="5326"/>
      <c r="AG93" s="5326"/>
      <c r="AH93" s="5326" t="s">
        <v>856</v>
      </c>
      <c r="AI93" s="5326"/>
      <c r="AJ93" s="5326"/>
      <c r="AK93" s="2"/>
      <c r="AL93" s="2"/>
      <c r="AM93" s="2"/>
      <c r="AN93" s="2"/>
      <c r="AO93" s="5">
        <v>1</v>
      </c>
    </row>
    <row r="94" spans="2:41" s="1" customFormat="1" ht="18" customHeight="1">
      <c r="B94" s="5326"/>
      <c r="C94" s="5326"/>
      <c r="D94" s="5326"/>
      <c r="E94" s="5326"/>
      <c r="F94" s="5326"/>
      <c r="G94" s="5326"/>
      <c r="H94" s="5326"/>
      <c r="I94" s="5326"/>
      <c r="J94" s="5326"/>
      <c r="K94" s="5326"/>
      <c r="L94" s="5326"/>
      <c r="M94" s="5326"/>
      <c r="N94" s="5326"/>
      <c r="O94" s="5326"/>
      <c r="P94" s="5332" t="s">
        <v>1520</v>
      </c>
      <c r="Q94" s="5326"/>
      <c r="R94" s="5326"/>
      <c r="S94" s="5326"/>
      <c r="T94" s="5326"/>
      <c r="U94" s="5326"/>
      <c r="V94" s="5326"/>
      <c r="W94" s="5326"/>
      <c r="X94" s="5326"/>
      <c r="Y94" s="5326"/>
      <c r="Z94" s="5326"/>
      <c r="AA94" s="5326"/>
      <c r="AB94" s="5326"/>
      <c r="AC94" s="5326"/>
      <c r="AD94" s="5326"/>
      <c r="AE94" s="5326"/>
      <c r="AF94" s="5326"/>
      <c r="AG94" s="5326"/>
      <c r="AH94" s="5340" t="s">
        <v>1732</v>
      </c>
      <c r="AI94" s="5326"/>
      <c r="AJ94" s="5326"/>
      <c r="AK94" s="2"/>
      <c r="AL94" s="2"/>
      <c r="AM94" s="2"/>
      <c r="AN94" s="2"/>
      <c r="AO94" s="5">
        <v>1</v>
      </c>
    </row>
    <row r="95" spans="2:41" s="1" customFormat="1" ht="18" customHeight="1">
      <c r="B95" s="5326"/>
      <c r="C95" s="5326"/>
      <c r="D95" s="5326"/>
      <c r="E95" s="5326"/>
      <c r="F95" s="5326"/>
      <c r="G95" s="5326"/>
      <c r="H95" s="5326"/>
      <c r="I95" s="5326"/>
      <c r="J95" s="5326"/>
      <c r="K95" s="5326"/>
      <c r="L95" s="5326"/>
      <c r="M95" s="5326"/>
      <c r="N95" s="5326"/>
      <c r="O95" s="5326"/>
      <c r="P95" s="5342"/>
      <c r="Q95" s="5326"/>
      <c r="R95" s="5326"/>
      <c r="S95" s="5326"/>
      <c r="T95" s="5326"/>
      <c r="U95" s="5326"/>
      <c r="V95" s="5326"/>
      <c r="W95" s="5326"/>
      <c r="X95" s="5326"/>
      <c r="Y95" s="5326"/>
      <c r="Z95" s="5326"/>
      <c r="AA95" s="5326"/>
      <c r="AB95" s="5326"/>
      <c r="AC95" s="5326"/>
      <c r="AD95" s="5326"/>
      <c r="AE95" s="5326"/>
      <c r="AF95" s="5326"/>
      <c r="AG95" s="5326"/>
      <c r="AH95" s="5326" t="s">
        <v>856</v>
      </c>
      <c r="AI95" s="5326"/>
      <c r="AJ95" s="5326"/>
      <c r="AK95" s="2"/>
      <c r="AL95" s="2"/>
      <c r="AM95" s="2"/>
      <c r="AN95" s="2"/>
      <c r="AO95" s="5">
        <v>1</v>
      </c>
    </row>
    <row r="96" spans="2:41" s="1" customFormat="1" ht="18" customHeight="1">
      <c r="B96" s="5326"/>
      <c r="C96" s="5326"/>
      <c r="D96" s="5326"/>
      <c r="E96" s="5326"/>
      <c r="F96" s="5326"/>
      <c r="G96" s="5326"/>
      <c r="H96" s="5326"/>
      <c r="I96" s="5326"/>
      <c r="J96" s="5326"/>
      <c r="K96" s="5326"/>
      <c r="L96" s="5326"/>
      <c r="M96" s="5326"/>
      <c r="N96" s="5326"/>
      <c r="O96" s="5326"/>
      <c r="P96" s="5332" t="s">
        <v>1534</v>
      </c>
      <c r="Q96" s="5326"/>
      <c r="R96" s="5326"/>
      <c r="S96" s="5326"/>
      <c r="T96" s="5326"/>
      <c r="U96" s="5326"/>
      <c r="V96" s="5326"/>
      <c r="W96" s="5326"/>
      <c r="X96" s="5326"/>
      <c r="Y96" s="5326"/>
      <c r="Z96" s="5326"/>
      <c r="AA96" s="5326"/>
      <c r="AB96" s="5326"/>
      <c r="AC96" s="5326"/>
      <c r="AD96" s="5326"/>
      <c r="AE96" s="5326"/>
      <c r="AF96" s="5326"/>
      <c r="AG96" s="5326"/>
      <c r="AH96" s="5340" t="s">
        <v>1746</v>
      </c>
      <c r="AI96" s="5326"/>
      <c r="AJ96" s="5326"/>
      <c r="AK96" s="2"/>
      <c r="AL96" s="2"/>
      <c r="AM96" s="2"/>
      <c r="AN96" s="2"/>
      <c r="AO96" s="5">
        <v>1</v>
      </c>
    </row>
    <row r="97" spans="2:43" s="1" customFormat="1" ht="18" customHeight="1">
      <c r="B97" s="5373"/>
      <c r="C97" s="5326"/>
      <c r="D97" s="5326"/>
      <c r="E97" s="5326"/>
      <c r="F97" s="5326"/>
      <c r="G97" s="5326"/>
      <c r="H97" s="5326"/>
      <c r="I97" s="5326"/>
      <c r="J97" s="5326"/>
      <c r="K97" s="5326"/>
      <c r="L97" s="5326"/>
      <c r="M97" s="5326"/>
      <c r="N97" s="5326"/>
      <c r="O97" s="5326"/>
      <c r="P97" s="5342"/>
      <c r="Q97" s="5326"/>
      <c r="R97" s="5326"/>
      <c r="S97" s="5326"/>
      <c r="T97" s="5373"/>
      <c r="U97" s="5326"/>
      <c r="V97" s="5326"/>
      <c r="W97" s="5326"/>
      <c r="X97" s="5326"/>
      <c r="Y97" s="5326"/>
      <c r="Z97" s="5326"/>
      <c r="AA97" s="5326"/>
      <c r="AB97" s="5326"/>
      <c r="AC97" s="5326"/>
      <c r="AD97" s="5326"/>
      <c r="AE97" s="5326"/>
      <c r="AF97" s="5326"/>
      <c r="AG97" s="5326"/>
      <c r="AH97" s="5326" t="s">
        <v>856</v>
      </c>
      <c r="AI97" s="5326"/>
      <c r="AJ97" s="5326"/>
      <c r="AK97" s="2"/>
      <c r="AL97" s="2"/>
      <c r="AM97" s="2"/>
      <c r="AN97" s="2"/>
      <c r="AO97" s="5">
        <v>1</v>
      </c>
    </row>
    <row r="98" spans="2:43" s="1" customFormat="1" ht="18" customHeight="1">
      <c r="B98" s="5373"/>
      <c r="C98" s="5326"/>
      <c r="D98" s="5326"/>
      <c r="E98" s="5326"/>
      <c r="F98" s="5326"/>
      <c r="G98" s="5326"/>
      <c r="H98" s="5326"/>
      <c r="I98" s="5326"/>
      <c r="J98" s="5326"/>
      <c r="K98" s="5326"/>
      <c r="L98" s="5326"/>
      <c r="M98" s="5326"/>
      <c r="N98" s="5326"/>
      <c r="O98" s="5326"/>
      <c r="P98" s="5332" t="s">
        <v>1522</v>
      </c>
      <c r="Q98" s="5326"/>
      <c r="R98" s="5326"/>
      <c r="S98" s="5326"/>
      <c r="T98" s="5373"/>
      <c r="U98" s="5326"/>
      <c r="V98" s="5326"/>
      <c r="W98" s="5326"/>
      <c r="X98" s="5326"/>
      <c r="Y98" s="5326"/>
      <c r="Z98" s="5326"/>
      <c r="AA98" s="5326"/>
      <c r="AB98" s="5326"/>
      <c r="AC98" s="5326"/>
      <c r="AD98" s="5326"/>
      <c r="AE98" s="5326"/>
      <c r="AF98" s="5326"/>
      <c r="AG98" s="5326"/>
      <c r="AH98" s="5340" t="s">
        <v>1734</v>
      </c>
      <c r="AI98" s="5326"/>
      <c r="AJ98" s="5326"/>
      <c r="AK98" s="2"/>
      <c r="AL98" s="2"/>
      <c r="AM98" s="2"/>
      <c r="AN98" s="2"/>
      <c r="AO98" s="5">
        <v>1</v>
      </c>
    </row>
    <row r="99" spans="2:43" s="1" customFormat="1" ht="18" customHeight="1">
      <c r="B99" s="5373"/>
      <c r="C99" s="5326"/>
      <c r="D99" s="5326"/>
      <c r="E99" s="5326"/>
      <c r="F99" s="5326"/>
      <c r="G99" s="5326"/>
      <c r="H99" s="5326"/>
      <c r="I99" s="5326"/>
      <c r="J99" s="5326"/>
      <c r="K99" s="5326"/>
      <c r="L99" s="5326"/>
      <c r="M99" s="5326"/>
      <c r="N99" s="5326"/>
      <c r="O99" s="5326"/>
      <c r="P99" s="5342"/>
      <c r="Q99" s="5326"/>
      <c r="R99" s="5326"/>
      <c r="S99" s="5326"/>
      <c r="T99" s="5373"/>
      <c r="U99" s="5326"/>
      <c r="V99" s="5326"/>
      <c r="W99" s="5326"/>
      <c r="X99" s="5326"/>
      <c r="Y99" s="5326"/>
      <c r="Z99" s="5326"/>
      <c r="AA99" s="5326"/>
      <c r="AB99" s="5326"/>
      <c r="AC99" s="5326"/>
      <c r="AD99" s="5326"/>
      <c r="AE99" s="5326"/>
      <c r="AF99" s="5326"/>
      <c r="AG99" s="5326"/>
      <c r="AH99" s="5326" t="s">
        <v>856</v>
      </c>
      <c r="AI99" s="5326"/>
      <c r="AJ99" s="5326"/>
      <c r="AK99" s="2"/>
      <c r="AL99" s="2"/>
      <c r="AM99" s="2"/>
      <c r="AN99" s="2"/>
      <c r="AO99" s="5">
        <v>1</v>
      </c>
    </row>
    <row r="100" spans="2:43" s="1" customFormat="1" ht="18" customHeight="1">
      <c r="B100" s="5373"/>
      <c r="C100" s="5326"/>
      <c r="D100" s="5326"/>
      <c r="E100" s="5326"/>
      <c r="F100" s="5326"/>
      <c r="G100" s="5326"/>
      <c r="H100" s="5326"/>
      <c r="I100" s="5326"/>
      <c r="J100" s="5326"/>
      <c r="K100" s="5326"/>
      <c r="L100" s="5326"/>
      <c r="M100" s="5326"/>
      <c r="N100" s="5326"/>
      <c r="O100" s="5326"/>
      <c r="P100" s="5332" t="s">
        <v>1524</v>
      </c>
      <c r="Q100" s="5326"/>
      <c r="R100" s="5326"/>
      <c r="S100" s="5326"/>
      <c r="T100" s="5373"/>
      <c r="U100" s="5326"/>
      <c r="V100" s="5326"/>
      <c r="W100" s="5326"/>
      <c r="X100" s="5326"/>
      <c r="Y100" s="5326"/>
      <c r="Z100" s="5326"/>
      <c r="AA100" s="5326"/>
      <c r="AB100" s="5326"/>
      <c r="AC100" s="5326"/>
      <c r="AD100" s="5326"/>
      <c r="AE100" s="5326"/>
      <c r="AF100" s="5326"/>
      <c r="AG100" s="5326"/>
      <c r="AH100" s="5340" t="s">
        <v>1736</v>
      </c>
      <c r="AI100" s="5326"/>
      <c r="AJ100" s="5326"/>
      <c r="AK100" s="2"/>
      <c r="AL100" s="2"/>
      <c r="AM100" s="2"/>
      <c r="AN100" s="2"/>
      <c r="AO100" s="5">
        <v>1</v>
      </c>
    </row>
    <row r="101" spans="2:43" s="1" customFormat="1" ht="18" customHeight="1">
      <c r="B101" s="5373"/>
      <c r="C101" s="5326"/>
      <c r="D101" s="5326"/>
      <c r="E101" s="5326"/>
      <c r="F101" s="5326"/>
      <c r="G101" s="5326"/>
      <c r="H101" s="5326"/>
      <c r="I101" s="5326"/>
      <c r="J101" s="5326"/>
      <c r="K101" s="5326"/>
      <c r="L101" s="5326"/>
      <c r="M101" s="5326"/>
      <c r="N101" s="5326"/>
      <c r="O101" s="5326"/>
      <c r="P101" s="5342"/>
      <c r="Q101" s="5326"/>
      <c r="R101" s="5326"/>
      <c r="S101" s="5326"/>
      <c r="T101" s="5373"/>
      <c r="U101" s="5326"/>
      <c r="V101" s="5326"/>
      <c r="W101" s="5326"/>
      <c r="X101" s="5326"/>
      <c r="Y101" s="5326"/>
      <c r="Z101" s="5326"/>
      <c r="AA101" s="5326"/>
      <c r="AB101" s="5326"/>
      <c r="AC101" s="5326"/>
      <c r="AD101" s="5326"/>
      <c r="AE101" s="5326"/>
      <c r="AF101" s="5326"/>
      <c r="AG101" s="5326"/>
      <c r="AH101" s="5326" t="s">
        <v>856</v>
      </c>
      <c r="AI101" s="5326"/>
      <c r="AJ101" s="5326"/>
      <c r="AK101" s="2"/>
      <c r="AL101" s="2"/>
      <c r="AM101" s="2"/>
      <c r="AN101" s="2"/>
      <c r="AO101" s="5">
        <v>1</v>
      </c>
    </row>
    <row r="102" spans="2:43" s="1" customFormat="1" ht="18" customHeight="1">
      <c r="B102" s="5373"/>
      <c r="C102" s="5326"/>
      <c r="D102" s="5326"/>
      <c r="E102" s="5326"/>
      <c r="F102" s="5326"/>
      <c r="G102" s="5326"/>
      <c r="H102" s="5326"/>
      <c r="I102" s="5326"/>
      <c r="J102" s="5326"/>
      <c r="K102" s="5326"/>
      <c r="L102" s="5326"/>
      <c r="M102" s="5326"/>
      <c r="N102" s="5326"/>
      <c r="O102" s="5326"/>
      <c r="P102" s="5332" t="s">
        <v>1098</v>
      </c>
      <c r="Q102" s="5326"/>
      <c r="R102" s="5326"/>
      <c r="S102" s="5326"/>
      <c r="T102" s="5373"/>
      <c r="U102" s="5326"/>
      <c r="V102" s="5326"/>
      <c r="W102" s="5326"/>
      <c r="X102" s="5326"/>
      <c r="Y102" s="5326"/>
      <c r="Z102" s="5326"/>
      <c r="AA102" s="5326"/>
      <c r="AB102" s="5326"/>
      <c r="AC102" s="5326"/>
      <c r="AD102" s="5326"/>
      <c r="AE102" s="5326"/>
      <c r="AF102" s="5326"/>
      <c r="AG102" s="5326"/>
      <c r="AH102" s="5340" t="s">
        <v>1747</v>
      </c>
      <c r="AI102" s="5326"/>
      <c r="AJ102" s="5326"/>
      <c r="AK102" s="2"/>
      <c r="AL102" s="2"/>
      <c r="AM102" s="2"/>
      <c r="AN102" s="2"/>
      <c r="AO102" s="5">
        <v>1</v>
      </c>
    </row>
    <row r="103" spans="2:43" s="1" customFormat="1" ht="18" customHeight="1">
      <c r="B103" s="5373"/>
      <c r="C103" s="5326"/>
      <c r="D103" s="5326"/>
      <c r="E103" s="5326"/>
      <c r="F103" s="5326"/>
      <c r="G103" s="5326"/>
      <c r="H103" s="5326"/>
      <c r="I103" s="5326"/>
      <c r="J103" s="5326"/>
      <c r="K103" s="5326"/>
      <c r="L103" s="5326"/>
      <c r="M103" s="5326"/>
      <c r="N103" s="5326"/>
      <c r="O103" s="5326"/>
      <c r="P103" s="5342"/>
      <c r="Q103" s="5326"/>
      <c r="R103" s="5326"/>
      <c r="S103" s="5326"/>
      <c r="T103" s="5373"/>
      <c r="U103" s="5326"/>
      <c r="V103" s="5326"/>
      <c r="W103" s="5326"/>
      <c r="X103" s="5326"/>
      <c r="Y103" s="5326"/>
      <c r="Z103" s="5326"/>
      <c r="AA103" s="5326"/>
      <c r="AB103" s="5326"/>
      <c r="AC103" s="5326"/>
      <c r="AD103" s="5326"/>
      <c r="AE103" s="5326"/>
      <c r="AF103" s="5326"/>
      <c r="AG103" s="5326"/>
      <c r="AH103" s="5326" t="s">
        <v>856</v>
      </c>
      <c r="AI103" s="5326"/>
      <c r="AJ103" s="5326"/>
      <c r="AK103" s="2"/>
      <c r="AL103" s="2"/>
      <c r="AM103" s="2"/>
      <c r="AN103" s="2"/>
      <c r="AO103" s="5">
        <v>1</v>
      </c>
    </row>
    <row r="104" spans="2:43" s="1" customFormat="1" ht="18" customHeight="1">
      <c r="B104" s="5373"/>
      <c r="C104" s="5326"/>
      <c r="D104" s="5326"/>
      <c r="E104" s="5326"/>
      <c r="F104" s="5326"/>
      <c r="G104" s="5326"/>
      <c r="H104" s="5326"/>
      <c r="I104" s="5326"/>
      <c r="J104" s="5326"/>
      <c r="K104" s="5326"/>
      <c r="L104" s="5326"/>
      <c r="M104" s="5326"/>
      <c r="N104" s="5326"/>
      <c r="O104" s="5326"/>
      <c r="P104" s="5332" t="s">
        <v>1526</v>
      </c>
      <c r="Q104" s="5326"/>
      <c r="R104" s="5326"/>
      <c r="S104" s="5326"/>
      <c r="T104" s="5373"/>
      <c r="U104" s="5326"/>
      <c r="V104" s="5326"/>
      <c r="W104" s="5326"/>
      <c r="X104" s="5326"/>
      <c r="Y104" s="5326"/>
      <c r="Z104" s="5326"/>
      <c r="AA104" s="5326"/>
      <c r="AB104" s="5326"/>
      <c r="AC104" s="5326"/>
      <c r="AD104" s="5326"/>
      <c r="AE104" s="5326"/>
      <c r="AF104" s="5326"/>
      <c r="AG104" s="5326"/>
      <c r="AH104" s="5340" t="s">
        <v>1738</v>
      </c>
      <c r="AI104" s="5326"/>
      <c r="AJ104" s="5326"/>
      <c r="AK104" s="2"/>
      <c r="AL104" s="2"/>
      <c r="AM104" s="2"/>
      <c r="AN104" s="2"/>
      <c r="AO104" s="5">
        <v>1</v>
      </c>
    </row>
    <row r="105" spans="2:43" s="1" customFormat="1" ht="18" customHeight="1">
      <c r="B105" s="5373"/>
      <c r="C105" s="5326"/>
      <c r="D105" s="5326"/>
      <c r="E105" s="5326"/>
      <c r="F105" s="5326"/>
      <c r="G105" s="5326"/>
      <c r="H105" s="5326"/>
      <c r="I105" s="5326"/>
      <c r="J105" s="5326"/>
      <c r="K105" s="5326"/>
      <c r="L105" s="5326"/>
      <c r="M105" s="5326"/>
      <c r="N105" s="5326"/>
      <c r="O105" s="5326"/>
      <c r="P105" s="5342"/>
      <c r="Q105" s="5326"/>
      <c r="R105" s="5326"/>
      <c r="S105" s="5326"/>
      <c r="T105" s="5373"/>
      <c r="U105" s="5326"/>
      <c r="V105" s="5326"/>
      <c r="W105" s="5326"/>
      <c r="X105" s="5326"/>
      <c r="Y105" s="5326"/>
      <c r="Z105" s="5326"/>
      <c r="AA105" s="5326"/>
      <c r="AB105" s="5326"/>
      <c r="AC105" s="5326"/>
      <c r="AD105" s="5326"/>
      <c r="AE105" s="5326"/>
      <c r="AF105" s="5326"/>
      <c r="AG105" s="5326"/>
      <c r="AH105" s="5326" t="s">
        <v>856</v>
      </c>
      <c r="AI105" s="5326"/>
      <c r="AJ105" s="5326"/>
      <c r="AK105" s="2"/>
      <c r="AL105" s="2"/>
      <c r="AM105" s="2"/>
      <c r="AN105" s="2"/>
      <c r="AO105" s="5">
        <v>1</v>
      </c>
    </row>
    <row r="106" spans="2:43" s="1" customFormat="1" ht="18" customHeight="1">
      <c r="B106" s="5373"/>
      <c r="C106" s="5326"/>
      <c r="D106" s="5326"/>
      <c r="E106" s="5326"/>
      <c r="F106" s="5326"/>
      <c r="G106" s="5326"/>
      <c r="H106" s="5326"/>
      <c r="I106" s="5326"/>
      <c r="J106" s="5326"/>
      <c r="K106" s="5326"/>
      <c r="L106" s="5326"/>
      <c r="M106" s="5326"/>
      <c r="N106" s="5326"/>
      <c r="O106" s="5326"/>
      <c r="P106" s="5332" t="s">
        <v>1528</v>
      </c>
      <c r="Q106" s="5326"/>
      <c r="R106" s="5326"/>
      <c r="S106" s="5326"/>
      <c r="T106" s="5373"/>
      <c r="U106" s="5326"/>
      <c r="V106" s="5326"/>
      <c r="W106" s="5326"/>
      <c r="X106" s="5326"/>
      <c r="Y106" s="5326"/>
      <c r="Z106" s="5326"/>
      <c r="AA106" s="5326"/>
      <c r="AB106" s="5326"/>
      <c r="AC106" s="5326"/>
      <c r="AD106" s="5326"/>
      <c r="AE106" s="5326"/>
      <c r="AF106" s="5326"/>
      <c r="AG106" s="5326"/>
      <c r="AH106" s="5340" t="s">
        <v>1740</v>
      </c>
      <c r="AI106" s="5326"/>
      <c r="AJ106" s="5326"/>
      <c r="AK106" s="2"/>
      <c r="AL106" s="2"/>
      <c r="AM106" s="2"/>
      <c r="AN106" s="2"/>
      <c r="AO106" s="5">
        <v>1</v>
      </c>
    </row>
    <row r="107" spans="2:43" s="1" customFormat="1" ht="18" customHeight="1">
      <c r="B107" s="5373"/>
      <c r="C107" s="5326"/>
      <c r="D107" s="5326"/>
      <c r="E107" s="5326"/>
      <c r="F107" s="5326"/>
      <c r="G107" s="5326"/>
      <c r="H107" s="5326"/>
      <c r="I107" s="5326"/>
      <c r="J107" s="5326"/>
      <c r="K107" s="5326"/>
      <c r="L107" s="5326"/>
      <c r="M107" s="5326"/>
      <c r="N107" s="5326"/>
      <c r="O107" s="5326"/>
      <c r="P107" s="5342"/>
      <c r="Q107" s="5326"/>
      <c r="R107" s="5326"/>
      <c r="S107" s="5326"/>
      <c r="T107" s="5373"/>
      <c r="U107" s="5326"/>
      <c r="V107" s="5326"/>
      <c r="W107" s="5326"/>
      <c r="X107" s="5326"/>
      <c r="Y107" s="5326"/>
      <c r="Z107" s="5326"/>
      <c r="AA107" s="5326"/>
      <c r="AB107" s="5326"/>
      <c r="AC107" s="5326"/>
      <c r="AD107" s="5326"/>
      <c r="AE107" s="5326"/>
      <c r="AF107" s="5326"/>
      <c r="AG107" s="5326"/>
      <c r="AH107" s="5326" t="s">
        <v>856</v>
      </c>
      <c r="AI107" s="5326"/>
      <c r="AJ107" s="5326"/>
      <c r="AK107" s="2"/>
      <c r="AL107" s="2"/>
      <c r="AM107" s="2"/>
      <c r="AN107" s="2"/>
      <c r="AO107" s="5">
        <v>1</v>
      </c>
    </row>
    <row r="108" spans="2:43" s="1" customFormat="1" ht="18" customHeight="1">
      <c r="B108" s="5373"/>
      <c r="C108" s="5326"/>
      <c r="D108" s="5326"/>
      <c r="E108" s="5326"/>
      <c r="F108" s="5326"/>
      <c r="G108" s="5326"/>
      <c r="H108" s="5326"/>
      <c r="I108" s="5326"/>
      <c r="J108" s="5326"/>
      <c r="K108" s="5326"/>
      <c r="L108" s="5326"/>
      <c r="M108" s="5326"/>
      <c r="N108" s="5326"/>
      <c r="O108" s="5326"/>
      <c r="P108" s="5332" t="s">
        <v>1530</v>
      </c>
      <c r="Q108" s="5326"/>
      <c r="R108" s="5326"/>
      <c r="S108" s="5326"/>
      <c r="T108" s="5373"/>
      <c r="U108" s="5326"/>
      <c r="V108" s="5326"/>
      <c r="W108" s="5326"/>
      <c r="X108" s="5326"/>
      <c r="Y108" s="5326"/>
      <c r="Z108" s="5326"/>
      <c r="AA108" s="5326"/>
      <c r="AB108" s="5326"/>
      <c r="AC108" s="5326"/>
      <c r="AD108" s="5326"/>
      <c r="AE108" s="5326"/>
      <c r="AF108" s="5326"/>
      <c r="AG108" s="5326"/>
      <c r="AH108" s="5340" t="s">
        <v>1742</v>
      </c>
      <c r="AI108" s="5326"/>
      <c r="AJ108" s="5326"/>
      <c r="AK108" s="2"/>
      <c r="AL108" s="2"/>
      <c r="AM108" s="2"/>
      <c r="AN108" s="2"/>
      <c r="AO108" s="5">
        <v>1</v>
      </c>
    </row>
    <row r="109" spans="2:43" s="1" customFormat="1" ht="18" customHeight="1">
      <c r="B109" s="5373"/>
      <c r="C109" s="5326"/>
      <c r="D109" s="5326"/>
      <c r="E109" s="5326"/>
      <c r="F109" s="5326"/>
      <c r="G109" s="5326"/>
      <c r="H109" s="5326"/>
      <c r="I109" s="5326"/>
      <c r="J109" s="5326"/>
      <c r="K109" s="5326"/>
      <c r="L109" s="5326"/>
      <c r="M109" s="5326"/>
      <c r="N109" s="5326"/>
      <c r="O109" s="5326"/>
      <c r="P109" s="5342"/>
      <c r="Q109" s="5326"/>
      <c r="R109" s="5326"/>
      <c r="S109" s="5326"/>
      <c r="T109" s="5373"/>
      <c r="U109" s="5326"/>
      <c r="V109" s="5326"/>
      <c r="W109" s="5326"/>
      <c r="X109" s="5326"/>
      <c r="Y109" s="5326"/>
      <c r="Z109" s="5326"/>
      <c r="AA109" s="5326"/>
      <c r="AB109" s="5326"/>
      <c r="AC109" s="5326"/>
      <c r="AD109" s="5326"/>
      <c r="AE109" s="5326"/>
      <c r="AF109" s="5326"/>
      <c r="AG109" s="5326"/>
      <c r="AH109" s="5326" t="s">
        <v>856</v>
      </c>
      <c r="AI109" s="5326"/>
      <c r="AJ109" s="5326"/>
      <c r="AK109" s="2"/>
      <c r="AL109" s="2"/>
      <c r="AM109" s="2"/>
      <c r="AN109" s="2"/>
      <c r="AO109" s="5">
        <v>1</v>
      </c>
    </row>
    <row r="110" spans="2:43" s="1" customFormat="1" ht="18" customHeight="1">
      <c r="B110" s="5373"/>
      <c r="C110" s="5326"/>
      <c r="D110" s="5326"/>
      <c r="E110" s="5326"/>
      <c r="F110" s="5326"/>
      <c r="G110" s="5326"/>
      <c r="H110" s="5326"/>
      <c r="I110" s="5326"/>
      <c r="J110" s="5326"/>
      <c r="K110" s="5326"/>
      <c r="L110" s="5326"/>
      <c r="M110" s="5326"/>
      <c r="N110" s="5326"/>
      <c r="O110" s="5326"/>
      <c r="P110" s="5332" t="s">
        <v>1532</v>
      </c>
      <c r="Q110" s="5326"/>
      <c r="R110" s="5326"/>
      <c r="S110" s="5326"/>
      <c r="T110" s="5373"/>
      <c r="U110" s="5326"/>
      <c r="V110" s="5326"/>
      <c r="W110" s="5326"/>
      <c r="X110" s="5326"/>
      <c r="Y110" s="5326"/>
      <c r="Z110" s="5326"/>
      <c r="AA110" s="5326"/>
      <c r="AB110" s="5326"/>
      <c r="AC110" s="5326"/>
      <c r="AD110" s="5326"/>
      <c r="AE110" s="5326"/>
      <c r="AF110" s="5326"/>
      <c r="AG110" s="5326"/>
      <c r="AH110" s="5340" t="s">
        <v>1744</v>
      </c>
      <c r="AI110" s="5326"/>
      <c r="AJ110" s="5326"/>
      <c r="AK110" s="2"/>
      <c r="AL110" s="2"/>
      <c r="AM110" s="2"/>
      <c r="AN110" s="2"/>
      <c r="AO110" s="5">
        <v>1</v>
      </c>
    </row>
    <row r="111" spans="2:43" ht="18" customHeight="1">
      <c r="B111" s="5373"/>
      <c r="C111" s="5326"/>
      <c r="D111" s="5326"/>
      <c r="E111" s="5326"/>
      <c r="F111" s="5326"/>
      <c r="G111" s="5326"/>
      <c r="H111" s="5326"/>
      <c r="I111" s="5326"/>
      <c r="J111" s="5326"/>
      <c r="K111" s="5326"/>
      <c r="L111" s="5326"/>
      <c r="M111" s="5326"/>
      <c r="N111" s="5326"/>
      <c r="O111" s="5326"/>
      <c r="P111" s="5326"/>
      <c r="Q111" s="5326"/>
      <c r="R111" s="5326"/>
      <c r="S111" s="5326"/>
      <c r="T111" s="5373"/>
      <c r="U111" s="5326"/>
      <c r="V111" s="5326"/>
      <c r="W111" s="5326"/>
      <c r="X111" s="5326"/>
      <c r="Y111" s="5326"/>
      <c r="Z111" s="5326"/>
      <c r="AA111" s="5326"/>
      <c r="AB111" s="5326"/>
      <c r="AC111" s="5326"/>
      <c r="AD111" s="5326"/>
      <c r="AE111" s="5326"/>
      <c r="AF111" s="5326"/>
      <c r="AG111" s="5326"/>
      <c r="AH111" s="5326"/>
      <c r="AI111" s="5326"/>
      <c r="AJ111" s="5326"/>
      <c r="AO111" s="5">
        <v>1</v>
      </c>
    </row>
    <row r="112" spans="2:43">
      <c r="AO112" s="10" t="s">
        <v>0</v>
      </c>
      <c r="AP112" s="2"/>
      <c r="AQ112" s="2"/>
    </row>
    <row r="113" spans="1:43">
      <c r="A113" s="5">
        <v>1</v>
      </c>
      <c r="B113" s="5">
        <v>1</v>
      </c>
      <c r="C113" s="5">
        <v>1</v>
      </c>
      <c r="D113" s="5">
        <v>1</v>
      </c>
      <c r="E113" s="5">
        <v>1</v>
      </c>
      <c r="F113" s="5">
        <v>1</v>
      </c>
      <c r="G113" s="5">
        <v>1</v>
      </c>
      <c r="H113" s="5">
        <v>1</v>
      </c>
      <c r="I113" s="5">
        <v>1</v>
      </c>
      <c r="J113" s="5">
        <v>1</v>
      </c>
      <c r="K113" s="5">
        <v>1</v>
      </c>
      <c r="L113" s="5">
        <v>1</v>
      </c>
      <c r="M113" s="5">
        <v>1</v>
      </c>
      <c r="N113" s="5">
        <v>1</v>
      </c>
      <c r="O113" s="5">
        <v>1</v>
      </c>
      <c r="P113" s="5">
        <v>1</v>
      </c>
      <c r="Q113" s="5">
        <v>1</v>
      </c>
      <c r="R113" s="5">
        <v>1</v>
      </c>
      <c r="S113" s="5">
        <v>1</v>
      </c>
      <c r="T113" s="5">
        <v>1</v>
      </c>
      <c r="U113" s="5">
        <v>1</v>
      </c>
      <c r="V113" s="5">
        <v>1</v>
      </c>
      <c r="W113" s="5">
        <v>1</v>
      </c>
      <c r="X113" s="5">
        <v>1</v>
      </c>
      <c r="Y113" s="5">
        <v>1</v>
      </c>
      <c r="Z113" s="5">
        <v>1</v>
      </c>
      <c r="AA113" s="5">
        <v>1</v>
      </c>
      <c r="AB113" s="5">
        <v>1</v>
      </c>
      <c r="AC113" s="5">
        <v>1</v>
      </c>
      <c r="AD113" s="5">
        <v>1</v>
      </c>
      <c r="AE113" s="5">
        <v>1</v>
      </c>
      <c r="AF113" s="5">
        <v>1</v>
      </c>
      <c r="AG113" s="5">
        <v>1</v>
      </c>
      <c r="AH113" s="5">
        <v>1</v>
      </c>
      <c r="AI113" s="5">
        <v>1</v>
      </c>
      <c r="AJ113" s="5">
        <v>1</v>
      </c>
      <c r="AK113" s="5"/>
      <c r="AL113" s="5">
        <v>1</v>
      </c>
      <c r="AM113" s="5">
        <v>1</v>
      </c>
      <c r="AN113" s="5">
        <v>1</v>
      </c>
      <c r="AO113" s="9" t="str">
        <f>ADDRESS(ROW(),COLUMN(),4)</f>
        <v>AO113</v>
      </c>
      <c r="AP113" s="8"/>
      <c r="AQ113" s="7" t="str">
        <f>ADDRESS(ROW(),COLUMN(),4)</f>
        <v>AQ113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8EC5-F210-4D60-97B4-29D1D3DFC4B8}">
  <dimension ref="A1:BJ343"/>
  <sheetViews>
    <sheetView workbookViewId="0">
      <selection activeCell="N16" sqref="N16"/>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9" t="str">
        <f>ADDRESS(ROW(),COLUMN(),4)</f>
        <v>A1</v>
      </c>
      <c r="B1" s="443" t="str">
        <f t="shared" ref="B1:BE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t="str">
        <f t="shared" si="0"/>
        <v>N</v>
      </c>
      <c r="O1" s="443" t="str">
        <f t="shared" si="0"/>
        <v>O</v>
      </c>
      <c r="P1" s="443" t="str">
        <f t="shared" si="0"/>
        <v>P</v>
      </c>
      <c r="Q1" s="443" t="str">
        <f t="shared" si="0"/>
        <v>Q</v>
      </c>
      <c r="R1" s="443" t="str">
        <f t="shared" si="0"/>
        <v>R</v>
      </c>
      <c r="S1" s="443" t="str">
        <f t="shared" si="0"/>
        <v>S</v>
      </c>
      <c r="U1" s="443" t="str">
        <f t="shared" si="0"/>
        <v>U</v>
      </c>
      <c r="V1" s="443" t="str">
        <f t="shared" si="0"/>
        <v>V</v>
      </c>
      <c r="W1" s="443" t="str">
        <f t="shared" si="0"/>
        <v>W</v>
      </c>
      <c r="X1" s="443" t="str">
        <f t="shared" si="0"/>
        <v>X</v>
      </c>
      <c r="Y1" s="443" t="str">
        <f t="shared" si="0"/>
        <v>Y</v>
      </c>
      <c r="Z1" s="443" t="str">
        <f t="shared" si="0"/>
        <v>Z</v>
      </c>
      <c r="AA1" s="443" t="str">
        <f t="shared" si="0"/>
        <v>AA</v>
      </c>
      <c r="AB1" s="443" t="str">
        <f t="shared" si="0"/>
        <v>AB</v>
      </c>
      <c r="AC1" s="443" t="str">
        <f t="shared" si="0"/>
        <v>AC</v>
      </c>
      <c r="AD1" s="443" t="str">
        <f t="shared" si="0"/>
        <v>AD</v>
      </c>
      <c r="AE1" s="443" t="str">
        <f t="shared" si="0"/>
        <v>AE</v>
      </c>
      <c r="AF1" s="443" t="str">
        <f t="shared" si="0"/>
        <v>AF</v>
      </c>
      <c r="AG1" s="443" t="str">
        <f t="shared" si="0"/>
        <v>AG</v>
      </c>
      <c r="AH1" s="443" t="str">
        <f t="shared" si="0"/>
        <v>AH</v>
      </c>
      <c r="AI1" s="443" t="str">
        <f t="shared" si="0"/>
        <v>AI</v>
      </c>
      <c r="AJ1" s="443" t="str">
        <f t="shared" si="0"/>
        <v>AJ</v>
      </c>
      <c r="AK1" s="443" t="str">
        <f t="shared" si="0"/>
        <v>AK</v>
      </c>
      <c r="AL1" s="443" t="str">
        <f t="shared" si="0"/>
        <v>AL</v>
      </c>
      <c r="AN1" s="443" t="str">
        <f t="shared" si="0"/>
        <v>AN</v>
      </c>
      <c r="AO1" s="443" t="str">
        <f t="shared" si="0"/>
        <v>AO</v>
      </c>
      <c r="AP1" s="443" t="str">
        <f t="shared" si="0"/>
        <v>AP</v>
      </c>
      <c r="AQ1" s="443" t="str">
        <f t="shared" si="0"/>
        <v>AQ</v>
      </c>
      <c r="AR1" s="443" t="str">
        <f t="shared" si="0"/>
        <v>AR</v>
      </c>
      <c r="AS1" s="443" t="str">
        <f t="shared" si="0"/>
        <v>AS</v>
      </c>
      <c r="AT1" s="443" t="str">
        <f t="shared" si="0"/>
        <v>AT</v>
      </c>
      <c r="AU1" s="443" t="str">
        <f t="shared" si="0"/>
        <v>AU</v>
      </c>
      <c r="AV1" s="443" t="str">
        <f t="shared" si="0"/>
        <v>AV</v>
      </c>
      <c r="AW1" s="443" t="str">
        <f t="shared" si="0"/>
        <v>AW</v>
      </c>
      <c r="AX1" s="443" t="str">
        <f t="shared" si="0"/>
        <v>AX</v>
      </c>
      <c r="AY1" s="443" t="str">
        <f t="shared" si="0"/>
        <v>AY</v>
      </c>
      <c r="AZ1" s="443" t="str">
        <f t="shared" si="0"/>
        <v>AZ</v>
      </c>
      <c r="BA1" s="443" t="str">
        <f t="shared" si="0"/>
        <v>BA</v>
      </c>
      <c r="BB1" s="443" t="str">
        <f t="shared" si="0"/>
        <v>BB</v>
      </c>
      <c r="BC1" s="443" t="str">
        <f t="shared" si="0"/>
        <v>BC</v>
      </c>
      <c r="BD1" s="443" t="str">
        <f t="shared" si="0"/>
        <v>BD</v>
      </c>
      <c r="BE1" s="443" t="str">
        <f t="shared" si="0"/>
        <v>BE</v>
      </c>
      <c r="BH1" s="5">
        <v>1</v>
      </c>
      <c r="BI1" s="442" t="str">
        <f>SUBSTITUTE(ADDRESS(1,COLUMN(),4),"1","")</f>
        <v>BI</v>
      </c>
      <c r="BJ1" s="5497" t="str">
        <f>SUBSTITUTE(ADDRESS(1,COLUMN(),4),"1","")</f>
        <v>BJ</v>
      </c>
    </row>
    <row r="2" spans="1:62">
      <c r="B2" s="6186">
        <f t="shared" ref="B2:BE2" ca="1" si="1">CELL("largeur",B2)</f>
        <v>3</v>
      </c>
      <c r="C2" s="6186">
        <f t="shared" ca="1" si="1"/>
        <v>3</v>
      </c>
      <c r="D2" s="6186">
        <f t="shared" ca="1" si="1"/>
        <v>3</v>
      </c>
      <c r="E2" s="6186">
        <f t="shared" ca="1" si="1"/>
        <v>3</v>
      </c>
      <c r="F2" s="6186">
        <f t="shared" ca="1" si="1"/>
        <v>3</v>
      </c>
      <c r="G2" s="6186">
        <f t="shared" ca="1" si="1"/>
        <v>12</v>
      </c>
      <c r="H2" s="6186">
        <f t="shared" ca="1" si="1"/>
        <v>12</v>
      </c>
      <c r="I2" s="6186">
        <f t="shared" ca="1" si="1"/>
        <v>3</v>
      </c>
      <c r="J2" s="6186">
        <f t="shared" ca="1" si="1"/>
        <v>9</v>
      </c>
      <c r="K2" s="6186">
        <f t="shared" ca="1" si="1"/>
        <v>12</v>
      </c>
      <c r="L2" s="6186">
        <f t="shared" ca="1" si="1"/>
        <v>13</v>
      </c>
      <c r="M2" s="6186">
        <f t="shared" ca="1" si="1"/>
        <v>40</v>
      </c>
      <c r="N2" s="6186">
        <f t="shared" ca="1" si="1"/>
        <v>10</v>
      </c>
      <c r="O2" s="6186">
        <f t="shared" ca="1" si="1"/>
        <v>9</v>
      </c>
      <c r="P2" s="6186">
        <f t="shared" ca="1" si="1"/>
        <v>13</v>
      </c>
      <c r="Q2" s="6186">
        <f t="shared" ca="1" si="1"/>
        <v>13</v>
      </c>
      <c r="R2" s="6186">
        <f t="shared" ca="1" si="1"/>
        <v>13</v>
      </c>
      <c r="S2" s="6186">
        <f t="shared" ca="1" si="1"/>
        <v>17</v>
      </c>
      <c r="U2" s="6186">
        <f t="shared" ca="1" si="1"/>
        <v>3</v>
      </c>
      <c r="V2" s="6186">
        <f t="shared" ca="1" si="1"/>
        <v>3</v>
      </c>
      <c r="W2" s="6186">
        <f t="shared" ca="1" si="1"/>
        <v>3</v>
      </c>
      <c r="X2" s="6186">
        <f t="shared" ca="1" si="1"/>
        <v>3</v>
      </c>
      <c r="Y2" s="6186">
        <f t="shared" ca="1" si="1"/>
        <v>3</v>
      </c>
      <c r="Z2" s="6186">
        <f t="shared" ca="1" si="1"/>
        <v>12</v>
      </c>
      <c r="AA2" s="6186">
        <f t="shared" ca="1" si="1"/>
        <v>12</v>
      </c>
      <c r="AB2" s="6186">
        <f t="shared" ca="1" si="1"/>
        <v>3</v>
      </c>
      <c r="AC2" s="6186">
        <f t="shared" ca="1" si="1"/>
        <v>9</v>
      </c>
      <c r="AD2" s="6186">
        <f t="shared" ca="1" si="1"/>
        <v>12</v>
      </c>
      <c r="AE2" s="6186">
        <f t="shared" ca="1" si="1"/>
        <v>13</v>
      </c>
      <c r="AF2" s="6186">
        <f t="shared" ca="1" si="1"/>
        <v>40</v>
      </c>
      <c r="AG2" s="6186">
        <f t="shared" ca="1" si="1"/>
        <v>10</v>
      </c>
      <c r="AH2" s="6186">
        <f t="shared" ca="1" si="1"/>
        <v>9</v>
      </c>
      <c r="AI2" s="6186">
        <f t="shared" ca="1" si="1"/>
        <v>13</v>
      </c>
      <c r="AJ2" s="6186">
        <f t="shared" ca="1" si="1"/>
        <v>13</v>
      </c>
      <c r="AK2" s="6186">
        <f t="shared" ca="1" si="1"/>
        <v>13</v>
      </c>
      <c r="AL2" s="6186">
        <f t="shared" ca="1" si="1"/>
        <v>17</v>
      </c>
      <c r="AN2" s="6186">
        <f t="shared" ca="1" si="1"/>
        <v>3</v>
      </c>
      <c r="AO2" s="6186">
        <f t="shared" ca="1" si="1"/>
        <v>3</v>
      </c>
      <c r="AP2" s="6186">
        <f t="shared" ca="1" si="1"/>
        <v>3</v>
      </c>
      <c r="AQ2" s="6186">
        <f t="shared" ca="1" si="1"/>
        <v>3</v>
      </c>
      <c r="AR2" s="6186">
        <f t="shared" ca="1" si="1"/>
        <v>3</v>
      </c>
      <c r="AS2" s="6186">
        <f t="shared" ca="1" si="1"/>
        <v>12</v>
      </c>
      <c r="AT2" s="6186">
        <f t="shared" ca="1" si="1"/>
        <v>12</v>
      </c>
      <c r="AU2" s="6186">
        <f t="shared" ca="1" si="1"/>
        <v>3</v>
      </c>
      <c r="AV2" s="6186">
        <f t="shared" ca="1" si="1"/>
        <v>9</v>
      </c>
      <c r="AW2" s="6186">
        <f t="shared" ca="1" si="1"/>
        <v>12</v>
      </c>
      <c r="AX2" s="6186">
        <f t="shared" ca="1" si="1"/>
        <v>13</v>
      </c>
      <c r="AY2" s="6186">
        <f t="shared" ca="1" si="1"/>
        <v>40</v>
      </c>
      <c r="AZ2" s="6186">
        <f t="shared" ca="1" si="1"/>
        <v>10</v>
      </c>
      <c r="BA2" s="6186">
        <f t="shared" ca="1" si="1"/>
        <v>9</v>
      </c>
      <c r="BB2" s="6186">
        <f t="shared" ca="1" si="1"/>
        <v>13</v>
      </c>
      <c r="BC2" s="6186">
        <f t="shared" ca="1" si="1"/>
        <v>13</v>
      </c>
      <c r="BD2" s="6186">
        <f t="shared" ca="1" si="1"/>
        <v>13</v>
      </c>
      <c r="BE2" s="6186">
        <f t="shared" ca="1" si="1"/>
        <v>17</v>
      </c>
      <c r="BF2" s="6764" t="s">
        <v>10024</v>
      </c>
      <c r="BH2" s="5">
        <v>1</v>
      </c>
      <c r="BI2" s="6323" t="s">
        <v>8850</v>
      </c>
      <c r="BJ2" s="440"/>
    </row>
    <row r="3" spans="1:62" ht="19.5" customHeight="1" thickBot="1">
      <c r="B3" s="6735">
        <v>3</v>
      </c>
      <c r="C3" s="6735">
        <v>3</v>
      </c>
      <c r="D3" s="6735">
        <v>3</v>
      </c>
      <c r="E3" s="6735">
        <v>3</v>
      </c>
      <c r="F3" s="6735">
        <v>3</v>
      </c>
      <c r="G3" s="6735">
        <v>12</v>
      </c>
      <c r="H3" s="6735">
        <v>12</v>
      </c>
      <c r="I3" s="6735">
        <v>3</v>
      </c>
      <c r="J3" s="6735">
        <v>9</v>
      </c>
      <c r="K3" s="6735">
        <v>12</v>
      </c>
      <c r="L3" s="6735">
        <v>13</v>
      </c>
      <c r="M3" s="6735">
        <v>40</v>
      </c>
      <c r="N3" s="6735">
        <v>10</v>
      </c>
      <c r="O3" s="6735">
        <v>9</v>
      </c>
      <c r="P3" s="6735">
        <v>13</v>
      </c>
      <c r="Q3" s="6735">
        <v>13</v>
      </c>
      <c r="R3" s="6735">
        <v>13</v>
      </c>
      <c r="S3" s="6735">
        <v>17</v>
      </c>
      <c r="T3" s="6776">
        <v>1</v>
      </c>
      <c r="U3" s="6735">
        <v>3</v>
      </c>
      <c r="V3" s="6735">
        <v>3</v>
      </c>
      <c r="W3" s="6735">
        <v>3</v>
      </c>
      <c r="X3" s="6735">
        <v>3</v>
      </c>
      <c r="Y3" s="6735">
        <v>3</v>
      </c>
      <c r="Z3" s="6735">
        <v>12</v>
      </c>
      <c r="AA3" s="6735">
        <v>12</v>
      </c>
      <c r="AB3" s="6735">
        <v>3</v>
      </c>
      <c r="AC3" s="6735">
        <v>9</v>
      </c>
      <c r="AD3" s="6735">
        <v>12</v>
      </c>
      <c r="AE3" s="6735">
        <v>13</v>
      </c>
      <c r="AF3" s="6735">
        <v>40</v>
      </c>
      <c r="AG3" s="6735">
        <v>10</v>
      </c>
      <c r="AH3" s="6735">
        <v>9</v>
      </c>
      <c r="AI3" s="6735">
        <v>13</v>
      </c>
      <c r="AJ3" s="6735">
        <v>13</v>
      </c>
      <c r="AK3" s="6735">
        <v>13</v>
      </c>
      <c r="AL3" s="6735">
        <v>17</v>
      </c>
      <c r="AM3" s="6776"/>
      <c r="AN3" s="6735">
        <v>3</v>
      </c>
      <c r="AO3" s="6735">
        <v>3</v>
      </c>
      <c r="AP3" s="6735">
        <v>3</v>
      </c>
      <c r="AQ3" s="6735">
        <v>3</v>
      </c>
      <c r="AR3" s="6735">
        <v>3</v>
      </c>
      <c r="AS3" s="6735">
        <v>12</v>
      </c>
      <c r="AT3" s="6735">
        <v>12</v>
      </c>
      <c r="AU3" s="6735">
        <v>3</v>
      </c>
      <c r="AV3" s="6735">
        <v>9</v>
      </c>
      <c r="AW3" s="6735">
        <v>12</v>
      </c>
      <c r="AX3" s="6735">
        <v>13</v>
      </c>
      <c r="AY3" s="6735">
        <v>40</v>
      </c>
      <c r="AZ3" s="6735">
        <v>10</v>
      </c>
      <c r="BA3" s="6735">
        <v>9</v>
      </c>
      <c r="BB3" s="6735">
        <v>13</v>
      </c>
      <c r="BC3" s="6735">
        <v>13</v>
      </c>
      <c r="BD3" s="6735">
        <v>13</v>
      </c>
      <c r="BE3" s="6735">
        <v>17</v>
      </c>
      <c r="BF3" s="6764" t="s">
        <v>9703</v>
      </c>
      <c r="BH3" s="5">
        <v>1</v>
      </c>
      <c r="BI3" s="430" t="s">
        <v>10025</v>
      </c>
      <c r="BJ3" s="6324" t="str">
        <f>"cellules entre -cells -celdas  "&amp;" " &amp;A1&amp;" et  "&amp;BH343</f>
        <v>cellules entre -cells -celdas   A1 et  BH343</v>
      </c>
    </row>
    <row r="4" spans="1:62" s="5096" customFormat="1" ht="27" customHeight="1">
      <c r="B4" s="7063" t="s">
        <v>10028</v>
      </c>
      <c r="C4" s="7064"/>
      <c r="D4" s="7064"/>
      <c r="E4" s="7064"/>
      <c r="F4" s="7064"/>
      <c r="G4" s="7064"/>
      <c r="H4" s="7064"/>
      <c r="I4" s="7064"/>
      <c r="J4" s="7064"/>
      <c r="K4" s="7064"/>
      <c r="L4" s="7064"/>
      <c r="M4" s="7064"/>
      <c r="N4" s="7064"/>
      <c r="O4" s="7064"/>
      <c r="P4" s="7064"/>
      <c r="Q4" s="7064"/>
      <c r="R4" s="7064"/>
      <c r="S4" s="7064"/>
      <c r="T4" s="7064"/>
      <c r="U4" s="7064"/>
      <c r="V4" s="7064"/>
      <c r="W4" s="7064"/>
      <c r="X4" s="7064"/>
      <c r="Y4" s="7064"/>
      <c r="Z4" s="7064"/>
      <c r="AA4" s="7064"/>
      <c r="AB4" s="7064"/>
      <c r="AC4" s="7064"/>
      <c r="AD4" s="7064"/>
      <c r="AE4" s="7064"/>
      <c r="AF4" s="7064"/>
      <c r="AG4" s="7064"/>
      <c r="AH4" s="7064"/>
      <c r="AI4" s="7064"/>
      <c r="AJ4" s="7064"/>
      <c r="AK4" s="7064"/>
      <c r="AL4" s="7064"/>
      <c r="AM4" s="7064"/>
      <c r="AN4" s="7064"/>
      <c r="AO4" s="7064"/>
      <c r="AP4" s="7064"/>
      <c r="AQ4" s="7064"/>
      <c r="AR4" s="7064"/>
      <c r="AS4" s="7064"/>
      <c r="AT4" s="7064"/>
      <c r="AU4" s="7064"/>
      <c r="AV4" s="7064"/>
      <c r="AW4" s="7064"/>
      <c r="AX4" s="7064"/>
      <c r="AY4" s="7064"/>
      <c r="AZ4" s="7064"/>
      <c r="BA4" s="7064"/>
      <c r="BB4" s="7064"/>
      <c r="BC4" s="7064"/>
      <c r="BD4" s="7057" t="s">
        <v>21</v>
      </c>
      <c r="BE4" s="7058"/>
      <c r="BH4" s="5">
        <v>1</v>
      </c>
      <c r="BI4" s="430">
        <f ca="1">COUNTA(A1:BG343)</f>
        <v>261</v>
      </c>
      <c r="BJ4" s="6324" t="s">
        <v>8851</v>
      </c>
    </row>
    <row r="5" spans="1:62" ht="27" customHeight="1">
      <c r="B5" s="7065"/>
      <c r="C5" s="7066"/>
      <c r="D5" s="7066"/>
      <c r="E5" s="7066"/>
      <c r="F5" s="7066"/>
      <c r="G5" s="7066"/>
      <c r="H5" s="7066"/>
      <c r="I5" s="7066"/>
      <c r="J5" s="7066"/>
      <c r="K5" s="7066"/>
      <c r="L5" s="7066"/>
      <c r="M5" s="7066"/>
      <c r="N5" s="7066"/>
      <c r="O5" s="7066"/>
      <c r="P5" s="7066"/>
      <c r="Q5" s="7066"/>
      <c r="R5" s="7066"/>
      <c r="S5" s="7066"/>
      <c r="T5" s="7066"/>
      <c r="U5" s="7066"/>
      <c r="V5" s="7066"/>
      <c r="W5" s="7066"/>
      <c r="X5" s="7066"/>
      <c r="Y5" s="7066"/>
      <c r="Z5" s="7066"/>
      <c r="AA5" s="7066"/>
      <c r="AB5" s="7066"/>
      <c r="AC5" s="7066"/>
      <c r="AD5" s="7066"/>
      <c r="AE5" s="7066"/>
      <c r="AF5" s="7066"/>
      <c r="AG5" s="7066"/>
      <c r="AH5" s="7066"/>
      <c r="AI5" s="7066"/>
      <c r="AJ5" s="7066"/>
      <c r="AK5" s="7066"/>
      <c r="AL5" s="7066"/>
      <c r="AM5" s="7066"/>
      <c r="AN5" s="7066"/>
      <c r="AO5" s="7066"/>
      <c r="AP5" s="7066"/>
      <c r="AQ5" s="7066"/>
      <c r="AR5" s="7066"/>
      <c r="AS5" s="7066"/>
      <c r="AT5" s="7066"/>
      <c r="AU5" s="7066"/>
      <c r="AV5" s="7066"/>
      <c r="AW5" s="7066"/>
      <c r="AX5" s="7066"/>
      <c r="AY5" s="7066"/>
      <c r="AZ5" s="7066"/>
      <c r="BA5" s="7066"/>
      <c r="BB5" s="7066"/>
      <c r="BC5" s="7066"/>
      <c r="BD5" s="7059"/>
      <c r="BE5" s="7060"/>
      <c r="BH5" s="5">
        <v>1</v>
      </c>
      <c r="BI5" s="430">
        <f ca="1">COUNTBLANK(A1:BG343)</f>
        <v>19976</v>
      </c>
      <c r="BJ5" s="6324" t="s">
        <v>8852</v>
      </c>
    </row>
    <row r="6" spans="1:62" ht="27" customHeight="1">
      <c r="B6" s="6775" t="s">
        <v>10023</v>
      </c>
      <c r="C6" s="5105"/>
      <c r="D6" s="5105"/>
      <c r="E6" s="5105"/>
      <c r="F6" s="5105"/>
      <c r="G6" s="5105"/>
      <c r="H6" s="5105"/>
      <c r="I6" s="5105"/>
      <c r="J6" s="5105"/>
      <c r="K6" s="5105"/>
      <c r="L6" s="5105"/>
      <c r="M6" s="5105"/>
      <c r="N6" s="5105" t="s">
        <v>10030</v>
      </c>
      <c r="O6" s="5105"/>
      <c r="P6" s="5105"/>
      <c r="Q6" s="5105"/>
      <c r="R6" s="5105"/>
      <c r="S6" s="5105"/>
      <c r="T6" s="5105"/>
      <c r="U6" s="5105"/>
      <c r="V6" s="5105"/>
      <c r="W6" s="5105"/>
      <c r="X6" s="5105"/>
      <c r="Y6" s="5105"/>
      <c r="Z6" s="5105"/>
      <c r="AA6" s="5105"/>
      <c r="AB6" s="5105"/>
      <c r="AC6" s="5105" t="s">
        <v>10031</v>
      </c>
      <c r="AD6" s="5105"/>
      <c r="AE6" s="5105"/>
      <c r="AF6" s="5105"/>
      <c r="AG6" s="5105"/>
      <c r="AH6" s="5105"/>
      <c r="AI6" s="5105"/>
      <c r="AJ6" s="5105"/>
      <c r="AK6" s="5105"/>
      <c r="AL6" s="5105"/>
      <c r="AM6" s="5105"/>
      <c r="AN6" s="5105"/>
      <c r="AO6" s="5105"/>
      <c r="AP6" s="5105"/>
      <c r="AQ6" s="6799"/>
      <c r="AR6" s="6799"/>
      <c r="AS6" s="6799"/>
      <c r="AT6" s="6799"/>
      <c r="AU6" s="6799"/>
      <c r="AV6" s="6799"/>
      <c r="AW6" s="6799"/>
      <c r="AX6" s="6799"/>
      <c r="AY6" s="6799"/>
      <c r="AZ6" s="6799"/>
      <c r="BA6" s="6799"/>
      <c r="BB6" s="6799"/>
      <c r="BC6" s="6799"/>
      <c r="BD6" s="7059"/>
      <c r="BE6" s="7060"/>
      <c r="BH6" s="5">
        <v>1</v>
      </c>
      <c r="BI6" s="430">
        <f>SUM(BH1:BH341)+2</f>
        <v>340</v>
      </c>
      <c r="BJ6" s="6324" t="s">
        <v>8853</v>
      </c>
    </row>
    <row r="7" spans="1:62" ht="27" customHeight="1" thickBot="1">
      <c r="B7" s="6775" t="s">
        <v>7446</v>
      </c>
      <c r="C7" s="6800"/>
      <c r="D7" s="6800"/>
      <c r="E7" s="6800"/>
      <c r="F7" s="6800"/>
      <c r="G7" s="6800"/>
      <c r="H7" s="6800"/>
      <c r="I7" s="6800"/>
      <c r="J7" s="6800"/>
      <c r="K7" s="6800"/>
      <c r="L7" s="6800"/>
      <c r="M7" s="6800"/>
      <c r="N7" s="6800" t="s">
        <v>10026</v>
      </c>
      <c r="O7" s="6800"/>
      <c r="P7" s="6800"/>
      <c r="Q7" s="6800"/>
      <c r="R7" s="6800"/>
      <c r="S7" s="6800"/>
      <c r="T7" s="6800"/>
      <c r="U7" s="6800"/>
      <c r="V7" s="6800"/>
      <c r="W7" s="6800"/>
      <c r="X7" s="6800"/>
      <c r="Y7" s="6800"/>
      <c r="Z7" s="6800"/>
      <c r="AA7" s="6800"/>
      <c r="AB7" s="6800"/>
      <c r="AC7" s="6800" t="s">
        <v>10029</v>
      </c>
      <c r="AD7" s="6800"/>
      <c r="AE7" s="6800"/>
      <c r="AF7" s="6800"/>
      <c r="AG7" s="6800"/>
      <c r="AH7" s="6800"/>
      <c r="AI7" s="6800"/>
      <c r="AJ7" s="6800"/>
      <c r="AK7" s="6800"/>
      <c r="AL7" s="6800"/>
      <c r="AM7" s="6800"/>
      <c r="AN7" s="6800"/>
      <c r="AO7" s="6800"/>
      <c r="AP7" s="6800"/>
      <c r="AQ7" s="6801"/>
      <c r="AR7" s="6801"/>
      <c r="AS7" s="6801"/>
      <c r="AT7" s="6801"/>
      <c r="AU7" s="6801"/>
      <c r="AV7" s="6801"/>
      <c r="AW7" s="6801"/>
      <c r="AX7" s="6801"/>
      <c r="AY7" s="6774" t="s">
        <v>10027</v>
      </c>
      <c r="AZ7" s="6774"/>
      <c r="BA7" s="6774"/>
      <c r="BB7" s="6773"/>
      <c r="BC7" s="6773"/>
      <c r="BD7" s="7061"/>
      <c r="BE7" s="7062"/>
      <c r="BH7" s="5">
        <v>1</v>
      </c>
      <c r="BI7" s="430">
        <f>SUM(A343:BG343)+1</f>
        <v>60</v>
      </c>
      <c r="BJ7" s="6324" t="s">
        <v>8854</v>
      </c>
    </row>
    <row r="8" spans="1:62" ht="27" customHeight="1">
      <c r="B8" s="6772" t="s">
        <v>269</v>
      </c>
      <c r="C8" s="6771" t="str">
        <f ca="1">CELL("nomfichier")</f>
        <v>D:\Données\1.UPRT\0-UPRT.fait\1-UPRT.FR-SITE-WEB\ff-fiches-fabrications\ff.fiches.fabrication.2023\ffr.restaurant.2023\[ff.REPERTOIRE.600.LIGNES.15.xlsx]Differents.postits.FR.EN.ES</v>
      </c>
      <c r="D8" s="6771"/>
      <c r="E8" s="6770"/>
      <c r="F8" s="6770"/>
      <c r="G8" s="6770"/>
      <c r="H8" s="6770"/>
      <c r="I8" s="6770"/>
      <c r="J8" s="6770"/>
      <c r="K8" s="6770"/>
      <c r="L8" s="6770"/>
      <c r="M8" s="6770"/>
      <c r="N8" s="6770"/>
      <c r="O8" s="6770"/>
      <c r="P8" s="6770"/>
      <c r="Q8" s="6770"/>
      <c r="R8" s="6770"/>
      <c r="S8" s="6770"/>
      <c r="T8" s="6770"/>
      <c r="U8" s="6770"/>
      <c r="V8" s="6770"/>
      <c r="W8" s="6770"/>
      <c r="X8" s="6770"/>
      <c r="Y8" s="6770"/>
      <c r="Z8" s="6770"/>
      <c r="AA8" s="6770"/>
      <c r="AB8" s="6770"/>
      <c r="AC8" s="6770"/>
      <c r="AD8" s="6770"/>
      <c r="AE8" s="6770"/>
      <c r="AF8" s="6770"/>
      <c r="AG8" s="6770"/>
      <c r="AH8" s="6770"/>
      <c r="AI8" s="6770"/>
      <c r="AJ8" s="6770"/>
      <c r="AK8" s="6770"/>
      <c r="AL8" s="6770"/>
      <c r="AM8" s="6770"/>
      <c r="AN8" s="6769"/>
      <c r="AO8" s="6769"/>
      <c r="AP8" s="6769"/>
      <c r="AQ8" s="6769"/>
      <c r="AR8" s="6769"/>
      <c r="AS8" s="6769"/>
      <c r="AT8" s="6769"/>
      <c r="AU8" s="6769"/>
      <c r="AV8" s="6769"/>
      <c r="AW8" s="6769"/>
      <c r="AX8" s="6769"/>
      <c r="AY8" s="6769"/>
      <c r="AZ8" s="6769"/>
      <c r="BA8" s="6769"/>
      <c r="BB8" s="6769"/>
      <c r="BC8" s="6769"/>
      <c r="BD8" s="6769"/>
      <c r="BE8" s="6767"/>
      <c r="BH8" s="5">
        <v>1</v>
      </c>
    </row>
    <row r="9" spans="1:62" ht="27" customHeight="1" thickBot="1">
      <c r="B9" s="6777"/>
      <c r="C9" s="6802" t="s">
        <v>8842</v>
      </c>
      <c r="D9" s="6777"/>
      <c r="E9" s="6778"/>
      <c r="F9" s="6777"/>
      <c r="G9" s="6778"/>
      <c r="H9" s="6777"/>
      <c r="I9" s="6778"/>
      <c r="J9" s="6777"/>
      <c r="K9" s="6778"/>
      <c r="L9" s="6777"/>
      <c r="M9" s="6778"/>
      <c r="N9" s="6777"/>
      <c r="O9" s="6778"/>
      <c r="P9" s="6777"/>
      <c r="Q9" s="6778"/>
      <c r="R9" s="6777"/>
      <c r="S9" s="6778"/>
      <c r="T9" s="6768"/>
      <c r="U9" s="6777"/>
      <c r="V9" s="6778"/>
      <c r="W9" s="6777"/>
      <c r="X9" s="6778"/>
      <c r="Y9" s="6777"/>
      <c r="Z9" s="6778"/>
      <c r="AA9" s="6777"/>
      <c r="AB9" s="6778"/>
      <c r="AC9" s="6777"/>
      <c r="AD9" s="6778"/>
      <c r="AE9" s="6777"/>
      <c r="AF9" s="6778"/>
      <c r="AG9" s="6777"/>
      <c r="AH9" s="6778"/>
      <c r="AI9" s="6777"/>
      <c r="AJ9" s="6778"/>
      <c r="AK9" s="6777"/>
      <c r="AL9" s="6778"/>
      <c r="AM9" s="6768"/>
      <c r="AN9" s="6777"/>
      <c r="AO9" s="6778"/>
      <c r="AP9" s="6777"/>
      <c r="AQ9" s="6778"/>
      <c r="AR9" s="6777"/>
      <c r="AS9" s="6778"/>
      <c r="AT9" s="6777"/>
      <c r="AU9" s="6778"/>
      <c r="AV9" s="6777"/>
      <c r="AW9" s="6778"/>
      <c r="AX9" s="6777"/>
      <c r="AY9" s="6778"/>
      <c r="AZ9" s="6777"/>
      <c r="BA9" s="6778"/>
      <c r="BB9" s="6777"/>
      <c r="BC9" s="6778"/>
      <c r="BD9" s="6777"/>
      <c r="BE9" s="6778"/>
      <c r="BH9" s="5">
        <v>1</v>
      </c>
    </row>
    <row r="10" spans="1:62" ht="27" customHeight="1" thickBot="1">
      <c r="B10" s="6834" t="s">
        <v>21</v>
      </c>
      <c r="C10" s="6835" t="s">
        <v>21</v>
      </c>
      <c r="D10" s="6835" t="s">
        <v>21</v>
      </c>
      <c r="E10" s="6835" t="s">
        <v>21</v>
      </c>
      <c r="F10" s="6835" t="s">
        <v>21</v>
      </c>
      <c r="G10" s="6836" t="s">
        <v>10677</v>
      </c>
      <c r="H10" s="6837"/>
      <c r="I10" s="6838"/>
      <c r="J10" s="6839"/>
      <c r="K10" s="6840"/>
      <c r="L10" s="6841"/>
      <c r="M10" s="6839"/>
      <c r="N10" s="6839"/>
      <c r="O10" s="6837"/>
      <c r="P10" s="6837"/>
      <c r="Q10" s="6837"/>
      <c r="R10" s="6837"/>
      <c r="S10" s="6842" t="s">
        <v>262</v>
      </c>
      <c r="T10" s="6765"/>
      <c r="U10" s="6834" t="s">
        <v>21</v>
      </c>
      <c r="V10" s="6835" t="s">
        <v>21</v>
      </c>
      <c r="W10" s="6835" t="s">
        <v>21</v>
      </c>
      <c r="X10" s="6835" t="s">
        <v>21</v>
      </c>
      <c r="Y10" s="6835" t="s">
        <v>21</v>
      </c>
      <c r="Z10" s="6836" t="s">
        <v>10677</v>
      </c>
      <c r="AA10" s="6837"/>
      <c r="AB10" s="6838"/>
      <c r="AC10" s="6839"/>
      <c r="AD10" s="6840"/>
      <c r="AE10" s="6841"/>
      <c r="AF10" s="6839"/>
      <c r="AG10" s="6839"/>
      <c r="AH10" s="6837"/>
      <c r="AI10" s="6837"/>
      <c r="AJ10" s="6837"/>
      <c r="AK10" s="6837"/>
      <c r="AL10" s="6842" t="s">
        <v>262</v>
      </c>
      <c r="AM10" s="6765"/>
      <c r="AN10" s="6834" t="s">
        <v>21</v>
      </c>
      <c r="AO10" s="6835" t="s">
        <v>21</v>
      </c>
      <c r="AP10" s="6835" t="s">
        <v>21</v>
      </c>
      <c r="AQ10" s="6835" t="s">
        <v>21</v>
      </c>
      <c r="AR10" s="6835" t="s">
        <v>21</v>
      </c>
      <c r="AS10" s="6836" t="s">
        <v>10677</v>
      </c>
      <c r="AT10" s="6837"/>
      <c r="AU10" s="6838"/>
      <c r="AV10" s="6839"/>
      <c r="AW10" s="6840"/>
      <c r="AX10" s="6841"/>
      <c r="AY10" s="6839"/>
      <c r="AZ10" s="6839"/>
      <c r="BA10" s="6837"/>
      <c r="BB10" s="6837"/>
      <c r="BC10" s="6837"/>
      <c r="BD10" s="6837"/>
      <c r="BE10" s="6842" t="s">
        <v>262</v>
      </c>
      <c r="BH10" s="5">
        <v>1</v>
      </c>
    </row>
    <row r="11" spans="1:62" ht="27" customHeight="1">
      <c r="B11" s="6779"/>
      <c r="C11" s="6780"/>
      <c r="D11" s="6780"/>
      <c r="E11" s="6780"/>
      <c r="F11" s="6781"/>
      <c r="G11" s="6782"/>
      <c r="H11" s="6783"/>
      <c r="I11" s="6783"/>
      <c r="J11" s="5611"/>
      <c r="K11" s="5611"/>
      <c r="L11" s="5611"/>
      <c r="M11" s="5611"/>
      <c r="N11" s="5611"/>
      <c r="O11" s="5611"/>
      <c r="P11" s="5611"/>
      <c r="Q11" s="6784"/>
      <c r="R11" s="6784"/>
      <c r="S11" s="5613"/>
      <c r="T11" s="6765"/>
      <c r="U11" s="6779"/>
      <c r="V11" s="6780"/>
      <c r="W11" s="6780"/>
      <c r="X11" s="6780"/>
      <c r="Y11" s="6781"/>
      <c r="Z11" s="6782"/>
      <c r="AA11" s="6783"/>
      <c r="AB11" s="6783"/>
      <c r="AC11" s="5611"/>
      <c r="AD11" s="5611"/>
      <c r="AE11" s="5611"/>
      <c r="AF11" s="5611"/>
      <c r="AG11" s="5611"/>
      <c r="AH11" s="5611"/>
      <c r="AI11" s="5611"/>
      <c r="AJ11" s="6784"/>
      <c r="AK11" s="6784"/>
      <c r="AL11" s="5613"/>
      <c r="AM11" s="6765"/>
      <c r="AN11" s="6779"/>
      <c r="AO11" s="6780"/>
      <c r="AP11" s="6780"/>
      <c r="AQ11" s="6780"/>
      <c r="AR11" s="6781"/>
      <c r="AS11" s="6782"/>
      <c r="AT11" s="6783"/>
      <c r="AU11" s="6783"/>
      <c r="AV11" s="5611"/>
      <c r="AW11" s="5611"/>
      <c r="AX11" s="5611"/>
      <c r="AY11" s="5611"/>
      <c r="AZ11" s="5611"/>
      <c r="BA11" s="5611"/>
      <c r="BB11" s="5611"/>
      <c r="BC11" s="6784"/>
      <c r="BD11" s="6784"/>
      <c r="BE11" s="5613"/>
      <c r="BH11" s="5">
        <v>1</v>
      </c>
    </row>
    <row r="12" spans="1:62" ht="27" customHeight="1">
      <c r="B12" s="1021"/>
      <c r="C12" s="6787"/>
      <c r="D12" s="6787"/>
      <c r="E12" s="6787"/>
      <c r="F12" s="6788"/>
      <c r="G12" s="6789"/>
      <c r="H12" s="6790"/>
      <c r="I12" s="6786"/>
      <c r="J12" s="6791"/>
      <c r="K12" s="6792"/>
      <c r="L12" s="6791"/>
      <c r="M12" s="6785"/>
      <c r="N12" s="6793"/>
      <c r="O12" s="6794"/>
      <c r="P12" s="6795"/>
      <c r="Q12" s="6796"/>
      <c r="R12" s="6797"/>
      <c r="S12" s="6798"/>
      <c r="T12" s="6765"/>
      <c r="U12" s="1021"/>
      <c r="V12" s="6787"/>
      <c r="W12" s="6787"/>
      <c r="X12" s="6787"/>
      <c r="Y12" s="6788"/>
      <c r="Z12" s="6789"/>
      <c r="AA12" s="6790"/>
      <c r="AB12" s="6786"/>
      <c r="AC12" s="6791"/>
      <c r="AD12" s="6792"/>
      <c r="AE12" s="6791"/>
      <c r="AF12" s="6785"/>
      <c r="AG12" s="6793"/>
      <c r="AH12" s="6794"/>
      <c r="AI12" s="6795"/>
      <c r="AJ12" s="6796"/>
      <c r="AK12" s="6797"/>
      <c r="AL12" s="6798"/>
      <c r="AM12" s="6765"/>
      <c r="AN12" s="1021"/>
      <c r="AO12" s="6787"/>
      <c r="AP12" s="6787"/>
      <c r="AQ12" s="6787"/>
      <c r="AR12" s="6788"/>
      <c r="AS12" s="6789"/>
      <c r="AT12" s="6790"/>
      <c r="AU12" s="6786"/>
      <c r="AV12" s="6791"/>
      <c r="AW12" s="6792"/>
      <c r="AX12" s="6791"/>
      <c r="AY12" s="6785"/>
      <c r="AZ12" s="6793"/>
      <c r="BA12" s="6794"/>
      <c r="BB12" s="6795"/>
      <c r="BC12" s="6796"/>
      <c r="BD12" s="6797"/>
      <c r="BE12" s="6798"/>
      <c r="BH12" s="5">
        <v>1</v>
      </c>
    </row>
    <row r="13" spans="1:62" ht="27" customHeight="1">
      <c r="B13" s="1021"/>
      <c r="C13" s="6787"/>
      <c r="D13" s="6787"/>
      <c r="E13" s="6787"/>
      <c r="F13" s="6788"/>
      <c r="G13" s="6789"/>
      <c r="H13" s="6790"/>
      <c r="I13" s="6786"/>
      <c r="J13" s="6791"/>
      <c r="K13" s="6792"/>
      <c r="L13" s="6791"/>
      <c r="M13" s="6785"/>
      <c r="N13" s="6793"/>
      <c r="O13" s="6794"/>
      <c r="P13" s="6795"/>
      <c r="Q13" s="6796"/>
      <c r="R13" s="6797"/>
      <c r="S13" s="6798"/>
      <c r="T13" s="6765"/>
      <c r="U13" s="1021"/>
      <c r="V13" s="6787"/>
      <c r="W13" s="6787"/>
      <c r="X13" s="6787"/>
      <c r="Y13" s="6788"/>
      <c r="Z13" s="6789"/>
      <c r="AA13" s="6790"/>
      <c r="AB13" s="6786"/>
      <c r="AC13" s="6791"/>
      <c r="AD13" s="6792"/>
      <c r="AE13" s="6791"/>
      <c r="AF13" s="6785"/>
      <c r="AG13" s="6793"/>
      <c r="AH13" s="6794"/>
      <c r="AI13" s="6795"/>
      <c r="AJ13" s="6796"/>
      <c r="AK13" s="6797"/>
      <c r="AL13" s="6798"/>
      <c r="AM13" s="6765"/>
      <c r="AN13" s="1021"/>
      <c r="AO13" s="6787"/>
      <c r="AP13" s="6787"/>
      <c r="AQ13" s="6787"/>
      <c r="AR13" s="6788"/>
      <c r="AS13" s="6789"/>
      <c r="AT13" s="6790"/>
      <c r="AU13" s="6786"/>
      <c r="AV13" s="6791"/>
      <c r="AW13" s="6792"/>
      <c r="AX13" s="6791"/>
      <c r="AY13" s="6785"/>
      <c r="AZ13" s="6793"/>
      <c r="BA13" s="6794"/>
      <c r="BB13" s="6795"/>
      <c r="BC13" s="6796"/>
      <c r="BD13" s="6797"/>
      <c r="BE13" s="6798"/>
      <c r="BH13" s="5">
        <v>1</v>
      </c>
    </row>
    <row r="14" spans="1:62" ht="27" customHeight="1">
      <c r="B14" s="1021"/>
      <c r="C14" s="6787"/>
      <c r="D14" s="6787"/>
      <c r="E14" s="6787"/>
      <c r="F14" s="6788"/>
      <c r="G14" s="6789"/>
      <c r="H14" s="6790"/>
      <c r="I14" s="6786"/>
      <c r="J14" s="6791"/>
      <c r="K14" s="6792"/>
      <c r="L14" s="6791"/>
      <c r="M14" s="6785"/>
      <c r="N14" s="6793"/>
      <c r="O14" s="6794"/>
      <c r="P14" s="6795"/>
      <c r="Q14" s="6796"/>
      <c r="R14" s="6797"/>
      <c r="S14" s="6798"/>
      <c r="T14" s="6765"/>
      <c r="U14" s="1021"/>
      <c r="V14" s="6787"/>
      <c r="W14" s="6787"/>
      <c r="X14" s="6787"/>
      <c r="Y14" s="6788"/>
      <c r="Z14" s="6789"/>
      <c r="AA14" s="6790"/>
      <c r="AB14" s="6786"/>
      <c r="AC14" s="6791"/>
      <c r="AD14" s="6792"/>
      <c r="AE14" s="6791"/>
      <c r="AF14" s="6785"/>
      <c r="AG14" s="6793"/>
      <c r="AH14" s="6794"/>
      <c r="AI14" s="6795"/>
      <c r="AJ14" s="6796"/>
      <c r="AK14" s="6797"/>
      <c r="AL14" s="6798"/>
      <c r="AM14" s="6765"/>
      <c r="AN14" s="1021"/>
      <c r="AO14" s="6787"/>
      <c r="AP14" s="6787"/>
      <c r="AQ14" s="6787"/>
      <c r="AR14" s="6788"/>
      <c r="AS14" s="6789"/>
      <c r="AT14" s="6790"/>
      <c r="AU14" s="6786"/>
      <c r="AV14" s="6791"/>
      <c r="AW14" s="6792"/>
      <c r="AX14" s="6791"/>
      <c r="AY14" s="6785"/>
      <c r="AZ14" s="6793"/>
      <c r="BA14" s="6794"/>
      <c r="BB14" s="6795"/>
      <c r="BC14" s="6796"/>
      <c r="BD14" s="6797"/>
      <c r="BE14" s="6798"/>
      <c r="BH14" s="5">
        <v>1</v>
      </c>
    </row>
    <row r="15" spans="1:62" ht="27" customHeight="1">
      <c r="B15" s="1021"/>
      <c r="C15" s="6787"/>
      <c r="D15" s="6787"/>
      <c r="E15" s="6787"/>
      <c r="F15" s="6788"/>
      <c r="G15" s="6789"/>
      <c r="H15" s="6790"/>
      <c r="I15" s="6786"/>
      <c r="J15" s="6791"/>
      <c r="K15" s="6792"/>
      <c r="L15" s="6791"/>
      <c r="M15" s="6785"/>
      <c r="N15" s="6793"/>
      <c r="O15" s="6794"/>
      <c r="P15" s="6795"/>
      <c r="Q15" s="6796"/>
      <c r="R15" s="6797"/>
      <c r="S15" s="6798"/>
      <c r="T15" s="6765"/>
      <c r="U15" s="1021"/>
      <c r="V15" s="6787"/>
      <c r="W15" s="6787"/>
      <c r="X15" s="6787"/>
      <c r="Y15" s="6788"/>
      <c r="Z15" s="6789"/>
      <c r="AA15" s="6790"/>
      <c r="AB15" s="6786"/>
      <c r="AC15" s="6791"/>
      <c r="AD15" s="6792"/>
      <c r="AE15" s="6791"/>
      <c r="AF15" s="6785"/>
      <c r="AG15" s="6793"/>
      <c r="AH15" s="6794"/>
      <c r="AI15" s="6795"/>
      <c r="AJ15" s="6796"/>
      <c r="AK15" s="6797"/>
      <c r="AL15" s="6798"/>
      <c r="AM15" s="6765"/>
      <c r="AN15" s="1021"/>
      <c r="AO15" s="6787"/>
      <c r="AP15" s="6787"/>
      <c r="AQ15" s="6787"/>
      <c r="AR15" s="6788"/>
      <c r="AS15" s="6789"/>
      <c r="AT15" s="6790"/>
      <c r="AU15" s="6786"/>
      <c r="AV15" s="6791"/>
      <c r="AW15" s="6792"/>
      <c r="AX15" s="6791"/>
      <c r="AY15" s="6785"/>
      <c r="AZ15" s="6793"/>
      <c r="BA15" s="6794"/>
      <c r="BB15" s="6795"/>
      <c r="BC15" s="6796"/>
      <c r="BD15" s="6797"/>
      <c r="BE15" s="6798"/>
      <c r="BH15" s="5">
        <v>1</v>
      </c>
    </row>
    <row r="16" spans="1:62" ht="27" customHeight="1">
      <c r="B16" s="1021"/>
      <c r="C16" s="6787"/>
      <c r="D16" s="6787"/>
      <c r="E16" s="6787"/>
      <c r="F16" s="6788"/>
      <c r="G16" s="6789"/>
      <c r="H16" s="6790"/>
      <c r="I16" s="6786"/>
      <c r="J16" s="6791"/>
      <c r="K16" s="6792"/>
      <c r="L16" s="6791"/>
      <c r="M16" s="6785"/>
      <c r="N16" s="6793"/>
      <c r="O16" s="6794"/>
      <c r="P16" s="6795"/>
      <c r="Q16" s="6796"/>
      <c r="R16" s="6797"/>
      <c r="S16" s="6798"/>
      <c r="T16" s="6765"/>
      <c r="U16" s="1021"/>
      <c r="V16" s="6787"/>
      <c r="W16" s="6787"/>
      <c r="X16" s="6787"/>
      <c r="Y16" s="6788"/>
      <c r="Z16" s="6789"/>
      <c r="AA16" s="6790"/>
      <c r="AB16" s="6786"/>
      <c r="AC16" s="6791"/>
      <c r="AD16" s="6792"/>
      <c r="AE16" s="6791"/>
      <c r="AF16" s="6785"/>
      <c r="AG16" s="6793"/>
      <c r="AH16" s="6794"/>
      <c r="AI16" s="6795"/>
      <c r="AJ16" s="6796"/>
      <c r="AK16" s="6797"/>
      <c r="AL16" s="6798"/>
      <c r="AM16" s="6765"/>
      <c r="AN16" s="1021"/>
      <c r="AO16" s="6787"/>
      <c r="AP16" s="6787"/>
      <c r="AQ16" s="6787"/>
      <c r="AR16" s="6788"/>
      <c r="AS16" s="6789"/>
      <c r="AT16" s="6790"/>
      <c r="AU16" s="6786"/>
      <c r="AV16" s="6791"/>
      <c r="AW16" s="6792"/>
      <c r="AX16" s="6791"/>
      <c r="AY16" s="6785"/>
      <c r="AZ16" s="6793"/>
      <c r="BA16" s="6794"/>
      <c r="BB16" s="6795"/>
      <c r="BC16" s="6796"/>
      <c r="BD16" s="6797"/>
      <c r="BE16" s="6798"/>
      <c r="BH16" s="5">
        <v>1</v>
      </c>
    </row>
    <row r="17" spans="2:60" ht="27" customHeight="1">
      <c r="B17" s="1021"/>
      <c r="C17" s="6787"/>
      <c r="D17" s="6787"/>
      <c r="E17" s="6787"/>
      <c r="F17" s="6788"/>
      <c r="G17" s="6789"/>
      <c r="H17" s="6790"/>
      <c r="I17" s="6786"/>
      <c r="J17" s="6791"/>
      <c r="K17" s="6792"/>
      <c r="L17" s="6791"/>
      <c r="M17" s="6785"/>
      <c r="N17" s="6793"/>
      <c r="O17" s="6794"/>
      <c r="P17" s="6795"/>
      <c r="Q17" s="6796"/>
      <c r="R17" s="6797"/>
      <c r="S17" s="6798"/>
      <c r="T17" s="6765"/>
      <c r="U17" s="1021"/>
      <c r="V17" s="6787"/>
      <c r="W17" s="6787"/>
      <c r="X17" s="6787"/>
      <c r="Y17" s="6788"/>
      <c r="Z17" s="6789"/>
      <c r="AA17" s="6790"/>
      <c r="AB17" s="6786"/>
      <c r="AC17" s="6791"/>
      <c r="AD17" s="6792"/>
      <c r="AE17" s="6791"/>
      <c r="AF17" s="6785"/>
      <c r="AG17" s="6793"/>
      <c r="AH17" s="6794"/>
      <c r="AI17" s="6795"/>
      <c r="AJ17" s="6796"/>
      <c r="AK17" s="6797"/>
      <c r="AL17" s="6798"/>
      <c r="AM17" s="6765"/>
      <c r="AN17" s="1021"/>
      <c r="AO17" s="6787"/>
      <c r="AP17" s="6787"/>
      <c r="AQ17" s="6787"/>
      <c r="AR17" s="6788"/>
      <c r="AS17" s="6789"/>
      <c r="AT17" s="6790"/>
      <c r="AU17" s="6786"/>
      <c r="AV17" s="6791"/>
      <c r="AW17" s="6792"/>
      <c r="AX17" s="6791"/>
      <c r="AY17" s="6785"/>
      <c r="AZ17" s="6793"/>
      <c r="BA17" s="6794"/>
      <c r="BB17" s="6795"/>
      <c r="BC17" s="6796"/>
      <c r="BD17" s="6797"/>
      <c r="BE17" s="6798"/>
      <c r="BH17" s="5">
        <v>1</v>
      </c>
    </row>
    <row r="18" spans="2:60" ht="27" customHeight="1">
      <c r="B18" s="1021"/>
      <c r="C18" s="6787"/>
      <c r="D18" s="6787"/>
      <c r="E18" s="6787"/>
      <c r="F18" s="6788"/>
      <c r="G18" s="6789"/>
      <c r="H18" s="6790"/>
      <c r="I18" s="6786"/>
      <c r="J18" s="6791"/>
      <c r="K18" s="6792"/>
      <c r="L18" s="6791"/>
      <c r="M18" s="6785"/>
      <c r="N18" s="6793"/>
      <c r="O18" s="6794"/>
      <c r="P18" s="6795"/>
      <c r="Q18" s="6796"/>
      <c r="R18" s="6797"/>
      <c r="S18" s="6798"/>
      <c r="T18" s="6765"/>
      <c r="U18" s="1021"/>
      <c r="V18" s="6787"/>
      <c r="W18" s="6787"/>
      <c r="X18" s="6787"/>
      <c r="Y18" s="6788"/>
      <c r="Z18" s="6789"/>
      <c r="AA18" s="6790"/>
      <c r="AB18" s="6786"/>
      <c r="AC18" s="6791"/>
      <c r="AD18" s="6792"/>
      <c r="AE18" s="6791"/>
      <c r="AF18" s="6785"/>
      <c r="AG18" s="6793"/>
      <c r="AH18" s="6794"/>
      <c r="AI18" s="6795"/>
      <c r="AJ18" s="6796"/>
      <c r="AK18" s="6797"/>
      <c r="AL18" s="6798"/>
      <c r="AM18" s="6765"/>
      <c r="AN18" s="1021"/>
      <c r="AO18" s="6787"/>
      <c r="AP18" s="6787"/>
      <c r="AQ18" s="6787"/>
      <c r="AR18" s="6788"/>
      <c r="AS18" s="6789"/>
      <c r="AT18" s="6790"/>
      <c r="AU18" s="6786"/>
      <c r="AV18" s="6791"/>
      <c r="AW18" s="6792"/>
      <c r="AX18" s="6791"/>
      <c r="AY18" s="6785"/>
      <c r="AZ18" s="6793"/>
      <c r="BA18" s="6794"/>
      <c r="BB18" s="6795"/>
      <c r="BC18" s="6796"/>
      <c r="BD18" s="6797"/>
      <c r="BE18" s="6798"/>
      <c r="BH18" s="5">
        <v>1</v>
      </c>
    </row>
    <row r="19" spans="2:60" ht="27" customHeight="1">
      <c r="B19" s="1021"/>
      <c r="C19" s="6787"/>
      <c r="D19" s="6787"/>
      <c r="E19" s="6787"/>
      <c r="F19" s="6788"/>
      <c r="G19" s="6789"/>
      <c r="H19" s="6790"/>
      <c r="I19" s="6786"/>
      <c r="J19" s="6791"/>
      <c r="K19" s="6792"/>
      <c r="L19" s="6791"/>
      <c r="M19" s="6785"/>
      <c r="N19" s="6793"/>
      <c r="O19" s="6794"/>
      <c r="P19" s="6795"/>
      <c r="Q19" s="6796"/>
      <c r="R19" s="6797"/>
      <c r="S19" s="6798"/>
      <c r="T19" s="6765"/>
      <c r="U19" s="1021"/>
      <c r="V19" s="6787"/>
      <c r="W19" s="6787"/>
      <c r="X19" s="6787"/>
      <c r="Y19" s="6788"/>
      <c r="Z19" s="6789"/>
      <c r="AA19" s="6790"/>
      <c r="AB19" s="6786"/>
      <c r="AC19" s="6791"/>
      <c r="AD19" s="6792"/>
      <c r="AE19" s="6791"/>
      <c r="AF19" s="6785"/>
      <c r="AG19" s="6793"/>
      <c r="AH19" s="6794"/>
      <c r="AI19" s="6795"/>
      <c r="AJ19" s="6796"/>
      <c r="AK19" s="6797"/>
      <c r="AL19" s="6798"/>
      <c r="AM19" s="6765"/>
      <c r="AN19" s="1021"/>
      <c r="AO19" s="6787"/>
      <c r="AP19" s="6787"/>
      <c r="AQ19" s="6787"/>
      <c r="AR19" s="6788"/>
      <c r="AS19" s="6789"/>
      <c r="AT19" s="6790"/>
      <c r="AU19" s="6786"/>
      <c r="AV19" s="6791"/>
      <c r="AW19" s="6792"/>
      <c r="AX19" s="6791"/>
      <c r="AY19" s="6785"/>
      <c r="AZ19" s="6793"/>
      <c r="BA19" s="6794"/>
      <c r="BB19" s="6795"/>
      <c r="BC19" s="6796"/>
      <c r="BD19" s="6797"/>
      <c r="BE19" s="6798"/>
      <c r="BH19" s="5">
        <v>1</v>
      </c>
    </row>
    <row r="20" spans="2:60" ht="27" customHeight="1">
      <c r="B20" s="1021"/>
      <c r="C20" s="6787"/>
      <c r="D20" s="6787"/>
      <c r="E20" s="6787"/>
      <c r="F20" s="6788"/>
      <c r="G20" s="6789"/>
      <c r="H20" s="6790"/>
      <c r="I20" s="6786"/>
      <c r="J20" s="6791"/>
      <c r="K20" s="6792"/>
      <c r="L20" s="6791"/>
      <c r="M20" s="6785"/>
      <c r="N20" s="6793"/>
      <c r="O20" s="6794"/>
      <c r="P20" s="6795"/>
      <c r="Q20" s="6796"/>
      <c r="R20" s="6797"/>
      <c r="S20" s="6798"/>
      <c r="T20" s="6765"/>
      <c r="U20" s="1021"/>
      <c r="V20" s="6787"/>
      <c r="W20" s="6787"/>
      <c r="X20" s="6787"/>
      <c r="Y20" s="6788"/>
      <c r="Z20" s="6789"/>
      <c r="AA20" s="6790"/>
      <c r="AB20" s="6786"/>
      <c r="AC20" s="6791"/>
      <c r="AD20" s="6792"/>
      <c r="AE20" s="6791"/>
      <c r="AF20" s="6785"/>
      <c r="AG20" s="6793"/>
      <c r="AH20" s="6794"/>
      <c r="AI20" s="6795"/>
      <c r="AJ20" s="6796"/>
      <c r="AK20" s="6797"/>
      <c r="AL20" s="6798"/>
      <c r="AM20" s="6765"/>
      <c r="AN20" s="1021"/>
      <c r="AO20" s="6787"/>
      <c r="AP20" s="6787"/>
      <c r="AQ20" s="6787"/>
      <c r="AR20" s="6788"/>
      <c r="AS20" s="6789"/>
      <c r="AT20" s="6790"/>
      <c r="AU20" s="6786"/>
      <c r="AV20" s="6791"/>
      <c r="AW20" s="6792"/>
      <c r="AX20" s="6791"/>
      <c r="AY20" s="6785"/>
      <c r="AZ20" s="6793"/>
      <c r="BA20" s="6794"/>
      <c r="BB20" s="6795"/>
      <c r="BC20" s="6796"/>
      <c r="BD20" s="6797"/>
      <c r="BE20" s="6798"/>
      <c r="BH20" s="5">
        <v>1</v>
      </c>
    </row>
    <row r="21" spans="2:60" ht="27" customHeight="1">
      <c r="B21" s="1021"/>
      <c r="C21" s="6787"/>
      <c r="D21" s="6787"/>
      <c r="E21" s="6787"/>
      <c r="F21" s="6788"/>
      <c r="G21" s="6789"/>
      <c r="H21" s="6790"/>
      <c r="I21" s="6786"/>
      <c r="J21" s="6791"/>
      <c r="K21" s="6792"/>
      <c r="L21" s="6791"/>
      <c r="M21" s="6785"/>
      <c r="N21" s="6793"/>
      <c r="O21" s="6794"/>
      <c r="P21" s="6795"/>
      <c r="Q21" s="6796"/>
      <c r="R21" s="6797"/>
      <c r="S21" s="6798"/>
      <c r="T21" s="6765"/>
      <c r="U21" s="1021"/>
      <c r="V21" s="6787"/>
      <c r="W21" s="6787"/>
      <c r="X21" s="6787"/>
      <c r="Y21" s="6788"/>
      <c r="Z21" s="6789"/>
      <c r="AA21" s="6790"/>
      <c r="AB21" s="6786"/>
      <c r="AC21" s="6791"/>
      <c r="AD21" s="6792"/>
      <c r="AE21" s="6791"/>
      <c r="AF21" s="6785"/>
      <c r="AG21" s="6793"/>
      <c r="AH21" s="6794"/>
      <c r="AI21" s="6795"/>
      <c r="AJ21" s="6796"/>
      <c r="AK21" s="6797"/>
      <c r="AL21" s="6798"/>
      <c r="AM21" s="6765"/>
      <c r="AN21" s="1021"/>
      <c r="AO21" s="6787"/>
      <c r="AP21" s="6787"/>
      <c r="AQ21" s="6787"/>
      <c r="AR21" s="6788"/>
      <c r="AS21" s="6789"/>
      <c r="AT21" s="6790"/>
      <c r="AU21" s="6786"/>
      <c r="AV21" s="6791"/>
      <c r="AW21" s="6792"/>
      <c r="AX21" s="6791"/>
      <c r="AY21" s="6785"/>
      <c r="AZ21" s="6793"/>
      <c r="BA21" s="6794"/>
      <c r="BB21" s="6795"/>
      <c r="BC21" s="6796"/>
      <c r="BD21" s="6797"/>
      <c r="BE21" s="6798"/>
      <c r="BH21" s="5">
        <v>1</v>
      </c>
    </row>
    <row r="22" spans="2:60" ht="27" customHeight="1">
      <c r="B22" s="1021"/>
      <c r="C22" s="6787"/>
      <c r="D22" s="6787"/>
      <c r="E22" s="6787"/>
      <c r="F22" s="6788"/>
      <c r="G22" s="6789"/>
      <c r="H22" s="6790"/>
      <c r="I22" s="6786"/>
      <c r="J22" s="6791"/>
      <c r="K22" s="6792"/>
      <c r="L22" s="6791"/>
      <c r="M22" s="6785"/>
      <c r="N22" s="6793"/>
      <c r="O22" s="6794"/>
      <c r="P22" s="6795"/>
      <c r="Q22" s="6796"/>
      <c r="R22" s="6797"/>
      <c r="S22" s="6798"/>
      <c r="T22" s="6765"/>
      <c r="U22" s="1021"/>
      <c r="V22" s="6787"/>
      <c r="W22" s="6787"/>
      <c r="X22" s="6787"/>
      <c r="Y22" s="6788"/>
      <c r="Z22" s="6789"/>
      <c r="AA22" s="6790"/>
      <c r="AB22" s="6786"/>
      <c r="AC22" s="6791"/>
      <c r="AD22" s="6792"/>
      <c r="AE22" s="6791"/>
      <c r="AF22" s="6785"/>
      <c r="AG22" s="6793"/>
      <c r="AH22" s="6794"/>
      <c r="AI22" s="6795"/>
      <c r="AJ22" s="6796"/>
      <c r="AK22" s="6797"/>
      <c r="AL22" s="6798"/>
      <c r="AM22" s="6765"/>
      <c r="AN22" s="1021"/>
      <c r="AO22" s="6787"/>
      <c r="AP22" s="6787"/>
      <c r="AQ22" s="6787"/>
      <c r="AR22" s="6788"/>
      <c r="AS22" s="6789"/>
      <c r="AT22" s="6790"/>
      <c r="AU22" s="6786"/>
      <c r="AV22" s="6791"/>
      <c r="AW22" s="6792"/>
      <c r="AX22" s="6791"/>
      <c r="AY22" s="6785"/>
      <c r="AZ22" s="6793"/>
      <c r="BA22" s="6794"/>
      <c r="BB22" s="6795"/>
      <c r="BC22" s="6796"/>
      <c r="BD22" s="6797"/>
      <c r="BE22" s="6798"/>
      <c r="BH22" s="5">
        <v>1</v>
      </c>
    </row>
    <row r="23" spans="2:60" ht="27" customHeight="1">
      <c r="B23" s="1021"/>
      <c r="C23" s="6787"/>
      <c r="D23" s="6787"/>
      <c r="E23" s="6787"/>
      <c r="F23" s="6788"/>
      <c r="G23" s="6789"/>
      <c r="H23" s="6790"/>
      <c r="I23" s="6786"/>
      <c r="J23" s="6791"/>
      <c r="K23" s="6792"/>
      <c r="L23" s="6791"/>
      <c r="M23" s="6785"/>
      <c r="N23" s="6793"/>
      <c r="O23" s="6794"/>
      <c r="P23" s="6795"/>
      <c r="Q23" s="6796"/>
      <c r="R23" s="6797"/>
      <c r="S23" s="6798"/>
      <c r="T23" s="6765"/>
      <c r="U23" s="1021"/>
      <c r="V23" s="6787"/>
      <c r="W23" s="6787"/>
      <c r="X23" s="6787"/>
      <c r="Y23" s="6788"/>
      <c r="Z23" s="6789"/>
      <c r="AA23" s="6790"/>
      <c r="AB23" s="6786"/>
      <c r="AC23" s="6791"/>
      <c r="AD23" s="6792"/>
      <c r="AE23" s="6791"/>
      <c r="AF23" s="6785"/>
      <c r="AG23" s="6793"/>
      <c r="AH23" s="6794"/>
      <c r="AI23" s="6795"/>
      <c r="AJ23" s="6796"/>
      <c r="AK23" s="6797"/>
      <c r="AL23" s="6798"/>
      <c r="AM23" s="6765"/>
      <c r="AN23" s="1021"/>
      <c r="AO23" s="6787"/>
      <c r="AP23" s="6787"/>
      <c r="AQ23" s="6787"/>
      <c r="AR23" s="6788"/>
      <c r="AS23" s="6789"/>
      <c r="AT23" s="6790"/>
      <c r="AU23" s="6786"/>
      <c r="AV23" s="6791"/>
      <c r="AW23" s="6792"/>
      <c r="AX23" s="6791"/>
      <c r="AY23" s="6785"/>
      <c r="AZ23" s="6793"/>
      <c r="BA23" s="6794"/>
      <c r="BB23" s="6795"/>
      <c r="BC23" s="6796"/>
      <c r="BD23" s="6797"/>
      <c r="BE23" s="6798"/>
      <c r="BH23" s="5">
        <v>1</v>
      </c>
    </row>
    <row r="24" spans="2:60" ht="27" customHeight="1">
      <c r="B24" s="1021"/>
      <c r="C24" s="6787"/>
      <c r="D24" s="6787"/>
      <c r="E24" s="6787"/>
      <c r="F24" s="6788"/>
      <c r="G24" s="6789"/>
      <c r="H24" s="6790"/>
      <c r="I24" s="6786"/>
      <c r="J24" s="6791"/>
      <c r="K24" s="6792"/>
      <c r="L24" s="6791"/>
      <c r="M24" s="6785"/>
      <c r="N24" s="6793"/>
      <c r="O24" s="6794"/>
      <c r="P24" s="6795"/>
      <c r="Q24" s="6796"/>
      <c r="R24" s="6797"/>
      <c r="S24" s="6798"/>
      <c r="T24" s="6765"/>
      <c r="U24" s="1021"/>
      <c r="V24" s="6787"/>
      <c r="W24" s="6787"/>
      <c r="X24" s="6787"/>
      <c r="Y24" s="6788"/>
      <c r="Z24" s="6789"/>
      <c r="AA24" s="6790"/>
      <c r="AB24" s="6786"/>
      <c r="AC24" s="6791"/>
      <c r="AD24" s="6792"/>
      <c r="AE24" s="6791"/>
      <c r="AF24" s="6785"/>
      <c r="AG24" s="6793"/>
      <c r="AH24" s="6794"/>
      <c r="AI24" s="6795"/>
      <c r="AJ24" s="6796"/>
      <c r="AK24" s="6797"/>
      <c r="AL24" s="6798"/>
      <c r="AM24" s="6765"/>
      <c r="AN24" s="1021"/>
      <c r="AO24" s="6787"/>
      <c r="AP24" s="6787"/>
      <c r="AQ24" s="6787"/>
      <c r="AR24" s="6788"/>
      <c r="AS24" s="6789"/>
      <c r="AT24" s="6790"/>
      <c r="AU24" s="6786"/>
      <c r="AV24" s="6791"/>
      <c r="AW24" s="6792"/>
      <c r="AX24" s="6791"/>
      <c r="AY24" s="6785"/>
      <c r="AZ24" s="6793"/>
      <c r="BA24" s="6794"/>
      <c r="BB24" s="6795"/>
      <c r="BC24" s="6796"/>
      <c r="BD24" s="6797"/>
      <c r="BE24" s="6798"/>
      <c r="BH24" s="5">
        <v>1</v>
      </c>
    </row>
    <row r="25" spans="2:60" ht="27" customHeight="1">
      <c r="B25" s="1021"/>
      <c r="C25" s="6787"/>
      <c r="D25" s="6787"/>
      <c r="E25" s="6787"/>
      <c r="F25" s="6788"/>
      <c r="G25" s="6789"/>
      <c r="H25" s="6790"/>
      <c r="I25" s="6786"/>
      <c r="J25" s="6791"/>
      <c r="K25" s="6792"/>
      <c r="L25" s="6791"/>
      <c r="M25" s="6785"/>
      <c r="N25" s="6793"/>
      <c r="O25" s="6794"/>
      <c r="P25" s="6795"/>
      <c r="Q25" s="6796"/>
      <c r="R25" s="6797"/>
      <c r="S25" s="6798"/>
      <c r="T25" s="6765"/>
      <c r="U25" s="1021"/>
      <c r="V25" s="6787"/>
      <c r="W25" s="6787"/>
      <c r="X25" s="6787"/>
      <c r="Y25" s="6788"/>
      <c r="Z25" s="6789"/>
      <c r="AA25" s="6790"/>
      <c r="AB25" s="6786"/>
      <c r="AC25" s="6791"/>
      <c r="AD25" s="6792"/>
      <c r="AE25" s="6791"/>
      <c r="AF25" s="6785"/>
      <c r="AG25" s="6793"/>
      <c r="AH25" s="6794"/>
      <c r="AI25" s="6795"/>
      <c r="AJ25" s="6796"/>
      <c r="AK25" s="6797"/>
      <c r="AL25" s="6798"/>
      <c r="AM25" s="6765"/>
      <c r="AN25" s="1021"/>
      <c r="AO25" s="6787"/>
      <c r="AP25" s="6787"/>
      <c r="AQ25" s="6787"/>
      <c r="AR25" s="6788"/>
      <c r="AS25" s="6789"/>
      <c r="AT25" s="6790"/>
      <c r="AU25" s="6786"/>
      <c r="AV25" s="6791"/>
      <c r="AW25" s="6792"/>
      <c r="AX25" s="6791"/>
      <c r="AY25" s="6785"/>
      <c r="AZ25" s="6793"/>
      <c r="BA25" s="6794"/>
      <c r="BB25" s="6795"/>
      <c r="BC25" s="6796"/>
      <c r="BD25" s="6797"/>
      <c r="BE25" s="6798"/>
      <c r="BH25" s="5">
        <v>1</v>
      </c>
    </row>
    <row r="26" spans="2:60" ht="27" customHeight="1">
      <c r="B26" s="1021"/>
      <c r="C26" s="6787"/>
      <c r="D26" s="6787"/>
      <c r="E26" s="6787"/>
      <c r="F26" s="6788"/>
      <c r="G26" s="6789"/>
      <c r="H26" s="6790"/>
      <c r="I26" s="6786"/>
      <c r="J26" s="6791"/>
      <c r="K26" s="6792"/>
      <c r="L26" s="6791"/>
      <c r="M26" s="6785"/>
      <c r="N26" s="6793"/>
      <c r="O26" s="6794"/>
      <c r="P26" s="6795"/>
      <c r="Q26" s="6796"/>
      <c r="R26" s="6797"/>
      <c r="S26" s="6798"/>
      <c r="T26" s="6765"/>
      <c r="U26" s="1021"/>
      <c r="V26" s="6787"/>
      <c r="W26" s="6787"/>
      <c r="X26" s="6787"/>
      <c r="Y26" s="6788"/>
      <c r="Z26" s="6789"/>
      <c r="AA26" s="6790"/>
      <c r="AB26" s="6786"/>
      <c r="AC26" s="6791"/>
      <c r="AD26" s="6792"/>
      <c r="AE26" s="6791"/>
      <c r="AF26" s="6785"/>
      <c r="AG26" s="6793"/>
      <c r="AH26" s="6794"/>
      <c r="AI26" s="6795"/>
      <c r="AJ26" s="6796"/>
      <c r="AK26" s="6797"/>
      <c r="AL26" s="6798"/>
      <c r="AM26" s="6765"/>
      <c r="AN26" s="1021"/>
      <c r="AO26" s="6787"/>
      <c r="AP26" s="6787"/>
      <c r="AQ26" s="6787"/>
      <c r="AR26" s="6788"/>
      <c r="AS26" s="6789"/>
      <c r="AT26" s="6790"/>
      <c r="AU26" s="6786"/>
      <c r="AV26" s="6791"/>
      <c r="AW26" s="6792"/>
      <c r="AX26" s="6791"/>
      <c r="AY26" s="6785"/>
      <c r="AZ26" s="6793"/>
      <c r="BA26" s="6794"/>
      <c r="BB26" s="6795"/>
      <c r="BC26" s="6796"/>
      <c r="BD26" s="6797"/>
      <c r="BE26" s="6798"/>
      <c r="BH26" s="5">
        <v>1</v>
      </c>
    </row>
    <row r="27" spans="2:60" ht="27" customHeight="1">
      <c r="B27" s="1021"/>
      <c r="C27" s="6787"/>
      <c r="D27" s="6787"/>
      <c r="E27" s="6787"/>
      <c r="F27" s="6788"/>
      <c r="G27" s="6789"/>
      <c r="H27" s="6790"/>
      <c r="I27" s="6786"/>
      <c r="J27" s="6791"/>
      <c r="K27" s="6792"/>
      <c r="L27" s="6791"/>
      <c r="M27" s="6785"/>
      <c r="N27" s="6793"/>
      <c r="O27" s="6794"/>
      <c r="P27" s="6795"/>
      <c r="Q27" s="6796"/>
      <c r="R27" s="6797"/>
      <c r="S27" s="6798"/>
      <c r="T27" s="6765"/>
      <c r="U27" s="1021"/>
      <c r="V27" s="6787"/>
      <c r="W27" s="6787"/>
      <c r="X27" s="6787"/>
      <c r="Y27" s="6788"/>
      <c r="Z27" s="6789"/>
      <c r="AA27" s="6790"/>
      <c r="AB27" s="6786"/>
      <c r="AC27" s="6791"/>
      <c r="AD27" s="6792"/>
      <c r="AE27" s="6791"/>
      <c r="AF27" s="6785"/>
      <c r="AG27" s="6793"/>
      <c r="AH27" s="6794"/>
      <c r="AI27" s="6795"/>
      <c r="AJ27" s="6796"/>
      <c r="AK27" s="6797"/>
      <c r="AL27" s="6798"/>
      <c r="AM27" s="6765"/>
      <c r="AN27" s="1021"/>
      <c r="AO27" s="6787"/>
      <c r="AP27" s="6787"/>
      <c r="AQ27" s="6787"/>
      <c r="AR27" s="6788"/>
      <c r="AS27" s="6789"/>
      <c r="AT27" s="6790"/>
      <c r="AU27" s="6786"/>
      <c r="AV27" s="6791"/>
      <c r="AW27" s="6792"/>
      <c r="AX27" s="6791"/>
      <c r="AY27" s="6785"/>
      <c r="AZ27" s="6793"/>
      <c r="BA27" s="6794"/>
      <c r="BB27" s="6795"/>
      <c r="BC27" s="6796"/>
      <c r="BD27" s="6797"/>
      <c r="BE27" s="6798"/>
      <c r="BH27" s="5">
        <v>1</v>
      </c>
    </row>
    <row r="28" spans="2:60" ht="27" customHeight="1">
      <c r="B28" s="1021"/>
      <c r="C28" s="6787"/>
      <c r="D28" s="6787"/>
      <c r="E28" s="6787"/>
      <c r="F28" s="6788"/>
      <c r="G28" s="6789"/>
      <c r="H28" s="6790"/>
      <c r="I28" s="6786"/>
      <c r="J28" s="6791"/>
      <c r="K28" s="6792"/>
      <c r="L28" s="6791"/>
      <c r="M28" s="6785"/>
      <c r="N28" s="6793"/>
      <c r="O28" s="6794"/>
      <c r="P28" s="6795"/>
      <c r="Q28" s="6796"/>
      <c r="R28" s="6797"/>
      <c r="S28" s="6798"/>
      <c r="T28" s="6765"/>
      <c r="U28" s="1021"/>
      <c r="V28" s="6787"/>
      <c r="W28" s="6787"/>
      <c r="X28" s="6787"/>
      <c r="Y28" s="6788"/>
      <c r="Z28" s="6789"/>
      <c r="AA28" s="6790"/>
      <c r="AB28" s="6786"/>
      <c r="AC28" s="6791"/>
      <c r="AD28" s="6792"/>
      <c r="AE28" s="6791"/>
      <c r="AF28" s="6785"/>
      <c r="AG28" s="6793"/>
      <c r="AH28" s="6794"/>
      <c r="AI28" s="6795"/>
      <c r="AJ28" s="6796"/>
      <c r="AK28" s="6797"/>
      <c r="AL28" s="6798"/>
      <c r="AM28" s="6765"/>
      <c r="AN28" s="1021"/>
      <c r="AO28" s="6787"/>
      <c r="AP28" s="6787"/>
      <c r="AQ28" s="6787"/>
      <c r="AR28" s="6788"/>
      <c r="AS28" s="6789"/>
      <c r="AT28" s="6790"/>
      <c r="AU28" s="6786"/>
      <c r="AV28" s="6791"/>
      <c r="AW28" s="6792"/>
      <c r="AX28" s="6791"/>
      <c r="AY28" s="6785"/>
      <c r="AZ28" s="6793"/>
      <c r="BA28" s="6794"/>
      <c r="BB28" s="6795"/>
      <c r="BC28" s="6796"/>
      <c r="BD28" s="6797"/>
      <c r="BE28" s="6798"/>
      <c r="BH28" s="5">
        <v>1</v>
      </c>
    </row>
    <row r="29" spans="2:60" ht="27" customHeight="1">
      <c r="B29" s="1021"/>
      <c r="C29" s="6787"/>
      <c r="D29" s="6787"/>
      <c r="E29" s="6787"/>
      <c r="F29" s="6788"/>
      <c r="G29" s="6789"/>
      <c r="H29" s="6790"/>
      <c r="I29" s="6786"/>
      <c r="J29" s="6791"/>
      <c r="K29" s="6792"/>
      <c r="L29" s="6791"/>
      <c r="M29" s="6785"/>
      <c r="N29" s="6793"/>
      <c r="O29" s="6794"/>
      <c r="P29" s="6795"/>
      <c r="Q29" s="6796"/>
      <c r="R29" s="6797"/>
      <c r="S29" s="6798"/>
      <c r="T29" s="6765"/>
      <c r="U29" s="1021"/>
      <c r="V29" s="6787"/>
      <c r="W29" s="6787"/>
      <c r="X29" s="6787"/>
      <c r="Y29" s="6788"/>
      <c r="Z29" s="6789"/>
      <c r="AA29" s="6790"/>
      <c r="AB29" s="6786"/>
      <c r="AC29" s="6791"/>
      <c r="AD29" s="6792"/>
      <c r="AE29" s="6791"/>
      <c r="AF29" s="6785"/>
      <c r="AG29" s="6793"/>
      <c r="AH29" s="6794"/>
      <c r="AI29" s="6795"/>
      <c r="AJ29" s="6796"/>
      <c r="AK29" s="6797"/>
      <c r="AL29" s="6798"/>
      <c r="AM29" s="6765"/>
      <c r="AN29" s="1021"/>
      <c r="AO29" s="6787"/>
      <c r="AP29" s="6787"/>
      <c r="AQ29" s="6787"/>
      <c r="AR29" s="6788"/>
      <c r="AS29" s="6789"/>
      <c r="AT29" s="6790"/>
      <c r="AU29" s="6786"/>
      <c r="AV29" s="6791"/>
      <c r="AW29" s="6792"/>
      <c r="AX29" s="6791"/>
      <c r="AY29" s="6785"/>
      <c r="AZ29" s="6793"/>
      <c r="BA29" s="6794"/>
      <c r="BB29" s="6795"/>
      <c r="BC29" s="6796"/>
      <c r="BD29" s="6797"/>
      <c r="BE29" s="6798"/>
      <c r="BH29" s="5">
        <v>1</v>
      </c>
    </row>
    <row r="30" spans="2:60" ht="27" customHeight="1">
      <c r="B30" s="1021"/>
      <c r="C30" s="6787"/>
      <c r="D30" s="6787"/>
      <c r="E30" s="6787"/>
      <c r="F30" s="6788"/>
      <c r="G30" s="6789"/>
      <c r="H30" s="6790"/>
      <c r="I30" s="6786"/>
      <c r="J30" s="6791"/>
      <c r="K30" s="6792"/>
      <c r="L30" s="6791"/>
      <c r="M30" s="6785"/>
      <c r="N30" s="6793"/>
      <c r="O30" s="6794"/>
      <c r="P30" s="6795"/>
      <c r="Q30" s="6796"/>
      <c r="R30" s="6797"/>
      <c r="S30" s="6798"/>
      <c r="T30" s="6765"/>
      <c r="U30" s="1021"/>
      <c r="V30" s="6787"/>
      <c r="W30" s="6787"/>
      <c r="X30" s="6787"/>
      <c r="Y30" s="6788"/>
      <c r="Z30" s="6789"/>
      <c r="AA30" s="6790"/>
      <c r="AB30" s="6786"/>
      <c r="AC30" s="6791"/>
      <c r="AD30" s="6792"/>
      <c r="AE30" s="6791"/>
      <c r="AF30" s="6785"/>
      <c r="AG30" s="6793"/>
      <c r="AH30" s="6794"/>
      <c r="AI30" s="6795"/>
      <c r="AJ30" s="6796"/>
      <c r="AK30" s="6797"/>
      <c r="AL30" s="6798"/>
      <c r="AM30" s="6765"/>
      <c r="AN30" s="1021"/>
      <c r="AO30" s="6787"/>
      <c r="AP30" s="6787"/>
      <c r="AQ30" s="6787"/>
      <c r="AR30" s="6788"/>
      <c r="AS30" s="6789"/>
      <c r="AT30" s="6790"/>
      <c r="AU30" s="6786"/>
      <c r="AV30" s="6791"/>
      <c r="AW30" s="6792"/>
      <c r="AX30" s="6791"/>
      <c r="AY30" s="6785"/>
      <c r="AZ30" s="6793"/>
      <c r="BA30" s="6794"/>
      <c r="BB30" s="6795"/>
      <c r="BC30" s="6796"/>
      <c r="BD30" s="6797"/>
      <c r="BE30" s="6798"/>
      <c r="BH30" s="5">
        <v>1</v>
      </c>
    </row>
    <row r="31" spans="2:60" ht="27" customHeight="1">
      <c r="B31" s="1021"/>
      <c r="C31" s="6787"/>
      <c r="D31" s="6787"/>
      <c r="E31" s="6787"/>
      <c r="F31" s="6788"/>
      <c r="G31" s="6789"/>
      <c r="H31" s="6790"/>
      <c r="I31" s="6786"/>
      <c r="J31" s="6791"/>
      <c r="K31" s="6792"/>
      <c r="L31" s="6791"/>
      <c r="M31" s="6785"/>
      <c r="N31" s="6793"/>
      <c r="O31" s="6794"/>
      <c r="P31" s="6795"/>
      <c r="Q31" s="6796"/>
      <c r="R31" s="6797"/>
      <c r="S31" s="6798"/>
      <c r="T31" s="6765"/>
      <c r="U31" s="1021"/>
      <c r="V31" s="6787"/>
      <c r="W31" s="6787"/>
      <c r="X31" s="6787"/>
      <c r="Y31" s="6788"/>
      <c r="Z31" s="6789"/>
      <c r="AA31" s="6790"/>
      <c r="AB31" s="6786"/>
      <c r="AC31" s="6791"/>
      <c r="AD31" s="6792"/>
      <c r="AE31" s="6791"/>
      <c r="AF31" s="6785"/>
      <c r="AG31" s="6793"/>
      <c r="AH31" s="6794"/>
      <c r="AI31" s="6795"/>
      <c r="AJ31" s="6796"/>
      <c r="AK31" s="6797"/>
      <c r="AL31" s="6798"/>
      <c r="AM31" s="6765"/>
      <c r="AN31" s="1021"/>
      <c r="AO31" s="6787"/>
      <c r="AP31" s="6787"/>
      <c r="AQ31" s="6787"/>
      <c r="AR31" s="6788"/>
      <c r="AS31" s="6789"/>
      <c r="AT31" s="6790"/>
      <c r="AU31" s="6786"/>
      <c r="AV31" s="6791"/>
      <c r="AW31" s="6792"/>
      <c r="AX31" s="6791"/>
      <c r="AY31" s="6785"/>
      <c r="AZ31" s="6793"/>
      <c r="BA31" s="6794"/>
      <c r="BB31" s="6795"/>
      <c r="BC31" s="6796"/>
      <c r="BD31" s="6797"/>
      <c r="BE31" s="6798"/>
      <c r="BH31" s="5">
        <v>1</v>
      </c>
    </row>
    <row r="32" spans="2:60" ht="27" customHeight="1">
      <c r="B32" s="1021"/>
      <c r="C32" s="6787"/>
      <c r="D32" s="6787"/>
      <c r="E32" s="6787"/>
      <c r="F32" s="6788"/>
      <c r="G32" s="6789"/>
      <c r="H32" s="6790"/>
      <c r="I32" s="6786"/>
      <c r="J32" s="6791"/>
      <c r="K32" s="6792"/>
      <c r="L32" s="6791"/>
      <c r="M32" s="6785"/>
      <c r="N32" s="6793"/>
      <c r="O32" s="6794"/>
      <c r="P32" s="6795"/>
      <c r="Q32" s="6796"/>
      <c r="R32" s="6797"/>
      <c r="S32" s="6798"/>
      <c r="T32" s="6765"/>
      <c r="U32" s="1021"/>
      <c r="V32" s="6787"/>
      <c r="W32" s="6787"/>
      <c r="X32" s="6787"/>
      <c r="Y32" s="6788"/>
      <c r="Z32" s="6789"/>
      <c r="AA32" s="6790"/>
      <c r="AB32" s="6786"/>
      <c r="AC32" s="6791"/>
      <c r="AD32" s="6792"/>
      <c r="AE32" s="6791"/>
      <c r="AF32" s="6785"/>
      <c r="AG32" s="6793"/>
      <c r="AH32" s="6794"/>
      <c r="AI32" s="6795"/>
      <c r="AJ32" s="6796"/>
      <c r="AK32" s="6797"/>
      <c r="AL32" s="6798"/>
      <c r="AM32" s="6765"/>
      <c r="AN32" s="1021"/>
      <c r="AO32" s="6787"/>
      <c r="AP32" s="6787"/>
      <c r="AQ32" s="6787"/>
      <c r="AR32" s="6788"/>
      <c r="AS32" s="6789"/>
      <c r="AT32" s="6790"/>
      <c r="AU32" s="6786"/>
      <c r="AV32" s="6791"/>
      <c r="AW32" s="6792"/>
      <c r="AX32" s="6791"/>
      <c r="AY32" s="6785"/>
      <c r="AZ32" s="6793"/>
      <c r="BA32" s="6794"/>
      <c r="BB32" s="6795"/>
      <c r="BC32" s="6796"/>
      <c r="BD32" s="6797"/>
      <c r="BE32" s="6798"/>
      <c r="BH32" s="5">
        <v>1</v>
      </c>
    </row>
    <row r="33" spans="2:60" ht="27" customHeight="1">
      <c r="B33" s="1021"/>
      <c r="C33" s="6787"/>
      <c r="D33" s="6787"/>
      <c r="E33" s="6787"/>
      <c r="F33" s="6788"/>
      <c r="G33" s="6789"/>
      <c r="H33" s="6790"/>
      <c r="I33" s="6786"/>
      <c r="J33" s="6791"/>
      <c r="K33" s="6792"/>
      <c r="L33" s="6791"/>
      <c r="M33" s="6785"/>
      <c r="N33" s="6793"/>
      <c r="O33" s="6794"/>
      <c r="P33" s="6795"/>
      <c r="Q33" s="6796"/>
      <c r="R33" s="6797"/>
      <c r="S33" s="6798"/>
      <c r="T33" s="6765"/>
      <c r="U33" s="1021"/>
      <c r="V33" s="6787"/>
      <c r="W33" s="6787"/>
      <c r="X33" s="6787"/>
      <c r="Y33" s="6788"/>
      <c r="Z33" s="6789"/>
      <c r="AA33" s="6790"/>
      <c r="AB33" s="6786"/>
      <c r="AC33" s="6791"/>
      <c r="AD33" s="6792"/>
      <c r="AE33" s="6791"/>
      <c r="AF33" s="6785"/>
      <c r="AG33" s="6793"/>
      <c r="AH33" s="6794"/>
      <c r="AI33" s="6795"/>
      <c r="AJ33" s="6796"/>
      <c r="AK33" s="6797"/>
      <c r="AL33" s="6798"/>
      <c r="AM33" s="6765"/>
      <c r="AN33" s="1021"/>
      <c r="AO33" s="6787"/>
      <c r="AP33" s="6787"/>
      <c r="AQ33" s="6787"/>
      <c r="AR33" s="6788"/>
      <c r="AS33" s="6789"/>
      <c r="AT33" s="6790"/>
      <c r="AU33" s="6786"/>
      <c r="AV33" s="6791"/>
      <c r="AW33" s="6792"/>
      <c r="AX33" s="6791"/>
      <c r="AY33" s="6785"/>
      <c r="AZ33" s="6793"/>
      <c r="BA33" s="6794"/>
      <c r="BB33" s="6795"/>
      <c r="BC33" s="6796"/>
      <c r="BD33" s="6797"/>
      <c r="BE33" s="6798"/>
      <c r="BH33" s="5">
        <v>1</v>
      </c>
    </row>
    <row r="34" spans="2:60" ht="27" customHeight="1">
      <c r="B34" s="1021"/>
      <c r="C34" s="6787"/>
      <c r="D34" s="6787"/>
      <c r="E34" s="6787"/>
      <c r="F34" s="6788"/>
      <c r="G34" s="6789"/>
      <c r="H34" s="6790"/>
      <c r="I34" s="6786"/>
      <c r="J34" s="6791"/>
      <c r="K34" s="6792"/>
      <c r="L34" s="6791"/>
      <c r="M34" s="6785"/>
      <c r="N34" s="6793"/>
      <c r="O34" s="6794"/>
      <c r="P34" s="6795"/>
      <c r="Q34" s="6796"/>
      <c r="R34" s="6797"/>
      <c r="S34" s="6798"/>
      <c r="T34" s="6765"/>
      <c r="U34" s="1021"/>
      <c r="V34" s="6787"/>
      <c r="W34" s="6787"/>
      <c r="X34" s="6787"/>
      <c r="Y34" s="6788"/>
      <c r="Z34" s="6789"/>
      <c r="AA34" s="6790"/>
      <c r="AB34" s="6786"/>
      <c r="AC34" s="6791"/>
      <c r="AD34" s="6792"/>
      <c r="AE34" s="6791"/>
      <c r="AF34" s="6785"/>
      <c r="AG34" s="6793"/>
      <c r="AH34" s="6794"/>
      <c r="AI34" s="6795"/>
      <c r="AJ34" s="6796"/>
      <c r="AK34" s="6797"/>
      <c r="AL34" s="6798"/>
      <c r="AM34" s="6765"/>
      <c r="AN34" s="1021"/>
      <c r="AO34" s="6787"/>
      <c r="AP34" s="6787"/>
      <c r="AQ34" s="6787"/>
      <c r="AR34" s="6788"/>
      <c r="AS34" s="6789"/>
      <c r="AT34" s="6790"/>
      <c r="AU34" s="6786"/>
      <c r="AV34" s="6791"/>
      <c r="AW34" s="6792"/>
      <c r="AX34" s="6791"/>
      <c r="AY34" s="6785"/>
      <c r="AZ34" s="6793"/>
      <c r="BA34" s="6794"/>
      <c r="BB34" s="6795"/>
      <c r="BC34" s="6796"/>
      <c r="BD34" s="6797"/>
      <c r="BE34" s="6798"/>
      <c r="BH34" s="5">
        <v>1</v>
      </c>
    </row>
    <row r="35" spans="2:60" ht="27" customHeight="1">
      <c r="B35" s="1021"/>
      <c r="C35" s="6787"/>
      <c r="D35" s="6787"/>
      <c r="E35" s="6787"/>
      <c r="F35" s="6788"/>
      <c r="G35" s="6789"/>
      <c r="H35" s="6790"/>
      <c r="I35" s="6786"/>
      <c r="J35" s="6791"/>
      <c r="K35" s="6792"/>
      <c r="L35" s="6791"/>
      <c r="M35" s="6785"/>
      <c r="N35" s="6793"/>
      <c r="O35" s="6794"/>
      <c r="P35" s="6795"/>
      <c r="Q35" s="6796"/>
      <c r="R35" s="6797"/>
      <c r="S35" s="6798"/>
      <c r="T35" s="6765"/>
      <c r="U35" s="1021"/>
      <c r="V35" s="6787"/>
      <c r="W35" s="6787"/>
      <c r="X35" s="6787"/>
      <c r="Y35" s="6788"/>
      <c r="Z35" s="6789"/>
      <c r="AA35" s="6790"/>
      <c r="AB35" s="6786"/>
      <c r="AC35" s="6791"/>
      <c r="AD35" s="6792"/>
      <c r="AE35" s="6791"/>
      <c r="AF35" s="6785"/>
      <c r="AG35" s="6793"/>
      <c r="AH35" s="6794"/>
      <c r="AI35" s="6795"/>
      <c r="AJ35" s="6796"/>
      <c r="AK35" s="6797"/>
      <c r="AL35" s="6798"/>
      <c r="AM35" s="6765"/>
      <c r="AN35" s="1021"/>
      <c r="AO35" s="6787"/>
      <c r="AP35" s="6787"/>
      <c r="AQ35" s="6787"/>
      <c r="AR35" s="6788"/>
      <c r="AS35" s="6789"/>
      <c r="AT35" s="6790"/>
      <c r="AU35" s="6786"/>
      <c r="AV35" s="6791"/>
      <c r="AW35" s="6792"/>
      <c r="AX35" s="6791"/>
      <c r="AY35" s="6785"/>
      <c r="AZ35" s="6793"/>
      <c r="BA35" s="6794"/>
      <c r="BB35" s="6795"/>
      <c r="BC35" s="6796"/>
      <c r="BD35" s="6797"/>
      <c r="BE35" s="6798"/>
      <c r="BH35" s="5">
        <v>1</v>
      </c>
    </row>
    <row r="36" spans="2:60" ht="27" customHeight="1">
      <c r="B36" s="1021"/>
      <c r="C36" s="6787"/>
      <c r="D36" s="6787"/>
      <c r="E36" s="6787"/>
      <c r="F36" s="6788"/>
      <c r="G36" s="6789"/>
      <c r="H36" s="6790"/>
      <c r="I36" s="6786"/>
      <c r="J36" s="6791"/>
      <c r="K36" s="6792"/>
      <c r="L36" s="6791"/>
      <c r="M36" s="6785"/>
      <c r="N36" s="6793"/>
      <c r="O36" s="6794"/>
      <c r="P36" s="6795"/>
      <c r="Q36" s="6796"/>
      <c r="R36" s="6797"/>
      <c r="S36" s="6798"/>
      <c r="T36" s="6765"/>
      <c r="U36" s="1021"/>
      <c r="V36" s="6787"/>
      <c r="W36" s="6787"/>
      <c r="X36" s="6787"/>
      <c r="Y36" s="6788"/>
      <c r="Z36" s="6789"/>
      <c r="AA36" s="6790"/>
      <c r="AB36" s="6786"/>
      <c r="AC36" s="6791"/>
      <c r="AD36" s="6792"/>
      <c r="AE36" s="6791"/>
      <c r="AF36" s="6785"/>
      <c r="AG36" s="6793"/>
      <c r="AH36" s="6794"/>
      <c r="AI36" s="6795"/>
      <c r="AJ36" s="6796"/>
      <c r="AK36" s="6797"/>
      <c r="AL36" s="6798"/>
      <c r="AM36" s="6765"/>
      <c r="AN36" s="1021"/>
      <c r="AO36" s="6787"/>
      <c r="AP36" s="6787"/>
      <c r="AQ36" s="6787"/>
      <c r="AR36" s="6788"/>
      <c r="AS36" s="6789"/>
      <c r="AT36" s="6790"/>
      <c r="AU36" s="6786"/>
      <c r="AV36" s="6791"/>
      <c r="AW36" s="6792"/>
      <c r="AX36" s="6791"/>
      <c r="AY36" s="6785"/>
      <c r="AZ36" s="6793"/>
      <c r="BA36" s="6794"/>
      <c r="BB36" s="6795"/>
      <c r="BC36" s="6796"/>
      <c r="BD36" s="6797"/>
      <c r="BE36" s="6798"/>
      <c r="BH36" s="5">
        <v>1</v>
      </c>
    </row>
    <row r="37" spans="2:60" ht="27" customHeight="1">
      <c r="B37" s="1021"/>
      <c r="C37" s="6787"/>
      <c r="D37" s="6787"/>
      <c r="E37" s="6787"/>
      <c r="F37" s="6788"/>
      <c r="G37" s="6789"/>
      <c r="H37" s="6790"/>
      <c r="I37" s="6786"/>
      <c r="J37" s="6791"/>
      <c r="K37" s="6792"/>
      <c r="L37" s="6791"/>
      <c r="M37" s="6785"/>
      <c r="N37" s="6793"/>
      <c r="O37" s="6794"/>
      <c r="P37" s="6795"/>
      <c r="Q37" s="6796"/>
      <c r="R37" s="6797"/>
      <c r="S37" s="6798"/>
      <c r="T37" s="6765"/>
      <c r="U37" s="1021"/>
      <c r="V37" s="6787"/>
      <c r="W37" s="6787"/>
      <c r="X37" s="6787"/>
      <c r="Y37" s="6788"/>
      <c r="Z37" s="6789"/>
      <c r="AA37" s="6790"/>
      <c r="AB37" s="6786"/>
      <c r="AC37" s="6791"/>
      <c r="AD37" s="6792"/>
      <c r="AE37" s="6791"/>
      <c r="AF37" s="6785"/>
      <c r="AG37" s="6793"/>
      <c r="AH37" s="6794"/>
      <c r="AI37" s="6795"/>
      <c r="AJ37" s="6796"/>
      <c r="AK37" s="6797"/>
      <c r="AL37" s="6798"/>
      <c r="AM37" s="6765"/>
      <c r="AN37" s="1021"/>
      <c r="AO37" s="6787"/>
      <c r="AP37" s="6787"/>
      <c r="AQ37" s="6787"/>
      <c r="AR37" s="6788"/>
      <c r="AS37" s="6789"/>
      <c r="AT37" s="6790"/>
      <c r="AU37" s="6786"/>
      <c r="AV37" s="6791"/>
      <c r="AW37" s="6792"/>
      <c r="AX37" s="6791"/>
      <c r="AY37" s="6785"/>
      <c r="AZ37" s="6793"/>
      <c r="BA37" s="6794"/>
      <c r="BB37" s="6795"/>
      <c r="BC37" s="6796"/>
      <c r="BD37" s="6797"/>
      <c r="BE37" s="6798"/>
      <c r="BH37" s="5">
        <v>1</v>
      </c>
    </row>
    <row r="38" spans="2:60" ht="27" customHeight="1">
      <c r="B38" s="1021"/>
      <c r="C38" s="6787"/>
      <c r="D38" s="6787"/>
      <c r="E38" s="6787"/>
      <c r="F38" s="6788"/>
      <c r="G38" s="6789"/>
      <c r="H38" s="6790"/>
      <c r="I38" s="6786"/>
      <c r="J38" s="6791"/>
      <c r="K38" s="6792"/>
      <c r="L38" s="6791"/>
      <c r="M38" s="6785"/>
      <c r="N38" s="6793"/>
      <c r="O38" s="6794"/>
      <c r="P38" s="6795"/>
      <c r="Q38" s="6796"/>
      <c r="R38" s="6797"/>
      <c r="S38" s="6798"/>
      <c r="T38" s="6765"/>
      <c r="U38" s="1021"/>
      <c r="V38" s="6787"/>
      <c r="W38" s="6787"/>
      <c r="X38" s="6787"/>
      <c r="Y38" s="6788"/>
      <c r="Z38" s="6789"/>
      <c r="AA38" s="6790"/>
      <c r="AB38" s="6786"/>
      <c r="AC38" s="6791"/>
      <c r="AD38" s="6792"/>
      <c r="AE38" s="6791"/>
      <c r="AF38" s="6785"/>
      <c r="AG38" s="6793"/>
      <c r="AH38" s="6794"/>
      <c r="AI38" s="6795"/>
      <c r="AJ38" s="6796"/>
      <c r="AK38" s="6797"/>
      <c r="AL38" s="6798"/>
      <c r="AM38" s="6765"/>
      <c r="AN38" s="1021"/>
      <c r="AO38" s="6787"/>
      <c r="AP38" s="6787"/>
      <c r="AQ38" s="6787"/>
      <c r="AR38" s="6788"/>
      <c r="AS38" s="6789"/>
      <c r="AT38" s="6790"/>
      <c r="AU38" s="6786"/>
      <c r="AV38" s="6791"/>
      <c r="AW38" s="6792"/>
      <c r="AX38" s="6791"/>
      <c r="AY38" s="6785"/>
      <c r="AZ38" s="6793"/>
      <c r="BA38" s="6794"/>
      <c r="BB38" s="6795"/>
      <c r="BC38" s="6796"/>
      <c r="BD38" s="6797"/>
      <c r="BE38" s="6798"/>
      <c r="BH38" s="5">
        <v>1</v>
      </c>
    </row>
    <row r="39" spans="2:60" ht="27" customHeight="1">
      <c r="B39" s="1021"/>
      <c r="C39" s="6787"/>
      <c r="D39" s="6787"/>
      <c r="E39" s="6787"/>
      <c r="F39" s="6788"/>
      <c r="G39" s="6789"/>
      <c r="H39" s="6790"/>
      <c r="I39" s="6786"/>
      <c r="J39" s="6791"/>
      <c r="K39" s="6792"/>
      <c r="L39" s="6791"/>
      <c r="M39" s="6785"/>
      <c r="N39" s="6793"/>
      <c r="O39" s="6794"/>
      <c r="P39" s="6795"/>
      <c r="Q39" s="6796"/>
      <c r="R39" s="6797"/>
      <c r="S39" s="6798"/>
      <c r="T39" s="6765"/>
      <c r="U39" s="1021"/>
      <c r="V39" s="6787"/>
      <c r="W39" s="6787"/>
      <c r="X39" s="6787"/>
      <c r="Y39" s="6788"/>
      <c r="Z39" s="6789"/>
      <c r="AA39" s="6790"/>
      <c r="AB39" s="6786"/>
      <c r="AC39" s="6791"/>
      <c r="AD39" s="6792"/>
      <c r="AE39" s="6791"/>
      <c r="AF39" s="6785"/>
      <c r="AG39" s="6793"/>
      <c r="AH39" s="6794"/>
      <c r="AI39" s="6795"/>
      <c r="AJ39" s="6796"/>
      <c r="AK39" s="6797"/>
      <c r="AL39" s="6798"/>
      <c r="AM39" s="6765"/>
      <c r="AN39" s="1021"/>
      <c r="AO39" s="6787"/>
      <c r="AP39" s="6787"/>
      <c r="AQ39" s="6787"/>
      <c r="AR39" s="6788"/>
      <c r="AS39" s="6789"/>
      <c r="AT39" s="6790"/>
      <c r="AU39" s="6786"/>
      <c r="AV39" s="6791"/>
      <c r="AW39" s="6792"/>
      <c r="AX39" s="6791"/>
      <c r="AY39" s="6785"/>
      <c r="AZ39" s="6793"/>
      <c r="BA39" s="6794"/>
      <c r="BB39" s="6795"/>
      <c r="BC39" s="6796"/>
      <c r="BD39" s="6797"/>
      <c r="BE39" s="6798"/>
      <c r="BH39" s="5">
        <v>1</v>
      </c>
    </row>
    <row r="40" spans="2:60" ht="27" customHeight="1">
      <c r="B40" s="1021"/>
      <c r="C40" s="6787"/>
      <c r="D40" s="6787"/>
      <c r="E40" s="6787"/>
      <c r="F40" s="6788"/>
      <c r="G40" s="6789"/>
      <c r="H40" s="6790"/>
      <c r="I40" s="6786"/>
      <c r="J40" s="6791"/>
      <c r="K40" s="6792"/>
      <c r="L40" s="6791"/>
      <c r="M40" s="6785"/>
      <c r="N40" s="6793"/>
      <c r="O40" s="6794"/>
      <c r="P40" s="6795"/>
      <c r="Q40" s="6796"/>
      <c r="R40" s="6797"/>
      <c r="S40" s="6798"/>
      <c r="T40" s="6765"/>
      <c r="U40" s="1021"/>
      <c r="V40" s="6787"/>
      <c r="W40" s="6787"/>
      <c r="X40" s="6787"/>
      <c r="Y40" s="6788"/>
      <c r="Z40" s="6789"/>
      <c r="AA40" s="6790"/>
      <c r="AB40" s="6786"/>
      <c r="AC40" s="6791"/>
      <c r="AD40" s="6792"/>
      <c r="AE40" s="6791"/>
      <c r="AF40" s="6785"/>
      <c r="AG40" s="6793"/>
      <c r="AH40" s="6794"/>
      <c r="AI40" s="6795"/>
      <c r="AJ40" s="6796"/>
      <c r="AK40" s="6797"/>
      <c r="AL40" s="6798"/>
      <c r="AM40" s="6765"/>
      <c r="AN40" s="1021"/>
      <c r="AO40" s="6787"/>
      <c r="AP40" s="6787"/>
      <c r="AQ40" s="6787"/>
      <c r="AR40" s="6788"/>
      <c r="AS40" s="6789"/>
      <c r="AT40" s="6790"/>
      <c r="AU40" s="6786"/>
      <c r="AV40" s="6791"/>
      <c r="AW40" s="6792"/>
      <c r="AX40" s="6791"/>
      <c r="AY40" s="6785"/>
      <c r="AZ40" s="6793"/>
      <c r="BA40" s="6794"/>
      <c r="BB40" s="6795"/>
      <c r="BC40" s="6796"/>
      <c r="BD40" s="6797"/>
      <c r="BE40" s="6798"/>
      <c r="BH40" s="5">
        <v>1</v>
      </c>
    </row>
    <row r="41" spans="2:60" ht="27" customHeight="1">
      <c r="B41" s="1021"/>
      <c r="C41" s="6787"/>
      <c r="D41" s="6787"/>
      <c r="E41" s="6787"/>
      <c r="F41" s="6788"/>
      <c r="G41" s="6789"/>
      <c r="H41" s="6790"/>
      <c r="I41" s="6786"/>
      <c r="J41" s="6791"/>
      <c r="K41" s="6792"/>
      <c r="L41" s="6791"/>
      <c r="M41" s="6785"/>
      <c r="N41" s="6793"/>
      <c r="O41" s="6794"/>
      <c r="P41" s="6795"/>
      <c r="Q41" s="6796"/>
      <c r="R41" s="6797"/>
      <c r="S41" s="6798"/>
      <c r="T41" s="6765"/>
      <c r="U41" s="1021"/>
      <c r="V41" s="6787"/>
      <c r="W41" s="6787"/>
      <c r="X41" s="6787"/>
      <c r="Y41" s="6788"/>
      <c r="Z41" s="6789"/>
      <c r="AA41" s="6790"/>
      <c r="AB41" s="6786"/>
      <c r="AC41" s="6791"/>
      <c r="AD41" s="6792"/>
      <c r="AE41" s="6791"/>
      <c r="AF41" s="6785"/>
      <c r="AG41" s="6793"/>
      <c r="AH41" s="6794"/>
      <c r="AI41" s="6795"/>
      <c r="AJ41" s="6796"/>
      <c r="AK41" s="6797"/>
      <c r="AL41" s="6798"/>
      <c r="AM41" s="6765"/>
      <c r="AN41" s="1021"/>
      <c r="AO41" s="6787"/>
      <c r="AP41" s="6787"/>
      <c r="AQ41" s="6787"/>
      <c r="AR41" s="6788"/>
      <c r="AS41" s="6789"/>
      <c r="AT41" s="6790"/>
      <c r="AU41" s="6786"/>
      <c r="AV41" s="6791"/>
      <c r="AW41" s="6792"/>
      <c r="AX41" s="6791"/>
      <c r="AY41" s="6785"/>
      <c r="AZ41" s="6793"/>
      <c r="BA41" s="6794"/>
      <c r="BB41" s="6795"/>
      <c r="BC41" s="6796"/>
      <c r="BD41" s="6797"/>
      <c r="BE41" s="6798"/>
      <c r="BH41" s="5">
        <v>1</v>
      </c>
    </row>
    <row r="42" spans="2:60" ht="27" customHeight="1">
      <c r="B42" s="1021"/>
      <c r="C42" s="6787"/>
      <c r="D42" s="6787"/>
      <c r="E42" s="6787"/>
      <c r="F42" s="6788"/>
      <c r="G42" s="6789"/>
      <c r="H42" s="6790"/>
      <c r="I42" s="6786"/>
      <c r="J42" s="6791"/>
      <c r="K42" s="6792"/>
      <c r="L42" s="6791"/>
      <c r="M42" s="6785"/>
      <c r="N42" s="6793"/>
      <c r="O42" s="6794"/>
      <c r="P42" s="6795"/>
      <c r="Q42" s="6796"/>
      <c r="R42" s="6797"/>
      <c r="S42" s="6798"/>
      <c r="T42" s="6765"/>
      <c r="U42" s="1021"/>
      <c r="V42" s="6787"/>
      <c r="W42" s="6787"/>
      <c r="X42" s="6787"/>
      <c r="Y42" s="6788"/>
      <c r="Z42" s="6789"/>
      <c r="AA42" s="6790"/>
      <c r="AB42" s="6786"/>
      <c r="AC42" s="6791"/>
      <c r="AD42" s="6792"/>
      <c r="AE42" s="6791"/>
      <c r="AF42" s="6785"/>
      <c r="AG42" s="6793"/>
      <c r="AH42" s="6794"/>
      <c r="AI42" s="6795"/>
      <c r="AJ42" s="6796"/>
      <c r="AK42" s="6797"/>
      <c r="AL42" s="6798"/>
      <c r="AM42" s="6765"/>
      <c r="AN42" s="1021"/>
      <c r="AO42" s="6787"/>
      <c r="AP42" s="6787"/>
      <c r="AQ42" s="6787"/>
      <c r="AR42" s="6788"/>
      <c r="AS42" s="6789"/>
      <c r="AT42" s="6790"/>
      <c r="AU42" s="6786"/>
      <c r="AV42" s="6791"/>
      <c r="AW42" s="6792"/>
      <c r="AX42" s="6791"/>
      <c r="AY42" s="6785"/>
      <c r="AZ42" s="6793"/>
      <c r="BA42" s="6794"/>
      <c r="BB42" s="6795"/>
      <c r="BC42" s="6796"/>
      <c r="BD42" s="6797"/>
      <c r="BE42" s="6798"/>
      <c r="BH42" s="5">
        <v>1</v>
      </c>
    </row>
    <row r="43" spans="2:60" ht="27" customHeight="1">
      <c r="B43" s="1021"/>
      <c r="C43" s="6787"/>
      <c r="D43" s="6787"/>
      <c r="E43" s="6787"/>
      <c r="F43" s="6788"/>
      <c r="G43" s="6789"/>
      <c r="H43" s="6790"/>
      <c r="I43" s="6786"/>
      <c r="J43" s="6791"/>
      <c r="K43" s="6792"/>
      <c r="L43" s="6791"/>
      <c r="M43" s="6785"/>
      <c r="N43" s="6793"/>
      <c r="O43" s="6794"/>
      <c r="P43" s="6795"/>
      <c r="Q43" s="6796"/>
      <c r="R43" s="6797"/>
      <c r="S43" s="6798"/>
      <c r="T43" s="6765"/>
      <c r="U43" s="1021"/>
      <c r="V43" s="6787"/>
      <c r="W43" s="6787"/>
      <c r="X43" s="6787"/>
      <c r="Y43" s="6788"/>
      <c r="Z43" s="6789"/>
      <c r="AA43" s="6790"/>
      <c r="AB43" s="6786"/>
      <c r="AC43" s="6791"/>
      <c r="AD43" s="6792"/>
      <c r="AE43" s="6791"/>
      <c r="AF43" s="6785"/>
      <c r="AG43" s="6793"/>
      <c r="AH43" s="6794"/>
      <c r="AI43" s="6795"/>
      <c r="AJ43" s="6796"/>
      <c r="AK43" s="6797"/>
      <c r="AL43" s="6798"/>
      <c r="AM43" s="6765"/>
      <c r="AN43" s="1021"/>
      <c r="AO43" s="6787"/>
      <c r="AP43" s="6787"/>
      <c r="AQ43" s="6787"/>
      <c r="AR43" s="6788"/>
      <c r="AS43" s="6789"/>
      <c r="AT43" s="6790"/>
      <c r="AU43" s="6786"/>
      <c r="AV43" s="6791"/>
      <c r="AW43" s="6792"/>
      <c r="AX43" s="6791"/>
      <c r="AY43" s="6785"/>
      <c r="AZ43" s="6793"/>
      <c r="BA43" s="6794"/>
      <c r="BB43" s="6795"/>
      <c r="BC43" s="6796"/>
      <c r="BD43" s="6797"/>
      <c r="BE43" s="6798"/>
      <c r="BH43" s="5">
        <v>1</v>
      </c>
    </row>
    <row r="44" spans="2:60" ht="27" customHeight="1">
      <c r="B44" s="1021"/>
      <c r="C44" s="6787"/>
      <c r="D44" s="6787"/>
      <c r="E44" s="6787"/>
      <c r="F44" s="6788"/>
      <c r="G44" s="6789"/>
      <c r="H44" s="6790"/>
      <c r="I44" s="6786"/>
      <c r="J44" s="6791"/>
      <c r="K44" s="6792"/>
      <c r="L44" s="6791"/>
      <c r="M44" s="6785"/>
      <c r="N44" s="6793"/>
      <c r="O44" s="6794"/>
      <c r="P44" s="6795"/>
      <c r="Q44" s="6796"/>
      <c r="R44" s="6797"/>
      <c r="S44" s="6798"/>
      <c r="T44" s="6765"/>
      <c r="U44" s="1021"/>
      <c r="V44" s="6787"/>
      <c r="W44" s="6787"/>
      <c r="X44" s="6787"/>
      <c r="Y44" s="6788"/>
      <c r="Z44" s="6789"/>
      <c r="AA44" s="6790"/>
      <c r="AB44" s="6786"/>
      <c r="AC44" s="6791"/>
      <c r="AD44" s="6792"/>
      <c r="AE44" s="6791"/>
      <c r="AF44" s="6785"/>
      <c r="AG44" s="6793"/>
      <c r="AH44" s="6794"/>
      <c r="AI44" s="6795"/>
      <c r="AJ44" s="6796"/>
      <c r="AK44" s="6797"/>
      <c r="AL44" s="6798"/>
      <c r="AM44" s="6765"/>
      <c r="AN44" s="1021"/>
      <c r="AO44" s="6787"/>
      <c r="AP44" s="6787"/>
      <c r="AQ44" s="6787"/>
      <c r="AR44" s="6788"/>
      <c r="AS44" s="6789"/>
      <c r="AT44" s="6790"/>
      <c r="AU44" s="6786"/>
      <c r="AV44" s="6791"/>
      <c r="AW44" s="6792"/>
      <c r="AX44" s="6791"/>
      <c r="AY44" s="6785"/>
      <c r="AZ44" s="6793"/>
      <c r="BA44" s="6794"/>
      <c r="BB44" s="6795"/>
      <c r="BC44" s="6796"/>
      <c r="BD44" s="6797"/>
      <c r="BE44" s="6798"/>
      <c r="BH44" s="5">
        <v>1</v>
      </c>
    </row>
    <row r="45" spans="2:60" ht="27" customHeight="1">
      <c r="B45" s="1021"/>
      <c r="C45" s="6787"/>
      <c r="D45" s="6787"/>
      <c r="E45" s="6787"/>
      <c r="F45" s="6788"/>
      <c r="G45" s="6789"/>
      <c r="H45" s="6790"/>
      <c r="I45" s="6786"/>
      <c r="J45" s="6791"/>
      <c r="K45" s="6792"/>
      <c r="L45" s="6791"/>
      <c r="M45" s="6785"/>
      <c r="N45" s="6793"/>
      <c r="O45" s="6794"/>
      <c r="P45" s="6795"/>
      <c r="Q45" s="6796"/>
      <c r="R45" s="6797"/>
      <c r="S45" s="6798"/>
      <c r="T45" s="6765"/>
      <c r="U45" s="1021"/>
      <c r="V45" s="6787"/>
      <c r="W45" s="6787"/>
      <c r="X45" s="6787"/>
      <c r="Y45" s="6788"/>
      <c r="Z45" s="6789"/>
      <c r="AA45" s="6790"/>
      <c r="AB45" s="6786"/>
      <c r="AC45" s="6791"/>
      <c r="AD45" s="6792"/>
      <c r="AE45" s="6791"/>
      <c r="AF45" s="6785"/>
      <c r="AG45" s="6793"/>
      <c r="AH45" s="6794"/>
      <c r="AI45" s="6795"/>
      <c r="AJ45" s="6796"/>
      <c r="AK45" s="6797"/>
      <c r="AL45" s="6798"/>
      <c r="AM45" s="6765"/>
      <c r="AN45" s="1021"/>
      <c r="AO45" s="6787"/>
      <c r="AP45" s="6787"/>
      <c r="AQ45" s="6787"/>
      <c r="AR45" s="6788"/>
      <c r="AS45" s="6789"/>
      <c r="AT45" s="6790"/>
      <c r="AU45" s="6786"/>
      <c r="AV45" s="6791"/>
      <c r="AW45" s="6792"/>
      <c r="AX45" s="6791"/>
      <c r="AY45" s="6785"/>
      <c r="AZ45" s="6793"/>
      <c r="BA45" s="6794"/>
      <c r="BB45" s="6795"/>
      <c r="BC45" s="6796"/>
      <c r="BD45" s="6797"/>
      <c r="BE45" s="6798"/>
      <c r="BH45" s="5">
        <v>1</v>
      </c>
    </row>
    <row r="46" spans="2:60" ht="27" customHeight="1">
      <c r="B46" s="1021"/>
      <c r="C46" s="6787"/>
      <c r="D46" s="6787"/>
      <c r="E46" s="6787"/>
      <c r="F46" s="6788"/>
      <c r="G46" s="6789"/>
      <c r="H46" s="6790"/>
      <c r="I46" s="6786"/>
      <c r="J46" s="6791"/>
      <c r="K46" s="6792"/>
      <c r="L46" s="6791"/>
      <c r="M46" s="6785"/>
      <c r="N46" s="6793"/>
      <c r="O46" s="6794"/>
      <c r="P46" s="6795"/>
      <c r="Q46" s="6796"/>
      <c r="R46" s="6797"/>
      <c r="S46" s="6798"/>
      <c r="T46" s="6765"/>
      <c r="U46" s="1021"/>
      <c r="V46" s="6787"/>
      <c r="W46" s="6787"/>
      <c r="X46" s="6787"/>
      <c r="Y46" s="6788"/>
      <c r="Z46" s="6789"/>
      <c r="AA46" s="6790"/>
      <c r="AB46" s="6786"/>
      <c r="AC46" s="6791"/>
      <c r="AD46" s="6792"/>
      <c r="AE46" s="6791"/>
      <c r="AF46" s="6785"/>
      <c r="AG46" s="6793"/>
      <c r="AH46" s="6794"/>
      <c r="AI46" s="6795"/>
      <c r="AJ46" s="6796"/>
      <c r="AK46" s="6797"/>
      <c r="AL46" s="6798"/>
      <c r="AM46" s="6765"/>
      <c r="AN46" s="1021"/>
      <c r="AO46" s="6787"/>
      <c r="AP46" s="6787"/>
      <c r="AQ46" s="6787"/>
      <c r="AR46" s="6788"/>
      <c r="AS46" s="6789"/>
      <c r="AT46" s="6790"/>
      <c r="AU46" s="6786"/>
      <c r="AV46" s="6791"/>
      <c r="AW46" s="6792"/>
      <c r="AX46" s="6791"/>
      <c r="AY46" s="6785"/>
      <c r="AZ46" s="6793"/>
      <c r="BA46" s="6794"/>
      <c r="BB46" s="6795"/>
      <c r="BC46" s="6796"/>
      <c r="BD46" s="6797"/>
      <c r="BE46" s="6798"/>
      <c r="BH46" s="5">
        <v>1</v>
      </c>
    </row>
    <row r="47" spans="2:60" ht="27" customHeight="1">
      <c r="B47" s="1021"/>
      <c r="C47" s="6787"/>
      <c r="D47" s="6787"/>
      <c r="E47" s="6787"/>
      <c r="F47" s="6788"/>
      <c r="G47" s="6789"/>
      <c r="H47" s="6790"/>
      <c r="I47" s="6786"/>
      <c r="J47" s="6791"/>
      <c r="K47" s="6792"/>
      <c r="L47" s="6791"/>
      <c r="M47" s="6785"/>
      <c r="N47" s="6793"/>
      <c r="O47" s="6794"/>
      <c r="P47" s="6795"/>
      <c r="Q47" s="6796"/>
      <c r="R47" s="6797"/>
      <c r="S47" s="6798"/>
      <c r="T47" s="6765"/>
      <c r="U47" s="1021"/>
      <c r="V47" s="6787"/>
      <c r="W47" s="6787"/>
      <c r="X47" s="6787"/>
      <c r="Y47" s="6788"/>
      <c r="Z47" s="6789"/>
      <c r="AA47" s="6790"/>
      <c r="AB47" s="6786"/>
      <c r="AC47" s="6791"/>
      <c r="AD47" s="6792"/>
      <c r="AE47" s="6791"/>
      <c r="AF47" s="6785"/>
      <c r="AG47" s="6793"/>
      <c r="AH47" s="6794"/>
      <c r="AI47" s="6795"/>
      <c r="AJ47" s="6796"/>
      <c r="AK47" s="6797"/>
      <c r="AL47" s="6798"/>
      <c r="AM47" s="6765"/>
      <c r="AN47" s="1021"/>
      <c r="AO47" s="6787"/>
      <c r="AP47" s="6787"/>
      <c r="AQ47" s="6787"/>
      <c r="AR47" s="6788"/>
      <c r="AS47" s="6789"/>
      <c r="AT47" s="6790"/>
      <c r="AU47" s="6786"/>
      <c r="AV47" s="6791"/>
      <c r="AW47" s="6792"/>
      <c r="AX47" s="6791"/>
      <c r="AY47" s="6785"/>
      <c r="AZ47" s="6793"/>
      <c r="BA47" s="6794"/>
      <c r="BB47" s="6795"/>
      <c r="BC47" s="6796"/>
      <c r="BD47" s="6797"/>
      <c r="BE47" s="6798"/>
      <c r="BH47" s="5">
        <v>1</v>
      </c>
    </row>
    <row r="48" spans="2:60" ht="27" customHeight="1">
      <c r="B48" s="1021"/>
      <c r="C48" s="6787"/>
      <c r="D48" s="6787"/>
      <c r="E48" s="6787"/>
      <c r="F48" s="6788"/>
      <c r="G48" s="6789"/>
      <c r="H48" s="6790"/>
      <c r="I48" s="6786"/>
      <c r="J48" s="6791"/>
      <c r="K48" s="6792"/>
      <c r="L48" s="6791"/>
      <c r="M48" s="6785"/>
      <c r="N48" s="6793"/>
      <c r="O48" s="6794"/>
      <c r="P48" s="6795"/>
      <c r="Q48" s="6796"/>
      <c r="R48" s="6797"/>
      <c r="S48" s="6798"/>
      <c r="T48" s="6765"/>
      <c r="U48" s="1021"/>
      <c r="V48" s="6787"/>
      <c r="W48" s="6787"/>
      <c r="X48" s="6787"/>
      <c r="Y48" s="6788"/>
      <c r="Z48" s="6789"/>
      <c r="AA48" s="6790"/>
      <c r="AB48" s="6786"/>
      <c r="AC48" s="6791"/>
      <c r="AD48" s="6792"/>
      <c r="AE48" s="6791"/>
      <c r="AF48" s="6785"/>
      <c r="AG48" s="6793"/>
      <c r="AH48" s="6794"/>
      <c r="AI48" s="6795"/>
      <c r="AJ48" s="6796"/>
      <c r="AK48" s="6797"/>
      <c r="AL48" s="6798"/>
      <c r="AM48" s="6765"/>
      <c r="AN48" s="1021"/>
      <c r="AO48" s="6787"/>
      <c r="AP48" s="6787"/>
      <c r="AQ48" s="6787"/>
      <c r="AR48" s="6788"/>
      <c r="AS48" s="6789"/>
      <c r="AT48" s="6790"/>
      <c r="AU48" s="6786"/>
      <c r="AV48" s="6791"/>
      <c r="AW48" s="6792"/>
      <c r="AX48" s="6791"/>
      <c r="AY48" s="6785"/>
      <c r="AZ48" s="6793"/>
      <c r="BA48" s="6794"/>
      <c r="BB48" s="6795"/>
      <c r="BC48" s="6796"/>
      <c r="BD48" s="6797"/>
      <c r="BE48" s="6798"/>
      <c r="BH48" s="5">
        <v>1</v>
      </c>
    </row>
    <row r="49" spans="2:60" ht="27" customHeight="1">
      <c r="B49" s="1021"/>
      <c r="C49" s="6787"/>
      <c r="D49" s="6787"/>
      <c r="E49" s="6787"/>
      <c r="F49" s="6788"/>
      <c r="G49" s="6789"/>
      <c r="H49" s="6790"/>
      <c r="I49" s="6786"/>
      <c r="J49" s="6791"/>
      <c r="K49" s="6792"/>
      <c r="L49" s="6791"/>
      <c r="M49" s="6785"/>
      <c r="N49" s="6793"/>
      <c r="O49" s="6794"/>
      <c r="P49" s="6795"/>
      <c r="Q49" s="6796"/>
      <c r="R49" s="6797"/>
      <c r="S49" s="6798"/>
      <c r="T49" s="6765"/>
      <c r="U49" s="1021"/>
      <c r="V49" s="6787"/>
      <c r="W49" s="6787"/>
      <c r="X49" s="6787"/>
      <c r="Y49" s="6788"/>
      <c r="Z49" s="6789"/>
      <c r="AA49" s="6790"/>
      <c r="AB49" s="6786"/>
      <c r="AC49" s="6791"/>
      <c r="AD49" s="6792"/>
      <c r="AE49" s="6791"/>
      <c r="AF49" s="6785"/>
      <c r="AG49" s="6793"/>
      <c r="AH49" s="6794"/>
      <c r="AI49" s="6795"/>
      <c r="AJ49" s="6796"/>
      <c r="AK49" s="6797"/>
      <c r="AL49" s="6798"/>
      <c r="AM49" s="6765"/>
      <c r="AN49" s="1021"/>
      <c r="AO49" s="6787"/>
      <c r="AP49" s="6787"/>
      <c r="AQ49" s="6787"/>
      <c r="AR49" s="6788"/>
      <c r="AS49" s="6789"/>
      <c r="AT49" s="6790"/>
      <c r="AU49" s="6786"/>
      <c r="AV49" s="6791"/>
      <c r="AW49" s="6792"/>
      <c r="AX49" s="6791"/>
      <c r="AY49" s="6785"/>
      <c r="AZ49" s="6793"/>
      <c r="BA49" s="6794"/>
      <c r="BB49" s="6795"/>
      <c r="BC49" s="6796"/>
      <c r="BD49" s="6797"/>
      <c r="BE49" s="6798"/>
      <c r="BH49" s="5">
        <v>1</v>
      </c>
    </row>
    <row r="50" spans="2:60" ht="27" customHeight="1">
      <c r="B50" s="1021"/>
      <c r="C50" s="6787"/>
      <c r="D50" s="6787"/>
      <c r="E50" s="6787"/>
      <c r="F50" s="6788"/>
      <c r="G50" s="6789"/>
      <c r="H50" s="6790"/>
      <c r="I50" s="6786"/>
      <c r="J50" s="6791"/>
      <c r="K50" s="6792"/>
      <c r="L50" s="6791"/>
      <c r="M50" s="6785"/>
      <c r="N50" s="6793"/>
      <c r="O50" s="6794"/>
      <c r="P50" s="6795"/>
      <c r="Q50" s="6796"/>
      <c r="R50" s="6797"/>
      <c r="S50" s="6798"/>
      <c r="T50" s="6765"/>
      <c r="U50" s="1021"/>
      <c r="V50" s="6787"/>
      <c r="W50" s="6787"/>
      <c r="X50" s="6787"/>
      <c r="Y50" s="6788"/>
      <c r="Z50" s="6789"/>
      <c r="AA50" s="6790"/>
      <c r="AB50" s="6786"/>
      <c r="AC50" s="6791"/>
      <c r="AD50" s="6792"/>
      <c r="AE50" s="6791"/>
      <c r="AF50" s="6785"/>
      <c r="AG50" s="6793"/>
      <c r="AH50" s="6794"/>
      <c r="AI50" s="6795"/>
      <c r="AJ50" s="6796"/>
      <c r="AK50" s="6797"/>
      <c r="AL50" s="6798"/>
      <c r="AM50" s="6765"/>
      <c r="AN50" s="1021"/>
      <c r="AO50" s="6787"/>
      <c r="AP50" s="6787"/>
      <c r="AQ50" s="6787"/>
      <c r="AR50" s="6788"/>
      <c r="AS50" s="6789"/>
      <c r="AT50" s="6790"/>
      <c r="AU50" s="6786"/>
      <c r="AV50" s="6791"/>
      <c r="AW50" s="6792"/>
      <c r="AX50" s="6791"/>
      <c r="AY50" s="6785"/>
      <c r="AZ50" s="6793"/>
      <c r="BA50" s="6794"/>
      <c r="BB50" s="6795"/>
      <c r="BC50" s="6796"/>
      <c r="BD50" s="6797"/>
      <c r="BE50" s="6798"/>
      <c r="BH50" s="5">
        <v>1</v>
      </c>
    </row>
    <row r="51" spans="2:60" ht="27" customHeight="1">
      <c r="B51" s="1021"/>
      <c r="C51" s="6787"/>
      <c r="D51" s="6787"/>
      <c r="E51" s="6787"/>
      <c r="F51" s="6788"/>
      <c r="G51" s="6789"/>
      <c r="H51" s="6790"/>
      <c r="I51" s="6786"/>
      <c r="J51" s="6791"/>
      <c r="K51" s="6792"/>
      <c r="L51" s="6791"/>
      <c r="M51" s="6785"/>
      <c r="N51" s="6793"/>
      <c r="O51" s="6794"/>
      <c r="P51" s="6795"/>
      <c r="Q51" s="6796"/>
      <c r="R51" s="6797"/>
      <c r="S51" s="6798"/>
      <c r="T51" s="6765"/>
      <c r="U51" s="1021"/>
      <c r="V51" s="6787"/>
      <c r="W51" s="6787"/>
      <c r="X51" s="6787"/>
      <c r="Y51" s="6788"/>
      <c r="Z51" s="6789"/>
      <c r="AA51" s="6790"/>
      <c r="AB51" s="6786"/>
      <c r="AC51" s="6791"/>
      <c r="AD51" s="6792"/>
      <c r="AE51" s="6791"/>
      <c r="AF51" s="6785"/>
      <c r="AG51" s="6793"/>
      <c r="AH51" s="6794"/>
      <c r="AI51" s="6795"/>
      <c r="AJ51" s="6796"/>
      <c r="AK51" s="6797"/>
      <c r="AL51" s="6798"/>
      <c r="AM51" s="6765"/>
      <c r="AN51" s="1021"/>
      <c r="AO51" s="6787"/>
      <c r="AP51" s="6787"/>
      <c r="AQ51" s="6787"/>
      <c r="AR51" s="6788"/>
      <c r="AS51" s="6789"/>
      <c r="AT51" s="6790"/>
      <c r="AU51" s="6786"/>
      <c r="AV51" s="6791"/>
      <c r="AW51" s="6792"/>
      <c r="AX51" s="6791"/>
      <c r="AY51" s="6785"/>
      <c r="AZ51" s="6793"/>
      <c r="BA51" s="6794"/>
      <c r="BB51" s="6795"/>
      <c r="BC51" s="6796"/>
      <c r="BD51" s="6797"/>
      <c r="BE51" s="6798"/>
      <c r="BH51" s="5">
        <v>1</v>
      </c>
    </row>
    <row r="52" spans="2:60" ht="27" customHeight="1">
      <c r="B52" s="1021"/>
      <c r="C52" s="6787"/>
      <c r="D52" s="6787"/>
      <c r="E52" s="6787"/>
      <c r="F52" s="6788"/>
      <c r="G52" s="6789"/>
      <c r="H52" s="6790"/>
      <c r="I52" s="6786"/>
      <c r="J52" s="6791"/>
      <c r="K52" s="6792"/>
      <c r="L52" s="6791"/>
      <c r="M52" s="6785"/>
      <c r="N52" s="6793"/>
      <c r="O52" s="6794"/>
      <c r="P52" s="6795"/>
      <c r="Q52" s="6796"/>
      <c r="R52" s="6797"/>
      <c r="S52" s="6798"/>
      <c r="T52" s="6765"/>
      <c r="U52" s="1021"/>
      <c r="V52" s="6787"/>
      <c r="W52" s="6787"/>
      <c r="X52" s="6787"/>
      <c r="Y52" s="6788"/>
      <c r="Z52" s="6789"/>
      <c r="AA52" s="6790"/>
      <c r="AB52" s="6786"/>
      <c r="AC52" s="6791"/>
      <c r="AD52" s="6792"/>
      <c r="AE52" s="6791"/>
      <c r="AF52" s="6785"/>
      <c r="AG52" s="6793"/>
      <c r="AH52" s="6794"/>
      <c r="AI52" s="6795"/>
      <c r="AJ52" s="6796"/>
      <c r="AK52" s="6797"/>
      <c r="AL52" s="6798"/>
      <c r="AM52" s="6765"/>
      <c r="AN52" s="1021"/>
      <c r="AO52" s="6787"/>
      <c r="AP52" s="6787"/>
      <c r="AQ52" s="6787"/>
      <c r="AR52" s="6788"/>
      <c r="AS52" s="6789"/>
      <c r="AT52" s="6790"/>
      <c r="AU52" s="6786"/>
      <c r="AV52" s="6791"/>
      <c r="AW52" s="6792"/>
      <c r="AX52" s="6791"/>
      <c r="AY52" s="6785"/>
      <c r="AZ52" s="6793"/>
      <c r="BA52" s="6794"/>
      <c r="BB52" s="6795"/>
      <c r="BC52" s="6796"/>
      <c r="BD52" s="6797"/>
      <c r="BE52" s="6798"/>
      <c r="BH52" s="5">
        <v>1</v>
      </c>
    </row>
    <row r="53" spans="2:60" ht="27" customHeight="1">
      <c r="B53" s="1021"/>
      <c r="C53" s="6787"/>
      <c r="D53" s="6787"/>
      <c r="E53" s="6787"/>
      <c r="F53" s="6788"/>
      <c r="G53" s="6789"/>
      <c r="H53" s="6790"/>
      <c r="I53" s="6786"/>
      <c r="J53" s="6791"/>
      <c r="K53" s="6792"/>
      <c r="L53" s="6791"/>
      <c r="M53" s="6785"/>
      <c r="N53" s="6793"/>
      <c r="O53" s="6794"/>
      <c r="P53" s="6795"/>
      <c r="Q53" s="6796"/>
      <c r="R53" s="6797"/>
      <c r="S53" s="6798"/>
      <c r="T53" s="6765"/>
      <c r="U53" s="1021"/>
      <c r="V53" s="6787"/>
      <c r="W53" s="6787"/>
      <c r="X53" s="6787"/>
      <c r="Y53" s="6788"/>
      <c r="Z53" s="6789"/>
      <c r="AA53" s="6790"/>
      <c r="AB53" s="6786"/>
      <c r="AC53" s="6791"/>
      <c r="AD53" s="6792"/>
      <c r="AE53" s="6791"/>
      <c r="AF53" s="6785"/>
      <c r="AG53" s="6793"/>
      <c r="AH53" s="6794"/>
      <c r="AI53" s="6795"/>
      <c r="AJ53" s="6796"/>
      <c r="AK53" s="6797"/>
      <c r="AL53" s="6798"/>
      <c r="AM53" s="6765"/>
      <c r="AN53" s="1021"/>
      <c r="AO53" s="6787"/>
      <c r="AP53" s="6787"/>
      <c r="AQ53" s="6787"/>
      <c r="AR53" s="6788"/>
      <c r="AS53" s="6789"/>
      <c r="AT53" s="6790"/>
      <c r="AU53" s="6786"/>
      <c r="AV53" s="6791"/>
      <c r="AW53" s="6792"/>
      <c r="AX53" s="6791"/>
      <c r="AY53" s="6785"/>
      <c r="AZ53" s="6793"/>
      <c r="BA53" s="6794"/>
      <c r="BB53" s="6795"/>
      <c r="BC53" s="6796"/>
      <c r="BD53" s="6797"/>
      <c r="BE53" s="6798"/>
      <c r="BH53" s="5">
        <v>1</v>
      </c>
    </row>
    <row r="54" spans="2:60" ht="27" customHeight="1">
      <c r="B54" s="1021"/>
      <c r="C54" s="6787"/>
      <c r="D54" s="6787"/>
      <c r="E54" s="6787"/>
      <c r="F54" s="6788"/>
      <c r="G54" s="6789"/>
      <c r="H54" s="6790"/>
      <c r="I54" s="6786"/>
      <c r="J54" s="6791"/>
      <c r="K54" s="6792"/>
      <c r="L54" s="6791"/>
      <c r="M54" s="6785"/>
      <c r="N54" s="6793"/>
      <c r="O54" s="6794"/>
      <c r="P54" s="6795"/>
      <c r="Q54" s="6796"/>
      <c r="R54" s="6797"/>
      <c r="S54" s="6798"/>
      <c r="T54" s="6765"/>
      <c r="U54" s="1021"/>
      <c r="V54" s="6787"/>
      <c r="W54" s="6787"/>
      <c r="X54" s="6787"/>
      <c r="Y54" s="6788"/>
      <c r="Z54" s="6789"/>
      <c r="AA54" s="6790"/>
      <c r="AB54" s="6786"/>
      <c r="AC54" s="6791"/>
      <c r="AD54" s="6792"/>
      <c r="AE54" s="6791"/>
      <c r="AF54" s="6785"/>
      <c r="AG54" s="6793"/>
      <c r="AH54" s="6794"/>
      <c r="AI54" s="6795"/>
      <c r="AJ54" s="6796"/>
      <c r="AK54" s="6797"/>
      <c r="AL54" s="6798"/>
      <c r="AM54" s="6765"/>
      <c r="AN54" s="1021"/>
      <c r="AO54" s="6787"/>
      <c r="AP54" s="6787"/>
      <c r="AQ54" s="6787"/>
      <c r="AR54" s="6788"/>
      <c r="AS54" s="6789"/>
      <c r="AT54" s="6790"/>
      <c r="AU54" s="6786"/>
      <c r="AV54" s="6791"/>
      <c r="AW54" s="6792"/>
      <c r="AX54" s="6791"/>
      <c r="AY54" s="6785"/>
      <c r="AZ54" s="6793"/>
      <c r="BA54" s="6794"/>
      <c r="BB54" s="6795"/>
      <c r="BC54" s="6796"/>
      <c r="BD54" s="6797"/>
      <c r="BE54" s="6798"/>
      <c r="BH54" s="5">
        <v>1</v>
      </c>
    </row>
    <row r="55" spans="2:60" ht="27" customHeight="1">
      <c r="B55" s="1021"/>
      <c r="C55" s="6787"/>
      <c r="D55" s="6787"/>
      <c r="E55" s="6787"/>
      <c r="F55" s="6788"/>
      <c r="G55" s="6789"/>
      <c r="H55" s="6790"/>
      <c r="I55" s="6786"/>
      <c r="J55" s="6791"/>
      <c r="K55" s="6792"/>
      <c r="L55" s="6791"/>
      <c r="M55" s="6785"/>
      <c r="N55" s="6793"/>
      <c r="O55" s="6794"/>
      <c r="P55" s="6795"/>
      <c r="Q55" s="6796"/>
      <c r="R55" s="6797"/>
      <c r="S55" s="6798"/>
      <c r="T55" s="6765"/>
      <c r="U55" s="1021"/>
      <c r="V55" s="6787"/>
      <c r="W55" s="6787"/>
      <c r="X55" s="6787"/>
      <c r="Y55" s="6788"/>
      <c r="Z55" s="6789"/>
      <c r="AA55" s="6790"/>
      <c r="AB55" s="6786"/>
      <c r="AC55" s="6791"/>
      <c r="AD55" s="6792"/>
      <c r="AE55" s="6791"/>
      <c r="AF55" s="6785"/>
      <c r="AG55" s="6793"/>
      <c r="AH55" s="6794"/>
      <c r="AI55" s="6795"/>
      <c r="AJ55" s="6796"/>
      <c r="AK55" s="6797"/>
      <c r="AL55" s="6798"/>
      <c r="AM55" s="6765"/>
      <c r="AN55" s="1021"/>
      <c r="AO55" s="6787"/>
      <c r="AP55" s="6787"/>
      <c r="AQ55" s="6787"/>
      <c r="AR55" s="6788"/>
      <c r="AS55" s="6789"/>
      <c r="AT55" s="6790"/>
      <c r="AU55" s="6786"/>
      <c r="AV55" s="6791"/>
      <c r="AW55" s="6792"/>
      <c r="AX55" s="6791"/>
      <c r="AY55" s="6785"/>
      <c r="AZ55" s="6793"/>
      <c r="BA55" s="6794"/>
      <c r="BB55" s="6795"/>
      <c r="BC55" s="6796"/>
      <c r="BD55" s="6797"/>
      <c r="BE55" s="6798"/>
      <c r="BH55" s="5">
        <v>1</v>
      </c>
    </row>
    <row r="56" spans="2:60" ht="27" customHeight="1">
      <c r="B56" s="1021"/>
      <c r="C56" s="6787"/>
      <c r="D56" s="6787"/>
      <c r="E56" s="6787"/>
      <c r="F56" s="6788"/>
      <c r="G56" s="6789"/>
      <c r="H56" s="6790"/>
      <c r="I56" s="6786"/>
      <c r="J56" s="6791"/>
      <c r="K56" s="6792"/>
      <c r="L56" s="6791"/>
      <c r="M56" s="6785"/>
      <c r="N56" s="6793"/>
      <c r="O56" s="6794"/>
      <c r="P56" s="6795"/>
      <c r="Q56" s="6796"/>
      <c r="R56" s="6797"/>
      <c r="S56" s="6798"/>
      <c r="T56" s="6765"/>
      <c r="U56" s="1021"/>
      <c r="V56" s="6787"/>
      <c r="W56" s="6787"/>
      <c r="X56" s="6787"/>
      <c r="Y56" s="6788"/>
      <c r="Z56" s="6789"/>
      <c r="AA56" s="6790"/>
      <c r="AB56" s="6786"/>
      <c r="AC56" s="6791"/>
      <c r="AD56" s="6792"/>
      <c r="AE56" s="6791"/>
      <c r="AF56" s="6785"/>
      <c r="AG56" s="6793"/>
      <c r="AH56" s="6794"/>
      <c r="AI56" s="6795"/>
      <c r="AJ56" s="6796"/>
      <c r="AK56" s="6797"/>
      <c r="AL56" s="6798"/>
      <c r="AM56" s="6765"/>
      <c r="AN56" s="1021"/>
      <c r="AO56" s="6787"/>
      <c r="AP56" s="6787"/>
      <c r="AQ56" s="6787"/>
      <c r="AR56" s="6788"/>
      <c r="AS56" s="6789"/>
      <c r="AT56" s="6790"/>
      <c r="AU56" s="6786"/>
      <c r="AV56" s="6791"/>
      <c r="AW56" s="6792"/>
      <c r="AX56" s="6791"/>
      <c r="AY56" s="6785"/>
      <c r="AZ56" s="6793"/>
      <c r="BA56" s="6794"/>
      <c r="BB56" s="6795"/>
      <c r="BC56" s="6796"/>
      <c r="BD56" s="6797"/>
      <c r="BE56" s="6798"/>
      <c r="BH56" s="5">
        <v>1</v>
      </c>
    </row>
    <row r="57" spans="2:60" ht="27" customHeight="1">
      <c r="B57" s="1021"/>
      <c r="C57" s="6787"/>
      <c r="D57" s="6787"/>
      <c r="E57" s="6787"/>
      <c r="F57" s="6788"/>
      <c r="G57" s="6789"/>
      <c r="H57" s="6790"/>
      <c r="I57" s="6786"/>
      <c r="J57" s="6791"/>
      <c r="K57" s="6792"/>
      <c r="L57" s="6791"/>
      <c r="M57" s="6785"/>
      <c r="N57" s="6793"/>
      <c r="O57" s="6794"/>
      <c r="P57" s="6795"/>
      <c r="Q57" s="6796"/>
      <c r="R57" s="6797"/>
      <c r="S57" s="6798"/>
      <c r="T57" s="6765"/>
      <c r="U57" s="1021"/>
      <c r="V57" s="6787"/>
      <c r="W57" s="6787"/>
      <c r="X57" s="6787"/>
      <c r="Y57" s="6788"/>
      <c r="Z57" s="6789"/>
      <c r="AA57" s="6790"/>
      <c r="AB57" s="6786"/>
      <c r="AC57" s="6791"/>
      <c r="AD57" s="6792"/>
      <c r="AE57" s="6791"/>
      <c r="AF57" s="6785"/>
      <c r="AG57" s="6793"/>
      <c r="AH57" s="6794"/>
      <c r="AI57" s="6795"/>
      <c r="AJ57" s="6796"/>
      <c r="AK57" s="6797"/>
      <c r="AL57" s="6798"/>
      <c r="AM57" s="6765"/>
      <c r="AN57" s="1021"/>
      <c r="AO57" s="6787"/>
      <c r="AP57" s="6787"/>
      <c r="AQ57" s="6787"/>
      <c r="AR57" s="6788"/>
      <c r="AS57" s="6789"/>
      <c r="AT57" s="6790"/>
      <c r="AU57" s="6786"/>
      <c r="AV57" s="6791"/>
      <c r="AW57" s="6792"/>
      <c r="AX57" s="6791"/>
      <c r="AY57" s="6785"/>
      <c r="AZ57" s="6793"/>
      <c r="BA57" s="6794"/>
      <c r="BB57" s="6795"/>
      <c r="BC57" s="6796"/>
      <c r="BD57" s="6797"/>
      <c r="BE57" s="6798"/>
      <c r="BH57" s="5">
        <v>1</v>
      </c>
    </row>
    <row r="58" spans="2:60" ht="27" customHeight="1">
      <c r="B58" s="1021"/>
      <c r="C58" s="6787"/>
      <c r="D58" s="6787"/>
      <c r="E58" s="6787"/>
      <c r="F58" s="6788"/>
      <c r="G58" s="6789"/>
      <c r="H58" s="6790"/>
      <c r="I58" s="6786"/>
      <c r="J58" s="6791"/>
      <c r="K58" s="6792"/>
      <c r="L58" s="6791"/>
      <c r="M58" s="6785"/>
      <c r="N58" s="6793"/>
      <c r="O58" s="6794"/>
      <c r="P58" s="6795"/>
      <c r="Q58" s="6796"/>
      <c r="R58" s="6797"/>
      <c r="S58" s="6798"/>
      <c r="T58" s="6765"/>
      <c r="U58" s="1021"/>
      <c r="V58" s="6787"/>
      <c r="W58" s="6787"/>
      <c r="X58" s="6787"/>
      <c r="Y58" s="6788"/>
      <c r="Z58" s="6789"/>
      <c r="AA58" s="6790"/>
      <c r="AB58" s="6786"/>
      <c r="AC58" s="6791"/>
      <c r="AD58" s="6792"/>
      <c r="AE58" s="6791"/>
      <c r="AF58" s="6785"/>
      <c r="AG58" s="6793"/>
      <c r="AH58" s="6794"/>
      <c r="AI58" s="6795"/>
      <c r="AJ58" s="6796"/>
      <c r="AK58" s="6797"/>
      <c r="AL58" s="6798"/>
      <c r="AM58" s="6765"/>
      <c r="AN58" s="1021"/>
      <c r="AO58" s="6787"/>
      <c r="AP58" s="6787"/>
      <c r="AQ58" s="6787"/>
      <c r="AR58" s="6788"/>
      <c r="AS58" s="6789"/>
      <c r="AT58" s="6790"/>
      <c r="AU58" s="6786"/>
      <c r="AV58" s="6791"/>
      <c r="AW58" s="6792"/>
      <c r="AX58" s="6791"/>
      <c r="AY58" s="6785"/>
      <c r="AZ58" s="6793"/>
      <c r="BA58" s="6794"/>
      <c r="BB58" s="6795"/>
      <c r="BC58" s="6796"/>
      <c r="BD58" s="6797"/>
      <c r="BE58" s="6798"/>
      <c r="BH58" s="5">
        <v>1</v>
      </c>
    </row>
    <row r="59" spans="2:60" ht="27" customHeight="1">
      <c r="B59" s="1021"/>
      <c r="C59" s="6787"/>
      <c r="D59" s="6787"/>
      <c r="E59" s="6787"/>
      <c r="F59" s="6788"/>
      <c r="G59" s="6789"/>
      <c r="H59" s="6790"/>
      <c r="I59" s="6786"/>
      <c r="J59" s="6791"/>
      <c r="K59" s="6792"/>
      <c r="L59" s="6791"/>
      <c r="M59" s="6785"/>
      <c r="N59" s="6793"/>
      <c r="O59" s="6794"/>
      <c r="P59" s="6795"/>
      <c r="Q59" s="6796"/>
      <c r="R59" s="6797"/>
      <c r="S59" s="6798"/>
      <c r="T59" s="6765"/>
      <c r="U59" s="1021"/>
      <c r="V59" s="6787"/>
      <c r="W59" s="6787"/>
      <c r="X59" s="6787"/>
      <c r="Y59" s="6788"/>
      <c r="Z59" s="6789"/>
      <c r="AA59" s="6790"/>
      <c r="AB59" s="6786"/>
      <c r="AC59" s="6791"/>
      <c r="AD59" s="6792"/>
      <c r="AE59" s="6791"/>
      <c r="AF59" s="6785"/>
      <c r="AG59" s="6793"/>
      <c r="AH59" s="6794"/>
      <c r="AI59" s="6795"/>
      <c r="AJ59" s="6796"/>
      <c r="AK59" s="6797"/>
      <c r="AL59" s="6798"/>
      <c r="AM59" s="6765"/>
      <c r="AN59" s="1021"/>
      <c r="AO59" s="6787"/>
      <c r="AP59" s="6787"/>
      <c r="AQ59" s="6787"/>
      <c r="AR59" s="6788"/>
      <c r="AS59" s="6789"/>
      <c r="AT59" s="6790"/>
      <c r="AU59" s="6786"/>
      <c r="AV59" s="6791"/>
      <c r="AW59" s="6792"/>
      <c r="AX59" s="6791"/>
      <c r="AY59" s="6785"/>
      <c r="AZ59" s="6793"/>
      <c r="BA59" s="6794"/>
      <c r="BB59" s="6795"/>
      <c r="BC59" s="6796"/>
      <c r="BD59" s="6797"/>
      <c r="BE59" s="6798"/>
      <c r="BH59" s="5">
        <v>1</v>
      </c>
    </row>
    <row r="60" spans="2:60" ht="27" customHeight="1">
      <c r="B60" s="1021"/>
      <c r="C60" s="6787"/>
      <c r="D60" s="6787"/>
      <c r="E60" s="6787"/>
      <c r="F60" s="6788"/>
      <c r="G60" s="6789"/>
      <c r="H60" s="6790"/>
      <c r="I60" s="6786"/>
      <c r="J60" s="6791"/>
      <c r="K60" s="6792"/>
      <c r="L60" s="6791"/>
      <c r="M60" s="6785"/>
      <c r="N60" s="6793"/>
      <c r="O60" s="6794"/>
      <c r="P60" s="6795"/>
      <c r="Q60" s="6796"/>
      <c r="R60" s="6797"/>
      <c r="S60" s="6798"/>
      <c r="T60" s="6765"/>
      <c r="U60" s="1021"/>
      <c r="V60" s="6787"/>
      <c r="W60" s="6787"/>
      <c r="X60" s="6787"/>
      <c r="Y60" s="6788"/>
      <c r="Z60" s="6789"/>
      <c r="AA60" s="6790"/>
      <c r="AB60" s="6786"/>
      <c r="AC60" s="6791"/>
      <c r="AD60" s="6792"/>
      <c r="AE60" s="6791"/>
      <c r="AF60" s="6785"/>
      <c r="AG60" s="6793"/>
      <c r="AH60" s="6794"/>
      <c r="AI60" s="6795"/>
      <c r="AJ60" s="6796"/>
      <c r="AK60" s="6797"/>
      <c r="AL60" s="6798"/>
      <c r="AM60" s="6765"/>
      <c r="AN60" s="1021"/>
      <c r="AO60" s="6787"/>
      <c r="AP60" s="6787"/>
      <c r="AQ60" s="6787"/>
      <c r="AR60" s="6788"/>
      <c r="AS60" s="6789"/>
      <c r="AT60" s="6790"/>
      <c r="AU60" s="6786"/>
      <c r="AV60" s="6791"/>
      <c r="AW60" s="6792"/>
      <c r="AX60" s="6791"/>
      <c r="AY60" s="6785"/>
      <c r="AZ60" s="6793"/>
      <c r="BA60" s="6794"/>
      <c r="BB60" s="6795"/>
      <c r="BC60" s="6796"/>
      <c r="BD60" s="6797"/>
      <c r="BE60" s="6798"/>
      <c r="BH60" s="5">
        <v>1</v>
      </c>
    </row>
    <row r="61" spans="2:60" ht="27" customHeight="1">
      <c r="B61" s="1021"/>
      <c r="C61" s="6787"/>
      <c r="D61" s="6787"/>
      <c r="E61" s="6787"/>
      <c r="F61" s="6788"/>
      <c r="G61" s="6789"/>
      <c r="H61" s="6790"/>
      <c r="I61" s="6786"/>
      <c r="J61" s="6791"/>
      <c r="K61" s="6792"/>
      <c r="L61" s="6791"/>
      <c r="M61" s="6785"/>
      <c r="N61" s="6793"/>
      <c r="O61" s="6794"/>
      <c r="P61" s="6795"/>
      <c r="Q61" s="6796"/>
      <c r="R61" s="6797"/>
      <c r="S61" s="6798"/>
      <c r="T61" s="6765"/>
      <c r="U61" s="1021"/>
      <c r="V61" s="6787"/>
      <c r="W61" s="6787"/>
      <c r="X61" s="6787"/>
      <c r="Y61" s="6788"/>
      <c r="Z61" s="6789"/>
      <c r="AA61" s="6790"/>
      <c r="AB61" s="6786"/>
      <c r="AC61" s="6791"/>
      <c r="AD61" s="6792"/>
      <c r="AE61" s="6791"/>
      <c r="AF61" s="6785"/>
      <c r="AG61" s="6793"/>
      <c r="AH61" s="6794"/>
      <c r="AI61" s="6795"/>
      <c r="AJ61" s="6796"/>
      <c r="AK61" s="6797"/>
      <c r="AL61" s="6798"/>
      <c r="AM61" s="6765"/>
      <c r="AN61" s="1021"/>
      <c r="AO61" s="6787"/>
      <c r="AP61" s="6787"/>
      <c r="AQ61" s="6787"/>
      <c r="AR61" s="6788"/>
      <c r="AS61" s="6789"/>
      <c r="AT61" s="6790"/>
      <c r="AU61" s="6786"/>
      <c r="AV61" s="6791"/>
      <c r="AW61" s="6792"/>
      <c r="AX61" s="6791"/>
      <c r="AY61" s="6785"/>
      <c r="AZ61" s="6793"/>
      <c r="BA61" s="6794"/>
      <c r="BB61" s="6795"/>
      <c r="BC61" s="6796"/>
      <c r="BD61" s="6797"/>
      <c r="BE61" s="6798"/>
      <c r="BH61" s="5">
        <v>1</v>
      </c>
    </row>
    <row r="62" spans="2:60" ht="27" customHeight="1">
      <c r="B62" s="1021"/>
      <c r="C62" s="6787"/>
      <c r="D62" s="6787"/>
      <c r="E62" s="6787"/>
      <c r="F62" s="6788"/>
      <c r="G62" s="6789"/>
      <c r="H62" s="6790"/>
      <c r="I62" s="6786"/>
      <c r="J62" s="6791"/>
      <c r="K62" s="6792"/>
      <c r="L62" s="6791"/>
      <c r="M62" s="6785"/>
      <c r="N62" s="6793"/>
      <c r="O62" s="6794"/>
      <c r="P62" s="6795"/>
      <c r="Q62" s="6796"/>
      <c r="R62" s="6797"/>
      <c r="S62" s="6798"/>
      <c r="T62" s="6765"/>
      <c r="U62" s="1021"/>
      <c r="V62" s="6787"/>
      <c r="W62" s="6787"/>
      <c r="X62" s="6787"/>
      <c r="Y62" s="6788"/>
      <c r="Z62" s="6789"/>
      <c r="AA62" s="6790"/>
      <c r="AB62" s="6786"/>
      <c r="AC62" s="6791"/>
      <c r="AD62" s="6792"/>
      <c r="AE62" s="6791"/>
      <c r="AF62" s="6785"/>
      <c r="AG62" s="6793"/>
      <c r="AH62" s="6794"/>
      <c r="AI62" s="6795"/>
      <c r="AJ62" s="6796"/>
      <c r="AK62" s="6797"/>
      <c r="AL62" s="6798"/>
      <c r="AM62" s="6765"/>
      <c r="AN62" s="1021"/>
      <c r="AO62" s="6787"/>
      <c r="AP62" s="6787"/>
      <c r="AQ62" s="6787"/>
      <c r="AR62" s="6788"/>
      <c r="AS62" s="6789"/>
      <c r="AT62" s="6790"/>
      <c r="AU62" s="6786"/>
      <c r="AV62" s="6791"/>
      <c r="AW62" s="6792"/>
      <c r="AX62" s="6791"/>
      <c r="AY62" s="6785"/>
      <c r="AZ62" s="6793"/>
      <c r="BA62" s="6794"/>
      <c r="BB62" s="6795"/>
      <c r="BC62" s="6796"/>
      <c r="BD62" s="6797"/>
      <c r="BE62" s="6798"/>
      <c r="BH62" s="5">
        <v>1</v>
      </c>
    </row>
    <row r="63" spans="2:60" ht="27" customHeight="1">
      <c r="B63" s="1021"/>
      <c r="C63" s="6787"/>
      <c r="D63" s="6787"/>
      <c r="E63" s="6787"/>
      <c r="F63" s="6788"/>
      <c r="G63" s="6789"/>
      <c r="H63" s="6790"/>
      <c r="I63" s="6786"/>
      <c r="J63" s="6791"/>
      <c r="K63" s="6792"/>
      <c r="L63" s="6791"/>
      <c r="M63" s="6785"/>
      <c r="N63" s="6793"/>
      <c r="O63" s="6794"/>
      <c r="P63" s="6795"/>
      <c r="Q63" s="6796"/>
      <c r="R63" s="6797"/>
      <c r="S63" s="6798"/>
      <c r="T63" s="6765"/>
      <c r="U63" s="1021"/>
      <c r="V63" s="6787"/>
      <c r="W63" s="6787"/>
      <c r="X63" s="6787"/>
      <c r="Y63" s="6788"/>
      <c r="Z63" s="6789"/>
      <c r="AA63" s="6790"/>
      <c r="AB63" s="6786"/>
      <c r="AC63" s="6791"/>
      <c r="AD63" s="6792"/>
      <c r="AE63" s="6791"/>
      <c r="AF63" s="6785"/>
      <c r="AG63" s="6793"/>
      <c r="AH63" s="6794"/>
      <c r="AI63" s="6795"/>
      <c r="AJ63" s="6796"/>
      <c r="AK63" s="6797"/>
      <c r="AL63" s="6798"/>
      <c r="AM63" s="6765"/>
      <c r="AN63" s="1021"/>
      <c r="AO63" s="6787"/>
      <c r="AP63" s="6787"/>
      <c r="AQ63" s="6787"/>
      <c r="AR63" s="6788"/>
      <c r="AS63" s="6789"/>
      <c r="AT63" s="6790"/>
      <c r="AU63" s="6786"/>
      <c r="AV63" s="6791"/>
      <c r="AW63" s="6792"/>
      <c r="AX63" s="6791"/>
      <c r="AY63" s="6785"/>
      <c r="AZ63" s="6793"/>
      <c r="BA63" s="6794"/>
      <c r="BB63" s="6795"/>
      <c r="BC63" s="6796"/>
      <c r="BD63" s="6797"/>
      <c r="BE63" s="6798"/>
      <c r="BH63" s="5">
        <v>1</v>
      </c>
    </row>
    <row r="64" spans="2:60" ht="27" customHeight="1">
      <c r="B64" s="1021"/>
      <c r="C64" s="6787"/>
      <c r="D64" s="6787"/>
      <c r="E64" s="6787"/>
      <c r="F64" s="6788"/>
      <c r="G64" s="6789"/>
      <c r="H64" s="6790"/>
      <c r="I64" s="6786"/>
      <c r="J64" s="6791"/>
      <c r="K64" s="6792"/>
      <c r="L64" s="6791"/>
      <c r="M64" s="6785"/>
      <c r="N64" s="6793"/>
      <c r="O64" s="6794"/>
      <c r="P64" s="6795"/>
      <c r="Q64" s="6796"/>
      <c r="R64" s="6797"/>
      <c r="S64" s="6798"/>
      <c r="T64" s="6765"/>
      <c r="U64" s="1021"/>
      <c r="V64" s="6787"/>
      <c r="W64" s="6787"/>
      <c r="X64" s="6787"/>
      <c r="Y64" s="6788"/>
      <c r="Z64" s="6789"/>
      <c r="AA64" s="6790"/>
      <c r="AB64" s="6786"/>
      <c r="AC64" s="6791"/>
      <c r="AD64" s="6792"/>
      <c r="AE64" s="6791"/>
      <c r="AF64" s="6785"/>
      <c r="AG64" s="6793"/>
      <c r="AH64" s="6794"/>
      <c r="AI64" s="6795"/>
      <c r="AJ64" s="6796"/>
      <c r="AK64" s="6797"/>
      <c r="AL64" s="6798"/>
      <c r="AM64" s="6765"/>
      <c r="AN64" s="1021"/>
      <c r="AO64" s="6787"/>
      <c r="AP64" s="6787"/>
      <c r="AQ64" s="6787"/>
      <c r="AR64" s="6788"/>
      <c r="AS64" s="6789"/>
      <c r="AT64" s="6790"/>
      <c r="AU64" s="6786"/>
      <c r="AV64" s="6791"/>
      <c r="AW64" s="6792"/>
      <c r="AX64" s="6791"/>
      <c r="AY64" s="6785"/>
      <c r="AZ64" s="6793"/>
      <c r="BA64" s="6794"/>
      <c r="BB64" s="6795"/>
      <c r="BC64" s="6796"/>
      <c r="BD64" s="6797"/>
      <c r="BE64" s="6798"/>
      <c r="BH64" s="5">
        <v>1</v>
      </c>
    </row>
    <row r="65" spans="2:60" ht="27" customHeight="1">
      <c r="B65" s="1021"/>
      <c r="C65" s="6787"/>
      <c r="D65" s="6787"/>
      <c r="E65" s="6787"/>
      <c r="F65" s="6788"/>
      <c r="G65" s="6789"/>
      <c r="H65" s="6790"/>
      <c r="I65" s="6786"/>
      <c r="J65" s="6791"/>
      <c r="K65" s="6792"/>
      <c r="L65" s="6791"/>
      <c r="M65" s="6785"/>
      <c r="N65" s="6793"/>
      <c r="O65" s="6794"/>
      <c r="P65" s="6795"/>
      <c r="Q65" s="6796"/>
      <c r="R65" s="6797"/>
      <c r="S65" s="6798"/>
      <c r="T65" s="6765"/>
      <c r="U65" s="1021"/>
      <c r="V65" s="6787"/>
      <c r="W65" s="6787"/>
      <c r="X65" s="6787"/>
      <c r="Y65" s="6788"/>
      <c r="Z65" s="6789"/>
      <c r="AA65" s="6790"/>
      <c r="AB65" s="6786"/>
      <c r="AC65" s="6791"/>
      <c r="AD65" s="6792"/>
      <c r="AE65" s="6791"/>
      <c r="AF65" s="6785"/>
      <c r="AG65" s="6793"/>
      <c r="AH65" s="6794"/>
      <c r="AI65" s="6795"/>
      <c r="AJ65" s="6796"/>
      <c r="AK65" s="6797"/>
      <c r="AL65" s="6798"/>
      <c r="AM65" s="6765"/>
      <c r="AN65" s="1021"/>
      <c r="AO65" s="6787"/>
      <c r="AP65" s="6787"/>
      <c r="AQ65" s="6787"/>
      <c r="AR65" s="6788"/>
      <c r="AS65" s="6789"/>
      <c r="AT65" s="6790"/>
      <c r="AU65" s="6786"/>
      <c r="AV65" s="6791"/>
      <c r="AW65" s="6792"/>
      <c r="AX65" s="6791"/>
      <c r="AY65" s="6785"/>
      <c r="AZ65" s="6793"/>
      <c r="BA65" s="6794"/>
      <c r="BB65" s="6795"/>
      <c r="BC65" s="6796"/>
      <c r="BD65" s="6797"/>
      <c r="BE65" s="6798"/>
      <c r="BH65" s="5">
        <v>1</v>
      </c>
    </row>
    <row r="66" spans="2:60" ht="27" customHeight="1">
      <c r="B66" s="1021"/>
      <c r="C66" s="6787"/>
      <c r="D66" s="6787"/>
      <c r="E66" s="6787"/>
      <c r="F66" s="6788"/>
      <c r="G66" s="6789"/>
      <c r="H66" s="6790"/>
      <c r="I66" s="6786"/>
      <c r="J66" s="6791"/>
      <c r="K66" s="6792"/>
      <c r="L66" s="6791"/>
      <c r="M66" s="6785"/>
      <c r="N66" s="6793"/>
      <c r="O66" s="6794"/>
      <c r="P66" s="6795"/>
      <c r="Q66" s="6796"/>
      <c r="R66" s="6797"/>
      <c r="S66" s="6798"/>
      <c r="T66" s="6765"/>
      <c r="U66" s="1021"/>
      <c r="V66" s="6787"/>
      <c r="W66" s="6787"/>
      <c r="X66" s="6787"/>
      <c r="Y66" s="6788"/>
      <c r="Z66" s="6789"/>
      <c r="AA66" s="6790"/>
      <c r="AB66" s="6786"/>
      <c r="AC66" s="6791"/>
      <c r="AD66" s="6792"/>
      <c r="AE66" s="6791"/>
      <c r="AF66" s="6785"/>
      <c r="AG66" s="6793"/>
      <c r="AH66" s="6794"/>
      <c r="AI66" s="6795"/>
      <c r="AJ66" s="6796"/>
      <c r="AK66" s="6797"/>
      <c r="AL66" s="6798"/>
      <c r="AN66" s="1021"/>
      <c r="AO66" s="6787"/>
      <c r="AP66" s="6787"/>
      <c r="AQ66" s="6787"/>
      <c r="AR66" s="6788"/>
      <c r="AS66" s="6789"/>
      <c r="AT66" s="6790"/>
      <c r="AU66" s="6786"/>
      <c r="AV66" s="6791"/>
      <c r="AW66" s="6792"/>
      <c r="AX66" s="6791"/>
      <c r="AY66" s="6785"/>
      <c r="AZ66" s="6793"/>
      <c r="BA66" s="6794"/>
      <c r="BB66" s="6795"/>
      <c r="BC66" s="6796"/>
      <c r="BD66" s="6797"/>
      <c r="BE66" s="6798"/>
      <c r="BH66" s="5">
        <v>1</v>
      </c>
    </row>
    <row r="67" spans="2:60" ht="27" customHeight="1">
      <c r="B67" s="1021"/>
      <c r="C67" s="6787"/>
      <c r="D67" s="6787"/>
      <c r="E67" s="6787"/>
      <c r="F67" s="6788"/>
      <c r="G67" s="6789"/>
      <c r="H67" s="6790"/>
      <c r="I67" s="6786"/>
      <c r="J67" s="6791"/>
      <c r="K67" s="6792"/>
      <c r="L67" s="6791"/>
      <c r="M67" s="6785"/>
      <c r="N67" s="6793"/>
      <c r="O67" s="6794"/>
      <c r="P67" s="6795"/>
      <c r="Q67" s="6796"/>
      <c r="R67" s="6797"/>
      <c r="S67" s="6798"/>
      <c r="T67" s="6765"/>
      <c r="U67" s="1021"/>
      <c r="V67" s="6787"/>
      <c r="W67" s="6787"/>
      <c r="X67" s="6787"/>
      <c r="Y67" s="6788"/>
      <c r="Z67" s="6789"/>
      <c r="AA67" s="6790"/>
      <c r="AB67" s="6786"/>
      <c r="AC67" s="6791"/>
      <c r="AD67" s="6792"/>
      <c r="AE67" s="6791"/>
      <c r="AF67" s="6785"/>
      <c r="AG67" s="6793"/>
      <c r="AH67" s="6794"/>
      <c r="AI67" s="6795"/>
      <c r="AJ67" s="6796"/>
      <c r="AK67" s="6797"/>
      <c r="AL67" s="6798"/>
      <c r="AN67" s="1021"/>
      <c r="AO67" s="6787"/>
      <c r="AP67" s="6787"/>
      <c r="AQ67" s="6787"/>
      <c r="AR67" s="6788"/>
      <c r="AS67" s="6789"/>
      <c r="AT67" s="6790"/>
      <c r="AU67" s="6786"/>
      <c r="AV67" s="6791"/>
      <c r="AW67" s="6792"/>
      <c r="AX67" s="6791"/>
      <c r="AY67" s="6785"/>
      <c r="AZ67" s="6793"/>
      <c r="BA67" s="6794"/>
      <c r="BB67" s="6795"/>
      <c r="BC67" s="6796"/>
      <c r="BD67" s="6797"/>
      <c r="BE67" s="6798"/>
      <c r="BH67" s="5">
        <v>1</v>
      </c>
    </row>
    <row r="68" spans="2:60" ht="27" customHeight="1">
      <c r="B68" s="1021"/>
      <c r="C68" s="6787"/>
      <c r="D68" s="6787"/>
      <c r="E68" s="6787"/>
      <c r="F68" s="6788"/>
      <c r="G68" s="6789"/>
      <c r="H68" s="6790"/>
      <c r="I68" s="6786"/>
      <c r="J68" s="6791"/>
      <c r="K68" s="6792"/>
      <c r="L68" s="6791"/>
      <c r="M68" s="6785"/>
      <c r="N68" s="6793"/>
      <c r="O68" s="6794"/>
      <c r="P68" s="6795"/>
      <c r="Q68" s="6796"/>
      <c r="R68" s="6797"/>
      <c r="S68" s="6798"/>
      <c r="T68" s="6765"/>
      <c r="U68" s="1021"/>
      <c r="V68" s="6787"/>
      <c r="W68" s="6787"/>
      <c r="X68" s="6787"/>
      <c r="Y68" s="6788"/>
      <c r="Z68" s="6789"/>
      <c r="AA68" s="6790"/>
      <c r="AB68" s="6786"/>
      <c r="AC68" s="6791"/>
      <c r="AD68" s="6792"/>
      <c r="AE68" s="6791"/>
      <c r="AF68" s="6785"/>
      <c r="AG68" s="6793"/>
      <c r="AH68" s="6794"/>
      <c r="AI68" s="6795"/>
      <c r="AJ68" s="6796"/>
      <c r="AK68" s="6797"/>
      <c r="AL68" s="6798"/>
      <c r="AN68" s="1021"/>
      <c r="AO68" s="6787"/>
      <c r="AP68" s="6787"/>
      <c r="AQ68" s="6787"/>
      <c r="AR68" s="6788"/>
      <c r="AS68" s="6789"/>
      <c r="AT68" s="6790"/>
      <c r="AU68" s="6786"/>
      <c r="AV68" s="6791"/>
      <c r="AW68" s="6792"/>
      <c r="AX68" s="6791"/>
      <c r="AY68" s="6785"/>
      <c r="AZ68" s="6793"/>
      <c r="BA68" s="6794"/>
      <c r="BB68" s="6795"/>
      <c r="BC68" s="6796"/>
      <c r="BD68" s="6797"/>
      <c r="BE68" s="6798"/>
      <c r="BH68" s="5">
        <v>1</v>
      </c>
    </row>
    <row r="69" spans="2:60" ht="27" customHeight="1">
      <c r="B69" s="1021"/>
      <c r="C69" s="6787"/>
      <c r="D69" s="6787"/>
      <c r="E69" s="6787"/>
      <c r="F69" s="6788"/>
      <c r="G69" s="6789"/>
      <c r="H69" s="6790"/>
      <c r="I69" s="6786"/>
      <c r="J69" s="6791"/>
      <c r="K69" s="6792"/>
      <c r="L69" s="6791"/>
      <c r="M69" s="6785"/>
      <c r="N69" s="6793"/>
      <c r="O69" s="6794"/>
      <c r="P69" s="6795"/>
      <c r="Q69" s="6796"/>
      <c r="R69" s="6797"/>
      <c r="S69" s="6798"/>
      <c r="T69" s="6765"/>
      <c r="U69" s="1021"/>
      <c r="V69" s="6787"/>
      <c r="W69" s="6787"/>
      <c r="X69" s="6787"/>
      <c r="Y69" s="6788"/>
      <c r="Z69" s="6789"/>
      <c r="AA69" s="6790"/>
      <c r="AB69" s="6786"/>
      <c r="AC69" s="6791"/>
      <c r="AD69" s="6792"/>
      <c r="AE69" s="6791"/>
      <c r="AF69" s="6785"/>
      <c r="AG69" s="6793"/>
      <c r="AH69" s="6794"/>
      <c r="AI69" s="6795"/>
      <c r="AJ69" s="6796"/>
      <c r="AK69" s="6797"/>
      <c r="AL69" s="6798"/>
      <c r="AM69" s="6765"/>
      <c r="AN69" s="1021"/>
      <c r="AO69" s="6787"/>
      <c r="AP69" s="6787"/>
      <c r="AQ69" s="6787"/>
      <c r="AR69" s="6788"/>
      <c r="AS69" s="6789"/>
      <c r="AT69" s="6790"/>
      <c r="AU69" s="6786"/>
      <c r="AV69" s="6791"/>
      <c r="AW69" s="6792"/>
      <c r="AX69" s="6791"/>
      <c r="AY69" s="6785"/>
      <c r="AZ69" s="6793"/>
      <c r="BA69" s="6794"/>
      <c r="BB69" s="6795"/>
      <c r="BC69" s="6796"/>
      <c r="BD69" s="6797"/>
      <c r="BE69" s="6798"/>
      <c r="BH69" s="5">
        <v>1</v>
      </c>
    </row>
    <row r="70" spans="2:60" ht="27" customHeight="1">
      <c r="B70" s="1021"/>
      <c r="C70" s="6787"/>
      <c r="D70" s="6787"/>
      <c r="E70" s="6787"/>
      <c r="F70" s="6788"/>
      <c r="G70" s="6789"/>
      <c r="H70" s="6790"/>
      <c r="I70" s="6786"/>
      <c r="J70" s="6791"/>
      <c r="K70" s="6792"/>
      <c r="L70" s="6791"/>
      <c r="M70" s="6785"/>
      <c r="N70" s="6793"/>
      <c r="O70" s="6794"/>
      <c r="P70" s="6795"/>
      <c r="Q70" s="6796"/>
      <c r="R70" s="6797"/>
      <c r="S70" s="6798"/>
      <c r="T70" s="6765"/>
      <c r="U70" s="1021"/>
      <c r="V70" s="6787"/>
      <c r="W70" s="6787"/>
      <c r="X70" s="6787"/>
      <c r="Y70" s="6788"/>
      <c r="Z70" s="6789"/>
      <c r="AA70" s="6790"/>
      <c r="AB70" s="6786"/>
      <c r="AC70" s="6791"/>
      <c r="AD70" s="6792"/>
      <c r="AE70" s="6791"/>
      <c r="AF70" s="6785"/>
      <c r="AG70" s="6793"/>
      <c r="AH70" s="6794"/>
      <c r="AI70" s="6795"/>
      <c r="AJ70" s="6796"/>
      <c r="AK70" s="6797"/>
      <c r="AL70" s="6798"/>
      <c r="AM70" s="6765"/>
      <c r="AN70" s="1021"/>
      <c r="AO70" s="6787"/>
      <c r="AP70" s="6787"/>
      <c r="AQ70" s="6787"/>
      <c r="AR70" s="6788"/>
      <c r="AS70" s="6789"/>
      <c r="AT70" s="6790"/>
      <c r="AU70" s="6786"/>
      <c r="AV70" s="6791"/>
      <c r="AW70" s="6792"/>
      <c r="AX70" s="6791"/>
      <c r="AY70" s="6785"/>
      <c r="AZ70" s="6793"/>
      <c r="BA70" s="6794"/>
      <c r="BB70" s="6795"/>
      <c r="BC70" s="6796"/>
      <c r="BD70" s="6797"/>
      <c r="BE70" s="6798"/>
      <c r="BH70" s="5">
        <v>1</v>
      </c>
    </row>
    <row r="71" spans="2:60" ht="27" customHeight="1">
      <c r="B71" s="1021"/>
      <c r="C71" s="6787"/>
      <c r="D71" s="6787"/>
      <c r="E71" s="6787"/>
      <c r="F71" s="6788"/>
      <c r="G71" s="6789"/>
      <c r="H71" s="6790"/>
      <c r="I71" s="6786"/>
      <c r="J71" s="6791"/>
      <c r="K71" s="6792"/>
      <c r="L71" s="6791"/>
      <c r="M71" s="6785"/>
      <c r="N71" s="6793"/>
      <c r="O71" s="6794"/>
      <c r="P71" s="6795"/>
      <c r="Q71" s="6796"/>
      <c r="R71" s="6797"/>
      <c r="S71" s="6798"/>
      <c r="T71" s="6765"/>
      <c r="U71" s="1021"/>
      <c r="V71" s="6787"/>
      <c r="W71" s="6787"/>
      <c r="X71" s="6787"/>
      <c r="Y71" s="6788"/>
      <c r="Z71" s="6789"/>
      <c r="AA71" s="6790"/>
      <c r="AB71" s="6786"/>
      <c r="AC71" s="6791"/>
      <c r="AD71" s="6792"/>
      <c r="AE71" s="6791"/>
      <c r="AF71" s="6785"/>
      <c r="AG71" s="6793"/>
      <c r="AH71" s="6794"/>
      <c r="AI71" s="6795"/>
      <c r="AJ71" s="6796"/>
      <c r="AK71" s="6797"/>
      <c r="AL71" s="6798"/>
      <c r="AM71" s="6765"/>
      <c r="AN71" s="1021"/>
      <c r="AO71" s="6787"/>
      <c r="AP71" s="6787"/>
      <c r="AQ71" s="6787"/>
      <c r="AR71" s="6788"/>
      <c r="AS71" s="6789"/>
      <c r="AT71" s="6790"/>
      <c r="AU71" s="6786"/>
      <c r="AV71" s="6791"/>
      <c r="AW71" s="6792"/>
      <c r="AX71" s="6791"/>
      <c r="AY71" s="6785"/>
      <c r="AZ71" s="6793"/>
      <c r="BA71" s="6794"/>
      <c r="BB71" s="6795"/>
      <c r="BC71" s="6796"/>
      <c r="BD71" s="6797"/>
      <c r="BE71" s="6798"/>
      <c r="BH71" s="5">
        <v>1</v>
      </c>
    </row>
    <row r="72" spans="2:60" ht="27" customHeight="1">
      <c r="B72" s="1021"/>
      <c r="C72" s="6787"/>
      <c r="D72" s="6787"/>
      <c r="E72" s="6787"/>
      <c r="F72" s="6788"/>
      <c r="G72" s="6789"/>
      <c r="H72" s="6790"/>
      <c r="I72" s="6786"/>
      <c r="J72" s="6791"/>
      <c r="K72" s="6792"/>
      <c r="L72" s="6791"/>
      <c r="M72" s="6785"/>
      <c r="N72" s="6793"/>
      <c r="O72" s="6794"/>
      <c r="P72" s="6795"/>
      <c r="Q72" s="6796"/>
      <c r="R72" s="6797"/>
      <c r="S72" s="6798"/>
      <c r="T72" s="6765"/>
      <c r="U72" s="1021"/>
      <c r="V72" s="6787"/>
      <c r="W72" s="6787"/>
      <c r="X72" s="6787"/>
      <c r="Y72" s="6788"/>
      <c r="Z72" s="6789"/>
      <c r="AA72" s="6790"/>
      <c r="AB72" s="6786"/>
      <c r="AC72" s="6791"/>
      <c r="AD72" s="6792"/>
      <c r="AE72" s="6791"/>
      <c r="AF72" s="6785"/>
      <c r="AG72" s="6793"/>
      <c r="AH72" s="6794"/>
      <c r="AI72" s="6795"/>
      <c r="AJ72" s="6796"/>
      <c r="AK72" s="6797"/>
      <c r="AL72" s="6798"/>
      <c r="AM72" s="6765"/>
      <c r="AN72" s="1021"/>
      <c r="AO72" s="6787"/>
      <c r="AP72" s="6787"/>
      <c r="AQ72" s="6787"/>
      <c r="AR72" s="6788"/>
      <c r="AS72" s="6789"/>
      <c r="AT72" s="6790"/>
      <c r="AU72" s="6786"/>
      <c r="AV72" s="6791"/>
      <c r="AW72" s="6792"/>
      <c r="AX72" s="6791"/>
      <c r="AY72" s="6785"/>
      <c r="AZ72" s="6793"/>
      <c r="BA72" s="6794"/>
      <c r="BB72" s="6795"/>
      <c r="BC72" s="6796"/>
      <c r="BD72" s="6797"/>
      <c r="BE72" s="6798"/>
      <c r="BH72" s="5">
        <v>1</v>
      </c>
    </row>
    <row r="73" spans="2:60" ht="27" customHeight="1">
      <c r="B73" s="1021"/>
      <c r="C73" s="6787"/>
      <c r="D73" s="6787"/>
      <c r="E73" s="6787"/>
      <c r="F73" s="6788"/>
      <c r="G73" s="6789"/>
      <c r="H73" s="6790"/>
      <c r="I73" s="6786"/>
      <c r="J73" s="6791"/>
      <c r="K73" s="6792"/>
      <c r="L73" s="6791"/>
      <c r="M73" s="6785"/>
      <c r="N73" s="6793"/>
      <c r="O73" s="6794"/>
      <c r="P73" s="6795"/>
      <c r="Q73" s="6796"/>
      <c r="R73" s="6797"/>
      <c r="S73" s="6798"/>
      <c r="T73" s="6765"/>
      <c r="U73" s="1021"/>
      <c r="V73" s="6787"/>
      <c r="W73" s="6787"/>
      <c r="X73" s="6787"/>
      <c r="Y73" s="6788"/>
      <c r="Z73" s="6789"/>
      <c r="AA73" s="6790"/>
      <c r="AB73" s="6786"/>
      <c r="AC73" s="6791"/>
      <c r="AD73" s="6792"/>
      <c r="AE73" s="6791"/>
      <c r="AF73" s="6785"/>
      <c r="AG73" s="6793"/>
      <c r="AH73" s="6794"/>
      <c r="AI73" s="6795"/>
      <c r="AJ73" s="6796"/>
      <c r="AK73" s="6797"/>
      <c r="AL73" s="6798"/>
      <c r="AM73" s="6765"/>
      <c r="AN73" s="1021"/>
      <c r="AO73" s="6787"/>
      <c r="AP73" s="6787"/>
      <c r="AQ73" s="6787"/>
      <c r="AR73" s="6788"/>
      <c r="AS73" s="6789"/>
      <c r="AT73" s="6790"/>
      <c r="AU73" s="6786"/>
      <c r="AV73" s="6791"/>
      <c r="AW73" s="6792"/>
      <c r="AX73" s="6791"/>
      <c r="AY73" s="6785"/>
      <c r="AZ73" s="6793"/>
      <c r="BA73" s="6794"/>
      <c r="BB73" s="6795"/>
      <c r="BC73" s="6796"/>
      <c r="BD73" s="6797"/>
      <c r="BE73" s="6798"/>
      <c r="BH73" s="5">
        <v>1</v>
      </c>
    </row>
    <row r="74" spans="2:60" ht="27" customHeight="1">
      <c r="B74" s="1021"/>
      <c r="C74" s="6787"/>
      <c r="D74" s="6787"/>
      <c r="E74" s="6787"/>
      <c r="F74" s="6788"/>
      <c r="G74" s="6789"/>
      <c r="H74" s="6790"/>
      <c r="I74" s="6786"/>
      <c r="J74" s="6791"/>
      <c r="K74" s="6792"/>
      <c r="L74" s="6791"/>
      <c r="M74" s="6785"/>
      <c r="N74" s="6793"/>
      <c r="O74" s="6794"/>
      <c r="P74" s="6795"/>
      <c r="Q74" s="6796"/>
      <c r="R74" s="6797"/>
      <c r="S74" s="6798"/>
      <c r="T74" s="6765"/>
      <c r="U74" s="1021"/>
      <c r="V74" s="6787"/>
      <c r="W74" s="6787"/>
      <c r="X74" s="6787"/>
      <c r="Y74" s="6788"/>
      <c r="Z74" s="6789"/>
      <c r="AA74" s="6790"/>
      <c r="AB74" s="6786"/>
      <c r="AC74" s="6791"/>
      <c r="AD74" s="6792"/>
      <c r="AE74" s="6791"/>
      <c r="AF74" s="6785"/>
      <c r="AG74" s="6793"/>
      <c r="AH74" s="6794"/>
      <c r="AI74" s="6795"/>
      <c r="AJ74" s="6796"/>
      <c r="AK74" s="6797"/>
      <c r="AL74" s="6798"/>
      <c r="AM74" s="6765"/>
      <c r="AN74" s="1021"/>
      <c r="AO74" s="6787"/>
      <c r="AP74" s="6787"/>
      <c r="AQ74" s="6787"/>
      <c r="AR74" s="6788"/>
      <c r="AS74" s="6789"/>
      <c r="AT74" s="6790"/>
      <c r="AU74" s="6786"/>
      <c r="AV74" s="6791"/>
      <c r="AW74" s="6792"/>
      <c r="AX74" s="6791"/>
      <c r="AY74" s="6785"/>
      <c r="AZ74" s="6793"/>
      <c r="BA74" s="6794"/>
      <c r="BB74" s="6795"/>
      <c r="BC74" s="6796"/>
      <c r="BD74" s="6797"/>
      <c r="BE74" s="6798"/>
      <c r="BH74" s="5">
        <v>1</v>
      </c>
    </row>
    <row r="75" spans="2:60" ht="27" customHeight="1">
      <c r="B75" s="1021"/>
      <c r="C75" s="6787"/>
      <c r="D75" s="6787"/>
      <c r="E75" s="6787"/>
      <c r="F75" s="6788"/>
      <c r="G75" s="6789"/>
      <c r="H75" s="6790"/>
      <c r="I75" s="6786"/>
      <c r="J75" s="6791"/>
      <c r="K75" s="6792"/>
      <c r="L75" s="6791"/>
      <c r="M75" s="6785"/>
      <c r="N75" s="6793"/>
      <c r="O75" s="6794"/>
      <c r="P75" s="6795"/>
      <c r="Q75" s="6796"/>
      <c r="R75" s="6797"/>
      <c r="S75" s="6798"/>
      <c r="T75" s="6765"/>
      <c r="U75" s="1021"/>
      <c r="V75" s="6787"/>
      <c r="W75" s="6787"/>
      <c r="X75" s="6787"/>
      <c r="Y75" s="6788"/>
      <c r="Z75" s="6789"/>
      <c r="AA75" s="6790"/>
      <c r="AB75" s="6786"/>
      <c r="AC75" s="6791"/>
      <c r="AD75" s="6792"/>
      <c r="AE75" s="6791"/>
      <c r="AF75" s="6785"/>
      <c r="AG75" s="6793"/>
      <c r="AH75" s="6794"/>
      <c r="AI75" s="6795"/>
      <c r="AJ75" s="6796"/>
      <c r="AK75" s="6797"/>
      <c r="AL75" s="6798"/>
      <c r="AM75" s="6765"/>
      <c r="AN75" s="1021"/>
      <c r="AO75" s="6787"/>
      <c r="AP75" s="6787"/>
      <c r="AQ75" s="6787"/>
      <c r="AR75" s="6788"/>
      <c r="AS75" s="6789"/>
      <c r="AT75" s="6790"/>
      <c r="AU75" s="6786"/>
      <c r="AV75" s="6791"/>
      <c r="AW75" s="6792"/>
      <c r="AX75" s="6791"/>
      <c r="AY75" s="6785"/>
      <c r="AZ75" s="6793"/>
      <c r="BA75" s="6794"/>
      <c r="BB75" s="6795"/>
      <c r="BC75" s="6796"/>
      <c r="BD75" s="6797"/>
      <c r="BE75" s="6798"/>
      <c r="BH75" s="5">
        <v>1</v>
      </c>
    </row>
    <row r="76" spans="2:60" ht="27" customHeight="1">
      <c r="B76" s="1021"/>
      <c r="C76" s="6787"/>
      <c r="D76" s="6787"/>
      <c r="E76" s="6787"/>
      <c r="F76" s="6788"/>
      <c r="G76" s="6789"/>
      <c r="H76" s="6790"/>
      <c r="I76" s="6786"/>
      <c r="J76" s="6791"/>
      <c r="K76" s="6792"/>
      <c r="L76" s="6791"/>
      <c r="M76" s="6785"/>
      <c r="N76" s="6793"/>
      <c r="O76" s="6794"/>
      <c r="P76" s="6795"/>
      <c r="Q76" s="6796"/>
      <c r="R76" s="6797"/>
      <c r="S76" s="6798"/>
      <c r="T76" s="6765"/>
      <c r="U76" s="1021"/>
      <c r="V76" s="6787"/>
      <c r="W76" s="6787"/>
      <c r="X76" s="6787"/>
      <c r="Y76" s="6788"/>
      <c r="Z76" s="6789"/>
      <c r="AA76" s="6790"/>
      <c r="AB76" s="6786"/>
      <c r="AC76" s="6791"/>
      <c r="AD76" s="6792"/>
      <c r="AE76" s="6791"/>
      <c r="AF76" s="6785"/>
      <c r="AG76" s="6793"/>
      <c r="AH76" s="6794"/>
      <c r="AI76" s="6795"/>
      <c r="AJ76" s="6796"/>
      <c r="AK76" s="6797"/>
      <c r="AL76" s="6798"/>
      <c r="AM76" s="6765"/>
      <c r="AN76" s="1021"/>
      <c r="AO76" s="6787"/>
      <c r="AP76" s="6787"/>
      <c r="AQ76" s="6787"/>
      <c r="AR76" s="6788"/>
      <c r="AS76" s="6789"/>
      <c r="AT76" s="6790"/>
      <c r="AU76" s="6786"/>
      <c r="AV76" s="6791"/>
      <c r="AW76" s="6792"/>
      <c r="AX76" s="6791"/>
      <c r="AY76" s="6785"/>
      <c r="AZ76" s="6793"/>
      <c r="BA76" s="6794"/>
      <c r="BB76" s="6795"/>
      <c r="BC76" s="6796"/>
      <c r="BD76" s="6797"/>
      <c r="BE76" s="6798"/>
      <c r="BH76" s="5">
        <v>1</v>
      </c>
    </row>
    <row r="77" spans="2:60" ht="27" customHeight="1">
      <c r="B77" s="1021"/>
      <c r="C77" s="6787"/>
      <c r="D77" s="6787"/>
      <c r="E77" s="6787"/>
      <c r="F77" s="6788"/>
      <c r="G77" s="6789"/>
      <c r="H77" s="6790"/>
      <c r="I77" s="6786"/>
      <c r="J77" s="6791"/>
      <c r="K77" s="6792"/>
      <c r="L77" s="6791"/>
      <c r="M77" s="6785"/>
      <c r="N77" s="6793"/>
      <c r="O77" s="6794"/>
      <c r="P77" s="6795"/>
      <c r="Q77" s="6796"/>
      <c r="R77" s="6797"/>
      <c r="S77" s="6798"/>
      <c r="T77" s="6765"/>
      <c r="U77" s="1021"/>
      <c r="V77" s="6787"/>
      <c r="W77" s="6787"/>
      <c r="X77" s="6787"/>
      <c r="Y77" s="6788"/>
      <c r="Z77" s="6789"/>
      <c r="AA77" s="6790"/>
      <c r="AB77" s="6786"/>
      <c r="AC77" s="6791"/>
      <c r="AD77" s="6792"/>
      <c r="AE77" s="6791"/>
      <c r="AF77" s="6785"/>
      <c r="AG77" s="6793"/>
      <c r="AH77" s="6794"/>
      <c r="AI77" s="6795"/>
      <c r="AJ77" s="6796"/>
      <c r="AK77" s="6797"/>
      <c r="AL77" s="6798"/>
      <c r="AM77" s="6765"/>
      <c r="AN77" s="1021"/>
      <c r="AO77" s="6787"/>
      <c r="AP77" s="6787"/>
      <c r="AQ77" s="6787"/>
      <c r="AR77" s="6788"/>
      <c r="AS77" s="6789"/>
      <c r="AT77" s="6790"/>
      <c r="AU77" s="6786"/>
      <c r="AV77" s="6791"/>
      <c r="AW77" s="6792"/>
      <c r="AX77" s="6791"/>
      <c r="AY77" s="6785"/>
      <c r="AZ77" s="6793"/>
      <c r="BA77" s="6794"/>
      <c r="BB77" s="6795"/>
      <c r="BC77" s="6796"/>
      <c r="BD77" s="6797"/>
      <c r="BE77" s="6798"/>
      <c r="BH77" s="5">
        <v>1</v>
      </c>
    </row>
    <row r="78" spans="2:60" ht="27" customHeight="1">
      <c r="B78" s="1021"/>
      <c r="C78" s="6787"/>
      <c r="D78" s="6787"/>
      <c r="E78" s="6787"/>
      <c r="F78" s="6788"/>
      <c r="G78" s="6789"/>
      <c r="H78" s="6790"/>
      <c r="I78" s="6786"/>
      <c r="J78" s="6791"/>
      <c r="K78" s="6792"/>
      <c r="L78" s="6791"/>
      <c r="M78" s="6785"/>
      <c r="N78" s="6793"/>
      <c r="O78" s="6794"/>
      <c r="P78" s="6795"/>
      <c r="Q78" s="6796"/>
      <c r="R78" s="6797"/>
      <c r="S78" s="6798"/>
      <c r="T78" s="6765"/>
      <c r="U78" s="1021"/>
      <c r="V78" s="6787"/>
      <c r="W78" s="6787"/>
      <c r="X78" s="6787"/>
      <c r="Y78" s="6788"/>
      <c r="Z78" s="6789"/>
      <c r="AA78" s="6790"/>
      <c r="AB78" s="6786"/>
      <c r="AC78" s="6791"/>
      <c r="AD78" s="6792"/>
      <c r="AE78" s="6791"/>
      <c r="AF78" s="6785"/>
      <c r="AG78" s="6793"/>
      <c r="AH78" s="6794"/>
      <c r="AI78" s="6795"/>
      <c r="AJ78" s="6796"/>
      <c r="AK78" s="6797"/>
      <c r="AL78" s="6798"/>
      <c r="AM78" s="6765"/>
      <c r="AN78" s="1021"/>
      <c r="AO78" s="6787"/>
      <c r="AP78" s="6787"/>
      <c r="AQ78" s="6787"/>
      <c r="AR78" s="6788"/>
      <c r="AS78" s="6789"/>
      <c r="AT78" s="6790"/>
      <c r="AU78" s="6786"/>
      <c r="AV78" s="6791"/>
      <c r="AW78" s="6792"/>
      <c r="AX78" s="6791"/>
      <c r="AY78" s="6785"/>
      <c r="AZ78" s="6793"/>
      <c r="BA78" s="6794"/>
      <c r="BB78" s="6795"/>
      <c r="BC78" s="6796"/>
      <c r="BD78" s="6797"/>
      <c r="BE78" s="6798"/>
      <c r="BH78" s="5">
        <v>1</v>
      </c>
    </row>
    <row r="79" spans="2:60" ht="27" customHeight="1">
      <c r="B79" s="1021"/>
      <c r="C79" s="6787"/>
      <c r="D79" s="6787"/>
      <c r="E79" s="6787"/>
      <c r="F79" s="6788"/>
      <c r="G79" s="6789"/>
      <c r="H79" s="6790"/>
      <c r="I79" s="6786"/>
      <c r="J79" s="6791"/>
      <c r="K79" s="6792"/>
      <c r="L79" s="6791"/>
      <c r="M79" s="6785"/>
      <c r="N79" s="6793"/>
      <c r="O79" s="6794"/>
      <c r="P79" s="6795"/>
      <c r="Q79" s="6796"/>
      <c r="R79" s="6797"/>
      <c r="S79" s="6798"/>
      <c r="T79" s="6765"/>
      <c r="U79" s="1021"/>
      <c r="V79" s="6787"/>
      <c r="W79" s="6787"/>
      <c r="X79" s="6787"/>
      <c r="Y79" s="6788"/>
      <c r="Z79" s="6789"/>
      <c r="AA79" s="6790"/>
      <c r="AB79" s="6786"/>
      <c r="AC79" s="6791"/>
      <c r="AD79" s="6792"/>
      <c r="AE79" s="6791"/>
      <c r="AF79" s="6785"/>
      <c r="AG79" s="6793"/>
      <c r="AH79" s="6794"/>
      <c r="AI79" s="6795"/>
      <c r="AJ79" s="6796"/>
      <c r="AK79" s="6797"/>
      <c r="AL79" s="6798"/>
      <c r="AM79" s="6765"/>
      <c r="AN79" s="1021"/>
      <c r="AO79" s="6787"/>
      <c r="AP79" s="6787"/>
      <c r="AQ79" s="6787"/>
      <c r="AR79" s="6788"/>
      <c r="AS79" s="6789"/>
      <c r="AT79" s="6790"/>
      <c r="AU79" s="6786"/>
      <c r="AV79" s="6791"/>
      <c r="AW79" s="6792"/>
      <c r="AX79" s="6791"/>
      <c r="AY79" s="6785"/>
      <c r="AZ79" s="6793"/>
      <c r="BA79" s="6794"/>
      <c r="BB79" s="6795"/>
      <c r="BC79" s="6796"/>
      <c r="BD79" s="6797"/>
      <c r="BE79" s="6798"/>
      <c r="BH79" s="5">
        <v>1</v>
      </c>
    </row>
    <row r="80" spans="2:60" ht="27" customHeight="1">
      <c r="B80" s="1021"/>
      <c r="C80" s="6787"/>
      <c r="D80" s="6787"/>
      <c r="E80" s="6787"/>
      <c r="F80" s="6788"/>
      <c r="G80" s="6789"/>
      <c r="H80" s="6790"/>
      <c r="I80" s="6786"/>
      <c r="J80" s="6791"/>
      <c r="K80" s="6792"/>
      <c r="L80" s="6791"/>
      <c r="M80" s="6785"/>
      <c r="N80" s="6793"/>
      <c r="O80" s="6794"/>
      <c r="P80" s="6795"/>
      <c r="Q80" s="6796"/>
      <c r="R80" s="6797"/>
      <c r="S80" s="6798"/>
      <c r="T80" s="6765"/>
      <c r="U80" s="1021"/>
      <c r="V80" s="6787"/>
      <c r="W80" s="6787"/>
      <c r="X80" s="6787"/>
      <c r="Y80" s="6788"/>
      <c r="Z80" s="6789"/>
      <c r="AA80" s="6790"/>
      <c r="AB80" s="6786"/>
      <c r="AC80" s="6791"/>
      <c r="AD80" s="6792"/>
      <c r="AE80" s="6791"/>
      <c r="AF80" s="6785"/>
      <c r="AG80" s="6793"/>
      <c r="AH80" s="6794"/>
      <c r="AI80" s="6795"/>
      <c r="AJ80" s="6796"/>
      <c r="AK80" s="6797"/>
      <c r="AL80" s="6798"/>
      <c r="AM80" s="6765"/>
      <c r="AN80" s="1021"/>
      <c r="AO80" s="6787"/>
      <c r="AP80" s="6787"/>
      <c r="AQ80" s="6787"/>
      <c r="AR80" s="6788"/>
      <c r="AS80" s="6789"/>
      <c r="AT80" s="6790"/>
      <c r="AU80" s="6786"/>
      <c r="AV80" s="6791"/>
      <c r="AW80" s="6792"/>
      <c r="AX80" s="6791"/>
      <c r="AY80" s="6785"/>
      <c r="AZ80" s="6793"/>
      <c r="BA80" s="6794"/>
      <c r="BB80" s="6795"/>
      <c r="BC80" s="6796"/>
      <c r="BD80" s="6797"/>
      <c r="BE80" s="6798"/>
      <c r="BH80" s="5">
        <v>1</v>
      </c>
    </row>
    <row r="81" spans="2:60" ht="27" customHeight="1">
      <c r="B81" s="1021"/>
      <c r="C81" s="6787"/>
      <c r="D81" s="6787"/>
      <c r="E81" s="6787"/>
      <c r="F81" s="6788"/>
      <c r="G81" s="6789"/>
      <c r="H81" s="6790"/>
      <c r="I81" s="6786"/>
      <c r="J81" s="6791"/>
      <c r="K81" s="6792"/>
      <c r="L81" s="6791"/>
      <c r="M81" s="6785"/>
      <c r="N81" s="6793"/>
      <c r="O81" s="6794"/>
      <c r="P81" s="6795"/>
      <c r="Q81" s="6796"/>
      <c r="R81" s="6797"/>
      <c r="S81" s="6798"/>
      <c r="T81" s="6765"/>
      <c r="U81" s="1021"/>
      <c r="V81" s="6787"/>
      <c r="W81" s="6787"/>
      <c r="X81" s="6787"/>
      <c r="Y81" s="6788"/>
      <c r="Z81" s="6789"/>
      <c r="AA81" s="6790"/>
      <c r="AB81" s="6786"/>
      <c r="AC81" s="6791"/>
      <c r="AD81" s="6792"/>
      <c r="AE81" s="6791"/>
      <c r="AF81" s="6785"/>
      <c r="AG81" s="6793"/>
      <c r="AH81" s="6794"/>
      <c r="AI81" s="6795"/>
      <c r="AJ81" s="6796"/>
      <c r="AK81" s="6797"/>
      <c r="AL81" s="6798"/>
      <c r="AM81" s="6765"/>
      <c r="AN81" s="1021"/>
      <c r="AO81" s="6787"/>
      <c r="AP81" s="6787"/>
      <c r="AQ81" s="6787"/>
      <c r="AR81" s="6788"/>
      <c r="AS81" s="6789"/>
      <c r="AT81" s="6790"/>
      <c r="AU81" s="6786"/>
      <c r="AV81" s="6791"/>
      <c r="AW81" s="6792"/>
      <c r="AX81" s="6791"/>
      <c r="AY81" s="6785"/>
      <c r="AZ81" s="6793"/>
      <c r="BA81" s="6794"/>
      <c r="BB81" s="6795"/>
      <c r="BC81" s="6796"/>
      <c r="BD81" s="6797"/>
      <c r="BE81" s="6798"/>
      <c r="BH81" s="5">
        <v>1</v>
      </c>
    </row>
    <row r="82" spans="2:60" ht="27" customHeight="1">
      <c r="B82" s="1021"/>
      <c r="C82" s="6787"/>
      <c r="D82" s="6787"/>
      <c r="E82" s="6787"/>
      <c r="F82" s="6788"/>
      <c r="G82" s="6789"/>
      <c r="H82" s="6790"/>
      <c r="I82" s="6786"/>
      <c r="J82" s="6791"/>
      <c r="K82" s="6792"/>
      <c r="L82" s="6791"/>
      <c r="M82" s="6785"/>
      <c r="N82" s="6793"/>
      <c r="O82" s="6794"/>
      <c r="P82" s="6795"/>
      <c r="Q82" s="6796"/>
      <c r="R82" s="6797"/>
      <c r="S82" s="6798"/>
      <c r="T82" s="6765"/>
      <c r="U82" s="1021"/>
      <c r="V82" s="6787"/>
      <c r="W82" s="6787"/>
      <c r="X82" s="6787"/>
      <c r="Y82" s="6788"/>
      <c r="Z82" s="6789"/>
      <c r="AA82" s="6790"/>
      <c r="AB82" s="6786"/>
      <c r="AC82" s="6791"/>
      <c r="AD82" s="6792"/>
      <c r="AE82" s="6791"/>
      <c r="AF82" s="6785"/>
      <c r="AG82" s="6793"/>
      <c r="AH82" s="6794"/>
      <c r="AI82" s="6795"/>
      <c r="AJ82" s="6796"/>
      <c r="AK82" s="6797"/>
      <c r="AL82" s="6798"/>
      <c r="AM82" s="6765"/>
      <c r="AN82" s="1021"/>
      <c r="AO82" s="6787"/>
      <c r="AP82" s="6787"/>
      <c r="AQ82" s="6787"/>
      <c r="AR82" s="6788"/>
      <c r="AS82" s="6789"/>
      <c r="AT82" s="6790"/>
      <c r="AU82" s="6786"/>
      <c r="AV82" s="6791"/>
      <c r="AW82" s="6792"/>
      <c r="AX82" s="6791"/>
      <c r="AY82" s="6785"/>
      <c r="AZ82" s="6793"/>
      <c r="BA82" s="6794"/>
      <c r="BB82" s="6795"/>
      <c r="BC82" s="6796"/>
      <c r="BD82" s="6797"/>
      <c r="BE82" s="6798"/>
      <c r="BH82" s="5">
        <v>1</v>
      </c>
    </row>
    <row r="83" spans="2:60" ht="27" customHeight="1">
      <c r="B83" s="1021"/>
      <c r="C83" s="6787"/>
      <c r="D83" s="6787"/>
      <c r="E83" s="6787"/>
      <c r="F83" s="6788"/>
      <c r="G83" s="6789"/>
      <c r="H83" s="6790"/>
      <c r="I83" s="6786"/>
      <c r="J83" s="6791"/>
      <c r="K83" s="6792"/>
      <c r="L83" s="6791"/>
      <c r="M83" s="6785"/>
      <c r="N83" s="6793"/>
      <c r="O83" s="6794"/>
      <c r="P83" s="6795"/>
      <c r="Q83" s="6796"/>
      <c r="R83" s="6797"/>
      <c r="S83" s="6798"/>
      <c r="T83" s="6765"/>
      <c r="U83" s="1021"/>
      <c r="V83" s="6787"/>
      <c r="W83" s="6787"/>
      <c r="X83" s="6787"/>
      <c r="Y83" s="6788"/>
      <c r="Z83" s="6789"/>
      <c r="AA83" s="6790"/>
      <c r="AB83" s="6786"/>
      <c r="AC83" s="6791"/>
      <c r="AD83" s="6792"/>
      <c r="AE83" s="6791"/>
      <c r="AF83" s="6785"/>
      <c r="AG83" s="6793"/>
      <c r="AH83" s="6794"/>
      <c r="AI83" s="6795"/>
      <c r="AJ83" s="6796"/>
      <c r="AK83" s="6797"/>
      <c r="AL83" s="6798"/>
      <c r="AM83" s="6765"/>
      <c r="AN83" s="1021"/>
      <c r="AO83" s="6787"/>
      <c r="AP83" s="6787"/>
      <c r="AQ83" s="6787"/>
      <c r="AR83" s="6788"/>
      <c r="AS83" s="6789"/>
      <c r="AT83" s="6790"/>
      <c r="AU83" s="6786"/>
      <c r="AV83" s="6791"/>
      <c r="AW83" s="6792"/>
      <c r="AX83" s="6791"/>
      <c r="AY83" s="6785"/>
      <c r="AZ83" s="6793"/>
      <c r="BA83" s="6794"/>
      <c r="BB83" s="6795"/>
      <c r="BC83" s="6796"/>
      <c r="BD83" s="6797"/>
      <c r="BE83" s="6798"/>
      <c r="BH83" s="5">
        <v>1</v>
      </c>
    </row>
    <row r="84" spans="2:60" ht="27" customHeight="1">
      <c r="B84" s="1021"/>
      <c r="C84" s="6787"/>
      <c r="D84" s="6787"/>
      <c r="E84" s="6787"/>
      <c r="F84" s="6788"/>
      <c r="G84" s="6789"/>
      <c r="H84" s="6790"/>
      <c r="I84" s="6786"/>
      <c r="J84" s="6791"/>
      <c r="K84" s="6792"/>
      <c r="L84" s="6791"/>
      <c r="M84" s="6785"/>
      <c r="N84" s="6793"/>
      <c r="O84" s="6794"/>
      <c r="P84" s="6795"/>
      <c r="Q84" s="6796"/>
      <c r="R84" s="6797"/>
      <c r="S84" s="6798"/>
      <c r="T84" s="6765"/>
      <c r="U84" s="1021"/>
      <c r="V84" s="6787"/>
      <c r="W84" s="6787"/>
      <c r="X84" s="6787"/>
      <c r="Y84" s="6788"/>
      <c r="Z84" s="6789"/>
      <c r="AA84" s="6790"/>
      <c r="AB84" s="6786"/>
      <c r="AC84" s="6791"/>
      <c r="AD84" s="6792"/>
      <c r="AE84" s="6791"/>
      <c r="AF84" s="6785"/>
      <c r="AG84" s="6793"/>
      <c r="AH84" s="6794"/>
      <c r="AI84" s="6795"/>
      <c r="AJ84" s="6796"/>
      <c r="AK84" s="6797"/>
      <c r="AL84" s="6798"/>
      <c r="AM84" s="6765"/>
      <c r="AN84" s="1021"/>
      <c r="AO84" s="6787"/>
      <c r="AP84" s="6787"/>
      <c r="AQ84" s="6787"/>
      <c r="AR84" s="6788"/>
      <c r="AS84" s="6789"/>
      <c r="AT84" s="6790"/>
      <c r="AU84" s="6786"/>
      <c r="AV84" s="6791"/>
      <c r="AW84" s="6792"/>
      <c r="AX84" s="6791"/>
      <c r="AY84" s="6785"/>
      <c r="AZ84" s="6793"/>
      <c r="BA84" s="6794"/>
      <c r="BB84" s="6795"/>
      <c r="BC84" s="6796"/>
      <c r="BD84" s="6797"/>
      <c r="BE84" s="6798"/>
      <c r="BH84" s="5">
        <v>1</v>
      </c>
    </row>
    <row r="85" spans="2:60" ht="27" customHeight="1">
      <c r="B85" s="1021"/>
      <c r="C85" s="6787"/>
      <c r="D85" s="6787"/>
      <c r="E85" s="6787"/>
      <c r="F85" s="6788"/>
      <c r="G85" s="6789"/>
      <c r="H85" s="6790"/>
      <c r="I85" s="6786"/>
      <c r="J85" s="6791"/>
      <c r="K85" s="6792"/>
      <c r="L85" s="6791"/>
      <c r="M85" s="6785"/>
      <c r="N85" s="6793"/>
      <c r="O85" s="6794"/>
      <c r="P85" s="6795"/>
      <c r="Q85" s="6796"/>
      <c r="R85" s="6797"/>
      <c r="S85" s="6798"/>
      <c r="T85" s="6765"/>
      <c r="U85" s="1021"/>
      <c r="V85" s="6787"/>
      <c r="W85" s="6787"/>
      <c r="X85" s="6787"/>
      <c r="Y85" s="6788"/>
      <c r="Z85" s="6789"/>
      <c r="AA85" s="6790"/>
      <c r="AB85" s="6786"/>
      <c r="AC85" s="6791"/>
      <c r="AD85" s="6792"/>
      <c r="AE85" s="6791"/>
      <c r="AF85" s="6785"/>
      <c r="AG85" s="6793"/>
      <c r="AH85" s="6794"/>
      <c r="AI85" s="6795"/>
      <c r="AJ85" s="6796"/>
      <c r="AK85" s="6797"/>
      <c r="AL85" s="6798"/>
      <c r="AM85" s="6765"/>
      <c r="AN85" s="1021"/>
      <c r="AO85" s="6787"/>
      <c r="AP85" s="6787"/>
      <c r="AQ85" s="6787"/>
      <c r="AR85" s="6788"/>
      <c r="AS85" s="6789"/>
      <c r="AT85" s="6790"/>
      <c r="AU85" s="6786"/>
      <c r="AV85" s="6791"/>
      <c r="AW85" s="6792"/>
      <c r="AX85" s="6791"/>
      <c r="AY85" s="6785"/>
      <c r="AZ85" s="6793"/>
      <c r="BA85" s="6794"/>
      <c r="BB85" s="6795"/>
      <c r="BC85" s="6796"/>
      <c r="BD85" s="6797"/>
      <c r="BE85" s="6798"/>
      <c r="BH85" s="5">
        <v>1</v>
      </c>
    </row>
    <row r="86" spans="2:60" ht="27" customHeight="1">
      <c r="B86" s="1021"/>
      <c r="C86" s="6787"/>
      <c r="D86" s="6787"/>
      <c r="E86" s="6787"/>
      <c r="F86" s="6788"/>
      <c r="G86" s="6789"/>
      <c r="H86" s="6790"/>
      <c r="I86" s="6786"/>
      <c r="J86" s="6791"/>
      <c r="K86" s="6792"/>
      <c r="L86" s="6791"/>
      <c r="M86" s="6785"/>
      <c r="N86" s="6793"/>
      <c r="O86" s="6794"/>
      <c r="P86" s="6795"/>
      <c r="Q86" s="6796"/>
      <c r="R86" s="6797"/>
      <c r="S86" s="6798"/>
      <c r="T86" s="6765"/>
      <c r="U86" s="1021"/>
      <c r="V86" s="6787"/>
      <c r="W86" s="6787"/>
      <c r="X86" s="6787"/>
      <c r="Y86" s="6788"/>
      <c r="Z86" s="6789"/>
      <c r="AA86" s="6790"/>
      <c r="AB86" s="6786"/>
      <c r="AC86" s="6791"/>
      <c r="AD86" s="6792"/>
      <c r="AE86" s="6791"/>
      <c r="AF86" s="6785"/>
      <c r="AG86" s="6793"/>
      <c r="AH86" s="6794"/>
      <c r="AI86" s="6795"/>
      <c r="AJ86" s="6796"/>
      <c r="AK86" s="6797"/>
      <c r="AL86" s="6798"/>
      <c r="AM86" s="6765"/>
      <c r="AN86" s="1021"/>
      <c r="AO86" s="6787"/>
      <c r="AP86" s="6787"/>
      <c r="AQ86" s="6787"/>
      <c r="AR86" s="6788"/>
      <c r="AS86" s="6789"/>
      <c r="AT86" s="6790"/>
      <c r="AU86" s="6786"/>
      <c r="AV86" s="6791"/>
      <c r="AW86" s="6792"/>
      <c r="AX86" s="6791"/>
      <c r="AY86" s="6785"/>
      <c r="AZ86" s="6793"/>
      <c r="BA86" s="6794"/>
      <c r="BB86" s="6795"/>
      <c r="BC86" s="6796"/>
      <c r="BD86" s="6797"/>
      <c r="BE86" s="6798"/>
      <c r="BH86" s="5">
        <v>1</v>
      </c>
    </row>
    <row r="87" spans="2:60" ht="27" customHeight="1">
      <c r="B87" s="1021"/>
      <c r="C87" s="6787"/>
      <c r="D87" s="6787"/>
      <c r="E87" s="6787"/>
      <c r="F87" s="6788"/>
      <c r="G87" s="6789"/>
      <c r="H87" s="6790"/>
      <c r="I87" s="6786"/>
      <c r="J87" s="6791"/>
      <c r="K87" s="6792"/>
      <c r="L87" s="6791"/>
      <c r="M87" s="6785"/>
      <c r="N87" s="6793"/>
      <c r="O87" s="6794"/>
      <c r="P87" s="6795"/>
      <c r="Q87" s="6796"/>
      <c r="R87" s="6797"/>
      <c r="S87" s="6798"/>
      <c r="T87" s="6765"/>
      <c r="U87" s="1021"/>
      <c r="V87" s="6787"/>
      <c r="W87" s="6787"/>
      <c r="X87" s="6787"/>
      <c r="Y87" s="6788"/>
      <c r="Z87" s="6789"/>
      <c r="AA87" s="6790"/>
      <c r="AB87" s="6786"/>
      <c r="AC87" s="6791"/>
      <c r="AD87" s="6792"/>
      <c r="AE87" s="6791"/>
      <c r="AF87" s="6785"/>
      <c r="AG87" s="6793"/>
      <c r="AH87" s="6794"/>
      <c r="AI87" s="6795"/>
      <c r="AJ87" s="6796"/>
      <c r="AK87" s="6797"/>
      <c r="AL87" s="6798"/>
      <c r="AM87" s="6765"/>
      <c r="AN87" s="1021"/>
      <c r="AO87" s="6787"/>
      <c r="AP87" s="6787"/>
      <c r="AQ87" s="6787"/>
      <c r="AR87" s="6788"/>
      <c r="AS87" s="6789"/>
      <c r="AT87" s="6790"/>
      <c r="AU87" s="6786"/>
      <c r="AV87" s="6791"/>
      <c r="AW87" s="6792"/>
      <c r="AX87" s="6791"/>
      <c r="AY87" s="6785"/>
      <c r="AZ87" s="6793"/>
      <c r="BA87" s="6794"/>
      <c r="BB87" s="6795"/>
      <c r="BC87" s="6796"/>
      <c r="BD87" s="6797"/>
      <c r="BE87" s="6798"/>
      <c r="BH87" s="5">
        <v>1</v>
      </c>
    </row>
    <row r="88" spans="2:60" ht="27" customHeight="1">
      <c r="B88" s="1021"/>
      <c r="C88" s="6787"/>
      <c r="D88" s="6787"/>
      <c r="E88" s="6787"/>
      <c r="F88" s="6788"/>
      <c r="G88" s="6789"/>
      <c r="H88" s="6790"/>
      <c r="I88" s="6786"/>
      <c r="J88" s="6791"/>
      <c r="K88" s="6792"/>
      <c r="L88" s="6791"/>
      <c r="M88" s="6785"/>
      <c r="N88" s="6793"/>
      <c r="O88" s="6794"/>
      <c r="P88" s="6795"/>
      <c r="Q88" s="6796"/>
      <c r="R88" s="6797"/>
      <c r="S88" s="6798"/>
      <c r="T88" s="6765"/>
      <c r="U88" s="1021"/>
      <c r="V88" s="6787"/>
      <c r="W88" s="6787"/>
      <c r="X88" s="6787"/>
      <c r="Y88" s="6788"/>
      <c r="Z88" s="6789"/>
      <c r="AA88" s="6790"/>
      <c r="AB88" s="6786"/>
      <c r="AC88" s="6791"/>
      <c r="AD88" s="6792"/>
      <c r="AE88" s="6791"/>
      <c r="AF88" s="6785"/>
      <c r="AG88" s="6793"/>
      <c r="AH88" s="6794"/>
      <c r="AI88" s="6795"/>
      <c r="AJ88" s="6796"/>
      <c r="AK88" s="6797"/>
      <c r="AL88" s="6798"/>
      <c r="AM88" s="6765"/>
      <c r="AN88" s="1021"/>
      <c r="AO88" s="6787"/>
      <c r="AP88" s="6787"/>
      <c r="AQ88" s="6787"/>
      <c r="AR88" s="6788"/>
      <c r="AS88" s="6789"/>
      <c r="AT88" s="6790"/>
      <c r="AU88" s="6786"/>
      <c r="AV88" s="6791"/>
      <c r="AW88" s="6792"/>
      <c r="AX88" s="6791"/>
      <c r="AY88" s="6785"/>
      <c r="AZ88" s="6793"/>
      <c r="BA88" s="6794"/>
      <c r="BB88" s="6795"/>
      <c r="BC88" s="6796"/>
      <c r="BD88" s="6797"/>
      <c r="BE88" s="6798"/>
      <c r="BH88" s="5">
        <v>1</v>
      </c>
    </row>
    <row r="89" spans="2:60" ht="27" customHeight="1">
      <c r="B89" s="1021"/>
      <c r="C89" s="6787"/>
      <c r="D89" s="6787"/>
      <c r="E89" s="6787"/>
      <c r="F89" s="6788"/>
      <c r="G89" s="6789"/>
      <c r="H89" s="6790"/>
      <c r="I89" s="6786"/>
      <c r="J89" s="6791"/>
      <c r="K89" s="6792"/>
      <c r="L89" s="6791"/>
      <c r="M89" s="6785"/>
      <c r="N89" s="6793"/>
      <c r="O89" s="6794"/>
      <c r="P89" s="6795"/>
      <c r="Q89" s="6796"/>
      <c r="R89" s="6797"/>
      <c r="S89" s="6798"/>
      <c r="T89" s="6765"/>
      <c r="U89" s="1021"/>
      <c r="V89" s="6787"/>
      <c r="W89" s="6787"/>
      <c r="X89" s="6787"/>
      <c r="Y89" s="6788"/>
      <c r="Z89" s="6789"/>
      <c r="AA89" s="6790"/>
      <c r="AB89" s="6786"/>
      <c r="AC89" s="6791"/>
      <c r="AD89" s="6792"/>
      <c r="AE89" s="6791"/>
      <c r="AF89" s="6785"/>
      <c r="AG89" s="6793"/>
      <c r="AH89" s="6794"/>
      <c r="AI89" s="6795"/>
      <c r="AJ89" s="6796"/>
      <c r="AK89" s="6797"/>
      <c r="AL89" s="6798"/>
      <c r="AM89" s="6765"/>
      <c r="AN89" s="1021"/>
      <c r="AO89" s="6787"/>
      <c r="AP89" s="6787"/>
      <c r="AQ89" s="6787"/>
      <c r="AR89" s="6788"/>
      <c r="AS89" s="6789"/>
      <c r="AT89" s="6790"/>
      <c r="AU89" s="6786"/>
      <c r="AV89" s="6791"/>
      <c r="AW89" s="6792"/>
      <c r="AX89" s="6791"/>
      <c r="AY89" s="6785"/>
      <c r="AZ89" s="6793"/>
      <c r="BA89" s="6794"/>
      <c r="BB89" s="6795"/>
      <c r="BC89" s="6796"/>
      <c r="BD89" s="6797"/>
      <c r="BE89" s="6798"/>
      <c r="BH89" s="5">
        <v>1</v>
      </c>
    </row>
    <row r="90" spans="2:60" ht="27" customHeight="1">
      <c r="B90" s="1021"/>
      <c r="C90" s="6787"/>
      <c r="D90" s="6787"/>
      <c r="E90" s="6787"/>
      <c r="F90" s="6788"/>
      <c r="G90" s="6789"/>
      <c r="H90" s="6790"/>
      <c r="I90" s="6786"/>
      <c r="J90" s="6791"/>
      <c r="K90" s="6792"/>
      <c r="L90" s="6791"/>
      <c r="M90" s="6785"/>
      <c r="N90" s="6793"/>
      <c r="O90" s="6794"/>
      <c r="P90" s="6795"/>
      <c r="Q90" s="6796"/>
      <c r="R90" s="6797"/>
      <c r="S90" s="6798"/>
      <c r="T90" s="6765"/>
      <c r="U90" s="1021"/>
      <c r="V90" s="6787"/>
      <c r="W90" s="6787"/>
      <c r="X90" s="6787"/>
      <c r="Y90" s="6788"/>
      <c r="Z90" s="6789"/>
      <c r="AA90" s="6790"/>
      <c r="AB90" s="6786"/>
      <c r="AC90" s="6791"/>
      <c r="AD90" s="6792"/>
      <c r="AE90" s="6791"/>
      <c r="AF90" s="6785"/>
      <c r="AG90" s="6793"/>
      <c r="AH90" s="6794"/>
      <c r="AI90" s="6795"/>
      <c r="AJ90" s="6796"/>
      <c r="AK90" s="6797"/>
      <c r="AL90" s="6798"/>
      <c r="AM90" s="6765"/>
      <c r="AN90" s="1021"/>
      <c r="AO90" s="6787"/>
      <c r="AP90" s="6787"/>
      <c r="AQ90" s="6787"/>
      <c r="AR90" s="6788"/>
      <c r="AS90" s="6789"/>
      <c r="AT90" s="6790"/>
      <c r="AU90" s="6786"/>
      <c r="AV90" s="6791"/>
      <c r="AW90" s="6792"/>
      <c r="AX90" s="6791"/>
      <c r="AY90" s="6785"/>
      <c r="AZ90" s="6793"/>
      <c r="BA90" s="6794"/>
      <c r="BB90" s="6795"/>
      <c r="BC90" s="6796"/>
      <c r="BD90" s="6797"/>
      <c r="BE90" s="6798"/>
      <c r="BH90" s="5">
        <v>1</v>
      </c>
    </row>
    <row r="91" spans="2:60" ht="27" customHeight="1">
      <c r="B91" s="1021"/>
      <c r="C91" s="6787"/>
      <c r="D91" s="6787"/>
      <c r="E91" s="6787"/>
      <c r="F91" s="6788"/>
      <c r="G91" s="6789"/>
      <c r="H91" s="6790"/>
      <c r="I91" s="6786"/>
      <c r="J91" s="6791"/>
      <c r="K91" s="6792"/>
      <c r="L91" s="6791"/>
      <c r="M91" s="6785"/>
      <c r="N91" s="6793"/>
      <c r="O91" s="6794"/>
      <c r="P91" s="6795"/>
      <c r="Q91" s="6796"/>
      <c r="R91" s="6797"/>
      <c r="S91" s="6798"/>
      <c r="T91" s="6765"/>
      <c r="U91" s="1021"/>
      <c r="V91" s="6787"/>
      <c r="W91" s="6787"/>
      <c r="X91" s="6787"/>
      <c r="Y91" s="6788"/>
      <c r="Z91" s="6789"/>
      <c r="AA91" s="6790"/>
      <c r="AB91" s="6786"/>
      <c r="AC91" s="6791"/>
      <c r="AD91" s="6792"/>
      <c r="AE91" s="6791"/>
      <c r="AF91" s="6785"/>
      <c r="AG91" s="6793"/>
      <c r="AH91" s="6794"/>
      <c r="AI91" s="6795"/>
      <c r="AJ91" s="6796"/>
      <c r="AK91" s="6797"/>
      <c r="AL91" s="6798"/>
      <c r="AM91" s="6765"/>
      <c r="AN91" s="1021"/>
      <c r="AO91" s="6787"/>
      <c r="AP91" s="6787"/>
      <c r="AQ91" s="6787"/>
      <c r="AR91" s="6788"/>
      <c r="AS91" s="6789"/>
      <c r="AT91" s="6790"/>
      <c r="AU91" s="6786"/>
      <c r="AV91" s="6791"/>
      <c r="AW91" s="6792"/>
      <c r="AX91" s="6791"/>
      <c r="AY91" s="6785"/>
      <c r="AZ91" s="6793"/>
      <c r="BA91" s="6794"/>
      <c r="BB91" s="6795"/>
      <c r="BC91" s="6796"/>
      <c r="BD91" s="6797"/>
      <c r="BE91" s="6798"/>
      <c r="BH91" s="5">
        <v>1</v>
      </c>
    </row>
    <row r="92" spans="2:60" ht="27" customHeight="1">
      <c r="B92" s="1021"/>
      <c r="C92" s="6787"/>
      <c r="D92" s="6787"/>
      <c r="E92" s="6787"/>
      <c r="F92" s="6788"/>
      <c r="G92" s="6789"/>
      <c r="H92" s="6790"/>
      <c r="I92" s="6786"/>
      <c r="J92" s="6791"/>
      <c r="K92" s="6792"/>
      <c r="L92" s="6791"/>
      <c r="M92" s="6785"/>
      <c r="N92" s="6793"/>
      <c r="O92" s="6794"/>
      <c r="P92" s="6795"/>
      <c r="Q92" s="6796"/>
      <c r="R92" s="6797"/>
      <c r="S92" s="6798"/>
      <c r="T92" s="6765"/>
      <c r="U92" s="1021"/>
      <c r="V92" s="6787"/>
      <c r="W92" s="6787"/>
      <c r="X92" s="6787"/>
      <c r="Y92" s="6788"/>
      <c r="Z92" s="6789"/>
      <c r="AA92" s="6790"/>
      <c r="AB92" s="6786"/>
      <c r="AC92" s="6791"/>
      <c r="AD92" s="6792"/>
      <c r="AE92" s="6791"/>
      <c r="AF92" s="6785"/>
      <c r="AG92" s="6793"/>
      <c r="AH92" s="6794"/>
      <c r="AI92" s="6795"/>
      <c r="AJ92" s="6796"/>
      <c r="AK92" s="6797"/>
      <c r="AL92" s="6798"/>
      <c r="AM92" s="6765"/>
      <c r="AN92" s="1021"/>
      <c r="AO92" s="6787"/>
      <c r="AP92" s="6787"/>
      <c r="AQ92" s="6787"/>
      <c r="AR92" s="6788"/>
      <c r="AS92" s="6789"/>
      <c r="AT92" s="6790"/>
      <c r="AU92" s="6786"/>
      <c r="AV92" s="6791"/>
      <c r="AW92" s="6792"/>
      <c r="AX92" s="6791"/>
      <c r="AY92" s="6785"/>
      <c r="AZ92" s="6793"/>
      <c r="BA92" s="6794"/>
      <c r="BB92" s="6795"/>
      <c r="BC92" s="6796"/>
      <c r="BD92" s="6797"/>
      <c r="BE92" s="6798"/>
      <c r="BH92" s="5">
        <v>1</v>
      </c>
    </row>
    <row r="93" spans="2:60" ht="27" customHeight="1">
      <c r="B93" s="1021"/>
      <c r="C93" s="6787"/>
      <c r="D93" s="6787"/>
      <c r="E93" s="6787"/>
      <c r="F93" s="6788"/>
      <c r="G93" s="6789"/>
      <c r="H93" s="6790"/>
      <c r="I93" s="6786"/>
      <c r="J93" s="6791"/>
      <c r="K93" s="6792"/>
      <c r="L93" s="6791"/>
      <c r="M93" s="6785"/>
      <c r="N93" s="6793"/>
      <c r="O93" s="6794"/>
      <c r="P93" s="6795"/>
      <c r="Q93" s="6796"/>
      <c r="R93" s="6797"/>
      <c r="S93" s="6798"/>
      <c r="T93" s="6765"/>
      <c r="U93" s="1021"/>
      <c r="V93" s="6787"/>
      <c r="W93" s="6787"/>
      <c r="X93" s="6787"/>
      <c r="Y93" s="6788"/>
      <c r="Z93" s="6789"/>
      <c r="AA93" s="6790"/>
      <c r="AB93" s="6786"/>
      <c r="AC93" s="6791"/>
      <c r="AD93" s="6792"/>
      <c r="AE93" s="6791"/>
      <c r="AF93" s="6785"/>
      <c r="AG93" s="6793"/>
      <c r="AH93" s="6794"/>
      <c r="AI93" s="6795"/>
      <c r="AJ93" s="6796"/>
      <c r="AK93" s="6797"/>
      <c r="AL93" s="6798"/>
      <c r="AM93" s="6765"/>
      <c r="AN93" s="1021"/>
      <c r="AO93" s="6787"/>
      <c r="AP93" s="6787"/>
      <c r="AQ93" s="6787"/>
      <c r="AR93" s="6788"/>
      <c r="AS93" s="6789"/>
      <c r="AT93" s="6790"/>
      <c r="AU93" s="6786"/>
      <c r="AV93" s="6791"/>
      <c r="AW93" s="6792"/>
      <c r="AX93" s="6791"/>
      <c r="AY93" s="6785"/>
      <c r="AZ93" s="6793"/>
      <c r="BA93" s="6794"/>
      <c r="BB93" s="6795"/>
      <c r="BC93" s="6796"/>
      <c r="BD93" s="6797"/>
      <c r="BE93" s="6798"/>
      <c r="BH93" s="5">
        <v>1</v>
      </c>
    </row>
    <row r="94" spans="2:60" ht="27" customHeight="1">
      <c r="B94" s="1021"/>
      <c r="C94" s="6787"/>
      <c r="D94" s="6787"/>
      <c r="E94" s="6787"/>
      <c r="F94" s="6788"/>
      <c r="G94" s="6789"/>
      <c r="H94" s="6790"/>
      <c r="I94" s="6786"/>
      <c r="J94" s="6791"/>
      <c r="K94" s="6792"/>
      <c r="L94" s="6791"/>
      <c r="M94" s="6785"/>
      <c r="N94" s="6793"/>
      <c r="O94" s="6794"/>
      <c r="P94" s="6795"/>
      <c r="Q94" s="6796"/>
      <c r="R94" s="6797"/>
      <c r="S94" s="6798"/>
      <c r="T94" s="6765"/>
      <c r="U94" s="1021"/>
      <c r="V94" s="6787"/>
      <c r="W94" s="6787"/>
      <c r="X94" s="6787"/>
      <c r="Y94" s="6788"/>
      <c r="Z94" s="6789"/>
      <c r="AA94" s="6790"/>
      <c r="AB94" s="6786"/>
      <c r="AC94" s="6791"/>
      <c r="AD94" s="6792"/>
      <c r="AE94" s="6791"/>
      <c r="AF94" s="6785"/>
      <c r="AG94" s="6793"/>
      <c r="AH94" s="6794"/>
      <c r="AI94" s="6795"/>
      <c r="AJ94" s="6796"/>
      <c r="AK94" s="6797"/>
      <c r="AL94" s="6798"/>
      <c r="AM94" s="6765"/>
      <c r="AN94" s="1021"/>
      <c r="AO94" s="6787"/>
      <c r="AP94" s="6787"/>
      <c r="AQ94" s="6787"/>
      <c r="AR94" s="6788"/>
      <c r="AS94" s="6789"/>
      <c r="AT94" s="6790"/>
      <c r="AU94" s="6786"/>
      <c r="AV94" s="6791"/>
      <c r="AW94" s="6792"/>
      <c r="AX94" s="6791"/>
      <c r="AY94" s="6785"/>
      <c r="AZ94" s="6793"/>
      <c r="BA94" s="6794"/>
      <c r="BB94" s="6795"/>
      <c r="BC94" s="6796"/>
      <c r="BD94" s="6797"/>
      <c r="BE94" s="6798"/>
      <c r="BH94" s="5">
        <v>1</v>
      </c>
    </row>
    <row r="95" spans="2:60" ht="27" customHeight="1">
      <c r="B95" s="1021"/>
      <c r="C95" s="6787"/>
      <c r="D95" s="6787"/>
      <c r="E95" s="6787"/>
      <c r="F95" s="6788"/>
      <c r="G95" s="6789"/>
      <c r="H95" s="6790"/>
      <c r="I95" s="6786"/>
      <c r="J95" s="6791"/>
      <c r="K95" s="6792"/>
      <c r="L95" s="6791"/>
      <c r="M95" s="6785"/>
      <c r="N95" s="6793"/>
      <c r="O95" s="6794"/>
      <c r="P95" s="6795"/>
      <c r="Q95" s="6796"/>
      <c r="R95" s="6797"/>
      <c r="S95" s="6798"/>
      <c r="T95" s="6765"/>
      <c r="U95" s="1021"/>
      <c r="V95" s="6787"/>
      <c r="W95" s="6787"/>
      <c r="X95" s="6787"/>
      <c r="Y95" s="6788"/>
      <c r="Z95" s="6789"/>
      <c r="AA95" s="6790"/>
      <c r="AB95" s="6786"/>
      <c r="AC95" s="6791"/>
      <c r="AD95" s="6792"/>
      <c r="AE95" s="6791"/>
      <c r="AF95" s="6785"/>
      <c r="AG95" s="6793"/>
      <c r="AH95" s="6794"/>
      <c r="AI95" s="6795"/>
      <c r="AJ95" s="6796"/>
      <c r="AK95" s="6797"/>
      <c r="AL95" s="6798"/>
      <c r="AM95" s="6765"/>
      <c r="AN95" s="1021"/>
      <c r="AO95" s="6787"/>
      <c r="AP95" s="6787"/>
      <c r="AQ95" s="6787"/>
      <c r="AR95" s="6788"/>
      <c r="AS95" s="6789"/>
      <c r="AT95" s="6790"/>
      <c r="AU95" s="6786"/>
      <c r="AV95" s="6791"/>
      <c r="AW95" s="6792"/>
      <c r="AX95" s="6791"/>
      <c r="AY95" s="6785"/>
      <c r="AZ95" s="6793"/>
      <c r="BA95" s="6794"/>
      <c r="BB95" s="6795"/>
      <c r="BC95" s="6796"/>
      <c r="BD95" s="6797"/>
      <c r="BE95" s="6798"/>
      <c r="BH95" s="5">
        <v>1</v>
      </c>
    </row>
    <row r="96" spans="2:60" ht="27" customHeight="1">
      <c r="B96" s="1021"/>
      <c r="C96" s="6787"/>
      <c r="D96" s="6787"/>
      <c r="E96" s="6787"/>
      <c r="F96" s="6788"/>
      <c r="G96" s="6789"/>
      <c r="H96" s="6790"/>
      <c r="I96" s="6786"/>
      <c r="J96" s="6791"/>
      <c r="K96" s="6792"/>
      <c r="L96" s="6791"/>
      <c r="M96" s="6785"/>
      <c r="N96" s="6793"/>
      <c r="O96" s="6794"/>
      <c r="P96" s="6795"/>
      <c r="Q96" s="6796"/>
      <c r="R96" s="6797"/>
      <c r="S96" s="6798"/>
      <c r="T96" s="6765"/>
      <c r="U96" s="1021"/>
      <c r="V96" s="6787"/>
      <c r="W96" s="6787"/>
      <c r="X96" s="6787"/>
      <c r="Y96" s="6788"/>
      <c r="Z96" s="6789"/>
      <c r="AA96" s="6790"/>
      <c r="AB96" s="6786"/>
      <c r="AC96" s="6791"/>
      <c r="AD96" s="6792"/>
      <c r="AE96" s="6791"/>
      <c r="AF96" s="6785"/>
      <c r="AG96" s="6793"/>
      <c r="AH96" s="6794"/>
      <c r="AI96" s="6795"/>
      <c r="AJ96" s="6796"/>
      <c r="AK96" s="6797"/>
      <c r="AL96" s="6798"/>
      <c r="AM96" s="6765"/>
      <c r="AN96" s="1021"/>
      <c r="AO96" s="6787"/>
      <c r="AP96" s="6787"/>
      <c r="AQ96" s="6787"/>
      <c r="AR96" s="6788"/>
      <c r="AS96" s="6789"/>
      <c r="AT96" s="6790"/>
      <c r="AU96" s="6786"/>
      <c r="AV96" s="6791"/>
      <c r="AW96" s="6792"/>
      <c r="AX96" s="6791"/>
      <c r="AY96" s="6785"/>
      <c r="AZ96" s="6793"/>
      <c r="BA96" s="6794"/>
      <c r="BB96" s="6795"/>
      <c r="BC96" s="6796"/>
      <c r="BD96" s="6797"/>
      <c r="BE96" s="6798"/>
      <c r="BH96" s="5">
        <v>1</v>
      </c>
    </row>
    <row r="97" spans="2:60" ht="27" customHeight="1">
      <c r="B97" s="1021"/>
      <c r="C97" s="6787"/>
      <c r="D97" s="6787"/>
      <c r="E97" s="6787"/>
      <c r="F97" s="6788"/>
      <c r="G97" s="6789"/>
      <c r="H97" s="6790"/>
      <c r="I97" s="6786"/>
      <c r="J97" s="6791"/>
      <c r="K97" s="6792"/>
      <c r="L97" s="6791"/>
      <c r="M97" s="6785"/>
      <c r="N97" s="6793"/>
      <c r="O97" s="6794"/>
      <c r="P97" s="6795"/>
      <c r="Q97" s="6796"/>
      <c r="R97" s="6797"/>
      <c r="S97" s="6798"/>
      <c r="T97" s="6765"/>
      <c r="U97" s="1021"/>
      <c r="V97" s="6787"/>
      <c r="W97" s="6787"/>
      <c r="X97" s="6787"/>
      <c r="Y97" s="6788"/>
      <c r="Z97" s="6789"/>
      <c r="AA97" s="6790"/>
      <c r="AB97" s="6786"/>
      <c r="AC97" s="6791"/>
      <c r="AD97" s="6792"/>
      <c r="AE97" s="6791"/>
      <c r="AF97" s="6785"/>
      <c r="AG97" s="6793"/>
      <c r="AH97" s="6794"/>
      <c r="AI97" s="6795"/>
      <c r="AJ97" s="6796"/>
      <c r="AK97" s="6797"/>
      <c r="AL97" s="6798"/>
      <c r="AM97" s="6765"/>
      <c r="AN97" s="1021"/>
      <c r="AO97" s="6787"/>
      <c r="AP97" s="6787"/>
      <c r="AQ97" s="6787"/>
      <c r="AR97" s="6788"/>
      <c r="AS97" s="6789"/>
      <c r="AT97" s="6790"/>
      <c r="AU97" s="6786"/>
      <c r="AV97" s="6791"/>
      <c r="AW97" s="6792"/>
      <c r="AX97" s="6791"/>
      <c r="AY97" s="6785"/>
      <c r="AZ97" s="6793"/>
      <c r="BA97" s="6794"/>
      <c r="BB97" s="6795"/>
      <c r="BC97" s="6796"/>
      <c r="BD97" s="6797"/>
      <c r="BE97" s="6798"/>
      <c r="BH97" s="5">
        <v>1</v>
      </c>
    </row>
    <row r="98" spans="2:60" ht="27" customHeight="1">
      <c r="B98" s="1021"/>
      <c r="C98" s="6787"/>
      <c r="D98" s="6787"/>
      <c r="E98" s="6787"/>
      <c r="F98" s="6788"/>
      <c r="G98" s="6789"/>
      <c r="H98" s="6790"/>
      <c r="I98" s="6786"/>
      <c r="J98" s="6791"/>
      <c r="K98" s="6792"/>
      <c r="L98" s="6791"/>
      <c r="M98" s="6785"/>
      <c r="N98" s="6793"/>
      <c r="O98" s="6794"/>
      <c r="P98" s="6795"/>
      <c r="Q98" s="6796"/>
      <c r="R98" s="6797"/>
      <c r="S98" s="6798"/>
      <c r="T98" s="6765"/>
      <c r="U98" s="1021"/>
      <c r="V98" s="6787"/>
      <c r="W98" s="6787"/>
      <c r="X98" s="6787"/>
      <c r="Y98" s="6788"/>
      <c r="Z98" s="6789"/>
      <c r="AA98" s="6790"/>
      <c r="AB98" s="6786"/>
      <c r="AC98" s="6791"/>
      <c r="AD98" s="6792"/>
      <c r="AE98" s="6791"/>
      <c r="AF98" s="6785"/>
      <c r="AG98" s="6793"/>
      <c r="AH98" s="6794"/>
      <c r="AI98" s="6795"/>
      <c r="AJ98" s="6796"/>
      <c r="AK98" s="6797"/>
      <c r="AL98" s="6798"/>
      <c r="AM98" s="6765"/>
      <c r="AN98" s="1021"/>
      <c r="AO98" s="6787"/>
      <c r="AP98" s="6787"/>
      <c r="AQ98" s="6787"/>
      <c r="AR98" s="6788"/>
      <c r="AS98" s="6789"/>
      <c r="AT98" s="6790"/>
      <c r="AU98" s="6786"/>
      <c r="AV98" s="6791"/>
      <c r="AW98" s="6792"/>
      <c r="AX98" s="6791"/>
      <c r="AY98" s="6785"/>
      <c r="AZ98" s="6793"/>
      <c r="BA98" s="6794"/>
      <c r="BB98" s="6795"/>
      <c r="BC98" s="6796"/>
      <c r="BD98" s="6797"/>
      <c r="BE98" s="6798"/>
      <c r="BH98" s="5">
        <v>1</v>
      </c>
    </row>
    <row r="99" spans="2:60" ht="27" customHeight="1">
      <c r="B99" s="1021"/>
      <c r="C99" s="6787"/>
      <c r="D99" s="6787"/>
      <c r="E99" s="6787"/>
      <c r="F99" s="6788"/>
      <c r="G99" s="6789"/>
      <c r="H99" s="6790"/>
      <c r="I99" s="6786"/>
      <c r="J99" s="6791"/>
      <c r="K99" s="6792"/>
      <c r="L99" s="6791"/>
      <c r="M99" s="6785"/>
      <c r="N99" s="6793"/>
      <c r="O99" s="6794"/>
      <c r="P99" s="6795"/>
      <c r="Q99" s="6796"/>
      <c r="R99" s="6797"/>
      <c r="S99" s="6798"/>
      <c r="T99" s="6765"/>
      <c r="U99" s="1021"/>
      <c r="V99" s="6787"/>
      <c r="W99" s="6787"/>
      <c r="X99" s="6787"/>
      <c r="Y99" s="6788"/>
      <c r="Z99" s="6789"/>
      <c r="AA99" s="6790"/>
      <c r="AB99" s="6786"/>
      <c r="AC99" s="6791"/>
      <c r="AD99" s="6792"/>
      <c r="AE99" s="6791"/>
      <c r="AF99" s="6785"/>
      <c r="AG99" s="6793"/>
      <c r="AH99" s="6794"/>
      <c r="AI99" s="6795"/>
      <c r="AJ99" s="6796"/>
      <c r="AK99" s="6797"/>
      <c r="AL99" s="6798"/>
      <c r="AM99" s="6765"/>
      <c r="AN99" s="1021"/>
      <c r="AO99" s="6787"/>
      <c r="AP99" s="6787"/>
      <c r="AQ99" s="6787"/>
      <c r="AR99" s="6788"/>
      <c r="AS99" s="6789"/>
      <c r="AT99" s="6790"/>
      <c r="AU99" s="6786"/>
      <c r="AV99" s="6791"/>
      <c r="AW99" s="6792"/>
      <c r="AX99" s="6791"/>
      <c r="AY99" s="6785"/>
      <c r="AZ99" s="6793"/>
      <c r="BA99" s="6794"/>
      <c r="BB99" s="6795"/>
      <c r="BC99" s="6796"/>
      <c r="BD99" s="6797"/>
      <c r="BE99" s="6798"/>
      <c r="BH99" s="5">
        <v>1</v>
      </c>
    </row>
    <row r="100" spans="2:60" ht="27" customHeight="1">
      <c r="B100" s="1021"/>
      <c r="C100" s="6787"/>
      <c r="D100" s="6787"/>
      <c r="E100" s="6787"/>
      <c r="F100" s="6788"/>
      <c r="G100" s="6789"/>
      <c r="H100" s="6790"/>
      <c r="I100" s="6786"/>
      <c r="J100" s="6791"/>
      <c r="K100" s="6792"/>
      <c r="L100" s="6791"/>
      <c r="M100" s="6785"/>
      <c r="N100" s="6793"/>
      <c r="O100" s="6794"/>
      <c r="P100" s="6795"/>
      <c r="Q100" s="6796"/>
      <c r="R100" s="6797"/>
      <c r="S100" s="6798"/>
      <c r="T100" s="6765"/>
      <c r="U100" s="1021"/>
      <c r="V100" s="6787"/>
      <c r="W100" s="6787"/>
      <c r="X100" s="6787"/>
      <c r="Y100" s="6788"/>
      <c r="Z100" s="6789"/>
      <c r="AA100" s="6790"/>
      <c r="AB100" s="6786"/>
      <c r="AC100" s="6791"/>
      <c r="AD100" s="6792"/>
      <c r="AE100" s="6791"/>
      <c r="AF100" s="6785"/>
      <c r="AG100" s="6793"/>
      <c r="AH100" s="6794"/>
      <c r="AI100" s="6795"/>
      <c r="AJ100" s="6796"/>
      <c r="AK100" s="6797"/>
      <c r="AL100" s="6798"/>
      <c r="AM100" s="6765"/>
      <c r="AN100" s="1021"/>
      <c r="AO100" s="6787"/>
      <c r="AP100" s="6787"/>
      <c r="AQ100" s="6787"/>
      <c r="AR100" s="6788"/>
      <c r="AS100" s="6789"/>
      <c r="AT100" s="6790"/>
      <c r="AU100" s="6786"/>
      <c r="AV100" s="6791"/>
      <c r="AW100" s="6792"/>
      <c r="AX100" s="6791"/>
      <c r="AY100" s="6785"/>
      <c r="AZ100" s="6793"/>
      <c r="BA100" s="6794"/>
      <c r="BB100" s="6795"/>
      <c r="BC100" s="6796"/>
      <c r="BD100" s="6797"/>
      <c r="BE100" s="6798"/>
      <c r="BH100" s="5">
        <v>1</v>
      </c>
    </row>
    <row r="101" spans="2:60" ht="27" customHeight="1">
      <c r="B101" s="1021"/>
      <c r="C101" s="6787"/>
      <c r="D101" s="6787"/>
      <c r="E101" s="6787"/>
      <c r="F101" s="6788"/>
      <c r="G101" s="6789"/>
      <c r="H101" s="6790"/>
      <c r="I101" s="6786"/>
      <c r="J101" s="6791"/>
      <c r="K101" s="6792"/>
      <c r="L101" s="6791"/>
      <c r="M101" s="6785"/>
      <c r="N101" s="6793"/>
      <c r="O101" s="6794"/>
      <c r="P101" s="6795"/>
      <c r="Q101" s="6796"/>
      <c r="R101" s="6797"/>
      <c r="S101" s="6798"/>
      <c r="T101" s="6765"/>
      <c r="U101" s="1021"/>
      <c r="V101" s="6787"/>
      <c r="W101" s="6787"/>
      <c r="X101" s="6787"/>
      <c r="Y101" s="6788"/>
      <c r="Z101" s="6789"/>
      <c r="AA101" s="6790"/>
      <c r="AB101" s="6786"/>
      <c r="AC101" s="6791"/>
      <c r="AD101" s="6792"/>
      <c r="AE101" s="6791"/>
      <c r="AF101" s="6785"/>
      <c r="AG101" s="6793"/>
      <c r="AH101" s="6794"/>
      <c r="AI101" s="6795"/>
      <c r="AJ101" s="6796"/>
      <c r="AK101" s="6797"/>
      <c r="AL101" s="6798"/>
      <c r="AM101" s="6765"/>
      <c r="AN101" s="1021"/>
      <c r="AO101" s="6787"/>
      <c r="AP101" s="6787"/>
      <c r="AQ101" s="6787"/>
      <c r="AR101" s="6788"/>
      <c r="AS101" s="6789"/>
      <c r="AT101" s="6790"/>
      <c r="AU101" s="6786"/>
      <c r="AV101" s="6791"/>
      <c r="AW101" s="6792"/>
      <c r="AX101" s="6791"/>
      <c r="AY101" s="6785"/>
      <c r="AZ101" s="6793"/>
      <c r="BA101" s="6794"/>
      <c r="BB101" s="6795"/>
      <c r="BC101" s="6796"/>
      <c r="BD101" s="6797"/>
      <c r="BE101" s="6798"/>
      <c r="BH101" s="5">
        <v>1</v>
      </c>
    </row>
    <row r="102" spans="2:60" ht="27" customHeight="1">
      <c r="B102" s="1021"/>
      <c r="C102" s="6787"/>
      <c r="D102" s="6787"/>
      <c r="E102" s="6787"/>
      <c r="F102" s="6788"/>
      <c r="G102" s="6789"/>
      <c r="H102" s="6790"/>
      <c r="I102" s="6786"/>
      <c r="J102" s="6791"/>
      <c r="K102" s="6792"/>
      <c r="L102" s="6791"/>
      <c r="M102" s="6785"/>
      <c r="N102" s="6793"/>
      <c r="O102" s="6794"/>
      <c r="P102" s="6795"/>
      <c r="Q102" s="6796"/>
      <c r="R102" s="6797"/>
      <c r="S102" s="6798"/>
      <c r="T102" s="6765"/>
      <c r="U102" s="1021"/>
      <c r="V102" s="6787"/>
      <c r="W102" s="6787"/>
      <c r="X102" s="6787"/>
      <c r="Y102" s="6788"/>
      <c r="Z102" s="6789"/>
      <c r="AA102" s="6790"/>
      <c r="AB102" s="6786"/>
      <c r="AC102" s="6791"/>
      <c r="AD102" s="6792"/>
      <c r="AE102" s="6791"/>
      <c r="AF102" s="6785"/>
      <c r="AG102" s="6793"/>
      <c r="AH102" s="6794"/>
      <c r="AI102" s="6795"/>
      <c r="AJ102" s="6796"/>
      <c r="AK102" s="6797"/>
      <c r="AL102" s="6798"/>
      <c r="AM102" s="6765"/>
      <c r="AN102" s="1021"/>
      <c r="AO102" s="6787"/>
      <c r="AP102" s="6787"/>
      <c r="AQ102" s="6787"/>
      <c r="AR102" s="6788"/>
      <c r="AS102" s="6789"/>
      <c r="AT102" s="6790"/>
      <c r="AU102" s="6786"/>
      <c r="AV102" s="6791"/>
      <c r="AW102" s="6792"/>
      <c r="AX102" s="6791"/>
      <c r="AY102" s="6785"/>
      <c r="AZ102" s="6793"/>
      <c r="BA102" s="6794"/>
      <c r="BB102" s="6795"/>
      <c r="BC102" s="6796"/>
      <c r="BD102" s="6797"/>
      <c r="BE102" s="6798"/>
      <c r="BH102" s="5">
        <v>1</v>
      </c>
    </row>
    <row r="103" spans="2:60" ht="27" customHeight="1">
      <c r="B103" s="1021"/>
      <c r="C103" s="6787"/>
      <c r="D103" s="6787"/>
      <c r="E103" s="6787"/>
      <c r="F103" s="6788"/>
      <c r="G103" s="6789"/>
      <c r="H103" s="6790"/>
      <c r="I103" s="6786"/>
      <c r="J103" s="6791"/>
      <c r="K103" s="6792"/>
      <c r="L103" s="6791"/>
      <c r="M103" s="6785"/>
      <c r="N103" s="6793"/>
      <c r="O103" s="6794"/>
      <c r="P103" s="6795"/>
      <c r="Q103" s="6796"/>
      <c r="R103" s="6797"/>
      <c r="S103" s="6798"/>
      <c r="T103" s="6765"/>
      <c r="U103" s="1021"/>
      <c r="V103" s="6787"/>
      <c r="W103" s="6787"/>
      <c r="X103" s="6787"/>
      <c r="Y103" s="6788"/>
      <c r="Z103" s="6789"/>
      <c r="AA103" s="6790"/>
      <c r="AB103" s="6786"/>
      <c r="AC103" s="6791"/>
      <c r="AD103" s="6792"/>
      <c r="AE103" s="6791"/>
      <c r="AF103" s="6785"/>
      <c r="AG103" s="6793"/>
      <c r="AH103" s="6794"/>
      <c r="AI103" s="6795"/>
      <c r="AJ103" s="6796"/>
      <c r="AK103" s="6797"/>
      <c r="AL103" s="6798"/>
      <c r="AM103" s="6765"/>
      <c r="AN103" s="1021"/>
      <c r="AO103" s="6787"/>
      <c r="AP103" s="6787"/>
      <c r="AQ103" s="6787"/>
      <c r="AR103" s="6788"/>
      <c r="AS103" s="6789"/>
      <c r="AT103" s="6790"/>
      <c r="AU103" s="6786"/>
      <c r="AV103" s="6791"/>
      <c r="AW103" s="6792"/>
      <c r="AX103" s="6791"/>
      <c r="AY103" s="6785"/>
      <c r="AZ103" s="6793"/>
      <c r="BA103" s="6794"/>
      <c r="BB103" s="6795"/>
      <c r="BC103" s="6796"/>
      <c r="BD103" s="6797"/>
      <c r="BE103" s="6798"/>
      <c r="BH103" s="5">
        <v>1</v>
      </c>
    </row>
    <row r="104" spans="2:60" ht="27" customHeight="1">
      <c r="B104" s="1021"/>
      <c r="C104" s="6787"/>
      <c r="D104" s="6787"/>
      <c r="E104" s="6787"/>
      <c r="F104" s="6788"/>
      <c r="G104" s="6789"/>
      <c r="H104" s="6790"/>
      <c r="I104" s="6786"/>
      <c r="J104" s="6791"/>
      <c r="K104" s="6792"/>
      <c r="L104" s="6791"/>
      <c r="M104" s="6785"/>
      <c r="N104" s="6793"/>
      <c r="O104" s="6794"/>
      <c r="P104" s="6795"/>
      <c r="Q104" s="6796"/>
      <c r="R104" s="6797"/>
      <c r="S104" s="6798"/>
      <c r="T104" s="6765"/>
      <c r="U104" s="1021"/>
      <c r="V104" s="6787"/>
      <c r="W104" s="6787"/>
      <c r="X104" s="6787"/>
      <c r="Y104" s="6788"/>
      <c r="Z104" s="6789"/>
      <c r="AA104" s="6790"/>
      <c r="AB104" s="6786"/>
      <c r="AC104" s="6791"/>
      <c r="AD104" s="6792"/>
      <c r="AE104" s="6791"/>
      <c r="AF104" s="6785"/>
      <c r="AG104" s="6793"/>
      <c r="AH104" s="6794"/>
      <c r="AI104" s="6795"/>
      <c r="AJ104" s="6796"/>
      <c r="AK104" s="6797"/>
      <c r="AL104" s="6798"/>
      <c r="AM104" s="6765"/>
      <c r="AN104" s="1021"/>
      <c r="AO104" s="6787"/>
      <c r="AP104" s="6787"/>
      <c r="AQ104" s="6787"/>
      <c r="AR104" s="6788"/>
      <c r="AS104" s="6789"/>
      <c r="AT104" s="6790"/>
      <c r="AU104" s="6786"/>
      <c r="AV104" s="6791"/>
      <c r="AW104" s="6792"/>
      <c r="AX104" s="6791"/>
      <c r="AY104" s="6785"/>
      <c r="AZ104" s="6793"/>
      <c r="BA104" s="6794"/>
      <c r="BB104" s="6795"/>
      <c r="BC104" s="6796"/>
      <c r="BD104" s="6797"/>
      <c r="BE104" s="6798"/>
      <c r="BH104" s="5">
        <v>1</v>
      </c>
    </row>
    <row r="105" spans="2:60" ht="27" customHeight="1">
      <c r="B105" s="1021"/>
      <c r="C105" s="6787"/>
      <c r="D105" s="6787"/>
      <c r="E105" s="6787"/>
      <c r="F105" s="6788"/>
      <c r="G105" s="6789"/>
      <c r="H105" s="6790"/>
      <c r="I105" s="6786"/>
      <c r="J105" s="6791"/>
      <c r="K105" s="6792"/>
      <c r="L105" s="6791"/>
      <c r="M105" s="6785"/>
      <c r="N105" s="6793"/>
      <c r="O105" s="6794"/>
      <c r="P105" s="6795"/>
      <c r="Q105" s="6796"/>
      <c r="R105" s="6797"/>
      <c r="S105" s="6798"/>
      <c r="T105" s="6765"/>
      <c r="U105" s="1021"/>
      <c r="V105" s="6787"/>
      <c r="W105" s="6787"/>
      <c r="X105" s="6787"/>
      <c r="Y105" s="6788"/>
      <c r="Z105" s="6789"/>
      <c r="AA105" s="6790"/>
      <c r="AB105" s="6786"/>
      <c r="AC105" s="6791"/>
      <c r="AD105" s="6792"/>
      <c r="AE105" s="6791"/>
      <c r="AF105" s="6785"/>
      <c r="AG105" s="6793"/>
      <c r="AH105" s="6794"/>
      <c r="AI105" s="6795"/>
      <c r="AJ105" s="6796"/>
      <c r="AK105" s="6797"/>
      <c r="AL105" s="6798"/>
      <c r="AM105" s="6765"/>
      <c r="AN105" s="1021"/>
      <c r="AO105" s="6787"/>
      <c r="AP105" s="6787"/>
      <c r="AQ105" s="6787"/>
      <c r="AR105" s="6788"/>
      <c r="AS105" s="6789"/>
      <c r="AT105" s="6790"/>
      <c r="AU105" s="6786"/>
      <c r="AV105" s="6791"/>
      <c r="AW105" s="6792"/>
      <c r="AX105" s="6791"/>
      <c r="AY105" s="6785"/>
      <c r="AZ105" s="6793"/>
      <c r="BA105" s="6794"/>
      <c r="BB105" s="6795"/>
      <c r="BC105" s="6796"/>
      <c r="BD105" s="6797"/>
      <c r="BE105" s="6798"/>
      <c r="BH105" s="5">
        <v>1</v>
      </c>
    </row>
    <row r="106" spans="2:60" ht="27" customHeight="1">
      <c r="B106" s="1021"/>
      <c r="C106" s="6787"/>
      <c r="D106" s="6787"/>
      <c r="E106" s="6787"/>
      <c r="F106" s="6788"/>
      <c r="G106" s="6789"/>
      <c r="H106" s="6790"/>
      <c r="I106" s="6786"/>
      <c r="J106" s="6791"/>
      <c r="K106" s="6792"/>
      <c r="L106" s="6791"/>
      <c r="M106" s="6785"/>
      <c r="N106" s="6793"/>
      <c r="O106" s="6794"/>
      <c r="P106" s="6795"/>
      <c r="Q106" s="6796"/>
      <c r="R106" s="6797"/>
      <c r="S106" s="6798"/>
      <c r="T106" s="6765"/>
      <c r="U106" s="1021"/>
      <c r="V106" s="6787"/>
      <c r="W106" s="6787"/>
      <c r="X106" s="6787"/>
      <c r="Y106" s="6788"/>
      <c r="Z106" s="6789"/>
      <c r="AA106" s="6790"/>
      <c r="AB106" s="6786"/>
      <c r="AC106" s="6791"/>
      <c r="AD106" s="6792"/>
      <c r="AE106" s="6791"/>
      <c r="AF106" s="6785"/>
      <c r="AG106" s="6793"/>
      <c r="AH106" s="6794"/>
      <c r="AI106" s="6795"/>
      <c r="AJ106" s="6796"/>
      <c r="AK106" s="6797"/>
      <c r="AL106" s="6798"/>
      <c r="AM106" s="6765"/>
      <c r="AN106" s="1021"/>
      <c r="AO106" s="6787"/>
      <c r="AP106" s="6787"/>
      <c r="AQ106" s="6787"/>
      <c r="AR106" s="6788"/>
      <c r="AS106" s="6789"/>
      <c r="AT106" s="6790"/>
      <c r="AU106" s="6786"/>
      <c r="AV106" s="6791"/>
      <c r="AW106" s="6792"/>
      <c r="AX106" s="6791"/>
      <c r="AY106" s="6785"/>
      <c r="AZ106" s="6793"/>
      <c r="BA106" s="6794"/>
      <c r="BB106" s="6795"/>
      <c r="BC106" s="6796"/>
      <c r="BD106" s="6797"/>
      <c r="BE106" s="6798"/>
      <c r="BH106" s="5">
        <v>1</v>
      </c>
    </row>
    <row r="107" spans="2:60" ht="27" customHeight="1">
      <c r="B107" s="1021"/>
      <c r="C107" s="6787"/>
      <c r="D107" s="6787"/>
      <c r="E107" s="6787"/>
      <c r="F107" s="6788"/>
      <c r="G107" s="6789"/>
      <c r="H107" s="6790"/>
      <c r="I107" s="6786"/>
      <c r="J107" s="6791"/>
      <c r="K107" s="6792"/>
      <c r="L107" s="6791"/>
      <c r="M107" s="6785"/>
      <c r="N107" s="6793"/>
      <c r="O107" s="6794"/>
      <c r="P107" s="6795"/>
      <c r="Q107" s="6796"/>
      <c r="R107" s="6797"/>
      <c r="S107" s="6798"/>
      <c r="T107" s="6765"/>
      <c r="U107" s="1021"/>
      <c r="V107" s="6787"/>
      <c r="W107" s="6787"/>
      <c r="X107" s="6787"/>
      <c r="Y107" s="6788"/>
      <c r="Z107" s="6789"/>
      <c r="AA107" s="6790"/>
      <c r="AB107" s="6786"/>
      <c r="AC107" s="6791"/>
      <c r="AD107" s="6792"/>
      <c r="AE107" s="6791"/>
      <c r="AF107" s="6785"/>
      <c r="AG107" s="6793"/>
      <c r="AH107" s="6794"/>
      <c r="AI107" s="6795"/>
      <c r="AJ107" s="6796"/>
      <c r="AK107" s="6797"/>
      <c r="AL107" s="6798"/>
      <c r="AM107" s="6765"/>
      <c r="AN107" s="1021"/>
      <c r="AO107" s="6787"/>
      <c r="AP107" s="6787"/>
      <c r="AQ107" s="6787"/>
      <c r="AR107" s="6788"/>
      <c r="AS107" s="6789"/>
      <c r="AT107" s="6790"/>
      <c r="AU107" s="6786"/>
      <c r="AV107" s="6791"/>
      <c r="AW107" s="6792"/>
      <c r="AX107" s="6791"/>
      <c r="AY107" s="6785"/>
      <c r="AZ107" s="6793"/>
      <c r="BA107" s="6794"/>
      <c r="BB107" s="6795"/>
      <c r="BC107" s="6796"/>
      <c r="BD107" s="6797"/>
      <c r="BE107" s="6798"/>
      <c r="BH107" s="5">
        <v>1</v>
      </c>
    </row>
    <row r="108" spans="2:60" ht="27" customHeight="1">
      <c r="B108" s="1021"/>
      <c r="C108" s="6787"/>
      <c r="D108" s="6787"/>
      <c r="E108" s="6787"/>
      <c r="F108" s="6788"/>
      <c r="G108" s="6789"/>
      <c r="H108" s="6790"/>
      <c r="I108" s="6786"/>
      <c r="J108" s="6791"/>
      <c r="K108" s="6792"/>
      <c r="L108" s="6791"/>
      <c r="M108" s="6785"/>
      <c r="N108" s="6793"/>
      <c r="O108" s="6794"/>
      <c r="P108" s="6795"/>
      <c r="Q108" s="6796"/>
      <c r="R108" s="6797"/>
      <c r="S108" s="6798"/>
      <c r="T108" s="6765"/>
      <c r="U108" s="1021"/>
      <c r="V108" s="6787"/>
      <c r="W108" s="6787"/>
      <c r="X108" s="6787"/>
      <c r="Y108" s="6788"/>
      <c r="Z108" s="6789"/>
      <c r="AA108" s="6790"/>
      <c r="AB108" s="6786"/>
      <c r="AC108" s="6791"/>
      <c r="AD108" s="6792"/>
      <c r="AE108" s="6791"/>
      <c r="AF108" s="6785"/>
      <c r="AG108" s="6793"/>
      <c r="AH108" s="6794"/>
      <c r="AI108" s="6795"/>
      <c r="AJ108" s="6796"/>
      <c r="AK108" s="6797"/>
      <c r="AL108" s="6798"/>
      <c r="AM108" s="6765"/>
      <c r="AN108" s="1021"/>
      <c r="AO108" s="6787"/>
      <c r="AP108" s="6787"/>
      <c r="AQ108" s="6787"/>
      <c r="AR108" s="6788"/>
      <c r="AS108" s="6789"/>
      <c r="AT108" s="6790"/>
      <c r="AU108" s="6786"/>
      <c r="AV108" s="6791"/>
      <c r="AW108" s="6792"/>
      <c r="AX108" s="6791"/>
      <c r="AY108" s="6785"/>
      <c r="AZ108" s="6793"/>
      <c r="BA108" s="6794"/>
      <c r="BB108" s="6795"/>
      <c r="BC108" s="6796"/>
      <c r="BD108" s="6797"/>
      <c r="BE108" s="6798"/>
      <c r="BH108" s="5">
        <v>1</v>
      </c>
    </row>
    <row r="109" spans="2:60" ht="27" customHeight="1">
      <c r="B109" s="1021"/>
      <c r="C109" s="6787"/>
      <c r="D109" s="6787"/>
      <c r="E109" s="6787"/>
      <c r="F109" s="6788"/>
      <c r="G109" s="6789"/>
      <c r="H109" s="6790"/>
      <c r="I109" s="6786"/>
      <c r="J109" s="6791"/>
      <c r="K109" s="6792"/>
      <c r="L109" s="6791"/>
      <c r="M109" s="6785"/>
      <c r="N109" s="6793"/>
      <c r="O109" s="6794"/>
      <c r="P109" s="6795"/>
      <c r="Q109" s="6796"/>
      <c r="R109" s="6797"/>
      <c r="S109" s="6798"/>
      <c r="T109" s="6765"/>
      <c r="U109" s="1021"/>
      <c r="V109" s="6787"/>
      <c r="W109" s="6787"/>
      <c r="X109" s="6787"/>
      <c r="Y109" s="6788"/>
      <c r="Z109" s="6789"/>
      <c r="AA109" s="6790"/>
      <c r="AB109" s="6786"/>
      <c r="AC109" s="6791"/>
      <c r="AD109" s="6792"/>
      <c r="AE109" s="6791"/>
      <c r="AF109" s="6785"/>
      <c r="AG109" s="6793"/>
      <c r="AH109" s="6794"/>
      <c r="AI109" s="6795"/>
      <c r="AJ109" s="6796"/>
      <c r="AK109" s="6797"/>
      <c r="AL109" s="6798"/>
      <c r="AM109" s="6765"/>
      <c r="AN109" s="1021"/>
      <c r="AO109" s="6787"/>
      <c r="AP109" s="6787"/>
      <c r="AQ109" s="6787"/>
      <c r="AR109" s="6788"/>
      <c r="AS109" s="6789"/>
      <c r="AT109" s="6790"/>
      <c r="AU109" s="6786"/>
      <c r="AV109" s="6791"/>
      <c r="AW109" s="6792"/>
      <c r="AX109" s="6791"/>
      <c r="AY109" s="6785"/>
      <c r="AZ109" s="6793"/>
      <c r="BA109" s="6794"/>
      <c r="BB109" s="6795"/>
      <c r="BC109" s="6796"/>
      <c r="BD109" s="6797"/>
      <c r="BE109" s="6798"/>
      <c r="BH109" s="5">
        <v>1</v>
      </c>
    </row>
    <row r="110" spans="2:60" ht="27" customHeight="1">
      <c r="B110" s="1021"/>
      <c r="C110" s="6787"/>
      <c r="D110" s="6787"/>
      <c r="E110" s="6787"/>
      <c r="F110" s="6788"/>
      <c r="G110" s="6789"/>
      <c r="H110" s="6790"/>
      <c r="I110" s="6786"/>
      <c r="J110" s="6791"/>
      <c r="K110" s="6792"/>
      <c r="L110" s="6791"/>
      <c r="M110" s="6785"/>
      <c r="N110" s="6793"/>
      <c r="O110" s="6794"/>
      <c r="P110" s="6795"/>
      <c r="Q110" s="6796"/>
      <c r="R110" s="6797"/>
      <c r="S110" s="6798"/>
      <c r="T110" s="6765"/>
      <c r="U110" s="1021"/>
      <c r="V110" s="6787"/>
      <c r="W110" s="6787"/>
      <c r="X110" s="6787"/>
      <c r="Y110" s="6788"/>
      <c r="Z110" s="6789"/>
      <c r="AA110" s="6790"/>
      <c r="AB110" s="6786"/>
      <c r="AC110" s="6791"/>
      <c r="AD110" s="6792"/>
      <c r="AE110" s="6791"/>
      <c r="AF110" s="6785"/>
      <c r="AG110" s="6793"/>
      <c r="AH110" s="6794"/>
      <c r="AI110" s="6795"/>
      <c r="AJ110" s="6796"/>
      <c r="AK110" s="6797"/>
      <c r="AL110" s="6798"/>
      <c r="AM110" s="6765"/>
      <c r="AN110" s="1021"/>
      <c r="AO110" s="6787"/>
      <c r="AP110" s="6787"/>
      <c r="AQ110" s="6787"/>
      <c r="AR110" s="6788"/>
      <c r="AS110" s="6789"/>
      <c r="AT110" s="6790"/>
      <c r="AU110" s="6786"/>
      <c r="AV110" s="6791"/>
      <c r="AW110" s="6792"/>
      <c r="AX110" s="6791"/>
      <c r="AY110" s="6785"/>
      <c r="AZ110" s="6793"/>
      <c r="BA110" s="6794"/>
      <c r="BB110" s="6795"/>
      <c r="BC110" s="6796"/>
      <c r="BD110" s="6797"/>
      <c r="BE110" s="6798"/>
      <c r="BH110" s="5">
        <v>1</v>
      </c>
    </row>
    <row r="111" spans="2:60" ht="27" customHeight="1">
      <c r="B111" s="1021"/>
      <c r="C111" s="6787"/>
      <c r="D111" s="6787"/>
      <c r="E111" s="6787"/>
      <c r="F111" s="6788"/>
      <c r="G111" s="6789"/>
      <c r="H111" s="6790"/>
      <c r="I111" s="6786"/>
      <c r="J111" s="6791"/>
      <c r="K111" s="6792"/>
      <c r="L111" s="6791"/>
      <c r="M111" s="6785"/>
      <c r="N111" s="6793"/>
      <c r="O111" s="6794"/>
      <c r="P111" s="6795"/>
      <c r="Q111" s="6796"/>
      <c r="R111" s="6797"/>
      <c r="S111" s="6798"/>
      <c r="T111" s="6765"/>
      <c r="U111" s="1021"/>
      <c r="V111" s="6787"/>
      <c r="W111" s="6787"/>
      <c r="X111" s="6787"/>
      <c r="Y111" s="6788"/>
      <c r="Z111" s="6789"/>
      <c r="AA111" s="6790"/>
      <c r="AB111" s="6786"/>
      <c r="AC111" s="6791"/>
      <c r="AD111" s="6792"/>
      <c r="AE111" s="6791"/>
      <c r="AF111" s="6785"/>
      <c r="AG111" s="6793"/>
      <c r="AH111" s="6794"/>
      <c r="AI111" s="6795"/>
      <c r="AJ111" s="6796"/>
      <c r="AK111" s="6797"/>
      <c r="AL111" s="6798"/>
      <c r="AM111" s="6765"/>
      <c r="AN111" s="1021"/>
      <c r="AO111" s="6787"/>
      <c r="AP111" s="6787"/>
      <c r="AQ111" s="6787"/>
      <c r="AR111" s="6788"/>
      <c r="AS111" s="6789"/>
      <c r="AT111" s="6790"/>
      <c r="AU111" s="6786"/>
      <c r="AV111" s="6791"/>
      <c r="AW111" s="6792"/>
      <c r="AX111" s="6791"/>
      <c r="AY111" s="6785"/>
      <c r="AZ111" s="6793"/>
      <c r="BA111" s="6794"/>
      <c r="BB111" s="6795"/>
      <c r="BC111" s="6796"/>
      <c r="BD111" s="6797"/>
      <c r="BE111" s="6798"/>
      <c r="BH111" s="5">
        <v>1</v>
      </c>
    </row>
    <row r="112" spans="2:60" ht="27" customHeight="1">
      <c r="B112" s="1021"/>
      <c r="C112" s="6787"/>
      <c r="D112" s="6787"/>
      <c r="E112" s="6787"/>
      <c r="F112" s="6788"/>
      <c r="G112" s="6789"/>
      <c r="H112" s="6790"/>
      <c r="I112" s="6786"/>
      <c r="J112" s="6791"/>
      <c r="K112" s="6792"/>
      <c r="L112" s="6791"/>
      <c r="M112" s="6785"/>
      <c r="N112" s="6793"/>
      <c r="O112" s="6794"/>
      <c r="P112" s="6795"/>
      <c r="Q112" s="6796"/>
      <c r="R112" s="6797"/>
      <c r="S112" s="6798"/>
      <c r="T112" s="6765"/>
      <c r="U112" s="1021"/>
      <c r="V112" s="6787"/>
      <c r="W112" s="6787"/>
      <c r="X112" s="6787"/>
      <c r="Y112" s="6788"/>
      <c r="Z112" s="6789"/>
      <c r="AA112" s="6790"/>
      <c r="AB112" s="6786"/>
      <c r="AC112" s="6791"/>
      <c r="AD112" s="6792"/>
      <c r="AE112" s="6791"/>
      <c r="AF112" s="6785"/>
      <c r="AG112" s="6793"/>
      <c r="AH112" s="6794"/>
      <c r="AI112" s="6795"/>
      <c r="AJ112" s="6796"/>
      <c r="AK112" s="6797"/>
      <c r="AL112" s="6798"/>
      <c r="AM112" s="6765"/>
      <c r="AN112" s="1021"/>
      <c r="AO112" s="6787"/>
      <c r="AP112" s="6787"/>
      <c r="AQ112" s="6787"/>
      <c r="AR112" s="6788"/>
      <c r="AS112" s="6789"/>
      <c r="AT112" s="6790"/>
      <c r="AU112" s="6786"/>
      <c r="AV112" s="6791"/>
      <c r="AW112" s="6792"/>
      <c r="AX112" s="6791"/>
      <c r="AY112" s="6785"/>
      <c r="AZ112" s="6793"/>
      <c r="BA112" s="6794"/>
      <c r="BB112" s="6795"/>
      <c r="BC112" s="6796"/>
      <c r="BD112" s="6797"/>
      <c r="BE112" s="6798"/>
      <c r="BH112" s="5">
        <v>1</v>
      </c>
    </row>
    <row r="113" spans="2:60" ht="27" customHeight="1">
      <c r="B113" s="1021"/>
      <c r="C113" s="6787"/>
      <c r="D113" s="6787"/>
      <c r="E113" s="6787"/>
      <c r="F113" s="6788"/>
      <c r="G113" s="6789"/>
      <c r="H113" s="6790"/>
      <c r="I113" s="6786"/>
      <c r="J113" s="6791"/>
      <c r="K113" s="6792"/>
      <c r="L113" s="6791"/>
      <c r="M113" s="6785"/>
      <c r="N113" s="6793"/>
      <c r="O113" s="6794"/>
      <c r="P113" s="6795"/>
      <c r="Q113" s="6796"/>
      <c r="R113" s="6797"/>
      <c r="S113" s="6798"/>
      <c r="T113" s="6765"/>
      <c r="U113" s="1021"/>
      <c r="V113" s="6787"/>
      <c r="W113" s="6787"/>
      <c r="X113" s="6787"/>
      <c r="Y113" s="6788"/>
      <c r="Z113" s="6789"/>
      <c r="AA113" s="6790"/>
      <c r="AB113" s="6786"/>
      <c r="AC113" s="6791"/>
      <c r="AD113" s="6792"/>
      <c r="AE113" s="6791"/>
      <c r="AF113" s="6785"/>
      <c r="AG113" s="6793"/>
      <c r="AH113" s="6794"/>
      <c r="AI113" s="6795"/>
      <c r="AJ113" s="6796"/>
      <c r="AK113" s="6797"/>
      <c r="AL113" s="6798"/>
      <c r="AM113" s="6765"/>
      <c r="AN113" s="1021"/>
      <c r="AO113" s="6787"/>
      <c r="AP113" s="6787"/>
      <c r="AQ113" s="6787"/>
      <c r="AR113" s="6788"/>
      <c r="AS113" s="6789"/>
      <c r="AT113" s="6790"/>
      <c r="AU113" s="6786"/>
      <c r="AV113" s="6791"/>
      <c r="AW113" s="6792"/>
      <c r="AX113" s="6791"/>
      <c r="AY113" s="6785"/>
      <c r="AZ113" s="6793"/>
      <c r="BA113" s="6794"/>
      <c r="BB113" s="6795"/>
      <c r="BC113" s="6796"/>
      <c r="BD113" s="6797"/>
      <c r="BE113" s="6798"/>
      <c r="BH113" s="5">
        <v>1</v>
      </c>
    </row>
    <row r="114" spans="2:60" ht="27" customHeight="1">
      <c r="B114" s="1021"/>
      <c r="C114" s="6787"/>
      <c r="D114" s="6787"/>
      <c r="E114" s="6787"/>
      <c r="F114" s="6788"/>
      <c r="G114" s="6789"/>
      <c r="H114" s="6790"/>
      <c r="I114" s="6786"/>
      <c r="J114" s="6791"/>
      <c r="K114" s="6792"/>
      <c r="L114" s="6791"/>
      <c r="M114" s="6785"/>
      <c r="N114" s="6793"/>
      <c r="O114" s="6794"/>
      <c r="P114" s="6795"/>
      <c r="Q114" s="6796"/>
      <c r="R114" s="6797"/>
      <c r="S114" s="6798"/>
      <c r="T114" s="6765"/>
      <c r="U114" s="1021"/>
      <c r="V114" s="6787"/>
      <c r="W114" s="6787"/>
      <c r="X114" s="6787"/>
      <c r="Y114" s="6788"/>
      <c r="Z114" s="6789"/>
      <c r="AA114" s="6790"/>
      <c r="AB114" s="6786"/>
      <c r="AC114" s="6791"/>
      <c r="AD114" s="6792"/>
      <c r="AE114" s="6791"/>
      <c r="AF114" s="6785"/>
      <c r="AG114" s="6793"/>
      <c r="AH114" s="6794"/>
      <c r="AI114" s="6795"/>
      <c r="AJ114" s="6796"/>
      <c r="AK114" s="6797"/>
      <c r="AL114" s="6798"/>
      <c r="AM114" s="6765"/>
      <c r="AN114" s="1021"/>
      <c r="AO114" s="6787"/>
      <c r="AP114" s="6787"/>
      <c r="AQ114" s="6787"/>
      <c r="AR114" s="6788"/>
      <c r="AS114" s="6789"/>
      <c r="AT114" s="6790"/>
      <c r="AU114" s="6786"/>
      <c r="AV114" s="6791"/>
      <c r="AW114" s="6792"/>
      <c r="AX114" s="6791"/>
      <c r="AY114" s="6785"/>
      <c r="AZ114" s="6793"/>
      <c r="BA114" s="6794"/>
      <c r="BB114" s="6795"/>
      <c r="BC114" s="6796"/>
      <c r="BD114" s="6797"/>
      <c r="BE114" s="6798"/>
      <c r="BH114" s="5">
        <v>1</v>
      </c>
    </row>
    <row r="115" spans="2:60" ht="27" customHeight="1">
      <c r="B115" s="1021"/>
      <c r="C115" s="6787"/>
      <c r="D115" s="6787"/>
      <c r="E115" s="6787"/>
      <c r="F115" s="6788"/>
      <c r="G115" s="6789"/>
      <c r="H115" s="6790"/>
      <c r="I115" s="6786"/>
      <c r="J115" s="6791"/>
      <c r="K115" s="6792"/>
      <c r="L115" s="6791"/>
      <c r="M115" s="6785"/>
      <c r="N115" s="6793"/>
      <c r="O115" s="6794"/>
      <c r="P115" s="6795"/>
      <c r="Q115" s="6796"/>
      <c r="R115" s="6797"/>
      <c r="S115" s="6798"/>
      <c r="T115" s="6765"/>
      <c r="U115" s="1021"/>
      <c r="V115" s="6787"/>
      <c r="W115" s="6787"/>
      <c r="X115" s="6787"/>
      <c r="Y115" s="6788"/>
      <c r="Z115" s="6789"/>
      <c r="AA115" s="6790"/>
      <c r="AB115" s="6786"/>
      <c r="AC115" s="6791"/>
      <c r="AD115" s="6792"/>
      <c r="AE115" s="6791"/>
      <c r="AF115" s="6785"/>
      <c r="AG115" s="6793"/>
      <c r="AH115" s="6794"/>
      <c r="AI115" s="6795"/>
      <c r="AJ115" s="6796"/>
      <c r="AK115" s="6797"/>
      <c r="AL115" s="6798"/>
      <c r="AM115" s="6765"/>
      <c r="AN115" s="1021"/>
      <c r="AO115" s="6787"/>
      <c r="AP115" s="6787"/>
      <c r="AQ115" s="6787"/>
      <c r="AR115" s="6788"/>
      <c r="AS115" s="6789"/>
      <c r="AT115" s="6790"/>
      <c r="AU115" s="6786"/>
      <c r="AV115" s="6791"/>
      <c r="AW115" s="6792"/>
      <c r="AX115" s="6791"/>
      <c r="AY115" s="6785"/>
      <c r="AZ115" s="6793"/>
      <c r="BA115" s="6794"/>
      <c r="BB115" s="6795"/>
      <c r="BC115" s="6796"/>
      <c r="BD115" s="6797"/>
      <c r="BE115" s="6798"/>
      <c r="BH115" s="5">
        <v>1</v>
      </c>
    </row>
    <row r="116" spans="2:60" ht="27" customHeight="1">
      <c r="B116" s="1021"/>
      <c r="C116" s="6787"/>
      <c r="D116" s="6787"/>
      <c r="E116" s="6787"/>
      <c r="F116" s="6788"/>
      <c r="G116" s="6789"/>
      <c r="H116" s="6790"/>
      <c r="I116" s="6786"/>
      <c r="J116" s="6791"/>
      <c r="K116" s="6792"/>
      <c r="L116" s="6791"/>
      <c r="M116" s="6785"/>
      <c r="N116" s="6793"/>
      <c r="O116" s="6794"/>
      <c r="P116" s="6795"/>
      <c r="Q116" s="6796"/>
      <c r="R116" s="6797"/>
      <c r="S116" s="6798"/>
      <c r="T116" s="6765"/>
      <c r="U116" s="1021"/>
      <c r="V116" s="6787"/>
      <c r="W116" s="6787"/>
      <c r="X116" s="6787"/>
      <c r="Y116" s="6788"/>
      <c r="Z116" s="6789"/>
      <c r="AA116" s="6790"/>
      <c r="AB116" s="6786"/>
      <c r="AC116" s="6791"/>
      <c r="AD116" s="6792"/>
      <c r="AE116" s="6791"/>
      <c r="AF116" s="6785"/>
      <c r="AG116" s="6793"/>
      <c r="AH116" s="6794"/>
      <c r="AI116" s="6795"/>
      <c r="AJ116" s="6796"/>
      <c r="AK116" s="6797"/>
      <c r="AL116" s="6798"/>
      <c r="AM116" s="6765"/>
      <c r="AN116" s="1021"/>
      <c r="AO116" s="6787"/>
      <c r="AP116" s="6787"/>
      <c r="AQ116" s="6787"/>
      <c r="AR116" s="6788"/>
      <c r="AS116" s="6789"/>
      <c r="AT116" s="6790"/>
      <c r="AU116" s="6786"/>
      <c r="AV116" s="6791"/>
      <c r="AW116" s="6792"/>
      <c r="AX116" s="6791"/>
      <c r="AY116" s="6785"/>
      <c r="AZ116" s="6793"/>
      <c r="BA116" s="6794"/>
      <c r="BB116" s="6795"/>
      <c r="BC116" s="6796"/>
      <c r="BD116" s="6797"/>
      <c r="BE116" s="6798"/>
      <c r="BH116" s="5">
        <v>1</v>
      </c>
    </row>
    <row r="117" spans="2:60" ht="27" customHeight="1">
      <c r="B117" s="1021"/>
      <c r="C117" s="6787"/>
      <c r="D117" s="6787"/>
      <c r="E117" s="6787"/>
      <c r="F117" s="6788"/>
      <c r="G117" s="6789"/>
      <c r="H117" s="6790"/>
      <c r="I117" s="6786"/>
      <c r="J117" s="6791"/>
      <c r="K117" s="6792"/>
      <c r="L117" s="6791"/>
      <c r="M117" s="6785"/>
      <c r="N117" s="6793"/>
      <c r="O117" s="6794"/>
      <c r="P117" s="6795"/>
      <c r="Q117" s="6796"/>
      <c r="R117" s="6797"/>
      <c r="S117" s="6798"/>
      <c r="T117" s="6765"/>
      <c r="U117" s="1021"/>
      <c r="V117" s="6787"/>
      <c r="W117" s="6787"/>
      <c r="X117" s="6787"/>
      <c r="Y117" s="6788"/>
      <c r="Z117" s="6789"/>
      <c r="AA117" s="6790"/>
      <c r="AB117" s="6786"/>
      <c r="AC117" s="6791"/>
      <c r="AD117" s="6792"/>
      <c r="AE117" s="6791"/>
      <c r="AF117" s="6785"/>
      <c r="AG117" s="6793"/>
      <c r="AH117" s="6794"/>
      <c r="AI117" s="6795"/>
      <c r="AJ117" s="6796"/>
      <c r="AK117" s="6797"/>
      <c r="AL117" s="6798"/>
      <c r="AM117" s="6765"/>
      <c r="AN117" s="1021"/>
      <c r="AO117" s="6787"/>
      <c r="AP117" s="6787"/>
      <c r="AQ117" s="6787"/>
      <c r="AR117" s="6788"/>
      <c r="AS117" s="6789"/>
      <c r="AT117" s="6790"/>
      <c r="AU117" s="6786"/>
      <c r="AV117" s="6791"/>
      <c r="AW117" s="6792"/>
      <c r="AX117" s="6791"/>
      <c r="AY117" s="6785"/>
      <c r="AZ117" s="6793"/>
      <c r="BA117" s="6794"/>
      <c r="BB117" s="6795"/>
      <c r="BC117" s="6796"/>
      <c r="BD117" s="6797"/>
      <c r="BE117" s="6798"/>
      <c r="BH117" s="5">
        <v>1</v>
      </c>
    </row>
    <row r="118" spans="2:60" ht="27" customHeight="1">
      <c r="B118" s="1021"/>
      <c r="C118" s="6787"/>
      <c r="D118" s="6787"/>
      <c r="E118" s="6787"/>
      <c r="F118" s="6788"/>
      <c r="G118" s="6789"/>
      <c r="H118" s="6790"/>
      <c r="I118" s="6786"/>
      <c r="J118" s="6791"/>
      <c r="K118" s="6792"/>
      <c r="L118" s="6791"/>
      <c r="M118" s="6785"/>
      <c r="N118" s="6793"/>
      <c r="O118" s="6794"/>
      <c r="P118" s="6795"/>
      <c r="Q118" s="6796"/>
      <c r="R118" s="6797"/>
      <c r="S118" s="6798"/>
      <c r="T118" s="6765"/>
      <c r="U118" s="1021"/>
      <c r="V118" s="6787"/>
      <c r="W118" s="6787"/>
      <c r="X118" s="6787"/>
      <c r="Y118" s="6788"/>
      <c r="Z118" s="6789"/>
      <c r="AA118" s="6790"/>
      <c r="AB118" s="6786"/>
      <c r="AC118" s="6791"/>
      <c r="AD118" s="6792"/>
      <c r="AE118" s="6791"/>
      <c r="AF118" s="6785"/>
      <c r="AG118" s="6793"/>
      <c r="AH118" s="6794"/>
      <c r="AI118" s="6795"/>
      <c r="AJ118" s="6796"/>
      <c r="AK118" s="6797"/>
      <c r="AL118" s="6798"/>
      <c r="AM118" s="6765"/>
      <c r="AN118" s="1021"/>
      <c r="AO118" s="6787"/>
      <c r="AP118" s="6787"/>
      <c r="AQ118" s="6787"/>
      <c r="AR118" s="6788"/>
      <c r="AS118" s="6789"/>
      <c r="AT118" s="6790"/>
      <c r="AU118" s="6786"/>
      <c r="AV118" s="6791"/>
      <c r="AW118" s="6792"/>
      <c r="AX118" s="6791"/>
      <c r="AY118" s="6785"/>
      <c r="AZ118" s="6793"/>
      <c r="BA118" s="6794"/>
      <c r="BB118" s="6795"/>
      <c r="BC118" s="6796"/>
      <c r="BD118" s="6797"/>
      <c r="BE118" s="6798"/>
      <c r="BH118" s="5">
        <v>1</v>
      </c>
    </row>
    <row r="119" spans="2:60" ht="27" customHeight="1">
      <c r="B119" s="1021"/>
      <c r="C119" s="6787"/>
      <c r="D119" s="6787"/>
      <c r="E119" s="6787"/>
      <c r="F119" s="6788"/>
      <c r="G119" s="6789"/>
      <c r="H119" s="6790"/>
      <c r="I119" s="6786"/>
      <c r="J119" s="6791"/>
      <c r="K119" s="6792"/>
      <c r="L119" s="6791"/>
      <c r="M119" s="6785"/>
      <c r="N119" s="6793"/>
      <c r="O119" s="6794"/>
      <c r="P119" s="6795"/>
      <c r="Q119" s="6796"/>
      <c r="R119" s="6797"/>
      <c r="S119" s="6798"/>
      <c r="T119" s="6765"/>
      <c r="U119" s="1021"/>
      <c r="V119" s="6787"/>
      <c r="W119" s="6787"/>
      <c r="X119" s="6787"/>
      <c r="Y119" s="6788"/>
      <c r="Z119" s="6789"/>
      <c r="AA119" s="6790"/>
      <c r="AB119" s="6786"/>
      <c r="AC119" s="6791"/>
      <c r="AD119" s="6792"/>
      <c r="AE119" s="6791"/>
      <c r="AF119" s="6785"/>
      <c r="AG119" s="6793"/>
      <c r="AH119" s="6794"/>
      <c r="AI119" s="6795"/>
      <c r="AJ119" s="6796"/>
      <c r="AK119" s="6797"/>
      <c r="AL119" s="6798"/>
      <c r="AM119" s="6765"/>
      <c r="AN119" s="1021"/>
      <c r="AO119" s="6787"/>
      <c r="AP119" s="6787"/>
      <c r="AQ119" s="6787"/>
      <c r="AR119" s="6788"/>
      <c r="AS119" s="6789"/>
      <c r="AT119" s="6790"/>
      <c r="AU119" s="6786"/>
      <c r="AV119" s="6791"/>
      <c r="AW119" s="6792"/>
      <c r="AX119" s="6791"/>
      <c r="AY119" s="6785"/>
      <c r="AZ119" s="6793"/>
      <c r="BA119" s="6794"/>
      <c r="BB119" s="6795"/>
      <c r="BC119" s="6796"/>
      <c r="BD119" s="6797"/>
      <c r="BE119" s="6798"/>
      <c r="BH119" s="5">
        <v>1</v>
      </c>
    </row>
    <row r="120" spans="2:60" ht="27" customHeight="1">
      <c r="B120" s="1021"/>
      <c r="C120" s="6787"/>
      <c r="D120" s="6787"/>
      <c r="E120" s="6787"/>
      <c r="F120" s="6788"/>
      <c r="G120" s="6789"/>
      <c r="H120" s="6790"/>
      <c r="I120" s="6786"/>
      <c r="J120" s="6791"/>
      <c r="K120" s="6792"/>
      <c r="L120" s="6791"/>
      <c r="M120" s="6785"/>
      <c r="N120" s="6793"/>
      <c r="O120" s="6794"/>
      <c r="P120" s="6795"/>
      <c r="Q120" s="6796"/>
      <c r="R120" s="6797"/>
      <c r="S120" s="6798"/>
      <c r="T120" s="6765"/>
      <c r="U120" s="1021"/>
      <c r="V120" s="6787"/>
      <c r="W120" s="6787"/>
      <c r="X120" s="6787"/>
      <c r="Y120" s="6788"/>
      <c r="Z120" s="6789"/>
      <c r="AA120" s="6790"/>
      <c r="AB120" s="6786"/>
      <c r="AC120" s="6791"/>
      <c r="AD120" s="6792"/>
      <c r="AE120" s="6791"/>
      <c r="AF120" s="6785"/>
      <c r="AG120" s="6793"/>
      <c r="AH120" s="6794"/>
      <c r="AI120" s="6795"/>
      <c r="AJ120" s="6796"/>
      <c r="AK120" s="6797"/>
      <c r="AL120" s="6798"/>
      <c r="AM120" s="6765"/>
      <c r="AN120" s="1021"/>
      <c r="AO120" s="6787"/>
      <c r="AP120" s="6787"/>
      <c r="AQ120" s="6787"/>
      <c r="AR120" s="6788"/>
      <c r="AS120" s="6789"/>
      <c r="AT120" s="6790"/>
      <c r="AU120" s="6786"/>
      <c r="AV120" s="6791"/>
      <c r="AW120" s="6792"/>
      <c r="AX120" s="6791"/>
      <c r="AY120" s="6785"/>
      <c r="AZ120" s="6793"/>
      <c r="BA120" s="6794"/>
      <c r="BB120" s="6795"/>
      <c r="BC120" s="6796"/>
      <c r="BD120" s="6797"/>
      <c r="BE120" s="6798"/>
      <c r="BH120" s="5">
        <v>1</v>
      </c>
    </row>
    <row r="121" spans="2:60" ht="27" customHeight="1">
      <c r="B121" s="1021"/>
      <c r="C121" s="6787"/>
      <c r="D121" s="6787"/>
      <c r="E121" s="6787"/>
      <c r="F121" s="6788"/>
      <c r="G121" s="6789"/>
      <c r="H121" s="6790"/>
      <c r="I121" s="6786"/>
      <c r="J121" s="6791"/>
      <c r="K121" s="6792"/>
      <c r="L121" s="6791"/>
      <c r="M121" s="6785"/>
      <c r="N121" s="6793"/>
      <c r="O121" s="6794"/>
      <c r="P121" s="6795"/>
      <c r="Q121" s="6796"/>
      <c r="R121" s="6797"/>
      <c r="S121" s="6798"/>
      <c r="T121" s="6765"/>
      <c r="U121" s="1021"/>
      <c r="V121" s="6787"/>
      <c r="W121" s="6787"/>
      <c r="X121" s="6787"/>
      <c r="Y121" s="6788"/>
      <c r="Z121" s="6789"/>
      <c r="AA121" s="6790"/>
      <c r="AB121" s="6786"/>
      <c r="AC121" s="6791"/>
      <c r="AD121" s="6792"/>
      <c r="AE121" s="6791"/>
      <c r="AF121" s="6785"/>
      <c r="AG121" s="6793"/>
      <c r="AH121" s="6794"/>
      <c r="AI121" s="6795"/>
      <c r="AJ121" s="6796"/>
      <c r="AK121" s="6797"/>
      <c r="AL121" s="6798"/>
      <c r="AN121" s="1021"/>
      <c r="AO121" s="6787"/>
      <c r="AP121" s="6787"/>
      <c r="AQ121" s="6787"/>
      <c r="AR121" s="6788"/>
      <c r="AS121" s="6789"/>
      <c r="AT121" s="6790"/>
      <c r="AU121" s="6786"/>
      <c r="AV121" s="6791"/>
      <c r="AW121" s="6792"/>
      <c r="AX121" s="6791"/>
      <c r="AY121" s="6785"/>
      <c r="AZ121" s="6793"/>
      <c r="BA121" s="6794"/>
      <c r="BB121" s="6795"/>
      <c r="BC121" s="6796"/>
      <c r="BD121" s="6797"/>
      <c r="BE121" s="6798"/>
      <c r="BH121" s="5">
        <v>1</v>
      </c>
    </row>
    <row r="122" spans="2:60" ht="27" customHeight="1">
      <c r="B122" s="1021"/>
      <c r="C122" s="6787"/>
      <c r="D122" s="6787"/>
      <c r="E122" s="6787"/>
      <c r="F122" s="6788"/>
      <c r="G122" s="6789"/>
      <c r="H122" s="6790"/>
      <c r="I122" s="6786"/>
      <c r="J122" s="6791"/>
      <c r="K122" s="6792"/>
      <c r="L122" s="6791"/>
      <c r="M122" s="6785"/>
      <c r="N122" s="6793"/>
      <c r="O122" s="6794"/>
      <c r="P122" s="6795"/>
      <c r="Q122" s="6796"/>
      <c r="R122" s="6797"/>
      <c r="S122" s="6798"/>
      <c r="T122" s="6765"/>
      <c r="U122" s="1021"/>
      <c r="V122" s="6787"/>
      <c r="W122" s="6787"/>
      <c r="X122" s="6787"/>
      <c r="Y122" s="6788"/>
      <c r="Z122" s="6789"/>
      <c r="AA122" s="6790"/>
      <c r="AB122" s="6786"/>
      <c r="AC122" s="6791"/>
      <c r="AD122" s="6792"/>
      <c r="AE122" s="6791"/>
      <c r="AF122" s="6785"/>
      <c r="AG122" s="6793"/>
      <c r="AH122" s="6794"/>
      <c r="AI122" s="6795"/>
      <c r="AJ122" s="6796"/>
      <c r="AK122" s="6797"/>
      <c r="AL122" s="6798"/>
      <c r="AN122" s="1021"/>
      <c r="AO122" s="6787"/>
      <c r="AP122" s="6787"/>
      <c r="AQ122" s="6787"/>
      <c r="AR122" s="6788"/>
      <c r="AS122" s="6789"/>
      <c r="AT122" s="6790"/>
      <c r="AU122" s="6786"/>
      <c r="AV122" s="6791"/>
      <c r="AW122" s="6792"/>
      <c r="AX122" s="6791"/>
      <c r="AY122" s="6785"/>
      <c r="AZ122" s="6793"/>
      <c r="BA122" s="6794"/>
      <c r="BB122" s="6795"/>
      <c r="BC122" s="6796"/>
      <c r="BD122" s="6797"/>
      <c r="BE122" s="6798"/>
      <c r="BH122" s="5">
        <v>1</v>
      </c>
    </row>
    <row r="123" spans="2:60" ht="27" customHeight="1">
      <c r="B123" s="1021"/>
      <c r="C123" s="6787"/>
      <c r="D123" s="6787"/>
      <c r="E123" s="6787"/>
      <c r="F123" s="6788"/>
      <c r="G123" s="6789"/>
      <c r="H123" s="6790"/>
      <c r="I123" s="6786"/>
      <c r="J123" s="6791"/>
      <c r="K123" s="6792"/>
      <c r="L123" s="6791"/>
      <c r="M123" s="6785"/>
      <c r="N123" s="6793"/>
      <c r="O123" s="6794"/>
      <c r="P123" s="6795"/>
      <c r="Q123" s="6796"/>
      <c r="R123" s="6797"/>
      <c r="S123" s="6798"/>
      <c r="T123" s="6765"/>
      <c r="U123" s="1021"/>
      <c r="V123" s="6787"/>
      <c r="W123" s="6787"/>
      <c r="X123" s="6787"/>
      <c r="Y123" s="6788"/>
      <c r="Z123" s="6789"/>
      <c r="AA123" s="6790"/>
      <c r="AB123" s="6786"/>
      <c r="AC123" s="6791"/>
      <c r="AD123" s="6792"/>
      <c r="AE123" s="6791"/>
      <c r="AF123" s="6785"/>
      <c r="AG123" s="6793"/>
      <c r="AH123" s="6794"/>
      <c r="AI123" s="6795"/>
      <c r="AJ123" s="6796"/>
      <c r="AK123" s="6797"/>
      <c r="AL123" s="6798"/>
      <c r="AN123" s="1021"/>
      <c r="AO123" s="6787"/>
      <c r="AP123" s="6787"/>
      <c r="AQ123" s="6787"/>
      <c r="AR123" s="6788"/>
      <c r="AS123" s="6789"/>
      <c r="AT123" s="6790"/>
      <c r="AU123" s="6786"/>
      <c r="AV123" s="6791"/>
      <c r="AW123" s="6792"/>
      <c r="AX123" s="6791"/>
      <c r="AY123" s="6785"/>
      <c r="AZ123" s="6793"/>
      <c r="BA123" s="6794"/>
      <c r="BB123" s="6795"/>
      <c r="BC123" s="6796"/>
      <c r="BD123" s="6797"/>
      <c r="BE123" s="6798"/>
      <c r="BH123" s="5">
        <v>1</v>
      </c>
    </row>
    <row r="124" spans="2:60" ht="27" customHeight="1">
      <c r="B124" s="1021"/>
      <c r="C124" s="6787"/>
      <c r="D124" s="6787"/>
      <c r="E124" s="6787"/>
      <c r="F124" s="6788"/>
      <c r="G124" s="6789"/>
      <c r="H124" s="6790"/>
      <c r="I124" s="6786"/>
      <c r="J124" s="6791"/>
      <c r="K124" s="6792"/>
      <c r="L124" s="6791"/>
      <c r="M124" s="6785"/>
      <c r="N124" s="6793"/>
      <c r="O124" s="6794"/>
      <c r="P124" s="6795"/>
      <c r="Q124" s="6796"/>
      <c r="R124" s="6797"/>
      <c r="S124" s="6798"/>
      <c r="T124" s="6765"/>
      <c r="U124" s="1021"/>
      <c r="V124" s="6787"/>
      <c r="W124" s="6787"/>
      <c r="X124" s="6787"/>
      <c r="Y124" s="6788"/>
      <c r="Z124" s="6789"/>
      <c r="AA124" s="6790"/>
      <c r="AB124" s="6786"/>
      <c r="AC124" s="6791"/>
      <c r="AD124" s="6792"/>
      <c r="AE124" s="6791"/>
      <c r="AF124" s="6785"/>
      <c r="AG124" s="6793"/>
      <c r="AH124" s="6794"/>
      <c r="AI124" s="6795"/>
      <c r="AJ124" s="6796"/>
      <c r="AK124" s="6797"/>
      <c r="AL124" s="6798"/>
      <c r="AM124" s="6765"/>
      <c r="AN124" s="1021"/>
      <c r="AO124" s="6787"/>
      <c r="AP124" s="6787"/>
      <c r="AQ124" s="6787"/>
      <c r="AR124" s="6788"/>
      <c r="AS124" s="6789"/>
      <c r="AT124" s="6790"/>
      <c r="AU124" s="6786"/>
      <c r="AV124" s="6791"/>
      <c r="AW124" s="6792"/>
      <c r="AX124" s="6791"/>
      <c r="AY124" s="6785"/>
      <c r="AZ124" s="6793"/>
      <c r="BA124" s="6794"/>
      <c r="BB124" s="6795"/>
      <c r="BC124" s="6796"/>
      <c r="BD124" s="6797"/>
      <c r="BE124" s="6798"/>
      <c r="BH124" s="5">
        <v>1</v>
      </c>
    </row>
    <row r="125" spans="2:60" ht="27" customHeight="1">
      <c r="B125" s="1021"/>
      <c r="C125" s="6787"/>
      <c r="D125" s="6787"/>
      <c r="E125" s="6787"/>
      <c r="F125" s="6788"/>
      <c r="G125" s="6789"/>
      <c r="H125" s="6790"/>
      <c r="I125" s="6786"/>
      <c r="J125" s="6791"/>
      <c r="K125" s="6792"/>
      <c r="L125" s="6791"/>
      <c r="M125" s="6785"/>
      <c r="N125" s="6793"/>
      <c r="O125" s="6794"/>
      <c r="P125" s="6795"/>
      <c r="Q125" s="6796"/>
      <c r="R125" s="6797"/>
      <c r="S125" s="6798"/>
      <c r="T125" s="6765"/>
      <c r="U125" s="1021"/>
      <c r="V125" s="6787"/>
      <c r="W125" s="6787"/>
      <c r="X125" s="6787"/>
      <c r="Y125" s="6788"/>
      <c r="Z125" s="6789"/>
      <c r="AA125" s="6790"/>
      <c r="AB125" s="6786"/>
      <c r="AC125" s="6791"/>
      <c r="AD125" s="6792"/>
      <c r="AE125" s="6791"/>
      <c r="AF125" s="6785"/>
      <c r="AG125" s="6793"/>
      <c r="AH125" s="6794"/>
      <c r="AI125" s="6795"/>
      <c r="AJ125" s="6796"/>
      <c r="AK125" s="6797"/>
      <c r="AL125" s="6798"/>
      <c r="AM125" s="6765"/>
      <c r="AN125" s="1021"/>
      <c r="AO125" s="6787"/>
      <c r="AP125" s="6787"/>
      <c r="AQ125" s="6787"/>
      <c r="AR125" s="6788"/>
      <c r="AS125" s="6789"/>
      <c r="AT125" s="6790"/>
      <c r="AU125" s="6786"/>
      <c r="AV125" s="6791"/>
      <c r="AW125" s="6792"/>
      <c r="AX125" s="6791"/>
      <c r="AY125" s="6785"/>
      <c r="AZ125" s="6793"/>
      <c r="BA125" s="6794"/>
      <c r="BB125" s="6795"/>
      <c r="BC125" s="6796"/>
      <c r="BD125" s="6797"/>
      <c r="BE125" s="6798"/>
      <c r="BH125" s="5">
        <v>1</v>
      </c>
    </row>
    <row r="126" spans="2:60" ht="27" customHeight="1">
      <c r="B126" s="1021"/>
      <c r="C126" s="6787"/>
      <c r="D126" s="6787"/>
      <c r="E126" s="6787"/>
      <c r="F126" s="6788"/>
      <c r="G126" s="6789"/>
      <c r="H126" s="6790"/>
      <c r="I126" s="6786"/>
      <c r="J126" s="6791"/>
      <c r="K126" s="6792"/>
      <c r="L126" s="6791"/>
      <c r="M126" s="6785"/>
      <c r="N126" s="6793"/>
      <c r="O126" s="6794"/>
      <c r="P126" s="6795"/>
      <c r="Q126" s="6796"/>
      <c r="R126" s="6797"/>
      <c r="S126" s="6798"/>
      <c r="T126" s="6765"/>
      <c r="U126" s="1021"/>
      <c r="V126" s="6787"/>
      <c r="W126" s="6787"/>
      <c r="X126" s="6787"/>
      <c r="Y126" s="6788"/>
      <c r="Z126" s="6789"/>
      <c r="AA126" s="6790"/>
      <c r="AB126" s="6786"/>
      <c r="AC126" s="6791"/>
      <c r="AD126" s="6792"/>
      <c r="AE126" s="6791"/>
      <c r="AF126" s="6785"/>
      <c r="AG126" s="6793"/>
      <c r="AH126" s="6794"/>
      <c r="AI126" s="6795"/>
      <c r="AJ126" s="6796"/>
      <c r="AK126" s="6797"/>
      <c r="AL126" s="6798"/>
      <c r="AM126" s="6765"/>
      <c r="AN126" s="1021"/>
      <c r="AO126" s="6787"/>
      <c r="AP126" s="6787"/>
      <c r="AQ126" s="6787"/>
      <c r="AR126" s="6788"/>
      <c r="AS126" s="6789"/>
      <c r="AT126" s="6790"/>
      <c r="AU126" s="6786"/>
      <c r="AV126" s="6791"/>
      <c r="AW126" s="6792"/>
      <c r="AX126" s="6791"/>
      <c r="AY126" s="6785"/>
      <c r="AZ126" s="6793"/>
      <c r="BA126" s="6794"/>
      <c r="BB126" s="6795"/>
      <c r="BC126" s="6796"/>
      <c r="BD126" s="6797"/>
      <c r="BE126" s="6798"/>
      <c r="BH126" s="5">
        <v>1</v>
      </c>
    </row>
    <row r="127" spans="2:60" ht="27" customHeight="1">
      <c r="B127" s="1021"/>
      <c r="C127" s="6787"/>
      <c r="D127" s="6787"/>
      <c r="E127" s="6787"/>
      <c r="F127" s="6788"/>
      <c r="G127" s="6789"/>
      <c r="H127" s="6790"/>
      <c r="I127" s="6786"/>
      <c r="J127" s="6791"/>
      <c r="K127" s="6792"/>
      <c r="L127" s="6791"/>
      <c r="M127" s="6785"/>
      <c r="N127" s="6793"/>
      <c r="O127" s="6794"/>
      <c r="P127" s="6795"/>
      <c r="Q127" s="6796"/>
      <c r="R127" s="6797"/>
      <c r="S127" s="6798"/>
      <c r="T127" s="6765"/>
      <c r="U127" s="1021"/>
      <c r="V127" s="6787"/>
      <c r="W127" s="6787"/>
      <c r="X127" s="6787"/>
      <c r="Y127" s="6788"/>
      <c r="Z127" s="6789"/>
      <c r="AA127" s="6790"/>
      <c r="AB127" s="6786"/>
      <c r="AC127" s="6791"/>
      <c r="AD127" s="6792"/>
      <c r="AE127" s="6791"/>
      <c r="AF127" s="6785"/>
      <c r="AG127" s="6793"/>
      <c r="AH127" s="6794"/>
      <c r="AI127" s="6795"/>
      <c r="AJ127" s="6796"/>
      <c r="AK127" s="6797"/>
      <c r="AL127" s="6798"/>
      <c r="AM127" s="6765"/>
      <c r="AN127" s="1021"/>
      <c r="AO127" s="6787"/>
      <c r="AP127" s="6787"/>
      <c r="AQ127" s="6787"/>
      <c r="AR127" s="6788"/>
      <c r="AS127" s="6789"/>
      <c r="AT127" s="6790"/>
      <c r="AU127" s="6786"/>
      <c r="AV127" s="6791"/>
      <c r="AW127" s="6792"/>
      <c r="AX127" s="6791"/>
      <c r="AY127" s="6785"/>
      <c r="AZ127" s="6793"/>
      <c r="BA127" s="6794"/>
      <c r="BB127" s="6795"/>
      <c r="BC127" s="6796"/>
      <c r="BD127" s="6797"/>
      <c r="BE127" s="6798"/>
      <c r="BH127" s="5">
        <v>1</v>
      </c>
    </row>
    <row r="128" spans="2:60" ht="27" customHeight="1">
      <c r="B128" s="1021"/>
      <c r="C128" s="6787"/>
      <c r="D128" s="6787"/>
      <c r="E128" s="6787"/>
      <c r="F128" s="6788"/>
      <c r="G128" s="6789"/>
      <c r="H128" s="6790"/>
      <c r="I128" s="6786"/>
      <c r="J128" s="6791"/>
      <c r="K128" s="6792"/>
      <c r="L128" s="6791"/>
      <c r="M128" s="6785"/>
      <c r="N128" s="6793"/>
      <c r="O128" s="6794"/>
      <c r="P128" s="6795"/>
      <c r="Q128" s="6796"/>
      <c r="R128" s="6797"/>
      <c r="S128" s="6798"/>
      <c r="T128" s="6765"/>
      <c r="U128" s="1021"/>
      <c r="V128" s="6787"/>
      <c r="W128" s="6787"/>
      <c r="X128" s="6787"/>
      <c r="Y128" s="6788"/>
      <c r="Z128" s="6789"/>
      <c r="AA128" s="6790"/>
      <c r="AB128" s="6786"/>
      <c r="AC128" s="6791"/>
      <c r="AD128" s="6792"/>
      <c r="AE128" s="6791"/>
      <c r="AF128" s="6785"/>
      <c r="AG128" s="6793"/>
      <c r="AH128" s="6794"/>
      <c r="AI128" s="6795"/>
      <c r="AJ128" s="6796"/>
      <c r="AK128" s="6797"/>
      <c r="AL128" s="6798"/>
      <c r="AM128" s="6765"/>
      <c r="AN128" s="1021"/>
      <c r="AO128" s="6787"/>
      <c r="AP128" s="6787"/>
      <c r="AQ128" s="6787"/>
      <c r="AR128" s="6788"/>
      <c r="AS128" s="6789"/>
      <c r="AT128" s="6790"/>
      <c r="AU128" s="6786"/>
      <c r="AV128" s="6791"/>
      <c r="AW128" s="6792"/>
      <c r="AX128" s="6791"/>
      <c r="AY128" s="6785"/>
      <c r="AZ128" s="6793"/>
      <c r="BA128" s="6794"/>
      <c r="BB128" s="6795"/>
      <c r="BC128" s="6796"/>
      <c r="BD128" s="6797"/>
      <c r="BE128" s="6798"/>
      <c r="BH128" s="5">
        <v>1</v>
      </c>
    </row>
    <row r="129" spans="2:60" ht="27" customHeight="1">
      <c r="B129" s="1021"/>
      <c r="C129" s="6787"/>
      <c r="D129" s="6787"/>
      <c r="E129" s="6787"/>
      <c r="F129" s="6788"/>
      <c r="G129" s="6789"/>
      <c r="H129" s="6790"/>
      <c r="I129" s="6786"/>
      <c r="J129" s="6791"/>
      <c r="K129" s="6792"/>
      <c r="L129" s="6791"/>
      <c r="M129" s="6785"/>
      <c r="N129" s="6793"/>
      <c r="O129" s="6794"/>
      <c r="P129" s="6795"/>
      <c r="Q129" s="6796"/>
      <c r="R129" s="6797"/>
      <c r="S129" s="6798"/>
      <c r="T129" s="6765"/>
      <c r="U129" s="1021"/>
      <c r="V129" s="6787"/>
      <c r="W129" s="6787"/>
      <c r="X129" s="6787"/>
      <c r="Y129" s="6788"/>
      <c r="Z129" s="6789"/>
      <c r="AA129" s="6790"/>
      <c r="AB129" s="6786"/>
      <c r="AC129" s="6791"/>
      <c r="AD129" s="6792"/>
      <c r="AE129" s="6791"/>
      <c r="AF129" s="6785"/>
      <c r="AG129" s="6793"/>
      <c r="AH129" s="6794"/>
      <c r="AI129" s="6795"/>
      <c r="AJ129" s="6796"/>
      <c r="AK129" s="6797"/>
      <c r="AL129" s="6798"/>
      <c r="AM129" s="6765"/>
      <c r="AN129" s="1021"/>
      <c r="AO129" s="6787"/>
      <c r="AP129" s="6787"/>
      <c r="AQ129" s="6787"/>
      <c r="AR129" s="6788"/>
      <c r="AS129" s="6789"/>
      <c r="AT129" s="6790"/>
      <c r="AU129" s="6786"/>
      <c r="AV129" s="6791"/>
      <c r="AW129" s="6792"/>
      <c r="AX129" s="6791"/>
      <c r="AY129" s="6785"/>
      <c r="AZ129" s="6793"/>
      <c r="BA129" s="6794"/>
      <c r="BB129" s="6795"/>
      <c r="BC129" s="6796"/>
      <c r="BD129" s="6797"/>
      <c r="BE129" s="6798"/>
      <c r="BH129" s="5">
        <v>1</v>
      </c>
    </row>
    <row r="130" spans="2:60" ht="27" customHeight="1">
      <c r="B130" s="1021"/>
      <c r="C130" s="6787"/>
      <c r="D130" s="6787"/>
      <c r="E130" s="6787"/>
      <c r="F130" s="6788"/>
      <c r="G130" s="6789"/>
      <c r="H130" s="6790"/>
      <c r="I130" s="6786"/>
      <c r="J130" s="6791"/>
      <c r="K130" s="6792"/>
      <c r="L130" s="6791"/>
      <c r="M130" s="6785"/>
      <c r="N130" s="6793"/>
      <c r="O130" s="6794"/>
      <c r="P130" s="6795"/>
      <c r="Q130" s="6796"/>
      <c r="R130" s="6797"/>
      <c r="S130" s="6798"/>
      <c r="T130" s="6765"/>
      <c r="U130" s="1021"/>
      <c r="V130" s="6787"/>
      <c r="W130" s="6787"/>
      <c r="X130" s="6787"/>
      <c r="Y130" s="6788"/>
      <c r="Z130" s="6789"/>
      <c r="AA130" s="6790"/>
      <c r="AB130" s="6786"/>
      <c r="AC130" s="6791"/>
      <c r="AD130" s="6792"/>
      <c r="AE130" s="6791"/>
      <c r="AF130" s="6785"/>
      <c r="AG130" s="6793"/>
      <c r="AH130" s="6794"/>
      <c r="AI130" s="6795"/>
      <c r="AJ130" s="6796"/>
      <c r="AK130" s="6797"/>
      <c r="AL130" s="6798"/>
      <c r="AM130" s="6765"/>
      <c r="AN130" s="1021"/>
      <c r="AO130" s="6787"/>
      <c r="AP130" s="6787"/>
      <c r="AQ130" s="6787"/>
      <c r="AR130" s="6788"/>
      <c r="AS130" s="6789"/>
      <c r="AT130" s="6790"/>
      <c r="AU130" s="6786"/>
      <c r="AV130" s="6791"/>
      <c r="AW130" s="6792"/>
      <c r="AX130" s="6791"/>
      <c r="AY130" s="6785"/>
      <c r="AZ130" s="6793"/>
      <c r="BA130" s="6794"/>
      <c r="BB130" s="6795"/>
      <c r="BC130" s="6796"/>
      <c r="BD130" s="6797"/>
      <c r="BE130" s="6798"/>
      <c r="BH130" s="5">
        <v>1</v>
      </c>
    </row>
    <row r="131" spans="2:60" ht="27" customHeight="1">
      <c r="B131" s="1021"/>
      <c r="C131" s="6787"/>
      <c r="D131" s="6787"/>
      <c r="E131" s="6787"/>
      <c r="F131" s="6788"/>
      <c r="G131" s="6789"/>
      <c r="H131" s="6790"/>
      <c r="I131" s="6786"/>
      <c r="J131" s="6791"/>
      <c r="K131" s="6792"/>
      <c r="L131" s="6791"/>
      <c r="M131" s="6785"/>
      <c r="N131" s="6793"/>
      <c r="O131" s="6794"/>
      <c r="P131" s="6795"/>
      <c r="Q131" s="6796"/>
      <c r="R131" s="6797"/>
      <c r="S131" s="6798"/>
      <c r="T131" s="6765"/>
      <c r="U131" s="1021"/>
      <c r="V131" s="6787"/>
      <c r="W131" s="6787"/>
      <c r="X131" s="6787"/>
      <c r="Y131" s="6788"/>
      <c r="Z131" s="6789"/>
      <c r="AA131" s="6790"/>
      <c r="AB131" s="6786"/>
      <c r="AC131" s="6791"/>
      <c r="AD131" s="6792"/>
      <c r="AE131" s="6791"/>
      <c r="AF131" s="6785"/>
      <c r="AG131" s="6793"/>
      <c r="AH131" s="6794"/>
      <c r="AI131" s="6795"/>
      <c r="AJ131" s="6796"/>
      <c r="AK131" s="6797"/>
      <c r="AL131" s="6798"/>
      <c r="AM131" s="6765"/>
      <c r="AN131" s="1021"/>
      <c r="AO131" s="6787"/>
      <c r="AP131" s="6787"/>
      <c r="AQ131" s="6787"/>
      <c r="AR131" s="6788"/>
      <c r="AS131" s="6789"/>
      <c r="AT131" s="6790"/>
      <c r="AU131" s="6786"/>
      <c r="AV131" s="6791"/>
      <c r="AW131" s="6792"/>
      <c r="AX131" s="6791"/>
      <c r="AY131" s="6785"/>
      <c r="AZ131" s="6793"/>
      <c r="BA131" s="6794"/>
      <c r="BB131" s="6795"/>
      <c r="BC131" s="6796"/>
      <c r="BD131" s="6797"/>
      <c r="BE131" s="6798"/>
      <c r="BH131" s="5">
        <v>1</v>
      </c>
    </row>
    <row r="132" spans="2:60" ht="27" customHeight="1">
      <c r="B132" s="1021"/>
      <c r="C132" s="6787"/>
      <c r="D132" s="6787"/>
      <c r="E132" s="6787"/>
      <c r="F132" s="6788"/>
      <c r="G132" s="6789"/>
      <c r="H132" s="6790"/>
      <c r="I132" s="6786"/>
      <c r="J132" s="6791"/>
      <c r="K132" s="6792"/>
      <c r="L132" s="6791"/>
      <c r="M132" s="6785"/>
      <c r="N132" s="6793"/>
      <c r="O132" s="6794"/>
      <c r="P132" s="6795"/>
      <c r="Q132" s="6796"/>
      <c r="R132" s="6797"/>
      <c r="S132" s="6798"/>
      <c r="T132" s="6765"/>
      <c r="U132" s="1021"/>
      <c r="V132" s="6787"/>
      <c r="W132" s="6787"/>
      <c r="X132" s="6787"/>
      <c r="Y132" s="6788"/>
      <c r="Z132" s="6789"/>
      <c r="AA132" s="6790"/>
      <c r="AB132" s="6786"/>
      <c r="AC132" s="6791"/>
      <c r="AD132" s="6792"/>
      <c r="AE132" s="6791"/>
      <c r="AF132" s="6785"/>
      <c r="AG132" s="6793"/>
      <c r="AH132" s="6794"/>
      <c r="AI132" s="6795"/>
      <c r="AJ132" s="6796"/>
      <c r="AK132" s="6797"/>
      <c r="AL132" s="6798"/>
      <c r="AM132" s="6765"/>
      <c r="AN132" s="1021"/>
      <c r="AO132" s="6787"/>
      <c r="AP132" s="6787"/>
      <c r="AQ132" s="6787"/>
      <c r="AR132" s="6788"/>
      <c r="AS132" s="6789"/>
      <c r="AT132" s="6790"/>
      <c r="AU132" s="6786"/>
      <c r="AV132" s="6791"/>
      <c r="AW132" s="6792"/>
      <c r="AX132" s="6791"/>
      <c r="AY132" s="6785"/>
      <c r="AZ132" s="6793"/>
      <c r="BA132" s="6794"/>
      <c r="BB132" s="6795"/>
      <c r="BC132" s="6796"/>
      <c r="BD132" s="6797"/>
      <c r="BE132" s="6798"/>
      <c r="BH132" s="5">
        <v>1</v>
      </c>
    </row>
    <row r="133" spans="2:60" ht="27" customHeight="1">
      <c r="B133" s="1021"/>
      <c r="C133" s="6787"/>
      <c r="D133" s="6787"/>
      <c r="E133" s="6787"/>
      <c r="F133" s="6788"/>
      <c r="G133" s="6789"/>
      <c r="H133" s="6790"/>
      <c r="I133" s="6786"/>
      <c r="J133" s="6791"/>
      <c r="K133" s="6792"/>
      <c r="L133" s="6791"/>
      <c r="M133" s="6785"/>
      <c r="N133" s="6793"/>
      <c r="O133" s="6794"/>
      <c r="P133" s="6795"/>
      <c r="Q133" s="6796"/>
      <c r="R133" s="6797"/>
      <c r="S133" s="6798"/>
      <c r="T133" s="6765"/>
      <c r="U133" s="1021"/>
      <c r="V133" s="6787"/>
      <c r="W133" s="6787"/>
      <c r="X133" s="6787"/>
      <c r="Y133" s="6788"/>
      <c r="Z133" s="6789"/>
      <c r="AA133" s="6790"/>
      <c r="AB133" s="6786"/>
      <c r="AC133" s="6791"/>
      <c r="AD133" s="6792"/>
      <c r="AE133" s="6791"/>
      <c r="AF133" s="6785"/>
      <c r="AG133" s="6793"/>
      <c r="AH133" s="6794"/>
      <c r="AI133" s="6795"/>
      <c r="AJ133" s="6796"/>
      <c r="AK133" s="6797"/>
      <c r="AL133" s="6798"/>
      <c r="AM133" s="6765"/>
      <c r="AN133" s="1021"/>
      <c r="AO133" s="6787"/>
      <c r="AP133" s="6787"/>
      <c r="AQ133" s="6787"/>
      <c r="AR133" s="6788"/>
      <c r="AS133" s="6789"/>
      <c r="AT133" s="6790"/>
      <c r="AU133" s="6786"/>
      <c r="AV133" s="6791"/>
      <c r="AW133" s="6792"/>
      <c r="AX133" s="6791"/>
      <c r="AY133" s="6785"/>
      <c r="AZ133" s="6793"/>
      <c r="BA133" s="6794"/>
      <c r="BB133" s="6795"/>
      <c r="BC133" s="6796"/>
      <c r="BD133" s="6797"/>
      <c r="BE133" s="6798"/>
      <c r="BH133" s="5">
        <v>1</v>
      </c>
    </row>
    <row r="134" spans="2:60" ht="27" customHeight="1">
      <c r="B134" s="1021"/>
      <c r="C134" s="6787"/>
      <c r="D134" s="6787"/>
      <c r="E134" s="6787"/>
      <c r="F134" s="6788"/>
      <c r="G134" s="6789"/>
      <c r="H134" s="6790"/>
      <c r="I134" s="6786"/>
      <c r="J134" s="6791"/>
      <c r="K134" s="6792"/>
      <c r="L134" s="6791"/>
      <c r="M134" s="6785"/>
      <c r="N134" s="6793"/>
      <c r="O134" s="6794"/>
      <c r="P134" s="6795"/>
      <c r="Q134" s="6796"/>
      <c r="R134" s="6797"/>
      <c r="S134" s="6798"/>
      <c r="T134" s="6765"/>
      <c r="U134" s="1021"/>
      <c r="V134" s="6787"/>
      <c r="W134" s="6787"/>
      <c r="X134" s="6787"/>
      <c r="Y134" s="6788"/>
      <c r="Z134" s="6789"/>
      <c r="AA134" s="6790"/>
      <c r="AB134" s="6786"/>
      <c r="AC134" s="6791"/>
      <c r="AD134" s="6792"/>
      <c r="AE134" s="6791"/>
      <c r="AF134" s="6785"/>
      <c r="AG134" s="6793"/>
      <c r="AH134" s="6794"/>
      <c r="AI134" s="6795"/>
      <c r="AJ134" s="6796"/>
      <c r="AK134" s="6797"/>
      <c r="AL134" s="6798"/>
      <c r="AM134" s="6765"/>
      <c r="AN134" s="1021"/>
      <c r="AO134" s="6787"/>
      <c r="AP134" s="6787"/>
      <c r="AQ134" s="6787"/>
      <c r="AR134" s="6788"/>
      <c r="AS134" s="6789"/>
      <c r="AT134" s="6790"/>
      <c r="AU134" s="6786"/>
      <c r="AV134" s="6791"/>
      <c r="AW134" s="6792"/>
      <c r="AX134" s="6791"/>
      <c r="AY134" s="6785"/>
      <c r="AZ134" s="6793"/>
      <c r="BA134" s="6794"/>
      <c r="BB134" s="6795"/>
      <c r="BC134" s="6796"/>
      <c r="BD134" s="6797"/>
      <c r="BE134" s="6798"/>
      <c r="BH134" s="5">
        <v>1</v>
      </c>
    </row>
    <row r="135" spans="2:60" ht="27" customHeight="1">
      <c r="B135" s="1021"/>
      <c r="C135" s="6787"/>
      <c r="D135" s="6787"/>
      <c r="E135" s="6787"/>
      <c r="F135" s="6788"/>
      <c r="G135" s="6789"/>
      <c r="H135" s="6790"/>
      <c r="I135" s="6786"/>
      <c r="J135" s="6791"/>
      <c r="K135" s="6792"/>
      <c r="L135" s="6791"/>
      <c r="M135" s="6785"/>
      <c r="N135" s="6793"/>
      <c r="O135" s="6794"/>
      <c r="P135" s="6795"/>
      <c r="Q135" s="6796"/>
      <c r="R135" s="6797"/>
      <c r="S135" s="6798"/>
      <c r="T135" s="6765"/>
      <c r="U135" s="1021"/>
      <c r="V135" s="6787"/>
      <c r="W135" s="6787"/>
      <c r="X135" s="6787"/>
      <c r="Y135" s="6788"/>
      <c r="Z135" s="6789"/>
      <c r="AA135" s="6790"/>
      <c r="AB135" s="6786"/>
      <c r="AC135" s="6791"/>
      <c r="AD135" s="6792"/>
      <c r="AE135" s="6791"/>
      <c r="AF135" s="6785"/>
      <c r="AG135" s="6793"/>
      <c r="AH135" s="6794"/>
      <c r="AI135" s="6795"/>
      <c r="AJ135" s="6796"/>
      <c r="AK135" s="6797"/>
      <c r="AL135" s="6798"/>
      <c r="AM135" s="6765"/>
      <c r="AN135" s="1021"/>
      <c r="AO135" s="6787"/>
      <c r="AP135" s="6787"/>
      <c r="AQ135" s="6787"/>
      <c r="AR135" s="6788"/>
      <c r="AS135" s="6789"/>
      <c r="AT135" s="6790"/>
      <c r="AU135" s="6786"/>
      <c r="AV135" s="6791"/>
      <c r="AW135" s="6792"/>
      <c r="AX135" s="6791"/>
      <c r="AY135" s="6785"/>
      <c r="AZ135" s="6793"/>
      <c r="BA135" s="6794"/>
      <c r="BB135" s="6795"/>
      <c r="BC135" s="6796"/>
      <c r="BD135" s="6797"/>
      <c r="BE135" s="6798"/>
      <c r="BH135" s="5">
        <v>1</v>
      </c>
    </row>
    <row r="136" spans="2:60" ht="27" customHeight="1">
      <c r="B136" s="1021"/>
      <c r="C136" s="6787"/>
      <c r="D136" s="6787"/>
      <c r="E136" s="6787"/>
      <c r="F136" s="6788"/>
      <c r="G136" s="6789"/>
      <c r="H136" s="6790"/>
      <c r="I136" s="6786"/>
      <c r="J136" s="6791"/>
      <c r="K136" s="6792"/>
      <c r="L136" s="6791"/>
      <c r="M136" s="6785"/>
      <c r="N136" s="6793"/>
      <c r="O136" s="6794"/>
      <c r="P136" s="6795"/>
      <c r="Q136" s="6796"/>
      <c r="R136" s="6797"/>
      <c r="S136" s="6798"/>
      <c r="T136" s="6765"/>
      <c r="U136" s="1021"/>
      <c r="V136" s="6787"/>
      <c r="W136" s="6787"/>
      <c r="X136" s="6787"/>
      <c r="Y136" s="6788"/>
      <c r="Z136" s="6789"/>
      <c r="AA136" s="6790"/>
      <c r="AB136" s="6786"/>
      <c r="AC136" s="6791"/>
      <c r="AD136" s="6792"/>
      <c r="AE136" s="6791"/>
      <c r="AF136" s="6785"/>
      <c r="AG136" s="6793"/>
      <c r="AH136" s="6794"/>
      <c r="AI136" s="6795"/>
      <c r="AJ136" s="6796"/>
      <c r="AK136" s="6797"/>
      <c r="AL136" s="6798"/>
      <c r="AM136" s="6765"/>
      <c r="AN136" s="1021"/>
      <c r="AO136" s="6787"/>
      <c r="AP136" s="6787"/>
      <c r="AQ136" s="6787"/>
      <c r="AR136" s="6788"/>
      <c r="AS136" s="6789"/>
      <c r="AT136" s="6790"/>
      <c r="AU136" s="6786"/>
      <c r="AV136" s="6791"/>
      <c r="AW136" s="6792"/>
      <c r="AX136" s="6791"/>
      <c r="AY136" s="6785"/>
      <c r="AZ136" s="6793"/>
      <c r="BA136" s="6794"/>
      <c r="BB136" s="6795"/>
      <c r="BC136" s="6796"/>
      <c r="BD136" s="6797"/>
      <c r="BE136" s="6798"/>
      <c r="BH136" s="5">
        <v>1</v>
      </c>
    </row>
    <row r="137" spans="2:60" ht="27" customHeight="1">
      <c r="B137" s="1021"/>
      <c r="C137" s="6787"/>
      <c r="D137" s="6787"/>
      <c r="E137" s="6787"/>
      <c r="F137" s="6788"/>
      <c r="G137" s="6789"/>
      <c r="H137" s="6790"/>
      <c r="I137" s="6786"/>
      <c r="J137" s="6791"/>
      <c r="K137" s="6792"/>
      <c r="L137" s="6791"/>
      <c r="M137" s="6785"/>
      <c r="N137" s="6793"/>
      <c r="O137" s="6794"/>
      <c r="P137" s="6795"/>
      <c r="Q137" s="6796"/>
      <c r="R137" s="6797"/>
      <c r="S137" s="6798"/>
      <c r="T137" s="6765"/>
      <c r="U137" s="1021"/>
      <c r="V137" s="6787"/>
      <c r="W137" s="6787"/>
      <c r="X137" s="6787"/>
      <c r="Y137" s="6788"/>
      <c r="Z137" s="6789"/>
      <c r="AA137" s="6790"/>
      <c r="AB137" s="6786"/>
      <c r="AC137" s="6791"/>
      <c r="AD137" s="6792"/>
      <c r="AE137" s="6791"/>
      <c r="AF137" s="6785"/>
      <c r="AG137" s="6793"/>
      <c r="AH137" s="6794"/>
      <c r="AI137" s="6795"/>
      <c r="AJ137" s="6796"/>
      <c r="AK137" s="6797"/>
      <c r="AL137" s="6798"/>
      <c r="AM137" s="6765"/>
      <c r="AN137" s="1021"/>
      <c r="AO137" s="6787"/>
      <c r="AP137" s="6787"/>
      <c r="AQ137" s="6787"/>
      <c r="AR137" s="6788"/>
      <c r="AS137" s="6789"/>
      <c r="AT137" s="6790"/>
      <c r="AU137" s="6786"/>
      <c r="AV137" s="6791"/>
      <c r="AW137" s="6792"/>
      <c r="AX137" s="6791"/>
      <c r="AY137" s="6785"/>
      <c r="AZ137" s="6793"/>
      <c r="BA137" s="6794"/>
      <c r="BB137" s="6795"/>
      <c r="BC137" s="6796"/>
      <c r="BD137" s="6797"/>
      <c r="BE137" s="6798"/>
      <c r="BH137" s="5">
        <v>1</v>
      </c>
    </row>
    <row r="138" spans="2:60" ht="27" customHeight="1">
      <c r="B138" s="1021"/>
      <c r="C138" s="6787"/>
      <c r="D138" s="6787"/>
      <c r="E138" s="6787"/>
      <c r="F138" s="6788"/>
      <c r="G138" s="6789"/>
      <c r="H138" s="6790"/>
      <c r="I138" s="6786"/>
      <c r="J138" s="6791"/>
      <c r="K138" s="6792"/>
      <c r="L138" s="6791"/>
      <c r="M138" s="6785"/>
      <c r="N138" s="6793"/>
      <c r="O138" s="6794"/>
      <c r="P138" s="6795"/>
      <c r="Q138" s="6796"/>
      <c r="R138" s="6797"/>
      <c r="S138" s="6798"/>
      <c r="T138" s="6765"/>
      <c r="U138" s="1021"/>
      <c r="V138" s="6787"/>
      <c r="W138" s="6787"/>
      <c r="X138" s="6787"/>
      <c r="Y138" s="6788"/>
      <c r="Z138" s="6789"/>
      <c r="AA138" s="6790"/>
      <c r="AB138" s="6786"/>
      <c r="AC138" s="6791"/>
      <c r="AD138" s="6792"/>
      <c r="AE138" s="6791"/>
      <c r="AF138" s="6785"/>
      <c r="AG138" s="6793"/>
      <c r="AH138" s="6794"/>
      <c r="AI138" s="6795"/>
      <c r="AJ138" s="6796"/>
      <c r="AK138" s="6797"/>
      <c r="AL138" s="6798"/>
      <c r="AM138" s="6765"/>
      <c r="AN138" s="1021"/>
      <c r="AO138" s="6787"/>
      <c r="AP138" s="6787"/>
      <c r="AQ138" s="6787"/>
      <c r="AR138" s="6788"/>
      <c r="AS138" s="6789"/>
      <c r="AT138" s="6790"/>
      <c r="AU138" s="6786"/>
      <c r="AV138" s="6791"/>
      <c r="AW138" s="6792"/>
      <c r="AX138" s="6791"/>
      <c r="AY138" s="6785"/>
      <c r="AZ138" s="6793"/>
      <c r="BA138" s="6794"/>
      <c r="BB138" s="6795"/>
      <c r="BC138" s="6796"/>
      <c r="BD138" s="6797"/>
      <c r="BE138" s="6798"/>
      <c r="BH138" s="5">
        <v>1</v>
      </c>
    </row>
    <row r="139" spans="2:60" ht="27" customHeight="1">
      <c r="B139" s="1021"/>
      <c r="C139" s="6787"/>
      <c r="D139" s="6787"/>
      <c r="E139" s="6787"/>
      <c r="F139" s="6788"/>
      <c r="G139" s="6789"/>
      <c r="H139" s="6790"/>
      <c r="I139" s="6786"/>
      <c r="J139" s="6791"/>
      <c r="K139" s="6792"/>
      <c r="L139" s="6791"/>
      <c r="M139" s="6785"/>
      <c r="N139" s="6793"/>
      <c r="O139" s="6794"/>
      <c r="P139" s="6795"/>
      <c r="Q139" s="6796"/>
      <c r="R139" s="6797"/>
      <c r="S139" s="6798"/>
      <c r="T139" s="6765"/>
      <c r="U139" s="1021"/>
      <c r="V139" s="6787"/>
      <c r="W139" s="6787"/>
      <c r="X139" s="6787"/>
      <c r="Y139" s="6788"/>
      <c r="Z139" s="6789"/>
      <c r="AA139" s="6790"/>
      <c r="AB139" s="6786"/>
      <c r="AC139" s="6791"/>
      <c r="AD139" s="6792"/>
      <c r="AE139" s="6791"/>
      <c r="AF139" s="6785"/>
      <c r="AG139" s="6793"/>
      <c r="AH139" s="6794"/>
      <c r="AI139" s="6795"/>
      <c r="AJ139" s="6796"/>
      <c r="AK139" s="6797"/>
      <c r="AL139" s="6798"/>
      <c r="AM139" s="6765"/>
      <c r="AN139" s="1021"/>
      <c r="AO139" s="6787"/>
      <c r="AP139" s="6787"/>
      <c r="AQ139" s="6787"/>
      <c r="AR139" s="6788"/>
      <c r="AS139" s="6789"/>
      <c r="AT139" s="6790"/>
      <c r="AU139" s="6786"/>
      <c r="AV139" s="6791"/>
      <c r="AW139" s="6792"/>
      <c r="AX139" s="6791"/>
      <c r="AY139" s="6785"/>
      <c r="AZ139" s="6793"/>
      <c r="BA139" s="6794"/>
      <c r="BB139" s="6795"/>
      <c r="BC139" s="6796"/>
      <c r="BD139" s="6797"/>
      <c r="BE139" s="6798"/>
      <c r="BH139" s="5">
        <v>1</v>
      </c>
    </row>
    <row r="140" spans="2:60" ht="27" customHeight="1">
      <c r="B140" s="1021"/>
      <c r="C140" s="6787"/>
      <c r="D140" s="6787"/>
      <c r="E140" s="6787"/>
      <c r="F140" s="6788"/>
      <c r="G140" s="6789"/>
      <c r="H140" s="6790"/>
      <c r="I140" s="6786"/>
      <c r="J140" s="6791"/>
      <c r="K140" s="6792"/>
      <c r="L140" s="6791"/>
      <c r="M140" s="6785"/>
      <c r="N140" s="6793"/>
      <c r="O140" s="6794"/>
      <c r="P140" s="6795"/>
      <c r="Q140" s="6796"/>
      <c r="R140" s="6797"/>
      <c r="S140" s="6798"/>
      <c r="T140" s="6765"/>
      <c r="U140" s="1021"/>
      <c r="V140" s="6787"/>
      <c r="W140" s="6787"/>
      <c r="X140" s="6787"/>
      <c r="Y140" s="6788"/>
      <c r="Z140" s="6789"/>
      <c r="AA140" s="6790"/>
      <c r="AB140" s="6786"/>
      <c r="AC140" s="6791"/>
      <c r="AD140" s="6792"/>
      <c r="AE140" s="6791"/>
      <c r="AF140" s="6785"/>
      <c r="AG140" s="6793"/>
      <c r="AH140" s="6794"/>
      <c r="AI140" s="6795"/>
      <c r="AJ140" s="6796"/>
      <c r="AK140" s="6797"/>
      <c r="AL140" s="6798"/>
      <c r="AM140" s="6765"/>
      <c r="AN140" s="1021"/>
      <c r="AO140" s="6787"/>
      <c r="AP140" s="6787"/>
      <c r="AQ140" s="6787"/>
      <c r="AR140" s="6788"/>
      <c r="AS140" s="6789"/>
      <c r="AT140" s="6790"/>
      <c r="AU140" s="6786"/>
      <c r="AV140" s="6791"/>
      <c r="AW140" s="6792"/>
      <c r="AX140" s="6791"/>
      <c r="AY140" s="6785"/>
      <c r="AZ140" s="6793"/>
      <c r="BA140" s="6794"/>
      <c r="BB140" s="6795"/>
      <c r="BC140" s="6796"/>
      <c r="BD140" s="6797"/>
      <c r="BE140" s="6798"/>
      <c r="BH140" s="5">
        <v>1</v>
      </c>
    </row>
    <row r="141" spans="2:60" ht="27" customHeight="1">
      <c r="B141" s="1021"/>
      <c r="C141" s="6787"/>
      <c r="D141" s="6787"/>
      <c r="E141" s="6787"/>
      <c r="F141" s="6788"/>
      <c r="G141" s="6789"/>
      <c r="H141" s="6790"/>
      <c r="I141" s="6786"/>
      <c r="J141" s="6791"/>
      <c r="K141" s="6792"/>
      <c r="L141" s="6791"/>
      <c r="M141" s="6785"/>
      <c r="N141" s="6793"/>
      <c r="O141" s="6794"/>
      <c r="P141" s="6795"/>
      <c r="Q141" s="6796"/>
      <c r="R141" s="6797"/>
      <c r="S141" s="6798"/>
      <c r="T141" s="6765"/>
      <c r="U141" s="1021"/>
      <c r="V141" s="6787"/>
      <c r="W141" s="6787"/>
      <c r="X141" s="6787"/>
      <c r="Y141" s="6788"/>
      <c r="Z141" s="6789"/>
      <c r="AA141" s="6790"/>
      <c r="AB141" s="6786"/>
      <c r="AC141" s="6791"/>
      <c r="AD141" s="6792"/>
      <c r="AE141" s="6791"/>
      <c r="AF141" s="6785"/>
      <c r="AG141" s="6793"/>
      <c r="AH141" s="6794"/>
      <c r="AI141" s="6795"/>
      <c r="AJ141" s="6796"/>
      <c r="AK141" s="6797"/>
      <c r="AL141" s="6798"/>
      <c r="AM141" s="6765"/>
      <c r="AN141" s="1021"/>
      <c r="AO141" s="6787"/>
      <c r="AP141" s="6787"/>
      <c r="AQ141" s="6787"/>
      <c r="AR141" s="6788"/>
      <c r="AS141" s="6789"/>
      <c r="AT141" s="6790"/>
      <c r="AU141" s="6786"/>
      <c r="AV141" s="6791"/>
      <c r="AW141" s="6792"/>
      <c r="AX141" s="6791"/>
      <c r="AY141" s="6785"/>
      <c r="AZ141" s="6793"/>
      <c r="BA141" s="6794"/>
      <c r="BB141" s="6795"/>
      <c r="BC141" s="6796"/>
      <c r="BD141" s="6797"/>
      <c r="BE141" s="6798"/>
      <c r="BH141" s="5">
        <v>1</v>
      </c>
    </row>
    <row r="142" spans="2:60" ht="27" customHeight="1">
      <c r="B142" s="1021"/>
      <c r="C142" s="6787"/>
      <c r="D142" s="6787"/>
      <c r="E142" s="6787"/>
      <c r="F142" s="6788"/>
      <c r="G142" s="6789"/>
      <c r="H142" s="6790"/>
      <c r="I142" s="6786"/>
      <c r="J142" s="6791"/>
      <c r="K142" s="6792"/>
      <c r="L142" s="6791"/>
      <c r="M142" s="6785"/>
      <c r="N142" s="6793"/>
      <c r="O142" s="6794"/>
      <c r="P142" s="6795"/>
      <c r="Q142" s="6796"/>
      <c r="R142" s="6797"/>
      <c r="S142" s="6798"/>
      <c r="T142" s="6765"/>
      <c r="U142" s="1021"/>
      <c r="V142" s="6787"/>
      <c r="W142" s="6787"/>
      <c r="X142" s="6787"/>
      <c r="Y142" s="6788"/>
      <c r="Z142" s="6789"/>
      <c r="AA142" s="6790"/>
      <c r="AB142" s="6786"/>
      <c r="AC142" s="6791"/>
      <c r="AD142" s="6792"/>
      <c r="AE142" s="6791"/>
      <c r="AF142" s="6785"/>
      <c r="AG142" s="6793"/>
      <c r="AH142" s="6794"/>
      <c r="AI142" s="6795"/>
      <c r="AJ142" s="6796"/>
      <c r="AK142" s="6797"/>
      <c r="AL142" s="6798"/>
      <c r="AM142" s="6765"/>
      <c r="AN142" s="1021"/>
      <c r="AO142" s="6787"/>
      <c r="AP142" s="6787"/>
      <c r="AQ142" s="6787"/>
      <c r="AR142" s="6788"/>
      <c r="AS142" s="6789"/>
      <c r="AT142" s="6790"/>
      <c r="AU142" s="6786"/>
      <c r="AV142" s="6791"/>
      <c r="AW142" s="6792"/>
      <c r="AX142" s="6791"/>
      <c r="AY142" s="6785"/>
      <c r="AZ142" s="6793"/>
      <c r="BA142" s="6794"/>
      <c r="BB142" s="6795"/>
      <c r="BC142" s="6796"/>
      <c r="BD142" s="6797"/>
      <c r="BE142" s="6798"/>
      <c r="BH142" s="5">
        <v>1</v>
      </c>
    </row>
    <row r="143" spans="2:60" ht="27" customHeight="1">
      <c r="B143" s="1021"/>
      <c r="C143" s="6787"/>
      <c r="D143" s="6787"/>
      <c r="E143" s="6787"/>
      <c r="F143" s="6788"/>
      <c r="G143" s="6789"/>
      <c r="H143" s="6790"/>
      <c r="I143" s="6786"/>
      <c r="J143" s="6791"/>
      <c r="K143" s="6792"/>
      <c r="L143" s="6791"/>
      <c r="M143" s="6785"/>
      <c r="N143" s="6793"/>
      <c r="O143" s="6794"/>
      <c r="P143" s="6795"/>
      <c r="Q143" s="6796"/>
      <c r="R143" s="6797"/>
      <c r="S143" s="6798"/>
      <c r="T143" s="6765"/>
      <c r="U143" s="1021"/>
      <c r="V143" s="6787"/>
      <c r="W143" s="6787"/>
      <c r="X143" s="6787"/>
      <c r="Y143" s="6788"/>
      <c r="Z143" s="6789"/>
      <c r="AA143" s="6790"/>
      <c r="AB143" s="6786"/>
      <c r="AC143" s="6791"/>
      <c r="AD143" s="6792"/>
      <c r="AE143" s="6791"/>
      <c r="AF143" s="6785"/>
      <c r="AG143" s="6793"/>
      <c r="AH143" s="6794"/>
      <c r="AI143" s="6795"/>
      <c r="AJ143" s="6796"/>
      <c r="AK143" s="6797"/>
      <c r="AL143" s="6798"/>
      <c r="AM143" s="6765"/>
      <c r="AN143" s="1021"/>
      <c r="AO143" s="6787"/>
      <c r="AP143" s="6787"/>
      <c r="AQ143" s="6787"/>
      <c r="AR143" s="6788"/>
      <c r="AS143" s="6789"/>
      <c r="AT143" s="6790"/>
      <c r="AU143" s="6786"/>
      <c r="AV143" s="6791"/>
      <c r="AW143" s="6792"/>
      <c r="AX143" s="6791"/>
      <c r="AY143" s="6785"/>
      <c r="AZ143" s="6793"/>
      <c r="BA143" s="6794"/>
      <c r="BB143" s="6795"/>
      <c r="BC143" s="6796"/>
      <c r="BD143" s="6797"/>
      <c r="BE143" s="6798"/>
      <c r="BH143" s="5">
        <v>1</v>
      </c>
    </row>
    <row r="144" spans="2:60" ht="27" customHeight="1">
      <c r="B144" s="1021"/>
      <c r="C144" s="6787"/>
      <c r="D144" s="6787"/>
      <c r="E144" s="6787"/>
      <c r="F144" s="6788"/>
      <c r="G144" s="6789"/>
      <c r="H144" s="6790"/>
      <c r="I144" s="6786"/>
      <c r="J144" s="6791"/>
      <c r="K144" s="6792"/>
      <c r="L144" s="6791"/>
      <c r="M144" s="6785"/>
      <c r="N144" s="6793"/>
      <c r="O144" s="6794"/>
      <c r="P144" s="6795"/>
      <c r="Q144" s="6796"/>
      <c r="R144" s="6797"/>
      <c r="S144" s="6798"/>
      <c r="T144" s="6765"/>
      <c r="U144" s="1021"/>
      <c r="V144" s="6787"/>
      <c r="W144" s="6787"/>
      <c r="X144" s="6787"/>
      <c r="Y144" s="6788"/>
      <c r="Z144" s="6789"/>
      <c r="AA144" s="6790"/>
      <c r="AB144" s="6786"/>
      <c r="AC144" s="6791"/>
      <c r="AD144" s="6792"/>
      <c r="AE144" s="6791"/>
      <c r="AF144" s="6785"/>
      <c r="AG144" s="6793"/>
      <c r="AH144" s="6794"/>
      <c r="AI144" s="6795"/>
      <c r="AJ144" s="6796"/>
      <c r="AK144" s="6797"/>
      <c r="AL144" s="6798"/>
      <c r="AM144" s="6765"/>
      <c r="AN144" s="1021"/>
      <c r="AO144" s="6787"/>
      <c r="AP144" s="6787"/>
      <c r="AQ144" s="6787"/>
      <c r="AR144" s="6788"/>
      <c r="AS144" s="6789"/>
      <c r="AT144" s="6790"/>
      <c r="AU144" s="6786"/>
      <c r="AV144" s="6791"/>
      <c r="AW144" s="6792"/>
      <c r="AX144" s="6791"/>
      <c r="AY144" s="6785"/>
      <c r="AZ144" s="6793"/>
      <c r="BA144" s="6794"/>
      <c r="BB144" s="6795"/>
      <c r="BC144" s="6796"/>
      <c r="BD144" s="6797"/>
      <c r="BE144" s="6798"/>
      <c r="BH144" s="5">
        <v>1</v>
      </c>
    </row>
    <row r="145" spans="2:60" ht="27" customHeight="1">
      <c r="B145" s="1021"/>
      <c r="C145" s="6787"/>
      <c r="D145" s="6787"/>
      <c r="E145" s="6787"/>
      <c r="F145" s="6788"/>
      <c r="G145" s="6789"/>
      <c r="H145" s="6790"/>
      <c r="I145" s="6786"/>
      <c r="J145" s="6791"/>
      <c r="K145" s="6792"/>
      <c r="L145" s="6791"/>
      <c r="M145" s="6785"/>
      <c r="N145" s="6793"/>
      <c r="O145" s="6794"/>
      <c r="P145" s="6795"/>
      <c r="Q145" s="6796"/>
      <c r="R145" s="6797"/>
      <c r="S145" s="6798"/>
      <c r="T145" s="6765"/>
      <c r="U145" s="1021"/>
      <c r="V145" s="6787"/>
      <c r="W145" s="6787"/>
      <c r="X145" s="6787"/>
      <c r="Y145" s="6788"/>
      <c r="Z145" s="6789"/>
      <c r="AA145" s="6790"/>
      <c r="AB145" s="6786"/>
      <c r="AC145" s="6791"/>
      <c r="AD145" s="6792"/>
      <c r="AE145" s="6791"/>
      <c r="AF145" s="6785"/>
      <c r="AG145" s="6793"/>
      <c r="AH145" s="6794"/>
      <c r="AI145" s="6795"/>
      <c r="AJ145" s="6796"/>
      <c r="AK145" s="6797"/>
      <c r="AL145" s="6798"/>
      <c r="AM145" s="6765"/>
      <c r="AN145" s="1021"/>
      <c r="AO145" s="6787"/>
      <c r="AP145" s="6787"/>
      <c r="AQ145" s="6787"/>
      <c r="AR145" s="6788"/>
      <c r="AS145" s="6789"/>
      <c r="AT145" s="6790"/>
      <c r="AU145" s="6786"/>
      <c r="AV145" s="6791"/>
      <c r="AW145" s="6792"/>
      <c r="AX145" s="6791"/>
      <c r="AY145" s="6785"/>
      <c r="AZ145" s="6793"/>
      <c r="BA145" s="6794"/>
      <c r="BB145" s="6795"/>
      <c r="BC145" s="6796"/>
      <c r="BD145" s="6797"/>
      <c r="BE145" s="6798"/>
      <c r="BH145" s="5">
        <v>1</v>
      </c>
    </row>
    <row r="146" spans="2:60" ht="27" customHeight="1">
      <c r="B146" s="1021"/>
      <c r="C146" s="6787"/>
      <c r="D146" s="6787"/>
      <c r="E146" s="6787"/>
      <c r="F146" s="6788"/>
      <c r="G146" s="6789"/>
      <c r="H146" s="6790"/>
      <c r="I146" s="6786"/>
      <c r="J146" s="6791"/>
      <c r="K146" s="6792"/>
      <c r="L146" s="6791"/>
      <c r="M146" s="6785"/>
      <c r="N146" s="6793"/>
      <c r="O146" s="6794"/>
      <c r="P146" s="6795"/>
      <c r="Q146" s="6796"/>
      <c r="R146" s="6797"/>
      <c r="S146" s="6798"/>
      <c r="T146" s="6765"/>
      <c r="U146" s="1021"/>
      <c r="V146" s="6787"/>
      <c r="W146" s="6787"/>
      <c r="X146" s="6787"/>
      <c r="Y146" s="6788"/>
      <c r="Z146" s="6789"/>
      <c r="AA146" s="6790"/>
      <c r="AB146" s="6786"/>
      <c r="AC146" s="6791"/>
      <c r="AD146" s="6792"/>
      <c r="AE146" s="6791"/>
      <c r="AF146" s="6785"/>
      <c r="AG146" s="6793"/>
      <c r="AH146" s="6794"/>
      <c r="AI146" s="6795"/>
      <c r="AJ146" s="6796"/>
      <c r="AK146" s="6797"/>
      <c r="AL146" s="6798"/>
      <c r="AM146" s="6765"/>
      <c r="AN146" s="1021"/>
      <c r="AO146" s="6787"/>
      <c r="AP146" s="6787"/>
      <c r="AQ146" s="6787"/>
      <c r="AR146" s="6788"/>
      <c r="AS146" s="6789"/>
      <c r="AT146" s="6790"/>
      <c r="AU146" s="6786"/>
      <c r="AV146" s="6791"/>
      <c r="AW146" s="6792"/>
      <c r="AX146" s="6791"/>
      <c r="AY146" s="6785"/>
      <c r="AZ146" s="6793"/>
      <c r="BA146" s="6794"/>
      <c r="BB146" s="6795"/>
      <c r="BC146" s="6796"/>
      <c r="BD146" s="6797"/>
      <c r="BE146" s="6798"/>
      <c r="BH146" s="5">
        <v>1</v>
      </c>
    </row>
    <row r="147" spans="2:60" ht="27" customHeight="1">
      <c r="B147" s="1021"/>
      <c r="C147" s="6787"/>
      <c r="D147" s="6787"/>
      <c r="E147" s="6787"/>
      <c r="F147" s="6788"/>
      <c r="G147" s="6789"/>
      <c r="H147" s="6790"/>
      <c r="I147" s="6786"/>
      <c r="J147" s="6791"/>
      <c r="K147" s="6792"/>
      <c r="L147" s="6791"/>
      <c r="M147" s="6785"/>
      <c r="N147" s="6793"/>
      <c r="O147" s="6794"/>
      <c r="P147" s="6795"/>
      <c r="Q147" s="6796"/>
      <c r="R147" s="6797"/>
      <c r="S147" s="6798"/>
      <c r="T147" s="6765"/>
      <c r="U147" s="1021"/>
      <c r="V147" s="6787"/>
      <c r="W147" s="6787"/>
      <c r="X147" s="6787"/>
      <c r="Y147" s="6788"/>
      <c r="Z147" s="6789"/>
      <c r="AA147" s="6790"/>
      <c r="AB147" s="6786"/>
      <c r="AC147" s="6791"/>
      <c r="AD147" s="6792"/>
      <c r="AE147" s="6791"/>
      <c r="AF147" s="6785"/>
      <c r="AG147" s="6793"/>
      <c r="AH147" s="6794"/>
      <c r="AI147" s="6795"/>
      <c r="AJ147" s="6796"/>
      <c r="AK147" s="6797"/>
      <c r="AL147" s="6798"/>
      <c r="AM147" s="6765"/>
      <c r="AN147" s="1021"/>
      <c r="AO147" s="6787"/>
      <c r="AP147" s="6787"/>
      <c r="AQ147" s="6787"/>
      <c r="AR147" s="6788"/>
      <c r="AS147" s="6789"/>
      <c r="AT147" s="6790"/>
      <c r="AU147" s="6786"/>
      <c r="AV147" s="6791"/>
      <c r="AW147" s="6792"/>
      <c r="AX147" s="6791"/>
      <c r="AY147" s="6785"/>
      <c r="AZ147" s="6793"/>
      <c r="BA147" s="6794"/>
      <c r="BB147" s="6795"/>
      <c r="BC147" s="6796"/>
      <c r="BD147" s="6797"/>
      <c r="BE147" s="6798"/>
      <c r="BH147" s="5">
        <v>1</v>
      </c>
    </row>
    <row r="148" spans="2:60" ht="27" customHeight="1">
      <c r="B148" s="1021"/>
      <c r="C148" s="6787"/>
      <c r="D148" s="6787"/>
      <c r="E148" s="6787"/>
      <c r="F148" s="6788"/>
      <c r="G148" s="6789"/>
      <c r="H148" s="6790"/>
      <c r="I148" s="6786"/>
      <c r="J148" s="6791"/>
      <c r="K148" s="6792"/>
      <c r="L148" s="6791"/>
      <c r="M148" s="6785"/>
      <c r="N148" s="6793"/>
      <c r="O148" s="6794"/>
      <c r="P148" s="6795"/>
      <c r="Q148" s="6796"/>
      <c r="R148" s="6797"/>
      <c r="S148" s="6798"/>
      <c r="T148" s="6765"/>
      <c r="U148" s="1021"/>
      <c r="V148" s="6787"/>
      <c r="W148" s="6787"/>
      <c r="X148" s="6787"/>
      <c r="Y148" s="6788"/>
      <c r="Z148" s="6789"/>
      <c r="AA148" s="6790"/>
      <c r="AB148" s="6786"/>
      <c r="AC148" s="6791"/>
      <c r="AD148" s="6792"/>
      <c r="AE148" s="6791"/>
      <c r="AF148" s="6785"/>
      <c r="AG148" s="6793"/>
      <c r="AH148" s="6794"/>
      <c r="AI148" s="6795"/>
      <c r="AJ148" s="6796"/>
      <c r="AK148" s="6797"/>
      <c r="AL148" s="6798"/>
      <c r="AM148" s="6765"/>
      <c r="AN148" s="1021"/>
      <c r="AO148" s="6787"/>
      <c r="AP148" s="6787"/>
      <c r="AQ148" s="6787"/>
      <c r="AR148" s="6788"/>
      <c r="AS148" s="6789"/>
      <c r="AT148" s="6790"/>
      <c r="AU148" s="6786"/>
      <c r="AV148" s="6791"/>
      <c r="AW148" s="6792"/>
      <c r="AX148" s="6791"/>
      <c r="AY148" s="6785"/>
      <c r="AZ148" s="6793"/>
      <c r="BA148" s="6794"/>
      <c r="BB148" s="6795"/>
      <c r="BC148" s="6796"/>
      <c r="BD148" s="6797"/>
      <c r="BE148" s="6798"/>
      <c r="BH148" s="5">
        <v>1</v>
      </c>
    </row>
    <row r="149" spans="2:60" ht="27" customHeight="1">
      <c r="B149" s="1021"/>
      <c r="C149" s="6787"/>
      <c r="D149" s="6787"/>
      <c r="E149" s="6787"/>
      <c r="F149" s="6788"/>
      <c r="G149" s="6789"/>
      <c r="H149" s="6790"/>
      <c r="I149" s="6786"/>
      <c r="J149" s="6791"/>
      <c r="K149" s="6792"/>
      <c r="L149" s="6791"/>
      <c r="M149" s="6785"/>
      <c r="N149" s="6793"/>
      <c r="O149" s="6794"/>
      <c r="P149" s="6795"/>
      <c r="Q149" s="6796"/>
      <c r="R149" s="6797"/>
      <c r="S149" s="6798"/>
      <c r="T149" s="6765"/>
      <c r="U149" s="1021"/>
      <c r="V149" s="6787"/>
      <c r="W149" s="6787"/>
      <c r="X149" s="6787"/>
      <c r="Y149" s="6788"/>
      <c r="Z149" s="6789"/>
      <c r="AA149" s="6790"/>
      <c r="AB149" s="6786"/>
      <c r="AC149" s="6791"/>
      <c r="AD149" s="6792"/>
      <c r="AE149" s="6791"/>
      <c r="AF149" s="6785"/>
      <c r="AG149" s="6793"/>
      <c r="AH149" s="6794"/>
      <c r="AI149" s="6795"/>
      <c r="AJ149" s="6796"/>
      <c r="AK149" s="6797"/>
      <c r="AL149" s="6798"/>
      <c r="AM149" s="6765"/>
      <c r="AN149" s="1021"/>
      <c r="AO149" s="6787"/>
      <c r="AP149" s="6787"/>
      <c r="AQ149" s="6787"/>
      <c r="AR149" s="6788"/>
      <c r="AS149" s="6789"/>
      <c r="AT149" s="6790"/>
      <c r="AU149" s="6786"/>
      <c r="AV149" s="6791"/>
      <c r="AW149" s="6792"/>
      <c r="AX149" s="6791"/>
      <c r="AY149" s="6785"/>
      <c r="AZ149" s="6793"/>
      <c r="BA149" s="6794"/>
      <c r="BB149" s="6795"/>
      <c r="BC149" s="6796"/>
      <c r="BD149" s="6797"/>
      <c r="BE149" s="6798"/>
      <c r="BH149" s="5">
        <v>1</v>
      </c>
    </row>
    <row r="150" spans="2:60" ht="27" customHeight="1">
      <c r="B150" s="1021"/>
      <c r="C150" s="6787"/>
      <c r="D150" s="6787"/>
      <c r="E150" s="6787"/>
      <c r="F150" s="6788"/>
      <c r="G150" s="6789"/>
      <c r="H150" s="6790"/>
      <c r="I150" s="6786"/>
      <c r="J150" s="6791"/>
      <c r="K150" s="6792"/>
      <c r="L150" s="6791"/>
      <c r="M150" s="6785"/>
      <c r="N150" s="6793"/>
      <c r="O150" s="6794"/>
      <c r="P150" s="6795"/>
      <c r="Q150" s="6796"/>
      <c r="R150" s="6797"/>
      <c r="S150" s="6798"/>
      <c r="T150" s="6765"/>
      <c r="U150" s="1021"/>
      <c r="V150" s="6787"/>
      <c r="W150" s="6787"/>
      <c r="X150" s="6787"/>
      <c r="Y150" s="6788"/>
      <c r="Z150" s="6789"/>
      <c r="AA150" s="6790"/>
      <c r="AB150" s="6786"/>
      <c r="AC150" s="6791"/>
      <c r="AD150" s="6792"/>
      <c r="AE150" s="6791"/>
      <c r="AF150" s="6785"/>
      <c r="AG150" s="6793"/>
      <c r="AH150" s="6794"/>
      <c r="AI150" s="6795"/>
      <c r="AJ150" s="6796"/>
      <c r="AK150" s="6797"/>
      <c r="AL150" s="6798"/>
      <c r="AM150" s="6765"/>
      <c r="AN150" s="1021"/>
      <c r="AO150" s="6787"/>
      <c r="AP150" s="6787"/>
      <c r="AQ150" s="6787"/>
      <c r="AR150" s="6788"/>
      <c r="AS150" s="6789"/>
      <c r="AT150" s="6790"/>
      <c r="AU150" s="6786"/>
      <c r="AV150" s="6791"/>
      <c r="AW150" s="6792"/>
      <c r="AX150" s="6791"/>
      <c r="AY150" s="6785"/>
      <c r="AZ150" s="6793"/>
      <c r="BA150" s="6794"/>
      <c r="BB150" s="6795"/>
      <c r="BC150" s="6796"/>
      <c r="BD150" s="6797"/>
      <c r="BE150" s="6798"/>
      <c r="BH150" s="5">
        <v>1</v>
      </c>
    </row>
    <row r="151" spans="2:60" ht="27" customHeight="1">
      <c r="B151" s="1021"/>
      <c r="C151" s="6787"/>
      <c r="D151" s="6787"/>
      <c r="E151" s="6787"/>
      <c r="F151" s="6788"/>
      <c r="G151" s="6789"/>
      <c r="H151" s="6790"/>
      <c r="I151" s="6786"/>
      <c r="J151" s="6791"/>
      <c r="K151" s="6792"/>
      <c r="L151" s="6791"/>
      <c r="M151" s="6785"/>
      <c r="N151" s="6793"/>
      <c r="O151" s="6794"/>
      <c r="P151" s="6795"/>
      <c r="Q151" s="6796"/>
      <c r="R151" s="6797"/>
      <c r="S151" s="6798"/>
      <c r="T151" s="6765"/>
      <c r="U151" s="1021"/>
      <c r="V151" s="6787"/>
      <c r="W151" s="6787"/>
      <c r="X151" s="6787"/>
      <c r="Y151" s="6788"/>
      <c r="Z151" s="6789"/>
      <c r="AA151" s="6790"/>
      <c r="AB151" s="6786"/>
      <c r="AC151" s="6791"/>
      <c r="AD151" s="6792"/>
      <c r="AE151" s="6791"/>
      <c r="AF151" s="6785"/>
      <c r="AG151" s="6793"/>
      <c r="AH151" s="6794"/>
      <c r="AI151" s="6795"/>
      <c r="AJ151" s="6796"/>
      <c r="AK151" s="6797"/>
      <c r="AL151" s="6798"/>
      <c r="AM151" s="6765"/>
      <c r="AN151" s="1021"/>
      <c r="AO151" s="6787"/>
      <c r="AP151" s="6787"/>
      <c r="AQ151" s="6787"/>
      <c r="AR151" s="6788"/>
      <c r="AS151" s="6789"/>
      <c r="AT151" s="6790"/>
      <c r="AU151" s="6786"/>
      <c r="AV151" s="6791"/>
      <c r="AW151" s="6792"/>
      <c r="AX151" s="6791"/>
      <c r="AY151" s="6785"/>
      <c r="AZ151" s="6793"/>
      <c r="BA151" s="6794"/>
      <c r="BB151" s="6795"/>
      <c r="BC151" s="6796"/>
      <c r="BD151" s="6797"/>
      <c r="BE151" s="6798"/>
      <c r="BH151" s="5">
        <v>1</v>
      </c>
    </row>
    <row r="152" spans="2:60" ht="27" customHeight="1">
      <c r="B152" s="1021"/>
      <c r="C152" s="6787"/>
      <c r="D152" s="6787"/>
      <c r="E152" s="6787"/>
      <c r="F152" s="6788"/>
      <c r="G152" s="6789"/>
      <c r="H152" s="6790"/>
      <c r="I152" s="6786"/>
      <c r="J152" s="6791"/>
      <c r="K152" s="6792"/>
      <c r="L152" s="6791"/>
      <c r="M152" s="6785"/>
      <c r="N152" s="6793"/>
      <c r="O152" s="6794"/>
      <c r="P152" s="6795"/>
      <c r="Q152" s="6796"/>
      <c r="R152" s="6797"/>
      <c r="S152" s="6798"/>
      <c r="T152" s="6765"/>
      <c r="U152" s="1021"/>
      <c r="V152" s="6787"/>
      <c r="W152" s="6787"/>
      <c r="X152" s="6787"/>
      <c r="Y152" s="6788"/>
      <c r="Z152" s="6789"/>
      <c r="AA152" s="6790"/>
      <c r="AB152" s="6786"/>
      <c r="AC152" s="6791"/>
      <c r="AD152" s="6792"/>
      <c r="AE152" s="6791"/>
      <c r="AF152" s="6785"/>
      <c r="AG152" s="6793"/>
      <c r="AH152" s="6794"/>
      <c r="AI152" s="6795"/>
      <c r="AJ152" s="6796"/>
      <c r="AK152" s="6797"/>
      <c r="AL152" s="6798"/>
      <c r="AM152" s="6765"/>
      <c r="AN152" s="1021"/>
      <c r="AO152" s="6787"/>
      <c r="AP152" s="6787"/>
      <c r="AQ152" s="6787"/>
      <c r="AR152" s="6788"/>
      <c r="AS152" s="6789"/>
      <c r="AT152" s="6790"/>
      <c r="AU152" s="6786"/>
      <c r="AV152" s="6791"/>
      <c r="AW152" s="6792"/>
      <c r="AX152" s="6791"/>
      <c r="AY152" s="6785"/>
      <c r="AZ152" s="6793"/>
      <c r="BA152" s="6794"/>
      <c r="BB152" s="6795"/>
      <c r="BC152" s="6796"/>
      <c r="BD152" s="6797"/>
      <c r="BE152" s="6798"/>
      <c r="BH152" s="5">
        <v>1</v>
      </c>
    </row>
    <row r="153" spans="2:60" ht="27" customHeight="1">
      <c r="B153" s="1021"/>
      <c r="C153" s="6787"/>
      <c r="D153" s="6787"/>
      <c r="E153" s="6787"/>
      <c r="F153" s="6788"/>
      <c r="G153" s="6789"/>
      <c r="H153" s="6790"/>
      <c r="I153" s="6786"/>
      <c r="J153" s="6791"/>
      <c r="K153" s="6792"/>
      <c r="L153" s="6791"/>
      <c r="M153" s="6785"/>
      <c r="N153" s="6793"/>
      <c r="O153" s="6794"/>
      <c r="P153" s="6795"/>
      <c r="Q153" s="6796"/>
      <c r="R153" s="6797"/>
      <c r="S153" s="6798"/>
      <c r="T153" s="6765"/>
      <c r="U153" s="1021"/>
      <c r="V153" s="6787"/>
      <c r="W153" s="6787"/>
      <c r="X153" s="6787"/>
      <c r="Y153" s="6788"/>
      <c r="Z153" s="6789"/>
      <c r="AA153" s="6790"/>
      <c r="AB153" s="6786"/>
      <c r="AC153" s="6791"/>
      <c r="AD153" s="6792"/>
      <c r="AE153" s="6791"/>
      <c r="AF153" s="6785"/>
      <c r="AG153" s="6793"/>
      <c r="AH153" s="6794"/>
      <c r="AI153" s="6795"/>
      <c r="AJ153" s="6796"/>
      <c r="AK153" s="6797"/>
      <c r="AL153" s="6798"/>
      <c r="AM153" s="6765"/>
      <c r="AN153" s="1021"/>
      <c r="AO153" s="6787"/>
      <c r="AP153" s="6787"/>
      <c r="AQ153" s="6787"/>
      <c r="AR153" s="6788"/>
      <c r="AS153" s="6789"/>
      <c r="AT153" s="6790"/>
      <c r="AU153" s="6786"/>
      <c r="AV153" s="6791"/>
      <c r="AW153" s="6792"/>
      <c r="AX153" s="6791"/>
      <c r="AY153" s="6785"/>
      <c r="AZ153" s="6793"/>
      <c r="BA153" s="6794"/>
      <c r="BB153" s="6795"/>
      <c r="BC153" s="6796"/>
      <c r="BD153" s="6797"/>
      <c r="BE153" s="6798"/>
      <c r="BH153" s="5">
        <v>1</v>
      </c>
    </row>
    <row r="154" spans="2:60" ht="27" customHeight="1">
      <c r="B154" s="1021"/>
      <c r="C154" s="6787"/>
      <c r="D154" s="6787"/>
      <c r="E154" s="6787"/>
      <c r="F154" s="6788"/>
      <c r="G154" s="6789"/>
      <c r="H154" s="6790"/>
      <c r="I154" s="6786"/>
      <c r="J154" s="6791"/>
      <c r="K154" s="6792"/>
      <c r="L154" s="6791"/>
      <c r="M154" s="6785"/>
      <c r="N154" s="6793"/>
      <c r="O154" s="6794"/>
      <c r="P154" s="6795"/>
      <c r="Q154" s="6796"/>
      <c r="R154" s="6797"/>
      <c r="S154" s="6798"/>
      <c r="T154" s="6765"/>
      <c r="U154" s="1021"/>
      <c r="V154" s="6787"/>
      <c r="W154" s="6787"/>
      <c r="X154" s="6787"/>
      <c r="Y154" s="6788"/>
      <c r="Z154" s="6789"/>
      <c r="AA154" s="6790"/>
      <c r="AB154" s="6786"/>
      <c r="AC154" s="6791"/>
      <c r="AD154" s="6792"/>
      <c r="AE154" s="6791"/>
      <c r="AF154" s="6785"/>
      <c r="AG154" s="6793"/>
      <c r="AH154" s="6794"/>
      <c r="AI154" s="6795"/>
      <c r="AJ154" s="6796"/>
      <c r="AK154" s="6797"/>
      <c r="AL154" s="6798"/>
      <c r="AM154" s="6765"/>
      <c r="AN154" s="1021"/>
      <c r="AO154" s="6787"/>
      <c r="AP154" s="6787"/>
      <c r="AQ154" s="6787"/>
      <c r="AR154" s="6788"/>
      <c r="AS154" s="6789"/>
      <c r="AT154" s="6790"/>
      <c r="AU154" s="6786"/>
      <c r="AV154" s="6791"/>
      <c r="AW154" s="6792"/>
      <c r="AX154" s="6791"/>
      <c r="AY154" s="6785"/>
      <c r="AZ154" s="6793"/>
      <c r="BA154" s="6794"/>
      <c r="BB154" s="6795"/>
      <c r="BC154" s="6796"/>
      <c r="BD154" s="6797"/>
      <c r="BE154" s="6798"/>
      <c r="BH154" s="5">
        <v>1</v>
      </c>
    </row>
    <row r="155" spans="2:60" ht="27" customHeight="1">
      <c r="B155" s="1021"/>
      <c r="C155" s="6787"/>
      <c r="D155" s="6787"/>
      <c r="E155" s="6787"/>
      <c r="F155" s="6788"/>
      <c r="G155" s="6789"/>
      <c r="H155" s="6790"/>
      <c r="I155" s="6786"/>
      <c r="J155" s="6791"/>
      <c r="K155" s="6792"/>
      <c r="L155" s="6791"/>
      <c r="M155" s="6785"/>
      <c r="N155" s="6793"/>
      <c r="O155" s="6794"/>
      <c r="P155" s="6795"/>
      <c r="Q155" s="6796"/>
      <c r="R155" s="6797"/>
      <c r="S155" s="6798"/>
      <c r="T155" s="6765"/>
      <c r="U155" s="1021"/>
      <c r="V155" s="6787"/>
      <c r="W155" s="6787"/>
      <c r="X155" s="6787"/>
      <c r="Y155" s="6788"/>
      <c r="Z155" s="6789"/>
      <c r="AA155" s="6790"/>
      <c r="AB155" s="6786"/>
      <c r="AC155" s="6791"/>
      <c r="AD155" s="6792"/>
      <c r="AE155" s="6791"/>
      <c r="AF155" s="6785"/>
      <c r="AG155" s="6793"/>
      <c r="AH155" s="6794"/>
      <c r="AI155" s="6795"/>
      <c r="AJ155" s="6796"/>
      <c r="AK155" s="6797"/>
      <c r="AL155" s="6798"/>
      <c r="AM155" s="6765"/>
      <c r="AN155" s="1021"/>
      <c r="AO155" s="6787"/>
      <c r="AP155" s="6787"/>
      <c r="AQ155" s="6787"/>
      <c r="AR155" s="6788"/>
      <c r="AS155" s="6789"/>
      <c r="AT155" s="6790"/>
      <c r="AU155" s="6786"/>
      <c r="AV155" s="6791"/>
      <c r="AW155" s="6792"/>
      <c r="AX155" s="6791"/>
      <c r="AY155" s="6785"/>
      <c r="AZ155" s="6793"/>
      <c r="BA155" s="6794"/>
      <c r="BB155" s="6795"/>
      <c r="BC155" s="6796"/>
      <c r="BD155" s="6797"/>
      <c r="BE155" s="6798"/>
      <c r="BH155" s="5">
        <v>1</v>
      </c>
    </row>
    <row r="156" spans="2:60" ht="27" customHeight="1">
      <c r="B156" s="1021"/>
      <c r="C156" s="6787"/>
      <c r="D156" s="6787"/>
      <c r="E156" s="6787"/>
      <c r="F156" s="6788"/>
      <c r="G156" s="6789"/>
      <c r="H156" s="6790"/>
      <c r="I156" s="6786"/>
      <c r="J156" s="6791"/>
      <c r="K156" s="6792"/>
      <c r="L156" s="6791"/>
      <c r="M156" s="6785"/>
      <c r="N156" s="6793"/>
      <c r="O156" s="6794"/>
      <c r="P156" s="6795"/>
      <c r="Q156" s="6796"/>
      <c r="R156" s="6797"/>
      <c r="S156" s="6798"/>
      <c r="T156" s="6765"/>
      <c r="U156" s="1021"/>
      <c r="V156" s="6787"/>
      <c r="W156" s="6787"/>
      <c r="X156" s="6787"/>
      <c r="Y156" s="6788"/>
      <c r="Z156" s="6789"/>
      <c r="AA156" s="6790"/>
      <c r="AB156" s="6786"/>
      <c r="AC156" s="6791"/>
      <c r="AD156" s="6792"/>
      <c r="AE156" s="6791"/>
      <c r="AF156" s="6785"/>
      <c r="AG156" s="6793"/>
      <c r="AH156" s="6794"/>
      <c r="AI156" s="6795"/>
      <c r="AJ156" s="6796"/>
      <c r="AK156" s="6797"/>
      <c r="AL156" s="6798"/>
      <c r="AM156" s="6765"/>
      <c r="AN156" s="1021"/>
      <c r="AO156" s="6787"/>
      <c r="AP156" s="6787"/>
      <c r="AQ156" s="6787"/>
      <c r="AR156" s="6788"/>
      <c r="AS156" s="6789"/>
      <c r="AT156" s="6790"/>
      <c r="AU156" s="6786"/>
      <c r="AV156" s="6791"/>
      <c r="AW156" s="6792"/>
      <c r="AX156" s="6791"/>
      <c r="AY156" s="6785"/>
      <c r="AZ156" s="6793"/>
      <c r="BA156" s="6794"/>
      <c r="BB156" s="6795"/>
      <c r="BC156" s="6796"/>
      <c r="BD156" s="6797"/>
      <c r="BE156" s="6798"/>
      <c r="BH156" s="5">
        <v>1</v>
      </c>
    </row>
    <row r="157" spans="2:60" ht="27" customHeight="1">
      <c r="B157" s="1021"/>
      <c r="C157" s="6787"/>
      <c r="D157" s="6787"/>
      <c r="E157" s="6787"/>
      <c r="F157" s="6788"/>
      <c r="G157" s="6789"/>
      <c r="H157" s="6790"/>
      <c r="I157" s="6786"/>
      <c r="J157" s="6791"/>
      <c r="K157" s="6792"/>
      <c r="L157" s="6791"/>
      <c r="M157" s="6785"/>
      <c r="N157" s="6793"/>
      <c r="O157" s="6794"/>
      <c r="P157" s="6795"/>
      <c r="Q157" s="6796"/>
      <c r="R157" s="6797"/>
      <c r="S157" s="6798"/>
      <c r="T157" s="6765"/>
      <c r="U157" s="1021"/>
      <c r="V157" s="6787"/>
      <c r="W157" s="6787"/>
      <c r="X157" s="6787"/>
      <c r="Y157" s="6788"/>
      <c r="Z157" s="6789"/>
      <c r="AA157" s="6790"/>
      <c r="AB157" s="6786"/>
      <c r="AC157" s="6791"/>
      <c r="AD157" s="6792"/>
      <c r="AE157" s="6791"/>
      <c r="AF157" s="6785"/>
      <c r="AG157" s="6793"/>
      <c r="AH157" s="6794"/>
      <c r="AI157" s="6795"/>
      <c r="AJ157" s="6796"/>
      <c r="AK157" s="6797"/>
      <c r="AL157" s="6798"/>
      <c r="AM157" s="6765"/>
      <c r="AN157" s="1021"/>
      <c r="AO157" s="6787"/>
      <c r="AP157" s="6787"/>
      <c r="AQ157" s="6787"/>
      <c r="AR157" s="6788"/>
      <c r="AS157" s="6789"/>
      <c r="AT157" s="6790"/>
      <c r="AU157" s="6786"/>
      <c r="AV157" s="6791"/>
      <c r="AW157" s="6792"/>
      <c r="AX157" s="6791"/>
      <c r="AY157" s="6785"/>
      <c r="AZ157" s="6793"/>
      <c r="BA157" s="6794"/>
      <c r="BB157" s="6795"/>
      <c r="BC157" s="6796"/>
      <c r="BD157" s="6797"/>
      <c r="BE157" s="6798"/>
      <c r="BH157" s="5">
        <v>1</v>
      </c>
    </row>
    <row r="158" spans="2:60" ht="27" customHeight="1">
      <c r="B158" s="1021"/>
      <c r="C158" s="6787"/>
      <c r="D158" s="6787"/>
      <c r="E158" s="6787"/>
      <c r="F158" s="6788"/>
      <c r="G158" s="6789"/>
      <c r="H158" s="6790"/>
      <c r="I158" s="6786"/>
      <c r="J158" s="6791"/>
      <c r="K158" s="6792"/>
      <c r="L158" s="6791"/>
      <c r="M158" s="6785"/>
      <c r="N158" s="6793"/>
      <c r="O158" s="6794"/>
      <c r="P158" s="6795"/>
      <c r="Q158" s="6796"/>
      <c r="R158" s="6797"/>
      <c r="S158" s="6798"/>
      <c r="T158" s="6765"/>
      <c r="U158" s="1021"/>
      <c r="V158" s="6787"/>
      <c r="W158" s="6787"/>
      <c r="X158" s="6787"/>
      <c r="Y158" s="6788"/>
      <c r="Z158" s="6789"/>
      <c r="AA158" s="6790"/>
      <c r="AB158" s="6786"/>
      <c r="AC158" s="6791"/>
      <c r="AD158" s="6792"/>
      <c r="AE158" s="6791"/>
      <c r="AF158" s="6785"/>
      <c r="AG158" s="6793"/>
      <c r="AH158" s="6794"/>
      <c r="AI158" s="6795"/>
      <c r="AJ158" s="6796"/>
      <c r="AK158" s="6797"/>
      <c r="AL158" s="6798"/>
      <c r="AM158" s="6765"/>
      <c r="AN158" s="1021"/>
      <c r="AO158" s="6787"/>
      <c r="AP158" s="6787"/>
      <c r="AQ158" s="6787"/>
      <c r="AR158" s="6788"/>
      <c r="AS158" s="6789"/>
      <c r="AT158" s="6790"/>
      <c r="AU158" s="6786"/>
      <c r="AV158" s="6791"/>
      <c r="AW158" s="6792"/>
      <c r="AX158" s="6791"/>
      <c r="AY158" s="6785"/>
      <c r="AZ158" s="6793"/>
      <c r="BA158" s="6794"/>
      <c r="BB158" s="6795"/>
      <c r="BC158" s="6796"/>
      <c r="BD158" s="6797"/>
      <c r="BE158" s="6798"/>
      <c r="BH158" s="5">
        <v>1</v>
      </c>
    </row>
    <row r="159" spans="2:60" ht="27" customHeight="1">
      <c r="B159" s="1021"/>
      <c r="C159" s="6787"/>
      <c r="D159" s="6787"/>
      <c r="E159" s="6787"/>
      <c r="F159" s="6788"/>
      <c r="G159" s="6789"/>
      <c r="H159" s="6790"/>
      <c r="I159" s="6786"/>
      <c r="J159" s="6791"/>
      <c r="K159" s="6792"/>
      <c r="L159" s="6791"/>
      <c r="M159" s="6785"/>
      <c r="N159" s="6793"/>
      <c r="O159" s="6794"/>
      <c r="P159" s="6795"/>
      <c r="Q159" s="6796"/>
      <c r="R159" s="6797"/>
      <c r="S159" s="6798"/>
      <c r="T159" s="6765"/>
      <c r="U159" s="1021"/>
      <c r="V159" s="6787"/>
      <c r="W159" s="6787"/>
      <c r="X159" s="6787"/>
      <c r="Y159" s="6788"/>
      <c r="Z159" s="6789"/>
      <c r="AA159" s="6790"/>
      <c r="AB159" s="6786"/>
      <c r="AC159" s="6791"/>
      <c r="AD159" s="6792"/>
      <c r="AE159" s="6791"/>
      <c r="AF159" s="6785"/>
      <c r="AG159" s="6793"/>
      <c r="AH159" s="6794"/>
      <c r="AI159" s="6795"/>
      <c r="AJ159" s="6796"/>
      <c r="AK159" s="6797"/>
      <c r="AL159" s="6798"/>
      <c r="AM159" s="6765"/>
      <c r="AN159" s="1021"/>
      <c r="AO159" s="6787"/>
      <c r="AP159" s="6787"/>
      <c r="AQ159" s="6787"/>
      <c r="AR159" s="6788"/>
      <c r="AS159" s="6789"/>
      <c r="AT159" s="6790"/>
      <c r="AU159" s="6786"/>
      <c r="AV159" s="6791"/>
      <c r="AW159" s="6792"/>
      <c r="AX159" s="6791"/>
      <c r="AY159" s="6785"/>
      <c r="AZ159" s="6793"/>
      <c r="BA159" s="6794"/>
      <c r="BB159" s="6795"/>
      <c r="BC159" s="6796"/>
      <c r="BD159" s="6797"/>
      <c r="BE159" s="6798"/>
      <c r="BH159" s="5">
        <v>1</v>
      </c>
    </row>
    <row r="160" spans="2:60" ht="27" customHeight="1">
      <c r="B160" s="1021"/>
      <c r="C160" s="6787"/>
      <c r="D160" s="6787"/>
      <c r="E160" s="6787"/>
      <c r="F160" s="6788"/>
      <c r="G160" s="6789"/>
      <c r="H160" s="6790"/>
      <c r="I160" s="6786"/>
      <c r="J160" s="6791"/>
      <c r="K160" s="6792"/>
      <c r="L160" s="6791"/>
      <c r="M160" s="6785"/>
      <c r="N160" s="6793"/>
      <c r="O160" s="6794"/>
      <c r="P160" s="6795"/>
      <c r="Q160" s="6796"/>
      <c r="R160" s="6797"/>
      <c r="S160" s="6798"/>
      <c r="T160" s="6765"/>
      <c r="U160" s="1021"/>
      <c r="V160" s="6787"/>
      <c r="W160" s="6787"/>
      <c r="X160" s="6787"/>
      <c r="Y160" s="6788"/>
      <c r="Z160" s="6789"/>
      <c r="AA160" s="6790"/>
      <c r="AB160" s="6786"/>
      <c r="AC160" s="6791"/>
      <c r="AD160" s="6792"/>
      <c r="AE160" s="6791"/>
      <c r="AF160" s="6785"/>
      <c r="AG160" s="6793"/>
      <c r="AH160" s="6794"/>
      <c r="AI160" s="6795"/>
      <c r="AJ160" s="6796"/>
      <c r="AK160" s="6797"/>
      <c r="AL160" s="6798"/>
      <c r="AM160" s="6765"/>
      <c r="AN160" s="1021"/>
      <c r="AO160" s="6787"/>
      <c r="AP160" s="6787"/>
      <c r="AQ160" s="6787"/>
      <c r="AR160" s="6788"/>
      <c r="AS160" s="6789"/>
      <c r="AT160" s="6790"/>
      <c r="AU160" s="6786"/>
      <c r="AV160" s="6791"/>
      <c r="AW160" s="6792"/>
      <c r="AX160" s="6791"/>
      <c r="AY160" s="6785"/>
      <c r="AZ160" s="6793"/>
      <c r="BA160" s="6794"/>
      <c r="BB160" s="6795"/>
      <c r="BC160" s="6796"/>
      <c r="BD160" s="6797"/>
      <c r="BE160" s="6798"/>
      <c r="BH160" s="5">
        <v>1</v>
      </c>
    </row>
    <row r="161" spans="2:60" ht="27" customHeight="1">
      <c r="B161" s="1021"/>
      <c r="C161" s="6787"/>
      <c r="D161" s="6787"/>
      <c r="E161" s="6787"/>
      <c r="F161" s="6788"/>
      <c r="G161" s="6789"/>
      <c r="H161" s="6790"/>
      <c r="I161" s="6786"/>
      <c r="J161" s="6791"/>
      <c r="K161" s="6792"/>
      <c r="L161" s="6791"/>
      <c r="M161" s="6785"/>
      <c r="N161" s="6793"/>
      <c r="O161" s="6794"/>
      <c r="P161" s="6795"/>
      <c r="Q161" s="6796"/>
      <c r="R161" s="6797"/>
      <c r="S161" s="6798"/>
      <c r="T161" s="6765"/>
      <c r="U161" s="1021"/>
      <c r="V161" s="6787"/>
      <c r="W161" s="6787"/>
      <c r="X161" s="6787"/>
      <c r="Y161" s="6788"/>
      <c r="Z161" s="6789"/>
      <c r="AA161" s="6790"/>
      <c r="AB161" s="6786"/>
      <c r="AC161" s="6791"/>
      <c r="AD161" s="6792"/>
      <c r="AE161" s="6791"/>
      <c r="AF161" s="6785"/>
      <c r="AG161" s="6793"/>
      <c r="AH161" s="6794"/>
      <c r="AI161" s="6795"/>
      <c r="AJ161" s="6796"/>
      <c r="AK161" s="6797"/>
      <c r="AL161" s="6798"/>
      <c r="AM161" s="6765"/>
      <c r="AN161" s="1021"/>
      <c r="AO161" s="6787"/>
      <c r="AP161" s="6787"/>
      <c r="AQ161" s="6787"/>
      <c r="AR161" s="6788"/>
      <c r="AS161" s="6789"/>
      <c r="AT161" s="6790"/>
      <c r="AU161" s="6786"/>
      <c r="AV161" s="6791"/>
      <c r="AW161" s="6792"/>
      <c r="AX161" s="6791"/>
      <c r="AY161" s="6785"/>
      <c r="AZ161" s="6793"/>
      <c r="BA161" s="6794"/>
      <c r="BB161" s="6795"/>
      <c r="BC161" s="6796"/>
      <c r="BD161" s="6797"/>
      <c r="BE161" s="6798"/>
      <c r="BH161" s="5">
        <v>1</v>
      </c>
    </row>
    <row r="162" spans="2:60" ht="27" customHeight="1">
      <c r="B162" s="1021"/>
      <c r="C162" s="6787"/>
      <c r="D162" s="6787"/>
      <c r="E162" s="6787"/>
      <c r="F162" s="6788"/>
      <c r="G162" s="6789"/>
      <c r="H162" s="6790"/>
      <c r="I162" s="6786"/>
      <c r="J162" s="6791"/>
      <c r="K162" s="6792"/>
      <c r="L162" s="6791"/>
      <c r="M162" s="6785"/>
      <c r="N162" s="6793"/>
      <c r="O162" s="6794"/>
      <c r="P162" s="6795"/>
      <c r="Q162" s="6796"/>
      <c r="R162" s="6797"/>
      <c r="S162" s="6798"/>
      <c r="T162" s="6765"/>
      <c r="U162" s="1021"/>
      <c r="V162" s="6787"/>
      <c r="W162" s="6787"/>
      <c r="X162" s="6787"/>
      <c r="Y162" s="6788"/>
      <c r="Z162" s="6789"/>
      <c r="AA162" s="6790"/>
      <c r="AB162" s="6786"/>
      <c r="AC162" s="6791"/>
      <c r="AD162" s="6792"/>
      <c r="AE162" s="6791"/>
      <c r="AF162" s="6785"/>
      <c r="AG162" s="6793"/>
      <c r="AH162" s="6794"/>
      <c r="AI162" s="6795"/>
      <c r="AJ162" s="6796"/>
      <c r="AK162" s="6797"/>
      <c r="AL162" s="6798"/>
      <c r="AM162" s="6765"/>
      <c r="AN162" s="1021"/>
      <c r="AO162" s="6787"/>
      <c r="AP162" s="6787"/>
      <c r="AQ162" s="6787"/>
      <c r="AR162" s="6788"/>
      <c r="AS162" s="6789"/>
      <c r="AT162" s="6790"/>
      <c r="AU162" s="6786"/>
      <c r="AV162" s="6791"/>
      <c r="AW162" s="6792"/>
      <c r="AX162" s="6791"/>
      <c r="AY162" s="6785"/>
      <c r="AZ162" s="6793"/>
      <c r="BA162" s="6794"/>
      <c r="BB162" s="6795"/>
      <c r="BC162" s="6796"/>
      <c r="BD162" s="6797"/>
      <c r="BE162" s="6798"/>
      <c r="BH162" s="5">
        <v>1</v>
      </c>
    </row>
    <row r="163" spans="2:60" ht="27" customHeight="1">
      <c r="B163" s="1021"/>
      <c r="C163" s="6787"/>
      <c r="D163" s="6787"/>
      <c r="E163" s="6787"/>
      <c r="F163" s="6788"/>
      <c r="G163" s="6789"/>
      <c r="H163" s="6790"/>
      <c r="I163" s="6786"/>
      <c r="J163" s="6791"/>
      <c r="K163" s="6792"/>
      <c r="L163" s="6791"/>
      <c r="M163" s="6785"/>
      <c r="N163" s="6793"/>
      <c r="O163" s="6794"/>
      <c r="P163" s="6795"/>
      <c r="Q163" s="6796"/>
      <c r="R163" s="6797"/>
      <c r="S163" s="6798"/>
      <c r="T163" s="6765"/>
      <c r="U163" s="1021"/>
      <c r="V163" s="6787"/>
      <c r="W163" s="6787"/>
      <c r="X163" s="6787"/>
      <c r="Y163" s="6788"/>
      <c r="Z163" s="6789"/>
      <c r="AA163" s="6790"/>
      <c r="AB163" s="6786"/>
      <c r="AC163" s="6791"/>
      <c r="AD163" s="6792"/>
      <c r="AE163" s="6791"/>
      <c r="AF163" s="6785"/>
      <c r="AG163" s="6793"/>
      <c r="AH163" s="6794"/>
      <c r="AI163" s="6795"/>
      <c r="AJ163" s="6796"/>
      <c r="AK163" s="6797"/>
      <c r="AL163" s="6798"/>
      <c r="AM163" s="6765"/>
      <c r="AN163" s="1021"/>
      <c r="AO163" s="6787"/>
      <c r="AP163" s="6787"/>
      <c r="AQ163" s="6787"/>
      <c r="AR163" s="6788"/>
      <c r="AS163" s="6789"/>
      <c r="AT163" s="6790"/>
      <c r="AU163" s="6786"/>
      <c r="AV163" s="6791"/>
      <c r="AW163" s="6792"/>
      <c r="AX163" s="6791"/>
      <c r="AY163" s="6785"/>
      <c r="AZ163" s="6793"/>
      <c r="BA163" s="6794"/>
      <c r="BB163" s="6795"/>
      <c r="BC163" s="6796"/>
      <c r="BD163" s="6797"/>
      <c r="BE163" s="6798"/>
      <c r="BH163" s="5">
        <v>1</v>
      </c>
    </row>
    <row r="164" spans="2:60" ht="27" customHeight="1">
      <c r="B164" s="1021"/>
      <c r="C164" s="6787"/>
      <c r="D164" s="6787"/>
      <c r="E164" s="6787"/>
      <c r="F164" s="6788"/>
      <c r="G164" s="6789"/>
      <c r="H164" s="6790"/>
      <c r="I164" s="6786"/>
      <c r="J164" s="6791"/>
      <c r="K164" s="6792"/>
      <c r="L164" s="6791"/>
      <c r="M164" s="6785"/>
      <c r="N164" s="6793"/>
      <c r="O164" s="6794"/>
      <c r="P164" s="6795"/>
      <c r="Q164" s="6796"/>
      <c r="R164" s="6797"/>
      <c r="S164" s="6798"/>
      <c r="T164" s="6765"/>
      <c r="U164" s="1021"/>
      <c r="V164" s="6787"/>
      <c r="W164" s="6787"/>
      <c r="X164" s="6787"/>
      <c r="Y164" s="6788"/>
      <c r="Z164" s="6789"/>
      <c r="AA164" s="6790"/>
      <c r="AB164" s="6786"/>
      <c r="AC164" s="6791"/>
      <c r="AD164" s="6792"/>
      <c r="AE164" s="6791"/>
      <c r="AF164" s="6785"/>
      <c r="AG164" s="6793"/>
      <c r="AH164" s="6794"/>
      <c r="AI164" s="6795"/>
      <c r="AJ164" s="6796"/>
      <c r="AK164" s="6797"/>
      <c r="AL164" s="6798"/>
      <c r="AM164" s="6765"/>
      <c r="AN164" s="1021"/>
      <c r="AO164" s="6787"/>
      <c r="AP164" s="6787"/>
      <c r="AQ164" s="6787"/>
      <c r="AR164" s="6788"/>
      <c r="AS164" s="6789"/>
      <c r="AT164" s="6790"/>
      <c r="AU164" s="6786"/>
      <c r="AV164" s="6791"/>
      <c r="AW164" s="6792"/>
      <c r="AX164" s="6791"/>
      <c r="AY164" s="6785"/>
      <c r="AZ164" s="6793"/>
      <c r="BA164" s="6794"/>
      <c r="BB164" s="6795"/>
      <c r="BC164" s="6796"/>
      <c r="BD164" s="6797"/>
      <c r="BE164" s="6798"/>
      <c r="BH164" s="5">
        <v>1</v>
      </c>
    </row>
    <row r="165" spans="2:60" ht="27" customHeight="1">
      <c r="B165" s="1021"/>
      <c r="C165" s="6787"/>
      <c r="D165" s="6787"/>
      <c r="E165" s="6787"/>
      <c r="F165" s="6788"/>
      <c r="G165" s="6789"/>
      <c r="H165" s="6790"/>
      <c r="I165" s="6786"/>
      <c r="J165" s="6791"/>
      <c r="K165" s="6792"/>
      <c r="L165" s="6791"/>
      <c r="M165" s="6785"/>
      <c r="N165" s="6793"/>
      <c r="O165" s="6794"/>
      <c r="P165" s="6795"/>
      <c r="Q165" s="6796"/>
      <c r="R165" s="6797"/>
      <c r="S165" s="6798"/>
      <c r="T165" s="6765"/>
      <c r="U165" s="1021"/>
      <c r="V165" s="6787"/>
      <c r="W165" s="6787"/>
      <c r="X165" s="6787"/>
      <c r="Y165" s="6788"/>
      <c r="Z165" s="6789"/>
      <c r="AA165" s="6790"/>
      <c r="AB165" s="6786"/>
      <c r="AC165" s="6791"/>
      <c r="AD165" s="6792"/>
      <c r="AE165" s="6791"/>
      <c r="AF165" s="6785"/>
      <c r="AG165" s="6793"/>
      <c r="AH165" s="6794"/>
      <c r="AI165" s="6795"/>
      <c r="AJ165" s="6796"/>
      <c r="AK165" s="6797"/>
      <c r="AL165" s="6798"/>
      <c r="AM165" s="6765"/>
      <c r="AN165" s="1021"/>
      <c r="AO165" s="6787"/>
      <c r="AP165" s="6787"/>
      <c r="AQ165" s="6787"/>
      <c r="AR165" s="6788"/>
      <c r="AS165" s="6789"/>
      <c r="AT165" s="6790"/>
      <c r="AU165" s="6786"/>
      <c r="AV165" s="6791"/>
      <c r="AW165" s="6792"/>
      <c r="AX165" s="6791"/>
      <c r="AY165" s="6785"/>
      <c r="AZ165" s="6793"/>
      <c r="BA165" s="6794"/>
      <c r="BB165" s="6795"/>
      <c r="BC165" s="6796"/>
      <c r="BD165" s="6797"/>
      <c r="BE165" s="6798"/>
      <c r="BH165" s="5">
        <v>1</v>
      </c>
    </row>
    <row r="166" spans="2:60" ht="27" customHeight="1">
      <c r="B166" s="1021"/>
      <c r="C166" s="6787"/>
      <c r="D166" s="6787"/>
      <c r="E166" s="6787"/>
      <c r="F166" s="6788"/>
      <c r="G166" s="6789"/>
      <c r="H166" s="6790"/>
      <c r="I166" s="6786"/>
      <c r="J166" s="6791"/>
      <c r="K166" s="6792"/>
      <c r="L166" s="6791"/>
      <c r="M166" s="6785"/>
      <c r="N166" s="6793"/>
      <c r="O166" s="6794"/>
      <c r="P166" s="6795"/>
      <c r="Q166" s="6796"/>
      <c r="R166" s="6797"/>
      <c r="S166" s="6798"/>
      <c r="T166" s="6765"/>
      <c r="U166" s="1021"/>
      <c r="V166" s="6787"/>
      <c r="W166" s="6787"/>
      <c r="X166" s="6787"/>
      <c r="Y166" s="6788"/>
      <c r="Z166" s="6789"/>
      <c r="AA166" s="6790"/>
      <c r="AB166" s="6786"/>
      <c r="AC166" s="6791"/>
      <c r="AD166" s="6792"/>
      <c r="AE166" s="6791"/>
      <c r="AF166" s="6785"/>
      <c r="AG166" s="6793"/>
      <c r="AH166" s="6794"/>
      <c r="AI166" s="6795"/>
      <c r="AJ166" s="6796"/>
      <c r="AK166" s="6797"/>
      <c r="AL166" s="6798"/>
      <c r="AM166" s="6765"/>
      <c r="AN166" s="1021"/>
      <c r="AO166" s="6787"/>
      <c r="AP166" s="6787"/>
      <c r="AQ166" s="6787"/>
      <c r="AR166" s="6788"/>
      <c r="AS166" s="6789"/>
      <c r="AT166" s="6790"/>
      <c r="AU166" s="6786"/>
      <c r="AV166" s="6791"/>
      <c r="AW166" s="6792"/>
      <c r="AX166" s="6791"/>
      <c r="AY166" s="6785"/>
      <c r="AZ166" s="6793"/>
      <c r="BA166" s="6794"/>
      <c r="BB166" s="6795"/>
      <c r="BC166" s="6796"/>
      <c r="BD166" s="6797"/>
      <c r="BE166" s="6798"/>
      <c r="BH166" s="5">
        <v>1</v>
      </c>
    </row>
    <row r="167" spans="2:60" ht="27" customHeight="1">
      <c r="B167" s="1021"/>
      <c r="C167" s="6787"/>
      <c r="D167" s="6787"/>
      <c r="E167" s="6787"/>
      <c r="F167" s="6788"/>
      <c r="G167" s="6789"/>
      <c r="H167" s="6790"/>
      <c r="I167" s="6786"/>
      <c r="J167" s="6791"/>
      <c r="K167" s="6792"/>
      <c r="L167" s="6791"/>
      <c r="M167" s="6785"/>
      <c r="N167" s="6793"/>
      <c r="O167" s="6794"/>
      <c r="P167" s="6795"/>
      <c r="Q167" s="6796"/>
      <c r="R167" s="6797"/>
      <c r="S167" s="6798"/>
      <c r="T167" s="6765"/>
      <c r="U167" s="1021"/>
      <c r="V167" s="6787"/>
      <c r="W167" s="6787"/>
      <c r="X167" s="6787"/>
      <c r="Y167" s="6788"/>
      <c r="Z167" s="6789"/>
      <c r="AA167" s="6790"/>
      <c r="AB167" s="6786"/>
      <c r="AC167" s="6791"/>
      <c r="AD167" s="6792"/>
      <c r="AE167" s="6791"/>
      <c r="AF167" s="6785"/>
      <c r="AG167" s="6793"/>
      <c r="AH167" s="6794"/>
      <c r="AI167" s="6795"/>
      <c r="AJ167" s="6796"/>
      <c r="AK167" s="6797"/>
      <c r="AL167" s="6798"/>
      <c r="AM167" s="6765"/>
      <c r="AN167" s="1021"/>
      <c r="AO167" s="6787"/>
      <c r="AP167" s="6787"/>
      <c r="AQ167" s="6787"/>
      <c r="AR167" s="6788"/>
      <c r="AS167" s="6789"/>
      <c r="AT167" s="6790"/>
      <c r="AU167" s="6786"/>
      <c r="AV167" s="6791"/>
      <c r="AW167" s="6792"/>
      <c r="AX167" s="6791"/>
      <c r="AY167" s="6785"/>
      <c r="AZ167" s="6793"/>
      <c r="BA167" s="6794"/>
      <c r="BB167" s="6795"/>
      <c r="BC167" s="6796"/>
      <c r="BD167" s="6797"/>
      <c r="BE167" s="6798"/>
      <c r="BH167" s="5">
        <v>1</v>
      </c>
    </row>
    <row r="168" spans="2:60" ht="27" customHeight="1">
      <c r="B168" s="1021"/>
      <c r="C168" s="6787"/>
      <c r="D168" s="6787"/>
      <c r="E168" s="6787"/>
      <c r="F168" s="6788"/>
      <c r="G168" s="6789"/>
      <c r="H168" s="6790"/>
      <c r="I168" s="6786"/>
      <c r="J168" s="6791"/>
      <c r="K168" s="6792"/>
      <c r="L168" s="6791"/>
      <c r="M168" s="6785"/>
      <c r="N168" s="6793"/>
      <c r="O168" s="6794"/>
      <c r="P168" s="6795"/>
      <c r="Q168" s="6796"/>
      <c r="R168" s="6797"/>
      <c r="S168" s="6798"/>
      <c r="T168" s="6765"/>
      <c r="U168" s="1021"/>
      <c r="V168" s="6787"/>
      <c r="W168" s="6787"/>
      <c r="X168" s="6787"/>
      <c r="Y168" s="6788"/>
      <c r="Z168" s="6789"/>
      <c r="AA168" s="6790"/>
      <c r="AB168" s="6786"/>
      <c r="AC168" s="6791"/>
      <c r="AD168" s="6792"/>
      <c r="AE168" s="6791"/>
      <c r="AF168" s="6785"/>
      <c r="AG168" s="6793"/>
      <c r="AH168" s="6794"/>
      <c r="AI168" s="6795"/>
      <c r="AJ168" s="6796"/>
      <c r="AK168" s="6797"/>
      <c r="AL168" s="6798"/>
      <c r="AM168" s="6765"/>
      <c r="AN168" s="1021"/>
      <c r="AO168" s="6787"/>
      <c r="AP168" s="6787"/>
      <c r="AQ168" s="6787"/>
      <c r="AR168" s="6788"/>
      <c r="AS168" s="6789"/>
      <c r="AT168" s="6790"/>
      <c r="AU168" s="6786"/>
      <c r="AV168" s="6791"/>
      <c r="AW168" s="6792"/>
      <c r="AX168" s="6791"/>
      <c r="AY168" s="6785"/>
      <c r="AZ168" s="6793"/>
      <c r="BA168" s="6794"/>
      <c r="BB168" s="6795"/>
      <c r="BC168" s="6796"/>
      <c r="BD168" s="6797"/>
      <c r="BE168" s="6798"/>
      <c r="BH168" s="5">
        <v>1</v>
      </c>
    </row>
    <row r="169" spans="2:60" ht="27" customHeight="1">
      <c r="B169" s="1021"/>
      <c r="C169" s="6787"/>
      <c r="D169" s="6787"/>
      <c r="E169" s="6787"/>
      <c r="F169" s="6788"/>
      <c r="G169" s="6789"/>
      <c r="H169" s="6790"/>
      <c r="I169" s="6786"/>
      <c r="J169" s="6791"/>
      <c r="K169" s="6792"/>
      <c r="L169" s="6791"/>
      <c r="M169" s="6785"/>
      <c r="N169" s="6793"/>
      <c r="O169" s="6794"/>
      <c r="P169" s="6795"/>
      <c r="Q169" s="6796"/>
      <c r="R169" s="6797"/>
      <c r="S169" s="6798"/>
      <c r="T169" s="6765"/>
      <c r="U169" s="1021"/>
      <c r="V169" s="6787"/>
      <c r="W169" s="6787"/>
      <c r="X169" s="6787"/>
      <c r="Y169" s="6788"/>
      <c r="Z169" s="6789"/>
      <c r="AA169" s="6790"/>
      <c r="AB169" s="6786"/>
      <c r="AC169" s="6791"/>
      <c r="AD169" s="6792"/>
      <c r="AE169" s="6791"/>
      <c r="AF169" s="6785"/>
      <c r="AG169" s="6793"/>
      <c r="AH169" s="6794"/>
      <c r="AI169" s="6795"/>
      <c r="AJ169" s="6796"/>
      <c r="AK169" s="6797"/>
      <c r="AL169" s="6798"/>
      <c r="AM169" s="6765"/>
      <c r="AN169" s="1021"/>
      <c r="AO169" s="6787"/>
      <c r="AP169" s="6787"/>
      <c r="AQ169" s="6787"/>
      <c r="AR169" s="6788"/>
      <c r="AS169" s="6789"/>
      <c r="AT169" s="6790"/>
      <c r="AU169" s="6786"/>
      <c r="AV169" s="6791"/>
      <c r="AW169" s="6792"/>
      <c r="AX169" s="6791"/>
      <c r="AY169" s="6785"/>
      <c r="AZ169" s="6793"/>
      <c r="BA169" s="6794"/>
      <c r="BB169" s="6795"/>
      <c r="BC169" s="6796"/>
      <c r="BD169" s="6797"/>
      <c r="BE169" s="6798"/>
      <c r="BH169" s="5">
        <v>1</v>
      </c>
    </row>
    <row r="170" spans="2:60" ht="27" customHeight="1">
      <c r="B170" s="1021"/>
      <c r="C170" s="6787"/>
      <c r="D170" s="6787"/>
      <c r="E170" s="6787"/>
      <c r="F170" s="6788"/>
      <c r="G170" s="6789"/>
      <c r="H170" s="6790"/>
      <c r="I170" s="6786"/>
      <c r="J170" s="6791"/>
      <c r="K170" s="6792"/>
      <c r="L170" s="6791"/>
      <c r="M170" s="6785"/>
      <c r="N170" s="6793"/>
      <c r="O170" s="6794"/>
      <c r="P170" s="6795"/>
      <c r="Q170" s="6796"/>
      <c r="R170" s="6797"/>
      <c r="S170" s="6798"/>
      <c r="T170" s="6765"/>
      <c r="U170" s="1021"/>
      <c r="V170" s="6787"/>
      <c r="W170" s="6787"/>
      <c r="X170" s="6787"/>
      <c r="Y170" s="6788"/>
      <c r="Z170" s="6789"/>
      <c r="AA170" s="6790"/>
      <c r="AB170" s="6786"/>
      <c r="AC170" s="6791"/>
      <c r="AD170" s="6792"/>
      <c r="AE170" s="6791"/>
      <c r="AF170" s="6785"/>
      <c r="AG170" s="6793"/>
      <c r="AH170" s="6794"/>
      <c r="AI170" s="6795"/>
      <c r="AJ170" s="6796"/>
      <c r="AK170" s="6797"/>
      <c r="AL170" s="6798"/>
      <c r="AM170" s="6765"/>
      <c r="AN170" s="1021"/>
      <c r="AO170" s="6787"/>
      <c r="AP170" s="6787"/>
      <c r="AQ170" s="6787"/>
      <c r="AR170" s="6788"/>
      <c r="AS170" s="6789"/>
      <c r="AT170" s="6790"/>
      <c r="AU170" s="6786"/>
      <c r="AV170" s="6791"/>
      <c r="AW170" s="6792"/>
      <c r="AX170" s="6791"/>
      <c r="AY170" s="6785"/>
      <c r="AZ170" s="6793"/>
      <c r="BA170" s="6794"/>
      <c r="BB170" s="6795"/>
      <c r="BC170" s="6796"/>
      <c r="BD170" s="6797"/>
      <c r="BE170" s="6798"/>
      <c r="BH170" s="5">
        <v>1</v>
      </c>
    </row>
    <row r="171" spans="2:60" ht="27" customHeight="1">
      <c r="B171" s="1021"/>
      <c r="C171" s="6787"/>
      <c r="D171" s="6787"/>
      <c r="E171" s="6787"/>
      <c r="F171" s="6788"/>
      <c r="G171" s="6789"/>
      <c r="H171" s="6790"/>
      <c r="I171" s="6786"/>
      <c r="J171" s="6791"/>
      <c r="K171" s="6792"/>
      <c r="L171" s="6791"/>
      <c r="M171" s="6785"/>
      <c r="N171" s="6793"/>
      <c r="O171" s="6794"/>
      <c r="P171" s="6795"/>
      <c r="Q171" s="6796"/>
      <c r="R171" s="6797"/>
      <c r="S171" s="6798"/>
      <c r="T171" s="6765"/>
      <c r="U171" s="1021"/>
      <c r="V171" s="6787"/>
      <c r="W171" s="6787"/>
      <c r="X171" s="6787"/>
      <c r="Y171" s="6788"/>
      <c r="Z171" s="6789"/>
      <c r="AA171" s="6790"/>
      <c r="AB171" s="6786"/>
      <c r="AC171" s="6791"/>
      <c r="AD171" s="6792"/>
      <c r="AE171" s="6791"/>
      <c r="AF171" s="6785"/>
      <c r="AG171" s="6793"/>
      <c r="AH171" s="6794"/>
      <c r="AI171" s="6795"/>
      <c r="AJ171" s="6796"/>
      <c r="AK171" s="6797"/>
      <c r="AL171" s="6798"/>
      <c r="AM171" s="6765"/>
      <c r="AN171" s="1021"/>
      <c r="AO171" s="6787"/>
      <c r="AP171" s="6787"/>
      <c r="AQ171" s="6787"/>
      <c r="AR171" s="6788"/>
      <c r="AS171" s="6789"/>
      <c r="AT171" s="6790"/>
      <c r="AU171" s="6786"/>
      <c r="AV171" s="6791"/>
      <c r="AW171" s="6792"/>
      <c r="AX171" s="6791"/>
      <c r="AY171" s="6785"/>
      <c r="AZ171" s="6793"/>
      <c r="BA171" s="6794"/>
      <c r="BB171" s="6795"/>
      <c r="BC171" s="6796"/>
      <c r="BD171" s="6797"/>
      <c r="BE171" s="6798"/>
      <c r="BH171" s="5">
        <v>1</v>
      </c>
    </row>
    <row r="172" spans="2:60" ht="27" customHeight="1">
      <c r="B172" s="1021"/>
      <c r="C172" s="6787"/>
      <c r="D172" s="6787"/>
      <c r="E172" s="6787"/>
      <c r="F172" s="6788"/>
      <c r="G172" s="6789"/>
      <c r="H172" s="6790"/>
      <c r="I172" s="6786"/>
      <c r="J172" s="6791"/>
      <c r="K172" s="6792"/>
      <c r="L172" s="6791"/>
      <c r="M172" s="6785"/>
      <c r="N172" s="6793"/>
      <c r="O172" s="6794"/>
      <c r="P172" s="6795"/>
      <c r="Q172" s="6796"/>
      <c r="R172" s="6797"/>
      <c r="S172" s="6798"/>
      <c r="T172" s="6765"/>
      <c r="U172" s="1021"/>
      <c r="V172" s="6787"/>
      <c r="W172" s="6787"/>
      <c r="X172" s="6787"/>
      <c r="Y172" s="6788"/>
      <c r="Z172" s="6789"/>
      <c r="AA172" s="6790"/>
      <c r="AB172" s="6786"/>
      <c r="AC172" s="6791"/>
      <c r="AD172" s="6792"/>
      <c r="AE172" s="6791"/>
      <c r="AF172" s="6785"/>
      <c r="AG172" s="6793"/>
      <c r="AH172" s="6794"/>
      <c r="AI172" s="6795"/>
      <c r="AJ172" s="6796"/>
      <c r="AK172" s="6797"/>
      <c r="AL172" s="6798"/>
      <c r="AM172" s="6765"/>
      <c r="AN172" s="1021"/>
      <c r="AO172" s="6787"/>
      <c r="AP172" s="6787"/>
      <c r="AQ172" s="6787"/>
      <c r="AR172" s="6788"/>
      <c r="AS172" s="6789"/>
      <c r="AT172" s="6790"/>
      <c r="AU172" s="6786"/>
      <c r="AV172" s="6791"/>
      <c r="AW172" s="6792"/>
      <c r="AX172" s="6791"/>
      <c r="AY172" s="6785"/>
      <c r="AZ172" s="6793"/>
      <c r="BA172" s="6794"/>
      <c r="BB172" s="6795"/>
      <c r="BC172" s="6796"/>
      <c r="BD172" s="6797"/>
      <c r="BE172" s="6798"/>
      <c r="BH172" s="5">
        <v>1</v>
      </c>
    </row>
    <row r="173" spans="2:60" ht="27" customHeight="1">
      <c r="B173" s="1021"/>
      <c r="C173" s="6787"/>
      <c r="D173" s="6787"/>
      <c r="E173" s="6787"/>
      <c r="F173" s="6788"/>
      <c r="G173" s="6789"/>
      <c r="H173" s="6790"/>
      <c r="I173" s="6786"/>
      <c r="J173" s="6791"/>
      <c r="K173" s="6792"/>
      <c r="L173" s="6791"/>
      <c r="M173" s="6785"/>
      <c r="N173" s="6793"/>
      <c r="O173" s="6794"/>
      <c r="P173" s="6795"/>
      <c r="Q173" s="6796"/>
      <c r="R173" s="6797"/>
      <c r="S173" s="6798"/>
      <c r="T173" s="6765"/>
      <c r="U173" s="1021"/>
      <c r="V173" s="6787"/>
      <c r="W173" s="6787"/>
      <c r="X173" s="6787"/>
      <c r="Y173" s="6788"/>
      <c r="Z173" s="6789"/>
      <c r="AA173" s="6790"/>
      <c r="AB173" s="6786"/>
      <c r="AC173" s="6791"/>
      <c r="AD173" s="6792"/>
      <c r="AE173" s="6791"/>
      <c r="AF173" s="6785"/>
      <c r="AG173" s="6793"/>
      <c r="AH173" s="6794"/>
      <c r="AI173" s="6795"/>
      <c r="AJ173" s="6796"/>
      <c r="AK173" s="6797"/>
      <c r="AL173" s="6798"/>
      <c r="AM173" s="6765"/>
      <c r="AN173" s="1021"/>
      <c r="AO173" s="6787"/>
      <c r="AP173" s="6787"/>
      <c r="AQ173" s="6787"/>
      <c r="AR173" s="6788"/>
      <c r="AS173" s="6789"/>
      <c r="AT173" s="6790"/>
      <c r="AU173" s="6786"/>
      <c r="AV173" s="6791"/>
      <c r="AW173" s="6792"/>
      <c r="AX173" s="6791"/>
      <c r="AY173" s="6785"/>
      <c r="AZ173" s="6793"/>
      <c r="BA173" s="6794"/>
      <c r="BB173" s="6795"/>
      <c r="BC173" s="6796"/>
      <c r="BD173" s="6797"/>
      <c r="BE173" s="6798"/>
      <c r="BH173" s="5">
        <v>1</v>
      </c>
    </row>
    <row r="174" spans="2:60" ht="27" customHeight="1">
      <c r="B174" s="1021"/>
      <c r="C174" s="6787"/>
      <c r="D174" s="6787"/>
      <c r="E174" s="6787"/>
      <c r="F174" s="6788"/>
      <c r="G174" s="6789"/>
      <c r="H174" s="6790"/>
      <c r="I174" s="6786"/>
      <c r="J174" s="6791"/>
      <c r="K174" s="6792"/>
      <c r="L174" s="6791"/>
      <c r="M174" s="6785"/>
      <c r="N174" s="6793"/>
      <c r="O174" s="6794"/>
      <c r="P174" s="6795"/>
      <c r="Q174" s="6796"/>
      <c r="R174" s="6797"/>
      <c r="S174" s="6798"/>
      <c r="T174" s="6765"/>
      <c r="U174" s="1021"/>
      <c r="V174" s="6787"/>
      <c r="W174" s="6787"/>
      <c r="X174" s="6787"/>
      <c r="Y174" s="6788"/>
      <c r="Z174" s="6789"/>
      <c r="AA174" s="6790"/>
      <c r="AB174" s="6786"/>
      <c r="AC174" s="6791"/>
      <c r="AD174" s="6792"/>
      <c r="AE174" s="6791"/>
      <c r="AF174" s="6785"/>
      <c r="AG174" s="6793"/>
      <c r="AH174" s="6794"/>
      <c r="AI174" s="6795"/>
      <c r="AJ174" s="6796"/>
      <c r="AK174" s="6797"/>
      <c r="AL174" s="6798"/>
      <c r="AM174" s="6765"/>
      <c r="AN174" s="1021"/>
      <c r="AO174" s="6787"/>
      <c r="AP174" s="6787"/>
      <c r="AQ174" s="6787"/>
      <c r="AR174" s="6788"/>
      <c r="AS174" s="6789"/>
      <c r="AT174" s="6790"/>
      <c r="AU174" s="6786"/>
      <c r="AV174" s="6791"/>
      <c r="AW174" s="6792"/>
      <c r="AX174" s="6791"/>
      <c r="AY174" s="6785"/>
      <c r="AZ174" s="6793"/>
      <c r="BA174" s="6794"/>
      <c r="BB174" s="6795"/>
      <c r="BC174" s="6796"/>
      <c r="BD174" s="6797"/>
      <c r="BE174" s="6798"/>
      <c r="BH174" s="5">
        <v>1</v>
      </c>
    </row>
    <row r="175" spans="2:60" ht="27" customHeight="1">
      <c r="B175" s="1021"/>
      <c r="C175" s="6787"/>
      <c r="D175" s="6787"/>
      <c r="E175" s="6787"/>
      <c r="F175" s="6788"/>
      <c r="G175" s="6789"/>
      <c r="H175" s="6790"/>
      <c r="I175" s="6786"/>
      <c r="J175" s="6791"/>
      <c r="K175" s="6792"/>
      <c r="L175" s="6791"/>
      <c r="M175" s="6785"/>
      <c r="N175" s="6793"/>
      <c r="O175" s="6794"/>
      <c r="P175" s="6795"/>
      <c r="Q175" s="6796"/>
      <c r="R175" s="6797"/>
      <c r="S175" s="6798"/>
      <c r="T175" s="6765"/>
      <c r="U175" s="1021"/>
      <c r="V175" s="6787"/>
      <c r="W175" s="6787"/>
      <c r="X175" s="6787"/>
      <c r="Y175" s="6788"/>
      <c r="Z175" s="6789"/>
      <c r="AA175" s="6790"/>
      <c r="AB175" s="6786"/>
      <c r="AC175" s="6791"/>
      <c r="AD175" s="6792"/>
      <c r="AE175" s="6791"/>
      <c r="AF175" s="6785"/>
      <c r="AG175" s="6793"/>
      <c r="AH175" s="6794"/>
      <c r="AI175" s="6795"/>
      <c r="AJ175" s="6796"/>
      <c r="AK175" s="6797"/>
      <c r="AL175" s="6798"/>
      <c r="AM175" s="6765"/>
      <c r="AN175" s="1021"/>
      <c r="AO175" s="6787"/>
      <c r="AP175" s="6787"/>
      <c r="AQ175" s="6787"/>
      <c r="AR175" s="6788"/>
      <c r="AS175" s="6789"/>
      <c r="AT175" s="6790"/>
      <c r="AU175" s="6786"/>
      <c r="AV175" s="6791"/>
      <c r="AW175" s="6792"/>
      <c r="AX175" s="6791"/>
      <c r="AY175" s="6785"/>
      <c r="AZ175" s="6793"/>
      <c r="BA175" s="6794"/>
      <c r="BB175" s="6795"/>
      <c r="BC175" s="6796"/>
      <c r="BD175" s="6797"/>
      <c r="BE175" s="6798"/>
      <c r="BH175" s="5">
        <v>1</v>
      </c>
    </row>
    <row r="176" spans="2:60" ht="27" customHeight="1">
      <c r="B176" s="1021"/>
      <c r="C176" s="6787"/>
      <c r="D176" s="6787"/>
      <c r="E176" s="6787"/>
      <c r="F176" s="6788"/>
      <c r="G176" s="6789"/>
      <c r="H176" s="6790"/>
      <c r="I176" s="6786"/>
      <c r="J176" s="6791"/>
      <c r="K176" s="6792"/>
      <c r="L176" s="6791"/>
      <c r="M176" s="6785"/>
      <c r="N176" s="6793"/>
      <c r="O176" s="6794"/>
      <c r="P176" s="6795"/>
      <c r="Q176" s="6796"/>
      <c r="R176" s="6797"/>
      <c r="S176" s="6798"/>
      <c r="T176" s="6765"/>
      <c r="U176" s="1021"/>
      <c r="V176" s="6787"/>
      <c r="W176" s="6787"/>
      <c r="X176" s="6787"/>
      <c r="Y176" s="6788"/>
      <c r="Z176" s="6789"/>
      <c r="AA176" s="6790"/>
      <c r="AB176" s="6786"/>
      <c r="AC176" s="6791"/>
      <c r="AD176" s="6792"/>
      <c r="AE176" s="6791"/>
      <c r="AF176" s="6785"/>
      <c r="AG176" s="6793"/>
      <c r="AH176" s="6794"/>
      <c r="AI176" s="6795"/>
      <c r="AJ176" s="6796"/>
      <c r="AK176" s="6797"/>
      <c r="AL176" s="6798"/>
      <c r="AM176" s="6765"/>
      <c r="AN176" s="1021"/>
      <c r="AO176" s="6787"/>
      <c r="AP176" s="6787"/>
      <c r="AQ176" s="6787"/>
      <c r="AR176" s="6788"/>
      <c r="AS176" s="6789"/>
      <c r="AT176" s="6790"/>
      <c r="AU176" s="6786"/>
      <c r="AV176" s="6791"/>
      <c r="AW176" s="6792"/>
      <c r="AX176" s="6791"/>
      <c r="AY176" s="6785"/>
      <c r="AZ176" s="6793"/>
      <c r="BA176" s="6794"/>
      <c r="BB176" s="6795"/>
      <c r="BC176" s="6796"/>
      <c r="BD176" s="6797"/>
      <c r="BE176" s="6798"/>
      <c r="BH176" s="5">
        <v>1</v>
      </c>
    </row>
    <row r="177" spans="2:60" ht="27" customHeight="1">
      <c r="B177" s="1021"/>
      <c r="C177" s="6787"/>
      <c r="D177" s="6787"/>
      <c r="E177" s="6787"/>
      <c r="F177" s="6788"/>
      <c r="G177" s="6789"/>
      <c r="H177" s="6790"/>
      <c r="I177" s="6786"/>
      <c r="J177" s="6791"/>
      <c r="K177" s="6792"/>
      <c r="L177" s="6791"/>
      <c r="M177" s="6785"/>
      <c r="N177" s="6793"/>
      <c r="O177" s="6794"/>
      <c r="P177" s="6795"/>
      <c r="Q177" s="6796"/>
      <c r="R177" s="6797"/>
      <c r="S177" s="6798"/>
      <c r="T177" s="6765"/>
      <c r="U177" s="1021"/>
      <c r="V177" s="6787"/>
      <c r="W177" s="6787"/>
      <c r="X177" s="6787"/>
      <c r="Y177" s="6788"/>
      <c r="Z177" s="6789"/>
      <c r="AA177" s="6790"/>
      <c r="AB177" s="6786"/>
      <c r="AC177" s="6791"/>
      <c r="AD177" s="6792"/>
      <c r="AE177" s="6791"/>
      <c r="AF177" s="6785"/>
      <c r="AG177" s="6793"/>
      <c r="AH177" s="6794"/>
      <c r="AI177" s="6795"/>
      <c r="AJ177" s="6796"/>
      <c r="AK177" s="6797"/>
      <c r="AL177" s="6798"/>
      <c r="AM177" s="6765"/>
      <c r="AN177" s="1021"/>
      <c r="AO177" s="6787"/>
      <c r="AP177" s="6787"/>
      <c r="AQ177" s="6787"/>
      <c r="AR177" s="6788"/>
      <c r="AS177" s="6789"/>
      <c r="AT177" s="6790"/>
      <c r="AU177" s="6786"/>
      <c r="AV177" s="6791"/>
      <c r="AW177" s="6792"/>
      <c r="AX177" s="6791"/>
      <c r="AY177" s="6785"/>
      <c r="AZ177" s="6793"/>
      <c r="BA177" s="6794"/>
      <c r="BB177" s="6795"/>
      <c r="BC177" s="6796"/>
      <c r="BD177" s="6797"/>
      <c r="BE177" s="6798"/>
      <c r="BH177" s="5">
        <v>1</v>
      </c>
    </row>
    <row r="178" spans="2:60" ht="27" customHeight="1">
      <c r="B178" s="1021"/>
      <c r="C178" s="6787"/>
      <c r="D178" s="6787"/>
      <c r="E178" s="6787"/>
      <c r="F178" s="6788"/>
      <c r="G178" s="6789"/>
      <c r="H178" s="6790"/>
      <c r="I178" s="6786"/>
      <c r="J178" s="6791"/>
      <c r="K178" s="6792"/>
      <c r="L178" s="6791"/>
      <c r="M178" s="6785"/>
      <c r="N178" s="6793"/>
      <c r="O178" s="6794"/>
      <c r="P178" s="6795"/>
      <c r="Q178" s="6796"/>
      <c r="R178" s="6797"/>
      <c r="S178" s="6798"/>
      <c r="T178" s="6765"/>
      <c r="U178" s="1021"/>
      <c r="V178" s="6787"/>
      <c r="W178" s="6787"/>
      <c r="X178" s="6787"/>
      <c r="Y178" s="6788"/>
      <c r="Z178" s="6789"/>
      <c r="AA178" s="6790"/>
      <c r="AB178" s="6786"/>
      <c r="AC178" s="6791"/>
      <c r="AD178" s="6792"/>
      <c r="AE178" s="6791"/>
      <c r="AF178" s="6785"/>
      <c r="AG178" s="6793"/>
      <c r="AH178" s="6794"/>
      <c r="AI178" s="6795"/>
      <c r="AJ178" s="6796"/>
      <c r="AK178" s="6797"/>
      <c r="AL178" s="6798"/>
      <c r="AM178" s="6765"/>
      <c r="AN178" s="1021"/>
      <c r="AO178" s="6787"/>
      <c r="AP178" s="6787"/>
      <c r="AQ178" s="6787"/>
      <c r="AR178" s="6788"/>
      <c r="AS178" s="6789"/>
      <c r="AT178" s="6790"/>
      <c r="AU178" s="6786"/>
      <c r="AV178" s="6791"/>
      <c r="AW178" s="6792"/>
      <c r="AX178" s="6791"/>
      <c r="AY178" s="6785"/>
      <c r="AZ178" s="6793"/>
      <c r="BA178" s="6794"/>
      <c r="BB178" s="6795"/>
      <c r="BC178" s="6796"/>
      <c r="BD178" s="6797"/>
      <c r="BE178" s="6798"/>
      <c r="BH178" s="5">
        <v>1</v>
      </c>
    </row>
    <row r="179" spans="2:60" ht="27" customHeight="1">
      <c r="B179" s="1021"/>
      <c r="C179" s="6787"/>
      <c r="D179" s="6787"/>
      <c r="E179" s="6787"/>
      <c r="F179" s="6788"/>
      <c r="G179" s="6789"/>
      <c r="H179" s="6790"/>
      <c r="I179" s="6786"/>
      <c r="J179" s="6791"/>
      <c r="K179" s="6792"/>
      <c r="L179" s="6791"/>
      <c r="M179" s="6785"/>
      <c r="N179" s="6793"/>
      <c r="O179" s="6794"/>
      <c r="P179" s="6795"/>
      <c r="Q179" s="6796"/>
      <c r="R179" s="6797"/>
      <c r="S179" s="6798"/>
      <c r="T179" s="6765"/>
      <c r="U179" s="1021"/>
      <c r="V179" s="6787"/>
      <c r="W179" s="6787"/>
      <c r="X179" s="6787"/>
      <c r="Y179" s="6788"/>
      <c r="Z179" s="6789"/>
      <c r="AA179" s="6790"/>
      <c r="AB179" s="6786"/>
      <c r="AC179" s="6791"/>
      <c r="AD179" s="6792"/>
      <c r="AE179" s="6791"/>
      <c r="AF179" s="6785"/>
      <c r="AG179" s="6793"/>
      <c r="AH179" s="6794"/>
      <c r="AI179" s="6795"/>
      <c r="AJ179" s="6796"/>
      <c r="AK179" s="6797"/>
      <c r="AL179" s="6798"/>
      <c r="AM179" s="6765"/>
      <c r="AN179" s="1021"/>
      <c r="AO179" s="6787"/>
      <c r="AP179" s="6787"/>
      <c r="AQ179" s="6787"/>
      <c r="AR179" s="6788"/>
      <c r="AS179" s="6789"/>
      <c r="AT179" s="6790"/>
      <c r="AU179" s="6786"/>
      <c r="AV179" s="6791"/>
      <c r="AW179" s="6792"/>
      <c r="AX179" s="6791"/>
      <c r="AY179" s="6785"/>
      <c r="AZ179" s="6793"/>
      <c r="BA179" s="6794"/>
      <c r="BB179" s="6795"/>
      <c r="BC179" s="6796"/>
      <c r="BD179" s="6797"/>
      <c r="BE179" s="6798"/>
      <c r="BH179" s="5">
        <v>1</v>
      </c>
    </row>
    <row r="180" spans="2:60" ht="27" customHeight="1">
      <c r="B180" s="1021"/>
      <c r="C180" s="6787"/>
      <c r="D180" s="6787"/>
      <c r="E180" s="6787"/>
      <c r="F180" s="6788"/>
      <c r="G180" s="6789"/>
      <c r="H180" s="6790"/>
      <c r="I180" s="6786"/>
      <c r="J180" s="6791"/>
      <c r="K180" s="6792"/>
      <c r="L180" s="6791"/>
      <c r="M180" s="6785"/>
      <c r="N180" s="6793"/>
      <c r="O180" s="6794"/>
      <c r="P180" s="6795"/>
      <c r="Q180" s="6796"/>
      <c r="R180" s="6797"/>
      <c r="S180" s="6798"/>
      <c r="T180" s="6765"/>
      <c r="U180" s="1021"/>
      <c r="V180" s="6787"/>
      <c r="W180" s="6787"/>
      <c r="X180" s="6787"/>
      <c r="Y180" s="6788"/>
      <c r="Z180" s="6789"/>
      <c r="AA180" s="6790"/>
      <c r="AB180" s="6786"/>
      <c r="AC180" s="6791"/>
      <c r="AD180" s="6792"/>
      <c r="AE180" s="6791"/>
      <c r="AF180" s="6785"/>
      <c r="AG180" s="6793"/>
      <c r="AH180" s="6794"/>
      <c r="AI180" s="6795"/>
      <c r="AJ180" s="6796"/>
      <c r="AK180" s="6797"/>
      <c r="AL180" s="6798"/>
      <c r="AM180" s="6765"/>
      <c r="AN180" s="1021"/>
      <c r="AO180" s="6787"/>
      <c r="AP180" s="6787"/>
      <c r="AQ180" s="6787"/>
      <c r="AR180" s="6788"/>
      <c r="AS180" s="6789"/>
      <c r="AT180" s="6790"/>
      <c r="AU180" s="6786"/>
      <c r="AV180" s="6791"/>
      <c r="AW180" s="6792"/>
      <c r="AX180" s="6791"/>
      <c r="AY180" s="6785"/>
      <c r="AZ180" s="6793"/>
      <c r="BA180" s="6794"/>
      <c r="BB180" s="6795"/>
      <c r="BC180" s="6796"/>
      <c r="BD180" s="6797"/>
      <c r="BE180" s="6798"/>
      <c r="BH180" s="5">
        <v>1</v>
      </c>
    </row>
    <row r="181" spans="2:60" ht="27" customHeight="1">
      <c r="B181" s="1021"/>
      <c r="C181" s="6787"/>
      <c r="D181" s="6787"/>
      <c r="E181" s="6787"/>
      <c r="F181" s="6788"/>
      <c r="G181" s="6789"/>
      <c r="H181" s="6790"/>
      <c r="I181" s="6786"/>
      <c r="J181" s="6791"/>
      <c r="K181" s="6792"/>
      <c r="L181" s="6791"/>
      <c r="M181" s="6785"/>
      <c r="N181" s="6793"/>
      <c r="O181" s="6794"/>
      <c r="P181" s="6795"/>
      <c r="Q181" s="6796"/>
      <c r="R181" s="6797"/>
      <c r="S181" s="6798"/>
      <c r="T181" s="6765"/>
      <c r="U181" s="1021"/>
      <c r="V181" s="6787"/>
      <c r="W181" s="6787"/>
      <c r="X181" s="6787"/>
      <c r="Y181" s="6788"/>
      <c r="Z181" s="6789"/>
      <c r="AA181" s="6790"/>
      <c r="AB181" s="6786"/>
      <c r="AC181" s="6791"/>
      <c r="AD181" s="6792"/>
      <c r="AE181" s="6791"/>
      <c r="AF181" s="6785"/>
      <c r="AG181" s="6793"/>
      <c r="AH181" s="6794"/>
      <c r="AI181" s="6795"/>
      <c r="AJ181" s="6796"/>
      <c r="AK181" s="6797"/>
      <c r="AL181" s="6798"/>
      <c r="AM181" s="6765"/>
      <c r="AN181" s="1021"/>
      <c r="AO181" s="6787"/>
      <c r="AP181" s="6787"/>
      <c r="AQ181" s="6787"/>
      <c r="AR181" s="6788"/>
      <c r="AS181" s="6789"/>
      <c r="AT181" s="6790"/>
      <c r="AU181" s="6786"/>
      <c r="AV181" s="6791"/>
      <c r="AW181" s="6792"/>
      <c r="AX181" s="6791"/>
      <c r="AY181" s="6785"/>
      <c r="AZ181" s="6793"/>
      <c r="BA181" s="6794"/>
      <c r="BB181" s="6795"/>
      <c r="BC181" s="6796"/>
      <c r="BD181" s="6797"/>
      <c r="BE181" s="6798"/>
      <c r="BH181" s="5">
        <v>1</v>
      </c>
    </row>
    <row r="182" spans="2:60" ht="27" customHeight="1">
      <c r="B182" s="1021"/>
      <c r="C182" s="6787"/>
      <c r="D182" s="6787"/>
      <c r="E182" s="6787"/>
      <c r="F182" s="6788"/>
      <c r="G182" s="6789"/>
      <c r="H182" s="6790"/>
      <c r="I182" s="6786"/>
      <c r="J182" s="6791"/>
      <c r="K182" s="6792"/>
      <c r="L182" s="6791"/>
      <c r="M182" s="6785"/>
      <c r="N182" s="6793"/>
      <c r="O182" s="6794"/>
      <c r="P182" s="6795"/>
      <c r="Q182" s="6796"/>
      <c r="R182" s="6797"/>
      <c r="S182" s="6798"/>
      <c r="T182" s="6765"/>
      <c r="U182" s="1021"/>
      <c r="V182" s="6787"/>
      <c r="W182" s="6787"/>
      <c r="X182" s="6787"/>
      <c r="Y182" s="6788"/>
      <c r="Z182" s="6789"/>
      <c r="AA182" s="6790"/>
      <c r="AB182" s="6786"/>
      <c r="AC182" s="6791"/>
      <c r="AD182" s="6792"/>
      <c r="AE182" s="6791"/>
      <c r="AF182" s="6785"/>
      <c r="AG182" s="6793"/>
      <c r="AH182" s="6794"/>
      <c r="AI182" s="6795"/>
      <c r="AJ182" s="6796"/>
      <c r="AK182" s="6797"/>
      <c r="AL182" s="6798"/>
      <c r="AM182" s="6765"/>
      <c r="AN182" s="1021"/>
      <c r="AO182" s="6787"/>
      <c r="AP182" s="6787"/>
      <c r="AQ182" s="6787"/>
      <c r="AR182" s="6788"/>
      <c r="AS182" s="6789"/>
      <c r="AT182" s="6790"/>
      <c r="AU182" s="6786"/>
      <c r="AV182" s="6791"/>
      <c r="AW182" s="6792"/>
      <c r="AX182" s="6791"/>
      <c r="AY182" s="6785"/>
      <c r="AZ182" s="6793"/>
      <c r="BA182" s="6794"/>
      <c r="BB182" s="6795"/>
      <c r="BC182" s="6796"/>
      <c r="BD182" s="6797"/>
      <c r="BE182" s="6798"/>
      <c r="BH182" s="5">
        <v>1</v>
      </c>
    </row>
    <row r="183" spans="2:60" ht="27" customHeight="1">
      <c r="B183" s="1021"/>
      <c r="C183" s="6787"/>
      <c r="D183" s="6787"/>
      <c r="E183" s="6787"/>
      <c r="F183" s="6788"/>
      <c r="G183" s="6789"/>
      <c r="H183" s="6790"/>
      <c r="I183" s="6786"/>
      <c r="J183" s="6791"/>
      <c r="K183" s="6792"/>
      <c r="L183" s="6791"/>
      <c r="M183" s="6785"/>
      <c r="N183" s="6793"/>
      <c r="O183" s="6794"/>
      <c r="P183" s="6795"/>
      <c r="Q183" s="6796"/>
      <c r="R183" s="6797"/>
      <c r="S183" s="6798"/>
      <c r="T183" s="6765"/>
      <c r="U183" s="1021"/>
      <c r="V183" s="6787"/>
      <c r="W183" s="6787"/>
      <c r="X183" s="6787"/>
      <c r="Y183" s="6788"/>
      <c r="Z183" s="6789"/>
      <c r="AA183" s="6790"/>
      <c r="AB183" s="6786"/>
      <c r="AC183" s="6791"/>
      <c r="AD183" s="6792"/>
      <c r="AE183" s="6791"/>
      <c r="AF183" s="6785"/>
      <c r="AG183" s="6793"/>
      <c r="AH183" s="6794"/>
      <c r="AI183" s="6795"/>
      <c r="AJ183" s="6796"/>
      <c r="AK183" s="6797"/>
      <c r="AL183" s="6798"/>
      <c r="AM183" s="6765"/>
      <c r="AN183" s="1021"/>
      <c r="AO183" s="6787"/>
      <c r="AP183" s="6787"/>
      <c r="AQ183" s="6787"/>
      <c r="AR183" s="6788"/>
      <c r="AS183" s="6789"/>
      <c r="AT183" s="6790"/>
      <c r="AU183" s="6786"/>
      <c r="AV183" s="6791"/>
      <c r="AW183" s="6792"/>
      <c r="AX183" s="6791"/>
      <c r="AY183" s="6785"/>
      <c r="AZ183" s="6793"/>
      <c r="BA183" s="6794"/>
      <c r="BB183" s="6795"/>
      <c r="BC183" s="6796"/>
      <c r="BD183" s="6797"/>
      <c r="BE183" s="6798"/>
      <c r="BH183" s="5">
        <v>1</v>
      </c>
    </row>
    <row r="184" spans="2:60" ht="27" customHeight="1">
      <c r="B184" s="1021"/>
      <c r="C184" s="6787"/>
      <c r="D184" s="6787"/>
      <c r="E184" s="6787"/>
      <c r="F184" s="6788"/>
      <c r="G184" s="6789"/>
      <c r="H184" s="6790"/>
      <c r="I184" s="6786"/>
      <c r="J184" s="6791"/>
      <c r="K184" s="6792"/>
      <c r="L184" s="6791"/>
      <c r="M184" s="6785"/>
      <c r="N184" s="6793"/>
      <c r="O184" s="6794"/>
      <c r="P184" s="6795"/>
      <c r="Q184" s="6796"/>
      <c r="R184" s="6797"/>
      <c r="S184" s="6798"/>
      <c r="T184" s="6765"/>
      <c r="U184" s="1021"/>
      <c r="V184" s="6787"/>
      <c r="W184" s="6787"/>
      <c r="X184" s="6787"/>
      <c r="Y184" s="6788"/>
      <c r="Z184" s="6789"/>
      <c r="AA184" s="6790"/>
      <c r="AB184" s="6786"/>
      <c r="AC184" s="6791"/>
      <c r="AD184" s="6792"/>
      <c r="AE184" s="6791"/>
      <c r="AF184" s="6785"/>
      <c r="AG184" s="6793"/>
      <c r="AH184" s="6794"/>
      <c r="AI184" s="6795"/>
      <c r="AJ184" s="6796"/>
      <c r="AK184" s="6797"/>
      <c r="AL184" s="6798"/>
      <c r="AM184" s="6765"/>
      <c r="AN184" s="1021"/>
      <c r="AO184" s="6787"/>
      <c r="AP184" s="6787"/>
      <c r="AQ184" s="6787"/>
      <c r="AR184" s="6788"/>
      <c r="AS184" s="6789"/>
      <c r="AT184" s="6790"/>
      <c r="AU184" s="6786"/>
      <c r="AV184" s="6791"/>
      <c r="AW184" s="6792"/>
      <c r="AX184" s="6791"/>
      <c r="AY184" s="6785"/>
      <c r="AZ184" s="6793"/>
      <c r="BA184" s="6794"/>
      <c r="BB184" s="6795"/>
      <c r="BC184" s="6796"/>
      <c r="BD184" s="6797"/>
      <c r="BE184" s="6798"/>
      <c r="BH184" s="5">
        <v>1</v>
      </c>
    </row>
    <row r="185" spans="2:60" ht="27" customHeight="1">
      <c r="B185" s="1021"/>
      <c r="C185" s="6787"/>
      <c r="D185" s="6787"/>
      <c r="E185" s="6787"/>
      <c r="F185" s="6788"/>
      <c r="G185" s="6789"/>
      <c r="H185" s="6790"/>
      <c r="I185" s="6786"/>
      <c r="J185" s="6791"/>
      <c r="K185" s="6792"/>
      <c r="L185" s="6791"/>
      <c r="M185" s="6785"/>
      <c r="N185" s="6793"/>
      <c r="O185" s="6794"/>
      <c r="P185" s="6795"/>
      <c r="Q185" s="6796"/>
      <c r="R185" s="6797"/>
      <c r="S185" s="6798"/>
      <c r="T185" s="6765"/>
      <c r="U185" s="1021"/>
      <c r="V185" s="6787"/>
      <c r="W185" s="6787"/>
      <c r="X185" s="6787"/>
      <c r="Y185" s="6788"/>
      <c r="Z185" s="6789"/>
      <c r="AA185" s="6790"/>
      <c r="AB185" s="6786"/>
      <c r="AC185" s="6791"/>
      <c r="AD185" s="6792"/>
      <c r="AE185" s="6791"/>
      <c r="AF185" s="6785"/>
      <c r="AG185" s="6793"/>
      <c r="AH185" s="6794"/>
      <c r="AI185" s="6795"/>
      <c r="AJ185" s="6796"/>
      <c r="AK185" s="6797"/>
      <c r="AL185" s="6798"/>
      <c r="AM185" s="6765"/>
      <c r="AN185" s="1021"/>
      <c r="AO185" s="6787"/>
      <c r="AP185" s="6787"/>
      <c r="AQ185" s="6787"/>
      <c r="AR185" s="6788"/>
      <c r="AS185" s="6789"/>
      <c r="AT185" s="6790"/>
      <c r="AU185" s="6786"/>
      <c r="AV185" s="6791"/>
      <c r="AW185" s="6792"/>
      <c r="AX185" s="6791"/>
      <c r="AY185" s="6785"/>
      <c r="AZ185" s="6793"/>
      <c r="BA185" s="6794"/>
      <c r="BB185" s="6795"/>
      <c r="BC185" s="6796"/>
      <c r="BD185" s="6797"/>
      <c r="BE185" s="6798"/>
      <c r="BH185" s="5">
        <v>1</v>
      </c>
    </row>
    <row r="186" spans="2:60" ht="27" customHeight="1">
      <c r="B186" s="1021"/>
      <c r="C186" s="6787"/>
      <c r="D186" s="6787"/>
      <c r="E186" s="6787"/>
      <c r="F186" s="6788"/>
      <c r="G186" s="6789"/>
      <c r="H186" s="6790"/>
      <c r="I186" s="6786"/>
      <c r="J186" s="6791"/>
      <c r="K186" s="6792"/>
      <c r="L186" s="6791"/>
      <c r="M186" s="6785"/>
      <c r="N186" s="6793"/>
      <c r="O186" s="6794"/>
      <c r="P186" s="6795"/>
      <c r="Q186" s="6796"/>
      <c r="R186" s="6797"/>
      <c r="S186" s="6798"/>
      <c r="T186" s="6765"/>
      <c r="U186" s="1021"/>
      <c r="V186" s="6787"/>
      <c r="W186" s="6787"/>
      <c r="X186" s="6787"/>
      <c r="Y186" s="6788"/>
      <c r="Z186" s="6789"/>
      <c r="AA186" s="6790"/>
      <c r="AB186" s="6786"/>
      <c r="AC186" s="6791"/>
      <c r="AD186" s="6792"/>
      <c r="AE186" s="6791"/>
      <c r="AF186" s="6785"/>
      <c r="AG186" s="6793"/>
      <c r="AH186" s="6794"/>
      <c r="AI186" s="6795"/>
      <c r="AJ186" s="6796"/>
      <c r="AK186" s="6797"/>
      <c r="AL186" s="6798"/>
      <c r="AM186" s="6765"/>
      <c r="AN186" s="1021"/>
      <c r="AO186" s="6787"/>
      <c r="AP186" s="6787"/>
      <c r="AQ186" s="6787"/>
      <c r="AR186" s="6788"/>
      <c r="AS186" s="6789"/>
      <c r="AT186" s="6790"/>
      <c r="AU186" s="6786"/>
      <c r="AV186" s="6791"/>
      <c r="AW186" s="6792"/>
      <c r="AX186" s="6791"/>
      <c r="AY186" s="6785"/>
      <c r="AZ186" s="6793"/>
      <c r="BA186" s="6794"/>
      <c r="BB186" s="6795"/>
      <c r="BC186" s="6796"/>
      <c r="BD186" s="6797"/>
      <c r="BE186" s="6798"/>
      <c r="BH186" s="5">
        <v>1</v>
      </c>
    </row>
    <row r="187" spans="2:60" ht="27" customHeight="1">
      <c r="B187" s="1021"/>
      <c r="C187" s="6787"/>
      <c r="D187" s="6787"/>
      <c r="E187" s="6787"/>
      <c r="F187" s="6788"/>
      <c r="G187" s="6789"/>
      <c r="H187" s="6790"/>
      <c r="I187" s="6786"/>
      <c r="J187" s="6791"/>
      <c r="K187" s="6792"/>
      <c r="L187" s="6791"/>
      <c r="M187" s="6785"/>
      <c r="N187" s="6793"/>
      <c r="O187" s="6794"/>
      <c r="P187" s="6795"/>
      <c r="Q187" s="6796"/>
      <c r="R187" s="6797"/>
      <c r="S187" s="6798"/>
      <c r="T187" s="6765"/>
      <c r="U187" s="1021"/>
      <c r="V187" s="6787"/>
      <c r="W187" s="6787"/>
      <c r="X187" s="6787"/>
      <c r="Y187" s="6788"/>
      <c r="Z187" s="6789"/>
      <c r="AA187" s="6790"/>
      <c r="AB187" s="6786"/>
      <c r="AC187" s="6791"/>
      <c r="AD187" s="6792"/>
      <c r="AE187" s="6791"/>
      <c r="AF187" s="6785"/>
      <c r="AG187" s="6793"/>
      <c r="AH187" s="6794"/>
      <c r="AI187" s="6795"/>
      <c r="AJ187" s="6796"/>
      <c r="AK187" s="6797"/>
      <c r="AL187" s="6798"/>
      <c r="AM187" s="6765"/>
      <c r="AN187" s="1021"/>
      <c r="AO187" s="6787"/>
      <c r="AP187" s="6787"/>
      <c r="AQ187" s="6787"/>
      <c r="AR187" s="6788"/>
      <c r="AS187" s="6789"/>
      <c r="AT187" s="6790"/>
      <c r="AU187" s="6786"/>
      <c r="AV187" s="6791"/>
      <c r="AW187" s="6792"/>
      <c r="AX187" s="6791"/>
      <c r="AY187" s="6785"/>
      <c r="AZ187" s="6793"/>
      <c r="BA187" s="6794"/>
      <c r="BB187" s="6795"/>
      <c r="BC187" s="6796"/>
      <c r="BD187" s="6797"/>
      <c r="BE187" s="6798"/>
      <c r="BH187" s="5">
        <v>1</v>
      </c>
    </row>
    <row r="188" spans="2:60" ht="27" customHeight="1">
      <c r="B188" s="1021"/>
      <c r="C188" s="6787"/>
      <c r="D188" s="6787"/>
      <c r="E188" s="6787"/>
      <c r="F188" s="6788"/>
      <c r="G188" s="6789"/>
      <c r="H188" s="6790"/>
      <c r="I188" s="6786"/>
      <c r="J188" s="6791"/>
      <c r="K188" s="6792"/>
      <c r="L188" s="6791"/>
      <c r="M188" s="6785"/>
      <c r="N188" s="6793"/>
      <c r="O188" s="6794"/>
      <c r="P188" s="6795"/>
      <c r="Q188" s="6796"/>
      <c r="R188" s="6797"/>
      <c r="S188" s="6798"/>
      <c r="T188" s="6765"/>
      <c r="U188" s="1021"/>
      <c r="V188" s="6787"/>
      <c r="W188" s="6787"/>
      <c r="X188" s="6787"/>
      <c r="Y188" s="6788"/>
      <c r="Z188" s="6789"/>
      <c r="AA188" s="6790"/>
      <c r="AB188" s="6786"/>
      <c r="AC188" s="6791"/>
      <c r="AD188" s="6792"/>
      <c r="AE188" s="6791"/>
      <c r="AF188" s="6785"/>
      <c r="AG188" s="6793"/>
      <c r="AH188" s="6794"/>
      <c r="AI188" s="6795"/>
      <c r="AJ188" s="6796"/>
      <c r="AK188" s="6797"/>
      <c r="AL188" s="6798"/>
      <c r="AM188" s="6765"/>
      <c r="AN188" s="1021"/>
      <c r="AO188" s="6787"/>
      <c r="AP188" s="6787"/>
      <c r="AQ188" s="6787"/>
      <c r="AR188" s="6788"/>
      <c r="AS188" s="6789"/>
      <c r="AT188" s="6790"/>
      <c r="AU188" s="6786"/>
      <c r="AV188" s="6791"/>
      <c r="AW188" s="6792"/>
      <c r="AX188" s="6791"/>
      <c r="AY188" s="6785"/>
      <c r="AZ188" s="6793"/>
      <c r="BA188" s="6794"/>
      <c r="BB188" s="6795"/>
      <c r="BC188" s="6796"/>
      <c r="BD188" s="6797"/>
      <c r="BE188" s="6798"/>
      <c r="BH188" s="5">
        <v>1</v>
      </c>
    </row>
    <row r="189" spans="2:60" ht="27" customHeight="1">
      <c r="B189" s="1021"/>
      <c r="C189" s="6787"/>
      <c r="D189" s="6787"/>
      <c r="E189" s="6787"/>
      <c r="F189" s="6788"/>
      <c r="G189" s="6789"/>
      <c r="H189" s="6790"/>
      <c r="I189" s="6786"/>
      <c r="J189" s="6791"/>
      <c r="K189" s="6792"/>
      <c r="L189" s="6791"/>
      <c r="M189" s="6785"/>
      <c r="N189" s="6793"/>
      <c r="O189" s="6794"/>
      <c r="P189" s="6795"/>
      <c r="Q189" s="6796"/>
      <c r="R189" s="6797"/>
      <c r="S189" s="6798"/>
      <c r="T189" s="6765"/>
      <c r="U189" s="1021"/>
      <c r="V189" s="6787"/>
      <c r="W189" s="6787"/>
      <c r="X189" s="6787"/>
      <c r="Y189" s="6788"/>
      <c r="Z189" s="6789"/>
      <c r="AA189" s="6790"/>
      <c r="AB189" s="6786"/>
      <c r="AC189" s="6791"/>
      <c r="AD189" s="6792"/>
      <c r="AE189" s="6791"/>
      <c r="AF189" s="6785"/>
      <c r="AG189" s="6793"/>
      <c r="AH189" s="6794"/>
      <c r="AI189" s="6795"/>
      <c r="AJ189" s="6796"/>
      <c r="AK189" s="6797"/>
      <c r="AL189" s="6798"/>
      <c r="AM189" s="6765"/>
      <c r="AN189" s="1021"/>
      <c r="AO189" s="6787"/>
      <c r="AP189" s="6787"/>
      <c r="AQ189" s="6787"/>
      <c r="AR189" s="6788"/>
      <c r="AS189" s="6789"/>
      <c r="AT189" s="6790"/>
      <c r="AU189" s="6786"/>
      <c r="AV189" s="6791"/>
      <c r="AW189" s="6792"/>
      <c r="AX189" s="6791"/>
      <c r="AY189" s="6785"/>
      <c r="AZ189" s="6793"/>
      <c r="BA189" s="6794"/>
      <c r="BB189" s="6795"/>
      <c r="BC189" s="6796"/>
      <c r="BD189" s="6797"/>
      <c r="BE189" s="6798"/>
      <c r="BH189" s="5">
        <v>1</v>
      </c>
    </row>
    <row r="190" spans="2:60" ht="27" customHeight="1">
      <c r="B190" s="1021"/>
      <c r="C190" s="6787"/>
      <c r="D190" s="6787"/>
      <c r="E190" s="6787"/>
      <c r="F190" s="6788"/>
      <c r="G190" s="6789"/>
      <c r="H190" s="6790"/>
      <c r="I190" s="6786"/>
      <c r="J190" s="6791"/>
      <c r="K190" s="6792"/>
      <c r="L190" s="6791"/>
      <c r="M190" s="6785"/>
      <c r="N190" s="6793"/>
      <c r="O190" s="6794"/>
      <c r="P190" s="6795"/>
      <c r="Q190" s="6796"/>
      <c r="R190" s="6797"/>
      <c r="S190" s="6798"/>
      <c r="T190" s="6765"/>
      <c r="U190" s="1021"/>
      <c r="V190" s="6787"/>
      <c r="W190" s="6787"/>
      <c r="X190" s="6787"/>
      <c r="Y190" s="6788"/>
      <c r="Z190" s="6789"/>
      <c r="AA190" s="6790"/>
      <c r="AB190" s="6786"/>
      <c r="AC190" s="6791"/>
      <c r="AD190" s="6792"/>
      <c r="AE190" s="6791"/>
      <c r="AF190" s="6785"/>
      <c r="AG190" s="6793"/>
      <c r="AH190" s="6794"/>
      <c r="AI190" s="6795"/>
      <c r="AJ190" s="6796"/>
      <c r="AK190" s="6797"/>
      <c r="AL190" s="6798"/>
      <c r="AM190" s="6765"/>
      <c r="AN190" s="1021"/>
      <c r="AO190" s="6787"/>
      <c r="AP190" s="6787"/>
      <c r="AQ190" s="6787"/>
      <c r="AR190" s="6788"/>
      <c r="AS190" s="6789"/>
      <c r="AT190" s="6790"/>
      <c r="AU190" s="6786"/>
      <c r="AV190" s="6791"/>
      <c r="AW190" s="6792"/>
      <c r="AX190" s="6791"/>
      <c r="AY190" s="6785"/>
      <c r="AZ190" s="6793"/>
      <c r="BA190" s="6794"/>
      <c r="BB190" s="6795"/>
      <c r="BC190" s="6796"/>
      <c r="BD190" s="6797"/>
      <c r="BE190" s="6798"/>
      <c r="BH190" s="5">
        <v>1</v>
      </c>
    </row>
    <row r="191" spans="2:60" ht="27" customHeight="1">
      <c r="B191" s="1021"/>
      <c r="C191" s="6787"/>
      <c r="D191" s="6787"/>
      <c r="E191" s="6787"/>
      <c r="F191" s="6788"/>
      <c r="G191" s="6789"/>
      <c r="H191" s="6790"/>
      <c r="I191" s="6786"/>
      <c r="J191" s="6791"/>
      <c r="K191" s="6792"/>
      <c r="L191" s="6791"/>
      <c r="M191" s="6785"/>
      <c r="N191" s="6793"/>
      <c r="O191" s="6794"/>
      <c r="P191" s="6795"/>
      <c r="Q191" s="6796"/>
      <c r="R191" s="6797"/>
      <c r="S191" s="6798"/>
      <c r="T191" s="6765"/>
      <c r="U191" s="1021"/>
      <c r="V191" s="6787"/>
      <c r="W191" s="6787"/>
      <c r="X191" s="6787"/>
      <c r="Y191" s="6788"/>
      <c r="Z191" s="6789"/>
      <c r="AA191" s="6790"/>
      <c r="AB191" s="6786"/>
      <c r="AC191" s="6791"/>
      <c r="AD191" s="6792"/>
      <c r="AE191" s="6791"/>
      <c r="AF191" s="6785"/>
      <c r="AG191" s="6793"/>
      <c r="AH191" s="6794"/>
      <c r="AI191" s="6795"/>
      <c r="AJ191" s="6796"/>
      <c r="AK191" s="6797"/>
      <c r="AL191" s="6798"/>
      <c r="AM191" s="6765"/>
      <c r="AN191" s="1021"/>
      <c r="AO191" s="6787"/>
      <c r="AP191" s="6787"/>
      <c r="AQ191" s="6787"/>
      <c r="AR191" s="6788"/>
      <c r="AS191" s="6789"/>
      <c r="AT191" s="6790"/>
      <c r="AU191" s="6786"/>
      <c r="AV191" s="6791"/>
      <c r="AW191" s="6792"/>
      <c r="AX191" s="6791"/>
      <c r="AY191" s="6785"/>
      <c r="AZ191" s="6793"/>
      <c r="BA191" s="6794"/>
      <c r="BB191" s="6795"/>
      <c r="BC191" s="6796"/>
      <c r="BD191" s="6797"/>
      <c r="BE191" s="6798"/>
      <c r="BH191" s="5">
        <v>1</v>
      </c>
    </row>
    <row r="192" spans="2:60" ht="27" customHeight="1">
      <c r="B192" s="1021"/>
      <c r="C192" s="6787"/>
      <c r="D192" s="6787"/>
      <c r="E192" s="6787"/>
      <c r="F192" s="6788"/>
      <c r="G192" s="6789"/>
      <c r="H192" s="6790"/>
      <c r="I192" s="6786"/>
      <c r="J192" s="6791"/>
      <c r="K192" s="6792"/>
      <c r="L192" s="6791"/>
      <c r="M192" s="6785"/>
      <c r="N192" s="6793"/>
      <c r="O192" s="6794"/>
      <c r="P192" s="6795"/>
      <c r="Q192" s="6796"/>
      <c r="R192" s="6797"/>
      <c r="S192" s="6798"/>
      <c r="T192" s="6765"/>
      <c r="U192" s="1021"/>
      <c r="V192" s="6787"/>
      <c r="W192" s="6787"/>
      <c r="X192" s="6787"/>
      <c r="Y192" s="6788"/>
      <c r="Z192" s="6789"/>
      <c r="AA192" s="6790"/>
      <c r="AB192" s="6786"/>
      <c r="AC192" s="6791"/>
      <c r="AD192" s="6792"/>
      <c r="AE192" s="6791"/>
      <c r="AF192" s="6785"/>
      <c r="AG192" s="6793"/>
      <c r="AH192" s="6794"/>
      <c r="AI192" s="6795"/>
      <c r="AJ192" s="6796"/>
      <c r="AK192" s="6797"/>
      <c r="AL192" s="6798"/>
      <c r="AM192" s="6765"/>
      <c r="AN192" s="1021"/>
      <c r="AO192" s="6787"/>
      <c r="AP192" s="6787"/>
      <c r="AQ192" s="6787"/>
      <c r="AR192" s="6788"/>
      <c r="AS192" s="6789"/>
      <c r="AT192" s="6790"/>
      <c r="AU192" s="6786"/>
      <c r="AV192" s="6791"/>
      <c r="AW192" s="6792"/>
      <c r="AX192" s="6791"/>
      <c r="AY192" s="6785"/>
      <c r="AZ192" s="6793"/>
      <c r="BA192" s="6794"/>
      <c r="BB192" s="6795"/>
      <c r="BC192" s="6796"/>
      <c r="BD192" s="6797"/>
      <c r="BE192" s="6798"/>
      <c r="BH192" s="5">
        <v>1</v>
      </c>
    </row>
    <row r="193" spans="2:60" ht="27" customHeight="1">
      <c r="B193" s="1021"/>
      <c r="C193" s="6787"/>
      <c r="D193" s="6787"/>
      <c r="E193" s="6787"/>
      <c r="F193" s="6788"/>
      <c r="G193" s="6789"/>
      <c r="H193" s="6790"/>
      <c r="I193" s="6786"/>
      <c r="J193" s="6791"/>
      <c r="K193" s="6792"/>
      <c r="L193" s="6791"/>
      <c r="M193" s="6785"/>
      <c r="N193" s="6793"/>
      <c r="O193" s="6794"/>
      <c r="P193" s="6795"/>
      <c r="Q193" s="6796"/>
      <c r="R193" s="6797"/>
      <c r="S193" s="6798"/>
      <c r="T193" s="6765"/>
      <c r="U193" s="1021"/>
      <c r="V193" s="6787"/>
      <c r="W193" s="6787"/>
      <c r="X193" s="6787"/>
      <c r="Y193" s="6788"/>
      <c r="Z193" s="6789"/>
      <c r="AA193" s="6790"/>
      <c r="AB193" s="6786"/>
      <c r="AC193" s="6791"/>
      <c r="AD193" s="6792"/>
      <c r="AE193" s="6791"/>
      <c r="AF193" s="6785"/>
      <c r="AG193" s="6793"/>
      <c r="AH193" s="6794"/>
      <c r="AI193" s="6795"/>
      <c r="AJ193" s="6796"/>
      <c r="AK193" s="6797"/>
      <c r="AL193" s="6798"/>
      <c r="AM193" s="6765"/>
      <c r="AN193" s="1021"/>
      <c r="AO193" s="6787"/>
      <c r="AP193" s="6787"/>
      <c r="AQ193" s="6787"/>
      <c r="AR193" s="6788"/>
      <c r="AS193" s="6789"/>
      <c r="AT193" s="6790"/>
      <c r="AU193" s="6786"/>
      <c r="AV193" s="6791"/>
      <c r="AW193" s="6792"/>
      <c r="AX193" s="6791"/>
      <c r="AY193" s="6785"/>
      <c r="AZ193" s="6793"/>
      <c r="BA193" s="6794"/>
      <c r="BB193" s="6795"/>
      <c r="BC193" s="6796"/>
      <c r="BD193" s="6797"/>
      <c r="BE193" s="6798"/>
      <c r="BH193" s="5">
        <v>1</v>
      </c>
    </row>
    <row r="194" spans="2:60" ht="27" customHeight="1">
      <c r="B194" s="1021"/>
      <c r="C194" s="6787"/>
      <c r="D194" s="6787"/>
      <c r="E194" s="6787"/>
      <c r="F194" s="6788"/>
      <c r="G194" s="6789"/>
      <c r="H194" s="6790"/>
      <c r="I194" s="6786"/>
      <c r="J194" s="6791"/>
      <c r="K194" s="6792"/>
      <c r="L194" s="6791"/>
      <c r="M194" s="6785"/>
      <c r="N194" s="6793"/>
      <c r="O194" s="6794"/>
      <c r="P194" s="6795"/>
      <c r="Q194" s="6796"/>
      <c r="R194" s="6797"/>
      <c r="S194" s="6798"/>
      <c r="T194" s="6765"/>
      <c r="U194" s="1021"/>
      <c r="V194" s="6787"/>
      <c r="W194" s="6787"/>
      <c r="X194" s="6787"/>
      <c r="Y194" s="6788"/>
      <c r="Z194" s="6789"/>
      <c r="AA194" s="6790"/>
      <c r="AB194" s="6786"/>
      <c r="AC194" s="6791"/>
      <c r="AD194" s="6792"/>
      <c r="AE194" s="6791"/>
      <c r="AF194" s="6785"/>
      <c r="AG194" s="6793"/>
      <c r="AH194" s="6794"/>
      <c r="AI194" s="6795"/>
      <c r="AJ194" s="6796"/>
      <c r="AK194" s="6797"/>
      <c r="AL194" s="6798"/>
      <c r="AM194" s="6765"/>
      <c r="AN194" s="1021"/>
      <c r="AO194" s="6787"/>
      <c r="AP194" s="6787"/>
      <c r="AQ194" s="6787"/>
      <c r="AR194" s="6788"/>
      <c r="AS194" s="6789"/>
      <c r="AT194" s="6790"/>
      <c r="AU194" s="6786"/>
      <c r="AV194" s="6791"/>
      <c r="AW194" s="6792"/>
      <c r="AX194" s="6791"/>
      <c r="AY194" s="6785"/>
      <c r="AZ194" s="6793"/>
      <c r="BA194" s="6794"/>
      <c r="BB194" s="6795"/>
      <c r="BC194" s="6796"/>
      <c r="BD194" s="6797"/>
      <c r="BE194" s="6798"/>
      <c r="BH194" s="5">
        <v>1</v>
      </c>
    </row>
    <row r="195" spans="2:60" ht="27" customHeight="1">
      <c r="B195" s="1021"/>
      <c r="C195" s="6787"/>
      <c r="D195" s="6787"/>
      <c r="E195" s="6787"/>
      <c r="F195" s="6788"/>
      <c r="G195" s="6789"/>
      <c r="H195" s="6790"/>
      <c r="I195" s="6786"/>
      <c r="J195" s="6791"/>
      <c r="K195" s="6792"/>
      <c r="L195" s="6791"/>
      <c r="M195" s="6785"/>
      <c r="N195" s="6793"/>
      <c r="O195" s="6794"/>
      <c r="P195" s="6795"/>
      <c r="Q195" s="6796"/>
      <c r="R195" s="6797"/>
      <c r="S195" s="6798"/>
      <c r="T195" s="6765"/>
      <c r="U195" s="1021"/>
      <c r="V195" s="6787"/>
      <c r="W195" s="6787"/>
      <c r="X195" s="6787"/>
      <c r="Y195" s="6788"/>
      <c r="Z195" s="6789"/>
      <c r="AA195" s="6790"/>
      <c r="AB195" s="6786"/>
      <c r="AC195" s="6791"/>
      <c r="AD195" s="6792"/>
      <c r="AE195" s="6791"/>
      <c r="AF195" s="6785"/>
      <c r="AG195" s="6793"/>
      <c r="AH195" s="6794"/>
      <c r="AI195" s="6795"/>
      <c r="AJ195" s="6796"/>
      <c r="AK195" s="6797"/>
      <c r="AL195" s="6798"/>
      <c r="AM195" s="6765"/>
      <c r="AN195" s="1021"/>
      <c r="AO195" s="6787"/>
      <c r="AP195" s="6787"/>
      <c r="AQ195" s="6787"/>
      <c r="AR195" s="6788"/>
      <c r="AS195" s="6789"/>
      <c r="AT195" s="6790"/>
      <c r="AU195" s="6786"/>
      <c r="AV195" s="6791"/>
      <c r="AW195" s="6792"/>
      <c r="AX195" s="6791"/>
      <c r="AY195" s="6785"/>
      <c r="AZ195" s="6793"/>
      <c r="BA195" s="6794"/>
      <c r="BB195" s="6795"/>
      <c r="BC195" s="6796"/>
      <c r="BD195" s="6797"/>
      <c r="BE195" s="6798"/>
      <c r="BH195" s="5">
        <v>1</v>
      </c>
    </row>
    <row r="196" spans="2:60" ht="27" customHeight="1">
      <c r="B196" s="1021"/>
      <c r="C196" s="6787"/>
      <c r="D196" s="6787"/>
      <c r="E196" s="6787"/>
      <c r="F196" s="6788"/>
      <c r="G196" s="6789"/>
      <c r="H196" s="6790"/>
      <c r="I196" s="6786"/>
      <c r="J196" s="6791"/>
      <c r="K196" s="6792"/>
      <c r="L196" s="6791"/>
      <c r="M196" s="6785"/>
      <c r="N196" s="6793"/>
      <c r="O196" s="6794"/>
      <c r="P196" s="6795"/>
      <c r="Q196" s="6796"/>
      <c r="R196" s="6797"/>
      <c r="S196" s="6798"/>
      <c r="T196" s="6765"/>
      <c r="U196" s="1021"/>
      <c r="V196" s="6787"/>
      <c r="W196" s="6787"/>
      <c r="X196" s="6787"/>
      <c r="Y196" s="6788"/>
      <c r="Z196" s="6789"/>
      <c r="AA196" s="6790"/>
      <c r="AB196" s="6786"/>
      <c r="AC196" s="6791"/>
      <c r="AD196" s="6792"/>
      <c r="AE196" s="6791"/>
      <c r="AF196" s="6785"/>
      <c r="AG196" s="6793"/>
      <c r="AH196" s="6794"/>
      <c r="AI196" s="6795"/>
      <c r="AJ196" s="6796"/>
      <c r="AK196" s="6797"/>
      <c r="AL196" s="6798"/>
      <c r="AM196" s="6765"/>
      <c r="AN196" s="1021"/>
      <c r="AO196" s="6787"/>
      <c r="AP196" s="6787"/>
      <c r="AQ196" s="6787"/>
      <c r="AR196" s="6788"/>
      <c r="AS196" s="6789"/>
      <c r="AT196" s="6790"/>
      <c r="AU196" s="6786"/>
      <c r="AV196" s="6791"/>
      <c r="AW196" s="6792"/>
      <c r="AX196" s="6791"/>
      <c r="AY196" s="6785"/>
      <c r="AZ196" s="6793"/>
      <c r="BA196" s="6794"/>
      <c r="BB196" s="6795"/>
      <c r="BC196" s="6796"/>
      <c r="BD196" s="6797"/>
      <c r="BE196" s="6798"/>
      <c r="BH196" s="5">
        <v>1</v>
      </c>
    </row>
    <row r="197" spans="2:60" ht="27" customHeight="1">
      <c r="B197" s="1021"/>
      <c r="C197" s="6787"/>
      <c r="D197" s="6787"/>
      <c r="E197" s="6787"/>
      <c r="F197" s="6788"/>
      <c r="G197" s="6789"/>
      <c r="H197" s="6790"/>
      <c r="I197" s="6786"/>
      <c r="J197" s="6791"/>
      <c r="K197" s="6792"/>
      <c r="L197" s="6791"/>
      <c r="M197" s="6785"/>
      <c r="N197" s="6793"/>
      <c r="O197" s="6794"/>
      <c r="P197" s="6795"/>
      <c r="Q197" s="6796"/>
      <c r="R197" s="6797"/>
      <c r="S197" s="6798"/>
      <c r="T197" s="6765"/>
      <c r="U197" s="1021"/>
      <c r="V197" s="6787"/>
      <c r="W197" s="6787"/>
      <c r="X197" s="6787"/>
      <c r="Y197" s="6788"/>
      <c r="Z197" s="6789"/>
      <c r="AA197" s="6790"/>
      <c r="AB197" s="6786"/>
      <c r="AC197" s="6791"/>
      <c r="AD197" s="6792"/>
      <c r="AE197" s="6791"/>
      <c r="AF197" s="6785"/>
      <c r="AG197" s="6793"/>
      <c r="AH197" s="6794"/>
      <c r="AI197" s="6795"/>
      <c r="AJ197" s="6796"/>
      <c r="AK197" s="6797"/>
      <c r="AL197" s="6798"/>
      <c r="AM197" s="6765"/>
      <c r="AN197" s="1021"/>
      <c r="AO197" s="6787"/>
      <c r="AP197" s="6787"/>
      <c r="AQ197" s="6787"/>
      <c r="AR197" s="6788"/>
      <c r="AS197" s="6789"/>
      <c r="AT197" s="6790"/>
      <c r="AU197" s="6786"/>
      <c r="AV197" s="6791"/>
      <c r="AW197" s="6792"/>
      <c r="AX197" s="6791"/>
      <c r="AY197" s="6785"/>
      <c r="AZ197" s="6793"/>
      <c r="BA197" s="6794"/>
      <c r="BB197" s="6795"/>
      <c r="BC197" s="6796"/>
      <c r="BD197" s="6797"/>
      <c r="BE197" s="6798"/>
      <c r="BH197" s="5">
        <v>1</v>
      </c>
    </row>
    <row r="198" spans="2:60" ht="27" customHeight="1">
      <c r="B198" s="1021"/>
      <c r="C198" s="6787"/>
      <c r="D198" s="6787"/>
      <c r="E198" s="6787"/>
      <c r="F198" s="6788"/>
      <c r="G198" s="6789"/>
      <c r="H198" s="6790"/>
      <c r="I198" s="6786"/>
      <c r="J198" s="6791"/>
      <c r="K198" s="6792"/>
      <c r="L198" s="6791"/>
      <c r="M198" s="6785"/>
      <c r="N198" s="6793"/>
      <c r="O198" s="6794"/>
      <c r="P198" s="6795"/>
      <c r="Q198" s="6796"/>
      <c r="R198" s="6797"/>
      <c r="S198" s="6798"/>
      <c r="T198" s="6765"/>
      <c r="U198" s="1021"/>
      <c r="V198" s="6787"/>
      <c r="W198" s="6787"/>
      <c r="X198" s="6787"/>
      <c r="Y198" s="6788"/>
      <c r="Z198" s="6789"/>
      <c r="AA198" s="6790"/>
      <c r="AB198" s="6786"/>
      <c r="AC198" s="6791"/>
      <c r="AD198" s="6792"/>
      <c r="AE198" s="6791"/>
      <c r="AF198" s="6785"/>
      <c r="AG198" s="6793"/>
      <c r="AH198" s="6794"/>
      <c r="AI198" s="6795"/>
      <c r="AJ198" s="6796"/>
      <c r="AK198" s="6797"/>
      <c r="AL198" s="6798"/>
      <c r="AM198" s="6765"/>
      <c r="AN198" s="1021"/>
      <c r="AO198" s="6787"/>
      <c r="AP198" s="6787"/>
      <c r="AQ198" s="6787"/>
      <c r="AR198" s="6788"/>
      <c r="AS198" s="6789"/>
      <c r="AT198" s="6790"/>
      <c r="AU198" s="6786"/>
      <c r="AV198" s="6791"/>
      <c r="AW198" s="6792"/>
      <c r="AX198" s="6791"/>
      <c r="AY198" s="6785"/>
      <c r="AZ198" s="6793"/>
      <c r="BA198" s="6794"/>
      <c r="BB198" s="6795"/>
      <c r="BC198" s="6796"/>
      <c r="BD198" s="6797"/>
      <c r="BE198" s="6798"/>
      <c r="BH198" s="5">
        <v>1</v>
      </c>
    </row>
    <row r="199" spans="2:60" ht="27" customHeight="1">
      <c r="B199" s="1021"/>
      <c r="C199" s="6787"/>
      <c r="D199" s="6787"/>
      <c r="E199" s="6787"/>
      <c r="F199" s="6788"/>
      <c r="G199" s="6789"/>
      <c r="H199" s="6790"/>
      <c r="I199" s="6786"/>
      <c r="J199" s="6791"/>
      <c r="K199" s="6792"/>
      <c r="L199" s="6791"/>
      <c r="M199" s="6785"/>
      <c r="N199" s="6793"/>
      <c r="O199" s="6794"/>
      <c r="P199" s="6795"/>
      <c r="Q199" s="6796"/>
      <c r="R199" s="6797"/>
      <c r="S199" s="6798"/>
      <c r="T199" s="6765"/>
      <c r="U199" s="1021"/>
      <c r="V199" s="6787"/>
      <c r="W199" s="6787"/>
      <c r="X199" s="6787"/>
      <c r="Y199" s="6788"/>
      <c r="Z199" s="6789"/>
      <c r="AA199" s="6790"/>
      <c r="AB199" s="6786"/>
      <c r="AC199" s="6791"/>
      <c r="AD199" s="6792"/>
      <c r="AE199" s="6791"/>
      <c r="AF199" s="6785"/>
      <c r="AG199" s="6793"/>
      <c r="AH199" s="6794"/>
      <c r="AI199" s="6795"/>
      <c r="AJ199" s="6796"/>
      <c r="AK199" s="6797"/>
      <c r="AL199" s="6798"/>
      <c r="AM199" s="6765"/>
      <c r="AN199" s="1021"/>
      <c r="AO199" s="6787"/>
      <c r="AP199" s="6787"/>
      <c r="AQ199" s="6787"/>
      <c r="AR199" s="6788"/>
      <c r="AS199" s="6789"/>
      <c r="AT199" s="6790"/>
      <c r="AU199" s="6786"/>
      <c r="AV199" s="6791"/>
      <c r="AW199" s="6792"/>
      <c r="AX199" s="6791"/>
      <c r="AY199" s="6785"/>
      <c r="AZ199" s="6793"/>
      <c r="BA199" s="6794"/>
      <c r="BB199" s="6795"/>
      <c r="BC199" s="6796"/>
      <c r="BD199" s="6797"/>
      <c r="BE199" s="6798"/>
      <c r="BH199" s="5">
        <v>1</v>
      </c>
    </row>
    <row r="200" spans="2:60" ht="27" customHeight="1">
      <c r="B200" s="1021"/>
      <c r="C200" s="6787"/>
      <c r="D200" s="6787"/>
      <c r="E200" s="6787"/>
      <c r="F200" s="6788"/>
      <c r="G200" s="6789"/>
      <c r="H200" s="6790"/>
      <c r="I200" s="6786"/>
      <c r="J200" s="6791"/>
      <c r="K200" s="6792"/>
      <c r="L200" s="6791"/>
      <c r="M200" s="6785"/>
      <c r="N200" s="6793"/>
      <c r="O200" s="6794"/>
      <c r="P200" s="6795"/>
      <c r="Q200" s="6796"/>
      <c r="R200" s="6797"/>
      <c r="S200" s="6798"/>
      <c r="T200" s="6765"/>
      <c r="U200" s="1021"/>
      <c r="V200" s="6787"/>
      <c r="W200" s="6787"/>
      <c r="X200" s="6787"/>
      <c r="Y200" s="6788"/>
      <c r="Z200" s="6789"/>
      <c r="AA200" s="6790"/>
      <c r="AB200" s="6786"/>
      <c r="AC200" s="6791"/>
      <c r="AD200" s="6792"/>
      <c r="AE200" s="6791"/>
      <c r="AF200" s="6785"/>
      <c r="AG200" s="6793"/>
      <c r="AH200" s="6794"/>
      <c r="AI200" s="6795"/>
      <c r="AJ200" s="6796"/>
      <c r="AK200" s="6797"/>
      <c r="AL200" s="6798"/>
      <c r="AM200" s="6765"/>
      <c r="AN200" s="1021"/>
      <c r="AO200" s="6787"/>
      <c r="AP200" s="6787"/>
      <c r="AQ200" s="6787"/>
      <c r="AR200" s="6788"/>
      <c r="AS200" s="6789"/>
      <c r="AT200" s="6790"/>
      <c r="AU200" s="6786"/>
      <c r="AV200" s="6791"/>
      <c r="AW200" s="6792"/>
      <c r="AX200" s="6791"/>
      <c r="AY200" s="6785"/>
      <c r="AZ200" s="6793"/>
      <c r="BA200" s="6794"/>
      <c r="BB200" s="6795"/>
      <c r="BC200" s="6796"/>
      <c r="BD200" s="6797"/>
      <c r="BE200" s="6798"/>
      <c r="BH200" s="5">
        <v>1</v>
      </c>
    </row>
    <row r="201" spans="2:60" ht="27" customHeight="1">
      <c r="B201" s="1021"/>
      <c r="C201" s="6787"/>
      <c r="D201" s="6787"/>
      <c r="E201" s="6787"/>
      <c r="F201" s="6788"/>
      <c r="G201" s="6789"/>
      <c r="H201" s="6790"/>
      <c r="I201" s="6786"/>
      <c r="J201" s="6791"/>
      <c r="K201" s="6792"/>
      <c r="L201" s="6791"/>
      <c r="M201" s="6785"/>
      <c r="N201" s="6793"/>
      <c r="O201" s="6794"/>
      <c r="P201" s="6795"/>
      <c r="Q201" s="6796"/>
      <c r="R201" s="6797"/>
      <c r="S201" s="6798"/>
      <c r="T201" s="6765"/>
      <c r="U201" s="1021"/>
      <c r="V201" s="6787"/>
      <c r="W201" s="6787"/>
      <c r="X201" s="6787"/>
      <c r="Y201" s="6788"/>
      <c r="Z201" s="6789"/>
      <c r="AA201" s="6790"/>
      <c r="AB201" s="6786"/>
      <c r="AC201" s="6791"/>
      <c r="AD201" s="6792"/>
      <c r="AE201" s="6791"/>
      <c r="AF201" s="6785"/>
      <c r="AG201" s="6793"/>
      <c r="AH201" s="6794"/>
      <c r="AI201" s="6795"/>
      <c r="AJ201" s="6796"/>
      <c r="AK201" s="6797"/>
      <c r="AL201" s="6798"/>
      <c r="AM201" s="6765"/>
      <c r="AN201" s="1021"/>
      <c r="AO201" s="6787"/>
      <c r="AP201" s="6787"/>
      <c r="AQ201" s="6787"/>
      <c r="AR201" s="6788"/>
      <c r="AS201" s="6789"/>
      <c r="AT201" s="6790"/>
      <c r="AU201" s="6786"/>
      <c r="AV201" s="6791"/>
      <c r="AW201" s="6792"/>
      <c r="AX201" s="6791"/>
      <c r="AY201" s="6785"/>
      <c r="AZ201" s="6793"/>
      <c r="BA201" s="6794"/>
      <c r="BB201" s="6795"/>
      <c r="BC201" s="6796"/>
      <c r="BD201" s="6797"/>
      <c r="BE201" s="6798"/>
      <c r="BH201" s="5">
        <v>1</v>
      </c>
    </row>
    <row r="202" spans="2:60" ht="27" customHeight="1">
      <c r="B202" s="1021"/>
      <c r="C202" s="6787"/>
      <c r="D202" s="6787"/>
      <c r="E202" s="6787"/>
      <c r="F202" s="6788"/>
      <c r="G202" s="6789"/>
      <c r="H202" s="6790"/>
      <c r="I202" s="6786"/>
      <c r="J202" s="6791"/>
      <c r="K202" s="6792"/>
      <c r="L202" s="6791"/>
      <c r="M202" s="6785"/>
      <c r="N202" s="6793"/>
      <c r="O202" s="6794"/>
      <c r="P202" s="6795"/>
      <c r="Q202" s="6796"/>
      <c r="R202" s="6797"/>
      <c r="S202" s="6798"/>
      <c r="T202" s="6765"/>
      <c r="U202" s="1021"/>
      <c r="V202" s="6787"/>
      <c r="W202" s="6787"/>
      <c r="X202" s="6787"/>
      <c r="Y202" s="6788"/>
      <c r="Z202" s="6789"/>
      <c r="AA202" s="6790"/>
      <c r="AB202" s="6786"/>
      <c r="AC202" s="6791"/>
      <c r="AD202" s="6792"/>
      <c r="AE202" s="6791"/>
      <c r="AF202" s="6785"/>
      <c r="AG202" s="6793"/>
      <c r="AH202" s="6794"/>
      <c r="AI202" s="6795"/>
      <c r="AJ202" s="6796"/>
      <c r="AK202" s="6797"/>
      <c r="AL202" s="6798"/>
      <c r="AM202" s="6765"/>
      <c r="AN202" s="1021"/>
      <c r="AO202" s="6787"/>
      <c r="AP202" s="6787"/>
      <c r="AQ202" s="6787"/>
      <c r="AR202" s="6788"/>
      <c r="AS202" s="6789"/>
      <c r="AT202" s="6790"/>
      <c r="AU202" s="6786"/>
      <c r="AV202" s="6791"/>
      <c r="AW202" s="6792"/>
      <c r="AX202" s="6791"/>
      <c r="AY202" s="6785"/>
      <c r="AZ202" s="6793"/>
      <c r="BA202" s="6794"/>
      <c r="BB202" s="6795"/>
      <c r="BC202" s="6796"/>
      <c r="BD202" s="6797"/>
      <c r="BE202" s="6798"/>
      <c r="BH202" s="5">
        <v>1</v>
      </c>
    </row>
    <row r="203" spans="2:60" ht="27" customHeight="1">
      <c r="B203" s="1021"/>
      <c r="C203" s="6787"/>
      <c r="D203" s="6787"/>
      <c r="E203" s="6787"/>
      <c r="F203" s="6788"/>
      <c r="G203" s="6789"/>
      <c r="H203" s="6790"/>
      <c r="I203" s="6786"/>
      <c r="J203" s="6791"/>
      <c r="K203" s="6792"/>
      <c r="L203" s="6791"/>
      <c r="M203" s="6785"/>
      <c r="N203" s="6793"/>
      <c r="O203" s="6794"/>
      <c r="P203" s="6795"/>
      <c r="Q203" s="6796"/>
      <c r="R203" s="6797"/>
      <c r="S203" s="6798"/>
      <c r="T203" s="6765"/>
      <c r="U203" s="1021"/>
      <c r="V203" s="6787"/>
      <c r="W203" s="6787"/>
      <c r="X203" s="6787"/>
      <c r="Y203" s="6788"/>
      <c r="Z203" s="6789"/>
      <c r="AA203" s="6790"/>
      <c r="AB203" s="6786"/>
      <c r="AC203" s="6791"/>
      <c r="AD203" s="6792"/>
      <c r="AE203" s="6791"/>
      <c r="AF203" s="6785"/>
      <c r="AG203" s="6793"/>
      <c r="AH203" s="6794"/>
      <c r="AI203" s="6795"/>
      <c r="AJ203" s="6796"/>
      <c r="AK203" s="6797"/>
      <c r="AL203" s="6798"/>
      <c r="AM203" s="6765"/>
      <c r="AN203" s="1021"/>
      <c r="AO203" s="6787"/>
      <c r="AP203" s="6787"/>
      <c r="AQ203" s="6787"/>
      <c r="AR203" s="6788"/>
      <c r="AS203" s="6789"/>
      <c r="AT203" s="6790"/>
      <c r="AU203" s="6786"/>
      <c r="AV203" s="6791"/>
      <c r="AW203" s="6792"/>
      <c r="AX203" s="6791"/>
      <c r="AY203" s="6785"/>
      <c r="AZ203" s="6793"/>
      <c r="BA203" s="6794"/>
      <c r="BB203" s="6795"/>
      <c r="BC203" s="6796"/>
      <c r="BD203" s="6797"/>
      <c r="BE203" s="6798"/>
      <c r="BH203" s="5">
        <v>1</v>
      </c>
    </row>
    <row r="204" spans="2:60" ht="27" customHeight="1">
      <c r="B204" s="1021"/>
      <c r="C204" s="6787"/>
      <c r="D204" s="6787"/>
      <c r="E204" s="6787"/>
      <c r="F204" s="6788"/>
      <c r="G204" s="6789"/>
      <c r="H204" s="6790"/>
      <c r="I204" s="6786"/>
      <c r="J204" s="6791"/>
      <c r="K204" s="6792"/>
      <c r="L204" s="6791"/>
      <c r="M204" s="6785"/>
      <c r="N204" s="6793"/>
      <c r="O204" s="6794"/>
      <c r="P204" s="6795"/>
      <c r="Q204" s="6796"/>
      <c r="R204" s="6797"/>
      <c r="S204" s="6798"/>
      <c r="T204" s="6765"/>
      <c r="U204" s="1021"/>
      <c r="V204" s="6787"/>
      <c r="W204" s="6787"/>
      <c r="X204" s="6787"/>
      <c r="Y204" s="6788"/>
      <c r="Z204" s="6789"/>
      <c r="AA204" s="6790"/>
      <c r="AB204" s="6786"/>
      <c r="AC204" s="6791"/>
      <c r="AD204" s="6792"/>
      <c r="AE204" s="6791"/>
      <c r="AF204" s="6785"/>
      <c r="AG204" s="6793"/>
      <c r="AH204" s="6794"/>
      <c r="AI204" s="6795"/>
      <c r="AJ204" s="6796"/>
      <c r="AK204" s="6797"/>
      <c r="AL204" s="6798"/>
      <c r="AM204" s="6765"/>
      <c r="AN204" s="1021"/>
      <c r="AO204" s="6787"/>
      <c r="AP204" s="6787"/>
      <c r="AQ204" s="6787"/>
      <c r="AR204" s="6788"/>
      <c r="AS204" s="6789"/>
      <c r="AT204" s="6790"/>
      <c r="AU204" s="6786"/>
      <c r="AV204" s="6791"/>
      <c r="AW204" s="6792"/>
      <c r="AX204" s="6791"/>
      <c r="AY204" s="6785"/>
      <c r="AZ204" s="6793"/>
      <c r="BA204" s="6794"/>
      <c r="BB204" s="6795"/>
      <c r="BC204" s="6796"/>
      <c r="BD204" s="6797"/>
      <c r="BE204" s="6798"/>
      <c r="BH204" s="5">
        <v>1</v>
      </c>
    </row>
    <row r="205" spans="2:60" ht="27" customHeight="1">
      <c r="B205" s="1021"/>
      <c r="C205" s="6787"/>
      <c r="D205" s="6787"/>
      <c r="E205" s="6787"/>
      <c r="F205" s="6788"/>
      <c r="G205" s="6789"/>
      <c r="H205" s="6790"/>
      <c r="I205" s="6786"/>
      <c r="J205" s="6791"/>
      <c r="K205" s="6792"/>
      <c r="L205" s="6791"/>
      <c r="M205" s="6785"/>
      <c r="N205" s="6793"/>
      <c r="O205" s="6794"/>
      <c r="P205" s="6795"/>
      <c r="Q205" s="6796"/>
      <c r="R205" s="6797"/>
      <c r="S205" s="6798"/>
      <c r="T205" s="6765"/>
      <c r="U205" s="1021"/>
      <c r="V205" s="6787"/>
      <c r="W205" s="6787"/>
      <c r="X205" s="6787"/>
      <c r="Y205" s="6788"/>
      <c r="Z205" s="6789"/>
      <c r="AA205" s="6790"/>
      <c r="AB205" s="6786"/>
      <c r="AC205" s="6791"/>
      <c r="AD205" s="6792"/>
      <c r="AE205" s="6791"/>
      <c r="AF205" s="6785"/>
      <c r="AG205" s="6793"/>
      <c r="AH205" s="6794"/>
      <c r="AI205" s="6795"/>
      <c r="AJ205" s="6796"/>
      <c r="AK205" s="6797"/>
      <c r="AL205" s="6798"/>
      <c r="AM205" s="6765"/>
      <c r="AN205" s="1021"/>
      <c r="AO205" s="6787"/>
      <c r="AP205" s="6787"/>
      <c r="AQ205" s="6787"/>
      <c r="AR205" s="6788"/>
      <c r="AS205" s="6789"/>
      <c r="AT205" s="6790"/>
      <c r="AU205" s="6786"/>
      <c r="AV205" s="6791"/>
      <c r="AW205" s="6792"/>
      <c r="AX205" s="6791"/>
      <c r="AY205" s="6785"/>
      <c r="AZ205" s="6793"/>
      <c r="BA205" s="6794"/>
      <c r="BB205" s="6795"/>
      <c r="BC205" s="6796"/>
      <c r="BD205" s="6797"/>
      <c r="BE205" s="6798"/>
      <c r="BH205" s="5">
        <v>1</v>
      </c>
    </row>
    <row r="206" spans="2:60" ht="27" customHeight="1">
      <c r="B206" s="1021"/>
      <c r="C206" s="6787"/>
      <c r="D206" s="6787"/>
      <c r="E206" s="6787"/>
      <c r="F206" s="6788"/>
      <c r="G206" s="6789"/>
      <c r="H206" s="6790"/>
      <c r="I206" s="6786"/>
      <c r="J206" s="6791"/>
      <c r="K206" s="6792"/>
      <c r="L206" s="6791"/>
      <c r="M206" s="6785"/>
      <c r="N206" s="6793"/>
      <c r="O206" s="6794"/>
      <c r="P206" s="6795"/>
      <c r="Q206" s="6796"/>
      <c r="R206" s="6797"/>
      <c r="S206" s="6798"/>
      <c r="T206" s="6765"/>
      <c r="U206" s="1021"/>
      <c r="V206" s="6787"/>
      <c r="W206" s="6787"/>
      <c r="X206" s="6787"/>
      <c r="Y206" s="6788"/>
      <c r="Z206" s="6789"/>
      <c r="AA206" s="6790"/>
      <c r="AB206" s="6786"/>
      <c r="AC206" s="6791"/>
      <c r="AD206" s="6792"/>
      <c r="AE206" s="6791"/>
      <c r="AF206" s="6785"/>
      <c r="AG206" s="6793"/>
      <c r="AH206" s="6794"/>
      <c r="AI206" s="6795"/>
      <c r="AJ206" s="6796"/>
      <c r="AK206" s="6797"/>
      <c r="AL206" s="6798"/>
      <c r="AM206" s="6765"/>
      <c r="AN206" s="1021"/>
      <c r="AO206" s="6787"/>
      <c r="AP206" s="6787"/>
      <c r="AQ206" s="6787"/>
      <c r="AR206" s="6788"/>
      <c r="AS206" s="6789"/>
      <c r="AT206" s="6790"/>
      <c r="AU206" s="6786"/>
      <c r="AV206" s="6791"/>
      <c r="AW206" s="6792"/>
      <c r="AX206" s="6791"/>
      <c r="AY206" s="6785"/>
      <c r="AZ206" s="6793"/>
      <c r="BA206" s="6794"/>
      <c r="BB206" s="6795"/>
      <c r="BC206" s="6796"/>
      <c r="BD206" s="6797"/>
      <c r="BE206" s="6798"/>
      <c r="BH206" s="5">
        <v>1</v>
      </c>
    </row>
    <row r="207" spans="2:60" ht="27" customHeight="1">
      <c r="B207" s="1021"/>
      <c r="C207" s="6787"/>
      <c r="D207" s="6787"/>
      <c r="E207" s="6787"/>
      <c r="F207" s="6788"/>
      <c r="G207" s="6789"/>
      <c r="H207" s="6790"/>
      <c r="I207" s="6786"/>
      <c r="J207" s="6791"/>
      <c r="K207" s="6792"/>
      <c r="L207" s="6791"/>
      <c r="M207" s="6785"/>
      <c r="N207" s="6793"/>
      <c r="O207" s="6794"/>
      <c r="P207" s="6795"/>
      <c r="Q207" s="6796"/>
      <c r="R207" s="6797"/>
      <c r="S207" s="6798"/>
      <c r="T207" s="6765"/>
      <c r="U207" s="1021"/>
      <c r="V207" s="6787"/>
      <c r="W207" s="6787"/>
      <c r="X207" s="6787"/>
      <c r="Y207" s="6788"/>
      <c r="Z207" s="6789"/>
      <c r="AA207" s="6790"/>
      <c r="AB207" s="6786"/>
      <c r="AC207" s="6791"/>
      <c r="AD207" s="6792"/>
      <c r="AE207" s="6791"/>
      <c r="AF207" s="6785"/>
      <c r="AG207" s="6793"/>
      <c r="AH207" s="6794"/>
      <c r="AI207" s="6795"/>
      <c r="AJ207" s="6796"/>
      <c r="AK207" s="6797"/>
      <c r="AL207" s="6798"/>
      <c r="AM207" s="6765"/>
      <c r="AN207" s="1021"/>
      <c r="AO207" s="6787"/>
      <c r="AP207" s="6787"/>
      <c r="AQ207" s="6787"/>
      <c r="AR207" s="6788"/>
      <c r="AS207" s="6789"/>
      <c r="AT207" s="6790"/>
      <c r="AU207" s="6786"/>
      <c r="AV207" s="6791"/>
      <c r="AW207" s="6792"/>
      <c r="AX207" s="6791"/>
      <c r="AY207" s="6785"/>
      <c r="AZ207" s="6793"/>
      <c r="BA207" s="6794"/>
      <c r="BB207" s="6795"/>
      <c r="BC207" s="6796"/>
      <c r="BD207" s="6797"/>
      <c r="BE207" s="6798"/>
      <c r="BH207" s="5">
        <v>1</v>
      </c>
    </row>
    <row r="208" spans="2:60" ht="27" customHeight="1">
      <c r="B208" s="1021"/>
      <c r="C208" s="6787"/>
      <c r="D208" s="6787"/>
      <c r="E208" s="6787"/>
      <c r="F208" s="6788"/>
      <c r="G208" s="6789"/>
      <c r="H208" s="6790"/>
      <c r="I208" s="6786"/>
      <c r="J208" s="6791"/>
      <c r="K208" s="6792"/>
      <c r="L208" s="6791"/>
      <c r="M208" s="6785"/>
      <c r="N208" s="6793"/>
      <c r="O208" s="6794"/>
      <c r="P208" s="6795"/>
      <c r="Q208" s="6796"/>
      <c r="R208" s="6797"/>
      <c r="S208" s="6798"/>
      <c r="T208" s="6765"/>
      <c r="U208" s="1021"/>
      <c r="V208" s="6787"/>
      <c r="W208" s="6787"/>
      <c r="X208" s="6787"/>
      <c r="Y208" s="6788"/>
      <c r="Z208" s="6789"/>
      <c r="AA208" s="6790"/>
      <c r="AB208" s="6786"/>
      <c r="AC208" s="6791"/>
      <c r="AD208" s="6792"/>
      <c r="AE208" s="6791"/>
      <c r="AF208" s="6785"/>
      <c r="AG208" s="6793"/>
      <c r="AH208" s="6794"/>
      <c r="AI208" s="6795"/>
      <c r="AJ208" s="6796"/>
      <c r="AK208" s="6797"/>
      <c r="AL208" s="6798"/>
      <c r="AM208" s="6765"/>
      <c r="AN208" s="1021"/>
      <c r="AO208" s="6787"/>
      <c r="AP208" s="6787"/>
      <c r="AQ208" s="6787"/>
      <c r="AR208" s="6788"/>
      <c r="AS208" s="6789"/>
      <c r="AT208" s="6790"/>
      <c r="AU208" s="6786"/>
      <c r="AV208" s="6791"/>
      <c r="AW208" s="6792"/>
      <c r="AX208" s="6791"/>
      <c r="AY208" s="6785"/>
      <c r="AZ208" s="6793"/>
      <c r="BA208" s="6794"/>
      <c r="BB208" s="6795"/>
      <c r="BC208" s="6796"/>
      <c r="BD208" s="6797"/>
      <c r="BE208" s="6798"/>
      <c r="BH208" s="5">
        <v>1</v>
      </c>
    </row>
    <row r="209" spans="2:60" ht="27" customHeight="1">
      <c r="B209" s="1021"/>
      <c r="C209" s="6787"/>
      <c r="D209" s="6787"/>
      <c r="E209" s="6787"/>
      <c r="F209" s="6788"/>
      <c r="G209" s="6789"/>
      <c r="H209" s="6790"/>
      <c r="I209" s="6786"/>
      <c r="J209" s="6791"/>
      <c r="K209" s="6792"/>
      <c r="L209" s="6791"/>
      <c r="M209" s="6785"/>
      <c r="N209" s="6793"/>
      <c r="O209" s="6794"/>
      <c r="P209" s="6795"/>
      <c r="Q209" s="6796"/>
      <c r="R209" s="6797"/>
      <c r="S209" s="6798"/>
      <c r="T209" s="6765"/>
      <c r="U209" s="1021"/>
      <c r="V209" s="6787"/>
      <c r="W209" s="6787"/>
      <c r="X209" s="6787"/>
      <c r="Y209" s="6788"/>
      <c r="Z209" s="6789"/>
      <c r="AA209" s="6790"/>
      <c r="AB209" s="6786"/>
      <c r="AC209" s="6791"/>
      <c r="AD209" s="6792"/>
      <c r="AE209" s="6791"/>
      <c r="AF209" s="6785"/>
      <c r="AG209" s="6793"/>
      <c r="AH209" s="6794"/>
      <c r="AI209" s="6795"/>
      <c r="AJ209" s="6796"/>
      <c r="AK209" s="6797"/>
      <c r="AL209" s="6798"/>
      <c r="AM209" s="6765"/>
      <c r="AN209" s="1021"/>
      <c r="AO209" s="6787"/>
      <c r="AP209" s="6787"/>
      <c r="AQ209" s="6787"/>
      <c r="AR209" s="6788"/>
      <c r="AS209" s="6789"/>
      <c r="AT209" s="6790"/>
      <c r="AU209" s="6786"/>
      <c r="AV209" s="6791"/>
      <c r="AW209" s="6792"/>
      <c r="AX209" s="6791"/>
      <c r="AY209" s="6785"/>
      <c r="AZ209" s="6793"/>
      <c r="BA209" s="6794"/>
      <c r="BB209" s="6795"/>
      <c r="BC209" s="6796"/>
      <c r="BD209" s="6797"/>
      <c r="BE209" s="6798"/>
      <c r="BH209" s="5">
        <v>1</v>
      </c>
    </row>
    <row r="210" spans="2:60" ht="27" customHeight="1">
      <c r="B210" s="1021"/>
      <c r="C210" s="6787"/>
      <c r="D210" s="6787"/>
      <c r="E210" s="6787"/>
      <c r="F210" s="6788"/>
      <c r="G210" s="6789"/>
      <c r="H210" s="6790"/>
      <c r="I210" s="6786"/>
      <c r="J210" s="6791"/>
      <c r="K210" s="6792"/>
      <c r="L210" s="6791"/>
      <c r="M210" s="6785"/>
      <c r="N210" s="6793"/>
      <c r="O210" s="6794"/>
      <c r="P210" s="6795"/>
      <c r="Q210" s="6796"/>
      <c r="R210" s="6797"/>
      <c r="S210" s="6798"/>
      <c r="T210" s="6765"/>
      <c r="U210" s="1021"/>
      <c r="V210" s="6787"/>
      <c r="W210" s="6787"/>
      <c r="X210" s="6787"/>
      <c r="Y210" s="6788"/>
      <c r="Z210" s="6789"/>
      <c r="AA210" s="6790"/>
      <c r="AB210" s="6786"/>
      <c r="AC210" s="6791"/>
      <c r="AD210" s="6792"/>
      <c r="AE210" s="6791"/>
      <c r="AF210" s="6785"/>
      <c r="AG210" s="6793"/>
      <c r="AH210" s="6794"/>
      <c r="AI210" s="6795"/>
      <c r="AJ210" s="6796"/>
      <c r="AK210" s="6797"/>
      <c r="AL210" s="6798"/>
      <c r="AM210" s="6765"/>
      <c r="AN210" s="1021"/>
      <c r="AO210" s="6787"/>
      <c r="AP210" s="6787"/>
      <c r="AQ210" s="6787"/>
      <c r="AR210" s="6788"/>
      <c r="AS210" s="6789"/>
      <c r="AT210" s="6790"/>
      <c r="AU210" s="6786"/>
      <c r="AV210" s="6791"/>
      <c r="AW210" s="6792"/>
      <c r="AX210" s="6791"/>
      <c r="AY210" s="6785"/>
      <c r="AZ210" s="6793"/>
      <c r="BA210" s="6794"/>
      <c r="BB210" s="6795"/>
      <c r="BC210" s="6796"/>
      <c r="BD210" s="6797"/>
      <c r="BE210" s="6798"/>
      <c r="BH210" s="5">
        <v>1</v>
      </c>
    </row>
    <row r="211" spans="2:60" ht="27" customHeight="1">
      <c r="B211" s="1021"/>
      <c r="C211" s="6787"/>
      <c r="D211" s="6787"/>
      <c r="E211" s="6787"/>
      <c r="F211" s="6788"/>
      <c r="G211" s="6789"/>
      <c r="H211" s="6790"/>
      <c r="I211" s="6786"/>
      <c r="J211" s="6791"/>
      <c r="K211" s="6792"/>
      <c r="L211" s="6791"/>
      <c r="M211" s="6785"/>
      <c r="N211" s="6793"/>
      <c r="O211" s="6794"/>
      <c r="P211" s="6795"/>
      <c r="Q211" s="6796"/>
      <c r="R211" s="6797"/>
      <c r="S211" s="6798"/>
      <c r="T211" s="6765"/>
      <c r="U211" s="1021"/>
      <c r="V211" s="6787"/>
      <c r="W211" s="6787"/>
      <c r="X211" s="6787"/>
      <c r="Y211" s="6788"/>
      <c r="Z211" s="6789"/>
      <c r="AA211" s="6790"/>
      <c r="AB211" s="6786"/>
      <c r="AC211" s="6791"/>
      <c r="AD211" s="6792"/>
      <c r="AE211" s="6791"/>
      <c r="AF211" s="6785"/>
      <c r="AG211" s="6793"/>
      <c r="AH211" s="6794"/>
      <c r="AI211" s="6795"/>
      <c r="AJ211" s="6796"/>
      <c r="AK211" s="6797"/>
      <c r="AL211" s="6798"/>
      <c r="AM211" s="6765"/>
      <c r="AN211" s="1021"/>
      <c r="AO211" s="6787"/>
      <c r="AP211" s="6787"/>
      <c r="AQ211" s="6787"/>
      <c r="AR211" s="6788"/>
      <c r="AS211" s="6789"/>
      <c r="AT211" s="6790"/>
      <c r="AU211" s="6786"/>
      <c r="AV211" s="6791"/>
      <c r="AW211" s="6792"/>
      <c r="AX211" s="6791"/>
      <c r="AY211" s="6785"/>
      <c r="AZ211" s="6793"/>
      <c r="BA211" s="6794"/>
      <c r="BB211" s="6795"/>
      <c r="BC211" s="6796"/>
      <c r="BD211" s="6797"/>
      <c r="BE211" s="6798"/>
      <c r="BH211" s="5">
        <v>1</v>
      </c>
    </row>
    <row r="212" spans="2:60" ht="27" customHeight="1">
      <c r="B212" s="1021"/>
      <c r="C212" s="6787"/>
      <c r="D212" s="6787"/>
      <c r="E212" s="6787"/>
      <c r="F212" s="6788"/>
      <c r="G212" s="6789"/>
      <c r="H212" s="6790"/>
      <c r="I212" s="6786"/>
      <c r="J212" s="6791"/>
      <c r="K212" s="6792"/>
      <c r="L212" s="6791"/>
      <c r="M212" s="6785"/>
      <c r="N212" s="6793"/>
      <c r="O212" s="6794"/>
      <c r="P212" s="6795"/>
      <c r="Q212" s="6796"/>
      <c r="R212" s="6797"/>
      <c r="S212" s="6798"/>
      <c r="T212" s="6765"/>
      <c r="U212" s="1021"/>
      <c r="V212" s="6787"/>
      <c r="W212" s="6787"/>
      <c r="X212" s="6787"/>
      <c r="Y212" s="6788"/>
      <c r="Z212" s="6789"/>
      <c r="AA212" s="6790"/>
      <c r="AB212" s="6786"/>
      <c r="AC212" s="6791"/>
      <c r="AD212" s="6792"/>
      <c r="AE212" s="6791"/>
      <c r="AF212" s="6785"/>
      <c r="AG212" s="6793"/>
      <c r="AH212" s="6794"/>
      <c r="AI212" s="6795"/>
      <c r="AJ212" s="6796"/>
      <c r="AK212" s="6797"/>
      <c r="AL212" s="6798"/>
      <c r="AM212" s="6765"/>
      <c r="AN212" s="1021"/>
      <c r="AO212" s="6787"/>
      <c r="AP212" s="6787"/>
      <c r="AQ212" s="6787"/>
      <c r="AR212" s="6788"/>
      <c r="AS212" s="6789"/>
      <c r="AT212" s="6790"/>
      <c r="AU212" s="6786"/>
      <c r="AV212" s="6791"/>
      <c r="AW212" s="6792"/>
      <c r="AX212" s="6791"/>
      <c r="AY212" s="6785"/>
      <c r="AZ212" s="6793"/>
      <c r="BA212" s="6794"/>
      <c r="BB212" s="6795"/>
      <c r="BC212" s="6796"/>
      <c r="BD212" s="6797"/>
      <c r="BE212" s="6798"/>
      <c r="BH212" s="5">
        <v>1</v>
      </c>
    </row>
    <row r="213" spans="2:60" ht="27" customHeight="1">
      <c r="B213" s="1021"/>
      <c r="C213" s="6787"/>
      <c r="D213" s="6787"/>
      <c r="E213" s="6787"/>
      <c r="F213" s="6788"/>
      <c r="G213" s="6789"/>
      <c r="H213" s="6790"/>
      <c r="I213" s="6786"/>
      <c r="J213" s="6791"/>
      <c r="K213" s="6792"/>
      <c r="L213" s="6791"/>
      <c r="M213" s="6785"/>
      <c r="N213" s="6793"/>
      <c r="O213" s="6794"/>
      <c r="P213" s="6795"/>
      <c r="Q213" s="6796"/>
      <c r="R213" s="6797"/>
      <c r="S213" s="6798"/>
      <c r="T213" s="6765"/>
      <c r="U213" s="1021"/>
      <c r="V213" s="6787"/>
      <c r="W213" s="6787"/>
      <c r="X213" s="6787"/>
      <c r="Y213" s="6788"/>
      <c r="Z213" s="6789"/>
      <c r="AA213" s="6790"/>
      <c r="AB213" s="6786"/>
      <c r="AC213" s="6791"/>
      <c r="AD213" s="6792"/>
      <c r="AE213" s="6791"/>
      <c r="AF213" s="6785"/>
      <c r="AG213" s="6793"/>
      <c r="AH213" s="6794"/>
      <c r="AI213" s="6795"/>
      <c r="AJ213" s="6796"/>
      <c r="AK213" s="6797"/>
      <c r="AL213" s="6798"/>
      <c r="AM213" s="6765"/>
      <c r="AN213" s="1021"/>
      <c r="AO213" s="6787"/>
      <c r="AP213" s="6787"/>
      <c r="AQ213" s="6787"/>
      <c r="AR213" s="6788"/>
      <c r="AS213" s="6789"/>
      <c r="AT213" s="6790"/>
      <c r="AU213" s="6786"/>
      <c r="AV213" s="6791"/>
      <c r="AW213" s="6792"/>
      <c r="AX213" s="6791"/>
      <c r="AY213" s="6785"/>
      <c r="AZ213" s="6793"/>
      <c r="BA213" s="6794"/>
      <c r="BB213" s="6795"/>
      <c r="BC213" s="6796"/>
      <c r="BD213" s="6797"/>
      <c r="BE213" s="6798"/>
      <c r="BH213" s="5">
        <v>1</v>
      </c>
    </row>
    <row r="214" spans="2:60" ht="27" customHeight="1">
      <c r="B214" s="1021"/>
      <c r="C214" s="6787"/>
      <c r="D214" s="6787"/>
      <c r="E214" s="6787"/>
      <c r="F214" s="6788"/>
      <c r="G214" s="6789"/>
      <c r="H214" s="6790"/>
      <c r="I214" s="6786"/>
      <c r="J214" s="6791"/>
      <c r="K214" s="6792"/>
      <c r="L214" s="6791"/>
      <c r="M214" s="6785"/>
      <c r="N214" s="6793"/>
      <c r="O214" s="6794"/>
      <c r="P214" s="6795"/>
      <c r="Q214" s="6796"/>
      <c r="R214" s="6797"/>
      <c r="S214" s="6798"/>
      <c r="T214" s="6765"/>
      <c r="U214" s="1021"/>
      <c r="V214" s="6787"/>
      <c r="W214" s="6787"/>
      <c r="X214" s="6787"/>
      <c r="Y214" s="6788"/>
      <c r="Z214" s="6789"/>
      <c r="AA214" s="6790"/>
      <c r="AB214" s="6786"/>
      <c r="AC214" s="6791"/>
      <c r="AD214" s="6792"/>
      <c r="AE214" s="6791"/>
      <c r="AF214" s="6785"/>
      <c r="AG214" s="6793"/>
      <c r="AH214" s="6794"/>
      <c r="AI214" s="6795"/>
      <c r="AJ214" s="6796"/>
      <c r="AK214" s="6797"/>
      <c r="AL214" s="6798"/>
      <c r="AM214" s="6765"/>
      <c r="AN214" s="1021"/>
      <c r="AO214" s="6787"/>
      <c r="AP214" s="6787"/>
      <c r="AQ214" s="6787"/>
      <c r="AR214" s="6788"/>
      <c r="AS214" s="6789"/>
      <c r="AT214" s="6790"/>
      <c r="AU214" s="6786"/>
      <c r="AV214" s="6791"/>
      <c r="AW214" s="6792"/>
      <c r="AX214" s="6791"/>
      <c r="AY214" s="6785"/>
      <c r="AZ214" s="6793"/>
      <c r="BA214" s="6794"/>
      <c r="BB214" s="6795"/>
      <c r="BC214" s="6796"/>
      <c r="BD214" s="6797"/>
      <c r="BE214" s="6798"/>
      <c r="BH214" s="5">
        <v>1</v>
      </c>
    </row>
    <row r="215" spans="2:60" ht="27" customHeight="1">
      <c r="B215" s="1021"/>
      <c r="C215" s="6787"/>
      <c r="D215" s="6787"/>
      <c r="E215" s="6787"/>
      <c r="F215" s="6788"/>
      <c r="G215" s="6789"/>
      <c r="H215" s="6790"/>
      <c r="I215" s="6786"/>
      <c r="J215" s="6791"/>
      <c r="K215" s="6792"/>
      <c r="L215" s="6791"/>
      <c r="M215" s="6785"/>
      <c r="N215" s="6793"/>
      <c r="O215" s="6794"/>
      <c r="P215" s="6795"/>
      <c r="Q215" s="6796"/>
      <c r="R215" s="6797"/>
      <c r="S215" s="6798"/>
      <c r="T215" s="6765"/>
      <c r="U215" s="1021"/>
      <c r="V215" s="6787"/>
      <c r="W215" s="6787"/>
      <c r="X215" s="6787"/>
      <c r="Y215" s="6788"/>
      <c r="Z215" s="6789"/>
      <c r="AA215" s="6790"/>
      <c r="AB215" s="6786"/>
      <c r="AC215" s="6791"/>
      <c r="AD215" s="6792"/>
      <c r="AE215" s="6791"/>
      <c r="AF215" s="6785"/>
      <c r="AG215" s="6793"/>
      <c r="AH215" s="6794"/>
      <c r="AI215" s="6795"/>
      <c r="AJ215" s="6796"/>
      <c r="AK215" s="6797"/>
      <c r="AL215" s="6798"/>
      <c r="AM215" s="6765"/>
      <c r="AN215" s="1021"/>
      <c r="AO215" s="6787"/>
      <c r="AP215" s="6787"/>
      <c r="AQ215" s="6787"/>
      <c r="AR215" s="6788"/>
      <c r="AS215" s="6789"/>
      <c r="AT215" s="6790"/>
      <c r="AU215" s="6786"/>
      <c r="AV215" s="6791"/>
      <c r="AW215" s="6792"/>
      <c r="AX215" s="6791"/>
      <c r="AY215" s="6785"/>
      <c r="AZ215" s="6793"/>
      <c r="BA215" s="6794"/>
      <c r="BB215" s="6795"/>
      <c r="BC215" s="6796"/>
      <c r="BD215" s="6797"/>
      <c r="BE215" s="6798"/>
      <c r="BH215" s="5">
        <v>1</v>
      </c>
    </row>
    <row r="216" spans="2:60" ht="27" customHeight="1">
      <c r="B216" s="1021"/>
      <c r="C216" s="6787"/>
      <c r="D216" s="6787"/>
      <c r="E216" s="6787"/>
      <c r="F216" s="6788"/>
      <c r="G216" s="6789"/>
      <c r="H216" s="6790"/>
      <c r="I216" s="6786"/>
      <c r="J216" s="6791"/>
      <c r="K216" s="6792"/>
      <c r="L216" s="6791"/>
      <c r="M216" s="6785"/>
      <c r="N216" s="6793"/>
      <c r="O216" s="6794"/>
      <c r="P216" s="6795"/>
      <c r="Q216" s="6796"/>
      <c r="R216" s="6797"/>
      <c r="S216" s="6798"/>
      <c r="T216" s="6765"/>
      <c r="U216" s="1021"/>
      <c r="V216" s="6787"/>
      <c r="W216" s="6787"/>
      <c r="X216" s="6787"/>
      <c r="Y216" s="6788"/>
      <c r="Z216" s="6789"/>
      <c r="AA216" s="6790"/>
      <c r="AB216" s="6786"/>
      <c r="AC216" s="6791"/>
      <c r="AD216" s="6792"/>
      <c r="AE216" s="6791"/>
      <c r="AF216" s="6785"/>
      <c r="AG216" s="6793"/>
      <c r="AH216" s="6794"/>
      <c r="AI216" s="6795"/>
      <c r="AJ216" s="6796"/>
      <c r="AK216" s="6797"/>
      <c r="AL216" s="6798"/>
      <c r="AM216" s="6765"/>
      <c r="AN216" s="1021"/>
      <c r="AO216" s="6787"/>
      <c r="AP216" s="6787"/>
      <c r="AQ216" s="6787"/>
      <c r="AR216" s="6788"/>
      <c r="AS216" s="6789"/>
      <c r="AT216" s="6790"/>
      <c r="AU216" s="6786"/>
      <c r="AV216" s="6791"/>
      <c r="AW216" s="6792"/>
      <c r="AX216" s="6791"/>
      <c r="AY216" s="6785"/>
      <c r="AZ216" s="6793"/>
      <c r="BA216" s="6794"/>
      <c r="BB216" s="6795"/>
      <c r="BC216" s="6796"/>
      <c r="BD216" s="6797"/>
      <c r="BE216" s="6798"/>
      <c r="BH216" s="5">
        <v>1</v>
      </c>
    </row>
    <row r="217" spans="2:60" ht="27" customHeight="1">
      <c r="B217" s="1021"/>
      <c r="C217" s="6787"/>
      <c r="D217" s="6787"/>
      <c r="E217" s="6787"/>
      <c r="F217" s="6788"/>
      <c r="G217" s="6789"/>
      <c r="H217" s="6790"/>
      <c r="I217" s="6786"/>
      <c r="J217" s="6791"/>
      <c r="K217" s="6792"/>
      <c r="L217" s="6791"/>
      <c r="M217" s="6785"/>
      <c r="N217" s="6793"/>
      <c r="O217" s="6794"/>
      <c r="P217" s="6795"/>
      <c r="Q217" s="6796"/>
      <c r="R217" s="6797"/>
      <c r="S217" s="6798"/>
      <c r="T217" s="6765"/>
      <c r="U217" s="1021"/>
      <c r="V217" s="6787"/>
      <c r="W217" s="6787"/>
      <c r="X217" s="6787"/>
      <c r="Y217" s="6788"/>
      <c r="Z217" s="6789"/>
      <c r="AA217" s="6790"/>
      <c r="AB217" s="6786"/>
      <c r="AC217" s="6791"/>
      <c r="AD217" s="6792"/>
      <c r="AE217" s="6791"/>
      <c r="AF217" s="6785"/>
      <c r="AG217" s="6793"/>
      <c r="AH217" s="6794"/>
      <c r="AI217" s="6795"/>
      <c r="AJ217" s="6796"/>
      <c r="AK217" s="6797"/>
      <c r="AL217" s="6798"/>
      <c r="AM217" s="6765"/>
      <c r="AN217" s="1021"/>
      <c r="AO217" s="6787"/>
      <c r="AP217" s="6787"/>
      <c r="AQ217" s="6787"/>
      <c r="AR217" s="6788"/>
      <c r="AS217" s="6789"/>
      <c r="AT217" s="6790"/>
      <c r="AU217" s="6786"/>
      <c r="AV217" s="6791"/>
      <c r="AW217" s="6792"/>
      <c r="AX217" s="6791"/>
      <c r="AY217" s="6785"/>
      <c r="AZ217" s="6793"/>
      <c r="BA217" s="6794"/>
      <c r="BB217" s="6795"/>
      <c r="BC217" s="6796"/>
      <c r="BD217" s="6797"/>
      <c r="BE217" s="6798"/>
      <c r="BH217" s="5">
        <v>1</v>
      </c>
    </row>
    <row r="218" spans="2:60" ht="27" customHeight="1">
      <c r="B218" s="1021"/>
      <c r="C218" s="6787"/>
      <c r="D218" s="6787"/>
      <c r="E218" s="6787"/>
      <c r="F218" s="6788"/>
      <c r="G218" s="6789"/>
      <c r="H218" s="6790"/>
      <c r="I218" s="6786"/>
      <c r="J218" s="6791"/>
      <c r="K218" s="6792"/>
      <c r="L218" s="6791"/>
      <c r="M218" s="6785"/>
      <c r="N218" s="6793"/>
      <c r="O218" s="6794"/>
      <c r="P218" s="6795"/>
      <c r="Q218" s="6796"/>
      <c r="R218" s="6797"/>
      <c r="S218" s="6798"/>
      <c r="T218" s="6765"/>
      <c r="U218" s="1021"/>
      <c r="V218" s="6787"/>
      <c r="W218" s="6787"/>
      <c r="X218" s="6787"/>
      <c r="Y218" s="6788"/>
      <c r="Z218" s="6789"/>
      <c r="AA218" s="6790"/>
      <c r="AB218" s="6786"/>
      <c r="AC218" s="6791"/>
      <c r="AD218" s="6792"/>
      <c r="AE218" s="6791"/>
      <c r="AF218" s="6785"/>
      <c r="AG218" s="6793"/>
      <c r="AH218" s="6794"/>
      <c r="AI218" s="6795"/>
      <c r="AJ218" s="6796"/>
      <c r="AK218" s="6797"/>
      <c r="AL218" s="6798"/>
      <c r="AM218" s="6765"/>
      <c r="AN218" s="1021"/>
      <c r="AO218" s="6787"/>
      <c r="AP218" s="6787"/>
      <c r="AQ218" s="6787"/>
      <c r="AR218" s="6788"/>
      <c r="AS218" s="6789"/>
      <c r="AT218" s="6790"/>
      <c r="AU218" s="6786"/>
      <c r="AV218" s="6791"/>
      <c r="AW218" s="6792"/>
      <c r="AX218" s="6791"/>
      <c r="AY218" s="6785"/>
      <c r="AZ218" s="6793"/>
      <c r="BA218" s="6794"/>
      <c r="BB218" s="6795"/>
      <c r="BC218" s="6796"/>
      <c r="BD218" s="6797"/>
      <c r="BE218" s="6798"/>
      <c r="BH218" s="5">
        <v>1</v>
      </c>
    </row>
    <row r="219" spans="2:60" ht="27" customHeight="1">
      <c r="B219" s="1021"/>
      <c r="C219" s="6787"/>
      <c r="D219" s="6787"/>
      <c r="E219" s="6787"/>
      <c r="F219" s="6788"/>
      <c r="G219" s="6789"/>
      <c r="H219" s="6790"/>
      <c r="I219" s="6786"/>
      <c r="J219" s="6791"/>
      <c r="K219" s="6792"/>
      <c r="L219" s="6791"/>
      <c r="M219" s="6785"/>
      <c r="N219" s="6793"/>
      <c r="O219" s="6794"/>
      <c r="P219" s="6795"/>
      <c r="Q219" s="6796"/>
      <c r="R219" s="6797"/>
      <c r="S219" s="6798"/>
      <c r="T219" s="6765"/>
      <c r="U219" s="1021"/>
      <c r="V219" s="6787"/>
      <c r="W219" s="6787"/>
      <c r="X219" s="6787"/>
      <c r="Y219" s="6788"/>
      <c r="Z219" s="6789"/>
      <c r="AA219" s="6790"/>
      <c r="AB219" s="6786"/>
      <c r="AC219" s="6791"/>
      <c r="AD219" s="6792"/>
      <c r="AE219" s="6791"/>
      <c r="AF219" s="6785"/>
      <c r="AG219" s="6793"/>
      <c r="AH219" s="6794"/>
      <c r="AI219" s="6795"/>
      <c r="AJ219" s="6796"/>
      <c r="AK219" s="6797"/>
      <c r="AL219" s="6798"/>
      <c r="AM219" s="6765"/>
      <c r="AN219" s="1021"/>
      <c r="AO219" s="6787"/>
      <c r="AP219" s="6787"/>
      <c r="AQ219" s="6787"/>
      <c r="AR219" s="6788"/>
      <c r="AS219" s="6789"/>
      <c r="AT219" s="6790"/>
      <c r="AU219" s="6786"/>
      <c r="AV219" s="6791"/>
      <c r="AW219" s="6792"/>
      <c r="AX219" s="6791"/>
      <c r="AY219" s="6785"/>
      <c r="AZ219" s="6793"/>
      <c r="BA219" s="6794"/>
      <c r="BB219" s="6795"/>
      <c r="BC219" s="6796"/>
      <c r="BD219" s="6797"/>
      <c r="BE219" s="6798"/>
      <c r="BH219" s="5">
        <v>1</v>
      </c>
    </row>
    <row r="220" spans="2:60" ht="27" customHeight="1">
      <c r="B220" s="1021"/>
      <c r="C220" s="6787"/>
      <c r="D220" s="6787"/>
      <c r="E220" s="6787"/>
      <c r="F220" s="6788"/>
      <c r="G220" s="6789"/>
      <c r="H220" s="6790"/>
      <c r="I220" s="6786"/>
      <c r="J220" s="6791"/>
      <c r="K220" s="6792"/>
      <c r="L220" s="6791"/>
      <c r="M220" s="6785"/>
      <c r="N220" s="6793"/>
      <c r="O220" s="6794"/>
      <c r="P220" s="6795"/>
      <c r="Q220" s="6796"/>
      <c r="R220" s="6797"/>
      <c r="S220" s="6798"/>
      <c r="T220" s="6765"/>
      <c r="U220" s="1021"/>
      <c r="V220" s="6787"/>
      <c r="W220" s="6787"/>
      <c r="X220" s="6787"/>
      <c r="Y220" s="6788"/>
      <c r="Z220" s="6789"/>
      <c r="AA220" s="6790"/>
      <c r="AB220" s="6786"/>
      <c r="AC220" s="6791"/>
      <c r="AD220" s="6792"/>
      <c r="AE220" s="6791"/>
      <c r="AF220" s="6785"/>
      <c r="AG220" s="6793"/>
      <c r="AH220" s="6794"/>
      <c r="AI220" s="6795"/>
      <c r="AJ220" s="6796"/>
      <c r="AK220" s="6797"/>
      <c r="AL220" s="6798"/>
      <c r="AM220" s="6765"/>
      <c r="AN220" s="1021"/>
      <c r="AO220" s="6787"/>
      <c r="AP220" s="6787"/>
      <c r="AQ220" s="6787"/>
      <c r="AR220" s="6788"/>
      <c r="AS220" s="6789"/>
      <c r="AT220" s="6790"/>
      <c r="AU220" s="6786"/>
      <c r="AV220" s="6791"/>
      <c r="AW220" s="6792"/>
      <c r="AX220" s="6791"/>
      <c r="AY220" s="6785"/>
      <c r="AZ220" s="6793"/>
      <c r="BA220" s="6794"/>
      <c r="BB220" s="6795"/>
      <c r="BC220" s="6796"/>
      <c r="BD220" s="6797"/>
      <c r="BE220" s="6798"/>
      <c r="BH220" s="5">
        <v>1</v>
      </c>
    </row>
    <row r="221" spans="2:60" ht="27" customHeight="1">
      <c r="B221" s="1021"/>
      <c r="C221" s="6787"/>
      <c r="D221" s="6787"/>
      <c r="E221" s="6787"/>
      <c r="F221" s="6788"/>
      <c r="G221" s="6789"/>
      <c r="H221" s="6790"/>
      <c r="I221" s="6786"/>
      <c r="J221" s="6791"/>
      <c r="K221" s="6792"/>
      <c r="L221" s="6791"/>
      <c r="M221" s="6785"/>
      <c r="N221" s="6793"/>
      <c r="O221" s="6794"/>
      <c r="P221" s="6795"/>
      <c r="Q221" s="6796"/>
      <c r="R221" s="6797"/>
      <c r="S221" s="6798"/>
      <c r="T221" s="6765"/>
      <c r="U221" s="1021"/>
      <c r="V221" s="6787"/>
      <c r="W221" s="6787"/>
      <c r="X221" s="6787"/>
      <c r="Y221" s="6788"/>
      <c r="Z221" s="6789"/>
      <c r="AA221" s="6790"/>
      <c r="AB221" s="6786"/>
      <c r="AC221" s="6791"/>
      <c r="AD221" s="6792"/>
      <c r="AE221" s="6791"/>
      <c r="AF221" s="6785"/>
      <c r="AG221" s="6793"/>
      <c r="AH221" s="6794"/>
      <c r="AI221" s="6795"/>
      <c r="AJ221" s="6796"/>
      <c r="AK221" s="6797"/>
      <c r="AL221" s="6798"/>
      <c r="AM221" s="6765"/>
      <c r="AN221" s="1021"/>
      <c r="AO221" s="6787"/>
      <c r="AP221" s="6787"/>
      <c r="AQ221" s="6787"/>
      <c r="AR221" s="6788"/>
      <c r="AS221" s="6789"/>
      <c r="AT221" s="6790"/>
      <c r="AU221" s="6786"/>
      <c r="AV221" s="6791"/>
      <c r="AW221" s="6792"/>
      <c r="AX221" s="6791"/>
      <c r="AY221" s="6785"/>
      <c r="AZ221" s="6793"/>
      <c r="BA221" s="6794"/>
      <c r="BB221" s="6795"/>
      <c r="BC221" s="6796"/>
      <c r="BD221" s="6797"/>
      <c r="BE221" s="6798"/>
      <c r="BH221" s="5">
        <v>1</v>
      </c>
    </row>
    <row r="222" spans="2:60" ht="27" customHeight="1">
      <c r="B222" s="1021"/>
      <c r="C222" s="6787"/>
      <c r="D222" s="6787"/>
      <c r="E222" s="6787"/>
      <c r="F222" s="6788"/>
      <c r="G222" s="6789"/>
      <c r="H222" s="6790"/>
      <c r="I222" s="6786"/>
      <c r="J222" s="6791"/>
      <c r="K222" s="6792"/>
      <c r="L222" s="6791"/>
      <c r="M222" s="6785"/>
      <c r="N222" s="6793"/>
      <c r="O222" s="6794"/>
      <c r="P222" s="6795"/>
      <c r="Q222" s="6796"/>
      <c r="R222" s="6797"/>
      <c r="S222" s="6798"/>
      <c r="T222" s="6765"/>
      <c r="U222" s="1021"/>
      <c r="V222" s="6787"/>
      <c r="W222" s="6787"/>
      <c r="X222" s="6787"/>
      <c r="Y222" s="6788"/>
      <c r="Z222" s="6789"/>
      <c r="AA222" s="6790"/>
      <c r="AB222" s="6786"/>
      <c r="AC222" s="6791"/>
      <c r="AD222" s="6792"/>
      <c r="AE222" s="6791"/>
      <c r="AF222" s="6785"/>
      <c r="AG222" s="6793"/>
      <c r="AH222" s="6794"/>
      <c r="AI222" s="6795"/>
      <c r="AJ222" s="6796"/>
      <c r="AK222" s="6797"/>
      <c r="AL222" s="6798"/>
      <c r="AM222" s="6765"/>
      <c r="AN222" s="1021"/>
      <c r="AO222" s="6787"/>
      <c r="AP222" s="6787"/>
      <c r="AQ222" s="6787"/>
      <c r="AR222" s="6788"/>
      <c r="AS222" s="6789"/>
      <c r="AT222" s="6790"/>
      <c r="AU222" s="6786"/>
      <c r="AV222" s="6791"/>
      <c r="AW222" s="6792"/>
      <c r="AX222" s="6791"/>
      <c r="AY222" s="6785"/>
      <c r="AZ222" s="6793"/>
      <c r="BA222" s="6794"/>
      <c r="BB222" s="6795"/>
      <c r="BC222" s="6796"/>
      <c r="BD222" s="6797"/>
      <c r="BE222" s="6798"/>
      <c r="BH222" s="5">
        <v>1</v>
      </c>
    </row>
    <row r="223" spans="2:60" ht="27" customHeight="1">
      <c r="B223" s="1021"/>
      <c r="C223" s="6787"/>
      <c r="D223" s="6787"/>
      <c r="E223" s="6787"/>
      <c r="F223" s="6788"/>
      <c r="G223" s="6789"/>
      <c r="H223" s="6790"/>
      <c r="I223" s="6786"/>
      <c r="J223" s="6791"/>
      <c r="K223" s="6792"/>
      <c r="L223" s="6791"/>
      <c r="M223" s="6785"/>
      <c r="N223" s="6793"/>
      <c r="O223" s="6794"/>
      <c r="P223" s="6795"/>
      <c r="Q223" s="6796"/>
      <c r="R223" s="6797"/>
      <c r="S223" s="6798"/>
      <c r="T223" s="6765"/>
      <c r="U223" s="1021"/>
      <c r="V223" s="6787"/>
      <c r="W223" s="6787"/>
      <c r="X223" s="6787"/>
      <c r="Y223" s="6788"/>
      <c r="Z223" s="6789"/>
      <c r="AA223" s="6790"/>
      <c r="AB223" s="6786"/>
      <c r="AC223" s="6791"/>
      <c r="AD223" s="6792"/>
      <c r="AE223" s="6791"/>
      <c r="AF223" s="6785"/>
      <c r="AG223" s="6793"/>
      <c r="AH223" s="6794"/>
      <c r="AI223" s="6795"/>
      <c r="AJ223" s="6796"/>
      <c r="AK223" s="6797"/>
      <c r="AL223" s="6798"/>
      <c r="AM223" s="6765"/>
      <c r="AN223" s="1021"/>
      <c r="AO223" s="6787"/>
      <c r="AP223" s="6787"/>
      <c r="AQ223" s="6787"/>
      <c r="AR223" s="6788"/>
      <c r="AS223" s="6789"/>
      <c r="AT223" s="6790"/>
      <c r="AU223" s="6786"/>
      <c r="AV223" s="6791"/>
      <c r="AW223" s="6792"/>
      <c r="AX223" s="6791"/>
      <c r="AY223" s="6785"/>
      <c r="AZ223" s="6793"/>
      <c r="BA223" s="6794"/>
      <c r="BB223" s="6795"/>
      <c r="BC223" s="6796"/>
      <c r="BD223" s="6797"/>
      <c r="BE223" s="6798"/>
      <c r="BH223" s="5">
        <v>1</v>
      </c>
    </row>
    <row r="224" spans="2:60" ht="27" customHeight="1">
      <c r="B224" s="1021"/>
      <c r="C224" s="6787"/>
      <c r="D224" s="6787"/>
      <c r="E224" s="6787"/>
      <c r="F224" s="6788"/>
      <c r="G224" s="6789"/>
      <c r="H224" s="6790"/>
      <c r="I224" s="6786"/>
      <c r="J224" s="6791"/>
      <c r="K224" s="6792"/>
      <c r="L224" s="6791"/>
      <c r="M224" s="6785"/>
      <c r="N224" s="6793"/>
      <c r="O224" s="6794"/>
      <c r="P224" s="6795"/>
      <c r="Q224" s="6796"/>
      <c r="R224" s="6797"/>
      <c r="S224" s="6798"/>
      <c r="T224" s="6765"/>
      <c r="U224" s="1021"/>
      <c r="V224" s="6787"/>
      <c r="W224" s="6787"/>
      <c r="X224" s="6787"/>
      <c r="Y224" s="6788"/>
      <c r="Z224" s="6789"/>
      <c r="AA224" s="6790"/>
      <c r="AB224" s="6786"/>
      <c r="AC224" s="6791"/>
      <c r="AD224" s="6792"/>
      <c r="AE224" s="6791"/>
      <c r="AF224" s="6785"/>
      <c r="AG224" s="6793"/>
      <c r="AH224" s="6794"/>
      <c r="AI224" s="6795"/>
      <c r="AJ224" s="6796"/>
      <c r="AK224" s="6797"/>
      <c r="AL224" s="6798"/>
      <c r="AM224" s="6765"/>
      <c r="AN224" s="1021"/>
      <c r="AO224" s="6787"/>
      <c r="AP224" s="6787"/>
      <c r="AQ224" s="6787"/>
      <c r="AR224" s="6788"/>
      <c r="AS224" s="6789"/>
      <c r="AT224" s="6790"/>
      <c r="AU224" s="6786"/>
      <c r="AV224" s="6791"/>
      <c r="AW224" s="6792"/>
      <c r="AX224" s="6791"/>
      <c r="AY224" s="6785"/>
      <c r="AZ224" s="6793"/>
      <c r="BA224" s="6794"/>
      <c r="BB224" s="6795"/>
      <c r="BC224" s="6796"/>
      <c r="BD224" s="6797"/>
      <c r="BE224" s="6798"/>
      <c r="BH224" s="5">
        <v>1</v>
      </c>
    </row>
    <row r="225" spans="2:60" ht="27" customHeight="1">
      <c r="B225" s="1021"/>
      <c r="C225" s="6787"/>
      <c r="D225" s="6787"/>
      <c r="E225" s="6787"/>
      <c r="F225" s="6788"/>
      <c r="G225" s="6789"/>
      <c r="H225" s="6790"/>
      <c r="I225" s="6786"/>
      <c r="J225" s="6791"/>
      <c r="K225" s="6792"/>
      <c r="L225" s="6791"/>
      <c r="M225" s="6785"/>
      <c r="N225" s="6793"/>
      <c r="O225" s="6794"/>
      <c r="P225" s="6795"/>
      <c r="Q225" s="6796"/>
      <c r="R225" s="6797"/>
      <c r="S225" s="6798"/>
      <c r="T225" s="6765"/>
      <c r="U225" s="1021"/>
      <c r="V225" s="6787"/>
      <c r="W225" s="6787"/>
      <c r="X225" s="6787"/>
      <c r="Y225" s="6788"/>
      <c r="Z225" s="6789"/>
      <c r="AA225" s="6790"/>
      <c r="AB225" s="6786"/>
      <c r="AC225" s="6791"/>
      <c r="AD225" s="6792"/>
      <c r="AE225" s="6791"/>
      <c r="AF225" s="6785"/>
      <c r="AG225" s="6793"/>
      <c r="AH225" s="6794"/>
      <c r="AI225" s="6795"/>
      <c r="AJ225" s="6796"/>
      <c r="AK225" s="6797"/>
      <c r="AL225" s="6798"/>
      <c r="AM225" s="6765"/>
      <c r="AN225" s="1021"/>
      <c r="AO225" s="6787"/>
      <c r="AP225" s="6787"/>
      <c r="AQ225" s="6787"/>
      <c r="AR225" s="6788"/>
      <c r="AS225" s="6789"/>
      <c r="AT225" s="6790"/>
      <c r="AU225" s="6786"/>
      <c r="AV225" s="6791"/>
      <c r="AW225" s="6792"/>
      <c r="AX225" s="6791"/>
      <c r="AY225" s="6785"/>
      <c r="AZ225" s="6793"/>
      <c r="BA225" s="6794"/>
      <c r="BB225" s="6795"/>
      <c r="BC225" s="6796"/>
      <c r="BD225" s="6797"/>
      <c r="BE225" s="6798"/>
      <c r="BH225" s="5">
        <v>1</v>
      </c>
    </row>
    <row r="226" spans="2:60" ht="27" customHeight="1">
      <c r="B226" s="1021"/>
      <c r="C226" s="6787"/>
      <c r="D226" s="6787"/>
      <c r="E226" s="6787"/>
      <c r="F226" s="6788"/>
      <c r="G226" s="6789"/>
      <c r="H226" s="6790"/>
      <c r="I226" s="6786"/>
      <c r="J226" s="6791"/>
      <c r="K226" s="6792"/>
      <c r="L226" s="6791"/>
      <c r="M226" s="6785"/>
      <c r="N226" s="6793"/>
      <c r="O226" s="6794"/>
      <c r="P226" s="6795"/>
      <c r="Q226" s="6796"/>
      <c r="R226" s="6797"/>
      <c r="S226" s="6798"/>
      <c r="T226" s="6765"/>
      <c r="U226" s="1021"/>
      <c r="V226" s="6787"/>
      <c r="W226" s="6787"/>
      <c r="X226" s="6787"/>
      <c r="Y226" s="6788"/>
      <c r="Z226" s="6789"/>
      <c r="AA226" s="6790"/>
      <c r="AB226" s="6786"/>
      <c r="AC226" s="6791"/>
      <c r="AD226" s="6792"/>
      <c r="AE226" s="6791"/>
      <c r="AF226" s="6785"/>
      <c r="AG226" s="6793"/>
      <c r="AH226" s="6794"/>
      <c r="AI226" s="6795"/>
      <c r="AJ226" s="6796"/>
      <c r="AK226" s="6797"/>
      <c r="AL226" s="6798"/>
      <c r="AM226" s="6765"/>
      <c r="AN226" s="1021"/>
      <c r="AO226" s="6787"/>
      <c r="AP226" s="6787"/>
      <c r="AQ226" s="6787"/>
      <c r="AR226" s="6788"/>
      <c r="AS226" s="6789"/>
      <c r="AT226" s="6790"/>
      <c r="AU226" s="6786"/>
      <c r="AV226" s="6791"/>
      <c r="AW226" s="6792"/>
      <c r="AX226" s="6791"/>
      <c r="AY226" s="6785"/>
      <c r="AZ226" s="6793"/>
      <c r="BA226" s="6794"/>
      <c r="BB226" s="6795"/>
      <c r="BC226" s="6796"/>
      <c r="BD226" s="6797"/>
      <c r="BE226" s="6798"/>
      <c r="BH226" s="5">
        <v>1</v>
      </c>
    </row>
    <row r="227" spans="2:60" ht="27" customHeight="1">
      <c r="B227" s="1021"/>
      <c r="C227" s="6787"/>
      <c r="D227" s="6787"/>
      <c r="E227" s="6787"/>
      <c r="F227" s="6788"/>
      <c r="G227" s="6789"/>
      <c r="H227" s="6790"/>
      <c r="I227" s="6786"/>
      <c r="J227" s="6791"/>
      <c r="K227" s="6792"/>
      <c r="L227" s="6791"/>
      <c r="M227" s="6785"/>
      <c r="N227" s="6793"/>
      <c r="O227" s="6794"/>
      <c r="P227" s="6795"/>
      <c r="Q227" s="6796"/>
      <c r="R227" s="6797"/>
      <c r="S227" s="6798"/>
      <c r="T227" s="6765"/>
      <c r="U227" s="1021"/>
      <c r="V227" s="6787"/>
      <c r="W227" s="6787"/>
      <c r="X227" s="6787"/>
      <c r="Y227" s="6788"/>
      <c r="Z227" s="6789"/>
      <c r="AA227" s="6790"/>
      <c r="AB227" s="6786"/>
      <c r="AC227" s="6791"/>
      <c r="AD227" s="6792"/>
      <c r="AE227" s="6791"/>
      <c r="AF227" s="6785"/>
      <c r="AG227" s="6793"/>
      <c r="AH227" s="6794"/>
      <c r="AI227" s="6795"/>
      <c r="AJ227" s="6796"/>
      <c r="AK227" s="6797"/>
      <c r="AL227" s="6798"/>
      <c r="AM227" s="6765"/>
      <c r="AN227" s="1021"/>
      <c r="AO227" s="6787"/>
      <c r="AP227" s="6787"/>
      <c r="AQ227" s="6787"/>
      <c r="AR227" s="6788"/>
      <c r="AS227" s="6789"/>
      <c r="AT227" s="6790"/>
      <c r="AU227" s="6786"/>
      <c r="AV227" s="6791"/>
      <c r="AW227" s="6792"/>
      <c r="AX227" s="6791"/>
      <c r="AY227" s="6785"/>
      <c r="AZ227" s="6793"/>
      <c r="BA227" s="6794"/>
      <c r="BB227" s="6795"/>
      <c r="BC227" s="6796"/>
      <c r="BD227" s="6797"/>
      <c r="BE227" s="6798"/>
      <c r="BH227" s="5">
        <v>1</v>
      </c>
    </row>
    <row r="228" spans="2:60" ht="27" customHeight="1">
      <c r="B228" s="1021"/>
      <c r="C228" s="6787"/>
      <c r="D228" s="6787"/>
      <c r="E228" s="6787"/>
      <c r="F228" s="6788"/>
      <c r="G228" s="6789"/>
      <c r="H228" s="6790"/>
      <c r="I228" s="6786"/>
      <c r="J228" s="6791"/>
      <c r="K228" s="6792"/>
      <c r="L228" s="6791"/>
      <c r="M228" s="6785"/>
      <c r="N228" s="6793"/>
      <c r="O228" s="6794"/>
      <c r="P228" s="6795"/>
      <c r="Q228" s="6796"/>
      <c r="R228" s="6797"/>
      <c r="S228" s="6798"/>
      <c r="T228" s="6766"/>
      <c r="U228" s="1021"/>
      <c r="V228" s="6787"/>
      <c r="W228" s="6787"/>
      <c r="X228" s="6787"/>
      <c r="Y228" s="6788"/>
      <c r="Z228" s="6789"/>
      <c r="AA228" s="6790"/>
      <c r="AB228" s="6786"/>
      <c r="AC228" s="6791"/>
      <c r="AD228" s="6792"/>
      <c r="AE228" s="6791"/>
      <c r="AF228" s="6785"/>
      <c r="AG228" s="6793"/>
      <c r="AH228" s="6794"/>
      <c r="AI228" s="6795"/>
      <c r="AJ228" s="6796"/>
      <c r="AK228" s="6797"/>
      <c r="AL228" s="6798"/>
      <c r="AM228" s="6765"/>
      <c r="AN228" s="1021"/>
      <c r="AO228" s="6787"/>
      <c r="AP228" s="6787"/>
      <c r="AQ228" s="6787"/>
      <c r="AR228" s="6788"/>
      <c r="AS228" s="6789"/>
      <c r="AT228" s="6790"/>
      <c r="AU228" s="6786"/>
      <c r="AV228" s="6791"/>
      <c r="AW228" s="6792"/>
      <c r="AX228" s="6791"/>
      <c r="AY228" s="6785"/>
      <c r="AZ228" s="6793"/>
      <c r="BA228" s="6794"/>
      <c r="BB228" s="6795"/>
      <c r="BC228" s="6796"/>
      <c r="BD228" s="6797"/>
      <c r="BE228" s="6798"/>
      <c r="BH228" s="5">
        <v>1</v>
      </c>
    </row>
    <row r="229" spans="2:60" ht="27" customHeight="1">
      <c r="B229" s="1021"/>
      <c r="C229" s="6787"/>
      <c r="D229" s="6787"/>
      <c r="E229" s="6787"/>
      <c r="F229" s="6788"/>
      <c r="G229" s="6789"/>
      <c r="H229" s="6790"/>
      <c r="I229" s="6786"/>
      <c r="J229" s="6791"/>
      <c r="K229" s="6792"/>
      <c r="L229" s="6791"/>
      <c r="M229" s="6785"/>
      <c r="N229" s="6793"/>
      <c r="O229" s="6794"/>
      <c r="P229" s="6795"/>
      <c r="Q229" s="6796"/>
      <c r="R229" s="6797"/>
      <c r="S229" s="6798"/>
      <c r="T229" s="6766"/>
      <c r="U229" s="1021"/>
      <c r="V229" s="6787"/>
      <c r="W229" s="6787"/>
      <c r="X229" s="6787"/>
      <c r="Y229" s="6788"/>
      <c r="Z229" s="6789"/>
      <c r="AA229" s="6790"/>
      <c r="AB229" s="6786"/>
      <c r="AC229" s="6791"/>
      <c r="AD229" s="6792"/>
      <c r="AE229" s="6791"/>
      <c r="AF229" s="6785"/>
      <c r="AG229" s="6793"/>
      <c r="AH229" s="6794"/>
      <c r="AI229" s="6795"/>
      <c r="AJ229" s="6796"/>
      <c r="AK229" s="6797"/>
      <c r="AL229" s="6798"/>
      <c r="AM229" s="6765"/>
      <c r="AN229" s="1021"/>
      <c r="AO229" s="6787"/>
      <c r="AP229" s="6787"/>
      <c r="AQ229" s="6787"/>
      <c r="AR229" s="6788"/>
      <c r="AS229" s="6789"/>
      <c r="AT229" s="6790"/>
      <c r="AU229" s="6786"/>
      <c r="AV229" s="6791"/>
      <c r="AW229" s="6792"/>
      <c r="AX229" s="6791"/>
      <c r="AY229" s="6785"/>
      <c r="AZ229" s="6793"/>
      <c r="BA229" s="6794"/>
      <c r="BB229" s="6795"/>
      <c r="BC229" s="6796"/>
      <c r="BD229" s="6797"/>
      <c r="BE229" s="6798"/>
      <c r="BH229" s="5">
        <v>1</v>
      </c>
    </row>
    <row r="230" spans="2:60" ht="27" customHeight="1">
      <c r="B230" s="1021"/>
      <c r="C230" s="6787"/>
      <c r="D230" s="6787"/>
      <c r="E230" s="6787"/>
      <c r="F230" s="6788"/>
      <c r="G230" s="6789"/>
      <c r="H230" s="6790"/>
      <c r="I230" s="6786"/>
      <c r="J230" s="6791"/>
      <c r="K230" s="6792"/>
      <c r="L230" s="6791"/>
      <c r="M230" s="6785"/>
      <c r="N230" s="6793"/>
      <c r="O230" s="6794"/>
      <c r="P230" s="6795"/>
      <c r="Q230" s="6796"/>
      <c r="R230" s="6797"/>
      <c r="S230" s="6798"/>
      <c r="U230" s="1021"/>
      <c r="V230" s="6787"/>
      <c r="W230" s="6787"/>
      <c r="X230" s="6787"/>
      <c r="Y230" s="6788"/>
      <c r="Z230" s="6789"/>
      <c r="AA230" s="6790"/>
      <c r="AB230" s="6786"/>
      <c r="AC230" s="6791"/>
      <c r="AD230" s="6792"/>
      <c r="AE230" s="6791"/>
      <c r="AF230" s="6785"/>
      <c r="AG230" s="6793"/>
      <c r="AH230" s="6794"/>
      <c r="AI230" s="6795"/>
      <c r="AJ230" s="6796"/>
      <c r="AK230" s="6797"/>
      <c r="AL230" s="6798"/>
      <c r="AN230" s="1021"/>
      <c r="AO230" s="6787"/>
      <c r="AP230" s="6787"/>
      <c r="AQ230" s="6787"/>
      <c r="AR230" s="6788"/>
      <c r="AS230" s="6789"/>
      <c r="AT230" s="6790"/>
      <c r="AU230" s="6786"/>
      <c r="AV230" s="6791"/>
      <c r="AW230" s="6792"/>
      <c r="AX230" s="6791"/>
      <c r="AY230" s="6785"/>
      <c r="AZ230" s="6793"/>
      <c r="BA230" s="6794"/>
      <c r="BB230" s="6795"/>
      <c r="BC230" s="6796"/>
      <c r="BD230" s="6797"/>
      <c r="BE230" s="6798"/>
      <c r="BH230" s="5">
        <v>1</v>
      </c>
    </row>
    <row r="231" spans="2:60" ht="27" customHeight="1">
      <c r="B231" s="1021"/>
      <c r="C231" s="6787"/>
      <c r="D231" s="6787"/>
      <c r="E231" s="6787"/>
      <c r="F231" s="6788"/>
      <c r="G231" s="6789"/>
      <c r="H231" s="6790"/>
      <c r="I231" s="6786"/>
      <c r="J231" s="6791"/>
      <c r="K231" s="6792"/>
      <c r="L231" s="6791"/>
      <c r="M231" s="6785"/>
      <c r="N231" s="6793"/>
      <c r="O231" s="6794"/>
      <c r="P231" s="6795"/>
      <c r="Q231" s="6796"/>
      <c r="R231" s="6797"/>
      <c r="S231" s="6798"/>
      <c r="U231" s="1021"/>
      <c r="V231" s="6787"/>
      <c r="W231" s="6787"/>
      <c r="X231" s="6787"/>
      <c r="Y231" s="6788"/>
      <c r="Z231" s="6789"/>
      <c r="AA231" s="6790"/>
      <c r="AB231" s="6786"/>
      <c r="AC231" s="6791"/>
      <c r="AD231" s="6792"/>
      <c r="AE231" s="6791"/>
      <c r="AF231" s="6785"/>
      <c r="AG231" s="6793"/>
      <c r="AH231" s="6794"/>
      <c r="AI231" s="6795"/>
      <c r="AJ231" s="6796"/>
      <c r="AK231" s="6797"/>
      <c r="AL231" s="6798"/>
      <c r="AN231" s="1021"/>
      <c r="AO231" s="6787"/>
      <c r="AP231" s="6787"/>
      <c r="AQ231" s="6787"/>
      <c r="AR231" s="6788"/>
      <c r="AS231" s="6789"/>
      <c r="AT231" s="6790"/>
      <c r="AU231" s="6786"/>
      <c r="AV231" s="6791"/>
      <c r="AW231" s="6792"/>
      <c r="AX231" s="6791"/>
      <c r="AY231" s="6785"/>
      <c r="AZ231" s="6793"/>
      <c r="BA231" s="6794"/>
      <c r="BB231" s="6795"/>
      <c r="BC231" s="6796"/>
      <c r="BD231" s="6797"/>
      <c r="BE231" s="6798"/>
      <c r="BH231" s="5">
        <v>1</v>
      </c>
    </row>
    <row r="232" spans="2:60" ht="27" customHeight="1">
      <c r="B232" s="1021"/>
      <c r="C232" s="6787"/>
      <c r="D232" s="6787"/>
      <c r="E232" s="6787"/>
      <c r="F232" s="6788"/>
      <c r="G232" s="6789"/>
      <c r="H232" s="6790"/>
      <c r="I232" s="6786"/>
      <c r="J232" s="6791"/>
      <c r="K232" s="6792"/>
      <c r="L232" s="6791"/>
      <c r="M232" s="6785"/>
      <c r="N232" s="6793"/>
      <c r="O232" s="6794"/>
      <c r="P232" s="6795"/>
      <c r="Q232" s="6796"/>
      <c r="R232" s="6797"/>
      <c r="S232" s="6798"/>
      <c r="U232" s="1021"/>
      <c r="V232" s="6787"/>
      <c r="W232" s="6787"/>
      <c r="X232" s="6787"/>
      <c r="Y232" s="6788"/>
      <c r="Z232" s="6789"/>
      <c r="AA232" s="6790"/>
      <c r="AB232" s="6786"/>
      <c r="AC232" s="6791"/>
      <c r="AD232" s="6792"/>
      <c r="AE232" s="6791"/>
      <c r="AF232" s="6785"/>
      <c r="AG232" s="6793"/>
      <c r="AH232" s="6794"/>
      <c r="AI232" s="6795"/>
      <c r="AJ232" s="6796"/>
      <c r="AK232" s="6797"/>
      <c r="AL232" s="6798"/>
      <c r="AN232" s="1021"/>
      <c r="AO232" s="6787"/>
      <c r="AP232" s="6787"/>
      <c r="AQ232" s="6787"/>
      <c r="AR232" s="6788"/>
      <c r="AS232" s="6789"/>
      <c r="AT232" s="6790"/>
      <c r="AU232" s="6786"/>
      <c r="AV232" s="6791"/>
      <c r="AW232" s="6792"/>
      <c r="AX232" s="6791"/>
      <c r="AY232" s="6785"/>
      <c r="AZ232" s="6793"/>
      <c r="BA232" s="6794"/>
      <c r="BB232" s="6795"/>
      <c r="BC232" s="6796"/>
      <c r="BD232" s="6797"/>
      <c r="BE232" s="6798"/>
      <c r="BH232" s="5">
        <v>1</v>
      </c>
    </row>
    <row r="233" spans="2:60" ht="27" customHeight="1">
      <c r="B233" s="1021"/>
      <c r="C233" s="6787"/>
      <c r="D233" s="6787"/>
      <c r="E233" s="6787"/>
      <c r="F233" s="6788"/>
      <c r="G233" s="6789"/>
      <c r="H233" s="6790"/>
      <c r="I233" s="6786"/>
      <c r="J233" s="6791"/>
      <c r="K233" s="6792"/>
      <c r="L233" s="6791"/>
      <c r="M233" s="6785"/>
      <c r="N233" s="6793"/>
      <c r="O233" s="6794"/>
      <c r="P233" s="6795"/>
      <c r="Q233" s="6796"/>
      <c r="R233" s="6797"/>
      <c r="S233" s="6798"/>
      <c r="U233" s="1021"/>
      <c r="V233" s="6787"/>
      <c r="W233" s="6787"/>
      <c r="X233" s="6787"/>
      <c r="Y233" s="6788"/>
      <c r="Z233" s="6789"/>
      <c r="AA233" s="6790"/>
      <c r="AB233" s="6786"/>
      <c r="AC233" s="6791"/>
      <c r="AD233" s="6792"/>
      <c r="AE233" s="6791"/>
      <c r="AF233" s="6785"/>
      <c r="AG233" s="6793"/>
      <c r="AH233" s="6794"/>
      <c r="AI233" s="6795"/>
      <c r="AJ233" s="6796"/>
      <c r="AK233" s="6797"/>
      <c r="AL233" s="6798"/>
      <c r="AN233" s="1021"/>
      <c r="AO233" s="6787"/>
      <c r="AP233" s="6787"/>
      <c r="AQ233" s="6787"/>
      <c r="AR233" s="6788"/>
      <c r="AS233" s="6789"/>
      <c r="AT233" s="6790"/>
      <c r="AU233" s="6786"/>
      <c r="AV233" s="6791"/>
      <c r="AW233" s="6792"/>
      <c r="AX233" s="6791"/>
      <c r="AY233" s="6785"/>
      <c r="AZ233" s="6793"/>
      <c r="BA233" s="6794"/>
      <c r="BB233" s="6795"/>
      <c r="BC233" s="6796"/>
      <c r="BD233" s="6797"/>
      <c r="BE233" s="6798"/>
      <c r="BH233" s="5">
        <v>1</v>
      </c>
    </row>
    <row r="234" spans="2:60" ht="27" customHeight="1">
      <c r="B234" s="1021"/>
      <c r="C234" s="6787"/>
      <c r="D234" s="6787"/>
      <c r="E234" s="6787"/>
      <c r="F234" s="6788"/>
      <c r="G234" s="6789"/>
      <c r="H234" s="6790"/>
      <c r="I234" s="6786"/>
      <c r="J234" s="6791"/>
      <c r="K234" s="6792"/>
      <c r="L234" s="6791"/>
      <c r="M234" s="6785"/>
      <c r="N234" s="6793"/>
      <c r="O234" s="6794"/>
      <c r="P234" s="6795"/>
      <c r="Q234" s="6796"/>
      <c r="R234" s="6797"/>
      <c r="S234" s="6798"/>
      <c r="U234" s="1021"/>
      <c r="V234" s="6787"/>
      <c r="W234" s="6787"/>
      <c r="X234" s="6787"/>
      <c r="Y234" s="6788"/>
      <c r="Z234" s="6789"/>
      <c r="AA234" s="6790"/>
      <c r="AB234" s="6786"/>
      <c r="AC234" s="6791"/>
      <c r="AD234" s="6792"/>
      <c r="AE234" s="6791"/>
      <c r="AF234" s="6785"/>
      <c r="AG234" s="6793"/>
      <c r="AH234" s="6794"/>
      <c r="AI234" s="6795"/>
      <c r="AJ234" s="6796"/>
      <c r="AK234" s="6797"/>
      <c r="AL234" s="6798"/>
      <c r="AN234" s="1021"/>
      <c r="AO234" s="6787"/>
      <c r="AP234" s="6787"/>
      <c r="AQ234" s="6787"/>
      <c r="AR234" s="6788"/>
      <c r="AS234" s="6789"/>
      <c r="AT234" s="6790"/>
      <c r="AU234" s="6786"/>
      <c r="AV234" s="6791"/>
      <c r="AW234" s="6792"/>
      <c r="AX234" s="6791"/>
      <c r="AY234" s="6785"/>
      <c r="AZ234" s="6793"/>
      <c r="BA234" s="6794"/>
      <c r="BB234" s="6795"/>
      <c r="BC234" s="6796"/>
      <c r="BD234" s="6797"/>
      <c r="BE234" s="6798"/>
      <c r="BH234" s="5">
        <v>1</v>
      </c>
    </row>
    <row r="235" spans="2:60" ht="27" customHeight="1">
      <c r="B235" s="1021"/>
      <c r="C235" s="6787"/>
      <c r="D235" s="6787"/>
      <c r="E235" s="6787"/>
      <c r="F235" s="6788"/>
      <c r="G235" s="6789"/>
      <c r="H235" s="6790"/>
      <c r="I235" s="6786"/>
      <c r="J235" s="6791"/>
      <c r="K235" s="6792"/>
      <c r="L235" s="6791"/>
      <c r="M235" s="6785"/>
      <c r="N235" s="6793"/>
      <c r="O235" s="6794"/>
      <c r="P235" s="6795"/>
      <c r="Q235" s="6796"/>
      <c r="R235" s="6797"/>
      <c r="S235" s="6798"/>
      <c r="U235" s="1021"/>
      <c r="V235" s="6787"/>
      <c r="W235" s="6787"/>
      <c r="X235" s="6787"/>
      <c r="Y235" s="6788"/>
      <c r="Z235" s="6789"/>
      <c r="AA235" s="6790"/>
      <c r="AB235" s="6786"/>
      <c r="AC235" s="6791"/>
      <c r="AD235" s="6792"/>
      <c r="AE235" s="6791"/>
      <c r="AF235" s="6785"/>
      <c r="AG235" s="6793"/>
      <c r="AH235" s="6794"/>
      <c r="AI235" s="6795"/>
      <c r="AJ235" s="6796"/>
      <c r="AK235" s="6797"/>
      <c r="AL235" s="6798"/>
      <c r="AN235" s="1021"/>
      <c r="AO235" s="6787"/>
      <c r="AP235" s="6787"/>
      <c r="AQ235" s="6787"/>
      <c r="AR235" s="6788"/>
      <c r="AS235" s="6789"/>
      <c r="AT235" s="6790"/>
      <c r="AU235" s="6786"/>
      <c r="AV235" s="6791"/>
      <c r="AW235" s="6792"/>
      <c r="AX235" s="6791"/>
      <c r="AY235" s="6785"/>
      <c r="AZ235" s="6793"/>
      <c r="BA235" s="6794"/>
      <c r="BB235" s="6795"/>
      <c r="BC235" s="6796"/>
      <c r="BD235" s="6797"/>
      <c r="BE235" s="6798"/>
      <c r="BH235" s="5">
        <v>1</v>
      </c>
    </row>
    <row r="236" spans="2:60" ht="27" customHeight="1">
      <c r="B236" s="1021"/>
      <c r="C236" s="6787"/>
      <c r="D236" s="6787"/>
      <c r="E236" s="6787"/>
      <c r="F236" s="6788"/>
      <c r="G236" s="6789"/>
      <c r="H236" s="6790"/>
      <c r="I236" s="6786"/>
      <c r="J236" s="6791"/>
      <c r="K236" s="6792"/>
      <c r="L236" s="6791"/>
      <c r="M236" s="6785"/>
      <c r="N236" s="6793"/>
      <c r="O236" s="6794"/>
      <c r="P236" s="6795"/>
      <c r="Q236" s="6796"/>
      <c r="R236" s="6797"/>
      <c r="S236" s="6798"/>
      <c r="U236" s="1021"/>
      <c r="V236" s="6787"/>
      <c r="W236" s="6787"/>
      <c r="X236" s="6787"/>
      <c r="Y236" s="6788"/>
      <c r="Z236" s="6789"/>
      <c r="AA236" s="6790"/>
      <c r="AB236" s="6786"/>
      <c r="AC236" s="6791"/>
      <c r="AD236" s="6792"/>
      <c r="AE236" s="6791"/>
      <c r="AF236" s="6785"/>
      <c r="AG236" s="6793"/>
      <c r="AH236" s="6794"/>
      <c r="AI236" s="6795"/>
      <c r="AJ236" s="6796"/>
      <c r="AK236" s="6797"/>
      <c r="AL236" s="6798"/>
      <c r="AN236" s="1021"/>
      <c r="AO236" s="6787"/>
      <c r="AP236" s="6787"/>
      <c r="AQ236" s="6787"/>
      <c r="AR236" s="6788"/>
      <c r="AS236" s="6789"/>
      <c r="AT236" s="6790"/>
      <c r="AU236" s="6786"/>
      <c r="AV236" s="6791"/>
      <c r="AW236" s="6792"/>
      <c r="AX236" s="6791"/>
      <c r="AY236" s="6785"/>
      <c r="AZ236" s="6793"/>
      <c r="BA236" s="6794"/>
      <c r="BB236" s="6795"/>
      <c r="BC236" s="6796"/>
      <c r="BD236" s="6797"/>
      <c r="BE236" s="6798"/>
      <c r="BH236" s="5">
        <v>1</v>
      </c>
    </row>
    <row r="237" spans="2:60" ht="27" customHeight="1">
      <c r="B237" s="1021"/>
      <c r="C237" s="6787"/>
      <c r="D237" s="6787"/>
      <c r="E237" s="6787"/>
      <c r="F237" s="6788"/>
      <c r="G237" s="6789"/>
      <c r="H237" s="6790"/>
      <c r="I237" s="6786"/>
      <c r="J237" s="6791"/>
      <c r="K237" s="6792"/>
      <c r="L237" s="6791"/>
      <c r="M237" s="6785"/>
      <c r="N237" s="6793"/>
      <c r="O237" s="6794"/>
      <c r="P237" s="6795"/>
      <c r="Q237" s="6796"/>
      <c r="R237" s="6797"/>
      <c r="S237" s="6798"/>
      <c r="U237" s="1021"/>
      <c r="V237" s="6787"/>
      <c r="W237" s="6787"/>
      <c r="X237" s="6787"/>
      <c r="Y237" s="6788"/>
      <c r="Z237" s="6789"/>
      <c r="AA237" s="6790"/>
      <c r="AB237" s="6786"/>
      <c r="AC237" s="6791"/>
      <c r="AD237" s="6792"/>
      <c r="AE237" s="6791"/>
      <c r="AF237" s="6785"/>
      <c r="AG237" s="6793"/>
      <c r="AH237" s="6794"/>
      <c r="AI237" s="6795"/>
      <c r="AJ237" s="6796"/>
      <c r="AK237" s="6797"/>
      <c r="AL237" s="6798"/>
      <c r="AN237" s="1021"/>
      <c r="AO237" s="6787"/>
      <c r="AP237" s="6787"/>
      <c r="AQ237" s="6787"/>
      <c r="AR237" s="6788"/>
      <c r="AS237" s="6789"/>
      <c r="AT237" s="6790"/>
      <c r="AU237" s="6786"/>
      <c r="AV237" s="6791"/>
      <c r="AW237" s="6792"/>
      <c r="AX237" s="6791"/>
      <c r="AY237" s="6785"/>
      <c r="AZ237" s="6793"/>
      <c r="BA237" s="6794"/>
      <c r="BB237" s="6795"/>
      <c r="BC237" s="6796"/>
      <c r="BD237" s="6797"/>
      <c r="BE237" s="6798"/>
      <c r="BH237" s="5">
        <v>1</v>
      </c>
    </row>
    <row r="238" spans="2:60" ht="27" customHeight="1">
      <c r="B238" s="1021"/>
      <c r="C238" s="6787"/>
      <c r="D238" s="6787"/>
      <c r="E238" s="6787"/>
      <c r="F238" s="6788"/>
      <c r="G238" s="6789"/>
      <c r="H238" s="6790"/>
      <c r="I238" s="6786"/>
      <c r="J238" s="6791"/>
      <c r="K238" s="6792"/>
      <c r="L238" s="6791"/>
      <c r="M238" s="6785"/>
      <c r="N238" s="6793"/>
      <c r="O238" s="6794"/>
      <c r="P238" s="6795"/>
      <c r="Q238" s="6796"/>
      <c r="R238" s="6797"/>
      <c r="S238" s="6798"/>
      <c r="U238" s="1021"/>
      <c r="V238" s="6787"/>
      <c r="W238" s="6787"/>
      <c r="X238" s="6787"/>
      <c r="Y238" s="6788"/>
      <c r="Z238" s="6789"/>
      <c r="AA238" s="6790"/>
      <c r="AB238" s="6786"/>
      <c r="AC238" s="6791"/>
      <c r="AD238" s="6792"/>
      <c r="AE238" s="6791"/>
      <c r="AF238" s="6785"/>
      <c r="AG238" s="6793"/>
      <c r="AH238" s="6794"/>
      <c r="AI238" s="6795"/>
      <c r="AJ238" s="6796"/>
      <c r="AK238" s="6797"/>
      <c r="AL238" s="6798"/>
      <c r="AN238" s="1021"/>
      <c r="AO238" s="6787"/>
      <c r="AP238" s="6787"/>
      <c r="AQ238" s="6787"/>
      <c r="AR238" s="6788"/>
      <c r="AS238" s="6789"/>
      <c r="AT238" s="6790"/>
      <c r="AU238" s="6786"/>
      <c r="AV238" s="6791"/>
      <c r="AW238" s="6792"/>
      <c r="AX238" s="6791"/>
      <c r="AY238" s="6785"/>
      <c r="AZ238" s="6793"/>
      <c r="BA238" s="6794"/>
      <c r="BB238" s="6795"/>
      <c r="BC238" s="6796"/>
      <c r="BD238" s="6797"/>
      <c r="BE238" s="6798"/>
      <c r="BH238" s="5">
        <v>1</v>
      </c>
    </row>
    <row r="239" spans="2:60" ht="27" customHeight="1">
      <c r="B239" s="1021"/>
      <c r="C239" s="6787"/>
      <c r="D239" s="6787"/>
      <c r="E239" s="6787"/>
      <c r="F239" s="6788"/>
      <c r="G239" s="6789"/>
      <c r="H239" s="6790"/>
      <c r="I239" s="6786"/>
      <c r="J239" s="6791"/>
      <c r="K239" s="6792"/>
      <c r="L239" s="6791"/>
      <c r="M239" s="6785"/>
      <c r="N239" s="6793"/>
      <c r="O239" s="6794"/>
      <c r="P239" s="6795"/>
      <c r="Q239" s="6796"/>
      <c r="R239" s="6797"/>
      <c r="S239" s="6798"/>
      <c r="U239" s="1021"/>
      <c r="V239" s="6787"/>
      <c r="W239" s="6787"/>
      <c r="X239" s="6787"/>
      <c r="Y239" s="6788"/>
      <c r="Z239" s="6789"/>
      <c r="AA239" s="6790"/>
      <c r="AB239" s="6786"/>
      <c r="AC239" s="6791"/>
      <c r="AD239" s="6792"/>
      <c r="AE239" s="6791"/>
      <c r="AF239" s="6785"/>
      <c r="AG239" s="6793"/>
      <c r="AH239" s="6794"/>
      <c r="AI239" s="6795"/>
      <c r="AJ239" s="6796"/>
      <c r="AK239" s="6797"/>
      <c r="AL239" s="6798"/>
      <c r="AN239" s="1021"/>
      <c r="AO239" s="6787"/>
      <c r="AP239" s="6787"/>
      <c r="AQ239" s="6787"/>
      <c r="AR239" s="6788"/>
      <c r="AS239" s="6789"/>
      <c r="AT239" s="6790"/>
      <c r="AU239" s="6786"/>
      <c r="AV239" s="6791"/>
      <c r="AW239" s="6792"/>
      <c r="AX239" s="6791"/>
      <c r="AY239" s="6785"/>
      <c r="AZ239" s="6793"/>
      <c r="BA239" s="6794"/>
      <c r="BB239" s="6795"/>
      <c r="BC239" s="6796"/>
      <c r="BD239" s="6797"/>
      <c r="BE239" s="6798"/>
      <c r="BH239" s="5">
        <v>1</v>
      </c>
    </row>
    <row r="240" spans="2:60" ht="27" customHeight="1">
      <c r="B240" s="1021"/>
      <c r="C240" s="6787"/>
      <c r="D240" s="6787"/>
      <c r="E240" s="6787"/>
      <c r="F240" s="6788"/>
      <c r="G240" s="6789"/>
      <c r="H240" s="6790"/>
      <c r="I240" s="6786"/>
      <c r="J240" s="6791"/>
      <c r="K240" s="6792"/>
      <c r="L240" s="6791"/>
      <c r="M240" s="6785"/>
      <c r="N240" s="6793"/>
      <c r="O240" s="6794"/>
      <c r="P240" s="6795"/>
      <c r="Q240" s="6796"/>
      <c r="R240" s="6797"/>
      <c r="S240" s="6798"/>
      <c r="U240" s="1021"/>
      <c r="V240" s="6787"/>
      <c r="W240" s="6787"/>
      <c r="X240" s="6787"/>
      <c r="Y240" s="6788"/>
      <c r="Z240" s="6789"/>
      <c r="AA240" s="6790"/>
      <c r="AB240" s="6786"/>
      <c r="AC240" s="6791"/>
      <c r="AD240" s="6792"/>
      <c r="AE240" s="6791"/>
      <c r="AF240" s="6785"/>
      <c r="AG240" s="6793"/>
      <c r="AH240" s="6794"/>
      <c r="AI240" s="6795"/>
      <c r="AJ240" s="6796"/>
      <c r="AK240" s="6797"/>
      <c r="AL240" s="6798"/>
      <c r="AN240" s="1021"/>
      <c r="AO240" s="6787"/>
      <c r="AP240" s="6787"/>
      <c r="AQ240" s="6787"/>
      <c r="AR240" s="6788"/>
      <c r="AS240" s="6789"/>
      <c r="AT240" s="6790"/>
      <c r="AU240" s="6786"/>
      <c r="AV240" s="6791"/>
      <c r="AW240" s="6792"/>
      <c r="AX240" s="6791"/>
      <c r="AY240" s="6785"/>
      <c r="AZ240" s="6793"/>
      <c r="BA240" s="6794"/>
      <c r="BB240" s="6795"/>
      <c r="BC240" s="6796"/>
      <c r="BD240" s="6797"/>
      <c r="BE240" s="6798"/>
      <c r="BH240" s="5">
        <v>1</v>
      </c>
    </row>
    <row r="241" spans="2:60" ht="27" customHeight="1">
      <c r="B241" s="1021"/>
      <c r="C241" s="6787"/>
      <c r="D241" s="6787"/>
      <c r="E241" s="6787"/>
      <c r="F241" s="6788"/>
      <c r="G241" s="6789"/>
      <c r="H241" s="6790"/>
      <c r="I241" s="6786"/>
      <c r="J241" s="6791"/>
      <c r="K241" s="6792"/>
      <c r="L241" s="6791"/>
      <c r="M241" s="6785"/>
      <c r="N241" s="6793"/>
      <c r="O241" s="6794"/>
      <c r="P241" s="6795"/>
      <c r="Q241" s="6796"/>
      <c r="R241" s="6797"/>
      <c r="S241" s="6798"/>
      <c r="U241" s="1021"/>
      <c r="V241" s="6787"/>
      <c r="W241" s="6787"/>
      <c r="X241" s="6787"/>
      <c r="Y241" s="6788"/>
      <c r="Z241" s="6789"/>
      <c r="AA241" s="6790"/>
      <c r="AB241" s="6786"/>
      <c r="AC241" s="6791"/>
      <c r="AD241" s="6792"/>
      <c r="AE241" s="6791"/>
      <c r="AF241" s="6785"/>
      <c r="AG241" s="6793"/>
      <c r="AH241" s="6794"/>
      <c r="AI241" s="6795"/>
      <c r="AJ241" s="6796"/>
      <c r="AK241" s="6797"/>
      <c r="AL241" s="6798"/>
      <c r="AN241" s="1021"/>
      <c r="AO241" s="6787"/>
      <c r="AP241" s="6787"/>
      <c r="AQ241" s="6787"/>
      <c r="AR241" s="6788"/>
      <c r="AS241" s="6789"/>
      <c r="AT241" s="6790"/>
      <c r="AU241" s="6786"/>
      <c r="AV241" s="6791"/>
      <c r="AW241" s="6792"/>
      <c r="AX241" s="6791"/>
      <c r="AY241" s="6785"/>
      <c r="AZ241" s="6793"/>
      <c r="BA241" s="6794"/>
      <c r="BB241" s="6795"/>
      <c r="BC241" s="6796"/>
      <c r="BD241" s="6797"/>
      <c r="BE241" s="6798"/>
      <c r="BH241" s="5">
        <v>1</v>
      </c>
    </row>
    <row r="242" spans="2:60" ht="27" customHeight="1">
      <c r="B242" s="1021"/>
      <c r="C242" s="6787"/>
      <c r="D242" s="6787"/>
      <c r="E242" s="6787"/>
      <c r="F242" s="6788"/>
      <c r="G242" s="6789"/>
      <c r="H242" s="6790"/>
      <c r="I242" s="6786"/>
      <c r="J242" s="6791"/>
      <c r="K242" s="6792"/>
      <c r="L242" s="6791"/>
      <c r="M242" s="6785"/>
      <c r="N242" s="6793"/>
      <c r="O242" s="6794"/>
      <c r="P242" s="6795"/>
      <c r="Q242" s="6796"/>
      <c r="R242" s="6797"/>
      <c r="S242" s="6798"/>
      <c r="U242" s="1021"/>
      <c r="V242" s="6787"/>
      <c r="W242" s="6787"/>
      <c r="X242" s="6787"/>
      <c r="Y242" s="6788"/>
      <c r="Z242" s="6789"/>
      <c r="AA242" s="6790"/>
      <c r="AB242" s="6786"/>
      <c r="AC242" s="6791"/>
      <c r="AD242" s="6792"/>
      <c r="AE242" s="6791"/>
      <c r="AF242" s="6785"/>
      <c r="AG242" s="6793"/>
      <c r="AH242" s="6794"/>
      <c r="AI242" s="6795"/>
      <c r="AJ242" s="6796"/>
      <c r="AK242" s="6797"/>
      <c r="AL242" s="6798"/>
      <c r="AN242" s="1021"/>
      <c r="AO242" s="6787"/>
      <c r="AP242" s="6787"/>
      <c r="AQ242" s="6787"/>
      <c r="AR242" s="6788"/>
      <c r="AS242" s="6789"/>
      <c r="AT242" s="6790"/>
      <c r="AU242" s="6786"/>
      <c r="AV242" s="6791"/>
      <c r="AW242" s="6792"/>
      <c r="AX242" s="6791"/>
      <c r="AY242" s="6785"/>
      <c r="AZ242" s="6793"/>
      <c r="BA242" s="6794"/>
      <c r="BB242" s="6795"/>
      <c r="BC242" s="6796"/>
      <c r="BD242" s="6797"/>
      <c r="BE242" s="6798"/>
      <c r="BH242" s="5">
        <v>1</v>
      </c>
    </row>
    <row r="243" spans="2:60" ht="27" customHeight="1">
      <c r="B243" s="1021"/>
      <c r="C243" s="6787"/>
      <c r="D243" s="6787"/>
      <c r="E243" s="6787"/>
      <c r="F243" s="6788"/>
      <c r="G243" s="6789"/>
      <c r="H243" s="6790"/>
      <c r="I243" s="6786"/>
      <c r="J243" s="6791"/>
      <c r="K243" s="6792"/>
      <c r="L243" s="6791"/>
      <c r="M243" s="6785"/>
      <c r="N243" s="6793"/>
      <c r="O243" s="6794"/>
      <c r="P243" s="6795"/>
      <c r="Q243" s="6796"/>
      <c r="R243" s="6797"/>
      <c r="S243" s="6798"/>
      <c r="U243" s="1021"/>
      <c r="V243" s="6787"/>
      <c r="W243" s="6787"/>
      <c r="X243" s="6787"/>
      <c r="Y243" s="6788"/>
      <c r="Z243" s="6789"/>
      <c r="AA243" s="6790"/>
      <c r="AB243" s="6786"/>
      <c r="AC243" s="6791"/>
      <c r="AD243" s="6792"/>
      <c r="AE243" s="6791"/>
      <c r="AF243" s="6785"/>
      <c r="AG243" s="6793"/>
      <c r="AH243" s="6794"/>
      <c r="AI243" s="6795"/>
      <c r="AJ243" s="6796"/>
      <c r="AK243" s="6797"/>
      <c r="AL243" s="6798"/>
      <c r="AN243" s="1021"/>
      <c r="AO243" s="6787"/>
      <c r="AP243" s="6787"/>
      <c r="AQ243" s="6787"/>
      <c r="AR243" s="6788"/>
      <c r="AS243" s="6789"/>
      <c r="AT243" s="6790"/>
      <c r="AU243" s="6786"/>
      <c r="AV243" s="6791"/>
      <c r="AW243" s="6792"/>
      <c r="AX243" s="6791"/>
      <c r="AY243" s="6785"/>
      <c r="AZ243" s="6793"/>
      <c r="BA243" s="6794"/>
      <c r="BB243" s="6795"/>
      <c r="BC243" s="6796"/>
      <c r="BD243" s="6797"/>
      <c r="BE243" s="6798"/>
      <c r="BH243" s="5">
        <v>1</v>
      </c>
    </row>
    <row r="244" spans="2:60" ht="27" customHeight="1">
      <c r="B244" s="1021"/>
      <c r="C244" s="6787"/>
      <c r="D244" s="6787"/>
      <c r="E244" s="6787"/>
      <c r="F244" s="6788"/>
      <c r="G244" s="6789"/>
      <c r="H244" s="6790"/>
      <c r="I244" s="6786"/>
      <c r="J244" s="6791"/>
      <c r="K244" s="6792"/>
      <c r="L244" s="6791"/>
      <c r="M244" s="6785"/>
      <c r="N244" s="6793"/>
      <c r="O244" s="6794"/>
      <c r="P244" s="6795"/>
      <c r="Q244" s="6796"/>
      <c r="R244" s="6797"/>
      <c r="S244" s="6798"/>
      <c r="U244" s="1021"/>
      <c r="V244" s="6787"/>
      <c r="W244" s="6787"/>
      <c r="X244" s="6787"/>
      <c r="Y244" s="6788"/>
      <c r="Z244" s="6789"/>
      <c r="AA244" s="6790"/>
      <c r="AB244" s="6786"/>
      <c r="AC244" s="6791"/>
      <c r="AD244" s="6792"/>
      <c r="AE244" s="6791"/>
      <c r="AF244" s="6785"/>
      <c r="AG244" s="6793"/>
      <c r="AH244" s="6794"/>
      <c r="AI244" s="6795"/>
      <c r="AJ244" s="6796"/>
      <c r="AK244" s="6797"/>
      <c r="AL244" s="6798"/>
      <c r="AN244" s="1021"/>
      <c r="AO244" s="6787"/>
      <c r="AP244" s="6787"/>
      <c r="AQ244" s="6787"/>
      <c r="AR244" s="6788"/>
      <c r="AS244" s="6789"/>
      <c r="AT244" s="6790"/>
      <c r="AU244" s="6786"/>
      <c r="AV244" s="6791"/>
      <c r="AW244" s="6792"/>
      <c r="AX244" s="6791"/>
      <c r="AY244" s="6785"/>
      <c r="AZ244" s="6793"/>
      <c r="BA244" s="6794"/>
      <c r="BB244" s="6795"/>
      <c r="BC244" s="6796"/>
      <c r="BD244" s="6797"/>
      <c r="BE244" s="6798"/>
      <c r="BH244" s="5">
        <v>1</v>
      </c>
    </row>
    <row r="245" spans="2:60" ht="27" customHeight="1">
      <c r="B245" s="1021"/>
      <c r="C245" s="6787"/>
      <c r="D245" s="6787"/>
      <c r="E245" s="6787"/>
      <c r="F245" s="6788"/>
      <c r="G245" s="6789"/>
      <c r="H245" s="6790"/>
      <c r="I245" s="6786"/>
      <c r="J245" s="6791"/>
      <c r="K245" s="6792"/>
      <c r="L245" s="6791"/>
      <c r="M245" s="6785"/>
      <c r="N245" s="6793"/>
      <c r="O245" s="6794"/>
      <c r="P245" s="6795"/>
      <c r="Q245" s="6796"/>
      <c r="R245" s="6797"/>
      <c r="S245" s="6798"/>
      <c r="U245" s="1021"/>
      <c r="V245" s="6787"/>
      <c r="W245" s="6787"/>
      <c r="X245" s="6787"/>
      <c r="Y245" s="6788"/>
      <c r="Z245" s="6789"/>
      <c r="AA245" s="6790"/>
      <c r="AB245" s="6786"/>
      <c r="AC245" s="6791"/>
      <c r="AD245" s="6792"/>
      <c r="AE245" s="6791"/>
      <c r="AF245" s="6785"/>
      <c r="AG245" s="6793"/>
      <c r="AH245" s="6794"/>
      <c r="AI245" s="6795"/>
      <c r="AJ245" s="6796"/>
      <c r="AK245" s="6797"/>
      <c r="AL245" s="6798"/>
      <c r="AN245" s="1021"/>
      <c r="AO245" s="6787"/>
      <c r="AP245" s="6787"/>
      <c r="AQ245" s="6787"/>
      <c r="AR245" s="6788"/>
      <c r="AS245" s="6789"/>
      <c r="AT245" s="6790"/>
      <c r="AU245" s="6786"/>
      <c r="AV245" s="6791"/>
      <c r="AW245" s="6792"/>
      <c r="AX245" s="6791"/>
      <c r="AY245" s="6785"/>
      <c r="AZ245" s="6793"/>
      <c r="BA245" s="6794"/>
      <c r="BB245" s="6795"/>
      <c r="BC245" s="6796"/>
      <c r="BD245" s="6797"/>
      <c r="BE245" s="6798"/>
      <c r="BH245" s="5"/>
    </row>
    <row r="246" spans="2:60" ht="27" customHeight="1">
      <c r="B246" s="1021"/>
      <c r="C246" s="6787"/>
      <c r="D246" s="6787"/>
      <c r="E246" s="6787"/>
      <c r="F246" s="6788"/>
      <c r="G246" s="6789"/>
      <c r="H246" s="6790"/>
      <c r="I246" s="6786"/>
      <c r="J246" s="6791"/>
      <c r="K246" s="6792"/>
      <c r="L246" s="6791"/>
      <c r="M246" s="6785"/>
      <c r="N246" s="6793"/>
      <c r="O246" s="6794"/>
      <c r="P246" s="6795"/>
      <c r="Q246" s="6796"/>
      <c r="R246" s="6797"/>
      <c r="S246" s="6798"/>
      <c r="U246" s="1021"/>
      <c r="V246" s="6787"/>
      <c r="W246" s="6787"/>
      <c r="X246" s="6787"/>
      <c r="Y246" s="6788"/>
      <c r="Z246" s="6789"/>
      <c r="AA246" s="6790"/>
      <c r="AB246" s="6786"/>
      <c r="AC246" s="6791"/>
      <c r="AD246" s="6792"/>
      <c r="AE246" s="6791"/>
      <c r="AF246" s="6785"/>
      <c r="AG246" s="6793"/>
      <c r="AH246" s="6794"/>
      <c r="AI246" s="6795"/>
      <c r="AJ246" s="6796"/>
      <c r="AK246" s="6797"/>
      <c r="AL246" s="6798"/>
      <c r="AN246" s="1021"/>
      <c r="AO246" s="6787"/>
      <c r="AP246" s="6787"/>
      <c r="AQ246" s="6787"/>
      <c r="AR246" s="6788"/>
      <c r="AS246" s="6789"/>
      <c r="AT246" s="6790"/>
      <c r="AU246" s="6786"/>
      <c r="AV246" s="6791"/>
      <c r="AW246" s="6792"/>
      <c r="AX246" s="6791"/>
      <c r="AY246" s="6785"/>
      <c r="AZ246" s="6793"/>
      <c r="BA246" s="6794"/>
      <c r="BB246" s="6795"/>
      <c r="BC246" s="6796"/>
      <c r="BD246" s="6797"/>
      <c r="BE246" s="6798"/>
      <c r="BH246" s="5"/>
    </row>
    <row r="247" spans="2:60" ht="27" customHeight="1">
      <c r="B247" s="1021"/>
      <c r="C247" s="6787"/>
      <c r="D247" s="6787"/>
      <c r="E247" s="6787"/>
      <c r="F247" s="6788"/>
      <c r="G247" s="6789"/>
      <c r="H247" s="6790"/>
      <c r="I247" s="6786"/>
      <c r="J247" s="6791"/>
      <c r="K247" s="6792"/>
      <c r="L247" s="6791"/>
      <c r="M247" s="6785"/>
      <c r="N247" s="6793"/>
      <c r="O247" s="6794"/>
      <c r="P247" s="6795"/>
      <c r="Q247" s="6796"/>
      <c r="R247" s="6797"/>
      <c r="S247" s="6798"/>
      <c r="U247" s="1021"/>
      <c r="V247" s="6787"/>
      <c r="W247" s="6787"/>
      <c r="X247" s="6787"/>
      <c r="Y247" s="6788"/>
      <c r="Z247" s="6789"/>
      <c r="AA247" s="6790"/>
      <c r="AB247" s="6786"/>
      <c r="AC247" s="6791"/>
      <c r="AD247" s="6792"/>
      <c r="AE247" s="6791"/>
      <c r="AF247" s="6785"/>
      <c r="AG247" s="6793"/>
      <c r="AH247" s="6794"/>
      <c r="AI247" s="6795"/>
      <c r="AJ247" s="6796"/>
      <c r="AK247" s="6797"/>
      <c r="AL247" s="6798"/>
      <c r="AN247" s="1021"/>
      <c r="AO247" s="6787"/>
      <c r="AP247" s="6787"/>
      <c r="AQ247" s="6787"/>
      <c r="AR247" s="6788"/>
      <c r="AS247" s="6789"/>
      <c r="AT247" s="6790"/>
      <c r="AU247" s="6786"/>
      <c r="AV247" s="6791"/>
      <c r="AW247" s="6792"/>
      <c r="AX247" s="6791"/>
      <c r="AY247" s="6785"/>
      <c r="AZ247" s="6793"/>
      <c r="BA247" s="6794"/>
      <c r="BB247" s="6795"/>
      <c r="BC247" s="6796"/>
      <c r="BD247" s="6797"/>
      <c r="BE247" s="6798"/>
      <c r="BH247" s="5"/>
    </row>
    <row r="248" spans="2:60" ht="27" customHeight="1">
      <c r="B248" s="1021"/>
      <c r="C248" s="6787"/>
      <c r="D248" s="6787"/>
      <c r="E248" s="6787"/>
      <c r="F248" s="6788"/>
      <c r="G248" s="6789"/>
      <c r="H248" s="6790"/>
      <c r="I248" s="6786"/>
      <c r="J248" s="6791"/>
      <c r="K248" s="6792"/>
      <c r="L248" s="6791"/>
      <c r="M248" s="6785"/>
      <c r="N248" s="6793"/>
      <c r="O248" s="6794"/>
      <c r="P248" s="6795"/>
      <c r="Q248" s="6796"/>
      <c r="R248" s="6797"/>
      <c r="S248" s="6798"/>
      <c r="U248" s="1021"/>
      <c r="V248" s="6787"/>
      <c r="W248" s="6787"/>
      <c r="X248" s="6787"/>
      <c r="Y248" s="6788"/>
      <c r="Z248" s="6789"/>
      <c r="AA248" s="6790"/>
      <c r="AB248" s="6786"/>
      <c r="AC248" s="6791"/>
      <c r="AD248" s="6792"/>
      <c r="AE248" s="6791"/>
      <c r="AF248" s="6785"/>
      <c r="AG248" s="6793"/>
      <c r="AH248" s="6794"/>
      <c r="AI248" s="6795"/>
      <c r="AJ248" s="6796"/>
      <c r="AK248" s="6797"/>
      <c r="AL248" s="6798"/>
      <c r="AN248" s="1021"/>
      <c r="AO248" s="6787"/>
      <c r="AP248" s="6787"/>
      <c r="AQ248" s="6787"/>
      <c r="AR248" s="6788"/>
      <c r="AS248" s="6789"/>
      <c r="AT248" s="6790"/>
      <c r="AU248" s="6786"/>
      <c r="AV248" s="6791"/>
      <c r="AW248" s="6792"/>
      <c r="AX248" s="6791"/>
      <c r="AY248" s="6785"/>
      <c r="AZ248" s="6793"/>
      <c r="BA248" s="6794"/>
      <c r="BB248" s="6795"/>
      <c r="BC248" s="6796"/>
      <c r="BD248" s="6797"/>
      <c r="BE248" s="6798"/>
      <c r="BH248" s="5">
        <v>1</v>
      </c>
    </row>
    <row r="249" spans="2:60" ht="27" customHeight="1">
      <c r="B249" s="1021"/>
      <c r="C249" s="6787"/>
      <c r="D249" s="6787"/>
      <c r="E249" s="6787"/>
      <c r="F249" s="6788"/>
      <c r="G249" s="6789"/>
      <c r="H249" s="6790"/>
      <c r="I249" s="6786"/>
      <c r="J249" s="6791"/>
      <c r="K249" s="6792"/>
      <c r="L249" s="6791"/>
      <c r="M249" s="6785"/>
      <c r="N249" s="6793"/>
      <c r="O249" s="6794"/>
      <c r="P249" s="6795"/>
      <c r="Q249" s="6796"/>
      <c r="R249" s="6797"/>
      <c r="S249" s="6798"/>
      <c r="U249" s="1021"/>
      <c r="V249" s="6787"/>
      <c r="W249" s="6787"/>
      <c r="X249" s="6787"/>
      <c r="Y249" s="6788"/>
      <c r="Z249" s="6789"/>
      <c r="AA249" s="6790"/>
      <c r="AB249" s="6786"/>
      <c r="AC249" s="6791"/>
      <c r="AD249" s="6792"/>
      <c r="AE249" s="6791"/>
      <c r="AF249" s="6785"/>
      <c r="AG249" s="6793"/>
      <c r="AH249" s="6794"/>
      <c r="AI249" s="6795"/>
      <c r="AJ249" s="6796"/>
      <c r="AK249" s="6797"/>
      <c r="AL249" s="6798"/>
      <c r="AN249" s="1021"/>
      <c r="AO249" s="6787"/>
      <c r="AP249" s="6787"/>
      <c r="AQ249" s="6787"/>
      <c r="AR249" s="6788"/>
      <c r="AS249" s="6789"/>
      <c r="AT249" s="6790"/>
      <c r="AU249" s="6786"/>
      <c r="AV249" s="6791"/>
      <c r="AW249" s="6792"/>
      <c r="AX249" s="6791"/>
      <c r="AY249" s="6785"/>
      <c r="AZ249" s="6793"/>
      <c r="BA249" s="6794"/>
      <c r="BB249" s="6795"/>
      <c r="BC249" s="6796"/>
      <c r="BD249" s="6797"/>
      <c r="BE249" s="6798"/>
      <c r="BH249" s="5">
        <v>1</v>
      </c>
    </row>
    <row r="250" spans="2:60" ht="27" customHeight="1">
      <c r="B250" s="1021"/>
      <c r="C250" s="6787"/>
      <c r="D250" s="6787"/>
      <c r="E250" s="6787"/>
      <c r="F250" s="6788"/>
      <c r="G250" s="6789"/>
      <c r="H250" s="6790"/>
      <c r="I250" s="6786"/>
      <c r="J250" s="6791"/>
      <c r="K250" s="6792"/>
      <c r="L250" s="6791"/>
      <c r="M250" s="6785"/>
      <c r="N250" s="6793"/>
      <c r="O250" s="6794"/>
      <c r="P250" s="6795"/>
      <c r="Q250" s="6796"/>
      <c r="R250" s="6797"/>
      <c r="S250" s="6798"/>
      <c r="U250" s="1021"/>
      <c r="V250" s="6787"/>
      <c r="W250" s="6787"/>
      <c r="X250" s="6787"/>
      <c r="Y250" s="6788"/>
      <c r="Z250" s="6789"/>
      <c r="AA250" s="6790"/>
      <c r="AB250" s="6786"/>
      <c r="AC250" s="6791"/>
      <c r="AD250" s="6792"/>
      <c r="AE250" s="6791"/>
      <c r="AF250" s="6785"/>
      <c r="AG250" s="6793"/>
      <c r="AH250" s="6794"/>
      <c r="AI250" s="6795"/>
      <c r="AJ250" s="6796"/>
      <c r="AK250" s="6797"/>
      <c r="AL250" s="6798"/>
      <c r="AN250" s="1021"/>
      <c r="AO250" s="6787"/>
      <c r="AP250" s="6787"/>
      <c r="AQ250" s="6787"/>
      <c r="AR250" s="6788"/>
      <c r="AS250" s="6789"/>
      <c r="AT250" s="6790"/>
      <c r="AU250" s="6786"/>
      <c r="AV250" s="6791"/>
      <c r="AW250" s="6792"/>
      <c r="AX250" s="6791"/>
      <c r="AY250" s="6785"/>
      <c r="AZ250" s="6793"/>
      <c r="BA250" s="6794"/>
      <c r="BB250" s="6795"/>
      <c r="BC250" s="6796"/>
      <c r="BD250" s="6797"/>
      <c r="BE250" s="6798"/>
      <c r="BH250" s="5">
        <v>1</v>
      </c>
    </row>
    <row r="251" spans="2:60" ht="27" customHeight="1">
      <c r="B251" s="1021"/>
      <c r="C251" s="6787"/>
      <c r="D251" s="6787"/>
      <c r="E251" s="6787"/>
      <c r="F251" s="6788"/>
      <c r="G251" s="6789"/>
      <c r="H251" s="6790"/>
      <c r="I251" s="6786"/>
      <c r="J251" s="6791"/>
      <c r="K251" s="6792"/>
      <c r="L251" s="6791"/>
      <c r="M251" s="6785"/>
      <c r="N251" s="6793"/>
      <c r="O251" s="6794"/>
      <c r="P251" s="6795"/>
      <c r="Q251" s="6796"/>
      <c r="R251" s="6797"/>
      <c r="S251" s="6798"/>
      <c r="U251" s="1021"/>
      <c r="V251" s="6787"/>
      <c r="W251" s="6787"/>
      <c r="X251" s="6787"/>
      <c r="Y251" s="6788"/>
      <c r="Z251" s="6789"/>
      <c r="AA251" s="6790"/>
      <c r="AB251" s="6786"/>
      <c r="AC251" s="6791"/>
      <c r="AD251" s="6792"/>
      <c r="AE251" s="6791"/>
      <c r="AF251" s="6785"/>
      <c r="AG251" s="6793"/>
      <c r="AH251" s="6794"/>
      <c r="AI251" s="6795"/>
      <c r="AJ251" s="6796"/>
      <c r="AK251" s="6797"/>
      <c r="AL251" s="6798"/>
      <c r="AN251" s="1021"/>
      <c r="AO251" s="6787"/>
      <c r="AP251" s="6787"/>
      <c r="AQ251" s="6787"/>
      <c r="AR251" s="6788"/>
      <c r="AS251" s="6789"/>
      <c r="AT251" s="6790"/>
      <c r="AU251" s="6786"/>
      <c r="AV251" s="6791"/>
      <c r="AW251" s="6792"/>
      <c r="AX251" s="6791"/>
      <c r="AY251" s="6785"/>
      <c r="AZ251" s="6793"/>
      <c r="BA251" s="6794"/>
      <c r="BB251" s="6795"/>
      <c r="BC251" s="6796"/>
      <c r="BD251" s="6797"/>
      <c r="BE251" s="6798"/>
      <c r="BH251" s="5">
        <v>1</v>
      </c>
    </row>
    <row r="252" spans="2:60" ht="27" customHeight="1">
      <c r="B252" s="1021"/>
      <c r="C252" s="6787"/>
      <c r="D252" s="6787"/>
      <c r="E252" s="6787"/>
      <c r="F252" s="6788"/>
      <c r="G252" s="6789"/>
      <c r="H252" s="6790"/>
      <c r="I252" s="6786"/>
      <c r="J252" s="6791"/>
      <c r="K252" s="6792"/>
      <c r="L252" s="6791"/>
      <c r="M252" s="6785"/>
      <c r="N252" s="6793"/>
      <c r="O252" s="6794"/>
      <c r="P252" s="6795"/>
      <c r="Q252" s="6796"/>
      <c r="R252" s="6797"/>
      <c r="S252" s="6798"/>
      <c r="U252" s="1021"/>
      <c r="V252" s="6787"/>
      <c r="W252" s="6787"/>
      <c r="X252" s="6787"/>
      <c r="Y252" s="6788"/>
      <c r="Z252" s="6789"/>
      <c r="AA252" s="6790"/>
      <c r="AB252" s="6786"/>
      <c r="AC252" s="6791"/>
      <c r="AD252" s="6792"/>
      <c r="AE252" s="6791"/>
      <c r="AF252" s="6785"/>
      <c r="AG252" s="6793"/>
      <c r="AH252" s="6794"/>
      <c r="AI252" s="6795"/>
      <c r="AJ252" s="6796"/>
      <c r="AK252" s="6797"/>
      <c r="AL252" s="6798"/>
      <c r="AN252" s="1021"/>
      <c r="AO252" s="6787"/>
      <c r="AP252" s="6787"/>
      <c r="AQ252" s="6787"/>
      <c r="AR252" s="6788"/>
      <c r="AS252" s="6789"/>
      <c r="AT252" s="6790"/>
      <c r="AU252" s="6786"/>
      <c r="AV252" s="6791"/>
      <c r="AW252" s="6792"/>
      <c r="AX252" s="6791"/>
      <c r="AY252" s="6785"/>
      <c r="AZ252" s="6793"/>
      <c r="BA252" s="6794"/>
      <c r="BB252" s="6795"/>
      <c r="BC252" s="6796"/>
      <c r="BD252" s="6797"/>
      <c r="BE252" s="6798"/>
      <c r="BH252" s="5">
        <v>1</v>
      </c>
    </row>
    <row r="253" spans="2:60" ht="27" customHeight="1">
      <c r="B253" s="1021"/>
      <c r="C253" s="6787"/>
      <c r="D253" s="6787"/>
      <c r="E253" s="6787"/>
      <c r="F253" s="6788"/>
      <c r="G253" s="6789"/>
      <c r="H253" s="6790"/>
      <c r="I253" s="6786"/>
      <c r="J253" s="6791"/>
      <c r="K253" s="6792"/>
      <c r="L253" s="6791"/>
      <c r="M253" s="6785"/>
      <c r="N253" s="6793"/>
      <c r="O253" s="6794"/>
      <c r="P253" s="6795"/>
      <c r="Q253" s="6796"/>
      <c r="R253" s="6797"/>
      <c r="S253" s="6798"/>
      <c r="U253" s="1021"/>
      <c r="V253" s="6787"/>
      <c r="W253" s="6787"/>
      <c r="X253" s="6787"/>
      <c r="Y253" s="6788"/>
      <c r="Z253" s="6789"/>
      <c r="AA253" s="6790"/>
      <c r="AB253" s="6786"/>
      <c r="AC253" s="6791"/>
      <c r="AD253" s="6792"/>
      <c r="AE253" s="6791"/>
      <c r="AF253" s="6785"/>
      <c r="AG253" s="6793"/>
      <c r="AH253" s="6794"/>
      <c r="AI253" s="6795"/>
      <c r="AJ253" s="6796"/>
      <c r="AK253" s="6797"/>
      <c r="AL253" s="6798"/>
      <c r="AN253" s="1021"/>
      <c r="AO253" s="6787"/>
      <c r="AP253" s="6787"/>
      <c r="AQ253" s="6787"/>
      <c r="AR253" s="6788"/>
      <c r="AS253" s="6789"/>
      <c r="AT253" s="6790"/>
      <c r="AU253" s="6786"/>
      <c r="AV253" s="6791"/>
      <c r="AW253" s="6792"/>
      <c r="AX253" s="6791"/>
      <c r="AY253" s="6785"/>
      <c r="AZ253" s="6793"/>
      <c r="BA253" s="6794"/>
      <c r="BB253" s="6795"/>
      <c r="BC253" s="6796"/>
      <c r="BD253" s="6797"/>
      <c r="BE253" s="6798"/>
      <c r="BH253" s="5">
        <v>1</v>
      </c>
    </row>
    <row r="254" spans="2:60" ht="27" customHeight="1">
      <c r="B254" s="1021"/>
      <c r="C254" s="6787"/>
      <c r="D254" s="6787"/>
      <c r="E254" s="6787"/>
      <c r="F254" s="6788"/>
      <c r="G254" s="6789"/>
      <c r="H254" s="6790"/>
      <c r="I254" s="6786"/>
      <c r="J254" s="6791"/>
      <c r="K254" s="6792"/>
      <c r="L254" s="6791"/>
      <c r="M254" s="6785"/>
      <c r="N254" s="6793"/>
      <c r="O254" s="6794"/>
      <c r="P254" s="6795"/>
      <c r="Q254" s="6796"/>
      <c r="R254" s="6797"/>
      <c r="S254" s="6798"/>
      <c r="U254" s="1021"/>
      <c r="V254" s="6787"/>
      <c r="W254" s="6787"/>
      <c r="X254" s="6787"/>
      <c r="Y254" s="6788"/>
      <c r="Z254" s="6789"/>
      <c r="AA254" s="6790"/>
      <c r="AB254" s="6786"/>
      <c r="AC254" s="6791"/>
      <c r="AD254" s="6792"/>
      <c r="AE254" s="6791"/>
      <c r="AF254" s="6785"/>
      <c r="AG254" s="6793"/>
      <c r="AH254" s="6794"/>
      <c r="AI254" s="6795"/>
      <c r="AJ254" s="6796"/>
      <c r="AK254" s="6797"/>
      <c r="AL254" s="6798"/>
      <c r="AN254" s="1021"/>
      <c r="AO254" s="6787"/>
      <c r="AP254" s="6787"/>
      <c r="AQ254" s="6787"/>
      <c r="AR254" s="6788"/>
      <c r="AS254" s="6789"/>
      <c r="AT254" s="6790"/>
      <c r="AU254" s="6786"/>
      <c r="AV254" s="6791"/>
      <c r="AW254" s="6792"/>
      <c r="AX254" s="6791"/>
      <c r="AY254" s="6785"/>
      <c r="AZ254" s="6793"/>
      <c r="BA254" s="6794"/>
      <c r="BB254" s="6795"/>
      <c r="BC254" s="6796"/>
      <c r="BD254" s="6797"/>
      <c r="BE254" s="6798"/>
      <c r="BH254" s="5">
        <v>1</v>
      </c>
    </row>
    <row r="255" spans="2:60" ht="18.75">
      <c r="B255" s="1021"/>
      <c r="C255" s="6787"/>
      <c r="D255" s="6787"/>
      <c r="E255" s="6787"/>
      <c r="F255" s="6788"/>
      <c r="G255" s="6789"/>
      <c r="H255" s="6790"/>
      <c r="I255" s="6786"/>
      <c r="J255" s="6791"/>
      <c r="K255" s="6792"/>
      <c r="L255" s="6791"/>
      <c r="M255" s="6785"/>
      <c r="N255" s="6793"/>
      <c r="O255" s="6794"/>
      <c r="P255" s="6795"/>
      <c r="Q255" s="6796"/>
      <c r="R255" s="6797"/>
      <c r="S255" s="6798"/>
      <c r="U255" s="1021"/>
      <c r="V255" s="6787"/>
      <c r="W255" s="6787"/>
      <c r="X255" s="6787"/>
      <c r="Y255" s="6788"/>
      <c r="Z255" s="6789"/>
      <c r="AA255" s="6790"/>
      <c r="AB255" s="6786"/>
      <c r="AC255" s="6791"/>
      <c r="AD255" s="6792"/>
      <c r="AE255" s="6791"/>
      <c r="AF255" s="6785"/>
      <c r="AG255" s="6793"/>
      <c r="AH255" s="6794"/>
      <c r="AI255" s="6795"/>
      <c r="AJ255" s="6796"/>
      <c r="AK255" s="6797"/>
      <c r="AL255" s="6798"/>
      <c r="AN255" s="1021"/>
      <c r="AO255" s="6787"/>
      <c r="AP255" s="6787"/>
      <c r="AQ255" s="6787"/>
      <c r="AR255" s="6788"/>
      <c r="AS255" s="6789"/>
      <c r="AT255" s="6790"/>
      <c r="AU255" s="6786"/>
      <c r="AV255" s="6791"/>
      <c r="AW255" s="6792"/>
      <c r="AX255" s="6791"/>
      <c r="AY255" s="6785"/>
      <c r="AZ255" s="6793"/>
      <c r="BA255" s="6794"/>
      <c r="BB255" s="6795"/>
      <c r="BC255" s="6796"/>
      <c r="BD255" s="6797"/>
      <c r="BE255" s="6798"/>
      <c r="BH255" s="5">
        <v>1</v>
      </c>
    </row>
    <row r="256" spans="2:60" ht="18.75">
      <c r="B256" s="1021"/>
      <c r="C256" s="6787"/>
      <c r="D256" s="6787"/>
      <c r="E256" s="6787"/>
      <c r="F256" s="6788"/>
      <c r="G256" s="6789"/>
      <c r="H256" s="6790"/>
      <c r="I256" s="6786"/>
      <c r="J256" s="6791"/>
      <c r="K256" s="6792"/>
      <c r="L256" s="6791"/>
      <c r="M256" s="6785"/>
      <c r="N256" s="6793"/>
      <c r="O256" s="6794"/>
      <c r="P256" s="6795"/>
      <c r="Q256" s="6796"/>
      <c r="R256" s="6797"/>
      <c r="S256" s="6798"/>
      <c r="U256" s="1021"/>
      <c r="V256" s="6787"/>
      <c r="W256" s="6787"/>
      <c r="X256" s="6787"/>
      <c r="Y256" s="6788"/>
      <c r="Z256" s="6789"/>
      <c r="AA256" s="6790"/>
      <c r="AB256" s="6786"/>
      <c r="AC256" s="6791"/>
      <c r="AD256" s="6792"/>
      <c r="AE256" s="6791"/>
      <c r="AF256" s="6785"/>
      <c r="AG256" s="6793"/>
      <c r="AH256" s="6794"/>
      <c r="AI256" s="6795"/>
      <c r="AJ256" s="6796"/>
      <c r="AK256" s="6797"/>
      <c r="AL256" s="6798"/>
      <c r="AN256" s="1021"/>
      <c r="AO256" s="6787"/>
      <c r="AP256" s="6787"/>
      <c r="AQ256" s="6787"/>
      <c r="AR256" s="6788"/>
      <c r="AS256" s="6789"/>
      <c r="AT256" s="6790"/>
      <c r="AU256" s="6786"/>
      <c r="AV256" s="6791"/>
      <c r="AW256" s="6792"/>
      <c r="AX256" s="6791"/>
      <c r="AY256" s="6785"/>
      <c r="AZ256" s="6793"/>
      <c r="BA256" s="6794"/>
      <c r="BB256" s="6795"/>
      <c r="BC256" s="6796"/>
      <c r="BD256" s="6797"/>
      <c r="BE256" s="6798"/>
      <c r="BH256" s="5">
        <v>1</v>
      </c>
    </row>
    <row r="257" spans="2:60" ht="18.75">
      <c r="B257" s="1021"/>
      <c r="C257" s="6787"/>
      <c r="D257" s="6787"/>
      <c r="E257" s="6787"/>
      <c r="F257" s="6788"/>
      <c r="G257" s="6789"/>
      <c r="H257" s="6790"/>
      <c r="I257" s="6786"/>
      <c r="J257" s="6791"/>
      <c r="K257" s="6792"/>
      <c r="L257" s="6791"/>
      <c r="M257" s="6785"/>
      <c r="N257" s="6793"/>
      <c r="O257" s="6794"/>
      <c r="P257" s="6795"/>
      <c r="Q257" s="6796"/>
      <c r="R257" s="6797"/>
      <c r="S257" s="6798"/>
      <c r="U257" s="1021"/>
      <c r="V257" s="6787"/>
      <c r="W257" s="6787"/>
      <c r="X257" s="6787"/>
      <c r="Y257" s="6788"/>
      <c r="Z257" s="6789"/>
      <c r="AA257" s="6790"/>
      <c r="AB257" s="6786"/>
      <c r="AC257" s="6791"/>
      <c r="AD257" s="6792"/>
      <c r="AE257" s="6791"/>
      <c r="AF257" s="6785"/>
      <c r="AG257" s="6793"/>
      <c r="AH257" s="6794"/>
      <c r="AI257" s="6795"/>
      <c r="AJ257" s="6796"/>
      <c r="AK257" s="6797"/>
      <c r="AL257" s="6798"/>
      <c r="AN257" s="1021"/>
      <c r="AO257" s="6787"/>
      <c r="AP257" s="6787"/>
      <c r="AQ257" s="6787"/>
      <c r="AR257" s="6788"/>
      <c r="AS257" s="6789"/>
      <c r="AT257" s="6790"/>
      <c r="AU257" s="6786"/>
      <c r="AV257" s="6791"/>
      <c r="AW257" s="6792"/>
      <c r="AX257" s="6791"/>
      <c r="AY257" s="6785"/>
      <c r="AZ257" s="6793"/>
      <c r="BA257" s="6794"/>
      <c r="BB257" s="6795"/>
      <c r="BC257" s="6796"/>
      <c r="BD257" s="6797"/>
      <c r="BE257" s="6798"/>
      <c r="BH257" s="5">
        <v>1</v>
      </c>
    </row>
    <row r="258" spans="2:60" ht="18.75">
      <c r="B258" s="1021"/>
      <c r="C258" s="6787"/>
      <c r="D258" s="6787"/>
      <c r="E258" s="6787"/>
      <c r="F258" s="6788"/>
      <c r="G258" s="6789"/>
      <c r="H258" s="6790"/>
      <c r="I258" s="6786"/>
      <c r="J258" s="6791"/>
      <c r="K258" s="6792"/>
      <c r="L258" s="6791"/>
      <c r="M258" s="6785"/>
      <c r="N258" s="6793"/>
      <c r="O258" s="6794"/>
      <c r="P258" s="6795"/>
      <c r="Q258" s="6796"/>
      <c r="R258" s="6797"/>
      <c r="S258" s="6798"/>
      <c r="U258" s="1021"/>
      <c r="V258" s="6787"/>
      <c r="W258" s="6787"/>
      <c r="X258" s="6787"/>
      <c r="Y258" s="6788"/>
      <c r="Z258" s="6789"/>
      <c r="AA258" s="6790"/>
      <c r="AB258" s="6786"/>
      <c r="AC258" s="6791"/>
      <c r="AD258" s="6792"/>
      <c r="AE258" s="6791"/>
      <c r="AF258" s="6785"/>
      <c r="AG258" s="6793"/>
      <c r="AH258" s="6794"/>
      <c r="AI258" s="6795"/>
      <c r="AJ258" s="6796"/>
      <c r="AK258" s="6797"/>
      <c r="AL258" s="6798"/>
      <c r="AN258" s="1021"/>
      <c r="AO258" s="6787"/>
      <c r="AP258" s="6787"/>
      <c r="AQ258" s="6787"/>
      <c r="AR258" s="6788"/>
      <c r="AS258" s="6789"/>
      <c r="AT258" s="6790"/>
      <c r="AU258" s="6786"/>
      <c r="AV258" s="6791"/>
      <c r="AW258" s="6792"/>
      <c r="AX258" s="6791"/>
      <c r="AY258" s="6785"/>
      <c r="AZ258" s="6793"/>
      <c r="BA258" s="6794"/>
      <c r="BB258" s="6795"/>
      <c r="BC258" s="6796"/>
      <c r="BD258" s="6797"/>
      <c r="BE258" s="6798"/>
      <c r="BH258" s="5">
        <v>1</v>
      </c>
    </row>
    <row r="259" spans="2:60" ht="18.75">
      <c r="B259" s="1021"/>
      <c r="C259" s="6787"/>
      <c r="D259" s="6787"/>
      <c r="E259" s="6787"/>
      <c r="F259" s="6788"/>
      <c r="G259" s="6789"/>
      <c r="H259" s="6790"/>
      <c r="I259" s="6786"/>
      <c r="J259" s="6791"/>
      <c r="K259" s="6792"/>
      <c r="L259" s="6791"/>
      <c r="M259" s="6785"/>
      <c r="N259" s="6793"/>
      <c r="O259" s="6794"/>
      <c r="P259" s="6795"/>
      <c r="Q259" s="6796"/>
      <c r="R259" s="6797"/>
      <c r="S259" s="6798"/>
      <c r="U259" s="1021"/>
      <c r="V259" s="6787"/>
      <c r="W259" s="6787"/>
      <c r="X259" s="6787"/>
      <c r="Y259" s="6788"/>
      <c r="Z259" s="6789"/>
      <c r="AA259" s="6790"/>
      <c r="AB259" s="6786"/>
      <c r="AC259" s="6791"/>
      <c r="AD259" s="6792"/>
      <c r="AE259" s="6791"/>
      <c r="AF259" s="6785"/>
      <c r="AG259" s="6793"/>
      <c r="AH259" s="6794"/>
      <c r="AI259" s="6795"/>
      <c r="AJ259" s="6796"/>
      <c r="AK259" s="6797"/>
      <c r="AL259" s="6798"/>
      <c r="AN259" s="1021"/>
      <c r="AO259" s="6787"/>
      <c r="AP259" s="6787"/>
      <c r="AQ259" s="6787"/>
      <c r="AR259" s="6788"/>
      <c r="AS259" s="6789"/>
      <c r="AT259" s="6790"/>
      <c r="AU259" s="6786"/>
      <c r="AV259" s="6791"/>
      <c r="AW259" s="6792"/>
      <c r="AX259" s="6791"/>
      <c r="AY259" s="6785"/>
      <c r="AZ259" s="6793"/>
      <c r="BA259" s="6794"/>
      <c r="BB259" s="6795"/>
      <c r="BC259" s="6796"/>
      <c r="BD259" s="6797"/>
      <c r="BE259" s="6798"/>
      <c r="BH259" s="5">
        <v>1</v>
      </c>
    </row>
    <row r="260" spans="2:60" ht="18.75">
      <c r="B260" s="1021"/>
      <c r="C260" s="6787"/>
      <c r="D260" s="6787"/>
      <c r="E260" s="6787"/>
      <c r="F260" s="6788"/>
      <c r="G260" s="6789"/>
      <c r="H260" s="6790"/>
      <c r="I260" s="6786"/>
      <c r="J260" s="6791"/>
      <c r="K260" s="6792"/>
      <c r="L260" s="6791"/>
      <c r="M260" s="6785"/>
      <c r="N260" s="6793"/>
      <c r="O260" s="6794"/>
      <c r="P260" s="6795"/>
      <c r="Q260" s="6796"/>
      <c r="R260" s="6797"/>
      <c r="S260" s="6798"/>
      <c r="U260" s="1021"/>
      <c r="V260" s="6787"/>
      <c r="W260" s="6787"/>
      <c r="X260" s="6787"/>
      <c r="Y260" s="6788"/>
      <c r="Z260" s="6789"/>
      <c r="AA260" s="6790"/>
      <c r="AB260" s="6786"/>
      <c r="AC260" s="6791"/>
      <c r="AD260" s="6792"/>
      <c r="AE260" s="6791"/>
      <c r="AF260" s="6785"/>
      <c r="AG260" s="6793"/>
      <c r="AH260" s="6794"/>
      <c r="AI260" s="6795"/>
      <c r="AJ260" s="6796"/>
      <c r="AK260" s="6797"/>
      <c r="AL260" s="6798"/>
      <c r="AN260" s="1021"/>
      <c r="AO260" s="6787"/>
      <c r="AP260" s="6787"/>
      <c r="AQ260" s="6787"/>
      <c r="AR260" s="6788"/>
      <c r="AS260" s="6789"/>
      <c r="AT260" s="6790"/>
      <c r="AU260" s="6786"/>
      <c r="AV260" s="6791"/>
      <c r="AW260" s="6792"/>
      <c r="AX260" s="6791"/>
      <c r="AY260" s="6785"/>
      <c r="AZ260" s="6793"/>
      <c r="BA260" s="6794"/>
      <c r="BB260" s="6795"/>
      <c r="BC260" s="6796"/>
      <c r="BD260" s="6797"/>
      <c r="BE260" s="6798"/>
      <c r="BH260" s="5">
        <v>1</v>
      </c>
    </row>
    <row r="261" spans="2:60" ht="18.75">
      <c r="B261" s="1021"/>
      <c r="C261" s="6787"/>
      <c r="D261" s="6787"/>
      <c r="E261" s="6787"/>
      <c r="F261" s="6788"/>
      <c r="G261" s="6789"/>
      <c r="H261" s="6790"/>
      <c r="I261" s="6786"/>
      <c r="J261" s="6791"/>
      <c r="K261" s="6792"/>
      <c r="L261" s="6791"/>
      <c r="M261" s="6785"/>
      <c r="N261" s="6793"/>
      <c r="O261" s="6794"/>
      <c r="P261" s="6795"/>
      <c r="Q261" s="6796"/>
      <c r="R261" s="6797"/>
      <c r="S261" s="6798"/>
      <c r="U261" s="1021"/>
      <c r="V261" s="6787"/>
      <c r="W261" s="6787"/>
      <c r="X261" s="6787"/>
      <c r="Y261" s="6788"/>
      <c r="Z261" s="6789"/>
      <c r="AA261" s="6790"/>
      <c r="AB261" s="6786"/>
      <c r="AC261" s="6791"/>
      <c r="AD261" s="6792"/>
      <c r="AE261" s="6791"/>
      <c r="AF261" s="6785"/>
      <c r="AG261" s="6793"/>
      <c r="AH261" s="6794"/>
      <c r="AI261" s="6795"/>
      <c r="AJ261" s="6796"/>
      <c r="AK261" s="6797"/>
      <c r="AL261" s="6798"/>
      <c r="AN261" s="1021"/>
      <c r="AO261" s="6787"/>
      <c r="AP261" s="6787"/>
      <c r="AQ261" s="6787"/>
      <c r="AR261" s="6788"/>
      <c r="AS261" s="6789"/>
      <c r="AT261" s="6790"/>
      <c r="AU261" s="6786"/>
      <c r="AV261" s="6791"/>
      <c r="AW261" s="6792"/>
      <c r="AX261" s="6791"/>
      <c r="AY261" s="6785"/>
      <c r="AZ261" s="6793"/>
      <c r="BA261" s="6794"/>
      <c r="BB261" s="6795"/>
      <c r="BC261" s="6796"/>
      <c r="BD261" s="6797"/>
      <c r="BE261" s="6798"/>
      <c r="BH261" s="5">
        <v>1</v>
      </c>
    </row>
    <row r="262" spans="2:60" ht="18.75">
      <c r="B262" s="1021"/>
      <c r="C262" s="6787"/>
      <c r="D262" s="6787"/>
      <c r="E262" s="6787"/>
      <c r="F262" s="6788"/>
      <c r="G262" s="6789"/>
      <c r="H262" s="6790"/>
      <c r="I262" s="6786"/>
      <c r="J262" s="6791"/>
      <c r="K262" s="6792"/>
      <c r="L262" s="6791"/>
      <c r="M262" s="6785"/>
      <c r="N262" s="6793"/>
      <c r="O262" s="6794"/>
      <c r="P262" s="6795"/>
      <c r="Q262" s="6796"/>
      <c r="R262" s="6797"/>
      <c r="S262" s="6798"/>
      <c r="U262" s="1021"/>
      <c r="V262" s="6787"/>
      <c r="W262" s="6787"/>
      <c r="X262" s="6787"/>
      <c r="Y262" s="6788"/>
      <c r="Z262" s="6789"/>
      <c r="AA262" s="6790"/>
      <c r="AB262" s="6786"/>
      <c r="AC262" s="6791"/>
      <c r="AD262" s="6792"/>
      <c r="AE262" s="6791"/>
      <c r="AF262" s="6785"/>
      <c r="AG262" s="6793"/>
      <c r="AH262" s="6794"/>
      <c r="AI262" s="6795"/>
      <c r="AJ262" s="6796"/>
      <c r="AK262" s="6797"/>
      <c r="AL262" s="6798"/>
      <c r="AN262" s="1021"/>
      <c r="AO262" s="6787"/>
      <c r="AP262" s="6787"/>
      <c r="AQ262" s="6787"/>
      <c r="AR262" s="6788"/>
      <c r="AS262" s="6789"/>
      <c r="AT262" s="6790"/>
      <c r="AU262" s="6786"/>
      <c r="AV262" s="6791"/>
      <c r="AW262" s="6792"/>
      <c r="AX262" s="6791"/>
      <c r="AY262" s="6785"/>
      <c r="AZ262" s="6793"/>
      <c r="BA262" s="6794"/>
      <c r="BB262" s="6795"/>
      <c r="BC262" s="6796"/>
      <c r="BD262" s="6797"/>
      <c r="BE262" s="6798"/>
      <c r="BH262" s="5">
        <v>1</v>
      </c>
    </row>
    <row r="263" spans="2:60" ht="18.75">
      <c r="B263" s="1021"/>
      <c r="C263" s="6787"/>
      <c r="D263" s="6787"/>
      <c r="E263" s="6787"/>
      <c r="F263" s="6788"/>
      <c r="G263" s="6789"/>
      <c r="H263" s="6790"/>
      <c r="I263" s="6786"/>
      <c r="J263" s="6791"/>
      <c r="K263" s="6792"/>
      <c r="L263" s="6791"/>
      <c r="M263" s="6785"/>
      <c r="N263" s="6793"/>
      <c r="O263" s="6794"/>
      <c r="P263" s="6795"/>
      <c r="Q263" s="6796"/>
      <c r="R263" s="6797"/>
      <c r="S263" s="6798"/>
      <c r="U263" s="1021"/>
      <c r="V263" s="6787"/>
      <c r="W263" s="6787"/>
      <c r="X263" s="6787"/>
      <c r="Y263" s="6788"/>
      <c r="Z263" s="6789"/>
      <c r="AA263" s="6790"/>
      <c r="AB263" s="6786"/>
      <c r="AC263" s="6791"/>
      <c r="AD263" s="6792"/>
      <c r="AE263" s="6791"/>
      <c r="AF263" s="6785"/>
      <c r="AG263" s="6793"/>
      <c r="AH263" s="6794"/>
      <c r="AI263" s="6795"/>
      <c r="AJ263" s="6796"/>
      <c r="AK263" s="6797"/>
      <c r="AL263" s="6798"/>
      <c r="AN263" s="1021"/>
      <c r="AO263" s="6787"/>
      <c r="AP263" s="6787"/>
      <c r="AQ263" s="6787"/>
      <c r="AR263" s="6788"/>
      <c r="AS263" s="6789"/>
      <c r="AT263" s="6790"/>
      <c r="AU263" s="6786"/>
      <c r="AV263" s="6791"/>
      <c r="AW263" s="6792"/>
      <c r="AX263" s="6791"/>
      <c r="AY263" s="6785"/>
      <c r="AZ263" s="6793"/>
      <c r="BA263" s="6794"/>
      <c r="BB263" s="6795"/>
      <c r="BC263" s="6796"/>
      <c r="BD263" s="6797"/>
      <c r="BE263" s="6798"/>
      <c r="BH263" s="5">
        <v>1</v>
      </c>
    </row>
    <row r="264" spans="2:60" ht="18.75">
      <c r="B264" s="1021"/>
      <c r="C264" s="6787"/>
      <c r="D264" s="6787"/>
      <c r="E264" s="6787"/>
      <c r="F264" s="6788"/>
      <c r="G264" s="6789"/>
      <c r="H264" s="6790"/>
      <c r="I264" s="6786"/>
      <c r="J264" s="6791"/>
      <c r="K264" s="6792"/>
      <c r="L264" s="6791"/>
      <c r="M264" s="6785"/>
      <c r="N264" s="6793"/>
      <c r="O264" s="6794"/>
      <c r="P264" s="6795"/>
      <c r="Q264" s="6796"/>
      <c r="R264" s="6797"/>
      <c r="S264" s="6798"/>
      <c r="U264" s="1021"/>
      <c r="V264" s="6787"/>
      <c r="W264" s="6787"/>
      <c r="X264" s="6787"/>
      <c r="Y264" s="6788"/>
      <c r="Z264" s="6789"/>
      <c r="AA264" s="6790"/>
      <c r="AB264" s="6786"/>
      <c r="AC264" s="6791"/>
      <c r="AD264" s="6792"/>
      <c r="AE264" s="6791"/>
      <c r="AF264" s="6785"/>
      <c r="AG264" s="6793"/>
      <c r="AH264" s="6794"/>
      <c r="AI264" s="6795"/>
      <c r="AJ264" s="6796"/>
      <c r="AK264" s="6797"/>
      <c r="AL264" s="6798"/>
      <c r="AN264" s="1021"/>
      <c r="AO264" s="6787"/>
      <c r="AP264" s="6787"/>
      <c r="AQ264" s="6787"/>
      <c r="AR264" s="6788"/>
      <c r="AS264" s="6789"/>
      <c r="AT264" s="6790"/>
      <c r="AU264" s="6786"/>
      <c r="AV264" s="6791"/>
      <c r="AW264" s="6792"/>
      <c r="AX264" s="6791"/>
      <c r="AY264" s="6785"/>
      <c r="AZ264" s="6793"/>
      <c r="BA264" s="6794"/>
      <c r="BB264" s="6795"/>
      <c r="BC264" s="6796"/>
      <c r="BD264" s="6797"/>
      <c r="BE264" s="6798"/>
      <c r="BH264" s="5">
        <v>1</v>
      </c>
    </row>
    <row r="265" spans="2:60" ht="18.75">
      <c r="B265" s="1021"/>
      <c r="C265" s="6787"/>
      <c r="D265" s="6787"/>
      <c r="E265" s="6787"/>
      <c r="F265" s="6788"/>
      <c r="G265" s="6789"/>
      <c r="H265" s="6790"/>
      <c r="I265" s="6786"/>
      <c r="J265" s="6791"/>
      <c r="K265" s="6792"/>
      <c r="L265" s="6791"/>
      <c r="M265" s="6785"/>
      <c r="N265" s="6793"/>
      <c r="O265" s="6794"/>
      <c r="P265" s="6795"/>
      <c r="Q265" s="6796"/>
      <c r="R265" s="6797"/>
      <c r="S265" s="6798"/>
      <c r="U265" s="1021"/>
      <c r="V265" s="6787"/>
      <c r="W265" s="6787"/>
      <c r="X265" s="6787"/>
      <c r="Y265" s="6788"/>
      <c r="Z265" s="6789"/>
      <c r="AA265" s="6790"/>
      <c r="AB265" s="6786"/>
      <c r="AC265" s="6791"/>
      <c r="AD265" s="6792"/>
      <c r="AE265" s="6791"/>
      <c r="AF265" s="6785"/>
      <c r="AG265" s="6793"/>
      <c r="AH265" s="6794"/>
      <c r="AI265" s="6795"/>
      <c r="AJ265" s="6796"/>
      <c r="AK265" s="6797"/>
      <c r="AL265" s="6798"/>
      <c r="AN265" s="1021"/>
      <c r="AO265" s="6787"/>
      <c r="AP265" s="6787"/>
      <c r="AQ265" s="6787"/>
      <c r="AR265" s="6788"/>
      <c r="AS265" s="6789"/>
      <c r="AT265" s="6790"/>
      <c r="AU265" s="6786"/>
      <c r="AV265" s="6791"/>
      <c r="AW265" s="6792"/>
      <c r="AX265" s="6791"/>
      <c r="AY265" s="6785"/>
      <c r="AZ265" s="6793"/>
      <c r="BA265" s="6794"/>
      <c r="BB265" s="6795"/>
      <c r="BC265" s="6796"/>
      <c r="BD265" s="6797"/>
      <c r="BE265" s="6798"/>
      <c r="BH265" s="5">
        <v>1</v>
      </c>
    </row>
    <row r="266" spans="2:60" ht="18.75">
      <c r="B266" s="1021"/>
      <c r="C266" s="6787"/>
      <c r="D266" s="6787"/>
      <c r="E266" s="6787"/>
      <c r="F266" s="6788"/>
      <c r="G266" s="6789"/>
      <c r="H266" s="6790"/>
      <c r="I266" s="6786"/>
      <c r="J266" s="6791"/>
      <c r="K266" s="6792"/>
      <c r="L266" s="6791"/>
      <c r="M266" s="6785"/>
      <c r="N266" s="6793"/>
      <c r="O266" s="6794"/>
      <c r="P266" s="6795"/>
      <c r="Q266" s="6796"/>
      <c r="R266" s="6797"/>
      <c r="S266" s="6798"/>
      <c r="U266" s="1021"/>
      <c r="V266" s="6787"/>
      <c r="W266" s="6787"/>
      <c r="X266" s="6787"/>
      <c r="Y266" s="6788"/>
      <c r="Z266" s="6789"/>
      <c r="AA266" s="6790"/>
      <c r="AB266" s="6786"/>
      <c r="AC266" s="6791"/>
      <c r="AD266" s="6792"/>
      <c r="AE266" s="6791"/>
      <c r="AF266" s="6785"/>
      <c r="AG266" s="6793"/>
      <c r="AH266" s="6794"/>
      <c r="AI266" s="6795"/>
      <c r="AJ266" s="6796"/>
      <c r="AK266" s="6797"/>
      <c r="AL266" s="6798"/>
      <c r="AN266" s="1021"/>
      <c r="AO266" s="6787"/>
      <c r="AP266" s="6787"/>
      <c r="AQ266" s="6787"/>
      <c r="AR266" s="6788"/>
      <c r="AS266" s="6789"/>
      <c r="AT266" s="6790"/>
      <c r="AU266" s="6786"/>
      <c r="AV266" s="6791"/>
      <c r="AW266" s="6792"/>
      <c r="AX266" s="6791"/>
      <c r="AY266" s="6785"/>
      <c r="AZ266" s="6793"/>
      <c r="BA266" s="6794"/>
      <c r="BB266" s="6795"/>
      <c r="BC266" s="6796"/>
      <c r="BD266" s="6797"/>
      <c r="BE266" s="6798"/>
      <c r="BH266" s="5">
        <v>1</v>
      </c>
    </row>
    <row r="267" spans="2:60" ht="18.75">
      <c r="B267" s="1021"/>
      <c r="C267" s="6787"/>
      <c r="D267" s="6787"/>
      <c r="E267" s="6787"/>
      <c r="F267" s="6788"/>
      <c r="G267" s="6789"/>
      <c r="H267" s="6790"/>
      <c r="I267" s="6786"/>
      <c r="J267" s="6791"/>
      <c r="K267" s="6792"/>
      <c r="L267" s="6791"/>
      <c r="M267" s="6785"/>
      <c r="N267" s="6793"/>
      <c r="O267" s="6794"/>
      <c r="P267" s="6795"/>
      <c r="Q267" s="6796"/>
      <c r="R267" s="6797"/>
      <c r="S267" s="6798"/>
      <c r="U267" s="1021"/>
      <c r="V267" s="6787"/>
      <c r="W267" s="6787"/>
      <c r="X267" s="6787"/>
      <c r="Y267" s="6788"/>
      <c r="Z267" s="6789"/>
      <c r="AA267" s="6790"/>
      <c r="AB267" s="6786"/>
      <c r="AC267" s="6791"/>
      <c r="AD267" s="6792"/>
      <c r="AE267" s="6791"/>
      <c r="AF267" s="6785"/>
      <c r="AG267" s="6793"/>
      <c r="AH267" s="6794"/>
      <c r="AI267" s="6795"/>
      <c r="AJ267" s="6796"/>
      <c r="AK267" s="6797"/>
      <c r="AL267" s="6798"/>
      <c r="AN267" s="1021"/>
      <c r="AO267" s="6787"/>
      <c r="AP267" s="6787"/>
      <c r="AQ267" s="6787"/>
      <c r="AR267" s="6788"/>
      <c r="AS267" s="6789"/>
      <c r="AT267" s="6790"/>
      <c r="AU267" s="6786"/>
      <c r="AV267" s="6791"/>
      <c r="AW267" s="6792"/>
      <c r="AX267" s="6791"/>
      <c r="AY267" s="6785"/>
      <c r="AZ267" s="6793"/>
      <c r="BA267" s="6794"/>
      <c r="BB267" s="6795"/>
      <c r="BC267" s="6796"/>
      <c r="BD267" s="6797"/>
      <c r="BE267" s="6798"/>
      <c r="BH267" s="5">
        <v>1</v>
      </c>
    </row>
    <row r="268" spans="2:60" ht="18.75">
      <c r="B268" s="1021"/>
      <c r="C268" s="6787"/>
      <c r="D268" s="6787"/>
      <c r="E268" s="6787"/>
      <c r="F268" s="6788"/>
      <c r="G268" s="6789"/>
      <c r="H268" s="6790"/>
      <c r="I268" s="6786"/>
      <c r="J268" s="6791"/>
      <c r="K268" s="6792"/>
      <c r="L268" s="6791"/>
      <c r="M268" s="6785"/>
      <c r="N268" s="6793"/>
      <c r="O268" s="6794"/>
      <c r="P268" s="6795"/>
      <c r="Q268" s="6796"/>
      <c r="R268" s="6797"/>
      <c r="S268" s="6798"/>
      <c r="U268" s="1021"/>
      <c r="V268" s="6787"/>
      <c r="W268" s="6787"/>
      <c r="X268" s="6787"/>
      <c r="Y268" s="6788"/>
      <c r="Z268" s="6789"/>
      <c r="AA268" s="6790"/>
      <c r="AB268" s="6786"/>
      <c r="AC268" s="6791"/>
      <c r="AD268" s="6792"/>
      <c r="AE268" s="6791"/>
      <c r="AF268" s="6785"/>
      <c r="AG268" s="6793"/>
      <c r="AH268" s="6794"/>
      <c r="AI268" s="6795"/>
      <c r="AJ268" s="6796"/>
      <c r="AK268" s="6797"/>
      <c r="AL268" s="6798"/>
      <c r="AN268" s="1021"/>
      <c r="AO268" s="6787"/>
      <c r="AP268" s="6787"/>
      <c r="AQ268" s="6787"/>
      <c r="AR268" s="6788"/>
      <c r="AS268" s="6789"/>
      <c r="AT268" s="6790"/>
      <c r="AU268" s="6786"/>
      <c r="AV268" s="6791"/>
      <c r="AW268" s="6792"/>
      <c r="AX268" s="6791"/>
      <c r="AY268" s="6785"/>
      <c r="AZ268" s="6793"/>
      <c r="BA268" s="6794"/>
      <c r="BB268" s="6795"/>
      <c r="BC268" s="6796"/>
      <c r="BD268" s="6797"/>
      <c r="BE268" s="6798"/>
      <c r="BH268" s="5">
        <v>1</v>
      </c>
    </row>
    <row r="269" spans="2:60" ht="18.75">
      <c r="B269" s="1021"/>
      <c r="C269" s="6787"/>
      <c r="D269" s="6787"/>
      <c r="E269" s="6787"/>
      <c r="F269" s="6788"/>
      <c r="G269" s="6789"/>
      <c r="H269" s="6790"/>
      <c r="I269" s="6786"/>
      <c r="J269" s="6791"/>
      <c r="K269" s="6792"/>
      <c r="L269" s="6791"/>
      <c r="M269" s="6785"/>
      <c r="N269" s="6793"/>
      <c r="O269" s="6794"/>
      <c r="P269" s="6795"/>
      <c r="Q269" s="6796"/>
      <c r="R269" s="6797"/>
      <c r="S269" s="6798"/>
      <c r="U269" s="1021"/>
      <c r="V269" s="6787"/>
      <c r="W269" s="6787"/>
      <c r="X269" s="6787"/>
      <c r="Y269" s="6788"/>
      <c r="Z269" s="6789"/>
      <c r="AA269" s="6790"/>
      <c r="AB269" s="6786"/>
      <c r="AC269" s="6791"/>
      <c r="AD269" s="6792"/>
      <c r="AE269" s="6791"/>
      <c r="AF269" s="6785"/>
      <c r="AG269" s="6793"/>
      <c r="AH269" s="6794"/>
      <c r="AI269" s="6795"/>
      <c r="AJ269" s="6796"/>
      <c r="AK269" s="6797"/>
      <c r="AL269" s="6798"/>
      <c r="AN269" s="1021"/>
      <c r="AO269" s="6787"/>
      <c r="AP269" s="6787"/>
      <c r="AQ269" s="6787"/>
      <c r="AR269" s="6788"/>
      <c r="AS269" s="6789"/>
      <c r="AT269" s="6790"/>
      <c r="AU269" s="6786"/>
      <c r="AV269" s="6791"/>
      <c r="AW269" s="6792"/>
      <c r="AX269" s="6791"/>
      <c r="AY269" s="6785"/>
      <c r="AZ269" s="6793"/>
      <c r="BA269" s="6794"/>
      <c r="BB269" s="6795"/>
      <c r="BC269" s="6796"/>
      <c r="BD269" s="6797"/>
      <c r="BE269" s="6798"/>
      <c r="BH269" s="5">
        <v>1</v>
      </c>
    </row>
    <row r="270" spans="2:60" ht="18.75">
      <c r="B270" s="1021"/>
      <c r="C270" s="6787"/>
      <c r="D270" s="6787"/>
      <c r="E270" s="6787"/>
      <c r="F270" s="6788"/>
      <c r="G270" s="6789"/>
      <c r="H270" s="6790"/>
      <c r="I270" s="6786"/>
      <c r="J270" s="6791"/>
      <c r="K270" s="6792"/>
      <c r="L270" s="6791"/>
      <c r="M270" s="6785"/>
      <c r="N270" s="6793"/>
      <c r="O270" s="6794"/>
      <c r="P270" s="6795"/>
      <c r="Q270" s="6796"/>
      <c r="R270" s="6797"/>
      <c r="S270" s="6798"/>
      <c r="U270" s="1021"/>
      <c r="V270" s="6787"/>
      <c r="W270" s="6787"/>
      <c r="X270" s="6787"/>
      <c r="Y270" s="6788"/>
      <c r="Z270" s="6789"/>
      <c r="AA270" s="6790"/>
      <c r="AB270" s="6786"/>
      <c r="AC270" s="6791"/>
      <c r="AD270" s="6792"/>
      <c r="AE270" s="6791"/>
      <c r="AF270" s="6785"/>
      <c r="AG270" s="6793"/>
      <c r="AH270" s="6794"/>
      <c r="AI270" s="6795"/>
      <c r="AJ270" s="6796"/>
      <c r="AK270" s="6797"/>
      <c r="AL270" s="6798"/>
      <c r="AN270" s="1021"/>
      <c r="AO270" s="6787"/>
      <c r="AP270" s="6787"/>
      <c r="AQ270" s="6787"/>
      <c r="AR270" s="6788"/>
      <c r="AS270" s="6789"/>
      <c r="AT270" s="6790"/>
      <c r="AU270" s="6786"/>
      <c r="AV270" s="6791"/>
      <c r="AW270" s="6792"/>
      <c r="AX270" s="6791"/>
      <c r="AY270" s="6785"/>
      <c r="AZ270" s="6793"/>
      <c r="BA270" s="6794"/>
      <c r="BB270" s="6795"/>
      <c r="BC270" s="6796"/>
      <c r="BD270" s="6797"/>
      <c r="BE270" s="6798"/>
      <c r="BH270" s="5">
        <v>1</v>
      </c>
    </row>
    <row r="271" spans="2:60" ht="18.75">
      <c r="B271" s="1021"/>
      <c r="C271" s="6787"/>
      <c r="D271" s="6787"/>
      <c r="E271" s="6787"/>
      <c r="F271" s="6788"/>
      <c r="G271" s="6789"/>
      <c r="H271" s="6790"/>
      <c r="I271" s="6786"/>
      <c r="J271" s="6791"/>
      <c r="K271" s="6792"/>
      <c r="L271" s="6791"/>
      <c r="M271" s="6785"/>
      <c r="N271" s="6793"/>
      <c r="O271" s="6794"/>
      <c r="P271" s="6795"/>
      <c r="Q271" s="6796"/>
      <c r="R271" s="6797"/>
      <c r="S271" s="6798"/>
      <c r="U271" s="1021"/>
      <c r="V271" s="6787"/>
      <c r="W271" s="6787"/>
      <c r="X271" s="6787"/>
      <c r="Y271" s="6788"/>
      <c r="Z271" s="6789"/>
      <c r="AA271" s="6790"/>
      <c r="AB271" s="6786"/>
      <c r="AC271" s="6791"/>
      <c r="AD271" s="6792"/>
      <c r="AE271" s="6791"/>
      <c r="AF271" s="6785"/>
      <c r="AG271" s="6793"/>
      <c r="AH271" s="6794"/>
      <c r="AI271" s="6795"/>
      <c r="AJ271" s="6796"/>
      <c r="AK271" s="6797"/>
      <c r="AL271" s="6798"/>
      <c r="AN271" s="1021"/>
      <c r="AO271" s="6787"/>
      <c r="AP271" s="6787"/>
      <c r="AQ271" s="6787"/>
      <c r="AR271" s="6788"/>
      <c r="AS271" s="6789"/>
      <c r="AT271" s="6790"/>
      <c r="AU271" s="6786"/>
      <c r="AV271" s="6791"/>
      <c r="AW271" s="6792"/>
      <c r="AX271" s="6791"/>
      <c r="AY271" s="6785"/>
      <c r="AZ271" s="6793"/>
      <c r="BA271" s="6794"/>
      <c r="BB271" s="6795"/>
      <c r="BC271" s="6796"/>
      <c r="BD271" s="6797"/>
      <c r="BE271" s="6798"/>
      <c r="BH271" s="5">
        <v>1</v>
      </c>
    </row>
    <row r="272" spans="2:60" ht="18.75">
      <c r="B272" s="1021"/>
      <c r="C272" s="6787"/>
      <c r="D272" s="6787"/>
      <c r="E272" s="6787"/>
      <c r="F272" s="6788"/>
      <c r="G272" s="6789"/>
      <c r="H272" s="6790"/>
      <c r="I272" s="6786"/>
      <c r="J272" s="6791"/>
      <c r="K272" s="6792"/>
      <c r="L272" s="6791"/>
      <c r="M272" s="6785"/>
      <c r="N272" s="6793"/>
      <c r="O272" s="6794"/>
      <c r="P272" s="6795"/>
      <c r="Q272" s="6796"/>
      <c r="R272" s="6797"/>
      <c r="S272" s="6798"/>
      <c r="U272" s="1021"/>
      <c r="V272" s="6787"/>
      <c r="W272" s="6787"/>
      <c r="X272" s="6787"/>
      <c r="Y272" s="6788"/>
      <c r="Z272" s="6789"/>
      <c r="AA272" s="6790"/>
      <c r="AB272" s="6786"/>
      <c r="AC272" s="6791"/>
      <c r="AD272" s="6792"/>
      <c r="AE272" s="6791"/>
      <c r="AF272" s="6785"/>
      <c r="AG272" s="6793"/>
      <c r="AH272" s="6794"/>
      <c r="AI272" s="6795"/>
      <c r="AJ272" s="6796"/>
      <c r="AK272" s="6797"/>
      <c r="AL272" s="6798"/>
      <c r="AN272" s="1021"/>
      <c r="AO272" s="6787"/>
      <c r="AP272" s="6787"/>
      <c r="AQ272" s="6787"/>
      <c r="AR272" s="6788"/>
      <c r="AS272" s="6789"/>
      <c r="AT272" s="6790"/>
      <c r="AU272" s="6786"/>
      <c r="AV272" s="6791"/>
      <c r="AW272" s="6792"/>
      <c r="AX272" s="6791"/>
      <c r="AY272" s="6785"/>
      <c r="AZ272" s="6793"/>
      <c r="BA272" s="6794"/>
      <c r="BB272" s="6795"/>
      <c r="BC272" s="6796"/>
      <c r="BD272" s="6797"/>
      <c r="BE272" s="6798"/>
      <c r="BH272" s="5">
        <v>1</v>
      </c>
    </row>
    <row r="273" spans="2:60" ht="18.75">
      <c r="B273" s="1021"/>
      <c r="C273" s="6787"/>
      <c r="D273" s="6787"/>
      <c r="E273" s="6787"/>
      <c r="F273" s="6788"/>
      <c r="G273" s="6789"/>
      <c r="H273" s="6790"/>
      <c r="I273" s="6786"/>
      <c r="J273" s="6791"/>
      <c r="K273" s="6792"/>
      <c r="L273" s="6791"/>
      <c r="M273" s="6785"/>
      <c r="N273" s="6793"/>
      <c r="O273" s="6794"/>
      <c r="P273" s="6795"/>
      <c r="Q273" s="6796"/>
      <c r="R273" s="6797"/>
      <c r="S273" s="6798"/>
      <c r="U273" s="1021"/>
      <c r="V273" s="6787"/>
      <c r="W273" s="6787"/>
      <c r="X273" s="6787"/>
      <c r="Y273" s="6788"/>
      <c r="Z273" s="6789"/>
      <c r="AA273" s="6790"/>
      <c r="AB273" s="6786"/>
      <c r="AC273" s="6791"/>
      <c r="AD273" s="6792"/>
      <c r="AE273" s="6791"/>
      <c r="AF273" s="6785"/>
      <c r="AG273" s="6793"/>
      <c r="AH273" s="6794"/>
      <c r="AI273" s="6795"/>
      <c r="AJ273" s="6796"/>
      <c r="AK273" s="6797"/>
      <c r="AL273" s="6798"/>
      <c r="AN273" s="1021"/>
      <c r="AO273" s="6787"/>
      <c r="AP273" s="6787"/>
      <c r="AQ273" s="6787"/>
      <c r="AR273" s="6788"/>
      <c r="AS273" s="6789"/>
      <c r="AT273" s="6790"/>
      <c r="AU273" s="6786"/>
      <c r="AV273" s="6791"/>
      <c r="AW273" s="6792"/>
      <c r="AX273" s="6791"/>
      <c r="AY273" s="6785"/>
      <c r="AZ273" s="6793"/>
      <c r="BA273" s="6794"/>
      <c r="BB273" s="6795"/>
      <c r="BC273" s="6796"/>
      <c r="BD273" s="6797"/>
      <c r="BE273" s="6798"/>
      <c r="BH273" s="5">
        <v>1</v>
      </c>
    </row>
    <row r="274" spans="2:60" ht="18.75">
      <c r="B274" s="1021"/>
      <c r="C274" s="6787"/>
      <c r="D274" s="6787"/>
      <c r="E274" s="6787"/>
      <c r="F274" s="6788"/>
      <c r="G274" s="6789"/>
      <c r="H274" s="6790"/>
      <c r="I274" s="6786"/>
      <c r="J274" s="6791"/>
      <c r="K274" s="6792"/>
      <c r="L274" s="6791"/>
      <c r="M274" s="6785"/>
      <c r="N274" s="6793"/>
      <c r="O274" s="6794"/>
      <c r="P274" s="6795"/>
      <c r="Q274" s="6796"/>
      <c r="R274" s="6797"/>
      <c r="S274" s="6798"/>
      <c r="U274" s="1021"/>
      <c r="V274" s="6787"/>
      <c r="W274" s="6787"/>
      <c r="X274" s="6787"/>
      <c r="Y274" s="6788"/>
      <c r="Z274" s="6789"/>
      <c r="AA274" s="6790"/>
      <c r="AB274" s="6786"/>
      <c r="AC274" s="6791"/>
      <c r="AD274" s="6792"/>
      <c r="AE274" s="6791"/>
      <c r="AF274" s="6785"/>
      <c r="AG274" s="6793"/>
      <c r="AH274" s="6794"/>
      <c r="AI274" s="6795"/>
      <c r="AJ274" s="6796"/>
      <c r="AK274" s="6797"/>
      <c r="AL274" s="6798"/>
      <c r="AN274" s="1021"/>
      <c r="AO274" s="6787"/>
      <c r="AP274" s="6787"/>
      <c r="AQ274" s="6787"/>
      <c r="AR274" s="6788"/>
      <c r="AS274" s="6789"/>
      <c r="AT274" s="6790"/>
      <c r="AU274" s="6786"/>
      <c r="AV274" s="6791"/>
      <c r="AW274" s="6792"/>
      <c r="AX274" s="6791"/>
      <c r="AY274" s="6785"/>
      <c r="AZ274" s="6793"/>
      <c r="BA274" s="6794"/>
      <c r="BB274" s="6795"/>
      <c r="BC274" s="6796"/>
      <c r="BD274" s="6797"/>
      <c r="BE274" s="6798"/>
      <c r="BH274" s="5">
        <v>1</v>
      </c>
    </row>
    <row r="275" spans="2:60" ht="18.75">
      <c r="B275" s="1021"/>
      <c r="C275" s="6787"/>
      <c r="D275" s="6787"/>
      <c r="E275" s="6787"/>
      <c r="F275" s="6788"/>
      <c r="G275" s="6789"/>
      <c r="H275" s="6790"/>
      <c r="I275" s="6786"/>
      <c r="J275" s="6791"/>
      <c r="K275" s="6792"/>
      <c r="L275" s="6791"/>
      <c r="M275" s="6785"/>
      <c r="N275" s="6793"/>
      <c r="O275" s="6794"/>
      <c r="P275" s="6795"/>
      <c r="Q275" s="6796"/>
      <c r="R275" s="6797"/>
      <c r="S275" s="6798"/>
      <c r="U275" s="1021"/>
      <c r="V275" s="6787"/>
      <c r="W275" s="6787"/>
      <c r="X275" s="6787"/>
      <c r="Y275" s="6788"/>
      <c r="Z275" s="6789"/>
      <c r="AA275" s="6790"/>
      <c r="AB275" s="6786"/>
      <c r="AC275" s="6791"/>
      <c r="AD275" s="6792"/>
      <c r="AE275" s="6791"/>
      <c r="AF275" s="6785"/>
      <c r="AG275" s="6793"/>
      <c r="AH275" s="6794"/>
      <c r="AI275" s="6795"/>
      <c r="AJ275" s="6796"/>
      <c r="AK275" s="6797"/>
      <c r="AL275" s="6798"/>
      <c r="AN275" s="1021"/>
      <c r="AO275" s="6787"/>
      <c r="AP275" s="6787"/>
      <c r="AQ275" s="6787"/>
      <c r="AR275" s="6788"/>
      <c r="AS275" s="6789"/>
      <c r="AT275" s="6790"/>
      <c r="AU275" s="6786"/>
      <c r="AV275" s="6791"/>
      <c r="AW275" s="6792"/>
      <c r="AX275" s="6791"/>
      <c r="AY275" s="6785"/>
      <c r="AZ275" s="6793"/>
      <c r="BA275" s="6794"/>
      <c r="BB275" s="6795"/>
      <c r="BC275" s="6796"/>
      <c r="BD275" s="6797"/>
      <c r="BE275" s="6798"/>
      <c r="BH275" s="5">
        <v>1</v>
      </c>
    </row>
    <row r="276" spans="2:60" ht="18.75">
      <c r="B276" s="1021"/>
      <c r="C276" s="6787"/>
      <c r="D276" s="6787"/>
      <c r="E276" s="6787"/>
      <c r="F276" s="6788"/>
      <c r="G276" s="6789"/>
      <c r="H276" s="6790"/>
      <c r="I276" s="6786"/>
      <c r="J276" s="6791"/>
      <c r="K276" s="6792"/>
      <c r="L276" s="6791"/>
      <c r="M276" s="6785"/>
      <c r="N276" s="6793"/>
      <c r="O276" s="6794"/>
      <c r="P276" s="6795"/>
      <c r="Q276" s="6796"/>
      <c r="R276" s="6797"/>
      <c r="S276" s="6798"/>
      <c r="U276" s="1021"/>
      <c r="V276" s="6787"/>
      <c r="W276" s="6787"/>
      <c r="X276" s="6787"/>
      <c r="Y276" s="6788"/>
      <c r="Z276" s="6789"/>
      <c r="AA276" s="6790"/>
      <c r="AB276" s="6786"/>
      <c r="AC276" s="6791"/>
      <c r="AD276" s="6792"/>
      <c r="AE276" s="6791"/>
      <c r="AF276" s="6785"/>
      <c r="AG276" s="6793"/>
      <c r="AH276" s="6794"/>
      <c r="AI276" s="6795"/>
      <c r="AJ276" s="6796"/>
      <c r="AK276" s="6797"/>
      <c r="AL276" s="6798"/>
      <c r="AN276" s="1021"/>
      <c r="AO276" s="6787"/>
      <c r="AP276" s="6787"/>
      <c r="AQ276" s="6787"/>
      <c r="AR276" s="6788"/>
      <c r="AS276" s="6789"/>
      <c r="AT276" s="6790"/>
      <c r="AU276" s="6786"/>
      <c r="AV276" s="6791"/>
      <c r="AW276" s="6792"/>
      <c r="AX276" s="6791"/>
      <c r="AY276" s="6785"/>
      <c r="AZ276" s="6793"/>
      <c r="BA276" s="6794"/>
      <c r="BB276" s="6795"/>
      <c r="BC276" s="6796"/>
      <c r="BD276" s="6797"/>
      <c r="BE276" s="6798"/>
      <c r="BH276" s="5">
        <v>1</v>
      </c>
    </row>
    <row r="277" spans="2:60" ht="18.75">
      <c r="B277" s="1021"/>
      <c r="C277" s="6787"/>
      <c r="D277" s="6787"/>
      <c r="E277" s="6787"/>
      <c r="F277" s="6788"/>
      <c r="G277" s="6789"/>
      <c r="H277" s="6790"/>
      <c r="I277" s="6786"/>
      <c r="J277" s="6791"/>
      <c r="K277" s="6792"/>
      <c r="L277" s="6791"/>
      <c r="M277" s="6785"/>
      <c r="N277" s="6793"/>
      <c r="O277" s="6794"/>
      <c r="P277" s="6795"/>
      <c r="Q277" s="6796"/>
      <c r="R277" s="6797"/>
      <c r="S277" s="6798"/>
      <c r="U277" s="1021"/>
      <c r="V277" s="6787"/>
      <c r="W277" s="6787"/>
      <c r="X277" s="6787"/>
      <c r="Y277" s="6788"/>
      <c r="Z277" s="6789"/>
      <c r="AA277" s="6790"/>
      <c r="AB277" s="6786"/>
      <c r="AC277" s="6791"/>
      <c r="AD277" s="6792"/>
      <c r="AE277" s="6791"/>
      <c r="AF277" s="6785"/>
      <c r="AG277" s="6793"/>
      <c r="AH277" s="6794"/>
      <c r="AI277" s="6795"/>
      <c r="AJ277" s="6796"/>
      <c r="AK277" s="6797"/>
      <c r="AL277" s="6798"/>
      <c r="AN277" s="1021"/>
      <c r="AO277" s="6787"/>
      <c r="AP277" s="6787"/>
      <c r="AQ277" s="6787"/>
      <c r="AR277" s="6788"/>
      <c r="AS277" s="6789"/>
      <c r="AT277" s="6790"/>
      <c r="AU277" s="6786"/>
      <c r="AV277" s="6791"/>
      <c r="AW277" s="6792"/>
      <c r="AX277" s="6791"/>
      <c r="AY277" s="6785"/>
      <c r="AZ277" s="6793"/>
      <c r="BA277" s="6794"/>
      <c r="BB277" s="6795"/>
      <c r="BC277" s="6796"/>
      <c r="BD277" s="6797"/>
      <c r="BE277" s="6798"/>
      <c r="BH277" s="5">
        <v>1</v>
      </c>
    </row>
    <row r="278" spans="2:60" ht="18.75">
      <c r="B278" s="1021"/>
      <c r="C278" s="6787"/>
      <c r="D278" s="6787"/>
      <c r="E278" s="6787"/>
      <c r="F278" s="6788"/>
      <c r="G278" s="6789"/>
      <c r="H278" s="6790"/>
      <c r="I278" s="6786"/>
      <c r="J278" s="6791"/>
      <c r="K278" s="6792"/>
      <c r="L278" s="6791"/>
      <c r="M278" s="6785"/>
      <c r="N278" s="6793"/>
      <c r="O278" s="6794"/>
      <c r="P278" s="6795"/>
      <c r="Q278" s="6796"/>
      <c r="R278" s="6797"/>
      <c r="S278" s="6798"/>
      <c r="U278" s="1021"/>
      <c r="V278" s="6787"/>
      <c r="W278" s="6787"/>
      <c r="X278" s="6787"/>
      <c r="Y278" s="6788"/>
      <c r="Z278" s="6789"/>
      <c r="AA278" s="6790"/>
      <c r="AB278" s="6786"/>
      <c r="AC278" s="6791"/>
      <c r="AD278" s="6792"/>
      <c r="AE278" s="6791"/>
      <c r="AF278" s="6785"/>
      <c r="AG278" s="6793"/>
      <c r="AH278" s="6794"/>
      <c r="AI278" s="6795"/>
      <c r="AJ278" s="6796"/>
      <c r="AK278" s="6797"/>
      <c r="AL278" s="6798"/>
      <c r="AN278" s="1021"/>
      <c r="AO278" s="6787"/>
      <c r="AP278" s="6787"/>
      <c r="AQ278" s="6787"/>
      <c r="AR278" s="6788"/>
      <c r="AS278" s="6789"/>
      <c r="AT278" s="6790"/>
      <c r="AU278" s="6786"/>
      <c r="AV278" s="6791"/>
      <c r="AW278" s="6792"/>
      <c r="AX278" s="6791"/>
      <c r="AY278" s="6785"/>
      <c r="AZ278" s="6793"/>
      <c r="BA278" s="6794"/>
      <c r="BB278" s="6795"/>
      <c r="BC278" s="6796"/>
      <c r="BD278" s="6797"/>
      <c r="BE278" s="6798"/>
      <c r="BH278" s="5">
        <v>1</v>
      </c>
    </row>
    <row r="279" spans="2:60" ht="18.75">
      <c r="B279" s="1021"/>
      <c r="C279" s="6787"/>
      <c r="D279" s="6787"/>
      <c r="E279" s="6787"/>
      <c r="F279" s="6788"/>
      <c r="G279" s="6789"/>
      <c r="H279" s="6790"/>
      <c r="I279" s="6786"/>
      <c r="J279" s="6791"/>
      <c r="K279" s="6792"/>
      <c r="L279" s="6791"/>
      <c r="M279" s="6785"/>
      <c r="N279" s="6793"/>
      <c r="O279" s="6794"/>
      <c r="P279" s="6795"/>
      <c r="Q279" s="6796"/>
      <c r="R279" s="6797"/>
      <c r="S279" s="6798"/>
      <c r="U279" s="1021"/>
      <c r="V279" s="6787"/>
      <c r="W279" s="6787"/>
      <c r="X279" s="6787"/>
      <c r="Y279" s="6788"/>
      <c r="Z279" s="6789"/>
      <c r="AA279" s="6790"/>
      <c r="AB279" s="6786"/>
      <c r="AC279" s="6791"/>
      <c r="AD279" s="6792"/>
      <c r="AE279" s="6791"/>
      <c r="AF279" s="6785"/>
      <c r="AG279" s="6793"/>
      <c r="AH279" s="6794"/>
      <c r="AI279" s="6795"/>
      <c r="AJ279" s="6796"/>
      <c r="AK279" s="6797"/>
      <c r="AL279" s="6798"/>
      <c r="AN279" s="1021"/>
      <c r="AO279" s="6787"/>
      <c r="AP279" s="6787"/>
      <c r="AQ279" s="6787"/>
      <c r="AR279" s="6788"/>
      <c r="AS279" s="6789"/>
      <c r="AT279" s="6790"/>
      <c r="AU279" s="6786"/>
      <c r="AV279" s="6791"/>
      <c r="AW279" s="6792"/>
      <c r="AX279" s="6791"/>
      <c r="AY279" s="6785"/>
      <c r="AZ279" s="6793"/>
      <c r="BA279" s="6794"/>
      <c r="BB279" s="6795"/>
      <c r="BC279" s="6796"/>
      <c r="BD279" s="6797"/>
      <c r="BE279" s="6798"/>
      <c r="BH279" s="5">
        <v>1</v>
      </c>
    </row>
    <row r="280" spans="2:60" ht="18.75">
      <c r="B280" s="1021"/>
      <c r="C280" s="6787"/>
      <c r="D280" s="6787"/>
      <c r="E280" s="6787"/>
      <c r="F280" s="6788"/>
      <c r="G280" s="6789"/>
      <c r="H280" s="6790"/>
      <c r="I280" s="6786"/>
      <c r="J280" s="6791"/>
      <c r="K280" s="6792"/>
      <c r="L280" s="6791"/>
      <c r="M280" s="6785"/>
      <c r="N280" s="6793"/>
      <c r="O280" s="6794"/>
      <c r="P280" s="6795"/>
      <c r="Q280" s="6796"/>
      <c r="R280" s="6797"/>
      <c r="S280" s="6798"/>
      <c r="U280" s="1021"/>
      <c r="V280" s="6787"/>
      <c r="W280" s="6787"/>
      <c r="X280" s="6787"/>
      <c r="Y280" s="6788"/>
      <c r="Z280" s="6789"/>
      <c r="AA280" s="6790"/>
      <c r="AB280" s="6786"/>
      <c r="AC280" s="6791"/>
      <c r="AD280" s="6792"/>
      <c r="AE280" s="6791"/>
      <c r="AF280" s="6785"/>
      <c r="AG280" s="6793"/>
      <c r="AH280" s="6794"/>
      <c r="AI280" s="6795"/>
      <c r="AJ280" s="6796"/>
      <c r="AK280" s="6797"/>
      <c r="AL280" s="6798"/>
      <c r="AN280" s="1021"/>
      <c r="AO280" s="6787"/>
      <c r="AP280" s="6787"/>
      <c r="AQ280" s="6787"/>
      <c r="AR280" s="6788"/>
      <c r="AS280" s="6789"/>
      <c r="AT280" s="6790"/>
      <c r="AU280" s="6786"/>
      <c r="AV280" s="6791"/>
      <c r="AW280" s="6792"/>
      <c r="AX280" s="6791"/>
      <c r="AY280" s="6785"/>
      <c r="AZ280" s="6793"/>
      <c r="BA280" s="6794"/>
      <c r="BB280" s="6795"/>
      <c r="BC280" s="6796"/>
      <c r="BD280" s="6797"/>
      <c r="BE280" s="6798"/>
      <c r="BH280" s="5">
        <v>1</v>
      </c>
    </row>
    <row r="281" spans="2:60" ht="18.75">
      <c r="B281" s="1021"/>
      <c r="C281" s="6787"/>
      <c r="D281" s="6787"/>
      <c r="E281" s="6787"/>
      <c r="F281" s="6788"/>
      <c r="G281" s="6789"/>
      <c r="H281" s="6790"/>
      <c r="I281" s="6786"/>
      <c r="J281" s="6791"/>
      <c r="K281" s="6792"/>
      <c r="L281" s="6791"/>
      <c r="M281" s="6785"/>
      <c r="N281" s="6793"/>
      <c r="O281" s="6794"/>
      <c r="P281" s="6795"/>
      <c r="Q281" s="6796"/>
      <c r="R281" s="6797"/>
      <c r="S281" s="6798"/>
      <c r="U281" s="1021"/>
      <c r="V281" s="6787"/>
      <c r="W281" s="6787"/>
      <c r="X281" s="6787"/>
      <c r="Y281" s="6788"/>
      <c r="Z281" s="6789"/>
      <c r="AA281" s="6790"/>
      <c r="AB281" s="6786"/>
      <c r="AC281" s="6791"/>
      <c r="AD281" s="6792"/>
      <c r="AE281" s="6791"/>
      <c r="AF281" s="6785"/>
      <c r="AG281" s="6793"/>
      <c r="AH281" s="6794"/>
      <c r="AI281" s="6795"/>
      <c r="AJ281" s="6796"/>
      <c r="AK281" s="6797"/>
      <c r="AL281" s="6798"/>
      <c r="AN281" s="1021"/>
      <c r="AO281" s="6787"/>
      <c r="AP281" s="6787"/>
      <c r="AQ281" s="6787"/>
      <c r="AR281" s="6788"/>
      <c r="AS281" s="6789"/>
      <c r="AT281" s="6790"/>
      <c r="AU281" s="6786"/>
      <c r="AV281" s="6791"/>
      <c r="AW281" s="6792"/>
      <c r="AX281" s="6791"/>
      <c r="AY281" s="6785"/>
      <c r="AZ281" s="6793"/>
      <c r="BA281" s="6794"/>
      <c r="BB281" s="6795"/>
      <c r="BC281" s="6796"/>
      <c r="BD281" s="6797"/>
      <c r="BE281" s="6798"/>
      <c r="BH281" s="5">
        <v>1</v>
      </c>
    </row>
    <row r="282" spans="2:60" ht="18.75">
      <c r="B282" s="1021"/>
      <c r="C282" s="6787"/>
      <c r="D282" s="6787"/>
      <c r="E282" s="6787"/>
      <c r="F282" s="6788"/>
      <c r="G282" s="6789"/>
      <c r="H282" s="6790"/>
      <c r="I282" s="6786"/>
      <c r="J282" s="6791"/>
      <c r="K282" s="6792"/>
      <c r="L282" s="6791"/>
      <c r="M282" s="6785"/>
      <c r="N282" s="6793"/>
      <c r="O282" s="6794"/>
      <c r="P282" s="6795"/>
      <c r="Q282" s="6796"/>
      <c r="R282" s="6797"/>
      <c r="S282" s="6798"/>
      <c r="U282" s="1021"/>
      <c r="V282" s="6787"/>
      <c r="W282" s="6787"/>
      <c r="X282" s="6787"/>
      <c r="Y282" s="6788"/>
      <c r="Z282" s="6789"/>
      <c r="AA282" s="6790"/>
      <c r="AB282" s="6786"/>
      <c r="AC282" s="6791"/>
      <c r="AD282" s="6792"/>
      <c r="AE282" s="6791"/>
      <c r="AF282" s="6785"/>
      <c r="AG282" s="6793"/>
      <c r="AH282" s="6794"/>
      <c r="AI282" s="6795"/>
      <c r="AJ282" s="6796"/>
      <c r="AK282" s="6797"/>
      <c r="AL282" s="6798"/>
      <c r="AN282" s="1021"/>
      <c r="AO282" s="6787"/>
      <c r="AP282" s="6787"/>
      <c r="AQ282" s="6787"/>
      <c r="AR282" s="6788"/>
      <c r="AS282" s="6789"/>
      <c r="AT282" s="6790"/>
      <c r="AU282" s="6786"/>
      <c r="AV282" s="6791"/>
      <c r="AW282" s="6792"/>
      <c r="AX282" s="6791"/>
      <c r="AY282" s="6785"/>
      <c r="AZ282" s="6793"/>
      <c r="BA282" s="6794"/>
      <c r="BB282" s="6795"/>
      <c r="BC282" s="6796"/>
      <c r="BD282" s="6797"/>
      <c r="BE282" s="6798"/>
      <c r="BH282" s="5">
        <v>1</v>
      </c>
    </row>
    <row r="283" spans="2:60" ht="18.75">
      <c r="B283" s="1021"/>
      <c r="C283" s="6787"/>
      <c r="D283" s="6787"/>
      <c r="E283" s="6787"/>
      <c r="F283" s="6788"/>
      <c r="G283" s="6789"/>
      <c r="H283" s="6790"/>
      <c r="I283" s="6786"/>
      <c r="J283" s="6791"/>
      <c r="K283" s="6792"/>
      <c r="L283" s="6791"/>
      <c r="M283" s="6785"/>
      <c r="N283" s="6793"/>
      <c r="O283" s="6794"/>
      <c r="P283" s="6795"/>
      <c r="Q283" s="6796"/>
      <c r="R283" s="6797"/>
      <c r="S283" s="6798"/>
      <c r="U283" s="1021"/>
      <c r="V283" s="6787"/>
      <c r="W283" s="6787"/>
      <c r="X283" s="6787"/>
      <c r="Y283" s="6788"/>
      <c r="Z283" s="6789"/>
      <c r="AA283" s="6790"/>
      <c r="AB283" s="6786"/>
      <c r="AC283" s="6791"/>
      <c r="AD283" s="6792"/>
      <c r="AE283" s="6791"/>
      <c r="AF283" s="6785"/>
      <c r="AG283" s="6793"/>
      <c r="AH283" s="6794"/>
      <c r="AI283" s="6795"/>
      <c r="AJ283" s="6796"/>
      <c r="AK283" s="6797"/>
      <c r="AL283" s="6798"/>
      <c r="AN283" s="1021"/>
      <c r="AO283" s="6787"/>
      <c r="AP283" s="6787"/>
      <c r="AQ283" s="6787"/>
      <c r="AR283" s="6788"/>
      <c r="AS283" s="6789"/>
      <c r="AT283" s="6790"/>
      <c r="AU283" s="6786"/>
      <c r="AV283" s="6791"/>
      <c r="AW283" s="6792"/>
      <c r="AX283" s="6791"/>
      <c r="AY283" s="6785"/>
      <c r="AZ283" s="6793"/>
      <c r="BA283" s="6794"/>
      <c r="BB283" s="6795"/>
      <c r="BC283" s="6796"/>
      <c r="BD283" s="6797"/>
      <c r="BE283" s="6798"/>
      <c r="BH283" s="5">
        <v>1</v>
      </c>
    </row>
    <row r="284" spans="2:60" ht="18.75">
      <c r="B284" s="1021"/>
      <c r="C284" s="6787"/>
      <c r="D284" s="6787"/>
      <c r="E284" s="6787"/>
      <c r="F284" s="6788"/>
      <c r="G284" s="6789"/>
      <c r="H284" s="6790"/>
      <c r="I284" s="6786"/>
      <c r="J284" s="6791"/>
      <c r="K284" s="6792"/>
      <c r="L284" s="6791"/>
      <c r="M284" s="6785"/>
      <c r="N284" s="6793"/>
      <c r="O284" s="6794"/>
      <c r="P284" s="6795"/>
      <c r="Q284" s="6796"/>
      <c r="R284" s="6797"/>
      <c r="S284" s="6798"/>
      <c r="U284" s="1021"/>
      <c r="V284" s="6787"/>
      <c r="W284" s="6787"/>
      <c r="X284" s="6787"/>
      <c r="Y284" s="6788"/>
      <c r="Z284" s="6789"/>
      <c r="AA284" s="6790"/>
      <c r="AB284" s="6786"/>
      <c r="AC284" s="6791"/>
      <c r="AD284" s="6792"/>
      <c r="AE284" s="6791"/>
      <c r="AF284" s="6785"/>
      <c r="AG284" s="6793"/>
      <c r="AH284" s="6794"/>
      <c r="AI284" s="6795"/>
      <c r="AJ284" s="6796"/>
      <c r="AK284" s="6797"/>
      <c r="AL284" s="6798"/>
      <c r="AN284" s="1021"/>
      <c r="AO284" s="6787"/>
      <c r="AP284" s="6787"/>
      <c r="AQ284" s="6787"/>
      <c r="AR284" s="6788"/>
      <c r="AS284" s="6789"/>
      <c r="AT284" s="6790"/>
      <c r="AU284" s="6786"/>
      <c r="AV284" s="6791"/>
      <c r="AW284" s="6792"/>
      <c r="AX284" s="6791"/>
      <c r="AY284" s="6785"/>
      <c r="AZ284" s="6793"/>
      <c r="BA284" s="6794"/>
      <c r="BB284" s="6795"/>
      <c r="BC284" s="6796"/>
      <c r="BD284" s="6797"/>
      <c r="BE284" s="6798"/>
      <c r="BH284" s="5">
        <v>1</v>
      </c>
    </row>
    <row r="285" spans="2:60" ht="18.75">
      <c r="B285" s="1021"/>
      <c r="C285" s="6787"/>
      <c r="D285" s="6787"/>
      <c r="E285" s="6787"/>
      <c r="F285" s="6788"/>
      <c r="G285" s="6789"/>
      <c r="H285" s="6790"/>
      <c r="I285" s="6786"/>
      <c r="J285" s="6791"/>
      <c r="K285" s="6792"/>
      <c r="L285" s="6791"/>
      <c r="M285" s="6785"/>
      <c r="N285" s="6793"/>
      <c r="O285" s="6794"/>
      <c r="P285" s="6795"/>
      <c r="Q285" s="6796"/>
      <c r="R285" s="6797"/>
      <c r="S285" s="6798"/>
      <c r="U285" s="1021"/>
      <c r="V285" s="6787"/>
      <c r="W285" s="6787"/>
      <c r="X285" s="6787"/>
      <c r="Y285" s="6788"/>
      <c r="Z285" s="6789"/>
      <c r="AA285" s="6790"/>
      <c r="AB285" s="6786"/>
      <c r="AC285" s="6791"/>
      <c r="AD285" s="6792"/>
      <c r="AE285" s="6791"/>
      <c r="AF285" s="6785"/>
      <c r="AG285" s="6793"/>
      <c r="AH285" s="6794"/>
      <c r="AI285" s="6795"/>
      <c r="AJ285" s="6796"/>
      <c r="AK285" s="6797"/>
      <c r="AL285" s="6798"/>
      <c r="AN285" s="1021"/>
      <c r="AO285" s="6787"/>
      <c r="AP285" s="6787"/>
      <c r="AQ285" s="6787"/>
      <c r="AR285" s="6788"/>
      <c r="AS285" s="6789"/>
      <c r="AT285" s="6790"/>
      <c r="AU285" s="6786"/>
      <c r="AV285" s="6791"/>
      <c r="AW285" s="6792"/>
      <c r="AX285" s="6791"/>
      <c r="AY285" s="6785"/>
      <c r="AZ285" s="6793"/>
      <c r="BA285" s="6794"/>
      <c r="BB285" s="6795"/>
      <c r="BC285" s="6796"/>
      <c r="BD285" s="6797"/>
      <c r="BE285" s="6798"/>
      <c r="BH285" s="5">
        <v>1</v>
      </c>
    </row>
    <row r="286" spans="2:60" ht="18.75">
      <c r="B286" s="1021"/>
      <c r="C286" s="6787"/>
      <c r="D286" s="6787"/>
      <c r="E286" s="6787"/>
      <c r="F286" s="6788"/>
      <c r="G286" s="6789"/>
      <c r="H286" s="6790"/>
      <c r="I286" s="6786"/>
      <c r="J286" s="6791"/>
      <c r="K286" s="6792"/>
      <c r="L286" s="6791"/>
      <c r="M286" s="6785"/>
      <c r="N286" s="6793"/>
      <c r="O286" s="6794"/>
      <c r="P286" s="6795"/>
      <c r="Q286" s="6796"/>
      <c r="R286" s="6797"/>
      <c r="S286" s="6798"/>
      <c r="U286" s="1021"/>
      <c r="V286" s="6787"/>
      <c r="W286" s="6787"/>
      <c r="X286" s="6787"/>
      <c r="Y286" s="6788"/>
      <c r="Z286" s="6789"/>
      <c r="AA286" s="6790"/>
      <c r="AB286" s="6786"/>
      <c r="AC286" s="6791"/>
      <c r="AD286" s="6792"/>
      <c r="AE286" s="6791"/>
      <c r="AF286" s="6785"/>
      <c r="AG286" s="6793"/>
      <c r="AH286" s="6794"/>
      <c r="AI286" s="6795"/>
      <c r="AJ286" s="6796"/>
      <c r="AK286" s="6797"/>
      <c r="AL286" s="6798"/>
      <c r="AN286" s="1021"/>
      <c r="AO286" s="6787"/>
      <c r="AP286" s="6787"/>
      <c r="AQ286" s="6787"/>
      <c r="AR286" s="6788"/>
      <c r="AS286" s="6789"/>
      <c r="AT286" s="6790"/>
      <c r="AU286" s="6786"/>
      <c r="AV286" s="6791"/>
      <c r="AW286" s="6792"/>
      <c r="AX286" s="6791"/>
      <c r="AY286" s="6785"/>
      <c r="AZ286" s="6793"/>
      <c r="BA286" s="6794"/>
      <c r="BB286" s="6795"/>
      <c r="BC286" s="6796"/>
      <c r="BD286" s="6797"/>
      <c r="BE286" s="6798"/>
      <c r="BH286" s="5">
        <v>1</v>
      </c>
    </row>
    <row r="287" spans="2:60" ht="18.75">
      <c r="B287" s="1021"/>
      <c r="C287" s="6787"/>
      <c r="D287" s="6787"/>
      <c r="E287" s="6787"/>
      <c r="F287" s="6788"/>
      <c r="G287" s="6789"/>
      <c r="H287" s="6790"/>
      <c r="I287" s="6786"/>
      <c r="J287" s="6791"/>
      <c r="K287" s="6792"/>
      <c r="L287" s="6791"/>
      <c r="M287" s="6785"/>
      <c r="N287" s="6793"/>
      <c r="O287" s="6794"/>
      <c r="P287" s="6795"/>
      <c r="Q287" s="6796"/>
      <c r="R287" s="6797"/>
      <c r="S287" s="6798"/>
      <c r="U287" s="1021"/>
      <c r="V287" s="6787"/>
      <c r="W287" s="6787"/>
      <c r="X287" s="6787"/>
      <c r="Y287" s="6788"/>
      <c r="Z287" s="6789"/>
      <c r="AA287" s="6790"/>
      <c r="AB287" s="6786"/>
      <c r="AC287" s="6791"/>
      <c r="AD287" s="6792"/>
      <c r="AE287" s="6791"/>
      <c r="AF287" s="6785"/>
      <c r="AG287" s="6793"/>
      <c r="AH287" s="6794"/>
      <c r="AI287" s="6795"/>
      <c r="AJ287" s="6796"/>
      <c r="AK287" s="6797"/>
      <c r="AL287" s="6798"/>
      <c r="AN287" s="1021"/>
      <c r="AO287" s="6787"/>
      <c r="AP287" s="6787"/>
      <c r="AQ287" s="6787"/>
      <c r="AR287" s="6788"/>
      <c r="AS287" s="6789"/>
      <c r="AT287" s="6790"/>
      <c r="AU287" s="6786"/>
      <c r="AV287" s="6791"/>
      <c r="AW287" s="6792"/>
      <c r="AX287" s="6791"/>
      <c r="AY287" s="6785"/>
      <c r="AZ287" s="6793"/>
      <c r="BA287" s="6794"/>
      <c r="BB287" s="6795"/>
      <c r="BC287" s="6796"/>
      <c r="BD287" s="6797"/>
      <c r="BE287" s="6798"/>
      <c r="BH287" s="5">
        <v>1</v>
      </c>
    </row>
    <row r="288" spans="2:60" ht="18.75">
      <c r="B288" s="1021"/>
      <c r="C288" s="6787"/>
      <c r="D288" s="6787"/>
      <c r="E288" s="6787"/>
      <c r="F288" s="6788"/>
      <c r="G288" s="6789"/>
      <c r="H288" s="6790"/>
      <c r="I288" s="6786"/>
      <c r="J288" s="6791"/>
      <c r="K288" s="6792"/>
      <c r="L288" s="6791"/>
      <c r="M288" s="6785"/>
      <c r="N288" s="6793"/>
      <c r="O288" s="6794"/>
      <c r="P288" s="6795"/>
      <c r="Q288" s="6796"/>
      <c r="R288" s="6797"/>
      <c r="S288" s="6798"/>
      <c r="U288" s="1021"/>
      <c r="V288" s="6787"/>
      <c r="W288" s="6787"/>
      <c r="X288" s="6787"/>
      <c r="Y288" s="6788"/>
      <c r="Z288" s="6789"/>
      <c r="AA288" s="6790"/>
      <c r="AB288" s="6786"/>
      <c r="AC288" s="6791"/>
      <c r="AD288" s="6792"/>
      <c r="AE288" s="6791"/>
      <c r="AF288" s="6785"/>
      <c r="AG288" s="6793"/>
      <c r="AH288" s="6794"/>
      <c r="AI288" s="6795"/>
      <c r="AJ288" s="6796"/>
      <c r="AK288" s="6797"/>
      <c r="AL288" s="6798"/>
      <c r="AN288" s="1021"/>
      <c r="AO288" s="6787"/>
      <c r="AP288" s="6787"/>
      <c r="AQ288" s="6787"/>
      <c r="AR288" s="6788"/>
      <c r="AS288" s="6789"/>
      <c r="AT288" s="6790"/>
      <c r="AU288" s="6786"/>
      <c r="AV288" s="6791"/>
      <c r="AW288" s="6792"/>
      <c r="AX288" s="6791"/>
      <c r="AY288" s="6785"/>
      <c r="AZ288" s="6793"/>
      <c r="BA288" s="6794"/>
      <c r="BB288" s="6795"/>
      <c r="BC288" s="6796"/>
      <c r="BD288" s="6797"/>
      <c r="BE288" s="6798"/>
      <c r="BH288" s="5">
        <v>1</v>
      </c>
    </row>
    <row r="289" spans="2:60" ht="18.75">
      <c r="B289" s="1021"/>
      <c r="C289" s="6787"/>
      <c r="D289" s="6787"/>
      <c r="E289" s="6787"/>
      <c r="F289" s="6788"/>
      <c r="G289" s="6789"/>
      <c r="H289" s="6790"/>
      <c r="I289" s="6786"/>
      <c r="J289" s="6791"/>
      <c r="K289" s="6792"/>
      <c r="L289" s="6791"/>
      <c r="M289" s="6785"/>
      <c r="N289" s="6793"/>
      <c r="O289" s="6794"/>
      <c r="P289" s="6795"/>
      <c r="Q289" s="6796"/>
      <c r="R289" s="6797"/>
      <c r="S289" s="6798"/>
      <c r="U289" s="1021"/>
      <c r="V289" s="6787"/>
      <c r="W289" s="6787"/>
      <c r="X289" s="6787"/>
      <c r="Y289" s="6788"/>
      <c r="Z289" s="6789"/>
      <c r="AA289" s="6790"/>
      <c r="AB289" s="6786"/>
      <c r="AC289" s="6791"/>
      <c r="AD289" s="6792"/>
      <c r="AE289" s="6791"/>
      <c r="AF289" s="6785"/>
      <c r="AG289" s="6793"/>
      <c r="AH289" s="6794"/>
      <c r="AI289" s="6795"/>
      <c r="AJ289" s="6796"/>
      <c r="AK289" s="6797"/>
      <c r="AL289" s="6798"/>
      <c r="AN289" s="1021"/>
      <c r="AO289" s="6787"/>
      <c r="AP289" s="6787"/>
      <c r="AQ289" s="6787"/>
      <c r="AR289" s="6788"/>
      <c r="AS289" s="6789"/>
      <c r="AT289" s="6790"/>
      <c r="AU289" s="6786"/>
      <c r="AV289" s="6791"/>
      <c r="AW289" s="6792"/>
      <c r="AX289" s="6791"/>
      <c r="AY289" s="6785"/>
      <c r="AZ289" s="6793"/>
      <c r="BA289" s="6794"/>
      <c r="BB289" s="6795"/>
      <c r="BC289" s="6796"/>
      <c r="BD289" s="6797"/>
      <c r="BE289" s="6798"/>
      <c r="BH289" s="5">
        <v>1</v>
      </c>
    </row>
    <row r="290" spans="2:60" ht="18.75">
      <c r="B290" s="1021"/>
      <c r="C290" s="6787"/>
      <c r="D290" s="6787"/>
      <c r="E290" s="6787"/>
      <c r="F290" s="6788"/>
      <c r="G290" s="6789"/>
      <c r="H290" s="6790"/>
      <c r="I290" s="6786"/>
      <c r="J290" s="6791"/>
      <c r="K290" s="6792"/>
      <c r="L290" s="6791"/>
      <c r="M290" s="6785"/>
      <c r="N290" s="6793"/>
      <c r="O290" s="6794"/>
      <c r="P290" s="6795"/>
      <c r="Q290" s="6796"/>
      <c r="R290" s="6797"/>
      <c r="S290" s="6798"/>
      <c r="U290" s="1021"/>
      <c r="V290" s="6787"/>
      <c r="W290" s="6787"/>
      <c r="X290" s="6787"/>
      <c r="Y290" s="6788"/>
      <c r="Z290" s="6789"/>
      <c r="AA290" s="6790"/>
      <c r="AB290" s="6786"/>
      <c r="AC290" s="6791"/>
      <c r="AD290" s="6792"/>
      <c r="AE290" s="6791"/>
      <c r="AF290" s="6785"/>
      <c r="AG290" s="6793"/>
      <c r="AH290" s="6794"/>
      <c r="AI290" s="6795"/>
      <c r="AJ290" s="6796"/>
      <c r="AK290" s="6797"/>
      <c r="AL290" s="6798"/>
      <c r="AN290" s="1021"/>
      <c r="AO290" s="6787"/>
      <c r="AP290" s="6787"/>
      <c r="AQ290" s="6787"/>
      <c r="AR290" s="6788"/>
      <c r="AS290" s="6789"/>
      <c r="AT290" s="6790"/>
      <c r="AU290" s="6786"/>
      <c r="AV290" s="6791"/>
      <c r="AW290" s="6792"/>
      <c r="AX290" s="6791"/>
      <c r="AY290" s="6785"/>
      <c r="AZ290" s="6793"/>
      <c r="BA290" s="6794"/>
      <c r="BB290" s="6795"/>
      <c r="BC290" s="6796"/>
      <c r="BD290" s="6797"/>
      <c r="BE290" s="6798"/>
      <c r="BH290" s="5">
        <v>1</v>
      </c>
    </row>
    <row r="291" spans="2:60" ht="18.75">
      <c r="B291" s="1021"/>
      <c r="C291" s="6787"/>
      <c r="D291" s="6787"/>
      <c r="E291" s="6787"/>
      <c r="F291" s="6788"/>
      <c r="G291" s="6789"/>
      <c r="H291" s="6790"/>
      <c r="I291" s="6786"/>
      <c r="J291" s="6791"/>
      <c r="K291" s="6792"/>
      <c r="L291" s="6791"/>
      <c r="M291" s="6785"/>
      <c r="N291" s="6793"/>
      <c r="O291" s="6794"/>
      <c r="P291" s="6795"/>
      <c r="Q291" s="6796"/>
      <c r="R291" s="6797"/>
      <c r="S291" s="6798"/>
      <c r="U291" s="1021"/>
      <c r="V291" s="6787"/>
      <c r="W291" s="6787"/>
      <c r="X291" s="6787"/>
      <c r="Y291" s="6788"/>
      <c r="Z291" s="6789"/>
      <c r="AA291" s="6790"/>
      <c r="AB291" s="6786"/>
      <c r="AC291" s="6791"/>
      <c r="AD291" s="6792"/>
      <c r="AE291" s="6791"/>
      <c r="AF291" s="6785"/>
      <c r="AG291" s="6793"/>
      <c r="AH291" s="6794"/>
      <c r="AI291" s="6795"/>
      <c r="AJ291" s="6796"/>
      <c r="AK291" s="6797"/>
      <c r="AL291" s="6798"/>
      <c r="AN291" s="1021"/>
      <c r="AO291" s="6787"/>
      <c r="AP291" s="6787"/>
      <c r="AQ291" s="6787"/>
      <c r="AR291" s="6788"/>
      <c r="AS291" s="6789"/>
      <c r="AT291" s="6790"/>
      <c r="AU291" s="6786"/>
      <c r="AV291" s="6791"/>
      <c r="AW291" s="6792"/>
      <c r="AX291" s="6791"/>
      <c r="AY291" s="6785"/>
      <c r="AZ291" s="6793"/>
      <c r="BA291" s="6794"/>
      <c r="BB291" s="6795"/>
      <c r="BC291" s="6796"/>
      <c r="BD291" s="6797"/>
      <c r="BE291" s="6798"/>
      <c r="BH291" s="5">
        <v>1</v>
      </c>
    </row>
    <row r="292" spans="2:60" ht="18.75">
      <c r="B292" s="1021"/>
      <c r="C292" s="6787"/>
      <c r="D292" s="6787"/>
      <c r="E292" s="6787"/>
      <c r="F292" s="6788"/>
      <c r="G292" s="6789"/>
      <c r="H292" s="6790"/>
      <c r="I292" s="6786"/>
      <c r="J292" s="6791"/>
      <c r="K292" s="6792"/>
      <c r="L292" s="6791"/>
      <c r="M292" s="6785"/>
      <c r="N292" s="6793"/>
      <c r="O292" s="6794"/>
      <c r="P292" s="6795"/>
      <c r="Q292" s="6796"/>
      <c r="R292" s="6797"/>
      <c r="S292" s="6798"/>
      <c r="U292" s="1021"/>
      <c r="V292" s="6787"/>
      <c r="W292" s="6787"/>
      <c r="X292" s="6787"/>
      <c r="Y292" s="6788"/>
      <c r="Z292" s="6789"/>
      <c r="AA292" s="6790"/>
      <c r="AB292" s="6786"/>
      <c r="AC292" s="6791"/>
      <c r="AD292" s="6792"/>
      <c r="AE292" s="6791"/>
      <c r="AF292" s="6785"/>
      <c r="AG292" s="6793"/>
      <c r="AH292" s="6794"/>
      <c r="AI292" s="6795"/>
      <c r="AJ292" s="6796"/>
      <c r="AK292" s="6797"/>
      <c r="AL292" s="6798"/>
      <c r="AN292" s="1021"/>
      <c r="AO292" s="6787"/>
      <c r="AP292" s="6787"/>
      <c r="AQ292" s="6787"/>
      <c r="AR292" s="6788"/>
      <c r="AS292" s="6789"/>
      <c r="AT292" s="6790"/>
      <c r="AU292" s="6786"/>
      <c r="AV292" s="6791"/>
      <c r="AW292" s="6792"/>
      <c r="AX292" s="6791"/>
      <c r="AY292" s="6785"/>
      <c r="AZ292" s="6793"/>
      <c r="BA292" s="6794"/>
      <c r="BB292" s="6795"/>
      <c r="BC292" s="6796"/>
      <c r="BD292" s="6797"/>
      <c r="BE292" s="6798"/>
      <c r="BH292" s="5">
        <v>1</v>
      </c>
    </row>
    <row r="293" spans="2:60" ht="18.75">
      <c r="B293" s="1021"/>
      <c r="C293" s="6787"/>
      <c r="D293" s="6787"/>
      <c r="E293" s="6787"/>
      <c r="F293" s="6788"/>
      <c r="G293" s="6789"/>
      <c r="H293" s="6790"/>
      <c r="I293" s="6786"/>
      <c r="J293" s="6791"/>
      <c r="K293" s="6792"/>
      <c r="L293" s="6791"/>
      <c r="M293" s="6785"/>
      <c r="N293" s="6793"/>
      <c r="O293" s="6794"/>
      <c r="P293" s="6795"/>
      <c r="Q293" s="6796"/>
      <c r="R293" s="6797"/>
      <c r="S293" s="6798"/>
      <c r="U293" s="1021"/>
      <c r="V293" s="6787"/>
      <c r="W293" s="6787"/>
      <c r="X293" s="6787"/>
      <c r="Y293" s="6788"/>
      <c r="Z293" s="6789"/>
      <c r="AA293" s="6790"/>
      <c r="AB293" s="6786"/>
      <c r="AC293" s="6791"/>
      <c r="AD293" s="6792"/>
      <c r="AE293" s="6791"/>
      <c r="AF293" s="6785"/>
      <c r="AG293" s="6793"/>
      <c r="AH293" s="6794"/>
      <c r="AI293" s="6795"/>
      <c r="AJ293" s="6796"/>
      <c r="AK293" s="6797"/>
      <c r="AL293" s="6798"/>
      <c r="AN293" s="1021"/>
      <c r="AO293" s="6787"/>
      <c r="AP293" s="6787"/>
      <c r="AQ293" s="6787"/>
      <c r="AR293" s="6788"/>
      <c r="AS293" s="6789"/>
      <c r="AT293" s="6790"/>
      <c r="AU293" s="6786"/>
      <c r="AV293" s="6791"/>
      <c r="AW293" s="6792"/>
      <c r="AX293" s="6791"/>
      <c r="AY293" s="6785"/>
      <c r="AZ293" s="6793"/>
      <c r="BA293" s="6794"/>
      <c r="BB293" s="6795"/>
      <c r="BC293" s="6796"/>
      <c r="BD293" s="6797"/>
      <c r="BE293" s="6798"/>
      <c r="BH293" s="5">
        <v>1</v>
      </c>
    </row>
    <row r="294" spans="2:60" ht="18.75">
      <c r="B294" s="1021"/>
      <c r="C294" s="6787"/>
      <c r="D294" s="6787"/>
      <c r="E294" s="6787"/>
      <c r="F294" s="6788"/>
      <c r="G294" s="6789"/>
      <c r="H294" s="6790"/>
      <c r="I294" s="6786"/>
      <c r="J294" s="6791"/>
      <c r="K294" s="6792"/>
      <c r="L294" s="6791"/>
      <c r="M294" s="6785"/>
      <c r="N294" s="6793"/>
      <c r="O294" s="6794"/>
      <c r="P294" s="6795"/>
      <c r="Q294" s="6796"/>
      <c r="R294" s="6797"/>
      <c r="S294" s="6798"/>
      <c r="U294" s="1021"/>
      <c r="V294" s="6787"/>
      <c r="W294" s="6787"/>
      <c r="X294" s="6787"/>
      <c r="Y294" s="6788"/>
      <c r="Z294" s="6789"/>
      <c r="AA294" s="6790"/>
      <c r="AB294" s="6786"/>
      <c r="AC294" s="6791"/>
      <c r="AD294" s="6792"/>
      <c r="AE294" s="6791"/>
      <c r="AF294" s="6785"/>
      <c r="AG294" s="6793"/>
      <c r="AH294" s="6794"/>
      <c r="AI294" s="6795"/>
      <c r="AJ294" s="6796"/>
      <c r="AK294" s="6797"/>
      <c r="AL294" s="6798"/>
      <c r="AN294" s="1021"/>
      <c r="AO294" s="6787"/>
      <c r="AP294" s="6787"/>
      <c r="AQ294" s="6787"/>
      <c r="AR294" s="6788"/>
      <c r="AS294" s="6789"/>
      <c r="AT294" s="6790"/>
      <c r="AU294" s="6786"/>
      <c r="AV294" s="6791"/>
      <c r="AW294" s="6792"/>
      <c r="AX294" s="6791"/>
      <c r="AY294" s="6785"/>
      <c r="AZ294" s="6793"/>
      <c r="BA294" s="6794"/>
      <c r="BB294" s="6795"/>
      <c r="BC294" s="6796"/>
      <c r="BD294" s="6797"/>
      <c r="BE294" s="6798"/>
      <c r="BH294" s="5">
        <v>1</v>
      </c>
    </row>
    <row r="295" spans="2:60" ht="18.75">
      <c r="B295" s="1021"/>
      <c r="C295" s="6787"/>
      <c r="D295" s="6787"/>
      <c r="E295" s="6787"/>
      <c r="F295" s="6788"/>
      <c r="G295" s="6789"/>
      <c r="H295" s="6790"/>
      <c r="I295" s="6786"/>
      <c r="J295" s="6791"/>
      <c r="K295" s="6792"/>
      <c r="L295" s="6791"/>
      <c r="M295" s="6785"/>
      <c r="N295" s="6793"/>
      <c r="O295" s="6794"/>
      <c r="P295" s="6795"/>
      <c r="Q295" s="6796"/>
      <c r="R295" s="6797"/>
      <c r="S295" s="6798"/>
      <c r="U295" s="1021"/>
      <c r="V295" s="6787"/>
      <c r="W295" s="6787"/>
      <c r="X295" s="6787"/>
      <c r="Y295" s="6788"/>
      <c r="Z295" s="6789"/>
      <c r="AA295" s="6790"/>
      <c r="AB295" s="6786"/>
      <c r="AC295" s="6791"/>
      <c r="AD295" s="6792"/>
      <c r="AE295" s="6791"/>
      <c r="AF295" s="6785"/>
      <c r="AG295" s="6793"/>
      <c r="AH295" s="6794"/>
      <c r="AI295" s="6795"/>
      <c r="AJ295" s="6796"/>
      <c r="AK295" s="6797"/>
      <c r="AL295" s="6798"/>
      <c r="AN295" s="1021"/>
      <c r="AO295" s="6787"/>
      <c r="AP295" s="6787"/>
      <c r="AQ295" s="6787"/>
      <c r="AR295" s="6788"/>
      <c r="AS295" s="6789"/>
      <c r="AT295" s="6790"/>
      <c r="AU295" s="6786"/>
      <c r="AV295" s="6791"/>
      <c r="AW295" s="6792"/>
      <c r="AX295" s="6791"/>
      <c r="AY295" s="6785"/>
      <c r="AZ295" s="6793"/>
      <c r="BA295" s="6794"/>
      <c r="BB295" s="6795"/>
      <c r="BC295" s="6796"/>
      <c r="BD295" s="6797"/>
      <c r="BE295" s="6798"/>
      <c r="BH295" s="5">
        <v>1</v>
      </c>
    </row>
    <row r="296" spans="2:60" ht="18.75">
      <c r="B296" s="1021"/>
      <c r="C296" s="6787"/>
      <c r="D296" s="6787"/>
      <c r="E296" s="6787"/>
      <c r="F296" s="6788"/>
      <c r="G296" s="6789"/>
      <c r="H296" s="6790"/>
      <c r="I296" s="6786"/>
      <c r="J296" s="6791"/>
      <c r="K296" s="6792"/>
      <c r="L296" s="6791"/>
      <c r="M296" s="6785"/>
      <c r="N296" s="6793"/>
      <c r="O296" s="6794"/>
      <c r="P296" s="6795"/>
      <c r="Q296" s="6796"/>
      <c r="R296" s="6797"/>
      <c r="S296" s="6798"/>
      <c r="U296" s="1021"/>
      <c r="V296" s="6787"/>
      <c r="W296" s="6787"/>
      <c r="X296" s="6787"/>
      <c r="Y296" s="6788"/>
      <c r="Z296" s="6789"/>
      <c r="AA296" s="6790"/>
      <c r="AB296" s="6786"/>
      <c r="AC296" s="6791"/>
      <c r="AD296" s="6792"/>
      <c r="AE296" s="6791"/>
      <c r="AF296" s="6785"/>
      <c r="AG296" s="6793"/>
      <c r="AH296" s="6794"/>
      <c r="AI296" s="6795"/>
      <c r="AJ296" s="6796"/>
      <c r="AK296" s="6797"/>
      <c r="AL296" s="6798"/>
      <c r="AN296" s="1021"/>
      <c r="AO296" s="6787"/>
      <c r="AP296" s="6787"/>
      <c r="AQ296" s="6787"/>
      <c r="AR296" s="6788"/>
      <c r="AS296" s="6789"/>
      <c r="AT296" s="6790"/>
      <c r="AU296" s="6786"/>
      <c r="AV296" s="6791"/>
      <c r="AW296" s="6792"/>
      <c r="AX296" s="6791"/>
      <c r="AY296" s="6785"/>
      <c r="AZ296" s="6793"/>
      <c r="BA296" s="6794"/>
      <c r="BB296" s="6795"/>
      <c r="BC296" s="6796"/>
      <c r="BD296" s="6797"/>
      <c r="BE296" s="6798"/>
      <c r="BH296" s="5">
        <v>1</v>
      </c>
    </row>
    <row r="297" spans="2:60" ht="18.75">
      <c r="B297" s="1021"/>
      <c r="C297" s="6787"/>
      <c r="D297" s="6787"/>
      <c r="E297" s="6787"/>
      <c r="F297" s="6788"/>
      <c r="G297" s="6789"/>
      <c r="H297" s="6790"/>
      <c r="I297" s="6786"/>
      <c r="J297" s="6791"/>
      <c r="K297" s="6792"/>
      <c r="L297" s="6791"/>
      <c r="M297" s="6785"/>
      <c r="N297" s="6793"/>
      <c r="O297" s="6794"/>
      <c r="P297" s="6795"/>
      <c r="Q297" s="6796"/>
      <c r="R297" s="6797"/>
      <c r="S297" s="6798"/>
      <c r="U297" s="1021"/>
      <c r="V297" s="6787"/>
      <c r="W297" s="6787"/>
      <c r="X297" s="6787"/>
      <c r="Y297" s="6788"/>
      <c r="Z297" s="6789"/>
      <c r="AA297" s="6790"/>
      <c r="AB297" s="6786"/>
      <c r="AC297" s="6791"/>
      <c r="AD297" s="6792"/>
      <c r="AE297" s="6791"/>
      <c r="AF297" s="6785"/>
      <c r="AG297" s="6793"/>
      <c r="AH297" s="6794"/>
      <c r="AI297" s="6795"/>
      <c r="AJ297" s="6796"/>
      <c r="AK297" s="6797"/>
      <c r="AL297" s="6798"/>
      <c r="AN297" s="1021"/>
      <c r="AO297" s="6787"/>
      <c r="AP297" s="6787"/>
      <c r="AQ297" s="6787"/>
      <c r="AR297" s="6788"/>
      <c r="AS297" s="6789"/>
      <c r="AT297" s="6790"/>
      <c r="AU297" s="6786"/>
      <c r="AV297" s="6791"/>
      <c r="AW297" s="6792"/>
      <c r="AX297" s="6791"/>
      <c r="AY297" s="6785"/>
      <c r="AZ297" s="6793"/>
      <c r="BA297" s="6794"/>
      <c r="BB297" s="6795"/>
      <c r="BC297" s="6796"/>
      <c r="BD297" s="6797"/>
      <c r="BE297" s="6798"/>
      <c r="BH297" s="5">
        <v>1</v>
      </c>
    </row>
    <row r="298" spans="2:60" ht="18.75">
      <c r="B298" s="1021"/>
      <c r="C298" s="6787"/>
      <c r="D298" s="6787"/>
      <c r="E298" s="6787"/>
      <c r="F298" s="6788"/>
      <c r="G298" s="6789"/>
      <c r="H298" s="6790"/>
      <c r="I298" s="6786"/>
      <c r="J298" s="6791"/>
      <c r="K298" s="6792"/>
      <c r="L298" s="6791"/>
      <c r="M298" s="6785"/>
      <c r="N298" s="6793"/>
      <c r="O298" s="6794"/>
      <c r="P298" s="6795"/>
      <c r="Q298" s="6796"/>
      <c r="R298" s="6797"/>
      <c r="S298" s="6798"/>
      <c r="U298" s="1021"/>
      <c r="V298" s="6787"/>
      <c r="W298" s="6787"/>
      <c r="X298" s="6787"/>
      <c r="Y298" s="6788"/>
      <c r="Z298" s="6789"/>
      <c r="AA298" s="6790"/>
      <c r="AB298" s="6786"/>
      <c r="AC298" s="6791"/>
      <c r="AD298" s="6792"/>
      <c r="AE298" s="6791"/>
      <c r="AF298" s="6785"/>
      <c r="AG298" s="6793"/>
      <c r="AH298" s="6794"/>
      <c r="AI298" s="6795"/>
      <c r="AJ298" s="6796"/>
      <c r="AK298" s="6797"/>
      <c r="AL298" s="6798"/>
      <c r="AN298" s="1021"/>
      <c r="AO298" s="6787"/>
      <c r="AP298" s="6787"/>
      <c r="AQ298" s="6787"/>
      <c r="AR298" s="6788"/>
      <c r="AS298" s="6789"/>
      <c r="AT298" s="6790"/>
      <c r="AU298" s="6786"/>
      <c r="AV298" s="6791"/>
      <c r="AW298" s="6792"/>
      <c r="AX298" s="6791"/>
      <c r="AY298" s="6785"/>
      <c r="AZ298" s="6793"/>
      <c r="BA298" s="6794"/>
      <c r="BB298" s="6795"/>
      <c r="BC298" s="6796"/>
      <c r="BD298" s="6797"/>
      <c r="BE298" s="6798"/>
      <c r="BH298" s="5">
        <v>1</v>
      </c>
    </row>
    <row r="299" spans="2:60" ht="18.75">
      <c r="B299" s="1021"/>
      <c r="C299" s="6787"/>
      <c r="D299" s="6787"/>
      <c r="E299" s="6787"/>
      <c r="F299" s="6788"/>
      <c r="G299" s="6789"/>
      <c r="H299" s="6790"/>
      <c r="I299" s="6786"/>
      <c r="J299" s="6791"/>
      <c r="K299" s="6792"/>
      <c r="L299" s="6791"/>
      <c r="M299" s="6785"/>
      <c r="N299" s="6793"/>
      <c r="O299" s="6794"/>
      <c r="P299" s="6795"/>
      <c r="Q299" s="6796"/>
      <c r="R299" s="6797"/>
      <c r="S299" s="6798"/>
      <c r="U299" s="1021"/>
      <c r="V299" s="6787"/>
      <c r="W299" s="6787"/>
      <c r="X299" s="6787"/>
      <c r="Y299" s="6788"/>
      <c r="Z299" s="6789"/>
      <c r="AA299" s="6790"/>
      <c r="AB299" s="6786"/>
      <c r="AC299" s="6791"/>
      <c r="AD299" s="6792"/>
      <c r="AE299" s="6791"/>
      <c r="AF299" s="6785"/>
      <c r="AG299" s="6793"/>
      <c r="AH299" s="6794"/>
      <c r="AI299" s="6795"/>
      <c r="AJ299" s="6796"/>
      <c r="AK299" s="6797"/>
      <c r="AL299" s="6798"/>
      <c r="AN299" s="1021"/>
      <c r="AO299" s="6787"/>
      <c r="AP299" s="6787"/>
      <c r="AQ299" s="6787"/>
      <c r="AR299" s="6788"/>
      <c r="AS299" s="6789"/>
      <c r="AT299" s="6790"/>
      <c r="AU299" s="6786"/>
      <c r="AV299" s="6791"/>
      <c r="AW299" s="6792"/>
      <c r="AX299" s="6791"/>
      <c r="AY299" s="6785"/>
      <c r="AZ299" s="6793"/>
      <c r="BA299" s="6794"/>
      <c r="BB299" s="6795"/>
      <c r="BC299" s="6796"/>
      <c r="BD299" s="6797"/>
      <c r="BE299" s="6798"/>
      <c r="BH299" s="5">
        <v>1</v>
      </c>
    </row>
    <row r="300" spans="2:60" ht="18.75">
      <c r="B300" s="1021"/>
      <c r="C300" s="6787"/>
      <c r="D300" s="6787"/>
      <c r="E300" s="6787"/>
      <c r="F300" s="6788"/>
      <c r="G300" s="6789"/>
      <c r="H300" s="6790"/>
      <c r="I300" s="6786"/>
      <c r="J300" s="6791"/>
      <c r="K300" s="6792"/>
      <c r="L300" s="6791"/>
      <c r="M300" s="6785"/>
      <c r="N300" s="6793"/>
      <c r="O300" s="6794"/>
      <c r="P300" s="6795"/>
      <c r="Q300" s="6796"/>
      <c r="R300" s="6797"/>
      <c r="S300" s="6798"/>
      <c r="U300" s="1021"/>
      <c r="V300" s="6787"/>
      <c r="W300" s="6787"/>
      <c r="X300" s="6787"/>
      <c r="Y300" s="6788"/>
      <c r="Z300" s="6789"/>
      <c r="AA300" s="6790"/>
      <c r="AB300" s="6786"/>
      <c r="AC300" s="6791"/>
      <c r="AD300" s="6792"/>
      <c r="AE300" s="6791"/>
      <c r="AF300" s="6785"/>
      <c r="AG300" s="6793"/>
      <c r="AH300" s="6794"/>
      <c r="AI300" s="6795"/>
      <c r="AJ300" s="6796"/>
      <c r="AK300" s="6797"/>
      <c r="AL300" s="6798"/>
      <c r="AN300" s="1021"/>
      <c r="AO300" s="6787"/>
      <c r="AP300" s="6787"/>
      <c r="AQ300" s="6787"/>
      <c r="AR300" s="6788"/>
      <c r="AS300" s="6789"/>
      <c r="AT300" s="6790"/>
      <c r="AU300" s="6786"/>
      <c r="AV300" s="6791"/>
      <c r="AW300" s="6792"/>
      <c r="AX300" s="6791"/>
      <c r="AY300" s="6785"/>
      <c r="AZ300" s="6793"/>
      <c r="BA300" s="6794"/>
      <c r="BB300" s="6795"/>
      <c r="BC300" s="6796"/>
      <c r="BD300" s="6797"/>
      <c r="BE300" s="6798"/>
      <c r="BH300" s="5">
        <v>1</v>
      </c>
    </row>
    <row r="301" spans="2:60" ht="18.75">
      <c r="B301" s="1021"/>
      <c r="C301" s="6787"/>
      <c r="D301" s="6787"/>
      <c r="E301" s="6787"/>
      <c r="F301" s="6788"/>
      <c r="G301" s="6789"/>
      <c r="H301" s="6790"/>
      <c r="I301" s="6786"/>
      <c r="J301" s="6791"/>
      <c r="K301" s="6792"/>
      <c r="L301" s="6791"/>
      <c r="M301" s="6785"/>
      <c r="N301" s="6793"/>
      <c r="O301" s="6794"/>
      <c r="P301" s="6795"/>
      <c r="Q301" s="6796"/>
      <c r="R301" s="6797"/>
      <c r="S301" s="6798"/>
      <c r="U301" s="1021"/>
      <c r="V301" s="6787"/>
      <c r="W301" s="6787"/>
      <c r="X301" s="6787"/>
      <c r="Y301" s="6788"/>
      <c r="Z301" s="6789"/>
      <c r="AA301" s="6790"/>
      <c r="AB301" s="6786"/>
      <c r="AC301" s="6791"/>
      <c r="AD301" s="6792"/>
      <c r="AE301" s="6791"/>
      <c r="AF301" s="6785"/>
      <c r="AG301" s="6793"/>
      <c r="AH301" s="6794"/>
      <c r="AI301" s="6795"/>
      <c r="AJ301" s="6796"/>
      <c r="AK301" s="6797"/>
      <c r="AL301" s="6798"/>
      <c r="AN301" s="1021"/>
      <c r="AO301" s="6787"/>
      <c r="AP301" s="6787"/>
      <c r="AQ301" s="6787"/>
      <c r="AR301" s="6788"/>
      <c r="AS301" s="6789"/>
      <c r="AT301" s="6790"/>
      <c r="AU301" s="6786"/>
      <c r="AV301" s="6791"/>
      <c r="AW301" s="6792"/>
      <c r="AX301" s="6791"/>
      <c r="AY301" s="6785"/>
      <c r="AZ301" s="6793"/>
      <c r="BA301" s="6794"/>
      <c r="BB301" s="6795"/>
      <c r="BC301" s="6796"/>
      <c r="BD301" s="6797"/>
      <c r="BE301" s="6798"/>
      <c r="BH301" s="5">
        <v>1</v>
      </c>
    </row>
    <row r="302" spans="2:60" ht="18.75">
      <c r="B302" s="1021"/>
      <c r="C302" s="6787"/>
      <c r="D302" s="6787"/>
      <c r="E302" s="6787"/>
      <c r="F302" s="6788"/>
      <c r="G302" s="6789"/>
      <c r="H302" s="6790"/>
      <c r="I302" s="6786"/>
      <c r="J302" s="6791"/>
      <c r="K302" s="6792"/>
      <c r="L302" s="6791"/>
      <c r="M302" s="6785"/>
      <c r="N302" s="6793"/>
      <c r="O302" s="6794"/>
      <c r="P302" s="6795"/>
      <c r="Q302" s="6796"/>
      <c r="R302" s="6797"/>
      <c r="S302" s="6798"/>
      <c r="U302" s="1021"/>
      <c r="V302" s="6787"/>
      <c r="W302" s="6787"/>
      <c r="X302" s="6787"/>
      <c r="Y302" s="6788"/>
      <c r="Z302" s="6789"/>
      <c r="AA302" s="6790"/>
      <c r="AB302" s="6786"/>
      <c r="AC302" s="6791"/>
      <c r="AD302" s="6792"/>
      <c r="AE302" s="6791"/>
      <c r="AF302" s="6785"/>
      <c r="AG302" s="6793"/>
      <c r="AH302" s="6794"/>
      <c r="AI302" s="6795"/>
      <c r="AJ302" s="6796"/>
      <c r="AK302" s="6797"/>
      <c r="AL302" s="6798"/>
      <c r="AN302" s="1021"/>
      <c r="AO302" s="6787"/>
      <c r="AP302" s="6787"/>
      <c r="AQ302" s="6787"/>
      <c r="AR302" s="6788"/>
      <c r="AS302" s="6789"/>
      <c r="AT302" s="6790"/>
      <c r="AU302" s="6786"/>
      <c r="AV302" s="6791"/>
      <c r="AW302" s="6792"/>
      <c r="AX302" s="6791"/>
      <c r="AY302" s="6785"/>
      <c r="AZ302" s="6793"/>
      <c r="BA302" s="6794"/>
      <c r="BB302" s="6795"/>
      <c r="BC302" s="6796"/>
      <c r="BD302" s="6797"/>
      <c r="BE302" s="6798"/>
      <c r="BH302" s="5">
        <v>1</v>
      </c>
    </row>
    <row r="303" spans="2:60" ht="18.75">
      <c r="B303" s="1021"/>
      <c r="C303" s="6787"/>
      <c r="D303" s="6787"/>
      <c r="E303" s="6787"/>
      <c r="F303" s="6788"/>
      <c r="G303" s="6789"/>
      <c r="H303" s="6790"/>
      <c r="I303" s="6786"/>
      <c r="J303" s="6791"/>
      <c r="K303" s="6792"/>
      <c r="L303" s="6791"/>
      <c r="M303" s="6785"/>
      <c r="N303" s="6793"/>
      <c r="O303" s="6794"/>
      <c r="P303" s="6795"/>
      <c r="Q303" s="6796"/>
      <c r="R303" s="6797"/>
      <c r="S303" s="6798"/>
      <c r="U303" s="1021"/>
      <c r="V303" s="6787"/>
      <c r="W303" s="6787"/>
      <c r="X303" s="6787"/>
      <c r="Y303" s="6788"/>
      <c r="Z303" s="6789"/>
      <c r="AA303" s="6790"/>
      <c r="AB303" s="6786"/>
      <c r="AC303" s="6791"/>
      <c r="AD303" s="6792"/>
      <c r="AE303" s="6791"/>
      <c r="AF303" s="6785"/>
      <c r="AG303" s="6793"/>
      <c r="AH303" s="6794"/>
      <c r="AI303" s="6795"/>
      <c r="AJ303" s="6796"/>
      <c r="AK303" s="6797"/>
      <c r="AL303" s="6798"/>
      <c r="AN303" s="1021"/>
      <c r="AO303" s="6787"/>
      <c r="AP303" s="6787"/>
      <c r="AQ303" s="6787"/>
      <c r="AR303" s="6788"/>
      <c r="AS303" s="6789"/>
      <c r="AT303" s="6790"/>
      <c r="AU303" s="6786"/>
      <c r="AV303" s="6791"/>
      <c r="AW303" s="6792"/>
      <c r="AX303" s="6791"/>
      <c r="AY303" s="6785"/>
      <c r="AZ303" s="6793"/>
      <c r="BA303" s="6794"/>
      <c r="BB303" s="6795"/>
      <c r="BC303" s="6796"/>
      <c r="BD303" s="6797"/>
      <c r="BE303" s="6798"/>
      <c r="BH303" s="5">
        <v>1</v>
      </c>
    </row>
    <row r="304" spans="2:60" ht="18.75">
      <c r="B304" s="1021"/>
      <c r="C304" s="6787"/>
      <c r="D304" s="6787"/>
      <c r="E304" s="6787"/>
      <c r="F304" s="6788"/>
      <c r="G304" s="6789"/>
      <c r="H304" s="6790"/>
      <c r="I304" s="6786"/>
      <c r="J304" s="6791"/>
      <c r="K304" s="6792"/>
      <c r="L304" s="6791"/>
      <c r="M304" s="6785"/>
      <c r="N304" s="6793"/>
      <c r="O304" s="6794"/>
      <c r="P304" s="6795"/>
      <c r="Q304" s="6796"/>
      <c r="R304" s="6797"/>
      <c r="S304" s="6798"/>
      <c r="U304" s="1021"/>
      <c r="V304" s="6787"/>
      <c r="W304" s="6787"/>
      <c r="X304" s="6787"/>
      <c r="Y304" s="6788"/>
      <c r="Z304" s="6789"/>
      <c r="AA304" s="6790"/>
      <c r="AB304" s="6786"/>
      <c r="AC304" s="6791"/>
      <c r="AD304" s="6792"/>
      <c r="AE304" s="6791"/>
      <c r="AF304" s="6785"/>
      <c r="AG304" s="6793"/>
      <c r="AH304" s="6794"/>
      <c r="AI304" s="6795"/>
      <c r="AJ304" s="6796"/>
      <c r="AK304" s="6797"/>
      <c r="AL304" s="6798"/>
      <c r="AN304" s="1021"/>
      <c r="AO304" s="6787"/>
      <c r="AP304" s="6787"/>
      <c r="AQ304" s="6787"/>
      <c r="AR304" s="6788"/>
      <c r="AS304" s="6789"/>
      <c r="AT304" s="6790"/>
      <c r="AU304" s="6786"/>
      <c r="AV304" s="6791"/>
      <c r="AW304" s="6792"/>
      <c r="AX304" s="6791"/>
      <c r="AY304" s="6785"/>
      <c r="AZ304" s="6793"/>
      <c r="BA304" s="6794"/>
      <c r="BB304" s="6795"/>
      <c r="BC304" s="6796"/>
      <c r="BD304" s="6797"/>
      <c r="BE304" s="6798"/>
      <c r="BH304" s="5">
        <v>1</v>
      </c>
    </row>
    <row r="305" spans="2:60" ht="18.75">
      <c r="B305" s="1021"/>
      <c r="C305" s="6787"/>
      <c r="D305" s="6787"/>
      <c r="E305" s="6787"/>
      <c r="F305" s="6788"/>
      <c r="G305" s="6789"/>
      <c r="H305" s="6790"/>
      <c r="I305" s="6786"/>
      <c r="J305" s="6791"/>
      <c r="K305" s="6792"/>
      <c r="L305" s="6791"/>
      <c r="M305" s="6785"/>
      <c r="N305" s="6793"/>
      <c r="O305" s="6794"/>
      <c r="P305" s="6795"/>
      <c r="Q305" s="6796"/>
      <c r="R305" s="6797"/>
      <c r="S305" s="6798"/>
      <c r="U305" s="1021"/>
      <c r="V305" s="6787"/>
      <c r="W305" s="6787"/>
      <c r="X305" s="6787"/>
      <c r="Y305" s="6788"/>
      <c r="Z305" s="6789"/>
      <c r="AA305" s="6790"/>
      <c r="AB305" s="6786"/>
      <c r="AC305" s="6791"/>
      <c r="AD305" s="6792"/>
      <c r="AE305" s="6791"/>
      <c r="AF305" s="6785"/>
      <c r="AG305" s="6793"/>
      <c r="AH305" s="6794"/>
      <c r="AI305" s="6795"/>
      <c r="AJ305" s="6796"/>
      <c r="AK305" s="6797"/>
      <c r="AL305" s="6798"/>
      <c r="AN305" s="1021"/>
      <c r="AO305" s="6787"/>
      <c r="AP305" s="6787"/>
      <c r="AQ305" s="6787"/>
      <c r="AR305" s="6788"/>
      <c r="AS305" s="6789"/>
      <c r="AT305" s="6790"/>
      <c r="AU305" s="6786"/>
      <c r="AV305" s="6791"/>
      <c r="AW305" s="6792"/>
      <c r="AX305" s="6791"/>
      <c r="AY305" s="6785"/>
      <c r="AZ305" s="6793"/>
      <c r="BA305" s="6794"/>
      <c r="BB305" s="6795"/>
      <c r="BC305" s="6796"/>
      <c r="BD305" s="6797"/>
      <c r="BE305" s="6798"/>
      <c r="BH305" s="5">
        <v>1</v>
      </c>
    </row>
    <row r="306" spans="2:60" ht="18.75">
      <c r="B306" s="1021"/>
      <c r="C306" s="6787"/>
      <c r="D306" s="6787"/>
      <c r="E306" s="6787"/>
      <c r="F306" s="6788"/>
      <c r="G306" s="6789"/>
      <c r="H306" s="6790"/>
      <c r="I306" s="6786"/>
      <c r="J306" s="6791"/>
      <c r="K306" s="6792"/>
      <c r="L306" s="6791"/>
      <c r="M306" s="6785"/>
      <c r="N306" s="6793"/>
      <c r="O306" s="6794"/>
      <c r="P306" s="6795"/>
      <c r="Q306" s="6796"/>
      <c r="R306" s="6797"/>
      <c r="S306" s="6798"/>
      <c r="U306" s="1021"/>
      <c r="V306" s="6787"/>
      <c r="W306" s="6787"/>
      <c r="X306" s="6787"/>
      <c r="Y306" s="6788"/>
      <c r="Z306" s="6789"/>
      <c r="AA306" s="6790"/>
      <c r="AB306" s="6786"/>
      <c r="AC306" s="6791"/>
      <c r="AD306" s="6792"/>
      <c r="AE306" s="6791"/>
      <c r="AF306" s="6785"/>
      <c r="AG306" s="6793"/>
      <c r="AH306" s="6794"/>
      <c r="AI306" s="6795"/>
      <c r="AJ306" s="6796"/>
      <c r="AK306" s="6797"/>
      <c r="AL306" s="6798"/>
      <c r="AN306" s="1021"/>
      <c r="AO306" s="6787"/>
      <c r="AP306" s="6787"/>
      <c r="AQ306" s="6787"/>
      <c r="AR306" s="6788"/>
      <c r="AS306" s="6789"/>
      <c r="AT306" s="6790"/>
      <c r="AU306" s="6786"/>
      <c r="AV306" s="6791"/>
      <c r="AW306" s="6792"/>
      <c r="AX306" s="6791"/>
      <c r="AY306" s="6785"/>
      <c r="AZ306" s="6793"/>
      <c r="BA306" s="6794"/>
      <c r="BB306" s="6795"/>
      <c r="BC306" s="6796"/>
      <c r="BD306" s="6797"/>
      <c r="BE306" s="6798"/>
      <c r="BH306" s="5">
        <v>1</v>
      </c>
    </row>
    <row r="307" spans="2:60" ht="18.75">
      <c r="B307" s="1021"/>
      <c r="C307" s="6787"/>
      <c r="D307" s="6787"/>
      <c r="E307" s="6787"/>
      <c r="F307" s="6788"/>
      <c r="G307" s="6789"/>
      <c r="H307" s="6790"/>
      <c r="I307" s="6786"/>
      <c r="J307" s="6791"/>
      <c r="K307" s="6792"/>
      <c r="L307" s="6791"/>
      <c r="M307" s="6785"/>
      <c r="N307" s="6793"/>
      <c r="O307" s="6794"/>
      <c r="P307" s="6795"/>
      <c r="Q307" s="6796"/>
      <c r="R307" s="6797"/>
      <c r="S307" s="6798"/>
      <c r="U307" s="1021"/>
      <c r="V307" s="6787"/>
      <c r="W307" s="6787"/>
      <c r="X307" s="6787"/>
      <c r="Y307" s="6788"/>
      <c r="Z307" s="6789"/>
      <c r="AA307" s="6790"/>
      <c r="AB307" s="6786"/>
      <c r="AC307" s="6791"/>
      <c r="AD307" s="6792"/>
      <c r="AE307" s="6791"/>
      <c r="AF307" s="6785"/>
      <c r="AG307" s="6793"/>
      <c r="AH307" s="6794"/>
      <c r="AI307" s="6795"/>
      <c r="AJ307" s="6796"/>
      <c r="AK307" s="6797"/>
      <c r="AL307" s="6798"/>
      <c r="AN307" s="1021"/>
      <c r="AO307" s="6787"/>
      <c r="AP307" s="6787"/>
      <c r="AQ307" s="6787"/>
      <c r="AR307" s="6788"/>
      <c r="AS307" s="6789"/>
      <c r="AT307" s="6790"/>
      <c r="AU307" s="6786"/>
      <c r="AV307" s="6791"/>
      <c r="AW307" s="6792"/>
      <c r="AX307" s="6791"/>
      <c r="AY307" s="6785"/>
      <c r="AZ307" s="6793"/>
      <c r="BA307" s="6794"/>
      <c r="BB307" s="6795"/>
      <c r="BC307" s="6796"/>
      <c r="BD307" s="6797"/>
      <c r="BE307" s="6798"/>
      <c r="BH307" s="5">
        <v>1</v>
      </c>
    </row>
    <row r="308" spans="2:60" ht="18.75">
      <c r="B308" s="1021"/>
      <c r="C308" s="6787"/>
      <c r="D308" s="6787"/>
      <c r="E308" s="6787"/>
      <c r="F308" s="6788"/>
      <c r="G308" s="6789"/>
      <c r="H308" s="6790"/>
      <c r="I308" s="6786"/>
      <c r="J308" s="6791"/>
      <c r="K308" s="6792"/>
      <c r="L308" s="6791"/>
      <c r="M308" s="6785"/>
      <c r="N308" s="6793"/>
      <c r="O308" s="6794"/>
      <c r="P308" s="6795"/>
      <c r="Q308" s="6796"/>
      <c r="R308" s="6797"/>
      <c r="S308" s="6798"/>
      <c r="U308" s="1021"/>
      <c r="V308" s="6787"/>
      <c r="W308" s="6787"/>
      <c r="X308" s="6787"/>
      <c r="Y308" s="6788"/>
      <c r="Z308" s="6789"/>
      <c r="AA308" s="6790"/>
      <c r="AB308" s="6786"/>
      <c r="AC308" s="6791"/>
      <c r="AD308" s="6792"/>
      <c r="AE308" s="6791"/>
      <c r="AF308" s="6785"/>
      <c r="AG308" s="6793"/>
      <c r="AH308" s="6794"/>
      <c r="AI308" s="6795"/>
      <c r="AJ308" s="6796"/>
      <c r="AK308" s="6797"/>
      <c r="AL308" s="6798"/>
      <c r="AN308" s="1021"/>
      <c r="AO308" s="6787"/>
      <c r="AP308" s="6787"/>
      <c r="AQ308" s="6787"/>
      <c r="AR308" s="6788"/>
      <c r="AS308" s="6789"/>
      <c r="AT308" s="6790"/>
      <c r="AU308" s="6786"/>
      <c r="AV308" s="6791"/>
      <c r="AW308" s="6792"/>
      <c r="AX308" s="6791"/>
      <c r="AY308" s="6785"/>
      <c r="AZ308" s="6793"/>
      <c r="BA308" s="6794"/>
      <c r="BB308" s="6795"/>
      <c r="BC308" s="6796"/>
      <c r="BD308" s="6797"/>
      <c r="BE308" s="6798"/>
      <c r="BH308" s="5">
        <v>1</v>
      </c>
    </row>
    <row r="309" spans="2:60" ht="18.75">
      <c r="B309" s="1021"/>
      <c r="C309" s="6787"/>
      <c r="D309" s="6787"/>
      <c r="E309" s="6787"/>
      <c r="F309" s="6788"/>
      <c r="G309" s="6789"/>
      <c r="H309" s="6790"/>
      <c r="I309" s="6786"/>
      <c r="J309" s="6791"/>
      <c r="K309" s="6792"/>
      <c r="L309" s="6791"/>
      <c r="M309" s="6785"/>
      <c r="N309" s="6793"/>
      <c r="O309" s="6794"/>
      <c r="P309" s="6795"/>
      <c r="Q309" s="6796"/>
      <c r="R309" s="6797"/>
      <c r="S309" s="6798"/>
      <c r="U309" s="1021"/>
      <c r="V309" s="6787"/>
      <c r="W309" s="6787"/>
      <c r="X309" s="6787"/>
      <c r="Y309" s="6788"/>
      <c r="Z309" s="6789"/>
      <c r="AA309" s="6790"/>
      <c r="AB309" s="6786"/>
      <c r="AC309" s="6791"/>
      <c r="AD309" s="6792"/>
      <c r="AE309" s="6791"/>
      <c r="AF309" s="6785"/>
      <c r="AG309" s="6793"/>
      <c r="AH309" s="6794"/>
      <c r="AI309" s="6795"/>
      <c r="AJ309" s="6796"/>
      <c r="AK309" s="6797"/>
      <c r="AL309" s="6798"/>
      <c r="AN309" s="1021"/>
      <c r="AO309" s="6787"/>
      <c r="AP309" s="6787"/>
      <c r="AQ309" s="6787"/>
      <c r="AR309" s="6788"/>
      <c r="AS309" s="6789"/>
      <c r="AT309" s="6790"/>
      <c r="AU309" s="6786"/>
      <c r="AV309" s="6791"/>
      <c r="AW309" s="6792"/>
      <c r="AX309" s="6791"/>
      <c r="AY309" s="6785"/>
      <c r="AZ309" s="6793"/>
      <c r="BA309" s="6794"/>
      <c r="BB309" s="6795"/>
      <c r="BC309" s="6796"/>
      <c r="BD309" s="6797"/>
      <c r="BE309" s="6798"/>
      <c r="BH309" s="5">
        <v>1</v>
      </c>
    </row>
    <row r="310" spans="2:60" ht="18.75">
      <c r="B310" s="1021"/>
      <c r="C310" s="6787"/>
      <c r="D310" s="6787"/>
      <c r="E310" s="6787"/>
      <c r="F310" s="6788"/>
      <c r="G310" s="6789"/>
      <c r="H310" s="6790"/>
      <c r="I310" s="6786"/>
      <c r="J310" s="6791"/>
      <c r="K310" s="6792"/>
      <c r="L310" s="6791"/>
      <c r="M310" s="6785"/>
      <c r="N310" s="6793"/>
      <c r="O310" s="6794"/>
      <c r="P310" s="6795"/>
      <c r="Q310" s="6796"/>
      <c r="R310" s="6797"/>
      <c r="S310" s="6798"/>
      <c r="U310" s="1021"/>
      <c r="V310" s="6787"/>
      <c r="W310" s="6787"/>
      <c r="X310" s="6787"/>
      <c r="Y310" s="6788"/>
      <c r="Z310" s="6789"/>
      <c r="AA310" s="6790"/>
      <c r="AB310" s="6786"/>
      <c r="AC310" s="6791"/>
      <c r="AD310" s="6792"/>
      <c r="AE310" s="6791"/>
      <c r="AF310" s="6785"/>
      <c r="AG310" s="6793"/>
      <c r="AH310" s="6794"/>
      <c r="AI310" s="6795"/>
      <c r="AJ310" s="6796"/>
      <c r="AK310" s="6797"/>
      <c r="AL310" s="6798"/>
      <c r="AN310" s="1021"/>
      <c r="AO310" s="6787"/>
      <c r="AP310" s="6787"/>
      <c r="AQ310" s="6787"/>
      <c r="AR310" s="6788"/>
      <c r="AS310" s="6789"/>
      <c r="AT310" s="6790"/>
      <c r="AU310" s="6786"/>
      <c r="AV310" s="6791"/>
      <c r="AW310" s="6792"/>
      <c r="AX310" s="6791"/>
      <c r="AY310" s="6785"/>
      <c r="AZ310" s="6793"/>
      <c r="BA310" s="6794"/>
      <c r="BB310" s="6795"/>
      <c r="BC310" s="6796"/>
      <c r="BD310" s="6797"/>
      <c r="BE310" s="6798"/>
      <c r="BH310" s="5">
        <v>1</v>
      </c>
    </row>
    <row r="311" spans="2:60" ht="18.75">
      <c r="B311" s="1021"/>
      <c r="C311" s="6787"/>
      <c r="D311" s="6787"/>
      <c r="E311" s="6787"/>
      <c r="F311" s="6788"/>
      <c r="G311" s="6789"/>
      <c r="H311" s="6790"/>
      <c r="I311" s="6786"/>
      <c r="J311" s="6791"/>
      <c r="K311" s="6792"/>
      <c r="L311" s="6791"/>
      <c r="M311" s="6785"/>
      <c r="N311" s="6793"/>
      <c r="O311" s="6794"/>
      <c r="P311" s="6795"/>
      <c r="Q311" s="6796"/>
      <c r="R311" s="6797"/>
      <c r="S311" s="6798"/>
      <c r="U311" s="1021"/>
      <c r="V311" s="6787"/>
      <c r="W311" s="6787"/>
      <c r="X311" s="6787"/>
      <c r="Y311" s="6788"/>
      <c r="Z311" s="6789"/>
      <c r="AA311" s="6790"/>
      <c r="AB311" s="6786"/>
      <c r="AC311" s="6791"/>
      <c r="AD311" s="6792"/>
      <c r="AE311" s="6791"/>
      <c r="AF311" s="6785"/>
      <c r="AG311" s="6793"/>
      <c r="AH311" s="6794"/>
      <c r="AI311" s="6795"/>
      <c r="AJ311" s="6796"/>
      <c r="AK311" s="6797"/>
      <c r="AL311" s="6798"/>
      <c r="AN311" s="1021"/>
      <c r="AO311" s="6787"/>
      <c r="AP311" s="6787"/>
      <c r="AQ311" s="6787"/>
      <c r="AR311" s="6788"/>
      <c r="AS311" s="6789"/>
      <c r="AT311" s="6790"/>
      <c r="AU311" s="6786"/>
      <c r="AV311" s="6791"/>
      <c r="AW311" s="6792"/>
      <c r="AX311" s="6791"/>
      <c r="AY311" s="6785"/>
      <c r="AZ311" s="6793"/>
      <c r="BA311" s="6794"/>
      <c r="BB311" s="6795"/>
      <c r="BC311" s="6796"/>
      <c r="BD311" s="6797"/>
      <c r="BE311" s="6798"/>
      <c r="BH311" s="5">
        <v>1</v>
      </c>
    </row>
    <row r="312" spans="2:60" ht="18.75">
      <c r="B312" s="1021"/>
      <c r="C312" s="6787"/>
      <c r="D312" s="6787"/>
      <c r="E312" s="6787"/>
      <c r="F312" s="6788"/>
      <c r="G312" s="6789"/>
      <c r="H312" s="6790"/>
      <c r="I312" s="6786"/>
      <c r="J312" s="6791"/>
      <c r="K312" s="6792"/>
      <c r="L312" s="6791"/>
      <c r="M312" s="6785"/>
      <c r="N312" s="6793"/>
      <c r="O312" s="6794"/>
      <c r="P312" s="6795"/>
      <c r="Q312" s="6796"/>
      <c r="R312" s="6797"/>
      <c r="S312" s="6798"/>
      <c r="U312" s="1021"/>
      <c r="V312" s="6787"/>
      <c r="W312" s="6787"/>
      <c r="X312" s="6787"/>
      <c r="Y312" s="6788"/>
      <c r="Z312" s="6789"/>
      <c r="AA312" s="6790"/>
      <c r="AB312" s="6786"/>
      <c r="AC312" s="6791"/>
      <c r="AD312" s="6792"/>
      <c r="AE312" s="6791"/>
      <c r="AF312" s="6785"/>
      <c r="AG312" s="6793"/>
      <c r="AH312" s="6794"/>
      <c r="AI312" s="6795"/>
      <c r="AJ312" s="6796"/>
      <c r="AK312" s="6797"/>
      <c r="AL312" s="6798"/>
      <c r="AN312" s="1021"/>
      <c r="AO312" s="6787"/>
      <c r="AP312" s="6787"/>
      <c r="AQ312" s="6787"/>
      <c r="AR312" s="6788"/>
      <c r="AS312" s="6789"/>
      <c r="AT312" s="6790"/>
      <c r="AU312" s="6786"/>
      <c r="AV312" s="6791"/>
      <c r="AW312" s="6792"/>
      <c r="AX312" s="6791"/>
      <c r="AY312" s="6785"/>
      <c r="AZ312" s="6793"/>
      <c r="BA312" s="6794"/>
      <c r="BB312" s="6795"/>
      <c r="BC312" s="6796"/>
      <c r="BD312" s="6797"/>
      <c r="BE312" s="6798"/>
      <c r="BH312" s="5">
        <v>1</v>
      </c>
    </row>
    <row r="313" spans="2:60" ht="18.75">
      <c r="B313" s="1021"/>
      <c r="C313" s="6787"/>
      <c r="D313" s="6787"/>
      <c r="E313" s="6787"/>
      <c r="F313" s="6788"/>
      <c r="G313" s="6789"/>
      <c r="H313" s="6790"/>
      <c r="I313" s="6786"/>
      <c r="J313" s="6791"/>
      <c r="K313" s="6792"/>
      <c r="L313" s="6791"/>
      <c r="M313" s="6785"/>
      <c r="N313" s="6793"/>
      <c r="O313" s="6794"/>
      <c r="P313" s="6795"/>
      <c r="Q313" s="6796"/>
      <c r="R313" s="6797"/>
      <c r="S313" s="6798"/>
      <c r="U313" s="1021"/>
      <c r="V313" s="6787"/>
      <c r="W313" s="6787"/>
      <c r="X313" s="6787"/>
      <c r="Y313" s="6788"/>
      <c r="Z313" s="6789"/>
      <c r="AA313" s="6790"/>
      <c r="AB313" s="6786"/>
      <c r="AC313" s="6791"/>
      <c r="AD313" s="6792"/>
      <c r="AE313" s="6791"/>
      <c r="AF313" s="6785"/>
      <c r="AG313" s="6793"/>
      <c r="AH313" s="6794"/>
      <c r="AI313" s="6795"/>
      <c r="AJ313" s="6796"/>
      <c r="AK313" s="6797"/>
      <c r="AL313" s="6798"/>
      <c r="AN313" s="1021"/>
      <c r="AO313" s="6787"/>
      <c r="AP313" s="6787"/>
      <c r="AQ313" s="6787"/>
      <c r="AR313" s="6788"/>
      <c r="AS313" s="6789"/>
      <c r="AT313" s="6790"/>
      <c r="AU313" s="6786"/>
      <c r="AV313" s="6791"/>
      <c r="AW313" s="6792"/>
      <c r="AX313" s="6791"/>
      <c r="AY313" s="6785"/>
      <c r="AZ313" s="6793"/>
      <c r="BA313" s="6794"/>
      <c r="BB313" s="6795"/>
      <c r="BC313" s="6796"/>
      <c r="BD313" s="6797"/>
      <c r="BE313" s="6798"/>
      <c r="BH313" s="5">
        <v>1</v>
      </c>
    </row>
    <row r="314" spans="2:60" ht="18.75">
      <c r="B314" s="1021"/>
      <c r="C314" s="6787"/>
      <c r="D314" s="6787"/>
      <c r="E314" s="6787"/>
      <c r="F314" s="6788"/>
      <c r="G314" s="6789"/>
      <c r="H314" s="6790"/>
      <c r="I314" s="6786"/>
      <c r="J314" s="6791"/>
      <c r="K314" s="6792"/>
      <c r="L314" s="6791"/>
      <c r="M314" s="6785"/>
      <c r="N314" s="6793"/>
      <c r="O314" s="6794"/>
      <c r="P314" s="6795"/>
      <c r="Q314" s="6796"/>
      <c r="R314" s="6797"/>
      <c r="S314" s="6798"/>
      <c r="U314" s="1021"/>
      <c r="V314" s="6787"/>
      <c r="W314" s="6787"/>
      <c r="X314" s="6787"/>
      <c r="Y314" s="6788"/>
      <c r="Z314" s="6789"/>
      <c r="AA314" s="6790"/>
      <c r="AB314" s="6786"/>
      <c r="AC314" s="6791"/>
      <c r="AD314" s="6792"/>
      <c r="AE314" s="6791"/>
      <c r="AF314" s="6785"/>
      <c r="AG314" s="6793"/>
      <c r="AH314" s="6794"/>
      <c r="AI314" s="6795"/>
      <c r="AJ314" s="6796"/>
      <c r="AK314" s="6797"/>
      <c r="AL314" s="6798"/>
      <c r="AN314" s="1021"/>
      <c r="AO314" s="6787"/>
      <c r="AP314" s="6787"/>
      <c r="AQ314" s="6787"/>
      <c r="AR314" s="6788"/>
      <c r="AS314" s="6789"/>
      <c r="AT314" s="6790"/>
      <c r="AU314" s="6786"/>
      <c r="AV314" s="6791"/>
      <c r="AW314" s="6792"/>
      <c r="AX314" s="6791"/>
      <c r="AY314" s="6785"/>
      <c r="AZ314" s="6793"/>
      <c r="BA314" s="6794"/>
      <c r="BB314" s="6795"/>
      <c r="BC314" s="6796"/>
      <c r="BD314" s="6797"/>
      <c r="BE314" s="6798"/>
      <c r="BH314" s="5">
        <v>1</v>
      </c>
    </row>
    <row r="315" spans="2:60" ht="18.75">
      <c r="B315" s="1021"/>
      <c r="C315" s="6787"/>
      <c r="D315" s="6787"/>
      <c r="E315" s="6787"/>
      <c r="F315" s="6788"/>
      <c r="G315" s="6789"/>
      <c r="H315" s="6790"/>
      <c r="I315" s="6786"/>
      <c r="J315" s="6791"/>
      <c r="K315" s="6792"/>
      <c r="L315" s="6791"/>
      <c r="M315" s="6785"/>
      <c r="N315" s="6793"/>
      <c r="O315" s="6794"/>
      <c r="P315" s="6795"/>
      <c r="Q315" s="6796"/>
      <c r="R315" s="6797"/>
      <c r="S315" s="6798"/>
      <c r="U315" s="1021"/>
      <c r="V315" s="6787"/>
      <c r="W315" s="6787"/>
      <c r="X315" s="6787"/>
      <c r="Y315" s="6788"/>
      <c r="Z315" s="6789"/>
      <c r="AA315" s="6790"/>
      <c r="AB315" s="6786"/>
      <c r="AC315" s="6791"/>
      <c r="AD315" s="6792"/>
      <c r="AE315" s="6791"/>
      <c r="AF315" s="6785"/>
      <c r="AG315" s="6793"/>
      <c r="AH315" s="6794"/>
      <c r="AI315" s="6795"/>
      <c r="AJ315" s="6796"/>
      <c r="AK315" s="6797"/>
      <c r="AL315" s="6798"/>
      <c r="AN315" s="1021"/>
      <c r="AO315" s="6787"/>
      <c r="AP315" s="6787"/>
      <c r="AQ315" s="6787"/>
      <c r="AR315" s="6788"/>
      <c r="AS315" s="6789"/>
      <c r="AT315" s="6790"/>
      <c r="AU315" s="6786"/>
      <c r="AV315" s="6791"/>
      <c r="AW315" s="6792"/>
      <c r="AX315" s="6791"/>
      <c r="AY315" s="6785"/>
      <c r="AZ315" s="6793"/>
      <c r="BA315" s="6794"/>
      <c r="BB315" s="6795"/>
      <c r="BC315" s="6796"/>
      <c r="BD315" s="6797"/>
      <c r="BE315" s="6798"/>
      <c r="BH315" s="5">
        <v>1</v>
      </c>
    </row>
    <row r="316" spans="2:60" ht="18.75">
      <c r="B316" s="1021"/>
      <c r="C316" s="6787"/>
      <c r="D316" s="6787"/>
      <c r="E316" s="6787"/>
      <c r="F316" s="6788"/>
      <c r="G316" s="6789"/>
      <c r="H316" s="6790"/>
      <c r="I316" s="6786"/>
      <c r="J316" s="6791"/>
      <c r="K316" s="6792"/>
      <c r="L316" s="6791"/>
      <c r="M316" s="6785"/>
      <c r="N316" s="6793"/>
      <c r="O316" s="6794"/>
      <c r="P316" s="6795"/>
      <c r="Q316" s="6796"/>
      <c r="R316" s="6797"/>
      <c r="S316" s="6798"/>
      <c r="U316" s="1021"/>
      <c r="V316" s="6787"/>
      <c r="W316" s="6787"/>
      <c r="X316" s="6787"/>
      <c r="Y316" s="6788"/>
      <c r="Z316" s="6789"/>
      <c r="AA316" s="6790"/>
      <c r="AB316" s="6786"/>
      <c r="AC316" s="6791"/>
      <c r="AD316" s="6792"/>
      <c r="AE316" s="6791"/>
      <c r="AF316" s="6785"/>
      <c r="AG316" s="6793"/>
      <c r="AH316" s="6794"/>
      <c r="AI316" s="6795"/>
      <c r="AJ316" s="6796"/>
      <c r="AK316" s="6797"/>
      <c r="AL316" s="6798"/>
      <c r="AN316" s="1021"/>
      <c r="AO316" s="6787"/>
      <c r="AP316" s="6787"/>
      <c r="AQ316" s="6787"/>
      <c r="AR316" s="6788"/>
      <c r="AS316" s="6789"/>
      <c r="AT316" s="6790"/>
      <c r="AU316" s="6786"/>
      <c r="AV316" s="6791"/>
      <c r="AW316" s="6792"/>
      <c r="AX316" s="6791"/>
      <c r="AY316" s="6785"/>
      <c r="AZ316" s="6793"/>
      <c r="BA316" s="6794"/>
      <c r="BB316" s="6795"/>
      <c r="BC316" s="6796"/>
      <c r="BD316" s="6797"/>
      <c r="BE316" s="6798"/>
      <c r="BH316" s="5">
        <v>1</v>
      </c>
    </row>
    <row r="317" spans="2:60" ht="18.75">
      <c r="B317" s="1021"/>
      <c r="C317" s="6787"/>
      <c r="D317" s="6787"/>
      <c r="E317" s="6787"/>
      <c r="F317" s="6788"/>
      <c r="G317" s="6789"/>
      <c r="H317" s="6790"/>
      <c r="I317" s="6786"/>
      <c r="J317" s="6791"/>
      <c r="K317" s="6792"/>
      <c r="L317" s="6791"/>
      <c r="M317" s="6785"/>
      <c r="N317" s="6793"/>
      <c r="O317" s="6794"/>
      <c r="P317" s="6795"/>
      <c r="Q317" s="6796"/>
      <c r="R317" s="6797"/>
      <c r="S317" s="6798"/>
      <c r="U317" s="1021"/>
      <c r="V317" s="6787"/>
      <c r="W317" s="6787"/>
      <c r="X317" s="6787"/>
      <c r="Y317" s="6788"/>
      <c r="Z317" s="6789"/>
      <c r="AA317" s="6790"/>
      <c r="AB317" s="6786"/>
      <c r="AC317" s="6791"/>
      <c r="AD317" s="6792"/>
      <c r="AE317" s="6791"/>
      <c r="AF317" s="6785"/>
      <c r="AG317" s="6793"/>
      <c r="AH317" s="6794"/>
      <c r="AI317" s="6795"/>
      <c r="AJ317" s="6796"/>
      <c r="AK317" s="6797"/>
      <c r="AL317" s="6798"/>
      <c r="AN317" s="1021"/>
      <c r="AO317" s="6787"/>
      <c r="AP317" s="6787"/>
      <c r="AQ317" s="6787"/>
      <c r="AR317" s="6788"/>
      <c r="AS317" s="6789"/>
      <c r="AT317" s="6790"/>
      <c r="AU317" s="6786"/>
      <c r="AV317" s="6791"/>
      <c r="AW317" s="6792"/>
      <c r="AX317" s="6791"/>
      <c r="AY317" s="6785"/>
      <c r="AZ317" s="6793"/>
      <c r="BA317" s="6794"/>
      <c r="BB317" s="6795"/>
      <c r="BC317" s="6796"/>
      <c r="BD317" s="6797"/>
      <c r="BE317" s="6798"/>
      <c r="BH317" s="5">
        <v>1</v>
      </c>
    </row>
    <row r="318" spans="2:60" ht="18.75">
      <c r="B318" s="1021"/>
      <c r="C318" s="6787"/>
      <c r="D318" s="6787"/>
      <c r="E318" s="6787"/>
      <c r="F318" s="6788"/>
      <c r="G318" s="6789"/>
      <c r="H318" s="6790"/>
      <c r="I318" s="6786"/>
      <c r="J318" s="6791"/>
      <c r="K318" s="6792"/>
      <c r="L318" s="6791"/>
      <c r="M318" s="6785"/>
      <c r="N318" s="6793"/>
      <c r="O318" s="6794"/>
      <c r="P318" s="6795"/>
      <c r="Q318" s="6796"/>
      <c r="R318" s="6797"/>
      <c r="S318" s="6798"/>
      <c r="U318" s="1021"/>
      <c r="V318" s="6787"/>
      <c r="W318" s="6787"/>
      <c r="X318" s="6787"/>
      <c r="Y318" s="6788"/>
      <c r="Z318" s="6789"/>
      <c r="AA318" s="6790"/>
      <c r="AB318" s="6786"/>
      <c r="AC318" s="6791"/>
      <c r="AD318" s="6792"/>
      <c r="AE318" s="6791"/>
      <c r="AF318" s="6785"/>
      <c r="AG318" s="6793"/>
      <c r="AH318" s="6794"/>
      <c r="AI318" s="6795"/>
      <c r="AJ318" s="6796"/>
      <c r="AK318" s="6797"/>
      <c r="AL318" s="6798"/>
      <c r="AN318" s="1021"/>
      <c r="AO318" s="6787"/>
      <c r="AP318" s="6787"/>
      <c r="AQ318" s="6787"/>
      <c r="AR318" s="6788"/>
      <c r="AS318" s="6789"/>
      <c r="AT318" s="6790"/>
      <c r="AU318" s="6786"/>
      <c r="AV318" s="6791"/>
      <c r="AW318" s="6792"/>
      <c r="AX318" s="6791"/>
      <c r="AY318" s="6785"/>
      <c r="AZ318" s="6793"/>
      <c r="BA318" s="6794"/>
      <c r="BB318" s="6795"/>
      <c r="BC318" s="6796"/>
      <c r="BD318" s="6797"/>
      <c r="BE318" s="6798"/>
      <c r="BH318" s="5">
        <v>1</v>
      </c>
    </row>
    <row r="319" spans="2:60" ht="18.75">
      <c r="B319" s="1021"/>
      <c r="C319" s="6787"/>
      <c r="D319" s="6787"/>
      <c r="E319" s="6787"/>
      <c r="F319" s="6788"/>
      <c r="G319" s="6789"/>
      <c r="H319" s="6790"/>
      <c r="I319" s="6786"/>
      <c r="J319" s="6791"/>
      <c r="K319" s="6792"/>
      <c r="L319" s="6791"/>
      <c r="M319" s="6785"/>
      <c r="N319" s="6793"/>
      <c r="O319" s="6794"/>
      <c r="P319" s="6795"/>
      <c r="Q319" s="6796"/>
      <c r="R319" s="6797"/>
      <c r="S319" s="6798"/>
      <c r="U319" s="1021"/>
      <c r="V319" s="6787"/>
      <c r="W319" s="6787"/>
      <c r="X319" s="6787"/>
      <c r="Y319" s="6788"/>
      <c r="Z319" s="6789"/>
      <c r="AA319" s="6790"/>
      <c r="AB319" s="6786"/>
      <c r="AC319" s="6791"/>
      <c r="AD319" s="6792"/>
      <c r="AE319" s="6791"/>
      <c r="AF319" s="6785"/>
      <c r="AG319" s="6793"/>
      <c r="AH319" s="6794"/>
      <c r="AI319" s="6795"/>
      <c r="AJ319" s="6796"/>
      <c r="AK319" s="6797"/>
      <c r="AL319" s="6798"/>
      <c r="AN319" s="1021"/>
      <c r="AO319" s="6787"/>
      <c r="AP319" s="6787"/>
      <c r="AQ319" s="6787"/>
      <c r="AR319" s="6788"/>
      <c r="AS319" s="6789"/>
      <c r="AT319" s="6790"/>
      <c r="AU319" s="6786"/>
      <c r="AV319" s="6791"/>
      <c r="AW319" s="6792"/>
      <c r="AX319" s="6791"/>
      <c r="AY319" s="6785"/>
      <c r="AZ319" s="6793"/>
      <c r="BA319" s="6794"/>
      <c r="BB319" s="6795"/>
      <c r="BC319" s="6796"/>
      <c r="BD319" s="6797"/>
      <c r="BE319" s="6798"/>
      <c r="BH319" s="5">
        <v>1</v>
      </c>
    </row>
    <row r="320" spans="2:60" ht="18.75">
      <c r="B320" s="1021"/>
      <c r="C320" s="6787"/>
      <c r="D320" s="6787"/>
      <c r="E320" s="6787"/>
      <c r="F320" s="6788"/>
      <c r="G320" s="6789"/>
      <c r="H320" s="6790"/>
      <c r="I320" s="6786"/>
      <c r="J320" s="6791"/>
      <c r="K320" s="6792"/>
      <c r="L320" s="6791"/>
      <c r="M320" s="6785"/>
      <c r="N320" s="6793"/>
      <c r="O320" s="6794"/>
      <c r="P320" s="6795"/>
      <c r="Q320" s="6796"/>
      <c r="R320" s="6797"/>
      <c r="S320" s="6798"/>
      <c r="U320" s="1021"/>
      <c r="V320" s="6787"/>
      <c r="W320" s="6787"/>
      <c r="X320" s="6787"/>
      <c r="Y320" s="6788"/>
      <c r="Z320" s="6789"/>
      <c r="AA320" s="6790"/>
      <c r="AB320" s="6786"/>
      <c r="AC320" s="6791"/>
      <c r="AD320" s="6792"/>
      <c r="AE320" s="6791"/>
      <c r="AF320" s="6785"/>
      <c r="AG320" s="6793"/>
      <c r="AH320" s="6794"/>
      <c r="AI320" s="6795"/>
      <c r="AJ320" s="6796"/>
      <c r="AK320" s="6797"/>
      <c r="AL320" s="6798"/>
      <c r="AN320" s="1021"/>
      <c r="AO320" s="6787"/>
      <c r="AP320" s="6787"/>
      <c r="AQ320" s="6787"/>
      <c r="AR320" s="6788"/>
      <c r="AS320" s="6789"/>
      <c r="AT320" s="6790"/>
      <c r="AU320" s="6786"/>
      <c r="AV320" s="6791"/>
      <c r="AW320" s="6792"/>
      <c r="AX320" s="6791"/>
      <c r="AY320" s="6785"/>
      <c r="AZ320" s="6793"/>
      <c r="BA320" s="6794"/>
      <c r="BB320" s="6795"/>
      <c r="BC320" s="6796"/>
      <c r="BD320" s="6797"/>
      <c r="BE320" s="6798"/>
      <c r="BH320" s="5">
        <v>1</v>
      </c>
    </row>
    <row r="321" spans="2:60" ht="18.75">
      <c r="B321" s="1021"/>
      <c r="C321" s="6787"/>
      <c r="D321" s="6787"/>
      <c r="E321" s="6787"/>
      <c r="F321" s="6788"/>
      <c r="G321" s="6789"/>
      <c r="H321" s="6790"/>
      <c r="I321" s="6786"/>
      <c r="J321" s="6791"/>
      <c r="K321" s="6792"/>
      <c r="L321" s="6791"/>
      <c r="M321" s="6785"/>
      <c r="N321" s="6793"/>
      <c r="O321" s="6794"/>
      <c r="P321" s="6795"/>
      <c r="Q321" s="6796"/>
      <c r="R321" s="6797"/>
      <c r="S321" s="6798"/>
      <c r="U321" s="1021"/>
      <c r="V321" s="6787"/>
      <c r="W321" s="6787"/>
      <c r="X321" s="6787"/>
      <c r="Y321" s="6788"/>
      <c r="Z321" s="6789"/>
      <c r="AA321" s="6790"/>
      <c r="AB321" s="6786"/>
      <c r="AC321" s="6791"/>
      <c r="AD321" s="6792"/>
      <c r="AE321" s="6791"/>
      <c r="AF321" s="6785"/>
      <c r="AG321" s="6793"/>
      <c r="AH321" s="6794"/>
      <c r="AI321" s="6795"/>
      <c r="AJ321" s="6796"/>
      <c r="AK321" s="6797"/>
      <c r="AL321" s="6798"/>
      <c r="AN321" s="1021"/>
      <c r="AO321" s="6787"/>
      <c r="AP321" s="6787"/>
      <c r="AQ321" s="6787"/>
      <c r="AR321" s="6788"/>
      <c r="AS321" s="6789"/>
      <c r="AT321" s="6790"/>
      <c r="AU321" s="6786"/>
      <c r="AV321" s="6791"/>
      <c r="AW321" s="6792"/>
      <c r="AX321" s="6791"/>
      <c r="AY321" s="6785"/>
      <c r="AZ321" s="6793"/>
      <c r="BA321" s="6794"/>
      <c r="BB321" s="6795"/>
      <c r="BC321" s="6796"/>
      <c r="BD321" s="6797"/>
      <c r="BE321" s="6798"/>
      <c r="BH321" s="5">
        <v>1</v>
      </c>
    </row>
    <row r="322" spans="2:60" ht="18.75">
      <c r="B322" s="1021"/>
      <c r="C322" s="6787"/>
      <c r="D322" s="6787"/>
      <c r="E322" s="6787"/>
      <c r="F322" s="6788"/>
      <c r="G322" s="6789"/>
      <c r="H322" s="6790"/>
      <c r="I322" s="6786"/>
      <c r="J322" s="6791"/>
      <c r="K322" s="6792"/>
      <c r="L322" s="6791"/>
      <c r="M322" s="6785"/>
      <c r="N322" s="6793"/>
      <c r="O322" s="6794"/>
      <c r="P322" s="6795"/>
      <c r="Q322" s="6796"/>
      <c r="R322" s="6797"/>
      <c r="S322" s="6798"/>
      <c r="U322" s="1021"/>
      <c r="V322" s="6787"/>
      <c r="W322" s="6787"/>
      <c r="X322" s="6787"/>
      <c r="Y322" s="6788"/>
      <c r="Z322" s="6789"/>
      <c r="AA322" s="6790"/>
      <c r="AB322" s="6786"/>
      <c r="AC322" s="6791"/>
      <c r="AD322" s="6792"/>
      <c r="AE322" s="6791"/>
      <c r="AF322" s="6785"/>
      <c r="AG322" s="6793"/>
      <c r="AH322" s="6794"/>
      <c r="AI322" s="6795"/>
      <c r="AJ322" s="6796"/>
      <c r="AK322" s="6797"/>
      <c r="AL322" s="6798"/>
      <c r="AN322" s="1021"/>
      <c r="AO322" s="6787"/>
      <c r="AP322" s="6787"/>
      <c r="AQ322" s="6787"/>
      <c r="AR322" s="6788"/>
      <c r="AS322" s="6789"/>
      <c r="AT322" s="6790"/>
      <c r="AU322" s="6786"/>
      <c r="AV322" s="6791"/>
      <c r="AW322" s="6792"/>
      <c r="AX322" s="6791"/>
      <c r="AY322" s="6785"/>
      <c r="AZ322" s="6793"/>
      <c r="BA322" s="6794"/>
      <c r="BB322" s="6795"/>
      <c r="BC322" s="6796"/>
      <c r="BD322" s="6797"/>
      <c r="BE322" s="6798"/>
      <c r="BH322" s="5">
        <v>1</v>
      </c>
    </row>
    <row r="323" spans="2:60" ht="18.75">
      <c r="B323" s="1021"/>
      <c r="C323" s="6787"/>
      <c r="D323" s="6787"/>
      <c r="E323" s="6787"/>
      <c r="F323" s="6788"/>
      <c r="G323" s="6789"/>
      <c r="H323" s="6790"/>
      <c r="I323" s="6786"/>
      <c r="J323" s="6791"/>
      <c r="K323" s="6792"/>
      <c r="L323" s="6791"/>
      <c r="M323" s="6785"/>
      <c r="N323" s="6793"/>
      <c r="O323" s="6794"/>
      <c r="P323" s="6795"/>
      <c r="Q323" s="6796"/>
      <c r="R323" s="6797"/>
      <c r="S323" s="6798"/>
      <c r="U323" s="1021"/>
      <c r="V323" s="6787"/>
      <c r="W323" s="6787"/>
      <c r="X323" s="6787"/>
      <c r="Y323" s="6788"/>
      <c r="Z323" s="6789"/>
      <c r="AA323" s="6790"/>
      <c r="AB323" s="6786"/>
      <c r="AC323" s="6791"/>
      <c r="AD323" s="6792"/>
      <c r="AE323" s="6791"/>
      <c r="AF323" s="6785"/>
      <c r="AG323" s="6793"/>
      <c r="AH323" s="6794"/>
      <c r="AI323" s="6795"/>
      <c r="AJ323" s="6796"/>
      <c r="AK323" s="6797"/>
      <c r="AL323" s="6798"/>
      <c r="AN323" s="1021"/>
      <c r="AO323" s="6787"/>
      <c r="AP323" s="6787"/>
      <c r="AQ323" s="6787"/>
      <c r="AR323" s="6788"/>
      <c r="AS323" s="6789"/>
      <c r="AT323" s="6790"/>
      <c r="AU323" s="6786"/>
      <c r="AV323" s="6791"/>
      <c r="AW323" s="6792"/>
      <c r="AX323" s="6791"/>
      <c r="AY323" s="6785"/>
      <c r="AZ323" s="6793"/>
      <c r="BA323" s="6794"/>
      <c r="BB323" s="6795"/>
      <c r="BC323" s="6796"/>
      <c r="BD323" s="6797"/>
      <c r="BE323" s="6798"/>
      <c r="BH323" s="5">
        <v>1</v>
      </c>
    </row>
    <row r="324" spans="2:60" ht="18.75">
      <c r="B324" s="1021"/>
      <c r="C324" s="6787"/>
      <c r="D324" s="6787"/>
      <c r="E324" s="6787"/>
      <c r="F324" s="6788"/>
      <c r="G324" s="6789"/>
      <c r="H324" s="6790"/>
      <c r="I324" s="6786"/>
      <c r="J324" s="6791"/>
      <c r="K324" s="6792"/>
      <c r="L324" s="6791"/>
      <c r="M324" s="6785"/>
      <c r="N324" s="6793"/>
      <c r="O324" s="6794"/>
      <c r="P324" s="6795"/>
      <c r="Q324" s="6796"/>
      <c r="R324" s="6797"/>
      <c r="S324" s="6798"/>
      <c r="U324" s="1021"/>
      <c r="V324" s="6787"/>
      <c r="W324" s="6787"/>
      <c r="X324" s="6787"/>
      <c r="Y324" s="6788"/>
      <c r="Z324" s="6789"/>
      <c r="AA324" s="6790"/>
      <c r="AB324" s="6786"/>
      <c r="AC324" s="6791"/>
      <c r="AD324" s="6792"/>
      <c r="AE324" s="6791"/>
      <c r="AF324" s="6785"/>
      <c r="AG324" s="6793"/>
      <c r="AH324" s="6794"/>
      <c r="AI324" s="6795"/>
      <c r="AJ324" s="6796"/>
      <c r="AK324" s="6797"/>
      <c r="AL324" s="6798"/>
      <c r="AN324" s="1021"/>
      <c r="AO324" s="6787"/>
      <c r="AP324" s="6787"/>
      <c r="AQ324" s="6787"/>
      <c r="AR324" s="6788"/>
      <c r="AS324" s="6789"/>
      <c r="AT324" s="6790"/>
      <c r="AU324" s="6786"/>
      <c r="AV324" s="6791"/>
      <c r="AW324" s="6792"/>
      <c r="AX324" s="6791"/>
      <c r="AY324" s="6785"/>
      <c r="AZ324" s="6793"/>
      <c r="BA324" s="6794"/>
      <c r="BB324" s="6795"/>
      <c r="BC324" s="6796"/>
      <c r="BD324" s="6797"/>
      <c r="BE324" s="6798"/>
      <c r="BH324" s="5">
        <v>1</v>
      </c>
    </row>
    <row r="325" spans="2:60" ht="18.75">
      <c r="B325" s="1021"/>
      <c r="C325" s="6787"/>
      <c r="D325" s="6787"/>
      <c r="E325" s="6787"/>
      <c r="F325" s="6788"/>
      <c r="G325" s="6789"/>
      <c r="H325" s="6790"/>
      <c r="I325" s="6786"/>
      <c r="J325" s="6791"/>
      <c r="K325" s="6792"/>
      <c r="L325" s="6791"/>
      <c r="M325" s="6785"/>
      <c r="N325" s="6793"/>
      <c r="O325" s="6794"/>
      <c r="P325" s="6795"/>
      <c r="Q325" s="6796"/>
      <c r="R325" s="6797"/>
      <c r="S325" s="6798"/>
      <c r="U325" s="1021"/>
      <c r="V325" s="6787"/>
      <c r="W325" s="6787"/>
      <c r="X325" s="6787"/>
      <c r="Y325" s="6788"/>
      <c r="Z325" s="6789"/>
      <c r="AA325" s="6790"/>
      <c r="AB325" s="6786"/>
      <c r="AC325" s="6791"/>
      <c r="AD325" s="6792"/>
      <c r="AE325" s="6791"/>
      <c r="AF325" s="6785"/>
      <c r="AG325" s="6793"/>
      <c r="AH325" s="6794"/>
      <c r="AI325" s="6795"/>
      <c r="AJ325" s="6796"/>
      <c r="AK325" s="6797"/>
      <c r="AL325" s="6798"/>
      <c r="AN325" s="1021"/>
      <c r="AO325" s="6787"/>
      <c r="AP325" s="6787"/>
      <c r="AQ325" s="6787"/>
      <c r="AR325" s="6788"/>
      <c r="AS325" s="6789"/>
      <c r="AT325" s="6790"/>
      <c r="AU325" s="6786"/>
      <c r="AV325" s="6791"/>
      <c r="AW325" s="6792"/>
      <c r="AX325" s="6791"/>
      <c r="AY325" s="6785"/>
      <c r="AZ325" s="6793"/>
      <c r="BA325" s="6794"/>
      <c r="BB325" s="6795"/>
      <c r="BC325" s="6796"/>
      <c r="BD325" s="6797"/>
      <c r="BE325" s="6798"/>
      <c r="BH325" s="5">
        <v>1</v>
      </c>
    </row>
    <row r="326" spans="2:60" ht="18.75">
      <c r="B326" s="1021"/>
      <c r="C326" s="6787"/>
      <c r="D326" s="6787"/>
      <c r="E326" s="6787"/>
      <c r="F326" s="6788"/>
      <c r="G326" s="6789"/>
      <c r="H326" s="6790"/>
      <c r="I326" s="6786"/>
      <c r="J326" s="6791"/>
      <c r="K326" s="6792"/>
      <c r="L326" s="6791"/>
      <c r="M326" s="6785"/>
      <c r="N326" s="6793"/>
      <c r="O326" s="6794"/>
      <c r="P326" s="6795"/>
      <c r="Q326" s="6796"/>
      <c r="R326" s="6797"/>
      <c r="S326" s="6798"/>
      <c r="U326" s="1021"/>
      <c r="V326" s="6787"/>
      <c r="W326" s="6787"/>
      <c r="X326" s="6787"/>
      <c r="Y326" s="6788"/>
      <c r="Z326" s="6789"/>
      <c r="AA326" s="6790"/>
      <c r="AB326" s="6786"/>
      <c r="AC326" s="6791"/>
      <c r="AD326" s="6792"/>
      <c r="AE326" s="6791"/>
      <c r="AF326" s="6785"/>
      <c r="AG326" s="6793"/>
      <c r="AH326" s="6794"/>
      <c r="AI326" s="6795"/>
      <c r="AJ326" s="6796"/>
      <c r="AK326" s="6797"/>
      <c r="AL326" s="6798"/>
      <c r="AN326" s="1021"/>
      <c r="AO326" s="6787"/>
      <c r="AP326" s="6787"/>
      <c r="AQ326" s="6787"/>
      <c r="AR326" s="6788"/>
      <c r="AS326" s="6789"/>
      <c r="AT326" s="6790"/>
      <c r="AU326" s="6786"/>
      <c r="AV326" s="6791"/>
      <c r="AW326" s="6792"/>
      <c r="AX326" s="6791"/>
      <c r="AY326" s="6785"/>
      <c r="AZ326" s="6793"/>
      <c r="BA326" s="6794"/>
      <c r="BB326" s="6795"/>
      <c r="BC326" s="6796"/>
      <c r="BD326" s="6797"/>
      <c r="BE326" s="6798"/>
      <c r="BH326" s="5">
        <v>1</v>
      </c>
    </row>
    <row r="327" spans="2:60" ht="18.75">
      <c r="B327" s="1021"/>
      <c r="C327" s="6787"/>
      <c r="D327" s="6787"/>
      <c r="E327" s="6787"/>
      <c r="F327" s="6788"/>
      <c r="G327" s="6789"/>
      <c r="H327" s="6790"/>
      <c r="I327" s="6786"/>
      <c r="J327" s="6791"/>
      <c r="K327" s="6792"/>
      <c r="L327" s="6791"/>
      <c r="M327" s="6785"/>
      <c r="N327" s="6793"/>
      <c r="O327" s="6794"/>
      <c r="P327" s="6795"/>
      <c r="Q327" s="6796"/>
      <c r="R327" s="6797"/>
      <c r="S327" s="6798"/>
      <c r="U327" s="1021"/>
      <c r="V327" s="6787"/>
      <c r="W327" s="6787"/>
      <c r="X327" s="6787"/>
      <c r="Y327" s="6788"/>
      <c r="Z327" s="6789"/>
      <c r="AA327" s="6790"/>
      <c r="AB327" s="6786"/>
      <c r="AC327" s="6791"/>
      <c r="AD327" s="6792"/>
      <c r="AE327" s="6791"/>
      <c r="AF327" s="6785"/>
      <c r="AG327" s="6793"/>
      <c r="AH327" s="6794"/>
      <c r="AI327" s="6795"/>
      <c r="AJ327" s="6796"/>
      <c r="AK327" s="6797"/>
      <c r="AL327" s="6798"/>
      <c r="AN327" s="1021"/>
      <c r="AO327" s="6787"/>
      <c r="AP327" s="6787"/>
      <c r="AQ327" s="6787"/>
      <c r="AR327" s="6788"/>
      <c r="AS327" s="6789"/>
      <c r="AT327" s="6790"/>
      <c r="AU327" s="6786"/>
      <c r="AV327" s="6791"/>
      <c r="AW327" s="6792"/>
      <c r="AX327" s="6791"/>
      <c r="AY327" s="6785"/>
      <c r="AZ327" s="6793"/>
      <c r="BA327" s="6794"/>
      <c r="BB327" s="6795"/>
      <c r="BC327" s="6796"/>
      <c r="BD327" s="6797"/>
      <c r="BE327" s="6798"/>
      <c r="BH327" s="5">
        <v>1</v>
      </c>
    </row>
    <row r="328" spans="2:60" ht="18.75">
      <c r="B328" s="1021"/>
      <c r="C328" s="6787"/>
      <c r="D328" s="6787"/>
      <c r="E328" s="6787"/>
      <c r="F328" s="6788"/>
      <c r="G328" s="6789"/>
      <c r="H328" s="6790"/>
      <c r="I328" s="6786"/>
      <c r="J328" s="6791"/>
      <c r="K328" s="6792"/>
      <c r="L328" s="6791"/>
      <c r="M328" s="6785"/>
      <c r="N328" s="6793"/>
      <c r="O328" s="6794"/>
      <c r="P328" s="6795"/>
      <c r="Q328" s="6796"/>
      <c r="R328" s="6797"/>
      <c r="S328" s="6798"/>
      <c r="U328" s="1021"/>
      <c r="V328" s="6787"/>
      <c r="W328" s="6787"/>
      <c r="X328" s="6787"/>
      <c r="Y328" s="6788"/>
      <c r="Z328" s="6789"/>
      <c r="AA328" s="6790"/>
      <c r="AB328" s="6786"/>
      <c r="AC328" s="6791"/>
      <c r="AD328" s="6792"/>
      <c r="AE328" s="6791"/>
      <c r="AF328" s="6785"/>
      <c r="AG328" s="6793"/>
      <c r="AH328" s="6794"/>
      <c r="AI328" s="6795"/>
      <c r="AJ328" s="6796"/>
      <c r="AK328" s="6797"/>
      <c r="AL328" s="6798"/>
      <c r="AN328" s="1021"/>
      <c r="AO328" s="6787"/>
      <c r="AP328" s="6787"/>
      <c r="AQ328" s="6787"/>
      <c r="AR328" s="6788"/>
      <c r="AS328" s="6789"/>
      <c r="AT328" s="6790"/>
      <c r="AU328" s="6786"/>
      <c r="AV328" s="6791"/>
      <c r="AW328" s="6792"/>
      <c r="AX328" s="6791"/>
      <c r="AY328" s="6785"/>
      <c r="AZ328" s="6793"/>
      <c r="BA328" s="6794"/>
      <c r="BB328" s="6795"/>
      <c r="BC328" s="6796"/>
      <c r="BD328" s="6797"/>
      <c r="BE328" s="6798"/>
      <c r="BH328" s="5">
        <v>1</v>
      </c>
    </row>
    <row r="329" spans="2:60" ht="18.75">
      <c r="B329" s="1021"/>
      <c r="C329" s="6787"/>
      <c r="D329" s="6787"/>
      <c r="E329" s="6787"/>
      <c r="F329" s="6788"/>
      <c r="G329" s="6789"/>
      <c r="H329" s="6790"/>
      <c r="I329" s="6786"/>
      <c r="J329" s="6791"/>
      <c r="K329" s="6792"/>
      <c r="L329" s="6791"/>
      <c r="M329" s="6785"/>
      <c r="N329" s="6793"/>
      <c r="O329" s="6794"/>
      <c r="P329" s="6795"/>
      <c r="Q329" s="6796"/>
      <c r="R329" s="6797"/>
      <c r="S329" s="6798"/>
      <c r="U329" s="1021"/>
      <c r="V329" s="6787"/>
      <c r="W329" s="6787"/>
      <c r="X329" s="6787"/>
      <c r="Y329" s="6788"/>
      <c r="Z329" s="6789"/>
      <c r="AA329" s="6790"/>
      <c r="AB329" s="6786"/>
      <c r="AC329" s="6791"/>
      <c r="AD329" s="6792"/>
      <c r="AE329" s="6791"/>
      <c r="AF329" s="6785"/>
      <c r="AG329" s="6793"/>
      <c r="AH329" s="6794"/>
      <c r="AI329" s="6795"/>
      <c r="AJ329" s="6796"/>
      <c r="AK329" s="6797"/>
      <c r="AL329" s="6798"/>
      <c r="AN329" s="1021"/>
      <c r="AO329" s="6787"/>
      <c r="AP329" s="6787"/>
      <c r="AQ329" s="6787"/>
      <c r="AR329" s="6788"/>
      <c r="AS329" s="6789"/>
      <c r="AT329" s="6790"/>
      <c r="AU329" s="6786"/>
      <c r="AV329" s="6791"/>
      <c r="AW329" s="6792"/>
      <c r="AX329" s="6791"/>
      <c r="AY329" s="6785"/>
      <c r="AZ329" s="6793"/>
      <c r="BA329" s="6794"/>
      <c r="BB329" s="6795"/>
      <c r="BC329" s="6796"/>
      <c r="BD329" s="6797"/>
      <c r="BE329" s="6798"/>
      <c r="BH329" s="5">
        <v>1</v>
      </c>
    </row>
    <row r="330" spans="2:60" ht="18.75">
      <c r="B330" s="1021"/>
      <c r="C330" s="6787"/>
      <c r="D330" s="6787"/>
      <c r="E330" s="6787"/>
      <c r="F330" s="6788"/>
      <c r="G330" s="6789"/>
      <c r="H330" s="6790"/>
      <c r="I330" s="6786"/>
      <c r="J330" s="6791"/>
      <c r="K330" s="6792"/>
      <c r="L330" s="6791"/>
      <c r="M330" s="6785"/>
      <c r="N330" s="6793"/>
      <c r="O330" s="6794"/>
      <c r="P330" s="6795"/>
      <c r="Q330" s="6796"/>
      <c r="R330" s="6797"/>
      <c r="S330" s="6798"/>
      <c r="U330" s="1021"/>
      <c r="V330" s="6787"/>
      <c r="W330" s="6787"/>
      <c r="X330" s="6787"/>
      <c r="Y330" s="6788"/>
      <c r="Z330" s="6789"/>
      <c r="AA330" s="6790"/>
      <c r="AB330" s="6786"/>
      <c r="AC330" s="6791"/>
      <c r="AD330" s="6792"/>
      <c r="AE330" s="6791"/>
      <c r="AF330" s="6785"/>
      <c r="AG330" s="6793"/>
      <c r="AH330" s="6794"/>
      <c r="AI330" s="6795"/>
      <c r="AJ330" s="6796"/>
      <c r="AK330" s="6797"/>
      <c r="AL330" s="6798"/>
      <c r="AN330" s="1021"/>
      <c r="AO330" s="6787"/>
      <c r="AP330" s="6787"/>
      <c r="AQ330" s="6787"/>
      <c r="AR330" s="6788"/>
      <c r="AS330" s="6789"/>
      <c r="AT330" s="6790"/>
      <c r="AU330" s="6786"/>
      <c r="AV330" s="6791"/>
      <c r="AW330" s="6792"/>
      <c r="AX330" s="6791"/>
      <c r="AY330" s="6785"/>
      <c r="AZ330" s="6793"/>
      <c r="BA330" s="6794"/>
      <c r="BB330" s="6795"/>
      <c r="BC330" s="6796"/>
      <c r="BD330" s="6797"/>
      <c r="BE330" s="6798"/>
      <c r="BH330" s="5">
        <v>1</v>
      </c>
    </row>
    <row r="331" spans="2:60" ht="18.75">
      <c r="B331" s="1021"/>
      <c r="C331" s="6787"/>
      <c r="D331" s="6787"/>
      <c r="E331" s="6787"/>
      <c r="F331" s="6788"/>
      <c r="G331" s="6789"/>
      <c r="H331" s="6790"/>
      <c r="I331" s="6786"/>
      <c r="J331" s="6791"/>
      <c r="K331" s="6792"/>
      <c r="L331" s="6791"/>
      <c r="M331" s="6785"/>
      <c r="N331" s="6793"/>
      <c r="O331" s="6794"/>
      <c r="P331" s="6795"/>
      <c r="Q331" s="6796"/>
      <c r="R331" s="6797"/>
      <c r="S331" s="6798"/>
      <c r="U331" s="1021"/>
      <c r="V331" s="6787"/>
      <c r="W331" s="6787"/>
      <c r="X331" s="6787"/>
      <c r="Y331" s="6788"/>
      <c r="Z331" s="6789"/>
      <c r="AA331" s="6790"/>
      <c r="AB331" s="6786"/>
      <c r="AC331" s="6791"/>
      <c r="AD331" s="6792"/>
      <c r="AE331" s="6791"/>
      <c r="AF331" s="6785"/>
      <c r="AG331" s="6793"/>
      <c r="AH331" s="6794"/>
      <c r="AI331" s="6795"/>
      <c r="AJ331" s="6796"/>
      <c r="AK331" s="6797"/>
      <c r="AL331" s="6798"/>
      <c r="AN331" s="1021"/>
      <c r="AO331" s="6787"/>
      <c r="AP331" s="6787"/>
      <c r="AQ331" s="6787"/>
      <c r="AR331" s="6788"/>
      <c r="AS331" s="6789"/>
      <c r="AT331" s="6790"/>
      <c r="AU331" s="6786"/>
      <c r="AV331" s="6791"/>
      <c r="AW331" s="6792"/>
      <c r="AX331" s="6791"/>
      <c r="AY331" s="6785"/>
      <c r="AZ331" s="6793"/>
      <c r="BA331" s="6794"/>
      <c r="BB331" s="6795"/>
      <c r="BC331" s="6796"/>
      <c r="BD331" s="6797"/>
      <c r="BE331" s="6798"/>
      <c r="BH331" s="5">
        <v>1</v>
      </c>
    </row>
    <row r="332" spans="2:60" ht="18.75">
      <c r="B332" s="1021"/>
      <c r="C332" s="6787"/>
      <c r="D332" s="6787"/>
      <c r="E332" s="6787"/>
      <c r="F332" s="6788"/>
      <c r="G332" s="6789"/>
      <c r="H332" s="6790"/>
      <c r="I332" s="6786"/>
      <c r="J332" s="6791"/>
      <c r="K332" s="6792"/>
      <c r="L332" s="6791"/>
      <c r="M332" s="6785"/>
      <c r="N332" s="6793"/>
      <c r="O332" s="6794"/>
      <c r="P332" s="6795"/>
      <c r="Q332" s="6796"/>
      <c r="R332" s="6797"/>
      <c r="S332" s="6798"/>
      <c r="U332" s="1021"/>
      <c r="V332" s="6787"/>
      <c r="W332" s="6787"/>
      <c r="X332" s="6787"/>
      <c r="Y332" s="6788"/>
      <c r="Z332" s="6789"/>
      <c r="AA332" s="6790"/>
      <c r="AB332" s="6786"/>
      <c r="AC332" s="6791"/>
      <c r="AD332" s="6792"/>
      <c r="AE332" s="6791"/>
      <c r="AF332" s="6785"/>
      <c r="AG332" s="6793"/>
      <c r="AH332" s="6794"/>
      <c r="AI332" s="6795"/>
      <c r="AJ332" s="6796"/>
      <c r="AK332" s="6797"/>
      <c r="AL332" s="6798"/>
      <c r="AN332" s="1021"/>
      <c r="AO332" s="6787"/>
      <c r="AP332" s="6787"/>
      <c r="AQ332" s="6787"/>
      <c r="AR332" s="6788"/>
      <c r="AS332" s="6789"/>
      <c r="AT332" s="6790"/>
      <c r="AU332" s="6786"/>
      <c r="AV332" s="6791"/>
      <c r="AW332" s="6792"/>
      <c r="AX332" s="6791"/>
      <c r="AY332" s="6785"/>
      <c r="AZ332" s="6793"/>
      <c r="BA332" s="6794"/>
      <c r="BB332" s="6795"/>
      <c r="BC332" s="6796"/>
      <c r="BD332" s="6797"/>
      <c r="BE332" s="6798"/>
      <c r="BH332" s="5">
        <v>1</v>
      </c>
    </row>
    <row r="333" spans="2:60" ht="18.75">
      <c r="B333" s="1021"/>
      <c r="C333" s="6787"/>
      <c r="D333" s="6787"/>
      <c r="E333" s="6787"/>
      <c r="F333" s="6788"/>
      <c r="G333" s="6789"/>
      <c r="H333" s="6790"/>
      <c r="I333" s="6786"/>
      <c r="J333" s="6791"/>
      <c r="K333" s="6792"/>
      <c r="L333" s="6791"/>
      <c r="M333" s="6785"/>
      <c r="N333" s="6793"/>
      <c r="O333" s="6794"/>
      <c r="P333" s="6795"/>
      <c r="Q333" s="6796"/>
      <c r="R333" s="6797"/>
      <c r="S333" s="6798"/>
      <c r="U333" s="1021"/>
      <c r="V333" s="6787"/>
      <c r="W333" s="6787"/>
      <c r="X333" s="6787"/>
      <c r="Y333" s="6788"/>
      <c r="Z333" s="6789"/>
      <c r="AA333" s="6790"/>
      <c r="AB333" s="6786"/>
      <c r="AC333" s="6791"/>
      <c r="AD333" s="6792"/>
      <c r="AE333" s="6791"/>
      <c r="AF333" s="6785"/>
      <c r="AG333" s="6793"/>
      <c r="AH333" s="6794"/>
      <c r="AI333" s="6795"/>
      <c r="AJ333" s="6796"/>
      <c r="AK333" s="6797"/>
      <c r="AL333" s="6798"/>
      <c r="AN333" s="1021"/>
      <c r="AO333" s="6787"/>
      <c r="AP333" s="6787"/>
      <c r="AQ333" s="6787"/>
      <c r="AR333" s="6788"/>
      <c r="AS333" s="6789"/>
      <c r="AT333" s="6790"/>
      <c r="AU333" s="6786"/>
      <c r="AV333" s="6791"/>
      <c r="AW333" s="6792"/>
      <c r="AX333" s="6791"/>
      <c r="AY333" s="6785"/>
      <c r="AZ333" s="6793"/>
      <c r="BA333" s="6794"/>
      <c r="BB333" s="6795"/>
      <c r="BC333" s="6796"/>
      <c r="BD333" s="6797"/>
      <c r="BE333" s="6798"/>
      <c r="BH333" s="5">
        <v>1</v>
      </c>
    </row>
    <row r="334" spans="2:60" ht="18.75">
      <c r="B334" s="1021"/>
      <c r="C334" s="6787"/>
      <c r="D334" s="6787"/>
      <c r="E334" s="6787"/>
      <c r="F334" s="6788"/>
      <c r="G334" s="6789"/>
      <c r="H334" s="6790"/>
      <c r="I334" s="6786"/>
      <c r="J334" s="6791"/>
      <c r="K334" s="6792"/>
      <c r="L334" s="6791"/>
      <c r="M334" s="6785"/>
      <c r="N334" s="6793"/>
      <c r="O334" s="6794"/>
      <c r="P334" s="6795"/>
      <c r="Q334" s="6796"/>
      <c r="R334" s="6797"/>
      <c r="S334" s="6798"/>
      <c r="U334" s="1021"/>
      <c r="V334" s="6787"/>
      <c r="W334" s="6787"/>
      <c r="X334" s="6787"/>
      <c r="Y334" s="6788"/>
      <c r="Z334" s="6789"/>
      <c r="AA334" s="6790"/>
      <c r="AB334" s="6786"/>
      <c r="AC334" s="6791"/>
      <c r="AD334" s="6792"/>
      <c r="AE334" s="6791"/>
      <c r="AF334" s="6785"/>
      <c r="AG334" s="6793"/>
      <c r="AH334" s="6794"/>
      <c r="AI334" s="6795"/>
      <c r="AJ334" s="6796"/>
      <c r="AK334" s="6797"/>
      <c r="AL334" s="6798"/>
      <c r="AN334" s="1021"/>
      <c r="AO334" s="6787"/>
      <c r="AP334" s="6787"/>
      <c r="AQ334" s="6787"/>
      <c r="AR334" s="6788"/>
      <c r="AS334" s="6789"/>
      <c r="AT334" s="6790"/>
      <c r="AU334" s="6786"/>
      <c r="AV334" s="6791"/>
      <c r="AW334" s="6792"/>
      <c r="AX334" s="6791"/>
      <c r="AY334" s="6785"/>
      <c r="AZ334" s="6793"/>
      <c r="BA334" s="6794"/>
      <c r="BB334" s="6795"/>
      <c r="BC334" s="6796"/>
      <c r="BD334" s="6797"/>
      <c r="BE334" s="6798"/>
      <c r="BH334" s="5">
        <v>1</v>
      </c>
    </row>
    <row r="335" spans="2:60" ht="18.75">
      <c r="B335" s="1021"/>
      <c r="C335" s="6787"/>
      <c r="D335" s="6787"/>
      <c r="E335" s="6787"/>
      <c r="F335" s="6788"/>
      <c r="G335" s="6789"/>
      <c r="H335" s="6790"/>
      <c r="I335" s="6786"/>
      <c r="J335" s="6791"/>
      <c r="K335" s="6792"/>
      <c r="L335" s="6791"/>
      <c r="M335" s="6785"/>
      <c r="N335" s="6793"/>
      <c r="O335" s="6794"/>
      <c r="P335" s="6795"/>
      <c r="Q335" s="6796"/>
      <c r="R335" s="6797"/>
      <c r="S335" s="6798"/>
      <c r="U335" s="1021"/>
      <c r="V335" s="6787"/>
      <c r="W335" s="6787"/>
      <c r="X335" s="6787"/>
      <c r="Y335" s="6788"/>
      <c r="Z335" s="6789"/>
      <c r="AA335" s="6790"/>
      <c r="AB335" s="6786"/>
      <c r="AC335" s="6791"/>
      <c r="AD335" s="6792"/>
      <c r="AE335" s="6791"/>
      <c r="AF335" s="6785"/>
      <c r="AG335" s="6793"/>
      <c r="AH335" s="6794"/>
      <c r="AI335" s="6795"/>
      <c r="AJ335" s="6796"/>
      <c r="AK335" s="6797"/>
      <c r="AL335" s="6798"/>
      <c r="AN335" s="1021"/>
      <c r="AO335" s="6787"/>
      <c r="AP335" s="6787"/>
      <c r="AQ335" s="6787"/>
      <c r="AR335" s="6788"/>
      <c r="AS335" s="6789"/>
      <c r="AT335" s="6790"/>
      <c r="AU335" s="6786"/>
      <c r="AV335" s="6791"/>
      <c r="AW335" s="6792"/>
      <c r="AX335" s="6791"/>
      <c r="AY335" s="6785"/>
      <c r="AZ335" s="6793"/>
      <c r="BA335" s="6794"/>
      <c r="BB335" s="6795"/>
      <c r="BC335" s="6796"/>
      <c r="BD335" s="6797"/>
      <c r="BE335" s="6798"/>
      <c r="BH335" s="5">
        <v>1</v>
      </c>
    </row>
    <row r="336" spans="2:60" ht="18.75">
      <c r="B336" s="1021"/>
      <c r="C336" s="6787"/>
      <c r="D336" s="6787"/>
      <c r="E336" s="6787"/>
      <c r="F336" s="6788"/>
      <c r="G336" s="6789"/>
      <c r="H336" s="6790"/>
      <c r="I336" s="6786"/>
      <c r="J336" s="6791"/>
      <c r="K336" s="6792"/>
      <c r="L336" s="6791"/>
      <c r="M336" s="6785"/>
      <c r="N336" s="6793"/>
      <c r="O336" s="6794"/>
      <c r="P336" s="6795"/>
      <c r="Q336" s="6796"/>
      <c r="R336" s="6797"/>
      <c r="S336" s="6798"/>
      <c r="U336" s="1021"/>
      <c r="V336" s="6787"/>
      <c r="W336" s="6787"/>
      <c r="X336" s="6787"/>
      <c r="Y336" s="6788"/>
      <c r="Z336" s="6789"/>
      <c r="AA336" s="6790"/>
      <c r="AB336" s="6786"/>
      <c r="AC336" s="6791"/>
      <c r="AD336" s="6792"/>
      <c r="AE336" s="6791"/>
      <c r="AF336" s="6785"/>
      <c r="AG336" s="6793"/>
      <c r="AH336" s="6794"/>
      <c r="AI336" s="6795"/>
      <c r="AJ336" s="6796"/>
      <c r="AK336" s="6797"/>
      <c r="AL336" s="6798"/>
      <c r="AN336" s="1021"/>
      <c r="AO336" s="6787"/>
      <c r="AP336" s="6787"/>
      <c r="AQ336" s="6787"/>
      <c r="AR336" s="6788"/>
      <c r="AS336" s="6789"/>
      <c r="AT336" s="6790"/>
      <c r="AU336" s="6786"/>
      <c r="AV336" s="6791"/>
      <c r="AW336" s="6792"/>
      <c r="AX336" s="6791"/>
      <c r="AY336" s="6785"/>
      <c r="AZ336" s="6793"/>
      <c r="BA336" s="6794"/>
      <c r="BB336" s="6795"/>
      <c r="BC336" s="6796"/>
      <c r="BD336" s="6797"/>
      <c r="BE336" s="6798"/>
      <c r="BH336" s="5">
        <v>1</v>
      </c>
    </row>
    <row r="337" spans="1:62" ht="18.75">
      <c r="B337" s="1021"/>
      <c r="C337" s="6787"/>
      <c r="D337" s="6787"/>
      <c r="E337" s="6787"/>
      <c r="F337" s="6788"/>
      <c r="G337" s="6789"/>
      <c r="H337" s="6790"/>
      <c r="I337" s="6786"/>
      <c r="J337" s="6791"/>
      <c r="K337" s="6792"/>
      <c r="L337" s="6791"/>
      <c r="M337" s="6785"/>
      <c r="N337" s="6793"/>
      <c r="O337" s="6794"/>
      <c r="P337" s="6795"/>
      <c r="Q337" s="6796"/>
      <c r="R337" s="6797"/>
      <c r="S337" s="6798"/>
      <c r="U337" s="1021"/>
      <c r="V337" s="6787"/>
      <c r="W337" s="6787"/>
      <c r="X337" s="6787"/>
      <c r="Y337" s="6788"/>
      <c r="Z337" s="6789"/>
      <c r="AA337" s="6790"/>
      <c r="AB337" s="6786"/>
      <c r="AC337" s="6791"/>
      <c r="AD337" s="6792"/>
      <c r="AE337" s="6791"/>
      <c r="AF337" s="6785"/>
      <c r="AG337" s="6793"/>
      <c r="AH337" s="6794"/>
      <c r="AI337" s="6795"/>
      <c r="AJ337" s="6796"/>
      <c r="AK337" s="6797"/>
      <c r="AL337" s="6798"/>
      <c r="AN337" s="1021"/>
      <c r="AO337" s="6787"/>
      <c r="AP337" s="6787"/>
      <c r="AQ337" s="6787"/>
      <c r="AR337" s="6788"/>
      <c r="AS337" s="6789"/>
      <c r="AT337" s="6790"/>
      <c r="AU337" s="6786"/>
      <c r="AV337" s="6791"/>
      <c r="AW337" s="6792"/>
      <c r="AX337" s="6791"/>
      <c r="AY337" s="6785"/>
      <c r="AZ337" s="6793"/>
      <c r="BA337" s="6794"/>
      <c r="BB337" s="6795"/>
      <c r="BC337" s="6796"/>
      <c r="BD337" s="6797"/>
      <c r="BE337" s="6798"/>
      <c r="BH337" s="5">
        <v>1</v>
      </c>
    </row>
    <row r="338" spans="1:62" ht="18.75">
      <c r="B338" s="1021"/>
      <c r="C338" s="6787"/>
      <c r="D338" s="6787"/>
      <c r="E338" s="6787"/>
      <c r="F338" s="6788"/>
      <c r="G338" s="6789"/>
      <c r="H338" s="6790"/>
      <c r="I338" s="6786"/>
      <c r="J338" s="6791"/>
      <c r="K338" s="6792"/>
      <c r="L338" s="6791"/>
      <c r="M338" s="6785"/>
      <c r="N338" s="6793"/>
      <c r="O338" s="6794"/>
      <c r="P338" s="6795"/>
      <c r="Q338" s="6796"/>
      <c r="R338" s="6797"/>
      <c r="S338" s="6798"/>
      <c r="U338" s="1021"/>
      <c r="V338" s="6787"/>
      <c r="W338" s="6787"/>
      <c r="X338" s="6787"/>
      <c r="Y338" s="6788"/>
      <c r="Z338" s="6789"/>
      <c r="AA338" s="6790"/>
      <c r="AB338" s="6786"/>
      <c r="AC338" s="6791"/>
      <c r="AD338" s="6792"/>
      <c r="AE338" s="6791"/>
      <c r="AF338" s="6785"/>
      <c r="AG338" s="6793"/>
      <c r="AH338" s="6794"/>
      <c r="AI338" s="6795"/>
      <c r="AJ338" s="6796"/>
      <c r="AK338" s="6797"/>
      <c r="AL338" s="6798"/>
      <c r="AN338" s="1021"/>
      <c r="AO338" s="6787"/>
      <c r="AP338" s="6787"/>
      <c r="AQ338" s="6787"/>
      <c r="AR338" s="6788"/>
      <c r="AS338" s="6789"/>
      <c r="AT338" s="6790"/>
      <c r="AU338" s="6786"/>
      <c r="AV338" s="6791"/>
      <c r="AW338" s="6792"/>
      <c r="AX338" s="6791"/>
      <c r="AY338" s="6785"/>
      <c r="AZ338" s="6793"/>
      <c r="BA338" s="6794"/>
      <c r="BB338" s="6795"/>
      <c r="BC338" s="6796"/>
      <c r="BD338" s="6797"/>
      <c r="BE338" s="6798"/>
      <c r="BH338" s="5">
        <v>1</v>
      </c>
    </row>
    <row r="339" spans="1:62" ht="18.75">
      <c r="B339" s="1021"/>
      <c r="C339" s="6787"/>
      <c r="D339" s="6787"/>
      <c r="E339" s="6787"/>
      <c r="F339" s="6788"/>
      <c r="G339" s="6789"/>
      <c r="H339" s="6790"/>
      <c r="I339" s="6786"/>
      <c r="J339" s="6791"/>
      <c r="K339" s="6792"/>
      <c r="L339" s="6791"/>
      <c r="M339" s="6785"/>
      <c r="N339" s="6793"/>
      <c r="O339" s="6794"/>
      <c r="P339" s="6795"/>
      <c r="Q339" s="6796"/>
      <c r="R339" s="6797"/>
      <c r="S339" s="6798"/>
      <c r="U339" s="1021"/>
      <c r="V339" s="6787"/>
      <c r="W339" s="6787"/>
      <c r="X339" s="6787"/>
      <c r="Y339" s="6788"/>
      <c r="Z339" s="6789"/>
      <c r="AA339" s="6790"/>
      <c r="AB339" s="6786"/>
      <c r="AC339" s="6791"/>
      <c r="AD339" s="6792"/>
      <c r="AE339" s="6791"/>
      <c r="AF339" s="6785"/>
      <c r="AG339" s="6793"/>
      <c r="AH339" s="6794"/>
      <c r="AI339" s="6795"/>
      <c r="AJ339" s="6796"/>
      <c r="AK339" s="6797"/>
      <c r="AL339" s="6798"/>
      <c r="AN339" s="1021"/>
      <c r="AO339" s="6787"/>
      <c r="AP339" s="6787"/>
      <c r="AQ339" s="6787"/>
      <c r="AR339" s="6788"/>
      <c r="AS339" s="6789"/>
      <c r="AT339" s="6790"/>
      <c r="AU339" s="6786"/>
      <c r="AV339" s="6791"/>
      <c r="AW339" s="6792"/>
      <c r="AX339" s="6791"/>
      <c r="AY339" s="6785"/>
      <c r="AZ339" s="6793"/>
      <c r="BA339" s="6794"/>
      <c r="BB339" s="6795"/>
      <c r="BC339" s="6796"/>
      <c r="BD339" s="6797"/>
      <c r="BE339" s="6798"/>
      <c r="BH339" s="5">
        <v>1</v>
      </c>
    </row>
    <row r="340" spans="1:62" ht="18.75">
      <c r="B340" s="1021"/>
      <c r="C340" s="6787"/>
      <c r="D340" s="6787"/>
      <c r="E340" s="6787"/>
      <c r="F340" s="6788"/>
      <c r="G340" s="6789"/>
      <c r="H340" s="6790"/>
      <c r="I340" s="6786"/>
      <c r="J340" s="6791"/>
      <c r="K340" s="6792"/>
      <c r="L340" s="6791"/>
      <c r="M340" s="6785"/>
      <c r="N340" s="6793"/>
      <c r="O340" s="6794"/>
      <c r="P340" s="6795"/>
      <c r="Q340" s="6796"/>
      <c r="R340" s="6797"/>
      <c r="S340" s="6798"/>
      <c r="U340" s="1021"/>
      <c r="V340" s="6787"/>
      <c r="W340" s="6787"/>
      <c r="X340" s="6787"/>
      <c r="Y340" s="6788"/>
      <c r="Z340" s="6789"/>
      <c r="AA340" s="6790"/>
      <c r="AB340" s="6786"/>
      <c r="AC340" s="6791"/>
      <c r="AD340" s="6792"/>
      <c r="AE340" s="6791"/>
      <c r="AF340" s="6785"/>
      <c r="AG340" s="6793"/>
      <c r="AH340" s="6794"/>
      <c r="AI340" s="6795"/>
      <c r="AJ340" s="6796"/>
      <c r="AK340" s="6797"/>
      <c r="AL340" s="6798"/>
      <c r="AN340" s="1021"/>
      <c r="AO340" s="6787"/>
      <c r="AP340" s="6787"/>
      <c r="AQ340" s="6787"/>
      <c r="AR340" s="6788"/>
      <c r="AS340" s="6789"/>
      <c r="AT340" s="6790"/>
      <c r="AU340" s="6786"/>
      <c r="AV340" s="6791"/>
      <c r="AW340" s="6792"/>
      <c r="AX340" s="6791"/>
      <c r="AY340" s="6785"/>
      <c r="AZ340" s="6793"/>
      <c r="BA340" s="6794"/>
      <c r="BB340" s="6795"/>
      <c r="BC340" s="6796"/>
      <c r="BD340" s="6797"/>
      <c r="BE340" s="6798"/>
      <c r="BH340" s="5">
        <v>1</v>
      </c>
    </row>
    <row r="341" spans="1:62" ht="18.75">
      <c r="B341" s="1021"/>
      <c r="C341" s="6787"/>
      <c r="D341" s="6787"/>
      <c r="E341" s="6787"/>
      <c r="F341" s="6788"/>
      <c r="G341" s="6789"/>
      <c r="H341" s="6790"/>
      <c r="I341" s="6786"/>
      <c r="J341" s="6791"/>
      <c r="K341" s="6792"/>
      <c r="L341" s="6791"/>
      <c r="M341" s="6785"/>
      <c r="N341" s="6793"/>
      <c r="O341" s="6794"/>
      <c r="P341" s="6795"/>
      <c r="Q341" s="6796"/>
      <c r="R341" s="6797"/>
      <c r="S341" s="6798"/>
      <c r="U341" s="1021"/>
      <c r="V341" s="6787"/>
      <c r="W341" s="6787"/>
      <c r="X341" s="6787"/>
      <c r="Y341" s="6788"/>
      <c r="Z341" s="6789"/>
      <c r="AA341" s="6790"/>
      <c r="AB341" s="6786"/>
      <c r="AC341" s="6791"/>
      <c r="AD341" s="6792"/>
      <c r="AE341" s="6791"/>
      <c r="AF341" s="6785"/>
      <c r="AG341" s="6793"/>
      <c r="AH341" s="6794"/>
      <c r="AI341" s="6795"/>
      <c r="AJ341" s="6796"/>
      <c r="AK341" s="6797"/>
      <c r="AL341" s="6798"/>
      <c r="AN341" s="1021"/>
      <c r="AO341" s="6787"/>
      <c r="AP341" s="6787"/>
      <c r="AQ341" s="6787"/>
      <c r="AR341" s="6788"/>
      <c r="AS341" s="6789"/>
      <c r="AT341" s="6790"/>
      <c r="AU341" s="6786"/>
      <c r="AV341" s="6791"/>
      <c r="AW341" s="6792"/>
      <c r="AX341" s="6791"/>
      <c r="AY341" s="6785"/>
      <c r="AZ341" s="6793"/>
      <c r="BA341" s="6794"/>
      <c r="BB341" s="6795"/>
      <c r="BC341" s="6796"/>
      <c r="BD341" s="6797"/>
      <c r="BE341" s="6798"/>
      <c r="BH341" s="5">
        <v>1</v>
      </c>
    </row>
    <row r="342" spans="1:62" ht="27" customHeight="1">
      <c r="B342" s="6009" t="s">
        <v>21</v>
      </c>
      <c r="C342" s="6009"/>
      <c r="D342" s="6009"/>
      <c r="E342" s="6009"/>
      <c r="F342" s="6009"/>
      <c r="G342" s="6009"/>
      <c r="H342" s="6009"/>
      <c r="I342" s="6009"/>
      <c r="J342" s="6009"/>
      <c r="K342" s="6009"/>
      <c r="L342" s="6009"/>
      <c r="M342" s="6009"/>
      <c r="N342" s="6009"/>
      <c r="O342" s="6009"/>
      <c r="P342" s="6009"/>
      <c r="Q342" s="6009"/>
      <c r="R342" s="6009"/>
      <c r="S342" s="6009"/>
      <c r="U342" s="6009" t="s">
        <v>21</v>
      </c>
      <c r="V342" s="6009"/>
      <c r="W342" s="6009"/>
      <c r="X342" s="6009"/>
      <c r="Y342" s="6009"/>
      <c r="Z342" s="6009"/>
      <c r="AA342" s="6009"/>
      <c r="AB342" s="6009"/>
      <c r="AC342" s="6009"/>
      <c r="AD342" s="6009"/>
      <c r="AE342" s="6009"/>
      <c r="AF342" s="6009"/>
      <c r="AG342" s="6009"/>
      <c r="AH342" s="6009"/>
      <c r="AI342" s="6009"/>
      <c r="AJ342" s="6009"/>
      <c r="AK342" s="6009"/>
      <c r="AL342" s="6009"/>
      <c r="AN342" s="6009" t="s">
        <v>21</v>
      </c>
      <c r="AO342" s="6009"/>
      <c r="AP342" s="6009"/>
      <c r="AQ342" s="6009"/>
      <c r="AR342" s="6009"/>
      <c r="AS342" s="6009"/>
      <c r="AT342" s="6009"/>
      <c r="AU342" s="6009"/>
      <c r="AV342" s="6009"/>
      <c r="AW342" s="6009"/>
      <c r="AX342" s="6009"/>
      <c r="AY342" s="6009"/>
      <c r="AZ342" s="6009"/>
      <c r="BA342" s="6009"/>
      <c r="BB342" s="6009"/>
      <c r="BC342" s="6009"/>
      <c r="BD342" s="6009"/>
      <c r="BE342" s="6009"/>
      <c r="BH342" s="10" t="s">
        <v>0</v>
      </c>
    </row>
    <row r="343" spans="1:62">
      <c r="A343" s="5">
        <v>1</v>
      </c>
      <c r="B343" s="5">
        <v>1</v>
      </c>
      <c r="C343" s="5">
        <v>1</v>
      </c>
      <c r="D343" s="5">
        <v>1</v>
      </c>
      <c r="E343" s="5">
        <v>1</v>
      </c>
      <c r="F343" s="5">
        <v>1</v>
      </c>
      <c r="G343" s="5">
        <v>1</v>
      </c>
      <c r="H343" s="5">
        <v>1</v>
      </c>
      <c r="I343" s="5">
        <v>1</v>
      </c>
      <c r="J343" s="5">
        <v>1</v>
      </c>
      <c r="K343" s="5">
        <v>1</v>
      </c>
      <c r="L343" s="5">
        <v>1</v>
      </c>
      <c r="M343" s="5">
        <v>1</v>
      </c>
      <c r="N343" s="5">
        <v>1</v>
      </c>
      <c r="O343" s="5">
        <v>1</v>
      </c>
      <c r="P343" s="5">
        <v>1</v>
      </c>
      <c r="Q343" s="5">
        <v>1</v>
      </c>
      <c r="R343" s="5">
        <v>1</v>
      </c>
      <c r="S343" s="5">
        <v>1</v>
      </c>
      <c r="T343" s="5">
        <v>1</v>
      </c>
      <c r="U343" s="5">
        <v>1</v>
      </c>
      <c r="V343" s="5">
        <v>1</v>
      </c>
      <c r="W343" s="5">
        <v>1</v>
      </c>
      <c r="X343" s="5">
        <v>1</v>
      </c>
      <c r="Y343" s="5">
        <v>1</v>
      </c>
      <c r="Z343" s="5">
        <v>1</v>
      </c>
      <c r="AA343" s="5">
        <v>1</v>
      </c>
      <c r="AB343" s="5">
        <v>1</v>
      </c>
      <c r="AC343" s="5">
        <v>1</v>
      </c>
      <c r="AD343" s="5">
        <v>1</v>
      </c>
      <c r="AE343" s="5">
        <v>1</v>
      </c>
      <c r="AF343" s="5">
        <v>1</v>
      </c>
      <c r="AG343" s="5">
        <v>1</v>
      </c>
      <c r="AH343" s="5">
        <v>1</v>
      </c>
      <c r="AI343" s="5">
        <v>1</v>
      </c>
      <c r="AJ343" s="5">
        <v>1</v>
      </c>
      <c r="AK343" s="5">
        <v>1</v>
      </c>
      <c r="AL343" s="5">
        <v>1</v>
      </c>
      <c r="AM343" s="5">
        <v>1</v>
      </c>
      <c r="AN343" s="5">
        <v>1</v>
      </c>
      <c r="AO343" s="5">
        <v>1</v>
      </c>
      <c r="AP343" s="5">
        <v>1</v>
      </c>
      <c r="AQ343" s="5">
        <v>1</v>
      </c>
      <c r="AR343" s="5">
        <v>1</v>
      </c>
      <c r="AS343" s="5">
        <v>1</v>
      </c>
      <c r="AT343" s="5">
        <v>1</v>
      </c>
      <c r="AU343" s="5">
        <v>1</v>
      </c>
      <c r="AV343" s="5">
        <v>1</v>
      </c>
      <c r="AW343" s="5">
        <v>1</v>
      </c>
      <c r="AX343" s="5">
        <v>1</v>
      </c>
      <c r="AY343" s="5">
        <v>1</v>
      </c>
      <c r="AZ343" s="5">
        <v>1</v>
      </c>
      <c r="BA343" s="5">
        <v>1</v>
      </c>
      <c r="BB343" s="5">
        <v>1</v>
      </c>
      <c r="BC343" s="5">
        <v>1</v>
      </c>
      <c r="BD343" s="5">
        <v>1</v>
      </c>
      <c r="BE343" s="5">
        <v>1</v>
      </c>
      <c r="BF343" s="5">
        <v>1</v>
      </c>
      <c r="BG343" s="5">
        <v>1</v>
      </c>
      <c r="BH343" s="9" t="str">
        <f>ADDRESS(ROW(),COLUMN(),4)</f>
        <v>BH343</v>
      </c>
      <c r="BI343" s="8"/>
      <c r="BJ343" s="7" t="str">
        <f>ADDRESS(ROW(),COLUMN(),4)</f>
        <v>BJ343</v>
      </c>
    </row>
  </sheetData>
  <mergeCells count="2">
    <mergeCell ref="BD4:BE7"/>
    <mergeCell ref="B4:BC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B4D61-DBB2-4028-A188-4443789E6F15}">
  <dimension ref="A1:AQ113"/>
  <sheetViews>
    <sheetView showZeros="0" topLeftCell="W1" zoomScaleNormal="100" workbookViewId="0">
      <selection activeCell="AC20" sqref="AC20"/>
    </sheetView>
  </sheetViews>
  <sheetFormatPr baseColWidth="10" defaultRowHeight="15"/>
  <cols>
    <col min="1" max="1" width="6.7109375" customWidth="1"/>
    <col min="2" max="2" width="28.7109375" style="2" customWidth="1"/>
    <col min="3" max="3" width="4.5703125" style="2" customWidth="1"/>
    <col min="4" max="4" width="28.7109375" style="2" customWidth="1"/>
    <col min="5" max="5" width="4.5703125" style="2" customWidth="1"/>
    <col min="6" max="6" width="28.7109375" style="2" customWidth="1"/>
    <col min="7" max="7" width="4.5703125" style="2" customWidth="1"/>
    <col min="8" max="8" width="28.7109375" style="2" customWidth="1"/>
    <col min="9" max="9" width="4.5703125" style="2" customWidth="1"/>
    <col min="10" max="10" width="28.7109375" style="2" customWidth="1"/>
    <col min="11" max="11" width="4.5703125" style="2" customWidth="1"/>
    <col min="12" max="12" width="28.7109375" style="2" customWidth="1"/>
    <col min="13" max="13" width="4.5703125" style="2" customWidth="1"/>
    <col min="14" max="14" width="28.7109375" style="2" customWidth="1"/>
    <col min="15" max="15" width="4.5703125" style="2" customWidth="1"/>
    <col min="16" max="16" width="28.7109375" style="2" customWidth="1"/>
    <col min="17" max="17" width="4.5703125" style="2" customWidth="1"/>
    <col min="18" max="18" width="28.7109375" style="2" customWidth="1"/>
    <col min="19" max="19" width="14.5703125" style="2" customWidth="1"/>
    <col min="20" max="20" width="28.7109375" style="2" customWidth="1"/>
    <col min="21" max="21" width="4.5703125" style="2" customWidth="1"/>
    <col min="22" max="22" width="28.7109375" style="2" customWidth="1"/>
    <col min="23" max="23" width="4.5703125" style="2" customWidth="1"/>
    <col min="24" max="24" width="28.7109375" style="2" customWidth="1"/>
    <col min="25" max="25" width="4.5703125" style="2" customWidth="1"/>
    <col min="26" max="26" width="28.7109375" style="2" customWidth="1"/>
    <col min="27" max="27" width="4.5703125" style="2" customWidth="1"/>
    <col min="28" max="28" width="28.7109375" style="2" customWidth="1"/>
    <col min="29" max="29" width="4.5703125" style="2" customWidth="1"/>
    <col min="30" max="30" width="28.7109375" style="2" customWidth="1"/>
    <col min="31" max="31" width="4.5703125" style="2" customWidth="1"/>
    <col min="32" max="32" width="28.7109375" style="2" customWidth="1"/>
    <col min="33" max="33" width="4.5703125" style="2" customWidth="1"/>
    <col min="34" max="34" width="28.7109375" style="2" customWidth="1"/>
    <col min="35" max="35" width="4.5703125" style="2" customWidth="1"/>
    <col min="36" max="36" width="28.7109375" style="2" customWidth="1"/>
    <col min="37" max="37" width="2.140625" style="2" customWidth="1"/>
    <col min="38" max="39" width="12.7109375" style="2" customWidth="1"/>
    <col min="40" max="40" width="5.140625" style="2" customWidth="1"/>
    <col min="41" max="41" width="8.7109375" style="2" customWidth="1"/>
    <col min="42" max="42" width="11.42578125" style="1"/>
    <col min="43" max="43" width="43.5703125" style="1" customWidth="1"/>
  </cols>
  <sheetData>
    <row r="1" spans="1:43">
      <c r="A1" s="9" t="str">
        <f>ADDRESS(ROW(),COLUMN(),4)</f>
        <v>A1</v>
      </c>
      <c r="B1" s="5445" t="str">
        <f>SUBSTITUTE(ADDRESS(1,COLUMN(),4),"1","")</f>
        <v>B</v>
      </c>
      <c r="D1" s="5445" t="str">
        <f>SUBSTITUTE(ADDRESS(1,COLUMN(),4),"1","")</f>
        <v>D</v>
      </c>
      <c r="F1" s="5445" t="str">
        <f>SUBSTITUTE(ADDRESS(1,COLUMN(),4),"1","")</f>
        <v>F</v>
      </c>
      <c r="H1" s="5445" t="str">
        <f>SUBSTITUTE(ADDRESS(1,COLUMN(),4),"1","")</f>
        <v>H</v>
      </c>
      <c r="J1" s="5445" t="str">
        <f>SUBSTITUTE(ADDRESS(1,COLUMN(),4),"1","")</f>
        <v>J</v>
      </c>
      <c r="L1" s="5445" t="str">
        <f>SUBSTITUTE(ADDRESS(1,COLUMN(),4),"1","")</f>
        <v>L</v>
      </c>
      <c r="N1" s="5445" t="str">
        <f>SUBSTITUTE(ADDRESS(1,COLUMN(),4),"1","")</f>
        <v>N</v>
      </c>
      <c r="P1" s="5445" t="str">
        <f>SUBSTITUTE(ADDRESS(1,COLUMN(),4),"1","")</f>
        <v>P</v>
      </c>
      <c r="R1" s="5445" t="str">
        <f>SUBSTITUTE(ADDRESS(1,COLUMN(),4),"1","")</f>
        <v>R</v>
      </c>
      <c r="S1"/>
      <c r="T1" s="5445" t="str">
        <f>SUBSTITUTE(ADDRESS(1,COLUMN(),4),"1","")</f>
        <v>T</v>
      </c>
      <c r="V1" s="5445" t="str">
        <f>SUBSTITUTE(ADDRESS(1,COLUMN(),4),"1","")</f>
        <v>V</v>
      </c>
      <c r="X1" s="5445" t="str">
        <f>SUBSTITUTE(ADDRESS(1,COLUMN(),4),"1","")</f>
        <v>X</v>
      </c>
      <c r="Z1" s="5445" t="str">
        <f>SUBSTITUTE(ADDRESS(1,COLUMN(),4),"1","")</f>
        <v>Z</v>
      </c>
      <c r="AB1" s="5445" t="str">
        <f>SUBSTITUTE(ADDRESS(1,COLUMN(),4),"1","")</f>
        <v>AB</v>
      </c>
      <c r="AD1" s="5445" t="str">
        <f>SUBSTITUTE(ADDRESS(1,COLUMN(),4),"1","")</f>
        <v>AD</v>
      </c>
      <c r="AF1" s="5445" t="str">
        <f>SUBSTITUTE(ADDRESS(1,COLUMN(),4),"1","")</f>
        <v>AF</v>
      </c>
      <c r="AH1" s="5445" t="str">
        <f>SUBSTITUTE(ADDRESS(1,COLUMN(),4),"1","")</f>
        <v>AH</v>
      </c>
      <c r="AJ1" s="5445" t="str">
        <f>SUBSTITUTE(ADDRESS(1,COLUMN(),4),"1","")</f>
        <v>AJ</v>
      </c>
      <c r="AK1"/>
      <c r="AL1" s="5445" t="str">
        <f>SUBSTITUTE(ADDRESS(1,COLUMN(),4),"1","")</f>
        <v>AL</v>
      </c>
      <c r="AM1" s="5445" t="str">
        <f>SUBSTITUTE(ADDRESS(1,COLUMN(),4),"1","")</f>
        <v>AM</v>
      </c>
      <c r="AN1"/>
      <c r="AO1" s="5">
        <v>1</v>
      </c>
      <c r="AP1" s="5445" t="str">
        <f>SUBSTITUTE(ADDRESS(1,COLUMN(),4),"1","")</f>
        <v>AP</v>
      </c>
      <c r="AQ1" s="5444" t="str">
        <f>SUBSTITUTE(ADDRESS(1,COLUMN(),4),"1","")</f>
        <v>AQ</v>
      </c>
    </row>
    <row r="2" spans="1:43">
      <c r="A2" s="1626"/>
      <c r="B2" s="91">
        <f ca="1">CELL("largeur",B2)</f>
        <v>28</v>
      </c>
      <c r="D2" s="91">
        <f ca="1">CELL("largeur",D2)</f>
        <v>28</v>
      </c>
      <c r="F2" s="91">
        <f ca="1">CELL("largeur",F2)</f>
        <v>28</v>
      </c>
      <c r="H2" s="91">
        <f ca="1">CELL("largeur",H2)</f>
        <v>28</v>
      </c>
      <c r="J2" s="91">
        <f ca="1">CELL("largeur",J2)</f>
        <v>28</v>
      </c>
      <c r="L2" s="91">
        <f ca="1">CELL("largeur",L2)</f>
        <v>28</v>
      </c>
      <c r="N2" s="91">
        <f ca="1">CELL("largeur",N2)</f>
        <v>28</v>
      </c>
      <c r="P2" s="91">
        <f ca="1">CELL("largeur",P2)</f>
        <v>28</v>
      </c>
      <c r="R2" s="91">
        <f ca="1">CELL("largeur",R2)</f>
        <v>28</v>
      </c>
      <c r="S2"/>
      <c r="T2" s="91">
        <f ca="1">CELL("largeur",T2)</f>
        <v>28</v>
      </c>
      <c r="V2" s="91">
        <f ca="1">CELL("largeur",V2)</f>
        <v>28</v>
      </c>
      <c r="X2" s="91">
        <f ca="1">CELL("largeur",X2)</f>
        <v>28</v>
      </c>
      <c r="Z2" s="91">
        <f ca="1">CELL("largeur",Z2)</f>
        <v>28</v>
      </c>
      <c r="AB2" s="91">
        <f ca="1">CELL("largeur",AB2)</f>
        <v>28</v>
      </c>
      <c r="AD2" s="91">
        <f ca="1">CELL("largeur",AD2)</f>
        <v>28</v>
      </c>
      <c r="AF2" s="91">
        <f ca="1">CELL("largeur",AF2)</f>
        <v>28</v>
      </c>
      <c r="AH2" s="91">
        <f ca="1">CELL("largeur",AH2)</f>
        <v>28</v>
      </c>
      <c r="AJ2" s="91">
        <f ca="1">CELL("largeur",AJ2)</f>
        <v>28</v>
      </c>
      <c r="AK2"/>
      <c r="AL2" s="91">
        <f ca="1">CELL("largeur",AL2)</f>
        <v>12</v>
      </c>
      <c r="AM2" s="91">
        <f ca="1">CELL("largeur",AM2)</f>
        <v>12</v>
      </c>
      <c r="AN2"/>
      <c r="AO2" s="5">
        <v>1</v>
      </c>
      <c r="AP2" s="440"/>
      <c r="AQ2" s="440" t="s">
        <v>295</v>
      </c>
    </row>
    <row r="3" spans="1:43" ht="15.75">
      <c r="B3"/>
      <c r="C3"/>
      <c r="D3"/>
      <c r="E3"/>
      <c r="F3"/>
      <c r="G3"/>
      <c r="H3"/>
      <c r="I3"/>
      <c r="J3"/>
      <c r="K3"/>
      <c r="L3"/>
      <c r="M3"/>
      <c r="N3"/>
      <c r="O3"/>
      <c r="P3"/>
      <c r="Q3"/>
      <c r="R3"/>
      <c r="S3"/>
      <c r="T3"/>
      <c r="U3"/>
      <c r="V3"/>
      <c r="W3"/>
      <c r="X3"/>
      <c r="Y3"/>
      <c r="Z3"/>
      <c r="AA3"/>
      <c r="AB3"/>
      <c r="AC3"/>
      <c r="AD3"/>
      <c r="AE3"/>
      <c r="AF3"/>
      <c r="AG3"/>
      <c r="AH3"/>
      <c r="AI3"/>
      <c r="AJ3"/>
      <c r="AK3"/>
      <c r="AL3" s="141"/>
      <c r="AM3" s="141"/>
      <c r="AN3" s="141"/>
      <c r="AO3" s="5">
        <v>1</v>
      </c>
      <c r="AP3" s="430" cm="1">
        <f t="array" aca="1" ref="AP3" ca="1">COUNTA(A1:AO113+COUNTBLANK(A1:AO113))</f>
        <v>4633</v>
      </c>
      <c r="AQ3" s="429" t="str">
        <f>"cellules entre"&amp;" " &amp;A1&amp;" et  "&amp;AO113</f>
        <v>cellules entre A1 et  AO113</v>
      </c>
    </row>
    <row r="4" spans="1:43" ht="21.75" customHeight="1">
      <c r="B4" s="1627" t="s">
        <v>1299</v>
      </c>
      <c r="T4" s="1627" t="s">
        <v>1299</v>
      </c>
      <c r="AL4" s="97"/>
      <c r="AM4" s="97"/>
      <c r="AN4" s="97"/>
      <c r="AO4" s="5">
        <v>1</v>
      </c>
      <c r="AP4" s="430">
        <f ca="1">COUNTA(A1:AO113)</f>
        <v>1147</v>
      </c>
      <c r="AQ4" s="429" t="s">
        <v>291</v>
      </c>
    </row>
    <row r="5" spans="1:43" ht="21.75" customHeight="1">
      <c r="AL5" s="97"/>
      <c r="AM5" s="97"/>
      <c r="AN5" s="97"/>
      <c r="AO5" s="5">
        <v>1</v>
      </c>
      <c r="AP5" s="430">
        <f ca="1">COUNTBLANK(A1:AO113)</f>
        <v>3914</v>
      </c>
      <c r="AQ5" s="429" t="s">
        <v>288</v>
      </c>
    </row>
    <row r="6" spans="1:43" ht="22.5" customHeight="1">
      <c r="B6" s="1628" t="s">
        <v>1535</v>
      </c>
      <c r="C6" s="1628"/>
      <c r="D6" s="1628"/>
      <c r="E6" s="1628"/>
      <c r="F6" s="1628"/>
      <c r="G6" s="1628"/>
      <c r="H6" s="1628"/>
      <c r="I6" s="1628"/>
      <c r="J6" s="1628"/>
      <c r="K6" s="1628"/>
      <c r="L6" s="1628"/>
      <c r="M6" s="1628"/>
      <c r="N6" s="1628"/>
      <c r="O6" s="1628"/>
      <c r="P6" s="1628"/>
      <c r="Q6" s="1628"/>
      <c r="R6" s="1628"/>
      <c r="T6" s="1628" t="s">
        <v>1536</v>
      </c>
      <c r="U6" s="1628"/>
      <c r="V6" s="1628"/>
      <c r="W6" s="1628"/>
      <c r="X6" s="1628"/>
      <c r="Y6" s="1628"/>
      <c r="Z6" s="1628"/>
      <c r="AA6" s="1628"/>
      <c r="AB6" s="1628"/>
      <c r="AC6" s="1628"/>
      <c r="AD6" s="1628"/>
      <c r="AE6" s="1628"/>
      <c r="AF6" s="1628"/>
      <c r="AG6" s="1628"/>
      <c r="AH6" s="1628"/>
      <c r="AI6" s="1628"/>
      <c r="AJ6" s="1628"/>
      <c r="AL6" s="97"/>
      <c r="AM6" s="97"/>
      <c r="AN6" s="97"/>
      <c r="AO6" s="5">
        <v>1</v>
      </c>
      <c r="AP6" s="430">
        <f>SUM(AO1:AO111)+2</f>
        <v>104</v>
      </c>
      <c r="AQ6" s="429" t="s">
        <v>286</v>
      </c>
    </row>
    <row r="7" spans="1:43" ht="21" customHeight="1">
      <c r="L7" s="7725" t="s">
        <v>1537</v>
      </c>
      <c r="N7" s="7726" t="s">
        <v>1538</v>
      </c>
      <c r="P7" s="7723" t="s">
        <v>1539</v>
      </c>
      <c r="R7" s="7724" t="s">
        <v>1540</v>
      </c>
      <c r="AD7" s="7725" t="s">
        <v>1537</v>
      </c>
      <c r="AF7" s="7726" t="s">
        <v>1538</v>
      </c>
      <c r="AH7" s="7723" t="s">
        <v>1539</v>
      </c>
      <c r="AJ7" s="7724" t="s">
        <v>1540</v>
      </c>
      <c r="AL7" s="97"/>
      <c r="AM7" s="97"/>
      <c r="AN7" s="97"/>
      <c r="AO7" s="5">
        <v>1</v>
      </c>
      <c r="AP7" s="430">
        <f>SUM(A113:AN113)+1</f>
        <v>40</v>
      </c>
      <c r="AQ7" s="429" t="s">
        <v>284</v>
      </c>
    </row>
    <row r="8" spans="1:43" ht="21" customHeight="1">
      <c r="B8" s="1635" t="s">
        <v>1300</v>
      </c>
      <c r="D8" s="1636"/>
      <c r="F8" s="1636"/>
      <c r="H8" s="1636"/>
      <c r="J8" s="1636"/>
      <c r="L8" s="7725"/>
      <c r="N8" s="7726"/>
      <c r="P8" s="7723"/>
      <c r="R8" s="7724"/>
      <c r="T8" s="1635" t="s">
        <v>1300</v>
      </c>
      <c r="V8" s="1636"/>
      <c r="X8" s="1636"/>
      <c r="Z8" s="1636"/>
      <c r="AB8" s="1636"/>
      <c r="AD8" s="7725"/>
      <c r="AF8" s="7726"/>
      <c r="AH8" s="7723"/>
      <c r="AJ8" s="7724"/>
      <c r="AL8" s="97"/>
      <c r="AM8" s="97"/>
      <c r="AN8" s="97"/>
      <c r="AO8" s="5">
        <v>1</v>
      </c>
    </row>
    <row r="9" spans="1:43" ht="24" customHeight="1">
      <c r="B9" s="1629" t="s">
        <v>1302</v>
      </c>
      <c r="D9" s="1629" t="s">
        <v>1302</v>
      </c>
      <c r="F9" s="1629" t="s">
        <v>1302</v>
      </c>
      <c r="H9" s="1637" t="s">
        <v>1302</v>
      </c>
      <c r="J9" s="1629" t="s">
        <v>1302</v>
      </c>
      <c r="L9" s="1629" t="s">
        <v>1302</v>
      </c>
      <c r="N9" s="1629" t="s">
        <v>1302</v>
      </c>
      <c r="P9" s="1629" t="s">
        <v>1302</v>
      </c>
      <c r="R9" s="1629" t="s">
        <v>1302</v>
      </c>
      <c r="T9" s="1629" t="s">
        <v>1541</v>
      </c>
      <c r="V9" s="1629" t="s">
        <v>1541</v>
      </c>
      <c r="X9" s="1629" t="s">
        <v>1541</v>
      </c>
      <c r="Z9" s="1629" t="s">
        <v>1541</v>
      </c>
      <c r="AB9" s="1629" t="s">
        <v>1541</v>
      </c>
      <c r="AD9" s="1629" t="s">
        <v>1541</v>
      </c>
      <c r="AF9" s="1629" t="s">
        <v>1541</v>
      </c>
      <c r="AH9" s="1629" t="s">
        <v>1541</v>
      </c>
      <c r="AJ9" s="1629" t="s">
        <v>1541</v>
      </c>
      <c r="AL9" s="97"/>
      <c r="AM9" s="97"/>
      <c r="AN9" s="97"/>
      <c r="AO9" s="5">
        <v>1</v>
      </c>
    </row>
    <row r="10" spans="1:43" ht="18" customHeight="1">
      <c r="B10" s="1638" t="s">
        <v>1303</v>
      </c>
      <c r="C10" s="1639"/>
      <c r="D10" s="1640" t="s">
        <v>1304</v>
      </c>
      <c r="E10" s="1639"/>
      <c r="F10" s="1641" t="s">
        <v>1305</v>
      </c>
      <c r="G10" s="1639"/>
      <c r="H10" s="1642" t="s">
        <v>250</v>
      </c>
      <c r="I10" s="1639"/>
      <c r="J10" s="1643" t="s">
        <v>1306</v>
      </c>
      <c r="K10" s="1639"/>
      <c r="L10" s="5479" t="s">
        <v>1307</v>
      </c>
      <c r="M10" s="1639"/>
      <c r="N10" s="1644" t="s">
        <v>1308</v>
      </c>
      <c r="O10" s="1639"/>
      <c r="P10" s="1645" t="s">
        <v>1309</v>
      </c>
      <c r="Q10" s="1639"/>
      <c r="R10" s="1646" t="s">
        <v>1310</v>
      </c>
      <c r="S10" s="1639"/>
      <c r="T10" s="1638" t="s">
        <v>1542</v>
      </c>
      <c r="U10" s="1639"/>
      <c r="V10" s="1640" t="s">
        <v>1543</v>
      </c>
      <c r="W10" s="1639"/>
      <c r="X10" s="1641" t="s">
        <v>1544</v>
      </c>
      <c r="Y10" s="1639"/>
      <c r="Z10" s="1642" t="s">
        <v>1545</v>
      </c>
      <c r="AA10" s="1639"/>
      <c r="AB10" s="1643" t="s">
        <v>1546</v>
      </c>
      <c r="AC10" s="1639"/>
      <c r="AD10" s="5479" t="s">
        <v>1547</v>
      </c>
      <c r="AE10" s="1639"/>
      <c r="AF10" s="1644" t="s">
        <v>1548</v>
      </c>
      <c r="AG10" s="1639"/>
      <c r="AH10" s="1645" t="s">
        <v>1549</v>
      </c>
      <c r="AI10" s="1639"/>
      <c r="AJ10" s="1646" t="s">
        <v>1550</v>
      </c>
      <c r="AL10" s="97"/>
      <c r="AM10" s="97"/>
      <c r="AN10" s="97"/>
      <c r="AO10" s="5">
        <v>1</v>
      </c>
    </row>
    <row r="11" spans="1:43" ht="18" customHeight="1">
      <c r="B11" s="1639"/>
      <c r="C11" s="1639"/>
      <c r="D11" s="1639"/>
      <c r="E11" s="1639"/>
      <c r="F11" s="1639"/>
      <c r="G11" s="1639"/>
      <c r="H11" s="1639"/>
      <c r="I11" s="1639"/>
      <c r="J11" s="1639"/>
      <c r="K11" s="1639"/>
      <c r="L11" s="1639"/>
      <c r="M11" s="1639"/>
      <c r="N11" s="1639"/>
      <c r="O11" s="1639"/>
      <c r="P11" s="1639"/>
      <c r="Q11" s="1639"/>
      <c r="R11" s="1639"/>
      <c r="S11" s="1639"/>
      <c r="T11" s="1639" t="s">
        <v>856</v>
      </c>
      <c r="U11" s="1639"/>
      <c r="V11" s="1639" t="s">
        <v>856</v>
      </c>
      <c r="W11" s="1639"/>
      <c r="X11" s="1639" t="s">
        <v>856</v>
      </c>
      <c r="Y11" s="1639"/>
      <c r="Z11" s="1639" t="s">
        <v>856</v>
      </c>
      <c r="AA11" s="1639"/>
      <c r="AB11" s="1639" t="s">
        <v>856</v>
      </c>
      <c r="AC11" s="1639"/>
      <c r="AD11" s="1639" t="s">
        <v>856</v>
      </c>
      <c r="AE11" s="1639"/>
      <c r="AF11" s="1639" t="s">
        <v>856</v>
      </c>
      <c r="AG11" s="1639"/>
      <c r="AH11" s="1639" t="s">
        <v>856</v>
      </c>
      <c r="AI11" s="1639"/>
      <c r="AJ11" s="1639" t="s">
        <v>856</v>
      </c>
      <c r="AL11" s="1630" t="s">
        <v>1312</v>
      </c>
      <c r="AM11" s="97"/>
      <c r="AO11" s="5">
        <v>1</v>
      </c>
    </row>
    <row r="12" spans="1:43" ht="18" customHeight="1">
      <c r="B12" s="1647" t="s">
        <v>1313</v>
      </c>
      <c r="C12" s="1639"/>
      <c r="D12" s="1640" t="s">
        <v>1314</v>
      </c>
      <c r="E12" s="1639"/>
      <c r="F12" s="1641" t="s">
        <v>1315</v>
      </c>
      <c r="G12" s="1639"/>
      <c r="H12" s="1642" t="s">
        <v>1316</v>
      </c>
      <c r="I12" s="1639"/>
      <c r="J12" s="1643" t="s">
        <v>1317</v>
      </c>
      <c r="K12" s="1639"/>
      <c r="L12" s="5479" t="s">
        <v>1318</v>
      </c>
      <c r="M12" s="1639"/>
      <c r="N12" s="1644" t="s">
        <v>1319</v>
      </c>
      <c r="O12" s="1639"/>
      <c r="P12" s="1645" t="s">
        <v>1319</v>
      </c>
      <c r="Q12" s="1639"/>
      <c r="R12" s="1646" t="s">
        <v>1320</v>
      </c>
      <c r="S12" s="1639"/>
      <c r="T12" s="1647" t="s">
        <v>1551</v>
      </c>
      <c r="U12" s="1639"/>
      <c r="V12" s="1640" t="s">
        <v>1552</v>
      </c>
      <c r="W12" s="1639"/>
      <c r="X12" s="1641" t="s">
        <v>1553</v>
      </c>
      <c r="Y12" s="1639"/>
      <c r="Z12" s="1642" t="s">
        <v>1554</v>
      </c>
      <c r="AA12" s="1639"/>
      <c r="AB12" s="1643" t="s">
        <v>1555</v>
      </c>
      <c r="AC12" s="1639"/>
      <c r="AD12" s="5479" t="s">
        <v>1556</v>
      </c>
      <c r="AE12" s="1639"/>
      <c r="AF12" s="1644" t="s">
        <v>1557</v>
      </c>
      <c r="AG12" s="1639"/>
      <c r="AH12" s="1645" t="s">
        <v>1557</v>
      </c>
      <c r="AI12" s="1639"/>
      <c r="AJ12" s="1646" t="s">
        <v>1558</v>
      </c>
      <c r="AL12" s="1630" t="s">
        <v>1323</v>
      </c>
      <c r="AM12" s="1630"/>
      <c r="AO12" s="5">
        <v>1</v>
      </c>
    </row>
    <row r="13" spans="1:43" ht="18" customHeight="1">
      <c r="B13" s="1639"/>
      <c r="C13" s="1639"/>
      <c r="D13" s="1639"/>
      <c r="E13" s="1639"/>
      <c r="F13" s="1639"/>
      <c r="G13" s="1639"/>
      <c r="H13" s="1639"/>
      <c r="I13" s="1639"/>
      <c r="J13" s="1639"/>
      <c r="K13" s="1639"/>
      <c r="L13" s="1639"/>
      <c r="M13" s="1639"/>
      <c r="N13" s="1639"/>
      <c r="O13" s="1639"/>
      <c r="P13" s="1639"/>
      <c r="Q13" s="1639"/>
      <c r="R13" s="1639"/>
      <c r="S13" s="1639"/>
      <c r="T13" s="1639" t="s">
        <v>856</v>
      </c>
      <c r="U13" s="1639"/>
      <c r="V13" s="1639" t="s">
        <v>856</v>
      </c>
      <c r="W13" s="1639"/>
      <c r="X13" s="1639" t="s">
        <v>856</v>
      </c>
      <c r="Y13" s="1639"/>
      <c r="Z13" s="1639" t="s">
        <v>856</v>
      </c>
      <c r="AA13" s="1639"/>
      <c r="AB13" s="1639" t="s">
        <v>856</v>
      </c>
      <c r="AC13" s="1639"/>
      <c r="AD13" s="1639" t="s">
        <v>856</v>
      </c>
      <c r="AE13" s="1639"/>
      <c r="AF13" s="1639" t="s">
        <v>856</v>
      </c>
      <c r="AG13" s="1639"/>
      <c r="AH13" s="1639" t="s">
        <v>856</v>
      </c>
      <c r="AI13" s="1639"/>
      <c r="AJ13" s="1639" t="s">
        <v>856</v>
      </c>
      <c r="AL13" s="1648"/>
      <c r="AM13" s="1648"/>
      <c r="AO13" s="5">
        <v>1</v>
      </c>
    </row>
    <row r="14" spans="1:43" ht="18" customHeight="1">
      <c r="B14" s="1649" t="s">
        <v>1325</v>
      </c>
      <c r="C14" s="1639"/>
      <c r="D14" s="1640" t="s">
        <v>1326</v>
      </c>
      <c r="E14" s="1639"/>
      <c r="F14" s="1641" t="s">
        <v>1327</v>
      </c>
      <c r="G14" s="1639"/>
      <c r="H14" s="1642" t="s">
        <v>1328</v>
      </c>
      <c r="I14" s="1639"/>
      <c r="J14" s="1643" t="s">
        <v>1329</v>
      </c>
      <c r="K14" s="1639"/>
      <c r="L14" s="5479" t="s">
        <v>1330</v>
      </c>
      <c r="M14" s="1639"/>
      <c r="N14" s="1644" t="s">
        <v>1331</v>
      </c>
      <c r="O14" s="1639"/>
      <c r="P14" s="1645" t="s">
        <v>1332</v>
      </c>
      <c r="Q14" s="1639"/>
      <c r="R14" s="1646" t="s">
        <v>1333</v>
      </c>
      <c r="S14" s="1639"/>
      <c r="T14" s="1649" t="s">
        <v>1559</v>
      </c>
      <c r="U14" s="1639"/>
      <c r="V14" s="1640" t="s">
        <v>1560</v>
      </c>
      <c r="W14" s="1639"/>
      <c r="X14" s="1641" t="s">
        <v>1561</v>
      </c>
      <c r="Y14" s="1639"/>
      <c r="Z14" s="1642" t="s">
        <v>1562</v>
      </c>
      <c r="AA14" s="1639"/>
      <c r="AB14" s="1643" t="s">
        <v>1563</v>
      </c>
      <c r="AC14" s="1639"/>
      <c r="AD14" s="5479" t="s">
        <v>1564</v>
      </c>
      <c r="AE14" s="1639"/>
      <c r="AF14" s="1644" t="s">
        <v>1565</v>
      </c>
      <c r="AG14" s="1639"/>
      <c r="AH14" s="1645" t="s">
        <v>1566</v>
      </c>
      <c r="AI14" s="1639"/>
      <c r="AJ14" s="1646" t="s">
        <v>1567</v>
      </c>
      <c r="AL14" s="1648"/>
      <c r="AM14" s="1648"/>
      <c r="AO14" s="5">
        <v>1</v>
      </c>
    </row>
    <row r="15" spans="1:43" s="1" customFormat="1" ht="18" customHeight="1">
      <c r="A15"/>
      <c r="B15" s="1639"/>
      <c r="C15" s="1639"/>
      <c r="D15" s="1639"/>
      <c r="E15" s="1639"/>
      <c r="F15" s="1639"/>
      <c r="G15" s="1639"/>
      <c r="H15" s="1639"/>
      <c r="I15" s="1639"/>
      <c r="J15" s="1639"/>
      <c r="K15" s="1639"/>
      <c r="L15" s="1639"/>
      <c r="M15" s="1639"/>
      <c r="N15" s="1639"/>
      <c r="O15" s="1639"/>
      <c r="P15" s="1639"/>
      <c r="Q15" s="1639"/>
      <c r="R15" s="1639"/>
      <c r="S15" s="1639"/>
      <c r="T15" s="1639" t="s">
        <v>856</v>
      </c>
      <c r="U15" s="1639"/>
      <c r="V15" s="1639" t="s">
        <v>856</v>
      </c>
      <c r="W15" s="1639"/>
      <c r="X15" s="1639" t="s">
        <v>856</v>
      </c>
      <c r="Y15" s="1639"/>
      <c r="Z15" s="1639" t="s">
        <v>856</v>
      </c>
      <c r="AA15" s="1639"/>
      <c r="AB15" s="1639" t="s">
        <v>856</v>
      </c>
      <c r="AC15" s="1639"/>
      <c r="AD15" s="1639" t="s">
        <v>856</v>
      </c>
      <c r="AE15" s="1639"/>
      <c r="AF15" s="1639" t="s">
        <v>856</v>
      </c>
      <c r="AG15" s="1639"/>
      <c r="AH15" s="1639" t="s">
        <v>856</v>
      </c>
      <c r="AI15" s="1639"/>
      <c r="AJ15" s="1639" t="s">
        <v>856</v>
      </c>
      <c r="AK15" s="2"/>
      <c r="AL15" s="1650" t="s">
        <v>1337</v>
      </c>
      <c r="AM15" s="1650"/>
      <c r="AN15" s="2"/>
      <c r="AO15" s="5">
        <v>1</v>
      </c>
    </row>
    <row r="16" spans="1:43" s="1" customFormat="1" ht="18" customHeight="1">
      <c r="A16" s="187"/>
      <c r="B16" s="1645" t="s">
        <v>1338</v>
      </c>
      <c r="C16" s="1639"/>
      <c r="D16" s="1640" t="s">
        <v>1339</v>
      </c>
      <c r="E16" s="1639"/>
      <c r="F16" s="1641" t="s">
        <v>1340</v>
      </c>
      <c r="G16" s="1639"/>
      <c r="H16" s="1642" t="s">
        <v>1341</v>
      </c>
      <c r="I16" s="1639"/>
      <c r="J16" s="1643" t="s">
        <v>1342</v>
      </c>
      <c r="K16" s="1639"/>
      <c r="L16" s="5479" t="s">
        <v>1343</v>
      </c>
      <c r="M16" s="1639"/>
      <c r="N16" s="1644" t="s">
        <v>1344</v>
      </c>
      <c r="O16" s="1639"/>
      <c r="P16" s="1645" t="s">
        <v>1345</v>
      </c>
      <c r="Q16" s="1639"/>
      <c r="R16" s="1646" t="s">
        <v>1346</v>
      </c>
      <c r="S16" s="1639"/>
      <c r="T16" s="1645" t="s">
        <v>1568</v>
      </c>
      <c r="U16" s="1639"/>
      <c r="V16" s="1640" t="s">
        <v>1569</v>
      </c>
      <c r="W16" s="1639"/>
      <c r="X16" s="1641" t="s">
        <v>1570</v>
      </c>
      <c r="Y16" s="1639"/>
      <c r="Z16" s="1642" t="s">
        <v>1571</v>
      </c>
      <c r="AA16" s="1639"/>
      <c r="AB16" s="1643" t="s">
        <v>1572</v>
      </c>
      <c r="AC16" s="1639"/>
      <c r="AD16" s="5479" t="s">
        <v>1573</v>
      </c>
      <c r="AE16" s="1639"/>
      <c r="AF16" s="1644" t="s">
        <v>1574</v>
      </c>
      <c r="AG16" s="1639"/>
      <c r="AH16" s="1645" t="s">
        <v>1575</v>
      </c>
      <c r="AI16" s="1639"/>
      <c r="AJ16" s="1646" t="s">
        <v>1576</v>
      </c>
      <c r="AK16" s="2"/>
      <c r="AL16" s="1650"/>
      <c r="AM16" s="1650"/>
      <c r="AN16" s="2"/>
      <c r="AO16" s="5">
        <v>1</v>
      </c>
    </row>
    <row r="17" spans="1:41" s="1" customFormat="1" ht="18" customHeight="1">
      <c r="A17"/>
      <c r="B17" s="1639"/>
      <c r="C17" s="1639"/>
      <c r="D17" s="1639"/>
      <c r="E17" s="1639"/>
      <c r="F17" s="1639"/>
      <c r="G17" s="1639"/>
      <c r="H17" s="1639"/>
      <c r="I17" s="1639"/>
      <c r="J17" s="1639"/>
      <c r="K17" s="1639"/>
      <c r="L17" s="1639"/>
      <c r="M17" s="1639"/>
      <c r="N17" s="1639"/>
      <c r="O17" s="1639"/>
      <c r="P17" s="1639"/>
      <c r="Q17" s="1639"/>
      <c r="R17" s="1639"/>
      <c r="S17" s="1639"/>
      <c r="T17" s="1639" t="s">
        <v>856</v>
      </c>
      <c r="U17" s="1639"/>
      <c r="V17" s="1639" t="s">
        <v>856</v>
      </c>
      <c r="W17" s="1639"/>
      <c r="X17" s="1639" t="s">
        <v>856</v>
      </c>
      <c r="Y17" s="1639"/>
      <c r="Z17" s="1639" t="s">
        <v>856</v>
      </c>
      <c r="AA17" s="1639"/>
      <c r="AB17" s="1639" t="s">
        <v>856</v>
      </c>
      <c r="AC17" s="1639"/>
      <c r="AD17" s="1639" t="s">
        <v>856</v>
      </c>
      <c r="AE17" s="1639"/>
      <c r="AF17" s="1639" t="s">
        <v>856</v>
      </c>
      <c r="AG17" s="1639"/>
      <c r="AH17" s="1639" t="s">
        <v>856</v>
      </c>
      <c r="AI17" s="1639"/>
      <c r="AJ17" s="1639" t="s">
        <v>856</v>
      </c>
      <c r="AK17" s="2"/>
      <c r="AL17" s="1651" t="s">
        <v>1349</v>
      </c>
      <c r="AM17" s="1651"/>
      <c r="AN17" s="2"/>
      <c r="AO17" s="5">
        <v>1</v>
      </c>
    </row>
    <row r="18" spans="1:41" s="1" customFormat="1" ht="18" customHeight="1">
      <c r="A18"/>
      <c r="B18" s="1644" t="s">
        <v>1350</v>
      </c>
      <c r="C18" s="1639"/>
      <c r="D18" s="1640" t="s">
        <v>1351</v>
      </c>
      <c r="E18" s="1639"/>
      <c r="F18" s="1641" t="s">
        <v>1352</v>
      </c>
      <c r="G18" s="1639"/>
      <c r="H18" s="1642" t="s">
        <v>1353</v>
      </c>
      <c r="I18" s="1639"/>
      <c r="J18" s="1643" t="s">
        <v>1354</v>
      </c>
      <c r="K18" s="1639"/>
      <c r="L18" s="5479" t="s">
        <v>677</v>
      </c>
      <c r="M18" s="1639"/>
      <c r="N18" s="1644" t="s">
        <v>1345</v>
      </c>
      <c r="O18" s="1639"/>
      <c r="P18" s="1645" t="s">
        <v>1355</v>
      </c>
      <c r="Q18" s="1639"/>
      <c r="R18" s="1646" t="s">
        <v>1356</v>
      </c>
      <c r="S18" s="1639"/>
      <c r="T18" s="1644" t="s">
        <v>1577</v>
      </c>
      <c r="U18" s="1639"/>
      <c r="V18" s="1640" t="s">
        <v>1578</v>
      </c>
      <c r="W18" s="1639"/>
      <c r="X18" s="1641" t="s">
        <v>1579</v>
      </c>
      <c r="Y18" s="1639"/>
      <c r="Z18" s="1642" t="s">
        <v>1580</v>
      </c>
      <c r="AA18" s="1639"/>
      <c r="AB18" s="1643" t="s">
        <v>1581</v>
      </c>
      <c r="AC18" s="1639"/>
      <c r="AD18" s="5479" t="s">
        <v>1582</v>
      </c>
      <c r="AE18" s="1639"/>
      <c r="AF18" s="1644" t="s">
        <v>1575</v>
      </c>
      <c r="AG18" s="1639"/>
      <c r="AH18" s="1645" t="s">
        <v>1583</v>
      </c>
      <c r="AI18" s="1639"/>
      <c r="AJ18" s="1646" t="s">
        <v>1584</v>
      </c>
      <c r="AK18" s="2"/>
      <c r="AL18" s="1651" t="s">
        <v>1359</v>
      </c>
      <c r="AM18" s="1651"/>
      <c r="AN18" s="2"/>
      <c r="AO18" s="5">
        <v>1</v>
      </c>
    </row>
    <row r="19" spans="1:41" s="1" customFormat="1" ht="18" customHeight="1">
      <c r="A19"/>
      <c r="B19" s="1639"/>
      <c r="C19" s="1639"/>
      <c r="D19" s="1639"/>
      <c r="E19" s="1639"/>
      <c r="F19" s="1639"/>
      <c r="G19" s="1639"/>
      <c r="H19" s="1639"/>
      <c r="I19" s="1639"/>
      <c r="J19" s="1639"/>
      <c r="K19" s="1639"/>
      <c r="L19" s="1639"/>
      <c r="M19" s="1639"/>
      <c r="N19" s="1639"/>
      <c r="O19" s="1639"/>
      <c r="P19" s="1639"/>
      <c r="Q19" s="1639"/>
      <c r="R19" s="1639"/>
      <c r="S19" s="1639"/>
      <c r="T19" s="1639" t="s">
        <v>856</v>
      </c>
      <c r="U19" s="1639"/>
      <c r="V19" s="1639" t="s">
        <v>856</v>
      </c>
      <c r="W19" s="1639"/>
      <c r="X19" s="1639" t="s">
        <v>856</v>
      </c>
      <c r="Y19" s="1639"/>
      <c r="Z19" s="1639" t="s">
        <v>856</v>
      </c>
      <c r="AA19" s="1639"/>
      <c r="AB19" s="1639" t="s">
        <v>856</v>
      </c>
      <c r="AC19" s="1639"/>
      <c r="AD19" s="1639" t="s">
        <v>856</v>
      </c>
      <c r="AE19" s="1639"/>
      <c r="AF19" s="1639" t="s">
        <v>856</v>
      </c>
      <c r="AG19" s="1639"/>
      <c r="AH19" s="1639" t="s">
        <v>856</v>
      </c>
      <c r="AI19" s="1639"/>
      <c r="AJ19" s="1639" t="s">
        <v>856</v>
      </c>
      <c r="AK19" s="2"/>
      <c r="AL19" s="1652" t="s">
        <v>1361</v>
      </c>
      <c r="AM19" s="1652"/>
      <c r="AN19" s="2"/>
      <c r="AO19" s="5">
        <v>1</v>
      </c>
    </row>
    <row r="20" spans="1:41" s="1" customFormat="1" ht="18" customHeight="1">
      <c r="A20"/>
      <c r="B20" s="1653" t="s">
        <v>1362</v>
      </c>
      <c r="C20" s="1639"/>
      <c r="D20" s="1640" t="s">
        <v>1363</v>
      </c>
      <c r="E20" s="1639"/>
      <c r="F20" s="1641" t="s">
        <v>1364</v>
      </c>
      <c r="G20" s="1639"/>
      <c r="H20" s="1642" t="s">
        <v>1365</v>
      </c>
      <c r="I20" s="1639"/>
      <c r="J20" s="1643" t="s">
        <v>1366</v>
      </c>
      <c r="K20" s="1639"/>
      <c r="L20" s="5479" t="s">
        <v>1094</v>
      </c>
      <c r="M20" s="1639"/>
      <c r="N20" s="1644" t="s">
        <v>1355</v>
      </c>
      <c r="O20" s="1639"/>
      <c r="P20" s="1645" t="s">
        <v>1367</v>
      </c>
      <c r="Q20" s="1639"/>
      <c r="R20" s="1646" t="s">
        <v>1368</v>
      </c>
      <c r="S20" s="1639"/>
      <c r="T20" s="1653" t="s">
        <v>1585</v>
      </c>
      <c r="U20" s="1639"/>
      <c r="V20" s="1640" t="s">
        <v>1586</v>
      </c>
      <c r="W20" s="1639"/>
      <c r="X20" s="1641" t="s">
        <v>1587</v>
      </c>
      <c r="Y20" s="1639"/>
      <c r="Z20" s="1642" t="s">
        <v>1588</v>
      </c>
      <c r="AA20" s="1639"/>
      <c r="AB20" s="1643" t="s">
        <v>1589</v>
      </c>
      <c r="AC20" s="1639"/>
      <c r="AD20" s="5479" t="s">
        <v>1590</v>
      </c>
      <c r="AE20" s="1639"/>
      <c r="AF20" s="1644" t="s">
        <v>1583</v>
      </c>
      <c r="AG20" s="1639"/>
      <c r="AH20" s="1645" t="s">
        <v>1591</v>
      </c>
      <c r="AI20" s="1639"/>
      <c r="AJ20" s="1646" t="s">
        <v>1592</v>
      </c>
      <c r="AK20" s="2"/>
      <c r="AL20" s="1652" t="s">
        <v>1371</v>
      </c>
      <c r="AM20" s="1652"/>
      <c r="AN20" s="2"/>
      <c r="AO20" s="5">
        <v>1</v>
      </c>
    </row>
    <row r="21" spans="1:41" s="1" customFormat="1" ht="18" customHeight="1">
      <c r="A21"/>
      <c r="B21" s="1639"/>
      <c r="C21" s="1639"/>
      <c r="D21" s="1639"/>
      <c r="E21" s="1639"/>
      <c r="F21" s="1639"/>
      <c r="G21" s="1639"/>
      <c r="H21" s="1639"/>
      <c r="I21" s="1639"/>
      <c r="J21" s="1639"/>
      <c r="K21" s="1639"/>
      <c r="L21" s="1639"/>
      <c r="M21" s="1639"/>
      <c r="N21" s="1639"/>
      <c r="O21" s="1639"/>
      <c r="P21" s="1639"/>
      <c r="Q21" s="1639"/>
      <c r="R21" s="1639"/>
      <c r="S21" s="1639"/>
      <c r="T21" s="1639" t="s">
        <v>856</v>
      </c>
      <c r="U21" s="1639"/>
      <c r="V21" s="1639" t="s">
        <v>856</v>
      </c>
      <c r="W21" s="1639"/>
      <c r="X21" s="1639" t="s">
        <v>856</v>
      </c>
      <c r="Y21" s="1639"/>
      <c r="Z21" s="1639" t="s">
        <v>856</v>
      </c>
      <c r="AA21" s="1639"/>
      <c r="AB21" s="1639" t="s">
        <v>856</v>
      </c>
      <c r="AC21" s="1639"/>
      <c r="AD21" s="1639" t="s">
        <v>856</v>
      </c>
      <c r="AE21" s="1639"/>
      <c r="AF21" s="1639" t="s">
        <v>856</v>
      </c>
      <c r="AG21" s="1639"/>
      <c r="AH21" s="1639" t="s">
        <v>856</v>
      </c>
      <c r="AI21" s="1639"/>
      <c r="AJ21" s="1639" t="s">
        <v>856</v>
      </c>
      <c r="AK21" s="2"/>
      <c r="AL21" s="1652" t="s">
        <v>1373</v>
      </c>
      <c r="AM21" s="1652"/>
      <c r="AN21" s="2"/>
      <c r="AO21" s="5">
        <v>1</v>
      </c>
    </row>
    <row r="22" spans="1:41" s="1" customFormat="1" ht="18" customHeight="1">
      <c r="A22"/>
      <c r="B22" s="1654" t="s">
        <v>1374</v>
      </c>
      <c r="C22" s="1639"/>
      <c r="D22" s="1640" t="s">
        <v>1375</v>
      </c>
      <c r="E22" s="1639"/>
      <c r="F22" s="1641" t="s">
        <v>1376</v>
      </c>
      <c r="G22" s="1639"/>
      <c r="H22" s="1642" t="s">
        <v>1377</v>
      </c>
      <c r="I22" s="1639"/>
      <c r="J22" s="1643" t="s">
        <v>1378</v>
      </c>
      <c r="K22" s="1639"/>
      <c r="L22" s="5479" t="s">
        <v>1379</v>
      </c>
      <c r="M22" s="1639"/>
      <c r="N22" s="1644" t="s">
        <v>1367</v>
      </c>
      <c r="O22" s="1639"/>
      <c r="P22" s="1645" t="s">
        <v>1380</v>
      </c>
      <c r="Q22" s="1639"/>
      <c r="R22" s="1646" t="s">
        <v>1381</v>
      </c>
      <c r="S22" s="1639"/>
      <c r="T22" s="1654" t="s">
        <v>1593</v>
      </c>
      <c r="U22" s="1639"/>
      <c r="V22" s="1640" t="s">
        <v>1594</v>
      </c>
      <c r="W22" s="1639"/>
      <c r="X22" s="1641" t="s">
        <v>1595</v>
      </c>
      <c r="Y22" s="1639"/>
      <c r="Z22" s="1642" t="s">
        <v>1596</v>
      </c>
      <c r="AA22" s="1639"/>
      <c r="AB22" s="1643" t="s">
        <v>1597</v>
      </c>
      <c r="AC22" s="1639"/>
      <c r="AD22" s="5479" t="s">
        <v>1598</v>
      </c>
      <c r="AE22" s="1639"/>
      <c r="AF22" s="1644" t="s">
        <v>1591</v>
      </c>
      <c r="AG22" s="1639"/>
      <c r="AH22" s="1645" t="s">
        <v>1599</v>
      </c>
      <c r="AI22" s="1639"/>
      <c r="AJ22" s="1646" t="s">
        <v>1600</v>
      </c>
      <c r="AK22" s="2"/>
      <c r="AL22" s="1652" t="s">
        <v>1383</v>
      </c>
      <c r="AM22" s="1652"/>
      <c r="AN22" s="2"/>
      <c r="AO22" s="5">
        <v>1</v>
      </c>
    </row>
    <row r="23" spans="1:41" s="1" customFormat="1" ht="18" customHeight="1">
      <c r="A23"/>
      <c r="B23" s="1639"/>
      <c r="C23" s="1639"/>
      <c r="D23" s="1639"/>
      <c r="E23" s="1639"/>
      <c r="F23" s="1639"/>
      <c r="G23" s="1639"/>
      <c r="H23" s="1639"/>
      <c r="I23" s="1639"/>
      <c r="J23" s="1639"/>
      <c r="K23" s="1639"/>
      <c r="L23" s="1639"/>
      <c r="M23" s="1639"/>
      <c r="N23" s="1639"/>
      <c r="O23" s="1639"/>
      <c r="P23" s="1639"/>
      <c r="Q23" s="1639"/>
      <c r="R23" s="1639"/>
      <c r="S23" s="1639"/>
      <c r="T23" s="1639" t="s">
        <v>856</v>
      </c>
      <c r="U23" s="1639"/>
      <c r="V23" s="1639" t="s">
        <v>856</v>
      </c>
      <c r="W23" s="1639"/>
      <c r="X23" s="1639" t="s">
        <v>856</v>
      </c>
      <c r="Y23" s="1639"/>
      <c r="Z23" s="1639" t="s">
        <v>856</v>
      </c>
      <c r="AA23" s="1639"/>
      <c r="AB23" s="1639" t="s">
        <v>856</v>
      </c>
      <c r="AC23" s="1639"/>
      <c r="AD23" s="1639" t="s">
        <v>856</v>
      </c>
      <c r="AE23" s="1639"/>
      <c r="AF23" s="1639" t="s">
        <v>856</v>
      </c>
      <c r="AG23" s="1639"/>
      <c r="AH23" s="1639" t="s">
        <v>856</v>
      </c>
      <c r="AI23" s="1639"/>
      <c r="AJ23" s="1639" t="s">
        <v>856</v>
      </c>
      <c r="AK23" s="2"/>
      <c r="AL23" s="1652" t="s">
        <v>1385</v>
      </c>
      <c r="AM23" s="1652"/>
      <c r="AN23" s="2"/>
      <c r="AO23" s="5">
        <v>1</v>
      </c>
    </row>
    <row r="24" spans="1:41" s="1" customFormat="1" ht="18" customHeight="1">
      <c r="A24"/>
      <c r="B24" s="1655" t="s">
        <v>1386</v>
      </c>
      <c r="C24" s="1639"/>
      <c r="D24" s="1640" t="s">
        <v>1387</v>
      </c>
      <c r="E24" s="1639"/>
      <c r="F24" s="1641" t="s">
        <v>1388</v>
      </c>
      <c r="G24" s="1639"/>
      <c r="H24" s="1642" t="s">
        <v>1389</v>
      </c>
      <c r="I24" s="1639"/>
      <c r="J24" s="1643" t="s">
        <v>1390</v>
      </c>
      <c r="K24" s="1639"/>
      <c r="L24" s="5479" t="s">
        <v>1391</v>
      </c>
      <c r="M24" s="1639"/>
      <c r="N24" s="1644" t="s">
        <v>1380</v>
      </c>
      <c r="O24" s="1639"/>
      <c r="P24" s="1645" t="s">
        <v>1392</v>
      </c>
      <c r="Q24" s="1639"/>
      <c r="R24" s="1646" t="s">
        <v>1393</v>
      </c>
      <c r="S24" s="1639"/>
      <c r="T24" s="1655" t="s">
        <v>1601</v>
      </c>
      <c r="U24" s="1639"/>
      <c r="V24" s="1640" t="s">
        <v>1602</v>
      </c>
      <c r="W24" s="1639"/>
      <c r="X24" s="1641" t="s">
        <v>1603</v>
      </c>
      <c r="Y24" s="1639"/>
      <c r="Z24" s="1642" t="s">
        <v>1604</v>
      </c>
      <c r="AA24" s="1639"/>
      <c r="AB24" s="1643" t="s">
        <v>1605</v>
      </c>
      <c r="AC24" s="1639"/>
      <c r="AD24" s="5479" t="s">
        <v>1606</v>
      </c>
      <c r="AE24" s="1639"/>
      <c r="AF24" s="1644" t="s">
        <v>1599</v>
      </c>
      <c r="AG24" s="1639"/>
      <c r="AH24" s="1645" t="s">
        <v>1607</v>
      </c>
      <c r="AI24" s="1639"/>
      <c r="AJ24" s="1646" t="s">
        <v>1608</v>
      </c>
      <c r="AK24" s="2"/>
      <c r="AL24" s="1652" t="s">
        <v>1396</v>
      </c>
      <c r="AM24" s="1652"/>
      <c r="AN24" s="2"/>
      <c r="AO24" s="5">
        <v>1</v>
      </c>
    </row>
    <row r="25" spans="1:41" s="1" customFormat="1" ht="18" customHeight="1">
      <c r="B25" s="1639"/>
      <c r="C25" s="1639"/>
      <c r="D25" s="1639"/>
      <c r="E25" s="1639"/>
      <c r="F25" s="1639"/>
      <c r="G25" s="1639"/>
      <c r="H25" s="1639"/>
      <c r="I25" s="1639"/>
      <c r="J25" s="1639"/>
      <c r="K25" s="1639"/>
      <c r="L25" s="1639"/>
      <c r="M25" s="1639"/>
      <c r="N25" s="1639"/>
      <c r="O25" s="1639"/>
      <c r="P25" s="1639"/>
      <c r="Q25" s="1639"/>
      <c r="R25" s="1639"/>
      <c r="S25" s="1639"/>
      <c r="T25" s="1639" t="s">
        <v>856</v>
      </c>
      <c r="U25" s="1639"/>
      <c r="V25" s="1639" t="s">
        <v>856</v>
      </c>
      <c r="W25" s="1639"/>
      <c r="X25" s="1639" t="s">
        <v>856</v>
      </c>
      <c r="Y25" s="1639"/>
      <c r="Z25" s="1639" t="s">
        <v>856</v>
      </c>
      <c r="AA25" s="1639"/>
      <c r="AB25" s="1639" t="s">
        <v>856</v>
      </c>
      <c r="AC25" s="1639"/>
      <c r="AD25" s="1639" t="s">
        <v>856</v>
      </c>
      <c r="AE25" s="1639"/>
      <c r="AF25" s="1639" t="s">
        <v>856</v>
      </c>
      <c r="AG25" s="1639"/>
      <c r="AH25" s="1639" t="s">
        <v>856</v>
      </c>
      <c r="AI25" s="1639"/>
      <c r="AJ25" s="1639" t="s">
        <v>856</v>
      </c>
      <c r="AK25" s="2"/>
      <c r="AL25" s="1656">
        <v>12</v>
      </c>
      <c r="AM25" s="1656">
        <v>12</v>
      </c>
      <c r="AN25" s="2"/>
      <c r="AO25" s="5">
        <v>1</v>
      </c>
    </row>
    <row r="26" spans="1:41" s="1" customFormat="1" ht="18" customHeight="1">
      <c r="B26" s="1653" t="s">
        <v>1375</v>
      </c>
      <c r="C26" s="1639"/>
      <c r="D26" s="1640" t="s">
        <v>1398</v>
      </c>
      <c r="E26" s="1639"/>
      <c r="F26" s="1641" t="s">
        <v>1199</v>
      </c>
      <c r="G26" s="1639"/>
      <c r="H26" s="1642" t="s">
        <v>1399</v>
      </c>
      <c r="I26" s="1639"/>
      <c r="J26" s="1643" t="s">
        <v>1400</v>
      </c>
      <c r="K26" s="1639"/>
      <c r="L26" s="5479" t="s">
        <v>1401</v>
      </c>
      <c r="M26" s="1639"/>
      <c r="N26" s="1644" t="s">
        <v>1392</v>
      </c>
      <c r="O26" s="1639"/>
      <c r="P26" s="1645" t="s">
        <v>1402</v>
      </c>
      <c r="Q26" s="1639"/>
      <c r="R26" s="1646" t="s">
        <v>1403</v>
      </c>
      <c r="S26" s="1639"/>
      <c r="T26" s="1653" t="s">
        <v>1594</v>
      </c>
      <c r="U26" s="1639"/>
      <c r="V26" s="1640" t="s">
        <v>1609</v>
      </c>
      <c r="W26" s="1639"/>
      <c r="X26" s="1641" t="s">
        <v>1610</v>
      </c>
      <c r="Y26" s="1639"/>
      <c r="Z26" s="1642" t="s">
        <v>1611</v>
      </c>
      <c r="AA26" s="1639"/>
      <c r="AB26" s="1643" t="s">
        <v>1612</v>
      </c>
      <c r="AC26" s="1639"/>
      <c r="AD26" s="5479" t="s">
        <v>1613</v>
      </c>
      <c r="AE26" s="1639"/>
      <c r="AF26" s="1644" t="s">
        <v>1607</v>
      </c>
      <c r="AG26" s="1639"/>
      <c r="AH26" s="1645" t="s">
        <v>1614</v>
      </c>
      <c r="AI26" s="1639"/>
      <c r="AJ26" s="1646" t="s">
        <v>1615</v>
      </c>
      <c r="AK26" s="2"/>
      <c r="AL26" s="2"/>
      <c r="AM26" s="2"/>
      <c r="AN26" s="2"/>
      <c r="AO26" s="5">
        <v>1</v>
      </c>
    </row>
    <row r="27" spans="1:41" s="1" customFormat="1" ht="18" customHeight="1">
      <c r="B27" s="1639"/>
      <c r="C27" s="1639"/>
      <c r="D27" s="1639"/>
      <c r="E27" s="1639"/>
      <c r="F27" s="1639"/>
      <c r="G27" s="1639"/>
      <c r="H27" s="1639"/>
      <c r="I27" s="1639"/>
      <c r="J27" s="1639"/>
      <c r="K27" s="1639"/>
      <c r="L27" s="1639"/>
      <c r="M27" s="1639"/>
      <c r="N27" s="1639"/>
      <c r="O27" s="1639"/>
      <c r="P27" s="1639"/>
      <c r="Q27" s="1639"/>
      <c r="R27" s="1639"/>
      <c r="S27" s="1639"/>
      <c r="T27" s="1639" t="s">
        <v>856</v>
      </c>
      <c r="U27" s="1639"/>
      <c r="V27" s="1639" t="s">
        <v>856</v>
      </c>
      <c r="W27" s="1639"/>
      <c r="X27" s="1639" t="s">
        <v>856</v>
      </c>
      <c r="Y27" s="1639"/>
      <c r="Z27" s="1639" t="s">
        <v>856</v>
      </c>
      <c r="AA27" s="1639"/>
      <c r="AB27" s="1639" t="s">
        <v>856</v>
      </c>
      <c r="AC27" s="1639"/>
      <c r="AD27" s="1639" t="s">
        <v>856</v>
      </c>
      <c r="AE27" s="1639"/>
      <c r="AF27" s="1639" t="s">
        <v>856</v>
      </c>
      <c r="AG27" s="1639"/>
      <c r="AH27" s="1639" t="s">
        <v>856</v>
      </c>
      <c r="AI27" s="1639"/>
      <c r="AJ27" s="1639" t="s">
        <v>856</v>
      </c>
      <c r="AK27" s="2"/>
      <c r="AL27" s="2"/>
      <c r="AM27" s="2"/>
      <c r="AN27" s="2"/>
      <c r="AO27" s="5">
        <v>1</v>
      </c>
    </row>
    <row r="28" spans="1:41" s="1" customFormat="1" ht="18" customHeight="1">
      <c r="B28" s="1657" t="s">
        <v>1310</v>
      </c>
      <c r="C28" s="1639"/>
      <c r="D28" s="1640" t="s">
        <v>1406</v>
      </c>
      <c r="E28" s="1639"/>
      <c r="F28" s="1641" t="s">
        <v>1407</v>
      </c>
      <c r="G28" s="1639"/>
      <c r="H28" s="1642" t="s">
        <v>1408</v>
      </c>
      <c r="I28" s="1639"/>
      <c r="J28" s="1643" t="s">
        <v>1409</v>
      </c>
      <c r="K28" s="1639"/>
      <c r="L28" s="5479" t="s">
        <v>1410</v>
      </c>
      <c r="M28" s="1639"/>
      <c r="N28" s="1644" t="s">
        <v>1402</v>
      </c>
      <c r="O28" s="1639"/>
      <c r="P28" s="1645" t="s">
        <v>1411</v>
      </c>
      <c r="Q28" s="1639"/>
      <c r="R28" s="1646" t="s">
        <v>1412</v>
      </c>
      <c r="S28" s="1639"/>
      <c r="T28" s="1657" t="s">
        <v>1550</v>
      </c>
      <c r="U28" s="1639"/>
      <c r="V28" s="1640" t="s">
        <v>1616</v>
      </c>
      <c r="W28" s="1639"/>
      <c r="X28" s="1641" t="s">
        <v>1617</v>
      </c>
      <c r="Y28" s="1639"/>
      <c r="Z28" s="1642" t="s">
        <v>1618</v>
      </c>
      <c r="AA28" s="1639"/>
      <c r="AB28" s="1643" t="s">
        <v>1619</v>
      </c>
      <c r="AC28" s="1639"/>
      <c r="AD28" s="5479" t="s">
        <v>1620</v>
      </c>
      <c r="AE28" s="1639"/>
      <c r="AF28" s="1644" t="s">
        <v>1614</v>
      </c>
      <c r="AG28" s="1639"/>
      <c r="AH28" s="1645" t="s">
        <v>1621</v>
      </c>
      <c r="AI28" s="1639"/>
      <c r="AJ28" s="1646" t="s">
        <v>1622</v>
      </c>
      <c r="AK28" s="2"/>
      <c r="AL28" s="2"/>
      <c r="AM28" s="2"/>
      <c r="AN28" s="2"/>
      <c r="AO28" s="5">
        <v>1</v>
      </c>
    </row>
    <row r="29" spans="1:41" s="1" customFormat="1" ht="18" customHeight="1">
      <c r="B29" s="1639"/>
      <c r="C29" s="1639"/>
      <c r="D29" s="1639"/>
      <c r="E29" s="1639"/>
      <c r="F29" s="1639"/>
      <c r="G29" s="1639"/>
      <c r="H29" s="1639"/>
      <c r="I29" s="1639"/>
      <c r="J29" s="1639"/>
      <c r="K29" s="1639"/>
      <c r="L29" s="1639"/>
      <c r="M29" s="1639"/>
      <c r="N29" s="1639"/>
      <c r="O29" s="1639"/>
      <c r="P29" s="1639"/>
      <c r="Q29" s="1639"/>
      <c r="R29" s="1639"/>
      <c r="S29" s="1639"/>
      <c r="T29" s="1639" t="s">
        <v>856</v>
      </c>
      <c r="U29" s="1639"/>
      <c r="V29" s="1639" t="s">
        <v>856</v>
      </c>
      <c r="W29" s="1639"/>
      <c r="X29" s="1639" t="s">
        <v>856</v>
      </c>
      <c r="Y29" s="1639"/>
      <c r="Z29" s="1639" t="s">
        <v>856</v>
      </c>
      <c r="AA29" s="1639"/>
      <c r="AB29" s="1639" t="s">
        <v>856</v>
      </c>
      <c r="AC29" s="1639"/>
      <c r="AD29" s="1639" t="s">
        <v>856</v>
      </c>
      <c r="AE29" s="1639"/>
      <c r="AF29" s="1639" t="s">
        <v>856</v>
      </c>
      <c r="AG29" s="1639"/>
      <c r="AH29" s="1639" t="s">
        <v>856</v>
      </c>
      <c r="AI29" s="1639"/>
      <c r="AJ29" s="1639" t="s">
        <v>856</v>
      </c>
      <c r="AK29" s="2"/>
      <c r="AL29" s="2"/>
      <c r="AM29" s="2"/>
      <c r="AN29" s="2"/>
      <c r="AO29" s="5">
        <v>1</v>
      </c>
    </row>
    <row r="30" spans="1:41" s="1" customFormat="1" ht="18" customHeight="1">
      <c r="B30" s="1658" t="s">
        <v>1413</v>
      </c>
      <c r="C30" s="1639"/>
      <c r="D30" s="1640" t="s">
        <v>1414</v>
      </c>
      <c r="E30" s="1639"/>
      <c r="F30" s="1641" t="s">
        <v>1415</v>
      </c>
      <c r="G30" s="1639"/>
      <c r="H30" s="1642" t="s">
        <v>1416</v>
      </c>
      <c r="I30" s="1639"/>
      <c r="J30" s="1643" t="s">
        <v>1417</v>
      </c>
      <c r="K30" s="1639"/>
      <c r="L30" s="5479" t="s">
        <v>1418</v>
      </c>
      <c r="M30" s="1639"/>
      <c r="N30" s="1644" t="s">
        <v>1411</v>
      </c>
      <c r="O30" s="1639"/>
      <c r="P30" s="1645" t="s">
        <v>1419</v>
      </c>
      <c r="Q30" s="1639"/>
      <c r="R30" s="1646" t="s">
        <v>1420</v>
      </c>
      <c r="S30" s="1639"/>
      <c r="T30" s="1658" t="s">
        <v>1623</v>
      </c>
      <c r="U30" s="1639"/>
      <c r="V30" s="1640" t="s">
        <v>1624</v>
      </c>
      <c r="W30" s="1639"/>
      <c r="X30" s="1641" t="s">
        <v>1625</v>
      </c>
      <c r="Y30" s="1639"/>
      <c r="Z30" s="1642" t="s">
        <v>1626</v>
      </c>
      <c r="AA30" s="1639"/>
      <c r="AB30" s="1643" t="s">
        <v>1627</v>
      </c>
      <c r="AC30" s="1639"/>
      <c r="AD30" s="5479" t="s">
        <v>1628</v>
      </c>
      <c r="AE30" s="1639"/>
      <c r="AF30" s="1644" t="s">
        <v>1621</v>
      </c>
      <c r="AG30" s="1639"/>
      <c r="AH30" s="1645" t="s">
        <v>1629</v>
      </c>
      <c r="AI30" s="1639"/>
      <c r="AJ30" s="1646" t="s">
        <v>1630</v>
      </c>
      <c r="AK30" s="2"/>
      <c r="AL30" s="2"/>
      <c r="AM30" s="2"/>
      <c r="AN30" s="2"/>
      <c r="AO30" s="5">
        <v>1</v>
      </c>
    </row>
    <row r="31" spans="1:41" s="1" customFormat="1" ht="18" customHeight="1">
      <c r="B31" s="1639"/>
      <c r="C31" s="1639"/>
      <c r="D31" s="1639"/>
      <c r="E31" s="1639"/>
      <c r="F31" s="1639"/>
      <c r="G31" s="1639"/>
      <c r="H31" s="1639"/>
      <c r="I31" s="1639"/>
      <c r="J31" s="1639"/>
      <c r="K31" s="1639"/>
      <c r="L31" s="1639"/>
      <c r="M31" s="1639"/>
      <c r="N31" s="1639"/>
      <c r="O31" s="1639"/>
      <c r="P31" s="1639"/>
      <c r="Q31" s="1639"/>
      <c r="R31" s="1639"/>
      <c r="S31" s="1639"/>
      <c r="T31" s="1639" t="s">
        <v>856</v>
      </c>
      <c r="U31" s="1639"/>
      <c r="V31" s="1639" t="s">
        <v>856</v>
      </c>
      <c r="W31" s="1639"/>
      <c r="X31" s="1639" t="s">
        <v>856</v>
      </c>
      <c r="Y31" s="1639"/>
      <c r="Z31" s="1639" t="s">
        <v>856</v>
      </c>
      <c r="AA31" s="1639"/>
      <c r="AB31" s="1639" t="s">
        <v>856</v>
      </c>
      <c r="AC31" s="1639"/>
      <c r="AD31" s="1639" t="s">
        <v>856</v>
      </c>
      <c r="AE31" s="1639"/>
      <c r="AF31" s="1639" t="s">
        <v>856</v>
      </c>
      <c r="AG31" s="1639"/>
      <c r="AH31" s="1639" t="s">
        <v>856</v>
      </c>
      <c r="AI31" s="1639"/>
      <c r="AJ31" s="1639" t="s">
        <v>856</v>
      </c>
      <c r="AK31" s="2"/>
      <c r="AL31" s="2"/>
      <c r="AM31" s="2"/>
      <c r="AN31" s="2"/>
      <c r="AO31" s="5">
        <v>1</v>
      </c>
    </row>
    <row r="32" spans="1:41" s="1" customFormat="1" ht="18" customHeight="1">
      <c r="B32" s="1659" t="s">
        <v>1421</v>
      </c>
      <c r="C32" s="1639"/>
      <c r="D32" s="1640" t="s">
        <v>1422</v>
      </c>
      <c r="E32" s="1639"/>
      <c r="F32" s="1641" t="s">
        <v>1423</v>
      </c>
      <c r="G32" s="1639"/>
      <c r="H32" s="1642" t="s">
        <v>1424</v>
      </c>
      <c r="I32" s="1639"/>
      <c r="J32" s="1643" t="s">
        <v>1425</v>
      </c>
      <c r="K32" s="1639"/>
      <c r="L32" s="5479" t="s">
        <v>1426</v>
      </c>
      <c r="M32" s="1639"/>
      <c r="N32" s="1644" t="s">
        <v>1419</v>
      </c>
      <c r="O32" s="1639"/>
      <c r="P32" s="1645" t="s">
        <v>1427</v>
      </c>
      <c r="Q32" s="1639"/>
      <c r="R32" s="1646" t="s">
        <v>1428</v>
      </c>
      <c r="S32" s="1639"/>
      <c r="T32" s="1659" t="s">
        <v>1631</v>
      </c>
      <c r="U32" s="1639"/>
      <c r="V32" s="1640" t="s">
        <v>1632</v>
      </c>
      <c r="W32" s="1639"/>
      <c r="X32" s="1641" t="s">
        <v>1633</v>
      </c>
      <c r="Y32" s="1639"/>
      <c r="Z32" s="1642" t="s">
        <v>1634</v>
      </c>
      <c r="AA32" s="1639"/>
      <c r="AB32" s="1643" t="s">
        <v>1635</v>
      </c>
      <c r="AC32" s="1639"/>
      <c r="AD32" s="5479" t="s">
        <v>1636</v>
      </c>
      <c r="AE32" s="1639"/>
      <c r="AF32" s="1644" t="s">
        <v>1629</v>
      </c>
      <c r="AG32" s="1639"/>
      <c r="AH32" s="1645" t="s">
        <v>1637</v>
      </c>
      <c r="AI32" s="1639"/>
      <c r="AJ32" s="1646" t="s">
        <v>1638</v>
      </c>
      <c r="AK32" s="2"/>
      <c r="AL32" s="2"/>
      <c r="AM32" s="2"/>
      <c r="AN32" s="2"/>
      <c r="AO32" s="5">
        <v>1</v>
      </c>
    </row>
    <row r="33" spans="1:41" s="1" customFormat="1" ht="18" customHeight="1">
      <c r="B33" s="1639"/>
      <c r="C33" s="1639"/>
      <c r="D33" s="1639"/>
      <c r="E33" s="1639"/>
      <c r="F33" s="1639"/>
      <c r="G33" s="1639"/>
      <c r="H33" s="1639"/>
      <c r="I33" s="1639"/>
      <c r="J33" s="1639"/>
      <c r="K33" s="1639"/>
      <c r="L33" s="1639"/>
      <c r="M33" s="1639"/>
      <c r="N33" s="1639"/>
      <c r="O33" s="1639"/>
      <c r="P33" s="1639"/>
      <c r="Q33" s="1639"/>
      <c r="R33" s="1639"/>
      <c r="S33" s="1639"/>
      <c r="T33" s="1639" t="s">
        <v>856</v>
      </c>
      <c r="U33" s="1639"/>
      <c r="V33" s="1639" t="s">
        <v>856</v>
      </c>
      <c r="W33" s="1639"/>
      <c r="X33" s="1639" t="s">
        <v>856</v>
      </c>
      <c r="Y33" s="1639"/>
      <c r="Z33" s="1639" t="s">
        <v>856</v>
      </c>
      <c r="AA33" s="1639"/>
      <c r="AB33" s="1639" t="s">
        <v>856</v>
      </c>
      <c r="AC33" s="1639"/>
      <c r="AD33" s="1639" t="s">
        <v>856</v>
      </c>
      <c r="AE33" s="1639"/>
      <c r="AF33" s="1639" t="s">
        <v>856</v>
      </c>
      <c r="AG33" s="1639"/>
      <c r="AH33" s="1639" t="s">
        <v>856</v>
      </c>
      <c r="AI33" s="1639"/>
      <c r="AJ33" s="1639" t="s">
        <v>856</v>
      </c>
      <c r="AK33" s="2"/>
      <c r="AL33" s="2"/>
      <c r="AM33" s="2"/>
      <c r="AN33" s="2"/>
      <c r="AO33" s="5">
        <v>1</v>
      </c>
    </row>
    <row r="34" spans="1:41" s="1" customFormat="1" ht="18" customHeight="1">
      <c r="B34" s="1660" t="s">
        <v>1429</v>
      </c>
      <c r="C34" s="1639"/>
      <c r="D34" s="1640" t="s">
        <v>1430</v>
      </c>
      <c r="E34" s="1639"/>
      <c r="F34" s="1641" t="s">
        <v>1431</v>
      </c>
      <c r="G34" s="1639"/>
      <c r="H34" s="1642" t="s">
        <v>1432</v>
      </c>
      <c r="I34" s="1639"/>
      <c r="J34" s="1643" t="s">
        <v>1433</v>
      </c>
      <c r="K34" s="1639"/>
      <c r="L34" s="5479" t="s">
        <v>1434</v>
      </c>
      <c r="M34" s="1639"/>
      <c r="N34" s="1644" t="s">
        <v>1435</v>
      </c>
      <c r="O34" s="1639"/>
      <c r="P34" s="1645" t="s">
        <v>1436</v>
      </c>
      <c r="Q34" s="1639"/>
      <c r="R34" s="1646" t="s">
        <v>1437</v>
      </c>
      <c r="S34" s="1639"/>
      <c r="T34" s="1660" t="s">
        <v>1639</v>
      </c>
      <c r="U34" s="1639"/>
      <c r="V34" s="1640" t="s">
        <v>1640</v>
      </c>
      <c r="W34" s="1639"/>
      <c r="X34" s="1641" t="s">
        <v>1641</v>
      </c>
      <c r="Y34" s="1639"/>
      <c r="Z34" s="1642" t="s">
        <v>1642</v>
      </c>
      <c r="AA34" s="1639"/>
      <c r="AB34" s="1643" t="s">
        <v>1643</v>
      </c>
      <c r="AC34" s="1639"/>
      <c r="AD34" s="5479" t="s">
        <v>1644</v>
      </c>
      <c r="AE34" s="1639"/>
      <c r="AF34" s="1644" t="s">
        <v>1645</v>
      </c>
      <c r="AG34" s="1639"/>
      <c r="AH34" s="1645" t="s">
        <v>1646</v>
      </c>
      <c r="AI34" s="1639"/>
      <c r="AJ34" s="1646" t="s">
        <v>1647</v>
      </c>
      <c r="AK34" s="2"/>
      <c r="AL34" s="2"/>
      <c r="AM34" s="2"/>
      <c r="AN34" s="2"/>
      <c r="AO34" s="5">
        <v>1</v>
      </c>
    </row>
    <row r="35" spans="1:41" s="1" customFormat="1" ht="18" customHeight="1">
      <c r="B35" s="1639"/>
      <c r="C35" s="1639"/>
      <c r="D35" s="1639"/>
      <c r="E35" s="1639"/>
      <c r="F35" s="1639"/>
      <c r="G35" s="1639"/>
      <c r="H35" s="1639"/>
      <c r="I35" s="1639"/>
      <c r="J35" s="1639"/>
      <c r="K35" s="1639"/>
      <c r="L35" s="1639"/>
      <c r="M35" s="1639"/>
      <c r="N35" s="1639"/>
      <c r="O35" s="1639"/>
      <c r="P35" s="1639"/>
      <c r="Q35" s="1639"/>
      <c r="R35" s="1639"/>
      <c r="S35" s="1639"/>
      <c r="T35" s="1639" t="s">
        <v>856</v>
      </c>
      <c r="U35" s="1639"/>
      <c r="V35" s="1639" t="s">
        <v>856</v>
      </c>
      <c r="W35" s="1639"/>
      <c r="X35" s="1639" t="s">
        <v>856</v>
      </c>
      <c r="Y35" s="1639"/>
      <c r="Z35" s="1639" t="s">
        <v>856</v>
      </c>
      <c r="AA35" s="1639"/>
      <c r="AB35" s="1639" t="s">
        <v>856</v>
      </c>
      <c r="AC35" s="1639"/>
      <c r="AD35" s="1639" t="s">
        <v>856</v>
      </c>
      <c r="AE35" s="1639"/>
      <c r="AF35" s="1639" t="s">
        <v>856</v>
      </c>
      <c r="AG35" s="1639"/>
      <c r="AH35" s="1639" t="s">
        <v>856</v>
      </c>
      <c r="AI35" s="1639"/>
      <c r="AJ35" s="1639" t="s">
        <v>856</v>
      </c>
      <c r="AK35" s="2"/>
      <c r="AL35" s="2"/>
      <c r="AM35" s="2"/>
      <c r="AN35" s="2"/>
      <c r="AO35" s="5">
        <v>1</v>
      </c>
    </row>
    <row r="36" spans="1:41" s="1" customFormat="1" ht="18" customHeight="1">
      <c r="A36"/>
      <c r="B36" s="1661" t="s">
        <v>1438</v>
      </c>
      <c r="C36" s="1639"/>
      <c r="D36" s="1640" t="s">
        <v>1439</v>
      </c>
      <c r="E36" s="1639"/>
      <c r="F36" s="1641" t="s">
        <v>1440</v>
      </c>
      <c r="G36" s="1639"/>
      <c r="H36" s="1642" t="s">
        <v>1441</v>
      </c>
      <c r="I36" s="1639"/>
      <c r="J36" s="1643" t="s">
        <v>1442</v>
      </c>
      <c r="K36" s="1639"/>
      <c r="L36" s="5479" t="s">
        <v>1443</v>
      </c>
      <c r="M36" s="1639"/>
      <c r="N36" s="1644" t="s">
        <v>1427</v>
      </c>
      <c r="O36" s="1639"/>
      <c r="P36" s="1645" t="s">
        <v>1444</v>
      </c>
      <c r="Q36" s="1639"/>
      <c r="R36" s="1646" t="s">
        <v>1445</v>
      </c>
      <c r="S36" s="1639"/>
      <c r="T36" s="1661" t="s">
        <v>1648</v>
      </c>
      <c r="U36" s="1639"/>
      <c r="V36" s="1640" t="s">
        <v>1649</v>
      </c>
      <c r="W36" s="1639"/>
      <c r="X36" s="1641" t="s">
        <v>1650</v>
      </c>
      <c r="Y36" s="1639"/>
      <c r="Z36" s="1642" t="s">
        <v>1651</v>
      </c>
      <c r="AA36" s="1639"/>
      <c r="AB36" s="1643" t="s">
        <v>1652</v>
      </c>
      <c r="AC36" s="1639"/>
      <c r="AD36" s="5479" t="s">
        <v>1653</v>
      </c>
      <c r="AE36" s="1639"/>
      <c r="AF36" s="1644" t="s">
        <v>1637</v>
      </c>
      <c r="AG36" s="1639"/>
      <c r="AH36" s="1645" t="s">
        <v>1654</v>
      </c>
      <c r="AI36" s="1639"/>
      <c r="AJ36" s="1646" t="s">
        <v>1655</v>
      </c>
      <c r="AK36" s="2"/>
      <c r="AL36" s="2"/>
      <c r="AM36" s="2"/>
      <c r="AN36" s="2"/>
      <c r="AO36" s="5">
        <v>1</v>
      </c>
    </row>
    <row r="37" spans="1:41" s="1" customFormat="1" ht="18" customHeight="1">
      <c r="A37"/>
      <c r="B37" s="1639"/>
      <c r="C37" s="1639"/>
      <c r="D37" s="1639"/>
      <c r="E37" s="1639"/>
      <c r="F37" s="1639"/>
      <c r="G37" s="1639"/>
      <c r="H37" s="1639"/>
      <c r="I37" s="1639"/>
      <c r="J37" s="1639"/>
      <c r="K37" s="1639"/>
      <c r="L37" s="1639"/>
      <c r="M37" s="1639"/>
      <c r="N37" s="1639"/>
      <c r="O37" s="1639"/>
      <c r="P37" s="1639"/>
      <c r="Q37" s="1639"/>
      <c r="R37" s="1639"/>
      <c r="S37" s="1639"/>
      <c r="T37" s="1639" t="s">
        <v>856</v>
      </c>
      <c r="U37" s="1639"/>
      <c r="V37" s="1639" t="s">
        <v>856</v>
      </c>
      <c r="W37" s="1639"/>
      <c r="X37" s="1639" t="s">
        <v>856</v>
      </c>
      <c r="Y37" s="1639"/>
      <c r="Z37" s="1639" t="s">
        <v>856</v>
      </c>
      <c r="AA37" s="1639"/>
      <c r="AB37" s="1639" t="s">
        <v>856</v>
      </c>
      <c r="AC37" s="1639"/>
      <c r="AD37" s="1639" t="s">
        <v>856</v>
      </c>
      <c r="AE37" s="1639"/>
      <c r="AF37" s="1639" t="s">
        <v>856</v>
      </c>
      <c r="AG37" s="1639"/>
      <c r="AH37" s="1639" t="s">
        <v>856</v>
      </c>
      <c r="AI37" s="1639"/>
      <c r="AJ37" s="1639" t="s">
        <v>856</v>
      </c>
      <c r="AK37" s="2"/>
      <c r="AL37" s="2"/>
      <c r="AM37" s="2"/>
      <c r="AN37" s="2"/>
      <c r="AO37" s="5">
        <v>1</v>
      </c>
    </row>
    <row r="38" spans="1:41" s="1" customFormat="1" ht="18" customHeight="1">
      <c r="A38"/>
      <c r="B38" s="1662" t="s">
        <v>1446</v>
      </c>
      <c r="C38" s="1639"/>
      <c r="D38" s="1640" t="s">
        <v>1447</v>
      </c>
      <c r="E38" s="1639"/>
      <c r="F38" s="1641" t="s">
        <v>1448</v>
      </c>
      <c r="G38" s="1639"/>
      <c r="H38" s="1642" t="s">
        <v>1449</v>
      </c>
      <c r="I38" s="1639"/>
      <c r="J38" s="1643" t="s">
        <v>1450</v>
      </c>
      <c r="K38" s="1639"/>
      <c r="L38" s="5479" t="s">
        <v>1451</v>
      </c>
      <c r="M38" s="1639"/>
      <c r="N38" s="1644" t="s">
        <v>1452</v>
      </c>
      <c r="O38" s="1639"/>
      <c r="P38" s="1645" t="s">
        <v>1453</v>
      </c>
      <c r="Q38" s="1639"/>
      <c r="R38" s="1646" t="s">
        <v>1454</v>
      </c>
      <c r="S38" s="1639"/>
      <c r="T38" s="1662" t="s">
        <v>1656</v>
      </c>
      <c r="U38" s="1639"/>
      <c r="V38" s="1640" t="s">
        <v>1657</v>
      </c>
      <c r="W38" s="1639"/>
      <c r="X38" s="1641" t="s">
        <v>1658</v>
      </c>
      <c r="Y38" s="1639"/>
      <c r="Z38" s="1642" t="s">
        <v>1659</v>
      </c>
      <c r="AA38" s="1639"/>
      <c r="AB38" s="1643" t="s">
        <v>1660</v>
      </c>
      <c r="AC38" s="1639"/>
      <c r="AD38" s="5479" t="s">
        <v>1661</v>
      </c>
      <c r="AE38" s="1639"/>
      <c r="AF38" s="1644" t="s">
        <v>1662</v>
      </c>
      <c r="AG38" s="1639"/>
      <c r="AH38" s="1645" t="s">
        <v>1663</v>
      </c>
      <c r="AI38" s="1639"/>
      <c r="AJ38" s="1646" t="s">
        <v>1664</v>
      </c>
      <c r="AK38" s="2"/>
      <c r="AL38" s="2"/>
      <c r="AM38" s="2"/>
      <c r="AN38" s="2"/>
      <c r="AO38" s="5">
        <v>1</v>
      </c>
    </row>
    <row r="39" spans="1:41" s="1" customFormat="1" ht="18" customHeight="1">
      <c r="A39"/>
      <c r="B39" s="1639"/>
      <c r="C39" s="1639"/>
      <c r="D39" s="1639"/>
      <c r="E39" s="1639"/>
      <c r="F39" s="1639"/>
      <c r="G39" s="1639"/>
      <c r="H39" s="1639"/>
      <c r="I39" s="1639"/>
      <c r="J39" s="1639"/>
      <c r="K39" s="1639"/>
      <c r="L39" s="1639"/>
      <c r="M39" s="1639"/>
      <c r="N39" s="1639"/>
      <c r="O39" s="1639"/>
      <c r="P39" s="1639"/>
      <c r="Q39" s="1639"/>
      <c r="R39" s="1639"/>
      <c r="S39" s="1639"/>
      <c r="T39" s="1639" t="s">
        <v>856</v>
      </c>
      <c r="U39" s="1639"/>
      <c r="V39" s="1639" t="s">
        <v>856</v>
      </c>
      <c r="W39" s="1639"/>
      <c r="X39" s="1639" t="s">
        <v>856</v>
      </c>
      <c r="Y39" s="1639"/>
      <c r="Z39" s="1639" t="s">
        <v>856</v>
      </c>
      <c r="AA39" s="1639"/>
      <c r="AB39" s="1639" t="s">
        <v>856</v>
      </c>
      <c r="AC39" s="1639"/>
      <c r="AD39" s="1639" t="s">
        <v>856</v>
      </c>
      <c r="AE39" s="1639"/>
      <c r="AF39" s="1639" t="s">
        <v>856</v>
      </c>
      <c r="AG39" s="1639"/>
      <c r="AH39" s="1639" t="s">
        <v>856</v>
      </c>
      <c r="AI39" s="1639"/>
      <c r="AJ39" s="1639" t="s">
        <v>856</v>
      </c>
      <c r="AK39" s="2"/>
      <c r="AL39" s="2"/>
      <c r="AM39" s="2"/>
      <c r="AN39" s="2"/>
      <c r="AO39" s="5">
        <v>1</v>
      </c>
    </row>
    <row r="40" spans="1:41" s="1" customFormat="1" ht="18" customHeight="1">
      <c r="A40"/>
      <c r="B40" s="1663" t="s">
        <v>1455</v>
      </c>
      <c r="C40" s="1639"/>
      <c r="D40" s="1640" t="s">
        <v>1456</v>
      </c>
      <c r="E40" s="1639"/>
      <c r="F40" s="1641" t="s">
        <v>1457</v>
      </c>
      <c r="G40" s="1639"/>
      <c r="H40" s="1642" t="s">
        <v>1458</v>
      </c>
      <c r="I40" s="1639"/>
      <c r="J40" s="1643" t="s">
        <v>1221</v>
      </c>
      <c r="K40" s="1639"/>
      <c r="L40" s="5479" t="s">
        <v>1459</v>
      </c>
      <c r="M40" s="1639"/>
      <c r="N40" s="1644" t="s">
        <v>1436</v>
      </c>
      <c r="O40" s="1639"/>
      <c r="P40" s="1645" t="s">
        <v>1460</v>
      </c>
      <c r="Q40" s="1639"/>
      <c r="R40" s="1646" t="s">
        <v>1461</v>
      </c>
      <c r="S40" s="1639"/>
      <c r="T40" s="1663" t="s">
        <v>1665</v>
      </c>
      <c r="U40" s="1639"/>
      <c r="V40" s="1640" t="s">
        <v>1666</v>
      </c>
      <c r="W40" s="1639"/>
      <c r="X40" s="1641" t="s">
        <v>1667</v>
      </c>
      <c r="Y40" s="1639"/>
      <c r="Z40" s="1642" t="s">
        <v>1668</v>
      </c>
      <c r="AA40" s="1639"/>
      <c r="AB40" s="1643" t="s">
        <v>1669</v>
      </c>
      <c r="AC40" s="1639"/>
      <c r="AD40" s="5479" t="s">
        <v>1670</v>
      </c>
      <c r="AE40" s="1639"/>
      <c r="AF40" s="1644" t="s">
        <v>1646</v>
      </c>
      <c r="AG40" s="1639"/>
      <c r="AH40" s="1645" t="s">
        <v>1671</v>
      </c>
      <c r="AI40" s="1639"/>
      <c r="AJ40" s="1646" t="s">
        <v>1672</v>
      </c>
      <c r="AK40" s="2"/>
      <c r="AL40" s="2"/>
      <c r="AM40" s="2"/>
      <c r="AN40" s="2"/>
      <c r="AO40" s="5">
        <v>1</v>
      </c>
    </row>
    <row r="41" spans="1:41" s="1" customFormat="1" ht="18" customHeight="1">
      <c r="A41"/>
      <c r="B41" s="1639"/>
      <c r="C41" s="1639"/>
      <c r="D41" s="1639"/>
      <c r="E41" s="1639"/>
      <c r="F41" s="1639"/>
      <c r="G41" s="1639"/>
      <c r="H41" s="1639"/>
      <c r="I41" s="1639"/>
      <c r="J41" s="1639"/>
      <c r="K41" s="1639"/>
      <c r="L41" s="1639"/>
      <c r="M41" s="1639"/>
      <c r="N41" s="1639"/>
      <c r="O41" s="1639"/>
      <c r="P41" s="1639"/>
      <c r="Q41" s="1639"/>
      <c r="R41" s="1639"/>
      <c r="S41" s="1639"/>
      <c r="T41" s="1639" t="s">
        <v>856</v>
      </c>
      <c r="U41" s="1639"/>
      <c r="V41" s="1639" t="s">
        <v>856</v>
      </c>
      <c r="W41" s="1639"/>
      <c r="X41" s="1639" t="s">
        <v>856</v>
      </c>
      <c r="Y41" s="1639"/>
      <c r="Z41" s="1639" t="s">
        <v>856</v>
      </c>
      <c r="AA41" s="1639"/>
      <c r="AB41" s="1639" t="s">
        <v>856</v>
      </c>
      <c r="AC41" s="1639"/>
      <c r="AD41" s="1639" t="s">
        <v>856</v>
      </c>
      <c r="AE41" s="1639"/>
      <c r="AF41" s="1639" t="s">
        <v>856</v>
      </c>
      <c r="AG41" s="1639"/>
      <c r="AH41" s="1639" t="s">
        <v>856</v>
      </c>
      <c r="AI41" s="1639"/>
      <c r="AJ41" s="1639" t="s">
        <v>856</v>
      </c>
      <c r="AK41" s="2"/>
      <c r="AL41" s="2"/>
      <c r="AM41" s="2"/>
      <c r="AN41" s="2"/>
      <c r="AO41" s="5">
        <v>1</v>
      </c>
    </row>
    <row r="42" spans="1:41" s="1" customFormat="1" ht="18" customHeight="1">
      <c r="A42"/>
      <c r="B42" s="1664" t="s">
        <v>1462</v>
      </c>
      <c r="C42" s="1639"/>
      <c r="D42" s="1640" t="s">
        <v>1463</v>
      </c>
      <c r="E42" s="1639"/>
      <c r="F42" s="1641" t="s">
        <v>1464</v>
      </c>
      <c r="G42" s="1639"/>
      <c r="H42" s="1642" t="s">
        <v>1465</v>
      </c>
      <c r="I42" s="1639"/>
      <c r="J42" s="1639"/>
      <c r="K42" s="1639"/>
      <c r="L42" s="5479" t="s">
        <v>1466</v>
      </c>
      <c r="M42" s="1639"/>
      <c r="N42" s="1644" t="s">
        <v>1444</v>
      </c>
      <c r="O42" s="1639"/>
      <c r="P42" s="1645" t="s">
        <v>1467</v>
      </c>
      <c r="Q42" s="1639"/>
      <c r="R42" s="1646" t="s">
        <v>1468</v>
      </c>
      <c r="S42" s="1639"/>
      <c r="T42" s="1664" t="s">
        <v>1673</v>
      </c>
      <c r="U42" s="1639"/>
      <c r="V42" s="1640" t="s">
        <v>1674</v>
      </c>
      <c r="W42" s="1639"/>
      <c r="X42" s="1641" t="s">
        <v>1675</v>
      </c>
      <c r="Y42" s="1639"/>
      <c r="Z42" s="1642" t="s">
        <v>1676</v>
      </c>
      <c r="AA42" s="1639"/>
      <c r="AB42" s="1639"/>
      <c r="AC42" s="1639"/>
      <c r="AD42" s="5479" t="s">
        <v>1677</v>
      </c>
      <c r="AE42" s="1639"/>
      <c r="AF42" s="1644" t="s">
        <v>1654</v>
      </c>
      <c r="AG42" s="1639"/>
      <c r="AH42" s="1645" t="s">
        <v>1678</v>
      </c>
      <c r="AI42" s="1639"/>
      <c r="AJ42" s="1646" t="s">
        <v>1679</v>
      </c>
      <c r="AK42" s="2"/>
      <c r="AL42" s="2"/>
      <c r="AM42" s="2"/>
      <c r="AN42" s="2"/>
      <c r="AO42" s="5">
        <v>1</v>
      </c>
    </row>
    <row r="43" spans="1:41" s="1" customFormat="1" ht="18" customHeight="1">
      <c r="A43"/>
      <c r="B43" s="1639"/>
      <c r="C43" s="1639"/>
      <c r="D43" s="1639"/>
      <c r="E43" s="1639"/>
      <c r="F43" s="1639"/>
      <c r="G43" s="1639"/>
      <c r="H43" s="1639"/>
      <c r="I43" s="1639"/>
      <c r="J43" s="1639"/>
      <c r="K43" s="1639"/>
      <c r="L43" s="1639"/>
      <c r="M43" s="1639"/>
      <c r="N43" s="1639"/>
      <c r="O43" s="1639"/>
      <c r="P43" s="1639"/>
      <c r="Q43" s="1639"/>
      <c r="R43" s="1639"/>
      <c r="S43" s="1639"/>
      <c r="T43" s="1639" t="s">
        <v>856</v>
      </c>
      <c r="U43" s="1639"/>
      <c r="V43" s="1639" t="s">
        <v>856</v>
      </c>
      <c r="W43" s="1639"/>
      <c r="X43" s="1639" t="s">
        <v>856</v>
      </c>
      <c r="Y43" s="1639"/>
      <c r="Z43" s="1639" t="s">
        <v>856</v>
      </c>
      <c r="AA43" s="1639"/>
      <c r="AB43" s="1639" t="s">
        <v>856</v>
      </c>
      <c r="AC43" s="1639"/>
      <c r="AD43" s="1639" t="s">
        <v>856</v>
      </c>
      <c r="AE43" s="1639"/>
      <c r="AF43" s="1639" t="s">
        <v>856</v>
      </c>
      <c r="AG43" s="1639"/>
      <c r="AH43" s="1639" t="s">
        <v>856</v>
      </c>
      <c r="AI43" s="1639"/>
      <c r="AJ43" s="1639" t="s">
        <v>856</v>
      </c>
      <c r="AK43" s="2"/>
      <c r="AL43" s="2"/>
      <c r="AM43" s="2"/>
      <c r="AN43" s="2"/>
      <c r="AO43" s="5">
        <v>1</v>
      </c>
    </row>
    <row r="44" spans="1:41" s="1" customFormat="1" ht="18" customHeight="1">
      <c r="A44" s="187"/>
      <c r="B44" s="1665" t="s">
        <v>1469</v>
      </c>
      <c r="C44" s="1639"/>
      <c r="D44" s="1640" t="s">
        <v>1470</v>
      </c>
      <c r="E44" s="1639"/>
      <c r="F44" s="1641" t="s">
        <v>1471</v>
      </c>
      <c r="G44" s="1639"/>
      <c r="H44" s="1642" t="s">
        <v>1318</v>
      </c>
      <c r="I44" s="1639"/>
      <c r="J44" s="1639"/>
      <c r="K44" s="1639"/>
      <c r="L44" s="5479" t="s">
        <v>1472</v>
      </c>
      <c r="M44" s="1639"/>
      <c r="N44" s="1644" t="s">
        <v>1473</v>
      </c>
      <c r="O44" s="1639"/>
      <c r="P44" s="1645" t="s">
        <v>1474</v>
      </c>
      <c r="Q44" s="1639"/>
      <c r="R44" s="1646" t="s">
        <v>1475</v>
      </c>
      <c r="S44" s="1639"/>
      <c r="T44" s="1665" t="s">
        <v>1680</v>
      </c>
      <c r="U44" s="1639"/>
      <c r="V44" s="1640" t="s">
        <v>1681</v>
      </c>
      <c r="W44" s="1639"/>
      <c r="X44" s="1641" t="s">
        <v>1682</v>
      </c>
      <c r="Y44" s="1639"/>
      <c r="Z44" s="1642" t="s">
        <v>1556</v>
      </c>
      <c r="AA44" s="1639"/>
      <c r="AB44" s="1639"/>
      <c r="AC44" s="1639"/>
      <c r="AD44" s="5479" t="s">
        <v>1683</v>
      </c>
      <c r="AE44" s="1639"/>
      <c r="AF44" s="1644" t="s">
        <v>1684</v>
      </c>
      <c r="AG44" s="1639"/>
      <c r="AH44" s="1645" t="s">
        <v>1685</v>
      </c>
      <c r="AI44" s="1639"/>
      <c r="AJ44" s="1646" t="s">
        <v>1686</v>
      </c>
      <c r="AK44" s="2"/>
      <c r="AL44" s="2"/>
      <c r="AM44" s="2"/>
      <c r="AN44" s="2"/>
      <c r="AO44" s="5">
        <v>1</v>
      </c>
    </row>
    <row r="45" spans="1:41" s="1" customFormat="1" ht="18" customHeight="1">
      <c r="A45" s="187"/>
      <c r="B45" s="1639"/>
      <c r="C45" s="1639"/>
      <c r="D45" s="1639"/>
      <c r="E45" s="1639"/>
      <c r="F45" s="1639"/>
      <c r="G45" s="1639"/>
      <c r="H45" s="1639"/>
      <c r="I45" s="1639"/>
      <c r="J45" s="1639"/>
      <c r="K45" s="1639"/>
      <c r="L45" s="1639"/>
      <c r="M45" s="1639"/>
      <c r="N45" s="1639"/>
      <c r="O45" s="1639"/>
      <c r="P45" s="1639"/>
      <c r="Q45" s="1639"/>
      <c r="R45" s="1639"/>
      <c r="S45" s="1639"/>
      <c r="T45" s="1639" t="s">
        <v>856</v>
      </c>
      <c r="U45" s="1639"/>
      <c r="V45" s="1639" t="s">
        <v>856</v>
      </c>
      <c r="W45" s="1639"/>
      <c r="X45" s="1639" t="s">
        <v>856</v>
      </c>
      <c r="Y45" s="1639"/>
      <c r="Z45" s="1639" t="s">
        <v>856</v>
      </c>
      <c r="AA45" s="1639"/>
      <c r="AB45" s="1639" t="s">
        <v>856</v>
      </c>
      <c r="AC45" s="1639"/>
      <c r="AD45" s="1639" t="s">
        <v>856</v>
      </c>
      <c r="AE45" s="1639"/>
      <c r="AF45" s="1639" t="s">
        <v>856</v>
      </c>
      <c r="AG45" s="1639"/>
      <c r="AH45" s="1639" t="s">
        <v>856</v>
      </c>
      <c r="AI45" s="1639"/>
      <c r="AJ45" s="1639" t="s">
        <v>856</v>
      </c>
      <c r="AK45" s="2"/>
      <c r="AL45" s="2"/>
      <c r="AM45" s="2"/>
      <c r="AN45" s="2"/>
      <c r="AO45" s="5">
        <v>1</v>
      </c>
    </row>
    <row r="46" spans="1:41" s="1" customFormat="1" ht="18" customHeight="1">
      <c r="A46" s="187"/>
      <c r="B46" s="5479" t="s">
        <v>1476</v>
      </c>
      <c r="C46" s="1639"/>
      <c r="D46" s="1640" t="s">
        <v>1477</v>
      </c>
      <c r="E46" s="1639"/>
      <c r="F46" s="1641" t="s">
        <v>1478</v>
      </c>
      <c r="G46" s="1639"/>
      <c r="H46" s="1642"/>
      <c r="I46" s="1639"/>
      <c r="J46" s="1639"/>
      <c r="K46" s="1639"/>
      <c r="L46" s="5479" t="s">
        <v>1479</v>
      </c>
      <c r="M46" s="1639"/>
      <c r="N46" s="1644" t="s">
        <v>1453</v>
      </c>
      <c r="O46" s="1639"/>
      <c r="P46" s="1645" t="s">
        <v>1480</v>
      </c>
      <c r="Q46" s="1639"/>
      <c r="R46" s="1646" t="s">
        <v>1481</v>
      </c>
      <c r="S46" s="1639"/>
      <c r="T46" s="5479" t="s">
        <v>1687</v>
      </c>
      <c r="U46" s="1639"/>
      <c r="V46" s="1640" t="s">
        <v>1688</v>
      </c>
      <c r="W46" s="1639"/>
      <c r="X46" s="1641" t="s">
        <v>1689</v>
      </c>
      <c r="Y46" s="1639"/>
      <c r="Z46" s="1642"/>
      <c r="AA46" s="1639"/>
      <c r="AB46" s="1639"/>
      <c r="AC46" s="1639"/>
      <c r="AD46" s="5479" t="s">
        <v>1690</v>
      </c>
      <c r="AE46" s="1639"/>
      <c r="AF46" s="1644" t="s">
        <v>1663</v>
      </c>
      <c r="AG46" s="1639"/>
      <c r="AH46" s="1645" t="s">
        <v>1691</v>
      </c>
      <c r="AI46" s="1639"/>
      <c r="AJ46" s="1646" t="s">
        <v>1692</v>
      </c>
      <c r="AK46" s="2"/>
      <c r="AL46" s="2"/>
      <c r="AM46" s="2"/>
      <c r="AN46" s="2"/>
      <c r="AO46" s="5">
        <v>1</v>
      </c>
    </row>
    <row r="47" spans="1:41" s="1" customFormat="1" ht="18" customHeight="1">
      <c r="A47" s="187"/>
      <c r="B47" s="1639"/>
      <c r="C47" s="1639"/>
      <c r="D47" s="1639"/>
      <c r="E47" s="1639"/>
      <c r="F47" s="1639"/>
      <c r="G47" s="1639"/>
      <c r="H47" s="1639"/>
      <c r="I47" s="1639"/>
      <c r="J47" s="1639"/>
      <c r="K47" s="1639"/>
      <c r="L47" s="1639"/>
      <c r="M47" s="1639"/>
      <c r="N47" s="1639"/>
      <c r="O47" s="1639"/>
      <c r="P47" s="1639"/>
      <c r="Q47" s="1639"/>
      <c r="R47" s="1639"/>
      <c r="S47" s="1639"/>
      <c r="T47" s="1639" t="s">
        <v>856</v>
      </c>
      <c r="U47" s="1639"/>
      <c r="V47" s="1639" t="s">
        <v>856</v>
      </c>
      <c r="W47" s="1639"/>
      <c r="X47" s="1639" t="s">
        <v>856</v>
      </c>
      <c r="Y47" s="1639"/>
      <c r="Z47" s="1639" t="s">
        <v>856</v>
      </c>
      <c r="AA47" s="1639"/>
      <c r="AB47" s="1639" t="s">
        <v>856</v>
      </c>
      <c r="AC47" s="1639"/>
      <c r="AD47" s="1639" t="s">
        <v>856</v>
      </c>
      <c r="AE47" s="1639"/>
      <c r="AF47" s="1639" t="s">
        <v>856</v>
      </c>
      <c r="AG47" s="1639"/>
      <c r="AH47" s="1639" t="s">
        <v>856</v>
      </c>
      <c r="AI47" s="1639"/>
      <c r="AJ47" s="1639" t="s">
        <v>856</v>
      </c>
      <c r="AK47" s="2"/>
      <c r="AL47" s="2"/>
      <c r="AM47" s="2"/>
      <c r="AN47" s="2"/>
      <c r="AO47" s="5">
        <v>1</v>
      </c>
    </row>
    <row r="48" spans="1:41" s="1" customFormat="1" ht="18" customHeight="1">
      <c r="A48" s="187"/>
      <c r="B48" s="1666" t="s">
        <v>1482</v>
      </c>
      <c r="C48" s="1639"/>
      <c r="D48" s="1640" t="s">
        <v>1483</v>
      </c>
      <c r="E48" s="1639"/>
      <c r="F48" s="1639"/>
      <c r="G48" s="1639"/>
      <c r="H48" s="1639"/>
      <c r="I48" s="1639"/>
      <c r="J48" s="1639"/>
      <c r="K48" s="1639"/>
      <c r="L48" s="5479" t="s">
        <v>1484</v>
      </c>
      <c r="M48" s="1639"/>
      <c r="N48" s="1644" t="s">
        <v>1485</v>
      </c>
      <c r="O48" s="1639"/>
      <c r="P48" s="1645" t="s">
        <v>1486</v>
      </c>
      <c r="Q48" s="1639"/>
      <c r="R48" s="1646" t="s">
        <v>1487</v>
      </c>
      <c r="S48" s="1639"/>
      <c r="T48" s="1666" t="s">
        <v>1693</v>
      </c>
      <c r="U48" s="1639"/>
      <c r="V48" s="1640" t="s">
        <v>1694</v>
      </c>
      <c r="W48" s="1639"/>
      <c r="X48" s="1639"/>
      <c r="Y48" s="1639"/>
      <c r="Z48" s="1639"/>
      <c r="AA48" s="1639"/>
      <c r="AB48" s="1639"/>
      <c r="AC48" s="1639"/>
      <c r="AD48" s="5479" t="s">
        <v>1695</v>
      </c>
      <c r="AE48" s="1639"/>
      <c r="AF48" s="1644" t="s">
        <v>1696</v>
      </c>
      <c r="AG48" s="1639"/>
      <c r="AH48" s="1645" t="s">
        <v>1697</v>
      </c>
      <c r="AI48" s="1639"/>
      <c r="AJ48" s="1646" t="s">
        <v>1698</v>
      </c>
      <c r="AK48" s="2"/>
      <c r="AL48" s="2"/>
      <c r="AM48" s="2"/>
      <c r="AN48" s="2"/>
      <c r="AO48" s="5">
        <v>1</v>
      </c>
    </row>
    <row r="49" spans="1:41" s="1" customFormat="1" ht="18" customHeight="1">
      <c r="A49" s="187"/>
      <c r="B49" s="1639"/>
      <c r="C49" s="1639"/>
      <c r="D49" s="1639"/>
      <c r="E49" s="1639"/>
      <c r="F49" s="1639"/>
      <c r="G49" s="1639"/>
      <c r="H49" s="1639"/>
      <c r="I49" s="1639"/>
      <c r="J49" s="1639"/>
      <c r="K49" s="1639"/>
      <c r="L49" s="1639"/>
      <c r="M49" s="1639"/>
      <c r="N49" s="1639"/>
      <c r="O49" s="1639"/>
      <c r="P49" s="1639"/>
      <c r="Q49" s="1639"/>
      <c r="R49" s="1639"/>
      <c r="S49" s="1639"/>
      <c r="T49" s="1639" t="s">
        <v>856</v>
      </c>
      <c r="U49" s="1639"/>
      <c r="V49" s="1639" t="s">
        <v>856</v>
      </c>
      <c r="W49" s="1639"/>
      <c r="X49" s="1639" t="s">
        <v>856</v>
      </c>
      <c r="Y49" s="1639"/>
      <c r="Z49" s="1639" t="s">
        <v>856</v>
      </c>
      <c r="AA49" s="1639"/>
      <c r="AB49" s="1639" t="s">
        <v>856</v>
      </c>
      <c r="AC49" s="1639"/>
      <c r="AD49" s="1639" t="s">
        <v>856</v>
      </c>
      <c r="AE49" s="1639"/>
      <c r="AF49" s="1639" t="s">
        <v>856</v>
      </c>
      <c r="AG49" s="1639"/>
      <c r="AH49" s="1639" t="s">
        <v>856</v>
      </c>
      <c r="AI49" s="1639"/>
      <c r="AJ49" s="1639" t="s">
        <v>856</v>
      </c>
      <c r="AK49" s="2"/>
      <c r="AL49" s="2"/>
      <c r="AM49" s="2"/>
      <c r="AN49" s="2"/>
      <c r="AO49" s="5">
        <v>1</v>
      </c>
    </row>
    <row r="50" spans="1:41" s="1" customFormat="1" ht="18" customHeight="1">
      <c r="A50" s="187"/>
      <c r="B50" s="1638" t="s">
        <v>1488</v>
      </c>
      <c r="C50" s="1639"/>
      <c r="D50" s="1640" t="s">
        <v>1489</v>
      </c>
      <c r="E50" s="1639"/>
      <c r="F50" s="1639"/>
      <c r="G50" s="1639"/>
      <c r="H50" s="1639"/>
      <c r="I50" s="1639"/>
      <c r="J50" s="1639"/>
      <c r="K50" s="1639"/>
      <c r="L50" s="5479" t="s">
        <v>1490</v>
      </c>
      <c r="M50" s="1639"/>
      <c r="N50" s="1644" t="s">
        <v>1460</v>
      </c>
      <c r="O50" s="1639"/>
      <c r="P50" s="1645" t="s">
        <v>1491</v>
      </c>
      <c r="Q50" s="1639"/>
      <c r="R50" s="1646" t="s">
        <v>1492</v>
      </c>
      <c r="S50" s="1639"/>
      <c r="T50" s="1638" t="s">
        <v>1699</v>
      </c>
      <c r="U50" s="1639"/>
      <c r="V50" s="1640" t="s">
        <v>1700</v>
      </c>
      <c r="W50" s="1639"/>
      <c r="X50" s="1639"/>
      <c r="Y50" s="1639"/>
      <c r="Z50" s="1639"/>
      <c r="AA50" s="1639"/>
      <c r="AB50" s="1639"/>
      <c r="AC50" s="1639"/>
      <c r="AD50" s="5479" t="s">
        <v>1701</v>
      </c>
      <c r="AE50" s="1639"/>
      <c r="AF50" s="1644" t="s">
        <v>1671</v>
      </c>
      <c r="AG50" s="1639"/>
      <c r="AH50" s="1645" t="s">
        <v>1702</v>
      </c>
      <c r="AI50" s="1639"/>
      <c r="AJ50" s="1646" t="s">
        <v>1703</v>
      </c>
      <c r="AK50" s="2"/>
      <c r="AL50" s="2"/>
      <c r="AM50" s="2"/>
      <c r="AN50" s="2"/>
      <c r="AO50" s="5">
        <v>1</v>
      </c>
    </row>
    <row r="51" spans="1:41" s="1" customFormat="1" ht="18" customHeight="1">
      <c r="A51" s="187"/>
      <c r="B51" s="1639"/>
      <c r="C51" s="1639"/>
      <c r="D51" s="1639"/>
      <c r="E51" s="1639"/>
      <c r="F51" s="1639"/>
      <c r="G51" s="1639"/>
      <c r="H51" s="1639"/>
      <c r="I51" s="1639"/>
      <c r="J51" s="1639"/>
      <c r="K51" s="1639"/>
      <c r="L51" s="1639"/>
      <c r="M51" s="1639"/>
      <c r="N51" s="1639"/>
      <c r="O51" s="1639"/>
      <c r="P51" s="1639"/>
      <c r="Q51" s="1639"/>
      <c r="R51" s="1639"/>
      <c r="S51" s="1639"/>
      <c r="T51" s="1639" t="s">
        <v>856</v>
      </c>
      <c r="U51" s="1639"/>
      <c r="V51" s="1639" t="s">
        <v>856</v>
      </c>
      <c r="W51" s="1639"/>
      <c r="X51" s="1639" t="s">
        <v>856</v>
      </c>
      <c r="Y51" s="1639"/>
      <c r="Z51" s="1639" t="s">
        <v>856</v>
      </c>
      <c r="AA51" s="1639"/>
      <c r="AB51" s="1639" t="s">
        <v>856</v>
      </c>
      <c r="AC51" s="1639"/>
      <c r="AD51" s="1639" t="s">
        <v>856</v>
      </c>
      <c r="AE51" s="1639"/>
      <c r="AF51" s="1639" t="s">
        <v>856</v>
      </c>
      <c r="AG51" s="1639"/>
      <c r="AH51" s="1639" t="s">
        <v>856</v>
      </c>
      <c r="AI51" s="1639"/>
      <c r="AJ51" s="1639" t="s">
        <v>856</v>
      </c>
      <c r="AK51" s="2"/>
      <c r="AL51" s="2"/>
      <c r="AM51" s="2"/>
      <c r="AN51" s="2"/>
      <c r="AO51" s="5">
        <v>1</v>
      </c>
    </row>
    <row r="52" spans="1:41" s="1" customFormat="1" ht="18" customHeight="1">
      <c r="A52" s="187"/>
      <c r="B52" s="1638" t="s">
        <v>1472</v>
      </c>
      <c r="C52" s="1639"/>
      <c r="D52" s="1640" t="s">
        <v>1493</v>
      </c>
      <c r="E52" s="1639"/>
      <c r="F52" s="1639"/>
      <c r="G52" s="1639"/>
      <c r="H52" s="1639"/>
      <c r="I52" s="1639"/>
      <c r="J52" s="1639"/>
      <c r="K52" s="1639"/>
      <c r="L52" s="5479" t="s">
        <v>1494</v>
      </c>
      <c r="M52" s="1639"/>
      <c r="N52" s="1644" t="s">
        <v>1495</v>
      </c>
      <c r="O52" s="1639"/>
      <c r="P52" s="1645" t="s">
        <v>1496</v>
      </c>
      <c r="Q52" s="1639"/>
      <c r="R52" s="1639"/>
      <c r="S52" s="1639"/>
      <c r="T52" s="1638" t="s">
        <v>1683</v>
      </c>
      <c r="U52" s="1639"/>
      <c r="V52" s="1640" t="s">
        <v>1704</v>
      </c>
      <c r="W52" s="1639"/>
      <c r="X52" s="1639"/>
      <c r="Y52" s="1639"/>
      <c r="Z52" s="1639"/>
      <c r="AA52" s="1639"/>
      <c r="AB52" s="1639"/>
      <c r="AC52" s="1639"/>
      <c r="AD52" s="5479" t="s">
        <v>1705</v>
      </c>
      <c r="AE52" s="1639"/>
      <c r="AF52" s="1644" t="s">
        <v>1706</v>
      </c>
      <c r="AG52" s="1639"/>
      <c r="AH52" s="1645" t="s">
        <v>1707</v>
      </c>
      <c r="AI52" s="1639"/>
      <c r="AJ52" s="1639"/>
      <c r="AK52" s="2"/>
      <c r="AL52" s="2"/>
      <c r="AM52" s="2"/>
      <c r="AN52" s="2"/>
      <c r="AO52" s="5">
        <v>1</v>
      </c>
    </row>
    <row r="53" spans="1:41" s="1" customFormat="1" ht="18" customHeight="1">
      <c r="A53" s="187"/>
      <c r="B53" s="1639"/>
      <c r="C53" s="1639"/>
      <c r="D53" s="1639"/>
      <c r="E53" s="1639"/>
      <c r="F53" s="1639"/>
      <c r="G53" s="1639"/>
      <c r="H53" s="1639"/>
      <c r="I53" s="1639"/>
      <c r="J53" s="1639"/>
      <c r="K53" s="1639"/>
      <c r="L53" s="1639"/>
      <c r="M53" s="1639"/>
      <c r="N53" s="1639"/>
      <c r="O53" s="1639"/>
      <c r="P53" s="1639"/>
      <c r="Q53" s="1639"/>
      <c r="R53" s="1639"/>
      <c r="S53" s="1639"/>
      <c r="T53" s="1639" t="s">
        <v>856</v>
      </c>
      <c r="U53" s="1639"/>
      <c r="V53" s="1639" t="s">
        <v>856</v>
      </c>
      <c r="W53" s="1639"/>
      <c r="X53" s="1639" t="s">
        <v>856</v>
      </c>
      <c r="Y53" s="1639"/>
      <c r="Z53" s="1639" t="s">
        <v>856</v>
      </c>
      <c r="AA53" s="1639"/>
      <c r="AB53" s="1639" t="s">
        <v>856</v>
      </c>
      <c r="AC53" s="1639"/>
      <c r="AD53" s="1639" t="s">
        <v>856</v>
      </c>
      <c r="AE53" s="1639"/>
      <c r="AF53" s="1639" t="s">
        <v>856</v>
      </c>
      <c r="AG53" s="1639"/>
      <c r="AH53" s="1639" t="s">
        <v>856</v>
      </c>
      <c r="AI53" s="1639"/>
      <c r="AJ53" s="1639" t="s">
        <v>856</v>
      </c>
      <c r="AK53" s="2"/>
      <c r="AL53" s="2"/>
      <c r="AM53" s="2"/>
      <c r="AN53" s="2"/>
      <c r="AO53" s="5">
        <v>1</v>
      </c>
    </row>
    <row r="54" spans="1:41" s="1" customFormat="1" ht="18" customHeight="1">
      <c r="A54" s="187"/>
      <c r="B54" s="1638" t="s">
        <v>1410</v>
      </c>
      <c r="C54" s="1639"/>
      <c r="D54" s="1640" t="s">
        <v>1497</v>
      </c>
      <c r="E54" s="1639"/>
      <c r="F54" s="1639"/>
      <c r="G54" s="1639"/>
      <c r="H54" s="1639"/>
      <c r="I54" s="1639"/>
      <c r="J54" s="1639"/>
      <c r="K54" s="1639"/>
      <c r="L54" s="5479" t="s">
        <v>1498</v>
      </c>
      <c r="M54" s="1639"/>
      <c r="N54" s="1644" t="s">
        <v>1467</v>
      </c>
      <c r="O54" s="1639"/>
      <c r="P54" s="1645" t="s">
        <v>1499</v>
      </c>
      <c r="Q54" s="1639"/>
      <c r="R54" s="1639"/>
      <c r="S54" s="1639"/>
      <c r="T54" s="1638" t="s">
        <v>1620</v>
      </c>
      <c r="U54" s="1639"/>
      <c r="V54" s="1640" t="s">
        <v>1708</v>
      </c>
      <c r="W54" s="1639"/>
      <c r="X54" s="1639"/>
      <c r="Y54" s="1639"/>
      <c r="Z54" s="1639"/>
      <c r="AA54" s="1639"/>
      <c r="AB54" s="1639"/>
      <c r="AC54" s="1639"/>
      <c r="AD54" s="5479" t="s">
        <v>1709</v>
      </c>
      <c r="AE54" s="1639"/>
      <c r="AF54" s="1644" t="s">
        <v>1678</v>
      </c>
      <c r="AG54" s="1639"/>
      <c r="AH54" s="1645" t="s">
        <v>1710</v>
      </c>
      <c r="AI54" s="1639"/>
      <c r="AJ54" s="1639"/>
      <c r="AK54" s="2"/>
      <c r="AL54" s="2"/>
      <c r="AM54" s="2"/>
      <c r="AN54" s="2"/>
      <c r="AO54" s="5">
        <v>1</v>
      </c>
    </row>
    <row r="55" spans="1:41" s="1" customFormat="1" ht="18" customHeight="1">
      <c r="A55" s="187"/>
      <c r="B55" s="1639"/>
      <c r="C55" s="1639"/>
      <c r="D55" s="1639"/>
      <c r="E55" s="1639"/>
      <c r="F55" s="1639"/>
      <c r="G55" s="1639"/>
      <c r="H55" s="1639"/>
      <c r="I55" s="1639"/>
      <c r="J55" s="1639"/>
      <c r="K55" s="1639"/>
      <c r="L55" s="1639"/>
      <c r="M55" s="1639"/>
      <c r="N55" s="1639"/>
      <c r="O55" s="1639"/>
      <c r="P55" s="1639"/>
      <c r="Q55" s="1639"/>
      <c r="R55" s="1639"/>
      <c r="S55" s="1639"/>
      <c r="T55" s="1639" t="s">
        <v>856</v>
      </c>
      <c r="U55" s="1639"/>
      <c r="V55" s="1639" t="s">
        <v>856</v>
      </c>
      <c r="W55" s="1639"/>
      <c r="X55" s="1639" t="s">
        <v>856</v>
      </c>
      <c r="Y55" s="1639"/>
      <c r="Z55" s="1639" t="s">
        <v>856</v>
      </c>
      <c r="AA55" s="1639"/>
      <c r="AB55" s="1639" t="s">
        <v>856</v>
      </c>
      <c r="AC55" s="1639"/>
      <c r="AD55" s="1639" t="s">
        <v>856</v>
      </c>
      <c r="AE55" s="1639"/>
      <c r="AF55" s="1639" t="s">
        <v>856</v>
      </c>
      <c r="AG55" s="1639"/>
      <c r="AH55" s="1639" t="s">
        <v>856</v>
      </c>
      <c r="AI55" s="1639"/>
      <c r="AJ55" s="1639" t="s">
        <v>856</v>
      </c>
      <c r="AK55" s="2"/>
      <c r="AL55" s="2"/>
      <c r="AM55" s="2"/>
      <c r="AN55" s="2"/>
      <c r="AO55" s="5">
        <v>1</v>
      </c>
    </row>
    <row r="56" spans="1:41" s="1" customFormat="1" ht="18" customHeight="1">
      <c r="A56" s="187"/>
      <c r="B56" s="1638" t="s">
        <v>1500</v>
      </c>
      <c r="C56" s="1639"/>
      <c r="D56" s="1640" t="s">
        <v>1501</v>
      </c>
      <c r="E56" s="1639"/>
      <c r="F56" s="1639"/>
      <c r="G56" s="1639"/>
      <c r="H56" s="1639"/>
      <c r="I56" s="1639"/>
      <c r="J56" s="1639"/>
      <c r="K56" s="1639"/>
      <c r="L56" s="1639"/>
      <c r="M56" s="1639"/>
      <c r="N56" s="1644" t="s">
        <v>1474</v>
      </c>
      <c r="O56" s="1639"/>
      <c r="P56" s="1645" t="s">
        <v>1101</v>
      </c>
      <c r="Q56" s="1639"/>
      <c r="R56" s="1639"/>
      <c r="S56" s="1639"/>
      <c r="T56" s="1638" t="s">
        <v>1711</v>
      </c>
      <c r="U56" s="1639"/>
      <c r="V56" s="1640" t="s">
        <v>1712</v>
      </c>
      <c r="W56" s="1639"/>
      <c r="X56" s="1639"/>
      <c r="Y56" s="1639"/>
      <c r="Z56" s="1639"/>
      <c r="AA56" s="1639"/>
      <c r="AB56" s="1639"/>
      <c r="AC56" s="1639"/>
      <c r="AD56" s="1639"/>
      <c r="AE56" s="1639"/>
      <c r="AF56" s="1644" t="s">
        <v>1685</v>
      </c>
      <c r="AG56" s="1639"/>
      <c r="AH56" s="1645" t="s">
        <v>1713</v>
      </c>
      <c r="AI56" s="1639"/>
      <c r="AJ56" s="1639"/>
      <c r="AK56" s="2"/>
      <c r="AL56" s="2"/>
      <c r="AM56" s="2"/>
      <c r="AN56" s="2"/>
      <c r="AO56" s="5">
        <v>1</v>
      </c>
    </row>
    <row r="57" spans="1:41" s="1" customFormat="1" ht="18" customHeight="1">
      <c r="B57" s="1639"/>
      <c r="C57" s="1639"/>
      <c r="D57" s="1639"/>
      <c r="E57" s="1639"/>
      <c r="F57" s="1639"/>
      <c r="G57" s="1639"/>
      <c r="H57" s="1639"/>
      <c r="I57" s="1639"/>
      <c r="J57" s="1639"/>
      <c r="K57" s="1639"/>
      <c r="L57" s="1639"/>
      <c r="M57" s="1639"/>
      <c r="N57" s="1639"/>
      <c r="O57" s="1639"/>
      <c r="P57" s="1639"/>
      <c r="Q57" s="1639"/>
      <c r="R57" s="1639"/>
      <c r="S57" s="1639"/>
      <c r="T57" s="1639" t="s">
        <v>856</v>
      </c>
      <c r="U57" s="1639"/>
      <c r="V57" s="1639" t="s">
        <v>856</v>
      </c>
      <c r="W57" s="1639"/>
      <c r="X57" s="1639" t="s">
        <v>856</v>
      </c>
      <c r="Y57" s="1639"/>
      <c r="Z57" s="1639" t="s">
        <v>856</v>
      </c>
      <c r="AA57" s="1639"/>
      <c r="AB57" s="1639" t="s">
        <v>856</v>
      </c>
      <c r="AC57" s="1639"/>
      <c r="AD57" s="1639" t="s">
        <v>856</v>
      </c>
      <c r="AE57" s="1639"/>
      <c r="AF57" s="1639" t="s">
        <v>856</v>
      </c>
      <c r="AG57" s="1639"/>
      <c r="AH57" s="1639" t="s">
        <v>856</v>
      </c>
      <c r="AI57" s="1639"/>
      <c r="AJ57" s="1639" t="s">
        <v>856</v>
      </c>
      <c r="AK57" s="2"/>
      <c r="AL57" s="2"/>
      <c r="AM57" s="2"/>
      <c r="AN57" s="2"/>
      <c r="AO57" s="5">
        <v>1</v>
      </c>
    </row>
    <row r="58" spans="1:41" s="1" customFormat="1" ht="18" customHeight="1">
      <c r="B58" s="1638" t="s">
        <v>1502</v>
      </c>
      <c r="C58" s="1639"/>
      <c r="D58" s="1640" t="s">
        <v>1503</v>
      </c>
      <c r="E58" s="1639"/>
      <c r="F58" s="1639"/>
      <c r="G58" s="1639"/>
      <c r="H58" s="1639"/>
      <c r="I58" s="1639"/>
      <c r="J58" s="1639"/>
      <c r="K58" s="1639"/>
      <c r="L58" s="1639"/>
      <c r="M58" s="1639"/>
      <c r="N58" s="1644" t="s">
        <v>1480</v>
      </c>
      <c r="O58" s="1639"/>
      <c r="P58" s="1645" t="s">
        <v>1504</v>
      </c>
      <c r="Q58" s="1639"/>
      <c r="R58" s="1639"/>
      <c r="S58" s="1639"/>
      <c r="T58" s="1638" t="s">
        <v>1714</v>
      </c>
      <c r="U58" s="1639"/>
      <c r="V58" s="1640" t="s">
        <v>1715</v>
      </c>
      <c r="W58" s="1639"/>
      <c r="X58" s="1639"/>
      <c r="Y58" s="1639"/>
      <c r="Z58" s="1639"/>
      <c r="AA58" s="1639"/>
      <c r="AB58" s="1639"/>
      <c r="AC58" s="1639"/>
      <c r="AD58" s="1639"/>
      <c r="AE58" s="1639"/>
      <c r="AF58" s="1644" t="s">
        <v>1691</v>
      </c>
      <c r="AG58" s="1639"/>
      <c r="AH58" s="1645" t="s">
        <v>1716</v>
      </c>
      <c r="AI58" s="1639"/>
      <c r="AJ58" s="1639"/>
      <c r="AK58" s="2"/>
      <c r="AL58" s="2"/>
      <c r="AM58" s="2"/>
      <c r="AN58" s="2"/>
      <c r="AO58" s="5">
        <v>1</v>
      </c>
    </row>
    <row r="59" spans="1:41" s="1" customFormat="1" ht="18" customHeight="1">
      <c r="B59" s="1639"/>
      <c r="C59" s="1639"/>
      <c r="D59" s="1639"/>
      <c r="E59" s="1639"/>
      <c r="F59" s="1639"/>
      <c r="G59" s="1639"/>
      <c r="H59" s="1639"/>
      <c r="I59" s="1639"/>
      <c r="J59" s="1639"/>
      <c r="K59" s="1639"/>
      <c r="L59" s="1639"/>
      <c r="M59" s="1639"/>
      <c r="N59" s="1639"/>
      <c r="O59" s="1639"/>
      <c r="P59" s="1639"/>
      <c r="Q59" s="1639"/>
      <c r="R59" s="1639"/>
      <c r="S59" s="1639"/>
      <c r="T59" s="1639" t="s">
        <v>856</v>
      </c>
      <c r="U59" s="1639"/>
      <c r="V59" s="1639" t="s">
        <v>856</v>
      </c>
      <c r="W59" s="1639"/>
      <c r="X59" s="1639" t="s">
        <v>856</v>
      </c>
      <c r="Y59" s="1639"/>
      <c r="Z59" s="1639" t="s">
        <v>856</v>
      </c>
      <c r="AA59" s="1639"/>
      <c r="AB59" s="1639" t="s">
        <v>856</v>
      </c>
      <c r="AC59" s="1639"/>
      <c r="AD59" s="1639" t="s">
        <v>856</v>
      </c>
      <c r="AE59" s="1639"/>
      <c r="AF59" s="1639" t="s">
        <v>856</v>
      </c>
      <c r="AG59" s="1639"/>
      <c r="AH59" s="1639" t="s">
        <v>856</v>
      </c>
      <c r="AI59" s="1639"/>
      <c r="AJ59" s="1639" t="s">
        <v>856</v>
      </c>
      <c r="AK59" s="2"/>
      <c r="AL59" s="2"/>
      <c r="AM59" s="2"/>
      <c r="AN59" s="2"/>
      <c r="AO59" s="5">
        <v>1</v>
      </c>
    </row>
    <row r="60" spans="1:41" s="1" customFormat="1" ht="18" customHeight="1">
      <c r="B60" s="1638" t="s">
        <v>1505</v>
      </c>
      <c r="C60" s="1639"/>
      <c r="D60" s="1640" t="s">
        <v>1506</v>
      </c>
      <c r="E60" s="1639"/>
      <c r="F60" s="1639"/>
      <c r="G60" s="1639"/>
      <c r="H60" s="1639"/>
      <c r="I60" s="1639"/>
      <c r="J60" s="1639"/>
      <c r="K60" s="1639"/>
      <c r="L60" s="1639"/>
      <c r="M60" s="1639"/>
      <c r="N60" s="1644" t="s">
        <v>1486</v>
      </c>
      <c r="O60" s="1639"/>
      <c r="P60" s="1645" t="s">
        <v>1507</v>
      </c>
      <c r="Q60" s="1639"/>
      <c r="R60" s="1639"/>
      <c r="S60" s="1639"/>
      <c r="T60" s="1638" t="s">
        <v>1717</v>
      </c>
      <c r="U60" s="1639"/>
      <c r="V60" s="1640" t="s">
        <v>1718</v>
      </c>
      <c r="W60" s="1639"/>
      <c r="X60" s="1639"/>
      <c r="Y60" s="1639"/>
      <c r="Z60" s="1639"/>
      <c r="AA60" s="1639"/>
      <c r="AB60" s="1639"/>
      <c r="AC60" s="1639"/>
      <c r="AD60" s="1639"/>
      <c r="AE60" s="1639"/>
      <c r="AF60" s="1644" t="s">
        <v>1697</v>
      </c>
      <c r="AG60" s="1639"/>
      <c r="AH60" s="1645" t="s">
        <v>1719</v>
      </c>
      <c r="AI60" s="1639"/>
      <c r="AJ60" s="1639"/>
      <c r="AK60" s="2"/>
      <c r="AL60" s="2"/>
      <c r="AM60" s="2"/>
      <c r="AN60" s="2"/>
      <c r="AO60" s="5">
        <v>1</v>
      </c>
    </row>
    <row r="61" spans="1:41" s="1" customFormat="1" ht="18" customHeight="1">
      <c r="B61" s="1639"/>
      <c r="C61" s="1639"/>
      <c r="D61" s="1639"/>
      <c r="E61" s="1639"/>
      <c r="F61" s="1639"/>
      <c r="G61" s="1639"/>
      <c r="H61" s="1639"/>
      <c r="I61" s="1639"/>
      <c r="J61" s="1639"/>
      <c r="K61" s="1639"/>
      <c r="L61" s="1639"/>
      <c r="M61" s="1639"/>
      <c r="N61" s="1639"/>
      <c r="O61" s="1639"/>
      <c r="P61" s="1639"/>
      <c r="Q61" s="1639"/>
      <c r="R61" s="1639"/>
      <c r="S61" s="1639"/>
      <c r="T61" s="1639" t="s">
        <v>856</v>
      </c>
      <c r="U61" s="1639"/>
      <c r="V61" s="1639" t="s">
        <v>856</v>
      </c>
      <c r="W61" s="1639"/>
      <c r="X61" s="1639" t="s">
        <v>856</v>
      </c>
      <c r="Y61" s="1639"/>
      <c r="Z61" s="1639" t="s">
        <v>856</v>
      </c>
      <c r="AA61" s="1639"/>
      <c r="AB61" s="1639" t="s">
        <v>856</v>
      </c>
      <c r="AC61" s="1639"/>
      <c r="AD61" s="1639" t="s">
        <v>856</v>
      </c>
      <c r="AE61" s="1639"/>
      <c r="AF61" s="1639" t="s">
        <v>856</v>
      </c>
      <c r="AG61" s="1639"/>
      <c r="AH61" s="1639" t="s">
        <v>856</v>
      </c>
      <c r="AI61" s="1639"/>
      <c r="AJ61" s="1639" t="s">
        <v>856</v>
      </c>
      <c r="AK61" s="2"/>
      <c r="AL61" s="2"/>
      <c r="AM61" s="2"/>
      <c r="AN61" s="2"/>
      <c r="AO61" s="5">
        <v>1</v>
      </c>
    </row>
    <row r="62" spans="1:41" s="1" customFormat="1" ht="18" customHeight="1">
      <c r="B62" s="1638" t="s">
        <v>1484</v>
      </c>
      <c r="C62" s="1639"/>
      <c r="D62" s="1639"/>
      <c r="E62" s="1639"/>
      <c r="F62" s="1639"/>
      <c r="G62" s="1639"/>
      <c r="H62" s="1639"/>
      <c r="I62" s="1639"/>
      <c r="J62" s="1639"/>
      <c r="K62" s="1639"/>
      <c r="L62" s="1639"/>
      <c r="M62" s="1639"/>
      <c r="N62" s="1644" t="s">
        <v>1491</v>
      </c>
      <c r="O62" s="1639"/>
      <c r="P62" s="1645" t="s">
        <v>1508</v>
      </c>
      <c r="Q62" s="1639"/>
      <c r="R62" s="1639"/>
      <c r="S62" s="1639"/>
      <c r="T62" s="1638" t="s">
        <v>1695</v>
      </c>
      <c r="U62" s="1639"/>
      <c r="V62" s="1639"/>
      <c r="W62" s="1639"/>
      <c r="X62" s="1639"/>
      <c r="Y62" s="1639"/>
      <c r="Z62" s="1639"/>
      <c r="AA62" s="1639"/>
      <c r="AB62" s="1639"/>
      <c r="AC62" s="1639"/>
      <c r="AD62" s="1639"/>
      <c r="AE62" s="1639"/>
      <c r="AF62" s="1644" t="s">
        <v>1702</v>
      </c>
      <c r="AG62" s="1639"/>
      <c r="AH62" s="1645" t="s">
        <v>1720</v>
      </c>
      <c r="AI62" s="1639"/>
      <c r="AJ62" s="1639"/>
      <c r="AK62" s="2"/>
      <c r="AL62" s="2"/>
      <c r="AM62" s="2"/>
      <c r="AN62" s="2"/>
      <c r="AO62" s="5">
        <v>1</v>
      </c>
    </row>
    <row r="63" spans="1:41" s="1" customFormat="1" ht="18" customHeight="1">
      <c r="B63" s="1639"/>
      <c r="C63" s="1639"/>
      <c r="D63" s="1639"/>
      <c r="E63" s="1639"/>
      <c r="F63" s="1639"/>
      <c r="G63" s="1639"/>
      <c r="H63" s="1639"/>
      <c r="I63" s="1639"/>
      <c r="J63" s="1639"/>
      <c r="K63" s="1639"/>
      <c r="L63" s="1639"/>
      <c r="M63" s="1639"/>
      <c r="N63" s="1639"/>
      <c r="O63" s="1639"/>
      <c r="P63" s="1639"/>
      <c r="Q63" s="1639"/>
      <c r="R63" s="1639"/>
      <c r="S63" s="1639"/>
      <c r="T63" s="1639" t="s">
        <v>856</v>
      </c>
      <c r="U63" s="1639"/>
      <c r="V63" s="1639" t="s">
        <v>856</v>
      </c>
      <c r="W63" s="1639"/>
      <c r="X63" s="1639" t="s">
        <v>856</v>
      </c>
      <c r="Y63" s="1639"/>
      <c r="Z63" s="1639" t="s">
        <v>856</v>
      </c>
      <c r="AA63" s="1639"/>
      <c r="AB63" s="1639" t="s">
        <v>856</v>
      </c>
      <c r="AC63" s="1639"/>
      <c r="AD63" s="1639" t="s">
        <v>856</v>
      </c>
      <c r="AE63" s="1639"/>
      <c r="AF63" s="1639" t="s">
        <v>856</v>
      </c>
      <c r="AG63" s="1639"/>
      <c r="AH63" s="1639" t="s">
        <v>856</v>
      </c>
      <c r="AI63" s="1639"/>
      <c r="AJ63" s="1639" t="s">
        <v>856</v>
      </c>
      <c r="AK63" s="2"/>
      <c r="AL63" s="2"/>
      <c r="AM63" s="2"/>
      <c r="AN63" s="2"/>
      <c r="AO63" s="5">
        <v>1</v>
      </c>
    </row>
    <row r="64" spans="1:41" s="1" customFormat="1" ht="18" customHeight="1">
      <c r="B64" s="1638" t="s">
        <v>1498</v>
      </c>
      <c r="C64" s="1639"/>
      <c r="D64" s="1639"/>
      <c r="E64" s="1639"/>
      <c r="F64" s="1639"/>
      <c r="G64" s="1639"/>
      <c r="H64" s="1639"/>
      <c r="I64" s="1639"/>
      <c r="J64" s="1639"/>
      <c r="K64" s="1639"/>
      <c r="L64" s="1639"/>
      <c r="M64" s="1639"/>
      <c r="N64" s="1644" t="s">
        <v>1509</v>
      </c>
      <c r="O64" s="1639"/>
      <c r="P64" s="1645" t="s">
        <v>1510</v>
      </c>
      <c r="Q64" s="1639"/>
      <c r="R64" s="1639"/>
      <c r="S64" s="1639"/>
      <c r="T64" s="1638" t="s">
        <v>1709</v>
      </c>
      <c r="U64" s="1639"/>
      <c r="V64" s="1639"/>
      <c r="W64" s="1639"/>
      <c r="X64" s="1639"/>
      <c r="Y64" s="1639"/>
      <c r="Z64" s="1639"/>
      <c r="AA64" s="1639"/>
      <c r="AB64" s="1639"/>
      <c r="AC64" s="1639"/>
      <c r="AD64" s="1639"/>
      <c r="AE64" s="1639"/>
      <c r="AF64" s="1644" t="s">
        <v>1721</v>
      </c>
      <c r="AG64" s="1639"/>
      <c r="AH64" s="1645" t="s">
        <v>1722</v>
      </c>
      <c r="AI64" s="1639"/>
      <c r="AJ64" s="1639"/>
      <c r="AK64" s="2"/>
      <c r="AL64" s="2"/>
      <c r="AM64" s="2"/>
      <c r="AN64" s="2"/>
      <c r="AO64" s="5">
        <v>1</v>
      </c>
    </row>
    <row r="65" spans="2:41" s="1" customFormat="1" ht="18" customHeight="1">
      <c r="B65" s="1639"/>
      <c r="C65" s="1639"/>
      <c r="D65" s="1639"/>
      <c r="E65" s="1639"/>
      <c r="F65" s="1639"/>
      <c r="G65" s="1639"/>
      <c r="H65" s="1639"/>
      <c r="I65" s="1639"/>
      <c r="J65" s="1639"/>
      <c r="K65" s="1639"/>
      <c r="L65" s="1639"/>
      <c r="M65" s="1639"/>
      <c r="N65" s="1639"/>
      <c r="O65" s="1639"/>
      <c r="P65" s="1639"/>
      <c r="Q65" s="1639"/>
      <c r="R65" s="1639"/>
      <c r="S65" s="1639"/>
      <c r="T65" s="1639" t="s">
        <v>856</v>
      </c>
      <c r="U65" s="1639"/>
      <c r="V65" s="1639" t="s">
        <v>856</v>
      </c>
      <c r="W65" s="1639"/>
      <c r="X65" s="1639" t="s">
        <v>856</v>
      </c>
      <c r="Y65" s="1639"/>
      <c r="Z65" s="1639" t="s">
        <v>856</v>
      </c>
      <c r="AA65" s="1639"/>
      <c r="AB65" s="1639" t="s">
        <v>856</v>
      </c>
      <c r="AC65" s="1639"/>
      <c r="AD65" s="1639" t="s">
        <v>856</v>
      </c>
      <c r="AE65" s="1639"/>
      <c r="AF65" s="1639" t="s">
        <v>856</v>
      </c>
      <c r="AG65" s="1639"/>
      <c r="AH65" s="1639" t="s">
        <v>856</v>
      </c>
      <c r="AI65" s="1639"/>
      <c r="AJ65" s="1639" t="s">
        <v>856</v>
      </c>
      <c r="AK65" s="2"/>
      <c r="AL65" s="2"/>
      <c r="AM65" s="2"/>
      <c r="AN65" s="2"/>
      <c r="AO65" s="5">
        <v>1</v>
      </c>
    </row>
    <row r="66" spans="2:41" s="1" customFormat="1" ht="18" customHeight="1">
      <c r="B66" s="1638" t="s">
        <v>1343</v>
      </c>
      <c r="C66" s="1639"/>
      <c r="D66" s="1639"/>
      <c r="E66" s="1639"/>
      <c r="F66" s="1639"/>
      <c r="G66" s="1639"/>
      <c r="H66" s="1639"/>
      <c r="I66" s="1639"/>
      <c r="J66" s="1639"/>
      <c r="K66" s="1639"/>
      <c r="L66" s="1639"/>
      <c r="M66" s="1639"/>
      <c r="N66" s="1644" t="s">
        <v>1496</v>
      </c>
      <c r="O66" s="1639"/>
      <c r="P66" s="1645" t="s">
        <v>1511</v>
      </c>
      <c r="Q66" s="1639"/>
      <c r="R66" s="1639"/>
      <c r="S66" s="1639"/>
      <c r="T66" s="1638" t="s">
        <v>1573</v>
      </c>
      <c r="U66" s="1639"/>
      <c r="V66" s="1639"/>
      <c r="W66" s="1639"/>
      <c r="X66" s="1639"/>
      <c r="Y66" s="1639"/>
      <c r="Z66" s="1639"/>
      <c r="AA66" s="1639"/>
      <c r="AB66" s="1639"/>
      <c r="AC66" s="1639"/>
      <c r="AD66" s="1639"/>
      <c r="AE66" s="1639"/>
      <c r="AF66" s="1644" t="s">
        <v>1707</v>
      </c>
      <c r="AG66" s="1639"/>
      <c r="AH66" s="1645" t="s">
        <v>1723</v>
      </c>
      <c r="AI66" s="1639"/>
      <c r="AJ66" s="1639"/>
      <c r="AK66" s="2"/>
      <c r="AL66" s="2"/>
      <c r="AM66" s="2"/>
      <c r="AN66" s="2"/>
      <c r="AO66" s="5">
        <v>1</v>
      </c>
    </row>
    <row r="67" spans="2:41" s="1" customFormat="1" ht="18" customHeight="1">
      <c r="B67" s="1639"/>
      <c r="C67" s="1639"/>
      <c r="D67" s="1639"/>
      <c r="E67" s="1639"/>
      <c r="F67" s="1639"/>
      <c r="G67" s="1639"/>
      <c r="H67" s="1639"/>
      <c r="I67" s="1639"/>
      <c r="J67" s="1639"/>
      <c r="K67" s="1639"/>
      <c r="L67" s="1639"/>
      <c r="M67" s="1639"/>
      <c r="N67" s="1639"/>
      <c r="O67" s="1639"/>
      <c r="P67" s="1639"/>
      <c r="Q67" s="1639"/>
      <c r="R67" s="1639"/>
      <c r="S67" s="1639"/>
      <c r="T67" s="1639" t="s">
        <v>856</v>
      </c>
      <c r="U67" s="1639"/>
      <c r="V67" s="1639" t="s">
        <v>856</v>
      </c>
      <c r="W67" s="1639"/>
      <c r="X67" s="1639" t="s">
        <v>856</v>
      </c>
      <c r="Y67" s="1639"/>
      <c r="Z67" s="1639" t="s">
        <v>856</v>
      </c>
      <c r="AA67" s="1639"/>
      <c r="AB67" s="1639" t="s">
        <v>856</v>
      </c>
      <c r="AC67" s="1639"/>
      <c r="AD67" s="1639" t="s">
        <v>856</v>
      </c>
      <c r="AE67" s="1639"/>
      <c r="AF67" s="1639" t="s">
        <v>856</v>
      </c>
      <c r="AG67" s="1639"/>
      <c r="AH67" s="1639" t="s">
        <v>856</v>
      </c>
      <c r="AI67" s="1639"/>
      <c r="AJ67" s="1639"/>
      <c r="AK67" s="2"/>
      <c r="AL67" s="2"/>
      <c r="AM67" s="2"/>
      <c r="AN67" s="2"/>
      <c r="AO67" s="5">
        <v>1</v>
      </c>
    </row>
    <row r="68" spans="2:41" s="1" customFormat="1" ht="18" customHeight="1">
      <c r="B68" s="1667"/>
      <c r="C68" s="1639"/>
      <c r="D68" s="1639"/>
      <c r="E68" s="1639"/>
      <c r="F68" s="1639"/>
      <c r="G68" s="1639"/>
      <c r="H68" s="1639"/>
      <c r="I68" s="1639"/>
      <c r="J68" s="1639"/>
      <c r="K68" s="1639"/>
      <c r="L68" s="1639"/>
      <c r="M68" s="1639"/>
      <c r="N68" s="1644" t="s">
        <v>1499</v>
      </c>
      <c r="O68" s="1639"/>
      <c r="P68" s="1645" t="s">
        <v>1512</v>
      </c>
      <c r="Q68" s="1639"/>
      <c r="R68" s="1639"/>
      <c r="S68" s="1639"/>
      <c r="T68" s="1667"/>
      <c r="U68" s="1639"/>
      <c r="V68" s="1639"/>
      <c r="W68" s="1639"/>
      <c r="X68" s="1639"/>
      <c r="Y68" s="1639"/>
      <c r="Z68" s="1639"/>
      <c r="AA68" s="1639"/>
      <c r="AB68" s="1639"/>
      <c r="AC68" s="1639"/>
      <c r="AD68" s="1639"/>
      <c r="AE68" s="1639"/>
      <c r="AF68" s="1644" t="s">
        <v>1710</v>
      </c>
      <c r="AG68" s="1639"/>
      <c r="AH68" s="1645" t="s">
        <v>1724</v>
      </c>
      <c r="AI68" s="1639"/>
      <c r="AJ68" s="1639"/>
      <c r="AK68" s="2"/>
      <c r="AL68" s="2"/>
      <c r="AM68" s="2"/>
      <c r="AN68" s="2"/>
      <c r="AO68" s="5">
        <v>1</v>
      </c>
    </row>
    <row r="69" spans="2:41" s="1" customFormat="1" ht="18" customHeight="1">
      <c r="B69" s="1667"/>
      <c r="C69" s="1639"/>
      <c r="D69" s="1639"/>
      <c r="E69" s="1639"/>
      <c r="F69" s="1639"/>
      <c r="G69" s="1639"/>
      <c r="H69" s="1639"/>
      <c r="I69" s="1639"/>
      <c r="J69" s="1639"/>
      <c r="K69" s="1639"/>
      <c r="L69" s="1639"/>
      <c r="M69" s="1639"/>
      <c r="N69" s="1639"/>
      <c r="O69" s="1639"/>
      <c r="P69" s="1639"/>
      <c r="Q69" s="1639"/>
      <c r="R69" s="1639"/>
      <c r="S69" s="1639"/>
      <c r="T69" s="1639" t="s">
        <v>856</v>
      </c>
      <c r="U69" s="1639"/>
      <c r="V69" s="1639" t="s">
        <v>856</v>
      </c>
      <c r="W69" s="1639"/>
      <c r="X69" s="1639" t="s">
        <v>856</v>
      </c>
      <c r="Y69" s="1639"/>
      <c r="Z69" s="1639" t="s">
        <v>856</v>
      </c>
      <c r="AA69" s="1639"/>
      <c r="AB69" s="1639" t="s">
        <v>856</v>
      </c>
      <c r="AC69" s="1639"/>
      <c r="AD69" s="1639" t="s">
        <v>856</v>
      </c>
      <c r="AE69" s="1639"/>
      <c r="AF69" s="1639" t="s">
        <v>856</v>
      </c>
      <c r="AG69" s="1639"/>
      <c r="AH69" s="1639" t="s">
        <v>856</v>
      </c>
      <c r="AI69" s="1639"/>
      <c r="AJ69" s="1639"/>
      <c r="AK69" s="2"/>
      <c r="AL69" s="2"/>
      <c r="AM69" s="2"/>
      <c r="AN69" s="2"/>
      <c r="AO69" s="5"/>
    </row>
    <row r="70" spans="2:41" s="1" customFormat="1" ht="18" customHeight="1">
      <c r="B70" s="1667"/>
      <c r="C70" s="1639"/>
      <c r="D70" s="1639"/>
      <c r="E70" s="1639"/>
      <c r="F70" s="1639"/>
      <c r="G70" s="1639"/>
      <c r="H70" s="1639"/>
      <c r="I70" s="1639"/>
      <c r="J70" s="1639"/>
      <c r="K70" s="1639"/>
      <c r="L70" s="1639"/>
      <c r="M70" s="1639"/>
      <c r="N70" s="1644" t="s">
        <v>1101</v>
      </c>
      <c r="O70" s="1639"/>
      <c r="P70" s="1645" t="s">
        <v>1513</v>
      </c>
      <c r="Q70" s="1639"/>
      <c r="R70" s="1639"/>
      <c r="S70" s="1639"/>
      <c r="T70" s="1667"/>
      <c r="U70" s="1639"/>
      <c r="V70" s="1639"/>
      <c r="W70" s="1639"/>
      <c r="X70" s="1639"/>
      <c r="Y70" s="1639"/>
      <c r="Z70" s="1639"/>
      <c r="AA70" s="1639"/>
      <c r="AB70" s="1639"/>
      <c r="AC70" s="1639"/>
      <c r="AD70" s="1639"/>
      <c r="AE70" s="1639"/>
      <c r="AF70" s="1644" t="s">
        <v>1713</v>
      </c>
      <c r="AG70" s="1639"/>
      <c r="AH70" s="1645" t="s">
        <v>1725</v>
      </c>
      <c r="AI70" s="1639"/>
      <c r="AJ70" s="1639"/>
      <c r="AK70" s="2"/>
      <c r="AL70" s="2"/>
      <c r="AM70" s="2"/>
      <c r="AN70" s="2"/>
      <c r="AO70" s="5">
        <v>1</v>
      </c>
    </row>
    <row r="71" spans="2:41" s="1" customFormat="1" ht="18" customHeight="1">
      <c r="B71" s="1667"/>
      <c r="C71" s="1639"/>
      <c r="D71" s="1639"/>
      <c r="E71" s="1639"/>
      <c r="F71" s="1639"/>
      <c r="G71" s="1639"/>
      <c r="H71" s="1639"/>
      <c r="I71" s="1639"/>
      <c r="J71" s="1639"/>
      <c r="K71" s="1639"/>
      <c r="L71" s="1639"/>
      <c r="M71" s="1639"/>
      <c r="N71" s="1639"/>
      <c r="O71" s="1639"/>
      <c r="P71" s="1639"/>
      <c r="Q71" s="1639"/>
      <c r="R71" s="1639"/>
      <c r="S71" s="1639"/>
      <c r="T71" s="1639" t="s">
        <v>856</v>
      </c>
      <c r="U71" s="1639"/>
      <c r="V71" s="1639" t="s">
        <v>856</v>
      </c>
      <c r="W71" s="1639"/>
      <c r="X71" s="1639" t="s">
        <v>856</v>
      </c>
      <c r="Y71" s="1639"/>
      <c r="Z71" s="1639" t="s">
        <v>856</v>
      </c>
      <c r="AA71" s="1639"/>
      <c r="AB71" s="1639" t="s">
        <v>856</v>
      </c>
      <c r="AC71" s="1639"/>
      <c r="AD71" s="1639" t="s">
        <v>856</v>
      </c>
      <c r="AE71" s="1639"/>
      <c r="AF71" s="1639" t="s">
        <v>856</v>
      </c>
      <c r="AG71" s="1639"/>
      <c r="AH71" s="1639" t="s">
        <v>856</v>
      </c>
      <c r="AI71" s="1639"/>
      <c r="AJ71" s="1639"/>
      <c r="AK71" s="2"/>
      <c r="AL71" s="2"/>
      <c r="AM71" s="2"/>
      <c r="AN71" s="2"/>
      <c r="AO71" s="5"/>
    </row>
    <row r="72" spans="2:41" s="1" customFormat="1" ht="18" customHeight="1">
      <c r="B72" s="1667"/>
      <c r="C72" s="1639"/>
      <c r="D72" s="1639"/>
      <c r="E72" s="1639"/>
      <c r="F72" s="1639"/>
      <c r="G72" s="1639"/>
      <c r="H72" s="1639"/>
      <c r="I72" s="1639"/>
      <c r="J72" s="1639"/>
      <c r="K72" s="1639"/>
      <c r="L72" s="1639"/>
      <c r="M72" s="1639"/>
      <c r="N72" s="1644" t="s">
        <v>1514</v>
      </c>
      <c r="O72" s="1639"/>
      <c r="P72" s="1645" t="s">
        <v>1515</v>
      </c>
      <c r="Q72" s="1639"/>
      <c r="R72" s="1639"/>
      <c r="S72" s="1639"/>
      <c r="T72" s="1667"/>
      <c r="U72" s="1639"/>
      <c r="V72" s="1639"/>
      <c r="W72" s="1639"/>
      <c r="X72" s="1639"/>
      <c r="Y72" s="1639"/>
      <c r="Z72" s="1639"/>
      <c r="AA72" s="1639"/>
      <c r="AB72" s="1639"/>
      <c r="AC72" s="1639"/>
      <c r="AD72" s="1639"/>
      <c r="AE72" s="1639"/>
      <c r="AF72" s="1644" t="s">
        <v>1726</v>
      </c>
      <c r="AG72" s="1639"/>
      <c r="AH72" s="1645" t="s">
        <v>1727</v>
      </c>
      <c r="AI72" s="1639"/>
      <c r="AJ72" s="1639"/>
      <c r="AK72" s="2"/>
      <c r="AL72" s="2"/>
      <c r="AM72" s="2"/>
      <c r="AN72" s="2"/>
      <c r="AO72" s="5">
        <v>1</v>
      </c>
    </row>
    <row r="73" spans="2:41" s="1" customFormat="1" ht="18" customHeight="1">
      <c r="B73" s="1667"/>
      <c r="C73" s="1639"/>
      <c r="D73" s="1639"/>
      <c r="E73" s="1639"/>
      <c r="F73" s="1639"/>
      <c r="G73" s="1639"/>
      <c r="H73" s="1639"/>
      <c r="I73" s="1639"/>
      <c r="J73" s="1639"/>
      <c r="K73" s="1639"/>
      <c r="L73" s="1639"/>
      <c r="M73" s="1639"/>
      <c r="N73" s="1639"/>
      <c r="O73" s="1639"/>
      <c r="P73" s="1639"/>
      <c r="Q73" s="1639"/>
      <c r="R73" s="1639"/>
      <c r="S73" s="1639"/>
      <c r="T73" s="1639" t="s">
        <v>856</v>
      </c>
      <c r="U73" s="1639"/>
      <c r="V73" s="1639" t="s">
        <v>856</v>
      </c>
      <c r="W73" s="1639"/>
      <c r="X73" s="1639" t="s">
        <v>856</v>
      </c>
      <c r="Y73" s="1639"/>
      <c r="Z73" s="1639" t="s">
        <v>856</v>
      </c>
      <c r="AA73" s="1639"/>
      <c r="AB73" s="1639" t="s">
        <v>856</v>
      </c>
      <c r="AC73" s="1639"/>
      <c r="AD73" s="1639" t="s">
        <v>856</v>
      </c>
      <c r="AE73" s="1639"/>
      <c r="AF73" s="1639" t="s">
        <v>856</v>
      </c>
      <c r="AG73" s="1639"/>
      <c r="AH73" s="1639" t="s">
        <v>856</v>
      </c>
      <c r="AI73" s="1639"/>
      <c r="AJ73" s="1639"/>
      <c r="AK73" s="2"/>
      <c r="AL73" s="2"/>
      <c r="AM73" s="2"/>
      <c r="AN73" s="2"/>
      <c r="AO73" s="5"/>
    </row>
    <row r="74" spans="2:41" s="1" customFormat="1" ht="18" customHeight="1">
      <c r="B74" s="1667"/>
      <c r="C74" s="1639"/>
      <c r="D74" s="1639"/>
      <c r="E74" s="1639"/>
      <c r="F74" s="1639"/>
      <c r="G74" s="1639"/>
      <c r="H74" s="1639"/>
      <c r="I74" s="1639"/>
      <c r="J74" s="1639"/>
      <c r="K74" s="1639"/>
      <c r="L74" s="1639"/>
      <c r="M74" s="1639"/>
      <c r="N74" s="1644" t="s">
        <v>1516</v>
      </c>
      <c r="O74" s="1639"/>
      <c r="P74" s="1645" t="s">
        <v>1517</v>
      </c>
      <c r="Q74" s="1639"/>
      <c r="R74" s="1639"/>
      <c r="S74" s="1639"/>
      <c r="T74" s="1667"/>
      <c r="U74" s="1639"/>
      <c r="V74" s="1639"/>
      <c r="W74" s="1639"/>
      <c r="X74" s="1639"/>
      <c r="Y74" s="1639"/>
      <c r="Z74" s="1639"/>
      <c r="AA74" s="1639"/>
      <c r="AB74" s="1639"/>
      <c r="AC74" s="1639"/>
      <c r="AD74" s="1639"/>
      <c r="AE74" s="1639"/>
      <c r="AF74" s="1644" t="s">
        <v>1728</v>
      </c>
      <c r="AG74" s="1639"/>
      <c r="AH74" s="1645" t="s">
        <v>1729</v>
      </c>
      <c r="AI74" s="1639"/>
      <c r="AJ74" s="1639"/>
      <c r="AK74" s="2"/>
      <c r="AL74" s="2"/>
      <c r="AM74" s="2"/>
      <c r="AN74" s="2"/>
      <c r="AO74" s="5">
        <v>1</v>
      </c>
    </row>
    <row r="75" spans="2:41" s="1" customFormat="1" ht="18" customHeight="1">
      <c r="B75" s="1667"/>
      <c r="C75" s="1639"/>
      <c r="D75" s="1639"/>
      <c r="E75" s="1639"/>
      <c r="F75" s="1639"/>
      <c r="G75" s="1639"/>
      <c r="H75" s="1639"/>
      <c r="I75" s="1639"/>
      <c r="J75" s="1639"/>
      <c r="K75" s="1639"/>
      <c r="L75" s="1639"/>
      <c r="M75" s="1639"/>
      <c r="N75" s="1639"/>
      <c r="O75" s="1639"/>
      <c r="P75" s="1639"/>
      <c r="Q75" s="1639"/>
      <c r="R75" s="1639"/>
      <c r="S75" s="1639"/>
      <c r="T75" s="1639" t="s">
        <v>856</v>
      </c>
      <c r="U75" s="1639"/>
      <c r="V75" s="1639" t="s">
        <v>856</v>
      </c>
      <c r="W75" s="1639"/>
      <c r="X75" s="1639" t="s">
        <v>856</v>
      </c>
      <c r="Y75" s="1639"/>
      <c r="Z75" s="1639" t="s">
        <v>856</v>
      </c>
      <c r="AA75" s="1639"/>
      <c r="AB75" s="1639" t="s">
        <v>856</v>
      </c>
      <c r="AC75" s="1639"/>
      <c r="AD75" s="1639" t="s">
        <v>856</v>
      </c>
      <c r="AE75" s="1639"/>
      <c r="AF75" s="1639" t="s">
        <v>856</v>
      </c>
      <c r="AG75" s="1639"/>
      <c r="AH75" s="1639" t="s">
        <v>856</v>
      </c>
      <c r="AI75" s="1639"/>
      <c r="AJ75" s="1639"/>
      <c r="AK75" s="2"/>
      <c r="AL75" s="2"/>
      <c r="AM75" s="2"/>
      <c r="AN75" s="2"/>
      <c r="AO75" s="5"/>
    </row>
    <row r="76" spans="2:41" s="1" customFormat="1" ht="18" customHeight="1">
      <c r="B76" s="1667"/>
      <c r="C76" s="1639"/>
      <c r="D76" s="1639"/>
      <c r="E76" s="1639"/>
      <c r="F76" s="1639"/>
      <c r="G76" s="1639"/>
      <c r="H76" s="1639"/>
      <c r="I76" s="1639"/>
      <c r="J76" s="1639"/>
      <c r="K76" s="1639"/>
      <c r="L76" s="1639"/>
      <c r="M76" s="1639"/>
      <c r="N76" s="1644" t="s">
        <v>1504</v>
      </c>
      <c r="O76" s="1639"/>
      <c r="P76" s="1645" t="s">
        <v>1518</v>
      </c>
      <c r="Q76" s="1639"/>
      <c r="R76" s="1639"/>
      <c r="S76" s="1639"/>
      <c r="T76" s="1667"/>
      <c r="U76" s="1639"/>
      <c r="V76" s="1639"/>
      <c r="W76" s="1639"/>
      <c r="X76" s="1639"/>
      <c r="Y76" s="1639"/>
      <c r="Z76" s="1639"/>
      <c r="AA76" s="1639"/>
      <c r="AB76" s="1639"/>
      <c r="AC76" s="1639"/>
      <c r="AD76" s="1639"/>
      <c r="AE76" s="1639"/>
      <c r="AF76" s="1644" t="s">
        <v>1716</v>
      </c>
      <c r="AG76" s="1639"/>
      <c r="AH76" s="1645" t="s">
        <v>1730</v>
      </c>
      <c r="AI76" s="1639"/>
      <c r="AJ76" s="1639"/>
      <c r="AK76" s="2"/>
      <c r="AL76" s="2"/>
      <c r="AM76" s="2"/>
      <c r="AN76" s="2"/>
      <c r="AO76" s="5">
        <v>1</v>
      </c>
    </row>
    <row r="77" spans="2:41" s="1" customFormat="1" ht="18" customHeight="1">
      <c r="B77" s="1667"/>
      <c r="C77" s="1639"/>
      <c r="D77" s="1639"/>
      <c r="E77" s="1639"/>
      <c r="F77" s="1639"/>
      <c r="G77" s="1639"/>
      <c r="H77" s="1639"/>
      <c r="I77" s="1639"/>
      <c r="J77" s="1639"/>
      <c r="K77" s="1639"/>
      <c r="L77" s="1639"/>
      <c r="M77" s="1639"/>
      <c r="N77" s="1639"/>
      <c r="O77" s="1639"/>
      <c r="P77" s="1639"/>
      <c r="Q77" s="1639"/>
      <c r="R77" s="1639"/>
      <c r="S77" s="1639"/>
      <c r="T77" s="1639" t="s">
        <v>856</v>
      </c>
      <c r="U77" s="1639"/>
      <c r="V77" s="1639" t="s">
        <v>856</v>
      </c>
      <c r="W77" s="1639"/>
      <c r="X77" s="1639" t="s">
        <v>856</v>
      </c>
      <c r="Y77" s="1639"/>
      <c r="Z77" s="1639" t="s">
        <v>856</v>
      </c>
      <c r="AA77" s="1639"/>
      <c r="AB77" s="1639" t="s">
        <v>856</v>
      </c>
      <c r="AC77" s="1639"/>
      <c r="AD77" s="1639" t="s">
        <v>856</v>
      </c>
      <c r="AE77" s="1639"/>
      <c r="AF77" s="1639" t="s">
        <v>856</v>
      </c>
      <c r="AG77" s="1639"/>
      <c r="AH77" s="1639" t="s">
        <v>856</v>
      </c>
      <c r="AI77" s="1639"/>
      <c r="AJ77" s="1639"/>
      <c r="AK77" s="2"/>
      <c r="AL77" s="2"/>
      <c r="AM77" s="2"/>
      <c r="AN77" s="2"/>
      <c r="AO77" s="5"/>
    </row>
    <row r="78" spans="2:41" s="1" customFormat="1" ht="18" customHeight="1">
      <c r="B78" s="1667"/>
      <c r="C78" s="1639"/>
      <c r="D78" s="1639"/>
      <c r="E78" s="1639"/>
      <c r="F78" s="1639"/>
      <c r="G78" s="1639"/>
      <c r="H78" s="1639"/>
      <c r="I78" s="1639"/>
      <c r="J78" s="1639"/>
      <c r="K78" s="1639"/>
      <c r="L78" s="1639"/>
      <c r="M78" s="1639"/>
      <c r="N78" s="1644" t="s">
        <v>1507</v>
      </c>
      <c r="O78" s="1639"/>
      <c r="P78" s="1645" t="s">
        <v>1519</v>
      </c>
      <c r="Q78" s="1639"/>
      <c r="R78" s="1639"/>
      <c r="S78" s="1639"/>
      <c r="T78" s="1667"/>
      <c r="U78" s="1639"/>
      <c r="V78" s="1639"/>
      <c r="W78" s="1639"/>
      <c r="X78" s="1639"/>
      <c r="Y78" s="1639"/>
      <c r="Z78" s="1639"/>
      <c r="AA78" s="1639"/>
      <c r="AB78" s="1639"/>
      <c r="AC78" s="1639"/>
      <c r="AD78" s="1639"/>
      <c r="AE78" s="1639"/>
      <c r="AF78" s="1644" t="s">
        <v>1719</v>
      </c>
      <c r="AG78" s="1639"/>
      <c r="AH78" s="1645" t="s">
        <v>1731</v>
      </c>
      <c r="AI78" s="1639"/>
      <c r="AJ78" s="1639"/>
      <c r="AK78" s="2"/>
      <c r="AL78" s="2"/>
      <c r="AM78" s="2"/>
      <c r="AN78" s="2"/>
      <c r="AO78" s="5">
        <v>1</v>
      </c>
    </row>
    <row r="79" spans="2:41" s="1" customFormat="1" ht="18" customHeight="1">
      <c r="B79" s="1667"/>
      <c r="C79" s="1639"/>
      <c r="D79" s="1639"/>
      <c r="E79" s="1639"/>
      <c r="F79" s="1639"/>
      <c r="G79" s="1639"/>
      <c r="H79" s="1639"/>
      <c r="I79" s="1639"/>
      <c r="J79" s="1639"/>
      <c r="K79" s="1639"/>
      <c r="L79" s="1639"/>
      <c r="M79" s="1639"/>
      <c r="N79" s="1639"/>
      <c r="O79" s="1639"/>
      <c r="P79" s="1639"/>
      <c r="Q79" s="1639"/>
      <c r="R79" s="1639"/>
      <c r="S79" s="1639"/>
      <c r="T79" s="1639" t="s">
        <v>856</v>
      </c>
      <c r="U79" s="1639"/>
      <c r="V79" s="1639" t="s">
        <v>856</v>
      </c>
      <c r="W79" s="1639"/>
      <c r="X79" s="1639" t="s">
        <v>856</v>
      </c>
      <c r="Y79" s="1639"/>
      <c r="Z79" s="1639" t="s">
        <v>856</v>
      </c>
      <c r="AA79" s="1639"/>
      <c r="AB79" s="1639" t="s">
        <v>856</v>
      </c>
      <c r="AC79" s="1639"/>
      <c r="AD79" s="1639" t="s">
        <v>856</v>
      </c>
      <c r="AE79" s="1639"/>
      <c r="AF79" s="1639" t="s">
        <v>856</v>
      </c>
      <c r="AG79" s="1639"/>
      <c r="AH79" s="1639" t="s">
        <v>856</v>
      </c>
      <c r="AI79" s="1639"/>
      <c r="AJ79" s="1639"/>
      <c r="AK79" s="2"/>
      <c r="AL79" s="2"/>
      <c r="AM79" s="2"/>
      <c r="AN79" s="2"/>
      <c r="AO79" s="5"/>
    </row>
    <row r="80" spans="2:41" s="1" customFormat="1" ht="18" customHeight="1">
      <c r="B80" s="1667"/>
      <c r="C80" s="1639"/>
      <c r="D80" s="1639"/>
      <c r="E80" s="1639"/>
      <c r="F80" s="1639"/>
      <c r="G80" s="1639"/>
      <c r="H80" s="1639"/>
      <c r="I80" s="1639"/>
      <c r="J80" s="1639"/>
      <c r="K80" s="1639"/>
      <c r="L80" s="1639"/>
      <c r="M80" s="1639"/>
      <c r="N80" s="1644" t="s">
        <v>1520</v>
      </c>
      <c r="O80" s="1639"/>
      <c r="P80" s="1645" t="s">
        <v>1521</v>
      </c>
      <c r="Q80" s="1639"/>
      <c r="R80" s="1639"/>
      <c r="S80" s="1639"/>
      <c r="T80" s="1667"/>
      <c r="U80" s="1639"/>
      <c r="V80" s="1639"/>
      <c r="W80" s="1639"/>
      <c r="X80" s="1639"/>
      <c r="Y80" s="1639"/>
      <c r="Z80" s="1639"/>
      <c r="AA80" s="1639"/>
      <c r="AB80" s="1639"/>
      <c r="AC80" s="1639"/>
      <c r="AD80" s="1639"/>
      <c r="AE80" s="1639"/>
      <c r="AF80" s="1644" t="s">
        <v>1732</v>
      </c>
      <c r="AG80" s="1639"/>
      <c r="AH80" s="1645" t="s">
        <v>1733</v>
      </c>
      <c r="AI80" s="1639"/>
      <c r="AJ80" s="1639"/>
      <c r="AK80" s="2"/>
      <c r="AL80" s="2"/>
      <c r="AM80" s="2"/>
      <c r="AN80" s="2"/>
      <c r="AO80" s="5">
        <v>1</v>
      </c>
    </row>
    <row r="81" spans="2:41" s="1" customFormat="1" ht="18" customHeight="1">
      <c r="B81" s="1667"/>
      <c r="C81" s="1639"/>
      <c r="D81" s="1639"/>
      <c r="E81" s="1639"/>
      <c r="F81" s="1639"/>
      <c r="G81" s="1639"/>
      <c r="H81" s="1639"/>
      <c r="I81" s="1639"/>
      <c r="J81" s="1639"/>
      <c r="K81" s="1639"/>
      <c r="L81" s="1639"/>
      <c r="M81" s="1639"/>
      <c r="N81" s="1639"/>
      <c r="O81" s="1639"/>
      <c r="P81" s="1639"/>
      <c r="Q81" s="1639"/>
      <c r="R81" s="1639"/>
      <c r="S81" s="1639"/>
      <c r="T81" s="1639" t="s">
        <v>856</v>
      </c>
      <c r="U81" s="1639"/>
      <c r="V81" s="1639" t="s">
        <v>856</v>
      </c>
      <c r="W81" s="1639"/>
      <c r="X81" s="1639" t="s">
        <v>856</v>
      </c>
      <c r="Y81" s="1639"/>
      <c r="Z81" s="1639" t="s">
        <v>856</v>
      </c>
      <c r="AA81" s="1639"/>
      <c r="AB81" s="1639" t="s">
        <v>856</v>
      </c>
      <c r="AC81" s="1639"/>
      <c r="AD81" s="1639" t="s">
        <v>856</v>
      </c>
      <c r="AE81" s="1639"/>
      <c r="AF81" s="1639" t="s">
        <v>856</v>
      </c>
      <c r="AG81" s="1639"/>
      <c r="AH81" s="1639" t="s">
        <v>856</v>
      </c>
      <c r="AI81" s="1639"/>
      <c r="AJ81" s="1639"/>
      <c r="AK81" s="2"/>
      <c r="AL81" s="2"/>
      <c r="AM81" s="2"/>
      <c r="AN81" s="2"/>
      <c r="AO81" s="5"/>
    </row>
    <row r="82" spans="2:41" s="1" customFormat="1" ht="18" customHeight="1">
      <c r="B82" s="1667"/>
      <c r="C82" s="1639"/>
      <c r="D82" s="1639"/>
      <c r="E82" s="1639"/>
      <c r="F82" s="1639"/>
      <c r="G82" s="1639"/>
      <c r="H82" s="1639"/>
      <c r="I82" s="1639"/>
      <c r="J82" s="1639"/>
      <c r="K82" s="1639"/>
      <c r="L82" s="1639"/>
      <c r="M82" s="1639"/>
      <c r="N82" s="1644" t="s">
        <v>1522</v>
      </c>
      <c r="O82" s="1639"/>
      <c r="P82" s="1645" t="s">
        <v>1523</v>
      </c>
      <c r="Q82" s="1639"/>
      <c r="R82" s="1639"/>
      <c r="S82" s="1639"/>
      <c r="T82" s="1667"/>
      <c r="U82" s="1639"/>
      <c r="V82" s="1639"/>
      <c r="W82" s="1639"/>
      <c r="X82" s="1639"/>
      <c r="Y82" s="1639"/>
      <c r="Z82" s="1639"/>
      <c r="AA82" s="1639"/>
      <c r="AB82" s="1639"/>
      <c r="AC82" s="1639"/>
      <c r="AD82" s="1639"/>
      <c r="AE82" s="1639"/>
      <c r="AF82" s="1644" t="s">
        <v>1734</v>
      </c>
      <c r="AG82" s="1639"/>
      <c r="AH82" s="1645" t="s">
        <v>1735</v>
      </c>
      <c r="AI82" s="1639"/>
      <c r="AJ82" s="1639"/>
      <c r="AK82" s="2"/>
      <c r="AL82" s="2"/>
      <c r="AM82" s="2"/>
      <c r="AN82" s="2"/>
      <c r="AO82" s="5">
        <v>1</v>
      </c>
    </row>
    <row r="83" spans="2:41" s="1" customFormat="1" ht="18" customHeight="1">
      <c r="B83" s="1667"/>
      <c r="C83" s="1639"/>
      <c r="D83" s="1639"/>
      <c r="E83" s="1639"/>
      <c r="F83" s="1639"/>
      <c r="G83" s="1639"/>
      <c r="H83" s="1639"/>
      <c r="I83" s="1639"/>
      <c r="J83" s="1639"/>
      <c r="K83" s="1639"/>
      <c r="L83" s="1639"/>
      <c r="M83" s="1639"/>
      <c r="N83" s="1639"/>
      <c r="O83" s="1639"/>
      <c r="P83" s="1639"/>
      <c r="Q83" s="1639"/>
      <c r="R83" s="1639"/>
      <c r="S83" s="1639"/>
      <c r="T83" s="1639" t="s">
        <v>856</v>
      </c>
      <c r="U83" s="1639"/>
      <c r="V83" s="1639" t="s">
        <v>856</v>
      </c>
      <c r="W83" s="1639"/>
      <c r="X83" s="1639" t="s">
        <v>856</v>
      </c>
      <c r="Y83" s="1639"/>
      <c r="Z83" s="1639" t="s">
        <v>856</v>
      </c>
      <c r="AA83" s="1639"/>
      <c r="AB83" s="1639" t="s">
        <v>856</v>
      </c>
      <c r="AC83" s="1639"/>
      <c r="AD83" s="1639" t="s">
        <v>856</v>
      </c>
      <c r="AE83" s="1639"/>
      <c r="AF83" s="1639" t="s">
        <v>856</v>
      </c>
      <c r="AG83" s="1639"/>
      <c r="AH83" s="1639" t="s">
        <v>856</v>
      </c>
      <c r="AI83" s="1639"/>
      <c r="AJ83" s="1639"/>
      <c r="AK83" s="2"/>
      <c r="AL83" s="2"/>
      <c r="AM83" s="2"/>
      <c r="AN83" s="2"/>
      <c r="AO83" s="5"/>
    </row>
    <row r="84" spans="2:41" s="1" customFormat="1" ht="18" customHeight="1">
      <c r="B84" s="1667"/>
      <c r="C84" s="1639"/>
      <c r="D84" s="1639"/>
      <c r="E84" s="1639"/>
      <c r="F84" s="1639"/>
      <c r="G84" s="1639"/>
      <c r="H84" s="1639"/>
      <c r="I84" s="1639"/>
      <c r="J84" s="1639"/>
      <c r="K84" s="1639"/>
      <c r="L84" s="1639"/>
      <c r="M84" s="1639"/>
      <c r="N84" s="1644" t="s">
        <v>1524</v>
      </c>
      <c r="O84" s="1639"/>
      <c r="P84" s="1645" t="s">
        <v>1525</v>
      </c>
      <c r="Q84" s="1639"/>
      <c r="R84" s="1639"/>
      <c r="S84" s="1639"/>
      <c r="T84" s="1667"/>
      <c r="U84" s="1639"/>
      <c r="V84" s="1639"/>
      <c r="W84" s="1639"/>
      <c r="X84" s="1639"/>
      <c r="Y84" s="1639"/>
      <c r="Z84" s="1639"/>
      <c r="AA84" s="1639"/>
      <c r="AB84" s="1639"/>
      <c r="AC84" s="1639"/>
      <c r="AD84" s="1639"/>
      <c r="AE84" s="1639"/>
      <c r="AF84" s="1644" t="s">
        <v>1736</v>
      </c>
      <c r="AG84" s="1639"/>
      <c r="AH84" s="1645" t="s">
        <v>1737</v>
      </c>
      <c r="AI84" s="1639"/>
      <c r="AJ84" s="1639"/>
      <c r="AK84" s="2"/>
      <c r="AL84" s="2"/>
      <c r="AM84" s="2"/>
      <c r="AN84" s="2"/>
      <c r="AO84" s="5">
        <v>1</v>
      </c>
    </row>
    <row r="85" spans="2:41" s="1" customFormat="1" ht="18" customHeight="1">
      <c r="B85" s="1639"/>
      <c r="C85" s="1639"/>
      <c r="D85" s="1639"/>
      <c r="E85" s="1639"/>
      <c r="F85" s="1639"/>
      <c r="G85" s="1639"/>
      <c r="H85" s="1639"/>
      <c r="I85" s="1639"/>
      <c r="J85" s="1639"/>
      <c r="K85" s="1639"/>
      <c r="L85" s="1639"/>
      <c r="M85" s="1639"/>
      <c r="N85" s="1639"/>
      <c r="O85" s="1639"/>
      <c r="P85" s="1639"/>
      <c r="Q85" s="1639"/>
      <c r="R85" s="1639"/>
      <c r="S85" s="1639"/>
      <c r="T85" s="1639" t="s">
        <v>856</v>
      </c>
      <c r="U85" s="1639"/>
      <c r="V85" s="1639" t="s">
        <v>856</v>
      </c>
      <c r="W85" s="1639"/>
      <c r="X85" s="1639" t="s">
        <v>856</v>
      </c>
      <c r="Y85" s="1639"/>
      <c r="Z85" s="1639" t="s">
        <v>856</v>
      </c>
      <c r="AA85" s="1639"/>
      <c r="AB85" s="1639" t="s">
        <v>856</v>
      </c>
      <c r="AC85" s="1639"/>
      <c r="AD85" s="1639" t="s">
        <v>856</v>
      </c>
      <c r="AE85" s="1639"/>
      <c r="AF85" s="1639" t="s">
        <v>856</v>
      </c>
      <c r="AG85" s="1639"/>
      <c r="AH85" s="1639" t="s">
        <v>856</v>
      </c>
      <c r="AI85" s="1639"/>
      <c r="AJ85" s="1639"/>
      <c r="AK85" s="2"/>
      <c r="AL85" s="2"/>
      <c r="AM85" s="2"/>
      <c r="AN85" s="2"/>
      <c r="AO85" s="5"/>
    </row>
    <row r="86" spans="2:41" s="1" customFormat="1" ht="18" customHeight="1">
      <c r="B86" s="1639"/>
      <c r="C86" s="1639"/>
      <c r="D86" s="1639"/>
      <c r="E86" s="1639"/>
      <c r="F86" s="1639"/>
      <c r="G86" s="1639"/>
      <c r="H86" s="1639"/>
      <c r="I86" s="1639"/>
      <c r="J86" s="1639"/>
      <c r="K86" s="1639"/>
      <c r="L86" s="1639"/>
      <c r="M86" s="1639"/>
      <c r="N86" s="1644" t="s">
        <v>1526</v>
      </c>
      <c r="O86" s="1639"/>
      <c r="P86" s="1645" t="s">
        <v>1527</v>
      </c>
      <c r="Q86" s="1639"/>
      <c r="R86" s="1639"/>
      <c r="S86" s="1639"/>
      <c r="T86" s="1639"/>
      <c r="U86" s="1639"/>
      <c r="V86" s="1639"/>
      <c r="W86" s="1639"/>
      <c r="X86" s="1639"/>
      <c r="Y86" s="1639"/>
      <c r="Z86" s="1639"/>
      <c r="AA86" s="1639"/>
      <c r="AB86" s="1639"/>
      <c r="AC86" s="1639"/>
      <c r="AD86" s="1639"/>
      <c r="AE86" s="1639"/>
      <c r="AF86" s="1644" t="s">
        <v>1738</v>
      </c>
      <c r="AG86" s="1639"/>
      <c r="AH86" s="1645" t="s">
        <v>1739</v>
      </c>
      <c r="AI86" s="1639"/>
      <c r="AJ86" s="1639"/>
      <c r="AK86" s="2"/>
      <c r="AL86" s="2"/>
      <c r="AM86" s="2"/>
      <c r="AN86" s="2"/>
      <c r="AO86" s="5">
        <v>1</v>
      </c>
    </row>
    <row r="87" spans="2:41" s="1" customFormat="1" ht="18" customHeight="1">
      <c r="B87" s="1639"/>
      <c r="C87" s="1639"/>
      <c r="D87" s="1639"/>
      <c r="E87" s="1639"/>
      <c r="F87" s="1639"/>
      <c r="G87" s="1639"/>
      <c r="H87" s="1639"/>
      <c r="I87" s="1639"/>
      <c r="J87" s="1639"/>
      <c r="K87" s="1639"/>
      <c r="L87" s="1639"/>
      <c r="M87" s="1639"/>
      <c r="N87" s="1639"/>
      <c r="O87" s="1639"/>
      <c r="P87" s="1639"/>
      <c r="Q87" s="1639"/>
      <c r="R87" s="1639"/>
      <c r="S87" s="1639"/>
      <c r="T87" s="1639" t="s">
        <v>856</v>
      </c>
      <c r="U87" s="1639"/>
      <c r="V87" s="1639" t="s">
        <v>856</v>
      </c>
      <c r="W87" s="1639"/>
      <c r="X87" s="1639" t="s">
        <v>856</v>
      </c>
      <c r="Y87" s="1639"/>
      <c r="Z87" s="1639" t="s">
        <v>856</v>
      </c>
      <c r="AA87" s="1639"/>
      <c r="AB87" s="1639" t="s">
        <v>856</v>
      </c>
      <c r="AC87" s="1639"/>
      <c r="AD87" s="1639" t="s">
        <v>856</v>
      </c>
      <c r="AE87" s="1639"/>
      <c r="AF87" s="1639" t="s">
        <v>856</v>
      </c>
      <c r="AG87" s="1639"/>
      <c r="AH87" s="1639" t="s">
        <v>856</v>
      </c>
      <c r="AI87" s="1639"/>
      <c r="AJ87" s="1639"/>
      <c r="AK87" s="2"/>
      <c r="AL87" s="2"/>
      <c r="AM87" s="2"/>
      <c r="AN87" s="2"/>
      <c r="AO87" s="5">
        <v>1</v>
      </c>
    </row>
    <row r="88" spans="2:41" s="1" customFormat="1" ht="18" customHeight="1">
      <c r="B88" s="1639"/>
      <c r="C88" s="1639"/>
      <c r="D88" s="1639"/>
      <c r="E88" s="1639"/>
      <c r="F88" s="1639"/>
      <c r="G88" s="1639"/>
      <c r="H88" s="1639"/>
      <c r="I88" s="1639"/>
      <c r="J88" s="1639"/>
      <c r="K88" s="1639"/>
      <c r="L88" s="1639"/>
      <c r="M88" s="1639"/>
      <c r="N88" s="1644" t="s">
        <v>1528</v>
      </c>
      <c r="O88" s="1639"/>
      <c r="P88" s="1645" t="s">
        <v>1529</v>
      </c>
      <c r="Q88" s="1639"/>
      <c r="R88" s="1639"/>
      <c r="S88" s="1639"/>
      <c r="T88" s="1639"/>
      <c r="U88" s="1639"/>
      <c r="V88" s="1639"/>
      <c r="W88" s="1639"/>
      <c r="X88" s="1639"/>
      <c r="Y88" s="1639"/>
      <c r="Z88" s="1639"/>
      <c r="AA88" s="1639"/>
      <c r="AB88" s="1639"/>
      <c r="AC88" s="1639"/>
      <c r="AD88" s="1639"/>
      <c r="AE88" s="1639"/>
      <c r="AF88" s="1644" t="s">
        <v>1740</v>
      </c>
      <c r="AG88" s="1639"/>
      <c r="AH88" s="1645" t="s">
        <v>1741</v>
      </c>
      <c r="AI88" s="1639"/>
      <c r="AJ88" s="1639"/>
      <c r="AK88" s="2"/>
      <c r="AL88" s="2"/>
      <c r="AM88" s="2"/>
      <c r="AN88" s="2"/>
      <c r="AO88" s="5">
        <v>1</v>
      </c>
    </row>
    <row r="89" spans="2:41" s="1" customFormat="1" ht="18" customHeight="1">
      <c r="B89" s="1639"/>
      <c r="C89" s="1639"/>
      <c r="D89" s="1639"/>
      <c r="E89" s="1639"/>
      <c r="F89" s="1639"/>
      <c r="G89" s="1639"/>
      <c r="H89" s="1639"/>
      <c r="I89" s="1639"/>
      <c r="J89" s="1639"/>
      <c r="K89" s="1639"/>
      <c r="L89" s="1639"/>
      <c r="M89" s="1639"/>
      <c r="N89" s="1639"/>
      <c r="O89" s="1639"/>
      <c r="P89" s="1639"/>
      <c r="Q89" s="1639"/>
      <c r="R89" s="1639"/>
      <c r="S89" s="1639"/>
      <c r="T89" s="1639" t="s">
        <v>856</v>
      </c>
      <c r="U89" s="1639"/>
      <c r="V89" s="1639" t="s">
        <v>856</v>
      </c>
      <c r="W89" s="1639"/>
      <c r="X89" s="1639" t="s">
        <v>856</v>
      </c>
      <c r="Y89" s="1639"/>
      <c r="Z89" s="1639" t="s">
        <v>856</v>
      </c>
      <c r="AA89" s="1639"/>
      <c r="AB89" s="1639" t="s">
        <v>856</v>
      </c>
      <c r="AC89" s="1639"/>
      <c r="AD89" s="1639" t="s">
        <v>856</v>
      </c>
      <c r="AE89" s="1639"/>
      <c r="AF89" s="1639" t="s">
        <v>856</v>
      </c>
      <c r="AG89" s="1639"/>
      <c r="AH89" s="1639" t="s">
        <v>856</v>
      </c>
      <c r="AI89" s="1639"/>
      <c r="AJ89" s="1639"/>
      <c r="AK89" s="2"/>
      <c r="AL89" s="2"/>
      <c r="AM89" s="2"/>
      <c r="AN89" s="2"/>
      <c r="AO89" s="5">
        <v>1</v>
      </c>
    </row>
    <row r="90" spans="2:41" s="1" customFormat="1" ht="18" customHeight="1">
      <c r="B90" s="1639"/>
      <c r="C90" s="1639"/>
      <c r="D90" s="1639"/>
      <c r="E90" s="1639"/>
      <c r="F90" s="1639"/>
      <c r="G90" s="1639"/>
      <c r="H90" s="1639"/>
      <c r="I90" s="1639"/>
      <c r="J90" s="1639"/>
      <c r="K90" s="1639"/>
      <c r="L90" s="1639"/>
      <c r="M90" s="1639"/>
      <c r="N90" s="1644" t="s">
        <v>1530</v>
      </c>
      <c r="O90" s="1639"/>
      <c r="P90" s="1645" t="s">
        <v>1531</v>
      </c>
      <c r="Q90" s="1639"/>
      <c r="R90" s="1639"/>
      <c r="S90" s="1639"/>
      <c r="T90" s="1639"/>
      <c r="U90" s="1639"/>
      <c r="V90" s="1639"/>
      <c r="W90" s="1639"/>
      <c r="X90" s="1639"/>
      <c r="Y90" s="1639"/>
      <c r="Z90" s="1639"/>
      <c r="AA90" s="1639"/>
      <c r="AB90" s="1639"/>
      <c r="AC90" s="1639"/>
      <c r="AD90" s="1639"/>
      <c r="AE90" s="1639"/>
      <c r="AF90" s="1644" t="s">
        <v>1742</v>
      </c>
      <c r="AG90" s="1639"/>
      <c r="AH90" s="1645" t="s">
        <v>1743</v>
      </c>
      <c r="AI90" s="1639"/>
      <c r="AJ90" s="1639"/>
      <c r="AK90" s="2"/>
      <c r="AL90" s="2"/>
      <c r="AM90" s="2"/>
      <c r="AN90" s="2"/>
      <c r="AO90" s="5">
        <v>1</v>
      </c>
    </row>
    <row r="91" spans="2:41" s="1" customFormat="1" ht="18" customHeight="1">
      <c r="B91" s="1639"/>
      <c r="C91" s="1639"/>
      <c r="D91" s="1639"/>
      <c r="E91" s="1639"/>
      <c r="F91" s="1639"/>
      <c r="G91" s="1639"/>
      <c r="H91" s="1639"/>
      <c r="I91" s="1639"/>
      <c r="J91" s="1639"/>
      <c r="K91" s="1639"/>
      <c r="L91" s="1639"/>
      <c r="M91" s="1639"/>
      <c r="N91" s="1639"/>
      <c r="O91" s="1639"/>
      <c r="P91" s="1639"/>
      <c r="Q91" s="1639"/>
      <c r="R91" s="1639"/>
      <c r="S91" s="1639"/>
      <c r="T91" s="1639" t="s">
        <v>856</v>
      </c>
      <c r="U91" s="1639"/>
      <c r="V91" s="1639" t="s">
        <v>856</v>
      </c>
      <c r="W91" s="1639"/>
      <c r="X91" s="1639" t="s">
        <v>856</v>
      </c>
      <c r="Y91" s="1639"/>
      <c r="Z91" s="1639" t="s">
        <v>856</v>
      </c>
      <c r="AA91" s="1639"/>
      <c r="AB91" s="1639" t="s">
        <v>856</v>
      </c>
      <c r="AC91" s="1639"/>
      <c r="AD91" s="1639" t="s">
        <v>856</v>
      </c>
      <c r="AE91" s="1639"/>
      <c r="AF91" s="1639" t="s">
        <v>856</v>
      </c>
      <c r="AG91" s="1639"/>
      <c r="AH91" s="1639" t="s">
        <v>856</v>
      </c>
      <c r="AI91" s="1639"/>
      <c r="AJ91" s="1639"/>
      <c r="AK91" s="2"/>
      <c r="AL91" s="2"/>
      <c r="AM91" s="2"/>
      <c r="AN91" s="2"/>
      <c r="AO91" s="5">
        <v>1</v>
      </c>
    </row>
    <row r="92" spans="2:41" s="1" customFormat="1" ht="18" customHeight="1">
      <c r="B92" s="1639"/>
      <c r="C92" s="1639"/>
      <c r="D92" s="1639"/>
      <c r="E92" s="1639"/>
      <c r="F92" s="1639"/>
      <c r="G92" s="1639"/>
      <c r="H92" s="1639"/>
      <c r="I92" s="1639"/>
      <c r="J92" s="1639"/>
      <c r="K92" s="1639"/>
      <c r="L92" s="1639"/>
      <c r="M92" s="1639"/>
      <c r="N92" s="1644" t="s">
        <v>1532</v>
      </c>
      <c r="O92" s="1639"/>
      <c r="P92" s="1645" t="s">
        <v>1533</v>
      </c>
      <c r="Q92" s="1639"/>
      <c r="R92" s="1639"/>
      <c r="S92" s="1639"/>
      <c r="T92" s="1639"/>
      <c r="U92" s="1639"/>
      <c r="V92" s="1639"/>
      <c r="W92" s="1639"/>
      <c r="X92" s="1639"/>
      <c r="Y92" s="1639"/>
      <c r="Z92" s="1639"/>
      <c r="AA92" s="1639"/>
      <c r="AB92" s="1639"/>
      <c r="AC92" s="1639"/>
      <c r="AD92" s="1639"/>
      <c r="AE92" s="1639"/>
      <c r="AF92" s="1644" t="s">
        <v>1744</v>
      </c>
      <c r="AG92" s="1639"/>
      <c r="AH92" s="1645" t="s">
        <v>1745</v>
      </c>
      <c r="AI92" s="1639"/>
      <c r="AJ92" s="1639"/>
      <c r="AK92" s="2"/>
      <c r="AL92" s="2"/>
      <c r="AM92" s="2"/>
      <c r="AN92" s="2"/>
      <c r="AO92" s="5">
        <v>1</v>
      </c>
    </row>
    <row r="93" spans="2:41" s="1" customFormat="1" ht="18" customHeight="1">
      <c r="B93" s="1639"/>
      <c r="C93" s="1639"/>
      <c r="D93" s="1639"/>
      <c r="E93" s="1639"/>
      <c r="F93" s="1639"/>
      <c r="G93" s="1639"/>
      <c r="H93" s="1639"/>
      <c r="I93" s="1639"/>
      <c r="J93" s="1639"/>
      <c r="K93" s="1639"/>
      <c r="L93" s="1639"/>
      <c r="M93" s="1639"/>
      <c r="N93" s="1639"/>
      <c r="O93" s="1639"/>
      <c r="P93" s="1639"/>
      <c r="Q93" s="1639"/>
      <c r="R93" s="1639"/>
      <c r="S93" s="1639"/>
      <c r="T93" s="1639" t="s">
        <v>856</v>
      </c>
      <c r="U93" s="1639"/>
      <c r="V93" s="1639" t="s">
        <v>856</v>
      </c>
      <c r="W93" s="1639"/>
      <c r="X93" s="1639" t="s">
        <v>856</v>
      </c>
      <c r="Y93" s="1639"/>
      <c r="Z93" s="1639" t="s">
        <v>856</v>
      </c>
      <c r="AA93" s="1639"/>
      <c r="AB93" s="1639" t="s">
        <v>856</v>
      </c>
      <c r="AC93" s="1639"/>
      <c r="AD93" s="1639" t="s">
        <v>856</v>
      </c>
      <c r="AE93" s="1639"/>
      <c r="AF93" s="1639" t="s">
        <v>856</v>
      </c>
      <c r="AG93" s="1639"/>
      <c r="AH93" s="1639" t="s">
        <v>856</v>
      </c>
      <c r="AI93" s="1639"/>
      <c r="AJ93" s="1639"/>
      <c r="AK93" s="2"/>
      <c r="AL93" s="2"/>
      <c r="AM93" s="2"/>
      <c r="AN93" s="2"/>
      <c r="AO93" s="5">
        <v>1</v>
      </c>
    </row>
    <row r="94" spans="2:41" s="1" customFormat="1" ht="18" customHeight="1">
      <c r="B94" s="1639"/>
      <c r="C94" s="1639"/>
      <c r="D94" s="1639"/>
      <c r="E94" s="1639"/>
      <c r="F94" s="1639"/>
      <c r="G94" s="1639"/>
      <c r="H94" s="1639"/>
      <c r="I94" s="1639"/>
      <c r="J94" s="1639"/>
      <c r="K94" s="1639"/>
      <c r="L94" s="1639"/>
      <c r="M94" s="1639"/>
      <c r="N94" s="1639"/>
      <c r="O94" s="1639"/>
      <c r="P94" s="1645" t="s">
        <v>1520</v>
      </c>
      <c r="Q94" s="1639"/>
      <c r="R94" s="1639"/>
      <c r="S94" s="1639"/>
      <c r="T94" s="1639"/>
      <c r="U94" s="1639"/>
      <c r="V94" s="1639"/>
      <c r="W94" s="1639"/>
      <c r="X94" s="1639"/>
      <c r="Y94" s="1639"/>
      <c r="Z94" s="1639"/>
      <c r="AA94" s="1639"/>
      <c r="AB94" s="1639"/>
      <c r="AC94" s="1639"/>
      <c r="AD94" s="1639"/>
      <c r="AE94" s="1639"/>
      <c r="AF94" s="1639"/>
      <c r="AG94" s="1639"/>
      <c r="AH94" s="1645" t="s">
        <v>1732</v>
      </c>
      <c r="AI94" s="1639"/>
      <c r="AJ94" s="1639"/>
      <c r="AK94" s="2"/>
      <c r="AL94" s="2"/>
      <c r="AM94" s="2"/>
      <c r="AN94" s="2"/>
      <c r="AO94" s="5">
        <v>1</v>
      </c>
    </row>
    <row r="95" spans="2:41" s="1" customFormat="1" ht="18" customHeight="1">
      <c r="B95" s="1639"/>
      <c r="C95" s="1639"/>
      <c r="D95" s="1639"/>
      <c r="E95" s="1639"/>
      <c r="F95" s="1639"/>
      <c r="G95" s="1639"/>
      <c r="H95" s="1639"/>
      <c r="I95" s="1639"/>
      <c r="J95" s="1639"/>
      <c r="K95" s="1639"/>
      <c r="L95" s="1639"/>
      <c r="M95" s="1639"/>
      <c r="N95" s="1639"/>
      <c r="O95" s="1639"/>
      <c r="P95" s="1639"/>
      <c r="Q95" s="1639"/>
      <c r="R95" s="1639"/>
      <c r="S95" s="1639"/>
      <c r="T95" s="1639" t="s">
        <v>856</v>
      </c>
      <c r="U95" s="1639"/>
      <c r="V95" s="1639" t="s">
        <v>856</v>
      </c>
      <c r="W95" s="1639"/>
      <c r="X95" s="1639" t="s">
        <v>856</v>
      </c>
      <c r="Y95" s="1639"/>
      <c r="Z95" s="1639" t="s">
        <v>856</v>
      </c>
      <c r="AA95" s="1639"/>
      <c r="AB95" s="1639" t="s">
        <v>856</v>
      </c>
      <c r="AC95" s="1639"/>
      <c r="AD95" s="1639" t="s">
        <v>856</v>
      </c>
      <c r="AE95" s="1639"/>
      <c r="AF95" s="1639" t="s">
        <v>856</v>
      </c>
      <c r="AG95" s="1639"/>
      <c r="AH95" s="1639" t="s">
        <v>856</v>
      </c>
      <c r="AI95" s="1639"/>
      <c r="AJ95" s="1639"/>
      <c r="AK95" s="2"/>
      <c r="AL95" s="2"/>
      <c r="AM95" s="2"/>
      <c r="AN95" s="2"/>
      <c r="AO95" s="5">
        <v>1</v>
      </c>
    </row>
    <row r="96" spans="2:41" s="1" customFormat="1" ht="18" customHeight="1">
      <c r="B96" s="1639"/>
      <c r="C96" s="1639"/>
      <c r="D96" s="1639"/>
      <c r="E96" s="1639"/>
      <c r="F96" s="1639"/>
      <c r="G96" s="1639"/>
      <c r="H96" s="1639"/>
      <c r="I96" s="1639"/>
      <c r="J96" s="1639"/>
      <c r="K96" s="1639"/>
      <c r="L96" s="1639"/>
      <c r="M96" s="1639"/>
      <c r="N96" s="1639"/>
      <c r="O96" s="1639"/>
      <c r="P96" s="1645" t="s">
        <v>1534</v>
      </c>
      <c r="Q96" s="1639"/>
      <c r="R96" s="1639"/>
      <c r="S96" s="1639"/>
      <c r="T96" s="1639"/>
      <c r="U96" s="1639"/>
      <c r="V96" s="1639"/>
      <c r="W96" s="1639"/>
      <c r="X96" s="1639"/>
      <c r="Y96" s="1639"/>
      <c r="Z96" s="1639"/>
      <c r="AA96" s="1639"/>
      <c r="AB96" s="1639"/>
      <c r="AC96" s="1639"/>
      <c r="AD96" s="1639"/>
      <c r="AE96" s="1639"/>
      <c r="AF96" s="1639"/>
      <c r="AG96" s="1639"/>
      <c r="AH96" s="1645" t="s">
        <v>1746</v>
      </c>
      <c r="AI96" s="1639"/>
      <c r="AJ96" s="1639"/>
      <c r="AK96" s="2"/>
      <c r="AL96" s="2"/>
      <c r="AM96" s="2"/>
      <c r="AN96" s="2"/>
      <c r="AO96" s="5">
        <v>1</v>
      </c>
    </row>
    <row r="97" spans="2:43" s="1" customFormat="1" ht="18" customHeight="1">
      <c r="B97" s="1667"/>
      <c r="C97" s="1639"/>
      <c r="D97" s="1639"/>
      <c r="E97" s="1639"/>
      <c r="F97" s="1639"/>
      <c r="G97" s="1639"/>
      <c r="H97" s="1639"/>
      <c r="I97" s="1639"/>
      <c r="J97" s="1639"/>
      <c r="K97" s="1639"/>
      <c r="L97" s="1639"/>
      <c r="M97" s="1639"/>
      <c r="N97" s="1639"/>
      <c r="O97" s="1639"/>
      <c r="P97" s="1639"/>
      <c r="Q97" s="1639"/>
      <c r="R97" s="1639"/>
      <c r="S97" s="1639"/>
      <c r="T97" s="1639" t="s">
        <v>856</v>
      </c>
      <c r="U97" s="1639"/>
      <c r="V97" s="1639" t="s">
        <v>856</v>
      </c>
      <c r="W97" s="1639"/>
      <c r="X97" s="1639" t="s">
        <v>856</v>
      </c>
      <c r="Y97" s="1639"/>
      <c r="Z97" s="1639" t="s">
        <v>856</v>
      </c>
      <c r="AA97" s="1639"/>
      <c r="AB97" s="1639" t="s">
        <v>856</v>
      </c>
      <c r="AC97" s="1639"/>
      <c r="AD97" s="1639" t="s">
        <v>856</v>
      </c>
      <c r="AE97" s="1639"/>
      <c r="AF97" s="1639" t="s">
        <v>856</v>
      </c>
      <c r="AG97" s="1639"/>
      <c r="AH97" s="1639" t="s">
        <v>856</v>
      </c>
      <c r="AI97" s="1639"/>
      <c r="AJ97" s="1639"/>
      <c r="AK97" s="2"/>
      <c r="AL97" s="2"/>
      <c r="AM97" s="2"/>
      <c r="AN97" s="2"/>
      <c r="AO97" s="5">
        <v>1</v>
      </c>
    </row>
    <row r="98" spans="2:43" s="1" customFormat="1" ht="18" customHeight="1">
      <c r="B98" s="1667"/>
      <c r="C98" s="1639"/>
      <c r="D98" s="1639"/>
      <c r="E98" s="1639"/>
      <c r="F98" s="1639"/>
      <c r="G98" s="1639"/>
      <c r="H98" s="1639"/>
      <c r="I98" s="1639"/>
      <c r="J98" s="1639"/>
      <c r="K98" s="1639"/>
      <c r="L98" s="1639"/>
      <c r="M98" s="1639"/>
      <c r="N98" s="1639"/>
      <c r="O98" s="1639"/>
      <c r="P98" s="1645" t="s">
        <v>1522</v>
      </c>
      <c r="Q98" s="1639"/>
      <c r="R98" s="1639"/>
      <c r="S98" s="1639"/>
      <c r="T98" s="1667"/>
      <c r="U98" s="1639"/>
      <c r="V98" s="1639"/>
      <c r="W98" s="1639"/>
      <c r="X98" s="1639"/>
      <c r="Y98" s="1639"/>
      <c r="Z98" s="1639"/>
      <c r="AA98" s="1639"/>
      <c r="AB98" s="1639"/>
      <c r="AC98" s="1639"/>
      <c r="AD98" s="1639"/>
      <c r="AE98" s="1639"/>
      <c r="AF98" s="1639"/>
      <c r="AG98" s="1639"/>
      <c r="AH98" s="1645" t="s">
        <v>1734</v>
      </c>
      <c r="AI98" s="1639"/>
      <c r="AJ98" s="1639"/>
      <c r="AK98" s="2"/>
      <c r="AL98" s="2"/>
      <c r="AM98" s="2"/>
      <c r="AN98" s="2"/>
      <c r="AO98" s="5">
        <v>1</v>
      </c>
    </row>
    <row r="99" spans="2:43" s="1" customFormat="1" ht="18" customHeight="1">
      <c r="B99" s="1667"/>
      <c r="C99" s="1639"/>
      <c r="D99" s="1639"/>
      <c r="E99" s="1639"/>
      <c r="F99" s="1639"/>
      <c r="G99" s="1639"/>
      <c r="H99" s="1639"/>
      <c r="I99" s="1639"/>
      <c r="J99" s="1639"/>
      <c r="K99" s="1639"/>
      <c r="L99" s="1639"/>
      <c r="M99" s="1639"/>
      <c r="N99" s="1639"/>
      <c r="O99" s="1639"/>
      <c r="P99" s="1639"/>
      <c r="Q99" s="1639"/>
      <c r="R99" s="1639"/>
      <c r="S99" s="1639"/>
      <c r="T99" s="1639" t="s">
        <v>856</v>
      </c>
      <c r="U99" s="1639"/>
      <c r="V99" s="1639" t="s">
        <v>856</v>
      </c>
      <c r="W99" s="1639"/>
      <c r="X99" s="1639" t="s">
        <v>856</v>
      </c>
      <c r="Y99" s="1639"/>
      <c r="Z99" s="1639" t="s">
        <v>856</v>
      </c>
      <c r="AA99" s="1639"/>
      <c r="AB99" s="1639" t="s">
        <v>856</v>
      </c>
      <c r="AC99" s="1639"/>
      <c r="AD99" s="1639" t="s">
        <v>856</v>
      </c>
      <c r="AE99" s="1639"/>
      <c r="AF99" s="1639" t="s">
        <v>856</v>
      </c>
      <c r="AG99" s="1639"/>
      <c r="AH99" s="1639" t="s">
        <v>856</v>
      </c>
      <c r="AI99" s="1639"/>
      <c r="AJ99" s="1639"/>
      <c r="AK99" s="2"/>
      <c r="AL99" s="2"/>
      <c r="AM99" s="2"/>
      <c r="AN99" s="2"/>
      <c r="AO99" s="5">
        <v>1</v>
      </c>
    </row>
    <row r="100" spans="2:43" s="1" customFormat="1" ht="18" customHeight="1">
      <c r="B100" s="1667"/>
      <c r="C100" s="1639"/>
      <c r="D100" s="1639"/>
      <c r="E100" s="1639"/>
      <c r="F100" s="1639"/>
      <c r="G100" s="1639"/>
      <c r="H100" s="1639"/>
      <c r="I100" s="1639"/>
      <c r="J100" s="1639"/>
      <c r="K100" s="1639"/>
      <c r="L100" s="1639"/>
      <c r="M100" s="1639"/>
      <c r="N100" s="1639"/>
      <c r="O100" s="1639"/>
      <c r="P100" s="1645" t="s">
        <v>1524</v>
      </c>
      <c r="Q100" s="1639"/>
      <c r="R100" s="1639"/>
      <c r="S100" s="1639"/>
      <c r="T100" s="1667"/>
      <c r="U100" s="1639"/>
      <c r="V100" s="1639"/>
      <c r="W100" s="1639"/>
      <c r="X100" s="1639"/>
      <c r="Y100" s="1639"/>
      <c r="Z100" s="1639"/>
      <c r="AA100" s="1639"/>
      <c r="AB100" s="1639"/>
      <c r="AC100" s="1639"/>
      <c r="AD100" s="1639"/>
      <c r="AE100" s="1639"/>
      <c r="AF100" s="1639"/>
      <c r="AG100" s="1639"/>
      <c r="AH100" s="1645" t="s">
        <v>1736</v>
      </c>
      <c r="AI100" s="1639"/>
      <c r="AJ100" s="1639"/>
      <c r="AK100" s="2"/>
      <c r="AL100" s="2"/>
      <c r="AM100" s="2"/>
      <c r="AN100" s="2"/>
      <c r="AO100" s="5">
        <v>1</v>
      </c>
    </row>
    <row r="101" spans="2:43" s="1" customFormat="1" ht="18" customHeight="1">
      <c r="B101" s="1667"/>
      <c r="C101" s="1639"/>
      <c r="D101" s="1639"/>
      <c r="E101" s="1639"/>
      <c r="F101" s="1639"/>
      <c r="G101" s="1639"/>
      <c r="H101" s="1639"/>
      <c r="I101" s="1639"/>
      <c r="J101" s="1639"/>
      <c r="K101" s="1639"/>
      <c r="L101" s="1639"/>
      <c r="M101" s="1639"/>
      <c r="N101" s="1639"/>
      <c r="O101" s="1639"/>
      <c r="P101" s="1639"/>
      <c r="Q101" s="1639"/>
      <c r="R101" s="1639"/>
      <c r="S101" s="1639"/>
      <c r="T101" s="1639" t="s">
        <v>856</v>
      </c>
      <c r="U101" s="1639"/>
      <c r="V101" s="1639" t="s">
        <v>856</v>
      </c>
      <c r="W101" s="1639"/>
      <c r="X101" s="1639" t="s">
        <v>856</v>
      </c>
      <c r="Y101" s="1639"/>
      <c r="Z101" s="1639" t="s">
        <v>856</v>
      </c>
      <c r="AA101" s="1639"/>
      <c r="AB101" s="1639" t="s">
        <v>856</v>
      </c>
      <c r="AC101" s="1639"/>
      <c r="AD101" s="1639" t="s">
        <v>856</v>
      </c>
      <c r="AE101" s="1639"/>
      <c r="AF101" s="1639" t="s">
        <v>856</v>
      </c>
      <c r="AG101" s="1639"/>
      <c r="AH101" s="1639" t="s">
        <v>856</v>
      </c>
      <c r="AI101" s="1639"/>
      <c r="AJ101" s="1639"/>
      <c r="AK101" s="2"/>
      <c r="AL101" s="2"/>
      <c r="AM101" s="2"/>
      <c r="AN101" s="2"/>
      <c r="AO101" s="5">
        <v>1</v>
      </c>
    </row>
    <row r="102" spans="2:43" s="1" customFormat="1" ht="18" customHeight="1">
      <c r="B102" s="1667"/>
      <c r="C102" s="1639"/>
      <c r="D102" s="1639"/>
      <c r="E102" s="1639"/>
      <c r="F102" s="1639"/>
      <c r="G102" s="1639"/>
      <c r="H102" s="1639"/>
      <c r="I102" s="1639"/>
      <c r="J102" s="1639"/>
      <c r="K102" s="1639"/>
      <c r="L102" s="1639"/>
      <c r="M102" s="1639"/>
      <c r="N102" s="1639"/>
      <c r="O102" s="1639"/>
      <c r="P102" s="1645" t="s">
        <v>1098</v>
      </c>
      <c r="Q102" s="1639"/>
      <c r="R102" s="1639"/>
      <c r="S102" s="1639"/>
      <c r="T102" s="1667"/>
      <c r="U102" s="1639"/>
      <c r="V102" s="1639"/>
      <c r="W102" s="1639"/>
      <c r="X102" s="1639"/>
      <c r="Y102" s="1639"/>
      <c r="Z102" s="1639"/>
      <c r="AA102" s="1639"/>
      <c r="AB102" s="1639"/>
      <c r="AC102" s="1639"/>
      <c r="AD102" s="1639"/>
      <c r="AE102" s="1639"/>
      <c r="AF102" s="1639"/>
      <c r="AG102" s="1639"/>
      <c r="AH102" s="1645" t="s">
        <v>1747</v>
      </c>
      <c r="AI102" s="1639"/>
      <c r="AJ102" s="1639"/>
      <c r="AK102" s="2"/>
      <c r="AL102" s="2"/>
      <c r="AM102" s="2"/>
      <c r="AN102" s="2"/>
      <c r="AO102" s="5">
        <v>1</v>
      </c>
    </row>
    <row r="103" spans="2:43" s="1" customFormat="1" ht="18" customHeight="1">
      <c r="B103" s="1667"/>
      <c r="C103" s="1639"/>
      <c r="D103" s="1639"/>
      <c r="E103" s="1639"/>
      <c r="F103" s="1639"/>
      <c r="G103" s="1639"/>
      <c r="H103" s="1639"/>
      <c r="I103" s="1639"/>
      <c r="J103" s="1639"/>
      <c r="K103" s="1639"/>
      <c r="L103" s="1639"/>
      <c r="M103" s="1639"/>
      <c r="N103" s="1639"/>
      <c r="O103" s="1639"/>
      <c r="P103" s="1639"/>
      <c r="Q103" s="1639"/>
      <c r="R103" s="1639"/>
      <c r="S103" s="1639"/>
      <c r="T103" s="1639" t="s">
        <v>856</v>
      </c>
      <c r="U103" s="1639"/>
      <c r="V103" s="1639" t="s">
        <v>856</v>
      </c>
      <c r="W103" s="1639"/>
      <c r="X103" s="1639" t="s">
        <v>856</v>
      </c>
      <c r="Y103" s="1639"/>
      <c r="Z103" s="1639" t="s">
        <v>856</v>
      </c>
      <c r="AA103" s="1639"/>
      <c r="AB103" s="1639" t="s">
        <v>856</v>
      </c>
      <c r="AC103" s="1639"/>
      <c r="AD103" s="1639" t="s">
        <v>856</v>
      </c>
      <c r="AE103" s="1639"/>
      <c r="AF103" s="1639" t="s">
        <v>856</v>
      </c>
      <c r="AG103" s="1639"/>
      <c r="AH103" s="1639" t="s">
        <v>856</v>
      </c>
      <c r="AI103" s="1639"/>
      <c r="AJ103" s="1639"/>
      <c r="AK103" s="2"/>
      <c r="AL103" s="2"/>
      <c r="AM103" s="2"/>
      <c r="AN103" s="2"/>
      <c r="AO103" s="5">
        <v>1</v>
      </c>
    </row>
    <row r="104" spans="2:43" s="1" customFormat="1" ht="18" customHeight="1">
      <c r="B104" s="1667"/>
      <c r="C104" s="1639"/>
      <c r="D104" s="1639"/>
      <c r="E104" s="1639"/>
      <c r="F104" s="1639"/>
      <c r="G104" s="1639"/>
      <c r="H104" s="1639"/>
      <c r="I104" s="1639"/>
      <c r="J104" s="1639"/>
      <c r="K104" s="1639"/>
      <c r="L104" s="1639"/>
      <c r="M104" s="1639"/>
      <c r="N104" s="1639"/>
      <c r="O104" s="1639"/>
      <c r="P104" s="1645" t="s">
        <v>1526</v>
      </c>
      <c r="Q104" s="1639"/>
      <c r="R104" s="1639"/>
      <c r="S104" s="1639"/>
      <c r="T104" s="1667"/>
      <c r="U104" s="1639"/>
      <c r="V104" s="1639"/>
      <c r="W104" s="1639"/>
      <c r="X104" s="1639"/>
      <c r="Y104" s="1639"/>
      <c r="Z104" s="1639"/>
      <c r="AA104" s="1639"/>
      <c r="AB104" s="1639"/>
      <c r="AC104" s="1639"/>
      <c r="AD104" s="1639"/>
      <c r="AE104" s="1639"/>
      <c r="AF104" s="1639"/>
      <c r="AG104" s="1639"/>
      <c r="AH104" s="1645" t="s">
        <v>1738</v>
      </c>
      <c r="AI104" s="1639"/>
      <c r="AJ104" s="1639"/>
      <c r="AK104" s="2"/>
      <c r="AL104" s="2"/>
      <c r="AM104" s="2"/>
      <c r="AN104" s="2"/>
      <c r="AO104" s="5">
        <v>1</v>
      </c>
    </row>
    <row r="105" spans="2:43" s="1" customFormat="1" ht="18" customHeight="1">
      <c r="B105" s="1667"/>
      <c r="C105" s="1639"/>
      <c r="D105" s="1639"/>
      <c r="E105" s="1639"/>
      <c r="F105" s="1639"/>
      <c r="G105" s="1639"/>
      <c r="H105" s="1639"/>
      <c r="I105" s="1639"/>
      <c r="J105" s="1639"/>
      <c r="K105" s="1639"/>
      <c r="L105" s="1639"/>
      <c r="M105" s="1639"/>
      <c r="N105" s="1639"/>
      <c r="O105" s="1639"/>
      <c r="P105" s="1639"/>
      <c r="Q105" s="1639"/>
      <c r="R105" s="1639"/>
      <c r="S105" s="1639"/>
      <c r="T105" s="1639" t="s">
        <v>856</v>
      </c>
      <c r="U105" s="1639"/>
      <c r="V105" s="1639" t="s">
        <v>856</v>
      </c>
      <c r="W105" s="1639"/>
      <c r="X105" s="1639" t="s">
        <v>856</v>
      </c>
      <c r="Y105" s="1639"/>
      <c r="Z105" s="1639" t="s">
        <v>856</v>
      </c>
      <c r="AA105" s="1639"/>
      <c r="AB105" s="1639" t="s">
        <v>856</v>
      </c>
      <c r="AC105" s="1639"/>
      <c r="AD105" s="1639" t="s">
        <v>856</v>
      </c>
      <c r="AE105" s="1639"/>
      <c r="AF105" s="1639" t="s">
        <v>856</v>
      </c>
      <c r="AG105" s="1639"/>
      <c r="AH105" s="1639" t="s">
        <v>856</v>
      </c>
      <c r="AI105" s="1639"/>
      <c r="AJ105" s="1639"/>
      <c r="AK105" s="2"/>
      <c r="AL105" s="2"/>
      <c r="AM105" s="2"/>
      <c r="AN105" s="2"/>
      <c r="AO105" s="5">
        <v>1</v>
      </c>
    </row>
    <row r="106" spans="2:43" s="1" customFormat="1" ht="18" customHeight="1">
      <c r="B106" s="1667"/>
      <c r="C106" s="1639"/>
      <c r="D106" s="1639"/>
      <c r="E106" s="1639"/>
      <c r="F106" s="1639"/>
      <c r="G106" s="1639"/>
      <c r="H106" s="1639"/>
      <c r="I106" s="1639"/>
      <c r="J106" s="1639"/>
      <c r="K106" s="1639"/>
      <c r="L106" s="1639"/>
      <c r="M106" s="1639"/>
      <c r="N106" s="1639"/>
      <c r="O106" s="1639"/>
      <c r="P106" s="1645" t="s">
        <v>1528</v>
      </c>
      <c r="Q106" s="1639"/>
      <c r="R106" s="1639"/>
      <c r="S106" s="1639"/>
      <c r="T106" s="1667"/>
      <c r="U106" s="1639"/>
      <c r="V106" s="1639"/>
      <c r="W106" s="1639"/>
      <c r="X106" s="1639"/>
      <c r="Y106" s="1639"/>
      <c r="Z106" s="1639"/>
      <c r="AA106" s="1639"/>
      <c r="AB106" s="1639"/>
      <c r="AC106" s="1639"/>
      <c r="AD106" s="1639"/>
      <c r="AE106" s="1639"/>
      <c r="AF106" s="1639"/>
      <c r="AG106" s="1639"/>
      <c r="AH106" s="1645" t="s">
        <v>1740</v>
      </c>
      <c r="AI106" s="1639"/>
      <c r="AJ106" s="1639"/>
      <c r="AK106" s="2"/>
      <c r="AL106" s="2"/>
      <c r="AM106" s="2"/>
      <c r="AN106" s="2"/>
      <c r="AO106" s="5">
        <v>1</v>
      </c>
    </row>
    <row r="107" spans="2:43" s="1" customFormat="1" ht="18" customHeight="1">
      <c r="B107" s="1667"/>
      <c r="C107" s="1639"/>
      <c r="D107" s="1639"/>
      <c r="E107" s="1639"/>
      <c r="F107" s="1639"/>
      <c r="G107" s="1639"/>
      <c r="H107" s="1639"/>
      <c r="I107" s="1639"/>
      <c r="J107" s="1639"/>
      <c r="K107" s="1639"/>
      <c r="L107" s="1639"/>
      <c r="M107" s="1639"/>
      <c r="N107" s="1639"/>
      <c r="O107" s="1639"/>
      <c r="P107" s="1639"/>
      <c r="Q107" s="1639"/>
      <c r="R107" s="1639"/>
      <c r="S107" s="1639"/>
      <c r="T107" s="1639" t="s">
        <v>856</v>
      </c>
      <c r="U107" s="1639"/>
      <c r="V107" s="1639" t="s">
        <v>856</v>
      </c>
      <c r="W107" s="1639"/>
      <c r="X107" s="1639" t="s">
        <v>856</v>
      </c>
      <c r="Y107" s="1639"/>
      <c r="Z107" s="1639" t="s">
        <v>856</v>
      </c>
      <c r="AA107" s="1639"/>
      <c r="AB107" s="1639" t="s">
        <v>856</v>
      </c>
      <c r="AC107" s="1639"/>
      <c r="AD107" s="1639" t="s">
        <v>856</v>
      </c>
      <c r="AE107" s="1639"/>
      <c r="AF107" s="1639" t="s">
        <v>856</v>
      </c>
      <c r="AG107" s="1639"/>
      <c r="AH107" s="1639" t="s">
        <v>856</v>
      </c>
      <c r="AI107" s="1639"/>
      <c r="AJ107" s="1639"/>
      <c r="AK107" s="2"/>
      <c r="AL107" s="2"/>
      <c r="AM107" s="2"/>
      <c r="AN107" s="2"/>
      <c r="AO107" s="5">
        <v>1</v>
      </c>
    </row>
    <row r="108" spans="2:43" s="1" customFormat="1" ht="18" customHeight="1">
      <c r="B108" s="1667"/>
      <c r="C108" s="1639"/>
      <c r="D108" s="1639"/>
      <c r="E108" s="1639"/>
      <c r="F108" s="1639"/>
      <c r="G108" s="1639"/>
      <c r="H108" s="1639"/>
      <c r="I108" s="1639"/>
      <c r="J108" s="1639"/>
      <c r="K108" s="1639"/>
      <c r="L108" s="1639"/>
      <c r="M108" s="1639"/>
      <c r="N108" s="1639"/>
      <c r="O108" s="1639"/>
      <c r="P108" s="1645" t="s">
        <v>1530</v>
      </c>
      <c r="Q108" s="1639"/>
      <c r="R108" s="1639"/>
      <c r="S108" s="1639"/>
      <c r="T108" s="1667"/>
      <c r="U108" s="1639"/>
      <c r="V108" s="1639"/>
      <c r="W108" s="1639"/>
      <c r="X108" s="1639"/>
      <c r="Y108" s="1639"/>
      <c r="Z108" s="1639"/>
      <c r="AA108" s="1639"/>
      <c r="AB108" s="1639"/>
      <c r="AC108" s="1639"/>
      <c r="AD108" s="1639"/>
      <c r="AE108" s="1639"/>
      <c r="AF108" s="1639"/>
      <c r="AG108" s="1639"/>
      <c r="AH108" s="1645" t="s">
        <v>1742</v>
      </c>
      <c r="AI108" s="1639"/>
      <c r="AJ108" s="1639"/>
      <c r="AK108" s="2"/>
      <c r="AL108" s="2"/>
      <c r="AM108" s="2"/>
      <c r="AN108" s="2"/>
      <c r="AO108" s="5">
        <v>1</v>
      </c>
    </row>
    <row r="109" spans="2:43" s="1" customFormat="1" ht="18" customHeight="1">
      <c r="B109" s="1667"/>
      <c r="C109" s="1639"/>
      <c r="D109" s="1639"/>
      <c r="E109" s="1639"/>
      <c r="F109" s="1639"/>
      <c r="G109" s="1639"/>
      <c r="H109" s="1639"/>
      <c r="I109" s="1639"/>
      <c r="J109" s="1639"/>
      <c r="K109" s="1639"/>
      <c r="L109" s="1639"/>
      <c r="M109" s="1639"/>
      <c r="N109" s="1639"/>
      <c r="O109" s="1639"/>
      <c r="P109" s="1639"/>
      <c r="Q109" s="1639"/>
      <c r="R109" s="1639"/>
      <c r="S109" s="1639"/>
      <c r="T109" s="1639" t="s">
        <v>856</v>
      </c>
      <c r="U109" s="1639"/>
      <c r="V109" s="1639" t="s">
        <v>856</v>
      </c>
      <c r="W109" s="1639"/>
      <c r="X109" s="1639" t="s">
        <v>856</v>
      </c>
      <c r="Y109" s="1639"/>
      <c r="Z109" s="1639" t="s">
        <v>856</v>
      </c>
      <c r="AA109" s="1639"/>
      <c r="AB109" s="1639" t="s">
        <v>856</v>
      </c>
      <c r="AC109" s="1639"/>
      <c r="AD109" s="1639" t="s">
        <v>856</v>
      </c>
      <c r="AE109" s="1639"/>
      <c r="AF109" s="1639" t="s">
        <v>856</v>
      </c>
      <c r="AG109" s="1639"/>
      <c r="AH109" s="1639" t="s">
        <v>856</v>
      </c>
      <c r="AI109" s="1639"/>
      <c r="AJ109" s="1639"/>
      <c r="AK109" s="2"/>
      <c r="AL109" s="2"/>
      <c r="AM109" s="2"/>
      <c r="AN109" s="2"/>
      <c r="AO109" s="5">
        <v>1</v>
      </c>
    </row>
    <row r="110" spans="2:43" s="1" customFormat="1" ht="18" customHeight="1">
      <c r="B110" s="1667"/>
      <c r="C110" s="1639"/>
      <c r="D110" s="1639"/>
      <c r="E110" s="1639"/>
      <c r="F110" s="1639"/>
      <c r="G110" s="1639"/>
      <c r="H110" s="1639"/>
      <c r="I110" s="1639"/>
      <c r="J110" s="1639"/>
      <c r="K110" s="1639"/>
      <c r="L110" s="1639"/>
      <c r="M110" s="1639"/>
      <c r="N110" s="1639"/>
      <c r="O110" s="1639"/>
      <c r="P110" s="1645" t="s">
        <v>1532</v>
      </c>
      <c r="Q110" s="1639"/>
      <c r="R110" s="1639"/>
      <c r="S110" s="1639"/>
      <c r="T110" s="1667"/>
      <c r="U110" s="1639"/>
      <c r="V110" s="1639"/>
      <c r="W110" s="1639"/>
      <c r="X110" s="1639"/>
      <c r="Y110" s="1639"/>
      <c r="Z110" s="1639"/>
      <c r="AA110" s="1639"/>
      <c r="AB110" s="1639"/>
      <c r="AC110" s="1639"/>
      <c r="AD110" s="1639"/>
      <c r="AE110" s="1639"/>
      <c r="AF110" s="1639"/>
      <c r="AG110" s="1639"/>
      <c r="AH110" s="1645" t="s">
        <v>1744</v>
      </c>
      <c r="AI110" s="1639"/>
      <c r="AJ110" s="1639"/>
      <c r="AK110" s="2"/>
      <c r="AL110" s="2"/>
      <c r="AM110" s="2"/>
      <c r="AN110" s="2"/>
      <c r="AO110" s="5">
        <v>1</v>
      </c>
    </row>
    <row r="111" spans="2:43" ht="18" customHeight="1">
      <c r="B111" s="1633"/>
      <c r="C111" s="1634"/>
      <c r="D111" s="1634"/>
      <c r="E111" s="1634"/>
      <c r="F111" s="1634"/>
      <c r="G111" s="1634"/>
      <c r="H111" s="1634"/>
      <c r="I111" s="1634"/>
      <c r="J111" s="1634"/>
      <c r="K111" s="1634"/>
      <c r="L111" s="1634"/>
      <c r="M111" s="1634"/>
      <c r="N111" s="1634"/>
      <c r="O111" s="1634"/>
      <c r="P111" s="1634"/>
      <c r="Q111" s="1634"/>
      <c r="R111" s="1634"/>
      <c r="T111" s="1633"/>
      <c r="U111" s="1634"/>
      <c r="V111" s="1634"/>
      <c r="W111" s="1634"/>
      <c r="X111" s="1634"/>
      <c r="Y111" s="1634"/>
      <c r="Z111" s="1634"/>
      <c r="AA111" s="1634"/>
      <c r="AB111" s="1634"/>
      <c r="AC111" s="1634"/>
      <c r="AD111" s="1634"/>
      <c r="AE111" s="1634"/>
      <c r="AF111" s="1634"/>
      <c r="AG111" s="1634"/>
      <c r="AH111" s="1634"/>
      <c r="AI111" s="1634"/>
      <c r="AJ111" s="1634"/>
      <c r="AO111" s="5">
        <v>1</v>
      </c>
    </row>
    <row r="112" spans="2:43">
      <c r="AO112" s="10" t="s">
        <v>0</v>
      </c>
      <c r="AP112" s="2"/>
      <c r="AQ112" s="2"/>
    </row>
    <row r="113" spans="1:43">
      <c r="A113" s="5">
        <v>1</v>
      </c>
      <c r="B113" s="5">
        <v>1</v>
      </c>
      <c r="C113" s="5">
        <v>1</v>
      </c>
      <c r="D113" s="5">
        <v>1</v>
      </c>
      <c r="E113" s="5">
        <v>1</v>
      </c>
      <c r="F113" s="5">
        <v>1</v>
      </c>
      <c r="G113" s="5">
        <v>1</v>
      </c>
      <c r="H113" s="5">
        <v>1</v>
      </c>
      <c r="I113" s="5">
        <v>1</v>
      </c>
      <c r="J113" s="5">
        <v>1</v>
      </c>
      <c r="K113" s="5">
        <v>1</v>
      </c>
      <c r="L113" s="5">
        <v>1</v>
      </c>
      <c r="M113" s="5">
        <v>1</v>
      </c>
      <c r="N113" s="5">
        <v>1</v>
      </c>
      <c r="O113" s="5">
        <v>1</v>
      </c>
      <c r="P113" s="5">
        <v>1</v>
      </c>
      <c r="Q113" s="5">
        <v>1</v>
      </c>
      <c r="R113" s="5">
        <v>1</v>
      </c>
      <c r="S113" s="5">
        <v>1</v>
      </c>
      <c r="T113" s="5">
        <v>1</v>
      </c>
      <c r="U113" s="5">
        <v>1</v>
      </c>
      <c r="V113" s="5">
        <v>1</v>
      </c>
      <c r="W113" s="5">
        <v>1</v>
      </c>
      <c r="X113" s="5">
        <v>1</v>
      </c>
      <c r="Y113" s="5">
        <v>1</v>
      </c>
      <c r="Z113" s="5">
        <v>1</v>
      </c>
      <c r="AA113" s="5">
        <v>1</v>
      </c>
      <c r="AB113" s="5">
        <v>1</v>
      </c>
      <c r="AC113" s="5">
        <v>1</v>
      </c>
      <c r="AD113" s="5">
        <v>1</v>
      </c>
      <c r="AE113" s="5">
        <v>1</v>
      </c>
      <c r="AF113" s="5">
        <v>1</v>
      </c>
      <c r="AG113" s="5">
        <v>1</v>
      </c>
      <c r="AH113" s="5">
        <v>1</v>
      </c>
      <c r="AI113" s="5">
        <v>1</v>
      </c>
      <c r="AJ113" s="5">
        <v>1</v>
      </c>
      <c r="AK113" s="5"/>
      <c r="AL113" s="5">
        <v>1</v>
      </c>
      <c r="AM113" s="5">
        <v>1</v>
      </c>
      <c r="AN113" s="5">
        <v>1</v>
      </c>
      <c r="AO113" s="9" t="str">
        <f>ADDRESS(ROW(),COLUMN(),4)</f>
        <v>AO113</v>
      </c>
      <c r="AP113" s="8"/>
      <c r="AQ113" s="7" t="str">
        <f>ADDRESS(ROW(),COLUMN(),4)</f>
        <v>AQ113</v>
      </c>
    </row>
  </sheetData>
  <mergeCells count="8">
    <mergeCell ref="AH7:AH8"/>
    <mergeCell ref="AJ7:AJ8"/>
    <mergeCell ref="L7:L8"/>
    <mergeCell ref="N7:N8"/>
    <mergeCell ref="P7:P8"/>
    <mergeCell ref="R7:R8"/>
    <mergeCell ref="AD7:AD8"/>
    <mergeCell ref="AF7:AF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0E48-097D-4691-9F4F-7793BF361735}">
  <dimension ref="A1:AU132"/>
  <sheetViews>
    <sheetView zoomScaleNormal="100" workbookViewId="0">
      <selection activeCell="AT1" sqref="AT1"/>
    </sheetView>
  </sheetViews>
  <sheetFormatPr baseColWidth="10" defaultRowHeight="15"/>
  <cols>
    <col min="1" max="1" width="3.7109375" style="1301" customWidth="1"/>
    <col min="3" max="3" width="30.7109375" customWidth="1"/>
    <col min="4" max="4" width="7.5703125" customWidth="1"/>
    <col min="6" max="6" width="30.7109375" customWidth="1"/>
    <col min="7" max="7" width="7.5703125" customWidth="1"/>
    <col min="9" max="9" width="30.7109375" customWidth="1"/>
    <col min="10" max="10" width="7.5703125" customWidth="1"/>
    <col min="12" max="12" width="30.7109375" customWidth="1"/>
    <col min="13" max="13" width="7.5703125" customWidth="1"/>
    <col min="15" max="15" width="30.7109375" customWidth="1"/>
    <col min="16" max="16" width="7.5703125" customWidth="1"/>
    <col min="18" max="18" width="30.7109375" customWidth="1"/>
    <col min="19" max="19" width="7.5703125" customWidth="1"/>
    <col min="20" max="20" width="8.140625" customWidth="1"/>
    <col min="21" max="21" width="30.7109375" customWidth="1"/>
    <col min="22" max="23" width="8.7109375" customWidth="1"/>
    <col min="24" max="24" width="30.7109375" customWidth="1"/>
    <col min="25" max="25" width="7.5703125" customWidth="1"/>
    <col min="26" max="26" width="7.7109375" customWidth="1"/>
    <col min="27" max="27" width="34.5703125" customWidth="1"/>
    <col min="28" max="29" width="7.5703125" customWidth="1"/>
    <col min="30" max="30" width="64" customWidth="1"/>
    <col min="31" max="31" width="4" customWidth="1"/>
    <col min="32" max="32" width="55.7109375" customWidth="1"/>
    <col min="33" max="33" width="7.5703125" customWidth="1"/>
    <col min="34" max="34" width="11.42578125" style="1705"/>
    <col min="35" max="35" width="168.42578125" style="1705" customWidth="1"/>
    <col min="36" max="36" width="7.5703125" customWidth="1"/>
    <col min="37" max="37" width="4.7109375" style="1719" customWidth="1"/>
    <col min="38" max="38" width="40.7109375" style="1719" customWidth="1"/>
    <col min="39" max="39" width="12.7109375" style="1719" customWidth="1"/>
    <col min="40" max="40" width="4.85546875" style="1719" customWidth="1"/>
    <col min="41" max="41" width="4.7109375" style="1719" customWidth="1"/>
    <col min="42" max="42" width="40.7109375" style="1719" customWidth="1"/>
    <col min="43" max="43" width="12.7109375" style="1719" customWidth="1"/>
    <col min="44" max="44" width="7.5703125" customWidth="1"/>
    <col min="45" max="45" width="8.7109375" style="2" customWidth="1"/>
    <col min="46" max="46" width="11.42578125" style="1"/>
    <col min="47" max="47" width="43.5703125" style="1" customWidth="1"/>
  </cols>
  <sheetData>
    <row r="1" spans="1:47" ht="28.5">
      <c r="A1" s="9" t="str">
        <f>ADDRESS(ROW(),COLUMN(),4)</f>
        <v>A1</v>
      </c>
      <c r="B1" s="7734" t="s">
        <v>1748</v>
      </c>
      <c r="C1" s="7734"/>
      <c r="D1" s="7734"/>
      <c r="E1" s="7734"/>
      <c r="F1" s="7734"/>
      <c r="G1" s="7734"/>
      <c r="H1" s="7734"/>
      <c r="I1" s="7734"/>
      <c r="J1" s="7734"/>
      <c r="K1" s="7734"/>
      <c r="L1" s="7734"/>
      <c r="M1" s="7734"/>
      <c r="N1" s="7734"/>
      <c r="O1" s="7734"/>
      <c r="P1" s="7734"/>
      <c r="Q1" s="7734"/>
      <c r="R1" s="7734"/>
      <c r="S1" s="141"/>
      <c r="T1" s="1668"/>
      <c r="U1" s="1668" t="s">
        <v>1749</v>
      </c>
      <c r="V1" s="1669"/>
      <c r="W1" s="1669"/>
      <c r="X1" s="1669"/>
      <c r="Y1" s="141"/>
      <c r="Z1" s="141"/>
      <c r="AA1" s="1670" t="s">
        <v>1750</v>
      </c>
      <c r="AB1" s="141"/>
      <c r="AC1" s="141"/>
      <c r="AD1" s="7735" t="s">
        <v>1751</v>
      </c>
      <c r="AE1" s="7735"/>
      <c r="AF1" s="7735"/>
      <c r="AG1" s="141"/>
      <c r="AH1" s="1671"/>
      <c r="AI1" s="1671"/>
      <c r="AJ1" s="141"/>
      <c r="AK1" s="1671"/>
      <c r="AL1" s="1671"/>
      <c r="AM1" s="1671"/>
      <c r="AN1" s="1671"/>
      <c r="AO1" s="1671"/>
      <c r="AP1" s="1671"/>
      <c r="AQ1" s="1671"/>
      <c r="AR1" s="141"/>
      <c r="AS1" s="5">
        <v>1</v>
      </c>
      <c r="AT1" s="5443" t="str">
        <f>SUBSTITUTE(ADDRESS(1,COLUMN(),4),"1","")</f>
        <v>AT</v>
      </c>
      <c r="AU1" s="5442" t="str">
        <f>SUBSTITUTE(ADDRESS(1,COLUMN(),4),"1","")</f>
        <v>AU</v>
      </c>
    </row>
    <row r="2" spans="1:47" ht="30" customHeight="1" thickBot="1">
      <c r="A2" s="507">
        <v>1</v>
      </c>
      <c r="D2" s="141"/>
      <c r="G2" s="141"/>
      <c r="J2" s="141"/>
      <c r="M2" s="141"/>
      <c r="P2" s="141"/>
      <c r="S2" s="141"/>
      <c r="Y2" s="141"/>
      <c r="Z2" s="141"/>
      <c r="AB2" s="141"/>
      <c r="AC2" s="141"/>
      <c r="AD2" s="1672"/>
      <c r="AE2" s="1672"/>
      <c r="AF2" s="1672"/>
      <c r="AG2" s="141"/>
      <c r="AH2" s="1673"/>
      <c r="AI2" s="1674" t="s">
        <v>1752</v>
      </c>
      <c r="AJ2" s="141"/>
      <c r="AK2" s="1675"/>
      <c r="AL2" s="1675"/>
      <c r="AM2" s="1675"/>
      <c r="AN2" s="1675"/>
      <c r="AO2" s="1675"/>
      <c r="AP2" s="1675"/>
      <c r="AQ2" s="1675"/>
      <c r="AR2" s="141"/>
      <c r="AS2" s="5">
        <v>1</v>
      </c>
      <c r="AT2" s="440"/>
      <c r="AU2" s="440" t="s">
        <v>295</v>
      </c>
    </row>
    <row r="3" spans="1:47" ht="30" customHeight="1">
      <c r="A3" s="507">
        <v>1</v>
      </c>
      <c r="B3" s="1676"/>
      <c r="C3" s="1677" t="s">
        <v>21</v>
      </c>
      <c r="D3" s="141"/>
      <c r="E3" s="1676"/>
      <c r="F3" s="1677" t="s">
        <v>1753</v>
      </c>
      <c r="G3" s="141"/>
      <c r="H3" s="1676"/>
      <c r="I3" s="1677" t="s">
        <v>1754</v>
      </c>
      <c r="J3" s="141"/>
      <c r="K3" s="1676"/>
      <c r="L3" s="1677" t="s">
        <v>1275</v>
      </c>
      <c r="M3" s="141"/>
      <c r="N3" s="1676"/>
      <c r="O3" s="1677" t="s">
        <v>1755</v>
      </c>
      <c r="P3" s="141"/>
      <c r="Q3" s="1676"/>
      <c r="R3" s="1678" t="s">
        <v>1756</v>
      </c>
      <c r="S3" s="141"/>
      <c r="T3" s="1676"/>
      <c r="U3" s="1679" t="s">
        <v>21</v>
      </c>
      <c r="W3" s="1676"/>
      <c r="X3" s="1679" t="s">
        <v>88</v>
      </c>
      <c r="Y3" s="141"/>
      <c r="Z3" s="1676"/>
      <c r="AA3" s="1680" t="s">
        <v>21</v>
      </c>
      <c r="AB3" s="141"/>
      <c r="AC3" s="141"/>
      <c r="AD3" s="1681" t="s">
        <v>1757</v>
      </c>
      <c r="AE3" s="1682"/>
      <c r="AF3" s="1682" t="s">
        <v>1758</v>
      </c>
      <c r="AG3" s="141"/>
      <c r="AH3" s="1673"/>
      <c r="AI3" s="1673"/>
      <c r="AJ3" s="141"/>
      <c r="AK3" s="7736" t="s">
        <v>1759</v>
      </c>
      <c r="AL3" s="7737"/>
      <c r="AM3" s="7738"/>
      <c r="AN3" s="1675"/>
      <c r="AO3" s="7736" t="s">
        <v>1760</v>
      </c>
      <c r="AP3" s="7737"/>
      <c r="AQ3" s="7738"/>
      <c r="AR3" s="141"/>
      <c r="AS3" s="5">
        <v>1</v>
      </c>
      <c r="AT3" s="430" cm="1">
        <f t="array" ref="AT3">COUNTA(A1:AS132+COUNTBLANK(A1:AS132))</f>
        <v>5940</v>
      </c>
      <c r="AU3" s="429" t="str">
        <f>"cellules entre"&amp;" " &amp;A1&amp;" et  "&amp;AS132</f>
        <v>cellules entre A1 et  AS132</v>
      </c>
    </row>
    <row r="4" spans="1:47" ht="30" customHeight="1">
      <c r="A4" s="507">
        <v>1</v>
      </c>
      <c r="B4" s="1676">
        <v>1</v>
      </c>
      <c r="C4" s="1683" t="s">
        <v>1761</v>
      </c>
      <c r="D4" s="141"/>
      <c r="E4" s="1676">
        <v>1</v>
      </c>
      <c r="F4" s="1683" t="s">
        <v>1762</v>
      </c>
      <c r="G4" s="141"/>
      <c r="H4" s="1676">
        <v>1</v>
      </c>
      <c r="I4" s="1683" t="s">
        <v>1763</v>
      </c>
      <c r="J4" s="141"/>
      <c r="K4" s="1676">
        <v>1</v>
      </c>
      <c r="L4" s="1683" t="s">
        <v>1764</v>
      </c>
      <c r="M4" s="141"/>
      <c r="N4" s="1676">
        <v>1</v>
      </c>
      <c r="O4" s="1683" t="s">
        <v>1765</v>
      </c>
      <c r="P4" s="141"/>
      <c r="Q4" s="1676">
        <v>1</v>
      </c>
      <c r="R4" s="1683" t="s">
        <v>1766</v>
      </c>
      <c r="S4" s="141"/>
      <c r="T4" s="1676">
        <v>1</v>
      </c>
      <c r="U4" s="1684" t="s">
        <v>1767</v>
      </c>
      <c r="W4" s="1676">
        <v>1</v>
      </c>
      <c r="X4" s="1684" t="s">
        <v>1768</v>
      </c>
      <c r="Y4" s="141"/>
      <c r="Z4" s="1676"/>
      <c r="AA4" s="145"/>
      <c r="AB4" s="141"/>
      <c r="AC4" s="1676">
        <v>1</v>
      </c>
      <c r="AD4" s="1685" t="s">
        <v>1769</v>
      </c>
      <c r="AE4" s="1686"/>
      <c r="AF4" s="1685" t="s">
        <v>1770</v>
      </c>
      <c r="AG4" s="141"/>
      <c r="AH4" s="1687" t="s">
        <v>627</v>
      </c>
      <c r="AI4" s="1688" t="s">
        <v>1771</v>
      </c>
      <c r="AJ4" s="141"/>
      <c r="AK4" s="7732" t="s">
        <v>1772</v>
      </c>
      <c r="AL4" s="7732"/>
      <c r="AM4" s="7732"/>
      <c r="AN4" s="1675"/>
      <c r="AO4" s="7732" t="s">
        <v>1772</v>
      </c>
      <c r="AP4" s="7732"/>
      <c r="AQ4" s="7732"/>
      <c r="AR4" s="141"/>
      <c r="AS4" s="5">
        <v>1</v>
      </c>
      <c r="AT4" s="430">
        <f>COUNTA(A1:AS132)</f>
        <v>1938</v>
      </c>
      <c r="AU4" s="429" t="s">
        <v>291</v>
      </c>
    </row>
    <row r="5" spans="1:47" ht="30" customHeight="1">
      <c r="A5" s="507">
        <v>1</v>
      </c>
      <c r="B5" s="1676">
        <f>B4+1</f>
        <v>2</v>
      </c>
      <c r="C5" s="145" t="s">
        <v>1773</v>
      </c>
      <c r="D5" s="141"/>
      <c r="E5" s="1676">
        <f>E4+1</f>
        <v>2</v>
      </c>
      <c r="F5" s="145" t="s">
        <v>1774</v>
      </c>
      <c r="G5" s="141"/>
      <c r="H5" s="1676">
        <f>H4+1</f>
        <v>2</v>
      </c>
      <c r="I5" s="1683" t="s">
        <v>1775</v>
      </c>
      <c r="J5" s="141"/>
      <c r="K5" s="1676">
        <f>K4+1</f>
        <v>2</v>
      </c>
      <c r="L5" s="145" t="s">
        <v>1776</v>
      </c>
      <c r="M5" s="141"/>
      <c r="N5" s="1676"/>
      <c r="P5" s="141"/>
      <c r="Q5" s="1676">
        <f>Q4+1</f>
        <v>2</v>
      </c>
      <c r="R5" s="145" t="s">
        <v>1777</v>
      </c>
      <c r="S5" s="141"/>
      <c r="T5" s="1676">
        <f>T4+1</f>
        <v>2</v>
      </c>
      <c r="U5" s="1684" t="s">
        <v>1778</v>
      </c>
      <c r="W5" s="1690"/>
      <c r="Y5" s="141"/>
      <c r="Z5" s="1676">
        <v>1</v>
      </c>
      <c r="AA5" s="145" t="s">
        <v>1779</v>
      </c>
      <c r="AB5" s="141"/>
      <c r="AC5" s="1676">
        <f>AC4+1</f>
        <v>2</v>
      </c>
      <c r="AD5" s="1685" t="s">
        <v>1780</v>
      </c>
      <c r="AE5" s="1686"/>
      <c r="AF5" s="1685" t="s">
        <v>1781</v>
      </c>
      <c r="AG5" s="141"/>
      <c r="AH5" s="1673"/>
      <c r="AI5" s="1691" t="s">
        <v>21</v>
      </c>
      <c r="AJ5" s="141"/>
      <c r="AK5" s="1689"/>
      <c r="AL5" s="7739" t="s">
        <v>1782</v>
      </c>
      <c r="AM5" s="7739"/>
      <c r="AN5" s="1675"/>
      <c r="AO5" s="1689"/>
      <c r="AP5" s="7740" t="s">
        <v>1783</v>
      </c>
      <c r="AQ5" s="7740"/>
      <c r="AR5" s="141"/>
      <c r="AS5" s="5">
        <v>1</v>
      </c>
      <c r="AT5" s="430">
        <f>COUNTBLANK(A1:AS132)</f>
        <v>4002</v>
      </c>
      <c r="AU5" s="429" t="s">
        <v>288</v>
      </c>
    </row>
    <row r="6" spans="1:47" ht="30" customHeight="1">
      <c r="A6" s="507">
        <v>1</v>
      </c>
      <c r="B6" s="1676">
        <f t="shared" ref="B6:B28" si="0">B5+1</f>
        <v>3</v>
      </c>
      <c r="C6" s="1683" t="s">
        <v>1784</v>
      </c>
      <c r="D6" s="141"/>
      <c r="E6" s="1676">
        <f t="shared" ref="E6:E48" si="1">E5+1</f>
        <v>3</v>
      </c>
      <c r="F6" s="145" t="s">
        <v>1785</v>
      </c>
      <c r="G6" s="141"/>
      <c r="H6" s="1676">
        <f t="shared" ref="H6:H27" si="2">H5+1</f>
        <v>3</v>
      </c>
      <c r="I6" s="1683" t="s">
        <v>1786</v>
      </c>
      <c r="J6" s="141"/>
      <c r="K6" s="1676">
        <f t="shared" ref="K6:K34" si="3">K5+1</f>
        <v>3</v>
      </c>
      <c r="L6" s="1683" t="s">
        <v>1787</v>
      </c>
      <c r="M6" s="141"/>
      <c r="N6" s="1693"/>
      <c r="P6" s="141"/>
      <c r="Q6" s="1676">
        <f t="shared" ref="Q6:Q25" si="4">Q5+1</f>
        <v>3</v>
      </c>
      <c r="R6" s="1683" t="s">
        <v>1788</v>
      </c>
      <c r="S6" s="141"/>
      <c r="T6" s="1676">
        <f t="shared" ref="T6:T18" si="5">T5+1</f>
        <v>3</v>
      </c>
      <c r="U6" s="1684" t="s">
        <v>1789</v>
      </c>
      <c r="W6" s="1676"/>
      <c r="X6" s="1679" t="s">
        <v>1275</v>
      </c>
      <c r="Y6" s="141"/>
      <c r="Z6" s="1690"/>
      <c r="AA6" s="145"/>
      <c r="AB6" s="141"/>
      <c r="AC6" s="1676">
        <f t="shared" ref="AC6:AC34" si="6">AC5+1</f>
        <v>3</v>
      </c>
      <c r="AD6" s="1685" t="s">
        <v>1790</v>
      </c>
      <c r="AE6" s="1686"/>
      <c r="AF6" s="1685" t="s">
        <v>1791</v>
      </c>
      <c r="AG6" s="141"/>
      <c r="AH6" s="1673"/>
      <c r="AI6" s="1694" t="s">
        <v>1792</v>
      </c>
      <c r="AJ6" s="141"/>
      <c r="AK6" s="1689">
        <v>1</v>
      </c>
      <c r="AL6" s="1695" t="s">
        <v>1793</v>
      </c>
      <c r="AM6" s="1695"/>
      <c r="AN6" s="1675"/>
      <c r="AO6" s="1689"/>
      <c r="AP6" s="7740"/>
      <c r="AQ6" s="7740"/>
      <c r="AR6" s="141"/>
      <c r="AS6" s="5">
        <v>1</v>
      </c>
      <c r="AT6" s="430">
        <f>SUM(AS1:AS130)+2</f>
        <v>132</v>
      </c>
      <c r="AU6" s="429" t="s">
        <v>286</v>
      </c>
    </row>
    <row r="7" spans="1:47" ht="30" customHeight="1">
      <c r="A7" s="507">
        <v>1</v>
      </c>
      <c r="B7" s="1676">
        <f t="shared" si="0"/>
        <v>4</v>
      </c>
      <c r="C7" s="1683" t="s">
        <v>1794</v>
      </c>
      <c r="D7" s="141"/>
      <c r="E7" s="1676">
        <f t="shared" si="1"/>
        <v>4</v>
      </c>
      <c r="F7" s="1683" t="s">
        <v>1795</v>
      </c>
      <c r="G7" s="141"/>
      <c r="H7" s="1676">
        <f t="shared" si="2"/>
        <v>4</v>
      </c>
      <c r="I7" s="1683" t="s">
        <v>1796</v>
      </c>
      <c r="J7" s="141"/>
      <c r="K7" s="1676">
        <f t="shared" si="3"/>
        <v>4</v>
      </c>
      <c r="L7" s="1683" t="s">
        <v>1797</v>
      </c>
      <c r="M7" s="141"/>
      <c r="N7" s="1676"/>
      <c r="O7" s="1677" t="s">
        <v>1798</v>
      </c>
      <c r="P7" s="141"/>
      <c r="Q7" s="1676">
        <f t="shared" si="4"/>
        <v>4</v>
      </c>
      <c r="R7" s="1683" t="s">
        <v>1799</v>
      </c>
      <c r="S7" s="141"/>
      <c r="T7" s="1676">
        <f t="shared" si="5"/>
        <v>4</v>
      </c>
      <c r="U7" s="1684" t="s">
        <v>1800</v>
      </c>
      <c r="W7" s="1676">
        <v>1</v>
      </c>
      <c r="X7" s="1684" t="s">
        <v>1801</v>
      </c>
      <c r="Y7" s="141"/>
      <c r="Z7" s="1676"/>
      <c r="AA7" s="1680" t="s">
        <v>1802</v>
      </c>
      <c r="AB7" s="141"/>
      <c r="AC7" s="1676">
        <f t="shared" si="6"/>
        <v>4</v>
      </c>
      <c r="AD7" s="1685" t="s">
        <v>1803</v>
      </c>
      <c r="AE7" s="1686"/>
      <c r="AF7" s="1685" t="s">
        <v>1804</v>
      </c>
      <c r="AG7" s="141"/>
      <c r="AH7" s="1673"/>
      <c r="AI7" s="1694" t="s">
        <v>1805</v>
      </c>
      <c r="AJ7" s="141"/>
      <c r="AK7" s="1689">
        <v>2</v>
      </c>
      <c r="AL7" s="1695" t="s">
        <v>1806</v>
      </c>
      <c r="AM7" s="1695"/>
      <c r="AN7" s="1675"/>
      <c r="AO7" s="1692" t="s">
        <v>1807</v>
      </c>
      <c r="AP7" s="428" t="s">
        <v>1808</v>
      </c>
      <c r="AQ7" s="1695"/>
      <c r="AR7" s="141"/>
      <c r="AS7" s="5">
        <v>1</v>
      </c>
      <c r="AT7" s="430">
        <f>SUM(A132:AG132)+1</f>
        <v>34</v>
      </c>
      <c r="AU7" s="429" t="s">
        <v>284</v>
      </c>
    </row>
    <row r="8" spans="1:47" ht="30" customHeight="1">
      <c r="A8" s="507">
        <v>1</v>
      </c>
      <c r="B8" s="1676">
        <f t="shared" si="0"/>
        <v>5</v>
      </c>
      <c r="C8" s="145" t="s">
        <v>1809</v>
      </c>
      <c r="D8" s="141"/>
      <c r="E8" s="1676">
        <f t="shared" si="1"/>
        <v>5</v>
      </c>
      <c r="F8" s="145" t="s">
        <v>1810</v>
      </c>
      <c r="G8" s="141"/>
      <c r="H8" s="1676">
        <f t="shared" si="2"/>
        <v>5</v>
      </c>
      <c r="I8" s="1683" t="s">
        <v>1811</v>
      </c>
      <c r="J8" s="141"/>
      <c r="K8" s="1676">
        <f t="shared" si="3"/>
        <v>5</v>
      </c>
      <c r="L8" s="1683" t="s">
        <v>1812</v>
      </c>
      <c r="M8" s="141"/>
      <c r="N8" s="1676">
        <v>1</v>
      </c>
      <c r="O8" s="1683" t="s">
        <v>1813</v>
      </c>
      <c r="P8" s="141"/>
      <c r="Q8" s="1676">
        <f t="shared" si="4"/>
        <v>5</v>
      </c>
      <c r="R8" s="1683" t="s">
        <v>1814</v>
      </c>
      <c r="S8" s="141"/>
      <c r="T8" s="1676">
        <f t="shared" si="5"/>
        <v>5</v>
      </c>
      <c r="U8" s="1684" t="s">
        <v>1815</v>
      </c>
      <c r="W8" s="1676">
        <f t="shared" ref="W8:W13" si="7">W7+1</f>
        <v>2</v>
      </c>
      <c r="X8" s="1684" t="s">
        <v>1816</v>
      </c>
      <c r="Y8" s="141"/>
      <c r="Z8" s="1676">
        <v>1</v>
      </c>
      <c r="AA8" s="145" t="s">
        <v>1817</v>
      </c>
      <c r="AB8" s="141"/>
      <c r="AC8" s="1676">
        <f t="shared" si="6"/>
        <v>5</v>
      </c>
      <c r="AD8" s="1685" t="s">
        <v>1818</v>
      </c>
      <c r="AE8" s="1686"/>
      <c r="AF8" s="1685" t="s">
        <v>1819</v>
      </c>
      <c r="AG8" s="141"/>
      <c r="AH8" s="1673"/>
      <c r="AI8" s="1694" t="s">
        <v>1820</v>
      </c>
      <c r="AJ8" s="141"/>
      <c r="AK8" s="1689">
        <v>3</v>
      </c>
      <c r="AL8" s="1695" t="s">
        <v>1821</v>
      </c>
      <c r="AM8" s="1695"/>
      <c r="AN8" s="1675"/>
      <c r="AO8" s="1689">
        <v>1</v>
      </c>
      <c r="AP8" s="1695" t="s">
        <v>1822</v>
      </c>
      <c r="AQ8" s="1695"/>
      <c r="AR8" s="141"/>
      <c r="AS8" s="5">
        <v>1</v>
      </c>
    </row>
    <row r="9" spans="1:47" ht="30" customHeight="1">
      <c r="A9" s="507">
        <v>1</v>
      </c>
      <c r="B9" s="1676">
        <f t="shared" si="0"/>
        <v>6</v>
      </c>
      <c r="C9" s="145" t="s">
        <v>1823</v>
      </c>
      <c r="D9" s="141"/>
      <c r="E9" s="1676">
        <f t="shared" si="1"/>
        <v>6</v>
      </c>
      <c r="F9" s="1683" t="s">
        <v>1824</v>
      </c>
      <c r="G9" s="141"/>
      <c r="H9" s="1676">
        <f t="shared" si="2"/>
        <v>6</v>
      </c>
      <c r="I9" s="1683" t="s">
        <v>1825</v>
      </c>
      <c r="J9" s="141"/>
      <c r="K9" s="1676">
        <f t="shared" si="3"/>
        <v>6</v>
      </c>
      <c r="L9" s="1683" t="s">
        <v>1826</v>
      </c>
      <c r="M9" s="141"/>
      <c r="N9" s="1676">
        <f>N8+1</f>
        <v>2</v>
      </c>
      <c r="O9" s="1683" t="s">
        <v>1827</v>
      </c>
      <c r="P9" s="141"/>
      <c r="Q9" s="1676">
        <f t="shared" si="4"/>
        <v>6</v>
      </c>
      <c r="R9" s="1683" t="s">
        <v>1828</v>
      </c>
      <c r="S9" s="141"/>
      <c r="T9" s="1676">
        <f t="shared" si="5"/>
        <v>6</v>
      </c>
      <c r="U9" s="1684" t="s">
        <v>1829</v>
      </c>
      <c r="W9" s="1676">
        <f t="shared" si="7"/>
        <v>3</v>
      </c>
      <c r="X9" s="1684" t="s">
        <v>1830</v>
      </c>
      <c r="Y9" s="141"/>
      <c r="Z9" s="1676">
        <f>Z8+1</f>
        <v>2</v>
      </c>
      <c r="AA9" s="145" t="s">
        <v>1831</v>
      </c>
      <c r="AB9" s="141"/>
      <c r="AC9" s="1676">
        <f t="shared" si="6"/>
        <v>6</v>
      </c>
      <c r="AD9" s="1685" t="s">
        <v>1832</v>
      </c>
      <c r="AE9" s="1686"/>
      <c r="AF9" s="1685" t="s">
        <v>1833</v>
      </c>
      <c r="AG9" s="141"/>
      <c r="AH9" s="1673"/>
      <c r="AI9" s="1694" t="s">
        <v>1834</v>
      </c>
      <c r="AJ9" s="141"/>
      <c r="AK9" s="1689">
        <v>4</v>
      </c>
      <c r="AL9" s="1695" t="s">
        <v>1835</v>
      </c>
      <c r="AM9" s="1695"/>
      <c r="AN9" s="1675"/>
      <c r="AO9" s="1689">
        <v>2</v>
      </c>
      <c r="AP9" s="1695" t="s">
        <v>1836</v>
      </c>
      <c r="AQ9" s="1695"/>
      <c r="AR9" s="141"/>
      <c r="AS9" s="5">
        <v>1</v>
      </c>
    </row>
    <row r="10" spans="1:47" ht="30" customHeight="1">
      <c r="A10" s="507">
        <v>1</v>
      </c>
      <c r="B10" s="1676">
        <f t="shared" si="0"/>
        <v>7</v>
      </c>
      <c r="C10" s="1683" t="s">
        <v>1837</v>
      </c>
      <c r="D10" s="141"/>
      <c r="E10" s="1676">
        <f t="shared" si="1"/>
        <v>7</v>
      </c>
      <c r="F10" s="145" t="s">
        <v>1838</v>
      </c>
      <c r="G10" s="141"/>
      <c r="H10" s="1676">
        <f t="shared" si="2"/>
        <v>7</v>
      </c>
      <c r="I10" s="1683" t="s">
        <v>1839</v>
      </c>
      <c r="J10" s="141"/>
      <c r="K10" s="1676">
        <f t="shared" si="3"/>
        <v>7</v>
      </c>
      <c r="L10" s="1683" t="s">
        <v>1840</v>
      </c>
      <c r="M10" s="141"/>
      <c r="N10" s="1676">
        <f t="shared" ref="N10:N58" si="8">N9+1</f>
        <v>3</v>
      </c>
      <c r="O10" s="1683" t="s">
        <v>1841</v>
      </c>
      <c r="P10" s="141"/>
      <c r="Q10" s="1676">
        <f t="shared" si="4"/>
        <v>7</v>
      </c>
      <c r="R10" s="1683" t="s">
        <v>1842</v>
      </c>
      <c r="S10" s="141"/>
      <c r="T10" s="1676">
        <f t="shared" si="5"/>
        <v>7</v>
      </c>
      <c r="U10" s="1684" t="s">
        <v>1843</v>
      </c>
      <c r="W10" s="1676">
        <f t="shared" si="7"/>
        <v>4</v>
      </c>
      <c r="X10" s="1684" t="s">
        <v>1844</v>
      </c>
      <c r="Y10" s="141"/>
      <c r="Z10" s="1676">
        <v>2</v>
      </c>
      <c r="AA10" s="145" t="s">
        <v>1845</v>
      </c>
      <c r="AB10" s="141"/>
      <c r="AC10" s="1676">
        <f t="shared" si="6"/>
        <v>7</v>
      </c>
      <c r="AD10" s="1685" t="s">
        <v>1846</v>
      </c>
      <c r="AE10" s="1686"/>
      <c r="AF10" s="1685" t="s">
        <v>1847</v>
      </c>
      <c r="AG10" s="141"/>
      <c r="AH10" s="1673"/>
      <c r="AI10" s="1694" t="s">
        <v>1848</v>
      </c>
      <c r="AJ10" s="141"/>
      <c r="AK10" s="1689">
        <v>5</v>
      </c>
      <c r="AL10" s="1695" t="s">
        <v>1849</v>
      </c>
      <c r="AM10" s="1695"/>
      <c r="AN10" s="1675"/>
      <c r="AO10" s="1689">
        <v>3</v>
      </c>
      <c r="AP10" s="1695" t="s">
        <v>1850</v>
      </c>
      <c r="AQ10" s="1695"/>
      <c r="AR10" s="141"/>
      <c r="AS10" s="5">
        <v>1</v>
      </c>
    </row>
    <row r="11" spans="1:47" ht="30" customHeight="1">
      <c r="A11" s="507">
        <v>1</v>
      </c>
      <c r="B11" s="1676">
        <f t="shared" si="0"/>
        <v>8</v>
      </c>
      <c r="C11" s="1683" t="s">
        <v>1851</v>
      </c>
      <c r="D11" s="141"/>
      <c r="E11" s="1676">
        <f t="shared" si="1"/>
        <v>8</v>
      </c>
      <c r="F11" s="145" t="s">
        <v>1852</v>
      </c>
      <c r="G11" s="141"/>
      <c r="H11" s="1676">
        <f t="shared" si="2"/>
        <v>8</v>
      </c>
      <c r="I11" s="145" t="s">
        <v>1853</v>
      </c>
      <c r="J11" s="141"/>
      <c r="K11" s="1676">
        <f t="shared" si="3"/>
        <v>8</v>
      </c>
      <c r="L11" s="145" t="s">
        <v>1854</v>
      </c>
      <c r="M11" s="141"/>
      <c r="N11" s="1676">
        <f t="shared" si="8"/>
        <v>4</v>
      </c>
      <c r="O11" s="1683" t="s">
        <v>1855</v>
      </c>
      <c r="P11" s="141"/>
      <c r="Q11" s="1676">
        <f t="shared" si="4"/>
        <v>8</v>
      </c>
      <c r="R11" s="1683" t="s">
        <v>1856</v>
      </c>
      <c r="S11" s="141"/>
      <c r="T11" s="1676">
        <f t="shared" si="5"/>
        <v>8</v>
      </c>
      <c r="U11" s="1684" t="s">
        <v>1857</v>
      </c>
      <c r="W11" s="1676">
        <f t="shared" si="7"/>
        <v>5</v>
      </c>
      <c r="X11" s="1684" t="s">
        <v>1858</v>
      </c>
      <c r="Y11" s="141"/>
      <c r="Z11" s="1676">
        <f>Z10+1</f>
        <v>3</v>
      </c>
      <c r="AA11" s="145" t="s">
        <v>1859</v>
      </c>
      <c r="AB11" s="141"/>
      <c r="AC11" s="1676">
        <f t="shared" si="6"/>
        <v>8</v>
      </c>
      <c r="AD11" s="1685" t="s">
        <v>1860</v>
      </c>
      <c r="AE11" s="1686"/>
      <c r="AF11" s="1685" t="s">
        <v>1861</v>
      </c>
      <c r="AG11" s="141"/>
      <c r="AH11" s="1673"/>
      <c r="AI11" s="1694" t="s">
        <v>1862</v>
      </c>
      <c r="AJ11" s="141"/>
      <c r="AK11" s="1689">
        <v>6</v>
      </c>
      <c r="AL11" s="1695" t="s">
        <v>1863</v>
      </c>
      <c r="AM11" s="1695"/>
      <c r="AN11" s="1675"/>
      <c r="AO11" s="1689">
        <v>4</v>
      </c>
      <c r="AP11" s="7728" t="s">
        <v>1864</v>
      </c>
      <c r="AQ11" s="7728"/>
      <c r="AR11" s="141"/>
      <c r="AS11" s="5">
        <v>1</v>
      </c>
    </row>
    <row r="12" spans="1:47" ht="30" customHeight="1">
      <c r="A12" s="507">
        <v>1</v>
      </c>
      <c r="B12" s="1676">
        <f t="shared" si="0"/>
        <v>9</v>
      </c>
      <c r="C12" s="1683" t="s">
        <v>1865</v>
      </c>
      <c r="D12" s="141"/>
      <c r="E12" s="1676">
        <f t="shared" si="1"/>
        <v>9</v>
      </c>
      <c r="F12" s="145" t="s">
        <v>1866</v>
      </c>
      <c r="G12" s="141"/>
      <c r="H12" s="1676">
        <f t="shared" si="2"/>
        <v>9</v>
      </c>
      <c r="I12" s="145" t="s">
        <v>1867</v>
      </c>
      <c r="J12" s="141"/>
      <c r="K12" s="1676">
        <f t="shared" si="3"/>
        <v>9</v>
      </c>
      <c r="L12" s="1683" t="s">
        <v>1868</v>
      </c>
      <c r="M12" s="141"/>
      <c r="N12" s="1676">
        <f t="shared" si="8"/>
        <v>5</v>
      </c>
      <c r="O12" s="145" t="s">
        <v>1869</v>
      </c>
      <c r="P12" s="141"/>
      <c r="Q12" s="1676">
        <f t="shared" si="4"/>
        <v>9</v>
      </c>
      <c r="R12" s="1683" t="s">
        <v>1870</v>
      </c>
      <c r="S12" s="141"/>
      <c r="T12" s="1676">
        <f t="shared" si="5"/>
        <v>9</v>
      </c>
      <c r="U12" s="1684" t="s">
        <v>1871</v>
      </c>
      <c r="W12" s="1676">
        <f t="shared" si="7"/>
        <v>6</v>
      </c>
      <c r="X12" s="1684" t="s">
        <v>1872</v>
      </c>
      <c r="Y12" s="141"/>
      <c r="Z12" s="1676">
        <v>3</v>
      </c>
      <c r="AA12" s="145" t="s">
        <v>1873</v>
      </c>
      <c r="AB12" s="141"/>
      <c r="AC12" s="1676">
        <f t="shared" si="6"/>
        <v>9</v>
      </c>
      <c r="AD12" s="1685" t="s">
        <v>1874</v>
      </c>
      <c r="AE12" s="1686"/>
      <c r="AF12" s="1685" t="s">
        <v>1875</v>
      </c>
      <c r="AG12" s="141"/>
      <c r="AH12" s="1673"/>
      <c r="AI12" s="1694" t="s">
        <v>1876</v>
      </c>
      <c r="AJ12" s="141"/>
      <c r="AK12" s="1689">
        <v>7</v>
      </c>
      <c r="AL12" s="1695" t="s">
        <v>1877</v>
      </c>
      <c r="AM12" s="1695"/>
      <c r="AN12" s="1675"/>
      <c r="AO12" s="1689"/>
      <c r="AP12" s="7728"/>
      <c r="AQ12" s="7728"/>
      <c r="AR12" s="141"/>
      <c r="AS12" s="5">
        <v>1</v>
      </c>
    </row>
    <row r="13" spans="1:47" ht="30" customHeight="1">
      <c r="A13" s="507">
        <v>1</v>
      </c>
      <c r="B13" s="1676">
        <f t="shared" si="0"/>
        <v>10</v>
      </c>
      <c r="C13" s="1683" t="s">
        <v>1878</v>
      </c>
      <c r="D13" s="141"/>
      <c r="E13" s="1676">
        <f t="shared" si="1"/>
        <v>10</v>
      </c>
      <c r="F13" s="1683" t="s">
        <v>1879</v>
      </c>
      <c r="G13" s="141"/>
      <c r="H13" s="1676">
        <f t="shared" si="2"/>
        <v>10</v>
      </c>
      <c r="I13" s="1683" t="s">
        <v>1880</v>
      </c>
      <c r="J13" s="141"/>
      <c r="K13" s="1676">
        <f t="shared" si="3"/>
        <v>10</v>
      </c>
      <c r="L13" s="1683" t="s">
        <v>1881</v>
      </c>
      <c r="M13" s="141"/>
      <c r="N13" s="1676">
        <f t="shared" si="8"/>
        <v>6</v>
      </c>
      <c r="O13" s="145" t="s">
        <v>1882</v>
      </c>
      <c r="P13" s="141"/>
      <c r="Q13" s="1676">
        <f t="shared" si="4"/>
        <v>10</v>
      </c>
      <c r="R13" s="1683" t="s">
        <v>1883</v>
      </c>
      <c r="S13" s="141"/>
      <c r="T13" s="1676">
        <f t="shared" si="5"/>
        <v>10</v>
      </c>
      <c r="U13" s="1684" t="s">
        <v>1884</v>
      </c>
      <c r="W13" s="1676">
        <f t="shared" si="7"/>
        <v>7</v>
      </c>
      <c r="X13" s="1684" t="s">
        <v>1885</v>
      </c>
      <c r="Y13" s="141"/>
      <c r="Z13" s="1693"/>
      <c r="AA13" s="145"/>
      <c r="AB13" s="141"/>
      <c r="AC13" s="1676">
        <f t="shared" si="6"/>
        <v>10</v>
      </c>
      <c r="AD13" s="1685" t="s">
        <v>1886</v>
      </c>
      <c r="AE13" s="1686"/>
      <c r="AF13" s="1685" t="s">
        <v>1887</v>
      </c>
      <c r="AG13" s="141"/>
      <c r="AH13" s="1673"/>
      <c r="AI13" s="1691" t="s">
        <v>1802</v>
      </c>
      <c r="AJ13" s="141"/>
      <c r="AK13" s="1689">
        <v>8</v>
      </c>
      <c r="AL13" s="1695" t="s">
        <v>1888</v>
      </c>
      <c r="AM13" s="1695"/>
      <c r="AN13" s="1675"/>
      <c r="AO13" s="1689"/>
      <c r="AP13" s="1696"/>
      <c r="AQ13" s="1696"/>
      <c r="AR13" s="141"/>
      <c r="AS13" s="5">
        <v>1</v>
      </c>
    </row>
    <row r="14" spans="1:47" ht="30" customHeight="1">
      <c r="A14" s="507">
        <v>1</v>
      </c>
      <c r="B14" s="1676">
        <f t="shared" si="0"/>
        <v>11</v>
      </c>
      <c r="C14" s="1683" t="s">
        <v>1889</v>
      </c>
      <c r="D14" s="141"/>
      <c r="E14" s="1676">
        <f t="shared" si="1"/>
        <v>11</v>
      </c>
      <c r="F14" s="1683" t="s">
        <v>1890</v>
      </c>
      <c r="G14" s="141"/>
      <c r="H14" s="1676">
        <f t="shared" si="2"/>
        <v>11</v>
      </c>
      <c r="I14" s="1683" t="s">
        <v>1891</v>
      </c>
      <c r="J14" s="141"/>
      <c r="K14" s="1676">
        <f t="shared" si="3"/>
        <v>11</v>
      </c>
      <c r="L14" s="1683" t="s">
        <v>1892</v>
      </c>
      <c r="M14" s="141"/>
      <c r="N14" s="1676">
        <f t="shared" si="8"/>
        <v>7</v>
      </c>
      <c r="O14" s="1683" t="s">
        <v>1893</v>
      </c>
      <c r="P14" s="141"/>
      <c r="Q14" s="1676">
        <f t="shared" si="4"/>
        <v>11</v>
      </c>
      <c r="R14" s="1683" t="s">
        <v>1894</v>
      </c>
      <c r="S14" s="141"/>
      <c r="T14" s="1676">
        <f t="shared" si="5"/>
        <v>11</v>
      </c>
      <c r="U14" s="1684" t="s">
        <v>1895</v>
      </c>
      <c r="W14" s="1690"/>
      <c r="Y14" s="141"/>
      <c r="Z14" s="1676"/>
      <c r="AA14" s="1680" t="s">
        <v>1896</v>
      </c>
      <c r="AB14" s="141"/>
      <c r="AC14" s="1676">
        <f t="shared" si="6"/>
        <v>11</v>
      </c>
      <c r="AD14" s="1685" t="s">
        <v>1897</v>
      </c>
      <c r="AE14" s="1686"/>
      <c r="AF14" s="1685" t="s">
        <v>1898</v>
      </c>
      <c r="AG14" s="141"/>
      <c r="AH14" s="1673"/>
      <c r="AI14" s="1694" t="s">
        <v>1899</v>
      </c>
      <c r="AJ14" s="141"/>
      <c r="AK14" s="1689"/>
      <c r="AL14" s="1697" t="s">
        <v>1900</v>
      </c>
      <c r="AM14" s="1695"/>
      <c r="AN14" s="1675"/>
      <c r="AO14" s="1692" t="s">
        <v>1901</v>
      </c>
      <c r="AP14" s="428" t="s">
        <v>1902</v>
      </c>
      <c r="AQ14" s="1695"/>
      <c r="AR14" s="141"/>
      <c r="AS14" s="5">
        <v>1</v>
      </c>
    </row>
    <row r="15" spans="1:47" ht="30" customHeight="1">
      <c r="A15" s="507">
        <v>1</v>
      </c>
      <c r="B15" s="1676">
        <f t="shared" si="0"/>
        <v>12</v>
      </c>
      <c r="C15" s="1683" t="s">
        <v>1903</v>
      </c>
      <c r="D15" s="141"/>
      <c r="E15" s="1676">
        <f t="shared" si="1"/>
        <v>12</v>
      </c>
      <c r="F15" s="145" t="s">
        <v>1904</v>
      </c>
      <c r="G15" s="141"/>
      <c r="H15" s="1676">
        <f t="shared" si="2"/>
        <v>12</v>
      </c>
      <c r="I15" s="1683" t="s">
        <v>1905</v>
      </c>
      <c r="J15" s="141"/>
      <c r="K15" s="1676">
        <f t="shared" si="3"/>
        <v>12</v>
      </c>
      <c r="L15" s="145" t="s">
        <v>1906</v>
      </c>
      <c r="M15" s="141"/>
      <c r="N15" s="1676">
        <f t="shared" si="8"/>
        <v>8</v>
      </c>
      <c r="O15" s="1683" t="s">
        <v>1907</v>
      </c>
      <c r="P15" s="141"/>
      <c r="Q15" s="1676">
        <f t="shared" si="4"/>
        <v>12</v>
      </c>
      <c r="R15" s="1683" t="s">
        <v>1894</v>
      </c>
      <c r="S15" s="141"/>
      <c r="T15" s="1676">
        <f t="shared" si="5"/>
        <v>12</v>
      </c>
      <c r="U15" s="1684" t="s">
        <v>1908</v>
      </c>
      <c r="W15" s="1676"/>
      <c r="X15" s="1679" t="s">
        <v>1909</v>
      </c>
      <c r="Y15" s="141"/>
      <c r="Z15" s="1676">
        <v>1</v>
      </c>
      <c r="AA15" s="145" t="s">
        <v>1910</v>
      </c>
      <c r="AB15" s="141"/>
      <c r="AC15" s="1676">
        <f t="shared" si="6"/>
        <v>12</v>
      </c>
      <c r="AD15" s="1685" t="s">
        <v>1911</v>
      </c>
      <c r="AE15" s="1686"/>
      <c r="AF15" s="1685" t="s">
        <v>1912</v>
      </c>
      <c r="AG15" s="141"/>
      <c r="AH15" s="1673"/>
      <c r="AI15" s="1698" t="s">
        <v>1913</v>
      </c>
      <c r="AJ15" s="141"/>
      <c r="AK15" s="1689">
        <v>9</v>
      </c>
      <c r="AL15" s="1695" t="s">
        <v>1914</v>
      </c>
      <c r="AM15" s="1695"/>
      <c r="AN15" s="1675"/>
      <c r="AO15" s="1689">
        <v>1</v>
      </c>
      <c r="AP15" s="7728" t="s">
        <v>1915</v>
      </c>
      <c r="AQ15" s="7728"/>
      <c r="AR15" s="141"/>
      <c r="AS15" s="5">
        <v>1</v>
      </c>
    </row>
    <row r="16" spans="1:47" ht="30" customHeight="1">
      <c r="A16" s="507">
        <v>1</v>
      </c>
      <c r="B16" s="1676">
        <f t="shared" si="0"/>
        <v>13</v>
      </c>
      <c r="C16" s="1683" t="s">
        <v>1916</v>
      </c>
      <c r="D16" s="141"/>
      <c r="E16" s="1676">
        <f t="shared" si="1"/>
        <v>13</v>
      </c>
      <c r="F16" s="145" t="s">
        <v>1917</v>
      </c>
      <c r="G16" s="141"/>
      <c r="H16" s="1676">
        <f t="shared" si="2"/>
        <v>13</v>
      </c>
      <c r="I16" s="1683" t="s">
        <v>1918</v>
      </c>
      <c r="J16" s="141"/>
      <c r="K16" s="1676">
        <f t="shared" si="3"/>
        <v>13</v>
      </c>
      <c r="L16" s="1683" t="s">
        <v>1919</v>
      </c>
      <c r="M16" s="141"/>
      <c r="N16" s="1676">
        <f t="shared" si="8"/>
        <v>9</v>
      </c>
      <c r="O16" s="1683" t="s">
        <v>1920</v>
      </c>
      <c r="P16" s="141"/>
      <c r="Q16" s="1676">
        <f t="shared" si="4"/>
        <v>13</v>
      </c>
      <c r="R16" s="145" t="s">
        <v>1921</v>
      </c>
      <c r="S16" s="141"/>
      <c r="T16" s="1676">
        <f t="shared" si="5"/>
        <v>13</v>
      </c>
      <c r="U16" s="1684" t="s">
        <v>1142</v>
      </c>
      <c r="W16" s="1676">
        <v>1</v>
      </c>
      <c r="X16" s="1684" t="s">
        <v>1922</v>
      </c>
      <c r="Y16" s="141"/>
      <c r="Z16" s="1676">
        <f>Z15+1</f>
        <v>2</v>
      </c>
      <c r="AA16" s="145" t="s">
        <v>1923</v>
      </c>
      <c r="AB16" s="141"/>
      <c r="AC16" s="1676">
        <f t="shared" si="6"/>
        <v>13</v>
      </c>
      <c r="AD16" s="1685" t="s">
        <v>1924</v>
      </c>
      <c r="AE16" s="1686"/>
      <c r="AF16" s="1685" t="s">
        <v>1925</v>
      </c>
      <c r="AG16" s="141"/>
      <c r="AH16" s="1673"/>
      <c r="AI16" s="1698" t="s">
        <v>1926</v>
      </c>
      <c r="AJ16" s="141"/>
      <c r="AK16" s="1689">
        <v>10</v>
      </c>
      <c r="AL16" s="1695" t="s">
        <v>1927</v>
      </c>
      <c r="AM16" s="1695"/>
      <c r="AN16" s="1675"/>
      <c r="AO16" s="1689"/>
      <c r="AP16" s="7728"/>
      <c r="AQ16" s="7728"/>
      <c r="AR16" s="141"/>
      <c r="AS16" s="5">
        <v>1</v>
      </c>
    </row>
    <row r="17" spans="1:45" ht="30" customHeight="1">
      <c r="A17" s="507">
        <v>1</v>
      </c>
      <c r="B17" s="1676">
        <f t="shared" si="0"/>
        <v>14</v>
      </c>
      <c r="C17" s="145" t="s">
        <v>1928</v>
      </c>
      <c r="D17" s="141"/>
      <c r="E17" s="1676">
        <f t="shared" si="1"/>
        <v>14</v>
      </c>
      <c r="F17" s="1683" t="s">
        <v>1929</v>
      </c>
      <c r="G17" s="141"/>
      <c r="H17" s="1676">
        <f t="shared" si="2"/>
        <v>14</v>
      </c>
      <c r="I17" s="1683" t="s">
        <v>1930</v>
      </c>
      <c r="J17" s="141"/>
      <c r="K17" s="1676">
        <f t="shared" si="3"/>
        <v>14</v>
      </c>
      <c r="L17" s="1683" t="s">
        <v>1931</v>
      </c>
      <c r="M17" s="141"/>
      <c r="N17" s="1676">
        <f t="shared" si="8"/>
        <v>10</v>
      </c>
      <c r="O17" s="145" t="s">
        <v>1932</v>
      </c>
      <c r="P17" s="141"/>
      <c r="Q17" s="1676">
        <f t="shared" si="4"/>
        <v>14</v>
      </c>
      <c r="R17" s="145" t="s">
        <v>1933</v>
      </c>
      <c r="S17" s="141"/>
      <c r="T17" s="1676">
        <f t="shared" si="5"/>
        <v>14</v>
      </c>
      <c r="U17" s="1684" t="s">
        <v>1934</v>
      </c>
      <c r="W17" s="1676">
        <f>W16+1</f>
        <v>2</v>
      </c>
      <c r="X17" s="1684" t="s">
        <v>1935</v>
      </c>
      <c r="Y17" s="141"/>
      <c r="Z17" s="1676">
        <f t="shared" ref="Z17:Z24" si="9">Z16+1</f>
        <v>3</v>
      </c>
      <c r="AA17" s="145" t="s">
        <v>1936</v>
      </c>
      <c r="AB17" s="141"/>
      <c r="AC17" s="1676">
        <f t="shared" si="6"/>
        <v>14</v>
      </c>
      <c r="AD17" s="1685" t="s">
        <v>1937</v>
      </c>
      <c r="AE17" s="1686"/>
      <c r="AF17" s="1685" t="s">
        <v>1938</v>
      </c>
      <c r="AG17" s="141"/>
      <c r="AH17" s="1673"/>
      <c r="AI17" s="1698" t="s">
        <v>1939</v>
      </c>
      <c r="AJ17" s="141"/>
      <c r="AK17" s="1689">
        <v>11</v>
      </c>
      <c r="AL17" s="1695" t="s">
        <v>1940</v>
      </c>
      <c r="AM17" s="1695"/>
      <c r="AN17" s="1675"/>
      <c r="AO17" s="1689">
        <v>2</v>
      </c>
      <c r="AP17" s="7728" t="s">
        <v>1941</v>
      </c>
      <c r="AQ17" s="7728"/>
      <c r="AR17" s="141"/>
      <c r="AS17" s="5">
        <v>1</v>
      </c>
    </row>
    <row r="18" spans="1:45" ht="30" customHeight="1">
      <c r="A18" s="507">
        <v>1</v>
      </c>
      <c r="B18" s="1676">
        <f t="shared" si="0"/>
        <v>15</v>
      </c>
      <c r="C18" s="145" t="s">
        <v>1942</v>
      </c>
      <c r="D18" s="141"/>
      <c r="E18" s="1676">
        <f t="shared" si="1"/>
        <v>15</v>
      </c>
      <c r="F18" s="1683" t="s">
        <v>1943</v>
      </c>
      <c r="G18" s="141"/>
      <c r="H18" s="1676">
        <f t="shared" si="2"/>
        <v>15</v>
      </c>
      <c r="I18" s="1683" t="s">
        <v>1944</v>
      </c>
      <c r="J18" s="141"/>
      <c r="K18" s="1676">
        <f t="shared" si="3"/>
        <v>15</v>
      </c>
      <c r="L18" s="1683" t="s">
        <v>1945</v>
      </c>
      <c r="M18" s="141"/>
      <c r="N18" s="1676">
        <f t="shared" si="8"/>
        <v>11</v>
      </c>
      <c r="O18" s="145" t="s">
        <v>1946</v>
      </c>
      <c r="P18" s="141"/>
      <c r="Q18" s="1676">
        <f t="shared" si="4"/>
        <v>15</v>
      </c>
      <c r="R18" s="145" t="s">
        <v>1947</v>
      </c>
      <c r="S18" s="141"/>
      <c r="T18" s="1676">
        <f t="shared" si="5"/>
        <v>15</v>
      </c>
      <c r="U18" s="1684" t="s">
        <v>1948</v>
      </c>
      <c r="W18" s="1690"/>
      <c r="Y18" s="141"/>
      <c r="Z18" s="1676">
        <f t="shared" si="9"/>
        <v>4</v>
      </c>
      <c r="AA18" s="145" t="s">
        <v>1949</v>
      </c>
      <c r="AB18" s="141"/>
      <c r="AC18" s="1676">
        <f t="shared" si="6"/>
        <v>15</v>
      </c>
      <c r="AD18" s="1685" t="s">
        <v>1950</v>
      </c>
      <c r="AE18" s="1686"/>
      <c r="AF18" s="1685" t="s">
        <v>1951</v>
      </c>
      <c r="AG18" s="141"/>
      <c r="AH18" s="1673"/>
      <c r="AI18" s="1694" t="s">
        <v>1952</v>
      </c>
      <c r="AJ18" s="141"/>
      <c r="AK18" s="1689">
        <v>12</v>
      </c>
      <c r="AL18" s="1695" t="s">
        <v>1953</v>
      </c>
      <c r="AM18" s="1695"/>
      <c r="AN18" s="1675"/>
      <c r="AO18" s="1689"/>
      <c r="AP18" s="7728"/>
      <c r="AQ18" s="7728"/>
      <c r="AR18" s="141"/>
      <c r="AS18" s="5">
        <v>1</v>
      </c>
    </row>
    <row r="19" spans="1:45" ht="30" customHeight="1">
      <c r="A19" s="507">
        <v>1</v>
      </c>
      <c r="B19" s="1676">
        <f t="shared" si="0"/>
        <v>16</v>
      </c>
      <c r="C19" s="145" t="s">
        <v>1954</v>
      </c>
      <c r="D19" s="141"/>
      <c r="E19" s="1676">
        <f t="shared" si="1"/>
        <v>16</v>
      </c>
      <c r="F19" s="1683" t="s">
        <v>1955</v>
      </c>
      <c r="G19" s="141"/>
      <c r="H19" s="1676">
        <f t="shared" si="2"/>
        <v>16</v>
      </c>
      <c r="I19" s="1683" t="s">
        <v>1956</v>
      </c>
      <c r="J19" s="141"/>
      <c r="K19" s="1676">
        <f t="shared" si="3"/>
        <v>16</v>
      </c>
      <c r="L19" s="145" t="s">
        <v>1957</v>
      </c>
      <c r="M19" s="141"/>
      <c r="N19" s="1676">
        <f t="shared" si="8"/>
        <v>12</v>
      </c>
      <c r="O19" s="1683" t="s">
        <v>1958</v>
      </c>
      <c r="P19" s="141"/>
      <c r="Q19" s="1676">
        <f t="shared" si="4"/>
        <v>16</v>
      </c>
      <c r="R19" s="145" t="s">
        <v>1959</v>
      </c>
      <c r="S19" s="141"/>
      <c r="T19" s="1690"/>
      <c r="W19" s="1676"/>
      <c r="X19" s="1679" t="s">
        <v>1960</v>
      </c>
      <c r="Y19" s="141"/>
      <c r="Z19" s="1676">
        <f t="shared" si="9"/>
        <v>5</v>
      </c>
      <c r="AA19" s="145" t="s">
        <v>1961</v>
      </c>
      <c r="AB19" s="141"/>
      <c r="AC19" s="1676">
        <f t="shared" si="6"/>
        <v>16</v>
      </c>
      <c r="AD19" s="1685" t="s">
        <v>1962</v>
      </c>
      <c r="AE19" s="1686"/>
      <c r="AF19" s="1685" t="s">
        <v>1963</v>
      </c>
      <c r="AG19" s="141"/>
      <c r="AH19" s="1673"/>
      <c r="AI19" s="1694" t="s">
        <v>1964</v>
      </c>
      <c r="AJ19" s="141"/>
      <c r="AK19" s="1689">
        <v>13</v>
      </c>
      <c r="AL19" s="1695" t="s">
        <v>1965</v>
      </c>
      <c r="AM19" s="1695"/>
      <c r="AN19" s="1675"/>
      <c r="AO19" s="1689">
        <v>3</v>
      </c>
      <c r="AP19" s="7728" t="s">
        <v>1966</v>
      </c>
      <c r="AQ19" s="7728"/>
      <c r="AR19" s="141"/>
      <c r="AS19" s="5">
        <v>1</v>
      </c>
    </row>
    <row r="20" spans="1:45" ht="30" customHeight="1">
      <c r="A20" s="507">
        <v>1</v>
      </c>
      <c r="B20" s="1676">
        <f t="shared" si="0"/>
        <v>17</v>
      </c>
      <c r="C20" s="145" t="s">
        <v>1967</v>
      </c>
      <c r="D20" s="141"/>
      <c r="E20" s="1676">
        <f t="shared" si="1"/>
        <v>17</v>
      </c>
      <c r="F20" s="1683" t="s">
        <v>1968</v>
      </c>
      <c r="G20" s="141"/>
      <c r="H20" s="1676">
        <f t="shared" si="2"/>
        <v>17</v>
      </c>
      <c r="I20" s="1683" t="s">
        <v>1969</v>
      </c>
      <c r="J20" s="141"/>
      <c r="K20" s="1676">
        <f t="shared" si="3"/>
        <v>17</v>
      </c>
      <c r="L20" s="145" t="s">
        <v>1970</v>
      </c>
      <c r="M20" s="141"/>
      <c r="N20" s="1676">
        <f t="shared" si="8"/>
        <v>13</v>
      </c>
      <c r="O20" s="145" t="s">
        <v>1971</v>
      </c>
      <c r="P20" s="141"/>
      <c r="Q20" s="1676">
        <f t="shared" si="4"/>
        <v>17</v>
      </c>
      <c r="R20" s="145" t="s">
        <v>1972</v>
      </c>
      <c r="S20" s="141"/>
      <c r="T20" s="1676"/>
      <c r="U20" s="1679" t="s">
        <v>1802</v>
      </c>
      <c r="W20" s="1676">
        <v>1</v>
      </c>
      <c r="X20" s="1684" t="s">
        <v>1973</v>
      </c>
      <c r="Y20" s="141"/>
      <c r="Z20" s="1676">
        <f t="shared" si="9"/>
        <v>6</v>
      </c>
      <c r="AA20" s="145" t="s">
        <v>1974</v>
      </c>
      <c r="AB20" s="141"/>
      <c r="AC20" s="1676">
        <f t="shared" si="6"/>
        <v>17</v>
      </c>
      <c r="AD20" s="1685" t="s">
        <v>1975</v>
      </c>
      <c r="AE20" s="1686"/>
      <c r="AF20" s="1685" t="s">
        <v>1976</v>
      </c>
      <c r="AG20" s="141"/>
      <c r="AH20" s="1673"/>
      <c r="AI20" s="1694" t="s">
        <v>1977</v>
      </c>
      <c r="AJ20" s="141"/>
      <c r="AK20" s="1689">
        <v>14</v>
      </c>
      <c r="AL20" s="1695" t="s">
        <v>1978</v>
      </c>
      <c r="AM20" s="1695"/>
      <c r="AN20" s="1675"/>
      <c r="AO20" s="1689"/>
      <c r="AP20" s="7728"/>
      <c r="AQ20" s="7728"/>
      <c r="AR20" s="141"/>
      <c r="AS20" s="5">
        <v>1</v>
      </c>
    </row>
    <row r="21" spans="1:45" ht="30" customHeight="1">
      <c r="A21" s="507">
        <v>1</v>
      </c>
      <c r="B21" s="1676">
        <f t="shared" si="0"/>
        <v>18</v>
      </c>
      <c r="C21" s="145" t="s">
        <v>1979</v>
      </c>
      <c r="D21" s="141"/>
      <c r="E21" s="1676">
        <f t="shared" si="1"/>
        <v>18</v>
      </c>
      <c r="F21" s="1683" t="s">
        <v>1980</v>
      </c>
      <c r="G21" s="141"/>
      <c r="H21" s="1676">
        <f t="shared" si="2"/>
        <v>18</v>
      </c>
      <c r="I21" s="1683" t="s">
        <v>1981</v>
      </c>
      <c r="J21" s="141"/>
      <c r="K21" s="1676">
        <f t="shared" si="3"/>
        <v>18</v>
      </c>
      <c r="L21" s="1683" t="s">
        <v>1982</v>
      </c>
      <c r="M21" s="141"/>
      <c r="N21" s="1676">
        <f t="shared" si="8"/>
        <v>14</v>
      </c>
      <c r="O21" s="1683" t="s">
        <v>1983</v>
      </c>
      <c r="P21" s="141"/>
      <c r="Q21" s="1676">
        <f t="shared" si="4"/>
        <v>18</v>
      </c>
      <c r="R21" s="1683" t="s">
        <v>1984</v>
      </c>
      <c r="S21" s="141"/>
      <c r="T21" s="1676">
        <v>1</v>
      </c>
      <c r="U21" s="1684" t="s">
        <v>1985</v>
      </c>
      <c r="W21" s="1676">
        <f>W20+1</f>
        <v>2</v>
      </c>
      <c r="X21" s="1684" t="s">
        <v>1986</v>
      </c>
      <c r="Y21" s="141"/>
      <c r="Z21" s="1676">
        <f t="shared" si="9"/>
        <v>7</v>
      </c>
      <c r="AA21" s="145" t="s">
        <v>1987</v>
      </c>
      <c r="AB21" s="141"/>
      <c r="AC21" s="1676">
        <f t="shared" si="6"/>
        <v>18</v>
      </c>
      <c r="AD21" s="1685" t="s">
        <v>1988</v>
      </c>
      <c r="AE21" s="1686"/>
      <c r="AF21" s="1685" t="s">
        <v>1989</v>
      </c>
      <c r="AG21" s="141"/>
      <c r="AH21" s="1673"/>
      <c r="AI21" s="1694" t="s">
        <v>1990</v>
      </c>
      <c r="AJ21" s="141"/>
      <c r="AK21" s="1689">
        <v>15</v>
      </c>
      <c r="AL21" s="1695" t="s">
        <v>1991</v>
      </c>
      <c r="AM21" s="1695"/>
      <c r="AN21" s="1699"/>
      <c r="AO21" s="1689">
        <v>4</v>
      </c>
      <c r="AP21" s="1695" t="s">
        <v>1992</v>
      </c>
      <c r="AQ21" s="1695"/>
      <c r="AR21" s="141"/>
      <c r="AS21" s="5">
        <v>1</v>
      </c>
    </row>
    <row r="22" spans="1:45" ht="30" customHeight="1">
      <c r="A22" s="507">
        <v>1</v>
      </c>
      <c r="B22" s="1676">
        <f t="shared" si="0"/>
        <v>19</v>
      </c>
      <c r="C22" s="145" t="s">
        <v>1993</v>
      </c>
      <c r="D22" s="141"/>
      <c r="E22" s="1676">
        <f t="shared" si="1"/>
        <v>19</v>
      </c>
      <c r="F22" s="1683" t="s">
        <v>1994</v>
      </c>
      <c r="G22" s="141"/>
      <c r="H22" s="1676">
        <f t="shared" si="2"/>
        <v>19</v>
      </c>
      <c r="I22" s="1683" t="s">
        <v>1995</v>
      </c>
      <c r="J22" s="141"/>
      <c r="K22" s="1676">
        <f t="shared" si="3"/>
        <v>19</v>
      </c>
      <c r="L22" s="1683" t="s">
        <v>1996</v>
      </c>
      <c r="M22" s="141"/>
      <c r="N22" s="1676">
        <f t="shared" si="8"/>
        <v>15</v>
      </c>
      <c r="O22" s="1683" t="s">
        <v>1997</v>
      </c>
      <c r="P22" s="141"/>
      <c r="Q22" s="1676">
        <f t="shared" si="4"/>
        <v>19</v>
      </c>
      <c r="R22" s="1683" t="s">
        <v>1998</v>
      </c>
      <c r="S22" s="141"/>
      <c r="T22" s="1676"/>
      <c r="W22" s="1676">
        <f>W21+1</f>
        <v>3</v>
      </c>
      <c r="X22" s="1684" t="s">
        <v>1999</v>
      </c>
      <c r="Y22" s="141"/>
      <c r="Z22" s="1676">
        <f t="shared" si="9"/>
        <v>8</v>
      </c>
      <c r="AA22" s="145" t="s">
        <v>2000</v>
      </c>
      <c r="AB22" s="141"/>
      <c r="AC22" s="1676">
        <f t="shared" si="6"/>
        <v>19</v>
      </c>
      <c r="AD22" s="1685" t="s">
        <v>2001</v>
      </c>
      <c r="AE22" s="1686"/>
      <c r="AF22" s="1685" t="s">
        <v>2002</v>
      </c>
      <c r="AG22" s="141"/>
      <c r="AH22" s="1673"/>
      <c r="AI22" s="1694" t="s">
        <v>2003</v>
      </c>
      <c r="AJ22" s="141"/>
      <c r="AK22" s="1689"/>
      <c r="AL22" s="1695"/>
      <c r="AM22" s="1695"/>
      <c r="AN22" s="1699"/>
      <c r="AO22" s="1689">
        <v>5</v>
      </c>
      <c r="AP22" s="1695" t="s">
        <v>2004</v>
      </c>
      <c r="AQ22" s="1695"/>
      <c r="AR22" s="141"/>
      <c r="AS22" s="5">
        <v>1</v>
      </c>
    </row>
    <row r="23" spans="1:45" ht="30" customHeight="1">
      <c r="A23" s="507">
        <v>1</v>
      </c>
      <c r="B23" s="1676">
        <f t="shared" si="0"/>
        <v>20</v>
      </c>
      <c r="C23" s="145" t="s">
        <v>2005</v>
      </c>
      <c r="D23" s="141"/>
      <c r="E23" s="1676">
        <f t="shared" si="1"/>
        <v>20</v>
      </c>
      <c r="F23" s="1683" t="s">
        <v>2006</v>
      </c>
      <c r="G23" s="141"/>
      <c r="H23" s="1676">
        <f t="shared" si="2"/>
        <v>20</v>
      </c>
      <c r="I23" s="1683" t="s">
        <v>2007</v>
      </c>
      <c r="J23" s="141"/>
      <c r="K23" s="1676">
        <f t="shared" si="3"/>
        <v>20</v>
      </c>
      <c r="L23" s="145" t="s">
        <v>2008</v>
      </c>
      <c r="M23" s="141"/>
      <c r="N23" s="1676">
        <f t="shared" si="8"/>
        <v>16</v>
      </c>
      <c r="O23" s="1683" t="s">
        <v>2009</v>
      </c>
      <c r="P23" s="141"/>
      <c r="Q23" s="1676">
        <f t="shared" si="4"/>
        <v>20</v>
      </c>
      <c r="R23" s="1683" t="s">
        <v>2010</v>
      </c>
      <c r="S23" s="141"/>
      <c r="T23" s="1690"/>
      <c r="U23" s="1679" t="s">
        <v>1896</v>
      </c>
      <c r="W23" s="1690"/>
      <c r="Y23" s="141"/>
      <c r="Z23" s="1676">
        <f t="shared" si="9"/>
        <v>9</v>
      </c>
      <c r="AA23" s="145" t="s">
        <v>2011</v>
      </c>
      <c r="AB23" s="141"/>
      <c r="AC23" s="1676">
        <f t="shared" si="6"/>
        <v>20</v>
      </c>
      <c r="AD23" s="1685" t="s">
        <v>2012</v>
      </c>
      <c r="AE23" s="1686"/>
      <c r="AF23" s="1685" t="s">
        <v>2013</v>
      </c>
      <c r="AG23" s="141"/>
      <c r="AH23" s="1673"/>
      <c r="AI23" s="1694" t="s">
        <v>2014</v>
      </c>
      <c r="AJ23" s="141"/>
      <c r="AK23" s="1689"/>
      <c r="AL23" s="7733" t="s">
        <v>2015</v>
      </c>
      <c r="AM23" s="7733"/>
      <c r="AN23" s="1699"/>
      <c r="AO23" s="1689">
        <v>6</v>
      </c>
      <c r="AP23" s="1695" t="s">
        <v>2016</v>
      </c>
      <c r="AQ23" s="1695"/>
      <c r="AR23" s="141"/>
      <c r="AS23" s="5">
        <v>1</v>
      </c>
    </row>
    <row r="24" spans="1:45" ht="30" customHeight="1">
      <c r="A24" s="507">
        <v>1</v>
      </c>
      <c r="B24" s="1676">
        <f t="shared" si="0"/>
        <v>21</v>
      </c>
      <c r="C24" s="145" t="s">
        <v>2017</v>
      </c>
      <c r="D24" s="141"/>
      <c r="E24" s="1676">
        <f t="shared" si="1"/>
        <v>21</v>
      </c>
      <c r="F24" s="1683" t="s">
        <v>2018</v>
      </c>
      <c r="G24" s="141"/>
      <c r="H24" s="1676">
        <f t="shared" si="2"/>
        <v>21</v>
      </c>
      <c r="I24" s="1683" t="s">
        <v>2019</v>
      </c>
      <c r="J24" s="141"/>
      <c r="K24" s="1676">
        <f t="shared" si="3"/>
        <v>21</v>
      </c>
      <c r="L24" s="145" t="s">
        <v>2020</v>
      </c>
      <c r="M24" s="141"/>
      <c r="N24" s="1676">
        <f t="shared" si="8"/>
        <v>17</v>
      </c>
      <c r="O24" s="145" t="s">
        <v>2021</v>
      </c>
      <c r="P24" s="141"/>
      <c r="Q24" s="1676">
        <f t="shared" si="4"/>
        <v>21</v>
      </c>
      <c r="R24" s="1683" t="s">
        <v>2022</v>
      </c>
      <c r="S24" s="141"/>
      <c r="T24" s="1676">
        <v>1</v>
      </c>
      <c r="U24" s="1684" t="s">
        <v>2023</v>
      </c>
      <c r="W24" s="1676"/>
      <c r="X24" s="1679" t="s">
        <v>1276</v>
      </c>
      <c r="Y24" s="141"/>
      <c r="Z24" s="1676">
        <f t="shared" si="9"/>
        <v>10</v>
      </c>
      <c r="AA24" s="145" t="s">
        <v>2024</v>
      </c>
      <c r="AB24" s="141"/>
      <c r="AC24" s="1676">
        <f t="shared" si="6"/>
        <v>21</v>
      </c>
      <c r="AD24" s="1685" t="s">
        <v>2025</v>
      </c>
      <c r="AE24" s="1686"/>
      <c r="AF24" s="1685" t="s">
        <v>2026</v>
      </c>
      <c r="AG24" s="141"/>
      <c r="AH24" s="1673"/>
      <c r="AI24" s="1694" t="s">
        <v>2027</v>
      </c>
      <c r="AJ24" s="141"/>
      <c r="AK24" s="1689"/>
      <c r="AL24" s="7733"/>
      <c r="AM24" s="7733"/>
      <c r="AN24" s="1699"/>
      <c r="AO24" s="1689">
        <v>7</v>
      </c>
      <c r="AP24" s="1695" t="s">
        <v>2028</v>
      </c>
      <c r="AQ24" s="1695"/>
      <c r="AR24" s="141"/>
      <c r="AS24" s="5">
        <v>1</v>
      </c>
    </row>
    <row r="25" spans="1:45" ht="30" customHeight="1">
      <c r="A25" s="507">
        <v>1</v>
      </c>
      <c r="B25" s="1676">
        <f t="shared" si="0"/>
        <v>22</v>
      </c>
      <c r="C25" s="145" t="s">
        <v>2029</v>
      </c>
      <c r="D25" s="141"/>
      <c r="E25" s="1676">
        <f t="shared" si="1"/>
        <v>22</v>
      </c>
      <c r="F25" s="1683" t="s">
        <v>2030</v>
      </c>
      <c r="G25" s="141"/>
      <c r="H25" s="1676">
        <f t="shared" si="2"/>
        <v>22</v>
      </c>
      <c r="I25" s="1683" t="s">
        <v>2031</v>
      </c>
      <c r="J25" s="141"/>
      <c r="K25" s="1676">
        <f t="shared" si="3"/>
        <v>22</v>
      </c>
      <c r="L25" s="145" t="s">
        <v>2032</v>
      </c>
      <c r="M25" s="141"/>
      <c r="N25" s="1676">
        <f t="shared" si="8"/>
        <v>18</v>
      </c>
      <c r="O25" s="145" t="s">
        <v>2033</v>
      </c>
      <c r="P25" s="141"/>
      <c r="Q25" s="1676">
        <f t="shared" si="4"/>
        <v>22</v>
      </c>
      <c r="R25" s="1683" t="s">
        <v>2034</v>
      </c>
      <c r="S25" s="141"/>
      <c r="T25" s="1676">
        <f>T24+1</f>
        <v>2</v>
      </c>
      <c r="U25" s="1684" t="s">
        <v>2035</v>
      </c>
      <c r="W25" s="1676">
        <v>1</v>
      </c>
      <c r="X25" s="1684" t="s">
        <v>2036</v>
      </c>
      <c r="Y25" s="141"/>
      <c r="Z25" s="1690"/>
      <c r="AB25" s="141"/>
      <c r="AC25" s="1676">
        <f t="shared" si="6"/>
        <v>22</v>
      </c>
      <c r="AD25" s="1685" t="s">
        <v>2037</v>
      </c>
      <c r="AE25" s="1686"/>
      <c r="AF25" s="1685" t="s">
        <v>2038</v>
      </c>
      <c r="AG25" s="141"/>
      <c r="AH25" s="1673"/>
      <c r="AI25" s="1694" t="s">
        <v>2039</v>
      </c>
      <c r="AJ25" s="141"/>
      <c r="AK25" s="1689"/>
      <c r="AL25" s="7731" t="s">
        <v>2040</v>
      </c>
      <c r="AM25" s="7731"/>
      <c r="AN25" s="1699"/>
      <c r="AO25" s="1689">
        <v>8</v>
      </c>
      <c r="AP25" s="1695" t="s">
        <v>2041</v>
      </c>
      <c r="AQ25" s="1700"/>
      <c r="AR25" s="141"/>
      <c r="AS25" s="5">
        <v>1</v>
      </c>
    </row>
    <row r="26" spans="1:45" ht="30" customHeight="1">
      <c r="A26" s="507">
        <v>1</v>
      </c>
      <c r="B26" s="1676">
        <f t="shared" si="0"/>
        <v>23</v>
      </c>
      <c r="C26" s="145" t="s">
        <v>2042</v>
      </c>
      <c r="D26" s="141"/>
      <c r="E26" s="1676">
        <f t="shared" si="1"/>
        <v>23</v>
      </c>
      <c r="F26" s="1683" t="s">
        <v>2043</v>
      </c>
      <c r="G26" s="141"/>
      <c r="H26" s="1676">
        <f t="shared" si="2"/>
        <v>23</v>
      </c>
      <c r="I26" s="1683" t="s">
        <v>2044</v>
      </c>
      <c r="J26" s="141"/>
      <c r="K26" s="1676">
        <f t="shared" si="3"/>
        <v>23</v>
      </c>
      <c r="L26" s="1683" t="s">
        <v>2045</v>
      </c>
      <c r="M26" s="141"/>
      <c r="N26" s="1676">
        <f t="shared" si="8"/>
        <v>19</v>
      </c>
      <c r="O26" s="1683" t="s">
        <v>2046</v>
      </c>
      <c r="P26" s="141"/>
      <c r="Q26" s="1693"/>
      <c r="R26" s="1683"/>
      <c r="S26" s="141"/>
      <c r="T26" s="1676">
        <f t="shared" ref="T26:T41" si="10">T25+1</f>
        <v>3</v>
      </c>
      <c r="U26" s="1684" t="s">
        <v>2047</v>
      </c>
      <c r="W26" s="1676">
        <f>W25+1</f>
        <v>2</v>
      </c>
      <c r="X26" s="1684" t="s">
        <v>2048</v>
      </c>
      <c r="Y26" s="141"/>
      <c r="Z26" s="1676"/>
      <c r="AA26" s="1680" t="s">
        <v>1753</v>
      </c>
      <c r="AB26" s="141"/>
      <c r="AC26" s="1676">
        <f t="shared" si="6"/>
        <v>23</v>
      </c>
      <c r="AD26" s="1685" t="s">
        <v>2049</v>
      </c>
      <c r="AE26" s="1686"/>
      <c r="AF26" s="1685" t="s">
        <v>2050</v>
      </c>
      <c r="AG26" s="141"/>
      <c r="AH26" s="1673"/>
      <c r="AI26" s="1691" t="s">
        <v>1896</v>
      </c>
      <c r="AJ26" s="141"/>
      <c r="AK26" s="1689"/>
      <c r="AL26" s="7731"/>
      <c r="AM26" s="7731"/>
      <c r="AN26" s="1675"/>
      <c r="AO26" s="1689">
        <v>9</v>
      </c>
      <c r="AP26" s="1695" t="s">
        <v>2051</v>
      </c>
      <c r="AQ26" s="1700"/>
      <c r="AR26" s="141"/>
      <c r="AS26" s="5">
        <v>1</v>
      </c>
    </row>
    <row r="27" spans="1:45" ht="30" customHeight="1">
      <c r="A27" s="507">
        <v>1</v>
      </c>
      <c r="B27" s="1676">
        <f t="shared" si="0"/>
        <v>24</v>
      </c>
      <c r="C27" s="145" t="s">
        <v>2052</v>
      </c>
      <c r="D27" s="141"/>
      <c r="E27" s="1676">
        <f t="shared" si="1"/>
        <v>24</v>
      </c>
      <c r="F27" s="1683" t="s">
        <v>2053</v>
      </c>
      <c r="G27" s="141"/>
      <c r="H27" s="1676">
        <f t="shared" si="2"/>
        <v>24</v>
      </c>
      <c r="I27" s="1683" t="s">
        <v>2054</v>
      </c>
      <c r="J27" s="141"/>
      <c r="K27" s="1676">
        <f t="shared" si="3"/>
        <v>24</v>
      </c>
      <c r="L27" s="1683" t="s">
        <v>2055</v>
      </c>
      <c r="M27" s="141"/>
      <c r="N27" s="1676">
        <f t="shared" si="8"/>
        <v>20</v>
      </c>
      <c r="O27" s="1683" t="s">
        <v>2056</v>
      </c>
      <c r="P27" s="141"/>
      <c r="Q27" s="1676"/>
      <c r="R27" s="1678" t="s">
        <v>2057</v>
      </c>
      <c r="S27" s="141"/>
      <c r="T27" s="1676">
        <f t="shared" si="10"/>
        <v>4</v>
      </c>
      <c r="U27" s="1684" t="s">
        <v>2058</v>
      </c>
      <c r="W27" s="1676">
        <f>W26+1</f>
        <v>3</v>
      </c>
      <c r="X27" s="1684" t="s">
        <v>2059</v>
      </c>
      <c r="Y27" s="141"/>
      <c r="Z27" s="1676">
        <v>1</v>
      </c>
      <c r="AA27" s="145" t="s">
        <v>2060</v>
      </c>
      <c r="AB27" s="141"/>
      <c r="AC27" s="1676">
        <f t="shared" si="6"/>
        <v>24</v>
      </c>
      <c r="AD27" s="1685" t="s">
        <v>2061</v>
      </c>
      <c r="AE27" s="1686"/>
      <c r="AF27" s="1685" t="s">
        <v>2062</v>
      </c>
      <c r="AG27" s="141"/>
      <c r="AH27" s="1673"/>
      <c r="AI27" s="1694" t="s">
        <v>2063</v>
      </c>
      <c r="AJ27" s="141"/>
      <c r="AK27" s="1689"/>
      <c r="AL27" s="1695"/>
      <c r="AM27" s="1695"/>
      <c r="AN27" s="1675"/>
      <c r="AO27" s="7732">
        <v>10</v>
      </c>
      <c r="AP27" s="7728" t="s">
        <v>2064</v>
      </c>
      <c r="AQ27" s="7728"/>
      <c r="AR27" s="141"/>
      <c r="AS27" s="5">
        <v>1</v>
      </c>
    </row>
    <row r="28" spans="1:45" ht="30" customHeight="1">
      <c r="A28" s="507">
        <v>1</v>
      </c>
      <c r="B28" s="1676">
        <f t="shared" si="0"/>
        <v>25</v>
      </c>
      <c r="C28" s="145" t="s">
        <v>2065</v>
      </c>
      <c r="D28" s="141"/>
      <c r="E28" s="1676">
        <f t="shared" si="1"/>
        <v>25</v>
      </c>
      <c r="F28" s="1683" t="s">
        <v>2066</v>
      </c>
      <c r="G28" s="141"/>
      <c r="H28" s="1693"/>
      <c r="I28" s="1701"/>
      <c r="J28" s="141"/>
      <c r="K28" s="1676">
        <f t="shared" si="3"/>
        <v>25</v>
      </c>
      <c r="L28" s="1683" t="s">
        <v>2067</v>
      </c>
      <c r="M28" s="141"/>
      <c r="N28" s="1676">
        <f t="shared" si="8"/>
        <v>21</v>
      </c>
      <c r="O28" s="145" t="s">
        <v>2068</v>
      </c>
      <c r="P28" s="141"/>
      <c r="Q28" s="1676">
        <v>1</v>
      </c>
      <c r="R28" s="1683" t="s">
        <v>2069</v>
      </c>
      <c r="S28" s="141"/>
      <c r="T28" s="1676">
        <f t="shared" si="10"/>
        <v>5</v>
      </c>
      <c r="U28" s="1684" t="s">
        <v>2070</v>
      </c>
      <c r="W28" s="1676">
        <f>W27+1</f>
        <v>4</v>
      </c>
      <c r="X28" s="1684" t="s">
        <v>2071</v>
      </c>
      <c r="Y28" s="141"/>
      <c r="Z28" s="1693"/>
      <c r="AB28" s="141"/>
      <c r="AC28" s="1676">
        <f t="shared" si="6"/>
        <v>25</v>
      </c>
      <c r="AD28" s="1685" t="s">
        <v>2072</v>
      </c>
      <c r="AE28" s="1686"/>
      <c r="AF28" s="1685" t="s">
        <v>2073</v>
      </c>
      <c r="AG28" s="141"/>
      <c r="AH28" s="1673"/>
      <c r="AI28" s="1694" t="s">
        <v>2074</v>
      </c>
      <c r="AJ28" s="141"/>
      <c r="AK28" s="1675"/>
      <c r="AL28" s="1675"/>
      <c r="AM28" s="1675"/>
      <c r="AN28" s="1675"/>
      <c r="AO28" s="7732"/>
      <c r="AP28" s="7728"/>
      <c r="AQ28" s="7728"/>
      <c r="AR28" s="141"/>
      <c r="AS28" s="5">
        <v>1</v>
      </c>
    </row>
    <row r="29" spans="1:45" ht="30" customHeight="1">
      <c r="A29" s="507">
        <v>1</v>
      </c>
      <c r="B29" s="1690"/>
      <c r="C29" s="1701"/>
      <c r="D29" s="141"/>
      <c r="E29" s="1676">
        <f t="shared" si="1"/>
        <v>26</v>
      </c>
      <c r="F29" s="1683" t="s">
        <v>2075</v>
      </c>
      <c r="G29" s="141"/>
      <c r="H29" s="1676"/>
      <c r="I29" s="1677" t="s">
        <v>2076</v>
      </c>
      <c r="J29" s="141"/>
      <c r="K29" s="1676">
        <f t="shared" si="3"/>
        <v>26</v>
      </c>
      <c r="L29" s="1683" t="s">
        <v>2077</v>
      </c>
      <c r="M29" s="141"/>
      <c r="N29" s="1676">
        <f t="shared" si="8"/>
        <v>22</v>
      </c>
      <c r="O29" s="145" t="s">
        <v>2078</v>
      </c>
      <c r="P29" s="141"/>
      <c r="Q29" s="1676">
        <f>Q28+1</f>
        <v>2</v>
      </c>
      <c r="R29" s="1683" t="s">
        <v>2079</v>
      </c>
      <c r="S29" s="141"/>
      <c r="T29" s="1676">
        <f t="shared" si="10"/>
        <v>6</v>
      </c>
      <c r="U29" s="1684" t="s">
        <v>2080</v>
      </c>
      <c r="W29" s="1676">
        <f>W28+1</f>
        <v>5</v>
      </c>
      <c r="X29" s="1684" t="s">
        <v>2081</v>
      </c>
      <c r="Y29" s="141"/>
      <c r="Z29" s="1676"/>
      <c r="AA29" s="1680" t="s">
        <v>2082</v>
      </c>
      <c r="AB29" s="141"/>
      <c r="AC29" s="1676">
        <f t="shared" si="6"/>
        <v>26</v>
      </c>
      <c r="AD29" s="1685" t="s">
        <v>2083</v>
      </c>
      <c r="AE29" s="1686"/>
      <c r="AF29" s="1685" t="s">
        <v>2084</v>
      </c>
      <c r="AG29" s="141"/>
      <c r="AH29" s="1673"/>
      <c r="AI29" s="1694" t="s">
        <v>2085</v>
      </c>
      <c r="AJ29" s="141"/>
      <c r="AK29" s="1675"/>
      <c r="AL29" s="1675"/>
      <c r="AM29" s="1675"/>
      <c r="AN29" s="1675"/>
      <c r="AO29" s="1689"/>
      <c r="AP29" s="1696"/>
      <c r="AQ29" s="1696"/>
      <c r="AR29" s="141"/>
      <c r="AS29" s="5">
        <v>1</v>
      </c>
    </row>
    <row r="30" spans="1:45" ht="30" customHeight="1">
      <c r="A30" s="507">
        <v>1</v>
      </c>
      <c r="B30" s="1676"/>
      <c r="C30" s="1677" t="s">
        <v>1802</v>
      </c>
      <c r="D30" s="141"/>
      <c r="E30" s="1676">
        <f t="shared" si="1"/>
        <v>27</v>
      </c>
      <c r="F30" s="1683" t="s">
        <v>2086</v>
      </c>
      <c r="G30" s="141"/>
      <c r="H30" s="1676">
        <v>1</v>
      </c>
      <c r="I30" s="1683" t="s">
        <v>2087</v>
      </c>
      <c r="J30" s="141"/>
      <c r="K30" s="1676">
        <f t="shared" si="3"/>
        <v>27</v>
      </c>
      <c r="L30" s="1683" t="s">
        <v>2088</v>
      </c>
      <c r="M30" s="141"/>
      <c r="N30" s="1676">
        <f t="shared" si="8"/>
        <v>23</v>
      </c>
      <c r="O30" s="1683" t="s">
        <v>2089</v>
      </c>
      <c r="P30" s="141"/>
      <c r="Q30" s="1702"/>
      <c r="R30" s="1683"/>
      <c r="S30" s="141"/>
      <c r="T30" s="1676">
        <f t="shared" si="10"/>
        <v>7</v>
      </c>
      <c r="U30" s="1684" t="s">
        <v>2090</v>
      </c>
      <c r="W30" s="1676">
        <f>W29+1</f>
        <v>6</v>
      </c>
      <c r="X30" s="1684" t="s">
        <v>2091</v>
      </c>
      <c r="Y30" s="141"/>
      <c r="Z30" s="1676">
        <v>1</v>
      </c>
      <c r="AA30" s="145" t="s">
        <v>2092</v>
      </c>
      <c r="AB30" s="141"/>
      <c r="AC30" s="1676">
        <f t="shared" si="6"/>
        <v>27</v>
      </c>
      <c r="AD30" s="1685" t="s">
        <v>2093</v>
      </c>
      <c r="AE30" s="1686"/>
      <c r="AF30" s="1685" t="s">
        <v>2094</v>
      </c>
      <c r="AG30" s="141"/>
      <c r="AH30" s="1673"/>
      <c r="AI30" s="1694" t="s">
        <v>2095</v>
      </c>
      <c r="AJ30" s="141"/>
      <c r="AK30" s="1675"/>
      <c r="AL30" s="1675"/>
      <c r="AM30" s="1675"/>
      <c r="AN30" s="1675"/>
      <c r="AO30" s="1692" t="s">
        <v>739</v>
      </c>
      <c r="AP30" s="428" t="s">
        <v>2096</v>
      </c>
      <c r="AQ30" s="1700"/>
      <c r="AR30" s="141"/>
      <c r="AS30" s="5">
        <v>1</v>
      </c>
    </row>
    <row r="31" spans="1:45" ht="30" customHeight="1">
      <c r="A31" s="507">
        <v>1</v>
      </c>
      <c r="B31" s="1676">
        <v>1</v>
      </c>
      <c r="C31" s="1683" t="s">
        <v>2097</v>
      </c>
      <c r="D31" s="141"/>
      <c r="E31" s="1676">
        <f t="shared" si="1"/>
        <v>28</v>
      </c>
      <c r="F31" s="145" t="s">
        <v>2098</v>
      </c>
      <c r="G31" s="141"/>
      <c r="H31" s="1676">
        <f>H30+1</f>
        <v>2</v>
      </c>
      <c r="I31" s="145" t="s">
        <v>2099</v>
      </c>
      <c r="J31" s="141"/>
      <c r="K31" s="1676">
        <f t="shared" si="3"/>
        <v>28</v>
      </c>
      <c r="L31" s="1683" t="s">
        <v>2100</v>
      </c>
      <c r="M31" s="141"/>
      <c r="N31" s="1676">
        <f t="shared" si="8"/>
        <v>24</v>
      </c>
      <c r="O31" s="1683" t="s">
        <v>2101</v>
      </c>
      <c r="P31" s="141"/>
      <c r="Q31" s="1676"/>
      <c r="R31" s="1678" t="s">
        <v>161</v>
      </c>
      <c r="S31" s="141"/>
      <c r="T31" s="1676">
        <f t="shared" si="10"/>
        <v>8</v>
      </c>
      <c r="U31" s="1684" t="s">
        <v>2102</v>
      </c>
      <c r="W31" s="1690"/>
      <c r="Y31" s="141"/>
      <c r="Z31" s="1676">
        <f>Z30+1</f>
        <v>2</v>
      </c>
      <c r="AA31" s="145" t="s">
        <v>2103</v>
      </c>
      <c r="AB31" s="141"/>
      <c r="AC31" s="1676">
        <f t="shared" si="6"/>
        <v>28</v>
      </c>
      <c r="AD31" s="1685" t="s">
        <v>2104</v>
      </c>
      <c r="AE31" s="1686"/>
      <c r="AF31" s="1685" t="s">
        <v>2105</v>
      </c>
      <c r="AG31" s="141"/>
      <c r="AH31" s="1673"/>
      <c r="AI31" s="1694" t="s">
        <v>2106</v>
      </c>
      <c r="AJ31" s="141"/>
      <c r="AK31" s="1703" t="s">
        <v>627</v>
      </c>
      <c r="AL31" s="1704" t="s">
        <v>2107</v>
      </c>
      <c r="AM31" s="1675"/>
      <c r="AN31" s="1675"/>
      <c r="AO31" s="7732">
        <v>1</v>
      </c>
      <c r="AP31" s="7728" t="s">
        <v>2108</v>
      </c>
      <c r="AQ31" s="7728"/>
      <c r="AR31" s="141"/>
      <c r="AS31" s="5">
        <v>1</v>
      </c>
    </row>
    <row r="32" spans="1:45" ht="30" customHeight="1">
      <c r="A32" s="507">
        <v>1</v>
      </c>
      <c r="B32" s="1676">
        <f>B31+1</f>
        <v>2</v>
      </c>
      <c r="C32" s="1683" t="s">
        <v>2109</v>
      </c>
      <c r="D32" s="141"/>
      <c r="E32" s="1676">
        <f t="shared" si="1"/>
        <v>29</v>
      </c>
      <c r="F32" s="145" t="s">
        <v>2110</v>
      </c>
      <c r="G32" s="141"/>
      <c r="H32" s="1676">
        <f t="shared" ref="H32:H39" si="11">H31+1</f>
        <v>3</v>
      </c>
      <c r="I32" s="1683" t="s">
        <v>2111</v>
      </c>
      <c r="J32" s="141"/>
      <c r="K32" s="1676">
        <f t="shared" si="3"/>
        <v>29</v>
      </c>
      <c r="L32" s="1683" t="s">
        <v>2112</v>
      </c>
      <c r="M32" s="141"/>
      <c r="N32" s="1676">
        <f t="shared" si="8"/>
        <v>25</v>
      </c>
      <c r="O32" s="145" t="s">
        <v>2113</v>
      </c>
      <c r="P32" s="141"/>
      <c r="Q32" s="1676">
        <v>1</v>
      </c>
      <c r="R32" s="1683" t="s">
        <v>2114</v>
      </c>
      <c r="S32" s="141"/>
      <c r="T32" s="1676">
        <f t="shared" si="10"/>
        <v>9</v>
      </c>
      <c r="U32" s="1684" t="s">
        <v>2115</v>
      </c>
      <c r="W32" s="1676"/>
      <c r="X32" s="1679" t="s">
        <v>1798</v>
      </c>
      <c r="Y32" s="141"/>
      <c r="Z32" s="1676">
        <f>Z31+1</f>
        <v>3</v>
      </c>
      <c r="AA32" s="145" t="s">
        <v>2116</v>
      </c>
      <c r="AB32" s="141"/>
      <c r="AC32" s="1676">
        <f t="shared" si="6"/>
        <v>29</v>
      </c>
      <c r="AD32" s="1685" t="s">
        <v>2117</v>
      </c>
      <c r="AE32" s="1686"/>
      <c r="AF32" s="1685" t="s">
        <v>2118</v>
      </c>
      <c r="AG32" s="141"/>
      <c r="AH32" s="1673"/>
      <c r="AI32" s="1694" t="s">
        <v>2119</v>
      </c>
      <c r="AJ32" s="141"/>
      <c r="AK32" s="1705"/>
      <c r="AL32" s="1706"/>
      <c r="AM32" s="1675"/>
      <c r="AN32" s="1675"/>
      <c r="AO32" s="7732"/>
      <c r="AP32" s="7728"/>
      <c r="AQ32" s="7728"/>
      <c r="AR32" s="141"/>
      <c r="AS32" s="5">
        <v>1</v>
      </c>
    </row>
    <row r="33" spans="1:45" ht="30" customHeight="1">
      <c r="A33" s="507">
        <v>1</v>
      </c>
      <c r="B33" s="1676">
        <f t="shared" ref="B33:B40" si="12">B32+1</f>
        <v>3</v>
      </c>
      <c r="C33" s="1683" t="s">
        <v>2120</v>
      </c>
      <c r="D33" s="141"/>
      <c r="E33" s="1676">
        <f t="shared" si="1"/>
        <v>30</v>
      </c>
      <c r="F33" s="145" t="s">
        <v>2121</v>
      </c>
      <c r="G33" s="141"/>
      <c r="H33" s="1676">
        <f t="shared" si="11"/>
        <v>4</v>
      </c>
      <c r="I33" s="1683" t="s">
        <v>2122</v>
      </c>
      <c r="J33" s="141"/>
      <c r="K33" s="1676">
        <f t="shared" si="3"/>
        <v>30</v>
      </c>
      <c r="L33" s="1683" t="s">
        <v>2123</v>
      </c>
      <c r="M33" s="141"/>
      <c r="N33" s="1676">
        <f t="shared" si="8"/>
        <v>26</v>
      </c>
      <c r="O33" s="145" t="s">
        <v>2124</v>
      </c>
      <c r="P33" s="141"/>
      <c r="Q33" s="1676">
        <f>Q32+1</f>
        <v>2</v>
      </c>
      <c r="R33" s="145" t="s">
        <v>2125</v>
      </c>
      <c r="S33" s="141"/>
      <c r="T33" s="1676">
        <f t="shared" si="10"/>
        <v>10</v>
      </c>
      <c r="U33" s="1684" t="s">
        <v>2126</v>
      </c>
      <c r="W33" s="1676">
        <v>1</v>
      </c>
      <c r="X33" s="1684" t="s">
        <v>2127</v>
      </c>
      <c r="Y33" s="141"/>
      <c r="Z33" s="1676">
        <f>Z32+1</f>
        <v>4</v>
      </c>
      <c r="AA33" s="145" t="s">
        <v>2128</v>
      </c>
      <c r="AB33" s="141"/>
      <c r="AC33" s="1676">
        <f t="shared" si="6"/>
        <v>30</v>
      </c>
      <c r="AD33" s="1685" t="s">
        <v>2129</v>
      </c>
      <c r="AE33" s="1686"/>
      <c r="AF33" s="1685" t="s">
        <v>2130</v>
      </c>
      <c r="AG33" s="141"/>
      <c r="AH33" s="1673"/>
      <c r="AI33" s="1694" t="s">
        <v>2131</v>
      </c>
      <c r="AJ33" s="141"/>
      <c r="AK33" s="1703" t="s">
        <v>627</v>
      </c>
      <c r="AL33" s="1704" t="s">
        <v>2132</v>
      </c>
      <c r="AM33" s="1675"/>
      <c r="AN33" s="1675"/>
      <c r="AO33" s="1689">
        <v>2</v>
      </c>
      <c r="AP33" s="1695" t="s">
        <v>2133</v>
      </c>
      <c r="AQ33" s="1695"/>
      <c r="AR33" s="141"/>
      <c r="AS33" s="5">
        <v>1</v>
      </c>
    </row>
    <row r="34" spans="1:45" ht="30" customHeight="1">
      <c r="A34" s="507">
        <v>1</v>
      </c>
      <c r="B34" s="1676">
        <f t="shared" si="12"/>
        <v>4</v>
      </c>
      <c r="C34" s="1683" t="s">
        <v>2134</v>
      </c>
      <c r="D34" s="141"/>
      <c r="E34" s="1676">
        <f t="shared" si="1"/>
        <v>31</v>
      </c>
      <c r="F34" s="145" t="s">
        <v>2135</v>
      </c>
      <c r="G34" s="141"/>
      <c r="H34" s="1676">
        <f t="shared" si="11"/>
        <v>5</v>
      </c>
      <c r="I34" s="1683" t="s">
        <v>2136</v>
      </c>
      <c r="J34" s="141"/>
      <c r="K34" s="1676">
        <f t="shared" si="3"/>
        <v>31</v>
      </c>
      <c r="L34" s="1683" t="s">
        <v>2137</v>
      </c>
      <c r="M34" s="141"/>
      <c r="N34" s="1676">
        <f t="shared" si="8"/>
        <v>27</v>
      </c>
      <c r="O34" s="1683" t="s">
        <v>2138</v>
      </c>
      <c r="P34" s="141"/>
      <c r="Q34" s="1676">
        <f>Q33+1</f>
        <v>3</v>
      </c>
      <c r="R34" s="1683" t="s">
        <v>2139</v>
      </c>
      <c r="S34" s="141"/>
      <c r="T34" s="1676">
        <f t="shared" si="10"/>
        <v>11</v>
      </c>
      <c r="U34" s="1684" t="s">
        <v>2140</v>
      </c>
      <c r="W34" s="1676">
        <f>W33+1</f>
        <v>2</v>
      </c>
      <c r="X34" s="1684" t="s">
        <v>2141</v>
      </c>
      <c r="Y34" s="141"/>
      <c r="Z34" s="1676">
        <f>Z33+1</f>
        <v>5</v>
      </c>
      <c r="AA34" s="145" t="s">
        <v>2142</v>
      </c>
      <c r="AB34" s="141"/>
      <c r="AC34" s="1676">
        <f t="shared" si="6"/>
        <v>31</v>
      </c>
      <c r="AD34" s="1685" t="s">
        <v>2143</v>
      </c>
      <c r="AE34" s="1686"/>
      <c r="AF34" s="1685" t="s">
        <v>2144</v>
      </c>
      <c r="AG34" s="141"/>
      <c r="AH34" s="1673"/>
      <c r="AI34" s="1694" t="s">
        <v>2145</v>
      </c>
      <c r="AJ34" s="141"/>
      <c r="AK34" s="1705"/>
      <c r="AL34" s="1706"/>
      <c r="AM34" s="1675"/>
      <c r="AN34" s="1675"/>
      <c r="AO34" s="1689">
        <v>3</v>
      </c>
      <c r="AP34" s="1695" t="s">
        <v>2146</v>
      </c>
      <c r="AQ34" s="1695"/>
      <c r="AR34" s="141"/>
      <c r="AS34" s="5">
        <v>1</v>
      </c>
    </row>
    <row r="35" spans="1:45" ht="30" customHeight="1">
      <c r="A35" s="507">
        <v>1</v>
      </c>
      <c r="B35" s="1676">
        <f t="shared" si="12"/>
        <v>5</v>
      </c>
      <c r="C35" s="1683" t="s">
        <v>2147</v>
      </c>
      <c r="D35" s="141"/>
      <c r="E35" s="1676">
        <f t="shared" si="1"/>
        <v>32</v>
      </c>
      <c r="F35" s="1683" t="s">
        <v>2148</v>
      </c>
      <c r="G35" s="141"/>
      <c r="H35" s="1676">
        <f t="shared" si="11"/>
        <v>6</v>
      </c>
      <c r="I35" s="145" t="s">
        <v>2149</v>
      </c>
      <c r="J35" s="141"/>
      <c r="K35" s="1693"/>
      <c r="L35" s="145"/>
      <c r="M35" s="141"/>
      <c r="N35" s="1676">
        <f t="shared" si="8"/>
        <v>28</v>
      </c>
      <c r="O35" s="1683" t="s">
        <v>2150</v>
      </c>
      <c r="P35" s="141"/>
      <c r="Q35" s="1676">
        <f>Q34+1</f>
        <v>4</v>
      </c>
      <c r="R35" s="1683" t="s">
        <v>2151</v>
      </c>
      <c r="S35" s="141"/>
      <c r="T35" s="1676">
        <f t="shared" si="10"/>
        <v>12</v>
      </c>
      <c r="U35" s="1684" t="s">
        <v>2152</v>
      </c>
      <c r="W35" s="1676">
        <f t="shared" ref="W35:W46" si="13">W34+1</f>
        <v>3</v>
      </c>
      <c r="X35" s="1684" t="s">
        <v>2153</v>
      </c>
      <c r="Y35" s="141"/>
      <c r="Z35" s="1676">
        <f>Z34+1</f>
        <v>6</v>
      </c>
      <c r="AA35" s="145" t="s">
        <v>2154</v>
      </c>
      <c r="AB35" s="141"/>
      <c r="AC35" s="1690"/>
      <c r="AG35" s="141"/>
      <c r="AH35" s="1673"/>
      <c r="AI35" s="1694" t="s">
        <v>2155</v>
      </c>
      <c r="AJ35" s="141"/>
      <c r="AK35" s="1703" t="s">
        <v>627</v>
      </c>
      <c r="AL35" s="1704" t="s">
        <v>2156</v>
      </c>
      <c r="AM35" s="1675"/>
      <c r="AN35" s="1675"/>
      <c r="AO35" s="1689">
        <v>4</v>
      </c>
      <c r="AP35" s="1707" t="s">
        <v>2157</v>
      </c>
      <c r="AQ35" s="1707"/>
      <c r="AR35" s="141"/>
      <c r="AS35" s="5">
        <v>1</v>
      </c>
    </row>
    <row r="36" spans="1:45" ht="30" customHeight="1">
      <c r="A36" s="507">
        <v>1</v>
      </c>
      <c r="B36" s="1676">
        <f t="shared" si="12"/>
        <v>6</v>
      </c>
      <c r="C36" s="1683" t="s">
        <v>2158</v>
      </c>
      <c r="D36" s="141"/>
      <c r="E36" s="1676">
        <f t="shared" si="1"/>
        <v>33</v>
      </c>
      <c r="F36" s="1683" t="s">
        <v>2159</v>
      </c>
      <c r="G36" s="141"/>
      <c r="H36" s="1676">
        <f t="shared" si="11"/>
        <v>7</v>
      </c>
      <c r="I36" s="1683" t="s">
        <v>2160</v>
      </c>
      <c r="J36" s="141"/>
      <c r="K36" s="1676"/>
      <c r="L36" s="1677" t="s">
        <v>1909</v>
      </c>
      <c r="M36" s="141"/>
      <c r="N36" s="1676">
        <f t="shared" si="8"/>
        <v>29</v>
      </c>
      <c r="O36" s="1683" t="s">
        <v>2161</v>
      </c>
      <c r="P36" s="141"/>
      <c r="Q36" s="1676">
        <f>Q35+1</f>
        <v>5</v>
      </c>
      <c r="R36" s="1683" t="s">
        <v>2162</v>
      </c>
      <c r="S36" s="141"/>
      <c r="T36" s="1676">
        <f t="shared" si="10"/>
        <v>13</v>
      </c>
      <c r="U36" s="1684" t="s">
        <v>2163</v>
      </c>
      <c r="W36" s="1676">
        <f t="shared" si="13"/>
        <v>4</v>
      </c>
      <c r="X36" s="1684" t="s">
        <v>2164</v>
      </c>
      <c r="Y36" s="141"/>
      <c r="Z36" s="1690"/>
      <c r="AA36" s="145"/>
      <c r="AB36" s="141"/>
      <c r="AC36" s="1708"/>
      <c r="AD36" s="1709"/>
      <c r="AE36" s="1710"/>
      <c r="AF36" s="1709"/>
      <c r="AG36" s="141"/>
      <c r="AH36" s="1673"/>
      <c r="AI36" s="1694" t="s">
        <v>2165</v>
      </c>
      <c r="AJ36" s="141"/>
      <c r="AK36" s="1675"/>
      <c r="AL36" s="1675"/>
      <c r="AM36" s="1675"/>
      <c r="AN36" s="1675"/>
      <c r="AO36" s="1689"/>
      <c r="AP36" s="7730" t="s">
        <v>2166</v>
      </c>
      <c r="AQ36" s="7730"/>
      <c r="AR36" s="141"/>
      <c r="AS36" s="5">
        <v>1</v>
      </c>
    </row>
    <row r="37" spans="1:45" ht="30" customHeight="1">
      <c r="A37" s="507">
        <v>1</v>
      </c>
      <c r="B37" s="1676">
        <f t="shared" si="12"/>
        <v>7</v>
      </c>
      <c r="C37" s="1683" t="s">
        <v>2167</v>
      </c>
      <c r="D37" s="141"/>
      <c r="E37" s="1676">
        <f t="shared" si="1"/>
        <v>34</v>
      </c>
      <c r="F37" s="145" t="s">
        <v>2168</v>
      </c>
      <c r="G37" s="141"/>
      <c r="H37" s="1676">
        <f t="shared" si="11"/>
        <v>8</v>
      </c>
      <c r="I37" s="1683" t="s">
        <v>2169</v>
      </c>
      <c r="J37" s="141"/>
      <c r="K37" s="1676">
        <v>1</v>
      </c>
      <c r="L37" s="1683" t="s">
        <v>2170</v>
      </c>
      <c r="M37" s="141"/>
      <c r="N37" s="1676">
        <f t="shared" si="8"/>
        <v>30</v>
      </c>
      <c r="O37" s="145" t="s">
        <v>2171</v>
      </c>
      <c r="P37" s="141"/>
      <c r="Q37" s="1693"/>
      <c r="R37" s="1701"/>
      <c r="S37" s="141"/>
      <c r="T37" s="1676">
        <f t="shared" si="10"/>
        <v>14</v>
      </c>
      <c r="U37" s="1684" t="s">
        <v>2172</v>
      </c>
      <c r="W37" s="1676">
        <f t="shared" si="13"/>
        <v>5</v>
      </c>
      <c r="X37" s="1684" t="s">
        <v>2173</v>
      </c>
      <c r="Y37" s="141"/>
      <c r="Z37" s="1676"/>
      <c r="AA37" s="1680" t="s">
        <v>1754</v>
      </c>
      <c r="AB37" s="141"/>
      <c r="AC37" s="141"/>
      <c r="AD37" s="507"/>
      <c r="AE37" s="507"/>
      <c r="AF37" s="507"/>
      <c r="AG37" s="141"/>
      <c r="AH37" s="1673"/>
      <c r="AI37" s="1694" t="s">
        <v>2174</v>
      </c>
      <c r="AJ37" s="141"/>
      <c r="AK37" s="1675"/>
      <c r="AL37" s="1675"/>
      <c r="AM37" s="1675"/>
      <c r="AN37" s="1675"/>
      <c r="AO37" s="1689"/>
      <c r="AP37" s="7730"/>
      <c r="AQ37" s="7730"/>
      <c r="AR37" s="141"/>
      <c r="AS37" s="5">
        <v>1</v>
      </c>
    </row>
    <row r="38" spans="1:45" ht="30" customHeight="1">
      <c r="A38" s="507">
        <v>1</v>
      </c>
      <c r="B38" s="1676">
        <f t="shared" si="12"/>
        <v>8</v>
      </c>
      <c r="C38" s="1683" t="s">
        <v>2175</v>
      </c>
      <c r="D38" s="141"/>
      <c r="E38" s="1676">
        <f t="shared" si="1"/>
        <v>35</v>
      </c>
      <c r="F38" s="145" t="s">
        <v>2176</v>
      </c>
      <c r="G38" s="141"/>
      <c r="H38" s="1676">
        <f t="shared" si="11"/>
        <v>9</v>
      </c>
      <c r="I38" s="1683" t="s">
        <v>2177</v>
      </c>
      <c r="J38" s="141"/>
      <c r="K38" s="1676">
        <f>K37+1</f>
        <v>2</v>
      </c>
      <c r="L38" s="1683" t="s">
        <v>2178</v>
      </c>
      <c r="M38" s="141"/>
      <c r="N38" s="1676">
        <f t="shared" si="8"/>
        <v>31</v>
      </c>
      <c r="O38" s="145" t="s">
        <v>2179</v>
      </c>
      <c r="P38" s="141"/>
      <c r="Q38" s="1676"/>
      <c r="R38" s="1678" t="s">
        <v>2180</v>
      </c>
      <c r="S38" s="141"/>
      <c r="T38" s="1676">
        <f t="shared" si="10"/>
        <v>15</v>
      </c>
      <c r="U38" s="1684" t="s">
        <v>2181</v>
      </c>
      <c r="W38" s="1676">
        <f t="shared" si="13"/>
        <v>6</v>
      </c>
      <c r="X38" s="1684" t="s">
        <v>2182</v>
      </c>
      <c r="Y38" s="141"/>
      <c r="Z38" s="1676">
        <v>1</v>
      </c>
      <c r="AA38" s="145" t="s">
        <v>2183</v>
      </c>
      <c r="AB38" s="141"/>
      <c r="AC38" s="141"/>
      <c r="AD38" s="507"/>
      <c r="AE38" s="507"/>
      <c r="AF38" s="507"/>
      <c r="AG38" s="141"/>
      <c r="AH38" s="1673"/>
      <c r="AI38" s="1694" t="s">
        <v>2184</v>
      </c>
      <c r="AJ38" s="141"/>
      <c r="AK38" s="1689"/>
      <c r="AL38" s="431" t="s">
        <v>2185</v>
      </c>
      <c r="AM38" s="1675"/>
      <c r="AN38" s="1675"/>
      <c r="AO38" s="1689"/>
      <c r="AP38" s="1707"/>
      <c r="AQ38" s="1707"/>
      <c r="AR38" s="141"/>
      <c r="AS38" s="5">
        <v>1</v>
      </c>
    </row>
    <row r="39" spans="1:45" ht="30" customHeight="1">
      <c r="A39" s="507">
        <v>1</v>
      </c>
      <c r="B39" s="1676">
        <f t="shared" si="12"/>
        <v>9</v>
      </c>
      <c r="C39" s="1683" t="s">
        <v>2186</v>
      </c>
      <c r="D39" s="141"/>
      <c r="E39" s="1676">
        <f t="shared" si="1"/>
        <v>36</v>
      </c>
      <c r="F39" s="145" t="s">
        <v>2187</v>
      </c>
      <c r="G39" s="141"/>
      <c r="H39" s="1676">
        <f t="shared" si="11"/>
        <v>10</v>
      </c>
      <c r="I39" s="1683" t="s">
        <v>2188</v>
      </c>
      <c r="J39" s="141"/>
      <c r="K39" s="1693"/>
      <c r="M39" s="141"/>
      <c r="N39" s="1676">
        <f t="shared" si="8"/>
        <v>32</v>
      </c>
      <c r="O39" s="145" t="s">
        <v>2189</v>
      </c>
      <c r="P39" s="141"/>
      <c r="Q39" s="1676">
        <v>1</v>
      </c>
      <c r="R39" s="1683" t="s">
        <v>2190</v>
      </c>
      <c r="S39" s="141"/>
      <c r="T39" s="1676">
        <f t="shared" si="10"/>
        <v>16</v>
      </c>
      <c r="U39" s="1684" t="s">
        <v>2191</v>
      </c>
      <c r="W39" s="1676">
        <f t="shared" si="13"/>
        <v>7</v>
      </c>
      <c r="X39" s="1684" t="s">
        <v>2192</v>
      </c>
      <c r="Y39" s="141"/>
      <c r="Z39" s="1676">
        <f>Z38+1</f>
        <v>2</v>
      </c>
      <c r="AA39" s="145" t="s">
        <v>2193</v>
      </c>
      <c r="AB39" s="141"/>
      <c r="AC39" s="141"/>
      <c r="AD39" s="507"/>
      <c r="AE39" s="507"/>
      <c r="AF39" s="507"/>
      <c r="AG39" s="141"/>
      <c r="AH39" s="1673"/>
      <c r="AI39" s="1694" t="s">
        <v>2194</v>
      </c>
      <c r="AJ39" s="141"/>
      <c r="AK39" s="1689"/>
      <c r="AL39" s="1675"/>
      <c r="AM39" s="1675"/>
      <c r="AN39" s="1675"/>
      <c r="AO39" s="1692" t="s">
        <v>744</v>
      </c>
      <c r="AP39" s="428" t="s">
        <v>2195</v>
      </c>
      <c r="AQ39" s="1695"/>
      <c r="AR39" s="141"/>
      <c r="AS39" s="5">
        <v>1</v>
      </c>
    </row>
    <row r="40" spans="1:45" ht="30" customHeight="1">
      <c r="A40" s="507">
        <v>1</v>
      </c>
      <c r="B40" s="1676">
        <f t="shared" si="12"/>
        <v>10</v>
      </c>
      <c r="C40" s="1683" t="s">
        <v>2196</v>
      </c>
      <c r="D40" s="141"/>
      <c r="E40" s="1676">
        <f t="shared" si="1"/>
        <v>37</v>
      </c>
      <c r="F40" s="145" t="s">
        <v>2197</v>
      </c>
      <c r="G40" s="141"/>
      <c r="H40" s="1693"/>
      <c r="I40" s="1701"/>
      <c r="J40" s="141"/>
      <c r="K40" s="1676"/>
      <c r="L40" s="1677" t="s">
        <v>1960</v>
      </c>
      <c r="M40" s="141"/>
      <c r="N40" s="1676">
        <f t="shared" si="8"/>
        <v>33</v>
      </c>
      <c r="O40" s="145" t="s">
        <v>2198</v>
      </c>
      <c r="P40" s="141"/>
      <c r="Q40" s="1676"/>
      <c r="S40" s="141"/>
      <c r="T40" s="1676">
        <f t="shared" si="10"/>
        <v>17</v>
      </c>
      <c r="U40" s="1684" t="s">
        <v>2199</v>
      </c>
      <c r="W40" s="1676">
        <f t="shared" si="13"/>
        <v>8</v>
      </c>
      <c r="X40" s="1684" t="s">
        <v>2200</v>
      </c>
      <c r="Y40" s="141"/>
      <c r="Z40" s="1676">
        <f>Z39+1</f>
        <v>3</v>
      </c>
      <c r="AA40" s="145" t="s">
        <v>2201</v>
      </c>
      <c r="AB40" s="141"/>
      <c r="AC40" s="141"/>
      <c r="AD40" s="507"/>
      <c r="AE40" s="507"/>
      <c r="AF40" s="507"/>
      <c r="AG40" s="141"/>
      <c r="AH40" s="1673"/>
      <c r="AI40" s="1694" t="s">
        <v>2202</v>
      </c>
      <c r="AJ40" s="141"/>
      <c r="AK40" s="1689">
        <v>1</v>
      </c>
      <c r="AL40" s="1695" t="s">
        <v>2203</v>
      </c>
      <c r="AM40" s="1675"/>
      <c r="AN40" s="1675"/>
      <c r="AO40" s="1689">
        <v>1</v>
      </c>
      <c r="AP40" s="1695" t="s">
        <v>2204</v>
      </c>
      <c r="AQ40" s="1695"/>
      <c r="AR40" s="141"/>
      <c r="AS40" s="5">
        <v>1</v>
      </c>
    </row>
    <row r="41" spans="1:45" ht="30" customHeight="1">
      <c r="A41" s="507">
        <v>1</v>
      </c>
      <c r="B41" s="1690"/>
      <c r="D41" s="141"/>
      <c r="E41" s="1676">
        <f t="shared" si="1"/>
        <v>38</v>
      </c>
      <c r="F41" s="1683" t="s">
        <v>2205</v>
      </c>
      <c r="G41" s="141"/>
      <c r="H41" s="1676"/>
      <c r="I41" s="1677" t="s">
        <v>2206</v>
      </c>
      <c r="J41" s="141"/>
      <c r="K41" s="1676">
        <v>1</v>
      </c>
      <c r="L41" s="145" t="s">
        <v>2207</v>
      </c>
      <c r="M41" s="141"/>
      <c r="N41" s="1676">
        <f t="shared" si="8"/>
        <v>34</v>
      </c>
      <c r="O41" s="1683" t="s">
        <v>2208</v>
      </c>
      <c r="P41" s="141"/>
      <c r="Q41" s="1693"/>
      <c r="S41" s="141"/>
      <c r="T41" s="1676">
        <f t="shared" si="10"/>
        <v>18</v>
      </c>
      <c r="U41" s="1684" t="s">
        <v>2209</v>
      </c>
      <c r="W41" s="1676">
        <f t="shared" si="13"/>
        <v>9</v>
      </c>
      <c r="X41" s="1684" t="s">
        <v>2210</v>
      </c>
      <c r="Y41" s="141"/>
      <c r="Z41" s="1690"/>
      <c r="AA41" s="145"/>
      <c r="AB41" s="141"/>
      <c r="AC41" s="141"/>
      <c r="AD41" s="507"/>
      <c r="AE41" s="507"/>
      <c r="AF41" s="507"/>
      <c r="AG41" s="141"/>
      <c r="AH41" s="1673"/>
      <c r="AI41" s="1691" t="s">
        <v>1753</v>
      </c>
      <c r="AJ41" s="141"/>
      <c r="AK41" s="1689">
        <v>2</v>
      </c>
      <c r="AL41" s="1695" t="s">
        <v>2211</v>
      </c>
      <c r="AM41" s="1675"/>
      <c r="AN41" s="1675"/>
      <c r="AO41" s="1689">
        <v>2</v>
      </c>
      <c r="AP41" s="1695" t="s">
        <v>2212</v>
      </c>
      <c r="AQ41" s="1695"/>
      <c r="AR41" s="141"/>
      <c r="AS41" s="5">
        <v>1</v>
      </c>
    </row>
    <row r="42" spans="1:45" ht="30" customHeight="1">
      <c r="A42" s="507">
        <v>1</v>
      </c>
      <c r="B42" s="1676"/>
      <c r="C42" s="1677" t="s">
        <v>1896</v>
      </c>
      <c r="D42" s="141"/>
      <c r="E42" s="1676">
        <f t="shared" si="1"/>
        <v>39</v>
      </c>
      <c r="F42" s="1683" t="s">
        <v>2213</v>
      </c>
      <c r="G42" s="141"/>
      <c r="H42" s="1676">
        <v>1</v>
      </c>
      <c r="I42" s="1683" t="s">
        <v>2214</v>
      </c>
      <c r="J42" s="141"/>
      <c r="K42" s="1702"/>
      <c r="M42" s="141"/>
      <c r="N42" s="1676">
        <f t="shared" si="8"/>
        <v>35</v>
      </c>
      <c r="O42" s="145" t="s">
        <v>2215</v>
      </c>
      <c r="P42" s="141"/>
      <c r="Q42" s="1676"/>
      <c r="S42" s="141"/>
      <c r="T42" s="1690"/>
      <c r="W42" s="1676">
        <f t="shared" si="13"/>
        <v>10</v>
      </c>
      <c r="X42" s="1684" t="s">
        <v>2216</v>
      </c>
      <c r="Y42" s="141"/>
      <c r="Z42" s="1676"/>
      <c r="AA42" s="1680" t="s">
        <v>2076</v>
      </c>
      <c r="AB42" s="141"/>
      <c r="AC42" s="141"/>
      <c r="AD42" s="507"/>
      <c r="AE42" s="507"/>
      <c r="AF42" s="507"/>
      <c r="AG42" s="141"/>
      <c r="AH42" s="1673"/>
      <c r="AI42" s="1694" t="s">
        <v>2217</v>
      </c>
      <c r="AJ42" s="141"/>
      <c r="AK42" s="1689">
        <v>3</v>
      </c>
      <c r="AL42" s="1695" t="s">
        <v>2218</v>
      </c>
      <c r="AM42" s="1675"/>
      <c r="AN42" s="1675"/>
      <c r="AO42" s="1689"/>
      <c r="AP42" s="7731" t="s">
        <v>2219</v>
      </c>
      <c r="AQ42" s="7731"/>
      <c r="AR42" s="141"/>
      <c r="AS42" s="5">
        <v>1</v>
      </c>
    </row>
    <row r="43" spans="1:45" ht="30" customHeight="1">
      <c r="A43" s="507">
        <v>1</v>
      </c>
      <c r="B43" s="1676">
        <v>1</v>
      </c>
      <c r="C43" s="1683" t="s">
        <v>2220</v>
      </c>
      <c r="D43" s="141"/>
      <c r="E43" s="1676">
        <f t="shared" si="1"/>
        <v>40</v>
      </c>
      <c r="F43" s="1683" t="s">
        <v>2221</v>
      </c>
      <c r="G43" s="141"/>
      <c r="H43" s="1676">
        <f>H42+1</f>
        <v>2</v>
      </c>
      <c r="I43" s="1683" t="s">
        <v>2222</v>
      </c>
      <c r="J43" s="141"/>
      <c r="K43" s="1676"/>
      <c r="L43" s="1677" t="s">
        <v>1276</v>
      </c>
      <c r="M43" s="141"/>
      <c r="N43" s="1676">
        <f t="shared" si="8"/>
        <v>36</v>
      </c>
      <c r="O43" s="145" t="s">
        <v>2223</v>
      </c>
      <c r="P43" s="141"/>
      <c r="Q43" s="1676"/>
      <c r="S43" s="141"/>
      <c r="T43" s="1676"/>
      <c r="U43" s="1679" t="s">
        <v>1753</v>
      </c>
      <c r="W43" s="1676">
        <f t="shared" si="13"/>
        <v>11</v>
      </c>
      <c r="X43" s="1684" t="s">
        <v>2224</v>
      </c>
      <c r="Y43" s="141"/>
      <c r="Z43" s="1676">
        <v>1</v>
      </c>
      <c r="AA43" s="145" t="s">
        <v>2225</v>
      </c>
      <c r="AB43" s="141"/>
      <c r="AC43" s="141"/>
      <c r="AD43" s="507"/>
      <c r="AE43" s="507"/>
      <c r="AF43" s="507"/>
      <c r="AG43" s="141"/>
      <c r="AH43" s="1673"/>
      <c r="AI43" s="1694" t="s">
        <v>2226</v>
      </c>
      <c r="AJ43" s="141"/>
      <c r="AK43" s="1689">
        <v>4</v>
      </c>
      <c r="AL43" s="1695" t="s">
        <v>2227</v>
      </c>
      <c r="AM43" s="1675"/>
      <c r="AN43" s="1675"/>
      <c r="AO43" s="1689"/>
      <c r="AP43" s="7731"/>
      <c r="AQ43" s="7731"/>
      <c r="AR43" s="141"/>
      <c r="AS43" s="5">
        <v>1</v>
      </c>
    </row>
    <row r="44" spans="1:45" ht="30" customHeight="1">
      <c r="A44" s="507">
        <v>1</v>
      </c>
      <c r="B44" s="1676">
        <f>B43+1</f>
        <v>2</v>
      </c>
      <c r="C44" s="1683" t="s">
        <v>2228</v>
      </c>
      <c r="D44" s="141"/>
      <c r="E44" s="1676">
        <f t="shared" si="1"/>
        <v>41</v>
      </c>
      <c r="F44" s="1683" t="s">
        <v>2229</v>
      </c>
      <c r="G44" s="141"/>
      <c r="H44" s="1676">
        <f>H43+1</f>
        <v>3</v>
      </c>
      <c r="I44" s="1683" t="s">
        <v>2230</v>
      </c>
      <c r="J44" s="141"/>
      <c r="K44" s="1676">
        <v>1</v>
      </c>
      <c r="L44" s="1683" t="s">
        <v>2231</v>
      </c>
      <c r="M44" s="141"/>
      <c r="N44" s="1676">
        <f t="shared" si="8"/>
        <v>37</v>
      </c>
      <c r="O44" s="1683" t="s">
        <v>2232</v>
      </c>
      <c r="P44" s="141"/>
      <c r="Q44" s="1676"/>
      <c r="S44" s="141"/>
      <c r="T44" s="1676">
        <v>1</v>
      </c>
      <c r="U44" s="1684" t="s">
        <v>2233</v>
      </c>
      <c r="W44" s="1676">
        <f t="shared" si="13"/>
        <v>12</v>
      </c>
      <c r="X44" s="1684" t="s">
        <v>2234</v>
      </c>
      <c r="Y44" s="141"/>
      <c r="Z44" s="1676">
        <f>Z43+1</f>
        <v>2</v>
      </c>
      <c r="AA44" s="145" t="s">
        <v>2235</v>
      </c>
      <c r="AB44" s="141"/>
      <c r="AC44" s="141"/>
      <c r="AD44" s="507"/>
      <c r="AE44" s="507"/>
      <c r="AF44" s="507"/>
      <c r="AG44" s="141"/>
      <c r="AH44" s="1673"/>
      <c r="AI44" s="1694" t="s">
        <v>2236</v>
      </c>
      <c r="AJ44" s="141"/>
      <c r="AK44" s="1689">
        <v>5</v>
      </c>
      <c r="AL44" s="1695" t="s">
        <v>2237</v>
      </c>
      <c r="AM44" s="1675"/>
      <c r="AN44" s="1675"/>
      <c r="AO44" s="1689">
        <v>3</v>
      </c>
      <c r="AP44" s="1695" t="s">
        <v>2238</v>
      </c>
      <c r="AQ44" s="1695"/>
      <c r="AR44" s="141"/>
      <c r="AS44" s="5">
        <v>1</v>
      </c>
    </row>
    <row r="45" spans="1:45" ht="30" customHeight="1">
      <c r="A45" s="507">
        <v>1</v>
      </c>
      <c r="B45" s="1676">
        <f t="shared" ref="B45:B84" si="14">B44+1</f>
        <v>3</v>
      </c>
      <c r="C45" s="1683" t="s">
        <v>2239</v>
      </c>
      <c r="D45" s="141"/>
      <c r="E45" s="1676">
        <f t="shared" si="1"/>
        <v>42</v>
      </c>
      <c r="F45" s="1683" t="s">
        <v>2240</v>
      </c>
      <c r="G45" s="141"/>
      <c r="H45" s="1676">
        <f>H44+1</f>
        <v>4</v>
      </c>
      <c r="I45" s="1683" t="s">
        <v>2241</v>
      </c>
      <c r="J45" s="141"/>
      <c r="K45" s="1676">
        <f t="shared" ref="K45:K78" si="15">K44+1</f>
        <v>2</v>
      </c>
      <c r="L45" s="1683" t="s">
        <v>2242</v>
      </c>
      <c r="M45" s="141"/>
      <c r="N45" s="1676">
        <f t="shared" si="8"/>
        <v>38</v>
      </c>
      <c r="O45" s="1683" t="s">
        <v>2243</v>
      </c>
      <c r="P45" s="141"/>
      <c r="Q45" s="1676"/>
      <c r="S45" s="141"/>
      <c r="T45" s="1676">
        <f>T44+1</f>
        <v>2</v>
      </c>
      <c r="U45" s="1684" t="s">
        <v>2244</v>
      </c>
      <c r="W45" s="1676">
        <f t="shared" si="13"/>
        <v>13</v>
      </c>
      <c r="X45" s="1684" t="s">
        <v>2245</v>
      </c>
      <c r="Y45" s="141"/>
      <c r="Z45" s="1693"/>
      <c r="AA45" s="145"/>
      <c r="AB45" s="141"/>
      <c r="AC45" s="141"/>
      <c r="AD45" s="507"/>
      <c r="AE45" s="507"/>
      <c r="AF45" s="507"/>
      <c r="AG45" s="141"/>
      <c r="AH45" s="1673"/>
      <c r="AI45" s="1694" t="s">
        <v>2246</v>
      </c>
      <c r="AJ45" s="141"/>
      <c r="AK45" s="1689"/>
      <c r="AL45" s="1673"/>
      <c r="AM45" s="1675"/>
      <c r="AN45" s="1675"/>
      <c r="AO45" s="1689">
        <v>4</v>
      </c>
      <c r="AP45" s="1695" t="s">
        <v>2247</v>
      </c>
      <c r="AQ45" s="1695"/>
      <c r="AR45" s="141"/>
      <c r="AS45" s="5">
        <v>1</v>
      </c>
    </row>
    <row r="46" spans="1:45" ht="30" customHeight="1">
      <c r="A46" s="507">
        <v>1</v>
      </c>
      <c r="B46" s="1676">
        <f t="shared" si="14"/>
        <v>4</v>
      </c>
      <c r="C46" s="1683" t="s">
        <v>2248</v>
      </c>
      <c r="D46" s="141"/>
      <c r="E46" s="1676">
        <f t="shared" si="1"/>
        <v>43</v>
      </c>
      <c r="F46" s="1683" t="s">
        <v>2249</v>
      </c>
      <c r="G46" s="141"/>
      <c r="H46" s="1693"/>
      <c r="I46" s="1711"/>
      <c r="J46" s="141"/>
      <c r="K46" s="1676">
        <f t="shared" si="15"/>
        <v>3</v>
      </c>
      <c r="L46" s="1683" t="s">
        <v>2250</v>
      </c>
      <c r="M46" s="141"/>
      <c r="N46" s="1676">
        <f t="shared" si="8"/>
        <v>39</v>
      </c>
      <c r="O46" s="1683" t="s">
        <v>2251</v>
      </c>
      <c r="P46" s="141"/>
      <c r="Q46" s="1676"/>
      <c r="S46" s="141"/>
      <c r="T46" s="1676">
        <f>T45+1</f>
        <v>3</v>
      </c>
      <c r="U46" s="1684" t="s">
        <v>2252</v>
      </c>
      <c r="W46" s="1676">
        <f t="shared" si="13"/>
        <v>14</v>
      </c>
      <c r="X46" s="1684" t="s">
        <v>2253</v>
      </c>
      <c r="Y46" s="141"/>
      <c r="Z46" s="1676"/>
      <c r="AA46" s="1680" t="s">
        <v>2206</v>
      </c>
      <c r="AB46" s="141"/>
      <c r="AC46" s="141"/>
      <c r="AD46" s="507"/>
      <c r="AE46" s="507"/>
      <c r="AF46" s="507"/>
      <c r="AG46" s="141"/>
      <c r="AH46" s="1673"/>
      <c r="AI46" s="1694" t="s">
        <v>2254</v>
      </c>
      <c r="AJ46" s="141"/>
      <c r="AK46" s="1689"/>
      <c r="AL46" s="1673"/>
      <c r="AM46" s="1675"/>
      <c r="AN46" s="1675"/>
      <c r="AO46" s="1689">
        <v>5</v>
      </c>
      <c r="AP46" s="1695" t="s">
        <v>2255</v>
      </c>
      <c r="AQ46" s="1695"/>
      <c r="AR46" s="141"/>
      <c r="AS46" s="5">
        <v>1</v>
      </c>
    </row>
    <row r="47" spans="1:45" ht="30" customHeight="1">
      <c r="A47" s="507">
        <v>1</v>
      </c>
      <c r="B47" s="1676">
        <f t="shared" si="14"/>
        <v>5</v>
      </c>
      <c r="C47" s="1683" t="s">
        <v>2256</v>
      </c>
      <c r="D47" s="141"/>
      <c r="E47" s="1676">
        <f t="shared" si="1"/>
        <v>44</v>
      </c>
      <c r="F47" s="1683" t="s">
        <v>2257</v>
      </c>
      <c r="G47" s="141"/>
      <c r="H47" s="1676"/>
      <c r="I47" s="1677" t="s">
        <v>2258</v>
      </c>
      <c r="J47" s="141"/>
      <c r="K47" s="1676">
        <f t="shared" si="15"/>
        <v>4</v>
      </c>
      <c r="L47" s="145" t="s">
        <v>2259</v>
      </c>
      <c r="M47" s="141"/>
      <c r="N47" s="1676">
        <f t="shared" si="8"/>
        <v>40</v>
      </c>
      <c r="O47" s="1683" t="s">
        <v>2260</v>
      </c>
      <c r="P47" s="141"/>
      <c r="Q47" s="1676"/>
      <c r="S47" s="141"/>
      <c r="T47" s="1676">
        <f>T46+1</f>
        <v>4</v>
      </c>
      <c r="U47" s="1684" t="s">
        <v>2261</v>
      </c>
      <c r="W47" s="1690"/>
      <c r="Y47" s="141"/>
      <c r="Z47" s="1676">
        <v>1</v>
      </c>
      <c r="AA47" s="145" t="s">
        <v>2262</v>
      </c>
      <c r="AB47" s="141"/>
      <c r="AC47" s="141"/>
      <c r="AD47" s="507"/>
      <c r="AE47" s="507"/>
      <c r="AF47" s="507"/>
      <c r="AG47" s="141"/>
      <c r="AH47" s="1673"/>
      <c r="AI47" s="1691" t="s">
        <v>2082</v>
      </c>
      <c r="AJ47" s="141"/>
      <c r="AK47" s="1689">
        <v>1</v>
      </c>
      <c r="AL47" s="1695" t="s">
        <v>2263</v>
      </c>
      <c r="AM47" s="1675"/>
      <c r="AN47" s="1675"/>
      <c r="AO47" s="1689">
        <v>6</v>
      </c>
      <c r="AP47" s="1695" t="s">
        <v>2264</v>
      </c>
      <c r="AQ47" s="1695"/>
      <c r="AR47" s="141"/>
      <c r="AS47" s="5">
        <v>1</v>
      </c>
    </row>
    <row r="48" spans="1:45" ht="30" customHeight="1">
      <c r="A48" s="507">
        <v>1</v>
      </c>
      <c r="B48" s="1676">
        <f t="shared" si="14"/>
        <v>6</v>
      </c>
      <c r="C48" s="145" t="s">
        <v>2265</v>
      </c>
      <c r="D48" s="141"/>
      <c r="E48" s="1676">
        <f t="shared" si="1"/>
        <v>45</v>
      </c>
      <c r="F48" s="1683" t="s">
        <v>2266</v>
      </c>
      <c r="G48" s="141"/>
      <c r="H48" s="1676">
        <v>1</v>
      </c>
      <c r="I48" s="1683" t="s">
        <v>2267</v>
      </c>
      <c r="J48" s="141"/>
      <c r="K48" s="1676">
        <f t="shared" si="15"/>
        <v>5</v>
      </c>
      <c r="L48" s="1683" t="s">
        <v>2268</v>
      </c>
      <c r="M48" s="141"/>
      <c r="N48" s="1676">
        <f t="shared" si="8"/>
        <v>41</v>
      </c>
      <c r="O48" s="1683" t="s">
        <v>2269</v>
      </c>
      <c r="P48" s="141"/>
      <c r="Q48" s="1676"/>
      <c r="S48" s="141"/>
      <c r="T48" s="1690"/>
      <c r="W48" s="1676"/>
      <c r="X48" s="1679" t="s">
        <v>2270</v>
      </c>
      <c r="Y48" s="141"/>
      <c r="Z48" s="1676">
        <f>Z47+1</f>
        <v>2</v>
      </c>
      <c r="AA48" s="145" t="s">
        <v>2271</v>
      </c>
      <c r="AB48" s="141"/>
      <c r="AC48" s="141"/>
      <c r="AD48" s="507"/>
      <c r="AE48" s="507"/>
      <c r="AF48" s="507"/>
      <c r="AG48" s="141"/>
      <c r="AH48" s="1673"/>
      <c r="AI48" s="1694" t="s">
        <v>2272</v>
      </c>
      <c r="AJ48" s="141"/>
      <c r="AK48" s="1689">
        <v>2</v>
      </c>
      <c r="AL48" s="1695" t="s">
        <v>2273</v>
      </c>
      <c r="AM48" s="1675"/>
      <c r="AN48" s="1675"/>
      <c r="AO48" s="1689"/>
      <c r="AP48" s="7731" t="s">
        <v>2274</v>
      </c>
      <c r="AQ48" s="7731"/>
      <c r="AR48" s="141"/>
      <c r="AS48" s="5">
        <v>1</v>
      </c>
    </row>
    <row r="49" spans="1:45" ht="30" customHeight="1">
      <c r="A49" s="507">
        <v>1</v>
      </c>
      <c r="B49" s="1676">
        <f t="shared" si="14"/>
        <v>7</v>
      </c>
      <c r="C49" s="145" t="s">
        <v>2275</v>
      </c>
      <c r="D49" s="141"/>
      <c r="E49" s="1693"/>
      <c r="F49" s="1711"/>
      <c r="G49" s="141"/>
      <c r="H49" s="1676">
        <f>H48+1</f>
        <v>2</v>
      </c>
      <c r="I49" s="1683" t="s">
        <v>2276</v>
      </c>
      <c r="J49" s="141"/>
      <c r="K49" s="1676">
        <f t="shared" si="15"/>
        <v>6</v>
      </c>
      <c r="L49" s="1683" t="s">
        <v>2277</v>
      </c>
      <c r="M49" s="141"/>
      <c r="N49" s="1676">
        <f t="shared" si="8"/>
        <v>42</v>
      </c>
      <c r="O49" s="145" t="s">
        <v>2278</v>
      </c>
      <c r="P49" s="141"/>
      <c r="Q49" s="1676"/>
      <c r="S49" s="141"/>
      <c r="T49" s="1676"/>
      <c r="U49" s="1679" t="s">
        <v>2082</v>
      </c>
      <c r="W49" s="1676">
        <v>1</v>
      </c>
      <c r="X49" s="1684" t="s">
        <v>2279</v>
      </c>
      <c r="Y49" s="141"/>
      <c r="Z49" s="1693"/>
      <c r="AA49" s="145"/>
      <c r="AB49" s="141"/>
      <c r="AC49" s="141"/>
      <c r="AD49" s="507"/>
      <c r="AE49" s="507"/>
      <c r="AF49" s="507"/>
      <c r="AG49" s="141"/>
      <c r="AH49" s="1673"/>
      <c r="AI49" s="1694" t="s">
        <v>2280</v>
      </c>
      <c r="AJ49" s="141"/>
      <c r="AK49" s="1689">
        <v>3</v>
      </c>
      <c r="AL49" s="1695" t="s">
        <v>1793</v>
      </c>
      <c r="AM49" s="1675"/>
      <c r="AN49" s="1675"/>
      <c r="AO49" s="1689"/>
      <c r="AP49" s="7731"/>
      <c r="AQ49" s="7731"/>
      <c r="AR49" s="141"/>
      <c r="AS49" s="5">
        <v>1</v>
      </c>
    </row>
    <row r="50" spans="1:45" ht="30" customHeight="1">
      <c r="A50" s="507">
        <v>1</v>
      </c>
      <c r="B50" s="1676">
        <f t="shared" si="14"/>
        <v>8</v>
      </c>
      <c r="C50" s="145" t="s">
        <v>2281</v>
      </c>
      <c r="D50" s="141"/>
      <c r="E50" s="1676"/>
      <c r="F50" s="1677" t="s">
        <v>2082</v>
      </c>
      <c r="G50" s="141"/>
      <c r="H50" s="1676">
        <f>H49+1</f>
        <v>3</v>
      </c>
      <c r="I50" s="1683" t="s">
        <v>2282</v>
      </c>
      <c r="J50" s="141"/>
      <c r="K50" s="1676">
        <f t="shared" si="15"/>
        <v>7</v>
      </c>
      <c r="L50" s="1683" t="s">
        <v>2283</v>
      </c>
      <c r="M50" s="141"/>
      <c r="N50" s="1676">
        <f t="shared" si="8"/>
        <v>43</v>
      </c>
      <c r="O50" s="1683" t="s">
        <v>2284</v>
      </c>
      <c r="P50" s="141"/>
      <c r="Q50" s="1676"/>
      <c r="S50" s="141"/>
      <c r="T50" s="1676">
        <v>1</v>
      </c>
      <c r="U50" s="1684" t="s">
        <v>2285</v>
      </c>
      <c r="W50" s="1676">
        <f>W49+1</f>
        <v>2</v>
      </c>
      <c r="X50" s="1684" t="s">
        <v>2286</v>
      </c>
      <c r="Y50" s="141"/>
      <c r="Z50" s="1676"/>
      <c r="AA50" s="1680" t="s">
        <v>88</v>
      </c>
      <c r="AB50" s="141"/>
      <c r="AC50" s="141"/>
      <c r="AD50" s="507"/>
      <c r="AE50" s="507"/>
      <c r="AF50" s="507"/>
      <c r="AG50" s="141"/>
      <c r="AH50" s="1673"/>
      <c r="AI50" s="1694" t="s">
        <v>2287</v>
      </c>
      <c r="AJ50" s="141"/>
      <c r="AK50" s="1689">
        <v>4</v>
      </c>
      <c r="AL50" s="1695" t="s">
        <v>2288</v>
      </c>
      <c r="AM50" s="1675"/>
      <c r="AN50" s="1675"/>
      <c r="AO50" s="7732">
        <v>7</v>
      </c>
      <c r="AP50" s="7728" t="s">
        <v>2289</v>
      </c>
      <c r="AQ50" s="7728"/>
      <c r="AR50" s="141"/>
      <c r="AS50" s="5">
        <v>1</v>
      </c>
    </row>
    <row r="51" spans="1:45" ht="30" customHeight="1">
      <c r="A51" s="507">
        <v>1</v>
      </c>
      <c r="B51" s="1676">
        <f t="shared" si="14"/>
        <v>9</v>
      </c>
      <c r="C51" s="145" t="s">
        <v>2290</v>
      </c>
      <c r="D51" s="141"/>
      <c r="E51" s="1676">
        <v>1</v>
      </c>
      <c r="F51" s="1683" t="s">
        <v>2291</v>
      </c>
      <c r="G51" s="141"/>
      <c r="H51" s="1676">
        <f>H50+1</f>
        <v>4</v>
      </c>
      <c r="I51" s="1683" t="s">
        <v>2292</v>
      </c>
      <c r="J51" s="141"/>
      <c r="K51" s="1676">
        <f t="shared" si="15"/>
        <v>8</v>
      </c>
      <c r="L51" s="145" t="s">
        <v>2293</v>
      </c>
      <c r="M51" s="141"/>
      <c r="N51" s="1676">
        <f t="shared" si="8"/>
        <v>44</v>
      </c>
      <c r="O51" s="1683" t="s">
        <v>2294</v>
      </c>
      <c r="P51" s="141"/>
      <c r="Q51" s="1676"/>
      <c r="S51" s="141"/>
      <c r="T51" s="1676">
        <f>T50+1</f>
        <v>2</v>
      </c>
      <c r="U51" s="1684" t="s">
        <v>2295</v>
      </c>
      <c r="W51" s="1676">
        <f>W50+1</f>
        <v>3</v>
      </c>
      <c r="X51" s="1684" t="s">
        <v>2296</v>
      </c>
      <c r="Y51" s="141"/>
      <c r="Z51" s="1676">
        <v>1</v>
      </c>
      <c r="AA51" s="145" t="s">
        <v>2297</v>
      </c>
      <c r="AB51" s="141"/>
      <c r="AC51" s="141"/>
      <c r="AD51" s="507"/>
      <c r="AE51" s="507"/>
      <c r="AF51" s="507"/>
      <c r="AG51" s="141"/>
      <c r="AH51" s="1673"/>
      <c r="AI51" s="1694" t="s">
        <v>2298</v>
      </c>
      <c r="AJ51" s="141"/>
      <c r="AK51" s="1689">
        <v>5</v>
      </c>
      <c r="AL51" s="1695" t="s">
        <v>2299</v>
      </c>
      <c r="AM51" s="1675"/>
      <c r="AN51" s="1675"/>
      <c r="AO51" s="7732"/>
      <c r="AP51" s="7728"/>
      <c r="AQ51" s="7728"/>
      <c r="AR51" s="141"/>
      <c r="AS51" s="5">
        <v>1</v>
      </c>
    </row>
    <row r="52" spans="1:45" ht="30" customHeight="1">
      <c r="A52" s="507">
        <v>1</v>
      </c>
      <c r="B52" s="1676">
        <f t="shared" si="14"/>
        <v>10</v>
      </c>
      <c r="C52" s="145" t="s">
        <v>2300</v>
      </c>
      <c r="D52" s="141"/>
      <c r="E52" s="1676">
        <f>E51+1</f>
        <v>2</v>
      </c>
      <c r="F52" s="1683" t="s">
        <v>2301</v>
      </c>
      <c r="G52" s="141"/>
      <c r="H52" s="1676">
        <f>H51+1</f>
        <v>5</v>
      </c>
      <c r="I52" s="1683" t="s">
        <v>2302</v>
      </c>
      <c r="J52" s="141"/>
      <c r="K52" s="1676">
        <f t="shared" si="15"/>
        <v>9</v>
      </c>
      <c r="L52" s="145" t="s">
        <v>2303</v>
      </c>
      <c r="M52" s="141"/>
      <c r="N52" s="1676">
        <f t="shared" si="8"/>
        <v>45</v>
      </c>
      <c r="O52" s="1683" t="s">
        <v>2304</v>
      </c>
      <c r="P52" s="141"/>
      <c r="Q52" s="1676"/>
      <c r="S52" s="141"/>
      <c r="T52" s="1676">
        <f t="shared" ref="T52:T66" si="16">T51+1</f>
        <v>3</v>
      </c>
      <c r="U52" s="1684" t="s">
        <v>2305</v>
      </c>
      <c r="W52" s="1676">
        <f>W51+1</f>
        <v>4</v>
      </c>
      <c r="X52" s="1684" t="s">
        <v>2306</v>
      </c>
      <c r="Y52" s="141"/>
      <c r="Z52" s="1693"/>
      <c r="AA52" s="145"/>
      <c r="AB52" s="141"/>
      <c r="AC52" s="141"/>
      <c r="AD52" s="507"/>
      <c r="AE52" s="507"/>
      <c r="AF52" s="507"/>
      <c r="AG52" s="141"/>
      <c r="AH52" s="1673"/>
      <c r="AI52" s="1691" t="s">
        <v>1754</v>
      </c>
      <c r="AJ52" s="141"/>
      <c r="AK52" s="1689">
        <v>6</v>
      </c>
      <c r="AL52" s="1695" t="s">
        <v>1836</v>
      </c>
      <c r="AM52" s="1675"/>
      <c r="AN52" s="1675"/>
      <c r="AO52" s="7732">
        <v>8</v>
      </c>
      <c r="AP52" s="7728" t="s">
        <v>2307</v>
      </c>
      <c r="AQ52" s="7728"/>
      <c r="AR52" s="141"/>
      <c r="AS52" s="5">
        <v>1</v>
      </c>
    </row>
    <row r="53" spans="1:45" ht="30" customHeight="1">
      <c r="A53" s="507">
        <v>1</v>
      </c>
      <c r="B53" s="1676">
        <f t="shared" si="14"/>
        <v>11</v>
      </c>
      <c r="C53" s="145" t="s">
        <v>2308</v>
      </c>
      <c r="D53" s="141"/>
      <c r="E53" s="1676">
        <f t="shared" ref="E53:E83" si="17">E52+1</f>
        <v>3</v>
      </c>
      <c r="F53" s="1683" t="s">
        <v>2309</v>
      </c>
      <c r="G53" s="141"/>
      <c r="H53" s="1676">
        <f>H52+1</f>
        <v>6</v>
      </c>
      <c r="I53" s="145" t="s">
        <v>2310</v>
      </c>
      <c r="J53" s="141"/>
      <c r="K53" s="1676">
        <f t="shared" si="15"/>
        <v>10</v>
      </c>
      <c r="L53" s="1683" t="s">
        <v>2311</v>
      </c>
      <c r="M53" s="141"/>
      <c r="N53" s="1676">
        <f t="shared" si="8"/>
        <v>46</v>
      </c>
      <c r="O53" s="1683" t="s">
        <v>2312</v>
      </c>
      <c r="P53" s="141"/>
      <c r="Q53" s="1676"/>
      <c r="S53" s="141"/>
      <c r="T53" s="1676">
        <f t="shared" si="16"/>
        <v>4</v>
      </c>
      <c r="U53" s="1684" t="s">
        <v>2313</v>
      </c>
      <c r="W53" s="1676">
        <f>W52+1</f>
        <v>5</v>
      </c>
      <c r="X53" s="1684" t="s">
        <v>2314</v>
      </c>
      <c r="Y53" s="141"/>
      <c r="Z53" s="1676"/>
      <c r="AA53" s="1680" t="s">
        <v>1275</v>
      </c>
      <c r="AB53" s="141"/>
      <c r="AC53" s="141"/>
      <c r="AD53" s="507"/>
      <c r="AE53" s="507"/>
      <c r="AF53" s="507"/>
      <c r="AG53" s="141"/>
      <c r="AH53" s="1673"/>
      <c r="AI53" s="1694" t="s">
        <v>2315</v>
      </c>
      <c r="AJ53" s="141"/>
      <c r="AK53" s="1689">
        <v>7</v>
      </c>
      <c r="AL53" s="1695" t="s">
        <v>2316</v>
      </c>
      <c r="AM53" s="1675"/>
      <c r="AN53" s="1675"/>
      <c r="AO53" s="7732"/>
      <c r="AP53" s="7728"/>
      <c r="AQ53" s="7728"/>
      <c r="AR53" s="141"/>
      <c r="AS53" s="5">
        <v>1</v>
      </c>
    </row>
    <row r="54" spans="1:45" ht="30" customHeight="1">
      <c r="A54" s="507">
        <v>1</v>
      </c>
      <c r="B54" s="1676">
        <f t="shared" si="14"/>
        <v>12</v>
      </c>
      <c r="C54" s="145" t="s">
        <v>2317</v>
      </c>
      <c r="D54" s="141"/>
      <c r="E54" s="1676">
        <f t="shared" si="17"/>
        <v>4</v>
      </c>
      <c r="F54" s="1683" t="s">
        <v>2318</v>
      </c>
      <c r="G54" s="141"/>
      <c r="H54" s="1693"/>
      <c r="I54" s="1701"/>
      <c r="J54" s="141"/>
      <c r="K54" s="1676">
        <f t="shared" si="15"/>
        <v>11</v>
      </c>
      <c r="L54" s="1683" t="s">
        <v>2319</v>
      </c>
      <c r="M54" s="141"/>
      <c r="N54" s="1676">
        <f t="shared" si="8"/>
        <v>47</v>
      </c>
      <c r="O54" s="1683" t="s">
        <v>2320</v>
      </c>
      <c r="P54" s="141"/>
      <c r="Q54" s="1676"/>
      <c r="S54" s="141"/>
      <c r="T54" s="1676">
        <f t="shared" si="16"/>
        <v>5</v>
      </c>
      <c r="U54" s="1684" t="s">
        <v>2321</v>
      </c>
      <c r="W54" s="1676">
        <f>W53+1</f>
        <v>6</v>
      </c>
      <c r="X54" s="1684" t="s">
        <v>2322</v>
      </c>
      <c r="Y54" s="141"/>
      <c r="Z54" s="1676">
        <v>1</v>
      </c>
      <c r="AA54" s="145" t="s">
        <v>2323</v>
      </c>
      <c r="AB54" s="141"/>
      <c r="AC54" s="141"/>
      <c r="AD54" s="507"/>
      <c r="AE54" s="507"/>
      <c r="AF54" s="507"/>
      <c r="AG54" s="141"/>
      <c r="AH54" s="1673"/>
      <c r="AI54" s="1694" t="s">
        <v>2324</v>
      </c>
      <c r="AJ54" s="141"/>
      <c r="AK54" s="1689">
        <v>8</v>
      </c>
      <c r="AL54" s="1695" t="s">
        <v>2325</v>
      </c>
      <c r="AM54" s="1675"/>
      <c r="AN54" s="1675"/>
      <c r="AO54" s="1689"/>
      <c r="AP54" s="7731" t="s">
        <v>2326</v>
      </c>
      <c r="AQ54" s="7731"/>
      <c r="AR54" s="141"/>
      <c r="AS54" s="5">
        <v>1</v>
      </c>
    </row>
    <row r="55" spans="1:45" ht="30" customHeight="1">
      <c r="A55"/>
      <c r="B55" s="1676">
        <f t="shared" si="14"/>
        <v>13</v>
      </c>
      <c r="C55" s="145" t="s">
        <v>2327</v>
      </c>
      <c r="D55" s="141"/>
      <c r="E55" s="1676">
        <f t="shared" si="17"/>
        <v>5</v>
      </c>
      <c r="F55" s="1683" t="s">
        <v>2328</v>
      </c>
      <c r="G55" s="141"/>
      <c r="H55" s="1676"/>
      <c r="I55" s="1677" t="s">
        <v>2329</v>
      </c>
      <c r="J55" s="141"/>
      <c r="K55" s="1676">
        <f t="shared" si="15"/>
        <v>12</v>
      </c>
      <c r="L55" s="1683" t="s">
        <v>2330</v>
      </c>
      <c r="M55" s="141"/>
      <c r="N55" s="1676">
        <f t="shared" si="8"/>
        <v>48</v>
      </c>
      <c r="O55" s="1683" t="s">
        <v>2331</v>
      </c>
      <c r="P55" s="141"/>
      <c r="Q55" s="1676"/>
      <c r="S55" s="141"/>
      <c r="T55" s="1676">
        <f t="shared" si="16"/>
        <v>6</v>
      </c>
      <c r="U55" s="1684" t="s">
        <v>2332</v>
      </c>
      <c r="W55" s="1690"/>
      <c r="Y55" s="141"/>
      <c r="Z55" s="1676">
        <f>Z54+1</f>
        <v>2</v>
      </c>
      <c r="AA55" s="145" t="s">
        <v>2333</v>
      </c>
      <c r="AB55" s="141"/>
      <c r="AC55" s="141"/>
      <c r="AD55" s="507"/>
      <c r="AE55" s="507"/>
      <c r="AF55" s="507"/>
      <c r="AG55" s="141"/>
      <c r="AH55" s="1673"/>
      <c r="AI55" s="1694" t="s">
        <v>2334</v>
      </c>
      <c r="AJ55" s="141"/>
      <c r="AK55" s="1689"/>
      <c r="AL55" s="1673"/>
      <c r="AM55" s="1675"/>
      <c r="AN55" s="1675"/>
      <c r="AO55" s="1689"/>
      <c r="AP55" s="7731"/>
      <c r="AQ55" s="7731"/>
      <c r="AR55" s="141"/>
      <c r="AS55" s="1712">
        <v>1</v>
      </c>
    </row>
    <row r="56" spans="1:45" ht="30" customHeight="1">
      <c r="A56"/>
      <c r="B56" s="1676">
        <f t="shared" si="14"/>
        <v>14</v>
      </c>
      <c r="C56" s="145" t="s">
        <v>2335</v>
      </c>
      <c r="D56" s="141"/>
      <c r="E56" s="1676">
        <f t="shared" si="17"/>
        <v>6</v>
      </c>
      <c r="F56" s="1683" t="s">
        <v>2336</v>
      </c>
      <c r="G56" s="141"/>
      <c r="H56" s="1676">
        <v>1</v>
      </c>
      <c r="I56" s="1683" t="s">
        <v>2337</v>
      </c>
      <c r="J56" s="141"/>
      <c r="K56" s="1676">
        <f t="shared" si="15"/>
        <v>13</v>
      </c>
      <c r="L56" s="1683" t="s">
        <v>2338</v>
      </c>
      <c r="M56" s="141"/>
      <c r="N56" s="1676">
        <f t="shared" si="8"/>
        <v>49</v>
      </c>
      <c r="O56" s="1683" t="s">
        <v>2339</v>
      </c>
      <c r="P56" s="141"/>
      <c r="Q56" s="1676"/>
      <c r="S56" s="141"/>
      <c r="T56" s="1676">
        <f t="shared" si="16"/>
        <v>7</v>
      </c>
      <c r="U56" s="1684" t="s">
        <v>2340</v>
      </c>
      <c r="W56" s="1676"/>
      <c r="X56" s="1679" t="s">
        <v>1756</v>
      </c>
      <c r="Y56" s="141"/>
      <c r="Z56" s="1676">
        <v>2</v>
      </c>
      <c r="AA56" s="145" t="s">
        <v>2341</v>
      </c>
      <c r="AB56" s="141"/>
      <c r="AC56" s="141"/>
      <c r="AD56" s="507"/>
      <c r="AE56" s="507"/>
      <c r="AF56" s="507"/>
      <c r="AG56" s="141"/>
      <c r="AH56" s="1673"/>
      <c r="AI56" s="1694" t="s">
        <v>2342</v>
      </c>
      <c r="AJ56" s="141"/>
      <c r="AK56" s="1689">
        <v>1</v>
      </c>
      <c r="AL56" s="1695" t="s">
        <v>2343</v>
      </c>
      <c r="AM56" s="1675"/>
      <c r="AN56" s="1675"/>
      <c r="AO56" s="1689"/>
      <c r="AP56" s="1695" t="s">
        <v>2344</v>
      </c>
      <c r="AQ56" s="1695"/>
      <c r="AR56" s="141"/>
      <c r="AS56" s="1712">
        <v>1</v>
      </c>
    </row>
    <row r="57" spans="1:45" ht="30" customHeight="1">
      <c r="A57"/>
      <c r="B57" s="1676">
        <f t="shared" si="14"/>
        <v>15</v>
      </c>
      <c r="C57" s="1683" t="s">
        <v>2345</v>
      </c>
      <c r="D57" s="141"/>
      <c r="E57" s="1676">
        <f t="shared" si="17"/>
        <v>7</v>
      </c>
      <c r="F57" s="1683" t="s">
        <v>2346</v>
      </c>
      <c r="G57" s="141"/>
      <c r="H57" s="1693"/>
      <c r="J57" s="141"/>
      <c r="K57" s="1676">
        <f t="shared" si="15"/>
        <v>14</v>
      </c>
      <c r="L57" s="145" t="s">
        <v>2347</v>
      </c>
      <c r="M57" s="141"/>
      <c r="N57" s="1676">
        <f t="shared" si="8"/>
        <v>50</v>
      </c>
      <c r="O57" s="1683" t="s">
        <v>2348</v>
      </c>
      <c r="P57" s="141"/>
      <c r="Q57" s="1676"/>
      <c r="S57" s="141"/>
      <c r="T57" s="1676">
        <f t="shared" si="16"/>
        <v>8</v>
      </c>
      <c r="U57" s="1684" t="s">
        <v>2349</v>
      </c>
      <c r="W57" s="1676">
        <v>1</v>
      </c>
      <c r="X57" s="1684" t="s">
        <v>2350</v>
      </c>
      <c r="Y57" s="141"/>
      <c r="Z57" s="1690"/>
      <c r="AA57" s="145"/>
      <c r="AB57" s="141"/>
      <c r="AC57" s="141"/>
      <c r="AD57" s="507"/>
      <c r="AE57" s="507"/>
      <c r="AF57" s="507"/>
      <c r="AG57" s="141"/>
      <c r="AH57" s="1673"/>
      <c r="AI57" s="1694" t="s">
        <v>2351</v>
      </c>
      <c r="AJ57" s="141"/>
      <c r="AK57" s="1689">
        <v>2</v>
      </c>
      <c r="AL57" s="1695" t="s">
        <v>2352</v>
      </c>
      <c r="AM57" s="1675"/>
      <c r="AN57" s="1675"/>
      <c r="AO57" s="1689">
        <v>9</v>
      </c>
      <c r="AP57" s="1695" t="s">
        <v>2353</v>
      </c>
      <c r="AQ57" s="1695"/>
      <c r="AR57" s="141"/>
      <c r="AS57" s="1712">
        <v>1</v>
      </c>
    </row>
    <row r="58" spans="1:45" ht="30" customHeight="1">
      <c r="A58"/>
      <c r="B58" s="1676">
        <f t="shared" si="14"/>
        <v>16</v>
      </c>
      <c r="C58" s="1683" t="s">
        <v>2354</v>
      </c>
      <c r="D58" s="141"/>
      <c r="E58" s="1676">
        <f t="shared" si="17"/>
        <v>8</v>
      </c>
      <c r="F58" s="1683" t="s">
        <v>2355</v>
      </c>
      <c r="G58" s="141"/>
      <c r="H58" s="1676"/>
      <c r="I58" s="1677" t="s">
        <v>88</v>
      </c>
      <c r="J58" s="141"/>
      <c r="K58" s="1676">
        <f t="shared" si="15"/>
        <v>15</v>
      </c>
      <c r="L58" s="145" t="s">
        <v>2356</v>
      </c>
      <c r="M58" s="141"/>
      <c r="N58" s="1676">
        <f t="shared" si="8"/>
        <v>51</v>
      </c>
      <c r="O58" s="1683" t="s">
        <v>2357</v>
      </c>
      <c r="P58" s="141"/>
      <c r="Q58" s="1676"/>
      <c r="S58" s="141"/>
      <c r="T58" s="1676">
        <f t="shared" si="16"/>
        <v>9</v>
      </c>
      <c r="U58" s="1684" t="s">
        <v>2358</v>
      </c>
      <c r="W58" s="1676">
        <f>W57+1</f>
        <v>2</v>
      </c>
      <c r="X58" s="1684" t="s">
        <v>2359</v>
      </c>
      <c r="Y58" s="141"/>
      <c r="Z58" s="1676"/>
      <c r="AA58" s="1680" t="s">
        <v>1960</v>
      </c>
      <c r="AB58" s="141"/>
      <c r="AC58" s="141"/>
      <c r="AD58" s="507"/>
      <c r="AE58" s="507"/>
      <c r="AF58" s="507"/>
      <c r="AG58" s="141"/>
      <c r="AH58" s="1673"/>
      <c r="AI58" s="1694" t="s">
        <v>2360</v>
      </c>
      <c r="AJ58" s="141"/>
      <c r="AK58" s="1689"/>
      <c r="AL58" s="1673"/>
      <c r="AM58" s="1675"/>
      <c r="AN58" s="1675"/>
      <c r="AO58" s="1689">
        <v>10</v>
      </c>
      <c r="AP58" s="1695" t="s">
        <v>2361</v>
      </c>
      <c r="AQ58" s="1695"/>
      <c r="AR58" s="141"/>
      <c r="AS58" s="1712">
        <v>1</v>
      </c>
    </row>
    <row r="59" spans="1:45" ht="30" customHeight="1">
      <c r="A59"/>
      <c r="B59" s="1676">
        <f t="shared" si="14"/>
        <v>17</v>
      </c>
      <c r="C59" s="1683" t="s">
        <v>2362</v>
      </c>
      <c r="D59" s="141"/>
      <c r="E59" s="1676">
        <f t="shared" si="17"/>
        <v>9</v>
      </c>
      <c r="F59" s="1683" t="s">
        <v>2363</v>
      </c>
      <c r="G59" s="141"/>
      <c r="H59" s="1676">
        <v>1</v>
      </c>
      <c r="I59" s="1683" t="s">
        <v>2364</v>
      </c>
      <c r="J59" s="141"/>
      <c r="K59" s="1676">
        <f t="shared" si="15"/>
        <v>16</v>
      </c>
      <c r="L59" s="1683" t="s">
        <v>2365</v>
      </c>
      <c r="M59" s="141"/>
      <c r="N59" s="1693"/>
      <c r="P59" s="141"/>
      <c r="Q59" s="1676"/>
      <c r="S59" s="141"/>
      <c r="T59" s="1676">
        <f t="shared" si="16"/>
        <v>10</v>
      </c>
      <c r="U59" s="1684" t="s">
        <v>2366</v>
      </c>
      <c r="W59" s="1676">
        <f>W58+1</f>
        <v>3</v>
      </c>
      <c r="X59" s="1684" t="s">
        <v>2367</v>
      </c>
      <c r="Y59" s="141"/>
      <c r="Z59" s="1676">
        <v>1</v>
      </c>
      <c r="AA59" s="145" t="s">
        <v>2368</v>
      </c>
      <c r="AB59" s="141"/>
      <c r="AC59" s="141"/>
      <c r="AD59" s="507"/>
      <c r="AE59" s="507"/>
      <c r="AF59" s="507"/>
      <c r="AG59" s="141"/>
      <c r="AH59" s="1673"/>
      <c r="AI59" s="1694" t="s">
        <v>2369</v>
      </c>
      <c r="AJ59" s="141"/>
      <c r="AK59" s="1689"/>
      <c r="AL59" s="1673"/>
      <c r="AM59" s="1675"/>
      <c r="AN59" s="1675"/>
      <c r="AO59" s="1689">
        <v>11</v>
      </c>
      <c r="AP59" s="1695" t="s">
        <v>2370</v>
      </c>
      <c r="AQ59" s="1695"/>
      <c r="AR59" s="141"/>
      <c r="AS59" s="1712">
        <v>1</v>
      </c>
    </row>
    <row r="60" spans="1:45" ht="30" customHeight="1">
      <c r="A60"/>
      <c r="B60" s="1676">
        <f t="shared" si="14"/>
        <v>18</v>
      </c>
      <c r="C60" s="1683" t="s">
        <v>2371</v>
      </c>
      <c r="D60" s="141"/>
      <c r="E60" s="1676">
        <f t="shared" si="17"/>
        <v>10</v>
      </c>
      <c r="F60" s="1683" t="s">
        <v>2372</v>
      </c>
      <c r="G60" s="141"/>
      <c r="H60" s="1676">
        <f>H59+1</f>
        <v>2</v>
      </c>
      <c r="I60" s="145" t="s">
        <v>2373</v>
      </c>
      <c r="J60" s="141"/>
      <c r="K60" s="1676">
        <f t="shared" si="15"/>
        <v>17</v>
      </c>
      <c r="L60" s="1683" t="s">
        <v>2374</v>
      </c>
      <c r="M60" s="141"/>
      <c r="N60" s="1676"/>
      <c r="O60" s="1677" t="s">
        <v>2270</v>
      </c>
      <c r="P60" s="141"/>
      <c r="Q60" s="1676"/>
      <c r="S60" s="141"/>
      <c r="T60" s="1676">
        <f t="shared" si="16"/>
        <v>11</v>
      </c>
      <c r="U60" s="1684" t="s">
        <v>2375</v>
      </c>
      <c r="W60" s="1690"/>
      <c r="Y60" s="141"/>
      <c r="Z60" s="1690"/>
      <c r="AA60" s="145"/>
      <c r="AB60" s="141"/>
      <c r="AC60" s="141"/>
      <c r="AD60" s="507"/>
      <c r="AE60" s="507"/>
      <c r="AF60" s="507"/>
      <c r="AG60" s="141"/>
      <c r="AH60" s="1673"/>
      <c r="AI60" s="1691" t="s">
        <v>2076</v>
      </c>
      <c r="AJ60" s="141"/>
      <c r="AK60" s="1689">
        <v>1</v>
      </c>
      <c r="AL60" s="1695" t="s">
        <v>2376</v>
      </c>
      <c r="AM60" s="1675"/>
      <c r="AN60" s="1675"/>
      <c r="AO60" s="1689">
        <v>12</v>
      </c>
      <c r="AP60" s="1695" t="s">
        <v>2377</v>
      </c>
      <c r="AQ60" s="1695"/>
      <c r="AR60" s="141"/>
      <c r="AS60" s="1712">
        <v>1</v>
      </c>
    </row>
    <row r="61" spans="1:45" ht="30" customHeight="1">
      <c r="A61"/>
      <c r="B61" s="1676">
        <f t="shared" si="14"/>
        <v>19</v>
      </c>
      <c r="C61" s="1683" t="s">
        <v>2378</v>
      </c>
      <c r="D61" s="141"/>
      <c r="E61" s="1676">
        <f t="shared" si="17"/>
        <v>11</v>
      </c>
      <c r="F61" s="1683" t="s">
        <v>2379</v>
      </c>
      <c r="G61" s="141"/>
      <c r="H61" s="1676">
        <f t="shared" ref="H61:H68" si="18">H60+1</f>
        <v>3</v>
      </c>
      <c r="I61" s="1683" t="s">
        <v>2380</v>
      </c>
      <c r="J61" s="141"/>
      <c r="K61" s="1676">
        <f t="shared" si="15"/>
        <v>18</v>
      </c>
      <c r="L61" s="1683" t="s">
        <v>2381</v>
      </c>
      <c r="M61" s="141"/>
      <c r="N61" s="1676">
        <v>1</v>
      </c>
      <c r="O61" s="1683" t="s">
        <v>2382</v>
      </c>
      <c r="P61" s="141"/>
      <c r="Q61" s="1676"/>
      <c r="S61" s="141"/>
      <c r="T61" s="1676">
        <f t="shared" si="16"/>
        <v>12</v>
      </c>
      <c r="U61" s="1684" t="s">
        <v>2383</v>
      </c>
      <c r="W61" s="1676"/>
      <c r="X61" s="1679" t="s">
        <v>2057</v>
      </c>
      <c r="Y61" s="141"/>
      <c r="Z61" s="1676"/>
      <c r="AA61" s="1680" t="s">
        <v>1276</v>
      </c>
      <c r="AB61" s="141"/>
      <c r="AC61" s="141"/>
      <c r="AD61" s="507"/>
      <c r="AE61" s="507"/>
      <c r="AF61" s="507"/>
      <c r="AG61" s="141"/>
      <c r="AH61" s="1673"/>
      <c r="AI61" s="1694" t="s">
        <v>2384</v>
      </c>
      <c r="AJ61" s="141"/>
      <c r="AK61" s="1689">
        <v>2</v>
      </c>
      <c r="AL61" s="1695" t="s">
        <v>2385</v>
      </c>
      <c r="AM61" s="1675"/>
      <c r="AN61" s="1675"/>
      <c r="AO61" s="1689"/>
      <c r="AP61" s="1695"/>
      <c r="AQ61" s="1695"/>
      <c r="AR61" s="141"/>
      <c r="AS61" s="1712">
        <v>1</v>
      </c>
    </row>
    <row r="62" spans="1:45" ht="30" customHeight="1">
      <c r="A62"/>
      <c r="B62" s="1676">
        <f t="shared" si="14"/>
        <v>20</v>
      </c>
      <c r="C62" s="1683" t="s">
        <v>2386</v>
      </c>
      <c r="D62" s="141"/>
      <c r="E62" s="1676">
        <f t="shared" si="17"/>
        <v>12</v>
      </c>
      <c r="F62" s="145" t="s">
        <v>2387</v>
      </c>
      <c r="G62" s="141"/>
      <c r="H62" s="1676">
        <f t="shared" si="18"/>
        <v>4</v>
      </c>
      <c r="I62" s="1683" t="s">
        <v>2388</v>
      </c>
      <c r="J62" s="141"/>
      <c r="K62" s="1676">
        <f t="shared" si="15"/>
        <v>19</v>
      </c>
      <c r="L62" s="1683" t="s">
        <v>2389</v>
      </c>
      <c r="M62" s="141"/>
      <c r="N62" s="1676">
        <f>N61+1</f>
        <v>2</v>
      </c>
      <c r="O62" s="1683" t="s">
        <v>2390</v>
      </c>
      <c r="P62" s="141"/>
      <c r="Q62" s="1676"/>
      <c r="S62" s="141"/>
      <c r="T62" s="1676">
        <f t="shared" si="16"/>
        <v>13</v>
      </c>
      <c r="U62" s="1684" t="s">
        <v>2391</v>
      </c>
      <c r="W62" s="1676">
        <v>1</v>
      </c>
      <c r="X62" s="1684" t="s">
        <v>2392</v>
      </c>
      <c r="Y62" s="141"/>
      <c r="Z62" s="1676">
        <v>1</v>
      </c>
      <c r="AA62" s="145" t="s">
        <v>2393</v>
      </c>
      <c r="AB62" s="141"/>
      <c r="AC62" s="141"/>
      <c r="AD62" s="507"/>
      <c r="AE62" s="507"/>
      <c r="AF62" s="507"/>
      <c r="AG62" s="141"/>
      <c r="AH62" s="1673"/>
      <c r="AI62" s="1694" t="s">
        <v>2394</v>
      </c>
      <c r="AJ62" s="141"/>
      <c r="AK62" s="1689">
        <v>3</v>
      </c>
      <c r="AL62" s="1695" t="s">
        <v>2395</v>
      </c>
      <c r="AM62" s="1675"/>
      <c r="AN62" s="1675"/>
      <c r="AO62" s="1692" t="s">
        <v>746</v>
      </c>
      <c r="AP62" s="428" t="s">
        <v>2396</v>
      </c>
      <c r="AQ62" s="1695"/>
      <c r="AR62" s="141"/>
      <c r="AS62" s="1712">
        <v>1</v>
      </c>
    </row>
    <row r="63" spans="1:45" ht="30" customHeight="1">
      <c r="A63"/>
      <c r="B63" s="1676">
        <f t="shared" si="14"/>
        <v>21</v>
      </c>
      <c r="C63" s="1683" t="s">
        <v>2397</v>
      </c>
      <c r="D63" s="141"/>
      <c r="E63" s="1676">
        <f t="shared" si="17"/>
        <v>13</v>
      </c>
      <c r="F63" s="1683" t="s">
        <v>2398</v>
      </c>
      <c r="G63" s="141"/>
      <c r="H63" s="1676">
        <f t="shared" si="18"/>
        <v>5</v>
      </c>
      <c r="I63" s="1683" t="s">
        <v>2399</v>
      </c>
      <c r="J63" s="141"/>
      <c r="K63" s="1676">
        <f t="shared" si="15"/>
        <v>20</v>
      </c>
      <c r="L63" s="1683" t="s">
        <v>2400</v>
      </c>
      <c r="M63" s="141"/>
      <c r="N63" s="1676">
        <f t="shared" ref="N63:N83" si="19">N62+1</f>
        <v>3</v>
      </c>
      <c r="O63" s="1683" t="s">
        <v>2401</v>
      </c>
      <c r="P63" s="141"/>
      <c r="Q63" s="1676"/>
      <c r="S63" s="141"/>
      <c r="T63" s="1676">
        <f t="shared" si="16"/>
        <v>14</v>
      </c>
      <c r="U63" s="1684" t="s">
        <v>2402</v>
      </c>
      <c r="W63" s="1693"/>
      <c r="Y63" s="141"/>
      <c r="Z63" s="1676">
        <f>Z62+1</f>
        <v>2</v>
      </c>
      <c r="AA63" s="145" t="s">
        <v>2403</v>
      </c>
      <c r="AB63" s="141"/>
      <c r="AC63" s="141"/>
      <c r="AD63" s="507"/>
      <c r="AE63" s="507"/>
      <c r="AF63" s="507"/>
      <c r="AG63" s="141"/>
      <c r="AH63" s="1673"/>
      <c r="AI63" s="1698" t="s">
        <v>2404</v>
      </c>
      <c r="AJ63" s="141"/>
      <c r="AK63" s="1689">
        <v>4</v>
      </c>
      <c r="AL63" s="1695" t="s">
        <v>2405</v>
      </c>
      <c r="AM63" s="1675"/>
      <c r="AN63" s="1675"/>
      <c r="AO63" s="7732">
        <v>1</v>
      </c>
      <c r="AP63" s="7728" t="s">
        <v>2406</v>
      </c>
      <c r="AQ63" s="7728"/>
      <c r="AR63" s="141"/>
      <c r="AS63" s="1712">
        <v>1</v>
      </c>
    </row>
    <row r="64" spans="1:45" ht="30" customHeight="1">
      <c r="A64"/>
      <c r="B64" s="1676">
        <f t="shared" si="14"/>
        <v>22</v>
      </c>
      <c r="C64" s="1683" t="s">
        <v>2407</v>
      </c>
      <c r="D64" s="141"/>
      <c r="E64" s="1676">
        <f t="shared" si="17"/>
        <v>14</v>
      </c>
      <c r="F64" s="1683" t="s">
        <v>2408</v>
      </c>
      <c r="G64" s="141"/>
      <c r="H64" s="1676">
        <f t="shared" si="18"/>
        <v>6</v>
      </c>
      <c r="I64" s="1683" t="s">
        <v>2409</v>
      </c>
      <c r="J64" s="141"/>
      <c r="K64" s="1676">
        <f t="shared" si="15"/>
        <v>21</v>
      </c>
      <c r="L64" s="1683" t="s">
        <v>2410</v>
      </c>
      <c r="M64" s="141"/>
      <c r="N64" s="1676">
        <f t="shared" si="19"/>
        <v>4</v>
      </c>
      <c r="O64" s="1683" t="s">
        <v>2411</v>
      </c>
      <c r="P64" s="141"/>
      <c r="Q64" s="1676"/>
      <c r="S64" s="141"/>
      <c r="T64" s="1676">
        <f t="shared" si="16"/>
        <v>15</v>
      </c>
      <c r="U64" s="1684" t="s">
        <v>2412</v>
      </c>
      <c r="W64" s="1676"/>
      <c r="X64" s="1679" t="s">
        <v>161</v>
      </c>
      <c r="Y64" s="141"/>
      <c r="Z64" s="1676">
        <v>2</v>
      </c>
      <c r="AA64" s="145" t="s">
        <v>2413</v>
      </c>
      <c r="AB64" s="141"/>
      <c r="AC64" s="141"/>
      <c r="AD64" s="507"/>
      <c r="AE64" s="507"/>
      <c r="AF64" s="507"/>
      <c r="AG64" s="141"/>
      <c r="AH64" s="1673"/>
      <c r="AI64" s="1698" t="s">
        <v>2414</v>
      </c>
      <c r="AJ64" s="141"/>
      <c r="AK64" s="1689">
        <v>5</v>
      </c>
      <c r="AL64" s="1695" t="s">
        <v>2415</v>
      </c>
      <c r="AM64" s="1675"/>
      <c r="AN64" s="1675"/>
      <c r="AO64" s="7732"/>
      <c r="AP64" s="7728"/>
      <c r="AQ64" s="7728"/>
      <c r="AR64" s="141"/>
      <c r="AS64" s="1712">
        <v>1</v>
      </c>
    </row>
    <row r="65" spans="1:45" ht="30" customHeight="1">
      <c r="A65"/>
      <c r="B65" s="1676">
        <f t="shared" si="14"/>
        <v>23</v>
      </c>
      <c r="C65" s="1683" t="s">
        <v>2416</v>
      </c>
      <c r="D65" s="141"/>
      <c r="E65" s="1676">
        <f t="shared" si="17"/>
        <v>15</v>
      </c>
      <c r="F65" s="1683" t="s">
        <v>2417</v>
      </c>
      <c r="G65" s="141"/>
      <c r="H65" s="1676">
        <f t="shared" si="18"/>
        <v>7</v>
      </c>
      <c r="I65" s="1683" t="s">
        <v>2418</v>
      </c>
      <c r="J65" s="141"/>
      <c r="K65" s="1676">
        <f t="shared" si="15"/>
        <v>22</v>
      </c>
      <c r="L65" s="1683" t="s">
        <v>2419</v>
      </c>
      <c r="M65" s="141"/>
      <c r="N65" s="1676">
        <f t="shared" si="19"/>
        <v>5</v>
      </c>
      <c r="O65" s="1683" t="s">
        <v>2420</v>
      </c>
      <c r="P65" s="141"/>
      <c r="Q65" s="1676"/>
      <c r="S65" s="141"/>
      <c r="T65" s="1676">
        <f t="shared" si="16"/>
        <v>16</v>
      </c>
      <c r="U65" s="1684" t="s">
        <v>2421</v>
      </c>
      <c r="W65" s="1676">
        <v>1</v>
      </c>
      <c r="X65" s="1684" t="s">
        <v>2422</v>
      </c>
      <c r="Y65" s="141"/>
      <c r="Z65" s="1676">
        <f>Z64+1</f>
        <v>3</v>
      </c>
      <c r="AA65" s="145" t="s">
        <v>2423</v>
      </c>
      <c r="AB65" s="141"/>
      <c r="AC65" s="141"/>
      <c r="AD65" s="507"/>
      <c r="AE65" s="507"/>
      <c r="AF65" s="507"/>
      <c r="AG65" s="141"/>
      <c r="AH65" s="1673"/>
      <c r="AI65" s="1694" t="s">
        <v>2424</v>
      </c>
      <c r="AJ65" s="141"/>
      <c r="AK65" s="1689">
        <v>6</v>
      </c>
      <c r="AL65" s="1695" t="s">
        <v>2425</v>
      </c>
      <c r="AM65" s="1675"/>
      <c r="AN65" s="1675"/>
      <c r="AO65" s="1689">
        <v>2</v>
      </c>
      <c r="AP65" s="1695" t="s">
        <v>2426</v>
      </c>
      <c r="AQ65" s="1695"/>
      <c r="AR65" s="141"/>
      <c r="AS65" s="1712">
        <v>1</v>
      </c>
    </row>
    <row r="66" spans="1:45" ht="30" customHeight="1">
      <c r="A66"/>
      <c r="B66" s="1676">
        <f t="shared" si="14"/>
        <v>24</v>
      </c>
      <c r="C66" s="1683" t="s">
        <v>2427</v>
      </c>
      <c r="D66" s="141"/>
      <c r="E66" s="1676">
        <f t="shared" si="17"/>
        <v>16</v>
      </c>
      <c r="F66" s="1683" t="s">
        <v>2428</v>
      </c>
      <c r="G66" s="141"/>
      <c r="H66" s="1676">
        <f t="shared" si="18"/>
        <v>8</v>
      </c>
      <c r="I66" s="1683" t="s">
        <v>2429</v>
      </c>
      <c r="J66" s="141"/>
      <c r="K66" s="1676">
        <f t="shared" si="15"/>
        <v>23</v>
      </c>
      <c r="L66" s="1683" t="s">
        <v>2430</v>
      </c>
      <c r="M66" s="141"/>
      <c r="N66" s="1676">
        <f t="shared" si="19"/>
        <v>6</v>
      </c>
      <c r="O66" s="1683" t="s">
        <v>2431</v>
      </c>
      <c r="P66" s="141"/>
      <c r="Q66" s="1676"/>
      <c r="S66" s="141"/>
      <c r="T66" s="1676">
        <f t="shared" si="16"/>
        <v>17</v>
      </c>
      <c r="U66" s="1684" t="s">
        <v>2432</v>
      </c>
      <c r="W66" s="1676">
        <f>W65+1</f>
        <v>2</v>
      </c>
      <c r="X66" s="1684" t="s">
        <v>2433</v>
      </c>
      <c r="Y66" s="141"/>
      <c r="Z66" s="1676">
        <v>3</v>
      </c>
      <c r="AA66" s="145" t="s">
        <v>2434</v>
      </c>
      <c r="AB66" s="141"/>
      <c r="AC66" s="141"/>
      <c r="AD66" s="507"/>
      <c r="AE66" s="507"/>
      <c r="AF66" s="507"/>
      <c r="AG66" s="141"/>
      <c r="AH66" s="1673"/>
      <c r="AI66" s="1694" t="s">
        <v>2435</v>
      </c>
      <c r="AJ66" s="141"/>
      <c r="AK66" s="1689">
        <v>7</v>
      </c>
      <c r="AL66" s="1695" t="s">
        <v>2436</v>
      </c>
      <c r="AM66" s="1675"/>
      <c r="AN66" s="1675"/>
      <c r="AO66" s="1689">
        <v>3</v>
      </c>
      <c r="AP66" s="1695" t="s">
        <v>2437</v>
      </c>
      <c r="AQ66" s="1695"/>
      <c r="AR66" s="141"/>
      <c r="AS66" s="1712">
        <v>1</v>
      </c>
    </row>
    <row r="67" spans="1:45" ht="30" customHeight="1">
      <c r="A67"/>
      <c r="B67" s="1676">
        <f t="shared" si="14"/>
        <v>25</v>
      </c>
      <c r="C67" s="1683" t="s">
        <v>2438</v>
      </c>
      <c r="D67" s="141"/>
      <c r="E67" s="1676">
        <f t="shared" si="17"/>
        <v>17</v>
      </c>
      <c r="F67" s="1683" t="s">
        <v>2439</v>
      </c>
      <c r="G67" s="141"/>
      <c r="H67" s="1676">
        <f t="shared" si="18"/>
        <v>9</v>
      </c>
      <c r="I67" s="1683" t="s">
        <v>2440</v>
      </c>
      <c r="J67" s="141"/>
      <c r="K67" s="1676">
        <f t="shared" si="15"/>
        <v>24</v>
      </c>
      <c r="L67" s="145" t="s">
        <v>2441</v>
      </c>
      <c r="M67" s="141"/>
      <c r="N67" s="1676">
        <f t="shared" si="19"/>
        <v>7</v>
      </c>
      <c r="O67" s="1683" t="s">
        <v>2442</v>
      </c>
      <c r="P67" s="141"/>
      <c r="Q67" s="1676"/>
      <c r="S67" s="141"/>
      <c r="T67" s="1690"/>
      <c r="Y67" s="141"/>
      <c r="Z67" s="1676">
        <f>Z66+1</f>
        <v>4</v>
      </c>
      <c r="AA67" s="145" t="s">
        <v>2443</v>
      </c>
      <c r="AB67" s="141"/>
      <c r="AC67" s="141"/>
      <c r="AD67" s="507"/>
      <c r="AE67" s="507"/>
      <c r="AF67" s="507"/>
      <c r="AG67" s="141"/>
      <c r="AH67" s="1673"/>
      <c r="AI67" s="1691" t="s">
        <v>2258</v>
      </c>
      <c r="AJ67" s="141"/>
      <c r="AK67" s="1689">
        <v>8</v>
      </c>
      <c r="AL67" s="1695" t="s">
        <v>2444</v>
      </c>
      <c r="AM67" s="1675"/>
      <c r="AN67" s="1675"/>
      <c r="AO67" s="1689">
        <v>4</v>
      </c>
      <c r="AP67" s="1695" t="s">
        <v>2445</v>
      </c>
      <c r="AQ67" s="1695"/>
      <c r="AR67" s="141"/>
      <c r="AS67" s="1712">
        <v>1</v>
      </c>
    </row>
    <row r="68" spans="1:45" ht="30" customHeight="1">
      <c r="A68"/>
      <c r="B68" s="1676">
        <f t="shared" si="14"/>
        <v>26</v>
      </c>
      <c r="C68" s="1683" t="s">
        <v>2446</v>
      </c>
      <c r="D68" s="141"/>
      <c r="E68" s="1676">
        <f t="shared" si="17"/>
        <v>18</v>
      </c>
      <c r="F68" s="1683" t="s">
        <v>2447</v>
      </c>
      <c r="G68" s="141"/>
      <c r="H68" s="1676">
        <f t="shared" si="18"/>
        <v>10</v>
      </c>
      <c r="I68" s="1683" t="s">
        <v>2448</v>
      </c>
      <c r="J68" s="141"/>
      <c r="K68" s="1676">
        <f t="shared" si="15"/>
        <v>25</v>
      </c>
      <c r="L68" s="145" t="s">
        <v>2449</v>
      </c>
      <c r="M68" s="141"/>
      <c r="N68" s="1676">
        <f t="shared" si="19"/>
        <v>8</v>
      </c>
      <c r="O68" s="1683" t="s">
        <v>2450</v>
      </c>
      <c r="P68" s="141"/>
      <c r="Q68" s="1676"/>
      <c r="S68" s="141"/>
      <c r="T68" s="1676"/>
      <c r="U68" s="1679" t="s">
        <v>1754</v>
      </c>
      <c r="Y68" s="141"/>
      <c r="Z68" s="1676">
        <v>4</v>
      </c>
      <c r="AA68" s="145" t="s">
        <v>2451</v>
      </c>
      <c r="AB68" s="141"/>
      <c r="AC68" s="141"/>
      <c r="AD68" s="507"/>
      <c r="AE68" s="507"/>
      <c r="AF68" s="507"/>
      <c r="AG68" s="141"/>
      <c r="AH68" s="1673"/>
      <c r="AI68" s="1694" t="s">
        <v>2452</v>
      </c>
      <c r="AJ68" s="141"/>
      <c r="AK68" s="1689">
        <v>9</v>
      </c>
      <c r="AL68" s="1695" t="s">
        <v>2453</v>
      </c>
      <c r="AM68" s="1675"/>
      <c r="AN68" s="1675"/>
      <c r="AO68" s="1689">
        <v>5</v>
      </c>
      <c r="AP68" s="1695" t="s">
        <v>2454</v>
      </c>
      <c r="AQ68" s="1695"/>
      <c r="AR68" s="141"/>
      <c r="AS68" s="1712">
        <v>1</v>
      </c>
    </row>
    <row r="69" spans="1:45" ht="30" customHeight="1">
      <c r="A69"/>
      <c r="B69" s="1676">
        <f t="shared" si="14"/>
        <v>27</v>
      </c>
      <c r="C69" s="1683" t="s">
        <v>2455</v>
      </c>
      <c r="D69" s="141"/>
      <c r="E69" s="1676">
        <f t="shared" si="17"/>
        <v>19</v>
      </c>
      <c r="F69" s="1683" t="s">
        <v>2456</v>
      </c>
      <c r="G69" s="141"/>
      <c r="H69" s="1676"/>
      <c r="J69" s="141"/>
      <c r="K69" s="1676">
        <f t="shared" si="15"/>
        <v>26</v>
      </c>
      <c r="L69" s="1683" t="s">
        <v>2457</v>
      </c>
      <c r="M69" s="141"/>
      <c r="N69" s="1676">
        <f t="shared" si="19"/>
        <v>9</v>
      </c>
      <c r="O69" s="1683" t="s">
        <v>2458</v>
      </c>
      <c r="P69" s="141"/>
      <c r="Q69" s="1676"/>
      <c r="S69" s="141"/>
      <c r="T69" s="1676">
        <v>1</v>
      </c>
      <c r="U69" s="1684" t="s">
        <v>2459</v>
      </c>
      <c r="Y69" s="141"/>
      <c r="Z69" s="1676">
        <f>Z68+1</f>
        <v>5</v>
      </c>
      <c r="AA69" s="145" t="s">
        <v>2460</v>
      </c>
      <c r="AB69" s="141"/>
      <c r="AC69" s="141"/>
      <c r="AD69" s="507"/>
      <c r="AE69" s="507"/>
      <c r="AF69" s="507"/>
      <c r="AG69" s="141"/>
      <c r="AH69" s="1673"/>
      <c r="AI69" s="1694" t="s">
        <v>2461</v>
      </c>
      <c r="AJ69" s="141"/>
      <c r="AK69" s="1689">
        <v>10</v>
      </c>
      <c r="AL69" s="1695" t="s">
        <v>2462</v>
      </c>
      <c r="AM69" s="1675"/>
      <c r="AN69" s="1675"/>
      <c r="AO69" s="1689"/>
      <c r="AP69" s="1695"/>
      <c r="AQ69" s="1695"/>
      <c r="AR69" s="141"/>
      <c r="AS69" s="1712">
        <v>1</v>
      </c>
    </row>
    <row r="70" spans="1:45" ht="30" customHeight="1">
      <c r="A70"/>
      <c r="B70" s="1676">
        <f t="shared" si="14"/>
        <v>28</v>
      </c>
      <c r="C70" s="1683" t="s">
        <v>2463</v>
      </c>
      <c r="D70" s="141"/>
      <c r="E70" s="1676">
        <f t="shared" si="17"/>
        <v>20</v>
      </c>
      <c r="F70" s="1683" t="s">
        <v>2464</v>
      </c>
      <c r="G70" s="141"/>
      <c r="H70" s="1676"/>
      <c r="J70" s="141"/>
      <c r="K70" s="1676">
        <f t="shared" si="15"/>
        <v>27</v>
      </c>
      <c r="L70" s="1683" t="s">
        <v>2465</v>
      </c>
      <c r="M70" s="141"/>
      <c r="N70" s="1676">
        <f t="shared" si="19"/>
        <v>10</v>
      </c>
      <c r="O70" s="1683" t="s">
        <v>2466</v>
      </c>
      <c r="P70" s="141"/>
      <c r="Q70" s="1676"/>
      <c r="S70" s="141"/>
      <c r="T70" s="1693"/>
      <c r="Y70" s="141"/>
      <c r="Z70" s="1690"/>
      <c r="AA70" s="145"/>
      <c r="AB70" s="141"/>
      <c r="AC70" s="141"/>
      <c r="AD70" s="507"/>
      <c r="AE70" s="507"/>
      <c r="AF70" s="507"/>
      <c r="AG70" s="141"/>
      <c r="AH70" s="1673"/>
      <c r="AI70" s="1691" t="s">
        <v>88</v>
      </c>
      <c r="AJ70" s="141"/>
      <c r="AK70" s="1689">
        <v>11</v>
      </c>
      <c r="AL70" s="1695" t="s">
        <v>2467</v>
      </c>
      <c r="AM70" s="1675"/>
      <c r="AN70" s="1675"/>
      <c r="AO70" s="1692" t="s">
        <v>2468</v>
      </c>
      <c r="AP70" s="428" t="s">
        <v>2177</v>
      </c>
      <c r="AQ70" s="1695"/>
      <c r="AR70" s="141"/>
      <c r="AS70" s="1712">
        <v>1</v>
      </c>
    </row>
    <row r="71" spans="1:45" ht="30" customHeight="1">
      <c r="A71"/>
      <c r="B71" s="1676">
        <f t="shared" si="14"/>
        <v>29</v>
      </c>
      <c r="C71" s="1683" t="s">
        <v>2469</v>
      </c>
      <c r="D71" s="141"/>
      <c r="E71" s="1676">
        <f t="shared" si="17"/>
        <v>21</v>
      </c>
      <c r="F71" s="145" t="s">
        <v>2470</v>
      </c>
      <c r="G71" s="141"/>
      <c r="H71" s="1676"/>
      <c r="J71" s="141"/>
      <c r="K71" s="1676">
        <f t="shared" si="15"/>
        <v>28</v>
      </c>
      <c r="L71" s="1683" t="s">
        <v>2471</v>
      </c>
      <c r="M71" s="141"/>
      <c r="N71" s="1676">
        <f t="shared" si="19"/>
        <v>11</v>
      </c>
      <c r="O71" s="1683" t="s">
        <v>2472</v>
      </c>
      <c r="P71" s="141"/>
      <c r="Q71" s="1676"/>
      <c r="S71" s="141"/>
      <c r="T71" s="1676"/>
      <c r="U71" s="1679" t="s">
        <v>2076</v>
      </c>
      <c r="Y71" s="141"/>
      <c r="Z71" s="1676"/>
      <c r="AA71" s="1680" t="s">
        <v>1798</v>
      </c>
      <c r="AB71" s="141"/>
      <c r="AC71" s="141"/>
      <c r="AD71" s="507"/>
      <c r="AE71" s="507"/>
      <c r="AF71" s="507"/>
      <c r="AG71" s="141"/>
      <c r="AH71" s="1673"/>
      <c r="AI71" s="1694" t="s">
        <v>2473</v>
      </c>
      <c r="AJ71" s="141"/>
      <c r="AK71" s="1689">
        <v>12</v>
      </c>
      <c r="AL71" s="1695" t="s">
        <v>2474</v>
      </c>
      <c r="AM71" s="1675"/>
      <c r="AN71" s="1675"/>
      <c r="AO71" s="1689">
        <v>1</v>
      </c>
      <c r="AP71" s="1695" t="s">
        <v>2475</v>
      </c>
      <c r="AQ71" s="1695"/>
      <c r="AR71" s="141"/>
      <c r="AS71" s="1712">
        <v>1</v>
      </c>
    </row>
    <row r="72" spans="1:45" ht="30" customHeight="1">
      <c r="A72"/>
      <c r="B72" s="1676">
        <f t="shared" si="14"/>
        <v>30</v>
      </c>
      <c r="C72" s="1683" t="s">
        <v>2476</v>
      </c>
      <c r="D72" s="141"/>
      <c r="E72" s="1676">
        <f t="shared" si="17"/>
        <v>22</v>
      </c>
      <c r="F72" s="1683" t="s">
        <v>2477</v>
      </c>
      <c r="G72" s="141"/>
      <c r="H72" s="1676"/>
      <c r="J72" s="141"/>
      <c r="K72" s="1676">
        <f t="shared" si="15"/>
        <v>29</v>
      </c>
      <c r="L72" s="1683" t="s">
        <v>2478</v>
      </c>
      <c r="M72" s="141"/>
      <c r="N72" s="1676">
        <f t="shared" si="19"/>
        <v>12</v>
      </c>
      <c r="O72" s="1683" t="s">
        <v>2479</v>
      </c>
      <c r="P72" s="141"/>
      <c r="Q72" s="1676"/>
      <c r="S72" s="141"/>
      <c r="T72" s="1676">
        <v>1</v>
      </c>
      <c r="U72" s="1684" t="s">
        <v>2480</v>
      </c>
      <c r="Y72" s="141"/>
      <c r="Z72" s="1676">
        <v>1</v>
      </c>
      <c r="AA72" s="145" t="s">
        <v>2481</v>
      </c>
      <c r="AB72" s="141"/>
      <c r="AC72" s="141"/>
      <c r="AD72" s="507"/>
      <c r="AE72" s="507"/>
      <c r="AF72" s="507"/>
      <c r="AG72" s="141"/>
      <c r="AH72" s="1673"/>
      <c r="AI72" s="1694" t="s">
        <v>2482</v>
      </c>
      <c r="AJ72" s="141"/>
      <c r="AK72" s="1689"/>
      <c r="AL72" s="1673"/>
      <c r="AM72" s="1675"/>
      <c r="AN72" s="1675"/>
      <c r="AO72" s="1689">
        <v>2</v>
      </c>
      <c r="AP72" s="1695" t="s">
        <v>2483</v>
      </c>
      <c r="AQ72" s="1695"/>
      <c r="AR72" s="141"/>
      <c r="AS72" s="1712">
        <v>1</v>
      </c>
    </row>
    <row r="73" spans="1:45" ht="30" customHeight="1">
      <c r="A73"/>
      <c r="B73" s="1676">
        <f t="shared" si="14"/>
        <v>31</v>
      </c>
      <c r="C73" s="1683" t="s">
        <v>2484</v>
      </c>
      <c r="D73" s="141"/>
      <c r="E73" s="1676">
        <f t="shared" si="17"/>
        <v>23</v>
      </c>
      <c r="F73" s="1683" t="s">
        <v>2485</v>
      </c>
      <c r="G73" s="141"/>
      <c r="H73" s="1676"/>
      <c r="J73" s="141"/>
      <c r="K73" s="1676">
        <f t="shared" si="15"/>
        <v>30</v>
      </c>
      <c r="L73" s="145" t="s">
        <v>2486</v>
      </c>
      <c r="M73" s="141"/>
      <c r="N73" s="1676">
        <f t="shared" si="19"/>
        <v>13</v>
      </c>
      <c r="O73" s="145" t="s">
        <v>2487</v>
      </c>
      <c r="P73" s="141"/>
      <c r="Q73" s="1676"/>
      <c r="S73" s="141"/>
      <c r="T73" s="1676">
        <f>T72+1</f>
        <v>2</v>
      </c>
      <c r="U73" s="1684" t="s">
        <v>2488</v>
      </c>
      <c r="Y73" s="141"/>
      <c r="Z73" s="1676">
        <f>Z72+1</f>
        <v>2</v>
      </c>
      <c r="AA73" s="145" t="s">
        <v>2489</v>
      </c>
      <c r="AB73" s="141"/>
      <c r="AC73" s="141"/>
      <c r="AD73" s="507"/>
      <c r="AE73" s="507"/>
      <c r="AF73" s="507"/>
      <c r="AG73" s="141"/>
      <c r="AH73" s="1673"/>
      <c r="AI73" s="1691" t="s">
        <v>1275</v>
      </c>
      <c r="AJ73" s="141"/>
      <c r="AK73" s="1689"/>
      <c r="AL73" s="1673"/>
      <c r="AM73" s="1675"/>
      <c r="AN73" s="1675"/>
      <c r="AO73" s="1689">
        <v>3</v>
      </c>
      <c r="AP73" s="1695" t="s">
        <v>2490</v>
      </c>
      <c r="AQ73" s="1695"/>
      <c r="AR73" s="141"/>
      <c r="AS73" s="1712">
        <v>1</v>
      </c>
    </row>
    <row r="74" spans="1:45" ht="30" customHeight="1">
      <c r="A74"/>
      <c r="B74" s="1676">
        <f t="shared" si="14"/>
        <v>32</v>
      </c>
      <c r="C74" s="1683" t="s">
        <v>2491</v>
      </c>
      <c r="D74" s="141"/>
      <c r="E74" s="1676">
        <f t="shared" si="17"/>
        <v>24</v>
      </c>
      <c r="F74" s="1683" t="s">
        <v>2492</v>
      </c>
      <c r="G74" s="141"/>
      <c r="H74" s="1676"/>
      <c r="J74" s="141"/>
      <c r="K74" s="1676">
        <f t="shared" si="15"/>
        <v>31</v>
      </c>
      <c r="L74" s="145" t="s">
        <v>2493</v>
      </c>
      <c r="M74" s="141"/>
      <c r="N74" s="1676">
        <f t="shared" si="19"/>
        <v>14</v>
      </c>
      <c r="O74" s="1683" t="s">
        <v>2494</v>
      </c>
      <c r="P74" s="141"/>
      <c r="Q74" s="1676"/>
      <c r="S74" s="141"/>
      <c r="T74" s="1690"/>
      <c r="Y74" s="141"/>
      <c r="Z74" s="1676">
        <f>Z73+1</f>
        <v>3</v>
      </c>
      <c r="AA74" s="145" t="s">
        <v>2495</v>
      </c>
      <c r="AB74" s="141"/>
      <c r="AC74" s="141"/>
      <c r="AD74" s="507"/>
      <c r="AE74" s="507"/>
      <c r="AF74" s="507"/>
      <c r="AG74" s="141"/>
      <c r="AH74" s="1673"/>
      <c r="AI74" s="1694" t="s">
        <v>2496</v>
      </c>
      <c r="AJ74" s="141"/>
      <c r="AK74" s="1689">
        <v>1</v>
      </c>
      <c r="AL74" s="1695" t="s">
        <v>2497</v>
      </c>
      <c r="AM74" s="1675"/>
      <c r="AN74" s="1675"/>
      <c r="AO74" s="7732">
        <v>4</v>
      </c>
      <c r="AP74" s="7729" t="s">
        <v>2498</v>
      </c>
      <c r="AQ74" s="7729"/>
      <c r="AR74" s="141"/>
      <c r="AS74" s="1712">
        <v>1</v>
      </c>
    </row>
    <row r="75" spans="1:45" ht="30" customHeight="1">
      <c r="A75"/>
      <c r="B75" s="1676">
        <f t="shared" si="14"/>
        <v>33</v>
      </c>
      <c r="C75" s="1683" t="s">
        <v>2499</v>
      </c>
      <c r="D75" s="141"/>
      <c r="E75" s="1676">
        <f t="shared" si="17"/>
        <v>25</v>
      </c>
      <c r="F75" s="1683" t="s">
        <v>2500</v>
      </c>
      <c r="G75" s="141"/>
      <c r="H75" s="1676"/>
      <c r="J75" s="141"/>
      <c r="K75" s="1676">
        <f t="shared" si="15"/>
        <v>32</v>
      </c>
      <c r="L75" s="1683" t="s">
        <v>2501</v>
      </c>
      <c r="M75" s="141"/>
      <c r="N75" s="1676">
        <f t="shared" si="19"/>
        <v>15</v>
      </c>
      <c r="O75" s="145" t="s">
        <v>2502</v>
      </c>
      <c r="P75" s="141"/>
      <c r="Q75" s="1676"/>
      <c r="S75" s="141"/>
      <c r="T75" s="1676"/>
      <c r="U75" s="1679" t="s">
        <v>2258</v>
      </c>
      <c r="Y75" s="141"/>
      <c r="Z75" s="1676">
        <f>Z74+1</f>
        <v>4</v>
      </c>
      <c r="AA75" s="145" t="s">
        <v>2503</v>
      </c>
      <c r="AB75" s="141"/>
      <c r="AC75" s="141"/>
      <c r="AD75" s="507"/>
      <c r="AE75" s="507"/>
      <c r="AF75" s="507"/>
      <c r="AG75" s="141"/>
      <c r="AH75" s="1673"/>
      <c r="AI75" s="1694" t="s">
        <v>2504</v>
      </c>
      <c r="AJ75" s="141"/>
      <c r="AK75" s="1689">
        <v>2</v>
      </c>
      <c r="AL75" s="1695" t="s">
        <v>2505</v>
      </c>
      <c r="AM75" s="1675"/>
      <c r="AN75" s="1675"/>
      <c r="AO75" s="7732"/>
      <c r="AP75" s="7729"/>
      <c r="AQ75" s="7729"/>
      <c r="AR75" s="141"/>
      <c r="AS75" s="1712">
        <v>1</v>
      </c>
    </row>
    <row r="76" spans="1:45" ht="30" customHeight="1">
      <c r="A76"/>
      <c r="B76" s="1676">
        <f t="shared" si="14"/>
        <v>34</v>
      </c>
      <c r="C76" s="1683" t="s">
        <v>2506</v>
      </c>
      <c r="D76" s="141"/>
      <c r="E76" s="1676">
        <f t="shared" si="17"/>
        <v>26</v>
      </c>
      <c r="F76" s="145" t="s">
        <v>2507</v>
      </c>
      <c r="G76" s="141"/>
      <c r="H76" s="1676"/>
      <c r="J76" s="141"/>
      <c r="K76" s="1676">
        <f t="shared" si="15"/>
        <v>33</v>
      </c>
      <c r="L76" s="1683" t="s">
        <v>2508</v>
      </c>
      <c r="M76" s="141"/>
      <c r="N76" s="1676">
        <f t="shared" si="19"/>
        <v>16</v>
      </c>
      <c r="O76" s="145" t="s">
        <v>2509</v>
      </c>
      <c r="P76" s="141"/>
      <c r="Q76" s="1676"/>
      <c r="S76" s="141"/>
      <c r="T76" s="1676">
        <v>1</v>
      </c>
      <c r="U76" s="1684" t="s">
        <v>2510</v>
      </c>
      <c r="Y76" s="141"/>
      <c r="Z76" s="1676">
        <f>Z75+1</f>
        <v>5</v>
      </c>
      <c r="AA76" s="145" t="s">
        <v>2511</v>
      </c>
      <c r="AB76" s="141"/>
      <c r="AC76" s="141"/>
      <c r="AD76" s="507"/>
      <c r="AE76" s="507"/>
      <c r="AF76" s="507"/>
      <c r="AG76" s="141"/>
      <c r="AH76" s="1673"/>
      <c r="AI76" s="1694" t="s">
        <v>2512</v>
      </c>
      <c r="AJ76" s="141"/>
      <c r="AK76" s="1689">
        <v>3</v>
      </c>
      <c r="AL76" s="1695" t="s">
        <v>2513</v>
      </c>
      <c r="AM76" s="1675"/>
      <c r="AN76" s="1675"/>
      <c r="AO76" s="1689"/>
      <c r="AP76" s="1695"/>
      <c r="AQ76" s="1695"/>
      <c r="AR76" s="141"/>
      <c r="AS76" s="1712">
        <v>1</v>
      </c>
    </row>
    <row r="77" spans="1:45" ht="30" customHeight="1">
      <c r="A77"/>
      <c r="B77" s="1676">
        <f t="shared" si="14"/>
        <v>35</v>
      </c>
      <c r="C77" s="1683" t="s">
        <v>2514</v>
      </c>
      <c r="D77" s="141"/>
      <c r="E77" s="1676">
        <f t="shared" si="17"/>
        <v>27</v>
      </c>
      <c r="F77" s="145" t="s">
        <v>2515</v>
      </c>
      <c r="G77" s="141"/>
      <c r="H77" s="1676"/>
      <c r="J77" s="141"/>
      <c r="K77" s="1676">
        <f t="shared" si="15"/>
        <v>34</v>
      </c>
      <c r="L77" s="1683" t="s">
        <v>2516</v>
      </c>
      <c r="M77" s="141"/>
      <c r="N77" s="1676">
        <f t="shared" si="19"/>
        <v>17</v>
      </c>
      <c r="O77" s="145" t="s">
        <v>2517</v>
      </c>
      <c r="P77" s="141"/>
      <c r="Q77" s="1676"/>
      <c r="S77" s="141"/>
      <c r="T77" s="1676">
        <f>T76+1</f>
        <v>2</v>
      </c>
      <c r="U77" s="1684" t="s">
        <v>2518</v>
      </c>
      <c r="Y77" s="141"/>
      <c r="Z77" s="1690"/>
      <c r="AA77" s="145"/>
      <c r="AB77" s="141"/>
      <c r="AC77" s="141"/>
      <c r="AD77" s="507"/>
      <c r="AE77" s="507"/>
      <c r="AF77" s="507"/>
      <c r="AG77" s="141"/>
      <c r="AH77" s="1673"/>
      <c r="AI77" s="1694" t="s">
        <v>2519</v>
      </c>
      <c r="AJ77" s="141"/>
      <c r="AK77" s="1689">
        <v>4</v>
      </c>
      <c r="AL77" s="1695" t="s">
        <v>2520</v>
      </c>
      <c r="AM77" s="1675"/>
      <c r="AN77" s="1675"/>
      <c r="AO77" s="1692" t="s">
        <v>2521</v>
      </c>
      <c r="AP77" s="428" t="s">
        <v>2522</v>
      </c>
      <c r="AQ77" s="1695"/>
      <c r="AR77" s="141"/>
      <c r="AS77" s="1712">
        <v>1</v>
      </c>
    </row>
    <row r="78" spans="1:45" ht="30" customHeight="1">
      <c r="A78"/>
      <c r="B78" s="1676">
        <f t="shared" si="14"/>
        <v>36</v>
      </c>
      <c r="C78" s="1683" t="s">
        <v>2523</v>
      </c>
      <c r="D78" s="141"/>
      <c r="E78" s="1676">
        <f t="shared" si="17"/>
        <v>28</v>
      </c>
      <c r="F78" s="145" t="s">
        <v>2524</v>
      </c>
      <c r="G78" s="141"/>
      <c r="H78" s="1676"/>
      <c r="J78" s="141"/>
      <c r="K78" s="1676">
        <f t="shared" si="15"/>
        <v>35</v>
      </c>
      <c r="L78" s="1683" t="s">
        <v>2525</v>
      </c>
      <c r="M78" s="141"/>
      <c r="N78" s="1676">
        <f t="shared" si="19"/>
        <v>18</v>
      </c>
      <c r="O78" s="145" t="s">
        <v>2526</v>
      </c>
      <c r="P78" s="141"/>
      <c r="Q78" s="1676"/>
      <c r="S78" s="141"/>
      <c r="T78" s="1676">
        <f t="shared" ref="T78:T83" si="20">T77+1</f>
        <v>3</v>
      </c>
      <c r="U78" s="1684" t="s">
        <v>2527</v>
      </c>
      <c r="Y78" s="141"/>
      <c r="Z78" s="1676"/>
      <c r="AA78" s="1680" t="s">
        <v>2270</v>
      </c>
      <c r="AB78" s="141"/>
      <c r="AC78" s="141"/>
      <c r="AD78" s="507"/>
      <c r="AE78" s="507"/>
      <c r="AF78" s="507"/>
      <c r="AG78" s="141"/>
      <c r="AH78" s="1673"/>
      <c r="AI78" s="1698" t="s">
        <v>2528</v>
      </c>
      <c r="AJ78" s="141"/>
      <c r="AK78" s="1689">
        <v>5</v>
      </c>
      <c r="AL78" s="1695" t="s">
        <v>2529</v>
      </c>
      <c r="AM78" s="1675"/>
      <c r="AN78" s="1675"/>
      <c r="AO78" s="1689">
        <v>1</v>
      </c>
      <c r="AP78" s="1695" t="s">
        <v>2530</v>
      </c>
      <c r="AQ78" s="1695"/>
      <c r="AR78" s="141"/>
      <c r="AS78" s="1712">
        <v>1</v>
      </c>
    </row>
    <row r="79" spans="1:45" ht="30" customHeight="1">
      <c r="A79"/>
      <c r="B79" s="1676">
        <f t="shared" si="14"/>
        <v>37</v>
      </c>
      <c r="C79" s="1683" t="s">
        <v>2531</v>
      </c>
      <c r="D79" s="141"/>
      <c r="E79" s="1676">
        <f t="shared" si="17"/>
        <v>29</v>
      </c>
      <c r="F79" s="1683" t="s">
        <v>2532</v>
      </c>
      <c r="G79" s="141"/>
      <c r="H79" s="1676"/>
      <c r="J79" s="141"/>
      <c r="K79" s="1676"/>
      <c r="M79" s="141"/>
      <c r="N79" s="1676">
        <f t="shared" si="19"/>
        <v>19</v>
      </c>
      <c r="O79" s="1683" t="s">
        <v>2533</v>
      </c>
      <c r="P79" s="141"/>
      <c r="Q79" s="1676"/>
      <c r="S79" s="141"/>
      <c r="T79" s="1676">
        <f t="shared" si="20"/>
        <v>4</v>
      </c>
      <c r="U79" s="1684" t="s">
        <v>2534</v>
      </c>
      <c r="Y79" s="141"/>
      <c r="Z79" s="1676">
        <v>1</v>
      </c>
      <c r="AA79" s="145" t="s">
        <v>2535</v>
      </c>
      <c r="AB79" s="141"/>
      <c r="AC79" s="141"/>
      <c r="AD79" s="507"/>
      <c r="AE79" s="507"/>
      <c r="AF79" s="507"/>
      <c r="AG79" s="141"/>
      <c r="AH79" s="1673"/>
      <c r="AI79" s="1698" t="s">
        <v>2536</v>
      </c>
      <c r="AJ79" s="141"/>
      <c r="AK79" s="1689">
        <v>6</v>
      </c>
      <c r="AL79" s="1695" t="s">
        <v>2537</v>
      </c>
      <c r="AM79" s="1675"/>
      <c r="AN79" s="1675"/>
      <c r="AO79" s="1689">
        <v>2</v>
      </c>
      <c r="AP79" s="7728" t="s">
        <v>2538</v>
      </c>
      <c r="AQ79" s="7728"/>
      <c r="AR79" s="141"/>
      <c r="AS79" s="1712">
        <v>1</v>
      </c>
    </row>
    <row r="80" spans="1:45" ht="30" customHeight="1">
      <c r="A80"/>
      <c r="B80" s="1676">
        <f t="shared" si="14"/>
        <v>38</v>
      </c>
      <c r="C80" s="1683" t="s">
        <v>2539</v>
      </c>
      <c r="D80" s="141"/>
      <c r="E80" s="1676">
        <f t="shared" si="17"/>
        <v>30</v>
      </c>
      <c r="F80" s="1683" t="s">
        <v>2540</v>
      </c>
      <c r="G80" s="141"/>
      <c r="H80" s="1676"/>
      <c r="J80" s="141"/>
      <c r="K80" s="1676"/>
      <c r="L80" s="1683"/>
      <c r="M80" s="141"/>
      <c r="N80" s="1676">
        <f t="shared" si="19"/>
        <v>20</v>
      </c>
      <c r="O80" s="145" t="s">
        <v>2541</v>
      </c>
      <c r="P80" s="141"/>
      <c r="Q80" s="1676"/>
      <c r="S80" s="141"/>
      <c r="T80" s="1676">
        <f t="shared" si="20"/>
        <v>5</v>
      </c>
      <c r="U80" s="1684" t="s">
        <v>2542</v>
      </c>
      <c r="Y80" s="141"/>
      <c r="Z80" s="1676">
        <f>Z79+1</f>
        <v>2</v>
      </c>
      <c r="AA80" s="145" t="s">
        <v>2543</v>
      </c>
      <c r="AB80" s="141"/>
      <c r="AC80" s="141"/>
      <c r="AD80" s="507"/>
      <c r="AE80" s="507"/>
      <c r="AF80" s="507"/>
      <c r="AG80" s="141"/>
      <c r="AH80" s="1673"/>
      <c r="AI80" s="1694" t="s">
        <v>2544</v>
      </c>
      <c r="AJ80" s="141"/>
      <c r="AK80" s="1689">
        <v>7</v>
      </c>
      <c r="AL80" s="1695" t="s">
        <v>2545</v>
      </c>
      <c r="AM80" s="1675"/>
      <c r="AN80" s="1675"/>
      <c r="AO80" s="1689">
        <v>3</v>
      </c>
      <c r="AP80" s="7728"/>
      <c r="AQ80" s="7728"/>
      <c r="AR80" s="141"/>
      <c r="AS80" s="1712">
        <v>1</v>
      </c>
    </row>
    <row r="81" spans="1:45" ht="30" customHeight="1">
      <c r="A81"/>
      <c r="B81" s="1676">
        <f t="shared" si="14"/>
        <v>39</v>
      </c>
      <c r="C81" s="1683" t="s">
        <v>2546</v>
      </c>
      <c r="D81" s="141"/>
      <c r="E81" s="1676">
        <f t="shared" si="17"/>
        <v>31</v>
      </c>
      <c r="F81" s="1683" t="s">
        <v>2547</v>
      </c>
      <c r="G81" s="141"/>
      <c r="H81" s="1676"/>
      <c r="J81" s="141"/>
      <c r="K81" s="1676"/>
      <c r="L81" s="1683"/>
      <c r="M81" s="141"/>
      <c r="N81" s="1676">
        <f t="shared" si="19"/>
        <v>21</v>
      </c>
      <c r="O81" s="145" t="s">
        <v>2548</v>
      </c>
      <c r="P81" s="141"/>
      <c r="Q81" s="1676"/>
      <c r="S81" s="141"/>
      <c r="T81" s="1676">
        <f t="shared" si="20"/>
        <v>6</v>
      </c>
      <c r="U81" s="1684" t="s">
        <v>2549</v>
      </c>
      <c r="Y81" s="141"/>
      <c r="Z81" s="1676">
        <f>Z80+1</f>
        <v>3</v>
      </c>
      <c r="AA81" s="145" t="s">
        <v>2550</v>
      </c>
      <c r="AB81" s="141"/>
      <c r="AC81" s="141"/>
      <c r="AD81" s="507"/>
      <c r="AE81" s="507"/>
      <c r="AF81" s="507"/>
      <c r="AG81" s="141"/>
      <c r="AH81" s="1673"/>
      <c r="AI81" s="1691" t="s">
        <v>1909</v>
      </c>
      <c r="AJ81" s="141"/>
      <c r="AK81" s="1689">
        <v>8</v>
      </c>
      <c r="AL81" s="1695" t="s">
        <v>2551</v>
      </c>
      <c r="AM81" s="1675"/>
      <c r="AN81" s="1675"/>
      <c r="AO81" s="1689"/>
      <c r="AP81" s="1695"/>
      <c r="AQ81" s="1695"/>
      <c r="AR81" s="141"/>
      <c r="AS81" s="1712">
        <v>1</v>
      </c>
    </row>
    <row r="82" spans="1:45" ht="30" customHeight="1">
      <c r="A82"/>
      <c r="B82" s="1676">
        <f t="shared" si="14"/>
        <v>40</v>
      </c>
      <c r="C82" s="145" t="s">
        <v>1228</v>
      </c>
      <c r="D82" s="141"/>
      <c r="E82" s="1676">
        <f t="shared" si="17"/>
        <v>32</v>
      </c>
      <c r="F82" s="1683" t="s">
        <v>2552</v>
      </c>
      <c r="G82" s="141"/>
      <c r="H82" s="1676"/>
      <c r="J82" s="141"/>
      <c r="K82" s="1676"/>
      <c r="L82" s="145"/>
      <c r="M82" s="141"/>
      <c r="N82" s="1676">
        <f t="shared" si="19"/>
        <v>22</v>
      </c>
      <c r="O82" s="1683" t="s">
        <v>2553</v>
      </c>
      <c r="P82" s="141"/>
      <c r="Q82" s="1676"/>
      <c r="S82" s="141"/>
      <c r="T82" s="1676">
        <f t="shared" si="20"/>
        <v>7</v>
      </c>
      <c r="U82" s="1684" t="s">
        <v>2554</v>
      </c>
      <c r="Y82" s="141"/>
      <c r="Z82" s="1676">
        <f>Z81+1</f>
        <v>4</v>
      </c>
      <c r="AA82" s="145" t="s">
        <v>2555</v>
      </c>
      <c r="AB82" s="141"/>
      <c r="AC82" s="141"/>
      <c r="AD82" s="507"/>
      <c r="AE82" s="507"/>
      <c r="AF82" s="507"/>
      <c r="AG82" s="141"/>
      <c r="AH82" s="1673"/>
      <c r="AI82" s="1694" t="s">
        <v>2556</v>
      </c>
      <c r="AJ82" s="141"/>
      <c r="AK82" s="1689">
        <v>9</v>
      </c>
      <c r="AL82" s="1695" t="s">
        <v>2557</v>
      </c>
      <c r="AM82" s="1675"/>
      <c r="AN82" s="1675"/>
      <c r="AO82" s="1713" t="s">
        <v>2558</v>
      </c>
      <c r="AP82" s="1714" t="s">
        <v>2559</v>
      </c>
      <c r="AQ82" s="1695"/>
      <c r="AR82" s="141"/>
      <c r="AS82" s="1712">
        <v>1</v>
      </c>
    </row>
    <row r="83" spans="1:45" ht="30" customHeight="1">
      <c r="A83"/>
      <c r="B83" s="1676">
        <f t="shared" si="14"/>
        <v>41</v>
      </c>
      <c r="C83" s="145" t="s">
        <v>2560</v>
      </c>
      <c r="D83" s="141"/>
      <c r="E83" s="1676">
        <f t="shared" si="17"/>
        <v>33</v>
      </c>
      <c r="F83" s="1683" t="s">
        <v>2561</v>
      </c>
      <c r="G83" s="141"/>
      <c r="H83" s="1676"/>
      <c r="J83" s="141"/>
      <c r="K83" s="1676"/>
      <c r="L83" s="1683"/>
      <c r="M83" s="141"/>
      <c r="N83" s="1676">
        <f t="shared" si="19"/>
        <v>23</v>
      </c>
      <c r="O83" s="1683" t="s">
        <v>2562</v>
      </c>
      <c r="P83" s="141"/>
      <c r="Q83" s="1676"/>
      <c r="S83" s="141"/>
      <c r="T83" s="1676">
        <f t="shared" si="20"/>
        <v>8</v>
      </c>
      <c r="U83" s="1684" t="s">
        <v>2563</v>
      </c>
      <c r="Y83" s="141"/>
      <c r="Z83" s="1690"/>
      <c r="AB83" s="141"/>
      <c r="AC83" s="141"/>
      <c r="AD83" s="507"/>
      <c r="AE83" s="507"/>
      <c r="AF83" s="507"/>
      <c r="AG83" s="141"/>
      <c r="AH83" s="1673"/>
      <c r="AI83" s="1691" t="s">
        <v>1276</v>
      </c>
      <c r="AJ83" s="141"/>
      <c r="AK83" s="1689">
        <v>10</v>
      </c>
      <c r="AL83" s="1695" t="s">
        <v>1965</v>
      </c>
      <c r="AM83" s="1675"/>
      <c r="AN83" s="1675"/>
      <c r="AO83" s="1713" t="s">
        <v>2564</v>
      </c>
      <c r="AP83" s="7728" t="s">
        <v>2565</v>
      </c>
      <c r="AQ83" s="7728"/>
      <c r="AR83" s="141"/>
      <c r="AS83" s="1712">
        <v>1</v>
      </c>
    </row>
    <row r="84" spans="1:45" ht="30" customHeight="1">
      <c r="A84"/>
      <c r="B84" s="1676">
        <f t="shared" si="14"/>
        <v>42</v>
      </c>
      <c r="C84" s="1683" t="s">
        <v>2566</v>
      </c>
      <c r="D84" s="141"/>
      <c r="E84" s="1676"/>
      <c r="G84" s="141"/>
      <c r="H84" s="1676"/>
      <c r="J84" s="141"/>
      <c r="K84" s="1676"/>
      <c r="L84" s="1683"/>
      <c r="M84" s="141"/>
      <c r="N84" s="1676"/>
      <c r="P84" s="141"/>
      <c r="Q84" s="1676"/>
      <c r="S84" s="141"/>
      <c r="T84" s="1676"/>
      <c r="Y84" s="141"/>
      <c r="Z84" s="1676"/>
      <c r="AA84" s="1680" t="s">
        <v>1756</v>
      </c>
      <c r="AB84" s="141"/>
      <c r="AC84" s="141"/>
      <c r="AD84" s="507"/>
      <c r="AE84" s="507"/>
      <c r="AF84" s="507"/>
      <c r="AG84" s="141"/>
      <c r="AH84" s="1673"/>
      <c r="AI84" s="1694" t="s">
        <v>2567</v>
      </c>
      <c r="AJ84" s="141"/>
      <c r="AK84" s="1689">
        <v>11</v>
      </c>
      <c r="AL84" s="1695" t="s">
        <v>2568</v>
      </c>
      <c r="AM84" s="1675"/>
      <c r="AN84" s="1675"/>
      <c r="AO84" s="1689"/>
      <c r="AP84" s="7728"/>
      <c r="AQ84" s="7728"/>
      <c r="AR84" s="141"/>
      <c r="AS84" s="1712">
        <v>1</v>
      </c>
    </row>
    <row r="85" spans="1:45" ht="30" customHeight="1">
      <c r="A85"/>
      <c r="B85" s="1676"/>
      <c r="D85" s="141"/>
      <c r="E85" s="1676"/>
      <c r="G85" s="141"/>
      <c r="H85" s="1676"/>
      <c r="J85" s="141"/>
      <c r="K85" s="1676"/>
      <c r="L85" s="1683"/>
      <c r="M85" s="141"/>
      <c r="N85" s="1676"/>
      <c r="P85" s="141"/>
      <c r="Q85" s="1676"/>
      <c r="S85" s="141"/>
      <c r="T85" s="1676"/>
      <c r="Y85" s="141"/>
      <c r="Z85" s="1676">
        <v>1</v>
      </c>
      <c r="AA85" s="145" t="s">
        <v>2569</v>
      </c>
      <c r="AB85" s="141"/>
      <c r="AC85" s="141"/>
      <c r="AD85" s="507"/>
      <c r="AE85" s="507"/>
      <c r="AF85" s="507"/>
      <c r="AG85" s="141"/>
      <c r="AH85" s="1673"/>
      <c r="AI85" s="1694" t="s">
        <v>2570</v>
      </c>
      <c r="AJ85" s="141"/>
      <c r="AK85" s="1689">
        <v>12</v>
      </c>
      <c r="AL85" s="1695" t="s">
        <v>2571</v>
      </c>
      <c r="AM85" s="1675"/>
      <c r="AN85" s="1675"/>
      <c r="AO85" s="1713" t="s">
        <v>2572</v>
      </c>
      <c r="AP85" s="7728" t="s">
        <v>2573</v>
      </c>
      <c r="AQ85" s="7728"/>
      <c r="AR85" s="141"/>
      <c r="AS85" s="1712">
        <v>1</v>
      </c>
    </row>
    <row r="86" spans="1:45" ht="30" customHeight="1">
      <c r="A86"/>
      <c r="B86" s="1676"/>
      <c r="D86" s="141"/>
      <c r="E86" s="1676"/>
      <c r="G86" s="141"/>
      <c r="H86" s="1676"/>
      <c r="J86" s="141"/>
      <c r="K86" s="1676"/>
      <c r="M86" s="141"/>
      <c r="N86" s="1676"/>
      <c r="P86" s="141"/>
      <c r="Q86" s="1676"/>
      <c r="S86" s="141"/>
      <c r="T86" s="1676"/>
      <c r="Y86" s="141"/>
      <c r="Z86" s="1676">
        <f>Z85+1</f>
        <v>2</v>
      </c>
      <c r="AA86" s="145" t="s">
        <v>2574</v>
      </c>
      <c r="AB86" s="141"/>
      <c r="AC86" s="141"/>
      <c r="AD86" s="507"/>
      <c r="AE86" s="507"/>
      <c r="AF86" s="507"/>
      <c r="AG86" s="141"/>
      <c r="AH86" s="1673"/>
      <c r="AI86" s="1694" t="s">
        <v>2575</v>
      </c>
      <c r="AJ86" s="141"/>
      <c r="AK86" s="1689">
        <v>13</v>
      </c>
      <c r="AL86" s="1695" t="s">
        <v>2576</v>
      </c>
      <c r="AM86" s="1675"/>
      <c r="AN86" s="1675"/>
      <c r="AO86" s="1689"/>
      <c r="AP86" s="7728"/>
      <c r="AQ86" s="7728"/>
      <c r="AR86" s="141"/>
      <c r="AS86" s="1712">
        <v>1</v>
      </c>
    </row>
    <row r="87" spans="1:45" ht="30" customHeight="1">
      <c r="A87"/>
      <c r="B87" s="1676"/>
      <c r="D87" s="141"/>
      <c r="E87" s="1676"/>
      <c r="G87" s="141"/>
      <c r="H87" s="1676"/>
      <c r="J87" s="141"/>
      <c r="K87" s="1676"/>
      <c r="M87" s="141"/>
      <c r="N87" s="1676"/>
      <c r="P87" s="141"/>
      <c r="Q87" s="1676"/>
      <c r="S87" s="141"/>
      <c r="T87" s="1676"/>
      <c r="Y87" s="141"/>
      <c r="Z87" s="1676">
        <f>Z86+1</f>
        <v>3</v>
      </c>
      <c r="AA87" s="145" t="s">
        <v>2577</v>
      </c>
      <c r="AB87" s="141"/>
      <c r="AC87" s="141"/>
      <c r="AD87" s="507"/>
      <c r="AE87" s="507"/>
      <c r="AF87" s="507"/>
      <c r="AG87" s="141"/>
      <c r="AH87" s="1673"/>
      <c r="AI87" s="1694" t="s">
        <v>2578</v>
      </c>
      <c r="AJ87" s="141"/>
      <c r="AK87" s="1689">
        <v>14</v>
      </c>
      <c r="AL87" s="1695" t="s">
        <v>2579</v>
      </c>
      <c r="AM87" s="1675"/>
      <c r="AN87" s="1675"/>
      <c r="AO87" s="1713" t="s">
        <v>2580</v>
      </c>
      <c r="AP87" s="1695" t="s">
        <v>2581</v>
      </c>
      <c r="AQ87" s="1695"/>
      <c r="AR87" s="141"/>
      <c r="AS87" s="1712">
        <v>1</v>
      </c>
    </row>
    <row r="88" spans="1:45" ht="30" customHeight="1">
      <c r="A88"/>
      <c r="B88" s="1676"/>
      <c r="D88" s="141"/>
      <c r="E88" s="1676"/>
      <c r="G88" s="141"/>
      <c r="H88" s="1676"/>
      <c r="J88" s="141"/>
      <c r="K88" s="1676"/>
      <c r="M88" s="141"/>
      <c r="N88" s="1676"/>
      <c r="P88" s="141"/>
      <c r="Q88" s="1676"/>
      <c r="S88" s="141"/>
      <c r="T88" s="1676"/>
      <c r="Y88" s="141"/>
      <c r="Z88" s="1676">
        <f>Z87+1</f>
        <v>4</v>
      </c>
      <c r="AA88" s="145" t="s">
        <v>2582</v>
      </c>
      <c r="AB88" s="141"/>
      <c r="AC88" s="141"/>
      <c r="AD88" s="507"/>
      <c r="AE88" s="507"/>
      <c r="AF88" s="507"/>
      <c r="AG88" s="141"/>
      <c r="AH88" s="1673"/>
      <c r="AI88" s="1694" t="s">
        <v>2583</v>
      </c>
      <c r="AJ88" s="141"/>
      <c r="AK88" s="1689">
        <v>15</v>
      </c>
      <c r="AL88" s="1695" t="s">
        <v>2584</v>
      </c>
      <c r="AM88" s="1675"/>
      <c r="AN88" s="1675"/>
      <c r="AO88" s="1713">
        <v>1</v>
      </c>
      <c r="AP88" s="1695" t="s">
        <v>2585</v>
      </c>
      <c r="AQ88" s="1695"/>
      <c r="AR88" s="141"/>
      <c r="AS88" s="1712">
        <v>1</v>
      </c>
    </row>
    <row r="89" spans="1:45" ht="30"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507"/>
      <c r="AE89" s="507"/>
      <c r="AF89" s="507"/>
      <c r="AG89" s="141"/>
      <c r="AH89" s="1673"/>
      <c r="AI89" s="1694" t="s">
        <v>2586</v>
      </c>
      <c r="AJ89" s="141"/>
      <c r="AK89" s="1689">
        <v>16</v>
      </c>
      <c r="AL89" s="1695" t="s">
        <v>2587</v>
      </c>
      <c r="AM89" s="1675"/>
      <c r="AN89" s="1675"/>
      <c r="AO89" s="1713">
        <v>2</v>
      </c>
      <c r="AP89" s="1695" t="s">
        <v>2588</v>
      </c>
      <c r="AQ89" s="1695"/>
      <c r="AR89" s="141"/>
      <c r="AS89" s="1712">
        <v>1</v>
      </c>
    </row>
    <row r="90" spans="1:45" ht="30"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673"/>
      <c r="AI90" s="1694" t="s">
        <v>2589</v>
      </c>
      <c r="AJ90" s="141"/>
      <c r="AK90" s="1689"/>
      <c r="AL90" s="1673"/>
      <c r="AM90" s="1675"/>
      <c r="AN90" s="1675"/>
      <c r="AO90" s="1713">
        <v>3</v>
      </c>
      <c r="AP90" s="1695" t="s">
        <v>2590</v>
      </c>
      <c r="AQ90" s="1695"/>
      <c r="AR90" s="141"/>
      <c r="AS90" s="1712">
        <v>1</v>
      </c>
    </row>
    <row r="91" spans="1:45" ht="30" customHeight="1">
      <c r="A91" s="1715"/>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673"/>
      <c r="AI91" s="1694" t="s">
        <v>2591</v>
      </c>
      <c r="AK91" s="1689"/>
      <c r="AL91" s="1673"/>
      <c r="AM91" s="1675"/>
      <c r="AN91" s="1675"/>
      <c r="AO91" s="1713">
        <v>4</v>
      </c>
      <c r="AP91" s="1695" t="s">
        <v>2592</v>
      </c>
      <c r="AQ91" s="1695"/>
      <c r="AR91" s="141"/>
      <c r="AS91" s="1712">
        <v>1</v>
      </c>
    </row>
    <row r="92" spans="1:45" ht="30" customHeight="1">
      <c r="A92" s="1715"/>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673"/>
      <c r="AI92" s="1694" t="s">
        <v>2593</v>
      </c>
      <c r="AK92" s="1689">
        <v>1</v>
      </c>
      <c r="AL92" s="1695" t="s">
        <v>2594</v>
      </c>
      <c r="AM92" s="1675"/>
      <c r="AN92" s="1675"/>
      <c r="AO92" s="1689"/>
      <c r="AP92" s="1695"/>
      <c r="AQ92" s="1695"/>
      <c r="AR92" s="141"/>
      <c r="AS92" s="1712">
        <v>1</v>
      </c>
    </row>
    <row r="93" spans="1:45" ht="30" customHeight="1">
      <c r="A93" s="1715"/>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673"/>
      <c r="AI93" s="1691" t="s">
        <v>1798</v>
      </c>
      <c r="AK93" s="1689">
        <v>2</v>
      </c>
      <c r="AL93" s="1695" t="s">
        <v>2595</v>
      </c>
      <c r="AM93" s="1675"/>
      <c r="AN93" s="1675"/>
      <c r="AO93" s="1689"/>
      <c r="AP93" s="1695"/>
      <c r="AQ93" s="1695"/>
      <c r="AR93" s="141"/>
      <c r="AS93" s="1712">
        <v>1</v>
      </c>
    </row>
    <row r="94" spans="1:45" ht="30" customHeight="1">
      <c r="A94" s="1715"/>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673"/>
      <c r="AI94" s="1694" t="s">
        <v>2596</v>
      </c>
      <c r="AK94" s="1689">
        <v>3</v>
      </c>
      <c r="AL94" s="1695" t="s">
        <v>2597</v>
      </c>
      <c r="AM94" s="1675"/>
      <c r="AN94" s="1675"/>
      <c r="AO94" s="1689"/>
      <c r="AP94" s="7729" t="s">
        <v>2598</v>
      </c>
      <c r="AQ94" s="7729"/>
      <c r="AR94" s="141"/>
      <c r="AS94" s="1712">
        <v>1</v>
      </c>
    </row>
    <row r="95" spans="1:45" ht="30" customHeight="1">
      <c r="A95" s="1715"/>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673"/>
      <c r="AI95" s="1694" t="s">
        <v>2599</v>
      </c>
      <c r="AK95" s="1689">
        <v>4</v>
      </c>
      <c r="AL95" s="1695" t="s">
        <v>2600</v>
      </c>
      <c r="AM95" s="1675"/>
      <c r="AN95" s="1675"/>
      <c r="AO95" s="1689"/>
      <c r="AP95" s="7729"/>
      <c r="AQ95" s="7729"/>
      <c r="AR95" s="141"/>
      <c r="AS95" s="1712">
        <v>1</v>
      </c>
    </row>
    <row r="96" spans="1:45" ht="30" customHeight="1">
      <c r="A96" s="1715"/>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673"/>
      <c r="AI96" s="1694" t="s">
        <v>2601</v>
      </c>
      <c r="AK96" s="1689">
        <v>5</v>
      </c>
      <c r="AL96" s="1695" t="s">
        <v>2602</v>
      </c>
      <c r="AM96" s="1675"/>
      <c r="AN96" s="1675"/>
      <c r="AO96" s="1689"/>
      <c r="AP96" s="7729" t="s">
        <v>2603</v>
      </c>
      <c r="AQ96" s="7729"/>
      <c r="AR96" s="141"/>
      <c r="AS96" s="1712">
        <v>1</v>
      </c>
    </row>
    <row r="97" spans="1:45" ht="30" customHeight="1">
      <c r="A97" s="1715"/>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673"/>
      <c r="AI97" s="1694" t="s">
        <v>2604</v>
      </c>
      <c r="AK97" s="1689">
        <v>6</v>
      </c>
      <c r="AL97" s="1695" t="s">
        <v>2605</v>
      </c>
      <c r="AM97" s="1675"/>
      <c r="AN97" s="1675"/>
      <c r="AO97" s="1689"/>
      <c r="AP97" s="7729"/>
      <c r="AQ97" s="7729"/>
      <c r="AR97" s="141"/>
      <c r="AS97" s="1712">
        <v>1</v>
      </c>
    </row>
    <row r="98" spans="1:45" ht="30" customHeight="1">
      <c r="A98" s="1715"/>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673"/>
      <c r="AI98" s="1691" t="s">
        <v>2270</v>
      </c>
      <c r="AK98" s="1689">
        <v>7</v>
      </c>
      <c r="AL98" s="1695" t="s">
        <v>2606</v>
      </c>
      <c r="AM98" s="1675"/>
      <c r="AN98" s="1675"/>
      <c r="AO98" s="1689"/>
      <c r="AP98" s="7729"/>
      <c r="AQ98" s="7729"/>
      <c r="AR98" s="141"/>
      <c r="AS98" s="1712">
        <v>1</v>
      </c>
    </row>
    <row r="99" spans="1:45" ht="30" customHeight="1">
      <c r="A99" s="1715"/>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673"/>
      <c r="AI99" s="1694" t="s">
        <v>2607</v>
      </c>
      <c r="AK99" s="1689">
        <v>8</v>
      </c>
      <c r="AL99" s="1695" t="s">
        <v>2608</v>
      </c>
      <c r="AM99" s="1675"/>
      <c r="AN99" s="1675"/>
      <c r="AO99" s="1689"/>
      <c r="AP99" s="1716" t="s">
        <v>2609</v>
      </c>
      <c r="AQ99" s="1695"/>
      <c r="AR99" s="141"/>
      <c r="AS99" s="1712">
        <v>1</v>
      </c>
    </row>
    <row r="100" spans="1:45" ht="30" customHeight="1">
      <c r="A100" s="1715"/>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673"/>
      <c r="AI100" s="1691" t="s">
        <v>1756</v>
      </c>
      <c r="AK100" s="1689">
        <v>9</v>
      </c>
      <c r="AL100" s="1695" t="s">
        <v>2610</v>
      </c>
      <c r="AM100" s="1675"/>
      <c r="AN100" s="1675"/>
      <c r="AO100" s="1689"/>
      <c r="AP100" s="7727" t="s">
        <v>2611</v>
      </c>
      <c r="AQ100" s="7727"/>
      <c r="AR100" s="141"/>
      <c r="AS100" s="1712">
        <v>1</v>
      </c>
    </row>
    <row r="101" spans="1:45" ht="30" customHeight="1">
      <c r="A101" s="1715"/>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673"/>
      <c r="AI101" s="1694" t="s">
        <v>2612</v>
      </c>
      <c r="AK101" s="1689">
        <v>10</v>
      </c>
      <c r="AL101" s="1695" t="s">
        <v>2613</v>
      </c>
      <c r="AM101" s="1675"/>
      <c r="AN101" s="1675"/>
      <c r="AO101" s="1689"/>
      <c r="AP101" s="7727" t="s">
        <v>2614</v>
      </c>
      <c r="AQ101" s="7727"/>
      <c r="AR101" s="141"/>
      <c r="AS101" s="1712">
        <v>1</v>
      </c>
    </row>
    <row r="102" spans="1:45" ht="30" customHeight="1">
      <c r="A102" s="1715"/>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673"/>
      <c r="AI102" s="1673"/>
      <c r="AK102" s="1689">
        <v>11</v>
      </c>
      <c r="AL102" s="1695" t="s">
        <v>2615</v>
      </c>
      <c r="AM102" s="1675"/>
      <c r="AN102" s="1675"/>
      <c r="AO102" s="1689"/>
      <c r="AP102" s="7727" t="s">
        <v>2616</v>
      </c>
      <c r="AQ102" s="7727"/>
      <c r="AR102" s="141"/>
      <c r="AS102" s="1712">
        <v>1</v>
      </c>
    </row>
    <row r="103" spans="1:45" ht="30" customHeight="1">
      <c r="A103" s="1715"/>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673"/>
      <c r="AI103" s="1694" t="s">
        <v>2617</v>
      </c>
      <c r="AK103" s="1689">
        <v>12</v>
      </c>
      <c r="AL103" s="1695" t="s">
        <v>2618</v>
      </c>
      <c r="AM103" s="1675"/>
      <c r="AN103" s="1675"/>
      <c r="AO103" s="1689"/>
      <c r="AP103" s="1695"/>
      <c r="AQ103" s="1695"/>
      <c r="AR103" s="141"/>
      <c r="AS103" s="1712">
        <v>1</v>
      </c>
    </row>
    <row r="104" spans="1:45" ht="30" customHeight="1">
      <c r="A104" s="171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673"/>
      <c r="AI104" s="1694" t="s">
        <v>2619</v>
      </c>
      <c r="AK104" s="1689">
        <v>13</v>
      </c>
      <c r="AL104" s="1695" t="s">
        <v>2620</v>
      </c>
      <c r="AM104" s="1675"/>
      <c r="AN104" s="1675"/>
      <c r="AO104" s="1675"/>
      <c r="AP104" s="1675"/>
      <c r="AQ104" s="1675"/>
      <c r="AR104" s="141"/>
      <c r="AS104" s="1712">
        <v>1</v>
      </c>
    </row>
    <row r="105" spans="1:45" ht="30" customHeight="1">
      <c r="A105" s="1715"/>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673"/>
      <c r="AI105" s="1698" t="s">
        <v>2621</v>
      </c>
      <c r="AK105" s="1689">
        <v>14</v>
      </c>
      <c r="AL105" s="1695" t="s">
        <v>2622</v>
      </c>
      <c r="AM105" s="1675"/>
      <c r="AN105" s="1675"/>
      <c r="AO105" s="1675"/>
      <c r="AP105" s="1675"/>
      <c r="AQ105" s="1675"/>
      <c r="AR105" s="141"/>
      <c r="AS105" s="1712">
        <v>1</v>
      </c>
    </row>
    <row r="106" spans="1:45" ht="30" customHeight="1">
      <c r="A106" s="1715"/>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673"/>
      <c r="AI106" s="1698" t="s">
        <v>2623</v>
      </c>
      <c r="AK106" s="1689">
        <v>15</v>
      </c>
      <c r="AL106" s="1695" t="s">
        <v>2624</v>
      </c>
      <c r="AM106" s="1675"/>
      <c r="AN106" s="1675"/>
      <c r="AO106" s="1675"/>
      <c r="AP106" s="1675"/>
      <c r="AQ106" s="1675"/>
      <c r="AR106" s="141"/>
      <c r="AS106" s="1712">
        <v>1</v>
      </c>
    </row>
    <row r="107" spans="1:45" ht="30" customHeight="1">
      <c r="A107" s="1715"/>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673"/>
      <c r="AI107" s="1691" t="s">
        <v>161</v>
      </c>
      <c r="AK107" s="1689"/>
      <c r="AL107" s="1695"/>
      <c r="AM107" s="1675"/>
      <c r="AN107" s="1675"/>
      <c r="AO107" s="1675"/>
      <c r="AP107" s="1675"/>
      <c r="AQ107" s="1675"/>
      <c r="AR107" s="141"/>
      <c r="AS107" s="1712">
        <v>1</v>
      </c>
    </row>
    <row r="108" spans="1:45" ht="30" customHeight="1">
      <c r="A108" s="1715"/>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673"/>
      <c r="AI108" s="1694" t="s">
        <v>2625</v>
      </c>
      <c r="AK108" s="1689"/>
      <c r="AL108" s="1673"/>
      <c r="AM108" s="1675"/>
      <c r="AN108" s="1675"/>
      <c r="AO108" s="1675"/>
      <c r="AP108" s="1675"/>
      <c r="AQ108" s="1675"/>
      <c r="AR108" s="141"/>
      <c r="AS108" s="1712">
        <v>1</v>
      </c>
    </row>
    <row r="109" spans="1:45" ht="30" customHeight="1">
      <c r="A109" s="1715"/>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673"/>
      <c r="AI109" s="1691" t="s">
        <v>2180</v>
      </c>
      <c r="AK109" s="1689">
        <v>1</v>
      </c>
      <c r="AL109" s="1695" t="s">
        <v>2626</v>
      </c>
      <c r="AM109" s="1675"/>
      <c r="AN109" s="1675"/>
      <c r="AO109" s="1675"/>
      <c r="AP109" s="1675"/>
      <c r="AQ109" s="1675"/>
      <c r="AR109" s="141"/>
      <c r="AS109" s="1712">
        <v>1</v>
      </c>
    </row>
    <row r="110" spans="1:45" ht="30" customHeight="1">
      <c r="A110" s="1715"/>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673"/>
      <c r="AI110" s="1694" t="s">
        <v>2627</v>
      </c>
      <c r="AK110" s="1689">
        <v>2</v>
      </c>
      <c r="AL110" s="1695" t="s">
        <v>2628</v>
      </c>
      <c r="AM110" s="1675"/>
      <c r="AN110" s="1675"/>
      <c r="AO110" s="1675"/>
      <c r="AP110" s="1675"/>
      <c r="AQ110" s="1675"/>
      <c r="AR110" s="141"/>
      <c r="AS110" s="1712">
        <v>1</v>
      </c>
    </row>
    <row r="111" spans="1:45" ht="30" customHeight="1">
      <c r="A111" s="1715"/>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673"/>
      <c r="AI111" s="1694" t="s">
        <v>2629</v>
      </c>
      <c r="AK111" s="1689">
        <v>3</v>
      </c>
      <c r="AL111" s="1695" t="s">
        <v>2630</v>
      </c>
      <c r="AM111" s="1675"/>
      <c r="AN111" s="1675"/>
      <c r="AO111" s="1675"/>
      <c r="AP111" s="1675"/>
      <c r="AQ111" s="1675"/>
      <c r="AR111" s="141"/>
      <c r="AS111" s="1712">
        <v>1</v>
      </c>
    </row>
    <row r="112" spans="1:45" ht="30" customHeight="1">
      <c r="A112" s="1715"/>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673"/>
      <c r="AI112" s="1673"/>
      <c r="AK112" s="1689">
        <v>4</v>
      </c>
      <c r="AL112" s="1695" t="s">
        <v>2631</v>
      </c>
      <c r="AM112" s="1675"/>
      <c r="AN112" s="1675"/>
      <c r="AO112" s="1675"/>
      <c r="AP112" s="1675"/>
      <c r="AQ112" s="1675"/>
      <c r="AR112" s="141"/>
      <c r="AS112" s="1712">
        <v>1</v>
      </c>
    </row>
    <row r="113" spans="1:45" ht="30" customHeight="1">
      <c r="A113" s="1715"/>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673"/>
      <c r="AI113" s="1673"/>
      <c r="AK113" s="1689">
        <v>5</v>
      </c>
      <c r="AL113" s="1695" t="s">
        <v>2632</v>
      </c>
      <c r="AM113" s="1675"/>
      <c r="AN113" s="1675"/>
      <c r="AO113" s="1675"/>
      <c r="AP113" s="1675"/>
      <c r="AQ113" s="1675"/>
      <c r="AR113" s="141"/>
      <c r="AS113" s="1712">
        <v>1</v>
      </c>
    </row>
    <row r="114" spans="1:45" ht="30" customHeight="1">
      <c r="A114" s="1715"/>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687" t="s">
        <v>627</v>
      </c>
      <c r="AI114" s="1717" t="s">
        <v>2633</v>
      </c>
      <c r="AK114" s="1689">
        <v>6</v>
      </c>
      <c r="AL114" s="1695" t="s">
        <v>2634</v>
      </c>
      <c r="AM114" s="1675"/>
      <c r="AN114" s="1675"/>
      <c r="AO114" s="1675"/>
      <c r="AP114" s="1675"/>
      <c r="AQ114" s="1675"/>
      <c r="AR114" s="141"/>
      <c r="AS114" s="1712">
        <v>1</v>
      </c>
    </row>
    <row r="115" spans="1:45" ht="30" customHeight="1">
      <c r="A115" s="1715"/>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718"/>
      <c r="AI115" s="1717"/>
      <c r="AK115" s="1689">
        <v>7</v>
      </c>
      <c r="AL115" s="1695" t="s">
        <v>2635</v>
      </c>
      <c r="AM115" s="1675"/>
      <c r="AN115" s="1675"/>
      <c r="AO115" s="1675"/>
      <c r="AP115" s="1675"/>
      <c r="AQ115" s="1675"/>
      <c r="AR115" s="141"/>
      <c r="AS115" s="1712">
        <v>1</v>
      </c>
    </row>
    <row r="116" spans="1:45" ht="30" customHeight="1">
      <c r="A116" s="1715"/>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687" t="s">
        <v>627</v>
      </c>
      <c r="AI116" s="1717" t="s">
        <v>2636</v>
      </c>
      <c r="AK116" s="1689">
        <v>8</v>
      </c>
      <c r="AL116" s="1695" t="s">
        <v>2637</v>
      </c>
      <c r="AM116" s="1675"/>
      <c r="AN116" s="1675"/>
      <c r="AO116" s="1675"/>
      <c r="AP116" s="1675"/>
      <c r="AQ116" s="1675"/>
      <c r="AR116" s="141"/>
      <c r="AS116" s="1712">
        <v>1</v>
      </c>
    </row>
    <row r="117" spans="1:45" ht="30" customHeight="1">
      <c r="A117" s="1715"/>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I117" s="1673"/>
      <c r="AK117" s="1689"/>
      <c r="AL117" s="1673"/>
      <c r="AM117" s="1675"/>
      <c r="AN117" s="1675"/>
      <c r="AO117" s="1675"/>
      <c r="AP117" s="1675"/>
      <c r="AQ117" s="1675"/>
      <c r="AR117" s="141"/>
      <c r="AS117" s="1712">
        <v>1</v>
      </c>
    </row>
    <row r="118" spans="1:45" ht="30" customHeight="1">
      <c r="A118" s="1715"/>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687" t="s">
        <v>627</v>
      </c>
      <c r="AI118" s="1717" t="s">
        <v>2638</v>
      </c>
      <c r="AK118" s="1689"/>
      <c r="AL118" s="1673"/>
      <c r="AM118" s="1675"/>
      <c r="AN118" s="1675"/>
      <c r="AO118" s="1675"/>
      <c r="AP118" s="1675"/>
      <c r="AQ118" s="1675"/>
      <c r="AR118" s="141"/>
      <c r="AS118" s="1712">
        <v>1</v>
      </c>
    </row>
    <row r="119" spans="1:45" ht="30" customHeight="1">
      <c r="A119" s="1715"/>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K119" s="1689">
        <v>1</v>
      </c>
      <c r="AL119" s="1695" t="s">
        <v>2639</v>
      </c>
      <c r="AM119" s="1675"/>
      <c r="AN119" s="1675"/>
      <c r="AO119" s="1675"/>
      <c r="AP119" s="1675"/>
      <c r="AQ119" s="1675"/>
      <c r="AR119" s="141"/>
      <c r="AS119" s="1712">
        <v>1</v>
      </c>
    </row>
    <row r="120" spans="1:45" ht="30" customHeight="1">
      <c r="A120" s="1715"/>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687" t="s">
        <v>627</v>
      </c>
      <c r="AI120" s="1717" t="s">
        <v>2640</v>
      </c>
      <c r="AK120" s="1689">
        <v>2</v>
      </c>
      <c r="AL120" s="1695" t="s">
        <v>2641</v>
      </c>
      <c r="AM120" s="1675"/>
      <c r="AN120" s="1675"/>
      <c r="AO120" s="1675"/>
      <c r="AP120" s="1675"/>
      <c r="AQ120" s="1675"/>
      <c r="AR120" s="141"/>
      <c r="AS120" s="1712">
        <v>1</v>
      </c>
    </row>
    <row r="121" spans="1:45" ht="30" customHeight="1">
      <c r="A121" s="1715"/>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K121" s="1689">
        <v>3</v>
      </c>
      <c r="AL121" s="1695" t="s">
        <v>2642</v>
      </c>
      <c r="AM121" s="1675"/>
      <c r="AN121" s="1675"/>
      <c r="AO121" s="1675"/>
      <c r="AP121" s="1675"/>
      <c r="AQ121" s="1675"/>
      <c r="AR121" s="141"/>
      <c r="AS121" s="1712">
        <v>1</v>
      </c>
    </row>
    <row r="122" spans="1:45" ht="30" customHeight="1">
      <c r="A122" s="1715"/>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687" t="s">
        <v>627</v>
      </c>
      <c r="AI122" s="1717" t="s">
        <v>2643</v>
      </c>
      <c r="AK122" s="1689">
        <v>4</v>
      </c>
      <c r="AL122" s="1695" t="s">
        <v>2644</v>
      </c>
      <c r="AM122" s="1675"/>
      <c r="AN122" s="1675"/>
      <c r="AO122" s="1675"/>
      <c r="AP122" s="1675"/>
      <c r="AQ122" s="507"/>
      <c r="AR122" s="141"/>
      <c r="AS122" s="1712">
        <v>1</v>
      </c>
    </row>
    <row r="123" spans="1:45" ht="30" customHeight="1">
      <c r="A123" s="1715"/>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507"/>
      <c r="AI123" s="507">
        <v>1</v>
      </c>
      <c r="AK123" s="1689">
        <v>5</v>
      </c>
      <c r="AL123" s="1695" t="s">
        <v>2645</v>
      </c>
      <c r="AM123" s="1675"/>
      <c r="AN123" s="1675"/>
      <c r="AO123" s="1675"/>
      <c r="AP123" s="1675"/>
      <c r="AQ123" s="507"/>
      <c r="AR123" s="141"/>
      <c r="AS123" s="1712">
        <v>1</v>
      </c>
    </row>
    <row r="124" spans="1:45" ht="30" customHeight="1">
      <c r="A124" s="1715"/>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507"/>
      <c r="AI124" s="507">
        <v>1</v>
      </c>
      <c r="AK124" s="1689">
        <v>6</v>
      </c>
      <c r="AL124" s="1695" t="s">
        <v>2646</v>
      </c>
      <c r="AM124" s="1675"/>
      <c r="AN124" s="1675"/>
      <c r="AO124" s="1675"/>
      <c r="AP124" s="1675"/>
      <c r="AQ124" s="507"/>
      <c r="AR124" s="141"/>
      <c r="AS124" s="1712">
        <v>1</v>
      </c>
    </row>
    <row r="125" spans="1:45" ht="30" customHeight="1">
      <c r="A125" s="1715"/>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507"/>
      <c r="AI125" s="507">
        <v>1</v>
      </c>
      <c r="AK125" s="1689">
        <v>7</v>
      </c>
      <c r="AL125" s="1695" t="s">
        <v>1140</v>
      </c>
      <c r="AM125" s="1675"/>
      <c r="AN125" s="1675"/>
      <c r="AO125" s="1675"/>
      <c r="AP125" s="1675"/>
      <c r="AQ125" s="507"/>
      <c r="AR125" s="141"/>
      <c r="AS125" s="1712">
        <v>1</v>
      </c>
    </row>
    <row r="126" spans="1:45" ht="30" customHeight="1">
      <c r="A126" s="1715"/>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507"/>
      <c r="AI126" s="507">
        <v>1</v>
      </c>
      <c r="AK126" s="1689"/>
      <c r="AL126" s="1673"/>
      <c r="AM126" s="1675"/>
      <c r="AN126" s="1675"/>
      <c r="AO126" s="1675"/>
      <c r="AP126" s="1675"/>
      <c r="AQ126" s="507"/>
      <c r="AR126" s="141"/>
      <c r="AS126" s="1712">
        <v>1</v>
      </c>
    </row>
    <row r="127" spans="1:45" ht="30" customHeight="1">
      <c r="A127" s="1715"/>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507"/>
      <c r="AI127" s="507">
        <v>1</v>
      </c>
      <c r="AK127" s="1689"/>
      <c r="AL127" s="1673"/>
      <c r="AM127" s="1675"/>
      <c r="AN127" s="1675"/>
      <c r="AO127" s="1675"/>
      <c r="AP127" s="1675"/>
      <c r="AQ127" s="507"/>
      <c r="AR127" s="141"/>
      <c r="AS127" s="1712">
        <v>1</v>
      </c>
    </row>
    <row r="128" spans="1:45" ht="30" customHeight="1">
      <c r="A128" s="1715"/>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507"/>
      <c r="AI128" s="507">
        <v>1</v>
      </c>
      <c r="AK128" s="1689">
        <v>1</v>
      </c>
      <c r="AL128" s="1695" t="s">
        <v>2647</v>
      </c>
      <c r="AM128" s="1675"/>
      <c r="AN128" s="1675"/>
      <c r="AO128" s="1675"/>
      <c r="AP128" s="1675"/>
      <c r="AQ128" s="507"/>
      <c r="AR128" s="141"/>
      <c r="AS128" s="1712">
        <v>1</v>
      </c>
    </row>
    <row r="129" spans="1:47" ht="30" customHeight="1">
      <c r="A129" s="1715"/>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507"/>
      <c r="AI129" s="507">
        <v>1</v>
      </c>
      <c r="AK129" s="1689">
        <v>2</v>
      </c>
      <c r="AL129" s="1695" t="s">
        <v>2648</v>
      </c>
      <c r="AM129" s="1675"/>
      <c r="AN129" s="1675"/>
      <c r="AO129" s="1675"/>
      <c r="AP129" s="1675"/>
      <c r="AQ129" s="507"/>
      <c r="AR129" s="141"/>
      <c r="AS129" s="1712">
        <v>1</v>
      </c>
    </row>
    <row r="130" spans="1:47" ht="30" customHeight="1">
      <c r="A130" s="1715"/>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507"/>
      <c r="AI130" s="507">
        <v>1</v>
      </c>
      <c r="AK130" s="1689">
        <v>3</v>
      </c>
      <c r="AL130" s="1695" t="s">
        <v>2649</v>
      </c>
      <c r="AM130" s="1675"/>
      <c r="AN130" s="1675"/>
      <c r="AO130" s="1675"/>
      <c r="AP130" s="1675"/>
      <c r="AQ130" s="507"/>
      <c r="AR130" s="141"/>
      <c r="AS130" s="1712">
        <v>1</v>
      </c>
    </row>
    <row r="131" spans="1:47" ht="30" customHeight="1">
      <c r="A131" s="1715"/>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507"/>
      <c r="AI131" s="507">
        <v>1</v>
      </c>
      <c r="AK131" s="1689">
        <v>4</v>
      </c>
      <c r="AL131" s="1695" t="s">
        <v>2650</v>
      </c>
      <c r="AM131" s="1675"/>
      <c r="AN131" s="1675"/>
      <c r="AO131" s="1675"/>
      <c r="AP131" s="1675"/>
      <c r="AQ131" s="507"/>
      <c r="AR131" s="141"/>
      <c r="AS131" s="10" t="s">
        <v>0</v>
      </c>
      <c r="AT131" s="2"/>
      <c r="AU131" s="2"/>
    </row>
    <row r="132" spans="1:47">
      <c r="A132" s="1712">
        <v>1</v>
      </c>
      <c r="B132" s="1712">
        <v>1</v>
      </c>
      <c r="C132" s="1712">
        <v>1</v>
      </c>
      <c r="D132" s="1712">
        <v>1</v>
      </c>
      <c r="E132" s="1712">
        <v>1</v>
      </c>
      <c r="F132" s="1712">
        <v>1</v>
      </c>
      <c r="G132" s="1712">
        <v>1</v>
      </c>
      <c r="H132" s="1712">
        <v>1</v>
      </c>
      <c r="I132" s="1712">
        <v>1</v>
      </c>
      <c r="J132" s="1712">
        <v>1</v>
      </c>
      <c r="K132" s="1712">
        <v>1</v>
      </c>
      <c r="L132" s="1712">
        <v>1</v>
      </c>
      <c r="M132" s="1712">
        <v>1</v>
      </c>
      <c r="N132" s="1712">
        <v>1</v>
      </c>
      <c r="O132" s="1712">
        <v>1</v>
      </c>
      <c r="P132" s="1712">
        <v>1</v>
      </c>
      <c r="Q132" s="1712">
        <v>1</v>
      </c>
      <c r="R132" s="1712">
        <v>1</v>
      </c>
      <c r="S132" s="1712">
        <v>1</v>
      </c>
      <c r="T132" s="1712">
        <v>1</v>
      </c>
      <c r="U132" s="1712">
        <v>1</v>
      </c>
      <c r="V132" s="1712">
        <v>1</v>
      </c>
      <c r="W132" s="1712">
        <v>1</v>
      </c>
      <c r="X132" s="1712">
        <v>1</v>
      </c>
      <c r="Y132" s="1712">
        <v>1</v>
      </c>
      <c r="Z132" s="1712">
        <v>1</v>
      </c>
      <c r="AA132" s="1712">
        <v>1</v>
      </c>
      <c r="AB132" s="1712">
        <v>1</v>
      </c>
      <c r="AC132" s="1712">
        <v>1</v>
      </c>
      <c r="AD132" s="1712">
        <v>1</v>
      </c>
      <c r="AE132" s="1712">
        <v>1</v>
      </c>
      <c r="AF132" s="1712">
        <v>1</v>
      </c>
      <c r="AG132" s="1712">
        <v>1</v>
      </c>
      <c r="AH132" s="1712">
        <v>1</v>
      </c>
      <c r="AI132" s="1712">
        <v>1</v>
      </c>
      <c r="AJ132" s="1712">
        <v>1</v>
      </c>
      <c r="AK132" s="1712">
        <v>1</v>
      </c>
      <c r="AL132" s="1712">
        <v>1</v>
      </c>
      <c r="AM132" s="1712">
        <v>1</v>
      </c>
      <c r="AN132" s="1712">
        <v>1</v>
      </c>
      <c r="AO132" s="1712">
        <v>1</v>
      </c>
      <c r="AP132" s="1712">
        <v>1</v>
      </c>
      <c r="AQ132" s="1712">
        <v>1</v>
      </c>
      <c r="AR132" s="1712">
        <v>1</v>
      </c>
      <c r="AS132" s="9" t="str">
        <f>ADDRESS(ROW(),COLUMN(),4)</f>
        <v>AS132</v>
      </c>
      <c r="AT132" s="8"/>
      <c r="AU132" s="7" t="str">
        <f>ADDRESS(ROW(),COLUMN(),4)</f>
        <v>AU132</v>
      </c>
    </row>
  </sheetData>
  <mergeCells count="38">
    <mergeCell ref="AP19:AQ20"/>
    <mergeCell ref="B1:R1"/>
    <mergeCell ref="AD1:AF1"/>
    <mergeCell ref="AK3:AM3"/>
    <mergeCell ref="AO3:AQ3"/>
    <mergeCell ref="AK4:AM4"/>
    <mergeCell ref="AO4:AQ4"/>
    <mergeCell ref="AL5:AM5"/>
    <mergeCell ref="AP5:AQ6"/>
    <mergeCell ref="AP11:AQ12"/>
    <mergeCell ref="AP15:AQ16"/>
    <mergeCell ref="AP17:AQ18"/>
    <mergeCell ref="AL23:AM24"/>
    <mergeCell ref="AL25:AM26"/>
    <mergeCell ref="AO27:AO28"/>
    <mergeCell ref="AP27:AQ28"/>
    <mergeCell ref="AO31:AO32"/>
    <mergeCell ref="AP31:AQ32"/>
    <mergeCell ref="AP79:AQ80"/>
    <mergeCell ref="AP36:AQ37"/>
    <mergeCell ref="AP42:AQ43"/>
    <mergeCell ref="AP48:AQ49"/>
    <mergeCell ref="AO50:AO51"/>
    <mergeCell ref="AP50:AQ51"/>
    <mergeCell ref="AO52:AO53"/>
    <mergeCell ref="AP52:AQ53"/>
    <mergeCell ref="AP54:AQ55"/>
    <mergeCell ref="AO63:AO64"/>
    <mergeCell ref="AP63:AQ64"/>
    <mergeCell ref="AO74:AO75"/>
    <mergeCell ref="AP74:AQ75"/>
    <mergeCell ref="AP102:AQ102"/>
    <mergeCell ref="AP83:AQ84"/>
    <mergeCell ref="AP85:AQ86"/>
    <mergeCell ref="AP94:AQ95"/>
    <mergeCell ref="AP96:AQ98"/>
    <mergeCell ref="AP100:AQ100"/>
    <mergeCell ref="AP101:AQ101"/>
  </mergeCells>
  <hyperlinks>
    <hyperlink ref="AI4" r:id="rId1" xr:uid="{89022B2E-1D3C-4C62-9CA8-7D410BF14A35}"/>
    <hyperlink ref="AI114" r:id="rId2" xr:uid="{7E6C218B-AF94-4E6E-907D-A39993014F72}"/>
    <hyperlink ref="AI116" r:id="rId3" xr:uid="{7DC52770-DBE8-4DE7-95FA-2385458EBF63}"/>
    <hyperlink ref="AI118" r:id="rId4" xr:uid="{82F15883-91CF-4072-98B0-AD706AFDD6DD}"/>
    <hyperlink ref="AI120" r:id="rId5" xr:uid="{77704F95-94B4-4B17-A7D0-8D11C6C19CE5}"/>
    <hyperlink ref="AI122" r:id="rId6" xr:uid="{A54382F9-84C8-4F17-B54F-B9AA8EF66EAA}"/>
    <hyperlink ref="AL23:AM24" r:id="rId7" display="source : Fiches techniques de cuisine Annette et Jean Pierre DOMERGUES" xr:uid="{413FEA6F-4D15-48C4-9CB0-CB81DDD4F11D}"/>
    <hyperlink ref="AP99" r:id="rId8" xr:uid="{215C11CE-CD42-4DD5-AABE-E46DA07FA6FF}"/>
  </hyperlinks>
  <pageMargins left="0.7" right="0.7" top="0.75" bottom="0.75" header="0.3" footer="0.3"/>
  <drawing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F714F-8F34-4D25-B985-447AC62E9843}">
  <dimension ref="A1:AC196"/>
  <sheetViews>
    <sheetView zoomScaleNormal="100" workbookViewId="0">
      <selection activeCell="E26" sqref="E26"/>
    </sheetView>
  </sheetViews>
  <sheetFormatPr baseColWidth="10" defaultRowHeight="15"/>
  <cols>
    <col min="2" max="2" width="37" customWidth="1"/>
    <col min="3" max="3" width="15.28515625" style="1720" customWidth="1"/>
    <col min="4" max="4" width="47.28515625" style="1720"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8" width="11.7109375" customWidth="1"/>
  </cols>
  <sheetData>
    <row r="1" spans="1:29" ht="15.75">
      <c r="AA1" s="1721"/>
    </row>
    <row r="2" spans="1:29" s="1724" customFormat="1" ht="33.75">
      <c r="A2" s="1722"/>
      <c r="B2" s="1723" t="s">
        <v>2651</v>
      </c>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1"/>
      <c r="AB2"/>
      <c r="AC2"/>
    </row>
    <row r="3" spans="1:29" ht="15.75">
      <c r="AA3" s="1721"/>
    </row>
    <row r="4" spans="1:29" ht="18.75">
      <c r="B4" s="1725" t="s">
        <v>2652</v>
      </c>
      <c r="C4" s="1726"/>
      <c r="D4" s="1726" t="s">
        <v>2653</v>
      </c>
      <c r="F4" s="1727" t="s">
        <v>2654</v>
      </c>
      <c r="H4" s="1728" t="s">
        <v>2655</v>
      </c>
      <c r="J4" s="1728" t="s">
        <v>2656</v>
      </c>
      <c r="L4" s="1728" t="s">
        <v>2657</v>
      </c>
      <c r="N4" s="1728" t="s">
        <v>2658</v>
      </c>
      <c r="P4" s="1728" t="s">
        <v>2659</v>
      </c>
      <c r="R4" s="1728" t="s">
        <v>2660</v>
      </c>
      <c r="T4" s="1728" t="s">
        <v>789</v>
      </c>
      <c r="V4" s="1728" t="s">
        <v>2661</v>
      </c>
      <c r="X4" s="1728" t="s">
        <v>2662</v>
      </c>
      <c r="Z4" s="1728" t="s">
        <v>2663</v>
      </c>
      <c r="AA4" s="1721"/>
    </row>
    <row r="5" spans="1:29" ht="15.75">
      <c r="B5" s="1725" t="s">
        <v>2664</v>
      </c>
      <c r="C5" s="1726"/>
      <c r="D5" s="1726" t="s">
        <v>2665</v>
      </c>
      <c r="F5" s="1729" t="s">
        <v>2666</v>
      </c>
      <c r="G5" s="1730" t="s">
        <v>2667</v>
      </c>
      <c r="H5" s="1731" t="s">
        <v>2668</v>
      </c>
      <c r="J5" s="1731" t="s">
        <v>2668</v>
      </c>
      <c r="L5" s="1731" t="s">
        <v>2669</v>
      </c>
      <c r="N5" s="1731" t="s">
        <v>2670</v>
      </c>
      <c r="P5" s="1731" t="s">
        <v>2669</v>
      </c>
      <c r="R5" s="1731" t="s">
        <v>2669</v>
      </c>
      <c r="T5" s="1731" t="s">
        <v>2669</v>
      </c>
      <c r="V5" s="1731" t="s">
        <v>2669</v>
      </c>
      <c r="X5" s="1731" t="s">
        <v>2669</v>
      </c>
      <c r="Z5" s="1731" t="s">
        <v>2671</v>
      </c>
      <c r="AA5" s="1721"/>
    </row>
    <row r="6" spans="1:29" ht="15.75">
      <c r="B6" s="1725" t="s">
        <v>2672</v>
      </c>
      <c r="C6" s="1726"/>
      <c r="D6" s="1726" t="s">
        <v>2673</v>
      </c>
      <c r="F6" s="1732" t="s">
        <v>2674</v>
      </c>
      <c r="G6" t="s">
        <v>2675</v>
      </c>
      <c r="H6" s="1732" t="s">
        <v>2676</v>
      </c>
      <c r="J6" s="1732" t="s">
        <v>2677</v>
      </c>
      <c r="L6" s="1732" t="s">
        <v>2678</v>
      </c>
      <c r="N6" s="1732" t="s">
        <v>2679</v>
      </c>
      <c r="P6" s="1732" t="s">
        <v>2680</v>
      </c>
      <c r="R6" s="1732" t="s">
        <v>2681</v>
      </c>
      <c r="T6" s="1732" t="s">
        <v>2682</v>
      </c>
      <c r="V6" s="1732" t="s">
        <v>2683</v>
      </c>
      <c r="X6" s="1732" t="s">
        <v>2684</v>
      </c>
      <c r="Z6" s="1732" t="s">
        <v>2685</v>
      </c>
      <c r="AA6" s="1721"/>
    </row>
    <row r="7" spans="1:29" ht="15.75">
      <c r="D7" s="1726"/>
      <c r="F7" s="1732" t="s">
        <v>2686</v>
      </c>
      <c r="G7" t="s">
        <v>2687</v>
      </c>
      <c r="H7" s="1733"/>
      <c r="J7" s="1732"/>
      <c r="L7" s="1732" t="s">
        <v>2688</v>
      </c>
      <c r="N7" s="1732" t="s">
        <v>2689</v>
      </c>
      <c r="P7" s="1733"/>
      <c r="R7" s="1733"/>
      <c r="T7" s="1733"/>
      <c r="V7" s="1733"/>
      <c r="X7" s="1733"/>
      <c r="Z7" s="1732" t="s">
        <v>2690</v>
      </c>
      <c r="AA7" s="1721"/>
    </row>
    <row r="8" spans="1:29" ht="15.75">
      <c r="B8" s="1725" t="s">
        <v>2691</v>
      </c>
      <c r="C8" s="1726" t="s">
        <v>2692</v>
      </c>
      <c r="D8" s="1725" t="s">
        <v>2693</v>
      </c>
      <c r="H8" s="1731" t="s">
        <v>2669</v>
      </c>
      <c r="J8" s="1731" t="s">
        <v>2669</v>
      </c>
      <c r="L8" s="1733"/>
      <c r="N8" s="1733"/>
      <c r="P8" s="1731" t="s">
        <v>2670</v>
      </c>
      <c r="R8" s="1731" t="s">
        <v>2670</v>
      </c>
      <c r="T8" s="1731" t="s">
        <v>2670</v>
      </c>
      <c r="V8" s="1731" t="s">
        <v>2670</v>
      </c>
      <c r="X8" s="1731" t="s">
        <v>2670</v>
      </c>
      <c r="Z8" s="1734"/>
      <c r="AA8" s="1721"/>
    </row>
    <row r="9" spans="1:29" ht="15.75">
      <c r="B9" s="1725" t="s">
        <v>2694</v>
      </c>
      <c r="C9" s="1726" t="s">
        <v>2695</v>
      </c>
      <c r="D9" s="1725" t="s">
        <v>2696</v>
      </c>
      <c r="F9" s="1729" t="s">
        <v>2697</v>
      </c>
      <c r="G9" s="1730" t="s">
        <v>2698</v>
      </c>
      <c r="H9" s="1732" t="s">
        <v>2699</v>
      </c>
      <c r="J9" s="1732" t="s">
        <v>2700</v>
      </c>
      <c r="L9" s="1731" t="s">
        <v>2670</v>
      </c>
      <c r="N9" s="1731" t="s">
        <v>2701</v>
      </c>
      <c r="P9" s="1732" t="s">
        <v>2702</v>
      </c>
      <c r="R9" s="1732" t="s">
        <v>2703</v>
      </c>
      <c r="T9" s="1732" t="s">
        <v>2704</v>
      </c>
      <c r="V9" s="1732" t="s">
        <v>2705</v>
      </c>
      <c r="X9" s="1732" t="s">
        <v>2706</v>
      </c>
      <c r="Z9" s="1734"/>
      <c r="AA9" s="1721"/>
    </row>
    <row r="10" spans="1:29" ht="15.75">
      <c r="C10" s="358"/>
      <c r="F10" s="1732" t="s">
        <v>2707</v>
      </c>
      <c r="G10" t="s">
        <v>2708</v>
      </c>
      <c r="H10" s="1732" t="s">
        <v>2709</v>
      </c>
      <c r="J10" s="1732" t="s">
        <v>2710</v>
      </c>
      <c r="L10" s="1732" t="s">
        <v>2711</v>
      </c>
      <c r="N10" s="1732" t="s">
        <v>2712</v>
      </c>
      <c r="P10" s="1733"/>
      <c r="R10" s="1733"/>
      <c r="T10" s="1733"/>
      <c r="V10" s="1733"/>
      <c r="X10" s="1733"/>
      <c r="Z10" s="1733"/>
      <c r="AA10" s="1721"/>
    </row>
    <row r="11" spans="1:29" ht="15.75">
      <c r="B11" s="1725" t="s">
        <v>2713</v>
      </c>
      <c r="C11" s="1726"/>
      <c r="D11" s="1725" t="s">
        <v>2714</v>
      </c>
      <c r="F11" s="1732" t="s">
        <v>2715</v>
      </c>
      <c r="G11" t="s">
        <v>2716</v>
      </c>
      <c r="H11" s="1733"/>
      <c r="J11" s="1732" t="s">
        <v>2717</v>
      </c>
      <c r="L11" s="1732" t="s">
        <v>2718</v>
      </c>
      <c r="N11" s="1733"/>
      <c r="P11" s="1731" t="s">
        <v>2671</v>
      </c>
      <c r="R11" s="1731" t="s">
        <v>2719</v>
      </c>
      <c r="T11" s="1731" t="s">
        <v>2720</v>
      </c>
      <c r="V11" s="1731" t="s">
        <v>2721</v>
      </c>
      <c r="X11" s="1731" t="s">
        <v>2671</v>
      </c>
      <c r="Z11" s="1733"/>
      <c r="AA11" s="1721"/>
    </row>
    <row r="12" spans="1:29" ht="15.75">
      <c r="B12" s="1725" t="s">
        <v>2722</v>
      </c>
      <c r="C12" s="1726"/>
      <c r="D12" s="1726" t="s">
        <v>2723</v>
      </c>
      <c r="H12" s="1731" t="s">
        <v>2670</v>
      </c>
      <c r="J12" s="1732" t="s">
        <v>2724</v>
      </c>
      <c r="L12" s="1732" t="s">
        <v>2725</v>
      </c>
      <c r="N12" s="1731" t="s">
        <v>2671</v>
      </c>
      <c r="P12" s="1732" t="s">
        <v>2726</v>
      </c>
      <c r="R12" s="1732" t="s">
        <v>2727</v>
      </c>
      <c r="T12" s="1732" t="s">
        <v>2728</v>
      </c>
      <c r="V12" s="1732" t="s">
        <v>2729</v>
      </c>
      <c r="X12" s="1732" t="s">
        <v>2730</v>
      </c>
      <c r="Z12" s="1733"/>
      <c r="AA12" s="1721"/>
    </row>
    <row r="13" spans="1:29" ht="15.75">
      <c r="B13" s="1725" t="s">
        <v>2731</v>
      </c>
      <c r="C13" s="1726"/>
      <c r="D13" s="1725" t="s">
        <v>2732</v>
      </c>
      <c r="F13" s="1729" t="s">
        <v>2733</v>
      </c>
      <c r="G13" s="1730" t="s">
        <v>2734</v>
      </c>
      <c r="H13" s="1732" t="s">
        <v>2735</v>
      </c>
      <c r="J13" s="1732" t="s">
        <v>2736</v>
      </c>
      <c r="L13" s="1733"/>
      <c r="N13" s="1732" t="s">
        <v>2737</v>
      </c>
      <c r="P13" s="1733"/>
      <c r="R13" s="1733"/>
      <c r="T13" s="1733"/>
      <c r="V13" s="1733"/>
      <c r="X13" s="1733"/>
      <c r="Z13" s="1733"/>
      <c r="AA13" s="1721"/>
    </row>
    <row r="14" spans="1:29" ht="15.75">
      <c r="F14" s="1732" t="s">
        <v>2738</v>
      </c>
      <c r="G14" t="s">
        <v>2739</v>
      </c>
      <c r="H14" s="1732" t="s">
        <v>2740</v>
      </c>
      <c r="J14" s="1732"/>
      <c r="L14" s="1731" t="s">
        <v>2701</v>
      </c>
      <c r="N14" s="1733"/>
      <c r="P14" s="1731" t="s">
        <v>2720</v>
      </c>
      <c r="R14" s="1731" t="s">
        <v>2701</v>
      </c>
      <c r="T14" s="1731" t="s">
        <v>2671</v>
      </c>
      <c r="V14" s="1733"/>
      <c r="X14" s="1733"/>
      <c r="Z14" s="1733"/>
      <c r="AA14" s="1721"/>
    </row>
    <row r="15" spans="1:29" ht="15.75">
      <c r="B15" s="1725" t="s">
        <v>2741</v>
      </c>
      <c r="C15" s="1726" t="s">
        <v>2742</v>
      </c>
      <c r="D15" s="1726" t="s">
        <v>2743</v>
      </c>
      <c r="F15" s="1732" t="s">
        <v>2744</v>
      </c>
      <c r="G15" t="s">
        <v>2745</v>
      </c>
      <c r="H15" s="1733"/>
      <c r="J15" s="1731" t="s">
        <v>2670</v>
      </c>
      <c r="L15" s="1732" t="s">
        <v>2746</v>
      </c>
      <c r="N15" s="1731" t="s">
        <v>2720</v>
      </c>
      <c r="P15" s="1732" t="s">
        <v>2747</v>
      </c>
      <c r="R15" s="1732" t="s">
        <v>2748</v>
      </c>
      <c r="T15" s="1732" t="s">
        <v>2749</v>
      </c>
      <c r="V15" s="1733"/>
      <c r="X15" s="1733"/>
      <c r="Z15" s="1733"/>
      <c r="AA15" s="1721"/>
    </row>
    <row r="16" spans="1:29" ht="15.75">
      <c r="B16" s="1725" t="s">
        <v>2741</v>
      </c>
      <c r="C16" s="1726" t="s">
        <v>2742</v>
      </c>
      <c r="D16" s="1726" t="s">
        <v>2750</v>
      </c>
      <c r="H16" s="1731" t="s">
        <v>2297</v>
      </c>
      <c r="J16" s="1732" t="s">
        <v>2751</v>
      </c>
      <c r="L16" s="1733"/>
      <c r="N16" s="1732" t="s">
        <v>2752</v>
      </c>
      <c r="P16" s="1733"/>
      <c r="R16" s="1733"/>
      <c r="T16" s="1733"/>
      <c r="V16" s="1733"/>
      <c r="X16" s="1733"/>
      <c r="Z16" s="1733"/>
      <c r="AA16" s="1721"/>
    </row>
    <row r="17" spans="2:27" ht="15.75">
      <c r="B17" s="1725" t="s">
        <v>2741</v>
      </c>
      <c r="C17" s="1726" t="s">
        <v>2742</v>
      </c>
      <c r="D17" s="1726" t="s">
        <v>2753</v>
      </c>
      <c r="F17" s="1729" t="s">
        <v>2754</v>
      </c>
      <c r="G17" s="1730" t="s">
        <v>2755</v>
      </c>
      <c r="H17" s="1735" t="s">
        <v>2756</v>
      </c>
      <c r="J17" s="1732" t="s">
        <v>2757</v>
      </c>
      <c r="L17" s="1731" t="s">
        <v>2758</v>
      </c>
      <c r="N17" s="1733"/>
      <c r="P17" s="1733"/>
      <c r="R17" s="1731" t="s">
        <v>2671</v>
      </c>
      <c r="T17" s="1733"/>
      <c r="V17" s="1733"/>
      <c r="X17" s="1733"/>
      <c r="Z17" s="1733"/>
      <c r="AA17" s="1721"/>
    </row>
    <row r="18" spans="2:27" ht="15.75">
      <c r="F18" s="1732" t="s">
        <v>2759</v>
      </c>
      <c r="G18" t="s">
        <v>2760</v>
      </c>
      <c r="H18" s="1733"/>
      <c r="J18" s="1732" t="s">
        <v>2761</v>
      </c>
      <c r="L18" s="1732" t="s">
        <v>2762</v>
      </c>
      <c r="N18" s="1733"/>
      <c r="P18" s="1733"/>
      <c r="R18" s="1732" t="s">
        <v>2763</v>
      </c>
      <c r="T18" s="1733"/>
      <c r="V18" s="1733"/>
      <c r="X18" s="1733"/>
      <c r="Z18" s="1733"/>
      <c r="AA18" s="1721"/>
    </row>
    <row r="19" spans="2:27" ht="15.75">
      <c r="B19" s="1725" t="s">
        <v>2764</v>
      </c>
      <c r="C19" s="1726"/>
      <c r="D19" s="1726" t="s">
        <v>2765</v>
      </c>
      <c r="F19" s="1732" t="s">
        <v>2766</v>
      </c>
      <c r="G19" t="s">
        <v>2767</v>
      </c>
      <c r="H19" s="1731" t="s">
        <v>2701</v>
      </c>
      <c r="J19" s="1732" t="s">
        <v>2768</v>
      </c>
      <c r="L19" s="1732" t="s">
        <v>2769</v>
      </c>
      <c r="N19" s="1733"/>
      <c r="P19" s="1733"/>
      <c r="R19" s="1733"/>
      <c r="T19" s="1733"/>
      <c r="V19" s="1733"/>
      <c r="X19" s="1733"/>
      <c r="Z19" s="1733"/>
      <c r="AA19" s="1721"/>
    </row>
    <row r="20" spans="2:27" ht="15.75">
      <c r="B20" s="1725" t="s">
        <v>2764</v>
      </c>
      <c r="C20" s="1726"/>
      <c r="D20" s="1726" t="s">
        <v>2770</v>
      </c>
      <c r="H20" s="1732" t="s">
        <v>2771</v>
      </c>
      <c r="J20" s="1732"/>
      <c r="L20" s="1733"/>
      <c r="N20" s="1733"/>
      <c r="P20" s="1733"/>
      <c r="R20" s="1731" t="s">
        <v>2772</v>
      </c>
      <c r="T20" s="1733"/>
      <c r="V20" s="1733"/>
      <c r="X20" s="1733"/>
      <c r="Z20" s="1733"/>
      <c r="AA20" s="1721"/>
    </row>
    <row r="21" spans="2:27" ht="15.75">
      <c r="B21" s="1725" t="s">
        <v>2764</v>
      </c>
      <c r="C21" s="1726"/>
      <c r="D21" s="1726" t="s">
        <v>2773</v>
      </c>
      <c r="F21" s="1729" t="s">
        <v>2774</v>
      </c>
      <c r="G21" s="1730" t="s">
        <v>2775</v>
      </c>
      <c r="H21" s="1732" t="s">
        <v>2776</v>
      </c>
      <c r="J21" s="1731" t="s">
        <v>2297</v>
      </c>
      <c r="L21" s="1733"/>
      <c r="N21" s="1733"/>
      <c r="P21" s="1733"/>
      <c r="R21" s="1732" t="s">
        <v>2777</v>
      </c>
      <c r="T21" s="1733"/>
      <c r="V21" s="1733"/>
      <c r="X21" s="1733"/>
      <c r="Z21" s="1733"/>
      <c r="AA21" s="1721"/>
    </row>
    <row r="22" spans="2:27" ht="15.75">
      <c r="F22" s="1732" t="s">
        <v>2778</v>
      </c>
      <c r="G22" t="s">
        <v>2779</v>
      </c>
      <c r="H22" s="1732"/>
      <c r="J22" s="1735" t="s">
        <v>2780</v>
      </c>
      <c r="L22" s="1733"/>
      <c r="N22" s="1733"/>
      <c r="P22" s="1733"/>
      <c r="R22" s="1733"/>
      <c r="T22" s="1733"/>
      <c r="V22" s="1733"/>
      <c r="X22" s="1733"/>
      <c r="Z22" s="1733"/>
      <c r="AA22" s="1721"/>
    </row>
    <row r="23" spans="2:27" ht="15.75">
      <c r="B23" s="1725" t="s">
        <v>2781</v>
      </c>
      <c r="C23" s="1726" t="s">
        <v>2782</v>
      </c>
      <c r="D23" s="1726" t="s">
        <v>2783</v>
      </c>
      <c r="F23" s="1732" t="s">
        <v>2784</v>
      </c>
      <c r="G23" t="s">
        <v>2785</v>
      </c>
      <c r="H23" s="1731" t="s">
        <v>2671</v>
      </c>
      <c r="J23" s="1735"/>
      <c r="L23" s="1733"/>
      <c r="N23" s="1733"/>
      <c r="P23" s="1733"/>
      <c r="R23" s="1731" t="s">
        <v>2786</v>
      </c>
      <c r="T23" s="1733"/>
      <c r="V23" s="1733"/>
      <c r="X23" s="1733"/>
      <c r="Z23" s="1733"/>
      <c r="AA23" s="1721"/>
    </row>
    <row r="24" spans="2:27" ht="15.75">
      <c r="H24" s="1732" t="s">
        <v>2787</v>
      </c>
      <c r="J24" s="1731" t="s">
        <v>2701</v>
      </c>
      <c r="L24" s="1733"/>
      <c r="N24" s="1733"/>
      <c r="P24" s="1733"/>
      <c r="R24" s="1732" t="s">
        <v>2788</v>
      </c>
      <c r="T24" s="1733"/>
      <c r="V24" s="1733"/>
      <c r="X24" s="1733"/>
      <c r="Z24" s="1733"/>
      <c r="AA24" s="1721"/>
    </row>
    <row r="25" spans="2:27" ht="15.75">
      <c r="B25" s="1725" t="s">
        <v>2789</v>
      </c>
      <c r="C25" s="1726" t="s">
        <v>2790</v>
      </c>
      <c r="D25" s="1726" t="s">
        <v>2791</v>
      </c>
      <c r="F25" s="1729" t="s">
        <v>2792</v>
      </c>
      <c r="G25" s="1730" t="s">
        <v>2793</v>
      </c>
      <c r="H25" s="1732" t="s">
        <v>2794</v>
      </c>
      <c r="J25" s="1732" t="s">
        <v>2795</v>
      </c>
      <c r="L25" s="1733"/>
      <c r="N25" s="1733"/>
      <c r="P25" s="1733"/>
      <c r="R25" s="1733"/>
      <c r="T25" s="1733"/>
      <c r="V25" s="1733"/>
      <c r="X25" s="1733"/>
      <c r="Z25" s="1733"/>
      <c r="AA25" s="1721"/>
    </row>
    <row r="26" spans="2:27" ht="15.75">
      <c r="B26" s="1725" t="s">
        <v>2789</v>
      </c>
      <c r="C26" s="1726" t="s">
        <v>2796</v>
      </c>
      <c r="D26" s="1726" t="s">
        <v>2797</v>
      </c>
      <c r="F26" s="1735" t="s">
        <v>2798</v>
      </c>
      <c r="G26" t="s">
        <v>2799</v>
      </c>
      <c r="H26" s="1732"/>
      <c r="J26" s="1732" t="s">
        <v>2800</v>
      </c>
      <c r="L26" s="1733"/>
      <c r="N26" s="1733"/>
      <c r="P26" s="1733"/>
      <c r="R26" s="1731" t="s">
        <v>2721</v>
      </c>
      <c r="T26" s="1733"/>
      <c r="V26" s="1733"/>
      <c r="X26" s="1733"/>
      <c r="Z26" s="1733"/>
      <c r="AA26" s="1721"/>
    </row>
    <row r="27" spans="2:27" ht="15.75">
      <c r="F27" s="1735" t="s">
        <v>2801</v>
      </c>
      <c r="G27" t="s">
        <v>2802</v>
      </c>
      <c r="H27" s="1731" t="s">
        <v>2803</v>
      </c>
      <c r="J27" s="1732"/>
      <c r="L27" s="1733"/>
      <c r="N27" s="1733"/>
      <c r="P27" s="1733"/>
      <c r="R27" s="1732" t="s">
        <v>2804</v>
      </c>
      <c r="T27" s="1733"/>
      <c r="V27" s="1733"/>
      <c r="X27" s="1733"/>
      <c r="Z27" s="1733"/>
      <c r="AA27" s="1721"/>
    </row>
    <row r="28" spans="2:27" ht="15.75">
      <c r="B28" s="1725" t="s">
        <v>2805</v>
      </c>
      <c r="C28" s="1726" t="s">
        <v>2806</v>
      </c>
      <c r="D28" s="1726" t="s">
        <v>2807</v>
      </c>
      <c r="F28" s="1735" t="s">
        <v>2808</v>
      </c>
      <c r="G28" t="s">
        <v>2809</v>
      </c>
      <c r="H28" s="1735" t="s">
        <v>2810</v>
      </c>
      <c r="J28" s="1731" t="s">
        <v>2671</v>
      </c>
      <c r="L28" s="1733"/>
      <c r="N28" s="1733"/>
      <c r="P28" s="1733"/>
      <c r="R28" s="1733"/>
      <c r="T28" s="1733"/>
      <c r="V28" s="1733"/>
      <c r="X28" s="1733"/>
      <c r="Z28" s="1733"/>
      <c r="AA28" s="1721"/>
    </row>
    <row r="29" spans="2:27" ht="15.75">
      <c r="B29" s="1725" t="s">
        <v>2811</v>
      </c>
      <c r="C29" s="1726" t="s">
        <v>2812</v>
      </c>
      <c r="D29" s="1726" t="s">
        <v>2813</v>
      </c>
      <c r="H29" s="1735" t="s">
        <v>2814</v>
      </c>
      <c r="J29" s="1732" t="s">
        <v>2815</v>
      </c>
      <c r="L29" s="1733"/>
      <c r="N29" s="1733"/>
      <c r="P29" s="1733"/>
      <c r="R29" s="1733"/>
      <c r="T29" s="1733"/>
      <c r="V29" s="1733"/>
      <c r="X29" s="1733"/>
      <c r="Z29" s="1733"/>
      <c r="AA29" s="1721"/>
    </row>
    <row r="30" spans="2:27" ht="15.75">
      <c r="F30" s="1729" t="s">
        <v>2720</v>
      </c>
      <c r="G30" s="1730" t="s">
        <v>2816</v>
      </c>
      <c r="H30" s="1735"/>
      <c r="J30" s="1732"/>
      <c r="L30" s="1733"/>
      <c r="N30" s="1733"/>
      <c r="P30" s="1733"/>
      <c r="R30" s="1733"/>
      <c r="T30" s="1733"/>
      <c r="V30" s="1733"/>
      <c r="X30" s="1733"/>
      <c r="Z30" s="1733"/>
      <c r="AA30" s="1721"/>
    </row>
    <row r="31" spans="2:27" ht="15.75">
      <c r="B31" s="1725" t="s">
        <v>2817</v>
      </c>
      <c r="C31" s="1726" t="s">
        <v>2818</v>
      </c>
      <c r="D31" s="1726" t="s">
        <v>2819</v>
      </c>
      <c r="F31" s="1732" t="s">
        <v>2820</v>
      </c>
      <c r="G31" t="s">
        <v>2821</v>
      </c>
      <c r="H31" s="1731" t="s">
        <v>2822</v>
      </c>
      <c r="J31" s="1731" t="s">
        <v>2803</v>
      </c>
      <c r="L31" s="1733"/>
      <c r="N31" s="1733"/>
      <c r="P31" s="1733"/>
      <c r="R31" s="1733"/>
      <c r="T31" s="1733"/>
      <c r="V31" s="1733"/>
      <c r="X31" s="1733"/>
      <c r="Z31" s="1733"/>
      <c r="AA31" s="1721"/>
    </row>
    <row r="32" spans="2:27" ht="15.75">
      <c r="F32" s="1732" t="s">
        <v>2823</v>
      </c>
      <c r="G32" s="187" t="s">
        <v>2824</v>
      </c>
      <c r="H32" s="1732" t="s">
        <v>2825</v>
      </c>
      <c r="J32" s="1735" t="s">
        <v>2826</v>
      </c>
      <c r="L32" s="1733"/>
      <c r="N32" s="1733"/>
      <c r="P32" s="1733"/>
      <c r="R32" s="1733"/>
      <c r="T32" s="1733"/>
      <c r="V32" s="1733"/>
      <c r="X32" s="1733"/>
      <c r="Z32" s="1733"/>
      <c r="AA32" s="1721"/>
    </row>
    <row r="33" spans="2:27" ht="15.75">
      <c r="B33" s="1725" t="s">
        <v>2827</v>
      </c>
      <c r="C33" s="1726" t="s">
        <v>2790</v>
      </c>
      <c r="D33" s="1726" t="s">
        <v>2791</v>
      </c>
      <c r="F33" s="1732" t="s">
        <v>2828</v>
      </c>
      <c r="G33" s="187" t="s">
        <v>2829</v>
      </c>
      <c r="H33" s="1732" t="s">
        <v>2830</v>
      </c>
      <c r="J33" s="1735" t="s">
        <v>2831</v>
      </c>
      <c r="L33" s="1733"/>
      <c r="N33" s="1733"/>
      <c r="P33" s="1733"/>
      <c r="R33" s="1733"/>
      <c r="T33" s="1733"/>
      <c r="V33" s="1733"/>
      <c r="X33" s="1733"/>
      <c r="Z33" s="1733"/>
      <c r="AA33" s="1721"/>
    </row>
    <row r="34" spans="2:27" ht="15.75">
      <c r="B34" s="1725" t="s">
        <v>2827</v>
      </c>
      <c r="C34" s="1726" t="s">
        <v>2796</v>
      </c>
      <c r="D34" s="1726" t="s">
        <v>2797</v>
      </c>
      <c r="H34" s="1733"/>
      <c r="J34" s="1735"/>
      <c r="L34" s="1733"/>
      <c r="N34" s="1733"/>
      <c r="P34" s="1733"/>
      <c r="R34" s="1733"/>
      <c r="T34" s="1733"/>
      <c r="V34" s="1733"/>
      <c r="X34" s="1733"/>
      <c r="Z34" s="1733"/>
      <c r="AA34" s="1721"/>
    </row>
    <row r="35" spans="2:27" ht="15.75">
      <c r="F35" s="1729" t="s">
        <v>2832</v>
      </c>
      <c r="G35" s="1730" t="s">
        <v>2833</v>
      </c>
      <c r="H35" s="1733"/>
      <c r="J35" s="1731" t="s">
        <v>2822</v>
      </c>
      <c r="L35" s="1733"/>
      <c r="N35" s="1733"/>
      <c r="P35" s="1733"/>
      <c r="R35" s="1733"/>
      <c r="T35" s="1733"/>
      <c r="V35" s="1733"/>
      <c r="X35" s="1733"/>
      <c r="Z35" s="1733"/>
      <c r="AA35" s="1721"/>
    </row>
    <row r="36" spans="2:27" ht="15.75">
      <c r="B36" s="1725" t="s">
        <v>2834</v>
      </c>
      <c r="C36" s="1726" t="s">
        <v>2782</v>
      </c>
      <c r="D36" s="1725" t="s">
        <v>2835</v>
      </c>
      <c r="F36" s="1735" t="s">
        <v>2836</v>
      </c>
      <c r="G36" t="s">
        <v>2837</v>
      </c>
      <c r="H36" s="1733"/>
      <c r="J36" s="1732" t="s">
        <v>2838</v>
      </c>
      <c r="L36" s="1733"/>
      <c r="N36" s="1733"/>
      <c r="P36" s="1733"/>
      <c r="R36" s="1733"/>
      <c r="T36" s="1733"/>
      <c r="V36" s="1733"/>
      <c r="X36" s="1733"/>
      <c r="Z36" s="1733"/>
      <c r="AA36" s="1721"/>
    </row>
    <row r="37" spans="2:27" ht="15.75">
      <c r="F37" s="1735" t="s">
        <v>2839</v>
      </c>
      <c r="G37" t="s">
        <v>2840</v>
      </c>
      <c r="H37" s="1733"/>
      <c r="J37" s="1732" t="s">
        <v>2841</v>
      </c>
      <c r="L37" s="1733"/>
      <c r="N37" s="1733"/>
      <c r="P37" s="1733"/>
      <c r="R37" s="1733"/>
      <c r="T37" s="1733"/>
      <c r="V37" s="1733"/>
      <c r="X37" s="1733"/>
      <c r="Z37" s="1733"/>
      <c r="AA37" s="1721"/>
    </row>
    <row r="38" spans="2:27" ht="15.75">
      <c r="B38" s="1725" t="s">
        <v>2842</v>
      </c>
      <c r="C38" s="1726" t="s">
        <v>2843</v>
      </c>
      <c r="D38" s="1726" t="s">
        <v>2797</v>
      </c>
      <c r="H38" s="1733"/>
      <c r="J38" s="1733"/>
      <c r="L38" s="1733"/>
      <c r="N38" s="1733"/>
      <c r="P38" s="1733"/>
      <c r="R38" s="1733"/>
      <c r="T38" s="1733"/>
      <c r="V38" s="1733"/>
      <c r="X38" s="1733"/>
      <c r="Z38" s="1733"/>
      <c r="AA38" s="1721"/>
    </row>
    <row r="39" spans="2:27" ht="15.75">
      <c r="B39" s="1725" t="s">
        <v>2842</v>
      </c>
      <c r="C39" s="1726" t="s">
        <v>2844</v>
      </c>
      <c r="D39" s="1726" t="s">
        <v>2845</v>
      </c>
      <c r="F39" s="1729" t="s">
        <v>2846</v>
      </c>
      <c r="G39" s="1730" t="s">
        <v>2671</v>
      </c>
      <c r="H39" s="1733"/>
      <c r="J39" s="1733"/>
      <c r="L39" s="1733"/>
      <c r="N39" s="1733"/>
      <c r="P39" s="1733"/>
      <c r="R39" s="1733"/>
      <c r="T39" s="1733"/>
      <c r="V39" s="1733"/>
      <c r="X39" s="1733"/>
      <c r="Z39" s="1733"/>
      <c r="AA39" s="1721"/>
    </row>
    <row r="40" spans="2:27" ht="15.75">
      <c r="F40" s="1725" t="s">
        <v>2847</v>
      </c>
      <c r="G40" t="s">
        <v>2848</v>
      </c>
      <c r="H40" s="1733"/>
      <c r="J40" s="1733"/>
      <c r="L40" s="1733"/>
      <c r="N40" s="1733"/>
      <c r="P40" s="1733"/>
      <c r="R40" s="1733"/>
      <c r="T40" s="1733"/>
      <c r="V40" s="1733"/>
      <c r="X40" s="1733"/>
      <c r="Z40" s="1733"/>
      <c r="AA40" s="1721"/>
    </row>
    <row r="41" spans="2:27" ht="15.75">
      <c r="B41" s="1725" t="s">
        <v>2849</v>
      </c>
      <c r="C41" s="1726" t="s">
        <v>2850</v>
      </c>
      <c r="D41" s="1726" t="s">
        <v>2851</v>
      </c>
      <c r="F41" s="1725" t="s">
        <v>2852</v>
      </c>
      <c r="G41" t="s">
        <v>2853</v>
      </c>
      <c r="H41" s="1733"/>
      <c r="J41" s="1733"/>
      <c r="L41" s="1733"/>
      <c r="N41" s="1733"/>
      <c r="P41" s="1733"/>
      <c r="R41" s="1733"/>
      <c r="T41" s="1733"/>
      <c r="V41" s="1733"/>
      <c r="X41" s="1733"/>
      <c r="Z41" s="1733"/>
      <c r="AA41" s="1721"/>
    </row>
    <row r="42" spans="2:27" ht="15.75">
      <c r="H42" s="1733"/>
      <c r="J42" s="1733"/>
      <c r="L42" s="1733"/>
      <c r="N42" s="1733"/>
      <c r="P42" s="1733"/>
      <c r="R42" s="1733"/>
      <c r="T42" s="1733"/>
      <c r="V42" s="1733"/>
      <c r="X42" s="1733"/>
      <c r="Z42" s="1733"/>
      <c r="AA42" s="1721"/>
    </row>
    <row r="43" spans="2:27" ht="15.75">
      <c r="B43" s="1725" t="s">
        <v>2854</v>
      </c>
      <c r="C43" s="1726" t="s">
        <v>2855</v>
      </c>
      <c r="D43" s="1726" t="s">
        <v>2856</v>
      </c>
      <c r="F43" s="1729" t="s">
        <v>2719</v>
      </c>
      <c r="G43" s="1730" t="s">
        <v>2857</v>
      </c>
      <c r="H43" s="1733"/>
      <c r="J43" s="1733"/>
      <c r="L43" s="1733"/>
      <c r="N43" s="1733"/>
      <c r="P43" s="1733"/>
      <c r="R43" s="1733"/>
      <c r="T43" s="1733"/>
      <c r="V43" s="1733"/>
      <c r="X43" s="1733"/>
      <c r="Z43" s="1733"/>
      <c r="AA43" s="1721"/>
    </row>
    <row r="44" spans="2:27" ht="15.75">
      <c r="B44" s="1725" t="s">
        <v>2858</v>
      </c>
      <c r="C44" s="1726" t="s">
        <v>2859</v>
      </c>
      <c r="D44" s="1726" t="s">
        <v>2860</v>
      </c>
      <c r="F44" s="1725" t="s">
        <v>2861</v>
      </c>
      <c r="G44" t="s">
        <v>2862</v>
      </c>
      <c r="H44" s="1733"/>
      <c r="J44" s="1733"/>
      <c r="L44" s="1733"/>
      <c r="N44" s="1733"/>
      <c r="P44" s="1733"/>
      <c r="R44" s="1733"/>
      <c r="T44" s="1733"/>
      <c r="V44" s="1733"/>
      <c r="X44" s="1733"/>
      <c r="Z44" s="1733"/>
      <c r="AA44" s="1721"/>
    </row>
    <row r="45" spans="2:27" ht="15.75">
      <c r="F45" s="1725" t="s">
        <v>2863</v>
      </c>
      <c r="G45" t="s">
        <v>2864</v>
      </c>
      <c r="H45" s="1733"/>
      <c r="J45" s="1733"/>
      <c r="L45" s="1733"/>
      <c r="N45" s="1733"/>
      <c r="P45" s="1733"/>
      <c r="R45" s="1733"/>
      <c r="T45" s="1733"/>
      <c r="V45" s="1733"/>
      <c r="X45" s="1733"/>
      <c r="Z45" s="1733"/>
      <c r="AA45" s="1721"/>
    </row>
    <row r="46" spans="2:27" ht="15.75">
      <c r="B46" s="1725" t="s">
        <v>2865</v>
      </c>
      <c r="C46" s="1726" t="s">
        <v>2790</v>
      </c>
      <c r="D46" s="1726" t="s">
        <v>2791</v>
      </c>
      <c r="H46" s="1733"/>
      <c r="J46" s="1733"/>
      <c r="L46" s="1733"/>
      <c r="N46" s="1733"/>
      <c r="P46" s="1733"/>
      <c r="R46" s="1733"/>
      <c r="T46" s="1733"/>
      <c r="V46" s="1733"/>
      <c r="X46" s="1733"/>
      <c r="Z46" s="1733"/>
      <c r="AA46" s="1721"/>
    </row>
    <row r="47" spans="2:27" ht="15.75">
      <c r="F47" s="1729" t="s">
        <v>2866</v>
      </c>
      <c r="G47" s="1730" t="s">
        <v>2867</v>
      </c>
      <c r="H47" s="1733"/>
      <c r="J47" s="1733"/>
      <c r="L47" s="1733"/>
      <c r="N47" s="1733"/>
      <c r="P47" s="1733"/>
      <c r="R47" s="1733"/>
      <c r="T47" s="1733"/>
      <c r="V47" s="1733"/>
      <c r="X47" s="1733"/>
      <c r="Z47" s="1733"/>
      <c r="AA47" s="1721"/>
    </row>
    <row r="48" spans="2:27" ht="15.75">
      <c r="B48" s="1725" t="s">
        <v>2868</v>
      </c>
      <c r="C48" s="1726" t="s">
        <v>2869</v>
      </c>
      <c r="D48" s="1726" t="s">
        <v>2869</v>
      </c>
      <c r="F48" s="1725" t="s">
        <v>2870</v>
      </c>
      <c r="G48" t="s">
        <v>2871</v>
      </c>
      <c r="H48" s="1733"/>
      <c r="J48" s="1733"/>
      <c r="L48" s="1733"/>
      <c r="N48" s="1733"/>
      <c r="P48" s="1733"/>
      <c r="R48" s="1733"/>
      <c r="T48" s="1733"/>
      <c r="V48" s="1733"/>
      <c r="X48" s="1733"/>
      <c r="Z48" s="1733"/>
      <c r="AA48" s="1721"/>
    </row>
    <row r="49" spans="2:27" ht="15.75">
      <c r="B49" s="1725" t="s">
        <v>2872</v>
      </c>
      <c r="C49" s="1726" t="s">
        <v>2843</v>
      </c>
      <c r="D49" s="1726" t="s">
        <v>2797</v>
      </c>
      <c r="F49" s="1725" t="s">
        <v>2873</v>
      </c>
      <c r="G49" t="s">
        <v>2874</v>
      </c>
      <c r="H49" s="1733"/>
      <c r="J49" s="1733"/>
      <c r="L49" s="1733"/>
      <c r="N49" s="1733"/>
      <c r="P49" s="1733"/>
      <c r="R49" s="1733"/>
      <c r="T49" s="1733"/>
      <c r="V49" s="1733"/>
      <c r="X49" s="1733"/>
      <c r="Z49" s="1733"/>
      <c r="AA49" s="1721"/>
    </row>
    <row r="50" spans="2:27" ht="15.75">
      <c r="B50" s="1725" t="s">
        <v>2875</v>
      </c>
      <c r="C50" s="1726" t="s">
        <v>2844</v>
      </c>
      <c r="D50" s="1726" t="s">
        <v>2845</v>
      </c>
      <c r="H50" s="1733"/>
      <c r="J50" s="1733"/>
      <c r="L50" s="1733"/>
      <c r="N50" s="1733"/>
      <c r="P50" s="1733"/>
      <c r="R50" s="1733"/>
      <c r="T50" s="1733"/>
      <c r="V50" s="1733"/>
      <c r="X50" s="1733"/>
      <c r="Z50" s="1733"/>
      <c r="AA50" s="1721"/>
    </row>
    <row r="51" spans="2:27" ht="15.75">
      <c r="B51" s="1725" t="s">
        <v>2876</v>
      </c>
      <c r="C51" s="1726" t="s">
        <v>2877</v>
      </c>
      <c r="D51" s="1726" t="s">
        <v>2877</v>
      </c>
      <c r="F51" s="1736" t="s">
        <v>2878</v>
      </c>
      <c r="H51" s="1733"/>
      <c r="J51" s="1733"/>
      <c r="L51" s="1733"/>
      <c r="N51" s="1733"/>
      <c r="P51" s="1733"/>
      <c r="R51" s="1733"/>
      <c r="T51" s="1733"/>
      <c r="V51" s="1733"/>
      <c r="X51" s="1733"/>
      <c r="Z51" s="1733"/>
      <c r="AA51" s="1721"/>
    </row>
    <row r="52" spans="2:27" ht="15.75">
      <c r="B52" s="1725" t="s">
        <v>2879</v>
      </c>
      <c r="C52" s="1726" t="s">
        <v>2880</v>
      </c>
      <c r="D52" s="1726" t="s">
        <v>2881</v>
      </c>
      <c r="F52" s="1737" t="s">
        <v>2882</v>
      </c>
      <c r="H52" s="1733"/>
      <c r="J52" s="1733"/>
      <c r="L52" s="1733"/>
      <c r="N52" s="1733"/>
      <c r="P52" s="1733"/>
      <c r="R52" s="1733"/>
      <c r="T52" s="1733"/>
      <c r="V52" s="1733"/>
      <c r="X52" s="1733"/>
      <c r="Z52" s="1733"/>
      <c r="AA52" s="1721"/>
    </row>
    <row r="53" spans="2:27" ht="15.75">
      <c r="F53" s="1736" t="s">
        <v>2883</v>
      </c>
      <c r="H53" s="1733"/>
      <c r="J53" s="1733"/>
      <c r="L53" s="1733"/>
      <c r="N53" s="1733"/>
      <c r="P53" s="1733"/>
      <c r="R53" s="1733"/>
      <c r="T53" s="1733"/>
      <c r="V53" s="1733"/>
      <c r="X53" s="1733"/>
      <c r="Z53" s="1733"/>
      <c r="AA53" s="1721"/>
    </row>
    <row r="54" spans="2:27" ht="15.75">
      <c r="B54" s="1725" t="s">
        <v>2884</v>
      </c>
      <c r="C54" s="1726" t="s">
        <v>2806</v>
      </c>
      <c r="D54" s="1726" t="s">
        <v>2807</v>
      </c>
    </row>
    <row r="55" spans="2:27" ht="15.75">
      <c r="B55" s="1725" t="s">
        <v>2884</v>
      </c>
      <c r="C55" s="1726" t="s">
        <v>2764</v>
      </c>
      <c r="D55" s="1726" t="s">
        <v>2885</v>
      </c>
      <c r="F55" s="1725" t="s">
        <v>2886</v>
      </c>
    </row>
    <row r="56" spans="2:27" ht="15.75">
      <c r="B56" s="1725" t="s">
        <v>2887</v>
      </c>
      <c r="C56" s="1726" t="s">
        <v>2888</v>
      </c>
      <c r="D56" s="1726" t="s">
        <v>2889</v>
      </c>
      <c r="F56" s="1725" t="s">
        <v>2890</v>
      </c>
    </row>
    <row r="57" spans="2:27" ht="15.75">
      <c r="F57" s="1725" t="s">
        <v>2891</v>
      </c>
    </row>
    <row r="58" spans="2:27" ht="15.75">
      <c r="B58" s="1725" t="s">
        <v>2892</v>
      </c>
      <c r="C58" s="1726" t="s">
        <v>2888</v>
      </c>
      <c r="D58" s="1726" t="s">
        <v>2889</v>
      </c>
      <c r="F58" s="1725" t="s">
        <v>2893</v>
      </c>
    </row>
    <row r="59" spans="2:27" ht="15.75">
      <c r="B59" s="1725" t="s">
        <v>2894</v>
      </c>
      <c r="C59" s="1726" t="s">
        <v>2790</v>
      </c>
      <c r="D59" s="1726" t="s">
        <v>2791</v>
      </c>
      <c r="F59" s="1725" t="s">
        <v>2895</v>
      </c>
    </row>
    <row r="60" spans="2:27" ht="15.75">
      <c r="B60" s="1725" t="s">
        <v>2896</v>
      </c>
      <c r="C60" s="1726" t="s">
        <v>2844</v>
      </c>
      <c r="D60" s="1726" t="s">
        <v>2845</v>
      </c>
      <c r="F60" s="1725" t="s">
        <v>2897</v>
      </c>
    </row>
    <row r="61" spans="2:27" ht="15.75">
      <c r="F61" s="1725" t="s">
        <v>2898</v>
      </c>
    </row>
    <row r="62" spans="2:27" ht="15.75">
      <c r="B62" s="1725" t="s">
        <v>2899</v>
      </c>
      <c r="C62" s="1726" t="s">
        <v>2900</v>
      </c>
      <c r="D62" s="1726" t="s">
        <v>2901</v>
      </c>
    </row>
    <row r="63" spans="2:27" ht="15.75">
      <c r="B63" s="1725" t="s">
        <v>2902</v>
      </c>
      <c r="C63" s="1726" t="s">
        <v>2903</v>
      </c>
      <c r="D63" s="1726" t="s">
        <v>2904</v>
      </c>
      <c r="F63" s="1738" t="s">
        <v>2905</v>
      </c>
      <c r="G63" s="148" t="s">
        <v>2906</v>
      </c>
    </row>
    <row r="64" spans="2:27" ht="15.75">
      <c r="B64" s="1725" t="s">
        <v>2902</v>
      </c>
      <c r="C64" s="1726" t="s">
        <v>2907</v>
      </c>
      <c r="D64" s="1725" t="s">
        <v>2908</v>
      </c>
      <c r="F64" s="1738" t="s">
        <v>2909</v>
      </c>
      <c r="G64" s="148" t="s">
        <v>2910</v>
      </c>
    </row>
    <row r="65" spans="2:7">
      <c r="F65" s="1738" t="s">
        <v>2911</v>
      </c>
      <c r="G65" s="1739" t="s">
        <v>2912</v>
      </c>
    </row>
    <row r="66" spans="2:7" ht="15.75">
      <c r="B66" s="1725" t="s">
        <v>2913</v>
      </c>
      <c r="C66" s="1726" t="s">
        <v>137</v>
      </c>
      <c r="D66" s="1726" t="s">
        <v>2914</v>
      </c>
      <c r="F66" s="1738" t="s">
        <v>2915</v>
      </c>
      <c r="G66" s="1739" t="s">
        <v>2916</v>
      </c>
    </row>
    <row r="67" spans="2:7" ht="15.75">
      <c r="B67" s="1725" t="s">
        <v>2917</v>
      </c>
      <c r="C67" s="1726" t="s">
        <v>2888</v>
      </c>
      <c r="D67" s="1726" t="s">
        <v>2889</v>
      </c>
      <c r="F67" s="1738" t="s">
        <v>2918</v>
      </c>
      <c r="G67" s="1739" t="s">
        <v>2919</v>
      </c>
    </row>
    <row r="68" spans="2:7" ht="15.75">
      <c r="B68" s="1725" t="s">
        <v>2920</v>
      </c>
      <c r="C68" s="1726" t="s">
        <v>2900</v>
      </c>
      <c r="D68" s="1726" t="s">
        <v>2901</v>
      </c>
      <c r="F68" s="1738" t="s">
        <v>2921</v>
      </c>
      <c r="G68" s="1739" t="s">
        <v>2922</v>
      </c>
    </row>
    <row r="69" spans="2:7" ht="15.75">
      <c r="B69" s="1725" t="s">
        <v>2923</v>
      </c>
      <c r="C69" s="1726" t="s">
        <v>2924</v>
      </c>
      <c r="D69" s="1726" t="s">
        <v>2925</v>
      </c>
      <c r="F69" s="1738" t="s">
        <v>2926</v>
      </c>
      <c r="G69" s="1739" t="s">
        <v>2927</v>
      </c>
    </row>
    <row r="70" spans="2:7" ht="15.75">
      <c r="B70" s="1725" t="s">
        <v>2928</v>
      </c>
      <c r="C70" s="1726" t="s">
        <v>2929</v>
      </c>
      <c r="D70" s="1726" t="s">
        <v>2930</v>
      </c>
      <c r="F70" s="1738" t="s">
        <v>2931</v>
      </c>
      <c r="G70" s="1739" t="s">
        <v>2932</v>
      </c>
    </row>
    <row r="71" spans="2:7">
      <c r="F71" s="1738" t="s">
        <v>2933</v>
      </c>
      <c r="G71" s="1739" t="s">
        <v>2934</v>
      </c>
    </row>
    <row r="72" spans="2:7" ht="15.75">
      <c r="B72" s="1725" t="s">
        <v>2935</v>
      </c>
      <c r="C72" s="1726" t="s">
        <v>2844</v>
      </c>
      <c r="D72" s="1726" t="s">
        <v>2845</v>
      </c>
      <c r="F72" s="1738" t="s">
        <v>2936</v>
      </c>
      <c r="G72" s="1739" t="s">
        <v>2937</v>
      </c>
    </row>
    <row r="73" spans="2:7">
      <c r="F73" s="1738" t="s">
        <v>2938</v>
      </c>
      <c r="G73" s="1739" t="s">
        <v>2939</v>
      </c>
    </row>
    <row r="74" spans="2:7" ht="15.75">
      <c r="B74" s="1725" t="s">
        <v>2940</v>
      </c>
      <c r="C74" s="1726" t="s">
        <v>2941</v>
      </c>
      <c r="D74" s="1726" t="s">
        <v>2942</v>
      </c>
    </row>
    <row r="75" spans="2:7" ht="15.75">
      <c r="B75" s="1725" t="s">
        <v>2940</v>
      </c>
      <c r="C75" s="1726" t="s">
        <v>2943</v>
      </c>
      <c r="D75" s="1726" t="s">
        <v>2914</v>
      </c>
      <c r="F75" t="s">
        <v>2944</v>
      </c>
    </row>
    <row r="76" spans="2:7" ht="15.75">
      <c r="B76" s="1725" t="s">
        <v>2940</v>
      </c>
      <c r="C76" s="1726" t="s">
        <v>2943</v>
      </c>
      <c r="D76" s="1726" t="s">
        <v>2914</v>
      </c>
      <c r="F76" t="s">
        <v>2945</v>
      </c>
    </row>
    <row r="77" spans="2:7" ht="15.75">
      <c r="B77" s="1725" t="s">
        <v>2946</v>
      </c>
      <c r="C77" s="1726" t="s">
        <v>2947</v>
      </c>
      <c r="D77" s="1726" t="s">
        <v>2914</v>
      </c>
      <c r="F77" t="s">
        <v>2948</v>
      </c>
    </row>
    <row r="78" spans="2:7" ht="15.75">
      <c r="B78" s="1725" t="s">
        <v>2946</v>
      </c>
      <c r="C78" s="1726" t="s">
        <v>2941</v>
      </c>
      <c r="D78" s="1726" t="s">
        <v>2942</v>
      </c>
      <c r="F78" t="s">
        <v>2949</v>
      </c>
    </row>
    <row r="79" spans="2:7">
      <c r="F79" t="s">
        <v>2950</v>
      </c>
    </row>
    <row r="80" spans="2:7" ht="15.75">
      <c r="B80" s="1725" t="s">
        <v>2951</v>
      </c>
      <c r="C80" s="1726" t="s">
        <v>2843</v>
      </c>
      <c r="D80" s="1726" t="s">
        <v>2797</v>
      </c>
      <c r="F80" t="s">
        <v>2952</v>
      </c>
    </row>
    <row r="81" spans="2:6" ht="15.75">
      <c r="B81" s="1725" t="s">
        <v>2953</v>
      </c>
      <c r="C81" s="1726" t="s">
        <v>2943</v>
      </c>
      <c r="D81" s="1726" t="s">
        <v>2914</v>
      </c>
      <c r="F81" t="s">
        <v>2954</v>
      </c>
    </row>
    <row r="82" spans="2:6" ht="15.75">
      <c r="B82" s="1725" t="s">
        <v>2955</v>
      </c>
      <c r="C82" s="1726" t="s">
        <v>137</v>
      </c>
      <c r="D82" s="1726" t="s">
        <v>2914</v>
      </c>
    </row>
    <row r="83" spans="2:6" ht="15.75">
      <c r="B83" s="1725" t="s">
        <v>2956</v>
      </c>
      <c r="C83" s="1726" t="s">
        <v>137</v>
      </c>
      <c r="D83" s="1726" t="s">
        <v>2914</v>
      </c>
    </row>
    <row r="84" spans="2:6" ht="15.75">
      <c r="B84" s="1725" t="s">
        <v>2957</v>
      </c>
      <c r="C84" s="1726" t="s">
        <v>2782</v>
      </c>
      <c r="D84" s="1725" t="s">
        <v>2958</v>
      </c>
    </row>
    <row r="85" spans="2:6" ht="15.75">
      <c r="B85" s="1725" t="s">
        <v>2959</v>
      </c>
      <c r="C85" s="1726" t="s">
        <v>2843</v>
      </c>
      <c r="D85" s="1726" t="s">
        <v>2797</v>
      </c>
    </row>
    <row r="87" spans="2:6" ht="15.75">
      <c r="B87" s="1725" t="s">
        <v>2960</v>
      </c>
      <c r="C87" s="1726" t="s">
        <v>2961</v>
      </c>
      <c r="D87" s="1726" t="s">
        <v>2962</v>
      </c>
    </row>
    <row r="88" spans="2:6" ht="15.75">
      <c r="B88" s="1725" t="s">
        <v>2963</v>
      </c>
      <c r="C88" s="1726" t="s">
        <v>2964</v>
      </c>
      <c r="D88" s="1726" t="s">
        <v>2965</v>
      </c>
    </row>
    <row r="89" spans="2:6" ht="15.75">
      <c r="B89" s="1725" t="s">
        <v>2963</v>
      </c>
      <c r="C89" s="1726" t="s">
        <v>2966</v>
      </c>
      <c r="D89" s="1726" t="s">
        <v>2967</v>
      </c>
    </row>
    <row r="90" spans="2:6" ht="15.75">
      <c r="B90" s="1725" t="s">
        <v>2968</v>
      </c>
      <c r="C90" s="1726" t="s">
        <v>2969</v>
      </c>
      <c r="D90" s="1726" t="s">
        <v>2970</v>
      </c>
    </row>
    <row r="91" spans="2:6" ht="15.75">
      <c r="B91" s="1725" t="s">
        <v>2971</v>
      </c>
      <c r="C91" s="1726" t="s">
        <v>2943</v>
      </c>
      <c r="D91" s="1726" t="s">
        <v>2914</v>
      </c>
    </row>
    <row r="93" spans="2:6" ht="15.75">
      <c r="B93" s="1725" t="s">
        <v>2972</v>
      </c>
      <c r="C93" s="1726" t="s">
        <v>2973</v>
      </c>
      <c r="D93" s="1726" t="s">
        <v>2974</v>
      </c>
    </row>
    <row r="94" spans="2:6" ht="15.75">
      <c r="B94" s="1725" t="s">
        <v>2972</v>
      </c>
      <c r="C94" s="1726" t="s">
        <v>2843</v>
      </c>
      <c r="D94" s="1726" t="s">
        <v>2797</v>
      </c>
    </row>
    <row r="95" spans="2:6" ht="15.75">
      <c r="B95" s="1725" t="s">
        <v>2972</v>
      </c>
      <c r="C95" s="1726" t="s">
        <v>2975</v>
      </c>
      <c r="D95" s="1726" t="s">
        <v>2807</v>
      </c>
    </row>
    <row r="96" spans="2:6" ht="15.75">
      <c r="B96" s="1725" t="s">
        <v>2972</v>
      </c>
      <c r="C96" s="1726" t="s">
        <v>2976</v>
      </c>
      <c r="D96" s="1726" t="s">
        <v>2977</v>
      </c>
    </row>
    <row r="97" spans="2:4" ht="15.75">
      <c r="B97" s="1725" t="s">
        <v>2972</v>
      </c>
      <c r="C97" s="1726" t="s">
        <v>2973</v>
      </c>
      <c r="D97" s="1726" t="s">
        <v>2974</v>
      </c>
    </row>
    <row r="99" spans="2:4" ht="15.75">
      <c r="B99" s="1725" t="s">
        <v>2978</v>
      </c>
      <c r="C99" s="1726" t="s">
        <v>2812</v>
      </c>
      <c r="D99" s="1726" t="s">
        <v>2813</v>
      </c>
    </row>
    <row r="101" spans="2:4" ht="15.75">
      <c r="B101" s="1725" t="s">
        <v>940</v>
      </c>
      <c r="C101" s="1726" t="s">
        <v>2979</v>
      </c>
      <c r="D101" s="1726" t="s">
        <v>2980</v>
      </c>
    </row>
    <row r="102" spans="2:4" ht="15.75">
      <c r="B102" s="1725" t="s">
        <v>940</v>
      </c>
      <c r="C102" s="1726" t="s">
        <v>2979</v>
      </c>
      <c r="D102" s="1726" t="s">
        <v>2980</v>
      </c>
    </row>
    <row r="103" spans="2:4" ht="15.75">
      <c r="B103" s="1725" t="s">
        <v>940</v>
      </c>
      <c r="C103" s="1726" t="s">
        <v>2941</v>
      </c>
      <c r="D103" s="1726" t="s">
        <v>2942</v>
      </c>
    </row>
    <row r="104" spans="2:4" ht="15.75">
      <c r="B104" s="1725" t="s">
        <v>940</v>
      </c>
      <c r="C104" s="1726" t="s">
        <v>2943</v>
      </c>
      <c r="D104" s="1726" t="s">
        <v>2914</v>
      </c>
    </row>
    <row r="105" spans="2:4" ht="15.75">
      <c r="B105" s="1725" t="s">
        <v>2981</v>
      </c>
      <c r="C105" s="1726" t="s">
        <v>2969</v>
      </c>
      <c r="D105" s="1726" t="s">
        <v>2819</v>
      </c>
    </row>
    <row r="107" spans="2:4" ht="15.75">
      <c r="B107" s="1725" t="s">
        <v>2982</v>
      </c>
      <c r="C107" s="1726" t="s">
        <v>2888</v>
      </c>
      <c r="D107" s="1726" t="s">
        <v>2889</v>
      </c>
    </row>
    <row r="109" spans="2:4" ht="15.75">
      <c r="B109" s="1725" t="s">
        <v>2983</v>
      </c>
      <c r="C109" s="1726" t="s">
        <v>2984</v>
      </c>
      <c r="D109" s="1726" t="s">
        <v>2985</v>
      </c>
    </row>
    <row r="110" spans="2:4" ht="15.75">
      <c r="B110" s="1725" t="s">
        <v>2983</v>
      </c>
      <c r="C110" s="1726" t="s">
        <v>2888</v>
      </c>
      <c r="D110" s="1726" t="s">
        <v>2889</v>
      </c>
    </row>
    <row r="111" spans="2:4" ht="15.75">
      <c r="B111" s="1725" t="s">
        <v>2983</v>
      </c>
      <c r="C111" s="1726" t="s">
        <v>2979</v>
      </c>
      <c r="D111" s="1726" t="s">
        <v>2980</v>
      </c>
    </row>
    <row r="112" spans="2:4" ht="15.75">
      <c r="B112" s="1725" t="s">
        <v>2983</v>
      </c>
      <c r="C112" s="1726" t="s">
        <v>2812</v>
      </c>
      <c r="D112" s="1726" t="s">
        <v>2813</v>
      </c>
    </row>
    <row r="114" spans="2:4" ht="15.75">
      <c r="B114" s="1725" t="s">
        <v>2986</v>
      </c>
      <c r="C114" s="1726" t="s">
        <v>2929</v>
      </c>
      <c r="D114" s="1726" t="s">
        <v>2930</v>
      </c>
    </row>
    <row r="115" spans="2:4" ht="15.75">
      <c r="B115" s="1725" t="s">
        <v>2987</v>
      </c>
      <c r="C115" s="1726" t="s">
        <v>137</v>
      </c>
      <c r="D115" s="1726" t="s">
        <v>2988</v>
      </c>
    </row>
    <row r="116" spans="2:4" ht="15.75">
      <c r="B116" s="1725" t="s">
        <v>2989</v>
      </c>
      <c r="C116" s="1726" t="s">
        <v>2843</v>
      </c>
      <c r="D116" s="1726" t="s">
        <v>2797</v>
      </c>
    </row>
    <row r="118" spans="2:4" ht="15.75">
      <c r="B118" s="1725" t="s">
        <v>2990</v>
      </c>
      <c r="C118" s="1726" t="s">
        <v>2941</v>
      </c>
      <c r="D118" s="1726" t="s">
        <v>2942</v>
      </c>
    </row>
    <row r="119" spans="2:4" ht="15.75">
      <c r="B119" s="1725" t="s">
        <v>2990</v>
      </c>
      <c r="C119" s="1726" t="s">
        <v>2855</v>
      </c>
      <c r="D119" s="1726" t="s">
        <v>2991</v>
      </c>
    </row>
    <row r="120" spans="2:4" ht="15.75">
      <c r="B120" s="1725" t="s">
        <v>2992</v>
      </c>
      <c r="C120" s="1726" t="s">
        <v>2900</v>
      </c>
      <c r="D120" s="1726" t="s">
        <v>2901</v>
      </c>
    </row>
    <row r="122" spans="2:4" ht="15.75">
      <c r="B122" s="1725" t="s">
        <v>2993</v>
      </c>
      <c r="C122" s="1726" t="s">
        <v>2941</v>
      </c>
      <c r="D122" s="1726" t="s">
        <v>2942</v>
      </c>
    </row>
    <row r="123" spans="2:4" ht="15.75">
      <c r="B123" s="1725" t="s">
        <v>2994</v>
      </c>
      <c r="C123" s="1726" t="s">
        <v>2995</v>
      </c>
      <c r="D123" s="1726" t="s">
        <v>2995</v>
      </c>
    </row>
    <row r="125" spans="2:4" ht="15.75">
      <c r="B125" s="1725" t="s">
        <v>2996</v>
      </c>
      <c r="C125" s="1726" t="s">
        <v>2790</v>
      </c>
      <c r="D125" s="1726" t="s">
        <v>2791</v>
      </c>
    </row>
    <row r="126" spans="2:4" ht="15.75">
      <c r="B126" s="1725" t="s">
        <v>2997</v>
      </c>
      <c r="C126" s="1726" t="s">
        <v>2843</v>
      </c>
      <c r="D126" s="1726" t="s">
        <v>2797</v>
      </c>
    </row>
    <row r="127" spans="2:4" ht="15.75">
      <c r="B127" s="1725" t="s">
        <v>2997</v>
      </c>
      <c r="C127" s="1726" t="s">
        <v>2998</v>
      </c>
      <c r="D127" s="1726" t="s">
        <v>2813</v>
      </c>
    </row>
    <row r="129" spans="2:4" ht="15.75">
      <c r="B129" s="1725" t="s">
        <v>2999</v>
      </c>
      <c r="C129" s="1726" t="s">
        <v>2941</v>
      </c>
      <c r="D129" s="1726" t="s">
        <v>2942</v>
      </c>
    </row>
    <row r="130" spans="2:4" ht="15.75">
      <c r="B130" s="1725" t="s">
        <v>3000</v>
      </c>
      <c r="C130" s="1726" t="s">
        <v>2966</v>
      </c>
      <c r="D130" s="1726" t="s">
        <v>2967</v>
      </c>
    </row>
    <row r="132" spans="2:4" ht="15.75">
      <c r="B132" s="1725" t="s">
        <v>3001</v>
      </c>
      <c r="C132" s="1726" t="s">
        <v>3002</v>
      </c>
      <c r="D132" s="1726" t="s">
        <v>2791</v>
      </c>
    </row>
    <row r="134" spans="2:4" ht="15.75">
      <c r="B134" s="1725" t="s">
        <v>3003</v>
      </c>
      <c r="C134" s="1726" t="s">
        <v>2812</v>
      </c>
      <c r="D134" s="1726" t="s">
        <v>2813</v>
      </c>
    </row>
    <row r="135" spans="2:4" ht="15.75">
      <c r="B135" s="1725" t="s">
        <v>3003</v>
      </c>
      <c r="C135" s="1726" t="s">
        <v>2984</v>
      </c>
      <c r="D135" s="1726" t="s">
        <v>3004</v>
      </c>
    </row>
    <row r="137" spans="2:4" ht="15.75">
      <c r="B137" s="1725" t="s">
        <v>3005</v>
      </c>
      <c r="C137" s="1726" t="s">
        <v>2943</v>
      </c>
      <c r="D137" s="1726" t="s">
        <v>3006</v>
      </c>
    </row>
    <row r="138" spans="2:4" ht="15.75">
      <c r="B138" s="1725" t="s">
        <v>3007</v>
      </c>
      <c r="C138" s="1726" t="s">
        <v>2924</v>
      </c>
      <c r="D138" s="1726" t="s">
        <v>2925</v>
      </c>
    </row>
    <row r="139" spans="2:4" ht="15.75">
      <c r="B139" s="1725" t="s">
        <v>3008</v>
      </c>
      <c r="C139" s="1726" t="s">
        <v>137</v>
      </c>
      <c r="D139" s="1726" t="s">
        <v>2914</v>
      </c>
    </row>
    <row r="140" spans="2:4" ht="15.75">
      <c r="B140" s="1725" t="s">
        <v>3009</v>
      </c>
      <c r="C140" s="1726" t="s">
        <v>2943</v>
      </c>
      <c r="D140" s="1726" t="s">
        <v>2914</v>
      </c>
    </row>
    <row r="141" spans="2:4" ht="15.75">
      <c r="B141" s="1725" t="s">
        <v>3010</v>
      </c>
      <c r="C141" s="1726" t="s">
        <v>2812</v>
      </c>
      <c r="D141" s="1726" t="s">
        <v>2813</v>
      </c>
    </row>
    <row r="142" spans="2:4" ht="15.75">
      <c r="B142" s="1725" t="s">
        <v>3011</v>
      </c>
      <c r="C142" s="1726" t="s">
        <v>2941</v>
      </c>
      <c r="D142" s="1726" t="s">
        <v>2942</v>
      </c>
    </row>
    <row r="143" spans="2:4" ht="15.75">
      <c r="B143" s="1725" t="s">
        <v>3012</v>
      </c>
      <c r="C143" s="1726" t="s">
        <v>2973</v>
      </c>
      <c r="D143" s="1726" t="s">
        <v>2974</v>
      </c>
    </row>
    <row r="144" spans="2:4" ht="15.75">
      <c r="B144" s="1725" t="s">
        <v>3013</v>
      </c>
      <c r="C144" s="1726" t="s">
        <v>2943</v>
      </c>
      <c r="D144" s="1726" t="s">
        <v>3006</v>
      </c>
    </row>
    <row r="145" spans="2:4" ht="15.75">
      <c r="B145" s="1725" t="s">
        <v>3014</v>
      </c>
      <c r="C145" s="1726" t="s">
        <v>3015</v>
      </c>
      <c r="D145" s="1726" t="s">
        <v>2845</v>
      </c>
    </row>
    <row r="146" spans="2:4" ht="15.75">
      <c r="B146" s="1725" t="s">
        <v>3014</v>
      </c>
      <c r="C146" s="1726" t="s">
        <v>2843</v>
      </c>
      <c r="D146" s="1726" t="s">
        <v>2797</v>
      </c>
    </row>
    <row r="147" spans="2:4" ht="15.75">
      <c r="B147" s="1725" t="s">
        <v>3014</v>
      </c>
      <c r="C147" s="1726" t="s">
        <v>2790</v>
      </c>
      <c r="D147" s="1726" t="s">
        <v>2791</v>
      </c>
    </row>
    <row r="149" spans="2:4" ht="15.75">
      <c r="B149" s="1725" t="s">
        <v>3016</v>
      </c>
      <c r="C149" s="1726" t="s">
        <v>2900</v>
      </c>
      <c r="D149" s="1726" t="s">
        <v>2901</v>
      </c>
    </row>
    <row r="150" spans="2:4" ht="15.75">
      <c r="B150" s="1725" t="s">
        <v>3017</v>
      </c>
      <c r="C150" s="1726" t="s">
        <v>3018</v>
      </c>
      <c r="D150" s="1726" t="s">
        <v>3019</v>
      </c>
    </row>
    <row r="152" spans="2:4" ht="15.75">
      <c r="B152" s="1725" t="s">
        <v>3020</v>
      </c>
      <c r="C152" s="1726" t="s">
        <v>2843</v>
      </c>
      <c r="D152" s="1726" t="s">
        <v>2797</v>
      </c>
    </row>
    <row r="153" spans="2:4" ht="15.75">
      <c r="B153" s="1725" t="s">
        <v>3021</v>
      </c>
      <c r="C153" s="1726" t="s">
        <v>2806</v>
      </c>
      <c r="D153" s="1726" t="s">
        <v>2807</v>
      </c>
    </row>
    <row r="154" spans="2:4" ht="15.75">
      <c r="B154" s="1725" t="s">
        <v>3021</v>
      </c>
      <c r="C154" s="1726" t="s">
        <v>2812</v>
      </c>
      <c r="D154" s="1726" t="s">
        <v>2813</v>
      </c>
    </row>
    <row r="155" spans="2:4" ht="15.75">
      <c r="B155" s="1725" t="s">
        <v>3021</v>
      </c>
      <c r="C155" s="1726" t="s">
        <v>2844</v>
      </c>
      <c r="D155" s="1726" t="s">
        <v>2845</v>
      </c>
    </row>
    <row r="156" spans="2:4" ht="15.75">
      <c r="B156" s="1725" t="s">
        <v>3021</v>
      </c>
      <c r="C156" s="1726" t="s">
        <v>3022</v>
      </c>
      <c r="D156" s="1726" t="s">
        <v>2819</v>
      </c>
    </row>
    <row r="157" spans="2:4" ht="15.75">
      <c r="B157" s="1725" t="s">
        <v>3023</v>
      </c>
      <c r="C157" s="1726" t="s">
        <v>2812</v>
      </c>
      <c r="D157" s="1726" t="s">
        <v>2813</v>
      </c>
    </row>
    <row r="158" spans="2:4" ht="15.75">
      <c r="B158" s="1725" t="s">
        <v>3023</v>
      </c>
      <c r="C158" s="1726" t="s">
        <v>2764</v>
      </c>
      <c r="D158" s="1726" t="s">
        <v>2889</v>
      </c>
    </row>
    <row r="159" spans="2:4" ht="15.75">
      <c r="B159" s="1725" t="s">
        <v>3023</v>
      </c>
      <c r="C159" s="1726" t="s">
        <v>2943</v>
      </c>
      <c r="D159" s="1726" t="s">
        <v>2914</v>
      </c>
    </row>
    <row r="161" spans="2:4" ht="15.75">
      <c r="B161" s="1725" t="s">
        <v>3024</v>
      </c>
      <c r="C161" s="1726" t="s">
        <v>3025</v>
      </c>
      <c r="D161" s="1726" t="s">
        <v>3026</v>
      </c>
    </row>
    <row r="162" spans="2:4" ht="15.75">
      <c r="B162" s="1725" t="s">
        <v>3027</v>
      </c>
      <c r="C162" s="1726" t="s">
        <v>2943</v>
      </c>
      <c r="D162" s="1726" t="s">
        <v>3006</v>
      </c>
    </row>
    <row r="164" spans="2:4" ht="15.75">
      <c r="B164" s="1725" t="s">
        <v>3028</v>
      </c>
      <c r="C164" s="1726" t="s">
        <v>2843</v>
      </c>
      <c r="D164" s="1726" t="s">
        <v>2797</v>
      </c>
    </row>
    <row r="165" spans="2:4" ht="15.75">
      <c r="B165" s="1725" t="s">
        <v>3029</v>
      </c>
      <c r="C165" s="1726" t="s">
        <v>2790</v>
      </c>
      <c r="D165" s="1726" t="s">
        <v>2791</v>
      </c>
    </row>
    <row r="167" spans="2:4" ht="15.75">
      <c r="B167" s="1725" t="s">
        <v>3030</v>
      </c>
      <c r="C167" s="1726" t="s">
        <v>3031</v>
      </c>
      <c r="D167" s="1726" t="s">
        <v>3032</v>
      </c>
    </row>
    <row r="168" spans="2:4" ht="15.75">
      <c r="B168" s="1725" t="s">
        <v>3033</v>
      </c>
      <c r="C168" s="1726" t="s">
        <v>2969</v>
      </c>
      <c r="D168" s="1726" t="s">
        <v>2819</v>
      </c>
    </row>
    <row r="170" spans="2:4" ht="15.75">
      <c r="B170" s="1725" t="s">
        <v>3034</v>
      </c>
      <c r="C170" s="1726" t="s">
        <v>2782</v>
      </c>
      <c r="D170" s="1726" t="s">
        <v>3035</v>
      </c>
    </row>
    <row r="171" spans="2:4" ht="15.75">
      <c r="B171" s="1725" t="s">
        <v>3036</v>
      </c>
      <c r="C171" s="1726" t="s">
        <v>2929</v>
      </c>
      <c r="D171" s="1726" t="s">
        <v>2930</v>
      </c>
    </row>
    <row r="173" spans="2:4" ht="18">
      <c r="B173" s="1740" t="s">
        <v>3037</v>
      </c>
      <c r="C173" s="1741"/>
      <c r="D173" s="1741"/>
    </row>
    <row r="175" spans="2:4">
      <c r="B175" s="1742" t="s">
        <v>3038</v>
      </c>
      <c r="C175" s="358"/>
      <c r="D175" s="358"/>
    </row>
    <row r="176" spans="2:4" ht="15.75">
      <c r="B176" s="1725" t="s">
        <v>3039</v>
      </c>
      <c r="C176" s="1726" t="s">
        <v>2941</v>
      </c>
      <c r="D176" s="1726" t="s">
        <v>3040</v>
      </c>
    </row>
    <row r="177" spans="2:4" ht="15.75">
      <c r="B177" s="1725" t="s">
        <v>3041</v>
      </c>
      <c r="C177" s="1726" t="s">
        <v>3042</v>
      </c>
      <c r="D177" s="1726" t="s">
        <v>3043</v>
      </c>
    </row>
    <row r="178" spans="2:4" ht="15.75">
      <c r="B178" s="1725" t="s">
        <v>3039</v>
      </c>
      <c r="C178" s="1726" t="s">
        <v>2764</v>
      </c>
      <c r="D178" s="1726" t="s">
        <v>3044</v>
      </c>
    </row>
    <row r="180" spans="2:4" ht="15.75">
      <c r="B180" s="1725" t="s">
        <v>3045</v>
      </c>
      <c r="C180" s="1726" t="s">
        <v>2941</v>
      </c>
      <c r="D180" s="1726" t="s">
        <v>3046</v>
      </c>
    </row>
    <row r="181" spans="2:4" ht="15.75">
      <c r="B181" s="1725" t="s">
        <v>3045</v>
      </c>
      <c r="C181" s="1726" t="s">
        <v>3042</v>
      </c>
      <c r="D181" s="1726" t="s">
        <v>3047</v>
      </c>
    </row>
    <row r="182" spans="2:4" ht="15.75">
      <c r="B182" s="1725" t="s">
        <v>3045</v>
      </c>
      <c r="C182" s="1726" t="s">
        <v>2764</v>
      </c>
      <c r="D182" s="1726" t="s">
        <v>3048</v>
      </c>
    </row>
    <row r="183" spans="2:4" ht="15.75">
      <c r="B183" s="1725" t="s">
        <v>3049</v>
      </c>
      <c r="C183" s="1726" t="s">
        <v>3050</v>
      </c>
      <c r="D183" s="1726" t="s">
        <v>3051</v>
      </c>
    </row>
    <row r="184" spans="2:4" ht="15.75">
      <c r="B184" s="1725" t="s">
        <v>3052</v>
      </c>
      <c r="C184" s="1726" t="s">
        <v>3053</v>
      </c>
      <c r="D184" s="1726" t="s">
        <v>3054</v>
      </c>
    </row>
    <row r="186" spans="2:4" ht="15.75">
      <c r="B186" s="1725" t="s">
        <v>3055</v>
      </c>
      <c r="C186" s="1726" t="s">
        <v>2941</v>
      </c>
      <c r="D186" s="1726" t="s">
        <v>3056</v>
      </c>
    </row>
    <row r="187" spans="2:4" ht="15.75">
      <c r="B187" s="1725" t="s">
        <v>3055</v>
      </c>
      <c r="C187" s="1726" t="s">
        <v>3042</v>
      </c>
      <c r="D187" s="1726" t="s">
        <v>3057</v>
      </c>
    </row>
    <row r="188" spans="2:4" ht="15.75">
      <c r="B188" s="1725" t="s">
        <v>3055</v>
      </c>
      <c r="C188" s="1726" t="s">
        <v>2764</v>
      </c>
      <c r="D188" s="1726" t="s">
        <v>2889</v>
      </c>
    </row>
    <row r="189" spans="2:4" ht="15.75">
      <c r="B189" s="1725" t="s">
        <v>3055</v>
      </c>
      <c r="C189" s="1726" t="s">
        <v>3050</v>
      </c>
      <c r="D189" s="1726" t="s">
        <v>2813</v>
      </c>
    </row>
    <row r="190" spans="2:4" ht="15.75">
      <c r="B190" s="1725" t="s">
        <v>3055</v>
      </c>
      <c r="C190" s="1726" t="s">
        <v>3053</v>
      </c>
      <c r="D190" s="1726" t="s">
        <v>2797</v>
      </c>
    </row>
    <row r="192" spans="2:4" ht="15.75">
      <c r="B192" s="1725" t="s">
        <v>3058</v>
      </c>
      <c r="C192" s="1726" t="s">
        <v>2941</v>
      </c>
      <c r="D192" s="1726" t="s">
        <v>2851</v>
      </c>
    </row>
    <row r="193" spans="2:4" ht="15.75">
      <c r="B193" s="1725" t="s">
        <v>3058</v>
      </c>
      <c r="C193" s="1726" t="s">
        <v>3042</v>
      </c>
      <c r="D193" s="1726" t="s">
        <v>3059</v>
      </c>
    </row>
    <row r="194" spans="2:4" ht="15.75">
      <c r="B194" s="1725" t="s">
        <v>3058</v>
      </c>
      <c r="C194" s="1726" t="s">
        <v>2764</v>
      </c>
      <c r="D194" s="1726" t="s">
        <v>3060</v>
      </c>
    </row>
    <row r="195" spans="2:4" ht="15.75">
      <c r="B195" s="1725" t="s">
        <v>3058</v>
      </c>
      <c r="C195" s="1726" t="s">
        <v>3050</v>
      </c>
      <c r="D195" s="1726" t="s">
        <v>3061</v>
      </c>
    </row>
    <row r="196" spans="2:4" ht="15.75">
      <c r="B196" s="1725" t="s">
        <v>3058</v>
      </c>
      <c r="C196" s="1726" t="s">
        <v>3053</v>
      </c>
      <c r="D196" s="1726" t="s">
        <v>3062</v>
      </c>
    </row>
  </sheetData>
  <hyperlinks>
    <hyperlink ref="G64" r:id="rId1" xr:uid="{456C2B6E-F067-40CF-AA66-334F3EDECE16}"/>
    <hyperlink ref="G63" r:id="rId2" xr:uid="{32287DE1-B6D1-4209-BE52-DC82F9EB81E8}"/>
    <hyperlink ref="G65" r:id="rId3" xr:uid="{70D7D26E-93CE-4FB4-BF33-20635FB60CDE}"/>
    <hyperlink ref="G66" r:id="rId4" xr:uid="{11F00207-881F-4824-B536-BBBFD1A73D42}"/>
    <hyperlink ref="G67" r:id="rId5" xr:uid="{74FB5E2D-7FC7-4971-AF8E-B3B537A0297C}"/>
    <hyperlink ref="G68" r:id="rId6" xr:uid="{CFC431B0-97EE-4666-8512-DAEB9AB750C2}"/>
    <hyperlink ref="G69" r:id="rId7" xr:uid="{E0CD4410-03DE-492C-926F-3D63B85F4F59}"/>
    <hyperlink ref="G70" r:id="rId8" xr:uid="{DB9E5A2A-BAA6-4242-B3D0-D68CC777CA45}"/>
    <hyperlink ref="G71" r:id="rId9" xr:uid="{14626856-622E-45CE-8280-0DC0F1A87ED3}"/>
    <hyperlink ref="G72" r:id="rId10" xr:uid="{4A0BC761-2381-40AB-88ED-2CD09C000269}"/>
    <hyperlink ref="G73" r:id="rId11" xr:uid="{F22E92C9-0026-463F-B455-B00B0A55DA60}"/>
  </hyperlinks>
  <pageMargins left="0.7" right="0.7" top="0.75" bottom="0.75" header="0.3" footer="0.3"/>
  <drawing r:id="rId1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F155-FFDB-42A4-A911-1988F68AF347}">
  <dimension ref="A1:AA495"/>
  <sheetViews>
    <sheetView topLeftCell="A133" zoomScaleNormal="100" workbookViewId="0">
      <selection activeCell="E174" sqref="E174"/>
    </sheetView>
  </sheetViews>
  <sheetFormatPr baseColWidth="10" defaultColWidth="11.42578125" defaultRowHeight="15.75"/>
  <cols>
    <col min="1" max="1" width="6.5703125" style="530" customWidth="1"/>
    <col min="2" max="2" width="11.42578125" style="530"/>
    <col min="3" max="3" width="15.5703125" style="530" customWidth="1"/>
    <col min="4" max="4" width="11.42578125" style="530"/>
    <col min="5" max="5" width="16.28515625" style="530" customWidth="1"/>
    <col min="6" max="6" width="13.85546875" style="530" customWidth="1"/>
    <col min="7" max="7" width="14.7109375" style="530" customWidth="1"/>
    <col min="8" max="8" width="13.85546875" style="530" customWidth="1"/>
    <col min="9" max="14" width="11.42578125" style="530"/>
    <col min="15" max="15" width="19.42578125" style="530" customWidth="1"/>
    <col min="16" max="17" width="11.42578125" style="530"/>
    <col min="18" max="18" width="16.42578125" style="530" customWidth="1"/>
    <col min="19" max="20" width="11.42578125" style="530"/>
    <col min="21" max="21" width="13.7109375" style="530" customWidth="1"/>
    <col min="22" max="16384" width="11.42578125" style="530"/>
  </cols>
  <sheetData>
    <row r="1" spans="1:27">
      <c r="R1" s="1128">
        <v>1</v>
      </c>
      <c r="S1" s="1128">
        <v>1</v>
      </c>
      <c r="T1" s="1128">
        <v>1</v>
      </c>
      <c r="U1" s="1128">
        <v>1</v>
      </c>
      <c r="V1" s="1128">
        <v>1</v>
      </c>
      <c r="W1" s="1128">
        <v>1</v>
      </c>
      <c r="X1" s="1128">
        <v>1</v>
      </c>
      <c r="Y1" s="1128">
        <v>1</v>
      </c>
      <c r="Z1" s="1128">
        <v>1</v>
      </c>
      <c r="AA1" s="1128">
        <v>1</v>
      </c>
    </row>
    <row r="2" spans="1:27" s="1724" customFormat="1" ht="33">
      <c r="A2" s="1722">
        <f>(ROW())</f>
        <v>2</v>
      </c>
      <c r="B2" s="8325" t="s">
        <v>3063</v>
      </c>
      <c r="C2" s="8325"/>
      <c r="D2" s="8325"/>
      <c r="E2" s="8325"/>
      <c r="F2" s="8325"/>
      <c r="G2" s="8325"/>
      <c r="H2" s="8325"/>
      <c r="I2" s="8325"/>
      <c r="J2" s="8325"/>
      <c r="K2" s="8325"/>
      <c r="L2" s="8325"/>
      <c r="M2" s="8325"/>
      <c r="N2" s="8325"/>
      <c r="O2" s="8325"/>
      <c r="P2" s="8325"/>
      <c r="Q2" s="8325"/>
      <c r="R2" s="1128"/>
      <c r="S2" s="1128"/>
      <c r="T2" s="1743" t="s">
        <v>3064</v>
      </c>
      <c r="U2" s="9" t="str">
        <f>AA495</f>
        <v>AA495</v>
      </c>
      <c r="V2" s="1128">
        <v>1</v>
      </c>
      <c r="W2" s="1128">
        <v>1</v>
      </c>
      <c r="X2" s="1128">
        <v>1</v>
      </c>
      <c r="Y2" s="1128">
        <v>1</v>
      </c>
      <c r="Z2" s="1128">
        <v>1</v>
      </c>
      <c r="AA2" s="1128">
        <v>1</v>
      </c>
    </row>
    <row r="3" spans="1:27" s="1724" customFormat="1" ht="15">
      <c r="A3" s="1744"/>
      <c r="B3" s="1745"/>
      <c r="C3" s="1745"/>
      <c r="D3" s="1745"/>
      <c r="E3" s="1745"/>
      <c r="F3" s="1745"/>
      <c r="G3" s="1745"/>
      <c r="H3" s="1744"/>
      <c r="I3" s="1744"/>
      <c r="J3" s="1744"/>
      <c r="K3" s="1744"/>
      <c r="L3" s="1744"/>
      <c r="M3" s="1744"/>
      <c r="N3" s="1744"/>
      <c r="O3" s="1744"/>
      <c r="P3" s="1744"/>
      <c r="Q3" s="1744"/>
      <c r="R3" s="1128">
        <v>1</v>
      </c>
      <c r="S3" s="1128">
        <v>1</v>
      </c>
      <c r="T3" s="1128">
        <v>1</v>
      </c>
      <c r="U3" s="1128">
        <v>1</v>
      </c>
      <c r="V3" s="1128">
        <v>1</v>
      </c>
      <c r="W3" s="1128">
        <v>1</v>
      </c>
      <c r="X3" s="1128">
        <v>1</v>
      </c>
      <c r="Y3" s="1128">
        <v>1</v>
      </c>
      <c r="Z3" s="1128">
        <v>1</v>
      </c>
      <c r="AA3" s="1128">
        <v>1</v>
      </c>
    </row>
    <row r="4" spans="1:27" s="1724" customFormat="1" ht="23.25">
      <c r="A4" s="1744"/>
      <c r="B4" s="1745"/>
      <c r="C4" s="1746" t="s">
        <v>3065</v>
      </c>
      <c r="D4" s="1746"/>
      <c r="E4" s="1747"/>
      <c r="F4" s="1747"/>
      <c r="G4" s="1747"/>
      <c r="H4" s="1747"/>
      <c r="I4" s="1744"/>
      <c r="J4" s="1748" t="s">
        <v>3066</v>
      </c>
      <c r="K4" s="1749"/>
      <c r="L4" s="1749"/>
      <c r="M4" s="1749"/>
      <c r="N4" s="1749"/>
      <c r="O4" s="1749"/>
      <c r="P4" s="1744"/>
      <c r="Q4" s="1750" t="str">
        <f ca="1">"Page N°"&amp;_xlfn.SHEET()</f>
        <v>Page N°23</v>
      </c>
      <c r="R4" s="1128">
        <v>1</v>
      </c>
      <c r="S4" s="1128">
        <v>1</v>
      </c>
      <c r="T4" s="1128">
        <v>1</v>
      </c>
      <c r="U4" s="1128">
        <v>1</v>
      </c>
      <c r="V4" s="1128">
        <v>1</v>
      </c>
      <c r="W4" s="1128">
        <v>1</v>
      </c>
      <c r="X4" s="1128">
        <v>1</v>
      </c>
      <c r="Y4" s="1128">
        <v>1</v>
      </c>
      <c r="Z4" s="1128">
        <v>1</v>
      </c>
      <c r="AA4" s="1128">
        <v>1</v>
      </c>
    </row>
    <row r="5" spans="1:27" s="1724" customFormat="1" ht="21">
      <c r="A5" s="1744"/>
      <c r="B5" s="1745"/>
      <c r="C5" s="1751" t="str">
        <f>B54</f>
        <v>B54</v>
      </c>
      <c r="D5" s="1752" t="s">
        <v>750</v>
      </c>
      <c r="E5" s="1747"/>
      <c r="F5" s="1747"/>
      <c r="G5" s="1747"/>
      <c r="H5" s="1747"/>
      <c r="I5" s="1744"/>
      <c r="J5" s="1751" t="str">
        <f>J54</f>
        <v>J54</v>
      </c>
      <c r="K5" s="1752" t="s">
        <v>750</v>
      </c>
      <c r="L5" s="1753"/>
      <c r="M5" s="1753"/>
      <c r="N5" s="1753"/>
      <c r="O5" s="1753"/>
      <c r="P5" s="1744"/>
      <c r="Q5" s="1744"/>
      <c r="R5" s="1128">
        <v>1</v>
      </c>
      <c r="S5" s="1128">
        <v>1</v>
      </c>
      <c r="T5" s="1128">
        <v>1</v>
      </c>
      <c r="U5" s="1128">
        <v>1</v>
      </c>
      <c r="V5" s="1128">
        <v>1</v>
      </c>
      <c r="W5" s="1128">
        <v>1</v>
      </c>
      <c r="X5" s="1128">
        <v>1</v>
      </c>
      <c r="Y5" s="1128">
        <v>1</v>
      </c>
      <c r="Z5" s="1128">
        <v>1</v>
      </c>
      <c r="AA5" s="1128">
        <v>1</v>
      </c>
    </row>
    <row r="6" spans="1:27" s="1724" customFormat="1" ht="18.75">
      <c r="A6" s="1744"/>
      <c r="B6" s="1745"/>
      <c r="E6" s="1753"/>
      <c r="F6" s="1754"/>
      <c r="G6" s="1755"/>
      <c r="H6" s="1755"/>
      <c r="I6" s="1744"/>
      <c r="J6" s="1744"/>
      <c r="K6" s="1744"/>
      <c r="L6" s="1744"/>
      <c r="M6" s="1744"/>
      <c r="N6" s="1744"/>
      <c r="O6" s="1744"/>
      <c r="P6" s="1744"/>
      <c r="Q6" s="1744"/>
      <c r="R6" s="1128">
        <v>1</v>
      </c>
      <c r="S6" s="1128">
        <v>1</v>
      </c>
      <c r="T6" s="1128">
        <v>1</v>
      </c>
      <c r="U6" s="1128">
        <v>1</v>
      </c>
      <c r="V6" s="1128">
        <v>1</v>
      </c>
      <c r="W6" s="1128">
        <v>1</v>
      </c>
      <c r="X6" s="1128">
        <v>1</v>
      </c>
      <c r="Y6" s="1128">
        <v>1</v>
      </c>
      <c r="Z6" s="1128">
        <v>1</v>
      </c>
      <c r="AA6" s="1128">
        <v>1</v>
      </c>
    </row>
    <row r="7" spans="1:27" s="1724" customFormat="1" ht="15" customHeight="1">
      <c r="A7" s="1744"/>
      <c r="B7" s="1745"/>
      <c r="C7" s="1746" t="s">
        <v>3067</v>
      </c>
      <c r="D7" s="1747"/>
      <c r="E7" s="1756"/>
      <c r="F7" s="1756"/>
      <c r="G7" s="1746"/>
      <c r="H7" s="1756"/>
      <c r="I7" s="1744"/>
      <c r="J7" s="1746" t="s">
        <v>3068</v>
      </c>
      <c r="K7" s="1757"/>
      <c r="L7" s="1757"/>
      <c r="M7" s="1744"/>
      <c r="N7" s="1744"/>
      <c r="O7" s="1744"/>
      <c r="P7" s="1744"/>
      <c r="Q7" s="1744"/>
      <c r="R7" s="1128">
        <v>1</v>
      </c>
      <c r="S7" s="1128">
        <v>1</v>
      </c>
      <c r="T7" s="1128">
        <v>1</v>
      </c>
      <c r="U7" s="1128">
        <v>1</v>
      </c>
      <c r="V7" s="1128">
        <v>1</v>
      </c>
      <c r="W7" s="1128">
        <v>1</v>
      </c>
      <c r="X7" s="1128">
        <v>1</v>
      </c>
      <c r="Y7" s="1128">
        <v>1</v>
      </c>
      <c r="Z7" s="1128">
        <v>1</v>
      </c>
      <c r="AA7" s="1128">
        <v>1</v>
      </c>
    </row>
    <row r="8" spans="1:27" s="1724" customFormat="1" ht="21">
      <c r="A8" s="1744"/>
      <c r="B8" s="1745"/>
      <c r="C8" s="1751" t="str">
        <f>B71</f>
        <v>B71</v>
      </c>
      <c r="D8" s="1752" t="s">
        <v>750</v>
      </c>
      <c r="E8" s="1753"/>
      <c r="F8" s="1754"/>
      <c r="G8" s="1754"/>
      <c r="H8" s="1754"/>
      <c r="I8" s="1744"/>
      <c r="J8" s="1751" t="str">
        <f>H185</f>
        <v>H185</v>
      </c>
      <c r="K8" s="1752" t="s">
        <v>750</v>
      </c>
      <c r="L8" s="1753"/>
      <c r="M8" s="1744"/>
      <c r="N8" s="1744"/>
      <c r="O8" s="1744"/>
      <c r="P8" s="1744"/>
      <c r="Q8" s="1744"/>
      <c r="R8" s="1128">
        <v>1</v>
      </c>
      <c r="S8" s="1128">
        <v>1</v>
      </c>
      <c r="T8" s="1128">
        <v>1</v>
      </c>
      <c r="U8" s="1128">
        <v>1</v>
      </c>
      <c r="V8" s="1128">
        <v>1</v>
      </c>
      <c r="W8" s="1128">
        <v>1</v>
      </c>
      <c r="X8" s="1128">
        <v>1</v>
      </c>
      <c r="Y8" s="1128">
        <v>1</v>
      </c>
      <c r="Z8" s="1128">
        <v>1</v>
      </c>
      <c r="AA8" s="1128">
        <v>1</v>
      </c>
    </row>
    <row r="9" spans="1:27" s="1724" customFormat="1" ht="18.75">
      <c r="A9" s="1744"/>
      <c r="B9" s="1753"/>
      <c r="C9" s="1753"/>
      <c r="D9" s="1753"/>
      <c r="E9" s="1753"/>
      <c r="F9" s="1754"/>
      <c r="G9" s="1754"/>
      <c r="H9" s="1754"/>
      <c r="I9" s="1744"/>
      <c r="J9" s="1758"/>
      <c r="K9" s="1758"/>
      <c r="L9" s="1753"/>
      <c r="M9" s="1744"/>
      <c r="N9" s="1744"/>
      <c r="O9" s="1744"/>
      <c r="P9" s="1744"/>
      <c r="Q9" s="1744"/>
      <c r="R9" s="1128">
        <v>1</v>
      </c>
      <c r="S9" s="1128">
        <v>1</v>
      </c>
      <c r="T9" s="1128">
        <v>1</v>
      </c>
      <c r="U9" s="1128">
        <v>1</v>
      </c>
      <c r="V9" s="1128">
        <v>1</v>
      </c>
      <c r="W9" s="1128">
        <v>1</v>
      </c>
      <c r="X9" s="1128">
        <v>1</v>
      </c>
      <c r="Y9" s="1128">
        <v>1</v>
      </c>
      <c r="Z9" s="1128">
        <v>1</v>
      </c>
      <c r="AA9" s="1128">
        <v>1</v>
      </c>
    </row>
    <row r="10" spans="1:27" s="1724" customFormat="1" ht="30">
      <c r="A10" s="1744"/>
      <c r="B10" s="1745"/>
      <c r="C10" s="1746" t="s">
        <v>3069</v>
      </c>
      <c r="D10" s="1759"/>
      <c r="E10" s="1759"/>
      <c r="F10" s="1746"/>
      <c r="G10" s="1746"/>
      <c r="H10" s="1746"/>
      <c r="I10" s="1746"/>
      <c r="J10" s="1746" t="s">
        <v>3070</v>
      </c>
      <c r="K10" s="1757"/>
      <c r="L10" s="1759"/>
      <c r="M10" s="1759"/>
      <c r="N10" s="1759"/>
      <c r="O10" s="1759"/>
      <c r="P10" s="1759"/>
      <c r="Q10" s="1759"/>
      <c r="R10" s="1128">
        <v>1</v>
      </c>
      <c r="S10" s="1128">
        <v>1</v>
      </c>
      <c r="T10" s="1128">
        <v>1</v>
      </c>
      <c r="U10" s="1128">
        <v>1</v>
      </c>
      <c r="V10" s="1128">
        <v>1</v>
      </c>
      <c r="W10" s="1128">
        <v>1</v>
      </c>
      <c r="X10" s="1128">
        <v>1</v>
      </c>
      <c r="Y10" s="1128">
        <v>1</v>
      </c>
      <c r="Z10" s="1128">
        <v>1</v>
      </c>
      <c r="AA10" s="1128">
        <v>1</v>
      </c>
    </row>
    <row r="11" spans="1:27" s="1724" customFormat="1" ht="21">
      <c r="A11" s="1744"/>
      <c r="B11" s="1745"/>
      <c r="C11" s="1751" t="str">
        <f>B101</f>
        <v>B101</v>
      </c>
      <c r="D11" s="1752" t="s">
        <v>750</v>
      </c>
      <c r="E11" s="1760"/>
      <c r="F11" s="1760"/>
      <c r="G11" s="1760"/>
      <c r="H11" s="1760"/>
      <c r="I11" s="1760"/>
      <c r="J11" s="1751" t="str">
        <f>H200</f>
        <v>H200</v>
      </c>
      <c r="K11" s="1752" t="s">
        <v>750</v>
      </c>
      <c r="L11" s="1744"/>
      <c r="M11" s="1760"/>
      <c r="N11" s="1760"/>
      <c r="O11" s="1760"/>
      <c r="P11" s="1761"/>
      <c r="Q11" s="1760"/>
      <c r="R11" s="1128">
        <v>1</v>
      </c>
      <c r="S11" s="1128">
        <v>1</v>
      </c>
      <c r="T11" s="1128">
        <v>1</v>
      </c>
      <c r="U11" s="1128">
        <v>1</v>
      </c>
      <c r="V11" s="1128">
        <v>1</v>
      </c>
      <c r="W11" s="1128">
        <v>1</v>
      </c>
      <c r="X11" s="1128">
        <v>1</v>
      </c>
      <c r="Y11" s="1128">
        <v>1</v>
      </c>
      <c r="Z11" s="1128">
        <v>1</v>
      </c>
      <c r="AA11" s="1128">
        <v>1</v>
      </c>
    </row>
    <row r="12" spans="1:27" s="1724" customFormat="1" ht="15">
      <c r="A12" s="1744"/>
      <c r="B12" s="1745"/>
      <c r="C12" s="1745"/>
      <c r="D12" s="1745"/>
      <c r="E12" s="1745"/>
      <c r="F12" s="1745"/>
      <c r="G12" s="1745"/>
      <c r="H12" s="1744"/>
      <c r="I12" s="1744"/>
      <c r="J12" s="1744"/>
      <c r="K12" s="1744"/>
      <c r="L12" s="1744"/>
      <c r="M12" s="1744"/>
      <c r="N12" s="1744"/>
      <c r="O12" s="1744"/>
      <c r="P12" s="1744"/>
      <c r="Q12" s="1744"/>
      <c r="R12" s="1128">
        <v>1</v>
      </c>
      <c r="S12" s="1128">
        <v>1</v>
      </c>
      <c r="T12" s="1128">
        <v>1</v>
      </c>
      <c r="U12" s="1128">
        <v>1</v>
      </c>
      <c r="V12" s="1128">
        <v>1</v>
      </c>
      <c r="W12" s="1128">
        <v>1</v>
      </c>
      <c r="X12" s="1128">
        <v>1</v>
      </c>
      <c r="Y12" s="1128">
        <v>1</v>
      </c>
      <c r="Z12" s="1128">
        <v>1</v>
      </c>
      <c r="AA12" s="1128">
        <v>1</v>
      </c>
    </row>
    <row r="13" spans="1:27" s="1724" customFormat="1" ht="21">
      <c r="A13" s="1744"/>
      <c r="B13" s="1745"/>
      <c r="C13" s="1746" t="s">
        <v>3071</v>
      </c>
      <c r="D13" s="1762"/>
      <c r="E13" s="1762"/>
      <c r="F13" s="1762"/>
      <c r="G13" s="1762"/>
      <c r="H13" s="1744"/>
      <c r="I13" s="1744"/>
      <c r="J13" s="1746" t="s">
        <v>3072</v>
      </c>
      <c r="K13" s="1757"/>
      <c r="L13" s="1744"/>
      <c r="M13" s="1744"/>
      <c r="N13" s="1744"/>
      <c r="O13" s="1744"/>
      <c r="P13" s="1744"/>
      <c r="Q13" s="1744"/>
      <c r="R13" s="1128">
        <v>1</v>
      </c>
      <c r="S13" s="1128">
        <v>1</v>
      </c>
      <c r="T13" s="1128">
        <v>1</v>
      </c>
      <c r="U13" s="1128">
        <v>1</v>
      </c>
      <c r="V13" s="1128">
        <v>1</v>
      </c>
      <c r="W13" s="1128">
        <v>1</v>
      </c>
      <c r="X13" s="1128">
        <v>1</v>
      </c>
      <c r="Y13" s="1128">
        <v>1</v>
      </c>
      <c r="Z13" s="1128">
        <v>1</v>
      </c>
      <c r="AA13" s="1128">
        <v>1</v>
      </c>
    </row>
    <row r="14" spans="1:27" s="1724" customFormat="1" ht="21">
      <c r="A14" s="1744"/>
      <c r="B14" s="1745"/>
      <c r="C14" s="1751" t="str">
        <f>B121</f>
        <v>B121</v>
      </c>
      <c r="D14" s="1752" t="s">
        <v>750</v>
      </c>
      <c r="E14" s="1763"/>
      <c r="F14" s="1763"/>
      <c r="G14" s="1763"/>
      <c r="H14" s="1744"/>
      <c r="I14" s="1744"/>
      <c r="J14" s="1751" t="str">
        <f>N219</f>
        <v>N219</v>
      </c>
      <c r="K14" s="1752" t="s">
        <v>750</v>
      </c>
      <c r="L14" s="1744"/>
      <c r="M14" s="1744"/>
      <c r="N14" s="1744"/>
      <c r="O14" s="1744"/>
      <c r="P14" s="1744"/>
      <c r="Q14" s="1744"/>
      <c r="R14" s="1128">
        <v>1</v>
      </c>
      <c r="S14" s="1128">
        <v>1</v>
      </c>
      <c r="T14" s="1128">
        <v>1</v>
      </c>
      <c r="U14" s="1128">
        <v>1</v>
      </c>
      <c r="V14" s="1128">
        <v>1</v>
      </c>
      <c r="W14" s="1128">
        <v>1</v>
      </c>
      <c r="X14" s="1128">
        <v>1</v>
      </c>
      <c r="Y14" s="1128">
        <v>1</v>
      </c>
      <c r="Z14" s="1128">
        <v>1</v>
      </c>
      <c r="AA14" s="1128">
        <v>1</v>
      </c>
    </row>
    <row r="15" spans="1:27" s="1724" customFormat="1" ht="20.25">
      <c r="A15" s="1744"/>
      <c r="B15" s="1745"/>
      <c r="C15" s="1745"/>
      <c r="D15" s="1745"/>
      <c r="E15" s="1745"/>
      <c r="F15" s="1745"/>
      <c r="G15" s="1745"/>
      <c r="H15" s="1744"/>
      <c r="I15" s="1744"/>
      <c r="J15" s="1764"/>
      <c r="K15" s="1764"/>
      <c r="L15" s="1744"/>
      <c r="M15" s="1744"/>
      <c r="N15" s="1744"/>
      <c r="O15" s="1744"/>
      <c r="P15" s="1744"/>
      <c r="Q15" s="1744"/>
      <c r="R15" s="1128">
        <v>1</v>
      </c>
      <c r="S15" s="1128">
        <v>1</v>
      </c>
      <c r="T15" s="1128">
        <v>1</v>
      </c>
      <c r="U15" s="1128">
        <v>1</v>
      </c>
      <c r="V15" s="1128">
        <v>1</v>
      </c>
      <c r="W15" s="1128">
        <v>1</v>
      </c>
      <c r="X15" s="1128">
        <v>1</v>
      </c>
      <c r="Y15" s="1128">
        <v>1</v>
      </c>
      <c r="Z15" s="1128">
        <v>1</v>
      </c>
      <c r="AA15" s="1128">
        <v>1</v>
      </c>
    </row>
    <row r="16" spans="1:27" s="1724" customFormat="1" ht="21">
      <c r="A16" s="1744"/>
      <c r="B16" s="1745"/>
      <c r="C16" s="1746" t="s">
        <v>3073</v>
      </c>
      <c r="D16" s="1764"/>
      <c r="E16" s="1764"/>
      <c r="F16" s="1764"/>
      <c r="G16" s="1764"/>
      <c r="H16" s="1764"/>
      <c r="I16" s="1764"/>
      <c r="J16" s="1746" t="s">
        <v>3074</v>
      </c>
      <c r="K16" s="1757"/>
      <c r="L16" s="1744"/>
      <c r="M16" s="1764"/>
      <c r="N16" s="1744"/>
      <c r="O16" s="1744"/>
      <c r="P16" s="1744"/>
      <c r="Q16" s="1744"/>
      <c r="R16" s="1128">
        <v>1</v>
      </c>
      <c r="S16" s="1128">
        <v>1</v>
      </c>
      <c r="T16" s="1128">
        <v>1</v>
      </c>
      <c r="U16" s="1128">
        <v>1</v>
      </c>
      <c r="V16" s="1128">
        <v>1</v>
      </c>
      <c r="W16" s="1128">
        <v>1</v>
      </c>
      <c r="X16" s="1128">
        <v>1</v>
      </c>
      <c r="Y16" s="1128">
        <v>1</v>
      </c>
      <c r="Z16" s="1128">
        <v>1</v>
      </c>
      <c r="AA16" s="1128">
        <v>1</v>
      </c>
    </row>
    <row r="17" spans="1:27" s="1724" customFormat="1" ht="21">
      <c r="A17" s="1744"/>
      <c r="B17" s="1745"/>
      <c r="C17" s="1751" t="str">
        <f>B136</f>
        <v>B136</v>
      </c>
      <c r="D17" s="1752" t="s">
        <v>750</v>
      </c>
      <c r="E17" s="1753"/>
      <c r="F17" s="1753"/>
      <c r="G17" s="1753"/>
      <c r="H17" s="1753"/>
      <c r="I17" s="1753"/>
      <c r="J17" s="1751" t="str">
        <f>N231</f>
        <v>N231</v>
      </c>
      <c r="K17" s="1752" t="s">
        <v>750</v>
      </c>
      <c r="L17" s="1744"/>
      <c r="M17" s="1753"/>
      <c r="N17" s="1744"/>
      <c r="O17" s="1744"/>
      <c r="P17" s="1744"/>
      <c r="Q17" s="1744"/>
      <c r="R17" s="1128">
        <v>1</v>
      </c>
      <c r="S17" s="1128">
        <v>1</v>
      </c>
      <c r="T17" s="1128">
        <v>1</v>
      </c>
      <c r="U17" s="1128">
        <v>1</v>
      </c>
      <c r="V17" s="1128">
        <v>1</v>
      </c>
      <c r="W17" s="1128">
        <v>1</v>
      </c>
      <c r="X17" s="1128">
        <v>1</v>
      </c>
      <c r="Y17" s="1128">
        <v>1</v>
      </c>
      <c r="Z17" s="1128">
        <v>1</v>
      </c>
      <c r="AA17" s="1128">
        <v>1</v>
      </c>
    </row>
    <row r="18" spans="1:27" s="1724" customFormat="1" ht="15">
      <c r="A18" s="1744"/>
      <c r="B18" s="1745"/>
      <c r="C18" s="1745"/>
      <c r="D18" s="1745"/>
      <c r="E18" s="1745"/>
      <c r="F18" s="1745"/>
      <c r="G18" s="1745"/>
      <c r="H18" s="1744"/>
      <c r="I18" s="1744"/>
      <c r="J18" s="1744"/>
      <c r="K18" s="1744"/>
      <c r="L18" s="1744"/>
      <c r="M18" s="1744"/>
      <c r="N18" s="1744"/>
      <c r="O18" s="1744"/>
      <c r="P18" s="1744"/>
      <c r="Q18" s="1744"/>
      <c r="R18" s="1128">
        <v>1</v>
      </c>
      <c r="S18" s="1128">
        <v>1</v>
      </c>
      <c r="T18" s="1128">
        <v>1</v>
      </c>
      <c r="U18" s="1128">
        <v>1</v>
      </c>
      <c r="V18" s="1128">
        <v>1</v>
      </c>
      <c r="W18" s="1128">
        <v>1</v>
      </c>
      <c r="X18" s="1128">
        <v>1</v>
      </c>
      <c r="Y18" s="1128">
        <v>1</v>
      </c>
      <c r="Z18" s="1128">
        <v>1</v>
      </c>
      <c r="AA18" s="1128">
        <v>1</v>
      </c>
    </row>
    <row r="19" spans="1:27" s="1724" customFormat="1" ht="21">
      <c r="A19" s="1744"/>
      <c r="B19" s="1745"/>
      <c r="C19" s="1746" t="s">
        <v>3075</v>
      </c>
      <c r="D19" s="1745"/>
      <c r="E19" s="1745"/>
      <c r="F19" s="1745"/>
      <c r="G19" s="1745"/>
      <c r="H19" s="1744"/>
      <c r="I19" s="1744"/>
      <c r="J19" s="1746" t="s">
        <v>3076</v>
      </c>
      <c r="K19" s="1757"/>
      <c r="L19" s="1744"/>
      <c r="M19" s="1744"/>
      <c r="N19" s="1744"/>
      <c r="O19" s="1744"/>
      <c r="P19" s="1744"/>
      <c r="Q19" s="1744"/>
      <c r="R19" s="1128">
        <v>1</v>
      </c>
      <c r="S19" s="1128">
        <v>1</v>
      </c>
      <c r="T19" s="1128">
        <v>1</v>
      </c>
      <c r="U19" s="1128">
        <v>1</v>
      </c>
      <c r="V19" s="1128">
        <v>1</v>
      </c>
      <c r="W19" s="1128">
        <v>1</v>
      </c>
      <c r="X19" s="1128">
        <v>1</v>
      </c>
      <c r="Y19" s="1128">
        <v>1</v>
      </c>
      <c r="Z19" s="1128">
        <v>1</v>
      </c>
      <c r="AA19" s="1128">
        <v>1</v>
      </c>
    </row>
    <row r="20" spans="1:27" s="1724" customFormat="1" ht="21">
      <c r="A20" s="1744"/>
      <c r="B20" s="1745"/>
      <c r="C20" s="1751" t="str">
        <f>B157</f>
        <v>B157</v>
      </c>
      <c r="D20" s="1752" t="s">
        <v>750</v>
      </c>
      <c r="E20" s="1745"/>
      <c r="F20" s="1745"/>
      <c r="G20" s="1745"/>
      <c r="H20" s="1744"/>
      <c r="I20" s="1744"/>
      <c r="J20" s="1751" t="str">
        <f>M248</f>
        <v>M248</v>
      </c>
      <c r="K20" s="1752" t="s">
        <v>750</v>
      </c>
      <c r="L20" s="1744"/>
      <c r="M20" s="1744"/>
      <c r="N20" s="1744"/>
      <c r="O20" s="1744"/>
      <c r="P20" s="1744"/>
      <c r="Q20" s="1744"/>
      <c r="R20" s="1128">
        <v>1</v>
      </c>
      <c r="S20" s="1128">
        <v>1</v>
      </c>
      <c r="T20" s="1128">
        <v>1</v>
      </c>
      <c r="U20" s="1128">
        <v>1</v>
      </c>
      <c r="V20" s="1128">
        <v>1</v>
      </c>
      <c r="W20" s="1128">
        <v>1</v>
      </c>
      <c r="X20" s="1128">
        <v>1</v>
      </c>
      <c r="Y20" s="1128">
        <v>1</v>
      </c>
      <c r="Z20" s="1128">
        <v>1</v>
      </c>
      <c r="AA20" s="1128">
        <v>1</v>
      </c>
    </row>
    <row r="21" spans="1:27" s="1724" customFormat="1" ht="15">
      <c r="A21" s="1744"/>
      <c r="B21" s="1745"/>
      <c r="C21" s="1745"/>
      <c r="D21" s="1745"/>
      <c r="E21" s="1745"/>
      <c r="F21" s="1745"/>
      <c r="G21" s="1745"/>
      <c r="H21" s="1744"/>
      <c r="I21" s="1744"/>
      <c r="K21" s="1744"/>
      <c r="L21" s="1744"/>
      <c r="M21" s="1744"/>
      <c r="N21" s="1744"/>
      <c r="O21" s="1744"/>
      <c r="P21" s="1744"/>
      <c r="Q21" s="1744"/>
      <c r="R21" s="1128">
        <v>1</v>
      </c>
      <c r="S21" s="1128">
        <v>1</v>
      </c>
      <c r="T21" s="1128">
        <v>1</v>
      </c>
      <c r="U21" s="1128">
        <v>1</v>
      </c>
      <c r="V21" s="1128">
        <v>1</v>
      </c>
      <c r="W21" s="1128">
        <v>1</v>
      </c>
      <c r="X21" s="1128">
        <v>1</v>
      </c>
      <c r="Y21" s="1128">
        <v>1</v>
      </c>
      <c r="Z21" s="1128">
        <v>1</v>
      </c>
      <c r="AA21" s="1128">
        <v>1</v>
      </c>
    </row>
    <row r="22" spans="1:27" s="1724" customFormat="1" ht="21">
      <c r="A22" s="1744"/>
      <c r="B22" s="1745"/>
      <c r="C22" s="1746" t="s">
        <v>3077</v>
      </c>
      <c r="D22" s="1745"/>
      <c r="E22" s="1745"/>
      <c r="F22" s="1745"/>
      <c r="G22" s="1745"/>
      <c r="H22" s="1744"/>
      <c r="I22" s="1744"/>
      <c r="J22" s="1746" t="s">
        <v>3078</v>
      </c>
      <c r="K22" s="1762"/>
      <c r="L22" s="1744"/>
      <c r="M22" s="1744"/>
      <c r="N22" s="1744"/>
      <c r="O22" s="1744"/>
      <c r="P22" s="1744"/>
      <c r="Q22" s="1744"/>
      <c r="R22" s="1128">
        <v>1</v>
      </c>
      <c r="S22" s="1128">
        <v>1</v>
      </c>
      <c r="T22" s="1128">
        <v>1</v>
      </c>
      <c r="U22" s="1128">
        <v>1</v>
      </c>
      <c r="V22" s="1128">
        <v>1</v>
      </c>
      <c r="W22" s="1128">
        <v>1</v>
      </c>
      <c r="X22" s="1128">
        <v>1</v>
      </c>
      <c r="Y22" s="1128">
        <v>1</v>
      </c>
      <c r="Z22" s="1128">
        <v>1</v>
      </c>
      <c r="AA22" s="1128">
        <v>1</v>
      </c>
    </row>
    <row r="23" spans="1:27" s="1724" customFormat="1" ht="21">
      <c r="A23" s="1744"/>
      <c r="B23" s="1745"/>
      <c r="C23" s="1751" t="str">
        <f>B170</f>
        <v>B170</v>
      </c>
      <c r="D23" s="1752" t="s">
        <v>750</v>
      </c>
      <c r="E23" s="1745"/>
      <c r="F23" s="1745"/>
      <c r="G23" s="1745"/>
      <c r="H23" s="1744"/>
      <c r="I23" s="1744"/>
      <c r="J23" s="1751" t="str">
        <f>B356</f>
        <v>B356</v>
      </c>
      <c r="K23" s="1752" t="s">
        <v>750</v>
      </c>
      <c r="L23" s="1744"/>
      <c r="M23" s="1744"/>
      <c r="N23" s="1744"/>
      <c r="O23" s="1744"/>
      <c r="P23" s="1744"/>
      <c r="Q23" s="1744"/>
      <c r="R23" s="1128">
        <v>1</v>
      </c>
      <c r="S23" s="1128">
        <v>1</v>
      </c>
      <c r="T23" s="1128">
        <v>1</v>
      </c>
      <c r="U23" s="1128">
        <v>1</v>
      </c>
      <c r="V23" s="1128">
        <v>1</v>
      </c>
      <c r="W23" s="1128">
        <v>1</v>
      </c>
      <c r="X23" s="1128">
        <v>1</v>
      </c>
      <c r="Y23" s="1128">
        <v>1</v>
      </c>
      <c r="Z23" s="1128">
        <v>1</v>
      </c>
      <c r="AA23" s="1128">
        <v>1</v>
      </c>
    </row>
    <row r="24" spans="1:27" s="1724" customFormat="1" ht="15">
      <c r="A24" s="1744"/>
      <c r="B24" s="1745"/>
      <c r="C24" s="1745"/>
      <c r="D24" s="1745"/>
      <c r="E24" s="1745"/>
      <c r="F24" s="1745"/>
      <c r="G24" s="1745"/>
      <c r="H24" s="1744"/>
      <c r="I24" s="1744"/>
      <c r="J24" s="1745"/>
      <c r="K24" s="1745"/>
      <c r="L24" s="1744"/>
      <c r="M24" s="1744"/>
      <c r="N24" s="1744"/>
      <c r="O24" s="1744"/>
      <c r="P24" s="1744"/>
      <c r="Q24" s="1744"/>
      <c r="R24" s="1128">
        <v>1</v>
      </c>
      <c r="S24" s="1128">
        <v>1</v>
      </c>
      <c r="T24" s="1128">
        <v>1</v>
      </c>
      <c r="U24" s="1128">
        <v>1</v>
      </c>
      <c r="V24" s="1128">
        <v>1</v>
      </c>
      <c r="W24" s="1128">
        <v>1</v>
      </c>
      <c r="X24" s="1128">
        <v>1</v>
      </c>
      <c r="Y24" s="1128">
        <v>1</v>
      </c>
      <c r="Z24" s="1128">
        <v>1</v>
      </c>
      <c r="AA24" s="1128">
        <v>1</v>
      </c>
    </row>
    <row r="25" spans="1:27" s="1724" customFormat="1" ht="21">
      <c r="A25" s="1744"/>
      <c r="B25" s="1745"/>
      <c r="C25" s="1746" t="s">
        <v>3068</v>
      </c>
      <c r="D25" s="1757"/>
      <c r="E25" s="1757"/>
      <c r="F25" s="1757"/>
      <c r="G25" s="1745"/>
      <c r="H25" s="1744"/>
      <c r="I25" s="1744"/>
      <c r="J25" s="1746" t="s">
        <v>3079</v>
      </c>
      <c r="K25" s="1762"/>
      <c r="L25" s="1744"/>
      <c r="M25" s="1744"/>
      <c r="N25" s="1744"/>
      <c r="O25" s="1744"/>
      <c r="P25" s="1744"/>
      <c r="Q25" s="1744"/>
      <c r="R25" s="1128">
        <v>1</v>
      </c>
      <c r="S25" s="1128">
        <v>1</v>
      </c>
      <c r="T25" s="1128">
        <v>1</v>
      </c>
      <c r="U25" s="1128">
        <v>1</v>
      </c>
      <c r="V25" s="1128">
        <v>1</v>
      </c>
      <c r="W25" s="1128">
        <v>1</v>
      </c>
      <c r="X25" s="1128">
        <v>1</v>
      </c>
      <c r="Y25" s="1128">
        <v>1</v>
      </c>
      <c r="Z25" s="1128">
        <v>1</v>
      </c>
      <c r="AA25" s="1128">
        <v>1</v>
      </c>
    </row>
    <row r="26" spans="1:27" s="1724" customFormat="1" ht="21">
      <c r="A26" s="1744"/>
      <c r="B26" s="1745"/>
      <c r="C26" s="1751" t="str">
        <f>B185</f>
        <v>B185</v>
      </c>
      <c r="D26" s="1752" t="s">
        <v>750</v>
      </c>
      <c r="E26" s="1753"/>
      <c r="F26" s="1765"/>
      <c r="G26" s="1745"/>
      <c r="H26" s="1744"/>
      <c r="I26" s="1744"/>
      <c r="J26" s="1751" t="str">
        <f>H343</f>
        <v>H343</v>
      </c>
      <c r="K26" s="1752" t="s">
        <v>750</v>
      </c>
      <c r="L26" s="1744"/>
      <c r="M26" s="1744"/>
      <c r="N26" s="1744"/>
      <c r="O26" s="1744"/>
      <c r="P26" s="1744"/>
      <c r="Q26" s="1744"/>
      <c r="R26" s="1128">
        <v>1</v>
      </c>
      <c r="S26" s="1128">
        <v>1</v>
      </c>
      <c r="T26" s="1128">
        <v>1</v>
      </c>
      <c r="U26" s="1128">
        <v>1</v>
      </c>
      <c r="V26" s="1128">
        <v>1</v>
      </c>
      <c r="W26" s="1128">
        <v>1</v>
      </c>
      <c r="X26" s="1128">
        <v>1</v>
      </c>
      <c r="Y26" s="1128">
        <v>1</v>
      </c>
      <c r="Z26" s="1128">
        <v>1</v>
      </c>
      <c r="AA26" s="1128">
        <v>1</v>
      </c>
    </row>
    <row r="27" spans="1:27" s="1724" customFormat="1" ht="15">
      <c r="A27" s="1744"/>
      <c r="B27" s="1745"/>
      <c r="C27" s="1745"/>
      <c r="D27" s="1745"/>
      <c r="E27" s="1745"/>
      <c r="F27" s="1745"/>
      <c r="G27" s="1745"/>
      <c r="H27" s="1744"/>
      <c r="I27" s="1744"/>
      <c r="L27" s="1744"/>
      <c r="M27" s="1744"/>
      <c r="N27" s="1744"/>
      <c r="O27" s="1744"/>
      <c r="P27" s="1744"/>
      <c r="Q27" s="1744"/>
      <c r="R27" s="1128">
        <v>1</v>
      </c>
      <c r="S27" s="1128">
        <v>1</v>
      </c>
      <c r="T27" s="1128">
        <v>1</v>
      </c>
      <c r="U27" s="1128">
        <v>1</v>
      </c>
      <c r="V27" s="1128">
        <v>1</v>
      </c>
      <c r="W27" s="1128">
        <v>1</v>
      </c>
      <c r="X27" s="1128">
        <v>1</v>
      </c>
      <c r="Y27" s="1128">
        <v>1</v>
      </c>
      <c r="Z27" s="1128">
        <v>1</v>
      </c>
      <c r="AA27" s="1128">
        <v>1</v>
      </c>
    </row>
    <row r="28" spans="1:27" s="1724" customFormat="1" ht="21">
      <c r="A28" s="1744"/>
      <c r="B28" s="1745"/>
      <c r="C28" s="1746" t="s">
        <v>3070</v>
      </c>
      <c r="D28" s="1757"/>
      <c r="E28" s="1757"/>
      <c r="F28" s="1745"/>
      <c r="G28" s="1745"/>
      <c r="H28" s="1744"/>
      <c r="I28" s="1744"/>
      <c r="J28" s="1746" t="s">
        <v>3080</v>
      </c>
      <c r="K28" s="1762"/>
      <c r="L28" s="1762"/>
      <c r="M28" s="1762"/>
      <c r="N28" s="1762"/>
      <c r="O28" s="1744"/>
      <c r="P28" s="1744"/>
      <c r="Q28" s="1744"/>
      <c r="R28" s="1128">
        <v>1</v>
      </c>
      <c r="S28" s="1128">
        <v>1</v>
      </c>
      <c r="T28" s="1128">
        <v>1</v>
      </c>
      <c r="U28" s="1128">
        <v>1</v>
      </c>
      <c r="V28" s="1128">
        <v>1</v>
      </c>
      <c r="W28" s="1128">
        <v>1</v>
      </c>
      <c r="X28" s="1128">
        <v>1</v>
      </c>
      <c r="Y28" s="1128">
        <v>1</v>
      </c>
      <c r="Z28" s="1128">
        <v>1</v>
      </c>
      <c r="AA28" s="1128">
        <v>1</v>
      </c>
    </row>
    <row r="29" spans="1:27" s="1724" customFormat="1" ht="21">
      <c r="A29" s="1744"/>
      <c r="B29" s="1745"/>
      <c r="C29" s="1751" t="str">
        <f>B200</f>
        <v>B200</v>
      </c>
      <c r="D29" s="1752" t="s">
        <v>750</v>
      </c>
      <c r="E29" s="1753"/>
      <c r="F29" s="1745"/>
      <c r="G29" s="1745"/>
      <c r="H29" s="1744"/>
      <c r="I29" s="1744"/>
      <c r="J29" s="1751" t="str">
        <f>B383</f>
        <v>B383</v>
      </c>
      <c r="K29" s="1752" t="s">
        <v>750</v>
      </c>
      <c r="L29" s="1763"/>
      <c r="M29" s="1763"/>
      <c r="N29" s="1763"/>
      <c r="O29" s="1744"/>
      <c r="P29" s="1744"/>
      <c r="Q29" s="1744"/>
      <c r="R29" s="1128">
        <v>1</v>
      </c>
      <c r="S29" s="1128">
        <v>1</v>
      </c>
      <c r="T29" s="1128">
        <v>1</v>
      </c>
      <c r="U29" s="1128">
        <v>1</v>
      </c>
      <c r="V29" s="1128">
        <v>1</v>
      </c>
      <c r="W29" s="1128">
        <v>1</v>
      </c>
      <c r="X29" s="1128">
        <v>1</v>
      </c>
      <c r="Y29" s="1128">
        <v>1</v>
      </c>
      <c r="Z29" s="1128">
        <v>1</v>
      </c>
      <c r="AA29" s="1128">
        <v>1</v>
      </c>
    </row>
    <row r="30" spans="1:27" s="1724" customFormat="1" ht="18.75">
      <c r="A30" s="1744"/>
      <c r="B30" s="1745"/>
      <c r="C30" s="1745"/>
      <c r="D30" s="1745"/>
      <c r="E30" s="1745"/>
      <c r="F30" s="1745"/>
      <c r="G30" s="1745"/>
      <c r="H30" s="1744"/>
      <c r="I30" s="1744"/>
      <c r="J30" s="1745"/>
      <c r="K30" s="1745"/>
      <c r="L30" s="1745"/>
      <c r="M30" s="1744"/>
      <c r="N30" s="1763"/>
      <c r="O30" s="1763"/>
      <c r="P30" s="1744"/>
      <c r="Q30" s="1744"/>
      <c r="R30" s="1128">
        <v>1</v>
      </c>
      <c r="S30" s="1128">
        <v>1</v>
      </c>
      <c r="T30" s="1128">
        <v>1</v>
      </c>
      <c r="U30" s="1128">
        <v>1</v>
      </c>
      <c r="V30" s="1128">
        <v>1</v>
      </c>
      <c r="W30" s="1128">
        <v>1</v>
      </c>
      <c r="X30" s="1128">
        <v>1</v>
      </c>
      <c r="Y30" s="1128">
        <v>1</v>
      </c>
      <c r="Z30" s="1128">
        <v>1</v>
      </c>
      <c r="AA30" s="1128">
        <v>1</v>
      </c>
    </row>
    <row r="31" spans="1:27" s="1724" customFormat="1" ht="21">
      <c r="A31" s="1744"/>
      <c r="B31" s="1745"/>
      <c r="C31" s="1746" t="s">
        <v>3069</v>
      </c>
      <c r="D31" s="1745"/>
      <c r="E31" s="1745"/>
      <c r="F31" s="1745"/>
      <c r="G31" s="1745"/>
      <c r="H31" s="1744"/>
      <c r="I31" s="1744"/>
      <c r="J31" s="1746" t="s">
        <v>3081</v>
      </c>
      <c r="K31" s="1762"/>
      <c r="L31" s="1762"/>
      <c r="M31" s="1762"/>
      <c r="N31" s="1763"/>
      <c r="O31" s="1763"/>
      <c r="P31" s="1744"/>
      <c r="Q31" s="1744"/>
      <c r="R31" s="1128">
        <v>1</v>
      </c>
      <c r="S31" s="1128">
        <v>1</v>
      </c>
      <c r="T31" s="1128">
        <v>1</v>
      </c>
      <c r="U31" s="1128">
        <v>1</v>
      </c>
      <c r="V31" s="1128">
        <v>1</v>
      </c>
      <c r="W31" s="1128">
        <v>1</v>
      </c>
      <c r="X31" s="1128">
        <v>1</v>
      </c>
      <c r="Y31" s="1128">
        <v>1</v>
      </c>
      <c r="Z31" s="1128">
        <v>1</v>
      </c>
      <c r="AA31" s="1128">
        <v>1</v>
      </c>
    </row>
    <row r="32" spans="1:27" s="1724" customFormat="1" ht="21">
      <c r="A32" s="1744"/>
      <c r="B32" s="1745"/>
      <c r="C32" s="1751" t="str">
        <f>B219</f>
        <v>B219</v>
      </c>
      <c r="D32" s="1752" t="s">
        <v>750</v>
      </c>
      <c r="E32" s="1745"/>
      <c r="F32" s="1745"/>
      <c r="G32" s="1745"/>
      <c r="H32" s="1744"/>
      <c r="I32" s="1744"/>
      <c r="J32" s="1751" t="str">
        <f>B403</f>
        <v>B403</v>
      </c>
      <c r="K32" s="1752" t="s">
        <v>750</v>
      </c>
      <c r="L32" s="1763"/>
      <c r="M32" s="1763"/>
      <c r="N32" s="1763"/>
      <c r="O32" s="1744"/>
      <c r="P32" s="1744"/>
      <c r="Q32" s="1744"/>
      <c r="R32" s="1128">
        <v>1</v>
      </c>
      <c r="S32" s="1128">
        <v>1</v>
      </c>
      <c r="T32" s="1128">
        <v>1</v>
      </c>
      <c r="U32" s="1128">
        <v>1</v>
      </c>
      <c r="V32" s="1128">
        <v>1</v>
      </c>
      <c r="W32" s="1128">
        <v>1</v>
      </c>
      <c r="X32" s="1128">
        <v>1</v>
      </c>
      <c r="Y32" s="1128">
        <v>1</v>
      </c>
      <c r="Z32" s="1128">
        <v>1</v>
      </c>
      <c r="AA32" s="1128">
        <v>1</v>
      </c>
    </row>
    <row r="33" spans="1:27" s="1724" customFormat="1" ht="15">
      <c r="A33" s="1744"/>
      <c r="B33" s="1745"/>
      <c r="C33" s="1745"/>
      <c r="D33" s="1745"/>
      <c r="E33" s="1745"/>
      <c r="F33" s="1745"/>
      <c r="G33" s="1745"/>
      <c r="H33" s="1744"/>
      <c r="I33" s="1744"/>
      <c r="J33" s="1745"/>
      <c r="K33" s="1745"/>
      <c r="L33" s="1745"/>
      <c r="M33" s="1744"/>
      <c r="N33" s="1744"/>
      <c r="O33" s="1744"/>
      <c r="P33" s="1744"/>
      <c r="Q33" s="1744"/>
      <c r="R33" s="1128">
        <v>1</v>
      </c>
      <c r="S33" s="1128">
        <v>1</v>
      </c>
      <c r="T33" s="1128">
        <v>1</v>
      </c>
      <c r="U33" s="1128">
        <v>1</v>
      </c>
      <c r="V33" s="1128">
        <v>1</v>
      </c>
      <c r="W33" s="1128">
        <v>1</v>
      </c>
      <c r="X33" s="1128">
        <v>1</v>
      </c>
      <c r="Y33" s="1128">
        <v>1</v>
      </c>
      <c r="Z33" s="1128">
        <v>1</v>
      </c>
      <c r="AA33" s="1128">
        <v>1</v>
      </c>
    </row>
    <row r="34" spans="1:27" s="1724" customFormat="1" ht="21">
      <c r="A34" s="1744"/>
      <c r="B34" s="1745"/>
      <c r="C34" s="1746" t="s">
        <v>3082</v>
      </c>
      <c r="D34" s="1762"/>
      <c r="E34" s="1762"/>
      <c r="F34" s="1762"/>
      <c r="G34" s="1762"/>
      <c r="H34" s="1744"/>
      <c r="I34" s="1744"/>
      <c r="J34" s="1746" t="s">
        <v>3083</v>
      </c>
      <c r="K34" s="1762"/>
      <c r="L34" s="1762"/>
      <c r="M34" s="1762"/>
      <c r="N34" s="1762"/>
      <c r="O34" s="1744"/>
      <c r="P34" s="1744"/>
      <c r="Q34" s="1744"/>
      <c r="R34" s="1128">
        <v>1</v>
      </c>
      <c r="S34" s="1128">
        <v>1</v>
      </c>
      <c r="T34" s="1128">
        <v>1</v>
      </c>
      <c r="U34" s="1128">
        <v>1</v>
      </c>
      <c r="V34" s="1128">
        <v>1</v>
      </c>
      <c r="W34" s="1128">
        <v>1</v>
      </c>
      <c r="X34" s="1128">
        <v>1</v>
      </c>
      <c r="Y34" s="1128">
        <v>1</v>
      </c>
      <c r="Z34" s="1128">
        <v>1</v>
      </c>
      <c r="AA34" s="1128">
        <v>1</v>
      </c>
    </row>
    <row r="35" spans="1:27" s="1724" customFormat="1" ht="21">
      <c r="A35" s="1744"/>
      <c r="B35" s="1745"/>
      <c r="C35" s="1751" t="str">
        <f>B239</f>
        <v>B239</v>
      </c>
      <c r="D35" s="1752" t="s">
        <v>750</v>
      </c>
      <c r="E35" s="1763"/>
      <c r="F35" s="1763"/>
      <c r="G35" s="1763"/>
      <c r="H35" s="1744"/>
      <c r="I35" s="1744"/>
      <c r="J35" s="1751" t="str">
        <f>B417</f>
        <v>B417</v>
      </c>
      <c r="K35" s="1752" t="s">
        <v>750</v>
      </c>
      <c r="L35" s="1763"/>
      <c r="M35" s="1763"/>
      <c r="N35" s="1763"/>
      <c r="O35" s="1744"/>
      <c r="P35" s="1744"/>
      <c r="Q35" s="1744"/>
      <c r="R35" s="1128">
        <v>1</v>
      </c>
      <c r="S35" s="1128">
        <v>1</v>
      </c>
      <c r="T35" s="1128">
        <v>1</v>
      </c>
      <c r="U35" s="1128">
        <v>1</v>
      </c>
      <c r="V35" s="1128">
        <v>1</v>
      </c>
      <c r="W35" s="1128">
        <v>1</v>
      </c>
      <c r="X35" s="1128">
        <v>1</v>
      </c>
      <c r="Y35" s="1128">
        <v>1</v>
      </c>
      <c r="Z35" s="1128">
        <v>1</v>
      </c>
      <c r="AA35" s="1128">
        <v>1</v>
      </c>
    </row>
    <row r="36" spans="1:27" s="1724" customFormat="1" ht="15">
      <c r="A36" s="1744"/>
      <c r="B36" s="1745"/>
      <c r="C36" s="1745"/>
      <c r="D36" s="1745"/>
      <c r="E36" s="1745"/>
      <c r="F36" s="1745"/>
      <c r="G36" s="1745"/>
      <c r="H36" s="1744"/>
      <c r="I36" s="1744"/>
      <c r="J36" s="1745"/>
      <c r="K36" s="1745"/>
      <c r="L36" s="1745"/>
      <c r="M36" s="1744"/>
      <c r="N36" s="1744"/>
      <c r="O36" s="1744"/>
      <c r="P36" s="1744"/>
      <c r="Q36" s="1744"/>
      <c r="R36" s="1128">
        <v>1</v>
      </c>
      <c r="S36" s="1128">
        <v>1</v>
      </c>
      <c r="T36" s="1128">
        <v>1</v>
      </c>
      <c r="U36" s="1128">
        <v>1</v>
      </c>
      <c r="V36" s="1128">
        <v>1</v>
      </c>
      <c r="W36" s="1128">
        <v>1</v>
      </c>
      <c r="X36" s="1128">
        <v>1</v>
      </c>
      <c r="Y36" s="1128">
        <v>1</v>
      </c>
      <c r="Z36" s="1128">
        <v>1</v>
      </c>
      <c r="AA36" s="1128">
        <v>1</v>
      </c>
    </row>
    <row r="37" spans="1:27" s="1724" customFormat="1" ht="21">
      <c r="A37" s="1744"/>
      <c r="B37" s="1745"/>
      <c r="C37" s="1746" t="s">
        <v>3084</v>
      </c>
      <c r="D37" s="1762"/>
      <c r="E37" s="1762"/>
      <c r="F37" s="1762"/>
      <c r="G37" s="1762"/>
      <c r="H37" s="1744"/>
      <c r="I37" s="1744"/>
      <c r="J37" s="1746" t="s">
        <v>3085</v>
      </c>
      <c r="K37" s="1762"/>
      <c r="L37" s="1762"/>
      <c r="M37" s="1762"/>
      <c r="N37" s="1762"/>
      <c r="O37" s="1744"/>
      <c r="P37" s="1744"/>
      <c r="Q37" s="1744"/>
      <c r="R37" s="1128">
        <v>1</v>
      </c>
      <c r="S37" s="1128">
        <v>1</v>
      </c>
      <c r="T37" s="1128">
        <v>1</v>
      </c>
      <c r="U37" s="1128">
        <v>1</v>
      </c>
      <c r="V37" s="1128">
        <v>1</v>
      </c>
      <c r="W37" s="1128">
        <v>1</v>
      </c>
      <c r="X37" s="1128">
        <v>1</v>
      </c>
      <c r="Y37" s="1128">
        <v>1</v>
      </c>
      <c r="Z37" s="1128">
        <v>1</v>
      </c>
      <c r="AA37" s="1128">
        <v>1</v>
      </c>
    </row>
    <row r="38" spans="1:27" s="1724" customFormat="1" ht="21">
      <c r="A38" s="1744"/>
      <c r="B38" s="1745"/>
      <c r="C38" s="1751" t="str">
        <f>B248</f>
        <v>B248</v>
      </c>
      <c r="D38" s="1752" t="s">
        <v>750</v>
      </c>
      <c r="E38" s="1763"/>
      <c r="F38" s="1763"/>
      <c r="G38" s="1763"/>
      <c r="H38" s="1744"/>
      <c r="I38" s="1744"/>
      <c r="J38" s="1751" t="str">
        <f>B447</f>
        <v>B447</v>
      </c>
      <c r="K38" s="1752" t="s">
        <v>750</v>
      </c>
      <c r="L38" s="1763"/>
      <c r="M38" s="1763"/>
      <c r="N38" s="1763"/>
      <c r="O38" s="1744"/>
      <c r="P38" s="1744"/>
      <c r="Q38" s="1744"/>
      <c r="R38" s="1128">
        <v>1</v>
      </c>
      <c r="S38" s="1128">
        <v>1</v>
      </c>
      <c r="T38" s="1128">
        <v>1</v>
      </c>
      <c r="U38" s="1128">
        <v>1</v>
      </c>
      <c r="V38" s="1128">
        <v>1</v>
      </c>
      <c r="W38" s="1128">
        <v>1</v>
      </c>
      <c r="X38" s="1128">
        <v>1</v>
      </c>
      <c r="Y38" s="1128">
        <v>1</v>
      </c>
      <c r="Z38" s="1128">
        <v>1</v>
      </c>
      <c r="AA38" s="1128">
        <v>1</v>
      </c>
    </row>
    <row r="39" spans="1:27" s="1724" customFormat="1" ht="15">
      <c r="A39" s="1744"/>
      <c r="B39" s="1745"/>
      <c r="C39" s="1745"/>
      <c r="D39" s="1745"/>
      <c r="E39" s="1745"/>
      <c r="F39" s="1745"/>
      <c r="G39" s="1745"/>
      <c r="H39" s="1744"/>
      <c r="I39" s="1744"/>
      <c r="J39" s="1745"/>
      <c r="K39" s="1745"/>
      <c r="L39" s="1745"/>
      <c r="M39" s="1744"/>
      <c r="N39" s="1744"/>
      <c r="O39" s="1744"/>
      <c r="P39" s="1744"/>
      <c r="Q39" s="1744"/>
      <c r="R39" s="1128">
        <v>1</v>
      </c>
      <c r="S39" s="1128">
        <v>1</v>
      </c>
      <c r="T39" s="1128">
        <v>1</v>
      </c>
      <c r="U39" s="1128">
        <v>1</v>
      </c>
      <c r="V39" s="1128">
        <v>1</v>
      </c>
      <c r="W39" s="1128">
        <v>1</v>
      </c>
      <c r="X39" s="1128">
        <v>1</v>
      </c>
      <c r="Y39" s="1128">
        <v>1</v>
      </c>
      <c r="Z39" s="1128">
        <v>1</v>
      </c>
      <c r="AA39" s="1128">
        <v>1</v>
      </c>
    </row>
    <row r="40" spans="1:27" s="1724" customFormat="1" ht="21">
      <c r="A40" s="1744"/>
      <c r="B40" s="1745"/>
      <c r="C40" s="1746" t="s">
        <v>3086</v>
      </c>
      <c r="D40" s="1762"/>
      <c r="E40" s="1762"/>
      <c r="F40" s="1762"/>
      <c r="G40" s="1762"/>
      <c r="H40" s="1744"/>
      <c r="I40" s="1744"/>
      <c r="J40" s="1746" t="s">
        <v>3087</v>
      </c>
      <c r="K40" s="1762"/>
      <c r="L40" s="1762"/>
      <c r="M40" s="1762"/>
      <c r="N40" s="1762"/>
      <c r="O40" s="1744"/>
      <c r="P40" s="1744"/>
      <c r="Q40" s="1744"/>
      <c r="R40" s="1128">
        <v>1</v>
      </c>
      <c r="S40" s="1128">
        <v>1</v>
      </c>
      <c r="T40" s="1128">
        <v>1</v>
      </c>
      <c r="U40" s="1128">
        <v>1</v>
      </c>
      <c r="V40" s="1128">
        <v>1</v>
      </c>
      <c r="W40" s="1128">
        <v>1</v>
      </c>
      <c r="X40" s="1128">
        <v>1</v>
      </c>
      <c r="Y40" s="1128">
        <v>1</v>
      </c>
      <c r="Z40" s="1128">
        <v>1</v>
      </c>
      <c r="AA40" s="1128">
        <v>1</v>
      </c>
    </row>
    <row r="41" spans="1:27" s="1724" customFormat="1" ht="21">
      <c r="A41" s="1744"/>
      <c r="B41" s="1745"/>
      <c r="C41" s="1751" t="str">
        <f>B276</f>
        <v>B276</v>
      </c>
      <c r="D41" s="1752" t="s">
        <v>750</v>
      </c>
      <c r="E41" s="1763"/>
      <c r="F41" s="1763"/>
      <c r="G41" s="1763"/>
      <c r="H41" s="1744"/>
      <c r="I41" s="1744"/>
      <c r="J41" s="1751" t="str">
        <f>B480</f>
        <v>B480</v>
      </c>
      <c r="K41" s="1752" t="s">
        <v>750</v>
      </c>
      <c r="L41" s="1763"/>
      <c r="M41" s="1763"/>
      <c r="N41" s="1763"/>
      <c r="O41" s="1744"/>
      <c r="P41" s="1744"/>
      <c r="Q41" s="1744"/>
      <c r="R41" s="1128">
        <v>1</v>
      </c>
      <c r="S41" s="1128">
        <v>1</v>
      </c>
      <c r="T41" s="1128">
        <v>1</v>
      </c>
      <c r="U41" s="1128">
        <v>1</v>
      </c>
      <c r="V41" s="1128">
        <v>1</v>
      </c>
      <c r="W41" s="1128">
        <v>1</v>
      </c>
      <c r="X41" s="1128">
        <v>1</v>
      </c>
      <c r="Y41" s="1128">
        <v>1</v>
      </c>
      <c r="Z41" s="1128">
        <v>1</v>
      </c>
      <c r="AA41" s="1128">
        <v>1</v>
      </c>
    </row>
    <row r="42" spans="1:27" s="1724" customFormat="1" ht="15">
      <c r="A42" s="1744"/>
      <c r="B42" s="1745"/>
      <c r="D42" s="1744"/>
      <c r="E42" s="1744"/>
      <c r="F42" s="1745"/>
      <c r="G42" s="1745"/>
      <c r="H42" s="1744"/>
      <c r="I42" s="1744"/>
      <c r="J42" s="1744"/>
      <c r="K42" s="1744"/>
      <c r="L42" s="1745"/>
      <c r="M42" s="1744"/>
      <c r="N42" s="1744"/>
      <c r="O42" s="1744"/>
      <c r="P42" s="1744"/>
      <c r="Q42" s="1744"/>
      <c r="R42" s="1128">
        <v>1</v>
      </c>
      <c r="S42" s="1128">
        <v>1</v>
      </c>
      <c r="T42" s="1128">
        <v>1</v>
      </c>
      <c r="U42" s="1128">
        <v>1</v>
      </c>
      <c r="V42" s="1128">
        <v>1</v>
      </c>
      <c r="W42" s="1128">
        <v>1</v>
      </c>
      <c r="X42" s="1128">
        <v>1</v>
      </c>
      <c r="Y42" s="1128">
        <v>1</v>
      </c>
      <c r="Z42" s="1128">
        <v>1</v>
      </c>
      <c r="AA42" s="1128">
        <v>1</v>
      </c>
    </row>
    <row r="43" spans="1:27" s="1724" customFormat="1" ht="21">
      <c r="A43" s="1744"/>
      <c r="B43" s="1745"/>
      <c r="C43" s="1746" t="s">
        <v>3088</v>
      </c>
      <c r="D43" s="1762"/>
      <c r="E43" s="1762"/>
      <c r="F43" s="1762"/>
      <c r="G43" s="1762"/>
      <c r="H43" s="1744"/>
      <c r="I43" s="1744"/>
      <c r="J43" s="1744"/>
      <c r="K43" s="1744"/>
      <c r="L43" s="1762"/>
      <c r="M43" s="1762"/>
      <c r="N43" s="1762"/>
      <c r="O43" s="1744"/>
      <c r="P43" s="1744"/>
      <c r="Q43" s="1744"/>
      <c r="R43" s="1128">
        <v>1</v>
      </c>
      <c r="S43" s="1128">
        <v>1</v>
      </c>
      <c r="T43" s="1128">
        <v>1</v>
      </c>
      <c r="U43" s="1128">
        <v>1</v>
      </c>
      <c r="V43" s="1128">
        <v>1</v>
      </c>
      <c r="W43" s="1128">
        <v>1</v>
      </c>
      <c r="X43" s="1128">
        <v>1</v>
      </c>
      <c r="Y43" s="1128">
        <v>1</v>
      </c>
      <c r="Z43" s="1128">
        <v>1</v>
      </c>
      <c r="AA43" s="1128">
        <v>1</v>
      </c>
    </row>
    <row r="44" spans="1:27" s="1724" customFormat="1" ht="21">
      <c r="A44" s="1744"/>
      <c r="B44" s="1745"/>
      <c r="C44" s="1751" t="str">
        <f>B306</f>
        <v>B306</v>
      </c>
      <c r="D44" s="1752" t="s">
        <v>750</v>
      </c>
      <c r="E44" s="1763"/>
      <c r="F44" s="1763"/>
      <c r="G44" s="1763"/>
      <c r="H44" s="1744"/>
      <c r="I44" s="1744"/>
      <c r="J44" s="1744"/>
      <c r="K44" s="1744"/>
      <c r="L44" s="1763"/>
      <c r="M44" s="1763"/>
      <c r="N44" s="1763"/>
      <c r="O44" s="1744"/>
      <c r="P44" s="1744"/>
      <c r="Q44" s="1744"/>
      <c r="R44" s="1128">
        <v>1</v>
      </c>
      <c r="S44" s="1128">
        <v>1</v>
      </c>
      <c r="T44" s="1128">
        <v>1</v>
      </c>
      <c r="U44" s="1128">
        <v>1</v>
      </c>
      <c r="V44" s="1128">
        <v>1</v>
      </c>
      <c r="W44" s="1128">
        <v>1</v>
      </c>
      <c r="X44" s="1128">
        <v>1</v>
      </c>
      <c r="Y44" s="1128">
        <v>1</v>
      </c>
      <c r="Z44" s="1128">
        <v>1</v>
      </c>
      <c r="AA44" s="1128">
        <v>1</v>
      </c>
    </row>
    <row r="45" spans="1:27" s="1724" customFormat="1" ht="15">
      <c r="A45" s="1744"/>
      <c r="B45" s="1745"/>
      <c r="C45" s="1745"/>
      <c r="D45" s="1745"/>
      <c r="E45" s="1745"/>
      <c r="F45" s="1745"/>
      <c r="G45" s="1745"/>
      <c r="H45" s="1744"/>
      <c r="I45" s="1744"/>
      <c r="J45" s="1744"/>
      <c r="K45" s="1744"/>
      <c r="L45" s="1744"/>
      <c r="M45" s="1744"/>
      <c r="N45" s="1744"/>
      <c r="O45" s="1744"/>
      <c r="P45" s="1744"/>
      <c r="Q45" s="1744"/>
      <c r="R45" s="1128">
        <v>1</v>
      </c>
      <c r="S45" s="1128">
        <v>1</v>
      </c>
      <c r="T45" s="1128">
        <v>1</v>
      </c>
      <c r="U45" s="1128">
        <v>1</v>
      </c>
      <c r="V45" s="1128">
        <v>1</v>
      </c>
      <c r="W45" s="1128">
        <v>1</v>
      </c>
      <c r="X45" s="1128">
        <v>1</v>
      </c>
      <c r="Y45" s="1128">
        <v>1</v>
      </c>
      <c r="Z45" s="1128">
        <v>1</v>
      </c>
      <c r="AA45" s="1128">
        <v>1</v>
      </c>
    </row>
    <row r="46" spans="1:27" s="1724" customFormat="1" ht="21">
      <c r="A46" s="1744"/>
      <c r="B46" s="1745"/>
      <c r="C46" s="1746" t="s">
        <v>3089</v>
      </c>
      <c r="D46" s="1762"/>
      <c r="E46" s="1762"/>
      <c r="F46" s="1762"/>
      <c r="G46" s="1762"/>
      <c r="H46" s="1744"/>
      <c r="I46" s="1744"/>
      <c r="J46" s="1744"/>
      <c r="K46" s="1744"/>
      <c r="L46" s="1744"/>
      <c r="M46" s="1744"/>
      <c r="N46" s="1744"/>
      <c r="O46" s="1744"/>
      <c r="P46" s="1744"/>
      <c r="Q46" s="1744"/>
      <c r="R46" s="1128">
        <v>1</v>
      </c>
      <c r="S46" s="1128">
        <v>1</v>
      </c>
      <c r="T46" s="1128">
        <v>1</v>
      </c>
      <c r="U46" s="1128">
        <v>1</v>
      </c>
      <c r="V46" s="1128">
        <v>1</v>
      </c>
      <c r="W46" s="1128">
        <v>1</v>
      </c>
      <c r="X46" s="1128">
        <v>1</v>
      </c>
      <c r="Y46" s="1128">
        <v>1</v>
      </c>
      <c r="Z46" s="1128">
        <v>1</v>
      </c>
      <c r="AA46" s="1128">
        <v>1</v>
      </c>
    </row>
    <row r="47" spans="1:27" s="1724" customFormat="1" ht="21">
      <c r="A47" s="1744"/>
      <c r="B47" s="1745"/>
      <c r="C47" s="1751" t="str">
        <f>B343</f>
        <v>B343</v>
      </c>
      <c r="D47" s="1752" t="s">
        <v>750</v>
      </c>
      <c r="E47" s="1763"/>
      <c r="F47" s="1763"/>
      <c r="G47" s="1763"/>
      <c r="H47" s="1744"/>
      <c r="I47" s="1744"/>
      <c r="J47" s="1744"/>
      <c r="K47" s="1744"/>
      <c r="L47" s="1744"/>
      <c r="M47" s="1744"/>
      <c r="N47" s="1744"/>
      <c r="O47" s="1744"/>
      <c r="P47" s="1744"/>
      <c r="Q47" s="1744"/>
      <c r="R47" s="1128">
        <v>1</v>
      </c>
      <c r="S47" s="1128">
        <v>1</v>
      </c>
      <c r="T47" s="1128">
        <v>1</v>
      </c>
      <c r="U47" s="1128">
        <v>1</v>
      </c>
      <c r="V47" s="1128">
        <v>1</v>
      </c>
      <c r="W47" s="1128">
        <v>1</v>
      </c>
      <c r="X47" s="1128">
        <v>1</v>
      </c>
      <c r="Y47" s="1128">
        <v>1</v>
      </c>
      <c r="Z47" s="1128">
        <v>1</v>
      </c>
      <c r="AA47" s="1128">
        <v>1</v>
      </c>
    </row>
    <row r="48" spans="1:27" s="1724" customFormat="1" ht="15">
      <c r="A48" s="1744"/>
      <c r="B48" s="1745"/>
      <c r="C48" s="1745"/>
      <c r="D48" s="1745"/>
      <c r="E48" s="1745"/>
      <c r="F48" s="1745"/>
      <c r="G48" s="1745"/>
      <c r="H48" s="1744"/>
      <c r="I48" s="1744"/>
      <c r="J48" s="1744"/>
      <c r="K48" s="1744"/>
      <c r="L48" s="1744"/>
      <c r="M48" s="1744"/>
      <c r="N48" s="1744"/>
      <c r="O48" s="1744"/>
      <c r="P48" s="1744"/>
      <c r="Q48" s="1744"/>
      <c r="R48" s="1128">
        <v>1</v>
      </c>
      <c r="S48" s="1128">
        <v>1</v>
      </c>
      <c r="T48" s="1128">
        <v>1</v>
      </c>
      <c r="U48" s="1128">
        <v>1</v>
      </c>
      <c r="V48" s="1128">
        <v>1</v>
      </c>
      <c r="W48" s="1128">
        <v>1</v>
      </c>
      <c r="X48" s="1128">
        <v>1</v>
      </c>
      <c r="Y48" s="1128">
        <v>1</v>
      </c>
      <c r="Z48" s="1128">
        <v>1</v>
      </c>
      <c r="AA48" s="1128">
        <v>1</v>
      </c>
    </row>
    <row r="49" spans="1:27" s="1724" customFormat="1" ht="27" customHeight="1">
      <c r="A49" s="1766" t="s">
        <v>252</v>
      </c>
      <c r="B49" s="8326" t="s">
        <v>3090</v>
      </c>
      <c r="C49" s="8326"/>
      <c r="D49" s="8326"/>
      <c r="E49" s="8326"/>
      <c r="F49" s="8326"/>
      <c r="G49" s="8326"/>
      <c r="H49" s="8326"/>
      <c r="I49" s="8326"/>
      <c r="J49" s="8326"/>
      <c r="K49" s="8326"/>
      <c r="L49" s="8326"/>
      <c r="M49" s="8326"/>
      <c r="N49" s="8326"/>
      <c r="O49" s="8326"/>
      <c r="P49" s="8326"/>
      <c r="Q49" s="8326"/>
      <c r="R49" s="1128">
        <v>1</v>
      </c>
      <c r="S49" s="1128">
        <v>1</v>
      </c>
      <c r="T49" s="1128">
        <v>1</v>
      </c>
      <c r="U49" s="1128">
        <v>1</v>
      </c>
      <c r="V49" s="1128">
        <v>1</v>
      </c>
      <c r="W49" s="1128">
        <v>1</v>
      </c>
      <c r="X49" s="1128">
        <v>1</v>
      </c>
      <c r="Y49" s="1128">
        <v>1</v>
      </c>
      <c r="Z49" s="1128">
        <v>1</v>
      </c>
      <c r="AA49" s="1128">
        <v>1</v>
      </c>
    </row>
    <row r="50" spans="1:27" s="1724" customFormat="1" ht="27" customHeight="1">
      <c r="A50" s="1767"/>
      <c r="B50" s="8326"/>
      <c r="C50" s="8326"/>
      <c r="D50" s="8326"/>
      <c r="E50" s="8326"/>
      <c r="F50" s="8326"/>
      <c r="G50" s="8326"/>
      <c r="H50" s="8326"/>
      <c r="I50" s="8326"/>
      <c r="J50" s="8326"/>
      <c r="K50" s="8326"/>
      <c r="L50" s="8326"/>
      <c r="M50" s="8326"/>
      <c r="N50" s="8326"/>
      <c r="O50" s="8326"/>
      <c r="P50" s="8326"/>
      <c r="Q50" s="8326"/>
      <c r="R50" s="1128">
        <v>1</v>
      </c>
      <c r="S50" s="1128">
        <v>1</v>
      </c>
      <c r="T50" s="1128">
        <v>1</v>
      </c>
      <c r="U50" s="1128">
        <v>1</v>
      </c>
      <c r="V50" s="1128">
        <v>1</v>
      </c>
      <c r="W50" s="1128">
        <v>1</v>
      </c>
      <c r="X50" s="1128">
        <v>1</v>
      </c>
      <c r="Y50" s="1128">
        <v>1</v>
      </c>
      <c r="Z50" s="1128">
        <v>1</v>
      </c>
      <c r="AA50" s="1128">
        <v>1</v>
      </c>
    </row>
    <row r="51" spans="1:27" s="1724" customFormat="1" thickBot="1">
      <c r="A51" s="1744"/>
      <c r="B51" s="1745"/>
      <c r="C51" s="1745"/>
      <c r="D51" s="1745"/>
      <c r="E51" s="1745"/>
      <c r="F51" s="1745"/>
      <c r="G51" s="1745"/>
      <c r="H51" s="1744"/>
      <c r="I51" s="1744"/>
      <c r="J51" s="1744"/>
      <c r="K51" s="1744"/>
      <c r="L51" s="1744"/>
      <c r="M51" s="1744"/>
      <c r="N51" s="1744"/>
      <c r="O51" s="1744"/>
      <c r="P51" s="1744"/>
      <c r="Q51" s="1744"/>
      <c r="R51" s="1128">
        <v>1</v>
      </c>
      <c r="S51" s="1128">
        <v>1</v>
      </c>
      <c r="T51" s="1128">
        <v>1</v>
      </c>
      <c r="U51" s="1128">
        <v>1</v>
      </c>
      <c r="V51" s="1128">
        <v>1</v>
      </c>
      <c r="W51" s="1128">
        <v>1</v>
      </c>
      <c r="X51" s="1128">
        <v>1</v>
      </c>
      <c r="Y51" s="1128">
        <v>1</v>
      </c>
      <c r="Z51" s="1128">
        <v>1</v>
      </c>
      <c r="AA51" s="1128">
        <v>1</v>
      </c>
    </row>
    <row r="52" spans="1:27" s="1724" customFormat="1" ht="15" customHeight="1">
      <c r="A52" s="1768" t="s">
        <v>252</v>
      </c>
      <c r="B52" s="8327" t="s">
        <v>3065</v>
      </c>
      <c r="C52" s="8328"/>
      <c r="D52" s="8328"/>
      <c r="E52" s="8328"/>
      <c r="F52" s="8328"/>
      <c r="G52" s="8329"/>
      <c r="H52" s="1744"/>
      <c r="I52" s="1769" t="s">
        <v>252</v>
      </c>
      <c r="J52" s="8333" t="s">
        <v>3066</v>
      </c>
      <c r="K52" s="8334"/>
      <c r="L52" s="8334"/>
      <c r="M52" s="8334"/>
      <c r="N52" s="8334"/>
      <c r="O52" s="8335"/>
      <c r="P52" s="1128">
        <v>1</v>
      </c>
      <c r="Q52" s="1128">
        <v>1</v>
      </c>
      <c r="R52" s="1128">
        <v>1</v>
      </c>
      <c r="S52" s="1128">
        <v>1</v>
      </c>
      <c r="T52" s="1128">
        <v>1</v>
      </c>
      <c r="U52" s="1128">
        <v>1</v>
      </c>
      <c r="V52" s="1128">
        <v>1</v>
      </c>
      <c r="W52" s="1128">
        <v>1</v>
      </c>
      <c r="X52" s="1128">
        <v>1</v>
      </c>
      <c r="Y52" s="1128">
        <v>1</v>
      </c>
      <c r="Z52" s="1128">
        <v>1</v>
      </c>
      <c r="AA52" s="1128">
        <v>1</v>
      </c>
    </row>
    <row r="53" spans="1:27" s="1724" customFormat="1" ht="15.75" customHeight="1">
      <c r="A53" s="7832" t="str">
        <f>B52</f>
        <v>LIAISON AU TAPIOCA</v>
      </c>
      <c r="B53" s="8330"/>
      <c r="C53" s="8331"/>
      <c r="D53" s="8331"/>
      <c r="E53" s="8331"/>
      <c r="F53" s="8331"/>
      <c r="G53" s="8332"/>
      <c r="H53" s="1744"/>
      <c r="I53" s="7765" t="str">
        <f>J52</f>
        <v>Gastro Norm</v>
      </c>
      <c r="J53" s="1770" t="s">
        <v>3091</v>
      </c>
      <c r="K53" s="8336" t="s">
        <v>3092</v>
      </c>
      <c r="L53" s="8336"/>
      <c r="M53" s="8336"/>
      <c r="N53" s="8336"/>
      <c r="O53" s="8337"/>
      <c r="P53" s="1128">
        <v>1</v>
      </c>
      <c r="Q53" s="1128">
        <v>1</v>
      </c>
      <c r="R53" s="1128">
        <v>1</v>
      </c>
      <c r="S53" s="1128">
        <v>1</v>
      </c>
      <c r="T53" s="1128">
        <v>1</v>
      </c>
      <c r="U53" s="1128">
        <v>1</v>
      </c>
      <c r="V53" s="1128">
        <v>1</v>
      </c>
      <c r="W53" s="1128">
        <v>1</v>
      </c>
      <c r="X53" s="1128">
        <v>1</v>
      </c>
      <c r="Y53" s="1128">
        <v>1</v>
      </c>
      <c r="Z53" s="1128">
        <v>1</v>
      </c>
      <c r="AA53" s="1128">
        <v>1</v>
      </c>
    </row>
    <row r="54" spans="1:27" s="1724" customFormat="1" ht="15.75" customHeight="1">
      <c r="A54" s="7832"/>
      <c r="B54" s="1771" t="str">
        <f>ADDRESS(ROW(),COLUMN(),4)</f>
        <v>B54</v>
      </c>
      <c r="C54" s="824" t="s">
        <v>750</v>
      </c>
      <c r="D54" s="1772"/>
      <c r="E54" s="906"/>
      <c r="F54" s="1773"/>
      <c r="G54" s="1774"/>
      <c r="H54" s="1744"/>
      <c r="I54" s="7765"/>
      <c r="J54" s="1775" t="str">
        <f>ADDRESS(ROW(),COLUMN(),4)</f>
        <v>J54</v>
      </c>
      <c r="K54" s="824" t="s">
        <v>750</v>
      </c>
      <c r="L54" s="1772"/>
      <c r="M54" s="1772"/>
      <c r="N54" s="1772"/>
      <c r="O54" s="1776"/>
      <c r="P54" s="1128">
        <v>1</v>
      </c>
      <c r="Q54" s="1128">
        <v>1</v>
      </c>
      <c r="R54" s="1128">
        <v>1</v>
      </c>
      <c r="S54" s="1128">
        <v>1</v>
      </c>
      <c r="T54" s="1128">
        <v>1</v>
      </c>
      <c r="U54" s="1128">
        <v>1</v>
      </c>
      <c r="V54" s="1128">
        <v>1</v>
      </c>
      <c r="W54" s="1128">
        <v>1</v>
      </c>
      <c r="X54" s="1128">
        <v>1</v>
      </c>
      <c r="Y54" s="1128">
        <v>1</v>
      </c>
      <c r="Z54" s="1128">
        <v>1</v>
      </c>
      <c r="AA54" s="1128">
        <v>1</v>
      </c>
    </row>
    <row r="55" spans="1:27" s="1724" customFormat="1" ht="15.75" customHeight="1">
      <c r="A55" s="7832"/>
      <c r="B55" s="8338" t="s">
        <v>3093</v>
      </c>
      <c r="C55" s="8339"/>
      <c r="D55" s="8339"/>
      <c r="E55" s="8339"/>
      <c r="F55" s="8339"/>
      <c r="G55" s="8340"/>
      <c r="H55" s="1744"/>
      <c r="I55" s="7765"/>
      <c r="J55" s="8341" t="s">
        <v>3094</v>
      </c>
      <c r="K55" s="8342"/>
      <c r="L55" s="8342"/>
      <c r="M55" s="8342"/>
      <c r="N55" s="8342"/>
      <c r="O55" s="8343"/>
      <c r="P55" s="1128">
        <v>1</v>
      </c>
      <c r="Q55" s="1128">
        <v>1</v>
      </c>
      <c r="R55" s="1128">
        <v>1</v>
      </c>
      <c r="S55" s="1128">
        <v>1</v>
      </c>
      <c r="T55" s="1128">
        <v>1</v>
      </c>
      <c r="U55" s="1128">
        <v>1</v>
      </c>
      <c r="V55" s="1128">
        <v>1</v>
      </c>
      <c r="W55" s="1128">
        <v>1</v>
      </c>
      <c r="X55" s="1128">
        <v>1</v>
      </c>
      <c r="Y55" s="1128">
        <v>1</v>
      </c>
      <c r="Z55" s="1128">
        <v>1</v>
      </c>
      <c r="AA55" s="1128">
        <v>1</v>
      </c>
    </row>
    <row r="56" spans="1:27" s="1724" customFormat="1" ht="16.5" customHeight="1">
      <c r="A56" s="7832"/>
      <c r="B56" s="8338"/>
      <c r="C56" s="8339"/>
      <c r="D56" s="8339"/>
      <c r="E56" s="8339"/>
      <c r="F56" s="8339"/>
      <c r="G56" s="8340"/>
      <c r="H56" s="1744"/>
      <c r="I56" s="7765"/>
      <c r="J56" s="8341"/>
      <c r="K56" s="8342"/>
      <c r="L56" s="8342"/>
      <c r="M56" s="8342"/>
      <c r="N56" s="8342"/>
      <c r="O56" s="8343"/>
      <c r="P56" s="1128">
        <v>1</v>
      </c>
      <c r="Q56" s="1128">
        <v>1</v>
      </c>
      <c r="R56" s="1128">
        <v>1</v>
      </c>
      <c r="S56" s="1128">
        <v>1</v>
      </c>
      <c r="T56" s="1128">
        <v>1</v>
      </c>
      <c r="U56" s="1128">
        <v>1</v>
      </c>
      <c r="V56" s="1128">
        <v>1</v>
      </c>
      <c r="W56" s="1128">
        <v>1</v>
      </c>
      <c r="X56" s="1128">
        <v>1</v>
      </c>
      <c r="Y56" s="1128">
        <v>1</v>
      </c>
      <c r="Z56" s="1128">
        <v>1</v>
      </c>
      <c r="AA56" s="1128">
        <v>1</v>
      </c>
    </row>
    <row r="57" spans="1:27" s="1724" customFormat="1" ht="15">
      <c r="A57" s="7832"/>
      <c r="B57" s="1777" t="s">
        <v>3095</v>
      </c>
      <c r="C57" s="8344" t="s">
        <v>3096</v>
      </c>
      <c r="D57" s="8344"/>
      <c r="E57" s="8344"/>
      <c r="F57" s="8344"/>
      <c r="G57" s="8345"/>
      <c r="H57" s="1744"/>
      <c r="I57" s="7765"/>
      <c r="J57" s="8341"/>
      <c r="K57" s="8342"/>
      <c r="L57" s="8342"/>
      <c r="M57" s="8342"/>
      <c r="N57" s="8342"/>
      <c r="O57" s="8343"/>
      <c r="P57" s="1128">
        <v>1</v>
      </c>
      <c r="Q57" s="1128">
        <v>1</v>
      </c>
      <c r="R57" s="1128">
        <v>1</v>
      </c>
      <c r="S57" s="1128">
        <v>1</v>
      </c>
      <c r="T57" s="1128">
        <v>1</v>
      </c>
      <c r="U57" s="1128">
        <v>1</v>
      </c>
      <c r="V57" s="1128">
        <v>1</v>
      </c>
      <c r="W57" s="1128">
        <v>1</v>
      </c>
      <c r="X57" s="1128">
        <v>1</v>
      </c>
      <c r="Y57" s="1128">
        <v>1</v>
      </c>
      <c r="Z57" s="1128">
        <v>1</v>
      </c>
      <c r="AA57" s="1128">
        <v>1</v>
      </c>
    </row>
    <row r="58" spans="1:27" s="1724" customFormat="1" ht="15.75" customHeight="1">
      <c r="A58" s="7832"/>
      <c r="B58" s="1777" t="s">
        <v>3095</v>
      </c>
      <c r="C58" s="8344" t="s">
        <v>3097</v>
      </c>
      <c r="D58" s="8344"/>
      <c r="E58" s="8344"/>
      <c r="F58" s="8344"/>
      <c r="G58" s="8345"/>
      <c r="H58" s="1744"/>
      <c r="I58" s="7765"/>
      <c r="J58" s="1779"/>
      <c r="K58" s="1780"/>
      <c r="L58" s="1780"/>
      <c r="M58" s="1780"/>
      <c r="N58" s="1780"/>
      <c r="O58" s="1781"/>
      <c r="P58" s="1128">
        <v>1</v>
      </c>
      <c r="Q58" s="1128">
        <v>1</v>
      </c>
      <c r="R58" s="1128">
        <v>1</v>
      </c>
      <c r="S58" s="1128">
        <v>1</v>
      </c>
      <c r="T58" s="1128">
        <v>1</v>
      </c>
      <c r="U58" s="1128">
        <v>1</v>
      </c>
      <c r="V58" s="1128">
        <v>1</v>
      </c>
      <c r="W58" s="1128">
        <v>1</v>
      </c>
      <c r="X58" s="1128">
        <v>1</v>
      </c>
      <c r="Y58" s="1128">
        <v>1</v>
      </c>
      <c r="Z58" s="1128">
        <v>1</v>
      </c>
      <c r="AA58" s="1128">
        <v>1</v>
      </c>
    </row>
    <row r="59" spans="1:27" s="1724" customFormat="1" ht="15.75" customHeight="1">
      <c r="A59" s="7832"/>
      <c r="B59" s="1777" t="s">
        <v>3095</v>
      </c>
      <c r="C59" s="8344" t="s">
        <v>3098</v>
      </c>
      <c r="D59" s="8344"/>
      <c r="E59" s="8344"/>
      <c r="F59" s="8344"/>
      <c r="G59" s="8345"/>
      <c r="H59" s="1744"/>
      <c r="I59" s="7765"/>
      <c r="J59" s="1779"/>
      <c r="K59" s="1780"/>
      <c r="L59" s="1780"/>
      <c r="M59" s="1780"/>
      <c r="N59" s="1780"/>
      <c r="O59" s="1781"/>
      <c r="P59" s="1128">
        <v>1</v>
      </c>
      <c r="Q59" s="1128">
        <v>1</v>
      </c>
      <c r="R59" s="1128">
        <v>1</v>
      </c>
      <c r="S59" s="1128">
        <v>1</v>
      </c>
      <c r="T59" s="1128">
        <v>1</v>
      </c>
      <c r="U59" s="1128">
        <v>1</v>
      </c>
      <c r="V59" s="1128">
        <v>1</v>
      </c>
      <c r="W59" s="1128">
        <v>1</v>
      </c>
      <c r="X59" s="1128">
        <v>1</v>
      </c>
      <c r="Y59" s="1128">
        <v>1</v>
      </c>
      <c r="Z59" s="1128">
        <v>1</v>
      </c>
      <c r="AA59" s="1128">
        <v>1</v>
      </c>
    </row>
    <row r="60" spans="1:27" s="1724" customFormat="1" ht="15" customHeight="1">
      <c r="A60" s="7832"/>
      <c r="B60" s="1777" t="s">
        <v>3099</v>
      </c>
      <c r="C60" s="8344" t="s">
        <v>3100</v>
      </c>
      <c r="D60" s="8344"/>
      <c r="E60" s="8344"/>
      <c r="F60" s="8344"/>
      <c r="G60" s="8345"/>
      <c r="H60" s="1744"/>
      <c r="I60" s="7765"/>
      <c r="J60" s="1779"/>
      <c r="K60" s="1780"/>
      <c r="L60" s="1780"/>
      <c r="M60" s="1780"/>
      <c r="N60" s="1780"/>
      <c r="O60" s="1781"/>
      <c r="P60" s="1128">
        <v>1</v>
      </c>
      <c r="Q60" s="1128">
        <v>1</v>
      </c>
      <c r="R60" s="1128">
        <v>1</v>
      </c>
      <c r="S60" s="1128">
        <v>1</v>
      </c>
      <c r="T60" s="1128">
        <v>1</v>
      </c>
      <c r="U60" s="1128">
        <v>1</v>
      </c>
      <c r="V60" s="1128">
        <v>1</v>
      </c>
      <c r="W60" s="1128">
        <v>1</v>
      </c>
      <c r="X60" s="1128">
        <v>1</v>
      </c>
      <c r="Y60" s="1128">
        <v>1</v>
      </c>
      <c r="Z60" s="1128">
        <v>1</v>
      </c>
      <c r="AA60" s="1128">
        <v>1</v>
      </c>
    </row>
    <row r="61" spans="1:27" s="1724" customFormat="1" ht="15">
      <c r="A61" s="7832"/>
      <c r="B61" s="1777" t="s">
        <v>3101</v>
      </c>
      <c r="C61" s="8344" t="s">
        <v>3102</v>
      </c>
      <c r="D61" s="8344"/>
      <c r="E61" s="8344"/>
      <c r="F61" s="8344"/>
      <c r="G61" s="8345"/>
      <c r="H61" s="1745"/>
      <c r="I61" s="7765"/>
      <c r="J61" s="1779"/>
      <c r="K61" s="1780"/>
      <c r="L61" s="1780"/>
      <c r="M61" s="1780"/>
      <c r="N61" s="1780"/>
      <c r="O61" s="1781"/>
      <c r="P61" s="1128">
        <v>1</v>
      </c>
      <c r="Q61" s="1128">
        <v>1</v>
      </c>
      <c r="R61" s="1128">
        <v>1</v>
      </c>
      <c r="S61" s="1128">
        <v>1</v>
      </c>
      <c r="T61" s="1128">
        <v>1</v>
      </c>
      <c r="U61" s="1128">
        <v>1</v>
      </c>
      <c r="V61" s="1128">
        <v>1</v>
      </c>
      <c r="W61" s="1128">
        <v>1</v>
      </c>
      <c r="X61" s="1128">
        <v>1</v>
      </c>
      <c r="Y61" s="1128">
        <v>1</v>
      </c>
      <c r="Z61" s="1128">
        <v>1</v>
      </c>
      <c r="AA61" s="1128">
        <v>1</v>
      </c>
    </row>
    <row r="62" spans="1:27" s="1724" customFormat="1" ht="15">
      <c r="A62" s="7832"/>
      <c r="B62" s="1777" t="s">
        <v>3103</v>
      </c>
      <c r="C62" s="8344" t="s">
        <v>3104</v>
      </c>
      <c r="D62" s="8344"/>
      <c r="E62" s="8344"/>
      <c r="F62" s="8344"/>
      <c r="G62" s="8345"/>
      <c r="H62" s="1745"/>
      <c r="I62" s="7765"/>
      <c r="J62" s="1779"/>
      <c r="K62" s="1780"/>
      <c r="L62" s="1780"/>
      <c r="M62" s="1780"/>
      <c r="N62" s="1780"/>
      <c r="O62" s="1781"/>
      <c r="P62" s="1128">
        <v>1</v>
      </c>
      <c r="Q62" s="1128">
        <v>1</v>
      </c>
      <c r="R62" s="1128">
        <v>1</v>
      </c>
      <c r="S62" s="1128">
        <v>1</v>
      </c>
      <c r="T62" s="1128">
        <v>1</v>
      </c>
      <c r="U62" s="1128">
        <v>1</v>
      </c>
      <c r="V62" s="1128">
        <v>1</v>
      </c>
      <c r="W62" s="1128">
        <v>1</v>
      </c>
      <c r="X62" s="1128">
        <v>1</v>
      </c>
      <c r="Y62" s="1128">
        <v>1</v>
      </c>
      <c r="Z62" s="1128">
        <v>1</v>
      </c>
      <c r="AA62" s="1128">
        <v>1</v>
      </c>
    </row>
    <row r="63" spans="1:27" s="1724" customFormat="1" ht="15" customHeight="1">
      <c r="A63" s="7832"/>
      <c r="B63" s="1777" t="s">
        <v>3103</v>
      </c>
      <c r="C63" s="8344" t="s">
        <v>3105</v>
      </c>
      <c r="D63" s="8344"/>
      <c r="E63" s="8344"/>
      <c r="F63" s="8344"/>
      <c r="G63" s="8345"/>
      <c r="H63" s="1745"/>
      <c r="I63" s="7765"/>
      <c r="J63" s="1779"/>
      <c r="K63" s="1780"/>
      <c r="L63" s="1780"/>
      <c r="M63" s="1780"/>
      <c r="N63" s="1780"/>
      <c r="O63" s="1781"/>
      <c r="P63" s="1128">
        <v>1</v>
      </c>
      <c r="Q63" s="1128">
        <v>1</v>
      </c>
      <c r="R63" s="1128">
        <v>1</v>
      </c>
      <c r="S63" s="1128">
        <v>1</v>
      </c>
      <c r="T63" s="1128">
        <v>1</v>
      </c>
      <c r="U63" s="1128">
        <v>1</v>
      </c>
      <c r="V63" s="1128">
        <v>1</v>
      </c>
      <c r="W63" s="1128">
        <v>1</v>
      </c>
      <c r="X63" s="1128">
        <v>1</v>
      </c>
      <c r="Y63" s="1128">
        <v>1</v>
      </c>
      <c r="Z63" s="1128">
        <v>1</v>
      </c>
      <c r="AA63" s="1128">
        <v>1</v>
      </c>
    </row>
    <row r="64" spans="1:27" s="1724" customFormat="1" ht="15">
      <c r="A64" s="7832"/>
      <c r="B64" s="8338" t="s">
        <v>3106</v>
      </c>
      <c r="C64" s="8339" t="s">
        <v>3107</v>
      </c>
      <c r="D64" s="8339"/>
      <c r="E64" s="8339"/>
      <c r="F64" s="8339"/>
      <c r="G64" s="8340"/>
      <c r="H64" s="1745"/>
      <c r="I64" s="7765"/>
      <c r="J64" s="1779"/>
      <c r="K64" s="1780"/>
      <c r="L64" s="1780"/>
      <c r="M64" s="1780"/>
      <c r="N64" s="1780"/>
      <c r="O64" s="1781"/>
      <c r="P64" s="1128">
        <v>1</v>
      </c>
      <c r="Q64" s="1128">
        <v>1</v>
      </c>
      <c r="R64" s="1128">
        <v>1</v>
      </c>
      <c r="S64" s="1128">
        <v>1</v>
      </c>
      <c r="T64" s="1128">
        <v>1</v>
      </c>
      <c r="U64" s="1128">
        <v>1</v>
      </c>
      <c r="V64" s="1128">
        <v>1</v>
      </c>
      <c r="W64" s="1128">
        <v>1</v>
      </c>
      <c r="X64" s="1128">
        <v>1</v>
      </c>
      <c r="Y64" s="1128">
        <v>1</v>
      </c>
      <c r="Z64" s="1128">
        <v>1</v>
      </c>
      <c r="AA64" s="1128">
        <v>1</v>
      </c>
    </row>
    <row r="65" spans="1:27" s="1724" customFormat="1" ht="15" customHeight="1">
      <c r="A65" s="7832"/>
      <c r="B65" s="8338"/>
      <c r="C65" s="8339"/>
      <c r="D65" s="8339"/>
      <c r="E65" s="8339"/>
      <c r="F65" s="8339"/>
      <c r="G65" s="8340"/>
      <c r="H65" s="1745"/>
      <c r="I65" s="7765"/>
      <c r="J65" s="1779"/>
      <c r="K65" s="1780"/>
      <c r="L65" s="1780"/>
      <c r="M65" s="1780"/>
      <c r="N65" s="1780"/>
      <c r="O65" s="1781"/>
      <c r="P65" s="1128">
        <v>1</v>
      </c>
      <c r="Q65" s="1128">
        <v>1</v>
      </c>
      <c r="R65" s="1128">
        <v>1</v>
      </c>
      <c r="S65" s="1128">
        <v>1</v>
      </c>
      <c r="T65" s="1128">
        <v>1</v>
      </c>
      <c r="U65" s="1128">
        <v>1</v>
      </c>
      <c r="V65" s="1128">
        <v>1</v>
      </c>
      <c r="W65" s="1128">
        <v>1</v>
      </c>
      <c r="X65" s="1128">
        <v>1</v>
      </c>
      <c r="Y65" s="1128">
        <v>1</v>
      </c>
      <c r="Z65" s="1128">
        <v>1</v>
      </c>
      <c r="AA65" s="1128">
        <v>1</v>
      </c>
    </row>
    <row r="66" spans="1:27" s="1724" customFormat="1" ht="15">
      <c r="A66" s="7832"/>
      <c r="B66" s="8338" t="s">
        <v>3108</v>
      </c>
      <c r="C66" s="8339" t="s">
        <v>3109</v>
      </c>
      <c r="D66" s="8339"/>
      <c r="E66" s="8339"/>
      <c r="F66" s="8339"/>
      <c r="G66" s="8340"/>
      <c r="H66" s="1745"/>
      <c r="I66" s="7765"/>
      <c r="J66" s="1779"/>
      <c r="K66" s="1780"/>
      <c r="L66" s="1780"/>
      <c r="M66" s="1780"/>
      <c r="N66" s="1780"/>
      <c r="O66" s="1781"/>
      <c r="P66" s="1128">
        <v>1</v>
      </c>
      <c r="Q66" s="1128">
        <v>1</v>
      </c>
      <c r="R66" s="1128">
        <v>1</v>
      </c>
      <c r="S66" s="1128">
        <v>1</v>
      </c>
      <c r="T66" s="1128">
        <v>1</v>
      </c>
      <c r="U66" s="1128">
        <v>1</v>
      </c>
      <c r="V66" s="1128">
        <v>1</v>
      </c>
      <c r="W66" s="1128">
        <v>1</v>
      </c>
      <c r="X66" s="1128">
        <v>1</v>
      </c>
      <c r="Y66" s="1128">
        <v>1</v>
      </c>
      <c r="Z66" s="1128">
        <v>1</v>
      </c>
      <c r="AA66" s="1128">
        <v>1</v>
      </c>
    </row>
    <row r="67" spans="1:27" s="1724" customFormat="1" ht="15">
      <c r="A67" s="7832"/>
      <c r="B67" s="8346"/>
      <c r="C67" s="8347"/>
      <c r="D67" s="8347"/>
      <c r="E67" s="8347"/>
      <c r="F67" s="8347"/>
      <c r="G67" s="8348"/>
      <c r="H67" s="1745"/>
      <c r="I67" s="7765"/>
      <c r="J67" s="1779"/>
      <c r="K67" s="1780"/>
      <c r="L67" s="1780"/>
      <c r="M67" s="1780"/>
      <c r="N67" s="1780"/>
      <c r="O67" s="1781"/>
      <c r="P67" s="1128">
        <v>1</v>
      </c>
      <c r="Q67" s="1128">
        <v>1</v>
      </c>
      <c r="R67" s="1128">
        <v>1</v>
      </c>
      <c r="S67" s="1128">
        <v>1</v>
      </c>
      <c r="T67" s="1128">
        <v>1</v>
      </c>
      <c r="U67" s="1128">
        <v>1</v>
      </c>
      <c r="V67" s="1128">
        <v>1</v>
      </c>
      <c r="W67" s="1128">
        <v>1</v>
      </c>
      <c r="X67" s="1128">
        <v>1</v>
      </c>
      <c r="Y67" s="1128">
        <v>1</v>
      </c>
      <c r="Z67" s="1128">
        <v>1</v>
      </c>
      <c r="AA67" s="1128">
        <v>1</v>
      </c>
    </row>
    <row r="68" spans="1:27" s="1724" customFormat="1" thickBot="1">
      <c r="A68" s="1744"/>
      <c r="B68" s="1778"/>
      <c r="C68" s="1778"/>
      <c r="D68" s="1778"/>
      <c r="E68" s="1778"/>
      <c r="F68" s="1778"/>
      <c r="G68" s="1778"/>
      <c r="H68" s="1745"/>
      <c r="I68" s="7765"/>
      <c r="J68" s="1779"/>
      <c r="K68" s="1780"/>
      <c r="L68" s="1780"/>
      <c r="M68" s="1780"/>
      <c r="N68" s="1780"/>
      <c r="O68" s="1781"/>
      <c r="P68" s="1128">
        <v>1</v>
      </c>
      <c r="Q68" s="1128">
        <v>1</v>
      </c>
      <c r="R68" s="1128">
        <v>1</v>
      </c>
      <c r="S68" s="1128">
        <v>1</v>
      </c>
      <c r="T68" s="1128">
        <v>1</v>
      </c>
      <c r="U68" s="1128">
        <v>1</v>
      </c>
      <c r="V68" s="1128">
        <v>1</v>
      </c>
      <c r="W68" s="1128">
        <v>1</v>
      </c>
      <c r="X68" s="1128">
        <v>1</v>
      </c>
      <c r="Y68" s="1128">
        <v>1</v>
      </c>
      <c r="Z68" s="1128">
        <v>1</v>
      </c>
      <c r="AA68" s="1128">
        <v>1</v>
      </c>
    </row>
    <row r="69" spans="1:27" s="1724" customFormat="1" ht="15">
      <c r="A69" s="1768" t="s">
        <v>252</v>
      </c>
      <c r="B69" s="8349" t="s">
        <v>3067</v>
      </c>
      <c r="C69" s="8350"/>
      <c r="D69" s="8353" t="s">
        <v>3110</v>
      </c>
      <c r="E69" s="8353"/>
      <c r="F69" s="8355" t="s">
        <v>3111</v>
      </c>
      <c r="G69" s="8357" t="s">
        <v>3112</v>
      </c>
      <c r="H69" s="1745"/>
      <c r="I69" s="7765"/>
      <c r="J69" s="1782"/>
      <c r="K69" s="1744"/>
      <c r="L69" s="1744"/>
      <c r="M69" s="1744"/>
      <c r="N69" s="1744"/>
      <c r="O69" s="1781"/>
      <c r="P69" s="1128">
        <v>1</v>
      </c>
      <c r="Q69" s="1128">
        <v>1</v>
      </c>
      <c r="R69" s="1128">
        <v>1</v>
      </c>
      <c r="S69" s="1128">
        <v>1</v>
      </c>
      <c r="T69" s="1128">
        <v>1</v>
      </c>
      <c r="U69" s="1128">
        <v>1</v>
      </c>
      <c r="V69" s="1128">
        <v>1</v>
      </c>
      <c r="W69" s="1128">
        <v>1</v>
      </c>
      <c r="X69" s="1128">
        <v>1</v>
      </c>
      <c r="Y69" s="1128">
        <v>1</v>
      </c>
      <c r="Z69" s="1128">
        <v>1</v>
      </c>
      <c r="AA69" s="1128">
        <v>1</v>
      </c>
    </row>
    <row r="70" spans="1:27" s="1724" customFormat="1" ht="15">
      <c r="A70" s="7832" t="str">
        <f>B69</f>
        <v>SERVICE DES SAUCES</v>
      </c>
      <c r="B70" s="8351"/>
      <c r="C70" s="8352"/>
      <c r="D70" s="8354"/>
      <c r="E70" s="8354"/>
      <c r="F70" s="8356"/>
      <c r="G70" s="8358"/>
      <c r="H70" s="1745"/>
      <c r="I70" s="7765"/>
      <c r="J70" s="1782"/>
      <c r="K70" s="1744"/>
      <c r="L70" s="1744"/>
      <c r="M70" s="1744"/>
      <c r="N70" s="1744"/>
      <c r="O70" s="1781"/>
      <c r="P70" s="1128">
        <v>1</v>
      </c>
      <c r="Q70" s="1128">
        <v>1</v>
      </c>
      <c r="R70" s="1128">
        <v>1</v>
      </c>
      <c r="S70" s="1128">
        <v>1</v>
      </c>
      <c r="T70" s="1128">
        <v>1</v>
      </c>
      <c r="U70" s="1128">
        <v>1</v>
      </c>
      <c r="V70" s="1128">
        <v>1</v>
      </c>
      <c r="W70" s="1128">
        <v>1</v>
      </c>
      <c r="X70" s="1128">
        <v>1</v>
      </c>
      <c r="Y70" s="1128">
        <v>1</v>
      </c>
      <c r="Z70" s="1128">
        <v>1</v>
      </c>
      <c r="AA70" s="1128">
        <v>1</v>
      </c>
    </row>
    <row r="71" spans="1:27" s="1724" customFormat="1" ht="18.75">
      <c r="A71" s="7832"/>
      <c r="B71" s="1783" t="str">
        <f>ADDRESS(ROW(),COLUMN(),4)</f>
        <v>B71</v>
      </c>
      <c r="C71" s="824" t="s">
        <v>750</v>
      </c>
      <c r="D71" s="1772"/>
      <c r="E71" s="906"/>
      <c r="F71" s="906"/>
      <c r="G71" s="1784"/>
      <c r="H71" s="1745"/>
      <c r="I71" s="7765"/>
      <c r="J71" s="1782"/>
      <c r="K71" s="1744"/>
      <c r="L71" s="1744"/>
      <c r="M71" s="1744"/>
      <c r="N71" s="1744"/>
      <c r="O71" s="1781"/>
      <c r="P71" s="1128">
        <v>1</v>
      </c>
      <c r="Q71" s="1128">
        <v>1</v>
      </c>
      <c r="R71" s="1128">
        <v>1</v>
      </c>
      <c r="S71" s="1128">
        <v>1</v>
      </c>
      <c r="T71" s="1128">
        <v>1</v>
      </c>
      <c r="U71" s="1128">
        <v>1</v>
      </c>
      <c r="V71" s="1128">
        <v>1</v>
      </c>
      <c r="W71" s="1128">
        <v>1</v>
      </c>
      <c r="X71" s="1128">
        <v>1</v>
      </c>
      <c r="Y71" s="1128">
        <v>1</v>
      </c>
      <c r="Z71" s="1128">
        <v>1</v>
      </c>
      <c r="AA71" s="1128">
        <v>1</v>
      </c>
    </row>
    <row r="72" spans="1:27" s="1724" customFormat="1" ht="15">
      <c r="A72" s="7832"/>
      <c r="B72" s="8315" t="s">
        <v>3113</v>
      </c>
      <c r="C72" s="8316"/>
      <c r="D72" s="1785" t="s">
        <v>3114</v>
      </c>
      <c r="E72" s="1785"/>
      <c r="F72" s="1786"/>
      <c r="G72" s="1787"/>
      <c r="H72" s="1745"/>
      <c r="I72" s="7765"/>
      <c r="J72" s="8317" t="s">
        <v>3115</v>
      </c>
      <c r="K72" s="8318"/>
      <c r="L72" s="8318"/>
      <c r="M72" s="8318"/>
      <c r="N72" s="8318"/>
      <c r="O72" s="1781"/>
      <c r="P72" s="1128">
        <v>1</v>
      </c>
      <c r="Q72" s="1128">
        <v>1</v>
      </c>
      <c r="R72" s="1128">
        <v>1</v>
      </c>
      <c r="S72" s="1128">
        <v>1</v>
      </c>
      <c r="T72" s="1128">
        <v>1</v>
      </c>
      <c r="U72" s="1128">
        <v>1</v>
      </c>
      <c r="V72" s="1128">
        <v>1</v>
      </c>
      <c r="W72" s="1128">
        <v>1</v>
      </c>
      <c r="X72" s="1128">
        <v>1</v>
      </c>
      <c r="Y72" s="1128">
        <v>1</v>
      </c>
      <c r="Z72" s="1128">
        <v>1</v>
      </c>
      <c r="AA72" s="1128">
        <v>1</v>
      </c>
    </row>
    <row r="73" spans="1:27" s="1724" customFormat="1" ht="15">
      <c r="A73" s="7832"/>
      <c r="B73" s="8321" t="s">
        <v>3116</v>
      </c>
      <c r="C73" s="8322"/>
      <c r="D73" s="1789" t="s">
        <v>3117</v>
      </c>
      <c r="E73" s="1789"/>
      <c r="F73" s="1788" t="s">
        <v>3118</v>
      </c>
      <c r="G73" s="1790" t="s">
        <v>3119</v>
      </c>
      <c r="H73" s="1745"/>
      <c r="I73" s="7765"/>
      <c r="J73" s="8317"/>
      <c r="K73" s="8318"/>
      <c r="L73" s="8318"/>
      <c r="M73" s="8318"/>
      <c r="N73" s="8318"/>
      <c r="O73" s="1781"/>
      <c r="P73" s="1128">
        <v>1</v>
      </c>
      <c r="Q73" s="1128">
        <v>1</v>
      </c>
      <c r="R73" s="1128">
        <v>1</v>
      </c>
      <c r="S73" s="1128">
        <v>1</v>
      </c>
      <c r="T73" s="1128">
        <v>1</v>
      </c>
      <c r="U73" s="1128">
        <v>1</v>
      </c>
      <c r="V73" s="1128">
        <v>1</v>
      </c>
      <c r="W73" s="1128">
        <v>1</v>
      </c>
      <c r="X73" s="1128">
        <v>1</v>
      </c>
      <c r="Y73" s="1128">
        <v>1</v>
      </c>
      <c r="Z73" s="1128">
        <v>1</v>
      </c>
      <c r="AA73" s="1128">
        <v>1</v>
      </c>
    </row>
    <row r="74" spans="1:27" s="1724" customFormat="1" thickBot="1">
      <c r="A74" s="7832"/>
      <c r="B74" s="8321" t="s">
        <v>3120</v>
      </c>
      <c r="C74" s="8322"/>
      <c r="D74" s="1789" t="s">
        <v>3121</v>
      </c>
      <c r="E74" s="1789"/>
      <c r="F74" s="1788" t="s">
        <v>3122</v>
      </c>
      <c r="G74" s="1790" t="s">
        <v>3123</v>
      </c>
      <c r="H74" s="1745"/>
      <c r="I74" s="7765"/>
      <c r="J74" s="8319"/>
      <c r="K74" s="8320"/>
      <c r="L74" s="8320"/>
      <c r="M74" s="8320"/>
      <c r="N74" s="8320"/>
      <c r="O74" s="1791"/>
      <c r="P74" s="1128">
        <v>1</v>
      </c>
      <c r="Q74" s="1128">
        <v>1</v>
      </c>
      <c r="R74" s="1128">
        <v>1</v>
      </c>
      <c r="S74" s="1128">
        <v>1</v>
      </c>
      <c r="T74" s="1128">
        <v>1</v>
      </c>
      <c r="U74" s="1128">
        <v>1</v>
      </c>
      <c r="V74" s="1128">
        <v>1</v>
      </c>
      <c r="W74" s="1128">
        <v>1</v>
      </c>
      <c r="X74" s="1128">
        <v>1</v>
      </c>
      <c r="Y74" s="1128">
        <v>1</v>
      </c>
      <c r="Z74" s="1128">
        <v>1</v>
      </c>
      <c r="AA74" s="1128">
        <v>1</v>
      </c>
    </row>
    <row r="75" spans="1:27" s="1724" customFormat="1" ht="15">
      <c r="A75" s="7832"/>
      <c r="B75" s="8321" t="s">
        <v>3124</v>
      </c>
      <c r="C75" s="8322"/>
      <c r="D75" s="1789" t="s">
        <v>3125</v>
      </c>
      <c r="E75" s="1789"/>
      <c r="F75" s="1788" t="s">
        <v>3126</v>
      </c>
      <c r="G75" s="1790" t="s">
        <v>3127</v>
      </c>
      <c r="H75" s="1745"/>
      <c r="I75" s="1744"/>
      <c r="J75" s="1744"/>
      <c r="K75" s="1744"/>
      <c r="L75" s="1744"/>
      <c r="M75" s="1744"/>
      <c r="N75" s="1744"/>
      <c r="O75" s="1744"/>
      <c r="P75" s="1128">
        <v>1</v>
      </c>
      <c r="Q75" s="1128">
        <v>1</v>
      </c>
      <c r="R75" s="1128">
        <v>1</v>
      </c>
      <c r="S75" s="1128">
        <v>1</v>
      </c>
      <c r="T75" s="1128">
        <v>1</v>
      </c>
      <c r="U75" s="1128">
        <v>1</v>
      </c>
      <c r="V75" s="1128">
        <v>1</v>
      </c>
      <c r="W75" s="1128">
        <v>1</v>
      </c>
      <c r="X75" s="1128">
        <v>1</v>
      </c>
      <c r="Y75" s="1128">
        <v>1</v>
      </c>
      <c r="Z75" s="1128">
        <v>1</v>
      </c>
      <c r="AA75" s="1128">
        <v>1</v>
      </c>
    </row>
    <row r="76" spans="1:27" s="1724" customFormat="1" thickBot="1">
      <c r="A76" s="7832"/>
      <c r="B76" s="8323" t="s">
        <v>3128</v>
      </c>
      <c r="C76" s="8324"/>
      <c r="D76" s="1793" t="s">
        <v>3129</v>
      </c>
      <c r="E76" s="1793"/>
      <c r="F76" s="1792" t="s">
        <v>3130</v>
      </c>
      <c r="G76" s="1794" t="s">
        <v>3131</v>
      </c>
      <c r="H76" s="1745"/>
      <c r="I76" s="1744"/>
      <c r="J76" s="1744"/>
      <c r="K76" s="1744"/>
      <c r="L76" s="1744"/>
      <c r="M76" s="1744"/>
      <c r="N76" s="1744"/>
      <c r="O76" s="1744"/>
      <c r="P76" s="1128">
        <v>1</v>
      </c>
      <c r="Q76" s="1128">
        <v>1</v>
      </c>
      <c r="R76" s="1128">
        <v>1</v>
      </c>
      <c r="S76" s="1128">
        <v>1</v>
      </c>
      <c r="T76" s="1128">
        <v>1</v>
      </c>
      <c r="U76" s="1128">
        <v>1</v>
      </c>
      <c r="V76" s="1128">
        <v>1</v>
      </c>
      <c r="W76" s="1128">
        <v>1</v>
      </c>
      <c r="X76" s="1128">
        <v>1</v>
      </c>
      <c r="Y76" s="1128">
        <v>1</v>
      </c>
      <c r="Z76" s="1128">
        <v>1</v>
      </c>
      <c r="AA76" s="1128">
        <v>1</v>
      </c>
    </row>
    <row r="77" spans="1:27" s="1724" customFormat="1" ht="15">
      <c r="A77" s="1744"/>
      <c r="B77" s="1778"/>
      <c r="C77" s="1778"/>
      <c r="D77" s="1778"/>
      <c r="E77" s="1778"/>
      <c r="F77" s="1778"/>
      <c r="G77" s="1778"/>
      <c r="H77" s="1745"/>
      <c r="I77" s="1744"/>
      <c r="J77" s="1744"/>
      <c r="K77" s="1744"/>
      <c r="L77" s="1744"/>
      <c r="M77" s="1744"/>
      <c r="N77" s="1744"/>
      <c r="O77" s="1744"/>
      <c r="P77" s="1128">
        <v>1</v>
      </c>
      <c r="Q77" s="1128">
        <v>1</v>
      </c>
      <c r="R77" s="1128">
        <v>1</v>
      </c>
      <c r="S77" s="1128">
        <v>1</v>
      </c>
      <c r="T77" s="1128">
        <v>1</v>
      </c>
      <c r="U77" s="1128">
        <v>1</v>
      </c>
      <c r="V77" s="1128">
        <v>1</v>
      </c>
      <c r="W77" s="1128">
        <v>1</v>
      </c>
      <c r="X77" s="1128">
        <v>1</v>
      </c>
      <c r="Y77" s="1128">
        <v>1</v>
      </c>
      <c r="Z77" s="1128">
        <v>1</v>
      </c>
      <c r="AA77" s="1128">
        <v>1</v>
      </c>
    </row>
    <row r="78" spans="1:27" s="1724" customFormat="1" ht="15" customHeight="1">
      <c r="A78" s="1744"/>
      <c r="B78" s="1795"/>
      <c r="C78" s="414" t="s">
        <v>3132</v>
      </c>
      <c r="D78" s="1744"/>
      <c r="E78" s="1795"/>
      <c r="F78" s="1795"/>
      <c r="G78" s="1744"/>
      <c r="H78" s="1744"/>
      <c r="I78" s="1744"/>
      <c r="J78" s="1744"/>
      <c r="K78" s="1744"/>
      <c r="L78" s="8296" t="s">
        <v>3133</v>
      </c>
      <c r="M78" s="8297"/>
      <c r="N78" s="8297"/>
      <c r="O78" s="8298"/>
      <c r="P78" s="1128">
        <v>1</v>
      </c>
      <c r="Q78" s="1128">
        <v>1</v>
      </c>
      <c r="R78" s="1128">
        <v>1</v>
      </c>
      <c r="S78" s="1128">
        <v>1</v>
      </c>
      <c r="T78" s="1128">
        <v>1</v>
      </c>
      <c r="U78" s="1128">
        <v>1</v>
      </c>
      <c r="V78" s="1128">
        <v>1</v>
      </c>
      <c r="W78" s="1128">
        <v>1</v>
      </c>
      <c r="X78" s="1128">
        <v>1</v>
      </c>
      <c r="Y78" s="1128">
        <v>1</v>
      </c>
      <c r="Z78" s="1128">
        <v>1</v>
      </c>
      <c r="AA78" s="1128">
        <v>1</v>
      </c>
    </row>
    <row r="79" spans="1:27" s="1724" customFormat="1" ht="15" customHeight="1">
      <c r="A79" s="1744"/>
      <c r="B79" s="1795"/>
      <c r="C79" s="414"/>
      <c r="D79" s="1744"/>
      <c r="E79" s="1795"/>
      <c r="F79" s="1795"/>
      <c r="G79" s="1744"/>
      <c r="H79" s="1744"/>
      <c r="I79" s="1744"/>
      <c r="J79" s="1744"/>
      <c r="K79" s="1744"/>
      <c r="L79" s="8299"/>
      <c r="M79" s="8300"/>
      <c r="N79" s="8300"/>
      <c r="O79" s="8301"/>
      <c r="P79" s="1128">
        <v>1</v>
      </c>
      <c r="Q79" s="1128">
        <v>1</v>
      </c>
      <c r="R79" s="1128">
        <v>1</v>
      </c>
      <c r="S79" s="1128">
        <v>1</v>
      </c>
      <c r="T79" s="1128">
        <v>1</v>
      </c>
      <c r="U79" s="1128">
        <v>1</v>
      </c>
      <c r="V79" s="1128">
        <v>1</v>
      </c>
      <c r="W79" s="1128">
        <v>1</v>
      </c>
      <c r="X79" s="1128">
        <v>1</v>
      </c>
      <c r="Y79" s="1128">
        <v>1</v>
      </c>
      <c r="Z79" s="1128">
        <v>1</v>
      </c>
      <c r="AA79" s="1128">
        <v>1</v>
      </c>
    </row>
    <row r="80" spans="1:27" s="1724" customFormat="1" ht="15" customHeight="1">
      <c r="A80" s="1744"/>
      <c r="B80" s="1796" t="s">
        <v>3091</v>
      </c>
      <c r="C80" s="1797" t="s">
        <v>3134</v>
      </c>
      <c r="D80" s="1744"/>
      <c r="E80" s="1797"/>
      <c r="F80" s="1797"/>
      <c r="G80" s="1798"/>
      <c r="H80" s="1744"/>
      <c r="I80" s="1744"/>
      <c r="J80" s="1744"/>
      <c r="K80" s="1744"/>
      <c r="L80" s="8299"/>
      <c r="M80" s="8300"/>
      <c r="N80" s="8300"/>
      <c r="O80" s="8301"/>
      <c r="P80" s="1128">
        <v>1</v>
      </c>
      <c r="Q80" s="1128">
        <v>1</v>
      </c>
      <c r="R80" s="1128">
        <v>1</v>
      </c>
      <c r="S80" s="1128">
        <v>1</v>
      </c>
      <c r="T80" s="1128">
        <v>1</v>
      </c>
      <c r="U80" s="1128">
        <v>1</v>
      </c>
      <c r="V80" s="1128">
        <v>1</v>
      </c>
      <c r="W80" s="1128">
        <v>1</v>
      </c>
      <c r="X80" s="1128">
        <v>1</v>
      </c>
      <c r="Y80" s="1128">
        <v>1</v>
      </c>
      <c r="Z80" s="1128">
        <v>1</v>
      </c>
      <c r="AA80" s="1128">
        <v>1</v>
      </c>
    </row>
    <row r="81" spans="1:27" s="1724" customFormat="1" ht="21">
      <c r="A81" s="1744"/>
      <c r="B81" s="1799"/>
      <c r="C81" s="1799"/>
      <c r="D81" s="1744"/>
      <c r="E81" s="1797"/>
      <c r="F81" s="1797"/>
      <c r="G81" s="1798"/>
      <c r="H81" s="1744"/>
      <c r="I81" s="1744"/>
      <c r="J81" s="1744"/>
      <c r="K81" s="1744"/>
      <c r="L81" s="8299"/>
      <c r="M81" s="8300"/>
      <c r="N81" s="8300"/>
      <c r="O81" s="8301"/>
      <c r="P81" s="1128">
        <v>1</v>
      </c>
      <c r="Q81" s="1128">
        <v>1</v>
      </c>
      <c r="R81" s="1128">
        <v>1</v>
      </c>
      <c r="S81" s="1128">
        <v>1</v>
      </c>
      <c r="T81" s="1128">
        <v>1</v>
      </c>
      <c r="U81" s="1128">
        <v>1</v>
      </c>
      <c r="V81" s="1128">
        <v>1</v>
      </c>
      <c r="W81" s="1128">
        <v>1</v>
      </c>
      <c r="X81" s="1128">
        <v>1</v>
      </c>
      <c r="Y81" s="1128">
        <v>1</v>
      </c>
      <c r="Z81" s="1128">
        <v>1</v>
      </c>
      <c r="AA81" s="1128">
        <v>1</v>
      </c>
    </row>
    <row r="82" spans="1:27" s="1724" customFormat="1" ht="15" customHeight="1">
      <c r="A82" s="1744"/>
      <c r="B82" s="1796" t="s">
        <v>3091</v>
      </c>
      <c r="C82" s="8302" t="s">
        <v>3135</v>
      </c>
      <c r="D82" s="8303"/>
      <c r="E82" s="8303"/>
      <c r="F82" s="8303"/>
      <c r="G82" s="8303"/>
      <c r="H82" s="8303"/>
      <c r="I82" s="1798"/>
      <c r="J82" s="1745"/>
      <c r="K82" s="1744"/>
      <c r="L82" s="8304" t="s">
        <v>3136</v>
      </c>
      <c r="M82" s="8305"/>
      <c r="N82" s="8305"/>
      <c r="O82" s="8306"/>
      <c r="P82" s="1128">
        <v>1</v>
      </c>
      <c r="Q82" s="1128">
        <v>1</v>
      </c>
      <c r="R82" s="1128">
        <v>1</v>
      </c>
      <c r="S82" s="1128">
        <v>1</v>
      </c>
      <c r="T82" s="1128">
        <v>1</v>
      </c>
      <c r="U82" s="1128">
        <v>1</v>
      </c>
      <c r="V82" s="1128">
        <v>1</v>
      </c>
      <c r="W82" s="1128">
        <v>1</v>
      </c>
      <c r="X82" s="1128">
        <v>1</v>
      </c>
      <c r="Y82" s="1128">
        <v>1</v>
      </c>
      <c r="Z82" s="1128">
        <v>1</v>
      </c>
      <c r="AA82" s="1128">
        <v>1</v>
      </c>
    </row>
    <row r="83" spans="1:27" s="1724" customFormat="1" ht="21">
      <c r="A83" s="1744"/>
      <c r="B83" s="1799"/>
      <c r="C83" s="1795"/>
      <c r="D83" s="1744"/>
      <c r="E83" s="1795"/>
      <c r="F83" s="1795"/>
      <c r="G83" s="1798"/>
      <c r="H83" s="1798"/>
      <c r="I83" s="1798"/>
      <c r="J83" s="1745"/>
      <c r="K83" s="1744"/>
      <c r="L83" s="8304"/>
      <c r="M83" s="8305"/>
      <c r="N83" s="8305"/>
      <c r="O83" s="8306"/>
      <c r="P83" s="1128">
        <v>1</v>
      </c>
      <c r="Q83" s="1128">
        <v>1</v>
      </c>
      <c r="R83" s="1128">
        <v>1</v>
      </c>
      <c r="S83" s="1128">
        <v>1</v>
      </c>
      <c r="T83" s="1128">
        <v>1</v>
      </c>
      <c r="U83" s="1128">
        <v>1</v>
      </c>
      <c r="V83" s="1128">
        <v>1</v>
      </c>
      <c r="W83" s="1128">
        <v>1</v>
      </c>
      <c r="X83" s="1128">
        <v>1</v>
      </c>
      <c r="Y83" s="1128">
        <v>1</v>
      </c>
      <c r="Z83" s="1128">
        <v>1</v>
      </c>
      <c r="AA83" s="1128">
        <v>1</v>
      </c>
    </row>
    <row r="84" spans="1:27" s="1724" customFormat="1" ht="21">
      <c r="A84" s="1744"/>
      <c r="B84" s="1795"/>
      <c r="C84" s="414" t="s">
        <v>3137</v>
      </c>
      <c r="D84" s="1744"/>
      <c r="E84" s="1795"/>
      <c r="F84" s="1795"/>
      <c r="G84" s="1798"/>
      <c r="H84" s="1798"/>
      <c r="I84" s="1798"/>
      <c r="J84" s="1745"/>
      <c r="K84" s="1744"/>
      <c r="L84" s="8307"/>
      <c r="M84" s="8308"/>
      <c r="N84" s="8308"/>
      <c r="O84" s="8309"/>
      <c r="P84" s="1128">
        <v>1</v>
      </c>
      <c r="Q84" s="1128">
        <v>1</v>
      </c>
      <c r="R84" s="1128">
        <v>1</v>
      </c>
      <c r="S84" s="1128">
        <v>1</v>
      </c>
      <c r="T84" s="1128">
        <v>1</v>
      </c>
      <c r="U84" s="1128">
        <v>1</v>
      </c>
      <c r="V84" s="1128">
        <v>1</v>
      </c>
      <c r="W84" s="1128">
        <v>1</v>
      </c>
      <c r="X84" s="1128">
        <v>1</v>
      </c>
      <c r="Y84" s="1128">
        <v>1</v>
      </c>
      <c r="Z84" s="1128">
        <v>1</v>
      </c>
      <c r="AA84" s="1128">
        <v>1</v>
      </c>
    </row>
    <row r="85" spans="1:27" s="1724" customFormat="1" ht="21">
      <c r="A85" s="1744"/>
      <c r="B85" s="1796" t="s">
        <v>3091</v>
      </c>
      <c r="C85" s="8310" t="s">
        <v>3138</v>
      </c>
      <c r="D85" s="8310"/>
      <c r="E85" s="8310"/>
      <c r="F85" s="8310"/>
      <c r="G85" s="8310"/>
      <c r="H85" s="8310"/>
      <c r="I85" s="8310"/>
      <c r="J85" s="8310"/>
      <c r="K85" s="1744"/>
      <c r="L85" s="1744"/>
      <c r="M85" s="1744"/>
      <c r="N85" s="1744"/>
      <c r="O85" s="1744"/>
      <c r="P85" s="1128">
        <v>1</v>
      </c>
      <c r="Q85" s="1128">
        <v>1</v>
      </c>
      <c r="R85" s="1128">
        <v>1</v>
      </c>
      <c r="S85" s="1128">
        <v>1</v>
      </c>
      <c r="T85" s="1128">
        <v>1</v>
      </c>
      <c r="U85" s="1128">
        <v>1</v>
      </c>
      <c r="V85" s="1128">
        <v>1</v>
      </c>
      <c r="W85" s="1128">
        <v>1</v>
      </c>
      <c r="X85" s="1128">
        <v>1</v>
      </c>
      <c r="Y85" s="1128">
        <v>1</v>
      </c>
      <c r="Z85" s="1128">
        <v>1</v>
      </c>
      <c r="AA85" s="1128">
        <v>1</v>
      </c>
    </row>
    <row r="86" spans="1:27" s="1724" customFormat="1" ht="21">
      <c r="A86" s="1744"/>
      <c r="B86" s="1797"/>
      <c r="C86" s="1797"/>
      <c r="D86" s="1744"/>
      <c r="E86" s="1797"/>
      <c r="F86" s="1797"/>
      <c r="G86" s="1798"/>
      <c r="H86" s="1800"/>
      <c r="I86" s="1798"/>
      <c r="J86" s="1745"/>
      <c r="K86" s="1745"/>
      <c r="L86" s="1745"/>
      <c r="M86" s="1745"/>
      <c r="N86" s="1745"/>
      <c r="O86" s="1745"/>
      <c r="P86" s="1128">
        <v>1</v>
      </c>
      <c r="Q86" s="1128">
        <v>1</v>
      </c>
      <c r="R86" s="1128">
        <v>1</v>
      </c>
      <c r="S86" s="1128">
        <v>1</v>
      </c>
      <c r="T86" s="1128">
        <v>1</v>
      </c>
      <c r="U86" s="1128">
        <v>1</v>
      </c>
      <c r="V86" s="1128">
        <v>1</v>
      </c>
      <c r="W86" s="1128">
        <v>1</v>
      </c>
      <c r="X86" s="1128">
        <v>1</v>
      </c>
      <c r="Y86" s="1128">
        <v>1</v>
      </c>
      <c r="Z86" s="1128">
        <v>1</v>
      </c>
      <c r="AA86" s="1128">
        <v>1</v>
      </c>
    </row>
    <row r="87" spans="1:27" s="1724" customFormat="1" ht="21">
      <c r="A87" s="1744"/>
      <c r="B87" s="1796" t="s">
        <v>3091</v>
      </c>
      <c r="C87" s="8311" t="s">
        <v>3139</v>
      </c>
      <c r="D87" s="8311"/>
      <c r="E87" s="8311"/>
      <c r="F87" s="8311"/>
      <c r="G87" s="8311"/>
      <c r="H87" s="8311"/>
      <c r="I87" s="8311"/>
      <c r="J87" s="1745"/>
      <c r="K87" s="1745"/>
      <c r="L87" s="8312" t="s">
        <v>3140</v>
      </c>
      <c r="M87" s="8313"/>
      <c r="N87" s="8313"/>
      <c r="O87" s="8314"/>
      <c r="P87" s="1128">
        <v>1</v>
      </c>
      <c r="Q87" s="1128">
        <v>1</v>
      </c>
      <c r="R87" s="1128">
        <v>1</v>
      </c>
      <c r="S87" s="1128">
        <v>1</v>
      </c>
      <c r="T87" s="1128">
        <v>1</v>
      </c>
      <c r="U87" s="1128">
        <v>1</v>
      </c>
      <c r="V87" s="1128">
        <v>1</v>
      </c>
      <c r="W87" s="1128">
        <v>1</v>
      </c>
      <c r="X87" s="1128">
        <v>1</v>
      </c>
      <c r="Y87" s="1128">
        <v>1</v>
      </c>
      <c r="Z87" s="1128">
        <v>1</v>
      </c>
      <c r="AA87" s="1128">
        <v>1</v>
      </c>
    </row>
    <row r="88" spans="1:27" s="1724" customFormat="1" ht="21" customHeight="1">
      <c r="A88" s="1744"/>
      <c r="B88" s="1800"/>
      <c r="C88" s="1800"/>
      <c r="D88" s="1800"/>
      <c r="E88" s="1800"/>
      <c r="F88" s="1798"/>
      <c r="G88" s="1798"/>
      <c r="H88" s="1800"/>
      <c r="I88" s="1798"/>
      <c r="J88" s="1745"/>
      <c r="K88" s="1745"/>
      <c r="L88" s="8243" t="s">
        <v>3141</v>
      </c>
      <c r="M88" s="8244"/>
      <c r="N88" s="8244"/>
      <c r="O88" s="8245"/>
      <c r="P88" s="1128">
        <v>1</v>
      </c>
      <c r="Q88" s="1128">
        <v>1</v>
      </c>
      <c r="R88" s="1128">
        <v>1</v>
      </c>
      <c r="S88" s="1128">
        <v>1</v>
      </c>
      <c r="T88" s="1128">
        <v>1</v>
      </c>
      <c r="U88" s="1128">
        <v>1</v>
      </c>
      <c r="V88" s="1128">
        <v>1</v>
      </c>
      <c r="W88" s="1128">
        <v>1</v>
      </c>
      <c r="X88" s="1128">
        <v>1</v>
      </c>
      <c r="Y88" s="1128">
        <v>1</v>
      </c>
      <c r="Z88" s="1128">
        <v>1</v>
      </c>
      <c r="AA88" s="1128">
        <v>1</v>
      </c>
    </row>
    <row r="89" spans="1:27" s="1724" customFormat="1" ht="18.75">
      <c r="A89" s="1744"/>
      <c r="B89" s="1796" t="s">
        <v>3091</v>
      </c>
      <c r="C89" s="1801" t="s">
        <v>3142</v>
      </c>
      <c r="D89" s="1798"/>
      <c r="E89" s="1798"/>
      <c r="F89" s="1798"/>
      <c r="G89" s="1798"/>
      <c r="H89" s="1800"/>
      <c r="I89" s="1798"/>
      <c r="J89" s="1745"/>
      <c r="K89" s="1745"/>
      <c r="L89" s="8243"/>
      <c r="M89" s="8244"/>
      <c r="N89" s="8244"/>
      <c r="O89" s="8245"/>
      <c r="P89" s="1128">
        <v>1</v>
      </c>
      <c r="Q89" s="1128">
        <v>1</v>
      </c>
      <c r="R89" s="1128">
        <v>1</v>
      </c>
      <c r="S89" s="1128">
        <v>1</v>
      </c>
      <c r="T89" s="1128">
        <v>1</v>
      </c>
      <c r="U89" s="1128">
        <v>1</v>
      </c>
      <c r="V89" s="1128">
        <v>1</v>
      </c>
      <c r="W89" s="1128">
        <v>1</v>
      </c>
      <c r="X89" s="1128">
        <v>1</v>
      </c>
      <c r="Y89" s="1128">
        <v>1</v>
      </c>
      <c r="Z89" s="1128">
        <v>1</v>
      </c>
      <c r="AA89" s="1128">
        <v>1</v>
      </c>
    </row>
    <row r="90" spans="1:27" s="1724" customFormat="1" ht="21">
      <c r="A90" s="1744"/>
      <c r="B90" s="1797"/>
      <c r="C90" s="1802"/>
      <c r="D90" s="1797"/>
      <c r="E90" s="1800"/>
      <c r="F90" s="1798"/>
      <c r="G90" s="1798"/>
      <c r="H90" s="1800"/>
      <c r="I90" s="1798"/>
      <c r="J90" s="1745"/>
      <c r="K90" s="1745"/>
      <c r="L90" s="8243"/>
      <c r="M90" s="8244"/>
      <c r="N90" s="8244"/>
      <c r="O90" s="8245"/>
      <c r="P90" s="1128">
        <v>1</v>
      </c>
      <c r="Q90" s="1128">
        <v>1</v>
      </c>
      <c r="R90" s="1128">
        <v>1</v>
      </c>
      <c r="S90" s="1128">
        <v>1</v>
      </c>
      <c r="T90" s="1128">
        <v>1</v>
      </c>
      <c r="U90" s="1128">
        <v>1</v>
      </c>
      <c r="V90" s="1128">
        <v>1</v>
      </c>
      <c r="W90" s="1128">
        <v>1</v>
      </c>
      <c r="X90" s="1128">
        <v>1</v>
      </c>
      <c r="Y90" s="1128">
        <v>1</v>
      </c>
      <c r="Z90" s="1128">
        <v>1</v>
      </c>
      <c r="AA90" s="1128">
        <v>1</v>
      </c>
    </row>
    <row r="91" spans="1:27" s="1724" customFormat="1" ht="18.75">
      <c r="A91" s="1744"/>
      <c r="B91" s="1796" t="s">
        <v>3091</v>
      </c>
      <c r="C91" s="1803" t="s">
        <v>3143</v>
      </c>
      <c r="I91" s="1798"/>
      <c r="J91" s="1745"/>
      <c r="K91" s="1744"/>
      <c r="L91" s="8243"/>
      <c r="M91" s="8244"/>
      <c r="N91" s="8244"/>
      <c r="O91" s="8245"/>
      <c r="P91" s="1128">
        <v>1</v>
      </c>
      <c r="Q91" s="1128">
        <v>1</v>
      </c>
      <c r="R91" s="1128">
        <v>1</v>
      </c>
      <c r="S91" s="1128">
        <v>1</v>
      </c>
      <c r="T91" s="1128">
        <v>1</v>
      </c>
      <c r="U91" s="1128">
        <v>1</v>
      </c>
      <c r="V91" s="1128">
        <v>1</v>
      </c>
      <c r="W91" s="1128">
        <v>1</v>
      </c>
      <c r="X91" s="1128">
        <v>1</v>
      </c>
      <c r="Y91" s="1128">
        <v>1</v>
      </c>
      <c r="Z91" s="1128">
        <v>1</v>
      </c>
      <c r="AA91" s="1128">
        <v>1</v>
      </c>
    </row>
    <row r="92" spans="1:27" s="1724" customFormat="1" ht="15">
      <c r="A92" s="1744"/>
      <c r="B92" s="1745"/>
      <c r="C92" s="1798"/>
      <c r="D92" s="1798"/>
      <c r="E92" s="1798"/>
      <c r="F92" s="1798"/>
      <c r="G92" s="1798"/>
      <c r="H92" s="1800"/>
      <c r="I92" s="1798"/>
      <c r="J92" s="1745"/>
      <c r="K92" s="1744"/>
      <c r="L92" s="8246" t="s">
        <v>3144</v>
      </c>
      <c r="M92" s="8247"/>
      <c r="N92" s="8247"/>
      <c r="O92" s="8248"/>
      <c r="P92" s="1128">
        <v>1</v>
      </c>
      <c r="Q92" s="1128">
        <v>1</v>
      </c>
      <c r="R92" s="1128">
        <v>1</v>
      </c>
      <c r="S92" s="1128">
        <v>1</v>
      </c>
      <c r="T92" s="1128">
        <v>1</v>
      </c>
      <c r="U92" s="1128">
        <v>1</v>
      </c>
      <c r="V92" s="1128">
        <v>1</v>
      </c>
      <c r="W92" s="1128">
        <v>1</v>
      </c>
      <c r="X92" s="1128">
        <v>1</v>
      </c>
      <c r="Y92" s="1128">
        <v>1</v>
      </c>
      <c r="Z92" s="1128">
        <v>1</v>
      </c>
      <c r="AA92" s="1128">
        <v>1</v>
      </c>
    </row>
    <row r="93" spans="1:27" s="1724" customFormat="1" ht="15">
      <c r="A93" s="1744"/>
      <c r="G93" s="1798"/>
      <c r="H93" s="1800"/>
      <c r="I93" s="1798"/>
      <c r="J93" s="1745"/>
      <c r="K93" s="1744"/>
      <c r="L93" s="8246"/>
      <c r="M93" s="8247"/>
      <c r="N93" s="8247"/>
      <c r="O93" s="8248"/>
      <c r="P93" s="1128">
        <v>1</v>
      </c>
      <c r="Q93" s="1128">
        <v>1</v>
      </c>
      <c r="R93" s="1128">
        <v>1</v>
      </c>
      <c r="S93" s="1128">
        <v>1</v>
      </c>
      <c r="T93" s="1128">
        <v>1</v>
      </c>
      <c r="U93" s="1128">
        <v>1</v>
      </c>
      <c r="V93" s="1128">
        <v>1</v>
      </c>
      <c r="W93" s="1128">
        <v>1</v>
      </c>
      <c r="X93" s="1128">
        <v>1</v>
      </c>
      <c r="Y93" s="1128">
        <v>1</v>
      </c>
      <c r="Z93" s="1128">
        <v>1</v>
      </c>
      <c r="AA93" s="1128">
        <v>1</v>
      </c>
    </row>
    <row r="94" spans="1:27" s="1724" customFormat="1" ht="21">
      <c r="A94" s="1744"/>
      <c r="B94" s="1797"/>
      <c r="C94" s="1797"/>
      <c r="D94" s="1800"/>
      <c r="E94" s="1800"/>
      <c r="F94" s="1800"/>
      <c r="G94" s="1798"/>
      <c r="H94" s="1800"/>
      <c r="I94" s="1798"/>
      <c r="J94" s="1745"/>
      <c r="K94" s="1744"/>
      <c r="L94" s="8246"/>
      <c r="M94" s="8247"/>
      <c r="N94" s="8247"/>
      <c r="O94" s="8248"/>
      <c r="P94" s="1128">
        <v>1</v>
      </c>
      <c r="Q94" s="1128">
        <v>1</v>
      </c>
      <c r="R94" s="1128">
        <v>1</v>
      </c>
      <c r="S94" s="1128">
        <v>1</v>
      </c>
      <c r="T94" s="1128">
        <v>1</v>
      </c>
      <c r="U94" s="1128">
        <v>1</v>
      </c>
      <c r="V94" s="1128">
        <v>1</v>
      </c>
      <c r="W94" s="1128">
        <v>1</v>
      </c>
      <c r="X94" s="1128">
        <v>1</v>
      </c>
      <c r="Y94" s="1128">
        <v>1</v>
      </c>
      <c r="Z94" s="1128">
        <v>1</v>
      </c>
      <c r="AA94" s="1128">
        <v>1</v>
      </c>
    </row>
    <row r="95" spans="1:27" s="1724" customFormat="1" ht="15">
      <c r="A95" s="1744"/>
      <c r="B95" s="1744"/>
      <c r="C95" s="1744"/>
      <c r="D95" s="1744"/>
      <c r="E95" s="1744"/>
      <c r="F95" s="1744"/>
      <c r="G95" s="1798"/>
      <c r="H95" s="1800"/>
      <c r="I95" s="1798"/>
      <c r="J95" s="1745"/>
      <c r="K95" s="1744"/>
      <c r="L95" s="8249" t="s">
        <v>3145</v>
      </c>
      <c r="M95" s="8250"/>
      <c r="N95" s="8250"/>
      <c r="O95" s="8251"/>
      <c r="P95" s="1128">
        <v>1</v>
      </c>
      <c r="Q95" s="1128">
        <v>1</v>
      </c>
      <c r="R95" s="1128">
        <v>1</v>
      </c>
      <c r="S95" s="1128">
        <v>1</v>
      </c>
      <c r="T95" s="1128">
        <v>1</v>
      </c>
      <c r="U95" s="1128">
        <v>1</v>
      </c>
      <c r="V95" s="1128">
        <v>1</v>
      </c>
      <c r="W95" s="1128">
        <v>1</v>
      </c>
      <c r="X95" s="1128">
        <v>1</v>
      </c>
      <c r="Y95" s="1128">
        <v>1</v>
      </c>
      <c r="Z95" s="1128">
        <v>1</v>
      </c>
      <c r="AA95" s="1128">
        <v>1</v>
      </c>
    </row>
    <row r="96" spans="1:27" s="1724" customFormat="1" ht="15" customHeight="1">
      <c r="A96" s="1744"/>
      <c r="B96" s="1744"/>
      <c r="C96" s="1744"/>
      <c r="D96" s="1744"/>
      <c r="E96" s="1744"/>
      <c r="F96" s="1744"/>
      <c r="G96" s="1798"/>
      <c r="H96" s="1798"/>
      <c r="I96" s="1798"/>
      <c r="J96" s="1745"/>
      <c r="K96" s="1744"/>
      <c r="L96" s="8249"/>
      <c r="M96" s="8250"/>
      <c r="N96" s="8250"/>
      <c r="O96" s="8251"/>
      <c r="P96" s="1128">
        <v>1</v>
      </c>
      <c r="Q96" s="1128">
        <v>1</v>
      </c>
      <c r="R96" s="1128">
        <v>1</v>
      </c>
      <c r="S96" s="1128">
        <v>1</v>
      </c>
      <c r="T96" s="1128">
        <v>1</v>
      </c>
      <c r="U96" s="1128">
        <v>1</v>
      </c>
      <c r="V96" s="1128">
        <v>1</v>
      </c>
      <c r="W96" s="1128">
        <v>1</v>
      </c>
      <c r="X96" s="1128">
        <v>1</v>
      </c>
      <c r="Y96" s="1128">
        <v>1</v>
      </c>
      <c r="Z96" s="1128">
        <v>1</v>
      </c>
      <c r="AA96" s="1128">
        <v>1</v>
      </c>
    </row>
    <row r="97" spans="1:27" s="1724" customFormat="1" ht="15">
      <c r="A97" s="1744"/>
      <c r="B97" s="1744"/>
      <c r="C97" s="1744"/>
      <c r="D97" s="1744"/>
      <c r="E97" s="1744"/>
      <c r="F97" s="1744"/>
      <c r="G97" s="1798"/>
      <c r="H97" s="1798"/>
      <c r="I97" s="1798"/>
      <c r="J97" s="1745"/>
      <c r="K97" s="1744"/>
      <c r="L97" s="8252"/>
      <c r="M97" s="8253"/>
      <c r="N97" s="8253"/>
      <c r="O97" s="8254"/>
      <c r="P97" s="1128">
        <v>1</v>
      </c>
      <c r="Q97" s="1128">
        <v>1</v>
      </c>
      <c r="R97" s="1128">
        <v>1</v>
      </c>
      <c r="S97" s="1128">
        <v>1</v>
      </c>
      <c r="T97" s="1128">
        <v>1</v>
      </c>
      <c r="U97" s="1128">
        <v>1</v>
      </c>
      <c r="V97" s="1128">
        <v>1</v>
      </c>
      <c r="W97" s="1128">
        <v>1</v>
      </c>
      <c r="X97" s="1128">
        <v>1</v>
      </c>
      <c r="Y97" s="1128">
        <v>1</v>
      </c>
      <c r="Z97" s="1128">
        <v>1</v>
      </c>
      <c r="AA97" s="1128">
        <v>1</v>
      </c>
    </row>
    <row r="98" spans="1:27" s="1724" customFormat="1" ht="15">
      <c r="A98" s="1744"/>
      <c r="B98" s="1744"/>
      <c r="C98" s="1744"/>
      <c r="D98" s="1744"/>
      <c r="E98" s="1744"/>
      <c r="F98" s="1744"/>
      <c r="G98" s="1744"/>
      <c r="H98" s="1744"/>
      <c r="I98" s="1744"/>
      <c r="J98" s="1744"/>
      <c r="K98" s="1745"/>
      <c r="L98" s="1744"/>
      <c r="M98" s="1744"/>
      <c r="N98" s="1744"/>
      <c r="O98" s="1744"/>
      <c r="P98" s="1128">
        <v>1</v>
      </c>
      <c r="Q98" s="1128">
        <v>1</v>
      </c>
      <c r="R98" s="1128">
        <v>1</v>
      </c>
      <c r="S98" s="1128">
        <v>1</v>
      </c>
      <c r="T98" s="1128">
        <v>1</v>
      </c>
      <c r="U98" s="1128">
        <v>1</v>
      </c>
      <c r="V98" s="1128">
        <v>1</v>
      </c>
      <c r="W98" s="1128">
        <v>1</v>
      </c>
      <c r="X98" s="1128">
        <v>1</v>
      </c>
      <c r="Y98" s="1128">
        <v>1</v>
      </c>
      <c r="Z98" s="1128">
        <v>1</v>
      </c>
      <c r="AA98" s="1128">
        <v>1</v>
      </c>
    </row>
    <row r="99" spans="1:27" s="1724" customFormat="1" ht="15">
      <c r="A99" s="1744"/>
      <c r="B99" s="1744"/>
      <c r="C99" s="1744"/>
      <c r="D99" s="1744"/>
      <c r="E99" s="1744"/>
      <c r="F99" s="1744"/>
      <c r="G99" s="1744"/>
      <c r="H99" s="1744"/>
      <c r="I99" s="1744"/>
      <c r="J99" s="1744"/>
      <c r="K99" s="1745"/>
      <c r="L99" s="1744"/>
      <c r="M99" s="1744"/>
      <c r="N99" s="1744"/>
      <c r="O99" s="1744"/>
      <c r="P99" s="1744"/>
      <c r="Q99" s="1744"/>
      <c r="U99" s="1128">
        <v>1</v>
      </c>
      <c r="V99" s="1128">
        <v>1</v>
      </c>
      <c r="W99" s="1128">
        <v>1</v>
      </c>
      <c r="X99" s="1128">
        <v>1</v>
      </c>
      <c r="Y99" s="1128">
        <v>1</v>
      </c>
      <c r="Z99" s="1128">
        <v>1</v>
      </c>
      <c r="AA99" s="1128">
        <v>1</v>
      </c>
    </row>
    <row r="100" spans="1:27" ht="46.5" customHeight="1">
      <c r="A100" s="1769" t="s">
        <v>252</v>
      </c>
      <c r="B100" s="8255" t="s">
        <v>3069</v>
      </c>
      <c r="C100" s="8256"/>
      <c r="D100" s="8256"/>
      <c r="E100" s="8256"/>
      <c r="F100" s="8256"/>
      <c r="G100" s="8256"/>
      <c r="H100" s="8256"/>
      <c r="I100" s="8256"/>
      <c r="J100" s="8256"/>
      <c r="K100" s="8256"/>
      <c r="L100" s="8256"/>
      <c r="M100" s="8256"/>
      <c r="N100" s="8256"/>
      <c r="O100" s="8256"/>
      <c r="P100" s="8256"/>
      <c r="Q100" s="8256"/>
      <c r="R100" s="8256"/>
      <c r="S100" s="8256"/>
      <c r="T100" s="8257"/>
      <c r="U100" s="1128">
        <v>1</v>
      </c>
      <c r="V100" s="1128">
        <v>1</v>
      </c>
      <c r="W100" s="1128">
        <v>1</v>
      </c>
      <c r="X100" s="1128">
        <v>1</v>
      </c>
      <c r="Y100" s="1128">
        <v>1</v>
      </c>
      <c r="Z100" s="1128">
        <v>1</v>
      </c>
      <c r="AA100" s="1128">
        <v>1</v>
      </c>
    </row>
    <row r="101" spans="1:27" ht="26.25" customHeight="1">
      <c r="A101" s="7833" t="str">
        <f>B100</f>
        <v>Gastronormes tableau N° 1</v>
      </c>
      <c r="B101" s="1804" t="str">
        <f>ADDRESS(ROW(),COLUMN(),4)</f>
        <v>B101</v>
      </c>
      <c r="C101" s="1805" t="s">
        <v>750</v>
      </c>
      <c r="D101" s="1760"/>
      <c r="E101" s="1760"/>
      <c r="F101" s="1760"/>
      <c r="G101" s="1760"/>
      <c r="H101" s="1760"/>
      <c r="I101" s="1760"/>
      <c r="J101" s="1760"/>
      <c r="K101" s="1760"/>
      <c r="L101" s="1760"/>
      <c r="M101" s="1760"/>
      <c r="N101" s="1760"/>
      <c r="O101" s="1761"/>
      <c r="P101" s="1760"/>
      <c r="Q101" s="1761"/>
      <c r="R101" s="1761"/>
      <c r="S101" s="1761"/>
      <c r="T101" s="1806" t="s">
        <v>3146</v>
      </c>
      <c r="U101" s="1128">
        <v>1</v>
      </c>
      <c r="V101" s="1128">
        <v>1</v>
      </c>
      <c r="W101" s="1128">
        <v>1</v>
      </c>
      <c r="X101" s="1128">
        <v>1</v>
      </c>
      <c r="Y101" s="1128">
        <v>1</v>
      </c>
      <c r="Z101" s="1128">
        <v>1</v>
      </c>
      <c r="AA101" s="1128">
        <v>1</v>
      </c>
    </row>
    <row r="102" spans="1:27" ht="20.100000000000001" customHeight="1">
      <c r="A102" s="7833"/>
      <c r="B102" s="8258" t="s">
        <v>3147</v>
      </c>
      <c r="C102" s="8259"/>
      <c r="D102" s="8259"/>
      <c r="E102" s="8259"/>
      <c r="F102" s="8259"/>
      <c r="G102" s="8259"/>
      <c r="H102" s="8259"/>
      <c r="I102" s="8259"/>
      <c r="J102" s="8259"/>
      <c r="K102" s="8259"/>
      <c r="L102" s="8260" t="s">
        <v>3148</v>
      </c>
      <c r="M102" s="8261"/>
      <c r="N102" s="8261"/>
      <c r="O102" s="8261"/>
      <c r="P102" s="8261"/>
      <c r="Q102" s="8261"/>
      <c r="R102" s="8261"/>
      <c r="S102" s="8261"/>
      <c r="T102" s="8262"/>
      <c r="U102" s="1128">
        <v>1</v>
      </c>
      <c r="V102" s="1128">
        <v>1</v>
      </c>
      <c r="W102" s="1128">
        <v>1</v>
      </c>
      <c r="X102" s="1128">
        <v>1</v>
      </c>
      <c r="Y102" s="1128">
        <v>1</v>
      </c>
      <c r="Z102" s="1128">
        <v>1</v>
      </c>
      <c r="AA102" s="1128">
        <v>1</v>
      </c>
    </row>
    <row r="103" spans="1:27" ht="20.100000000000001" customHeight="1">
      <c r="A103" s="7833"/>
      <c r="B103" s="8263" t="s">
        <v>3149</v>
      </c>
      <c r="C103" s="8264"/>
      <c r="D103" s="8264"/>
      <c r="E103" s="8269" t="s">
        <v>3071</v>
      </c>
      <c r="F103" s="8272" t="s">
        <v>3150</v>
      </c>
      <c r="G103" s="8275" t="s">
        <v>3151</v>
      </c>
      <c r="H103" s="8276"/>
      <c r="I103" s="8276"/>
      <c r="J103" s="8276"/>
      <c r="K103" s="8277"/>
      <c r="L103" s="8278" t="s">
        <v>3152</v>
      </c>
      <c r="M103" s="8279"/>
      <c r="N103" s="8282" t="s">
        <v>3153</v>
      </c>
      <c r="O103" s="8283"/>
      <c r="P103" s="8283"/>
      <c r="Q103" s="8283"/>
      <c r="R103" s="8283"/>
      <c r="S103" s="8283"/>
      <c r="T103" s="8284"/>
      <c r="U103" s="1128">
        <v>1</v>
      </c>
      <c r="V103" s="1128">
        <v>1</v>
      </c>
      <c r="W103" s="1128">
        <v>1</v>
      </c>
      <c r="X103" s="1128">
        <v>1</v>
      </c>
      <c r="Y103" s="1128">
        <v>1</v>
      </c>
      <c r="Z103" s="1128">
        <v>1</v>
      </c>
      <c r="AA103" s="1128">
        <v>1</v>
      </c>
    </row>
    <row r="104" spans="1:27" ht="20.100000000000001" customHeight="1">
      <c r="A104" s="7833"/>
      <c r="B104" s="8265"/>
      <c r="C104" s="8266"/>
      <c r="D104" s="8266"/>
      <c r="E104" s="8270"/>
      <c r="F104" s="8273"/>
      <c r="G104" s="1807" t="s">
        <v>3154</v>
      </c>
      <c r="H104" s="1808" t="s">
        <v>3155</v>
      </c>
      <c r="I104" s="1809" t="s">
        <v>3156</v>
      </c>
      <c r="J104" s="1809" t="s">
        <v>3157</v>
      </c>
      <c r="K104" s="1809" t="s">
        <v>3158</v>
      </c>
      <c r="L104" s="8280"/>
      <c r="M104" s="8281"/>
      <c r="N104" s="8285"/>
      <c r="O104" s="8286"/>
      <c r="P104" s="8286"/>
      <c r="Q104" s="8286"/>
      <c r="R104" s="8286"/>
      <c r="S104" s="8286"/>
      <c r="T104" s="8287"/>
      <c r="U104" s="1128">
        <v>1</v>
      </c>
      <c r="V104" s="1128">
        <v>1</v>
      </c>
      <c r="W104" s="1128">
        <v>1</v>
      </c>
      <c r="X104" s="1128">
        <v>1</v>
      </c>
      <c r="Y104" s="1128">
        <v>1</v>
      </c>
      <c r="Z104" s="1128">
        <v>1</v>
      </c>
      <c r="AA104" s="1128">
        <v>1</v>
      </c>
    </row>
    <row r="105" spans="1:27" ht="20.100000000000001" customHeight="1">
      <c r="A105" s="7833"/>
      <c r="B105" s="8265"/>
      <c r="C105" s="8266"/>
      <c r="D105" s="8266"/>
      <c r="E105" s="8270"/>
      <c r="F105" s="8273"/>
      <c r="G105" s="1810">
        <v>12</v>
      </c>
      <c r="H105" s="1810">
        <v>25</v>
      </c>
      <c r="I105" s="1810">
        <v>14</v>
      </c>
      <c r="J105" s="1810">
        <v>7</v>
      </c>
      <c r="K105" s="1810">
        <v>10</v>
      </c>
      <c r="L105" s="8291" t="s">
        <v>3159</v>
      </c>
      <c r="M105" s="8292"/>
      <c r="N105" s="8285"/>
      <c r="O105" s="8286"/>
      <c r="P105" s="8286"/>
      <c r="Q105" s="8286"/>
      <c r="R105" s="8286"/>
      <c r="S105" s="8286"/>
      <c r="T105" s="8287"/>
      <c r="U105" s="1128">
        <v>1</v>
      </c>
      <c r="V105" s="1128">
        <v>1</v>
      </c>
      <c r="W105" s="1128">
        <v>1</v>
      </c>
      <c r="X105" s="1128">
        <v>1</v>
      </c>
      <c r="Y105" s="1128">
        <v>1</v>
      </c>
      <c r="Z105" s="1128">
        <v>1</v>
      </c>
      <c r="AA105" s="1128">
        <v>1</v>
      </c>
    </row>
    <row r="106" spans="1:27" ht="20.100000000000001" customHeight="1" thickBot="1">
      <c r="A106" s="7833"/>
      <c r="B106" s="8267"/>
      <c r="C106" s="8268"/>
      <c r="D106" s="8268"/>
      <c r="E106" s="8271"/>
      <c r="F106" s="8274"/>
      <c r="G106" s="8293" t="s">
        <v>3160</v>
      </c>
      <c r="H106" s="8293"/>
      <c r="I106" s="8293"/>
      <c r="J106" s="8293"/>
      <c r="K106" s="8293"/>
      <c r="L106" s="8294">
        <f>SUM(G105:K105)</f>
        <v>68</v>
      </c>
      <c r="M106" s="8295"/>
      <c r="N106" s="8288"/>
      <c r="O106" s="8289"/>
      <c r="P106" s="8289"/>
      <c r="Q106" s="8289"/>
      <c r="R106" s="8289"/>
      <c r="S106" s="8289"/>
      <c r="T106" s="8290"/>
      <c r="U106" s="1128">
        <v>1</v>
      </c>
      <c r="V106" s="1128">
        <v>1</v>
      </c>
      <c r="W106" s="1128">
        <v>1</v>
      </c>
      <c r="X106" s="1128">
        <v>1</v>
      </c>
      <c r="Y106" s="1128">
        <v>1</v>
      </c>
      <c r="Z106" s="1128">
        <v>1</v>
      </c>
      <c r="AA106" s="1128">
        <v>1</v>
      </c>
    </row>
    <row r="107" spans="1:27" ht="20.100000000000001" customHeight="1">
      <c r="A107" s="7833"/>
      <c r="B107" s="1811" t="s">
        <v>3161</v>
      </c>
      <c r="C107" s="1812"/>
      <c r="D107" s="1812"/>
      <c r="E107" s="1812"/>
      <c r="F107" s="1812"/>
      <c r="G107" s="1812"/>
      <c r="H107" s="1812"/>
      <c r="I107" s="1812"/>
      <c r="J107" s="1812"/>
      <c r="K107" s="1812"/>
      <c r="L107" s="1812"/>
      <c r="M107" s="1812"/>
      <c r="N107" s="1812"/>
      <c r="O107" s="1812"/>
      <c r="P107" s="1812"/>
      <c r="Q107" s="1812"/>
      <c r="R107" s="1812"/>
      <c r="S107" s="1812"/>
      <c r="T107" s="1813" t="s">
        <v>3161</v>
      </c>
      <c r="U107" s="1128">
        <v>1</v>
      </c>
      <c r="V107" s="1128">
        <v>1</v>
      </c>
      <c r="W107" s="1128">
        <v>1</v>
      </c>
      <c r="X107" s="1128">
        <v>1</v>
      </c>
      <c r="Y107" s="1128">
        <v>1</v>
      </c>
      <c r="Z107" s="1128">
        <v>1</v>
      </c>
      <c r="AA107" s="1128">
        <v>1</v>
      </c>
    </row>
    <row r="108" spans="1:27" ht="20.100000000000001" customHeight="1">
      <c r="A108" s="7833"/>
      <c r="B108" s="8229" t="s">
        <v>3162</v>
      </c>
      <c r="C108" s="8230"/>
      <c r="D108" s="8230"/>
      <c r="E108" s="1814">
        <v>25</v>
      </c>
      <c r="F108" s="1815" t="s">
        <v>3163</v>
      </c>
      <c r="G108" s="1816">
        <v>0.5</v>
      </c>
      <c r="H108" s="1816">
        <v>1</v>
      </c>
      <c r="I108" s="1816">
        <v>1</v>
      </c>
      <c r="J108" s="1816">
        <v>1</v>
      </c>
      <c r="K108" s="1816">
        <v>1</v>
      </c>
      <c r="L108" s="1817">
        <f>(G108*G105)+(H108*H105)+(I108*I105)+(J108*J105)+(K108*K105)</f>
        <v>62</v>
      </c>
      <c r="M108" s="8233" t="str">
        <f>F108</f>
        <v>paupiettes</v>
      </c>
      <c r="N108" s="8233"/>
      <c r="O108" s="1818">
        <f>IF(L108=0,0,INT(L108/E108))</f>
        <v>2</v>
      </c>
      <c r="P108" s="1819">
        <f>L108-(O108*E108)</f>
        <v>12</v>
      </c>
      <c r="Q108" s="1820" t="str">
        <f>IF(P108=0,0,F108)</f>
        <v>paupiettes</v>
      </c>
      <c r="R108" s="1821">
        <f>IF(P108=0,0,O108+1)</f>
        <v>3</v>
      </c>
      <c r="S108" s="1819">
        <f>IF(P108=0,0,L108-(R108*E108))</f>
        <v>-13</v>
      </c>
      <c r="T108" s="1822" t="str">
        <f>IF(S108=0,0,F108)</f>
        <v>paupiettes</v>
      </c>
      <c r="U108" s="1128">
        <v>1</v>
      </c>
      <c r="V108" s="1128">
        <v>1</v>
      </c>
      <c r="W108" s="1128">
        <v>1</v>
      </c>
      <c r="X108" s="1128">
        <v>1</v>
      </c>
      <c r="Y108" s="1128">
        <v>1</v>
      </c>
      <c r="Z108" s="1128">
        <v>1</v>
      </c>
      <c r="AA108" s="1128">
        <v>1</v>
      </c>
    </row>
    <row r="109" spans="1:27" ht="20.100000000000001" customHeight="1">
      <c r="A109" s="7833"/>
      <c r="B109" s="8229" t="s">
        <v>3164</v>
      </c>
      <c r="C109" s="8230"/>
      <c r="D109" s="8230"/>
      <c r="E109" s="1814">
        <v>12</v>
      </c>
      <c r="F109" s="1815" t="s">
        <v>3165</v>
      </c>
      <c r="G109" s="1816">
        <v>1</v>
      </c>
      <c r="H109" s="1816">
        <v>1</v>
      </c>
      <c r="I109" s="1816">
        <v>1</v>
      </c>
      <c r="J109" s="1816">
        <v>1</v>
      </c>
      <c r="K109" s="1816">
        <v>1</v>
      </c>
      <c r="L109" s="1817">
        <f>(G109*G105)+(H109*H105)+(I109*I105)+(J109*J105)+(K109*K105)</f>
        <v>68</v>
      </c>
      <c r="M109" s="8233" t="str">
        <f>F109</f>
        <v>Cuisses</v>
      </c>
      <c r="N109" s="8233"/>
      <c r="O109" s="1818">
        <f>IF(L109=0,0,INT(L109/E109))</f>
        <v>5</v>
      </c>
      <c r="P109" s="1819">
        <f>L109-(O109*E109)</f>
        <v>8</v>
      </c>
      <c r="Q109" s="1820" t="str">
        <f>IF(P109=0,0,F109)</f>
        <v>Cuisses</v>
      </c>
      <c r="R109" s="1821">
        <f>IF(P109=0,0,O109+1)</f>
        <v>6</v>
      </c>
      <c r="S109" s="1819">
        <f>IF(P109=0,0,L109-(R109*E109))</f>
        <v>-4</v>
      </c>
      <c r="T109" s="1822" t="str">
        <f>IF(S109=0,0,F109)</f>
        <v>Cuisses</v>
      </c>
      <c r="U109" s="1128">
        <v>1</v>
      </c>
      <c r="V109" s="1128">
        <v>1</v>
      </c>
      <c r="W109" s="1128">
        <v>1</v>
      </c>
      <c r="X109" s="1128">
        <v>1</v>
      </c>
      <c r="Y109" s="1128">
        <v>1</v>
      </c>
      <c r="Z109" s="1128">
        <v>1</v>
      </c>
      <c r="AA109" s="1128">
        <v>1</v>
      </c>
    </row>
    <row r="110" spans="1:27" ht="20.100000000000001" customHeight="1">
      <c r="A110" s="7833"/>
      <c r="B110" s="8229" t="s">
        <v>3166</v>
      </c>
      <c r="C110" s="8230"/>
      <c r="D110" s="8230"/>
      <c r="E110" s="1814">
        <v>60</v>
      </c>
      <c r="F110" s="1815" t="s">
        <v>3167</v>
      </c>
      <c r="G110" s="1816">
        <v>1</v>
      </c>
      <c r="H110" s="1823">
        <v>1.5</v>
      </c>
      <c r="I110" s="1816">
        <v>2</v>
      </c>
      <c r="J110" s="1816">
        <v>3</v>
      </c>
      <c r="K110" s="1816">
        <v>2</v>
      </c>
      <c r="L110" s="1817">
        <f>(G110*G105)+(H110*H105)+(I110*I105)+(J110*J105)+(K110*K105)</f>
        <v>118.5</v>
      </c>
      <c r="M110" s="8233" t="str">
        <f>F110</f>
        <v>tranches</v>
      </c>
      <c r="N110" s="8233"/>
      <c r="O110" s="1818">
        <f>IF(L110=0,0,INT(L110/E110))</f>
        <v>1</v>
      </c>
      <c r="P110" s="1819">
        <f>L110-(O110*E110)</f>
        <v>58.5</v>
      </c>
      <c r="Q110" s="1820" t="str">
        <f>IF(P110=0,0,F110)</f>
        <v>tranches</v>
      </c>
      <c r="R110" s="1821">
        <f>IF(P110=0,0,O110+1)</f>
        <v>2</v>
      </c>
      <c r="S110" s="1819">
        <f>IF(P110=0,0,L110-(R110*E110))</f>
        <v>-1.5</v>
      </c>
      <c r="T110" s="1822" t="str">
        <f>IF(S110=0,0,F110)</f>
        <v>tranches</v>
      </c>
      <c r="U110" s="1128">
        <v>1</v>
      </c>
      <c r="V110" s="1128">
        <v>1</v>
      </c>
      <c r="W110" s="1128">
        <v>1</v>
      </c>
      <c r="X110" s="1128">
        <v>1</v>
      </c>
      <c r="Y110" s="1128">
        <v>1</v>
      </c>
      <c r="Z110" s="1128">
        <v>1</v>
      </c>
      <c r="AA110" s="1128">
        <v>1</v>
      </c>
    </row>
    <row r="111" spans="1:27" ht="20.100000000000001" customHeight="1" thickBot="1">
      <c r="A111" s="7833"/>
      <c r="B111" s="8229" t="s">
        <v>3168</v>
      </c>
      <c r="C111" s="8230"/>
      <c r="D111" s="8230"/>
      <c r="E111" s="1814">
        <v>20</v>
      </c>
      <c r="F111" s="1815" t="s">
        <v>3169</v>
      </c>
      <c r="G111" s="1816">
        <v>1</v>
      </c>
      <c r="H111" s="1816">
        <v>1.5</v>
      </c>
      <c r="I111" s="1816">
        <v>2</v>
      </c>
      <c r="J111" s="1816">
        <v>3</v>
      </c>
      <c r="K111" s="1816">
        <v>2</v>
      </c>
      <c r="L111" s="1824">
        <f>(G111*G105)+(H111*H105)+(I111*I105)+(J111*J105)+(K111*K105)</f>
        <v>118.5</v>
      </c>
      <c r="M111" s="8231" t="str">
        <f>F111</f>
        <v>tomates</v>
      </c>
      <c r="N111" s="8231"/>
      <c r="O111" s="1825">
        <f>IF(L111=0,0,INT(L111/E111))</f>
        <v>5</v>
      </c>
      <c r="P111" s="1826">
        <f>L111-(O111*E111)</f>
        <v>18.5</v>
      </c>
      <c r="Q111" s="1827" t="str">
        <f>IF(P111=0,0,F111)</f>
        <v>tomates</v>
      </c>
      <c r="R111" s="1828">
        <f>IF(P111=0,0,O111+1)</f>
        <v>6</v>
      </c>
      <c r="S111" s="1826">
        <f>IF(P111=0,0,L111-(R111*E111))</f>
        <v>-1.5</v>
      </c>
      <c r="T111" s="1829" t="str">
        <f>IF(S111=0,0,F111)</f>
        <v>tomates</v>
      </c>
      <c r="U111" s="1128">
        <v>1</v>
      </c>
      <c r="V111" s="1128">
        <v>1</v>
      </c>
      <c r="W111" s="1128">
        <v>1</v>
      </c>
      <c r="X111" s="1128">
        <v>1</v>
      </c>
      <c r="Y111" s="1128">
        <v>1</v>
      </c>
      <c r="Z111" s="1128">
        <v>1</v>
      </c>
      <c r="AA111" s="1128">
        <v>1</v>
      </c>
    </row>
    <row r="112" spans="1:27" ht="20.100000000000001" customHeight="1">
      <c r="A112" s="7833"/>
      <c r="B112" s="1830" t="s">
        <v>3170</v>
      </c>
      <c r="C112" s="1831"/>
      <c r="D112" s="1831"/>
      <c r="E112" s="1831"/>
      <c r="F112" s="1831"/>
      <c r="G112" s="1831"/>
      <c r="H112" s="1831"/>
      <c r="I112" s="1831"/>
      <c r="J112" s="1831"/>
      <c r="K112" s="1831"/>
      <c r="L112" s="1831"/>
      <c r="M112" s="1831"/>
      <c r="N112" s="1831"/>
      <c r="O112" s="1831"/>
      <c r="P112" s="1831"/>
      <c r="Q112" s="1831"/>
      <c r="R112" s="1831"/>
      <c r="S112" s="1831"/>
      <c r="T112" s="1832" t="s">
        <v>3170</v>
      </c>
      <c r="U112" s="1128">
        <v>1</v>
      </c>
      <c r="V112" s="1128">
        <v>1</v>
      </c>
      <c r="W112" s="1128">
        <v>1</v>
      </c>
      <c r="X112" s="1128">
        <v>1</v>
      </c>
      <c r="Y112" s="1128">
        <v>1</v>
      </c>
      <c r="Z112" s="1128">
        <v>1</v>
      </c>
      <c r="AA112" s="1128">
        <v>1</v>
      </c>
    </row>
    <row r="113" spans="1:27" ht="20.100000000000001" customHeight="1">
      <c r="A113" s="7833"/>
      <c r="B113" s="8232" t="s">
        <v>3171</v>
      </c>
      <c r="C113" s="8230"/>
      <c r="D113" s="8230"/>
      <c r="E113" s="1814">
        <v>3</v>
      </c>
      <c r="F113" s="1815" t="s">
        <v>111</v>
      </c>
      <c r="G113" s="1816">
        <v>7.4999999999999997E-2</v>
      </c>
      <c r="H113" s="1833">
        <v>0.09</v>
      </c>
      <c r="I113" s="1833">
        <v>0.15</v>
      </c>
      <c r="J113" s="1833">
        <v>0.18</v>
      </c>
      <c r="K113" s="1833">
        <v>0.13</v>
      </c>
      <c r="L113" s="1834">
        <f>(G113*G105)+(H113*H105)+(I113*I105)+(J113*J105)+(K113*K105)</f>
        <v>7.81</v>
      </c>
      <c r="M113" s="8233" t="str">
        <f>F113</f>
        <v>Kg</v>
      </c>
      <c r="N113" s="8233"/>
      <c r="O113" s="1818">
        <f>IF(L113=0,0,INT(L113/E113))</f>
        <v>2</v>
      </c>
      <c r="P113" s="1835">
        <f>L113-(O113*E113)</f>
        <v>1.8099999999999996</v>
      </c>
      <c r="Q113" s="1820" t="str">
        <f>IF(P113=0,0,F113)</f>
        <v>Kg</v>
      </c>
      <c r="R113" s="1821">
        <f>IF(P113=0,0,O113+1)</f>
        <v>3</v>
      </c>
      <c r="S113" s="1819">
        <f>IF(P113=0,0,L113-(R113*E113))</f>
        <v>-1.1900000000000004</v>
      </c>
      <c r="T113" s="1836" t="str">
        <f>IF(S113=0,0,F113)</f>
        <v>Kg</v>
      </c>
      <c r="U113" s="1128">
        <v>1</v>
      </c>
      <c r="V113" s="1128">
        <v>1</v>
      </c>
      <c r="W113" s="1128">
        <v>1</v>
      </c>
      <c r="X113" s="1128">
        <v>1</v>
      </c>
      <c r="Y113" s="1128">
        <v>1</v>
      </c>
      <c r="Z113" s="1128">
        <v>1</v>
      </c>
      <c r="AA113" s="1128">
        <v>1</v>
      </c>
    </row>
    <row r="114" spans="1:27" ht="20.100000000000001" customHeight="1">
      <c r="A114" s="7833"/>
      <c r="B114" s="8232" t="s">
        <v>3172</v>
      </c>
      <c r="C114" s="8230"/>
      <c r="D114" s="8230"/>
      <c r="E114" s="1814">
        <v>7.2</v>
      </c>
      <c r="F114" s="1837" t="s">
        <v>111</v>
      </c>
      <c r="G114" s="1833">
        <v>0.2</v>
      </c>
      <c r="H114" s="1833">
        <v>0.25</v>
      </c>
      <c r="I114" s="1833">
        <v>0.35</v>
      </c>
      <c r="J114" s="1833">
        <v>0.45</v>
      </c>
      <c r="K114" s="1833">
        <v>0.35</v>
      </c>
      <c r="L114" s="1834">
        <f>(G114*G105)+(H114*H105)+(I114*I105)+(J114*J105)+(K114*K105)</f>
        <v>20.2</v>
      </c>
      <c r="M114" s="8233" t="str">
        <f>F114</f>
        <v>Kg</v>
      </c>
      <c r="N114" s="8233"/>
      <c r="O114" s="1818">
        <f>IF(L114=0,0,INT(L114/E114))</f>
        <v>2</v>
      </c>
      <c r="P114" s="1835">
        <f>L114-(O114*E114)</f>
        <v>5.7999999999999989</v>
      </c>
      <c r="Q114" s="1820" t="str">
        <f>IF(P114=0,0,F114)</f>
        <v>Kg</v>
      </c>
      <c r="R114" s="1821">
        <f>IF(P114=0,0,O114+1)</f>
        <v>3</v>
      </c>
      <c r="S114" s="1819">
        <f>IF(P114=0,0,L114-(R114*E114))</f>
        <v>-1.4000000000000021</v>
      </c>
      <c r="T114" s="1836" t="str">
        <f>IF(S114=0,0,F114)</f>
        <v>Kg</v>
      </c>
      <c r="U114" s="1128">
        <v>1</v>
      </c>
      <c r="V114" s="1128">
        <v>1</v>
      </c>
      <c r="W114" s="1128">
        <v>1</v>
      </c>
      <c r="X114" s="1128">
        <v>1</v>
      </c>
      <c r="Y114" s="1128">
        <v>1</v>
      </c>
      <c r="Z114" s="1128">
        <v>1</v>
      </c>
      <c r="AA114" s="1128">
        <v>1</v>
      </c>
    </row>
    <row r="115" spans="1:27" ht="20.100000000000001" customHeight="1">
      <c r="A115" s="7833"/>
      <c r="B115" s="8236" t="s">
        <v>3173</v>
      </c>
      <c r="C115" s="8237"/>
      <c r="D115" s="8237"/>
      <c r="E115" s="1838">
        <v>4</v>
      </c>
      <c r="F115" s="1839" t="s">
        <v>111</v>
      </c>
      <c r="G115" s="1840">
        <v>0.2</v>
      </c>
      <c r="H115" s="1840">
        <v>0.25</v>
      </c>
      <c r="I115" s="1840">
        <v>0.35</v>
      </c>
      <c r="J115" s="1840">
        <v>0.45</v>
      </c>
      <c r="K115" s="1840">
        <v>0.35</v>
      </c>
      <c r="L115" s="1841">
        <f>(G115*G105)+(H115*H105)+(I115*I105)+(J115*J105)+(K115*K105)</f>
        <v>20.2</v>
      </c>
      <c r="M115" s="8238" t="str">
        <f>F115</f>
        <v>Kg</v>
      </c>
      <c r="N115" s="8238"/>
      <c r="O115" s="1842">
        <f>IF(L115=0,0,INT(L115/E115))</f>
        <v>5</v>
      </c>
      <c r="P115" s="1843">
        <f>L115-(O115*E115)</f>
        <v>0.19999999999999929</v>
      </c>
      <c r="Q115" s="1844" t="str">
        <f>IF(P115=0,0,F115)</f>
        <v>Kg</v>
      </c>
      <c r="R115" s="1845">
        <f>IF(P115=0,0,O115+1)</f>
        <v>6</v>
      </c>
      <c r="S115" s="1846">
        <f>IF(P115=0,0,L115-(R115*E115))</f>
        <v>-3.8000000000000007</v>
      </c>
      <c r="T115" s="1847" t="str">
        <f>IF(S115=0,0,F115)</f>
        <v>Kg</v>
      </c>
      <c r="U115" s="1128">
        <v>1</v>
      </c>
      <c r="V115" s="1128">
        <v>1</v>
      </c>
      <c r="W115" s="1128">
        <v>1</v>
      </c>
      <c r="X115" s="1128">
        <v>1</v>
      </c>
      <c r="Y115" s="1128">
        <v>1</v>
      </c>
      <c r="Z115" s="1128">
        <v>1</v>
      </c>
      <c r="AA115" s="1128">
        <v>1</v>
      </c>
    </row>
    <row r="116" spans="1:27" ht="20.100000000000001" customHeight="1">
      <c r="A116" s="7833"/>
      <c r="B116" s="1848" t="s">
        <v>3174</v>
      </c>
      <c r="C116" s="1849"/>
      <c r="D116" s="1849"/>
      <c r="E116" s="1850"/>
      <c r="F116" s="1851"/>
      <c r="G116" s="1852"/>
      <c r="H116" s="1852"/>
      <c r="I116" s="1852"/>
      <c r="J116" s="1852"/>
      <c r="K116" s="1852"/>
      <c r="L116" s="1853"/>
      <c r="M116" s="1854"/>
      <c r="N116" s="1854"/>
      <c r="O116" s="1855"/>
      <c r="P116" s="1856"/>
      <c r="Q116" s="1857"/>
      <c r="R116" s="1855"/>
      <c r="S116" s="1858"/>
      <c r="T116" s="1859"/>
      <c r="U116" s="1128">
        <v>1</v>
      </c>
      <c r="V116" s="1128">
        <v>1</v>
      </c>
      <c r="W116" s="1128">
        <v>1</v>
      </c>
      <c r="X116" s="1128">
        <v>1</v>
      </c>
      <c r="Y116" s="1128">
        <v>1</v>
      </c>
      <c r="Z116" s="1128">
        <v>1</v>
      </c>
      <c r="AA116" s="1128">
        <v>1</v>
      </c>
    </row>
    <row r="117" spans="1:27" ht="20.100000000000001" customHeight="1">
      <c r="A117" s="7833"/>
      <c r="B117" s="1860" t="s">
        <v>3175</v>
      </c>
      <c r="C117" s="1861"/>
      <c r="D117" s="1861"/>
      <c r="E117" s="1862"/>
      <c r="F117" s="1863"/>
      <c r="G117" s="1864"/>
      <c r="H117" s="1864"/>
      <c r="I117" s="1864"/>
      <c r="J117" s="1864"/>
      <c r="K117" s="1864"/>
      <c r="L117" s="1865"/>
      <c r="M117" s="1866"/>
      <c r="N117" s="1866"/>
      <c r="O117" s="1867"/>
      <c r="P117" s="1868"/>
      <c r="Q117" s="1869"/>
      <c r="R117" s="1867"/>
      <c r="S117" s="1870"/>
      <c r="T117" s="1871"/>
      <c r="U117" s="1128">
        <v>1</v>
      </c>
      <c r="V117" s="1128">
        <v>1</v>
      </c>
      <c r="W117" s="1128">
        <v>1</v>
      </c>
      <c r="X117" s="1128">
        <v>1</v>
      </c>
      <c r="Y117" s="1128">
        <v>1</v>
      </c>
      <c r="Z117" s="1128">
        <v>1</v>
      </c>
      <c r="AA117" s="1128">
        <v>1</v>
      </c>
    </row>
    <row r="118" spans="1:27" ht="20.100000000000001" customHeight="1">
      <c r="A118" s="7833"/>
      <c r="B118" s="1872"/>
      <c r="C118" s="1872"/>
      <c r="D118" s="1872"/>
      <c r="E118" s="1872"/>
      <c r="F118" s="1872"/>
      <c r="G118" s="8239" t="s">
        <v>60</v>
      </c>
      <c r="H118" s="8239"/>
      <c r="I118" s="8239"/>
      <c r="J118" s="8239"/>
      <c r="K118" s="8239"/>
      <c r="L118" s="1872"/>
      <c r="M118" s="1872"/>
      <c r="N118" s="1872"/>
      <c r="O118" s="1872"/>
      <c r="P118" s="1872"/>
      <c r="Q118" s="1872"/>
      <c r="R118" s="1872"/>
      <c r="S118" s="1873"/>
      <c r="T118" s="1874"/>
      <c r="U118" s="1128">
        <v>1</v>
      </c>
      <c r="V118" s="1128">
        <v>1</v>
      </c>
      <c r="W118" s="1128">
        <v>1</v>
      </c>
      <c r="X118" s="1128">
        <v>1</v>
      </c>
      <c r="Y118" s="1128">
        <v>1</v>
      </c>
      <c r="Z118" s="1128">
        <v>1</v>
      </c>
      <c r="AA118" s="1128">
        <v>1</v>
      </c>
    </row>
    <row r="119" spans="1:27" s="1724" customFormat="1" thickBot="1">
      <c r="A119" s="1744"/>
      <c r="B119" s="1744"/>
      <c r="C119" s="1744"/>
      <c r="D119" s="1744"/>
      <c r="E119" s="1744"/>
      <c r="F119" s="1744"/>
      <c r="G119" s="1744"/>
      <c r="H119" s="1744"/>
      <c r="I119" s="1744"/>
      <c r="J119" s="1744"/>
      <c r="K119" s="1745"/>
      <c r="L119" s="1745"/>
      <c r="M119" s="1744"/>
      <c r="N119" s="1744"/>
      <c r="O119" s="1744"/>
      <c r="P119" s="1744"/>
      <c r="Q119" s="1744"/>
      <c r="R119" s="1128">
        <v>1</v>
      </c>
      <c r="S119" s="1128">
        <v>1</v>
      </c>
      <c r="T119" s="1128">
        <v>1</v>
      </c>
      <c r="U119" s="1128">
        <v>1</v>
      </c>
      <c r="V119" s="1128">
        <v>1</v>
      </c>
      <c r="W119" s="1128">
        <v>1</v>
      </c>
      <c r="X119" s="1128">
        <v>1</v>
      </c>
      <c r="Y119" s="1128">
        <v>1</v>
      </c>
      <c r="Z119" s="1128">
        <v>1</v>
      </c>
      <c r="AA119" s="1128">
        <v>1</v>
      </c>
    </row>
    <row r="120" spans="1:27" s="1724" customFormat="1" ht="18.75">
      <c r="A120" s="1875" t="s">
        <v>252</v>
      </c>
      <c r="B120" s="8240" t="s">
        <v>3071</v>
      </c>
      <c r="C120" s="8241"/>
      <c r="D120" s="8241"/>
      <c r="E120" s="8241"/>
      <c r="F120" s="8242"/>
      <c r="G120" s="1744"/>
      <c r="H120" s="1744"/>
      <c r="I120" s="1744"/>
      <c r="J120" s="1744"/>
      <c r="K120" s="1745"/>
      <c r="L120" s="1745"/>
      <c r="M120" s="1744"/>
      <c r="N120" s="1744"/>
      <c r="O120" s="1744"/>
      <c r="P120" s="1744"/>
      <c r="Q120" s="1744"/>
      <c r="R120" s="1128">
        <v>1</v>
      </c>
      <c r="S120" s="1128">
        <v>1</v>
      </c>
      <c r="T120" s="1128">
        <v>1</v>
      </c>
      <c r="U120" s="1128">
        <v>1</v>
      </c>
      <c r="V120" s="1128">
        <v>1</v>
      </c>
      <c r="W120" s="1128">
        <v>1</v>
      </c>
      <c r="X120" s="1128">
        <v>1</v>
      </c>
      <c r="Y120" s="1128">
        <v>1</v>
      </c>
      <c r="Z120" s="1128">
        <v>1</v>
      </c>
      <c r="AA120" s="1128">
        <v>1</v>
      </c>
    </row>
    <row r="121" spans="1:27" s="1724" customFormat="1" ht="18.75">
      <c r="A121" s="8155" t="str">
        <f>B120</f>
        <v>Contenance 1 Gastro</v>
      </c>
      <c r="B121" s="1783" t="str">
        <f>ADDRESS(ROW(),COLUMN(),4)</f>
        <v>B121</v>
      </c>
      <c r="C121" s="824" t="s">
        <v>750</v>
      </c>
      <c r="D121" s="1876"/>
      <c r="E121" s="1876"/>
      <c r="F121" s="1877"/>
      <c r="G121" s="1744"/>
      <c r="H121" s="1744"/>
      <c r="I121" s="1744"/>
      <c r="J121" s="1744"/>
      <c r="K121" s="1745"/>
      <c r="L121" s="1745"/>
      <c r="M121" s="1744"/>
      <c r="N121" s="1744"/>
      <c r="O121" s="1744"/>
      <c r="P121" s="1744"/>
      <c r="Q121" s="1744"/>
      <c r="R121" s="1128">
        <v>1</v>
      </c>
      <c r="S121" s="1128">
        <v>1</v>
      </c>
      <c r="T121" s="1128">
        <v>1</v>
      </c>
      <c r="U121" s="1128">
        <v>1</v>
      </c>
      <c r="V121" s="1128">
        <v>1</v>
      </c>
      <c r="W121" s="1128">
        <v>1</v>
      </c>
      <c r="X121" s="1128">
        <v>1</v>
      </c>
      <c r="Y121" s="1128">
        <v>1</v>
      </c>
      <c r="Z121" s="1128">
        <v>1</v>
      </c>
      <c r="AA121" s="1128">
        <v>1</v>
      </c>
    </row>
    <row r="122" spans="1:27" s="1724" customFormat="1">
      <c r="A122" s="8155"/>
      <c r="B122" s="8227" t="s">
        <v>3176</v>
      </c>
      <c r="C122" s="8228"/>
      <c r="D122" s="8228"/>
      <c r="E122" s="1878">
        <v>16</v>
      </c>
      <c r="F122" s="1879" t="s">
        <v>3165</v>
      </c>
      <c r="G122" s="1744"/>
      <c r="H122" s="1744"/>
      <c r="I122" s="1744"/>
      <c r="J122" s="1744"/>
      <c r="K122" s="1745"/>
      <c r="L122" s="1745"/>
      <c r="M122" s="1745"/>
      <c r="N122" s="1745"/>
      <c r="O122" s="1744"/>
      <c r="P122" s="1744"/>
      <c r="Q122" s="1744"/>
      <c r="R122" s="1128">
        <v>1</v>
      </c>
      <c r="S122" s="1128">
        <v>1</v>
      </c>
      <c r="T122" s="1128">
        <v>1</v>
      </c>
      <c r="U122" s="1128">
        <v>1</v>
      </c>
      <c r="V122" s="1128">
        <v>1</v>
      </c>
      <c r="W122" s="1128">
        <v>1</v>
      </c>
      <c r="X122" s="1128">
        <v>1</v>
      </c>
      <c r="Y122" s="1128">
        <v>1</v>
      </c>
      <c r="Z122" s="1128">
        <v>1</v>
      </c>
      <c r="AA122" s="1128">
        <v>1</v>
      </c>
    </row>
    <row r="123" spans="1:27" s="1724" customFormat="1">
      <c r="A123" s="8155"/>
      <c r="B123" s="8227" t="s">
        <v>3177</v>
      </c>
      <c r="C123" s="8228"/>
      <c r="D123" s="8228"/>
      <c r="E123" s="1878">
        <v>24</v>
      </c>
      <c r="F123" s="1879" t="s">
        <v>3165</v>
      </c>
      <c r="G123" s="1744"/>
      <c r="H123" s="1744"/>
      <c r="I123" s="1744"/>
      <c r="J123" s="1744"/>
      <c r="K123" s="1745"/>
      <c r="L123" s="1745"/>
      <c r="M123" s="1745"/>
      <c r="N123" s="1745"/>
      <c r="O123" s="1744"/>
      <c r="P123" s="1744"/>
      <c r="Q123" s="1744"/>
      <c r="R123" s="1128">
        <v>1</v>
      </c>
      <c r="S123" s="1128">
        <v>1</v>
      </c>
      <c r="T123" s="1128">
        <v>1</v>
      </c>
      <c r="U123" s="1128">
        <v>1</v>
      </c>
      <c r="V123" s="1128">
        <v>1</v>
      </c>
      <c r="W123" s="1128">
        <v>1</v>
      </c>
      <c r="X123" s="1128">
        <v>1</v>
      </c>
      <c r="Y123" s="1128">
        <v>1</v>
      </c>
      <c r="Z123" s="1128">
        <v>1</v>
      </c>
      <c r="AA123" s="1128">
        <v>1</v>
      </c>
    </row>
    <row r="124" spans="1:27" s="1724" customFormat="1">
      <c r="A124" s="8155"/>
      <c r="B124" s="8227" t="s">
        <v>3178</v>
      </c>
      <c r="C124" s="8228"/>
      <c r="D124" s="8228"/>
      <c r="E124" s="1878">
        <v>20</v>
      </c>
      <c r="F124" s="1879" t="s">
        <v>3165</v>
      </c>
      <c r="G124" s="1744"/>
      <c r="H124" s="1744"/>
      <c r="I124" s="1744"/>
      <c r="J124" s="1744"/>
      <c r="K124" s="1745"/>
      <c r="L124" s="1745"/>
      <c r="M124" s="1745"/>
      <c r="N124" s="1745"/>
      <c r="O124" s="1744"/>
      <c r="P124" s="1744"/>
      <c r="Q124" s="1744"/>
      <c r="R124" s="1128">
        <v>1</v>
      </c>
      <c r="S124" s="1128">
        <v>1</v>
      </c>
      <c r="T124" s="1128">
        <v>1</v>
      </c>
      <c r="U124" s="1128">
        <v>1</v>
      </c>
      <c r="V124" s="1128">
        <v>1</v>
      </c>
      <c r="W124" s="1128">
        <v>1</v>
      </c>
      <c r="X124" s="1128">
        <v>1</v>
      </c>
      <c r="Y124" s="1128">
        <v>1</v>
      </c>
      <c r="Z124" s="1128">
        <v>1</v>
      </c>
      <c r="AA124" s="1128">
        <v>1</v>
      </c>
    </row>
    <row r="125" spans="1:27" s="1724" customFormat="1">
      <c r="A125" s="8155"/>
      <c r="B125" s="8227" t="s">
        <v>3179</v>
      </c>
      <c r="C125" s="8228"/>
      <c r="D125" s="8228"/>
      <c r="E125" s="1878">
        <v>25</v>
      </c>
      <c r="F125" s="1879" t="s">
        <v>3180</v>
      </c>
      <c r="G125" s="1744"/>
      <c r="H125" s="1744"/>
      <c r="I125" s="1744"/>
      <c r="J125" s="1744"/>
      <c r="K125" s="1745"/>
      <c r="L125" s="1745"/>
      <c r="M125" s="1744"/>
      <c r="N125" s="1744"/>
      <c r="O125" s="1744"/>
      <c r="P125" s="1744"/>
      <c r="Q125" s="1744"/>
      <c r="R125" s="1128">
        <v>1</v>
      </c>
      <c r="S125" s="1128">
        <v>1</v>
      </c>
      <c r="T125" s="1128">
        <v>1</v>
      </c>
      <c r="U125" s="1128">
        <v>1</v>
      </c>
      <c r="V125" s="1128">
        <v>1</v>
      </c>
      <c r="W125" s="1128">
        <v>1</v>
      </c>
      <c r="X125" s="1128">
        <v>1</v>
      </c>
      <c r="Y125" s="1128">
        <v>1</v>
      </c>
      <c r="Z125" s="1128">
        <v>1</v>
      </c>
      <c r="AA125" s="1128">
        <v>1</v>
      </c>
    </row>
    <row r="126" spans="1:27" s="1724" customFormat="1">
      <c r="A126" s="8155"/>
      <c r="B126" s="8227" t="s">
        <v>3162</v>
      </c>
      <c r="C126" s="8228"/>
      <c r="D126" s="8228"/>
      <c r="E126" s="1878">
        <v>25</v>
      </c>
      <c r="F126" s="1879" t="s">
        <v>3163</v>
      </c>
      <c r="G126" s="1744"/>
      <c r="H126" s="1744"/>
      <c r="I126" s="1744"/>
      <c r="J126" s="1744"/>
      <c r="K126" s="1745"/>
      <c r="L126" s="1745"/>
      <c r="M126" s="1744"/>
      <c r="N126" s="1744"/>
      <c r="O126" s="1744"/>
      <c r="P126" s="1744"/>
      <c r="Q126" s="1744"/>
      <c r="R126" s="1128">
        <v>1</v>
      </c>
      <c r="S126" s="1128">
        <v>1</v>
      </c>
      <c r="T126" s="1128">
        <v>1</v>
      </c>
      <c r="U126" s="1128">
        <v>1</v>
      </c>
      <c r="V126" s="1128">
        <v>1</v>
      </c>
      <c r="W126" s="1128">
        <v>1</v>
      </c>
      <c r="X126" s="1128">
        <v>1</v>
      </c>
      <c r="Y126" s="1128">
        <v>1</v>
      </c>
      <c r="Z126" s="1128">
        <v>1</v>
      </c>
      <c r="AA126" s="1128">
        <v>1</v>
      </c>
    </row>
    <row r="127" spans="1:27" s="1724" customFormat="1">
      <c r="A127" s="8155"/>
      <c r="B127" s="8227" t="s">
        <v>3164</v>
      </c>
      <c r="C127" s="8228"/>
      <c r="D127" s="8228"/>
      <c r="E127" s="1878">
        <v>12</v>
      </c>
      <c r="F127" s="1879" t="s">
        <v>3165</v>
      </c>
      <c r="G127" s="1744"/>
      <c r="H127" s="1744"/>
      <c r="I127" s="1744"/>
      <c r="J127" s="1744"/>
      <c r="K127" s="1745"/>
      <c r="L127" s="1745"/>
      <c r="M127" s="1744"/>
      <c r="N127" s="1744"/>
      <c r="O127" s="1744"/>
      <c r="P127" s="1744"/>
      <c r="Q127" s="1744"/>
      <c r="R127" s="1128">
        <v>1</v>
      </c>
      <c r="S127" s="1128">
        <v>1</v>
      </c>
      <c r="T127" s="1128">
        <v>1</v>
      </c>
      <c r="U127" s="1128">
        <v>1</v>
      </c>
      <c r="V127" s="1128">
        <v>1</v>
      </c>
      <c r="W127" s="1128">
        <v>1</v>
      </c>
      <c r="X127" s="1128">
        <v>1</v>
      </c>
      <c r="Y127" s="1128">
        <v>1</v>
      </c>
      <c r="Z127" s="1128">
        <v>1</v>
      </c>
      <c r="AA127" s="1128">
        <v>1</v>
      </c>
    </row>
    <row r="128" spans="1:27" s="1724" customFormat="1">
      <c r="A128" s="8155"/>
      <c r="B128" s="8227" t="s">
        <v>3166</v>
      </c>
      <c r="C128" s="8228"/>
      <c r="D128" s="8228"/>
      <c r="E128" s="1878">
        <v>60</v>
      </c>
      <c r="F128" s="1879" t="s">
        <v>3167</v>
      </c>
      <c r="G128" s="1744"/>
      <c r="H128" s="1744"/>
      <c r="I128" s="1744"/>
      <c r="J128" s="1744"/>
      <c r="K128" s="1745"/>
      <c r="L128" s="1745"/>
      <c r="M128" s="1744"/>
      <c r="N128" s="1744"/>
      <c r="O128" s="1744"/>
      <c r="P128" s="1744"/>
      <c r="Q128" s="1744"/>
      <c r="R128" s="1128">
        <v>1</v>
      </c>
      <c r="S128" s="1128">
        <v>1</v>
      </c>
      <c r="T128" s="1128">
        <v>1</v>
      </c>
      <c r="U128" s="1128">
        <v>1</v>
      </c>
      <c r="V128" s="1128">
        <v>1</v>
      </c>
      <c r="W128" s="1128">
        <v>1</v>
      </c>
      <c r="X128" s="1128">
        <v>1</v>
      </c>
      <c r="Y128" s="1128">
        <v>1</v>
      </c>
      <c r="Z128" s="1128">
        <v>1</v>
      </c>
      <c r="AA128" s="1128">
        <v>1</v>
      </c>
    </row>
    <row r="129" spans="1:27" s="1724" customFormat="1">
      <c r="A129" s="8155"/>
      <c r="B129" s="8227" t="s">
        <v>3168</v>
      </c>
      <c r="C129" s="8228"/>
      <c r="D129" s="8228"/>
      <c r="E129" s="1878">
        <v>20</v>
      </c>
      <c r="F129" s="1879" t="s">
        <v>3169</v>
      </c>
      <c r="G129" s="1744"/>
      <c r="H129" s="1744"/>
      <c r="I129" s="1744"/>
      <c r="J129" s="1744"/>
      <c r="K129" s="1745"/>
      <c r="L129" s="1745"/>
      <c r="M129" s="1744"/>
      <c r="N129" s="1744"/>
      <c r="O129" s="1744"/>
      <c r="P129" s="1744"/>
      <c r="Q129" s="1744"/>
      <c r="R129" s="1128">
        <v>1</v>
      </c>
      <c r="S129" s="1128">
        <v>1</v>
      </c>
      <c r="T129" s="1128">
        <v>1</v>
      </c>
      <c r="U129" s="1128">
        <v>1</v>
      </c>
      <c r="V129" s="1128">
        <v>1</v>
      </c>
      <c r="W129" s="1128">
        <v>1</v>
      </c>
      <c r="X129" s="1128">
        <v>1</v>
      </c>
      <c r="Y129" s="1128">
        <v>1</v>
      </c>
      <c r="Z129" s="1128">
        <v>1</v>
      </c>
      <c r="AA129" s="1128">
        <v>1</v>
      </c>
    </row>
    <row r="130" spans="1:27" s="1724" customFormat="1" ht="15">
      <c r="A130" s="8155"/>
      <c r="B130" s="1880"/>
      <c r="C130" s="1881"/>
      <c r="D130" s="1881"/>
      <c r="E130" s="1881"/>
      <c r="F130" s="1882"/>
      <c r="G130" s="1744"/>
      <c r="H130" s="1744"/>
      <c r="I130" s="1744"/>
      <c r="J130" s="1744"/>
      <c r="K130" s="1745"/>
      <c r="L130" s="1745"/>
      <c r="M130" s="1744"/>
      <c r="N130" s="1744"/>
      <c r="O130" s="1744"/>
      <c r="P130" s="1744"/>
      <c r="Q130" s="1744"/>
      <c r="R130" s="1128">
        <v>1</v>
      </c>
      <c r="S130" s="1128">
        <v>1</v>
      </c>
      <c r="T130" s="1128">
        <v>1</v>
      </c>
      <c r="U130" s="1128">
        <v>1</v>
      </c>
      <c r="V130" s="1128">
        <v>1</v>
      </c>
      <c r="W130" s="1128">
        <v>1</v>
      </c>
      <c r="X130" s="1128">
        <v>1</v>
      </c>
      <c r="Y130" s="1128">
        <v>1</v>
      </c>
      <c r="Z130" s="1128">
        <v>1</v>
      </c>
      <c r="AA130" s="1128">
        <v>1</v>
      </c>
    </row>
    <row r="131" spans="1:27" s="1724" customFormat="1">
      <c r="A131" s="8155"/>
      <c r="B131" s="8227" t="s">
        <v>3171</v>
      </c>
      <c r="C131" s="8228"/>
      <c r="D131" s="8228"/>
      <c r="E131" s="1878">
        <v>3</v>
      </c>
      <c r="F131" s="1879" t="s">
        <v>111</v>
      </c>
      <c r="G131" s="1744"/>
      <c r="H131" s="1744"/>
      <c r="I131" s="1744"/>
      <c r="J131" s="1744"/>
      <c r="K131" s="1745"/>
      <c r="L131" s="1745"/>
      <c r="M131" s="1744"/>
      <c r="N131" s="1744"/>
      <c r="O131" s="1744"/>
      <c r="P131" s="1744"/>
      <c r="Q131" s="1744"/>
      <c r="R131" s="1128">
        <v>1</v>
      </c>
      <c r="S131" s="1128">
        <v>1</v>
      </c>
      <c r="T131" s="1128">
        <v>1</v>
      </c>
      <c r="U131" s="1128">
        <v>1</v>
      </c>
      <c r="V131" s="1128">
        <v>1</v>
      </c>
      <c r="W131" s="1128">
        <v>1</v>
      </c>
      <c r="X131" s="1128">
        <v>1</v>
      </c>
      <c r="Y131" s="1128">
        <v>1</v>
      </c>
      <c r="Z131" s="1128">
        <v>1</v>
      </c>
      <c r="AA131" s="1128">
        <v>1</v>
      </c>
    </row>
    <row r="132" spans="1:27" s="1724" customFormat="1">
      <c r="A132" s="8155"/>
      <c r="B132" s="8227" t="s">
        <v>3172</v>
      </c>
      <c r="C132" s="8228"/>
      <c r="D132" s="8228"/>
      <c r="E132" s="1878">
        <v>7.2</v>
      </c>
      <c r="F132" s="1879" t="s">
        <v>111</v>
      </c>
      <c r="G132" s="1744"/>
      <c r="H132" s="1744"/>
      <c r="I132" s="1744"/>
      <c r="J132" s="1744"/>
      <c r="K132" s="1745"/>
      <c r="L132" s="1745"/>
      <c r="M132" s="1744"/>
      <c r="N132" s="1744"/>
      <c r="O132" s="1744"/>
      <c r="P132" s="1744"/>
      <c r="Q132" s="1744"/>
      <c r="R132" s="1128">
        <v>1</v>
      </c>
      <c r="S132" s="1128">
        <v>1</v>
      </c>
      <c r="T132" s="1128">
        <v>1</v>
      </c>
      <c r="U132" s="1128">
        <v>1</v>
      </c>
      <c r="V132" s="1128">
        <v>1</v>
      </c>
      <c r="W132" s="1128">
        <v>1</v>
      </c>
      <c r="X132" s="1128">
        <v>1</v>
      </c>
      <c r="Y132" s="1128">
        <v>1</v>
      </c>
      <c r="Z132" s="1128">
        <v>1</v>
      </c>
      <c r="AA132" s="1128">
        <v>1</v>
      </c>
    </row>
    <row r="133" spans="1:27" s="1724" customFormat="1" ht="16.5" thickBot="1">
      <c r="A133" s="8155"/>
      <c r="B133" s="8234" t="s">
        <v>3173</v>
      </c>
      <c r="C133" s="8235"/>
      <c r="D133" s="8235"/>
      <c r="E133" s="1883">
        <v>4</v>
      </c>
      <c r="F133" s="1884" t="s">
        <v>111</v>
      </c>
      <c r="G133" s="1744"/>
      <c r="H133" s="1744"/>
      <c r="I133" s="1744"/>
      <c r="J133" s="1744"/>
      <c r="K133" s="1745"/>
      <c r="L133" s="1745"/>
      <c r="M133" s="1744"/>
      <c r="N133" s="1744"/>
      <c r="O133" s="1744"/>
      <c r="P133" s="1744"/>
      <c r="Q133" s="1744"/>
      <c r="R133" s="1128">
        <v>1</v>
      </c>
      <c r="S133" s="1128">
        <v>1</v>
      </c>
      <c r="T133" s="1128">
        <v>1</v>
      </c>
      <c r="U133" s="1128">
        <v>1</v>
      </c>
      <c r="V133" s="1128">
        <v>1</v>
      </c>
      <c r="W133" s="1128">
        <v>1</v>
      </c>
      <c r="X133" s="1128">
        <v>1</v>
      </c>
      <c r="Y133" s="1128">
        <v>1</v>
      </c>
      <c r="Z133" s="1128">
        <v>1</v>
      </c>
      <c r="AA133" s="1128">
        <v>1</v>
      </c>
    </row>
    <row r="134" spans="1:27" s="1724" customFormat="1" thickBot="1">
      <c r="A134" s="1744"/>
      <c r="B134" s="1744"/>
      <c r="C134" s="1744"/>
      <c r="D134" s="1744"/>
      <c r="E134" s="1744"/>
      <c r="F134" s="1744"/>
      <c r="G134" s="1744"/>
      <c r="H134" s="1744"/>
      <c r="I134" s="1744"/>
      <c r="J134" s="1744"/>
      <c r="K134" s="1745"/>
      <c r="L134" s="1745"/>
      <c r="M134" s="1744"/>
      <c r="N134" s="1744"/>
      <c r="O134" s="1744"/>
      <c r="P134" s="1744"/>
      <c r="Q134" s="1744"/>
      <c r="R134" s="1128">
        <v>1</v>
      </c>
      <c r="S134" s="1128">
        <v>1</v>
      </c>
      <c r="T134" s="1128">
        <v>1</v>
      </c>
      <c r="U134" s="1128">
        <v>1</v>
      </c>
      <c r="V134" s="1128">
        <v>1</v>
      </c>
      <c r="W134" s="1128">
        <v>1</v>
      </c>
      <c r="X134" s="1128">
        <v>1</v>
      </c>
      <c r="Y134" s="1128">
        <v>1</v>
      </c>
      <c r="Z134" s="1128">
        <v>1</v>
      </c>
      <c r="AA134" s="1128">
        <v>1</v>
      </c>
    </row>
    <row r="135" spans="1:27" ht="20.25">
      <c r="A135" s="1885" t="s">
        <v>252</v>
      </c>
      <c r="B135" s="8216" t="s">
        <v>3073</v>
      </c>
      <c r="C135" s="8217"/>
      <c r="D135" s="8217"/>
      <c r="E135" s="8217"/>
      <c r="F135" s="8217"/>
      <c r="G135" s="8217"/>
      <c r="H135" s="8217"/>
      <c r="I135" s="8217"/>
      <c r="J135" s="8217"/>
      <c r="K135" s="8217"/>
      <c r="L135" s="8218"/>
      <c r="M135" s="1744"/>
      <c r="N135" s="1744"/>
      <c r="O135" s="1744"/>
      <c r="P135" s="1744"/>
      <c r="Q135" s="1744"/>
      <c r="R135" s="1128">
        <v>1</v>
      </c>
      <c r="S135" s="1128">
        <v>1</v>
      </c>
      <c r="T135" s="1128">
        <v>1</v>
      </c>
      <c r="U135" s="1128">
        <v>1</v>
      </c>
      <c r="V135" s="1128">
        <v>1</v>
      </c>
      <c r="W135" s="1128">
        <v>1</v>
      </c>
      <c r="X135" s="1128">
        <v>1</v>
      </c>
      <c r="Y135" s="1128">
        <v>1</v>
      </c>
      <c r="Z135" s="1128">
        <v>1</v>
      </c>
      <c r="AA135" s="1128">
        <v>1</v>
      </c>
    </row>
    <row r="136" spans="1:27" ht="21.75" customHeight="1">
      <c r="A136" s="8155" t="str">
        <f>B135</f>
        <v>une fonction intéressante : MODULO &gt; MOD</v>
      </c>
      <c r="B136" s="1804" t="str">
        <f>ADDRESS(ROW(),COLUMN(),4)</f>
        <v>B136</v>
      </c>
      <c r="C136" s="1886" t="s">
        <v>750</v>
      </c>
      <c r="D136" s="1887"/>
      <c r="E136" s="1887"/>
      <c r="F136" s="1887"/>
      <c r="G136" s="1887"/>
      <c r="H136" s="1887"/>
      <c r="I136" s="1887"/>
      <c r="J136" s="1887"/>
      <c r="K136" s="1887"/>
      <c r="L136" s="1888"/>
      <c r="M136" s="1744"/>
      <c r="N136" s="1744"/>
      <c r="O136" s="1744"/>
      <c r="P136" s="1744"/>
      <c r="Q136" s="1744"/>
      <c r="R136" s="1128">
        <v>1</v>
      </c>
      <c r="S136" s="1128">
        <v>1</v>
      </c>
      <c r="T136" s="1128">
        <v>1</v>
      </c>
      <c r="U136" s="1128">
        <v>1</v>
      </c>
      <c r="V136" s="1128">
        <v>1</v>
      </c>
      <c r="W136" s="1128">
        <v>1</v>
      </c>
      <c r="X136" s="1128">
        <v>1</v>
      </c>
      <c r="Y136" s="1128">
        <v>1</v>
      </c>
      <c r="Z136" s="1128">
        <v>1</v>
      </c>
      <c r="AA136" s="1128">
        <v>1</v>
      </c>
    </row>
    <row r="137" spans="1:27" ht="21" customHeight="1">
      <c r="A137" s="8155"/>
      <c r="B137" s="1889" t="s">
        <v>3181</v>
      </c>
      <c r="C137" s="8219" t="s">
        <v>3182</v>
      </c>
      <c r="D137" s="8219"/>
      <c r="E137" s="1891" t="s">
        <v>3183</v>
      </c>
      <c r="F137" s="1892"/>
      <c r="G137" s="8220" t="s">
        <v>3184</v>
      </c>
      <c r="H137" s="8220"/>
      <c r="I137" s="1688"/>
      <c r="J137" s="1688"/>
      <c r="K137" s="1894"/>
      <c r="L137" s="1895"/>
      <c r="M137" s="1744"/>
      <c r="N137" s="1744"/>
      <c r="O137" s="1744"/>
      <c r="P137" s="1744"/>
      <c r="Q137" s="1744"/>
      <c r="R137" s="1128">
        <v>1</v>
      </c>
      <c r="S137" s="1128">
        <v>1</v>
      </c>
      <c r="T137" s="1128">
        <v>1</v>
      </c>
      <c r="U137" s="1128">
        <v>1</v>
      </c>
      <c r="V137" s="1128">
        <v>1</v>
      </c>
      <c r="W137" s="1128">
        <v>1</v>
      </c>
      <c r="X137" s="1128">
        <v>1</v>
      </c>
      <c r="Y137" s="1128">
        <v>1</v>
      </c>
      <c r="Z137" s="1128">
        <v>1</v>
      </c>
      <c r="AA137" s="1128">
        <v>1</v>
      </c>
    </row>
    <row r="138" spans="1:27" ht="21">
      <c r="A138" s="8155"/>
      <c r="B138" s="1896" t="s">
        <v>3185</v>
      </c>
      <c r="C138" s="1890"/>
      <c r="D138" s="1890"/>
      <c r="E138" s="1891"/>
      <c r="F138" s="1892"/>
      <c r="G138" s="1893"/>
      <c r="H138" s="1893"/>
      <c r="I138" s="1890"/>
      <c r="J138" s="1890"/>
      <c r="K138" s="1894"/>
      <c r="L138" s="1895"/>
      <c r="M138" s="1744"/>
      <c r="N138" s="1744"/>
      <c r="O138" s="1744"/>
      <c r="P138" s="1744"/>
      <c r="Q138" s="1744"/>
      <c r="R138" s="1128">
        <v>1</v>
      </c>
      <c r="S138" s="1128">
        <v>1</v>
      </c>
      <c r="T138" s="1128">
        <v>1</v>
      </c>
      <c r="U138" s="1128">
        <v>1</v>
      </c>
      <c r="V138" s="1128">
        <v>1</v>
      </c>
      <c r="W138" s="1128">
        <v>1</v>
      </c>
      <c r="X138" s="1128">
        <v>1</v>
      </c>
      <c r="Y138" s="1128">
        <v>1</v>
      </c>
      <c r="Z138" s="1128">
        <v>1</v>
      </c>
      <c r="AA138" s="1128">
        <v>1</v>
      </c>
    </row>
    <row r="139" spans="1:27" ht="18.75" customHeight="1">
      <c r="A139" s="8155"/>
      <c r="B139" s="1897"/>
      <c r="C139" s="8221" t="s">
        <v>3152</v>
      </c>
      <c r="D139" s="8222" t="s">
        <v>3186</v>
      </c>
      <c r="E139" s="8223" t="s">
        <v>3187</v>
      </c>
      <c r="F139" s="8223" t="s">
        <v>3188</v>
      </c>
      <c r="G139" s="543"/>
      <c r="H139" s="1898"/>
      <c r="I139" s="1899"/>
      <c r="J139" s="1900"/>
      <c r="K139" s="1901"/>
      <c r="L139" s="1895"/>
      <c r="M139" s="1744"/>
      <c r="N139" s="1744"/>
      <c r="O139" s="1744"/>
      <c r="P139" s="1744"/>
      <c r="Q139" s="1744"/>
      <c r="R139" s="1128">
        <v>1</v>
      </c>
      <c r="S139" s="1128">
        <v>1</v>
      </c>
      <c r="T139" s="1128">
        <v>1</v>
      </c>
      <c r="U139" s="1128">
        <v>1</v>
      </c>
      <c r="V139" s="1128">
        <v>1</v>
      </c>
      <c r="W139" s="1128">
        <v>1</v>
      </c>
      <c r="X139" s="1128">
        <v>1</v>
      </c>
      <c r="Y139" s="1128">
        <v>1</v>
      </c>
      <c r="Z139" s="1128">
        <v>1</v>
      </c>
      <c r="AA139" s="1128">
        <v>1</v>
      </c>
    </row>
    <row r="140" spans="1:27" ht="18" customHeight="1">
      <c r="A140" s="8155"/>
      <c r="B140" s="1897"/>
      <c r="C140" s="8221"/>
      <c r="D140" s="8222"/>
      <c r="E140" s="8223"/>
      <c r="F140" s="8223"/>
      <c r="G140" s="536"/>
      <c r="H140" s="1902"/>
      <c r="I140" s="1902">
        <f>E141</f>
        <v>16</v>
      </c>
      <c r="J140" s="1903"/>
      <c r="K140" s="1903">
        <f>F141</f>
        <v>0.66999999999999993</v>
      </c>
      <c r="L140" s="1895"/>
      <c r="M140" s="1744"/>
      <c r="N140" s="1744"/>
      <c r="O140" s="1744"/>
      <c r="P140" s="1744"/>
      <c r="Q140" s="1744"/>
      <c r="R140" s="1128">
        <v>1</v>
      </c>
      <c r="S140" s="1128">
        <v>1</v>
      </c>
      <c r="T140" s="1128">
        <v>1</v>
      </c>
      <c r="U140" s="1128">
        <v>1</v>
      </c>
      <c r="V140" s="1128">
        <v>1</v>
      </c>
      <c r="W140" s="1128">
        <v>1</v>
      </c>
      <c r="X140" s="1128">
        <v>1</v>
      </c>
      <c r="Y140" s="1128">
        <v>1</v>
      </c>
      <c r="Z140" s="1128">
        <v>1</v>
      </c>
      <c r="AA140" s="1128">
        <v>1</v>
      </c>
    </row>
    <row r="141" spans="1:27" ht="18.75">
      <c r="A141" s="8155"/>
      <c r="B141" s="1897"/>
      <c r="C141" s="1904">
        <v>13.63</v>
      </c>
      <c r="D141" s="1905">
        <v>0.81</v>
      </c>
      <c r="E141" s="1906">
        <f>INT(C141/D141)</f>
        <v>16</v>
      </c>
      <c r="F141" s="1907">
        <f>MOD(C141,D141)</f>
        <v>0.66999999999999993</v>
      </c>
      <c r="G141" s="1892"/>
      <c r="H141" s="1908" t="s">
        <v>3189</v>
      </c>
      <c r="I141" s="1909" t="str">
        <f ca="1">_xlfn.FORMULATEXT(E141)</f>
        <v>=ENT(C141/D141)</v>
      </c>
      <c r="J141" s="1910" t="s">
        <v>3189</v>
      </c>
      <c r="K141" s="1911" t="str">
        <f ca="1">_xlfn.FORMULATEXT(F141)</f>
        <v>=MOD(C141;D141)</v>
      </c>
      <c r="L141" s="1895"/>
      <c r="M141" s="1744"/>
      <c r="N141" s="1744"/>
      <c r="O141" s="1744"/>
      <c r="P141" s="1744"/>
      <c r="Q141" s="1744"/>
      <c r="R141" s="1128">
        <v>1</v>
      </c>
      <c r="S141" s="1128">
        <v>1</v>
      </c>
      <c r="T141" s="1128">
        <v>1</v>
      </c>
      <c r="U141" s="1128">
        <v>1</v>
      </c>
      <c r="V141" s="1128">
        <v>1</v>
      </c>
      <c r="W141" s="1128">
        <v>1</v>
      </c>
      <c r="X141" s="1128">
        <v>1</v>
      </c>
      <c r="Y141" s="1128">
        <v>1</v>
      </c>
      <c r="Z141" s="1128">
        <v>1</v>
      </c>
      <c r="AA141" s="1128">
        <v>1</v>
      </c>
    </row>
    <row r="142" spans="1:27" ht="18">
      <c r="A142" s="8155"/>
      <c r="B142" s="1897"/>
      <c r="C142" s="1912" t="str">
        <f>LEFT(ADDRESS(1,COLUMN(),4),LEN(ADDRESS(1,COLUMN(),4))-1)</f>
        <v>C</v>
      </c>
      <c r="D142" s="1912" t="str">
        <f>LEFT(ADDRESS(1,COLUMN(),4),LEN(ADDRESS(1,COLUMN(),4))-1)</f>
        <v>D</v>
      </c>
      <c r="E142" s="1912" t="str">
        <f>LEFT(ADDRESS(1,COLUMN(),4),LEN(ADDRESS(1,COLUMN(),4))-1)</f>
        <v>E</v>
      </c>
      <c r="F142" s="1912" t="str">
        <f>LEFT(ADDRESS(1,COLUMN(),4),LEN(ADDRESS(1,COLUMN(),4))-1)</f>
        <v>F</v>
      </c>
      <c r="G142" s="1892"/>
      <c r="H142" s="1908"/>
      <c r="I142" s="1909"/>
      <c r="J142" s="1910"/>
      <c r="K142" s="1911"/>
      <c r="L142" s="1895"/>
      <c r="M142" s="1744"/>
      <c r="N142" s="1744"/>
      <c r="O142" s="1744"/>
      <c r="P142" s="1744"/>
      <c r="Q142" s="1744"/>
      <c r="R142" s="1128">
        <v>1</v>
      </c>
      <c r="S142" s="1128">
        <v>1</v>
      </c>
      <c r="T142" s="1128">
        <v>1</v>
      </c>
      <c r="U142" s="1128">
        <v>1</v>
      </c>
      <c r="V142" s="1128">
        <v>1</v>
      </c>
      <c r="W142" s="1128">
        <v>1</v>
      </c>
      <c r="X142" s="1128">
        <v>1</v>
      </c>
      <c r="Y142" s="1128">
        <v>1</v>
      </c>
      <c r="Z142" s="1128">
        <v>1</v>
      </c>
      <c r="AA142" s="1128">
        <v>1</v>
      </c>
    </row>
    <row r="143" spans="1:27" ht="18.75" customHeight="1">
      <c r="A143" s="8155"/>
      <c r="B143" s="1897"/>
      <c r="C143" s="1148" t="s">
        <v>3190</v>
      </c>
      <c r="D143" s="1899"/>
      <c r="E143" s="1908"/>
      <c r="F143" s="1911"/>
      <c r="G143" s="1892"/>
      <c r="H143" s="536"/>
      <c r="I143" s="536"/>
      <c r="J143" s="536"/>
      <c r="K143" s="536"/>
      <c r="L143" s="1895"/>
      <c r="M143" s="1744"/>
      <c r="N143" s="1744"/>
      <c r="O143" s="1744"/>
      <c r="P143" s="1744"/>
      <c r="Q143" s="1744"/>
      <c r="R143" s="1128">
        <v>1</v>
      </c>
      <c r="S143" s="1128">
        <v>1</v>
      </c>
      <c r="T143" s="1128">
        <v>1</v>
      </c>
      <c r="U143" s="1128">
        <v>1</v>
      </c>
      <c r="V143" s="1128">
        <v>1</v>
      </c>
      <c r="W143" s="1128">
        <v>1</v>
      </c>
      <c r="X143" s="1128">
        <v>1</v>
      </c>
      <c r="Y143" s="1128">
        <v>1</v>
      </c>
      <c r="Z143" s="1128">
        <v>1</v>
      </c>
      <c r="AA143" s="1128">
        <v>1</v>
      </c>
    </row>
    <row r="144" spans="1:27" ht="18">
      <c r="A144" s="8155"/>
      <c r="B144" s="1897"/>
      <c r="C144" s="1913"/>
      <c r="D144" s="1914" t="s">
        <v>3152</v>
      </c>
      <c r="E144" s="1915">
        <v>13.63</v>
      </c>
      <c r="F144" s="1916">
        <f>IF(MOD(E144,E145)&gt;MOD(E144,E145)/2,INT(E144/E145)+1,INT(E144/E145))</f>
        <v>17</v>
      </c>
      <c r="G144" s="1917" t="s">
        <v>3191</v>
      </c>
      <c r="H144" s="1918"/>
      <c r="I144" s="1919"/>
      <c r="J144" s="536"/>
      <c r="K144" s="536"/>
      <c r="L144" s="1895"/>
      <c r="M144" s="1744"/>
      <c r="N144" s="1744"/>
      <c r="O144" s="1744"/>
      <c r="P144" s="1744"/>
      <c r="Q144" s="1744"/>
      <c r="R144" s="1128">
        <v>1</v>
      </c>
      <c r="S144" s="1128">
        <v>1</v>
      </c>
      <c r="T144" s="1128">
        <v>1</v>
      </c>
      <c r="U144" s="1128">
        <v>1</v>
      </c>
      <c r="V144" s="1128">
        <v>1</v>
      </c>
      <c r="W144" s="1128">
        <v>1</v>
      </c>
      <c r="X144" s="1128">
        <v>1</v>
      </c>
      <c r="Y144" s="1128">
        <v>1</v>
      </c>
      <c r="Z144" s="1128">
        <v>1</v>
      </c>
      <c r="AA144" s="1128">
        <v>1</v>
      </c>
    </row>
    <row r="145" spans="1:27" ht="18">
      <c r="A145" s="8155"/>
      <c r="B145" s="1897"/>
      <c r="C145" s="1920"/>
      <c r="D145" s="1921" t="s">
        <v>3186</v>
      </c>
      <c r="E145" s="5460">
        <v>0.81</v>
      </c>
      <c r="F145" s="1922">
        <f>INT(E144/E145)</f>
        <v>16</v>
      </c>
      <c r="G145" s="1923">
        <f>E145</f>
        <v>0.81</v>
      </c>
      <c r="H145" s="1924" t="str">
        <f>IF(I145&gt;0,"Plus 1 de")</f>
        <v>Plus 1 de</v>
      </c>
      <c r="I145" s="1925">
        <f>MOD(E144,E145)</f>
        <v>0.66999999999999993</v>
      </c>
      <c r="J145" s="536"/>
      <c r="K145" s="536"/>
      <c r="L145" s="1895"/>
      <c r="M145" s="1744"/>
      <c r="N145" s="1744"/>
      <c r="O145" s="1744"/>
      <c r="P145" s="1744"/>
      <c r="Q145" s="1744"/>
      <c r="R145" s="1128">
        <v>1</v>
      </c>
      <c r="S145" s="1128">
        <v>1</v>
      </c>
      <c r="T145" s="1128">
        <v>1</v>
      </c>
      <c r="U145" s="1128">
        <v>1</v>
      </c>
      <c r="V145" s="1128">
        <v>1</v>
      </c>
      <c r="W145" s="1128">
        <v>1</v>
      </c>
      <c r="X145" s="1128">
        <v>1</v>
      </c>
      <c r="Y145" s="1128">
        <v>1</v>
      </c>
      <c r="Z145" s="1128">
        <v>1</v>
      </c>
      <c r="AA145" s="1128">
        <v>1</v>
      </c>
    </row>
    <row r="146" spans="1:27" ht="18">
      <c r="A146" s="8155"/>
      <c r="B146" s="1897"/>
      <c r="C146" s="8224" t="s">
        <v>60</v>
      </c>
      <c r="D146" s="8225"/>
      <c r="E146" s="8226"/>
      <c r="F146" s="1926" t="s">
        <v>3192</v>
      </c>
      <c r="G146" s="1927"/>
      <c r="H146" s="1928"/>
      <c r="I146" s="1929"/>
      <c r="J146" s="536"/>
      <c r="K146" s="536"/>
      <c r="L146" s="1895"/>
      <c r="M146" s="1744"/>
      <c r="N146" s="1744"/>
      <c r="O146" s="1744"/>
      <c r="P146" s="1744"/>
      <c r="Q146" s="1744"/>
      <c r="R146" s="1128">
        <v>1</v>
      </c>
      <c r="S146" s="1128">
        <v>1</v>
      </c>
      <c r="T146" s="1128">
        <v>1</v>
      </c>
      <c r="U146" s="1128">
        <v>1</v>
      </c>
      <c r="V146" s="1128">
        <v>1</v>
      </c>
      <c r="W146" s="1128">
        <v>1</v>
      </c>
      <c r="X146" s="1128">
        <v>1</v>
      </c>
      <c r="Y146" s="1128">
        <v>1</v>
      </c>
      <c r="Z146" s="1128">
        <v>1</v>
      </c>
      <c r="AA146" s="1128">
        <v>1</v>
      </c>
    </row>
    <row r="147" spans="1:27" ht="18.75">
      <c r="A147" s="8155"/>
      <c r="B147" s="1897"/>
      <c r="C147" s="1148"/>
      <c r="D147" s="1899"/>
      <c r="E147" s="1908"/>
      <c r="F147" s="1911"/>
      <c r="G147" s="1930" t="s">
        <v>3193</v>
      </c>
      <c r="H147" s="1931" t="s">
        <v>3194</v>
      </c>
      <c r="I147" s="1932" t="s">
        <v>3195</v>
      </c>
      <c r="J147" s="536"/>
      <c r="K147" s="536"/>
      <c r="L147" s="1895"/>
      <c r="M147" s="1744"/>
      <c r="N147" s="1744"/>
      <c r="O147" s="1744"/>
      <c r="P147" s="1744"/>
      <c r="Q147" s="1744"/>
      <c r="R147" s="1128">
        <v>1</v>
      </c>
      <c r="S147" s="1128">
        <v>1</v>
      </c>
      <c r="T147" s="1128">
        <v>1</v>
      </c>
      <c r="U147" s="1128">
        <v>1</v>
      </c>
      <c r="V147" s="1128">
        <v>1</v>
      </c>
      <c r="W147" s="1128">
        <v>1</v>
      </c>
      <c r="X147" s="1128">
        <v>1</v>
      </c>
      <c r="Y147" s="1128">
        <v>1</v>
      </c>
      <c r="Z147" s="1128">
        <v>1</v>
      </c>
      <c r="AA147" s="1128">
        <v>1</v>
      </c>
    </row>
    <row r="148" spans="1:27" ht="19.5" customHeight="1">
      <c r="A148" s="8155"/>
      <c r="B148" s="1897"/>
      <c r="C148" s="1908"/>
      <c r="D148" s="1908"/>
      <c r="E148" s="1908"/>
      <c r="F148" s="1908"/>
      <c r="G148" s="1892"/>
      <c r="H148" s="1924">
        <f>F144</f>
        <v>17</v>
      </c>
      <c r="I148" s="1933" t="str">
        <f ca="1">_xlfn.FORMULATEXT(F144)</f>
        <v>=SI(MOD(E144;E145)&gt;MOD(E144;E145)/2;ENT(E144/E145)+1;ENT(E144/E145))</v>
      </c>
      <c r="J148" s="536"/>
      <c r="K148" s="536"/>
      <c r="L148" s="1895"/>
      <c r="M148" s="1744"/>
      <c r="N148" s="1744"/>
      <c r="O148" s="1744"/>
      <c r="P148" s="1744"/>
      <c r="Q148" s="1744"/>
      <c r="R148" s="1128">
        <v>1</v>
      </c>
      <c r="S148" s="1128">
        <v>1</v>
      </c>
      <c r="T148" s="1128">
        <v>1</v>
      </c>
      <c r="U148" s="1128">
        <v>1</v>
      </c>
      <c r="V148" s="1128">
        <v>1</v>
      </c>
      <c r="W148" s="1128">
        <v>1</v>
      </c>
      <c r="X148" s="1128">
        <v>1</v>
      </c>
      <c r="Y148" s="1128">
        <v>1</v>
      </c>
      <c r="Z148" s="1128">
        <v>1</v>
      </c>
      <c r="AA148" s="1128">
        <v>1</v>
      </c>
    </row>
    <row r="149" spans="1:27" ht="19.5" customHeight="1">
      <c r="A149" s="8155"/>
      <c r="B149" s="1897"/>
      <c r="C149" s="1908"/>
      <c r="D149" s="1908"/>
      <c r="E149" s="1908"/>
      <c r="F149" s="1908"/>
      <c r="G149" s="1892"/>
      <c r="H149" s="1924">
        <f>F145</f>
        <v>16</v>
      </c>
      <c r="I149" s="1933" t="str">
        <f ca="1">_xlfn.FORMULATEXT(F145)</f>
        <v>=ENT(E144/E145)</v>
      </c>
      <c r="J149" s="536"/>
      <c r="K149" s="536"/>
      <c r="L149" s="1895"/>
      <c r="M149" s="1744"/>
      <c r="N149" s="1744"/>
      <c r="O149" s="1744"/>
      <c r="P149" s="1744"/>
      <c r="Q149" s="1744"/>
      <c r="R149" s="1128">
        <v>1</v>
      </c>
      <c r="S149" s="1128">
        <v>1</v>
      </c>
      <c r="T149" s="1128">
        <v>1</v>
      </c>
      <c r="U149" s="1128">
        <v>1</v>
      </c>
      <c r="V149" s="1128">
        <v>1</v>
      </c>
      <c r="W149" s="1128">
        <v>1</v>
      </c>
      <c r="X149" s="1128">
        <v>1</v>
      </c>
      <c r="Y149" s="1128">
        <v>1</v>
      </c>
      <c r="Z149" s="1128">
        <v>1</v>
      </c>
      <c r="AA149" s="1128">
        <v>1</v>
      </c>
    </row>
    <row r="150" spans="1:27" ht="19.5" customHeight="1">
      <c r="A150" s="8155"/>
      <c r="B150" s="1897"/>
      <c r="C150" s="1908"/>
      <c r="D150" s="1908"/>
      <c r="E150" s="1908"/>
      <c r="F150" s="1908"/>
      <c r="G150" s="1899"/>
      <c r="H150" s="1923">
        <f>G145</f>
        <v>0.81</v>
      </c>
      <c r="I150" s="1933" t="str">
        <f ca="1">_xlfn.FORMULATEXT(G145)</f>
        <v>=E145</v>
      </c>
      <c r="J150" s="536"/>
      <c r="K150" s="536"/>
      <c r="L150" s="1895"/>
      <c r="M150" s="1744"/>
      <c r="N150" s="1744"/>
      <c r="O150" s="1744"/>
      <c r="P150" s="1744"/>
      <c r="Q150" s="1744"/>
      <c r="R150" s="1128">
        <v>1</v>
      </c>
      <c r="S150" s="1128">
        <v>1</v>
      </c>
      <c r="T150" s="1128">
        <v>1</v>
      </c>
      <c r="U150" s="1128">
        <v>1</v>
      </c>
      <c r="V150" s="1128">
        <v>1</v>
      </c>
      <c r="W150" s="1128">
        <v>1</v>
      </c>
      <c r="X150" s="1128">
        <v>1</v>
      </c>
      <c r="Y150" s="1128">
        <v>1</v>
      </c>
      <c r="Z150" s="1128">
        <v>1</v>
      </c>
      <c r="AA150" s="1128">
        <v>1</v>
      </c>
    </row>
    <row r="151" spans="1:27" ht="19.5" customHeight="1">
      <c r="A151" s="8155"/>
      <c r="B151" s="1897"/>
      <c r="C151" s="1899"/>
      <c r="D151" s="1899"/>
      <c r="E151" s="1899"/>
      <c r="F151" s="1899"/>
      <c r="G151" s="1899"/>
      <c r="H151" s="1924" t="str">
        <f>H145</f>
        <v>Plus 1 de</v>
      </c>
      <c r="I151" s="1933" t="str">
        <f ca="1">_xlfn.FORMULATEXT(H145)</f>
        <v>=SI(I145&gt;0;"Plus 1 de")</v>
      </c>
      <c r="J151" s="536"/>
      <c r="K151" s="536"/>
      <c r="L151" s="1895"/>
      <c r="M151" s="1744"/>
      <c r="N151" s="1744"/>
      <c r="O151" s="1744"/>
      <c r="P151" s="1744"/>
      <c r="Q151" s="1744"/>
      <c r="R151" s="1128">
        <v>1</v>
      </c>
      <c r="S151" s="1128">
        <v>1</v>
      </c>
      <c r="T151" s="1128">
        <v>1</v>
      </c>
      <c r="U151" s="1128">
        <v>1</v>
      </c>
      <c r="V151" s="1128">
        <v>1</v>
      </c>
      <c r="W151" s="1128">
        <v>1</v>
      </c>
      <c r="X151" s="1128">
        <v>1</v>
      </c>
      <c r="Y151" s="1128">
        <v>1</v>
      </c>
      <c r="Z151" s="1128">
        <v>1</v>
      </c>
      <c r="AA151" s="1128">
        <v>1</v>
      </c>
    </row>
    <row r="152" spans="1:27" ht="19.5" customHeight="1">
      <c r="A152" s="8155"/>
      <c r="B152" s="1897" t="s">
        <v>3192</v>
      </c>
      <c r="C152" s="1899"/>
      <c r="D152" s="1899"/>
      <c r="E152" s="1899"/>
      <c r="F152" s="1899"/>
      <c r="G152" s="1899"/>
      <c r="H152" s="1934">
        <f>I145</f>
        <v>0.66999999999999993</v>
      </c>
      <c r="I152" s="1935" t="str">
        <f ca="1">_xlfn.FORMULATEXT(I145)</f>
        <v>=MOD(E144;E145)</v>
      </c>
      <c r="J152" s="536"/>
      <c r="K152" s="536"/>
      <c r="L152" s="1895"/>
      <c r="M152" s="1744"/>
      <c r="N152" s="1744"/>
      <c r="O152" s="1744"/>
      <c r="P152" s="1744"/>
      <c r="Q152" s="1744"/>
      <c r="R152" s="1128">
        <v>1</v>
      </c>
      <c r="S152" s="1128">
        <v>1</v>
      </c>
      <c r="T152" s="1128">
        <v>1</v>
      </c>
      <c r="U152" s="1128">
        <v>1</v>
      </c>
      <c r="V152" s="1128">
        <v>1</v>
      </c>
      <c r="W152" s="1128">
        <v>1</v>
      </c>
      <c r="X152" s="1128">
        <v>1</v>
      </c>
      <c r="Y152" s="1128">
        <v>1</v>
      </c>
      <c r="Z152" s="1128">
        <v>1</v>
      </c>
      <c r="AA152" s="1128">
        <v>1</v>
      </c>
    </row>
    <row r="153" spans="1:27" ht="19.5" customHeight="1">
      <c r="A153" s="8155"/>
      <c r="B153" s="1848" t="s">
        <v>3174</v>
      </c>
      <c r="C153" s="1936"/>
      <c r="D153" s="1936"/>
      <c r="E153" s="1936"/>
      <c r="F153" s="1936"/>
      <c r="G153" s="1936"/>
      <c r="H153" s="1937"/>
      <c r="I153" s="1938"/>
      <c r="J153" s="1939"/>
      <c r="K153" s="1939"/>
      <c r="L153" s="1940"/>
      <c r="M153" s="1744"/>
      <c r="N153" s="1744"/>
      <c r="O153" s="1744"/>
      <c r="P153" s="1744"/>
      <c r="Q153" s="1744"/>
      <c r="R153" s="1128">
        <v>1</v>
      </c>
      <c r="S153" s="1128">
        <v>1</v>
      </c>
      <c r="T153" s="1128">
        <v>1</v>
      </c>
      <c r="U153" s="1128">
        <v>1</v>
      </c>
      <c r="V153" s="1128">
        <v>1</v>
      </c>
      <c r="W153" s="1128">
        <v>1</v>
      </c>
      <c r="X153" s="1128">
        <v>1</v>
      </c>
      <c r="Y153" s="1128">
        <v>1</v>
      </c>
      <c r="Z153" s="1128">
        <v>1</v>
      </c>
      <c r="AA153" s="1128">
        <v>1</v>
      </c>
    </row>
    <row r="154" spans="1:27" ht="19.5" customHeight="1" thickBot="1">
      <c r="A154" s="8155"/>
      <c r="B154" s="1941" t="s">
        <v>3175</v>
      </c>
      <c r="C154" s="1942"/>
      <c r="D154" s="1942"/>
      <c r="E154" s="1942"/>
      <c r="F154" s="1942"/>
      <c r="G154" s="1942"/>
      <c r="H154" s="1943"/>
      <c r="I154" s="1944"/>
      <c r="J154" s="644"/>
      <c r="K154" s="644"/>
      <c r="L154" s="1945"/>
      <c r="M154" s="1744"/>
      <c r="N154" s="1744"/>
      <c r="O154" s="1744"/>
      <c r="P154" s="1744"/>
      <c r="Q154" s="1744"/>
      <c r="R154" s="1128">
        <v>1</v>
      </c>
      <c r="S154" s="1128">
        <v>1</v>
      </c>
      <c r="T154" s="1128">
        <v>1</v>
      </c>
      <c r="U154" s="1128">
        <v>1</v>
      </c>
      <c r="V154" s="1128">
        <v>1</v>
      </c>
      <c r="W154" s="1128">
        <v>1</v>
      </c>
      <c r="X154" s="1128">
        <v>1</v>
      </c>
      <c r="Y154" s="1128">
        <v>1</v>
      </c>
      <c r="Z154" s="1128">
        <v>1</v>
      </c>
      <c r="AA154" s="1128">
        <v>1</v>
      </c>
    </row>
    <row r="155" spans="1:27" s="1724" customFormat="1" thickBot="1">
      <c r="A155" s="1744"/>
      <c r="B155" s="1778"/>
      <c r="C155" s="1778"/>
      <c r="D155" s="1778"/>
      <c r="E155" s="1778"/>
      <c r="F155" s="1778"/>
      <c r="G155" s="1778"/>
      <c r="H155" s="1745"/>
      <c r="I155" s="1788"/>
      <c r="J155" s="1788"/>
      <c r="K155" s="1789"/>
      <c r="L155" s="1789"/>
      <c r="M155" s="1788"/>
      <c r="N155" s="1788"/>
      <c r="O155" s="1744"/>
      <c r="P155" s="1744"/>
      <c r="Q155" s="1744"/>
      <c r="R155" s="1128">
        <v>1</v>
      </c>
      <c r="S155" s="1128">
        <v>1</v>
      </c>
      <c r="T155" s="1128">
        <v>1</v>
      </c>
      <c r="U155" s="1128">
        <v>1</v>
      </c>
      <c r="V155" s="1128">
        <v>1</v>
      </c>
      <c r="W155" s="1128">
        <v>1</v>
      </c>
      <c r="X155" s="1128">
        <v>1</v>
      </c>
      <c r="Y155" s="1128">
        <v>1</v>
      </c>
      <c r="Z155" s="1128">
        <v>1</v>
      </c>
      <c r="AA155" s="1128">
        <v>1</v>
      </c>
    </row>
    <row r="156" spans="1:27" s="1724" customFormat="1" ht="23.25">
      <c r="A156" s="1946" t="s">
        <v>252</v>
      </c>
      <c r="B156" s="8203" t="s">
        <v>3075</v>
      </c>
      <c r="C156" s="8204"/>
      <c r="D156" s="8204"/>
      <c r="E156" s="8204"/>
      <c r="F156" s="8204"/>
      <c r="G156" s="8204"/>
      <c r="H156" s="8204"/>
      <c r="I156" s="8204"/>
      <c r="J156" s="8204"/>
      <c r="K156" s="8204"/>
      <c r="L156" s="8205"/>
      <c r="M156" s="1788"/>
      <c r="N156" s="1788"/>
      <c r="O156" s="1744"/>
      <c r="P156" s="1744"/>
      <c r="Q156" s="1744"/>
      <c r="R156" s="1128">
        <v>1</v>
      </c>
      <c r="S156" s="1128">
        <v>1</v>
      </c>
      <c r="T156" s="1128">
        <v>1</v>
      </c>
      <c r="U156" s="1128">
        <v>1</v>
      </c>
      <c r="V156" s="1128">
        <v>1</v>
      </c>
      <c r="W156" s="1128">
        <v>1</v>
      </c>
      <c r="X156" s="1128">
        <v>1</v>
      </c>
      <c r="Y156" s="1128">
        <v>1</v>
      </c>
      <c r="Z156" s="1128">
        <v>1</v>
      </c>
      <c r="AA156" s="1128">
        <v>1</v>
      </c>
    </row>
    <row r="157" spans="1:27" s="1724" customFormat="1" ht="23.25">
      <c r="A157" s="8206" t="str">
        <f>B156</f>
        <v>Nombre de contenants a la pièce avec la fonction MODULO</v>
      </c>
      <c r="B157" s="1947" t="str">
        <f>ADDRESS(ROW(),COLUMN(),4)</f>
        <v>B157</v>
      </c>
      <c r="C157" s="1948" t="s">
        <v>750</v>
      </c>
      <c r="D157" s="1949"/>
      <c r="E157" s="1949"/>
      <c r="F157" s="1949"/>
      <c r="G157" s="1949"/>
      <c r="H157" s="1949"/>
      <c r="I157" s="1949"/>
      <c r="J157" s="1950"/>
      <c r="K157" s="1951" t="str">
        <f ca="1">MID(CELL("filename",B157),SEARCH("[",CELL("filename",B157))+1,SEARCH("]",CELL("filename",B157))-SEARCH("[",CELL("filename",B157))-1)</f>
        <v>ff.REPERTOIRE.600.LIGNES.15.xlsx</v>
      </c>
      <c r="L157" s="1952">
        <v>5</v>
      </c>
      <c r="M157" s="1788"/>
      <c r="N157" s="1788"/>
      <c r="O157" s="1744"/>
      <c r="P157" s="1744"/>
      <c r="Q157" s="1744"/>
      <c r="R157" s="1128">
        <v>1</v>
      </c>
      <c r="S157" s="1128">
        <v>1</v>
      </c>
      <c r="T157" s="1128">
        <v>1</v>
      </c>
      <c r="U157" s="1128">
        <v>1</v>
      </c>
      <c r="V157" s="1128">
        <v>1</v>
      </c>
      <c r="W157" s="1128">
        <v>1</v>
      </c>
      <c r="X157" s="1128">
        <v>1</v>
      </c>
      <c r="Y157" s="1128">
        <v>1</v>
      </c>
      <c r="Z157" s="1128">
        <v>1</v>
      </c>
      <c r="AA157" s="1128">
        <v>1</v>
      </c>
    </row>
    <row r="158" spans="1:27" s="1724" customFormat="1" ht="15">
      <c r="A158" s="8206"/>
      <c r="B158" s="1953"/>
      <c r="C158" s="1954"/>
      <c r="D158" s="1954"/>
      <c r="E158" s="1954"/>
      <c r="F158" s="1954"/>
      <c r="G158" s="1954"/>
      <c r="H158" s="1954"/>
      <c r="I158" s="1954"/>
      <c r="J158" s="1954"/>
      <c r="K158" s="1954"/>
      <c r="L158" s="1955"/>
      <c r="M158" s="1788"/>
      <c r="N158" s="1788"/>
      <c r="O158" s="1744"/>
      <c r="P158" s="1744"/>
      <c r="Q158" s="1744"/>
      <c r="R158" s="1128">
        <v>1</v>
      </c>
      <c r="S158" s="1128">
        <v>1</v>
      </c>
      <c r="T158" s="1128">
        <v>1</v>
      </c>
      <c r="U158" s="1128">
        <v>1</v>
      </c>
      <c r="V158" s="1128">
        <v>1</v>
      </c>
      <c r="W158" s="1128">
        <v>1</v>
      </c>
      <c r="X158" s="1128">
        <v>1</v>
      </c>
      <c r="Y158" s="1128">
        <v>1</v>
      </c>
      <c r="Z158" s="1128">
        <v>1</v>
      </c>
      <c r="AA158" s="1128">
        <v>1</v>
      </c>
    </row>
    <row r="159" spans="1:27" s="1724" customFormat="1" ht="18">
      <c r="A159" s="8206"/>
      <c r="B159" s="1956"/>
      <c r="C159" s="1957"/>
      <c r="D159" s="1958" t="s">
        <v>3152</v>
      </c>
      <c r="E159" s="1959">
        <v>680</v>
      </c>
      <c r="F159" s="1960" t="s">
        <v>3196</v>
      </c>
      <c r="G159" s="1961">
        <f>IF(MOD(E159,E161)&gt;MOD(E159,E161)/2,INT(E159/E161)+1,INT(E159/E161))</f>
        <v>57</v>
      </c>
      <c r="H159" s="1961" t="s">
        <v>3191</v>
      </c>
      <c r="I159" s="1961"/>
      <c r="J159" s="1961"/>
      <c r="K159" s="1961"/>
      <c r="L159" s="1955"/>
      <c r="M159" s="1788"/>
      <c r="N159" s="1788"/>
      <c r="O159" s="1744"/>
      <c r="P159" s="1744"/>
      <c r="Q159" s="1744"/>
      <c r="R159" s="1128">
        <v>1</v>
      </c>
      <c r="S159" s="1128">
        <v>1</v>
      </c>
      <c r="T159" s="1128">
        <v>1</v>
      </c>
      <c r="U159" s="1128">
        <v>1</v>
      </c>
      <c r="V159" s="1128">
        <v>1</v>
      </c>
      <c r="W159" s="1128">
        <v>1</v>
      </c>
      <c r="X159" s="1128">
        <v>1</v>
      </c>
      <c r="Y159" s="1128">
        <v>1</v>
      </c>
      <c r="Z159" s="1128">
        <v>1</v>
      </c>
      <c r="AA159" s="1128">
        <v>1</v>
      </c>
    </row>
    <row r="160" spans="1:27" s="1724" customFormat="1" ht="18">
      <c r="A160" s="8206"/>
      <c r="B160" s="1956"/>
      <c r="C160" s="1962"/>
      <c r="D160" s="1963"/>
      <c r="E160" s="1962"/>
      <c r="F160" s="1962"/>
      <c r="G160" s="1962"/>
      <c r="H160" s="1962"/>
      <c r="I160" s="1962"/>
      <c r="J160" s="1962"/>
      <c r="K160" s="1962"/>
      <c r="L160" s="1955"/>
      <c r="M160" s="1788"/>
      <c r="N160" s="1788"/>
      <c r="O160" s="1744"/>
      <c r="P160" s="1744"/>
      <c r="Q160" s="1744"/>
      <c r="R160" s="1128">
        <v>1</v>
      </c>
      <c r="S160" s="1128">
        <v>1</v>
      </c>
      <c r="T160" s="1128">
        <v>1</v>
      </c>
      <c r="U160" s="1128">
        <v>1</v>
      </c>
      <c r="V160" s="1128">
        <v>1</v>
      </c>
      <c r="W160" s="1128">
        <v>1</v>
      </c>
      <c r="X160" s="1128">
        <v>1</v>
      </c>
      <c r="Y160" s="1128">
        <v>1</v>
      </c>
      <c r="Z160" s="1128">
        <v>1</v>
      </c>
      <c r="AA160" s="1128">
        <v>1</v>
      </c>
    </row>
    <row r="161" spans="1:27" s="1724" customFormat="1" ht="18">
      <c r="A161" s="8206"/>
      <c r="B161" s="1956"/>
      <c r="C161" s="1964"/>
      <c r="D161" s="1965" t="s">
        <v>3186</v>
      </c>
      <c r="E161" s="1959">
        <v>12</v>
      </c>
      <c r="F161" s="699" t="str">
        <f>F159</f>
        <v>chouquettes</v>
      </c>
      <c r="G161" s="1961">
        <f>INT(E159/E161)</f>
        <v>56</v>
      </c>
      <c r="H161" s="1966" t="s">
        <v>186</v>
      </c>
      <c r="I161" s="1967">
        <f>E161</f>
        <v>12</v>
      </c>
      <c r="J161" s="699" t="str">
        <f>F161</f>
        <v>chouquettes</v>
      </c>
      <c r="K161" s="1966">
        <f>I161*G161</f>
        <v>672</v>
      </c>
      <c r="L161" s="1968"/>
      <c r="M161" s="1788"/>
      <c r="N161" s="1788"/>
      <c r="O161" s="1744"/>
      <c r="P161" s="1744"/>
      <c r="Q161" s="1744"/>
      <c r="R161" s="1128">
        <v>1</v>
      </c>
      <c r="S161" s="1128">
        <v>1</v>
      </c>
      <c r="T161" s="1128">
        <v>1</v>
      </c>
      <c r="U161" s="1128">
        <v>1</v>
      </c>
      <c r="V161" s="1128">
        <v>1</v>
      </c>
      <c r="W161" s="1128">
        <v>1</v>
      </c>
      <c r="X161" s="1128">
        <v>1</v>
      </c>
      <c r="Y161" s="1128">
        <v>1</v>
      </c>
      <c r="Z161" s="1128">
        <v>1</v>
      </c>
      <c r="AA161" s="1128">
        <v>1</v>
      </c>
    </row>
    <row r="162" spans="1:27" s="1724" customFormat="1" ht="18">
      <c r="A162" s="8206"/>
      <c r="B162" s="1969"/>
      <c r="C162" s="1962"/>
      <c r="D162" s="1962"/>
      <c r="E162" s="1962"/>
      <c r="F162" s="1962"/>
      <c r="G162" s="1962"/>
      <c r="H162" s="1970" t="str">
        <f>IF(K161=E159,"",IF(I162&gt;0,"Plus 1 de"))</f>
        <v>Plus 1 de</v>
      </c>
      <c r="I162" s="1967">
        <f>IF(K161=E159,"",MOD(E159,E161))</f>
        <v>8</v>
      </c>
      <c r="J162" s="699" t="str">
        <f>IF(K161=E159,"",J161)</f>
        <v>chouquettes</v>
      </c>
      <c r="K162" s="1966">
        <f>IF(K161=E159,"",K161+I162)</f>
        <v>680</v>
      </c>
      <c r="L162" s="1968"/>
      <c r="M162" s="1788"/>
      <c r="N162" s="1788"/>
      <c r="O162" s="1744"/>
      <c r="P162" s="1744"/>
      <c r="Q162" s="1744"/>
      <c r="R162" s="1128">
        <v>1</v>
      </c>
      <c r="S162" s="1128">
        <v>1</v>
      </c>
      <c r="T162" s="1128">
        <v>1</v>
      </c>
      <c r="U162" s="1128">
        <v>1</v>
      </c>
      <c r="V162" s="1128">
        <v>1</v>
      </c>
      <c r="W162" s="1128">
        <v>1</v>
      </c>
      <c r="X162" s="1128">
        <v>1</v>
      </c>
      <c r="Y162" s="1128">
        <v>1</v>
      </c>
      <c r="Z162" s="1128">
        <v>1</v>
      </c>
      <c r="AA162" s="1128">
        <v>1</v>
      </c>
    </row>
    <row r="163" spans="1:27" s="1724" customFormat="1" ht="18">
      <c r="A163" s="8206"/>
      <c r="B163" s="1969"/>
      <c r="C163" s="1962"/>
      <c r="D163" s="1962"/>
      <c r="E163" s="1962"/>
      <c r="F163" s="1962"/>
      <c r="G163" s="1962"/>
      <c r="H163" s="1970"/>
      <c r="I163" s="1971"/>
      <c r="J163" s="1972"/>
      <c r="K163" s="1973"/>
      <c r="L163" s="1968"/>
      <c r="M163" s="1788"/>
      <c r="N163" s="1788"/>
      <c r="O163" s="1744"/>
      <c r="P163" s="1744"/>
      <c r="Q163" s="1744"/>
      <c r="R163" s="1128">
        <v>1</v>
      </c>
      <c r="S163" s="1128">
        <v>1</v>
      </c>
      <c r="T163" s="1128">
        <v>1</v>
      </c>
      <c r="U163" s="1128">
        <v>1</v>
      </c>
      <c r="V163" s="1128">
        <v>1</v>
      </c>
      <c r="W163" s="1128">
        <v>1</v>
      </c>
      <c r="X163" s="1128">
        <v>1</v>
      </c>
      <c r="Y163" s="1128">
        <v>1</v>
      </c>
      <c r="Z163" s="1128">
        <v>1</v>
      </c>
      <c r="AA163" s="1128">
        <v>1</v>
      </c>
    </row>
    <row r="164" spans="1:27" s="1724" customFormat="1" ht="15">
      <c r="A164" s="8206"/>
      <c r="B164" s="8208" t="s">
        <v>697</v>
      </c>
      <c r="C164" s="8209"/>
      <c r="D164" s="8209"/>
      <c r="E164" s="8209"/>
      <c r="F164" s="8209"/>
      <c r="G164" s="8209"/>
      <c r="H164" s="8209"/>
      <c r="I164" s="8209"/>
      <c r="J164" s="8209"/>
      <c r="K164" s="8209"/>
      <c r="L164" s="1955"/>
      <c r="M164" s="1788"/>
      <c r="N164" s="1788"/>
      <c r="O164" s="1744"/>
      <c r="P164" s="1744"/>
      <c r="Q164" s="1744"/>
      <c r="R164" s="1128">
        <v>1</v>
      </c>
      <c r="S164" s="1128">
        <v>1</v>
      </c>
      <c r="T164" s="1128">
        <v>1</v>
      </c>
      <c r="U164" s="1128">
        <v>1</v>
      </c>
      <c r="V164" s="1128">
        <v>1</v>
      </c>
      <c r="W164" s="1128">
        <v>1</v>
      </c>
      <c r="X164" s="1128">
        <v>1</v>
      </c>
      <c r="Y164" s="1128">
        <v>1</v>
      </c>
      <c r="Z164" s="1128">
        <v>1</v>
      </c>
      <c r="AA164" s="1128">
        <v>1</v>
      </c>
    </row>
    <row r="165" spans="1:27" s="1724" customFormat="1">
      <c r="A165" s="8206"/>
      <c r="B165" s="8210" t="s">
        <v>60</v>
      </c>
      <c r="C165" s="8211"/>
      <c r="D165" s="8211"/>
      <c r="E165" s="8211"/>
      <c r="F165" s="8211"/>
      <c r="G165" s="8211"/>
      <c r="H165" s="8211"/>
      <c r="I165" s="8211"/>
      <c r="J165" s="8211"/>
      <c r="K165" s="8211"/>
      <c r="L165" s="1955"/>
      <c r="M165" s="1788"/>
      <c r="N165" s="1788"/>
      <c r="O165" s="1744"/>
      <c r="P165" s="1744"/>
      <c r="Q165" s="1744"/>
      <c r="R165" s="1128">
        <v>1</v>
      </c>
      <c r="S165" s="1128">
        <v>1</v>
      </c>
      <c r="T165" s="1128">
        <v>1</v>
      </c>
      <c r="U165" s="1128">
        <v>1</v>
      </c>
      <c r="V165" s="1128">
        <v>1</v>
      </c>
      <c r="W165" s="1128">
        <v>1</v>
      </c>
      <c r="X165" s="1128">
        <v>1</v>
      </c>
      <c r="Y165" s="1128">
        <v>1</v>
      </c>
      <c r="Z165" s="1128">
        <v>1</v>
      </c>
      <c r="AA165" s="1128">
        <v>1</v>
      </c>
    </row>
    <row r="166" spans="1:27" s="1724" customFormat="1" ht="15">
      <c r="A166" s="8206"/>
      <c r="B166" s="1974" t="s">
        <v>269</v>
      </c>
      <c r="C166" s="1975" t="str">
        <f ca="1">CELL("nomfichier")</f>
        <v>D:\Données\1.UPRT\0-UPRT.fait\1-UPRT.FR-SITE-WEB\ff-fiches-fabrications\ff.fiches.fabrication.2023\ffr.restaurant.2023\[ff.REPERTOIRE.600.LIGNES.15.xlsx]Differents.postits.FR.EN.ES</v>
      </c>
      <c r="D166" s="1975"/>
      <c r="E166" s="1975"/>
      <c r="F166" s="1975"/>
      <c r="G166" s="1975"/>
      <c r="H166" s="1975"/>
      <c r="I166" s="1975"/>
      <c r="J166" s="1975"/>
      <c r="K166" s="1975"/>
      <c r="L166" s="1976"/>
      <c r="M166" s="1788" t="s">
        <v>1</v>
      </c>
      <c r="N166" s="1788"/>
      <c r="O166" s="1744"/>
      <c r="P166" s="1744"/>
      <c r="Q166" s="1744"/>
      <c r="R166" s="1128">
        <v>1</v>
      </c>
      <c r="S166" s="1128">
        <v>1</v>
      </c>
      <c r="T166" s="1128">
        <v>1</v>
      </c>
      <c r="U166" s="1128">
        <v>1</v>
      </c>
      <c r="V166" s="1128">
        <v>1</v>
      </c>
      <c r="W166" s="1128">
        <v>1</v>
      </c>
      <c r="X166" s="1128">
        <v>1</v>
      </c>
      <c r="Y166" s="1128">
        <v>1</v>
      </c>
      <c r="Z166" s="1128">
        <v>1</v>
      </c>
      <c r="AA166" s="1128">
        <v>1</v>
      </c>
    </row>
    <row r="167" spans="1:27" s="1724" customFormat="1" ht="16.5" thickBot="1">
      <c r="A167" s="8207"/>
      <c r="B167" s="1977" t="s">
        <v>3197</v>
      </c>
      <c r="C167" s="1978"/>
      <c r="D167" s="1978"/>
      <c r="E167" s="1978"/>
      <c r="F167" s="1978"/>
      <c r="G167" s="1978"/>
      <c r="H167" s="1978"/>
      <c r="I167" s="1978"/>
      <c r="J167" s="1978"/>
      <c r="K167" s="1978"/>
      <c r="L167" s="1979"/>
      <c r="M167" s="1788"/>
      <c r="N167" s="1788"/>
      <c r="O167" s="1744"/>
      <c r="P167" s="1744"/>
      <c r="Q167" s="1744"/>
      <c r="R167" s="1128">
        <v>1</v>
      </c>
      <c r="S167" s="1128">
        <v>1</v>
      </c>
      <c r="T167" s="1128">
        <v>1</v>
      </c>
      <c r="U167" s="1128">
        <v>1</v>
      </c>
      <c r="V167" s="1128">
        <v>1</v>
      </c>
      <c r="W167" s="1128">
        <v>1</v>
      </c>
      <c r="X167" s="1128">
        <v>1</v>
      </c>
      <c r="Y167" s="1128">
        <v>1</v>
      </c>
      <c r="Z167" s="1128">
        <v>1</v>
      </c>
      <c r="AA167" s="1128">
        <v>1</v>
      </c>
    </row>
    <row r="168" spans="1:27" s="1724" customFormat="1" thickBot="1">
      <c r="A168" s="1744"/>
      <c r="B168" s="1778"/>
      <c r="C168" s="1778"/>
      <c r="D168" s="1778"/>
      <c r="E168" s="1778"/>
      <c r="F168" s="1778"/>
      <c r="G168" s="1778"/>
      <c r="H168" s="1745"/>
      <c r="I168" s="1788"/>
      <c r="J168" s="1788"/>
      <c r="K168" s="1789"/>
      <c r="L168" s="1789"/>
      <c r="M168" s="1788"/>
      <c r="N168" s="1788"/>
      <c r="O168" s="1744"/>
      <c r="P168" s="1744"/>
      <c r="Q168" s="1744"/>
      <c r="R168" s="1128">
        <v>1</v>
      </c>
      <c r="S168" s="1128">
        <v>1</v>
      </c>
      <c r="T168" s="1128">
        <v>1</v>
      </c>
      <c r="U168" s="1128">
        <v>1</v>
      </c>
      <c r="V168" s="1128">
        <v>1</v>
      </c>
      <c r="W168" s="1128">
        <v>1</v>
      </c>
      <c r="X168" s="1128">
        <v>1</v>
      </c>
      <c r="Y168" s="1128">
        <v>1</v>
      </c>
      <c r="Z168" s="1128">
        <v>1</v>
      </c>
      <c r="AA168" s="1128">
        <v>1</v>
      </c>
    </row>
    <row r="169" spans="1:27" s="1724" customFormat="1" ht="23.25">
      <c r="A169" s="1946" t="s">
        <v>252</v>
      </c>
      <c r="B169" s="8203" t="s">
        <v>3077</v>
      </c>
      <c r="C169" s="8204"/>
      <c r="D169" s="8204"/>
      <c r="E169" s="8204"/>
      <c r="F169" s="8204"/>
      <c r="G169" s="8204"/>
      <c r="H169" s="8204"/>
      <c r="I169" s="8204"/>
      <c r="J169" s="8204"/>
      <c r="K169" s="8205"/>
      <c r="L169" s="1789"/>
      <c r="M169" s="1788"/>
      <c r="N169" s="1788"/>
      <c r="O169" s="1744"/>
      <c r="P169" s="1744"/>
      <c r="Q169" s="1744"/>
      <c r="R169" s="1128">
        <v>1</v>
      </c>
      <c r="S169" s="1128">
        <v>1</v>
      </c>
      <c r="T169" s="1128">
        <v>1</v>
      </c>
      <c r="U169" s="1128">
        <v>1</v>
      </c>
      <c r="V169" s="1128">
        <v>1</v>
      </c>
      <c r="W169" s="1128">
        <v>1</v>
      </c>
      <c r="X169" s="1128">
        <v>1</v>
      </c>
      <c r="Y169" s="1128">
        <v>1</v>
      </c>
      <c r="Z169" s="1128">
        <v>1</v>
      </c>
      <c r="AA169" s="1128">
        <v>1</v>
      </c>
    </row>
    <row r="170" spans="1:27" s="1724" customFormat="1" ht="23.25">
      <c r="A170" s="8206" t="str">
        <f>B169</f>
        <v>Nombre de contenants au poids avec la fonction MODULO</v>
      </c>
      <c r="B170" s="1947" t="str">
        <f>ADDRESS(ROW(),COLUMN(),4)</f>
        <v>B170</v>
      </c>
      <c r="C170" s="1948" t="s">
        <v>750</v>
      </c>
      <c r="D170" s="1949"/>
      <c r="E170" s="1949"/>
      <c r="F170" s="1949"/>
      <c r="G170" s="1949"/>
      <c r="H170" s="1949"/>
      <c r="I170" s="1950"/>
      <c r="J170" s="1951" t="str">
        <f ca="1">MID(CELL("filename",B170),SEARCH("[",CELL("filename",B170))+1,SEARCH("]",CELL("filename",B170))-SEARCH("[",CELL("filename",B170))-1)</f>
        <v>ff.REPERTOIRE.600.LIGNES.15.xlsx</v>
      </c>
      <c r="K170" s="1952">
        <v>5</v>
      </c>
      <c r="L170" s="1789"/>
      <c r="M170" s="1788"/>
      <c r="N170" s="1788"/>
      <c r="O170" s="1744"/>
      <c r="P170" s="1744"/>
      <c r="Q170" s="1744"/>
      <c r="R170" s="1128">
        <v>1</v>
      </c>
      <c r="S170" s="1128">
        <v>1</v>
      </c>
      <c r="T170" s="1128">
        <v>1</v>
      </c>
      <c r="U170" s="1128">
        <v>1</v>
      </c>
      <c r="V170" s="1128">
        <v>1</v>
      </c>
      <c r="W170" s="1128">
        <v>1</v>
      </c>
      <c r="X170" s="1128">
        <v>1</v>
      </c>
      <c r="Y170" s="1128">
        <v>1</v>
      </c>
      <c r="Z170" s="1128">
        <v>1</v>
      </c>
      <c r="AA170" s="1128">
        <v>1</v>
      </c>
    </row>
    <row r="171" spans="1:27" s="1724" customFormat="1" ht="15">
      <c r="A171" s="8206"/>
      <c r="B171" s="1953"/>
      <c r="C171" s="1954"/>
      <c r="D171" s="1954"/>
      <c r="E171" s="1954"/>
      <c r="F171" s="1954"/>
      <c r="G171" s="1954"/>
      <c r="H171" s="1954"/>
      <c r="I171" s="1954"/>
      <c r="J171" s="1954"/>
      <c r="K171" s="1955"/>
      <c r="L171" s="1789"/>
      <c r="M171" s="1788"/>
      <c r="N171" s="1788"/>
      <c r="O171" s="1744"/>
      <c r="P171" s="1744"/>
      <c r="Q171" s="1744"/>
      <c r="R171" s="1128">
        <v>1</v>
      </c>
      <c r="S171" s="1128">
        <v>1</v>
      </c>
      <c r="T171" s="1128">
        <v>1</v>
      </c>
      <c r="U171" s="1128">
        <v>1</v>
      </c>
      <c r="V171" s="1128">
        <v>1</v>
      </c>
      <c r="W171" s="1128">
        <v>1</v>
      </c>
      <c r="X171" s="1128">
        <v>1</v>
      </c>
      <c r="Y171" s="1128">
        <v>1</v>
      </c>
      <c r="Z171" s="1128">
        <v>1</v>
      </c>
      <c r="AA171" s="1128">
        <v>1</v>
      </c>
    </row>
    <row r="172" spans="1:27" s="1724" customFormat="1" ht="18">
      <c r="A172" s="8206"/>
      <c r="B172" s="1956"/>
      <c r="C172" s="1957"/>
      <c r="D172" s="1958" t="s">
        <v>3152</v>
      </c>
      <c r="E172" s="1980">
        <v>11</v>
      </c>
      <c r="F172" s="1961">
        <f>IF(MOD(E172,E174)&gt;MOD(E172,E174)/2,INT(E172/E174)+1,INT(E172/E174))</f>
        <v>37</v>
      </c>
      <c r="G172" s="1961" t="s">
        <v>3191</v>
      </c>
      <c r="H172" s="1961"/>
      <c r="I172" s="1961"/>
      <c r="J172" s="1961"/>
      <c r="K172" s="1955"/>
      <c r="L172" s="1789"/>
      <c r="M172" s="1788"/>
      <c r="N172" s="1788"/>
      <c r="O172" s="1744"/>
      <c r="P172" s="1744"/>
      <c r="Q172" s="1744"/>
      <c r="R172" s="1128">
        <v>1</v>
      </c>
      <c r="S172" s="1128">
        <v>1</v>
      </c>
      <c r="T172" s="1128">
        <v>1</v>
      </c>
      <c r="U172" s="1128">
        <v>1</v>
      </c>
      <c r="V172" s="1128">
        <v>1</v>
      </c>
      <c r="W172" s="1128">
        <v>1</v>
      </c>
      <c r="X172" s="1128">
        <v>1</v>
      </c>
      <c r="Y172" s="1128">
        <v>1</v>
      </c>
      <c r="Z172" s="1128">
        <v>1</v>
      </c>
      <c r="AA172" s="1128">
        <v>1</v>
      </c>
    </row>
    <row r="173" spans="1:27" s="1724" customFormat="1" ht="18">
      <c r="A173" s="8206"/>
      <c r="B173" s="1956"/>
      <c r="C173" s="1962"/>
      <c r="D173" s="1963"/>
      <c r="E173" s="1962"/>
      <c r="F173" s="1962"/>
      <c r="G173" s="1962"/>
      <c r="H173" s="1962"/>
      <c r="I173" s="1962"/>
      <c r="J173" s="1962"/>
      <c r="K173" s="1955"/>
      <c r="L173" s="1789"/>
      <c r="M173" s="1788"/>
      <c r="N173" s="1788"/>
      <c r="O173" s="1744"/>
      <c r="P173" s="1744"/>
      <c r="Q173" s="1744"/>
      <c r="R173" s="1128">
        <v>1</v>
      </c>
      <c r="S173" s="1128">
        <v>1</v>
      </c>
      <c r="T173" s="1128">
        <v>1</v>
      </c>
      <c r="U173" s="1128">
        <v>1</v>
      </c>
      <c r="V173" s="1128">
        <v>1</v>
      </c>
      <c r="W173" s="1128">
        <v>1</v>
      </c>
      <c r="X173" s="1128">
        <v>1</v>
      </c>
      <c r="Y173" s="1128">
        <v>1</v>
      </c>
      <c r="Z173" s="1128">
        <v>1</v>
      </c>
      <c r="AA173" s="1128">
        <v>1</v>
      </c>
    </row>
    <row r="174" spans="1:27" s="1724" customFormat="1" ht="18">
      <c r="A174" s="8206"/>
      <c r="B174" s="1956"/>
      <c r="C174" s="1964"/>
      <c r="D174" s="1965" t="s">
        <v>3186</v>
      </c>
      <c r="E174" s="5461">
        <v>0.3</v>
      </c>
      <c r="F174" s="1961">
        <f>INT(E172/E174)</f>
        <v>36</v>
      </c>
      <c r="G174" s="8212">
        <f>E174</f>
        <v>0.3</v>
      </c>
      <c r="H174" s="8212"/>
      <c r="I174" s="1962"/>
      <c r="J174" s="1981">
        <f>E174*F174</f>
        <v>10.799999999999999</v>
      </c>
      <c r="K174" s="1955"/>
      <c r="L174" s="1789"/>
      <c r="M174" s="1788"/>
      <c r="N174" s="1788"/>
      <c r="O174" s="1744"/>
      <c r="P174" s="1744"/>
      <c r="Q174" s="1744"/>
      <c r="R174" s="1128">
        <v>1</v>
      </c>
      <c r="S174" s="1128">
        <v>1</v>
      </c>
      <c r="T174" s="1128">
        <v>1</v>
      </c>
      <c r="U174" s="1128">
        <v>1</v>
      </c>
      <c r="V174" s="1128">
        <v>1</v>
      </c>
      <c r="W174" s="1128">
        <v>1</v>
      </c>
      <c r="X174" s="1128">
        <v>1</v>
      </c>
      <c r="Y174" s="1128">
        <v>1</v>
      </c>
      <c r="Z174" s="1128">
        <v>1</v>
      </c>
      <c r="AA174" s="1128">
        <v>1</v>
      </c>
    </row>
    <row r="175" spans="1:27" s="1724" customFormat="1" ht="18">
      <c r="A175" s="8206"/>
      <c r="B175" s="1969"/>
      <c r="C175" s="1962"/>
      <c r="D175" s="1962"/>
      <c r="E175" s="1962"/>
      <c r="F175" s="1982"/>
      <c r="G175" s="1970" t="str">
        <f>IF(J174=E172,"","Plus 1 de")</f>
        <v>Plus 1 de</v>
      </c>
      <c r="H175" s="1983">
        <f>IF(J174=E172,"",MOD(E172,E174))</f>
        <v>0.2000000000000004</v>
      </c>
      <c r="I175" s="1972"/>
      <c r="J175" s="1981">
        <f>IF(J174=E172,"",J174+H175)</f>
        <v>11</v>
      </c>
      <c r="K175" s="1955"/>
      <c r="L175" s="1789"/>
      <c r="M175" s="1788"/>
      <c r="N175" s="1788"/>
      <c r="O175" s="1744"/>
      <c r="P175" s="1744"/>
      <c r="Q175" s="1744"/>
      <c r="R175" s="1128">
        <v>1</v>
      </c>
      <c r="S175" s="1128">
        <v>1</v>
      </c>
      <c r="T175" s="1128">
        <v>1</v>
      </c>
      <c r="U175" s="1128">
        <v>1</v>
      </c>
      <c r="V175" s="1128">
        <v>1</v>
      </c>
      <c r="W175" s="1128">
        <v>1</v>
      </c>
      <c r="X175" s="1128">
        <v>1</v>
      </c>
      <c r="Y175" s="1128">
        <v>1</v>
      </c>
      <c r="Z175" s="1128">
        <v>1</v>
      </c>
      <c r="AA175" s="1128">
        <v>1</v>
      </c>
    </row>
    <row r="176" spans="1:27" s="1724" customFormat="1" ht="15">
      <c r="A176" s="8206"/>
      <c r="B176" s="8208" t="s">
        <v>697</v>
      </c>
      <c r="C176" s="8209"/>
      <c r="D176" s="8209"/>
      <c r="E176" s="8209"/>
      <c r="F176" s="8209"/>
      <c r="G176" s="8209"/>
      <c r="H176" s="8209"/>
      <c r="I176" s="8209"/>
      <c r="J176" s="8209"/>
      <c r="K176" s="1955"/>
      <c r="L176" s="1789"/>
      <c r="M176" s="1788"/>
      <c r="N176" s="1788"/>
      <c r="O176" s="1744"/>
      <c r="P176" s="1744"/>
      <c r="Q176" s="1744"/>
      <c r="R176" s="1128">
        <v>1</v>
      </c>
      <c r="S176" s="1128">
        <v>1</v>
      </c>
      <c r="T176" s="1128">
        <v>1</v>
      </c>
      <c r="U176" s="1128">
        <v>1</v>
      </c>
      <c r="V176" s="1128">
        <v>1</v>
      </c>
      <c r="W176" s="1128">
        <v>1</v>
      </c>
      <c r="X176" s="1128">
        <v>1</v>
      </c>
      <c r="Y176" s="1128">
        <v>1</v>
      </c>
      <c r="Z176" s="1128">
        <v>1</v>
      </c>
      <c r="AA176" s="1128">
        <v>1</v>
      </c>
    </row>
    <row r="177" spans="1:27" s="1724" customFormat="1">
      <c r="A177" s="8206"/>
      <c r="B177" s="8213" t="s">
        <v>60</v>
      </c>
      <c r="C177" s="8214"/>
      <c r="D177" s="8214"/>
      <c r="E177" s="8214"/>
      <c r="F177" s="8214"/>
      <c r="G177" s="8214"/>
      <c r="H177" s="8214"/>
      <c r="I177" s="8214"/>
      <c r="J177" s="8214"/>
      <c r="K177" s="8215"/>
      <c r="L177" s="1789"/>
      <c r="M177" s="1788"/>
      <c r="N177" s="1788"/>
      <c r="O177" s="1744"/>
      <c r="P177" s="1744"/>
      <c r="Q177" s="1744"/>
      <c r="R177" s="1128">
        <v>1</v>
      </c>
      <c r="S177" s="1128">
        <v>1</v>
      </c>
      <c r="T177" s="1128">
        <v>1</v>
      </c>
      <c r="U177" s="1128">
        <v>1</v>
      </c>
      <c r="V177" s="1128">
        <v>1</v>
      </c>
      <c r="W177" s="1128">
        <v>1</v>
      </c>
      <c r="X177" s="1128">
        <v>1</v>
      </c>
      <c r="Y177" s="1128">
        <v>1</v>
      </c>
      <c r="Z177" s="1128">
        <v>1</v>
      </c>
      <c r="AA177" s="1128">
        <v>1</v>
      </c>
    </row>
    <row r="178" spans="1:27" s="1724" customFormat="1">
      <c r="A178" s="8206"/>
      <c r="B178" s="1984" t="s">
        <v>3174</v>
      </c>
      <c r="C178" s="1985"/>
      <c r="D178" s="1985"/>
      <c r="E178" s="1985"/>
      <c r="F178" s="1985"/>
      <c r="G178" s="1985"/>
      <c r="H178" s="1985"/>
      <c r="I178" s="1985"/>
      <c r="J178" s="1985"/>
      <c r="K178" s="1955"/>
      <c r="L178" s="1789"/>
      <c r="M178" s="1788"/>
      <c r="N178" s="1788"/>
      <c r="O178" s="1744"/>
      <c r="P178" s="1744"/>
      <c r="Q178" s="1744"/>
      <c r="R178" s="1128">
        <v>1</v>
      </c>
      <c r="S178" s="1128">
        <v>1</v>
      </c>
      <c r="T178" s="1128">
        <v>1</v>
      </c>
      <c r="U178" s="1128">
        <v>1</v>
      </c>
      <c r="V178" s="1128">
        <v>1</v>
      </c>
      <c r="W178" s="1128">
        <v>1</v>
      </c>
      <c r="X178" s="1128">
        <v>1</v>
      </c>
      <c r="Y178" s="1128">
        <v>1</v>
      </c>
      <c r="Z178" s="1128">
        <v>1</v>
      </c>
      <c r="AA178" s="1128">
        <v>1</v>
      </c>
    </row>
    <row r="179" spans="1:27" s="1724" customFormat="1">
      <c r="A179" s="8206"/>
      <c r="B179" s="1860" t="s">
        <v>3175</v>
      </c>
      <c r="C179" s="1986"/>
      <c r="D179" s="1986"/>
      <c r="E179" s="1986"/>
      <c r="F179" s="1986"/>
      <c r="G179" s="1986"/>
      <c r="H179" s="1986"/>
      <c r="I179" s="1986"/>
      <c r="J179" s="1986"/>
      <c r="K179" s="1987"/>
      <c r="L179" s="1789"/>
      <c r="M179" s="1788"/>
      <c r="N179" s="1788"/>
      <c r="O179" s="1744"/>
      <c r="P179" s="1744"/>
      <c r="Q179" s="1744"/>
      <c r="R179" s="1128">
        <v>1</v>
      </c>
      <c r="S179" s="1128">
        <v>1</v>
      </c>
      <c r="T179" s="1128">
        <v>1</v>
      </c>
      <c r="U179" s="1128">
        <v>1</v>
      </c>
      <c r="V179" s="1128">
        <v>1</v>
      </c>
      <c r="W179" s="1128">
        <v>1</v>
      </c>
      <c r="X179" s="1128">
        <v>1</v>
      </c>
      <c r="Y179" s="1128">
        <v>1</v>
      </c>
      <c r="Z179" s="1128">
        <v>1</v>
      </c>
      <c r="AA179" s="1128">
        <v>1</v>
      </c>
    </row>
    <row r="180" spans="1:27" s="1724" customFormat="1" ht="15">
      <c r="A180" s="8206"/>
      <c r="B180" s="1974" t="s">
        <v>269</v>
      </c>
      <c r="C180" s="1975" t="str">
        <f ca="1">CELL("nomfichier")</f>
        <v>D:\Données\1.UPRT\0-UPRT.fait\1-UPRT.FR-SITE-WEB\ff-fiches-fabrications\ff.fiches.fabrication.2023\ffr.restaurant.2023\[ff.REPERTOIRE.600.LIGNES.15.xlsx]Differents.postits.FR.EN.ES</v>
      </c>
      <c r="D180" s="1975"/>
      <c r="E180" s="1975"/>
      <c r="F180" s="1975"/>
      <c r="G180" s="1975"/>
      <c r="H180" s="1975"/>
      <c r="I180" s="1975"/>
      <c r="J180" s="1975"/>
      <c r="K180" s="1976"/>
      <c r="L180" s="1789"/>
      <c r="M180" s="1788"/>
      <c r="N180" s="1788"/>
      <c r="O180" s="1744"/>
      <c r="P180" s="1744"/>
      <c r="Q180" s="1744"/>
      <c r="R180" s="1128">
        <v>1</v>
      </c>
      <c r="S180" s="1128">
        <v>1</v>
      </c>
      <c r="T180" s="1128">
        <v>1</v>
      </c>
      <c r="U180" s="1128">
        <v>1</v>
      </c>
      <c r="V180" s="1128">
        <v>1</v>
      </c>
      <c r="W180" s="1128">
        <v>1</v>
      </c>
      <c r="X180" s="1128">
        <v>1</v>
      </c>
      <c r="Y180" s="1128">
        <v>1</v>
      </c>
      <c r="Z180" s="1128">
        <v>1</v>
      </c>
      <c r="AA180" s="1128">
        <v>1</v>
      </c>
    </row>
    <row r="181" spans="1:27" s="1724" customFormat="1" ht="16.5" thickBot="1">
      <c r="A181" s="8207"/>
      <c r="B181" s="1977" t="s">
        <v>3197</v>
      </c>
      <c r="C181" s="1978"/>
      <c r="D181" s="1978"/>
      <c r="E181" s="1978"/>
      <c r="F181" s="1978"/>
      <c r="G181" s="1978"/>
      <c r="H181" s="1978"/>
      <c r="I181" s="1978"/>
      <c r="J181" s="1978"/>
      <c r="K181" s="1979"/>
      <c r="L181" s="1789"/>
      <c r="M181" s="1788"/>
      <c r="N181" s="1788"/>
      <c r="O181" s="1744"/>
      <c r="P181" s="1744"/>
      <c r="Q181" s="1744"/>
      <c r="R181" s="1128">
        <v>1</v>
      </c>
      <c r="S181" s="1128">
        <v>1</v>
      </c>
      <c r="T181" s="1128">
        <v>1</v>
      </c>
      <c r="U181" s="1128">
        <v>1</v>
      </c>
      <c r="V181" s="1128">
        <v>1</v>
      </c>
      <c r="W181" s="1128">
        <v>1</v>
      </c>
      <c r="X181" s="1128">
        <v>1</v>
      </c>
      <c r="Y181" s="1128">
        <v>1</v>
      </c>
      <c r="Z181" s="1128">
        <v>1</v>
      </c>
      <c r="AA181" s="1128">
        <v>1</v>
      </c>
    </row>
    <row r="182" spans="1:27" s="1724" customFormat="1" ht="15">
      <c r="A182" s="1744"/>
      <c r="B182" s="1778"/>
      <c r="C182" s="1778"/>
      <c r="D182" s="1778"/>
      <c r="E182" s="1778"/>
      <c r="F182" s="1778"/>
      <c r="G182" s="1778"/>
      <c r="H182" s="1745"/>
      <c r="I182" s="1788"/>
      <c r="J182" s="1788"/>
      <c r="K182" s="1789"/>
      <c r="L182" s="1789"/>
      <c r="M182" s="1788"/>
      <c r="N182" s="1788"/>
      <c r="O182" s="1744"/>
      <c r="P182" s="1744"/>
      <c r="Q182" s="1744"/>
      <c r="R182" s="1128">
        <v>1</v>
      </c>
      <c r="S182" s="1128">
        <v>1</v>
      </c>
      <c r="T182" s="1128">
        <v>1</v>
      </c>
      <c r="U182" s="1128">
        <v>1</v>
      </c>
      <c r="V182" s="1128">
        <v>1</v>
      </c>
      <c r="W182" s="1128">
        <v>1</v>
      </c>
      <c r="X182" s="1128">
        <v>1</v>
      </c>
      <c r="Y182" s="1128">
        <v>1</v>
      </c>
      <c r="Z182" s="1128">
        <v>1</v>
      </c>
      <c r="AA182" s="1128">
        <v>1</v>
      </c>
    </row>
    <row r="183" spans="1:27" s="1724" customFormat="1" thickBot="1">
      <c r="A183" s="1744"/>
      <c r="B183" s="1778"/>
      <c r="C183" s="1778"/>
      <c r="D183" s="1778"/>
      <c r="E183" s="1778"/>
      <c r="F183" s="1778"/>
      <c r="G183" s="1778"/>
      <c r="H183" s="1745"/>
      <c r="I183" s="1788"/>
      <c r="J183" s="1788"/>
      <c r="K183" s="1789"/>
      <c r="L183" s="1789"/>
      <c r="M183" s="1788"/>
      <c r="N183" s="1788"/>
      <c r="O183" s="1744"/>
      <c r="P183" s="1744"/>
      <c r="Q183" s="1744"/>
      <c r="R183" s="1128">
        <v>1</v>
      </c>
      <c r="S183" s="1128">
        <v>1</v>
      </c>
      <c r="T183" s="1128">
        <v>1</v>
      </c>
      <c r="U183" s="1128">
        <v>1</v>
      </c>
      <c r="V183" s="1128">
        <v>1</v>
      </c>
      <c r="W183" s="1128">
        <v>1</v>
      </c>
      <c r="X183" s="1128">
        <v>1</v>
      </c>
      <c r="Y183" s="1128">
        <v>1</v>
      </c>
      <c r="Z183" s="1128">
        <v>1</v>
      </c>
      <c r="AA183" s="1128">
        <v>1</v>
      </c>
    </row>
    <row r="184" spans="1:27" s="1724" customFormat="1">
      <c r="A184" s="1875" t="s">
        <v>252</v>
      </c>
      <c r="B184" s="8149" t="s">
        <v>3068</v>
      </c>
      <c r="C184" s="8150"/>
      <c r="D184" s="8150"/>
      <c r="E184" s="8151"/>
      <c r="F184" s="536"/>
      <c r="G184" s="1988" t="s">
        <v>252</v>
      </c>
      <c r="H184" s="8152" t="s">
        <v>3068</v>
      </c>
      <c r="I184" s="8153"/>
      <c r="J184" s="8153"/>
      <c r="K184" s="8153"/>
      <c r="L184" s="8153"/>
      <c r="M184" s="8153"/>
      <c r="N184" s="8153"/>
      <c r="O184" s="8153"/>
      <c r="P184" s="8153"/>
      <c r="Q184" s="8153"/>
      <c r="R184" s="8153"/>
      <c r="S184" s="8154"/>
      <c r="T184" s="1128">
        <v>1</v>
      </c>
      <c r="U184" s="1128">
        <v>1</v>
      </c>
      <c r="V184" s="1128">
        <v>1</v>
      </c>
      <c r="W184" s="1128">
        <v>1</v>
      </c>
      <c r="X184" s="1128">
        <v>1</v>
      </c>
      <c r="Y184" s="1128">
        <v>1</v>
      </c>
      <c r="Z184" s="1128">
        <v>1</v>
      </c>
      <c r="AA184" s="1128">
        <v>1</v>
      </c>
    </row>
    <row r="185" spans="1:27" s="1724" customFormat="1" ht="30.75" customHeight="1">
      <c r="A185" s="8155" t="str">
        <f>B184</f>
        <v>CONDITIONNEMENT AU POIDS</v>
      </c>
      <c r="B185" s="1804" t="str">
        <f>ADDRESS(ROW(),COLUMN(),4)</f>
        <v>B185</v>
      </c>
      <c r="C185" s="1886" t="s">
        <v>750</v>
      </c>
      <c r="D185" s="1887"/>
      <c r="E185" s="1989"/>
      <c r="F185" s="536"/>
      <c r="G185" s="8155" t="str">
        <f>H184</f>
        <v>CONDITIONNEMENT AU POIDS</v>
      </c>
      <c r="H185" s="1990" t="str">
        <f>ADDRESS(ROW(),COLUMN(),4)</f>
        <v>H185</v>
      </c>
      <c r="I185" s="1758" t="s">
        <v>750</v>
      </c>
      <c r="J185" s="1753"/>
      <c r="K185" s="1765"/>
      <c r="L185" s="1765"/>
      <c r="M185" s="1765"/>
      <c r="N185" s="1765"/>
      <c r="O185" s="1765"/>
      <c r="P185" s="1991"/>
      <c r="Q185" s="1992" t="s">
        <v>3198</v>
      </c>
      <c r="R185" s="1993">
        <f>M186+Q186</f>
        <v>2</v>
      </c>
      <c r="S185" s="1994"/>
      <c r="T185" s="1128">
        <v>1</v>
      </c>
      <c r="U185" s="1128">
        <v>1</v>
      </c>
      <c r="V185" s="1128">
        <v>1</v>
      </c>
      <c r="W185" s="1128">
        <v>1</v>
      </c>
      <c r="X185" s="1128">
        <v>1</v>
      </c>
      <c r="Y185" s="1128">
        <v>1</v>
      </c>
      <c r="Z185" s="1128">
        <v>1</v>
      </c>
      <c r="AA185" s="1128">
        <v>1</v>
      </c>
    </row>
    <row r="186" spans="1:27" s="1724" customFormat="1" ht="15.75" customHeight="1">
      <c r="A186" s="8155"/>
      <c r="B186" s="8176" t="s">
        <v>3199</v>
      </c>
      <c r="C186" s="8177" t="s">
        <v>3200</v>
      </c>
      <c r="D186" s="8178" t="s">
        <v>3201</v>
      </c>
      <c r="E186" s="8173" t="s">
        <v>3202</v>
      </c>
      <c r="F186" s="536"/>
      <c r="G186" s="8155"/>
      <c r="H186" s="8176" t="s">
        <v>3199</v>
      </c>
      <c r="I186" s="8177" t="s">
        <v>3200</v>
      </c>
      <c r="J186" s="8178" t="s">
        <v>3201</v>
      </c>
      <c r="K186" s="8193" t="s">
        <v>3202</v>
      </c>
      <c r="L186" s="8195" t="s">
        <v>3187</v>
      </c>
      <c r="M186" s="8198">
        <f>IF(ISBLANK(I188),0,INT(H188/I188))</f>
        <v>1</v>
      </c>
      <c r="N186" s="1995" t="s">
        <v>186</v>
      </c>
      <c r="O186" s="1996" t="s">
        <v>3203</v>
      </c>
      <c r="P186" s="8199" t="s">
        <v>3204</v>
      </c>
      <c r="Q186" s="8198">
        <f>IF(ISBLANK(I188),0,ROUNDUP((H188/I188)-INT(H188/I188),0))</f>
        <v>1</v>
      </c>
      <c r="R186" s="1995" t="s">
        <v>186</v>
      </c>
      <c r="S186" s="1997" t="s">
        <v>3203</v>
      </c>
      <c r="T186" s="1128">
        <v>1</v>
      </c>
      <c r="U186" s="1128">
        <v>1</v>
      </c>
      <c r="V186" s="1128">
        <v>1</v>
      </c>
      <c r="W186" s="1128">
        <v>1</v>
      </c>
      <c r="X186" s="1128">
        <v>1</v>
      </c>
      <c r="Y186" s="1128">
        <v>1</v>
      </c>
      <c r="Z186" s="1128">
        <v>1</v>
      </c>
      <c r="AA186" s="1128">
        <v>1</v>
      </c>
    </row>
    <row r="187" spans="1:27" s="1724" customFormat="1">
      <c r="A187" s="8155"/>
      <c r="B187" s="8160"/>
      <c r="C187" s="8163"/>
      <c r="D187" s="8165"/>
      <c r="E187" s="8173"/>
      <c r="F187" s="536"/>
      <c r="G187" s="8155"/>
      <c r="H187" s="8161"/>
      <c r="I187" s="8163"/>
      <c r="J187" s="8165"/>
      <c r="K187" s="8194"/>
      <c r="L187" s="8196"/>
      <c r="M187" s="8120"/>
      <c r="N187" s="8179">
        <f>IF(J188*I188&gt;K188,0,J188*I188)</f>
        <v>0.84000000000000008</v>
      </c>
      <c r="O187" s="8174">
        <f>M186*I188</f>
        <v>12</v>
      </c>
      <c r="P187" s="8200"/>
      <c r="Q187" s="8120"/>
      <c r="R187" s="8179">
        <f>(J188*H188)-(J188*I188)*M186</f>
        <v>7.0000000000000062E-2</v>
      </c>
      <c r="S187" s="8181">
        <f>IF(J188=0,0,R187/J188)</f>
        <v>1.0000000000000009</v>
      </c>
      <c r="T187" s="1128">
        <v>1</v>
      </c>
      <c r="U187" s="1128">
        <v>1</v>
      </c>
      <c r="V187" s="1128">
        <v>1</v>
      </c>
      <c r="W187" s="1128">
        <v>1</v>
      </c>
      <c r="X187" s="1128">
        <v>1</v>
      </c>
      <c r="Y187" s="1128">
        <v>1</v>
      </c>
      <c r="Z187" s="1128">
        <v>1</v>
      </c>
      <c r="AA187" s="1128">
        <v>1</v>
      </c>
    </row>
    <row r="188" spans="1:27" s="1724" customFormat="1">
      <c r="A188" s="8155"/>
      <c r="B188" s="2000">
        <v>13</v>
      </c>
      <c r="C188" s="2001">
        <v>12</v>
      </c>
      <c r="D188" s="2002">
        <v>7.0000000000000007E-2</v>
      </c>
      <c r="E188" s="2003">
        <f>D188*B188</f>
        <v>0.91000000000000014</v>
      </c>
      <c r="F188" s="536"/>
      <c r="G188" s="8155"/>
      <c r="H188" s="2000">
        <v>13</v>
      </c>
      <c r="I188" s="2001">
        <v>12</v>
      </c>
      <c r="J188" s="2002">
        <v>7.0000000000000007E-2</v>
      </c>
      <c r="K188" s="2004">
        <f>J188*H188</f>
        <v>0.91000000000000014</v>
      </c>
      <c r="L188" s="8197"/>
      <c r="M188" s="2005" t="s">
        <v>3205</v>
      </c>
      <c r="N188" s="8180"/>
      <c r="O188" s="8202"/>
      <c r="P188" s="8201"/>
      <c r="Q188" s="2005" t="s">
        <v>3205</v>
      </c>
      <c r="R188" s="8180"/>
      <c r="S188" s="8182"/>
      <c r="T188" s="1128">
        <v>1</v>
      </c>
      <c r="U188" s="1128">
        <v>1</v>
      </c>
      <c r="V188" s="1128">
        <v>1</v>
      </c>
      <c r="W188" s="1128">
        <v>1</v>
      </c>
      <c r="X188" s="1128">
        <v>1</v>
      </c>
      <c r="Y188" s="1128">
        <v>1</v>
      </c>
      <c r="Z188" s="1128">
        <v>1</v>
      </c>
      <c r="AA188" s="1128">
        <v>1</v>
      </c>
    </row>
    <row r="189" spans="1:27" s="1724" customFormat="1" ht="16.5" thickBot="1">
      <c r="A189" s="8155"/>
      <c r="B189" s="8183" t="s">
        <v>3187</v>
      </c>
      <c r="C189" s="2007">
        <f>IF(ISBLANK(C188),0,INT(B188/C188))</f>
        <v>1</v>
      </c>
      <c r="D189" s="2008" t="s">
        <v>186</v>
      </c>
      <c r="E189" s="2009" t="s">
        <v>3203</v>
      </c>
      <c r="F189" s="536"/>
      <c r="G189" s="8155"/>
      <c r="H189" s="8185" t="s">
        <v>60</v>
      </c>
      <c r="I189" s="8186"/>
      <c r="J189" s="8186"/>
      <c r="K189" s="8187"/>
      <c r="L189" s="2010"/>
      <c r="M189" s="644"/>
      <c r="N189" s="644"/>
      <c r="O189" s="644"/>
      <c r="P189" s="644"/>
      <c r="Q189" s="644"/>
      <c r="R189" s="644"/>
      <c r="S189" s="645"/>
      <c r="T189" s="1128">
        <v>1</v>
      </c>
      <c r="U189" s="1128">
        <v>1</v>
      </c>
      <c r="V189" s="1128">
        <v>1</v>
      </c>
      <c r="W189" s="1128">
        <v>1</v>
      </c>
      <c r="X189" s="1128">
        <v>1</v>
      </c>
      <c r="Y189" s="1128">
        <v>1</v>
      </c>
      <c r="Z189" s="1128">
        <v>1</v>
      </c>
      <c r="AA189" s="1128">
        <v>1</v>
      </c>
    </row>
    <row r="190" spans="1:27" s="1724" customFormat="1">
      <c r="A190" s="8155"/>
      <c r="B190" s="8184"/>
      <c r="C190" s="2005" t="s">
        <v>3205</v>
      </c>
      <c r="D190" s="2006">
        <f>IF(D188*C188&gt;E188,0,D188*C188)</f>
        <v>0.84000000000000008</v>
      </c>
      <c r="E190" s="2011">
        <f>C189*C188</f>
        <v>12</v>
      </c>
      <c r="F190" s="536"/>
      <c r="G190" s="536"/>
      <c r="H190" s="536"/>
      <c r="I190" s="536"/>
      <c r="J190" s="536"/>
      <c r="K190" s="536"/>
      <c r="L190" s="536"/>
      <c r="M190" s="536"/>
      <c r="N190" s="536"/>
      <c r="O190" s="536"/>
      <c r="P190" s="536"/>
      <c r="Q190" s="536"/>
      <c r="R190" s="530"/>
      <c r="S190" s="530"/>
      <c r="T190" s="1128">
        <v>1</v>
      </c>
      <c r="U190" s="1128">
        <v>1</v>
      </c>
      <c r="V190" s="1128">
        <v>1</v>
      </c>
      <c r="W190" s="1128">
        <v>1</v>
      </c>
      <c r="X190" s="1128">
        <v>1</v>
      </c>
      <c r="Y190" s="1128">
        <v>1</v>
      </c>
      <c r="Z190" s="1128">
        <v>1</v>
      </c>
      <c r="AA190" s="1128">
        <v>1</v>
      </c>
    </row>
    <row r="191" spans="1:27" s="1724" customFormat="1">
      <c r="A191" s="8155"/>
      <c r="B191" s="8183" t="s">
        <v>3204</v>
      </c>
      <c r="C191" s="2007">
        <f>IF(ISBLANK(C188),0,ROUNDUP((B188/C188)-INT(B188/C188),0))</f>
        <v>1</v>
      </c>
      <c r="D191" s="2008" t="s">
        <v>186</v>
      </c>
      <c r="E191" s="2009" t="s">
        <v>3203</v>
      </c>
      <c r="F191" s="536"/>
      <c r="G191" s="536"/>
      <c r="H191" s="536"/>
      <c r="I191" s="536"/>
      <c r="J191" s="536"/>
      <c r="K191" s="536"/>
      <c r="L191" s="536"/>
      <c r="M191" s="536"/>
      <c r="N191" s="536"/>
      <c r="O191" s="536"/>
      <c r="P191" s="536"/>
      <c r="Q191" s="536"/>
      <c r="R191" s="530"/>
      <c r="S191" s="530"/>
      <c r="T191" s="1128">
        <v>1</v>
      </c>
      <c r="U191" s="1128">
        <v>1</v>
      </c>
      <c r="V191" s="1128">
        <v>1</v>
      </c>
      <c r="W191" s="1128">
        <v>1</v>
      </c>
      <c r="X191" s="1128">
        <v>1</v>
      </c>
      <c r="Y191" s="1128">
        <v>1</v>
      </c>
      <c r="Z191" s="1128">
        <v>1</v>
      </c>
      <c r="AA191" s="1128">
        <v>1</v>
      </c>
    </row>
    <row r="192" spans="1:27" s="1724" customFormat="1">
      <c r="A192" s="8155"/>
      <c r="B192" s="8188"/>
      <c r="C192" s="2005" t="s">
        <v>3205</v>
      </c>
      <c r="D192" s="1998">
        <f>(D188*B188)-(D188*C188)*C189</f>
        <v>7.0000000000000062E-2</v>
      </c>
      <c r="E192" s="1999">
        <f>IF(D188=0,0,D192/D188)</f>
        <v>1.0000000000000009</v>
      </c>
      <c r="F192" s="536"/>
      <c r="G192" s="536"/>
      <c r="H192" s="536"/>
      <c r="I192" s="536"/>
      <c r="J192" s="536"/>
      <c r="K192" s="536"/>
      <c r="L192" s="536"/>
      <c r="M192" s="536"/>
      <c r="N192" s="536"/>
      <c r="O192" s="536"/>
      <c r="P192" s="536"/>
      <c r="Q192" s="536"/>
      <c r="R192" s="530"/>
      <c r="S192" s="530"/>
      <c r="T192" s="1128">
        <v>1</v>
      </c>
      <c r="U192" s="1128">
        <v>1</v>
      </c>
      <c r="V192" s="1128">
        <v>1</v>
      </c>
      <c r="W192" s="1128">
        <v>1</v>
      </c>
      <c r="X192" s="1128">
        <v>1</v>
      </c>
      <c r="Y192" s="1128">
        <v>1</v>
      </c>
      <c r="Z192" s="1128">
        <v>1</v>
      </c>
      <c r="AA192" s="1128">
        <v>1</v>
      </c>
    </row>
    <row r="193" spans="1:27" s="1724" customFormat="1" ht="16.5" thickBot="1">
      <c r="A193" s="8155"/>
      <c r="B193" s="2013"/>
      <c r="C193" s="2014" t="s">
        <v>3198</v>
      </c>
      <c r="D193" s="2015">
        <f>C189+C191</f>
        <v>2</v>
      </c>
      <c r="E193" s="2016"/>
      <c r="F193" s="536"/>
      <c r="G193" s="536"/>
      <c r="H193" s="536"/>
      <c r="I193" s="536"/>
      <c r="J193" s="536"/>
      <c r="K193" s="536"/>
      <c r="L193" s="536"/>
      <c r="M193" s="536"/>
      <c r="N193" s="536"/>
      <c r="O193" s="536"/>
      <c r="P193" s="536"/>
      <c r="Q193" s="536"/>
      <c r="R193" s="530"/>
      <c r="S193" s="530"/>
      <c r="T193" s="1128">
        <v>1</v>
      </c>
      <c r="U193" s="1128">
        <v>1</v>
      </c>
      <c r="V193" s="1128">
        <v>1</v>
      </c>
      <c r="W193" s="1128">
        <v>1</v>
      </c>
      <c r="X193" s="1128">
        <v>1</v>
      </c>
      <c r="Y193" s="1128">
        <v>1</v>
      </c>
      <c r="Z193" s="1128">
        <v>1</v>
      </c>
      <c r="AA193" s="1128">
        <v>1</v>
      </c>
    </row>
    <row r="194" spans="1:27" s="1724" customFormat="1">
      <c r="A194" s="8155"/>
      <c r="B194" s="8189" t="s">
        <v>3174</v>
      </c>
      <c r="C194" s="8190"/>
      <c r="D194" s="8190"/>
      <c r="E194" s="8191"/>
      <c r="F194" s="536"/>
      <c r="G194" s="536"/>
      <c r="H194" s="536"/>
      <c r="I194" s="536"/>
      <c r="J194" s="536"/>
      <c r="K194" s="536"/>
      <c r="L194" s="536"/>
      <c r="M194" s="536"/>
      <c r="N194" s="536"/>
      <c r="O194" s="536"/>
      <c r="P194" s="536"/>
      <c r="Q194" s="536"/>
      <c r="R194" s="530"/>
      <c r="S194" s="530"/>
      <c r="T194" s="1128">
        <v>1</v>
      </c>
      <c r="U194" s="1128">
        <v>1</v>
      </c>
      <c r="V194" s="1128">
        <v>1</v>
      </c>
      <c r="W194" s="1128">
        <v>1</v>
      </c>
      <c r="X194" s="1128">
        <v>1</v>
      </c>
      <c r="Y194" s="1128">
        <v>1</v>
      </c>
      <c r="Z194" s="1128">
        <v>1</v>
      </c>
      <c r="AA194" s="1128">
        <v>1</v>
      </c>
    </row>
    <row r="195" spans="1:27" s="1724" customFormat="1">
      <c r="A195" s="8155"/>
      <c r="B195" s="8192"/>
      <c r="C195" s="7551"/>
      <c r="D195" s="7551"/>
      <c r="E195" s="7552"/>
      <c r="F195" s="536"/>
      <c r="G195" s="536"/>
      <c r="H195" s="536"/>
      <c r="I195" s="536"/>
      <c r="J195" s="536"/>
      <c r="K195" s="536"/>
      <c r="L195" s="536"/>
      <c r="M195" s="536"/>
      <c r="N195" s="536"/>
      <c r="O195" s="536"/>
      <c r="P195" s="536"/>
      <c r="Q195" s="536"/>
      <c r="R195" s="530"/>
      <c r="S195" s="530"/>
      <c r="T195" s="1128">
        <v>1</v>
      </c>
      <c r="U195" s="1128">
        <v>1</v>
      </c>
      <c r="V195" s="1128">
        <v>1</v>
      </c>
      <c r="W195" s="1128">
        <v>1</v>
      </c>
      <c r="X195" s="1128">
        <v>1</v>
      </c>
      <c r="Y195" s="1128">
        <v>1</v>
      </c>
      <c r="Z195" s="1128">
        <v>1</v>
      </c>
      <c r="AA195" s="1128">
        <v>1</v>
      </c>
    </row>
    <row r="196" spans="1:27" s="1724" customFormat="1">
      <c r="A196" s="8155"/>
      <c r="B196" s="8145" t="s">
        <v>3175</v>
      </c>
      <c r="C196" s="7538"/>
      <c r="D196" s="7538"/>
      <c r="E196" s="7539"/>
      <c r="F196" s="536"/>
      <c r="G196" s="536"/>
      <c r="H196" s="536"/>
      <c r="I196" s="536"/>
      <c r="J196" s="536"/>
      <c r="K196" s="536"/>
      <c r="L196" s="536"/>
      <c r="M196" s="536"/>
      <c r="N196" s="536"/>
      <c r="O196" s="536"/>
      <c r="P196" s="536"/>
      <c r="Q196" s="536"/>
      <c r="R196" s="530"/>
      <c r="S196" s="530"/>
      <c r="T196" s="1128">
        <v>1</v>
      </c>
      <c r="U196" s="1128">
        <v>1</v>
      </c>
      <c r="V196" s="1128">
        <v>1</v>
      </c>
      <c r="W196" s="1128">
        <v>1</v>
      </c>
      <c r="X196" s="1128">
        <v>1</v>
      </c>
      <c r="Y196" s="1128">
        <v>1</v>
      </c>
      <c r="Z196" s="1128">
        <v>1</v>
      </c>
      <c r="AA196" s="1128">
        <v>1</v>
      </c>
    </row>
    <row r="197" spans="1:27" s="1724" customFormat="1" ht="16.5" thickBot="1">
      <c r="A197" s="8155"/>
      <c r="B197" s="8146"/>
      <c r="C197" s="8147"/>
      <c r="D197" s="8147"/>
      <c r="E197" s="8148"/>
      <c r="F197" s="536"/>
      <c r="G197" s="536"/>
      <c r="H197" s="536"/>
      <c r="I197" s="536"/>
      <c r="J197" s="536"/>
      <c r="K197" s="536"/>
      <c r="L197" s="536"/>
      <c r="M197" s="536"/>
      <c r="N197" s="536"/>
      <c r="O197" s="536"/>
      <c r="P197" s="536"/>
      <c r="Q197" s="536"/>
      <c r="R197" s="530"/>
      <c r="S197" s="530"/>
      <c r="T197" s="1128">
        <v>1</v>
      </c>
      <c r="U197" s="1128">
        <v>1</v>
      </c>
      <c r="V197" s="1128">
        <v>1</v>
      </c>
      <c r="W197" s="1128">
        <v>1</v>
      </c>
      <c r="X197" s="1128">
        <v>1</v>
      </c>
      <c r="Y197" s="1128">
        <v>1</v>
      </c>
      <c r="Z197" s="1128">
        <v>1</v>
      </c>
      <c r="AA197" s="1128">
        <v>1</v>
      </c>
    </row>
    <row r="198" spans="1:27" s="1724" customFormat="1" thickBot="1">
      <c r="A198" s="1744"/>
      <c r="B198" s="1778"/>
      <c r="C198" s="1778"/>
      <c r="D198" s="1778"/>
      <c r="E198" s="1778"/>
      <c r="F198" s="1778"/>
      <c r="G198" s="1778"/>
      <c r="H198" s="1745"/>
      <c r="I198" s="1788"/>
      <c r="J198" s="1788"/>
      <c r="K198" s="1789"/>
      <c r="L198" s="1789"/>
      <c r="M198" s="1788"/>
      <c r="N198" s="1788"/>
      <c r="O198" s="1744"/>
      <c r="P198" s="1744"/>
      <c r="Q198" s="1744"/>
      <c r="T198" s="1128">
        <v>1</v>
      </c>
      <c r="U198" s="1128">
        <v>1</v>
      </c>
      <c r="V198" s="1128">
        <v>1</v>
      </c>
      <c r="W198" s="1128">
        <v>1</v>
      </c>
      <c r="X198" s="1128">
        <v>1</v>
      </c>
      <c r="Y198" s="1128">
        <v>1</v>
      </c>
      <c r="Z198" s="1128">
        <v>1</v>
      </c>
      <c r="AA198" s="1128">
        <v>1</v>
      </c>
    </row>
    <row r="199" spans="1:27" s="1724" customFormat="1">
      <c r="A199" s="1875" t="s">
        <v>252</v>
      </c>
      <c r="B199" s="8149" t="s">
        <v>3070</v>
      </c>
      <c r="C199" s="8150"/>
      <c r="D199" s="8150"/>
      <c r="E199" s="8151"/>
      <c r="F199" s="536"/>
      <c r="G199" s="1988" t="s">
        <v>252</v>
      </c>
      <c r="H199" s="8152" t="s">
        <v>3070</v>
      </c>
      <c r="I199" s="8153"/>
      <c r="J199" s="8153"/>
      <c r="K199" s="8153"/>
      <c r="L199" s="8153"/>
      <c r="M199" s="8153"/>
      <c r="N199" s="8153"/>
      <c r="O199" s="8153"/>
      <c r="P199" s="8153"/>
      <c r="Q199" s="8153"/>
      <c r="R199" s="8153"/>
      <c r="S199" s="8154"/>
      <c r="T199" s="1128">
        <v>1</v>
      </c>
      <c r="U199" s="1128">
        <v>1</v>
      </c>
      <c r="V199" s="1128">
        <v>1</v>
      </c>
      <c r="W199" s="1128">
        <v>1</v>
      </c>
      <c r="X199" s="1128">
        <v>1</v>
      </c>
      <c r="Y199" s="1128">
        <v>1</v>
      </c>
      <c r="Z199" s="1128">
        <v>1</v>
      </c>
      <c r="AA199" s="1128">
        <v>1</v>
      </c>
    </row>
    <row r="200" spans="1:27" s="1724" customFormat="1" ht="30" customHeight="1">
      <c r="A200" s="8155" t="str">
        <f>B199</f>
        <v>CONDITIONNEMENT A LA PIÈCE</v>
      </c>
      <c r="B200" s="1783" t="str">
        <f>ADDRESS(ROW(),COLUMN(),4)</f>
        <v>B200</v>
      </c>
      <c r="C200" s="824" t="s">
        <v>750</v>
      </c>
      <c r="D200" s="1772"/>
      <c r="E200" s="2017"/>
      <c r="F200" s="536"/>
      <c r="G200" s="8155" t="str">
        <f>H199</f>
        <v>CONDITIONNEMENT A LA PIÈCE</v>
      </c>
      <c r="H200" s="1783" t="str">
        <f>ADDRESS(ROW(),COLUMN(),4)</f>
        <v>H200</v>
      </c>
      <c r="I200" s="824" t="s">
        <v>750</v>
      </c>
      <c r="J200" s="1772"/>
      <c r="K200" s="2018"/>
      <c r="L200" s="2019" t="s">
        <v>3206</v>
      </c>
      <c r="M200" s="8156" t="s">
        <v>3207</v>
      </c>
      <c r="N200" s="8156"/>
      <c r="O200" s="8157"/>
      <c r="P200" s="2020"/>
      <c r="Q200" s="2021" t="s">
        <v>3198</v>
      </c>
      <c r="R200" s="2022">
        <f>M201+Q201</f>
        <v>24</v>
      </c>
      <c r="S200" s="2023"/>
      <c r="T200" s="1128">
        <v>1</v>
      </c>
      <c r="U200" s="1128">
        <v>1</v>
      </c>
      <c r="V200" s="1128">
        <v>1</v>
      </c>
      <c r="W200" s="1128">
        <v>1</v>
      </c>
      <c r="X200" s="1128">
        <v>1</v>
      </c>
      <c r="Y200" s="1128">
        <v>1</v>
      </c>
      <c r="Z200" s="1128">
        <v>1</v>
      </c>
      <c r="AA200" s="1128">
        <v>1</v>
      </c>
    </row>
    <row r="201" spans="1:27" s="1724" customFormat="1" ht="15.75" customHeight="1">
      <c r="A201" s="8155"/>
      <c r="B201" s="2024" t="s">
        <v>3206</v>
      </c>
      <c r="C201" s="8158" t="s">
        <v>3207</v>
      </c>
      <c r="D201" s="8158"/>
      <c r="E201" s="8159"/>
      <c r="F201" s="536"/>
      <c r="G201" s="8155"/>
      <c r="H201" s="8160" t="s">
        <v>3199</v>
      </c>
      <c r="I201" s="8162" t="s">
        <v>3200</v>
      </c>
      <c r="J201" s="8164" t="s">
        <v>3208</v>
      </c>
      <c r="K201" s="8166" t="s">
        <v>37</v>
      </c>
      <c r="L201" s="8167" t="s">
        <v>3187</v>
      </c>
      <c r="M201" s="8120">
        <f>IF(ISBLANK(I203),0,INT(H203/I203))</f>
        <v>23</v>
      </c>
      <c r="N201" s="2025" t="s">
        <v>186</v>
      </c>
      <c r="O201" s="2026" t="s">
        <v>3203</v>
      </c>
      <c r="P201" s="8169" t="s">
        <v>3204</v>
      </c>
      <c r="Q201" s="8120">
        <f>IF(ISBLANK(I203),0,ROUNDUP((H203/I203)-INT(H203/I203),0))</f>
        <v>1</v>
      </c>
      <c r="R201" s="2025" t="s">
        <v>186</v>
      </c>
      <c r="S201" s="2027" t="s">
        <v>3203</v>
      </c>
      <c r="T201" s="1128">
        <v>1</v>
      </c>
      <c r="U201" s="1128">
        <v>1</v>
      </c>
      <c r="V201" s="1128">
        <v>1</v>
      </c>
      <c r="W201" s="1128">
        <v>1</v>
      </c>
      <c r="X201" s="1128">
        <v>1</v>
      </c>
      <c r="Y201" s="1128">
        <v>1</v>
      </c>
      <c r="Z201" s="1128">
        <v>1</v>
      </c>
      <c r="AA201" s="1128">
        <v>1</v>
      </c>
    </row>
    <row r="202" spans="1:27" s="1724" customFormat="1" ht="24.75" customHeight="1">
      <c r="A202" s="8155"/>
      <c r="B202" s="8170" t="s">
        <v>3199</v>
      </c>
      <c r="C202" s="8171" t="s">
        <v>3200</v>
      </c>
      <c r="D202" s="8164" t="s">
        <v>3208</v>
      </c>
      <c r="E202" s="8173" t="s">
        <v>37</v>
      </c>
      <c r="F202" s="536"/>
      <c r="G202" s="8155"/>
      <c r="H202" s="8161"/>
      <c r="I202" s="8163"/>
      <c r="J202" s="8165"/>
      <c r="K202" s="8166"/>
      <c r="L202" s="8167"/>
      <c r="M202" s="8120"/>
      <c r="N202" s="2028">
        <f>IF(J203*I203&gt;K203,0,J203*I203)</f>
        <v>9</v>
      </c>
      <c r="O202" s="8174">
        <f>M201*I203</f>
        <v>69</v>
      </c>
      <c r="P202" s="8169"/>
      <c r="Q202" s="8120"/>
      <c r="R202" s="2028">
        <f>(J203*H203)-(J203*I203)*M201</f>
        <v>3</v>
      </c>
      <c r="S202" s="2029">
        <f>IF(J203=0,0,R202/J203)</f>
        <v>1</v>
      </c>
      <c r="T202" s="1128">
        <v>1</v>
      </c>
      <c r="U202" s="1128">
        <v>1</v>
      </c>
      <c r="V202" s="1128">
        <v>1</v>
      </c>
      <c r="W202" s="1128">
        <v>1</v>
      </c>
      <c r="X202" s="1128">
        <v>1</v>
      </c>
      <c r="Y202" s="1128">
        <v>1</v>
      </c>
      <c r="Z202" s="1128">
        <v>1</v>
      </c>
      <c r="AA202" s="1128">
        <v>1</v>
      </c>
    </row>
    <row r="203" spans="1:27" s="1724" customFormat="1" ht="17.25" customHeight="1">
      <c r="A203" s="8155"/>
      <c r="B203" s="8161"/>
      <c r="C203" s="8172"/>
      <c r="D203" s="8165"/>
      <c r="E203" s="8173"/>
      <c r="F203" s="536"/>
      <c r="G203" s="8155"/>
      <c r="H203" s="2000">
        <v>70</v>
      </c>
      <c r="I203" s="2030">
        <v>3</v>
      </c>
      <c r="J203" s="2031">
        <v>3</v>
      </c>
      <c r="K203" s="2032">
        <f>J203*H203</f>
        <v>210</v>
      </c>
      <c r="L203" s="8168"/>
      <c r="M203" s="2033" t="s">
        <v>3205</v>
      </c>
      <c r="N203" s="2034" t="str">
        <f>M200</f>
        <v>Tranches</v>
      </c>
      <c r="O203" s="8175"/>
      <c r="P203" s="2035"/>
      <c r="Q203" s="2033" t="s">
        <v>3205</v>
      </c>
      <c r="R203" s="2034" t="str">
        <f>M200</f>
        <v>Tranches</v>
      </c>
      <c r="S203" s="2036"/>
      <c r="T203" s="1128">
        <v>1</v>
      </c>
      <c r="U203" s="1128">
        <v>1</v>
      </c>
      <c r="V203" s="1128">
        <v>1</v>
      </c>
      <c r="W203" s="1128">
        <v>1</v>
      </c>
      <c r="X203" s="1128">
        <v>1</v>
      </c>
      <c r="Y203" s="1128">
        <v>1</v>
      </c>
      <c r="Z203" s="1128">
        <v>1</v>
      </c>
      <c r="AA203" s="1128">
        <v>1</v>
      </c>
    </row>
    <row r="204" spans="1:27" s="1724" customFormat="1" ht="17.25" customHeight="1">
      <c r="A204" s="8155"/>
      <c r="B204" s="2000">
        <v>70</v>
      </c>
      <c r="C204" s="2001">
        <v>3</v>
      </c>
      <c r="D204" s="2037">
        <v>3</v>
      </c>
      <c r="E204" s="2038">
        <f>D204*B204</f>
        <v>210</v>
      </c>
      <c r="F204" s="536"/>
      <c r="G204" s="8155"/>
      <c r="H204" s="8114" t="s">
        <v>60</v>
      </c>
      <c r="I204" s="8115"/>
      <c r="J204" s="8115"/>
      <c r="K204" s="8115"/>
      <c r="L204" s="2039" t="s">
        <v>3206</v>
      </c>
      <c r="M204" s="2040" t="s">
        <v>3209</v>
      </c>
      <c r="N204" s="536"/>
      <c r="O204" s="2041"/>
      <c r="P204" s="2042"/>
      <c r="Q204" s="2043"/>
      <c r="R204" s="2043"/>
      <c r="S204" s="2044"/>
      <c r="T204" s="1128">
        <v>1</v>
      </c>
      <c r="U204" s="1128">
        <v>1</v>
      </c>
      <c r="V204" s="1128">
        <v>1</v>
      </c>
      <c r="W204" s="1128">
        <v>1</v>
      </c>
      <c r="X204" s="1128">
        <v>1</v>
      </c>
      <c r="Y204" s="1128">
        <v>1</v>
      </c>
      <c r="Z204" s="1128">
        <v>1</v>
      </c>
      <c r="AA204" s="1128">
        <v>1</v>
      </c>
    </row>
    <row r="205" spans="1:27" s="1724" customFormat="1" ht="17.25" customHeight="1" thickBot="1">
      <c r="A205" s="8155"/>
      <c r="B205" s="8116" t="s">
        <v>3187</v>
      </c>
      <c r="C205" s="8119">
        <f>IF(ISBLANK(C204),0,INT(B204/C204))</f>
        <v>23</v>
      </c>
      <c r="D205" s="2008" t="s">
        <v>186</v>
      </c>
      <c r="E205" s="2009" t="s">
        <v>3203</v>
      </c>
      <c r="F205" s="536"/>
      <c r="G205" s="8155"/>
      <c r="H205" s="2045" t="s">
        <v>3210</v>
      </c>
      <c r="I205" s="644"/>
      <c r="J205" s="644"/>
      <c r="K205" s="644"/>
      <c r="L205" s="2046" t="s">
        <v>3211</v>
      </c>
      <c r="M205" s="2047"/>
      <c r="N205" s="2047"/>
      <c r="O205" s="2048"/>
      <c r="P205" s="2049"/>
      <c r="Q205" s="2049"/>
      <c r="R205" s="2049"/>
      <c r="S205" s="2050"/>
      <c r="T205" s="1128">
        <v>1</v>
      </c>
      <c r="U205" s="1128">
        <v>1</v>
      </c>
      <c r="V205" s="1128">
        <v>1</v>
      </c>
      <c r="W205" s="1128">
        <v>1</v>
      </c>
      <c r="X205" s="1128">
        <v>1</v>
      </c>
      <c r="Y205" s="1128">
        <v>1</v>
      </c>
      <c r="Z205" s="1128">
        <v>1</v>
      </c>
      <c r="AA205" s="1128">
        <v>1</v>
      </c>
    </row>
    <row r="206" spans="1:27" s="1724" customFormat="1" ht="17.25" customHeight="1">
      <c r="A206" s="8155"/>
      <c r="B206" s="8117"/>
      <c r="C206" s="8120"/>
      <c r="D206" s="2028">
        <f>IF(D204*C204&gt;E204,0,D204*C204)</f>
        <v>9</v>
      </c>
      <c r="E206" s="8121">
        <f>C205*C204</f>
        <v>69</v>
      </c>
      <c r="F206" s="536"/>
      <c r="G206" s="536"/>
      <c r="H206" s="536"/>
      <c r="I206" s="536"/>
      <c r="J206" s="536"/>
      <c r="K206" s="536"/>
      <c r="L206" s="536"/>
      <c r="M206" s="536"/>
      <c r="N206" s="536"/>
      <c r="O206" s="536"/>
      <c r="P206" s="536"/>
      <c r="Q206" s="536"/>
      <c r="R206" s="1128">
        <v>1</v>
      </c>
      <c r="S206" s="1128">
        <v>1</v>
      </c>
      <c r="T206" s="1128">
        <v>1</v>
      </c>
      <c r="U206" s="1128">
        <v>1</v>
      </c>
      <c r="V206" s="1128">
        <v>1</v>
      </c>
      <c r="W206" s="1128">
        <v>1</v>
      </c>
      <c r="X206" s="1128">
        <v>1</v>
      </c>
      <c r="Y206" s="1128">
        <v>1</v>
      </c>
      <c r="Z206" s="1128">
        <v>1</v>
      </c>
      <c r="AA206" s="1128">
        <v>1</v>
      </c>
    </row>
    <row r="207" spans="1:27" s="1724" customFormat="1" ht="17.25" customHeight="1">
      <c r="A207" s="8155"/>
      <c r="B207" s="8118"/>
      <c r="C207" s="2005" t="s">
        <v>3205</v>
      </c>
      <c r="D207" s="2051" t="str">
        <f>C201</f>
        <v>Tranches</v>
      </c>
      <c r="E207" s="8122"/>
      <c r="F207" s="536"/>
      <c r="G207" s="536"/>
      <c r="H207" s="536"/>
      <c r="I207" s="536"/>
      <c r="J207" s="536"/>
      <c r="K207" s="536"/>
      <c r="L207" s="536"/>
      <c r="M207" s="536"/>
      <c r="N207" s="536"/>
      <c r="O207" s="536"/>
      <c r="P207" s="536"/>
      <c r="Q207" s="536"/>
      <c r="R207" s="1128">
        <v>1</v>
      </c>
      <c r="S207" s="1128">
        <v>1</v>
      </c>
      <c r="T207" s="1128">
        <v>1</v>
      </c>
      <c r="U207" s="1128">
        <v>1</v>
      </c>
      <c r="V207" s="1128">
        <v>1</v>
      </c>
      <c r="W207" s="1128">
        <v>1</v>
      </c>
      <c r="X207" s="1128">
        <v>1</v>
      </c>
      <c r="Y207" s="1128">
        <v>1</v>
      </c>
      <c r="Z207" s="1128">
        <v>1</v>
      </c>
      <c r="AA207" s="1128">
        <v>1</v>
      </c>
    </row>
    <row r="208" spans="1:27" s="1724" customFormat="1" ht="17.25" customHeight="1">
      <c r="A208" s="8155"/>
      <c r="B208" s="8123" t="s">
        <v>3204</v>
      </c>
      <c r="C208" s="8119">
        <f>IF(ISBLANK(C204),0,ROUNDUP((B204/C204)-INT(B204/C204),0))</f>
        <v>1</v>
      </c>
      <c r="D208" s="2008" t="s">
        <v>186</v>
      </c>
      <c r="E208" s="2009" t="s">
        <v>3203</v>
      </c>
      <c r="F208" s="536"/>
      <c r="G208" s="536"/>
      <c r="H208" s="536"/>
      <c r="I208" s="536"/>
      <c r="J208" s="536"/>
      <c r="K208" s="536"/>
      <c r="L208" s="536"/>
      <c r="M208" s="536"/>
      <c r="N208" s="536"/>
      <c r="O208" s="536"/>
      <c r="P208" s="536"/>
      <c r="Q208" s="536"/>
      <c r="R208" s="1128">
        <v>1</v>
      </c>
      <c r="S208" s="1128">
        <v>1</v>
      </c>
      <c r="T208" s="1128">
        <v>1</v>
      </c>
      <c r="U208" s="1128">
        <v>1</v>
      </c>
      <c r="V208" s="1128">
        <v>1</v>
      </c>
      <c r="W208" s="1128">
        <v>1</v>
      </c>
      <c r="X208" s="1128">
        <v>1</v>
      </c>
      <c r="Y208" s="1128">
        <v>1</v>
      </c>
      <c r="Z208" s="1128">
        <v>1</v>
      </c>
      <c r="AA208" s="1128">
        <v>1</v>
      </c>
    </row>
    <row r="209" spans="1:27" s="1724" customFormat="1" ht="17.25" customHeight="1">
      <c r="A209" s="8155"/>
      <c r="B209" s="8124"/>
      <c r="C209" s="8120"/>
      <c r="D209" s="2028">
        <f>(D204*B204)-(D204*C204)*C205</f>
        <v>3</v>
      </c>
      <c r="E209" s="2029">
        <f>IF(D204=0,0,D209/D204)</f>
        <v>1</v>
      </c>
      <c r="F209" s="536"/>
      <c r="G209" s="536"/>
      <c r="H209" s="536"/>
      <c r="I209" s="536"/>
      <c r="J209" s="536"/>
      <c r="K209" s="536"/>
      <c r="L209" s="536"/>
      <c r="M209" s="536"/>
      <c r="N209" s="536"/>
      <c r="O209" s="536"/>
      <c r="P209" s="536"/>
      <c r="Q209" s="536"/>
      <c r="R209" s="1128">
        <v>1</v>
      </c>
      <c r="S209" s="1128">
        <v>1</v>
      </c>
      <c r="T209" s="1128">
        <v>1</v>
      </c>
      <c r="U209" s="1128">
        <v>1</v>
      </c>
      <c r="V209" s="1128">
        <v>1</v>
      </c>
      <c r="W209" s="1128">
        <v>1</v>
      </c>
      <c r="X209" s="1128">
        <v>1</v>
      </c>
      <c r="Y209" s="1128">
        <v>1</v>
      </c>
      <c r="Z209" s="1128">
        <v>1</v>
      </c>
      <c r="AA209" s="1128">
        <v>1</v>
      </c>
    </row>
    <row r="210" spans="1:27" s="1724" customFormat="1" ht="17.25" customHeight="1">
      <c r="A210" s="8155"/>
      <c r="B210" s="2012"/>
      <c r="C210" s="2005" t="s">
        <v>3205</v>
      </c>
      <c r="D210" s="2051" t="str">
        <f>C201</f>
        <v>Tranches</v>
      </c>
      <c r="E210" s="2036"/>
      <c r="F210" s="536"/>
      <c r="G210" s="536"/>
      <c r="H210" s="536"/>
      <c r="I210" s="536"/>
      <c r="J210" s="536"/>
      <c r="K210" s="536"/>
      <c r="L210" s="536"/>
      <c r="M210" s="536"/>
      <c r="N210" s="536"/>
      <c r="O210" s="536"/>
      <c r="P210" s="536"/>
      <c r="Q210" s="536"/>
      <c r="R210" s="1128">
        <v>1</v>
      </c>
      <c r="S210" s="1128">
        <v>1</v>
      </c>
      <c r="T210" s="1128">
        <v>1</v>
      </c>
      <c r="U210" s="1128">
        <v>1</v>
      </c>
      <c r="V210" s="1128">
        <v>1</v>
      </c>
      <c r="W210" s="1128">
        <v>1</v>
      </c>
      <c r="X210" s="1128">
        <v>1</v>
      </c>
      <c r="Y210" s="1128">
        <v>1</v>
      </c>
      <c r="Z210" s="1128">
        <v>1</v>
      </c>
      <c r="AA210" s="1128">
        <v>1</v>
      </c>
    </row>
    <row r="211" spans="1:27" s="1724" customFormat="1">
      <c r="A211" s="8155"/>
      <c r="B211" s="2052"/>
      <c r="C211" s="2053" t="s">
        <v>3198</v>
      </c>
      <c r="D211" s="2054">
        <f>C205+C208</f>
        <v>24</v>
      </c>
      <c r="E211" s="2055"/>
      <c r="F211" s="536"/>
      <c r="G211" s="536"/>
      <c r="H211" s="536"/>
      <c r="I211" s="536"/>
      <c r="J211" s="536"/>
      <c r="K211" s="536"/>
      <c r="L211" s="536"/>
      <c r="M211" s="536"/>
      <c r="N211" s="536"/>
      <c r="O211" s="536"/>
      <c r="P211" s="536"/>
      <c r="Q211" s="536"/>
      <c r="R211" s="1128">
        <v>1</v>
      </c>
      <c r="S211" s="1128">
        <v>1</v>
      </c>
      <c r="T211" s="1128">
        <v>1</v>
      </c>
      <c r="U211" s="1128">
        <v>1</v>
      </c>
      <c r="V211" s="1128">
        <v>1</v>
      </c>
      <c r="W211" s="1128">
        <v>1</v>
      </c>
      <c r="X211" s="1128">
        <v>1</v>
      </c>
      <c r="Y211" s="1128">
        <v>1</v>
      </c>
      <c r="Z211" s="1128">
        <v>1</v>
      </c>
      <c r="AA211" s="1128">
        <v>1</v>
      </c>
    </row>
    <row r="212" spans="1:27" s="1724" customFormat="1" ht="15.75" customHeight="1">
      <c r="A212" s="8155"/>
      <c r="B212" s="8114" t="s">
        <v>60</v>
      </c>
      <c r="C212" s="8115"/>
      <c r="D212" s="8115"/>
      <c r="E212" s="8138"/>
      <c r="F212" s="536"/>
      <c r="G212" s="536"/>
      <c r="H212" s="536"/>
      <c r="I212" s="536"/>
      <c r="J212" s="536"/>
      <c r="K212" s="536"/>
      <c r="L212" s="536"/>
      <c r="M212" s="536"/>
      <c r="N212" s="536"/>
      <c r="O212" s="536"/>
      <c r="P212" s="536"/>
      <c r="Q212" s="536"/>
      <c r="R212" s="1128">
        <v>1</v>
      </c>
      <c r="S212" s="1128">
        <v>1</v>
      </c>
      <c r="T212" s="1128">
        <v>1</v>
      </c>
      <c r="U212" s="1128">
        <v>1</v>
      </c>
      <c r="V212" s="1128">
        <v>1</v>
      </c>
      <c r="W212" s="1128">
        <v>1</v>
      </c>
      <c r="X212" s="1128">
        <v>1</v>
      </c>
      <c r="Y212" s="1128">
        <v>1</v>
      </c>
      <c r="Z212" s="1128">
        <v>1</v>
      </c>
      <c r="AA212" s="1128">
        <v>1</v>
      </c>
    </row>
    <row r="213" spans="1:27" s="1724" customFormat="1" ht="16.5" customHeight="1">
      <c r="A213" s="8155"/>
      <c r="B213" s="2056" t="s">
        <v>3206</v>
      </c>
      <c r="C213" s="536" t="s">
        <v>3209</v>
      </c>
      <c r="D213" s="536"/>
      <c r="E213" s="537"/>
      <c r="F213" s="536"/>
      <c r="G213" s="536"/>
      <c r="H213" s="536"/>
      <c r="I213" s="536"/>
      <c r="J213" s="536"/>
      <c r="K213" s="536"/>
      <c r="L213" s="536"/>
      <c r="M213" s="536"/>
      <c r="N213" s="536"/>
      <c r="O213" s="536"/>
      <c r="P213" s="536"/>
      <c r="Q213" s="536"/>
      <c r="R213" s="1128">
        <v>1</v>
      </c>
      <c r="S213" s="1128">
        <v>1</v>
      </c>
      <c r="T213" s="1128">
        <v>1</v>
      </c>
      <c r="U213" s="1128">
        <v>1</v>
      </c>
      <c r="V213" s="1128">
        <v>1</v>
      </c>
      <c r="W213" s="1128">
        <v>1</v>
      </c>
      <c r="X213" s="1128">
        <v>1</v>
      </c>
      <c r="Y213" s="1128">
        <v>1</v>
      </c>
      <c r="Z213" s="1128">
        <v>1</v>
      </c>
      <c r="AA213" s="1128">
        <v>1</v>
      </c>
    </row>
    <row r="214" spans="1:27" s="1724" customFormat="1">
      <c r="A214" s="8155"/>
      <c r="B214" s="2057" t="s">
        <v>3211</v>
      </c>
      <c r="C214" s="536"/>
      <c r="D214" s="536"/>
      <c r="E214" s="537"/>
      <c r="F214" s="536"/>
      <c r="G214" s="536"/>
      <c r="H214" s="536"/>
      <c r="I214" s="536"/>
      <c r="J214" s="536"/>
      <c r="K214" s="536"/>
      <c r="L214" s="536"/>
      <c r="M214" s="536"/>
      <c r="N214" s="536"/>
      <c r="O214" s="536"/>
      <c r="P214" s="536"/>
      <c r="Q214" s="536"/>
      <c r="R214" s="1128">
        <v>1</v>
      </c>
      <c r="S214" s="1128">
        <v>1</v>
      </c>
      <c r="T214" s="1128">
        <v>1</v>
      </c>
      <c r="U214" s="1128">
        <v>1</v>
      </c>
      <c r="V214" s="1128">
        <v>1</v>
      </c>
      <c r="W214" s="1128">
        <v>1</v>
      </c>
      <c r="X214" s="1128">
        <v>1</v>
      </c>
      <c r="Y214" s="1128">
        <v>1</v>
      </c>
      <c r="Z214" s="1128">
        <v>1</v>
      </c>
      <c r="AA214" s="1128">
        <v>1</v>
      </c>
    </row>
    <row r="215" spans="1:27" s="1724" customFormat="1" ht="16.5" thickBot="1">
      <c r="A215" s="8155"/>
      <c r="B215" s="2045" t="s">
        <v>3210</v>
      </c>
      <c r="C215" s="644"/>
      <c r="D215" s="644"/>
      <c r="E215" s="645"/>
      <c r="F215" s="536"/>
      <c r="G215" s="536"/>
      <c r="H215" s="536"/>
      <c r="I215" s="536"/>
      <c r="J215" s="536"/>
      <c r="K215" s="536"/>
      <c r="L215" s="536"/>
      <c r="M215" s="536"/>
      <c r="N215" s="536"/>
      <c r="O215" s="536"/>
      <c r="P215" s="536"/>
      <c r="Q215" s="536"/>
      <c r="R215" s="1128">
        <v>1</v>
      </c>
      <c r="S215" s="1128">
        <v>1</v>
      </c>
      <c r="T215" s="1128">
        <v>1</v>
      </c>
      <c r="U215" s="1128">
        <v>1</v>
      </c>
      <c r="V215" s="1128">
        <v>1</v>
      </c>
      <c r="W215" s="1128">
        <v>1</v>
      </c>
      <c r="X215" s="1128">
        <v>1</v>
      </c>
      <c r="Y215" s="1128">
        <v>1</v>
      </c>
      <c r="Z215" s="1128">
        <v>1</v>
      </c>
      <c r="AA215" s="1128">
        <v>1</v>
      </c>
    </row>
    <row r="216" spans="1:27" s="1724" customFormat="1" ht="15">
      <c r="A216" s="1744"/>
      <c r="B216" s="1778"/>
      <c r="C216" s="1778"/>
      <c r="D216" s="1778"/>
      <c r="E216" s="1778"/>
      <c r="F216" s="1778"/>
      <c r="G216" s="1778"/>
      <c r="H216" s="1745"/>
      <c r="I216" s="1788"/>
      <c r="J216" s="1788"/>
      <c r="K216" s="1789"/>
      <c r="L216" s="1789"/>
      <c r="M216" s="1788"/>
      <c r="N216" s="1788"/>
      <c r="O216" s="1744"/>
      <c r="P216" s="1744"/>
      <c r="Q216" s="1744"/>
      <c r="R216" s="1128">
        <v>1</v>
      </c>
      <c r="S216" s="1128">
        <v>1</v>
      </c>
      <c r="T216" s="1128">
        <v>1</v>
      </c>
      <c r="U216" s="1128">
        <v>1</v>
      </c>
      <c r="V216" s="1128">
        <v>1</v>
      </c>
      <c r="W216" s="1128">
        <v>1</v>
      </c>
      <c r="X216" s="1128">
        <v>1</v>
      </c>
      <c r="Y216" s="1128">
        <v>1</v>
      </c>
      <c r="Z216" s="1128">
        <v>1</v>
      </c>
      <c r="AA216" s="1128">
        <v>1</v>
      </c>
    </row>
    <row r="217" spans="1:27" s="1724" customFormat="1" thickBot="1">
      <c r="A217" s="1744"/>
      <c r="B217" s="1778"/>
      <c r="C217" s="1778"/>
      <c r="D217" s="1778"/>
      <c r="E217" s="1778"/>
      <c r="F217" s="1778"/>
      <c r="G217" s="1778"/>
      <c r="H217" s="1745"/>
      <c r="I217" s="1788"/>
      <c r="J217" s="1788"/>
      <c r="K217" s="1789"/>
      <c r="L217" s="1789"/>
      <c r="M217" s="1788"/>
      <c r="N217" s="1788"/>
      <c r="O217" s="1744"/>
      <c r="P217" s="1744"/>
      <c r="Q217" s="1744"/>
      <c r="R217" s="1128">
        <v>1</v>
      </c>
      <c r="S217" s="1128">
        <v>1</v>
      </c>
      <c r="X217" s="1128">
        <v>1</v>
      </c>
      <c r="Y217" s="1128">
        <v>1</v>
      </c>
      <c r="Z217" s="1128">
        <v>1</v>
      </c>
      <c r="AA217" s="1128">
        <v>1</v>
      </c>
    </row>
    <row r="218" spans="1:27" s="1724" customFormat="1" ht="26.25">
      <c r="A218" s="1988" t="s">
        <v>252</v>
      </c>
      <c r="B218" s="8139" t="s">
        <v>3069</v>
      </c>
      <c r="C218" s="8140"/>
      <c r="D218" s="8140"/>
      <c r="E218" s="8140"/>
      <c r="F218" s="8140"/>
      <c r="G218" s="8140"/>
      <c r="H218" s="8140"/>
      <c r="I218" s="8140"/>
      <c r="J218" s="8140"/>
      <c r="K218" s="8141"/>
      <c r="L218" s="1789"/>
      <c r="M218" s="1988" t="s">
        <v>252</v>
      </c>
      <c r="N218" s="8142" t="s">
        <v>3072</v>
      </c>
      <c r="O218" s="8143"/>
      <c r="P218" s="8143"/>
      <c r="Q218" s="8143"/>
      <c r="R218" s="8143"/>
      <c r="S218" s="8143"/>
      <c r="T218" s="8143"/>
      <c r="U218" s="8143"/>
      <c r="V218" s="8143"/>
      <c r="W218" s="8144"/>
      <c r="X218" s="1128">
        <v>1</v>
      </c>
      <c r="Y218" s="1128">
        <v>1</v>
      </c>
      <c r="Z218" s="1128">
        <v>1</v>
      </c>
      <c r="AA218" s="1128">
        <v>1</v>
      </c>
    </row>
    <row r="219" spans="1:27" s="1724" customFormat="1" ht="18.75" customHeight="1">
      <c r="A219" s="7976" t="str">
        <f>B218</f>
        <v>Gastronormes tableau N° 1</v>
      </c>
      <c r="B219" s="1783" t="str">
        <f>ADDRESS(ROW(),COLUMN(),4)</f>
        <v>B219</v>
      </c>
      <c r="C219" s="824" t="s">
        <v>750</v>
      </c>
      <c r="D219" s="1876"/>
      <c r="E219" s="1876"/>
      <c r="F219" s="1876"/>
      <c r="G219" s="1876"/>
      <c r="H219" s="1876"/>
      <c r="I219" s="1876"/>
      <c r="J219" s="1876"/>
      <c r="K219" s="1877"/>
      <c r="L219" s="1789"/>
      <c r="M219" s="7976" t="str">
        <f>N218</f>
        <v>Gastronormes tableau N° 2</v>
      </c>
      <c r="N219" s="1783" t="str">
        <f>ADDRESS(ROW(),COLUMN(),4)</f>
        <v>N219</v>
      </c>
      <c r="O219" s="824" t="s">
        <v>750</v>
      </c>
      <c r="P219" s="1876"/>
      <c r="Q219" s="1876"/>
      <c r="R219" s="1876"/>
      <c r="S219" s="1876"/>
      <c r="T219" s="1876"/>
      <c r="U219" s="1876"/>
      <c r="V219" s="1876"/>
      <c r="W219" s="1877"/>
      <c r="X219" s="1128">
        <v>1</v>
      </c>
      <c r="Y219" s="1128">
        <v>1</v>
      </c>
      <c r="Z219" s="1128">
        <v>1</v>
      </c>
      <c r="AA219" s="1128">
        <v>1</v>
      </c>
    </row>
    <row r="220" spans="1:27" s="1724" customFormat="1" ht="32.25" customHeight="1">
      <c r="A220" s="7976"/>
      <c r="B220" s="8094" t="s">
        <v>3212</v>
      </c>
      <c r="C220" s="8095"/>
      <c r="D220" s="8095"/>
      <c r="E220" s="8095"/>
      <c r="F220" s="8095"/>
      <c r="G220" s="2058"/>
      <c r="H220" s="2058"/>
      <c r="I220" s="2058"/>
      <c r="J220" s="2059"/>
      <c r="K220" s="2060" t="s">
        <v>3146</v>
      </c>
      <c r="L220" s="1789"/>
      <c r="M220" s="7976"/>
      <c r="N220" s="8098" t="s">
        <v>3213</v>
      </c>
      <c r="O220" s="8099"/>
      <c r="P220" s="8099"/>
      <c r="Q220" s="8099"/>
      <c r="R220" s="8099"/>
      <c r="S220" s="2061"/>
      <c r="T220" s="2061"/>
      <c r="U220" s="2061"/>
      <c r="V220" s="2062"/>
      <c r="W220" s="2063" t="s">
        <v>3146</v>
      </c>
      <c r="X220" s="1128">
        <v>1</v>
      </c>
      <c r="Y220" s="1128">
        <v>1</v>
      </c>
      <c r="Z220" s="1128">
        <v>1</v>
      </c>
      <c r="AA220" s="1128">
        <v>1</v>
      </c>
    </row>
    <row r="221" spans="1:27" s="1724" customFormat="1" ht="32.25">
      <c r="A221" s="7976"/>
      <c r="B221" s="8096"/>
      <c r="C221" s="8097"/>
      <c r="D221" s="8097"/>
      <c r="E221" s="8097"/>
      <c r="F221" s="8097"/>
      <c r="G221" s="2064"/>
      <c r="H221" s="2064"/>
      <c r="I221" s="2064"/>
      <c r="J221" s="2065"/>
      <c r="K221" s="2066" t="s">
        <v>3214</v>
      </c>
      <c r="L221" s="1789"/>
      <c r="M221" s="7976"/>
      <c r="N221" s="8100"/>
      <c r="O221" s="8101"/>
      <c r="P221" s="8101"/>
      <c r="Q221" s="8101"/>
      <c r="R221" s="8101"/>
      <c r="S221" s="2061"/>
      <c r="T221" s="2061"/>
      <c r="U221" s="2061"/>
      <c r="V221" s="2062"/>
      <c r="W221" s="2067" t="s">
        <v>3215</v>
      </c>
      <c r="X221" s="1128">
        <v>1</v>
      </c>
      <c r="Y221" s="1128">
        <v>1</v>
      </c>
      <c r="Z221" s="1128">
        <v>1</v>
      </c>
      <c r="AA221" s="1128">
        <v>1</v>
      </c>
    </row>
    <row r="222" spans="1:27" s="1724" customFormat="1" ht="21">
      <c r="A222" s="7976"/>
      <c r="B222" s="8102" t="s">
        <v>3147</v>
      </c>
      <c r="C222" s="8103"/>
      <c r="D222" s="8103"/>
      <c r="E222" s="8103"/>
      <c r="F222" s="8103"/>
      <c r="G222" s="8103"/>
      <c r="H222" s="8103"/>
      <c r="I222" s="8103"/>
      <c r="J222" s="8103"/>
      <c r="K222" s="8104"/>
      <c r="L222" s="1789"/>
      <c r="M222" s="7976"/>
      <c r="N222" s="8105" t="s">
        <v>3147</v>
      </c>
      <c r="O222" s="8106"/>
      <c r="P222" s="8106"/>
      <c r="Q222" s="8106"/>
      <c r="R222" s="8106"/>
      <c r="S222" s="8106"/>
      <c r="T222" s="8106"/>
      <c r="U222" s="8106"/>
      <c r="V222" s="8106"/>
      <c r="W222" s="8107"/>
      <c r="X222" s="1128">
        <v>1</v>
      </c>
      <c r="Y222" s="1128">
        <v>1</v>
      </c>
      <c r="Z222" s="1128">
        <v>1</v>
      </c>
      <c r="AA222" s="1128">
        <v>1</v>
      </c>
    </row>
    <row r="223" spans="1:27" s="1724" customFormat="1" ht="25.5">
      <c r="A223" s="7976"/>
      <c r="B223" s="8108" t="s">
        <v>3149</v>
      </c>
      <c r="C223" s="8109"/>
      <c r="D223" s="8109"/>
      <c r="E223" s="8110"/>
      <c r="F223" s="8125" t="s">
        <v>3071</v>
      </c>
      <c r="G223" s="8127" t="s">
        <v>3150</v>
      </c>
      <c r="H223" s="8128" t="s">
        <v>3216</v>
      </c>
      <c r="I223" s="8129"/>
      <c r="J223" s="8125" t="s">
        <v>3217</v>
      </c>
      <c r="K223" s="8132"/>
      <c r="L223" s="1789"/>
      <c r="M223" s="7976"/>
      <c r="N223" s="8111" t="s">
        <v>3149</v>
      </c>
      <c r="O223" s="8112"/>
      <c r="P223" s="8112"/>
      <c r="Q223" s="8112"/>
      <c r="R223" s="2068" t="s">
        <v>3071</v>
      </c>
      <c r="S223" s="8134" t="s">
        <v>3150</v>
      </c>
      <c r="T223" s="8134"/>
      <c r="U223" s="2070" t="s">
        <v>3218</v>
      </c>
      <c r="V223" s="2069" t="s">
        <v>3217</v>
      </c>
      <c r="W223" s="676"/>
      <c r="X223" s="1128">
        <v>1</v>
      </c>
      <c r="Y223" s="1128">
        <v>1</v>
      </c>
      <c r="Z223" s="1128">
        <v>1</v>
      </c>
      <c r="AA223" s="1128">
        <v>1</v>
      </c>
    </row>
    <row r="224" spans="1:27" s="1724" customFormat="1" ht="18.75" customHeight="1">
      <c r="A224" s="7976"/>
      <c r="B224" s="8111"/>
      <c r="C224" s="8112"/>
      <c r="D224" s="8112"/>
      <c r="E224" s="8113"/>
      <c r="F224" s="8126"/>
      <c r="G224" s="8060"/>
      <c r="H224" s="8130"/>
      <c r="I224" s="8131"/>
      <c r="J224" s="8126"/>
      <c r="K224" s="8133"/>
      <c r="L224" s="1789"/>
      <c r="M224" s="7976"/>
      <c r="N224" s="8135" t="s">
        <v>3219</v>
      </c>
      <c r="O224" s="8136"/>
      <c r="P224" s="8136"/>
      <c r="Q224" s="8136"/>
      <c r="R224" s="2071">
        <v>16</v>
      </c>
      <c r="S224" s="8137" t="s">
        <v>3165</v>
      </c>
      <c r="T224" s="8137"/>
      <c r="U224" s="2072">
        <v>1</v>
      </c>
      <c r="V224" s="2073">
        <v>1250</v>
      </c>
      <c r="W224" s="2074"/>
      <c r="X224" s="1128">
        <v>1</v>
      </c>
      <c r="Y224" s="1128">
        <v>1</v>
      </c>
      <c r="Z224" s="1128">
        <v>1</v>
      </c>
      <c r="AA224" s="1128">
        <v>1</v>
      </c>
    </row>
    <row r="225" spans="1:27" s="1724" customFormat="1" ht="18.75">
      <c r="A225" s="7976"/>
      <c r="B225" s="8072" t="s">
        <v>3171</v>
      </c>
      <c r="C225" s="8073"/>
      <c r="D225" s="8073"/>
      <c r="E225" s="8074"/>
      <c r="F225" s="8078">
        <v>3</v>
      </c>
      <c r="G225" s="8080" t="s">
        <v>111</v>
      </c>
      <c r="H225" s="8082">
        <v>23</v>
      </c>
      <c r="I225" s="8082"/>
      <c r="J225" s="8084">
        <v>100</v>
      </c>
      <c r="K225" s="8085"/>
      <c r="L225" s="1789"/>
      <c r="M225" s="7976"/>
      <c r="N225" s="8088" t="s">
        <v>3148</v>
      </c>
      <c r="O225" s="8089"/>
      <c r="P225" s="8089"/>
      <c r="Q225" s="8089"/>
      <c r="R225" s="8089"/>
      <c r="S225" s="8089"/>
      <c r="T225" s="8089"/>
      <c r="U225" s="8089"/>
      <c r="V225" s="8089"/>
      <c r="W225" s="8090"/>
      <c r="X225" s="1128">
        <v>1</v>
      </c>
      <c r="Y225" s="1128">
        <v>1</v>
      </c>
      <c r="Z225" s="1128">
        <v>1</v>
      </c>
      <c r="AA225" s="1128">
        <v>1</v>
      </c>
    </row>
    <row r="226" spans="1:27" s="1724" customFormat="1" ht="18.75" customHeight="1">
      <c r="A226" s="7976"/>
      <c r="B226" s="8075"/>
      <c r="C226" s="8076"/>
      <c r="D226" s="8076"/>
      <c r="E226" s="8077"/>
      <c r="F226" s="8079"/>
      <c r="G226" s="8081"/>
      <c r="H226" s="8083"/>
      <c r="I226" s="8083"/>
      <c r="J226" s="8086"/>
      <c r="K226" s="8087"/>
      <c r="L226" s="1789"/>
      <c r="M226" s="7976"/>
      <c r="N226" s="2075" t="s">
        <v>3220</v>
      </c>
      <c r="O226" s="8091" t="s">
        <v>3152</v>
      </c>
      <c r="P226" s="8092"/>
      <c r="Q226" s="8092"/>
      <c r="R226" s="8091" t="s">
        <v>3153</v>
      </c>
      <c r="S226" s="8092"/>
      <c r="T226" s="8092"/>
      <c r="U226" s="8092"/>
      <c r="V226" s="8092"/>
      <c r="W226" s="8093"/>
      <c r="X226" s="1128">
        <v>1</v>
      </c>
      <c r="Y226" s="1128">
        <v>1</v>
      </c>
      <c r="Z226" s="1128">
        <v>1</v>
      </c>
      <c r="AA226" s="1128">
        <v>1</v>
      </c>
    </row>
    <row r="227" spans="1:27" s="1724" customFormat="1" ht="18.75">
      <c r="A227" s="7976"/>
      <c r="B227" s="8050" t="s">
        <v>3148</v>
      </c>
      <c r="C227" s="8051"/>
      <c r="D227" s="8051"/>
      <c r="E227" s="8051"/>
      <c r="F227" s="8051"/>
      <c r="G227" s="8051"/>
      <c r="H227" s="8051"/>
      <c r="I227" s="8051"/>
      <c r="J227" s="8051"/>
      <c r="K227" s="8052"/>
      <c r="L227" s="1789"/>
      <c r="M227" s="7976"/>
      <c r="N227" s="2076">
        <f>R224/U224</f>
        <v>16</v>
      </c>
      <c r="O227" s="2077">
        <f>U224*V224</f>
        <v>1250</v>
      </c>
      <c r="P227" s="8056" t="str">
        <f>S224</f>
        <v>Cuisses</v>
      </c>
      <c r="Q227" s="8056"/>
      <c r="R227" s="2078">
        <f>IF(O227=0,0,INT(O227/R224))</f>
        <v>78</v>
      </c>
      <c r="S227" s="2079">
        <f>O227-(R227*R224)</f>
        <v>2</v>
      </c>
      <c r="T227" s="2080" t="str">
        <f>IF(S227=0,0,S224)</f>
        <v>Cuisses</v>
      </c>
      <c r="U227" s="2081">
        <f>IF(S227=0,0,R227+1)</f>
        <v>79</v>
      </c>
      <c r="V227" s="2079">
        <f>IF(S227=0,0,O227-(U227*R224))</f>
        <v>-14</v>
      </c>
      <c r="W227" s="2082" t="str">
        <f>IF(V227=0,0,S224)</f>
        <v>Cuisses</v>
      </c>
      <c r="X227" s="1128">
        <v>1</v>
      </c>
      <c r="Y227" s="1128">
        <v>1</v>
      </c>
      <c r="Z227" s="1128">
        <v>1</v>
      </c>
      <c r="AA227" s="1128">
        <v>1</v>
      </c>
    </row>
    <row r="228" spans="1:27" s="1724" customFormat="1" ht="16.5" customHeight="1" thickBot="1">
      <c r="A228" s="7976"/>
      <c r="B228" s="8053"/>
      <c r="C228" s="8054"/>
      <c r="D228" s="8054"/>
      <c r="E228" s="8054"/>
      <c r="F228" s="8054"/>
      <c r="G228" s="8054"/>
      <c r="H228" s="8054"/>
      <c r="I228" s="8054"/>
      <c r="J228" s="8054"/>
      <c r="K228" s="8055"/>
      <c r="L228" s="1789"/>
      <c r="M228" s="7976"/>
      <c r="N228" s="8008" t="s">
        <v>3185</v>
      </c>
      <c r="O228" s="8009"/>
      <c r="P228" s="8009"/>
      <c r="Q228" s="8009"/>
      <c r="R228" s="8009"/>
      <c r="S228" s="8009"/>
      <c r="T228" s="8009"/>
      <c r="U228" s="8009"/>
      <c r="V228" s="8009"/>
      <c r="W228" s="8010"/>
      <c r="X228" s="1128">
        <v>1</v>
      </c>
      <c r="Y228" s="1128">
        <v>1</v>
      </c>
      <c r="Z228" s="1128">
        <v>1</v>
      </c>
      <c r="AA228" s="1128">
        <v>1</v>
      </c>
    </row>
    <row r="229" spans="1:27" s="1724" customFormat="1" ht="15.75" customHeight="1" thickBot="1">
      <c r="A229" s="7976"/>
      <c r="B229" s="8057" t="s">
        <v>3218</v>
      </c>
      <c r="C229" s="8058"/>
      <c r="D229" s="8061" t="s">
        <v>3152</v>
      </c>
      <c r="E229" s="8062"/>
      <c r="F229" s="8065" t="s">
        <v>3153</v>
      </c>
      <c r="G229" s="8065"/>
      <c r="H229" s="8065"/>
      <c r="I229" s="8065"/>
      <c r="J229" s="8065"/>
      <c r="K229" s="8066"/>
      <c r="L229" s="1789"/>
      <c r="M229" s="1788"/>
      <c r="N229" s="1788"/>
      <c r="O229" s="1744"/>
      <c r="P229" s="1744"/>
      <c r="Q229" s="1744"/>
      <c r="X229" s="1128">
        <v>1</v>
      </c>
      <c r="Y229" s="1128">
        <v>1</v>
      </c>
      <c r="Z229" s="1128">
        <v>1</v>
      </c>
      <c r="AA229" s="1128">
        <v>1</v>
      </c>
    </row>
    <row r="230" spans="1:27" s="1724" customFormat="1" ht="31.5" customHeight="1">
      <c r="A230" s="7976"/>
      <c r="B230" s="8059"/>
      <c r="C230" s="8060"/>
      <c r="D230" s="8063"/>
      <c r="E230" s="8064"/>
      <c r="F230" s="8067"/>
      <c r="G230" s="8067"/>
      <c r="H230" s="8067"/>
      <c r="I230" s="8067"/>
      <c r="J230" s="8067"/>
      <c r="K230" s="8068"/>
      <c r="L230" s="1789"/>
      <c r="M230" s="1988" t="s">
        <v>252</v>
      </c>
      <c r="N230" s="8069" t="s">
        <v>3074</v>
      </c>
      <c r="O230" s="8070"/>
      <c r="P230" s="8070"/>
      <c r="Q230" s="8070"/>
      <c r="R230" s="8070"/>
      <c r="S230" s="8070"/>
      <c r="T230" s="8070"/>
      <c r="U230" s="8070"/>
      <c r="V230" s="8070"/>
      <c r="W230" s="8070"/>
      <c r="X230" s="8070"/>
      <c r="Y230" s="8070"/>
      <c r="Z230" s="8071"/>
      <c r="AA230" s="1128">
        <v>1</v>
      </c>
    </row>
    <row r="231" spans="1:27" s="1724" customFormat="1" ht="18.75" customHeight="1">
      <c r="A231" s="7976"/>
      <c r="B231" s="8040">
        <f>F225/H225</f>
        <v>0.13043478260869565</v>
      </c>
      <c r="C231" s="8041"/>
      <c r="D231" s="8044">
        <f>B231*J225</f>
        <v>13.043478260869565</v>
      </c>
      <c r="E231" s="8046" t="str">
        <f>G225</f>
        <v>Kg</v>
      </c>
      <c r="F231" s="8022">
        <f>IF(D231=0,0,INT(D231/F225))</f>
        <v>4</v>
      </c>
      <c r="G231" s="8024">
        <f>D231-(F231*F225)</f>
        <v>1.0434782608695645</v>
      </c>
      <c r="H231" s="8048" t="str">
        <f>IF(G231=0,0,G225)</f>
        <v>Kg</v>
      </c>
      <c r="I231" s="8022">
        <f>IF(G231=0,0,F231+1)</f>
        <v>5</v>
      </c>
      <c r="J231" s="8024">
        <f>IF(G231=0,0,D231-(I231*F225))</f>
        <v>-1.9565217391304355</v>
      </c>
      <c r="K231" s="8026" t="str">
        <f>IF(J231=0,0,G225)</f>
        <v>Kg</v>
      </c>
      <c r="L231" s="1789"/>
      <c r="M231" s="7976" t="str">
        <f>N230</f>
        <v>Service au choix : au poids ou à la portion</v>
      </c>
      <c r="N231" s="1990" t="str">
        <f>ADDRESS(ROW(),COLUMN(),4)</f>
        <v>N231</v>
      </c>
      <c r="O231" s="1758" t="s">
        <v>750</v>
      </c>
      <c r="P231" s="1763"/>
      <c r="Q231" s="1763"/>
      <c r="R231" s="1763"/>
      <c r="S231" s="1763"/>
      <c r="T231" s="1763"/>
      <c r="U231" s="1763"/>
      <c r="V231" s="1763"/>
      <c r="W231" s="1763"/>
      <c r="X231" s="1763"/>
      <c r="Y231" s="1763"/>
      <c r="Z231" s="2083"/>
      <c r="AA231" s="1128">
        <v>1</v>
      </c>
    </row>
    <row r="232" spans="1:27" s="1724" customFormat="1" ht="32.25" thickBot="1">
      <c r="A232" s="7976"/>
      <c r="B232" s="8042"/>
      <c r="C232" s="8043"/>
      <c r="D232" s="8045"/>
      <c r="E232" s="8047"/>
      <c r="F232" s="8023"/>
      <c r="G232" s="8025"/>
      <c r="H232" s="8049"/>
      <c r="I232" s="8023"/>
      <c r="J232" s="8025"/>
      <c r="K232" s="8027"/>
      <c r="L232" s="1789"/>
      <c r="M232" s="7976"/>
      <c r="N232" s="8028" t="s">
        <v>3221</v>
      </c>
      <c r="O232" s="8029"/>
      <c r="P232" s="8029"/>
      <c r="Q232" s="8029"/>
      <c r="R232" s="8029"/>
      <c r="S232" s="8029"/>
      <c r="T232" s="2084"/>
      <c r="U232" s="2085"/>
      <c r="V232" s="2085"/>
      <c r="W232" s="2085"/>
      <c r="X232" s="2085"/>
      <c r="Y232" s="2085"/>
      <c r="Z232" s="2086"/>
      <c r="AA232" s="1128">
        <v>1</v>
      </c>
    </row>
    <row r="233" spans="1:27" s="1724" customFormat="1" ht="32.25">
      <c r="A233" s="7976"/>
      <c r="B233" s="8030" t="str">
        <f ca="1">_xlfn.FORMULATEXT(B231)</f>
        <v>=F225/H225</v>
      </c>
      <c r="C233" s="8031"/>
      <c r="D233" s="2087" t="str">
        <f ca="1">_xlfn.FORMULATEXT(D231)</f>
        <v>=B231*J225</v>
      </c>
      <c r="E233" s="2088"/>
      <c r="F233" s="2089" t="str">
        <f ca="1">_xlfn.FORMULATEXT(F231)</f>
        <v>=SI(D231=0;0;ENT(D231/F225))</v>
      </c>
      <c r="G233" s="2090"/>
      <c r="H233" s="2091" t="str">
        <f ca="1">_xlfn.FORMULATEXT(H231)</f>
        <v>=SI(G231=0;0;G225)</v>
      </c>
      <c r="I233" s="2092"/>
      <c r="J233" s="2090" t="str">
        <f ca="1">_xlfn.FORMULATEXT(I231)</f>
        <v>=SI(G231=0;0;F231+1)</v>
      </c>
      <c r="K233" s="2093"/>
      <c r="L233" s="1789"/>
      <c r="M233" s="7976"/>
      <c r="N233" s="2094"/>
      <c r="O233" s="2095"/>
      <c r="P233" s="2096"/>
      <c r="Q233" s="8032" t="s">
        <v>3151</v>
      </c>
      <c r="R233" s="8032"/>
      <c r="S233" s="2097"/>
      <c r="T233" s="2096"/>
      <c r="U233" s="2096"/>
      <c r="V233" s="2096"/>
      <c r="W233" s="2096"/>
      <c r="X233" s="2096"/>
      <c r="Y233" s="2098"/>
      <c r="Z233" s="2099"/>
      <c r="AA233" s="1128">
        <v>1</v>
      </c>
    </row>
    <row r="234" spans="1:27" s="1724" customFormat="1" ht="26.25" customHeight="1">
      <c r="A234" s="7976"/>
      <c r="B234" s="2100" t="s">
        <v>3222</v>
      </c>
      <c r="C234" s="829"/>
      <c r="D234" s="829"/>
      <c r="E234" s="829"/>
      <c r="F234" s="829"/>
      <c r="G234" s="2101" t="str">
        <f ca="1">_xlfn.FORMULATEXT(G231)</f>
        <v>=D231-(F231*F225)</v>
      </c>
      <c r="H234" s="829"/>
      <c r="I234" s="2089" t="str">
        <f ca="1">_xlfn.FORMULATEXT(J231)</f>
        <v>=SI(G231=0;0;D231-(I231*F225))</v>
      </c>
      <c r="J234" s="829"/>
      <c r="K234" s="2093"/>
      <c r="L234" s="1789"/>
      <c r="M234" s="7976"/>
      <c r="N234" s="2094"/>
      <c r="O234" s="2096"/>
      <c r="P234" s="2095" t="s">
        <v>3223</v>
      </c>
      <c r="Q234" s="2102" t="s">
        <v>3156</v>
      </c>
      <c r="R234" s="2102" t="s">
        <v>3224</v>
      </c>
      <c r="S234" s="2097"/>
      <c r="T234" s="8017" t="s">
        <v>3225</v>
      </c>
      <c r="U234" s="8017"/>
      <c r="V234" s="8017"/>
      <c r="W234" s="8017"/>
      <c r="X234" s="8018">
        <v>10</v>
      </c>
      <c r="Y234" s="8019" t="s">
        <v>3226</v>
      </c>
      <c r="Z234" s="8020">
        <f>O235*X234</f>
        <v>4.5</v>
      </c>
      <c r="AA234" s="1128">
        <v>1</v>
      </c>
    </row>
    <row r="235" spans="1:27" s="1724" customFormat="1" ht="32.25" customHeight="1" thickBot="1">
      <c r="A235" s="7976"/>
      <c r="B235" s="8008" t="s">
        <v>3185</v>
      </c>
      <c r="C235" s="8009"/>
      <c r="D235" s="8009"/>
      <c r="E235" s="8009"/>
      <c r="F235" s="8009"/>
      <c r="G235" s="8009"/>
      <c r="H235" s="8009"/>
      <c r="I235" s="8009"/>
      <c r="J235" s="8009"/>
      <c r="K235" s="8010"/>
      <c r="L235" s="1789"/>
      <c r="M235" s="7976"/>
      <c r="N235" s="2103"/>
      <c r="O235" s="2104">
        <v>0.45</v>
      </c>
      <c r="P235" s="2105" t="s">
        <v>111</v>
      </c>
      <c r="Q235" s="2106">
        <v>25</v>
      </c>
      <c r="R235" s="2106">
        <v>7</v>
      </c>
      <c r="S235" s="2097"/>
      <c r="T235" s="8017"/>
      <c r="U235" s="8017"/>
      <c r="V235" s="8017"/>
      <c r="W235" s="8017"/>
      <c r="X235" s="8018"/>
      <c r="Y235" s="8019"/>
      <c r="Z235" s="8020"/>
      <c r="AA235" s="1128">
        <v>1</v>
      </c>
    </row>
    <row r="236" spans="1:27" s="1724" customFormat="1" ht="32.25">
      <c r="A236" s="536"/>
      <c r="B236" s="536"/>
      <c r="C236" s="536"/>
      <c r="D236" s="536"/>
      <c r="E236" s="536"/>
      <c r="F236" s="536"/>
      <c r="G236" s="536"/>
      <c r="H236" s="536"/>
      <c r="I236" s="536"/>
      <c r="J236" s="536"/>
      <c r="K236" s="536"/>
      <c r="L236" s="1789"/>
      <c r="M236" s="7976"/>
      <c r="N236" s="2103"/>
      <c r="O236" s="2097"/>
      <c r="P236" s="2097"/>
      <c r="Q236" s="2107" t="s">
        <v>3156</v>
      </c>
      <c r="R236" s="2107" t="s">
        <v>3224</v>
      </c>
      <c r="S236" s="2097"/>
      <c r="T236" s="2096"/>
      <c r="U236" s="8021" t="s">
        <v>3227</v>
      </c>
      <c r="V236" s="8021"/>
      <c r="W236" s="8021"/>
      <c r="X236" s="8021"/>
      <c r="Y236" s="8021"/>
      <c r="Z236" s="2099"/>
      <c r="AA236" s="1128">
        <v>1</v>
      </c>
    </row>
    <row r="237" spans="1:27" s="1724" customFormat="1" ht="19.5" thickBot="1">
      <c r="A237" s="1744"/>
      <c r="B237" s="1778"/>
      <c r="C237" s="1778"/>
      <c r="D237" s="1778"/>
      <c r="E237" s="1778"/>
      <c r="F237" s="1778"/>
      <c r="G237" s="1778"/>
      <c r="H237" s="1745"/>
      <c r="I237" s="1788"/>
      <c r="J237" s="1788"/>
      <c r="K237" s="1789"/>
      <c r="L237" s="1789"/>
      <c r="M237" s="7976"/>
      <c r="N237" s="2108"/>
      <c r="O237" s="2109" t="s">
        <v>3228</v>
      </c>
      <c r="P237" s="2109"/>
      <c r="Q237" s="2110">
        <v>0.2</v>
      </c>
      <c r="R237" s="2110">
        <v>0.25</v>
      </c>
      <c r="S237" s="2111">
        <f>(Q237*Q235)+(R237*R235)</f>
        <v>6.75</v>
      </c>
      <c r="T237" s="2112" t="str">
        <f>P235</f>
        <v>Kg</v>
      </c>
      <c r="U237" s="2113">
        <f>IF(S237=0,0,INT(S237/(O235*X234)))</f>
        <v>1</v>
      </c>
      <c r="V237" s="2114">
        <f>S237-(U237*(O235*X234))</f>
        <v>2.25</v>
      </c>
      <c r="W237" s="2115" t="str">
        <f>IF(V237=0,0,P235)</f>
        <v>Kg</v>
      </c>
      <c r="X237" s="2113">
        <f>IF(V237=0,0,U237+1)</f>
        <v>2</v>
      </c>
      <c r="Y237" s="2114">
        <f>IF(V237=0,0,S237-(X237*Z234))</f>
        <v>-2.25</v>
      </c>
      <c r="Z237" s="2116" t="str">
        <f>IF(Y237=0,0,P235)</f>
        <v>Kg</v>
      </c>
      <c r="AA237" s="1128">
        <v>1</v>
      </c>
    </row>
    <row r="238" spans="1:27" s="1724" customFormat="1" ht="32.25" customHeight="1">
      <c r="A238" s="1988" t="s">
        <v>252</v>
      </c>
      <c r="B238" s="8033" t="s">
        <v>3082</v>
      </c>
      <c r="C238" s="8034"/>
      <c r="D238" s="8034"/>
      <c r="E238" s="8034"/>
      <c r="F238" s="8034"/>
      <c r="G238" s="8034"/>
      <c r="H238" s="8034"/>
      <c r="I238" s="8034"/>
      <c r="J238" s="8034"/>
      <c r="K238" s="8035"/>
      <c r="L238" s="1789"/>
      <c r="M238" s="7976"/>
      <c r="N238" s="8036" t="s">
        <v>3229</v>
      </c>
      <c r="O238" s="8037"/>
      <c r="P238" s="8037"/>
      <c r="Q238" s="7992">
        <f>Q237/O235</f>
        <v>0.44444444444444448</v>
      </c>
      <c r="R238" s="7992">
        <f>R237/O235</f>
        <v>0.55555555555555558</v>
      </c>
      <c r="S238" s="7994">
        <f>(Q238*Q235)+(R238*R235)</f>
        <v>15.000000000000002</v>
      </c>
      <c r="T238" s="7996" t="str">
        <f>Y234</f>
        <v>portions</v>
      </c>
      <c r="U238" s="7998">
        <f>IF(S238=0,0,INT(S238/X234))</f>
        <v>1</v>
      </c>
      <c r="V238" s="8000">
        <f>S238-(U238*X234)</f>
        <v>5.0000000000000018</v>
      </c>
      <c r="W238" s="8002" t="str">
        <f>IF(V238=0,0,Y234)</f>
        <v>portions</v>
      </c>
      <c r="X238" s="8011">
        <f>IF(V238=0,0,U238+1)</f>
        <v>2</v>
      </c>
      <c r="Y238" s="8013">
        <f>IF(V238=0,0,S238-(X238*X234))</f>
        <v>-4.9999999999999982</v>
      </c>
      <c r="Z238" s="8015" t="str">
        <f>IF(Y238=0,0,Y234)</f>
        <v>portions</v>
      </c>
      <c r="AA238" s="1128">
        <v>1</v>
      </c>
    </row>
    <row r="239" spans="1:27" s="1724" customFormat="1" ht="19.5" customHeight="1">
      <c r="A239" s="7976" t="str">
        <f>B238</f>
        <v>Poids de sauce à servir</v>
      </c>
      <c r="B239" s="1783" t="str">
        <f>ADDRESS(ROW(),COLUMN(),4)</f>
        <v>B239</v>
      </c>
      <c r="C239" s="824" t="s">
        <v>750</v>
      </c>
      <c r="D239" s="1876"/>
      <c r="E239" s="1876"/>
      <c r="F239" s="1876"/>
      <c r="G239" s="1876"/>
      <c r="H239" s="1876"/>
      <c r="I239" s="1876"/>
      <c r="J239" s="1876"/>
      <c r="K239" s="1877"/>
      <c r="L239" s="1789"/>
      <c r="M239" s="7976"/>
      <c r="N239" s="8038"/>
      <c r="O239" s="8039"/>
      <c r="P239" s="8039"/>
      <c r="Q239" s="7993"/>
      <c r="R239" s="7993"/>
      <c r="S239" s="7995"/>
      <c r="T239" s="7997"/>
      <c r="U239" s="7999"/>
      <c r="V239" s="8001"/>
      <c r="W239" s="8003"/>
      <c r="X239" s="8012"/>
      <c r="Y239" s="8014"/>
      <c r="Z239" s="8016"/>
      <c r="AA239" s="1128">
        <v>1</v>
      </c>
    </row>
    <row r="240" spans="1:27" s="1724" customFormat="1" ht="15" customHeight="1" thickBot="1">
      <c r="A240" s="7976"/>
      <c r="B240" s="7977" t="s">
        <v>3230</v>
      </c>
      <c r="C240" s="7978"/>
      <c r="D240" s="7978"/>
      <c r="E240" s="7978"/>
      <c r="F240" s="7981" t="s">
        <v>3231</v>
      </c>
      <c r="G240" s="7981"/>
      <c r="H240" s="7981"/>
      <c r="I240" s="7981"/>
      <c r="J240" s="7983">
        <v>0.15</v>
      </c>
      <c r="K240" s="7984"/>
      <c r="L240" s="1789"/>
      <c r="M240" s="7976"/>
      <c r="N240" s="7987" t="s">
        <v>3185</v>
      </c>
      <c r="O240" s="7988"/>
      <c r="P240" s="7988"/>
      <c r="Q240" s="7988"/>
      <c r="R240" s="7988"/>
      <c r="S240" s="7988"/>
      <c r="T240" s="7988"/>
      <c r="U240" s="7988"/>
      <c r="V240" s="7988"/>
      <c r="W240" s="7988"/>
      <c r="X240" s="7988"/>
      <c r="Y240" s="7988"/>
      <c r="Z240" s="7989"/>
      <c r="AA240" s="1128">
        <v>1</v>
      </c>
    </row>
    <row r="241" spans="1:27" s="1724" customFormat="1" ht="15">
      <c r="A241" s="7976"/>
      <c r="B241" s="7979"/>
      <c r="C241" s="7980"/>
      <c r="D241" s="7980"/>
      <c r="E241" s="7980"/>
      <c r="F241" s="7982"/>
      <c r="G241" s="7982"/>
      <c r="H241" s="7982"/>
      <c r="I241" s="7982"/>
      <c r="J241" s="7985"/>
      <c r="K241" s="7986"/>
      <c r="L241" s="1789"/>
      <c r="R241" s="1128">
        <v>1</v>
      </c>
      <c r="S241" s="1128">
        <v>1</v>
      </c>
      <c r="T241" s="1128">
        <v>1</v>
      </c>
      <c r="U241" s="1128">
        <v>1</v>
      </c>
      <c r="V241" s="1128">
        <v>1</v>
      </c>
      <c r="W241" s="1128">
        <v>1</v>
      </c>
      <c r="X241" s="1128">
        <v>1</v>
      </c>
      <c r="Y241" s="1128">
        <v>1</v>
      </c>
      <c r="Z241" s="1128">
        <v>1</v>
      </c>
      <c r="AA241" s="1128">
        <v>1</v>
      </c>
    </row>
    <row r="242" spans="1:27" s="1724" customFormat="1" ht="15">
      <c r="A242" s="7976"/>
      <c r="B242" s="7990" t="s">
        <v>3217</v>
      </c>
      <c r="C242" s="7991" t="s">
        <v>3232</v>
      </c>
      <c r="D242" s="8004" t="s">
        <v>3233</v>
      </c>
      <c r="E242" s="8005" t="s">
        <v>3234</v>
      </c>
      <c r="F242" s="8005"/>
      <c r="G242" s="8006" t="s">
        <v>3235</v>
      </c>
      <c r="H242" s="8005" t="s">
        <v>3236</v>
      </c>
      <c r="I242" s="8005"/>
      <c r="J242" s="8005" t="s">
        <v>3237</v>
      </c>
      <c r="K242" s="8007"/>
      <c r="L242" s="1789"/>
      <c r="M242" s="1788"/>
      <c r="N242" s="1788"/>
      <c r="O242" s="1744"/>
      <c r="P242" s="1744"/>
      <c r="Q242" s="1744"/>
      <c r="R242" s="1128">
        <v>1</v>
      </c>
      <c r="S242" s="1128">
        <v>1</v>
      </c>
      <c r="T242" s="1128">
        <v>1</v>
      </c>
      <c r="U242" s="1128">
        <v>1</v>
      </c>
      <c r="V242" s="1128">
        <v>1</v>
      </c>
      <c r="W242" s="1128">
        <v>1</v>
      </c>
      <c r="X242" s="1128">
        <v>1</v>
      </c>
      <c r="Y242" s="1128">
        <v>1</v>
      </c>
      <c r="Z242" s="1128">
        <v>1</v>
      </c>
      <c r="AA242" s="1128">
        <v>1</v>
      </c>
    </row>
    <row r="243" spans="1:27" s="1724" customFormat="1" ht="15">
      <c r="A243" s="7976"/>
      <c r="B243" s="7990"/>
      <c r="C243" s="7991"/>
      <c r="D243" s="8004"/>
      <c r="E243" s="8005"/>
      <c r="F243" s="8005"/>
      <c r="G243" s="8006"/>
      <c r="H243" s="8005"/>
      <c r="I243" s="8005"/>
      <c r="J243" s="8005"/>
      <c r="K243" s="8007"/>
      <c r="L243" s="1789"/>
      <c r="M243" s="1788"/>
      <c r="N243" s="1788"/>
      <c r="O243" s="1744"/>
      <c r="P243" s="1744"/>
      <c r="Q243" s="1744"/>
      <c r="R243" s="1128">
        <v>1</v>
      </c>
      <c r="S243" s="1128">
        <v>1</v>
      </c>
      <c r="T243" s="1128">
        <v>1</v>
      </c>
      <c r="U243" s="1128">
        <v>1</v>
      </c>
      <c r="V243" s="1128">
        <v>1</v>
      </c>
      <c r="W243" s="1128">
        <v>1</v>
      </c>
      <c r="X243" s="1128">
        <v>1</v>
      </c>
      <c r="Y243" s="1128">
        <v>1</v>
      </c>
      <c r="Z243" s="1128">
        <v>1</v>
      </c>
      <c r="AA243" s="1128">
        <v>1</v>
      </c>
    </row>
    <row r="244" spans="1:27" s="1724" customFormat="1" ht="18.75">
      <c r="A244" s="7976"/>
      <c r="B244" s="2117">
        <v>50</v>
      </c>
      <c r="C244" s="2118">
        <v>0.03</v>
      </c>
      <c r="D244" s="2119">
        <v>2</v>
      </c>
      <c r="E244" s="2120">
        <f>IF(B244=0,0,(C244/(100-D244)*100))</f>
        <v>3.0612244897959183E-2</v>
      </c>
      <c r="F244" s="2121" t="s">
        <v>111</v>
      </c>
      <c r="G244" s="2122">
        <f>J240/C244</f>
        <v>5</v>
      </c>
      <c r="H244" s="2123">
        <f>C244*B244</f>
        <v>1.5</v>
      </c>
      <c r="I244" s="2121" t="s">
        <v>111</v>
      </c>
      <c r="J244" s="2124">
        <f>E244*B244</f>
        <v>1.5306122448979591</v>
      </c>
      <c r="K244" s="2125" t="s">
        <v>111</v>
      </c>
      <c r="L244" s="1789"/>
      <c r="M244" s="1788"/>
      <c r="N244" s="1788"/>
      <c r="O244" s="1744"/>
      <c r="P244" s="1744"/>
      <c r="Q244" s="1744"/>
      <c r="R244" s="1128">
        <v>1</v>
      </c>
      <c r="S244" s="1128">
        <v>1</v>
      </c>
      <c r="T244" s="1128">
        <v>1</v>
      </c>
      <c r="U244" s="1128">
        <v>1</v>
      </c>
      <c r="V244" s="1128">
        <v>1</v>
      </c>
      <c r="W244" s="1128">
        <v>1</v>
      </c>
      <c r="X244" s="1128">
        <v>1</v>
      </c>
      <c r="Y244" s="1128">
        <v>1</v>
      </c>
      <c r="Z244" s="1128">
        <v>1</v>
      </c>
      <c r="AA244" s="1128">
        <v>1</v>
      </c>
    </row>
    <row r="245" spans="1:27" s="1724" customFormat="1" ht="16.5" thickBot="1">
      <c r="A245" s="7976"/>
      <c r="B245" s="8008" t="s">
        <v>3185</v>
      </c>
      <c r="C245" s="8009"/>
      <c r="D245" s="8009"/>
      <c r="E245" s="8009"/>
      <c r="F245" s="8009"/>
      <c r="G245" s="8009"/>
      <c r="H245" s="8009"/>
      <c r="I245" s="8009"/>
      <c r="J245" s="8009"/>
      <c r="K245" s="8010"/>
      <c r="L245" s="1789"/>
      <c r="M245" s="1788"/>
      <c r="N245" s="1788"/>
      <c r="O245" s="1744"/>
      <c r="P245" s="1744"/>
      <c r="Q245" s="1744"/>
      <c r="R245" s="1128">
        <v>1</v>
      </c>
      <c r="S245" s="1128">
        <v>1</v>
      </c>
      <c r="T245" s="1128">
        <v>1</v>
      </c>
      <c r="U245" s="1128">
        <v>1</v>
      </c>
      <c r="V245" s="1128">
        <v>1</v>
      </c>
      <c r="W245" s="1128">
        <v>1</v>
      </c>
      <c r="X245" s="1128">
        <v>1</v>
      </c>
      <c r="Y245" s="1128">
        <v>1</v>
      </c>
      <c r="Z245" s="1128">
        <v>1</v>
      </c>
      <c r="AA245" s="1128">
        <v>1</v>
      </c>
    </row>
    <row r="246" spans="1:27" s="1724" customFormat="1" thickBot="1">
      <c r="A246" s="1744"/>
      <c r="B246" s="1778"/>
      <c r="C246" s="1778"/>
      <c r="D246" s="1778"/>
      <c r="E246" s="1778"/>
      <c r="F246" s="1778"/>
      <c r="G246" s="1778"/>
      <c r="H246" s="1745"/>
      <c r="I246" s="1788"/>
      <c r="J246" s="1788"/>
      <c r="K246" s="1789"/>
      <c r="L246" s="1789"/>
      <c r="M246" s="1788"/>
      <c r="N246" s="1788"/>
      <c r="O246" s="1744"/>
      <c r="P246" s="1744"/>
      <c r="Q246" s="1744"/>
      <c r="R246" s="1128">
        <v>1</v>
      </c>
      <c r="S246" s="1128">
        <v>1</v>
      </c>
      <c r="T246" s="1128">
        <v>1</v>
      </c>
      <c r="U246" s="1128">
        <v>1</v>
      </c>
      <c r="V246" s="1128">
        <v>1</v>
      </c>
      <c r="W246" s="1128">
        <v>1</v>
      </c>
      <c r="X246" s="1128">
        <v>1</v>
      </c>
      <c r="Y246" s="1128">
        <v>1</v>
      </c>
      <c r="Z246" s="1128">
        <v>1</v>
      </c>
      <c r="AA246" s="1128">
        <v>1</v>
      </c>
    </row>
    <row r="247" spans="1:27" s="1724" customFormat="1" ht="18">
      <c r="A247" s="1988" t="s">
        <v>252</v>
      </c>
      <c r="B247" s="7960" t="s">
        <v>3084</v>
      </c>
      <c r="C247" s="7961"/>
      <c r="D247" s="7961"/>
      <c r="E247" s="7961"/>
      <c r="F247" s="7961"/>
      <c r="G247" s="7961"/>
      <c r="H247" s="7961"/>
      <c r="I247" s="7961"/>
      <c r="J247" s="7962"/>
      <c r="K247" s="1744"/>
      <c r="L247" s="1988" t="s">
        <v>252</v>
      </c>
      <c r="M247" s="7960" t="s">
        <v>3076</v>
      </c>
      <c r="N247" s="7961"/>
      <c r="O247" s="7961"/>
      <c r="P247" s="7961"/>
      <c r="Q247" s="7962"/>
      <c r="R247" s="1128">
        <v>1</v>
      </c>
      <c r="S247" s="1128">
        <v>1</v>
      </c>
      <c r="T247" s="1128">
        <v>1</v>
      </c>
      <c r="U247" s="1128">
        <v>1</v>
      </c>
      <c r="V247" s="1128">
        <v>1</v>
      </c>
      <c r="W247" s="1128">
        <v>1</v>
      </c>
      <c r="X247" s="1128">
        <v>1</v>
      </c>
      <c r="Y247" s="1128">
        <v>1</v>
      </c>
      <c r="Z247" s="1128">
        <v>1</v>
      </c>
      <c r="AA247" s="1128">
        <v>1</v>
      </c>
    </row>
    <row r="248" spans="1:27" s="1724" customFormat="1" ht="16.5" customHeight="1">
      <c r="A248" s="7800" t="str">
        <f>B247</f>
        <v>Total Mx dans 1 contenant</v>
      </c>
      <c r="B248" s="1783" t="str">
        <f>ADDRESS(ROW(),COLUMN(),4)</f>
        <v>B248</v>
      </c>
      <c r="C248" s="824" t="s">
        <v>750</v>
      </c>
      <c r="D248" s="1772"/>
      <c r="E248" s="1772"/>
      <c r="F248" s="1772"/>
      <c r="G248" s="1772"/>
      <c r="H248" s="1772"/>
      <c r="I248" s="1772"/>
      <c r="J248" s="1776"/>
      <c r="K248" s="1744"/>
      <c r="L248" s="7800"/>
      <c r="M248" s="1783" t="str">
        <f>ADDRESS(ROW(),COLUMN(),4)</f>
        <v>M248</v>
      </c>
      <c r="N248" s="824" t="s">
        <v>750</v>
      </c>
      <c r="O248" s="1772"/>
      <c r="P248" s="1772"/>
      <c r="Q248" s="1776"/>
      <c r="R248" s="1128">
        <v>1</v>
      </c>
      <c r="S248" s="1128">
        <v>1</v>
      </c>
      <c r="T248" s="1128">
        <v>1</v>
      </c>
      <c r="U248" s="1128">
        <v>1</v>
      </c>
      <c r="V248" s="1128">
        <v>1</v>
      </c>
      <c r="W248" s="1128">
        <v>1</v>
      </c>
      <c r="X248" s="1128">
        <v>1</v>
      </c>
      <c r="Y248" s="1128">
        <v>1</v>
      </c>
      <c r="Z248" s="1128">
        <v>1</v>
      </c>
      <c r="AA248" s="1128">
        <v>1</v>
      </c>
    </row>
    <row r="249" spans="1:27" s="1724" customFormat="1" ht="15" customHeight="1">
      <c r="A249" s="7800"/>
      <c r="B249" s="7963" t="s">
        <v>3084</v>
      </c>
      <c r="C249" s="7965" t="s">
        <v>3238</v>
      </c>
      <c r="D249" s="7967" t="s">
        <v>3239</v>
      </c>
      <c r="E249" s="2126" t="s">
        <v>3240</v>
      </c>
      <c r="F249" s="2126"/>
      <c r="G249" s="2126"/>
      <c r="H249" s="2126"/>
      <c r="I249" s="2126"/>
      <c r="J249" s="2127"/>
      <c r="K249" s="1744"/>
      <c r="L249" s="7800"/>
      <c r="M249" s="7951" t="s">
        <v>3241</v>
      </c>
      <c r="N249" s="2129"/>
      <c r="O249" s="7953" t="s">
        <v>3242</v>
      </c>
      <c r="P249" s="2131"/>
      <c r="Q249" s="7969" t="s">
        <v>3243</v>
      </c>
      <c r="R249" s="1128">
        <v>1</v>
      </c>
      <c r="S249" s="1128">
        <v>1</v>
      </c>
      <c r="T249" s="1128">
        <v>1</v>
      </c>
      <c r="U249" s="1128">
        <v>1</v>
      </c>
      <c r="V249" s="1128">
        <v>1</v>
      </c>
      <c r="W249" s="1128">
        <v>1</v>
      </c>
      <c r="X249" s="1128">
        <v>1</v>
      </c>
      <c r="Y249" s="1128">
        <v>1</v>
      </c>
      <c r="Z249" s="1128">
        <v>1</v>
      </c>
      <c r="AA249" s="1128">
        <v>1</v>
      </c>
    </row>
    <row r="250" spans="1:27" s="1724" customFormat="1">
      <c r="A250" s="7800"/>
      <c r="B250" s="7964"/>
      <c r="C250" s="7966"/>
      <c r="D250" s="7968"/>
      <c r="E250" s="2132"/>
      <c r="F250" s="2132"/>
      <c r="G250" s="2132"/>
      <c r="H250" s="2132"/>
      <c r="I250" s="2132"/>
      <c r="J250" s="2133"/>
      <c r="K250" s="1744"/>
      <c r="L250" s="7800"/>
      <c r="M250" s="7951"/>
      <c r="N250" s="2129"/>
      <c r="O250" s="7953"/>
      <c r="P250" s="2131"/>
      <c r="Q250" s="7969"/>
      <c r="R250" s="1128">
        <v>1</v>
      </c>
      <c r="S250" s="1128">
        <v>1</v>
      </c>
      <c r="T250" s="1128">
        <v>1</v>
      </c>
      <c r="U250" s="1128">
        <v>1</v>
      </c>
      <c r="V250" s="1128">
        <v>1</v>
      </c>
      <c r="W250" s="1128">
        <v>1</v>
      </c>
      <c r="X250" s="1128">
        <v>1</v>
      </c>
      <c r="Y250" s="1128">
        <v>1</v>
      </c>
      <c r="Z250" s="1128">
        <v>1</v>
      </c>
      <c r="AA250" s="1128">
        <v>1</v>
      </c>
    </row>
    <row r="251" spans="1:27" s="1724" customFormat="1" ht="15" customHeight="1">
      <c r="A251" s="7800"/>
      <c r="B251" s="7964"/>
      <c r="C251" s="7966"/>
      <c r="D251" s="7968"/>
      <c r="E251" s="2134"/>
      <c r="F251" s="2134"/>
      <c r="G251" s="2134"/>
      <c r="H251" s="2134"/>
      <c r="I251" s="2134"/>
      <c r="J251" s="2135"/>
      <c r="K251" s="1744"/>
      <c r="L251" s="7800"/>
      <c r="M251" s="7951"/>
      <c r="N251" s="2129"/>
      <c r="O251" s="7953"/>
      <c r="P251" s="2131"/>
      <c r="Q251" s="7969"/>
      <c r="R251" s="1128">
        <v>1</v>
      </c>
      <c r="S251" s="1128">
        <v>1</v>
      </c>
      <c r="T251" s="1128">
        <v>1</v>
      </c>
      <c r="U251" s="1128">
        <v>1</v>
      </c>
      <c r="V251" s="1128">
        <v>1</v>
      </c>
      <c r="W251" s="1128">
        <v>1</v>
      </c>
      <c r="X251" s="1128">
        <v>1</v>
      </c>
      <c r="Y251" s="1128">
        <v>1</v>
      </c>
      <c r="Z251" s="1128">
        <v>1</v>
      </c>
      <c r="AA251" s="1128">
        <v>1</v>
      </c>
    </row>
    <row r="252" spans="1:27" s="1724" customFormat="1" ht="15" customHeight="1">
      <c r="A252" s="7800"/>
      <c r="B252" s="2136">
        <v>32</v>
      </c>
      <c r="C252" s="2137">
        <v>1.45</v>
      </c>
      <c r="D252" s="2138">
        <f>B252/C252</f>
        <v>22.068965517241381</v>
      </c>
      <c r="E252" s="2139" t="s">
        <v>3244</v>
      </c>
      <c r="F252" s="2140"/>
      <c r="G252" s="2140"/>
      <c r="H252" s="2140"/>
      <c r="I252" s="2140"/>
      <c r="J252" s="2141"/>
      <c r="K252" s="1744"/>
      <c r="L252" s="7800"/>
      <c r="M252" s="2142">
        <v>10</v>
      </c>
      <c r="N252" s="2143"/>
      <c r="O252" s="2143">
        <v>0.1</v>
      </c>
      <c r="P252" s="2143"/>
      <c r="Q252" s="2144">
        <f>M252/O252</f>
        <v>100</v>
      </c>
      <c r="R252" s="1128">
        <v>1</v>
      </c>
      <c r="S252" s="1128">
        <v>1</v>
      </c>
      <c r="T252" s="1128">
        <v>1</v>
      </c>
      <c r="U252" s="1128">
        <v>1</v>
      </c>
      <c r="V252" s="1128">
        <v>1</v>
      </c>
      <c r="W252" s="1128">
        <v>1</v>
      </c>
      <c r="X252" s="1128">
        <v>1</v>
      </c>
      <c r="Y252" s="1128">
        <v>1</v>
      </c>
      <c r="Z252" s="1128">
        <v>1</v>
      </c>
      <c r="AA252" s="1128">
        <v>1</v>
      </c>
    </row>
    <row r="253" spans="1:27" s="1724" customFormat="1">
      <c r="A253" s="7800"/>
      <c r="B253" s="2145"/>
      <c r="C253" s="2146"/>
      <c r="D253" s="2147"/>
      <c r="E253" s="2140"/>
      <c r="F253" s="2140"/>
      <c r="G253" s="2140"/>
      <c r="H253" s="2140"/>
      <c r="I253" s="2140"/>
      <c r="J253" s="2141"/>
      <c r="K253" s="1744"/>
      <c r="L253" s="7800"/>
      <c r="M253" s="2142">
        <v>1</v>
      </c>
      <c r="N253" s="2143"/>
      <c r="O253" s="2143">
        <v>7.0000000000000007E-2</v>
      </c>
      <c r="P253" s="2143"/>
      <c r="Q253" s="2144">
        <f>M253/O253</f>
        <v>14.285714285714285</v>
      </c>
      <c r="R253" s="1128">
        <v>1</v>
      </c>
      <c r="S253" s="1128">
        <v>1</v>
      </c>
      <c r="T253" s="1128">
        <v>1</v>
      </c>
      <c r="U253" s="1128">
        <v>1</v>
      </c>
      <c r="V253" s="1128">
        <v>1</v>
      </c>
      <c r="W253" s="1128">
        <v>1</v>
      </c>
      <c r="X253" s="1128">
        <v>1</v>
      </c>
      <c r="Y253" s="1128">
        <v>1</v>
      </c>
      <c r="Z253" s="1128">
        <v>1</v>
      </c>
      <c r="AA253" s="1128">
        <v>1</v>
      </c>
    </row>
    <row r="254" spans="1:27" s="1724" customFormat="1">
      <c r="A254" s="7800"/>
      <c r="B254" s="2148" t="s">
        <v>3245</v>
      </c>
      <c r="C254" s="2149"/>
      <c r="D254" s="2149"/>
      <c r="E254" s="2149"/>
      <c r="F254" s="2149"/>
      <c r="G254" s="2149"/>
      <c r="H254" s="2149"/>
      <c r="I254" s="2149"/>
      <c r="J254" s="2150"/>
      <c r="K254" s="1744"/>
      <c r="L254" s="7800"/>
      <c r="M254" s="2151"/>
      <c r="N254" s="2152"/>
      <c r="O254" s="2153"/>
      <c r="P254" s="2152"/>
      <c r="Q254" s="1781"/>
      <c r="R254" s="1128">
        <v>1</v>
      </c>
      <c r="S254" s="1128">
        <v>1</v>
      </c>
      <c r="T254" s="1128">
        <v>1</v>
      </c>
      <c r="U254" s="1128">
        <v>1</v>
      </c>
      <c r="V254" s="1128">
        <v>1</v>
      </c>
      <c r="W254" s="1128">
        <v>1</v>
      </c>
      <c r="X254" s="1128">
        <v>1</v>
      </c>
      <c r="Y254" s="1128">
        <v>1</v>
      </c>
      <c r="Z254" s="1128">
        <v>1</v>
      </c>
      <c r="AA254" s="1128">
        <v>1</v>
      </c>
    </row>
    <row r="255" spans="1:27" s="1724" customFormat="1">
      <c r="A255" s="7800"/>
      <c r="B255" s="2154">
        <v>32</v>
      </c>
      <c r="C255" s="2155">
        <v>1.2</v>
      </c>
      <c r="D255" s="2138">
        <f t="shared" ref="D255:D266" si="0">B255/C255</f>
        <v>26.666666666666668</v>
      </c>
      <c r="E255" s="2156" t="s">
        <v>3246</v>
      </c>
      <c r="F255" s="2157"/>
      <c r="G255" s="2157"/>
      <c r="H255" s="2157"/>
      <c r="I255" s="2158"/>
      <c r="J255" s="2159"/>
      <c r="K255" s="1744"/>
      <c r="L255" s="7800"/>
      <c r="M255" s="2160" t="s">
        <v>3247</v>
      </c>
      <c r="N255" s="2161"/>
      <c r="O255" s="2153"/>
      <c r="P255" s="1745"/>
      <c r="Q255" s="1781"/>
      <c r="R255" s="1128">
        <v>1</v>
      </c>
      <c r="S255" s="1128">
        <v>1</v>
      </c>
      <c r="T255" s="1128">
        <v>1</v>
      </c>
      <c r="U255" s="1128">
        <v>1</v>
      </c>
      <c r="V255" s="1128">
        <v>1</v>
      </c>
      <c r="W255" s="1128">
        <v>1</v>
      </c>
      <c r="X255" s="1128">
        <v>1</v>
      </c>
      <c r="Y255" s="1128">
        <v>1</v>
      </c>
      <c r="Z255" s="1128">
        <v>1</v>
      </c>
      <c r="AA255" s="1128">
        <v>1</v>
      </c>
    </row>
    <row r="256" spans="1:27" s="1724" customFormat="1">
      <c r="A256" s="7800"/>
      <c r="B256" s="2154">
        <v>12</v>
      </c>
      <c r="C256" s="2155">
        <v>1</v>
      </c>
      <c r="D256" s="2138">
        <f t="shared" si="0"/>
        <v>12</v>
      </c>
      <c r="E256" s="2156" t="s">
        <v>3248</v>
      </c>
      <c r="F256" s="2157"/>
      <c r="G256" s="2157"/>
      <c r="H256" s="2157"/>
      <c r="I256" s="2158"/>
      <c r="J256" s="2159"/>
      <c r="K256" s="1744"/>
      <c r="L256" s="7800"/>
      <c r="M256" s="2162" t="s">
        <v>3249</v>
      </c>
      <c r="N256" s="2161"/>
      <c r="O256" s="2153"/>
      <c r="P256" s="1745"/>
      <c r="Q256" s="1781"/>
      <c r="R256" s="1128">
        <v>1</v>
      </c>
      <c r="S256" s="1128">
        <v>1</v>
      </c>
      <c r="T256" s="1128">
        <v>1</v>
      </c>
      <c r="U256" s="1128">
        <v>1</v>
      </c>
      <c r="V256" s="1128">
        <v>1</v>
      </c>
      <c r="W256" s="1128">
        <v>1</v>
      </c>
      <c r="X256" s="1128">
        <v>1</v>
      </c>
      <c r="Y256" s="1128">
        <v>1</v>
      </c>
      <c r="Z256" s="1128">
        <v>1</v>
      </c>
      <c r="AA256" s="1128">
        <v>1</v>
      </c>
    </row>
    <row r="257" spans="1:27" s="1724" customFormat="1">
      <c r="A257" s="7800"/>
      <c r="B257" s="2154">
        <v>32</v>
      </c>
      <c r="C257" s="2155">
        <v>2</v>
      </c>
      <c r="D257" s="2138">
        <f t="shared" si="0"/>
        <v>16</v>
      </c>
      <c r="E257" s="2156" t="s">
        <v>3250</v>
      </c>
      <c r="F257" s="2157"/>
      <c r="G257" s="2157"/>
      <c r="H257" s="2157"/>
      <c r="I257" s="2158"/>
      <c r="J257" s="2159"/>
      <c r="K257" s="1744"/>
      <c r="L257" s="7800"/>
      <c r="M257" s="2163"/>
      <c r="N257" s="2164"/>
      <c r="O257" s="2164"/>
      <c r="P257" s="2164"/>
      <c r="Q257" s="2165"/>
      <c r="R257" s="1128">
        <v>1</v>
      </c>
      <c r="S257" s="1128">
        <v>1</v>
      </c>
      <c r="T257" s="1128">
        <v>1</v>
      </c>
      <c r="U257" s="1128">
        <v>1</v>
      </c>
      <c r="V257" s="1128">
        <v>1</v>
      </c>
      <c r="W257" s="1128">
        <v>1</v>
      </c>
      <c r="X257" s="1128">
        <v>1</v>
      </c>
      <c r="Y257" s="1128">
        <v>1</v>
      </c>
      <c r="Z257" s="1128">
        <v>1</v>
      </c>
      <c r="AA257" s="1128">
        <v>1</v>
      </c>
    </row>
    <row r="258" spans="1:27" s="1724" customFormat="1">
      <c r="A258" s="7800"/>
      <c r="B258" s="2154">
        <v>32</v>
      </c>
      <c r="C258" s="2155">
        <v>1.2</v>
      </c>
      <c r="D258" s="2138">
        <f t="shared" si="0"/>
        <v>26.666666666666668</v>
      </c>
      <c r="E258" s="2156" t="s">
        <v>3250</v>
      </c>
      <c r="F258" s="2157"/>
      <c r="G258" s="2157"/>
      <c r="H258" s="2157"/>
      <c r="I258" s="2158"/>
      <c r="J258" s="2159"/>
      <c r="K258" s="1744"/>
      <c r="L258" s="7800"/>
      <c r="M258" s="7951" t="s">
        <v>3241</v>
      </c>
      <c r="N258" s="7952"/>
      <c r="O258" s="7953" t="s">
        <v>3251</v>
      </c>
      <c r="P258" s="7953"/>
      <c r="Q258" s="7954" t="s">
        <v>3252</v>
      </c>
      <c r="R258" s="1128">
        <v>1</v>
      </c>
      <c r="S258" s="1128">
        <v>1</v>
      </c>
      <c r="T258" s="1128">
        <v>1</v>
      </c>
      <c r="U258" s="1128">
        <v>1</v>
      </c>
      <c r="V258" s="1128">
        <v>1</v>
      </c>
      <c r="W258" s="1128">
        <v>1</v>
      </c>
      <c r="X258" s="1128">
        <v>1</v>
      </c>
      <c r="Y258" s="1128">
        <v>1</v>
      </c>
      <c r="Z258" s="1128">
        <v>1</v>
      </c>
      <c r="AA258" s="1128">
        <v>1</v>
      </c>
    </row>
    <row r="259" spans="1:27" s="1724" customFormat="1">
      <c r="A259" s="7800"/>
      <c r="B259" s="2154">
        <v>33</v>
      </c>
      <c r="C259" s="2155">
        <v>1.3</v>
      </c>
      <c r="D259" s="2138">
        <f t="shared" si="0"/>
        <v>25.384615384615383</v>
      </c>
      <c r="E259" s="2156" t="s">
        <v>3253</v>
      </c>
      <c r="F259" s="2157"/>
      <c r="G259" s="2157"/>
      <c r="H259" s="2157"/>
      <c r="I259" s="2158"/>
      <c r="J259" s="2159"/>
      <c r="K259" s="1744"/>
      <c r="L259" s="7800"/>
      <c r="M259" s="7951"/>
      <c r="N259" s="7952"/>
      <c r="O259" s="7953"/>
      <c r="P259" s="7953"/>
      <c r="Q259" s="7954"/>
      <c r="R259" s="1128">
        <v>1</v>
      </c>
      <c r="S259" s="1128">
        <v>1</v>
      </c>
      <c r="T259" s="1128">
        <v>1</v>
      </c>
      <c r="U259" s="1128">
        <v>1</v>
      </c>
      <c r="V259" s="1128">
        <v>1</v>
      </c>
      <c r="W259" s="1128">
        <v>1</v>
      </c>
      <c r="X259" s="1128">
        <v>1</v>
      </c>
      <c r="Y259" s="1128">
        <v>1</v>
      </c>
      <c r="Z259" s="1128">
        <v>1</v>
      </c>
      <c r="AA259" s="1128">
        <v>1</v>
      </c>
    </row>
    <row r="260" spans="1:27" s="1724" customFormat="1">
      <c r="A260" s="7800"/>
      <c r="B260" s="2154">
        <v>33</v>
      </c>
      <c r="C260" s="2155">
        <v>1.5</v>
      </c>
      <c r="D260" s="2138">
        <f t="shared" si="0"/>
        <v>22</v>
      </c>
      <c r="E260" s="2156" t="s">
        <v>3254</v>
      </c>
      <c r="F260" s="2157"/>
      <c r="G260" s="2157"/>
      <c r="H260" s="2157"/>
      <c r="I260" s="2158"/>
      <c r="J260" s="2159"/>
      <c r="K260" s="1744"/>
      <c r="L260" s="7800"/>
      <c r="M260" s="2128"/>
      <c r="N260" s="2166"/>
      <c r="O260" s="2130"/>
      <c r="P260" s="2130"/>
      <c r="Q260" s="2167"/>
      <c r="R260" s="1128">
        <v>1</v>
      </c>
      <c r="S260" s="1128">
        <v>1</v>
      </c>
      <c r="T260" s="1128">
        <v>1</v>
      </c>
      <c r="U260" s="1128">
        <v>1</v>
      </c>
      <c r="V260" s="1128">
        <v>1</v>
      </c>
      <c r="W260" s="1128">
        <v>1</v>
      </c>
      <c r="X260" s="1128">
        <v>1</v>
      </c>
      <c r="Y260" s="1128">
        <v>1</v>
      </c>
      <c r="Z260" s="1128">
        <v>1</v>
      </c>
      <c r="AA260" s="1128">
        <v>1</v>
      </c>
    </row>
    <row r="261" spans="1:27" s="1724" customFormat="1">
      <c r="A261" s="7800"/>
      <c r="B261" s="2154">
        <v>30</v>
      </c>
      <c r="C261" s="2155">
        <v>1.2</v>
      </c>
      <c r="D261" s="2138">
        <f t="shared" si="0"/>
        <v>25</v>
      </c>
      <c r="E261" s="2156" t="s">
        <v>3255</v>
      </c>
      <c r="F261" s="2157"/>
      <c r="G261" s="2157"/>
      <c r="H261" s="2157"/>
      <c r="I261" s="2158"/>
      <c r="J261" s="2159"/>
      <c r="K261" s="1744"/>
      <c r="L261" s="7800"/>
      <c r="M261" s="2168">
        <v>0.25</v>
      </c>
      <c r="N261" s="2169"/>
      <c r="O261" s="2170">
        <v>2</v>
      </c>
      <c r="P261" s="2171"/>
      <c r="Q261" s="2172">
        <f>M261/O261</f>
        <v>0.125</v>
      </c>
      <c r="R261" s="1128">
        <v>1</v>
      </c>
      <c r="S261" s="1128">
        <v>1</v>
      </c>
      <c r="T261" s="1128">
        <v>1</v>
      </c>
      <c r="U261" s="1128">
        <v>1</v>
      </c>
      <c r="V261" s="1128">
        <v>1</v>
      </c>
      <c r="W261" s="1128">
        <v>1</v>
      </c>
      <c r="X261" s="1128">
        <v>1</v>
      </c>
      <c r="Y261" s="1128">
        <v>1</v>
      </c>
      <c r="Z261" s="1128">
        <v>1</v>
      </c>
      <c r="AA261" s="1128">
        <v>1</v>
      </c>
    </row>
    <row r="262" spans="1:27" s="1724" customFormat="1">
      <c r="A262" s="7800"/>
      <c r="B262" s="2154">
        <v>33</v>
      </c>
      <c r="C262" s="2155">
        <v>1.6</v>
      </c>
      <c r="D262" s="2138">
        <f t="shared" si="0"/>
        <v>20.625</v>
      </c>
      <c r="E262" s="2156" t="s">
        <v>3256</v>
      </c>
      <c r="F262" s="2157"/>
      <c r="G262" s="2157"/>
      <c r="H262" s="2157"/>
      <c r="I262" s="2158"/>
      <c r="J262" s="2159"/>
      <c r="K262" s="1744"/>
      <c r="L262" s="7800"/>
      <c r="M262" s="2168">
        <v>3.5</v>
      </c>
      <c r="N262" s="2169"/>
      <c r="O262" s="2170">
        <v>20</v>
      </c>
      <c r="P262" s="2171"/>
      <c r="Q262" s="2172">
        <f>M262/O262</f>
        <v>0.17499999999999999</v>
      </c>
      <c r="R262" s="1128">
        <v>1</v>
      </c>
      <c r="S262" s="1128">
        <v>1</v>
      </c>
      <c r="T262" s="1128">
        <v>1</v>
      </c>
      <c r="U262" s="1128">
        <v>1</v>
      </c>
      <c r="V262" s="1128">
        <v>1</v>
      </c>
      <c r="W262" s="1128">
        <v>1</v>
      </c>
      <c r="X262" s="1128">
        <v>1</v>
      </c>
      <c r="Y262" s="1128">
        <v>1</v>
      </c>
      <c r="Z262" s="1128">
        <v>1</v>
      </c>
      <c r="AA262" s="1128">
        <v>1</v>
      </c>
    </row>
    <row r="263" spans="1:27" s="1724" customFormat="1">
      <c r="A263" s="7800"/>
      <c r="B263" s="2154">
        <v>33</v>
      </c>
      <c r="C263" s="2155">
        <v>2</v>
      </c>
      <c r="D263" s="2138">
        <f t="shared" si="0"/>
        <v>16.5</v>
      </c>
      <c r="E263" s="2156" t="s">
        <v>3257</v>
      </c>
      <c r="F263" s="2157"/>
      <c r="G263" s="2157"/>
      <c r="H263" s="2157"/>
      <c r="I263" s="2158"/>
      <c r="J263" s="2159"/>
      <c r="K263" s="1744"/>
      <c r="L263" s="7800"/>
      <c r="M263" s="2173"/>
      <c r="N263" s="2174"/>
      <c r="O263" s="2175"/>
      <c r="P263" s="2175"/>
      <c r="Q263" s="2176"/>
      <c r="R263" s="1128">
        <v>1</v>
      </c>
      <c r="S263" s="1128">
        <v>1</v>
      </c>
      <c r="T263" s="1128">
        <v>1</v>
      </c>
      <c r="U263" s="1128">
        <v>1</v>
      </c>
      <c r="V263" s="1128">
        <v>1</v>
      </c>
      <c r="W263" s="1128">
        <v>1</v>
      </c>
      <c r="X263" s="1128">
        <v>1</v>
      </c>
      <c r="Y263" s="1128">
        <v>1</v>
      </c>
      <c r="Z263" s="1128">
        <v>1</v>
      </c>
      <c r="AA263" s="1128">
        <v>1</v>
      </c>
    </row>
    <row r="264" spans="1:27" s="1724" customFormat="1">
      <c r="A264" s="7800"/>
      <c r="B264" s="2154">
        <v>48</v>
      </c>
      <c r="C264" s="2155">
        <v>6</v>
      </c>
      <c r="D264" s="2138">
        <f t="shared" si="0"/>
        <v>8</v>
      </c>
      <c r="E264" s="2156" t="s">
        <v>3258</v>
      </c>
      <c r="F264" s="2157"/>
      <c r="G264" s="2157"/>
      <c r="H264" s="2157"/>
      <c r="I264" s="2158"/>
      <c r="J264" s="2159"/>
      <c r="K264" s="1744"/>
      <c r="L264" s="7800"/>
      <c r="M264" s="2177" t="s">
        <v>3247</v>
      </c>
      <c r="N264" s="2178"/>
      <c r="O264" s="2179"/>
      <c r="P264" s="2180"/>
      <c r="Q264" s="2181"/>
      <c r="R264" s="1128">
        <v>1</v>
      </c>
      <c r="S264" s="1128">
        <v>1</v>
      </c>
      <c r="T264" s="1128">
        <v>1</v>
      </c>
      <c r="U264" s="1128">
        <v>1</v>
      </c>
      <c r="V264" s="1128">
        <v>1</v>
      </c>
      <c r="W264" s="1128">
        <v>1</v>
      </c>
      <c r="X264" s="1128">
        <v>1</v>
      </c>
      <c r="Y264" s="1128">
        <v>1</v>
      </c>
      <c r="Z264" s="1128">
        <v>1</v>
      </c>
      <c r="AA264" s="1128">
        <v>1</v>
      </c>
    </row>
    <row r="265" spans="1:27" s="1724" customFormat="1">
      <c r="A265" s="7800"/>
      <c r="B265" s="2154">
        <v>1</v>
      </c>
      <c r="C265" s="2155">
        <v>0.25</v>
      </c>
      <c r="D265" s="2138">
        <f t="shared" si="0"/>
        <v>4</v>
      </c>
      <c r="E265" s="2156" t="s">
        <v>3259</v>
      </c>
      <c r="F265" s="2157"/>
      <c r="G265" s="2157"/>
      <c r="H265" s="2157"/>
      <c r="I265" s="2158"/>
      <c r="J265" s="2159"/>
      <c r="K265" s="1744"/>
      <c r="L265" s="7800"/>
      <c r="M265" s="2182" t="s">
        <v>3260</v>
      </c>
      <c r="N265" s="2178"/>
      <c r="O265" s="2179"/>
      <c r="P265" s="2180"/>
      <c r="Q265" s="2181"/>
      <c r="R265" s="1128">
        <v>1</v>
      </c>
      <c r="S265" s="1128">
        <v>1</v>
      </c>
      <c r="T265" s="1128">
        <v>1</v>
      </c>
      <c r="U265" s="1128">
        <v>1</v>
      </c>
      <c r="V265" s="1128">
        <v>1</v>
      </c>
      <c r="W265" s="1128">
        <v>1</v>
      </c>
      <c r="X265" s="1128">
        <v>1</v>
      </c>
      <c r="Y265" s="1128">
        <v>1</v>
      </c>
      <c r="Z265" s="1128">
        <v>1</v>
      </c>
      <c r="AA265" s="1128">
        <v>1</v>
      </c>
    </row>
    <row r="266" spans="1:27" s="1724" customFormat="1">
      <c r="A266" s="7800"/>
      <c r="B266" s="2154">
        <v>25</v>
      </c>
      <c r="C266" s="2155">
        <v>1</v>
      </c>
      <c r="D266" s="2138">
        <f t="shared" si="0"/>
        <v>25</v>
      </c>
      <c r="E266" s="2156" t="s">
        <v>3261</v>
      </c>
      <c r="F266" s="2157"/>
      <c r="G266" s="2157"/>
      <c r="H266" s="2157"/>
      <c r="I266" s="2158"/>
      <c r="J266" s="2159"/>
      <c r="K266" s="1744"/>
      <c r="L266" s="7800"/>
      <c r="M266" s="7955" t="s">
        <v>3262</v>
      </c>
      <c r="N266" s="7956"/>
      <c r="O266" s="7956"/>
      <c r="P266" s="2183"/>
      <c r="Q266" s="7959" t="s">
        <v>3252</v>
      </c>
      <c r="R266" s="1128">
        <v>1</v>
      </c>
      <c r="S266" s="1128">
        <v>1</v>
      </c>
      <c r="T266" s="1128">
        <v>1</v>
      </c>
      <c r="U266" s="1128">
        <v>1</v>
      </c>
      <c r="V266" s="1128">
        <v>1</v>
      </c>
      <c r="W266" s="1128">
        <v>1</v>
      </c>
      <c r="X266" s="1128">
        <v>1</v>
      </c>
      <c r="Y266" s="1128">
        <v>1</v>
      </c>
      <c r="Z266" s="1128">
        <v>1</v>
      </c>
      <c r="AA266" s="1128">
        <v>1</v>
      </c>
    </row>
    <row r="267" spans="1:27" s="1724" customFormat="1">
      <c r="A267" s="7800"/>
      <c r="B267" s="2184"/>
      <c r="C267" s="2185"/>
      <c r="D267" s="2138"/>
      <c r="E267" s="2186"/>
      <c r="F267" s="2157"/>
      <c r="G267" s="2157"/>
      <c r="H267" s="2157"/>
      <c r="I267" s="2158"/>
      <c r="J267" s="2159"/>
      <c r="K267" s="1744"/>
      <c r="L267" s="7800"/>
      <c r="M267" s="7957"/>
      <c r="N267" s="7958"/>
      <c r="O267" s="7958"/>
      <c r="P267" s="2187" t="s">
        <v>3263</v>
      </c>
      <c r="Q267" s="7954"/>
      <c r="R267" s="1128">
        <v>1</v>
      </c>
      <c r="S267" s="1128">
        <v>1</v>
      </c>
      <c r="T267" s="1128">
        <v>1</v>
      </c>
      <c r="U267" s="1128">
        <v>1</v>
      </c>
      <c r="V267" s="1128">
        <v>1</v>
      </c>
      <c r="W267" s="1128">
        <v>1</v>
      </c>
      <c r="X267" s="1128">
        <v>1</v>
      </c>
      <c r="Y267" s="1128">
        <v>1</v>
      </c>
      <c r="Z267" s="1128">
        <v>1</v>
      </c>
      <c r="AA267" s="1128">
        <v>1</v>
      </c>
    </row>
    <row r="268" spans="1:27" s="1724" customFormat="1" ht="15" customHeight="1">
      <c r="A268" s="7800"/>
      <c r="B268" s="2188" t="s">
        <v>3264</v>
      </c>
      <c r="C268" s="2185"/>
      <c r="D268" s="2138"/>
      <c r="E268" s="2186"/>
      <c r="F268" s="2157"/>
      <c r="G268" s="2157"/>
      <c r="H268" s="2157"/>
      <c r="I268" s="2158"/>
      <c r="J268" s="2159"/>
      <c r="K268" s="1744"/>
      <c r="L268" s="7800"/>
      <c r="M268" s="2189" t="s">
        <v>3265</v>
      </c>
      <c r="N268" s="2190"/>
      <c r="O268" s="2179">
        <v>0.9</v>
      </c>
      <c r="P268" s="2180">
        <v>7</v>
      </c>
      <c r="Q268" s="2181">
        <f>O268/P268</f>
        <v>0.12857142857142859</v>
      </c>
      <c r="R268" s="1128">
        <v>1</v>
      </c>
      <c r="S268" s="1128">
        <v>1</v>
      </c>
      <c r="T268" s="1128">
        <v>1</v>
      </c>
      <c r="U268" s="1128">
        <v>1</v>
      </c>
      <c r="V268" s="1128">
        <v>1</v>
      </c>
      <c r="W268" s="1128">
        <v>1</v>
      </c>
      <c r="X268" s="1128">
        <v>1</v>
      </c>
      <c r="Y268" s="1128">
        <v>1</v>
      </c>
      <c r="Z268" s="1128">
        <v>1</v>
      </c>
      <c r="AA268" s="1128">
        <v>1</v>
      </c>
    </row>
    <row r="269" spans="1:27" s="1724" customFormat="1" ht="15" customHeight="1">
      <c r="A269" s="7800"/>
      <c r="B269" s="7970" t="s">
        <v>3266</v>
      </c>
      <c r="C269" s="7971"/>
      <c r="D269" s="7971"/>
      <c r="E269" s="7971"/>
      <c r="F269" s="7971"/>
      <c r="G269" s="7971"/>
      <c r="H269" s="7971"/>
      <c r="I269" s="7971"/>
      <c r="J269" s="7972"/>
      <c r="K269" s="1744"/>
      <c r="L269" s="7800"/>
      <c r="M269" s="2189" t="s">
        <v>3267</v>
      </c>
      <c r="N269" s="2190"/>
      <c r="O269" s="2179">
        <v>3.5</v>
      </c>
      <c r="P269" s="2180">
        <v>20</v>
      </c>
      <c r="Q269" s="2181">
        <f>O269/P269</f>
        <v>0.17499999999999999</v>
      </c>
      <c r="R269" s="1128">
        <v>1</v>
      </c>
      <c r="S269" s="1128">
        <v>1</v>
      </c>
      <c r="T269" s="1128">
        <v>1</v>
      </c>
      <c r="U269" s="1128">
        <v>1</v>
      </c>
      <c r="V269" s="1128">
        <v>1</v>
      </c>
      <c r="W269" s="1128">
        <v>1</v>
      </c>
      <c r="X269" s="1128">
        <v>1</v>
      </c>
      <c r="Y269" s="1128">
        <v>1</v>
      </c>
      <c r="Z269" s="1128">
        <v>1</v>
      </c>
      <c r="AA269" s="1128">
        <v>1</v>
      </c>
    </row>
    <row r="270" spans="1:27" s="1724" customFormat="1" ht="15" customHeight="1">
      <c r="A270" s="7800"/>
      <c r="B270" s="7970"/>
      <c r="C270" s="7971"/>
      <c r="D270" s="7971"/>
      <c r="E270" s="7971"/>
      <c r="F270" s="7971"/>
      <c r="G270" s="7971"/>
      <c r="H270" s="7971"/>
      <c r="I270" s="7971"/>
      <c r="J270" s="7972"/>
      <c r="K270" s="1744"/>
      <c r="L270" s="7800"/>
      <c r="M270" s="2173"/>
      <c r="N270" s="2174"/>
      <c r="O270" s="2175"/>
      <c r="P270" s="2175"/>
      <c r="Q270" s="2176"/>
      <c r="R270" s="1128">
        <v>1</v>
      </c>
      <c r="S270" s="1128">
        <v>1</v>
      </c>
      <c r="T270" s="1128">
        <v>1</v>
      </c>
      <c r="U270" s="1128">
        <v>1</v>
      </c>
      <c r="V270" s="1128">
        <v>1</v>
      </c>
      <c r="W270" s="1128">
        <v>1</v>
      </c>
      <c r="X270" s="1128">
        <v>1</v>
      </c>
      <c r="Y270" s="1128">
        <v>1</v>
      </c>
      <c r="Z270" s="1128">
        <v>1</v>
      </c>
      <c r="AA270" s="1128">
        <v>1</v>
      </c>
    </row>
    <row r="271" spans="1:27" s="1724" customFormat="1" thickBot="1">
      <c r="A271" s="7800"/>
      <c r="B271" s="7973"/>
      <c r="C271" s="7974"/>
      <c r="D271" s="7974"/>
      <c r="E271" s="7974"/>
      <c r="F271" s="7974"/>
      <c r="G271" s="7974"/>
      <c r="H271" s="7974"/>
      <c r="I271" s="7974"/>
      <c r="J271" s="7975"/>
      <c r="K271" s="1744"/>
      <c r="L271" s="7800"/>
      <c r="M271" s="2191" t="s">
        <v>3240</v>
      </c>
      <c r="N271" s="2192"/>
      <c r="O271" s="2192"/>
      <c r="P271" s="2192"/>
      <c r="Q271" s="2193"/>
      <c r="R271" s="1128">
        <v>1</v>
      </c>
      <c r="S271" s="1128">
        <v>1</v>
      </c>
      <c r="T271" s="1128">
        <v>1</v>
      </c>
      <c r="U271" s="1128">
        <v>1</v>
      </c>
      <c r="V271" s="1128">
        <v>1</v>
      </c>
      <c r="W271" s="1128">
        <v>1</v>
      </c>
      <c r="X271" s="1128">
        <v>1</v>
      </c>
      <c r="Y271" s="1128">
        <v>1</v>
      </c>
      <c r="Z271" s="1128">
        <v>1</v>
      </c>
      <c r="AA271" s="1128">
        <v>1</v>
      </c>
    </row>
    <row r="272" spans="1:27" s="1724" customFormat="1" thickBot="1">
      <c r="A272" s="1744"/>
      <c r="B272" s="1745"/>
      <c r="C272" s="1745"/>
      <c r="D272" s="1745"/>
      <c r="E272" s="1745"/>
      <c r="F272" s="1745"/>
      <c r="G272" s="1745"/>
      <c r="H272" s="1745"/>
      <c r="I272" s="1745"/>
      <c r="J272" s="1745"/>
      <c r="K272" s="1745"/>
      <c r="L272" s="7800"/>
      <c r="M272" s="2194"/>
      <c r="N272" s="2195"/>
      <c r="O272" s="2196"/>
      <c r="P272" s="2195"/>
      <c r="Q272" s="1791"/>
      <c r="R272" s="1128">
        <v>1</v>
      </c>
      <c r="S272" s="1128">
        <v>1</v>
      </c>
      <c r="T272" s="1128">
        <v>1</v>
      </c>
      <c r="U272" s="1128">
        <v>1</v>
      </c>
      <c r="V272" s="1128">
        <v>1</v>
      </c>
      <c r="W272" s="1128">
        <v>1</v>
      </c>
      <c r="X272" s="1128">
        <v>1</v>
      </c>
      <c r="Y272" s="1128">
        <v>1</v>
      </c>
      <c r="Z272" s="1128">
        <v>1</v>
      </c>
      <c r="AA272" s="1128">
        <v>1</v>
      </c>
    </row>
    <row r="273" spans="1:27" s="1724" customFormat="1" ht="15.75" customHeight="1" thickBot="1">
      <c r="A273" s="1744"/>
      <c r="B273" s="1778"/>
      <c r="C273" s="1778"/>
      <c r="D273" s="1778"/>
      <c r="E273" s="1778"/>
      <c r="F273" s="1778"/>
      <c r="G273" s="1778"/>
      <c r="H273" s="1745"/>
      <c r="I273" s="1788"/>
      <c r="J273" s="1788"/>
      <c r="K273" s="1789"/>
      <c r="L273" s="1789"/>
      <c r="M273" s="1788"/>
      <c r="N273" s="1788"/>
      <c r="O273" s="1744"/>
      <c r="P273" s="1744"/>
      <c r="Q273" s="1744"/>
      <c r="R273" s="1128">
        <v>1</v>
      </c>
      <c r="S273" s="1128">
        <v>1</v>
      </c>
      <c r="T273" s="1128">
        <v>1</v>
      </c>
      <c r="U273" s="1128">
        <v>1</v>
      </c>
      <c r="V273" s="1128">
        <v>1</v>
      </c>
      <c r="W273" s="1128">
        <v>1</v>
      </c>
      <c r="X273" s="1128">
        <v>1</v>
      </c>
      <c r="Y273" s="1128">
        <v>1</v>
      </c>
      <c r="Z273" s="1128">
        <v>1</v>
      </c>
      <c r="AA273" s="1128">
        <v>1</v>
      </c>
    </row>
    <row r="274" spans="1:27" s="1724" customFormat="1" ht="15">
      <c r="A274" s="7921" t="s">
        <v>252</v>
      </c>
      <c r="B274" s="7923" t="s">
        <v>3086</v>
      </c>
      <c r="C274" s="7924"/>
      <c r="D274" s="7924"/>
      <c r="E274" s="7924"/>
      <c r="F274" s="7924"/>
      <c r="G274" s="7924"/>
      <c r="H274" s="7924"/>
      <c r="I274" s="7924"/>
      <c r="J274" s="7924"/>
      <c r="K274" s="7924"/>
      <c r="L274" s="7924"/>
      <c r="M274" s="7924"/>
      <c r="N274" s="7927">
        <v>1</v>
      </c>
      <c r="O274" s="1744"/>
      <c r="P274" s="1744"/>
      <c r="Q274" s="1744"/>
      <c r="R274" s="1128">
        <v>1</v>
      </c>
      <c r="S274" s="1128">
        <v>1</v>
      </c>
      <c r="T274" s="1128">
        <v>1</v>
      </c>
      <c r="U274" s="1128">
        <v>1</v>
      </c>
      <c r="V274" s="1128">
        <v>1</v>
      </c>
      <c r="W274" s="1128">
        <v>1</v>
      </c>
      <c r="X274" s="1128">
        <v>1</v>
      </c>
      <c r="Y274" s="1128">
        <v>1</v>
      </c>
      <c r="Z274" s="1128">
        <v>1</v>
      </c>
      <c r="AA274" s="1128">
        <v>1</v>
      </c>
    </row>
    <row r="275" spans="1:27" s="1724" customFormat="1" ht="15">
      <c r="A275" s="7922"/>
      <c r="B275" s="7925"/>
      <c r="C275" s="7926"/>
      <c r="D275" s="7926"/>
      <c r="E275" s="7926"/>
      <c r="F275" s="7926"/>
      <c r="G275" s="7926"/>
      <c r="H275" s="7926"/>
      <c r="I275" s="7926"/>
      <c r="J275" s="7926"/>
      <c r="K275" s="7926"/>
      <c r="L275" s="7926"/>
      <c r="M275" s="7926"/>
      <c r="N275" s="7928"/>
      <c r="O275" s="1744"/>
      <c r="P275" s="1744"/>
      <c r="Q275" s="1744"/>
      <c r="R275" s="1128">
        <v>1</v>
      </c>
      <c r="S275" s="1128">
        <v>1</v>
      </c>
      <c r="T275" s="1128">
        <v>1</v>
      </c>
      <c r="U275" s="1128">
        <v>1</v>
      </c>
      <c r="V275" s="1128">
        <v>1</v>
      </c>
      <c r="W275" s="1128">
        <v>1</v>
      </c>
      <c r="X275" s="1128">
        <v>1</v>
      </c>
      <c r="Y275" s="1128">
        <v>1</v>
      </c>
      <c r="Z275" s="1128">
        <v>1</v>
      </c>
      <c r="AA275" s="1128">
        <v>1</v>
      </c>
    </row>
    <row r="276" spans="1:27" s="1724" customFormat="1">
      <c r="A276" s="7929" t="str">
        <f>B274</f>
        <v>QUANTITÉS A SERVIR OU A COMMANDER</v>
      </c>
      <c r="B276" s="2197" t="str">
        <f>ADDRESS(ROW(),COLUMN(),4)</f>
        <v>B276</v>
      </c>
      <c r="C276" s="2198" t="s">
        <v>750</v>
      </c>
      <c r="D276" s="2199"/>
      <c r="E276" s="2199"/>
      <c r="F276" s="2199"/>
      <c r="G276" s="2199"/>
      <c r="H276" s="2199"/>
      <c r="I276" s="2199"/>
      <c r="J276" s="2199"/>
      <c r="K276" s="2199"/>
      <c r="L276" s="2199"/>
      <c r="M276" s="2199"/>
      <c r="N276" s="2200"/>
      <c r="O276" s="1744"/>
      <c r="P276" s="1744"/>
      <c r="Q276" s="1744"/>
      <c r="R276" s="1128">
        <v>1</v>
      </c>
      <c r="S276" s="1128">
        <v>1</v>
      </c>
      <c r="T276" s="1128">
        <v>1</v>
      </c>
      <c r="U276" s="1128">
        <v>1</v>
      </c>
      <c r="V276" s="1128">
        <v>1</v>
      </c>
      <c r="W276" s="1128">
        <v>1</v>
      </c>
      <c r="X276" s="1128">
        <v>1</v>
      </c>
      <c r="Y276" s="1128">
        <v>1</v>
      </c>
      <c r="Z276" s="1128">
        <v>1</v>
      </c>
      <c r="AA276" s="1128">
        <v>1</v>
      </c>
    </row>
    <row r="277" spans="1:27" s="1724" customFormat="1" ht="20.25">
      <c r="A277" s="7929"/>
      <c r="B277" s="7930" t="s">
        <v>3268</v>
      </c>
      <c r="C277" s="7931"/>
      <c r="D277" s="7931"/>
      <c r="E277" s="7931"/>
      <c r="F277" s="7931"/>
      <c r="G277" s="7931"/>
      <c r="H277" s="7931"/>
      <c r="I277" s="7931"/>
      <c r="J277" s="7931"/>
      <c r="K277" s="7931"/>
      <c r="L277" s="7931"/>
      <c r="M277" s="7931"/>
      <c r="N277" s="7932"/>
      <c r="O277" s="1744"/>
      <c r="P277" s="1744"/>
      <c r="Q277" s="1744"/>
      <c r="R277" s="1128">
        <v>1</v>
      </c>
      <c r="S277" s="1128">
        <v>1</v>
      </c>
      <c r="T277" s="1128">
        <v>1</v>
      </c>
      <c r="U277" s="1128">
        <v>1</v>
      </c>
      <c r="V277" s="1128">
        <v>1</v>
      </c>
      <c r="W277" s="1128">
        <v>1</v>
      </c>
      <c r="X277" s="1128">
        <v>1</v>
      </c>
      <c r="Y277" s="1128">
        <v>1</v>
      </c>
      <c r="Z277" s="1128">
        <v>1</v>
      </c>
      <c r="AA277" s="1128">
        <v>1</v>
      </c>
    </row>
    <row r="278" spans="1:27" s="1724" customFormat="1" ht="15">
      <c r="A278" s="7929"/>
      <c r="B278" s="7933" t="s">
        <v>3269</v>
      </c>
      <c r="C278" s="7934"/>
      <c r="D278" s="7934"/>
      <c r="E278" s="7934"/>
      <c r="F278" s="7934"/>
      <c r="G278" s="7934"/>
      <c r="H278" s="7934"/>
      <c r="I278" s="7934"/>
      <c r="J278" s="7934"/>
      <c r="K278" s="7934"/>
      <c r="L278" s="7934"/>
      <c r="M278" s="7934"/>
      <c r="N278" s="7935"/>
      <c r="O278" s="1744"/>
      <c r="P278" s="1744"/>
      <c r="Q278" s="1744"/>
      <c r="R278" s="1128">
        <v>1</v>
      </c>
      <c r="S278" s="1128">
        <v>1</v>
      </c>
      <c r="T278" s="1128">
        <v>1</v>
      </c>
      <c r="U278" s="1128">
        <v>1</v>
      </c>
      <c r="V278" s="1128">
        <v>1</v>
      </c>
      <c r="W278" s="1128">
        <v>1</v>
      </c>
      <c r="X278" s="1128">
        <v>1</v>
      </c>
      <c r="Y278" s="1128">
        <v>1</v>
      </c>
      <c r="Z278" s="1128">
        <v>1</v>
      </c>
      <c r="AA278" s="1128">
        <v>1</v>
      </c>
    </row>
    <row r="279" spans="1:27" s="1724" customFormat="1" ht="15">
      <c r="A279" s="7929"/>
      <c r="B279" s="7933"/>
      <c r="C279" s="7934"/>
      <c r="D279" s="7934"/>
      <c r="E279" s="7934"/>
      <c r="F279" s="7934"/>
      <c r="G279" s="7934"/>
      <c r="H279" s="7934"/>
      <c r="I279" s="7934"/>
      <c r="J279" s="7934"/>
      <c r="K279" s="7934"/>
      <c r="L279" s="7934"/>
      <c r="M279" s="7934"/>
      <c r="N279" s="7935"/>
      <c r="O279" s="1744"/>
      <c r="P279" s="1744"/>
      <c r="Q279" s="1744"/>
      <c r="R279" s="1128">
        <v>1</v>
      </c>
      <c r="S279" s="1128">
        <v>1</v>
      </c>
      <c r="T279" s="1128">
        <v>1</v>
      </c>
      <c r="U279" s="1128">
        <v>1</v>
      </c>
      <c r="V279" s="1128">
        <v>1</v>
      </c>
      <c r="W279" s="1128">
        <v>1</v>
      </c>
      <c r="X279" s="1128">
        <v>1</v>
      </c>
      <c r="Y279" s="1128">
        <v>1</v>
      </c>
      <c r="Z279" s="1128">
        <v>1</v>
      </c>
      <c r="AA279" s="1128">
        <v>1</v>
      </c>
    </row>
    <row r="280" spans="1:27" s="1724" customFormat="1" ht="15">
      <c r="A280" s="7929"/>
      <c r="B280" s="7933"/>
      <c r="C280" s="7934"/>
      <c r="D280" s="7934"/>
      <c r="E280" s="7934"/>
      <c r="F280" s="7934"/>
      <c r="G280" s="7934"/>
      <c r="H280" s="7934"/>
      <c r="I280" s="7934"/>
      <c r="J280" s="7934"/>
      <c r="K280" s="7934"/>
      <c r="L280" s="7934"/>
      <c r="M280" s="7934"/>
      <c r="N280" s="7935"/>
      <c r="O280" s="1744"/>
      <c r="P280" s="1744"/>
      <c r="Q280" s="1744"/>
      <c r="R280" s="1128">
        <v>1</v>
      </c>
      <c r="S280" s="1128">
        <v>1</v>
      </c>
      <c r="T280" s="1128">
        <v>1</v>
      </c>
      <c r="U280" s="1128">
        <v>1</v>
      </c>
      <c r="V280" s="1128">
        <v>1</v>
      </c>
      <c r="W280" s="1128">
        <v>1</v>
      </c>
      <c r="X280" s="1128">
        <v>1</v>
      </c>
      <c r="Y280" s="1128">
        <v>1</v>
      </c>
      <c r="Z280" s="1128">
        <v>1</v>
      </c>
      <c r="AA280" s="1128">
        <v>1</v>
      </c>
    </row>
    <row r="281" spans="1:27" s="1724" customFormat="1" ht="15">
      <c r="A281" s="7929"/>
      <c r="B281" s="7933"/>
      <c r="C281" s="7934"/>
      <c r="D281" s="7934"/>
      <c r="E281" s="7934"/>
      <c r="F281" s="7934"/>
      <c r="G281" s="7934"/>
      <c r="H281" s="7934"/>
      <c r="I281" s="7934"/>
      <c r="J281" s="7934"/>
      <c r="K281" s="7934"/>
      <c r="L281" s="7934"/>
      <c r="M281" s="7934"/>
      <c r="N281" s="7935"/>
      <c r="O281" s="1744"/>
      <c r="P281" s="1744"/>
      <c r="Q281" s="1744"/>
      <c r="R281" s="1128">
        <v>1</v>
      </c>
      <c r="S281" s="1128">
        <v>1</v>
      </c>
      <c r="T281" s="1128">
        <v>1</v>
      </c>
      <c r="U281" s="1128">
        <v>1</v>
      </c>
      <c r="V281" s="1128">
        <v>1</v>
      </c>
      <c r="W281" s="1128">
        <v>1</v>
      </c>
      <c r="X281" s="1128">
        <v>1</v>
      </c>
      <c r="Y281" s="1128">
        <v>1</v>
      </c>
      <c r="Z281" s="1128">
        <v>1</v>
      </c>
      <c r="AA281" s="1128">
        <v>1</v>
      </c>
    </row>
    <row r="282" spans="1:27" s="1724" customFormat="1" ht="15">
      <c r="A282" s="7929"/>
      <c r="B282" s="7936"/>
      <c r="C282" s="7937"/>
      <c r="D282" s="7937"/>
      <c r="E282" s="7937"/>
      <c r="F282" s="7937"/>
      <c r="G282" s="7937"/>
      <c r="H282" s="7937"/>
      <c r="I282" s="7937"/>
      <c r="J282" s="7937"/>
      <c r="K282" s="7937"/>
      <c r="L282" s="7937"/>
      <c r="M282" s="7937"/>
      <c r="N282" s="7938"/>
      <c r="O282" s="1744"/>
      <c r="P282" s="1744"/>
      <c r="Q282" s="1744"/>
      <c r="R282" s="1128">
        <v>1</v>
      </c>
      <c r="S282" s="1128">
        <v>1</v>
      </c>
      <c r="T282" s="1128">
        <v>1</v>
      </c>
      <c r="U282" s="1128">
        <v>1</v>
      </c>
      <c r="V282" s="1128">
        <v>1</v>
      </c>
      <c r="W282" s="1128">
        <v>1</v>
      </c>
      <c r="X282" s="1128">
        <v>1</v>
      </c>
      <c r="Y282" s="1128">
        <v>1</v>
      </c>
      <c r="Z282" s="1128">
        <v>1</v>
      </c>
      <c r="AA282" s="1128">
        <v>1</v>
      </c>
    </row>
    <row r="283" spans="1:27" s="1724" customFormat="1" ht="15">
      <c r="A283" s="7929"/>
      <c r="B283" s="2201"/>
      <c r="C283" s="2202"/>
      <c r="D283" s="2202"/>
      <c r="E283" s="2202"/>
      <c r="F283" s="2202"/>
      <c r="G283" s="2202"/>
      <c r="H283" s="2202"/>
      <c r="I283" s="2202"/>
      <c r="J283" s="2202"/>
      <c r="K283" s="2202"/>
      <c r="L283" s="7950" t="s">
        <v>1807</v>
      </c>
      <c r="M283" s="7950"/>
      <c r="N283" s="2203"/>
      <c r="O283" s="1744"/>
      <c r="P283" s="1744"/>
      <c r="Q283" s="1744"/>
      <c r="R283" s="1128">
        <v>1</v>
      </c>
      <c r="S283" s="1128">
        <v>1</v>
      </c>
      <c r="T283" s="1128">
        <v>1</v>
      </c>
      <c r="U283" s="1128">
        <v>1</v>
      </c>
      <c r="V283" s="1128">
        <v>1</v>
      </c>
      <c r="W283" s="1128">
        <v>1</v>
      </c>
      <c r="X283" s="1128">
        <v>1</v>
      </c>
      <c r="Y283" s="1128">
        <v>1</v>
      </c>
      <c r="Z283" s="1128">
        <v>1</v>
      </c>
      <c r="AA283" s="1128">
        <v>1</v>
      </c>
    </row>
    <row r="284" spans="1:27" s="1724" customFormat="1">
      <c r="A284" s="7929"/>
      <c r="B284" s="2202"/>
      <c r="C284" s="2202"/>
      <c r="D284" s="2202"/>
      <c r="E284" s="2202"/>
      <c r="F284" s="2202"/>
      <c r="G284" s="2202"/>
      <c r="H284" s="2202"/>
      <c r="I284" s="2202"/>
      <c r="J284" s="2202"/>
      <c r="K284" s="2204" t="s">
        <v>3270</v>
      </c>
      <c r="L284" s="7941" t="s">
        <v>980</v>
      </c>
      <c r="M284" s="7942"/>
      <c r="N284" s="2203"/>
      <c r="O284" s="1744"/>
      <c r="P284" s="1744"/>
      <c r="Q284" s="1744"/>
      <c r="R284" s="1128">
        <v>1</v>
      </c>
      <c r="S284" s="1128">
        <v>1</v>
      </c>
      <c r="T284" s="1128">
        <v>1</v>
      </c>
      <c r="U284" s="1128">
        <v>1</v>
      </c>
      <c r="V284" s="1128">
        <v>1</v>
      </c>
      <c r="W284" s="1128">
        <v>1</v>
      </c>
      <c r="X284" s="1128">
        <v>1</v>
      </c>
      <c r="Y284" s="1128">
        <v>1</v>
      </c>
      <c r="Z284" s="1128">
        <v>1</v>
      </c>
      <c r="AA284" s="1128">
        <v>1</v>
      </c>
    </row>
    <row r="285" spans="1:27" s="1724" customFormat="1" ht="15">
      <c r="A285" s="7929"/>
      <c r="B285" s="2201"/>
      <c r="C285" s="2202"/>
      <c r="D285" s="2202"/>
      <c r="E285" s="2202"/>
      <c r="F285" s="2202"/>
      <c r="G285" s="2202"/>
      <c r="H285" s="2202"/>
      <c r="I285" s="2202"/>
      <c r="J285" s="2202"/>
      <c r="K285" s="2202"/>
      <c r="L285" s="2202"/>
      <c r="M285" s="2205"/>
      <c r="N285" s="2203"/>
      <c r="O285" s="1744"/>
      <c r="P285" s="1744"/>
      <c r="Q285" s="1744"/>
      <c r="R285" s="1128">
        <v>1</v>
      </c>
      <c r="S285" s="1128">
        <v>1</v>
      </c>
      <c r="T285" s="1128">
        <v>1</v>
      </c>
      <c r="U285" s="1128">
        <v>1</v>
      </c>
      <c r="V285" s="1128">
        <v>1</v>
      </c>
      <c r="W285" s="1128">
        <v>1</v>
      </c>
      <c r="X285" s="1128">
        <v>1</v>
      </c>
      <c r="Y285" s="1128">
        <v>1</v>
      </c>
      <c r="Z285" s="1128">
        <v>1</v>
      </c>
      <c r="AA285" s="1128">
        <v>1</v>
      </c>
    </row>
    <row r="286" spans="1:27" s="1724" customFormat="1" ht="18">
      <c r="A286" s="7929"/>
      <c r="B286" s="2201"/>
      <c r="C286" s="2202"/>
      <c r="D286" s="2202"/>
      <c r="E286" s="2202"/>
      <c r="F286" s="2206" t="s">
        <v>3271</v>
      </c>
      <c r="G286" s="2207" t="s">
        <v>3154</v>
      </c>
      <c r="H286" s="2208" t="s">
        <v>3155</v>
      </c>
      <c r="I286" s="2209" t="s">
        <v>3156</v>
      </c>
      <c r="J286" s="2208" t="s">
        <v>3157</v>
      </c>
      <c r="K286" s="2208" t="s">
        <v>3224</v>
      </c>
      <c r="L286" s="2202"/>
      <c r="M286" s="2202"/>
      <c r="N286" s="2203"/>
      <c r="O286" s="1744"/>
      <c r="P286" s="1744"/>
      <c r="Q286" s="1744"/>
      <c r="R286" s="1128">
        <v>1</v>
      </c>
      <c r="S286" s="1128">
        <v>1</v>
      </c>
      <c r="T286" s="1128">
        <v>1</v>
      </c>
      <c r="U286" s="1128">
        <v>1</v>
      </c>
      <c r="V286" s="1128">
        <v>1</v>
      </c>
      <c r="W286" s="1128">
        <v>1</v>
      </c>
      <c r="X286" s="1128">
        <v>1</v>
      </c>
      <c r="Y286" s="1128">
        <v>1</v>
      </c>
      <c r="Z286" s="1128">
        <v>1</v>
      </c>
      <c r="AA286" s="1128">
        <v>1</v>
      </c>
    </row>
    <row r="287" spans="1:27" s="1724" customFormat="1" ht="18.75">
      <c r="A287" s="7929"/>
      <c r="B287" s="2201"/>
      <c r="C287" s="2202"/>
      <c r="D287" s="2202"/>
      <c r="E287" s="2202"/>
      <c r="F287" s="5428" t="s">
        <v>3272</v>
      </c>
      <c r="G287" s="2210">
        <v>50</v>
      </c>
      <c r="H287" s="2210">
        <v>500</v>
      </c>
      <c r="I287" s="2210">
        <v>150</v>
      </c>
      <c r="J287" s="2210">
        <v>13</v>
      </c>
      <c r="K287" s="2210">
        <v>13</v>
      </c>
      <c r="L287" s="2211">
        <f>SUM(G287:K287)</f>
        <v>726</v>
      </c>
      <c r="M287" s="2212" t="s">
        <v>73</v>
      </c>
      <c r="N287" s="2203"/>
      <c r="O287" s="1744"/>
      <c r="P287" s="1744"/>
      <c r="Q287" s="1744"/>
      <c r="R287" s="1128">
        <v>1</v>
      </c>
      <c r="S287" s="1128">
        <v>1</v>
      </c>
      <c r="T287" s="1128">
        <v>1</v>
      </c>
      <c r="U287" s="1128">
        <v>1</v>
      </c>
      <c r="V287" s="1128">
        <v>1</v>
      </c>
      <c r="W287" s="1128">
        <v>1</v>
      </c>
      <c r="X287" s="1128">
        <v>1</v>
      </c>
      <c r="Y287" s="1128">
        <v>1</v>
      </c>
      <c r="Z287" s="1128">
        <v>1</v>
      </c>
      <c r="AA287" s="1128">
        <v>1</v>
      </c>
    </row>
    <row r="288" spans="1:27" s="1724" customFormat="1" ht="18.75">
      <c r="A288" s="7929"/>
      <c r="B288" s="2201"/>
      <c r="C288" s="2202"/>
      <c r="D288" s="2202"/>
      <c r="E288" s="2202"/>
      <c r="F288" s="2213" t="s">
        <v>3273</v>
      </c>
      <c r="G288" s="2214">
        <v>0.5</v>
      </c>
      <c r="H288" s="2214">
        <v>1</v>
      </c>
      <c r="I288" s="2214">
        <v>1</v>
      </c>
      <c r="J288" s="2214">
        <v>2</v>
      </c>
      <c r="K288" s="2214">
        <v>1</v>
      </c>
      <c r="L288" s="2215">
        <f>SUM(G288:K288)/COUNTIF(G288:K288,"&gt;0")</f>
        <v>1.1000000000000001</v>
      </c>
      <c r="M288" s="2212" t="s">
        <v>3274</v>
      </c>
      <c r="N288" s="2203"/>
      <c r="O288" s="1744"/>
      <c r="P288" s="1744"/>
      <c r="Q288" s="1744"/>
      <c r="R288" s="1128">
        <v>1</v>
      </c>
      <c r="S288" s="1128">
        <v>1</v>
      </c>
      <c r="T288" s="1128">
        <v>1</v>
      </c>
      <c r="U288" s="1128">
        <v>1</v>
      </c>
      <c r="V288" s="1128">
        <v>1</v>
      </c>
      <c r="W288" s="1128">
        <v>1</v>
      </c>
      <c r="X288" s="1128">
        <v>1</v>
      </c>
      <c r="Y288" s="1128">
        <v>1</v>
      </c>
      <c r="Z288" s="1128">
        <v>1</v>
      </c>
      <c r="AA288" s="1128">
        <v>1</v>
      </c>
    </row>
    <row r="289" spans="1:27" s="1724" customFormat="1" ht="18">
      <c r="A289" s="7929"/>
      <c r="B289" s="2201"/>
      <c r="C289" s="2202"/>
      <c r="D289" s="2202"/>
      <c r="E289" s="2202"/>
      <c r="F289" s="2216" t="s">
        <v>3275</v>
      </c>
      <c r="G289" s="2217">
        <f>G288*G287</f>
        <v>25</v>
      </c>
      <c r="H289" s="2218">
        <f>H288*H287</f>
        <v>500</v>
      </c>
      <c r="I289" s="2218">
        <f>I288*I287</f>
        <v>150</v>
      </c>
      <c r="J289" s="2218">
        <f>J288*J287</f>
        <v>26</v>
      </c>
      <c r="K289" s="2218">
        <f>K288*K287</f>
        <v>13</v>
      </c>
      <c r="L289" s="2211">
        <f>SUM(G289:K289)</f>
        <v>714</v>
      </c>
      <c r="M289" s="2212" t="str">
        <f>L284</f>
        <v>pommes</v>
      </c>
      <c r="N289" s="2203"/>
      <c r="O289" s="1744"/>
      <c r="P289" s="1744"/>
      <c r="Q289" s="1744"/>
      <c r="R289" s="1128">
        <v>1</v>
      </c>
      <c r="S289" s="1128">
        <v>1</v>
      </c>
      <c r="T289" s="1128">
        <v>1</v>
      </c>
      <c r="U289" s="1128">
        <v>1</v>
      </c>
      <c r="V289" s="1128">
        <v>1</v>
      </c>
      <c r="W289" s="1128">
        <v>1</v>
      </c>
      <c r="X289" s="1128">
        <v>1</v>
      </c>
      <c r="Y289" s="1128">
        <v>1</v>
      </c>
      <c r="Z289" s="1128">
        <v>1</v>
      </c>
      <c r="AA289" s="1128">
        <v>1</v>
      </c>
    </row>
    <row r="290" spans="1:27" s="1724" customFormat="1" ht="15">
      <c r="A290" s="7929"/>
      <c r="B290" s="2201"/>
      <c r="C290" s="2202"/>
      <c r="D290" s="2202"/>
      <c r="E290" s="2202"/>
      <c r="F290" s="2202"/>
      <c r="G290" s="2219" t="str">
        <f>L284</f>
        <v>pommes</v>
      </c>
      <c r="H290" s="2219" t="str">
        <f>L284</f>
        <v>pommes</v>
      </c>
      <c r="I290" s="2219" t="str">
        <f>L284</f>
        <v>pommes</v>
      </c>
      <c r="J290" s="2219" t="str">
        <f>L284</f>
        <v>pommes</v>
      </c>
      <c r="K290" s="2219" t="str">
        <f>L284</f>
        <v>pommes</v>
      </c>
      <c r="L290" s="2202"/>
      <c r="M290" s="2205"/>
      <c r="N290" s="2203"/>
      <c r="O290" s="1744"/>
      <c r="P290" s="1744"/>
      <c r="Q290" s="1744"/>
      <c r="R290" s="1128">
        <v>1</v>
      </c>
      <c r="S290" s="1128">
        <v>1</v>
      </c>
      <c r="T290" s="1128">
        <v>1</v>
      </c>
      <c r="U290" s="1128">
        <v>1</v>
      </c>
      <c r="V290" s="1128">
        <v>1</v>
      </c>
      <c r="W290" s="1128">
        <v>1</v>
      </c>
      <c r="X290" s="1128">
        <v>1</v>
      </c>
      <c r="Y290" s="1128">
        <v>1</v>
      </c>
      <c r="Z290" s="1128">
        <v>1</v>
      </c>
      <c r="AA290" s="1128">
        <v>1</v>
      </c>
    </row>
    <row r="291" spans="1:27" s="1724" customFormat="1" ht="18">
      <c r="A291" s="7929"/>
      <c r="B291" s="2220"/>
      <c r="C291" s="2221" t="s">
        <v>3276</v>
      </c>
      <c r="D291" s="2222">
        <v>10</v>
      </c>
      <c r="E291" s="2223" t="s">
        <v>1901</v>
      </c>
      <c r="F291" s="2224"/>
      <c r="G291" s="2224"/>
      <c r="H291" s="2202"/>
      <c r="I291" s="2202"/>
      <c r="J291" s="2202"/>
      <c r="K291" s="2202"/>
      <c r="L291" s="2202"/>
      <c r="M291" s="2205"/>
      <c r="N291" s="2203"/>
      <c r="O291" s="1744"/>
      <c r="P291" s="1744"/>
      <c r="Q291" s="1744"/>
      <c r="R291" s="1128">
        <v>1</v>
      </c>
      <c r="S291" s="1128">
        <v>1</v>
      </c>
      <c r="T291" s="1128">
        <v>1</v>
      </c>
      <c r="U291" s="1128">
        <v>1</v>
      </c>
      <c r="V291" s="1128">
        <v>1</v>
      </c>
      <c r="W291" s="1128">
        <v>1</v>
      </c>
      <c r="X291" s="1128">
        <v>1</v>
      </c>
      <c r="Y291" s="1128">
        <v>1</v>
      </c>
      <c r="Z291" s="1128">
        <v>1</v>
      </c>
      <c r="AA291" s="1128">
        <v>1</v>
      </c>
    </row>
    <row r="292" spans="1:27" s="1724" customFormat="1" ht="18">
      <c r="A292" s="7929"/>
      <c r="B292" s="2201"/>
      <c r="C292" s="2202"/>
      <c r="D292" s="2202"/>
      <c r="E292" s="2202"/>
      <c r="F292" s="2216" t="s">
        <v>3277</v>
      </c>
      <c r="G292" s="2225">
        <f>G289/(100-D291)*100</f>
        <v>27.777777777777779</v>
      </c>
      <c r="H292" s="2225">
        <f>H289/(100-D291)*100</f>
        <v>555.55555555555554</v>
      </c>
      <c r="I292" s="2225">
        <f>I289/(100-D291)*100</f>
        <v>166.66666666666669</v>
      </c>
      <c r="J292" s="2225">
        <f>J289/(100-D291)*100</f>
        <v>28.888888888888886</v>
      </c>
      <c r="K292" s="2225">
        <f>K289/(100-D291)*100</f>
        <v>14.444444444444443</v>
      </c>
      <c r="L292" s="2226">
        <f>SUM(G292:K292)</f>
        <v>793.33333333333337</v>
      </c>
      <c r="M292" s="2212" t="str">
        <f>L284</f>
        <v>pommes</v>
      </c>
      <c r="N292" s="2203"/>
      <c r="O292" s="1744"/>
      <c r="P292" s="1744"/>
      <c r="Q292" s="1744"/>
      <c r="R292" s="1128">
        <v>1</v>
      </c>
      <c r="S292" s="1128">
        <v>1</v>
      </c>
      <c r="T292" s="1128">
        <v>1</v>
      </c>
      <c r="U292" s="1128">
        <v>1</v>
      </c>
      <c r="V292" s="1128">
        <v>1</v>
      </c>
      <c r="W292" s="1128">
        <v>1</v>
      </c>
      <c r="X292" s="1128">
        <v>1</v>
      </c>
      <c r="Y292" s="1128">
        <v>1</v>
      </c>
      <c r="Z292" s="1128">
        <v>1</v>
      </c>
      <c r="AA292" s="1128">
        <v>1</v>
      </c>
    </row>
    <row r="293" spans="1:27" s="1724" customFormat="1" ht="18">
      <c r="A293" s="7929"/>
      <c r="B293" s="2201"/>
      <c r="C293" s="2202"/>
      <c r="D293" s="2202"/>
      <c r="E293" s="2202"/>
      <c r="F293" s="2216"/>
      <c r="G293" s="2227" t="str">
        <f>L284</f>
        <v>pommes</v>
      </c>
      <c r="H293" s="2227" t="str">
        <f>L284</f>
        <v>pommes</v>
      </c>
      <c r="I293" s="2227" t="str">
        <f>L284</f>
        <v>pommes</v>
      </c>
      <c r="J293" s="2227" t="str">
        <f>L284</f>
        <v>pommes</v>
      </c>
      <c r="K293" s="2227" t="str">
        <f>L284</f>
        <v>pommes</v>
      </c>
      <c r="L293" s="2211"/>
      <c r="M293" s="2212"/>
      <c r="N293" s="2203"/>
      <c r="O293" s="1744"/>
      <c r="P293" s="1744"/>
      <c r="Q293" s="1744"/>
      <c r="R293" s="1128">
        <v>1</v>
      </c>
      <c r="S293" s="1128">
        <v>1</v>
      </c>
      <c r="T293" s="1128">
        <v>1</v>
      </c>
      <c r="U293" s="1128">
        <v>1</v>
      </c>
      <c r="V293" s="1128">
        <v>1</v>
      </c>
      <c r="W293" s="1128">
        <v>1</v>
      </c>
      <c r="X293" s="1128">
        <v>1</v>
      </c>
      <c r="Y293" s="1128">
        <v>1</v>
      </c>
      <c r="Z293" s="1128">
        <v>1</v>
      </c>
      <c r="AA293" s="1128">
        <v>1</v>
      </c>
    </row>
    <row r="294" spans="1:27" s="1724" customFormat="1" ht="15">
      <c r="A294" s="7929"/>
      <c r="B294" s="2228"/>
      <c r="C294" s="2229"/>
      <c r="D294" s="2229"/>
      <c r="E294" s="2229"/>
      <c r="F294" s="2229"/>
      <c r="G294" s="2229"/>
      <c r="H294" s="2229"/>
      <c r="I294" s="2229"/>
      <c r="J294" s="2229"/>
      <c r="K294" s="2229"/>
      <c r="L294" s="2229"/>
      <c r="M294" s="2229"/>
      <c r="N294" s="2230"/>
      <c r="O294" s="1744"/>
      <c r="P294" s="1744"/>
      <c r="Q294" s="1744"/>
      <c r="R294" s="1128">
        <v>1</v>
      </c>
      <c r="S294" s="1128">
        <v>1</v>
      </c>
      <c r="T294" s="1128">
        <v>1</v>
      </c>
      <c r="U294" s="1128">
        <v>1</v>
      </c>
      <c r="V294" s="1128">
        <v>1</v>
      </c>
      <c r="W294" s="1128">
        <v>1</v>
      </c>
      <c r="X294" s="1128">
        <v>1</v>
      </c>
      <c r="Y294" s="1128">
        <v>1</v>
      </c>
      <c r="Z294" s="1128">
        <v>1</v>
      </c>
      <c r="AA294" s="1128">
        <v>1</v>
      </c>
    </row>
    <row r="295" spans="1:27" s="1724" customFormat="1" ht="18.75">
      <c r="A295" s="7929"/>
      <c r="B295" s="5427" t="s">
        <v>1807</v>
      </c>
      <c r="C295" s="2231" t="s">
        <v>3278</v>
      </c>
      <c r="D295" s="2232"/>
      <c r="E295" s="2232"/>
      <c r="F295" s="2232"/>
      <c r="G295" s="2232"/>
      <c r="H295" s="2232"/>
      <c r="I295" s="2232"/>
      <c r="J295" s="2232"/>
      <c r="K295" s="2232"/>
      <c r="L295" s="2232"/>
      <c r="M295" s="2232"/>
      <c r="N295" s="2233"/>
      <c r="O295" s="1744"/>
      <c r="P295" s="1744"/>
      <c r="Q295" s="1744"/>
      <c r="R295" s="1128">
        <v>1</v>
      </c>
      <c r="S295" s="1128">
        <v>1</v>
      </c>
      <c r="T295" s="1128">
        <v>1</v>
      </c>
      <c r="U295" s="1128">
        <v>1</v>
      </c>
      <c r="V295" s="1128">
        <v>1</v>
      </c>
      <c r="W295" s="1128">
        <v>1</v>
      </c>
      <c r="X295" s="1128">
        <v>1</v>
      </c>
      <c r="Y295" s="1128">
        <v>1</v>
      </c>
      <c r="Z295" s="1128">
        <v>1</v>
      </c>
      <c r="AA295" s="1128">
        <v>1</v>
      </c>
    </row>
    <row r="296" spans="1:27" s="1724" customFormat="1" ht="18.75">
      <c r="A296" s="7929"/>
      <c r="B296" s="2234"/>
      <c r="C296" s="7941" t="s">
        <v>977</v>
      </c>
      <c r="D296" s="7942"/>
      <c r="E296" s="2235"/>
      <c r="F296" s="7941" t="s">
        <v>111</v>
      </c>
      <c r="G296" s="7942"/>
      <c r="H296" s="2235"/>
      <c r="I296" s="7941" t="s">
        <v>3279</v>
      </c>
      <c r="J296" s="7942"/>
      <c r="K296" s="2235"/>
      <c r="L296" s="7941" t="s">
        <v>3280</v>
      </c>
      <c r="M296" s="7942"/>
      <c r="N296" s="2236"/>
      <c r="O296" s="1744"/>
      <c r="P296" s="1744"/>
      <c r="Q296" s="1744"/>
      <c r="R296" s="1128">
        <v>1</v>
      </c>
      <c r="S296" s="1128">
        <v>1</v>
      </c>
      <c r="T296" s="1128">
        <v>1</v>
      </c>
      <c r="U296" s="1128">
        <v>1</v>
      </c>
      <c r="V296" s="1128">
        <v>1</v>
      </c>
      <c r="W296" s="1128">
        <v>1</v>
      </c>
      <c r="X296" s="1128">
        <v>1</v>
      </c>
      <c r="Y296" s="1128">
        <v>1</v>
      </c>
      <c r="Z296" s="1128">
        <v>1</v>
      </c>
      <c r="AA296" s="1128">
        <v>1</v>
      </c>
    </row>
    <row r="297" spans="1:27" s="1724" customFormat="1" ht="18.75">
      <c r="A297" s="7929"/>
      <c r="B297" s="2237" t="s">
        <v>1901</v>
      </c>
      <c r="C297" s="2238" t="s">
        <v>3281</v>
      </c>
      <c r="D297" s="2235"/>
      <c r="E297" s="2235"/>
      <c r="F297" s="2235"/>
      <c r="G297" s="2235"/>
      <c r="H297" s="2235"/>
      <c r="I297" s="2235"/>
      <c r="J297" s="2235"/>
      <c r="K297" s="2235"/>
      <c r="L297" s="2235"/>
      <c r="M297" s="2235"/>
      <c r="N297" s="2236"/>
      <c r="O297" s="1744"/>
      <c r="P297" s="1744"/>
      <c r="Q297" s="1744"/>
      <c r="R297" s="1128">
        <v>1</v>
      </c>
      <c r="S297" s="1128">
        <v>1</v>
      </c>
      <c r="T297" s="1128">
        <v>1</v>
      </c>
      <c r="U297" s="1128">
        <v>1</v>
      </c>
      <c r="V297" s="1128">
        <v>1</v>
      </c>
      <c r="W297" s="1128">
        <v>1</v>
      </c>
      <c r="X297" s="1128">
        <v>1</v>
      </c>
      <c r="Y297" s="1128">
        <v>1</v>
      </c>
      <c r="Z297" s="1128">
        <v>1</v>
      </c>
      <c r="AA297" s="1128">
        <v>1</v>
      </c>
    </row>
    <row r="298" spans="1:27" s="1724" customFormat="1" ht="15">
      <c r="A298" s="7929"/>
      <c r="B298" s="7883" t="s">
        <v>3282</v>
      </c>
      <c r="C298" s="7884"/>
      <c r="D298" s="7884"/>
      <c r="E298" s="7884"/>
      <c r="F298" s="7884"/>
      <c r="G298" s="7884"/>
      <c r="H298" s="7884"/>
      <c r="I298" s="7884"/>
      <c r="J298" s="7884"/>
      <c r="K298" s="7884"/>
      <c r="L298" s="7884"/>
      <c r="M298" s="7884"/>
      <c r="N298" s="7885"/>
      <c r="O298" s="1744"/>
      <c r="P298" s="1744"/>
      <c r="Q298" s="1744"/>
      <c r="R298" s="1128">
        <v>1</v>
      </c>
      <c r="S298" s="1128">
        <v>1</v>
      </c>
      <c r="T298" s="1128">
        <v>1</v>
      </c>
      <c r="U298" s="1128">
        <v>1</v>
      </c>
      <c r="V298" s="1128">
        <v>1</v>
      </c>
      <c r="W298" s="1128">
        <v>1</v>
      </c>
      <c r="X298" s="1128">
        <v>1</v>
      </c>
      <c r="Y298" s="1128">
        <v>1</v>
      </c>
      <c r="Z298" s="1128">
        <v>1</v>
      </c>
      <c r="AA298" s="1128">
        <v>1</v>
      </c>
    </row>
    <row r="299" spans="1:27" s="1724" customFormat="1" ht="15">
      <c r="A299" s="7929"/>
      <c r="B299" s="7886"/>
      <c r="C299" s="7887"/>
      <c r="D299" s="7887"/>
      <c r="E299" s="7887"/>
      <c r="F299" s="7887"/>
      <c r="G299" s="7887"/>
      <c r="H299" s="7887"/>
      <c r="I299" s="7887"/>
      <c r="J299" s="7887"/>
      <c r="K299" s="7887"/>
      <c r="L299" s="7887"/>
      <c r="M299" s="7887"/>
      <c r="N299" s="7888"/>
      <c r="O299" s="1744"/>
      <c r="P299" s="1744"/>
      <c r="Q299" s="1744"/>
      <c r="R299" s="1128">
        <v>1</v>
      </c>
      <c r="S299" s="1128">
        <v>1</v>
      </c>
      <c r="T299" s="1128">
        <v>1</v>
      </c>
      <c r="U299" s="1128">
        <v>1</v>
      </c>
      <c r="V299" s="1128">
        <v>1</v>
      </c>
      <c r="W299" s="1128">
        <v>1</v>
      </c>
      <c r="X299" s="1128">
        <v>1</v>
      </c>
      <c r="Y299" s="1128">
        <v>1</v>
      </c>
      <c r="Z299" s="1128">
        <v>1</v>
      </c>
      <c r="AA299" s="1128">
        <v>1</v>
      </c>
    </row>
    <row r="300" spans="1:27" s="1724" customFormat="1" ht="15">
      <c r="A300" s="7929"/>
      <c r="B300" s="2239" t="s">
        <v>269</v>
      </c>
      <c r="C300" s="7889" t="str">
        <f ca="1">CELL("nomfichier")</f>
        <v>D:\Données\1.UPRT\0-UPRT.fait\1-UPRT.FR-SITE-WEB\ff-fiches-fabrications\ff.fiches.fabrication.2023\ffr.restaurant.2023\[ff.REPERTOIRE.600.LIGNES.15.xlsx]Differents.postits.FR.EN.ES</v>
      </c>
      <c r="D300" s="7889"/>
      <c r="E300" s="7889"/>
      <c r="F300" s="7889"/>
      <c r="G300" s="7889"/>
      <c r="H300" s="7889"/>
      <c r="I300" s="7889"/>
      <c r="J300" s="7889"/>
      <c r="K300" s="7889"/>
      <c r="L300" s="7889"/>
      <c r="M300" s="7889"/>
      <c r="N300" s="7890"/>
      <c r="O300" s="1744"/>
      <c r="P300" s="1744"/>
      <c r="Q300" s="1744"/>
      <c r="R300" s="1128">
        <v>1</v>
      </c>
      <c r="S300" s="1128">
        <v>1</v>
      </c>
      <c r="T300" s="1128">
        <v>1</v>
      </c>
      <c r="U300" s="1128">
        <v>1</v>
      </c>
      <c r="V300" s="1128">
        <v>1</v>
      </c>
      <c r="W300" s="1128">
        <v>1</v>
      </c>
      <c r="X300" s="1128">
        <v>1</v>
      </c>
      <c r="Y300" s="1128">
        <v>1</v>
      </c>
      <c r="Z300" s="1128">
        <v>1</v>
      </c>
      <c r="AA300" s="1128">
        <v>1</v>
      </c>
    </row>
    <row r="301" spans="1:27" s="1724" customFormat="1" ht="15">
      <c r="A301" s="7929"/>
      <c r="B301" s="2240" t="s">
        <v>3283</v>
      </c>
      <c r="C301" s="7891" t="s">
        <v>3284</v>
      </c>
      <c r="D301" s="7891"/>
      <c r="E301" s="7891"/>
      <c r="F301" s="7891"/>
      <c r="G301" s="7891"/>
      <c r="H301" s="7891"/>
      <c r="I301" s="7891"/>
      <c r="J301" s="7891"/>
      <c r="K301" s="7891"/>
      <c r="L301" s="7891"/>
      <c r="M301" s="7891"/>
      <c r="N301" s="7892"/>
      <c r="O301" s="1744"/>
      <c r="P301" s="1744"/>
      <c r="Q301" s="1744"/>
      <c r="R301" s="1128">
        <v>1</v>
      </c>
      <c r="S301" s="1128">
        <v>1</v>
      </c>
      <c r="T301" s="1128">
        <v>1</v>
      </c>
      <c r="U301" s="1128">
        <v>1</v>
      </c>
      <c r="V301" s="1128">
        <v>1</v>
      </c>
      <c r="W301" s="1128">
        <v>1</v>
      </c>
      <c r="X301" s="1128">
        <v>1</v>
      </c>
      <c r="Y301" s="1128">
        <v>1</v>
      </c>
      <c r="Z301" s="1128">
        <v>1</v>
      </c>
      <c r="AA301" s="1128">
        <v>1</v>
      </c>
    </row>
    <row r="302" spans="1:27" s="1724" customFormat="1" thickBot="1">
      <c r="A302" s="7929"/>
      <c r="B302" s="7893" t="s">
        <v>3197</v>
      </c>
      <c r="C302" s="7894"/>
      <c r="D302" s="7894"/>
      <c r="E302" s="7894"/>
      <c r="F302" s="7894"/>
      <c r="G302" s="7894"/>
      <c r="H302" s="7894"/>
      <c r="I302" s="7894"/>
      <c r="J302" s="7894"/>
      <c r="K302" s="7894"/>
      <c r="L302" s="7894"/>
      <c r="M302" s="7894"/>
      <c r="N302" s="7895"/>
      <c r="O302" s="1744"/>
      <c r="P302" s="1744"/>
      <c r="Q302" s="1744"/>
      <c r="R302" s="1128">
        <v>1</v>
      </c>
      <c r="S302" s="1128">
        <v>1</v>
      </c>
      <c r="T302" s="1128">
        <v>1</v>
      </c>
      <c r="U302" s="1128">
        <v>1</v>
      </c>
      <c r="V302" s="1128">
        <v>1</v>
      </c>
      <c r="W302" s="1128">
        <v>1</v>
      </c>
      <c r="X302" s="1128">
        <v>1</v>
      </c>
      <c r="Y302" s="1128">
        <v>1</v>
      </c>
      <c r="Z302" s="1128">
        <v>1</v>
      </c>
      <c r="AA302" s="1128">
        <v>1</v>
      </c>
    </row>
    <row r="303" spans="1:27" s="1724" customFormat="1" ht="15.75" customHeight="1" thickBot="1">
      <c r="A303" s="1744"/>
      <c r="B303" s="1778"/>
      <c r="C303" s="1778"/>
      <c r="D303" s="1778"/>
      <c r="E303" s="1778"/>
      <c r="F303" s="1778"/>
      <c r="G303" s="1778"/>
      <c r="H303" s="1745"/>
      <c r="I303" s="1788"/>
      <c r="J303" s="1788"/>
      <c r="K303" s="1789"/>
      <c r="L303" s="1789"/>
      <c r="M303" s="1788"/>
      <c r="N303" s="1788"/>
      <c r="O303" s="1744"/>
      <c r="P303" s="1744"/>
      <c r="Q303" s="1744"/>
      <c r="R303" s="1128">
        <v>1</v>
      </c>
      <c r="S303" s="1128">
        <v>1</v>
      </c>
      <c r="T303" s="1128">
        <v>1</v>
      </c>
      <c r="U303" s="1128">
        <v>1</v>
      </c>
      <c r="V303" s="1128">
        <v>1</v>
      </c>
      <c r="W303" s="1128">
        <v>1</v>
      </c>
      <c r="X303" s="1128">
        <v>1</v>
      </c>
      <c r="Y303" s="1128">
        <v>1</v>
      </c>
      <c r="Z303" s="1128">
        <v>1</v>
      </c>
      <c r="AA303" s="1128">
        <v>1</v>
      </c>
    </row>
    <row r="304" spans="1:27" s="1724" customFormat="1" ht="15">
      <c r="A304" s="7921" t="s">
        <v>252</v>
      </c>
      <c r="B304" s="7923" t="s">
        <v>3088</v>
      </c>
      <c r="C304" s="7924"/>
      <c r="D304" s="7924"/>
      <c r="E304" s="7924"/>
      <c r="F304" s="7924"/>
      <c r="G304" s="7924"/>
      <c r="H304" s="7924"/>
      <c r="I304" s="7924"/>
      <c r="J304" s="7924"/>
      <c r="K304" s="7924"/>
      <c r="L304" s="7924"/>
      <c r="M304" s="7924"/>
      <c r="N304" s="7927">
        <v>2</v>
      </c>
      <c r="O304" s="1744"/>
      <c r="P304" s="1744"/>
      <c r="Q304" s="1744"/>
      <c r="R304" s="1128">
        <v>1</v>
      </c>
      <c r="S304" s="1128">
        <v>1</v>
      </c>
      <c r="T304" s="1128">
        <v>1</v>
      </c>
      <c r="U304" s="1128">
        <v>1</v>
      </c>
      <c r="V304" s="1128">
        <v>1</v>
      </c>
      <c r="W304" s="1128">
        <v>1</v>
      </c>
      <c r="X304" s="1128">
        <v>1</v>
      </c>
      <c r="Y304" s="1128">
        <v>1</v>
      </c>
      <c r="Z304" s="1128">
        <v>1</v>
      </c>
      <c r="AA304" s="1128">
        <v>1</v>
      </c>
    </row>
    <row r="305" spans="1:27" s="1724" customFormat="1" ht="15">
      <c r="A305" s="7922"/>
      <c r="B305" s="7925"/>
      <c r="C305" s="7926"/>
      <c r="D305" s="7926"/>
      <c r="E305" s="7926"/>
      <c r="F305" s="7926"/>
      <c r="G305" s="7926"/>
      <c r="H305" s="7926"/>
      <c r="I305" s="7926"/>
      <c r="J305" s="7926"/>
      <c r="K305" s="7926"/>
      <c r="L305" s="7926"/>
      <c r="M305" s="7926"/>
      <c r="N305" s="7928"/>
      <c r="O305" s="1744"/>
      <c r="P305" s="1744"/>
      <c r="Q305" s="1744"/>
      <c r="R305" s="1128">
        <v>1</v>
      </c>
      <c r="S305" s="1128">
        <v>1</v>
      </c>
      <c r="T305" s="1128">
        <v>1</v>
      </c>
      <c r="U305" s="1128">
        <v>1</v>
      </c>
      <c r="V305" s="1128">
        <v>1</v>
      </c>
      <c r="W305" s="1128">
        <v>1</v>
      </c>
      <c r="X305" s="1128">
        <v>1</v>
      </c>
      <c r="Y305" s="1128">
        <v>1</v>
      </c>
      <c r="Z305" s="1128">
        <v>1</v>
      </c>
      <c r="AA305" s="1128">
        <v>1</v>
      </c>
    </row>
    <row r="306" spans="1:27" s="1724" customFormat="1">
      <c r="A306" s="7929" t="str">
        <f>B304</f>
        <v>COMBIEN POURRIEZ VOUS SERVIR AVEC</v>
      </c>
      <c r="B306" s="2197" t="str">
        <f>ADDRESS(ROW(),COLUMN(),4)</f>
        <v>B306</v>
      </c>
      <c r="C306" s="2198" t="s">
        <v>750</v>
      </c>
      <c r="D306" s="2199"/>
      <c r="E306" s="2199"/>
      <c r="F306" s="2199"/>
      <c r="G306" s="2199"/>
      <c r="H306" s="2199"/>
      <c r="I306" s="2199"/>
      <c r="J306" s="2199"/>
      <c r="K306" s="2199"/>
      <c r="L306" s="2199"/>
      <c r="M306" s="2199"/>
      <c r="N306" s="2200"/>
      <c r="O306" s="1744"/>
      <c r="P306" s="1744"/>
      <c r="Q306" s="1744"/>
      <c r="R306" s="1128">
        <v>1</v>
      </c>
      <c r="S306" s="1128">
        <v>1</v>
      </c>
      <c r="T306" s="1128">
        <v>1</v>
      </c>
      <c r="U306" s="1128">
        <v>1</v>
      </c>
      <c r="V306" s="1128">
        <v>1</v>
      </c>
      <c r="W306" s="1128">
        <v>1</v>
      </c>
      <c r="X306" s="1128">
        <v>1</v>
      </c>
      <c r="Y306" s="1128">
        <v>1</v>
      </c>
      <c r="Z306" s="1128">
        <v>1</v>
      </c>
      <c r="AA306" s="1128">
        <v>1</v>
      </c>
    </row>
    <row r="307" spans="1:27" s="1724" customFormat="1" ht="20.25">
      <c r="A307" s="7929"/>
      <c r="B307" s="7930" t="s">
        <v>3268</v>
      </c>
      <c r="C307" s="7931"/>
      <c r="D307" s="7931"/>
      <c r="E307" s="7931"/>
      <c r="F307" s="7931"/>
      <c r="G307" s="7931"/>
      <c r="H307" s="7931"/>
      <c r="I307" s="7931"/>
      <c r="J307" s="7931"/>
      <c r="K307" s="7931"/>
      <c r="L307" s="7931"/>
      <c r="M307" s="7931"/>
      <c r="N307" s="7932"/>
      <c r="O307" s="1744"/>
      <c r="P307" s="1744"/>
      <c r="Q307" s="1744"/>
      <c r="R307" s="1128">
        <v>1</v>
      </c>
      <c r="S307" s="1128">
        <v>1</v>
      </c>
      <c r="T307" s="1128">
        <v>1</v>
      </c>
      <c r="U307" s="1128">
        <v>1</v>
      </c>
      <c r="V307" s="1128">
        <v>1</v>
      </c>
      <c r="W307" s="1128">
        <v>1</v>
      </c>
      <c r="X307" s="1128">
        <v>1</v>
      </c>
      <c r="Y307" s="1128">
        <v>1</v>
      </c>
      <c r="Z307" s="1128">
        <v>1</v>
      </c>
      <c r="AA307" s="1128">
        <v>1</v>
      </c>
    </row>
    <row r="308" spans="1:27" s="1724" customFormat="1" ht="15">
      <c r="A308" s="7929"/>
      <c r="B308" s="7933" t="s">
        <v>3285</v>
      </c>
      <c r="C308" s="7934"/>
      <c r="D308" s="7934"/>
      <c r="E308" s="7934"/>
      <c r="F308" s="7934"/>
      <c r="G308" s="7934"/>
      <c r="H308" s="7934"/>
      <c r="I308" s="7934"/>
      <c r="J308" s="7934"/>
      <c r="K308" s="7934"/>
      <c r="L308" s="7934"/>
      <c r="M308" s="7934"/>
      <c r="N308" s="7935"/>
      <c r="O308" s="1744"/>
      <c r="P308" s="1744"/>
      <c r="Q308" s="1744"/>
      <c r="R308" s="1128">
        <v>1</v>
      </c>
      <c r="S308" s="1128">
        <v>1</v>
      </c>
      <c r="T308" s="1128">
        <v>1</v>
      </c>
      <c r="U308" s="1128">
        <v>1</v>
      </c>
      <c r="V308" s="1128">
        <v>1</v>
      </c>
      <c r="W308" s="1128">
        <v>1</v>
      </c>
      <c r="X308" s="1128">
        <v>1</v>
      </c>
      <c r="Y308" s="1128">
        <v>1</v>
      </c>
      <c r="Z308" s="1128">
        <v>1</v>
      </c>
      <c r="AA308" s="1128">
        <v>1</v>
      </c>
    </row>
    <row r="309" spans="1:27" s="1724" customFormat="1" ht="15">
      <c r="A309" s="7929"/>
      <c r="B309" s="7933"/>
      <c r="C309" s="7934"/>
      <c r="D309" s="7934"/>
      <c r="E309" s="7934"/>
      <c r="F309" s="7934"/>
      <c r="G309" s="7934"/>
      <c r="H309" s="7934"/>
      <c r="I309" s="7934"/>
      <c r="J309" s="7934"/>
      <c r="K309" s="7934"/>
      <c r="L309" s="7934"/>
      <c r="M309" s="7934"/>
      <c r="N309" s="7935"/>
      <c r="O309" s="1744"/>
      <c r="P309" s="1744"/>
      <c r="Q309" s="1744"/>
      <c r="R309" s="1128">
        <v>1</v>
      </c>
      <c r="S309" s="1128">
        <v>1</v>
      </c>
      <c r="T309" s="1128">
        <v>1</v>
      </c>
      <c r="U309" s="1128">
        <v>1</v>
      </c>
      <c r="V309" s="1128">
        <v>1</v>
      </c>
      <c r="W309" s="1128">
        <v>1</v>
      </c>
      <c r="X309" s="1128">
        <v>1</v>
      </c>
      <c r="Y309" s="1128">
        <v>1</v>
      </c>
      <c r="Z309" s="1128">
        <v>1</v>
      </c>
      <c r="AA309" s="1128">
        <v>1</v>
      </c>
    </row>
    <row r="310" spans="1:27" s="1724" customFormat="1" ht="15">
      <c r="A310" s="7929"/>
      <c r="B310" s="7933"/>
      <c r="C310" s="7934"/>
      <c r="D310" s="7934"/>
      <c r="E310" s="7934"/>
      <c r="F310" s="7934"/>
      <c r="G310" s="7934"/>
      <c r="H310" s="7934"/>
      <c r="I310" s="7934"/>
      <c r="J310" s="7934"/>
      <c r="K310" s="7934"/>
      <c r="L310" s="7934"/>
      <c r="M310" s="7934"/>
      <c r="N310" s="7935"/>
      <c r="O310" s="1744"/>
      <c r="P310" s="1744"/>
      <c r="Q310" s="1744"/>
      <c r="R310" s="1128">
        <v>1</v>
      </c>
      <c r="S310" s="1128">
        <v>1</v>
      </c>
      <c r="T310" s="1128">
        <v>1</v>
      </c>
      <c r="U310" s="1128">
        <v>1</v>
      </c>
      <c r="V310" s="1128">
        <v>1</v>
      </c>
      <c r="W310" s="1128">
        <v>1</v>
      </c>
      <c r="X310" s="1128">
        <v>1</v>
      </c>
      <c r="Y310" s="1128">
        <v>1</v>
      </c>
      <c r="Z310" s="1128">
        <v>1</v>
      </c>
      <c r="AA310" s="1128">
        <v>1</v>
      </c>
    </row>
    <row r="311" spans="1:27" s="1724" customFormat="1" ht="15">
      <c r="A311" s="7929"/>
      <c r="B311" s="7933"/>
      <c r="C311" s="7934"/>
      <c r="D311" s="7934"/>
      <c r="E311" s="7934"/>
      <c r="F311" s="7934"/>
      <c r="G311" s="7934"/>
      <c r="H311" s="7934"/>
      <c r="I311" s="7934"/>
      <c r="J311" s="7934"/>
      <c r="K311" s="7934"/>
      <c r="L311" s="7934"/>
      <c r="M311" s="7934"/>
      <c r="N311" s="7935"/>
      <c r="O311" s="1744"/>
      <c r="P311" s="1744"/>
      <c r="Q311" s="1744"/>
      <c r="R311" s="1128">
        <v>1</v>
      </c>
      <c r="S311" s="1128">
        <v>1</v>
      </c>
      <c r="T311" s="1128">
        <v>1</v>
      </c>
      <c r="U311" s="1128">
        <v>1</v>
      </c>
      <c r="V311" s="1128">
        <v>1</v>
      </c>
      <c r="W311" s="1128">
        <v>1</v>
      </c>
      <c r="X311" s="1128">
        <v>1</v>
      </c>
      <c r="Y311" s="1128">
        <v>1</v>
      </c>
      <c r="Z311" s="1128">
        <v>1</v>
      </c>
      <c r="AA311" s="1128">
        <v>1</v>
      </c>
    </row>
    <row r="312" spans="1:27" s="1724" customFormat="1" ht="15">
      <c r="A312" s="7929"/>
      <c r="B312" s="7936"/>
      <c r="C312" s="7937"/>
      <c r="D312" s="7937"/>
      <c r="E312" s="7937"/>
      <c r="F312" s="7937"/>
      <c r="G312" s="7937"/>
      <c r="H312" s="7937"/>
      <c r="I312" s="7937"/>
      <c r="J312" s="7937"/>
      <c r="K312" s="7937"/>
      <c r="L312" s="7937"/>
      <c r="M312" s="7937"/>
      <c r="N312" s="7938"/>
      <c r="O312" s="1744"/>
      <c r="P312" s="1744"/>
      <c r="Q312" s="1744"/>
      <c r="R312" s="1128">
        <v>1</v>
      </c>
      <c r="S312" s="1128">
        <v>1</v>
      </c>
      <c r="T312" s="1128">
        <v>1</v>
      </c>
      <c r="U312" s="1128">
        <v>1</v>
      </c>
      <c r="V312" s="1128">
        <v>1</v>
      </c>
      <c r="W312" s="1128">
        <v>1</v>
      </c>
      <c r="X312" s="1128">
        <v>1</v>
      </c>
      <c r="Y312" s="1128">
        <v>1</v>
      </c>
      <c r="Z312" s="1128">
        <v>1</v>
      </c>
      <c r="AA312" s="1128">
        <v>1</v>
      </c>
    </row>
    <row r="313" spans="1:27" s="1724" customFormat="1" ht="15">
      <c r="A313" s="7929"/>
      <c r="B313" s="2241"/>
      <c r="C313" s="2242"/>
      <c r="D313" s="2242"/>
      <c r="E313" s="2242"/>
      <c r="F313" s="2242"/>
      <c r="G313" s="2242"/>
      <c r="H313" s="2242"/>
      <c r="I313" s="2242"/>
      <c r="J313" s="2242"/>
      <c r="K313" s="2242"/>
      <c r="L313" s="7939" t="s">
        <v>1807</v>
      </c>
      <c r="M313" s="7940"/>
      <c r="N313" s="2243"/>
      <c r="O313" s="1744"/>
      <c r="P313" s="1744"/>
      <c r="Q313" s="1744"/>
      <c r="R313" s="1128">
        <v>1</v>
      </c>
      <c r="S313" s="1128">
        <v>1</v>
      </c>
      <c r="T313" s="1128">
        <v>1</v>
      </c>
      <c r="U313" s="1128">
        <v>1</v>
      </c>
      <c r="V313" s="1128">
        <v>1</v>
      </c>
      <c r="W313" s="1128">
        <v>1</v>
      </c>
      <c r="X313" s="1128">
        <v>1</v>
      </c>
      <c r="Y313" s="1128">
        <v>1</v>
      </c>
      <c r="Z313" s="1128">
        <v>1</v>
      </c>
      <c r="AA313" s="1128">
        <v>1</v>
      </c>
    </row>
    <row r="314" spans="1:27" s="1724" customFormat="1" ht="18">
      <c r="A314" s="7929"/>
      <c r="B314" s="2241"/>
      <c r="C314" s="2242"/>
      <c r="D314" s="2242"/>
      <c r="E314" s="2242"/>
      <c r="F314" s="2242"/>
      <c r="G314" s="2242"/>
      <c r="H314" s="2242"/>
      <c r="I314" s="2242"/>
      <c r="K314" s="2216" t="s">
        <v>3286</v>
      </c>
      <c r="L314" s="7943">
        <v>2.4</v>
      </c>
      <c r="M314" s="7943"/>
      <c r="N314" s="2243"/>
      <c r="O314" s="1744"/>
      <c r="P314" s="1744"/>
      <c r="Q314" s="1744"/>
      <c r="R314" s="1128">
        <v>1</v>
      </c>
      <c r="S314" s="1128">
        <v>1</v>
      </c>
      <c r="T314" s="1128">
        <v>1</v>
      </c>
      <c r="U314" s="1128">
        <v>1</v>
      </c>
      <c r="V314" s="1128">
        <v>1</v>
      </c>
      <c r="W314" s="1128">
        <v>1</v>
      </c>
      <c r="X314" s="1128">
        <v>1</v>
      </c>
      <c r="Y314" s="1128">
        <v>1</v>
      </c>
      <c r="Z314" s="1128">
        <v>1</v>
      </c>
      <c r="AA314" s="1128">
        <v>1</v>
      </c>
    </row>
    <row r="315" spans="1:27" s="1724" customFormat="1" ht="15">
      <c r="A315" s="7929"/>
      <c r="B315" s="2244"/>
      <c r="C315" s="2245"/>
      <c r="D315" s="2245"/>
      <c r="E315" s="2245"/>
      <c r="F315" s="2242"/>
      <c r="G315" s="2242"/>
      <c r="H315" s="2242"/>
      <c r="I315" s="2242"/>
      <c r="J315" s="2242"/>
      <c r="K315" s="2246"/>
      <c r="L315" s="7943"/>
      <c r="M315" s="7943"/>
      <c r="N315" s="2243"/>
      <c r="O315" s="1744"/>
      <c r="P315" s="1744"/>
      <c r="Q315" s="1744"/>
      <c r="R315" s="1128">
        <v>1</v>
      </c>
      <c r="S315" s="1128">
        <v>1</v>
      </c>
      <c r="T315" s="1128">
        <v>1</v>
      </c>
      <c r="U315" s="1128">
        <v>1</v>
      </c>
      <c r="V315" s="1128">
        <v>1</v>
      </c>
      <c r="W315" s="1128">
        <v>1</v>
      </c>
      <c r="X315" s="1128">
        <v>1</v>
      </c>
      <c r="Y315" s="1128">
        <v>1</v>
      </c>
      <c r="Z315" s="1128">
        <v>1</v>
      </c>
      <c r="AA315" s="1128">
        <v>1</v>
      </c>
    </row>
    <row r="316" spans="1:27" s="1724" customFormat="1" ht="15">
      <c r="A316" s="7929"/>
      <c r="B316" s="2241"/>
      <c r="C316" s="2242"/>
      <c r="D316" s="2242"/>
      <c r="E316" s="2242"/>
      <c r="F316" s="2242"/>
      <c r="G316" s="2242"/>
      <c r="H316" s="2242"/>
      <c r="I316" s="2242"/>
      <c r="J316" s="2242"/>
      <c r="K316" s="2242"/>
      <c r="L316" s="2242"/>
      <c r="M316" s="2242"/>
      <c r="N316" s="2243"/>
      <c r="O316" s="1744"/>
      <c r="P316" s="1744"/>
      <c r="Q316" s="1744"/>
      <c r="R316" s="1128">
        <v>1</v>
      </c>
      <c r="S316" s="1128">
        <v>1</v>
      </c>
      <c r="T316" s="1128">
        <v>1</v>
      </c>
      <c r="U316" s="1128">
        <v>1</v>
      </c>
      <c r="V316" s="1128">
        <v>1</v>
      </c>
      <c r="W316" s="1128">
        <v>1</v>
      </c>
      <c r="X316" s="1128">
        <v>1</v>
      </c>
      <c r="Y316" s="1128">
        <v>1</v>
      </c>
      <c r="Z316" s="1128">
        <v>1</v>
      </c>
      <c r="AA316" s="1128">
        <v>1</v>
      </c>
    </row>
    <row r="317" spans="1:27" s="1724" customFormat="1" ht="18">
      <c r="A317" s="7929"/>
      <c r="B317" s="2241"/>
      <c r="C317" s="2242"/>
      <c r="D317" s="2242"/>
      <c r="E317" s="2242"/>
      <c r="F317" s="2247" t="s">
        <v>3271</v>
      </c>
      <c r="G317" s="2248" t="s">
        <v>3154</v>
      </c>
      <c r="H317" s="2248" t="s">
        <v>3155</v>
      </c>
      <c r="I317" s="2249" t="s">
        <v>3156</v>
      </c>
      <c r="J317" s="2248" t="s">
        <v>3157</v>
      </c>
      <c r="K317" s="2248" t="s">
        <v>3224</v>
      </c>
      <c r="L317" s="2242"/>
      <c r="M317" s="2242"/>
      <c r="N317" s="2243"/>
      <c r="O317" s="1744"/>
      <c r="P317" s="1744"/>
      <c r="Q317" s="1744"/>
      <c r="R317" s="1128">
        <v>1</v>
      </c>
      <c r="S317" s="1128">
        <v>1</v>
      </c>
      <c r="T317" s="1128">
        <v>1</v>
      </c>
      <c r="U317" s="1128">
        <v>1</v>
      </c>
      <c r="V317" s="1128">
        <v>1</v>
      </c>
      <c r="W317" s="1128">
        <v>1</v>
      </c>
      <c r="X317" s="1128">
        <v>1</v>
      </c>
      <c r="Y317" s="1128">
        <v>1</v>
      </c>
      <c r="Z317" s="1128">
        <v>1</v>
      </c>
      <c r="AA317" s="1128">
        <v>1</v>
      </c>
    </row>
    <row r="318" spans="1:27" s="1724" customFormat="1" ht="18">
      <c r="A318" s="7929"/>
      <c r="B318" s="2241"/>
      <c r="C318" s="2242"/>
      <c r="D318" s="2242"/>
      <c r="E318" s="2242"/>
      <c r="F318" s="2213" t="s">
        <v>3287</v>
      </c>
      <c r="G318" s="2250">
        <v>0.05</v>
      </c>
      <c r="H318" s="2250">
        <v>0.08</v>
      </c>
      <c r="I318" s="2250">
        <v>0.11</v>
      </c>
      <c r="J318" s="2250">
        <v>0.125</v>
      </c>
      <c r="K318" s="2250">
        <v>7.0000000000000007E-2</v>
      </c>
      <c r="L318" s="2215">
        <f>SUM(G318:K318)/COUNTIF(G318:K318,"&gt;0")</f>
        <v>8.6999999999999994E-2</v>
      </c>
      <c r="M318" s="2212" t="s">
        <v>3274</v>
      </c>
      <c r="N318" s="2243"/>
      <c r="O318" s="1744"/>
      <c r="P318" s="1744"/>
      <c r="Q318" s="1744"/>
      <c r="R318" s="1128">
        <v>1</v>
      </c>
      <c r="S318" s="1128">
        <v>1</v>
      </c>
      <c r="T318" s="1128">
        <v>1</v>
      </c>
      <c r="U318" s="1128">
        <v>1</v>
      </c>
      <c r="V318" s="1128">
        <v>1</v>
      </c>
      <c r="W318" s="1128">
        <v>1</v>
      </c>
      <c r="X318" s="1128">
        <v>1</v>
      </c>
      <c r="Y318" s="1128">
        <v>1</v>
      </c>
      <c r="Z318" s="1128">
        <v>1</v>
      </c>
      <c r="AA318" s="1128">
        <v>1</v>
      </c>
    </row>
    <row r="319" spans="1:27" s="1724" customFormat="1" ht="18.75">
      <c r="A319" s="7929"/>
      <c r="B319" s="2241"/>
      <c r="C319" s="2242"/>
      <c r="D319" s="2242"/>
      <c r="E319" s="2242"/>
      <c r="F319" s="2216" t="s">
        <v>3288</v>
      </c>
      <c r="G319" s="2251">
        <f>L314/G318</f>
        <v>47.999999999999993</v>
      </c>
      <c r="H319" s="2251">
        <f>L314/H318</f>
        <v>30</v>
      </c>
      <c r="I319" s="2251">
        <f>L314/I318</f>
        <v>21.818181818181817</v>
      </c>
      <c r="J319" s="2251">
        <f>L314/J318</f>
        <v>19.2</v>
      </c>
      <c r="K319" s="2251">
        <f>L314/K318</f>
        <v>34.285714285714285</v>
      </c>
      <c r="L319" s="2252" t="s">
        <v>3289</v>
      </c>
      <c r="M319" s="2212"/>
      <c r="N319" s="2243"/>
      <c r="O319" s="1744"/>
      <c r="P319" s="1744"/>
      <c r="Q319" s="1744"/>
      <c r="R319" s="1128">
        <v>1</v>
      </c>
      <c r="S319" s="1128">
        <v>1</v>
      </c>
      <c r="T319" s="1128">
        <v>1</v>
      </c>
      <c r="U319" s="1128">
        <v>1</v>
      </c>
      <c r="V319" s="1128">
        <v>1</v>
      </c>
      <c r="W319" s="1128">
        <v>1</v>
      </c>
      <c r="X319" s="1128">
        <v>1</v>
      </c>
      <c r="Y319" s="1128">
        <v>1</v>
      </c>
      <c r="Z319" s="1128">
        <v>1</v>
      </c>
      <c r="AA319" s="1128">
        <v>1</v>
      </c>
    </row>
    <row r="320" spans="1:27" s="1724" customFormat="1" ht="18.75">
      <c r="A320" s="7929"/>
      <c r="B320" s="5429" t="s">
        <v>1807</v>
      </c>
      <c r="C320" s="5430" t="s">
        <v>3290</v>
      </c>
      <c r="D320" s="2242"/>
      <c r="E320" s="2242"/>
      <c r="F320" s="2216"/>
      <c r="G320" s="2253"/>
      <c r="H320" s="2253"/>
      <c r="I320" s="2253"/>
      <c r="J320" s="2253"/>
      <c r="K320" s="2253"/>
      <c r="L320" s="2252"/>
      <c r="M320" s="2212"/>
      <c r="N320" s="2243"/>
      <c r="O320" s="1744"/>
      <c r="P320" s="1744"/>
      <c r="Q320" s="1744"/>
      <c r="R320" s="1128">
        <v>1</v>
      </c>
      <c r="S320" s="1128">
        <v>1</v>
      </c>
      <c r="T320" s="1128">
        <v>1</v>
      </c>
      <c r="U320" s="1128">
        <v>1</v>
      </c>
      <c r="V320" s="1128">
        <v>1</v>
      </c>
      <c r="W320" s="1128">
        <v>1</v>
      </c>
      <c r="X320" s="1128">
        <v>1</v>
      </c>
      <c r="Y320" s="1128">
        <v>1</v>
      </c>
      <c r="Z320" s="1128">
        <v>1</v>
      </c>
      <c r="AA320" s="1128">
        <v>1</v>
      </c>
    </row>
    <row r="321" spans="1:27" s="1724" customFormat="1" ht="15">
      <c r="A321" s="7929"/>
      <c r="B321" s="7944" t="s">
        <v>3291</v>
      </c>
      <c r="C321" s="7945"/>
      <c r="D321" s="7945"/>
      <c r="E321" s="7945"/>
      <c r="F321" s="7945"/>
      <c r="G321" s="7945"/>
      <c r="H321" s="7945"/>
      <c r="I321" s="7945"/>
      <c r="J321" s="7945"/>
      <c r="K321" s="7945"/>
      <c r="L321" s="7945"/>
      <c r="M321" s="7945"/>
      <c r="N321" s="7946"/>
      <c r="O321" s="1744"/>
      <c r="P321" s="1744"/>
      <c r="Q321" s="1744"/>
      <c r="R321" s="1128">
        <v>1</v>
      </c>
      <c r="S321" s="1128">
        <v>1</v>
      </c>
      <c r="T321" s="1128">
        <v>1</v>
      </c>
      <c r="U321" s="1128">
        <v>1</v>
      </c>
      <c r="V321" s="1128">
        <v>1</v>
      </c>
      <c r="W321" s="1128">
        <v>1</v>
      </c>
      <c r="X321" s="1128">
        <v>1</v>
      </c>
      <c r="Y321" s="1128">
        <v>1</v>
      </c>
      <c r="Z321" s="1128">
        <v>1</v>
      </c>
      <c r="AA321" s="1128">
        <v>1</v>
      </c>
    </row>
    <row r="322" spans="1:27" s="1724" customFormat="1">
      <c r="A322" s="7929"/>
      <c r="B322" s="2254"/>
      <c r="C322" s="2255"/>
      <c r="D322" s="2255"/>
      <c r="E322" s="2255"/>
      <c r="F322" s="2242"/>
      <c r="G322" s="2242"/>
      <c r="H322" s="2211"/>
      <c r="I322" s="2211"/>
      <c r="J322" s="2211"/>
      <c r="K322" s="2211"/>
      <c r="L322" s="7947" t="s">
        <v>1901</v>
      </c>
      <c r="M322" s="7947"/>
      <c r="N322" s="2243"/>
      <c r="O322" s="1744"/>
      <c r="P322" s="1744"/>
      <c r="Q322" s="1744"/>
      <c r="R322" s="1128">
        <v>1</v>
      </c>
      <c r="S322" s="1128">
        <v>1</v>
      </c>
      <c r="T322" s="1128">
        <v>1</v>
      </c>
      <c r="U322" s="1128">
        <v>1</v>
      </c>
      <c r="V322" s="1128">
        <v>1</v>
      </c>
      <c r="W322" s="1128">
        <v>1</v>
      </c>
      <c r="X322" s="1128">
        <v>1</v>
      </c>
      <c r="Y322" s="1128">
        <v>1</v>
      </c>
      <c r="Z322" s="1128">
        <v>1</v>
      </c>
      <c r="AA322" s="1128">
        <v>1</v>
      </c>
    </row>
    <row r="323" spans="1:27" s="1724" customFormat="1">
      <c r="A323" s="7929"/>
      <c r="B323" s="2254"/>
      <c r="C323" s="2255"/>
      <c r="D323" s="2255"/>
      <c r="E323" s="2255"/>
      <c r="F323" s="2242"/>
      <c r="G323" s="2242"/>
      <c r="H323" s="2211"/>
      <c r="I323" s="2211"/>
      <c r="J323" s="2211"/>
      <c r="K323" s="2256" t="s">
        <v>3270</v>
      </c>
      <c r="L323" s="7948" t="s">
        <v>111</v>
      </c>
      <c r="M323" s="7949"/>
      <c r="N323" s="2243"/>
      <c r="O323" s="1744"/>
      <c r="P323" s="1744"/>
      <c r="Q323" s="1744"/>
      <c r="R323" s="1128">
        <v>1</v>
      </c>
      <c r="S323" s="1128">
        <v>1</v>
      </c>
      <c r="T323" s="1128">
        <v>1</v>
      </c>
      <c r="U323" s="1128">
        <v>1</v>
      </c>
      <c r="V323" s="1128">
        <v>1</v>
      </c>
      <c r="W323" s="1128">
        <v>1</v>
      </c>
      <c r="X323" s="1128">
        <v>1</v>
      </c>
      <c r="Y323" s="1128">
        <v>1</v>
      </c>
      <c r="Z323" s="1128">
        <v>1</v>
      </c>
      <c r="AA323" s="1128">
        <v>1</v>
      </c>
    </row>
    <row r="324" spans="1:27" s="1724" customFormat="1" ht="18">
      <c r="A324" s="7929"/>
      <c r="B324" s="2241"/>
      <c r="C324" s="2242"/>
      <c r="D324" s="2211"/>
      <c r="E324" s="2211"/>
      <c r="F324" s="2211"/>
      <c r="G324" s="2211"/>
      <c r="H324" s="2211"/>
      <c r="I324" s="2211"/>
      <c r="J324" s="2211"/>
      <c r="K324" s="2211"/>
      <c r="L324" s="2211"/>
      <c r="M324" s="2212"/>
      <c r="N324" s="2243"/>
      <c r="O324" s="1744"/>
      <c r="P324" s="1744"/>
      <c r="Q324" s="1744"/>
      <c r="R324" s="1128">
        <v>1</v>
      </c>
      <c r="S324" s="1128">
        <v>1</v>
      </c>
      <c r="T324" s="1128">
        <v>1</v>
      </c>
      <c r="U324" s="1128">
        <v>1</v>
      </c>
      <c r="V324" s="1128">
        <v>1</v>
      </c>
      <c r="W324" s="1128">
        <v>1</v>
      </c>
      <c r="X324" s="1128">
        <v>1</v>
      </c>
      <c r="Y324" s="1128">
        <v>1</v>
      </c>
      <c r="Z324" s="1128">
        <v>1</v>
      </c>
      <c r="AA324" s="1128">
        <v>1</v>
      </c>
    </row>
    <row r="325" spans="1:27" s="1724" customFormat="1" ht="18.75">
      <c r="A325" s="7929"/>
      <c r="B325" s="2241"/>
      <c r="C325" s="2242"/>
      <c r="D325" s="2242"/>
      <c r="E325" s="2242"/>
      <c r="F325" s="5428" t="s">
        <v>3272</v>
      </c>
      <c r="G325" s="2210">
        <v>50</v>
      </c>
      <c r="H325" s="2210">
        <v>500</v>
      </c>
      <c r="I325" s="2210">
        <v>150</v>
      </c>
      <c r="J325" s="2210">
        <v>13</v>
      </c>
      <c r="K325" s="2210">
        <v>13</v>
      </c>
      <c r="L325" s="2211">
        <f>SUM(G325:K325)</f>
        <v>726</v>
      </c>
      <c r="M325" s="2212" t="s">
        <v>73</v>
      </c>
      <c r="N325" s="2243"/>
      <c r="O325" s="1744"/>
      <c r="P325" s="1744"/>
      <c r="Q325" s="1744"/>
      <c r="R325" s="1128">
        <v>1</v>
      </c>
      <c r="S325" s="1128">
        <v>1</v>
      </c>
      <c r="T325" s="1128">
        <v>1</v>
      </c>
      <c r="U325" s="1128">
        <v>1</v>
      </c>
      <c r="V325" s="1128">
        <v>1</v>
      </c>
      <c r="W325" s="1128">
        <v>1</v>
      </c>
      <c r="X325" s="1128">
        <v>1</v>
      </c>
      <c r="Y325" s="1128">
        <v>1</v>
      </c>
      <c r="Z325" s="1128">
        <v>1</v>
      </c>
      <c r="AA325" s="1128">
        <v>1</v>
      </c>
    </row>
    <row r="326" spans="1:27" s="1724" customFormat="1" ht="18.75">
      <c r="A326" s="7929"/>
      <c r="B326" s="2241"/>
      <c r="C326" s="2242"/>
      <c r="D326" s="2242"/>
      <c r="E326" s="2242"/>
      <c r="F326" s="2216" t="s">
        <v>3292</v>
      </c>
      <c r="G326" s="2257">
        <f>G318*G325</f>
        <v>2.5</v>
      </c>
      <c r="H326" s="2257">
        <f>H318*H325</f>
        <v>40</v>
      </c>
      <c r="I326" s="2257">
        <f>I318*I325</f>
        <v>16.5</v>
      </c>
      <c r="J326" s="2257">
        <f>J318*J325</f>
        <v>1.625</v>
      </c>
      <c r="K326" s="2257">
        <f>K318*K325</f>
        <v>0.91000000000000014</v>
      </c>
      <c r="L326" s="2211">
        <f>SUM(G326:K326)</f>
        <v>61.534999999999997</v>
      </c>
      <c r="M326" s="2212" t="str">
        <f>L323</f>
        <v>Kg</v>
      </c>
      <c r="N326" s="2243"/>
      <c r="O326" s="1744"/>
      <c r="P326" s="1744"/>
      <c r="Q326" s="1744"/>
      <c r="R326" s="1128">
        <v>1</v>
      </c>
      <c r="S326" s="1128">
        <v>1</v>
      </c>
      <c r="T326" s="1128">
        <v>1</v>
      </c>
      <c r="U326" s="1128">
        <v>1</v>
      </c>
      <c r="V326" s="1128">
        <v>1</v>
      </c>
      <c r="W326" s="1128">
        <v>1</v>
      </c>
      <c r="X326" s="1128">
        <v>1</v>
      </c>
      <c r="Y326" s="1128">
        <v>1</v>
      </c>
      <c r="Z326" s="1128">
        <v>1</v>
      </c>
      <c r="AA326" s="1128">
        <v>1</v>
      </c>
    </row>
    <row r="327" spans="1:27" s="1724" customFormat="1" ht="15">
      <c r="A327" s="7929"/>
      <c r="B327" s="2241"/>
      <c r="C327" s="2242"/>
      <c r="D327" s="2242"/>
      <c r="E327" s="2242"/>
      <c r="F327" s="2242"/>
      <c r="G327" s="2258" t="str">
        <f>L323</f>
        <v>Kg</v>
      </c>
      <c r="H327" s="2258" t="str">
        <f>L323</f>
        <v>Kg</v>
      </c>
      <c r="I327" s="2258" t="str">
        <f>L323</f>
        <v>Kg</v>
      </c>
      <c r="J327" s="2258" t="str">
        <f>L323</f>
        <v>Kg</v>
      </c>
      <c r="K327" s="2258" t="str">
        <f>L323</f>
        <v>Kg</v>
      </c>
      <c r="L327" s="2242"/>
      <c r="M327" s="2259"/>
      <c r="N327" s="2243"/>
      <c r="O327" s="1744"/>
      <c r="P327" s="1744"/>
      <c r="Q327" s="1744"/>
      <c r="R327" s="1128">
        <v>1</v>
      </c>
      <c r="S327" s="1128">
        <v>1</v>
      </c>
      <c r="T327" s="1128">
        <v>1</v>
      </c>
      <c r="U327" s="1128">
        <v>1</v>
      </c>
      <c r="V327" s="1128">
        <v>1</v>
      </c>
      <c r="W327" s="1128">
        <v>1</v>
      </c>
      <c r="X327" s="1128">
        <v>1</v>
      </c>
      <c r="Y327" s="1128">
        <v>1</v>
      </c>
      <c r="Z327" s="1128">
        <v>1</v>
      </c>
      <c r="AA327" s="1128">
        <v>1</v>
      </c>
    </row>
    <row r="328" spans="1:27" s="1724" customFormat="1" ht="18">
      <c r="A328" s="7929"/>
      <c r="B328" s="2260"/>
      <c r="C328" s="2221" t="s">
        <v>3276</v>
      </c>
      <c r="D328" s="2222">
        <v>50</v>
      </c>
      <c r="E328" s="2223" t="s">
        <v>739</v>
      </c>
      <c r="H328" s="2242"/>
      <c r="I328" s="2242"/>
      <c r="J328" s="2242"/>
      <c r="K328" s="2242"/>
      <c r="L328" s="2242"/>
      <c r="M328" s="2259"/>
      <c r="N328" s="2243"/>
      <c r="O328" s="1744"/>
      <c r="P328" s="1744"/>
      <c r="Q328" s="1744"/>
      <c r="R328" s="1128">
        <v>1</v>
      </c>
      <c r="S328" s="1128">
        <v>1</v>
      </c>
      <c r="T328" s="1128">
        <v>1</v>
      </c>
      <c r="U328" s="1128">
        <v>1</v>
      </c>
      <c r="V328" s="1128">
        <v>1</v>
      </c>
      <c r="W328" s="1128">
        <v>1</v>
      </c>
      <c r="X328" s="1128">
        <v>1</v>
      </c>
      <c r="Y328" s="1128">
        <v>1</v>
      </c>
      <c r="Z328" s="1128">
        <v>1</v>
      </c>
      <c r="AA328" s="1128">
        <v>1</v>
      </c>
    </row>
    <row r="329" spans="1:27" s="1724" customFormat="1" ht="18">
      <c r="A329" s="7929"/>
      <c r="B329" s="2241"/>
      <c r="C329" s="2242"/>
      <c r="D329" s="2242"/>
      <c r="E329" s="2242"/>
      <c r="F329" s="2216" t="s">
        <v>3277</v>
      </c>
      <c r="G329" s="2225">
        <f>G326/(100-D328)*100</f>
        <v>5</v>
      </c>
      <c r="H329" s="2225">
        <f>H326/(100-D328)*100</f>
        <v>80</v>
      </c>
      <c r="I329" s="2225">
        <f>I326/(100-D328)*100</f>
        <v>33</v>
      </c>
      <c r="J329" s="2225">
        <f>J326/(100-D328)*100</f>
        <v>3.25</v>
      </c>
      <c r="K329" s="2225">
        <f>K326/(100-D328)*100</f>
        <v>1.8200000000000005</v>
      </c>
      <c r="L329" s="2211">
        <f>SUM(G329:K329)</f>
        <v>123.07000000000001</v>
      </c>
      <c r="M329" s="2212" t="str">
        <f>L323</f>
        <v>Kg</v>
      </c>
      <c r="N329" s="2243"/>
      <c r="O329" s="1744"/>
      <c r="P329" s="1744"/>
      <c r="Q329" s="1744"/>
      <c r="R329" s="1128">
        <v>1</v>
      </c>
      <c r="S329" s="1128">
        <v>1</v>
      </c>
      <c r="T329" s="1128">
        <v>1</v>
      </c>
      <c r="U329" s="1128">
        <v>1</v>
      </c>
      <c r="V329" s="1128">
        <v>1</v>
      </c>
      <c r="W329" s="1128">
        <v>1</v>
      </c>
      <c r="X329" s="1128">
        <v>1</v>
      </c>
      <c r="Y329" s="1128">
        <v>1</v>
      </c>
      <c r="Z329" s="1128">
        <v>1</v>
      </c>
      <c r="AA329" s="1128">
        <v>1</v>
      </c>
    </row>
    <row r="330" spans="1:27" s="1724" customFormat="1" ht="18">
      <c r="A330" s="7929"/>
      <c r="B330" s="2241"/>
      <c r="C330" s="2242"/>
      <c r="D330" s="2242"/>
      <c r="E330" s="2242"/>
      <c r="F330" s="2216"/>
      <c r="G330" s="2227" t="str">
        <f>L323</f>
        <v>Kg</v>
      </c>
      <c r="H330" s="2227" t="str">
        <f>L323</f>
        <v>Kg</v>
      </c>
      <c r="I330" s="2227" t="str">
        <f>L323</f>
        <v>Kg</v>
      </c>
      <c r="J330" s="2227" t="str">
        <f>L323</f>
        <v>Kg</v>
      </c>
      <c r="K330" s="2227" t="str">
        <f>L323</f>
        <v>Kg</v>
      </c>
      <c r="L330" s="2211"/>
      <c r="M330" s="2212"/>
      <c r="N330" s="2243"/>
      <c r="O330" s="1744"/>
      <c r="P330" s="1744"/>
      <c r="Q330" s="1744"/>
      <c r="R330" s="1128">
        <v>1</v>
      </c>
      <c r="S330" s="1128">
        <v>1</v>
      </c>
      <c r="T330" s="1128">
        <v>1</v>
      </c>
      <c r="U330" s="1128">
        <v>1</v>
      </c>
      <c r="V330" s="1128">
        <v>1</v>
      </c>
      <c r="W330" s="1128">
        <v>1</v>
      </c>
      <c r="X330" s="1128">
        <v>1</v>
      </c>
      <c r="Y330" s="1128">
        <v>1</v>
      </c>
      <c r="Z330" s="1128">
        <v>1</v>
      </c>
      <c r="AA330" s="1128">
        <v>1</v>
      </c>
    </row>
    <row r="331" spans="1:27" s="1724" customFormat="1">
      <c r="A331" s="7929"/>
      <c r="B331" s="2261" t="s">
        <v>739</v>
      </c>
      <c r="C331" s="2238" t="s">
        <v>3281</v>
      </c>
      <c r="D331" s="2262"/>
      <c r="E331" s="2262"/>
      <c r="F331" s="2262"/>
      <c r="G331" s="2262"/>
      <c r="H331" s="2262"/>
      <c r="I331" s="2262"/>
      <c r="J331" s="2262"/>
      <c r="K331" s="2262"/>
      <c r="L331" s="2262"/>
      <c r="M331" s="2262"/>
      <c r="N331" s="2263"/>
      <c r="O331" s="1744"/>
      <c r="P331" s="1744"/>
      <c r="Q331" s="1744"/>
      <c r="R331" s="1128">
        <v>1</v>
      </c>
      <c r="S331" s="1128">
        <v>1</v>
      </c>
      <c r="T331" s="1128">
        <v>1</v>
      </c>
      <c r="U331" s="1128">
        <v>1</v>
      </c>
      <c r="V331" s="1128">
        <v>1</v>
      </c>
      <c r="W331" s="1128">
        <v>1</v>
      </c>
      <c r="X331" s="1128">
        <v>1</v>
      </c>
      <c r="Y331" s="1128">
        <v>1</v>
      </c>
      <c r="Z331" s="1128">
        <v>1</v>
      </c>
      <c r="AA331" s="1128">
        <v>1</v>
      </c>
    </row>
    <row r="332" spans="1:27" s="1724" customFormat="1" ht="18.75">
      <c r="A332" s="7929"/>
      <c r="B332" s="2264" t="s">
        <v>1901</v>
      </c>
      <c r="C332" s="2265" t="s">
        <v>3278</v>
      </c>
      <c r="D332" s="2232"/>
      <c r="E332" s="2232"/>
      <c r="F332" s="2232"/>
      <c r="G332" s="2232"/>
      <c r="H332" s="2232"/>
      <c r="I332" s="2232"/>
      <c r="J332" s="2232"/>
      <c r="K332" s="2232"/>
      <c r="L332" s="2232"/>
      <c r="M332" s="2232"/>
      <c r="N332" s="2233"/>
      <c r="O332" s="1744"/>
      <c r="P332" s="1744"/>
      <c r="Q332" s="1744"/>
      <c r="R332" s="1128">
        <v>1</v>
      </c>
      <c r="S332" s="1128">
        <v>1</v>
      </c>
      <c r="T332" s="1128">
        <v>1</v>
      </c>
      <c r="U332" s="1128">
        <v>1</v>
      </c>
      <c r="V332" s="1128">
        <v>1</v>
      </c>
      <c r="W332" s="1128">
        <v>1</v>
      </c>
      <c r="X332" s="1128">
        <v>1</v>
      </c>
      <c r="Y332" s="1128">
        <v>1</v>
      </c>
      <c r="Z332" s="1128">
        <v>1</v>
      </c>
      <c r="AA332" s="1128">
        <v>1</v>
      </c>
    </row>
    <row r="333" spans="1:27" s="1724" customFormat="1" ht="18.75">
      <c r="A333" s="7929"/>
      <c r="B333" s="2234"/>
      <c r="C333" s="7948" t="s">
        <v>111</v>
      </c>
      <c r="D333" s="7949"/>
      <c r="E333" s="2235"/>
      <c r="F333" s="7948" t="s">
        <v>3279</v>
      </c>
      <c r="G333" s="7949"/>
      <c r="H333" s="2235"/>
      <c r="I333" s="7948" t="s">
        <v>3280</v>
      </c>
      <c r="J333" s="7949"/>
      <c r="K333" s="2235"/>
      <c r="L333" s="7948" t="s">
        <v>977</v>
      </c>
      <c r="M333" s="7949"/>
      <c r="N333" s="2236"/>
      <c r="O333" s="1744"/>
      <c r="P333" s="1744"/>
      <c r="Q333" s="1744"/>
      <c r="R333" s="1128">
        <v>1</v>
      </c>
      <c r="S333" s="1128">
        <v>1</v>
      </c>
      <c r="T333" s="1128">
        <v>1</v>
      </c>
      <c r="U333" s="1128">
        <v>1</v>
      </c>
      <c r="V333" s="1128">
        <v>1</v>
      </c>
      <c r="W333" s="1128">
        <v>1</v>
      </c>
      <c r="X333" s="1128">
        <v>1</v>
      </c>
      <c r="Y333" s="1128">
        <v>1</v>
      </c>
      <c r="Z333" s="1128">
        <v>1</v>
      </c>
      <c r="AA333" s="1128">
        <v>1</v>
      </c>
    </row>
    <row r="334" spans="1:27" s="1724" customFormat="1" ht="18.75">
      <c r="A334" s="7929"/>
      <c r="B334" s="2234"/>
      <c r="C334" s="2235"/>
      <c r="D334" s="2235"/>
      <c r="E334" s="2235"/>
      <c r="F334" s="2235"/>
      <c r="G334" s="2235"/>
      <c r="H334" s="2235"/>
      <c r="I334" s="2235"/>
      <c r="J334" s="2235"/>
      <c r="K334" s="2235"/>
      <c r="L334" s="2235"/>
      <c r="M334" s="2235"/>
      <c r="N334" s="2236"/>
      <c r="O334" s="1744"/>
      <c r="P334" s="1744"/>
      <c r="Q334" s="1744"/>
      <c r="R334" s="1128">
        <v>1</v>
      </c>
      <c r="S334" s="1128">
        <v>1</v>
      </c>
      <c r="T334" s="1128">
        <v>1</v>
      </c>
      <c r="U334" s="1128">
        <v>1</v>
      </c>
      <c r="V334" s="1128">
        <v>1</v>
      </c>
      <c r="W334" s="1128">
        <v>1</v>
      </c>
      <c r="X334" s="1128">
        <v>1</v>
      </c>
      <c r="Y334" s="1128">
        <v>1</v>
      </c>
      <c r="Z334" s="1128">
        <v>1</v>
      </c>
      <c r="AA334" s="1128">
        <v>1</v>
      </c>
    </row>
    <row r="335" spans="1:27" s="1724" customFormat="1" ht="15">
      <c r="A335" s="7929"/>
      <c r="B335" s="7883" t="s">
        <v>3282</v>
      </c>
      <c r="C335" s="7884"/>
      <c r="D335" s="7884"/>
      <c r="E335" s="7884"/>
      <c r="F335" s="7884"/>
      <c r="G335" s="7884"/>
      <c r="H335" s="7884"/>
      <c r="I335" s="7884"/>
      <c r="J335" s="7884"/>
      <c r="K335" s="7884"/>
      <c r="L335" s="7884"/>
      <c r="M335" s="7884"/>
      <c r="N335" s="7885"/>
      <c r="O335" s="1744"/>
      <c r="P335" s="1744"/>
      <c r="Q335" s="1744"/>
      <c r="R335" s="1128">
        <v>1</v>
      </c>
      <c r="S335" s="1128">
        <v>1</v>
      </c>
      <c r="T335" s="1128">
        <v>1</v>
      </c>
      <c r="U335" s="1128">
        <v>1</v>
      </c>
      <c r="V335" s="1128">
        <v>1</v>
      </c>
      <c r="W335" s="1128">
        <v>1</v>
      </c>
      <c r="X335" s="1128">
        <v>1</v>
      </c>
      <c r="Y335" s="1128">
        <v>1</v>
      </c>
      <c r="Z335" s="1128">
        <v>1</v>
      </c>
      <c r="AA335" s="1128">
        <v>1</v>
      </c>
    </row>
    <row r="336" spans="1:27" s="1724" customFormat="1" ht="15">
      <c r="A336" s="7929"/>
      <c r="B336" s="7886"/>
      <c r="C336" s="7887"/>
      <c r="D336" s="7887"/>
      <c r="E336" s="7887"/>
      <c r="F336" s="7887"/>
      <c r="G336" s="7887"/>
      <c r="H336" s="7887"/>
      <c r="I336" s="7887"/>
      <c r="J336" s="7887"/>
      <c r="K336" s="7887"/>
      <c r="L336" s="7887"/>
      <c r="M336" s="7887"/>
      <c r="N336" s="7888"/>
      <c r="O336" s="1744"/>
      <c r="P336" s="1744"/>
      <c r="Q336" s="1744"/>
      <c r="R336" s="1128">
        <v>1</v>
      </c>
      <c r="S336" s="1128">
        <v>1</v>
      </c>
      <c r="T336" s="1128">
        <v>1</v>
      </c>
      <c r="U336" s="1128">
        <v>1</v>
      </c>
      <c r="V336" s="1128">
        <v>1</v>
      </c>
      <c r="W336" s="1128">
        <v>1</v>
      </c>
      <c r="X336" s="1128">
        <v>1</v>
      </c>
      <c r="Y336" s="1128">
        <v>1</v>
      </c>
      <c r="Z336" s="1128">
        <v>1</v>
      </c>
      <c r="AA336" s="1128">
        <v>1</v>
      </c>
    </row>
    <row r="337" spans="1:27" s="1724" customFormat="1" ht="15">
      <c r="A337" s="7929"/>
      <c r="B337" s="2239" t="s">
        <v>269</v>
      </c>
      <c r="C337" s="7889" t="str">
        <f ca="1">CELL("nomfichier")</f>
        <v>D:\Données\1.UPRT\0-UPRT.fait\1-UPRT.FR-SITE-WEB\ff-fiches-fabrications\ff.fiches.fabrication.2023\ffr.restaurant.2023\[ff.REPERTOIRE.600.LIGNES.15.xlsx]Differents.postits.FR.EN.ES</v>
      </c>
      <c r="D337" s="7889"/>
      <c r="E337" s="7889"/>
      <c r="F337" s="7889"/>
      <c r="G337" s="7889"/>
      <c r="H337" s="7889"/>
      <c r="I337" s="7889"/>
      <c r="J337" s="7889"/>
      <c r="K337" s="7889"/>
      <c r="L337" s="7889"/>
      <c r="M337" s="7889"/>
      <c r="N337" s="7890"/>
      <c r="O337" s="1744"/>
      <c r="P337" s="1744"/>
      <c r="Q337" s="1744"/>
      <c r="R337" s="1128">
        <v>1</v>
      </c>
      <c r="S337" s="1128">
        <v>1</v>
      </c>
      <c r="T337" s="1128">
        <v>1</v>
      </c>
      <c r="U337" s="1128">
        <v>1</v>
      </c>
      <c r="V337" s="1128">
        <v>1</v>
      </c>
      <c r="W337" s="1128">
        <v>1</v>
      </c>
      <c r="X337" s="1128">
        <v>1</v>
      </c>
      <c r="Y337" s="1128">
        <v>1</v>
      </c>
      <c r="Z337" s="1128">
        <v>1</v>
      </c>
      <c r="AA337" s="1128">
        <v>1</v>
      </c>
    </row>
    <row r="338" spans="1:27" s="1724" customFormat="1" ht="15">
      <c r="A338" s="7929"/>
      <c r="B338" s="2240" t="s">
        <v>3283</v>
      </c>
      <c r="C338" s="7891" t="s">
        <v>3284</v>
      </c>
      <c r="D338" s="7891"/>
      <c r="E338" s="7891"/>
      <c r="F338" s="7891"/>
      <c r="G338" s="7891"/>
      <c r="H338" s="7891"/>
      <c r="I338" s="7891"/>
      <c r="J338" s="7891"/>
      <c r="K338" s="7891"/>
      <c r="L338" s="7891"/>
      <c r="M338" s="7891"/>
      <c r="N338" s="7892"/>
      <c r="O338" s="1744"/>
      <c r="P338" s="1744"/>
      <c r="Q338" s="1744"/>
      <c r="R338" s="1128">
        <v>1</v>
      </c>
      <c r="S338" s="1128">
        <v>1</v>
      </c>
      <c r="T338" s="1128">
        <v>1</v>
      </c>
      <c r="U338" s="1128">
        <v>1</v>
      </c>
      <c r="V338" s="1128">
        <v>1</v>
      </c>
      <c r="W338" s="1128">
        <v>1</v>
      </c>
      <c r="X338" s="1128">
        <v>1</v>
      </c>
      <c r="Y338" s="1128">
        <v>1</v>
      </c>
      <c r="Z338" s="1128">
        <v>1</v>
      </c>
      <c r="AA338" s="1128">
        <v>1</v>
      </c>
    </row>
    <row r="339" spans="1:27" s="1724" customFormat="1" thickBot="1">
      <c r="A339" s="7929"/>
      <c r="B339" s="7893" t="s">
        <v>3197</v>
      </c>
      <c r="C339" s="7894"/>
      <c r="D339" s="7894"/>
      <c r="E339" s="7894"/>
      <c r="F339" s="7894"/>
      <c r="G339" s="7894"/>
      <c r="H339" s="7894"/>
      <c r="I339" s="7894"/>
      <c r="J339" s="7894"/>
      <c r="K339" s="7894"/>
      <c r="L339" s="7894"/>
      <c r="M339" s="7894"/>
      <c r="N339" s="7895"/>
      <c r="O339" s="1744"/>
      <c r="P339" s="1744"/>
      <c r="Q339" s="1744"/>
      <c r="R339" s="1128">
        <v>1</v>
      </c>
      <c r="S339" s="1128">
        <v>1</v>
      </c>
      <c r="T339" s="1128">
        <v>1</v>
      </c>
      <c r="U339" s="1128">
        <v>1</v>
      </c>
      <c r="V339" s="1128">
        <v>1</v>
      </c>
      <c r="W339" s="1128">
        <v>1</v>
      </c>
      <c r="X339" s="1128">
        <v>1</v>
      </c>
      <c r="Y339" s="1128">
        <v>1</v>
      </c>
      <c r="Z339" s="1128">
        <v>1</v>
      </c>
      <c r="AA339" s="1128">
        <v>1</v>
      </c>
    </row>
    <row r="340" spans="1:27" s="1724" customFormat="1" ht="15.75" customHeight="1">
      <c r="A340" s="1744"/>
      <c r="B340" s="1778"/>
      <c r="C340" s="1778"/>
      <c r="D340" s="1778"/>
      <c r="E340" s="1778"/>
      <c r="F340" s="1778"/>
      <c r="G340" s="1778"/>
      <c r="H340" s="1745"/>
      <c r="I340" s="1788"/>
      <c r="J340" s="1788"/>
      <c r="K340" s="1789"/>
      <c r="L340" s="1789"/>
      <c r="M340" s="1788"/>
      <c r="N340" s="1788"/>
      <c r="O340" s="1744"/>
      <c r="P340" s="1744"/>
      <c r="Q340" s="1744"/>
      <c r="R340" s="1128">
        <v>1</v>
      </c>
      <c r="S340" s="1128">
        <v>1</v>
      </c>
      <c r="T340" s="1128">
        <v>1</v>
      </c>
      <c r="U340" s="1128">
        <v>1</v>
      </c>
      <c r="V340" s="1128">
        <v>1</v>
      </c>
      <c r="W340" s="1128">
        <v>1</v>
      </c>
      <c r="X340" s="1128">
        <v>1</v>
      </c>
      <c r="Y340" s="1128">
        <v>1</v>
      </c>
      <c r="Z340" s="1128">
        <v>1</v>
      </c>
      <c r="AA340" s="1128">
        <v>1</v>
      </c>
    </row>
    <row r="341" spans="1:27" s="1724" customFormat="1" thickBot="1">
      <c r="A341" s="1744"/>
      <c r="B341" s="1778"/>
      <c r="C341" s="1778"/>
      <c r="D341" s="1778"/>
      <c r="E341" s="1778"/>
      <c r="F341" s="1778"/>
      <c r="G341" s="1778"/>
      <c r="H341" s="1745"/>
      <c r="I341" s="1788"/>
      <c r="J341" s="1788"/>
      <c r="K341" s="1789"/>
      <c r="L341" s="1789"/>
      <c r="M341" s="1788"/>
      <c r="N341" s="1788"/>
      <c r="O341" s="1744"/>
      <c r="P341" s="1744"/>
      <c r="Q341" s="1744"/>
      <c r="R341" s="1128">
        <v>1</v>
      </c>
      <c r="S341" s="1128">
        <v>1</v>
      </c>
      <c r="T341" s="1128">
        <v>1</v>
      </c>
      <c r="U341" s="1128">
        <v>1</v>
      </c>
      <c r="V341" s="1128">
        <v>1</v>
      </c>
      <c r="W341" s="1128">
        <v>1</v>
      </c>
      <c r="X341" s="1128">
        <v>1</v>
      </c>
      <c r="Y341" s="1128">
        <v>1</v>
      </c>
      <c r="Z341" s="1128">
        <v>1</v>
      </c>
      <c r="AA341" s="1128">
        <v>1</v>
      </c>
    </row>
    <row r="342" spans="1:27" s="1724" customFormat="1" ht="15.75" customHeight="1">
      <c r="A342" s="1988" t="s">
        <v>252</v>
      </c>
      <c r="B342" s="2266" t="s">
        <v>3089</v>
      </c>
      <c r="C342" s="2267"/>
      <c r="D342" s="2268"/>
      <c r="E342" s="2269"/>
      <c r="F342" s="1744"/>
      <c r="G342" s="1885" t="s">
        <v>252</v>
      </c>
      <c r="H342" s="2270" t="s">
        <v>3079</v>
      </c>
      <c r="I342" s="2271"/>
      <c r="J342" s="2272"/>
      <c r="K342" s="2272"/>
      <c r="L342" s="2272"/>
      <c r="M342" s="2272"/>
      <c r="N342" s="2273"/>
      <c r="O342" s="1744"/>
      <c r="P342" s="1744"/>
      <c r="Q342" s="1744"/>
      <c r="R342" s="1128">
        <v>1</v>
      </c>
      <c r="S342" s="1128">
        <v>1</v>
      </c>
      <c r="T342" s="1128">
        <v>1</v>
      </c>
      <c r="U342" s="1128">
        <v>1</v>
      </c>
      <c r="V342" s="1128">
        <v>1</v>
      </c>
      <c r="W342" s="1128">
        <v>1</v>
      </c>
      <c r="X342" s="1128">
        <v>1</v>
      </c>
      <c r="Y342" s="1128">
        <v>1</v>
      </c>
      <c r="Z342" s="1128">
        <v>1</v>
      </c>
      <c r="AA342" s="1128">
        <v>1</v>
      </c>
    </row>
    <row r="343" spans="1:27" s="1724" customFormat="1" ht="18.75">
      <c r="A343" s="7833" t="str">
        <f>B342</f>
        <v xml:space="preserve">Quantités nettes à prévoir : Mater Prim Adul Adul +  </v>
      </c>
      <c r="B343" s="1783" t="str">
        <f>ADDRESS(ROW(),COLUMN(),4)</f>
        <v>B343</v>
      </c>
      <c r="C343" s="824" t="s">
        <v>750</v>
      </c>
      <c r="D343" s="1772"/>
      <c r="E343" s="1776"/>
      <c r="F343" s="1744"/>
      <c r="G343" s="7833" t="str">
        <f>H342</f>
        <v>PURÉE DÉSHYDRATÉE</v>
      </c>
      <c r="H343" s="1783" t="str">
        <f>ADDRESS(ROW(),COLUMN(),4)</f>
        <v>H343</v>
      </c>
      <c r="I343" s="824" t="s">
        <v>750</v>
      </c>
      <c r="J343" s="1772"/>
      <c r="K343" s="906"/>
      <c r="L343" s="906"/>
      <c r="M343" s="906"/>
      <c r="N343" s="1784"/>
      <c r="O343" s="1744"/>
      <c r="P343" s="1744"/>
      <c r="Q343" s="1744"/>
      <c r="R343" s="1128">
        <v>1</v>
      </c>
      <c r="S343" s="1128">
        <v>1</v>
      </c>
      <c r="T343" s="1128">
        <v>1</v>
      </c>
      <c r="U343" s="1128">
        <v>1</v>
      </c>
      <c r="V343" s="1128">
        <v>1</v>
      </c>
      <c r="W343" s="1128">
        <v>1</v>
      </c>
      <c r="X343" s="1128">
        <v>1</v>
      </c>
      <c r="Y343" s="1128">
        <v>1</v>
      </c>
      <c r="Z343" s="1128">
        <v>1</v>
      </c>
      <c r="AA343" s="1128">
        <v>1</v>
      </c>
    </row>
    <row r="344" spans="1:27" s="1724" customFormat="1" ht="25.5">
      <c r="A344" s="7833"/>
      <c r="B344" s="7896" t="s">
        <v>3293</v>
      </c>
      <c r="C344" s="7897"/>
      <c r="D344" s="7900" t="s">
        <v>3294</v>
      </c>
      <c r="E344" s="7902">
        <f>(B346*B349)+(C346*C349)+(D346*D349)+(E346*E349)</f>
        <v>228.85000000000002</v>
      </c>
      <c r="F344" s="1744"/>
      <c r="G344" s="7833"/>
      <c r="H344" s="2274" t="s">
        <v>3295</v>
      </c>
      <c r="I344" s="2275" t="s">
        <v>784</v>
      </c>
      <c r="J344" s="2275" t="s">
        <v>3296</v>
      </c>
      <c r="K344" s="2275" t="s">
        <v>3297</v>
      </c>
      <c r="L344" s="2275" t="s">
        <v>3298</v>
      </c>
      <c r="M344" s="2275" t="s">
        <v>2834</v>
      </c>
      <c r="N344" s="2276" t="s">
        <v>3299</v>
      </c>
      <c r="O344" s="1744"/>
      <c r="P344" s="1744"/>
      <c r="Q344" s="1744"/>
      <c r="R344" s="1128">
        <v>1</v>
      </c>
      <c r="S344" s="1128">
        <v>1</v>
      </c>
      <c r="T344" s="1128">
        <v>1</v>
      </c>
      <c r="U344" s="1128">
        <v>1</v>
      </c>
      <c r="V344" s="1128">
        <v>1</v>
      </c>
      <c r="W344" s="1128">
        <v>1</v>
      </c>
      <c r="X344" s="1128">
        <v>1</v>
      </c>
      <c r="Y344" s="1128">
        <v>1</v>
      </c>
      <c r="Z344" s="1128">
        <v>1</v>
      </c>
      <c r="AA344" s="1128">
        <v>1</v>
      </c>
    </row>
    <row r="345" spans="1:27" s="1724" customFormat="1" ht="15">
      <c r="A345" s="7833"/>
      <c r="B345" s="7898"/>
      <c r="C345" s="7899"/>
      <c r="D345" s="7901"/>
      <c r="E345" s="7903"/>
      <c r="F345" s="1744"/>
      <c r="G345" s="7833"/>
      <c r="H345" s="7904">
        <v>0.12</v>
      </c>
      <c r="I345" s="7880">
        <v>1</v>
      </c>
      <c r="J345" s="7880">
        <v>0.11</v>
      </c>
      <c r="K345" s="7880">
        <v>0</v>
      </c>
      <c r="L345" s="7880">
        <v>0.01</v>
      </c>
      <c r="M345" s="7880">
        <v>5.0000000000000001E-3</v>
      </c>
      <c r="N345" s="7881">
        <f>SUM(H345:M345)</f>
        <v>1.2450000000000001</v>
      </c>
      <c r="O345" s="1744"/>
      <c r="P345" s="1744"/>
      <c r="Q345" s="1744"/>
      <c r="R345" s="1128">
        <v>1</v>
      </c>
      <c r="S345" s="1128">
        <v>1</v>
      </c>
      <c r="T345" s="1128">
        <v>1</v>
      </c>
      <c r="U345" s="1128">
        <v>1</v>
      </c>
      <c r="V345" s="1128">
        <v>1</v>
      </c>
      <c r="W345" s="1128">
        <v>1</v>
      </c>
      <c r="X345" s="1128">
        <v>1</v>
      </c>
      <c r="Y345" s="1128">
        <v>1</v>
      </c>
      <c r="Z345" s="1128">
        <v>1</v>
      </c>
      <c r="AA345" s="1128">
        <v>1</v>
      </c>
    </row>
    <row r="346" spans="1:27" s="1724" customFormat="1" ht="15">
      <c r="A346" s="7833"/>
      <c r="B346" s="7915">
        <v>6.5000000000000002E-2</v>
      </c>
      <c r="C346" s="7917">
        <v>7.4999999999999997E-2</v>
      </c>
      <c r="D346" s="7917">
        <v>0.12</v>
      </c>
      <c r="E346" s="7919">
        <v>0.15</v>
      </c>
      <c r="F346" s="1744"/>
      <c r="G346" s="7833"/>
      <c r="H346" s="7904"/>
      <c r="I346" s="7880"/>
      <c r="J346" s="7880"/>
      <c r="K346" s="7880"/>
      <c r="L346" s="7880"/>
      <c r="M346" s="7880"/>
      <c r="N346" s="7881"/>
      <c r="O346" s="1744"/>
      <c r="P346" s="1744"/>
      <c r="Q346" s="1744"/>
      <c r="R346" s="1128">
        <v>1</v>
      </c>
      <c r="S346" s="1128">
        <v>1</v>
      </c>
      <c r="T346" s="1128">
        <v>1</v>
      </c>
      <c r="U346" s="1128">
        <v>1</v>
      </c>
      <c r="V346" s="1128">
        <v>1</v>
      </c>
      <c r="W346" s="1128">
        <v>1</v>
      </c>
      <c r="X346" s="1128">
        <v>1</v>
      </c>
      <c r="Y346" s="1128">
        <v>1</v>
      </c>
      <c r="Z346" s="1128">
        <v>1</v>
      </c>
      <c r="AA346" s="1128">
        <v>1</v>
      </c>
    </row>
    <row r="347" spans="1:27" s="1724" customFormat="1" ht="15">
      <c r="A347" s="7833"/>
      <c r="B347" s="7916"/>
      <c r="C347" s="7918"/>
      <c r="D347" s="7918"/>
      <c r="E347" s="7920"/>
      <c r="F347" s="1744"/>
      <c r="G347" s="7833"/>
      <c r="H347" s="7878">
        <f>(H345/N345)*N347</f>
        <v>2.1204819277108431</v>
      </c>
      <c r="I347" s="7879">
        <f>(I345/N345)*N347</f>
        <v>17.670682730923691</v>
      </c>
      <c r="J347" s="7879">
        <f>(J345/N345)*N347</f>
        <v>1.9437751004016062</v>
      </c>
      <c r="K347" s="7879">
        <f>(K345/N345)*N347</f>
        <v>0</v>
      </c>
      <c r="L347" s="7879">
        <f>(L345/N345)*N347</f>
        <v>0.17670682730923692</v>
      </c>
      <c r="M347" s="7879">
        <f>(M345/N345)*N347</f>
        <v>8.8353413654618462E-2</v>
      </c>
      <c r="N347" s="7905">
        <v>22</v>
      </c>
      <c r="O347" s="1744"/>
      <c r="P347" s="1744"/>
      <c r="Q347" s="1744"/>
      <c r="R347" s="1128">
        <v>1</v>
      </c>
      <c r="S347" s="1128">
        <v>1</v>
      </c>
      <c r="T347" s="1128">
        <v>1</v>
      </c>
      <c r="U347" s="1128">
        <v>1</v>
      </c>
      <c r="V347" s="1128">
        <v>1</v>
      </c>
      <c r="W347" s="1128">
        <v>1</v>
      </c>
      <c r="X347" s="1128">
        <v>1</v>
      </c>
      <c r="Y347" s="1128">
        <v>1</v>
      </c>
      <c r="Z347" s="1128">
        <v>1</v>
      </c>
      <c r="AA347" s="1128">
        <v>1</v>
      </c>
    </row>
    <row r="348" spans="1:27" s="1724" customFormat="1" ht="15">
      <c r="A348" s="7833"/>
      <c r="B348" s="2277" t="s">
        <v>3300</v>
      </c>
      <c r="C348" s="2278" t="s">
        <v>3301</v>
      </c>
      <c r="D348" s="2278" t="s">
        <v>3302</v>
      </c>
      <c r="E348" s="2279" t="s">
        <v>3157</v>
      </c>
      <c r="F348" s="1744"/>
      <c r="G348" s="7833"/>
      <c r="H348" s="7878"/>
      <c r="I348" s="7879"/>
      <c r="J348" s="7879"/>
      <c r="K348" s="7879"/>
      <c r="L348" s="7879"/>
      <c r="M348" s="7879"/>
      <c r="N348" s="7905"/>
      <c r="O348" s="1744"/>
      <c r="P348" s="1744"/>
      <c r="Q348" s="1744"/>
      <c r="R348" s="1128">
        <v>1</v>
      </c>
      <c r="S348" s="1128">
        <v>1</v>
      </c>
      <c r="T348" s="1128">
        <v>1</v>
      </c>
      <c r="U348" s="1128">
        <v>1</v>
      </c>
      <c r="V348" s="1128">
        <v>1</v>
      </c>
      <c r="W348" s="1128">
        <v>1</v>
      </c>
      <c r="X348" s="1128">
        <v>1</v>
      </c>
      <c r="Y348" s="1128">
        <v>1</v>
      </c>
      <c r="Z348" s="1128">
        <v>1</v>
      </c>
      <c r="AA348" s="1128">
        <v>1</v>
      </c>
    </row>
    <row r="349" spans="1:27" s="1724" customFormat="1" ht="15" customHeight="1">
      <c r="A349" s="7833"/>
      <c r="B349" s="7906">
        <v>920</v>
      </c>
      <c r="C349" s="7908">
        <v>1700</v>
      </c>
      <c r="D349" s="7908">
        <v>240</v>
      </c>
      <c r="E349" s="7910">
        <v>85</v>
      </c>
      <c r="F349" s="1744"/>
      <c r="G349" s="7833"/>
      <c r="H349" s="7912" t="s">
        <v>3303</v>
      </c>
      <c r="I349" s="7913"/>
      <c r="J349" s="7913"/>
      <c r="K349" s="7913"/>
      <c r="L349" s="7913"/>
      <c r="M349" s="7913"/>
      <c r="N349" s="7914"/>
      <c r="O349" s="1744"/>
      <c r="P349" s="1744"/>
      <c r="Q349" s="1744"/>
      <c r="R349" s="1128">
        <v>1</v>
      </c>
      <c r="S349" s="1128">
        <v>1</v>
      </c>
      <c r="T349" s="1128">
        <v>1</v>
      </c>
      <c r="U349" s="1128">
        <v>1</v>
      </c>
      <c r="V349" s="1128">
        <v>1</v>
      </c>
      <c r="W349" s="1128">
        <v>1</v>
      </c>
      <c r="X349" s="1128">
        <v>1</v>
      </c>
      <c r="Y349" s="1128">
        <v>1</v>
      </c>
      <c r="Z349" s="1128">
        <v>1</v>
      </c>
      <c r="AA349" s="1128">
        <v>1</v>
      </c>
    </row>
    <row r="350" spans="1:27" s="1724" customFormat="1" ht="15" customHeight="1">
      <c r="A350" s="7833"/>
      <c r="B350" s="7907"/>
      <c r="C350" s="7909"/>
      <c r="D350" s="7909"/>
      <c r="E350" s="7911"/>
      <c r="F350" s="1744"/>
      <c r="G350" s="7833"/>
      <c r="H350" s="7876">
        <f t="shared" ref="H350:M350" si="1">ROUNDUP(H347,2)</f>
        <v>2.13</v>
      </c>
      <c r="I350" s="7877">
        <f t="shared" si="1"/>
        <v>17.680000000000003</v>
      </c>
      <c r="J350" s="7877">
        <f t="shared" si="1"/>
        <v>1.95</v>
      </c>
      <c r="K350" s="7877">
        <f t="shared" si="1"/>
        <v>0</v>
      </c>
      <c r="L350" s="7877">
        <f t="shared" si="1"/>
        <v>0.18000000000000002</v>
      </c>
      <c r="M350" s="7877">
        <f t="shared" si="1"/>
        <v>0.09</v>
      </c>
      <c r="N350" s="7882">
        <f>SUM(H350:M350)</f>
        <v>22.03</v>
      </c>
      <c r="O350" s="1744"/>
      <c r="P350" s="1744"/>
      <c r="Q350" s="1744"/>
      <c r="R350" s="1128">
        <v>1</v>
      </c>
      <c r="S350" s="1128">
        <v>1</v>
      </c>
      <c r="T350" s="1128">
        <v>1</v>
      </c>
      <c r="U350" s="1128">
        <v>1</v>
      </c>
      <c r="V350" s="1128">
        <v>1</v>
      </c>
      <c r="W350" s="1128">
        <v>1</v>
      </c>
      <c r="X350" s="1128">
        <v>1</v>
      </c>
      <c r="Y350" s="1128">
        <v>1</v>
      </c>
      <c r="Z350" s="1128">
        <v>1</v>
      </c>
      <c r="AA350" s="1128">
        <v>1</v>
      </c>
    </row>
    <row r="351" spans="1:27" s="1724" customFormat="1" ht="15.75" customHeight="1">
      <c r="A351" s="7833"/>
      <c r="B351" s="7865" t="s">
        <v>3304</v>
      </c>
      <c r="C351" s="7867">
        <f>SUM(B349:E349)</f>
        <v>2945</v>
      </c>
      <c r="D351" s="7869" t="s">
        <v>3305</v>
      </c>
      <c r="E351" s="7871">
        <f>IF(E344=0,0,E344/D346)</f>
        <v>1907.0833333333335</v>
      </c>
      <c r="F351" s="1744"/>
      <c r="G351" s="7833"/>
      <c r="H351" s="7876"/>
      <c r="I351" s="7877"/>
      <c r="J351" s="7877"/>
      <c r="K351" s="7877"/>
      <c r="L351" s="7877"/>
      <c r="M351" s="7877"/>
      <c r="N351" s="7882"/>
      <c r="O351" s="1744"/>
      <c r="P351" s="1744"/>
      <c r="Q351" s="1744"/>
      <c r="R351" s="1128">
        <v>1</v>
      </c>
      <c r="S351" s="1128">
        <v>1</v>
      </c>
      <c r="T351" s="1128">
        <v>1</v>
      </c>
      <c r="U351" s="1128">
        <v>1</v>
      </c>
      <c r="V351" s="1128">
        <v>1</v>
      </c>
      <c r="W351" s="1128">
        <v>1</v>
      </c>
      <c r="X351" s="1128">
        <v>1</v>
      </c>
      <c r="Y351" s="1128">
        <v>1</v>
      </c>
      <c r="Z351" s="1128">
        <v>1</v>
      </c>
      <c r="AA351" s="1128">
        <v>1</v>
      </c>
    </row>
    <row r="352" spans="1:27" s="1724" customFormat="1" ht="15.75" customHeight="1" thickBot="1">
      <c r="A352" s="7833"/>
      <c r="B352" s="7866"/>
      <c r="C352" s="7868"/>
      <c r="D352" s="7870"/>
      <c r="E352" s="7872"/>
      <c r="F352" s="1744"/>
      <c r="G352" s="7833"/>
      <c r="H352" s="7873" t="s">
        <v>3306</v>
      </c>
      <c r="I352" s="7874"/>
      <c r="J352" s="7874"/>
      <c r="K352" s="7874"/>
      <c r="L352" s="7874"/>
      <c r="M352" s="7874"/>
      <c r="N352" s="7875"/>
      <c r="O352" s="1744"/>
      <c r="P352" s="1744"/>
      <c r="Q352" s="1744"/>
      <c r="R352" s="1128">
        <v>1</v>
      </c>
      <c r="S352" s="1128">
        <v>1</v>
      </c>
      <c r="T352" s="1128">
        <v>1</v>
      </c>
      <c r="U352" s="1128">
        <v>1</v>
      </c>
      <c r="V352" s="1128">
        <v>1</v>
      </c>
      <c r="W352" s="1128">
        <v>1</v>
      </c>
      <c r="X352" s="1128">
        <v>1</v>
      </c>
      <c r="Y352" s="1128">
        <v>1</v>
      </c>
      <c r="Z352" s="1128">
        <v>1</v>
      </c>
      <c r="AA352" s="1128">
        <v>1</v>
      </c>
    </row>
    <row r="353" spans="1:27" s="1724" customFormat="1" ht="16.5" thickBot="1">
      <c r="A353" s="7833"/>
      <c r="B353" s="7856" t="s">
        <v>60</v>
      </c>
      <c r="C353" s="7857"/>
      <c r="D353" s="7857"/>
      <c r="E353" s="7858"/>
      <c r="F353" s="1744"/>
      <c r="G353" s="7833"/>
      <c r="H353" s="7856" t="s">
        <v>60</v>
      </c>
      <c r="I353" s="7857"/>
      <c r="J353" s="7857"/>
      <c r="K353" s="7857"/>
      <c r="L353" s="644"/>
      <c r="M353" s="644"/>
      <c r="N353" s="645"/>
      <c r="O353" s="1745"/>
      <c r="P353" s="1745"/>
      <c r="Q353" s="1745"/>
      <c r="R353" s="1128">
        <v>1</v>
      </c>
      <c r="S353" s="1128">
        <v>1</v>
      </c>
      <c r="T353" s="1128">
        <v>1</v>
      </c>
      <c r="U353" s="1128">
        <v>1</v>
      </c>
      <c r="V353" s="1128">
        <v>1</v>
      </c>
      <c r="W353" s="1128">
        <v>1</v>
      </c>
      <c r="X353" s="1128">
        <v>1</v>
      </c>
      <c r="Y353" s="1128">
        <v>1</v>
      </c>
      <c r="Z353" s="1128">
        <v>1</v>
      </c>
      <c r="AA353" s="1128">
        <v>1</v>
      </c>
    </row>
    <row r="354" spans="1:27" s="1724" customFormat="1" thickBot="1">
      <c r="A354" s="1744"/>
      <c r="B354" s="1745"/>
      <c r="C354" s="1745"/>
      <c r="D354" s="1745"/>
      <c r="E354" s="1745"/>
      <c r="F354" s="1745"/>
      <c r="G354" s="1745"/>
      <c r="H354" s="1745"/>
      <c r="I354" s="1745"/>
      <c r="J354" s="1745"/>
      <c r="K354" s="1745"/>
      <c r="L354" s="1745"/>
      <c r="M354" s="1745"/>
      <c r="N354" s="1745"/>
      <c r="O354" s="1745"/>
      <c r="P354" s="1745"/>
      <c r="Q354" s="1745"/>
      <c r="R354" s="1128">
        <v>1</v>
      </c>
      <c r="S354" s="1128">
        <v>1</v>
      </c>
      <c r="T354" s="1128">
        <v>1</v>
      </c>
      <c r="U354" s="1128">
        <v>1</v>
      </c>
      <c r="V354" s="1128">
        <v>1</v>
      </c>
      <c r="W354" s="1128">
        <v>1</v>
      </c>
      <c r="X354" s="1128">
        <v>1</v>
      </c>
      <c r="Y354" s="1128">
        <v>1</v>
      </c>
      <c r="Z354" s="1128">
        <v>1</v>
      </c>
      <c r="AA354" s="1128">
        <v>1</v>
      </c>
    </row>
    <row r="355" spans="1:27" s="1724" customFormat="1" ht="18.75">
      <c r="A355" s="1988" t="s">
        <v>252</v>
      </c>
      <c r="B355" s="7829" t="str">
        <f>B357</f>
        <v>Gélatine alimentaire</v>
      </c>
      <c r="C355" s="7830"/>
      <c r="D355" s="7830"/>
      <c r="E355" s="7830"/>
      <c r="F355" s="7830"/>
      <c r="G355" s="7830"/>
      <c r="H355" s="7830"/>
      <c r="I355" s="7830"/>
      <c r="J355" s="7830"/>
      <c r="K355" s="7830"/>
      <c r="L355" s="7830"/>
      <c r="M355" s="7830"/>
      <c r="N355" s="7831"/>
      <c r="O355" s="1744"/>
      <c r="P355" s="1744"/>
      <c r="Q355" s="1744"/>
      <c r="R355" s="1128">
        <v>1</v>
      </c>
      <c r="S355" s="1128">
        <v>1</v>
      </c>
      <c r="T355" s="1128">
        <v>1</v>
      </c>
      <c r="U355" s="1128">
        <v>1</v>
      </c>
      <c r="V355" s="1128">
        <v>1</v>
      </c>
      <c r="W355" s="1128">
        <v>1</v>
      </c>
      <c r="X355" s="1128">
        <v>1</v>
      </c>
      <c r="Y355" s="1128">
        <v>1</v>
      </c>
      <c r="Z355" s="1128">
        <v>1</v>
      </c>
      <c r="AA355" s="1128">
        <v>1</v>
      </c>
    </row>
    <row r="356" spans="1:27" s="1724" customFormat="1" ht="22.5" customHeight="1">
      <c r="A356" s="7832" t="str">
        <f>B357</f>
        <v>Gélatine alimentaire</v>
      </c>
      <c r="B356" s="1783" t="str">
        <f>ADDRESS(ROW(),COLUMN(),4)</f>
        <v>B356</v>
      </c>
      <c r="C356" s="824" t="s">
        <v>750</v>
      </c>
      <c r="D356" s="1772"/>
      <c r="E356" s="1772"/>
      <c r="F356" s="1772"/>
      <c r="G356" s="1772"/>
      <c r="H356" s="1772"/>
      <c r="I356" s="1772"/>
      <c r="J356" s="1772"/>
      <c r="K356" s="1772"/>
      <c r="L356" s="1772"/>
      <c r="M356" s="1772"/>
      <c r="N356" s="1776"/>
      <c r="O356" s="1744"/>
      <c r="P356" s="1744"/>
      <c r="Q356" s="1744"/>
      <c r="R356" s="1128">
        <v>1</v>
      </c>
      <c r="S356" s="1128">
        <v>1</v>
      </c>
      <c r="T356" s="1128">
        <v>1</v>
      </c>
      <c r="U356" s="1128">
        <v>1</v>
      </c>
      <c r="V356" s="1128">
        <v>1</v>
      </c>
      <c r="W356" s="1128">
        <v>1</v>
      </c>
      <c r="X356" s="1128">
        <v>1</v>
      </c>
      <c r="Y356" s="1128">
        <v>1</v>
      </c>
      <c r="Z356" s="1128">
        <v>1</v>
      </c>
      <c r="AA356" s="1128">
        <v>1</v>
      </c>
    </row>
    <row r="357" spans="1:27" s="1724" customFormat="1" ht="15" customHeight="1">
      <c r="A357" s="7833"/>
      <c r="B357" s="7834" t="s">
        <v>3078</v>
      </c>
      <c r="C357" s="7835"/>
      <c r="D357" s="7835"/>
      <c r="E357" s="7835"/>
      <c r="F357" s="7835"/>
      <c r="G357" s="7835"/>
      <c r="H357" s="7835"/>
      <c r="I357" s="7835"/>
      <c r="J357" s="7835"/>
      <c r="K357" s="7835"/>
      <c r="L357" s="7835"/>
      <c r="M357" s="7835"/>
      <c r="N357" s="7836"/>
      <c r="O357" s="1744"/>
      <c r="P357" s="1744"/>
      <c r="Q357" s="1744"/>
      <c r="R357" s="1128">
        <v>1</v>
      </c>
      <c r="S357" s="1128">
        <v>1</v>
      </c>
      <c r="T357" s="1128">
        <v>1</v>
      </c>
      <c r="U357" s="1128">
        <v>1</v>
      </c>
      <c r="V357" s="1128">
        <v>1</v>
      </c>
      <c r="W357" s="1128">
        <v>1</v>
      </c>
      <c r="X357" s="1128">
        <v>1</v>
      </c>
      <c r="Y357" s="1128">
        <v>1</v>
      </c>
      <c r="Z357" s="1128">
        <v>1</v>
      </c>
      <c r="AA357" s="1128">
        <v>1</v>
      </c>
    </row>
    <row r="358" spans="1:27" s="1724" customFormat="1" ht="15" customHeight="1">
      <c r="A358" s="7833"/>
      <c r="B358" s="7834"/>
      <c r="C358" s="7835"/>
      <c r="D358" s="7835"/>
      <c r="E358" s="7835"/>
      <c r="F358" s="7835"/>
      <c r="G358" s="7835"/>
      <c r="H358" s="7835"/>
      <c r="I358" s="7835"/>
      <c r="J358" s="7835"/>
      <c r="K358" s="7835"/>
      <c r="L358" s="7835"/>
      <c r="M358" s="7835"/>
      <c r="N358" s="7836"/>
      <c r="O358" s="1744"/>
      <c r="P358" s="1744"/>
      <c r="Q358" s="1744"/>
      <c r="R358" s="1128">
        <v>1</v>
      </c>
      <c r="S358" s="1128">
        <v>1</v>
      </c>
      <c r="T358" s="1128">
        <v>1</v>
      </c>
      <c r="U358" s="1128">
        <v>1</v>
      </c>
      <c r="V358" s="1128">
        <v>1</v>
      </c>
      <c r="W358" s="1128">
        <v>1</v>
      </c>
      <c r="X358" s="1128">
        <v>1</v>
      </c>
      <c r="Y358" s="1128">
        <v>1</v>
      </c>
      <c r="Z358" s="1128">
        <v>1</v>
      </c>
      <c r="AA358" s="1128">
        <v>1</v>
      </c>
    </row>
    <row r="359" spans="1:27" s="1724" customFormat="1" ht="15" customHeight="1">
      <c r="A359" s="7833"/>
      <c r="B359" s="7837" t="s">
        <v>3307</v>
      </c>
      <c r="C359" s="7838"/>
      <c r="D359" s="7838"/>
      <c r="E359" s="7838"/>
      <c r="F359" s="7838"/>
      <c r="G359" s="7838"/>
      <c r="H359" s="7838"/>
      <c r="I359" s="7838"/>
      <c r="J359" s="7838"/>
      <c r="K359" s="7838"/>
      <c r="L359" s="7838"/>
      <c r="M359" s="7838"/>
      <c r="N359" s="7839"/>
      <c r="O359" s="1744"/>
      <c r="P359" s="1744"/>
      <c r="Q359" s="1744"/>
      <c r="R359" s="1128">
        <v>1</v>
      </c>
      <c r="S359" s="1128">
        <v>1</v>
      </c>
      <c r="T359" s="1128">
        <v>1</v>
      </c>
      <c r="U359" s="1128">
        <v>1</v>
      </c>
      <c r="V359" s="1128">
        <v>1</v>
      </c>
      <c r="W359" s="1128">
        <v>1</v>
      </c>
      <c r="X359" s="1128">
        <v>1</v>
      </c>
      <c r="Y359" s="1128">
        <v>1</v>
      </c>
      <c r="Z359" s="1128">
        <v>1</v>
      </c>
      <c r="AA359" s="1128">
        <v>1</v>
      </c>
    </row>
    <row r="360" spans="1:27" s="1724" customFormat="1" ht="15.75" customHeight="1">
      <c r="A360" s="7833"/>
      <c r="B360" s="7840"/>
      <c r="C360" s="7841"/>
      <c r="D360" s="7841"/>
      <c r="E360" s="7841"/>
      <c r="F360" s="7841"/>
      <c r="G360" s="7841"/>
      <c r="H360" s="7841"/>
      <c r="I360" s="7841"/>
      <c r="J360" s="7841"/>
      <c r="K360" s="7841"/>
      <c r="L360" s="7841"/>
      <c r="M360" s="7841"/>
      <c r="N360" s="7842"/>
      <c r="O360" s="1744"/>
      <c r="P360" s="1744"/>
      <c r="Q360" s="1744"/>
      <c r="R360" s="1128">
        <v>1</v>
      </c>
      <c r="S360" s="1128">
        <v>1</v>
      </c>
      <c r="T360" s="1128">
        <v>1</v>
      </c>
      <c r="U360" s="1128">
        <v>1</v>
      </c>
      <c r="V360" s="1128">
        <v>1</v>
      </c>
      <c r="W360" s="1128">
        <v>1</v>
      </c>
      <c r="X360" s="1128">
        <v>1</v>
      </c>
      <c r="Y360" s="1128">
        <v>1</v>
      </c>
      <c r="Z360" s="1128">
        <v>1</v>
      </c>
      <c r="AA360" s="1128">
        <v>1</v>
      </c>
    </row>
    <row r="361" spans="1:27" s="1724" customFormat="1" ht="15.75" customHeight="1">
      <c r="A361" s="7833"/>
      <c r="B361" s="2280"/>
      <c r="C361" s="2281"/>
      <c r="D361" s="2281"/>
      <c r="E361" s="2281"/>
      <c r="F361" s="2281"/>
      <c r="G361" s="2281"/>
      <c r="H361" s="2281"/>
      <c r="I361" s="2281"/>
      <c r="J361" s="2281"/>
      <c r="K361" s="2281"/>
      <c r="L361" s="2281"/>
      <c r="M361" s="2281"/>
      <c r="N361" s="2282" t="s">
        <v>3308</v>
      </c>
      <c r="O361" s="1744"/>
      <c r="P361" s="1744"/>
      <c r="Q361" s="1744"/>
      <c r="R361" s="1128">
        <v>1</v>
      </c>
      <c r="S361" s="1128">
        <v>1</v>
      </c>
      <c r="T361" s="1128">
        <v>1</v>
      </c>
      <c r="U361" s="1128">
        <v>1</v>
      </c>
      <c r="V361" s="1128">
        <v>1</v>
      </c>
      <c r="W361" s="1128">
        <v>1</v>
      </c>
      <c r="X361" s="1128">
        <v>1</v>
      </c>
      <c r="Y361" s="1128">
        <v>1</v>
      </c>
      <c r="Z361" s="1128">
        <v>1</v>
      </c>
      <c r="AA361" s="1128">
        <v>1</v>
      </c>
    </row>
    <row r="362" spans="1:27" s="1724" customFormat="1" ht="16.5" customHeight="1">
      <c r="A362" s="7833"/>
      <c r="B362" s="2280"/>
      <c r="C362" s="2283" t="s">
        <v>3309</v>
      </c>
      <c r="D362" s="2281"/>
      <c r="E362" s="2281"/>
      <c r="F362" s="2281"/>
      <c r="G362" s="2281"/>
      <c r="H362" s="2281"/>
      <c r="I362" s="2281"/>
      <c r="J362" s="2281"/>
      <c r="K362" s="2281"/>
      <c r="L362" s="2281"/>
      <c r="M362" s="2281"/>
      <c r="N362" s="2284"/>
      <c r="O362" s="1744"/>
      <c r="P362" s="1744"/>
      <c r="Q362" s="1744"/>
      <c r="R362" s="1128">
        <v>1</v>
      </c>
      <c r="S362" s="1128">
        <v>1</v>
      </c>
      <c r="T362" s="1128">
        <v>1</v>
      </c>
      <c r="U362" s="1128">
        <v>1</v>
      </c>
      <c r="V362" s="1128">
        <v>1</v>
      </c>
      <c r="W362" s="1128">
        <v>1</v>
      </c>
      <c r="X362" s="1128">
        <v>1</v>
      </c>
      <c r="Y362" s="1128">
        <v>1</v>
      </c>
      <c r="Z362" s="1128">
        <v>1</v>
      </c>
      <c r="AA362" s="1128">
        <v>1</v>
      </c>
    </row>
    <row r="363" spans="1:27" s="1724" customFormat="1" ht="15.75" customHeight="1">
      <c r="A363" s="7833"/>
      <c r="B363" s="2280"/>
      <c r="C363" s="2283" t="s">
        <v>3310</v>
      </c>
      <c r="D363" s="2281"/>
      <c r="E363" s="2281"/>
      <c r="F363" s="2281"/>
      <c r="G363" s="2281"/>
      <c r="H363" s="2281"/>
      <c r="I363" s="2281"/>
      <c r="J363" s="2281"/>
      <c r="K363" s="2281"/>
      <c r="L363" s="2281"/>
      <c r="M363" s="2281"/>
      <c r="N363" s="2284"/>
      <c r="O363" s="1744"/>
      <c r="P363" s="1744"/>
      <c r="Q363" s="1744"/>
      <c r="R363" s="1128">
        <v>1</v>
      </c>
      <c r="S363" s="1128">
        <v>1</v>
      </c>
      <c r="T363" s="1128">
        <v>1</v>
      </c>
      <c r="U363" s="1128">
        <v>1</v>
      </c>
      <c r="V363" s="1128">
        <v>1</v>
      </c>
      <c r="W363" s="1128">
        <v>1</v>
      </c>
      <c r="X363" s="1128">
        <v>1</v>
      </c>
      <c r="Y363" s="1128">
        <v>1</v>
      </c>
      <c r="Z363" s="1128">
        <v>1</v>
      </c>
      <c r="AA363" s="1128">
        <v>1</v>
      </c>
    </row>
    <row r="364" spans="1:27" s="1724" customFormat="1">
      <c r="A364" s="7833"/>
      <c r="B364" s="2280"/>
      <c r="C364" s="2283" t="s">
        <v>3311</v>
      </c>
      <c r="D364" s="2281"/>
      <c r="E364" s="2281"/>
      <c r="F364" s="2281"/>
      <c r="G364" s="2281"/>
      <c r="H364" s="2281"/>
      <c r="I364" s="2281"/>
      <c r="J364" s="2281"/>
      <c r="K364" s="2281"/>
      <c r="L364" s="2281"/>
      <c r="M364" s="2281"/>
      <c r="N364" s="2284"/>
      <c r="O364" s="1744"/>
      <c r="P364" s="1744"/>
      <c r="Q364" s="1744"/>
      <c r="R364" s="1128">
        <v>1</v>
      </c>
      <c r="S364" s="1128">
        <v>1</v>
      </c>
      <c r="T364" s="1128">
        <v>1</v>
      </c>
      <c r="U364" s="1128">
        <v>1</v>
      </c>
      <c r="V364" s="1128">
        <v>1</v>
      </c>
      <c r="W364" s="1128">
        <v>1</v>
      </c>
      <c r="X364" s="1128">
        <v>1</v>
      </c>
      <c r="Y364" s="1128">
        <v>1</v>
      </c>
      <c r="Z364" s="1128">
        <v>1</v>
      </c>
      <c r="AA364" s="1128">
        <v>1</v>
      </c>
    </row>
    <row r="365" spans="1:27" s="1724" customFormat="1" ht="15.75" customHeight="1">
      <c r="A365" s="7833"/>
      <c r="B365" s="2280"/>
      <c r="C365" s="2283" t="s">
        <v>3312</v>
      </c>
      <c r="D365" s="2281"/>
      <c r="E365" s="2281"/>
      <c r="F365" s="2281"/>
      <c r="G365" s="2281"/>
      <c r="H365" s="2281"/>
      <c r="I365" s="2281"/>
      <c r="J365" s="2281"/>
      <c r="K365" s="2281"/>
      <c r="L365" s="2281"/>
      <c r="M365" s="2281"/>
      <c r="N365" s="2284"/>
      <c r="O365" s="1744"/>
      <c r="P365" s="1744"/>
      <c r="Q365" s="1744"/>
      <c r="R365" s="1128">
        <v>1</v>
      </c>
      <c r="S365" s="1128">
        <v>1</v>
      </c>
      <c r="T365" s="1128">
        <v>1</v>
      </c>
      <c r="U365" s="1128">
        <v>1</v>
      </c>
      <c r="V365" s="1128">
        <v>1</v>
      </c>
      <c r="W365" s="1128">
        <v>1</v>
      </c>
      <c r="X365" s="1128">
        <v>1</v>
      </c>
      <c r="Y365" s="1128">
        <v>1</v>
      </c>
      <c r="Z365" s="1128">
        <v>1</v>
      </c>
      <c r="AA365" s="1128">
        <v>1</v>
      </c>
    </row>
    <row r="366" spans="1:27" s="1724" customFormat="1">
      <c r="A366" s="7833"/>
      <c r="B366" s="2280"/>
      <c r="C366" s="2283" t="s">
        <v>3313</v>
      </c>
      <c r="D366" s="2281"/>
      <c r="E366" s="2281"/>
      <c r="F366" s="2281"/>
      <c r="G366" s="2281"/>
      <c r="H366" s="2281"/>
      <c r="I366" s="2281"/>
      <c r="J366" s="2281"/>
      <c r="K366" s="2281"/>
      <c r="L366" s="2281"/>
      <c r="M366" s="2281"/>
      <c r="N366" s="2284"/>
      <c r="O366" s="1744"/>
      <c r="P366" s="1744"/>
      <c r="Q366" s="1744"/>
      <c r="R366" s="1128">
        <v>1</v>
      </c>
      <c r="S366" s="1128">
        <v>1</v>
      </c>
      <c r="T366" s="1128">
        <v>1</v>
      </c>
      <c r="U366" s="1128">
        <v>1</v>
      </c>
      <c r="V366" s="1128">
        <v>1</v>
      </c>
      <c r="W366" s="1128">
        <v>1</v>
      </c>
      <c r="X366" s="1128">
        <v>1</v>
      </c>
      <c r="Y366" s="1128">
        <v>1</v>
      </c>
      <c r="Z366" s="1128">
        <v>1</v>
      </c>
      <c r="AA366" s="1128">
        <v>1</v>
      </c>
    </row>
    <row r="367" spans="1:27" s="1724" customFormat="1">
      <c r="A367" s="7833"/>
      <c r="B367" s="2280"/>
      <c r="C367" s="2283" t="s">
        <v>3314</v>
      </c>
      <c r="D367" s="2281"/>
      <c r="E367" s="2281"/>
      <c r="F367" s="2281"/>
      <c r="G367" s="2281"/>
      <c r="H367" s="2281"/>
      <c r="I367" s="2281"/>
      <c r="J367" s="2281"/>
      <c r="K367" s="2281"/>
      <c r="L367" s="2281"/>
      <c r="M367" s="2281"/>
      <c r="N367" s="2284"/>
      <c r="O367" s="1744"/>
      <c r="P367" s="1744"/>
      <c r="Q367" s="1744"/>
      <c r="R367" s="1128">
        <v>1</v>
      </c>
      <c r="S367" s="1128">
        <v>1</v>
      </c>
      <c r="T367" s="1128">
        <v>1</v>
      </c>
      <c r="U367" s="1128">
        <v>1</v>
      </c>
      <c r="V367" s="1128">
        <v>1</v>
      </c>
      <c r="W367" s="1128">
        <v>1</v>
      </c>
      <c r="X367" s="1128">
        <v>1</v>
      </c>
      <c r="Y367" s="1128">
        <v>1</v>
      </c>
      <c r="Z367" s="1128">
        <v>1</v>
      </c>
      <c r="AA367" s="1128">
        <v>1</v>
      </c>
    </row>
    <row r="368" spans="1:27" s="1724" customFormat="1">
      <c r="A368" s="7833"/>
      <c r="B368" s="2280"/>
      <c r="C368" s="2283" t="s">
        <v>3315</v>
      </c>
      <c r="D368" s="2281"/>
      <c r="E368" s="2281"/>
      <c r="F368" s="2281"/>
      <c r="G368" s="2281"/>
      <c r="H368" s="2281"/>
      <c r="I368" s="2281"/>
      <c r="J368" s="2281"/>
      <c r="K368" s="2281"/>
      <c r="L368" s="2281"/>
      <c r="M368" s="2281"/>
      <c r="N368" s="2284"/>
      <c r="O368" s="1744"/>
      <c r="P368" s="1744"/>
      <c r="Q368" s="1744"/>
      <c r="R368" s="1128">
        <v>1</v>
      </c>
      <c r="S368" s="1128">
        <v>1</v>
      </c>
      <c r="T368" s="1128">
        <v>1</v>
      </c>
      <c r="U368" s="1128">
        <v>1</v>
      </c>
      <c r="V368" s="1128">
        <v>1</v>
      </c>
      <c r="W368" s="1128">
        <v>1</v>
      </c>
      <c r="X368" s="1128">
        <v>1</v>
      </c>
      <c r="Y368" s="1128">
        <v>1</v>
      </c>
      <c r="Z368" s="1128">
        <v>1</v>
      </c>
      <c r="AA368" s="1128">
        <v>1</v>
      </c>
    </row>
    <row r="369" spans="1:27" s="1724" customFormat="1" ht="15">
      <c r="A369" s="7833"/>
      <c r="B369" s="2280"/>
      <c r="C369" s="2281"/>
      <c r="D369" s="2281"/>
      <c r="E369" s="2281"/>
      <c r="F369" s="2281"/>
      <c r="G369" s="2281"/>
      <c r="H369" s="2281"/>
      <c r="I369" s="2281"/>
      <c r="J369" s="2281"/>
      <c r="K369" s="2281"/>
      <c r="L369" s="2281"/>
      <c r="M369" s="2281"/>
      <c r="N369" s="2284"/>
      <c r="O369" s="1744"/>
      <c r="P369" s="1744"/>
      <c r="Q369" s="1744"/>
      <c r="R369" s="1128">
        <v>1</v>
      </c>
      <c r="S369" s="1128">
        <v>1</v>
      </c>
      <c r="T369" s="1128">
        <v>1</v>
      </c>
      <c r="U369" s="1128">
        <v>1</v>
      </c>
      <c r="V369" s="1128">
        <v>1</v>
      </c>
      <c r="W369" s="1128">
        <v>1</v>
      </c>
      <c r="X369" s="1128">
        <v>1</v>
      </c>
      <c r="Y369" s="1128">
        <v>1</v>
      </c>
      <c r="Z369" s="1128">
        <v>1</v>
      </c>
      <c r="AA369" s="1128">
        <v>1</v>
      </c>
    </row>
    <row r="370" spans="1:27" s="1724" customFormat="1" ht="15">
      <c r="A370" s="7833"/>
      <c r="B370" s="2280"/>
      <c r="C370" s="7859" t="s">
        <v>3316</v>
      </c>
      <c r="D370" s="7860"/>
      <c r="E370" s="7860"/>
      <c r="F370" s="7860"/>
      <c r="G370" s="7860"/>
      <c r="H370" s="7860"/>
      <c r="I370" s="7860"/>
      <c r="J370" s="7860"/>
      <c r="K370" s="7860"/>
      <c r="L370" s="7860"/>
      <c r="M370" s="7861"/>
      <c r="N370" s="2284"/>
      <c r="O370" s="1744"/>
      <c r="P370" s="1744"/>
      <c r="Q370" s="1744"/>
      <c r="R370" s="1128">
        <v>1</v>
      </c>
      <c r="S370" s="1128">
        <v>1</v>
      </c>
      <c r="T370" s="1128">
        <v>1</v>
      </c>
      <c r="U370" s="1128">
        <v>1</v>
      </c>
      <c r="V370" s="1128">
        <v>1</v>
      </c>
      <c r="W370" s="1128">
        <v>1</v>
      </c>
      <c r="X370" s="1128">
        <v>1</v>
      </c>
      <c r="Y370" s="1128">
        <v>1</v>
      </c>
      <c r="Z370" s="1128">
        <v>1</v>
      </c>
      <c r="AA370" s="1128">
        <v>1</v>
      </c>
    </row>
    <row r="371" spans="1:27" s="1724" customFormat="1" ht="15">
      <c r="A371" s="7833"/>
      <c r="B371" s="2280"/>
      <c r="C371" s="2285"/>
      <c r="D371" s="2286"/>
      <c r="E371" s="1744"/>
      <c r="F371" s="2287" t="s">
        <v>1807</v>
      </c>
      <c r="G371" s="2286"/>
      <c r="H371" s="7862" t="s">
        <v>3181</v>
      </c>
      <c r="I371" s="7862"/>
      <c r="J371" s="7862"/>
      <c r="K371" s="7862"/>
      <c r="L371" s="7862"/>
      <c r="M371" s="7863"/>
      <c r="N371" s="2284"/>
      <c r="O371" s="1744"/>
      <c r="P371" s="1744"/>
      <c r="Q371" s="1744"/>
      <c r="R371" s="1128">
        <v>1</v>
      </c>
      <c r="S371" s="1128">
        <v>1</v>
      </c>
      <c r="T371" s="1128">
        <v>1</v>
      </c>
      <c r="U371" s="1128">
        <v>1</v>
      </c>
      <c r="V371" s="1128">
        <v>1</v>
      </c>
      <c r="W371" s="1128">
        <v>1</v>
      </c>
      <c r="X371" s="1128">
        <v>1</v>
      </c>
      <c r="Y371" s="1128">
        <v>1</v>
      </c>
      <c r="Z371" s="1128">
        <v>1</v>
      </c>
      <c r="AA371" s="1128">
        <v>1</v>
      </c>
    </row>
    <row r="372" spans="1:27" s="1724" customFormat="1">
      <c r="A372" s="7833"/>
      <c r="B372" s="2280"/>
      <c r="C372" s="2288" t="s">
        <v>1901</v>
      </c>
      <c r="D372" s="7864" t="s">
        <v>3317</v>
      </c>
      <c r="E372" s="7864"/>
      <c r="F372" s="2289">
        <v>2</v>
      </c>
      <c r="G372" s="2290"/>
      <c r="H372" s="1739" t="s">
        <v>3318</v>
      </c>
      <c r="I372" s="2290"/>
      <c r="J372" s="2290"/>
      <c r="K372" s="2291"/>
      <c r="L372" s="2291"/>
      <c r="M372" s="2292"/>
      <c r="N372" s="2284"/>
      <c r="O372" s="1744"/>
      <c r="P372" s="1744"/>
      <c r="Q372" s="1744"/>
      <c r="R372" s="1128">
        <v>1</v>
      </c>
      <c r="S372" s="1128">
        <v>1</v>
      </c>
      <c r="T372" s="1128">
        <v>1</v>
      </c>
      <c r="U372" s="1128">
        <v>1</v>
      </c>
      <c r="V372" s="1128">
        <v>1</v>
      </c>
      <c r="W372" s="1128">
        <v>1</v>
      </c>
      <c r="X372" s="1128">
        <v>1</v>
      </c>
      <c r="Y372" s="1128">
        <v>1</v>
      </c>
      <c r="Z372" s="1128">
        <v>1</v>
      </c>
      <c r="AA372" s="1128">
        <v>1</v>
      </c>
    </row>
    <row r="373" spans="1:27" s="1724" customFormat="1">
      <c r="A373" s="7833"/>
      <c r="B373" s="2280"/>
      <c r="C373" s="2293">
        <v>10</v>
      </c>
      <c r="D373" s="2294" t="s">
        <v>3319</v>
      </c>
      <c r="E373" s="1744"/>
      <c r="F373" s="2295">
        <f>C373*F372</f>
        <v>20</v>
      </c>
      <c r="G373" s="2296"/>
      <c r="H373" s="1739" t="s">
        <v>3320</v>
      </c>
      <c r="I373" s="2290"/>
      <c r="J373" s="2290"/>
      <c r="K373" s="2291"/>
      <c r="L373" s="2291"/>
      <c r="M373" s="2292"/>
      <c r="N373" s="2284"/>
      <c r="O373" s="1744"/>
      <c r="P373" s="1744"/>
      <c r="Q373" s="1744"/>
      <c r="R373" s="1128">
        <v>1</v>
      </c>
      <c r="S373" s="1128">
        <v>1</v>
      </c>
      <c r="T373" s="1128">
        <v>1</v>
      </c>
      <c r="U373" s="1128">
        <v>1</v>
      </c>
      <c r="V373" s="1128">
        <v>1</v>
      </c>
      <c r="W373" s="1128">
        <v>1</v>
      </c>
      <c r="X373" s="1128">
        <v>1</v>
      </c>
      <c r="Y373" s="1128">
        <v>1</v>
      </c>
      <c r="Z373" s="1128">
        <v>1</v>
      </c>
      <c r="AA373" s="1128">
        <v>1</v>
      </c>
    </row>
    <row r="374" spans="1:27" s="1724" customFormat="1">
      <c r="A374" s="7833"/>
      <c r="B374" s="2280"/>
      <c r="C374" s="2297"/>
      <c r="D374" s="2298"/>
      <c r="E374" s="2291"/>
      <c r="F374" s="2291"/>
      <c r="G374" s="2291"/>
      <c r="H374" s="1739" t="s">
        <v>3321</v>
      </c>
      <c r="I374" s="2299"/>
      <c r="J374" s="2290"/>
      <c r="K374" s="2291"/>
      <c r="L374" s="2291"/>
      <c r="M374" s="2292"/>
      <c r="N374" s="2284"/>
      <c r="O374" s="1744"/>
      <c r="P374" s="1744"/>
      <c r="Q374" s="1744"/>
      <c r="R374" s="1128">
        <v>1</v>
      </c>
      <c r="S374" s="1128">
        <v>1</v>
      </c>
      <c r="T374" s="1128">
        <v>1</v>
      </c>
      <c r="U374" s="1128">
        <v>1</v>
      </c>
      <c r="V374" s="1128">
        <v>1</v>
      </c>
      <c r="W374" s="1128">
        <v>1</v>
      </c>
      <c r="X374" s="1128">
        <v>1</v>
      </c>
      <c r="Y374" s="1128">
        <v>1</v>
      </c>
      <c r="Z374" s="1128">
        <v>1</v>
      </c>
      <c r="AA374" s="1128">
        <v>1</v>
      </c>
    </row>
    <row r="375" spans="1:27" s="1724" customFormat="1">
      <c r="A375" s="7833"/>
      <c r="B375" s="2280"/>
      <c r="C375" s="2288"/>
      <c r="D375" s="2300"/>
      <c r="E375" s="2291"/>
      <c r="F375" s="2291"/>
      <c r="G375" s="2291"/>
      <c r="H375" s="1739"/>
      <c r="I375" s="2290"/>
      <c r="J375" s="2290"/>
      <c r="K375" s="2291"/>
      <c r="L375" s="2291"/>
      <c r="M375" s="2292"/>
      <c r="N375" s="2284"/>
      <c r="O375" s="1744"/>
      <c r="P375" s="1744"/>
      <c r="Q375" s="1744"/>
      <c r="R375" s="1128">
        <v>1</v>
      </c>
      <c r="S375" s="1128">
        <v>1</v>
      </c>
      <c r="T375" s="1128">
        <v>1</v>
      </c>
      <c r="U375" s="1128">
        <v>1</v>
      </c>
      <c r="V375" s="1128">
        <v>1</v>
      </c>
      <c r="W375" s="1128">
        <v>1</v>
      </c>
      <c r="X375" s="1128">
        <v>1</v>
      </c>
      <c r="Y375" s="1128">
        <v>1</v>
      </c>
      <c r="Z375" s="1128">
        <v>1</v>
      </c>
      <c r="AA375" s="1128">
        <v>1</v>
      </c>
    </row>
    <row r="376" spans="1:27" s="1724" customFormat="1">
      <c r="A376" s="7833"/>
      <c r="B376" s="2280"/>
      <c r="C376" s="2301" t="s">
        <v>1807</v>
      </c>
      <c r="D376" s="2302" t="s">
        <v>3322</v>
      </c>
      <c r="E376" s="2303"/>
      <c r="F376" s="2303"/>
      <c r="G376" s="2303"/>
      <c r="H376" s="2303"/>
      <c r="I376" s="2303"/>
      <c r="J376" s="2303"/>
      <c r="K376" s="2303"/>
      <c r="L376" s="2303"/>
      <c r="M376" s="2304"/>
      <c r="N376" s="2284"/>
      <c r="O376" s="1744"/>
      <c r="P376" s="1744"/>
      <c r="Q376" s="1744"/>
      <c r="R376" s="1128">
        <v>1</v>
      </c>
      <c r="S376" s="1128">
        <v>1</v>
      </c>
      <c r="T376" s="1128">
        <v>1</v>
      </c>
      <c r="U376" s="1128">
        <v>1</v>
      </c>
      <c r="V376" s="1128">
        <v>1</v>
      </c>
      <c r="W376" s="1128">
        <v>1</v>
      </c>
      <c r="X376" s="1128">
        <v>1</v>
      </c>
      <c r="Y376" s="1128">
        <v>1</v>
      </c>
      <c r="Z376" s="1128">
        <v>1</v>
      </c>
      <c r="AA376" s="1128">
        <v>1</v>
      </c>
    </row>
    <row r="377" spans="1:27" s="1724" customFormat="1">
      <c r="A377" s="7833"/>
      <c r="B377" s="2280"/>
      <c r="C377" s="2305" t="s">
        <v>1901</v>
      </c>
      <c r="D377" s="2306" t="s">
        <v>3323</v>
      </c>
      <c r="E377" s="2307"/>
      <c r="F377" s="2307"/>
      <c r="G377" s="2307"/>
      <c r="H377" s="2307"/>
      <c r="I377" s="2307"/>
      <c r="J377" s="2307"/>
      <c r="K377" s="2307"/>
      <c r="L377" s="2307"/>
      <c r="M377" s="2308"/>
      <c r="N377" s="2284"/>
      <c r="O377" s="1744"/>
      <c r="P377" s="1744"/>
      <c r="Q377" s="1744"/>
      <c r="R377" s="1128">
        <v>1</v>
      </c>
      <c r="S377" s="1128">
        <v>1</v>
      </c>
      <c r="T377" s="1128">
        <v>1</v>
      </c>
      <c r="U377" s="1128">
        <v>1</v>
      </c>
      <c r="V377" s="1128">
        <v>1</v>
      </c>
      <c r="W377" s="1128">
        <v>1</v>
      </c>
      <c r="X377" s="1128">
        <v>1</v>
      </c>
      <c r="Y377" s="1128">
        <v>1</v>
      </c>
      <c r="Z377" s="1128">
        <v>1</v>
      </c>
      <c r="AA377" s="1128">
        <v>1</v>
      </c>
    </row>
    <row r="378" spans="1:27" s="1724" customFormat="1" ht="15">
      <c r="A378" s="7833"/>
      <c r="B378" s="2309" t="str">
        <f ca="1">CELL("nomfichier",A374)</f>
        <v>D:\Données\1.UPRT\0-UPRT.fait\1-UPRT.FR-SITE-WEB\ff-fiches-fabrications\ff.fiches.fabrication.2023\ffr.restaurant.2023\[ff.REPERTOIRE.600.LIGNES.15.xlsx]aides cuisine</v>
      </c>
      <c r="C378" s="2281"/>
      <c r="D378" s="2281"/>
      <c r="E378" s="2281"/>
      <c r="F378" s="2281"/>
      <c r="G378" s="2281"/>
      <c r="H378" s="2281"/>
      <c r="I378" s="2281"/>
      <c r="J378" s="2281"/>
      <c r="K378" s="2281"/>
      <c r="L378" s="2281"/>
      <c r="M378" s="2281"/>
      <c r="N378" s="2284"/>
      <c r="O378" s="1744"/>
      <c r="P378" s="1744"/>
      <c r="Q378" s="1744"/>
      <c r="R378" s="1128">
        <v>1</v>
      </c>
      <c r="S378" s="1128">
        <v>1</v>
      </c>
      <c r="T378" s="1128">
        <v>1</v>
      </c>
      <c r="U378" s="1128">
        <v>1</v>
      </c>
      <c r="V378" s="1128">
        <v>1</v>
      </c>
      <c r="W378" s="1128">
        <v>1</v>
      </c>
      <c r="X378" s="1128">
        <v>1</v>
      </c>
      <c r="Y378" s="1128">
        <v>1</v>
      </c>
      <c r="Z378" s="1128">
        <v>1</v>
      </c>
      <c r="AA378" s="1128">
        <v>1</v>
      </c>
    </row>
    <row r="379" spans="1:27" s="1724" customFormat="1" ht="15" customHeight="1">
      <c r="A379" s="7833"/>
      <c r="B379" s="7850" t="s">
        <v>3324</v>
      </c>
      <c r="C379" s="7851"/>
      <c r="D379" s="7851"/>
      <c r="E379" s="7851"/>
      <c r="F379" s="7851"/>
      <c r="G379" s="7851"/>
      <c r="H379" s="7851"/>
      <c r="I379" s="7851"/>
      <c r="J379" s="7851"/>
      <c r="K379" s="7851"/>
      <c r="L379" s="7851"/>
      <c r="M379" s="7851"/>
      <c r="N379" s="7852"/>
      <c r="O379" s="1744"/>
      <c r="P379" s="1744"/>
      <c r="Q379" s="1744"/>
      <c r="R379" s="1128">
        <v>1</v>
      </c>
      <c r="S379" s="1128">
        <v>1</v>
      </c>
      <c r="T379" s="1128">
        <v>1</v>
      </c>
      <c r="U379" s="1128">
        <v>1</v>
      </c>
      <c r="V379" s="1128">
        <v>1</v>
      </c>
      <c r="W379" s="1128">
        <v>1</v>
      </c>
      <c r="X379" s="1128">
        <v>1</v>
      </c>
      <c r="Y379" s="1128">
        <v>1</v>
      </c>
      <c r="Z379" s="1128">
        <v>1</v>
      </c>
      <c r="AA379" s="1128">
        <v>1</v>
      </c>
    </row>
    <row r="380" spans="1:27" s="1724" customFormat="1" thickBot="1">
      <c r="A380" s="7833"/>
      <c r="B380" s="7853"/>
      <c r="C380" s="7854"/>
      <c r="D380" s="7854"/>
      <c r="E380" s="7854"/>
      <c r="F380" s="7854"/>
      <c r="G380" s="7854"/>
      <c r="H380" s="7854"/>
      <c r="I380" s="7854"/>
      <c r="J380" s="7854"/>
      <c r="K380" s="7854"/>
      <c r="L380" s="7854"/>
      <c r="M380" s="7854"/>
      <c r="N380" s="7855"/>
      <c r="O380" s="1744"/>
      <c r="P380" s="1744"/>
      <c r="Q380" s="1744"/>
      <c r="R380" s="1128">
        <v>1</v>
      </c>
      <c r="S380" s="1128">
        <v>1</v>
      </c>
      <c r="T380" s="1128">
        <v>1</v>
      </c>
      <c r="U380" s="1128">
        <v>1</v>
      </c>
      <c r="V380" s="1128">
        <v>1</v>
      </c>
      <c r="W380" s="1128">
        <v>1</v>
      </c>
      <c r="X380" s="1128">
        <v>1</v>
      </c>
      <c r="Y380" s="1128">
        <v>1</v>
      </c>
      <c r="Z380" s="1128">
        <v>1</v>
      </c>
      <c r="AA380" s="1128">
        <v>1</v>
      </c>
    </row>
    <row r="381" spans="1:27" s="1724" customFormat="1" thickBot="1">
      <c r="B381" s="1744"/>
      <c r="C381" s="1744"/>
      <c r="D381" s="1744"/>
      <c r="E381" s="1744"/>
      <c r="F381" s="1744"/>
      <c r="G381" s="1744"/>
      <c r="H381" s="1744"/>
      <c r="I381" s="1744"/>
      <c r="J381" s="1744"/>
      <c r="K381" s="1744"/>
      <c r="L381" s="1744"/>
      <c r="M381" s="1744"/>
      <c r="N381" s="1744"/>
      <c r="O381" s="1744"/>
      <c r="P381" s="1744"/>
      <c r="Q381" s="1744"/>
      <c r="R381" s="1128">
        <v>1</v>
      </c>
      <c r="S381" s="1128">
        <v>1</v>
      </c>
      <c r="T381" s="1128">
        <v>1</v>
      </c>
      <c r="U381" s="1128">
        <v>1</v>
      </c>
      <c r="V381" s="1128">
        <v>1</v>
      </c>
      <c r="W381" s="1128">
        <v>1</v>
      </c>
      <c r="X381" s="1128">
        <v>1</v>
      </c>
      <c r="Y381" s="1128">
        <v>1</v>
      </c>
      <c r="Z381" s="1128">
        <v>1</v>
      </c>
      <c r="AA381" s="1128">
        <v>1</v>
      </c>
    </row>
    <row r="382" spans="1:27" s="1724" customFormat="1" ht="18.75">
      <c r="A382" s="1988" t="s">
        <v>252</v>
      </c>
      <c r="B382" s="7829" t="str">
        <f>B384</f>
        <v>ŒUFS poids et %</v>
      </c>
      <c r="C382" s="7830"/>
      <c r="D382" s="7830"/>
      <c r="E382" s="7830"/>
      <c r="F382" s="7830"/>
      <c r="G382" s="7830"/>
      <c r="H382" s="7830"/>
      <c r="I382" s="7830"/>
      <c r="J382" s="7830"/>
      <c r="K382" s="7830"/>
      <c r="L382" s="7830"/>
      <c r="M382" s="7830"/>
      <c r="N382" s="7831"/>
      <c r="O382" s="1744"/>
      <c r="P382" s="1744"/>
      <c r="Q382" s="1744"/>
      <c r="R382" s="1128">
        <v>1</v>
      </c>
      <c r="S382" s="1128">
        <v>1</v>
      </c>
      <c r="T382" s="1128">
        <v>1</v>
      </c>
      <c r="U382" s="1128">
        <v>1</v>
      </c>
      <c r="V382" s="1128">
        <v>1</v>
      </c>
      <c r="W382" s="1128">
        <v>1</v>
      </c>
      <c r="X382" s="1128">
        <v>1</v>
      </c>
      <c r="Y382" s="1128">
        <v>1</v>
      </c>
      <c r="Z382" s="1128">
        <v>1</v>
      </c>
      <c r="AA382" s="1128">
        <v>1</v>
      </c>
    </row>
    <row r="383" spans="1:27" s="1724" customFormat="1" ht="16.5" customHeight="1">
      <c r="A383" s="7832" t="str">
        <f>B384</f>
        <v>ŒUFS poids et %</v>
      </c>
      <c r="B383" s="1783" t="str">
        <f>ADDRESS(ROW(),COLUMN(),4)</f>
        <v>B383</v>
      </c>
      <c r="C383" s="824" t="s">
        <v>750</v>
      </c>
      <c r="D383" s="1772"/>
      <c r="E383" s="1772"/>
      <c r="F383" s="1772"/>
      <c r="G383" s="1772"/>
      <c r="H383" s="1772"/>
      <c r="I383" s="1772"/>
      <c r="J383" s="1772"/>
      <c r="K383" s="1772"/>
      <c r="L383" s="1772"/>
      <c r="M383" s="1772"/>
      <c r="N383" s="1776"/>
      <c r="O383" s="1744"/>
      <c r="P383" s="1744"/>
      <c r="Q383" s="1744"/>
      <c r="R383" s="1128">
        <v>1</v>
      </c>
      <c r="S383" s="1128">
        <v>1</v>
      </c>
      <c r="T383" s="1128">
        <v>1</v>
      </c>
      <c r="U383" s="1128">
        <v>1</v>
      </c>
      <c r="V383" s="1128">
        <v>1</v>
      </c>
      <c r="W383" s="1128">
        <v>1</v>
      </c>
      <c r="X383" s="1128">
        <v>1</v>
      </c>
      <c r="Y383" s="1128">
        <v>1</v>
      </c>
      <c r="Z383" s="1128">
        <v>1</v>
      </c>
      <c r="AA383" s="1128">
        <v>1</v>
      </c>
    </row>
    <row r="384" spans="1:27" s="1724" customFormat="1" ht="15" customHeight="1">
      <c r="A384" s="7833"/>
      <c r="B384" s="7834" t="s">
        <v>3080</v>
      </c>
      <c r="C384" s="7835"/>
      <c r="D384" s="7835"/>
      <c r="E384" s="7835"/>
      <c r="F384" s="7835"/>
      <c r="G384" s="7835"/>
      <c r="H384" s="7835"/>
      <c r="I384" s="7835"/>
      <c r="J384" s="7835"/>
      <c r="K384" s="7835"/>
      <c r="L384" s="7835"/>
      <c r="M384" s="7835"/>
      <c r="N384" s="7836"/>
      <c r="O384" s="1744"/>
      <c r="P384" s="1744"/>
      <c r="Q384" s="1744"/>
      <c r="R384" s="1128">
        <v>1</v>
      </c>
      <c r="S384" s="1128">
        <v>1</v>
      </c>
      <c r="T384" s="1128">
        <v>1</v>
      </c>
      <c r="U384" s="1128">
        <v>1</v>
      </c>
      <c r="V384" s="1128">
        <v>1</v>
      </c>
      <c r="W384" s="1128">
        <v>1</v>
      </c>
      <c r="X384" s="1128">
        <v>1</v>
      </c>
      <c r="Y384" s="1128">
        <v>1</v>
      </c>
      <c r="Z384" s="1128">
        <v>1</v>
      </c>
      <c r="AA384" s="1128">
        <v>1</v>
      </c>
    </row>
    <row r="385" spans="1:27" s="1724" customFormat="1" ht="15" customHeight="1">
      <c r="A385" s="7833"/>
      <c r="B385" s="7834"/>
      <c r="C385" s="7835"/>
      <c r="D385" s="7835"/>
      <c r="E385" s="7835"/>
      <c r="F385" s="7835"/>
      <c r="G385" s="7835"/>
      <c r="H385" s="7835"/>
      <c r="I385" s="7835"/>
      <c r="J385" s="7835"/>
      <c r="K385" s="7835"/>
      <c r="L385" s="7835"/>
      <c r="M385" s="7835"/>
      <c r="N385" s="7836"/>
      <c r="O385" s="1744"/>
      <c r="P385" s="1744"/>
      <c r="Q385" s="1744"/>
      <c r="R385" s="1128">
        <v>1</v>
      </c>
      <c r="S385" s="1128">
        <v>1</v>
      </c>
      <c r="T385" s="1128">
        <v>1</v>
      </c>
      <c r="U385" s="1128">
        <v>1</v>
      </c>
      <c r="V385" s="1128">
        <v>1</v>
      </c>
      <c r="W385" s="1128">
        <v>1</v>
      </c>
      <c r="X385" s="1128">
        <v>1</v>
      </c>
      <c r="Y385" s="1128">
        <v>1</v>
      </c>
      <c r="Z385" s="1128">
        <v>1</v>
      </c>
      <c r="AA385" s="1128">
        <v>1</v>
      </c>
    </row>
    <row r="386" spans="1:27" s="1724" customFormat="1" ht="15" customHeight="1">
      <c r="A386" s="7833"/>
      <c r="B386" s="7837" t="s">
        <v>3240</v>
      </c>
      <c r="C386" s="7838"/>
      <c r="D386" s="7838"/>
      <c r="E386" s="7838"/>
      <c r="F386" s="7838"/>
      <c r="G386" s="7838"/>
      <c r="H386" s="7838"/>
      <c r="I386" s="7838"/>
      <c r="J386" s="7838"/>
      <c r="K386" s="7838"/>
      <c r="L386" s="7838"/>
      <c r="M386" s="7838"/>
      <c r="N386" s="7839"/>
      <c r="O386" s="1744"/>
      <c r="P386" s="1744"/>
      <c r="Q386" s="1744"/>
      <c r="R386" s="1128">
        <v>1</v>
      </c>
      <c r="S386" s="1128">
        <v>1</v>
      </c>
      <c r="T386" s="1128">
        <v>1</v>
      </c>
      <c r="U386" s="1128">
        <v>1</v>
      </c>
      <c r="V386" s="1128">
        <v>1</v>
      </c>
      <c r="W386" s="1128">
        <v>1</v>
      </c>
      <c r="X386" s="1128">
        <v>1</v>
      </c>
      <c r="Y386" s="1128">
        <v>1</v>
      </c>
      <c r="Z386" s="1128">
        <v>1</v>
      </c>
      <c r="AA386" s="1128">
        <v>1</v>
      </c>
    </row>
    <row r="387" spans="1:27" s="1724" customFormat="1" ht="15.75" customHeight="1">
      <c r="A387" s="7833"/>
      <c r="B387" s="7840"/>
      <c r="C387" s="7841"/>
      <c r="D387" s="7841"/>
      <c r="E387" s="7841"/>
      <c r="F387" s="7841"/>
      <c r="G387" s="7841"/>
      <c r="H387" s="7841"/>
      <c r="I387" s="7841"/>
      <c r="J387" s="7841"/>
      <c r="K387" s="7841"/>
      <c r="L387" s="7841"/>
      <c r="M387" s="7841"/>
      <c r="N387" s="7842"/>
      <c r="O387" s="1744"/>
      <c r="P387" s="1744"/>
      <c r="Q387" s="1744"/>
      <c r="R387" s="1128">
        <v>1</v>
      </c>
      <c r="S387" s="1128">
        <v>1</v>
      </c>
      <c r="T387" s="1128">
        <v>1</v>
      </c>
      <c r="U387" s="1128">
        <v>1</v>
      </c>
      <c r="V387" s="1128">
        <v>1</v>
      </c>
      <c r="W387" s="1128">
        <v>1</v>
      </c>
      <c r="X387" s="1128">
        <v>1</v>
      </c>
      <c r="Y387" s="1128">
        <v>1</v>
      </c>
      <c r="Z387" s="1128">
        <v>1</v>
      </c>
      <c r="AA387" s="1128">
        <v>1</v>
      </c>
    </row>
    <row r="388" spans="1:27" s="1724" customFormat="1" ht="15" customHeight="1">
      <c r="A388" s="7833"/>
      <c r="B388" s="7843" t="s">
        <v>3080</v>
      </c>
      <c r="C388" s="7844"/>
      <c r="D388" s="7844"/>
      <c r="E388" s="7844"/>
      <c r="F388" s="7844"/>
      <c r="G388" s="7844"/>
      <c r="H388" s="7844"/>
      <c r="I388" s="7844"/>
      <c r="J388" s="7844"/>
      <c r="K388" s="7844"/>
      <c r="L388" s="7844"/>
      <c r="M388" s="7844"/>
      <c r="N388" s="7845"/>
      <c r="O388" s="1744"/>
      <c r="P388" s="1744"/>
      <c r="Q388" s="1744"/>
      <c r="R388" s="1128">
        <v>1</v>
      </c>
      <c r="S388" s="1128">
        <v>1</v>
      </c>
      <c r="T388" s="1128">
        <v>1</v>
      </c>
      <c r="U388" s="1128">
        <v>1</v>
      </c>
      <c r="V388" s="1128">
        <v>1</v>
      </c>
      <c r="W388" s="1128">
        <v>1</v>
      </c>
      <c r="X388" s="1128">
        <v>1</v>
      </c>
      <c r="Y388" s="1128">
        <v>1</v>
      </c>
      <c r="Z388" s="1128">
        <v>1</v>
      </c>
      <c r="AA388" s="1128">
        <v>1</v>
      </c>
    </row>
    <row r="389" spans="1:27" s="1724" customFormat="1" ht="15.75" customHeight="1">
      <c r="A389" s="7833"/>
      <c r="B389" s="2310" t="s">
        <v>1901</v>
      </c>
      <c r="C389" s="2311"/>
      <c r="D389" s="2312" t="s">
        <v>1807</v>
      </c>
      <c r="E389" s="2311"/>
      <c r="F389" s="2311"/>
      <c r="G389" s="2313" t="s">
        <v>1901</v>
      </c>
      <c r="H389" s="2311"/>
      <c r="I389" s="2312" t="s">
        <v>1807</v>
      </c>
      <c r="J389" s="2311"/>
      <c r="K389" s="2313" t="s">
        <v>1901</v>
      </c>
      <c r="L389" s="2311"/>
      <c r="M389" s="2312" t="s">
        <v>1807</v>
      </c>
      <c r="N389" s="2314"/>
      <c r="O389" s="1744"/>
      <c r="P389" s="1744"/>
      <c r="Q389" s="1744"/>
      <c r="R389" s="1128">
        <v>1</v>
      </c>
      <c r="S389" s="1128">
        <v>1</v>
      </c>
      <c r="T389" s="1128">
        <v>1</v>
      </c>
      <c r="U389" s="1128">
        <v>1</v>
      </c>
      <c r="V389" s="1128">
        <v>1</v>
      </c>
      <c r="W389" s="1128">
        <v>1</v>
      </c>
      <c r="X389" s="1128">
        <v>1</v>
      </c>
      <c r="Y389" s="1128">
        <v>1</v>
      </c>
      <c r="Z389" s="1128">
        <v>1</v>
      </c>
      <c r="AA389" s="1128">
        <v>1</v>
      </c>
    </row>
    <row r="390" spans="1:27" s="1724" customFormat="1" ht="18.75" customHeight="1">
      <c r="A390" s="7833"/>
      <c r="B390" s="7846" t="s">
        <v>3325</v>
      </c>
      <c r="C390" s="7847"/>
      <c r="D390" s="2315">
        <v>50</v>
      </c>
      <c r="E390" s="2316">
        <v>1</v>
      </c>
      <c r="F390" s="2317"/>
      <c r="G390" s="7848" t="s">
        <v>3326</v>
      </c>
      <c r="H390" s="7849"/>
      <c r="I390" s="2315">
        <v>20</v>
      </c>
      <c r="J390" s="2318">
        <f>I390/D390</f>
        <v>0.4</v>
      </c>
      <c r="K390" s="7848" t="s">
        <v>3327</v>
      </c>
      <c r="L390" s="7849"/>
      <c r="M390" s="2315">
        <v>30</v>
      </c>
      <c r="N390" s="2319">
        <f>M390/D390</f>
        <v>0.6</v>
      </c>
      <c r="O390" s="1744"/>
      <c r="P390" s="1744"/>
      <c r="Q390" s="1744"/>
      <c r="R390" s="1128">
        <v>1</v>
      </c>
      <c r="S390" s="1128">
        <v>1</v>
      </c>
      <c r="T390" s="1128">
        <v>1</v>
      </c>
      <c r="U390" s="1128">
        <v>1</v>
      </c>
      <c r="V390" s="1128">
        <v>1</v>
      </c>
      <c r="W390" s="1128">
        <v>1</v>
      </c>
      <c r="X390" s="1128">
        <v>1</v>
      </c>
      <c r="Y390" s="1128">
        <v>1</v>
      </c>
      <c r="Z390" s="1128">
        <v>1</v>
      </c>
      <c r="AA390" s="1128">
        <v>1</v>
      </c>
    </row>
    <row r="391" spans="1:27" s="1724" customFormat="1">
      <c r="A391" s="7833"/>
      <c r="B391" s="2320">
        <v>4</v>
      </c>
      <c r="C391" s="2321" t="s">
        <v>3328</v>
      </c>
      <c r="D391" s="2321">
        <f>B391*D390</f>
        <v>200</v>
      </c>
      <c r="E391" s="2294" t="s">
        <v>3329</v>
      </c>
      <c r="F391" s="1744"/>
      <c r="G391" s="2320">
        <v>10</v>
      </c>
      <c r="H391" s="2321" t="s">
        <v>3330</v>
      </c>
      <c r="I391" s="2321">
        <f>G391*I390</f>
        <v>200</v>
      </c>
      <c r="J391" s="2294" t="s">
        <v>3329</v>
      </c>
      <c r="K391" s="2320">
        <v>12</v>
      </c>
      <c r="L391" s="2321" t="s">
        <v>3331</v>
      </c>
      <c r="M391" s="2321">
        <f>K391*M390</f>
        <v>360</v>
      </c>
      <c r="N391" s="2322" t="s">
        <v>3329</v>
      </c>
      <c r="O391" s="1744"/>
      <c r="P391" s="1744"/>
      <c r="Q391" s="1744"/>
      <c r="R391" s="1128">
        <v>1</v>
      </c>
      <c r="S391" s="1128">
        <v>1</v>
      </c>
      <c r="T391" s="1128">
        <v>1</v>
      </c>
      <c r="U391" s="1128">
        <v>1</v>
      </c>
      <c r="V391" s="1128">
        <v>1</v>
      </c>
      <c r="W391" s="1128">
        <v>1</v>
      </c>
      <c r="X391" s="1128">
        <v>1</v>
      </c>
      <c r="Y391" s="1128">
        <v>1</v>
      </c>
      <c r="Z391" s="1128">
        <v>1</v>
      </c>
      <c r="AA391" s="1128">
        <v>1</v>
      </c>
    </row>
    <row r="392" spans="1:27" s="1724" customFormat="1" ht="15.75" customHeight="1">
      <c r="A392" s="7833"/>
      <c r="B392" s="2323" t="s">
        <v>783</v>
      </c>
      <c r="C392" s="2324" t="s">
        <v>1307</v>
      </c>
      <c r="D392" s="2324" t="s">
        <v>3332</v>
      </c>
      <c r="E392" s="2324" t="s">
        <v>2920</v>
      </c>
      <c r="F392" s="1744"/>
      <c r="G392" s="2323" t="s">
        <v>783</v>
      </c>
      <c r="H392" s="2324" t="s">
        <v>1307</v>
      </c>
      <c r="I392" s="2324" t="s">
        <v>3332</v>
      </c>
      <c r="J392" s="2324" t="s">
        <v>2920</v>
      </c>
      <c r="K392" s="2323" t="s">
        <v>783</v>
      </c>
      <c r="L392" s="2324" t="s">
        <v>1307</v>
      </c>
      <c r="M392" s="2324" t="s">
        <v>3332</v>
      </c>
      <c r="N392" s="2325" t="s">
        <v>2920</v>
      </c>
      <c r="O392" s="1744"/>
      <c r="P392" s="1744"/>
      <c r="Q392" s="1744"/>
      <c r="R392" s="1128">
        <v>1</v>
      </c>
      <c r="S392" s="1128">
        <v>1</v>
      </c>
      <c r="T392" s="1128">
        <v>1</v>
      </c>
      <c r="U392" s="1128">
        <v>1</v>
      </c>
      <c r="V392" s="1128">
        <v>1</v>
      </c>
      <c r="W392" s="1128">
        <v>1</v>
      </c>
      <c r="X392" s="1128">
        <v>1</v>
      </c>
      <c r="Y392" s="1128">
        <v>1</v>
      </c>
      <c r="Z392" s="1128">
        <v>1</v>
      </c>
      <c r="AA392" s="1128">
        <v>1</v>
      </c>
    </row>
    <row r="393" spans="1:27" s="1724" customFormat="1" ht="15">
      <c r="A393" s="7833"/>
      <c r="B393" s="2326">
        <f>D391</f>
        <v>200</v>
      </c>
      <c r="C393" s="2327">
        <f>B393*C394</f>
        <v>24.489795918367346</v>
      </c>
      <c r="D393" s="2327">
        <f>B393*D394</f>
        <v>22.448979591836736</v>
      </c>
      <c r="E393" s="2327">
        <f>B393*E394</f>
        <v>153.0612244897959</v>
      </c>
      <c r="F393" s="1744"/>
      <c r="G393" s="2326">
        <f>I391</f>
        <v>200</v>
      </c>
      <c r="H393" s="2328">
        <f>G393*H394</f>
        <v>34.4</v>
      </c>
      <c r="I393" s="2328">
        <f>G393*I394</f>
        <v>64.600000000000009</v>
      </c>
      <c r="J393" s="2328">
        <f>G393*J394</f>
        <v>101</v>
      </c>
      <c r="K393" s="2326">
        <f>M391</f>
        <v>360</v>
      </c>
      <c r="L393" s="2327">
        <f>K393*L394</f>
        <v>39.96</v>
      </c>
      <c r="M393" s="2327">
        <f>K393*M394</f>
        <v>0</v>
      </c>
      <c r="N393" s="2329">
        <f>K393*N394</f>
        <v>320</v>
      </c>
      <c r="O393" s="1744"/>
      <c r="P393" s="1744"/>
      <c r="Q393" s="1744"/>
      <c r="R393" s="1128">
        <v>1</v>
      </c>
      <c r="S393" s="1128">
        <v>1</v>
      </c>
      <c r="T393" s="1128">
        <v>1</v>
      </c>
      <c r="U393" s="1128">
        <v>1</v>
      </c>
      <c r="V393" s="1128">
        <v>1</v>
      </c>
      <c r="W393" s="1128">
        <v>1</v>
      </c>
      <c r="X393" s="1128">
        <v>1</v>
      </c>
      <c r="Y393" s="1128">
        <v>1</v>
      </c>
      <c r="Z393" s="1128">
        <v>1</v>
      </c>
      <c r="AA393" s="1128">
        <v>1</v>
      </c>
    </row>
    <row r="394" spans="1:27" s="1724" customFormat="1" ht="15">
      <c r="A394" s="7833"/>
      <c r="B394" s="2330">
        <f>C394+D394+E394</f>
        <v>1</v>
      </c>
      <c r="C394" s="2331">
        <v>0.12244897959183673</v>
      </c>
      <c r="D394" s="2331">
        <v>0.11224489795918367</v>
      </c>
      <c r="E394" s="2331">
        <v>0.76530612244897955</v>
      </c>
      <c r="F394" s="1744"/>
      <c r="G394" s="2330">
        <f>H394+I394+J394</f>
        <v>1</v>
      </c>
      <c r="H394" s="2331">
        <v>0.17199999999999999</v>
      </c>
      <c r="I394" s="2331">
        <v>0.32300000000000001</v>
      </c>
      <c r="J394" s="2331">
        <v>0.505</v>
      </c>
      <c r="K394" s="2330">
        <f>L394+M394+N394</f>
        <v>0.99988888888888894</v>
      </c>
      <c r="L394" s="2331">
        <v>0.111</v>
      </c>
      <c r="M394" s="2332">
        <v>0</v>
      </c>
      <c r="N394" s="2333">
        <v>0.88888888888888895</v>
      </c>
      <c r="O394" s="1744"/>
      <c r="P394" s="1744"/>
      <c r="Q394" s="1744"/>
      <c r="R394" s="1128">
        <v>1</v>
      </c>
      <c r="S394" s="1128">
        <v>1</v>
      </c>
      <c r="T394" s="1128">
        <v>1</v>
      </c>
      <c r="U394" s="1128">
        <v>1</v>
      </c>
      <c r="V394" s="1128">
        <v>1</v>
      </c>
      <c r="W394" s="1128">
        <v>1</v>
      </c>
      <c r="X394" s="1128">
        <v>1</v>
      </c>
      <c r="Y394" s="1128">
        <v>1</v>
      </c>
      <c r="Z394" s="1128">
        <v>1</v>
      </c>
      <c r="AA394" s="1128">
        <v>1</v>
      </c>
    </row>
    <row r="395" spans="1:27" s="1724" customFormat="1" ht="15">
      <c r="A395" s="7833"/>
      <c r="B395" s="2334"/>
      <c r="C395" s="2312" t="s">
        <v>1807</v>
      </c>
      <c r="D395" s="2312" t="s">
        <v>1807</v>
      </c>
      <c r="E395" s="2312" t="s">
        <v>1807</v>
      </c>
      <c r="F395" s="2335"/>
      <c r="G395" s="2334"/>
      <c r="H395" s="2312" t="s">
        <v>1807</v>
      </c>
      <c r="I395" s="2312" t="s">
        <v>1807</v>
      </c>
      <c r="J395" s="2312" t="s">
        <v>1807</v>
      </c>
      <c r="K395" s="2334"/>
      <c r="L395" s="2312" t="s">
        <v>1807</v>
      </c>
      <c r="M395" s="2336"/>
      <c r="N395" s="2337" t="s">
        <v>1807</v>
      </c>
      <c r="O395" s="1744"/>
      <c r="P395" s="1744"/>
      <c r="Q395" s="1744"/>
      <c r="R395" s="1128">
        <v>1</v>
      </c>
      <c r="S395" s="1128">
        <v>1</v>
      </c>
      <c r="T395" s="1128">
        <v>1</v>
      </c>
      <c r="U395" s="1128">
        <v>1</v>
      </c>
      <c r="V395" s="1128">
        <v>1</v>
      </c>
      <c r="W395" s="1128">
        <v>1</v>
      </c>
      <c r="X395" s="1128">
        <v>1</v>
      </c>
      <c r="Y395" s="1128">
        <v>1</v>
      </c>
      <c r="Z395" s="1128">
        <v>1</v>
      </c>
      <c r="AA395" s="1128">
        <v>1</v>
      </c>
    </row>
    <row r="396" spans="1:27" s="1724" customFormat="1" ht="15">
      <c r="A396" s="7833"/>
      <c r="B396" s="2338" t="s">
        <v>1807</v>
      </c>
      <c r="C396" s="2339" t="s">
        <v>3333</v>
      </c>
      <c r="D396" s="2340"/>
      <c r="E396" s="2340"/>
      <c r="F396" s="2340"/>
      <c r="G396" s="2340"/>
      <c r="H396" s="2340"/>
      <c r="I396" s="2340"/>
      <c r="J396" s="2340"/>
      <c r="K396" s="2340"/>
      <c r="L396" s="2340"/>
      <c r="M396" s="2340"/>
      <c r="N396" s="2341"/>
      <c r="O396" s="1744"/>
      <c r="P396" s="1744"/>
      <c r="Q396" s="1744"/>
      <c r="R396" s="1128">
        <v>1</v>
      </c>
      <c r="S396" s="1128">
        <v>1</v>
      </c>
      <c r="T396" s="1128">
        <v>1</v>
      </c>
      <c r="U396" s="1128">
        <v>1</v>
      </c>
      <c r="V396" s="1128">
        <v>1</v>
      </c>
      <c r="W396" s="1128">
        <v>1</v>
      </c>
      <c r="X396" s="1128">
        <v>1</v>
      </c>
      <c r="Y396" s="1128">
        <v>1</v>
      </c>
      <c r="Z396" s="1128">
        <v>1</v>
      </c>
      <c r="AA396" s="1128">
        <v>1</v>
      </c>
    </row>
    <row r="397" spans="1:27" s="1724" customFormat="1">
      <c r="A397" s="7833"/>
      <c r="B397" s="2342" t="s">
        <v>1901</v>
      </c>
      <c r="C397" s="2343" t="s">
        <v>3334</v>
      </c>
      <c r="D397" s="2340"/>
      <c r="E397" s="2340"/>
      <c r="F397" s="2340"/>
      <c r="G397" s="2340"/>
      <c r="H397" s="2340"/>
      <c r="I397" s="2340"/>
      <c r="J397" s="2340"/>
      <c r="K397" s="2340"/>
      <c r="L397" s="2340"/>
      <c r="M397" s="2281"/>
      <c r="N397" s="2344" t="s">
        <v>3308</v>
      </c>
      <c r="O397" s="1744"/>
      <c r="P397" s="1744"/>
      <c r="Q397" s="1744"/>
      <c r="R397" s="1128">
        <v>1</v>
      </c>
      <c r="S397" s="1128">
        <v>1</v>
      </c>
      <c r="T397" s="1128">
        <v>1</v>
      </c>
      <c r="U397" s="1128">
        <v>1</v>
      </c>
      <c r="V397" s="1128">
        <v>1</v>
      </c>
      <c r="W397" s="1128">
        <v>1</v>
      </c>
      <c r="X397" s="1128">
        <v>1</v>
      </c>
      <c r="Y397" s="1128">
        <v>1</v>
      </c>
      <c r="Z397" s="1128">
        <v>1</v>
      </c>
      <c r="AA397" s="1128">
        <v>1</v>
      </c>
    </row>
    <row r="398" spans="1:27" s="1724" customFormat="1" ht="15">
      <c r="A398" s="7833"/>
      <c r="B398" s="2345"/>
      <c r="C398" s="2287"/>
      <c r="D398" s="2346" t="s">
        <v>3335</v>
      </c>
      <c r="E398" s="1739" t="s">
        <v>3336</v>
      </c>
      <c r="F398" s="1744"/>
      <c r="G398" s="2332"/>
      <c r="H398" s="2287"/>
      <c r="I398" s="2287"/>
      <c r="J398" s="2287"/>
      <c r="K398" s="2340"/>
      <c r="L398" s="2340"/>
      <c r="M398" s="2281"/>
      <c r="N398" s="2341"/>
      <c r="O398" s="1744"/>
      <c r="P398" s="1744"/>
      <c r="Q398" s="1744"/>
      <c r="R398" s="1128">
        <v>1</v>
      </c>
      <c r="S398" s="1128">
        <v>1</v>
      </c>
      <c r="T398" s="1128">
        <v>1</v>
      </c>
      <c r="U398" s="1128">
        <v>1</v>
      </c>
      <c r="V398" s="1128">
        <v>1</v>
      </c>
      <c r="W398" s="1128">
        <v>1</v>
      </c>
      <c r="X398" s="1128">
        <v>1</v>
      </c>
      <c r="Y398" s="1128">
        <v>1</v>
      </c>
      <c r="Z398" s="1128">
        <v>1</v>
      </c>
      <c r="AA398" s="1128">
        <v>1</v>
      </c>
    </row>
    <row r="399" spans="1:27" s="1724" customFormat="1" ht="15" customHeight="1">
      <c r="A399" s="7833"/>
      <c r="B399" s="7850" t="s">
        <v>3324</v>
      </c>
      <c r="C399" s="7851"/>
      <c r="D399" s="7851"/>
      <c r="E399" s="7851"/>
      <c r="F399" s="7851"/>
      <c r="G399" s="7851"/>
      <c r="H399" s="7851"/>
      <c r="I399" s="7851"/>
      <c r="J399" s="7851"/>
      <c r="K399" s="7851"/>
      <c r="L399" s="7851"/>
      <c r="M399" s="7851"/>
      <c r="N399" s="7852"/>
      <c r="O399" s="1744"/>
      <c r="P399" s="1744"/>
      <c r="Q399" s="1744"/>
      <c r="R399" s="1128">
        <v>1</v>
      </c>
      <c r="S399" s="1128">
        <v>1</v>
      </c>
      <c r="T399" s="1128">
        <v>1</v>
      </c>
      <c r="U399" s="1128">
        <v>1</v>
      </c>
      <c r="V399" s="1128">
        <v>1</v>
      </c>
      <c r="W399" s="1128">
        <v>1</v>
      </c>
      <c r="X399" s="1128">
        <v>1</v>
      </c>
      <c r="Y399" s="1128">
        <v>1</v>
      </c>
      <c r="Z399" s="1128">
        <v>1</v>
      </c>
      <c r="AA399" s="1128">
        <v>1</v>
      </c>
    </row>
    <row r="400" spans="1:27" s="1724" customFormat="1" thickBot="1">
      <c r="A400" s="7833"/>
      <c r="B400" s="7853"/>
      <c r="C400" s="7854"/>
      <c r="D400" s="7854"/>
      <c r="E400" s="7854"/>
      <c r="F400" s="7854"/>
      <c r="G400" s="7854"/>
      <c r="H400" s="7854"/>
      <c r="I400" s="7854"/>
      <c r="J400" s="7854"/>
      <c r="K400" s="7854"/>
      <c r="L400" s="7854"/>
      <c r="M400" s="7854"/>
      <c r="N400" s="7855"/>
      <c r="O400" s="1744"/>
      <c r="P400" s="1744"/>
      <c r="Q400" s="1744"/>
      <c r="R400" s="1128">
        <v>1</v>
      </c>
      <c r="S400" s="1128">
        <v>1</v>
      </c>
      <c r="T400" s="1128">
        <v>1</v>
      </c>
      <c r="U400" s="1128">
        <v>1</v>
      </c>
      <c r="V400" s="1128">
        <v>1</v>
      </c>
      <c r="W400" s="1128">
        <v>1</v>
      </c>
      <c r="X400" s="1128">
        <v>1</v>
      </c>
      <c r="Y400" s="1128">
        <v>1</v>
      </c>
      <c r="Z400" s="1128">
        <v>1</v>
      </c>
      <c r="AA400" s="1128">
        <v>1</v>
      </c>
    </row>
    <row r="401" spans="1:27" s="1724" customFormat="1" thickBot="1">
      <c r="A401" s="1744"/>
      <c r="B401" s="1745"/>
      <c r="C401" s="1745"/>
      <c r="D401" s="1745"/>
      <c r="E401" s="1745"/>
      <c r="F401" s="1745"/>
      <c r="G401" s="1745"/>
      <c r="H401" s="1745"/>
      <c r="I401" s="1745"/>
      <c r="J401" s="1745"/>
      <c r="K401" s="1745"/>
      <c r="L401" s="1745"/>
      <c r="M401" s="1745"/>
      <c r="N401" s="1745"/>
      <c r="O401" s="1745"/>
      <c r="P401" s="1745"/>
      <c r="Q401" s="1745"/>
      <c r="R401" s="1128">
        <v>1</v>
      </c>
      <c r="S401" s="1128">
        <v>1</v>
      </c>
      <c r="T401" s="1128">
        <v>1</v>
      </c>
      <c r="U401" s="1128">
        <v>1</v>
      </c>
      <c r="V401" s="1128">
        <v>1</v>
      </c>
      <c r="W401" s="1128">
        <v>1</v>
      </c>
      <c r="X401" s="1128">
        <v>1</v>
      </c>
      <c r="Y401" s="1128">
        <v>1</v>
      </c>
      <c r="Z401" s="1128">
        <v>1</v>
      </c>
      <c r="AA401" s="1128">
        <v>1</v>
      </c>
    </row>
    <row r="402" spans="1:27" s="1724" customFormat="1">
      <c r="A402" s="1988" t="s">
        <v>252</v>
      </c>
      <c r="B402" s="7816" t="s">
        <v>3081</v>
      </c>
      <c r="C402" s="7817"/>
      <c r="D402" s="7817"/>
      <c r="E402" s="7817"/>
      <c r="F402" s="7817"/>
      <c r="G402" s="7817"/>
      <c r="H402" s="7817"/>
      <c r="I402" s="7817"/>
      <c r="J402" s="7817"/>
      <c r="K402" s="7818"/>
      <c r="L402" s="1744"/>
      <c r="M402" s="1744"/>
      <c r="N402" s="1744"/>
      <c r="O402" s="1744"/>
      <c r="P402" s="1744"/>
      <c r="Q402" s="1744"/>
      <c r="R402" s="1128">
        <v>1</v>
      </c>
      <c r="S402" s="1128">
        <v>1</v>
      </c>
      <c r="T402" s="1128">
        <v>1</v>
      </c>
      <c r="U402" s="1128">
        <v>1</v>
      </c>
      <c r="V402" s="1128">
        <v>1</v>
      </c>
      <c r="W402" s="1128">
        <v>1</v>
      </c>
      <c r="X402" s="1128">
        <v>1</v>
      </c>
      <c r="Y402" s="1128">
        <v>1</v>
      </c>
      <c r="Z402" s="1128">
        <v>1</v>
      </c>
      <c r="AA402" s="1128">
        <v>1</v>
      </c>
    </row>
    <row r="403" spans="1:27" s="1724" customFormat="1" ht="15.75" customHeight="1">
      <c r="A403" s="7800" t="str">
        <f>B402</f>
        <v>Composition d'une garniture "COUSCOUS"</v>
      </c>
      <c r="B403" s="1783" t="str">
        <f>ADDRESS(ROW(),COLUMN(),4)</f>
        <v>B403</v>
      </c>
      <c r="C403" s="824" t="s">
        <v>750</v>
      </c>
      <c r="D403" s="2347"/>
      <c r="E403" s="2347"/>
      <c r="F403" s="2347"/>
      <c r="G403" s="2347"/>
      <c r="H403" s="2347"/>
      <c r="I403" s="2347"/>
      <c r="J403" s="2347"/>
      <c r="K403" s="2348"/>
      <c r="L403" s="1744"/>
      <c r="M403" s="1744"/>
      <c r="N403" s="1744"/>
      <c r="O403" s="1744"/>
      <c r="P403" s="1744"/>
      <c r="Q403" s="1744"/>
      <c r="R403" s="1128">
        <v>1</v>
      </c>
      <c r="S403" s="1128">
        <v>1</v>
      </c>
      <c r="T403" s="1128">
        <v>1</v>
      </c>
      <c r="U403" s="1128">
        <v>1</v>
      </c>
      <c r="V403" s="1128">
        <v>1</v>
      </c>
      <c r="W403" s="1128">
        <v>1</v>
      </c>
      <c r="X403" s="1128">
        <v>1</v>
      </c>
      <c r="Y403" s="1128">
        <v>1</v>
      </c>
      <c r="Z403" s="1128">
        <v>1</v>
      </c>
      <c r="AA403" s="1128">
        <v>1</v>
      </c>
    </row>
    <row r="404" spans="1:27" s="1724" customFormat="1" ht="30" customHeight="1">
      <c r="A404" s="7800"/>
      <c r="B404" s="7819" t="s">
        <v>3337</v>
      </c>
      <c r="C404" s="7820"/>
      <c r="D404" s="7820"/>
      <c r="E404" s="2349">
        <v>1</v>
      </c>
      <c r="F404" s="2350">
        <f>E404</f>
        <v>1</v>
      </c>
      <c r="G404" s="7821" t="s">
        <v>3338</v>
      </c>
      <c r="H404" s="7821"/>
      <c r="I404" s="2351" t="s">
        <v>3339</v>
      </c>
      <c r="J404" s="7822" t="s">
        <v>3340</v>
      </c>
      <c r="K404" s="7823"/>
      <c r="L404" s="1744"/>
      <c r="M404" s="1744"/>
      <c r="N404" s="1744"/>
      <c r="O404" s="1744"/>
      <c r="P404" s="1744"/>
      <c r="Q404" s="1744"/>
      <c r="R404" s="1128">
        <v>1</v>
      </c>
      <c r="S404" s="1128">
        <v>1</v>
      </c>
      <c r="T404" s="1128">
        <v>1</v>
      </c>
      <c r="U404" s="1128">
        <v>1</v>
      </c>
      <c r="V404" s="1128">
        <v>1</v>
      </c>
      <c r="W404" s="1128">
        <v>1</v>
      </c>
      <c r="X404" s="1128">
        <v>1</v>
      </c>
      <c r="Y404" s="1128">
        <v>1</v>
      </c>
      <c r="Z404" s="1128">
        <v>1</v>
      </c>
      <c r="AA404" s="1128">
        <v>1</v>
      </c>
    </row>
    <row r="405" spans="1:27" s="1724" customFormat="1" ht="15">
      <c r="A405" s="7800"/>
      <c r="B405" s="7795" t="s">
        <v>3341</v>
      </c>
      <c r="C405" s="7796"/>
      <c r="D405" s="7796"/>
      <c r="E405" s="2352">
        <v>25</v>
      </c>
      <c r="F405" s="2350">
        <f>F404</f>
        <v>1</v>
      </c>
      <c r="G405" s="7797">
        <f t="shared" ref="G405:G411" si="2">(F405*E405)/100</f>
        <v>0.25</v>
      </c>
      <c r="H405" s="7797"/>
      <c r="I405" s="2353">
        <v>20</v>
      </c>
      <c r="J405" s="7798">
        <f t="shared" ref="J405:J411" si="3">G405/(100-I405)*100</f>
        <v>0.3125</v>
      </c>
      <c r="K405" s="7799"/>
      <c r="L405" s="1744"/>
      <c r="M405" s="1744"/>
      <c r="N405" s="1744"/>
      <c r="O405" s="1744"/>
      <c r="P405" s="1744"/>
      <c r="Q405" s="1744"/>
      <c r="R405" s="1128">
        <v>1</v>
      </c>
      <c r="S405" s="1128">
        <v>1</v>
      </c>
      <c r="T405" s="1128">
        <v>1</v>
      </c>
      <c r="U405" s="1128">
        <v>1</v>
      </c>
      <c r="V405" s="1128">
        <v>1</v>
      </c>
      <c r="W405" s="1128">
        <v>1</v>
      </c>
      <c r="X405" s="1128">
        <v>1</v>
      </c>
      <c r="Y405" s="1128">
        <v>1</v>
      </c>
      <c r="Z405" s="1128">
        <v>1</v>
      </c>
      <c r="AA405" s="1128">
        <v>1</v>
      </c>
    </row>
    <row r="406" spans="1:27" s="1724" customFormat="1" ht="15">
      <c r="A406" s="7800"/>
      <c r="B406" s="7795" t="s">
        <v>3342</v>
      </c>
      <c r="C406" s="7796"/>
      <c r="D406" s="7796"/>
      <c r="E406" s="2352">
        <v>20</v>
      </c>
      <c r="F406" s="2350">
        <f>F404</f>
        <v>1</v>
      </c>
      <c r="G406" s="7797">
        <f t="shared" si="2"/>
        <v>0.2</v>
      </c>
      <c r="H406" s="7797"/>
      <c r="I406" s="2353">
        <v>25</v>
      </c>
      <c r="J406" s="7798">
        <f t="shared" si="3"/>
        <v>0.26666666666666672</v>
      </c>
      <c r="K406" s="7799"/>
      <c r="L406" s="1744"/>
      <c r="M406" s="1744"/>
      <c r="N406" s="1744"/>
      <c r="O406" s="1744"/>
      <c r="P406" s="1744"/>
      <c r="Q406" s="1744"/>
      <c r="R406" s="1128">
        <v>1</v>
      </c>
      <c r="S406" s="1128">
        <v>1</v>
      </c>
      <c r="T406" s="1128">
        <v>1</v>
      </c>
      <c r="U406" s="1128">
        <v>1</v>
      </c>
      <c r="V406" s="1128">
        <v>1</v>
      </c>
      <c r="W406" s="1128">
        <v>1</v>
      </c>
      <c r="X406" s="1128">
        <v>1</v>
      </c>
      <c r="Y406" s="1128">
        <v>1</v>
      </c>
      <c r="Z406" s="1128">
        <v>1</v>
      </c>
      <c r="AA406" s="1128">
        <v>1</v>
      </c>
    </row>
    <row r="407" spans="1:27" s="1724" customFormat="1" ht="15">
      <c r="A407" s="7800"/>
      <c r="B407" s="7795" t="s">
        <v>3343</v>
      </c>
      <c r="C407" s="7796"/>
      <c r="D407" s="7796"/>
      <c r="E407" s="2352">
        <v>15</v>
      </c>
      <c r="F407" s="2350">
        <f>F404</f>
        <v>1</v>
      </c>
      <c r="G407" s="7797">
        <f t="shared" si="2"/>
        <v>0.15</v>
      </c>
      <c r="H407" s="7797"/>
      <c r="I407" s="2353">
        <v>20</v>
      </c>
      <c r="J407" s="7798">
        <f t="shared" si="3"/>
        <v>0.1875</v>
      </c>
      <c r="K407" s="7799"/>
      <c r="L407" s="1744"/>
      <c r="M407" s="1744"/>
      <c r="N407" s="1744"/>
      <c r="O407" s="1744"/>
      <c r="P407" s="1744"/>
      <c r="Q407" s="1744"/>
      <c r="R407" s="1128">
        <v>1</v>
      </c>
      <c r="S407" s="1128">
        <v>1</v>
      </c>
      <c r="T407" s="1128">
        <v>1</v>
      </c>
      <c r="U407" s="1128">
        <v>1</v>
      </c>
      <c r="V407" s="1128">
        <v>1</v>
      </c>
      <c r="W407" s="1128">
        <v>1</v>
      </c>
      <c r="X407" s="1128">
        <v>1</v>
      </c>
      <c r="Y407" s="1128">
        <v>1</v>
      </c>
      <c r="Z407" s="1128">
        <v>1</v>
      </c>
      <c r="AA407" s="1128">
        <v>1</v>
      </c>
    </row>
    <row r="408" spans="1:27" s="1724" customFormat="1" ht="15">
      <c r="A408" s="7800"/>
      <c r="B408" s="7795" t="s">
        <v>3344</v>
      </c>
      <c r="C408" s="7796"/>
      <c r="D408" s="7796"/>
      <c r="E408" s="2352">
        <v>15</v>
      </c>
      <c r="F408" s="2350">
        <f>F404</f>
        <v>1</v>
      </c>
      <c r="G408" s="7797">
        <f t="shared" si="2"/>
        <v>0.15</v>
      </c>
      <c r="H408" s="7797"/>
      <c r="I408" s="2353">
        <v>0</v>
      </c>
      <c r="J408" s="7798">
        <f t="shared" si="3"/>
        <v>0.15</v>
      </c>
      <c r="K408" s="7799"/>
      <c r="L408" s="1744"/>
      <c r="M408" s="1744"/>
      <c r="N408" s="1744"/>
      <c r="O408" s="1744"/>
      <c r="P408" s="1744"/>
      <c r="Q408" s="1744"/>
      <c r="R408" s="1128">
        <v>1</v>
      </c>
      <c r="S408" s="1128">
        <v>1</v>
      </c>
      <c r="T408" s="1128">
        <v>1</v>
      </c>
      <c r="U408" s="1128">
        <v>1</v>
      </c>
      <c r="V408" s="1128">
        <v>1</v>
      </c>
      <c r="W408" s="1128">
        <v>1</v>
      </c>
      <c r="X408" s="1128">
        <v>1</v>
      </c>
      <c r="Y408" s="1128">
        <v>1</v>
      </c>
      <c r="Z408" s="1128">
        <v>1</v>
      </c>
      <c r="AA408" s="1128">
        <v>1</v>
      </c>
    </row>
    <row r="409" spans="1:27" s="1724" customFormat="1" ht="15">
      <c r="A409" s="7800"/>
      <c r="B409" s="7795" t="s">
        <v>3345</v>
      </c>
      <c r="C409" s="7796"/>
      <c r="D409" s="7796"/>
      <c r="E409" s="2352">
        <v>10</v>
      </c>
      <c r="F409" s="2350">
        <f>F404</f>
        <v>1</v>
      </c>
      <c r="G409" s="7797">
        <f t="shared" si="2"/>
        <v>0.1</v>
      </c>
      <c r="H409" s="7797"/>
      <c r="I409" s="2353">
        <v>20</v>
      </c>
      <c r="J409" s="7798">
        <f t="shared" si="3"/>
        <v>0.125</v>
      </c>
      <c r="K409" s="7799"/>
      <c r="L409" s="1744"/>
      <c r="M409" s="1744"/>
      <c r="N409" s="1744"/>
      <c r="O409" s="1744"/>
      <c r="P409" s="1744"/>
      <c r="Q409" s="1744"/>
      <c r="R409" s="1128">
        <v>1</v>
      </c>
      <c r="S409" s="1128">
        <v>1</v>
      </c>
      <c r="T409" s="1128">
        <v>1</v>
      </c>
      <c r="U409" s="1128">
        <v>1</v>
      </c>
      <c r="V409" s="1128">
        <v>1</v>
      </c>
      <c r="W409" s="1128">
        <v>1</v>
      </c>
      <c r="X409" s="1128">
        <v>1</v>
      </c>
      <c r="Y409" s="1128">
        <v>1</v>
      </c>
      <c r="Z409" s="1128">
        <v>1</v>
      </c>
      <c r="AA409" s="1128">
        <v>1</v>
      </c>
    </row>
    <row r="410" spans="1:27" s="1724" customFormat="1" ht="15">
      <c r="A410" s="7800"/>
      <c r="B410" s="7795" t="s">
        <v>3346</v>
      </c>
      <c r="C410" s="7796"/>
      <c r="D410" s="7796"/>
      <c r="E410" s="2352">
        <v>7.5</v>
      </c>
      <c r="F410" s="2350">
        <f>F404</f>
        <v>1</v>
      </c>
      <c r="G410" s="7797">
        <f t="shared" si="2"/>
        <v>7.4999999999999997E-2</v>
      </c>
      <c r="H410" s="7797"/>
      <c r="I410" s="2353">
        <v>20</v>
      </c>
      <c r="J410" s="7798">
        <f t="shared" si="3"/>
        <v>9.375E-2</v>
      </c>
      <c r="K410" s="7799"/>
      <c r="L410" s="1744"/>
      <c r="M410" s="1744"/>
      <c r="N410" s="1744"/>
      <c r="O410" s="1744"/>
      <c r="P410" s="1744"/>
      <c r="Q410" s="1744"/>
      <c r="R410" s="1128">
        <v>1</v>
      </c>
      <c r="S410" s="1128">
        <v>1</v>
      </c>
      <c r="T410" s="1128">
        <v>1</v>
      </c>
      <c r="U410" s="1128">
        <v>1</v>
      </c>
      <c r="V410" s="1128">
        <v>1</v>
      </c>
      <c r="W410" s="1128">
        <v>1</v>
      </c>
      <c r="X410" s="1128">
        <v>1</v>
      </c>
      <c r="Y410" s="1128">
        <v>1</v>
      </c>
      <c r="Z410" s="1128">
        <v>1</v>
      </c>
      <c r="AA410" s="1128">
        <v>1</v>
      </c>
    </row>
    <row r="411" spans="1:27" s="1724" customFormat="1" ht="15">
      <c r="A411" s="7800"/>
      <c r="B411" s="7795" t="s">
        <v>3347</v>
      </c>
      <c r="C411" s="7796"/>
      <c r="D411" s="7796"/>
      <c r="E411" s="2352">
        <v>7.5</v>
      </c>
      <c r="F411" s="2350">
        <f>F404</f>
        <v>1</v>
      </c>
      <c r="G411" s="7797">
        <f t="shared" si="2"/>
        <v>7.4999999999999997E-2</v>
      </c>
      <c r="H411" s="7797"/>
      <c r="I411" s="2353">
        <v>20</v>
      </c>
      <c r="J411" s="7798">
        <f t="shared" si="3"/>
        <v>9.375E-2</v>
      </c>
      <c r="K411" s="7799"/>
      <c r="L411" s="1744"/>
      <c r="M411" s="1744"/>
      <c r="N411" s="1744"/>
      <c r="O411" s="1744"/>
      <c r="P411" s="1744"/>
      <c r="Q411" s="1744"/>
      <c r="R411" s="1128">
        <v>1</v>
      </c>
      <c r="S411" s="1128">
        <v>1</v>
      </c>
      <c r="T411" s="1128">
        <v>1</v>
      </c>
      <c r="U411" s="1128">
        <v>1</v>
      </c>
      <c r="V411" s="1128">
        <v>1</v>
      </c>
      <c r="W411" s="1128">
        <v>1</v>
      </c>
      <c r="X411" s="1128">
        <v>1</v>
      </c>
      <c r="Y411" s="1128">
        <v>1</v>
      </c>
      <c r="Z411" s="1128">
        <v>1</v>
      </c>
      <c r="AA411" s="1128">
        <v>1</v>
      </c>
    </row>
    <row r="412" spans="1:27" s="1724" customFormat="1" ht="15">
      <c r="A412" s="7800"/>
      <c r="B412" s="7824" t="s">
        <v>37</v>
      </c>
      <c r="C412" s="7825"/>
      <c r="D412" s="7825"/>
      <c r="E412" s="2354">
        <f>SUM(E405:E411)</f>
        <v>100</v>
      </c>
      <c r="F412" s="2355"/>
      <c r="G412" s="2290"/>
      <c r="H412" s="1745"/>
      <c r="I412" s="2290"/>
      <c r="J412" s="2290"/>
      <c r="K412" s="2356"/>
      <c r="L412" s="1744"/>
      <c r="M412" s="1744"/>
      <c r="N412" s="1744"/>
      <c r="O412" s="1744"/>
      <c r="P412" s="1744"/>
      <c r="Q412" s="1744"/>
      <c r="R412" s="1128">
        <v>1</v>
      </c>
      <c r="S412" s="1128">
        <v>1</v>
      </c>
      <c r="T412" s="1128">
        <v>1</v>
      </c>
      <c r="U412" s="1128">
        <v>1</v>
      </c>
      <c r="V412" s="1128">
        <v>1</v>
      </c>
      <c r="W412" s="1128">
        <v>1</v>
      </c>
      <c r="X412" s="1128">
        <v>1</v>
      </c>
      <c r="Y412" s="1128">
        <v>1</v>
      </c>
      <c r="Z412" s="1128">
        <v>1</v>
      </c>
      <c r="AA412" s="1128">
        <v>1</v>
      </c>
    </row>
    <row r="413" spans="1:27" s="1724" customFormat="1">
      <c r="A413" s="7800"/>
      <c r="B413" s="2357"/>
      <c r="C413" s="2335"/>
      <c r="D413" s="2335"/>
      <c r="E413" s="2358"/>
      <c r="F413" s="2359" t="str">
        <f>SUBSTITUTE(ADDRESS(1,COLUMN(),4),"1","")</f>
        <v>F</v>
      </c>
      <c r="G413" s="2360" t="s">
        <v>3348</v>
      </c>
      <c r="H413" s="2360"/>
      <c r="I413" s="2361"/>
      <c r="J413" s="2361"/>
      <c r="K413" s="2362"/>
      <c r="L413" s="1744"/>
      <c r="M413" s="1744"/>
      <c r="N413" s="1744"/>
      <c r="O413" s="1744"/>
      <c r="P413" s="1744"/>
      <c r="Q413" s="1744"/>
      <c r="R413" s="1128">
        <v>1</v>
      </c>
      <c r="S413" s="1128">
        <v>1</v>
      </c>
      <c r="T413" s="1128">
        <v>1</v>
      </c>
      <c r="U413" s="1128">
        <v>1</v>
      </c>
      <c r="V413" s="1128">
        <v>1</v>
      </c>
      <c r="W413" s="1128">
        <v>1</v>
      </c>
      <c r="X413" s="1128">
        <v>1</v>
      </c>
      <c r="Y413" s="1128">
        <v>1</v>
      </c>
      <c r="Z413" s="1128">
        <v>1</v>
      </c>
      <c r="AA413" s="1128">
        <v>1</v>
      </c>
    </row>
    <row r="414" spans="1:27" s="1724" customFormat="1" ht="16.5" thickBot="1">
      <c r="A414" s="7800"/>
      <c r="B414" s="7826" t="s">
        <v>3349</v>
      </c>
      <c r="C414" s="7827"/>
      <c r="D414" s="7827"/>
      <c r="E414" s="7827"/>
      <c r="F414" s="7827"/>
      <c r="G414" s="7827"/>
      <c r="H414" s="7827"/>
      <c r="I414" s="7827"/>
      <c r="J414" s="7827"/>
      <c r="K414" s="7828"/>
      <c r="L414" s="530"/>
      <c r="M414" s="1744"/>
      <c r="N414" s="1744"/>
      <c r="O414" s="1744"/>
      <c r="P414" s="1744"/>
      <c r="Q414" s="1744"/>
      <c r="R414" s="1128">
        <v>1</v>
      </c>
      <c r="S414" s="1128">
        <v>1</v>
      </c>
      <c r="T414" s="1128">
        <v>1</v>
      </c>
      <c r="U414" s="1128">
        <v>1</v>
      </c>
      <c r="V414" s="1128">
        <v>1</v>
      </c>
      <c r="W414" s="1128">
        <v>1</v>
      </c>
      <c r="X414" s="1128">
        <v>1</v>
      </c>
      <c r="Y414" s="1128">
        <v>1</v>
      </c>
      <c r="Z414" s="1128">
        <v>1</v>
      </c>
      <c r="AA414" s="1128">
        <v>1</v>
      </c>
    </row>
    <row r="415" spans="1:27" s="1724" customFormat="1" thickBot="1">
      <c r="A415" s="1744"/>
      <c r="B415" s="1745"/>
      <c r="C415" s="1745"/>
      <c r="D415" s="1745"/>
      <c r="E415" s="1745"/>
      <c r="F415" s="1745"/>
      <c r="G415" s="1745"/>
      <c r="H415" s="1745"/>
      <c r="I415" s="1745"/>
      <c r="J415" s="1745"/>
      <c r="K415" s="1745"/>
      <c r="L415" s="1745"/>
      <c r="M415" s="1744"/>
      <c r="N415" s="1744"/>
      <c r="O415" s="1744"/>
      <c r="P415" s="1744"/>
      <c r="Q415" s="1744"/>
      <c r="R415" s="1128">
        <v>1</v>
      </c>
      <c r="S415" s="1128">
        <v>1</v>
      </c>
      <c r="T415" s="1128">
        <v>1</v>
      </c>
      <c r="U415" s="1128">
        <v>1</v>
      </c>
      <c r="V415" s="1128">
        <v>1</v>
      </c>
      <c r="W415" s="1128">
        <v>1</v>
      </c>
      <c r="X415" s="1128">
        <v>1</v>
      </c>
      <c r="Y415" s="1128">
        <v>1</v>
      </c>
      <c r="Z415" s="1128">
        <v>1</v>
      </c>
      <c r="AA415" s="1128">
        <v>1</v>
      </c>
    </row>
    <row r="416" spans="1:27" s="1724" customFormat="1" ht="19.5" customHeight="1">
      <c r="A416" s="1988" t="s">
        <v>252</v>
      </c>
      <c r="B416" s="7792" t="s">
        <v>3083</v>
      </c>
      <c r="C416" s="7793"/>
      <c r="D416" s="7793"/>
      <c r="E416" s="7793"/>
      <c r="F416" s="7793"/>
      <c r="G416" s="7793"/>
      <c r="H416" s="7793"/>
      <c r="I416" s="7793"/>
      <c r="J416" s="7793"/>
      <c r="K416" s="7794"/>
      <c r="L416" s="1745"/>
      <c r="M416" s="1744"/>
      <c r="N416" s="1744"/>
      <c r="O416" s="1744"/>
      <c r="P416" s="1744"/>
      <c r="Q416" s="1744"/>
      <c r="R416" s="1128">
        <v>1</v>
      </c>
      <c r="S416" s="1128">
        <v>1</v>
      </c>
      <c r="T416" s="1128">
        <v>1</v>
      </c>
      <c r="U416" s="1128">
        <v>1</v>
      </c>
      <c r="V416" s="1128">
        <v>1</v>
      </c>
      <c r="W416" s="1128">
        <v>1</v>
      </c>
      <c r="X416" s="1128">
        <v>1</v>
      </c>
      <c r="Y416" s="1128">
        <v>1</v>
      </c>
      <c r="Z416" s="1128">
        <v>1</v>
      </c>
      <c r="AA416" s="1128">
        <v>1</v>
      </c>
    </row>
    <row r="417" spans="1:27" s="1724" customFormat="1" ht="15.75" customHeight="1">
      <c r="A417" s="7800" t="str">
        <f>B416</f>
        <v>COMPOSITION ET SERVICE D'UN PLAT COMPLET</v>
      </c>
      <c r="B417" s="1783" t="str">
        <f>ADDRESS(ROW(),COLUMN(),4)</f>
        <v>B417</v>
      </c>
      <c r="C417" s="824" t="s">
        <v>750</v>
      </c>
      <c r="D417" s="1772"/>
      <c r="E417" s="1772"/>
      <c r="F417" s="1772"/>
      <c r="G417" s="1772"/>
      <c r="H417" s="1772"/>
      <c r="I417" s="1772"/>
      <c r="J417" s="1772"/>
      <c r="K417" s="1776"/>
      <c r="L417" s="1745"/>
      <c r="M417" s="1744"/>
      <c r="N417" s="1744"/>
      <c r="O417" s="1744"/>
      <c r="P417" s="1744"/>
      <c r="Q417" s="1744"/>
      <c r="R417" s="1128">
        <v>1</v>
      </c>
      <c r="S417" s="1128">
        <v>1</v>
      </c>
      <c r="T417" s="1128">
        <v>1</v>
      </c>
      <c r="U417" s="1128">
        <v>1</v>
      </c>
      <c r="V417" s="1128">
        <v>1</v>
      </c>
      <c r="W417" s="1128">
        <v>1</v>
      </c>
      <c r="X417" s="1128">
        <v>1</v>
      </c>
      <c r="Y417" s="1128">
        <v>1</v>
      </c>
      <c r="Z417" s="1128">
        <v>1</v>
      </c>
      <c r="AA417" s="1128">
        <v>1</v>
      </c>
    </row>
    <row r="418" spans="1:27" s="1724" customFormat="1" ht="15" customHeight="1">
      <c r="A418" s="7800"/>
      <c r="B418" s="7801" t="s">
        <v>3349</v>
      </c>
      <c r="C418" s="7802"/>
      <c r="D418" s="7802"/>
      <c r="E418" s="7802"/>
      <c r="F418" s="7802"/>
      <c r="G418" s="7802"/>
      <c r="H418" s="7802"/>
      <c r="I418" s="7802"/>
      <c r="J418" s="7802"/>
      <c r="K418" s="7803"/>
      <c r="L418" s="1745"/>
      <c r="M418" s="1744"/>
      <c r="N418" s="1744"/>
      <c r="O418" s="1744"/>
      <c r="P418" s="1744"/>
      <c r="Q418" s="1744"/>
      <c r="R418" s="1128">
        <v>1</v>
      </c>
      <c r="S418" s="1128">
        <v>1</v>
      </c>
      <c r="T418" s="1128">
        <v>1</v>
      </c>
      <c r="U418" s="1128">
        <v>1</v>
      </c>
      <c r="V418" s="1128">
        <v>1</v>
      </c>
      <c r="W418" s="1128">
        <v>1</v>
      </c>
      <c r="X418" s="1128">
        <v>1</v>
      </c>
      <c r="Y418" s="1128">
        <v>1</v>
      </c>
      <c r="Z418" s="1128">
        <v>1</v>
      </c>
      <c r="AA418" s="1128">
        <v>1</v>
      </c>
    </row>
    <row r="419" spans="1:27" s="1724" customFormat="1" ht="18">
      <c r="A419" s="7800"/>
      <c r="B419" s="7804" t="s">
        <v>3350</v>
      </c>
      <c r="C419" s="7805"/>
      <c r="D419" s="7805"/>
      <c r="E419" s="7805"/>
      <c r="F419" s="7805"/>
      <c r="G419" s="7805"/>
      <c r="H419" s="7805"/>
      <c r="I419" s="7805"/>
      <c r="J419" s="7805"/>
      <c r="K419" s="7806"/>
      <c r="L419" s="1745"/>
      <c r="M419" s="1744"/>
      <c r="N419" s="1744"/>
      <c r="O419" s="1744"/>
      <c r="P419" s="1744"/>
      <c r="Q419" s="1744"/>
      <c r="R419" s="1128">
        <v>1</v>
      </c>
      <c r="S419" s="1128">
        <v>1</v>
      </c>
      <c r="T419" s="1128">
        <v>1</v>
      </c>
      <c r="U419" s="1128">
        <v>1</v>
      </c>
      <c r="V419" s="1128">
        <v>1</v>
      </c>
      <c r="W419" s="1128">
        <v>1</v>
      </c>
      <c r="X419" s="1128">
        <v>1</v>
      </c>
      <c r="Y419" s="1128">
        <v>1</v>
      </c>
      <c r="Z419" s="1128">
        <v>1</v>
      </c>
      <c r="AA419" s="1128">
        <v>1</v>
      </c>
    </row>
    <row r="420" spans="1:27" s="1724" customFormat="1" ht="15" customHeight="1">
      <c r="A420" s="7800"/>
      <c r="B420" s="7807" t="str">
        <f ca="1">CELL("nomfichier")</f>
        <v>D:\Données\1.UPRT\0-UPRT.fait\1-UPRT.FR-SITE-WEB\ff-fiches-fabrications\ff.fiches.fabrication.2023\ffr.restaurant.2023\[ff.REPERTOIRE.600.LIGNES.15.xlsx]Differents.postits.FR.EN.ES</v>
      </c>
      <c r="C420" s="7808"/>
      <c r="D420" s="7808"/>
      <c r="E420" s="7808"/>
      <c r="F420" s="7808"/>
      <c r="G420" s="7808"/>
      <c r="H420" s="7808"/>
      <c r="I420" s="7808"/>
      <c r="J420" s="7808"/>
      <c r="K420" s="7809"/>
      <c r="L420" s="1745"/>
      <c r="M420" s="1744"/>
      <c r="N420" s="1744"/>
      <c r="O420" s="1744"/>
      <c r="P420" s="1744"/>
      <c r="Q420" s="1744"/>
      <c r="R420" s="1128">
        <v>1</v>
      </c>
      <c r="S420" s="1128">
        <v>1</v>
      </c>
      <c r="T420" s="1128">
        <v>1</v>
      </c>
      <c r="U420" s="1128">
        <v>1</v>
      </c>
      <c r="V420" s="1128">
        <v>1</v>
      </c>
      <c r="W420" s="1128">
        <v>1</v>
      </c>
      <c r="X420" s="1128">
        <v>1</v>
      </c>
      <c r="Y420" s="1128">
        <v>1</v>
      </c>
      <c r="Z420" s="1128">
        <v>1</v>
      </c>
      <c r="AA420" s="1128">
        <v>1</v>
      </c>
    </row>
    <row r="421" spans="1:27" s="1724" customFormat="1" ht="26.25">
      <c r="A421" s="7800"/>
      <c r="B421" s="7810" t="s">
        <v>3351</v>
      </c>
      <c r="C421" s="7811"/>
      <c r="D421" s="7811"/>
      <c r="E421" s="7811"/>
      <c r="F421" s="7811"/>
      <c r="G421" s="7811"/>
      <c r="H421" s="7811"/>
      <c r="I421" s="7811"/>
      <c r="J421" s="7811"/>
      <c r="K421" s="7812"/>
      <c r="L421" s="1745"/>
      <c r="M421" s="1744"/>
      <c r="N421" s="1744"/>
      <c r="O421" s="1744"/>
      <c r="P421" s="1744"/>
      <c r="Q421" s="1744"/>
      <c r="R421" s="1128">
        <v>1</v>
      </c>
      <c r="S421" s="1128">
        <v>1</v>
      </c>
      <c r="T421" s="1128">
        <v>1</v>
      </c>
      <c r="U421" s="1128">
        <v>1</v>
      </c>
      <c r="V421" s="1128">
        <v>1</v>
      </c>
      <c r="W421" s="1128">
        <v>1</v>
      </c>
      <c r="X421" s="1128">
        <v>1</v>
      </c>
      <c r="Y421" s="1128">
        <v>1</v>
      </c>
      <c r="Z421" s="1128">
        <v>1</v>
      </c>
      <c r="AA421" s="1128">
        <v>1</v>
      </c>
    </row>
    <row r="422" spans="1:27" s="1724" customFormat="1" ht="26.25">
      <c r="A422" s="7800"/>
      <c r="B422" s="2260"/>
      <c r="C422" s="2363"/>
      <c r="D422" s="2363" t="s">
        <v>3352</v>
      </c>
      <c r="E422" s="1745"/>
      <c r="F422" s="2364">
        <f ca="1">TODAY()</f>
        <v>46117</v>
      </c>
      <c r="G422" s="2365"/>
      <c r="H422" s="2366"/>
      <c r="I422" s="2367">
        <f ca="1">NOW()</f>
        <v>46117.723645833335</v>
      </c>
      <c r="J422" s="2367"/>
      <c r="K422" s="2368"/>
      <c r="L422" s="1745"/>
      <c r="M422" s="1744"/>
      <c r="N422" s="1744"/>
      <c r="O422" s="1744"/>
      <c r="P422" s="1744"/>
      <c r="Q422" s="1744"/>
      <c r="R422" s="1128">
        <v>1</v>
      </c>
      <c r="S422" s="1128">
        <v>1</v>
      </c>
      <c r="T422" s="1128">
        <v>1</v>
      </c>
      <c r="U422" s="1128">
        <v>1</v>
      </c>
      <c r="V422" s="1128">
        <v>1</v>
      </c>
      <c r="W422" s="1128">
        <v>1</v>
      </c>
      <c r="X422" s="1128">
        <v>1</v>
      </c>
      <c r="Y422" s="1128">
        <v>1</v>
      </c>
      <c r="Z422" s="1128">
        <v>1</v>
      </c>
      <c r="AA422" s="1128">
        <v>1</v>
      </c>
    </row>
    <row r="423" spans="1:27" s="1724" customFormat="1">
      <c r="A423" s="7800"/>
      <c r="B423" s="2369" t="s">
        <v>1807</v>
      </c>
      <c r="C423" s="2370" t="s">
        <v>3353</v>
      </c>
      <c r="D423" s="1744"/>
      <c r="E423" s="1745"/>
      <c r="F423" s="1745"/>
      <c r="G423" s="1745"/>
      <c r="H423" s="2371"/>
      <c r="I423" s="2371"/>
      <c r="J423" s="2371"/>
      <c r="K423" s="2372"/>
      <c r="L423" s="1745"/>
      <c r="M423" s="1744"/>
      <c r="N423" s="1744"/>
      <c r="O423" s="1744"/>
      <c r="P423" s="1744"/>
      <c r="Q423" s="1744"/>
      <c r="R423" s="1128">
        <v>1</v>
      </c>
      <c r="S423" s="1128">
        <v>1</v>
      </c>
      <c r="T423" s="1128">
        <v>1</v>
      </c>
      <c r="U423" s="1128">
        <v>1</v>
      </c>
      <c r="V423" s="1128">
        <v>1</v>
      </c>
      <c r="W423" s="1128">
        <v>1</v>
      </c>
      <c r="X423" s="1128">
        <v>1</v>
      </c>
      <c r="Y423" s="1128">
        <v>1</v>
      </c>
      <c r="Z423" s="1128">
        <v>1</v>
      </c>
      <c r="AA423" s="1128">
        <v>1</v>
      </c>
    </row>
    <row r="424" spans="1:27" s="1724" customFormat="1" ht="15" customHeight="1">
      <c r="A424" s="7800"/>
      <c r="B424" s="1782"/>
      <c r="C424" s="2373" t="s">
        <v>3154</v>
      </c>
      <c r="D424" s="2374" t="s">
        <v>3155</v>
      </c>
      <c r="E424" s="2374" t="s">
        <v>3156</v>
      </c>
      <c r="F424" s="2374" t="s">
        <v>3157</v>
      </c>
      <c r="G424" s="2375" t="s">
        <v>3158</v>
      </c>
      <c r="H424" s="7813" t="s">
        <v>3271</v>
      </c>
      <c r="I424" s="7813"/>
      <c r="J424" s="7813"/>
      <c r="K424" s="2376"/>
      <c r="L424" s="1745"/>
      <c r="M424" s="1744"/>
      <c r="N424" s="1744"/>
      <c r="O424" s="1744"/>
      <c r="P424" s="1744"/>
      <c r="Q424" s="1744"/>
      <c r="R424" s="1128">
        <v>1</v>
      </c>
      <c r="S424" s="1128">
        <v>1</v>
      </c>
      <c r="T424" s="1128">
        <v>1</v>
      </c>
      <c r="U424" s="1128">
        <v>1</v>
      </c>
      <c r="V424" s="1128">
        <v>1</v>
      </c>
      <c r="W424" s="1128">
        <v>1</v>
      </c>
      <c r="X424" s="1128">
        <v>1</v>
      </c>
      <c r="Y424" s="1128">
        <v>1</v>
      </c>
      <c r="Z424" s="1128">
        <v>1</v>
      </c>
      <c r="AA424" s="1128">
        <v>1</v>
      </c>
    </row>
    <row r="425" spans="1:27" s="1724" customFormat="1">
      <c r="A425" s="7800"/>
      <c r="B425" s="1782"/>
      <c r="C425" s="2377">
        <v>550</v>
      </c>
      <c r="D425" s="2377">
        <v>920</v>
      </c>
      <c r="E425" s="2377">
        <v>340</v>
      </c>
      <c r="F425" s="2377">
        <v>150</v>
      </c>
      <c r="G425" s="2377">
        <v>210</v>
      </c>
      <c r="H425" s="7814" t="s">
        <v>3159</v>
      </c>
      <c r="I425" s="7814"/>
      <c r="J425" s="7814"/>
      <c r="K425" s="2379">
        <f>SUM(C425:J425)</f>
        <v>2170</v>
      </c>
      <c r="L425" s="1745"/>
      <c r="M425" s="1744"/>
      <c r="N425" s="1744"/>
      <c r="O425" s="1744"/>
      <c r="P425" s="1744"/>
      <c r="Q425" s="1744"/>
      <c r="R425" s="1128">
        <v>1</v>
      </c>
      <c r="S425" s="1128">
        <v>1</v>
      </c>
      <c r="T425" s="1128">
        <v>1</v>
      </c>
      <c r="U425" s="1128">
        <v>1</v>
      </c>
      <c r="V425" s="1128">
        <v>1</v>
      </c>
      <c r="W425" s="1128">
        <v>1</v>
      </c>
      <c r="X425" s="1128">
        <v>1</v>
      </c>
      <c r="Y425" s="1128">
        <v>1</v>
      </c>
      <c r="Z425" s="1128">
        <v>1</v>
      </c>
      <c r="AA425" s="1128">
        <v>1</v>
      </c>
    </row>
    <row r="426" spans="1:27" s="1724" customFormat="1">
      <c r="A426" s="7800"/>
      <c r="B426" s="2380"/>
      <c r="C426" s="2381"/>
      <c r="D426" s="2381"/>
      <c r="E426" s="2381"/>
      <c r="F426" s="2381"/>
      <c r="G426" s="2381"/>
      <c r="H426" s="2378"/>
      <c r="I426" s="2378"/>
      <c r="J426" s="2378"/>
      <c r="K426" s="2379"/>
      <c r="L426" s="1745"/>
      <c r="M426" s="1744"/>
      <c r="N426" s="1744"/>
      <c r="O426" s="1744"/>
      <c r="P426" s="1744"/>
      <c r="Q426" s="1744"/>
      <c r="R426" s="1128">
        <v>1</v>
      </c>
      <c r="S426" s="1128">
        <v>1</v>
      </c>
      <c r="T426" s="1128">
        <v>1</v>
      </c>
      <c r="U426" s="1128">
        <v>1</v>
      </c>
      <c r="V426" s="1128">
        <v>1</v>
      </c>
      <c r="W426" s="1128">
        <v>1</v>
      </c>
      <c r="X426" s="1128">
        <v>1</v>
      </c>
      <c r="Y426" s="1128">
        <v>1</v>
      </c>
      <c r="Z426" s="1128">
        <v>1</v>
      </c>
      <c r="AA426" s="1128">
        <v>1</v>
      </c>
    </row>
    <row r="427" spans="1:27" s="1724" customFormat="1">
      <c r="A427" s="7800"/>
      <c r="B427" s="2369" t="s">
        <v>1901</v>
      </c>
      <c r="C427" s="2370" t="s">
        <v>3354</v>
      </c>
      <c r="D427" s="2381"/>
      <c r="E427" s="2381"/>
      <c r="F427" s="2381"/>
      <c r="G427" s="2381"/>
      <c r="H427" s="2378"/>
      <c r="I427" s="2378"/>
      <c r="J427" s="2378"/>
      <c r="K427" s="2382"/>
      <c r="L427" s="1745"/>
      <c r="M427" s="1744"/>
      <c r="N427" s="1744"/>
      <c r="O427" s="1744"/>
      <c r="P427" s="1744"/>
      <c r="Q427" s="1744"/>
      <c r="R427" s="1128">
        <v>1</v>
      </c>
      <c r="S427" s="1128">
        <v>1</v>
      </c>
      <c r="T427" s="1128">
        <v>1</v>
      </c>
      <c r="U427" s="1128">
        <v>1</v>
      </c>
      <c r="V427" s="1128">
        <v>1</v>
      </c>
      <c r="W427" s="1128">
        <v>1</v>
      </c>
      <c r="X427" s="1128">
        <v>1</v>
      </c>
      <c r="Y427" s="1128">
        <v>1</v>
      </c>
      <c r="Z427" s="1128">
        <v>1</v>
      </c>
      <c r="AA427" s="1128">
        <v>1</v>
      </c>
    </row>
    <row r="428" spans="1:27" s="1724" customFormat="1" ht="15" customHeight="1">
      <c r="A428" s="7800"/>
      <c r="B428" s="2380"/>
      <c r="C428" s="1744"/>
      <c r="D428" s="1744"/>
      <c r="E428" s="1744"/>
      <c r="F428" s="1744"/>
      <c r="G428" s="1744"/>
      <c r="H428" s="2383"/>
      <c r="I428" s="1744"/>
      <c r="J428" s="1745"/>
      <c r="K428" s="1781"/>
      <c r="L428" s="1745"/>
      <c r="M428" s="1744"/>
      <c r="N428" s="1744"/>
      <c r="O428" s="1744"/>
      <c r="P428" s="1744"/>
      <c r="Q428" s="1744"/>
      <c r="R428" s="1128">
        <v>1</v>
      </c>
      <c r="S428" s="1128">
        <v>1</v>
      </c>
      <c r="T428" s="1128">
        <v>1</v>
      </c>
      <c r="U428" s="1128">
        <v>1</v>
      </c>
      <c r="V428" s="1128">
        <v>1</v>
      </c>
      <c r="W428" s="1128">
        <v>1</v>
      </c>
      <c r="X428" s="1128">
        <v>1</v>
      </c>
      <c r="Y428" s="1128">
        <v>1</v>
      </c>
      <c r="Z428" s="1128">
        <v>1</v>
      </c>
      <c r="AA428" s="1128">
        <v>1</v>
      </c>
    </row>
    <row r="429" spans="1:27" s="1724" customFormat="1" ht="15" customHeight="1">
      <c r="A429" s="7800"/>
      <c r="B429" s="2380"/>
      <c r="C429" s="2384">
        <v>0</v>
      </c>
      <c r="D429" s="2384">
        <v>1</v>
      </c>
      <c r="E429" s="2384">
        <v>1</v>
      </c>
      <c r="F429" s="2384">
        <v>0</v>
      </c>
      <c r="G429" s="2384">
        <v>1</v>
      </c>
      <c r="H429" s="7815" t="s">
        <v>3355</v>
      </c>
      <c r="I429" s="7815"/>
      <c r="J429" s="7815"/>
      <c r="K429" s="2385">
        <f>(C429*C425)+(D429*D425)+(E429*E425)+(F429*F425)+(G429*G425)</f>
        <v>1470</v>
      </c>
      <c r="L429" s="1745"/>
      <c r="M429" s="1744"/>
      <c r="N429" s="1744"/>
      <c r="O429" s="1744"/>
      <c r="P429" s="1744"/>
      <c r="Q429" s="1744"/>
      <c r="R429" s="1128">
        <v>1</v>
      </c>
      <c r="S429" s="1128">
        <v>1</v>
      </c>
      <c r="T429" s="1128">
        <v>1</v>
      </c>
      <c r="U429" s="1128">
        <v>1</v>
      </c>
      <c r="V429" s="1128">
        <v>1</v>
      </c>
      <c r="W429" s="1128">
        <v>1</v>
      </c>
      <c r="X429" s="1128">
        <v>1</v>
      </c>
      <c r="Y429" s="1128">
        <v>1</v>
      </c>
      <c r="Z429" s="1128">
        <v>1</v>
      </c>
      <c r="AA429" s="1128">
        <v>1</v>
      </c>
    </row>
    <row r="430" spans="1:27" s="1724" customFormat="1" ht="15" customHeight="1">
      <c r="A430" s="7800"/>
      <c r="B430" s="2380"/>
      <c r="C430" s="2384">
        <v>1</v>
      </c>
      <c r="D430" s="2384">
        <v>0</v>
      </c>
      <c r="E430" s="2384">
        <v>0</v>
      </c>
      <c r="F430" s="2384">
        <v>2</v>
      </c>
      <c r="G430" s="2384">
        <v>0</v>
      </c>
      <c r="H430" s="7815" t="s">
        <v>3356</v>
      </c>
      <c r="I430" s="7815"/>
      <c r="J430" s="7815"/>
      <c r="K430" s="2385">
        <f>(C430*C425)+(D430*D425)+(E430*E425)+(F430*F425)+(G430*G425)</f>
        <v>850</v>
      </c>
      <c r="L430" s="1745"/>
      <c r="M430" s="1744"/>
      <c r="N430" s="1744"/>
      <c r="O430" s="1744"/>
      <c r="P430" s="1744"/>
      <c r="Q430" s="1744"/>
      <c r="R430" s="1128">
        <v>1</v>
      </c>
      <c r="S430" s="1128">
        <v>1</v>
      </c>
      <c r="T430" s="1128">
        <v>1</v>
      </c>
      <c r="U430" s="1128">
        <v>1</v>
      </c>
      <c r="V430" s="1128">
        <v>1</v>
      </c>
      <c r="W430" s="1128">
        <v>1</v>
      </c>
      <c r="X430" s="1128">
        <v>1</v>
      </c>
      <c r="Y430" s="1128">
        <v>1</v>
      </c>
      <c r="Z430" s="1128">
        <v>1</v>
      </c>
      <c r="AA430" s="1128">
        <v>1</v>
      </c>
    </row>
    <row r="431" spans="1:27" s="1724" customFormat="1" ht="15" customHeight="1">
      <c r="A431" s="7800"/>
      <c r="B431" s="2380"/>
      <c r="C431" s="2386">
        <v>0.5</v>
      </c>
      <c r="D431" s="2384">
        <v>1</v>
      </c>
      <c r="E431" s="2384">
        <v>1</v>
      </c>
      <c r="F431" s="2384">
        <v>1</v>
      </c>
      <c r="G431" s="2384">
        <v>1</v>
      </c>
      <c r="H431" s="7815" t="s">
        <v>3357</v>
      </c>
      <c r="I431" s="7815"/>
      <c r="J431" s="7815"/>
      <c r="K431" s="2385">
        <f>(C431*C425)+(D431*D425)+(E431*E425)+(F431*F425)+(G431*G425)</f>
        <v>1895</v>
      </c>
      <c r="L431" s="1745"/>
      <c r="M431" s="1744"/>
      <c r="N431" s="1744"/>
      <c r="O431" s="1744"/>
      <c r="P431" s="1744"/>
      <c r="Q431" s="1744"/>
      <c r="R431" s="1128">
        <v>1</v>
      </c>
      <c r="S431" s="1128">
        <v>1</v>
      </c>
      <c r="T431" s="1128">
        <v>1</v>
      </c>
      <c r="U431" s="1128">
        <v>1</v>
      </c>
      <c r="V431" s="1128">
        <v>1</v>
      </c>
      <c r="W431" s="1128">
        <v>1</v>
      </c>
      <c r="X431" s="1128">
        <v>1</v>
      </c>
      <c r="Y431" s="1128">
        <v>1</v>
      </c>
      <c r="Z431" s="1128">
        <v>1</v>
      </c>
      <c r="AA431" s="1128">
        <v>1</v>
      </c>
    </row>
    <row r="432" spans="1:27" s="1724" customFormat="1" ht="15" customHeight="1">
      <c r="A432" s="7800"/>
      <c r="B432" s="2380"/>
      <c r="C432" s="2384">
        <v>0</v>
      </c>
      <c r="D432" s="2384">
        <v>0</v>
      </c>
      <c r="E432" s="2384">
        <v>2</v>
      </c>
      <c r="F432" s="2384">
        <v>2</v>
      </c>
      <c r="G432" s="2384">
        <v>1</v>
      </c>
      <c r="H432" s="7815" t="s">
        <v>3358</v>
      </c>
      <c r="I432" s="7815"/>
      <c r="J432" s="7815"/>
      <c r="K432" s="2385">
        <f>(C432*C425)+(D432*D425)+(E432*E425)+(F432*F425)+(G432*G425)</f>
        <v>1190</v>
      </c>
      <c r="L432" s="1745"/>
      <c r="M432" s="1744"/>
      <c r="N432" s="1744"/>
      <c r="O432" s="1744"/>
      <c r="P432" s="1744"/>
      <c r="Q432" s="1744"/>
      <c r="R432" s="1128">
        <v>1</v>
      </c>
      <c r="S432" s="1128">
        <v>1</v>
      </c>
      <c r="T432" s="1128">
        <v>1</v>
      </c>
      <c r="U432" s="1128">
        <v>1</v>
      </c>
      <c r="V432" s="1128">
        <v>1</v>
      </c>
      <c r="W432" s="1128">
        <v>1</v>
      </c>
      <c r="X432" s="1128">
        <v>1</v>
      </c>
      <c r="Y432" s="1128">
        <v>1</v>
      </c>
      <c r="Z432" s="1128">
        <v>1</v>
      </c>
      <c r="AA432" s="1128">
        <v>1</v>
      </c>
    </row>
    <row r="433" spans="1:27" s="1724" customFormat="1">
      <c r="A433" s="7800"/>
      <c r="B433" s="2380"/>
      <c r="C433" s="2384">
        <v>1</v>
      </c>
      <c r="D433" s="2384">
        <v>2</v>
      </c>
      <c r="E433" s="2384">
        <v>0</v>
      </c>
      <c r="F433" s="2384">
        <v>1</v>
      </c>
      <c r="G433" s="2384">
        <v>0</v>
      </c>
      <c r="H433" s="7815" t="s">
        <v>3359</v>
      </c>
      <c r="I433" s="7815"/>
      <c r="J433" s="7815"/>
      <c r="K433" s="2385">
        <f>(C433*C425)+(D433*D425)+(E433*E425)+(F433*F425)+(G433*G425)</f>
        <v>2540</v>
      </c>
      <c r="L433" s="1745"/>
      <c r="M433" s="1744"/>
      <c r="N433" s="1744"/>
      <c r="O433" s="1744"/>
      <c r="P433" s="1744"/>
      <c r="Q433" s="1744"/>
      <c r="R433" s="1128">
        <v>1</v>
      </c>
      <c r="S433" s="1128">
        <v>1</v>
      </c>
      <c r="T433" s="1128">
        <v>1</v>
      </c>
      <c r="U433" s="1128">
        <v>1</v>
      </c>
      <c r="V433" s="1128">
        <v>1</v>
      </c>
      <c r="W433" s="1128">
        <v>1</v>
      </c>
      <c r="X433" s="1128">
        <v>1</v>
      </c>
      <c r="Y433" s="1128">
        <v>1</v>
      </c>
      <c r="Z433" s="1128">
        <v>1</v>
      </c>
      <c r="AA433" s="1128">
        <v>1</v>
      </c>
    </row>
    <row r="434" spans="1:27" s="1724" customFormat="1">
      <c r="A434" s="7800"/>
      <c r="B434" s="2380"/>
      <c r="C434" s="2373" t="s">
        <v>3154</v>
      </c>
      <c r="D434" s="2374" t="s">
        <v>3155</v>
      </c>
      <c r="E434" s="2374" t="s">
        <v>3156</v>
      </c>
      <c r="F434" s="2374" t="s">
        <v>3157</v>
      </c>
      <c r="G434" s="2375" t="s">
        <v>3158</v>
      </c>
      <c r="H434" s="2387"/>
      <c r="I434" s="1744"/>
      <c r="J434" s="1745"/>
      <c r="K434" s="2385"/>
      <c r="L434" s="1745"/>
      <c r="M434" s="1744"/>
      <c r="N434" s="1744"/>
      <c r="O434" s="1744"/>
      <c r="P434" s="1744"/>
      <c r="Q434" s="1744"/>
      <c r="R434" s="1128">
        <v>1</v>
      </c>
      <c r="S434" s="1128">
        <v>1</v>
      </c>
      <c r="T434" s="1128">
        <v>1</v>
      </c>
      <c r="U434" s="1128">
        <v>1</v>
      </c>
      <c r="V434" s="1128">
        <v>1</v>
      </c>
      <c r="W434" s="1128">
        <v>1</v>
      </c>
      <c r="X434" s="1128">
        <v>1</v>
      </c>
      <c r="Y434" s="1128">
        <v>1</v>
      </c>
      <c r="Z434" s="1128">
        <v>1</v>
      </c>
      <c r="AA434" s="1128">
        <v>1</v>
      </c>
    </row>
    <row r="435" spans="1:27" s="1724" customFormat="1">
      <c r="A435" s="7800"/>
      <c r="B435" s="2380"/>
      <c r="C435" s="2388">
        <f>SUM(C429:C433)</f>
        <v>2.5</v>
      </c>
      <c r="D435" s="2388">
        <f>SUM(D429:D433)</f>
        <v>4</v>
      </c>
      <c r="E435" s="2388">
        <f>SUM(E429:E433)</f>
        <v>4</v>
      </c>
      <c r="F435" s="2388">
        <f>SUM(F429:F433)</f>
        <v>6</v>
      </c>
      <c r="G435" s="2388">
        <f>SUM(G429:G433)</f>
        <v>3</v>
      </c>
      <c r="H435" s="2389" t="s">
        <v>3360</v>
      </c>
      <c r="I435" s="1744"/>
      <c r="J435" s="1745"/>
      <c r="K435" s="2390"/>
      <c r="L435" s="1745"/>
      <c r="M435" s="1744"/>
      <c r="N435" s="1744"/>
      <c r="O435" s="1744"/>
      <c r="P435" s="1744"/>
      <c r="Q435" s="1744"/>
      <c r="R435" s="1128">
        <v>1</v>
      </c>
      <c r="S435" s="1128">
        <v>1</v>
      </c>
      <c r="T435" s="1128">
        <v>1</v>
      </c>
      <c r="U435" s="1128">
        <v>1</v>
      </c>
      <c r="V435" s="1128">
        <v>1</v>
      </c>
      <c r="W435" s="1128">
        <v>1</v>
      </c>
      <c r="X435" s="1128">
        <v>1</v>
      </c>
      <c r="Y435" s="1128">
        <v>1</v>
      </c>
      <c r="Z435" s="1128">
        <v>1</v>
      </c>
      <c r="AA435" s="1128">
        <v>1</v>
      </c>
    </row>
    <row r="436" spans="1:27" s="1724" customFormat="1" ht="15.75" customHeight="1">
      <c r="A436" s="7800"/>
      <c r="B436" s="2391"/>
      <c r="C436" s="2392"/>
      <c r="D436" s="2392"/>
      <c r="E436" s="2392"/>
      <c r="F436" s="2392"/>
      <c r="G436" s="2392"/>
      <c r="H436" s="2387"/>
      <c r="I436" s="1744"/>
      <c r="J436" s="1745"/>
      <c r="K436" s="2393"/>
      <c r="L436" s="1745"/>
      <c r="M436" s="1744"/>
      <c r="N436" s="1744"/>
      <c r="O436" s="1744"/>
      <c r="P436" s="1744"/>
      <c r="Q436" s="1744"/>
      <c r="R436" s="1128">
        <v>1</v>
      </c>
      <c r="S436" s="1128">
        <v>1</v>
      </c>
      <c r="T436" s="1128">
        <v>1</v>
      </c>
      <c r="U436" s="1128">
        <v>1</v>
      </c>
      <c r="V436" s="1128">
        <v>1</v>
      </c>
      <c r="W436" s="1128">
        <v>1</v>
      </c>
      <c r="X436" s="1128">
        <v>1</v>
      </c>
      <c r="Y436" s="1128">
        <v>1</v>
      </c>
      <c r="Z436" s="1128">
        <v>1</v>
      </c>
      <c r="AA436" s="1128">
        <v>1</v>
      </c>
    </row>
    <row r="437" spans="1:27" s="1724" customFormat="1">
      <c r="A437" s="7800"/>
      <c r="B437" s="2369" t="s">
        <v>739</v>
      </c>
      <c r="C437" s="2394">
        <v>0.06</v>
      </c>
      <c r="D437" s="2394">
        <v>0.08</v>
      </c>
      <c r="E437" s="2394">
        <v>0.15</v>
      </c>
      <c r="F437" s="2394">
        <v>0.2</v>
      </c>
      <c r="G437" s="2394">
        <v>0.1</v>
      </c>
      <c r="H437" s="7815" t="s">
        <v>3361</v>
      </c>
      <c r="I437" s="7815"/>
      <c r="J437" s="7815"/>
      <c r="K437" s="2395">
        <f>(C437*C425)+(D437*D425)+(E437*E425)+(F437*F425)+(G437*G425)</f>
        <v>208.60000000000002</v>
      </c>
      <c r="L437" s="1745"/>
      <c r="M437" s="1744"/>
      <c r="N437" s="1744"/>
      <c r="O437" s="1744"/>
      <c r="P437" s="1744"/>
      <c r="Q437" s="1744"/>
      <c r="R437" s="1128">
        <v>1</v>
      </c>
      <c r="S437" s="1128">
        <v>1</v>
      </c>
      <c r="T437" s="1128">
        <v>1</v>
      </c>
      <c r="U437" s="1128">
        <v>1</v>
      </c>
      <c r="V437" s="1128">
        <v>1</v>
      </c>
      <c r="W437" s="1128">
        <v>1</v>
      </c>
      <c r="X437" s="1128">
        <v>1</v>
      </c>
      <c r="Y437" s="1128">
        <v>1</v>
      </c>
      <c r="Z437" s="1128">
        <v>1</v>
      </c>
      <c r="AA437" s="1128">
        <v>1</v>
      </c>
    </row>
    <row r="438" spans="1:27" s="1724" customFormat="1" ht="15">
      <c r="A438" s="7800"/>
      <c r="B438" s="2391"/>
      <c r="C438" s="2392"/>
      <c r="D438" s="2392"/>
      <c r="E438" s="2392"/>
      <c r="F438" s="2392"/>
      <c r="G438" s="2392"/>
      <c r="H438" s="2396"/>
      <c r="I438" s="2397"/>
      <c r="J438" s="2398"/>
      <c r="K438" s="2385"/>
      <c r="L438" s="1745"/>
      <c r="M438" s="1744"/>
      <c r="N438" s="1744"/>
      <c r="O438" s="1744"/>
      <c r="P438" s="1744"/>
      <c r="Q438" s="1744"/>
      <c r="R438" s="1128">
        <v>1</v>
      </c>
      <c r="S438" s="1128">
        <v>1</v>
      </c>
      <c r="T438" s="1128">
        <v>1</v>
      </c>
      <c r="U438" s="1128">
        <v>1</v>
      </c>
      <c r="V438" s="1128">
        <v>1</v>
      </c>
      <c r="W438" s="1128">
        <v>1</v>
      </c>
      <c r="X438" s="1128">
        <v>1</v>
      </c>
      <c r="Y438" s="1128">
        <v>1</v>
      </c>
      <c r="Z438" s="1128">
        <v>1</v>
      </c>
      <c r="AA438" s="1128">
        <v>1</v>
      </c>
    </row>
    <row r="439" spans="1:27" s="1724" customFormat="1">
      <c r="A439" s="7800"/>
      <c r="B439" s="2369" t="s">
        <v>744</v>
      </c>
      <c r="C439" s="2394">
        <v>0.06</v>
      </c>
      <c r="D439" s="2394">
        <v>0.1</v>
      </c>
      <c r="E439" s="2394">
        <v>0.12</v>
      </c>
      <c r="F439" s="2394">
        <v>0.15</v>
      </c>
      <c r="G439" s="2394">
        <v>0.12</v>
      </c>
      <c r="H439" s="7815" t="s">
        <v>3362</v>
      </c>
      <c r="I439" s="7815"/>
      <c r="J439" s="7815"/>
      <c r="K439" s="2395">
        <f>(C439*C425)+(D439*D425)+(E439*E425)+(F439*F425)+(G439*G425)</f>
        <v>213.5</v>
      </c>
      <c r="L439" s="1745"/>
      <c r="M439" s="1744"/>
      <c r="N439" s="1744"/>
      <c r="O439" s="1744"/>
      <c r="P439" s="1744"/>
      <c r="Q439" s="1744"/>
      <c r="R439" s="1128">
        <v>1</v>
      </c>
      <c r="S439" s="1128">
        <v>1</v>
      </c>
      <c r="T439" s="1128">
        <v>1</v>
      </c>
      <c r="U439" s="1128">
        <v>1</v>
      </c>
      <c r="V439" s="1128">
        <v>1</v>
      </c>
      <c r="W439" s="1128">
        <v>1</v>
      </c>
      <c r="X439" s="1128">
        <v>1</v>
      </c>
      <c r="Y439" s="1128">
        <v>1</v>
      </c>
      <c r="Z439" s="1128">
        <v>1</v>
      </c>
      <c r="AA439" s="1128">
        <v>1</v>
      </c>
    </row>
    <row r="440" spans="1:27" s="1724" customFormat="1" ht="15">
      <c r="A440" s="7800"/>
      <c r="B440" s="2391"/>
      <c r="C440" s="2392"/>
      <c r="D440" s="2392"/>
      <c r="E440" s="2392"/>
      <c r="F440" s="2392"/>
      <c r="G440" s="2392"/>
      <c r="H440" s="2396"/>
      <c r="I440" s="2397"/>
      <c r="J440" s="2398"/>
      <c r="K440" s="2385"/>
      <c r="L440" s="1745"/>
      <c r="M440" s="1744"/>
      <c r="N440" s="1744"/>
      <c r="O440" s="1744"/>
      <c r="P440" s="1744"/>
      <c r="Q440" s="1744"/>
      <c r="R440" s="1128">
        <v>1</v>
      </c>
      <c r="S440" s="1128">
        <v>1</v>
      </c>
      <c r="T440" s="1128">
        <v>1</v>
      </c>
      <c r="U440" s="1128">
        <v>1</v>
      </c>
      <c r="V440" s="1128">
        <v>1</v>
      </c>
      <c r="W440" s="1128">
        <v>1</v>
      </c>
      <c r="X440" s="1128">
        <v>1</v>
      </c>
      <c r="Y440" s="1128">
        <v>1</v>
      </c>
      <c r="Z440" s="1128">
        <v>1</v>
      </c>
      <c r="AA440" s="1128">
        <v>1</v>
      </c>
    </row>
    <row r="441" spans="1:27" s="1724" customFormat="1">
      <c r="A441" s="7800"/>
      <c r="B441" s="2369" t="s">
        <v>746</v>
      </c>
      <c r="C441" s="2394">
        <v>0.06</v>
      </c>
      <c r="D441" s="2394">
        <v>0.1</v>
      </c>
      <c r="E441" s="2394">
        <v>0.15</v>
      </c>
      <c r="F441" s="2394">
        <v>0.2</v>
      </c>
      <c r="G441" s="2394">
        <v>0.15</v>
      </c>
      <c r="H441" s="7815" t="s">
        <v>3128</v>
      </c>
      <c r="I441" s="7815"/>
      <c r="J441" s="7815"/>
      <c r="K441" s="2395">
        <f>(C441*C425)+(D441*D425)+(E441*E425)+(F441*F425)+(G441*G425)</f>
        <v>237.5</v>
      </c>
      <c r="L441" s="1745"/>
      <c r="M441" s="1744"/>
      <c r="N441" s="1744"/>
      <c r="O441" s="1744"/>
      <c r="P441" s="1744"/>
      <c r="Q441" s="1744"/>
      <c r="R441" s="1128">
        <v>1</v>
      </c>
      <c r="S441" s="1128">
        <v>1</v>
      </c>
      <c r="T441" s="1128">
        <v>1</v>
      </c>
      <c r="U441" s="1128">
        <v>1</v>
      </c>
      <c r="V441" s="1128">
        <v>1</v>
      </c>
      <c r="W441" s="1128">
        <v>1</v>
      </c>
      <c r="X441" s="1128">
        <v>1</v>
      </c>
      <c r="Y441" s="1128">
        <v>1</v>
      </c>
      <c r="Z441" s="1128">
        <v>1</v>
      </c>
      <c r="AA441" s="1128">
        <v>1</v>
      </c>
    </row>
    <row r="442" spans="1:27" s="1724" customFormat="1" thickBot="1">
      <c r="A442" s="7800"/>
      <c r="B442" s="2399"/>
      <c r="C442" s="2400"/>
      <c r="D442" s="2196"/>
      <c r="E442" s="2401"/>
      <c r="F442" s="2402"/>
      <c r="G442" s="2403"/>
      <c r="H442" s="2403"/>
      <c r="I442" s="2196"/>
      <c r="J442" s="2196"/>
      <c r="K442" s="1791"/>
      <c r="L442" s="1745"/>
      <c r="M442" s="1744"/>
      <c r="N442" s="1744"/>
      <c r="O442" s="1744"/>
      <c r="P442" s="1744"/>
      <c r="Q442" s="1744"/>
      <c r="R442" s="1128">
        <v>1</v>
      </c>
      <c r="S442" s="1128">
        <v>1</v>
      </c>
      <c r="T442" s="1128">
        <v>1</v>
      </c>
      <c r="U442" s="1128">
        <v>1</v>
      </c>
      <c r="V442" s="1128">
        <v>1</v>
      </c>
      <c r="W442" s="1128">
        <v>1</v>
      </c>
      <c r="X442" s="1128">
        <v>1</v>
      </c>
      <c r="Y442" s="1128">
        <v>1</v>
      </c>
      <c r="Z442" s="1128">
        <v>1</v>
      </c>
      <c r="AA442" s="1128">
        <v>1</v>
      </c>
    </row>
    <row r="443" spans="1:27" s="1724" customFormat="1" ht="15">
      <c r="A443" s="1744"/>
      <c r="B443" s="1745"/>
      <c r="C443" s="1745"/>
      <c r="D443" s="1745"/>
      <c r="E443" s="1745"/>
      <c r="F443" s="1745"/>
      <c r="G443" s="1745"/>
      <c r="H443" s="1745"/>
      <c r="I443" s="1745"/>
      <c r="J443" s="1745"/>
      <c r="K443" s="1745"/>
      <c r="L443" s="1745"/>
      <c r="M443" s="1744"/>
      <c r="N443" s="1744"/>
      <c r="O443" s="1744"/>
      <c r="P443" s="1744"/>
      <c r="Q443" s="1744"/>
      <c r="R443" s="1128">
        <v>1</v>
      </c>
      <c r="S443" s="1128">
        <v>1</v>
      </c>
      <c r="T443" s="1128">
        <v>1</v>
      </c>
      <c r="U443" s="1128">
        <v>1</v>
      </c>
      <c r="V443" s="1128">
        <v>1</v>
      </c>
      <c r="W443" s="1128">
        <v>1</v>
      </c>
      <c r="X443" s="1128">
        <v>1</v>
      </c>
      <c r="Y443" s="1128">
        <v>1</v>
      </c>
      <c r="Z443" s="1128">
        <v>1</v>
      </c>
      <c r="AA443" s="1128">
        <v>1</v>
      </c>
    </row>
    <row r="444" spans="1:27" s="1724" customFormat="1" ht="15">
      <c r="A444" s="2404"/>
      <c r="B444" s="2405"/>
      <c r="C444" s="2406"/>
      <c r="D444" s="2406"/>
      <c r="E444" s="2406"/>
      <c r="F444" s="2406"/>
      <c r="G444" s="2406"/>
      <c r="H444" s="2406"/>
      <c r="I444" s="2406"/>
      <c r="J444" s="2405"/>
      <c r="K444" s="2405"/>
      <c r="L444" s="2405"/>
      <c r="M444" s="2404"/>
      <c r="N444" s="2404"/>
      <c r="O444" s="2404"/>
      <c r="P444" s="2404"/>
      <c r="Q444" s="2404"/>
      <c r="R444" s="1128">
        <v>1</v>
      </c>
      <c r="S444" s="1128">
        <v>1</v>
      </c>
      <c r="T444" s="1128">
        <v>1</v>
      </c>
      <c r="U444" s="1128">
        <v>1</v>
      </c>
      <c r="V444" s="1128">
        <v>1</v>
      </c>
      <c r="W444" s="1128">
        <v>1</v>
      </c>
      <c r="X444" s="1128">
        <v>1</v>
      </c>
      <c r="Y444" s="1128">
        <v>1</v>
      </c>
      <c r="Z444" s="1128">
        <v>1</v>
      </c>
      <c r="AA444" s="1128">
        <v>1</v>
      </c>
    </row>
    <row r="445" spans="1:27" s="1724" customFormat="1" thickBot="1">
      <c r="A445" s="1744"/>
      <c r="B445" s="1745"/>
      <c r="C445" s="1745"/>
      <c r="D445" s="1745"/>
      <c r="E445" s="1745"/>
      <c r="F445" s="1745"/>
      <c r="G445" s="1745"/>
      <c r="H445" s="1745"/>
      <c r="I445" s="1745"/>
      <c r="J445" s="1745"/>
      <c r="K445" s="1745"/>
      <c r="L445" s="1745"/>
      <c r="M445" s="1744"/>
      <c r="N445" s="1744"/>
      <c r="O445" s="1744"/>
      <c r="P445" s="1744"/>
      <c r="Q445" s="1744"/>
      <c r="R445" s="1128">
        <v>1</v>
      </c>
      <c r="S445" s="1128">
        <v>1</v>
      </c>
      <c r="T445" s="1128">
        <v>1</v>
      </c>
      <c r="U445" s="1128">
        <v>1</v>
      </c>
      <c r="V445" s="1128">
        <v>1</v>
      </c>
      <c r="W445" s="1128">
        <v>1</v>
      </c>
      <c r="X445" s="1128">
        <v>1</v>
      </c>
      <c r="Y445" s="1128">
        <v>1</v>
      </c>
      <c r="Z445" s="1128">
        <v>1</v>
      </c>
      <c r="AA445" s="1128">
        <v>1</v>
      </c>
    </row>
    <row r="446" spans="1:27" s="1724" customFormat="1" ht="18">
      <c r="A446" s="1988" t="s">
        <v>252</v>
      </c>
      <c r="B446" s="7777" t="s">
        <v>3085</v>
      </c>
      <c r="C446" s="7778"/>
      <c r="D446" s="7778"/>
      <c r="E446" s="7778"/>
      <c r="F446" s="7778"/>
      <c r="G446" s="7778"/>
      <c r="H446" s="7778"/>
      <c r="I446" s="7778"/>
      <c r="J446" s="7778"/>
      <c r="K446" s="7779"/>
      <c r="L446" s="1744"/>
      <c r="M446" s="1744"/>
      <c r="N446" s="1744"/>
      <c r="O446" s="1744"/>
      <c r="P446" s="1744"/>
      <c r="Q446" s="1744"/>
      <c r="R446" s="1128">
        <v>1</v>
      </c>
      <c r="S446" s="1128">
        <v>1</v>
      </c>
      <c r="T446" s="1128">
        <v>1</v>
      </c>
      <c r="U446" s="1128">
        <v>1</v>
      </c>
      <c r="V446" s="1128">
        <v>1</v>
      </c>
      <c r="W446" s="1128">
        <v>1</v>
      </c>
      <c r="X446" s="1128">
        <v>1</v>
      </c>
      <c r="Y446" s="1128">
        <v>1</v>
      </c>
      <c r="Z446" s="1128">
        <v>1</v>
      </c>
      <c r="AA446" s="1128">
        <v>1</v>
      </c>
    </row>
    <row r="447" spans="1:27" s="1724" customFormat="1" ht="15.75" customHeight="1">
      <c r="A447" s="7765" t="str">
        <f>B446</f>
        <v>Comment respecter un grammage à servir Exemple N° 1</v>
      </c>
      <c r="B447" s="1783" t="str">
        <f>ADDRESS(ROW(),COLUMN(),4)</f>
        <v>B447</v>
      </c>
      <c r="C447" s="824" t="s">
        <v>750</v>
      </c>
      <c r="D447" s="1772"/>
      <c r="E447" s="1772"/>
      <c r="F447" s="1772"/>
      <c r="G447" s="1772"/>
      <c r="H447" s="1772"/>
      <c r="I447" s="1772"/>
      <c r="J447" s="1772"/>
      <c r="K447" s="1776"/>
      <c r="L447" s="1744"/>
      <c r="M447" s="1744"/>
      <c r="N447" s="1744"/>
      <c r="O447" s="1744"/>
      <c r="P447" s="1744"/>
      <c r="Q447" s="1744"/>
      <c r="R447" s="1128">
        <v>1</v>
      </c>
      <c r="S447" s="1128">
        <v>1</v>
      </c>
      <c r="T447" s="1128">
        <v>1</v>
      </c>
      <c r="U447" s="1128">
        <v>1</v>
      </c>
      <c r="V447" s="1128">
        <v>1</v>
      </c>
      <c r="W447" s="1128">
        <v>1</v>
      </c>
      <c r="X447" s="1128">
        <v>1</v>
      </c>
      <c r="Y447" s="1128">
        <v>1</v>
      </c>
      <c r="Z447" s="1128">
        <v>1</v>
      </c>
      <c r="AA447" s="1128">
        <v>1</v>
      </c>
    </row>
    <row r="448" spans="1:27" s="1724" customFormat="1" ht="15" customHeight="1">
      <c r="A448" s="7765"/>
      <c r="B448" s="7766" t="s">
        <v>3363</v>
      </c>
      <c r="C448" s="7767"/>
      <c r="D448" s="7767"/>
      <c r="E448" s="7767"/>
      <c r="F448" s="7767"/>
      <c r="G448" s="7767"/>
      <c r="H448" s="7767"/>
      <c r="I448" s="7767"/>
      <c r="J448" s="7767"/>
      <c r="K448" s="7768"/>
      <c r="L448" s="1744"/>
      <c r="M448" s="1744"/>
      <c r="N448" s="1744"/>
      <c r="O448" s="1744"/>
      <c r="P448" s="1744"/>
      <c r="Q448" s="1744"/>
      <c r="R448" s="1128">
        <v>1</v>
      </c>
      <c r="S448" s="1128">
        <v>1</v>
      </c>
      <c r="T448" s="1128">
        <v>1</v>
      </c>
      <c r="U448" s="1128">
        <v>1</v>
      </c>
      <c r="V448" s="1128">
        <v>1</v>
      </c>
      <c r="W448" s="1128">
        <v>1</v>
      </c>
      <c r="X448" s="1128">
        <v>1</v>
      </c>
      <c r="Y448" s="1128">
        <v>1</v>
      </c>
      <c r="Z448" s="1128">
        <v>1</v>
      </c>
      <c r="AA448" s="1128">
        <v>1</v>
      </c>
    </row>
    <row r="449" spans="1:27" s="1724" customFormat="1" ht="15" customHeight="1">
      <c r="A449" s="7765"/>
      <c r="B449" s="7769"/>
      <c r="C449" s="7770"/>
      <c r="D449" s="7770"/>
      <c r="E449" s="7770"/>
      <c r="F449" s="7770"/>
      <c r="G449" s="7770"/>
      <c r="H449" s="7770"/>
      <c r="I449" s="7770"/>
      <c r="J449" s="7770"/>
      <c r="K449" s="7771"/>
      <c r="L449" s="1744"/>
      <c r="M449" s="1744"/>
      <c r="N449" s="1744"/>
      <c r="O449" s="1744"/>
      <c r="P449" s="1744"/>
      <c r="Q449" s="1744"/>
      <c r="R449" s="1128">
        <v>1</v>
      </c>
      <c r="S449" s="1128">
        <v>1</v>
      </c>
      <c r="T449" s="1128">
        <v>1</v>
      </c>
      <c r="U449" s="1128">
        <v>1</v>
      </c>
      <c r="V449" s="1128">
        <v>1</v>
      </c>
      <c r="W449" s="1128">
        <v>1</v>
      </c>
      <c r="X449" s="1128">
        <v>1</v>
      </c>
      <c r="Y449" s="1128">
        <v>1</v>
      </c>
      <c r="Z449" s="1128">
        <v>1</v>
      </c>
      <c r="AA449" s="1128">
        <v>1</v>
      </c>
    </row>
    <row r="450" spans="1:27" s="1724" customFormat="1" ht="15.75" customHeight="1">
      <c r="A450" s="7765"/>
      <c r="B450" s="7772" t="s">
        <v>3364</v>
      </c>
      <c r="C450" s="7773"/>
      <c r="D450" s="7774">
        <v>130</v>
      </c>
      <c r="E450" s="7776" t="s">
        <v>3365</v>
      </c>
      <c r="F450" s="7776"/>
      <c r="G450" s="7782">
        <v>70</v>
      </c>
      <c r="H450" s="2407"/>
      <c r="I450" s="7784" t="str">
        <f>IF(K450="","produit à servir","produits entiers à couper en ")</f>
        <v xml:space="preserve">produits entiers à couper en </v>
      </c>
      <c r="J450" s="7784"/>
      <c r="K450" s="7747">
        <f>IF(J461=1,"",J461)</f>
        <v>0.5</v>
      </c>
      <c r="L450" s="1744"/>
      <c r="M450" s="1744"/>
      <c r="N450" s="1744"/>
      <c r="O450" s="1744"/>
      <c r="P450" s="1744"/>
      <c r="Q450" s="1744"/>
      <c r="R450" s="1128">
        <v>1</v>
      </c>
      <c r="S450" s="1128">
        <v>1</v>
      </c>
      <c r="T450" s="1128">
        <v>1</v>
      </c>
      <c r="U450" s="1128">
        <v>1</v>
      </c>
      <c r="V450" s="1128">
        <v>1</v>
      </c>
      <c r="W450" s="1128">
        <v>1</v>
      </c>
      <c r="X450" s="1128">
        <v>1</v>
      </c>
      <c r="Y450" s="1128">
        <v>1</v>
      </c>
      <c r="Z450" s="1128">
        <v>1</v>
      </c>
      <c r="AA450" s="1128">
        <v>1</v>
      </c>
    </row>
    <row r="451" spans="1:27" s="1724" customFormat="1">
      <c r="A451" s="7765"/>
      <c r="B451" s="7772"/>
      <c r="C451" s="7773"/>
      <c r="D451" s="7775"/>
      <c r="E451" s="7776"/>
      <c r="F451" s="7776"/>
      <c r="G451" s="7783"/>
      <c r="H451" s="2407"/>
      <c r="I451" s="7784"/>
      <c r="J451" s="7784"/>
      <c r="K451" s="7747"/>
      <c r="L451" s="1744"/>
      <c r="M451" s="1744"/>
      <c r="N451" s="1744"/>
      <c r="O451" s="1744"/>
      <c r="P451" s="1744"/>
      <c r="Q451" s="1744"/>
      <c r="R451" s="1128">
        <v>1</v>
      </c>
      <c r="S451" s="1128">
        <v>1</v>
      </c>
      <c r="T451" s="1128">
        <v>1</v>
      </c>
      <c r="U451" s="1128">
        <v>1</v>
      </c>
      <c r="V451" s="1128">
        <v>1</v>
      </c>
      <c r="W451" s="1128">
        <v>1</v>
      </c>
      <c r="X451" s="1128">
        <v>1</v>
      </c>
      <c r="Y451" s="1128">
        <v>1</v>
      </c>
      <c r="Z451" s="1128">
        <v>1</v>
      </c>
      <c r="AA451" s="1128">
        <v>1</v>
      </c>
    </row>
    <row r="452" spans="1:27" s="1724" customFormat="1">
      <c r="A452" s="7765"/>
      <c r="B452" s="2408"/>
      <c r="C452" s="2409"/>
      <c r="D452" s="7748" t="s">
        <v>3366</v>
      </c>
      <c r="E452" s="7750">
        <f>LARGE(E462:E466,1)</f>
        <v>5</v>
      </c>
      <c r="F452" s="7748" t="s">
        <v>3367</v>
      </c>
      <c r="G452" s="7750" t="s">
        <v>3263</v>
      </c>
      <c r="H452" s="7748">
        <f>LARGE(F462:F466,1)</f>
        <v>9</v>
      </c>
      <c r="I452" s="7748" t="s">
        <v>3368</v>
      </c>
      <c r="J452" s="2410"/>
      <c r="K452" s="2411"/>
      <c r="L452" s="1744"/>
      <c r="M452" s="1744"/>
      <c r="N452" s="1744"/>
      <c r="O452" s="1744"/>
      <c r="P452" s="1744"/>
      <c r="Q452" s="1744"/>
      <c r="R452" s="1128">
        <v>1</v>
      </c>
      <c r="S452" s="1128">
        <v>1</v>
      </c>
      <c r="T452" s="1128">
        <v>1</v>
      </c>
      <c r="U452" s="1128">
        <v>1</v>
      </c>
      <c r="V452" s="1128">
        <v>1</v>
      </c>
      <c r="W452" s="1128">
        <v>1</v>
      </c>
      <c r="X452" s="1128">
        <v>1</v>
      </c>
      <c r="Y452" s="1128">
        <v>1</v>
      </c>
      <c r="Z452" s="1128">
        <v>1</v>
      </c>
      <c r="AA452" s="1128">
        <v>1</v>
      </c>
    </row>
    <row r="453" spans="1:27" s="1724" customFormat="1" ht="15.75" customHeight="1">
      <c r="A453" s="7765"/>
      <c r="B453" s="2412"/>
      <c r="C453" s="2413"/>
      <c r="D453" s="7749"/>
      <c r="E453" s="7751"/>
      <c r="F453" s="7749"/>
      <c r="G453" s="7751"/>
      <c r="H453" s="7749"/>
      <c r="I453" s="7749"/>
      <c r="J453" s="1772"/>
      <c r="K453" s="1776"/>
      <c r="L453" s="1744"/>
      <c r="M453" s="1744"/>
      <c r="N453" s="1744"/>
      <c r="O453" s="1744"/>
      <c r="P453" s="1744"/>
      <c r="Q453" s="1744"/>
      <c r="R453" s="1128">
        <v>1</v>
      </c>
      <c r="S453" s="1128">
        <v>1</v>
      </c>
      <c r="T453" s="1128">
        <v>1</v>
      </c>
      <c r="U453" s="1128">
        <v>1</v>
      </c>
      <c r="V453" s="1128">
        <v>1</v>
      </c>
      <c r="W453" s="1128">
        <v>1</v>
      </c>
      <c r="X453" s="1128">
        <v>1</v>
      </c>
      <c r="Y453" s="1128">
        <v>1</v>
      </c>
      <c r="Z453" s="1128">
        <v>1</v>
      </c>
      <c r="AA453" s="1128">
        <v>1</v>
      </c>
    </row>
    <row r="454" spans="1:27" s="1724" customFormat="1" ht="15" customHeight="1">
      <c r="A454" s="7765"/>
      <c r="B454" s="7785" t="s">
        <v>3369</v>
      </c>
      <c r="C454" s="7786"/>
      <c r="D454" s="7786"/>
      <c r="E454" s="7786"/>
      <c r="F454" s="7786"/>
      <c r="G454" s="7786"/>
      <c r="H454" s="7786"/>
      <c r="I454" s="7786"/>
      <c r="J454" s="7786"/>
      <c r="K454" s="7787"/>
      <c r="L454" s="1744"/>
      <c r="M454" s="1744"/>
      <c r="N454" s="1744"/>
      <c r="O454" s="1744"/>
      <c r="P454" s="1744"/>
      <c r="Q454" s="1744"/>
      <c r="R454" s="1128">
        <v>1</v>
      </c>
      <c r="S454" s="1128">
        <v>1</v>
      </c>
      <c r="T454" s="1128">
        <v>1</v>
      </c>
      <c r="U454" s="1128">
        <v>1</v>
      </c>
      <c r="V454" s="1128">
        <v>1</v>
      </c>
      <c r="W454" s="1128">
        <v>1</v>
      </c>
      <c r="X454" s="1128">
        <v>1</v>
      </c>
      <c r="Y454" s="1128">
        <v>1</v>
      </c>
      <c r="Z454" s="1128">
        <v>1</v>
      </c>
      <c r="AA454" s="1128">
        <v>1</v>
      </c>
    </row>
    <row r="455" spans="1:27" s="1724" customFormat="1" ht="15" customHeight="1">
      <c r="A455" s="7765"/>
      <c r="B455" s="7788"/>
      <c r="C455" s="7789"/>
      <c r="D455" s="7789"/>
      <c r="E455" s="7789"/>
      <c r="F455" s="7789"/>
      <c r="G455" s="7789"/>
      <c r="H455" s="7789"/>
      <c r="I455" s="7789"/>
      <c r="J455" s="7789"/>
      <c r="K455" s="7790"/>
      <c r="L455" s="1744"/>
      <c r="M455" s="1744"/>
      <c r="N455" s="1744"/>
      <c r="O455" s="1744"/>
      <c r="P455" s="1744"/>
      <c r="Q455" s="1744"/>
      <c r="R455" s="1128">
        <v>1</v>
      </c>
      <c r="S455" s="1128">
        <v>1</v>
      </c>
      <c r="T455" s="1128">
        <v>1</v>
      </c>
      <c r="U455" s="1128">
        <v>1</v>
      </c>
      <c r="V455" s="1128">
        <v>1</v>
      </c>
      <c r="W455" s="1128">
        <v>1</v>
      </c>
      <c r="X455" s="1128">
        <v>1</v>
      </c>
      <c r="Y455" s="1128">
        <v>1</v>
      </c>
      <c r="Z455" s="1128">
        <v>1</v>
      </c>
      <c r="AA455" s="1128">
        <v>1</v>
      </c>
    </row>
    <row r="456" spans="1:27" s="1724" customFormat="1" ht="15" customHeight="1">
      <c r="A456" s="7765"/>
      <c r="B456" s="7760" t="str">
        <f>IF(C456="","MOINS","Servir ")</f>
        <v xml:space="preserve">Servir </v>
      </c>
      <c r="C456" s="7791">
        <f>IF(E452-1=0,"",E452-1)</f>
        <v>4</v>
      </c>
      <c r="D456" s="7758" t="str">
        <f>IF(C456="","",IF(F456=1,"produits entiers de","produits coupés en "))</f>
        <v xml:space="preserve">produits coupés en </v>
      </c>
      <c r="E456" s="7758"/>
      <c r="F456" s="7780">
        <f>IF(C456="","",H452/C456)</f>
        <v>2.25</v>
      </c>
      <c r="G456" s="7763" t="str">
        <f>IF(C456="","","parts")</f>
        <v>parts</v>
      </c>
      <c r="H456" s="7758" t="str">
        <f>IF(C456="","","grammage unitaire")</f>
        <v>grammage unitaire</v>
      </c>
      <c r="I456" s="7758"/>
      <c r="J456" s="7759">
        <f>IF(C456="","",B467/F456)</f>
        <v>5.7777777777777782E-2</v>
      </c>
      <c r="K456" s="2417"/>
      <c r="L456" s="1744"/>
      <c r="M456" s="1744"/>
      <c r="N456" s="1744"/>
      <c r="O456" s="1744"/>
      <c r="P456" s="1744"/>
      <c r="Q456" s="1744"/>
      <c r="R456" s="1128">
        <v>1</v>
      </c>
      <c r="S456" s="1128">
        <v>1</v>
      </c>
      <c r="T456" s="1128">
        <v>1</v>
      </c>
      <c r="U456" s="1128">
        <v>1</v>
      </c>
      <c r="V456" s="1128">
        <v>1</v>
      </c>
      <c r="W456" s="1128">
        <v>1</v>
      </c>
      <c r="X456" s="1128">
        <v>1</v>
      </c>
      <c r="Y456" s="1128">
        <v>1</v>
      </c>
      <c r="Z456" s="1128">
        <v>1</v>
      </c>
      <c r="AA456" s="1128">
        <v>1</v>
      </c>
    </row>
    <row r="457" spans="1:27" s="1724" customFormat="1" ht="15" customHeight="1">
      <c r="A457" s="7765"/>
      <c r="B457" s="7760"/>
      <c r="C457" s="7791"/>
      <c r="D457" s="7758"/>
      <c r="E457" s="7758"/>
      <c r="F457" s="7780"/>
      <c r="G457" s="7763"/>
      <c r="H457" s="7758"/>
      <c r="I457" s="7758"/>
      <c r="J457" s="7759"/>
      <c r="K457" s="2418" t="s">
        <v>3370</v>
      </c>
      <c r="L457" s="1744"/>
      <c r="M457" s="1744"/>
      <c r="N457" s="1744"/>
      <c r="O457" s="1744"/>
      <c r="P457" s="1744"/>
      <c r="Q457" s="1744"/>
      <c r="R457" s="1128">
        <v>1</v>
      </c>
      <c r="S457" s="1128">
        <v>1</v>
      </c>
      <c r="T457" s="1128">
        <v>1</v>
      </c>
      <c r="U457" s="1128">
        <v>1</v>
      </c>
      <c r="V457" s="1128">
        <v>1</v>
      </c>
      <c r="W457" s="1128">
        <v>1</v>
      </c>
      <c r="X457" s="1128">
        <v>1</v>
      </c>
      <c r="Y457" s="1128">
        <v>1</v>
      </c>
      <c r="Z457" s="1128">
        <v>1</v>
      </c>
      <c r="AA457" s="1128">
        <v>1</v>
      </c>
    </row>
    <row r="458" spans="1:27" s="1724" customFormat="1" ht="15" customHeight="1">
      <c r="A458" s="7765"/>
      <c r="B458" s="7760" t="str">
        <f>IF(C456="","","plus")</f>
        <v>plus</v>
      </c>
      <c r="C458" s="7761">
        <f>IF(C456="","",E452-C456)</f>
        <v>1</v>
      </c>
      <c r="D458" s="7758" t="str">
        <f>IF(C458="","","produit coupé en ")</f>
        <v xml:space="preserve">produit coupé en </v>
      </c>
      <c r="E458" s="7758"/>
      <c r="F458" s="7762">
        <f>IF(D458="","",H452)</f>
        <v>9</v>
      </c>
      <c r="G458" s="7763" t="str">
        <f>IF(D458="","","parts")</f>
        <v>parts</v>
      </c>
      <c r="H458" s="2421"/>
      <c r="I458" s="7764" t="str">
        <f>IF(C458="","moins"," de")</f>
        <v xml:space="preserve"> de</v>
      </c>
      <c r="J458" s="7759">
        <f>IF(D458="",B467-C467,B467/F458)</f>
        <v>1.4444444444444446E-2</v>
      </c>
      <c r="K458" s="7781">
        <f>(D450/H452)*E452</f>
        <v>72.222222222222229</v>
      </c>
      <c r="L458" s="1744"/>
      <c r="M458" s="1744"/>
      <c r="N458" s="1744"/>
      <c r="O458" s="1744"/>
      <c r="P458" s="1744"/>
      <c r="Q458" s="1744"/>
      <c r="R458" s="1128">
        <v>1</v>
      </c>
      <c r="S458" s="1128">
        <v>1</v>
      </c>
      <c r="T458" s="1128">
        <v>1</v>
      </c>
      <c r="U458" s="1128">
        <v>1</v>
      </c>
      <c r="V458" s="1128">
        <v>1</v>
      </c>
      <c r="W458" s="1128">
        <v>1</v>
      </c>
      <c r="X458" s="1128">
        <v>1</v>
      </c>
      <c r="Y458" s="1128">
        <v>1</v>
      </c>
      <c r="Z458" s="1128">
        <v>1</v>
      </c>
      <c r="AA458" s="1128">
        <v>1</v>
      </c>
    </row>
    <row r="459" spans="1:27" s="1724" customFormat="1" ht="15" customHeight="1">
      <c r="A459" s="7765"/>
      <c r="B459" s="7760"/>
      <c r="C459" s="7761"/>
      <c r="D459" s="7758"/>
      <c r="E459" s="7758"/>
      <c r="F459" s="7762"/>
      <c r="G459" s="7763"/>
      <c r="H459" s="2421"/>
      <c r="I459" s="7764"/>
      <c r="J459" s="7759"/>
      <c r="K459" s="7781"/>
      <c r="L459" s="1744"/>
      <c r="M459" s="1744"/>
      <c r="N459" s="1744"/>
      <c r="O459" s="1744"/>
      <c r="P459" s="1744"/>
      <c r="Q459" s="1744"/>
      <c r="R459" s="1128">
        <v>1</v>
      </c>
      <c r="S459" s="1128">
        <v>1</v>
      </c>
      <c r="T459" s="1128">
        <v>1</v>
      </c>
      <c r="U459" s="1128">
        <v>1</v>
      </c>
      <c r="V459" s="1128">
        <v>1</v>
      </c>
      <c r="W459" s="1128">
        <v>1</v>
      </c>
      <c r="X459" s="1128">
        <v>1</v>
      </c>
      <c r="Y459" s="1128">
        <v>1</v>
      </c>
      <c r="Z459" s="1128">
        <v>1</v>
      </c>
      <c r="AA459" s="1128">
        <v>1</v>
      </c>
    </row>
    <row r="460" spans="1:27" s="1724" customFormat="1" ht="22.5" customHeight="1">
      <c r="A460" s="7765"/>
      <c r="B460" s="2414"/>
      <c r="C460" s="2419"/>
      <c r="D460" s="2415"/>
      <c r="E460" s="2415"/>
      <c r="F460" s="2420"/>
      <c r="G460" s="2211"/>
      <c r="H460" s="2421"/>
      <c r="I460" s="2422"/>
      <c r="J460" s="2416"/>
      <c r="K460" s="2418"/>
      <c r="L460" s="1744"/>
      <c r="M460" s="1744"/>
      <c r="N460" s="1744"/>
      <c r="O460" s="1744"/>
      <c r="P460" s="1744"/>
      <c r="Q460" s="1744"/>
      <c r="R460" s="1128">
        <v>1</v>
      </c>
      <c r="S460" s="1128">
        <v>1</v>
      </c>
      <c r="T460" s="1128">
        <v>1</v>
      </c>
      <c r="U460" s="1128">
        <v>1</v>
      </c>
      <c r="V460" s="1128">
        <v>1</v>
      </c>
      <c r="W460" s="1128">
        <v>1</v>
      </c>
      <c r="X460" s="1128">
        <v>1</v>
      </c>
      <c r="Y460" s="1128">
        <v>1</v>
      </c>
      <c r="Z460" s="1128">
        <v>1</v>
      </c>
      <c r="AA460" s="1128">
        <v>1</v>
      </c>
    </row>
    <row r="461" spans="1:27" s="1724" customFormat="1" ht="15" customHeight="1">
      <c r="A461" s="7765"/>
      <c r="B461" s="2423" t="s">
        <v>3371</v>
      </c>
      <c r="C461" s="2424" t="s">
        <v>3372</v>
      </c>
      <c r="D461" s="2424" t="s">
        <v>3373</v>
      </c>
      <c r="E461" s="2425" t="s">
        <v>3374</v>
      </c>
      <c r="F461" s="2425"/>
      <c r="G461" s="2426" t="s">
        <v>3375</v>
      </c>
      <c r="H461" s="2427" t="s">
        <v>3263</v>
      </c>
      <c r="I461" s="2427"/>
      <c r="J461" s="2428">
        <f>LARGE(K462:K466,1)</f>
        <v>0.5</v>
      </c>
      <c r="K461" s="2429">
        <f>SMALL(D462:D466,COUNTIF(D462:D466,0)+1)</f>
        <v>1.9999999999999907E-2</v>
      </c>
      <c r="L461" s="1744"/>
      <c r="M461" s="1744"/>
      <c r="N461" s="1744"/>
      <c r="O461" s="1744"/>
      <c r="P461" s="1744"/>
      <c r="Q461" s="1744"/>
      <c r="R461" s="1128">
        <v>1</v>
      </c>
      <c r="S461" s="1128">
        <v>1</v>
      </c>
      <c r="T461" s="1128">
        <v>1</v>
      </c>
      <c r="U461" s="1128">
        <v>1</v>
      </c>
      <c r="V461" s="1128">
        <v>1</v>
      </c>
      <c r="W461" s="1128">
        <v>1</v>
      </c>
      <c r="X461" s="1128">
        <v>1</v>
      </c>
      <c r="Y461" s="1128">
        <v>1</v>
      </c>
      <c r="Z461" s="1128">
        <v>1</v>
      </c>
      <c r="AA461" s="1128">
        <v>1</v>
      </c>
    </row>
    <row r="462" spans="1:27" s="1724" customFormat="1" ht="15">
      <c r="A462" s="7765"/>
      <c r="B462" s="2430">
        <f>C467*H462</f>
        <v>7.0000000000000007E-2</v>
      </c>
      <c r="C462" s="2431">
        <f>B467*G462</f>
        <v>0.13</v>
      </c>
      <c r="D462" s="2431">
        <f>C462-B462</f>
        <v>0.06</v>
      </c>
      <c r="E462" s="2432">
        <f>IF(D462=0,0,IF(D462=K461,G462,0))</f>
        <v>0</v>
      </c>
      <c r="F462" s="2432">
        <f>IF(E462&gt;0,H462,0)</f>
        <v>0</v>
      </c>
      <c r="G462" s="2428">
        <v>1</v>
      </c>
      <c r="H462" s="2433">
        <f>INT(I462)</f>
        <v>1</v>
      </c>
      <c r="I462" s="2433">
        <f>C462/C467</f>
        <v>1.857142857142857</v>
      </c>
      <c r="J462" s="2428">
        <f>IF(E462=0,0,E462/F462)</f>
        <v>0</v>
      </c>
      <c r="K462" s="2434">
        <f>ROUNDDOWN(J462,1)</f>
        <v>0</v>
      </c>
      <c r="L462" s="1744"/>
      <c r="M462" s="1744"/>
      <c r="N462" s="1744"/>
      <c r="O462" s="1744"/>
      <c r="P462" s="1744"/>
      <c r="Q462" s="1744"/>
      <c r="R462" s="1128">
        <v>1</v>
      </c>
      <c r="S462" s="1128">
        <v>1</v>
      </c>
      <c r="T462" s="1128">
        <v>1</v>
      </c>
      <c r="U462" s="1128">
        <v>1</v>
      </c>
      <c r="V462" s="1128">
        <v>1</v>
      </c>
      <c r="W462" s="1128">
        <v>1</v>
      </c>
      <c r="X462" s="1128">
        <v>1</v>
      </c>
      <c r="Y462" s="1128">
        <v>1</v>
      </c>
      <c r="Z462" s="1128">
        <v>1</v>
      </c>
      <c r="AA462" s="1128">
        <v>1</v>
      </c>
    </row>
    <row r="463" spans="1:27" s="1724" customFormat="1" ht="15" customHeight="1">
      <c r="A463" s="7765"/>
      <c r="B463" s="2430">
        <f>C467*H463</f>
        <v>0.21000000000000002</v>
      </c>
      <c r="C463" s="2431">
        <f>B467*G463</f>
        <v>0.26</v>
      </c>
      <c r="D463" s="2431">
        <f>C463-B463</f>
        <v>4.9999999999999989E-2</v>
      </c>
      <c r="E463" s="2432">
        <f>IF(D463=0,0,IF(D463=K461,G463,0))</f>
        <v>0</v>
      </c>
      <c r="F463" s="2432">
        <f>IF(E463&gt;0,H463,0)</f>
        <v>0</v>
      </c>
      <c r="G463" s="2428">
        <v>2</v>
      </c>
      <c r="H463" s="2433">
        <f>INT(I463)</f>
        <v>3</v>
      </c>
      <c r="I463" s="2433">
        <f>C463/C467</f>
        <v>3.714285714285714</v>
      </c>
      <c r="J463" s="2428">
        <f>IF(E463=0,0,E463/F463)</f>
        <v>0</v>
      </c>
      <c r="K463" s="2434">
        <f>ROUNDDOWN(J463,1)</f>
        <v>0</v>
      </c>
      <c r="L463" s="1744"/>
      <c r="M463" s="1744"/>
      <c r="N463" s="1744"/>
      <c r="O463" s="1744"/>
      <c r="P463" s="1744"/>
      <c r="Q463" s="1744"/>
      <c r="R463" s="1128">
        <v>1</v>
      </c>
      <c r="S463" s="1128">
        <v>1</v>
      </c>
      <c r="T463" s="1128">
        <v>1</v>
      </c>
      <c r="U463" s="1128">
        <v>1</v>
      </c>
      <c r="V463" s="1128">
        <v>1</v>
      </c>
      <c r="W463" s="1128">
        <v>1</v>
      </c>
      <c r="X463" s="1128">
        <v>1</v>
      </c>
      <c r="Y463" s="1128">
        <v>1</v>
      </c>
      <c r="Z463" s="1128">
        <v>1</v>
      </c>
      <c r="AA463" s="1128">
        <v>1</v>
      </c>
    </row>
    <row r="464" spans="1:27" s="1724" customFormat="1" ht="15" customHeight="1">
      <c r="A464" s="7765"/>
      <c r="B464" s="2430">
        <f>C467*H464</f>
        <v>0.35000000000000003</v>
      </c>
      <c r="C464" s="2431">
        <f>B467*G464</f>
        <v>0.39</v>
      </c>
      <c r="D464" s="2431">
        <f>C464-B464</f>
        <v>3.999999999999998E-2</v>
      </c>
      <c r="E464" s="2432">
        <f>IF(D464=0,0,IF(D464=K461,G464,0))</f>
        <v>0</v>
      </c>
      <c r="F464" s="2432">
        <f>IF(E464&gt;0,H464,0)</f>
        <v>0</v>
      </c>
      <c r="G464" s="2428">
        <v>3</v>
      </c>
      <c r="H464" s="2433">
        <f>INT(I464)</f>
        <v>5</v>
      </c>
      <c r="I464" s="2433">
        <f>C464/C467</f>
        <v>5.5714285714285712</v>
      </c>
      <c r="J464" s="2428">
        <f>IF(E464=0,0,E464/F464)</f>
        <v>0</v>
      </c>
      <c r="K464" s="2434">
        <f>ROUNDDOWN(J464,1)</f>
        <v>0</v>
      </c>
      <c r="L464" s="1744"/>
      <c r="M464" s="1744"/>
      <c r="N464" s="1744"/>
      <c r="O464" s="1744"/>
      <c r="P464" s="1744"/>
      <c r="Q464" s="1744"/>
      <c r="R464" s="1128">
        <v>1</v>
      </c>
      <c r="S464" s="1128">
        <v>1</v>
      </c>
      <c r="T464" s="1128">
        <v>1</v>
      </c>
      <c r="U464" s="1128">
        <v>1</v>
      </c>
      <c r="V464" s="1128">
        <v>1</v>
      </c>
      <c r="W464" s="1128">
        <v>1</v>
      </c>
      <c r="X464" s="1128">
        <v>1</v>
      </c>
      <c r="Y464" s="1128">
        <v>1</v>
      </c>
      <c r="Z464" s="1128">
        <v>1</v>
      </c>
      <c r="AA464" s="1128">
        <v>1</v>
      </c>
    </row>
    <row r="465" spans="1:27" s="1724" customFormat="1" ht="15" customHeight="1">
      <c r="A465" s="7765"/>
      <c r="B465" s="2430">
        <f>C467*H465</f>
        <v>0.49000000000000005</v>
      </c>
      <c r="C465" s="2431">
        <f>B467*G465</f>
        <v>0.52</v>
      </c>
      <c r="D465" s="2431">
        <f>C465-B465</f>
        <v>2.9999999999999971E-2</v>
      </c>
      <c r="E465" s="2432">
        <f>IF(D465=0,0,IF(D465=K461,G465,0))</f>
        <v>0</v>
      </c>
      <c r="F465" s="2432">
        <f>IF(E465&gt;0,H465,0)</f>
        <v>0</v>
      </c>
      <c r="G465" s="2428">
        <v>4</v>
      </c>
      <c r="H465" s="2433">
        <f>INT(I465)</f>
        <v>7</v>
      </c>
      <c r="I465" s="2433">
        <f>C465/C467</f>
        <v>7.4285714285714279</v>
      </c>
      <c r="J465" s="2428">
        <f>IF(E465=0,0,E465/F465)</f>
        <v>0</v>
      </c>
      <c r="K465" s="2434">
        <f>ROUNDDOWN(J465,1)</f>
        <v>0</v>
      </c>
      <c r="L465" s="1744"/>
      <c r="M465" s="1744"/>
      <c r="N465" s="1744"/>
      <c r="O465" s="1744"/>
      <c r="P465" s="1744"/>
      <c r="Q465" s="1744"/>
      <c r="R465" s="1128">
        <v>1</v>
      </c>
      <c r="S465" s="1128">
        <v>1</v>
      </c>
      <c r="T465" s="1128">
        <v>1</v>
      </c>
      <c r="U465" s="1128">
        <v>1</v>
      </c>
      <c r="V465" s="1128">
        <v>1</v>
      </c>
      <c r="W465" s="1128">
        <v>1</v>
      </c>
      <c r="X465" s="1128">
        <v>1</v>
      </c>
      <c r="Y465" s="1128">
        <v>1</v>
      </c>
      <c r="Z465" s="1128">
        <v>1</v>
      </c>
      <c r="AA465" s="1128">
        <v>1</v>
      </c>
    </row>
    <row r="466" spans="1:27" s="1724" customFormat="1" ht="15.75" customHeight="1">
      <c r="A466" s="7765"/>
      <c r="B466" s="2435">
        <f>C467*H466</f>
        <v>0.63000000000000012</v>
      </c>
      <c r="C466" s="2436">
        <f>B467*G466</f>
        <v>0.65</v>
      </c>
      <c r="D466" s="2436">
        <f>C466-B466</f>
        <v>1.9999999999999907E-2</v>
      </c>
      <c r="E466" s="2437">
        <f>IF(D466=0,0,IF(D466=K461,G466,0))</f>
        <v>5</v>
      </c>
      <c r="F466" s="2437">
        <f>IF(E466&gt;0,H466,0)</f>
        <v>9</v>
      </c>
      <c r="G466" s="2438">
        <v>5</v>
      </c>
      <c r="H466" s="2439">
        <f>INT(I466)</f>
        <v>9</v>
      </c>
      <c r="I466" s="2439">
        <f>C466/C467</f>
        <v>9.2857142857142847</v>
      </c>
      <c r="J466" s="2438">
        <f>IF(E466=0,0,E466/F466)</f>
        <v>0.55555555555555558</v>
      </c>
      <c r="K466" s="2440">
        <f>ROUNDDOWN(J466,1)</f>
        <v>0.5</v>
      </c>
      <c r="L466" s="1744"/>
      <c r="M466" s="1744"/>
      <c r="N466" s="1744"/>
      <c r="O466" s="1744"/>
      <c r="P466" s="1744"/>
      <c r="Q466" s="1744"/>
      <c r="R466" s="1128">
        <v>1</v>
      </c>
      <c r="S466" s="1128">
        <v>1</v>
      </c>
      <c r="T466" s="1128">
        <v>1</v>
      </c>
      <c r="U466" s="1128">
        <v>1</v>
      </c>
      <c r="V466" s="1128">
        <v>1</v>
      </c>
      <c r="W466" s="1128">
        <v>1</v>
      </c>
      <c r="X466" s="1128">
        <v>1</v>
      </c>
      <c r="Y466" s="1128">
        <v>1</v>
      </c>
      <c r="Z466" s="1128">
        <v>1</v>
      </c>
      <c r="AA466" s="1128">
        <v>1</v>
      </c>
    </row>
    <row r="467" spans="1:27" s="1724" customFormat="1" ht="15" customHeight="1">
      <c r="A467" s="7765"/>
      <c r="B467" s="2431">
        <f>D450/1000</f>
        <v>0.13</v>
      </c>
      <c r="C467" s="2431">
        <f>G450/1000</f>
        <v>7.0000000000000007E-2</v>
      </c>
      <c r="D467" s="2431"/>
      <c r="E467" s="2432"/>
      <c r="F467" s="2432"/>
      <c r="G467" s="2428"/>
      <c r="H467" s="2433"/>
      <c r="I467" s="2433"/>
      <c r="J467" s="2428"/>
      <c r="K467" s="2434"/>
      <c r="L467" s="1744"/>
      <c r="M467" s="1744"/>
      <c r="N467" s="1744"/>
      <c r="O467" s="1744"/>
      <c r="P467" s="1744"/>
      <c r="Q467" s="1744"/>
      <c r="R467" s="1128">
        <v>1</v>
      </c>
      <c r="S467" s="1128">
        <v>1</v>
      </c>
      <c r="T467" s="1128">
        <v>1</v>
      </c>
      <c r="U467" s="1128">
        <v>1</v>
      </c>
      <c r="V467" s="1128">
        <v>1</v>
      </c>
      <c r="W467" s="1128">
        <v>1</v>
      </c>
      <c r="X467" s="1128">
        <v>1</v>
      </c>
      <c r="Y467" s="1128">
        <v>1</v>
      </c>
      <c r="Z467" s="1128">
        <v>1</v>
      </c>
      <c r="AA467" s="1128">
        <v>1</v>
      </c>
    </row>
    <row r="468" spans="1:27" s="1724" customFormat="1" ht="15" customHeight="1">
      <c r="A468" s="7765"/>
      <c r="B468" s="7741" t="s">
        <v>60</v>
      </c>
      <c r="C468" s="7742"/>
      <c r="D468" s="7742"/>
      <c r="E468" s="7742"/>
      <c r="F468" s="7742"/>
      <c r="G468" s="7742"/>
      <c r="H468" s="7742"/>
      <c r="I468" s="7742"/>
      <c r="J468" s="7742"/>
      <c r="K468" s="7743"/>
      <c r="L468" s="1744"/>
      <c r="M468" s="1744"/>
      <c r="N468" s="1744"/>
      <c r="O468" s="1744"/>
      <c r="P468" s="1744"/>
      <c r="Q468" s="1744"/>
      <c r="R468" s="1128">
        <v>1</v>
      </c>
      <c r="S468" s="1128">
        <v>1</v>
      </c>
      <c r="T468" s="1128">
        <v>1</v>
      </c>
      <c r="U468" s="1128">
        <v>1</v>
      </c>
      <c r="V468" s="1128">
        <v>1</v>
      </c>
      <c r="W468" s="1128">
        <v>1</v>
      </c>
      <c r="X468" s="1128">
        <v>1</v>
      </c>
      <c r="Y468" s="1128">
        <v>1</v>
      </c>
      <c r="Z468" s="1128">
        <v>1</v>
      </c>
      <c r="AA468" s="1128">
        <v>1</v>
      </c>
    </row>
    <row r="469" spans="1:27" s="1724" customFormat="1" ht="15" customHeight="1">
      <c r="A469" s="7765"/>
      <c r="B469" s="7744" t="s">
        <v>3376</v>
      </c>
      <c r="C469" s="7745"/>
      <c r="D469" s="7745"/>
      <c r="E469" s="7745"/>
      <c r="F469" s="7745"/>
      <c r="G469" s="7745"/>
      <c r="H469" s="7745"/>
      <c r="I469" s="7745"/>
      <c r="J469" s="7745"/>
      <c r="K469" s="7746"/>
      <c r="L469" s="1744"/>
      <c r="M469" s="1744"/>
      <c r="N469" s="1744"/>
      <c r="O469" s="1744"/>
      <c r="P469" s="1744"/>
      <c r="Q469" s="1744"/>
      <c r="R469" s="1128">
        <v>1</v>
      </c>
      <c r="S469" s="1128">
        <v>1</v>
      </c>
      <c r="T469" s="1128">
        <v>1</v>
      </c>
      <c r="U469" s="1128">
        <v>1</v>
      </c>
      <c r="V469" s="1128">
        <v>1</v>
      </c>
      <c r="W469" s="1128">
        <v>1</v>
      </c>
      <c r="X469" s="1128">
        <v>1</v>
      </c>
      <c r="Y469" s="1128">
        <v>1</v>
      </c>
      <c r="Z469" s="1128">
        <v>1</v>
      </c>
      <c r="AA469" s="1128">
        <v>1</v>
      </c>
    </row>
    <row r="470" spans="1:27" s="1724" customFormat="1" ht="15" customHeight="1">
      <c r="A470" s="7765"/>
      <c r="B470" s="7744"/>
      <c r="C470" s="7745"/>
      <c r="D470" s="7745"/>
      <c r="E470" s="7745"/>
      <c r="F470" s="7745"/>
      <c r="G470" s="7745"/>
      <c r="H470" s="7745"/>
      <c r="I470" s="7745"/>
      <c r="J470" s="7745"/>
      <c r="K470" s="7746"/>
      <c r="L470" s="1744"/>
      <c r="M470" s="1744"/>
      <c r="N470" s="1744"/>
      <c r="O470" s="1744"/>
      <c r="P470" s="1744"/>
      <c r="Q470" s="1744"/>
      <c r="R470" s="1128">
        <v>1</v>
      </c>
      <c r="S470" s="1128">
        <v>1</v>
      </c>
      <c r="T470" s="1128">
        <v>1</v>
      </c>
      <c r="U470" s="1128">
        <v>1</v>
      </c>
      <c r="V470" s="1128">
        <v>1</v>
      </c>
      <c r="W470" s="1128">
        <v>1</v>
      </c>
      <c r="X470" s="1128">
        <v>1</v>
      </c>
      <c r="Y470" s="1128">
        <v>1</v>
      </c>
      <c r="Z470" s="1128">
        <v>1</v>
      </c>
      <c r="AA470" s="1128">
        <v>1</v>
      </c>
    </row>
    <row r="471" spans="1:27" s="1724" customFormat="1" ht="15" customHeight="1">
      <c r="A471" s="7765"/>
      <c r="B471" s="7744"/>
      <c r="C471" s="7745"/>
      <c r="D471" s="7745"/>
      <c r="E471" s="7745"/>
      <c r="F471" s="7745"/>
      <c r="G471" s="7745"/>
      <c r="H471" s="7745"/>
      <c r="I471" s="7745"/>
      <c r="J471" s="7745"/>
      <c r="K471" s="7746"/>
      <c r="L471" s="1744"/>
      <c r="M471" s="1744"/>
      <c r="N471" s="1744"/>
      <c r="O471" s="1744"/>
      <c r="P471" s="1744"/>
      <c r="Q471" s="1744"/>
      <c r="R471" s="1128">
        <v>1</v>
      </c>
      <c r="S471" s="1128">
        <v>1</v>
      </c>
      <c r="T471" s="1128">
        <v>1</v>
      </c>
      <c r="U471" s="1128">
        <v>1</v>
      </c>
      <c r="V471" s="1128">
        <v>1</v>
      </c>
      <c r="W471" s="1128">
        <v>1</v>
      </c>
      <c r="X471" s="1128">
        <v>1</v>
      </c>
      <c r="Y471" s="1128">
        <v>1</v>
      </c>
      <c r="Z471" s="1128">
        <v>1</v>
      </c>
      <c r="AA471" s="1128">
        <v>1</v>
      </c>
    </row>
    <row r="472" spans="1:27" s="1724" customFormat="1" ht="15" customHeight="1">
      <c r="A472" s="7765"/>
      <c r="B472" s="7744" t="s">
        <v>3377</v>
      </c>
      <c r="C472" s="7745"/>
      <c r="D472" s="7745"/>
      <c r="E472" s="7745"/>
      <c r="F472" s="7745"/>
      <c r="G472" s="7745"/>
      <c r="H472" s="7745"/>
      <c r="I472" s="7745"/>
      <c r="J472" s="7745"/>
      <c r="K472" s="7746"/>
      <c r="L472" s="1744"/>
      <c r="M472" s="1744"/>
      <c r="N472" s="1744"/>
      <c r="O472" s="1744"/>
      <c r="P472" s="1744"/>
      <c r="Q472" s="1744"/>
      <c r="R472" s="1128">
        <v>1</v>
      </c>
      <c r="S472" s="1128">
        <v>1</v>
      </c>
      <c r="T472" s="1128">
        <v>1</v>
      </c>
      <c r="U472" s="1128">
        <v>1</v>
      </c>
      <c r="V472" s="1128">
        <v>1</v>
      </c>
      <c r="W472" s="1128">
        <v>1</v>
      </c>
      <c r="X472" s="1128">
        <v>1</v>
      </c>
      <c r="Y472" s="1128">
        <v>1</v>
      </c>
      <c r="Z472" s="1128">
        <v>1</v>
      </c>
      <c r="AA472" s="1128">
        <v>1</v>
      </c>
    </row>
    <row r="473" spans="1:27" s="1724" customFormat="1" ht="15">
      <c r="A473" s="7765"/>
      <c r="B473" s="7744"/>
      <c r="C473" s="7745"/>
      <c r="D473" s="7745"/>
      <c r="E473" s="7745"/>
      <c r="F473" s="7745"/>
      <c r="G473" s="7745"/>
      <c r="H473" s="7745"/>
      <c r="I473" s="7745"/>
      <c r="J473" s="7745"/>
      <c r="K473" s="7746"/>
      <c r="L473" s="1744"/>
      <c r="M473" s="1744"/>
      <c r="N473" s="1744"/>
      <c r="O473" s="1744"/>
      <c r="P473" s="1744"/>
      <c r="Q473" s="1744"/>
      <c r="R473" s="1128">
        <v>1</v>
      </c>
      <c r="S473" s="1128">
        <v>1</v>
      </c>
      <c r="T473" s="1128">
        <v>1</v>
      </c>
      <c r="U473" s="1128">
        <v>1</v>
      </c>
      <c r="V473" s="1128">
        <v>1</v>
      </c>
      <c r="W473" s="1128">
        <v>1</v>
      </c>
      <c r="X473" s="1128">
        <v>1</v>
      </c>
      <c r="Y473" s="1128">
        <v>1</v>
      </c>
      <c r="Z473" s="1128">
        <v>1</v>
      </c>
      <c r="AA473" s="1128">
        <v>1</v>
      </c>
    </row>
    <row r="474" spans="1:27" s="1724" customFormat="1" ht="15">
      <c r="A474" s="7765"/>
      <c r="B474" s="7744"/>
      <c r="C474" s="7745"/>
      <c r="D474" s="7745"/>
      <c r="E474" s="7745"/>
      <c r="F474" s="7745"/>
      <c r="G474" s="7745"/>
      <c r="H474" s="7745"/>
      <c r="I474" s="7745"/>
      <c r="J474" s="7745"/>
      <c r="K474" s="7746"/>
      <c r="L474" s="1745"/>
      <c r="M474" s="1744"/>
      <c r="N474" s="1744"/>
      <c r="O474" s="1744"/>
      <c r="P474" s="1744"/>
      <c r="Q474" s="1744"/>
      <c r="R474" s="1128">
        <v>1</v>
      </c>
      <c r="S474" s="1128">
        <v>1</v>
      </c>
      <c r="T474" s="1128">
        <v>1</v>
      </c>
      <c r="U474" s="1128">
        <v>1</v>
      </c>
      <c r="V474" s="1128">
        <v>1</v>
      </c>
      <c r="W474" s="1128">
        <v>1</v>
      </c>
      <c r="X474" s="1128">
        <v>1</v>
      </c>
      <c r="Y474" s="1128">
        <v>1</v>
      </c>
      <c r="Z474" s="1128">
        <v>1</v>
      </c>
      <c r="AA474" s="1128">
        <v>1</v>
      </c>
    </row>
    <row r="475" spans="1:27" s="1724" customFormat="1" ht="16.5" thickBot="1">
      <c r="A475" s="7765"/>
      <c r="B475" s="2441"/>
      <c r="C475" s="2442"/>
      <c r="D475" s="2442"/>
      <c r="E475" s="2442"/>
      <c r="F475" s="2442"/>
      <c r="G475" s="2442"/>
      <c r="H475" s="2442"/>
      <c r="I475" s="2442"/>
      <c r="J475" s="2442"/>
      <c r="K475" s="2443"/>
      <c r="L475" s="1745"/>
      <c r="M475" s="1744"/>
      <c r="N475" s="1744"/>
      <c r="O475" s="1744"/>
      <c r="P475" s="1744"/>
      <c r="Q475" s="1744"/>
      <c r="R475" s="1128">
        <v>1</v>
      </c>
      <c r="S475" s="1128">
        <v>1</v>
      </c>
      <c r="T475" s="1128">
        <v>1</v>
      </c>
      <c r="U475" s="1128">
        <v>1</v>
      </c>
      <c r="V475" s="1128">
        <v>1</v>
      </c>
      <c r="W475" s="1128">
        <v>1</v>
      </c>
      <c r="X475" s="1128">
        <v>1</v>
      </c>
      <c r="Y475" s="1128">
        <v>1</v>
      </c>
      <c r="Z475" s="1128">
        <v>1</v>
      </c>
      <c r="AA475" s="1128">
        <v>1</v>
      </c>
    </row>
    <row r="476" spans="1:27" s="1724" customFormat="1" ht="15">
      <c r="A476" s="1744"/>
      <c r="B476" s="1745"/>
      <c r="C476" s="1745"/>
      <c r="D476" s="1745"/>
      <c r="E476" s="1745"/>
      <c r="F476" s="1745"/>
      <c r="G476" s="1745"/>
      <c r="H476" s="1745"/>
      <c r="I476" s="1745"/>
      <c r="J476" s="1745"/>
      <c r="K476" s="1745"/>
      <c r="L476" s="1745"/>
      <c r="M476" s="1744"/>
      <c r="N476" s="1744"/>
      <c r="O476" s="1744"/>
      <c r="P476" s="1744"/>
      <c r="Q476" s="1744"/>
      <c r="R476" s="1128">
        <v>1</v>
      </c>
      <c r="S476" s="1128">
        <v>1</v>
      </c>
      <c r="T476" s="1128">
        <v>1</v>
      </c>
      <c r="U476" s="1128">
        <v>1</v>
      </c>
      <c r="V476" s="1128">
        <v>1</v>
      </c>
      <c r="W476" s="1128">
        <v>1</v>
      </c>
      <c r="X476" s="1128">
        <v>1</v>
      </c>
      <c r="Y476" s="1128">
        <v>1</v>
      </c>
      <c r="Z476" s="1128">
        <v>1</v>
      </c>
      <c r="AA476" s="1128">
        <v>1</v>
      </c>
    </row>
    <row r="477" spans="1:27" s="1724" customFormat="1" ht="15">
      <c r="A477" s="2404"/>
      <c r="B477" s="2405"/>
      <c r="C477" s="2406"/>
      <c r="D477" s="2406"/>
      <c r="E477" s="2406"/>
      <c r="F477" s="2406"/>
      <c r="G477" s="2406"/>
      <c r="H477" s="2406"/>
      <c r="I477" s="2406"/>
      <c r="J477" s="2405"/>
      <c r="K477" s="2405"/>
      <c r="L477" s="2405"/>
      <c r="M477" s="2404"/>
      <c r="N477" s="2404"/>
      <c r="O477" s="2404"/>
      <c r="P477" s="2404"/>
      <c r="Q477" s="2404"/>
      <c r="R477" s="1128">
        <v>1</v>
      </c>
      <c r="S477" s="1128">
        <v>1</v>
      </c>
      <c r="T477" s="1128">
        <v>1</v>
      </c>
      <c r="U477" s="1128">
        <v>1</v>
      </c>
      <c r="V477" s="1128">
        <v>1</v>
      </c>
      <c r="W477" s="1128">
        <v>1</v>
      </c>
      <c r="X477" s="1128">
        <v>1</v>
      </c>
      <c r="Y477" s="1128">
        <v>1</v>
      </c>
      <c r="Z477" s="1128">
        <v>1</v>
      </c>
      <c r="AA477" s="1128">
        <v>1</v>
      </c>
    </row>
    <row r="478" spans="1:27" s="1724" customFormat="1" ht="15">
      <c r="A478" s="1744"/>
      <c r="B478" s="1745"/>
      <c r="C478" s="1745"/>
      <c r="D478" s="1745"/>
      <c r="E478" s="1745"/>
      <c r="F478" s="1745"/>
      <c r="G478" s="1745"/>
      <c r="H478" s="1745"/>
      <c r="I478" s="1745"/>
      <c r="J478" s="1745"/>
      <c r="K478" s="1745"/>
      <c r="L478" s="1745"/>
      <c r="M478" s="1744"/>
      <c r="N478" s="1744"/>
      <c r="O478" s="1744"/>
      <c r="P478" s="1744"/>
      <c r="Q478" s="1744"/>
      <c r="R478" s="1128">
        <v>1</v>
      </c>
      <c r="S478" s="1128">
        <v>1</v>
      </c>
      <c r="T478" s="1128">
        <v>1</v>
      </c>
      <c r="U478" s="1128">
        <v>1</v>
      </c>
      <c r="V478" s="1128">
        <v>1</v>
      </c>
      <c r="W478" s="1128">
        <v>1</v>
      </c>
      <c r="X478" s="1128">
        <v>1</v>
      </c>
      <c r="Y478" s="1128">
        <v>1</v>
      </c>
      <c r="Z478" s="1128">
        <v>1</v>
      </c>
      <c r="AA478" s="1128">
        <v>1</v>
      </c>
    </row>
    <row r="479" spans="1:27" s="1724" customFormat="1" ht="20.25">
      <c r="A479" s="1988" t="s">
        <v>252</v>
      </c>
      <c r="B479" s="7752" t="s">
        <v>3087</v>
      </c>
      <c r="C479" s="7752"/>
      <c r="D479" s="7752"/>
      <c r="E479" s="7752"/>
      <c r="F479" s="7752"/>
      <c r="G479" s="7752"/>
      <c r="H479" s="7752"/>
      <c r="I479" s="7752"/>
      <c r="J479" s="7752"/>
      <c r="K479" s="7752"/>
      <c r="L479" s="7752"/>
      <c r="M479" s="7752"/>
      <c r="N479" s="7752"/>
      <c r="O479" s="1745"/>
      <c r="P479" s="1745"/>
      <c r="Q479" s="1745"/>
      <c r="R479" s="1128">
        <v>1</v>
      </c>
      <c r="S479" s="1128">
        <v>1</v>
      </c>
      <c r="T479" s="1128">
        <v>1</v>
      </c>
      <c r="U479" s="1128">
        <v>1</v>
      </c>
      <c r="V479" s="1128">
        <v>1</v>
      </c>
      <c r="W479" s="1128">
        <v>1</v>
      </c>
      <c r="X479" s="1128">
        <v>1</v>
      </c>
      <c r="Y479" s="1128">
        <v>1</v>
      </c>
      <c r="Z479" s="1128">
        <v>1</v>
      </c>
      <c r="AA479" s="1128">
        <v>1</v>
      </c>
    </row>
    <row r="480" spans="1:27" s="1724" customFormat="1" ht="15.75" customHeight="1">
      <c r="A480" s="7753" t="str">
        <f>B479</f>
        <v>Combien faut-il commander pour des effectifs et des grammages différents</v>
      </c>
      <c r="B480" s="2197" t="str">
        <f>ADDRESS(ROW(),COLUMN(),4)</f>
        <v>B480</v>
      </c>
      <c r="C480" s="2198" t="s">
        <v>750</v>
      </c>
      <c r="D480" s="2199"/>
      <c r="E480" s="2199"/>
      <c r="F480" s="2199"/>
      <c r="G480" s="2199"/>
      <c r="H480" s="2199"/>
      <c r="I480" s="2199"/>
      <c r="J480" s="2199"/>
      <c r="K480" s="2199"/>
      <c r="L480" s="2199"/>
      <c r="M480" s="2199"/>
      <c r="N480" s="2444"/>
      <c r="O480" s="1745"/>
      <c r="P480" s="1745"/>
      <c r="Q480" s="1745"/>
      <c r="R480" s="1128">
        <v>1</v>
      </c>
      <c r="S480" s="1128">
        <v>1</v>
      </c>
      <c r="T480" s="1128">
        <v>1</v>
      </c>
      <c r="U480" s="1128">
        <v>1</v>
      </c>
      <c r="V480" s="1128">
        <v>1</v>
      </c>
      <c r="W480" s="1128">
        <v>1</v>
      </c>
      <c r="X480" s="1128">
        <v>1</v>
      </c>
      <c r="Y480" s="1128">
        <v>1</v>
      </c>
      <c r="Z480" s="1128">
        <v>1</v>
      </c>
      <c r="AA480" s="1128">
        <v>1</v>
      </c>
    </row>
    <row r="481" spans="1:27" s="1724" customFormat="1" ht="15">
      <c r="A481" s="7753"/>
      <c r="B481" s="2445"/>
      <c r="C481" s="1745"/>
      <c r="D481" s="1745"/>
      <c r="E481" s="1745"/>
      <c r="F481" s="1745"/>
      <c r="G481" s="1745"/>
      <c r="H481" s="1745"/>
      <c r="I481" s="1745"/>
      <c r="J481" s="1745"/>
      <c r="K481" s="1745"/>
      <c r="L481" s="1745"/>
      <c r="M481" s="1745"/>
      <c r="N481" s="2446"/>
      <c r="O481" s="1745"/>
      <c r="P481" s="1745"/>
      <c r="Q481" s="1745"/>
      <c r="R481" s="1128">
        <v>1</v>
      </c>
      <c r="S481" s="1128">
        <v>1</v>
      </c>
      <c r="T481" s="1128">
        <v>1</v>
      </c>
      <c r="U481" s="1128">
        <v>1</v>
      </c>
      <c r="V481" s="1128">
        <v>1</v>
      </c>
      <c r="W481" s="1128">
        <v>1</v>
      </c>
      <c r="X481" s="1128">
        <v>1</v>
      </c>
      <c r="Y481" s="1128">
        <v>1</v>
      </c>
      <c r="Z481" s="1128">
        <v>1</v>
      </c>
      <c r="AA481" s="1128">
        <v>1</v>
      </c>
    </row>
    <row r="482" spans="1:27" s="1724" customFormat="1" ht="18">
      <c r="A482" s="7753"/>
      <c r="B482" s="7754" t="s">
        <v>3378</v>
      </c>
      <c r="C482" s="7755"/>
      <c r="D482" s="7755"/>
      <c r="E482" s="7755"/>
      <c r="F482" s="7755"/>
      <c r="G482" s="7755"/>
      <c r="H482" s="7755"/>
      <c r="I482" s="7755"/>
      <c r="J482" s="7755"/>
      <c r="K482" s="7755"/>
      <c r="L482" s="7755"/>
      <c r="M482" s="7755"/>
      <c r="N482" s="7756"/>
      <c r="O482" s="1745"/>
      <c r="P482" s="1745"/>
      <c r="Q482" s="1745"/>
      <c r="R482" s="1128">
        <v>1</v>
      </c>
      <c r="S482" s="1128">
        <v>1</v>
      </c>
      <c r="T482" s="1128">
        <v>1</v>
      </c>
      <c r="U482" s="1128">
        <v>1</v>
      </c>
      <c r="V482" s="1128">
        <v>1</v>
      </c>
      <c r="W482" s="1128">
        <v>1</v>
      </c>
      <c r="X482" s="1128">
        <v>1</v>
      </c>
      <c r="Y482" s="1128">
        <v>1</v>
      </c>
      <c r="Z482" s="1128">
        <v>1</v>
      </c>
      <c r="AA482" s="1128">
        <v>1</v>
      </c>
    </row>
    <row r="483" spans="1:27" s="1724" customFormat="1" ht="18">
      <c r="A483" s="7753"/>
      <c r="B483" s="2447"/>
      <c r="C483" s="2448"/>
      <c r="D483" s="2448"/>
      <c r="E483" s="2448"/>
      <c r="F483" s="2448"/>
      <c r="G483" s="2448"/>
      <c r="H483" s="2448"/>
      <c r="I483" s="2448"/>
      <c r="J483" s="2448"/>
      <c r="K483" s="2448"/>
      <c r="L483" s="2448"/>
      <c r="M483" s="2448"/>
      <c r="N483" s="2449"/>
      <c r="O483" s="1745"/>
      <c r="P483" s="1745"/>
      <c r="Q483" s="1745"/>
      <c r="R483" s="1128">
        <v>1</v>
      </c>
      <c r="S483" s="1128">
        <v>1</v>
      </c>
      <c r="T483" s="1128">
        <v>1</v>
      </c>
      <c r="U483" s="1128">
        <v>1</v>
      </c>
      <c r="V483" s="1128">
        <v>1</v>
      </c>
      <c r="W483" s="1128">
        <v>1</v>
      </c>
      <c r="X483" s="1128">
        <v>1</v>
      </c>
      <c r="Y483" s="1128">
        <v>1</v>
      </c>
      <c r="Z483" s="1128">
        <v>1</v>
      </c>
      <c r="AA483" s="1128">
        <v>1</v>
      </c>
    </row>
    <row r="484" spans="1:27" s="1724" customFormat="1">
      <c r="A484" s="7753"/>
      <c r="B484" s="2450"/>
      <c r="C484" s="2451"/>
      <c r="D484" s="2451"/>
      <c r="E484" s="5426" t="s">
        <v>3272</v>
      </c>
      <c r="F484" s="2452">
        <v>250</v>
      </c>
      <c r="G484" s="2452">
        <v>620</v>
      </c>
      <c r="H484" s="2452">
        <v>37</v>
      </c>
      <c r="I484" s="2452">
        <v>14</v>
      </c>
      <c r="J484" s="2211">
        <f>SUM(F484:I484)</f>
        <v>921</v>
      </c>
      <c r="K484" s="2453" t="s">
        <v>73</v>
      </c>
      <c r="L484" s="2454"/>
      <c r="M484" s="1744"/>
      <c r="N484" s="2455"/>
      <c r="O484" s="1745"/>
      <c r="P484" s="1745"/>
      <c r="Q484" s="1745"/>
      <c r="R484" s="1128">
        <v>1</v>
      </c>
      <c r="S484" s="1128">
        <v>1</v>
      </c>
      <c r="T484" s="1128">
        <v>1</v>
      </c>
      <c r="U484" s="1128">
        <v>1</v>
      </c>
      <c r="V484" s="1128">
        <v>1</v>
      </c>
      <c r="W484" s="1128">
        <v>1</v>
      </c>
      <c r="X484" s="1128">
        <v>1</v>
      </c>
      <c r="Y484" s="1128">
        <v>1</v>
      </c>
      <c r="Z484" s="1128">
        <v>1</v>
      </c>
      <c r="AA484" s="1128">
        <v>1</v>
      </c>
    </row>
    <row r="485" spans="1:27" s="1724" customFormat="1">
      <c r="A485" s="7753"/>
      <c r="B485" s="2450"/>
      <c r="C485" s="2451"/>
      <c r="D485" s="2451"/>
      <c r="E485" s="2456" t="s">
        <v>3379</v>
      </c>
      <c r="F485" s="2457">
        <v>4.4999999999999998E-2</v>
      </c>
      <c r="G485" s="2457">
        <v>7.0000000000000007E-2</v>
      </c>
      <c r="H485" s="2457">
        <v>0.11</v>
      </c>
      <c r="I485" s="2458">
        <v>0.13</v>
      </c>
      <c r="J485" s="1744"/>
      <c r="K485" s="2459" t="s">
        <v>3276</v>
      </c>
      <c r="L485" s="2460">
        <v>25</v>
      </c>
      <c r="M485" s="2461" t="s">
        <v>3380</v>
      </c>
      <c r="N485" s="2455"/>
      <c r="O485" s="1745"/>
      <c r="P485" s="1745"/>
      <c r="Q485" s="1745"/>
      <c r="R485" s="1128">
        <v>1</v>
      </c>
      <c r="S485" s="1128">
        <v>1</v>
      </c>
      <c r="T485" s="1128">
        <v>1</v>
      </c>
      <c r="U485" s="1128">
        <v>1</v>
      </c>
      <c r="V485" s="1128">
        <v>1</v>
      </c>
      <c r="W485" s="1128">
        <v>1</v>
      </c>
      <c r="X485" s="1128">
        <v>1</v>
      </c>
      <c r="Y485" s="1128">
        <v>1</v>
      </c>
      <c r="Z485" s="1128">
        <v>1</v>
      </c>
      <c r="AA485" s="1128">
        <v>1</v>
      </c>
    </row>
    <row r="486" spans="1:27" s="1724" customFormat="1">
      <c r="A486" s="7753"/>
      <c r="B486" s="2450"/>
      <c r="C486" s="2451"/>
      <c r="D486" s="2451"/>
      <c r="E486" s="2462" t="s">
        <v>3381</v>
      </c>
      <c r="F486" s="2463" t="s">
        <v>3154</v>
      </c>
      <c r="G486" s="2464" t="s">
        <v>3155</v>
      </c>
      <c r="H486" s="2465" t="s">
        <v>3156</v>
      </c>
      <c r="I486" s="2464" t="s">
        <v>3157</v>
      </c>
      <c r="J486" s="7757" t="s">
        <v>3382</v>
      </c>
      <c r="K486" s="7757"/>
      <c r="L486" s="7757"/>
      <c r="M486" s="1744"/>
      <c r="N486" s="2455"/>
      <c r="O486" s="1745"/>
      <c r="P486" s="1745"/>
      <c r="Q486" s="1745"/>
      <c r="R486" s="1128">
        <v>1</v>
      </c>
      <c r="S486" s="1128">
        <v>1</v>
      </c>
      <c r="T486" s="1128">
        <v>1</v>
      </c>
      <c r="U486" s="1128">
        <v>1</v>
      </c>
      <c r="V486" s="1128">
        <v>1</v>
      </c>
      <c r="W486" s="1128">
        <v>1</v>
      </c>
      <c r="X486" s="1128">
        <v>1</v>
      </c>
      <c r="Y486" s="1128">
        <v>1</v>
      </c>
      <c r="Z486" s="1128">
        <v>1</v>
      </c>
      <c r="AA486" s="1128">
        <v>1</v>
      </c>
    </row>
    <row r="487" spans="1:27" s="1724" customFormat="1" ht="15">
      <c r="A487" s="7753"/>
      <c r="B487" s="2450"/>
      <c r="C487" s="2451"/>
      <c r="D487" s="2451"/>
      <c r="E487" s="2466" t="s">
        <v>3383</v>
      </c>
      <c r="F487" s="2467">
        <f>F485*F484</f>
        <v>11.25</v>
      </c>
      <c r="G487" s="2467">
        <f>G485*G484</f>
        <v>43.400000000000006</v>
      </c>
      <c r="H487" s="2467">
        <f>H485*H484</f>
        <v>4.07</v>
      </c>
      <c r="I487" s="2468">
        <f>I485*I484</f>
        <v>1.82</v>
      </c>
      <c r="J487" s="2469">
        <f>SUM(F487:I487)</f>
        <v>60.540000000000006</v>
      </c>
      <c r="K487" s="2469"/>
      <c r="L487" s="2470" t="s">
        <v>3384</v>
      </c>
      <c r="M487" s="1744"/>
      <c r="N487" s="2471"/>
      <c r="O487" s="1745"/>
      <c r="P487" s="1745"/>
      <c r="Q487" s="1745"/>
      <c r="R487" s="1128">
        <v>1</v>
      </c>
      <c r="S487" s="1128">
        <v>1</v>
      </c>
      <c r="T487" s="1128">
        <v>1</v>
      </c>
      <c r="U487" s="1128">
        <v>1</v>
      </c>
      <c r="V487" s="1128">
        <v>1</v>
      </c>
      <c r="W487" s="1128">
        <v>1</v>
      </c>
      <c r="X487" s="1128">
        <v>1</v>
      </c>
      <c r="Y487" s="1128">
        <v>1</v>
      </c>
      <c r="Z487" s="1128">
        <v>1</v>
      </c>
      <c r="AA487" s="1128">
        <v>1</v>
      </c>
    </row>
    <row r="488" spans="1:27" s="1724" customFormat="1" ht="18">
      <c r="A488" s="7753"/>
      <c r="B488" s="2450"/>
      <c r="C488" s="2451"/>
      <c r="D488" s="2451"/>
      <c r="E488" s="2472" t="s">
        <v>3277</v>
      </c>
      <c r="F488" s="2473">
        <f>F487/(100-L485)*100</f>
        <v>15</v>
      </c>
      <c r="G488" s="2473">
        <f>G487/(100-L485)*100</f>
        <v>57.866666666666674</v>
      </c>
      <c r="H488" s="2473">
        <f>H487/(100-L485)*100</f>
        <v>5.4266666666666667</v>
      </c>
      <c r="I488" s="2474">
        <f>I487/(100-L485)*100</f>
        <v>2.4266666666666667</v>
      </c>
      <c r="J488" s="2475">
        <f>SUM(F488:I488)</f>
        <v>80.72</v>
      </c>
      <c r="K488" s="2476"/>
      <c r="L488" s="2252" t="s">
        <v>3385</v>
      </c>
      <c r="M488" s="1744"/>
      <c r="N488" s="2471"/>
      <c r="O488" s="1745"/>
      <c r="P488" s="1745"/>
      <c r="Q488" s="1745"/>
      <c r="R488" s="1128">
        <v>1</v>
      </c>
      <c r="S488" s="1128">
        <v>1</v>
      </c>
      <c r="T488" s="1128">
        <v>1</v>
      </c>
      <c r="U488" s="1128">
        <v>1</v>
      </c>
      <c r="V488" s="1128">
        <v>1</v>
      </c>
      <c r="W488" s="1128">
        <v>1</v>
      </c>
      <c r="X488" s="1128">
        <v>1</v>
      </c>
      <c r="Y488" s="1128">
        <v>1</v>
      </c>
      <c r="Z488" s="1128">
        <v>1</v>
      </c>
      <c r="AA488" s="1128">
        <v>1</v>
      </c>
    </row>
    <row r="489" spans="1:27" s="1724" customFormat="1" ht="15">
      <c r="A489" s="7753"/>
      <c r="B489" s="2450"/>
      <c r="C489" s="2451"/>
      <c r="D489" s="2451"/>
      <c r="E489" s="2451"/>
      <c r="F489" s="2451"/>
      <c r="G489" s="2451"/>
      <c r="H489" s="2451"/>
      <c r="I489" s="2451"/>
      <c r="J489" s="2477">
        <f>J488-J487</f>
        <v>20.179999999999993</v>
      </c>
      <c r="K489" s="2477"/>
      <c r="L489" s="2478" t="s">
        <v>3386</v>
      </c>
      <c r="M489" s="2479"/>
      <c r="N489" s="2455"/>
      <c r="O489" s="1745"/>
      <c r="P489" s="1745"/>
      <c r="Q489" s="1745"/>
      <c r="R489" s="1128">
        <v>1</v>
      </c>
      <c r="S489" s="1128">
        <v>1</v>
      </c>
      <c r="T489" s="1128">
        <v>1</v>
      </c>
      <c r="U489" s="1128">
        <v>1</v>
      </c>
      <c r="V489" s="1128">
        <v>1</v>
      </c>
      <c r="W489" s="1128">
        <v>1</v>
      </c>
      <c r="X489" s="1128">
        <v>1</v>
      </c>
      <c r="Y489" s="1128">
        <v>1</v>
      </c>
      <c r="Z489" s="1128">
        <v>1</v>
      </c>
      <c r="AA489" s="1128">
        <v>1</v>
      </c>
    </row>
    <row r="490" spans="1:27" s="1724" customFormat="1" ht="15">
      <c r="A490" s="7753"/>
      <c r="B490" s="2450"/>
      <c r="C490" s="2451"/>
      <c r="D490" s="2451"/>
      <c r="E490" s="2451"/>
      <c r="F490" s="2451"/>
      <c r="G490" s="2451"/>
      <c r="H490" s="2451"/>
      <c r="I490" s="2451"/>
      <c r="J490" s="2480">
        <f>(J489/J484)*1000</f>
        <v>21.910966340933761</v>
      </c>
      <c r="K490" s="2477"/>
      <c r="L490" s="2478" t="s">
        <v>3387</v>
      </c>
      <c r="M490" s="2479"/>
      <c r="N490" s="2455"/>
      <c r="O490" s="1745"/>
      <c r="P490" s="1745"/>
      <c r="Q490" s="1745"/>
      <c r="R490" s="1128">
        <v>1</v>
      </c>
      <c r="S490" s="1128">
        <v>1</v>
      </c>
      <c r="T490" s="1128">
        <v>1</v>
      </c>
      <c r="U490" s="1128">
        <v>1</v>
      </c>
      <c r="V490" s="1128">
        <v>1</v>
      </c>
      <c r="W490" s="1128">
        <v>1</v>
      </c>
      <c r="X490" s="1128">
        <v>1</v>
      </c>
      <c r="Y490" s="1128">
        <v>1</v>
      </c>
      <c r="Z490" s="1128">
        <v>1</v>
      </c>
      <c r="AA490" s="1128">
        <v>1</v>
      </c>
    </row>
    <row r="491" spans="1:27" s="1724" customFormat="1" ht="15">
      <c r="A491" s="7753"/>
      <c r="B491" s="2450"/>
      <c r="C491" s="2481" t="s">
        <v>3380</v>
      </c>
      <c r="D491" s="2482" t="s">
        <v>3388</v>
      </c>
      <c r="E491" s="2451"/>
      <c r="F491" s="2451"/>
      <c r="G491" s="2451"/>
      <c r="H491" s="2451"/>
      <c r="I491" s="2451"/>
      <c r="J491" s="2451"/>
      <c r="K491" s="2451"/>
      <c r="L491" s="2451"/>
      <c r="M491" s="2451"/>
      <c r="N491" s="2455"/>
      <c r="O491" s="1745"/>
      <c r="P491" s="1745"/>
      <c r="Q491" s="1745"/>
      <c r="R491" s="1128">
        <v>1</v>
      </c>
      <c r="S491" s="1128">
        <v>1</v>
      </c>
      <c r="T491" s="1128">
        <v>1</v>
      </c>
      <c r="U491" s="1128">
        <v>1</v>
      </c>
      <c r="V491" s="1128">
        <v>1</v>
      </c>
      <c r="W491" s="1128">
        <v>1</v>
      </c>
      <c r="X491" s="1128">
        <v>1</v>
      </c>
      <c r="Y491" s="1128">
        <v>1</v>
      </c>
      <c r="Z491" s="1128">
        <v>1</v>
      </c>
      <c r="AA491" s="1128">
        <v>1</v>
      </c>
    </row>
    <row r="492" spans="1:27" s="1724" customFormat="1" ht="15">
      <c r="A492" s="7753"/>
      <c r="B492" s="2450"/>
      <c r="C492" s="2483"/>
      <c r="D492" s="2482" t="s">
        <v>3389</v>
      </c>
      <c r="E492" s="2451"/>
      <c r="F492" s="2451"/>
      <c r="G492" s="2451"/>
      <c r="H492" s="2451"/>
      <c r="I492" s="2451"/>
      <c r="J492" s="2451"/>
      <c r="K492" s="2451"/>
      <c r="L492" s="2451"/>
      <c r="M492" s="2451"/>
      <c r="N492" s="2455"/>
      <c r="O492" s="1745"/>
      <c r="P492" s="1745"/>
      <c r="Q492" s="1745"/>
      <c r="R492" s="1128">
        <v>1</v>
      </c>
      <c r="S492" s="1128">
        <v>1</v>
      </c>
      <c r="T492" s="1128">
        <v>1</v>
      </c>
      <c r="U492" s="1128">
        <v>1</v>
      </c>
      <c r="V492" s="1128">
        <v>1</v>
      </c>
      <c r="W492" s="1128">
        <v>1</v>
      </c>
      <c r="X492" s="1128">
        <v>1</v>
      </c>
      <c r="Y492" s="1128">
        <v>1</v>
      </c>
      <c r="Z492" s="1128">
        <v>1</v>
      </c>
      <c r="AA492" s="1128">
        <v>1</v>
      </c>
    </row>
    <row r="493" spans="1:27" s="1724" customFormat="1" ht="15">
      <c r="A493" s="7753"/>
      <c r="B493" s="2484"/>
      <c r="C493" s="2360"/>
      <c r="D493" s="2360"/>
      <c r="E493" s="2360"/>
      <c r="F493" s="2360"/>
      <c r="G493" s="2360"/>
      <c r="H493" s="2360"/>
      <c r="I493" s="2360"/>
      <c r="J493" s="2360"/>
      <c r="K493" s="2360"/>
      <c r="L493" s="2360"/>
      <c r="M493" s="2360"/>
      <c r="N493" s="2485"/>
      <c r="O493" s="1745"/>
      <c r="P493" s="1745"/>
      <c r="Q493" s="1745"/>
      <c r="R493" s="1128">
        <v>1</v>
      </c>
      <c r="S493" s="1128">
        <v>1</v>
      </c>
      <c r="T493" s="1128">
        <v>1</v>
      </c>
      <c r="U493" s="1128">
        <v>1</v>
      </c>
      <c r="V493" s="1128">
        <v>1</v>
      </c>
      <c r="W493" s="1128">
        <v>1</v>
      </c>
      <c r="X493" s="1128">
        <v>1</v>
      </c>
      <c r="Y493" s="1128">
        <v>1</v>
      </c>
      <c r="Z493" s="1128">
        <v>1</v>
      </c>
      <c r="AA493" s="1128">
        <v>1</v>
      </c>
    </row>
    <row r="494" spans="1:27" s="1724" customFormat="1" ht="15">
      <c r="A494" s="1745"/>
      <c r="B494" s="1745"/>
      <c r="C494" s="1745"/>
      <c r="D494" s="1745"/>
      <c r="E494" s="1745"/>
      <c r="F494" s="1745"/>
      <c r="G494" s="1745"/>
      <c r="H494" s="1745"/>
      <c r="I494" s="1745"/>
      <c r="J494" s="1745"/>
      <c r="K494" s="1745"/>
      <c r="L494" s="1745"/>
      <c r="M494" s="1744"/>
      <c r="N494" s="1744"/>
      <c r="O494" s="1744"/>
      <c r="P494" s="1744"/>
      <c r="Q494" s="1744"/>
      <c r="R494" s="1128">
        <v>1</v>
      </c>
      <c r="S494" s="1128">
        <v>1</v>
      </c>
      <c r="T494" s="1128">
        <v>1</v>
      </c>
      <c r="U494" s="1128">
        <v>1</v>
      </c>
      <c r="V494" s="1128">
        <v>1</v>
      </c>
      <c r="W494" s="1128">
        <v>1</v>
      </c>
      <c r="X494" s="1128">
        <v>1</v>
      </c>
      <c r="Y494" s="1128">
        <v>1</v>
      </c>
      <c r="Z494" s="1128">
        <v>1</v>
      </c>
      <c r="AA494" s="2486" t="s">
        <v>0</v>
      </c>
    </row>
    <row r="495" spans="1:27" s="1724" customFormat="1" ht="15">
      <c r="A495" s="1744"/>
      <c r="B495" s="1745"/>
      <c r="C495" s="1745"/>
      <c r="D495" s="1745"/>
      <c r="E495" s="1745"/>
      <c r="F495" s="1745"/>
      <c r="G495" s="1745"/>
      <c r="H495" s="1745"/>
      <c r="I495" s="1745"/>
      <c r="J495" s="1745"/>
      <c r="K495" s="1745"/>
      <c r="L495" s="1745"/>
      <c r="M495" s="1745"/>
      <c r="N495" s="1745"/>
      <c r="O495" s="1745"/>
      <c r="P495" s="1745"/>
      <c r="Q495" s="1745"/>
      <c r="R495" s="1128">
        <v>1</v>
      </c>
      <c r="S495" s="1128">
        <v>1</v>
      </c>
      <c r="T495" s="1128">
        <v>1</v>
      </c>
      <c r="U495" s="1128">
        <v>1</v>
      </c>
      <c r="V495" s="1128">
        <v>1</v>
      </c>
      <c r="W495" s="1128">
        <v>1</v>
      </c>
      <c r="X495" s="1128">
        <v>1</v>
      </c>
      <c r="Y495" s="1128">
        <v>1</v>
      </c>
      <c r="Z495" s="1128">
        <v>1</v>
      </c>
      <c r="AA495" s="9" t="str">
        <f>ADDRESS(ROW(),COLUMN(),4)</f>
        <v>AA495</v>
      </c>
    </row>
  </sheetData>
  <mergeCells count="422">
    <mergeCell ref="B2:Q2"/>
    <mergeCell ref="B49:Q50"/>
    <mergeCell ref="B52:G53"/>
    <mergeCell ref="J52:O52"/>
    <mergeCell ref="A53:A67"/>
    <mergeCell ref="I53:I74"/>
    <mergeCell ref="K53:O53"/>
    <mergeCell ref="B55:G56"/>
    <mergeCell ref="J55:O57"/>
    <mergeCell ref="C57:G57"/>
    <mergeCell ref="B64:B65"/>
    <mergeCell ref="C64:G65"/>
    <mergeCell ref="B66:B67"/>
    <mergeCell ref="C66:G67"/>
    <mergeCell ref="B69:C70"/>
    <mergeCell ref="D69:E70"/>
    <mergeCell ref="F69:F70"/>
    <mergeCell ref="G69:G70"/>
    <mergeCell ref="C58:G58"/>
    <mergeCell ref="C59:G59"/>
    <mergeCell ref="C60:G60"/>
    <mergeCell ref="C61:G61"/>
    <mergeCell ref="C62:G62"/>
    <mergeCell ref="C63:G63"/>
    <mergeCell ref="L78:O81"/>
    <mergeCell ref="C82:H82"/>
    <mergeCell ref="L82:O84"/>
    <mergeCell ref="C85:J85"/>
    <mergeCell ref="C87:I87"/>
    <mergeCell ref="L87:O87"/>
    <mergeCell ref="A70:A76"/>
    <mergeCell ref="B72:C72"/>
    <mergeCell ref="J72:N74"/>
    <mergeCell ref="B73:C73"/>
    <mergeCell ref="B74:C74"/>
    <mergeCell ref="B75:C75"/>
    <mergeCell ref="B76:C76"/>
    <mergeCell ref="L88:O91"/>
    <mergeCell ref="L92:O94"/>
    <mergeCell ref="L95:O97"/>
    <mergeCell ref="B100:T100"/>
    <mergeCell ref="A101:A118"/>
    <mergeCell ref="B102:K102"/>
    <mergeCell ref="L102:T102"/>
    <mergeCell ref="B103:D106"/>
    <mergeCell ref="E103:E106"/>
    <mergeCell ref="F103:F106"/>
    <mergeCell ref="B108:D108"/>
    <mergeCell ref="M108:N108"/>
    <mergeCell ref="B109:D109"/>
    <mergeCell ref="M109:N109"/>
    <mergeCell ref="B110:D110"/>
    <mergeCell ref="M110:N110"/>
    <mergeCell ref="G103:K103"/>
    <mergeCell ref="L103:M104"/>
    <mergeCell ref="N103:T106"/>
    <mergeCell ref="L105:M105"/>
    <mergeCell ref="G106:K106"/>
    <mergeCell ref="L106:M106"/>
    <mergeCell ref="A121:A133"/>
    <mergeCell ref="B122:D122"/>
    <mergeCell ref="B123:D123"/>
    <mergeCell ref="B124:D124"/>
    <mergeCell ref="B125:D125"/>
    <mergeCell ref="B126:D126"/>
    <mergeCell ref="B111:D111"/>
    <mergeCell ref="M111:N111"/>
    <mergeCell ref="B113:D113"/>
    <mergeCell ref="M113:N113"/>
    <mergeCell ref="B114:D114"/>
    <mergeCell ref="M114:N114"/>
    <mergeCell ref="B127:D127"/>
    <mergeCell ref="B128:D128"/>
    <mergeCell ref="B129:D129"/>
    <mergeCell ref="B131:D131"/>
    <mergeCell ref="B132:D132"/>
    <mergeCell ref="B133:D133"/>
    <mergeCell ref="B115:D115"/>
    <mergeCell ref="M115:N115"/>
    <mergeCell ref="G118:K118"/>
    <mergeCell ref="B120:F120"/>
    <mergeCell ref="B135:L135"/>
    <mergeCell ref="A136:A154"/>
    <mergeCell ref="C137:D137"/>
    <mergeCell ref="G137:H137"/>
    <mergeCell ref="C139:C140"/>
    <mergeCell ref="D139:D140"/>
    <mergeCell ref="E139:E140"/>
    <mergeCell ref="F139:F140"/>
    <mergeCell ref="C146:E146"/>
    <mergeCell ref="B156:L156"/>
    <mergeCell ref="A157:A167"/>
    <mergeCell ref="B164:K164"/>
    <mergeCell ref="B165:K165"/>
    <mergeCell ref="B169:K169"/>
    <mergeCell ref="A170:A181"/>
    <mergeCell ref="G174:H174"/>
    <mergeCell ref="B176:J176"/>
    <mergeCell ref="B177:K177"/>
    <mergeCell ref="B184:E184"/>
    <mergeCell ref="H184:S184"/>
    <mergeCell ref="A185:A197"/>
    <mergeCell ref="G185:G189"/>
    <mergeCell ref="B186:B187"/>
    <mergeCell ref="C186:C187"/>
    <mergeCell ref="D186:D187"/>
    <mergeCell ref="E186:E187"/>
    <mergeCell ref="H186:H187"/>
    <mergeCell ref="I186:I187"/>
    <mergeCell ref="R187:R188"/>
    <mergeCell ref="S187:S188"/>
    <mergeCell ref="B189:B190"/>
    <mergeCell ref="H189:K189"/>
    <mergeCell ref="B191:B192"/>
    <mergeCell ref="B194:E195"/>
    <mergeCell ref="J186:J187"/>
    <mergeCell ref="K186:K187"/>
    <mergeCell ref="L186:L188"/>
    <mergeCell ref="M186:M187"/>
    <mergeCell ref="P186:P188"/>
    <mergeCell ref="Q186:Q187"/>
    <mergeCell ref="N187:N188"/>
    <mergeCell ref="O187:O188"/>
    <mergeCell ref="B196:E197"/>
    <mergeCell ref="B199:E199"/>
    <mergeCell ref="H199:S199"/>
    <mergeCell ref="A200:A215"/>
    <mergeCell ref="G200:G205"/>
    <mergeCell ref="M200:O200"/>
    <mergeCell ref="C201:E201"/>
    <mergeCell ref="H201:H202"/>
    <mergeCell ref="I201:I202"/>
    <mergeCell ref="J201:J202"/>
    <mergeCell ref="K201:K202"/>
    <mergeCell ref="L201:L203"/>
    <mergeCell ref="M201:M202"/>
    <mergeCell ref="P201:P202"/>
    <mergeCell ref="Q201:Q202"/>
    <mergeCell ref="B202:B203"/>
    <mergeCell ref="C202:C203"/>
    <mergeCell ref="D202:D203"/>
    <mergeCell ref="E202:E203"/>
    <mergeCell ref="O202:O203"/>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74:A275"/>
    <mergeCell ref="B274:M275"/>
    <mergeCell ref="N274:N275"/>
    <mergeCell ref="A276:A302"/>
    <mergeCell ref="B277:N277"/>
    <mergeCell ref="B278:N281"/>
    <mergeCell ref="B282:N282"/>
    <mergeCell ref="L283:M283"/>
    <mergeCell ref="L284:M284"/>
    <mergeCell ref="B302:N302"/>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H347:H348"/>
    <mergeCell ref="I347:I348"/>
    <mergeCell ref="I345:I346"/>
    <mergeCell ref="J345:J346"/>
    <mergeCell ref="K345:K346"/>
    <mergeCell ref="L345:L346"/>
    <mergeCell ref="M345:M346"/>
    <mergeCell ref="N345:N346"/>
    <mergeCell ref="N350:N351"/>
    <mergeCell ref="B351:B352"/>
    <mergeCell ref="C351:C352"/>
    <mergeCell ref="D351:D352"/>
    <mergeCell ref="E351:E352"/>
    <mergeCell ref="H352:N352"/>
    <mergeCell ref="H350:H351"/>
    <mergeCell ref="I350:I351"/>
    <mergeCell ref="J350:J351"/>
    <mergeCell ref="K350:K351"/>
    <mergeCell ref="L350:L351"/>
    <mergeCell ref="M350:M351"/>
    <mergeCell ref="B353:E353"/>
    <mergeCell ref="H353:K353"/>
    <mergeCell ref="B355:N355"/>
    <mergeCell ref="A356:A380"/>
    <mergeCell ref="B357:N358"/>
    <mergeCell ref="B359:N360"/>
    <mergeCell ref="C370:M370"/>
    <mergeCell ref="H371:M371"/>
    <mergeCell ref="D372:E372"/>
    <mergeCell ref="B379:N380"/>
    <mergeCell ref="B382:N382"/>
    <mergeCell ref="A383:A400"/>
    <mergeCell ref="B384:N385"/>
    <mergeCell ref="B386:N387"/>
    <mergeCell ref="B388:N388"/>
    <mergeCell ref="B390:C390"/>
    <mergeCell ref="G390:H390"/>
    <mergeCell ref="K390:L390"/>
    <mergeCell ref="B399:N400"/>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H432:J432"/>
    <mergeCell ref="H433:J433"/>
    <mergeCell ref="H437:J437"/>
    <mergeCell ref="H439:J439"/>
    <mergeCell ref="H441:J441"/>
    <mergeCell ref="B446:K446"/>
    <mergeCell ref="F452:F453"/>
    <mergeCell ref="G452:G453"/>
    <mergeCell ref="H452:H453"/>
    <mergeCell ref="I452:I453"/>
    <mergeCell ref="D456:E457"/>
    <mergeCell ref="F456:F457"/>
    <mergeCell ref="G456:G457"/>
    <mergeCell ref="K458:K459"/>
    <mergeCell ref="G450:G451"/>
    <mergeCell ref="I450:J451"/>
    <mergeCell ref="B454:K455"/>
    <mergeCell ref="B456:B457"/>
    <mergeCell ref="C456:C457"/>
    <mergeCell ref="B468:K468"/>
    <mergeCell ref="B469:K471"/>
    <mergeCell ref="K450:K451"/>
    <mergeCell ref="D452:D453"/>
    <mergeCell ref="E452:E453"/>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s>
  <conditionalFormatting sqref="A49">
    <cfRule type="expression" dxfId="86" priority="8" stopIfTrue="1">
      <formula>OR(ROW()=CELL("ligne"),COLUMN()=CELL("colonne"))</formula>
    </cfRule>
  </conditionalFormatting>
  <conditionalFormatting sqref="A52">
    <cfRule type="expression" dxfId="85" priority="19" stopIfTrue="1">
      <formula>OR(ROW()=CELL("ligne"),COLUMN()=CELL("colonne"))</formula>
    </cfRule>
  </conditionalFormatting>
  <conditionalFormatting sqref="A69">
    <cfRule type="expression" dxfId="84" priority="18" stopIfTrue="1">
      <formula>OR(ROW()=CELL("ligne"),COLUMN()=CELL("colonne"))</formula>
    </cfRule>
  </conditionalFormatting>
  <conditionalFormatting sqref="A100">
    <cfRule type="expression" dxfId="83" priority="7" stopIfTrue="1">
      <formula>OR(ROW()=CELL("ligne"),COLUMN()=CELL("colonne"))</formula>
    </cfRule>
  </conditionalFormatting>
  <conditionalFormatting sqref="A120:A121">
    <cfRule type="expression" dxfId="82" priority="13" stopIfTrue="1">
      <formula>OR(ROW()=CELL("ligne"),COLUMN()=CELL("colonne"))</formula>
    </cfRule>
  </conditionalFormatting>
  <conditionalFormatting sqref="A135:A136">
    <cfRule type="expression" dxfId="81" priority="14" stopIfTrue="1">
      <formula>OR(ROW()=CELL("ligne"),COLUMN()=CELL("colonne"))</formula>
    </cfRule>
  </conditionalFormatting>
  <conditionalFormatting sqref="A156:A157">
    <cfRule type="expression" dxfId="80" priority="2" stopIfTrue="1">
      <formula>OR(ROW()=CELL("ligne"),COLUMN()=CELL("colonne"))</formula>
    </cfRule>
  </conditionalFormatting>
  <conditionalFormatting sqref="A169:A170">
    <cfRule type="expression" dxfId="79" priority="1" stopIfTrue="1">
      <formula>OR(ROW()=CELL("ligne"),COLUMN()=CELL("colonne"))</formula>
    </cfRule>
  </conditionalFormatting>
  <conditionalFormatting sqref="A184:A185">
    <cfRule type="expression" dxfId="78" priority="16" stopIfTrue="1">
      <formula>OR(ROW()=CELL("ligne"),COLUMN()=CELL("colonne"))</formula>
    </cfRule>
  </conditionalFormatting>
  <conditionalFormatting sqref="A199:A200">
    <cfRule type="expression" dxfId="77" priority="15" stopIfTrue="1">
      <formula>OR(ROW()=CELL("ligne"),COLUMN()=CELL("colonne"))</formula>
    </cfRule>
  </conditionalFormatting>
  <conditionalFormatting sqref="A219">
    <cfRule type="expression" dxfId="76" priority="9" stopIfTrue="1">
      <formula>OR(ROW()=CELL("ligne"),COLUMN()=CELL("colonne"))</formula>
    </cfRule>
  </conditionalFormatting>
  <conditionalFormatting sqref="A239">
    <cfRule type="expression" dxfId="75" priority="11" stopIfTrue="1">
      <formula>OR(ROW()=CELL("ligne"),COLUMN()=CELL("colonne"))</formula>
    </cfRule>
  </conditionalFormatting>
  <conditionalFormatting sqref="A342">
    <cfRule type="expression" dxfId="74" priority="4" stopIfTrue="1">
      <formula>OR(ROW()=CELL("ligne"),COLUMN()=CELL("colonne"))</formula>
    </cfRule>
  </conditionalFormatting>
  <conditionalFormatting sqref="A479">
    <cfRule type="expression" dxfId="73" priority="3" stopIfTrue="1">
      <formula>OR(ROW()=CELL("ligne"),COLUMN()=CELL("colonne"))</formula>
    </cfRule>
  </conditionalFormatting>
  <conditionalFormatting sqref="G184:G185">
    <cfRule type="expression" dxfId="72" priority="6" stopIfTrue="1">
      <formula>OR(ROW()=CELL("ligne"),COLUMN()=CELL("colonne"))</formula>
    </cfRule>
  </conditionalFormatting>
  <conditionalFormatting sqref="G199:G200">
    <cfRule type="expression" dxfId="71" priority="5" stopIfTrue="1">
      <formula>OR(ROW()=CELL("ligne"),COLUMN()=CELL("colonne"))</formula>
    </cfRule>
  </conditionalFormatting>
  <conditionalFormatting sqref="G342">
    <cfRule type="expression" dxfId="70" priority="17" stopIfTrue="1">
      <formula>OR(ROW()=CELL("ligne"),COLUMN()=CELL("colonne"))</formula>
    </cfRule>
  </conditionalFormatting>
  <conditionalFormatting sqref="I52">
    <cfRule type="expression" dxfId="69" priority="20" stopIfTrue="1">
      <formula>OR(ROW()=CELL("ligne"),COLUMN()=CELL("colonne"))</formula>
    </cfRule>
  </conditionalFormatting>
  <conditionalFormatting sqref="M219">
    <cfRule type="expression" dxfId="68" priority="12" stopIfTrue="1">
      <formula>OR(ROW()=CELL("ligne"),COLUMN()=CELL("colonne"))</formula>
    </cfRule>
  </conditionalFormatting>
  <conditionalFormatting sqref="M231">
    <cfRule type="expression" dxfId="67" priority="10" stopIfTrue="1">
      <formula>OR(ROW()=CELL("ligne"),COLUMN()=CELL("colonne"))</formula>
    </cfRule>
  </conditionalFormatting>
  <hyperlinks>
    <hyperlink ref="K53" r:id="rId1" xr:uid="{4F313C67-CA2F-4B27-A48E-ADEA247EC7D3}"/>
    <hyperlink ref="C80" r:id="rId2" xr:uid="{7D70774B-8394-4610-98C0-1AD94D3EF02C}"/>
    <hyperlink ref="C82" r:id="rId3" xr:uid="{C8E7CB0E-6D94-4FF0-A563-9F1271EC25F6}"/>
    <hyperlink ref="C85" r:id="rId4" xr:uid="{D2F7D8B0-158B-4BD4-8969-E8977E53E1F6}"/>
    <hyperlink ref="C87" r:id="rId5" xr:uid="{0938B95C-7270-4966-A52A-50717E134776}"/>
    <hyperlink ref="C137" r:id="rId6" xr:uid="{E84CD14E-ED9B-4C0E-AE83-BAE3C845137A}"/>
    <hyperlink ref="E137" r:id="rId7" xr:uid="{A33A48FB-6DC4-4DC7-BB1C-B650EB2B3700}"/>
    <hyperlink ref="G137" r:id="rId8" xr:uid="{EF2EB3B1-65BA-43FF-8CB1-F0EFE2FBF4D9}"/>
    <hyperlink ref="H373" r:id="rId9" xr:uid="{E383B006-3672-48FA-BBBC-A456B65833BF}"/>
    <hyperlink ref="H372" r:id="rId10" display="feuilles de gélatine - Le Salon du Blog Culinaire" xr:uid="{266694F9-D82A-4EDE-9727-78ECC358B37F}"/>
    <hyperlink ref="H374" r:id="rId11" xr:uid="{04890F8A-D173-4509-A0CD-933EEF59A23C}"/>
    <hyperlink ref="E398" r:id="rId12" xr:uid="{8B8AC5E5-62E6-4E19-8D21-7C9897763854}"/>
    <hyperlink ref="C89" r:id="rId13" xr:uid="{13830BAB-9831-4B9F-B6BD-A6B6E02D5570}"/>
    <hyperlink ref="C91" r:id="rId14" xr:uid="{A27BB703-E7B3-47C5-837E-C9BB05971B99}"/>
  </hyperlinks>
  <pageMargins left="0.7" right="0.7" top="0.75" bottom="0.75" header="0.3" footer="0.3"/>
  <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42018-587C-4C34-8CE3-2B2C33CF27C9}">
  <dimension ref="A2:Q163"/>
  <sheetViews>
    <sheetView workbookViewId="0">
      <selection activeCell="B97" sqref="B97"/>
    </sheetView>
  </sheetViews>
  <sheetFormatPr baseColWidth="10" defaultColWidth="11.42578125" defaultRowHeight="15.75"/>
  <cols>
    <col min="1" max="1" width="6.85546875" style="530" customWidth="1"/>
    <col min="2" max="2" width="16.7109375" style="530" customWidth="1"/>
    <col min="3" max="3" width="11.42578125" style="530"/>
    <col min="4" max="4" width="16.85546875" style="530" customWidth="1"/>
    <col min="5" max="5" width="11.42578125" style="530"/>
    <col min="6" max="6" width="14.42578125" style="530" customWidth="1"/>
    <col min="7" max="10" width="11.42578125" style="530"/>
    <col min="11" max="11" width="13.42578125" style="530" customWidth="1"/>
    <col min="12" max="12" width="11.42578125" style="530"/>
    <col min="13" max="13" width="18.7109375" style="530" customWidth="1"/>
    <col min="14" max="14" width="11.42578125" style="530"/>
    <col min="15" max="15" width="13.85546875" style="530" customWidth="1"/>
    <col min="16" max="16384" width="11.42578125" style="530"/>
  </cols>
  <sheetData>
    <row r="2" spans="1:17" s="1724" customFormat="1" ht="33.75">
      <c r="A2" s="1722">
        <f>(ROW())</f>
        <v>2</v>
      </c>
      <c r="B2" s="8363" t="s">
        <v>3390</v>
      </c>
      <c r="C2" s="8363"/>
      <c r="D2" s="8363"/>
      <c r="E2" s="8363"/>
      <c r="F2" s="8363"/>
      <c r="G2" s="8363"/>
      <c r="H2" s="8363"/>
      <c r="I2" s="8363"/>
      <c r="J2" s="8363"/>
      <c r="K2" s="8363"/>
      <c r="L2" s="8363"/>
      <c r="M2" s="8363"/>
      <c r="N2" s="8363"/>
      <c r="O2" s="8363"/>
      <c r="P2" s="8363"/>
      <c r="Q2" s="8363"/>
    </row>
    <row r="3" spans="1:17" s="1724" customFormat="1" ht="18.75">
      <c r="A3" s="1744"/>
      <c r="B3" s="2487"/>
      <c r="C3" s="2488"/>
      <c r="D3" s="2488"/>
      <c r="E3" s="2488"/>
      <c r="F3" s="2488"/>
      <c r="G3" s="2488"/>
      <c r="H3" s="829"/>
      <c r="I3" s="829"/>
      <c r="J3" s="829"/>
      <c r="K3" s="829"/>
      <c r="L3" s="829"/>
      <c r="M3" s="829"/>
      <c r="N3" s="829"/>
      <c r="O3" s="829"/>
      <c r="P3" s="1743" t="s">
        <v>3064</v>
      </c>
      <c r="Q3" s="9" t="str">
        <f>Q163</f>
        <v>Q163</v>
      </c>
    </row>
    <row r="4" spans="1:17" s="1724" customFormat="1" ht="27" customHeight="1">
      <c r="A4" s="2489" t="s">
        <v>252</v>
      </c>
      <c r="B4" s="8326" t="s">
        <v>3090</v>
      </c>
      <c r="C4" s="8326"/>
      <c r="D4" s="8326"/>
      <c r="E4" s="8326"/>
      <c r="F4" s="8326"/>
      <c r="G4" s="8326"/>
      <c r="H4" s="8326"/>
      <c r="I4" s="8326"/>
      <c r="J4" s="8326"/>
      <c r="K4" s="8326"/>
      <c r="L4" s="8326"/>
      <c r="M4" s="8326"/>
      <c r="N4" s="8326"/>
      <c r="O4" s="8326"/>
      <c r="P4" s="8326"/>
      <c r="Q4" s="8326"/>
    </row>
    <row r="5" spans="1:17" s="1724" customFormat="1" ht="27" customHeight="1">
      <c r="A5" s="1767"/>
      <c r="B5" s="8326"/>
      <c r="C5" s="8326"/>
      <c r="D5" s="8326"/>
      <c r="E5" s="8326"/>
      <c r="F5" s="8326"/>
      <c r="G5" s="8326"/>
      <c r="H5" s="8326"/>
      <c r="I5" s="8326"/>
      <c r="J5" s="8326"/>
      <c r="K5" s="8326"/>
      <c r="L5" s="8326"/>
      <c r="M5" s="8326"/>
      <c r="N5" s="8326"/>
      <c r="O5" s="8326"/>
      <c r="P5" s="8326"/>
      <c r="Q5" s="8326"/>
    </row>
    <row r="6" spans="1:17" s="1724" customFormat="1">
      <c r="A6" s="1744"/>
      <c r="B6" s="2487"/>
      <c r="C6" s="2488"/>
      <c r="D6" s="2488"/>
      <c r="E6" s="2488"/>
      <c r="F6" s="2488"/>
      <c r="G6" s="2488"/>
      <c r="H6" s="829"/>
      <c r="I6" s="829"/>
      <c r="J6" s="829"/>
      <c r="K6" s="829"/>
      <c r="L6" s="829"/>
      <c r="M6" s="829"/>
      <c r="N6" s="829"/>
      <c r="O6" s="829"/>
      <c r="P6" s="829"/>
      <c r="Q6" s="1750" t="str">
        <f ca="1">"Page N°"&amp;_xlfn.SHEET()</f>
        <v>Page N°24</v>
      </c>
    </row>
    <row r="7" spans="1:17" s="1724" customFormat="1" ht="21">
      <c r="A7" s="1744"/>
      <c r="B7" s="2487"/>
      <c r="C7" s="1746" t="s">
        <v>748</v>
      </c>
      <c r="D7" s="1746"/>
      <c r="E7" s="829"/>
      <c r="F7" s="829"/>
      <c r="G7" s="829"/>
      <c r="H7" s="829"/>
      <c r="I7" s="829"/>
      <c r="J7" s="829"/>
      <c r="K7" s="829"/>
      <c r="L7" s="829"/>
      <c r="M7" s="829"/>
      <c r="N7" s="829"/>
      <c r="O7" s="829"/>
      <c r="P7" s="829"/>
      <c r="Q7" s="1744"/>
    </row>
    <row r="8" spans="1:17" s="1724" customFormat="1" ht="21">
      <c r="A8" s="1744"/>
      <c r="B8" s="2487"/>
      <c r="C8" s="1751" t="str">
        <f>B21</f>
        <v>B21</v>
      </c>
      <c r="D8" s="2490" t="s">
        <v>750</v>
      </c>
      <c r="E8" s="1753"/>
      <c r="F8" s="1753"/>
      <c r="G8" s="1753"/>
      <c r="H8" s="1753"/>
      <c r="I8" s="1753"/>
      <c r="J8" s="1753"/>
      <c r="K8" s="829"/>
      <c r="L8" s="829"/>
      <c r="M8" s="829"/>
      <c r="N8" s="829"/>
      <c r="O8" s="829"/>
      <c r="P8" s="829"/>
      <c r="Q8" s="1744"/>
    </row>
    <row r="9" spans="1:17" s="1724" customFormat="1">
      <c r="A9" s="1744"/>
      <c r="B9" s="2487"/>
      <c r="C9" s="2487"/>
      <c r="D9" s="2488"/>
      <c r="E9" s="2488"/>
      <c r="F9" s="2488"/>
      <c r="G9" s="2488"/>
      <c r="H9" s="829"/>
      <c r="I9" s="829"/>
      <c r="J9" s="829"/>
      <c r="K9" s="829"/>
      <c r="L9" s="829"/>
      <c r="M9" s="829"/>
      <c r="N9" s="829"/>
      <c r="O9" s="829"/>
      <c r="P9" s="829"/>
      <c r="Q9" s="1744"/>
    </row>
    <row r="10" spans="1:17" s="1724" customFormat="1" ht="21">
      <c r="A10" s="1744"/>
      <c r="B10" s="2487"/>
      <c r="C10" s="1746" t="s">
        <v>3391</v>
      </c>
      <c r="D10" s="1746"/>
      <c r="E10" s="1746" t="s">
        <v>757</v>
      </c>
      <c r="F10" s="2491"/>
      <c r="G10" s="2492"/>
      <c r="H10" s="829"/>
      <c r="I10" s="829"/>
      <c r="J10" s="1746" t="s">
        <v>756</v>
      </c>
      <c r="K10" s="1746"/>
      <c r="L10" s="1746" t="s">
        <v>757</v>
      </c>
      <c r="M10" s="2491"/>
      <c r="N10" s="2491"/>
      <c r="O10" s="2492"/>
      <c r="P10" s="829"/>
      <c r="Q10" s="1744"/>
    </row>
    <row r="11" spans="1:17" s="1724" customFormat="1" ht="21">
      <c r="A11" s="1744"/>
      <c r="B11" s="2487"/>
      <c r="C11" s="1751" t="str">
        <f>B36</f>
        <v>B36</v>
      </c>
      <c r="D11" s="2490" t="s">
        <v>750</v>
      </c>
      <c r="E11" s="1753"/>
      <c r="F11" s="1753"/>
      <c r="G11" s="1753"/>
      <c r="H11" s="829"/>
      <c r="I11" s="829"/>
      <c r="J11" s="1751" t="str">
        <f>K36</f>
        <v>K36</v>
      </c>
      <c r="K11" s="2490" t="s">
        <v>750</v>
      </c>
      <c r="L11" s="1753"/>
      <c r="M11" s="1753"/>
      <c r="N11" s="1753"/>
      <c r="O11" s="1753"/>
      <c r="P11" s="829"/>
      <c r="Q11" s="1744"/>
    </row>
    <row r="12" spans="1:17" s="1724" customFormat="1">
      <c r="A12" s="1744"/>
      <c r="B12" s="2487"/>
      <c r="C12" s="2487"/>
      <c r="D12" s="2488"/>
      <c r="E12" s="2488"/>
      <c r="F12" s="2488"/>
      <c r="G12" s="2488"/>
      <c r="H12" s="829"/>
      <c r="I12" s="829"/>
      <c r="J12" s="829"/>
      <c r="K12" s="829"/>
      <c r="L12" s="829"/>
      <c r="M12" s="829"/>
      <c r="N12" s="829"/>
      <c r="O12" s="829"/>
      <c r="P12" s="829"/>
      <c r="Q12" s="1744"/>
    </row>
    <row r="13" spans="1:17" s="1724" customFormat="1" ht="15" customHeight="1">
      <c r="A13" s="1744"/>
      <c r="B13" s="2487"/>
      <c r="C13" s="1746" t="s">
        <v>3392</v>
      </c>
      <c r="D13" s="1746"/>
      <c r="E13" s="2488"/>
      <c r="F13" s="2488"/>
      <c r="G13" s="2488"/>
      <c r="H13" s="829"/>
      <c r="I13" s="829"/>
      <c r="J13" s="1746" t="s">
        <v>3393</v>
      </c>
      <c r="K13" s="1746"/>
      <c r="L13" s="829"/>
      <c r="M13" s="829"/>
      <c r="N13" s="829"/>
      <c r="O13" s="829"/>
      <c r="P13" s="829"/>
      <c r="Q13" s="1744"/>
    </row>
    <row r="14" spans="1:17" s="1724" customFormat="1" ht="21">
      <c r="A14" s="1744"/>
      <c r="B14" s="2487"/>
      <c r="C14" s="1751" t="str">
        <f>B51</f>
        <v>B51</v>
      </c>
      <c r="D14" s="2490" t="s">
        <v>750</v>
      </c>
      <c r="E14" s="2488"/>
      <c r="F14" s="2488"/>
      <c r="G14" s="2488"/>
      <c r="H14" s="829"/>
      <c r="I14" s="829"/>
      <c r="J14" s="1751" t="str">
        <f>K51</f>
        <v>K51</v>
      </c>
      <c r="K14" s="2490" t="s">
        <v>750</v>
      </c>
      <c r="L14" s="829"/>
      <c r="M14" s="829"/>
      <c r="N14" s="829"/>
      <c r="O14" s="829"/>
      <c r="P14" s="829"/>
      <c r="Q14" s="1744"/>
    </row>
    <row r="15" spans="1:17" s="1724" customFormat="1">
      <c r="A15" s="1744"/>
      <c r="B15" s="2487"/>
      <c r="C15" s="2488"/>
      <c r="D15" s="2488"/>
      <c r="E15" s="2488"/>
      <c r="F15" s="2488"/>
      <c r="G15" s="2488"/>
      <c r="H15" s="829"/>
      <c r="I15" s="829"/>
      <c r="J15" s="829"/>
      <c r="K15" s="829"/>
      <c r="L15" s="829"/>
      <c r="M15" s="829"/>
      <c r="N15" s="829"/>
      <c r="O15" s="829"/>
      <c r="P15" s="829"/>
      <c r="Q15" s="1744"/>
    </row>
    <row r="16" spans="1:17" s="1724" customFormat="1" ht="15.75" customHeight="1">
      <c r="A16" s="1744"/>
      <c r="B16" s="2487"/>
      <c r="C16" s="1746" t="s">
        <v>3394</v>
      </c>
      <c r="D16" s="1746"/>
      <c r="E16" s="2488"/>
      <c r="F16" s="2488"/>
      <c r="G16" s="2488"/>
      <c r="H16" s="829"/>
      <c r="I16" s="829"/>
      <c r="J16" s="1746" t="s">
        <v>3395</v>
      </c>
      <c r="K16" s="1746"/>
      <c r="L16" s="829"/>
      <c r="M16" s="829"/>
      <c r="N16" s="829"/>
      <c r="O16" s="829"/>
      <c r="P16" s="829"/>
      <c r="Q16" s="1744"/>
    </row>
    <row r="17" spans="1:17" s="1724" customFormat="1" ht="21">
      <c r="A17" s="1744"/>
      <c r="B17" s="2487"/>
      <c r="C17" s="1751" t="str">
        <f>B59</f>
        <v>B59</v>
      </c>
      <c r="D17" s="2490" t="s">
        <v>750</v>
      </c>
      <c r="E17" s="2488"/>
      <c r="F17" s="2488"/>
      <c r="G17" s="2488"/>
      <c r="H17" s="829"/>
      <c r="I17" s="829"/>
      <c r="J17" s="1751" t="str">
        <f>K59</f>
        <v>K59</v>
      </c>
      <c r="K17" s="2490" t="s">
        <v>750</v>
      </c>
      <c r="L17" s="829"/>
      <c r="M17" s="829"/>
      <c r="N17" s="829"/>
      <c r="O17" s="829"/>
      <c r="P17" s="829"/>
      <c r="Q17" s="1744"/>
    </row>
    <row r="18" spans="1:17" s="1724" customFormat="1">
      <c r="A18" s="1744"/>
      <c r="B18" s="2487"/>
      <c r="C18" s="2488"/>
      <c r="D18" s="2488"/>
      <c r="E18" s="2488"/>
      <c r="F18" s="2488"/>
      <c r="G18" s="2488"/>
      <c r="H18" s="829"/>
      <c r="I18" s="829"/>
      <c r="J18" s="829"/>
      <c r="K18" s="829"/>
      <c r="L18" s="829"/>
      <c r="M18" s="829"/>
      <c r="N18" s="829"/>
      <c r="O18" s="829"/>
      <c r="P18" s="829"/>
      <c r="Q18" s="1744"/>
    </row>
    <row r="19" spans="1:17" s="1724" customFormat="1" ht="16.5" thickBot="1">
      <c r="A19" s="1744"/>
      <c r="B19" s="2487"/>
      <c r="C19" s="2488"/>
      <c r="D19" s="2488"/>
      <c r="E19" s="2488"/>
      <c r="F19" s="2488"/>
      <c r="G19" s="2488"/>
      <c r="H19" s="829"/>
      <c r="I19" s="829"/>
      <c r="J19" s="829"/>
      <c r="K19" s="829"/>
      <c r="L19" s="829"/>
      <c r="M19" s="829"/>
      <c r="N19" s="829"/>
      <c r="O19" s="829"/>
      <c r="P19" s="829"/>
      <c r="Q19" s="1744"/>
    </row>
    <row r="20" spans="1:17" s="1724" customFormat="1">
      <c r="A20" s="2493" t="s">
        <v>252</v>
      </c>
      <c r="B20" s="818"/>
      <c r="C20" s="819"/>
      <c r="D20" s="819"/>
      <c r="E20" s="819"/>
      <c r="F20" s="819"/>
      <c r="G20" s="820"/>
      <c r="H20" s="819"/>
      <c r="I20" s="819"/>
      <c r="J20" s="821" t="s">
        <v>748</v>
      </c>
      <c r="K20" s="829"/>
      <c r="L20" s="829"/>
      <c r="M20" s="829"/>
      <c r="N20" s="829"/>
      <c r="O20" s="829"/>
      <c r="P20" s="829"/>
      <c r="Q20" s="1744"/>
    </row>
    <row r="21" spans="1:17" s="1724" customFormat="1" ht="15" customHeight="1">
      <c r="A21" s="7765" t="str">
        <f>J20</f>
        <v>Prix D'ACHAT / Prix de VENTE</v>
      </c>
      <c r="B21" s="2197" t="str">
        <f>ADDRESS(ROW(),COLUMN(),4)</f>
        <v>B21</v>
      </c>
      <c r="C21" s="824" t="s">
        <v>750</v>
      </c>
      <c r="D21" s="2347"/>
      <c r="E21" s="2347"/>
      <c r="F21" s="2347"/>
      <c r="G21" s="2347"/>
      <c r="H21" s="2347"/>
      <c r="I21" s="2347"/>
      <c r="J21" s="2348"/>
      <c r="K21" s="829"/>
      <c r="L21" s="829"/>
      <c r="M21" s="829"/>
      <c r="N21" s="829"/>
      <c r="O21" s="829"/>
      <c r="P21" s="829"/>
      <c r="Q21" s="1744"/>
    </row>
    <row r="22" spans="1:17" s="1724" customFormat="1" ht="20.100000000000001" customHeight="1">
      <c r="A22" s="7765"/>
      <c r="B22" s="2494"/>
      <c r="C22" s="5439" t="s">
        <v>751</v>
      </c>
      <c r="D22" s="2495">
        <v>0.44</v>
      </c>
      <c r="E22" s="829"/>
      <c r="F22" s="5440" t="s">
        <v>751</v>
      </c>
      <c r="G22" s="2495">
        <v>100</v>
      </c>
      <c r="H22" s="829"/>
      <c r="I22" s="1607" t="s">
        <v>752</v>
      </c>
      <c r="J22" s="2496">
        <v>115</v>
      </c>
      <c r="K22" s="829"/>
      <c r="L22" s="829"/>
      <c r="M22" s="1744"/>
      <c r="N22" s="1744"/>
      <c r="O22" s="1744"/>
      <c r="P22" s="1744"/>
      <c r="Q22" s="1744"/>
    </row>
    <row r="23" spans="1:17" s="1724" customFormat="1" ht="20.100000000000001" customHeight="1">
      <c r="A23" s="7765"/>
      <c r="B23" s="2497"/>
      <c r="C23" s="1620" t="s">
        <v>753</v>
      </c>
      <c r="D23" s="2498">
        <v>60</v>
      </c>
      <c r="E23" s="829"/>
      <c r="F23" s="1620" t="s">
        <v>754</v>
      </c>
      <c r="G23" s="2499">
        <v>10</v>
      </c>
      <c r="H23" s="829"/>
      <c r="I23" s="5440" t="s">
        <v>751</v>
      </c>
      <c r="J23" s="2500">
        <v>133</v>
      </c>
      <c r="K23" s="829"/>
      <c r="L23" s="829"/>
      <c r="M23" s="1744"/>
      <c r="N23" s="1744"/>
      <c r="O23" s="1744"/>
      <c r="P23" s="1744"/>
      <c r="Q23" s="1744"/>
    </row>
    <row r="24" spans="1:17" s="1724" customFormat="1" ht="20.100000000000001" customHeight="1">
      <c r="A24" s="7765"/>
      <c r="B24" s="2501"/>
      <c r="C24" s="1613" t="s">
        <v>754</v>
      </c>
      <c r="D24" s="2502">
        <f>D22*D23%</f>
        <v>0.26400000000000001</v>
      </c>
      <c r="E24" s="829"/>
      <c r="F24" s="1624" t="s">
        <v>752</v>
      </c>
      <c r="G24" s="2502">
        <f>IF(G22=0,0,G22+G23)</f>
        <v>110</v>
      </c>
      <c r="H24" s="829"/>
      <c r="I24" s="1613" t="s">
        <v>754</v>
      </c>
      <c r="J24" s="2503">
        <f>IF(J22=0,0,IF(J23=0,0,J22-J23))</f>
        <v>-18</v>
      </c>
      <c r="K24" s="829"/>
      <c r="L24" s="829"/>
      <c r="M24" s="1744"/>
      <c r="N24" s="1744"/>
      <c r="O24" s="1744"/>
      <c r="P24" s="1744"/>
      <c r="Q24" s="1744"/>
    </row>
    <row r="25" spans="1:17" s="1724" customFormat="1" ht="20.100000000000001" customHeight="1">
      <c r="A25" s="7765"/>
      <c r="B25" s="2504"/>
      <c r="C25" s="1624" t="s">
        <v>752</v>
      </c>
      <c r="D25" s="2502">
        <f>((D22*D23)/100)+D22</f>
        <v>0.70399999999999996</v>
      </c>
      <c r="E25" s="829"/>
      <c r="F25" s="1617" t="s">
        <v>753</v>
      </c>
      <c r="G25" s="2505">
        <f>IF(G22=0,0,IF(ISBLANK(G22),0,(G23/G22)*100))</f>
        <v>10</v>
      </c>
      <c r="H25" s="829"/>
      <c r="I25" s="1617" t="s">
        <v>753</v>
      </c>
      <c r="J25" s="2506">
        <f>IF(J23=0,0,IF(ISBLANK(J23),0,(J24/J23)*100))</f>
        <v>-13.533834586466165</v>
      </c>
      <c r="K25" s="829"/>
      <c r="L25" s="829"/>
      <c r="M25" s="1744"/>
      <c r="N25" s="1744"/>
      <c r="O25" s="1744"/>
      <c r="P25" s="1744"/>
      <c r="Q25" s="1744"/>
    </row>
    <row r="26" spans="1:17" s="1724" customFormat="1" ht="20.100000000000001" customHeight="1">
      <c r="A26" s="7765"/>
      <c r="B26" s="2507"/>
      <c r="C26" s="2508"/>
      <c r="D26" s="2509"/>
      <c r="E26" s="850"/>
      <c r="F26" s="2510"/>
      <c r="G26" s="2511"/>
      <c r="H26" s="850"/>
      <c r="I26" s="2510"/>
      <c r="J26" s="2512"/>
      <c r="K26" s="829"/>
      <c r="L26" s="829"/>
      <c r="M26" s="1744"/>
      <c r="N26" s="1744"/>
      <c r="O26" s="1744"/>
      <c r="P26" s="1744"/>
      <c r="Q26" s="1744"/>
    </row>
    <row r="27" spans="1:17" s="1724" customFormat="1" ht="20.100000000000001" customHeight="1">
      <c r="A27" s="7765"/>
      <c r="B27" s="2494"/>
      <c r="C27" s="5440" t="s">
        <v>751</v>
      </c>
      <c r="D27" s="2495">
        <v>5.8970000000000002</v>
      </c>
      <c r="E27" s="829"/>
      <c r="F27" s="1607" t="s">
        <v>752</v>
      </c>
      <c r="G27" s="2499">
        <v>9.64</v>
      </c>
      <c r="H27" s="829"/>
      <c r="I27" s="1607" t="s">
        <v>752</v>
      </c>
      <c r="J27" s="2496">
        <v>100</v>
      </c>
      <c r="K27" s="829"/>
      <c r="L27" s="829"/>
      <c r="M27" s="1744"/>
      <c r="N27" s="1744"/>
      <c r="O27" s="1744"/>
      <c r="P27" s="1744"/>
      <c r="Q27" s="1744"/>
    </row>
    <row r="28" spans="1:17" s="1724" customFormat="1" ht="25.5" customHeight="1">
      <c r="A28" s="7765"/>
      <c r="B28" s="2513"/>
      <c r="C28" s="1607" t="s">
        <v>752</v>
      </c>
      <c r="D28" s="2499">
        <v>9.64</v>
      </c>
      <c r="E28" s="829"/>
      <c r="F28" s="2514" t="s">
        <v>753</v>
      </c>
      <c r="G28" s="2515">
        <v>63.5</v>
      </c>
      <c r="H28" s="829"/>
      <c r="I28" s="2516" t="s">
        <v>754</v>
      </c>
      <c r="J28" s="2496">
        <v>50</v>
      </c>
      <c r="K28" s="829"/>
      <c r="L28" s="829"/>
      <c r="M28" s="1744"/>
      <c r="N28" s="1744"/>
      <c r="O28" s="1744"/>
      <c r="P28" s="1744"/>
      <c r="Q28" s="1744"/>
    </row>
    <row r="29" spans="1:17" s="1724" customFormat="1" ht="20.100000000000001" customHeight="1">
      <c r="A29" s="7765"/>
      <c r="B29" s="2501"/>
      <c r="C29" s="1613" t="s">
        <v>754</v>
      </c>
      <c r="D29" s="2502">
        <f>IF(D27=0,0,IF(D28=0,0,D28-D27))</f>
        <v>3.7430000000000003</v>
      </c>
      <c r="E29" s="829"/>
      <c r="F29" s="1613" t="s">
        <v>754</v>
      </c>
      <c r="G29" s="2502">
        <f>G27-G30</f>
        <v>3.7439755351681958</v>
      </c>
      <c r="H29" s="829"/>
      <c r="I29" s="1624" t="s">
        <v>751</v>
      </c>
      <c r="J29" s="2503">
        <f>IF(J27=0,0,IF(ISBLANK(J27),0,J27-J28))</f>
        <v>50</v>
      </c>
      <c r="K29" s="829"/>
      <c r="L29" s="829"/>
      <c r="M29" s="1744"/>
      <c r="N29" s="1744"/>
      <c r="O29" s="1744"/>
      <c r="P29" s="1744"/>
      <c r="Q29" s="1744"/>
    </row>
    <row r="30" spans="1:17" s="1724" customFormat="1" ht="20.100000000000001" customHeight="1">
      <c r="A30" s="7765"/>
      <c r="B30" s="2517"/>
      <c r="C30" s="2518" t="s">
        <v>753</v>
      </c>
      <c r="D30" s="2519">
        <f>IF(D27=0,0,IF(ISBLANK(D27),0,(D29/D27)*100))</f>
        <v>63.472952348651859</v>
      </c>
      <c r="E30" s="829"/>
      <c r="F30" s="2520" t="s">
        <v>751</v>
      </c>
      <c r="G30" s="2521">
        <f>(G27/(100+G28)*100)</f>
        <v>5.8960244648318048</v>
      </c>
      <c r="H30" s="829"/>
      <c r="I30" s="2518" t="s">
        <v>753</v>
      </c>
      <c r="J30" s="2522">
        <f>IF(J29=0,0,IF(ISBLANK(J28),0,(J28/J29)*100))</f>
        <v>100</v>
      </c>
      <c r="K30" s="829"/>
      <c r="L30" s="829"/>
      <c r="M30" s="1744"/>
      <c r="N30" s="1744"/>
      <c r="O30" s="1744"/>
      <c r="P30" s="1744"/>
      <c r="Q30" s="1744"/>
    </row>
    <row r="31" spans="1:17" s="1724" customFormat="1" ht="20.100000000000001" customHeight="1">
      <c r="A31" s="7765"/>
      <c r="B31" s="8449" t="s">
        <v>3306</v>
      </c>
      <c r="C31" s="8450"/>
      <c r="D31" s="8450"/>
      <c r="E31" s="8450"/>
      <c r="F31" s="8450"/>
      <c r="G31" s="8450"/>
      <c r="H31" s="8450"/>
      <c r="I31" s="8450"/>
      <c r="J31" s="8450"/>
      <c r="K31" s="829"/>
      <c r="L31" s="829"/>
      <c r="M31" s="1744"/>
      <c r="N31" s="1744"/>
      <c r="O31" s="1744"/>
      <c r="P31" s="1744"/>
      <c r="Q31" s="1744"/>
    </row>
    <row r="32" spans="1:17" s="1724" customFormat="1" ht="15">
      <c r="A32" s="1744"/>
      <c r="B32" s="2523"/>
      <c r="C32" s="2523"/>
      <c r="D32" s="2523"/>
      <c r="E32" s="2523"/>
      <c r="F32" s="2523"/>
      <c r="G32" s="2523"/>
      <c r="H32" s="829"/>
      <c r="I32" s="2524"/>
      <c r="J32" s="2524"/>
      <c r="K32" s="2525"/>
      <c r="L32" s="2525"/>
      <c r="M32" s="2524"/>
      <c r="N32" s="1744"/>
      <c r="O32" s="1744"/>
      <c r="P32" s="1744"/>
      <c r="Q32" s="1744"/>
    </row>
    <row r="33" spans="1:17" s="1724" customFormat="1" ht="15">
      <c r="A33" s="1744"/>
      <c r="B33" s="2523"/>
      <c r="C33" s="2523"/>
      <c r="D33" s="2523"/>
      <c r="E33" s="2523"/>
      <c r="F33" s="2523"/>
      <c r="G33" s="2523"/>
      <c r="H33" s="829"/>
      <c r="I33" s="2524"/>
      <c r="J33" s="2524"/>
      <c r="K33" s="2525"/>
      <c r="L33" s="2525"/>
      <c r="M33" s="2524"/>
      <c r="N33" s="1744"/>
      <c r="O33" s="1744"/>
      <c r="P33" s="1744"/>
      <c r="Q33" s="1744"/>
    </row>
    <row r="34" spans="1:17" s="1724" customFormat="1" ht="15">
      <c r="A34" s="1744"/>
      <c r="B34" s="2526">
        <v>15</v>
      </c>
      <c r="C34" s="2526">
        <v>15</v>
      </c>
      <c r="D34" s="2526">
        <v>15</v>
      </c>
      <c r="E34" s="2526">
        <v>15</v>
      </c>
      <c r="F34" s="2526">
        <v>15</v>
      </c>
      <c r="G34" s="2526">
        <v>15</v>
      </c>
      <c r="H34" s="1744"/>
      <c r="I34" s="1744"/>
      <c r="J34" s="2527" t="s">
        <v>3396</v>
      </c>
      <c r="K34" s="2526">
        <v>15</v>
      </c>
      <c r="L34" s="2526">
        <v>15</v>
      </c>
      <c r="M34" s="2526">
        <v>15</v>
      </c>
      <c r="N34" s="2526">
        <v>15</v>
      </c>
      <c r="O34" s="2526">
        <v>15</v>
      </c>
      <c r="P34" s="2526">
        <v>15</v>
      </c>
      <c r="Q34" s="2528" t="s">
        <v>3396</v>
      </c>
    </row>
    <row r="35" spans="1:17" s="1724" customFormat="1" ht="18.75">
      <c r="A35" s="2493" t="s">
        <v>252</v>
      </c>
      <c r="B35" s="2529" t="s">
        <v>3391</v>
      </c>
      <c r="C35" s="2530"/>
      <c r="D35" s="2530"/>
      <c r="E35" s="2530"/>
      <c r="F35" s="2530"/>
      <c r="G35" s="2531" t="s">
        <v>757</v>
      </c>
      <c r="H35" s="1744"/>
      <c r="I35" s="1744"/>
      <c r="J35" s="2493" t="s">
        <v>252</v>
      </c>
      <c r="K35" s="2532" t="s">
        <v>756</v>
      </c>
      <c r="L35" s="2530"/>
      <c r="M35" s="2530"/>
      <c r="N35" s="2530"/>
      <c r="O35" s="2530"/>
      <c r="P35" s="2531" t="s">
        <v>757</v>
      </c>
      <c r="Q35" s="1744"/>
    </row>
    <row r="36" spans="1:17" s="1724" customFormat="1" ht="19.5" customHeight="1">
      <c r="A36" s="7800" t="str">
        <f>B35</f>
        <v>Aide à la décision en Gr</v>
      </c>
      <c r="B36" s="2197" t="str">
        <f>ADDRESS(ROW(),COLUMN(),4)</f>
        <v>B36</v>
      </c>
      <c r="C36" s="824" t="s">
        <v>750</v>
      </c>
      <c r="D36" s="2347"/>
      <c r="E36" s="2347"/>
      <c r="F36" s="2347"/>
      <c r="G36" s="2444"/>
      <c r="H36" s="1744"/>
      <c r="I36" s="1744"/>
      <c r="J36" s="7800" t="str">
        <f>K35</f>
        <v>Aide à la décision en Kg</v>
      </c>
      <c r="K36" s="2197" t="str">
        <f>ADDRESS(ROW(),COLUMN(),4)</f>
        <v>K36</v>
      </c>
      <c r="L36" s="824" t="s">
        <v>750</v>
      </c>
      <c r="M36" s="2347"/>
      <c r="N36" s="2347"/>
      <c r="O36" s="2347"/>
      <c r="P36" s="2444"/>
      <c r="Q36" s="1744"/>
    </row>
    <row r="37" spans="1:17" s="1724" customFormat="1" ht="19.5" customHeight="1">
      <c r="A37" s="7800"/>
      <c r="B37" s="5435" t="s">
        <v>759</v>
      </c>
      <c r="C37" s="2533">
        <v>1000</v>
      </c>
      <c r="D37" s="5441" t="s">
        <v>759</v>
      </c>
      <c r="E37" s="2533">
        <v>1000</v>
      </c>
      <c r="F37" s="5435" t="s">
        <v>759</v>
      </c>
      <c r="G37" s="2533">
        <v>100</v>
      </c>
      <c r="H37" s="1744"/>
      <c r="I37" s="1744"/>
      <c r="J37" s="7800"/>
      <c r="K37" s="5435" t="s">
        <v>759</v>
      </c>
      <c r="L37" s="2534">
        <v>1</v>
      </c>
      <c r="M37" s="5441" t="s">
        <v>759</v>
      </c>
      <c r="N37" s="2534">
        <v>1</v>
      </c>
      <c r="O37" s="5435" t="s">
        <v>759</v>
      </c>
      <c r="P37" s="2534">
        <v>1</v>
      </c>
      <c r="Q37" s="1744"/>
    </row>
    <row r="38" spans="1:17" s="1724" customFormat="1">
      <c r="A38" s="7800"/>
      <c r="B38" s="2535" t="s">
        <v>762</v>
      </c>
      <c r="C38" s="2536">
        <v>2000</v>
      </c>
      <c r="D38" s="2537" t="s">
        <v>763</v>
      </c>
      <c r="E38" s="2536">
        <v>327</v>
      </c>
      <c r="F38" s="2535" t="s">
        <v>764</v>
      </c>
      <c r="G38" s="2538">
        <v>40</v>
      </c>
      <c r="H38" s="1744"/>
      <c r="I38" s="1744"/>
      <c r="J38" s="7800"/>
      <c r="K38" s="2535" t="s">
        <v>762</v>
      </c>
      <c r="L38" s="2539">
        <v>2</v>
      </c>
      <c r="M38" s="2537" t="s">
        <v>763</v>
      </c>
      <c r="N38" s="2539">
        <v>2</v>
      </c>
      <c r="O38" s="2535" t="s">
        <v>764</v>
      </c>
      <c r="P38" s="2538">
        <v>50</v>
      </c>
      <c r="Q38" s="1744"/>
    </row>
    <row r="39" spans="1:17" s="1724" customFormat="1">
      <c r="A39" s="7800"/>
      <c r="B39" s="2540" t="s">
        <v>765</v>
      </c>
      <c r="C39" s="2541">
        <f>IF(C37=0,0,IF(C38=0,0,C38-C37))</f>
        <v>1000</v>
      </c>
      <c r="D39" s="2540" t="s">
        <v>766</v>
      </c>
      <c r="E39" s="2541">
        <f>IF(E37=0,0,E37+E38)</f>
        <v>1327</v>
      </c>
      <c r="F39" s="2540" t="s">
        <v>765</v>
      </c>
      <c r="G39" s="2542">
        <f>G40*G38%</f>
        <v>66.666666666666671</v>
      </c>
      <c r="H39" s="1744"/>
      <c r="I39" s="1744"/>
      <c r="J39" s="7800"/>
      <c r="K39" s="2540" t="s">
        <v>765</v>
      </c>
      <c r="L39" s="2543">
        <f>IF(L37=0,0,IF(L38=0,0,L38-L37))</f>
        <v>1</v>
      </c>
      <c r="M39" s="2540" t="s">
        <v>766</v>
      </c>
      <c r="N39" s="2543">
        <f>IF(N37=0,0,N37+N38)</f>
        <v>3</v>
      </c>
      <c r="O39" s="2540" t="s">
        <v>765</v>
      </c>
      <c r="P39" s="2543">
        <f>P40*P38%</f>
        <v>1</v>
      </c>
      <c r="Q39" s="1744"/>
    </row>
    <row r="40" spans="1:17" s="1724" customFormat="1">
      <c r="A40" s="7800"/>
      <c r="B40" s="2544" t="s">
        <v>768</v>
      </c>
      <c r="C40" s="2545">
        <f>IF(C37=0,0,IF(C38=0,0,C39/C38))</f>
        <v>0.5</v>
      </c>
      <c r="D40" s="2544" t="s">
        <v>768</v>
      </c>
      <c r="E40" s="2545">
        <f>IF(E37=0,0,E38/E39)</f>
        <v>0.24642049736247174</v>
      </c>
      <c r="F40" s="2540" t="s">
        <v>766</v>
      </c>
      <c r="G40" s="2542">
        <f>G37/(100-G38)*100</f>
        <v>166.66666666666669</v>
      </c>
      <c r="H40" s="1744"/>
      <c r="I40" s="1744"/>
      <c r="J40" s="7800"/>
      <c r="K40" s="2544" t="s">
        <v>768</v>
      </c>
      <c r="L40" s="2545">
        <f>IF(L37=0,0,IF(L38=0,0,L39/L38))</f>
        <v>0.5</v>
      </c>
      <c r="M40" s="2544" t="s">
        <v>768</v>
      </c>
      <c r="N40" s="2545">
        <f>IF(N37=0,0,N38/N39)</f>
        <v>0.66666666666666663</v>
      </c>
      <c r="O40" s="2540" t="s">
        <v>766</v>
      </c>
      <c r="P40" s="2546">
        <f>P37/(100-P38)*100</f>
        <v>2</v>
      </c>
      <c r="Q40" s="1744"/>
    </row>
    <row r="41" spans="1:17" s="1724" customFormat="1">
      <c r="A41" s="7800"/>
      <c r="B41" s="2547" t="s">
        <v>762</v>
      </c>
      <c r="C41" s="2536">
        <v>1780</v>
      </c>
      <c r="D41" s="2548" t="s">
        <v>762</v>
      </c>
      <c r="E41" s="2536">
        <v>2310</v>
      </c>
      <c r="F41" s="2549" t="s">
        <v>762</v>
      </c>
      <c r="G41" s="2550">
        <v>500</v>
      </c>
      <c r="H41" s="1744"/>
      <c r="I41" s="1744"/>
      <c r="J41" s="7800"/>
      <c r="K41" s="2547" t="s">
        <v>762</v>
      </c>
      <c r="L41" s="2551">
        <v>2</v>
      </c>
      <c r="M41" s="2548" t="s">
        <v>762</v>
      </c>
      <c r="N41" s="2552">
        <v>2</v>
      </c>
      <c r="O41" s="2548" t="s">
        <v>762</v>
      </c>
      <c r="P41" s="2551">
        <v>1</v>
      </c>
      <c r="Q41" s="1744"/>
    </row>
    <row r="42" spans="1:17" s="1724" customFormat="1">
      <c r="A42" s="7800"/>
      <c r="B42" s="5435" t="s">
        <v>759</v>
      </c>
      <c r="C42" s="2533">
        <v>1000</v>
      </c>
      <c r="D42" s="5436" t="s">
        <v>763</v>
      </c>
      <c r="E42" s="2533">
        <v>720</v>
      </c>
      <c r="F42" s="5436" t="s">
        <v>764</v>
      </c>
      <c r="G42" s="2553">
        <v>50</v>
      </c>
      <c r="H42" s="1744"/>
      <c r="I42" s="1744"/>
      <c r="J42" s="7800"/>
      <c r="K42" s="5435" t="s">
        <v>759</v>
      </c>
      <c r="L42" s="2554">
        <v>1</v>
      </c>
      <c r="M42" s="5436" t="s">
        <v>763</v>
      </c>
      <c r="N42" s="2554">
        <v>1</v>
      </c>
      <c r="O42" s="5436" t="s">
        <v>764</v>
      </c>
      <c r="P42" s="2553">
        <v>50</v>
      </c>
      <c r="Q42" s="1744"/>
    </row>
    <row r="43" spans="1:17" s="1724" customFormat="1">
      <c r="A43" s="7800"/>
      <c r="B43" s="2540" t="s">
        <v>765</v>
      </c>
      <c r="C43" s="2541">
        <f>IF(C41=0,0,IF(C42=0,0,C41-C42))</f>
        <v>780</v>
      </c>
      <c r="D43" s="2540" t="s">
        <v>773</v>
      </c>
      <c r="E43" s="2541">
        <f>IF(E41=0,0,IF(E42=0,0,E41-E42))</f>
        <v>1590</v>
      </c>
      <c r="F43" s="2540" t="s">
        <v>765</v>
      </c>
      <c r="G43" s="2541">
        <f>G41*G42%</f>
        <v>250</v>
      </c>
      <c r="H43" s="1744"/>
      <c r="I43" s="1744"/>
      <c r="J43" s="7800"/>
      <c r="K43" s="2540" t="s">
        <v>765</v>
      </c>
      <c r="L43" s="2543">
        <f>IF(L41=0,0,IF(L42=0,0,L41-L42))</f>
        <v>1</v>
      </c>
      <c r="M43" s="2540" t="s">
        <v>773</v>
      </c>
      <c r="N43" s="2543">
        <f>IF(N41=0,0,IF(N42=0,0,N41-N42))</f>
        <v>1</v>
      </c>
      <c r="O43" s="2540" t="s">
        <v>765</v>
      </c>
      <c r="P43" s="2543">
        <f>P41*P42%</f>
        <v>0.5</v>
      </c>
      <c r="Q43" s="1744"/>
    </row>
    <row r="44" spans="1:17" s="1724" customFormat="1">
      <c r="A44" s="7800"/>
      <c r="B44" s="2544" t="s">
        <v>768</v>
      </c>
      <c r="C44" s="2545">
        <f>IF(C41=0,0,C43/C41)</f>
        <v>0.43820224719101125</v>
      </c>
      <c r="D44" s="2544" t="s">
        <v>768</v>
      </c>
      <c r="E44" s="2545">
        <f>IF(E41=0,0,IF(E42=0,0,E42/E41))</f>
        <v>0.31168831168831168</v>
      </c>
      <c r="F44" s="2544" t="s">
        <v>773</v>
      </c>
      <c r="G44" s="2555">
        <f>G41-G43</f>
        <v>250</v>
      </c>
      <c r="H44" s="1744"/>
      <c r="I44" s="1744"/>
      <c r="J44" s="7800"/>
      <c r="K44" s="2544" t="s">
        <v>768</v>
      </c>
      <c r="L44" s="2545">
        <f>IF(L41=0,0,L43/L41)</f>
        <v>0.5</v>
      </c>
      <c r="M44" s="2544" t="s">
        <v>768</v>
      </c>
      <c r="N44" s="2545">
        <f>IF(N41=0,0,IF(N42=0,0,N42/N41))</f>
        <v>0.5</v>
      </c>
      <c r="O44" s="2544" t="s">
        <v>773</v>
      </c>
      <c r="P44" s="2556">
        <f>P41-P43</f>
        <v>0.5</v>
      </c>
      <c r="Q44" s="1744"/>
    </row>
    <row r="45" spans="1:17" s="1724" customFormat="1" ht="15">
      <c r="A45" s="7800"/>
      <c r="B45" s="8451" t="s">
        <v>3306</v>
      </c>
      <c r="C45" s="8452"/>
      <c r="D45" s="8452"/>
      <c r="E45" s="8452"/>
      <c r="F45" s="8452"/>
      <c r="G45" s="8452"/>
      <c r="H45" s="1744"/>
      <c r="I45" s="1744"/>
      <c r="J45" s="7800"/>
      <c r="K45" s="8451" t="s">
        <v>3306</v>
      </c>
      <c r="L45" s="8452"/>
      <c r="M45" s="8452"/>
      <c r="N45" s="8452"/>
      <c r="O45" s="8452"/>
      <c r="P45" s="8452"/>
      <c r="Q45" s="1744"/>
    </row>
    <row r="46" spans="1:17" s="1724" customFormat="1" ht="15">
      <c r="A46" s="2523"/>
      <c r="B46" s="2523"/>
      <c r="C46" s="2523"/>
      <c r="D46" s="2523"/>
      <c r="E46" s="2523"/>
      <c r="F46" s="2523"/>
      <c r="G46" s="2523"/>
      <c r="H46" s="829"/>
      <c r="I46" s="2524"/>
      <c r="J46" s="2524"/>
      <c r="K46" s="2525"/>
      <c r="L46" s="2525"/>
      <c r="M46" s="2524"/>
      <c r="N46" s="2524"/>
      <c r="O46" s="1744"/>
      <c r="P46" s="1744"/>
      <c r="Q46" s="829"/>
    </row>
    <row r="47" spans="1:17" s="1724" customFormat="1">
      <c r="A47" s="1744"/>
      <c r="B47" s="2557"/>
      <c r="C47" s="1744"/>
      <c r="D47" s="2558"/>
      <c r="E47" s="2558"/>
      <c r="F47" s="2523"/>
      <c r="G47" s="2523"/>
      <c r="H47" s="829"/>
      <c r="I47" s="1744"/>
      <c r="J47" s="2559"/>
      <c r="K47" s="2559"/>
      <c r="L47" s="2559"/>
      <c r="M47" s="2559"/>
      <c r="N47" s="2559"/>
      <c r="O47" s="1744"/>
      <c r="P47" s="1744"/>
      <c r="Q47" s="1744"/>
    </row>
    <row r="48" spans="1:17" s="1724" customFormat="1" ht="16.5" thickBot="1">
      <c r="A48" s="1744"/>
      <c r="B48" s="2557"/>
      <c r="C48" s="1744"/>
      <c r="D48" s="2558" t="s">
        <v>3397</v>
      </c>
      <c r="E48" s="2560"/>
      <c r="F48" s="2523"/>
      <c r="G48" s="2523"/>
      <c r="H48" s="829"/>
      <c r="I48" s="1744"/>
      <c r="J48" s="2559"/>
      <c r="K48" s="1744"/>
      <c r="L48" s="1744"/>
      <c r="M48" s="1744"/>
      <c r="N48" s="1744"/>
      <c r="O48" s="2560"/>
      <c r="P48" s="1744"/>
      <c r="Q48" s="1744"/>
    </row>
    <row r="49" spans="1:17" s="1724" customFormat="1">
      <c r="A49" s="2493" t="s">
        <v>252</v>
      </c>
      <c r="B49" s="8427" t="s">
        <v>3392</v>
      </c>
      <c r="C49" s="8428"/>
      <c r="D49" s="5434" t="s">
        <v>3392</v>
      </c>
      <c r="E49" s="2559"/>
      <c r="F49" s="2523"/>
      <c r="G49" s="2523"/>
      <c r="H49" s="829"/>
      <c r="I49" s="1744"/>
      <c r="J49" s="2493" t="s">
        <v>252</v>
      </c>
      <c r="K49" s="8427" t="s">
        <v>3393</v>
      </c>
      <c r="L49" s="8428"/>
      <c r="M49" s="5434" t="s">
        <v>3393</v>
      </c>
      <c r="O49" s="2559"/>
      <c r="P49" s="1744"/>
      <c r="Q49" s="1744"/>
    </row>
    <row r="50" spans="1:17" s="1724" customFormat="1">
      <c r="A50" s="8431" t="str">
        <f>B49</f>
        <v>Pour prendre, par exemple, le 5 % de 87 Kg</v>
      </c>
      <c r="B50" s="8429"/>
      <c r="C50" s="8430"/>
      <c r="D50" s="2559" t="s">
        <v>3398</v>
      </c>
      <c r="E50" s="2559"/>
      <c r="F50" s="2523"/>
      <c r="G50" s="2523"/>
      <c r="H50" s="829"/>
      <c r="I50" s="1744"/>
      <c r="J50" s="8432" t="str">
        <f>K49</f>
        <v>Pour déduire, par exemple, le 5 % de 87 Kg</v>
      </c>
      <c r="K50" s="8429"/>
      <c r="L50" s="8430"/>
      <c r="M50" s="2559" t="s">
        <v>3399</v>
      </c>
      <c r="O50" s="2558"/>
      <c r="P50" s="1744"/>
      <c r="Q50" s="1744"/>
    </row>
    <row r="51" spans="1:17" s="1724" customFormat="1">
      <c r="A51" s="8431"/>
      <c r="B51" s="2561" t="str">
        <f>ADDRESS(ROW(),COLUMN(),4)</f>
        <v>B51</v>
      </c>
      <c r="C51" s="2562" t="s">
        <v>750</v>
      </c>
      <c r="D51" s="2559" t="s">
        <v>3400</v>
      </c>
      <c r="E51" s="2559"/>
      <c r="F51" s="2523"/>
      <c r="G51" s="2523"/>
      <c r="H51" s="829"/>
      <c r="I51" s="1744"/>
      <c r="J51" s="8432"/>
      <c r="K51" s="2561" t="str">
        <f>ADDRESS(ROW(),COLUMN(),4)</f>
        <v>K51</v>
      </c>
      <c r="L51" s="2562" t="s">
        <v>750</v>
      </c>
      <c r="M51" s="2558" t="s">
        <v>3401</v>
      </c>
      <c r="O51" s="2558"/>
      <c r="P51" s="1744"/>
      <c r="Q51" s="1744"/>
    </row>
    <row r="52" spans="1:17" s="1724" customFormat="1">
      <c r="A52" s="8431"/>
      <c r="B52" s="2563" t="s">
        <v>762</v>
      </c>
      <c r="C52" s="2564">
        <v>87</v>
      </c>
      <c r="D52" s="2558" t="s">
        <v>3402</v>
      </c>
      <c r="E52" s="2558"/>
      <c r="F52" s="2523"/>
      <c r="G52" s="2523"/>
      <c r="H52" s="829"/>
      <c r="I52" s="1744"/>
      <c r="J52" s="8432"/>
      <c r="K52" s="2563" t="s">
        <v>762</v>
      </c>
      <c r="L52" s="2565">
        <v>87</v>
      </c>
      <c r="M52" s="2559" t="s">
        <v>3403</v>
      </c>
      <c r="O52" s="2559"/>
      <c r="P52" s="1744"/>
      <c r="Q52" s="1744"/>
    </row>
    <row r="53" spans="1:17" s="1724" customFormat="1">
      <c r="A53" s="8431"/>
      <c r="B53" s="5438" t="s">
        <v>764</v>
      </c>
      <c r="C53" s="2566">
        <v>5</v>
      </c>
      <c r="D53" s="2559" t="s">
        <v>3404</v>
      </c>
      <c r="E53" s="2559"/>
      <c r="F53" s="2523"/>
      <c r="G53" s="2523"/>
      <c r="H53" s="829"/>
      <c r="I53" s="1744"/>
      <c r="J53" s="8432"/>
      <c r="K53" s="5438" t="s">
        <v>764</v>
      </c>
      <c r="L53" s="2566">
        <v>5</v>
      </c>
      <c r="M53" s="2558" t="s">
        <v>3405</v>
      </c>
      <c r="O53" s="2558"/>
      <c r="P53" s="1744"/>
      <c r="Q53" s="1744"/>
    </row>
    <row r="54" spans="1:17" s="1724" customFormat="1">
      <c r="A54" s="8431"/>
      <c r="B54" s="2567" t="s">
        <v>3406</v>
      </c>
      <c r="C54" s="2568">
        <f>C53/100</f>
        <v>0.05</v>
      </c>
      <c r="D54" s="2559" t="s">
        <v>3407</v>
      </c>
      <c r="E54" s="2559"/>
      <c r="F54" s="2523"/>
      <c r="G54" s="2523"/>
      <c r="H54" s="829"/>
      <c r="I54" s="1744"/>
      <c r="J54" s="8432"/>
      <c r="K54" s="2567" t="s">
        <v>3406</v>
      </c>
      <c r="L54" s="2568">
        <f>(100-L53)/100</f>
        <v>0.95</v>
      </c>
      <c r="M54" s="2559" t="s">
        <v>3408</v>
      </c>
      <c r="O54" s="2559"/>
      <c r="P54" s="1744"/>
      <c r="Q54" s="1744"/>
    </row>
    <row r="55" spans="1:17" s="1724" customFormat="1" ht="16.5" thickBot="1">
      <c r="A55" s="8431"/>
      <c r="B55" s="2569" t="s">
        <v>765</v>
      </c>
      <c r="C55" s="2570">
        <f>C52*C54</f>
        <v>4.3500000000000005</v>
      </c>
      <c r="D55" s="2558" t="s">
        <v>3409</v>
      </c>
      <c r="E55" s="2558"/>
      <c r="F55" s="2523"/>
      <c r="G55" s="2523"/>
      <c r="H55" s="829"/>
      <c r="I55" s="1744"/>
      <c r="J55" s="8432"/>
      <c r="K55" s="2569" t="s">
        <v>773</v>
      </c>
      <c r="L55" s="2570">
        <f>L52*L54</f>
        <v>82.649999999999991</v>
      </c>
      <c r="M55" s="2559"/>
      <c r="N55" s="2559"/>
      <c r="O55" s="1744"/>
      <c r="P55" s="1744"/>
      <c r="Q55" s="1744"/>
    </row>
    <row r="56" spans="1:17" s="1724" customFormat="1" ht="35.25" customHeight="1" thickBot="1">
      <c r="A56" s="2557"/>
      <c r="B56" s="2557"/>
      <c r="C56" s="1744"/>
      <c r="D56" s="1744"/>
      <c r="F56" s="2523"/>
      <c r="G56" s="2523"/>
      <c r="H56" s="829"/>
      <c r="I56" s="2524"/>
      <c r="J56" s="2559"/>
      <c r="K56" s="2559"/>
      <c r="L56" s="2559"/>
      <c r="M56" s="2559"/>
      <c r="N56" s="2559"/>
      <c r="O56" s="1744"/>
      <c r="P56" s="1744"/>
      <c r="Q56" s="1744"/>
    </row>
    <row r="57" spans="1:17" s="1724" customFormat="1">
      <c r="A57" s="2493" t="s">
        <v>252</v>
      </c>
      <c r="B57" s="8433" t="s">
        <v>3394</v>
      </c>
      <c r="C57" s="8434"/>
      <c r="D57" s="2559" t="s">
        <v>3394</v>
      </c>
      <c r="E57" s="1744"/>
      <c r="F57" s="2523"/>
      <c r="G57" s="2523"/>
      <c r="H57" s="829"/>
      <c r="I57" s="2524"/>
      <c r="J57" s="2493" t="s">
        <v>252</v>
      </c>
      <c r="K57" s="8435" t="s">
        <v>3395</v>
      </c>
      <c r="L57" s="8436"/>
      <c r="M57" s="2559" t="s">
        <v>3395</v>
      </c>
      <c r="N57" s="2559"/>
      <c r="O57" s="1744"/>
      <c r="P57" s="1744"/>
      <c r="Q57" s="1744"/>
    </row>
    <row r="58" spans="1:17" s="1724" customFormat="1" ht="15">
      <c r="A58" s="7765" t="str">
        <f>B57</f>
        <v>Pour prendre 20% de 140</v>
      </c>
      <c r="B58" s="8439" t="s">
        <v>3410</v>
      </c>
      <c r="C58" s="8440"/>
      <c r="D58" s="2559" t="s">
        <v>3410</v>
      </c>
      <c r="E58" s="1744"/>
      <c r="F58" s="2523"/>
      <c r="G58" s="2523"/>
      <c r="H58" s="829"/>
      <c r="I58" s="2524"/>
      <c r="J58" s="8432" t="str">
        <f>K57</f>
        <v xml:space="preserve">Voici la formule pour calculer un pourcentage, </v>
      </c>
      <c r="K58" s="8437"/>
      <c r="L58" s="8438"/>
      <c r="M58" s="2559" t="s">
        <v>3411</v>
      </c>
      <c r="N58" s="2559"/>
      <c r="O58" s="1744"/>
      <c r="P58" s="1744"/>
      <c r="Q58" s="1744"/>
    </row>
    <row r="59" spans="1:17" s="1724" customFormat="1" ht="15">
      <c r="A59" s="7765"/>
      <c r="B59" s="2561" t="str">
        <f>ADDRESS(ROW(),COLUMN(),4)</f>
        <v>B59</v>
      </c>
      <c r="C59" s="2562" t="s">
        <v>750</v>
      </c>
      <c r="D59" s="2559" t="s">
        <v>3412</v>
      </c>
      <c r="E59" s="1744"/>
      <c r="F59" s="2523"/>
      <c r="G59" s="2523"/>
      <c r="H59" s="829"/>
      <c r="I59" s="2524"/>
      <c r="J59" s="8432"/>
      <c r="K59" s="2561" t="str">
        <f>ADDRESS(ROW(),COLUMN(),4)</f>
        <v>K59</v>
      </c>
      <c r="L59" s="2562" t="s">
        <v>750</v>
      </c>
      <c r="M59" s="2559" t="s">
        <v>3413</v>
      </c>
      <c r="N59" s="2559"/>
      <c r="O59" s="1744"/>
      <c r="P59" s="1744"/>
      <c r="Q59" s="1744"/>
    </row>
    <row r="60" spans="1:17" s="1724" customFormat="1">
      <c r="A60" s="7765"/>
      <c r="B60" s="2571" t="s">
        <v>762</v>
      </c>
      <c r="C60" s="2572">
        <v>140</v>
      </c>
      <c r="D60" s="2558" t="s">
        <v>3414</v>
      </c>
      <c r="E60" s="1744"/>
      <c r="F60" s="2523"/>
      <c r="G60" s="2523"/>
      <c r="H60" s="829"/>
      <c r="I60" s="2524"/>
      <c r="J60" s="8432"/>
      <c r="K60" s="8441" t="s">
        <v>3411</v>
      </c>
      <c r="L60" s="8442"/>
      <c r="M60" s="2559" t="s">
        <v>3415</v>
      </c>
      <c r="N60" s="2559"/>
      <c r="O60" s="1744"/>
      <c r="P60" s="1744"/>
      <c r="Q60" s="1744"/>
    </row>
    <row r="61" spans="1:17" s="1724" customFormat="1">
      <c r="A61" s="7765"/>
      <c r="B61" s="5437" t="s">
        <v>764</v>
      </c>
      <c r="C61" s="2573">
        <v>20</v>
      </c>
      <c r="D61" s="2559" t="s">
        <v>3416</v>
      </c>
      <c r="E61" s="1744"/>
      <c r="F61" s="2523"/>
      <c r="G61" s="2523"/>
      <c r="H61" s="829"/>
      <c r="I61" s="2524"/>
      <c r="J61" s="8432"/>
      <c r="K61" s="8443" t="s">
        <v>3413</v>
      </c>
      <c r="L61" s="8444"/>
      <c r="M61" s="2559" t="s">
        <v>3417</v>
      </c>
      <c r="N61" s="2559"/>
      <c r="O61" s="1744"/>
      <c r="P61" s="1744"/>
      <c r="Q61" s="1744"/>
    </row>
    <row r="62" spans="1:17" s="1724" customFormat="1">
      <c r="A62" s="7765"/>
      <c r="B62" s="2574" t="s">
        <v>765</v>
      </c>
      <c r="C62" s="2575">
        <f>(C60*C61)/100</f>
        <v>28</v>
      </c>
      <c r="D62" s="2558" t="s">
        <v>3418</v>
      </c>
      <c r="E62" s="1744"/>
      <c r="F62" s="2523"/>
      <c r="G62" s="2523"/>
      <c r="H62" s="829"/>
      <c r="I62" s="2524"/>
      <c r="J62" s="8432"/>
      <c r="K62" s="2576" t="s">
        <v>762</v>
      </c>
      <c r="L62" s="2577">
        <v>500</v>
      </c>
      <c r="M62" s="2559" t="s">
        <v>3419</v>
      </c>
      <c r="N62" s="2559"/>
      <c r="O62" s="1744"/>
      <c r="P62" s="1744"/>
      <c r="Q62" s="1744"/>
    </row>
    <row r="63" spans="1:17" s="1724" customFormat="1">
      <c r="A63" s="7765"/>
      <c r="B63" s="2574" t="s">
        <v>3406</v>
      </c>
      <c r="C63" s="2578">
        <f>C61/100</f>
        <v>0.2</v>
      </c>
      <c r="D63" s="2559" t="s">
        <v>3420</v>
      </c>
      <c r="E63" s="1744"/>
      <c r="F63" s="2523"/>
      <c r="G63" s="2523"/>
      <c r="H63" s="829"/>
      <c r="I63" s="2524"/>
      <c r="J63" s="8432"/>
      <c r="K63" s="5433" t="s">
        <v>764</v>
      </c>
      <c r="L63" s="2579">
        <v>8</v>
      </c>
      <c r="M63" s="1744"/>
      <c r="N63" s="2559"/>
      <c r="O63" s="1744"/>
      <c r="P63" s="1744"/>
      <c r="Q63" s="1744"/>
    </row>
    <row r="64" spans="1:17" s="1724" customFormat="1">
      <c r="A64" s="7765"/>
      <c r="B64" s="2567" t="s">
        <v>765</v>
      </c>
      <c r="C64" s="2580">
        <f>C60*C63</f>
        <v>28</v>
      </c>
      <c r="D64" s="2558" t="s">
        <v>3421</v>
      </c>
      <c r="E64" s="1744"/>
      <c r="F64" s="2523"/>
      <c r="G64" s="2523"/>
      <c r="H64" s="829"/>
      <c r="I64" s="2524"/>
      <c r="J64" s="8432"/>
      <c r="K64" s="2567" t="s">
        <v>765</v>
      </c>
      <c r="L64" s="2580">
        <f>L62*(L63/100)</f>
        <v>40</v>
      </c>
      <c r="M64" s="1744"/>
      <c r="N64" s="2559"/>
      <c r="O64" s="1744"/>
      <c r="P64" s="1744"/>
      <c r="Q64" s="1744"/>
    </row>
    <row r="65" spans="1:17" s="1724" customFormat="1">
      <c r="A65" s="7765"/>
      <c r="B65" s="8445" t="s">
        <v>3414</v>
      </c>
      <c r="C65" s="8446"/>
      <c r="D65" s="1744"/>
      <c r="E65" s="1744"/>
      <c r="F65" s="2523"/>
      <c r="G65" s="2523"/>
      <c r="H65" s="829"/>
      <c r="I65" s="2524"/>
      <c r="J65" s="8432"/>
      <c r="K65" s="8447" t="s">
        <v>3415</v>
      </c>
      <c r="L65" s="8448"/>
      <c r="M65" s="1744"/>
      <c r="N65" s="2559"/>
      <c r="O65" s="1744"/>
      <c r="P65" s="1744"/>
      <c r="Q65" s="1744"/>
    </row>
    <row r="66" spans="1:17" s="1724" customFormat="1" ht="15">
      <c r="A66" s="7765"/>
      <c r="B66" s="8417" t="s">
        <v>3416</v>
      </c>
      <c r="C66" s="8418"/>
      <c r="D66" s="1744"/>
      <c r="E66" s="1744"/>
      <c r="F66" s="2523"/>
      <c r="G66" s="2523"/>
      <c r="H66" s="829"/>
      <c r="I66" s="2524"/>
      <c r="J66" s="8432"/>
      <c r="K66" s="8443" t="s">
        <v>3417</v>
      </c>
      <c r="L66" s="8444"/>
      <c r="M66" s="1744"/>
      <c r="N66" s="2559"/>
      <c r="O66" s="1744"/>
      <c r="P66" s="1744"/>
      <c r="Q66" s="1744"/>
    </row>
    <row r="67" spans="1:17" s="1724" customFormat="1" ht="16.5" thickBot="1">
      <c r="A67" s="7765"/>
      <c r="B67" s="2581">
        <f>C63</f>
        <v>0.2</v>
      </c>
      <c r="C67" s="2582">
        <f>C60*B67</f>
        <v>28</v>
      </c>
      <c r="D67" s="1744"/>
      <c r="E67" s="1744"/>
      <c r="F67" s="2523"/>
      <c r="G67" s="2523"/>
      <c r="H67" s="829"/>
      <c r="I67" s="2524"/>
      <c r="J67" s="8432"/>
      <c r="K67" s="2583">
        <f>L63/100</f>
        <v>0.08</v>
      </c>
      <c r="L67" s="2584">
        <f>L62*K67</f>
        <v>40</v>
      </c>
      <c r="M67" s="2559"/>
      <c r="N67" s="2559"/>
      <c r="O67" s="1744"/>
      <c r="P67" s="1744"/>
      <c r="Q67" s="1744"/>
    </row>
    <row r="68" spans="1:17" s="1724" customFormat="1" ht="15">
      <c r="A68" s="7765"/>
      <c r="B68" s="8425" t="s">
        <v>3418</v>
      </c>
      <c r="C68" s="8426"/>
      <c r="D68" s="1744"/>
      <c r="E68" s="1744"/>
      <c r="F68" s="2523"/>
      <c r="G68" s="2523"/>
      <c r="H68" s="829"/>
      <c r="I68" s="2524"/>
      <c r="J68" s="2559"/>
      <c r="K68" s="1744"/>
      <c r="L68" s="1744"/>
      <c r="M68" s="2559"/>
      <c r="N68" s="2559"/>
      <c r="O68" s="1744"/>
      <c r="P68" s="1744"/>
      <c r="Q68" s="1744"/>
    </row>
    <row r="69" spans="1:17" s="1724" customFormat="1" ht="15.75" customHeight="1">
      <c r="A69" s="7765"/>
      <c r="B69" s="1782" t="s">
        <v>3420</v>
      </c>
      <c r="C69" s="1781"/>
      <c r="D69" s="1744"/>
      <c r="E69" s="1744"/>
      <c r="F69" s="1744"/>
      <c r="G69" s="2523"/>
      <c r="H69" s="829"/>
      <c r="I69" s="2524"/>
      <c r="J69" s="2524"/>
      <c r="K69" s="1744"/>
      <c r="L69" s="1744"/>
      <c r="M69" s="2524"/>
      <c r="N69" s="2524"/>
      <c r="O69" s="1744"/>
      <c r="P69" s="1744"/>
      <c r="Q69" s="1744"/>
    </row>
    <row r="70" spans="1:17" s="1724" customFormat="1" ht="15">
      <c r="A70" s="7765"/>
      <c r="B70" s="5433" t="s">
        <v>764</v>
      </c>
      <c r="C70" s="2579">
        <v>40</v>
      </c>
      <c r="D70" s="1744"/>
      <c r="E70" s="1744"/>
      <c r="F70" s="1744"/>
      <c r="G70" s="2523"/>
      <c r="H70" s="829"/>
      <c r="I70" s="2524"/>
      <c r="J70" s="2524"/>
      <c r="K70" s="1744"/>
      <c r="L70" s="1744"/>
      <c r="M70" s="2524"/>
      <c r="N70" s="2524"/>
      <c r="O70" s="1744"/>
      <c r="P70" s="1744"/>
      <c r="Q70" s="1744"/>
    </row>
    <row r="71" spans="1:17" s="1724" customFormat="1">
      <c r="A71" s="7765"/>
      <c r="B71" s="2581">
        <f>C70/100</f>
        <v>0.4</v>
      </c>
      <c r="C71" s="2582">
        <f>C60*B71</f>
        <v>56</v>
      </c>
      <c r="D71" s="1744"/>
      <c r="E71" s="1744"/>
      <c r="F71" s="1744"/>
      <c r="G71" s="2523"/>
      <c r="H71" s="829"/>
      <c r="I71" s="2524"/>
      <c r="J71" s="2524"/>
      <c r="K71" s="1744"/>
      <c r="L71" s="1744"/>
      <c r="M71" s="2524"/>
      <c r="N71" s="2524"/>
      <c r="O71" s="1744"/>
      <c r="P71" s="1744"/>
      <c r="Q71" s="1744"/>
    </row>
    <row r="72" spans="1:17" s="1724" customFormat="1" ht="15">
      <c r="A72" s="7765"/>
      <c r="B72" s="5433" t="s">
        <v>764</v>
      </c>
      <c r="C72" s="2579">
        <v>90</v>
      </c>
      <c r="D72" s="1744"/>
      <c r="E72" s="1744"/>
      <c r="F72" s="1744"/>
      <c r="G72" s="2523"/>
      <c r="H72" s="829"/>
      <c r="I72" s="2524"/>
      <c r="J72" s="2524"/>
      <c r="K72" s="1744"/>
      <c r="L72" s="1744"/>
      <c r="M72" s="2524"/>
      <c r="N72" s="2524"/>
      <c r="O72" s="1744"/>
      <c r="P72" s="1744"/>
      <c r="Q72" s="1744"/>
    </row>
    <row r="73" spans="1:17" s="1724" customFormat="1" ht="15">
      <c r="A73" s="7765"/>
      <c r="B73" s="8417" t="s">
        <v>3421</v>
      </c>
      <c r="C73" s="8418"/>
      <c r="D73" s="1744"/>
      <c r="E73" s="1744"/>
      <c r="F73" s="1744"/>
      <c r="G73" s="2523"/>
      <c r="H73" s="829"/>
      <c r="I73" s="2524"/>
      <c r="J73" s="2524"/>
      <c r="K73" s="1744"/>
      <c r="L73" s="1744"/>
      <c r="M73" s="2524"/>
      <c r="N73" s="2524"/>
      <c r="O73" s="1744"/>
      <c r="P73" s="1744"/>
      <c r="Q73" s="1744"/>
    </row>
    <row r="74" spans="1:17" s="1724" customFormat="1" ht="16.5" thickBot="1">
      <c r="A74" s="7765"/>
      <c r="B74" s="2585">
        <f>C72/100</f>
        <v>0.9</v>
      </c>
      <c r="C74" s="2584">
        <f>C60*B74</f>
        <v>126</v>
      </c>
      <c r="D74" s="1744"/>
      <c r="E74" s="1744"/>
      <c r="F74" s="1744"/>
      <c r="G74" s="2523"/>
      <c r="H74" s="829"/>
      <c r="I74" s="2524"/>
      <c r="J74" s="2524"/>
      <c r="K74" s="1744"/>
      <c r="L74" s="1744"/>
      <c r="M74" s="2524"/>
      <c r="N74" s="2524"/>
      <c r="O74" s="1744"/>
      <c r="P74" s="1744"/>
      <c r="Q74" s="1744"/>
    </row>
    <row r="75" spans="1:17" s="1724" customFormat="1" ht="15">
      <c r="A75" s="2523"/>
      <c r="B75" s="2523"/>
      <c r="C75" s="2523"/>
      <c r="D75" s="2523"/>
      <c r="E75" s="2523"/>
      <c r="F75" s="2523"/>
      <c r="G75" s="2523"/>
      <c r="H75" s="829"/>
      <c r="I75" s="2524"/>
      <c r="J75" s="2524"/>
      <c r="K75" s="2525"/>
      <c r="L75" s="2525"/>
      <c r="M75" s="2524"/>
      <c r="N75" s="2524"/>
      <c r="O75" s="1744"/>
      <c r="P75" s="1744"/>
      <c r="Q75" s="829"/>
    </row>
    <row r="76" spans="1:17" s="1724" customFormat="1" ht="33.75">
      <c r="A76" s="1722">
        <f>(ROW())</f>
        <v>76</v>
      </c>
      <c r="B76" s="8363" t="s">
        <v>3422</v>
      </c>
      <c r="C76" s="8363"/>
      <c r="D76" s="8363"/>
      <c r="E76" s="8363"/>
      <c r="F76" s="8363"/>
      <c r="G76" s="8363"/>
      <c r="H76" s="8363"/>
      <c r="I76" s="8363"/>
      <c r="J76" s="8363"/>
      <c r="K76" s="8363"/>
      <c r="L76" s="8363"/>
      <c r="M76" s="8363"/>
      <c r="N76" s="8363"/>
      <c r="O76" s="8363"/>
      <c r="P76" s="8363"/>
      <c r="Q76" s="8363"/>
    </row>
    <row r="77" spans="1:17" s="1724" customFormat="1" ht="15">
      <c r="A77" s="1744"/>
      <c r="B77" s="2523"/>
      <c r="C77" s="2523"/>
      <c r="D77" s="2523"/>
      <c r="E77" s="2523"/>
      <c r="F77" s="2523"/>
      <c r="G77" s="2523"/>
      <c r="H77" s="829"/>
      <c r="I77" s="2524"/>
      <c r="J77" s="2524"/>
      <c r="K77" s="2525"/>
      <c r="L77" s="2525"/>
      <c r="M77" s="2524"/>
      <c r="N77" s="2524"/>
      <c r="O77" s="1744"/>
      <c r="P77" s="1744"/>
      <c r="Q77" s="829"/>
    </row>
    <row r="78" spans="1:17" s="1724" customFormat="1" ht="15">
      <c r="A78" s="1744"/>
      <c r="B78" s="2523"/>
      <c r="C78" s="2523"/>
      <c r="D78" s="2523"/>
      <c r="E78" s="2523"/>
      <c r="F78" s="2523"/>
      <c r="G78" s="2523"/>
      <c r="H78" s="829"/>
      <c r="I78" s="2524"/>
      <c r="J78" s="2524"/>
      <c r="K78" s="2525"/>
      <c r="L78" s="2525"/>
      <c r="M78" s="2524"/>
      <c r="N78" s="2524"/>
      <c r="O78" s="1744"/>
      <c r="P78" s="1744"/>
      <c r="Q78" s="829"/>
    </row>
    <row r="79" spans="1:17" s="1724" customFormat="1" ht="21">
      <c r="A79" s="1744"/>
      <c r="B79" s="2523"/>
      <c r="C79" s="1746" t="s">
        <v>3423</v>
      </c>
      <c r="D79" s="1746"/>
      <c r="E79" s="829"/>
      <c r="F79" s="829"/>
      <c r="G79" s="829"/>
      <c r="H79" s="829"/>
      <c r="I79" s="2524"/>
      <c r="J79" s="1746" t="s">
        <v>758</v>
      </c>
      <c r="K79" s="1746"/>
      <c r="L79" s="829"/>
      <c r="M79" s="1746"/>
      <c r="N79" s="1746"/>
      <c r="O79" s="829"/>
      <c r="P79" s="1746"/>
      <c r="Q79" s="829"/>
    </row>
    <row r="80" spans="1:17" s="1724" customFormat="1" ht="21">
      <c r="A80" s="1744"/>
      <c r="B80" s="2523"/>
      <c r="C80" s="1751" t="str">
        <f>B109</f>
        <v>B109</v>
      </c>
      <c r="D80" s="2490" t="s">
        <v>750</v>
      </c>
      <c r="E80" s="1758"/>
      <c r="F80" s="2559"/>
      <c r="G80" s="1744"/>
      <c r="H80" s="829"/>
      <c r="I80" s="2524"/>
      <c r="J80" s="1751" t="str">
        <f>J109</f>
        <v>J109</v>
      </c>
      <c r="K80" s="2490" t="s">
        <v>750</v>
      </c>
      <c r="L80" s="1753"/>
      <c r="M80" s="1753"/>
      <c r="N80" s="1753"/>
      <c r="O80" s="1753"/>
      <c r="P80" s="1753"/>
      <c r="Q80" s="829"/>
    </row>
    <row r="81" spans="1:17" s="1724" customFormat="1" ht="15">
      <c r="A81" s="1744"/>
      <c r="B81" s="2523"/>
      <c r="C81" s="2523"/>
      <c r="D81" s="2523"/>
      <c r="E81" s="2523"/>
      <c r="F81" s="2523"/>
      <c r="G81" s="2523"/>
      <c r="H81" s="829"/>
      <c r="I81" s="2524"/>
      <c r="J81" s="2524"/>
      <c r="K81" s="2525"/>
      <c r="L81" s="2525"/>
      <c r="M81" s="2524"/>
      <c r="N81" s="2524"/>
      <c r="O81" s="1744"/>
      <c r="P81" s="1744"/>
      <c r="Q81" s="829"/>
    </row>
    <row r="82" spans="1:17" s="1724" customFormat="1" ht="15">
      <c r="A82" s="1744"/>
      <c r="B82" s="2523"/>
      <c r="C82" s="2523"/>
      <c r="D82" s="2523"/>
      <c r="E82" s="2523"/>
      <c r="F82" s="2523"/>
      <c r="G82" s="2523"/>
      <c r="H82" s="829"/>
      <c r="I82" s="2524"/>
      <c r="J82" s="2524"/>
      <c r="K82" s="2525"/>
      <c r="L82" s="2525"/>
      <c r="M82" s="2524"/>
      <c r="N82" s="2524"/>
      <c r="O82" s="1744"/>
      <c r="P82" s="1744"/>
      <c r="Q82" s="829"/>
    </row>
    <row r="83" spans="1:17" s="1724" customFormat="1" ht="15">
      <c r="A83" s="1744"/>
      <c r="B83" s="2523"/>
      <c r="C83" s="2523"/>
      <c r="D83" s="2523"/>
      <c r="E83" s="2523"/>
      <c r="F83" s="2523"/>
      <c r="G83" s="2523"/>
      <c r="H83" s="829"/>
      <c r="I83" s="2524"/>
      <c r="J83" s="1744"/>
      <c r="K83" s="1744"/>
      <c r="L83" s="1744"/>
      <c r="M83" s="1744"/>
      <c r="N83" s="1744"/>
      <c r="O83" s="1744"/>
      <c r="P83" s="1744"/>
      <c r="Q83" s="829"/>
    </row>
    <row r="84" spans="1:17" s="1724" customFormat="1" ht="15">
      <c r="A84" s="1744"/>
      <c r="B84" s="2523"/>
      <c r="C84" s="2523"/>
      <c r="D84" s="2523"/>
      <c r="E84" s="2523"/>
      <c r="F84" s="2523"/>
      <c r="G84" s="2523"/>
      <c r="H84" s="829"/>
      <c r="I84" s="2524"/>
      <c r="J84" s="1744"/>
      <c r="K84" s="1744"/>
      <c r="L84" s="1744"/>
      <c r="M84" s="1744"/>
      <c r="N84" s="1744"/>
      <c r="O84" s="1744"/>
      <c r="P84" s="1744"/>
      <c r="Q84" s="829"/>
    </row>
    <row r="85" spans="1:17" s="1724" customFormat="1" ht="15">
      <c r="A85" s="1744"/>
      <c r="B85" s="2523"/>
      <c r="C85" s="2523"/>
      <c r="D85" s="2523"/>
      <c r="E85" s="2523"/>
      <c r="F85" s="2523"/>
      <c r="G85" s="2523"/>
      <c r="H85" s="829"/>
      <c r="I85" s="2524"/>
      <c r="J85" s="1744"/>
      <c r="K85" s="1744"/>
      <c r="L85" s="1744"/>
      <c r="M85" s="1744"/>
      <c r="N85" s="1744"/>
      <c r="O85" s="1744"/>
      <c r="P85" s="1744"/>
      <c r="Q85" s="829"/>
    </row>
    <row r="86" spans="1:17" s="1724" customFormat="1" ht="15">
      <c r="A86" s="1744"/>
      <c r="B86" s="2523"/>
      <c r="C86" s="2523"/>
      <c r="D86" s="2523"/>
      <c r="E86" s="2523"/>
      <c r="F86" s="2523"/>
      <c r="G86" s="2523"/>
      <c r="H86" s="829"/>
      <c r="I86" s="2524"/>
      <c r="J86" s="1744"/>
      <c r="K86" s="1744"/>
      <c r="L86" s="1744"/>
      <c r="M86" s="1744"/>
      <c r="N86" s="1744"/>
      <c r="O86" s="1744"/>
      <c r="P86" s="1744"/>
      <c r="Q86" s="829"/>
    </row>
    <row r="87" spans="1:17" s="1724" customFormat="1" ht="15">
      <c r="A87" s="1744"/>
      <c r="B87" s="2523"/>
      <c r="C87" s="2523"/>
      <c r="D87" s="2523"/>
      <c r="E87" s="2523"/>
      <c r="F87" s="2523"/>
      <c r="G87" s="2523"/>
      <c r="H87" s="829"/>
      <c r="I87" s="2524"/>
      <c r="J87" s="1744"/>
      <c r="K87" s="1744"/>
      <c r="L87" s="1744"/>
      <c r="M87" s="1744"/>
      <c r="N87" s="1744"/>
      <c r="O87" s="1744"/>
      <c r="P87" s="1744"/>
      <c r="Q87" s="829"/>
    </row>
    <row r="88" spans="1:17" s="1724" customFormat="1" ht="15">
      <c r="A88" s="1744"/>
      <c r="B88" s="2523"/>
      <c r="C88" s="2523"/>
      <c r="D88" s="2523"/>
      <c r="E88" s="2523"/>
      <c r="F88" s="2523"/>
      <c r="G88" s="2523"/>
      <c r="H88" s="829"/>
      <c r="I88" s="2524"/>
      <c r="J88" s="1744"/>
      <c r="K88" s="1744"/>
      <c r="L88" s="1744"/>
      <c r="M88" s="1744"/>
      <c r="N88" s="1744"/>
      <c r="O88" s="1744"/>
      <c r="P88" s="1744"/>
      <c r="Q88" s="829"/>
    </row>
    <row r="89" spans="1:17" s="1724" customFormat="1" ht="15">
      <c r="A89" s="1744"/>
      <c r="B89" s="2523"/>
      <c r="C89" s="2523"/>
      <c r="D89" s="2523"/>
      <c r="E89" s="2523"/>
      <c r="F89" s="2523"/>
      <c r="G89" s="2523"/>
      <c r="H89" s="829"/>
      <c r="I89" s="2524"/>
      <c r="J89" s="1744"/>
      <c r="K89" s="1744"/>
      <c r="L89" s="1744"/>
      <c r="M89" s="1744"/>
      <c r="N89" s="1744"/>
      <c r="O89" s="1744"/>
      <c r="P89" s="1744"/>
      <c r="Q89" s="829"/>
    </row>
    <row r="90" spans="1:17" s="1724" customFormat="1">
      <c r="A90" s="1744"/>
      <c r="B90" s="2586" t="s">
        <v>3424</v>
      </c>
      <c r="C90" s="2523"/>
      <c r="D90" s="2523"/>
      <c r="E90" s="2523"/>
      <c r="F90" s="2523"/>
      <c r="G90" s="2523"/>
      <c r="H90" s="829"/>
      <c r="I90" s="2524"/>
      <c r="J90" s="1744"/>
      <c r="K90" s="1744"/>
      <c r="L90" s="1744"/>
      <c r="M90" s="1744"/>
      <c r="N90" s="1744"/>
      <c r="O90" s="1744"/>
      <c r="P90" s="1744"/>
      <c r="Q90" s="829"/>
    </row>
    <row r="91" spans="1:17" s="1724" customFormat="1">
      <c r="A91" s="1744"/>
      <c r="B91" s="2586" t="s">
        <v>3425</v>
      </c>
      <c r="C91" s="2523"/>
      <c r="D91" s="2523"/>
      <c r="E91" s="2523"/>
      <c r="F91" s="2523"/>
      <c r="G91" s="2523"/>
      <c r="H91" s="829"/>
      <c r="I91" s="2524"/>
      <c r="J91" s="1744"/>
      <c r="K91" s="1744"/>
      <c r="L91" s="1744"/>
      <c r="M91" s="1744"/>
      <c r="N91" s="1744"/>
      <c r="O91" s="1744"/>
      <c r="P91" s="1744"/>
      <c r="Q91" s="829"/>
    </row>
    <row r="92" spans="1:17" s="1724" customFormat="1" ht="15">
      <c r="A92" s="1744"/>
      <c r="B92" s="2523"/>
      <c r="C92" s="2523"/>
      <c r="D92" s="2523"/>
      <c r="E92" s="2523"/>
      <c r="F92" s="2523"/>
      <c r="G92" s="2523"/>
      <c r="H92" s="829"/>
      <c r="I92" s="2524"/>
      <c r="J92" s="1744"/>
      <c r="K92" s="1744"/>
      <c r="L92" s="1744"/>
      <c r="M92" s="1744"/>
      <c r="N92" s="1744"/>
      <c r="O92" s="1744"/>
      <c r="P92" s="1744"/>
      <c r="Q92" s="829"/>
    </row>
    <row r="93" spans="1:17" s="1724" customFormat="1" ht="18.75">
      <c r="A93" s="1744"/>
      <c r="B93" s="1102" t="s">
        <v>3426</v>
      </c>
      <c r="C93" s="1744"/>
      <c r="D93" s="1744"/>
      <c r="E93" s="1744"/>
      <c r="F93" s="2523"/>
      <c r="G93" s="2523"/>
      <c r="H93" s="829"/>
      <c r="I93" s="2524"/>
      <c r="J93" s="1744"/>
      <c r="K93" s="1744"/>
      <c r="L93" s="1744"/>
      <c r="M93" s="1744"/>
      <c r="N93" s="1744"/>
      <c r="O93" s="1744"/>
      <c r="P93" s="1744"/>
      <c r="Q93" s="829"/>
    </row>
    <row r="94" spans="1:17" s="1724" customFormat="1" ht="15">
      <c r="A94" s="1744"/>
      <c r="C94" s="1744"/>
      <c r="D94" s="1744"/>
      <c r="E94" s="1744"/>
      <c r="F94" s="2523"/>
      <c r="G94" s="2523"/>
      <c r="H94" s="829"/>
      <c r="I94" s="2524"/>
      <c r="J94" s="2524"/>
      <c r="K94" s="2525"/>
      <c r="L94" s="2525"/>
      <c r="M94" s="2524"/>
      <c r="N94" s="2524"/>
      <c r="O94" s="1744"/>
      <c r="P94" s="1744"/>
      <c r="Q94" s="829"/>
    </row>
    <row r="95" spans="1:17" s="1724" customFormat="1" ht="18.75">
      <c r="A95" s="1744"/>
      <c r="B95" s="2587" t="s">
        <v>3091</v>
      </c>
      <c r="C95" s="8419" t="s">
        <v>3427</v>
      </c>
      <c r="D95" s="8420"/>
      <c r="E95" s="8420"/>
      <c r="F95" s="8420"/>
      <c r="G95" s="8420"/>
      <c r="H95" s="8420"/>
      <c r="I95" s="8420"/>
      <c r="J95" s="8420"/>
      <c r="K95" s="8420"/>
      <c r="L95" s="8420"/>
      <c r="M95" s="2524"/>
      <c r="N95" s="2524"/>
      <c r="O95" s="1744"/>
      <c r="P95" s="1744"/>
      <c r="Q95" s="829"/>
    </row>
    <row r="96" spans="1:17" s="1724" customFormat="1" ht="31.5" customHeight="1">
      <c r="A96" s="1744"/>
      <c r="B96" s="2586"/>
      <c r="C96" s="2559"/>
      <c r="D96" s="2559"/>
      <c r="E96" s="2559"/>
      <c r="F96" s="2523"/>
      <c r="G96" s="2523"/>
      <c r="H96" s="829"/>
      <c r="I96" s="2524"/>
      <c r="J96" s="1148"/>
      <c r="K96" s="2525"/>
      <c r="M96" s="1744"/>
      <c r="N96" s="1744"/>
      <c r="O96" s="1744"/>
      <c r="P96" s="1744"/>
      <c r="Q96" s="829"/>
    </row>
    <row r="97" spans="1:17" s="1724" customFormat="1" ht="16.5" customHeight="1">
      <c r="A97" s="1744"/>
      <c r="B97" s="5483" t="s">
        <v>3428</v>
      </c>
      <c r="C97" s="2588"/>
      <c r="D97" s="2588"/>
      <c r="E97" s="2589"/>
      <c r="F97" s="2589"/>
      <c r="G97" s="2523"/>
      <c r="H97" s="829"/>
      <c r="I97" s="2524"/>
      <c r="J97" s="2590"/>
      <c r="K97" s="2525"/>
      <c r="L97" s="2525"/>
      <c r="M97" s="1744"/>
      <c r="N97" s="1744"/>
      <c r="O97" s="1744"/>
      <c r="P97" s="1744"/>
      <c r="Q97" s="829"/>
    </row>
    <row r="98" spans="1:17" s="1724" customFormat="1" ht="15">
      <c r="A98" s="1744"/>
      <c r="B98" s="2524"/>
      <c r="C98" s="2525"/>
      <c r="D98" s="2525"/>
      <c r="E98" s="2524"/>
      <c r="F98" s="2524"/>
      <c r="G98" s="1744"/>
      <c r="H98" s="1744"/>
      <c r="I98" s="2524"/>
      <c r="J98" s="2559"/>
      <c r="K98" s="2559"/>
      <c r="L98" s="2525"/>
      <c r="M98" s="1744"/>
      <c r="N98" s="1744"/>
      <c r="O98" s="1744"/>
      <c r="P98" s="1744"/>
      <c r="Q98" s="829"/>
    </row>
    <row r="99" spans="1:17" s="1724" customFormat="1" ht="21">
      <c r="A99" s="1744"/>
      <c r="B99" s="2591" t="s">
        <v>3429</v>
      </c>
      <c r="C99" s="1744"/>
      <c r="D99" s="1744"/>
      <c r="E99" s="1744"/>
      <c r="F99" s="1744"/>
      <c r="G99" s="1744"/>
      <c r="H99" s="1744"/>
      <c r="I99" s="2524"/>
      <c r="J99" s="1744"/>
      <c r="K99" s="2559"/>
      <c r="L99" s="2525"/>
      <c r="M99" s="1744"/>
      <c r="N99" s="1744"/>
      <c r="O99" s="1744"/>
      <c r="P99" s="1744"/>
      <c r="Q99" s="829"/>
    </row>
    <row r="100" spans="1:17" s="1724" customFormat="1" ht="15.75" customHeight="1">
      <c r="A100" s="1744"/>
      <c r="B100" s="8421" t="s">
        <v>3430</v>
      </c>
      <c r="C100" s="8421"/>
      <c r="D100" s="8421"/>
      <c r="E100" s="8421"/>
      <c r="F100" s="8421"/>
      <c r="G100" s="1744"/>
      <c r="H100" s="1744"/>
      <c r="I100" s="2524"/>
      <c r="J100" s="1744"/>
      <c r="K100" s="2559"/>
      <c r="L100" s="2525"/>
      <c r="M100" s="1744"/>
      <c r="N100" s="1744"/>
      <c r="O100" s="1744"/>
      <c r="P100" s="1744"/>
      <c r="Q100" s="1744"/>
    </row>
    <row r="101" spans="1:17" s="1724" customFormat="1" ht="21" customHeight="1">
      <c r="A101" s="1744"/>
      <c r="B101" s="2587" t="s">
        <v>3091</v>
      </c>
      <c r="C101" s="8420" t="s">
        <v>3431</v>
      </c>
      <c r="D101" s="8420"/>
      <c r="E101" s="8420"/>
      <c r="F101" s="8420"/>
      <c r="G101" s="8420"/>
      <c r="H101" s="8420"/>
      <c r="I101" s="2524"/>
      <c r="J101" s="1744"/>
      <c r="K101" s="2559"/>
      <c r="L101" s="2525"/>
      <c r="M101" s="1744"/>
      <c r="N101" s="1744"/>
      <c r="O101" s="1744"/>
      <c r="P101" s="1744"/>
      <c r="Q101" s="1744"/>
    </row>
    <row r="102" spans="1:17" s="1724" customFormat="1" ht="21">
      <c r="A102" s="1744"/>
      <c r="B102" s="2592"/>
      <c r="C102" s="8419" t="s">
        <v>3432</v>
      </c>
      <c r="D102" s="8419"/>
      <c r="E102" s="8419"/>
      <c r="F102" s="8419"/>
      <c r="G102" s="8419"/>
      <c r="H102" s="2593"/>
      <c r="I102" s="2524"/>
      <c r="J102" s="1744"/>
      <c r="K102" s="1744"/>
      <c r="L102" s="1744"/>
      <c r="M102" s="1744"/>
      <c r="N102" s="1744"/>
      <c r="O102" s="1744"/>
      <c r="P102" s="1744"/>
      <c r="Q102" s="1744"/>
    </row>
    <row r="103" spans="1:17" s="1724" customFormat="1" ht="21">
      <c r="A103" s="1744"/>
      <c r="B103" s="2592"/>
      <c r="C103" s="8420" t="s">
        <v>3433</v>
      </c>
      <c r="D103" s="8420"/>
      <c r="E103" s="8420"/>
      <c r="F103" s="8420"/>
      <c r="G103" s="8420"/>
      <c r="H103" s="8420"/>
      <c r="I103" s="2524"/>
      <c r="J103" s="1744"/>
      <c r="K103" s="1744"/>
      <c r="L103" s="1744"/>
      <c r="M103" s="1744"/>
      <c r="N103" s="1744"/>
      <c r="O103" s="1744"/>
      <c r="P103" s="1744"/>
      <c r="Q103" s="1744"/>
    </row>
    <row r="104" spans="1:17" s="1724" customFormat="1" ht="21">
      <c r="A104" s="1744"/>
      <c r="B104" s="2592"/>
      <c r="C104" s="8420" t="s">
        <v>3434</v>
      </c>
      <c r="D104" s="8420"/>
      <c r="E104" s="8420"/>
      <c r="F104" s="8420"/>
      <c r="G104" s="8420"/>
      <c r="H104" s="8420"/>
      <c r="I104" s="2524"/>
      <c r="J104" s="1744"/>
      <c r="K104" s="1744"/>
      <c r="L104" s="1744"/>
      <c r="M104" s="1744"/>
      <c r="N104" s="1744"/>
      <c r="O104" s="1744"/>
      <c r="P104" s="1744"/>
      <c r="Q104" s="1744"/>
    </row>
    <row r="105" spans="1:17" s="1724" customFormat="1" ht="21">
      <c r="A105" s="1744"/>
      <c r="B105" s="2592"/>
      <c r="C105" s="8420" t="s">
        <v>3435</v>
      </c>
      <c r="D105" s="8420"/>
      <c r="E105" s="8420"/>
      <c r="F105" s="8420"/>
      <c r="G105" s="8420"/>
      <c r="H105" s="8420"/>
      <c r="I105" s="2524"/>
      <c r="J105" s="1744"/>
      <c r="K105" s="1744"/>
      <c r="L105" s="1744"/>
      <c r="M105" s="1744"/>
      <c r="N105" s="1744"/>
      <c r="O105" s="1744"/>
      <c r="P105" s="1744"/>
      <c r="Q105" s="1744"/>
    </row>
    <row r="106" spans="1:17" s="1724" customFormat="1" ht="21">
      <c r="A106" s="1744"/>
      <c r="B106" s="2592"/>
      <c r="C106" s="8420" t="s">
        <v>3436</v>
      </c>
      <c r="D106" s="8420"/>
      <c r="E106" s="8420"/>
      <c r="F106" s="8420"/>
      <c r="G106" s="8420"/>
      <c r="H106" s="8420"/>
      <c r="I106" s="2524"/>
      <c r="J106" s="1744"/>
      <c r="K106" s="1744"/>
      <c r="L106" s="1744"/>
      <c r="M106" s="1744"/>
      <c r="N106" s="1744"/>
      <c r="O106" s="1744"/>
      <c r="P106" s="1744"/>
      <c r="Q106" s="1744"/>
    </row>
    <row r="107" spans="1:17" s="1724" customFormat="1" ht="16.5" thickBot="1">
      <c r="A107" s="1744"/>
      <c r="B107" s="2557"/>
      <c r="C107" s="1744"/>
      <c r="D107" s="1744"/>
      <c r="E107" s="1744"/>
      <c r="F107" s="2523"/>
      <c r="G107" s="2523"/>
      <c r="H107" s="829"/>
      <c r="I107" s="2524"/>
      <c r="J107" s="2559"/>
      <c r="K107" s="2559"/>
      <c r="L107" s="2559"/>
      <c r="M107" s="2559"/>
      <c r="N107" s="2559"/>
      <c r="O107" s="1744"/>
      <c r="P107" s="1744"/>
      <c r="Q107" s="1744"/>
    </row>
    <row r="108" spans="1:17" s="1724" customFormat="1" ht="21">
      <c r="A108" s="2493" t="s">
        <v>252</v>
      </c>
      <c r="B108" s="8422" t="s">
        <v>3423</v>
      </c>
      <c r="C108" s="8423"/>
      <c r="D108" s="8423"/>
      <c r="E108" s="8423"/>
      <c r="F108" s="8424"/>
      <c r="G108" s="2523"/>
      <c r="H108" s="829"/>
      <c r="I108" s="2493" t="s">
        <v>252</v>
      </c>
      <c r="J108" s="8416" t="s">
        <v>758</v>
      </c>
      <c r="K108" s="7470"/>
      <c r="L108" s="7470"/>
      <c r="M108" s="7470"/>
      <c r="N108" s="7470"/>
      <c r="O108" s="7470"/>
      <c r="P108" s="7471"/>
      <c r="Q108" s="1744"/>
    </row>
    <row r="109" spans="1:17" s="1724" customFormat="1">
      <c r="A109" s="7765" t="str">
        <f>B108</f>
        <v>Formule avec DONT</v>
      </c>
      <c r="B109" s="1783" t="str">
        <f>ADDRESS(ROW(),COLUMN(),4)</f>
        <v>B109</v>
      </c>
      <c r="C109" s="824" t="s">
        <v>750</v>
      </c>
      <c r="D109" s="1758"/>
      <c r="E109" s="2559"/>
      <c r="F109" s="1781"/>
      <c r="G109" s="2523"/>
      <c r="H109" s="829"/>
      <c r="I109" s="7765" t="str">
        <f>J108</f>
        <v>Décriptage d'une recette par les pourcentages</v>
      </c>
      <c r="J109" s="1783" t="str">
        <f>ADDRESS(ROW(),COLUMN(),4)</f>
        <v>J109</v>
      </c>
      <c r="K109" s="824" t="s">
        <v>750</v>
      </c>
      <c r="L109" s="2347"/>
      <c r="M109" s="2347"/>
      <c r="N109" s="2347"/>
      <c r="O109" s="2347"/>
      <c r="P109" s="2348"/>
      <c r="Q109" s="1744"/>
    </row>
    <row r="110" spans="1:17" s="1724" customFormat="1" ht="15">
      <c r="A110" s="7765"/>
      <c r="B110" s="8378" t="s">
        <v>760</v>
      </c>
      <c r="C110" s="8380" t="s">
        <v>3437</v>
      </c>
      <c r="D110" s="8380"/>
      <c r="E110" s="8380"/>
      <c r="F110" s="8381"/>
      <c r="G110" s="2523"/>
      <c r="H110" s="829"/>
      <c r="I110" s="7765"/>
      <c r="J110" s="8384" t="s">
        <v>760</v>
      </c>
      <c r="K110" s="8380" t="s">
        <v>761</v>
      </c>
      <c r="L110" s="8380"/>
      <c r="M110" s="8380"/>
      <c r="N110" s="8380"/>
      <c r="O110" s="8380"/>
      <c r="P110" s="8381"/>
      <c r="Q110" s="1744"/>
    </row>
    <row r="111" spans="1:17" s="1724" customFormat="1" ht="15">
      <c r="A111" s="7765"/>
      <c r="B111" s="8379"/>
      <c r="C111" s="8382"/>
      <c r="D111" s="8382"/>
      <c r="E111" s="8382"/>
      <c r="F111" s="8383"/>
      <c r="G111" s="2523"/>
      <c r="H111" s="829"/>
      <c r="I111" s="7765"/>
      <c r="J111" s="8385"/>
      <c r="K111" s="8402"/>
      <c r="L111" s="8402"/>
      <c r="M111" s="8402"/>
      <c r="N111" s="8402"/>
      <c r="O111" s="8402"/>
      <c r="P111" s="8403"/>
      <c r="Q111" s="1744"/>
    </row>
    <row r="112" spans="1:17" s="1724" customFormat="1" ht="15" customHeight="1">
      <c r="A112" s="7765"/>
      <c r="B112" s="8404" t="s">
        <v>772</v>
      </c>
      <c r="C112" s="8405"/>
      <c r="D112" s="8405"/>
      <c r="E112" s="8408">
        <v>1000</v>
      </c>
      <c r="F112" s="8410">
        <f>(F114+F120)/E112*100</f>
        <v>100</v>
      </c>
      <c r="G112" s="2523"/>
      <c r="H112" s="829"/>
      <c r="I112" s="7765"/>
      <c r="J112" s="8412" t="s">
        <v>767</v>
      </c>
      <c r="K112" s="7464">
        <f>SUM(J116:J125)</f>
        <v>0.97000000000000008</v>
      </c>
      <c r="L112" s="7466" t="str">
        <f>IF(J115&lt;O115,"Recette incomplète, il manque",IF(J115&gt;O115,"Trop de produits dans la recette",IF(J115=O115,"OK")))</f>
        <v>Recette incomplète, il manque</v>
      </c>
      <c r="M112" s="7466"/>
      <c r="N112" s="7466"/>
      <c r="O112" s="7466"/>
      <c r="P112" s="8414">
        <f>IF(J115=O115,"",IF(J115&lt;O115,O115-J115,IF(J115&gt;O115,J115-O115)))</f>
        <v>2.9999999999999916E-2</v>
      </c>
      <c r="Q112" s="1744"/>
    </row>
    <row r="113" spans="1:17" s="1724" customFormat="1" ht="15" customHeight="1">
      <c r="A113" s="7765"/>
      <c r="B113" s="8406"/>
      <c r="C113" s="8407"/>
      <c r="D113" s="8407"/>
      <c r="E113" s="8409"/>
      <c r="F113" s="8411"/>
      <c r="G113" s="2523"/>
      <c r="H113" s="829"/>
      <c r="I113" s="7765"/>
      <c r="J113" s="8413"/>
      <c r="K113" s="7465"/>
      <c r="L113" s="7467"/>
      <c r="M113" s="7467"/>
      <c r="N113" s="7467"/>
      <c r="O113" s="7467"/>
      <c r="P113" s="8415"/>
      <c r="Q113" s="1744"/>
    </row>
    <row r="114" spans="1:17" s="1724" customFormat="1" ht="30">
      <c r="A114" s="7765"/>
      <c r="B114" s="8386" t="s">
        <v>1807</v>
      </c>
      <c r="C114" s="8388" t="s">
        <v>3438</v>
      </c>
      <c r="D114" s="8388"/>
      <c r="E114" s="8390">
        <v>20</v>
      </c>
      <c r="F114" s="8370">
        <f>(E112*E114)/100</f>
        <v>200</v>
      </c>
      <c r="G114" s="2523"/>
      <c r="H114" s="829"/>
      <c r="I114" s="7765"/>
      <c r="J114" s="2594" t="s">
        <v>769</v>
      </c>
      <c r="K114" s="2595"/>
      <c r="L114" s="2595"/>
      <c r="M114" s="2595"/>
      <c r="N114" s="2596" t="s">
        <v>182</v>
      </c>
      <c r="O114" s="2597" t="s">
        <v>770</v>
      </c>
      <c r="P114" s="2598" t="s">
        <v>771</v>
      </c>
      <c r="Q114" s="1744"/>
    </row>
    <row r="115" spans="1:17" s="1724" customFormat="1">
      <c r="A115" s="7765"/>
      <c r="B115" s="8386"/>
      <c r="C115" s="8388"/>
      <c r="D115" s="8388"/>
      <c r="E115" s="8390"/>
      <c r="F115" s="8370"/>
      <c r="G115" s="2523"/>
      <c r="H115" s="829"/>
      <c r="I115" s="7765"/>
      <c r="J115" s="2599">
        <f>SUM(J116:J125)</f>
        <v>0.97000000000000008</v>
      </c>
      <c r="K115" s="891"/>
      <c r="L115" s="2600"/>
      <c r="M115" s="893" t="s">
        <v>772</v>
      </c>
      <c r="N115" s="894">
        <v>7</v>
      </c>
      <c r="O115" s="2601">
        <v>1</v>
      </c>
      <c r="P115" s="2602">
        <f>SUM(P116:P125)</f>
        <v>6.9300000000000006</v>
      </c>
      <c r="Q115" s="1744"/>
    </row>
    <row r="116" spans="1:17" s="1724" customFormat="1" ht="15.75" customHeight="1">
      <c r="A116" s="7765"/>
      <c r="B116" s="8387"/>
      <c r="C116" s="8389"/>
      <c r="D116" s="8389"/>
      <c r="E116" s="8391"/>
      <c r="F116" s="8392"/>
      <c r="G116" s="2523"/>
      <c r="H116" s="829"/>
      <c r="I116" s="7765"/>
      <c r="J116" s="2603">
        <v>0.12</v>
      </c>
      <c r="K116" s="898" t="s">
        <v>774</v>
      </c>
      <c r="L116" s="898"/>
      <c r="M116" s="898"/>
      <c r="N116" s="2604">
        <f>N115*J116</f>
        <v>0.84</v>
      </c>
      <c r="O116" s="2605">
        <v>0</v>
      </c>
      <c r="P116" s="2606">
        <f t="shared" ref="P116:P125" si="0">IF(O116=0,N116,IF(N116="","",N116/(100-O116)*100))</f>
        <v>0.84</v>
      </c>
      <c r="Q116" s="1744"/>
    </row>
    <row r="117" spans="1:17" s="1724" customFormat="1" ht="16.5" customHeight="1">
      <c r="A117" s="7765"/>
      <c r="B117" s="8399" t="s">
        <v>1901</v>
      </c>
      <c r="C117" s="8400" t="s">
        <v>3439</v>
      </c>
      <c r="D117" s="8400"/>
      <c r="E117" s="8401">
        <v>26.5</v>
      </c>
      <c r="F117" s="8370">
        <f>(E114*E117)/10</f>
        <v>53</v>
      </c>
      <c r="G117" s="2523"/>
      <c r="H117" s="829"/>
      <c r="I117" s="7765"/>
      <c r="J117" s="2603">
        <v>0.08</v>
      </c>
      <c r="K117" s="898" t="s">
        <v>775</v>
      </c>
      <c r="L117" s="898"/>
      <c r="M117" s="898"/>
      <c r="N117" s="2607">
        <f>N115*J117</f>
        <v>0.56000000000000005</v>
      </c>
      <c r="O117" s="2608">
        <v>0</v>
      </c>
      <c r="P117" s="2606">
        <f t="shared" si="0"/>
        <v>0.56000000000000005</v>
      </c>
      <c r="Q117" s="1744"/>
    </row>
    <row r="118" spans="1:17" s="1724" customFormat="1" ht="16.5" customHeight="1">
      <c r="A118" s="7765"/>
      <c r="B118" s="8399"/>
      <c r="C118" s="8400"/>
      <c r="D118" s="8400"/>
      <c r="E118" s="8401"/>
      <c r="F118" s="8370"/>
      <c r="G118" s="2523"/>
      <c r="H118" s="829"/>
      <c r="I118" s="7765"/>
      <c r="J118" s="2603">
        <v>0.2</v>
      </c>
      <c r="K118" s="898" t="s">
        <v>776</v>
      </c>
      <c r="L118" s="898"/>
      <c r="M118" s="898"/>
      <c r="N118" s="2607">
        <f>N115*J118</f>
        <v>1.4000000000000001</v>
      </c>
      <c r="O118" s="2608">
        <v>0</v>
      </c>
      <c r="P118" s="2606">
        <f t="shared" si="0"/>
        <v>1.4000000000000001</v>
      </c>
      <c r="Q118" s="1744"/>
    </row>
    <row r="119" spans="1:17" s="1724" customFormat="1" ht="16.5" customHeight="1" thickBot="1">
      <c r="A119" s="7765"/>
      <c r="B119" s="8399"/>
      <c r="C119" s="8400"/>
      <c r="D119" s="8400"/>
      <c r="E119" s="8401"/>
      <c r="F119" s="8370"/>
      <c r="G119" s="2523"/>
      <c r="H119" s="829"/>
      <c r="I119" s="7765"/>
      <c r="J119" s="2603">
        <v>0.55000000000000004</v>
      </c>
      <c r="K119" s="898" t="s">
        <v>777</v>
      </c>
      <c r="L119" s="898"/>
      <c r="M119" s="898"/>
      <c r="N119" s="2607">
        <f>N115*J119</f>
        <v>3.8500000000000005</v>
      </c>
      <c r="O119" s="2608">
        <v>0</v>
      </c>
      <c r="P119" s="2606">
        <f t="shared" si="0"/>
        <v>3.8500000000000005</v>
      </c>
      <c r="Q119" s="1744"/>
    </row>
    <row r="120" spans="1:17" s="1724" customFormat="1" ht="20.25" customHeight="1">
      <c r="A120" s="7765"/>
      <c r="B120" s="8371" t="s">
        <v>739</v>
      </c>
      <c r="C120" s="8372" t="s">
        <v>3440</v>
      </c>
      <c r="D120" s="8372"/>
      <c r="E120" s="8374">
        <f>(F112/E112)*F120</f>
        <v>80</v>
      </c>
      <c r="F120" s="8376">
        <f>E112-F114</f>
        <v>800</v>
      </c>
      <c r="G120" s="1744"/>
      <c r="H120" s="1744"/>
      <c r="I120" s="7765"/>
      <c r="J120" s="2603">
        <v>0.02</v>
      </c>
      <c r="K120" s="898" t="s">
        <v>778</v>
      </c>
      <c r="L120" s="898"/>
      <c r="M120" s="898"/>
      <c r="N120" s="2607">
        <f>N115*J120</f>
        <v>0.14000000000000001</v>
      </c>
      <c r="O120" s="2608">
        <v>50</v>
      </c>
      <c r="P120" s="2606">
        <f t="shared" si="0"/>
        <v>0.28000000000000003</v>
      </c>
      <c r="Q120" s="1744"/>
    </row>
    <row r="121" spans="1:17" s="1724" customFormat="1" ht="15.75" customHeight="1">
      <c r="A121" s="7765"/>
      <c r="B121" s="8364"/>
      <c r="C121" s="8373"/>
      <c r="D121" s="8373"/>
      <c r="E121" s="8375"/>
      <c r="F121" s="8377"/>
      <c r="G121" s="1744"/>
      <c r="H121" s="1744"/>
      <c r="I121" s="7765"/>
      <c r="J121" s="2603"/>
      <c r="K121" s="898"/>
      <c r="L121" s="898"/>
      <c r="M121" s="898"/>
      <c r="N121" s="2607">
        <f>N115*J121</f>
        <v>0</v>
      </c>
      <c r="O121" s="2608"/>
      <c r="P121" s="2606">
        <f t="shared" si="0"/>
        <v>0</v>
      </c>
      <c r="Q121" s="1744"/>
    </row>
    <row r="122" spans="1:17" s="1724" customFormat="1" ht="15.75" customHeight="1">
      <c r="A122" s="7765"/>
      <c r="B122" s="8364" t="s">
        <v>744</v>
      </c>
      <c r="C122" s="8365" t="s">
        <v>3441</v>
      </c>
      <c r="D122" s="8366" t="s">
        <v>3442</v>
      </c>
      <c r="E122" s="8368">
        <f>(F112/E112)*F122</f>
        <v>14.700000000000001</v>
      </c>
      <c r="F122" s="8369">
        <f>F114-F124</f>
        <v>147</v>
      </c>
      <c r="G122" s="1744"/>
      <c r="H122" s="1744"/>
      <c r="I122" s="7765"/>
      <c r="J122" s="2603"/>
      <c r="K122" s="898"/>
      <c r="L122" s="898"/>
      <c r="M122" s="898"/>
      <c r="N122" s="2607">
        <f>N115*J122</f>
        <v>0</v>
      </c>
      <c r="O122" s="2608"/>
      <c r="P122" s="2606">
        <f t="shared" si="0"/>
        <v>0</v>
      </c>
      <c r="Q122" s="1744"/>
    </row>
    <row r="123" spans="1:17" s="1724" customFormat="1" ht="15.75" customHeight="1">
      <c r="A123" s="7765"/>
      <c r="B123" s="8364"/>
      <c r="C123" s="8365"/>
      <c r="D123" s="8367"/>
      <c r="E123" s="8368"/>
      <c r="F123" s="8369"/>
      <c r="G123" s="1744"/>
      <c r="H123" s="1744"/>
      <c r="I123" s="7765"/>
      <c r="J123" s="2603"/>
      <c r="K123" s="898"/>
      <c r="L123" s="898"/>
      <c r="M123" s="898"/>
      <c r="N123" s="2607">
        <f>N115*J123</f>
        <v>0</v>
      </c>
      <c r="O123" s="2608"/>
      <c r="P123" s="2606">
        <f t="shared" si="0"/>
        <v>0</v>
      </c>
      <c r="Q123" s="1744"/>
    </row>
    <row r="124" spans="1:17" s="1724" customFormat="1" ht="15.75" customHeight="1">
      <c r="A124" s="7765"/>
      <c r="B124" s="8364" t="s">
        <v>746</v>
      </c>
      <c r="C124" s="8394" t="s">
        <v>3443</v>
      </c>
      <c r="D124" s="8395"/>
      <c r="E124" s="8368">
        <f>(F112/E112)*F124</f>
        <v>5.3000000000000007</v>
      </c>
      <c r="F124" s="8369">
        <f>(F114*E117)/100</f>
        <v>53</v>
      </c>
      <c r="G124" s="1744"/>
      <c r="H124" s="1744"/>
      <c r="I124" s="7765"/>
      <c r="J124" s="2603"/>
      <c r="K124" s="898"/>
      <c r="L124" s="898"/>
      <c r="M124" s="898"/>
      <c r="N124" s="2607">
        <f>N115*J124</f>
        <v>0</v>
      </c>
      <c r="O124" s="2608"/>
      <c r="P124" s="2606">
        <f t="shared" si="0"/>
        <v>0</v>
      </c>
      <c r="Q124" s="1744"/>
    </row>
    <row r="125" spans="1:17" s="1724" customFormat="1" ht="15.75" customHeight="1">
      <c r="A125" s="7765"/>
      <c r="B125" s="8393"/>
      <c r="C125" s="8396"/>
      <c r="D125" s="8396"/>
      <c r="E125" s="8397"/>
      <c r="F125" s="8398"/>
      <c r="G125" s="1744"/>
      <c r="H125" s="1744"/>
      <c r="I125" s="7765"/>
      <c r="J125" s="2609"/>
      <c r="K125" s="916"/>
      <c r="L125" s="916"/>
      <c r="M125" s="916"/>
      <c r="N125" s="2610">
        <f>N115*J125</f>
        <v>0</v>
      </c>
      <c r="O125" s="2611"/>
      <c r="P125" s="2612">
        <f t="shared" si="0"/>
        <v>0</v>
      </c>
      <c r="Q125" s="1744"/>
    </row>
    <row r="126" spans="1:17" s="1724" customFormat="1" ht="15.75" customHeight="1">
      <c r="A126" s="7765"/>
      <c r="B126" s="2613"/>
      <c r="C126" s="2614"/>
      <c r="D126" s="2614"/>
      <c r="E126" s="2615">
        <f>SUM(E120:E125)</f>
        <v>100</v>
      </c>
      <c r="F126" s="2616">
        <f>SUM(F120:F125)</f>
        <v>1000</v>
      </c>
      <c r="G126" s="1744"/>
      <c r="H126" s="1744"/>
      <c r="I126" s="7765"/>
      <c r="J126" s="8361" t="s">
        <v>60</v>
      </c>
      <c r="K126" s="7440"/>
      <c r="L126" s="7440"/>
      <c r="M126" s="7440"/>
      <c r="N126" s="7440"/>
      <c r="O126" s="7440"/>
      <c r="P126" s="8362"/>
      <c r="Q126" s="1744"/>
    </row>
    <row r="127" spans="1:17" s="1724" customFormat="1" ht="15.75" customHeight="1">
      <c r="A127" s="7765"/>
      <c r="B127" s="7741" t="s">
        <v>60</v>
      </c>
      <c r="C127" s="7742"/>
      <c r="D127" s="7742"/>
      <c r="E127" s="7742"/>
      <c r="F127" s="7743"/>
      <c r="G127" s="1744"/>
      <c r="H127" s="1744"/>
      <c r="I127" s="7765"/>
      <c r="J127" s="2617"/>
      <c r="K127" s="920" t="s">
        <v>787</v>
      </c>
      <c r="L127" s="1744"/>
      <c r="M127" s="5431" t="s">
        <v>788</v>
      </c>
      <c r="N127" s="922"/>
      <c r="O127" s="922"/>
      <c r="P127" s="923"/>
      <c r="Q127" s="1744"/>
    </row>
    <row r="128" spans="1:17" s="1724" customFormat="1" ht="15.75" customHeight="1" thickBot="1">
      <c r="A128" s="7765"/>
      <c r="B128" s="2618" t="s">
        <v>1807</v>
      </c>
      <c r="C128" s="1744" t="s">
        <v>3444</v>
      </c>
      <c r="D128" s="1744"/>
      <c r="E128" s="2559"/>
      <c r="F128" s="1781"/>
      <c r="G128" s="1744"/>
      <c r="H128" s="1744"/>
      <c r="I128" s="7765"/>
      <c r="J128" s="2194"/>
      <c r="K128" s="2196" t="s">
        <v>790</v>
      </c>
      <c r="L128" s="2196"/>
      <c r="M128" s="2196" t="s">
        <v>791</v>
      </c>
      <c r="N128" s="2619"/>
      <c r="O128" s="2196" t="s">
        <v>770</v>
      </c>
      <c r="P128" s="2620"/>
      <c r="Q128" s="1744"/>
    </row>
    <row r="129" spans="1:17" s="1724" customFormat="1" ht="15.75" customHeight="1">
      <c r="A129" s="7765"/>
      <c r="B129" s="2618" t="s">
        <v>1901</v>
      </c>
      <c r="C129" s="1744" t="s">
        <v>3445</v>
      </c>
      <c r="D129" s="1744"/>
      <c r="E129" s="1744"/>
      <c r="F129" s="1781"/>
      <c r="G129" s="1744"/>
      <c r="H129" s="1744"/>
      <c r="I129" s="2524"/>
      <c r="J129" s="1744"/>
      <c r="K129" s="1744"/>
      <c r="L129" s="1744"/>
      <c r="M129" s="1744"/>
      <c r="N129" s="1744"/>
      <c r="O129" s="1744"/>
      <c r="P129" s="1744"/>
      <c r="Q129" s="1744"/>
    </row>
    <row r="130" spans="1:17" s="1724" customFormat="1" ht="15.75" customHeight="1" thickBot="1">
      <c r="A130" s="7765"/>
      <c r="B130" s="2621" t="s">
        <v>739</v>
      </c>
      <c r="C130" s="2622" t="s">
        <v>3446</v>
      </c>
      <c r="D130" s="2622"/>
      <c r="E130" s="2623"/>
      <c r="F130" s="2624"/>
      <c r="G130" s="1744"/>
      <c r="H130" s="1744"/>
      <c r="I130" s="2524"/>
      <c r="J130" s="1744"/>
      <c r="K130" s="1744"/>
      <c r="L130" s="1744"/>
      <c r="M130" s="1744"/>
      <c r="N130" s="1744"/>
      <c r="O130" s="1744"/>
      <c r="P130" s="1744"/>
      <c r="Q130" s="1744"/>
    </row>
    <row r="131" spans="1:17" s="1724" customFormat="1" ht="18.75" customHeight="1">
      <c r="A131" s="7765"/>
      <c r="B131" s="2625"/>
      <c r="C131" s="2626" t="s">
        <v>787</v>
      </c>
      <c r="D131" s="2626"/>
      <c r="E131" s="2627" t="s">
        <v>791</v>
      </c>
      <c r="F131" s="2628"/>
      <c r="G131" s="1744"/>
      <c r="H131" s="1744"/>
      <c r="I131" s="2524"/>
      <c r="J131" s="1744"/>
      <c r="K131" s="1744"/>
      <c r="L131" s="1744"/>
      <c r="M131" s="1744"/>
      <c r="N131" s="1744"/>
      <c r="O131" s="1744"/>
      <c r="P131" s="1744"/>
      <c r="Q131" s="1744"/>
    </row>
    <row r="132" spans="1:17" s="1724" customFormat="1" ht="16.5" customHeight="1" thickBot="1">
      <c r="A132" s="7765"/>
      <c r="B132" s="2194"/>
      <c r="C132" s="5432" t="s">
        <v>788</v>
      </c>
      <c r="D132" s="2629"/>
      <c r="E132" s="2196"/>
      <c r="F132" s="2620"/>
      <c r="G132" s="1744"/>
      <c r="H132" s="1744"/>
      <c r="I132" s="2524"/>
      <c r="J132" s="1744"/>
      <c r="K132" s="1744"/>
      <c r="L132" s="1744"/>
      <c r="M132" s="1744"/>
      <c r="N132" s="1744"/>
      <c r="O132" s="1744"/>
      <c r="P132" s="1744"/>
      <c r="Q132" s="1744"/>
    </row>
    <row r="133" spans="1:17" s="1724" customFormat="1">
      <c r="A133" s="2557"/>
      <c r="B133" s="2557"/>
      <c r="C133" s="1744"/>
      <c r="D133" s="1744"/>
      <c r="E133" s="1744"/>
      <c r="F133" s="2523"/>
      <c r="G133" s="2523"/>
      <c r="H133" s="829"/>
      <c r="I133" s="2524"/>
      <c r="J133" s="2559"/>
      <c r="K133" s="2559"/>
      <c r="L133" s="2559"/>
      <c r="M133" s="2559"/>
      <c r="N133" s="2559"/>
      <c r="O133" s="1744"/>
      <c r="P133" s="1744"/>
      <c r="Q133" s="1744"/>
    </row>
    <row r="134" spans="1:17" s="1724" customFormat="1" ht="33.75">
      <c r="A134" s="1722">
        <f>(ROW())</f>
        <v>134</v>
      </c>
      <c r="B134" s="8363" t="s">
        <v>3447</v>
      </c>
      <c r="C134" s="8363"/>
      <c r="D134" s="8363"/>
      <c r="E134" s="8363"/>
      <c r="F134" s="8363"/>
      <c r="G134" s="8363"/>
      <c r="H134" s="8363"/>
      <c r="I134" s="8363"/>
      <c r="J134" s="8363"/>
      <c r="K134" s="8363"/>
      <c r="L134" s="8363"/>
      <c r="M134" s="8363"/>
      <c r="N134" s="8363"/>
      <c r="O134" s="8363"/>
      <c r="P134" s="8363"/>
      <c r="Q134" s="8363"/>
    </row>
    <row r="135" spans="1:17" s="1724" customFormat="1">
      <c r="A135" s="1744"/>
      <c r="B135" s="2557"/>
      <c r="C135" s="1744"/>
      <c r="D135" s="1744"/>
      <c r="E135" s="1744"/>
      <c r="F135" s="2523"/>
      <c r="G135" s="2523"/>
      <c r="H135" s="829"/>
      <c r="I135" s="2524"/>
      <c r="J135" s="2559"/>
      <c r="K135" s="2559"/>
      <c r="L135" s="2559"/>
      <c r="M135" s="2559"/>
      <c r="N135" s="2559"/>
      <c r="O135" s="1744"/>
      <c r="P135" s="1744"/>
      <c r="Q135" s="1744"/>
    </row>
    <row r="136" spans="1:17" s="1724" customFormat="1" ht="18.75">
      <c r="A136" s="2630" t="s">
        <v>1807</v>
      </c>
      <c r="B136" s="1762" t="s">
        <v>3448</v>
      </c>
      <c r="C136" s="2593"/>
      <c r="D136" s="2593"/>
      <c r="E136" s="2593"/>
      <c r="F136" s="2631"/>
      <c r="G136" s="2631"/>
      <c r="H136" s="2632"/>
      <c r="I136" s="2633"/>
      <c r="J136" s="2593"/>
      <c r="K136" s="2593"/>
      <c r="L136" s="2634"/>
      <c r="M136" s="2635"/>
      <c r="N136" s="2636"/>
      <c r="O136" s="1744"/>
      <c r="P136" s="1744"/>
      <c r="Q136" s="1744"/>
    </row>
    <row r="137" spans="1:17" s="1724" customFormat="1" ht="18.75">
      <c r="A137" s="2593"/>
      <c r="B137" s="8360" t="s">
        <v>3449</v>
      </c>
      <c r="C137" s="8360"/>
      <c r="D137" s="8360"/>
      <c r="E137" s="8360"/>
      <c r="F137" s="8360"/>
      <c r="G137" s="8360"/>
      <c r="H137" s="2632"/>
      <c r="I137" s="2637" t="s">
        <v>2521</v>
      </c>
      <c r="J137" s="2638" t="s">
        <v>3450</v>
      </c>
      <c r="K137" s="2593"/>
      <c r="L137" s="2634"/>
      <c r="M137" s="2633"/>
      <c r="N137" s="2524"/>
      <c r="O137" s="1744"/>
      <c r="P137" s="1744"/>
      <c r="Q137" s="1744"/>
    </row>
    <row r="138" spans="1:17" s="1724" customFormat="1" ht="18.75">
      <c r="A138" s="2593"/>
      <c r="B138" s="2593"/>
      <c r="C138" s="2593"/>
      <c r="D138" s="2593"/>
      <c r="E138" s="2593"/>
      <c r="F138" s="2631"/>
      <c r="G138" s="2631"/>
      <c r="H138" s="2632"/>
      <c r="I138" s="2633"/>
      <c r="J138" s="2639" t="s">
        <v>3451</v>
      </c>
      <c r="K138" s="2593"/>
      <c r="L138" s="2634"/>
      <c r="M138" s="2633"/>
      <c r="N138" s="2524"/>
      <c r="O138" s="1744"/>
      <c r="P138" s="1744"/>
      <c r="Q138" s="1744"/>
    </row>
    <row r="139" spans="1:17" s="1724" customFormat="1" ht="18.75">
      <c r="A139" s="2630" t="s">
        <v>1901</v>
      </c>
      <c r="B139" s="2593" t="s">
        <v>3452</v>
      </c>
      <c r="C139" s="2593"/>
      <c r="D139" s="2593"/>
      <c r="E139" s="2593"/>
      <c r="F139" s="2631"/>
      <c r="G139" s="2631"/>
      <c r="H139" s="2632"/>
      <c r="I139" s="2633"/>
      <c r="J139" s="2593"/>
      <c r="K139" s="2593"/>
      <c r="L139" s="2634"/>
      <c r="M139" s="2633"/>
      <c r="N139" s="2524"/>
      <c r="O139" s="1744"/>
      <c r="P139" s="1744"/>
      <c r="Q139" s="1744"/>
    </row>
    <row r="140" spans="1:17" s="1724" customFormat="1" ht="18.75">
      <c r="A140" s="2593"/>
      <c r="B140" s="2593" t="s">
        <v>3453</v>
      </c>
      <c r="C140" s="2593"/>
      <c r="D140" s="2593"/>
      <c r="E140" s="2593"/>
      <c r="F140" s="2631"/>
      <c r="G140" s="2631"/>
      <c r="H140" s="2632"/>
      <c r="I140" s="2637" t="s">
        <v>3454</v>
      </c>
      <c r="J140" s="2638" t="s">
        <v>3455</v>
      </c>
      <c r="K140" s="2593"/>
      <c r="L140" s="2634"/>
      <c r="M140" s="2633"/>
      <c r="N140" s="2524"/>
      <c r="O140" s="1744"/>
      <c r="P140" s="1744"/>
      <c r="Q140" s="1744"/>
    </row>
    <row r="141" spans="1:17" s="1724" customFormat="1" ht="18.75">
      <c r="A141" s="2593"/>
      <c r="B141" s="2593" t="s">
        <v>3456</v>
      </c>
      <c r="C141" s="2593"/>
      <c r="D141" s="2593"/>
      <c r="E141" s="2593"/>
      <c r="F141" s="2631"/>
      <c r="G141" s="2631"/>
      <c r="H141" s="2632"/>
      <c r="I141" s="2633"/>
      <c r="J141" s="2593" t="s">
        <v>3457</v>
      </c>
      <c r="K141" s="2593"/>
      <c r="L141" s="2634"/>
      <c r="M141" s="2633"/>
      <c r="N141" s="2524"/>
      <c r="O141" s="1744"/>
      <c r="P141" s="1744"/>
      <c r="Q141" s="1744"/>
    </row>
    <row r="142" spans="1:17" s="1724" customFormat="1" ht="18.75">
      <c r="A142" s="2593"/>
      <c r="B142" s="2593" t="s">
        <v>3458</v>
      </c>
      <c r="C142" s="2593"/>
      <c r="D142" s="2593"/>
      <c r="E142" s="2593"/>
      <c r="F142" s="2631"/>
      <c r="G142" s="2631"/>
      <c r="H142" s="2632"/>
      <c r="I142" s="2633"/>
      <c r="J142" s="2593" t="s">
        <v>3459</v>
      </c>
      <c r="K142" s="2593"/>
      <c r="L142" s="2634"/>
      <c r="M142" s="2633"/>
      <c r="N142" s="2524"/>
      <c r="O142" s="1744"/>
      <c r="P142" s="1744"/>
      <c r="Q142" s="829"/>
    </row>
    <row r="143" spans="1:17" s="1724" customFormat="1" ht="18.75">
      <c r="A143" s="2593"/>
      <c r="B143" s="8360" t="s">
        <v>3460</v>
      </c>
      <c r="C143" s="8360"/>
      <c r="D143" s="8360"/>
      <c r="E143" s="8360"/>
      <c r="F143" s="2631"/>
      <c r="G143" s="2631"/>
      <c r="H143" s="2632"/>
      <c r="I143" s="2633"/>
      <c r="J143" s="2593" t="s">
        <v>3461</v>
      </c>
      <c r="K143" s="2593"/>
      <c r="L143" s="2634"/>
      <c r="M143" s="2633"/>
      <c r="N143" s="2524"/>
      <c r="O143" s="1744"/>
      <c r="P143" s="1744"/>
      <c r="Q143" s="829"/>
    </row>
    <row r="144" spans="1:17" s="1724" customFormat="1" ht="18.75">
      <c r="A144" s="2593"/>
      <c r="B144" s="2593"/>
      <c r="C144" s="2593"/>
      <c r="D144" s="2593"/>
      <c r="E144" s="2593"/>
      <c r="F144" s="2631"/>
      <c r="G144" s="2631"/>
      <c r="H144" s="2632"/>
      <c r="I144" s="2633"/>
      <c r="J144" s="2639" t="s">
        <v>3462</v>
      </c>
      <c r="K144" s="2593"/>
      <c r="L144" s="2634"/>
      <c r="M144" s="2633"/>
      <c r="N144" s="2524"/>
      <c r="O144" s="1744"/>
      <c r="P144" s="1744"/>
      <c r="Q144" s="829"/>
    </row>
    <row r="145" spans="1:17" s="1724" customFormat="1" ht="18.75">
      <c r="A145" s="2630" t="s">
        <v>739</v>
      </c>
      <c r="B145" s="2638" t="s">
        <v>3463</v>
      </c>
      <c r="C145" s="2593"/>
      <c r="D145" s="2593"/>
      <c r="E145" s="2593"/>
      <c r="F145" s="2631"/>
      <c r="G145" s="2631"/>
      <c r="H145" s="2632"/>
      <c r="I145" s="2633"/>
      <c r="J145" s="2639" t="s">
        <v>3464</v>
      </c>
      <c r="K145" s="2593"/>
      <c r="L145" s="2634"/>
      <c r="M145" s="2633"/>
      <c r="N145" s="2524"/>
      <c r="O145" s="1744"/>
      <c r="P145" s="1744"/>
      <c r="Q145" s="829"/>
    </row>
    <row r="146" spans="1:17" s="1724" customFormat="1" ht="18.75">
      <c r="A146" s="2593"/>
      <c r="B146" s="8360" t="s">
        <v>3465</v>
      </c>
      <c r="C146" s="8360"/>
      <c r="D146" s="8360"/>
      <c r="E146" s="8360"/>
      <c r="F146" s="8360"/>
      <c r="G146" s="2631"/>
      <c r="H146" s="2632"/>
      <c r="I146" s="2633"/>
      <c r="J146" s="2593"/>
      <c r="K146" s="2593"/>
      <c r="L146" s="2634"/>
      <c r="M146" s="2633"/>
      <c r="N146" s="2524"/>
      <c r="O146" s="1744"/>
      <c r="P146" s="1744"/>
      <c r="Q146" s="829"/>
    </row>
    <row r="147" spans="1:17" s="1724" customFormat="1" ht="18.75">
      <c r="A147" s="2593"/>
      <c r="B147" s="2593"/>
      <c r="C147" s="2593"/>
      <c r="D147" s="2593"/>
      <c r="E147" s="2593"/>
      <c r="F147" s="2631"/>
      <c r="G147" s="2631"/>
      <c r="H147" s="2632"/>
      <c r="I147" s="2637" t="s">
        <v>3466</v>
      </c>
      <c r="J147" s="2638" t="s">
        <v>3467</v>
      </c>
      <c r="K147" s="2593"/>
      <c r="L147" s="2634"/>
      <c r="M147" s="2633"/>
      <c r="N147" s="2524"/>
      <c r="O147" s="1744"/>
      <c r="P147" s="1744"/>
      <c r="Q147" s="829"/>
    </row>
    <row r="148" spans="1:17" s="1724" customFormat="1" ht="18.75">
      <c r="A148" s="2593"/>
      <c r="B148" s="2593"/>
      <c r="C148" s="2593"/>
      <c r="D148" s="2593"/>
      <c r="E148" s="2593"/>
      <c r="F148" s="2631"/>
      <c r="G148" s="2631"/>
      <c r="H148" s="2632"/>
      <c r="I148" s="2633"/>
      <c r="J148" s="2639" t="s">
        <v>3468</v>
      </c>
      <c r="K148" s="2593"/>
      <c r="L148" s="2634"/>
      <c r="M148" s="2633"/>
      <c r="N148" s="2524"/>
      <c r="O148" s="1744"/>
      <c r="P148" s="1744"/>
      <c r="Q148" s="829"/>
    </row>
    <row r="149" spans="1:17" s="1724" customFormat="1" ht="18.75">
      <c r="A149" s="2630" t="s">
        <v>744</v>
      </c>
      <c r="B149" s="2638" t="s">
        <v>3469</v>
      </c>
      <c r="C149" s="2593"/>
      <c r="D149" s="2593"/>
      <c r="E149" s="2593"/>
      <c r="F149" s="2631"/>
      <c r="G149" s="2631"/>
      <c r="H149" s="2632"/>
      <c r="I149" s="2633"/>
      <c r="J149" s="2593"/>
      <c r="K149" s="2593"/>
      <c r="L149" s="2634"/>
      <c r="M149" s="2633"/>
      <c r="N149" s="2524"/>
      <c r="O149" s="1744"/>
      <c r="P149" s="1744"/>
      <c r="Q149" s="829"/>
    </row>
    <row r="150" spans="1:17" s="1724" customFormat="1" ht="18.75">
      <c r="A150" s="2593"/>
      <c r="B150" s="8359" t="s">
        <v>3470</v>
      </c>
      <c r="C150" s="8359"/>
      <c r="D150" s="8359"/>
      <c r="E150" s="8359"/>
      <c r="F150" s="8359"/>
      <c r="G150" s="8359"/>
      <c r="H150" s="2632"/>
      <c r="I150" s="2637" t="s">
        <v>3471</v>
      </c>
      <c r="J150" s="2638" t="s">
        <v>3472</v>
      </c>
      <c r="K150" s="2593"/>
      <c r="L150" s="2634"/>
      <c r="M150" s="2633"/>
      <c r="N150" s="2524"/>
      <c r="O150" s="1744"/>
      <c r="P150" s="1744"/>
      <c r="Q150" s="829"/>
    </row>
    <row r="151" spans="1:17" s="1724" customFormat="1" ht="18.75">
      <c r="A151" s="2593"/>
      <c r="B151" s="8360" t="s">
        <v>3473</v>
      </c>
      <c r="C151" s="8360"/>
      <c r="D151" s="8360"/>
      <c r="E151" s="8360"/>
      <c r="F151" s="8360"/>
      <c r="G151" s="8360"/>
      <c r="H151" s="2632"/>
      <c r="I151" s="2633"/>
      <c r="J151" t="s">
        <v>3474</v>
      </c>
      <c r="K151" s="2593"/>
      <c r="L151" s="2634"/>
      <c r="M151" s="2633"/>
      <c r="N151" s="2524"/>
      <c r="O151" s="1744"/>
      <c r="P151" s="1744"/>
      <c r="Q151" s="1128">
        <v>1</v>
      </c>
    </row>
    <row r="152" spans="1:17" s="1724" customFormat="1" ht="18.75">
      <c r="A152" s="2593"/>
      <c r="B152" s="2593"/>
      <c r="C152" s="2593"/>
      <c r="D152" s="2593"/>
      <c r="E152" s="2593"/>
      <c r="F152" s="2631"/>
      <c r="G152" s="2631"/>
      <c r="H152" s="2632"/>
      <c r="I152" s="2633"/>
      <c r="J152" s="2593"/>
      <c r="K152" s="2593"/>
      <c r="L152" s="2634"/>
      <c r="M152" s="2633"/>
      <c r="N152" s="2524"/>
      <c r="O152" s="1744"/>
      <c r="P152" s="1744"/>
      <c r="Q152" s="1128">
        <v>1</v>
      </c>
    </row>
    <row r="153" spans="1:17" s="1724" customFormat="1" ht="18.75">
      <c r="A153" s="2630" t="s">
        <v>746</v>
      </c>
      <c r="B153" s="2638" t="s">
        <v>3475</v>
      </c>
      <c r="C153" s="2593"/>
      <c r="D153" s="2593"/>
      <c r="E153" s="2593"/>
      <c r="F153" s="2631"/>
      <c r="G153" s="2631"/>
      <c r="H153" s="2632"/>
      <c r="I153" s="2637" t="s">
        <v>3476</v>
      </c>
      <c r="J153" s="2638" t="s">
        <v>3477</v>
      </c>
      <c r="K153" s="2593"/>
      <c r="L153" s="2634"/>
      <c r="M153" s="2633"/>
      <c r="N153" s="2524"/>
      <c r="O153" s="1744"/>
      <c r="P153" s="1744"/>
      <c r="Q153" s="1128">
        <v>1</v>
      </c>
    </row>
    <row r="154" spans="1:17" s="1724" customFormat="1" ht="18.75">
      <c r="A154" s="2593"/>
      <c r="B154" s="2593" t="s">
        <v>3478</v>
      </c>
      <c r="C154" s="2593"/>
      <c r="D154" s="2593"/>
      <c r="E154" s="2593"/>
      <c r="F154" s="2631"/>
      <c r="G154" s="2631"/>
      <c r="H154" s="2632"/>
      <c r="I154" s="2633"/>
      <c r="J154" s="2639" t="s">
        <v>3479</v>
      </c>
      <c r="K154" s="2593"/>
      <c r="L154" s="2634"/>
      <c r="M154" s="2633"/>
      <c r="N154" s="2524"/>
      <c r="O154" s="1744"/>
      <c r="P154" s="1744"/>
      <c r="Q154" s="1128">
        <v>1</v>
      </c>
    </row>
    <row r="155" spans="1:17" s="1724" customFormat="1" ht="18.75">
      <c r="A155" s="2593"/>
      <c r="B155" s="2593" t="s">
        <v>3480</v>
      </c>
      <c r="C155" s="2593"/>
      <c r="D155" s="2593"/>
      <c r="E155" s="2593"/>
      <c r="F155" s="2631"/>
      <c r="G155" s="2631"/>
      <c r="H155" s="2632"/>
      <c r="I155" s="2633"/>
      <c r="J155" s="2593"/>
      <c r="K155" s="2593"/>
      <c r="L155" s="2634"/>
      <c r="M155" s="2633"/>
      <c r="N155" s="2524"/>
      <c r="O155" s="1744"/>
      <c r="P155" s="1744"/>
      <c r="Q155" s="1128">
        <v>1</v>
      </c>
    </row>
    <row r="156" spans="1:17" s="1724" customFormat="1" ht="18.75">
      <c r="A156" s="2593"/>
      <c r="B156" s="2593" t="s">
        <v>3481</v>
      </c>
      <c r="C156" s="2593"/>
      <c r="D156" s="2593"/>
      <c r="E156" s="2593"/>
      <c r="F156" s="2631"/>
      <c r="G156" s="2631"/>
      <c r="H156" s="2632"/>
      <c r="I156" s="2637" t="s">
        <v>3482</v>
      </c>
      <c r="J156" s="2640" t="s">
        <v>3483</v>
      </c>
      <c r="K156" s="2593"/>
      <c r="L156" s="2634"/>
      <c r="M156" s="2633"/>
      <c r="N156" s="2524"/>
      <c r="O156" s="1744"/>
      <c r="P156" s="1744"/>
      <c r="Q156" s="1128">
        <v>1</v>
      </c>
    </row>
    <row r="157" spans="1:17" s="1724" customFormat="1" ht="18.75">
      <c r="A157" s="2593"/>
      <c r="B157" s="8360" t="s">
        <v>3484</v>
      </c>
      <c r="C157" s="8360"/>
      <c r="D157" s="8360"/>
      <c r="E157" s="8360"/>
      <c r="F157" s="8360"/>
      <c r="G157" s="2631"/>
      <c r="H157" s="2632"/>
      <c r="I157" s="2633"/>
      <c r="J157" s="2639" t="s">
        <v>3485</v>
      </c>
      <c r="K157" s="2593"/>
      <c r="L157" s="2634"/>
      <c r="M157" s="2633"/>
      <c r="N157" s="2524"/>
      <c r="O157" s="1744"/>
      <c r="P157" s="1744"/>
      <c r="Q157" s="1128">
        <v>1</v>
      </c>
    </row>
    <row r="158" spans="1:17" s="1724" customFormat="1" ht="18.75">
      <c r="A158" s="2593"/>
      <c r="B158" s="2593"/>
      <c r="C158" s="2593"/>
      <c r="D158" s="2593"/>
      <c r="E158" s="2593"/>
      <c r="F158" s="2631"/>
      <c r="G158" s="2631"/>
      <c r="H158" s="2632"/>
      <c r="I158" s="2633"/>
      <c r="J158" s="2639" t="s">
        <v>3486</v>
      </c>
      <c r="K158" s="2593"/>
      <c r="L158" s="2634"/>
      <c r="M158" s="2633"/>
      <c r="N158" s="2524"/>
      <c r="O158" s="1744"/>
      <c r="P158" s="1744"/>
      <c r="Q158" s="1128">
        <v>1</v>
      </c>
    </row>
    <row r="159" spans="1:17" s="1724" customFormat="1" ht="18.75">
      <c r="A159" s="2593"/>
      <c r="B159" s="2593"/>
      <c r="C159" s="2593"/>
      <c r="D159" s="2593"/>
      <c r="E159" s="2593"/>
      <c r="F159" s="2631"/>
      <c r="G159" s="2631"/>
      <c r="H159" s="2632"/>
      <c r="I159" s="2633"/>
      <c r="J159" s="2639" t="s">
        <v>3487</v>
      </c>
      <c r="K159" s="2593"/>
      <c r="L159" s="2634"/>
      <c r="M159" s="2633"/>
      <c r="N159" s="2524"/>
      <c r="O159" s="1744"/>
      <c r="P159" s="1744"/>
      <c r="Q159" s="1128">
        <v>1</v>
      </c>
    </row>
    <row r="160" spans="1:17" s="1724" customFormat="1" ht="18.75">
      <c r="A160" s="2630" t="s">
        <v>2468</v>
      </c>
      <c r="B160" s="2638" t="s">
        <v>3488</v>
      </c>
      <c r="C160" s="2593"/>
      <c r="D160" s="2593"/>
      <c r="E160" s="2593"/>
      <c r="F160" s="2631"/>
      <c r="G160" s="2631"/>
      <c r="H160" s="2632"/>
      <c r="I160" s="2633"/>
      <c r="J160" s="2593"/>
      <c r="K160" s="2593"/>
      <c r="L160" s="2634"/>
      <c r="M160" s="2633"/>
      <c r="N160" s="2524"/>
      <c r="O160" s="1744"/>
      <c r="P160" s="1744"/>
      <c r="Q160" s="1128">
        <v>1</v>
      </c>
    </row>
    <row r="161" spans="1:17" s="1724" customFormat="1" ht="18.75">
      <c r="A161" s="2593"/>
      <c r="B161" s="8360" t="s">
        <v>3489</v>
      </c>
      <c r="C161" s="8360"/>
      <c r="D161" s="8360"/>
      <c r="E161" s="8360"/>
      <c r="F161" s="2631"/>
      <c r="G161" s="2631"/>
      <c r="H161" s="2632"/>
      <c r="I161" s="2637" t="s">
        <v>3490</v>
      </c>
      <c r="J161" s="2638" t="s">
        <v>3491</v>
      </c>
      <c r="K161" s="2593"/>
      <c r="L161" s="2634"/>
      <c r="M161" s="2633"/>
      <c r="N161" s="2524"/>
      <c r="O161" s="1744"/>
      <c r="P161" s="1744"/>
    </row>
    <row r="162" spans="1:17" s="1724" customFormat="1" ht="18.75">
      <c r="A162" s="2593"/>
      <c r="B162" s="2593"/>
      <c r="C162" s="2593"/>
      <c r="D162" s="2593"/>
      <c r="E162" s="2593"/>
      <c r="F162" s="2631"/>
      <c r="G162" s="2631"/>
      <c r="H162" s="2632"/>
      <c r="I162" s="2633"/>
      <c r="J162" s="2641" t="s">
        <v>3492</v>
      </c>
      <c r="K162" s="2593"/>
      <c r="L162" s="2634"/>
      <c r="M162" s="2633"/>
      <c r="N162" s="2524"/>
      <c r="O162" s="1744"/>
      <c r="P162" s="1744"/>
      <c r="Q162" s="2486" t="s">
        <v>0</v>
      </c>
    </row>
    <row r="163" spans="1:17">
      <c r="Q163" s="9" t="str">
        <f>ADDRESS(ROW(),COLUMN(),4)</f>
        <v>Q163</v>
      </c>
    </row>
  </sheetData>
  <mergeCells count="80">
    <mergeCell ref="B2:Q2"/>
    <mergeCell ref="B4:Q5"/>
    <mergeCell ref="A21:A31"/>
    <mergeCell ref="B31:J31"/>
    <mergeCell ref="A36:A45"/>
    <mergeCell ref="J36:J45"/>
    <mergeCell ref="B45:G45"/>
    <mergeCell ref="K45:P45"/>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J108:P108"/>
    <mergeCell ref="B73:C73"/>
    <mergeCell ref="B76:Q76"/>
    <mergeCell ref="C95:L95"/>
    <mergeCell ref="B100:F100"/>
    <mergeCell ref="C101:H101"/>
    <mergeCell ref="C102:G102"/>
    <mergeCell ref="C103:H103"/>
    <mergeCell ref="C104:H104"/>
    <mergeCell ref="C105:H105"/>
    <mergeCell ref="C106:H106"/>
    <mergeCell ref="B108:F108"/>
    <mergeCell ref="K110:P111"/>
    <mergeCell ref="B112:D113"/>
    <mergeCell ref="E112:E113"/>
    <mergeCell ref="F112:F113"/>
    <mergeCell ref="J112:J113"/>
    <mergeCell ref="K112:K113"/>
    <mergeCell ref="L112:O113"/>
    <mergeCell ref="P112:P113"/>
    <mergeCell ref="A109:A132"/>
    <mergeCell ref="I109:I128"/>
    <mergeCell ref="B110:B111"/>
    <mergeCell ref="C110:F111"/>
    <mergeCell ref="J110:J111"/>
    <mergeCell ref="B114:B116"/>
    <mergeCell ref="C114:D116"/>
    <mergeCell ref="E114:E116"/>
    <mergeCell ref="F114:F116"/>
    <mergeCell ref="B124:B125"/>
    <mergeCell ref="C124:D125"/>
    <mergeCell ref="E124:E125"/>
    <mergeCell ref="F124:F125"/>
    <mergeCell ref="B117:B119"/>
    <mergeCell ref="C117:D119"/>
    <mergeCell ref="E117:E119"/>
    <mergeCell ref="F117:F119"/>
    <mergeCell ref="B120:B121"/>
    <mergeCell ref="C120:D121"/>
    <mergeCell ref="E120:E121"/>
    <mergeCell ref="F120:F121"/>
    <mergeCell ref="B122:B123"/>
    <mergeCell ref="C122:C123"/>
    <mergeCell ref="D122:D123"/>
    <mergeCell ref="E122:E123"/>
    <mergeCell ref="F122:F123"/>
    <mergeCell ref="B150:G150"/>
    <mergeCell ref="B151:G151"/>
    <mergeCell ref="B157:F157"/>
    <mergeCell ref="B161:E161"/>
    <mergeCell ref="J126:P126"/>
    <mergeCell ref="B127:F127"/>
    <mergeCell ref="B134:Q134"/>
    <mergeCell ref="B137:G137"/>
    <mergeCell ref="B143:E143"/>
    <mergeCell ref="B146:F146"/>
  </mergeCells>
  <conditionalFormatting sqref="A4">
    <cfRule type="expression" dxfId="66" priority="1" stopIfTrue="1">
      <formula>OR(ROW()=CELL("ligne"),COLUMN()=CELL("colonne"))</formula>
    </cfRule>
  </conditionalFormatting>
  <hyperlinks>
    <hyperlink ref="B137" r:id="rId1" xr:uid="{B3A6DAE6-983C-4809-980F-B890CC864C79}"/>
    <hyperlink ref="B143" r:id="rId2" xr:uid="{6C19E2DA-CC5C-42E5-8D78-BFDBF2A7DFBE}"/>
    <hyperlink ref="B151" r:id="rId3" xr:uid="{1ABE735C-DD10-4436-9A8B-F100AD48BBD7}"/>
    <hyperlink ref="B157" r:id="rId4" xr:uid="{0A23F6CF-14AC-446D-8B37-BBBE4FE7433C}"/>
    <hyperlink ref="B161" r:id="rId5" xr:uid="{87DE0431-D8FE-44F1-884F-21CE922E51F1}"/>
    <hyperlink ref="B146" r:id="rId6" xr:uid="{B8A58669-8CFB-4C4C-8146-75A37A6D1721}"/>
    <hyperlink ref="J144" r:id="rId7" xr:uid="{4E0FC9D6-1A60-46E5-A42F-6656AB3E5964}"/>
    <hyperlink ref="J145" r:id="rId8" xr:uid="{F5B12285-FBE2-469A-B7E3-784DF86BA163}"/>
    <hyperlink ref="J138" r:id="rId9" xr:uid="{5154899F-0020-4007-A796-100DC39F2FE5}"/>
    <hyperlink ref="J157" r:id="rId10" xr:uid="{881441B6-2226-4C00-8741-C3EAD627DFA9}"/>
    <hyperlink ref="J148" r:id="rId11" xr:uid="{8F0F6E24-D7F1-412A-9B90-6CE465C95D15}"/>
    <hyperlink ref="J162" r:id="rId12" xr:uid="{31CFC8BF-2C15-4A31-A932-DD28CB819094}"/>
    <hyperlink ref="J158" r:id="rId13" xr:uid="{BCD3C195-D57D-452A-B221-66F928C9DF38}"/>
    <hyperlink ref="J159" r:id="rId14" xr:uid="{4DCBC824-89C4-4E09-9BE9-AD9C79154605}"/>
    <hyperlink ref="J154" r:id="rId15" xr:uid="{D98C44CF-E829-49E7-867D-CE9ED9ACEDEC}"/>
    <hyperlink ref="B100" r:id="rId16" xr:uid="{76955199-F5BA-42C2-B6ED-5EC4AAEFD6F4}"/>
    <hyperlink ref="C102" r:id="rId17" xr:uid="{67F9C3FF-F410-4C30-867C-DF16B1991B38}"/>
    <hyperlink ref="C104" r:id="rId18" xr:uid="{B14A22C5-578A-466F-9476-44D0B764E074}"/>
    <hyperlink ref="C105" r:id="rId19" xr:uid="{BCBF493A-EF38-4E20-BFE5-4A857EA3E583}"/>
    <hyperlink ref="C101" r:id="rId20" xr:uid="{41427971-C19B-40D5-9229-962EDEE1B80F}"/>
    <hyperlink ref="C106" r:id="rId21" xr:uid="{119A4A34-54D7-4CF6-849E-34F3D2B31C4D}"/>
    <hyperlink ref="C103" r:id="rId22" xr:uid="{5DDCB726-FCF8-4057-96AD-8FE30E45C9FC}"/>
    <hyperlink ref="B90" r:id="rId23" xr:uid="{418F5871-7AF4-44F9-8BAA-C6A73261E647}"/>
    <hyperlink ref="B91" r:id="rId24" xr:uid="{89C80129-9C0F-433C-8F0D-22D52B09EAAD}"/>
    <hyperlink ref="B150:G150" r:id="rId25" display="http://calc.name/blog/comment-compter-le-pourcentage-de-tete-vite-et-facilement/" xr:uid="{0911D3E6-87DA-48F1-8C8C-5FDF21FC3B17}"/>
    <hyperlink ref="C95" r:id="rId26" display="https://www.google.com/search?client=firefox-b-d&amp;sca_esv=564255901&amp;sxsrf=AB5stBihJ69cL1ng1vQDYXKmUFWjQYd6jQ:1694407722726&amp;q=dgccrf+Poids+brut+ou+poids+net+?+Ne+payer+pas+l%27emballage+!&amp;spell=1&amp;sa=X&amp;ved=2ahUKEwjRtKvT4KGBAxVJWqQEHb3mCrcQBSgAegQICBAB&amp;biw=1564&amp;bih=722&amp;dpr=1.2" xr:uid="{D6DCB7DE-E353-48C6-9810-D8A4C109E865}"/>
  </hyperlinks>
  <pageMargins left="0.7" right="0.7" top="0.75" bottom="0.75" header="0.3" footer="0.3"/>
  <drawing r:id="rId2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F166A-040A-46B7-A591-5B5DF9529F4A}">
  <dimension ref="A1:AS408"/>
  <sheetViews>
    <sheetView showZeros="0" topLeftCell="A18" zoomScaleNormal="100" workbookViewId="0">
      <selection activeCell="B25" sqref="B25:C26"/>
    </sheetView>
  </sheetViews>
  <sheetFormatPr baseColWidth="10" defaultRowHeight="15"/>
  <cols>
    <col min="1" max="1" width="6.7109375" customWidth="1"/>
    <col min="2" max="2" width="11.7109375" style="2" customWidth="1"/>
    <col min="3" max="3" width="12.7109375" style="2" customWidth="1"/>
    <col min="4" max="4" width="4.5703125" style="2" customWidth="1"/>
    <col min="5" max="5" width="11.7109375" style="2" customWidth="1"/>
    <col min="6" max="6" width="12.5703125" style="2" customWidth="1"/>
    <col min="7" max="7" width="2.140625" style="2" customWidth="1"/>
    <col min="8" max="9" width="12.7109375" style="2" customWidth="1"/>
    <col min="10" max="10" width="5.140625" style="2" customWidth="1"/>
    <col min="11" max="19" width="12.7109375" style="2" customWidth="1"/>
    <col min="20" max="21" width="11.42578125" style="2"/>
    <col min="22" max="22" width="9.7109375" style="2" customWidth="1"/>
    <col min="23" max="23" width="23.7109375" style="2" customWidth="1"/>
    <col min="24" max="24" width="37.7109375" style="2" customWidth="1"/>
    <col min="25" max="27" width="8.7109375" style="2" customWidth="1"/>
    <col min="28" max="28" width="11.42578125" style="2"/>
    <col min="29" max="29" width="9.7109375" style="2" customWidth="1"/>
    <col min="30" max="30" width="23.7109375" style="2" customWidth="1"/>
    <col min="31" max="31" width="37.7109375" style="2" customWidth="1"/>
    <col min="32" max="34" width="8.7109375" style="2" customWidth="1"/>
    <col min="35" max="35" width="11.42578125" style="2"/>
    <col min="36" max="36" width="9.7109375" style="2" customWidth="1"/>
    <col min="37" max="37" width="23.7109375" style="2" customWidth="1"/>
    <col min="38" max="38" width="37.7109375" style="2" customWidth="1"/>
    <col min="39" max="41" width="8.7109375" style="2" customWidth="1"/>
    <col min="42" max="42" width="11.42578125" style="2"/>
    <col min="43" max="43" width="8.7109375" style="2" customWidth="1"/>
    <col min="44" max="44" width="11.42578125" style="1"/>
    <col min="45" max="45" width="43.5703125" style="1" customWidth="1"/>
  </cols>
  <sheetData>
    <row r="1" spans="1:45">
      <c r="A1" s="9" t="str">
        <f>ADDRESS(ROW(),COLUMN(),4)</f>
        <v>A1</v>
      </c>
      <c r="B1" s="5443" t="str">
        <f>SUBSTITUTE(ADDRESS(1,COLUMN(),4),"1","")</f>
        <v>B</v>
      </c>
      <c r="C1" s="5443" t="str">
        <f>SUBSTITUTE(ADDRESS(1,COLUMN(),4),"1","")</f>
        <v>C</v>
      </c>
      <c r="E1" s="5443" t="str">
        <f>SUBSTITUTE(ADDRESS(1,COLUMN(),4),"1","")</f>
        <v>E</v>
      </c>
      <c r="F1" s="5443" t="str">
        <f>SUBSTITUTE(ADDRESS(1,COLUMN(),4),"1","")</f>
        <v>F</v>
      </c>
      <c r="G1"/>
      <c r="H1" s="5443" t="str">
        <f>SUBSTITUTE(ADDRESS(1,COLUMN(),4),"1","")</f>
        <v>H</v>
      </c>
      <c r="I1" s="5443" t="str">
        <f>SUBSTITUTE(ADDRESS(1,COLUMN(),4),"1","")</f>
        <v>I</v>
      </c>
      <c r="J1"/>
      <c r="K1" s="5443" t="str">
        <f t="shared" ref="K1:T1" si="0">SUBSTITUTE(ADDRESS(1,COLUMN(),4),"1","")</f>
        <v>K</v>
      </c>
      <c r="L1" s="5443" t="str">
        <f t="shared" si="0"/>
        <v>L</v>
      </c>
      <c r="M1" s="5443" t="str">
        <f t="shared" si="0"/>
        <v>M</v>
      </c>
      <c r="N1" s="5443" t="str">
        <f t="shared" si="0"/>
        <v>N</v>
      </c>
      <c r="O1" s="5443" t="str">
        <f t="shared" si="0"/>
        <v>O</v>
      </c>
      <c r="P1" s="5443" t="str">
        <f t="shared" si="0"/>
        <v>P</v>
      </c>
      <c r="Q1" s="5443" t="str">
        <f t="shared" si="0"/>
        <v>Q</v>
      </c>
      <c r="R1" s="5443" t="str">
        <f t="shared" si="0"/>
        <v>R</v>
      </c>
      <c r="S1" s="5443" t="str">
        <f t="shared" si="0"/>
        <v>S</v>
      </c>
      <c r="T1" s="5443" t="str">
        <f t="shared" si="0"/>
        <v>T</v>
      </c>
      <c r="U1"/>
      <c r="V1" s="5443" t="str">
        <f>SUBSTITUTE(ADDRESS(1,COLUMN(),4),"1","")</f>
        <v>V</v>
      </c>
      <c r="W1" s="5443" t="str">
        <f>SUBSTITUTE(ADDRESS(1,COLUMN(),4),"1","")</f>
        <v>W</v>
      </c>
      <c r="X1" s="5443" t="str">
        <f>SUBSTITUTE(ADDRESS(1,COLUMN(),4),"1","")</f>
        <v>X</v>
      </c>
      <c r="Y1" s="5443" t="str">
        <f>SUBSTITUTE(ADDRESS(1,COLUMN(),4),"1","")</f>
        <v>Y</v>
      </c>
      <c r="Z1" s="5443" t="str">
        <f>SUBSTITUTE(ADDRESS(1,COLUMN(),4),"1","")</f>
        <v>Z</v>
      </c>
      <c r="AA1"/>
      <c r="AB1"/>
      <c r="AC1" s="5443" t="str">
        <f t="shared" ref="AC1:AH1" si="1">SUBSTITUTE(ADDRESS(1,COLUMN(),4),"1","")</f>
        <v>AC</v>
      </c>
      <c r="AD1" s="5443" t="str">
        <f t="shared" si="1"/>
        <v>AD</v>
      </c>
      <c r="AE1" s="5443" t="str">
        <f t="shared" si="1"/>
        <v>AE</v>
      </c>
      <c r="AF1" s="5443" t="str">
        <f t="shared" si="1"/>
        <v>AF</v>
      </c>
      <c r="AG1" s="5443" t="str">
        <f t="shared" si="1"/>
        <v>AG</v>
      </c>
      <c r="AH1" s="5443" t="str">
        <f t="shared" si="1"/>
        <v>AH</v>
      </c>
      <c r="AI1"/>
      <c r="AJ1" s="5443" t="str">
        <f t="shared" ref="AJ1:AO1" si="2">SUBSTITUTE(ADDRESS(1,COLUMN(),4),"1","")</f>
        <v>AJ</v>
      </c>
      <c r="AK1" s="5443" t="str">
        <f t="shared" si="2"/>
        <v>AK</v>
      </c>
      <c r="AL1" s="5443" t="str">
        <f t="shared" si="2"/>
        <v>AL</v>
      </c>
      <c r="AM1" s="5443" t="str">
        <f t="shared" si="2"/>
        <v>AM</v>
      </c>
      <c r="AN1" s="5443" t="str">
        <f t="shared" si="2"/>
        <v>AN</v>
      </c>
      <c r="AO1" s="5443" t="str">
        <f t="shared" si="2"/>
        <v>AO</v>
      </c>
      <c r="AP1"/>
      <c r="AQ1" s="5">
        <v>1</v>
      </c>
      <c r="AR1" s="5443" t="str">
        <f>SUBSTITUTE(ADDRESS(1,COLUMN(),4),"1","")</f>
        <v>AR</v>
      </c>
      <c r="AS1" s="5442" t="str">
        <f>SUBSTITUTE(ADDRESS(1,COLUMN(),4),"1","")</f>
        <v>AS</v>
      </c>
    </row>
    <row r="2" spans="1:45">
      <c r="A2" s="1626"/>
      <c r="B2" s="91">
        <f ca="1">CELL("largeur",B2)</f>
        <v>11</v>
      </c>
      <c r="C2" s="91">
        <f ca="1">CELL("largeur",C2)</f>
        <v>12</v>
      </c>
      <c r="E2" s="91">
        <f ca="1">CELL("largeur",E2)</f>
        <v>11</v>
      </c>
      <c r="F2" s="91">
        <f ca="1">CELL("largeur",F2)</f>
        <v>12</v>
      </c>
      <c r="G2"/>
      <c r="H2" s="91">
        <f ca="1">CELL("largeur",H2)</f>
        <v>12</v>
      </c>
      <c r="I2" s="91">
        <f ca="1">CELL("largeur",I2)</f>
        <v>12</v>
      </c>
      <c r="J2"/>
      <c r="K2" s="91">
        <f t="shared" ref="K2:T2" ca="1" si="3">CELL("largeur",K2)</f>
        <v>12</v>
      </c>
      <c r="L2" s="91">
        <f t="shared" ca="1" si="3"/>
        <v>12</v>
      </c>
      <c r="M2" s="91">
        <f t="shared" ca="1" si="3"/>
        <v>12</v>
      </c>
      <c r="N2" s="91">
        <f t="shared" ca="1" si="3"/>
        <v>12</v>
      </c>
      <c r="O2" s="91">
        <f t="shared" ca="1" si="3"/>
        <v>12</v>
      </c>
      <c r="P2" s="91">
        <f t="shared" ca="1" si="3"/>
        <v>12</v>
      </c>
      <c r="Q2" s="91">
        <f t="shared" ca="1" si="3"/>
        <v>12</v>
      </c>
      <c r="R2" s="91">
        <f t="shared" ca="1" si="3"/>
        <v>12</v>
      </c>
      <c r="S2" s="91">
        <f t="shared" ca="1" si="3"/>
        <v>12</v>
      </c>
      <c r="T2" s="91">
        <f t="shared" ca="1" si="3"/>
        <v>11</v>
      </c>
      <c r="U2"/>
      <c r="V2" s="91">
        <f ca="1">CELL("largeur",V2)</f>
        <v>9</v>
      </c>
      <c r="W2" s="91">
        <f ca="1">CELL("largeur",W2)</f>
        <v>23</v>
      </c>
      <c r="X2" s="91">
        <f ca="1">CELL("largeur",X2)</f>
        <v>37</v>
      </c>
      <c r="Y2" s="91">
        <f ca="1">CELL("largeur",Y2)</f>
        <v>8</v>
      </c>
      <c r="Z2" s="91">
        <f ca="1">CELL("largeur",Z2)</f>
        <v>8</v>
      </c>
      <c r="AA2"/>
      <c r="AB2"/>
      <c r="AC2" s="91">
        <f t="shared" ref="AC2:AH2" ca="1" si="4">CELL("largeur",AC2)</f>
        <v>9</v>
      </c>
      <c r="AD2" s="91">
        <f t="shared" ca="1" si="4"/>
        <v>23</v>
      </c>
      <c r="AE2" s="91">
        <f t="shared" ca="1" si="4"/>
        <v>37</v>
      </c>
      <c r="AF2" s="91">
        <f t="shared" ca="1" si="4"/>
        <v>8</v>
      </c>
      <c r="AG2" s="91">
        <f t="shared" ca="1" si="4"/>
        <v>8</v>
      </c>
      <c r="AH2" s="91">
        <f t="shared" ca="1" si="4"/>
        <v>8</v>
      </c>
      <c r="AI2"/>
      <c r="AJ2" s="91">
        <f t="shared" ref="AJ2:AO2" ca="1" si="5">CELL("largeur",AJ2)</f>
        <v>9</v>
      </c>
      <c r="AK2" s="91">
        <f t="shared" ca="1" si="5"/>
        <v>23</v>
      </c>
      <c r="AL2" s="91">
        <f t="shared" ca="1" si="5"/>
        <v>37</v>
      </c>
      <c r="AM2" s="91">
        <f t="shared" ca="1" si="5"/>
        <v>8</v>
      </c>
      <c r="AN2" s="91">
        <f t="shared" ca="1" si="5"/>
        <v>8</v>
      </c>
      <c r="AO2" s="91">
        <f t="shared" ca="1" si="5"/>
        <v>8</v>
      </c>
      <c r="AP2"/>
      <c r="AQ2" s="5">
        <v>1</v>
      </c>
      <c r="AR2" s="440"/>
      <c r="AS2" s="440" t="s">
        <v>295</v>
      </c>
    </row>
    <row r="3" spans="1:45" ht="15.75">
      <c r="B3"/>
      <c r="C3"/>
      <c r="E3"/>
      <c r="F3"/>
      <c r="G3"/>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c r="AQ3" s="5">
        <v>1</v>
      </c>
      <c r="AR3" s="430" cm="1">
        <f t="array" aca="1" ref="AR3" ca="1">COUNTA(A1:AQ408+COUNTBLANK(A1:AQ408))</f>
        <v>17544</v>
      </c>
      <c r="AS3" s="429" t="str">
        <f>"cellules entre"&amp;" " &amp;A1&amp;" et  "&amp;AQ408</f>
        <v>cellules entre A1 et  AQ408</v>
      </c>
    </row>
    <row r="4" spans="1:45" ht="21" customHeight="1">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106"/>
      <c r="AQ4" s="5">
        <v>1</v>
      </c>
      <c r="AR4" s="430">
        <f ca="1">COUNTA(A1:AQ408)</f>
        <v>7424</v>
      </c>
      <c r="AS4" s="429" t="s">
        <v>291</v>
      </c>
    </row>
    <row r="5" spans="1:45" ht="21" customHeight="1">
      <c r="H5" s="97"/>
      <c r="I5" s="97"/>
      <c r="J5" s="97"/>
      <c r="K5" s="97"/>
      <c r="L5" s="97"/>
      <c r="M5" s="97"/>
      <c r="N5" s="97"/>
      <c r="O5" s="97"/>
      <c r="P5" s="97"/>
      <c r="Q5" s="97"/>
      <c r="R5" s="97"/>
      <c r="S5" s="97"/>
      <c r="T5" s="97"/>
      <c r="U5" s="97"/>
      <c r="V5" s="97"/>
      <c r="W5" s="97"/>
      <c r="X5" s="97"/>
      <c r="Y5" s="97"/>
      <c r="Z5" s="97"/>
      <c r="AA5" s="97"/>
      <c r="AB5" s="97"/>
      <c r="AC5" s="1122"/>
      <c r="AD5" s="106"/>
      <c r="AE5" s="106"/>
      <c r="AF5" s="106"/>
      <c r="AG5" s="97"/>
      <c r="AH5" s="97"/>
      <c r="AI5" s="97"/>
      <c r="AJ5" s="97"/>
      <c r="AK5" s="97"/>
      <c r="AL5" s="97"/>
      <c r="AM5" s="97"/>
      <c r="AN5" s="97"/>
      <c r="AO5" s="97"/>
      <c r="AP5" s="106"/>
      <c r="AQ5" s="5">
        <v>1</v>
      </c>
      <c r="AR5" s="430">
        <f ca="1">COUNTBLANK(A1:AQ408)</f>
        <v>10120</v>
      </c>
      <c r="AS5" s="429" t="s">
        <v>288</v>
      </c>
    </row>
    <row r="6" spans="1:45" ht="21" customHeight="1">
      <c r="H6" s="97"/>
      <c r="I6" s="97"/>
      <c r="J6" s="97"/>
      <c r="K6" s="97"/>
      <c r="L6" s="97"/>
      <c r="M6" s="97"/>
      <c r="N6" s="97"/>
      <c r="O6" s="97"/>
      <c r="P6" s="97"/>
      <c r="Q6" s="97"/>
      <c r="R6" s="97"/>
      <c r="S6" s="97"/>
      <c r="T6" s="97"/>
      <c r="U6" s="97"/>
      <c r="V6" s="97"/>
      <c r="W6" s="97"/>
      <c r="X6" s="97"/>
      <c r="Y6" s="97"/>
      <c r="Z6" s="97"/>
      <c r="AA6" s="97"/>
      <c r="AB6" s="97"/>
      <c r="AC6" s="1122" t="s">
        <v>3493</v>
      </c>
      <c r="AD6" s="106"/>
      <c r="AE6" s="106"/>
      <c r="AF6" s="106"/>
      <c r="AG6" s="97"/>
      <c r="AH6" s="97"/>
      <c r="AI6" s="97"/>
      <c r="AJ6" s="97"/>
      <c r="AK6" s="97"/>
      <c r="AL6" s="97"/>
      <c r="AM6" s="97"/>
      <c r="AN6" s="97"/>
      <c r="AO6" s="97"/>
      <c r="AP6" s="106"/>
      <c r="AQ6" s="5">
        <v>1</v>
      </c>
      <c r="AR6" s="430">
        <f>SUM(AQ1:AQ406)+2</f>
        <v>408</v>
      </c>
      <c r="AS6" s="429" t="s">
        <v>286</v>
      </c>
    </row>
    <row r="7" spans="1:45" ht="21" customHeight="1">
      <c r="H7" s="97"/>
      <c r="I7" s="97"/>
      <c r="J7" s="97"/>
      <c r="K7" s="97"/>
      <c r="L7" s="97"/>
      <c r="M7" s="97"/>
      <c r="N7" s="97"/>
      <c r="O7" s="97"/>
      <c r="P7" s="97"/>
      <c r="Q7" s="97"/>
      <c r="R7" s="97"/>
      <c r="S7" s="97"/>
      <c r="T7" s="97"/>
      <c r="U7" s="97"/>
      <c r="V7" s="97"/>
      <c r="W7" s="97"/>
      <c r="X7" s="97"/>
      <c r="Y7" s="97"/>
      <c r="Z7" s="97"/>
      <c r="AA7" s="97"/>
      <c r="AB7" s="97"/>
      <c r="AC7" s="2642" t="s">
        <v>627</v>
      </c>
      <c r="AD7" s="7414" t="s">
        <v>3494</v>
      </c>
      <c r="AE7" s="7414"/>
      <c r="AF7" s="7414"/>
      <c r="AG7" s="97"/>
      <c r="AH7" s="97"/>
      <c r="AI7" s="97"/>
      <c r="AJ7" s="97"/>
      <c r="AK7" s="97"/>
      <c r="AL7" s="97"/>
      <c r="AM7" s="97"/>
      <c r="AN7" s="97"/>
      <c r="AO7" s="97"/>
      <c r="AP7" s="106"/>
      <c r="AQ7" s="5">
        <v>1</v>
      </c>
      <c r="AR7" s="430">
        <f>SUM(A408:AP408)+1</f>
        <v>43</v>
      </c>
      <c r="AS7" s="429" t="s">
        <v>284</v>
      </c>
    </row>
    <row r="8" spans="1:45" ht="21" customHeight="1">
      <c r="B8" s="7185" t="s">
        <v>1301</v>
      </c>
      <c r="C8" s="7185"/>
      <c r="E8" s="7185" t="s">
        <v>1301</v>
      </c>
      <c r="F8" s="7185"/>
      <c r="H8" s="97"/>
      <c r="I8" s="97"/>
      <c r="J8" s="97"/>
      <c r="K8" s="97"/>
      <c r="L8" s="97"/>
      <c r="M8" s="97"/>
      <c r="N8" s="97"/>
      <c r="O8" s="97"/>
      <c r="P8" s="97"/>
      <c r="Q8" s="97"/>
      <c r="R8" s="97"/>
      <c r="S8" s="97"/>
      <c r="T8" s="97"/>
      <c r="U8" s="97"/>
      <c r="V8" s="97"/>
      <c r="W8" s="97"/>
      <c r="X8" s="97"/>
      <c r="Y8" s="97"/>
      <c r="Z8" s="97"/>
      <c r="AA8" s="97"/>
      <c r="AB8" s="97"/>
      <c r="AC8" s="97" t="s">
        <v>3495</v>
      </c>
      <c r="AD8" s="106"/>
      <c r="AE8" s="106"/>
      <c r="AF8" s="106"/>
      <c r="AG8" s="97"/>
      <c r="AH8" s="97"/>
      <c r="AI8" s="97"/>
      <c r="AJ8" s="97"/>
      <c r="AK8" s="97"/>
      <c r="AL8" s="97"/>
      <c r="AM8" s="97"/>
      <c r="AN8" s="97"/>
      <c r="AO8" s="97"/>
      <c r="AP8" s="106"/>
      <c r="AQ8" s="5">
        <v>1</v>
      </c>
    </row>
    <row r="9" spans="1:45" ht="21" customHeight="1">
      <c r="B9" s="7185"/>
      <c r="C9" s="7185"/>
      <c r="E9" s="7185"/>
      <c r="F9" s="7185"/>
      <c r="H9" s="97"/>
      <c r="I9" s="97"/>
      <c r="J9" s="97"/>
      <c r="K9" s="97"/>
      <c r="L9" s="97"/>
      <c r="M9" s="97"/>
      <c r="N9" s="97"/>
      <c r="O9" s="97"/>
      <c r="P9" s="97"/>
      <c r="Q9" s="97"/>
      <c r="R9" s="97"/>
      <c r="S9" s="97"/>
      <c r="T9" s="97"/>
      <c r="U9" s="97"/>
      <c r="V9" s="97"/>
      <c r="W9" s="97"/>
      <c r="X9" s="97"/>
      <c r="Y9" s="97"/>
      <c r="Z9" s="97"/>
      <c r="AA9" s="97"/>
      <c r="AB9" s="97"/>
      <c r="AC9" s="2642" t="s">
        <v>627</v>
      </c>
      <c r="AD9" s="7414" t="s">
        <v>3496</v>
      </c>
      <c r="AE9" s="7414"/>
      <c r="AF9" s="7414"/>
      <c r="AG9" s="97"/>
      <c r="AH9" s="97"/>
      <c r="AI9" s="97"/>
      <c r="AJ9" s="97"/>
      <c r="AK9" s="97"/>
      <c r="AL9" s="97"/>
      <c r="AM9" s="97"/>
      <c r="AN9" s="97"/>
      <c r="AO9" s="97"/>
      <c r="AP9" s="106"/>
      <c r="AQ9" s="5">
        <v>1</v>
      </c>
    </row>
    <row r="10" spans="1:45" ht="21" customHeight="1">
      <c r="B10" s="7216" t="s">
        <v>1311</v>
      </c>
      <c r="C10" s="7216"/>
      <c r="H10" s="97"/>
      <c r="I10" s="97"/>
      <c r="J10" s="97"/>
      <c r="K10" s="97"/>
      <c r="L10" s="97"/>
      <c r="M10" s="97"/>
      <c r="N10" s="97"/>
      <c r="O10" s="97"/>
      <c r="P10" s="97"/>
      <c r="Q10" s="97"/>
      <c r="R10" s="97"/>
      <c r="S10" s="97"/>
      <c r="T10" s="97"/>
      <c r="U10" s="97"/>
      <c r="V10" s="97"/>
      <c r="W10" s="97"/>
      <c r="X10" s="97"/>
      <c r="Y10" s="97"/>
      <c r="Z10" s="97"/>
      <c r="AA10" s="97"/>
      <c r="AB10" s="97"/>
      <c r="AC10" s="97" t="s">
        <v>3497</v>
      </c>
      <c r="AD10" s="106"/>
      <c r="AE10" s="106"/>
      <c r="AF10" s="106"/>
      <c r="AG10" s="97"/>
      <c r="AH10" s="97"/>
      <c r="AI10" s="97"/>
      <c r="AJ10" s="97"/>
      <c r="AK10" s="97"/>
      <c r="AL10" s="97"/>
      <c r="AM10" s="97"/>
      <c r="AN10" s="97"/>
      <c r="AO10" s="97"/>
      <c r="AP10" s="106"/>
      <c r="AQ10" s="5">
        <v>1</v>
      </c>
    </row>
    <row r="11" spans="1:45" ht="21" customHeight="1">
      <c r="B11" s="7216"/>
      <c r="C11" s="7216"/>
      <c r="H11" s="106">
        <v>1</v>
      </c>
      <c r="I11" s="106">
        <v>1</v>
      </c>
      <c r="J11" s="97"/>
      <c r="K11" s="7413" t="s">
        <v>3498</v>
      </c>
      <c r="L11" s="7413"/>
      <c r="M11" s="7413"/>
      <c r="N11" s="7413"/>
      <c r="O11" s="7413"/>
      <c r="P11" s="7413"/>
      <c r="Q11" s="7413"/>
      <c r="R11" s="7413"/>
      <c r="S11" s="97"/>
      <c r="T11" s="97"/>
      <c r="U11" s="97"/>
      <c r="V11" s="2644" t="s">
        <v>3499</v>
      </c>
      <c r="W11" s="97"/>
      <c r="X11" s="97"/>
      <c r="Y11" s="97"/>
      <c r="Z11" s="97"/>
      <c r="AA11" s="97"/>
      <c r="AB11" s="97"/>
      <c r="AC11" s="2642" t="s">
        <v>627</v>
      </c>
      <c r="AD11" s="7414" t="s">
        <v>3500</v>
      </c>
      <c r="AE11" s="7414"/>
      <c r="AF11" s="7414"/>
      <c r="AG11" s="97"/>
      <c r="AH11" s="97"/>
      <c r="AI11" s="97"/>
      <c r="AJ11" s="97"/>
      <c r="AK11" s="97"/>
      <c r="AL11" s="97"/>
      <c r="AM11" s="97"/>
      <c r="AN11" s="97"/>
      <c r="AO11" s="97"/>
      <c r="AP11" s="106"/>
      <c r="AQ11" s="5">
        <v>1</v>
      </c>
    </row>
    <row r="12" spans="1:45" ht="21" customHeight="1">
      <c r="H12" s="1630" t="s">
        <v>1312</v>
      </c>
      <c r="I12" s="97"/>
      <c r="K12" s="2645"/>
      <c r="L12" s="2645"/>
      <c r="M12" s="2645"/>
      <c r="N12" s="2645"/>
      <c r="O12" s="2645"/>
      <c r="P12" s="2645"/>
      <c r="Q12" s="2646" t="str">
        <f ca="1">"Page "&amp;_xlfn.SHEET()&amp;" sur "&amp;_xlfn.SHEETS()</f>
        <v>Page 25 sur 28</v>
      </c>
      <c r="R12" s="2646"/>
      <c r="S12" s="97"/>
      <c r="T12" s="97"/>
      <c r="U12" s="2642" t="s">
        <v>627</v>
      </c>
      <c r="V12" s="2643" t="s">
        <v>3501</v>
      </c>
      <c r="W12" s="97"/>
      <c r="X12" s="97"/>
      <c r="Y12" s="97"/>
      <c r="Z12" s="97"/>
      <c r="AA12" s="97"/>
      <c r="AB12" s="97">
        <v>0</v>
      </c>
      <c r="AC12" s="97" t="s">
        <v>3502</v>
      </c>
      <c r="AD12" s="97"/>
      <c r="AE12" s="97"/>
      <c r="AF12" s="97"/>
      <c r="AG12" s="97"/>
      <c r="AH12" s="97"/>
      <c r="AI12" s="97"/>
      <c r="AJ12" s="97"/>
      <c r="AK12" s="97"/>
      <c r="AL12" s="97"/>
      <c r="AM12" s="97"/>
      <c r="AN12" s="97"/>
      <c r="AO12" s="97"/>
      <c r="AP12" s="106"/>
      <c r="AQ12" s="5">
        <v>1</v>
      </c>
    </row>
    <row r="13" spans="1:45" ht="21" customHeight="1">
      <c r="B13" s="7182" t="s">
        <v>1321</v>
      </c>
      <c r="C13" s="7182"/>
      <c r="E13" s="7184" t="s">
        <v>1322</v>
      </c>
      <c r="F13" s="7184"/>
      <c r="H13" s="8460" t="s">
        <v>1323</v>
      </c>
      <c r="I13" s="8460"/>
      <c r="K13" s="2647">
        <v>1</v>
      </c>
      <c r="L13" s="2648">
        <v>2</v>
      </c>
      <c r="M13" s="5482">
        <v>3</v>
      </c>
      <c r="N13" s="2649">
        <v>4</v>
      </c>
      <c r="O13" s="2650">
        <v>5</v>
      </c>
      <c r="P13" s="2651">
        <v>6</v>
      </c>
      <c r="Q13" s="2652">
        <v>7</v>
      </c>
      <c r="R13" s="2653">
        <v>8</v>
      </c>
      <c r="S13" s="97"/>
      <c r="T13" s="97"/>
      <c r="V13" s="2654"/>
      <c r="W13" s="97"/>
      <c r="X13" s="97"/>
      <c r="Y13" s="97"/>
      <c r="Z13" s="97"/>
      <c r="AA13" s="97"/>
      <c r="AB13" s="97"/>
      <c r="AC13" s="2642" t="s">
        <v>627</v>
      </c>
      <c r="AD13" s="2641" t="s">
        <v>3503</v>
      </c>
      <c r="AE13" s="97"/>
      <c r="AF13" s="97"/>
      <c r="AG13" s="97"/>
      <c r="AH13" s="97"/>
      <c r="AI13" s="97"/>
      <c r="AJ13" s="97"/>
      <c r="AK13" s="97"/>
      <c r="AL13" s="97"/>
      <c r="AM13" s="97"/>
      <c r="AN13" s="97"/>
      <c r="AO13" s="97"/>
      <c r="AP13" s="106"/>
      <c r="AQ13" s="5">
        <v>1</v>
      </c>
    </row>
    <row r="14" spans="1:45" ht="21" customHeight="1">
      <c r="B14" s="7182"/>
      <c r="C14" s="7182"/>
      <c r="E14" s="7184"/>
      <c r="F14" s="7184"/>
      <c r="H14" s="8461" t="s">
        <v>1324</v>
      </c>
      <c r="I14" s="8462"/>
      <c r="K14" s="2655">
        <v>9</v>
      </c>
      <c r="L14" s="2656">
        <v>10</v>
      </c>
      <c r="M14" s="2657">
        <v>11</v>
      </c>
      <c r="N14" s="2658">
        <v>12</v>
      </c>
      <c r="O14" s="2659">
        <v>13</v>
      </c>
      <c r="P14" s="2660">
        <v>14</v>
      </c>
      <c r="Q14" s="2661">
        <v>15</v>
      </c>
      <c r="R14" s="2662">
        <v>16</v>
      </c>
      <c r="S14" s="97"/>
      <c r="T14" s="97"/>
      <c r="V14" s="2644" t="s">
        <v>3504</v>
      </c>
      <c r="W14" s="97"/>
      <c r="X14" s="97"/>
      <c r="Y14" s="97"/>
      <c r="Z14" s="97"/>
      <c r="AA14" s="97"/>
      <c r="AB14" s="97"/>
      <c r="AC14" s="97" t="s">
        <v>3505</v>
      </c>
      <c r="AD14" s="97"/>
      <c r="AE14" s="97"/>
      <c r="AF14" s="97"/>
      <c r="AG14" s="97"/>
      <c r="AH14" s="97"/>
      <c r="AI14" s="97"/>
      <c r="AJ14" s="97"/>
      <c r="AK14" s="97"/>
      <c r="AL14" s="97"/>
      <c r="AM14" s="97"/>
      <c r="AN14" s="97"/>
      <c r="AO14" s="97"/>
      <c r="AP14" s="106"/>
      <c r="AQ14" s="5">
        <v>1</v>
      </c>
    </row>
    <row r="15" spans="1:45" ht="21" customHeight="1">
      <c r="H15" s="7432"/>
      <c r="I15" s="8463"/>
      <c r="K15" s="2663">
        <v>17</v>
      </c>
      <c r="L15" s="2664">
        <v>18</v>
      </c>
      <c r="M15" s="2665">
        <v>19</v>
      </c>
      <c r="N15" s="2666">
        <v>20</v>
      </c>
      <c r="O15" s="2667">
        <v>21</v>
      </c>
      <c r="P15" s="2668">
        <v>22</v>
      </c>
      <c r="Q15" s="2669">
        <v>23</v>
      </c>
      <c r="R15" s="2670">
        <v>24</v>
      </c>
      <c r="S15" s="97"/>
      <c r="T15" s="97"/>
      <c r="U15" s="2642" t="s">
        <v>627</v>
      </c>
      <c r="V15" s="2643" t="s">
        <v>3506</v>
      </c>
      <c r="W15" s="97"/>
      <c r="X15" s="97"/>
      <c r="Y15" s="97"/>
      <c r="Z15" s="97"/>
      <c r="AA15" s="97"/>
      <c r="AB15" s="97"/>
      <c r="AC15" s="2642" t="s">
        <v>627</v>
      </c>
      <c r="AD15" s="2641" t="s">
        <v>3507</v>
      </c>
      <c r="AE15" s="97"/>
      <c r="AF15" s="97"/>
      <c r="AG15" s="97"/>
      <c r="AH15" s="97"/>
      <c r="AI15" s="97"/>
      <c r="AJ15" s="97"/>
      <c r="AK15" s="97"/>
      <c r="AL15" s="97"/>
      <c r="AM15" s="97"/>
      <c r="AN15" s="97"/>
      <c r="AO15" s="97"/>
      <c r="AP15" s="106"/>
      <c r="AQ15" s="5">
        <v>1</v>
      </c>
    </row>
    <row r="16" spans="1:45" ht="21" customHeight="1">
      <c r="B16" s="7187" t="s">
        <v>1334</v>
      </c>
      <c r="C16" s="7187"/>
      <c r="E16" s="7218" t="s">
        <v>1335</v>
      </c>
      <c r="F16" s="7218"/>
      <c r="H16" s="8464"/>
      <c r="I16" s="8465"/>
      <c r="K16" s="2671">
        <v>25</v>
      </c>
      <c r="L16" s="2672">
        <v>26</v>
      </c>
      <c r="M16" s="2673">
        <v>27</v>
      </c>
      <c r="N16" s="2674">
        <v>28</v>
      </c>
      <c r="O16" s="2675">
        <v>29</v>
      </c>
      <c r="P16" s="2676">
        <v>30</v>
      </c>
      <c r="Q16" s="2677">
        <v>31</v>
      </c>
      <c r="R16" s="2678">
        <v>32</v>
      </c>
      <c r="S16" s="97"/>
      <c r="T16" s="97"/>
      <c r="U16" s="2642" t="s">
        <v>627</v>
      </c>
      <c r="V16" s="2643" t="s">
        <v>3508</v>
      </c>
      <c r="W16" s="97"/>
      <c r="X16" s="97"/>
      <c r="Y16" s="97"/>
      <c r="Z16" s="97"/>
      <c r="AA16" s="97"/>
      <c r="AB16" s="97"/>
      <c r="AC16" s="97" t="s">
        <v>3509</v>
      </c>
      <c r="AD16" s="97"/>
      <c r="AE16" s="97"/>
      <c r="AF16" s="97"/>
      <c r="AG16" s="97"/>
      <c r="AH16" s="97"/>
      <c r="AI16" s="97"/>
      <c r="AJ16" s="97"/>
      <c r="AK16" s="97"/>
      <c r="AL16" s="97"/>
      <c r="AM16" s="97"/>
      <c r="AN16" s="97"/>
      <c r="AO16" s="97"/>
      <c r="AP16" s="106"/>
      <c r="AQ16" s="5">
        <v>1</v>
      </c>
    </row>
    <row r="17" spans="1:43" ht="21" customHeight="1">
      <c r="B17" s="7187"/>
      <c r="C17" s="7187"/>
      <c r="E17" s="7218"/>
      <c r="F17" s="7218"/>
      <c r="H17" s="2679" t="s">
        <v>1336</v>
      </c>
      <c r="I17" s="2679"/>
      <c r="K17" s="2680">
        <v>33</v>
      </c>
      <c r="L17" s="2681">
        <v>34</v>
      </c>
      <c r="M17" s="2682">
        <v>35</v>
      </c>
      <c r="N17" s="2683">
        <v>36</v>
      </c>
      <c r="O17" s="2684">
        <v>37</v>
      </c>
      <c r="P17" s="2685">
        <v>38</v>
      </c>
      <c r="Q17" s="2686">
        <v>39</v>
      </c>
      <c r="R17" s="2687">
        <v>40</v>
      </c>
      <c r="S17" s="97"/>
      <c r="T17" s="97"/>
      <c r="V17" s="2654"/>
      <c r="W17" s="97"/>
      <c r="X17" s="97"/>
      <c r="Y17" s="97"/>
      <c r="Z17" s="97"/>
      <c r="AA17" s="97"/>
      <c r="AB17" s="97"/>
      <c r="AC17" s="2642" t="s">
        <v>627</v>
      </c>
      <c r="AD17" s="2641" t="s">
        <v>3510</v>
      </c>
      <c r="AE17" s="97"/>
      <c r="AF17" s="97"/>
      <c r="AG17" s="97"/>
      <c r="AH17" s="97"/>
      <c r="AI17" s="97"/>
      <c r="AJ17" s="97"/>
      <c r="AK17" s="97"/>
      <c r="AL17" s="97"/>
      <c r="AM17" s="97"/>
      <c r="AN17" s="97"/>
      <c r="AO17" s="97"/>
      <c r="AP17" s="106"/>
      <c r="AQ17" s="5">
        <v>1</v>
      </c>
    </row>
    <row r="18" spans="1:43" ht="21" customHeight="1">
      <c r="H18" s="8466" t="s">
        <v>1337</v>
      </c>
      <c r="I18" s="8467"/>
      <c r="K18" s="2688">
        <v>41</v>
      </c>
      <c r="L18" s="2689">
        <v>42</v>
      </c>
      <c r="M18" s="2690">
        <v>43</v>
      </c>
      <c r="N18" s="2691">
        <v>44</v>
      </c>
      <c r="O18" s="2692">
        <v>45</v>
      </c>
      <c r="P18" s="2693">
        <v>46</v>
      </c>
      <c r="Q18" s="2694">
        <v>47</v>
      </c>
      <c r="R18" s="2695">
        <v>48</v>
      </c>
      <c r="S18" s="97"/>
      <c r="T18" s="97"/>
      <c r="V18" s="2644" t="s">
        <v>3511</v>
      </c>
      <c r="W18" s="97"/>
      <c r="X18" s="97"/>
      <c r="Y18" s="97"/>
      <c r="Z18" s="97"/>
      <c r="AA18" s="97"/>
      <c r="AB18" s="97"/>
      <c r="AC18" s="97" t="s">
        <v>3512</v>
      </c>
      <c r="AD18" s="97"/>
      <c r="AE18" s="97"/>
      <c r="AF18" s="97"/>
      <c r="AG18" s="97"/>
      <c r="AH18" s="97"/>
      <c r="AI18" s="97"/>
      <c r="AJ18" s="97"/>
      <c r="AK18" s="97"/>
      <c r="AL18" s="97"/>
      <c r="AM18" s="97"/>
      <c r="AN18" s="97"/>
      <c r="AO18" s="97"/>
      <c r="AP18" s="106"/>
      <c r="AQ18" s="5">
        <v>1</v>
      </c>
    </row>
    <row r="19" spans="1:43" ht="21" customHeight="1">
      <c r="A19" s="187"/>
      <c r="B19" s="7219" t="s">
        <v>1347</v>
      </c>
      <c r="C19" s="7219"/>
      <c r="E19" s="7220" t="s">
        <v>1348</v>
      </c>
      <c r="F19" s="7220"/>
      <c r="H19" s="8468"/>
      <c r="I19" s="8469"/>
      <c r="K19" s="2696">
        <v>49</v>
      </c>
      <c r="L19" s="2697">
        <v>50</v>
      </c>
      <c r="M19" s="2698">
        <v>51</v>
      </c>
      <c r="N19" s="2699">
        <v>52</v>
      </c>
      <c r="O19" s="2700">
        <v>53</v>
      </c>
      <c r="P19" s="2701">
        <v>54</v>
      </c>
      <c r="Q19" s="2702">
        <v>55</v>
      </c>
      <c r="R19" s="2703">
        <v>56</v>
      </c>
      <c r="S19" s="97"/>
      <c r="T19" s="97"/>
      <c r="U19" s="2642" t="s">
        <v>627</v>
      </c>
      <c r="V19" s="2643" t="s">
        <v>3513</v>
      </c>
      <c r="W19" s="97"/>
      <c r="X19" s="97"/>
      <c r="Y19" s="97"/>
      <c r="Z19" s="97"/>
      <c r="AA19" s="97"/>
      <c r="AB19" s="97"/>
      <c r="AC19" s="2642" t="s">
        <v>627</v>
      </c>
      <c r="AD19" s="2641" t="s">
        <v>3514</v>
      </c>
      <c r="AE19" s="97"/>
      <c r="AF19" s="97"/>
      <c r="AG19" s="97"/>
      <c r="AH19" s="97"/>
      <c r="AI19" s="97"/>
      <c r="AJ19" s="97"/>
      <c r="AK19" s="97"/>
      <c r="AL19" s="97"/>
      <c r="AM19" s="97"/>
      <c r="AN19" s="97"/>
      <c r="AO19" s="97"/>
      <c r="AP19" s="106"/>
      <c r="AQ19" s="5">
        <v>1</v>
      </c>
    </row>
    <row r="20" spans="1:43" ht="21" customHeight="1">
      <c r="B20" s="7219"/>
      <c r="C20" s="7219"/>
      <c r="E20" s="7220"/>
      <c r="F20" s="7220"/>
      <c r="H20" s="1128">
        <v>1</v>
      </c>
      <c r="I20" s="1128">
        <v>1</v>
      </c>
      <c r="K20" s="7433" t="s">
        <v>3515</v>
      </c>
      <c r="L20" s="7433"/>
      <c r="M20" s="7433"/>
      <c r="N20" s="7433"/>
      <c r="O20" s="7433"/>
      <c r="P20" s="7433"/>
      <c r="Q20" s="7433"/>
      <c r="R20" s="7433"/>
      <c r="S20" s="97"/>
      <c r="T20" s="97"/>
      <c r="V20" s="97"/>
      <c r="W20" s="97"/>
      <c r="X20" s="97"/>
      <c r="Y20" s="97"/>
      <c r="Z20" s="97"/>
      <c r="AA20" s="97"/>
      <c r="AB20" s="97"/>
      <c r="AC20" s="97" t="s">
        <v>3516</v>
      </c>
      <c r="AD20" s="102"/>
      <c r="AE20" s="102"/>
      <c r="AF20" s="102"/>
      <c r="AG20" s="97"/>
      <c r="AH20" s="97"/>
      <c r="AI20" s="97"/>
      <c r="AJ20" s="97"/>
      <c r="AK20" s="97"/>
      <c r="AL20" s="97"/>
      <c r="AM20" s="97"/>
      <c r="AN20" s="97"/>
      <c r="AO20" s="97"/>
      <c r="AP20" s="106"/>
      <c r="AQ20" s="5">
        <v>1</v>
      </c>
    </row>
    <row r="21" spans="1:43" ht="21" customHeight="1">
      <c r="H21" s="8471" t="s">
        <v>1349</v>
      </c>
      <c r="I21" s="8472"/>
      <c r="K21" s="8470"/>
      <c r="L21" s="8470"/>
      <c r="M21" s="8470"/>
      <c r="N21" s="8470"/>
      <c r="O21" s="8470"/>
      <c r="P21" s="8470"/>
      <c r="Q21" s="8470"/>
      <c r="R21" s="8470"/>
      <c r="S21" s="97"/>
      <c r="T21" s="97"/>
      <c r="V21" s="97"/>
      <c r="W21" s="97"/>
      <c r="X21" s="97"/>
      <c r="Y21" s="97"/>
      <c r="Z21" s="97"/>
      <c r="AA21" s="97"/>
      <c r="AB21" s="97"/>
      <c r="AC21" s="2642" t="s">
        <v>627</v>
      </c>
      <c r="AD21" s="2641" t="s">
        <v>3517</v>
      </c>
      <c r="AE21" s="97"/>
      <c r="AF21" s="97"/>
      <c r="AG21" s="97"/>
      <c r="AH21" s="97"/>
      <c r="AI21" s="97"/>
      <c r="AJ21" s="97"/>
      <c r="AK21" s="97"/>
      <c r="AL21" s="97"/>
      <c r="AM21" s="97"/>
      <c r="AN21" s="97"/>
      <c r="AO21" s="97"/>
      <c r="AQ21" s="5">
        <v>1</v>
      </c>
    </row>
    <row r="22" spans="1:43" ht="21" customHeight="1">
      <c r="B22" s="7236" t="s">
        <v>1357</v>
      </c>
      <c r="C22" s="7236"/>
      <c r="E22" s="7229" t="s">
        <v>1358</v>
      </c>
      <c r="F22" s="7229"/>
      <c r="H22" s="7439" t="s">
        <v>1359</v>
      </c>
      <c r="I22" s="8456"/>
      <c r="K22" s="8457" t="s">
        <v>3498</v>
      </c>
      <c r="L22" s="8458"/>
      <c r="M22" s="8458"/>
      <c r="N22" s="8458"/>
      <c r="O22" s="8458"/>
      <c r="P22" s="8458"/>
      <c r="Q22" s="8458"/>
      <c r="R22" s="8458"/>
      <c r="S22" s="8458"/>
      <c r="T22" s="8459"/>
      <c r="V22" s="97"/>
      <c r="W22" s="97"/>
      <c r="X22" s="97"/>
      <c r="Y22" s="97"/>
      <c r="Z22" s="97"/>
      <c r="AA22" s="97"/>
      <c r="AB22" s="97"/>
      <c r="AG22" s="97"/>
      <c r="AH22" s="97"/>
      <c r="AI22" s="97"/>
      <c r="AJ22" s="97"/>
      <c r="AK22" s="97"/>
      <c r="AL22" s="97"/>
      <c r="AM22" s="97"/>
      <c r="AN22" s="97"/>
      <c r="AO22" s="97"/>
      <c r="AQ22" s="5">
        <v>1</v>
      </c>
    </row>
    <row r="23" spans="1:43" ht="21" customHeight="1" thickBot="1">
      <c r="B23" s="7236"/>
      <c r="C23" s="7236"/>
      <c r="E23" s="7229"/>
      <c r="F23" s="7229"/>
      <c r="H23" s="2704" t="s">
        <v>1360</v>
      </c>
      <c r="I23" s="1632"/>
      <c r="K23" s="2705" t="s">
        <v>3518</v>
      </c>
      <c r="L23" s="2706" t="s">
        <v>3519</v>
      </c>
      <c r="M23" s="2706" t="s">
        <v>3520</v>
      </c>
      <c r="N23" s="2705" t="s">
        <v>3521</v>
      </c>
      <c r="O23" s="2705" t="s">
        <v>3522</v>
      </c>
      <c r="P23" s="2705" t="s">
        <v>3518</v>
      </c>
      <c r="Q23" s="2706" t="s">
        <v>3519</v>
      </c>
      <c r="R23" s="2706" t="s">
        <v>3520</v>
      </c>
      <c r="S23" s="2705" t="s">
        <v>3521</v>
      </c>
      <c r="T23" s="2705" t="s">
        <v>3522</v>
      </c>
      <c r="V23" s="2705" t="s">
        <v>3518</v>
      </c>
      <c r="W23" s="2707" t="s">
        <v>3523</v>
      </c>
      <c r="X23" s="2707" t="s">
        <v>3524</v>
      </c>
      <c r="Y23" s="2706" t="s">
        <v>3520</v>
      </c>
      <c r="Z23" s="2705" t="s">
        <v>3521</v>
      </c>
      <c r="AA23" s="2708" t="s">
        <v>3522</v>
      </c>
      <c r="AB23"/>
      <c r="AC23" s="2705" t="s">
        <v>3518</v>
      </c>
      <c r="AD23" s="2707" t="s">
        <v>3523</v>
      </c>
      <c r="AE23" s="2707" t="s">
        <v>3524</v>
      </c>
      <c r="AF23" s="2706" t="s">
        <v>3520</v>
      </c>
      <c r="AG23" s="2705" t="s">
        <v>3521</v>
      </c>
      <c r="AH23" s="2708" t="s">
        <v>3522</v>
      </c>
      <c r="AI23"/>
      <c r="AJ23" s="2705" t="s">
        <v>3518</v>
      </c>
      <c r="AK23" s="2707" t="s">
        <v>3523</v>
      </c>
      <c r="AL23" s="2707" t="s">
        <v>3524</v>
      </c>
      <c r="AM23" s="2709" t="s">
        <v>3520</v>
      </c>
      <c r="AN23" s="2705" t="s">
        <v>3521</v>
      </c>
      <c r="AO23" s="2710" t="s">
        <v>3522</v>
      </c>
      <c r="AQ23" s="5">
        <v>1</v>
      </c>
    </row>
    <row r="24" spans="1:43" ht="21" customHeight="1">
      <c r="H24" s="7438" t="s">
        <v>1361</v>
      </c>
      <c r="I24" s="8453"/>
      <c r="K24" s="2711" t="s">
        <v>3525</v>
      </c>
      <c r="L24" s="2712" t="s">
        <v>3526</v>
      </c>
      <c r="M24" s="2713">
        <v>0</v>
      </c>
      <c r="N24" s="2713">
        <v>0</v>
      </c>
      <c r="O24" s="2713">
        <v>0</v>
      </c>
      <c r="P24" s="2714" t="s">
        <v>3527</v>
      </c>
      <c r="Q24" s="2712" t="s">
        <v>3528</v>
      </c>
      <c r="R24" s="2713">
        <v>128</v>
      </c>
      <c r="S24" s="2713">
        <v>0</v>
      </c>
      <c r="T24" s="2713">
        <v>128</v>
      </c>
      <c r="V24" s="2715"/>
      <c r="W24" s="2716" t="s">
        <v>3529</v>
      </c>
      <c r="X24" s="2717" t="s">
        <v>3530</v>
      </c>
      <c r="Y24" s="2718">
        <v>0</v>
      </c>
      <c r="Z24" s="2719">
        <v>191</v>
      </c>
      <c r="AA24" s="2720">
        <v>255</v>
      </c>
      <c r="AB24"/>
      <c r="AC24" s="2721"/>
      <c r="AD24" s="2722" t="s">
        <v>3531</v>
      </c>
      <c r="AE24" s="2723" t="s">
        <v>3532</v>
      </c>
      <c r="AF24" s="2724">
        <v>74</v>
      </c>
      <c r="AG24" s="2725">
        <v>74</v>
      </c>
      <c r="AH24" s="2726">
        <v>74</v>
      </c>
      <c r="AI24"/>
      <c r="AJ24" s="2727"/>
      <c r="AK24" s="2728" t="s">
        <v>3533</v>
      </c>
      <c r="AL24" s="2723" t="s">
        <v>3534</v>
      </c>
      <c r="AM24" s="2724">
        <v>238</v>
      </c>
      <c r="AN24" s="2725">
        <v>213</v>
      </c>
      <c r="AO24" s="2726">
        <v>183</v>
      </c>
      <c r="AQ24" s="5">
        <v>1</v>
      </c>
    </row>
    <row r="25" spans="1:43" ht="21" customHeight="1">
      <c r="B25" s="7239" t="s">
        <v>1369</v>
      </c>
      <c r="C25" s="7239"/>
      <c r="E25" s="7240" t="s">
        <v>1370</v>
      </c>
      <c r="F25" s="7240"/>
      <c r="H25" s="2704" t="s">
        <v>1371</v>
      </c>
      <c r="I25" s="1632"/>
      <c r="K25" s="2729" t="s">
        <v>3535</v>
      </c>
      <c r="L25" s="2712" t="s">
        <v>3536</v>
      </c>
      <c r="M25" s="2713">
        <v>255</v>
      </c>
      <c r="N25" s="2713">
        <v>255</v>
      </c>
      <c r="O25" s="2713">
        <v>255</v>
      </c>
      <c r="P25" s="2730" t="s">
        <v>3537</v>
      </c>
      <c r="Q25" s="2712" t="s">
        <v>3538</v>
      </c>
      <c r="R25" s="2713">
        <v>128</v>
      </c>
      <c r="S25" s="2713">
        <v>0</v>
      </c>
      <c r="T25" s="2713">
        <v>0</v>
      </c>
      <c r="V25" s="2731"/>
      <c r="W25" s="2732"/>
      <c r="X25" s="2733" t="s">
        <v>3539</v>
      </c>
      <c r="Y25" s="2734">
        <v>170</v>
      </c>
      <c r="Z25" s="2735">
        <v>187</v>
      </c>
      <c r="AA25" s="2736">
        <v>204</v>
      </c>
      <c r="AB25"/>
      <c r="AC25" s="2737"/>
      <c r="AD25" s="2722" t="s">
        <v>3540</v>
      </c>
      <c r="AE25" s="2723" t="s">
        <v>3541</v>
      </c>
      <c r="AF25" s="2724">
        <v>71</v>
      </c>
      <c r="AG25" s="2725">
        <v>71</v>
      </c>
      <c r="AH25" s="2726">
        <v>71</v>
      </c>
      <c r="AI25"/>
      <c r="AJ25" s="2738"/>
      <c r="AK25" s="2739" t="s">
        <v>3542</v>
      </c>
      <c r="AL25" s="2723" t="s">
        <v>3543</v>
      </c>
      <c r="AM25" s="2724">
        <v>250</v>
      </c>
      <c r="AN25" s="2725">
        <v>214</v>
      </c>
      <c r="AO25" s="2726">
        <v>165</v>
      </c>
      <c r="AQ25" s="5">
        <v>1</v>
      </c>
    </row>
    <row r="26" spans="1:43" ht="21" customHeight="1">
      <c r="B26" s="7239"/>
      <c r="C26" s="7239"/>
      <c r="E26" s="7240"/>
      <c r="F26" s="7240"/>
      <c r="H26" s="7438" t="s">
        <v>1372</v>
      </c>
      <c r="I26" s="8453"/>
      <c r="K26" s="2740" t="s">
        <v>3544</v>
      </c>
      <c r="L26" s="2712" t="s">
        <v>3545</v>
      </c>
      <c r="M26" s="2713">
        <v>255</v>
      </c>
      <c r="N26" s="2713">
        <v>0</v>
      </c>
      <c r="O26" s="2713">
        <v>0</v>
      </c>
      <c r="P26" s="2741" t="s">
        <v>3546</v>
      </c>
      <c r="Q26" s="2712" t="s">
        <v>3547</v>
      </c>
      <c r="R26" s="2713">
        <v>0</v>
      </c>
      <c r="S26" s="2713">
        <v>128</v>
      </c>
      <c r="T26" s="2713">
        <v>128</v>
      </c>
      <c r="V26" s="2742"/>
      <c r="W26" s="2732" t="s">
        <v>3548</v>
      </c>
      <c r="X26" s="2733" t="s">
        <v>3549</v>
      </c>
      <c r="Y26" s="2734">
        <v>126</v>
      </c>
      <c r="Z26" s="2735">
        <v>192</v>
      </c>
      <c r="AA26" s="2736">
        <v>238</v>
      </c>
      <c r="AB26"/>
      <c r="AC26" s="2743"/>
      <c r="AD26" s="2722" t="s">
        <v>3550</v>
      </c>
      <c r="AE26" s="2723" t="s">
        <v>3551</v>
      </c>
      <c r="AF26" s="2724">
        <v>69</v>
      </c>
      <c r="AG26" s="2725">
        <v>69</v>
      </c>
      <c r="AH26" s="2726">
        <v>69</v>
      </c>
      <c r="AI26"/>
      <c r="AJ26" s="2744"/>
      <c r="AK26" s="2728" t="s">
        <v>3552</v>
      </c>
      <c r="AL26" s="2723" t="s">
        <v>3553</v>
      </c>
      <c r="AM26" s="2724">
        <v>255</v>
      </c>
      <c r="AN26" s="2725">
        <v>222</v>
      </c>
      <c r="AO26" s="2726">
        <v>173</v>
      </c>
      <c r="AQ26" s="5">
        <v>1</v>
      </c>
    </row>
    <row r="27" spans="1:43" ht="21" customHeight="1">
      <c r="H27" s="2704" t="s">
        <v>1373</v>
      </c>
      <c r="I27" s="1632"/>
      <c r="K27" s="2745" t="s">
        <v>3554</v>
      </c>
      <c r="L27" s="2712" t="s">
        <v>3555</v>
      </c>
      <c r="M27" s="2713">
        <v>0</v>
      </c>
      <c r="N27" s="2713">
        <v>255</v>
      </c>
      <c r="O27" s="2713">
        <v>0</v>
      </c>
      <c r="P27" s="2746" t="s">
        <v>3556</v>
      </c>
      <c r="Q27" s="2712" t="s">
        <v>3557</v>
      </c>
      <c r="R27" s="2713">
        <v>0</v>
      </c>
      <c r="S27" s="2713">
        <v>0</v>
      </c>
      <c r="T27" s="2713">
        <v>255</v>
      </c>
      <c r="V27" s="2747"/>
      <c r="W27" s="2732" t="s">
        <v>3558</v>
      </c>
      <c r="X27" s="2733" t="s">
        <v>3559</v>
      </c>
      <c r="Y27" s="2734">
        <v>135</v>
      </c>
      <c r="Z27" s="2735">
        <v>206</v>
      </c>
      <c r="AA27" s="2736">
        <v>250</v>
      </c>
      <c r="AB27"/>
      <c r="AC27" s="2748"/>
      <c r="AD27" s="2722" t="s">
        <v>3560</v>
      </c>
      <c r="AE27" s="2723" t="s">
        <v>3561</v>
      </c>
      <c r="AF27" s="2724">
        <v>66</v>
      </c>
      <c r="AG27" s="2725">
        <v>66</v>
      </c>
      <c r="AH27" s="2726">
        <v>66</v>
      </c>
      <c r="AI27"/>
      <c r="AJ27" s="2749"/>
      <c r="AK27" s="2728" t="s">
        <v>3562</v>
      </c>
      <c r="AL27" s="2723" t="s">
        <v>3563</v>
      </c>
      <c r="AM27" s="2724">
        <v>238</v>
      </c>
      <c r="AN27" s="2725">
        <v>223</v>
      </c>
      <c r="AO27" s="2726">
        <v>204</v>
      </c>
      <c r="AQ27" s="5">
        <v>1</v>
      </c>
    </row>
    <row r="28" spans="1:43" ht="21" customHeight="1">
      <c r="B28" s="7249" t="s">
        <v>1382</v>
      </c>
      <c r="C28" s="7249"/>
      <c r="E28" s="7218" t="s">
        <v>1335</v>
      </c>
      <c r="F28" s="7218"/>
      <c r="H28" s="2704" t="s">
        <v>1383</v>
      </c>
      <c r="I28" s="1632"/>
      <c r="K28" s="2750" t="s">
        <v>3564</v>
      </c>
      <c r="L28" s="2712" t="s">
        <v>1021</v>
      </c>
      <c r="M28" s="2713">
        <v>0</v>
      </c>
      <c r="N28" s="2713">
        <v>0</v>
      </c>
      <c r="O28" s="2713">
        <v>255</v>
      </c>
      <c r="P28" s="2751" t="s">
        <v>3565</v>
      </c>
      <c r="Q28" s="2712" t="s">
        <v>3566</v>
      </c>
      <c r="R28" s="2713">
        <v>0</v>
      </c>
      <c r="S28" s="2713">
        <v>204</v>
      </c>
      <c r="T28" s="2713">
        <v>255</v>
      </c>
      <c r="V28" s="2752"/>
      <c r="W28" s="2753" t="s">
        <v>3567</v>
      </c>
      <c r="X28" s="2733" t="s">
        <v>3568</v>
      </c>
      <c r="Y28" s="2734">
        <v>161</v>
      </c>
      <c r="Z28" s="2735">
        <v>202</v>
      </c>
      <c r="AA28" s="2736">
        <v>241</v>
      </c>
      <c r="AB28"/>
      <c r="AC28" s="2754"/>
      <c r="AD28" s="2722" t="s">
        <v>3569</v>
      </c>
      <c r="AE28" s="2723" t="s">
        <v>3570</v>
      </c>
      <c r="AF28" s="2724">
        <v>64</v>
      </c>
      <c r="AG28" s="2725">
        <v>64</v>
      </c>
      <c r="AH28" s="2726">
        <v>64</v>
      </c>
      <c r="AI28"/>
      <c r="AJ28" s="2755"/>
      <c r="AK28" s="2739" t="s">
        <v>3571</v>
      </c>
      <c r="AL28" s="2723" t="s">
        <v>3572</v>
      </c>
      <c r="AM28" s="2724">
        <v>255</v>
      </c>
      <c r="AN28" s="2725">
        <v>228</v>
      </c>
      <c r="AO28" s="2726">
        <v>196</v>
      </c>
      <c r="AQ28" s="5">
        <v>1</v>
      </c>
    </row>
    <row r="29" spans="1:43" ht="21" customHeight="1">
      <c r="B29" s="7249"/>
      <c r="C29" s="7249"/>
      <c r="E29" s="7218"/>
      <c r="F29" s="7218"/>
      <c r="H29" s="7438" t="s">
        <v>1384</v>
      </c>
      <c r="I29" s="8453"/>
      <c r="K29" s="2756" t="s">
        <v>3573</v>
      </c>
      <c r="L29" s="2712" t="s">
        <v>1024</v>
      </c>
      <c r="M29" s="2713">
        <v>255</v>
      </c>
      <c r="N29" s="2713">
        <v>255</v>
      </c>
      <c r="O29" s="2713">
        <v>0</v>
      </c>
      <c r="P29" s="2757" t="s">
        <v>3574</v>
      </c>
      <c r="Q29" s="2712" t="s">
        <v>1019</v>
      </c>
      <c r="R29" s="2713">
        <v>204</v>
      </c>
      <c r="S29" s="2713">
        <v>0</v>
      </c>
      <c r="T29" s="2713">
        <v>0</v>
      </c>
      <c r="V29" s="2758"/>
      <c r="W29" s="2732" t="s">
        <v>3575</v>
      </c>
      <c r="X29" s="2733" t="s">
        <v>3576</v>
      </c>
      <c r="Y29" s="2734">
        <v>135</v>
      </c>
      <c r="Z29" s="2735">
        <v>206</v>
      </c>
      <c r="AA29" s="2736">
        <v>255</v>
      </c>
      <c r="AB29"/>
      <c r="AC29" s="2759"/>
      <c r="AD29" s="2722" t="s">
        <v>3577</v>
      </c>
      <c r="AE29" s="2723" t="s">
        <v>3578</v>
      </c>
      <c r="AF29" s="2724">
        <v>61</v>
      </c>
      <c r="AG29" s="2725">
        <v>61</v>
      </c>
      <c r="AH29" s="2726">
        <v>61</v>
      </c>
      <c r="AI29"/>
      <c r="AJ29" s="2760"/>
      <c r="AK29" s="2728" t="s">
        <v>3579</v>
      </c>
      <c r="AL29" s="2723" t="s">
        <v>3580</v>
      </c>
      <c r="AM29" s="2724">
        <v>250</v>
      </c>
      <c r="AN29" s="2725">
        <v>235</v>
      </c>
      <c r="AO29" s="2726">
        <v>215</v>
      </c>
      <c r="AQ29" s="5">
        <v>1</v>
      </c>
    </row>
    <row r="30" spans="1:43" ht="21" customHeight="1">
      <c r="H30" s="2704" t="s">
        <v>1385</v>
      </c>
      <c r="I30" s="1632"/>
      <c r="K30" s="2761" t="s">
        <v>3581</v>
      </c>
      <c r="L30" s="2712" t="s">
        <v>3582</v>
      </c>
      <c r="M30" s="2713">
        <v>255</v>
      </c>
      <c r="N30" s="2713">
        <v>0</v>
      </c>
      <c r="O30" s="2713">
        <v>255</v>
      </c>
      <c r="P30" s="2762" t="s">
        <v>3583</v>
      </c>
      <c r="Q30" s="2712" t="s">
        <v>1013</v>
      </c>
      <c r="R30" s="2713">
        <v>204</v>
      </c>
      <c r="S30" s="2713">
        <v>0</v>
      </c>
      <c r="T30" s="2713">
        <v>0</v>
      </c>
      <c r="V30" s="2763"/>
      <c r="W30" s="2753" t="s">
        <v>3584</v>
      </c>
      <c r="X30" s="2733" t="s">
        <v>3585</v>
      </c>
      <c r="Y30" s="2734">
        <v>188</v>
      </c>
      <c r="Z30" s="2735">
        <v>212</v>
      </c>
      <c r="AA30" s="2736">
        <v>230</v>
      </c>
      <c r="AB30"/>
      <c r="AC30" s="2764"/>
      <c r="AD30" s="2722" t="s">
        <v>3586</v>
      </c>
      <c r="AE30" s="2723" t="s">
        <v>3587</v>
      </c>
      <c r="AF30" s="2724">
        <v>59</v>
      </c>
      <c r="AG30" s="2725">
        <v>59</v>
      </c>
      <c r="AH30" s="2726">
        <v>59</v>
      </c>
      <c r="AI30"/>
      <c r="AJ30" s="2765"/>
      <c r="AK30" s="2728" t="s">
        <v>3588</v>
      </c>
      <c r="AL30" s="2723" t="s">
        <v>3589</v>
      </c>
      <c r="AM30" s="2724">
        <v>255</v>
      </c>
      <c r="AN30" s="2725">
        <v>239</v>
      </c>
      <c r="AO30" s="2726">
        <v>219</v>
      </c>
      <c r="AQ30" s="5">
        <v>1</v>
      </c>
    </row>
    <row r="31" spans="1:43" ht="21" customHeight="1">
      <c r="B31" s="7243" t="s">
        <v>1394</v>
      </c>
      <c r="C31" s="7243"/>
      <c r="E31" s="7244" t="s">
        <v>1395</v>
      </c>
      <c r="F31" s="7244"/>
      <c r="H31" s="7438" t="s">
        <v>1396</v>
      </c>
      <c r="I31" s="8453"/>
      <c r="K31" s="2766" t="s">
        <v>3590</v>
      </c>
      <c r="L31" s="2712" t="s">
        <v>3591</v>
      </c>
      <c r="M31" s="2713">
        <v>0</v>
      </c>
      <c r="N31" s="2713">
        <v>255</v>
      </c>
      <c r="O31" s="2713">
        <v>255</v>
      </c>
      <c r="P31" s="2767" t="s">
        <v>3592</v>
      </c>
      <c r="Q31" s="2712" t="s">
        <v>1030</v>
      </c>
      <c r="R31" s="2713">
        <v>255</v>
      </c>
      <c r="S31" s="2713">
        <v>0</v>
      </c>
      <c r="T31" s="2713">
        <v>0</v>
      </c>
      <c r="V31" s="2768"/>
      <c r="W31" s="2732" t="s">
        <v>3593</v>
      </c>
      <c r="X31" s="2733" t="s">
        <v>3594</v>
      </c>
      <c r="Y31" s="2734">
        <v>185</v>
      </c>
      <c r="Z31" s="2735">
        <v>211</v>
      </c>
      <c r="AA31" s="2736">
        <v>238</v>
      </c>
      <c r="AB31"/>
      <c r="AC31" s="2769"/>
      <c r="AD31" s="2722" t="s">
        <v>3595</v>
      </c>
      <c r="AE31" s="2723" t="s">
        <v>3596</v>
      </c>
      <c r="AF31" s="2724">
        <v>56</v>
      </c>
      <c r="AG31" s="2725">
        <v>56</v>
      </c>
      <c r="AH31" s="2726">
        <v>56</v>
      </c>
      <c r="AI31"/>
      <c r="AJ31" s="2770"/>
      <c r="AK31" s="2739" t="s">
        <v>3597</v>
      </c>
      <c r="AL31" s="2723" t="s">
        <v>3598</v>
      </c>
      <c r="AM31" s="2724">
        <v>250</v>
      </c>
      <c r="AN31" s="2725">
        <v>240</v>
      </c>
      <c r="AO31" s="2726">
        <v>230</v>
      </c>
      <c r="AQ31" s="5">
        <v>1</v>
      </c>
    </row>
    <row r="32" spans="1:43" ht="21" customHeight="1">
      <c r="B32" s="7243"/>
      <c r="C32" s="7243"/>
      <c r="E32" s="7244"/>
      <c r="F32" s="7244"/>
      <c r="H32" s="8454" t="s">
        <v>1397</v>
      </c>
      <c r="I32" s="8455"/>
      <c r="K32" s="2771" t="s">
        <v>3599</v>
      </c>
      <c r="L32" s="2712" t="s">
        <v>3600</v>
      </c>
      <c r="M32" s="2713">
        <v>128</v>
      </c>
      <c r="N32" s="2713">
        <v>0</v>
      </c>
      <c r="O32" s="2713">
        <v>0</v>
      </c>
      <c r="P32" s="2772" t="s">
        <v>3601</v>
      </c>
      <c r="Q32" s="2712" t="s">
        <v>3602</v>
      </c>
      <c r="R32" s="2713">
        <v>153</v>
      </c>
      <c r="S32" s="2713">
        <v>0</v>
      </c>
      <c r="T32" s="2713">
        <v>0</v>
      </c>
      <c r="V32" s="2773"/>
      <c r="W32" s="2732" t="s">
        <v>3603</v>
      </c>
      <c r="X32" s="2733" t="s">
        <v>3604</v>
      </c>
      <c r="Y32" s="2734">
        <v>198</v>
      </c>
      <c r="Z32" s="2735">
        <v>226</v>
      </c>
      <c r="AA32" s="2736">
        <v>255</v>
      </c>
      <c r="AB32"/>
      <c r="AC32" s="2774"/>
      <c r="AD32" s="2722" t="s">
        <v>3605</v>
      </c>
      <c r="AE32" s="2723" t="s">
        <v>3606</v>
      </c>
      <c r="AF32" s="2724">
        <v>54</v>
      </c>
      <c r="AG32" s="2725">
        <v>54</v>
      </c>
      <c r="AH32" s="2726">
        <v>54</v>
      </c>
      <c r="AI32"/>
      <c r="AJ32" s="2775"/>
      <c r="AK32" s="2728" t="s">
        <v>3607</v>
      </c>
      <c r="AL32" s="2723" t="s">
        <v>3608</v>
      </c>
      <c r="AM32" s="2724">
        <v>222</v>
      </c>
      <c r="AN32" s="2725">
        <v>184</v>
      </c>
      <c r="AO32" s="2726">
        <v>135</v>
      </c>
      <c r="AQ32" s="5">
        <v>1</v>
      </c>
    </row>
    <row r="33" spans="2:43" ht="21" customHeight="1" thickBot="1">
      <c r="H33" s="2776">
        <v>12</v>
      </c>
      <c r="I33" s="2777">
        <v>12</v>
      </c>
      <c r="K33" s="2778" t="s">
        <v>3609</v>
      </c>
      <c r="L33" s="2712" t="s">
        <v>3610</v>
      </c>
      <c r="M33" s="2713">
        <v>0</v>
      </c>
      <c r="N33" s="2713">
        <v>128</v>
      </c>
      <c r="O33" s="2713">
        <v>0</v>
      </c>
      <c r="P33" s="2779" t="s">
        <v>3611</v>
      </c>
      <c r="Q33" s="2712" t="s">
        <v>3612</v>
      </c>
      <c r="R33" s="2713">
        <v>255</v>
      </c>
      <c r="S33" s="2713">
        <v>0</v>
      </c>
      <c r="T33" s="2713">
        <v>0</v>
      </c>
      <c r="V33" s="2780"/>
      <c r="W33" s="2753" t="s">
        <v>3613</v>
      </c>
      <c r="X33" s="2733" t="s">
        <v>3614</v>
      </c>
      <c r="Y33" s="2734">
        <v>242</v>
      </c>
      <c r="Z33" s="2735">
        <v>243</v>
      </c>
      <c r="AA33" s="2736">
        <v>244</v>
      </c>
      <c r="AB33"/>
      <c r="AC33" s="2781"/>
      <c r="AD33" s="2722" t="s">
        <v>3615</v>
      </c>
      <c r="AE33" s="2723" t="s">
        <v>3616</v>
      </c>
      <c r="AF33" s="2724">
        <v>51</v>
      </c>
      <c r="AG33" s="2725">
        <v>51</v>
      </c>
      <c r="AH33" s="2726">
        <v>51</v>
      </c>
      <c r="AI33"/>
      <c r="AJ33" s="2782"/>
      <c r="AK33" s="2728" t="s">
        <v>3617</v>
      </c>
      <c r="AL33" s="2723" t="s">
        <v>3618</v>
      </c>
      <c r="AM33" s="2724">
        <v>205</v>
      </c>
      <c r="AN33" s="2725">
        <v>183</v>
      </c>
      <c r="AO33" s="2726">
        <v>158</v>
      </c>
      <c r="AQ33" s="5">
        <v>1</v>
      </c>
    </row>
    <row r="34" spans="2:43" ht="21" customHeight="1">
      <c r="B34" s="7253" t="s">
        <v>1404</v>
      </c>
      <c r="C34" s="7253"/>
      <c r="E34" s="7250" t="s">
        <v>1405</v>
      </c>
      <c r="F34" s="7250"/>
      <c r="K34" s="2783" t="s">
        <v>3619</v>
      </c>
      <c r="L34" s="2712" t="s">
        <v>3620</v>
      </c>
      <c r="M34" s="2713">
        <v>0</v>
      </c>
      <c r="N34" s="2713">
        <v>0</v>
      </c>
      <c r="O34" s="2713">
        <v>128</v>
      </c>
      <c r="P34" s="2784" t="s">
        <v>3621</v>
      </c>
      <c r="Q34" s="2712" t="s">
        <v>3622</v>
      </c>
      <c r="R34" s="2713">
        <v>204</v>
      </c>
      <c r="S34" s="2713">
        <v>0</v>
      </c>
      <c r="T34" s="2713">
        <v>0</v>
      </c>
      <c r="V34" s="2785"/>
      <c r="W34" s="2732" t="s">
        <v>3623</v>
      </c>
      <c r="X34" s="2733" t="s">
        <v>3624</v>
      </c>
      <c r="Y34" s="2734">
        <v>240</v>
      </c>
      <c r="Z34" s="2735">
        <v>248</v>
      </c>
      <c r="AA34" s="2736">
        <v>255</v>
      </c>
      <c r="AB34"/>
      <c r="AC34" s="2786"/>
      <c r="AD34" s="2787" t="s">
        <v>3625</v>
      </c>
      <c r="AE34" s="2723" t="s">
        <v>3626</v>
      </c>
      <c r="AF34" s="2724">
        <v>48</v>
      </c>
      <c r="AG34" s="2725">
        <v>48</v>
      </c>
      <c r="AH34" s="2726">
        <v>48</v>
      </c>
      <c r="AI34"/>
      <c r="AJ34" s="2788"/>
      <c r="AK34" s="2728" t="s">
        <v>3627</v>
      </c>
      <c r="AL34" s="2723" t="s">
        <v>3628</v>
      </c>
      <c r="AM34" s="2724">
        <v>210</v>
      </c>
      <c r="AN34" s="2725">
        <v>180</v>
      </c>
      <c r="AO34" s="2726">
        <v>140</v>
      </c>
      <c r="AQ34" s="5">
        <v>1</v>
      </c>
    </row>
    <row r="35" spans="2:43" ht="21" customHeight="1">
      <c r="B35" s="7253"/>
      <c r="C35" s="7253"/>
      <c r="E35" s="7250"/>
      <c r="F35" s="7250"/>
      <c r="K35" s="2789" t="s">
        <v>3629</v>
      </c>
      <c r="L35" s="2712" t="s">
        <v>3630</v>
      </c>
      <c r="M35" s="2713">
        <v>128</v>
      </c>
      <c r="N35" s="2713">
        <v>128</v>
      </c>
      <c r="O35" s="2713">
        <v>0</v>
      </c>
      <c r="P35" s="2790" t="s">
        <v>3631</v>
      </c>
      <c r="Q35" s="2712" t="s">
        <v>3632</v>
      </c>
      <c r="R35" s="2713">
        <v>255</v>
      </c>
      <c r="S35" s="2713">
        <v>0</v>
      </c>
      <c r="T35" s="2713">
        <v>0</v>
      </c>
      <c r="V35" s="2791"/>
      <c r="W35" s="2732" t="s">
        <v>3633</v>
      </c>
      <c r="X35" s="2733" t="s">
        <v>3634</v>
      </c>
      <c r="Y35" s="2734">
        <v>159</v>
      </c>
      <c r="Z35" s="2735">
        <v>182</v>
      </c>
      <c r="AA35" s="2736">
        <v>205</v>
      </c>
      <c r="AB35"/>
      <c r="AC35" s="2792"/>
      <c r="AD35" s="2722" t="s">
        <v>3635</v>
      </c>
      <c r="AE35" s="2723" t="s">
        <v>3636</v>
      </c>
      <c r="AF35" s="2724">
        <v>46</v>
      </c>
      <c r="AG35" s="2725">
        <v>46</v>
      </c>
      <c r="AH35" s="2726">
        <v>46</v>
      </c>
      <c r="AI35"/>
      <c r="AJ35" s="2793"/>
      <c r="AK35" s="2728" t="s">
        <v>3637</v>
      </c>
      <c r="AL35" s="2723" t="s">
        <v>3638</v>
      </c>
      <c r="AM35" s="2724">
        <v>205</v>
      </c>
      <c r="AN35" s="2725">
        <v>179</v>
      </c>
      <c r="AO35" s="2726">
        <v>139</v>
      </c>
      <c r="AQ35" s="5">
        <v>1</v>
      </c>
    </row>
    <row r="36" spans="2:43" ht="21" customHeight="1">
      <c r="K36" s="2794" t="s">
        <v>3639</v>
      </c>
      <c r="L36" s="2712" t="s">
        <v>3528</v>
      </c>
      <c r="M36" s="2713">
        <v>128</v>
      </c>
      <c r="N36" s="2713">
        <v>0</v>
      </c>
      <c r="O36" s="2713">
        <v>128</v>
      </c>
      <c r="P36" s="2795" t="s">
        <v>3640</v>
      </c>
      <c r="Q36" s="2712" t="s">
        <v>3641</v>
      </c>
      <c r="R36" s="2713">
        <v>51</v>
      </c>
      <c r="S36" s="2713">
        <v>0</v>
      </c>
      <c r="T36" s="2713">
        <v>0</v>
      </c>
      <c r="V36" s="2796"/>
      <c r="W36" s="2732" t="s">
        <v>3642</v>
      </c>
      <c r="X36" s="2733" t="s">
        <v>3643</v>
      </c>
      <c r="Y36" s="2734">
        <v>0</v>
      </c>
      <c r="Z36" s="2735">
        <v>178</v>
      </c>
      <c r="AA36" s="2736">
        <v>238</v>
      </c>
      <c r="AB36"/>
      <c r="AC36" s="2797"/>
      <c r="AD36" s="2722" t="s">
        <v>3644</v>
      </c>
      <c r="AE36" s="2723" t="s">
        <v>3645</v>
      </c>
      <c r="AF36" s="2724">
        <v>43</v>
      </c>
      <c r="AG36" s="2725">
        <v>43</v>
      </c>
      <c r="AH36" s="2726">
        <v>43</v>
      </c>
      <c r="AI36"/>
      <c r="AJ36" s="2798"/>
      <c r="AK36" s="2728" t="s">
        <v>3646</v>
      </c>
      <c r="AL36" s="2723" t="s">
        <v>3647</v>
      </c>
      <c r="AM36" s="2724">
        <v>238</v>
      </c>
      <c r="AN36" s="2725">
        <v>180</v>
      </c>
      <c r="AO36" s="2726">
        <v>34</v>
      </c>
      <c r="AQ36" s="5">
        <v>1</v>
      </c>
    </row>
    <row r="37" spans="2:43" ht="21" customHeight="1">
      <c r="K37" s="2741" t="s">
        <v>3648</v>
      </c>
      <c r="L37" s="2712" t="s">
        <v>3547</v>
      </c>
      <c r="M37" s="2713">
        <v>0</v>
      </c>
      <c r="N37" s="2713">
        <v>128</v>
      </c>
      <c r="O37" s="2713">
        <v>128</v>
      </c>
      <c r="P37" s="2799" t="s">
        <v>3649</v>
      </c>
      <c r="Q37" s="2712" t="s">
        <v>3650</v>
      </c>
      <c r="R37" s="2713">
        <v>51</v>
      </c>
      <c r="S37" s="2713">
        <v>0</v>
      </c>
      <c r="T37" s="2713">
        <v>0</v>
      </c>
      <c r="V37" s="2800"/>
      <c r="W37" s="2753" t="s">
        <v>3651</v>
      </c>
      <c r="X37" s="2733" t="s">
        <v>3652</v>
      </c>
      <c r="Y37" s="2734">
        <v>112</v>
      </c>
      <c r="Z37" s="2735">
        <v>163</v>
      </c>
      <c r="AA37" s="2736">
        <v>204</v>
      </c>
      <c r="AB37"/>
      <c r="AC37" s="2801"/>
      <c r="AD37" s="2722" t="s">
        <v>3653</v>
      </c>
      <c r="AE37" s="2723" t="s">
        <v>3654</v>
      </c>
      <c r="AF37" s="2724">
        <v>41</v>
      </c>
      <c r="AG37" s="2725">
        <v>41</v>
      </c>
      <c r="AH37" s="2726">
        <v>41</v>
      </c>
      <c r="AI37"/>
      <c r="AJ37" s="2802"/>
      <c r="AK37" s="2739" t="s">
        <v>3655</v>
      </c>
      <c r="AL37" s="2723" t="s">
        <v>3656</v>
      </c>
      <c r="AM37" s="2724">
        <v>227</v>
      </c>
      <c r="AN37" s="2725">
        <v>168</v>
      </c>
      <c r="AO37" s="2726">
        <v>87</v>
      </c>
      <c r="AQ37" s="5">
        <v>1</v>
      </c>
    </row>
    <row r="38" spans="2:43" ht="21" customHeight="1">
      <c r="K38" s="2803" t="s">
        <v>3657</v>
      </c>
      <c r="L38" s="2712" t="s">
        <v>3658</v>
      </c>
      <c r="M38" s="2713">
        <v>192</v>
      </c>
      <c r="N38" s="2713">
        <v>192</v>
      </c>
      <c r="O38" s="2713">
        <v>192</v>
      </c>
      <c r="P38" s="2804" t="s">
        <v>3659</v>
      </c>
      <c r="Q38" s="2712" t="s">
        <v>3660</v>
      </c>
      <c r="R38" s="2713">
        <v>153</v>
      </c>
      <c r="S38" s="2713">
        <v>0</v>
      </c>
      <c r="T38" s="2713">
        <v>0</v>
      </c>
      <c r="V38" s="2805"/>
      <c r="W38" s="2732" t="s">
        <v>3661</v>
      </c>
      <c r="X38" s="2733" t="s">
        <v>3662</v>
      </c>
      <c r="Y38" s="2734">
        <v>108</v>
      </c>
      <c r="Z38" s="2735">
        <v>166</v>
      </c>
      <c r="AA38" s="2736">
        <v>205</v>
      </c>
      <c r="AB38"/>
      <c r="AC38" s="2806"/>
      <c r="AD38" s="2722" t="s">
        <v>3663</v>
      </c>
      <c r="AE38" s="2723" t="s">
        <v>3664</v>
      </c>
      <c r="AF38" s="2724">
        <v>38</v>
      </c>
      <c r="AG38" s="2725">
        <v>38</v>
      </c>
      <c r="AH38" s="2726">
        <v>38</v>
      </c>
      <c r="AI38"/>
      <c r="AJ38" s="2807"/>
      <c r="AK38" s="2728" t="s">
        <v>3665</v>
      </c>
      <c r="AL38" s="2723" t="s">
        <v>3666</v>
      </c>
      <c r="AM38" s="2724">
        <v>238</v>
      </c>
      <c r="AN38" s="2725">
        <v>173</v>
      </c>
      <c r="AO38" s="2726">
        <v>14</v>
      </c>
      <c r="AQ38" s="5">
        <v>1</v>
      </c>
    </row>
    <row r="39" spans="2:43" ht="21" customHeight="1">
      <c r="K39" s="2808" t="s">
        <v>3667</v>
      </c>
      <c r="L39" s="2712" t="s">
        <v>3668</v>
      </c>
      <c r="M39" s="2713">
        <v>128</v>
      </c>
      <c r="N39" s="2713">
        <v>128</v>
      </c>
      <c r="O39" s="2713">
        <v>128</v>
      </c>
      <c r="P39" s="2809" t="s">
        <v>3669</v>
      </c>
      <c r="Q39" s="2712" t="s">
        <v>3670</v>
      </c>
      <c r="R39" s="2713">
        <v>255</v>
      </c>
      <c r="S39" s="2713">
        <v>0</v>
      </c>
      <c r="T39" s="2713">
        <v>0</v>
      </c>
      <c r="V39" s="2810"/>
      <c r="W39" s="2753" t="s">
        <v>3671</v>
      </c>
      <c r="X39" s="2733" t="s">
        <v>3672</v>
      </c>
      <c r="Y39" s="2734">
        <v>145</v>
      </c>
      <c r="Z39" s="2735">
        <v>163</v>
      </c>
      <c r="AA39" s="2736">
        <v>176</v>
      </c>
      <c r="AB39"/>
      <c r="AC39" s="2811"/>
      <c r="AD39" s="2722" t="s">
        <v>3673</v>
      </c>
      <c r="AE39" s="2723" t="s">
        <v>3674</v>
      </c>
      <c r="AF39" s="2724">
        <v>36</v>
      </c>
      <c r="AG39" s="2725">
        <v>36</v>
      </c>
      <c r="AH39" s="2726">
        <v>36</v>
      </c>
      <c r="AI39"/>
      <c r="AJ39" s="2812"/>
      <c r="AK39" s="2728" t="s">
        <v>3675</v>
      </c>
      <c r="AL39" s="2723" t="s">
        <v>3676</v>
      </c>
      <c r="AM39" s="2724">
        <v>205</v>
      </c>
      <c r="AN39" s="2725">
        <v>170</v>
      </c>
      <c r="AO39" s="2726">
        <v>125</v>
      </c>
      <c r="AQ39" s="5">
        <v>1</v>
      </c>
    </row>
    <row r="40" spans="2:43" ht="21" customHeight="1">
      <c r="K40" s="2813" t="s">
        <v>3677</v>
      </c>
      <c r="L40" s="2712" t="s">
        <v>3678</v>
      </c>
      <c r="M40" s="2713">
        <v>153</v>
      </c>
      <c r="N40" s="2713">
        <v>153</v>
      </c>
      <c r="O40" s="2713">
        <v>255</v>
      </c>
      <c r="P40" s="2814" t="s">
        <v>3679</v>
      </c>
      <c r="Q40" s="2712" t="s">
        <v>3680</v>
      </c>
      <c r="R40" s="2713">
        <v>255</v>
      </c>
      <c r="S40" s="2713">
        <v>0</v>
      </c>
      <c r="T40" s="2713">
        <v>0</v>
      </c>
      <c r="V40" s="2815"/>
      <c r="W40" s="2732"/>
      <c r="X40" s="2733" t="s">
        <v>3681</v>
      </c>
      <c r="Y40" s="2734">
        <v>51</v>
      </c>
      <c r="Z40" s="2735">
        <v>153</v>
      </c>
      <c r="AA40" s="2736">
        <v>204</v>
      </c>
      <c r="AB40"/>
      <c r="AC40" s="2816"/>
      <c r="AD40" s="2722" t="s">
        <v>3682</v>
      </c>
      <c r="AE40" s="2723" t="s">
        <v>3683</v>
      </c>
      <c r="AF40" s="2724">
        <v>33</v>
      </c>
      <c r="AG40" s="2725">
        <v>33</v>
      </c>
      <c r="AH40" s="2726">
        <v>33</v>
      </c>
      <c r="AI40"/>
      <c r="AJ40" s="2817"/>
      <c r="AK40" s="2728" t="s">
        <v>3684</v>
      </c>
      <c r="AL40" s="2723" t="s">
        <v>3685</v>
      </c>
      <c r="AM40" s="2724">
        <v>218</v>
      </c>
      <c r="AN40" s="2725">
        <v>165</v>
      </c>
      <c r="AO40" s="2726">
        <v>32</v>
      </c>
      <c r="AQ40" s="5">
        <v>1</v>
      </c>
    </row>
    <row r="41" spans="2:43" ht="21" customHeight="1">
      <c r="K41" s="2818" t="s">
        <v>3686</v>
      </c>
      <c r="L41" s="2712" t="s">
        <v>3687</v>
      </c>
      <c r="M41" s="2713">
        <v>153</v>
      </c>
      <c r="N41" s="2713">
        <v>51</v>
      </c>
      <c r="O41" s="2713">
        <v>102</v>
      </c>
      <c r="P41" s="2819" t="s">
        <v>3688</v>
      </c>
      <c r="Q41" s="2712" t="s">
        <v>3689</v>
      </c>
      <c r="R41" s="2713">
        <v>255</v>
      </c>
      <c r="S41" s="2713">
        <v>0</v>
      </c>
      <c r="T41" s="2713">
        <v>0</v>
      </c>
      <c r="V41" s="2820"/>
      <c r="W41" s="2732" t="s">
        <v>3690</v>
      </c>
      <c r="X41" s="2733" t="s">
        <v>3691</v>
      </c>
      <c r="Y41" s="2734">
        <v>50</v>
      </c>
      <c r="Z41" s="2735">
        <v>153</v>
      </c>
      <c r="AA41" s="2736">
        <v>204</v>
      </c>
      <c r="AB41"/>
      <c r="AC41" s="2821"/>
      <c r="AD41" s="2722" t="s">
        <v>3692</v>
      </c>
      <c r="AE41" s="2723" t="s">
        <v>3693</v>
      </c>
      <c r="AF41" s="2724">
        <v>31</v>
      </c>
      <c r="AG41" s="2725">
        <v>31</v>
      </c>
      <c r="AH41" s="2726">
        <v>31</v>
      </c>
      <c r="AI41"/>
      <c r="AJ41" s="2822"/>
      <c r="AK41" s="2739" t="s">
        <v>3694</v>
      </c>
      <c r="AL41" s="2723" t="s">
        <v>3695</v>
      </c>
      <c r="AM41" s="2724">
        <v>193</v>
      </c>
      <c r="AN41" s="2725">
        <v>154</v>
      </c>
      <c r="AO41" s="2726">
        <v>107</v>
      </c>
      <c r="AQ41" s="5">
        <v>1</v>
      </c>
    </row>
    <row r="42" spans="2:43" ht="21" customHeight="1">
      <c r="K42" s="2823" t="s">
        <v>3696</v>
      </c>
      <c r="L42" s="2712" t="s">
        <v>3697</v>
      </c>
      <c r="M42" s="2713"/>
      <c r="N42" s="2713"/>
      <c r="O42" s="2713"/>
      <c r="P42" s="2824" t="s">
        <v>3698</v>
      </c>
      <c r="Q42" s="2712" t="s">
        <v>3699</v>
      </c>
      <c r="R42" s="2713">
        <v>102</v>
      </c>
      <c r="S42" s="2713">
        <v>0</v>
      </c>
      <c r="T42" s="2713">
        <v>0</v>
      </c>
      <c r="V42" s="2825"/>
      <c r="W42" s="2732" t="s">
        <v>3700</v>
      </c>
      <c r="X42" s="2733" t="s">
        <v>3701</v>
      </c>
      <c r="Y42" s="2734">
        <v>0</v>
      </c>
      <c r="Z42" s="2735">
        <v>154</v>
      </c>
      <c r="AA42" s="2736">
        <v>205</v>
      </c>
      <c r="AB42"/>
      <c r="AC42" s="2826"/>
      <c r="AD42" s="2722" t="s">
        <v>3702</v>
      </c>
      <c r="AE42" s="2723" t="s">
        <v>3703</v>
      </c>
      <c r="AF42" s="2724">
        <v>28</v>
      </c>
      <c r="AG42" s="2725">
        <v>28</v>
      </c>
      <c r="AH42" s="2726">
        <v>28</v>
      </c>
      <c r="AI42"/>
      <c r="AJ42" s="2827"/>
      <c r="AK42" s="2739" t="s">
        <v>3704</v>
      </c>
      <c r="AL42" s="2723" t="s">
        <v>3705</v>
      </c>
      <c r="AM42" s="2724">
        <v>174</v>
      </c>
      <c r="AN42" s="2725">
        <v>155</v>
      </c>
      <c r="AO42" s="2726">
        <v>130</v>
      </c>
      <c r="AQ42" s="5">
        <v>1</v>
      </c>
    </row>
    <row r="43" spans="2:43" ht="21" customHeight="1">
      <c r="K43" s="2757" t="s">
        <v>3706</v>
      </c>
      <c r="L43" s="2712" t="s">
        <v>1019</v>
      </c>
      <c r="M43" s="2713">
        <v>204</v>
      </c>
      <c r="N43" s="2713">
        <v>255</v>
      </c>
      <c r="O43" s="2713">
        <v>255</v>
      </c>
      <c r="P43" s="2828" t="s">
        <v>3707</v>
      </c>
      <c r="Q43" s="2712" t="s">
        <v>3708</v>
      </c>
      <c r="R43" s="2713">
        <v>150</v>
      </c>
      <c r="S43" s="2713">
        <v>150</v>
      </c>
      <c r="T43" s="2713">
        <v>150</v>
      </c>
      <c r="V43" s="2829"/>
      <c r="W43" s="2753" t="s">
        <v>3709</v>
      </c>
      <c r="X43" s="2733" t="s">
        <v>3710</v>
      </c>
      <c r="Y43" s="2734">
        <v>58</v>
      </c>
      <c r="Z43" s="2735">
        <v>142</v>
      </c>
      <c r="AA43" s="2736">
        <v>186</v>
      </c>
      <c r="AB43"/>
      <c r="AC43" s="2830"/>
      <c r="AD43" s="2722" t="s">
        <v>3711</v>
      </c>
      <c r="AE43" s="2723" t="s">
        <v>3712</v>
      </c>
      <c r="AF43" s="2724">
        <v>26</v>
      </c>
      <c r="AG43" s="2725">
        <v>26</v>
      </c>
      <c r="AH43" s="2726">
        <v>26</v>
      </c>
      <c r="AI43"/>
      <c r="AJ43" s="2831"/>
      <c r="AK43" s="2728" t="s">
        <v>3713</v>
      </c>
      <c r="AL43" s="2723" t="s">
        <v>3714</v>
      </c>
      <c r="AM43" s="2724">
        <v>205</v>
      </c>
      <c r="AN43" s="2725">
        <v>155</v>
      </c>
      <c r="AO43" s="2726">
        <v>29</v>
      </c>
      <c r="AQ43" s="5">
        <v>1</v>
      </c>
    </row>
    <row r="44" spans="2:43" ht="21" customHeight="1">
      <c r="K44" s="2832" t="s">
        <v>3715</v>
      </c>
      <c r="L44" s="2712" t="s">
        <v>3716</v>
      </c>
      <c r="M44" s="2713">
        <v>102</v>
      </c>
      <c r="N44" s="2713">
        <v>0</v>
      </c>
      <c r="O44" s="2713">
        <v>102</v>
      </c>
      <c r="P44" s="2833" t="s">
        <v>3717</v>
      </c>
      <c r="Q44" s="2712" t="s">
        <v>3718</v>
      </c>
      <c r="R44" s="2713">
        <v>0</v>
      </c>
      <c r="S44" s="2713">
        <v>51</v>
      </c>
      <c r="T44" s="2713">
        <v>102</v>
      </c>
      <c r="V44" s="2834"/>
      <c r="W44" s="2732" t="s">
        <v>3719</v>
      </c>
      <c r="X44" s="2733" t="s">
        <v>3720</v>
      </c>
      <c r="Y44" s="2734">
        <v>119</v>
      </c>
      <c r="Z44" s="2735">
        <v>136</v>
      </c>
      <c r="AA44" s="2736">
        <v>153</v>
      </c>
      <c r="AB44"/>
      <c r="AC44" s="2835"/>
      <c r="AD44" s="2722" t="s">
        <v>3721</v>
      </c>
      <c r="AE44" s="2723" t="s">
        <v>3722</v>
      </c>
      <c r="AF44" s="2724">
        <v>23</v>
      </c>
      <c r="AG44" s="2725">
        <v>23</v>
      </c>
      <c r="AH44" s="2726">
        <v>23</v>
      </c>
      <c r="AI44"/>
      <c r="AJ44" s="2836"/>
      <c r="AK44" s="2728" t="s">
        <v>3723</v>
      </c>
      <c r="AL44" s="2723" t="s">
        <v>3724</v>
      </c>
      <c r="AM44" s="2724">
        <v>205</v>
      </c>
      <c r="AN44" s="2725">
        <v>149</v>
      </c>
      <c r="AO44" s="2726">
        <v>12</v>
      </c>
      <c r="AQ44" s="5">
        <v>1</v>
      </c>
    </row>
    <row r="45" spans="2:43" ht="21" customHeight="1">
      <c r="K45" s="2837" t="s">
        <v>3725</v>
      </c>
      <c r="L45" s="2712" t="s">
        <v>3726</v>
      </c>
      <c r="M45" s="2713">
        <v>255</v>
      </c>
      <c r="N45" s="2713">
        <v>128</v>
      </c>
      <c r="O45" s="2713">
        <v>128</v>
      </c>
      <c r="P45" s="2838" t="s">
        <v>3727</v>
      </c>
      <c r="Q45" s="2712" t="s">
        <v>3728</v>
      </c>
      <c r="R45" s="2713">
        <v>51</v>
      </c>
      <c r="S45" s="2713">
        <v>153</v>
      </c>
      <c r="T45" s="2713">
        <v>102</v>
      </c>
      <c r="V45" s="2839"/>
      <c r="W45" s="2732" t="s">
        <v>3729</v>
      </c>
      <c r="X45" s="2733" t="s">
        <v>3730</v>
      </c>
      <c r="Y45" s="2734">
        <v>112</v>
      </c>
      <c r="Z45" s="2735">
        <v>128</v>
      </c>
      <c r="AA45" s="2736">
        <v>144</v>
      </c>
      <c r="AB45"/>
      <c r="AC45" s="2840"/>
      <c r="AD45" s="2722" t="s">
        <v>3731</v>
      </c>
      <c r="AE45" s="2723" t="s">
        <v>3732</v>
      </c>
      <c r="AF45" s="2724">
        <v>20</v>
      </c>
      <c r="AG45" s="2725">
        <v>20</v>
      </c>
      <c r="AH45" s="2726">
        <v>20</v>
      </c>
      <c r="AI45"/>
      <c r="AJ45" s="2841"/>
      <c r="AK45" s="2728" t="s">
        <v>3733</v>
      </c>
      <c r="AL45" s="2723" t="s">
        <v>3734</v>
      </c>
      <c r="AM45" s="2724">
        <v>204</v>
      </c>
      <c r="AN45" s="2725">
        <v>153</v>
      </c>
      <c r="AO45" s="2726">
        <v>0</v>
      </c>
      <c r="AQ45" s="5">
        <v>1</v>
      </c>
    </row>
    <row r="46" spans="2:43" ht="21" customHeight="1">
      <c r="K46" s="2842" t="s">
        <v>3735</v>
      </c>
      <c r="L46" s="2712" t="s">
        <v>3736</v>
      </c>
      <c r="M46" s="2713">
        <v>0</v>
      </c>
      <c r="N46" s="2713">
        <v>102</v>
      </c>
      <c r="O46" s="2713">
        <v>204</v>
      </c>
      <c r="P46" s="2843" t="s">
        <v>3737</v>
      </c>
      <c r="Q46" s="2712" t="s">
        <v>3738</v>
      </c>
      <c r="R46" s="2713">
        <v>51</v>
      </c>
      <c r="S46" s="2713">
        <v>51</v>
      </c>
      <c r="T46" s="2713">
        <v>0</v>
      </c>
      <c r="V46" s="2844"/>
      <c r="W46" s="2732" t="s">
        <v>3739</v>
      </c>
      <c r="X46" s="2733" t="s">
        <v>3740</v>
      </c>
      <c r="Y46" s="2734">
        <v>108</v>
      </c>
      <c r="Z46" s="2735">
        <v>123</v>
      </c>
      <c r="AA46" s="2736">
        <v>139</v>
      </c>
      <c r="AB46"/>
      <c r="AC46" s="2845"/>
      <c r="AD46" s="2722" t="s">
        <v>3741</v>
      </c>
      <c r="AE46" s="2723" t="s">
        <v>3742</v>
      </c>
      <c r="AF46" s="2724">
        <v>18</v>
      </c>
      <c r="AG46" s="2725">
        <v>18</v>
      </c>
      <c r="AH46" s="2726">
        <v>18</v>
      </c>
      <c r="AI46"/>
      <c r="AJ46" s="2846"/>
      <c r="AK46" s="2739" t="s">
        <v>3743</v>
      </c>
      <c r="AL46" s="2723" t="s">
        <v>3744</v>
      </c>
      <c r="AM46" s="2724">
        <v>190</v>
      </c>
      <c r="AN46" s="2725">
        <v>138</v>
      </c>
      <c r="AO46" s="2726">
        <v>61</v>
      </c>
      <c r="AQ46" s="5">
        <v>1</v>
      </c>
    </row>
    <row r="47" spans="2:43" ht="21" customHeight="1">
      <c r="K47" s="2847" t="s">
        <v>3745</v>
      </c>
      <c r="L47" s="2712" t="s">
        <v>3746</v>
      </c>
      <c r="M47" s="2713">
        <v>204</v>
      </c>
      <c r="N47" s="2713">
        <v>204</v>
      </c>
      <c r="O47" s="2713">
        <v>255</v>
      </c>
      <c r="P47" s="2848" t="s">
        <v>3747</v>
      </c>
      <c r="Q47" s="2712" t="s">
        <v>3748</v>
      </c>
      <c r="R47" s="2713">
        <v>153</v>
      </c>
      <c r="S47" s="2713">
        <v>51</v>
      </c>
      <c r="T47" s="2713">
        <v>0</v>
      </c>
      <c r="V47" s="2849"/>
      <c r="W47" s="2753" t="s">
        <v>3749</v>
      </c>
      <c r="X47" s="2733" t="s">
        <v>3750</v>
      </c>
      <c r="Y47" s="2734">
        <v>103</v>
      </c>
      <c r="Z47" s="2735">
        <v>113</v>
      </c>
      <c r="AA47" s="2736">
        <v>121</v>
      </c>
      <c r="AB47"/>
      <c r="AC47" s="2850"/>
      <c r="AD47" s="2722" t="s">
        <v>3751</v>
      </c>
      <c r="AE47" s="2723" t="s">
        <v>3752</v>
      </c>
      <c r="AF47" s="2724">
        <v>15</v>
      </c>
      <c r="AG47" s="2725">
        <v>15</v>
      </c>
      <c r="AH47" s="2726">
        <v>15</v>
      </c>
      <c r="AI47"/>
      <c r="AJ47" s="2851"/>
      <c r="AK47" s="2728" t="s">
        <v>3753</v>
      </c>
      <c r="AL47" s="2723" t="s">
        <v>3754</v>
      </c>
      <c r="AM47" s="2724">
        <v>184</v>
      </c>
      <c r="AN47" s="2725">
        <v>134</v>
      </c>
      <c r="AO47" s="2726">
        <v>11</v>
      </c>
      <c r="AQ47" s="5">
        <v>1</v>
      </c>
    </row>
    <row r="48" spans="2:43" ht="21" customHeight="1">
      <c r="K48" s="2783" t="s">
        <v>3755</v>
      </c>
      <c r="L48" s="2712" t="s">
        <v>3620</v>
      </c>
      <c r="M48" s="2713">
        <v>0</v>
      </c>
      <c r="N48" s="2713">
        <v>0</v>
      </c>
      <c r="O48" s="2713">
        <v>128</v>
      </c>
      <c r="P48" s="2818" t="s">
        <v>3756</v>
      </c>
      <c r="Q48" s="2712" t="s">
        <v>3687</v>
      </c>
      <c r="R48" s="2713">
        <v>153</v>
      </c>
      <c r="S48" s="2713">
        <v>51</v>
      </c>
      <c r="T48" s="2713">
        <v>102</v>
      </c>
      <c r="V48" s="2852"/>
      <c r="W48" s="2732" t="s">
        <v>3757</v>
      </c>
      <c r="X48" s="2733" t="s">
        <v>3758</v>
      </c>
      <c r="Y48" s="2734">
        <v>74</v>
      </c>
      <c r="Z48" s="2735">
        <v>112</v>
      </c>
      <c r="AA48" s="2736">
        <v>139</v>
      </c>
      <c r="AB48"/>
      <c r="AC48" s="2853"/>
      <c r="AD48" s="2722" t="s">
        <v>3759</v>
      </c>
      <c r="AE48" s="2723" t="s">
        <v>3760</v>
      </c>
      <c r="AF48" s="2724">
        <v>13</v>
      </c>
      <c r="AG48" s="2725">
        <v>13</v>
      </c>
      <c r="AH48" s="2726">
        <v>13</v>
      </c>
      <c r="AI48"/>
      <c r="AJ48" s="2854"/>
      <c r="AK48" s="2728" t="s">
        <v>3761</v>
      </c>
      <c r="AL48" s="2723" t="s">
        <v>3762</v>
      </c>
      <c r="AM48" s="2724">
        <v>166</v>
      </c>
      <c r="AN48" s="2725">
        <v>125</v>
      </c>
      <c r="AO48" s="2726">
        <v>61</v>
      </c>
      <c r="AQ48" s="5">
        <v>1</v>
      </c>
    </row>
    <row r="49" spans="1:43" ht="21" customHeight="1">
      <c r="K49" s="2855" t="s">
        <v>3763</v>
      </c>
      <c r="L49" s="2712" t="s">
        <v>3764</v>
      </c>
      <c r="M49" s="2713">
        <v>255</v>
      </c>
      <c r="N49" s="2713">
        <v>0</v>
      </c>
      <c r="O49" s="2713">
        <v>255</v>
      </c>
      <c r="P49" s="2856" t="s">
        <v>3765</v>
      </c>
      <c r="Q49" s="2712" t="s">
        <v>3766</v>
      </c>
      <c r="R49" s="2713">
        <v>51</v>
      </c>
      <c r="S49" s="2713">
        <v>51</v>
      </c>
      <c r="T49" s="2713">
        <v>153</v>
      </c>
      <c r="V49" s="2857"/>
      <c r="W49" s="2732" t="s">
        <v>3767</v>
      </c>
      <c r="X49" s="2733" t="s">
        <v>3768</v>
      </c>
      <c r="Y49" s="2734">
        <v>35</v>
      </c>
      <c r="Z49" s="2735">
        <v>107</v>
      </c>
      <c r="AA49" s="2736">
        <v>142</v>
      </c>
      <c r="AB49"/>
      <c r="AC49" s="2858"/>
      <c r="AD49" s="2722" t="s">
        <v>3769</v>
      </c>
      <c r="AE49" s="2723" t="s">
        <v>3770</v>
      </c>
      <c r="AF49" s="2724">
        <v>10</v>
      </c>
      <c r="AG49" s="2725">
        <v>10</v>
      </c>
      <c r="AH49" s="2726">
        <v>10</v>
      </c>
      <c r="AI49"/>
      <c r="AJ49" s="2859"/>
      <c r="AK49" s="2739" t="s">
        <v>3771</v>
      </c>
      <c r="AL49" s="2723" t="s">
        <v>3772</v>
      </c>
      <c r="AM49" s="2724">
        <v>148</v>
      </c>
      <c r="AN49" s="2725">
        <v>127</v>
      </c>
      <c r="AO49" s="2726">
        <v>96</v>
      </c>
      <c r="AQ49" s="5">
        <v>1</v>
      </c>
    </row>
    <row r="50" spans="1:43" ht="21" customHeight="1">
      <c r="K50" s="2860" t="s">
        <v>3773</v>
      </c>
      <c r="L50" s="2712" t="s">
        <v>3774</v>
      </c>
      <c r="M50" s="2713">
        <v>255</v>
      </c>
      <c r="N50" s="2713">
        <v>255</v>
      </c>
      <c r="O50" s="2713">
        <v>0</v>
      </c>
      <c r="P50" s="2861" t="s">
        <v>3775</v>
      </c>
      <c r="Q50" s="2712" t="s">
        <v>3776</v>
      </c>
      <c r="R50" s="2713">
        <v>51</v>
      </c>
      <c r="S50" s="2713">
        <v>51</v>
      </c>
      <c r="T50" s="2713">
        <v>51</v>
      </c>
      <c r="V50" s="2862"/>
      <c r="W50" s="2753" t="s">
        <v>3777</v>
      </c>
      <c r="X50" s="2733" t="s">
        <v>3778</v>
      </c>
      <c r="Y50" s="2734">
        <v>83</v>
      </c>
      <c r="Z50" s="2735">
        <v>104</v>
      </c>
      <c r="AA50" s="2736">
        <v>120</v>
      </c>
      <c r="AB50"/>
      <c r="AC50" s="2863"/>
      <c r="AD50" s="2722" t="s">
        <v>3779</v>
      </c>
      <c r="AE50" s="2723" t="s">
        <v>3780</v>
      </c>
      <c r="AF50" s="2724">
        <v>8</v>
      </c>
      <c r="AG50" s="2725">
        <v>8</v>
      </c>
      <c r="AH50" s="2726">
        <v>8</v>
      </c>
      <c r="AI50"/>
      <c r="AJ50" s="2864"/>
      <c r="AK50" s="2739" t="s">
        <v>3781</v>
      </c>
      <c r="AL50" s="2723" t="s">
        <v>3782</v>
      </c>
      <c r="AM50" s="2724">
        <v>150</v>
      </c>
      <c r="AN50" s="2725">
        <v>124</v>
      </c>
      <c r="AO50" s="2726">
        <v>92</v>
      </c>
      <c r="AQ50" s="5">
        <v>1</v>
      </c>
    </row>
    <row r="51" spans="1:43" ht="21" customHeight="1">
      <c r="K51" s="2865" t="s">
        <v>3783</v>
      </c>
      <c r="L51" s="2712" t="s">
        <v>3784</v>
      </c>
      <c r="M51" s="2713">
        <v>0</v>
      </c>
      <c r="N51" s="2713">
        <v>255</v>
      </c>
      <c r="O51" s="2713">
        <v>255</v>
      </c>
      <c r="V51" s="2866"/>
      <c r="W51" s="2732" t="s">
        <v>3785</v>
      </c>
      <c r="X51" s="2733" t="s">
        <v>3786</v>
      </c>
      <c r="Y51" s="2734">
        <v>0</v>
      </c>
      <c r="Z51" s="2735">
        <v>104</v>
      </c>
      <c r="AA51" s="2736">
        <v>139</v>
      </c>
      <c r="AB51"/>
      <c r="AC51" s="2867"/>
      <c r="AD51" s="2722" t="s">
        <v>3787</v>
      </c>
      <c r="AE51" s="2723" t="s">
        <v>3788</v>
      </c>
      <c r="AF51" s="2724">
        <v>5</v>
      </c>
      <c r="AG51" s="2725">
        <v>5</v>
      </c>
      <c r="AH51" s="2726">
        <v>5</v>
      </c>
      <c r="AI51"/>
      <c r="AJ51" s="2868"/>
      <c r="AK51" s="2728" t="s">
        <v>3789</v>
      </c>
      <c r="AL51" s="2723" t="s">
        <v>3790</v>
      </c>
      <c r="AM51" s="2724">
        <v>139</v>
      </c>
      <c r="AN51" s="2725">
        <v>125</v>
      </c>
      <c r="AO51" s="2726">
        <v>107</v>
      </c>
      <c r="AQ51" s="5">
        <v>1</v>
      </c>
    </row>
    <row r="52" spans="1:43" ht="21" customHeight="1">
      <c r="V52" s="2869"/>
      <c r="W52" s="2753" t="s">
        <v>3791</v>
      </c>
      <c r="X52" s="2733" t="s">
        <v>3792</v>
      </c>
      <c r="Y52" s="2734">
        <v>81</v>
      </c>
      <c r="Z52" s="2735">
        <v>88</v>
      </c>
      <c r="AA52" s="2736">
        <v>94</v>
      </c>
      <c r="AB52"/>
      <c r="AC52" s="2870"/>
      <c r="AD52" s="2722" t="s">
        <v>3793</v>
      </c>
      <c r="AE52" s="2723" t="s">
        <v>3794</v>
      </c>
      <c r="AF52" s="2724">
        <v>3</v>
      </c>
      <c r="AG52" s="2725">
        <v>3</v>
      </c>
      <c r="AH52" s="2726">
        <v>3</v>
      </c>
      <c r="AI52"/>
      <c r="AJ52" s="2871"/>
      <c r="AK52" s="2728" t="s">
        <v>3795</v>
      </c>
      <c r="AL52" s="2723" t="s">
        <v>3796</v>
      </c>
      <c r="AM52" s="2724">
        <v>139</v>
      </c>
      <c r="AN52" s="2725">
        <v>121</v>
      </c>
      <c r="AO52" s="2726">
        <v>94</v>
      </c>
      <c r="AQ52" s="5">
        <v>1</v>
      </c>
    </row>
    <row r="53" spans="1:43" ht="21" customHeight="1">
      <c r="K53" s="2872" t="s">
        <v>3797</v>
      </c>
      <c r="L53"/>
      <c r="M53"/>
      <c r="N53"/>
      <c r="O53"/>
      <c r="P53"/>
      <c r="Q53"/>
      <c r="R53"/>
      <c r="S53"/>
      <c r="V53" s="2873"/>
      <c r="W53" s="2753" t="s">
        <v>3798</v>
      </c>
      <c r="X53" s="2733" t="s">
        <v>3799</v>
      </c>
      <c r="Y53" s="2734">
        <v>36</v>
      </c>
      <c r="Z53" s="2735">
        <v>68</v>
      </c>
      <c r="AA53" s="2736">
        <v>92</v>
      </c>
      <c r="AB53"/>
      <c r="AC53" s="2874"/>
      <c r="AD53" s="2787" t="s">
        <v>3800</v>
      </c>
      <c r="AE53" s="2723" t="s">
        <v>3801</v>
      </c>
      <c r="AF53" s="2724">
        <v>255</v>
      </c>
      <c r="AG53" s="2725">
        <v>255</v>
      </c>
      <c r="AH53" s="2726">
        <v>0</v>
      </c>
      <c r="AI53"/>
      <c r="AJ53" s="2875"/>
      <c r="AK53" s="2728" t="s">
        <v>3802</v>
      </c>
      <c r="AL53" s="2723" t="s">
        <v>3803</v>
      </c>
      <c r="AM53" s="2724">
        <v>139</v>
      </c>
      <c r="AN53" s="2725">
        <v>115</v>
      </c>
      <c r="AO53" s="2726">
        <v>85</v>
      </c>
      <c r="AQ53" s="5">
        <v>1</v>
      </c>
    </row>
    <row r="54" spans="1:43" ht="21" customHeight="1">
      <c r="K54" s="2876" t="s">
        <v>3804</v>
      </c>
      <c r="L54"/>
      <c r="M54"/>
      <c r="N54"/>
      <c r="O54"/>
      <c r="P54"/>
      <c r="Q54"/>
      <c r="R54"/>
      <c r="S54"/>
      <c r="V54" s="2877"/>
      <c r="W54" s="2753" t="s">
        <v>3805</v>
      </c>
      <c r="X54" s="2733" t="s">
        <v>3806</v>
      </c>
      <c r="Y54" s="2734">
        <v>54</v>
      </c>
      <c r="Z54" s="2735">
        <v>69</v>
      </c>
      <c r="AA54" s="2736">
        <v>79</v>
      </c>
      <c r="AB54"/>
      <c r="AC54" s="2878"/>
      <c r="AD54" s="2787" t="s">
        <v>3807</v>
      </c>
      <c r="AE54" s="2723" t="s">
        <v>3808</v>
      </c>
      <c r="AF54" s="2724">
        <v>234</v>
      </c>
      <c r="AG54" s="2725">
        <v>230</v>
      </c>
      <c r="AH54" s="2726">
        <v>121</v>
      </c>
      <c r="AI54"/>
      <c r="AJ54" s="2879"/>
      <c r="AK54" s="2739" t="s">
        <v>3809</v>
      </c>
      <c r="AL54" s="2723" t="s">
        <v>3810</v>
      </c>
      <c r="AM54" s="2724">
        <v>128</v>
      </c>
      <c r="AN54" s="2725">
        <v>109</v>
      </c>
      <c r="AO54" s="2726">
        <v>90</v>
      </c>
      <c r="AQ54" s="5">
        <v>1</v>
      </c>
    </row>
    <row r="55" spans="1:43" ht="21" customHeight="1">
      <c r="K55"/>
      <c r="L55"/>
      <c r="M55"/>
      <c r="N55"/>
      <c r="O55"/>
      <c r="P55"/>
      <c r="Q55"/>
      <c r="R55"/>
      <c r="S55"/>
      <c r="V55" s="2880"/>
      <c r="W55" s="2753" t="s">
        <v>3811</v>
      </c>
      <c r="X55" s="2733" t="s">
        <v>3812</v>
      </c>
      <c r="Y55" s="2734">
        <v>32</v>
      </c>
      <c r="Z55" s="2735">
        <v>40</v>
      </c>
      <c r="AA55" s="2736">
        <v>48</v>
      </c>
      <c r="AB55"/>
      <c r="AC55" s="2881"/>
      <c r="AD55" s="2787" t="s">
        <v>3813</v>
      </c>
      <c r="AE55" s="2723" t="s">
        <v>3814</v>
      </c>
      <c r="AF55" s="2724">
        <v>247</v>
      </c>
      <c r="AG55" s="2725">
        <v>255</v>
      </c>
      <c r="AH55" s="2726">
        <v>60</v>
      </c>
      <c r="AI55"/>
      <c r="AJ55" s="2882"/>
      <c r="AK55" s="2739" t="s">
        <v>3815</v>
      </c>
      <c r="AL55" s="2723" t="s">
        <v>3816</v>
      </c>
      <c r="AM55" s="2724">
        <v>139</v>
      </c>
      <c r="AN55" s="2725">
        <v>108</v>
      </c>
      <c r="AO55" s="2726">
        <v>66</v>
      </c>
      <c r="AQ55" s="5">
        <v>1</v>
      </c>
    </row>
    <row r="56" spans="1:43" ht="21" customHeight="1">
      <c r="K56" s="2883" t="s">
        <v>3817</v>
      </c>
      <c r="L56" s="2884" t="s">
        <v>3818</v>
      </c>
      <c r="M56" s="2885" t="s">
        <v>3819</v>
      </c>
      <c r="N56" s="2886" t="s">
        <v>3820</v>
      </c>
      <c r="O56" s="2887" t="s">
        <v>3821</v>
      </c>
      <c r="P56" s="2888" t="s">
        <v>3822</v>
      </c>
      <c r="Q56" s="2889" t="s">
        <v>3823</v>
      </c>
      <c r="R56" s="2890" t="s">
        <v>3824</v>
      </c>
      <c r="S56" s="2891" t="s">
        <v>3825</v>
      </c>
      <c r="V56" s="2892"/>
      <c r="W56" s="2753" t="s">
        <v>3826</v>
      </c>
      <c r="X56" s="2733" t="s">
        <v>3827</v>
      </c>
      <c r="Y56" s="2734">
        <v>32</v>
      </c>
      <c r="Z56" s="2735">
        <v>36</v>
      </c>
      <c r="AA56" s="2736">
        <v>40</v>
      </c>
      <c r="AB56"/>
      <c r="AC56" s="2893"/>
      <c r="AD56" s="2722" t="s">
        <v>3828</v>
      </c>
      <c r="AE56" s="2723" t="s">
        <v>3829</v>
      </c>
      <c r="AF56" s="2724">
        <v>205</v>
      </c>
      <c r="AG56" s="2725">
        <v>205</v>
      </c>
      <c r="AH56" s="2726">
        <v>180</v>
      </c>
      <c r="AI56"/>
      <c r="AJ56" s="2894"/>
      <c r="AK56" s="2739" t="s">
        <v>3830</v>
      </c>
      <c r="AL56" s="2723" t="s">
        <v>3831</v>
      </c>
      <c r="AM56" s="2724">
        <v>126</v>
      </c>
      <c r="AN56" s="2725">
        <v>109</v>
      </c>
      <c r="AO56" s="2726">
        <v>90</v>
      </c>
      <c r="AQ56" s="5">
        <v>1</v>
      </c>
    </row>
    <row r="57" spans="1:43" ht="21" customHeight="1">
      <c r="K57" s="2895" t="s">
        <v>3832</v>
      </c>
      <c r="L57" s="2896" t="s">
        <v>3833</v>
      </c>
      <c r="M57" s="2897" t="s">
        <v>3834</v>
      </c>
      <c r="N57" s="2898" t="s">
        <v>3835</v>
      </c>
      <c r="O57" s="2899" t="s">
        <v>3836</v>
      </c>
      <c r="P57" s="2900" t="s">
        <v>3837</v>
      </c>
      <c r="Q57" s="2901" t="s">
        <v>3838</v>
      </c>
      <c r="R57" s="2902" t="s">
        <v>3839</v>
      </c>
      <c r="S57" s="2903" t="s">
        <v>3840</v>
      </c>
      <c r="V57" s="2904"/>
      <c r="W57" s="2732" t="s">
        <v>3841</v>
      </c>
      <c r="X57" s="2733" t="s">
        <v>3842</v>
      </c>
      <c r="Y57" s="2734">
        <v>99</v>
      </c>
      <c r="Z57" s="2735">
        <v>184</v>
      </c>
      <c r="AA57" s="2736">
        <v>255</v>
      </c>
      <c r="AB57"/>
      <c r="AC57" s="2905"/>
      <c r="AD57" s="2787" t="s">
        <v>3843</v>
      </c>
      <c r="AE57" s="2723" t="s">
        <v>3844</v>
      </c>
      <c r="AF57" s="2724">
        <v>230</v>
      </c>
      <c r="AG57" s="2725">
        <v>230</v>
      </c>
      <c r="AH57" s="2726">
        <v>151</v>
      </c>
      <c r="AI57"/>
      <c r="AJ57" s="2906"/>
      <c r="AK57" s="2739" t="s">
        <v>3845</v>
      </c>
      <c r="AL57" s="2723" t="s">
        <v>3846</v>
      </c>
      <c r="AM57" s="2724">
        <v>150</v>
      </c>
      <c r="AN57" s="2725">
        <v>113</v>
      </c>
      <c r="AO57" s="2726">
        <v>23</v>
      </c>
      <c r="AQ57" s="5">
        <v>1</v>
      </c>
    </row>
    <row r="58" spans="1:43" ht="21" customHeight="1">
      <c r="K58" s="2907" t="s">
        <v>3847</v>
      </c>
      <c r="L58" s="2908" t="s">
        <v>3848</v>
      </c>
      <c r="M58" s="2909" t="s">
        <v>3849</v>
      </c>
      <c r="N58" s="2910" t="s">
        <v>3850</v>
      </c>
      <c r="O58" s="2911" t="s">
        <v>3851</v>
      </c>
      <c r="P58" s="2912" t="s">
        <v>3852</v>
      </c>
      <c r="Q58" s="2913" t="s">
        <v>3853</v>
      </c>
      <c r="R58" s="2914" t="s">
        <v>3854</v>
      </c>
      <c r="S58" s="2915" t="s">
        <v>3855</v>
      </c>
      <c r="V58" s="2916"/>
      <c r="W58" s="2732" t="s">
        <v>3856</v>
      </c>
      <c r="X58" s="2733" t="s">
        <v>3857</v>
      </c>
      <c r="Y58" s="2734">
        <v>176</v>
      </c>
      <c r="Z58" s="2735">
        <v>196</v>
      </c>
      <c r="AA58" s="2736">
        <v>222</v>
      </c>
      <c r="AB58"/>
      <c r="AC58" s="2917"/>
      <c r="AD58" s="2787" t="s">
        <v>3858</v>
      </c>
      <c r="AE58" s="2723" t="s">
        <v>3859</v>
      </c>
      <c r="AF58" s="2724">
        <v>254</v>
      </c>
      <c r="AG58" s="2725">
        <v>248</v>
      </c>
      <c r="AH58" s="2726">
        <v>108</v>
      </c>
      <c r="AI58"/>
      <c r="AJ58" s="2918"/>
      <c r="AK58" s="2739" t="s">
        <v>3860</v>
      </c>
      <c r="AL58" s="2723" t="s">
        <v>3861</v>
      </c>
      <c r="AM58" s="2724">
        <v>133</v>
      </c>
      <c r="AN58" s="2725">
        <v>109</v>
      </c>
      <c r="AO58" s="2726">
        <v>77</v>
      </c>
      <c r="AQ58" s="5">
        <v>1</v>
      </c>
    </row>
    <row r="59" spans="1:43" ht="21" customHeight="1">
      <c r="K59" s="2919" t="s">
        <v>3862</v>
      </c>
      <c r="L59" s="2920" t="s">
        <v>3863</v>
      </c>
      <c r="M59" s="2921" t="s">
        <v>3864</v>
      </c>
      <c r="N59" s="2922" t="s">
        <v>3865</v>
      </c>
      <c r="O59" s="2923" t="s">
        <v>3866</v>
      </c>
      <c r="P59" s="2924" t="s">
        <v>3867</v>
      </c>
      <c r="Q59" s="2925" t="s">
        <v>3868</v>
      </c>
      <c r="R59" s="2926" t="s">
        <v>3869</v>
      </c>
      <c r="S59" s="2927" t="s">
        <v>3870</v>
      </c>
      <c r="V59" s="2928"/>
      <c r="W59" s="2753" t="s">
        <v>3871</v>
      </c>
      <c r="X59" s="2733" t="s">
        <v>3872</v>
      </c>
      <c r="Y59" s="2734">
        <v>119</v>
      </c>
      <c r="Z59" s="2735">
        <v>181</v>
      </c>
      <c r="AA59" s="2736">
        <v>254</v>
      </c>
      <c r="AB59"/>
      <c r="AC59" s="2929"/>
      <c r="AD59" s="2787" t="s">
        <v>3873</v>
      </c>
      <c r="AE59" s="2723" t="s">
        <v>3874</v>
      </c>
      <c r="AF59" s="2724">
        <v>255</v>
      </c>
      <c r="AG59" s="2725">
        <v>255</v>
      </c>
      <c r="AH59" s="2726">
        <v>107</v>
      </c>
      <c r="AI59"/>
      <c r="AJ59" s="2930"/>
      <c r="AK59" s="2739" t="s">
        <v>3875</v>
      </c>
      <c r="AL59" s="2723" t="s">
        <v>3876</v>
      </c>
      <c r="AM59" s="2724">
        <v>146</v>
      </c>
      <c r="AN59" s="2725">
        <v>109</v>
      </c>
      <c r="AO59" s="2726">
        <v>39</v>
      </c>
      <c r="AQ59" s="5">
        <v>1</v>
      </c>
    </row>
    <row r="60" spans="1:43" ht="21" customHeight="1">
      <c r="K60" s="2931" t="s">
        <v>3877</v>
      </c>
      <c r="L60" s="2932" t="s">
        <v>3878</v>
      </c>
      <c r="M60" s="2933" t="s">
        <v>3879</v>
      </c>
      <c r="N60" s="2934" t="s">
        <v>3880</v>
      </c>
      <c r="O60" s="2935" t="s">
        <v>3881</v>
      </c>
      <c r="P60" s="2936" t="s">
        <v>3882</v>
      </c>
      <c r="Q60" s="2937" t="s">
        <v>3883</v>
      </c>
      <c r="R60" s="2938" t="s">
        <v>3884</v>
      </c>
      <c r="S60" s="2939" t="s">
        <v>3885</v>
      </c>
      <c r="V60" s="2940"/>
      <c r="W60" s="2732"/>
      <c r="X60" s="2733" t="s">
        <v>3886</v>
      </c>
      <c r="Y60" s="2734">
        <v>153</v>
      </c>
      <c r="Z60" s="2735">
        <v>204</v>
      </c>
      <c r="AA60" s="2736">
        <v>255</v>
      </c>
      <c r="AB60"/>
      <c r="AC60" s="2941"/>
      <c r="AD60" s="2722" t="s">
        <v>3887</v>
      </c>
      <c r="AE60" s="2723" t="s">
        <v>3888</v>
      </c>
      <c r="AF60" s="2724">
        <v>205</v>
      </c>
      <c r="AG60" s="2725">
        <v>205</v>
      </c>
      <c r="AH60" s="2726">
        <v>193</v>
      </c>
      <c r="AI60"/>
      <c r="AJ60" s="2942"/>
      <c r="AK60" s="2728" t="s">
        <v>3889</v>
      </c>
      <c r="AL60" s="2723" t="s">
        <v>3890</v>
      </c>
      <c r="AM60" s="2724">
        <v>142</v>
      </c>
      <c r="AN60" s="2725">
        <v>107</v>
      </c>
      <c r="AO60" s="2726">
        <v>35</v>
      </c>
      <c r="AQ60" s="5">
        <v>1</v>
      </c>
    </row>
    <row r="61" spans="1:43" ht="21" customHeight="1">
      <c r="A61" s="187"/>
      <c r="K61" s="2943" t="s">
        <v>3891</v>
      </c>
      <c r="L61" s="2944" t="s">
        <v>3892</v>
      </c>
      <c r="M61" s="2945" t="s">
        <v>3893</v>
      </c>
      <c r="N61" s="2946" t="s">
        <v>3894</v>
      </c>
      <c r="O61" s="2947" t="s">
        <v>3895</v>
      </c>
      <c r="P61" s="2948" t="s">
        <v>3896</v>
      </c>
      <c r="Q61" s="2949" t="s">
        <v>3897</v>
      </c>
      <c r="R61" s="2950" t="s">
        <v>3898</v>
      </c>
      <c r="S61" s="2951" t="s">
        <v>3899</v>
      </c>
      <c r="V61" s="2952"/>
      <c r="W61" s="2732" t="s">
        <v>3900</v>
      </c>
      <c r="X61" s="2733" t="s">
        <v>3901</v>
      </c>
      <c r="Y61" s="2734">
        <v>188</v>
      </c>
      <c r="Z61" s="2735">
        <v>210</v>
      </c>
      <c r="AA61" s="2736">
        <v>238</v>
      </c>
      <c r="AB61"/>
      <c r="AC61" s="2953"/>
      <c r="AD61" s="2787" t="s">
        <v>3902</v>
      </c>
      <c r="AE61" s="2723" t="s">
        <v>3903</v>
      </c>
      <c r="AF61" s="2724">
        <v>235</v>
      </c>
      <c r="AG61" s="2725">
        <v>232</v>
      </c>
      <c r="AH61" s="2726">
        <v>164</v>
      </c>
      <c r="AI61"/>
      <c r="AJ61" s="2954"/>
      <c r="AK61" s="2739" t="s">
        <v>3904</v>
      </c>
      <c r="AL61" s="2723" t="s">
        <v>3905</v>
      </c>
      <c r="AM61" s="2724">
        <v>130</v>
      </c>
      <c r="AN61" s="2725">
        <v>102</v>
      </c>
      <c r="AO61" s="2726">
        <v>68</v>
      </c>
      <c r="AP61" s="473"/>
      <c r="AQ61" s="5">
        <v>1</v>
      </c>
    </row>
    <row r="62" spans="1:43" ht="21" customHeight="1">
      <c r="A62" s="187"/>
      <c r="K62" s="2955" t="s">
        <v>3906</v>
      </c>
      <c r="L62" s="2956" t="s">
        <v>3907</v>
      </c>
      <c r="M62" s="2957" t="s">
        <v>3908</v>
      </c>
      <c r="N62" s="2958" t="s">
        <v>3909</v>
      </c>
      <c r="O62" s="2959" t="s">
        <v>3910</v>
      </c>
      <c r="P62" s="2960" t="s">
        <v>3911</v>
      </c>
      <c r="Q62" s="2961" t="s">
        <v>3912</v>
      </c>
      <c r="R62" s="2962" t="s">
        <v>3913</v>
      </c>
      <c r="S62" s="2963" t="s">
        <v>3914</v>
      </c>
      <c r="V62" s="2964"/>
      <c r="W62" s="2732" t="s">
        <v>3915</v>
      </c>
      <c r="X62" s="2733" t="s">
        <v>3916</v>
      </c>
      <c r="Y62" s="2734">
        <v>202</v>
      </c>
      <c r="Z62" s="2735">
        <v>225</v>
      </c>
      <c r="AA62" s="2736">
        <v>255</v>
      </c>
      <c r="AB62"/>
      <c r="AC62" s="2965"/>
      <c r="AD62" s="2722" t="s">
        <v>3917</v>
      </c>
      <c r="AE62" s="2723" t="s">
        <v>3918</v>
      </c>
      <c r="AF62" s="2724">
        <v>216</v>
      </c>
      <c r="AG62" s="2725">
        <v>216</v>
      </c>
      <c r="AH62" s="2726">
        <v>191</v>
      </c>
      <c r="AI62"/>
      <c r="AJ62" s="2966"/>
      <c r="AK62" s="2728" t="s">
        <v>3919</v>
      </c>
      <c r="AL62" s="2723" t="s">
        <v>3920</v>
      </c>
      <c r="AM62" s="2724">
        <v>139</v>
      </c>
      <c r="AN62" s="2725">
        <v>105</v>
      </c>
      <c r="AO62" s="2726">
        <v>20</v>
      </c>
      <c r="AQ62" s="5">
        <v>1</v>
      </c>
    </row>
    <row r="63" spans="1:43" ht="21" customHeight="1">
      <c r="A63" s="187"/>
      <c r="K63" s="2967" t="s">
        <v>3921</v>
      </c>
      <c r="L63" s="2968" t="s">
        <v>3922</v>
      </c>
      <c r="M63" s="2969" t="s">
        <v>3923</v>
      </c>
      <c r="N63" s="2970" t="s">
        <v>3924</v>
      </c>
      <c r="O63" s="2971" t="s">
        <v>3925</v>
      </c>
      <c r="P63" s="2972" t="s">
        <v>3926</v>
      </c>
      <c r="Q63" s="2973" t="s">
        <v>3927</v>
      </c>
      <c r="R63" s="2974" t="s">
        <v>3928</v>
      </c>
      <c r="S63" s="2975" t="s">
        <v>3929</v>
      </c>
      <c r="V63" s="2976"/>
      <c r="W63" s="2732" t="s">
        <v>3930</v>
      </c>
      <c r="X63" s="2733" t="s">
        <v>3931</v>
      </c>
      <c r="Y63" s="2734">
        <v>162</v>
      </c>
      <c r="Z63" s="2735">
        <v>181</v>
      </c>
      <c r="AA63" s="2736">
        <v>205</v>
      </c>
      <c r="AB63"/>
      <c r="AC63" s="2977"/>
      <c r="AD63" s="2722" t="s">
        <v>3932</v>
      </c>
      <c r="AE63" s="2723" t="s">
        <v>3933</v>
      </c>
      <c r="AF63" s="2724">
        <v>234</v>
      </c>
      <c r="AG63" s="2725">
        <v>234</v>
      </c>
      <c r="AH63" s="2726">
        <v>174</v>
      </c>
      <c r="AI63"/>
      <c r="AJ63" s="2978"/>
      <c r="AK63" s="2728" t="s">
        <v>3934</v>
      </c>
      <c r="AL63" s="2723" t="s">
        <v>3935</v>
      </c>
      <c r="AM63" s="2724">
        <v>139</v>
      </c>
      <c r="AN63" s="2725">
        <v>101</v>
      </c>
      <c r="AO63" s="2726">
        <v>8</v>
      </c>
      <c r="AQ63" s="5">
        <v>1</v>
      </c>
    </row>
    <row r="64" spans="1:43" ht="21" customHeight="1">
      <c r="A64" s="187"/>
      <c r="K64" s="2979" t="s">
        <v>3936</v>
      </c>
      <c r="L64" s="2980" t="s">
        <v>3937</v>
      </c>
      <c r="M64" s="2981" t="s">
        <v>3938</v>
      </c>
      <c r="N64" s="2982" t="s">
        <v>3939</v>
      </c>
      <c r="O64" s="2983" t="s">
        <v>3940</v>
      </c>
      <c r="P64" s="2984" t="s">
        <v>3941</v>
      </c>
      <c r="Q64" s="2985" t="s">
        <v>3942</v>
      </c>
      <c r="R64" s="2986" t="s">
        <v>3943</v>
      </c>
      <c r="S64" s="2987" t="s">
        <v>3944</v>
      </c>
      <c r="V64" s="2988"/>
      <c r="W64" s="2732" t="s">
        <v>3945</v>
      </c>
      <c r="X64" s="2733" t="s">
        <v>3946</v>
      </c>
      <c r="Y64" s="2734">
        <v>92</v>
      </c>
      <c r="Z64" s="2735">
        <v>172</v>
      </c>
      <c r="AA64" s="2736">
        <v>238</v>
      </c>
      <c r="AB64"/>
      <c r="AC64" s="2989"/>
      <c r="AD64" s="2722" t="s">
        <v>3947</v>
      </c>
      <c r="AE64" s="2723" t="s">
        <v>3948</v>
      </c>
      <c r="AF64" s="2724">
        <v>238</v>
      </c>
      <c r="AG64" s="2725">
        <v>238</v>
      </c>
      <c r="AH64" s="2726">
        <v>209</v>
      </c>
      <c r="AI64"/>
      <c r="AJ64" s="2990"/>
      <c r="AK64" s="2739" t="s">
        <v>3949</v>
      </c>
      <c r="AL64" s="2723" t="s">
        <v>3950</v>
      </c>
      <c r="AM64" s="2724">
        <v>120</v>
      </c>
      <c r="AN64" s="2725">
        <v>94</v>
      </c>
      <c r="AO64" s="2726">
        <v>47</v>
      </c>
      <c r="AQ64" s="5">
        <v>1</v>
      </c>
    </row>
    <row r="65" spans="1:43" ht="21" customHeight="1">
      <c r="A65" s="187"/>
      <c r="K65" s="2991" t="s">
        <v>3951</v>
      </c>
      <c r="L65" s="2992" t="s">
        <v>3952</v>
      </c>
      <c r="M65" s="2993" t="s">
        <v>3953</v>
      </c>
      <c r="N65" s="2994" t="s">
        <v>3954</v>
      </c>
      <c r="O65" s="2995" t="s">
        <v>3955</v>
      </c>
      <c r="P65" s="2996" t="s">
        <v>3956</v>
      </c>
      <c r="Q65" s="2997" t="s">
        <v>3957</v>
      </c>
      <c r="R65" s="2998" t="s">
        <v>3958</v>
      </c>
      <c r="S65" s="2999" t="s">
        <v>3959</v>
      </c>
      <c r="V65" s="3000"/>
      <c r="W65" s="2732"/>
      <c r="X65" s="2733" t="s">
        <v>3960</v>
      </c>
      <c r="Y65" s="2734">
        <v>102</v>
      </c>
      <c r="Z65" s="2735">
        <v>153</v>
      </c>
      <c r="AA65" s="2736">
        <v>204</v>
      </c>
      <c r="AB65"/>
      <c r="AC65" s="3001"/>
      <c r="AD65" s="2722" t="s">
        <v>3961</v>
      </c>
      <c r="AE65" s="2723" t="s">
        <v>3962</v>
      </c>
      <c r="AF65" s="2724">
        <v>250</v>
      </c>
      <c r="AG65" s="2725">
        <v>250</v>
      </c>
      <c r="AH65" s="2726">
        <v>210</v>
      </c>
      <c r="AI65"/>
      <c r="AJ65" s="2990"/>
      <c r="AK65" s="2739" t="s">
        <v>3963</v>
      </c>
      <c r="AL65" s="2723" t="s">
        <v>3950</v>
      </c>
      <c r="AM65" s="2724">
        <v>120</v>
      </c>
      <c r="AN65" s="2725">
        <v>94</v>
      </c>
      <c r="AO65" s="2726">
        <v>47</v>
      </c>
      <c r="AQ65" s="5">
        <v>1</v>
      </c>
    </row>
    <row r="66" spans="1:43" ht="21" customHeight="1">
      <c r="A66" s="187"/>
      <c r="K66" s="3002" t="s">
        <v>3964</v>
      </c>
      <c r="L66" s="3003" t="s">
        <v>3965</v>
      </c>
      <c r="M66" s="3004" t="s">
        <v>3966</v>
      </c>
      <c r="N66" s="3005" t="s">
        <v>3967</v>
      </c>
      <c r="O66" s="3006" t="s">
        <v>3968</v>
      </c>
      <c r="P66" s="3007" t="s">
        <v>3969</v>
      </c>
      <c r="Q66" s="3008" t="s">
        <v>3970</v>
      </c>
      <c r="R66" s="3009" t="s">
        <v>3971</v>
      </c>
      <c r="S66" s="3010" t="s">
        <v>3972</v>
      </c>
      <c r="V66" s="3011"/>
      <c r="W66" s="2753" t="s">
        <v>3973</v>
      </c>
      <c r="X66" s="2733" t="s">
        <v>3974</v>
      </c>
      <c r="Y66" s="2734">
        <v>73</v>
      </c>
      <c r="Z66" s="2735">
        <v>151</v>
      </c>
      <c r="AA66" s="2736">
        <v>208</v>
      </c>
      <c r="AB66"/>
      <c r="AC66" s="3012"/>
      <c r="AD66" s="2722" t="s">
        <v>3975</v>
      </c>
      <c r="AE66" s="2723" t="s">
        <v>3976</v>
      </c>
      <c r="AF66" s="2724">
        <v>238</v>
      </c>
      <c r="AG66" s="2725">
        <v>238</v>
      </c>
      <c r="AH66" s="2726">
        <v>224</v>
      </c>
      <c r="AI66"/>
      <c r="AJ66" s="3013"/>
      <c r="AK66" s="2739" t="s">
        <v>3977</v>
      </c>
      <c r="AL66" s="2723" t="s">
        <v>3978</v>
      </c>
      <c r="AM66" s="2724">
        <v>108</v>
      </c>
      <c r="AN66" s="2725">
        <v>84</v>
      </c>
      <c r="AO66" s="2726">
        <v>30</v>
      </c>
      <c r="AQ66" s="5">
        <v>1</v>
      </c>
    </row>
    <row r="67" spans="1:43" ht="21" customHeight="1">
      <c r="A67" s="187"/>
      <c r="K67" s="3014" t="s">
        <v>3979</v>
      </c>
      <c r="L67" s="3015" t="s">
        <v>3980</v>
      </c>
      <c r="M67" s="3016" t="s">
        <v>3981</v>
      </c>
      <c r="N67" s="3017" t="s">
        <v>3982</v>
      </c>
      <c r="O67" s="3018" t="s">
        <v>3983</v>
      </c>
      <c r="P67" s="3019" t="s">
        <v>3984</v>
      </c>
      <c r="Q67" s="3020" t="s">
        <v>3985</v>
      </c>
      <c r="R67" s="3021" t="s">
        <v>3986</v>
      </c>
      <c r="S67" s="3022" t="s">
        <v>3987</v>
      </c>
      <c r="V67" s="3023"/>
      <c r="W67" s="2732" t="s">
        <v>3988</v>
      </c>
      <c r="X67" s="2733" t="s">
        <v>3989</v>
      </c>
      <c r="Y67" s="2734">
        <v>79</v>
      </c>
      <c r="Z67" s="2735">
        <v>148</v>
      </c>
      <c r="AA67" s="2736">
        <v>205</v>
      </c>
      <c r="AB67"/>
      <c r="AC67" s="3024"/>
      <c r="AD67" s="2722" t="s">
        <v>3990</v>
      </c>
      <c r="AE67" s="2723" t="s">
        <v>3991</v>
      </c>
      <c r="AF67" s="2724">
        <v>245</v>
      </c>
      <c r="AG67" s="2725">
        <v>245</v>
      </c>
      <c r="AH67" s="2726">
        <v>220</v>
      </c>
      <c r="AI67"/>
      <c r="AJ67" s="3025"/>
      <c r="AK67" s="2739" t="s">
        <v>3992</v>
      </c>
      <c r="AL67" s="2723" t="s">
        <v>3993</v>
      </c>
      <c r="AM67" s="2724">
        <v>78</v>
      </c>
      <c r="AN67" s="2725">
        <v>61</v>
      </c>
      <c r="AO67" s="2726">
        <v>40</v>
      </c>
      <c r="AQ67" s="5">
        <v>1</v>
      </c>
    </row>
    <row r="68" spans="1:43" ht="21" customHeight="1">
      <c r="A68" s="187"/>
      <c r="K68" s="3026" t="s">
        <v>3994</v>
      </c>
      <c r="L68" s="3027" t="s">
        <v>3995</v>
      </c>
      <c r="M68" s="3028" t="s">
        <v>3996</v>
      </c>
      <c r="N68" s="3029" t="s">
        <v>3997</v>
      </c>
      <c r="O68" s="3030" t="s">
        <v>3998</v>
      </c>
      <c r="P68" s="3031" t="s">
        <v>3999</v>
      </c>
      <c r="Q68" s="3032" t="s">
        <v>4000</v>
      </c>
      <c r="R68" s="3033" t="s">
        <v>4001</v>
      </c>
      <c r="S68" s="3034" t="s">
        <v>4002</v>
      </c>
      <c r="V68" s="3035"/>
      <c r="W68" s="2753" t="s">
        <v>4003</v>
      </c>
      <c r="X68" s="2733" t="s">
        <v>4004</v>
      </c>
      <c r="Y68" s="2734">
        <v>30</v>
      </c>
      <c r="Z68" s="2735">
        <v>127</v>
      </c>
      <c r="AA68" s="2736">
        <v>203</v>
      </c>
      <c r="AB68"/>
      <c r="AC68" s="3036"/>
      <c r="AD68" s="2787" t="s">
        <v>4005</v>
      </c>
      <c r="AE68" s="2723" t="s">
        <v>4006</v>
      </c>
      <c r="AF68" s="2724">
        <v>255</v>
      </c>
      <c r="AG68" s="2725">
        <v>255</v>
      </c>
      <c r="AH68" s="2726">
        <v>212</v>
      </c>
      <c r="AI68"/>
      <c r="AJ68" s="3037"/>
      <c r="AK68" s="2739" t="s">
        <v>4007</v>
      </c>
      <c r="AL68" s="2723" t="s">
        <v>4008</v>
      </c>
      <c r="AM68" s="2724">
        <v>59</v>
      </c>
      <c r="AN68" s="2725">
        <v>49</v>
      </c>
      <c r="AO68" s="2726">
        <v>33</v>
      </c>
      <c r="AQ68" s="5">
        <v>1</v>
      </c>
    </row>
    <row r="69" spans="1:43" ht="21" customHeight="1">
      <c r="A69" s="187"/>
      <c r="K69" s="3038" t="s">
        <v>4009</v>
      </c>
      <c r="L69" s="3039" t="s">
        <v>4010</v>
      </c>
      <c r="M69" s="3040" t="s">
        <v>4011</v>
      </c>
      <c r="N69" s="3041" t="s">
        <v>4012</v>
      </c>
      <c r="O69" s="3042" t="s">
        <v>4013</v>
      </c>
      <c r="P69" s="3043" t="s">
        <v>4014</v>
      </c>
      <c r="Q69" s="3044" t="s">
        <v>4015</v>
      </c>
      <c r="R69" s="3045" t="s">
        <v>4016</v>
      </c>
      <c r="S69" s="3046" t="s">
        <v>4017</v>
      </c>
      <c r="V69" s="3047"/>
      <c r="W69" s="2732" t="s">
        <v>3767</v>
      </c>
      <c r="X69" s="2733" t="s">
        <v>4018</v>
      </c>
      <c r="Y69" s="2734">
        <v>70</v>
      </c>
      <c r="Z69" s="2735">
        <v>130</v>
      </c>
      <c r="AA69" s="2736">
        <v>180</v>
      </c>
      <c r="AB69"/>
      <c r="AC69" s="3048"/>
      <c r="AD69" s="2787" t="s">
        <v>4019</v>
      </c>
      <c r="AE69" s="2723" t="s">
        <v>4020</v>
      </c>
      <c r="AF69" s="2724">
        <v>254</v>
      </c>
      <c r="AG69" s="2725">
        <v>254</v>
      </c>
      <c r="AH69" s="2726">
        <v>224</v>
      </c>
      <c r="AI69"/>
      <c r="AJ69" s="3049"/>
      <c r="AK69" s="2739" t="s">
        <v>4021</v>
      </c>
      <c r="AL69" s="2723" t="s">
        <v>4022</v>
      </c>
      <c r="AM69" s="2724">
        <v>55</v>
      </c>
      <c r="AN69" s="2725">
        <v>47</v>
      </c>
      <c r="AO69" s="2726">
        <v>37</v>
      </c>
      <c r="AQ69" s="5">
        <v>1</v>
      </c>
    </row>
    <row r="70" spans="1:43" ht="21" customHeight="1">
      <c r="A70" s="187"/>
      <c r="K70" s="3050" t="s">
        <v>4023</v>
      </c>
      <c r="L70" s="3051" t="s">
        <v>4024</v>
      </c>
      <c r="M70" s="3052" t="s">
        <v>4025</v>
      </c>
      <c r="N70" s="3053" t="s">
        <v>4026</v>
      </c>
      <c r="O70" s="3054" t="s">
        <v>4027</v>
      </c>
      <c r="P70" s="3055" t="s">
        <v>4028</v>
      </c>
      <c r="Q70" s="3056" t="s">
        <v>4029</v>
      </c>
      <c r="R70" s="3057" t="s">
        <v>4030</v>
      </c>
      <c r="S70" s="3058" t="s">
        <v>4031</v>
      </c>
      <c r="V70" s="3059"/>
      <c r="W70" s="2753" t="s">
        <v>4032</v>
      </c>
      <c r="X70" s="2733" t="s">
        <v>4033</v>
      </c>
      <c r="Y70" s="2734">
        <v>53</v>
      </c>
      <c r="Z70" s="2735">
        <v>122</v>
      </c>
      <c r="AA70" s="2736">
        <v>183</v>
      </c>
      <c r="AB70"/>
      <c r="AC70" s="3060"/>
      <c r="AD70" s="2722" t="s">
        <v>4034</v>
      </c>
      <c r="AE70" s="2723" t="s">
        <v>4035</v>
      </c>
      <c r="AF70" s="2724">
        <v>255</v>
      </c>
      <c r="AG70" s="2725">
        <v>255</v>
      </c>
      <c r="AH70" s="2726">
        <v>224</v>
      </c>
      <c r="AI70"/>
      <c r="AJ70" s="3061"/>
      <c r="AK70" s="2739" t="s">
        <v>4036</v>
      </c>
      <c r="AL70" s="2723" t="s">
        <v>4037</v>
      </c>
      <c r="AM70" s="2724">
        <v>237</v>
      </c>
      <c r="AN70" s="2725">
        <v>211</v>
      </c>
      <c r="AO70" s="2726">
        <v>140</v>
      </c>
      <c r="AQ70" s="5">
        <v>1</v>
      </c>
    </row>
    <row r="71" spans="1:43" ht="21" customHeight="1">
      <c r="A71" s="187"/>
      <c r="K71" s="3062" t="s">
        <v>4038</v>
      </c>
      <c r="L71" s="3063" t="s">
        <v>4039</v>
      </c>
      <c r="M71" s="3064" t="s">
        <v>4040</v>
      </c>
      <c r="N71" s="3065" t="s">
        <v>4041</v>
      </c>
      <c r="O71" s="3066" t="s">
        <v>4042</v>
      </c>
      <c r="P71" s="3067" t="s">
        <v>4043</v>
      </c>
      <c r="Q71" s="3068" t="s">
        <v>4044</v>
      </c>
      <c r="R71" s="3069" t="s">
        <v>4045</v>
      </c>
      <c r="S71" s="3070" t="s">
        <v>4046</v>
      </c>
      <c r="V71" s="3071"/>
      <c r="W71" s="2753" t="s">
        <v>4047</v>
      </c>
      <c r="X71" s="2733" t="s">
        <v>4048</v>
      </c>
      <c r="Y71" s="2734">
        <v>86</v>
      </c>
      <c r="Z71" s="2735">
        <v>115</v>
      </c>
      <c r="AA71" s="2736">
        <v>154</v>
      </c>
      <c r="AB71"/>
      <c r="AC71" s="3072"/>
      <c r="AD71" s="2787" t="s">
        <v>4049</v>
      </c>
      <c r="AE71" s="2723" t="s">
        <v>4050</v>
      </c>
      <c r="AF71" s="2724">
        <v>254</v>
      </c>
      <c r="AG71" s="2725">
        <v>254</v>
      </c>
      <c r="AH71" s="2726">
        <v>226</v>
      </c>
      <c r="AI71"/>
      <c r="AJ71" s="3073"/>
      <c r="AK71" s="2739" t="s">
        <v>4051</v>
      </c>
      <c r="AL71" s="2723" t="s">
        <v>4052</v>
      </c>
      <c r="AM71" s="2724">
        <v>224</v>
      </c>
      <c r="AN71" s="2725">
        <v>205</v>
      </c>
      <c r="AO71" s="2726">
        <v>169</v>
      </c>
      <c r="AQ71" s="5">
        <v>1</v>
      </c>
    </row>
    <row r="72" spans="1:43" ht="21" customHeight="1">
      <c r="A72" s="187"/>
      <c r="K72" s="3074" t="s">
        <v>4053</v>
      </c>
      <c r="L72" s="3075" t="s">
        <v>4054</v>
      </c>
      <c r="M72" s="3076" t="s">
        <v>4055</v>
      </c>
      <c r="N72" s="3077" t="s">
        <v>4056</v>
      </c>
      <c r="O72" s="3078" t="s">
        <v>4057</v>
      </c>
      <c r="P72" s="3079" t="s">
        <v>4058</v>
      </c>
      <c r="Q72" s="3080" t="s">
        <v>4059</v>
      </c>
      <c r="R72" s="3081" t="s">
        <v>4060</v>
      </c>
      <c r="S72" s="3082" t="s">
        <v>4061</v>
      </c>
      <c r="V72" s="3083"/>
      <c r="W72" s="2732" t="s">
        <v>4062</v>
      </c>
      <c r="X72" s="2733" t="s">
        <v>4063</v>
      </c>
      <c r="Y72" s="2734">
        <v>110</v>
      </c>
      <c r="Z72" s="2735">
        <v>123</v>
      </c>
      <c r="AA72" s="2736">
        <v>139</v>
      </c>
      <c r="AB72"/>
      <c r="AC72" s="3084"/>
      <c r="AD72" s="2722" t="s">
        <v>4005</v>
      </c>
      <c r="AE72" s="2723" t="s">
        <v>4064</v>
      </c>
      <c r="AF72" s="2724">
        <v>255</v>
      </c>
      <c r="AG72" s="2725">
        <v>255</v>
      </c>
      <c r="AH72" s="2726">
        <v>240</v>
      </c>
      <c r="AI72"/>
      <c r="AJ72" s="3085"/>
      <c r="AK72" s="2728" t="s">
        <v>4065</v>
      </c>
      <c r="AL72" s="2723" t="s">
        <v>4066</v>
      </c>
      <c r="AM72" s="2724">
        <v>238</v>
      </c>
      <c r="AN72" s="2725">
        <v>216</v>
      </c>
      <c r="AO72" s="2726">
        <v>174</v>
      </c>
      <c r="AQ72" s="5">
        <v>1</v>
      </c>
    </row>
    <row r="73" spans="1:43" ht="21" customHeight="1">
      <c r="A73" s="187"/>
      <c r="K73" s="3086" t="s">
        <v>4067</v>
      </c>
      <c r="L73" s="3087" t="s">
        <v>4068</v>
      </c>
      <c r="M73" s="3088" t="s">
        <v>4069</v>
      </c>
      <c r="N73" s="3089" t="s">
        <v>4070</v>
      </c>
      <c r="O73" s="3090" t="s">
        <v>4071</v>
      </c>
      <c r="P73" s="3091" t="s">
        <v>4072</v>
      </c>
      <c r="Q73" s="3092" t="s">
        <v>4073</v>
      </c>
      <c r="R73" s="3093" t="s">
        <v>4074</v>
      </c>
      <c r="S73" s="3094" t="s">
        <v>4075</v>
      </c>
      <c r="V73" s="3095"/>
      <c r="W73" s="2753" t="s">
        <v>4076</v>
      </c>
      <c r="X73" s="2733" t="s">
        <v>4077</v>
      </c>
      <c r="Y73" s="2734">
        <v>0</v>
      </c>
      <c r="Z73" s="2735">
        <v>103</v>
      </c>
      <c r="AA73" s="2736">
        <v>165</v>
      </c>
      <c r="AB73"/>
      <c r="AC73" s="3096"/>
      <c r="AD73" s="2787" t="s">
        <v>4078</v>
      </c>
      <c r="AE73" s="2723" t="s">
        <v>4079</v>
      </c>
      <c r="AF73" s="2724">
        <v>233</v>
      </c>
      <c r="AG73" s="2725">
        <v>228</v>
      </c>
      <c r="AH73" s="2726">
        <v>80</v>
      </c>
      <c r="AI73"/>
      <c r="AJ73" s="3097"/>
      <c r="AK73" s="2728" t="s">
        <v>4080</v>
      </c>
      <c r="AL73" s="2723" t="s">
        <v>4081</v>
      </c>
      <c r="AM73" s="2724">
        <v>245</v>
      </c>
      <c r="AN73" s="2725">
        <v>222</v>
      </c>
      <c r="AO73" s="2726">
        <v>179</v>
      </c>
      <c r="AQ73" s="5">
        <v>1</v>
      </c>
    </row>
    <row r="74" spans="1:43" ht="21" customHeight="1">
      <c r="A74" s="187"/>
      <c r="K74" s="3098" t="s">
        <v>4082</v>
      </c>
      <c r="L74" s="3099" t="s">
        <v>4083</v>
      </c>
      <c r="M74" s="3100" t="s">
        <v>4084</v>
      </c>
      <c r="N74" s="3101" t="s">
        <v>4085</v>
      </c>
      <c r="O74" s="3102" t="s">
        <v>4086</v>
      </c>
      <c r="P74" s="3103" t="s">
        <v>4087</v>
      </c>
      <c r="Q74" s="3104" t="s">
        <v>4088</v>
      </c>
      <c r="R74" s="3105" t="s">
        <v>4089</v>
      </c>
      <c r="S74" s="3106" t="s">
        <v>4090</v>
      </c>
      <c r="V74" s="3107"/>
      <c r="W74" s="2753" t="s">
        <v>4091</v>
      </c>
      <c r="X74" s="2733" t="s">
        <v>4092</v>
      </c>
      <c r="Y74" s="2734">
        <v>67</v>
      </c>
      <c r="Z74" s="2735">
        <v>107</v>
      </c>
      <c r="AA74" s="2736">
        <v>149</v>
      </c>
      <c r="AB74"/>
      <c r="AC74" s="3108"/>
      <c r="AD74" s="2722" t="s">
        <v>3684</v>
      </c>
      <c r="AE74" s="2723" t="s">
        <v>4093</v>
      </c>
      <c r="AF74" s="2724">
        <v>219</v>
      </c>
      <c r="AG74" s="2725">
        <v>219</v>
      </c>
      <c r="AH74" s="2726">
        <v>112</v>
      </c>
      <c r="AI74"/>
      <c r="AJ74" s="3109"/>
      <c r="AK74" s="2728" t="s">
        <v>4094</v>
      </c>
      <c r="AL74" s="2723" t="s">
        <v>4095</v>
      </c>
      <c r="AM74" s="2724">
        <v>255</v>
      </c>
      <c r="AN74" s="2725">
        <v>228</v>
      </c>
      <c r="AO74" s="2726">
        <v>181</v>
      </c>
      <c r="AQ74" s="5">
        <v>1</v>
      </c>
    </row>
    <row r="75" spans="1:43" ht="21" customHeight="1">
      <c r="A75" s="187"/>
      <c r="K75" s="3110" t="s">
        <v>4096</v>
      </c>
      <c r="L75" s="3111" t="s">
        <v>4097</v>
      </c>
      <c r="M75" s="3112" t="s">
        <v>4098</v>
      </c>
      <c r="N75" s="3113" t="s">
        <v>4099</v>
      </c>
      <c r="O75" s="3114" t="s">
        <v>4100</v>
      </c>
      <c r="P75" s="3115" t="s">
        <v>4101</v>
      </c>
      <c r="Q75" s="3116" t="s">
        <v>4102</v>
      </c>
      <c r="R75" s="3117" t="s">
        <v>4103</v>
      </c>
      <c r="S75" s="3118" t="s">
        <v>4104</v>
      </c>
      <c r="V75" s="3119"/>
      <c r="W75" s="2732"/>
      <c r="X75" s="2733" t="s">
        <v>4105</v>
      </c>
      <c r="Y75" s="2734">
        <v>51</v>
      </c>
      <c r="Z75" s="2735">
        <v>102</v>
      </c>
      <c r="AA75" s="2736">
        <v>153</v>
      </c>
      <c r="AB75"/>
      <c r="AC75" s="3120"/>
      <c r="AD75" s="2722" t="s">
        <v>4106</v>
      </c>
      <c r="AE75" s="2723" t="s">
        <v>4107</v>
      </c>
      <c r="AF75" s="2724">
        <v>238</v>
      </c>
      <c r="AG75" s="2725">
        <v>238</v>
      </c>
      <c r="AH75" s="2726">
        <v>0</v>
      </c>
      <c r="AI75"/>
      <c r="AJ75" s="3121"/>
      <c r="AK75" s="2728" t="s">
        <v>4108</v>
      </c>
      <c r="AL75" s="2723" t="s">
        <v>4109</v>
      </c>
      <c r="AM75" s="2724">
        <v>255</v>
      </c>
      <c r="AN75" s="2725">
        <v>231</v>
      </c>
      <c r="AO75" s="2726">
        <v>186</v>
      </c>
      <c r="AQ75" s="5">
        <v>1</v>
      </c>
    </row>
    <row r="76" spans="1:43" ht="21" customHeight="1">
      <c r="A76" s="187"/>
      <c r="K76" s="3122" t="s">
        <v>4110</v>
      </c>
      <c r="L76" s="3123" t="s">
        <v>4111</v>
      </c>
      <c r="M76" s="3124" t="s">
        <v>4112</v>
      </c>
      <c r="N76" s="3125" t="s">
        <v>4113</v>
      </c>
      <c r="O76" s="3126" t="s">
        <v>4114</v>
      </c>
      <c r="P76" s="3127" t="s">
        <v>4115</v>
      </c>
      <c r="Q76" s="3128" t="s">
        <v>4116</v>
      </c>
      <c r="R76" s="3129" t="s">
        <v>4117</v>
      </c>
      <c r="S76" s="3130" t="s">
        <v>4118</v>
      </c>
      <c r="V76" s="3131"/>
      <c r="W76" s="2732" t="s">
        <v>4119</v>
      </c>
      <c r="X76" s="2733" t="s">
        <v>4120</v>
      </c>
      <c r="Y76" s="2734">
        <v>54</v>
      </c>
      <c r="Z76" s="2735">
        <v>100</v>
      </c>
      <c r="AA76" s="2736">
        <v>139</v>
      </c>
      <c r="AB76"/>
      <c r="AC76" s="3132"/>
      <c r="AD76" s="2787" t="s">
        <v>4121</v>
      </c>
      <c r="AE76" s="2723" t="s">
        <v>4122</v>
      </c>
      <c r="AF76" s="2724">
        <v>179</v>
      </c>
      <c r="AG76" s="2725">
        <v>177</v>
      </c>
      <c r="AH76" s="2726">
        <v>145</v>
      </c>
      <c r="AI76"/>
      <c r="AJ76" s="3133"/>
      <c r="AK76" s="2728" t="s">
        <v>4123</v>
      </c>
      <c r="AL76" s="2723" t="s">
        <v>4124</v>
      </c>
      <c r="AM76" s="2724">
        <v>255</v>
      </c>
      <c r="AN76" s="2725">
        <v>235</v>
      </c>
      <c r="AO76" s="2726">
        <v>205</v>
      </c>
      <c r="AQ76" s="5">
        <v>1</v>
      </c>
    </row>
    <row r="77" spans="1:43" ht="21" customHeight="1">
      <c r="A77" s="187"/>
      <c r="K77" s="3134" t="s">
        <v>4125</v>
      </c>
      <c r="L77" s="3135" t="s">
        <v>4126</v>
      </c>
      <c r="M77" s="3136" t="s">
        <v>4127</v>
      </c>
      <c r="N77" s="3137" t="s">
        <v>4128</v>
      </c>
      <c r="O77" s="3138" t="s">
        <v>4129</v>
      </c>
      <c r="P77" s="3139" t="s">
        <v>4130</v>
      </c>
      <c r="Q77" s="3140" t="s">
        <v>4131</v>
      </c>
      <c r="R77" s="3141" t="s">
        <v>4132</v>
      </c>
      <c r="S77" s="3142" t="s">
        <v>4133</v>
      </c>
      <c r="V77" s="3143"/>
      <c r="W77" s="2753" t="s">
        <v>4134</v>
      </c>
      <c r="X77" s="2733" t="s">
        <v>4135</v>
      </c>
      <c r="Y77" s="2734">
        <v>0</v>
      </c>
      <c r="Z77" s="2735">
        <v>65</v>
      </c>
      <c r="AA77" s="2736">
        <v>106</v>
      </c>
      <c r="AB77"/>
      <c r="AC77" s="3144"/>
      <c r="AD77" s="2722" t="s">
        <v>4136</v>
      </c>
      <c r="AE77" s="2723" t="s">
        <v>4137</v>
      </c>
      <c r="AF77" s="2724">
        <v>217</v>
      </c>
      <c r="AG77" s="2725">
        <v>217</v>
      </c>
      <c r="AH77" s="2726">
        <v>25</v>
      </c>
      <c r="AI77"/>
      <c r="AJ77" s="3145"/>
      <c r="AK77" s="2739" t="s">
        <v>4138</v>
      </c>
      <c r="AL77" s="2723" t="s">
        <v>4139</v>
      </c>
      <c r="AM77" s="2724">
        <v>255</v>
      </c>
      <c r="AN77" s="2725">
        <v>239</v>
      </c>
      <c r="AO77" s="2726">
        <v>213</v>
      </c>
      <c r="AQ77" s="5">
        <v>1</v>
      </c>
    </row>
    <row r="78" spans="1:43" ht="21" customHeight="1">
      <c r="A78" s="187"/>
      <c r="K78" s="3146" t="s">
        <v>4140</v>
      </c>
      <c r="L78" s="3147" t="s">
        <v>4141</v>
      </c>
      <c r="M78" s="3148" t="s">
        <v>4142</v>
      </c>
      <c r="N78" s="3149" t="s">
        <v>4143</v>
      </c>
      <c r="O78" s="3150" t="s">
        <v>4144</v>
      </c>
      <c r="P78" s="3151" t="s">
        <v>4145</v>
      </c>
      <c r="Q78" s="3152" t="s">
        <v>4146</v>
      </c>
      <c r="R78" s="3153" t="s">
        <v>4147</v>
      </c>
      <c r="S78" s="3154" t="s">
        <v>4148</v>
      </c>
      <c r="V78" s="3155"/>
      <c r="W78" s="2753" t="s">
        <v>4149</v>
      </c>
      <c r="X78" s="2733" t="s">
        <v>4150</v>
      </c>
      <c r="Y78" s="2734">
        <v>0</v>
      </c>
      <c r="Z78" s="2735">
        <v>48</v>
      </c>
      <c r="AA78" s="2736">
        <v>78</v>
      </c>
      <c r="AB78"/>
      <c r="AC78" s="3156"/>
      <c r="AD78" s="2787" t="s">
        <v>4151</v>
      </c>
      <c r="AE78" s="2723" t="s">
        <v>4152</v>
      </c>
      <c r="AF78" s="2724">
        <v>205</v>
      </c>
      <c r="AG78" s="2725">
        <v>205</v>
      </c>
      <c r="AH78" s="2726">
        <v>13</v>
      </c>
      <c r="AI78"/>
      <c r="AJ78" s="3157"/>
      <c r="AK78" s="2728" t="s">
        <v>4153</v>
      </c>
      <c r="AL78" s="2723" t="s">
        <v>4154</v>
      </c>
      <c r="AM78" s="2724">
        <v>253</v>
      </c>
      <c r="AN78" s="2725">
        <v>245</v>
      </c>
      <c r="AO78" s="2726">
        <v>230</v>
      </c>
      <c r="AQ78" s="5">
        <v>1</v>
      </c>
    </row>
    <row r="79" spans="1:43" ht="21" customHeight="1">
      <c r="A79" s="187"/>
      <c r="K79" s="3158" t="s">
        <v>4155</v>
      </c>
      <c r="L79" s="3159" t="s">
        <v>4156</v>
      </c>
      <c r="M79" s="3160" t="s">
        <v>4157</v>
      </c>
      <c r="N79" s="3161" t="s">
        <v>4158</v>
      </c>
      <c r="O79" s="3162" t="s">
        <v>4159</v>
      </c>
      <c r="P79" s="3163" t="s">
        <v>4160</v>
      </c>
      <c r="Q79" s="3164" t="s">
        <v>4161</v>
      </c>
      <c r="R79" s="3165" t="s">
        <v>4162</v>
      </c>
      <c r="S79" s="3166" t="s">
        <v>4163</v>
      </c>
      <c r="V79" s="3167"/>
      <c r="W79" s="2753" t="s">
        <v>4164</v>
      </c>
      <c r="X79" s="2733" t="s">
        <v>4165</v>
      </c>
      <c r="Y79" s="2734">
        <v>180</v>
      </c>
      <c r="Z79" s="2735">
        <v>188</v>
      </c>
      <c r="AA79" s="2736">
        <v>192</v>
      </c>
      <c r="AB79"/>
      <c r="AC79" s="3168"/>
      <c r="AD79" s="2722" t="s">
        <v>4166</v>
      </c>
      <c r="AE79" s="2723" t="s">
        <v>4167</v>
      </c>
      <c r="AF79" s="2724">
        <v>205</v>
      </c>
      <c r="AG79" s="2725">
        <v>205</v>
      </c>
      <c r="AH79" s="2726">
        <v>0</v>
      </c>
      <c r="AI79"/>
      <c r="AJ79" s="3169"/>
      <c r="AK79" s="2728" t="s">
        <v>4168</v>
      </c>
      <c r="AL79" s="2723" t="s">
        <v>4169</v>
      </c>
      <c r="AM79" s="2724">
        <v>255</v>
      </c>
      <c r="AN79" s="2725">
        <v>250</v>
      </c>
      <c r="AO79" s="2726">
        <v>240</v>
      </c>
      <c r="AQ79" s="5">
        <v>1</v>
      </c>
    </row>
    <row r="80" spans="1:43" ht="21" customHeight="1">
      <c r="K80" s="3170" t="s">
        <v>4170</v>
      </c>
      <c r="L80" s="3171" t="s">
        <v>4171</v>
      </c>
      <c r="M80" s="3172" t="s">
        <v>4172</v>
      </c>
      <c r="N80" s="3173" t="s">
        <v>4173</v>
      </c>
      <c r="O80" s="3174" t="s">
        <v>4174</v>
      </c>
      <c r="P80" s="3175" t="s">
        <v>4175</v>
      </c>
      <c r="Q80" s="3176" t="s">
        <v>4176</v>
      </c>
      <c r="R80" s="3177" t="s">
        <v>4177</v>
      </c>
      <c r="S80" s="3178" t="s">
        <v>4178</v>
      </c>
      <c r="V80" s="3179"/>
      <c r="W80" s="2753" t="s">
        <v>3530</v>
      </c>
      <c r="X80" s="2733" t="s">
        <v>4179</v>
      </c>
      <c r="Y80" s="2734">
        <v>116</v>
      </c>
      <c r="Z80" s="2735">
        <v>208</v>
      </c>
      <c r="AA80" s="2736">
        <v>241</v>
      </c>
      <c r="AB80"/>
      <c r="AC80" s="3180"/>
      <c r="AD80" s="2722" t="s">
        <v>4180</v>
      </c>
      <c r="AE80" s="2723" t="s">
        <v>4181</v>
      </c>
      <c r="AF80" s="2724">
        <v>139</v>
      </c>
      <c r="AG80" s="2725">
        <v>139</v>
      </c>
      <c r="AH80" s="2726">
        <v>131</v>
      </c>
      <c r="AI80"/>
      <c r="AJ80" s="3181"/>
      <c r="AK80" s="2739" t="s">
        <v>4182</v>
      </c>
      <c r="AL80" s="2723" t="s">
        <v>4183</v>
      </c>
      <c r="AM80" s="2724">
        <v>252</v>
      </c>
      <c r="AN80" s="2725">
        <v>210</v>
      </c>
      <c r="AO80" s="2726">
        <v>28</v>
      </c>
      <c r="AQ80" s="5">
        <v>1</v>
      </c>
    </row>
    <row r="81" spans="11:43" ht="21" customHeight="1">
      <c r="K81" s="3182" t="s">
        <v>4184</v>
      </c>
      <c r="L81" s="3183" t="s">
        <v>4185</v>
      </c>
      <c r="M81" s="3184" t="s">
        <v>4186</v>
      </c>
      <c r="N81" s="3185" t="s">
        <v>4187</v>
      </c>
      <c r="O81" s="3186" t="s">
        <v>4188</v>
      </c>
      <c r="P81" s="3187" t="s">
        <v>4189</v>
      </c>
      <c r="Q81" s="3188" t="s">
        <v>4190</v>
      </c>
      <c r="R81" s="3189" t="s">
        <v>4191</v>
      </c>
      <c r="S81" s="3190" t="s">
        <v>4192</v>
      </c>
      <c r="V81" s="3191"/>
      <c r="W81" s="2732" t="s">
        <v>3690</v>
      </c>
      <c r="X81" s="2733" t="s">
        <v>4193</v>
      </c>
      <c r="Y81" s="2734">
        <v>135</v>
      </c>
      <c r="Z81" s="2735">
        <v>206</v>
      </c>
      <c r="AA81" s="2736">
        <v>235</v>
      </c>
      <c r="AB81"/>
      <c r="AC81" s="3192"/>
      <c r="AD81" s="2787" t="s">
        <v>4194</v>
      </c>
      <c r="AE81" s="2723" t="s">
        <v>4195</v>
      </c>
      <c r="AF81" s="2724">
        <v>132</v>
      </c>
      <c r="AG81" s="2725">
        <v>132</v>
      </c>
      <c r="AH81" s="2726">
        <v>130</v>
      </c>
      <c r="AI81"/>
      <c r="AJ81" s="3193"/>
      <c r="AK81" s="2739" t="s">
        <v>4196</v>
      </c>
      <c r="AL81" s="2723" t="s">
        <v>4197</v>
      </c>
      <c r="AM81" s="2724">
        <v>226</v>
      </c>
      <c r="AN81" s="2725">
        <v>188</v>
      </c>
      <c r="AO81" s="2726">
        <v>116</v>
      </c>
      <c r="AQ81" s="5">
        <v>1</v>
      </c>
    </row>
    <row r="82" spans="11:43" ht="21" customHeight="1">
      <c r="K82" s="3194" t="s">
        <v>4198</v>
      </c>
      <c r="L82" s="3195" t="s">
        <v>4199</v>
      </c>
      <c r="M82" s="3196" t="s">
        <v>4200</v>
      </c>
      <c r="N82" s="3197" t="s">
        <v>4201</v>
      </c>
      <c r="O82" s="3198" t="s">
        <v>4202</v>
      </c>
      <c r="P82" s="3199" t="s">
        <v>4203</v>
      </c>
      <c r="Q82" s="3200" t="s">
        <v>4204</v>
      </c>
      <c r="R82" s="3201" t="s">
        <v>4205</v>
      </c>
      <c r="S82" s="3202" t="s">
        <v>4206</v>
      </c>
      <c r="V82" s="3203"/>
      <c r="W82" s="2732" t="s">
        <v>4207</v>
      </c>
      <c r="X82" s="2733" t="s">
        <v>4208</v>
      </c>
      <c r="Y82" s="2734">
        <v>164</v>
      </c>
      <c r="Z82" s="2735">
        <v>211</v>
      </c>
      <c r="AA82" s="2736">
        <v>238</v>
      </c>
      <c r="AB82"/>
      <c r="AC82" s="3204"/>
      <c r="AD82" s="2722" t="s">
        <v>4209</v>
      </c>
      <c r="AE82" s="2723" t="s">
        <v>4210</v>
      </c>
      <c r="AF82" s="2724">
        <v>139</v>
      </c>
      <c r="AG82" s="2725">
        <v>139</v>
      </c>
      <c r="AH82" s="2726">
        <v>122</v>
      </c>
      <c r="AI82"/>
      <c r="AJ82" s="3205"/>
      <c r="AK82" s="2728" t="s">
        <v>4211</v>
      </c>
      <c r="AL82" s="2723" t="s">
        <v>4212</v>
      </c>
      <c r="AM82" s="2724">
        <v>205</v>
      </c>
      <c r="AN82" s="2725">
        <v>186</v>
      </c>
      <c r="AO82" s="2726">
        <v>150</v>
      </c>
      <c r="AQ82" s="5">
        <v>1</v>
      </c>
    </row>
    <row r="83" spans="11:43" ht="21" customHeight="1">
      <c r="K83" s="3206" t="s">
        <v>4213</v>
      </c>
      <c r="L83" s="3207" t="s">
        <v>4214</v>
      </c>
      <c r="M83" s="3208" t="s">
        <v>4215</v>
      </c>
      <c r="N83" s="3209" t="s">
        <v>4216</v>
      </c>
      <c r="O83" s="3210" t="s">
        <v>4217</v>
      </c>
      <c r="P83" s="3211" t="s">
        <v>4218</v>
      </c>
      <c r="Q83" s="3212" t="s">
        <v>4219</v>
      </c>
      <c r="R83" s="3213" t="s">
        <v>4220</v>
      </c>
      <c r="S83" s="3214" t="s">
        <v>4221</v>
      </c>
      <c r="V83" s="3215"/>
      <c r="W83" s="2753" t="s">
        <v>4222</v>
      </c>
      <c r="X83" s="2733" t="s">
        <v>4223</v>
      </c>
      <c r="Y83" s="2734">
        <v>187</v>
      </c>
      <c r="Z83" s="2735">
        <v>210</v>
      </c>
      <c r="AA83" s="2736">
        <v>225</v>
      </c>
      <c r="AB83"/>
      <c r="AC83" s="3216"/>
      <c r="AD83" s="2787" t="s">
        <v>4224</v>
      </c>
      <c r="AE83" s="2723" t="s">
        <v>4225</v>
      </c>
      <c r="AF83" s="2724">
        <v>152</v>
      </c>
      <c r="AG83" s="2725">
        <v>148</v>
      </c>
      <c r="AH83" s="2726">
        <v>62</v>
      </c>
      <c r="AI83"/>
      <c r="AJ83" s="3217"/>
      <c r="AK83" s="2739" t="s">
        <v>4226</v>
      </c>
      <c r="AL83" s="2723" t="s">
        <v>4227</v>
      </c>
      <c r="AM83" s="2724">
        <v>243</v>
      </c>
      <c r="AN83" s="2725">
        <v>195</v>
      </c>
      <c r="AO83" s="2726">
        <v>0</v>
      </c>
      <c r="AQ83" s="5">
        <v>1</v>
      </c>
    </row>
    <row r="84" spans="11:43" ht="21" customHeight="1">
      <c r="K84" s="3218" t="s">
        <v>4228</v>
      </c>
      <c r="L84" s="3219" t="s">
        <v>4229</v>
      </c>
      <c r="M84" s="3220" t="s">
        <v>4230</v>
      </c>
      <c r="N84" s="3221" t="s">
        <v>4231</v>
      </c>
      <c r="O84" s="3222" t="s">
        <v>4232</v>
      </c>
      <c r="P84" s="3223" t="s">
        <v>4233</v>
      </c>
      <c r="Q84" s="3224" t="s">
        <v>4234</v>
      </c>
      <c r="R84" s="3225" t="s">
        <v>4235</v>
      </c>
      <c r="S84" s="3226" t="s">
        <v>4236</v>
      </c>
      <c r="V84" s="3227"/>
      <c r="W84" s="2732" t="s">
        <v>4237</v>
      </c>
      <c r="X84" s="2733" t="s">
        <v>4238</v>
      </c>
      <c r="Y84" s="2734">
        <v>176</v>
      </c>
      <c r="Z84" s="2735">
        <v>226</v>
      </c>
      <c r="AA84" s="2736">
        <v>255</v>
      </c>
      <c r="AB84"/>
      <c r="AC84" s="3228"/>
      <c r="AD84" s="2722" t="s">
        <v>4239</v>
      </c>
      <c r="AE84" s="2723" t="s">
        <v>4240</v>
      </c>
      <c r="AF84" s="2724">
        <v>139</v>
      </c>
      <c r="AG84" s="2725">
        <v>139</v>
      </c>
      <c r="AH84" s="2726">
        <v>0</v>
      </c>
      <c r="AI84"/>
      <c r="AJ84" s="3229"/>
      <c r="AK84" s="2739" t="s">
        <v>4241</v>
      </c>
      <c r="AL84" s="2723" t="s">
        <v>4242</v>
      </c>
      <c r="AM84" s="2724">
        <v>240</v>
      </c>
      <c r="AN84" s="2725">
        <v>195</v>
      </c>
      <c r="AO84" s="2726">
        <v>0</v>
      </c>
      <c r="AQ84" s="5">
        <v>1</v>
      </c>
    </row>
    <row r="85" spans="11:43" ht="21" customHeight="1">
      <c r="K85" s="3230" t="s">
        <v>4243</v>
      </c>
      <c r="L85" s="3231" t="s">
        <v>4244</v>
      </c>
      <c r="M85" s="3232" t="s">
        <v>4245</v>
      </c>
      <c r="N85" s="3233" t="s">
        <v>4246</v>
      </c>
      <c r="O85" s="3234" t="s">
        <v>4247</v>
      </c>
      <c r="P85" s="3235" t="s">
        <v>4248</v>
      </c>
      <c r="Q85" s="3236" t="s">
        <v>4249</v>
      </c>
      <c r="R85" s="3237" t="s">
        <v>4250</v>
      </c>
      <c r="S85" s="3238" t="s">
        <v>4251</v>
      </c>
      <c r="V85" s="3239"/>
      <c r="W85" s="2753" t="s">
        <v>4252</v>
      </c>
      <c r="X85" s="2733" t="s">
        <v>4253</v>
      </c>
      <c r="Y85" s="2734">
        <v>223</v>
      </c>
      <c r="Z85" s="2735">
        <v>242</v>
      </c>
      <c r="AA85" s="2736">
        <v>255</v>
      </c>
      <c r="AB85"/>
      <c r="AC85" s="3240"/>
      <c r="AD85" s="2722" t="s">
        <v>4254</v>
      </c>
      <c r="AE85" s="2723" t="s">
        <v>4255</v>
      </c>
      <c r="AF85" s="2724">
        <v>128</v>
      </c>
      <c r="AG85" s="2725">
        <v>128</v>
      </c>
      <c r="AH85" s="2726">
        <v>0</v>
      </c>
      <c r="AI85"/>
      <c r="AJ85" s="3241"/>
      <c r="AK85" s="2739" t="s">
        <v>4256</v>
      </c>
      <c r="AL85" s="2723" t="s">
        <v>4257</v>
      </c>
      <c r="AM85" s="2724">
        <v>187</v>
      </c>
      <c r="AN85" s="2725">
        <v>174</v>
      </c>
      <c r="AO85" s="2726">
        <v>152</v>
      </c>
      <c r="AQ85" s="5">
        <v>1</v>
      </c>
    </row>
    <row r="86" spans="11:43" ht="21" customHeight="1">
      <c r="K86" s="3242" t="s">
        <v>4258</v>
      </c>
      <c r="L86" s="3243" t="s">
        <v>4259</v>
      </c>
      <c r="M86" s="3244" t="s">
        <v>4260</v>
      </c>
      <c r="N86" s="3245" t="s">
        <v>4261</v>
      </c>
      <c r="O86" s="3246" t="s">
        <v>4262</v>
      </c>
      <c r="P86" s="3247" t="s">
        <v>4263</v>
      </c>
      <c r="Q86" s="3248" t="s">
        <v>4264</v>
      </c>
      <c r="R86" s="3249" t="s">
        <v>4265</v>
      </c>
      <c r="S86" s="3250" t="s">
        <v>4266</v>
      </c>
      <c r="V86" s="3251"/>
      <c r="W86" s="2732" t="s">
        <v>4267</v>
      </c>
      <c r="X86" s="2733" t="s">
        <v>4268</v>
      </c>
      <c r="Y86" s="2734">
        <v>141</v>
      </c>
      <c r="Z86" s="2735">
        <v>182</v>
      </c>
      <c r="AA86" s="2736">
        <v>205</v>
      </c>
      <c r="AB86"/>
      <c r="AC86" s="3252"/>
      <c r="AD86" s="2722" t="s">
        <v>4269</v>
      </c>
      <c r="AE86" s="2723" t="s">
        <v>4270</v>
      </c>
      <c r="AF86" s="2724">
        <v>79</v>
      </c>
      <c r="AG86" s="2725">
        <v>79</v>
      </c>
      <c r="AH86" s="2726">
        <v>47</v>
      </c>
      <c r="AI86"/>
      <c r="AJ86" s="3253"/>
      <c r="AK86" s="2739" t="s">
        <v>4271</v>
      </c>
      <c r="AL86" s="2723" t="s">
        <v>4272</v>
      </c>
      <c r="AM86" s="2724">
        <v>200</v>
      </c>
      <c r="AN86" s="2725">
        <v>173</v>
      </c>
      <c r="AO86" s="2726">
        <v>127</v>
      </c>
      <c r="AQ86" s="5">
        <v>1</v>
      </c>
    </row>
    <row r="87" spans="11:43" ht="21" customHeight="1">
      <c r="K87" s="3254" t="s">
        <v>4273</v>
      </c>
      <c r="L87" s="3255" t="s">
        <v>4274</v>
      </c>
      <c r="M87" s="3256" t="s">
        <v>4275</v>
      </c>
      <c r="N87" s="3257" t="s">
        <v>4276</v>
      </c>
      <c r="O87" s="3258" t="s">
        <v>4277</v>
      </c>
      <c r="P87" s="3259" t="s">
        <v>4278</v>
      </c>
      <c r="Q87" s="3260" t="s">
        <v>4279</v>
      </c>
      <c r="R87" s="3261" t="s">
        <v>4280</v>
      </c>
      <c r="S87" s="3262" t="s">
        <v>4281</v>
      </c>
      <c r="V87" s="3263"/>
      <c r="W87" s="2753" t="s">
        <v>4282</v>
      </c>
      <c r="X87" s="2733" t="s">
        <v>4283</v>
      </c>
      <c r="Y87" s="2734">
        <v>38</v>
      </c>
      <c r="Z87" s="2735">
        <v>196</v>
      </c>
      <c r="AA87" s="2736">
        <v>236</v>
      </c>
      <c r="AB87"/>
      <c r="AC87" s="3264"/>
      <c r="AD87" s="2787" t="s">
        <v>4284</v>
      </c>
      <c r="AE87" s="2723" t="s">
        <v>4285</v>
      </c>
      <c r="AF87" s="2724">
        <v>237</v>
      </c>
      <c r="AG87" s="2725">
        <v>255</v>
      </c>
      <c r="AH87" s="2726">
        <v>12</v>
      </c>
      <c r="AI87"/>
      <c r="AJ87" s="3265"/>
      <c r="AK87" s="2739" t="s">
        <v>4286</v>
      </c>
      <c r="AL87" s="2723" t="s">
        <v>4287</v>
      </c>
      <c r="AM87" s="2724">
        <v>223</v>
      </c>
      <c r="AN87" s="2725">
        <v>175</v>
      </c>
      <c r="AO87" s="2726">
        <v>44</v>
      </c>
      <c r="AQ87" s="5">
        <v>1</v>
      </c>
    </row>
    <row r="88" spans="11:43" ht="21" customHeight="1">
      <c r="K88" s="3266" t="s">
        <v>4288</v>
      </c>
      <c r="L88" s="3267" t="s">
        <v>4289</v>
      </c>
      <c r="M88" s="3268" t="s">
        <v>4290</v>
      </c>
      <c r="N88" s="3269" t="s">
        <v>4291</v>
      </c>
      <c r="O88" s="3270" t="s">
        <v>4292</v>
      </c>
      <c r="P88" s="3271" t="s">
        <v>4293</v>
      </c>
      <c r="Q88" s="3272" t="s">
        <v>4294</v>
      </c>
      <c r="R88" s="3273" t="s">
        <v>4295</v>
      </c>
      <c r="S88" s="3274" t="s">
        <v>4296</v>
      </c>
      <c r="V88" s="3275"/>
      <c r="W88" s="2732" t="s">
        <v>4297</v>
      </c>
      <c r="X88" s="2733" t="s">
        <v>4298</v>
      </c>
      <c r="Y88" s="2734">
        <v>56</v>
      </c>
      <c r="Z88" s="2735">
        <v>176</v>
      </c>
      <c r="AA88" s="2736">
        <v>222</v>
      </c>
      <c r="AB88"/>
      <c r="AC88" s="3276"/>
      <c r="AD88" s="2787" t="s">
        <v>4299</v>
      </c>
      <c r="AE88" s="2723" t="s">
        <v>4300</v>
      </c>
      <c r="AF88" s="2724">
        <v>218</v>
      </c>
      <c r="AG88" s="2725">
        <v>223</v>
      </c>
      <c r="AH88" s="2726">
        <v>183</v>
      </c>
      <c r="AI88"/>
      <c r="AJ88" s="3277"/>
      <c r="AK88" s="2739" t="s">
        <v>4301</v>
      </c>
      <c r="AL88" s="2723" t="s">
        <v>4302</v>
      </c>
      <c r="AM88" s="2724">
        <v>218</v>
      </c>
      <c r="AN88" s="2725">
        <v>179</v>
      </c>
      <c r="AO88" s="2726">
        <v>10</v>
      </c>
      <c r="AQ88" s="5">
        <v>1</v>
      </c>
    </row>
    <row r="89" spans="11:43" ht="21" customHeight="1">
      <c r="K89" s="3278" t="s">
        <v>4303</v>
      </c>
      <c r="L89" s="3279" t="s">
        <v>4304</v>
      </c>
      <c r="M89" s="3280" t="s">
        <v>4305</v>
      </c>
      <c r="N89" s="3281" t="s">
        <v>4306</v>
      </c>
      <c r="O89" s="3282" t="s">
        <v>4307</v>
      </c>
      <c r="P89" s="3283" t="s">
        <v>4308</v>
      </c>
      <c r="Q89" s="3284" t="s">
        <v>4309</v>
      </c>
      <c r="R89" s="3285" t="s">
        <v>4310</v>
      </c>
      <c r="S89" s="3286" t="s">
        <v>4311</v>
      </c>
      <c r="V89" s="3287"/>
      <c r="W89" s="2753" t="s">
        <v>4312</v>
      </c>
      <c r="X89" s="2733" t="s">
        <v>4313</v>
      </c>
      <c r="Y89" s="2734">
        <v>0</v>
      </c>
      <c r="Z89" s="2735">
        <v>161</v>
      </c>
      <c r="AA89" s="2736">
        <v>194</v>
      </c>
      <c r="AB89"/>
      <c r="AC89" s="3288"/>
      <c r="AD89" s="2787" t="s">
        <v>4314</v>
      </c>
      <c r="AE89" s="2723" t="s">
        <v>4315</v>
      </c>
      <c r="AF89" s="2724">
        <v>231</v>
      </c>
      <c r="AG89" s="2725">
        <v>240</v>
      </c>
      <c r="AH89" s="2726">
        <v>13</v>
      </c>
      <c r="AI89"/>
      <c r="AJ89" s="3289"/>
      <c r="AK89" s="2739" t="s">
        <v>4316</v>
      </c>
      <c r="AL89" s="2723" t="s">
        <v>4317</v>
      </c>
      <c r="AM89" s="2724">
        <v>201</v>
      </c>
      <c r="AN89" s="2725">
        <v>174</v>
      </c>
      <c r="AO89" s="2726">
        <v>93</v>
      </c>
      <c r="AQ89" s="5">
        <v>1</v>
      </c>
    </row>
    <row r="90" spans="11:43" ht="21" customHeight="1">
      <c r="K90" s="3290" t="s">
        <v>4318</v>
      </c>
      <c r="L90" s="3291" t="s">
        <v>4319</v>
      </c>
      <c r="M90" s="3292" t="s">
        <v>4320</v>
      </c>
      <c r="N90" s="3293" t="s">
        <v>4321</v>
      </c>
      <c r="O90" s="3294" t="s">
        <v>4322</v>
      </c>
      <c r="P90" s="3295" t="s">
        <v>4323</v>
      </c>
      <c r="Q90" s="3296" t="s">
        <v>4324</v>
      </c>
      <c r="R90" s="3297" t="s">
        <v>4325</v>
      </c>
      <c r="S90" s="3298" t="s">
        <v>4326</v>
      </c>
      <c r="V90" s="3299"/>
      <c r="W90" s="2753" t="s">
        <v>4327</v>
      </c>
      <c r="X90" s="2733" t="s">
        <v>4328</v>
      </c>
      <c r="Y90" s="2734">
        <v>129</v>
      </c>
      <c r="Z90" s="2735">
        <v>135</v>
      </c>
      <c r="AA90" s="2736">
        <v>139</v>
      </c>
      <c r="AB90"/>
      <c r="AC90" s="3300"/>
      <c r="AD90" s="2787" t="s">
        <v>4329</v>
      </c>
      <c r="AE90" s="2723" t="s">
        <v>4330</v>
      </c>
      <c r="AF90" s="2724">
        <v>199</v>
      </c>
      <c r="AG90" s="2725">
        <v>207</v>
      </c>
      <c r="AH90" s="2726">
        <v>0</v>
      </c>
      <c r="AI90"/>
      <c r="AJ90" s="3301"/>
      <c r="AK90" s="2739" t="s">
        <v>4331</v>
      </c>
      <c r="AL90" s="2723" t="s">
        <v>4332</v>
      </c>
      <c r="AM90" s="2724">
        <v>212</v>
      </c>
      <c r="AN90" s="2725">
        <v>175</v>
      </c>
      <c r="AO90" s="2726">
        <v>55</v>
      </c>
      <c r="AQ90" s="5">
        <v>1</v>
      </c>
    </row>
    <row r="91" spans="11:43" ht="21" customHeight="1">
      <c r="K91" s="3302" t="s">
        <v>4333</v>
      </c>
      <c r="L91" s="3303" t="s">
        <v>4334</v>
      </c>
      <c r="M91" s="3304" t="s">
        <v>4335</v>
      </c>
      <c r="N91" s="3305" t="s">
        <v>4336</v>
      </c>
      <c r="O91" s="3306" t="s">
        <v>4337</v>
      </c>
      <c r="P91" s="3307" t="s">
        <v>4338</v>
      </c>
      <c r="Q91" s="3308" t="s">
        <v>4339</v>
      </c>
      <c r="R91" s="3309" t="s">
        <v>4340</v>
      </c>
      <c r="S91" s="3310" t="s">
        <v>4341</v>
      </c>
      <c r="V91" s="3311"/>
      <c r="W91" s="2732" t="s">
        <v>4342</v>
      </c>
      <c r="X91" s="2733" t="s">
        <v>4343</v>
      </c>
      <c r="Y91" s="2734">
        <v>96</v>
      </c>
      <c r="Z91" s="2735">
        <v>123</v>
      </c>
      <c r="AA91" s="2736">
        <v>139</v>
      </c>
      <c r="AB91"/>
      <c r="AC91" s="3312"/>
      <c r="AD91" s="2722" t="s">
        <v>4344</v>
      </c>
      <c r="AE91" s="2723" t="s">
        <v>4345</v>
      </c>
      <c r="AF91" s="2724">
        <v>205</v>
      </c>
      <c r="AG91" s="2725">
        <v>201</v>
      </c>
      <c r="AH91" s="2726">
        <v>165</v>
      </c>
      <c r="AI91"/>
      <c r="AJ91" s="3313"/>
      <c r="AK91" s="2739" t="s">
        <v>4346</v>
      </c>
      <c r="AL91" s="2723" t="s">
        <v>4347</v>
      </c>
      <c r="AM91" s="2724">
        <v>186</v>
      </c>
      <c r="AN91" s="2725">
        <v>155</v>
      </c>
      <c r="AO91" s="2726">
        <v>97</v>
      </c>
      <c r="AQ91" s="5">
        <v>1</v>
      </c>
    </row>
    <row r="92" spans="11:43" ht="21" customHeight="1">
      <c r="K92" s="3314" t="s">
        <v>4348</v>
      </c>
      <c r="L92" s="3315" t="s">
        <v>4349</v>
      </c>
      <c r="M92" s="3316" t="s">
        <v>4350</v>
      </c>
      <c r="N92" s="3317" t="s">
        <v>4351</v>
      </c>
      <c r="O92" s="3318" t="s">
        <v>4352</v>
      </c>
      <c r="P92" s="3319" t="s">
        <v>4353</v>
      </c>
      <c r="Q92" s="3320" t="s">
        <v>4354</v>
      </c>
      <c r="R92" s="3321" t="s">
        <v>4355</v>
      </c>
      <c r="S92" s="3322" t="s">
        <v>4356</v>
      </c>
      <c r="V92" s="3323"/>
      <c r="W92" s="2753" t="s">
        <v>4357</v>
      </c>
      <c r="X92" s="2733" t="s">
        <v>4358</v>
      </c>
      <c r="Y92" s="2734">
        <v>0</v>
      </c>
      <c r="Z92" s="2735">
        <v>133</v>
      </c>
      <c r="AA92" s="2736">
        <v>161</v>
      </c>
      <c r="AB92"/>
      <c r="AC92" s="3324"/>
      <c r="AD92" s="2787" t="s">
        <v>2834</v>
      </c>
      <c r="AE92" s="2723" t="s">
        <v>4359</v>
      </c>
      <c r="AF92" s="2724">
        <v>240</v>
      </c>
      <c r="AG92" s="2725">
        <v>227</v>
      </c>
      <c r="AH92" s="2726">
        <v>107</v>
      </c>
      <c r="AI92"/>
      <c r="AJ92" s="3325"/>
      <c r="AK92" s="2739" t="s">
        <v>4360</v>
      </c>
      <c r="AL92" s="2723" t="s">
        <v>4361</v>
      </c>
      <c r="AM92" s="2724">
        <v>168</v>
      </c>
      <c r="AN92" s="2725">
        <v>152</v>
      </c>
      <c r="AO92" s="2726">
        <v>116</v>
      </c>
      <c r="AQ92" s="5">
        <v>1</v>
      </c>
    </row>
    <row r="93" spans="11:43" ht="21" customHeight="1">
      <c r="K93" s="3326" t="s">
        <v>4362</v>
      </c>
      <c r="L93" s="3327" t="s">
        <v>4363</v>
      </c>
      <c r="M93" s="3328" t="s">
        <v>4364</v>
      </c>
      <c r="N93" s="3329" t="s">
        <v>4365</v>
      </c>
      <c r="O93" s="3330" t="s">
        <v>4366</v>
      </c>
      <c r="P93" s="3331" t="s">
        <v>4367</v>
      </c>
      <c r="Q93" s="3332" t="s">
        <v>4368</v>
      </c>
      <c r="R93" s="3333" t="s">
        <v>4369</v>
      </c>
      <c r="S93" s="3334" t="s">
        <v>4370</v>
      </c>
      <c r="V93" s="3335"/>
      <c r="W93" s="2753" t="s">
        <v>4371</v>
      </c>
      <c r="X93" s="2733" t="s">
        <v>4372</v>
      </c>
      <c r="Y93" s="2734">
        <v>0</v>
      </c>
      <c r="Z93" s="2735">
        <v>119</v>
      </c>
      <c r="AA93" s="2736">
        <v>145</v>
      </c>
      <c r="AB93"/>
      <c r="AC93" s="3336"/>
      <c r="AD93" s="2787" t="s">
        <v>4373</v>
      </c>
      <c r="AE93" s="2723" t="s">
        <v>4374</v>
      </c>
      <c r="AF93" s="2724">
        <v>247</v>
      </c>
      <c r="AG93" s="2725">
        <v>227</v>
      </c>
      <c r="AH93" s="2726">
        <v>95</v>
      </c>
      <c r="AI93"/>
      <c r="AJ93" s="3337"/>
      <c r="AK93" s="2739" t="s">
        <v>4375</v>
      </c>
      <c r="AL93" s="2723" t="s">
        <v>4376</v>
      </c>
      <c r="AM93" s="2724">
        <v>161</v>
      </c>
      <c r="AN93" s="2725">
        <v>143</v>
      </c>
      <c r="AO93" s="2726">
        <v>96</v>
      </c>
      <c r="AQ93" s="5">
        <v>1</v>
      </c>
    </row>
    <row r="94" spans="11:43" ht="21" customHeight="1">
      <c r="K94" s="3338" t="s">
        <v>4377</v>
      </c>
      <c r="L94" s="3339" t="s">
        <v>4378</v>
      </c>
      <c r="M94" s="3340" t="s">
        <v>4379</v>
      </c>
      <c r="N94" s="3341" t="s">
        <v>4380</v>
      </c>
      <c r="O94" s="3342" t="s">
        <v>4381</v>
      </c>
      <c r="P94" s="3343" t="s">
        <v>4382</v>
      </c>
      <c r="Q94" s="3344" t="s">
        <v>4383</v>
      </c>
      <c r="R94" s="3345" t="s">
        <v>4384</v>
      </c>
      <c r="S94" s="3346" t="s">
        <v>4385</v>
      </c>
      <c r="V94" s="3347"/>
      <c r="W94" s="2753" t="s">
        <v>4386</v>
      </c>
      <c r="X94" s="2733" t="s">
        <v>4387</v>
      </c>
      <c r="Y94" s="2734">
        <v>6</v>
      </c>
      <c r="Z94" s="2735">
        <v>119</v>
      </c>
      <c r="AA94" s="2736">
        <v>144</v>
      </c>
      <c r="AB94"/>
      <c r="AC94" s="3348"/>
      <c r="AD94" s="2722" t="s">
        <v>4388</v>
      </c>
      <c r="AE94" s="2723" t="s">
        <v>4389</v>
      </c>
      <c r="AF94" s="2724">
        <v>205</v>
      </c>
      <c r="AG94" s="2725">
        <v>200</v>
      </c>
      <c r="AH94" s="2726">
        <v>177</v>
      </c>
      <c r="AI94"/>
      <c r="AJ94" s="3349"/>
      <c r="AK94" s="2739" t="s">
        <v>4390</v>
      </c>
      <c r="AL94" s="2723" t="s">
        <v>4391</v>
      </c>
      <c r="AM94" s="2724">
        <v>171</v>
      </c>
      <c r="AN94" s="2725">
        <v>145</v>
      </c>
      <c r="AO94" s="2726">
        <v>68</v>
      </c>
      <c r="AQ94" s="5">
        <v>1</v>
      </c>
    </row>
    <row r="95" spans="11:43" ht="21" customHeight="1">
      <c r="K95" s="3350" t="s">
        <v>4392</v>
      </c>
      <c r="L95" s="3351" t="s">
        <v>4393</v>
      </c>
      <c r="M95" s="3352" t="s">
        <v>4394</v>
      </c>
      <c r="N95" s="3353" t="s">
        <v>4395</v>
      </c>
      <c r="O95" s="3354" t="s">
        <v>4396</v>
      </c>
      <c r="P95" s="3355" t="s">
        <v>4397</v>
      </c>
      <c r="Q95" s="3356" t="s">
        <v>4398</v>
      </c>
      <c r="R95" s="3357" t="s">
        <v>4399</v>
      </c>
      <c r="S95" s="3358" t="s">
        <v>4400</v>
      </c>
      <c r="V95" s="3359"/>
      <c r="W95" s="2753" t="s">
        <v>4401</v>
      </c>
      <c r="X95" s="2733" t="s">
        <v>4402</v>
      </c>
      <c r="Y95" s="2734">
        <v>0</v>
      </c>
      <c r="Z95" s="2735">
        <v>46</v>
      </c>
      <c r="AA95" s="2736">
        <v>59</v>
      </c>
      <c r="AB95"/>
      <c r="AC95" s="3360"/>
      <c r="AD95" s="2722" t="s">
        <v>4403</v>
      </c>
      <c r="AE95" s="2723" t="s">
        <v>4404</v>
      </c>
      <c r="AF95" s="2724">
        <v>238</v>
      </c>
      <c r="AG95" s="2725">
        <v>230</v>
      </c>
      <c r="AH95" s="2726">
        <v>133</v>
      </c>
      <c r="AI95"/>
      <c r="AJ95" s="3361"/>
      <c r="AK95" s="2728" t="s">
        <v>4405</v>
      </c>
      <c r="AL95" s="2723" t="s">
        <v>4406</v>
      </c>
      <c r="AM95" s="2724">
        <v>139</v>
      </c>
      <c r="AN95" s="2725">
        <v>131</v>
      </c>
      <c r="AO95" s="2726">
        <v>120</v>
      </c>
      <c r="AQ95" s="5">
        <v>1</v>
      </c>
    </row>
    <row r="96" spans="11:43" ht="21" customHeight="1">
      <c r="K96" s="3362" t="s">
        <v>4407</v>
      </c>
      <c r="L96" s="3363" t="s">
        <v>4408</v>
      </c>
      <c r="M96" s="3364" t="s">
        <v>4409</v>
      </c>
      <c r="N96" s="3365" t="s">
        <v>4410</v>
      </c>
      <c r="O96" s="5446" t="s">
        <v>4411</v>
      </c>
      <c r="P96" s="3366" t="s">
        <v>4412</v>
      </c>
      <c r="Q96" s="3367" t="s">
        <v>4413</v>
      </c>
      <c r="R96" s="3368" t="s">
        <v>4414</v>
      </c>
      <c r="S96" s="3369" t="s">
        <v>4415</v>
      </c>
      <c r="V96" s="3370"/>
      <c r="W96" s="2753" t="s">
        <v>3613</v>
      </c>
      <c r="X96" s="2733" t="s">
        <v>3613</v>
      </c>
      <c r="Y96" s="2734">
        <v>255</v>
      </c>
      <c r="Z96" s="2735">
        <v>255</v>
      </c>
      <c r="AA96" s="2736">
        <v>255</v>
      </c>
      <c r="AB96"/>
      <c r="AC96" s="3371"/>
      <c r="AD96" s="2787" t="s">
        <v>4416</v>
      </c>
      <c r="AE96" s="2723" t="s">
        <v>4417</v>
      </c>
      <c r="AF96" s="2724">
        <v>250</v>
      </c>
      <c r="AG96" s="2725">
        <v>234</v>
      </c>
      <c r="AH96" s="2726">
        <v>115</v>
      </c>
      <c r="AI96"/>
      <c r="AJ96" s="3372"/>
      <c r="AK96" s="2739" t="s">
        <v>4418</v>
      </c>
      <c r="AL96" s="2723" t="s">
        <v>4419</v>
      </c>
      <c r="AM96" s="2724">
        <v>175</v>
      </c>
      <c r="AN96" s="2725">
        <v>141</v>
      </c>
      <c r="AO96" s="2726">
        <v>19</v>
      </c>
      <c r="AQ96" s="5">
        <v>1</v>
      </c>
    </row>
    <row r="97" spans="11:43" ht="21" customHeight="1">
      <c r="K97" s="3373" t="s">
        <v>4420</v>
      </c>
      <c r="L97" s="3374" t="s">
        <v>4421</v>
      </c>
      <c r="M97" s="3375" t="s">
        <v>4422</v>
      </c>
      <c r="N97" s="3376" t="s">
        <v>4423</v>
      </c>
      <c r="O97" s="3377" t="s">
        <v>4424</v>
      </c>
      <c r="P97" s="3378" t="s">
        <v>4425</v>
      </c>
      <c r="Q97" s="3379" t="s">
        <v>4426</v>
      </c>
      <c r="R97" s="3380" t="s">
        <v>4427</v>
      </c>
      <c r="S97" s="3381" t="s">
        <v>4428</v>
      </c>
      <c r="V97" s="3382"/>
      <c r="W97" s="2753" t="s">
        <v>4429</v>
      </c>
      <c r="X97" s="2733" t="s">
        <v>4430</v>
      </c>
      <c r="Y97" s="2734">
        <v>0</v>
      </c>
      <c r="Z97" s="2735">
        <v>0</v>
      </c>
      <c r="AA97" s="2736">
        <v>255</v>
      </c>
      <c r="AB97"/>
      <c r="AC97" s="3383"/>
      <c r="AD97" s="2722" t="s">
        <v>4431</v>
      </c>
      <c r="AE97" s="2723" t="s">
        <v>4432</v>
      </c>
      <c r="AF97" s="2724">
        <v>240</v>
      </c>
      <c r="AG97" s="2725">
        <v>230</v>
      </c>
      <c r="AH97" s="2726">
        <v>140</v>
      </c>
      <c r="AI97"/>
      <c r="AJ97" s="3384"/>
      <c r="AK97" s="2728" t="s">
        <v>4433</v>
      </c>
      <c r="AL97" s="2723" t="s">
        <v>4434</v>
      </c>
      <c r="AM97" s="2724">
        <v>139</v>
      </c>
      <c r="AN97" s="2725">
        <v>126</v>
      </c>
      <c r="AO97" s="2726">
        <v>102</v>
      </c>
      <c r="AQ97" s="5">
        <v>1</v>
      </c>
    </row>
    <row r="98" spans="11:43" ht="21" customHeight="1">
      <c r="K98" s="3385" t="s">
        <v>4435</v>
      </c>
      <c r="L98" s="3386" t="s">
        <v>4436</v>
      </c>
      <c r="M98" s="3387" t="s">
        <v>4437</v>
      </c>
      <c r="N98" s="3388" t="s">
        <v>4438</v>
      </c>
      <c r="O98" s="3389" t="s">
        <v>4439</v>
      </c>
      <c r="P98" s="3390" t="s">
        <v>4440</v>
      </c>
      <c r="Q98" s="3391" t="s">
        <v>4441</v>
      </c>
      <c r="R98" s="3392" t="s">
        <v>4442</v>
      </c>
      <c r="S98" s="3393" t="s">
        <v>4443</v>
      </c>
      <c r="V98" s="3394"/>
      <c r="W98" s="2732" t="s">
        <v>4444</v>
      </c>
      <c r="X98" s="2733" t="s">
        <v>4445</v>
      </c>
      <c r="Y98" s="2734">
        <v>77</v>
      </c>
      <c r="Z98" s="2735">
        <v>77</v>
      </c>
      <c r="AA98" s="2736">
        <v>255</v>
      </c>
      <c r="AB98"/>
      <c r="AC98" s="3395"/>
      <c r="AD98" s="2722" t="s">
        <v>4446</v>
      </c>
      <c r="AE98" s="2723" t="s">
        <v>4447</v>
      </c>
      <c r="AF98" s="2724">
        <v>238</v>
      </c>
      <c r="AG98" s="2725">
        <v>232</v>
      </c>
      <c r="AH98" s="2726">
        <v>170</v>
      </c>
      <c r="AI98"/>
      <c r="AJ98" s="3396"/>
      <c r="AK98" s="2728" t="s">
        <v>4448</v>
      </c>
      <c r="AL98" s="2723" t="s">
        <v>4449</v>
      </c>
      <c r="AM98" s="2724">
        <v>140</v>
      </c>
      <c r="AN98" s="2725">
        <v>120</v>
      </c>
      <c r="AO98" s="2726">
        <v>83</v>
      </c>
      <c r="AQ98" s="5">
        <v>1</v>
      </c>
    </row>
    <row r="99" spans="11:43" ht="21" customHeight="1">
      <c r="K99" s="3397" t="s">
        <v>4450</v>
      </c>
      <c r="L99" s="3398" t="s">
        <v>4451</v>
      </c>
      <c r="M99" s="3399" t="s">
        <v>4452</v>
      </c>
      <c r="N99" s="3400" t="s">
        <v>4453</v>
      </c>
      <c r="O99" s="3401" t="s">
        <v>4454</v>
      </c>
      <c r="P99" s="3402" t="s">
        <v>4455</v>
      </c>
      <c r="Q99" s="3403" t="s">
        <v>4456</v>
      </c>
      <c r="R99" s="3404" t="s">
        <v>4457</v>
      </c>
      <c r="S99" s="3405" t="s">
        <v>4458</v>
      </c>
      <c r="V99" s="3406"/>
      <c r="W99" s="2753" t="s">
        <v>4459</v>
      </c>
      <c r="X99" s="2733" t="s">
        <v>4460</v>
      </c>
      <c r="Y99" s="2734">
        <v>196</v>
      </c>
      <c r="Z99" s="2735">
        <v>195</v>
      </c>
      <c r="AA99" s="2736">
        <v>221</v>
      </c>
      <c r="AB99"/>
      <c r="AC99" s="3407"/>
      <c r="AD99" s="2787" t="s">
        <v>4461</v>
      </c>
      <c r="AE99" s="2723" t="s">
        <v>4462</v>
      </c>
      <c r="AF99" s="2724">
        <v>255</v>
      </c>
      <c r="AG99" s="2725">
        <v>244</v>
      </c>
      <c r="AH99" s="2726">
        <v>141</v>
      </c>
      <c r="AI99"/>
      <c r="AJ99" s="3408"/>
      <c r="AK99" s="2739" t="s">
        <v>4463</v>
      </c>
      <c r="AL99" s="2723" t="s">
        <v>4464</v>
      </c>
      <c r="AM99" s="2724">
        <v>118</v>
      </c>
      <c r="AN99" s="2725">
        <v>111</v>
      </c>
      <c r="AO99" s="2726">
        <v>100</v>
      </c>
      <c r="AQ99" s="5">
        <v>1</v>
      </c>
    </row>
    <row r="100" spans="11:43" ht="21" customHeight="1">
      <c r="K100" s="3409" t="s">
        <v>4465</v>
      </c>
      <c r="L100" s="3410" t="s">
        <v>4466</v>
      </c>
      <c r="M100" s="3411" t="s">
        <v>4467</v>
      </c>
      <c r="N100" s="3412" t="s">
        <v>4468</v>
      </c>
      <c r="O100" s="3413" t="s">
        <v>4469</v>
      </c>
      <c r="P100" s="3414" t="s">
        <v>4470</v>
      </c>
      <c r="Q100" s="3415" t="s">
        <v>4471</v>
      </c>
      <c r="R100" s="3416" t="s">
        <v>4472</v>
      </c>
      <c r="S100" s="3417" t="s">
        <v>4473</v>
      </c>
      <c r="V100" s="3418"/>
      <c r="W100" s="2732" t="s">
        <v>4474</v>
      </c>
      <c r="X100" s="2733" t="s">
        <v>4475</v>
      </c>
      <c r="Y100" s="2734">
        <v>217</v>
      </c>
      <c r="Z100" s="2735">
        <v>217</v>
      </c>
      <c r="AA100" s="2736">
        <v>243</v>
      </c>
      <c r="AB100"/>
      <c r="AC100" s="3419"/>
      <c r="AD100" s="2722" t="s">
        <v>4476</v>
      </c>
      <c r="AE100" s="2723" t="s">
        <v>4477</v>
      </c>
      <c r="AF100" s="2724">
        <v>255</v>
      </c>
      <c r="AG100" s="2725">
        <v>246</v>
      </c>
      <c r="AH100" s="2726">
        <v>143</v>
      </c>
      <c r="AI100"/>
      <c r="AJ100" s="3420"/>
      <c r="AK100" s="2739" t="s">
        <v>4478</v>
      </c>
      <c r="AL100" s="2723" t="s">
        <v>4479</v>
      </c>
      <c r="AM100" s="2724">
        <v>107</v>
      </c>
      <c r="AN100" s="2725">
        <v>87</v>
      </c>
      <c r="AO100" s="2726">
        <v>49</v>
      </c>
      <c r="AQ100" s="5">
        <v>1</v>
      </c>
    </row>
    <row r="101" spans="11:43" ht="21" customHeight="1">
      <c r="K101" s="3421" t="s">
        <v>4480</v>
      </c>
      <c r="L101" s="3422" t="s">
        <v>4481</v>
      </c>
      <c r="M101" s="3423" t="s">
        <v>4482</v>
      </c>
      <c r="N101" s="3424" t="s">
        <v>4483</v>
      </c>
      <c r="O101" s="3425" t="s">
        <v>4484</v>
      </c>
      <c r="P101" s="3426" t="s">
        <v>4485</v>
      </c>
      <c r="Q101" s="3427" t="s">
        <v>4486</v>
      </c>
      <c r="R101" s="3428" t="s">
        <v>4487</v>
      </c>
      <c r="S101" s="3429" t="s">
        <v>4488</v>
      </c>
      <c r="V101" s="3430"/>
      <c r="W101" s="2753" t="s">
        <v>4489</v>
      </c>
      <c r="X101" s="2733" t="s">
        <v>4490</v>
      </c>
      <c r="Y101" s="2734">
        <v>204</v>
      </c>
      <c r="Z101" s="2735">
        <v>204</v>
      </c>
      <c r="AA101" s="2736">
        <v>255</v>
      </c>
      <c r="AB101"/>
      <c r="AC101" s="3431"/>
      <c r="AD101" s="2722" t="s">
        <v>4491</v>
      </c>
      <c r="AE101" s="2723" t="s">
        <v>4492</v>
      </c>
      <c r="AF101" s="2724">
        <v>238</v>
      </c>
      <c r="AG101" s="2725">
        <v>233</v>
      </c>
      <c r="AH101" s="2726">
        <v>191</v>
      </c>
      <c r="AI101"/>
      <c r="AJ101" s="3432"/>
      <c r="AK101" s="2739" t="s">
        <v>4493</v>
      </c>
      <c r="AL101" s="2723" t="s">
        <v>4494</v>
      </c>
      <c r="AM101" s="2724">
        <v>97</v>
      </c>
      <c r="AN101" s="2725">
        <v>78</v>
      </c>
      <c r="AO101" s="2726">
        <v>26</v>
      </c>
      <c r="AQ101" s="5">
        <v>1</v>
      </c>
    </row>
    <row r="102" spans="11:43" ht="21" customHeight="1">
      <c r="K102" s="3433" t="s">
        <v>4495</v>
      </c>
      <c r="L102" s="3434" t="s">
        <v>4496</v>
      </c>
      <c r="M102" s="3435" t="s">
        <v>4497</v>
      </c>
      <c r="N102" s="3436" t="s">
        <v>4498</v>
      </c>
      <c r="O102" s="3437" t="s">
        <v>4499</v>
      </c>
      <c r="P102" s="3438" t="s">
        <v>4500</v>
      </c>
      <c r="Q102" s="3439" t="s">
        <v>4501</v>
      </c>
      <c r="R102" s="3440" t="s">
        <v>4502</v>
      </c>
      <c r="S102" s="3441" t="s">
        <v>4503</v>
      </c>
      <c r="V102" s="3442"/>
      <c r="W102" s="2753" t="s">
        <v>4504</v>
      </c>
      <c r="X102" s="2733" t="s">
        <v>4505</v>
      </c>
      <c r="Y102" s="2734">
        <v>233</v>
      </c>
      <c r="Z102" s="2735">
        <v>233</v>
      </c>
      <c r="AA102" s="2736">
        <v>237</v>
      </c>
      <c r="AB102"/>
      <c r="AC102" s="3443"/>
      <c r="AD102" s="2787" t="s">
        <v>4506</v>
      </c>
      <c r="AE102" s="2723" t="s">
        <v>4507</v>
      </c>
      <c r="AF102" s="2724">
        <v>251</v>
      </c>
      <c r="AG102" s="2725">
        <v>242</v>
      </c>
      <c r="AH102" s="2726">
        <v>183</v>
      </c>
      <c r="AI102"/>
      <c r="AJ102" s="3444"/>
      <c r="AK102" s="2739" t="s">
        <v>4508</v>
      </c>
      <c r="AL102" s="2723" t="s">
        <v>4509</v>
      </c>
      <c r="AM102" s="2724">
        <v>70</v>
      </c>
      <c r="AN102" s="2725">
        <v>63</v>
      </c>
      <c r="AO102" s="2726">
        <v>50</v>
      </c>
      <c r="AQ102" s="5">
        <v>1</v>
      </c>
    </row>
    <row r="103" spans="11:43" ht="21" customHeight="1">
      <c r="K103" s="3445" t="s">
        <v>4510</v>
      </c>
      <c r="L103" s="3446" t="s">
        <v>4511</v>
      </c>
      <c r="M103" s="3447" t="s">
        <v>4512</v>
      </c>
      <c r="N103" s="3448" t="s">
        <v>4513</v>
      </c>
      <c r="O103" s="3449" t="s">
        <v>4514</v>
      </c>
      <c r="P103" s="3450" t="s">
        <v>4515</v>
      </c>
      <c r="Q103" s="3451" t="s">
        <v>4516</v>
      </c>
      <c r="R103" s="3452" t="s">
        <v>4517</v>
      </c>
      <c r="S103" s="3453" t="s">
        <v>4518</v>
      </c>
      <c r="V103" s="3454"/>
      <c r="W103" s="2732" t="s">
        <v>4519</v>
      </c>
      <c r="X103" s="2733" t="s">
        <v>4520</v>
      </c>
      <c r="Y103" s="2734">
        <v>230</v>
      </c>
      <c r="Z103" s="2735">
        <v>230</v>
      </c>
      <c r="AA103" s="2736">
        <v>250</v>
      </c>
      <c r="AB103"/>
      <c r="AC103" s="3455"/>
      <c r="AD103" s="2787" t="s">
        <v>4521</v>
      </c>
      <c r="AE103" s="2723" t="s">
        <v>4522</v>
      </c>
      <c r="AF103" s="2724">
        <v>253</v>
      </c>
      <c r="AG103" s="2725">
        <v>241</v>
      </c>
      <c r="AH103" s="2726">
        <v>184</v>
      </c>
      <c r="AI103"/>
      <c r="AJ103" s="3456"/>
      <c r="AK103" s="2739" t="s">
        <v>4523</v>
      </c>
      <c r="AL103" s="2723" t="s">
        <v>4524</v>
      </c>
      <c r="AM103" s="2724">
        <v>41</v>
      </c>
      <c r="AN103" s="2725">
        <v>33</v>
      </c>
      <c r="AO103" s="2726">
        <v>7</v>
      </c>
      <c r="AQ103" s="5">
        <v>1</v>
      </c>
    </row>
    <row r="104" spans="11:43" ht="21" customHeight="1">
      <c r="K104" s="3457" t="s">
        <v>4525</v>
      </c>
      <c r="L104" s="3458" t="s">
        <v>4526</v>
      </c>
      <c r="M104" s="3459" t="s">
        <v>4527</v>
      </c>
      <c r="N104" s="3460" t="s">
        <v>4528</v>
      </c>
      <c r="O104" s="3461" t="s">
        <v>4529</v>
      </c>
      <c r="P104" s="3462" t="s">
        <v>4530</v>
      </c>
      <c r="Q104" s="3463" t="s">
        <v>4531</v>
      </c>
      <c r="R104" s="3464" t="s">
        <v>4532</v>
      </c>
      <c r="S104" s="3465" t="s">
        <v>4533</v>
      </c>
      <c r="V104" s="3466"/>
      <c r="W104" s="2732" t="s">
        <v>4534</v>
      </c>
      <c r="X104" s="2733" t="s">
        <v>4535</v>
      </c>
      <c r="Y104" s="2734">
        <v>248</v>
      </c>
      <c r="Z104" s="2735">
        <v>248</v>
      </c>
      <c r="AA104" s="2736">
        <v>255</v>
      </c>
      <c r="AB104"/>
      <c r="AC104" s="3467"/>
      <c r="AD104" s="2722" t="s">
        <v>4536</v>
      </c>
      <c r="AE104" s="2723" t="s">
        <v>4537</v>
      </c>
      <c r="AF104" s="2724">
        <v>238</v>
      </c>
      <c r="AG104" s="2725">
        <v>232</v>
      </c>
      <c r="AH104" s="2726">
        <v>205</v>
      </c>
      <c r="AI104"/>
      <c r="AJ104" s="3468"/>
      <c r="AK104" s="2728" t="s">
        <v>4538</v>
      </c>
      <c r="AL104" s="2723" t="s">
        <v>4539</v>
      </c>
      <c r="AM104" s="2724">
        <v>255</v>
      </c>
      <c r="AN104" s="2725">
        <v>165</v>
      </c>
      <c r="AO104" s="2726">
        <v>0</v>
      </c>
      <c r="AQ104" s="5">
        <v>1</v>
      </c>
    </row>
    <row r="105" spans="11:43" ht="21" customHeight="1">
      <c r="K105" s="3469" t="s">
        <v>4540</v>
      </c>
      <c r="L105" s="3470" t="s">
        <v>4541</v>
      </c>
      <c r="M105" s="3471" t="s">
        <v>4542</v>
      </c>
      <c r="N105" s="3472" t="s">
        <v>4543</v>
      </c>
      <c r="O105" s="3473" t="s">
        <v>4544</v>
      </c>
      <c r="P105" s="3474" t="s">
        <v>4545</v>
      </c>
      <c r="Q105" s="3475" t="s">
        <v>4546</v>
      </c>
      <c r="R105" s="3476" t="s">
        <v>4547</v>
      </c>
      <c r="S105" s="3477" t="s">
        <v>4548</v>
      </c>
      <c r="V105" s="3478"/>
      <c r="W105" s="2732" t="s">
        <v>4549</v>
      </c>
      <c r="X105" s="2733" t="s">
        <v>4550</v>
      </c>
      <c r="Y105" s="2734">
        <v>0</v>
      </c>
      <c r="Z105" s="2735">
        <v>0</v>
      </c>
      <c r="AA105" s="2736">
        <v>238</v>
      </c>
      <c r="AB105"/>
      <c r="AC105" s="3479"/>
      <c r="AD105" s="2722" t="s">
        <v>4551</v>
      </c>
      <c r="AE105" s="2723" t="s">
        <v>4552</v>
      </c>
      <c r="AF105" s="2724">
        <v>255</v>
      </c>
      <c r="AG105" s="2725">
        <v>250</v>
      </c>
      <c r="AH105" s="2726">
        <v>205</v>
      </c>
      <c r="AI105"/>
      <c r="AJ105" s="3480"/>
      <c r="AK105" s="2728" t="s">
        <v>4553</v>
      </c>
      <c r="AL105" s="2723" t="s">
        <v>4554</v>
      </c>
      <c r="AM105" s="2724">
        <v>244</v>
      </c>
      <c r="AN105" s="2725">
        <v>164</v>
      </c>
      <c r="AO105" s="2726">
        <v>96</v>
      </c>
      <c r="AQ105" s="5">
        <v>1</v>
      </c>
    </row>
    <row r="106" spans="11:43" ht="24" customHeight="1">
      <c r="K106" s="3481" t="s">
        <v>4555</v>
      </c>
      <c r="L106" s="3482" t="s">
        <v>4556</v>
      </c>
      <c r="M106" s="3483" t="s">
        <v>4557</v>
      </c>
      <c r="N106" s="3484" t="s">
        <v>4558</v>
      </c>
      <c r="O106" s="3485" t="s">
        <v>4559</v>
      </c>
      <c r="P106" s="3486" t="s">
        <v>4560</v>
      </c>
      <c r="Q106" s="3487" t="s">
        <v>4561</v>
      </c>
      <c r="R106" s="3488" t="s">
        <v>4562</v>
      </c>
      <c r="S106" s="3489" t="s">
        <v>4563</v>
      </c>
      <c r="V106" s="3490"/>
      <c r="W106" s="2753" t="s">
        <v>4564</v>
      </c>
      <c r="X106" s="2733" t="s">
        <v>4565</v>
      </c>
      <c r="Y106" s="2734">
        <v>96</v>
      </c>
      <c r="Z106" s="2735">
        <v>80</v>
      </c>
      <c r="AA106" s="2736">
        <v>220</v>
      </c>
      <c r="AB106"/>
      <c r="AC106" s="3491"/>
      <c r="AD106" s="2787" t="s">
        <v>4566</v>
      </c>
      <c r="AE106" s="2723" t="s">
        <v>4567</v>
      </c>
      <c r="AF106" s="2724">
        <v>254</v>
      </c>
      <c r="AG106" s="2725">
        <v>253</v>
      </c>
      <c r="AH106" s="2726">
        <v>240</v>
      </c>
      <c r="AI106"/>
      <c r="AJ106" s="3492"/>
      <c r="AK106" s="2739" t="s">
        <v>4568</v>
      </c>
      <c r="AL106" s="2723" t="s">
        <v>4569</v>
      </c>
      <c r="AM106" s="2724">
        <v>254</v>
      </c>
      <c r="AN106" s="2725">
        <v>163</v>
      </c>
      <c r="AO106" s="2726">
        <v>71</v>
      </c>
      <c r="AQ106" s="5">
        <v>1</v>
      </c>
    </row>
    <row r="107" spans="11:43" ht="21" customHeight="1">
      <c r="K107" s="3493" t="s">
        <v>4570</v>
      </c>
      <c r="L107" s="3494" t="s">
        <v>4571</v>
      </c>
      <c r="M107" s="3495" t="s">
        <v>4572</v>
      </c>
      <c r="N107" s="3496" t="s">
        <v>4573</v>
      </c>
      <c r="O107" s="3497" t="s">
        <v>4574</v>
      </c>
      <c r="P107" s="3498" t="s">
        <v>4575</v>
      </c>
      <c r="Q107" s="3499" t="s">
        <v>4576</v>
      </c>
      <c r="R107" s="3500" t="s">
        <v>4577</v>
      </c>
      <c r="S107" s="3501" t="s">
        <v>4578</v>
      </c>
      <c r="V107" s="3502"/>
      <c r="W107" s="2732" t="s">
        <v>4579</v>
      </c>
      <c r="X107" s="2733" t="s">
        <v>4580</v>
      </c>
      <c r="Y107" s="2734">
        <v>0</v>
      </c>
      <c r="Z107" s="2735">
        <v>0</v>
      </c>
      <c r="AA107" s="2736">
        <v>205</v>
      </c>
      <c r="AB107"/>
      <c r="AC107" s="3503"/>
      <c r="AD107" s="2787" t="s">
        <v>4581</v>
      </c>
      <c r="AE107" s="2723" t="s">
        <v>4582</v>
      </c>
      <c r="AF107" s="2724">
        <v>193</v>
      </c>
      <c r="AG107" s="2725">
        <v>191</v>
      </c>
      <c r="AH107" s="2726">
        <v>177</v>
      </c>
      <c r="AI107"/>
      <c r="AJ107" s="3504"/>
      <c r="AK107" s="2728" t="s">
        <v>4583</v>
      </c>
      <c r="AL107" s="2723" t="s">
        <v>4584</v>
      </c>
      <c r="AM107" s="2724">
        <v>255</v>
      </c>
      <c r="AN107" s="2725">
        <v>165</v>
      </c>
      <c r="AO107" s="2726">
        <v>79</v>
      </c>
      <c r="AQ107" s="5">
        <v>1</v>
      </c>
    </row>
    <row r="108" spans="11:43" ht="21" customHeight="1">
      <c r="K108" s="3505" t="s">
        <v>4585</v>
      </c>
      <c r="L108" s="3506" t="s">
        <v>4586</v>
      </c>
      <c r="M108" s="3507" t="s">
        <v>4587</v>
      </c>
      <c r="N108" s="3508" t="s">
        <v>4588</v>
      </c>
      <c r="O108" s="3509" t="s">
        <v>4589</v>
      </c>
      <c r="P108" s="3510" t="s">
        <v>4590</v>
      </c>
      <c r="Q108" s="3511" t="s">
        <v>4591</v>
      </c>
      <c r="R108" s="3512" t="s">
        <v>4592</v>
      </c>
      <c r="S108" s="3513" t="s">
        <v>4593</v>
      </c>
      <c r="V108" s="3514"/>
      <c r="W108" s="2732" t="s">
        <v>4594</v>
      </c>
      <c r="X108" s="2733" t="s">
        <v>4595</v>
      </c>
      <c r="Y108" s="2734">
        <v>89</v>
      </c>
      <c r="Z108" s="2735">
        <v>89</v>
      </c>
      <c r="AA108" s="2736">
        <v>171</v>
      </c>
      <c r="AB108"/>
      <c r="AC108" s="3515"/>
      <c r="AD108" s="2787" t="s">
        <v>4596</v>
      </c>
      <c r="AE108" s="2723" t="s">
        <v>4597</v>
      </c>
      <c r="AF108" s="2724">
        <v>239</v>
      </c>
      <c r="AG108" s="2725">
        <v>216</v>
      </c>
      <c r="AH108" s="2726">
        <v>7</v>
      </c>
      <c r="AI108"/>
      <c r="AJ108" s="3516"/>
      <c r="AK108" s="2728" t="s">
        <v>4598</v>
      </c>
      <c r="AL108" s="2723" t="s">
        <v>4599</v>
      </c>
      <c r="AM108" s="2724">
        <v>205</v>
      </c>
      <c r="AN108" s="2725">
        <v>197</v>
      </c>
      <c r="AO108" s="2726">
        <v>191</v>
      </c>
      <c r="AQ108" s="5">
        <v>1</v>
      </c>
    </row>
    <row r="109" spans="11:43" ht="21" customHeight="1">
      <c r="K109" s="3517" t="s">
        <v>4600</v>
      </c>
      <c r="L109" s="3518" t="s">
        <v>4601</v>
      </c>
      <c r="M109" s="3519" t="s">
        <v>4602</v>
      </c>
      <c r="N109" s="3520" t="s">
        <v>4603</v>
      </c>
      <c r="O109" s="3521" t="s">
        <v>4604</v>
      </c>
      <c r="P109" s="3522" t="s">
        <v>4605</v>
      </c>
      <c r="Q109" s="3523" t="s">
        <v>4606</v>
      </c>
      <c r="R109" s="3524" t="s">
        <v>4607</v>
      </c>
      <c r="S109" s="3525" t="s">
        <v>4608</v>
      </c>
      <c r="V109" s="3526"/>
      <c r="W109" s="2753" t="s">
        <v>4609</v>
      </c>
      <c r="X109" s="2733" t="s">
        <v>4610</v>
      </c>
      <c r="Y109" s="2734">
        <v>84</v>
      </c>
      <c r="Z109" s="2735">
        <v>90</v>
      </c>
      <c r="AA109" s="2736">
        <v>167</v>
      </c>
      <c r="AB109"/>
      <c r="AC109" s="3527"/>
      <c r="AD109" s="2787" t="s">
        <v>1320</v>
      </c>
      <c r="AE109" s="2723" t="s">
        <v>4611</v>
      </c>
      <c r="AF109" s="2724">
        <v>232</v>
      </c>
      <c r="AG109" s="2725">
        <v>214</v>
      </c>
      <c r="AH109" s="2726">
        <v>48</v>
      </c>
      <c r="AI109"/>
      <c r="AJ109" s="3528"/>
      <c r="AK109" s="2739" t="s">
        <v>4612</v>
      </c>
      <c r="AL109" s="2723" t="s">
        <v>4613</v>
      </c>
      <c r="AM109" s="2724">
        <v>250</v>
      </c>
      <c r="AN109" s="2725">
        <v>181</v>
      </c>
      <c r="AO109" s="2726">
        <v>127</v>
      </c>
      <c r="AQ109" s="5">
        <v>1</v>
      </c>
    </row>
    <row r="110" spans="11:43" ht="21" customHeight="1">
      <c r="K110" s="3529" t="s">
        <v>4614</v>
      </c>
      <c r="L110" s="3530" t="s">
        <v>4615</v>
      </c>
      <c r="M110" s="3531" t="s">
        <v>4616</v>
      </c>
      <c r="N110" s="3532" t="s">
        <v>4617</v>
      </c>
      <c r="O110" s="3533" t="s">
        <v>4618</v>
      </c>
      <c r="P110" s="3534" t="s">
        <v>4619</v>
      </c>
      <c r="Q110" s="3535" t="s">
        <v>4620</v>
      </c>
      <c r="R110" s="3536" t="s">
        <v>4621</v>
      </c>
      <c r="S110" s="3537" t="s">
        <v>4622</v>
      </c>
      <c r="V110" s="3538"/>
      <c r="W110" s="2753" t="s">
        <v>4623</v>
      </c>
      <c r="X110" s="2733" t="s">
        <v>4624</v>
      </c>
      <c r="Y110" s="2734">
        <v>1</v>
      </c>
      <c r="Z110" s="2735">
        <v>49</v>
      </c>
      <c r="AA110" s="2736">
        <v>180</v>
      </c>
      <c r="AB110"/>
      <c r="AC110" s="3539"/>
      <c r="AD110" s="2722" t="s">
        <v>4625</v>
      </c>
      <c r="AE110" s="2723" t="s">
        <v>4626</v>
      </c>
      <c r="AF110" s="2724">
        <v>205</v>
      </c>
      <c r="AG110" s="2725">
        <v>198</v>
      </c>
      <c r="AH110" s="2726">
        <v>115</v>
      </c>
      <c r="AI110"/>
      <c r="AJ110" s="3540"/>
      <c r="AK110" s="2739" t="s">
        <v>4627</v>
      </c>
      <c r="AL110" s="2723" t="s">
        <v>4628</v>
      </c>
      <c r="AM110" s="2724">
        <v>233</v>
      </c>
      <c r="AN110" s="2725">
        <v>201</v>
      </c>
      <c r="AO110" s="2726">
        <v>177</v>
      </c>
      <c r="AQ110" s="5">
        <v>1</v>
      </c>
    </row>
    <row r="111" spans="11:43" ht="21" customHeight="1">
      <c r="K111" s="3541" t="s">
        <v>4629</v>
      </c>
      <c r="L111" s="3542" t="s">
        <v>4630</v>
      </c>
      <c r="M111" s="3543" t="s">
        <v>4631</v>
      </c>
      <c r="N111" s="3544" t="s">
        <v>4632</v>
      </c>
      <c r="O111" s="3545" t="s">
        <v>4633</v>
      </c>
      <c r="P111" s="3546" t="s">
        <v>4634</v>
      </c>
      <c r="Q111" s="3547" t="s">
        <v>4635</v>
      </c>
      <c r="R111" s="3548" t="s">
        <v>4636</v>
      </c>
      <c r="S111" s="3549" t="s">
        <v>4637</v>
      </c>
      <c r="V111" s="3550"/>
      <c r="W111" s="2732" t="s">
        <v>4638</v>
      </c>
      <c r="X111" s="2733" t="s">
        <v>4639</v>
      </c>
      <c r="Y111" s="2734">
        <v>0</v>
      </c>
      <c r="Z111" s="2735">
        <v>0</v>
      </c>
      <c r="AA111" s="2736">
        <v>156</v>
      </c>
      <c r="AB111"/>
      <c r="AC111" s="3551"/>
      <c r="AD111" s="2787" t="s">
        <v>4640</v>
      </c>
      <c r="AE111" s="2723" t="s">
        <v>4641</v>
      </c>
      <c r="AF111" s="2724">
        <v>220</v>
      </c>
      <c r="AG111" s="2725">
        <v>211</v>
      </c>
      <c r="AH111" s="2726">
        <v>0</v>
      </c>
      <c r="AI111"/>
      <c r="AJ111" s="3552"/>
      <c r="AK111" s="2728" t="s">
        <v>4642</v>
      </c>
      <c r="AL111" s="2723" t="s">
        <v>4643</v>
      </c>
      <c r="AM111" s="2724">
        <v>238</v>
      </c>
      <c r="AN111" s="2725">
        <v>203</v>
      </c>
      <c r="AO111" s="2726">
        <v>173</v>
      </c>
      <c r="AQ111" s="5">
        <v>1</v>
      </c>
    </row>
    <row r="112" spans="11:43" ht="21" customHeight="1">
      <c r="K112" s="3553" t="s">
        <v>4644</v>
      </c>
      <c r="L112" s="3554" t="s">
        <v>4645</v>
      </c>
      <c r="M112" s="3555" t="s">
        <v>4646</v>
      </c>
      <c r="N112" s="3556" t="s">
        <v>4647</v>
      </c>
      <c r="O112" s="3557" t="s">
        <v>4648</v>
      </c>
      <c r="P112" s="3558" t="s">
        <v>4649</v>
      </c>
      <c r="Q112" s="3559" t="s">
        <v>4650</v>
      </c>
      <c r="R112" s="3560" t="s">
        <v>4651</v>
      </c>
      <c r="S112" s="3561" t="s">
        <v>4652</v>
      </c>
      <c r="V112" s="3562"/>
      <c r="W112" s="2753" t="s">
        <v>4653</v>
      </c>
      <c r="X112" s="2733" t="s">
        <v>4654</v>
      </c>
      <c r="Y112" s="2734">
        <v>27</v>
      </c>
      <c r="Z112" s="2735">
        <v>1</v>
      </c>
      <c r="AA112" s="2736">
        <v>155</v>
      </c>
      <c r="AB112"/>
      <c r="AC112" s="3563"/>
      <c r="AD112" s="2787" t="s">
        <v>4655</v>
      </c>
      <c r="AE112" s="2723" t="s">
        <v>4656</v>
      </c>
      <c r="AF112" s="2724">
        <v>185</v>
      </c>
      <c r="AG112" s="2725">
        <v>181</v>
      </c>
      <c r="AH112" s="2726">
        <v>125</v>
      </c>
      <c r="AI112"/>
      <c r="AJ112" s="3564"/>
      <c r="AK112" s="2728" t="s">
        <v>4657</v>
      </c>
      <c r="AL112" s="2723" t="s">
        <v>4658</v>
      </c>
      <c r="AM112" s="2724">
        <v>245</v>
      </c>
      <c r="AN112" s="2725">
        <v>204</v>
      </c>
      <c r="AO112" s="2726">
        <v>176</v>
      </c>
      <c r="AQ112" s="5">
        <v>1</v>
      </c>
    </row>
    <row r="113" spans="11:43" ht="21" customHeight="1">
      <c r="K113" s="3565" t="s">
        <v>4659</v>
      </c>
      <c r="L113" s="3566" t="s">
        <v>4660</v>
      </c>
      <c r="M113" s="3567" t="s">
        <v>4661</v>
      </c>
      <c r="N113" s="3568" t="s">
        <v>4662</v>
      </c>
      <c r="O113" s="3569" t="s">
        <v>4663</v>
      </c>
      <c r="P113" s="3570" t="s">
        <v>4664</v>
      </c>
      <c r="Q113" s="3571" t="s">
        <v>4665</v>
      </c>
      <c r="R113" s="3572" t="s">
        <v>4666</v>
      </c>
      <c r="S113" s="3573" t="s">
        <v>4667</v>
      </c>
      <c r="V113" s="3574"/>
      <c r="W113" s="2753" t="s">
        <v>4668</v>
      </c>
      <c r="X113" s="2733" t="s">
        <v>4669</v>
      </c>
      <c r="Y113" s="2734">
        <v>78</v>
      </c>
      <c r="Z113" s="2735">
        <v>81</v>
      </c>
      <c r="AA113" s="2736">
        <v>128</v>
      </c>
      <c r="AB113"/>
      <c r="AC113" s="3575"/>
      <c r="AD113" s="2787" t="s">
        <v>4670</v>
      </c>
      <c r="AE113" s="2723" t="s">
        <v>4671</v>
      </c>
      <c r="AF113" s="2724">
        <v>185</v>
      </c>
      <c r="AG113" s="2725">
        <v>178</v>
      </c>
      <c r="AH113" s="2726">
        <v>118</v>
      </c>
      <c r="AI113"/>
      <c r="AJ113" s="3576"/>
      <c r="AK113" s="2739" t="s">
        <v>4672</v>
      </c>
      <c r="AL113" s="2723" t="s">
        <v>4673</v>
      </c>
      <c r="AM113" s="2724">
        <v>236</v>
      </c>
      <c r="AN113" s="2725">
        <v>213</v>
      </c>
      <c r="AO113" s="2726">
        <v>197</v>
      </c>
      <c r="AQ113" s="5">
        <v>1</v>
      </c>
    </row>
    <row r="114" spans="11:43" ht="21" customHeight="1">
      <c r="K114" s="3577" t="s">
        <v>4674</v>
      </c>
      <c r="L114" s="3578" t="s">
        <v>4675</v>
      </c>
      <c r="M114" s="3579" t="s">
        <v>4676</v>
      </c>
      <c r="N114" s="3580" t="s">
        <v>4677</v>
      </c>
      <c r="O114" s="3581" t="s">
        <v>4678</v>
      </c>
      <c r="P114" s="3582" t="s">
        <v>4679</v>
      </c>
      <c r="Q114" s="3583" t="s">
        <v>4680</v>
      </c>
      <c r="R114" s="3584" t="s">
        <v>4681</v>
      </c>
      <c r="S114" s="3585" t="s">
        <v>4682</v>
      </c>
      <c r="V114" s="3586"/>
      <c r="W114" s="2732" t="s">
        <v>4683</v>
      </c>
      <c r="X114" s="2733" t="s">
        <v>4684</v>
      </c>
      <c r="Y114" s="2734">
        <v>35</v>
      </c>
      <c r="Z114" s="2735">
        <v>35</v>
      </c>
      <c r="AA114" s="2736">
        <v>142</v>
      </c>
      <c r="AB114"/>
      <c r="AC114" s="3587"/>
      <c r="AD114" s="2722" t="s">
        <v>4685</v>
      </c>
      <c r="AE114" s="2723" t="s">
        <v>4686</v>
      </c>
      <c r="AF114" s="2724">
        <v>189</v>
      </c>
      <c r="AG114" s="2725">
        <v>183</v>
      </c>
      <c r="AH114" s="2726">
        <v>107</v>
      </c>
      <c r="AI114"/>
      <c r="AJ114" s="3588"/>
      <c r="AK114" s="2728" t="s">
        <v>4687</v>
      </c>
      <c r="AL114" s="2723" t="s">
        <v>4688</v>
      </c>
      <c r="AM114" s="2724">
        <v>255</v>
      </c>
      <c r="AN114" s="2725">
        <v>218</v>
      </c>
      <c r="AO114" s="2726">
        <v>185</v>
      </c>
      <c r="AQ114" s="5">
        <v>1</v>
      </c>
    </row>
    <row r="115" spans="11:43" ht="21" customHeight="1">
      <c r="K115" s="3589" t="s">
        <v>4689</v>
      </c>
      <c r="L115" s="3590" t="s">
        <v>4690</v>
      </c>
      <c r="M115" s="3591" t="s">
        <v>4691</v>
      </c>
      <c r="N115" s="3592" t="s">
        <v>4692</v>
      </c>
      <c r="O115" s="3593" t="s">
        <v>4693</v>
      </c>
      <c r="P115" s="3594" t="s">
        <v>4694</v>
      </c>
      <c r="Q115" s="3595" t="s">
        <v>4695</v>
      </c>
      <c r="R115" s="3596" t="s">
        <v>4696</v>
      </c>
      <c r="S115" s="3597" t="s">
        <v>4697</v>
      </c>
      <c r="V115" s="3598"/>
      <c r="W115" s="2732" t="s">
        <v>4698</v>
      </c>
      <c r="X115" s="2733" t="s">
        <v>4699</v>
      </c>
      <c r="Y115" s="2734">
        <v>0</v>
      </c>
      <c r="Z115" s="2735">
        <v>0</v>
      </c>
      <c r="AA115" s="2736">
        <v>139</v>
      </c>
      <c r="AB115"/>
      <c r="AC115" s="3599"/>
      <c r="AD115" s="2787" t="s">
        <v>4700</v>
      </c>
      <c r="AE115" s="2723" t="s">
        <v>4701</v>
      </c>
      <c r="AF115" s="2724">
        <v>175</v>
      </c>
      <c r="AG115" s="2725">
        <v>167</v>
      </c>
      <c r="AH115" s="2726">
        <v>123</v>
      </c>
      <c r="AI115"/>
      <c r="AJ115" s="3600"/>
      <c r="AK115" s="2728" t="s">
        <v>4702</v>
      </c>
      <c r="AL115" s="2723" t="s">
        <v>4703</v>
      </c>
      <c r="AM115" s="2724">
        <v>238</v>
      </c>
      <c r="AN115" s="2725">
        <v>229</v>
      </c>
      <c r="AO115" s="2726">
        <v>222</v>
      </c>
      <c r="AQ115" s="5">
        <v>1</v>
      </c>
    </row>
    <row r="116" spans="11:43" ht="21" customHeight="1">
      <c r="K116" s="3601" t="s">
        <v>4704</v>
      </c>
      <c r="L116" s="3602" t="s">
        <v>4705</v>
      </c>
      <c r="M116" s="3603" t="s">
        <v>4706</v>
      </c>
      <c r="N116" s="3604" t="s">
        <v>4707</v>
      </c>
      <c r="O116" s="3605" t="s">
        <v>4708</v>
      </c>
      <c r="P116" s="3606" t="s">
        <v>4709</v>
      </c>
      <c r="Q116" s="3607" t="s">
        <v>4710</v>
      </c>
      <c r="R116" s="3608" t="s">
        <v>4711</v>
      </c>
      <c r="S116" s="3609" t="s">
        <v>4712</v>
      </c>
      <c r="V116" s="3610"/>
      <c r="W116" s="2732" t="s">
        <v>4713</v>
      </c>
      <c r="X116" s="2733" t="s">
        <v>4714</v>
      </c>
      <c r="Y116" s="2734">
        <v>36</v>
      </c>
      <c r="Z116" s="2735">
        <v>24</v>
      </c>
      <c r="AA116" s="2736">
        <v>130</v>
      </c>
      <c r="AB116"/>
      <c r="AC116" s="3611"/>
      <c r="AD116" s="2787" t="s">
        <v>4715</v>
      </c>
      <c r="AE116" s="2723" t="s">
        <v>4716</v>
      </c>
      <c r="AF116" s="2724">
        <v>185</v>
      </c>
      <c r="AG116" s="2725">
        <v>180</v>
      </c>
      <c r="AH116" s="2726">
        <v>89</v>
      </c>
      <c r="AI116"/>
      <c r="AJ116" s="3612"/>
      <c r="AK116" s="2728" t="s">
        <v>4717</v>
      </c>
      <c r="AL116" s="2723" t="s">
        <v>4718</v>
      </c>
      <c r="AM116" s="2724">
        <v>255</v>
      </c>
      <c r="AN116" s="2725">
        <v>245</v>
      </c>
      <c r="AO116" s="2726">
        <v>238</v>
      </c>
      <c r="AQ116" s="5">
        <v>1</v>
      </c>
    </row>
    <row r="117" spans="11:43" ht="21" customHeight="1">
      <c r="K117" s="3613" t="s">
        <v>4719</v>
      </c>
      <c r="L117" s="3614" t="s">
        <v>4720</v>
      </c>
      <c r="M117" s="3615" t="s">
        <v>4721</v>
      </c>
      <c r="N117" s="3616" t="s">
        <v>4722</v>
      </c>
      <c r="O117" s="3617" t="s">
        <v>4723</v>
      </c>
      <c r="P117" s="3618" t="s">
        <v>4724</v>
      </c>
      <c r="Q117" s="3619" t="s">
        <v>4725</v>
      </c>
      <c r="R117" s="3620" t="s">
        <v>4726</v>
      </c>
      <c r="S117" s="3621" t="s">
        <v>4727</v>
      </c>
      <c r="V117" s="3622"/>
      <c r="W117" s="2732" t="s">
        <v>4728</v>
      </c>
      <c r="X117" s="2733" t="s">
        <v>4729</v>
      </c>
      <c r="Y117" s="2734">
        <v>0</v>
      </c>
      <c r="Z117" s="2735">
        <v>0</v>
      </c>
      <c r="AA117" s="2736">
        <v>128</v>
      </c>
      <c r="AB117"/>
      <c r="AC117" s="3623"/>
      <c r="AD117" s="2787" t="s">
        <v>4730</v>
      </c>
      <c r="AE117" s="2723" t="s">
        <v>4731</v>
      </c>
      <c r="AF117" s="2724">
        <v>190</v>
      </c>
      <c r="AG117" s="2725">
        <v>183</v>
      </c>
      <c r="AH117" s="2726">
        <v>46</v>
      </c>
      <c r="AI117"/>
      <c r="AJ117" s="3624"/>
      <c r="AK117" s="2728" t="s">
        <v>4732</v>
      </c>
      <c r="AL117" s="2723" t="s">
        <v>4733</v>
      </c>
      <c r="AM117" s="2724">
        <v>238</v>
      </c>
      <c r="AN117" s="2725">
        <v>154</v>
      </c>
      <c r="AO117" s="2726">
        <v>73</v>
      </c>
      <c r="AQ117" s="5">
        <v>1</v>
      </c>
    </row>
    <row r="118" spans="11:43" ht="21" customHeight="1">
      <c r="K118" s="3625" t="s">
        <v>4734</v>
      </c>
      <c r="L118" s="3626" t="s">
        <v>4735</v>
      </c>
      <c r="M118" s="3627" t="s">
        <v>4736</v>
      </c>
      <c r="N118" s="3628" t="s">
        <v>4737</v>
      </c>
      <c r="O118" s="3629" t="s">
        <v>4738</v>
      </c>
      <c r="P118" s="3630" t="s">
        <v>4739</v>
      </c>
      <c r="Q118" s="3631" t="s">
        <v>4740</v>
      </c>
      <c r="R118" s="3632" t="s">
        <v>4741</v>
      </c>
      <c r="S118" s="3633" t="s">
        <v>4742</v>
      </c>
      <c r="V118" s="3634"/>
      <c r="W118" s="2732" t="s">
        <v>4743</v>
      </c>
      <c r="X118" s="2733" t="s">
        <v>4744</v>
      </c>
      <c r="Y118" s="2734">
        <v>66</v>
      </c>
      <c r="Z118" s="2735">
        <v>66</v>
      </c>
      <c r="AA118" s="2736">
        <v>111</v>
      </c>
      <c r="AB118"/>
      <c r="AC118" s="3635"/>
      <c r="AD118" s="2722" t="s">
        <v>4745</v>
      </c>
      <c r="AE118" s="2723" t="s">
        <v>4746</v>
      </c>
      <c r="AF118" s="2724">
        <v>181</v>
      </c>
      <c r="AG118" s="2725">
        <v>166</v>
      </c>
      <c r="AH118" s="2726">
        <v>66</v>
      </c>
      <c r="AI118"/>
      <c r="AJ118" s="3636"/>
      <c r="AK118" s="2728" t="s">
        <v>4747</v>
      </c>
      <c r="AL118" s="2723" t="s">
        <v>4748</v>
      </c>
      <c r="AM118" s="2724">
        <v>205</v>
      </c>
      <c r="AN118" s="2725">
        <v>175</v>
      </c>
      <c r="AO118" s="2726">
        <v>149</v>
      </c>
      <c r="AQ118" s="5">
        <v>1</v>
      </c>
    </row>
    <row r="119" spans="11:43" ht="21" customHeight="1">
      <c r="K119" s="3637" t="s">
        <v>4749</v>
      </c>
      <c r="L119" s="3638" t="s">
        <v>4750</v>
      </c>
      <c r="M119" s="3639" t="s">
        <v>4751</v>
      </c>
      <c r="N119" s="3640" t="s">
        <v>4752</v>
      </c>
      <c r="O119" s="3641" t="s">
        <v>4753</v>
      </c>
      <c r="P119" s="3642" t="s">
        <v>4754</v>
      </c>
      <c r="Q119" s="3643" t="s">
        <v>4755</v>
      </c>
      <c r="R119" s="3644" t="s">
        <v>4756</v>
      </c>
      <c r="S119" s="3645" t="s">
        <v>4757</v>
      </c>
      <c r="V119" s="3646"/>
      <c r="W119" s="2753" t="s">
        <v>4758</v>
      </c>
      <c r="X119" s="2733" t="s">
        <v>4759</v>
      </c>
      <c r="Y119" s="2734">
        <v>48</v>
      </c>
      <c r="Z119" s="2735">
        <v>38</v>
      </c>
      <c r="AA119" s="2736">
        <v>122</v>
      </c>
      <c r="AB119"/>
      <c r="AC119" s="3647"/>
      <c r="AD119" s="2722" t="s">
        <v>4760</v>
      </c>
      <c r="AE119" s="2723" t="s">
        <v>4761</v>
      </c>
      <c r="AF119" s="2724">
        <v>139</v>
      </c>
      <c r="AG119" s="2725">
        <v>136</v>
      </c>
      <c r="AH119" s="2726">
        <v>120</v>
      </c>
      <c r="AI119"/>
      <c r="AJ119" s="3648"/>
      <c r="AK119" s="2739" t="s">
        <v>4762</v>
      </c>
      <c r="AL119" s="2723" t="s">
        <v>4763</v>
      </c>
      <c r="AM119" s="2724">
        <v>246</v>
      </c>
      <c r="AN119" s="2725">
        <v>166</v>
      </c>
      <c r="AO119" s="2726">
        <v>0</v>
      </c>
      <c r="AQ119" s="5">
        <v>1</v>
      </c>
    </row>
    <row r="120" spans="11:43" ht="21" customHeight="1">
      <c r="K120" s="3649" t="s">
        <v>4764</v>
      </c>
      <c r="L120" s="3650" t="s">
        <v>4765</v>
      </c>
      <c r="M120" s="3651" t="s">
        <v>4766</v>
      </c>
      <c r="N120" s="3652" t="s">
        <v>4767</v>
      </c>
      <c r="O120" s="3653" t="s">
        <v>4768</v>
      </c>
      <c r="P120" s="3654" t="s">
        <v>4769</v>
      </c>
      <c r="Q120" s="3655" t="s">
        <v>4770</v>
      </c>
      <c r="R120" s="3656" t="s">
        <v>4771</v>
      </c>
      <c r="S120" s="3657" t="s">
        <v>4772</v>
      </c>
      <c r="V120" s="3658"/>
      <c r="W120" s="2753" t="s">
        <v>4773</v>
      </c>
      <c r="X120" s="2733" t="s">
        <v>4774</v>
      </c>
      <c r="Y120" s="2734">
        <v>33</v>
      </c>
      <c r="Z120" s="2735">
        <v>23</v>
      </c>
      <c r="AA120" s="2736">
        <v>125</v>
      </c>
      <c r="AB120"/>
      <c r="AC120" s="3659"/>
      <c r="AD120" s="2787" t="s">
        <v>4775</v>
      </c>
      <c r="AE120" s="2723" t="s">
        <v>4776</v>
      </c>
      <c r="AF120" s="2724">
        <v>138</v>
      </c>
      <c r="AG120" s="2725">
        <v>135</v>
      </c>
      <c r="AH120" s="2726">
        <v>118</v>
      </c>
      <c r="AI120"/>
      <c r="AJ120" s="3660"/>
      <c r="AK120" s="2739" t="s">
        <v>4777</v>
      </c>
      <c r="AL120" s="2723" t="s">
        <v>4778</v>
      </c>
      <c r="AM120" s="2724">
        <v>231</v>
      </c>
      <c r="AN120" s="2725">
        <v>168</v>
      </c>
      <c r="AO120" s="2726">
        <v>84</v>
      </c>
      <c r="AQ120" s="5">
        <v>1</v>
      </c>
    </row>
    <row r="121" spans="11:43" ht="21" customHeight="1">
      <c r="K121" s="3661" t="s">
        <v>4779</v>
      </c>
      <c r="L121" s="3662" t="s">
        <v>4780</v>
      </c>
      <c r="M121" s="3663" t="s">
        <v>4781</v>
      </c>
      <c r="N121" s="3664" t="s">
        <v>4782</v>
      </c>
      <c r="O121" s="3665" t="s">
        <v>4783</v>
      </c>
      <c r="P121" s="3666" t="s">
        <v>4784</v>
      </c>
      <c r="Q121" s="3667" t="s">
        <v>4785</v>
      </c>
      <c r="R121" s="3668" t="s">
        <v>4786</v>
      </c>
      <c r="S121" s="3669" t="s">
        <v>4787</v>
      </c>
      <c r="V121" s="3670"/>
      <c r="W121" s="2732" t="s">
        <v>4788</v>
      </c>
      <c r="X121" s="2733" t="s">
        <v>4789</v>
      </c>
      <c r="Y121" s="2734">
        <v>25</v>
      </c>
      <c r="Z121" s="2735">
        <v>25</v>
      </c>
      <c r="AA121" s="2736">
        <v>112</v>
      </c>
      <c r="AB121"/>
      <c r="AC121" s="3671"/>
      <c r="AD121" s="2722" t="s">
        <v>4790</v>
      </c>
      <c r="AE121" s="2723" t="s">
        <v>4791</v>
      </c>
      <c r="AF121" s="2724">
        <v>139</v>
      </c>
      <c r="AG121" s="2725">
        <v>137</v>
      </c>
      <c r="AH121" s="2726">
        <v>112</v>
      </c>
      <c r="AI121"/>
      <c r="AJ121" s="3672"/>
      <c r="AK121" s="2739" t="s">
        <v>4792</v>
      </c>
      <c r="AL121" s="2723" t="s">
        <v>4793</v>
      </c>
      <c r="AM121" s="2724">
        <v>194</v>
      </c>
      <c r="AN121" s="2725">
        <v>172</v>
      </c>
      <c r="AO121" s="2726">
        <v>153</v>
      </c>
      <c r="AQ121" s="5">
        <v>1</v>
      </c>
    </row>
    <row r="122" spans="11:43" ht="21" customHeight="1">
      <c r="K122" s="3673" t="s">
        <v>4794</v>
      </c>
      <c r="L122" s="3674" t="s">
        <v>4795</v>
      </c>
      <c r="M122" s="3675" t="s">
        <v>4796</v>
      </c>
      <c r="N122" s="3676" t="s">
        <v>4797</v>
      </c>
      <c r="O122" s="3677" t="s">
        <v>4798</v>
      </c>
      <c r="P122" s="3678" t="s">
        <v>4799</v>
      </c>
      <c r="Q122" s="3679" t="s">
        <v>4800</v>
      </c>
      <c r="R122" s="3680" t="s">
        <v>4801</v>
      </c>
      <c r="S122" s="3681" t="s">
        <v>4802</v>
      </c>
      <c r="V122" s="3682"/>
      <c r="W122" s="2753" t="s">
        <v>4803</v>
      </c>
      <c r="X122" s="2733" t="s">
        <v>4804</v>
      </c>
      <c r="Y122" s="2734">
        <v>15</v>
      </c>
      <c r="Z122" s="2735">
        <v>5</v>
      </c>
      <c r="AA122" s="2736">
        <v>107</v>
      </c>
      <c r="AB122"/>
      <c r="AC122" s="3683"/>
      <c r="AD122" s="2787" t="s">
        <v>4805</v>
      </c>
      <c r="AE122" s="2723" t="s">
        <v>4806</v>
      </c>
      <c r="AF122" s="2724">
        <v>140</v>
      </c>
      <c r="AG122" s="2725">
        <v>135</v>
      </c>
      <c r="AH122" s="2726">
        <v>103</v>
      </c>
      <c r="AI122"/>
      <c r="AJ122" s="3684"/>
      <c r="AK122" s="2728" t="s">
        <v>4807</v>
      </c>
      <c r="AL122" s="2723" t="s">
        <v>4808</v>
      </c>
      <c r="AM122" s="2724">
        <v>238</v>
      </c>
      <c r="AN122" s="2725">
        <v>154</v>
      </c>
      <c r="AO122" s="2726">
        <v>0</v>
      </c>
      <c r="AQ122" s="5">
        <v>1</v>
      </c>
    </row>
    <row r="123" spans="11:43" ht="21" customHeight="1">
      <c r="K123" s="3685" t="s">
        <v>4809</v>
      </c>
      <c r="L123" s="3686" t="s">
        <v>4810</v>
      </c>
      <c r="M123" s="3687" t="s">
        <v>4811</v>
      </c>
      <c r="N123" s="3688" t="s">
        <v>4812</v>
      </c>
      <c r="O123" s="3689" t="s">
        <v>4813</v>
      </c>
      <c r="P123" s="3690" t="s">
        <v>4814</v>
      </c>
      <c r="Q123" s="3691" t="s">
        <v>4815</v>
      </c>
      <c r="R123" s="3692" t="s">
        <v>4816</v>
      </c>
      <c r="S123" s="3693" t="s">
        <v>4817</v>
      </c>
      <c r="V123" s="3694"/>
      <c r="W123" s="2753" t="s">
        <v>4818</v>
      </c>
      <c r="X123" s="2733" t="s">
        <v>4819</v>
      </c>
      <c r="Y123" s="2734">
        <v>39</v>
      </c>
      <c r="Z123" s="2735">
        <v>36</v>
      </c>
      <c r="AA123" s="2736">
        <v>88</v>
      </c>
      <c r="AB123"/>
      <c r="AC123" s="3695"/>
      <c r="AD123" s="2722" t="s">
        <v>4820</v>
      </c>
      <c r="AE123" s="2723" t="s">
        <v>4821</v>
      </c>
      <c r="AF123" s="2724">
        <v>139</v>
      </c>
      <c r="AG123" s="2725">
        <v>134</v>
      </c>
      <c r="AH123" s="2726">
        <v>78</v>
      </c>
      <c r="AI123"/>
      <c r="AJ123" s="3696"/>
      <c r="AK123" s="2739" t="s">
        <v>4822</v>
      </c>
      <c r="AL123" s="2723" t="s">
        <v>4823</v>
      </c>
      <c r="AM123" s="2724">
        <v>234</v>
      </c>
      <c r="AN123" s="2725">
        <v>162</v>
      </c>
      <c r="AO123" s="2726">
        <v>33</v>
      </c>
      <c r="AQ123" s="5">
        <v>1</v>
      </c>
    </row>
    <row r="124" spans="11:43" ht="21" customHeight="1">
      <c r="K124" s="3697" t="s">
        <v>4824</v>
      </c>
      <c r="L124" s="3698" t="s">
        <v>4825</v>
      </c>
      <c r="M124" s="3699" t="s">
        <v>4826</v>
      </c>
      <c r="N124" s="3700" t="s">
        <v>4827</v>
      </c>
      <c r="O124" s="3701" t="s">
        <v>4828</v>
      </c>
      <c r="P124" s="3702" t="s">
        <v>4829</v>
      </c>
      <c r="Q124" s="3703" t="s">
        <v>4830</v>
      </c>
      <c r="R124" s="3704" t="s">
        <v>4831</v>
      </c>
      <c r="S124" s="3705" t="s">
        <v>4832</v>
      </c>
      <c r="V124" s="3706"/>
      <c r="W124" s="2732" t="s">
        <v>4833</v>
      </c>
      <c r="X124" s="2733" t="s">
        <v>4834</v>
      </c>
      <c r="Y124" s="2734">
        <v>47</v>
      </c>
      <c r="Z124" s="2735">
        <v>47</v>
      </c>
      <c r="AA124" s="2736">
        <v>79</v>
      </c>
      <c r="AB124"/>
      <c r="AC124" s="3707"/>
      <c r="AD124" s="2722" t="s">
        <v>4835</v>
      </c>
      <c r="AE124" s="2723" t="s">
        <v>4836</v>
      </c>
      <c r="AF124" s="2724">
        <v>139</v>
      </c>
      <c r="AG124" s="2725">
        <v>129</v>
      </c>
      <c r="AH124" s="2726">
        <v>76</v>
      </c>
      <c r="AI124"/>
      <c r="AJ124" s="3708"/>
      <c r="AK124" s="2739" t="s">
        <v>4837</v>
      </c>
      <c r="AL124" s="2723" t="s">
        <v>4838</v>
      </c>
      <c r="AM124" s="2724">
        <v>221</v>
      </c>
      <c r="AN124" s="2725">
        <v>152</v>
      </c>
      <c r="AO124" s="2726">
        <v>92</v>
      </c>
      <c r="AQ124" s="5">
        <v>1</v>
      </c>
    </row>
    <row r="125" spans="11:43" ht="21" customHeight="1">
      <c r="K125" s="3709" t="s">
        <v>4839</v>
      </c>
      <c r="L125" s="3710" t="s">
        <v>4840</v>
      </c>
      <c r="M125" s="3711" t="s">
        <v>4841</v>
      </c>
      <c r="N125" s="3712" t="s">
        <v>4842</v>
      </c>
      <c r="O125" s="3713" t="s">
        <v>4843</v>
      </c>
      <c r="P125" s="3714" t="s">
        <v>4844</v>
      </c>
      <c r="Q125" s="3715" t="s">
        <v>4845</v>
      </c>
      <c r="R125" s="3716" t="s">
        <v>4846</v>
      </c>
      <c r="S125" s="3717" t="s">
        <v>4847</v>
      </c>
      <c r="V125" s="3718"/>
      <c r="W125" s="2753" t="s">
        <v>4848</v>
      </c>
      <c r="X125" s="2733" t="s">
        <v>4849</v>
      </c>
      <c r="Y125" s="2734">
        <v>37</v>
      </c>
      <c r="Z125" s="2735">
        <v>36</v>
      </c>
      <c r="AA125" s="2736">
        <v>64</v>
      </c>
      <c r="AB125"/>
      <c r="AC125" s="3719"/>
      <c r="AD125" s="2787" t="s">
        <v>4850</v>
      </c>
      <c r="AE125" s="2723" t="s">
        <v>4851</v>
      </c>
      <c r="AF125" s="2724">
        <v>155</v>
      </c>
      <c r="AG125" s="2725">
        <v>148</v>
      </c>
      <c r="AH125" s="2726">
        <v>0</v>
      </c>
      <c r="AI125"/>
      <c r="AJ125" s="3720"/>
      <c r="AK125" s="2739" t="s">
        <v>4852</v>
      </c>
      <c r="AL125" s="2723" t="s">
        <v>4853</v>
      </c>
      <c r="AM125" s="2724">
        <v>222</v>
      </c>
      <c r="AN125" s="2725">
        <v>152</v>
      </c>
      <c r="AO125" s="2726">
        <v>22</v>
      </c>
      <c r="AQ125" s="5">
        <v>1</v>
      </c>
    </row>
    <row r="126" spans="11:43" ht="21" customHeight="1">
      <c r="K126" s="3721" t="s">
        <v>4854</v>
      </c>
      <c r="L126" s="3722" t="s">
        <v>4855</v>
      </c>
      <c r="M126" s="3723" t="s">
        <v>4856</v>
      </c>
      <c r="N126" s="3724" t="s">
        <v>4857</v>
      </c>
      <c r="O126" s="3725" t="s">
        <v>4858</v>
      </c>
      <c r="P126" s="3726" t="s">
        <v>4859</v>
      </c>
      <c r="Q126" s="3727" t="s">
        <v>4860</v>
      </c>
      <c r="R126" s="3728" t="s">
        <v>4861</v>
      </c>
      <c r="S126" s="3729" t="s">
        <v>4862</v>
      </c>
      <c r="V126" s="3730"/>
      <c r="W126" s="2753" t="s">
        <v>4863</v>
      </c>
      <c r="X126" s="2733" t="s">
        <v>4864</v>
      </c>
      <c r="Y126" s="2734">
        <v>0</v>
      </c>
      <c r="Z126" s="2735">
        <v>0</v>
      </c>
      <c r="AA126" s="2736">
        <v>16</v>
      </c>
      <c r="AB126"/>
      <c r="AC126" s="3731"/>
      <c r="AD126" s="2787" t="s">
        <v>4865</v>
      </c>
      <c r="AE126" s="2723" t="s">
        <v>4866</v>
      </c>
      <c r="AF126" s="2724">
        <v>134</v>
      </c>
      <c r="AG126" s="2725">
        <v>126</v>
      </c>
      <c r="AH126" s="2726">
        <v>54</v>
      </c>
      <c r="AI126"/>
      <c r="AJ126" s="3732"/>
      <c r="AK126" s="2728" t="s">
        <v>4867</v>
      </c>
      <c r="AL126" s="2723" t="s">
        <v>4868</v>
      </c>
      <c r="AM126" s="2724">
        <v>217</v>
      </c>
      <c r="AN126" s="2725">
        <v>135</v>
      </c>
      <c r="AO126" s="2726">
        <v>25</v>
      </c>
      <c r="AQ126" s="5">
        <v>1</v>
      </c>
    </row>
    <row r="127" spans="11:43" ht="21" customHeight="1">
      <c r="K127" s="3733" t="s">
        <v>4869</v>
      </c>
      <c r="L127" s="3734" t="s">
        <v>4870</v>
      </c>
      <c r="M127" s="3735" t="s">
        <v>4871</v>
      </c>
      <c r="N127" s="3736" t="s">
        <v>4872</v>
      </c>
      <c r="O127" s="3737" t="s">
        <v>4873</v>
      </c>
      <c r="P127" s="3738" t="s">
        <v>4874</v>
      </c>
      <c r="Q127" s="3739" t="s">
        <v>4875</v>
      </c>
      <c r="R127" s="3740" t="s">
        <v>4876</v>
      </c>
      <c r="S127" s="3741" t="s">
        <v>4877</v>
      </c>
      <c r="V127" s="3742"/>
      <c r="W127" s="2753" t="s">
        <v>4878</v>
      </c>
      <c r="X127" s="2733" t="s">
        <v>4879</v>
      </c>
      <c r="Y127" s="2734">
        <v>44</v>
      </c>
      <c r="Z127" s="2735">
        <v>117</v>
      </c>
      <c r="AA127" s="2736">
        <v>255</v>
      </c>
      <c r="AB127"/>
      <c r="AC127" s="3743"/>
      <c r="AD127" s="2787" t="s">
        <v>4880</v>
      </c>
      <c r="AE127" s="2723" t="s">
        <v>4881</v>
      </c>
      <c r="AF127" s="2724">
        <v>87</v>
      </c>
      <c r="AG127" s="2725">
        <v>85</v>
      </c>
      <c r="AH127" s="2726">
        <v>76</v>
      </c>
      <c r="AI127"/>
      <c r="AJ127" s="3744"/>
      <c r="AK127" s="2739" t="s">
        <v>4882</v>
      </c>
      <c r="AL127" s="2723" t="s">
        <v>4883</v>
      </c>
      <c r="AM127" s="2724">
        <v>205</v>
      </c>
      <c r="AN127" s="2725">
        <v>133</v>
      </c>
      <c r="AO127" s="2726">
        <v>63</v>
      </c>
      <c r="AQ127" s="5">
        <v>1</v>
      </c>
    </row>
    <row r="128" spans="11:43" ht="21" customHeight="1">
      <c r="K128" s="3745" t="s">
        <v>4884</v>
      </c>
      <c r="L128" s="3746" t="s">
        <v>4885</v>
      </c>
      <c r="M128" s="3747" t="s">
        <v>4886</v>
      </c>
      <c r="N128" s="3748" t="s">
        <v>4887</v>
      </c>
      <c r="O128" s="3749" t="s">
        <v>4888</v>
      </c>
      <c r="P128" s="3750" t="s">
        <v>4889</v>
      </c>
      <c r="Q128" s="3751" t="s">
        <v>4890</v>
      </c>
      <c r="R128" s="3752" t="s">
        <v>4891</v>
      </c>
      <c r="S128" s="3753" t="s">
        <v>4892</v>
      </c>
      <c r="V128" s="3754"/>
      <c r="W128" s="2732" t="s">
        <v>4893</v>
      </c>
      <c r="X128" s="2733" t="s">
        <v>4894</v>
      </c>
      <c r="Y128" s="2734">
        <v>72</v>
      </c>
      <c r="Z128" s="2735">
        <v>118</v>
      </c>
      <c r="AA128" s="2736">
        <v>255</v>
      </c>
      <c r="AB128"/>
      <c r="AC128" s="3755"/>
      <c r="AD128" s="2787" t="s">
        <v>4895</v>
      </c>
      <c r="AE128" s="2723" t="s">
        <v>4896</v>
      </c>
      <c r="AF128" s="2724">
        <v>91</v>
      </c>
      <c r="AG128" s="2725">
        <v>88</v>
      </c>
      <c r="AH128" s="2726">
        <v>66</v>
      </c>
      <c r="AI128"/>
      <c r="AJ128" s="3756"/>
      <c r="AK128" s="2728" t="s">
        <v>4897</v>
      </c>
      <c r="AL128" s="2723" t="s">
        <v>4898</v>
      </c>
      <c r="AM128" s="2724">
        <v>205</v>
      </c>
      <c r="AN128" s="2725">
        <v>133</v>
      </c>
      <c r="AO128" s="2726">
        <v>0</v>
      </c>
      <c r="AQ128" s="5">
        <v>1</v>
      </c>
    </row>
    <row r="129" spans="11:43" ht="21" customHeight="1">
      <c r="K129" s="3757" t="s">
        <v>4899</v>
      </c>
      <c r="L129" s="3758" t="s">
        <v>4900</v>
      </c>
      <c r="M129" s="3759" t="s">
        <v>4901</v>
      </c>
      <c r="N129" s="3760" t="s">
        <v>4902</v>
      </c>
      <c r="O129" s="3761" t="s">
        <v>4903</v>
      </c>
      <c r="P129" s="3762" t="s">
        <v>4904</v>
      </c>
      <c r="Q129" s="3763" t="s">
        <v>4905</v>
      </c>
      <c r="R129" s="3764" t="s">
        <v>4906</v>
      </c>
      <c r="S129" s="3765" t="s">
        <v>4907</v>
      </c>
      <c r="V129" s="3766"/>
      <c r="W129" s="2753" t="s">
        <v>4908</v>
      </c>
      <c r="X129" s="2733" t="s">
        <v>4909</v>
      </c>
      <c r="Y129" s="2734">
        <v>179</v>
      </c>
      <c r="Z129" s="2735">
        <v>188</v>
      </c>
      <c r="AA129" s="2736">
        <v>226</v>
      </c>
      <c r="AB129"/>
      <c r="AC129" s="3767"/>
      <c r="AD129" s="2787" t="s">
        <v>4910</v>
      </c>
      <c r="AE129" s="2723" t="s">
        <v>4911</v>
      </c>
      <c r="AF129" s="2724">
        <v>102</v>
      </c>
      <c r="AG129" s="2725">
        <v>93</v>
      </c>
      <c r="AH129" s="2726">
        <v>30</v>
      </c>
      <c r="AI129"/>
      <c r="AJ129" s="3768"/>
      <c r="AK129" s="2739" t="s">
        <v>4912</v>
      </c>
      <c r="AL129" s="2723" t="s">
        <v>4913</v>
      </c>
      <c r="AM129" s="2724">
        <v>201</v>
      </c>
      <c r="AN129" s="2725">
        <v>133</v>
      </c>
      <c r="AO129" s="2726">
        <v>0</v>
      </c>
      <c r="AQ129" s="5">
        <v>1</v>
      </c>
    </row>
    <row r="130" spans="11:43" ht="21" customHeight="1">
      <c r="K130" s="3769" t="s">
        <v>4914</v>
      </c>
      <c r="L130" s="3770" t="s">
        <v>4915</v>
      </c>
      <c r="M130" s="3771" t="s">
        <v>4916</v>
      </c>
      <c r="N130" s="3772" t="s">
        <v>4917</v>
      </c>
      <c r="O130" s="3773" t="s">
        <v>4918</v>
      </c>
      <c r="P130" s="3774" t="s">
        <v>4919</v>
      </c>
      <c r="Q130" s="3775" t="s">
        <v>4920</v>
      </c>
      <c r="R130" s="3776" t="s">
        <v>4921</v>
      </c>
      <c r="S130" s="3777" t="s">
        <v>4922</v>
      </c>
      <c r="V130" s="3778"/>
      <c r="W130" s="2732" t="s">
        <v>4923</v>
      </c>
      <c r="X130" s="2733" t="s">
        <v>4924</v>
      </c>
      <c r="Y130" s="2734">
        <v>230</v>
      </c>
      <c r="Z130" s="2735">
        <v>232</v>
      </c>
      <c r="AA130" s="2736">
        <v>250</v>
      </c>
      <c r="AB130"/>
      <c r="AC130" s="3779"/>
      <c r="AD130" s="2787" t="s">
        <v>4925</v>
      </c>
      <c r="AE130" s="2723" t="s">
        <v>4926</v>
      </c>
      <c r="AF130" s="2724">
        <v>64</v>
      </c>
      <c r="AG130" s="2725">
        <v>61</v>
      </c>
      <c r="AH130" s="2726">
        <v>33</v>
      </c>
      <c r="AI130"/>
      <c r="AJ130" s="3780"/>
      <c r="AK130" s="2739" t="s">
        <v>4927</v>
      </c>
      <c r="AL130" s="2723" t="s">
        <v>4928</v>
      </c>
      <c r="AM130" s="2724">
        <v>174</v>
      </c>
      <c r="AN130" s="2725">
        <v>137</v>
      </c>
      <c r="AO130" s="2726">
        <v>100</v>
      </c>
      <c r="AQ130" s="5">
        <v>1</v>
      </c>
    </row>
    <row r="131" spans="11:43" ht="21" customHeight="1">
      <c r="K131" s="3781" t="s">
        <v>4929</v>
      </c>
      <c r="L131" s="3782" t="s">
        <v>4930</v>
      </c>
      <c r="M131" s="3783" t="s">
        <v>4931</v>
      </c>
      <c r="N131" s="3784" t="s">
        <v>4932</v>
      </c>
      <c r="O131" s="3785" t="s">
        <v>4933</v>
      </c>
      <c r="P131" s="3786" t="s">
        <v>4934</v>
      </c>
      <c r="Q131" s="3787" t="s">
        <v>4935</v>
      </c>
      <c r="R131" s="3788" t="s">
        <v>4936</v>
      </c>
      <c r="S131" s="3789" t="s">
        <v>4937</v>
      </c>
      <c r="V131" s="3790"/>
      <c r="W131" s="2732" t="s">
        <v>4938</v>
      </c>
      <c r="X131" s="2733" t="s">
        <v>4939</v>
      </c>
      <c r="Y131" s="2734">
        <v>67</v>
      </c>
      <c r="Z131" s="2735">
        <v>110</v>
      </c>
      <c r="AA131" s="2736">
        <v>238</v>
      </c>
      <c r="AB131"/>
      <c r="AC131" s="3791"/>
      <c r="AD131" s="2787" t="s">
        <v>4940</v>
      </c>
      <c r="AE131" s="2723" t="s">
        <v>4941</v>
      </c>
      <c r="AF131" s="2724">
        <v>54</v>
      </c>
      <c r="AG131" s="2725">
        <v>53</v>
      </c>
      <c r="AH131" s="2726">
        <v>39</v>
      </c>
      <c r="AI131"/>
      <c r="AJ131" s="3792"/>
      <c r="AK131" s="2728" t="s">
        <v>4942</v>
      </c>
      <c r="AL131" s="2723" t="s">
        <v>4943</v>
      </c>
      <c r="AM131" s="2724">
        <v>166</v>
      </c>
      <c r="AN131" s="2725">
        <v>128</v>
      </c>
      <c r="AO131" s="2726">
        <v>100</v>
      </c>
      <c r="AQ131" s="5">
        <v>1</v>
      </c>
    </row>
    <row r="132" spans="11:43" ht="21" customHeight="1">
      <c r="K132" s="3793" t="s">
        <v>4944</v>
      </c>
      <c r="L132" s="3794" t="s">
        <v>4945</v>
      </c>
      <c r="M132" s="3795" t="s">
        <v>4946</v>
      </c>
      <c r="N132" s="3796" t="s">
        <v>4947</v>
      </c>
      <c r="O132" s="3797" t="s">
        <v>4948</v>
      </c>
      <c r="P132" s="3798" t="s">
        <v>4949</v>
      </c>
      <c r="Q132" s="3799" t="s">
        <v>4950</v>
      </c>
      <c r="R132" s="3800" t="s">
        <v>4951</v>
      </c>
      <c r="S132" s="3801" t="s">
        <v>4952</v>
      </c>
      <c r="V132" s="3802"/>
      <c r="W132" s="2732" t="s">
        <v>4953</v>
      </c>
      <c r="X132" s="2733" t="s">
        <v>4954</v>
      </c>
      <c r="Y132" s="2734">
        <v>65</v>
      </c>
      <c r="Z132" s="2735">
        <v>105</v>
      </c>
      <c r="AA132" s="2736">
        <v>225</v>
      </c>
      <c r="AB132"/>
      <c r="AC132" s="3803"/>
      <c r="AD132" s="2787" t="s">
        <v>4955</v>
      </c>
      <c r="AE132" s="2723" t="s">
        <v>4956</v>
      </c>
      <c r="AF132" s="2724">
        <v>37</v>
      </c>
      <c r="AG132" s="2725">
        <v>36</v>
      </c>
      <c r="AH132" s="2726">
        <v>29</v>
      </c>
      <c r="AI132"/>
      <c r="AJ132" s="3804"/>
      <c r="AK132" s="2739" t="s">
        <v>4882</v>
      </c>
      <c r="AL132" s="2723" t="s">
        <v>4957</v>
      </c>
      <c r="AM132" s="2724">
        <v>166</v>
      </c>
      <c r="AN132" s="2725">
        <v>123</v>
      </c>
      <c r="AO132" s="2726">
        <v>91</v>
      </c>
      <c r="AQ132" s="5">
        <v>1</v>
      </c>
    </row>
    <row r="133" spans="11:43" ht="21" customHeight="1">
      <c r="K133" s="3805" t="s">
        <v>4958</v>
      </c>
      <c r="L133" s="3806" t="s">
        <v>4959</v>
      </c>
      <c r="M133" s="3807" t="s">
        <v>4960</v>
      </c>
      <c r="N133" s="3808" t="s">
        <v>4961</v>
      </c>
      <c r="O133" s="3809" t="s">
        <v>4962</v>
      </c>
      <c r="P133" s="3810" t="s">
        <v>4963</v>
      </c>
      <c r="Q133" s="3811" t="s">
        <v>4964</v>
      </c>
      <c r="R133" s="3812" t="s">
        <v>4965</v>
      </c>
      <c r="S133" s="3813" t="s">
        <v>4966</v>
      </c>
      <c r="V133" s="3814"/>
      <c r="W133" s="2753" t="s">
        <v>4967</v>
      </c>
      <c r="X133" s="2733" t="s">
        <v>4968</v>
      </c>
      <c r="Y133" s="2734">
        <v>135</v>
      </c>
      <c r="Z133" s="2735">
        <v>145</v>
      </c>
      <c r="AA133" s="2736">
        <v>191</v>
      </c>
      <c r="AB133"/>
      <c r="AC133" s="3815"/>
      <c r="AD133" s="2787" t="s">
        <v>4969</v>
      </c>
      <c r="AE133" s="2723" t="s">
        <v>4970</v>
      </c>
      <c r="AF133" s="2724">
        <v>255</v>
      </c>
      <c r="AG133" s="2725">
        <v>0</v>
      </c>
      <c r="AH133" s="2726">
        <v>255</v>
      </c>
      <c r="AI133"/>
      <c r="AJ133" s="3816"/>
      <c r="AK133" s="2728" t="s">
        <v>4971</v>
      </c>
      <c r="AL133" s="2723" t="s">
        <v>4972</v>
      </c>
      <c r="AM133" s="2724">
        <v>139</v>
      </c>
      <c r="AN133" s="2725">
        <v>134</v>
      </c>
      <c r="AO133" s="2726">
        <v>130</v>
      </c>
      <c r="AQ133" s="5">
        <v>1</v>
      </c>
    </row>
    <row r="134" spans="11:43" ht="21" customHeight="1">
      <c r="K134" s="3817" t="s">
        <v>4973</v>
      </c>
      <c r="L134" s="3818" t="s">
        <v>4974</v>
      </c>
      <c r="M134" s="3819" t="s">
        <v>4975</v>
      </c>
      <c r="N134" s="3820" t="s">
        <v>4976</v>
      </c>
      <c r="O134" s="3821" t="s">
        <v>4977</v>
      </c>
      <c r="P134" s="3822" t="s">
        <v>4978</v>
      </c>
      <c r="Q134" s="3823" t="s">
        <v>4979</v>
      </c>
      <c r="R134" s="3824" t="s">
        <v>4980</v>
      </c>
      <c r="S134" s="3825" t="s">
        <v>4981</v>
      </c>
      <c r="V134" s="3826"/>
      <c r="W134" s="2753" t="s">
        <v>4982</v>
      </c>
      <c r="X134" s="2733" t="s">
        <v>4983</v>
      </c>
      <c r="Y134" s="2734">
        <v>140</v>
      </c>
      <c r="Z134" s="2735">
        <v>146</v>
      </c>
      <c r="AA134" s="2736">
        <v>172</v>
      </c>
      <c r="AB134"/>
      <c r="AC134" s="3827"/>
      <c r="AD134" s="2722" t="s">
        <v>4984</v>
      </c>
      <c r="AE134" s="2723" t="s">
        <v>4985</v>
      </c>
      <c r="AF134" s="2724">
        <v>238</v>
      </c>
      <c r="AG134" s="2725">
        <v>122</v>
      </c>
      <c r="AH134" s="2726">
        <v>233</v>
      </c>
      <c r="AI134"/>
      <c r="AJ134" s="3828"/>
      <c r="AK134" s="2739" t="s">
        <v>4986</v>
      </c>
      <c r="AL134" s="2723" t="s">
        <v>4987</v>
      </c>
      <c r="AM134" s="2724">
        <v>182</v>
      </c>
      <c r="AN134" s="2725">
        <v>120</v>
      </c>
      <c r="AO134" s="2726">
        <v>35</v>
      </c>
      <c r="AQ134" s="5">
        <v>1</v>
      </c>
    </row>
    <row r="135" spans="11:43" ht="21" customHeight="1">
      <c r="K135" s="3829" t="s">
        <v>4988</v>
      </c>
      <c r="L135" s="3830" t="s">
        <v>4989</v>
      </c>
      <c r="M135" s="3831" t="s">
        <v>4990</v>
      </c>
      <c r="N135" s="3832" t="s">
        <v>4991</v>
      </c>
      <c r="O135" s="3833" t="s">
        <v>4992</v>
      </c>
      <c r="P135" s="3834" t="s">
        <v>4993</v>
      </c>
      <c r="Q135" s="3835" t="s">
        <v>4994</v>
      </c>
      <c r="R135" s="3836" t="s">
        <v>4995</v>
      </c>
      <c r="S135" s="3837" t="s">
        <v>4996</v>
      </c>
      <c r="V135" s="3838"/>
      <c r="W135" s="2732" t="s">
        <v>4997</v>
      </c>
      <c r="X135" s="2733" t="s">
        <v>4998</v>
      </c>
      <c r="Y135" s="2734">
        <v>58</v>
      </c>
      <c r="Z135" s="2735">
        <v>95</v>
      </c>
      <c r="AA135" s="2736">
        <v>205</v>
      </c>
      <c r="AB135"/>
      <c r="AC135" s="3839"/>
      <c r="AD135" s="2722" t="s">
        <v>4999</v>
      </c>
      <c r="AE135" s="2723" t="s">
        <v>5000</v>
      </c>
      <c r="AF135" s="2724">
        <v>238</v>
      </c>
      <c r="AG135" s="2725">
        <v>130</v>
      </c>
      <c r="AH135" s="2726">
        <v>238</v>
      </c>
      <c r="AI135"/>
      <c r="AJ135" s="3840"/>
      <c r="AK135" s="2739" t="s">
        <v>5001</v>
      </c>
      <c r="AL135" s="2723" t="s">
        <v>5002</v>
      </c>
      <c r="AM135" s="2724">
        <v>149</v>
      </c>
      <c r="AN135" s="2725">
        <v>128</v>
      </c>
      <c r="AO135" s="2726">
        <v>112</v>
      </c>
      <c r="AQ135" s="5">
        <v>1</v>
      </c>
    </row>
    <row r="136" spans="11:43" ht="21" customHeight="1">
      <c r="K136" s="3841" t="s">
        <v>5003</v>
      </c>
      <c r="L136" s="3842" t="s">
        <v>5004</v>
      </c>
      <c r="M136" s="3843" t="s">
        <v>5005</v>
      </c>
      <c r="N136" s="3844" t="s">
        <v>5006</v>
      </c>
      <c r="O136" s="3845" t="s">
        <v>5007</v>
      </c>
      <c r="P136" s="3846" t="s">
        <v>5008</v>
      </c>
      <c r="Q136" s="3847" t="s">
        <v>5009</v>
      </c>
      <c r="R136" s="3848" t="s">
        <v>5010</v>
      </c>
      <c r="S136" s="3849" t="s">
        <v>5011</v>
      </c>
      <c r="V136" s="3850"/>
      <c r="W136" s="2753" t="s">
        <v>5012</v>
      </c>
      <c r="X136" s="2733" t="s">
        <v>5013</v>
      </c>
      <c r="Y136" s="2734">
        <v>108</v>
      </c>
      <c r="Z136" s="2735">
        <v>121</v>
      </c>
      <c r="AA136" s="2736">
        <v>184</v>
      </c>
      <c r="AB136"/>
      <c r="AC136" s="3851"/>
      <c r="AD136" s="2722" t="s">
        <v>5014</v>
      </c>
      <c r="AE136" s="2723" t="s">
        <v>5015</v>
      </c>
      <c r="AF136" s="2724">
        <v>205</v>
      </c>
      <c r="AG136" s="2725">
        <v>181</v>
      </c>
      <c r="AH136" s="2726">
        <v>205</v>
      </c>
      <c r="AI136"/>
      <c r="AJ136" s="3852"/>
      <c r="AK136" s="2739" t="s">
        <v>5016</v>
      </c>
      <c r="AL136" s="2723" t="s">
        <v>5017</v>
      </c>
      <c r="AM136" s="2724">
        <v>142</v>
      </c>
      <c r="AN136" s="2725">
        <v>130</v>
      </c>
      <c r="AO136" s="2726">
        <v>121</v>
      </c>
      <c r="AQ136" s="5">
        <v>1</v>
      </c>
    </row>
    <row r="137" spans="11:43" ht="21" customHeight="1">
      <c r="V137" s="3853"/>
      <c r="W137" s="2732" t="s">
        <v>5018</v>
      </c>
      <c r="X137" s="2733" t="s">
        <v>5019</v>
      </c>
      <c r="Y137" s="2734">
        <v>65</v>
      </c>
      <c r="Z137" s="2735">
        <v>86</v>
      </c>
      <c r="AA137" s="2736">
        <v>197</v>
      </c>
      <c r="AB137"/>
      <c r="AC137" s="3854"/>
      <c r="AD137" s="2722" t="s">
        <v>5020</v>
      </c>
      <c r="AE137" s="2723" t="s">
        <v>5021</v>
      </c>
      <c r="AF137" s="2724">
        <v>221</v>
      </c>
      <c r="AG137" s="2725">
        <v>160</v>
      </c>
      <c r="AH137" s="2726">
        <v>221</v>
      </c>
      <c r="AI137"/>
      <c r="AJ137" s="3855"/>
      <c r="AK137" s="2728" t="s">
        <v>5022</v>
      </c>
      <c r="AL137" s="2723" t="s">
        <v>5023</v>
      </c>
      <c r="AM137" s="2724">
        <v>139</v>
      </c>
      <c r="AN137" s="2725">
        <v>119</v>
      </c>
      <c r="AO137" s="2726">
        <v>101</v>
      </c>
      <c r="AQ137" s="5">
        <v>1</v>
      </c>
    </row>
    <row r="138" spans="11:43" ht="21" customHeight="1">
      <c r="V138" s="3856"/>
      <c r="W138" s="2753" t="s">
        <v>5024</v>
      </c>
      <c r="X138" s="2733" t="s">
        <v>5025</v>
      </c>
      <c r="Y138" s="2734">
        <v>104</v>
      </c>
      <c r="Z138" s="2735">
        <v>111</v>
      </c>
      <c r="AA138" s="2736">
        <v>140</v>
      </c>
      <c r="AB138"/>
      <c r="AC138" s="3857"/>
      <c r="AD138" s="2722" t="s">
        <v>5026</v>
      </c>
      <c r="AE138" s="2723" t="s">
        <v>5027</v>
      </c>
      <c r="AF138" s="2724">
        <v>216</v>
      </c>
      <c r="AG138" s="2725">
        <v>191</v>
      </c>
      <c r="AH138" s="2726">
        <v>216</v>
      </c>
      <c r="AI138"/>
      <c r="AJ138" s="3858"/>
      <c r="AK138" s="2739" t="s">
        <v>5028</v>
      </c>
      <c r="AL138" s="2723" t="s">
        <v>5029</v>
      </c>
      <c r="AM138" s="2724">
        <v>153</v>
      </c>
      <c r="AN138" s="2725">
        <v>101</v>
      </c>
      <c r="AO138" s="2726">
        <v>21</v>
      </c>
      <c r="AQ138" s="5">
        <v>1</v>
      </c>
    </row>
    <row r="139" spans="11:43" ht="21" customHeight="1">
      <c r="V139" s="3859"/>
      <c r="W139" s="2753" t="s">
        <v>5030</v>
      </c>
      <c r="X139" s="2733" t="s">
        <v>5031</v>
      </c>
      <c r="Y139" s="2734">
        <v>0</v>
      </c>
      <c r="Z139" s="2735">
        <v>51</v>
      </c>
      <c r="AA139" s="2736">
        <v>153</v>
      </c>
      <c r="AB139"/>
      <c r="AC139" s="3860"/>
      <c r="AD139" s="2722" t="s">
        <v>5032</v>
      </c>
      <c r="AE139" s="2723" t="s">
        <v>5033</v>
      </c>
      <c r="AF139" s="2724">
        <v>255</v>
      </c>
      <c r="AG139" s="2725">
        <v>131</v>
      </c>
      <c r="AH139" s="2726">
        <v>250</v>
      </c>
      <c r="AI139"/>
      <c r="AJ139" s="3861"/>
      <c r="AK139" s="2739" t="s">
        <v>5034</v>
      </c>
      <c r="AL139" s="2723" t="s">
        <v>5035</v>
      </c>
      <c r="AM139" s="2724">
        <v>143</v>
      </c>
      <c r="AN139" s="2725">
        <v>89</v>
      </c>
      <c r="AO139" s="2726">
        <v>34</v>
      </c>
      <c r="AQ139" s="5">
        <v>1</v>
      </c>
    </row>
    <row r="140" spans="11:43" ht="21" customHeight="1">
      <c r="V140" s="3862"/>
      <c r="W140" s="2732" t="s">
        <v>5036</v>
      </c>
      <c r="X140" s="2733" t="s">
        <v>5037</v>
      </c>
      <c r="Y140" s="2734">
        <v>39</v>
      </c>
      <c r="Z140" s="2735">
        <v>64</v>
      </c>
      <c r="AA140" s="2736">
        <v>139</v>
      </c>
      <c r="AB140"/>
      <c r="AC140" s="3863"/>
      <c r="AD140" s="2722" t="s">
        <v>5038</v>
      </c>
      <c r="AE140" s="2723" t="s">
        <v>5039</v>
      </c>
      <c r="AF140" s="2724">
        <v>234</v>
      </c>
      <c r="AG140" s="2725">
        <v>173</v>
      </c>
      <c r="AH140" s="2726">
        <v>234</v>
      </c>
      <c r="AI140"/>
      <c r="AJ140" s="3864"/>
      <c r="AK140" s="2728" t="s">
        <v>5040</v>
      </c>
      <c r="AL140" s="2723" t="s">
        <v>5041</v>
      </c>
      <c r="AM140" s="2724">
        <v>139</v>
      </c>
      <c r="AN140" s="2725">
        <v>90</v>
      </c>
      <c r="AO140" s="2726">
        <v>43</v>
      </c>
      <c r="AQ140" s="5">
        <v>1</v>
      </c>
    </row>
    <row r="141" spans="11:43" ht="21" customHeight="1">
      <c r="V141" s="3865"/>
      <c r="W141" s="2753" t="s">
        <v>5042</v>
      </c>
      <c r="X141" s="2733" t="s">
        <v>5043</v>
      </c>
      <c r="Y141" s="2734">
        <v>76</v>
      </c>
      <c r="Z141" s="2735">
        <v>81</v>
      </c>
      <c r="AA141" s="2736">
        <v>109</v>
      </c>
      <c r="AB141"/>
      <c r="AC141" s="3866"/>
      <c r="AD141" s="2722" t="s">
        <v>5044</v>
      </c>
      <c r="AE141" s="2723" t="s">
        <v>5045</v>
      </c>
      <c r="AF141" s="2724">
        <v>238</v>
      </c>
      <c r="AG141" s="2725">
        <v>174</v>
      </c>
      <c r="AH141" s="2726">
        <v>238</v>
      </c>
      <c r="AI141"/>
      <c r="AJ141" s="3867"/>
      <c r="AK141" s="2728" t="s">
        <v>5046</v>
      </c>
      <c r="AL141" s="2723" t="s">
        <v>5047</v>
      </c>
      <c r="AM141" s="2724">
        <v>139</v>
      </c>
      <c r="AN141" s="2725">
        <v>90</v>
      </c>
      <c r="AO141" s="2726">
        <v>0</v>
      </c>
      <c r="AQ141" s="5">
        <v>1</v>
      </c>
    </row>
    <row r="142" spans="11:43" ht="21" customHeight="1">
      <c r="V142" s="3868"/>
      <c r="W142" s="2732" t="s">
        <v>5048</v>
      </c>
      <c r="X142" s="2733" t="s">
        <v>5049</v>
      </c>
      <c r="Y142" s="2734">
        <v>0</v>
      </c>
      <c r="Z142" s="2735">
        <v>34</v>
      </c>
      <c r="AA142" s="2736">
        <v>102</v>
      </c>
      <c r="AB142"/>
      <c r="AC142" s="3869"/>
      <c r="AD142" s="2722" t="s">
        <v>5050</v>
      </c>
      <c r="AE142" s="2723" t="s">
        <v>5051</v>
      </c>
      <c r="AF142" s="2724">
        <v>255</v>
      </c>
      <c r="AG142" s="2725">
        <v>187</v>
      </c>
      <c r="AH142" s="2726">
        <v>255</v>
      </c>
      <c r="AI142"/>
      <c r="AJ142" s="3870"/>
      <c r="AK142" s="2739" t="s">
        <v>5052</v>
      </c>
      <c r="AL142" s="2723" t="s">
        <v>5053</v>
      </c>
      <c r="AM142" s="2724">
        <v>135</v>
      </c>
      <c r="AN142" s="2725">
        <v>89</v>
      </c>
      <c r="AO142" s="2726">
        <v>26</v>
      </c>
      <c r="AQ142" s="5">
        <v>1</v>
      </c>
    </row>
    <row r="143" spans="11:43" ht="21" customHeight="1">
      <c r="V143" s="3871"/>
      <c r="W143" s="2753" t="s">
        <v>5054</v>
      </c>
      <c r="X143" s="2733" t="s">
        <v>5055</v>
      </c>
      <c r="Y143" s="2734">
        <v>102</v>
      </c>
      <c r="Z143" s="2735">
        <v>0</v>
      </c>
      <c r="AA143" s="2736">
        <v>255</v>
      </c>
      <c r="AB143"/>
      <c r="AC143" s="3872"/>
      <c r="AD143" s="2722" t="s">
        <v>5056</v>
      </c>
      <c r="AE143" s="2723" t="s">
        <v>5057</v>
      </c>
      <c r="AF143" s="2724">
        <v>238</v>
      </c>
      <c r="AG143" s="2725">
        <v>210</v>
      </c>
      <c r="AH143" s="2726">
        <v>238</v>
      </c>
      <c r="AI143"/>
      <c r="AJ143" s="3873"/>
      <c r="AK143" s="2739" t="s">
        <v>5058</v>
      </c>
      <c r="AL143" s="2723" t="s">
        <v>5059</v>
      </c>
      <c r="AM143" s="2724">
        <v>126</v>
      </c>
      <c r="AN143" s="2725">
        <v>88</v>
      </c>
      <c r="AO143" s="2726">
        <v>53</v>
      </c>
      <c r="AQ143" s="5">
        <v>1</v>
      </c>
    </row>
    <row r="144" spans="11:43" ht="21" customHeight="1">
      <c r="V144" s="3874"/>
      <c r="W144" s="2732" t="s">
        <v>5060</v>
      </c>
      <c r="X144" s="2733" t="s">
        <v>5061</v>
      </c>
      <c r="Y144" s="2734">
        <v>123</v>
      </c>
      <c r="Z144" s="2735">
        <v>104</v>
      </c>
      <c r="AA144" s="2736">
        <v>238</v>
      </c>
      <c r="AB144"/>
      <c r="AC144" s="3875"/>
      <c r="AD144" s="2722" t="s">
        <v>5062</v>
      </c>
      <c r="AE144" s="2723" t="s">
        <v>5063</v>
      </c>
      <c r="AF144" s="2724">
        <v>255</v>
      </c>
      <c r="AG144" s="2725">
        <v>225</v>
      </c>
      <c r="AH144" s="2726">
        <v>255</v>
      </c>
      <c r="AI144"/>
      <c r="AJ144" s="3876"/>
      <c r="AK144" s="2739" t="s">
        <v>5064</v>
      </c>
      <c r="AL144" s="2723" t="s">
        <v>5065</v>
      </c>
      <c r="AM144" s="2724">
        <v>133</v>
      </c>
      <c r="AN144" s="2725">
        <v>83</v>
      </c>
      <c r="AO144" s="2726">
        <v>15</v>
      </c>
      <c r="AQ144" s="5">
        <v>1</v>
      </c>
    </row>
    <row r="145" spans="22:43" ht="21" customHeight="1">
      <c r="V145" s="3877"/>
      <c r="W145" s="2753" t="s">
        <v>5066</v>
      </c>
      <c r="X145" s="2733" t="s">
        <v>5067</v>
      </c>
      <c r="Y145" s="2734">
        <v>150</v>
      </c>
      <c r="Z145" s="2735">
        <v>131</v>
      </c>
      <c r="AA145" s="2736">
        <v>236</v>
      </c>
      <c r="AB145"/>
      <c r="AC145" s="3878"/>
      <c r="AD145" s="2722" t="s">
        <v>5068</v>
      </c>
      <c r="AE145" s="2723" t="s">
        <v>5069</v>
      </c>
      <c r="AF145" s="2724">
        <v>205</v>
      </c>
      <c r="AG145" s="2725">
        <v>150</v>
      </c>
      <c r="AH145" s="2726">
        <v>205</v>
      </c>
      <c r="AI145"/>
      <c r="AJ145" s="3879"/>
      <c r="AK145" s="2739" t="s">
        <v>5070</v>
      </c>
      <c r="AL145" s="2723" t="s">
        <v>5071</v>
      </c>
      <c r="AM145" s="2724">
        <v>97</v>
      </c>
      <c r="AN145" s="2725">
        <v>75</v>
      </c>
      <c r="AO145" s="2726">
        <v>58</v>
      </c>
      <c r="AQ145" s="5">
        <v>1</v>
      </c>
    </row>
    <row r="146" spans="22:43" ht="21" customHeight="1">
      <c r="V146" s="3880"/>
      <c r="W146" s="2732" t="s">
        <v>5072</v>
      </c>
      <c r="X146" s="2733" t="s">
        <v>5073</v>
      </c>
      <c r="Y146" s="2734">
        <v>131</v>
      </c>
      <c r="Z146" s="2735">
        <v>111</v>
      </c>
      <c r="AA146" s="2736">
        <v>255</v>
      </c>
      <c r="AB146"/>
      <c r="AC146" s="3881"/>
      <c r="AD146" s="2722" t="s">
        <v>5074</v>
      </c>
      <c r="AE146" s="2723" t="s">
        <v>5075</v>
      </c>
      <c r="AF146" s="2724">
        <v>219</v>
      </c>
      <c r="AG146" s="2725">
        <v>112</v>
      </c>
      <c r="AH146" s="2726">
        <v>219</v>
      </c>
      <c r="AI146"/>
      <c r="AJ146" s="3882"/>
      <c r="AK146" s="2739" t="s">
        <v>5076</v>
      </c>
      <c r="AL146" s="2723" t="s">
        <v>5077</v>
      </c>
      <c r="AM146" s="2724">
        <v>106</v>
      </c>
      <c r="AN146" s="2725">
        <v>75</v>
      </c>
      <c r="AO146" s="2726">
        <v>33</v>
      </c>
      <c r="AQ146" s="5">
        <v>1</v>
      </c>
    </row>
    <row r="147" spans="22:43" ht="21" customHeight="1">
      <c r="V147" s="3883"/>
      <c r="W147" s="2732" t="s">
        <v>5078</v>
      </c>
      <c r="X147" s="2733" t="s">
        <v>5079</v>
      </c>
      <c r="Y147" s="2734">
        <v>132</v>
      </c>
      <c r="Z147" s="2735">
        <v>112</v>
      </c>
      <c r="AA147" s="2736">
        <v>255</v>
      </c>
      <c r="AB147"/>
      <c r="AC147" s="3884"/>
      <c r="AD147" s="2787" t="s">
        <v>5080</v>
      </c>
      <c r="AE147" s="2723" t="s">
        <v>5081</v>
      </c>
      <c r="AF147" s="2724">
        <v>218</v>
      </c>
      <c r="AG147" s="2725">
        <v>112</v>
      </c>
      <c r="AH147" s="2726">
        <v>214</v>
      </c>
      <c r="AI147"/>
      <c r="AJ147" s="3885"/>
      <c r="AK147" s="2739" t="s">
        <v>5082</v>
      </c>
      <c r="AL147" s="2723" t="s">
        <v>5083</v>
      </c>
      <c r="AM147" s="2724">
        <v>101</v>
      </c>
      <c r="AN147" s="2725">
        <v>69</v>
      </c>
      <c r="AO147" s="2726">
        <v>34</v>
      </c>
      <c r="AQ147" s="5">
        <v>1</v>
      </c>
    </row>
    <row r="148" spans="22:43" ht="21" customHeight="1">
      <c r="V148" s="3886"/>
      <c r="W148" s="2732" t="s">
        <v>5084</v>
      </c>
      <c r="X148" s="2733" t="s">
        <v>5085</v>
      </c>
      <c r="Y148" s="2734">
        <v>122</v>
      </c>
      <c r="Z148" s="2735">
        <v>103</v>
      </c>
      <c r="AA148" s="2736">
        <v>238</v>
      </c>
      <c r="AB148"/>
      <c r="AC148" s="3887"/>
      <c r="AD148" s="2722" t="s">
        <v>5086</v>
      </c>
      <c r="AE148" s="2723" t="s">
        <v>5087</v>
      </c>
      <c r="AF148" s="2724">
        <v>238</v>
      </c>
      <c r="AG148" s="2725">
        <v>0</v>
      </c>
      <c r="AH148" s="2726">
        <v>238</v>
      </c>
      <c r="AI148"/>
      <c r="AJ148" s="3888"/>
      <c r="AK148" s="2739" t="s">
        <v>5088</v>
      </c>
      <c r="AL148" s="2723" t="s">
        <v>5089</v>
      </c>
      <c r="AM148" s="2724">
        <v>91</v>
      </c>
      <c r="AN148" s="2725">
        <v>60</v>
      </c>
      <c r="AO148" s="2726">
        <v>17</v>
      </c>
      <c r="AQ148" s="5">
        <v>1</v>
      </c>
    </row>
    <row r="149" spans="22:43" ht="21" customHeight="1">
      <c r="V149" s="3889"/>
      <c r="W149" s="2753" t="s">
        <v>5090</v>
      </c>
      <c r="X149" s="2733" t="s">
        <v>5091</v>
      </c>
      <c r="Y149" s="2734">
        <v>121</v>
      </c>
      <c r="Z149" s="2735">
        <v>28</v>
      </c>
      <c r="AA149" s="2736">
        <v>248</v>
      </c>
      <c r="AB149"/>
      <c r="AC149" s="3890"/>
      <c r="AD149" s="2787" t="s">
        <v>5092</v>
      </c>
      <c r="AE149" s="2723" t="s">
        <v>5093</v>
      </c>
      <c r="AF149" s="2724">
        <v>212</v>
      </c>
      <c r="AG149" s="2725">
        <v>115</v>
      </c>
      <c r="AH149" s="2726">
        <v>212</v>
      </c>
      <c r="AI149"/>
      <c r="AJ149" s="3891"/>
      <c r="AK149" s="2739" t="s">
        <v>5094</v>
      </c>
      <c r="AL149" s="2723" t="s">
        <v>5095</v>
      </c>
      <c r="AM149" s="2724">
        <v>72</v>
      </c>
      <c r="AN149" s="2725">
        <v>60</v>
      </c>
      <c r="AO149" s="2726">
        <v>50</v>
      </c>
      <c r="AQ149" s="5">
        <v>1</v>
      </c>
    </row>
    <row r="150" spans="22:43" ht="21" customHeight="1">
      <c r="V150" s="3892"/>
      <c r="W150" s="2732" t="s">
        <v>5096</v>
      </c>
      <c r="X150" s="2733" t="s">
        <v>5097</v>
      </c>
      <c r="Y150" s="2734">
        <v>106</v>
      </c>
      <c r="Z150" s="2735">
        <v>90</v>
      </c>
      <c r="AA150" s="2736">
        <v>205</v>
      </c>
      <c r="AB150"/>
      <c r="AC150" s="3893"/>
      <c r="AD150" s="2722" t="s">
        <v>5098</v>
      </c>
      <c r="AE150" s="2723" t="s">
        <v>5099</v>
      </c>
      <c r="AF150" s="2724">
        <v>205</v>
      </c>
      <c r="AG150" s="2725">
        <v>105</v>
      </c>
      <c r="AH150" s="2726">
        <v>201</v>
      </c>
      <c r="AI150"/>
      <c r="AJ150" s="3894"/>
      <c r="AK150" s="2739" t="s">
        <v>5100</v>
      </c>
      <c r="AL150" s="2723" t="s">
        <v>5101</v>
      </c>
      <c r="AM150" s="2724">
        <v>75</v>
      </c>
      <c r="AN150" s="2725">
        <v>54</v>
      </c>
      <c r="AO150" s="2726">
        <v>33</v>
      </c>
      <c r="AQ150" s="5">
        <v>1</v>
      </c>
    </row>
    <row r="151" spans="22:43" ht="21" customHeight="1">
      <c r="V151" s="3895"/>
      <c r="W151" s="2732" t="s">
        <v>5102</v>
      </c>
      <c r="X151" s="2733" t="s">
        <v>5103</v>
      </c>
      <c r="Y151" s="2734">
        <v>105</v>
      </c>
      <c r="Z151" s="2735">
        <v>89</v>
      </c>
      <c r="AA151" s="2736">
        <v>205</v>
      </c>
      <c r="AB151"/>
      <c r="AC151" s="3896"/>
      <c r="AD151" s="2787" t="s">
        <v>5104</v>
      </c>
      <c r="AE151" s="2723" t="s">
        <v>5105</v>
      </c>
      <c r="AF151" s="2724">
        <v>170</v>
      </c>
      <c r="AG151" s="2725">
        <v>152</v>
      </c>
      <c r="AH151" s="2726">
        <v>169</v>
      </c>
      <c r="AI151"/>
      <c r="AJ151" s="3897"/>
      <c r="AK151" s="2739" t="s">
        <v>5106</v>
      </c>
      <c r="AL151" s="2723" t="s">
        <v>5107</v>
      </c>
      <c r="AM151" s="2724">
        <v>70</v>
      </c>
      <c r="AN151" s="2725">
        <v>46</v>
      </c>
      <c r="AO151" s="2726">
        <v>1</v>
      </c>
      <c r="AQ151" s="5">
        <v>1</v>
      </c>
    </row>
    <row r="152" spans="22:43" ht="21" customHeight="1">
      <c r="V152" s="3898"/>
      <c r="W152" s="2753" t="s">
        <v>5108</v>
      </c>
      <c r="X152" s="2733" t="s">
        <v>5109</v>
      </c>
      <c r="Y152" s="2734">
        <v>140</v>
      </c>
      <c r="Z152" s="2735">
        <v>130</v>
      </c>
      <c r="AA152" s="2736">
        <v>182</v>
      </c>
      <c r="AB152"/>
      <c r="AC152" s="3899"/>
      <c r="AD152" s="2722" t="s">
        <v>5110</v>
      </c>
      <c r="AE152" s="2723" t="s">
        <v>5111</v>
      </c>
      <c r="AF152" s="2724">
        <v>205</v>
      </c>
      <c r="AG152" s="2725">
        <v>0</v>
      </c>
      <c r="AH152" s="2726">
        <v>205</v>
      </c>
      <c r="AI152"/>
      <c r="AJ152" s="3900"/>
      <c r="AK152" s="2739" t="s">
        <v>5112</v>
      </c>
      <c r="AL152" s="2723" t="s">
        <v>5113</v>
      </c>
      <c r="AM152" s="2724">
        <v>45</v>
      </c>
      <c r="AN152" s="2725">
        <v>36</v>
      </c>
      <c r="AO152" s="2726">
        <v>30</v>
      </c>
      <c r="AQ152" s="5">
        <v>1</v>
      </c>
    </row>
    <row r="153" spans="22:43" ht="21" customHeight="1">
      <c r="V153" s="3901"/>
      <c r="W153" s="2753" t="s">
        <v>5114</v>
      </c>
      <c r="X153" s="2733" t="s">
        <v>5115</v>
      </c>
      <c r="Y153" s="2734">
        <v>150</v>
      </c>
      <c r="Z153" s="2735">
        <v>144</v>
      </c>
      <c r="AA153" s="2736">
        <v>171</v>
      </c>
      <c r="AB153"/>
      <c r="AC153" s="3902"/>
      <c r="AD153" s="2722" t="s">
        <v>5116</v>
      </c>
      <c r="AE153" s="2723" t="s">
        <v>5117</v>
      </c>
      <c r="AF153" s="2724">
        <v>159</v>
      </c>
      <c r="AG153" s="2725">
        <v>95</v>
      </c>
      <c r="AH153" s="2726">
        <v>159</v>
      </c>
      <c r="AI153"/>
      <c r="AJ153" s="3903"/>
      <c r="AK153" s="2739" t="s">
        <v>5118</v>
      </c>
      <c r="AL153" s="2723" t="s">
        <v>5119</v>
      </c>
      <c r="AM153" s="2724">
        <v>47</v>
      </c>
      <c r="AN153" s="2725">
        <v>30</v>
      </c>
      <c r="AO153" s="2726">
        <v>14</v>
      </c>
      <c r="AQ153" s="5">
        <v>1</v>
      </c>
    </row>
    <row r="154" spans="22:43" ht="21" customHeight="1">
      <c r="V154" s="3904"/>
      <c r="W154" s="2753" t="s">
        <v>5120</v>
      </c>
      <c r="X154" s="2733" t="s">
        <v>5121</v>
      </c>
      <c r="Y154" s="2734">
        <v>126</v>
      </c>
      <c r="Z154" s="2735">
        <v>115</v>
      </c>
      <c r="AA154" s="2736">
        <v>184</v>
      </c>
      <c r="AB154"/>
      <c r="AC154" s="3905"/>
      <c r="AD154" s="2722" t="s">
        <v>5122</v>
      </c>
      <c r="AE154" s="2723" t="s">
        <v>5123</v>
      </c>
      <c r="AF154" s="2724">
        <v>139</v>
      </c>
      <c r="AG154" s="2725">
        <v>123</v>
      </c>
      <c r="AH154" s="2726">
        <v>139</v>
      </c>
      <c r="AI154"/>
      <c r="AJ154" s="3906"/>
      <c r="AK154" s="2739" t="s">
        <v>5124</v>
      </c>
      <c r="AL154" s="2723" t="s">
        <v>5125</v>
      </c>
      <c r="AM154" s="2724">
        <v>19</v>
      </c>
      <c r="AN154" s="2725">
        <v>14</v>
      </c>
      <c r="AO154" s="2726">
        <v>10</v>
      </c>
      <c r="AQ154" s="5">
        <v>1</v>
      </c>
    </row>
    <row r="155" spans="22:43" ht="21" customHeight="1">
      <c r="V155" s="3907"/>
      <c r="W155" s="2753" t="s">
        <v>5126</v>
      </c>
      <c r="X155" s="2733" t="s">
        <v>5127</v>
      </c>
      <c r="Y155" s="2734">
        <v>96</v>
      </c>
      <c r="Z155" s="2735">
        <v>78</v>
      </c>
      <c r="AA155" s="2736">
        <v>151</v>
      </c>
      <c r="AB155"/>
      <c r="AC155" s="3908"/>
      <c r="AD155" s="2722" t="s">
        <v>5128</v>
      </c>
      <c r="AE155" s="2723" t="s">
        <v>5129</v>
      </c>
      <c r="AF155" s="2724">
        <v>139</v>
      </c>
      <c r="AG155" s="2725">
        <v>102</v>
      </c>
      <c r="AH155" s="2726">
        <v>139</v>
      </c>
      <c r="AI155"/>
      <c r="AJ155" s="3909"/>
      <c r="AK155" s="2739" t="s">
        <v>5130</v>
      </c>
      <c r="AL155" s="2723" t="s">
        <v>5131</v>
      </c>
      <c r="AM155" s="2724">
        <v>255</v>
      </c>
      <c r="AN155" s="2725">
        <v>0</v>
      </c>
      <c r="AO155" s="2726">
        <v>0</v>
      </c>
      <c r="AQ155" s="5">
        <v>1</v>
      </c>
    </row>
    <row r="156" spans="22:43" ht="21" customHeight="1">
      <c r="V156" s="3910"/>
      <c r="W156" s="2732" t="s">
        <v>5132</v>
      </c>
      <c r="X156" s="2733" t="s">
        <v>5133</v>
      </c>
      <c r="Y156" s="2734">
        <v>72</v>
      </c>
      <c r="Z156" s="2735">
        <v>61</v>
      </c>
      <c r="AA156" s="2736">
        <v>139</v>
      </c>
      <c r="AB156"/>
      <c r="AC156" s="3911"/>
      <c r="AD156" s="2787" t="s">
        <v>5134</v>
      </c>
      <c r="AE156" s="2723" t="s">
        <v>5135</v>
      </c>
      <c r="AF156" s="2724">
        <v>121</v>
      </c>
      <c r="AG156" s="2725">
        <v>104</v>
      </c>
      <c r="AH156" s="2726">
        <v>120</v>
      </c>
      <c r="AI156"/>
      <c r="AJ156" s="3912"/>
      <c r="AK156" s="2728" t="s">
        <v>5136</v>
      </c>
      <c r="AL156" s="2723" t="s">
        <v>5131</v>
      </c>
      <c r="AM156" s="2724">
        <v>255</v>
      </c>
      <c r="AN156" s="2725">
        <v>36</v>
      </c>
      <c r="AO156" s="2726">
        <v>0</v>
      </c>
      <c r="AQ156" s="5">
        <v>1</v>
      </c>
    </row>
    <row r="157" spans="22:43" ht="21" customHeight="1">
      <c r="V157" s="3913"/>
      <c r="W157" s="2732" t="s">
        <v>5137</v>
      </c>
      <c r="X157" s="2733" t="s">
        <v>5138</v>
      </c>
      <c r="Y157" s="2734">
        <v>71</v>
      </c>
      <c r="Z157" s="2735">
        <v>60</v>
      </c>
      <c r="AA157" s="2736">
        <v>139</v>
      </c>
      <c r="AB157"/>
      <c r="AC157" s="3914"/>
      <c r="AD157" s="2722" t="s">
        <v>5139</v>
      </c>
      <c r="AE157" s="2723" t="s">
        <v>5140</v>
      </c>
      <c r="AF157" s="2724">
        <v>139</v>
      </c>
      <c r="AG157" s="2725">
        <v>71</v>
      </c>
      <c r="AH157" s="2726">
        <v>137</v>
      </c>
      <c r="AI157"/>
      <c r="AJ157" s="3915"/>
      <c r="AK157" s="2728" t="s">
        <v>5141</v>
      </c>
      <c r="AL157" s="2723" t="s">
        <v>5131</v>
      </c>
      <c r="AM157" s="2724">
        <v>255</v>
      </c>
      <c r="AN157" s="2725">
        <v>69</v>
      </c>
      <c r="AO157" s="2726">
        <v>0</v>
      </c>
      <c r="AQ157" s="5">
        <v>1</v>
      </c>
    </row>
    <row r="158" spans="22:43" ht="21" customHeight="1">
      <c r="V158" s="3916"/>
      <c r="W158" s="2753" t="s">
        <v>5142</v>
      </c>
      <c r="X158" s="2733" t="s">
        <v>5143</v>
      </c>
      <c r="Y158" s="2734">
        <v>46</v>
      </c>
      <c r="Z158" s="2735">
        <v>0</v>
      </c>
      <c r="AA158" s="2736">
        <v>108</v>
      </c>
      <c r="AB158"/>
      <c r="AC158" s="3917"/>
      <c r="AD158" s="2722" t="s">
        <v>5144</v>
      </c>
      <c r="AE158" s="2723" t="s">
        <v>5145</v>
      </c>
      <c r="AF158" s="2724">
        <v>139</v>
      </c>
      <c r="AG158" s="2725">
        <v>0</v>
      </c>
      <c r="AH158" s="2726">
        <v>139</v>
      </c>
      <c r="AI158"/>
      <c r="AJ158" s="3918"/>
      <c r="AK158" s="2739" t="s">
        <v>5146</v>
      </c>
      <c r="AL158" s="2723" t="s">
        <v>5131</v>
      </c>
      <c r="AM158" s="2724">
        <v>255</v>
      </c>
      <c r="AN158" s="2725">
        <v>73</v>
      </c>
      <c r="AO158" s="2726">
        <v>1</v>
      </c>
      <c r="AQ158" s="5">
        <v>1</v>
      </c>
    </row>
    <row r="159" spans="22:43" ht="21" customHeight="1">
      <c r="V159" s="3919"/>
      <c r="W159" s="2732" t="s">
        <v>5147</v>
      </c>
      <c r="X159" s="2733" t="s">
        <v>5148</v>
      </c>
      <c r="Y159" s="2734">
        <v>188</v>
      </c>
      <c r="Z159" s="2735">
        <v>238</v>
      </c>
      <c r="AA159" s="2736">
        <v>104</v>
      </c>
      <c r="AB159"/>
      <c r="AC159" s="3920"/>
      <c r="AD159" s="2787" t="s">
        <v>5149</v>
      </c>
      <c r="AE159" s="2723" t="s">
        <v>5150</v>
      </c>
      <c r="AF159" s="2724">
        <v>128</v>
      </c>
      <c r="AG159" s="2725">
        <v>0</v>
      </c>
      <c r="AH159" s="2726">
        <v>128</v>
      </c>
      <c r="AI159"/>
      <c r="AJ159" s="3921"/>
      <c r="AK159" s="2739" t="s">
        <v>5151</v>
      </c>
      <c r="AL159" s="2723" t="s">
        <v>5152</v>
      </c>
      <c r="AM159" s="2724">
        <v>255</v>
      </c>
      <c r="AN159" s="2725">
        <v>9</v>
      </c>
      <c r="AO159" s="2726">
        <v>33</v>
      </c>
      <c r="AQ159" s="5">
        <v>1</v>
      </c>
    </row>
    <row r="160" spans="22:43" ht="21" customHeight="1">
      <c r="V160" s="3922"/>
      <c r="W160" s="2732" t="s">
        <v>5153</v>
      </c>
      <c r="X160" s="2733" t="s">
        <v>5154</v>
      </c>
      <c r="Y160" s="2734">
        <v>192</v>
      </c>
      <c r="Z160" s="2735">
        <v>255</v>
      </c>
      <c r="AA160" s="2736">
        <v>62</v>
      </c>
      <c r="AB160"/>
      <c r="AC160" s="3923"/>
      <c r="AD160" s="2722" t="s">
        <v>5155</v>
      </c>
      <c r="AE160" s="2723" t="s">
        <v>5156</v>
      </c>
      <c r="AF160" s="2724">
        <v>79</v>
      </c>
      <c r="AG160" s="2725">
        <v>47</v>
      </c>
      <c r="AH160" s="2726">
        <v>79</v>
      </c>
      <c r="AI160"/>
      <c r="AJ160" s="3924"/>
      <c r="AK160" s="2728" t="s">
        <v>5157</v>
      </c>
      <c r="AL160" s="2723" t="s">
        <v>5158</v>
      </c>
      <c r="AM160" s="2724">
        <v>255</v>
      </c>
      <c r="AN160" s="2725">
        <v>48</v>
      </c>
      <c r="AO160" s="2726">
        <v>48</v>
      </c>
      <c r="AQ160" s="5">
        <v>1</v>
      </c>
    </row>
    <row r="161" spans="1:43" ht="21" customHeight="1">
      <c r="V161" s="3925"/>
      <c r="W161" s="2753" t="s">
        <v>5159</v>
      </c>
      <c r="X161" s="2733" t="s">
        <v>5160</v>
      </c>
      <c r="Y161" s="2734">
        <v>190</v>
      </c>
      <c r="Z161" s="2735">
        <v>245</v>
      </c>
      <c r="AA161" s="2736">
        <v>116</v>
      </c>
      <c r="AB161"/>
      <c r="AC161" s="3926"/>
      <c r="AD161" s="2787" t="s">
        <v>5161</v>
      </c>
      <c r="AE161" s="2723" t="s">
        <v>5162</v>
      </c>
      <c r="AF161" s="2724">
        <v>41</v>
      </c>
      <c r="AG161" s="2725">
        <v>30</v>
      </c>
      <c r="AH161" s="2726">
        <v>41</v>
      </c>
      <c r="AI161"/>
      <c r="AJ161" s="3927"/>
      <c r="AK161" s="2728" t="s">
        <v>5163</v>
      </c>
      <c r="AL161" s="2723" t="s">
        <v>5164</v>
      </c>
      <c r="AM161" s="2724">
        <v>255</v>
      </c>
      <c r="AN161" s="2725">
        <v>64</v>
      </c>
      <c r="AO161" s="2726">
        <v>64</v>
      </c>
      <c r="AQ161" s="5">
        <v>1</v>
      </c>
    </row>
    <row r="162" spans="1:43" ht="21" customHeight="1">
      <c r="V162" s="3928"/>
      <c r="W162" s="2732" t="s">
        <v>5165</v>
      </c>
      <c r="X162" s="2733" t="s">
        <v>5166</v>
      </c>
      <c r="Y162" s="2734">
        <v>202</v>
      </c>
      <c r="Z162" s="2735">
        <v>255</v>
      </c>
      <c r="AA162" s="2736">
        <v>112</v>
      </c>
      <c r="AB162"/>
      <c r="AC162" s="3929"/>
      <c r="AD162" s="2787" t="s">
        <v>5167</v>
      </c>
      <c r="AE162" s="2723" t="s">
        <v>5168</v>
      </c>
      <c r="AF162" s="2724">
        <v>36</v>
      </c>
      <c r="AG162" s="2725">
        <v>33</v>
      </c>
      <c r="AH162" s="2726">
        <v>36</v>
      </c>
      <c r="AI162"/>
      <c r="AJ162" s="3930"/>
      <c r="AK162" s="2728" t="s">
        <v>5169</v>
      </c>
      <c r="AL162" s="2723" t="s">
        <v>5170</v>
      </c>
      <c r="AM162" s="2724">
        <v>255</v>
      </c>
      <c r="AN162" s="2725">
        <v>99</v>
      </c>
      <c r="AO162" s="2726">
        <v>71</v>
      </c>
      <c r="AQ162" s="5">
        <v>1</v>
      </c>
    </row>
    <row r="163" spans="1:43" ht="21" customHeight="1">
      <c r="V163" s="3931"/>
      <c r="W163" s="2753" t="s">
        <v>5171</v>
      </c>
      <c r="X163" s="2733" t="s">
        <v>5172</v>
      </c>
      <c r="Y163" s="2734">
        <v>251</v>
      </c>
      <c r="Z163" s="2735">
        <v>252</v>
      </c>
      <c r="AA163" s="2736">
        <v>250</v>
      </c>
      <c r="AB163"/>
      <c r="AC163" s="3932"/>
      <c r="AD163" s="2722" t="s">
        <v>5173</v>
      </c>
      <c r="AE163" s="2723" t="s">
        <v>5174</v>
      </c>
      <c r="AF163" s="2724">
        <v>227</v>
      </c>
      <c r="AG163" s="2725">
        <v>91</v>
      </c>
      <c r="AH163" s="2726">
        <v>216</v>
      </c>
      <c r="AI163"/>
      <c r="AJ163" s="3933"/>
      <c r="AK163" s="2739" t="s">
        <v>5175</v>
      </c>
      <c r="AL163" s="2723" t="s">
        <v>5176</v>
      </c>
      <c r="AM163" s="2724">
        <v>255</v>
      </c>
      <c r="AN163" s="2725">
        <v>94</v>
      </c>
      <c r="AO163" s="2726">
        <v>77</v>
      </c>
      <c r="AQ163" s="5">
        <v>1</v>
      </c>
    </row>
    <row r="164" spans="1:43" ht="21" customHeight="1">
      <c r="V164" s="3934"/>
      <c r="W164" s="2732" t="s">
        <v>5177</v>
      </c>
      <c r="X164" s="2733" t="s">
        <v>5178</v>
      </c>
      <c r="Y164" s="2734">
        <v>179</v>
      </c>
      <c r="Z164" s="2735">
        <v>238</v>
      </c>
      <c r="AA164" s="2736">
        <v>58</v>
      </c>
      <c r="AB164"/>
      <c r="AC164" s="3935"/>
      <c r="AD164" s="2787" t="s">
        <v>5179</v>
      </c>
      <c r="AE164" s="2723" t="s">
        <v>5180</v>
      </c>
      <c r="AF164" s="2724">
        <v>84</v>
      </c>
      <c r="AG164" s="2725">
        <v>25</v>
      </c>
      <c r="AH164" s="2726">
        <v>78</v>
      </c>
      <c r="AI164"/>
      <c r="AJ164" s="3936"/>
      <c r="AK164" s="2739" t="s">
        <v>5181</v>
      </c>
      <c r="AL164" s="2723" t="s">
        <v>5182</v>
      </c>
      <c r="AM164" s="2724">
        <v>252</v>
      </c>
      <c r="AN164" s="2725">
        <v>93</v>
      </c>
      <c r="AO164" s="2726">
        <v>93</v>
      </c>
      <c r="AQ164" s="5">
        <v>1</v>
      </c>
    </row>
    <row r="165" spans="1:43" ht="21" customHeight="1">
      <c r="A165" s="2"/>
      <c r="V165" s="3937"/>
      <c r="W165" s="2753" t="s">
        <v>5183</v>
      </c>
      <c r="X165" s="2733" t="s">
        <v>5184</v>
      </c>
      <c r="Y165" s="2734">
        <v>165</v>
      </c>
      <c r="Z165" s="2735">
        <v>209</v>
      </c>
      <c r="AA165" s="2736">
        <v>82</v>
      </c>
      <c r="AB165"/>
      <c r="AC165" s="3938"/>
      <c r="AD165" s="2739" t="s">
        <v>5185</v>
      </c>
      <c r="AE165" s="2723" t="s">
        <v>5186</v>
      </c>
      <c r="AF165" s="2724">
        <v>52</v>
      </c>
      <c r="AG165" s="2725">
        <v>23</v>
      </c>
      <c r="AH165" s="2726">
        <v>49</v>
      </c>
      <c r="AI165"/>
      <c r="AJ165" s="3939"/>
      <c r="AK165" s="2739" t="s">
        <v>5187</v>
      </c>
      <c r="AL165" s="2723" t="s">
        <v>5188</v>
      </c>
      <c r="AM165" s="2724">
        <v>217</v>
      </c>
      <c r="AN165" s="2725">
        <v>166</v>
      </c>
      <c r="AO165" s="2726">
        <v>169</v>
      </c>
      <c r="AQ165" s="5">
        <v>1</v>
      </c>
    </row>
    <row r="166" spans="1:43" ht="21" customHeight="1">
      <c r="V166" s="3940"/>
      <c r="W166" s="2732" t="s">
        <v>5189</v>
      </c>
      <c r="X166" s="2733" t="s">
        <v>5190</v>
      </c>
      <c r="Y166" s="2734">
        <v>162</v>
      </c>
      <c r="Z166" s="2735">
        <v>205</v>
      </c>
      <c r="AA166" s="2736">
        <v>90</v>
      </c>
      <c r="AB166"/>
      <c r="AC166" s="3941"/>
      <c r="AD166" s="2739" t="s">
        <v>5191</v>
      </c>
      <c r="AE166" s="2723" t="s">
        <v>5192</v>
      </c>
      <c r="AF166" s="2724">
        <v>213</v>
      </c>
      <c r="AG166" s="2725">
        <v>186</v>
      </c>
      <c r="AH166" s="2726">
        <v>219</v>
      </c>
      <c r="AI166"/>
      <c r="AJ166" s="3942"/>
      <c r="AK166" s="2728" t="s">
        <v>5193</v>
      </c>
      <c r="AL166" s="2723" t="s">
        <v>5194</v>
      </c>
      <c r="AM166" s="2724">
        <v>240</v>
      </c>
      <c r="AN166" s="2725">
        <v>128</v>
      </c>
      <c r="AO166" s="2726">
        <v>128</v>
      </c>
      <c r="AQ166" s="5">
        <v>1</v>
      </c>
    </row>
    <row r="167" spans="1:43" ht="21" customHeight="1">
      <c r="V167" s="3943"/>
      <c r="W167" s="2732" t="s">
        <v>5195</v>
      </c>
      <c r="X167" s="2733" t="s">
        <v>5196</v>
      </c>
      <c r="Y167" s="2734">
        <v>154</v>
      </c>
      <c r="Z167" s="2735">
        <v>205</v>
      </c>
      <c r="AA167" s="2736">
        <v>50</v>
      </c>
      <c r="AB167"/>
      <c r="AC167" s="3944"/>
      <c r="AD167" s="2739" t="s">
        <v>5197</v>
      </c>
      <c r="AE167" s="2723" t="s">
        <v>5198</v>
      </c>
      <c r="AF167" s="2724">
        <v>108</v>
      </c>
      <c r="AG167" s="2725">
        <v>2</v>
      </c>
      <c r="AH167" s="2726">
        <v>119</v>
      </c>
      <c r="AI167"/>
      <c r="AJ167" s="3945"/>
      <c r="AK167" s="2739" t="s">
        <v>5199</v>
      </c>
      <c r="AL167" s="2723" t="s">
        <v>5200</v>
      </c>
      <c r="AM167" s="2724">
        <v>222</v>
      </c>
      <c r="AN167" s="2725">
        <v>165</v>
      </c>
      <c r="AO167" s="2726">
        <v>164</v>
      </c>
      <c r="AQ167" s="5">
        <v>1</v>
      </c>
    </row>
    <row r="168" spans="1:43" ht="21" customHeight="1">
      <c r="V168" s="3946"/>
      <c r="W168" s="2732" t="s">
        <v>5201</v>
      </c>
      <c r="X168" s="2733" t="s">
        <v>5202</v>
      </c>
      <c r="Y168" s="2734">
        <v>153</v>
      </c>
      <c r="Z168" s="2735">
        <v>204</v>
      </c>
      <c r="AA168" s="2736">
        <v>50</v>
      </c>
      <c r="AB168"/>
      <c r="AC168" s="3947"/>
      <c r="AD168" s="2739" t="s">
        <v>5203</v>
      </c>
      <c r="AE168" s="2723" t="s">
        <v>5204</v>
      </c>
      <c r="AF168" s="2724">
        <v>48</v>
      </c>
      <c r="AG168" s="2725">
        <v>25</v>
      </c>
      <c r="AH168" s="2726">
        <v>52</v>
      </c>
      <c r="AI168"/>
      <c r="AJ168" s="3948"/>
      <c r="AK168" s="2739" t="s">
        <v>5205</v>
      </c>
      <c r="AL168" s="2723" t="s">
        <v>5206</v>
      </c>
      <c r="AM168" s="2724">
        <v>234</v>
      </c>
      <c r="AN168" s="2725">
        <v>147</v>
      </c>
      <c r="AO168" s="2726">
        <v>153</v>
      </c>
      <c r="AQ168" s="5">
        <v>1</v>
      </c>
    </row>
    <row r="169" spans="1:43" ht="21" customHeight="1">
      <c r="V169" s="3949"/>
      <c r="W169" s="2732" t="s">
        <v>5207</v>
      </c>
      <c r="X169" s="2733" t="s">
        <v>5208</v>
      </c>
      <c r="Y169" s="2734">
        <v>110</v>
      </c>
      <c r="Z169" s="2735">
        <v>139</v>
      </c>
      <c r="AA169" s="2736">
        <v>61</v>
      </c>
      <c r="AB169"/>
      <c r="AC169" s="3950"/>
      <c r="AD169" s="2728" t="s">
        <v>5096</v>
      </c>
      <c r="AE169" s="2723" t="s">
        <v>5209</v>
      </c>
      <c r="AF169" s="2724">
        <v>0</v>
      </c>
      <c r="AG169" s="2725">
        <v>127</v>
      </c>
      <c r="AH169" s="2726">
        <v>255</v>
      </c>
      <c r="AI169"/>
      <c r="AJ169" s="3951"/>
      <c r="AK169" s="2728" t="s">
        <v>5210</v>
      </c>
      <c r="AL169" s="2723" t="s">
        <v>5211</v>
      </c>
      <c r="AM169" s="2724">
        <v>250</v>
      </c>
      <c r="AN169" s="2725">
        <v>128</v>
      </c>
      <c r="AO169" s="2726">
        <v>114</v>
      </c>
      <c r="AQ169" s="5">
        <v>1</v>
      </c>
    </row>
    <row r="170" spans="1:43" ht="21" customHeight="1">
      <c r="V170" s="3952"/>
      <c r="W170" s="2732" t="s">
        <v>5212</v>
      </c>
      <c r="X170" s="2733" t="s">
        <v>5213</v>
      </c>
      <c r="Y170" s="2734">
        <v>107</v>
      </c>
      <c r="Z170" s="2735">
        <v>142</v>
      </c>
      <c r="AA170" s="2736">
        <v>35</v>
      </c>
      <c r="AB170"/>
      <c r="AC170" s="3953"/>
      <c r="AD170" s="2728" t="s">
        <v>5214</v>
      </c>
      <c r="AE170" s="2723" t="s">
        <v>5215</v>
      </c>
      <c r="AF170" s="2724">
        <v>30</v>
      </c>
      <c r="AG170" s="2725">
        <v>144</v>
      </c>
      <c r="AH170" s="2726">
        <v>255</v>
      </c>
      <c r="AI170"/>
      <c r="AJ170" s="3954"/>
      <c r="AK170" s="2739" t="s">
        <v>5216</v>
      </c>
      <c r="AL170" s="2723" t="s">
        <v>5217</v>
      </c>
      <c r="AM170" s="2724">
        <v>248</v>
      </c>
      <c r="AN170" s="2725">
        <v>131</v>
      </c>
      <c r="AO170" s="2726">
        <v>121</v>
      </c>
      <c r="AQ170" s="5">
        <v>1</v>
      </c>
    </row>
    <row r="171" spans="1:43" ht="21" customHeight="1">
      <c r="V171" s="3955"/>
      <c r="W171" s="2732" t="s">
        <v>5218</v>
      </c>
      <c r="X171" s="2733" t="s">
        <v>5219</v>
      </c>
      <c r="Y171" s="2734">
        <v>105</v>
      </c>
      <c r="Z171" s="2735">
        <v>139</v>
      </c>
      <c r="AA171" s="2736">
        <v>34</v>
      </c>
      <c r="AB171"/>
      <c r="AC171" s="3956"/>
      <c r="AD171" s="2739" t="s">
        <v>5220</v>
      </c>
      <c r="AE171" s="2723" t="s">
        <v>5221</v>
      </c>
      <c r="AF171" s="2724">
        <v>192</v>
      </c>
      <c r="AG171" s="2725">
        <v>200</v>
      </c>
      <c r="AH171" s="2726">
        <v>225</v>
      </c>
      <c r="AI171"/>
      <c r="AJ171" s="3957"/>
      <c r="AK171" s="2728" t="s">
        <v>5222</v>
      </c>
      <c r="AL171" s="2723" t="s">
        <v>5223</v>
      </c>
      <c r="AM171" s="2724">
        <v>255</v>
      </c>
      <c r="AN171" s="2725">
        <v>106</v>
      </c>
      <c r="AO171" s="2726">
        <v>106</v>
      </c>
      <c r="AQ171" s="5">
        <v>1</v>
      </c>
    </row>
    <row r="172" spans="1:43" ht="21" customHeight="1">
      <c r="V172" s="3958"/>
      <c r="W172" s="2732" t="s">
        <v>5224</v>
      </c>
      <c r="X172" s="2733" t="s">
        <v>5225</v>
      </c>
      <c r="Y172" s="2734">
        <v>85</v>
      </c>
      <c r="Z172" s="2735">
        <v>107</v>
      </c>
      <c r="AA172" s="2736">
        <v>47</v>
      </c>
      <c r="AB172"/>
      <c r="AC172" s="3959"/>
      <c r="AD172" s="2728" t="s">
        <v>5226</v>
      </c>
      <c r="AE172" s="2723" t="s">
        <v>5227</v>
      </c>
      <c r="AF172" s="2724">
        <v>100</v>
      </c>
      <c r="AG172" s="2725">
        <v>149</v>
      </c>
      <c r="AH172" s="2726">
        <v>237</v>
      </c>
      <c r="AI172"/>
      <c r="AJ172" s="3960"/>
      <c r="AK172" s="2739" t="s">
        <v>5228</v>
      </c>
      <c r="AL172" s="2723" t="s">
        <v>5229</v>
      </c>
      <c r="AM172" s="2724">
        <v>255</v>
      </c>
      <c r="AN172" s="2725">
        <v>111</v>
      </c>
      <c r="AO172" s="2726">
        <v>125</v>
      </c>
      <c r="AQ172" s="5">
        <v>1</v>
      </c>
    </row>
    <row r="173" spans="1:43" ht="21" customHeight="1">
      <c r="V173" s="3961"/>
      <c r="W173" s="2753" t="s">
        <v>5230</v>
      </c>
      <c r="X173" s="2733" t="s">
        <v>5231</v>
      </c>
      <c r="Y173" s="2734">
        <v>49</v>
      </c>
      <c r="Z173" s="2735">
        <v>54</v>
      </c>
      <c r="AA173" s="2736">
        <v>43</v>
      </c>
      <c r="AB173"/>
      <c r="AC173" s="3962"/>
      <c r="AD173" s="2728" t="s">
        <v>5232</v>
      </c>
      <c r="AE173" s="2723" t="s">
        <v>5233</v>
      </c>
      <c r="AF173" s="2724">
        <v>112</v>
      </c>
      <c r="AG173" s="2725">
        <v>147</v>
      </c>
      <c r="AH173" s="2726">
        <v>219</v>
      </c>
      <c r="AI173"/>
      <c r="AJ173" s="3963"/>
      <c r="AK173" s="2728" t="s">
        <v>5234</v>
      </c>
      <c r="AL173" s="2723" t="s">
        <v>5235</v>
      </c>
      <c r="AM173" s="2724">
        <v>205</v>
      </c>
      <c r="AN173" s="2725">
        <v>201</v>
      </c>
      <c r="AO173" s="2726">
        <v>201</v>
      </c>
      <c r="AQ173" s="5">
        <v>1</v>
      </c>
    </row>
    <row r="174" spans="1:43" ht="21" customHeight="1">
      <c r="V174" s="3964"/>
      <c r="W174" s="2753" t="s">
        <v>5236</v>
      </c>
      <c r="X174" s="2733" t="s">
        <v>5237</v>
      </c>
      <c r="Y174" s="2734">
        <v>194</v>
      </c>
      <c r="Z174" s="2735">
        <v>247</v>
      </c>
      <c r="AA174" s="2736">
        <v>50</v>
      </c>
      <c r="AB174"/>
      <c r="AC174" s="3965"/>
      <c r="AD174" s="2728" t="s">
        <v>5238</v>
      </c>
      <c r="AE174" s="2723" t="s">
        <v>5239</v>
      </c>
      <c r="AF174" s="2724">
        <v>28</v>
      </c>
      <c r="AG174" s="2725">
        <v>134</v>
      </c>
      <c r="AH174" s="2726">
        <v>238</v>
      </c>
      <c r="AI174"/>
      <c r="AJ174" s="3966"/>
      <c r="AK174" s="2739" t="s">
        <v>5240</v>
      </c>
      <c r="AL174" s="2723" t="s">
        <v>5241</v>
      </c>
      <c r="AM174" s="2724">
        <v>254</v>
      </c>
      <c r="AN174" s="2725">
        <v>150</v>
      </c>
      <c r="AO174" s="2726">
        <v>160</v>
      </c>
      <c r="AQ174" s="5">
        <v>1</v>
      </c>
    </row>
    <row r="175" spans="1:43" ht="21" customHeight="1">
      <c r="V175" s="3967"/>
      <c r="W175" s="2753" t="s">
        <v>5242</v>
      </c>
      <c r="X175" s="2733" t="s">
        <v>5243</v>
      </c>
      <c r="Y175" s="2734">
        <v>141</v>
      </c>
      <c r="Z175" s="2735">
        <v>182</v>
      </c>
      <c r="AA175" s="2736">
        <v>0</v>
      </c>
      <c r="AB175"/>
      <c r="AC175" s="3968"/>
      <c r="AD175" s="2739" t="s">
        <v>5244</v>
      </c>
      <c r="AE175" s="2723" t="s">
        <v>5245</v>
      </c>
      <c r="AF175" s="2724">
        <v>142</v>
      </c>
      <c r="AG175" s="2725">
        <v>162</v>
      </c>
      <c r="AH175" s="2726">
        <v>198</v>
      </c>
      <c r="AI175"/>
      <c r="AJ175" s="3969"/>
      <c r="AK175" s="2728" t="s">
        <v>5246</v>
      </c>
      <c r="AL175" s="2723" t="s">
        <v>5247</v>
      </c>
      <c r="AM175" s="2724">
        <v>238</v>
      </c>
      <c r="AN175" s="2725">
        <v>180</v>
      </c>
      <c r="AO175" s="2726">
        <v>180</v>
      </c>
      <c r="AQ175" s="5">
        <v>1</v>
      </c>
    </row>
    <row r="176" spans="1:43" ht="21" customHeight="1">
      <c r="V176" s="3970"/>
      <c r="W176" s="2753" t="s">
        <v>5248</v>
      </c>
      <c r="X176" s="2733" t="s">
        <v>5249</v>
      </c>
      <c r="Y176" s="2734">
        <v>126</v>
      </c>
      <c r="Z176" s="2735">
        <v>159</v>
      </c>
      <c r="AA176" s="2736">
        <v>46</v>
      </c>
      <c r="AB176"/>
      <c r="AC176" s="3971"/>
      <c r="AD176" s="2739" t="s">
        <v>5250</v>
      </c>
      <c r="AE176" s="2723" t="s">
        <v>5251</v>
      </c>
      <c r="AF176" s="2724">
        <v>49</v>
      </c>
      <c r="AG176" s="2725">
        <v>140</v>
      </c>
      <c r="AH176" s="2726">
        <v>231</v>
      </c>
      <c r="AI176"/>
      <c r="AJ176" s="3972"/>
      <c r="AK176" s="2739" t="s">
        <v>5252</v>
      </c>
      <c r="AL176" s="2723" t="s">
        <v>5253</v>
      </c>
      <c r="AM176" s="2724">
        <v>244</v>
      </c>
      <c r="AN176" s="2725">
        <v>194</v>
      </c>
      <c r="AO176" s="2726">
        <v>194</v>
      </c>
      <c r="AQ176" s="5">
        <v>1</v>
      </c>
    </row>
    <row r="177" spans="22:43" ht="21" customHeight="1">
      <c r="V177" s="3973"/>
      <c r="W177" s="2753" t="s">
        <v>5254</v>
      </c>
      <c r="X177" s="2733" t="s">
        <v>5255</v>
      </c>
      <c r="Y177" s="2734">
        <v>112</v>
      </c>
      <c r="Z177" s="2735">
        <v>141</v>
      </c>
      <c r="AA177" s="2736">
        <v>35</v>
      </c>
      <c r="AB177"/>
      <c r="AC177" s="3974"/>
      <c r="AD177" s="2728" t="s">
        <v>5256</v>
      </c>
      <c r="AE177" s="2723" t="s">
        <v>5257</v>
      </c>
      <c r="AF177" s="2724">
        <v>24</v>
      </c>
      <c r="AG177" s="2725">
        <v>116</v>
      </c>
      <c r="AH177" s="2726">
        <v>205</v>
      </c>
      <c r="AI177"/>
      <c r="AJ177" s="3975"/>
      <c r="AK177" s="2739" t="s">
        <v>5258</v>
      </c>
      <c r="AL177" s="2723" t="s">
        <v>5259</v>
      </c>
      <c r="AM177" s="2724">
        <v>255</v>
      </c>
      <c r="AN177" s="2725">
        <v>181</v>
      </c>
      <c r="AO177" s="2726">
        <v>186</v>
      </c>
      <c r="AQ177" s="5">
        <v>1</v>
      </c>
    </row>
    <row r="178" spans="22:43" ht="21" customHeight="1">
      <c r="V178" s="3976"/>
      <c r="W178" s="2753" t="s">
        <v>5260</v>
      </c>
      <c r="X178" s="2733" t="s">
        <v>5261</v>
      </c>
      <c r="Y178" s="2734">
        <v>89</v>
      </c>
      <c r="Z178" s="2735">
        <v>102</v>
      </c>
      <c r="AA178" s="2736">
        <v>67</v>
      </c>
      <c r="AB178"/>
      <c r="AC178" s="3977"/>
      <c r="AD178" s="2739" t="s">
        <v>5262</v>
      </c>
      <c r="AE178" s="2723" t="s">
        <v>5263</v>
      </c>
      <c r="AF178" s="2724">
        <v>21</v>
      </c>
      <c r="AG178" s="2725">
        <v>96</v>
      </c>
      <c r="AH178" s="2726">
        <v>189</v>
      </c>
      <c r="AI178"/>
      <c r="AJ178" s="3978"/>
      <c r="AK178" s="2739" t="s">
        <v>5264</v>
      </c>
      <c r="AL178" s="2723" t="s">
        <v>5265</v>
      </c>
      <c r="AM178" s="2724">
        <v>234</v>
      </c>
      <c r="AN178" s="2725">
        <v>216</v>
      </c>
      <c r="AO178" s="2726">
        <v>215</v>
      </c>
      <c r="AQ178" s="5">
        <v>1</v>
      </c>
    </row>
    <row r="179" spans="22:43" ht="21" customHeight="1">
      <c r="V179" s="3979"/>
      <c r="W179" s="2753" t="s">
        <v>5266</v>
      </c>
      <c r="X179" s="2733" t="s">
        <v>5267</v>
      </c>
      <c r="Y179" s="2734">
        <v>81</v>
      </c>
      <c r="Z179" s="2735">
        <v>87</v>
      </c>
      <c r="AA179" s="2736">
        <v>68</v>
      </c>
      <c r="AB179"/>
      <c r="AC179" s="3980"/>
      <c r="AD179" s="2739" t="s">
        <v>5268</v>
      </c>
      <c r="AE179" s="2723" t="s">
        <v>5269</v>
      </c>
      <c r="AF179" s="2724">
        <v>84</v>
      </c>
      <c r="AG179" s="2725">
        <v>114</v>
      </c>
      <c r="AH179" s="2726">
        <v>174</v>
      </c>
      <c r="AI179"/>
      <c r="AJ179" s="3981"/>
      <c r="AK179" s="2728" t="s">
        <v>5270</v>
      </c>
      <c r="AL179" s="2723" t="s">
        <v>5271</v>
      </c>
      <c r="AM179" s="2724">
        <v>255</v>
      </c>
      <c r="AN179" s="2725">
        <v>193</v>
      </c>
      <c r="AO179" s="2726">
        <v>193</v>
      </c>
      <c r="AQ179" s="5">
        <v>1</v>
      </c>
    </row>
    <row r="180" spans="22:43" ht="21" customHeight="1">
      <c r="V180" s="3982"/>
      <c r="W180" s="2753" t="s">
        <v>5272</v>
      </c>
      <c r="X180" s="2733" t="s">
        <v>5273</v>
      </c>
      <c r="Y180" s="2734">
        <v>74</v>
      </c>
      <c r="Z180" s="2735">
        <v>93</v>
      </c>
      <c r="AA180" s="2736">
        <v>35</v>
      </c>
      <c r="AB180"/>
      <c r="AC180" s="3983"/>
      <c r="AD180" s="2739" t="s">
        <v>5274</v>
      </c>
      <c r="AE180" s="2723" t="s">
        <v>5275</v>
      </c>
      <c r="AF180" s="2724">
        <v>38</v>
      </c>
      <c r="AG180" s="2725">
        <v>97</v>
      </c>
      <c r="AH180" s="2726">
        <v>156</v>
      </c>
      <c r="AI180"/>
      <c r="AJ180" s="3984"/>
      <c r="AK180" s="2739" t="s">
        <v>5276</v>
      </c>
      <c r="AL180" s="2723" t="s">
        <v>5277</v>
      </c>
      <c r="AM180" s="2724">
        <v>249</v>
      </c>
      <c r="AN180" s="2725">
        <v>204</v>
      </c>
      <c r="AO180" s="2726">
        <v>202</v>
      </c>
      <c r="AQ180" s="5">
        <v>1</v>
      </c>
    </row>
    <row r="181" spans="22:43" ht="21" customHeight="1">
      <c r="V181" s="3985"/>
      <c r="W181" s="2753" t="s">
        <v>5278</v>
      </c>
      <c r="X181" s="2733" t="s">
        <v>5279</v>
      </c>
      <c r="Y181" s="2734">
        <v>64</v>
      </c>
      <c r="Z181" s="2735">
        <v>79</v>
      </c>
      <c r="AA181" s="2736">
        <v>0</v>
      </c>
      <c r="AB181"/>
      <c r="AC181" s="3986"/>
      <c r="AD181" s="2739" t="s">
        <v>5280</v>
      </c>
      <c r="AE181" s="2723" t="s">
        <v>5281</v>
      </c>
      <c r="AF181" s="2724">
        <v>66</v>
      </c>
      <c r="AG181" s="2725">
        <v>91</v>
      </c>
      <c r="AH181" s="2726">
        <v>138</v>
      </c>
      <c r="AI181"/>
      <c r="AJ181" s="3987"/>
      <c r="AK181" s="2728" t="s">
        <v>5282</v>
      </c>
      <c r="AL181" s="2723" t="s">
        <v>5283</v>
      </c>
      <c r="AM181" s="2724">
        <v>238</v>
      </c>
      <c r="AN181" s="2725">
        <v>233</v>
      </c>
      <c r="AO181" s="2726">
        <v>233</v>
      </c>
      <c r="AQ181" s="5">
        <v>1</v>
      </c>
    </row>
    <row r="182" spans="22:43" ht="21" customHeight="1">
      <c r="V182" s="3988"/>
      <c r="W182" s="2753" t="s">
        <v>5284</v>
      </c>
      <c r="X182" s="2733" t="s">
        <v>5285</v>
      </c>
      <c r="Y182" s="2734">
        <v>35</v>
      </c>
      <c r="Z182" s="2735">
        <v>47</v>
      </c>
      <c r="AA182" s="2736">
        <v>0</v>
      </c>
      <c r="AB182"/>
      <c r="AC182" s="3989"/>
      <c r="AD182" s="2728" t="s">
        <v>5286</v>
      </c>
      <c r="AE182" s="2723" t="s">
        <v>5287</v>
      </c>
      <c r="AF182" s="2724">
        <v>16</v>
      </c>
      <c r="AG182" s="2725">
        <v>78</v>
      </c>
      <c r="AH182" s="2726">
        <v>139</v>
      </c>
      <c r="AI182"/>
      <c r="AJ182" s="3990"/>
      <c r="AK182" s="2728" t="s">
        <v>5288</v>
      </c>
      <c r="AL182" s="2723" t="s">
        <v>5289</v>
      </c>
      <c r="AM182" s="2724">
        <v>255</v>
      </c>
      <c r="AN182" s="2725">
        <v>250</v>
      </c>
      <c r="AO182" s="2726">
        <v>250</v>
      </c>
      <c r="AQ182" s="5">
        <v>1</v>
      </c>
    </row>
    <row r="183" spans="22:43" ht="21" customHeight="1">
      <c r="V183" s="3991"/>
      <c r="W183" s="2753" t="s">
        <v>5290</v>
      </c>
      <c r="X183" s="2733" t="s">
        <v>5291</v>
      </c>
      <c r="Y183" s="2734">
        <v>158</v>
      </c>
      <c r="Z183" s="2735">
        <v>253</v>
      </c>
      <c r="AA183" s="2736">
        <v>56</v>
      </c>
      <c r="AB183"/>
      <c r="AC183" s="3992"/>
      <c r="AD183" s="2739" t="s">
        <v>5292</v>
      </c>
      <c r="AE183" s="2723" t="s">
        <v>5293</v>
      </c>
      <c r="AF183" s="2724">
        <v>90</v>
      </c>
      <c r="AG183" s="2725">
        <v>94</v>
      </c>
      <c r="AH183" s="2726">
        <v>107</v>
      </c>
      <c r="AI183"/>
      <c r="AJ183" s="3993"/>
      <c r="AK183" s="2739" t="s">
        <v>5294</v>
      </c>
      <c r="AL183" s="2723" t="s">
        <v>5295</v>
      </c>
      <c r="AM183" s="2724">
        <v>254</v>
      </c>
      <c r="AN183" s="2725">
        <v>27</v>
      </c>
      <c r="AO183" s="2726">
        <v>0</v>
      </c>
      <c r="AQ183" s="5">
        <v>1</v>
      </c>
    </row>
    <row r="184" spans="22:43" ht="21" customHeight="1">
      <c r="V184" s="3994"/>
      <c r="W184" s="2732" t="s">
        <v>5296</v>
      </c>
      <c r="X184" s="2733" t="s">
        <v>5297</v>
      </c>
      <c r="Y184" s="2734">
        <v>173</v>
      </c>
      <c r="Z184" s="2735">
        <v>255</v>
      </c>
      <c r="AA184" s="2736">
        <v>47</v>
      </c>
      <c r="AB184"/>
      <c r="AC184" s="3995"/>
      <c r="AD184" s="2739" t="s">
        <v>5298</v>
      </c>
      <c r="AE184" s="2723" t="s">
        <v>5299</v>
      </c>
      <c r="AF184" s="2724">
        <v>34</v>
      </c>
      <c r="AG184" s="2725">
        <v>66</v>
      </c>
      <c r="AH184" s="2726">
        <v>124</v>
      </c>
      <c r="AI184"/>
      <c r="AJ184" s="3996"/>
      <c r="AK184" s="2728" t="s">
        <v>5300</v>
      </c>
      <c r="AL184" s="2723" t="s">
        <v>5301</v>
      </c>
      <c r="AM184" s="2724">
        <v>238</v>
      </c>
      <c r="AN184" s="2725">
        <v>99</v>
      </c>
      <c r="AO184" s="2726">
        <v>99</v>
      </c>
      <c r="AQ184" s="5">
        <v>1</v>
      </c>
    </row>
    <row r="185" spans="22:43" ht="21" customHeight="1">
      <c r="V185" s="3997"/>
      <c r="W185" s="2753" t="s">
        <v>5302</v>
      </c>
      <c r="X185" s="2733" t="s">
        <v>5303</v>
      </c>
      <c r="Y185" s="2734">
        <v>159</v>
      </c>
      <c r="Z185" s="2735">
        <v>232</v>
      </c>
      <c r="AA185" s="2736">
        <v>85</v>
      </c>
      <c r="AB185"/>
      <c r="AC185" s="3998"/>
      <c r="AD185" s="2739" t="s">
        <v>5304</v>
      </c>
      <c r="AE185" s="2723" t="s">
        <v>5305</v>
      </c>
      <c r="AF185" s="2724">
        <v>0</v>
      </c>
      <c r="AG185" s="2725">
        <v>51</v>
      </c>
      <c r="AH185" s="2726">
        <v>102</v>
      </c>
      <c r="AI185"/>
      <c r="AJ185" s="3999"/>
      <c r="AK185" s="2739" t="s">
        <v>5306</v>
      </c>
      <c r="AL185" s="2723" t="s">
        <v>5307</v>
      </c>
      <c r="AM185" s="2724">
        <v>196</v>
      </c>
      <c r="AN185" s="2725">
        <v>174</v>
      </c>
      <c r="AO185" s="2726">
        <v>173</v>
      </c>
      <c r="AQ185" s="5">
        <v>1</v>
      </c>
    </row>
    <row r="186" spans="22:43" ht="21" customHeight="1">
      <c r="V186" s="4000"/>
      <c r="W186" s="2753" t="s">
        <v>5308</v>
      </c>
      <c r="X186" s="2733" t="s">
        <v>5309</v>
      </c>
      <c r="Y186" s="2734">
        <v>123</v>
      </c>
      <c r="Z186" s="2735">
        <v>160</v>
      </c>
      <c r="AA186" s="2736">
        <v>91</v>
      </c>
      <c r="AB186"/>
      <c r="AC186" s="4001"/>
      <c r="AD186" s="2739" t="s">
        <v>5310</v>
      </c>
      <c r="AE186" s="2723" t="s">
        <v>5311</v>
      </c>
      <c r="AF186" s="2724">
        <v>3</v>
      </c>
      <c r="AG186" s="2725">
        <v>34</v>
      </c>
      <c r="AH186" s="2726">
        <v>76</v>
      </c>
      <c r="AI186"/>
      <c r="AJ186" s="4002"/>
      <c r="AK186" s="2728" t="s">
        <v>5312</v>
      </c>
      <c r="AL186" s="2723" t="s">
        <v>5313</v>
      </c>
      <c r="AM186" s="2724">
        <v>205</v>
      </c>
      <c r="AN186" s="2725">
        <v>155</v>
      </c>
      <c r="AO186" s="2726">
        <v>155</v>
      </c>
      <c r="AQ186" s="5">
        <v>1</v>
      </c>
    </row>
    <row r="187" spans="22:43" ht="21" customHeight="1">
      <c r="V187" s="4003"/>
      <c r="W187" s="2753" t="s">
        <v>5314</v>
      </c>
      <c r="X187" s="2733" t="s">
        <v>5315</v>
      </c>
      <c r="Y187" s="2734">
        <v>86</v>
      </c>
      <c r="Z187" s="2735">
        <v>130</v>
      </c>
      <c r="AA187" s="2736">
        <v>3</v>
      </c>
      <c r="AB187"/>
      <c r="AC187" s="4004"/>
      <c r="AD187" s="2728" t="s">
        <v>5316</v>
      </c>
      <c r="AE187" s="2723" t="s">
        <v>5317</v>
      </c>
      <c r="AF187" s="2724">
        <v>127</v>
      </c>
      <c r="AG187" s="2725">
        <v>0</v>
      </c>
      <c r="AH187" s="2726">
        <v>255</v>
      </c>
      <c r="AI187"/>
      <c r="AJ187" s="4005"/>
      <c r="AK187" s="2739" t="s">
        <v>5318</v>
      </c>
      <c r="AL187" s="2723" t="s">
        <v>5319</v>
      </c>
      <c r="AM187" s="2724">
        <v>228</v>
      </c>
      <c r="AN187" s="2725">
        <v>113</v>
      </c>
      <c r="AO187" s="2726">
        <v>122</v>
      </c>
      <c r="AQ187" s="5">
        <v>1</v>
      </c>
    </row>
    <row r="188" spans="22:43" ht="21" customHeight="1">
      <c r="V188" s="4006"/>
      <c r="W188" s="2753" t="s">
        <v>5320</v>
      </c>
      <c r="X188" s="2733" t="s">
        <v>5321</v>
      </c>
      <c r="Y188" s="2734">
        <v>0</v>
      </c>
      <c r="Z188" s="2735">
        <v>255</v>
      </c>
      <c r="AA188" s="2736">
        <v>255</v>
      </c>
      <c r="AB188"/>
      <c r="AC188" s="4007"/>
      <c r="AD188" s="2728" t="s">
        <v>5322</v>
      </c>
      <c r="AE188" s="2723" t="s">
        <v>5323</v>
      </c>
      <c r="AF188" s="2724">
        <v>155</v>
      </c>
      <c r="AG188" s="2725">
        <v>48</v>
      </c>
      <c r="AH188" s="2726">
        <v>255</v>
      </c>
      <c r="AI188"/>
      <c r="AJ188" s="4008"/>
      <c r="AK188" s="2739" t="s">
        <v>5324</v>
      </c>
      <c r="AL188" s="2723" t="s">
        <v>5325</v>
      </c>
      <c r="AM188" s="2724">
        <v>247</v>
      </c>
      <c r="AN188" s="2725">
        <v>35</v>
      </c>
      <c r="AO188" s="2726">
        <v>12</v>
      </c>
      <c r="AQ188" s="5">
        <v>1</v>
      </c>
    </row>
    <row r="189" spans="22:43" ht="21" customHeight="1">
      <c r="V189" s="4009"/>
      <c r="W189" s="2732" t="s">
        <v>5326</v>
      </c>
      <c r="X189" s="2733" t="s">
        <v>5327</v>
      </c>
      <c r="Y189" s="2734">
        <v>180</v>
      </c>
      <c r="Z189" s="2735">
        <v>205</v>
      </c>
      <c r="AA189" s="2736">
        <v>205</v>
      </c>
      <c r="AB189"/>
      <c r="AC189" s="4010"/>
      <c r="AD189" s="2728" t="s">
        <v>5328</v>
      </c>
      <c r="AE189" s="2723" t="s">
        <v>5329</v>
      </c>
      <c r="AF189" s="2724">
        <v>159</v>
      </c>
      <c r="AG189" s="2725">
        <v>121</v>
      </c>
      <c r="AH189" s="2726">
        <v>238</v>
      </c>
      <c r="AI189"/>
      <c r="AJ189" s="4011"/>
      <c r="AK189" s="2739" t="s">
        <v>5330</v>
      </c>
      <c r="AL189" s="2723" t="s">
        <v>5331</v>
      </c>
      <c r="AM189" s="2724">
        <v>187</v>
      </c>
      <c r="AN189" s="2725">
        <v>172</v>
      </c>
      <c r="AO189" s="2726">
        <v>172</v>
      </c>
      <c r="AQ189" s="5">
        <v>1</v>
      </c>
    </row>
    <row r="190" spans="22:43" ht="21" customHeight="1">
      <c r="V190" s="4012"/>
      <c r="W190" s="2732" t="s">
        <v>5332</v>
      </c>
      <c r="X190" s="2733" t="s">
        <v>5333</v>
      </c>
      <c r="Y190" s="2734">
        <v>141</v>
      </c>
      <c r="Z190" s="2735">
        <v>238</v>
      </c>
      <c r="AA190" s="2736">
        <v>238</v>
      </c>
      <c r="AB190"/>
      <c r="AC190" s="4013"/>
      <c r="AD190" s="2728" t="s">
        <v>5334</v>
      </c>
      <c r="AE190" s="2723" t="s">
        <v>5335</v>
      </c>
      <c r="AF190" s="2724">
        <v>171</v>
      </c>
      <c r="AG190" s="2725">
        <v>130</v>
      </c>
      <c r="AH190" s="2726">
        <v>255</v>
      </c>
      <c r="AI190"/>
      <c r="AJ190" s="4014"/>
      <c r="AK190" s="2739" t="s">
        <v>5336</v>
      </c>
      <c r="AL190" s="2723" t="s">
        <v>5337</v>
      </c>
      <c r="AM190" s="2724">
        <v>230</v>
      </c>
      <c r="AN190" s="2725">
        <v>103</v>
      </c>
      <c r="AO190" s="2726">
        <v>97</v>
      </c>
      <c r="AQ190" s="5">
        <v>1</v>
      </c>
    </row>
    <row r="191" spans="22:43" ht="21" customHeight="1">
      <c r="V191" s="4015"/>
      <c r="W191" s="2753" t="s">
        <v>5338</v>
      </c>
      <c r="X191" s="2733" t="s">
        <v>5339</v>
      </c>
      <c r="Y191" s="2734">
        <v>121</v>
      </c>
      <c r="Z191" s="2735">
        <v>248</v>
      </c>
      <c r="AA191" s="2736">
        <v>248</v>
      </c>
      <c r="AB191"/>
      <c r="AC191" s="4016"/>
      <c r="AD191" s="2739" t="s">
        <v>5340</v>
      </c>
      <c r="AE191" s="2723" t="s">
        <v>5341</v>
      </c>
      <c r="AF191" s="2724">
        <v>210</v>
      </c>
      <c r="AG191" s="2725">
        <v>202</v>
      </c>
      <c r="AH191" s="2726">
        <v>236</v>
      </c>
      <c r="AI191"/>
      <c r="AJ191" s="4017"/>
      <c r="AK191" s="2728" t="s">
        <v>5342</v>
      </c>
      <c r="AL191" s="2723" t="s">
        <v>5343</v>
      </c>
      <c r="AM191" s="2724">
        <v>238</v>
      </c>
      <c r="AN191" s="2725">
        <v>92</v>
      </c>
      <c r="AO191" s="2726">
        <v>66</v>
      </c>
      <c r="AQ191" s="5">
        <v>1</v>
      </c>
    </row>
    <row r="192" spans="22:43" ht="21" customHeight="1">
      <c r="V192" s="4018"/>
      <c r="W192" s="2732" t="s">
        <v>5344</v>
      </c>
      <c r="X192" s="2733" t="s">
        <v>5345</v>
      </c>
      <c r="Y192" s="2734">
        <v>193</v>
      </c>
      <c r="Z192" s="2735">
        <v>205</v>
      </c>
      <c r="AA192" s="2736">
        <v>205</v>
      </c>
      <c r="AB192"/>
      <c r="AC192" s="4019"/>
      <c r="AD192" s="2739" t="s">
        <v>5346</v>
      </c>
      <c r="AE192" s="2723" t="s">
        <v>5347</v>
      </c>
      <c r="AF192" s="2724">
        <v>220</v>
      </c>
      <c r="AG192" s="2725">
        <v>208</v>
      </c>
      <c r="AH192" s="2726">
        <v>255</v>
      </c>
      <c r="AI192"/>
      <c r="AJ192" s="4020"/>
      <c r="AK192" s="2728" t="s">
        <v>5348</v>
      </c>
      <c r="AL192" s="2723" t="s">
        <v>5349</v>
      </c>
      <c r="AM192" s="2724">
        <v>238</v>
      </c>
      <c r="AN192" s="2725">
        <v>59</v>
      </c>
      <c r="AO192" s="2726">
        <v>59</v>
      </c>
      <c r="AQ192" s="5">
        <v>1</v>
      </c>
    </row>
    <row r="193" spans="22:43" ht="21" customHeight="1">
      <c r="V193" s="4021"/>
      <c r="W193" s="2732" t="s">
        <v>5350</v>
      </c>
      <c r="X193" s="2733" t="s">
        <v>5351</v>
      </c>
      <c r="Y193" s="2734">
        <v>173</v>
      </c>
      <c r="Z193" s="2735">
        <v>234</v>
      </c>
      <c r="AA193" s="2736">
        <v>234</v>
      </c>
      <c r="AB193"/>
      <c r="AC193" s="4022"/>
      <c r="AD193" s="2728" t="s">
        <v>5352</v>
      </c>
      <c r="AE193" s="2723" t="s">
        <v>5353</v>
      </c>
      <c r="AF193" s="2724">
        <v>145</v>
      </c>
      <c r="AG193" s="2725">
        <v>44</v>
      </c>
      <c r="AH193" s="2726">
        <v>238</v>
      </c>
      <c r="AI193"/>
      <c r="AJ193" s="4023"/>
      <c r="AK193" s="2728" t="s">
        <v>5354</v>
      </c>
      <c r="AL193" s="2723" t="s">
        <v>5355</v>
      </c>
      <c r="AM193" s="2724">
        <v>238</v>
      </c>
      <c r="AN193" s="2725">
        <v>44</v>
      </c>
      <c r="AO193" s="2726">
        <v>44</v>
      </c>
      <c r="AQ193" s="5">
        <v>1</v>
      </c>
    </row>
    <row r="194" spans="22:43" ht="21" customHeight="1">
      <c r="V194" s="4024"/>
      <c r="W194" s="2732" t="s">
        <v>5356</v>
      </c>
      <c r="X194" s="2733" t="s">
        <v>5357</v>
      </c>
      <c r="Y194" s="2734">
        <v>174</v>
      </c>
      <c r="Z194" s="2735">
        <v>238</v>
      </c>
      <c r="AA194" s="2736">
        <v>238</v>
      </c>
      <c r="AB194"/>
      <c r="AC194" s="4025"/>
      <c r="AD194" s="2728" t="s">
        <v>5358</v>
      </c>
      <c r="AE194" s="2723" t="s">
        <v>5359</v>
      </c>
      <c r="AF194" s="2724">
        <v>147</v>
      </c>
      <c r="AG194" s="2725">
        <v>112</v>
      </c>
      <c r="AH194" s="2726">
        <v>219</v>
      </c>
      <c r="AI194"/>
      <c r="AJ194" s="4026"/>
      <c r="AK194" s="2739" t="s">
        <v>5360</v>
      </c>
      <c r="AL194" s="2723" t="s">
        <v>5361</v>
      </c>
      <c r="AM194" s="2724">
        <v>238</v>
      </c>
      <c r="AN194" s="2725">
        <v>16</v>
      </c>
      <c r="AO194" s="2726">
        <v>16</v>
      </c>
      <c r="AQ194" s="5">
        <v>1</v>
      </c>
    </row>
    <row r="195" spans="22:43" ht="21" customHeight="1">
      <c r="V195" s="4027"/>
      <c r="W195" s="2732" t="s">
        <v>5362</v>
      </c>
      <c r="X195" s="2733" t="s">
        <v>5363</v>
      </c>
      <c r="Y195" s="2734">
        <v>175</v>
      </c>
      <c r="Z195" s="2735">
        <v>238</v>
      </c>
      <c r="AA195" s="2736">
        <v>238</v>
      </c>
      <c r="AB195"/>
      <c r="AC195" s="4028"/>
      <c r="AD195" s="2728" t="s">
        <v>5364</v>
      </c>
      <c r="AE195" s="2723" t="s">
        <v>5365</v>
      </c>
      <c r="AF195" s="2724">
        <v>138</v>
      </c>
      <c r="AG195" s="2725">
        <v>43</v>
      </c>
      <c r="AH195" s="2726">
        <v>226</v>
      </c>
      <c r="AI195"/>
      <c r="AJ195" s="4029"/>
      <c r="AK195" s="2739" t="s">
        <v>5366</v>
      </c>
      <c r="AL195" s="2723" t="s">
        <v>5367</v>
      </c>
      <c r="AM195" s="2724">
        <v>233</v>
      </c>
      <c r="AN195" s="2725">
        <v>56</v>
      </c>
      <c r="AO195" s="2726">
        <v>63</v>
      </c>
      <c r="AQ195" s="5">
        <v>1</v>
      </c>
    </row>
    <row r="196" spans="22:43" ht="21" customHeight="1">
      <c r="V196" s="4030"/>
      <c r="W196" s="2732" t="s">
        <v>5368</v>
      </c>
      <c r="X196" s="2733" t="s">
        <v>5369</v>
      </c>
      <c r="Y196" s="2734">
        <v>151</v>
      </c>
      <c r="Z196" s="2735">
        <v>255</v>
      </c>
      <c r="AA196" s="2736">
        <v>255</v>
      </c>
      <c r="AB196"/>
      <c r="AC196" s="4031"/>
      <c r="AD196" s="2728" t="s">
        <v>5370</v>
      </c>
      <c r="AE196" s="2723" t="s">
        <v>5371</v>
      </c>
      <c r="AF196" s="2724">
        <v>137</v>
      </c>
      <c r="AG196" s="2725">
        <v>104</v>
      </c>
      <c r="AH196" s="2726">
        <v>205</v>
      </c>
      <c r="AI196"/>
      <c r="AJ196" s="4032"/>
      <c r="AK196" s="2728" t="s">
        <v>5372</v>
      </c>
      <c r="AL196" s="2723" t="s">
        <v>5373</v>
      </c>
      <c r="AM196" s="2724">
        <v>238</v>
      </c>
      <c r="AN196" s="2725">
        <v>0</v>
      </c>
      <c r="AO196" s="2726">
        <v>0</v>
      </c>
      <c r="AQ196" s="5">
        <v>1</v>
      </c>
    </row>
    <row r="197" spans="22:43" ht="21" customHeight="1">
      <c r="V197" s="4033"/>
      <c r="W197" s="2732" t="s">
        <v>5374</v>
      </c>
      <c r="X197" s="2733" t="s">
        <v>5375</v>
      </c>
      <c r="Y197" s="2734">
        <v>209</v>
      </c>
      <c r="Z197" s="2735">
        <v>238</v>
      </c>
      <c r="AA197" s="2736">
        <v>238</v>
      </c>
      <c r="AB197"/>
      <c r="AC197" s="4034"/>
      <c r="AD197" s="2739" t="s">
        <v>5376</v>
      </c>
      <c r="AE197" s="2723" t="s">
        <v>5377</v>
      </c>
      <c r="AF197" s="2724">
        <v>144</v>
      </c>
      <c r="AG197" s="2725">
        <v>101</v>
      </c>
      <c r="AH197" s="2726">
        <v>202</v>
      </c>
      <c r="AI197"/>
      <c r="AJ197" s="4035"/>
      <c r="AK197" s="2728" t="s">
        <v>5378</v>
      </c>
      <c r="AL197" s="2723" t="s">
        <v>5373</v>
      </c>
      <c r="AM197" s="2724">
        <v>238</v>
      </c>
      <c r="AN197" s="2725">
        <v>64</v>
      </c>
      <c r="AO197" s="2726">
        <v>0</v>
      </c>
      <c r="AQ197" s="5">
        <v>1</v>
      </c>
    </row>
    <row r="198" spans="22:43" ht="21" customHeight="1">
      <c r="V198" s="4036"/>
      <c r="W198" s="2732" t="s">
        <v>5379</v>
      </c>
      <c r="X198" s="2733" t="s">
        <v>5380</v>
      </c>
      <c r="Y198" s="2734">
        <v>187</v>
      </c>
      <c r="Z198" s="2735">
        <v>255</v>
      </c>
      <c r="AA198" s="2736">
        <v>255</v>
      </c>
      <c r="AB198"/>
      <c r="AC198" s="4037"/>
      <c r="AD198" s="2728" t="s">
        <v>5381</v>
      </c>
      <c r="AE198" s="2723" t="s">
        <v>5382</v>
      </c>
      <c r="AF198" s="2724">
        <v>125</v>
      </c>
      <c r="AG198" s="2725">
        <v>38</v>
      </c>
      <c r="AH198" s="2726">
        <v>205</v>
      </c>
      <c r="AI198"/>
      <c r="AJ198" s="4038"/>
      <c r="AK198" s="2739" t="s">
        <v>5383</v>
      </c>
      <c r="AL198" s="2723" t="s">
        <v>5384</v>
      </c>
      <c r="AM198" s="2724">
        <v>237</v>
      </c>
      <c r="AN198" s="2725">
        <v>0</v>
      </c>
      <c r="AO198" s="2726">
        <v>0</v>
      </c>
      <c r="AQ198" s="5">
        <v>1</v>
      </c>
    </row>
    <row r="199" spans="22:43" ht="21" customHeight="1">
      <c r="V199" s="4039"/>
      <c r="W199" s="2732" t="s">
        <v>5385</v>
      </c>
      <c r="X199" s="2733" t="s">
        <v>5386</v>
      </c>
      <c r="Y199" s="2734">
        <v>224</v>
      </c>
      <c r="Z199" s="2735">
        <v>238</v>
      </c>
      <c r="AA199" s="2736">
        <v>238</v>
      </c>
      <c r="AB199"/>
      <c r="AC199" s="4040"/>
      <c r="AD199" s="2728" t="s">
        <v>5387</v>
      </c>
      <c r="AE199" s="2723" t="s">
        <v>5388</v>
      </c>
      <c r="AF199" s="2724">
        <v>99</v>
      </c>
      <c r="AG199" s="2725">
        <v>86</v>
      </c>
      <c r="AH199" s="2726">
        <v>136</v>
      </c>
      <c r="AI199"/>
      <c r="AJ199" s="4041"/>
      <c r="AK199" s="2739" t="s">
        <v>5389</v>
      </c>
      <c r="AL199" s="2723" t="s">
        <v>5390</v>
      </c>
      <c r="AM199" s="2724">
        <v>231</v>
      </c>
      <c r="AN199" s="2725">
        <v>62</v>
      </c>
      <c r="AO199" s="2726">
        <v>1</v>
      </c>
      <c r="AQ199" s="5">
        <v>1</v>
      </c>
    </row>
    <row r="200" spans="22:43" ht="21" customHeight="1">
      <c r="V200" s="4042"/>
      <c r="W200" s="2732" t="s">
        <v>5391</v>
      </c>
      <c r="X200" s="2733" t="s">
        <v>5392</v>
      </c>
      <c r="Y200" s="2734">
        <v>224</v>
      </c>
      <c r="Z200" s="2735">
        <v>255</v>
      </c>
      <c r="AA200" s="2736">
        <v>255</v>
      </c>
      <c r="AB200"/>
      <c r="AC200" s="4043"/>
      <c r="AD200" s="2728" t="s">
        <v>5393</v>
      </c>
      <c r="AE200" s="2723" t="s">
        <v>5394</v>
      </c>
      <c r="AF200" s="2724">
        <v>93</v>
      </c>
      <c r="AG200" s="2725">
        <v>71</v>
      </c>
      <c r="AH200" s="2726">
        <v>139</v>
      </c>
      <c r="AI200"/>
      <c r="AJ200" s="4044"/>
      <c r="AK200" s="2728" t="s">
        <v>5395</v>
      </c>
      <c r="AL200" s="2723" t="s">
        <v>5396</v>
      </c>
      <c r="AM200" s="2724">
        <v>188</v>
      </c>
      <c r="AN200" s="2725">
        <v>143</v>
      </c>
      <c r="AO200" s="2726">
        <v>143</v>
      </c>
      <c r="AQ200" s="5">
        <v>1</v>
      </c>
    </row>
    <row r="201" spans="22:43" ht="21" customHeight="1">
      <c r="V201" s="4045"/>
      <c r="W201" s="2732" t="s">
        <v>5397</v>
      </c>
      <c r="X201" s="2733" t="s">
        <v>5398</v>
      </c>
      <c r="Y201" s="2734">
        <v>240</v>
      </c>
      <c r="Z201" s="2735">
        <v>255</v>
      </c>
      <c r="AA201" s="2736">
        <v>255</v>
      </c>
      <c r="AB201"/>
      <c r="AC201" s="4046"/>
      <c r="AD201" s="2739" t="s">
        <v>5399</v>
      </c>
      <c r="AE201" s="2723" t="s">
        <v>5400</v>
      </c>
      <c r="AF201" s="2724">
        <v>96</v>
      </c>
      <c r="AG201" s="2725">
        <v>78</v>
      </c>
      <c r="AH201" s="2726">
        <v>129</v>
      </c>
      <c r="AI201"/>
      <c r="AJ201" s="4047"/>
      <c r="AK201" s="2739" t="s">
        <v>5401</v>
      </c>
      <c r="AL201" s="2723" t="s">
        <v>5402</v>
      </c>
      <c r="AM201" s="2724">
        <v>226</v>
      </c>
      <c r="AN201" s="2725">
        <v>19</v>
      </c>
      <c r="AO201" s="2726">
        <v>19</v>
      </c>
      <c r="AQ201" s="5">
        <v>1</v>
      </c>
    </row>
    <row r="202" spans="22:43" ht="21" customHeight="1">
      <c r="V202" s="4048"/>
      <c r="W202" s="2753" t="s">
        <v>5403</v>
      </c>
      <c r="X202" s="2733" t="s">
        <v>5404</v>
      </c>
      <c r="Y202" s="2734">
        <v>242</v>
      </c>
      <c r="Z202" s="2735">
        <v>255</v>
      </c>
      <c r="AA202" s="2736">
        <v>255</v>
      </c>
      <c r="AB202"/>
      <c r="AC202" s="4049"/>
      <c r="AD202" s="2739" t="s">
        <v>5405</v>
      </c>
      <c r="AE202" s="2723" t="s">
        <v>5406</v>
      </c>
      <c r="AF202" s="2724">
        <v>85</v>
      </c>
      <c r="AG202" s="2725">
        <v>76</v>
      </c>
      <c r="AH202" s="2726">
        <v>105</v>
      </c>
      <c r="AI202"/>
      <c r="AJ202" s="4050"/>
      <c r="AK202" s="2739" t="s">
        <v>5407</v>
      </c>
      <c r="AL202" s="2723" t="s">
        <v>5408</v>
      </c>
      <c r="AM202" s="2724">
        <v>192</v>
      </c>
      <c r="AN202" s="2725">
        <v>128</v>
      </c>
      <c r="AO202" s="2726">
        <v>129</v>
      </c>
      <c r="AQ202" s="5">
        <v>1</v>
      </c>
    </row>
    <row r="203" spans="22:43" ht="21" customHeight="1">
      <c r="V203" s="4051"/>
      <c r="W203" s="2753" t="s">
        <v>5409</v>
      </c>
      <c r="X203" s="2733" t="s">
        <v>5410</v>
      </c>
      <c r="Y203" s="2734">
        <v>244</v>
      </c>
      <c r="Z203" s="2735">
        <v>254</v>
      </c>
      <c r="AA203" s="2736">
        <v>254</v>
      </c>
      <c r="AB203"/>
      <c r="AC203" s="4052"/>
      <c r="AD203" s="2728" t="s">
        <v>5411</v>
      </c>
      <c r="AE203" s="2723" t="s">
        <v>5412</v>
      </c>
      <c r="AF203" s="2724">
        <v>173</v>
      </c>
      <c r="AG203" s="2725">
        <v>216</v>
      </c>
      <c r="AH203" s="2726">
        <v>230</v>
      </c>
      <c r="AI203"/>
      <c r="AJ203" s="4053"/>
      <c r="AK203" s="2739" t="s">
        <v>5413</v>
      </c>
      <c r="AL203" s="2723" t="s">
        <v>5414</v>
      </c>
      <c r="AM203" s="2724">
        <v>222</v>
      </c>
      <c r="AN203" s="2725">
        <v>41</v>
      </c>
      <c r="AO203" s="2726">
        <v>22</v>
      </c>
      <c r="AQ203" s="5">
        <v>1</v>
      </c>
    </row>
    <row r="204" spans="22:43" ht="21" customHeight="1">
      <c r="V204" s="4054"/>
      <c r="W204" s="2753" t="s">
        <v>5415</v>
      </c>
      <c r="X204" s="2733" t="s">
        <v>5416</v>
      </c>
      <c r="Y204" s="2734">
        <v>246</v>
      </c>
      <c r="Z204" s="2735">
        <v>254</v>
      </c>
      <c r="AA204" s="2736">
        <v>254</v>
      </c>
      <c r="AB204"/>
      <c r="AC204" s="4055"/>
      <c r="AD204" s="2728" t="s">
        <v>5417</v>
      </c>
      <c r="AE204" s="2723" t="s">
        <v>5418</v>
      </c>
      <c r="AF204" s="2724">
        <v>178</v>
      </c>
      <c r="AG204" s="2725">
        <v>223</v>
      </c>
      <c r="AH204" s="2726">
        <v>238</v>
      </c>
      <c r="AI204"/>
      <c r="AJ204" s="4056"/>
      <c r="AK204" s="2728" t="s">
        <v>5419</v>
      </c>
      <c r="AL204" s="2723" t="s">
        <v>5420</v>
      </c>
      <c r="AM204" s="2724">
        <v>205</v>
      </c>
      <c r="AN204" s="2725">
        <v>92</v>
      </c>
      <c r="AO204" s="2726">
        <v>92</v>
      </c>
      <c r="AQ204" s="5">
        <v>1</v>
      </c>
    </row>
    <row r="205" spans="22:43" ht="21" customHeight="1">
      <c r="V205" s="4057"/>
      <c r="W205" s="2753" t="s">
        <v>5421</v>
      </c>
      <c r="X205" s="2733" t="s">
        <v>5422</v>
      </c>
      <c r="Y205" s="2734">
        <v>43</v>
      </c>
      <c r="Z205" s="2735">
        <v>250</v>
      </c>
      <c r="AA205" s="2736">
        <v>250</v>
      </c>
      <c r="AB205"/>
      <c r="AC205" s="4058"/>
      <c r="AD205" s="2739" t="s">
        <v>5423</v>
      </c>
      <c r="AE205" s="2723" t="s">
        <v>5424</v>
      </c>
      <c r="AF205" s="2724">
        <v>169</v>
      </c>
      <c r="AG205" s="2725">
        <v>234</v>
      </c>
      <c r="AH205" s="2726">
        <v>254</v>
      </c>
      <c r="AI205"/>
      <c r="AJ205" s="4059"/>
      <c r="AK205" s="2739" t="s">
        <v>5425</v>
      </c>
      <c r="AL205" s="2723" t="s">
        <v>5426</v>
      </c>
      <c r="AM205" s="2724">
        <v>219</v>
      </c>
      <c r="AN205" s="2725">
        <v>23</v>
      </c>
      <c r="AO205" s="2726">
        <v>2</v>
      </c>
      <c r="AQ205" s="5">
        <v>1</v>
      </c>
    </row>
    <row r="206" spans="22:43" ht="21" customHeight="1">
      <c r="V206" s="4060"/>
      <c r="W206" s="2732" t="s">
        <v>5427</v>
      </c>
      <c r="X206" s="2733" t="s">
        <v>5428</v>
      </c>
      <c r="Y206" s="2734">
        <v>150</v>
      </c>
      <c r="Z206" s="2735">
        <v>205</v>
      </c>
      <c r="AA206" s="2736">
        <v>205</v>
      </c>
      <c r="AB206"/>
      <c r="AC206" s="4061"/>
      <c r="AD206" s="2728" t="s">
        <v>5429</v>
      </c>
      <c r="AE206" s="2723" t="s">
        <v>5430</v>
      </c>
      <c r="AF206" s="2724">
        <v>191</v>
      </c>
      <c r="AG206" s="2725">
        <v>239</v>
      </c>
      <c r="AH206" s="2726">
        <v>255</v>
      </c>
      <c r="AI206"/>
      <c r="AJ206" s="4062"/>
      <c r="AK206" s="2728" t="s">
        <v>5431</v>
      </c>
      <c r="AL206" s="2723" t="s">
        <v>5432</v>
      </c>
      <c r="AM206" s="2724">
        <v>205</v>
      </c>
      <c r="AN206" s="2725">
        <v>85</v>
      </c>
      <c r="AO206" s="2726">
        <v>85</v>
      </c>
      <c r="AQ206" s="5">
        <v>1</v>
      </c>
    </row>
    <row r="207" spans="22:43" ht="21" customHeight="1">
      <c r="V207" s="4063"/>
      <c r="W207" s="2732" t="s">
        <v>5433</v>
      </c>
      <c r="X207" s="2733" t="s">
        <v>5434</v>
      </c>
      <c r="Y207" s="2734">
        <v>112</v>
      </c>
      <c r="Z207" s="2735">
        <v>219</v>
      </c>
      <c r="AA207" s="2736">
        <v>219</v>
      </c>
      <c r="AB207"/>
      <c r="AC207" s="4064"/>
      <c r="AD207" s="2728" t="s">
        <v>5435</v>
      </c>
      <c r="AE207" s="2723" t="s">
        <v>5436</v>
      </c>
      <c r="AF207" s="2724">
        <v>154</v>
      </c>
      <c r="AG207" s="2725">
        <v>192</v>
      </c>
      <c r="AH207" s="2726">
        <v>205</v>
      </c>
      <c r="AI207"/>
      <c r="AJ207" s="4065"/>
      <c r="AK207" s="2739" t="s">
        <v>5437</v>
      </c>
      <c r="AL207" s="2723" t="s">
        <v>5438</v>
      </c>
      <c r="AM207" s="2724">
        <v>217</v>
      </c>
      <c r="AN207" s="2725">
        <v>1</v>
      </c>
      <c r="AO207" s="2726">
        <v>21</v>
      </c>
      <c r="AQ207" s="5">
        <v>1</v>
      </c>
    </row>
    <row r="208" spans="22:43" ht="21" customHeight="1">
      <c r="V208" s="4066"/>
      <c r="W208" s="2753" t="s">
        <v>5439</v>
      </c>
      <c r="X208" s="2733" t="s">
        <v>5440</v>
      </c>
      <c r="Y208" s="2734">
        <v>128</v>
      </c>
      <c r="Z208" s="2735">
        <v>208</v>
      </c>
      <c r="AA208" s="2736">
        <v>208</v>
      </c>
      <c r="AB208"/>
      <c r="AC208" s="4067"/>
      <c r="AD208" s="2739" t="s">
        <v>5441</v>
      </c>
      <c r="AE208" s="2723" t="s">
        <v>5442</v>
      </c>
      <c r="AF208" s="2724">
        <v>102</v>
      </c>
      <c r="AG208" s="2725">
        <v>170</v>
      </c>
      <c r="AH208" s="2726">
        <v>188</v>
      </c>
      <c r="AI208"/>
      <c r="AJ208" s="4068"/>
      <c r="AK208" s="2728" t="s">
        <v>5443</v>
      </c>
      <c r="AL208" s="2723" t="s">
        <v>5444</v>
      </c>
      <c r="AM208" s="2724">
        <v>205</v>
      </c>
      <c r="AN208" s="2725">
        <v>79</v>
      </c>
      <c r="AO208" s="2726">
        <v>57</v>
      </c>
      <c r="AQ208" s="5">
        <v>1</v>
      </c>
    </row>
    <row r="209" spans="22:43" ht="21" customHeight="1">
      <c r="V209" s="4069"/>
      <c r="W209" s="2732" t="s">
        <v>5445</v>
      </c>
      <c r="X209" s="2733" t="s">
        <v>5446</v>
      </c>
      <c r="Y209" s="2734">
        <v>0</v>
      </c>
      <c r="Z209" s="2735">
        <v>238</v>
      </c>
      <c r="AA209" s="2736">
        <v>238</v>
      </c>
      <c r="AB209"/>
      <c r="AC209" s="4070"/>
      <c r="AD209" s="2739" t="s">
        <v>5447</v>
      </c>
      <c r="AE209" s="2723" t="s">
        <v>5448</v>
      </c>
      <c r="AF209" s="2724">
        <v>35</v>
      </c>
      <c r="AG209" s="2725">
        <v>158</v>
      </c>
      <c r="AH209" s="2726">
        <v>186</v>
      </c>
      <c r="AI209"/>
      <c r="AJ209" s="4071"/>
      <c r="AK209" s="2728" t="s">
        <v>5449</v>
      </c>
      <c r="AL209" s="2723" t="s">
        <v>5450</v>
      </c>
      <c r="AM209" s="2724">
        <v>205</v>
      </c>
      <c r="AN209" s="2725">
        <v>51</v>
      </c>
      <c r="AO209" s="2726">
        <v>51</v>
      </c>
      <c r="AQ209" s="5">
        <v>1</v>
      </c>
    </row>
    <row r="210" spans="22:43" ht="21" customHeight="1">
      <c r="V210" s="4072"/>
      <c r="W210" s="2732" t="s">
        <v>5451</v>
      </c>
      <c r="X210" s="2733" t="s">
        <v>5452</v>
      </c>
      <c r="Y210" s="2734">
        <v>121</v>
      </c>
      <c r="Z210" s="2735">
        <v>205</v>
      </c>
      <c r="AA210" s="2736">
        <v>205</v>
      </c>
      <c r="AB210"/>
      <c r="AC210" s="4073"/>
      <c r="AD210" s="2728" t="s">
        <v>5453</v>
      </c>
      <c r="AE210" s="2723" t="s">
        <v>5454</v>
      </c>
      <c r="AF210" s="2724">
        <v>104</v>
      </c>
      <c r="AG210" s="2725">
        <v>131</v>
      </c>
      <c r="AH210" s="2726">
        <v>139</v>
      </c>
      <c r="AI210"/>
      <c r="AJ210" s="4074"/>
      <c r="AK210" s="2728" t="s">
        <v>5348</v>
      </c>
      <c r="AL210" s="2723" t="s">
        <v>5455</v>
      </c>
      <c r="AM210" s="2724">
        <v>204</v>
      </c>
      <c r="AN210" s="2725">
        <v>51</v>
      </c>
      <c r="AO210" s="2726">
        <v>51</v>
      </c>
      <c r="AQ210" s="5">
        <v>1</v>
      </c>
    </row>
    <row r="211" spans="22:43" ht="21" customHeight="1">
      <c r="V211" s="4075"/>
      <c r="W211" s="2732" t="s">
        <v>5456</v>
      </c>
      <c r="X211" s="2733" t="s">
        <v>5457</v>
      </c>
      <c r="Y211" s="2734">
        <v>72</v>
      </c>
      <c r="Z211" s="2735">
        <v>209</v>
      </c>
      <c r="AA211" s="2736">
        <v>204</v>
      </c>
      <c r="AB211"/>
      <c r="AC211" s="4076"/>
      <c r="AD211" s="2739" t="s">
        <v>5458</v>
      </c>
      <c r="AE211" s="2723" t="s">
        <v>5459</v>
      </c>
      <c r="AF211" s="2724">
        <v>46</v>
      </c>
      <c r="AG211" s="2725">
        <v>132</v>
      </c>
      <c r="AH211" s="2726">
        <v>149</v>
      </c>
      <c r="AI211"/>
      <c r="AJ211" s="4077"/>
      <c r="AK211" s="2728" t="s">
        <v>5460</v>
      </c>
      <c r="AL211" s="2723" t="s">
        <v>5461</v>
      </c>
      <c r="AM211" s="2724">
        <v>205</v>
      </c>
      <c r="AN211" s="2725">
        <v>38</v>
      </c>
      <c r="AO211" s="2726">
        <v>38</v>
      </c>
      <c r="AQ211" s="5">
        <v>1</v>
      </c>
    </row>
    <row r="212" spans="22:43" ht="21" customHeight="1">
      <c r="V212" s="4078"/>
      <c r="W212" s="2732" t="s">
        <v>5462</v>
      </c>
      <c r="X212" s="2733" t="s">
        <v>5463</v>
      </c>
      <c r="Y212" s="2734">
        <v>0</v>
      </c>
      <c r="Z212" s="2735">
        <v>206</v>
      </c>
      <c r="AA212" s="2736">
        <v>209</v>
      </c>
      <c r="AB212"/>
      <c r="AC212" s="4079"/>
      <c r="AD212" s="2739" t="s">
        <v>5464</v>
      </c>
      <c r="AE212" s="2723" t="s">
        <v>5465</v>
      </c>
      <c r="AF212" s="2724">
        <v>54</v>
      </c>
      <c r="AG212" s="2725">
        <v>117</v>
      </c>
      <c r="AH212" s="2726">
        <v>136</v>
      </c>
      <c r="AI212"/>
      <c r="AJ212" s="4080"/>
      <c r="AK212" s="2739" t="s">
        <v>5466</v>
      </c>
      <c r="AL212" s="2723" t="s">
        <v>5467</v>
      </c>
      <c r="AM212" s="2724">
        <v>207</v>
      </c>
      <c r="AN212" s="2725">
        <v>10</v>
      </c>
      <c r="AO212" s="2726">
        <v>29</v>
      </c>
      <c r="AQ212" s="5">
        <v>1</v>
      </c>
    </row>
    <row r="213" spans="22:43" ht="21" customHeight="1">
      <c r="V213" s="4081"/>
      <c r="W213" s="2732" t="s">
        <v>5468</v>
      </c>
      <c r="X213" s="2733" t="s">
        <v>5469</v>
      </c>
      <c r="Y213" s="2734">
        <v>0</v>
      </c>
      <c r="Z213" s="2735">
        <v>205</v>
      </c>
      <c r="AA213" s="2736">
        <v>205</v>
      </c>
      <c r="AB213"/>
      <c r="AC213" s="4082"/>
      <c r="AD213" s="2739" t="s">
        <v>5470</v>
      </c>
      <c r="AE213" s="2723" t="s">
        <v>5471</v>
      </c>
      <c r="AF213" s="2724">
        <v>0</v>
      </c>
      <c r="AG213" s="2725">
        <v>73</v>
      </c>
      <c r="AH213" s="2726">
        <v>88</v>
      </c>
      <c r="AI213"/>
      <c r="AJ213" s="4083"/>
      <c r="AK213" s="2728" t="s">
        <v>5472</v>
      </c>
      <c r="AL213" s="2723" t="s">
        <v>5473</v>
      </c>
      <c r="AM213" s="2724">
        <v>205</v>
      </c>
      <c r="AN213" s="2725">
        <v>0</v>
      </c>
      <c r="AO213" s="2726">
        <v>0</v>
      </c>
      <c r="AQ213" s="5">
        <v>1</v>
      </c>
    </row>
    <row r="214" spans="22:43" ht="21" customHeight="1">
      <c r="V214" s="4084"/>
      <c r="W214" s="2753" t="s">
        <v>5474</v>
      </c>
      <c r="X214" s="2733" t="s">
        <v>5475</v>
      </c>
      <c r="Y214" s="2734">
        <v>0</v>
      </c>
      <c r="Z214" s="2735">
        <v>204</v>
      </c>
      <c r="AA214" s="2736">
        <v>203</v>
      </c>
      <c r="AB214"/>
      <c r="AC214" s="4085"/>
      <c r="AD214" s="2739" t="s">
        <v>5476</v>
      </c>
      <c r="AE214" s="2723" t="s">
        <v>5477</v>
      </c>
      <c r="AF214" s="2724">
        <v>29</v>
      </c>
      <c r="AG214" s="2725">
        <v>72</v>
      </c>
      <c r="AH214" s="2726">
        <v>81</v>
      </c>
      <c r="AI214"/>
      <c r="AJ214" s="4086"/>
      <c r="AK214" s="2728" t="s">
        <v>5478</v>
      </c>
      <c r="AL214" s="2723" t="s">
        <v>5473</v>
      </c>
      <c r="AM214" s="2724">
        <v>205</v>
      </c>
      <c r="AN214" s="2725">
        <v>55</v>
      </c>
      <c r="AO214" s="2726">
        <v>0</v>
      </c>
      <c r="AQ214" s="5">
        <v>1</v>
      </c>
    </row>
    <row r="215" spans="22:43" ht="21" customHeight="1">
      <c r="V215" s="4087"/>
      <c r="W215" s="2732" t="s">
        <v>5479</v>
      </c>
      <c r="X215" s="2733" t="s">
        <v>5480</v>
      </c>
      <c r="Y215" s="2734">
        <v>131</v>
      </c>
      <c r="Z215" s="2735">
        <v>139</v>
      </c>
      <c r="AA215" s="2736">
        <v>139</v>
      </c>
      <c r="AB215"/>
      <c r="AC215" s="4088"/>
      <c r="AD215" s="2739" t="s">
        <v>5481</v>
      </c>
      <c r="AE215" s="2723" t="s">
        <v>5482</v>
      </c>
      <c r="AF215" s="2724">
        <v>31</v>
      </c>
      <c r="AG215" s="2725">
        <v>254</v>
      </c>
      <c r="AH215" s="2726">
        <v>216</v>
      </c>
      <c r="AI215"/>
      <c r="AJ215" s="4089"/>
      <c r="AK215" s="2739" t="s">
        <v>5483</v>
      </c>
      <c r="AL215" s="2723" t="s">
        <v>5484</v>
      </c>
      <c r="AM215" s="2724">
        <v>198</v>
      </c>
      <c r="AN215" s="2725">
        <v>8</v>
      </c>
      <c r="AO215" s="2726">
        <v>0</v>
      </c>
      <c r="AQ215" s="5">
        <v>1</v>
      </c>
    </row>
    <row r="216" spans="22:43" ht="21" customHeight="1">
      <c r="V216" s="4090"/>
      <c r="W216" s="2732" t="s">
        <v>5485</v>
      </c>
      <c r="X216" s="2733" t="s">
        <v>5486</v>
      </c>
      <c r="Y216" s="2734">
        <v>95</v>
      </c>
      <c r="Z216" s="2735">
        <v>158</v>
      </c>
      <c r="AA216" s="2736">
        <v>160</v>
      </c>
      <c r="AB216"/>
      <c r="AC216" s="4091"/>
      <c r="AD216" s="2739" t="s">
        <v>5487</v>
      </c>
      <c r="AE216" s="2723" t="s">
        <v>5488</v>
      </c>
      <c r="AF216" s="2724">
        <v>150</v>
      </c>
      <c r="AG216" s="2725">
        <v>222</v>
      </c>
      <c r="AH216" s="2726">
        <v>209</v>
      </c>
      <c r="AI216"/>
      <c r="AJ216" s="4092"/>
      <c r="AK216" s="2739" t="s">
        <v>5489</v>
      </c>
      <c r="AL216" s="2723" t="s">
        <v>5490</v>
      </c>
      <c r="AM216" s="2724">
        <v>188</v>
      </c>
      <c r="AN216" s="2725">
        <v>63</v>
      </c>
      <c r="AO216" s="2726">
        <v>74</v>
      </c>
      <c r="AQ216" s="5">
        <v>1</v>
      </c>
    </row>
    <row r="217" spans="22:43" ht="21" customHeight="1">
      <c r="V217" s="4093"/>
      <c r="W217" s="2732" t="s">
        <v>5491</v>
      </c>
      <c r="X217" s="2733" t="s">
        <v>5492</v>
      </c>
      <c r="Y217" s="2734">
        <v>95</v>
      </c>
      <c r="Z217" s="2735">
        <v>159</v>
      </c>
      <c r="AA217" s="2736">
        <v>159</v>
      </c>
      <c r="AB217"/>
      <c r="AC217" s="4094"/>
      <c r="AD217" s="2739" t="s">
        <v>5493</v>
      </c>
      <c r="AE217" s="2723" t="s">
        <v>5494</v>
      </c>
      <c r="AF217" s="2724">
        <v>0</v>
      </c>
      <c r="AG217" s="2725">
        <v>166</v>
      </c>
      <c r="AH217" s="2726">
        <v>147</v>
      </c>
      <c r="AI217"/>
      <c r="AJ217" s="4095"/>
      <c r="AK217" s="2739" t="s">
        <v>5495</v>
      </c>
      <c r="AL217" s="2723" t="s">
        <v>5496</v>
      </c>
      <c r="AM217" s="2724">
        <v>191</v>
      </c>
      <c r="AN217" s="2725">
        <v>48</v>
      </c>
      <c r="AO217" s="2726">
        <v>48</v>
      </c>
      <c r="AQ217" s="5">
        <v>1</v>
      </c>
    </row>
    <row r="218" spans="22:43" ht="21" customHeight="1">
      <c r="V218" s="4096"/>
      <c r="W218" s="2732" t="s">
        <v>5497</v>
      </c>
      <c r="X218" s="2733" t="s">
        <v>5498</v>
      </c>
      <c r="Y218" s="2734">
        <v>122</v>
      </c>
      <c r="Z218" s="2735">
        <v>139</v>
      </c>
      <c r="AA218" s="2736">
        <v>139</v>
      </c>
      <c r="AB218"/>
      <c r="AC218" s="4097"/>
      <c r="AD218" s="2728" t="s">
        <v>5499</v>
      </c>
      <c r="AE218" s="2723" t="s">
        <v>5500</v>
      </c>
      <c r="AF218" s="2724">
        <v>74</v>
      </c>
      <c r="AG218" s="2725">
        <v>118</v>
      </c>
      <c r="AH218" s="2726">
        <v>110</v>
      </c>
      <c r="AI218"/>
      <c r="AJ218" s="4098"/>
      <c r="AK218" s="2728" t="s">
        <v>5501</v>
      </c>
      <c r="AL218" s="2723" t="s">
        <v>5502</v>
      </c>
      <c r="AM218" s="2724">
        <v>192</v>
      </c>
      <c r="AN218" s="2725">
        <v>0</v>
      </c>
      <c r="AO218" s="2726">
        <v>0</v>
      </c>
      <c r="AQ218" s="5">
        <v>1</v>
      </c>
    </row>
    <row r="219" spans="22:43" ht="21" customHeight="1">
      <c r="V219" s="4099"/>
      <c r="W219" s="2732" t="s">
        <v>5503</v>
      </c>
      <c r="X219" s="2733" t="s">
        <v>5504</v>
      </c>
      <c r="Y219" s="2734">
        <v>102</v>
      </c>
      <c r="Z219" s="2735">
        <v>139</v>
      </c>
      <c r="AA219" s="2736">
        <v>139</v>
      </c>
      <c r="AB219"/>
      <c r="AC219" s="4100"/>
      <c r="AD219" s="2739" t="s">
        <v>5505</v>
      </c>
      <c r="AE219" s="2723" t="s">
        <v>5506</v>
      </c>
      <c r="AF219" s="2724">
        <v>78</v>
      </c>
      <c r="AG219" s="2725">
        <v>87</v>
      </c>
      <c r="AH219" s="2726">
        <v>85</v>
      </c>
      <c r="AI219"/>
      <c r="AJ219" s="4101"/>
      <c r="AK219" s="2728" t="s">
        <v>5507</v>
      </c>
      <c r="AL219" s="2723" t="s">
        <v>5508</v>
      </c>
      <c r="AM219" s="2724">
        <v>139</v>
      </c>
      <c r="AN219" s="2725">
        <v>137</v>
      </c>
      <c r="AO219" s="2726">
        <v>137</v>
      </c>
      <c r="AQ219" s="5">
        <v>1</v>
      </c>
    </row>
    <row r="220" spans="22:43" ht="21" customHeight="1">
      <c r="V220" s="4102"/>
      <c r="W220" s="2732" t="s">
        <v>5509</v>
      </c>
      <c r="X220" s="2733" t="s">
        <v>5510</v>
      </c>
      <c r="Y220" s="2734">
        <v>82</v>
      </c>
      <c r="Z220" s="2735">
        <v>139</v>
      </c>
      <c r="AA220" s="2736">
        <v>139</v>
      </c>
      <c r="AB220"/>
      <c r="AC220" s="4103"/>
      <c r="AD220" s="2739" t="s">
        <v>5511</v>
      </c>
      <c r="AE220" s="2723" t="s">
        <v>5512</v>
      </c>
      <c r="AF220" s="2724">
        <v>58</v>
      </c>
      <c r="AG220" s="2725">
        <v>75</v>
      </c>
      <c r="AH220" s="2726">
        <v>71</v>
      </c>
      <c r="AI220"/>
      <c r="AJ220" s="4104"/>
      <c r="AK220" s="2739" t="s">
        <v>5513</v>
      </c>
      <c r="AL220" s="2723" t="s">
        <v>5514</v>
      </c>
      <c r="AM220" s="2724">
        <v>190</v>
      </c>
      <c r="AN220" s="2725">
        <v>0</v>
      </c>
      <c r="AO220" s="2726">
        <v>50</v>
      </c>
      <c r="AQ220" s="5">
        <v>1</v>
      </c>
    </row>
    <row r="221" spans="22:43" ht="21" customHeight="1">
      <c r="V221" s="4105"/>
      <c r="W221" s="2753" t="s">
        <v>5515</v>
      </c>
      <c r="X221" s="2733" t="s">
        <v>5516</v>
      </c>
      <c r="Y221" s="2734">
        <v>0</v>
      </c>
      <c r="Z221" s="2735">
        <v>142</v>
      </c>
      <c r="AA221" s="2736">
        <v>142</v>
      </c>
      <c r="AB221"/>
      <c r="AC221" s="4106"/>
      <c r="AD221" s="2739" t="s">
        <v>5517</v>
      </c>
      <c r="AE221" s="2723" t="s">
        <v>5518</v>
      </c>
      <c r="AF221" s="2724">
        <v>201</v>
      </c>
      <c r="AG221" s="2725">
        <v>220</v>
      </c>
      <c r="AH221" s="2726">
        <v>137</v>
      </c>
      <c r="AI221"/>
      <c r="AJ221" s="4107"/>
      <c r="AK221" s="2739" t="s">
        <v>5519</v>
      </c>
      <c r="AL221" s="2723" t="s">
        <v>5520</v>
      </c>
      <c r="AM221" s="2724">
        <v>188</v>
      </c>
      <c r="AN221" s="2725">
        <v>32</v>
      </c>
      <c r="AO221" s="2726">
        <v>1</v>
      </c>
      <c r="AQ221" s="5">
        <v>1</v>
      </c>
    </row>
    <row r="222" spans="22:43" ht="21" customHeight="1">
      <c r="V222" s="4108"/>
      <c r="W222" s="2732" t="s">
        <v>5521</v>
      </c>
      <c r="X222" s="2733" t="s">
        <v>5522</v>
      </c>
      <c r="Y222" s="2734">
        <v>0</v>
      </c>
      <c r="Z222" s="2735">
        <v>139</v>
      </c>
      <c r="AA222" s="2736">
        <v>139</v>
      </c>
      <c r="AB222"/>
      <c r="AC222" s="4109"/>
      <c r="AD222" s="2739" t="s">
        <v>5523</v>
      </c>
      <c r="AE222" s="2723" t="s">
        <v>5524</v>
      </c>
      <c r="AF222" s="2724">
        <v>189</v>
      </c>
      <c r="AG222" s="2725">
        <v>218</v>
      </c>
      <c r="AH222" s="2726">
        <v>87</v>
      </c>
      <c r="AI222"/>
      <c r="AJ222" s="4110"/>
      <c r="AK222" s="2739" t="s">
        <v>5525</v>
      </c>
      <c r="AL222" s="2723" t="s">
        <v>5526</v>
      </c>
      <c r="AM222" s="2724">
        <v>187</v>
      </c>
      <c r="AN222" s="2725">
        <v>11</v>
      </c>
      <c r="AO222" s="2726">
        <v>11</v>
      </c>
      <c r="AQ222" s="5">
        <v>1</v>
      </c>
    </row>
    <row r="223" spans="22:43" ht="21" customHeight="1">
      <c r="V223" s="4111"/>
      <c r="W223" s="2732" t="s">
        <v>5527</v>
      </c>
      <c r="X223" s="2733" t="s">
        <v>5528</v>
      </c>
      <c r="Y223" s="2734">
        <v>0</v>
      </c>
      <c r="Z223" s="2735">
        <v>128</v>
      </c>
      <c r="AA223" s="2736">
        <v>128</v>
      </c>
      <c r="AB223"/>
      <c r="AC223" s="4112"/>
      <c r="AD223" s="2739" t="s">
        <v>5529</v>
      </c>
      <c r="AE223" s="2723" t="s">
        <v>5530</v>
      </c>
      <c r="AF223" s="2724">
        <v>143</v>
      </c>
      <c r="AG223" s="2725">
        <v>151</v>
      </c>
      <c r="AH223" s="2726">
        <v>121</v>
      </c>
      <c r="AI223"/>
      <c r="AJ223" s="4113"/>
      <c r="AK223" s="2739" t="s">
        <v>5531</v>
      </c>
      <c r="AL223" s="2723" t="s">
        <v>5532</v>
      </c>
      <c r="AM223" s="2724">
        <v>171</v>
      </c>
      <c r="AN223" s="2725">
        <v>78</v>
      </c>
      <c r="AO223" s="2726">
        <v>82</v>
      </c>
      <c r="AQ223" s="5">
        <v>1</v>
      </c>
    </row>
    <row r="224" spans="22:43" ht="21" customHeight="1">
      <c r="V224" s="4114"/>
      <c r="W224" s="2732" t="s">
        <v>5533</v>
      </c>
      <c r="X224" s="2733" t="s">
        <v>5534</v>
      </c>
      <c r="Y224" s="2734">
        <v>47</v>
      </c>
      <c r="Z224" s="2735">
        <v>79</v>
      </c>
      <c r="AA224" s="2736">
        <v>79</v>
      </c>
      <c r="AB224"/>
      <c r="AC224" s="4115"/>
      <c r="AD224" s="2739" t="s">
        <v>5535</v>
      </c>
      <c r="AE224" s="2723" t="s">
        <v>5536</v>
      </c>
      <c r="AF224" s="2724">
        <v>138</v>
      </c>
      <c r="AG224" s="2725">
        <v>154</v>
      </c>
      <c r="AH224" s="2726">
        <v>91</v>
      </c>
      <c r="AI224"/>
      <c r="AJ224" s="4116"/>
      <c r="AK224" s="2739" t="s">
        <v>5537</v>
      </c>
      <c r="AL224" s="2723" t="s">
        <v>5538</v>
      </c>
      <c r="AM224" s="2724">
        <v>184</v>
      </c>
      <c r="AN224" s="2725">
        <v>32</v>
      </c>
      <c r="AO224" s="2726">
        <v>16</v>
      </c>
      <c r="AQ224" s="5">
        <v>1</v>
      </c>
    </row>
    <row r="225" spans="22:43" ht="21" customHeight="1">
      <c r="V225" s="4117"/>
      <c r="W225" s="2753" t="s">
        <v>5539</v>
      </c>
      <c r="X225" s="2733" t="s">
        <v>5540</v>
      </c>
      <c r="Y225" s="2734">
        <v>0</v>
      </c>
      <c r="Z225" s="2735">
        <v>75</v>
      </c>
      <c r="AA225" s="2736">
        <v>73</v>
      </c>
      <c r="AB225"/>
      <c r="AC225" s="4118"/>
      <c r="AD225" s="2739" t="s">
        <v>5541</v>
      </c>
      <c r="AE225" s="2723" t="s">
        <v>5542</v>
      </c>
      <c r="AF225" s="2724">
        <v>121</v>
      </c>
      <c r="AG225" s="2725">
        <v>137</v>
      </c>
      <c r="AH225" s="2726">
        <v>51</v>
      </c>
      <c r="AI225"/>
      <c r="AJ225" s="4119"/>
      <c r="AK225" s="2728" t="s">
        <v>5543</v>
      </c>
      <c r="AL225" s="2723" t="s">
        <v>5544</v>
      </c>
      <c r="AM225" s="2724">
        <v>178</v>
      </c>
      <c r="AN225" s="2725">
        <v>34</v>
      </c>
      <c r="AO225" s="2726">
        <v>34</v>
      </c>
      <c r="AQ225" s="5">
        <v>1</v>
      </c>
    </row>
    <row r="226" spans="22:43" ht="21" customHeight="1">
      <c r="V226" s="4120"/>
      <c r="W226" s="2753" t="s">
        <v>5545</v>
      </c>
      <c r="X226" s="2733" t="s">
        <v>5546</v>
      </c>
      <c r="Y226" s="2734">
        <v>0</v>
      </c>
      <c r="Z226" s="2735">
        <v>42</v>
      </c>
      <c r="AA226" s="2736">
        <v>41</v>
      </c>
      <c r="AB226"/>
      <c r="AC226" s="4121"/>
      <c r="AD226" s="2739" t="s">
        <v>5547</v>
      </c>
      <c r="AE226" s="2723" t="s">
        <v>5548</v>
      </c>
      <c r="AF226" s="2724">
        <v>90</v>
      </c>
      <c r="AG226" s="2725">
        <v>101</v>
      </c>
      <c r="AH226" s="2726">
        <v>33</v>
      </c>
      <c r="AI226"/>
      <c r="AJ226" s="4122"/>
      <c r="AK226" s="2739" t="s">
        <v>5549</v>
      </c>
      <c r="AL226" s="2723" t="s">
        <v>5550</v>
      </c>
      <c r="AM226" s="2724">
        <v>170</v>
      </c>
      <c r="AN226" s="2725">
        <v>56</v>
      </c>
      <c r="AO226" s="2726">
        <v>30</v>
      </c>
      <c r="AQ226" s="5">
        <v>1</v>
      </c>
    </row>
    <row r="227" spans="22:43" ht="21" customHeight="1">
      <c r="V227" s="4123"/>
      <c r="W227" s="2753" t="s">
        <v>5551</v>
      </c>
      <c r="X227" s="2733" t="s">
        <v>5552</v>
      </c>
      <c r="Y227" s="2734">
        <v>11</v>
      </c>
      <c r="Z227" s="2735">
        <v>22</v>
      </c>
      <c r="AA227" s="2736">
        <v>22</v>
      </c>
      <c r="AB227"/>
      <c r="AC227" s="4124"/>
      <c r="AD227" s="2739" t="s">
        <v>5553</v>
      </c>
      <c r="AE227" s="2723" t="s">
        <v>5554</v>
      </c>
      <c r="AF227" s="2724">
        <v>255</v>
      </c>
      <c r="AG227" s="2725">
        <v>215</v>
      </c>
      <c r="AH227" s="2726">
        <v>0</v>
      </c>
      <c r="AI227"/>
      <c r="AJ227" s="4125"/>
      <c r="AK227" s="2728" t="s">
        <v>5555</v>
      </c>
      <c r="AL227" s="2723" t="s">
        <v>5556</v>
      </c>
      <c r="AM227" s="2724">
        <v>166</v>
      </c>
      <c r="AN227" s="2725">
        <v>42</v>
      </c>
      <c r="AO227" s="2726">
        <v>42</v>
      </c>
      <c r="AQ227" s="5">
        <v>1</v>
      </c>
    </row>
    <row r="228" spans="22:43" ht="21" customHeight="1">
      <c r="V228" s="4126"/>
      <c r="W228" s="2732" t="s">
        <v>5557</v>
      </c>
      <c r="X228" s="2733" t="s">
        <v>5558</v>
      </c>
      <c r="Y228" s="2734">
        <v>0</v>
      </c>
      <c r="Z228" s="2735">
        <v>245</v>
      </c>
      <c r="AA228" s="2736">
        <v>255</v>
      </c>
      <c r="AB228"/>
      <c r="AC228" s="4127"/>
      <c r="AD228" s="2739" t="s">
        <v>5559</v>
      </c>
      <c r="AE228" s="2723" t="s">
        <v>5560</v>
      </c>
      <c r="AF228" s="2724">
        <v>255</v>
      </c>
      <c r="AG228" s="2725">
        <v>228</v>
      </c>
      <c r="AH228" s="2726">
        <v>54</v>
      </c>
      <c r="AI228"/>
      <c r="AJ228" s="4128"/>
      <c r="AK228" s="2728" t="s">
        <v>5561</v>
      </c>
      <c r="AL228" s="2723" t="s">
        <v>5562</v>
      </c>
      <c r="AM228" s="2724">
        <v>139</v>
      </c>
      <c r="AN228" s="2725">
        <v>105</v>
      </c>
      <c r="AO228" s="2726">
        <v>105</v>
      </c>
      <c r="AQ228" s="5">
        <v>1</v>
      </c>
    </row>
    <row r="229" spans="22:43" ht="21" customHeight="1">
      <c r="V229" s="4129"/>
      <c r="W229" s="2753" t="s">
        <v>5563</v>
      </c>
      <c r="X229" s="2733" t="s">
        <v>5564</v>
      </c>
      <c r="Y229" s="2734">
        <v>156</v>
      </c>
      <c r="Z229" s="2735">
        <v>209</v>
      </c>
      <c r="AA229" s="2736">
        <v>220</v>
      </c>
      <c r="AB229"/>
      <c r="AC229" s="4130"/>
      <c r="AD229" s="2739" t="s">
        <v>5565</v>
      </c>
      <c r="AE229" s="2723" t="s">
        <v>5566</v>
      </c>
      <c r="AF229" s="2724">
        <v>254</v>
      </c>
      <c r="AG229" s="2725">
        <v>227</v>
      </c>
      <c r="AH229" s="2726">
        <v>71</v>
      </c>
      <c r="AI229"/>
      <c r="AJ229" s="4131"/>
      <c r="AK229" s="2728" t="s">
        <v>5567</v>
      </c>
      <c r="AL229" s="2723" t="s">
        <v>5568</v>
      </c>
      <c r="AM229" s="2724">
        <v>165</v>
      </c>
      <c r="AN229" s="2725">
        <v>42</v>
      </c>
      <c r="AO229" s="2726">
        <v>42</v>
      </c>
      <c r="AQ229" s="5">
        <v>1</v>
      </c>
    </row>
    <row r="230" spans="22:43" ht="21" customHeight="1">
      <c r="V230" s="4132"/>
      <c r="W230" s="2732" t="s">
        <v>5569</v>
      </c>
      <c r="X230" s="2733" t="s">
        <v>5570</v>
      </c>
      <c r="Y230" s="2734">
        <v>142</v>
      </c>
      <c r="Z230" s="2735">
        <v>229</v>
      </c>
      <c r="AA230" s="2736">
        <v>238</v>
      </c>
      <c r="AB230"/>
      <c r="AC230" s="4133"/>
      <c r="AD230" s="2739" t="s">
        <v>5571</v>
      </c>
      <c r="AE230" s="2723" t="s">
        <v>5572</v>
      </c>
      <c r="AF230" s="2724">
        <v>250</v>
      </c>
      <c r="AG230" s="2725">
        <v>218</v>
      </c>
      <c r="AH230" s="2726">
        <v>94</v>
      </c>
      <c r="AI230"/>
      <c r="AJ230" s="4134"/>
      <c r="AK230" s="2739" t="s">
        <v>5573</v>
      </c>
      <c r="AL230" s="2723" t="s">
        <v>5574</v>
      </c>
      <c r="AM230" s="2724">
        <v>169</v>
      </c>
      <c r="AN230" s="2725">
        <v>17</v>
      </c>
      <c r="AO230" s="2726">
        <v>1</v>
      </c>
      <c r="AQ230" s="5">
        <v>1</v>
      </c>
    </row>
    <row r="231" spans="22:43" ht="21" customHeight="1">
      <c r="V231" s="4135"/>
      <c r="W231" s="2732" t="s">
        <v>5575</v>
      </c>
      <c r="X231" s="2733" t="s">
        <v>5576</v>
      </c>
      <c r="Y231" s="2734">
        <v>176</v>
      </c>
      <c r="Z231" s="2735">
        <v>224</v>
      </c>
      <c r="AA231" s="2736">
        <v>230</v>
      </c>
      <c r="AB231"/>
      <c r="AC231" s="4136"/>
      <c r="AD231" s="2739" t="s">
        <v>5577</v>
      </c>
      <c r="AE231" s="2723" t="s">
        <v>5578</v>
      </c>
      <c r="AF231" s="2724">
        <v>247</v>
      </c>
      <c r="AG231" s="2725">
        <v>226</v>
      </c>
      <c r="AH231" s="2726">
        <v>105</v>
      </c>
      <c r="AI231"/>
      <c r="AJ231" s="4137"/>
      <c r="AK231" s="2739" t="s">
        <v>5579</v>
      </c>
      <c r="AL231" s="2723" t="s">
        <v>5580</v>
      </c>
      <c r="AM231" s="2724">
        <v>144</v>
      </c>
      <c r="AN231" s="2725">
        <v>93</v>
      </c>
      <c r="AO231" s="2726">
        <v>93</v>
      </c>
      <c r="AQ231" s="5">
        <v>1</v>
      </c>
    </row>
    <row r="232" spans="22:43" ht="21" customHeight="1">
      <c r="V232" s="4138"/>
      <c r="W232" s="2732" t="s">
        <v>5581</v>
      </c>
      <c r="X232" s="2733" t="s">
        <v>5582</v>
      </c>
      <c r="Y232" s="2734">
        <v>152</v>
      </c>
      <c r="Z232" s="2735">
        <v>245</v>
      </c>
      <c r="AA232" s="2736">
        <v>255</v>
      </c>
      <c r="AB232"/>
      <c r="AC232" s="4139"/>
      <c r="AD232" s="2728" t="s">
        <v>5583</v>
      </c>
      <c r="AE232" s="2723" t="s">
        <v>5584</v>
      </c>
      <c r="AF232" s="2724">
        <v>238</v>
      </c>
      <c r="AG232" s="2725">
        <v>220</v>
      </c>
      <c r="AH232" s="2726">
        <v>130</v>
      </c>
      <c r="AI232"/>
      <c r="AJ232" s="4140"/>
      <c r="AK232" s="2739" t="s">
        <v>5585</v>
      </c>
      <c r="AL232" s="2723" t="s">
        <v>5586</v>
      </c>
      <c r="AM232" s="2724">
        <v>164</v>
      </c>
      <c r="AN232" s="2725">
        <v>36</v>
      </c>
      <c r="AO232" s="2726">
        <v>36</v>
      </c>
      <c r="AQ232" s="5">
        <v>1</v>
      </c>
    </row>
    <row r="233" spans="22:43" ht="21" customHeight="1">
      <c r="V233" s="4141"/>
      <c r="W233" s="2732" t="s">
        <v>5587</v>
      </c>
      <c r="X233" s="2733" t="s">
        <v>5588</v>
      </c>
      <c r="Y233" s="2734">
        <v>0</v>
      </c>
      <c r="Z233" s="2735">
        <v>229</v>
      </c>
      <c r="AA233" s="2736">
        <v>238</v>
      </c>
      <c r="AB233"/>
      <c r="AC233" s="4142"/>
      <c r="AD233" s="2728" t="s">
        <v>5589</v>
      </c>
      <c r="AE233" s="2723" t="s">
        <v>5584</v>
      </c>
      <c r="AF233" s="2724">
        <v>238</v>
      </c>
      <c r="AG233" s="2725">
        <v>221</v>
      </c>
      <c r="AH233" s="2726">
        <v>130</v>
      </c>
      <c r="AI233"/>
      <c r="AJ233" s="4143"/>
      <c r="AK233" s="2739" t="s">
        <v>5590</v>
      </c>
      <c r="AL233" s="2723" t="s">
        <v>5591</v>
      </c>
      <c r="AM233" s="2724">
        <v>165</v>
      </c>
      <c r="AN233" s="2725">
        <v>38</v>
      </c>
      <c r="AO233" s="2726">
        <v>10</v>
      </c>
      <c r="AQ233" s="5">
        <v>1</v>
      </c>
    </row>
    <row r="234" spans="22:43" ht="21" customHeight="1">
      <c r="V234" s="4144"/>
      <c r="W234" s="2732" t="s">
        <v>5592</v>
      </c>
      <c r="X234" s="2733" t="s">
        <v>5593</v>
      </c>
      <c r="Y234" s="2734">
        <v>122</v>
      </c>
      <c r="Z234" s="2735">
        <v>197</v>
      </c>
      <c r="AA234" s="2736">
        <v>205</v>
      </c>
      <c r="AB234"/>
      <c r="AC234" s="4145"/>
      <c r="AD234" s="2739" t="s">
        <v>5594</v>
      </c>
      <c r="AE234" s="2723" t="s">
        <v>5595</v>
      </c>
      <c r="AF234" s="2724">
        <v>225</v>
      </c>
      <c r="AG234" s="2725">
        <v>206</v>
      </c>
      <c r="AH234" s="2726">
        <v>154</v>
      </c>
      <c r="AI234"/>
      <c r="AJ234" s="4146"/>
      <c r="AK234" s="2728" t="s">
        <v>5596</v>
      </c>
      <c r="AL234" s="2723" t="s">
        <v>5597</v>
      </c>
      <c r="AM234" s="2724">
        <v>133</v>
      </c>
      <c r="AN234" s="2725">
        <v>99</v>
      </c>
      <c r="AO234" s="2726">
        <v>99</v>
      </c>
      <c r="AQ234" s="5">
        <v>1</v>
      </c>
    </row>
    <row r="235" spans="22:43" ht="21" customHeight="1">
      <c r="V235" s="4147"/>
      <c r="W235" s="2732" t="s">
        <v>5598</v>
      </c>
      <c r="X235" s="2733" t="s">
        <v>5599</v>
      </c>
      <c r="Y235" s="2734">
        <v>0</v>
      </c>
      <c r="Z235" s="2735">
        <v>197</v>
      </c>
      <c r="AA235" s="2736">
        <v>205</v>
      </c>
      <c r="AB235"/>
      <c r="AC235" s="4148"/>
      <c r="AD235" s="2739" t="s">
        <v>5600</v>
      </c>
      <c r="AE235" s="2723" t="s">
        <v>5601</v>
      </c>
      <c r="AF235" s="2724">
        <v>248</v>
      </c>
      <c r="AG235" s="2725">
        <v>222</v>
      </c>
      <c r="AH235" s="2726">
        <v>126</v>
      </c>
      <c r="AI235"/>
      <c r="AJ235" s="4149"/>
      <c r="AK235" s="2739" t="s">
        <v>5602</v>
      </c>
      <c r="AL235" s="2723" t="s">
        <v>5603</v>
      </c>
      <c r="AM235" s="2724">
        <v>150</v>
      </c>
      <c r="AN235" s="2725">
        <v>0</v>
      </c>
      <c r="AO235" s="2726">
        <v>24</v>
      </c>
      <c r="AQ235" s="5">
        <v>1</v>
      </c>
    </row>
    <row r="236" spans="22:43" ht="21" customHeight="1">
      <c r="V236" s="4150"/>
      <c r="W236" s="2732" t="s">
        <v>5604</v>
      </c>
      <c r="X236" s="2733" t="s">
        <v>5605</v>
      </c>
      <c r="Y236" s="2734">
        <v>3</v>
      </c>
      <c r="Z236" s="2735">
        <v>180</v>
      </c>
      <c r="AA236" s="2736">
        <v>200</v>
      </c>
      <c r="AB236"/>
      <c r="AC236" s="4151"/>
      <c r="AD236" s="2739" t="s">
        <v>5606</v>
      </c>
      <c r="AE236" s="2723" t="s">
        <v>5607</v>
      </c>
      <c r="AF236" s="2724">
        <v>255</v>
      </c>
      <c r="AG236" s="2725">
        <v>222</v>
      </c>
      <c r="AH236" s="2726">
        <v>117</v>
      </c>
      <c r="AI236"/>
      <c r="AJ236" s="4152"/>
      <c r="AK236" s="2728" t="s">
        <v>5608</v>
      </c>
      <c r="AL236" s="2723" t="s">
        <v>5609</v>
      </c>
      <c r="AM236" s="2724">
        <v>139</v>
      </c>
      <c r="AN236" s="2725">
        <v>58</v>
      </c>
      <c r="AO236" s="2726">
        <v>58</v>
      </c>
      <c r="AQ236" s="5">
        <v>1</v>
      </c>
    </row>
    <row r="237" spans="22:43" ht="21" customHeight="1">
      <c r="V237" s="4153"/>
      <c r="W237" s="2753" t="s">
        <v>5610</v>
      </c>
      <c r="X237" s="2733" t="s">
        <v>5611</v>
      </c>
      <c r="Y237" s="2734">
        <v>121</v>
      </c>
      <c r="Z237" s="2735">
        <v>128</v>
      </c>
      <c r="AA237" s="2736">
        <v>129</v>
      </c>
      <c r="AB237"/>
      <c r="AC237" s="4154"/>
      <c r="AD237" s="2728" t="s">
        <v>5612</v>
      </c>
      <c r="AE237" s="2723" t="s">
        <v>5613</v>
      </c>
      <c r="AF237" s="2724">
        <v>255</v>
      </c>
      <c r="AG237" s="2725">
        <v>236</v>
      </c>
      <c r="AH237" s="2726">
        <v>139</v>
      </c>
      <c r="AI237"/>
      <c r="AJ237" s="4155"/>
      <c r="AK237" s="2728" t="s">
        <v>5614</v>
      </c>
      <c r="AL237" s="2723" t="s">
        <v>5615</v>
      </c>
      <c r="AM237" s="2724">
        <v>142</v>
      </c>
      <c r="AN237" s="2725">
        <v>35</v>
      </c>
      <c r="AO237" s="2726">
        <v>35</v>
      </c>
      <c r="AQ237" s="5">
        <v>1</v>
      </c>
    </row>
    <row r="238" spans="22:43" ht="21" customHeight="1">
      <c r="V238" s="4156"/>
      <c r="W238" s="2732" t="s">
        <v>5616</v>
      </c>
      <c r="X238" s="2733" t="s">
        <v>5617</v>
      </c>
      <c r="Y238" s="2734">
        <v>83</v>
      </c>
      <c r="Z238" s="2735">
        <v>134</v>
      </c>
      <c r="AA238" s="2736">
        <v>139</v>
      </c>
      <c r="AB238"/>
      <c r="AC238" s="4157"/>
      <c r="AD238" s="2739" t="s">
        <v>5618</v>
      </c>
      <c r="AE238" s="2723" t="s">
        <v>5619</v>
      </c>
      <c r="AF238" s="2724">
        <v>243</v>
      </c>
      <c r="AG238" s="2725">
        <v>229</v>
      </c>
      <c r="AH238" s="2726">
        <v>171</v>
      </c>
      <c r="AI238"/>
      <c r="AJ238" s="4158"/>
      <c r="AK238" s="2728" t="s">
        <v>5620</v>
      </c>
      <c r="AL238" s="2723" t="s">
        <v>5621</v>
      </c>
      <c r="AM238" s="2724">
        <v>139</v>
      </c>
      <c r="AN238" s="2725">
        <v>35</v>
      </c>
      <c r="AO238" s="2726">
        <v>35</v>
      </c>
      <c r="AQ238" s="5">
        <v>1</v>
      </c>
    </row>
    <row r="239" spans="22:43" ht="21" customHeight="1">
      <c r="V239" s="4159"/>
      <c r="W239" s="2753" t="s">
        <v>5622</v>
      </c>
      <c r="X239" s="2733" t="s">
        <v>5623</v>
      </c>
      <c r="Y239" s="2734">
        <v>4</v>
      </c>
      <c r="Z239" s="2735">
        <v>139</v>
      </c>
      <c r="AA239" s="2736">
        <v>154</v>
      </c>
      <c r="AB239"/>
      <c r="AC239" s="4160"/>
      <c r="AD239" s="2739" t="s">
        <v>5624</v>
      </c>
      <c r="AE239" s="2723" t="s">
        <v>5625</v>
      </c>
      <c r="AF239" s="2724">
        <v>241</v>
      </c>
      <c r="AG239" s="2725">
        <v>226</v>
      </c>
      <c r="AH239" s="2726">
        <v>190</v>
      </c>
      <c r="AI239"/>
      <c r="AJ239" s="4161"/>
      <c r="AK239" s="2728" t="s">
        <v>5626</v>
      </c>
      <c r="AL239" s="2723" t="s">
        <v>5627</v>
      </c>
      <c r="AM239" s="2724">
        <v>140</v>
      </c>
      <c r="AN239" s="2725">
        <v>23</v>
      </c>
      <c r="AO239" s="2726">
        <v>23</v>
      </c>
      <c r="AQ239" s="5">
        <v>1</v>
      </c>
    </row>
    <row r="240" spans="22:43" ht="21" customHeight="1">
      <c r="V240" s="4162"/>
      <c r="W240" s="2732" t="s">
        <v>5628</v>
      </c>
      <c r="X240" s="2733" t="s">
        <v>5629</v>
      </c>
      <c r="Y240" s="2734">
        <v>0</v>
      </c>
      <c r="Z240" s="2735">
        <v>134</v>
      </c>
      <c r="AA240" s="2736">
        <v>139</v>
      </c>
      <c r="AB240"/>
      <c r="AC240" s="4163"/>
      <c r="AD240" s="2739" t="s">
        <v>5630</v>
      </c>
      <c r="AE240" s="2723" t="s">
        <v>5631</v>
      </c>
      <c r="AF240" s="2724">
        <v>255</v>
      </c>
      <c r="AG240" s="2725">
        <v>240</v>
      </c>
      <c r="AH240" s="2726">
        <v>188</v>
      </c>
      <c r="AI240"/>
      <c r="AJ240" s="4164"/>
      <c r="AK240" s="2728" t="s">
        <v>5632</v>
      </c>
      <c r="AL240" s="2723" t="s">
        <v>5633</v>
      </c>
      <c r="AM240" s="2724">
        <v>139</v>
      </c>
      <c r="AN240" s="2725">
        <v>26</v>
      </c>
      <c r="AO240" s="2726">
        <v>26</v>
      </c>
      <c r="AQ240" s="5">
        <v>1</v>
      </c>
    </row>
    <row r="241" spans="22:43" ht="21" customHeight="1">
      <c r="V241" s="4165"/>
      <c r="W241" s="2753" t="s">
        <v>5634</v>
      </c>
      <c r="X241" s="2733" t="s">
        <v>5635</v>
      </c>
      <c r="Y241" s="2734">
        <v>37</v>
      </c>
      <c r="Z241" s="2735">
        <v>253</v>
      </c>
      <c r="AA241" s="2736">
        <v>233</v>
      </c>
      <c r="AB241"/>
      <c r="AC241" s="4166"/>
      <c r="AD241" s="2739" t="s">
        <v>5636</v>
      </c>
      <c r="AE241" s="2723" t="s">
        <v>5637</v>
      </c>
      <c r="AF241" s="2724">
        <v>250</v>
      </c>
      <c r="AG241" s="2725">
        <v>240</v>
      </c>
      <c r="AH241" s="2726">
        <v>197</v>
      </c>
      <c r="AI241"/>
      <c r="AJ241" s="4167"/>
      <c r="AK241" s="2728" t="s">
        <v>5638</v>
      </c>
      <c r="AL241" s="2723" t="s">
        <v>5639</v>
      </c>
      <c r="AM241" s="2724">
        <v>139</v>
      </c>
      <c r="AN241" s="2725">
        <v>0</v>
      </c>
      <c r="AO241" s="2726">
        <v>0</v>
      </c>
      <c r="AQ241" s="5">
        <v>1</v>
      </c>
    </row>
    <row r="242" spans="22:43" ht="21" customHeight="1">
      <c r="V242" s="4168"/>
      <c r="W242" s="2732" t="s">
        <v>5640</v>
      </c>
      <c r="X242" s="2733" t="s">
        <v>5641</v>
      </c>
      <c r="Y242" s="2734">
        <v>64</v>
      </c>
      <c r="Z242" s="2735">
        <v>224</v>
      </c>
      <c r="AA242" s="2736">
        <v>208</v>
      </c>
      <c r="AB242"/>
      <c r="AC242" s="4169"/>
      <c r="AD242" s="2739" t="s">
        <v>5642</v>
      </c>
      <c r="AE242" s="2723" t="s">
        <v>5643</v>
      </c>
      <c r="AF242" s="2724">
        <v>240</v>
      </c>
      <c r="AG242" s="2725">
        <v>234</v>
      </c>
      <c r="AH242" s="2726">
        <v>214</v>
      </c>
      <c r="AI242"/>
      <c r="AJ242" s="4170"/>
      <c r="AK242" s="2728" t="s">
        <v>5644</v>
      </c>
      <c r="AL242" s="2723" t="s">
        <v>5639</v>
      </c>
      <c r="AM242" s="2724">
        <v>139</v>
      </c>
      <c r="AN242" s="2725">
        <v>37</v>
      </c>
      <c r="AO242" s="2726">
        <v>0</v>
      </c>
      <c r="AQ242" s="5">
        <v>1</v>
      </c>
    </row>
    <row r="243" spans="22:43" ht="21" customHeight="1">
      <c r="V243" s="4171"/>
      <c r="W243" s="2753" t="s">
        <v>5645</v>
      </c>
      <c r="X243" s="2733" t="s">
        <v>5646</v>
      </c>
      <c r="Y243" s="2734">
        <v>102</v>
      </c>
      <c r="Z243" s="2735">
        <v>173</v>
      </c>
      <c r="AA243" s="2736">
        <v>164</v>
      </c>
      <c r="AB243"/>
      <c r="AC243" s="4172"/>
      <c r="AD243" s="2728" t="s">
        <v>5647</v>
      </c>
      <c r="AE243" s="2723" t="s">
        <v>5648</v>
      </c>
      <c r="AF243" s="2724">
        <v>255</v>
      </c>
      <c r="AG243" s="2725">
        <v>248</v>
      </c>
      <c r="AH243" s="2726">
        <v>220</v>
      </c>
      <c r="AI243"/>
      <c r="AJ243" s="4173"/>
      <c r="AK243" s="2739" t="s">
        <v>5649</v>
      </c>
      <c r="AL243" s="2723" t="s">
        <v>5650</v>
      </c>
      <c r="AM243" s="2724">
        <v>132</v>
      </c>
      <c r="AN243" s="2725">
        <v>27</v>
      </c>
      <c r="AO243" s="2726">
        <v>45</v>
      </c>
      <c r="AQ243" s="5">
        <v>1</v>
      </c>
    </row>
    <row r="244" spans="22:43" ht="21" customHeight="1">
      <c r="V244" s="4174"/>
      <c r="W244" s="2732" t="s">
        <v>5651</v>
      </c>
      <c r="X244" s="2733" t="s">
        <v>5652</v>
      </c>
      <c r="Y244" s="2734">
        <v>32</v>
      </c>
      <c r="Z244" s="2735">
        <v>178</v>
      </c>
      <c r="AA244" s="2736">
        <v>170</v>
      </c>
      <c r="AB244"/>
      <c r="AC244" s="4175"/>
      <c r="AD244" s="2739" t="s">
        <v>5653</v>
      </c>
      <c r="AE244" s="2723" t="s">
        <v>5654</v>
      </c>
      <c r="AF244" s="2724">
        <v>252</v>
      </c>
      <c r="AG244" s="2725">
        <v>220</v>
      </c>
      <c r="AH244" s="2726">
        <v>18</v>
      </c>
      <c r="AI244"/>
      <c r="AJ244" s="4176"/>
      <c r="AK244" s="2739" t="s">
        <v>5655</v>
      </c>
      <c r="AL244" s="2723" t="s">
        <v>5656</v>
      </c>
      <c r="AM244" s="2724">
        <v>133</v>
      </c>
      <c r="AN244" s="2725">
        <v>6</v>
      </c>
      <c r="AO244" s="2726">
        <v>6</v>
      </c>
      <c r="AQ244" s="5">
        <v>1</v>
      </c>
    </row>
    <row r="245" spans="22:43" ht="21" customHeight="1">
      <c r="V245" s="4177"/>
      <c r="W245" s="2753" t="s">
        <v>5657</v>
      </c>
      <c r="X245" s="2733" t="s">
        <v>5658</v>
      </c>
      <c r="Y245" s="2734">
        <v>0</v>
      </c>
      <c r="Z245" s="2735">
        <v>136</v>
      </c>
      <c r="AA245" s="2736">
        <v>130</v>
      </c>
      <c r="AB245"/>
      <c r="AC245" s="4178"/>
      <c r="AD245" s="2739" t="s">
        <v>5659</v>
      </c>
      <c r="AE245" s="2723" t="s">
        <v>5660</v>
      </c>
      <c r="AF245" s="2724">
        <v>185</v>
      </c>
      <c r="AG245" s="2725">
        <v>184</v>
      </c>
      <c r="AH245" s="2726">
        <v>181</v>
      </c>
      <c r="AI245"/>
      <c r="AJ245" s="4179"/>
      <c r="AK245" s="2728" t="s">
        <v>5661</v>
      </c>
      <c r="AL245" s="2723" t="s">
        <v>5662</v>
      </c>
      <c r="AM245" s="2724">
        <v>128</v>
      </c>
      <c r="AN245" s="2725">
        <v>0</v>
      </c>
      <c r="AO245" s="2726">
        <v>0</v>
      </c>
      <c r="AQ245" s="5">
        <v>1</v>
      </c>
    </row>
    <row r="246" spans="22:43" ht="21" customHeight="1">
      <c r="V246" s="4180"/>
      <c r="W246" s="2753" t="s">
        <v>5663</v>
      </c>
      <c r="X246" s="2733" t="s">
        <v>5664</v>
      </c>
      <c r="Y246" s="2734">
        <v>49</v>
      </c>
      <c r="Z246" s="2735">
        <v>120</v>
      </c>
      <c r="AA246" s="2736">
        <v>115</v>
      </c>
      <c r="AB246"/>
      <c r="AC246" s="4181"/>
      <c r="AD246" s="2739" t="s">
        <v>5665</v>
      </c>
      <c r="AE246" s="2723" t="s">
        <v>5666</v>
      </c>
      <c r="AF246" s="2724">
        <v>238</v>
      </c>
      <c r="AG246" s="2725">
        <v>209</v>
      </c>
      <c r="AH246" s="2726">
        <v>83</v>
      </c>
      <c r="AI246"/>
      <c r="AJ246" s="4182"/>
      <c r="AK246" s="2728" t="s">
        <v>5210</v>
      </c>
      <c r="AL246" s="2723" t="s">
        <v>5667</v>
      </c>
      <c r="AM246" s="2724">
        <v>111</v>
      </c>
      <c r="AN246" s="2725">
        <v>66</v>
      </c>
      <c r="AO246" s="2726">
        <v>66</v>
      </c>
      <c r="AQ246" s="5">
        <v>1</v>
      </c>
    </row>
    <row r="247" spans="22:43" ht="21" customHeight="1">
      <c r="V247" s="4183"/>
      <c r="W247" s="2753" t="s">
        <v>5668</v>
      </c>
      <c r="X247" s="2733" t="s">
        <v>5669</v>
      </c>
      <c r="Y247" s="2734">
        <v>0</v>
      </c>
      <c r="Z247" s="2735">
        <v>122</v>
      </c>
      <c r="AA247" s="2736">
        <v>116</v>
      </c>
      <c r="AB247"/>
      <c r="AC247" s="4184"/>
      <c r="AD247" s="2739" t="s">
        <v>5670</v>
      </c>
      <c r="AE247" s="2723" t="s">
        <v>5671</v>
      </c>
      <c r="AF247" s="2724">
        <v>246</v>
      </c>
      <c r="AG247" s="2725">
        <v>220</v>
      </c>
      <c r="AH247" s="2726">
        <v>18</v>
      </c>
      <c r="AI247"/>
      <c r="AJ247" s="4185"/>
      <c r="AK247" s="2739" t="s">
        <v>5672</v>
      </c>
      <c r="AL247" s="2723" t="s">
        <v>5673</v>
      </c>
      <c r="AM247" s="2724">
        <v>114</v>
      </c>
      <c r="AN247" s="2725">
        <v>47</v>
      </c>
      <c r="AO247" s="2726">
        <v>55</v>
      </c>
      <c r="AQ247" s="5">
        <v>1</v>
      </c>
    </row>
    <row r="248" spans="22:43" ht="21" customHeight="1">
      <c r="V248" s="4186"/>
      <c r="W248" s="2753" t="s">
        <v>5674</v>
      </c>
      <c r="X248" s="2733" t="s">
        <v>5675</v>
      </c>
      <c r="Y248" s="2734">
        <v>1</v>
      </c>
      <c r="Z248" s="2735">
        <v>121</v>
      </c>
      <c r="AA248" s="2736">
        <v>111</v>
      </c>
      <c r="AB248"/>
      <c r="AC248" s="4187"/>
      <c r="AD248" s="2739" t="s">
        <v>5676</v>
      </c>
      <c r="AE248" s="2723" t="s">
        <v>5677</v>
      </c>
      <c r="AF248" s="2724">
        <v>239</v>
      </c>
      <c r="AG248" s="2725">
        <v>210</v>
      </c>
      <c r="AH248" s="2726">
        <v>66</v>
      </c>
      <c r="AI248"/>
      <c r="AJ248" s="4188"/>
      <c r="AK248" s="2739" t="s">
        <v>5678</v>
      </c>
      <c r="AL248" s="2723" t="s">
        <v>5679</v>
      </c>
      <c r="AM248" s="2724">
        <v>92</v>
      </c>
      <c r="AN248" s="2725">
        <v>80</v>
      </c>
      <c r="AO248" s="2726">
        <v>79</v>
      </c>
      <c r="AQ248" s="5">
        <v>1</v>
      </c>
    </row>
    <row r="249" spans="22:43" ht="21" customHeight="1">
      <c r="V249" s="4189"/>
      <c r="W249" s="2753" t="s">
        <v>5680</v>
      </c>
      <c r="X249" s="2733" t="s">
        <v>5681</v>
      </c>
      <c r="Y249" s="2734">
        <v>0</v>
      </c>
      <c r="Z249" s="2735">
        <v>68</v>
      </c>
      <c r="AA249" s="2736">
        <v>63</v>
      </c>
      <c r="AB249"/>
      <c r="AC249" s="4190"/>
      <c r="AD249" s="2739" t="s">
        <v>5682</v>
      </c>
      <c r="AE249" s="2723" t="s">
        <v>5683</v>
      </c>
      <c r="AF249" s="2724">
        <v>191</v>
      </c>
      <c r="AG249" s="2725">
        <v>184</v>
      </c>
      <c r="AH249" s="2726">
        <v>165</v>
      </c>
      <c r="AI249"/>
      <c r="AJ249" s="4191"/>
      <c r="AK249" s="2739" t="s">
        <v>5684</v>
      </c>
      <c r="AL249" s="2723" t="s">
        <v>5685</v>
      </c>
      <c r="AM249" s="2724">
        <v>115</v>
      </c>
      <c r="AN249" s="2725">
        <v>8</v>
      </c>
      <c r="AO249" s="2726">
        <v>0</v>
      </c>
      <c r="AQ249" s="5">
        <v>1</v>
      </c>
    </row>
    <row r="250" spans="22:43" ht="21" customHeight="1">
      <c r="V250" s="4192"/>
      <c r="W250" s="2753" t="s">
        <v>5686</v>
      </c>
      <c r="X250" s="2733" t="s">
        <v>5687</v>
      </c>
      <c r="Y250" s="2734">
        <v>199</v>
      </c>
      <c r="Z250" s="2735">
        <v>230</v>
      </c>
      <c r="AA250" s="2736">
        <v>215</v>
      </c>
      <c r="AB250"/>
      <c r="AC250" s="4193"/>
      <c r="AD250" s="2739" t="s">
        <v>5688</v>
      </c>
      <c r="AE250" s="2723" t="s">
        <v>5689</v>
      </c>
      <c r="AF250" s="2724">
        <v>243</v>
      </c>
      <c r="AG250" s="2725">
        <v>214</v>
      </c>
      <c r="AH250" s="2726">
        <v>23</v>
      </c>
      <c r="AI250"/>
      <c r="AJ250" s="4194"/>
      <c r="AK250" s="2739" t="s">
        <v>5690</v>
      </c>
      <c r="AL250" s="2723" t="s">
        <v>5691</v>
      </c>
      <c r="AM250" s="2724">
        <v>110</v>
      </c>
      <c r="AN250" s="2725">
        <v>11</v>
      </c>
      <c r="AO250" s="2726">
        <v>20</v>
      </c>
      <c r="AQ250" s="5">
        <v>1</v>
      </c>
    </row>
    <row r="251" spans="22:43" ht="21" customHeight="1">
      <c r="V251" s="4195"/>
      <c r="W251" s="2732" t="s">
        <v>5692</v>
      </c>
      <c r="X251" s="2733" t="s">
        <v>5693</v>
      </c>
      <c r="Y251" s="2734">
        <v>245</v>
      </c>
      <c r="Z251" s="2735">
        <v>255</v>
      </c>
      <c r="AA251" s="2736">
        <v>250</v>
      </c>
      <c r="AB251"/>
      <c r="AC251" s="4196"/>
      <c r="AD251" s="2728" t="s">
        <v>5694</v>
      </c>
      <c r="AE251" s="2723" t="s">
        <v>5695</v>
      </c>
      <c r="AF251" s="2724">
        <v>238</v>
      </c>
      <c r="AG251" s="2725">
        <v>201</v>
      </c>
      <c r="AH251" s="2726">
        <v>0</v>
      </c>
      <c r="AI251"/>
      <c r="AJ251" s="4197"/>
      <c r="AK251" s="2739" t="s">
        <v>5696</v>
      </c>
      <c r="AL251" s="2723" t="s">
        <v>5697</v>
      </c>
      <c r="AM251" s="2724">
        <v>109</v>
      </c>
      <c r="AN251" s="2725">
        <v>7</v>
      </c>
      <c r="AO251" s="2726">
        <v>26</v>
      </c>
      <c r="AQ251" s="5">
        <v>1</v>
      </c>
    </row>
    <row r="252" spans="22:43" ht="21" customHeight="1">
      <c r="V252" s="4198"/>
      <c r="W252" s="2753" t="s">
        <v>5698</v>
      </c>
      <c r="X252" s="2733" t="s">
        <v>5699</v>
      </c>
      <c r="Y252" s="2734">
        <v>142</v>
      </c>
      <c r="Z252" s="2735">
        <v>209</v>
      </c>
      <c r="AA252" s="2736">
        <v>178</v>
      </c>
      <c r="AB252"/>
      <c r="AC252" s="4199"/>
      <c r="AD252" s="2739" t="s">
        <v>5700</v>
      </c>
      <c r="AE252" s="2723" t="s">
        <v>5701</v>
      </c>
      <c r="AF252" s="2724">
        <v>208</v>
      </c>
      <c r="AG252" s="2725">
        <v>192</v>
      </c>
      <c r="AH252" s="2726">
        <v>122</v>
      </c>
      <c r="AI252"/>
      <c r="AJ252" s="4200"/>
      <c r="AK252" s="2739" t="s">
        <v>5702</v>
      </c>
      <c r="AL252" s="2723" t="s">
        <v>5703</v>
      </c>
      <c r="AM252" s="2724">
        <v>107</v>
      </c>
      <c r="AN252" s="2725">
        <v>13</v>
      </c>
      <c r="AO252" s="2726">
        <v>13</v>
      </c>
      <c r="AQ252" s="5">
        <v>1</v>
      </c>
    </row>
    <row r="253" spans="22:43" ht="21" customHeight="1">
      <c r="V253" s="4201"/>
      <c r="W253" s="2753" t="s">
        <v>5704</v>
      </c>
      <c r="X253" s="2733" t="s">
        <v>5705</v>
      </c>
      <c r="Y253" s="2734">
        <v>141</v>
      </c>
      <c r="Z253" s="2735">
        <v>163</v>
      </c>
      <c r="AA253" s="2736">
        <v>153</v>
      </c>
      <c r="AB253"/>
      <c r="AC253" s="4202"/>
      <c r="AD253" s="2728" t="s">
        <v>5706</v>
      </c>
      <c r="AE253" s="2723" t="s">
        <v>5707</v>
      </c>
      <c r="AF253" s="2724">
        <v>205</v>
      </c>
      <c r="AG253" s="2725">
        <v>190</v>
      </c>
      <c r="AH253" s="2726">
        <v>112</v>
      </c>
      <c r="AI253"/>
      <c r="AJ253" s="4203"/>
      <c r="AK253" s="2739" t="s">
        <v>5708</v>
      </c>
      <c r="AL253" s="2723" t="s">
        <v>5709</v>
      </c>
      <c r="AM253" s="2724">
        <v>84</v>
      </c>
      <c r="AN253" s="2725">
        <v>61</v>
      </c>
      <c r="AO253" s="2726">
        <v>63</v>
      </c>
      <c r="AQ253" s="5">
        <v>1</v>
      </c>
    </row>
    <row r="254" spans="22:43" ht="21" customHeight="1">
      <c r="V254" s="4204"/>
      <c r="W254" s="2753" t="s">
        <v>5710</v>
      </c>
      <c r="X254" s="2733" t="s">
        <v>5711</v>
      </c>
      <c r="Y254" s="2734">
        <v>131</v>
      </c>
      <c r="Z254" s="2735">
        <v>166</v>
      </c>
      <c r="AA254" s="2736">
        <v>151</v>
      </c>
      <c r="AB254"/>
      <c r="AC254" s="4205"/>
      <c r="AD254" s="2739" t="s">
        <v>5712</v>
      </c>
      <c r="AE254" s="2723" t="s">
        <v>5713</v>
      </c>
      <c r="AF254" s="2724">
        <v>194</v>
      </c>
      <c r="AG254" s="2725">
        <v>178</v>
      </c>
      <c r="AH254" s="2726">
        <v>128</v>
      </c>
      <c r="AI254"/>
      <c r="AJ254" s="4206"/>
      <c r="AK254" s="2739" t="s">
        <v>5714</v>
      </c>
      <c r="AL254" s="2723" t="s">
        <v>5715</v>
      </c>
      <c r="AM254" s="2724">
        <v>86</v>
      </c>
      <c r="AN254" s="2725">
        <v>7</v>
      </c>
      <c r="AO254" s="2726">
        <v>12</v>
      </c>
      <c r="AQ254" s="5">
        <v>1</v>
      </c>
    </row>
    <row r="255" spans="22:43" ht="21" customHeight="1">
      <c r="V255" s="4207"/>
      <c r="W255" s="2753" t="s">
        <v>5716</v>
      </c>
      <c r="X255" s="2733" t="s">
        <v>5717</v>
      </c>
      <c r="Y255" s="2734">
        <v>106</v>
      </c>
      <c r="Z255" s="2735">
        <v>171</v>
      </c>
      <c r="AA255" s="2736">
        <v>142</v>
      </c>
      <c r="AB255"/>
      <c r="AC255" s="4208"/>
      <c r="AD255" s="2739" t="s">
        <v>5718</v>
      </c>
      <c r="AE255" s="2723" t="s">
        <v>5719</v>
      </c>
      <c r="AF255" s="2724">
        <v>195</v>
      </c>
      <c r="AG255" s="2725">
        <v>180</v>
      </c>
      <c r="AH255" s="2726">
        <v>112</v>
      </c>
      <c r="AI255"/>
      <c r="AJ255" s="4209"/>
      <c r="AK255" s="2739" t="s">
        <v>5720</v>
      </c>
      <c r="AL255" s="2723" t="s">
        <v>5721</v>
      </c>
      <c r="AM255" s="2724">
        <v>78</v>
      </c>
      <c r="AN255" s="2725">
        <v>22</v>
      </c>
      <c r="AO255" s="2726">
        <v>9</v>
      </c>
      <c r="AQ255" s="5">
        <v>1</v>
      </c>
    </row>
    <row r="256" spans="22:43" ht="21" customHeight="1">
      <c r="V256" s="4210"/>
      <c r="W256" s="2753" t="s">
        <v>5722</v>
      </c>
      <c r="X256" s="2733" t="s">
        <v>5723</v>
      </c>
      <c r="Y256" s="2734">
        <v>62</v>
      </c>
      <c r="Z256" s="2735">
        <v>180</v>
      </c>
      <c r="AA256" s="2736">
        <v>137</v>
      </c>
      <c r="AB256"/>
      <c r="AC256" s="4211"/>
      <c r="AD256" s="2728" t="s">
        <v>5724</v>
      </c>
      <c r="AE256" s="2723" t="s">
        <v>5725</v>
      </c>
      <c r="AF256" s="2724">
        <v>207</v>
      </c>
      <c r="AG256" s="2725">
        <v>181</v>
      </c>
      <c r="AH256" s="2726">
        <v>59</v>
      </c>
      <c r="AI256"/>
      <c r="AJ256" s="4212"/>
      <c r="AK256" s="2739" t="s">
        <v>5726</v>
      </c>
      <c r="AL256" s="2723" t="s">
        <v>5727</v>
      </c>
      <c r="AM256" s="2724">
        <v>62</v>
      </c>
      <c r="AN256" s="2725">
        <v>29</v>
      </c>
      <c r="AO256" s="2726">
        <v>30</v>
      </c>
      <c r="AQ256" s="5">
        <v>1</v>
      </c>
    </row>
    <row r="257" spans="22:43" ht="21" customHeight="1">
      <c r="V257" s="4213"/>
      <c r="W257" s="2732" t="s">
        <v>5728</v>
      </c>
      <c r="X257" s="2733" t="s">
        <v>5729</v>
      </c>
      <c r="Y257" s="2734">
        <v>2</v>
      </c>
      <c r="Z257" s="2735">
        <v>157</v>
      </c>
      <c r="AA257" s="2736">
        <v>116</v>
      </c>
      <c r="AB257"/>
      <c r="AC257" s="4214"/>
      <c r="AD257" s="2739" t="s">
        <v>5730</v>
      </c>
      <c r="AE257" s="2723" t="s">
        <v>5731</v>
      </c>
      <c r="AF257" s="2724">
        <v>209</v>
      </c>
      <c r="AG257" s="2725">
        <v>182</v>
      </c>
      <c r="AH257" s="2726">
        <v>6</v>
      </c>
      <c r="AI257"/>
      <c r="AJ257" s="4215"/>
      <c r="AK257" s="2728" t="s">
        <v>5732</v>
      </c>
      <c r="AL257" s="2723" t="s">
        <v>5733</v>
      </c>
      <c r="AM257" s="2724">
        <v>238</v>
      </c>
      <c r="AN257" s="2725">
        <v>162</v>
      </c>
      <c r="AO257" s="2726">
        <v>173</v>
      </c>
      <c r="AQ257" s="5">
        <v>1</v>
      </c>
    </row>
    <row r="258" spans="22:43" ht="21" customHeight="1">
      <c r="V258" s="4216"/>
      <c r="W258" s="2732" t="s">
        <v>5734</v>
      </c>
      <c r="X258" s="2733" t="s">
        <v>5735</v>
      </c>
      <c r="Y258" s="2734">
        <v>35</v>
      </c>
      <c r="Z258" s="2735">
        <v>142</v>
      </c>
      <c r="AA258" s="2736">
        <v>104</v>
      </c>
      <c r="AB258"/>
      <c r="AC258" s="4217"/>
      <c r="AD258" s="2728" t="s">
        <v>5736</v>
      </c>
      <c r="AE258" s="2723" t="s">
        <v>5737</v>
      </c>
      <c r="AF258" s="2724">
        <v>205</v>
      </c>
      <c r="AG258" s="2725">
        <v>173</v>
      </c>
      <c r="AH258" s="2726">
        <v>0</v>
      </c>
      <c r="AI258"/>
      <c r="AJ258" s="4218"/>
      <c r="AK258" s="2728" t="s">
        <v>5738</v>
      </c>
      <c r="AL258" s="2723" t="s">
        <v>5739</v>
      </c>
      <c r="AM258" s="2724">
        <v>238</v>
      </c>
      <c r="AN258" s="2725">
        <v>169</v>
      </c>
      <c r="AO258" s="2726">
        <v>184</v>
      </c>
      <c r="AQ258" s="5">
        <v>1</v>
      </c>
    </row>
    <row r="259" spans="22:43" ht="21" customHeight="1">
      <c r="V259" s="4219"/>
      <c r="W259" s="2753" t="s">
        <v>5740</v>
      </c>
      <c r="X259" s="2733" t="s">
        <v>5741</v>
      </c>
      <c r="Y259" s="2734">
        <v>59</v>
      </c>
      <c r="Z259" s="2735">
        <v>120</v>
      </c>
      <c r="AA259" s="2736">
        <v>97</v>
      </c>
      <c r="AB259"/>
      <c r="AC259" s="4220"/>
      <c r="AD259" s="2728" t="s">
        <v>5742</v>
      </c>
      <c r="AE259" s="2723" t="s">
        <v>5743</v>
      </c>
      <c r="AF259" s="2724">
        <v>139</v>
      </c>
      <c r="AG259" s="2725">
        <v>117</v>
      </c>
      <c r="AH259" s="2726">
        <v>0</v>
      </c>
      <c r="AI259"/>
      <c r="AJ259" s="4221"/>
      <c r="AK259" s="2728" t="s">
        <v>5744</v>
      </c>
      <c r="AL259" s="2723" t="s">
        <v>5745</v>
      </c>
      <c r="AM259" s="2724">
        <v>255</v>
      </c>
      <c r="AN259" s="2725">
        <v>174</v>
      </c>
      <c r="AO259" s="2726">
        <v>185</v>
      </c>
      <c r="AQ259" s="5">
        <v>1</v>
      </c>
    </row>
    <row r="260" spans="22:43" ht="21" customHeight="1">
      <c r="V260" s="4222"/>
      <c r="W260" s="2753" t="s">
        <v>5746</v>
      </c>
      <c r="X260" s="2733" t="s">
        <v>5747</v>
      </c>
      <c r="Y260" s="2734">
        <v>0</v>
      </c>
      <c r="Z260" s="2735">
        <v>121</v>
      </c>
      <c r="AA260" s="2736">
        <v>89</v>
      </c>
      <c r="AB260"/>
      <c r="AC260" s="4223"/>
      <c r="AD260" s="2739" t="s">
        <v>5748</v>
      </c>
      <c r="AE260" s="2723" t="s">
        <v>5749</v>
      </c>
      <c r="AF260" s="2724">
        <v>104</v>
      </c>
      <c r="AG260" s="2725">
        <v>94</v>
      </c>
      <c r="AH260" s="2726">
        <v>67</v>
      </c>
      <c r="AI260"/>
      <c r="AJ260" s="4224"/>
      <c r="AK260" s="2728" t="s">
        <v>5750</v>
      </c>
      <c r="AL260" s="2723" t="s">
        <v>5751</v>
      </c>
      <c r="AM260" s="2724">
        <v>255</v>
      </c>
      <c r="AN260" s="2725">
        <v>181</v>
      </c>
      <c r="AO260" s="2726">
        <v>197</v>
      </c>
      <c r="AQ260" s="5">
        <v>1</v>
      </c>
    </row>
    <row r="261" spans="22:43" ht="21" customHeight="1">
      <c r="V261" s="4225"/>
      <c r="W261" s="2753" t="s">
        <v>5752</v>
      </c>
      <c r="X261" s="2733" t="s">
        <v>5753</v>
      </c>
      <c r="Y261" s="2734">
        <v>0</v>
      </c>
      <c r="Z261" s="2735">
        <v>84</v>
      </c>
      <c r="AA261" s="2736">
        <v>61</v>
      </c>
      <c r="AB261"/>
      <c r="AC261" s="4226"/>
      <c r="AD261" s="2739" t="s">
        <v>5754</v>
      </c>
      <c r="AE261" s="2723" t="s">
        <v>5755</v>
      </c>
      <c r="AF261" s="2724">
        <v>145</v>
      </c>
      <c r="AG261" s="2725">
        <v>92</v>
      </c>
      <c r="AH261" s="2726">
        <v>131</v>
      </c>
      <c r="AI261"/>
      <c r="AJ261" s="4227"/>
      <c r="AK261" s="2728" t="s">
        <v>5756</v>
      </c>
      <c r="AL261" s="2723" t="s">
        <v>5757</v>
      </c>
      <c r="AM261" s="2724">
        <v>255</v>
      </c>
      <c r="AN261" s="2725">
        <v>182</v>
      </c>
      <c r="AO261" s="2726">
        <v>193</v>
      </c>
      <c r="AQ261" s="5">
        <v>1</v>
      </c>
    </row>
    <row r="262" spans="22:43" ht="21" customHeight="1">
      <c r="V262" s="4228"/>
      <c r="W262" s="2732" t="s">
        <v>5758</v>
      </c>
      <c r="X262" s="2733" t="s">
        <v>5759</v>
      </c>
      <c r="Y262" s="2734">
        <v>118</v>
      </c>
      <c r="Z262" s="2735">
        <v>238</v>
      </c>
      <c r="AA262" s="2736">
        <v>198</v>
      </c>
      <c r="AB262"/>
      <c r="AC262" s="4229"/>
      <c r="AD262" s="2728" t="s">
        <v>5760</v>
      </c>
      <c r="AE262" s="2723" t="s">
        <v>5761</v>
      </c>
      <c r="AF262" s="2724">
        <v>135</v>
      </c>
      <c r="AG262" s="2725">
        <v>31</v>
      </c>
      <c r="AH262" s="2726">
        <v>120</v>
      </c>
      <c r="AI262"/>
      <c r="AJ262" s="4230"/>
      <c r="AK262" s="2728" t="s">
        <v>5762</v>
      </c>
      <c r="AL262" s="2723" t="s">
        <v>5763</v>
      </c>
      <c r="AM262" s="2724">
        <v>255</v>
      </c>
      <c r="AN262" s="2725">
        <v>192</v>
      </c>
      <c r="AO262" s="2726">
        <v>203</v>
      </c>
      <c r="AQ262" s="5">
        <v>1</v>
      </c>
    </row>
    <row r="263" spans="22:43" ht="21" customHeight="1">
      <c r="V263" s="4231"/>
      <c r="W263" s="2753" t="s">
        <v>5764</v>
      </c>
      <c r="X263" s="2733" t="s">
        <v>5765</v>
      </c>
      <c r="Y263" s="2734">
        <v>151</v>
      </c>
      <c r="Z263" s="2735">
        <v>223</v>
      </c>
      <c r="AA263" s="2736">
        <v>198</v>
      </c>
      <c r="AB263"/>
      <c r="AC263" s="4232"/>
      <c r="AD263" s="2739" t="s">
        <v>5766</v>
      </c>
      <c r="AE263" s="2723" t="s">
        <v>5767</v>
      </c>
      <c r="AF263" s="2724">
        <v>135</v>
      </c>
      <c r="AG263" s="2725">
        <v>0</v>
      </c>
      <c r="AH263" s="2726">
        <v>116</v>
      </c>
      <c r="AI263"/>
      <c r="AJ263" s="4233"/>
      <c r="AK263" s="2739" t="s">
        <v>5768</v>
      </c>
      <c r="AL263" s="2723" t="s">
        <v>5769</v>
      </c>
      <c r="AM263" s="2724">
        <v>213</v>
      </c>
      <c r="AN263" s="2725">
        <v>132</v>
      </c>
      <c r="AO263" s="2726">
        <v>144</v>
      </c>
      <c r="AQ263" s="5">
        <v>1</v>
      </c>
    </row>
    <row r="264" spans="22:43" ht="21" customHeight="1">
      <c r="V264" s="4234"/>
      <c r="W264" s="2732" t="s">
        <v>5770</v>
      </c>
      <c r="X264" s="2733" t="s">
        <v>5771</v>
      </c>
      <c r="Y264" s="2734">
        <v>127</v>
      </c>
      <c r="Z264" s="2735">
        <v>255</v>
      </c>
      <c r="AA264" s="2736">
        <v>212</v>
      </c>
      <c r="AB264"/>
      <c r="AC264" s="4235"/>
      <c r="AD264" s="2739" t="s">
        <v>5772</v>
      </c>
      <c r="AE264" s="2723" t="s">
        <v>5773</v>
      </c>
      <c r="AF264" s="2724">
        <v>93</v>
      </c>
      <c r="AG264" s="2725">
        <v>85</v>
      </c>
      <c r="AH264" s="2726">
        <v>91</v>
      </c>
      <c r="AI264"/>
      <c r="AJ264" s="4236"/>
      <c r="AK264" s="2728" t="s">
        <v>5774</v>
      </c>
      <c r="AL264" s="2723" t="s">
        <v>5775</v>
      </c>
      <c r="AM264" s="2724">
        <v>205</v>
      </c>
      <c r="AN264" s="2725">
        <v>145</v>
      </c>
      <c r="AO264" s="2726">
        <v>158</v>
      </c>
      <c r="AQ264" s="5">
        <v>1</v>
      </c>
    </row>
    <row r="265" spans="22:43" ht="21" customHeight="1">
      <c r="V265" s="4237"/>
      <c r="W265" s="2753" t="s">
        <v>5776</v>
      </c>
      <c r="X265" s="2733" t="s">
        <v>5777</v>
      </c>
      <c r="Y265" s="2734">
        <v>223</v>
      </c>
      <c r="Z265" s="2735">
        <v>237</v>
      </c>
      <c r="AA265" s="2736">
        <v>232</v>
      </c>
      <c r="AB265"/>
      <c r="AC265" s="4238"/>
      <c r="AD265" s="2739" t="s">
        <v>5778</v>
      </c>
      <c r="AE265" s="2723" t="s">
        <v>5779</v>
      </c>
      <c r="AF265" s="2724">
        <v>112</v>
      </c>
      <c r="AG265" s="2725">
        <v>41</v>
      </c>
      <c r="AH265" s="2726">
        <v>99</v>
      </c>
      <c r="AI265"/>
      <c r="AJ265" s="4239"/>
      <c r="AK265" s="2728" t="s">
        <v>5780</v>
      </c>
      <c r="AL265" s="2723" t="s">
        <v>5781</v>
      </c>
      <c r="AM265" s="2724">
        <v>205</v>
      </c>
      <c r="AN265" s="2725">
        <v>140</v>
      </c>
      <c r="AO265" s="2726">
        <v>149</v>
      </c>
      <c r="AQ265" s="5">
        <v>1</v>
      </c>
    </row>
    <row r="266" spans="22:43" ht="21" customHeight="1">
      <c r="V266" s="4240"/>
      <c r="W266" s="2732" t="s">
        <v>5782</v>
      </c>
      <c r="X266" s="2733" t="s">
        <v>5783</v>
      </c>
      <c r="Y266" s="2734">
        <v>102</v>
      </c>
      <c r="Z266" s="2735">
        <v>205</v>
      </c>
      <c r="AA266" s="2736">
        <v>170</v>
      </c>
      <c r="AB266"/>
      <c r="AC266" s="4241"/>
      <c r="AD266" s="2739" t="s">
        <v>5784</v>
      </c>
      <c r="AE266" s="2723" t="s">
        <v>5785</v>
      </c>
      <c r="AF266" s="2724">
        <v>93</v>
      </c>
      <c r="AG266" s="2725">
        <v>57</v>
      </c>
      <c r="AH266" s="2726">
        <v>84</v>
      </c>
      <c r="AI266"/>
      <c r="AJ266" s="4242"/>
      <c r="AK266" s="2739" t="s">
        <v>5786</v>
      </c>
      <c r="AL266" s="2723" t="s">
        <v>5787</v>
      </c>
      <c r="AM266" s="2724">
        <v>175</v>
      </c>
      <c r="AN266" s="2725">
        <v>134</v>
      </c>
      <c r="AO266" s="2726">
        <v>142</v>
      </c>
      <c r="AQ266" s="5">
        <v>1</v>
      </c>
    </row>
    <row r="267" spans="22:43" ht="21" customHeight="1">
      <c r="V267" s="4243"/>
      <c r="W267" s="2753" t="s">
        <v>5788</v>
      </c>
      <c r="X267" s="2733" t="s">
        <v>5789</v>
      </c>
      <c r="Y267" s="2734">
        <v>125</v>
      </c>
      <c r="Z267" s="2735">
        <v>137</v>
      </c>
      <c r="AA267" s="2736">
        <v>132</v>
      </c>
      <c r="AB267"/>
      <c r="AC267" s="4244"/>
      <c r="AD267" s="2739" t="s">
        <v>5790</v>
      </c>
      <c r="AE267" s="2723" t="s">
        <v>5791</v>
      </c>
      <c r="AF267" s="2724">
        <v>80</v>
      </c>
      <c r="AG267" s="2725">
        <v>64</v>
      </c>
      <c r="AH267" s="2726">
        <v>77</v>
      </c>
      <c r="AI267"/>
      <c r="AJ267" s="4245"/>
      <c r="AK267" s="2739" t="s">
        <v>5792</v>
      </c>
      <c r="AL267" s="2723" t="s">
        <v>5793</v>
      </c>
      <c r="AM267" s="2724">
        <v>199</v>
      </c>
      <c r="AN267" s="2725">
        <v>44</v>
      </c>
      <c r="AO267" s="2726">
        <v>72</v>
      </c>
      <c r="AQ267" s="5">
        <v>1</v>
      </c>
    </row>
    <row r="268" spans="22:43" ht="21" customHeight="1">
      <c r="V268" s="4246"/>
      <c r="W268" s="2753" t="s">
        <v>5794</v>
      </c>
      <c r="X268" s="2733" t="s">
        <v>5795</v>
      </c>
      <c r="Y268" s="2734">
        <v>100</v>
      </c>
      <c r="Z268" s="2735">
        <v>155</v>
      </c>
      <c r="AA268" s="2736">
        <v>136</v>
      </c>
      <c r="AB268"/>
      <c r="AC268" s="4247"/>
      <c r="AD268" s="2739" t="s">
        <v>5796</v>
      </c>
      <c r="AE268" s="2723" t="s">
        <v>5797</v>
      </c>
      <c r="AF268" s="2724">
        <v>211</v>
      </c>
      <c r="AG268" s="2725">
        <v>153</v>
      </c>
      <c r="AH268" s="2726">
        <v>230</v>
      </c>
      <c r="AI268"/>
      <c r="AJ268" s="4248"/>
      <c r="AK268" s="2739" t="s">
        <v>5798</v>
      </c>
      <c r="AL268" s="2723" t="s">
        <v>5799</v>
      </c>
      <c r="AM268" s="2724">
        <v>172</v>
      </c>
      <c r="AN268" s="2725">
        <v>30</v>
      </c>
      <c r="AO268" s="2726">
        <v>68</v>
      </c>
      <c r="AQ268" s="5">
        <v>1</v>
      </c>
    </row>
    <row r="269" spans="22:43" ht="21" customHeight="1">
      <c r="V269" s="4249"/>
      <c r="W269" s="2732" t="s">
        <v>5800</v>
      </c>
      <c r="X269" s="2733" t="s">
        <v>5801</v>
      </c>
      <c r="Y269" s="2734">
        <v>69</v>
      </c>
      <c r="Z269" s="2735">
        <v>139</v>
      </c>
      <c r="AA269" s="2736">
        <v>116</v>
      </c>
      <c r="AB269"/>
      <c r="AC269" s="4250"/>
      <c r="AD269" s="2728" t="s">
        <v>5802</v>
      </c>
      <c r="AE269" s="2723" t="s">
        <v>5803</v>
      </c>
      <c r="AF269" s="2724">
        <v>224</v>
      </c>
      <c r="AG269" s="2725">
        <v>102</v>
      </c>
      <c r="AH269" s="2726">
        <v>255</v>
      </c>
      <c r="AI269"/>
      <c r="AJ269" s="4251"/>
      <c r="AK269" s="2728" t="s">
        <v>5804</v>
      </c>
      <c r="AL269" s="2723" t="s">
        <v>5805</v>
      </c>
      <c r="AM269" s="2724">
        <v>139</v>
      </c>
      <c r="AN269" s="2725">
        <v>99</v>
      </c>
      <c r="AO269" s="2726">
        <v>108</v>
      </c>
      <c r="AQ269" s="5">
        <v>1</v>
      </c>
    </row>
    <row r="270" spans="22:43" ht="21" customHeight="1">
      <c r="V270" s="4252"/>
      <c r="W270" s="2753" t="s">
        <v>5806</v>
      </c>
      <c r="X270" s="2733" t="s">
        <v>5807</v>
      </c>
      <c r="Y270" s="2734">
        <v>94</v>
      </c>
      <c r="Z270" s="2735">
        <v>113</v>
      </c>
      <c r="AA270" s="2736">
        <v>106</v>
      </c>
      <c r="AB270"/>
      <c r="AC270" s="4253"/>
      <c r="AD270" s="2739" t="s">
        <v>5808</v>
      </c>
      <c r="AE270" s="2723" t="s">
        <v>5809</v>
      </c>
      <c r="AF270" s="2724">
        <v>223</v>
      </c>
      <c r="AG270" s="2725">
        <v>115</v>
      </c>
      <c r="AH270" s="2726">
        <v>255</v>
      </c>
      <c r="AI270"/>
      <c r="AJ270" s="4254"/>
      <c r="AK270" s="2728" t="s">
        <v>5810</v>
      </c>
      <c r="AL270" s="2723" t="s">
        <v>5811</v>
      </c>
      <c r="AM270" s="2724">
        <v>139</v>
      </c>
      <c r="AN270" s="2725">
        <v>95</v>
      </c>
      <c r="AO270" s="2726">
        <v>101</v>
      </c>
      <c r="AQ270" s="5">
        <v>1</v>
      </c>
    </row>
    <row r="271" spans="22:43" ht="21" customHeight="1">
      <c r="V271" s="4255"/>
      <c r="W271" s="2753" t="s">
        <v>5812</v>
      </c>
      <c r="X271" s="2733" t="s">
        <v>5813</v>
      </c>
      <c r="Y271" s="2734">
        <v>64</v>
      </c>
      <c r="Z271" s="2735">
        <v>130</v>
      </c>
      <c r="AA271" s="2736">
        <v>109</v>
      </c>
      <c r="AB271"/>
      <c r="AC271" s="4256"/>
      <c r="AD271" s="2728" t="s">
        <v>5814</v>
      </c>
      <c r="AE271" s="2723" t="s">
        <v>5815</v>
      </c>
      <c r="AF271" s="2724">
        <v>209</v>
      </c>
      <c r="AG271" s="2725">
        <v>95</v>
      </c>
      <c r="AH271" s="2726">
        <v>238</v>
      </c>
      <c r="AI271"/>
      <c r="AJ271" s="4257"/>
      <c r="AK271" s="2739" t="s">
        <v>5816</v>
      </c>
      <c r="AL271" s="2723" t="s">
        <v>5817</v>
      </c>
      <c r="AM271" s="2724">
        <v>158</v>
      </c>
      <c r="AN271" s="2725">
        <v>14</v>
      </c>
      <c r="AO271" s="2726">
        <v>64</v>
      </c>
      <c r="AQ271" s="5">
        <v>1</v>
      </c>
    </row>
    <row r="272" spans="22:43" ht="21" customHeight="1">
      <c r="V272" s="4258"/>
      <c r="W272" s="2753" t="s">
        <v>5818</v>
      </c>
      <c r="X272" s="2733" t="s">
        <v>5819</v>
      </c>
      <c r="Y272" s="2734">
        <v>27</v>
      </c>
      <c r="Z272" s="2735">
        <v>77</v>
      </c>
      <c r="AA272" s="2736">
        <v>62</v>
      </c>
      <c r="AB272"/>
      <c r="AC272" s="4259"/>
      <c r="AD272" s="2739" t="s">
        <v>5820</v>
      </c>
      <c r="AE272" s="2723" t="s">
        <v>5821</v>
      </c>
      <c r="AF272" s="2724">
        <v>182</v>
      </c>
      <c r="AG272" s="2725">
        <v>149</v>
      </c>
      <c r="AH272" s="2726">
        <v>192</v>
      </c>
      <c r="AI272"/>
      <c r="AJ272" s="4260"/>
      <c r="AK272" s="2739" t="s">
        <v>5822</v>
      </c>
      <c r="AL272" s="2723" t="s">
        <v>5823</v>
      </c>
      <c r="AM272" s="2724">
        <v>145</v>
      </c>
      <c r="AN272" s="2725">
        <v>40</v>
      </c>
      <c r="AO272" s="2726">
        <v>59</v>
      </c>
      <c r="AQ272" s="5">
        <v>1</v>
      </c>
    </row>
    <row r="273" spans="22:43" ht="21" customHeight="1">
      <c r="V273" s="4261"/>
      <c r="W273" s="2753" t="s">
        <v>5824</v>
      </c>
      <c r="X273" s="2733" t="s">
        <v>5825</v>
      </c>
      <c r="Y273" s="2734">
        <v>28</v>
      </c>
      <c r="Z273" s="2735">
        <v>53</v>
      </c>
      <c r="AA273" s="2736">
        <v>45</v>
      </c>
      <c r="AB273"/>
      <c r="AC273" s="4262"/>
      <c r="AD273" s="2728" t="s">
        <v>5826</v>
      </c>
      <c r="AE273" s="2723" t="s">
        <v>5827</v>
      </c>
      <c r="AF273" s="2724">
        <v>186</v>
      </c>
      <c r="AG273" s="2725">
        <v>85</v>
      </c>
      <c r="AH273" s="2726">
        <v>211</v>
      </c>
      <c r="AI273"/>
      <c r="AJ273" s="4263"/>
      <c r="AK273" s="2739" t="s">
        <v>5828</v>
      </c>
      <c r="AL273" s="2723" t="s">
        <v>5829</v>
      </c>
      <c r="AM273" s="2724">
        <v>144</v>
      </c>
      <c r="AN273" s="2725">
        <v>40</v>
      </c>
      <c r="AO273" s="2726">
        <v>59</v>
      </c>
      <c r="AQ273" s="5">
        <v>1</v>
      </c>
    </row>
    <row r="274" spans="22:43" ht="21" customHeight="1">
      <c r="V274" s="4264"/>
      <c r="W274" s="2753" t="s">
        <v>5830</v>
      </c>
      <c r="X274" s="2733" t="s">
        <v>5831</v>
      </c>
      <c r="Y274" s="2734">
        <v>30</v>
      </c>
      <c r="Z274" s="2735">
        <v>35</v>
      </c>
      <c r="AA274" s="2736">
        <v>33</v>
      </c>
      <c r="AB274"/>
      <c r="AC274" s="4265"/>
      <c r="AD274" s="2728" t="s">
        <v>5832</v>
      </c>
      <c r="AE274" s="2723" t="s">
        <v>5833</v>
      </c>
      <c r="AF274" s="2724">
        <v>180</v>
      </c>
      <c r="AG274" s="2725">
        <v>82</v>
      </c>
      <c r="AH274" s="2726">
        <v>205</v>
      </c>
      <c r="AI274"/>
      <c r="AJ274" s="4266"/>
      <c r="AK274" s="2739" t="s">
        <v>5834</v>
      </c>
      <c r="AL274" s="2723" t="s">
        <v>5835</v>
      </c>
      <c r="AM274" s="2724">
        <v>92</v>
      </c>
      <c r="AN274" s="2725">
        <v>9</v>
      </c>
      <c r="AO274" s="2726">
        <v>35</v>
      </c>
      <c r="AQ274" s="5">
        <v>1</v>
      </c>
    </row>
    <row r="275" spans="22:43" ht="21" customHeight="1">
      <c r="V275" s="4267"/>
      <c r="W275" s="2753" t="s">
        <v>5836</v>
      </c>
      <c r="X275" s="2733" t="s">
        <v>5837</v>
      </c>
      <c r="Y275" s="2734">
        <v>26</v>
      </c>
      <c r="Z275" s="2735">
        <v>36</v>
      </c>
      <c r="AA275" s="2736">
        <v>33</v>
      </c>
      <c r="AB275"/>
      <c r="AC275" s="4268"/>
      <c r="AD275" s="2739" t="s">
        <v>5838</v>
      </c>
      <c r="AE275" s="2723" t="s">
        <v>5839</v>
      </c>
      <c r="AF275" s="2724">
        <v>154</v>
      </c>
      <c r="AG275" s="2725">
        <v>78</v>
      </c>
      <c r="AH275" s="2726">
        <v>174</v>
      </c>
      <c r="AI275"/>
      <c r="AJ275" s="4269"/>
      <c r="AK275" s="2739" t="s">
        <v>5840</v>
      </c>
      <c r="AL275" s="2723" t="s">
        <v>5841</v>
      </c>
      <c r="AM275" s="2724">
        <v>58</v>
      </c>
      <c r="AN275" s="2725">
        <v>2</v>
      </c>
      <c r="AO275" s="2726">
        <v>13</v>
      </c>
      <c r="AQ275" s="5">
        <v>1</v>
      </c>
    </row>
    <row r="276" spans="22:43" ht="21" customHeight="1">
      <c r="V276" s="4270"/>
      <c r="W276" s="2732" t="s">
        <v>5842</v>
      </c>
      <c r="X276" s="2733" t="s">
        <v>5843</v>
      </c>
      <c r="Y276" s="2734">
        <v>0</v>
      </c>
      <c r="Z276" s="2735">
        <v>250</v>
      </c>
      <c r="AA276" s="2736">
        <v>154</v>
      </c>
      <c r="AB276"/>
      <c r="AC276" s="4271"/>
      <c r="AD276" s="2739" t="s">
        <v>5844</v>
      </c>
      <c r="AE276" s="2723" t="s">
        <v>5845</v>
      </c>
      <c r="AF276" s="2724">
        <v>134</v>
      </c>
      <c r="AG276" s="2725">
        <v>96</v>
      </c>
      <c r="AH276" s="2726">
        <v>142</v>
      </c>
      <c r="AI276"/>
      <c r="AJ276" s="4272"/>
      <c r="AK276" s="2739" t="s">
        <v>5846</v>
      </c>
      <c r="AL276" s="2723" t="s">
        <v>5847</v>
      </c>
      <c r="AM276" s="2724">
        <v>46</v>
      </c>
      <c r="AN276" s="2725">
        <v>29</v>
      </c>
      <c r="AO276" s="2726">
        <v>33</v>
      </c>
      <c r="AQ276" s="5">
        <v>1</v>
      </c>
    </row>
    <row r="277" spans="22:43" ht="21" customHeight="1">
      <c r="V277" s="4273"/>
      <c r="W277" s="2753" t="s">
        <v>5848</v>
      </c>
      <c r="X277" s="2733" t="s">
        <v>5849</v>
      </c>
      <c r="Y277" s="2734">
        <v>0</v>
      </c>
      <c r="Z277" s="2735">
        <v>136</v>
      </c>
      <c r="AA277" s="2736">
        <v>86</v>
      </c>
      <c r="AB277"/>
      <c r="AC277" s="4274"/>
      <c r="AD277" s="2739" t="s">
        <v>5850</v>
      </c>
      <c r="AE277" s="2723" t="s">
        <v>5851</v>
      </c>
      <c r="AF277" s="2724">
        <v>135</v>
      </c>
      <c r="AG277" s="2725">
        <v>86</v>
      </c>
      <c r="AH277" s="2726">
        <v>146</v>
      </c>
      <c r="AI277"/>
      <c r="AJ277" s="4275"/>
      <c r="AK277" s="2728" t="s">
        <v>5852</v>
      </c>
      <c r="AL277" s="2723" t="s">
        <v>5853</v>
      </c>
      <c r="AM277" s="2724">
        <v>255</v>
      </c>
      <c r="AN277" s="2725">
        <v>127</v>
      </c>
      <c r="AO277" s="2726">
        <v>36</v>
      </c>
      <c r="AQ277" s="5">
        <v>1</v>
      </c>
    </row>
    <row r="278" spans="22:43" ht="21" customHeight="1">
      <c r="V278" s="4276"/>
      <c r="W278" s="2732" t="s">
        <v>5854</v>
      </c>
      <c r="X278" s="2733" t="s">
        <v>5855</v>
      </c>
      <c r="Y278" s="2734">
        <v>255</v>
      </c>
      <c r="Z278" s="2735">
        <v>110</v>
      </c>
      <c r="AA278" s="2736">
        <v>199</v>
      </c>
      <c r="AB278"/>
      <c r="AC278" s="4277"/>
      <c r="AD278" s="2728" t="s">
        <v>5856</v>
      </c>
      <c r="AE278" s="2723" t="s">
        <v>5857</v>
      </c>
      <c r="AF278" s="2724">
        <v>122</v>
      </c>
      <c r="AG278" s="2725">
        <v>55</v>
      </c>
      <c r="AH278" s="2726">
        <v>139</v>
      </c>
      <c r="AI278"/>
      <c r="AJ278" s="4278"/>
      <c r="AK278" s="2728" t="s">
        <v>5858</v>
      </c>
      <c r="AL278" s="2723" t="s">
        <v>5859</v>
      </c>
      <c r="AM278" s="2724">
        <v>233</v>
      </c>
      <c r="AN278" s="2725">
        <v>150</v>
      </c>
      <c r="AO278" s="2726">
        <v>122</v>
      </c>
      <c r="AQ278" s="5">
        <v>1</v>
      </c>
    </row>
    <row r="279" spans="22:43" ht="21" customHeight="1">
      <c r="V279" s="4279"/>
      <c r="W279" s="2732" t="s">
        <v>5860</v>
      </c>
      <c r="X279" s="2733" t="s">
        <v>5861</v>
      </c>
      <c r="Y279" s="2734">
        <v>204</v>
      </c>
      <c r="Z279" s="2735">
        <v>50</v>
      </c>
      <c r="AA279" s="2736">
        <v>153</v>
      </c>
      <c r="AB279"/>
      <c r="AC279" s="4280"/>
      <c r="AD279" s="2739" t="s">
        <v>5862</v>
      </c>
      <c r="AE279" s="2723" t="s">
        <v>5863</v>
      </c>
      <c r="AF279" s="2724">
        <v>96</v>
      </c>
      <c r="AG279" s="2725">
        <v>47</v>
      </c>
      <c r="AH279" s="2726">
        <v>107</v>
      </c>
      <c r="AI279"/>
      <c r="AJ279" s="4281"/>
      <c r="AK279" s="2728" t="s">
        <v>5864</v>
      </c>
      <c r="AL279" s="2723" t="s">
        <v>5865</v>
      </c>
      <c r="AM279" s="2724">
        <v>238</v>
      </c>
      <c r="AN279" s="2725">
        <v>149</v>
      </c>
      <c r="AO279" s="2726">
        <v>114</v>
      </c>
      <c r="AQ279" s="5">
        <v>1</v>
      </c>
    </row>
    <row r="280" spans="22:43" ht="21" customHeight="1">
      <c r="V280" s="4282"/>
      <c r="W280" s="2732" t="s">
        <v>5866</v>
      </c>
      <c r="X280" s="2733" t="s">
        <v>5867</v>
      </c>
      <c r="Y280" s="2734">
        <v>205</v>
      </c>
      <c r="Z280" s="2735">
        <v>41</v>
      </c>
      <c r="AA280" s="2736">
        <v>144</v>
      </c>
      <c r="AB280"/>
      <c r="AC280" s="4283"/>
      <c r="AD280" s="2739" t="s">
        <v>5868</v>
      </c>
      <c r="AE280" s="2723" t="s">
        <v>5869</v>
      </c>
      <c r="AF280" s="2724">
        <v>86</v>
      </c>
      <c r="AG280" s="2725">
        <v>60</v>
      </c>
      <c r="AH280" s="2726">
        <v>92</v>
      </c>
      <c r="AI280"/>
      <c r="AJ280" s="4284"/>
      <c r="AK280" s="2728" t="s">
        <v>5870</v>
      </c>
      <c r="AL280" s="2723" t="s">
        <v>5871</v>
      </c>
      <c r="AM280" s="2724">
        <v>255</v>
      </c>
      <c r="AN280" s="2725">
        <v>130</v>
      </c>
      <c r="AO280" s="2726">
        <v>71</v>
      </c>
      <c r="AQ280" s="5">
        <v>1</v>
      </c>
    </row>
    <row r="281" spans="22:43" ht="21" customHeight="1">
      <c r="V281" s="4285"/>
      <c r="W281" s="2753" t="s">
        <v>5872</v>
      </c>
      <c r="X281" s="2733" t="s">
        <v>5873</v>
      </c>
      <c r="Y281" s="2734">
        <v>150</v>
      </c>
      <c r="Z281" s="2735">
        <v>85</v>
      </c>
      <c r="AA281" s="2736">
        <v>120</v>
      </c>
      <c r="AB281"/>
      <c r="AC281" s="4286"/>
      <c r="AD281" s="2728" t="s">
        <v>5874</v>
      </c>
      <c r="AE281" s="2723" t="s">
        <v>5875</v>
      </c>
      <c r="AF281" s="2724">
        <v>255</v>
      </c>
      <c r="AG281" s="2725">
        <v>20</v>
      </c>
      <c r="AH281" s="2726">
        <v>147</v>
      </c>
      <c r="AI281"/>
      <c r="AJ281" s="4287"/>
      <c r="AK281" s="2728" t="s">
        <v>5876</v>
      </c>
      <c r="AL281" s="2723" t="s">
        <v>5877</v>
      </c>
      <c r="AM281" s="2724">
        <v>255</v>
      </c>
      <c r="AN281" s="2725">
        <v>127</v>
      </c>
      <c r="AO281" s="2726">
        <v>80</v>
      </c>
      <c r="AQ281" s="5">
        <v>1</v>
      </c>
    </row>
    <row r="282" spans="22:43" ht="21" customHeight="1">
      <c r="V282" s="4288"/>
      <c r="W282" s="2732" t="s">
        <v>5878</v>
      </c>
      <c r="X282" s="2733" t="s">
        <v>5879</v>
      </c>
      <c r="Y282" s="2734">
        <v>139</v>
      </c>
      <c r="Z282" s="2735">
        <v>28</v>
      </c>
      <c r="AA282" s="2736">
        <v>98</v>
      </c>
      <c r="AB282"/>
      <c r="AC282" s="4289"/>
      <c r="AD282" s="2739" t="s">
        <v>5880</v>
      </c>
      <c r="AE282" s="2723" t="s">
        <v>5881</v>
      </c>
      <c r="AF282" s="2724">
        <v>253</v>
      </c>
      <c r="AG282" s="2725">
        <v>63</v>
      </c>
      <c r="AH282" s="2726">
        <v>146</v>
      </c>
      <c r="AI282"/>
      <c r="AJ282" s="4290"/>
      <c r="AK282" s="2728" t="s">
        <v>5882</v>
      </c>
      <c r="AL282" s="2723" t="s">
        <v>5883</v>
      </c>
      <c r="AM282" s="2724">
        <v>205</v>
      </c>
      <c r="AN282" s="2725">
        <v>183</v>
      </c>
      <c r="AO282" s="2726">
        <v>181</v>
      </c>
      <c r="AQ282" s="5">
        <v>1</v>
      </c>
    </row>
    <row r="283" spans="22:43" ht="21" customHeight="1">
      <c r="V283" s="4291"/>
      <c r="W283" s="2753" t="s">
        <v>5884</v>
      </c>
      <c r="X283" s="2733" t="s">
        <v>5885</v>
      </c>
      <c r="Y283" s="2734">
        <v>84</v>
      </c>
      <c r="Z283" s="2735">
        <v>19</v>
      </c>
      <c r="AA283" s="2736">
        <v>59</v>
      </c>
      <c r="AB283"/>
      <c r="AC283" s="4292"/>
      <c r="AD283" s="2728" t="s">
        <v>5886</v>
      </c>
      <c r="AE283" s="2723" t="s">
        <v>5887</v>
      </c>
      <c r="AF283" s="2724">
        <v>255</v>
      </c>
      <c r="AG283" s="2725">
        <v>62</v>
      </c>
      <c r="AH283" s="2726">
        <v>150</v>
      </c>
      <c r="AI283"/>
      <c r="AJ283" s="4293"/>
      <c r="AK283" s="2728" t="s">
        <v>5888</v>
      </c>
      <c r="AL283" s="2723" t="s">
        <v>5889</v>
      </c>
      <c r="AM283" s="2724">
        <v>255</v>
      </c>
      <c r="AN283" s="2725">
        <v>114</v>
      </c>
      <c r="AO283" s="2726">
        <v>86</v>
      </c>
      <c r="AQ283" s="5">
        <v>1</v>
      </c>
    </row>
    <row r="284" spans="22:43" ht="21" customHeight="1">
      <c r="V284" s="4294"/>
      <c r="W284" s="2753" t="s">
        <v>5890</v>
      </c>
      <c r="X284" s="2733" t="s">
        <v>5891</v>
      </c>
      <c r="Y284" s="2734">
        <v>56</v>
      </c>
      <c r="Z284" s="2735">
        <v>21</v>
      </c>
      <c r="AA284" s="2736">
        <v>44</v>
      </c>
      <c r="AB284"/>
      <c r="AC284" s="4295"/>
      <c r="AD284" s="2728" t="s">
        <v>5892</v>
      </c>
      <c r="AE284" s="2723" t="s">
        <v>5893</v>
      </c>
      <c r="AF284" s="2724">
        <v>238</v>
      </c>
      <c r="AG284" s="2725">
        <v>121</v>
      </c>
      <c r="AH284" s="2726">
        <v>159</v>
      </c>
      <c r="AI284"/>
      <c r="AJ284" s="4296"/>
      <c r="AK284" s="2728" t="s">
        <v>5894</v>
      </c>
      <c r="AL284" s="2723" t="s">
        <v>5895</v>
      </c>
      <c r="AM284" s="2724">
        <v>255</v>
      </c>
      <c r="AN284" s="2725">
        <v>140</v>
      </c>
      <c r="AO284" s="2726">
        <v>105</v>
      </c>
      <c r="AQ284" s="5">
        <v>1</v>
      </c>
    </row>
    <row r="285" spans="22:43" ht="21" customHeight="1">
      <c r="V285" s="4297"/>
      <c r="W285" s="2753" t="s">
        <v>5896</v>
      </c>
      <c r="X285" s="2733" t="s">
        <v>5897</v>
      </c>
      <c r="Y285" s="2734">
        <v>55</v>
      </c>
      <c r="Z285" s="2735">
        <v>0</v>
      </c>
      <c r="AA285" s="2736">
        <v>40</v>
      </c>
      <c r="AB285"/>
      <c r="AC285" s="4298"/>
      <c r="AD285" s="2739" t="s">
        <v>5898</v>
      </c>
      <c r="AE285" s="2723" t="s">
        <v>5899</v>
      </c>
      <c r="AF285" s="2724">
        <v>230</v>
      </c>
      <c r="AG285" s="2725">
        <v>143</v>
      </c>
      <c r="AH285" s="2726">
        <v>172</v>
      </c>
      <c r="AI285"/>
      <c r="AJ285" s="4299"/>
      <c r="AK285" s="2739" t="s">
        <v>5900</v>
      </c>
      <c r="AL285" s="2723" t="s">
        <v>5901</v>
      </c>
      <c r="AM285" s="2724">
        <v>255</v>
      </c>
      <c r="AN285" s="2725">
        <v>134</v>
      </c>
      <c r="AO285" s="2726">
        <v>106</v>
      </c>
      <c r="AQ285" s="5">
        <v>1</v>
      </c>
    </row>
    <row r="286" spans="22:43" ht="21" customHeight="1">
      <c r="V286" s="4300"/>
      <c r="W286" s="2753" t="s">
        <v>5902</v>
      </c>
      <c r="X286" s="2733" t="s">
        <v>5903</v>
      </c>
      <c r="Y286" s="2734">
        <v>191</v>
      </c>
      <c r="Z286" s="2735">
        <v>185</v>
      </c>
      <c r="AA286" s="2736">
        <v>189</v>
      </c>
      <c r="AB286"/>
      <c r="AC286" s="4301"/>
      <c r="AD286" s="2739" t="s">
        <v>5904</v>
      </c>
      <c r="AE286" s="2723" t="s">
        <v>5905</v>
      </c>
      <c r="AF286" s="2724">
        <v>253</v>
      </c>
      <c r="AG286" s="2725">
        <v>108</v>
      </c>
      <c r="AH286" s="2726">
        <v>158</v>
      </c>
      <c r="AI286"/>
      <c r="AJ286" s="4302"/>
      <c r="AK286" s="2728" t="s">
        <v>5906</v>
      </c>
      <c r="AL286" s="2723" t="s">
        <v>5907</v>
      </c>
      <c r="AM286" s="2724">
        <v>255</v>
      </c>
      <c r="AN286" s="2725">
        <v>160</v>
      </c>
      <c r="AO286" s="2726">
        <v>122</v>
      </c>
      <c r="AQ286" s="5">
        <v>1</v>
      </c>
    </row>
    <row r="287" spans="22:43" ht="21" customHeight="1">
      <c r="V287" s="4303"/>
      <c r="W287" s="2753" t="s">
        <v>5908</v>
      </c>
      <c r="X287" s="2733" t="s">
        <v>5909</v>
      </c>
      <c r="Y287" s="2734">
        <v>183</v>
      </c>
      <c r="Z287" s="2735">
        <v>132</v>
      </c>
      <c r="AA287" s="2736">
        <v>167</v>
      </c>
      <c r="AB287"/>
      <c r="AC287" s="4304"/>
      <c r="AD287" s="2728" t="s">
        <v>5910</v>
      </c>
      <c r="AE287" s="2723" t="s">
        <v>5911</v>
      </c>
      <c r="AF287" s="2724">
        <v>205</v>
      </c>
      <c r="AG287" s="2725">
        <v>193</v>
      </c>
      <c r="AH287" s="2726">
        <v>197</v>
      </c>
      <c r="AI287"/>
      <c r="AJ287" s="4305"/>
      <c r="AK287" s="2739" t="s">
        <v>5912</v>
      </c>
      <c r="AL287" s="2723" t="s">
        <v>5913</v>
      </c>
      <c r="AM287" s="2724">
        <v>255</v>
      </c>
      <c r="AN287" s="2725">
        <v>183</v>
      </c>
      <c r="AO287" s="2726">
        <v>165</v>
      </c>
      <c r="AQ287" s="5">
        <v>1</v>
      </c>
    </row>
    <row r="288" spans="22:43" ht="21" customHeight="1">
      <c r="V288" s="4306"/>
      <c r="W288" s="2753" t="s">
        <v>5914</v>
      </c>
      <c r="X288" s="2733" t="s">
        <v>5915</v>
      </c>
      <c r="Y288" s="2734">
        <v>170</v>
      </c>
      <c r="Z288" s="2735">
        <v>138</v>
      </c>
      <c r="AA288" s="2736">
        <v>158</v>
      </c>
      <c r="AB288"/>
      <c r="AC288" s="4307"/>
      <c r="AD288" s="2728" t="s">
        <v>5916</v>
      </c>
      <c r="AE288" s="2723" t="s">
        <v>5917</v>
      </c>
      <c r="AF288" s="2724">
        <v>255</v>
      </c>
      <c r="AG288" s="2725">
        <v>130</v>
      </c>
      <c r="AH288" s="2726">
        <v>171</v>
      </c>
      <c r="AI288"/>
      <c r="AJ288" s="4308"/>
      <c r="AK288" s="2739" t="s">
        <v>5918</v>
      </c>
      <c r="AL288" s="2723" t="s">
        <v>5919</v>
      </c>
      <c r="AM288" s="2724">
        <v>253</v>
      </c>
      <c r="AN288" s="2725">
        <v>191</v>
      </c>
      <c r="AO288" s="2726">
        <v>183</v>
      </c>
      <c r="AQ288" s="5">
        <v>1</v>
      </c>
    </row>
    <row r="289" spans="22:43" ht="21" customHeight="1">
      <c r="V289" s="4309"/>
      <c r="W289" s="2753" t="s">
        <v>5920</v>
      </c>
      <c r="X289" s="2733" t="s">
        <v>5921</v>
      </c>
      <c r="Y289" s="2734">
        <v>153</v>
      </c>
      <c r="Z289" s="2735">
        <v>122</v>
      </c>
      <c r="AA289" s="2736">
        <v>141</v>
      </c>
      <c r="AB289"/>
      <c r="AC289" s="4310"/>
      <c r="AD289" s="2739" t="s">
        <v>5922</v>
      </c>
      <c r="AE289" s="2723" t="s">
        <v>5923</v>
      </c>
      <c r="AF289" s="2724">
        <v>239</v>
      </c>
      <c r="AG289" s="2725">
        <v>187</v>
      </c>
      <c r="AH289" s="2726">
        <v>204</v>
      </c>
      <c r="AI289"/>
      <c r="AJ289" s="4311"/>
      <c r="AK289" s="2728" t="s">
        <v>5924</v>
      </c>
      <c r="AL289" s="2723" t="s">
        <v>5925</v>
      </c>
      <c r="AM289" s="2724">
        <v>238</v>
      </c>
      <c r="AN289" s="2725">
        <v>213</v>
      </c>
      <c r="AO289" s="2726">
        <v>210</v>
      </c>
      <c r="AQ289" s="5">
        <v>1</v>
      </c>
    </row>
    <row r="290" spans="22:43" ht="21" customHeight="1">
      <c r="V290" s="4312"/>
      <c r="W290" s="2753" t="s">
        <v>5926</v>
      </c>
      <c r="X290" s="2733" t="s">
        <v>5927</v>
      </c>
      <c r="Y290" s="2734">
        <v>139</v>
      </c>
      <c r="Z290" s="2735">
        <v>133</v>
      </c>
      <c r="AA290" s="2736">
        <v>137</v>
      </c>
      <c r="AB290"/>
      <c r="AC290" s="4313"/>
      <c r="AD290" s="2739" t="s">
        <v>5928</v>
      </c>
      <c r="AE290" s="2723" t="s">
        <v>5929</v>
      </c>
      <c r="AF290" s="2724">
        <v>254</v>
      </c>
      <c r="AG290" s="2725">
        <v>191</v>
      </c>
      <c r="AH290" s="2726">
        <v>210</v>
      </c>
      <c r="AI290"/>
      <c r="AJ290" s="4314"/>
      <c r="AK290" s="2728" t="s">
        <v>5930</v>
      </c>
      <c r="AL290" s="2723" t="s">
        <v>5931</v>
      </c>
      <c r="AM290" s="2724">
        <v>255</v>
      </c>
      <c r="AN290" s="2725">
        <v>228</v>
      </c>
      <c r="AO290" s="2726">
        <v>225</v>
      </c>
      <c r="AQ290" s="5">
        <v>1</v>
      </c>
    </row>
    <row r="291" spans="22:43" ht="21" customHeight="1">
      <c r="V291" s="4315"/>
      <c r="W291" s="2753" t="s">
        <v>5932</v>
      </c>
      <c r="X291" s="2733" t="s">
        <v>5933</v>
      </c>
      <c r="Y291" s="2734">
        <v>158</v>
      </c>
      <c r="Z291" s="2735">
        <v>79</v>
      </c>
      <c r="AA291" s="2736">
        <v>136</v>
      </c>
      <c r="AB291"/>
      <c r="AC291" s="4316"/>
      <c r="AD291" s="2739" t="s">
        <v>5934</v>
      </c>
      <c r="AE291" s="2723" t="s">
        <v>5935</v>
      </c>
      <c r="AF291" s="2724">
        <v>255</v>
      </c>
      <c r="AG291" s="2725">
        <v>200</v>
      </c>
      <c r="AH291" s="2726">
        <v>214</v>
      </c>
      <c r="AI291"/>
      <c r="AJ291" s="4317"/>
      <c r="AK291" s="2728" t="s">
        <v>5936</v>
      </c>
      <c r="AL291" s="2723" t="s">
        <v>5937</v>
      </c>
      <c r="AM291" s="2724">
        <v>238</v>
      </c>
      <c r="AN291" s="2725">
        <v>130</v>
      </c>
      <c r="AO291" s="2726">
        <v>98</v>
      </c>
      <c r="AQ291" s="5">
        <v>1</v>
      </c>
    </row>
    <row r="292" spans="22:43" ht="21" customHeight="1">
      <c r="V292" s="4318"/>
      <c r="W292" s="2753" t="s">
        <v>5938</v>
      </c>
      <c r="X292" s="2733" t="s">
        <v>5939</v>
      </c>
      <c r="Y292" s="2734">
        <v>131</v>
      </c>
      <c r="Z292" s="2735">
        <v>100</v>
      </c>
      <c r="AA292" s="2736">
        <v>121</v>
      </c>
      <c r="AB292"/>
      <c r="AC292" s="4319"/>
      <c r="AD292" s="2728" t="s">
        <v>5940</v>
      </c>
      <c r="AE292" s="2723" t="s">
        <v>5941</v>
      </c>
      <c r="AF292" s="2724">
        <v>255</v>
      </c>
      <c r="AG292" s="2725">
        <v>240</v>
      </c>
      <c r="AH292" s="2726">
        <v>245</v>
      </c>
      <c r="AI292"/>
      <c r="AJ292" s="4320"/>
      <c r="AK292" s="2728" t="s">
        <v>5942</v>
      </c>
      <c r="AL292" s="2723" t="s">
        <v>5943</v>
      </c>
      <c r="AM292" s="2724">
        <v>238</v>
      </c>
      <c r="AN292" s="2725">
        <v>106</v>
      </c>
      <c r="AO292" s="2726">
        <v>80</v>
      </c>
      <c r="AQ292" s="5">
        <v>1</v>
      </c>
    </row>
    <row r="293" spans="22:43" ht="21" customHeight="1">
      <c r="V293" s="4321"/>
      <c r="W293" s="2753" t="s">
        <v>5944</v>
      </c>
      <c r="X293" s="2733" t="s">
        <v>5945</v>
      </c>
      <c r="Y293" s="2734">
        <v>161</v>
      </c>
      <c r="Z293" s="2735">
        <v>6</v>
      </c>
      <c r="AA293" s="2736">
        <v>132</v>
      </c>
      <c r="AB293"/>
      <c r="AC293" s="4322"/>
      <c r="AD293" s="2739" t="s">
        <v>5946</v>
      </c>
      <c r="AE293" s="2723" t="s">
        <v>5947</v>
      </c>
      <c r="AF293" s="2724">
        <v>213</v>
      </c>
      <c r="AG293" s="2725">
        <v>151</v>
      </c>
      <c r="AH293" s="2726">
        <v>174</v>
      </c>
      <c r="AI293"/>
      <c r="AJ293" s="4323"/>
      <c r="AK293" s="2739" t="s">
        <v>5948</v>
      </c>
      <c r="AL293" s="2723" t="s">
        <v>5949</v>
      </c>
      <c r="AM293" s="2724">
        <v>244</v>
      </c>
      <c r="AN293" s="2725">
        <v>102</v>
      </c>
      <c r="AO293" s="2726">
        <v>27</v>
      </c>
      <c r="AQ293" s="5">
        <v>1</v>
      </c>
    </row>
    <row r="294" spans="22:43" ht="21" customHeight="1">
      <c r="V294" s="4324"/>
      <c r="W294" s="2753" t="s">
        <v>5950</v>
      </c>
      <c r="X294" s="2733" t="s">
        <v>5951</v>
      </c>
      <c r="Y294" s="2734">
        <v>114</v>
      </c>
      <c r="Z294" s="2735">
        <v>62</v>
      </c>
      <c r="AA294" s="2736">
        <v>100</v>
      </c>
      <c r="AB294"/>
      <c r="AC294" s="4325"/>
      <c r="AD294" s="2728" t="s">
        <v>5952</v>
      </c>
      <c r="AE294" s="2723" t="s">
        <v>5953</v>
      </c>
      <c r="AF294" s="2724">
        <v>238</v>
      </c>
      <c r="AG294" s="2725">
        <v>58</v>
      </c>
      <c r="AH294" s="2726">
        <v>140</v>
      </c>
      <c r="AI294"/>
      <c r="AJ294" s="4326"/>
      <c r="AK294" s="2728" t="s">
        <v>5954</v>
      </c>
      <c r="AL294" s="2723" t="s">
        <v>5955</v>
      </c>
      <c r="AM294" s="2724">
        <v>238</v>
      </c>
      <c r="AN294" s="2725">
        <v>121</v>
      </c>
      <c r="AO294" s="2726">
        <v>66</v>
      </c>
      <c r="AQ294" s="5">
        <v>1</v>
      </c>
    </row>
    <row r="295" spans="22:43" ht="21" customHeight="1">
      <c r="V295" s="4327"/>
      <c r="W295" s="2753" t="s">
        <v>5956</v>
      </c>
      <c r="X295" s="2733" t="s">
        <v>5957</v>
      </c>
      <c r="Y295" s="2734">
        <v>106</v>
      </c>
      <c r="Z295" s="2735">
        <v>69</v>
      </c>
      <c r="AA295" s="2736">
        <v>93</v>
      </c>
      <c r="AB295"/>
      <c r="AC295" s="4328"/>
      <c r="AD295" s="2728" t="s">
        <v>5958</v>
      </c>
      <c r="AE295" s="2723" t="s">
        <v>5959</v>
      </c>
      <c r="AF295" s="2724">
        <v>219</v>
      </c>
      <c r="AG295" s="2725">
        <v>112</v>
      </c>
      <c r="AH295" s="2726">
        <v>147</v>
      </c>
      <c r="AI295"/>
      <c r="AJ295" s="4329"/>
      <c r="AK295" s="2728" t="s">
        <v>5960</v>
      </c>
      <c r="AL295" s="2723" t="s">
        <v>5961</v>
      </c>
      <c r="AM295" s="2724">
        <v>238</v>
      </c>
      <c r="AN295" s="2725">
        <v>118</v>
      </c>
      <c r="AO295" s="2726">
        <v>33</v>
      </c>
      <c r="AQ295" s="5">
        <v>1</v>
      </c>
    </row>
    <row r="296" spans="22:43" ht="21" customHeight="1">
      <c r="V296" s="4330"/>
      <c r="W296" s="2753" t="s">
        <v>5962</v>
      </c>
      <c r="X296" s="2733" t="s">
        <v>5963</v>
      </c>
      <c r="Y296" s="2734">
        <v>249</v>
      </c>
      <c r="Z296" s="2735">
        <v>66</v>
      </c>
      <c r="AA296" s="2736">
        <v>158</v>
      </c>
      <c r="AB296"/>
      <c r="AC296" s="4331"/>
      <c r="AD296" s="2728" t="s">
        <v>5964</v>
      </c>
      <c r="AE296" s="2723" t="s">
        <v>5965</v>
      </c>
      <c r="AF296" s="2724">
        <v>238</v>
      </c>
      <c r="AG296" s="2725">
        <v>18</v>
      </c>
      <c r="AH296" s="2726">
        <v>137</v>
      </c>
      <c r="AI296"/>
      <c r="AJ296" s="4332"/>
      <c r="AK296" s="2739" t="s">
        <v>5966</v>
      </c>
      <c r="AL296" s="2723" t="s">
        <v>5967</v>
      </c>
      <c r="AM296" s="2724">
        <v>226</v>
      </c>
      <c r="AN296" s="2725">
        <v>88</v>
      </c>
      <c r="AO296" s="2726">
        <v>34</v>
      </c>
      <c r="AQ296" s="5">
        <v>1</v>
      </c>
    </row>
    <row r="297" spans="22:43" ht="21" customHeight="1">
      <c r="V297" s="4333"/>
      <c r="W297" s="2732" t="s">
        <v>5968</v>
      </c>
      <c r="X297" s="2733" t="s">
        <v>5969</v>
      </c>
      <c r="Y297" s="2734">
        <v>238</v>
      </c>
      <c r="Z297" s="2735">
        <v>106</v>
      </c>
      <c r="AA297" s="2736">
        <v>167</v>
      </c>
      <c r="AB297"/>
      <c r="AC297" s="4334"/>
      <c r="AD297" s="2728" t="s">
        <v>5970</v>
      </c>
      <c r="AE297" s="2723" t="s">
        <v>5971</v>
      </c>
      <c r="AF297" s="2724">
        <v>205</v>
      </c>
      <c r="AG297" s="2725">
        <v>104</v>
      </c>
      <c r="AH297" s="2726">
        <v>137</v>
      </c>
      <c r="AI297"/>
      <c r="AJ297" s="4335"/>
      <c r="AK297" s="2739" t="s">
        <v>5972</v>
      </c>
      <c r="AL297" s="2723" t="s">
        <v>5973</v>
      </c>
      <c r="AM297" s="2724">
        <v>196</v>
      </c>
      <c r="AN297" s="2725">
        <v>131</v>
      </c>
      <c r="AO297" s="2726">
        <v>121</v>
      </c>
      <c r="AQ297" s="5">
        <v>1</v>
      </c>
    </row>
    <row r="298" spans="22:43" ht="21" customHeight="1">
      <c r="V298" s="4336"/>
      <c r="W298" s="2732" t="s">
        <v>5974</v>
      </c>
      <c r="X298" s="2733" t="s">
        <v>5975</v>
      </c>
      <c r="Y298" s="2734">
        <v>255</v>
      </c>
      <c r="Z298" s="2735">
        <v>28</v>
      </c>
      <c r="AA298" s="2736">
        <v>174</v>
      </c>
      <c r="AB298"/>
      <c r="AC298" s="4337"/>
      <c r="AD298" s="2739" t="s">
        <v>5976</v>
      </c>
      <c r="AE298" s="2723" t="s">
        <v>5977</v>
      </c>
      <c r="AF298" s="2724">
        <v>193</v>
      </c>
      <c r="AG298" s="2725">
        <v>126</v>
      </c>
      <c r="AH298" s="2726">
        <v>145</v>
      </c>
      <c r="AI298"/>
      <c r="AJ298" s="4338"/>
      <c r="AK298" s="2739" t="s">
        <v>5978</v>
      </c>
      <c r="AL298" s="2723" t="s">
        <v>5979</v>
      </c>
      <c r="AM298" s="2724">
        <v>217</v>
      </c>
      <c r="AN298" s="2725">
        <v>96</v>
      </c>
      <c r="AO298" s="2726">
        <v>59</v>
      </c>
      <c r="AQ298" s="5">
        <v>1</v>
      </c>
    </row>
    <row r="299" spans="22:43" ht="21" customHeight="1">
      <c r="V299" s="4339"/>
      <c r="W299" s="2732" t="s">
        <v>5980</v>
      </c>
      <c r="X299" s="2733" t="s">
        <v>5981</v>
      </c>
      <c r="Y299" s="2734">
        <v>255</v>
      </c>
      <c r="Z299" s="2735">
        <v>52</v>
      </c>
      <c r="AA299" s="2736">
        <v>179</v>
      </c>
      <c r="AB299"/>
      <c r="AC299" s="4340"/>
      <c r="AD299" s="2739" t="s">
        <v>5982</v>
      </c>
      <c r="AE299" s="2723" t="s">
        <v>5983</v>
      </c>
      <c r="AF299" s="2724">
        <v>219</v>
      </c>
      <c r="AG299" s="2725">
        <v>0</v>
      </c>
      <c r="AH299" s="2726">
        <v>115</v>
      </c>
      <c r="AI299"/>
      <c r="AJ299" s="4341"/>
      <c r="AK299" s="2728" t="s">
        <v>5984</v>
      </c>
      <c r="AL299" s="2723" t="s">
        <v>5985</v>
      </c>
      <c r="AM299" s="2724">
        <v>205</v>
      </c>
      <c r="AN299" s="2725">
        <v>129</v>
      </c>
      <c r="AO299" s="2726">
        <v>98</v>
      </c>
      <c r="AQ299" s="5">
        <v>1</v>
      </c>
    </row>
    <row r="300" spans="22:43" ht="21" customHeight="1">
      <c r="V300" s="4342"/>
      <c r="W300" s="2753" t="s">
        <v>5986</v>
      </c>
      <c r="X300" s="2733" t="s">
        <v>5987</v>
      </c>
      <c r="Y300" s="2734">
        <v>255</v>
      </c>
      <c r="Z300" s="2735">
        <v>105</v>
      </c>
      <c r="AA300" s="2736">
        <v>180</v>
      </c>
      <c r="AB300"/>
      <c r="AC300" s="4343"/>
      <c r="AD300" s="2739" t="s">
        <v>5988</v>
      </c>
      <c r="AE300" s="2723" t="s">
        <v>5989</v>
      </c>
      <c r="AF300" s="2724">
        <v>206</v>
      </c>
      <c r="AG300" s="2725">
        <v>70</v>
      </c>
      <c r="AH300" s="2726">
        <v>118</v>
      </c>
      <c r="AI300"/>
      <c r="AJ300" s="4344"/>
      <c r="AK300" s="2728" t="s">
        <v>5990</v>
      </c>
      <c r="AL300" s="2723" t="s">
        <v>5991</v>
      </c>
      <c r="AM300" s="2724">
        <v>205</v>
      </c>
      <c r="AN300" s="2725">
        <v>112</v>
      </c>
      <c r="AO300" s="2726">
        <v>84</v>
      </c>
      <c r="AQ300" s="5">
        <v>1</v>
      </c>
    </row>
    <row r="301" spans="22:43" ht="21" customHeight="1">
      <c r="V301" s="4345"/>
      <c r="W301" s="2732" t="s">
        <v>5992</v>
      </c>
      <c r="X301" s="2733" t="s">
        <v>5993</v>
      </c>
      <c r="Y301" s="2734">
        <v>255</v>
      </c>
      <c r="Z301" s="2735">
        <v>110</v>
      </c>
      <c r="AA301" s="2736">
        <v>180</v>
      </c>
      <c r="AB301"/>
      <c r="AC301" s="4346"/>
      <c r="AD301" s="2728" t="s">
        <v>5994</v>
      </c>
      <c r="AE301" s="2723" t="s">
        <v>5995</v>
      </c>
      <c r="AF301" s="2724">
        <v>205</v>
      </c>
      <c r="AG301" s="2725">
        <v>50</v>
      </c>
      <c r="AH301" s="2726">
        <v>120</v>
      </c>
      <c r="AI301"/>
      <c r="AJ301" s="4347"/>
      <c r="AK301" s="2739" t="s">
        <v>5996</v>
      </c>
      <c r="AL301" s="2723" t="s">
        <v>5997</v>
      </c>
      <c r="AM301" s="2724">
        <v>203</v>
      </c>
      <c r="AN301" s="2725">
        <v>109</v>
      </c>
      <c r="AO301" s="2726">
        <v>81</v>
      </c>
      <c r="AQ301" s="5">
        <v>1</v>
      </c>
    </row>
    <row r="302" spans="22:43" ht="21" customHeight="1">
      <c r="V302" s="4348"/>
      <c r="W302" s="2753" t="s">
        <v>5998</v>
      </c>
      <c r="X302" s="2733" t="s">
        <v>5999</v>
      </c>
      <c r="Y302" s="2734">
        <v>232</v>
      </c>
      <c r="Z302" s="2735">
        <v>204</v>
      </c>
      <c r="AA302" s="2736">
        <v>215</v>
      </c>
      <c r="AB302"/>
      <c r="AC302" s="4349"/>
      <c r="AD302" s="2728" t="s">
        <v>6000</v>
      </c>
      <c r="AE302" s="2723" t="s">
        <v>6001</v>
      </c>
      <c r="AF302" s="2724">
        <v>205</v>
      </c>
      <c r="AG302" s="2725">
        <v>16</v>
      </c>
      <c r="AH302" s="2726">
        <v>118</v>
      </c>
      <c r="AI302"/>
      <c r="AJ302" s="4350"/>
      <c r="AK302" s="2728" t="s">
        <v>6002</v>
      </c>
      <c r="AL302" s="2723" t="s">
        <v>6003</v>
      </c>
      <c r="AM302" s="2724">
        <v>205</v>
      </c>
      <c r="AN302" s="2725">
        <v>91</v>
      </c>
      <c r="AO302" s="2726">
        <v>69</v>
      </c>
      <c r="AQ302" s="5">
        <v>1</v>
      </c>
    </row>
    <row r="303" spans="22:43" ht="21" customHeight="1">
      <c r="V303" s="4351"/>
      <c r="W303" s="2753" t="s">
        <v>6004</v>
      </c>
      <c r="X303" s="2733" t="s">
        <v>6005</v>
      </c>
      <c r="Y303" s="2734">
        <v>232</v>
      </c>
      <c r="Z303" s="2735">
        <v>227</v>
      </c>
      <c r="AA303" s="2736">
        <v>229</v>
      </c>
      <c r="AB303"/>
      <c r="AC303" s="4352"/>
      <c r="AD303" s="2739" t="s">
        <v>6006</v>
      </c>
      <c r="AE303" s="2723" t="s">
        <v>6007</v>
      </c>
      <c r="AF303" s="2724">
        <v>179</v>
      </c>
      <c r="AG303" s="2725">
        <v>68</v>
      </c>
      <c r="AH303" s="2726">
        <v>108</v>
      </c>
      <c r="AI303"/>
      <c r="AJ303" s="4353"/>
      <c r="AK303" s="2739" t="s">
        <v>6008</v>
      </c>
      <c r="AL303" s="2723" t="s">
        <v>6009</v>
      </c>
      <c r="AM303" s="2724">
        <v>173</v>
      </c>
      <c r="AN303" s="2725">
        <v>136</v>
      </c>
      <c r="AO303" s="2726">
        <v>132</v>
      </c>
      <c r="AQ303" s="5">
        <v>1</v>
      </c>
    </row>
    <row r="304" spans="22:43" ht="21" customHeight="1">
      <c r="V304" s="4354"/>
      <c r="W304" s="2732" t="s">
        <v>6010</v>
      </c>
      <c r="X304" s="2733" t="s">
        <v>6011</v>
      </c>
      <c r="Y304" s="2734">
        <v>238</v>
      </c>
      <c r="Z304" s="2735">
        <v>224</v>
      </c>
      <c r="AA304" s="2736">
        <v>229</v>
      </c>
      <c r="AB304"/>
      <c r="AC304" s="4355"/>
      <c r="AD304" s="2739" t="s">
        <v>6012</v>
      </c>
      <c r="AE304" s="2723" t="s">
        <v>6013</v>
      </c>
      <c r="AF304" s="2724">
        <v>168</v>
      </c>
      <c r="AG304" s="2725">
        <v>81</v>
      </c>
      <c r="AH304" s="2726">
        <v>110</v>
      </c>
      <c r="AI304"/>
      <c r="AJ304" s="4356"/>
      <c r="AK304" s="2728" t="s">
        <v>6014</v>
      </c>
      <c r="AL304" s="2723" t="s">
        <v>6015</v>
      </c>
      <c r="AM304" s="2724">
        <v>205</v>
      </c>
      <c r="AN304" s="2725">
        <v>104</v>
      </c>
      <c r="AO304" s="2726">
        <v>57</v>
      </c>
      <c r="AQ304" s="5">
        <v>1</v>
      </c>
    </row>
    <row r="305" spans="22:43" ht="21" customHeight="1">
      <c r="V305" s="4357"/>
      <c r="W305" s="2753" t="s">
        <v>6016</v>
      </c>
      <c r="X305" s="2733" t="s">
        <v>6017</v>
      </c>
      <c r="Y305" s="2734">
        <v>254</v>
      </c>
      <c r="Z305" s="2735">
        <v>231</v>
      </c>
      <c r="AA305" s="2736">
        <v>240</v>
      </c>
      <c r="AB305"/>
      <c r="AC305" s="4358"/>
      <c r="AD305" s="2728" t="s">
        <v>5661</v>
      </c>
      <c r="AE305" s="2723" t="s">
        <v>6018</v>
      </c>
      <c r="AF305" s="2724">
        <v>176</v>
      </c>
      <c r="AG305" s="2725">
        <v>48</v>
      </c>
      <c r="AH305" s="2726">
        <v>96</v>
      </c>
      <c r="AI305"/>
      <c r="AJ305" s="4359"/>
      <c r="AK305" s="2739" t="s">
        <v>6019</v>
      </c>
      <c r="AL305" s="2723" t="s">
        <v>6020</v>
      </c>
      <c r="AM305" s="2724">
        <v>204</v>
      </c>
      <c r="AN305" s="2725">
        <v>85</v>
      </c>
      <c r="AO305" s="2726">
        <v>0</v>
      </c>
      <c r="AQ305" s="5">
        <v>1</v>
      </c>
    </row>
    <row r="306" spans="22:43" ht="21" customHeight="1">
      <c r="V306" s="4360"/>
      <c r="W306" s="2753" t="s">
        <v>6021</v>
      </c>
      <c r="X306" s="2733" t="s">
        <v>6022</v>
      </c>
      <c r="Y306" s="2734">
        <v>195</v>
      </c>
      <c r="Z306" s="2735">
        <v>166</v>
      </c>
      <c r="AA306" s="2736">
        <v>177</v>
      </c>
      <c r="AB306"/>
      <c r="AC306" s="4361"/>
      <c r="AD306" s="2739" t="s">
        <v>6023</v>
      </c>
      <c r="AE306" s="2723" t="s">
        <v>6024</v>
      </c>
      <c r="AF306" s="2724">
        <v>145</v>
      </c>
      <c r="AG306" s="2725">
        <v>95</v>
      </c>
      <c r="AH306" s="2726">
        <v>109</v>
      </c>
      <c r="AI306"/>
      <c r="AJ306" s="4362"/>
      <c r="AK306" s="2739" t="s">
        <v>6025</v>
      </c>
      <c r="AL306" s="2723" t="s">
        <v>6026</v>
      </c>
      <c r="AM306" s="2724">
        <v>180</v>
      </c>
      <c r="AN306" s="2725">
        <v>116</v>
      </c>
      <c r="AO306" s="2726">
        <v>94</v>
      </c>
      <c r="AQ306" s="5">
        <v>1</v>
      </c>
    </row>
    <row r="307" spans="22:43" ht="21" customHeight="1">
      <c r="V307" s="4363"/>
      <c r="W307" s="2753" t="s">
        <v>6027</v>
      </c>
      <c r="X307" s="2733" t="s">
        <v>6028</v>
      </c>
      <c r="Y307" s="2734">
        <v>222</v>
      </c>
      <c r="Z307" s="2735">
        <v>111</v>
      </c>
      <c r="AA307" s="2736">
        <v>161</v>
      </c>
      <c r="AB307"/>
      <c r="AC307" s="4364"/>
      <c r="AD307" s="2728" t="s">
        <v>6029</v>
      </c>
      <c r="AE307" s="2723" t="s">
        <v>6030</v>
      </c>
      <c r="AF307" s="2724">
        <v>139</v>
      </c>
      <c r="AG307" s="2725">
        <v>71</v>
      </c>
      <c r="AH307" s="2726">
        <v>93</v>
      </c>
      <c r="AI307"/>
      <c r="AJ307" s="4365"/>
      <c r="AK307" s="2739" t="s">
        <v>6031</v>
      </c>
      <c r="AL307" s="2723" t="s">
        <v>6032</v>
      </c>
      <c r="AM307" s="2724">
        <v>168</v>
      </c>
      <c r="AN307" s="2725">
        <v>124</v>
      </c>
      <c r="AO307" s="2726">
        <v>109</v>
      </c>
      <c r="AQ307" s="5">
        <v>1</v>
      </c>
    </row>
    <row r="308" spans="22:43" ht="21" customHeight="1">
      <c r="V308" s="4366"/>
      <c r="W308" s="2732" t="s">
        <v>6033</v>
      </c>
      <c r="X308" s="2733" t="s">
        <v>6034</v>
      </c>
      <c r="Y308" s="2734">
        <v>238</v>
      </c>
      <c r="Z308" s="2735">
        <v>48</v>
      </c>
      <c r="AA308" s="2736">
        <v>167</v>
      </c>
      <c r="AB308"/>
      <c r="AC308" s="4367"/>
      <c r="AD308" s="2728" t="s">
        <v>6035</v>
      </c>
      <c r="AE308" s="2723" t="s">
        <v>6036</v>
      </c>
      <c r="AF308" s="2724">
        <v>139</v>
      </c>
      <c r="AG308" s="2725">
        <v>34</v>
      </c>
      <c r="AH308" s="2726">
        <v>82</v>
      </c>
      <c r="AI308"/>
      <c r="AJ308" s="4368"/>
      <c r="AK308" s="2739" t="s">
        <v>6037</v>
      </c>
      <c r="AL308" s="2723" t="s">
        <v>6038</v>
      </c>
      <c r="AM308" s="2724">
        <v>143</v>
      </c>
      <c r="AN308" s="2725">
        <v>129</v>
      </c>
      <c r="AO308" s="2726">
        <v>127</v>
      </c>
      <c r="AQ308" s="5">
        <v>1</v>
      </c>
    </row>
    <row r="309" spans="22:43" ht="21" customHeight="1">
      <c r="V309" s="4369"/>
      <c r="W309" s="2732" t="s">
        <v>6039</v>
      </c>
      <c r="X309" s="2733" t="s">
        <v>6040</v>
      </c>
      <c r="Y309" s="2734">
        <v>205</v>
      </c>
      <c r="Z309" s="2735">
        <v>96</v>
      </c>
      <c r="AA309" s="2736">
        <v>144</v>
      </c>
      <c r="AB309"/>
      <c r="AC309" s="4370"/>
      <c r="AD309" s="2728" t="s">
        <v>6041</v>
      </c>
      <c r="AE309" s="2723" t="s">
        <v>6042</v>
      </c>
      <c r="AF309" s="2724">
        <v>139</v>
      </c>
      <c r="AG309" s="2725">
        <v>10</v>
      </c>
      <c r="AH309" s="2726">
        <v>80</v>
      </c>
      <c r="AI309"/>
      <c r="AJ309" s="4371"/>
      <c r="AK309" s="2728" t="s">
        <v>6043</v>
      </c>
      <c r="AL309" s="2723" t="s">
        <v>6044</v>
      </c>
      <c r="AM309" s="2724">
        <v>139</v>
      </c>
      <c r="AN309" s="2725">
        <v>125</v>
      </c>
      <c r="AO309" s="2726">
        <v>123</v>
      </c>
      <c r="AQ309" s="5">
        <v>1</v>
      </c>
    </row>
    <row r="310" spans="22:43" ht="21" customHeight="1">
      <c r="V310" s="4372"/>
      <c r="W310" s="2753" t="s">
        <v>6045</v>
      </c>
      <c r="X310" s="2733" t="s">
        <v>6046</v>
      </c>
      <c r="Y310" s="2734">
        <v>196</v>
      </c>
      <c r="Z310" s="2735">
        <v>105</v>
      </c>
      <c r="AA310" s="2736">
        <v>143</v>
      </c>
      <c r="AB310"/>
      <c r="AC310" s="4373"/>
      <c r="AD310" s="2739" t="s">
        <v>6047</v>
      </c>
      <c r="AE310" s="2723" t="s">
        <v>6048</v>
      </c>
      <c r="AF310" s="2724">
        <v>103</v>
      </c>
      <c r="AG310" s="2725">
        <v>49</v>
      </c>
      <c r="AH310" s="2726">
        <v>71</v>
      </c>
      <c r="AI310"/>
      <c r="AJ310" s="4374"/>
      <c r="AK310" s="2739" t="s">
        <v>6049</v>
      </c>
      <c r="AL310" s="2723" t="s">
        <v>6050</v>
      </c>
      <c r="AM310" s="2724">
        <v>174</v>
      </c>
      <c r="AN310" s="2725">
        <v>74</v>
      </c>
      <c r="AO310" s="2726">
        <v>52</v>
      </c>
      <c r="AQ310" s="5">
        <v>1</v>
      </c>
    </row>
    <row r="311" spans="22:43" ht="21" customHeight="1">
      <c r="V311" s="4375"/>
      <c r="W311" s="2732" t="s">
        <v>6051</v>
      </c>
      <c r="X311" s="2733" t="s">
        <v>6052</v>
      </c>
      <c r="Y311" s="2734">
        <v>208</v>
      </c>
      <c r="Z311" s="2735">
        <v>32</v>
      </c>
      <c r="AA311" s="2736">
        <v>144</v>
      </c>
      <c r="AB311"/>
      <c r="AC311" s="4376"/>
      <c r="AD311" s="2739" t="s">
        <v>6053</v>
      </c>
      <c r="AE311" s="2723" t="s">
        <v>6054</v>
      </c>
      <c r="AF311" s="2724">
        <v>63</v>
      </c>
      <c r="AG311" s="2725">
        <v>23</v>
      </c>
      <c r="AH311" s="2726">
        <v>40</v>
      </c>
      <c r="AI311"/>
      <c r="AJ311" s="4377"/>
      <c r="AK311" s="2739" t="s">
        <v>6055</v>
      </c>
      <c r="AL311" s="2723" t="s">
        <v>6056</v>
      </c>
      <c r="AM311" s="2724">
        <v>173</v>
      </c>
      <c r="AN311" s="2725">
        <v>57</v>
      </c>
      <c r="AO311" s="2726">
        <v>14</v>
      </c>
      <c r="AQ311" s="5">
        <v>1</v>
      </c>
    </row>
    <row r="312" spans="22:43" ht="21" customHeight="1">
      <c r="V312" s="4378"/>
      <c r="W312" s="2753" t="s">
        <v>6057</v>
      </c>
      <c r="X312" s="2733" t="s">
        <v>6058</v>
      </c>
      <c r="Y312" s="2734">
        <v>199</v>
      </c>
      <c r="Z312" s="2735">
        <v>21</v>
      </c>
      <c r="AA312" s="2736">
        <v>133</v>
      </c>
      <c r="AB312"/>
      <c r="AC312" s="4379"/>
      <c r="AD312" s="2739" t="s">
        <v>6059</v>
      </c>
      <c r="AE312" s="2723" t="s">
        <v>6060</v>
      </c>
      <c r="AF312" s="2724">
        <v>40</v>
      </c>
      <c r="AG312" s="2725">
        <v>32</v>
      </c>
      <c r="AH312" s="2726">
        <v>34</v>
      </c>
      <c r="AI312"/>
      <c r="AJ312" s="4380"/>
      <c r="AK312" s="2739" t="s">
        <v>6061</v>
      </c>
      <c r="AL312" s="2723" t="s">
        <v>6062</v>
      </c>
      <c r="AM312" s="2724">
        <v>173</v>
      </c>
      <c r="AN312" s="2725">
        <v>79</v>
      </c>
      <c r="AO312" s="2726">
        <v>9</v>
      </c>
      <c r="AQ312" s="5">
        <v>1</v>
      </c>
    </row>
    <row r="313" spans="22:43" ht="21" customHeight="1">
      <c r="V313" s="4381"/>
      <c r="W313" s="2732" t="s">
        <v>6063</v>
      </c>
      <c r="X313" s="2733" t="s">
        <v>6064</v>
      </c>
      <c r="Y313" s="2734">
        <v>139</v>
      </c>
      <c r="Z313" s="2735">
        <v>131</v>
      </c>
      <c r="AA313" s="2736">
        <v>134</v>
      </c>
      <c r="AB313"/>
      <c r="AC313" s="4382"/>
      <c r="AD313" s="2728" t="s">
        <v>5876</v>
      </c>
      <c r="AE313" s="2723" t="s">
        <v>6065</v>
      </c>
      <c r="AF313" s="2724">
        <v>255</v>
      </c>
      <c r="AG313" s="2725">
        <v>127</v>
      </c>
      <c r="AH313" s="2726">
        <v>0</v>
      </c>
      <c r="AI313"/>
      <c r="AJ313" s="4383"/>
      <c r="AK313" s="2728" t="s">
        <v>3889</v>
      </c>
      <c r="AL313" s="2723" t="s">
        <v>6066</v>
      </c>
      <c r="AM313" s="2724">
        <v>160</v>
      </c>
      <c r="AN313" s="2725">
        <v>82</v>
      </c>
      <c r="AO313" s="2726">
        <v>45</v>
      </c>
      <c r="AQ313" s="5">
        <v>1</v>
      </c>
    </row>
    <row r="314" spans="22:43" ht="21" customHeight="1">
      <c r="V314" s="4384"/>
      <c r="W314" s="2732" t="s">
        <v>6067</v>
      </c>
      <c r="X314" s="2733" t="s">
        <v>6068</v>
      </c>
      <c r="Y314" s="2734">
        <v>139</v>
      </c>
      <c r="Z314" s="2735">
        <v>58</v>
      </c>
      <c r="AA314" s="2736">
        <v>98</v>
      </c>
      <c r="AB314"/>
      <c r="AC314" s="4385"/>
      <c r="AD314" s="2728" t="s">
        <v>6069</v>
      </c>
      <c r="AE314" s="2723" t="s">
        <v>6065</v>
      </c>
      <c r="AF314" s="2724">
        <v>255</v>
      </c>
      <c r="AG314" s="2725">
        <v>140</v>
      </c>
      <c r="AH314" s="2726">
        <v>0</v>
      </c>
      <c r="AI314"/>
      <c r="AJ314" s="4386"/>
      <c r="AK314" s="2739" t="s">
        <v>6070</v>
      </c>
      <c r="AL314" s="2723" t="s">
        <v>6071</v>
      </c>
      <c r="AM314" s="2724">
        <v>158</v>
      </c>
      <c r="AN314" s="2725">
        <v>71</v>
      </c>
      <c r="AO314" s="2726">
        <v>50</v>
      </c>
      <c r="AQ314" s="5">
        <v>1</v>
      </c>
    </row>
    <row r="315" spans="22:43" ht="21" customHeight="1">
      <c r="V315" s="4387"/>
      <c r="W315" s="2753" t="s">
        <v>6072</v>
      </c>
      <c r="X315" s="2733" t="s">
        <v>6073</v>
      </c>
      <c r="Y315" s="2734">
        <v>129</v>
      </c>
      <c r="Z315" s="2735">
        <v>20</v>
      </c>
      <c r="AA315" s="2736">
        <v>83</v>
      </c>
      <c r="AB315"/>
      <c r="AC315" s="4388"/>
      <c r="AD315" s="2739" t="s">
        <v>6074</v>
      </c>
      <c r="AE315" s="2723" t="s">
        <v>6075</v>
      </c>
      <c r="AF315" s="2724">
        <v>193</v>
      </c>
      <c r="AG315" s="2725">
        <v>182</v>
      </c>
      <c r="AH315" s="2726">
        <v>179</v>
      </c>
      <c r="AI315"/>
      <c r="AJ315" s="4389"/>
      <c r="AK315" s="2739" t="s">
        <v>6076</v>
      </c>
      <c r="AL315" s="2723" t="s">
        <v>6077</v>
      </c>
      <c r="AM315" s="2724">
        <v>153</v>
      </c>
      <c r="AN315" s="2725">
        <v>81</v>
      </c>
      <c r="AO315" s="2726">
        <v>43</v>
      </c>
      <c r="AQ315" s="5">
        <v>1</v>
      </c>
    </row>
    <row r="316" spans="22:43" ht="21" customHeight="1">
      <c r="V316" s="4390"/>
      <c r="W316" s="2753" t="s">
        <v>6078</v>
      </c>
      <c r="X316" s="2733" t="s">
        <v>6079</v>
      </c>
      <c r="Y316" s="2734">
        <v>120</v>
      </c>
      <c r="Z316" s="2735">
        <v>24</v>
      </c>
      <c r="AA316" s="2736">
        <v>74</v>
      </c>
      <c r="AB316"/>
      <c r="AC316" s="4391"/>
      <c r="AD316" s="2739" t="s">
        <v>6080</v>
      </c>
      <c r="AE316" s="2723" t="s">
        <v>6081</v>
      </c>
      <c r="AF316" s="2724">
        <v>253</v>
      </c>
      <c r="AG316" s="2725">
        <v>148</v>
      </c>
      <c r="AH316" s="2726">
        <v>63</v>
      </c>
      <c r="AI316"/>
      <c r="AJ316" s="4392"/>
      <c r="AK316" s="2739" t="s">
        <v>6082</v>
      </c>
      <c r="AL316" s="2723" t="s">
        <v>6083</v>
      </c>
      <c r="AM316" s="2724">
        <v>157</v>
      </c>
      <c r="AN316" s="2725">
        <v>62</v>
      </c>
      <c r="AO316" s="2726">
        <v>12</v>
      </c>
      <c r="AQ316" s="5">
        <v>1</v>
      </c>
    </row>
    <row r="317" spans="22:43" ht="21" customHeight="1">
      <c r="V317" s="4393"/>
      <c r="W317" s="2753" t="s">
        <v>6084</v>
      </c>
      <c r="X317" s="2733" t="s">
        <v>6085</v>
      </c>
      <c r="Y317" s="2734">
        <v>186</v>
      </c>
      <c r="Z317" s="2735">
        <v>186</v>
      </c>
      <c r="AA317" s="2736">
        <v>186</v>
      </c>
      <c r="AB317"/>
      <c r="AC317" s="4394"/>
      <c r="AD317" s="2739" t="s">
        <v>6086</v>
      </c>
      <c r="AE317" s="2723" t="s">
        <v>6087</v>
      </c>
      <c r="AF317" s="2724">
        <v>248</v>
      </c>
      <c r="AG317" s="2725">
        <v>142</v>
      </c>
      <c r="AH317" s="2726">
        <v>85</v>
      </c>
      <c r="AI317"/>
      <c r="AJ317" s="4395"/>
      <c r="AK317" s="2728" t="s">
        <v>6088</v>
      </c>
      <c r="AL317" s="2723" t="s">
        <v>6089</v>
      </c>
      <c r="AM317" s="2724">
        <v>139</v>
      </c>
      <c r="AN317" s="2725">
        <v>87</v>
      </c>
      <c r="AO317" s="2726">
        <v>66</v>
      </c>
      <c r="AQ317" s="5">
        <v>1</v>
      </c>
    </row>
    <row r="318" spans="22:43" ht="21" customHeight="1">
      <c r="V318" s="4396"/>
      <c r="W318" s="2732" t="s">
        <v>6090</v>
      </c>
      <c r="X318" s="2733" t="s">
        <v>6091</v>
      </c>
      <c r="Y318" s="2734">
        <v>187</v>
      </c>
      <c r="Z318" s="2735">
        <v>187</v>
      </c>
      <c r="AA318" s="2736">
        <v>187</v>
      </c>
      <c r="AB318"/>
      <c r="AC318" s="4397"/>
      <c r="AD318" s="2739" t="s">
        <v>6092</v>
      </c>
      <c r="AE318" s="2723" t="s">
        <v>6093</v>
      </c>
      <c r="AF318" s="2724">
        <v>254</v>
      </c>
      <c r="AG318" s="2725">
        <v>195</v>
      </c>
      <c r="AH318" s="2726">
        <v>172</v>
      </c>
      <c r="AI318"/>
      <c r="AJ318" s="4398"/>
      <c r="AK318" s="2728" t="s">
        <v>6094</v>
      </c>
      <c r="AL318" s="2723" t="s">
        <v>6095</v>
      </c>
      <c r="AM318" s="2724">
        <v>139</v>
      </c>
      <c r="AN318" s="2725">
        <v>76</v>
      </c>
      <c r="AO318" s="2726">
        <v>57</v>
      </c>
      <c r="AQ318" s="5">
        <v>1</v>
      </c>
    </row>
    <row r="319" spans="22:43" ht="21" customHeight="1">
      <c r="V319" s="4399"/>
      <c r="W319" s="2732" t="s">
        <v>6096</v>
      </c>
      <c r="X319" s="2733" t="s">
        <v>6097</v>
      </c>
      <c r="Y319" s="2734">
        <v>189</v>
      </c>
      <c r="Z319" s="2735">
        <v>189</v>
      </c>
      <c r="AA319" s="2736">
        <v>189</v>
      </c>
      <c r="AB319"/>
      <c r="AC319" s="4400"/>
      <c r="AD319" s="2739" t="s">
        <v>6098</v>
      </c>
      <c r="AE319" s="2723" t="s">
        <v>6099</v>
      </c>
      <c r="AF319" s="2724">
        <v>234</v>
      </c>
      <c r="AG319" s="2725">
        <v>227</v>
      </c>
      <c r="AH319" s="2726">
        <v>225</v>
      </c>
      <c r="AI319"/>
      <c r="AJ319" s="4401"/>
      <c r="AK319" s="2728" t="s">
        <v>6100</v>
      </c>
      <c r="AL319" s="2723" t="s">
        <v>6101</v>
      </c>
      <c r="AM319" s="2724">
        <v>139</v>
      </c>
      <c r="AN319" s="2725">
        <v>62</v>
      </c>
      <c r="AO319" s="2726">
        <v>47</v>
      </c>
      <c r="AQ319" s="5">
        <v>1</v>
      </c>
    </row>
    <row r="320" spans="22:43" ht="21" customHeight="1">
      <c r="V320" s="4402"/>
      <c r="W320" s="2732" t="s">
        <v>6102</v>
      </c>
      <c r="X320" s="2733" t="s">
        <v>6103</v>
      </c>
      <c r="Y320" s="2734">
        <v>190</v>
      </c>
      <c r="Z320" s="2735">
        <v>190</v>
      </c>
      <c r="AA320" s="2736">
        <v>190</v>
      </c>
      <c r="AB320"/>
      <c r="AC320" s="4403"/>
      <c r="AD320" s="2739" t="s">
        <v>6104</v>
      </c>
      <c r="AE320" s="2723" t="s">
        <v>6105</v>
      </c>
      <c r="AF320" s="2724">
        <v>253</v>
      </c>
      <c r="AG320" s="2725">
        <v>233</v>
      </c>
      <c r="AH320" s="2726">
        <v>224</v>
      </c>
      <c r="AI320"/>
      <c r="AJ320" s="4404"/>
      <c r="AK320" s="2739" t="s">
        <v>6106</v>
      </c>
      <c r="AL320" s="2723" t="s">
        <v>6107</v>
      </c>
      <c r="AM320" s="2724">
        <v>141</v>
      </c>
      <c r="AN320" s="2725">
        <v>64</v>
      </c>
      <c r="AO320" s="2726">
        <v>36</v>
      </c>
      <c r="AQ320" s="5">
        <v>1</v>
      </c>
    </row>
    <row r="321" spans="22:43" ht="21" customHeight="1">
      <c r="V321" s="4405"/>
      <c r="W321" s="2732" t="s">
        <v>6108</v>
      </c>
      <c r="X321" s="2733" t="s">
        <v>6109</v>
      </c>
      <c r="Y321" s="2734">
        <v>191</v>
      </c>
      <c r="Z321" s="2735">
        <v>191</v>
      </c>
      <c r="AA321" s="2736">
        <v>191</v>
      </c>
      <c r="AB321"/>
      <c r="AC321" s="4406"/>
      <c r="AD321" s="2739" t="s">
        <v>6110</v>
      </c>
      <c r="AE321" s="2723" t="s">
        <v>6111</v>
      </c>
      <c r="AF321" s="2724">
        <v>199</v>
      </c>
      <c r="AG321" s="2725">
        <v>173</v>
      </c>
      <c r="AH321" s="2726">
        <v>163</v>
      </c>
      <c r="AI321"/>
      <c r="AJ321" s="4407"/>
      <c r="AK321" s="2728" t="s">
        <v>6112</v>
      </c>
      <c r="AL321" s="2723" t="s">
        <v>6113</v>
      </c>
      <c r="AM321" s="2724">
        <v>139</v>
      </c>
      <c r="AN321" s="2725">
        <v>54</v>
      </c>
      <c r="AO321" s="2726">
        <v>38</v>
      </c>
      <c r="AQ321" s="5">
        <v>1</v>
      </c>
    </row>
    <row r="322" spans="22:43" ht="21" customHeight="1">
      <c r="V322" s="4408"/>
      <c r="W322" s="2732" t="s">
        <v>6114</v>
      </c>
      <c r="X322" s="2733" t="s">
        <v>6115</v>
      </c>
      <c r="Y322" s="2734">
        <v>192</v>
      </c>
      <c r="Z322" s="2735">
        <v>192</v>
      </c>
      <c r="AA322" s="2736">
        <v>192</v>
      </c>
      <c r="AB322"/>
      <c r="AC322" s="4409"/>
      <c r="AD322" s="2739" t="s">
        <v>6116</v>
      </c>
      <c r="AE322" s="2723" t="s">
        <v>6117</v>
      </c>
      <c r="AF322" s="2724">
        <v>243</v>
      </c>
      <c r="AG322" s="2725">
        <v>132</v>
      </c>
      <c r="AH322" s="2726">
        <v>0</v>
      </c>
      <c r="AI322"/>
      <c r="AJ322" s="4410"/>
      <c r="AK322" s="2728" t="s">
        <v>6118</v>
      </c>
      <c r="AL322" s="2723" t="s">
        <v>6113</v>
      </c>
      <c r="AM322" s="2724">
        <v>139</v>
      </c>
      <c r="AN322" s="2725">
        <v>71</v>
      </c>
      <c r="AO322" s="2726">
        <v>38</v>
      </c>
      <c r="AQ322" s="5">
        <v>1</v>
      </c>
    </row>
    <row r="323" spans="22:43" ht="21" customHeight="1">
      <c r="V323" s="4411"/>
      <c r="W323" s="2732" t="s">
        <v>6119</v>
      </c>
      <c r="X323" s="2733" t="s">
        <v>6120</v>
      </c>
      <c r="Y323" s="2734">
        <v>194</v>
      </c>
      <c r="Z323" s="2735">
        <v>194</v>
      </c>
      <c r="AA323" s="2736">
        <v>194</v>
      </c>
      <c r="AB323"/>
      <c r="AC323" s="4412"/>
      <c r="AD323" s="2728" t="s">
        <v>6121</v>
      </c>
      <c r="AE323" s="2723" t="s">
        <v>6122</v>
      </c>
      <c r="AF323" s="2724">
        <v>219</v>
      </c>
      <c r="AG323" s="2725">
        <v>147</v>
      </c>
      <c r="AH323" s="2726">
        <v>112</v>
      </c>
      <c r="AI323"/>
      <c r="AJ323" s="4413"/>
      <c r="AK323" s="2739" t="s">
        <v>6123</v>
      </c>
      <c r="AL323" s="2723" t="s">
        <v>6124</v>
      </c>
      <c r="AM323" s="2724">
        <v>136</v>
      </c>
      <c r="AN323" s="2725">
        <v>66</v>
      </c>
      <c r="AO323" s="2726">
        <v>29</v>
      </c>
      <c r="AQ323" s="5">
        <v>1</v>
      </c>
    </row>
    <row r="324" spans="22:43" ht="21" customHeight="1">
      <c r="V324" s="4414"/>
      <c r="W324" s="2732" t="s">
        <v>6125</v>
      </c>
      <c r="X324" s="2733" t="s">
        <v>6126</v>
      </c>
      <c r="Y324" s="2734">
        <v>196</v>
      </c>
      <c r="Z324" s="2735">
        <v>196</v>
      </c>
      <c r="AA324" s="2736">
        <v>196</v>
      </c>
      <c r="AB324"/>
      <c r="AC324" s="4415"/>
      <c r="AD324" s="2739" t="s">
        <v>6127</v>
      </c>
      <c r="AE324" s="2723" t="s">
        <v>6128</v>
      </c>
      <c r="AF324" s="2724">
        <v>237</v>
      </c>
      <c r="AG324" s="2725">
        <v>135</v>
      </c>
      <c r="AH324" s="2726">
        <v>45</v>
      </c>
      <c r="AI324"/>
      <c r="AJ324" s="4416"/>
      <c r="AK324" s="2739" t="s">
        <v>6129</v>
      </c>
      <c r="AL324" s="2723" t="s">
        <v>6130</v>
      </c>
      <c r="AM324" s="2724">
        <v>136</v>
      </c>
      <c r="AN324" s="2725">
        <v>45</v>
      </c>
      <c r="AO324" s="2726">
        <v>23</v>
      </c>
      <c r="AQ324" s="5">
        <v>1</v>
      </c>
    </row>
    <row r="325" spans="22:43" ht="21" customHeight="1">
      <c r="V325" s="4417"/>
      <c r="W325" s="2732" t="s">
        <v>6131</v>
      </c>
      <c r="X325" s="2733" t="s">
        <v>6132</v>
      </c>
      <c r="Y325" s="2734">
        <v>199</v>
      </c>
      <c r="Z325" s="2735">
        <v>199</v>
      </c>
      <c r="AA325" s="2736">
        <v>199</v>
      </c>
      <c r="AB325"/>
      <c r="AC325" s="4418"/>
      <c r="AD325" s="2728" t="s">
        <v>6133</v>
      </c>
      <c r="AE325" s="2723" t="s">
        <v>6134</v>
      </c>
      <c r="AF325" s="2724">
        <v>238</v>
      </c>
      <c r="AG325" s="2725">
        <v>118</v>
      </c>
      <c r="AH325" s="2726">
        <v>0</v>
      </c>
      <c r="AI325"/>
      <c r="AJ325" s="4419"/>
      <c r="AK325" s="2739" t="s">
        <v>6135</v>
      </c>
      <c r="AL325" s="2723" t="s">
        <v>6136</v>
      </c>
      <c r="AM325" s="2724">
        <v>132</v>
      </c>
      <c r="AN325" s="2725">
        <v>46</v>
      </c>
      <c r="AO325" s="2726">
        <v>27</v>
      </c>
      <c r="AQ325" s="5">
        <v>1</v>
      </c>
    </row>
    <row r="326" spans="22:43" ht="21" customHeight="1">
      <c r="V326" s="4420"/>
      <c r="W326" s="2732" t="s">
        <v>6137</v>
      </c>
      <c r="X326" s="2733" t="s">
        <v>6138</v>
      </c>
      <c r="Y326" s="2734">
        <v>201</v>
      </c>
      <c r="Z326" s="2735">
        <v>201</v>
      </c>
      <c r="AA326" s="2736">
        <v>201</v>
      </c>
      <c r="AB326"/>
      <c r="AC326" s="4421"/>
      <c r="AD326" s="2739" t="s">
        <v>6139</v>
      </c>
      <c r="AE326" s="2723" t="s">
        <v>6140</v>
      </c>
      <c r="AF326" s="2724">
        <v>237</v>
      </c>
      <c r="AG326" s="2725">
        <v>127</v>
      </c>
      <c r="AH326" s="2726">
        <v>16</v>
      </c>
      <c r="AI326"/>
      <c r="AJ326" s="4422"/>
      <c r="AK326" s="2739" t="s">
        <v>6141</v>
      </c>
      <c r="AL326" s="2723" t="s">
        <v>6142</v>
      </c>
      <c r="AM326" s="2724">
        <v>121</v>
      </c>
      <c r="AN326" s="2725">
        <v>68</v>
      </c>
      <c r="AO326" s="2726">
        <v>59</v>
      </c>
      <c r="AQ326" s="5">
        <v>1</v>
      </c>
    </row>
    <row r="327" spans="22:43" ht="21" customHeight="1">
      <c r="V327" s="4423"/>
      <c r="W327" s="2753" t="s">
        <v>6143</v>
      </c>
      <c r="X327" s="2733" t="s">
        <v>6144</v>
      </c>
      <c r="Y327" s="2734">
        <v>204</v>
      </c>
      <c r="Z327" s="2735">
        <v>204</v>
      </c>
      <c r="AA327" s="2736">
        <v>204</v>
      </c>
      <c r="AB327"/>
      <c r="AC327" s="4424"/>
      <c r="AD327" s="2728" t="s">
        <v>6145</v>
      </c>
      <c r="AE327" s="2723" t="s">
        <v>6146</v>
      </c>
      <c r="AF327" s="2724">
        <v>209</v>
      </c>
      <c r="AG327" s="2725">
        <v>146</v>
      </c>
      <c r="AH327" s="2726">
        <v>117</v>
      </c>
      <c r="AI327"/>
      <c r="AJ327" s="4425"/>
      <c r="AK327" s="2739" t="s">
        <v>6147</v>
      </c>
      <c r="AL327" s="2723" t="s">
        <v>6148</v>
      </c>
      <c r="AM327" s="2724">
        <v>126</v>
      </c>
      <c r="AN327" s="2725">
        <v>51</v>
      </c>
      <c r="AO327" s="2726">
        <v>0</v>
      </c>
      <c r="AQ327" s="5">
        <v>1</v>
      </c>
    </row>
    <row r="328" spans="22:43" ht="21" customHeight="1">
      <c r="V328" s="4426"/>
      <c r="W328" s="2732" t="s">
        <v>6149</v>
      </c>
      <c r="X328" s="2733" t="s">
        <v>6150</v>
      </c>
      <c r="Y328" s="2734">
        <v>205</v>
      </c>
      <c r="Z328" s="2735">
        <v>205</v>
      </c>
      <c r="AA328" s="2736">
        <v>205</v>
      </c>
      <c r="AB328"/>
      <c r="AC328" s="4427"/>
      <c r="AD328" s="2739" t="s">
        <v>6151</v>
      </c>
      <c r="AE328" s="2723" t="s">
        <v>6152</v>
      </c>
      <c r="AF328" s="2724">
        <v>230</v>
      </c>
      <c r="AG328" s="2725">
        <v>126</v>
      </c>
      <c r="AH328" s="2726">
        <v>48</v>
      </c>
      <c r="AI328"/>
      <c r="AJ328" s="4428"/>
      <c r="AK328" s="2739" t="s">
        <v>6153</v>
      </c>
      <c r="AL328" s="2723" t="s">
        <v>6154</v>
      </c>
      <c r="AM328" s="2724">
        <v>103</v>
      </c>
      <c r="AN328" s="2725">
        <v>76</v>
      </c>
      <c r="AO328" s="2726">
        <v>71</v>
      </c>
      <c r="AQ328" s="5">
        <v>1</v>
      </c>
    </row>
    <row r="329" spans="22:43" ht="21" customHeight="1">
      <c r="V329" s="4429"/>
      <c r="W329" s="2753" t="s">
        <v>6155</v>
      </c>
      <c r="X329" s="2733" t="s">
        <v>6156</v>
      </c>
      <c r="Y329" s="2734">
        <v>206</v>
      </c>
      <c r="Z329" s="2735">
        <v>206</v>
      </c>
      <c r="AA329" s="2736">
        <v>206</v>
      </c>
      <c r="AB329"/>
      <c r="AC329" s="4430"/>
      <c r="AD329" s="2739" t="s">
        <v>6157</v>
      </c>
      <c r="AE329" s="2723" t="s">
        <v>6158</v>
      </c>
      <c r="AF329" s="2724">
        <v>217</v>
      </c>
      <c r="AG329" s="2725">
        <v>144</v>
      </c>
      <c r="AH329" s="2726">
        <v>88</v>
      </c>
      <c r="AI329"/>
      <c r="AJ329" s="4431"/>
      <c r="AK329" s="2739" t="s">
        <v>6159</v>
      </c>
      <c r="AL329" s="2723" t="s">
        <v>6160</v>
      </c>
      <c r="AM329" s="2724">
        <v>91</v>
      </c>
      <c r="AN329" s="2725">
        <v>80</v>
      </c>
      <c r="AO329" s="2726">
        <v>79</v>
      </c>
      <c r="AQ329" s="5">
        <v>1</v>
      </c>
    </row>
    <row r="330" spans="22:43" ht="21" customHeight="1">
      <c r="V330" s="4432"/>
      <c r="W330" s="2732" t="s">
        <v>6161</v>
      </c>
      <c r="X330" s="2733" t="s">
        <v>6162</v>
      </c>
      <c r="Y330" s="2734">
        <v>207</v>
      </c>
      <c r="Z330" s="2735">
        <v>207</v>
      </c>
      <c r="AA330" s="2736">
        <v>207</v>
      </c>
      <c r="AB330"/>
      <c r="AC330" s="4433"/>
      <c r="AD330" s="2739" t="s">
        <v>6163</v>
      </c>
      <c r="AE330" s="2723" t="s">
        <v>6164</v>
      </c>
      <c r="AF330" s="2724">
        <v>223</v>
      </c>
      <c r="AG330" s="2725">
        <v>109</v>
      </c>
      <c r="AH330" s="2726">
        <v>20</v>
      </c>
      <c r="AI330"/>
      <c r="AJ330" s="4434"/>
      <c r="AK330" s="2739" t="s">
        <v>6165</v>
      </c>
      <c r="AL330" s="2723" t="s">
        <v>6166</v>
      </c>
      <c r="AM330" s="2724">
        <v>112</v>
      </c>
      <c r="AN330" s="2725">
        <v>53</v>
      </c>
      <c r="AO330" s="2726">
        <v>22</v>
      </c>
      <c r="AQ330" s="5">
        <v>1</v>
      </c>
    </row>
    <row r="331" spans="22:43" ht="21" customHeight="1">
      <c r="V331" s="4435"/>
      <c r="W331" s="2732" t="s">
        <v>6167</v>
      </c>
      <c r="X331" s="2733" t="s">
        <v>6168</v>
      </c>
      <c r="Y331" s="2734">
        <v>209</v>
      </c>
      <c r="Z331" s="2735">
        <v>209</v>
      </c>
      <c r="AA331" s="2736">
        <v>209</v>
      </c>
      <c r="AB331"/>
      <c r="AC331" s="4436"/>
      <c r="AD331" s="2728" t="s">
        <v>6169</v>
      </c>
      <c r="AE331" s="2723" t="s">
        <v>6170</v>
      </c>
      <c r="AF331" s="2724">
        <v>210</v>
      </c>
      <c r="AG331" s="2725">
        <v>105</v>
      </c>
      <c r="AH331" s="2726">
        <v>30</v>
      </c>
      <c r="AI331"/>
      <c r="AJ331" s="4437"/>
      <c r="AK331" s="2739" t="s">
        <v>6171</v>
      </c>
      <c r="AL331" s="2723" t="s">
        <v>6172</v>
      </c>
      <c r="AM331" s="2724">
        <v>67</v>
      </c>
      <c r="AN331" s="2725">
        <v>48</v>
      </c>
      <c r="AO331" s="2726">
        <v>46</v>
      </c>
      <c r="AQ331" s="5">
        <v>1</v>
      </c>
    </row>
    <row r="332" spans="22:43" ht="21" customHeight="1">
      <c r="V332" s="4438"/>
      <c r="W332" s="2732" t="s">
        <v>6173</v>
      </c>
      <c r="X332" s="2733" t="s">
        <v>6174</v>
      </c>
      <c r="Y332" s="2734">
        <v>211</v>
      </c>
      <c r="Z332" s="2735">
        <v>211</v>
      </c>
      <c r="AA332" s="2736">
        <v>211</v>
      </c>
      <c r="AB332"/>
      <c r="AC332" s="4439"/>
      <c r="AD332" s="2728" t="s">
        <v>5553</v>
      </c>
      <c r="AE332" s="2723" t="s">
        <v>6175</v>
      </c>
      <c r="AF332" s="2724">
        <v>205</v>
      </c>
      <c r="AG332" s="2725">
        <v>127</v>
      </c>
      <c r="AH332" s="2726">
        <v>50</v>
      </c>
      <c r="AI332"/>
      <c r="AJ332" s="4440"/>
      <c r="AK332" s="2739" t="s">
        <v>6176</v>
      </c>
      <c r="AL332" s="2723" t="s">
        <v>6177</v>
      </c>
      <c r="AM332" s="2724">
        <v>0</v>
      </c>
      <c r="AN332" s="2725">
        <v>255</v>
      </c>
      <c r="AO332" s="2726">
        <v>0</v>
      </c>
      <c r="AQ332" s="5">
        <v>1</v>
      </c>
    </row>
    <row r="333" spans="22:43" ht="21" customHeight="1">
      <c r="V333" s="4441"/>
      <c r="W333" s="2732" t="s">
        <v>6178</v>
      </c>
      <c r="X333" s="2733" t="s">
        <v>6179</v>
      </c>
      <c r="Y333" s="2734">
        <v>212</v>
      </c>
      <c r="Z333" s="2735">
        <v>212</v>
      </c>
      <c r="AA333" s="2736">
        <v>212</v>
      </c>
      <c r="AB333"/>
      <c r="AC333" s="4442"/>
      <c r="AD333" s="2728" t="s">
        <v>6180</v>
      </c>
      <c r="AE333" s="2723" t="s">
        <v>6181</v>
      </c>
      <c r="AF333" s="2724">
        <v>205</v>
      </c>
      <c r="AG333" s="2725">
        <v>102</v>
      </c>
      <c r="AH333" s="2726">
        <v>29</v>
      </c>
      <c r="AI333"/>
      <c r="AJ333" s="4443"/>
      <c r="AK333" s="2739" t="s">
        <v>6182</v>
      </c>
      <c r="AL333" s="2723" t="s">
        <v>6183</v>
      </c>
      <c r="AM333" s="2724">
        <v>135</v>
      </c>
      <c r="AN333" s="2725">
        <v>233</v>
      </c>
      <c r="AO333" s="2726">
        <v>144</v>
      </c>
      <c r="AQ333" s="5">
        <v>1</v>
      </c>
    </row>
    <row r="334" spans="22:43" ht="21" customHeight="1">
      <c r="V334" s="4444"/>
      <c r="W334" s="2732" t="s">
        <v>6184</v>
      </c>
      <c r="X334" s="2733" t="s">
        <v>6185</v>
      </c>
      <c r="Y334" s="2734">
        <v>214</v>
      </c>
      <c r="Z334" s="2735">
        <v>214</v>
      </c>
      <c r="AA334" s="2736">
        <v>214</v>
      </c>
      <c r="AB334"/>
      <c r="AC334" s="4445"/>
      <c r="AD334" s="2728" t="s">
        <v>6186</v>
      </c>
      <c r="AE334" s="2723" t="s">
        <v>6187</v>
      </c>
      <c r="AF334" s="2724">
        <v>205</v>
      </c>
      <c r="AG334" s="2725">
        <v>102</v>
      </c>
      <c r="AH334" s="2726">
        <v>0</v>
      </c>
      <c r="AI334"/>
      <c r="AJ334" s="4446"/>
      <c r="AK334" s="2728" t="s">
        <v>6188</v>
      </c>
      <c r="AL334" s="2723" t="s">
        <v>6189</v>
      </c>
      <c r="AM334" s="2724">
        <v>144</v>
      </c>
      <c r="AN334" s="2725">
        <v>238</v>
      </c>
      <c r="AO334" s="2726">
        <v>144</v>
      </c>
      <c r="AQ334" s="5">
        <v>1</v>
      </c>
    </row>
    <row r="335" spans="22:43" ht="21" customHeight="1">
      <c r="V335" s="4447"/>
      <c r="W335" s="2732" t="s">
        <v>6190</v>
      </c>
      <c r="X335" s="2733" t="s">
        <v>6191</v>
      </c>
      <c r="Y335" s="2734">
        <v>217</v>
      </c>
      <c r="Z335" s="2735">
        <v>217</v>
      </c>
      <c r="AA335" s="2736">
        <v>217</v>
      </c>
      <c r="AB335"/>
      <c r="AC335" s="4448"/>
      <c r="AD335" s="2739" t="s">
        <v>6192</v>
      </c>
      <c r="AE335" s="2723" t="s">
        <v>6193</v>
      </c>
      <c r="AF335" s="2724">
        <v>190</v>
      </c>
      <c r="AG335" s="2725">
        <v>101</v>
      </c>
      <c r="AH335" s="2726">
        <v>22</v>
      </c>
      <c r="AI335"/>
      <c r="AJ335" s="4449"/>
      <c r="AK335" s="2728" t="s">
        <v>6194</v>
      </c>
      <c r="AL335" s="2723" t="s">
        <v>6195</v>
      </c>
      <c r="AM335" s="2724">
        <v>193</v>
      </c>
      <c r="AN335" s="2725">
        <v>205</v>
      </c>
      <c r="AO335" s="2726">
        <v>193</v>
      </c>
      <c r="AQ335" s="5">
        <v>1</v>
      </c>
    </row>
    <row r="336" spans="22:43" ht="21" customHeight="1">
      <c r="V336" s="4450"/>
      <c r="W336" s="2732" t="s">
        <v>6196</v>
      </c>
      <c r="X336" s="2733" t="s">
        <v>6197</v>
      </c>
      <c r="Y336" s="2734">
        <v>219</v>
      </c>
      <c r="Z336" s="2735">
        <v>219</v>
      </c>
      <c r="AA336" s="2736">
        <v>219</v>
      </c>
      <c r="AB336"/>
      <c r="AC336" s="4451"/>
      <c r="AD336" s="2728" t="s">
        <v>6198</v>
      </c>
      <c r="AE336" s="2723" t="s">
        <v>6199</v>
      </c>
      <c r="AF336" s="2724">
        <v>184</v>
      </c>
      <c r="AG336" s="2725">
        <v>115</v>
      </c>
      <c r="AH336" s="2726">
        <v>51</v>
      </c>
      <c r="AI336"/>
      <c r="AJ336" s="4452"/>
      <c r="AK336" s="2728" t="s">
        <v>6200</v>
      </c>
      <c r="AL336" s="2723" t="s">
        <v>6201</v>
      </c>
      <c r="AM336" s="2724">
        <v>152</v>
      </c>
      <c r="AN336" s="2725">
        <v>251</v>
      </c>
      <c r="AO336" s="2726">
        <v>152</v>
      </c>
      <c r="AQ336" s="5">
        <v>1</v>
      </c>
    </row>
    <row r="337" spans="22:43" ht="21" customHeight="1">
      <c r="V337" s="4453"/>
      <c r="W337" s="2732" t="s">
        <v>6202</v>
      </c>
      <c r="X337" s="2733" t="s">
        <v>6203</v>
      </c>
      <c r="Y337" s="2734">
        <v>220</v>
      </c>
      <c r="Z337" s="2735">
        <v>220</v>
      </c>
      <c r="AA337" s="2736">
        <v>220</v>
      </c>
      <c r="AB337"/>
      <c r="AC337" s="4454"/>
      <c r="AD337" s="2739" t="s">
        <v>6204</v>
      </c>
      <c r="AE337" s="2723" t="s">
        <v>6205</v>
      </c>
      <c r="AF337" s="2724">
        <v>151</v>
      </c>
      <c r="AG337" s="2725">
        <v>127</v>
      </c>
      <c r="AH337" s="2726">
        <v>115</v>
      </c>
      <c r="AI337"/>
      <c r="AJ337" s="4455"/>
      <c r="AK337" s="2728" t="s">
        <v>6206</v>
      </c>
      <c r="AL337" s="2723" t="s">
        <v>6207</v>
      </c>
      <c r="AM337" s="2724">
        <v>180</v>
      </c>
      <c r="AN337" s="2725">
        <v>238</v>
      </c>
      <c r="AO337" s="2726">
        <v>180</v>
      </c>
      <c r="AQ337" s="5">
        <v>1</v>
      </c>
    </row>
    <row r="338" spans="22:43" ht="21" customHeight="1">
      <c r="V338" s="4456"/>
      <c r="W338" s="2732" t="s">
        <v>6208</v>
      </c>
      <c r="X338" s="2733" t="s">
        <v>6209</v>
      </c>
      <c r="Y338" s="2734">
        <v>221</v>
      </c>
      <c r="Z338" s="2735">
        <v>221</v>
      </c>
      <c r="AA338" s="2736">
        <v>221</v>
      </c>
      <c r="AB338"/>
      <c r="AC338" s="4457"/>
      <c r="AD338" s="2739" t="s">
        <v>6210</v>
      </c>
      <c r="AE338" s="2723" t="s">
        <v>6211</v>
      </c>
      <c r="AF338" s="2724">
        <v>174</v>
      </c>
      <c r="AG338" s="2725">
        <v>105</v>
      </c>
      <c r="AH338" s="2726">
        <v>56</v>
      </c>
      <c r="AI338"/>
      <c r="AJ338" s="4458"/>
      <c r="AK338" s="2728" t="s">
        <v>6212</v>
      </c>
      <c r="AL338" s="2723" t="s">
        <v>6213</v>
      </c>
      <c r="AM338" s="2724">
        <v>154</v>
      </c>
      <c r="AN338" s="2725">
        <v>255</v>
      </c>
      <c r="AO338" s="2726">
        <v>154</v>
      </c>
      <c r="AQ338" s="5">
        <v>1</v>
      </c>
    </row>
    <row r="339" spans="22:43" ht="21" customHeight="1">
      <c r="V339" s="4459"/>
      <c r="W339" s="2732" t="s">
        <v>6214</v>
      </c>
      <c r="X339" s="2733" t="s">
        <v>6215</v>
      </c>
      <c r="Y339" s="2734">
        <v>222</v>
      </c>
      <c r="Z339" s="2735">
        <v>222</v>
      </c>
      <c r="AA339" s="2736">
        <v>222</v>
      </c>
      <c r="AB339"/>
      <c r="AC339" s="4460"/>
      <c r="AD339" s="2739" t="s">
        <v>6216</v>
      </c>
      <c r="AE339" s="2723" t="s">
        <v>6217</v>
      </c>
      <c r="AF339" s="2724">
        <v>179</v>
      </c>
      <c r="AG339" s="2725">
        <v>103</v>
      </c>
      <c r="AH339" s="2726">
        <v>0</v>
      </c>
      <c r="AI339"/>
      <c r="AJ339" s="4461"/>
      <c r="AK339" s="2728" t="s">
        <v>6218</v>
      </c>
      <c r="AL339" s="2723" t="s">
        <v>6219</v>
      </c>
      <c r="AM339" s="2724">
        <v>193</v>
      </c>
      <c r="AN339" s="2725">
        <v>255</v>
      </c>
      <c r="AO339" s="2726">
        <v>193</v>
      </c>
      <c r="AQ339" s="5">
        <v>1</v>
      </c>
    </row>
    <row r="340" spans="22:43" ht="21" customHeight="1">
      <c r="V340" s="4462"/>
      <c r="W340" s="2732" t="s">
        <v>6220</v>
      </c>
      <c r="X340" s="2733" t="s">
        <v>6221</v>
      </c>
      <c r="Y340" s="2734">
        <v>224</v>
      </c>
      <c r="Z340" s="2735">
        <v>224</v>
      </c>
      <c r="AA340" s="2736">
        <v>224</v>
      </c>
      <c r="AB340"/>
      <c r="AC340" s="4463"/>
      <c r="AD340" s="2739" t="s">
        <v>6222</v>
      </c>
      <c r="AE340" s="2723" t="s">
        <v>6223</v>
      </c>
      <c r="AF340" s="2724">
        <v>174</v>
      </c>
      <c r="AG340" s="2725">
        <v>100</v>
      </c>
      <c r="AH340" s="2726">
        <v>45</v>
      </c>
      <c r="AI340"/>
      <c r="AJ340" s="4464"/>
      <c r="AK340" s="2728" t="s">
        <v>6224</v>
      </c>
      <c r="AL340" s="2723" t="s">
        <v>6225</v>
      </c>
      <c r="AM340" s="2724">
        <v>224</v>
      </c>
      <c r="AN340" s="2725">
        <v>238</v>
      </c>
      <c r="AO340" s="2726">
        <v>224</v>
      </c>
      <c r="AQ340" s="5">
        <v>1</v>
      </c>
    </row>
    <row r="341" spans="22:43" ht="21" customHeight="1">
      <c r="V341" s="4465"/>
      <c r="W341" s="2732" t="s">
        <v>6226</v>
      </c>
      <c r="X341" s="2733" t="s">
        <v>6227</v>
      </c>
      <c r="Y341" s="2734">
        <v>227</v>
      </c>
      <c r="Z341" s="2735">
        <v>227</v>
      </c>
      <c r="AA341" s="2736">
        <v>227</v>
      </c>
      <c r="AB341"/>
      <c r="AC341" s="4466"/>
      <c r="AD341" s="2739" t="s">
        <v>6228</v>
      </c>
      <c r="AE341" s="2723" t="s">
        <v>6229</v>
      </c>
      <c r="AF341" s="2724">
        <v>167</v>
      </c>
      <c r="AG341" s="2725">
        <v>103</v>
      </c>
      <c r="AH341" s="2726">
        <v>38</v>
      </c>
      <c r="AI341"/>
      <c r="AJ341" s="4467"/>
      <c r="AK341" s="2728" t="s">
        <v>6230</v>
      </c>
      <c r="AL341" s="2723" t="s">
        <v>6231</v>
      </c>
      <c r="AM341" s="2724">
        <v>240</v>
      </c>
      <c r="AN341" s="2725">
        <v>255</v>
      </c>
      <c r="AO341" s="2726">
        <v>240</v>
      </c>
      <c r="AQ341" s="5">
        <v>1</v>
      </c>
    </row>
    <row r="342" spans="22:43" ht="21" customHeight="1">
      <c r="V342" s="4468"/>
      <c r="W342" s="2732" t="s">
        <v>6232</v>
      </c>
      <c r="X342" s="2733" t="s">
        <v>6233</v>
      </c>
      <c r="Y342" s="2734">
        <v>229</v>
      </c>
      <c r="Z342" s="2735">
        <v>229</v>
      </c>
      <c r="AA342" s="2736">
        <v>229</v>
      </c>
      <c r="AB342"/>
      <c r="AC342" s="4469"/>
      <c r="AD342" s="2728" t="s">
        <v>6234</v>
      </c>
      <c r="AE342" s="2723" t="s">
        <v>6235</v>
      </c>
      <c r="AF342" s="2724">
        <v>151</v>
      </c>
      <c r="AG342" s="2725">
        <v>105</v>
      </c>
      <c r="AH342" s="2726">
        <v>79</v>
      </c>
      <c r="AI342"/>
      <c r="AJ342" s="4470"/>
      <c r="AK342" s="2728" t="s">
        <v>6236</v>
      </c>
      <c r="AL342" s="2723" t="s">
        <v>6237</v>
      </c>
      <c r="AM342" s="2724">
        <v>155</v>
      </c>
      <c r="AN342" s="2725">
        <v>205</v>
      </c>
      <c r="AO342" s="2726">
        <v>155</v>
      </c>
      <c r="AQ342" s="5">
        <v>1</v>
      </c>
    </row>
    <row r="343" spans="22:43" ht="21" customHeight="1">
      <c r="V343" s="4471"/>
      <c r="W343" s="2732" t="s">
        <v>6238</v>
      </c>
      <c r="X343" s="2733" t="s">
        <v>6239</v>
      </c>
      <c r="Y343" s="2734">
        <v>232</v>
      </c>
      <c r="Z343" s="2735">
        <v>232</v>
      </c>
      <c r="AA343" s="2736">
        <v>232</v>
      </c>
      <c r="AB343"/>
      <c r="AC343" s="4472"/>
      <c r="AD343" s="2739" t="s">
        <v>6240</v>
      </c>
      <c r="AE343" s="2723" t="s">
        <v>6241</v>
      </c>
      <c r="AF343" s="2724">
        <v>167</v>
      </c>
      <c r="AG343" s="2725">
        <v>85</v>
      </c>
      <c r="AH343" s="2726">
        <v>2</v>
      </c>
      <c r="AI343"/>
      <c r="AJ343" s="4473"/>
      <c r="AK343" s="2728" t="s">
        <v>6242</v>
      </c>
      <c r="AL343" s="2723" t="s">
        <v>6243</v>
      </c>
      <c r="AM343" s="2724">
        <v>9</v>
      </c>
      <c r="AN343" s="2725">
        <v>249</v>
      </c>
      <c r="AO343" s="2726">
        <v>17</v>
      </c>
      <c r="AQ343" s="5">
        <v>1</v>
      </c>
    </row>
    <row r="344" spans="22:43" ht="21" customHeight="1">
      <c r="V344" s="4474"/>
      <c r="W344" s="2732" t="s">
        <v>6244</v>
      </c>
      <c r="X344" s="2733" t="s">
        <v>6245</v>
      </c>
      <c r="Y344" s="2734">
        <v>235</v>
      </c>
      <c r="Z344" s="2735">
        <v>235</v>
      </c>
      <c r="AA344" s="2736">
        <v>235</v>
      </c>
      <c r="AB344"/>
      <c r="AC344" s="4475"/>
      <c r="AD344" s="2739" t="s">
        <v>6246</v>
      </c>
      <c r="AE344" s="2723" t="s">
        <v>6247</v>
      </c>
      <c r="AF344" s="2724">
        <v>159</v>
      </c>
      <c r="AG344" s="2725">
        <v>85</v>
      </c>
      <c r="AH344" s="2726">
        <v>30</v>
      </c>
      <c r="AI344"/>
      <c r="AJ344" s="4476"/>
      <c r="AK344" s="2739" t="s">
        <v>6248</v>
      </c>
      <c r="AL344" s="2723" t="s">
        <v>6249</v>
      </c>
      <c r="AM344" s="2724">
        <v>58</v>
      </c>
      <c r="AN344" s="2725">
        <v>242</v>
      </c>
      <c r="AO344" s="2726">
        <v>75</v>
      </c>
      <c r="AQ344" s="5">
        <v>1</v>
      </c>
    </row>
    <row r="345" spans="22:43" ht="21" customHeight="1">
      <c r="V345" s="4477"/>
      <c r="W345" s="2753" t="s">
        <v>6250</v>
      </c>
      <c r="X345" s="2733" t="s">
        <v>6251</v>
      </c>
      <c r="Y345" s="2734">
        <v>237</v>
      </c>
      <c r="Z345" s="2735">
        <v>237</v>
      </c>
      <c r="AA345" s="2736">
        <v>237</v>
      </c>
      <c r="AB345"/>
      <c r="AC345" s="4478"/>
      <c r="AD345" s="2739" t="s">
        <v>6252</v>
      </c>
      <c r="AE345" s="2723" t="s">
        <v>6253</v>
      </c>
      <c r="AF345" s="2724">
        <v>152</v>
      </c>
      <c r="AG345" s="2725">
        <v>87</v>
      </c>
      <c r="AH345" s="2726">
        <v>23</v>
      </c>
      <c r="AI345"/>
      <c r="AJ345" s="4479"/>
      <c r="AK345" s="2739" t="s">
        <v>6254</v>
      </c>
      <c r="AL345" s="2723" t="s">
        <v>6255</v>
      </c>
      <c r="AM345" s="2724">
        <v>131</v>
      </c>
      <c r="AN345" s="2725">
        <v>211</v>
      </c>
      <c r="AO345" s="2726">
        <v>125</v>
      </c>
      <c r="AQ345" s="5">
        <v>1</v>
      </c>
    </row>
    <row r="346" spans="22:43" ht="21" customHeight="1">
      <c r="V346" s="4480"/>
      <c r="W346" s="2732" t="s">
        <v>6256</v>
      </c>
      <c r="X346" s="2733" t="s">
        <v>6257</v>
      </c>
      <c r="Y346" s="2734">
        <v>238</v>
      </c>
      <c r="Z346" s="2735">
        <v>238</v>
      </c>
      <c r="AA346" s="2736">
        <v>238</v>
      </c>
      <c r="AB346"/>
      <c r="AC346" s="4481"/>
      <c r="AD346" s="2739" t="s">
        <v>6258</v>
      </c>
      <c r="AE346" s="2723" t="s">
        <v>6259</v>
      </c>
      <c r="AF346" s="2724">
        <v>149</v>
      </c>
      <c r="AG346" s="2725">
        <v>86</v>
      </c>
      <c r="AH346" s="2726">
        <v>40</v>
      </c>
      <c r="AI346"/>
      <c r="AJ346" s="4482"/>
      <c r="AK346" s="2739" t="s">
        <v>6260</v>
      </c>
      <c r="AL346" s="2723" t="s">
        <v>6261</v>
      </c>
      <c r="AM346" s="2724">
        <v>147</v>
      </c>
      <c r="AN346" s="2725">
        <v>197</v>
      </c>
      <c r="AO346" s="2726">
        <v>146</v>
      </c>
      <c r="AQ346" s="5">
        <v>1</v>
      </c>
    </row>
    <row r="347" spans="22:43" ht="21" customHeight="1">
      <c r="V347" s="4483"/>
      <c r="W347" s="2753" t="s">
        <v>6262</v>
      </c>
      <c r="X347" s="2733" t="s">
        <v>6263</v>
      </c>
      <c r="Y347" s="2734">
        <v>239</v>
      </c>
      <c r="Z347" s="2735">
        <v>239</v>
      </c>
      <c r="AA347" s="2736">
        <v>239</v>
      </c>
      <c r="AB347"/>
      <c r="AC347" s="4484"/>
      <c r="AD347" s="2739" t="s">
        <v>6264</v>
      </c>
      <c r="AE347" s="2723" t="s">
        <v>6265</v>
      </c>
      <c r="AF347" s="2724">
        <v>142</v>
      </c>
      <c r="AG347" s="2725">
        <v>84</v>
      </c>
      <c r="AH347" s="2726">
        <v>52</v>
      </c>
      <c r="AI347"/>
      <c r="AJ347" s="4485"/>
      <c r="AK347" s="2728" t="s">
        <v>6266</v>
      </c>
      <c r="AL347" s="2723" t="s">
        <v>6267</v>
      </c>
      <c r="AM347" s="2724">
        <v>0</v>
      </c>
      <c r="AN347" s="2725">
        <v>238</v>
      </c>
      <c r="AO347" s="2726">
        <v>0</v>
      </c>
      <c r="AQ347" s="5">
        <v>1</v>
      </c>
    </row>
    <row r="348" spans="22:43" ht="21" customHeight="1">
      <c r="V348" s="4486"/>
      <c r="W348" s="2732" t="s">
        <v>6268</v>
      </c>
      <c r="X348" s="2733" t="s">
        <v>6269</v>
      </c>
      <c r="Y348" s="2734">
        <v>240</v>
      </c>
      <c r="Z348" s="2735">
        <v>240</v>
      </c>
      <c r="AA348" s="2736">
        <v>240</v>
      </c>
      <c r="AB348"/>
      <c r="AC348" s="4487"/>
      <c r="AD348" s="2728" t="s">
        <v>6270</v>
      </c>
      <c r="AE348" s="2723" t="s">
        <v>6271</v>
      </c>
      <c r="AF348" s="2724">
        <v>133</v>
      </c>
      <c r="AG348" s="2725">
        <v>94</v>
      </c>
      <c r="AH348" s="2726">
        <v>66</v>
      </c>
      <c r="AI348"/>
      <c r="AJ348" s="4488"/>
      <c r="AK348" s="2728" t="s">
        <v>6272</v>
      </c>
      <c r="AL348" s="2723" t="s">
        <v>6273</v>
      </c>
      <c r="AM348" s="2724">
        <v>124</v>
      </c>
      <c r="AN348" s="2725">
        <v>205</v>
      </c>
      <c r="AO348" s="2726">
        <v>124</v>
      </c>
      <c r="AQ348" s="5">
        <v>1</v>
      </c>
    </row>
    <row r="349" spans="22:43" ht="21" customHeight="1">
      <c r="V349" s="4489"/>
      <c r="W349" s="2732" t="s">
        <v>6274</v>
      </c>
      <c r="X349" s="2733" t="s">
        <v>6275</v>
      </c>
      <c r="Y349" s="2734">
        <v>242</v>
      </c>
      <c r="Z349" s="2735">
        <v>242</v>
      </c>
      <c r="AA349" s="2736">
        <v>242</v>
      </c>
      <c r="AB349"/>
      <c r="AC349" s="4490"/>
      <c r="AD349" s="2739" t="s">
        <v>6276</v>
      </c>
      <c r="AE349" s="2723" t="s">
        <v>6277</v>
      </c>
      <c r="AF349" s="2724">
        <v>132</v>
      </c>
      <c r="AG349" s="2725">
        <v>90</v>
      </c>
      <c r="AH349" s="2726">
        <v>59</v>
      </c>
      <c r="AI349"/>
      <c r="AJ349" s="4491"/>
      <c r="AK349" s="2728" t="s">
        <v>6278</v>
      </c>
      <c r="AL349" s="2723" t="s">
        <v>6279</v>
      </c>
      <c r="AM349" s="2724">
        <v>143</v>
      </c>
      <c r="AN349" s="2725">
        <v>188</v>
      </c>
      <c r="AO349" s="2726">
        <v>143</v>
      </c>
      <c r="AQ349" s="5">
        <v>1</v>
      </c>
    </row>
    <row r="350" spans="22:43" ht="21" customHeight="1">
      <c r="V350" s="4492"/>
      <c r="W350" s="2732" t="s">
        <v>6280</v>
      </c>
      <c r="X350" s="2733" t="s">
        <v>6281</v>
      </c>
      <c r="Y350" s="2734">
        <v>245</v>
      </c>
      <c r="Z350" s="2735">
        <v>245</v>
      </c>
      <c r="AA350" s="2736">
        <v>245</v>
      </c>
      <c r="AB350"/>
      <c r="AC350" s="4493"/>
      <c r="AD350" s="2728" t="s">
        <v>6282</v>
      </c>
      <c r="AE350" s="2723" t="s">
        <v>6283</v>
      </c>
      <c r="AF350" s="2724">
        <v>139</v>
      </c>
      <c r="AG350" s="2725">
        <v>69</v>
      </c>
      <c r="AH350" s="2726">
        <v>19</v>
      </c>
      <c r="AI350"/>
      <c r="AJ350" s="4494"/>
      <c r="AK350" s="2739" t="s">
        <v>6284</v>
      </c>
      <c r="AL350" s="2723" t="s">
        <v>6285</v>
      </c>
      <c r="AM350" s="2724">
        <v>149</v>
      </c>
      <c r="AN350" s="2725">
        <v>165</v>
      </c>
      <c r="AO350" s="2726">
        <v>149</v>
      </c>
      <c r="AQ350" s="5">
        <v>1</v>
      </c>
    </row>
    <row r="351" spans="22:43" ht="21" customHeight="1">
      <c r="V351" s="4495"/>
      <c r="W351" s="2732" t="s">
        <v>6286</v>
      </c>
      <c r="X351" s="2733" t="s">
        <v>6287</v>
      </c>
      <c r="Y351" s="2734">
        <v>247</v>
      </c>
      <c r="Z351" s="2735">
        <v>247</v>
      </c>
      <c r="AA351" s="2736">
        <v>247</v>
      </c>
      <c r="AB351"/>
      <c r="AC351" s="4496"/>
      <c r="AD351" s="2728" t="s">
        <v>6288</v>
      </c>
      <c r="AE351" s="2723" t="s">
        <v>6289</v>
      </c>
      <c r="AF351" s="2724">
        <v>139</v>
      </c>
      <c r="AG351" s="2725">
        <v>69</v>
      </c>
      <c r="AH351" s="2726">
        <v>0</v>
      </c>
      <c r="AI351"/>
      <c r="AJ351" s="4497"/>
      <c r="AK351" s="2728" t="s">
        <v>6290</v>
      </c>
      <c r="AL351" s="2723" t="s">
        <v>6291</v>
      </c>
      <c r="AM351" s="2724">
        <v>50</v>
      </c>
      <c r="AN351" s="2725">
        <v>205</v>
      </c>
      <c r="AO351" s="2726">
        <v>50</v>
      </c>
      <c r="AQ351" s="5">
        <v>1</v>
      </c>
    </row>
    <row r="352" spans="22:43" ht="21" customHeight="1">
      <c r="V352" s="4498"/>
      <c r="W352" s="2732" t="s">
        <v>6292</v>
      </c>
      <c r="X352" s="2733" t="s">
        <v>6293</v>
      </c>
      <c r="Y352" s="2734">
        <v>250</v>
      </c>
      <c r="Z352" s="2735">
        <v>250</v>
      </c>
      <c r="AA352" s="2736">
        <v>250</v>
      </c>
      <c r="AB352"/>
      <c r="AC352" s="4499"/>
      <c r="AD352" s="2739" t="s">
        <v>6294</v>
      </c>
      <c r="AE352" s="2723" t="s">
        <v>6295</v>
      </c>
      <c r="AF352" s="2724">
        <v>128</v>
      </c>
      <c r="AG352" s="2725">
        <v>70</v>
      </c>
      <c r="AH352" s="2726">
        <v>27</v>
      </c>
      <c r="AI352"/>
      <c r="AJ352" s="4500"/>
      <c r="AK352" s="2728" t="s">
        <v>6296</v>
      </c>
      <c r="AL352" s="2723" t="s">
        <v>6297</v>
      </c>
      <c r="AM352" s="2724">
        <v>0</v>
      </c>
      <c r="AN352" s="2725">
        <v>205</v>
      </c>
      <c r="AO352" s="2726">
        <v>0</v>
      </c>
      <c r="AQ352" s="5">
        <v>1</v>
      </c>
    </row>
    <row r="353" spans="22:43" ht="21" customHeight="1">
      <c r="V353" s="4501"/>
      <c r="W353" s="2732" t="s">
        <v>6298</v>
      </c>
      <c r="X353" s="2733" t="s">
        <v>6299</v>
      </c>
      <c r="Y353" s="2734">
        <v>252</v>
      </c>
      <c r="Z353" s="2735">
        <v>252</v>
      </c>
      <c r="AA353" s="2736">
        <v>252</v>
      </c>
      <c r="AB353"/>
      <c r="AC353" s="4502"/>
      <c r="AD353" s="2739" t="s">
        <v>6300</v>
      </c>
      <c r="AE353" s="2723" t="s">
        <v>6301</v>
      </c>
      <c r="AF353" s="2724">
        <v>111</v>
      </c>
      <c r="AG353" s="2725">
        <v>78</v>
      </c>
      <c r="AH353" s="2726">
        <v>55</v>
      </c>
      <c r="AI353"/>
      <c r="AJ353" s="4503"/>
      <c r="AK353" s="2739" t="s">
        <v>6302</v>
      </c>
      <c r="AL353" s="2723" t="s">
        <v>6303</v>
      </c>
      <c r="AM353" s="2724">
        <v>52</v>
      </c>
      <c r="AN353" s="2725">
        <v>201</v>
      </c>
      <c r="AO353" s="2726">
        <v>36</v>
      </c>
      <c r="AQ353" s="5">
        <v>1</v>
      </c>
    </row>
    <row r="354" spans="22:43" ht="21" customHeight="1">
      <c r="V354" s="4504"/>
      <c r="W354" s="2753" t="s">
        <v>6304</v>
      </c>
      <c r="X354" s="2733" t="s">
        <v>6305</v>
      </c>
      <c r="Y354" s="2734">
        <v>254</v>
      </c>
      <c r="Z354" s="2735">
        <v>254</v>
      </c>
      <c r="AA354" s="2736">
        <v>254</v>
      </c>
      <c r="AB354"/>
      <c r="AC354" s="4505"/>
      <c r="AD354" s="2739" t="s">
        <v>6306</v>
      </c>
      <c r="AE354" s="2723" t="s">
        <v>6307</v>
      </c>
      <c r="AF354" s="2724">
        <v>99</v>
      </c>
      <c r="AG354" s="2725">
        <v>81</v>
      </c>
      <c r="AH354" s="2726">
        <v>71</v>
      </c>
      <c r="AI354"/>
      <c r="AJ354" s="4506"/>
      <c r="AK354" s="2728" t="s">
        <v>6308</v>
      </c>
      <c r="AL354" s="2723" t="s">
        <v>6309</v>
      </c>
      <c r="AM354" s="2724">
        <v>131</v>
      </c>
      <c r="AN354" s="2725">
        <v>139</v>
      </c>
      <c r="AO354" s="2726">
        <v>131</v>
      </c>
      <c r="AQ354" s="5">
        <v>1</v>
      </c>
    </row>
    <row r="355" spans="22:43" ht="21" customHeight="1">
      <c r="V355" s="4507"/>
      <c r="W355" s="2732" t="s">
        <v>6310</v>
      </c>
      <c r="X355" s="2733" t="s">
        <v>6311</v>
      </c>
      <c r="Y355" s="2734">
        <v>184</v>
      </c>
      <c r="Z355" s="2735">
        <v>184</v>
      </c>
      <c r="AA355" s="2736">
        <v>184</v>
      </c>
      <c r="AB355"/>
      <c r="AC355" s="4508"/>
      <c r="AD355" s="2728" t="s">
        <v>6312</v>
      </c>
      <c r="AE355" s="2723" t="s">
        <v>6313</v>
      </c>
      <c r="AF355" s="2724">
        <v>107</v>
      </c>
      <c r="AG355" s="2725">
        <v>66</v>
      </c>
      <c r="AH355" s="2726">
        <v>38</v>
      </c>
      <c r="AI355"/>
      <c r="AJ355" s="4509"/>
      <c r="AK355" s="2739" t="s">
        <v>6314</v>
      </c>
      <c r="AL355" s="2723" t="s">
        <v>6315</v>
      </c>
      <c r="AM355" s="2724">
        <v>103</v>
      </c>
      <c r="AN355" s="2725">
        <v>146</v>
      </c>
      <c r="AO355" s="2726">
        <v>103</v>
      </c>
      <c r="AQ355" s="5">
        <v>1</v>
      </c>
    </row>
    <row r="356" spans="22:43" ht="21" customHeight="1">
      <c r="V356" s="4510"/>
      <c r="W356" s="2732" t="s">
        <v>6316</v>
      </c>
      <c r="X356" s="2733" t="s">
        <v>6317</v>
      </c>
      <c r="Y356" s="2734">
        <v>181</v>
      </c>
      <c r="Z356" s="2735">
        <v>181</v>
      </c>
      <c r="AA356" s="2736">
        <v>181</v>
      </c>
      <c r="AB356"/>
      <c r="AC356" s="4511"/>
      <c r="AD356" s="2728" t="s">
        <v>6318</v>
      </c>
      <c r="AE356" s="2723" t="s">
        <v>6319</v>
      </c>
      <c r="AF356" s="2724">
        <v>92</v>
      </c>
      <c r="AG356" s="2725">
        <v>64</v>
      </c>
      <c r="AH356" s="2726">
        <v>51</v>
      </c>
      <c r="AI356"/>
      <c r="AJ356" s="4512"/>
      <c r="AK356" s="2728" t="s">
        <v>6320</v>
      </c>
      <c r="AL356" s="2723" t="s">
        <v>6321</v>
      </c>
      <c r="AM356" s="2724">
        <v>105</v>
      </c>
      <c r="AN356" s="2725">
        <v>139</v>
      </c>
      <c r="AO356" s="2726">
        <v>105</v>
      </c>
      <c r="AQ356" s="5">
        <v>1</v>
      </c>
    </row>
    <row r="357" spans="22:43" ht="21" customHeight="1">
      <c r="V357" s="4513"/>
      <c r="W357" s="2732" t="s">
        <v>6322</v>
      </c>
      <c r="X357" s="2733" t="s">
        <v>6323</v>
      </c>
      <c r="Y357" s="2734">
        <v>179</v>
      </c>
      <c r="Z357" s="2735">
        <v>179</v>
      </c>
      <c r="AA357" s="2736">
        <v>179</v>
      </c>
      <c r="AB357"/>
      <c r="AC357" s="4514"/>
      <c r="AD357" s="2739" t="s">
        <v>6324</v>
      </c>
      <c r="AE357" s="2723" t="s">
        <v>6325</v>
      </c>
      <c r="AF357" s="2724">
        <v>90</v>
      </c>
      <c r="AG357" s="2725">
        <v>58</v>
      </c>
      <c r="AH357" s="2726">
        <v>34</v>
      </c>
      <c r="AI357"/>
      <c r="AJ357" s="4515"/>
      <c r="AK357" s="2739" t="s">
        <v>6326</v>
      </c>
      <c r="AL357" s="2723" t="s">
        <v>6327</v>
      </c>
      <c r="AM357" s="2724">
        <v>68</v>
      </c>
      <c r="AN357" s="2725">
        <v>148</v>
      </c>
      <c r="AO357" s="2726">
        <v>74</v>
      </c>
      <c r="AQ357" s="5">
        <v>1</v>
      </c>
    </row>
    <row r="358" spans="22:43" ht="21" customHeight="1">
      <c r="V358" s="4516"/>
      <c r="W358" s="2732" t="s">
        <v>6328</v>
      </c>
      <c r="X358" s="2733" t="s">
        <v>6329</v>
      </c>
      <c r="Y358" s="2734">
        <v>176</v>
      </c>
      <c r="Z358" s="2735">
        <v>176</v>
      </c>
      <c r="AA358" s="2736">
        <v>176</v>
      </c>
      <c r="AB358"/>
      <c r="AC358" s="4517"/>
      <c r="AD358" s="2728" t="s">
        <v>6330</v>
      </c>
      <c r="AE358" s="2723" t="s">
        <v>6331</v>
      </c>
      <c r="AF358" s="2724">
        <v>92</v>
      </c>
      <c r="AG358" s="2725">
        <v>51</v>
      </c>
      <c r="AH358" s="2726">
        <v>23</v>
      </c>
      <c r="AI358"/>
      <c r="AJ358" s="4518"/>
      <c r="AK358" s="2728" t="s">
        <v>6332</v>
      </c>
      <c r="AL358" s="2723" t="s">
        <v>6333</v>
      </c>
      <c r="AM358" s="2724">
        <v>84</v>
      </c>
      <c r="AN358" s="2725">
        <v>139</v>
      </c>
      <c r="AO358" s="2726">
        <v>84</v>
      </c>
      <c r="AQ358" s="5">
        <v>1</v>
      </c>
    </row>
    <row r="359" spans="22:43" ht="21" customHeight="1">
      <c r="V359" s="4519"/>
      <c r="W359" s="2753" t="s">
        <v>6334</v>
      </c>
      <c r="X359" s="2733" t="s">
        <v>6335</v>
      </c>
      <c r="Y359" s="2734">
        <v>175</v>
      </c>
      <c r="Z359" s="2735">
        <v>175</v>
      </c>
      <c r="AA359" s="2736">
        <v>175</v>
      </c>
      <c r="AB359"/>
      <c r="AC359" s="4520"/>
      <c r="AD359" s="2739" t="s">
        <v>6336</v>
      </c>
      <c r="AE359" s="2723" t="s">
        <v>6337</v>
      </c>
      <c r="AF359" s="2724">
        <v>89</v>
      </c>
      <c r="AG359" s="2725">
        <v>51</v>
      </c>
      <c r="AH359" s="2726">
        <v>25</v>
      </c>
      <c r="AI359"/>
      <c r="AJ359" s="4521"/>
      <c r="AK359" s="2739" t="s">
        <v>6338</v>
      </c>
      <c r="AL359" s="2723" t="s">
        <v>6339</v>
      </c>
      <c r="AM359" s="2724">
        <v>20</v>
      </c>
      <c r="AN359" s="2725">
        <v>148</v>
      </c>
      <c r="AO359" s="2726">
        <v>20</v>
      </c>
      <c r="AQ359" s="5">
        <v>1</v>
      </c>
    </row>
    <row r="360" spans="22:43" ht="21" customHeight="1">
      <c r="V360" s="4522"/>
      <c r="W360" s="2732" t="s">
        <v>6340</v>
      </c>
      <c r="X360" s="2733" t="s">
        <v>6341</v>
      </c>
      <c r="Y360" s="2734">
        <v>173</v>
      </c>
      <c r="Z360" s="2735">
        <v>173</v>
      </c>
      <c r="AA360" s="2736">
        <v>173</v>
      </c>
      <c r="AB360"/>
      <c r="AC360" s="4523"/>
      <c r="AD360" s="2739" t="s">
        <v>6342</v>
      </c>
      <c r="AE360" s="2723" t="s">
        <v>6343</v>
      </c>
      <c r="AF360" s="2724">
        <v>88</v>
      </c>
      <c r="AG360" s="2725">
        <v>41</v>
      </c>
      <c r="AH360" s="2726">
        <v>0</v>
      </c>
      <c r="AI360"/>
      <c r="AJ360" s="4524"/>
      <c r="AK360" s="2739" t="s">
        <v>6344</v>
      </c>
      <c r="AL360" s="2723" t="s">
        <v>6345</v>
      </c>
      <c r="AM360" s="2724">
        <v>35</v>
      </c>
      <c r="AN360" s="2725">
        <v>142</v>
      </c>
      <c r="AO360" s="2726">
        <v>35</v>
      </c>
      <c r="AQ360" s="5">
        <v>1</v>
      </c>
    </row>
    <row r="361" spans="22:43" ht="21" customHeight="1">
      <c r="V361" s="4525"/>
      <c r="W361" s="2732" t="s">
        <v>6346</v>
      </c>
      <c r="X361" s="2733" t="s">
        <v>6347</v>
      </c>
      <c r="Y361" s="2734">
        <v>171</v>
      </c>
      <c r="Z361" s="2735">
        <v>171</v>
      </c>
      <c r="AA361" s="2736">
        <v>171</v>
      </c>
      <c r="AB361"/>
      <c r="AC361" s="4526"/>
      <c r="AD361" s="2739" t="s">
        <v>6348</v>
      </c>
      <c r="AE361" s="2723" t="s">
        <v>6349</v>
      </c>
      <c r="AF361" s="2724">
        <v>62</v>
      </c>
      <c r="AG361" s="2725">
        <v>50</v>
      </c>
      <c r="AH361" s="2726">
        <v>44</v>
      </c>
      <c r="AI361"/>
      <c r="AJ361" s="4527"/>
      <c r="AK361" s="2728" t="s">
        <v>6350</v>
      </c>
      <c r="AL361" s="2723" t="s">
        <v>6351</v>
      </c>
      <c r="AM361" s="2724">
        <v>34</v>
      </c>
      <c r="AN361" s="2725">
        <v>139</v>
      </c>
      <c r="AO361" s="2726">
        <v>34</v>
      </c>
      <c r="AQ361" s="5">
        <v>1</v>
      </c>
    </row>
    <row r="362" spans="22:43" ht="21" customHeight="1">
      <c r="V362" s="4528"/>
      <c r="W362" s="2732" t="s">
        <v>6352</v>
      </c>
      <c r="X362" s="2733" t="s">
        <v>6353</v>
      </c>
      <c r="Y362" s="2734">
        <v>168</v>
      </c>
      <c r="Z362" s="2735">
        <v>168</v>
      </c>
      <c r="AA362" s="2736">
        <v>168</v>
      </c>
      <c r="AB362"/>
      <c r="AC362" s="4529"/>
      <c r="AD362" s="2739" t="s">
        <v>6354</v>
      </c>
      <c r="AE362" s="2723" t="s">
        <v>6355</v>
      </c>
      <c r="AF362" s="2724">
        <v>66</v>
      </c>
      <c r="AG362" s="2725">
        <v>37</v>
      </c>
      <c r="AH362" s="2726">
        <v>24</v>
      </c>
      <c r="AI362"/>
      <c r="AJ362" s="4530"/>
      <c r="AK362" s="2728" t="s">
        <v>6356</v>
      </c>
      <c r="AL362" s="2723" t="s">
        <v>6357</v>
      </c>
      <c r="AM362" s="2724">
        <v>0</v>
      </c>
      <c r="AN362" s="2725">
        <v>139</v>
      </c>
      <c r="AO362" s="2726">
        <v>0</v>
      </c>
      <c r="AQ362" s="5">
        <v>1</v>
      </c>
    </row>
    <row r="363" spans="22:43" ht="21" customHeight="1">
      <c r="V363" s="4531"/>
      <c r="W363" s="2732" t="s">
        <v>6358</v>
      </c>
      <c r="X363" s="2733" t="s">
        <v>6359</v>
      </c>
      <c r="Y363" s="2734">
        <v>166</v>
      </c>
      <c r="Z363" s="2735">
        <v>166</v>
      </c>
      <c r="AA363" s="2736">
        <v>166</v>
      </c>
      <c r="AB363"/>
      <c r="AC363" s="4532"/>
      <c r="AD363" s="2739" t="s">
        <v>6360</v>
      </c>
      <c r="AE363" s="2723" t="s">
        <v>6361</v>
      </c>
      <c r="AF363" s="2724">
        <v>63</v>
      </c>
      <c r="AG363" s="2725">
        <v>34</v>
      </c>
      <c r="AH363" s="2726">
        <v>4</v>
      </c>
      <c r="AI363"/>
      <c r="AJ363" s="4533"/>
      <c r="AK363" s="2728" t="s">
        <v>6362</v>
      </c>
      <c r="AL363" s="2723" t="s">
        <v>6363</v>
      </c>
      <c r="AM363" s="2724">
        <v>0</v>
      </c>
      <c r="AN363" s="2725">
        <v>128</v>
      </c>
      <c r="AO363" s="2726">
        <v>0</v>
      </c>
      <c r="AQ363" s="5">
        <v>1</v>
      </c>
    </row>
    <row r="364" spans="22:43" ht="21" customHeight="1">
      <c r="V364" s="4534"/>
      <c r="W364" s="2732" t="s">
        <v>6364</v>
      </c>
      <c r="X364" s="2733" t="s">
        <v>6365</v>
      </c>
      <c r="Y364" s="2734">
        <v>163</v>
      </c>
      <c r="Z364" s="2735">
        <v>163</v>
      </c>
      <c r="AA364" s="2736">
        <v>163</v>
      </c>
      <c r="AB364"/>
      <c r="AC364" s="4535"/>
      <c r="AD364" s="2739" t="s">
        <v>6366</v>
      </c>
      <c r="AE364" s="2723" t="s">
        <v>6367</v>
      </c>
      <c r="AF364" s="2724">
        <v>40</v>
      </c>
      <c r="AG364" s="2725">
        <v>32</v>
      </c>
      <c r="AH364" s="2726">
        <v>28</v>
      </c>
      <c r="AI364"/>
      <c r="AJ364" s="4536"/>
      <c r="AK364" s="2728" t="s">
        <v>6368</v>
      </c>
      <c r="AL364" s="2723" t="s">
        <v>6369</v>
      </c>
      <c r="AM364" s="2724">
        <v>66</v>
      </c>
      <c r="AN364" s="2725">
        <v>111</v>
      </c>
      <c r="AO364" s="2726">
        <v>66</v>
      </c>
      <c r="AQ364" s="5">
        <v>1</v>
      </c>
    </row>
    <row r="365" spans="22:43" ht="21" customHeight="1">
      <c r="V365" s="4537"/>
      <c r="W365" s="2732" t="s">
        <v>6370</v>
      </c>
      <c r="X365" s="2733" t="s">
        <v>6371</v>
      </c>
      <c r="Y365" s="2734">
        <v>161</v>
      </c>
      <c r="Z365" s="2735">
        <v>161</v>
      </c>
      <c r="AA365" s="2736">
        <v>161</v>
      </c>
      <c r="AB365"/>
      <c r="AC365" s="4538"/>
      <c r="AD365" s="2739" t="s">
        <v>6372</v>
      </c>
      <c r="AE365" s="2723" t="s">
        <v>6373</v>
      </c>
      <c r="AF365" s="2724">
        <v>47</v>
      </c>
      <c r="AG365" s="2725">
        <v>27</v>
      </c>
      <c r="AH365" s="2726">
        <v>12</v>
      </c>
      <c r="AI365"/>
      <c r="AJ365" s="4539"/>
      <c r="AK365" s="2739" t="s">
        <v>6374</v>
      </c>
      <c r="AL365" s="2723" t="s">
        <v>6375</v>
      </c>
      <c r="AM365" s="2724">
        <v>34</v>
      </c>
      <c r="AN365" s="2725">
        <v>120</v>
      </c>
      <c r="AO365" s="2726">
        <v>15</v>
      </c>
      <c r="AQ365" s="5">
        <v>1</v>
      </c>
    </row>
    <row r="366" spans="22:43" ht="21" customHeight="1">
      <c r="V366" s="4540"/>
      <c r="W366" s="2753" t="s">
        <v>6376</v>
      </c>
      <c r="X366" s="2733" t="s">
        <v>6377</v>
      </c>
      <c r="Y366" s="2734">
        <v>158</v>
      </c>
      <c r="Z366" s="2735">
        <v>158</v>
      </c>
      <c r="AA366" s="2736">
        <v>158</v>
      </c>
      <c r="AB366"/>
      <c r="AC366" s="4541"/>
      <c r="AD366" s="2728" t="s">
        <v>6378</v>
      </c>
      <c r="AE366" s="2723" t="s">
        <v>6379</v>
      </c>
      <c r="AF366" s="2724">
        <v>127</v>
      </c>
      <c r="AG366" s="2725">
        <v>255</v>
      </c>
      <c r="AH366" s="2726">
        <v>0</v>
      </c>
      <c r="AI366"/>
      <c r="AJ366" s="4542"/>
      <c r="AK366" s="2739" t="s">
        <v>6380</v>
      </c>
      <c r="AL366" s="2723" t="s">
        <v>6381</v>
      </c>
      <c r="AM366" s="2724">
        <v>9</v>
      </c>
      <c r="AN366" s="2725">
        <v>106</v>
      </c>
      <c r="AO366" s="2726">
        <v>9</v>
      </c>
      <c r="AQ366" s="5">
        <v>1</v>
      </c>
    </row>
    <row r="367" spans="22:43" ht="21" customHeight="1">
      <c r="V367" s="4543"/>
      <c r="W367" s="2732" t="s">
        <v>6382</v>
      </c>
      <c r="X367" s="2733" t="s">
        <v>6383</v>
      </c>
      <c r="Y367" s="2734">
        <v>156</v>
      </c>
      <c r="Z367" s="2735">
        <v>156</v>
      </c>
      <c r="AA367" s="2736">
        <v>156</v>
      </c>
      <c r="AB367"/>
      <c r="AC367" s="4544"/>
      <c r="AD367" s="2728" t="s">
        <v>6384</v>
      </c>
      <c r="AE367" s="2723" t="s">
        <v>6385</v>
      </c>
      <c r="AF367" s="2724">
        <v>124</v>
      </c>
      <c r="AG367" s="2725">
        <v>252</v>
      </c>
      <c r="AH367" s="2726">
        <v>0</v>
      </c>
      <c r="AI367"/>
      <c r="AJ367" s="4545"/>
      <c r="AK367" s="2728" t="s">
        <v>6386</v>
      </c>
      <c r="AL367" s="2723" t="s">
        <v>6387</v>
      </c>
      <c r="AM367" s="2724">
        <v>0</v>
      </c>
      <c r="AN367" s="2725">
        <v>100</v>
      </c>
      <c r="AO367" s="2726">
        <v>0</v>
      </c>
      <c r="AQ367" s="5">
        <v>1</v>
      </c>
    </row>
    <row r="368" spans="22:43" ht="21" customHeight="1">
      <c r="V368" s="4546"/>
      <c r="W368" s="2732" t="s">
        <v>6388</v>
      </c>
      <c r="X368" s="2733" t="s">
        <v>6389</v>
      </c>
      <c r="Y368" s="2734">
        <v>153</v>
      </c>
      <c r="Z368" s="2735">
        <v>153</v>
      </c>
      <c r="AA368" s="2736">
        <v>153</v>
      </c>
      <c r="AB368"/>
      <c r="AC368" s="4547"/>
      <c r="AD368" s="2728" t="s">
        <v>6390</v>
      </c>
      <c r="AE368" s="2723" t="s">
        <v>6391</v>
      </c>
      <c r="AF368" s="2724">
        <v>118</v>
      </c>
      <c r="AG368" s="2725">
        <v>238</v>
      </c>
      <c r="AH368" s="2726">
        <v>0</v>
      </c>
      <c r="AI368"/>
      <c r="AJ368" s="4548"/>
      <c r="AK368" s="2728" t="s">
        <v>6386</v>
      </c>
      <c r="AL368" s="2723" t="s">
        <v>6392</v>
      </c>
      <c r="AM368" s="2724">
        <v>47</v>
      </c>
      <c r="AN368" s="2725">
        <v>79</v>
      </c>
      <c r="AO368" s="2726">
        <v>47</v>
      </c>
      <c r="AQ368" s="5">
        <v>1</v>
      </c>
    </row>
    <row r="369" spans="22:43" ht="21" customHeight="1">
      <c r="V369" s="4549"/>
      <c r="W369" s="2732" t="s">
        <v>6393</v>
      </c>
      <c r="X369" s="2733" t="s">
        <v>6394</v>
      </c>
      <c r="Y369" s="2734">
        <v>150</v>
      </c>
      <c r="Z369" s="2735">
        <v>150</v>
      </c>
      <c r="AA369" s="2736">
        <v>150</v>
      </c>
      <c r="AB369"/>
      <c r="AC369" s="4550"/>
      <c r="AD369" s="2739" t="s">
        <v>6395</v>
      </c>
      <c r="AE369" s="2723" t="s">
        <v>6396</v>
      </c>
      <c r="AF369" s="2724">
        <v>127</v>
      </c>
      <c r="AG369" s="2725">
        <v>221</v>
      </c>
      <c r="AH369" s="2726">
        <v>76</v>
      </c>
      <c r="AI369"/>
      <c r="AJ369" s="4551"/>
      <c r="AK369" s="2739" t="s">
        <v>6397</v>
      </c>
      <c r="AL369" s="2723" t="s">
        <v>6398</v>
      </c>
      <c r="AM369" s="2724">
        <v>182</v>
      </c>
      <c r="AN369" s="2725">
        <v>229</v>
      </c>
      <c r="AO369" s="2726">
        <v>175</v>
      </c>
      <c r="AQ369" s="5">
        <v>1</v>
      </c>
    </row>
    <row r="370" spans="22:43" ht="21" customHeight="1">
      <c r="V370" s="4552"/>
      <c r="W370" s="2732" t="s">
        <v>6399</v>
      </c>
      <c r="X370" s="2733" t="s">
        <v>6400</v>
      </c>
      <c r="Y370" s="2734">
        <v>148</v>
      </c>
      <c r="Z370" s="2735">
        <v>148</v>
      </c>
      <c r="AA370" s="2736">
        <v>148</v>
      </c>
      <c r="AB370"/>
      <c r="AC370" s="4553"/>
      <c r="AD370" s="2728" t="s">
        <v>6401</v>
      </c>
      <c r="AE370" s="2723" t="s">
        <v>6402</v>
      </c>
      <c r="AF370" s="2724">
        <v>102</v>
      </c>
      <c r="AG370" s="2725">
        <v>205</v>
      </c>
      <c r="AH370" s="2726">
        <v>0</v>
      </c>
      <c r="AI370"/>
      <c r="AJ370" s="4554"/>
      <c r="AK370" s="2739" t="s">
        <v>6403</v>
      </c>
      <c r="AL370" s="2723" t="s">
        <v>6404</v>
      </c>
      <c r="AM370" s="2724">
        <v>133</v>
      </c>
      <c r="AN370" s="2725">
        <v>193</v>
      </c>
      <c r="AO370" s="2726">
        <v>126</v>
      </c>
      <c r="AQ370" s="5">
        <v>1</v>
      </c>
    </row>
    <row r="371" spans="22:43" ht="21" customHeight="1">
      <c r="V371" s="4555"/>
      <c r="W371" s="2732" t="s">
        <v>6405</v>
      </c>
      <c r="X371" s="2733" t="s">
        <v>6406</v>
      </c>
      <c r="Y371" s="2734">
        <v>145</v>
      </c>
      <c r="Z371" s="2735">
        <v>145</v>
      </c>
      <c r="AA371" s="2736">
        <v>145</v>
      </c>
      <c r="AB371"/>
      <c r="AC371" s="4556"/>
      <c r="AD371" s="2728" t="s">
        <v>6407</v>
      </c>
      <c r="AE371" s="2723" t="s">
        <v>6408</v>
      </c>
      <c r="AF371" s="2724">
        <v>69</v>
      </c>
      <c r="AG371" s="2725">
        <v>139</v>
      </c>
      <c r="AH371" s="2726">
        <v>0</v>
      </c>
      <c r="AI371"/>
      <c r="AJ371" s="4557"/>
      <c r="AK371" s="2739" t="s">
        <v>6409</v>
      </c>
      <c r="AL371" s="2723" t="s">
        <v>6410</v>
      </c>
      <c r="AM371" s="2724">
        <v>87</v>
      </c>
      <c r="AN371" s="2725">
        <v>213</v>
      </c>
      <c r="AO371" s="2726">
        <v>59</v>
      </c>
      <c r="AQ371" s="5">
        <v>1</v>
      </c>
    </row>
    <row r="372" spans="22:43" ht="21" customHeight="1">
      <c r="V372" s="4558"/>
      <c r="W372" s="2732" t="s">
        <v>6411</v>
      </c>
      <c r="X372" s="2733" t="s">
        <v>6412</v>
      </c>
      <c r="Y372" s="2734">
        <v>143</v>
      </c>
      <c r="Z372" s="2735">
        <v>143</v>
      </c>
      <c r="AA372" s="2736">
        <v>143</v>
      </c>
      <c r="AB372"/>
      <c r="AC372" s="4559"/>
      <c r="AD372" s="2739" t="s">
        <v>6413</v>
      </c>
      <c r="AE372" s="2723" t="s">
        <v>6414</v>
      </c>
      <c r="AF372" s="2724">
        <v>70</v>
      </c>
      <c r="AG372" s="2725">
        <v>113</v>
      </c>
      <c r="AH372" s="2726">
        <v>41</v>
      </c>
      <c r="AI372"/>
      <c r="AJ372" s="4560"/>
      <c r="AK372" s="2739" t="s">
        <v>6415</v>
      </c>
      <c r="AL372" s="2723" t="s">
        <v>6416</v>
      </c>
      <c r="AM372" s="2724">
        <v>130</v>
      </c>
      <c r="AN372" s="2725">
        <v>196</v>
      </c>
      <c r="AO372" s="2726">
        <v>108</v>
      </c>
      <c r="AQ372" s="5">
        <v>1</v>
      </c>
    </row>
    <row r="373" spans="22:43" ht="21" customHeight="1">
      <c r="V373" s="4561"/>
      <c r="W373" s="2732" t="s">
        <v>6417</v>
      </c>
      <c r="X373" s="2733" t="s">
        <v>6418</v>
      </c>
      <c r="Y373" s="2734">
        <v>140</v>
      </c>
      <c r="Z373" s="2735">
        <v>140</v>
      </c>
      <c r="AA373" s="2736">
        <v>140</v>
      </c>
      <c r="AB373"/>
      <c r="AC373" s="4562"/>
      <c r="AD373" s="2728" t="s">
        <v>6419</v>
      </c>
      <c r="AE373" s="2723" t="s">
        <v>6420</v>
      </c>
      <c r="AF373" s="2724">
        <v>0</v>
      </c>
      <c r="AG373" s="2725">
        <v>255</v>
      </c>
      <c r="AH373" s="2726">
        <v>127</v>
      </c>
      <c r="AI373"/>
      <c r="AJ373" s="4563"/>
      <c r="AK373" s="2739" t="s">
        <v>6421</v>
      </c>
      <c r="AL373" s="2723" t="s">
        <v>6422</v>
      </c>
      <c r="AM373" s="2724">
        <v>103</v>
      </c>
      <c r="AN373" s="2725">
        <v>159</v>
      </c>
      <c r="AO373" s="2726">
        <v>90</v>
      </c>
      <c r="AQ373" s="5">
        <v>1</v>
      </c>
    </row>
    <row r="374" spans="22:43" ht="21" customHeight="1">
      <c r="V374" s="4564"/>
      <c r="W374" s="2732" t="s">
        <v>6423</v>
      </c>
      <c r="X374" s="2733" t="s">
        <v>6424</v>
      </c>
      <c r="Y374" s="2734">
        <v>138</v>
      </c>
      <c r="Z374" s="2735">
        <v>138</v>
      </c>
      <c r="AA374" s="2736">
        <v>138</v>
      </c>
      <c r="AB374"/>
      <c r="AC374" s="4565"/>
      <c r="AD374" s="2739" t="s">
        <v>6425</v>
      </c>
      <c r="AE374" s="2723" t="s">
        <v>6426</v>
      </c>
      <c r="AF374" s="2724">
        <v>84</v>
      </c>
      <c r="AG374" s="2725">
        <v>249</v>
      </c>
      <c r="AH374" s="2726">
        <v>141</v>
      </c>
      <c r="AI374"/>
      <c r="AJ374" s="4566"/>
      <c r="AK374" s="2739" t="s">
        <v>6427</v>
      </c>
      <c r="AL374" s="2723" t="s">
        <v>6428</v>
      </c>
      <c r="AM374" s="2724">
        <v>58</v>
      </c>
      <c r="AN374" s="2725">
        <v>157</v>
      </c>
      <c r="AO374" s="2726">
        <v>35</v>
      </c>
      <c r="AQ374" s="5">
        <v>1</v>
      </c>
    </row>
    <row r="375" spans="22:43" ht="21" customHeight="1">
      <c r="V375" s="4567"/>
      <c r="W375" s="2732"/>
      <c r="X375" s="2733" t="s">
        <v>6429</v>
      </c>
      <c r="Y375" s="2734">
        <v>136</v>
      </c>
      <c r="Z375" s="2735">
        <v>136</v>
      </c>
      <c r="AA375" s="2736">
        <v>136</v>
      </c>
      <c r="AB375"/>
      <c r="AC375" s="4568"/>
      <c r="AD375" s="2728" t="s">
        <v>6430</v>
      </c>
      <c r="AE375" s="2723" t="s">
        <v>6431</v>
      </c>
      <c r="AF375" s="2724">
        <v>84</v>
      </c>
      <c r="AG375" s="2725">
        <v>255</v>
      </c>
      <c r="AH375" s="2726">
        <v>159</v>
      </c>
      <c r="AI375"/>
      <c r="AJ375" s="4569"/>
      <c r="AK375" s="2739" t="s">
        <v>6432</v>
      </c>
      <c r="AL375" s="2723" t="s">
        <v>6433</v>
      </c>
      <c r="AM375" s="2724">
        <v>27</v>
      </c>
      <c r="AN375" s="2725">
        <v>79</v>
      </c>
      <c r="AO375" s="2726">
        <v>8</v>
      </c>
      <c r="AQ375" s="5">
        <v>1</v>
      </c>
    </row>
    <row r="376" spans="22:43" ht="21" customHeight="1">
      <c r="V376" s="4570"/>
      <c r="W376" s="2732" t="s">
        <v>6434</v>
      </c>
      <c r="X376" s="2733" t="s">
        <v>6435</v>
      </c>
      <c r="Y376" s="2734">
        <v>135</v>
      </c>
      <c r="Z376" s="2735">
        <v>135</v>
      </c>
      <c r="AA376" s="2736">
        <v>135</v>
      </c>
      <c r="AB376"/>
      <c r="AC376" s="4571"/>
      <c r="AD376" s="2739" t="s">
        <v>6419</v>
      </c>
      <c r="AE376" s="2723" t="s">
        <v>6436</v>
      </c>
      <c r="AF376" s="2724">
        <v>0</v>
      </c>
      <c r="AG376" s="2725">
        <v>254</v>
      </c>
      <c r="AH376" s="2726">
        <v>126</v>
      </c>
      <c r="AI376"/>
      <c r="AJ376" s="4572"/>
      <c r="AK376" s="2739" t="s">
        <v>6437</v>
      </c>
      <c r="AL376" s="2723" t="s">
        <v>6438</v>
      </c>
      <c r="AM376" s="2724">
        <v>43</v>
      </c>
      <c r="AN376" s="2725">
        <v>61</v>
      </c>
      <c r="AO376" s="2726">
        <v>38</v>
      </c>
      <c r="AQ376" s="5">
        <v>1</v>
      </c>
    </row>
    <row r="377" spans="22:43" ht="21" customHeight="1">
      <c r="V377" s="4573"/>
      <c r="W377" s="2732" t="s">
        <v>6439</v>
      </c>
      <c r="X377" s="2733" t="s">
        <v>6440</v>
      </c>
      <c r="Y377" s="2734">
        <v>133</v>
      </c>
      <c r="Z377" s="2735">
        <v>133</v>
      </c>
      <c r="AA377" s="2736">
        <v>133</v>
      </c>
      <c r="AB377"/>
      <c r="AC377" s="4574"/>
      <c r="AD377" s="2739" t="s">
        <v>6441</v>
      </c>
      <c r="AE377" s="2723" t="s">
        <v>6442</v>
      </c>
      <c r="AF377" s="2724">
        <v>178</v>
      </c>
      <c r="AG377" s="2725">
        <v>190</v>
      </c>
      <c r="AH377" s="2726">
        <v>181</v>
      </c>
      <c r="AI377"/>
      <c r="AJ377" s="4575"/>
      <c r="AK377" s="2739" t="s">
        <v>6443</v>
      </c>
      <c r="AL377" s="2723" t="s">
        <v>6444</v>
      </c>
      <c r="AM377" s="2724">
        <v>176</v>
      </c>
      <c r="AN377" s="2725">
        <v>242</v>
      </c>
      <c r="AO377" s="2726">
        <v>182</v>
      </c>
      <c r="AQ377" s="5">
        <v>1</v>
      </c>
    </row>
    <row r="378" spans="22:43" ht="21" customHeight="1">
      <c r="V378" s="4576"/>
      <c r="W378" s="2753" t="s">
        <v>6445</v>
      </c>
      <c r="X378" s="2733" t="s">
        <v>6446</v>
      </c>
      <c r="Y378" s="2734">
        <v>132</v>
      </c>
      <c r="Z378" s="2735">
        <v>132</v>
      </c>
      <c r="AA378" s="2736">
        <v>132</v>
      </c>
      <c r="AB378"/>
      <c r="AC378" s="4577"/>
      <c r="AD378" s="2728" t="s">
        <v>6447</v>
      </c>
      <c r="AE378" s="2723" t="s">
        <v>6448</v>
      </c>
      <c r="AF378" s="2724">
        <v>78</v>
      </c>
      <c r="AG378" s="2725">
        <v>238</v>
      </c>
      <c r="AH378" s="2726">
        <v>148</v>
      </c>
      <c r="AI378"/>
      <c r="AJ378" s="4578"/>
      <c r="AK378" s="2739" t="s">
        <v>6449</v>
      </c>
      <c r="AL378" s="2723" t="s">
        <v>6450</v>
      </c>
      <c r="AM378" s="2724">
        <v>1</v>
      </c>
      <c r="AN378" s="2725">
        <v>215</v>
      </c>
      <c r="AO378" s="2726">
        <v>88</v>
      </c>
      <c r="AQ378" s="5">
        <v>1</v>
      </c>
    </row>
    <row r="379" spans="22:43" ht="21" customHeight="1">
      <c r="V379" s="4579"/>
      <c r="W379" s="2732" t="s">
        <v>6451</v>
      </c>
      <c r="X379" s="2733" t="s">
        <v>6452</v>
      </c>
      <c r="Y379" s="2734">
        <v>130</v>
      </c>
      <c r="Z379" s="2735">
        <v>130</v>
      </c>
      <c r="AA379" s="2736">
        <v>130</v>
      </c>
      <c r="AB379"/>
      <c r="AC379" s="4580"/>
      <c r="AD379" s="2728" t="s">
        <v>6453</v>
      </c>
      <c r="AE379" s="2723" t="s">
        <v>6454</v>
      </c>
      <c r="AF379" s="2724">
        <v>112</v>
      </c>
      <c r="AG379" s="2725">
        <v>219</v>
      </c>
      <c r="AH379" s="2726">
        <v>147</v>
      </c>
      <c r="AI379"/>
      <c r="AJ379" s="4581"/>
      <c r="AK379" s="2739" t="s">
        <v>6455</v>
      </c>
      <c r="AL379" s="2723" t="s">
        <v>6456</v>
      </c>
      <c r="AM379" s="2724">
        <v>22</v>
      </c>
      <c r="AN379" s="2725">
        <v>184</v>
      </c>
      <c r="AO379" s="2726">
        <v>78</v>
      </c>
      <c r="AQ379" s="5">
        <v>1</v>
      </c>
    </row>
    <row r="380" spans="22:43" ht="21" customHeight="1">
      <c r="V380" s="4582"/>
      <c r="W380" s="2753" t="s">
        <v>6457</v>
      </c>
      <c r="X380" s="2733" t="s">
        <v>6458</v>
      </c>
      <c r="Y380" s="2734">
        <v>127</v>
      </c>
      <c r="Z380" s="2735">
        <v>127</v>
      </c>
      <c r="AA380" s="2736">
        <v>127</v>
      </c>
      <c r="AB380"/>
      <c r="AC380" s="4583"/>
      <c r="AD380" s="2728" t="s">
        <v>6459</v>
      </c>
      <c r="AE380" s="2723" t="s">
        <v>6460</v>
      </c>
      <c r="AF380" s="2724">
        <v>0</v>
      </c>
      <c r="AG380" s="2725">
        <v>238</v>
      </c>
      <c r="AH380" s="2726">
        <v>118</v>
      </c>
      <c r="AI380"/>
      <c r="AJ380" s="4584"/>
      <c r="AK380" s="2739" t="s">
        <v>6461</v>
      </c>
      <c r="AL380" s="2723" t="s">
        <v>6462</v>
      </c>
      <c r="AM380" s="2724">
        <v>104</v>
      </c>
      <c r="AN380" s="2725">
        <v>157</v>
      </c>
      <c r="AO380" s="2726">
        <v>113</v>
      </c>
      <c r="AQ380" s="5">
        <v>1</v>
      </c>
    </row>
    <row r="381" spans="22:43" ht="21" customHeight="1">
      <c r="V381" s="4585"/>
      <c r="W381" s="2732" t="s">
        <v>6463</v>
      </c>
      <c r="X381" s="2733" t="s">
        <v>6464</v>
      </c>
      <c r="Y381" s="2734">
        <v>125</v>
      </c>
      <c r="Z381" s="2735">
        <v>125</v>
      </c>
      <c r="AA381" s="2736">
        <v>125</v>
      </c>
      <c r="AB381"/>
      <c r="AC381" s="4586"/>
      <c r="AD381" s="2728" t="s">
        <v>6465</v>
      </c>
      <c r="AE381" s="2723" t="s">
        <v>6466</v>
      </c>
      <c r="AF381" s="2724">
        <v>67</v>
      </c>
      <c r="AG381" s="2725">
        <v>205</v>
      </c>
      <c r="AH381" s="2726">
        <v>128</v>
      </c>
      <c r="AI381"/>
      <c r="AJ381" s="4587"/>
      <c r="AK381" s="2739" t="s">
        <v>6467</v>
      </c>
      <c r="AL381" s="2723" t="s">
        <v>6468</v>
      </c>
      <c r="AM381" s="2724">
        <v>39</v>
      </c>
      <c r="AN381" s="2725">
        <v>166</v>
      </c>
      <c r="AO381" s="2726">
        <v>76</v>
      </c>
      <c r="AQ381" s="5">
        <v>1</v>
      </c>
    </row>
    <row r="382" spans="22:43" ht="21" customHeight="1">
      <c r="V382" s="4588"/>
      <c r="W382" s="2732" t="s">
        <v>6469</v>
      </c>
      <c r="X382" s="2733" t="s">
        <v>6470</v>
      </c>
      <c r="Y382" s="2734">
        <v>122</v>
      </c>
      <c r="Z382" s="2735">
        <v>122</v>
      </c>
      <c r="AA382" s="2736">
        <v>122</v>
      </c>
      <c r="AB382"/>
      <c r="AC382" s="4589"/>
      <c r="AD382" s="2728" t="s">
        <v>6471</v>
      </c>
      <c r="AE382" s="2723" t="s">
        <v>6472</v>
      </c>
      <c r="AF382" s="2724">
        <v>0</v>
      </c>
      <c r="AG382" s="2725">
        <v>205</v>
      </c>
      <c r="AH382" s="2726">
        <v>102</v>
      </c>
      <c r="AI382"/>
      <c r="AJ382" s="4590"/>
      <c r="AK382" s="2739" t="s">
        <v>6473</v>
      </c>
      <c r="AL382" s="2723" t="s">
        <v>6474</v>
      </c>
      <c r="AM382" s="2724">
        <v>53</v>
      </c>
      <c r="AN382" s="2725">
        <v>94</v>
      </c>
      <c r="AO382" s="2726">
        <v>59</v>
      </c>
      <c r="AQ382" s="5">
        <v>1</v>
      </c>
    </row>
    <row r="383" spans="22:43" ht="21" customHeight="1">
      <c r="V383" s="4591"/>
      <c r="W383" s="2732" t="s">
        <v>6475</v>
      </c>
      <c r="X383" s="2733" t="s">
        <v>6476</v>
      </c>
      <c r="Y383" s="2734">
        <v>120</v>
      </c>
      <c r="Z383" s="2735">
        <v>120</v>
      </c>
      <c r="AA383" s="2736">
        <v>120</v>
      </c>
      <c r="AB383"/>
      <c r="AC383" s="4592"/>
      <c r="AD383" s="2728" t="s">
        <v>6368</v>
      </c>
      <c r="AE383" s="2723" t="s">
        <v>6477</v>
      </c>
      <c r="AF383" s="2724">
        <v>60</v>
      </c>
      <c r="AG383" s="2725">
        <v>179</v>
      </c>
      <c r="AH383" s="2726">
        <v>113</v>
      </c>
      <c r="AI383"/>
      <c r="AJ383" s="4593"/>
      <c r="AK383" s="2739" t="s">
        <v>6478</v>
      </c>
      <c r="AL383" s="2723" t="s">
        <v>6479</v>
      </c>
      <c r="AM383" s="2724">
        <v>0</v>
      </c>
      <c r="AN383" s="2725">
        <v>86</v>
      </c>
      <c r="AO383" s="2726">
        <v>27</v>
      </c>
      <c r="AQ383" s="5">
        <v>1</v>
      </c>
    </row>
    <row r="384" spans="22:43" ht="21" customHeight="1">
      <c r="V384" s="4594"/>
      <c r="W384" s="2732"/>
      <c r="X384" s="2733" t="s">
        <v>6480</v>
      </c>
      <c r="Y384" s="2734">
        <v>119</v>
      </c>
      <c r="Z384" s="2735">
        <v>119</v>
      </c>
      <c r="AA384" s="2736">
        <v>119</v>
      </c>
      <c r="AB384"/>
      <c r="AC384" s="4595"/>
      <c r="AD384" s="2739" t="s">
        <v>6481</v>
      </c>
      <c r="AE384" s="2723" t="s">
        <v>6482</v>
      </c>
      <c r="AF384" s="2724">
        <v>76</v>
      </c>
      <c r="AG384" s="2725">
        <v>166</v>
      </c>
      <c r="AH384" s="2726">
        <v>107</v>
      </c>
      <c r="AI384"/>
      <c r="AJ384" s="4596"/>
      <c r="AK384" s="2739" t="s">
        <v>6483</v>
      </c>
      <c r="AL384" s="2723" t="s">
        <v>6484</v>
      </c>
      <c r="AM384" s="2724">
        <v>24</v>
      </c>
      <c r="AN384" s="2725">
        <v>57</v>
      </c>
      <c r="AO384" s="2726">
        <v>30</v>
      </c>
      <c r="AQ384" s="5">
        <v>1</v>
      </c>
    </row>
    <row r="385" spans="22:43" ht="21" customHeight="1">
      <c r="V385" s="4597"/>
      <c r="W385" s="2732" t="s">
        <v>6485</v>
      </c>
      <c r="X385" s="2733" t="s">
        <v>6486</v>
      </c>
      <c r="Y385" s="2734">
        <v>117</v>
      </c>
      <c r="Z385" s="2735">
        <v>117</v>
      </c>
      <c r="AA385" s="2736">
        <v>117</v>
      </c>
      <c r="AB385"/>
      <c r="AC385" s="4598"/>
      <c r="AD385" s="2739" t="s">
        <v>6487</v>
      </c>
      <c r="AE385" s="2723" t="s">
        <v>6488</v>
      </c>
      <c r="AF385" s="2724">
        <v>31</v>
      </c>
      <c r="AG385" s="2725">
        <v>160</v>
      </c>
      <c r="AH385" s="2726">
        <v>85</v>
      </c>
      <c r="AI385"/>
      <c r="AJ385" s="4599"/>
      <c r="AK385" s="2728" t="s">
        <v>6489</v>
      </c>
      <c r="AL385" s="2723" t="s">
        <v>6490</v>
      </c>
      <c r="AM385" s="2724">
        <v>191</v>
      </c>
      <c r="AN385" s="2725">
        <v>62</v>
      </c>
      <c r="AO385" s="2726">
        <v>255</v>
      </c>
      <c r="AQ385" s="5">
        <v>1</v>
      </c>
    </row>
    <row r="386" spans="22:43" ht="21" customHeight="1">
      <c r="V386" s="4600"/>
      <c r="W386" s="2732" t="s">
        <v>6491</v>
      </c>
      <c r="X386" s="2733" t="s">
        <v>6492</v>
      </c>
      <c r="Y386" s="2734">
        <v>115</v>
      </c>
      <c r="Z386" s="2735">
        <v>115</v>
      </c>
      <c r="AA386" s="2736">
        <v>115</v>
      </c>
      <c r="AB386"/>
      <c r="AC386" s="4601"/>
      <c r="AD386" s="2728" t="s">
        <v>6493</v>
      </c>
      <c r="AE386" s="2723" t="s">
        <v>6494</v>
      </c>
      <c r="AF386" s="2724">
        <v>46</v>
      </c>
      <c r="AG386" s="2725">
        <v>139</v>
      </c>
      <c r="AH386" s="2726">
        <v>87</v>
      </c>
      <c r="AI386"/>
      <c r="AJ386" s="4602"/>
      <c r="AK386" s="2728" t="s">
        <v>6495</v>
      </c>
      <c r="AL386" s="2723" t="s">
        <v>6496</v>
      </c>
      <c r="AM386" s="2724">
        <v>178</v>
      </c>
      <c r="AN386" s="2725">
        <v>58</v>
      </c>
      <c r="AO386" s="2726">
        <v>238</v>
      </c>
      <c r="AQ386" s="5">
        <v>1</v>
      </c>
    </row>
    <row r="387" spans="22:43" ht="21" customHeight="1">
      <c r="V387" s="4603"/>
      <c r="W387" s="2732" t="s">
        <v>6497</v>
      </c>
      <c r="X387" s="2733" t="s">
        <v>6498</v>
      </c>
      <c r="Y387" s="2734">
        <v>112</v>
      </c>
      <c r="Z387" s="2735">
        <v>112</v>
      </c>
      <c r="AA387" s="2736">
        <v>112</v>
      </c>
      <c r="AB387"/>
      <c r="AC387" s="4604"/>
      <c r="AD387" s="2728" t="s">
        <v>6499</v>
      </c>
      <c r="AE387" s="2723" t="s">
        <v>6500</v>
      </c>
      <c r="AF387" s="2724">
        <v>0</v>
      </c>
      <c r="AG387" s="2725">
        <v>139</v>
      </c>
      <c r="AH387" s="2726">
        <v>69</v>
      </c>
      <c r="AI387"/>
      <c r="AJ387" s="4605"/>
      <c r="AK387" s="2728" t="s">
        <v>6501</v>
      </c>
      <c r="AL387" s="2723" t="s">
        <v>6502</v>
      </c>
      <c r="AM387" s="2724">
        <v>148</v>
      </c>
      <c r="AN387" s="2725">
        <v>0</v>
      </c>
      <c r="AO387" s="2726">
        <v>211</v>
      </c>
      <c r="AQ387" s="5">
        <v>1</v>
      </c>
    </row>
    <row r="388" spans="22:43" ht="21" customHeight="1">
      <c r="V388" s="4606"/>
      <c r="W388" s="2732" t="s">
        <v>6503</v>
      </c>
      <c r="X388" s="2733" t="s">
        <v>6504</v>
      </c>
      <c r="Y388" s="2734">
        <v>110</v>
      </c>
      <c r="Z388" s="2735">
        <v>110</v>
      </c>
      <c r="AA388" s="2736">
        <v>110</v>
      </c>
      <c r="AB388"/>
      <c r="AC388" s="4607"/>
      <c r="AD388" s="2739" t="s">
        <v>6505</v>
      </c>
      <c r="AE388" s="2723" t="s">
        <v>6506</v>
      </c>
      <c r="AF388" s="2724">
        <v>56</v>
      </c>
      <c r="AG388" s="2725">
        <v>111</v>
      </c>
      <c r="AH388" s="2726">
        <v>72</v>
      </c>
      <c r="AI388"/>
      <c r="AJ388" s="4608"/>
      <c r="AK388" s="2728" t="s">
        <v>6507</v>
      </c>
      <c r="AL388" s="2723" t="s">
        <v>6508</v>
      </c>
      <c r="AM388" s="2724">
        <v>153</v>
      </c>
      <c r="AN388" s="2725">
        <v>50</v>
      </c>
      <c r="AO388" s="2726">
        <v>205</v>
      </c>
      <c r="AQ388" s="5">
        <v>1</v>
      </c>
    </row>
    <row r="389" spans="22:43" ht="21" customHeight="1">
      <c r="V389" s="4609"/>
      <c r="W389" s="2732" t="s">
        <v>6509</v>
      </c>
      <c r="X389" s="2733" t="s">
        <v>6510</v>
      </c>
      <c r="Y389" s="2734">
        <v>107</v>
      </c>
      <c r="Z389" s="2735">
        <v>107</v>
      </c>
      <c r="AA389" s="2736">
        <v>107</v>
      </c>
      <c r="AB389"/>
      <c r="AC389" s="4610"/>
      <c r="AD389" s="2739" t="s">
        <v>6511</v>
      </c>
      <c r="AE389" s="2723" t="s">
        <v>6512</v>
      </c>
      <c r="AF389" s="2724">
        <v>0</v>
      </c>
      <c r="AG389" s="2725">
        <v>98</v>
      </c>
      <c r="AH389" s="2726">
        <v>45</v>
      </c>
      <c r="AI389"/>
      <c r="AJ389" s="4611"/>
      <c r="AK389" s="2728" t="s">
        <v>6513</v>
      </c>
      <c r="AL389" s="2723" t="s">
        <v>6508</v>
      </c>
      <c r="AM389" s="2724">
        <v>154</v>
      </c>
      <c r="AN389" s="2725">
        <v>50</v>
      </c>
      <c r="AO389" s="2726">
        <v>205</v>
      </c>
      <c r="AQ389" s="5">
        <v>1</v>
      </c>
    </row>
    <row r="390" spans="22:43" ht="21" customHeight="1">
      <c r="V390" s="4612"/>
      <c r="W390" s="2732" t="s">
        <v>6514</v>
      </c>
      <c r="X390" s="2733" t="s">
        <v>6515</v>
      </c>
      <c r="Y390" s="2734">
        <v>105</v>
      </c>
      <c r="Z390" s="2735">
        <v>105</v>
      </c>
      <c r="AA390" s="2736">
        <v>105</v>
      </c>
      <c r="AB390"/>
      <c r="AC390" s="4613"/>
      <c r="AD390" s="2739" t="s">
        <v>6516</v>
      </c>
      <c r="AE390" s="2723" t="s">
        <v>6517</v>
      </c>
      <c r="AF390" s="2724">
        <v>23</v>
      </c>
      <c r="AG390" s="2725">
        <v>87</v>
      </c>
      <c r="AH390" s="2726">
        <v>50</v>
      </c>
      <c r="AI390"/>
      <c r="AJ390" s="4614"/>
      <c r="AK390" s="2728" t="s">
        <v>6518</v>
      </c>
      <c r="AL390" s="2723" t="s">
        <v>6519</v>
      </c>
      <c r="AM390" s="2724">
        <v>153</v>
      </c>
      <c r="AN390" s="2725">
        <v>50</v>
      </c>
      <c r="AO390" s="2726">
        <v>204</v>
      </c>
      <c r="AQ390" s="5">
        <v>1</v>
      </c>
    </row>
    <row r="391" spans="22:43" ht="21" customHeight="1">
      <c r="V391" s="4615"/>
      <c r="W391" s="2732" t="s">
        <v>6520</v>
      </c>
      <c r="X391" s="2733" t="s">
        <v>6521</v>
      </c>
      <c r="Y391" s="2734">
        <v>102</v>
      </c>
      <c r="Z391" s="2735">
        <v>102</v>
      </c>
      <c r="AA391" s="2736">
        <v>102</v>
      </c>
      <c r="AB391"/>
      <c r="AC391" s="4616"/>
      <c r="AD391" s="2739" t="s">
        <v>6522</v>
      </c>
      <c r="AE391" s="2723" t="s">
        <v>6523</v>
      </c>
      <c r="AF391" s="2724">
        <v>9</v>
      </c>
      <c r="AG391" s="2725">
        <v>82</v>
      </c>
      <c r="AH391" s="2726">
        <v>40</v>
      </c>
      <c r="AI391"/>
      <c r="AJ391" s="4617"/>
      <c r="AK391" s="2739" t="s">
        <v>6524</v>
      </c>
      <c r="AL391" s="2723" t="s">
        <v>6525</v>
      </c>
      <c r="AM391" s="2724">
        <v>136</v>
      </c>
      <c r="AN391" s="2725">
        <v>77</v>
      </c>
      <c r="AO391" s="2726">
        <v>167</v>
      </c>
      <c r="AQ391" s="5">
        <v>1</v>
      </c>
    </row>
    <row r="392" spans="22:43" ht="21" customHeight="1">
      <c r="V392" s="4618"/>
      <c r="W392" s="2732" t="s">
        <v>6526</v>
      </c>
      <c r="X392" s="2733" t="s">
        <v>6527</v>
      </c>
      <c r="Y392" s="2734">
        <v>99</v>
      </c>
      <c r="Z392" s="2735">
        <v>99</v>
      </c>
      <c r="AA392" s="2736">
        <v>99</v>
      </c>
      <c r="AB392"/>
      <c r="AC392" s="4619"/>
      <c r="AD392" s="2739" t="s">
        <v>6528</v>
      </c>
      <c r="AE392" s="2723" t="s">
        <v>6529</v>
      </c>
      <c r="AF392" s="2724">
        <v>23</v>
      </c>
      <c r="AG392" s="2725">
        <v>54</v>
      </c>
      <c r="AH392" s="2726">
        <v>32</v>
      </c>
      <c r="AI392"/>
      <c r="AJ392" s="4620"/>
      <c r="AK392" s="2728" t="s">
        <v>6530</v>
      </c>
      <c r="AL392" s="2723" t="s">
        <v>6531</v>
      </c>
      <c r="AM392" s="2724">
        <v>104</v>
      </c>
      <c r="AN392" s="2725">
        <v>34</v>
      </c>
      <c r="AO392" s="2726">
        <v>139</v>
      </c>
      <c r="AQ392" s="5">
        <v>1</v>
      </c>
    </row>
    <row r="393" spans="22:43" ht="21" customHeight="1">
      <c r="V393" s="4621"/>
      <c r="W393" s="2732" t="s">
        <v>6532</v>
      </c>
      <c r="X393" s="2733" t="s">
        <v>6533</v>
      </c>
      <c r="Y393" s="2734">
        <v>97</v>
      </c>
      <c r="Z393" s="2735">
        <v>97</v>
      </c>
      <c r="AA393" s="2736">
        <v>97</v>
      </c>
      <c r="AB393"/>
      <c r="AC393" s="4622"/>
      <c r="AD393" s="2739" t="s">
        <v>6534</v>
      </c>
      <c r="AE393" s="2723" t="s">
        <v>6535</v>
      </c>
      <c r="AF393" s="2724">
        <v>0</v>
      </c>
      <c r="AG393" s="2725">
        <v>49</v>
      </c>
      <c r="AH393" s="2726">
        <v>24</v>
      </c>
      <c r="AI393"/>
      <c r="AJ393" s="4623"/>
      <c r="AK393" s="2739" t="s">
        <v>6536</v>
      </c>
      <c r="AL393" s="2723" t="s">
        <v>6537</v>
      </c>
      <c r="AM393" s="2724">
        <v>18</v>
      </c>
      <c r="AN393" s="2725">
        <v>13</v>
      </c>
      <c r="AO393" s="2726">
        <v>22</v>
      </c>
      <c r="AQ393" s="5">
        <v>1</v>
      </c>
    </row>
    <row r="394" spans="22:43" ht="21" customHeight="1">
      <c r="V394" s="4624"/>
      <c r="W394" s="2753" t="s">
        <v>6085</v>
      </c>
      <c r="X394" s="2733" t="s">
        <v>6538</v>
      </c>
      <c r="Y394" s="2734">
        <v>96</v>
      </c>
      <c r="Z394" s="2735">
        <v>96</v>
      </c>
      <c r="AA394" s="2736">
        <v>96</v>
      </c>
      <c r="AB394"/>
      <c r="AC394" s="4625"/>
      <c r="AD394" s="2739" t="s">
        <v>6539</v>
      </c>
      <c r="AE394" s="2723" t="s">
        <v>6539</v>
      </c>
      <c r="AF394" s="2724">
        <v>0</v>
      </c>
      <c r="AG394" s="2725">
        <v>0</v>
      </c>
      <c r="AH394" s="2726">
        <v>0</v>
      </c>
      <c r="AI394"/>
      <c r="AJ394" s="4626"/>
      <c r="AK394" s="2728" t="s">
        <v>6540</v>
      </c>
      <c r="AL394" s="2723" t="s">
        <v>6541</v>
      </c>
      <c r="AM394" s="2724">
        <v>160</v>
      </c>
      <c r="AN394" s="2725">
        <v>32</v>
      </c>
      <c r="AO394" s="2726">
        <v>240</v>
      </c>
      <c r="AQ394" s="5">
        <v>1</v>
      </c>
    </row>
    <row r="395" spans="22:43" ht="21" customHeight="1">
      <c r="V395" s="4627"/>
      <c r="W395" s="2732" t="s">
        <v>6542</v>
      </c>
      <c r="X395" s="2733" t="s">
        <v>6543</v>
      </c>
      <c r="Y395" s="2734">
        <v>94</v>
      </c>
      <c r="Z395" s="2735">
        <v>94</v>
      </c>
      <c r="AA395" s="2736">
        <v>94</v>
      </c>
      <c r="AB395"/>
      <c r="AC395" s="4628"/>
      <c r="AD395" s="2728" t="s">
        <v>6544</v>
      </c>
      <c r="AE395" s="2723" t="s">
        <v>6545</v>
      </c>
      <c r="AF395" s="2724">
        <v>255</v>
      </c>
      <c r="AG395" s="2725">
        <v>185</v>
      </c>
      <c r="AH395" s="2726">
        <v>15</v>
      </c>
      <c r="AI395"/>
      <c r="AJ395" s="4629"/>
      <c r="AK395" s="2728"/>
      <c r="AL395" s="2723" t="s">
        <v>6546</v>
      </c>
      <c r="AM395" s="2724">
        <v>153</v>
      </c>
      <c r="AN395" s="2725">
        <v>102</v>
      </c>
      <c r="AO395" s="2726">
        <v>204</v>
      </c>
      <c r="AQ395" s="5">
        <v>1</v>
      </c>
    </row>
    <row r="396" spans="22:43" ht="21" customHeight="1">
      <c r="V396" s="4630"/>
      <c r="W396" s="2732" t="s">
        <v>6547</v>
      </c>
      <c r="X396" s="2733" t="s">
        <v>6548</v>
      </c>
      <c r="Y396" s="2734">
        <v>92</v>
      </c>
      <c r="Z396" s="2735">
        <v>92</v>
      </c>
      <c r="AA396" s="2736">
        <v>92</v>
      </c>
      <c r="AB396"/>
      <c r="AC396" s="4631"/>
      <c r="AD396" s="2728" t="s">
        <v>6549</v>
      </c>
      <c r="AE396" s="2723" t="s">
        <v>6550</v>
      </c>
      <c r="AF396" s="2724">
        <v>255</v>
      </c>
      <c r="AG396" s="2725">
        <v>193</v>
      </c>
      <c r="AH396" s="2726">
        <v>37</v>
      </c>
      <c r="AI396"/>
      <c r="AJ396" s="4632"/>
      <c r="AK396" s="2739" t="s">
        <v>5155</v>
      </c>
      <c r="AL396" s="2723" t="s">
        <v>6551</v>
      </c>
      <c r="AM396" s="2724">
        <v>136</v>
      </c>
      <c r="AN396" s="2725">
        <v>6</v>
      </c>
      <c r="AO396" s="2726">
        <v>206</v>
      </c>
      <c r="AQ396" s="5">
        <v>1</v>
      </c>
    </row>
    <row r="397" spans="22:43" ht="21" customHeight="1">
      <c r="V397" s="4633"/>
      <c r="W397" s="2732" t="s">
        <v>6552</v>
      </c>
      <c r="X397" s="2733" t="s">
        <v>6553</v>
      </c>
      <c r="Y397" s="2734">
        <v>89</v>
      </c>
      <c r="Z397" s="2735">
        <v>89</v>
      </c>
      <c r="AA397" s="2736">
        <v>89</v>
      </c>
      <c r="AB397"/>
      <c r="AC397" s="4634"/>
      <c r="AD397" s="2728" t="s">
        <v>6554</v>
      </c>
      <c r="AE397" s="2723" t="s">
        <v>6555</v>
      </c>
      <c r="AF397" s="2724">
        <v>205</v>
      </c>
      <c r="AG397" s="2725">
        <v>192</v>
      </c>
      <c r="AH397" s="2726">
        <v>176</v>
      </c>
      <c r="AI397"/>
      <c r="AJ397" s="4635"/>
      <c r="AK397" s="2728" t="s">
        <v>6556</v>
      </c>
      <c r="AL397" s="2723" t="s">
        <v>6557</v>
      </c>
      <c r="AM397" s="2724">
        <v>85</v>
      </c>
      <c r="AN397" s="2725">
        <v>26</v>
      </c>
      <c r="AO397" s="2726">
        <v>139</v>
      </c>
      <c r="AQ397" s="5">
        <v>1</v>
      </c>
    </row>
    <row r="398" spans="22:43" ht="21" customHeight="1">
      <c r="V398" s="4636"/>
      <c r="W398" s="2732" t="s">
        <v>6558</v>
      </c>
      <c r="X398" s="2733" t="s">
        <v>6559</v>
      </c>
      <c r="Y398" s="2734">
        <v>87</v>
      </c>
      <c r="Z398" s="2735">
        <v>87</v>
      </c>
      <c r="AA398" s="2736">
        <v>87</v>
      </c>
      <c r="AB398"/>
      <c r="AC398" s="4637"/>
      <c r="AD398" s="2739" t="s">
        <v>6560</v>
      </c>
      <c r="AE398" s="2723" t="s">
        <v>6561</v>
      </c>
      <c r="AF398" s="2724">
        <v>255</v>
      </c>
      <c r="AG398" s="2725">
        <v>193</v>
      </c>
      <c r="AH398" s="2726">
        <v>79</v>
      </c>
      <c r="AI398"/>
      <c r="AJ398" s="4638"/>
      <c r="AK398" s="2739" t="s">
        <v>6562</v>
      </c>
      <c r="AL398" s="2723" t="s">
        <v>6563</v>
      </c>
      <c r="AM398" s="2724">
        <v>50</v>
      </c>
      <c r="AN398" s="2725">
        <v>23</v>
      </c>
      <c r="AO398" s="2726">
        <v>77</v>
      </c>
      <c r="AQ398" s="5">
        <v>1</v>
      </c>
    </row>
    <row r="399" spans="22:43" ht="21" customHeight="1">
      <c r="V399" s="4639"/>
      <c r="W399" s="2753" t="s">
        <v>6564</v>
      </c>
      <c r="X399" s="2733" t="s">
        <v>6565</v>
      </c>
      <c r="Y399" s="2734">
        <v>85</v>
      </c>
      <c r="Z399" s="2735">
        <v>85</v>
      </c>
      <c r="AA399" s="2736">
        <v>85</v>
      </c>
      <c r="AB399"/>
      <c r="AC399" s="4640"/>
      <c r="AD399" s="2739" t="s">
        <v>6566</v>
      </c>
      <c r="AE399" s="2723" t="s">
        <v>6567</v>
      </c>
      <c r="AF399" s="2724">
        <v>255</v>
      </c>
      <c r="AG399" s="2725">
        <v>203</v>
      </c>
      <c r="AH399" s="2726">
        <v>96</v>
      </c>
      <c r="AI399"/>
      <c r="AJ399" s="4641"/>
      <c r="AK399" s="2739" t="s">
        <v>6568</v>
      </c>
      <c r="AL399" s="2723" t="s">
        <v>6569</v>
      </c>
      <c r="AM399" s="2724">
        <v>47</v>
      </c>
      <c r="AN399" s="2725">
        <v>33</v>
      </c>
      <c r="AO399" s="2726">
        <v>64</v>
      </c>
      <c r="AQ399" s="5">
        <v>1</v>
      </c>
    </row>
    <row r="400" spans="22:43" ht="21" customHeight="1">
      <c r="V400" s="4642"/>
      <c r="W400" s="2732" t="s">
        <v>3856</v>
      </c>
      <c r="X400" s="2733" t="s">
        <v>6570</v>
      </c>
      <c r="Y400" s="2734">
        <v>84</v>
      </c>
      <c r="Z400" s="2735">
        <v>84</v>
      </c>
      <c r="AA400" s="2736">
        <v>84</v>
      </c>
      <c r="AB400"/>
      <c r="AC400" s="4643"/>
      <c r="AD400" s="2728" t="s">
        <v>6571</v>
      </c>
      <c r="AE400" s="2723" t="s">
        <v>6572</v>
      </c>
      <c r="AF400" s="2724">
        <v>238</v>
      </c>
      <c r="AG400" s="2725">
        <v>197</v>
      </c>
      <c r="AH400" s="2726">
        <v>145</v>
      </c>
      <c r="AI400"/>
      <c r="AJ400" s="4644"/>
      <c r="AK400" s="2739" t="s">
        <v>6573</v>
      </c>
      <c r="AL400" s="2723" t="s">
        <v>6574</v>
      </c>
      <c r="AM400" s="2724">
        <v>201</v>
      </c>
      <c r="AN400" s="2725">
        <v>160</v>
      </c>
      <c r="AO400" s="2726">
        <v>220</v>
      </c>
      <c r="AQ400" s="5">
        <v>1</v>
      </c>
    </row>
    <row r="401" spans="1:45" ht="21" customHeight="1">
      <c r="V401" s="4645"/>
      <c r="W401" s="2732" t="s">
        <v>6575</v>
      </c>
      <c r="X401" s="2733" t="s">
        <v>6576</v>
      </c>
      <c r="Y401" s="2734">
        <v>82</v>
      </c>
      <c r="Z401" s="2735">
        <v>82</v>
      </c>
      <c r="AA401" s="2736">
        <v>82</v>
      </c>
      <c r="AB401"/>
      <c r="AC401" s="4646"/>
      <c r="AD401" s="2739" t="s">
        <v>6577</v>
      </c>
      <c r="AE401" s="2723" t="s">
        <v>6578</v>
      </c>
      <c r="AF401" s="2724">
        <v>251</v>
      </c>
      <c r="AG401" s="2725">
        <v>201</v>
      </c>
      <c r="AH401" s="2726">
        <v>127</v>
      </c>
      <c r="AI401"/>
      <c r="AJ401" s="4647"/>
      <c r="AK401" s="2739" t="s">
        <v>6579</v>
      </c>
      <c r="AL401" s="2723" t="s">
        <v>6580</v>
      </c>
      <c r="AM401" s="2724">
        <v>207</v>
      </c>
      <c r="AN401" s="2725">
        <v>160</v>
      </c>
      <c r="AO401" s="2726">
        <v>233</v>
      </c>
      <c r="AQ401" s="5">
        <v>1</v>
      </c>
    </row>
    <row r="402" spans="1:45" ht="21" customHeight="1">
      <c r="V402" s="4648"/>
      <c r="W402" s="2732" t="s">
        <v>6581</v>
      </c>
      <c r="X402" s="2733" t="s">
        <v>6582</v>
      </c>
      <c r="Y402" s="2734">
        <v>79</v>
      </c>
      <c r="Z402" s="2735">
        <v>79</v>
      </c>
      <c r="AA402" s="2736">
        <v>79</v>
      </c>
      <c r="AB402"/>
      <c r="AC402" s="4649"/>
      <c r="AD402" s="2728" t="s">
        <v>6583</v>
      </c>
      <c r="AE402" s="2723" t="s">
        <v>6584</v>
      </c>
      <c r="AF402" s="2724">
        <v>235</v>
      </c>
      <c r="AG402" s="2725">
        <v>199</v>
      </c>
      <c r="AH402" s="2726">
        <v>158</v>
      </c>
      <c r="AI402"/>
      <c r="AJ402" s="4650"/>
      <c r="AK402" s="2739" t="s">
        <v>6585</v>
      </c>
      <c r="AL402" s="2723" t="s">
        <v>6586</v>
      </c>
      <c r="AM402" s="2724">
        <v>214</v>
      </c>
      <c r="AN402" s="2725">
        <v>202</v>
      </c>
      <c r="AO402" s="2726">
        <v>221</v>
      </c>
      <c r="AQ402" s="5">
        <v>1</v>
      </c>
    </row>
    <row r="403" spans="1:45" ht="21" customHeight="1">
      <c r="V403" s="4651"/>
      <c r="W403" s="2732" t="s">
        <v>6587</v>
      </c>
      <c r="X403" s="2733" t="s">
        <v>6588</v>
      </c>
      <c r="Y403" s="2734">
        <v>77</v>
      </c>
      <c r="Z403" s="2735">
        <v>77</v>
      </c>
      <c r="AA403" s="2736">
        <v>77</v>
      </c>
      <c r="AB403"/>
      <c r="AC403" s="4652"/>
      <c r="AD403" s="2728" t="s">
        <v>6589</v>
      </c>
      <c r="AE403" s="2723" t="s">
        <v>6590</v>
      </c>
      <c r="AF403" s="2724">
        <v>238</v>
      </c>
      <c r="AG403" s="2725">
        <v>207</v>
      </c>
      <c r="AH403" s="2726">
        <v>161</v>
      </c>
      <c r="AI403"/>
      <c r="AJ403" s="4653"/>
      <c r="AK403" s="2739" t="s">
        <v>6591</v>
      </c>
      <c r="AL403" s="2723" t="s">
        <v>6592</v>
      </c>
      <c r="AM403" s="2724">
        <v>182</v>
      </c>
      <c r="AN403" s="2725">
        <v>102</v>
      </c>
      <c r="AO403" s="2726">
        <v>210</v>
      </c>
      <c r="AQ403" s="5">
        <v>1</v>
      </c>
    </row>
    <row r="404" spans="1:45" ht="21" customHeight="1">
      <c r="V404" s="4654"/>
      <c r="W404" s="4655"/>
      <c r="X404" s="4655"/>
      <c r="Y404" s="4656"/>
      <c r="Z404" s="4657"/>
      <c r="AA404" s="4657"/>
      <c r="AB404"/>
      <c r="AC404" s="4658"/>
      <c r="AD404" s="2728" t="s">
        <v>6593</v>
      </c>
      <c r="AE404" s="2723" t="s">
        <v>6594</v>
      </c>
      <c r="AF404" s="2724">
        <v>255</v>
      </c>
      <c r="AG404" s="2725">
        <v>211</v>
      </c>
      <c r="AH404" s="2726">
        <v>155</v>
      </c>
      <c r="AI404"/>
      <c r="AJ404" s="4659"/>
      <c r="AK404" s="4660" t="s">
        <v>6595</v>
      </c>
      <c r="AL404" s="4661" t="s">
        <v>6596</v>
      </c>
      <c r="AM404" s="4662">
        <v>64</v>
      </c>
      <c r="AN404" s="4663">
        <v>26</v>
      </c>
      <c r="AO404" s="4664">
        <v>76</v>
      </c>
      <c r="AQ404" s="5">
        <v>1</v>
      </c>
    </row>
    <row r="405" spans="1:45" ht="21" customHeight="1">
      <c r="V405" s="17">
        <v>9</v>
      </c>
      <c r="W405" s="17">
        <v>23</v>
      </c>
      <c r="X405" s="17">
        <v>37</v>
      </c>
      <c r="Y405" s="17">
        <v>8</v>
      </c>
      <c r="Z405" s="17">
        <v>8</v>
      </c>
      <c r="AA405" s="17">
        <v>8</v>
      </c>
      <c r="AB405"/>
      <c r="AC405" s="17">
        <v>9</v>
      </c>
      <c r="AD405" s="17">
        <v>23</v>
      </c>
      <c r="AE405" s="17">
        <v>37</v>
      </c>
      <c r="AF405" s="17">
        <v>8</v>
      </c>
      <c r="AG405" s="17">
        <v>8</v>
      </c>
      <c r="AH405" s="17">
        <v>8</v>
      </c>
      <c r="AI405"/>
      <c r="AJ405" s="17">
        <v>9</v>
      </c>
      <c r="AK405" s="17">
        <v>23</v>
      </c>
      <c r="AL405" s="17">
        <v>37</v>
      </c>
      <c r="AM405" s="17">
        <v>8</v>
      </c>
      <c r="AN405" s="17">
        <v>8</v>
      </c>
      <c r="AO405" s="17">
        <v>8</v>
      </c>
      <c r="AQ405" s="5">
        <v>1</v>
      </c>
    </row>
    <row r="406" spans="1:45" ht="21" customHeight="1">
      <c r="V406" s="4665">
        <f t="shared" ref="V406:AA406" ca="1" si="6">CELL("largeur",V406)</f>
        <v>9</v>
      </c>
      <c r="W406" s="4665">
        <f t="shared" ca="1" si="6"/>
        <v>23</v>
      </c>
      <c r="X406" s="4665">
        <f t="shared" ca="1" si="6"/>
        <v>37</v>
      </c>
      <c r="Y406" s="4665">
        <f t="shared" ca="1" si="6"/>
        <v>8</v>
      </c>
      <c r="Z406" s="4665">
        <f t="shared" ca="1" si="6"/>
        <v>8</v>
      </c>
      <c r="AA406" s="4665">
        <f t="shared" ca="1" si="6"/>
        <v>8</v>
      </c>
      <c r="AB406"/>
      <c r="AC406" s="4665">
        <f t="shared" ref="AC406:AH406" ca="1" si="7">CELL("largeur",AC406)</f>
        <v>9</v>
      </c>
      <c r="AD406" s="4665">
        <f t="shared" ca="1" si="7"/>
        <v>23</v>
      </c>
      <c r="AE406" s="4665">
        <f t="shared" ca="1" si="7"/>
        <v>37</v>
      </c>
      <c r="AF406" s="4665">
        <f t="shared" ca="1" si="7"/>
        <v>8</v>
      </c>
      <c r="AG406" s="4665">
        <f t="shared" ca="1" si="7"/>
        <v>8</v>
      </c>
      <c r="AH406" s="4665">
        <f t="shared" ca="1" si="7"/>
        <v>8</v>
      </c>
      <c r="AI406"/>
      <c r="AJ406" s="4665">
        <f t="shared" ref="AJ406:AO406" ca="1" si="8">CELL("largeur",AJ406)</f>
        <v>9</v>
      </c>
      <c r="AK406" s="4665">
        <f t="shared" ca="1" si="8"/>
        <v>23</v>
      </c>
      <c r="AL406" s="4665">
        <f t="shared" ca="1" si="8"/>
        <v>37</v>
      </c>
      <c r="AM406" s="4665">
        <f t="shared" ca="1" si="8"/>
        <v>8</v>
      </c>
      <c r="AN406" s="4665">
        <f t="shared" ca="1" si="8"/>
        <v>8</v>
      </c>
      <c r="AO406" s="4665">
        <f t="shared" ca="1" si="8"/>
        <v>8</v>
      </c>
      <c r="AQ406" s="5">
        <v>1</v>
      </c>
    </row>
    <row r="407" spans="1:45" ht="21" customHeight="1">
      <c r="AQ407" s="10" t="s">
        <v>0</v>
      </c>
      <c r="AR407" s="2"/>
      <c r="AS407" s="2"/>
    </row>
    <row r="408" spans="1:45" ht="21" customHeight="1">
      <c r="A408" s="5">
        <v>1</v>
      </c>
      <c r="B408" s="5">
        <v>1</v>
      </c>
      <c r="C408" s="5">
        <v>1</v>
      </c>
      <c r="D408" s="5">
        <v>1</v>
      </c>
      <c r="E408" s="5">
        <v>1</v>
      </c>
      <c r="F408" s="5">
        <v>1</v>
      </c>
      <c r="G408" s="5">
        <v>1</v>
      </c>
      <c r="H408" s="5">
        <v>1</v>
      </c>
      <c r="I408" s="5">
        <v>1</v>
      </c>
      <c r="J408" s="5">
        <v>1</v>
      </c>
      <c r="K408" s="5">
        <v>1</v>
      </c>
      <c r="L408" s="5">
        <v>1</v>
      </c>
      <c r="M408" s="5">
        <v>1</v>
      </c>
      <c r="N408" s="5">
        <v>1</v>
      </c>
      <c r="O408" s="5">
        <v>1</v>
      </c>
      <c r="P408" s="5">
        <v>1</v>
      </c>
      <c r="Q408" s="5">
        <v>1</v>
      </c>
      <c r="R408" s="5">
        <v>1</v>
      </c>
      <c r="S408" s="5">
        <v>1</v>
      </c>
      <c r="T408" s="5">
        <v>1</v>
      </c>
      <c r="U408" s="5">
        <v>1</v>
      </c>
      <c r="V408" s="5">
        <v>1</v>
      </c>
      <c r="W408" s="5">
        <v>1</v>
      </c>
      <c r="X408" s="5">
        <v>1</v>
      </c>
      <c r="Y408" s="5">
        <v>1</v>
      </c>
      <c r="Z408" s="5">
        <v>1</v>
      </c>
      <c r="AA408" s="5">
        <v>1</v>
      </c>
      <c r="AB408" s="5">
        <v>1</v>
      </c>
      <c r="AC408" s="5">
        <v>1</v>
      </c>
      <c r="AD408" s="5">
        <v>1</v>
      </c>
      <c r="AE408" s="5">
        <v>1</v>
      </c>
      <c r="AF408" s="5">
        <v>1</v>
      </c>
      <c r="AG408" s="5">
        <v>1</v>
      </c>
      <c r="AH408" s="5">
        <v>1</v>
      </c>
      <c r="AI408" s="5">
        <v>1</v>
      </c>
      <c r="AJ408" s="5">
        <v>1</v>
      </c>
      <c r="AK408" s="5">
        <v>1</v>
      </c>
      <c r="AL408" s="5">
        <v>1</v>
      </c>
      <c r="AM408" s="5">
        <v>1</v>
      </c>
      <c r="AN408" s="5">
        <v>1</v>
      </c>
      <c r="AO408" s="5">
        <v>1</v>
      </c>
      <c r="AP408" s="5">
        <v>1</v>
      </c>
      <c r="AQ408" s="9" t="str">
        <f>ADDRESS(ROW(),COLUMN(),4)</f>
        <v>AQ408</v>
      </c>
      <c r="AR408" s="8"/>
      <c r="AS408" s="7" t="str">
        <f>ADDRESS(ROW(),COLUMN(),4)</f>
        <v>AS408</v>
      </c>
    </row>
  </sheetData>
  <mergeCells count="35">
    <mergeCell ref="AD7:AF7"/>
    <mergeCell ref="B8:C9"/>
    <mergeCell ref="E8:F9"/>
    <mergeCell ref="AD9:AF9"/>
    <mergeCell ref="B10:C11"/>
    <mergeCell ref="K11:R11"/>
    <mergeCell ref="AD11:AF11"/>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E73B239C-93C1-4279-AF83-10E8B9EB9CA8}"/>
    <hyperlink ref="AD13" r:id="rId2" xr:uid="{F68482E2-A99E-4F85-83CA-D7FB2F6BA3C1}"/>
    <hyperlink ref="AD15" r:id="rId3" xr:uid="{4707516A-4E5D-4978-8EFC-1A040F2881A5}"/>
    <hyperlink ref="AD17" r:id="rId4" xr:uid="{2837F98B-C12D-43EB-940C-797A193A1D55}"/>
    <hyperlink ref="AD19" r:id="rId5" xr:uid="{6FFBE532-42F7-4C9D-A884-E6439A71764C}"/>
    <hyperlink ref="AD9" r:id="rId6" xr:uid="{01D1EAB1-A8B9-4CCB-AD44-1C1273DB557B}"/>
    <hyperlink ref="AD7" r:id="rId7" xr:uid="{8F0E96B6-C124-4F13-BA80-CBF9380207B0}"/>
    <hyperlink ref="AD11" r:id="rId8" xr:uid="{EB300853-247F-4069-87D7-614C1DB461E5}"/>
    <hyperlink ref="AD21" r:id="rId9" xr:uid="{FE008B13-BF25-4029-BE91-2F7554AC2EC6}"/>
    <hyperlink ref="K54" r:id="rId10" xr:uid="{15C4A7EB-B8ED-4EDC-98BC-B80B52570066}"/>
    <hyperlink ref="V16" r:id="rId11" xr:uid="{5C956BCD-A998-40AA-A223-9DB8956AFD4E}"/>
    <hyperlink ref="V15" r:id="rId12" xr:uid="{D406667B-6A29-46E2-A3D3-8E82AA026B67}"/>
    <hyperlink ref="V19" r:id="rId13" xr:uid="{ACE2D26F-EA30-49DF-B87D-25024E340113}"/>
  </hyperlinks>
  <pageMargins left="0.7" right="0.7" top="0.75" bottom="0.75" header="0.3" footer="0.3"/>
  <pageSetup paperSize="9" orientation="portrait" r:id="rId1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F8061-D794-44D8-94F0-E32BF960EE79}">
  <dimension ref="A1:U315"/>
  <sheetViews>
    <sheetView workbookViewId="0">
      <selection activeCell="P26" sqref="P26"/>
    </sheetView>
  </sheetViews>
  <sheetFormatPr baseColWidth="10" defaultColWidth="11.42578125" defaultRowHeight="15"/>
  <cols>
    <col min="1" max="1" width="7.140625" style="187" customWidth="1"/>
    <col min="2" max="2" width="4.5703125" style="187" customWidth="1"/>
    <col min="3" max="3" width="16.5703125" style="187" customWidth="1"/>
    <col min="4" max="4" width="21.42578125" style="187" customWidth="1"/>
    <col min="5" max="5" width="23" style="187" customWidth="1"/>
    <col min="6" max="6" width="29.42578125" style="187" customWidth="1"/>
    <col min="7" max="16384" width="11.42578125" style="187"/>
  </cols>
  <sheetData>
    <row r="1" spans="1:21">
      <c r="A1" s="147"/>
      <c r="B1" s="147"/>
      <c r="C1" s="147"/>
      <c r="D1" s="147"/>
      <c r="E1" s="147"/>
      <c r="F1" s="147"/>
      <c r="G1" s="147"/>
      <c r="H1" s="147"/>
      <c r="I1" s="147"/>
      <c r="J1" s="147"/>
      <c r="K1" s="147"/>
      <c r="L1" s="147"/>
      <c r="M1" s="147"/>
      <c r="N1" s="147"/>
      <c r="O1" s="147"/>
      <c r="P1" s="147"/>
      <c r="Q1" s="147"/>
      <c r="R1" s="147"/>
      <c r="S1" s="147"/>
      <c r="T1" s="147"/>
      <c r="U1" s="147"/>
    </row>
    <row r="2" spans="1:21">
      <c r="A2" s="147"/>
      <c r="B2" s="147"/>
      <c r="C2" s="147"/>
      <c r="D2" s="147"/>
      <c r="E2" s="147"/>
      <c r="F2" s="147"/>
      <c r="G2" s="147"/>
      <c r="H2" s="147"/>
      <c r="I2" s="147"/>
      <c r="J2" s="147"/>
      <c r="K2" s="147"/>
      <c r="L2" s="147"/>
      <c r="M2" s="147"/>
      <c r="N2" s="147"/>
      <c r="O2" s="147"/>
      <c r="P2" s="147"/>
      <c r="Q2" s="147"/>
      <c r="R2" s="147"/>
      <c r="S2" s="147"/>
      <c r="T2" s="147"/>
      <c r="U2" s="147"/>
    </row>
    <row r="3" spans="1:21">
      <c r="A3" s="147"/>
      <c r="B3" s="147"/>
      <c r="C3" s="147"/>
      <c r="D3" s="147"/>
      <c r="E3" s="147"/>
      <c r="F3" s="147"/>
      <c r="G3" s="147"/>
      <c r="H3" s="147"/>
      <c r="I3" s="147"/>
      <c r="J3" s="147"/>
      <c r="K3" s="147"/>
      <c r="L3" s="147"/>
      <c r="M3" s="147"/>
      <c r="N3" s="147"/>
      <c r="O3" s="147"/>
      <c r="P3" s="147"/>
      <c r="Q3" s="147"/>
      <c r="R3" s="147"/>
      <c r="S3" s="147"/>
      <c r="T3" s="147"/>
      <c r="U3" s="147"/>
    </row>
    <row r="4" spans="1:21" ht="18.75">
      <c r="A4" s="147"/>
      <c r="B4" s="147"/>
      <c r="C4" s="4666" t="s">
        <v>6597</v>
      </c>
      <c r="D4" s="147"/>
      <c r="E4" s="147"/>
      <c r="F4" s="147"/>
      <c r="G4" s="147"/>
      <c r="H4" s="147"/>
      <c r="I4" s="147"/>
      <c r="J4" s="147"/>
      <c r="K4" s="147"/>
      <c r="L4" s="147"/>
      <c r="M4" s="147"/>
      <c r="N4" s="147"/>
      <c r="O4" s="147"/>
      <c r="P4" s="147"/>
      <c r="Q4" s="147"/>
      <c r="R4" s="147"/>
      <c r="S4" s="147"/>
      <c r="T4" s="147"/>
      <c r="U4" s="147"/>
    </row>
    <row r="5" spans="1:21">
      <c r="A5" s="147"/>
      <c r="B5" s="147"/>
      <c r="C5" s="326"/>
      <c r="D5" s="147"/>
      <c r="E5" s="147"/>
      <c r="F5" s="147"/>
      <c r="G5" s="147"/>
      <c r="H5" s="147"/>
      <c r="I5" s="147"/>
      <c r="J5" s="147"/>
      <c r="K5" s="147"/>
      <c r="L5" s="147"/>
      <c r="M5" s="147"/>
      <c r="N5" s="147"/>
      <c r="O5" s="147"/>
      <c r="P5" s="147"/>
      <c r="Q5" s="147"/>
      <c r="R5" s="147"/>
      <c r="S5" s="147"/>
      <c r="T5" s="147"/>
      <c r="U5" s="147"/>
    </row>
    <row r="6" spans="1:21">
      <c r="A6" s="147"/>
      <c r="B6" s="147"/>
      <c r="C6" s="326" t="s">
        <v>6598</v>
      </c>
      <c r="D6" s="147"/>
      <c r="E6" s="147"/>
      <c r="F6" s="147"/>
      <c r="G6" s="147"/>
      <c r="H6" s="147"/>
      <c r="I6" s="147"/>
      <c r="J6" s="147"/>
      <c r="K6" s="147"/>
      <c r="L6" s="147"/>
      <c r="M6" s="147"/>
      <c r="N6" s="147"/>
      <c r="O6" s="147"/>
      <c r="P6" s="147"/>
      <c r="Q6" s="147"/>
      <c r="R6" s="147"/>
      <c r="S6" s="147"/>
      <c r="T6" s="147"/>
      <c r="U6" s="147"/>
    </row>
    <row r="7" spans="1:21">
      <c r="A7" s="147"/>
      <c r="B7" s="147"/>
      <c r="C7" s="326" t="s">
        <v>6599</v>
      </c>
      <c r="D7" s="147"/>
      <c r="E7" s="147"/>
      <c r="F7" s="147"/>
      <c r="G7" s="147"/>
      <c r="H7" s="147"/>
      <c r="I7" s="147"/>
      <c r="J7" s="147"/>
      <c r="K7" s="147"/>
      <c r="L7" s="147"/>
      <c r="M7" s="147"/>
      <c r="N7" s="147"/>
      <c r="O7" s="147"/>
      <c r="P7" s="147"/>
      <c r="Q7" s="147"/>
      <c r="R7" s="147"/>
      <c r="S7" s="147"/>
      <c r="T7" s="147"/>
      <c r="U7" s="147"/>
    </row>
    <row r="8" spans="1:21">
      <c r="A8" s="147"/>
      <c r="B8" s="147"/>
      <c r="C8" s="326" t="s">
        <v>6600</v>
      </c>
      <c r="D8" s="147"/>
      <c r="E8" s="147"/>
      <c r="F8" s="147"/>
      <c r="G8" s="147"/>
      <c r="H8" s="147"/>
      <c r="I8" s="147"/>
      <c r="J8" s="147"/>
      <c r="K8" s="147"/>
      <c r="L8" s="147"/>
      <c r="M8" s="147"/>
      <c r="N8" s="147"/>
      <c r="O8" s="147"/>
      <c r="P8" s="147"/>
      <c r="Q8" s="147"/>
      <c r="R8" s="147"/>
      <c r="S8" s="147"/>
      <c r="T8" s="147"/>
      <c r="U8" s="147"/>
    </row>
    <row r="9" spans="1:21">
      <c r="A9" s="147"/>
      <c r="B9" s="147"/>
      <c r="C9" s="326" t="s">
        <v>6601</v>
      </c>
      <c r="D9" s="147"/>
      <c r="E9" s="147"/>
      <c r="F9" s="147"/>
      <c r="G9" s="147"/>
      <c r="H9" s="147"/>
      <c r="I9" s="147"/>
      <c r="J9" s="147"/>
      <c r="K9" s="147"/>
      <c r="L9" s="147"/>
      <c r="M9" s="147"/>
      <c r="N9" s="147"/>
      <c r="O9" s="147"/>
      <c r="P9" s="147"/>
      <c r="Q9" s="147"/>
      <c r="R9" s="147"/>
      <c r="S9" s="147"/>
      <c r="T9" s="147"/>
      <c r="U9" s="147"/>
    </row>
    <row r="10" spans="1:21">
      <c r="A10" s="147"/>
      <c r="B10" s="147"/>
      <c r="C10" s="326"/>
      <c r="D10" s="147"/>
      <c r="E10" s="147"/>
      <c r="F10" s="147"/>
      <c r="G10" s="147"/>
      <c r="H10" s="147"/>
      <c r="I10" s="147"/>
      <c r="J10" s="147"/>
      <c r="K10" s="147"/>
      <c r="L10" s="147"/>
      <c r="M10" s="147"/>
      <c r="N10" s="147"/>
      <c r="O10" s="147"/>
      <c r="P10" s="147"/>
      <c r="Q10" s="147"/>
      <c r="R10" s="147"/>
      <c r="S10" s="147"/>
      <c r="T10" s="147"/>
      <c r="U10" s="147"/>
    </row>
    <row r="11" spans="1:21" ht="15.75">
      <c r="A11" s="147"/>
      <c r="B11" s="147"/>
      <c r="C11" s="4667" t="s">
        <v>6602</v>
      </c>
      <c r="D11" s="147"/>
      <c r="E11" s="147"/>
      <c r="F11" s="147"/>
      <c r="G11" s="147"/>
      <c r="H11" s="147"/>
      <c r="I11" s="147"/>
      <c r="J11" s="147"/>
      <c r="K11" s="147"/>
      <c r="L11" s="147"/>
      <c r="M11" s="147"/>
      <c r="N11" s="147"/>
      <c r="O11" s="147"/>
      <c r="P11" s="147"/>
      <c r="Q11" s="147"/>
      <c r="R11" s="147"/>
      <c r="S11" s="147"/>
      <c r="T11" s="147"/>
      <c r="U11" s="147"/>
    </row>
    <row r="12" spans="1:21">
      <c r="A12" s="147"/>
      <c r="B12" s="147"/>
      <c r="C12" s="147"/>
      <c r="D12" s="147"/>
      <c r="E12" s="147"/>
      <c r="F12" s="147"/>
      <c r="G12" s="147"/>
      <c r="H12" s="147"/>
      <c r="I12" s="147"/>
      <c r="J12" s="147"/>
      <c r="K12" s="147"/>
      <c r="L12" s="147"/>
      <c r="M12" s="147"/>
      <c r="N12" s="147"/>
      <c r="O12" s="147"/>
      <c r="P12" s="147"/>
      <c r="Q12" s="147"/>
      <c r="R12" s="147"/>
      <c r="S12" s="147"/>
      <c r="T12" s="147"/>
      <c r="U12" s="147"/>
    </row>
    <row r="13" spans="1:21">
      <c r="A13" s="147"/>
      <c r="B13" s="147"/>
      <c r="C13" s="147" t="s">
        <v>6603</v>
      </c>
      <c r="D13" s="147"/>
      <c r="E13" s="147"/>
      <c r="F13" s="147"/>
      <c r="G13" s="147"/>
      <c r="H13" s="147"/>
      <c r="I13" s="147"/>
      <c r="J13" s="147"/>
      <c r="K13" s="147"/>
      <c r="L13" s="147"/>
      <c r="M13" s="147"/>
      <c r="N13" s="147"/>
      <c r="O13" s="147"/>
      <c r="P13" s="147"/>
      <c r="Q13" s="147"/>
      <c r="R13" s="147"/>
      <c r="S13" s="147"/>
      <c r="T13" s="147"/>
      <c r="U13" s="147"/>
    </row>
    <row r="14" spans="1:21">
      <c r="A14" s="147"/>
      <c r="B14" s="147"/>
      <c r="C14" s="147"/>
      <c r="D14" s="147"/>
      <c r="E14" s="147"/>
      <c r="F14" s="147"/>
      <c r="G14" s="147"/>
      <c r="H14" s="147"/>
      <c r="I14" s="147"/>
      <c r="J14" s="147"/>
      <c r="K14" s="147"/>
      <c r="L14" s="147"/>
      <c r="M14" s="147"/>
      <c r="N14" s="147"/>
      <c r="O14" s="147"/>
      <c r="P14" s="147"/>
      <c r="Q14" s="147"/>
      <c r="R14" s="147"/>
      <c r="S14" s="147"/>
      <c r="T14" s="147"/>
      <c r="U14" s="147"/>
    </row>
    <row r="15" spans="1:21">
      <c r="A15" s="147"/>
      <c r="B15" s="147"/>
      <c r="C15" s="147" t="s">
        <v>6604</v>
      </c>
      <c r="D15" s="147"/>
      <c r="E15" s="147"/>
      <c r="F15" s="147"/>
      <c r="G15" s="147"/>
      <c r="H15" s="147"/>
      <c r="I15" s="147"/>
      <c r="J15" s="147"/>
      <c r="K15" s="147"/>
      <c r="L15" s="147"/>
      <c r="M15" s="147"/>
      <c r="N15" s="147"/>
      <c r="O15" s="147"/>
      <c r="P15" s="147"/>
      <c r="Q15" s="147"/>
      <c r="R15" s="147"/>
      <c r="S15" s="147"/>
      <c r="T15" s="147"/>
      <c r="U15" s="147"/>
    </row>
    <row r="16" spans="1:21">
      <c r="A16" s="147"/>
      <c r="B16" s="147"/>
      <c r="C16" s="147"/>
      <c r="D16" s="147"/>
      <c r="E16" s="147"/>
      <c r="F16" s="147"/>
      <c r="G16" s="147"/>
      <c r="H16" s="147"/>
      <c r="I16" s="147"/>
      <c r="J16" s="147"/>
      <c r="K16" s="147"/>
      <c r="L16" s="147"/>
      <c r="M16" s="147"/>
      <c r="N16" s="147"/>
      <c r="O16" s="147"/>
      <c r="P16" s="147"/>
      <c r="Q16" s="147"/>
      <c r="R16" s="147"/>
      <c r="S16" s="147"/>
      <c r="T16" s="147"/>
      <c r="U16" s="147"/>
    </row>
    <row r="17" spans="1:21" ht="15.75">
      <c r="A17" s="147"/>
      <c r="B17" s="147"/>
      <c r="C17" s="4667" t="s">
        <v>6605</v>
      </c>
      <c r="D17" s="147"/>
      <c r="E17" s="147"/>
      <c r="F17" s="147"/>
      <c r="G17" s="147"/>
      <c r="H17" s="147"/>
      <c r="I17" s="147"/>
      <c r="J17" s="147"/>
      <c r="K17" s="147"/>
      <c r="L17" s="147"/>
      <c r="M17" s="147"/>
      <c r="N17" s="147"/>
      <c r="O17" s="147"/>
      <c r="P17" s="147"/>
      <c r="Q17" s="147"/>
      <c r="R17" s="147"/>
      <c r="S17" s="147"/>
      <c r="T17" s="147"/>
      <c r="U17" s="147"/>
    </row>
    <row r="18" spans="1:21">
      <c r="A18" s="147"/>
      <c r="B18" s="147"/>
      <c r="C18" s="147"/>
      <c r="D18" s="147"/>
      <c r="E18" s="147"/>
      <c r="F18" s="147"/>
      <c r="G18" s="147"/>
      <c r="H18" s="147"/>
      <c r="I18" s="147"/>
      <c r="J18" s="147"/>
      <c r="K18" s="147"/>
      <c r="L18" s="147"/>
      <c r="M18" s="147"/>
      <c r="N18" s="147"/>
      <c r="O18" s="147"/>
      <c r="P18" s="147"/>
      <c r="Q18" s="147"/>
      <c r="R18" s="147"/>
      <c r="S18" s="147"/>
      <c r="T18" s="147"/>
      <c r="U18" s="147"/>
    </row>
    <row r="19" spans="1:21" ht="15.75">
      <c r="A19" s="147"/>
      <c r="B19" s="147"/>
      <c r="C19" s="4668" t="s">
        <v>6606</v>
      </c>
      <c r="D19" s="147"/>
      <c r="E19" s="147"/>
      <c r="F19" s="147"/>
      <c r="G19" s="147"/>
      <c r="H19" s="147"/>
      <c r="I19" s="147"/>
      <c r="J19" s="147"/>
      <c r="K19" s="147"/>
      <c r="L19" s="147"/>
      <c r="M19" s="147"/>
      <c r="N19" s="147"/>
      <c r="O19" s="147"/>
      <c r="P19" s="147"/>
      <c r="Q19" s="147"/>
      <c r="R19" s="147"/>
      <c r="S19" s="147"/>
      <c r="T19" s="147"/>
      <c r="U19" s="147"/>
    </row>
    <row r="20" spans="1:21" ht="15.75">
      <c r="A20" s="147"/>
      <c r="B20" s="147"/>
      <c r="C20" s="4668" t="s">
        <v>6607</v>
      </c>
      <c r="D20" s="147"/>
      <c r="E20" s="147"/>
      <c r="F20" s="147"/>
      <c r="G20" s="147"/>
      <c r="H20" s="147"/>
      <c r="I20" s="147"/>
      <c r="J20" s="147"/>
      <c r="K20" s="147"/>
      <c r="L20" s="147"/>
      <c r="M20" s="147"/>
      <c r="N20" s="147"/>
      <c r="O20" s="147"/>
      <c r="P20" s="147"/>
      <c r="Q20" s="147"/>
      <c r="R20" s="147"/>
      <c r="S20" s="147"/>
      <c r="T20" s="147"/>
      <c r="U20" s="147"/>
    </row>
    <row r="21" spans="1:21" ht="15.75">
      <c r="A21" s="147"/>
      <c r="B21" s="147"/>
      <c r="C21" s="4668" t="s">
        <v>6608</v>
      </c>
      <c r="D21" s="147"/>
      <c r="E21" s="147"/>
      <c r="F21" s="147"/>
      <c r="G21" s="147"/>
      <c r="H21" s="147"/>
      <c r="I21" s="147"/>
      <c r="J21" s="147"/>
      <c r="K21" s="147"/>
      <c r="L21" s="147"/>
      <c r="M21" s="147"/>
      <c r="N21" s="147"/>
      <c r="O21" s="147"/>
      <c r="P21" s="147"/>
      <c r="Q21" s="147"/>
      <c r="R21" s="147"/>
      <c r="S21" s="147"/>
      <c r="T21" s="147"/>
      <c r="U21" s="147"/>
    </row>
    <row r="22" spans="1:21">
      <c r="A22" s="147"/>
      <c r="B22" s="147"/>
      <c r="C22" s="147"/>
      <c r="D22" s="147"/>
      <c r="E22" s="147"/>
      <c r="F22" s="147"/>
      <c r="G22" s="147"/>
      <c r="H22" s="147"/>
      <c r="I22" s="147"/>
      <c r="J22" s="147"/>
      <c r="K22" s="147"/>
      <c r="L22" s="147"/>
      <c r="M22" s="147"/>
      <c r="N22" s="147"/>
      <c r="O22" s="147"/>
      <c r="P22" s="147"/>
      <c r="Q22" s="147"/>
      <c r="R22" s="147"/>
      <c r="S22" s="147"/>
      <c r="T22" s="147"/>
      <c r="U22" s="147"/>
    </row>
    <row r="23" spans="1:21">
      <c r="A23" s="147"/>
      <c r="B23" s="147"/>
      <c r="C23" s="4669" t="s">
        <v>6609</v>
      </c>
      <c r="D23" s="147"/>
      <c r="E23" s="147"/>
      <c r="F23" s="147"/>
      <c r="G23" s="147"/>
      <c r="H23" s="147"/>
      <c r="I23" s="147"/>
      <c r="J23" s="147"/>
      <c r="K23" s="147"/>
      <c r="L23" s="147"/>
      <c r="M23" s="147"/>
      <c r="N23" s="147"/>
      <c r="O23" s="147"/>
      <c r="P23" s="147"/>
      <c r="Q23" s="147"/>
      <c r="R23" s="147"/>
      <c r="S23" s="147"/>
      <c r="T23" s="147"/>
      <c r="U23" s="147"/>
    </row>
    <row r="24" spans="1:21">
      <c r="A24" s="147"/>
      <c r="B24" s="147"/>
      <c r="C24" s="4669" t="s">
        <v>6610</v>
      </c>
      <c r="D24" s="147"/>
      <c r="E24" s="147"/>
      <c r="F24" s="147"/>
      <c r="G24" s="147"/>
      <c r="H24" s="147"/>
      <c r="I24" s="147"/>
      <c r="J24" s="147"/>
      <c r="K24" s="147"/>
      <c r="L24" s="147"/>
      <c r="M24" s="147"/>
      <c r="N24" s="147"/>
      <c r="O24" s="147"/>
      <c r="P24" s="147"/>
      <c r="Q24" s="147"/>
      <c r="R24" s="147"/>
      <c r="S24" s="147"/>
      <c r="T24" s="147"/>
      <c r="U24" s="147"/>
    </row>
    <row r="25" spans="1:21">
      <c r="A25" s="147"/>
      <c r="B25" s="147"/>
      <c r="C25" s="4669"/>
      <c r="D25" s="147"/>
      <c r="E25" s="147"/>
      <c r="F25" s="147"/>
      <c r="G25" s="147"/>
      <c r="H25" s="147"/>
      <c r="I25" s="147"/>
      <c r="J25" s="147"/>
      <c r="K25" s="147"/>
      <c r="L25" s="147"/>
      <c r="M25" s="147"/>
      <c r="N25" s="147"/>
      <c r="O25" s="147"/>
      <c r="P25" s="147"/>
      <c r="Q25" s="147"/>
      <c r="R25" s="147"/>
      <c r="S25" s="147"/>
      <c r="T25" s="147"/>
      <c r="U25" s="147"/>
    </row>
    <row r="26" spans="1:21">
      <c r="A26" s="147"/>
      <c r="B26" s="147"/>
      <c r="C26" s="4669" t="s">
        <v>6611</v>
      </c>
      <c r="D26" s="147"/>
      <c r="E26" s="147"/>
      <c r="F26" s="147"/>
      <c r="G26" s="147"/>
      <c r="H26" s="147"/>
      <c r="I26" s="147"/>
      <c r="J26" s="147"/>
      <c r="K26" s="147"/>
      <c r="L26" s="147"/>
      <c r="M26" s="147"/>
      <c r="N26" s="147"/>
      <c r="O26" s="147"/>
      <c r="P26" s="147"/>
      <c r="Q26" s="147"/>
      <c r="R26" s="147"/>
      <c r="S26" s="147"/>
      <c r="T26" s="147"/>
      <c r="U26" s="147"/>
    </row>
    <row r="27" spans="1:21">
      <c r="A27" s="147"/>
      <c r="B27" s="147"/>
      <c r="C27" s="4669"/>
      <c r="D27" s="147"/>
      <c r="E27" s="147"/>
      <c r="F27" s="147"/>
      <c r="G27" s="147"/>
      <c r="H27" s="147"/>
      <c r="I27" s="147"/>
      <c r="J27" s="147"/>
      <c r="K27" s="147"/>
      <c r="L27" s="147"/>
      <c r="M27" s="147"/>
      <c r="N27" s="147"/>
      <c r="O27" s="147"/>
      <c r="P27" s="147"/>
      <c r="Q27" s="147"/>
      <c r="R27" s="147"/>
      <c r="S27" s="147"/>
      <c r="T27" s="147"/>
      <c r="U27" s="147"/>
    </row>
    <row r="28" spans="1:21">
      <c r="A28" s="147"/>
      <c r="B28" s="147"/>
      <c r="C28" s="147" t="s">
        <v>6612</v>
      </c>
      <c r="D28" s="147"/>
      <c r="E28" s="147"/>
      <c r="F28" s="147"/>
      <c r="G28" s="147"/>
      <c r="H28" s="147"/>
      <c r="I28" s="147"/>
      <c r="J28" s="147"/>
      <c r="K28" s="147"/>
      <c r="L28" s="147"/>
      <c r="M28" s="147"/>
      <c r="N28" s="147"/>
      <c r="O28" s="147"/>
      <c r="P28" s="147"/>
      <c r="Q28" s="147"/>
      <c r="R28" s="147"/>
      <c r="S28" s="147"/>
      <c r="T28" s="147"/>
      <c r="U28" s="147"/>
    </row>
    <row r="29" spans="1:21">
      <c r="A29" s="147"/>
      <c r="B29" s="147"/>
      <c r="C29" s="4669" t="s">
        <v>6613</v>
      </c>
      <c r="D29" s="147"/>
      <c r="E29" s="147"/>
      <c r="F29" s="147"/>
      <c r="G29" s="147"/>
      <c r="H29" s="147"/>
      <c r="I29" s="147"/>
      <c r="J29" s="147"/>
      <c r="K29" s="147"/>
      <c r="L29" s="147"/>
      <c r="M29" s="147"/>
      <c r="N29" s="147"/>
      <c r="O29" s="147"/>
      <c r="P29" s="147"/>
      <c r="Q29" s="147"/>
      <c r="R29" s="147"/>
      <c r="S29" s="147"/>
      <c r="T29" s="147"/>
      <c r="U29" s="147"/>
    </row>
    <row r="30" spans="1:21">
      <c r="A30" s="147"/>
      <c r="B30" s="147"/>
      <c r="C30" s="147"/>
      <c r="D30" s="147"/>
      <c r="E30" s="147"/>
      <c r="F30" s="147"/>
      <c r="G30" s="147"/>
      <c r="H30" s="147"/>
      <c r="I30" s="147"/>
      <c r="J30" s="147"/>
      <c r="K30" s="147"/>
      <c r="L30" s="147"/>
      <c r="M30" s="147"/>
      <c r="N30" s="147"/>
      <c r="O30" s="147"/>
      <c r="P30" s="147"/>
      <c r="Q30" s="147"/>
      <c r="R30" s="147"/>
      <c r="S30" s="147"/>
      <c r="T30" s="147"/>
      <c r="U30" s="147"/>
    </row>
    <row r="31" spans="1:21">
      <c r="A31" s="147"/>
      <c r="B31" s="147"/>
      <c r="C31" s="147" t="s">
        <v>6614</v>
      </c>
      <c r="D31" s="147"/>
      <c r="E31" s="147"/>
      <c r="F31" s="147"/>
      <c r="G31" s="147"/>
      <c r="H31" s="147"/>
      <c r="I31" s="147"/>
      <c r="J31" s="147"/>
      <c r="K31" s="147"/>
      <c r="L31" s="147"/>
      <c r="M31" s="147"/>
      <c r="N31" s="147"/>
      <c r="O31" s="147"/>
      <c r="P31" s="147"/>
      <c r="Q31" s="147"/>
      <c r="R31" s="147"/>
      <c r="S31" s="147"/>
      <c r="T31" s="147"/>
      <c r="U31" s="147"/>
    </row>
    <row r="32" spans="1:21">
      <c r="A32" s="147"/>
      <c r="B32" s="147"/>
      <c r="C32" s="147"/>
      <c r="D32" s="147"/>
      <c r="E32" s="147"/>
      <c r="F32" s="147"/>
      <c r="G32" s="147"/>
      <c r="H32" s="147"/>
      <c r="I32" s="147"/>
      <c r="J32" s="147"/>
      <c r="K32" s="147"/>
      <c r="L32" s="147"/>
      <c r="M32" s="147"/>
      <c r="N32" s="147"/>
      <c r="O32" s="147"/>
      <c r="P32" s="147"/>
      <c r="Q32" s="147"/>
      <c r="R32" s="147"/>
      <c r="S32" s="147"/>
      <c r="T32" s="147"/>
      <c r="U32" s="147"/>
    </row>
    <row r="33" spans="1:21">
      <c r="A33" s="147"/>
      <c r="B33" s="147"/>
      <c r="C33" s="147" t="s">
        <v>6615</v>
      </c>
      <c r="D33" s="147"/>
      <c r="E33" s="147"/>
      <c r="F33" s="147"/>
      <c r="G33" s="147"/>
      <c r="H33" s="147"/>
      <c r="I33" s="147"/>
      <c r="J33" s="147"/>
      <c r="K33" s="147"/>
      <c r="L33" s="147"/>
      <c r="M33" s="147"/>
      <c r="N33" s="147"/>
      <c r="O33" s="147"/>
      <c r="P33" s="147"/>
      <c r="Q33" s="147"/>
      <c r="R33" s="147"/>
      <c r="S33" s="147"/>
      <c r="T33" s="147"/>
      <c r="U33" s="147"/>
    </row>
    <row r="34" spans="1:21">
      <c r="A34" s="147"/>
      <c r="B34" s="147"/>
      <c r="C34" s="147" t="s">
        <v>6616</v>
      </c>
      <c r="D34" s="147"/>
      <c r="E34" s="147"/>
      <c r="F34" s="147"/>
      <c r="G34" s="147"/>
      <c r="H34" s="147"/>
      <c r="I34" s="147"/>
      <c r="J34" s="147"/>
      <c r="K34" s="147"/>
      <c r="L34" s="147"/>
      <c r="M34" s="147"/>
      <c r="N34" s="147"/>
      <c r="O34" s="147"/>
      <c r="P34" s="147"/>
      <c r="Q34" s="147"/>
      <c r="R34" s="147"/>
      <c r="S34" s="147"/>
      <c r="T34" s="147"/>
      <c r="U34" s="147"/>
    </row>
    <row r="35" spans="1:21">
      <c r="A35" s="147"/>
      <c r="B35" s="147"/>
      <c r="C35" s="147"/>
      <c r="D35" s="147"/>
      <c r="E35" s="147"/>
      <c r="F35" s="147"/>
      <c r="G35" s="147"/>
      <c r="H35" s="147"/>
      <c r="I35" s="147"/>
      <c r="J35" s="147"/>
      <c r="K35" s="147"/>
      <c r="L35" s="147"/>
      <c r="M35" s="147"/>
      <c r="N35" s="147"/>
      <c r="O35" s="147"/>
      <c r="P35" s="147"/>
      <c r="Q35" s="147"/>
      <c r="R35" s="147"/>
      <c r="S35" s="147"/>
      <c r="T35" s="147"/>
      <c r="U35" s="147"/>
    </row>
    <row r="36" spans="1:21" ht="18">
      <c r="A36" s="147"/>
      <c r="B36" s="147"/>
      <c r="C36" s="155" t="s">
        <v>6617</v>
      </c>
      <c r="D36" s="147"/>
      <c r="E36" s="147"/>
      <c r="F36" s="147"/>
      <c r="G36" s="147"/>
      <c r="H36" s="147"/>
      <c r="I36" s="147"/>
      <c r="J36" s="147"/>
      <c r="K36" s="147"/>
      <c r="L36" s="147"/>
      <c r="M36" s="147"/>
      <c r="N36" s="147"/>
      <c r="O36" s="147"/>
      <c r="P36" s="147"/>
      <c r="Q36" s="147"/>
      <c r="R36" s="147"/>
      <c r="S36" s="147"/>
      <c r="T36" s="147"/>
      <c r="U36" s="147"/>
    </row>
    <row r="37" spans="1:21">
      <c r="A37" s="147"/>
      <c r="B37" s="147"/>
      <c r="C37" s="326"/>
      <c r="D37" s="147"/>
      <c r="E37" s="147"/>
      <c r="F37" s="147"/>
      <c r="G37" s="147"/>
      <c r="H37" s="147"/>
      <c r="I37" s="147"/>
      <c r="J37" s="147"/>
      <c r="K37" s="147"/>
      <c r="L37" s="147"/>
      <c r="M37" s="147"/>
      <c r="N37" s="147"/>
      <c r="O37" s="147"/>
      <c r="P37" s="147"/>
      <c r="Q37" s="147"/>
      <c r="R37" s="147"/>
      <c r="S37" s="147"/>
      <c r="T37" s="147"/>
      <c r="U37" s="147"/>
    </row>
    <row r="38" spans="1:21">
      <c r="A38" s="147"/>
      <c r="B38" s="147"/>
      <c r="C38" s="4670" t="s">
        <v>6618</v>
      </c>
      <c r="D38" s="147"/>
      <c r="E38" s="147"/>
      <c r="F38" s="147"/>
      <c r="G38" s="147"/>
      <c r="H38" s="147"/>
      <c r="I38" s="147"/>
      <c r="J38" s="147"/>
      <c r="K38" s="147"/>
      <c r="L38" s="147"/>
      <c r="M38" s="147"/>
      <c r="N38" s="147"/>
      <c r="O38" s="147"/>
      <c r="P38" s="147"/>
      <c r="Q38" s="147"/>
      <c r="R38" s="147"/>
      <c r="S38" s="147"/>
      <c r="T38" s="147"/>
      <c r="U38" s="147"/>
    </row>
    <row r="39" spans="1:21">
      <c r="A39" s="147"/>
      <c r="B39" s="147"/>
      <c r="C39" s="326"/>
      <c r="D39" s="147"/>
      <c r="E39" s="147"/>
      <c r="F39" s="147"/>
      <c r="G39" s="147"/>
      <c r="H39" s="147"/>
      <c r="I39" s="147"/>
      <c r="J39" s="147"/>
      <c r="K39" s="147"/>
      <c r="L39" s="147"/>
      <c r="M39" s="147"/>
      <c r="N39" s="147"/>
      <c r="O39" s="147"/>
      <c r="P39" s="147"/>
      <c r="Q39" s="147"/>
      <c r="R39" s="147"/>
      <c r="S39" s="147"/>
      <c r="T39" s="147"/>
      <c r="U39" s="147"/>
    </row>
    <row r="40" spans="1:21">
      <c r="A40" s="147"/>
      <c r="B40" s="147"/>
      <c r="C40" s="326" t="s">
        <v>6619</v>
      </c>
      <c r="D40" s="147"/>
      <c r="E40" s="147"/>
      <c r="F40" s="147"/>
      <c r="G40" s="147"/>
      <c r="H40" s="147"/>
      <c r="I40" s="147"/>
      <c r="J40" s="147"/>
      <c r="K40" s="147"/>
      <c r="L40" s="147"/>
      <c r="M40" s="147"/>
      <c r="N40" s="147"/>
      <c r="O40" s="147"/>
      <c r="P40" s="147"/>
      <c r="Q40" s="147"/>
      <c r="R40" s="147"/>
      <c r="S40" s="147"/>
      <c r="T40" s="147"/>
      <c r="U40" s="147"/>
    </row>
    <row r="41" spans="1:21">
      <c r="A41" s="147"/>
      <c r="B41" s="147"/>
      <c r="C41" s="326" t="s">
        <v>6620</v>
      </c>
      <c r="D41" s="147"/>
      <c r="E41" s="147"/>
      <c r="F41" s="147"/>
      <c r="G41" s="147"/>
      <c r="H41" s="147"/>
      <c r="I41" s="147"/>
      <c r="J41" s="147"/>
      <c r="K41" s="147"/>
      <c r="L41" s="147"/>
      <c r="M41" s="147"/>
      <c r="N41" s="147"/>
      <c r="O41" s="147"/>
      <c r="P41" s="147"/>
      <c r="Q41" s="147"/>
      <c r="R41" s="147"/>
      <c r="S41" s="147"/>
      <c r="T41" s="147"/>
      <c r="U41" s="147"/>
    </row>
    <row r="42" spans="1:21">
      <c r="A42" s="147"/>
      <c r="B42" s="147"/>
      <c r="C42" s="4671" t="s">
        <v>6621</v>
      </c>
      <c r="D42" s="147"/>
      <c r="E42" s="147"/>
      <c r="F42" s="147"/>
      <c r="G42" s="147"/>
      <c r="H42" s="147"/>
      <c r="I42" s="147"/>
      <c r="J42" s="147"/>
      <c r="K42" s="147"/>
      <c r="L42" s="147"/>
      <c r="M42" s="147"/>
      <c r="N42" s="147"/>
      <c r="O42" s="147"/>
      <c r="P42" s="147"/>
      <c r="Q42" s="147"/>
      <c r="R42" s="147"/>
      <c r="S42" s="147"/>
      <c r="T42" s="147"/>
      <c r="U42" s="147"/>
    </row>
    <row r="43" spans="1:21">
      <c r="A43" s="147"/>
      <c r="B43" s="147"/>
      <c r="C43" s="326"/>
      <c r="D43" s="147"/>
      <c r="E43" s="147"/>
      <c r="F43" s="147"/>
      <c r="G43" s="147"/>
      <c r="H43" s="147"/>
      <c r="I43" s="147"/>
      <c r="J43" s="147"/>
      <c r="K43" s="147"/>
      <c r="L43" s="147"/>
      <c r="M43" s="147"/>
      <c r="N43" s="147"/>
      <c r="O43" s="147"/>
      <c r="P43" s="147"/>
      <c r="Q43" s="147"/>
      <c r="R43" s="147"/>
      <c r="S43" s="147"/>
      <c r="T43" s="147"/>
      <c r="U43" s="147"/>
    </row>
    <row r="44" spans="1:21">
      <c r="A44" s="147"/>
      <c r="B44" s="147"/>
      <c r="C44" s="4670" t="s">
        <v>6622</v>
      </c>
      <c r="D44" s="147"/>
      <c r="E44" s="147"/>
      <c r="F44" s="147"/>
      <c r="G44" s="147"/>
      <c r="H44" s="147"/>
      <c r="I44" s="147"/>
      <c r="J44" s="147"/>
      <c r="K44" s="147"/>
      <c r="L44" s="147"/>
      <c r="M44" s="147"/>
      <c r="N44" s="147"/>
      <c r="O44" s="147"/>
      <c r="P44" s="147"/>
      <c r="Q44" s="147"/>
      <c r="R44" s="147"/>
      <c r="S44" s="147"/>
      <c r="T44" s="147"/>
      <c r="U44" s="147"/>
    </row>
    <row r="45" spans="1:21">
      <c r="A45" s="147"/>
      <c r="B45" s="147"/>
      <c r="C45" s="4671" t="s">
        <v>6623</v>
      </c>
      <c r="D45" s="147"/>
      <c r="E45" s="147"/>
      <c r="F45" s="147"/>
      <c r="G45" s="147"/>
      <c r="H45" s="147"/>
      <c r="I45" s="147"/>
      <c r="J45" s="147"/>
      <c r="K45" s="147"/>
      <c r="L45" s="147"/>
      <c r="M45" s="147"/>
      <c r="N45" s="147"/>
      <c r="O45" s="147"/>
      <c r="P45" s="147"/>
      <c r="Q45" s="147"/>
      <c r="R45" s="147"/>
      <c r="S45" s="147"/>
      <c r="T45" s="147"/>
      <c r="U45" s="147"/>
    </row>
    <row r="46" spans="1:21">
      <c r="A46" s="147"/>
      <c r="B46" s="147"/>
      <c r="C46" s="326" t="s">
        <v>6624</v>
      </c>
      <c r="D46" s="147"/>
      <c r="E46" s="147"/>
      <c r="F46" s="147"/>
      <c r="G46" s="147"/>
      <c r="H46" s="147"/>
      <c r="I46" s="147"/>
      <c r="J46" s="147"/>
      <c r="K46" s="147"/>
      <c r="L46" s="147"/>
      <c r="M46" s="147"/>
      <c r="N46" s="147"/>
      <c r="O46" s="147"/>
      <c r="P46" s="147"/>
      <c r="Q46" s="147"/>
      <c r="R46" s="147"/>
      <c r="S46" s="147"/>
      <c r="T46" s="147"/>
      <c r="U46" s="147"/>
    </row>
    <row r="47" spans="1:21">
      <c r="A47" s="147"/>
      <c r="B47" s="147"/>
      <c r="C47" s="147"/>
      <c r="D47" s="147"/>
      <c r="E47" s="147"/>
      <c r="F47" s="147"/>
      <c r="G47" s="147"/>
      <c r="H47" s="147"/>
      <c r="I47" s="147"/>
      <c r="J47" s="147"/>
      <c r="K47" s="147"/>
      <c r="L47" s="147"/>
      <c r="M47" s="147"/>
      <c r="N47" s="147"/>
      <c r="O47" s="147"/>
      <c r="P47" s="147"/>
      <c r="Q47" s="147"/>
      <c r="R47" s="147"/>
      <c r="S47" s="147"/>
      <c r="T47" s="147"/>
      <c r="U47" s="147"/>
    </row>
    <row r="48" spans="1:21" ht="18">
      <c r="A48" s="147"/>
      <c r="B48" s="147"/>
      <c r="C48" s="155" t="s">
        <v>6625</v>
      </c>
      <c r="D48" s="147"/>
      <c r="E48" s="147"/>
      <c r="F48" s="147"/>
      <c r="G48" s="147"/>
      <c r="H48" s="147"/>
      <c r="I48" s="147"/>
      <c r="J48" s="147"/>
      <c r="K48" s="147"/>
      <c r="L48" s="147"/>
      <c r="M48" s="147"/>
      <c r="N48" s="147"/>
      <c r="O48" s="147"/>
      <c r="P48" s="147"/>
      <c r="Q48" s="147"/>
      <c r="R48" s="147"/>
      <c r="S48" s="147"/>
      <c r="T48" s="147"/>
      <c r="U48" s="147"/>
    </row>
    <row r="49" spans="1:21">
      <c r="A49" s="147"/>
      <c r="B49" s="147"/>
      <c r="C49" s="147" t="s">
        <v>6626</v>
      </c>
      <c r="D49" s="147"/>
      <c r="E49" s="147"/>
      <c r="F49" s="147"/>
      <c r="G49" s="147"/>
      <c r="H49" s="147"/>
      <c r="I49" s="147"/>
      <c r="J49" s="147"/>
      <c r="K49" s="147"/>
      <c r="L49" s="147"/>
      <c r="M49" s="147"/>
      <c r="N49" s="147"/>
      <c r="O49" s="147"/>
      <c r="P49" s="147"/>
      <c r="Q49" s="147"/>
      <c r="R49" s="147"/>
      <c r="S49" s="147"/>
      <c r="T49" s="147"/>
      <c r="U49" s="147"/>
    </row>
    <row r="50" spans="1:21">
      <c r="A50" s="147"/>
      <c r="B50" s="147"/>
      <c r="C50" s="4669" t="s">
        <v>6627</v>
      </c>
      <c r="D50" s="147"/>
      <c r="E50" s="147"/>
      <c r="F50" s="147"/>
      <c r="G50" s="147"/>
      <c r="H50" s="147"/>
      <c r="I50" s="147"/>
      <c r="J50" s="147"/>
      <c r="K50" s="147"/>
      <c r="L50" s="147"/>
      <c r="M50" s="147"/>
      <c r="N50" s="147"/>
      <c r="O50" s="147"/>
      <c r="P50" s="147"/>
      <c r="Q50" s="147"/>
      <c r="R50" s="147"/>
      <c r="S50" s="147"/>
      <c r="T50" s="147"/>
      <c r="U50" s="147"/>
    </row>
    <row r="51" spans="1:21">
      <c r="A51" s="147"/>
      <c r="B51" s="147"/>
      <c r="C51" s="147"/>
      <c r="D51" s="147"/>
      <c r="E51" s="147"/>
      <c r="F51" s="147"/>
      <c r="G51" s="147"/>
      <c r="H51" s="147"/>
      <c r="I51" s="147"/>
      <c r="J51" s="147"/>
      <c r="K51" s="147"/>
      <c r="L51" s="147"/>
      <c r="M51" s="147"/>
      <c r="N51" s="147"/>
      <c r="O51" s="147"/>
      <c r="P51" s="147"/>
      <c r="Q51" s="147"/>
      <c r="R51" s="147"/>
      <c r="S51" s="147"/>
      <c r="T51" s="147"/>
      <c r="U51" s="147"/>
    </row>
    <row r="52" spans="1:21">
      <c r="A52" s="147"/>
      <c r="B52" s="147"/>
      <c r="C52" s="147" t="s">
        <v>6628</v>
      </c>
      <c r="D52" s="147"/>
      <c r="E52" s="147"/>
      <c r="F52" s="147"/>
      <c r="G52" s="147"/>
      <c r="H52" s="147"/>
      <c r="I52" s="147"/>
      <c r="J52" s="147"/>
      <c r="K52" s="147"/>
      <c r="L52" s="147"/>
      <c r="M52" s="147"/>
      <c r="N52" s="147"/>
      <c r="O52" s="147"/>
      <c r="P52" s="147"/>
      <c r="Q52" s="147"/>
      <c r="R52" s="147"/>
      <c r="S52" s="147"/>
      <c r="T52" s="147"/>
      <c r="U52" s="147"/>
    </row>
    <row r="53" spans="1:21">
      <c r="A53" s="147"/>
      <c r="B53" s="147"/>
      <c r="C53" s="147"/>
      <c r="D53" s="147"/>
      <c r="E53" s="147"/>
      <c r="F53" s="147"/>
      <c r="G53" s="147"/>
      <c r="H53" s="147"/>
      <c r="I53" s="147"/>
      <c r="J53" s="147"/>
      <c r="K53" s="147"/>
      <c r="L53" s="147"/>
      <c r="M53" s="147"/>
      <c r="N53" s="147"/>
      <c r="O53" s="147"/>
      <c r="P53" s="147"/>
      <c r="Q53" s="147"/>
      <c r="R53" s="147"/>
      <c r="S53" s="147"/>
      <c r="T53" s="147"/>
      <c r="U53" s="147"/>
    </row>
    <row r="54" spans="1:21">
      <c r="A54" s="147"/>
      <c r="B54" s="147"/>
      <c r="C54" s="147" t="s">
        <v>6629</v>
      </c>
      <c r="D54" s="147"/>
      <c r="E54" s="147"/>
      <c r="F54" s="147"/>
      <c r="G54" s="147"/>
      <c r="H54" s="147"/>
      <c r="I54" s="147"/>
      <c r="J54" s="147"/>
      <c r="K54" s="147"/>
      <c r="L54" s="147"/>
      <c r="M54" s="147"/>
      <c r="N54" s="147"/>
      <c r="O54" s="147"/>
      <c r="P54" s="147"/>
      <c r="Q54" s="147"/>
      <c r="R54" s="147"/>
      <c r="S54" s="147"/>
      <c r="T54" s="147"/>
      <c r="U54" s="147"/>
    </row>
    <row r="55" spans="1:21">
      <c r="A55" s="147"/>
      <c r="B55" s="147"/>
      <c r="C55" s="147"/>
      <c r="D55" s="147"/>
      <c r="E55" s="147"/>
      <c r="F55" s="147"/>
      <c r="G55" s="147"/>
      <c r="H55" s="147"/>
      <c r="I55" s="147"/>
      <c r="J55" s="147"/>
      <c r="K55" s="147"/>
      <c r="L55" s="147"/>
      <c r="M55" s="147"/>
      <c r="N55" s="147"/>
      <c r="O55" s="147"/>
      <c r="P55" s="147"/>
      <c r="Q55" s="147"/>
      <c r="R55" s="147"/>
      <c r="S55" s="147"/>
      <c r="T55" s="147"/>
      <c r="U55" s="147"/>
    </row>
    <row r="56" spans="1:21">
      <c r="A56" s="147"/>
      <c r="B56" s="147"/>
      <c r="C56" s="147"/>
      <c r="D56" s="147"/>
      <c r="E56" s="147"/>
      <c r="F56" s="147"/>
      <c r="G56" s="147"/>
      <c r="H56" s="147"/>
      <c r="I56" s="147"/>
      <c r="J56" s="147"/>
      <c r="K56" s="147"/>
      <c r="L56" s="147"/>
      <c r="M56" s="147"/>
      <c r="N56" s="147"/>
      <c r="O56" s="147"/>
      <c r="P56" s="147"/>
      <c r="Q56" s="147"/>
      <c r="R56" s="147"/>
      <c r="S56" s="147"/>
      <c r="T56" s="147"/>
      <c r="U56" s="147"/>
    </row>
    <row r="57" spans="1:21" ht="18.75">
      <c r="A57" s="147"/>
      <c r="B57" s="147"/>
      <c r="C57" s="4672" t="s">
        <v>6630</v>
      </c>
      <c r="D57" s="278"/>
      <c r="E57" s="147"/>
      <c r="F57" s="147"/>
      <c r="G57" s="147"/>
      <c r="H57" s="147"/>
      <c r="I57" s="147"/>
      <c r="J57" s="147"/>
      <c r="K57" s="147"/>
      <c r="L57" s="147"/>
      <c r="M57" s="147"/>
      <c r="N57" s="147"/>
      <c r="O57" s="147"/>
      <c r="P57" s="147"/>
      <c r="Q57" s="147"/>
      <c r="R57" s="147"/>
      <c r="S57" s="147"/>
      <c r="T57" s="147"/>
      <c r="U57" s="147"/>
    </row>
    <row r="58" spans="1:21" ht="15.75">
      <c r="A58" s="147"/>
      <c r="B58" s="147"/>
      <c r="C58" s="4673"/>
      <c r="D58" s="278"/>
      <c r="E58" s="147"/>
      <c r="F58" s="147"/>
      <c r="G58" s="147"/>
      <c r="H58" s="147"/>
      <c r="I58" s="147"/>
      <c r="J58" s="147"/>
      <c r="K58" s="147"/>
      <c r="L58" s="147"/>
      <c r="M58" s="147"/>
      <c r="N58" s="147"/>
      <c r="O58" s="147"/>
      <c r="P58" s="147"/>
      <c r="Q58" s="147"/>
      <c r="R58" s="147"/>
      <c r="S58" s="147"/>
      <c r="T58" s="147"/>
      <c r="U58" s="147"/>
    </row>
    <row r="59" spans="1:21" ht="18.75">
      <c r="A59" s="147"/>
      <c r="B59" s="147"/>
      <c r="C59" s="450" t="s">
        <v>6631</v>
      </c>
      <c r="D59" s="278"/>
      <c r="E59" s="147"/>
      <c r="F59" s="147"/>
      <c r="G59" s="147"/>
      <c r="H59" s="147"/>
      <c r="I59" s="147"/>
      <c r="J59" s="147"/>
      <c r="K59" s="147"/>
      <c r="L59" s="147"/>
      <c r="M59" s="147"/>
      <c r="N59" s="147"/>
      <c r="O59" s="147"/>
      <c r="P59" s="147"/>
      <c r="Q59" s="147"/>
      <c r="R59" s="147"/>
      <c r="S59" s="147"/>
      <c r="T59" s="147"/>
      <c r="U59" s="147"/>
    </row>
    <row r="60" spans="1:21" ht="18.75">
      <c r="A60" s="147"/>
      <c r="B60" s="147"/>
      <c r="C60" s="450"/>
      <c r="D60" s="278"/>
      <c r="E60" s="147"/>
      <c r="F60" s="147"/>
      <c r="G60" s="147"/>
      <c r="H60" s="147"/>
      <c r="I60" s="147"/>
      <c r="J60" s="147"/>
      <c r="K60" s="147"/>
      <c r="L60" s="147"/>
      <c r="M60" s="147"/>
      <c r="N60" s="147"/>
      <c r="O60" s="147"/>
      <c r="P60" s="147"/>
      <c r="Q60" s="147"/>
      <c r="R60" s="147"/>
      <c r="S60" s="147"/>
      <c r="T60" s="147"/>
      <c r="U60" s="147"/>
    </row>
    <row r="61" spans="1:21" ht="15.75">
      <c r="A61" s="147"/>
      <c r="B61" s="147"/>
      <c r="C61" s="4674" t="s">
        <v>6632</v>
      </c>
      <c r="D61" s="278"/>
      <c r="E61" s="147"/>
      <c r="F61" s="147"/>
      <c r="G61" s="147"/>
      <c r="H61" s="147"/>
      <c r="I61" s="147"/>
      <c r="J61" s="147"/>
      <c r="K61" s="147"/>
      <c r="L61" s="147"/>
      <c r="M61" s="147"/>
      <c r="N61" s="147"/>
      <c r="O61" s="147"/>
      <c r="P61" s="147"/>
      <c r="Q61" s="147"/>
      <c r="R61" s="147"/>
      <c r="S61" s="147"/>
      <c r="T61" s="147"/>
      <c r="U61" s="147"/>
    </row>
    <row r="62" spans="1:21">
      <c r="A62" s="147"/>
      <c r="B62" s="147"/>
      <c r="C62" s="147"/>
      <c r="D62" s="278"/>
      <c r="E62" s="147"/>
      <c r="F62" s="147"/>
      <c r="G62" s="147"/>
      <c r="H62" s="147"/>
      <c r="I62" s="147"/>
      <c r="J62" s="147"/>
      <c r="K62" s="147"/>
      <c r="L62" s="147"/>
      <c r="M62" s="147"/>
      <c r="N62" s="147"/>
      <c r="O62" s="147"/>
      <c r="P62" s="147"/>
      <c r="Q62" s="147"/>
      <c r="R62" s="147"/>
      <c r="S62" s="147"/>
      <c r="T62" s="147"/>
      <c r="U62" s="147"/>
    </row>
    <row r="63" spans="1:21" ht="15.75">
      <c r="A63" s="331" t="s">
        <v>6633</v>
      </c>
      <c r="B63" s="147"/>
      <c r="C63" s="4673" t="s">
        <v>6604</v>
      </c>
      <c r="D63" s="278"/>
      <c r="E63" s="147"/>
      <c r="F63" s="147"/>
      <c r="G63" s="147"/>
      <c r="H63" s="147"/>
      <c r="I63" s="147"/>
      <c r="J63" s="147"/>
      <c r="K63" s="147"/>
      <c r="L63" s="147"/>
      <c r="M63" s="147"/>
      <c r="N63" s="147"/>
      <c r="O63" s="147"/>
      <c r="P63" s="147"/>
      <c r="Q63" s="147"/>
      <c r="R63" s="147"/>
      <c r="S63" s="147"/>
      <c r="T63" s="147"/>
      <c r="U63" s="147"/>
    </row>
    <row r="64" spans="1:21" ht="15.75">
      <c r="A64" s="4675">
        <f>LEN(C64)</f>
        <v>877</v>
      </c>
      <c r="B64" s="331"/>
      <c r="C64" s="4667" t="s">
        <v>6634</v>
      </c>
      <c r="D64" s="147"/>
      <c r="E64" s="147"/>
      <c r="F64" s="147"/>
      <c r="G64" s="147"/>
      <c r="H64" s="147"/>
      <c r="I64" s="147"/>
      <c r="J64" s="147"/>
      <c r="K64" s="147"/>
      <c r="L64" s="147"/>
      <c r="M64" s="147"/>
      <c r="N64" s="147"/>
      <c r="O64" s="147"/>
      <c r="P64" s="147"/>
      <c r="Q64" s="147"/>
      <c r="R64" s="147"/>
      <c r="S64" s="147"/>
      <c r="T64" s="147"/>
      <c r="U64" s="147"/>
    </row>
    <row r="65" spans="1:21" ht="15.75">
      <c r="A65" s="147"/>
      <c r="B65" s="147"/>
      <c r="C65" s="4667"/>
      <c r="D65" s="147"/>
      <c r="E65" s="147"/>
      <c r="F65" s="147"/>
      <c r="G65" s="147"/>
      <c r="H65" s="147"/>
      <c r="I65" s="147"/>
      <c r="J65" s="147"/>
      <c r="K65" s="147"/>
      <c r="L65" s="147"/>
      <c r="M65" s="147"/>
      <c r="N65" s="147"/>
      <c r="O65" s="147"/>
      <c r="P65" s="147"/>
      <c r="Q65" s="147"/>
      <c r="R65" s="147"/>
      <c r="S65" s="147"/>
      <c r="T65" s="147"/>
      <c r="U65" s="147"/>
    </row>
    <row r="66" spans="1:21">
      <c r="A66" s="147"/>
      <c r="B66" s="147"/>
      <c r="C66" s="4669" t="s">
        <v>6635</v>
      </c>
      <c r="D66" s="147"/>
      <c r="E66" s="147"/>
      <c r="F66" s="147"/>
      <c r="G66" s="147"/>
      <c r="H66" s="147"/>
      <c r="I66" s="147"/>
      <c r="J66" s="147"/>
      <c r="K66" s="147"/>
      <c r="L66" s="147"/>
      <c r="M66" s="147"/>
      <c r="N66" s="147"/>
      <c r="O66" s="147"/>
      <c r="P66" s="147"/>
      <c r="Q66" s="147"/>
      <c r="R66" s="147"/>
      <c r="S66" s="147"/>
      <c r="T66" s="147"/>
      <c r="U66" s="147"/>
    </row>
    <row r="67" spans="1:21">
      <c r="A67" s="147"/>
      <c r="B67" s="147"/>
      <c r="C67" s="147"/>
      <c r="D67" s="147"/>
      <c r="E67" s="147"/>
      <c r="F67" s="147"/>
      <c r="G67" s="147"/>
      <c r="H67" s="147"/>
      <c r="I67" s="147"/>
      <c r="J67" s="147"/>
      <c r="K67" s="147"/>
      <c r="L67" s="147"/>
      <c r="M67" s="147"/>
      <c r="N67" s="147"/>
      <c r="O67" s="147"/>
      <c r="P67" s="147"/>
      <c r="Q67" s="147"/>
      <c r="R67" s="147"/>
      <c r="S67" s="147"/>
      <c r="T67" s="147"/>
      <c r="U67" s="147"/>
    </row>
    <row r="68" spans="1:21" ht="30" customHeight="1">
      <c r="A68" s="147"/>
      <c r="B68" s="147"/>
      <c r="C68" s="4673" t="s">
        <v>613</v>
      </c>
      <c r="D68" s="147"/>
      <c r="E68" s="147"/>
      <c r="F68" s="147"/>
      <c r="G68" s="147"/>
      <c r="H68" s="147"/>
      <c r="I68" s="147"/>
      <c r="J68" s="147"/>
      <c r="K68" s="147"/>
      <c r="L68" s="147"/>
      <c r="M68" s="147"/>
      <c r="N68" s="147"/>
      <c r="O68" s="147"/>
      <c r="P68" s="147"/>
      <c r="Q68" s="147"/>
      <c r="R68" s="147"/>
      <c r="S68" s="147"/>
      <c r="T68" s="147"/>
      <c r="U68" s="147"/>
    </row>
    <row r="69" spans="1:21">
      <c r="A69" s="326"/>
      <c r="B69" s="147"/>
      <c r="C69" s="147"/>
      <c r="D69" s="147"/>
      <c r="E69" s="147"/>
      <c r="F69" s="147"/>
      <c r="G69" s="147"/>
      <c r="H69" s="147"/>
      <c r="I69" s="147"/>
      <c r="J69" s="147"/>
      <c r="K69" s="147"/>
      <c r="L69" s="147"/>
      <c r="M69" s="147"/>
      <c r="N69" s="147"/>
      <c r="O69" s="147"/>
      <c r="P69" s="147"/>
      <c r="Q69" s="147"/>
      <c r="R69" s="147"/>
      <c r="S69" s="147"/>
      <c r="T69" s="147"/>
      <c r="U69" s="147"/>
    </row>
    <row r="70" spans="1:21">
      <c r="A70" s="331">
        <f>LEN(C70)</f>
        <v>64</v>
      </c>
      <c r="B70" s="331"/>
      <c r="C70" s="147" t="s">
        <v>6636</v>
      </c>
      <c r="D70" s="147"/>
      <c r="E70" s="147"/>
      <c r="F70" s="147"/>
      <c r="G70" s="147"/>
      <c r="H70" s="147"/>
      <c r="I70" s="147"/>
      <c r="J70" s="147"/>
      <c r="K70" s="147"/>
      <c r="L70" s="147"/>
      <c r="M70" s="147"/>
      <c r="N70" s="147"/>
      <c r="O70" s="147"/>
      <c r="P70" s="147"/>
      <c r="Q70" s="147"/>
      <c r="R70" s="147"/>
      <c r="S70" s="147"/>
      <c r="T70" s="147"/>
      <c r="U70" s="147"/>
    </row>
    <row r="71" spans="1:21">
      <c r="A71" s="331">
        <f>LEN(C71)</f>
        <v>70</v>
      </c>
      <c r="B71" s="331"/>
      <c r="C71" s="147" t="s">
        <v>6637</v>
      </c>
      <c r="D71" s="147"/>
      <c r="E71" s="147"/>
      <c r="F71" s="147"/>
      <c r="G71" s="147"/>
      <c r="H71" s="147"/>
      <c r="I71" s="147"/>
      <c r="J71" s="147"/>
      <c r="K71" s="147"/>
      <c r="L71" s="147"/>
      <c r="M71" s="147"/>
      <c r="N71" s="147"/>
      <c r="O71" s="147"/>
      <c r="P71" s="147"/>
      <c r="Q71" s="147"/>
      <c r="R71" s="147"/>
      <c r="S71" s="147"/>
      <c r="T71" s="147"/>
      <c r="U71" s="147"/>
    </row>
    <row r="72" spans="1:21">
      <c r="A72" s="147"/>
      <c r="B72" s="147"/>
      <c r="C72" s="147"/>
      <c r="D72" s="147"/>
      <c r="E72" s="147"/>
      <c r="F72" s="147"/>
      <c r="G72" s="147"/>
      <c r="H72" s="147"/>
      <c r="I72" s="147"/>
      <c r="J72" s="147"/>
      <c r="K72" s="147"/>
      <c r="L72" s="147"/>
      <c r="M72" s="147"/>
      <c r="N72" s="147"/>
      <c r="O72" s="147"/>
      <c r="P72" s="147"/>
      <c r="Q72" s="147"/>
      <c r="R72" s="147"/>
      <c r="S72" s="147"/>
      <c r="T72" s="147"/>
      <c r="U72" s="147"/>
    </row>
    <row r="73" spans="1:21">
      <c r="A73" s="331">
        <f>LEN(C73)</f>
        <v>65</v>
      </c>
      <c r="B73" s="331"/>
      <c r="C73" s="147" t="s">
        <v>6638</v>
      </c>
      <c r="D73" s="147"/>
      <c r="E73" s="147"/>
      <c r="F73" s="147"/>
      <c r="G73" s="147"/>
      <c r="H73" s="147"/>
      <c r="I73" s="147"/>
      <c r="J73" s="147"/>
      <c r="K73" s="147"/>
      <c r="L73" s="147"/>
      <c r="M73" s="147"/>
      <c r="N73" s="147"/>
      <c r="O73" s="147"/>
      <c r="P73" s="147"/>
      <c r="Q73" s="147"/>
      <c r="R73" s="147"/>
      <c r="S73" s="147"/>
      <c r="T73" s="147"/>
      <c r="U73" s="147"/>
    </row>
    <row r="74" spans="1:21">
      <c r="A74" s="331">
        <f>LEN(C74)</f>
        <v>67</v>
      </c>
      <c r="B74" s="331"/>
      <c r="C74" s="147" t="s">
        <v>6639</v>
      </c>
      <c r="D74" s="147"/>
      <c r="E74" s="147"/>
      <c r="F74" s="147"/>
      <c r="G74" s="147"/>
      <c r="H74" s="147"/>
      <c r="I74" s="147"/>
      <c r="J74" s="147"/>
      <c r="K74" s="147"/>
      <c r="L74" s="147"/>
      <c r="M74" s="147"/>
      <c r="N74" s="147"/>
      <c r="O74" s="147"/>
      <c r="P74" s="147"/>
      <c r="Q74" s="147"/>
      <c r="R74" s="147"/>
      <c r="S74" s="147"/>
      <c r="T74" s="147"/>
      <c r="U74" s="147"/>
    </row>
    <row r="75" spans="1:21">
      <c r="A75" s="331">
        <f>LEN(C75)</f>
        <v>33</v>
      </c>
      <c r="B75" s="331"/>
      <c r="C75" s="147" t="s">
        <v>6640</v>
      </c>
      <c r="D75" s="147"/>
      <c r="E75" s="147"/>
      <c r="F75" s="147"/>
      <c r="G75" s="147"/>
      <c r="H75" s="147"/>
      <c r="I75" s="147"/>
      <c r="J75" s="147"/>
      <c r="K75" s="147"/>
      <c r="L75" s="147"/>
      <c r="M75" s="147"/>
      <c r="N75" s="147"/>
      <c r="O75" s="147"/>
      <c r="P75" s="147"/>
      <c r="Q75" s="147"/>
      <c r="R75" s="147"/>
      <c r="S75" s="147"/>
      <c r="T75" s="147"/>
      <c r="U75" s="147"/>
    </row>
    <row r="76" spans="1:21">
      <c r="A76" s="147"/>
      <c r="B76" s="147"/>
      <c r="C76" s="147"/>
      <c r="D76" s="147"/>
      <c r="E76" s="147"/>
      <c r="F76" s="147"/>
      <c r="G76" s="147"/>
      <c r="H76" s="147"/>
      <c r="I76" s="147"/>
      <c r="J76" s="147"/>
      <c r="K76" s="147"/>
      <c r="L76" s="147"/>
      <c r="M76" s="147"/>
      <c r="N76" s="147"/>
      <c r="O76" s="147"/>
      <c r="P76" s="147"/>
      <c r="Q76" s="147"/>
      <c r="R76" s="147"/>
      <c r="S76" s="147"/>
      <c r="T76" s="147"/>
      <c r="U76" s="147"/>
    </row>
    <row r="77" spans="1:21">
      <c r="A77" s="331">
        <f>LEN(C77)</f>
        <v>64</v>
      </c>
      <c r="B77" s="331"/>
      <c r="C77" s="147" t="s">
        <v>6641</v>
      </c>
      <c r="D77" s="147"/>
      <c r="E77" s="147"/>
      <c r="F77" s="147"/>
      <c r="G77" s="147"/>
      <c r="H77" s="147"/>
      <c r="I77" s="147"/>
      <c r="J77" s="147"/>
      <c r="K77" s="147"/>
      <c r="L77" s="147"/>
      <c r="M77" s="147"/>
      <c r="N77" s="147"/>
      <c r="O77" s="147"/>
      <c r="P77" s="147"/>
      <c r="Q77" s="147"/>
      <c r="R77" s="147"/>
      <c r="S77" s="147"/>
      <c r="T77" s="147"/>
      <c r="U77" s="147"/>
    </row>
    <row r="78" spans="1:21">
      <c r="A78" s="331">
        <f>LEN(C78)</f>
        <v>56</v>
      </c>
      <c r="B78" s="331"/>
      <c r="C78" s="147" t="s">
        <v>6642</v>
      </c>
      <c r="D78" s="147"/>
      <c r="E78" s="147"/>
      <c r="F78" s="147"/>
      <c r="G78" s="147"/>
      <c r="H78" s="147"/>
      <c r="I78" s="147"/>
      <c r="J78" s="147"/>
      <c r="K78" s="147"/>
      <c r="L78" s="147"/>
      <c r="M78" s="147"/>
      <c r="N78" s="147"/>
      <c r="O78" s="147"/>
      <c r="P78" s="147"/>
      <c r="Q78" s="147"/>
      <c r="R78" s="147"/>
      <c r="S78" s="147"/>
      <c r="T78" s="147"/>
      <c r="U78" s="147"/>
    </row>
    <row r="79" spans="1:21">
      <c r="A79" s="147"/>
      <c r="B79" s="147"/>
      <c r="C79" s="147"/>
      <c r="D79" s="147"/>
      <c r="E79" s="147"/>
      <c r="F79" s="147"/>
      <c r="G79" s="147"/>
      <c r="H79" s="147"/>
      <c r="I79" s="147"/>
      <c r="J79" s="147"/>
      <c r="K79" s="147"/>
      <c r="L79" s="147"/>
      <c r="M79" s="147"/>
      <c r="N79" s="147"/>
      <c r="O79" s="147"/>
      <c r="P79" s="147"/>
      <c r="Q79" s="147"/>
      <c r="R79" s="147"/>
      <c r="S79" s="147"/>
      <c r="T79" s="147"/>
      <c r="U79" s="147"/>
    </row>
    <row r="80" spans="1:21">
      <c r="A80" s="331">
        <f>LEN(C80)</f>
        <v>61</v>
      </c>
      <c r="B80" s="331"/>
      <c r="C80" s="147" t="s">
        <v>6643</v>
      </c>
      <c r="D80" s="147"/>
      <c r="E80" s="147"/>
      <c r="F80" s="147"/>
      <c r="G80" s="147"/>
      <c r="H80" s="147"/>
      <c r="I80" s="147"/>
      <c r="J80" s="147"/>
      <c r="K80" s="147"/>
      <c r="L80" s="147"/>
      <c r="M80" s="147"/>
      <c r="N80" s="147"/>
      <c r="O80" s="147"/>
      <c r="P80" s="147"/>
      <c r="Q80" s="147"/>
      <c r="R80" s="147"/>
      <c r="S80" s="147"/>
      <c r="T80" s="147"/>
      <c r="U80" s="147"/>
    </row>
    <row r="81" spans="1:21">
      <c r="A81" s="331">
        <f>LEN(C81)</f>
        <v>62</v>
      </c>
      <c r="B81" s="331"/>
      <c r="C81" s="147" t="s">
        <v>6644</v>
      </c>
      <c r="D81" s="147"/>
      <c r="E81" s="147"/>
      <c r="F81" s="147"/>
      <c r="G81" s="147"/>
      <c r="H81" s="147"/>
      <c r="I81" s="147"/>
      <c r="J81" s="147"/>
      <c r="K81" s="147"/>
      <c r="L81" s="147"/>
      <c r="M81" s="147"/>
      <c r="N81" s="147"/>
      <c r="O81" s="147"/>
      <c r="P81" s="147"/>
      <c r="Q81" s="147"/>
      <c r="R81" s="147"/>
      <c r="S81" s="147"/>
      <c r="T81" s="147"/>
      <c r="U81" s="147"/>
    </row>
    <row r="82" spans="1:21">
      <c r="A82" s="331">
        <f>LEN(C82)</f>
        <v>29</v>
      </c>
      <c r="B82" s="331"/>
      <c r="C82" s="147" t="s">
        <v>6645</v>
      </c>
      <c r="D82" s="147"/>
      <c r="E82" s="147"/>
      <c r="F82" s="147"/>
      <c r="G82" s="147"/>
      <c r="H82" s="147"/>
      <c r="I82" s="147"/>
      <c r="J82" s="147"/>
      <c r="K82" s="147"/>
      <c r="L82" s="147"/>
      <c r="M82" s="147"/>
      <c r="N82" s="147"/>
      <c r="O82" s="147"/>
      <c r="P82" s="147"/>
      <c r="Q82" s="147"/>
      <c r="R82" s="147"/>
      <c r="S82" s="147"/>
      <c r="T82" s="147"/>
      <c r="U82" s="147"/>
    </row>
    <row r="83" spans="1:21">
      <c r="A83" s="147"/>
      <c r="B83" s="147"/>
      <c r="C83" s="147"/>
      <c r="D83" s="147"/>
      <c r="E83" s="147"/>
      <c r="F83" s="147"/>
      <c r="G83" s="147"/>
      <c r="H83" s="147"/>
      <c r="I83" s="147"/>
      <c r="J83" s="147"/>
      <c r="K83" s="147"/>
      <c r="L83" s="147"/>
      <c r="M83" s="147"/>
      <c r="N83" s="147"/>
      <c r="O83" s="147"/>
      <c r="P83" s="147"/>
      <c r="Q83" s="147"/>
      <c r="R83" s="147"/>
      <c r="S83" s="147"/>
      <c r="T83" s="147"/>
      <c r="U83" s="147"/>
    </row>
    <row r="84" spans="1:21">
      <c r="A84" s="331">
        <f>LEN(C84)</f>
        <v>65</v>
      </c>
      <c r="B84" s="331"/>
      <c r="C84" s="147" t="s">
        <v>6646</v>
      </c>
      <c r="D84" s="147"/>
      <c r="E84" s="147"/>
      <c r="F84" s="147"/>
      <c r="G84" s="147"/>
      <c r="H84" s="147"/>
      <c r="I84" s="147"/>
      <c r="J84" s="147"/>
      <c r="K84" s="147"/>
      <c r="L84" s="147"/>
      <c r="M84" s="147"/>
      <c r="N84" s="147"/>
      <c r="O84" s="147"/>
      <c r="P84" s="147"/>
      <c r="Q84" s="147"/>
      <c r="R84" s="147"/>
      <c r="S84" s="147"/>
      <c r="T84" s="147"/>
      <c r="U84" s="147"/>
    </row>
    <row r="85" spans="1:21">
      <c r="A85" s="331">
        <f>LEN(C85)</f>
        <v>9</v>
      </c>
      <c r="B85" s="331"/>
      <c r="C85" s="147" t="s">
        <v>6647</v>
      </c>
      <c r="D85" s="147"/>
      <c r="E85" s="147"/>
      <c r="F85" s="147"/>
      <c r="G85" s="147"/>
      <c r="H85" s="147"/>
      <c r="I85" s="147"/>
      <c r="J85" s="147"/>
      <c r="K85" s="147"/>
      <c r="L85" s="147"/>
      <c r="M85" s="147"/>
      <c r="N85" s="147"/>
      <c r="O85" s="147"/>
      <c r="P85" s="147"/>
      <c r="Q85" s="147"/>
      <c r="R85" s="147"/>
      <c r="S85" s="147"/>
      <c r="T85" s="147"/>
      <c r="U85" s="147"/>
    </row>
    <row r="86" spans="1:21">
      <c r="A86" s="147"/>
      <c r="B86" s="147"/>
      <c r="C86" s="147"/>
      <c r="D86" s="147"/>
      <c r="E86" s="147"/>
      <c r="F86" s="147"/>
      <c r="G86" s="147"/>
      <c r="H86" s="147"/>
      <c r="I86" s="147"/>
      <c r="J86" s="147"/>
      <c r="K86" s="147"/>
      <c r="L86" s="147"/>
      <c r="M86" s="147"/>
      <c r="N86" s="147"/>
      <c r="O86" s="147"/>
      <c r="P86" s="147"/>
      <c r="Q86" s="147"/>
      <c r="R86" s="147"/>
      <c r="S86" s="147"/>
      <c r="T86" s="147"/>
      <c r="U86" s="147"/>
    </row>
    <row r="87" spans="1:21">
      <c r="A87" s="331">
        <f>LEN(C87)</f>
        <v>8</v>
      </c>
      <c r="B87" s="331"/>
      <c r="C87" s="4669" t="s">
        <v>1211</v>
      </c>
      <c r="D87" s="147"/>
      <c r="E87" s="147"/>
      <c r="F87" s="147"/>
      <c r="G87" s="147"/>
      <c r="H87" s="147"/>
      <c r="I87" s="147"/>
      <c r="J87" s="147"/>
      <c r="K87" s="147"/>
      <c r="L87" s="147"/>
      <c r="M87" s="147"/>
      <c r="N87" s="147"/>
      <c r="O87" s="147"/>
      <c r="P87" s="147"/>
      <c r="Q87" s="147"/>
      <c r="R87" s="147"/>
      <c r="S87" s="147"/>
      <c r="T87" s="147"/>
      <c r="U87" s="147"/>
    </row>
    <row r="88" spans="1:21">
      <c r="A88" s="331">
        <f>LEN(C88)</f>
        <v>67</v>
      </c>
      <c r="B88" s="331"/>
      <c r="C88" s="147" t="s">
        <v>6648</v>
      </c>
      <c r="D88" s="147"/>
      <c r="E88" s="147"/>
      <c r="F88" s="147"/>
      <c r="G88" s="147"/>
      <c r="H88" s="147"/>
      <c r="I88" s="147"/>
      <c r="J88" s="147"/>
      <c r="K88" s="147"/>
      <c r="L88" s="147"/>
      <c r="M88" s="147"/>
      <c r="N88" s="147"/>
      <c r="O88" s="147"/>
      <c r="P88" s="147"/>
      <c r="Q88" s="147"/>
      <c r="R88" s="147"/>
      <c r="S88" s="147"/>
      <c r="T88" s="147"/>
      <c r="U88" s="147"/>
    </row>
    <row r="89" spans="1:21">
      <c r="A89" s="331">
        <f>LEN(C89)</f>
        <v>66</v>
      </c>
      <c r="B89" s="331"/>
      <c r="C89" s="147" t="s">
        <v>6649</v>
      </c>
      <c r="D89" s="147"/>
      <c r="E89" s="147"/>
      <c r="F89" s="147"/>
      <c r="G89" s="147"/>
      <c r="H89" s="147"/>
      <c r="I89" s="147"/>
      <c r="J89" s="147"/>
      <c r="K89" s="147"/>
      <c r="L89" s="147"/>
      <c r="M89" s="147"/>
      <c r="N89" s="147"/>
      <c r="O89" s="147"/>
      <c r="P89" s="147"/>
      <c r="Q89" s="147"/>
      <c r="R89" s="147"/>
      <c r="S89" s="147"/>
      <c r="T89" s="147"/>
      <c r="U89" s="147"/>
    </row>
    <row r="90" spans="1:21">
      <c r="A90" s="147"/>
      <c r="B90" s="147"/>
      <c r="C90" s="147"/>
      <c r="D90" s="147"/>
      <c r="E90" s="147"/>
      <c r="F90" s="147"/>
      <c r="G90" s="147"/>
      <c r="H90" s="147"/>
      <c r="I90" s="147"/>
      <c r="J90" s="147"/>
      <c r="K90" s="147"/>
      <c r="L90" s="147"/>
      <c r="M90" s="147"/>
      <c r="N90" s="147"/>
      <c r="O90" s="147"/>
      <c r="P90" s="147"/>
      <c r="Q90" s="147"/>
      <c r="R90" s="147"/>
      <c r="S90" s="147"/>
      <c r="T90" s="147"/>
      <c r="U90" s="147"/>
    </row>
    <row r="91" spans="1:21">
      <c r="A91" s="147"/>
      <c r="B91" s="147"/>
      <c r="C91" s="147"/>
      <c r="D91" s="147"/>
      <c r="E91" s="147"/>
      <c r="F91" s="147"/>
      <c r="G91" s="147"/>
      <c r="H91" s="147"/>
      <c r="I91" s="147"/>
      <c r="J91" s="147"/>
      <c r="K91" s="147"/>
      <c r="L91" s="147"/>
      <c r="M91" s="147"/>
      <c r="N91" s="147"/>
      <c r="O91" s="147"/>
      <c r="P91" s="147"/>
      <c r="Q91" s="147"/>
      <c r="R91" s="147"/>
      <c r="S91" s="147"/>
      <c r="T91" s="147"/>
      <c r="U91" s="147"/>
    </row>
    <row r="92" spans="1:21" ht="15.75">
      <c r="A92" s="147"/>
      <c r="B92" s="4676" t="s">
        <v>6650</v>
      </c>
      <c r="C92" s="1159" t="s">
        <v>6651</v>
      </c>
      <c r="D92" s="147"/>
      <c r="E92" s="147"/>
      <c r="F92" s="147"/>
      <c r="G92" s="147"/>
      <c r="H92" s="147"/>
      <c r="I92" s="147"/>
      <c r="J92" s="147"/>
      <c r="K92" s="147"/>
      <c r="L92" s="147"/>
      <c r="M92" s="147"/>
      <c r="N92" s="147"/>
      <c r="O92" s="147"/>
      <c r="P92" s="147"/>
      <c r="Q92" s="147"/>
      <c r="R92" s="147"/>
      <c r="S92" s="147"/>
      <c r="T92" s="147"/>
      <c r="U92" s="147"/>
    </row>
    <row r="93" spans="1:21">
      <c r="A93" s="147"/>
      <c r="B93" s="147"/>
      <c r="C93" s="4669" t="s">
        <v>6652</v>
      </c>
      <c r="D93" s="147"/>
      <c r="E93" s="147"/>
      <c r="F93" s="147"/>
      <c r="G93" s="147"/>
      <c r="H93" s="147"/>
      <c r="I93" s="147"/>
      <c r="J93" s="147"/>
      <c r="K93" s="147"/>
      <c r="L93" s="147"/>
      <c r="M93" s="147"/>
      <c r="N93" s="147"/>
      <c r="O93" s="147"/>
      <c r="P93" s="147"/>
      <c r="Q93" s="147"/>
      <c r="R93" s="147"/>
      <c r="S93" s="147"/>
      <c r="T93" s="147"/>
      <c r="U93" s="147"/>
    </row>
    <row r="94" spans="1:21">
      <c r="A94" s="147"/>
      <c r="B94" s="147"/>
      <c r="C94" s="1159" t="s">
        <v>6653</v>
      </c>
      <c r="D94" s="147"/>
      <c r="E94" s="147"/>
      <c r="F94" s="147"/>
      <c r="G94" s="147"/>
      <c r="H94" s="147"/>
      <c r="I94" s="147"/>
      <c r="J94" s="147"/>
      <c r="K94" s="147"/>
      <c r="L94" s="147"/>
      <c r="M94" s="147"/>
      <c r="N94" s="147"/>
      <c r="O94" s="147"/>
      <c r="P94" s="147"/>
      <c r="Q94" s="147"/>
      <c r="R94" s="147"/>
      <c r="S94" s="147"/>
      <c r="T94" s="147"/>
      <c r="U94" s="147"/>
    </row>
    <row r="95" spans="1:21">
      <c r="A95" s="147"/>
      <c r="B95" s="147"/>
      <c r="C95" s="147"/>
      <c r="D95" s="147"/>
      <c r="E95" s="147"/>
      <c r="F95" s="147"/>
      <c r="G95" s="147"/>
      <c r="H95" s="147"/>
      <c r="I95" s="147"/>
      <c r="J95" s="147"/>
      <c r="K95" s="147"/>
      <c r="L95" s="147"/>
      <c r="M95" s="147"/>
      <c r="N95" s="147"/>
      <c r="O95" s="147"/>
      <c r="P95" s="147"/>
      <c r="Q95" s="147"/>
      <c r="R95" s="147"/>
      <c r="S95" s="147"/>
      <c r="T95" s="147"/>
      <c r="U95" s="147"/>
    </row>
    <row r="96" spans="1:21" ht="15.75">
      <c r="A96" s="147"/>
      <c r="B96" s="4676" t="s">
        <v>6654</v>
      </c>
      <c r="C96" s="147" t="s">
        <v>6655</v>
      </c>
      <c r="D96" s="147"/>
      <c r="E96" s="147"/>
      <c r="F96" s="147"/>
      <c r="G96" s="147"/>
      <c r="H96" s="147"/>
      <c r="I96" s="147"/>
      <c r="J96" s="147"/>
      <c r="K96" s="147"/>
      <c r="L96" s="147"/>
      <c r="M96" s="147"/>
      <c r="N96" s="147"/>
      <c r="O96" s="147"/>
      <c r="P96" s="147"/>
      <c r="Q96" s="147"/>
      <c r="R96" s="147"/>
      <c r="S96" s="147"/>
      <c r="T96" s="147"/>
      <c r="U96" s="147"/>
    </row>
    <row r="97" spans="1:21">
      <c r="A97" s="147"/>
      <c r="B97" s="147"/>
      <c r="C97" s="147" t="s">
        <v>6656</v>
      </c>
      <c r="D97" s="147"/>
      <c r="E97" s="147"/>
      <c r="F97" s="147"/>
      <c r="G97" s="147"/>
      <c r="H97" s="147"/>
      <c r="I97" s="147"/>
      <c r="J97" s="147"/>
      <c r="K97" s="147"/>
      <c r="L97" s="147"/>
      <c r="M97" s="147"/>
      <c r="N97" s="147"/>
      <c r="O97" s="147"/>
      <c r="P97" s="147"/>
      <c r="Q97" s="147"/>
      <c r="R97" s="147"/>
      <c r="S97" s="147"/>
      <c r="T97" s="147"/>
      <c r="U97" s="147"/>
    </row>
    <row r="98" spans="1:21">
      <c r="A98" s="147"/>
      <c r="B98" s="147"/>
      <c r="C98" s="147" t="s">
        <v>6657</v>
      </c>
      <c r="D98" s="147"/>
      <c r="E98" s="147"/>
      <c r="F98" s="147"/>
      <c r="G98" s="147"/>
      <c r="H98" s="147"/>
      <c r="I98" s="147"/>
      <c r="J98" s="147"/>
      <c r="K98" s="147"/>
      <c r="L98" s="147"/>
      <c r="M98" s="147"/>
      <c r="N98" s="147"/>
      <c r="O98" s="147"/>
      <c r="P98" s="147"/>
      <c r="Q98" s="147"/>
      <c r="R98" s="147"/>
      <c r="S98" s="147"/>
      <c r="T98" s="147"/>
      <c r="U98" s="147"/>
    </row>
    <row r="99" spans="1:21">
      <c r="A99" s="147"/>
      <c r="B99" s="147"/>
      <c r="C99" s="147"/>
      <c r="D99" s="147"/>
      <c r="E99" s="147"/>
      <c r="F99" s="147"/>
      <c r="G99" s="147"/>
      <c r="H99" s="147"/>
      <c r="I99" s="147"/>
      <c r="J99" s="147"/>
      <c r="K99" s="147"/>
      <c r="L99" s="147"/>
      <c r="M99" s="147"/>
      <c r="N99" s="147"/>
      <c r="O99" s="147"/>
      <c r="P99" s="147"/>
      <c r="Q99" s="147"/>
      <c r="R99" s="147"/>
      <c r="S99" s="147"/>
      <c r="T99" s="147"/>
      <c r="U99" s="147"/>
    </row>
    <row r="100" spans="1:21">
      <c r="A100" s="147"/>
      <c r="B100" s="147"/>
      <c r="C100" s="147" t="s">
        <v>6658</v>
      </c>
      <c r="D100" s="147"/>
      <c r="E100" s="147"/>
      <c r="F100" s="147"/>
      <c r="G100" s="147"/>
      <c r="H100" s="147"/>
      <c r="I100" s="147"/>
      <c r="J100" s="147"/>
      <c r="K100" s="147"/>
      <c r="L100" s="147"/>
      <c r="M100" s="147"/>
      <c r="N100" s="147"/>
      <c r="O100" s="147"/>
      <c r="P100" s="147"/>
      <c r="Q100" s="147"/>
      <c r="R100" s="147"/>
      <c r="S100" s="147"/>
      <c r="T100" s="147"/>
      <c r="U100" s="147"/>
    </row>
    <row r="101" spans="1:21">
      <c r="A101" s="147"/>
      <c r="B101" s="147"/>
      <c r="C101" s="147" t="s">
        <v>6659</v>
      </c>
      <c r="D101" s="147"/>
      <c r="E101" s="147"/>
      <c r="F101" s="147"/>
      <c r="G101" s="147"/>
      <c r="H101" s="147"/>
      <c r="I101" s="147"/>
      <c r="J101" s="147"/>
      <c r="K101" s="147"/>
      <c r="L101" s="147"/>
      <c r="M101" s="147"/>
      <c r="N101" s="147"/>
      <c r="O101" s="147"/>
      <c r="P101" s="147"/>
      <c r="Q101" s="147"/>
      <c r="R101" s="147"/>
      <c r="S101" s="147"/>
      <c r="T101" s="147"/>
      <c r="U101" s="147"/>
    </row>
    <row r="102" spans="1:21">
      <c r="A102" s="147"/>
      <c r="B102" s="147"/>
      <c r="C102" s="147" t="s">
        <v>6660</v>
      </c>
      <c r="D102" s="147"/>
      <c r="E102" s="147"/>
      <c r="F102" s="147"/>
      <c r="G102" s="147"/>
      <c r="H102" s="147"/>
      <c r="I102" s="147"/>
      <c r="J102" s="147"/>
      <c r="K102" s="147"/>
      <c r="L102" s="147"/>
      <c r="M102" s="147"/>
      <c r="N102" s="147"/>
      <c r="O102" s="147"/>
      <c r="P102" s="147"/>
      <c r="Q102" s="147"/>
      <c r="R102" s="147"/>
      <c r="S102" s="147"/>
      <c r="T102" s="147"/>
      <c r="U102" s="147"/>
    </row>
    <row r="103" spans="1:21">
      <c r="A103" s="147"/>
      <c r="B103" s="147"/>
      <c r="C103" s="147"/>
      <c r="D103" s="147"/>
      <c r="E103" s="147"/>
      <c r="F103" s="147"/>
      <c r="G103" s="147"/>
      <c r="H103" s="147"/>
      <c r="I103" s="147"/>
      <c r="J103" s="147"/>
      <c r="K103" s="147"/>
      <c r="L103" s="147"/>
      <c r="M103" s="147"/>
      <c r="N103" s="147"/>
      <c r="O103" s="147"/>
      <c r="P103" s="147"/>
      <c r="Q103" s="147"/>
      <c r="R103" s="147"/>
      <c r="S103" s="147"/>
      <c r="T103" s="147"/>
      <c r="U103" s="147"/>
    </row>
    <row r="104" spans="1:21">
      <c r="A104" s="147"/>
      <c r="B104" s="147"/>
      <c r="C104" s="147" t="s">
        <v>6661</v>
      </c>
      <c r="D104" s="147"/>
      <c r="E104" s="147"/>
      <c r="F104" s="147"/>
      <c r="G104" s="147"/>
      <c r="H104" s="147"/>
      <c r="I104" s="147"/>
      <c r="J104" s="147"/>
      <c r="K104" s="147"/>
      <c r="L104" s="147"/>
      <c r="M104" s="147"/>
      <c r="N104" s="147"/>
      <c r="O104" s="147"/>
      <c r="P104" s="147"/>
      <c r="Q104" s="147"/>
      <c r="R104" s="147"/>
      <c r="S104" s="147"/>
      <c r="T104" s="147"/>
      <c r="U104" s="147"/>
    </row>
    <row r="105" spans="1:21">
      <c r="A105" s="147"/>
      <c r="B105" s="147"/>
      <c r="C105" s="147" t="s">
        <v>6662</v>
      </c>
      <c r="D105" s="147"/>
      <c r="E105" s="147"/>
      <c r="F105" s="147"/>
      <c r="G105" s="147"/>
      <c r="H105" s="147"/>
      <c r="I105" s="147"/>
      <c r="J105" s="147"/>
      <c r="K105" s="147"/>
      <c r="L105" s="147"/>
      <c r="M105" s="147"/>
      <c r="N105" s="147"/>
      <c r="O105" s="147"/>
      <c r="P105" s="147"/>
      <c r="Q105" s="147"/>
      <c r="R105" s="147"/>
      <c r="S105" s="147"/>
      <c r="T105" s="147"/>
      <c r="U105" s="147"/>
    </row>
    <row r="106" spans="1:21">
      <c r="A106" s="147"/>
      <c r="B106" s="147"/>
      <c r="C106" s="147"/>
      <c r="D106" s="147"/>
      <c r="E106" s="147"/>
      <c r="F106" s="147"/>
      <c r="G106" s="147"/>
      <c r="H106" s="147"/>
      <c r="I106" s="147"/>
      <c r="J106" s="147"/>
      <c r="K106" s="147"/>
      <c r="L106" s="147"/>
      <c r="M106" s="147"/>
      <c r="N106" s="147"/>
      <c r="O106" s="147"/>
      <c r="P106" s="147"/>
      <c r="Q106" s="147"/>
      <c r="R106" s="147"/>
      <c r="S106" s="147"/>
      <c r="T106" s="147"/>
      <c r="U106" s="147"/>
    </row>
    <row r="107" spans="1:21">
      <c r="A107" s="147"/>
      <c r="B107" s="147"/>
      <c r="C107" s="147" t="s">
        <v>6663</v>
      </c>
      <c r="D107" s="147"/>
      <c r="E107" s="147"/>
      <c r="F107" s="147"/>
      <c r="G107" s="147"/>
      <c r="H107" s="147"/>
      <c r="I107" s="147"/>
      <c r="J107" s="147"/>
      <c r="K107" s="147"/>
      <c r="L107" s="147"/>
      <c r="M107" s="147"/>
      <c r="N107" s="147"/>
      <c r="O107" s="147"/>
      <c r="P107" s="147"/>
      <c r="Q107" s="147"/>
      <c r="R107" s="147"/>
      <c r="S107" s="147"/>
      <c r="T107" s="147"/>
      <c r="U107" s="147"/>
    </row>
    <row r="108" spans="1:21">
      <c r="A108" s="147"/>
      <c r="B108" s="147"/>
      <c r="C108" s="147" t="s">
        <v>6664</v>
      </c>
      <c r="D108" s="147"/>
      <c r="E108" s="147"/>
      <c r="F108" s="147"/>
      <c r="G108" s="147"/>
      <c r="H108" s="147"/>
      <c r="I108" s="147"/>
      <c r="J108" s="147"/>
      <c r="K108" s="147"/>
      <c r="L108" s="147"/>
      <c r="M108" s="147"/>
      <c r="N108" s="147"/>
      <c r="O108" s="147"/>
      <c r="P108" s="147"/>
      <c r="Q108" s="147"/>
      <c r="R108" s="147"/>
      <c r="S108" s="147"/>
      <c r="T108" s="147"/>
      <c r="U108" s="147"/>
    </row>
    <row r="109" spans="1:21">
      <c r="A109" s="147"/>
      <c r="B109" s="147"/>
      <c r="C109" s="147"/>
      <c r="D109" s="147"/>
      <c r="E109" s="147"/>
      <c r="F109" s="147"/>
      <c r="G109" s="147"/>
      <c r="H109" s="147"/>
      <c r="I109" s="147"/>
      <c r="J109" s="147"/>
      <c r="K109" s="147"/>
      <c r="L109" s="147"/>
      <c r="M109" s="147"/>
      <c r="N109" s="147"/>
      <c r="O109" s="147"/>
      <c r="P109" s="147"/>
      <c r="Q109" s="147"/>
      <c r="R109" s="147"/>
      <c r="S109" s="147"/>
      <c r="T109" s="147"/>
      <c r="U109" s="147"/>
    </row>
    <row r="110" spans="1:21">
      <c r="A110" s="147"/>
      <c r="B110" s="147"/>
      <c r="C110" s="147" t="s">
        <v>6665</v>
      </c>
      <c r="D110" s="147"/>
      <c r="E110" s="147"/>
      <c r="F110" s="147"/>
      <c r="G110" s="147"/>
      <c r="H110" s="147"/>
      <c r="I110" s="147"/>
      <c r="J110" s="147"/>
      <c r="K110" s="147"/>
      <c r="L110" s="147"/>
      <c r="M110" s="147"/>
      <c r="N110" s="147"/>
      <c r="O110" s="147"/>
      <c r="P110" s="147"/>
      <c r="Q110" s="147"/>
      <c r="R110" s="147"/>
      <c r="S110" s="147"/>
      <c r="T110" s="147"/>
      <c r="U110" s="147"/>
    </row>
    <row r="111" spans="1:21">
      <c r="A111" s="147"/>
      <c r="B111" s="147"/>
      <c r="C111" s="147" t="s">
        <v>6666</v>
      </c>
      <c r="D111" s="147"/>
      <c r="E111" s="147"/>
      <c r="F111" s="147"/>
      <c r="G111" s="147"/>
      <c r="H111" s="147"/>
      <c r="I111" s="147"/>
      <c r="J111" s="147"/>
      <c r="K111" s="147"/>
      <c r="L111" s="147"/>
      <c r="M111" s="147"/>
      <c r="N111" s="147"/>
      <c r="O111" s="147"/>
      <c r="P111" s="147"/>
      <c r="Q111" s="147"/>
      <c r="R111" s="147"/>
      <c r="S111" s="147"/>
      <c r="T111" s="147"/>
      <c r="U111" s="147"/>
    </row>
    <row r="112" spans="1:21">
      <c r="A112" s="147"/>
      <c r="B112" s="147"/>
      <c r="C112" s="147" t="s">
        <v>6667</v>
      </c>
      <c r="D112" s="147"/>
      <c r="E112" s="147"/>
      <c r="F112" s="147"/>
      <c r="G112" s="147"/>
      <c r="H112" s="147"/>
      <c r="I112" s="147"/>
      <c r="J112" s="147"/>
      <c r="K112" s="147"/>
      <c r="L112" s="147"/>
      <c r="M112" s="147"/>
      <c r="N112" s="147"/>
      <c r="O112" s="147"/>
      <c r="P112" s="147"/>
      <c r="Q112" s="147"/>
      <c r="R112" s="147"/>
      <c r="S112" s="147"/>
      <c r="T112" s="147"/>
      <c r="U112" s="147"/>
    </row>
    <row r="113" spans="1:21">
      <c r="A113" s="147"/>
      <c r="B113" s="147"/>
      <c r="C113" s="147"/>
      <c r="D113" s="147"/>
      <c r="E113" s="147"/>
      <c r="F113" s="147"/>
      <c r="G113" s="147"/>
      <c r="H113" s="147"/>
      <c r="I113" s="147"/>
      <c r="J113" s="147"/>
      <c r="K113" s="147"/>
      <c r="L113" s="147"/>
      <c r="M113" s="147"/>
      <c r="N113" s="147"/>
      <c r="O113" s="147"/>
      <c r="P113" s="147"/>
      <c r="Q113" s="147"/>
      <c r="R113" s="147"/>
      <c r="S113" s="147"/>
      <c r="T113" s="147"/>
      <c r="U113" s="147"/>
    </row>
    <row r="114" spans="1:21" ht="15.75">
      <c r="A114" s="147"/>
      <c r="B114" s="104" t="s">
        <v>6668</v>
      </c>
      <c r="C114" s="147"/>
      <c r="D114" s="147"/>
      <c r="E114" s="147"/>
      <c r="F114" s="147"/>
      <c r="G114" s="147"/>
      <c r="H114" s="147"/>
      <c r="I114" s="147"/>
      <c r="J114" s="147"/>
      <c r="K114" s="147"/>
      <c r="L114" s="147"/>
      <c r="M114" s="147"/>
      <c r="N114" s="147"/>
      <c r="O114" s="147"/>
      <c r="P114" s="147"/>
      <c r="Q114" s="147"/>
      <c r="R114" s="147"/>
      <c r="S114" s="147"/>
      <c r="T114" s="147"/>
      <c r="U114" s="147"/>
    </row>
    <row r="115" spans="1:21">
      <c r="A115" s="147"/>
      <c r="B115" s="147"/>
      <c r="C115" s="147" t="s">
        <v>6669</v>
      </c>
      <c r="D115" s="147"/>
      <c r="E115" s="147"/>
      <c r="F115" s="147"/>
      <c r="G115" s="147"/>
      <c r="H115" s="147"/>
      <c r="I115" s="147"/>
      <c r="J115" s="147"/>
      <c r="K115" s="147"/>
      <c r="L115" s="147"/>
      <c r="M115" s="147"/>
      <c r="N115" s="147"/>
      <c r="O115" s="147"/>
      <c r="P115" s="147"/>
      <c r="Q115" s="147"/>
      <c r="R115" s="147"/>
      <c r="S115" s="147"/>
      <c r="T115" s="147"/>
      <c r="U115" s="147"/>
    </row>
    <row r="116" spans="1:21">
      <c r="A116" s="147"/>
      <c r="B116" s="147"/>
      <c r="C116" s="147" t="s">
        <v>6670</v>
      </c>
      <c r="D116" s="147"/>
      <c r="E116" s="147"/>
      <c r="F116" s="147"/>
      <c r="G116" s="147"/>
      <c r="H116" s="147"/>
      <c r="I116" s="147"/>
      <c r="J116" s="147"/>
      <c r="K116" s="147"/>
      <c r="L116" s="147"/>
      <c r="M116" s="147"/>
      <c r="N116" s="147"/>
      <c r="O116" s="147"/>
      <c r="P116" s="147"/>
      <c r="Q116" s="147"/>
      <c r="R116" s="147"/>
      <c r="S116" s="147"/>
      <c r="T116" s="147"/>
      <c r="U116" s="147"/>
    </row>
    <row r="117" spans="1:21">
      <c r="A117" s="147"/>
      <c r="B117" s="147"/>
      <c r="C117" s="147"/>
      <c r="D117" s="147"/>
      <c r="E117" s="147"/>
      <c r="F117" s="147"/>
      <c r="G117" s="147"/>
      <c r="H117" s="147"/>
      <c r="I117" s="147"/>
      <c r="J117" s="147"/>
      <c r="K117" s="147"/>
      <c r="L117" s="147"/>
      <c r="M117" s="147"/>
      <c r="N117" s="147"/>
      <c r="O117" s="147"/>
      <c r="P117" s="147"/>
      <c r="Q117" s="147"/>
      <c r="R117" s="147"/>
      <c r="S117" s="147"/>
      <c r="T117" s="147"/>
      <c r="U117" s="147"/>
    </row>
    <row r="118" spans="1:21" ht="15.75">
      <c r="A118" s="147"/>
      <c r="B118" s="104" t="s">
        <v>6671</v>
      </c>
      <c r="C118" s="147"/>
      <c r="D118" s="147"/>
      <c r="E118" s="147"/>
      <c r="F118" s="147"/>
      <c r="G118" s="147"/>
      <c r="H118" s="147"/>
      <c r="I118" s="147"/>
      <c r="J118" s="147"/>
      <c r="K118" s="147"/>
      <c r="L118" s="147"/>
      <c r="M118" s="147"/>
      <c r="N118" s="147"/>
      <c r="O118" s="147"/>
      <c r="P118" s="147"/>
      <c r="Q118" s="147"/>
      <c r="R118" s="147"/>
      <c r="S118" s="147"/>
      <c r="T118" s="147"/>
      <c r="U118" s="147"/>
    </row>
    <row r="119" spans="1:21">
      <c r="A119" s="147"/>
      <c r="B119" s="147"/>
      <c r="C119" s="147" t="s">
        <v>6672</v>
      </c>
      <c r="D119" s="147"/>
      <c r="E119" s="147"/>
      <c r="F119" s="147"/>
      <c r="G119" s="147"/>
      <c r="H119" s="147"/>
      <c r="I119" s="147"/>
      <c r="J119" s="147"/>
      <c r="K119" s="147"/>
      <c r="L119" s="147"/>
      <c r="M119" s="147"/>
      <c r="N119" s="147"/>
      <c r="O119" s="147"/>
      <c r="P119" s="147"/>
      <c r="Q119" s="147"/>
      <c r="R119" s="147"/>
      <c r="S119" s="147"/>
      <c r="T119" s="147"/>
      <c r="U119" s="147"/>
    </row>
    <row r="120" spans="1:21">
      <c r="A120" s="147"/>
      <c r="B120" s="147"/>
      <c r="C120" s="147"/>
      <c r="D120" s="147"/>
      <c r="E120" s="147"/>
      <c r="F120" s="147"/>
      <c r="G120" s="147"/>
      <c r="H120" s="147"/>
      <c r="I120" s="147"/>
      <c r="J120" s="147"/>
      <c r="K120" s="147"/>
      <c r="L120" s="147"/>
      <c r="M120" s="147"/>
      <c r="N120" s="147"/>
      <c r="O120" s="147"/>
      <c r="P120" s="147"/>
      <c r="Q120" s="147"/>
      <c r="R120" s="147"/>
      <c r="S120" s="147"/>
      <c r="T120" s="147"/>
      <c r="U120" s="147"/>
    </row>
    <row r="121" spans="1:21" ht="18">
      <c r="A121" s="147"/>
      <c r="B121" s="147"/>
      <c r="C121" s="155" t="s">
        <v>6673</v>
      </c>
      <c r="D121" s="147"/>
      <c r="E121" s="147"/>
      <c r="F121" s="147"/>
      <c r="G121" s="147"/>
      <c r="H121" s="147"/>
      <c r="I121" s="147"/>
      <c r="J121" s="147"/>
      <c r="K121" s="147"/>
      <c r="L121" s="147"/>
      <c r="M121" s="147"/>
      <c r="N121" s="155" t="s">
        <v>6674</v>
      </c>
      <c r="O121" s="147"/>
      <c r="P121" s="147"/>
      <c r="Q121" s="147"/>
      <c r="R121" s="147"/>
      <c r="S121" s="147"/>
      <c r="T121" s="147"/>
      <c r="U121" s="147"/>
    </row>
    <row r="122" spans="1:21">
      <c r="A122" s="147"/>
      <c r="B122" s="147"/>
      <c r="C122" s="147"/>
      <c r="D122" s="147"/>
      <c r="E122" s="147"/>
      <c r="F122" s="147"/>
      <c r="G122" s="147"/>
      <c r="H122" s="147"/>
      <c r="I122" s="147"/>
      <c r="J122" s="147"/>
      <c r="K122" s="147"/>
      <c r="L122" s="147"/>
      <c r="M122" s="147"/>
      <c r="N122" s="326"/>
      <c r="O122" s="147"/>
      <c r="P122" s="147"/>
      <c r="Q122" s="147"/>
      <c r="R122" s="147"/>
      <c r="S122" s="147"/>
      <c r="T122" s="147"/>
      <c r="U122" s="147"/>
    </row>
    <row r="123" spans="1:21">
      <c r="A123" s="147"/>
      <c r="B123" s="147"/>
      <c r="C123" s="147" t="s">
        <v>6675</v>
      </c>
      <c r="D123" s="147"/>
      <c r="E123" s="147"/>
      <c r="F123" s="147"/>
      <c r="G123" s="147"/>
      <c r="H123" s="147"/>
      <c r="I123" s="147"/>
      <c r="J123" s="147"/>
      <c r="K123" s="147"/>
      <c r="L123" s="147"/>
      <c r="M123" s="147"/>
      <c r="N123" s="4670" t="s">
        <v>6676</v>
      </c>
      <c r="O123" s="147"/>
      <c r="P123" s="147"/>
      <c r="Q123" s="147"/>
      <c r="R123" s="147"/>
      <c r="S123" s="147"/>
      <c r="T123" s="147"/>
      <c r="U123" s="147"/>
    </row>
    <row r="124" spans="1:21">
      <c r="A124" s="147"/>
      <c r="B124" s="147"/>
      <c r="C124" s="147"/>
      <c r="D124" s="147"/>
      <c r="E124" s="147"/>
      <c r="F124" s="147"/>
      <c r="G124" s="147"/>
      <c r="H124" s="147"/>
      <c r="I124" s="147"/>
      <c r="J124" s="147"/>
      <c r="K124" s="147"/>
      <c r="L124" s="147"/>
      <c r="M124" s="147"/>
      <c r="N124" s="4670" t="s">
        <v>6677</v>
      </c>
      <c r="O124" s="147"/>
      <c r="P124" s="147"/>
      <c r="Q124" s="147"/>
      <c r="R124" s="147"/>
      <c r="S124" s="147"/>
      <c r="T124" s="147"/>
      <c r="U124" s="147"/>
    </row>
    <row r="125" spans="1:21">
      <c r="A125" s="147"/>
      <c r="B125" s="147"/>
      <c r="C125" s="147" t="s">
        <v>6678</v>
      </c>
      <c r="D125" s="147"/>
      <c r="E125" s="147"/>
      <c r="F125" s="147"/>
      <c r="G125" s="147"/>
      <c r="H125" s="147"/>
      <c r="I125" s="147"/>
      <c r="J125" s="147"/>
      <c r="K125" s="147"/>
      <c r="L125" s="147"/>
      <c r="M125" s="147"/>
      <c r="N125" s="4670" t="s">
        <v>6679</v>
      </c>
      <c r="O125" s="147"/>
      <c r="P125" s="147"/>
      <c r="Q125" s="147"/>
      <c r="R125" s="147"/>
      <c r="S125" s="147"/>
      <c r="T125" s="147"/>
      <c r="U125" s="147"/>
    </row>
    <row r="126" spans="1:21">
      <c r="A126" s="147"/>
      <c r="B126" s="147"/>
      <c r="C126" s="326"/>
      <c r="D126" s="147"/>
      <c r="E126" s="147"/>
      <c r="F126" s="147"/>
      <c r="G126" s="147"/>
      <c r="H126" s="147"/>
      <c r="I126" s="147"/>
      <c r="J126" s="147"/>
      <c r="K126" s="147"/>
      <c r="L126" s="147"/>
      <c r="M126" s="147"/>
      <c r="N126" s="4670" t="s">
        <v>6680</v>
      </c>
      <c r="O126" s="147"/>
      <c r="P126" s="147"/>
      <c r="Q126" s="147"/>
      <c r="R126" s="147"/>
      <c r="S126" s="147"/>
      <c r="T126" s="147"/>
      <c r="U126" s="147"/>
    </row>
    <row r="127" spans="1:21">
      <c r="A127" s="147"/>
      <c r="B127" s="147"/>
      <c r="C127" s="4677" t="s">
        <v>6681</v>
      </c>
      <c r="D127" s="147"/>
      <c r="E127" s="147"/>
      <c r="F127" s="147"/>
      <c r="G127" s="147"/>
      <c r="H127" s="147"/>
      <c r="I127" s="147"/>
      <c r="J127" s="147"/>
      <c r="K127" s="147"/>
      <c r="L127" s="147"/>
      <c r="M127" s="147"/>
      <c r="N127" s="4670" t="s">
        <v>6682</v>
      </c>
      <c r="O127" s="147"/>
      <c r="P127" s="147"/>
      <c r="Q127" s="147"/>
      <c r="R127" s="147"/>
      <c r="S127" s="147"/>
      <c r="T127" s="147"/>
      <c r="U127" s="147"/>
    </row>
    <row r="128" spans="1:21">
      <c r="A128" s="147"/>
      <c r="B128" s="147"/>
      <c r="C128" s="4677" t="s">
        <v>6683</v>
      </c>
      <c r="D128" s="147"/>
      <c r="E128" s="147"/>
      <c r="F128" s="147"/>
      <c r="G128" s="147"/>
      <c r="H128" s="147"/>
      <c r="I128" s="147"/>
      <c r="J128" s="147"/>
      <c r="K128" s="147"/>
      <c r="L128" s="147"/>
      <c r="M128" s="147"/>
      <c r="N128" s="4670" t="s">
        <v>6684</v>
      </c>
      <c r="O128" s="147"/>
      <c r="P128" s="147"/>
      <c r="Q128" s="147"/>
      <c r="R128" s="147"/>
      <c r="S128" s="147"/>
      <c r="T128" s="147"/>
      <c r="U128" s="147"/>
    </row>
    <row r="129" spans="1:21">
      <c r="A129" s="147"/>
      <c r="B129" s="147"/>
      <c r="C129" s="4677" t="s">
        <v>6685</v>
      </c>
      <c r="D129" s="147"/>
      <c r="E129" s="147"/>
      <c r="F129" s="147"/>
      <c r="G129" s="147"/>
      <c r="H129" s="147"/>
      <c r="I129" s="147"/>
      <c r="J129" s="147"/>
      <c r="K129" s="147"/>
      <c r="L129" s="147"/>
      <c r="M129" s="147"/>
      <c r="N129" s="4670" t="s">
        <v>6686</v>
      </c>
      <c r="O129" s="147"/>
      <c r="P129" s="147"/>
      <c r="Q129" s="147"/>
      <c r="R129" s="147"/>
      <c r="S129" s="147"/>
      <c r="T129" s="147"/>
      <c r="U129" s="147"/>
    </row>
    <row r="130" spans="1:21">
      <c r="A130" s="147"/>
      <c r="B130" s="147"/>
      <c r="C130" s="4677" t="s">
        <v>6687</v>
      </c>
      <c r="D130" s="147"/>
      <c r="E130" s="147"/>
      <c r="F130" s="147"/>
      <c r="G130" s="147"/>
      <c r="H130" s="147"/>
      <c r="I130" s="147"/>
      <c r="J130" s="147"/>
      <c r="K130" s="147"/>
      <c r="L130" s="147"/>
      <c r="M130" s="147"/>
      <c r="N130" s="4670" t="s">
        <v>6688</v>
      </c>
      <c r="O130" s="147"/>
      <c r="P130" s="147"/>
      <c r="Q130" s="147"/>
      <c r="R130" s="147"/>
      <c r="S130" s="147"/>
      <c r="T130" s="147"/>
      <c r="U130" s="147"/>
    </row>
    <row r="131" spans="1:21">
      <c r="A131" s="147"/>
      <c r="B131" s="147"/>
      <c r="C131" s="147"/>
      <c r="D131" s="147"/>
      <c r="E131" s="147"/>
      <c r="F131" s="147"/>
      <c r="G131" s="147"/>
      <c r="H131" s="147"/>
      <c r="I131" s="147"/>
      <c r="J131" s="147"/>
      <c r="K131" s="147"/>
      <c r="L131" s="147"/>
      <c r="M131" s="147"/>
      <c r="N131" s="4670" t="s">
        <v>6689</v>
      </c>
      <c r="O131" s="147"/>
      <c r="P131" s="147"/>
      <c r="Q131" s="147"/>
      <c r="R131" s="147"/>
      <c r="S131" s="147"/>
      <c r="T131" s="147"/>
      <c r="U131" s="147"/>
    </row>
    <row r="132" spans="1:21" ht="18">
      <c r="A132" s="147"/>
      <c r="B132" s="147"/>
      <c r="C132" s="155" t="s">
        <v>6690</v>
      </c>
      <c r="D132" s="147"/>
      <c r="E132" s="147"/>
      <c r="F132" s="147"/>
      <c r="G132" s="147"/>
      <c r="H132" s="147"/>
      <c r="I132" s="147"/>
      <c r="J132" s="147"/>
      <c r="K132" s="147"/>
      <c r="L132" s="147"/>
      <c r="M132" s="147"/>
      <c r="N132" s="4670" t="s">
        <v>6691</v>
      </c>
      <c r="O132" s="147"/>
      <c r="P132" s="147"/>
      <c r="Q132" s="147"/>
      <c r="R132" s="147"/>
      <c r="S132" s="147"/>
      <c r="T132" s="147"/>
      <c r="U132" s="147"/>
    </row>
    <row r="133" spans="1:21">
      <c r="A133" s="147"/>
      <c r="B133" s="147"/>
      <c r="C133" s="147"/>
      <c r="D133" s="147"/>
      <c r="E133" s="147"/>
      <c r="F133" s="147"/>
      <c r="G133" s="147"/>
      <c r="H133" s="147"/>
      <c r="I133" s="147"/>
      <c r="J133" s="147"/>
      <c r="K133" s="147"/>
      <c r="L133" s="147"/>
      <c r="M133" s="147"/>
      <c r="N133" s="147"/>
      <c r="O133" s="147"/>
      <c r="P133" s="147"/>
      <c r="Q133" s="147"/>
      <c r="R133" s="147"/>
      <c r="S133" s="147"/>
      <c r="T133" s="147"/>
      <c r="U133" s="147"/>
    </row>
    <row r="134" spans="1:21" ht="18">
      <c r="A134" s="147"/>
      <c r="B134" s="147"/>
      <c r="C134" s="4669" t="s">
        <v>6692</v>
      </c>
      <c r="D134" s="147"/>
      <c r="E134" s="147"/>
      <c r="F134" s="147"/>
      <c r="G134" s="147"/>
      <c r="H134" s="147"/>
      <c r="I134" s="147"/>
      <c r="J134" s="147"/>
      <c r="K134" s="147"/>
      <c r="L134" s="147"/>
      <c r="M134" s="147"/>
      <c r="N134" s="155" t="s">
        <v>6693</v>
      </c>
      <c r="O134" s="147"/>
      <c r="P134" s="147"/>
      <c r="Q134" s="147"/>
      <c r="R134" s="147"/>
      <c r="S134" s="147"/>
      <c r="T134" s="147"/>
      <c r="U134" s="147"/>
    </row>
    <row r="135" spans="1:21">
      <c r="A135" s="147"/>
      <c r="B135" s="147"/>
      <c r="C135" s="147"/>
      <c r="D135" s="147"/>
      <c r="E135" s="147"/>
      <c r="F135" s="147"/>
      <c r="G135" s="147"/>
      <c r="H135" s="147"/>
      <c r="I135" s="147"/>
      <c r="J135" s="147"/>
      <c r="K135" s="147"/>
      <c r="L135" s="147"/>
      <c r="M135" s="147"/>
      <c r="N135" s="326"/>
      <c r="O135" s="147"/>
      <c r="P135" s="147"/>
      <c r="Q135" s="147"/>
      <c r="R135" s="147"/>
      <c r="S135" s="147"/>
      <c r="T135" s="147"/>
      <c r="U135" s="147"/>
    </row>
    <row r="136" spans="1:21">
      <c r="A136" s="147"/>
      <c r="B136" s="147"/>
      <c r="C136" s="147" t="s">
        <v>6678</v>
      </c>
      <c r="D136" s="147"/>
      <c r="E136" s="147"/>
      <c r="F136" s="147"/>
      <c r="G136" s="147"/>
      <c r="H136" s="147"/>
      <c r="I136" s="147"/>
      <c r="J136" s="147"/>
      <c r="K136" s="147"/>
      <c r="L136" s="147"/>
      <c r="M136" s="147"/>
      <c r="N136" s="4670" t="s">
        <v>6694</v>
      </c>
      <c r="O136" s="147"/>
      <c r="P136" s="147"/>
      <c r="Q136" s="147"/>
      <c r="R136" s="147"/>
      <c r="S136" s="147"/>
      <c r="T136" s="147"/>
      <c r="U136" s="147"/>
    </row>
    <row r="137" spans="1:21">
      <c r="A137" s="147"/>
      <c r="B137" s="147"/>
      <c r="C137" s="326"/>
      <c r="D137" s="147"/>
      <c r="E137" s="147"/>
      <c r="F137" s="147"/>
      <c r="G137" s="147"/>
      <c r="H137" s="147"/>
      <c r="I137" s="147"/>
      <c r="J137" s="147"/>
      <c r="K137" s="147"/>
      <c r="L137" s="147"/>
      <c r="M137" s="147"/>
      <c r="N137" s="4670" t="s">
        <v>6695</v>
      </c>
      <c r="O137" s="147"/>
      <c r="P137" s="147"/>
      <c r="Q137" s="147"/>
      <c r="R137" s="147"/>
      <c r="S137" s="147"/>
      <c r="T137" s="147"/>
      <c r="U137" s="147"/>
    </row>
    <row r="138" spans="1:21">
      <c r="A138" s="147"/>
      <c r="B138" s="147"/>
      <c r="C138" s="4677" t="s">
        <v>6696</v>
      </c>
      <c r="D138" s="147"/>
      <c r="E138" s="147"/>
      <c r="F138" s="147"/>
      <c r="G138" s="147"/>
      <c r="H138" s="147"/>
      <c r="I138" s="147"/>
      <c r="J138" s="147"/>
      <c r="K138" s="147"/>
      <c r="L138" s="147"/>
      <c r="M138" s="147"/>
      <c r="N138" s="4670" t="s">
        <v>6697</v>
      </c>
      <c r="O138" s="147"/>
      <c r="P138" s="147"/>
      <c r="Q138" s="147"/>
      <c r="R138" s="147"/>
      <c r="S138" s="147"/>
      <c r="T138" s="147"/>
      <c r="U138" s="147"/>
    </row>
    <row r="139" spans="1:21">
      <c r="A139" s="147"/>
      <c r="B139" s="147"/>
      <c r="C139" s="4677" t="s">
        <v>6698</v>
      </c>
      <c r="D139" s="147"/>
      <c r="E139" s="147"/>
      <c r="F139" s="147"/>
      <c r="G139" s="147"/>
      <c r="H139" s="147"/>
      <c r="I139" s="147"/>
      <c r="J139" s="147"/>
      <c r="K139" s="147"/>
      <c r="L139" s="147"/>
      <c r="M139" s="147"/>
      <c r="N139" s="4670" t="s">
        <v>6699</v>
      </c>
      <c r="O139" s="147"/>
      <c r="P139" s="147"/>
      <c r="Q139" s="147"/>
      <c r="R139" s="147"/>
      <c r="S139" s="147"/>
      <c r="T139" s="147"/>
      <c r="U139" s="147"/>
    </row>
    <row r="140" spans="1:21">
      <c r="A140" s="147"/>
      <c r="B140" s="147"/>
      <c r="C140" s="4677" t="s">
        <v>6700</v>
      </c>
      <c r="D140" s="147"/>
      <c r="E140" s="147"/>
      <c r="F140" s="147"/>
      <c r="G140" s="147"/>
      <c r="H140" s="147"/>
      <c r="I140" s="147"/>
      <c r="J140" s="147"/>
      <c r="K140" s="147"/>
      <c r="L140" s="147"/>
      <c r="M140" s="147"/>
      <c r="N140" s="4670" t="s">
        <v>6701</v>
      </c>
      <c r="O140" s="147"/>
      <c r="P140" s="147"/>
      <c r="Q140" s="147"/>
      <c r="R140" s="147"/>
      <c r="S140" s="147"/>
      <c r="T140" s="147"/>
      <c r="U140" s="147"/>
    </row>
    <row r="141" spans="1:21">
      <c r="A141" s="147"/>
      <c r="B141" s="147"/>
      <c r="C141" s="4677" t="s">
        <v>6702</v>
      </c>
      <c r="D141" s="147"/>
      <c r="E141" s="147"/>
      <c r="F141" s="147"/>
      <c r="G141" s="147"/>
      <c r="H141" s="147"/>
      <c r="I141" s="147"/>
      <c r="J141" s="147"/>
      <c r="K141" s="147"/>
      <c r="L141" s="147"/>
      <c r="M141" s="147"/>
      <c r="N141" s="4670" t="s">
        <v>6703</v>
      </c>
      <c r="O141" s="147"/>
      <c r="P141" s="147"/>
      <c r="Q141" s="147"/>
      <c r="R141" s="147"/>
      <c r="S141" s="147"/>
      <c r="T141" s="147"/>
      <c r="U141" s="147"/>
    </row>
    <row r="142" spans="1:21">
      <c r="A142" s="147"/>
      <c r="B142" s="147"/>
      <c r="C142" s="147"/>
      <c r="D142" s="147"/>
      <c r="E142" s="147"/>
      <c r="F142" s="147"/>
      <c r="G142" s="147"/>
      <c r="H142" s="147"/>
      <c r="I142" s="147"/>
      <c r="J142" s="147"/>
      <c r="K142" s="147"/>
      <c r="L142" s="147"/>
      <c r="M142" s="147"/>
      <c r="N142" s="4670" t="s">
        <v>6704</v>
      </c>
      <c r="O142" s="147"/>
      <c r="P142" s="147"/>
      <c r="Q142" s="147"/>
      <c r="R142" s="147"/>
      <c r="S142" s="147"/>
      <c r="T142" s="147"/>
      <c r="U142" s="147"/>
    </row>
    <row r="143" spans="1:21" ht="18">
      <c r="A143" s="147"/>
      <c r="B143" s="147"/>
      <c r="C143" s="155" t="s">
        <v>6705</v>
      </c>
      <c r="D143" s="147"/>
      <c r="E143" s="147"/>
      <c r="F143" s="147"/>
      <c r="G143" s="147"/>
      <c r="H143" s="147"/>
      <c r="I143" s="147"/>
      <c r="J143" s="147"/>
      <c r="K143" s="147"/>
      <c r="L143" s="147"/>
      <c r="M143" s="147"/>
      <c r="N143" s="4670" t="s">
        <v>6706</v>
      </c>
      <c r="O143" s="147"/>
      <c r="P143" s="147"/>
      <c r="Q143" s="147"/>
      <c r="R143" s="147"/>
      <c r="S143" s="147"/>
      <c r="T143" s="147"/>
      <c r="U143" s="147"/>
    </row>
    <row r="144" spans="1:21">
      <c r="A144" s="147"/>
      <c r="B144" s="147"/>
      <c r="C144" s="147"/>
      <c r="D144" s="147"/>
      <c r="E144" s="147"/>
      <c r="F144" s="147"/>
      <c r="G144" s="147"/>
      <c r="H144" s="147"/>
      <c r="I144" s="147"/>
      <c r="J144" s="147"/>
      <c r="K144" s="147"/>
      <c r="L144" s="147"/>
      <c r="M144" s="147"/>
      <c r="N144" s="4670" t="s">
        <v>6707</v>
      </c>
      <c r="O144" s="147"/>
      <c r="P144" s="147"/>
      <c r="Q144" s="147"/>
      <c r="R144" s="147"/>
      <c r="S144" s="147"/>
      <c r="T144" s="147"/>
      <c r="U144" s="147"/>
    </row>
    <row r="145" spans="1:21">
      <c r="A145" s="147"/>
      <c r="B145" s="147"/>
      <c r="C145" s="147" t="s">
        <v>6708</v>
      </c>
      <c r="D145" s="147"/>
      <c r="E145" s="147"/>
      <c r="F145" s="147"/>
      <c r="G145" s="147"/>
      <c r="H145" s="147"/>
      <c r="I145" s="147"/>
      <c r="J145" s="147"/>
      <c r="K145" s="147"/>
      <c r="L145" s="147"/>
      <c r="M145" s="147"/>
      <c r="N145" s="4670" t="s">
        <v>6709</v>
      </c>
      <c r="O145" s="147"/>
      <c r="P145" s="147"/>
      <c r="Q145" s="147"/>
      <c r="R145" s="147"/>
      <c r="S145" s="147"/>
      <c r="T145" s="147"/>
      <c r="U145" s="147"/>
    </row>
    <row r="146" spans="1:21">
      <c r="A146" s="147"/>
      <c r="B146" s="147"/>
      <c r="C146" s="147"/>
      <c r="D146" s="147"/>
      <c r="E146" s="147"/>
      <c r="F146" s="147"/>
      <c r="G146" s="147"/>
      <c r="H146" s="147"/>
      <c r="I146" s="147"/>
      <c r="J146" s="147"/>
      <c r="K146" s="147"/>
      <c r="L146" s="147"/>
      <c r="M146" s="147"/>
      <c r="N146" s="147"/>
      <c r="O146" s="147"/>
      <c r="P146" s="147"/>
      <c r="Q146" s="147"/>
      <c r="R146" s="147"/>
      <c r="S146" s="147"/>
      <c r="T146" s="147"/>
      <c r="U146" s="147"/>
    </row>
    <row r="147" spans="1:21" ht="18">
      <c r="A147" s="147"/>
      <c r="B147" s="147"/>
      <c r="C147" s="147" t="s">
        <v>6678</v>
      </c>
      <c r="D147" s="147"/>
      <c r="E147" s="147"/>
      <c r="F147" s="147"/>
      <c r="G147" s="147"/>
      <c r="H147" s="147"/>
      <c r="I147" s="147"/>
      <c r="J147" s="147"/>
      <c r="K147" s="147"/>
      <c r="L147" s="147"/>
      <c r="M147" s="147"/>
      <c r="N147" s="155" t="s">
        <v>6710</v>
      </c>
      <c r="O147" s="147"/>
      <c r="P147" s="147"/>
      <c r="Q147" s="147"/>
      <c r="R147" s="147"/>
      <c r="S147" s="147"/>
      <c r="T147" s="147"/>
      <c r="U147" s="147"/>
    </row>
    <row r="148" spans="1:21">
      <c r="A148" s="147"/>
      <c r="B148" s="147"/>
      <c r="C148" s="326"/>
      <c r="D148" s="147"/>
      <c r="E148" s="147"/>
      <c r="F148" s="147"/>
      <c r="G148" s="147"/>
      <c r="H148" s="147"/>
      <c r="I148" s="147"/>
      <c r="J148" s="147"/>
      <c r="K148" s="147"/>
      <c r="L148" s="147"/>
      <c r="M148" s="147"/>
      <c r="N148" s="326"/>
      <c r="O148" s="147"/>
      <c r="P148" s="147"/>
      <c r="Q148" s="147"/>
      <c r="R148" s="147"/>
      <c r="S148" s="147"/>
      <c r="T148" s="147"/>
      <c r="U148" s="147"/>
    </row>
    <row r="149" spans="1:21">
      <c r="A149" s="147"/>
      <c r="B149" s="147"/>
      <c r="C149" s="4677" t="s">
        <v>6711</v>
      </c>
      <c r="D149" s="147"/>
      <c r="E149" s="147"/>
      <c r="F149" s="147"/>
      <c r="G149" s="147"/>
      <c r="H149" s="147"/>
      <c r="I149" s="147"/>
      <c r="J149" s="147"/>
      <c r="K149" s="147"/>
      <c r="L149" s="147"/>
      <c r="M149" s="147"/>
      <c r="N149" s="4670" t="s">
        <v>6712</v>
      </c>
      <c r="O149" s="147"/>
      <c r="P149" s="147"/>
      <c r="Q149" s="147"/>
      <c r="R149" s="147"/>
      <c r="S149" s="147"/>
      <c r="T149" s="147"/>
      <c r="U149" s="147"/>
    </row>
    <row r="150" spans="1:21">
      <c r="A150" s="147"/>
      <c r="B150" s="147"/>
      <c r="C150" s="4677" t="s">
        <v>6713</v>
      </c>
      <c r="D150" s="147"/>
      <c r="E150" s="147"/>
      <c r="F150" s="147"/>
      <c r="G150" s="147"/>
      <c r="H150" s="147"/>
      <c r="I150" s="147"/>
      <c r="J150" s="147"/>
      <c r="K150" s="147"/>
      <c r="L150" s="147"/>
      <c r="M150" s="147"/>
      <c r="N150" s="4670" t="s">
        <v>6714</v>
      </c>
      <c r="O150" s="147"/>
      <c r="P150" s="147"/>
      <c r="Q150" s="147"/>
      <c r="R150" s="147"/>
      <c r="S150" s="147"/>
      <c r="T150" s="147"/>
      <c r="U150" s="147"/>
    </row>
    <row r="151" spans="1:21">
      <c r="A151" s="147"/>
      <c r="B151" s="147"/>
      <c r="C151" s="4677" t="s">
        <v>6715</v>
      </c>
      <c r="D151" s="147"/>
      <c r="E151" s="147"/>
      <c r="F151" s="147"/>
      <c r="G151" s="147"/>
      <c r="H151" s="147"/>
      <c r="I151" s="147"/>
      <c r="J151" s="147"/>
      <c r="K151" s="147"/>
      <c r="L151" s="147"/>
      <c r="M151" s="147"/>
      <c r="N151" s="4670" t="s">
        <v>6716</v>
      </c>
      <c r="O151" s="147"/>
      <c r="P151" s="147"/>
      <c r="Q151" s="147"/>
      <c r="R151" s="147"/>
      <c r="S151" s="147"/>
      <c r="T151" s="147"/>
      <c r="U151" s="147"/>
    </row>
    <row r="152" spans="1:21">
      <c r="A152" s="147"/>
      <c r="B152" s="147"/>
      <c r="C152" s="147"/>
      <c r="D152" s="147"/>
      <c r="E152" s="147"/>
      <c r="F152" s="147"/>
      <c r="G152" s="147"/>
      <c r="H152" s="147"/>
      <c r="I152" s="147"/>
      <c r="J152" s="147"/>
      <c r="K152" s="147"/>
      <c r="L152" s="147"/>
      <c r="M152" s="147"/>
      <c r="N152" s="4670" t="s">
        <v>6717</v>
      </c>
      <c r="O152" s="147"/>
      <c r="P152" s="147"/>
      <c r="Q152" s="147"/>
      <c r="R152" s="147"/>
      <c r="S152" s="147"/>
      <c r="T152" s="147"/>
      <c r="U152" s="147"/>
    </row>
    <row r="153" spans="1:21" ht="18">
      <c r="A153" s="147"/>
      <c r="B153" s="147"/>
      <c r="C153" s="155" t="s">
        <v>6718</v>
      </c>
      <c r="D153" s="147"/>
      <c r="E153" s="147"/>
      <c r="F153" s="147"/>
      <c r="G153" s="147"/>
      <c r="H153" s="147"/>
      <c r="I153" s="147"/>
      <c r="J153" s="147"/>
      <c r="K153" s="147"/>
      <c r="L153" s="147"/>
      <c r="M153" s="147"/>
      <c r="N153" s="4670" t="s">
        <v>6719</v>
      </c>
      <c r="O153" s="147"/>
      <c r="P153" s="147"/>
      <c r="Q153" s="147"/>
      <c r="R153" s="147"/>
      <c r="S153" s="147"/>
      <c r="T153" s="147"/>
      <c r="U153" s="147"/>
    </row>
    <row r="154" spans="1:21">
      <c r="A154" s="147"/>
      <c r="B154" s="147"/>
      <c r="C154" s="147"/>
      <c r="D154" s="147"/>
      <c r="E154" s="147"/>
      <c r="F154" s="147"/>
      <c r="G154" s="147"/>
      <c r="H154" s="147"/>
      <c r="I154" s="147"/>
      <c r="J154" s="147"/>
      <c r="K154" s="147"/>
      <c r="L154" s="147"/>
      <c r="M154" s="147"/>
      <c r="N154" s="4670" t="s">
        <v>6720</v>
      </c>
      <c r="O154" s="147"/>
      <c r="P154" s="147"/>
      <c r="Q154" s="147"/>
      <c r="R154" s="147"/>
      <c r="S154" s="147"/>
      <c r="T154" s="147"/>
      <c r="U154" s="147"/>
    </row>
    <row r="155" spans="1:21">
      <c r="A155" s="147"/>
      <c r="B155" s="147"/>
      <c r="C155" s="147" t="s">
        <v>6721</v>
      </c>
      <c r="D155" s="147"/>
      <c r="E155" s="147"/>
      <c r="F155" s="147"/>
      <c r="G155" s="147"/>
      <c r="H155" s="147"/>
      <c r="I155" s="147"/>
      <c r="J155" s="147"/>
      <c r="K155" s="147"/>
      <c r="L155" s="147"/>
      <c r="M155" s="147"/>
      <c r="N155" s="4670" t="s">
        <v>6722</v>
      </c>
      <c r="O155" s="147"/>
      <c r="P155" s="147"/>
      <c r="Q155" s="147"/>
      <c r="R155" s="147"/>
      <c r="S155" s="147"/>
      <c r="T155" s="147"/>
      <c r="U155" s="147"/>
    </row>
    <row r="156" spans="1:21">
      <c r="A156" s="147"/>
      <c r="B156" s="147"/>
      <c r="C156" s="147"/>
      <c r="D156" s="147"/>
      <c r="E156" s="147"/>
      <c r="F156" s="147"/>
      <c r="G156" s="147"/>
      <c r="H156" s="147"/>
      <c r="I156" s="147"/>
      <c r="J156" s="147"/>
      <c r="K156" s="147"/>
      <c r="L156" s="147"/>
      <c r="M156" s="147"/>
      <c r="N156" s="4670" t="s">
        <v>6723</v>
      </c>
      <c r="O156" s="147"/>
      <c r="P156" s="147"/>
      <c r="Q156" s="147"/>
      <c r="R156" s="147"/>
      <c r="S156" s="147"/>
      <c r="T156" s="147"/>
      <c r="U156" s="147"/>
    </row>
    <row r="157" spans="1:21">
      <c r="A157" s="147"/>
      <c r="B157" s="147"/>
      <c r="C157" s="147" t="s">
        <v>6678</v>
      </c>
      <c r="D157" s="147"/>
      <c r="E157" s="147"/>
      <c r="F157" s="147"/>
      <c r="G157" s="147"/>
      <c r="H157" s="147"/>
      <c r="I157" s="147"/>
      <c r="J157" s="147"/>
      <c r="K157" s="147"/>
      <c r="L157" s="147"/>
      <c r="M157" s="147"/>
      <c r="N157" s="4670" t="s">
        <v>6724</v>
      </c>
      <c r="O157" s="147"/>
      <c r="P157" s="147"/>
      <c r="Q157" s="147"/>
      <c r="R157" s="147"/>
      <c r="S157" s="147"/>
      <c r="T157" s="147"/>
      <c r="U157" s="147"/>
    </row>
    <row r="158" spans="1:21">
      <c r="A158" s="147"/>
      <c r="B158" s="147"/>
      <c r="C158" s="326"/>
      <c r="D158" s="147"/>
      <c r="E158" s="147"/>
      <c r="F158" s="147"/>
      <c r="G158" s="147"/>
      <c r="H158" s="147"/>
      <c r="I158" s="147"/>
      <c r="J158" s="147"/>
      <c r="K158" s="147"/>
      <c r="L158" s="147"/>
      <c r="M158" s="147"/>
      <c r="N158" s="4670" t="s">
        <v>6725</v>
      </c>
      <c r="O158" s="147"/>
      <c r="P158" s="147"/>
      <c r="Q158" s="147"/>
      <c r="R158" s="147"/>
      <c r="S158" s="147"/>
      <c r="T158" s="147"/>
      <c r="U158" s="147"/>
    </row>
    <row r="159" spans="1:21">
      <c r="A159" s="147"/>
      <c r="B159" s="147"/>
      <c r="C159" s="4677" t="s">
        <v>6726</v>
      </c>
      <c r="D159" s="147"/>
      <c r="E159" s="147"/>
      <c r="F159" s="147"/>
      <c r="G159" s="147"/>
      <c r="H159" s="147"/>
      <c r="I159" s="147"/>
      <c r="J159" s="147"/>
      <c r="K159" s="147"/>
      <c r="L159" s="147"/>
      <c r="M159" s="147"/>
      <c r="N159" s="147"/>
      <c r="O159" s="147"/>
      <c r="P159" s="147"/>
      <c r="Q159" s="147"/>
      <c r="R159" s="147"/>
      <c r="S159" s="147"/>
      <c r="T159" s="147"/>
      <c r="U159" s="147"/>
    </row>
    <row r="160" spans="1:21" ht="18">
      <c r="A160" s="147"/>
      <c r="B160" s="147"/>
      <c r="C160" s="4677" t="s">
        <v>6727</v>
      </c>
      <c r="D160" s="147"/>
      <c r="E160" s="147"/>
      <c r="F160" s="147"/>
      <c r="G160" s="147"/>
      <c r="H160" s="147"/>
      <c r="I160" s="147"/>
      <c r="J160" s="147"/>
      <c r="K160" s="147"/>
      <c r="L160" s="147"/>
      <c r="M160" s="147"/>
      <c r="N160" s="155" t="s">
        <v>6728</v>
      </c>
      <c r="O160" s="147"/>
      <c r="P160" s="147"/>
      <c r="Q160" s="147"/>
      <c r="R160" s="147"/>
      <c r="S160" s="147"/>
      <c r="T160" s="147"/>
      <c r="U160" s="147"/>
    </row>
    <row r="161" spans="1:21">
      <c r="A161" s="147"/>
      <c r="B161" s="147"/>
      <c r="C161" s="4677" t="s">
        <v>6729</v>
      </c>
      <c r="D161" s="147"/>
      <c r="E161" s="147"/>
      <c r="F161" s="147"/>
      <c r="G161" s="147"/>
      <c r="H161" s="147"/>
      <c r="I161" s="147"/>
      <c r="J161" s="147"/>
      <c r="K161" s="147"/>
      <c r="L161" s="147"/>
      <c r="M161" s="147"/>
      <c r="N161" s="326"/>
      <c r="O161" s="147"/>
      <c r="P161" s="147"/>
      <c r="Q161" s="147"/>
      <c r="R161" s="147"/>
      <c r="S161" s="147"/>
      <c r="T161" s="147"/>
      <c r="U161" s="147"/>
    </row>
    <row r="162" spans="1:21">
      <c r="A162" s="147"/>
      <c r="B162" s="147"/>
      <c r="C162" s="147"/>
      <c r="D162" s="147"/>
      <c r="E162" s="147"/>
      <c r="F162" s="147"/>
      <c r="G162" s="147"/>
      <c r="H162" s="147"/>
      <c r="I162" s="147"/>
      <c r="J162" s="147"/>
      <c r="K162" s="147"/>
      <c r="L162" s="147"/>
      <c r="M162" s="147"/>
      <c r="N162" s="4670" t="s">
        <v>6730</v>
      </c>
      <c r="O162" s="147"/>
      <c r="P162" s="147"/>
      <c r="Q162" s="147"/>
      <c r="R162" s="147"/>
      <c r="S162" s="147"/>
      <c r="T162" s="147"/>
      <c r="U162" s="147"/>
    </row>
    <row r="163" spans="1:21" ht="18">
      <c r="A163" s="147"/>
      <c r="B163" s="147"/>
      <c r="C163" s="155" t="s">
        <v>6731</v>
      </c>
      <c r="D163" s="147"/>
      <c r="E163" s="147"/>
      <c r="F163" s="147"/>
      <c r="G163" s="147"/>
      <c r="H163" s="147"/>
      <c r="I163" s="147"/>
      <c r="J163" s="147"/>
      <c r="K163" s="147"/>
      <c r="L163" s="147"/>
      <c r="M163" s="147"/>
      <c r="N163" s="4670" t="s">
        <v>6732</v>
      </c>
      <c r="O163" s="147"/>
      <c r="P163" s="147"/>
      <c r="Q163" s="147"/>
      <c r="R163" s="147"/>
      <c r="S163" s="147"/>
      <c r="T163" s="147"/>
      <c r="U163" s="147"/>
    </row>
    <row r="164" spans="1:21">
      <c r="A164" s="147"/>
      <c r="B164" s="147"/>
      <c r="C164" s="147"/>
      <c r="D164" s="147"/>
      <c r="E164" s="147"/>
      <c r="F164" s="147"/>
      <c r="G164" s="147"/>
      <c r="H164" s="147"/>
      <c r="I164" s="147"/>
      <c r="J164" s="147"/>
      <c r="K164" s="147"/>
      <c r="L164" s="147"/>
      <c r="M164" s="147"/>
      <c r="N164" s="4670" t="s">
        <v>6733</v>
      </c>
      <c r="O164" s="147"/>
      <c r="P164" s="147"/>
      <c r="Q164" s="147"/>
      <c r="R164" s="147"/>
      <c r="S164" s="147"/>
      <c r="T164" s="147"/>
      <c r="U164" s="147"/>
    </row>
    <row r="165" spans="1:21">
      <c r="A165" s="147"/>
      <c r="B165" s="147"/>
      <c r="C165" s="147" t="s">
        <v>6734</v>
      </c>
      <c r="D165" s="147"/>
      <c r="E165" s="147"/>
      <c r="F165" s="147"/>
      <c r="G165" s="147"/>
      <c r="H165" s="147"/>
      <c r="I165" s="147"/>
      <c r="J165" s="147"/>
      <c r="K165" s="147"/>
      <c r="L165" s="147"/>
      <c r="M165" s="147"/>
      <c r="N165" s="4670" t="s">
        <v>6735</v>
      </c>
      <c r="O165" s="147"/>
      <c r="P165" s="147"/>
      <c r="Q165" s="147"/>
      <c r="R165" s="147"/>
      <c r="S165" s="147"/>
      <c r="T165" s="147"/>
      <c r="U165" s="147"/>
    </row>
    <row r="166" spans="1:21">
      <c r="A166" s="147"/>
      <c r="B166" s="147"/>
      <c r="C166" s="147"/>
      <c r="D166" s="147"/>
      <c r="E166" s="147"/>
      <c r="F166" s="147"/>
      <c r="G166" s="147"/>
      <c r="H166" s="147"/>
      <c r="I166" s="147"/>
      <c r="J166" s="147"/>
      <c r="K166" s="147"/>
      <c r="L166" s="147"/>
      <c r="M166" s="147"/>
      <c r="N166" s="4670" t="s">
        <v>3262</v>
      </c>
      <c r="O166" s="147"/>
      <c r="P166" s="147"/>
      <c r="Q166" s="147"/>
      <c r="R166" s="147"/>
      <c r="S166" s="147"/>
      <c r="T166" s="147"/>
      <c r="U166" s="147"/>
    </row>
    <row r="167" spans="1:21">
      <c r="A167" s="147"/>
      <c r="B167" s="147"/>
      <c r="C167" s="147" t="s">
        <v>6678</v>
      </c>
      <c r="D167" s="147"/>
      <c r="E167" s="147"/>
      <c r="F167" s="147"/>
      <c r="G167" s="147"/>
      <c r="H167" s="147"/>
      <c r="I167" s="147"/>
      <c r="J167" s="147"/>
      <c r="K167" s="147"/>
      <c r="L167" s="147"/>
      <c r="M167" s="147"/>
      <c r="N167" s="4670" t="s">
        <v>6736</v>
      </c>
      <c r="O167" s="147"/>
      <c r="P167" s="147"/>
      <c r="Q167" s="147"/>
      <c r="R167" s="147"/>
      <c r="S167" s="147"/>
      <c r="T167" s="147"/>
      <c r="U167" s="147"/>
    </row>
    <row r="168" spans="1:21">
      <c r="A168" s="147"/>
      <c r="B168" s="147"/>
      <c r="C168" s="326"/>
      <c r="D168" s="147"/>
      <c r="E168" s="147"/>
      <c r="F168" s="147"/>
      <c r="G168" s="147"/>
      <c r="H168" s="147"/>
      <c r="I168" s="147"/>
      <c r="J168" s="147"/>
      <c r="K168" s="147"/>
      <c r="L168" s="147"/>
      <c r="M168" s="147"/>
      <c r="N168" s="4670" t="s">
        <v>6737</v>
      </c>
      <c r="O168" s="147"/>
      <c r="P168" s="147"/>
      <c r="Q168" s="147"/>
      <c r="R168" s="147"/>
      <c r="S168" s="147"/>
      <c r="T168" s="147"/>
      <c r="U168" s="147"/>
    </row>
    <row r="169" spans="1:21">
      <c r="A169" s="147"/>
      <c r="B169" s="147"/>
      <c r="C169" s="4677" t="s">
        <v>6738</v>
      </c>
      <c r="D169" s="147"/>
      <c r="E169" s="147"/>
      <c r="F169" s="147"/>
      <c r="G169" s="147"/>
      <c r="H169" s="147"/>
      <c r="I169" s="147"/>
      <c r="J169" s="147"/>
      <c r="K169" s="147"/>
      <c r="L169" s="147"/>
      <c r="M169" s="147"/>
      <c r="N169" s="4670" t="s">
        <v>6739</v>
      </c>
      <c r="O169" s="147"/>
      <c r="P169" s="147"/>
      <c r="Q169" s="147"/>
      <c r="R169" s="147"/>
      <c r="S169" s="147"/>
      <c r="T169" s="147"/>
      <c r="U169" s="147"/>
    </row>
    <row r="170" spans="1:21">
      <c r="A170" s="147"/>
      <c r="B170" s="147"/>
      <c r="C170" s="4677" t="s">
        <v>6740</v>
      </c>
      <c r="D170" s="147"/>
      <c r="E170" s="147"/>
      <c r="F170" s="147"/>
      <c r="G170" s="147"/>
      <c r="H170" s="147"/>
      <c r="I170" s="147"/>
      <c r="J170" s="147"/>
      <c r="K170" s="147"/>
      <c r="L170" s="147"/>
      <c r="M170" s="147"/>
      <c r="N170" s="4670" t="s">
        <v>6741</v>
      </c>
      <c r="O170" s="147"/>
      <c r="P170" s="147"/>
      <c r="Q170" s="147"/>
      <c r="R170" s="147"/>
      <c r="S170" s="147"/>
      <c r="T170" s="147"/>
      <c r="U170" s="147"/>
    </row>
    <row r="171" spans="1:21">
      <c r="A171" s="147"/>
      <c r="B171" s="147"/>
      <c r="C171" s="4677" t="s">
        <v>6742</v>
      </c>
      <c r="D171" s="147"/>
      <c r="E171" s="147"/>
      <c r="F171" s="147"/>
      <c r="G171" s="147"/>
      <c r="H171" s="147"/>
      <c r="I171" s="147"/>
      <c r="J171" s="147"/>
      <c r="K171" s="147"/>
      <c r="L171" s="147"/>
      <c r="M171" s="147"/>
      <c r="N171" s="4670" t="s">
        <v>6743</v>
      </c>
      <c r="O171" s="147"/>
      <c r="P171" s="147"/>
      <c r="Q171" s="147"/>
      <c r="R171" s="147"/>
      <c r="S171" s="147"/>
      <c r="T171" s="147"/>
      <c r="U171" s="147"/>
    </row>
    <row r="172" spans="1:21">
      <c r="A172" s="147"/>
      <c r="B172" s="147"/>
      <c r="C172" s="147"/>
      <c r="D172" s="147"/>
      <c r="E172" s="147"/>
      <c r="F172" s="147"/>
      <c r="G172" s="147"/>
      <c r="H172" s="147"/>
      <c r="I172" s="147"/>
      <c r="J172" s="147"/>
      <c r="K172" s="147"/>
      <c r="L172" s="147"/>
      <c r="M172" s="147"/>
      <c r="N172" s="147"/>
      <c r="O172" s="147"/>
      <c r="P172" s="147"/>
      <c r="Q172" s="147"/>
      <c r="R172" s="147"/>
      <c r="S172" s="147"/>
      <c r="T172" s="147"/>
      <c r="U172" s="147"/>
    </row>
    <row r="173" spans="1:21" ht="18">
      <c r="A173" s="147"/>
      <c r="B173" s="147"/>
      <c r="C173" s="155" t="s">
        <v>6744</v>
      </c>
      <c r="D173" s="147"/>
      <c r="E173" s="147"/>
      <c r="F173" s="147"/>
      <c r="G173" s="147"/>
      <c r="H173" s="147"/>
      <c r="I173" s="147"/>
      <c r="J173" s="147"/>
      <c r="K173" s="147"/>
      <c r="L173" s="147"/>
      <c r="M173" s="147"/>
      <c r="N173" s="155" t="s">
        <v>6745</v>
      </c>
      <c r="O173" s="147"/>
      <c r="P173" s="147"/>
      <c r="Q173" s="147"/>
      <c r="R173" s="147"/>
      <c r="S173" s="147"/>
      <c r="T173" s="147"/>
      <c r="U173" s="147"/>
    </row>
    <row r="174" spans="1:21">
      <c r="A174" s="147"/>
      <c r="B174" s="147"/>
      <c r="C174" s="147"/>
      <c r="D174" s="147"/>
      <c r="E174" s="147"/>
      <c r="F174" s="147"/>
      <c r="G174" s="147"/>
      <c r="H174" s="147"/>
      <c r="I174" s="147"/>
      <c r="J174" s="147"/>
      <c r="K174" s="147"/>
      <c r="L174" s="147"/>
      <c r="M174" s="147"/>
      <c r="N174" s="326"/>
      <c r="O174" s="147"/>
      <c r="P174" s="147"/>
      <c r="Q174" s="147"/>
      <c r="R174" s="147"/>
      <c r="S174" s="147"/>
      <c r="T174" s="147"/>
      <c r="U174" s="147"/>
    </row>
    <row r="175" spans="1:21">
      <c r="A175" s="147"/>
      <c r="B175" s="147"/>
      <c r="C175" s="147" t="s">
        <v>6746</v>
      </c>
      <c r="D175" s="147"/>
      <c r="E175" s="147"/>
      <c r="F175" s="147"/>
      <c r="G175" s="147"/>
      <c r="H175" s="147"/>
      <c r="I175" s="147"/>
      <c r="J175" s="147"/>
      <c r="K175" s="147"/>
      <c r="L175" s="147"/>
      <c r="M175" s="147"/>
      <c r="N175" s="4670" t="s">
        <v>6747</v>
      </c>
      <c r="O175" s="147"/>
      <c r="P175" s="147"/>
      <c r="Q175" s="147"/>
      <c r="R175" s="147"/>
      <c r="S175" s="147"/>
      <c r="T175" s="147"/>
      <c r="U175" s="147"/>
    </row>
    <row r="176" spans="1:21">
      <c r="A176" s="147"/>
      <c r="B176" s="147"/>
      <c r="C176" s="147"/>
      <c r="D176" s="147"/>
      <c r="E176" s="147"/>
      <c r="F176" s="147"/>
      <c r="G176" s="147"/>
      <c r="H176" s="147"/>
      <c r="I176" s="147"/>
      <c r="J176" s="147"/>
      <c r="K176" s="147"/>
      <c r="L176" s="147"/>
      <c r="M176" s="147"/>
      <c r="N176" s="4670" t="s">
        <v>6748</v>
      </c>
      <c r="O176" s="147"/>
      <c r="P176" s="147"/>
      <c r="Q176" s="147"/>
      <c r="R176" s="147"/>
      <c r="S176" s="147"/>
      <c r="T176" s="147"/>
      <c r="U176" s="147"/>
    </row>
    <row r="177" spans="1:21">
      <c r="A177" s="147"/>
      <c r="B177" s="147"/>
      <c r="C177" s="147" t="s">
        <v>6678</v>
      </c>
      <c r="D177" s="147"/>
      <c r="E177" s="147"/>
      <c r="F177" s="147"/>
      <c r="G177" s="147"/>
      <c r="H177" s="147"/>
      <c r="I177" s="147"/>
      <c r="J177" s="147"/>
      <c r="K177" s="147"/>
      <c r="L177" s="147"/>
      <c r="M177" s="147"/>
      <c r="N177" s="4670" t="s">
        <v>3222</v>
      </c>
      <c r="O177" s="147"/>
      <c r="P177" s="147"/>
      <c r="Q177" s="147"/>
      <c r="R177" s="147"/>
      <c r="S177" s="147"/>
      <c r="T177" s="147"/>
      <c r="U177" s="147"/>
    </row>
    <row r="178" spans="1:21">
      <c r="A178" s="147"/>
      <c r="B178" s="147"/>
      <c r="C178" s="326"/>
      <c r="D178" s="147"/>
      <c r="E178" s="147"/>
      <c r="F178" s="147"/>
      <c r="G178" s="147"/>
      <c r="H178" s="147"/>
      <c r="I178" s="147"/>
      <c r="J178" s="147"/>
      <c r="K178" s="147"/>
      <c r="L178" s="147"/>
      <c r="M178" s="147"/>
      <c r="N178" s="4670" t="s">
        <v>6749</v>
      </c>
      <c r="O178" s="147"/>
      <c r="P178" s="147"/>
      <c r="Q178" s="147"/>
      <c r="R178" s="147"/>
      <c r="S178" s="147"/>
      <c r="T178" s="147"/>
      <c r="U178" s="147"/>
    </row>
    <row r="179" spans="1:21">
      <c r="A179" s="147"/>
      <c r="B179" s="147"/>
      <c r="C179" s="4677" t="s">
        <v>6750</v>
      </c>
      <c r="D179" s="147"/>
      <c r="E179" s="147"/>
      <c r="F179" s="147"/>
      <c r="G179" s="147"/>
      <c r="H179" s="147"/>
      <c r="I179" s="147"/>
      <c r="J179" s="147"/>
      <c r="K179" s="147"/>
      <c r="L179" s="147"/>
      <c r="M179" s="147"/>
      <c r="N179" s="4670" t="s">
        <v>6751</v>
      </c>
      <c r="O179" s="147"/>
      <c r="P179" s="147"/>
      <c r="Q179" s="147"/>
      <c r="R179" s="147"/>
      <c r="S179" s="147"/>
      <c r="T179" s="147"/>
      <c r="U179" s="147"/>
    </row>
    <row r="180" spans="1:21">
      <c r="A180" s="147"/>
      <c r="B180" s="147"/>
      <c r="C180" s="4677" t="s">
        <v>6752</v>
      </c>
      <c r="D180" s="147"/>
      <c r="E180" s="147"/>
      <c r="F180" s="147"/>
      <c r="G180" s="147"/>
      <c r="H180" s="147"/>
      <c r="I180" s="147"/>
      <c r="J180" s="147"/>
      <c r="K180" s="147"/>
      <c r="L180" s="147"/>
      <c r="M180" s="147"/>
      <c r="N180" s="4670" t="s">
        <v>6753</v>
      </c>
      <c r="O180" s="147"/>
      <c r="P180" s="147"/>
      <c r="Q180" s="147"/>
      <c r="R180" s="147"/>
      <c r="S180" s="147"/>
      <c r="T180" s="147"/>
      <c r="U180" s="147"/>
    </row>
    <row r="181" spans="1:21">
      <c r="A181" s="147"/>
      <c r="B181" s="147"/>
      <c r="C181" s="4677" t="s">
        <v>6754</v>
      </c>
      <c r="D181" s="147"/>
      <c r="E181" s="147"/>
      <c r="F181" s="147"/>
      <c r="G181" s="147"/>
      <c r="H181" s="147"/>
      <c r="I181" s="147"/>
      <c r="J181" s="147"/>
      <c r="K181" s="147"/>
      <c r="L181" s="147"/>
      <c r="M181" s="147"/>
      <c r="N181" s="4670" t="s">
        <v>6755</v>
      </c>
      <c r="O181" s="147"/>
      <c r="P181" s="147"/>
      <c r="Q181" s="147"/>
      <c r="R181" s="147"/>
      <c r="S181" s="147"/>
      <c r="T181" s="147"/>
      <c r="U181" s="147"/>
    </row>
    <row r="182" spans="1:21">
      <c r="A182" s="147"/>
      <c r="B182" s="147"/>
      <c r="C182" s="147"/>
      <c r="D182" s="147"/>
      <c r="E182" s="147"/>
      <c r="F182" s="147"/>
      <c r="G182" s="147"/>
      <c r="H182" s="147"/>
      <c r="I182" s="147"/>
      <c r="J182" s="147"/>
      <c r="K182" s="147"/>
      <c r="L182" s="147"/>
      <c r="M182" s="147"/>
      <c r="N182" s="4670" t="s">
        <v>6756</v>
      </c>
      <c r="O182" s="147"/>
      <c r="P182" s="147"/>
      <c r="Q182" s="147"/>
      <c r="R182" s="147"/>
      <c r="S182" s="147"/>
      <c r="T182" s="147"/>
      <c r="U182" s="147"/>
    </row>
    <row r="183" spans="1:21" ht="18">
      <c r="A183" s="147"/>
      <c r="B183" s="147"/>
      <c r="C183" s="155" t="s">
        <v>6757</v>
      </c>
      <c r="D183" s="147"/>
      <c r="E183" s="147"/>
      <c r="F183" s="147"/>
      <c r="G183" s="147"/>
      <c r="H183" s="147"/>
      <c r="I183" s="147"/>
      <c r="J183" s="147"/>
      <c r="K183" s="147"/>
      <c r="L183" s="147"/>
      <c r="M183" s="147"/>
      <c r="N183" s="4670" t="s">
        <v>6758</v>
      </c>
      <c r="O183" s="147"/>
      <c r="P183" s="147"/>
      <c r="Q183" s="147"/>
      <c r="R183" s="147"/>
      <c r="S183" s="147"/>
      <c r="T183" s="147"/>
      <c r="U183" s="147"/>
    </row>
    <row r="184" spans="1:21">
      <c r="A184" s="147"/>
      <c r="B184" s="147"/>
      <c r="C184" s="147"/>
      <c r="D184" s="147"/>
      <c r="E184" s="147"/>
      <c r="F184" s="147"/>
      <c r="G184" s="147"/>
      <c r="H184" s="147"/>
      <c r="I184" s="147"/>
      <c r="J184" s="147"/>
      <c r="K184" s="147"/>
      <c r="L184" s="147"/>
      <c r="M184" s="147"/>
      <c r="N184" s="4670" t="s">
        <v>6759</v>
      </c>
      <c r="O184" s="147"/>
      <c r="P184" s="147"/>
      <c r="Q184" s="147"/>
      <c r="R184" s="147"/>
      <c r="S184" s="147"/>
      <c r="T184" s="147"/>
      <c r="U184" s="147"/>
    </row>
    <row r="185" spans="1:21">
      <c r="A185" s="147"/>
      <c r="B185" s="147"/>
      <c r="C185" s="147" t="s">
        <v>6760</v>
      </c>
      <c r="D185" s="147"/>
      <c r="E185" s="147"/>
      <c r="F185" s="147"/>
      <c r="G185" s="147"/>
      <c r="H185" s="147"/>
      <c r="I185" s="147"/>
      <c r="J185" s="147"/>
      <c r="K185" s="147"/>
      <c r="L185" s="147"/>
      <c r="M185" s="147"/>
      <c r="N185" s="147"/>
      <c r="O185" s="147"/>
      <c r="P185" s="147"/>
      <c r="Q185" s="147"/>
      <c r="R185" s="147"/>
      <c r="S185" s="147"/>
      <c r="T185" s="147"/>
      <c r="U185" s="147"/>
    </row>
    <row r="186" spans="1:21" ht="18">
      <c r="A186" s="147"/>
      <c r="B186" s="147"/>
      <c r="C186" s="147"/>
      <c r="D186" s="147"/>
      <c r="E186" s="147"/>
      <c r="F186" s="147"/>
      <c r="G186" s="147"/>
      <c r="H186" s="147"/>
      <c r="I186" s="147"/>
      <c r="J186" s="147"/>
      <c r="K186" s="147"/>
      <c r="L186" s="147"/>
      <c r="M186" s="147"/>
      <c r="N186" s="155" t="s">
        <v>6761</v>
      </c>
      <c r="O186" s="147"/>
      <c r="P186" s="147"/>
      <c r="Q186" s="147"/>
      <c r="R186" s="147"/>
      <c r="S186" s="147"/>
      <c r="T186" s="147"/>
      <c r="U186" s="147"/>
    </row>
    <row r="187" spans="1:21">
      <c r="A187" s="147"/>
      <c r="B187" s="147"/>
      <c r="C187" s="147" t="s">
        <v>6678</v>
      </c>
      <c r="D187" s="147"/>
      <c r="E187" s="147"/>
      <c r="F187" s="147"/>
      <c r="G187" s="147"/>
      <c r="H187" s="147"/>
      <c r="I187" s="147"/>
      <c r="J187" s="147"/>
      <c r="K187" s="147"/>
      <c r="L187" s="147"/>
      <c r="M187" s="147"/>
      <c r="N187" s="326"/>
      <c r="O187" s="147"/>
      <c r="P187" s="147"/>
      <c r="Q187" s="147"/>
      <c r="R187" s="147"/>
      <c r="S187" s="147"/>
      <c r="T187" s="147"/>
      <c r="U187" s="147"/>
    </row>
    <row r="188" spans="1:21">
      <c r="A188" s="147"/>
      <c r="B188" s="147"/>
      <c r="C188" s="326"/>
      <c r="D188" s="147"/>
      <c r="E188" s="147"/>
      <c r="F188" s="147"/>
      <c r="G188" s="147"/>
      <c r="H188" s="147"/>
      <c r="I188" s="147"/>
      <c r="J188" s="147"/>
      <c r="K188" s="147"/>
      <c r="L188" s="147"/>
      <c r="M188" s="147"/>
      <c r="N188" s="4670" t="s">
        <v>6762</v>
      </c>
      <c r="O188" s="147"/>
      <c r="P188" s="147"/>
      <c r="Q188" s="147"/>
      <c r="R188" s="147"/>
      <c r="S188" s="147"/>
      <c r="T188" s="147"/>
      <c r="U188" s="147"/>
    </row>
    <row r="189" spans="1:21">
      <c r="A189" s="147"/>
      <c r="B189" s="147"/>
      <c r="C189" s="4677" t="s">
        <v>6763</v>
      </c>
      <c r="D189" s="147"/>
      <c r="E189" s="147"/>
      <c r="F189" s="147"/>
      <c r="G189" s="147"/>
      <c r="H189" s="147"/>
      <c r="I189" s="147"/>
      <c r="J189" s="147"/>
      <c r="K189" s="147"/>
      <c r="L189" s="147"/>
      <c r="M189" s="147"/>
      <c r="N189" s="4670" t="s">
        <v>6764</v>
      </c>
      <c r="O189" s="147"/>
      <c r="P189" s="147"/>
      <c r="Q189" s="147"/>
      <c r="R189" s="147"/>
      <c r="S189" s="147"/>
      <c r="T189" s="147"/>
      <c r="U189" s="147"/>
    </row>
    <row r="190" spans="1:21">
      <c r="A190" s="147"/>
      <c r="B190" s="147"/>
      <c r="C190" s="4677" t="s">
        <v>6765</v>
      </c>
      <c r="D190" s="147"/>
      <c r="E190" s="147"/>
      <c r="F190" s="147"/>
      <c r="G190" s="147"/>
      <c r="H190" s="147"/>
      <c r="I190" s="147"/>
      <c r="J190" s="147"/>
      <c r="K190" s="147"/>
      <c r="L190" s="147"/>
      <c r="M190" s="147"/>
      <c r="N190" s="4670" t="s">
        <v>6766</v>
      </c>
      <c r="O190" s="147"/>
      <c r="P190" s="147"/>
      <c r="Q190" s="147"/>
      <c r="R190" s="147"/>
      <c r="S190" s="147"/>
      <c r="T190" s="147"/>
      <c r="U190" s="147"/>
    </row>
    <row r="191" spans="1:21">
      <c r="A191" s="147"/>
      <c r="B191" s="147"/>
      <c r="C191" s="4677" t="s">
        <v>6767</v>
      </c>
      <c r="D191" s="147"/>
      <c r="E191" s="147"/>
      <c r="F191" s="147"/>
      <c r="G191" s="147"/>
      <c r="H191" s="147"/>
      <c r="I191" s="147"/>
      <c r="J191" s="147"/>
      <c r="K191" s="147"/>
      <c r="L191" s="147"/>
      <c r="M191" s="147"/>
      <c r="N191" s="4670" t="s">
        <v>6768</v>
      </c>
      <c r="O191" s="147"/>
      <c r="P191" s="147"/>
      <c r="Q191" s="147"/>
      <c r="R191" s="147"/>
      <c r="S191" s="147"/>
      <c r="T191" s="147"/>
      <c r="U191" s="147"/>
    </row>
    <row r="192" spans="1:21">
      <c r="A192" s="147"/>
      <c r="B192" s="147"/>
      <c r="C192" s="147"/>
      <c r="D192" s="147"/>
      <c r="E192" s="147"/>
      <c r="F192" s="147"/>
      <c r="G192" s="147"/>
      <c r="H192" s="147"/>
      <c r="I192" s="147"/>
      <c r="J192" s="147"/>
      <c r="K192" s="147"/>
      <c r="L192" s="147"/>
      <c r="M192" s="147"/>
      <c r="N192" s="4670" t="s">
        <v>6769</v>
      </c>
      <c r="O192" s="147"/>
      <c r="P192" s="147"/>
      <c r="Q192" s="147"/>
      <c r="R192" s="147"/>
      <c r="S192" s="147"/>
      <c r="T192" s="147"/>
      <c r="U192" s="147"/>
    </row>
    <row r="193" spans="1:21">
      <c r="A193" s="147"/>
      <c r="B193" s="147"/>
      <c r="C193" s="147" t="s">
        <v>6770</v>
      </c>
      <c r="D193" s="147"/>
      <c r="E193" s="147"/>
      <c r="F193" s="147"/>
      <c r="G193" s="147"/>
      <c r="H193" s="147"/>
      <c r="I193" s="147"/>
      <c r="J193" s="147"/>
      <c r="K193" s="147"/>
      <c r="L193" s="147"/>
      <c r="M193" s="147"/>
      <c r="N193" s="4670" t="s">
        <v>6771</v>
      </c>
      <c r="O193" s="147"/>
      <c r="P193" s="147"/>
      <c r="Q193" s="147"/>
      <c r="R193" s="147"/>
      <c r="S193" s="147"/>
      <c r="T193" s="147"/>
      <c r="U193" s="147"/>
    </row>
    <row r="194" spans="1:21">
      <c r="A194" s="147"/>
      <c r="B194" s="147"/>
      <c r="C194" s="147" t="s">
        <v>6772</v>
      </c>
      <c r="D194" s="147"/>
      <c r="E194" s="147"/>
      <c r="F194" s="147"/>
      <c r="G194" s="147"/>
      <c r="H194" s="147"/>
      <c r="I194" s="147"/>
      <c r="J194" s="147"/>
      <c r="K194" s="147"/>
      <c r="L194" s="147"/>
      <c r="M194" s="147"/>
      <c r="N194" s="4670" t="s">
        <v>6773</v>
      </c>
      <c r="O194" s="147"/>
      <c r="P194" s="147"/>
      <c r="Q194" s="147"/>
      <c r="R194" s="147"/>
      <c r="S194" s="147"/>
      <c r="T194" s="147"/>
      <c r="U194" s="147"/>
    </row>
    <row r="195" spans="1:21">
      <c r="A195" s="147"/>
      <c r="B195" s="147"/>
      <c r="C195" s="147"/>
      <c r="D195" s="147"/>
      <c r="E195" s="147"/>
      <c r="F195" s="147"/>
      <c r="G195" s="147"/>
      <c r="H195" s="147"/>
      <c r="I195" s="147"/>
      <c r="J195" s="147"/>
      <c r="K195" s="147"/>
      <c r="L195" s="147"/>
      <c r="M195" s="147"/>
      <c r="N195" s="4670" t="s">
        <v>6774</v>
      </c>
      <c r="O195" s="147"/>
      <c r="P195" s="147"/>
      <c r="Q195" s="147"/>
      <c r="R195" s="147"/>
      <c r="S195" s="147"/>
      <c r="T195" s="147"/>
      <c r="U195" s="147"/>
    </row>
    <row r="196" spans="1:21">
      <c r="A196" s="147"/>
      <c r="B196" s="147"/>
      <c r="C196" s="147"/>
      <c r="D196" s="147"/>
      <c r="E196" s="147"/>
      <c r="F196" s="147"/>
      <c r="G196" s="147"/>
      <c r="H196" s="147"/>
      <c r="I196" s="147"/>
      <c r="J196" s="147"/>
      <c r="K196" s="147"/>
      <c r="L196" s="147"/>
      <c r="M196" s="147"/>
      <c r="N196" s="4670" t="s">
        <v>6775</v>
      </c>
      <c r="O196" s="147"/>
      <c r="P196" s="147"/>
      <c r="Q196" s="147"/>
      <c r="R196" s="147"/>
      <c r="S196" s="147"/>
      <c r="T196" s="147"/>
      <c r="U196" s="147"/>
    </row>
    <row r="197" spans="1:21">
      <c r="A197" s="147"/>
      <c r="B197" s="147"/>
      <c r="C197" s="4669" t="s">
        <v>6776</v>
      </c>
      <c r="D197" s="147"/>
      <c r="E197" s="147"/>
      <c r="F197" s="147"/>
      <c r="G197" s="147"/>
      <c r="H197" s="147"/>
      <c r="I197" s="147"/>
      <c r="J197" s="147"/>
      <c r="K197" s="147"/>
      <c r="L197" s="147"/>
      <c r="M197" s="147"/>
      <c r="N197" s="4670" t="s">
        <v>6777</v>
      </c>
      <c r="O197" s="147"/>
      <c r="P197" s="147"/>
      <c r="Q197" s="147"/>
      <c r="R197" s="147"/>
      <c r="S197" s="147"/>
      <c r="T197" s="147"/>
      <c r="U197" s="147"/>
    </row>
    <row r="198" spans="1:21">
      <c r="A198" s="147"/>
      <c r="B198" s="147"/>
      <c r="C198" s="147" t="s">
        <v>6778</v>
      </c>
      <c r="D198" s="147"/>
      <c r="E198" s="147"/>
      <c r="F198" s="147"/>
      <c r="G198" s="147"/>
      <c r="H198" s="147"/>
      <c r="I198" s="147"/>
      <c r="J198" s="147"/>
      <c r="K198" s="147"/>
      <c r="L198" s="147"/>
      <c r="M198" s="147"/>
      <c r="N198" s="147"/>
      <c r="O198" s="147"/>
      <c r="P198" s="147"/>
      <c r="Q198" s="147"/>
      <c r="R198" s="147"/>
      <c r="S198" s="147"/>
      <c r="T198" s="147"/>
      <c r="U198" s="147"/>
    </row>
    <row r="199" spans="1:21">
      <c r="A199" s="147"/>
      <c r="B199" s="147"/>
      <c r="C199" s="147"/>
      <c r="D199" s="147"/>
      <c r="E199" s="147"/>
      <c r="F199" s="147"/>
      <c r="G199" s="147"/>
      <c r="H199" s="147"/>
      <c r="I199" s="147"/>
      <c r="J199" s="147"/>
      <c r="K199" s="147"/>
      <c r="L199" s="147"/>
      <c r="M199" s="147"/>
      <c r="N199" s="147" t="s">
        <v>6779</v>
      </c>
      <c r="O199" s="147"/>
      <c r="P199" s="147"/>
      <c r="Q199" s="147"/>
      <c r="R199" s="147"/>
      <c r="S199" s="147"/>
      <c r="T199" s="147"/>
      <c r="U199" s="147"/>
    </row>
    <row r="200" spans="1:21">
      <c r="A200" s="147"/>
      <c r="B200" s="147"/>
      <c r="C200" s="4669" t="s">
        <v>6780</v>
      </c>
      <c r="D200" s="147"/>
      <c r="E200" s="147"/>
      <c r="F200" s="147"/>
      <c r="G200" s="147"/>
      <c r="H200" s="147"/>
      <c r="I200" s="147"/>
      <c r="J200" s="147"/>
      <c r="K200" s="147"/>
      <c r="L200" s="147"/>
      <c r="M200" s="147"/>
      <c r="N200" s="147" t="s">
        <v>6781</v>
      </c>
      <c r="O200" s="147"/>
      <c r="P200" s="147"/>
      <c r="Q200" s="147"/>
      <c r="R200" s="147"/>
      <c r="S200" s="147"/>
      <c r="T200" s="147"/>
      <c r="U200" s="147"/>
    </row>
    <row r="201" spans="1:21">
      <c r="A201" s="147"/>
      <c r="B201" s="147"/>
      <c r="C201" s="261" t="s">
        <v>6782</v>
      </c>
      <c r="D201" s="147"/>
      <c r="E201" s="147"/>
      <c r="F201" s="147"/>
      <c r="G201" s="147"/>
      <c r="H201" s="147"/>
      <c r="I201" s="147"/>
      <c r="J201" s="147"/>
      <c r="K201" s="147"/>
      <c r="L201" s="147"/>
      <c r="M201" s="147"/>
      <c r="N201" s="147"/>
      <c r="O201" s="147"/>
      <c r="P201" s="147"/>
      <c r="Q201" s="147"/>
      <c r="R201" s="147"/>
      <c r="S201" s="147"/>
      <c r="T201" s="147"/>
      <c r="U201" s="147"/>
    </row>
    <row r="202" spans="1:21">
      <c r="A202" s="147"/>
      <c r="B202" s="147"/>
      <c r="C202" s="147"/>
      <c r="D202" s="147"/>
      <c r="E202" s="147"/>
      <c r="F202" s="147"/>
      <c r="G202" s="147"/>
      <c r="H202" s="147"/>
      <c r="I202" s="147"/>
      <c r="J202" s="147"/>
      <c r="K202" s="147"/>
      <c r="L202" s="147"/>
      <c r="M202" s="147"/>
      <c r="N202" s="147"/>
      <c r="O202" s="147"/>
      <c r="P202" s="147"/>
      <c r="Q202" s="147"/>
      <c r="R202" s="147"/>
      <c r="S202" s="147"/>
      <c r="T202" s="147"/>
      <c r="U202" s="147"/>
    </row>
    <row r="203" spans="1:21">
      <c r="A203" s="147"/>
      <c r="B203" s="147"/>
      <c r="C203" s="4669" t="s">
        <v>6783</v>
      </c>
      <c r="D203" s="147"/>
      <c r="E203" s="147"/>
      <c r="F203" s="147"/>
      <c r="G203" s="147"/>
      <c r="H203" s="147"/>
      <c r="I203" s="147"/>
      <c r="J203" s="147"/>
      <c r="K203" s="147"/>
      <c r="L203" s="147"/>
      <c r="M203" s="147"/>
      <c r="N203" s="147"/>
      <c r="O203" s="147"/>
      <c r="P203" s="147"/>
      <c r="Q203" s="147"/>
      <c r="R203" s="147"/>
      <c r="S203" s="147"/>
      <c r="T203" s="147"/>
      <c r="U203" s="147"/>
    </row>
    <row r="204" spans="1:21">
      <c r="A204" s="147"/>
      <c r="B204" s="147"/>
      <c r="C204" s="261" t="s">
        <v>6784</v>
      </c>
      <c r="D204" s="147"/>
      <c r="E204" s="147"/>
      <c r="F204" s="147"/>
      <c r="G204" s="147"/>
      <c r="H204" s="147"/>
      <c r="I204" s="147"/>
      <c r="J204" s="147"/>
      <c r="K204" s="147"/>
      <c r="L204" s="147"/>
      <c r="M204" s="147"/>
      <c r="N204" s="147"/>
      <c r="O204" s="147"/>
      <c r="P204" s="147"/>
      <c r="Q204" s="147"/>
      <c r="R204" s="147"/>
      <c r="S204" s="147"/>
      <c r="T204" s="147"/>
      <c r="U204" s="147"/>
    </row>
    <row r="205" spans="1:21">
      <c r="A205" s="147"/>
      <c r="B205" s="147"/>
      <c r="C205" s="147"/>
      <c r="D205" s="147"/>
      <c r="E205" s="147"/>
      <c r="F205" s="147"/>
      <c r="G205" s="147"/>
      <c r="H205" s="147"/>
      <c r="I205" s="147"/>
      <c r="J205" s="147"/>
      <c r="K205" s="147"/>
      <c r="L205" s="147"/>
      <c r="M205" s="147"/>
      <c r="N205" s="147"/>
      <c r="O205" s="147"/>
      <c r="P205" s="147"/>
      <c r="Q205" s="147"/>
      <c r="R205" s="147"/>
      <c r="S205" s="147"/>
      <c r="T205" s="147"/>
      <c r="U205" s="147"/>
    </row>
    <row r="206" spans="1:21">
      <c r="A206" s="147"/>
      <c r="B206" s="147"/>
      <c r="C206" s="4669" t="s">
        <v>6785</v>
      </c>
      <c r="D206" s="147"/>
      <c r="E206" s="147"/>
      <c r="F206" s="147"/>
      <c r="G206" s="147"/>
      <c r="H206" s="147"/>
      <c r="I206" s="147"/>
      <c r="J206" s="147"/>
      <c r="K206" s="147"/>
      <c r="L206" s="147"/>
      <c r="M206" s="147"/>
      <c r="N206" s="4669" t="s">
        <v>6786</v>
      </c>
      <c r="O206" s="147"/>
      <c r="P206" s="147"/>
      <c r="Q206" s="147"/>
      <c r="R206" s="147"/>
      <c r="S206" s="147"/>
      <c r="T206" s="147"/>
      <c r="U206" s="147"/>
    </row>
    <row r="207" spans="1:21">
      <c r="A207" s="147"/>
      <c r="B207" s="147"/>
      <c r="C207" s="261" t="s">
        <v>6787</v>
      </c>
      <c r="D207" s="147"/>
      <c r="E207" s="147"/>
      <c r="F207" s="147"/>
      <c r="G207" s="147"/>
      <c r="H207" s="147"/>
      <c r="I207" s="147"/>
      <c r="J207" s="147"/>
      <c r="K207" s="147"/>
      <c r="L207" s="147"/>
      <c r="M207" s="147"/>
      <c r="N207" s="261" t="s">
        <v>6788</v>
      </c>
      <c r="O207" s="147"/>
      <c r="P207" s="147"/>
      <c r="Q207" s="147"/>
      <c r="R207" s="147"/>
      <c r="S207" s="147"/>
      <c r="T207" s="147"/>
      <c r="U207" s="147"/>
    </row>
    <row r="208" spans="1:21">
      <c r="A208" s="147"/>
      <c r="B208" s="147"/>
      <c r="C208" s="147"/>
      <c r="D208" s="147"/>
      <c r="E208" s="147"/>
      <c r="F208" s="147"/>
      <c r="G208" s="147"/>
      <c r="H208" s="147"/>
      <c r="I208" s="147"/>
      <c r="J208" s="147"/>
      <c r="K208" s="147"/>
      <c r="L208" s="147"/>
      <c r="M208" s="147"/>
      <c r="N208" s="147"/>
      <c r="O208" s="147"/>
      <c r="P208" s="147"/>
      <c r="Q208" s="147"/>
      <c r="R208" s="147"/>
      <c r="S208" s="147"/>
      <c r="T208" s="147"/>
      <c r="U208" s="147"/>
    </row>
    <row r="209" spans="1:21">
      <c r="A209" s="147"/>
      <c r="B209" s="147"/>
      <c r="C209" s="4678" t="s">
        <v>6789</v>
      </c>
      <c r="D209" s="148" t="s">
        <v>6790</v>
      </c>
      <c r="F209" s="147"/>
      <c r="G209" s="147"/>
      <c r="H209" s="147"/>
      <c r="I209" s="147"/>
      <c r="J209" s="147"/>
      <c r="K209" s="147"/>
      <c r="L209" s="147"/>
      <c r="M209" s="147"/>
      <c r="N209" s="147"/>
      <c r="O209" s="147"/>
      <c r="P209" s="147"/>
      <c r="Q209" s="147"/>
      <c r="R209" s="147"/>
      <c r="S209" s="147"/>
      <c r="T209" s="147"/>
      <c r="U209" s="147"/>
    </row>
    <row r="210" spans="1:21">
      <c r="A210" s="147"/>
      <c r="B210" s="147"/>
      <c r="C210" s="147"/>
      <c r="D210" s="147"/>
      <c r="E210" s="147"/>
      <c r="F210" s="147"/>
      <c r="G210" s="147"/>
      <c r="H210" s="147"/>
      <c r="I210" s="147"/>
      <c r="J210" s="147"/>
      <c r="K210" s="147"/>
      <c r="L210" s="147"/>
      <c r="M210" s="147"/>
      <c r="N210" s="147"/>
      <c r="O210" s="147"/>
      <c r="P210" s="147"/>
      <c r="Q210" s="147"/>
      <c r="R210" s="147"/>
      <c r="S210" s="147"/>
      <c r="T210" s="147"/>
      <c r="U210" s="147"/>
    </row>
    <row r="211" spans="1:21">
      <c r="A211" s="147"/>
      <c r="B211" s="147"/>
      <c r="C211" s="147"/>
      <c r="D211" s="147"/>
      <c r="E211" s="147"/>
      <c r="F211" s="147"/>
      <c r="G211" s="147"/>
      <c r="H211" s="147"/>
      <c r="I211" s="147"/>
      <c r="J211" s="147"/>
      <c r="K211" s="147"/>
      <c r="L211" s="147"/>
      <c r="M211" s="147"/>
      <c r="N211" s="147"/>
      <c r="O211" s="147"/>
      <c r="P211" s="147"/>
      <c r="Q211" s="147"/>
      <c r="R211" s="147"/>
      <c r="S211" s="147"/>
      <c r="T211" s="147"/>
      <c r="U211" s="147"/>
    </row>
    <row r="212" spans="1:21" ht="18.75">
      <c r="A212" s="147"/>
      <c r="B212" s="147"/>
      <c r="C212" s="4679" t="s">
        <v>6791</v>
      </c>
      <c r="D212" s="147"/>
      <c r="E212" s="147"/>
      <c r="F212" s="147"/>
      <c r="G212" s="147"/>
      <c r="H212" s="147"/>
      <c r="I212" s="147"/>
      <c r="J212" s="147"/>
      <c r="K212" s="147"/>
      <c r="L212" s="147"/>
      <c r="M212" s="147"/>
      <c r="N212" s="147"/>
      <c r="O212" s="147"/>
      <c r="P212" s="147"/>
      <c r="Q212" s="147"/>
      <c r="R212" s="147"/>
      <c r="S212" s="147"/>
      <c r="T212" s="147"/>
      <c r="U212" s="147"/>
    </row>
    <row r="213" spans="1:21">
      <c r="A213" s="147"/>
      <c r="B213" s="147"/>
      <c r="C213" s="147"/>
      <c r="D213" s="147"/>
      <c r="E213" s="147"/>
      <c r="F213" s="147"/>
      <c r="G213" s="147"/>
      <c r="H213" s="147"/>
      <c r="I213" s="147"/>
      <c r="J213" s="147"/>
      <c r="K213" s="147"/>
      <c r="L213" s="147"/>
      <c r="M213" s="147"/>
      <c r="N213" s="147"/>
      <c r="O213" s="147"/>
      <c r="P213" s="147"/>
      <c r="Q213" s="147"/>
      <c r="R213" s="147"/>
      <c r="S213" s="147"/>
      <c r="T213" s="147"/>
      <c r="U213" s="147"/>
    </row>
    <row r="214" spans="1:21" ht="18">
      <c r="A214" s="147"/>
      <c r="B214" s="147"/>
      <c r="C214" s="155" t="s">
        <v>6792</v>
      </c>
      <c r="D214" s="141"/>
      <c r="E214" s="141"/>
      <c r="F214" s="141"/>
      <c r="G214" s="147"/>
      <c r="H214" s="147"/>
      <c r="I214" s="147"/>
      <c r="J214" s="147"/>
      <c r="K214" s="147"/>
      <c r="L214" s="147"/>
      <c r="M214" s="147"/>
      <c r="N214" s="147"/>
      <c r="O214" s="147"/>
      <c r="P214" s="147"/>
      <c r="Q214" s="147"/>
      <c r="R214" s="147"/>
      <c r="S214" s="147"/>
      <c r="T214" s="147"/>
      <c r="U214" s="147"/>
    </row>
    <row r="215" spans="1:21">
      <c r="A215" s="147"/>
      <c r="B215" s="147"/>
      <c r="C215" s="141"/>
      <c r="D215" s="141"/>
      <c r="E215" s="141"/>
      <c r="F215" s="141"/>
      <c r="G215" s="147"/>
      <c r="H215" s="147"/>
      <c r="I215" s="147"/>
      <c r="J215" s="147"/>
      <c r="K215" s="147"/>
      <c r="L215" s="147"/>
      <c r="M215" s="147"/>
      <c r="N215" s="147"/>
      <c r="O215" s="147"/>
      <c r="P215" s="147"/>
      <c r="Q215" s="147"/>
      <c r="R215" s="147"/>
      <c r="S215" s="147"/>
      <c r="T215" s="147"/>
      <c r="U215" s="147"/>
    </row>
    <row r="216" spans="1:21">
      <c r="A216" s="147"/>
      <c r="B216" s="147"/>
      <c r="C216" s="141" t="s">
        <v>6793</v>
      </c>
      <c r="D216" s="141"/>
      <c r="E216" s="141"/>
      <c r="F216" s="141"/>
      <c r="G216" s="147"/>
      <c r="H216" s="147"/>
      <c r="I216" s="147"/>
      <c r="J216" s="147"/>
      <c r="K216" s="147"/>
      <c r="L216" s="147"/>
      <c r="M216" s="147"/>
      <c r="N216" s="147"/>
      <c r="O216" s="147"/>
      <c r="P216" s="147"/>
      <c r="Q216" s="147"/>
      <c r="R216" s="147"/>
      <c r="S216" s="147"/>
      <c r="T216" s="147"/>
      <c r="U216" s="147"/>
    </row>
    <row r="217" spans="1:21">
      <c r="A217" s="147"/>
      <c r="B217" s="147"/>
      <c r="C217" s="141"/>
      <c r="D217" s="141"/>
      <c r="E217" s="141"/>
      <c r="F217" s="141"/>
      <c r="G217" s="147"/>
      <c r="H217" s="147"/>
      <c r="I217" s="147"/>
      <c r="J217" s="147"/>
      <c r="K217" s="147"/>
      <c r="L217" s="147"/>
      <c r="M217" s="147"/>
      <c r="N217" s="147"/>
      <c r="O217" s="147"/>
      <c r="P217" s="147"/>
      <c r="Q217" s="147"/>
      <c r="R217" s="147"/>
      <c r="S217" s="147"/>
      <c r="T217" s="147"/>
      <c r="U217" s="147"/>
    </row>
    <row r="218" spans="1:21">
      <c r="A218" s="147"/>
      <c r="B218" s="147"/>
      <c r="C218" s="147"/>
      <c r="D218" s="261" t="s">
        <v>6794</v>
      </c>
      <c r="E218" s="141"/>
      <c r="F218" s="141"/>
      <c r="G218" s="147"/>
      <c r="H218" s="147"/>
      <c r="I218" s="147"/>
      <c r="J218" s="147"/>
      <c r="K218" s="147"/>
      <c r="L218" s="147"/>
      <c r="M218" s="147"/>
      <c r="N218" s="147"/>
      <c r="O218" s="147"/>
      <c r="P218" s="147"/>
      <c r="Q218" s="147"/>
      <c r="R218" s="147"/>
      <c r="S218" s="147"/>
      <c r="T218" s="147"/>
      <c r="U218" s="147"/>
    </row>
    <row r="219" spans="1:21">
      <c r="A219" s="147"/>
      <c r="B219" s="147"/>
      <c r="C219" s="141"/>
      <c r="D219" s="141"/>
      <c r="E219" s="141"/>
      <c r="F219" s="141"/>
      <c r="G219" s="147"/>
      <c r="H219" s="147"/>
      <c r="I219" s="147"/>
      <c r="J219" s="147"/>
      <c r="K219" s="147"/>
      <c r="L219" s="147"/>
      <c r="M219" s="147"/>
      <c r="N219" s="147"/>
      <c r="O219" s="147"/>
      <c r="P219" s="147"/>
      <c r="Q219" s="147"/>
      <c r="R219" s="147"/>
      <c r="S219" s="147"/>
      <c r="T219" s="147"/>
      <c r="U219" s="147"/>
    </row>
    <row r="220" spans="1:21" ht="23.25">
      <c r="A220" s="147"/>
      <c r="B220" s="147"/>
      <c r="C220" s="4680" t="s">
        <v>6795</v>
      </c>
      <c r="D220" s="141"/>
      <c r="E220" s="141"/>
      <c r="F220" s="141"/>
      <c r="G220" s="147"/>
      <c r="H220" s="147"/>
      <c r="I220" s="147"/>
      <c r="J220" s="147"/>
      <c r="K220" s="147"/>
      <c r="L220" s="147"/>
      <c r="M220" s="147"/>
      <c r="N220" s="147"/>
      <c r="O220" s="147"/>
      <c r="P220" s="147"/>
      <c r="Q220" s="147"/>
      <c r="R220" s="147"/>
      <c r="S220" s="147"/>
      <c r="T220" s="147"/>
      <c r="U220" s="147"/>
    </row>
    <row r="221" spans="1:21">
      <c r="A221" s="147"/>
      <c r="B221" s="147"/>
      <c r="C221" s="4681"/>
      <c r="D221" s="141"/>
      <c r="E221" s="141"/>
      <c r="F221" s="141"/>
      <c r="G221" s="147"/>
      <c r="H221" s="147"/>
      <c r="I221" s="147"/>
      <c r="J221" s="147"/>
      <c r="K221" s="147"/>
      <c r="L221" s="147"/>
      <c r="M221" s="147"/>
      <c r="N221" s="147"/>
      <c r="O221" s="147"/>
      <c r="P221" s="147"/>
      <c r="Q221" s="147"/>
      <c r="R221" s="147"/>
      <c r="S221" s="147"/>
      <c r="T221" s="147"/>
      <c r="U221" s="147"/>
    </row>
    <row r="222" spans="1:21">
      <c r="A222" s="147"/>
      <c r="B222" s="147"/>
      <c r="C222" s="4682" t="s">
        <v>6796</v>
      </c>
      <c r="D222" s="141"/>
      <c r="E222" s="141"/>
      <c r="F222" s="141"/>
      <c r="G222" s="147"/>
      <c r="H222" s="147"/>
      <c r="I222" s="147"/>
      <c r="J222" s="147"/>
      <c r="K222" s="147"/>
      <c r="L222" s="147"/>
      <c r="M222" s="147"/>
      <c r="N222" s="147"/>
      <c r="O222" s="147"/>
      <c r="P222" s="147"/>
      <c r="Q222" s="147"/>
      <c r="R222" s="147"/>
      <c r="S222" s="147"/>
      <c r="T222" s="147"/>
      <c r="U222" s="147"/>
    </row>
    <row r="223" spans="1:21">
      <c r="A223" s="147"/>
      <c r="B223" s="147"/>
      <c r="C223" s="4682" t="s">
        <v>6797</v>
      </c>
      <c r="D223" s="141"/>
      <c r="E223" s="141"/>
      <c r="F223" s="141"/>
      <c r="G223" s="147"/>
      <c r="H223" s="147"/>
      <c r="I223" s="147"/>
      <c r="J223" s="147"/>
      <c r="K223" s="147"/>
      <c r="L223" s="147"/>
      <c r="M223" s="147"/>
      <c r="N223" s="147"/>
      <c r="O223" s="147"/>
      <c r="P223" s="147"/>
      <c r="Q223" s="147"/>
      <c r="R223" s="147"/>
      <c r="S223" s="147"/>
      <c r="T223" s="147"/>
      <c r="U223" s="147"/>
    </row>
    <row r="224" spans="1:21">
      <c r="A224" s="147"/>
      <c r="B224" s="147"/>
      <c r="C224" s="4682" t="s">
        <v>6798</v>
      </c>
      <c r="D224" s="141"/>
      <c r="E224" s="141"/>
      <c r="F224" s="141"/>
      <c r="G224" s="147"/>
      <c r="H224" s="147"/>
      <c r="I224" s="147"/>
      <c r="J224" s="147"/>
      <c r="K224" s="147"/>
      <c r="L224" s="147"/>
      <c r="M224" s="147"/>
      <c r="N224" s="147"/>
      <c r="O224" s="147"/>
      <c r="P224" s="147"/>
      <c r="Q224" s="147"/>
      <c r="R224" s="147"/>
      <c r="S224" s="147"/>
      <c r="T224" s="147"/>
      <c r="U224" s="147"/>
    </row>
    <row r="225" spans="1:21">
      <c r="A225" s="147"/>
      <c r="B225" s="147"/>
      <c r="C225" s="4682" t="s">
        <v>6799</v>
      </c>
      <c r="D225" s="141"/>
      <c r="E225" s="141"/>
      <c r="F225" s="141"/>
      <c r="G225" s="147"/>
      <c r="H225" s="147"/>
      <c r="I225" s="147"/>
      <c r="J225" s="147"/>
      <c r="K225" s="147"/>
      <c r="L225" s="147"/>
      <c r="M225" s="147"/>
      <c r="N225" s="147"/>
      <c r="O225" s="147"/>
      <c r="P225" s="147"/>
      <c r="Q225" s="147"/>
      <c r="R225" s="147"/>
      <c r="S225" s="147"/>
      <c r="T225" s="147"/>
      <c r="U225" s="147"/>
    </row>
    <row r="226" spans="1:21">
      <c r="A226" s="147"/>
      <c r="B226" s="147"/>
      <c r="C226" s="4682" t="s">
        <v>6800</v>
      </c>
      <c r="D226" s="141"/>
      <c r="E226" s="141"/>
      <c r="F226" s="141"/>
      <c r="G226" s="147"/>
      <c r="H226" s="147"/>
      <c r="I226" s="147"/>
      <c r="J226" s="147"/>
      <c r="K226" s="147"/>
      <c r="L226" s="147"/>
      <c r="M226" s="147"/>
      <c r="N226" s="147"/>
      <c r="O226" s="147"/>
      <c r="P226" s="147"/>
      <c r="Q226" s="147"/>
      <c r="R226" s="147"/>
      <c r="S226" s="147"/>
      <c r="T226" s="147"/>
      <c r="U226" s="147"/>
    </row>
    <row r="227" spans="1:21">
      <c r="A227" s="147"/>
      <c r="B227" s="147"/>
      <c r="C227" s="4682" t="s">
        <v>6801</v>
      </c>
      <c r="D227" s="141"/>
      <c r="E227" s="141"/>
      <c r="F227" s="141"/>
      <c r="G227" s="147"/>
      <c r="H227" s="147"/>
      <c r="I227" s="147"/>
      <c r="J227" s="147"/>
      <c r="K227" s="147"/>
      <c r="L227" s="147"/>
      <c r="M227" s="147"/>
      <c r="N227" s="147"/>
      <c r="O227" s="147"/>
      <c r="P227" s="147"/>
      <c r="Q227" s="147"/>
      <c r="R227" s="147"/>
      <c r="S227" s="147"/>
      <c r="T227" s="147"/>
      <c r="U227" s="147"/>
    </row>
    <row r="228" spans="1:21">
      <c r="A228" s="147"/>
      <c r="B228" s="147"/>
      <c r="C228" s="4682" t="s">
        <v>6802</v>
      </c>
      <c r="D228" s="141"/>
      <c r="E228" s="141"/>
      <c r="F228" s="141"/>
      <c r="G228" s="147"/>
      <c r="H228" s="147"/>
      <c r="I228" s="147"/>
      <c r="J228" s="147"/>
      <c r="K228" s="147"/>
      <c r="L228" s="147"/>
      <c r="M228" s="147"/>
      <c r="N228" s="147"/>
      <c r="O228" s="147"/>
      <c r="P228" s="147"/>
      <c r="Q228" s="147"/>
      <c r="R228" s="147"/>
      <c r="S228" s="147"/>
      <c r="T228" s="147"/>
      <c r="U228" s="147"/>
    </row>
    <row r="229" spans="1:21">
      <c r="A229" s="147"/>
      <c r="B229" s="147"/>
      <c r="C229" s="4682" t="s">
        <v>6803</v>
      </c>
      <c r="D229" s="141"/>
      <c r="E229" s="141"/>
      <c r="F229" s="141"/>
      <c r="G229" s="147"/>
      <c r="H229" s="147"/>
      <c r="I229" s="147"/>
      <c r="J229" s="147"/>
      <c r="K229" s="147"/>
      <c r="L229" s="147"/>
      <c r="M229" s="147"/>
      <c r="N229" s="147"/>
      <c r="O229" s="147"/>
      <c r="P229" s="147"/>
      <c r="Q229" s="147"/>
      <c r="R229" s="147"/>
      <c r="S229" s="147"/>
      <c r="T229" s="147"/>
      <c r="U229" s="147"/>
    </row>
    <row r="230" spans="1:21">
      <c r="A230" s="147"/>
      <c r="B230" s="147"/>
      <c r="C230" s="4682" t="s">
        <v>6804</v>
      </c>
      <c r="D230" s="141"/>
      <c r="E230" s="141"/>
      <c r="F230" s="141"/>
      <c r="G230" s="147"/>
      <c r="H230" s="147"/>
      <c r="I230" s="147"/>
      <c r="J230" s="147"/>
      <c r="K230" s="147"/>
      <c r="L230" s="147"/>
      <c r="M230" s="147"/>
      <c r="N230" s="147"/>
      <c r="O230" s="147"/>
      <c r="P230" s="147"/>
      <c r="Q230" s="147"/>
      <c r="R230" s="147"/>
      <c r="S230" s="147"/>
      <c r="T230" s="147"/>
      <c r="U230" s="147"/>
    </row>
    <row r="231" spans="1:21">
      <c r="A231" s="147"/>
      <c r="B231" s="147"/>
      <c r="C231" s="4682" t="s">
        <v>6805</v>
      </c>
      <c r="D231" s="141"/>
      <c r="E231" s="141"/>
      <c r="F231" s="141"/>
      <c r="G231" s="147"/>
      <c r="H231" s="147"/>
      <c r="I231" s="147"/>
      <c r="J231" s="147"/>
      <c r="K231" s="147"/>
      <c r="L231" s="147"/>
      <c r="M231" s="147"/>
      <c r="N231" s="147"/>
      <c r="O231" s="147"/>
      <c r="P231" s="147"/>
      <c r="Q231" s="147"/>
      <c r="R231" s="147"/>
      <c r="S231" s="147"/>
      <c r="T231" s="147"/>
      <c r="U231" s="147"/>
    </row>
    <row r="232" spans="1:21">
      <c r="A232" s="147"/>
      <c r="B232" s="147"/>
      <c r="C232" s="4682" t="s">
        <v>6806</v>
      </c>
      <c r="D232" s="141"/>
      <c r="E232" s="141"/>
      <c r="F232" s="141"/>
      <c r="G232" s="147"/>
      <c r="H232" s="147"/>
      <c r="I232" s="147"/>
      <c r="J232" s="147"/>
      <c r="K232" s="147"/>
      <c r="L232" s="147"/>
      <c r="M232" s="147"/>
      <c r="N232" s="147"/>
      <c r="O232" s="147"/>
      <c r="P232" s="147"/>
      <c r="Q232" s="147"/>
      <c r="R232" s="147"/>
      <c r="S232" s="147"/>
      <c r="T232" s="147"/>
      <c r="U232" s="147"/>
    </row>
    <row r="233" spans="1:21">
      <c r="A233" s="147"/>
      <c r="B233" s="147"/>
      <c r="C233" s="4682" t="s">
        <v>6807</v>
      </c>
      <c r="D233" s="141"/>
      <c r="E233" s="141"/>
      <c r="F233" s="141"/>
      <c r="G233" s="147"/>
      <c r="H233" s="147"/>
      <c r="I233" s="147"/>
      <c r="J233" s="147"/>
      <c r="K233" s="147"/>
      <c r="L233" s="147"/>
      <c r="M233" s="147"/>
      <c r="N233" s="147"/>
      <c r="O233" s="147"/>
      <c r="P233" s="147"/>
      <c r="Q233" s="147"/>
      <c r="R233" s="147"/>
      <c r="S233" s="147"/>
      <c r="T233" s="147"/>
      <c r="U233" s="147"/>
    </row>
    <row r="234" spans="1:21">
      <c r="A234" s="147"/>
      <c r="B234" s="147"/>
      <c r="C234" s="4682" t="s">
        <v>6808</v>
      </c>
      <c r="D234" s="141"/>
      <c r="E234" s="141"/>
      <c r="F234" s="141"/>
      <c r="G234" s="147"/>
      <c r="H234" s="147"/>
      <c r="I234" s="147"/>
      <c r="J234" s="147"/>
      <c r="K234" s="147"/>
      <c r="L234" s="147"/>
      <c r="M234" s="147"/>
      <c r="N234" s="147"/>
      <c r="O234" s="147"/>
      <c r="P234" s="147"/>
      <c r="Q234" s="147"/>
      <c r="R234" s="147"/>
      <c r="S234" s="147"/>
      <c r="T234" s="147"/>
      <c r="U234" s="147"/>
    </row>
    <row r="235" spans="1:21">
      <c r="A235" s="147"/>
      <c r="B235" s="147"/>
      <c r="C235" s="4682" t="s">
        <v>6809</v>
      </c>
      <c r="D235" s="141"/>
      <c r="E235" s="141"/>
      <c r="F235" s="141"/>
      <c r="G235" s="147"/>
      <c r="H235" s="147"/>
      <c r="I235" s="147"/>
      <c r="J235" s="147"/>
      <c r="K235" s="147"/>
      <c r="L235" s="147"/>
      <c r="M235" s="147"/>
      <c r="N235" s="147"/>
      <c r="O235" s="147"/>
      <c r="P235" s="147"/>
      <c r="Q235" s="147"/>
      <c r="R235" s="147"/>
      <c r="S235" s="147"/>
      <c r="T235" s="147"/>
      <c r="U235" s="147"/>
    </row>
    <row r="236" spans="1:21">
      <c r="A236" s="147"/>
      <c r="B236" s="147"/>
      <c r="C236" s="4682" t="s">
        <v>6810</v>
      </c>
      <c r="D236" s="141"/>
      <c r="E236" s="141"/>
      <c r="F236" s="141"/>
      <c r="G236" s="147"/>
      <c r="H236" s="147"/>
      <c r="I236" s="147"/>
      <c r="J236" s="147"/>
      <c r="K236" s="147"/>
      <c r="L236" s="147"/>
      <c r="M236" s="147"/>
      <c r="N236" s="147"/>
      <c r="O236" s="147"/>
      <c r="P236" s="147"/>
      <c r="Q236" s="147"/>
      <c r="R236" s="147"/>
      <c r="S236" s="147"/>
      <c r="T236" s="147"/>
      <c r="U236" s="147"/>
    </row>
    <row r="237" spans="1:21">
      <c r="A237" s="147"/>
      <c r="B237" s="147"/>
      <c r="C237" s="4682" t="s">
        <v>6811</v>
      </c>
      <c r="D237" s="141"/>
      <c r="E237" s="141"/>
      <c r="F237" s="141"/>
      <c r="G237" s="147"/>
      <c r="H237" s="147"/>
      <c r="I237" s="147"/>
      <c r="J237" s="147"/>
      <c r="K237" s="147"/>
      <c r="L237" s="147"/>
      <c r="M237" s="147"/>
      <c r="N237" s="147"/>
      <c r="O237" s="147"/>
      <c r="P237" s="147"/>
      <c r="Q237" s="147"/>
      <c r="R237" s="147"/>
      <c r="S237" s="147"/>
      <c r="T237" s="147"/>
      <c r="U237" s="147"/>
    </row>
    <row r="238" spans="1:21">
      <c r="A238" s="147"/>
      <c r="B238" s="147"/>
      <c r="C238" s="141"/>
      <c r="D238" s="141"/>
      <c r="E238" s="141"/>
      <c r="F238" s="141"/>
      <c r="G238" s="147"/>
      <c r="H238" s="147"/>
      <c r="I238" s="147"/>
      <c r="J238" s="147"/>
      <c r="K238" s="147"/>
      <c r="L238" s="147"/>
      <c r="M238" s="147"/>
      <c r="N238" s="147"/>
      <c r="O238" s="147"/>
      <c r="P238" s="147"/>
      <c r="Q238" s="147"/>
      <c r="R238" s="147"/>
      <c r="S238" s="147"/>
      <c r="T238" s="147"/>
      <c r="U238" s="147"/>
    </row>
    <row r="239" spans="1:21" ht="23.25">
      <c r="A239" s="147"/>
      <c r="B239" s="147"/>
      <c r="C239" s="4680" t="s">
        <v>6812</v>
      </c>
      <c r="D239" s="141"/>
      <c r="E239" s="141"/>
      <c r="F239" s="141"/>
      <c r="G239" s="147"/>
      <c r="H239" s="147"/>
      <c r="I239" s="147"/>
      <c r="J239" s="147"/>
      <c r="K239" s="147"/>
      <c r="L239" s="147"/>
      <c r="M239" s="147"/>
      <c r="N239" s="147"/>
      <c r="O239" s="147"/>
      <c r="P239" s="147"/>
      <c r="Q239" s="147"/>
      <c r="R239" s="147"/>
      <c r="S239" s="147"/>
      <c r="T239" s="147"/>
      <c r="U239" s="147"/>
    </row>
    <row r="240" spans="1:21">
      <c r="A240" s="147"/>
      <c r="B240" s="147"/>
      <c r="C240" s="141"/>
      <c r="D240" s="141"/>
      <c r="E240" s="141"/>
      <c r="F240" s="141"/>
      <c r="G240" s="147"/>
      <c r="H240" s="147"/>
      <c r="I240" s="147"/>
      <c r="J240" s="147"/>
      <c r="K240" s="147"/>
      <c r="L240" s="147"/>
      <c r="M240" s="147"/>
      <c r="N240" s="147"/>
      <c r="O240" s="147"/>
      <c r="P240" s="147"/>
      <c r="Q240" s="147"/>
      <c r="R240" s="147"/>
      <c r="S240" s="147"/>
      <c r="T240" s="147"/>
      <c r="U240" s="147"/>
    </row>
    <row r="241" spans="1:21" ht="18">
      <c r="A241" s="147"/>
      <c r="B241" s="147"/>
      <c r="C241" s="155" t="s">
        <v>6813</v>
      </c>
      <c r="D241" s="141"/>
      <c r="E241" s="141"/>
      <c r="F241" s="141"/>
      <c r="G241" s="147"/>
      <c r="H241" s="147"/>
      <c r="I241" s="147"/>
      <c r="J241" s="147"/>
      <c r="K241" s="147"/>
      <c r="L241" s="147"/>
      <c r="M241" s="147"/>
      <c r="N241" s="147"/>
      <c r="O241" s="147"/>
      <c r="P241" s="147"/>
      <c r="Q241" s="147"/>
      <c r="R241" s="147"/>
      <c r="S241" s="147"/>
      <c r="T241" s="147"/>
      <c r="U241" s="147"/>
    </row>
    <row r="242" spans="1:21">
      <c r="A242" s="147"/>
      <c r="B242" s="147"/>
      <c r="C242" s="141"/>
      <c r="D242" s="141"/>
      <c r="E242" s="141"/>
      <c r="F242" s="141"/>
      <c r="G242" s="147"/>
      <c r="H242" s="147"/>
      <c r="I242" s="147"/>
      <c r="J242" s="147"/>
      <c r="K242" s="147"/>
      <c r="L242" s="147"/>
      <c r="M242" s="147"/>
      <c r="N242" s="147"/>
      <c r="O242" s="147"/>
      <c r="P242" s="147"/>
      <c r="Q242" s="147"/>
      <c r="R242" s="147"/>
      <c r="S242" s="147"/>
      <c r="T242" s="147"/>
      <c r="U242" s="147"/>
    </row>
    <row r="243" spans="1:21">
      <c r="A243" s="147"/>
      <c r="B243" s="147"/>
      <c r="C243" s="141" t="s">
        <v>6814</v>
      </c>
      <c r="D243" s="141"/>
      <c r="E243" s="141"/>
      <c r="F243" s="141"/>
      <c r="G243" s="147"/>
      <c r="H243" s="147"/>
      <c r="I243" s="147"/>
      <c r="J243" s="147"/>
      <c r="K243" s="147"/>
      <c r="L243" s="147"/>
      <c r="M243" s="147"/>
      <c r="N243" s="147"/>
      <c r="O243" s="147"/>
      <c r="P243" s="147"/>
      <c r="Q243" s="147"/>
      <c r="R243" s="147"/>
      <c r="S243" s="147"/>
      <c r="T243" s="147"/>
      <c r="U243" s="147"/>
    </row>
    <row r="244" spans="1:21">
      <c r="A244" s="147"/>
      <c r="B244" s="147"/>
      <c r="C244" s="4681"/>
      <c r="D244" s="141"/>
      <c r="E244" s="141"/>
      <c r="F244" s="141"/>
      <c r="G244" s="147"/>
      <c r="H244" s="147"/>
      <c r="I244" s="147"/>
      <c r="J244" s="147"/>
      <c r="K244" s="147"/>
      <c r="L244" s="147"/>
      <c r="M244" s="147"/>
      <c r="N244" s="147"/>
      <c r="O244" s="147"/>
      <c r="P244" s="147"/>
      <c r="Q244" s="147"/>
      <c r="R244" s="147"/>
      <c r="S244" s="147"/>
      <c r="T244" s="147"/>
      <c r="U244" s="147"/>
    </row>
    <row r="245" spans="1:21">
      <c r="A245" s="147"/>
      <c r="B245" s="147"/>
      <c r="C245" s="4681" t="s">
        <v>6815</v>
      </c>
      <c r="D245" s="141"/>
      <c r="E245" s="141"/>
      <c r="F245" s="141"/>
      <c r="G245" s="147"/>
      <c r="H245" s="147"/>
      <c r="I245" s="147"/>
      <c r="J245" s="147"/>
      <c r="K245" s="147"/>
      <c r="L245" s="147"/>
      <c r="M245" s="147"/>
      <c r="N245" s="147"/>
      <c r="O245" s="147"/>
      <c r="P245" s="147"/>
      <c r="Q245" s="147"/>
      <c r="R245" s="147"/>
      <c r="S245" s="147"/>
      <c r="T245" s="147"/>
      <c r="U245" s="147"/>
    </row>
    <row r="246" spans="1:21">
      <c r="A246" s="147"/>
      <c r="B246" s="147"/>
      <c r="C246" s="4681" t="s">
        <v>6816</v>
      </c>
      <c r="D246" s="141"/>
      <c r="E246" s="141"/>
      <c r="F246" s="141"/>
      <c r="G246" s="147"/>
      <c r="H246" s="147"/>
      <c r="I246" s="147"/>
      <c r="J246" s="147"/>
      <c r="K246" s="147"/>
      <c r="L246" s="147"/>
      <c r="M246" s="147"/>
      <c r="N246" s="147"/>
      <c r="O246" s="147"/>
      <c r="P246" s="147"/>
      <c r="Q246" s="147"/>
      <c r="R246" s="147"/>
      <c r="S246" s="147"/>
      <c r="T246" s="147"/>
      <c r="U246" s="147"/>
    </row>
    <row r="247" spans="1:21">
      <c r="A247" s="147"/>
      <c r="B247" s="147"/>
      <c r="C247" s="4681" t="s">
        <v>6817</v>
      </c>
      <c r="D247" s="141"/>
      <c r="E247" s="141"/>
      <c r="F247" s="141"/>
      <c r="G247" s="147"/>
      <c r="H247" s="147"/>
      <c r="I247" s="147"/>
      <c r="J247" s="147"/>
      <c r="K247" s="147"/>
      <c r="L247" s="147"/>
      <c r="M247" s="147"/>
      <c r="N247" s="147"/>
      <c r="O247" s="147"/>
      <c r="P247" s="147"/>
      <c r="Q247" s="147"/>
      <c r="R247" s="147"/>
      <c r="S247" s="147"/>
      <c r="T247" s="147"/>
      <c r="U247" s="147"/>
    </row>
    <row r="248" spans="1:21">
      <c r="A248" s="147"/>
      <c r="B248" s="147"/>
      <c r="C248" s="4681" t="s">
        <v>6818</v>
      </c>
      <c r="D248" s="141"/>
      <c r="E248" s="141"/>
      <c r="F248" s="141"/>
      <c r="G248" s="147"/>
      <c r="H248" s="147"/>
      <c r="I248" s="147"/>
      <c r="J248" s="147"/>
      <c r="K248" s="147"/>
      <c r="L248" s="147"/>
      <c r="M248" s="147"/>
      <c r="N248" s="147"/>
      <c r="O248" s="147"/>
      <c r="P248" s="147"/>
      <c r="Q248" s="147"/>
      <c r="R248" s="147"/>
      <c r="S248" s="147"/>
      <c r="T248" s="147"/>
      <c r="U248" s="147"/>
    </row>
    <row r="249" spans="1:21">
      <c r="A249" s="147"/>
      <c r="B249" s="147"/>
      <c r="C249" s="141"/>
      <c r="D249" s="141"/>
      <c r="E249" s="141"/>
      <c r="F249" s="141"/>
      <c r="G249" s="147"/>
      <c r="H249" s="147"/>
      <c r="I249" s="147"/>
      <c r="J249" s="147"/>
      <c r="K249" s="147"/>
      <c r="L249" s="147"/>
      <c r="M249" s="147"/>
      <c r="N249" s="147"/>
      <c r="O249" s="147"/>
      <c r="P249" s="147"/>
      <c r="Q249" s="147"/>
      <c r="R249" s="147"/>
      <c r="S249" s="147"/>
      <c r="T249" s="147"/>
      <c r="U249" s="147"/>
    </row>
    <row r="250" spans="1:21" ht="18">
      <c r="A250" s="147"/>
      <c r="B250" s="147"/>
      <c r="C250" s="155" t="s">
        <v>6819</v>
      </c>
      <c r="D250" s="141"/>
      <c r="E250" s="141"/>
      <c r="F250" s="141"/>
      <c r="G250" s="147"/>
      <c r="H250" s="147"/>
      <c r="I250" s="147"/>
      <c r="J250" s="147"/>
      <c r="K250" s="147"/>
      <c r="L250" s="147"/>
      <c r="M250" s="147"/>
      <c r="N250" s="147"/>
      <c r="O250" s="147"/>
      <c r="P250" s="147"/>
      <c r="Q250" s="147"/>
      <c r="R250" s="147"/>
      <c r="S250" s="147"/>
      <c r="T250" s="147"/>
      <c r="U250" s="147"/>
    </row>
    <row r="251" spans="1:21">
      <c r="A251" s="147"/>
      <c r="B251" s="147"/>
      <c r="C251" s="141"/>
      <c r="D251" s="141"/>
      <c r="E251" s="141"/>
      <c r="F251" s="141"/>
      <c r="G251" s="147"/>
      <c r="H251" s="147"/>
      <c r="I251" s="147"/>
      <c r="J251" s="147"/>
      <c r="K251" s="147"/>
      <c r="L251" s="147"/>
      <c r="M251" s="147"/>
      <c r="N251" s="147"/>
      <c r="O251" s="147"/>
      <c r="P251" s="147"/>
      <c r="Q251" s="147"/>
      <c r="R251" s="147"/>
      <c r="S251" s="147"/>
      <c r="T251" s="147"/>
      <c r="U251" s="147"/>
    </row>
    <row r="252" spans="1:21">
      <c r="A252" s="147"/>
      <c r="B252" s="147"/>
      <c r="C252" s="141" t="s">
        <v>6820</v>
      </c>
      <c r="D252" s="141"/>
      <c r="E252" s="141"/>
      <c r="F252" s="141"/>
      <c r="G252" s="147"/>
      <c r="H252" s="147"/>
      <c r="I252" s="147"/>
      <c r="J252" s="147"/>
      <c r="K252" s="147"/>
      <c r="L252" s="147"/>
      <c r="M252" s="147"/>
      <c r="N252" s="147"/>
      <c r="O252" s="147"/>
      <c r="P252" s="147"/>
      <c r="Q252" s="147"/>
      <c r="R252" s="147"/>
      <c r="S252" s="147"/>
      <c r="T252" s="147"/>
      <c r="U252" s="147"/>
    </row>
    <row r="253" spans="1:21">
      <c r="A253" s="147"/>
      <c r="B253" s="147"/>
      <c r="C253" s="4681"/>
      <c r="D253" s="141"/>
      <c r="E253" s="141"/>
      <c r="F253" s="141"/>
      <c r="G253" s="147"/>
      <c r="H253" s="147"/>
      <c r="I253" s="147"/>
      <c r="J253" s="147"/>
      <c r="K253" s="147"/>
      <c r="L253" s="147"/>
      <c r="M253" s="147"/>
      <c r="N253" s="147"/>
      <c r="O253" s="147"/>
      <c r="P253" s="147"/>
      <c r="Q253" s="147"/>
      <c r="R253" s="147"/>
      <c r="S253" s="147"/>
      <c r="T253" s="147"/>
      <c r="U253" s="147"/>
    </row>
    <row r="254" spans="1:21">
      <c r="A254" s="147"/>
      <c r="B254" s="147"/>
      <c r="C254" s="4681" t="s">
        <v>6821</v>
      </c>
      <c r="D254" s="141"/>
      <c r="E254" s="141"/>
      <c r="F254" s="141"/>
      <c r="G254" s="147"/>
      <c r="H254" s="147"/>
      <c r="I254" s="147"/>
      <c r="J254" s="147"/>
      <c r="K254" s="147"/>
      <c r="L254" s="147"/>
      <c r="M254" s="147"/>
      <c r="N254" s="147"/>
      <c r="O254" s="147"/>
      <c r="P254" s="147"/>
      <c r="Q254" s="147"/>
      <c r="R254" s="147"/>
      <c r="S254" s="147"/>
      <c r="T254" s="147"/>
      <c r="U254" s="147"/>
    </row>
    <row r="255" spans="1:21">
      <c r="A255" s="147"/>
      <c r="B255" s="147"/>
      <c r="C255" s="4681" t="s">
        <v>6822</v>
      </c>
      <c r="D255" s="141"/>
      <c r="E255" s="141"/>
      <c r="F255" s="141"/>
      <c r="G255" s="147"/>
      <c r="H255" s="147"/>
      <c r="I255" s="147"/>
      <c r="J255" s="147"/>
      <c r="K255" s="147"/>
      <c r="L255" s="147"/>
      <c r="M255" s="147"/>
      <c r="N255" s="147"/>
      <c r="O255" s="147"/>
      <c r="P255" s="147"/>
      <c r="Q255" s="147"/>
      <c r="R255" s="147"/>
      <c r="S255" s="147"/>
      <c r="T255" s="147"/>
      <c r="U255" s="147"/>
    </row>
    <row r="256" spans="1:21">
      <c r="A256" s="147"/>
      <c r="B256" s="147"/>
      <c r="C256" s="141"/>
      <c r="D256" s="141"/>
      <c r="E256" s="141"/>
      <c r="F256" s="141"/>
      <c r="G256" s="147"/>
      <c r="H256" s="147"/>
      <c r="I256" s="147"/>
      <c r="J256" s="147"/>
      <c r="K256" s="147"/>
      <c r="L256" s="147"/>
      <c r="M256" s="147"/>
      <c r="N256" s="147"/>
      <c r="O256" s="147"/>
      <c r="P256" s="147"/>
      <c r="Q256" s="147"/>
      <c r="R256" s="147"/>
      <c r="S256" s="147"/>
      <c r="T256" s="147"/>
      <c r="U256" s="147"/>
    </row>
    <row r="257" spans="1:21">
      <c r="A257" s="147"/>
      <c r="B257" s="147"/>
      <c r="C257" s="141" t="s">
        <v>6823</v>
      </c>
      <c r="D257" s="141"/>
      <c r="E257" s="141"/>
      <c r="F257" s="141"/>
      <c r="G257" s="147"/>
      <c r="H257" s="147"/>
      <c r="I257" s="147"/>
      <c r="J257" s="147"/>
      <c r="K257" s="147"/>
      <c r="L257" s="147"/>
      <c r="M257" s="147"/>
      <c r="N257" s="147"/>
      <c r="O257" s="147"/>
      <c r="P257" s="147"/>
      <c r="Q257" s="147"/>
      <c r="R257" s="147"/>
      <c r="S257" s="147"/>
      <c r="T257" s="147"/>
      <c r="U257" s="147"/>
    </row>
    <row r="258" spans="1:21">
      <c r="A258" s="147"/>
      <c r="B258" s="147"/>
      <c r="C258" s="4681"/>
      <c r="D258" s="141"/>
      <c r="E258" s="141"/>
      <c r="F258" s="141"/>
      <c r="G258" s="147"/>
      <c r="H258" s="147"/>
      <c r="I258" s="147"/>
      <c r="J258" s="147"/>
      <c r="K258" s="147"/>
      <c r="L258" s="147"/>
      <c r="M258" s="147"/>
      <c r="N258" s="147"/>
      <c r="O258" s="147"/>
      <c r="P258" s="147"/>
      <c r="Q258" s="147"/>
      <c r="R258" s="147"/>
      <c r="S258" s="147"/>
      <c r="T258" s="147"/>
      <c r="U258" s="147"/>
    </row>
    <row r="259" spans="1:21">
      <c r="A259" s="147"/>
      <c r="B259" s="147"/>
      <c r="C259" s="4681" t="s">
        <v>6824</v>
      </c>
      <c r="D259" s="141"/>
      <c r="E259" s="141"/>
      <c r="F259" s="141"/>
      <c r="G259" s="147"/>
      <c r="H259" s="147"/>
      <c r="I259" s="147"/>
      <c r="J259" s="147"/>
      <c r="K259" s="147"/>
      <c r="L259" s="147"/>
      <c r="M259" s="147"/>
      <c r="N259" s="147"/>
      <c r="O259" s="147"/>
      <c r="P259" s="147"/>
      <c r="Q259" s="147"/>
      <c r="R259" s="147"/>
      <c r="S259" s="147"/>
      <c r="T259" s="147"/>
      <c r="U259" s="147"/>
    </row>
    <row r="260" spans="1:21">
      <c r="A260" s="147"/>
      <c r="B260" s="147"/>
      <c r="C260" s="4681"/>
      <c r="D260" s="141"/>
      <c r="E260" s="141"/>
      <c r="F260" s="141"/>
      <c r="G260" s="147"/>
      <c r="H260" s="147"/>
      <c r="I260" s="147"/>
      <c r="J260" s="147"/>
      <c r="K260" s="147"/>
      <c r="L260" s="147"/>
      <c r="M260" s="147"/>
      <c r="N260" s="147"/>
      <c r="O260" s="147"/>
      <c r="P260" s="147"/>
      <c r="Q260" s="147"/>
      <c r="R260" s="147"/>
      <c r="S260" s="147"/>
      <c r="T260" s="147"/>
      <c r="U260" s="147"/>
    </row>
    <row r="261" spans="1:21">
      <c r="A261" s="147"/>
      <c r="B261" s="147"/>
      <c r="C261" s="4681" t="s">
        <v>6825</v>
      </c>
      <c r="D261" s="141"/>
      <c r="E261" s="141"/>
      <c r="F261" s="141"/>
      <c r="G261" s="147"/>
      <c r="H261" s="147"/>
      <c r="I261" s="147"/>
      <c r="J261" s="147"/>
      <c r="K261" s="147"/>
      <c r="L261" s="147"/>
      <c r="M261" s="147"/>
      <c r="N261" s="147"/>
      <c r="O261" s="147"/>
      <c r="P261" s="147"/>
      <c r="Q261" s="147"/>
      <c r="R261" s="147"/>
      <c r="S261" s="147"/>
      <c r="T261" s="147"/>
      <c r="U261" s="147"/>
    </row>
    <row r="262" spans="1:21">
      <c r="A262" s="147"/>
      <c r="B262" s="147"/>
      <c r="C262" s="4681" t="s">
        <v>6826</v>
      </c>
      <c r="D262" s="141"/>
      <c r="E262" s="141"/>
      <c r="F262" s="141"/>
      <c r="G262" s="147"/>
      <c r="H262" s="147"/>
      <c r="I262" s="147"/>
      <c r="J262" s="147"/>
      <c r="K262" s="147"/>
      <c r="L262" s="147"/>
      <c r="M262" s="147"/>
      <c r="N262" s="147"/>
      <c r="O262" s="147"/>
      <c r="P262" s="147"/>
      <c r="Q262" s="147"/>
      <c r="R262" s="147"/>
      <c r="S262" s="147"/>
      <c r="T262" s="147"/>
      <c r="U262" s="147"/>
    </row>
    <row r="263" spans="1:21">
      <c r="A263" s="147"/>
      <c r="B263" s="147"/>
      <c r="C263" s="4681" t="s">
        <v>6827</v>
      </c>
      <c r="D263" s="141"/>
      <c r="E263" s="141"/>
      <c r="F263" s="141"/>
      <c r="G263" s="147"/>
      <c r="H263" s="147"/>
      <c r="I263" s="147"/>
      <c r="J263" s="147"/>
      <c r="K263" s="147"/>
      <c r="L263" s="147"/>
      <c r="M263" s="147"/>
      <c r="N263" s="147"/>
      <c r="O263" s="147"/>
      <c r="P263" s="147"/>
      <c r="Q263" s="147"/>
      <c r="R263" s="147"/>
      <c r="S263" s="147"/>
      <c r="T263" s="147"/>
      <c r="U263" s="147"/>
    </row>
    <row r="264" spans="1:21">
      <c r="A264" s="147"/>
      <c r="B264" s="147"/>
      <c r="C264" s="141"/>
      <c r="D264" s="141"/>
      <c r="E264" s="141"/>
      <c r="F264" s="141"/>
      <c r="G264" s="147"/>
      <c r="H264" s="147"/>
      <c r="I264" s="147"/>
      <c r="J264" s="147"/>
      <c r="K264" s="147"/>
      <c r="L264" s="147"/>
      <c r="M264" s="147"/>
      <c r="N264" s="147"/>
      <c r="O264" s="147"/>
      <c r="P264" s="147"/>
      <c r="Q264" s="147"/>
      <c r="R264" s="147"/>
      <c r="S264" s="147"/>
      <c r="T264" s="147"/>
      <c r="U264" s="147"/>
    </row>
    <row r="265" spans="1:21" ht="18">
      <c r="A265" s="147"/>
      <c r="B265" s="147"/>
      <c r="C265" s="155" t="s">
        <v>6828</v>
      </c>
      <c r="D265" s="141"/>
      <c r="E265" s="141"/>
      <c r="F265" s="141"/>
      <c r="G265" s="147"/>
      <c r="H265" s="147"/>
      <c r="I265" s="147"/>
      <c r="J265" s="147"/>
      <c r="K265" s="147"/>
      <c r="L265" s="147"/>
      <c r="M265" s="147"/>
      <c r="N265" s="147"/>
      <c r="O265" s="147"/>
      <c r="P265" s="147"/>
      <c r="Q265" s="147"/>
      <c r="R265" s="147"/>
      <c r="S265" s="147"/>
      <c r="T265" s="147"/>
      <c r="U265" s="147"/>
    </row>
    <row r="266" spans="1:21">
      <c r="A266" s="147"/>
      <c r="B266" s="147"/>
      <c r="C266" s="4681"/>
      <c r="D266" s="141"/>
      <c r="E266" s="141"/>
      <c r="F266" s="141"/>
      <c r="G266" s="147"/>
      <c r="H266" s="147"/>
      <c r="I266" s="147"/>
      <c r="J266" s="147"/>
      <c r="K266" s="147"/>
      <c r="L266" s="147"/>
      <c r="M266" s="147"/>
      <c r="N266" s="147"/>
      <c r="O266" s="147"/>
      <c r="P266" s="147"/>
      <c r="Q266" s="147"/>
      <c r="R266" s="147"/>
      <c r="S266" s="147"/>
      <c r="T266" s="147"/>
      <c r="U266" s="147"/>
    </row>
    <row r="267" spans="1:21">
      <c r="A267" s="147"/>
      <c r="B267" s="147"/>
      <c r="C267" s="4681" t="s">
        <v>6829</v>
      </c>
      <c r="D267" s="141"/>
      <c r="E267" s="141"/>
      <c r="F267" s="141"/>
      <c r="G267" s="147"/>
      <c r="H267" s="147"/>
      <c r="I267" s="147"/>
      <c r="J267" s="147"/>
      <c r="K267" s="147"/>
      <c r="L267" s="147"/>
      <c r="M267" s="147"/>
      <c r="N267" s="147"/>
      <c r="O267" s="147"/>
      <c r="P267" s="147"/>
      <c r="Q267" s="147"/>
      <c r="R267" s="147"/>
      <c r="S267" s="147"/>
      <c r="T267" s="147"/>
      <c r="U267" s="147"/>
    </row>
    <row r="268" spans="1:21">
      <c r="A268" s="147"/>
      <c r="B268" s="147"/>
      <c r="C268" s="4681" t="s">
        <v>6830</v>
      </c>
      <c r="D268" s="141"/>
      <c r="E268" s="141"/>
      <c r="F268" s="141"/>
      <c r="G268" s="147"/>
      <c r="H268" s="147"/>
      <c r="I268" s="147"/>
      <c r="J268" s="147"/>
      <c r="K268" s="147"/>
      <c r="L268" s="147"/>
      <c r="M268" s="147"/>
      <c r="N268" s="147"/>
      <c r="O268" s="147"/>
      <c r="P268" s="147"/>
      <c r="Q268" s="147"/>
      <c r="R268" s="147"/>
      <c r="S268" s="147"/>
      <c r="T268" s="147"/>
      <c r="U268" s="147"/>
    </row>
    <row r="269" spans="1:21">
      <c r="A269" s="147"/>
      <c r="B269" s="147"/>
      <c r="C269" s="141"/>
      <c r="D269" s="141"/>
      <c r="E269" s="141"/>
      <c r="F269" s="141"/>
      <c r="G269" s="147"/>
      <c r="H269" s="147"/>
      <c r="I269" s="147"/>
      <c r="J269" s="147"/>
      <c r="K269" s="147"/>
      <c r="L269" s="147"/>
      <c r="M269" s="147"/>
      <c r="N269" s="147"/>
      <c r="O269" s="147"/>
      <c r="P269" s="147"/>
      <c r="Q269" s="147"/>
      <c r="R269" s="147"/>
      <c r="S269" s="147"/>
      <c r="T269" s="147"/>
      <c r="U269" s="147"/>
    </row>
    <row r="270" spans="1:21">
      <c r="A270" s="147"/>
      <c r="B270" s="147"/>
      <c r="C270" s="141" t="s">
        <v>6831</v>
      </c>
      <c r="D270" s="141"/>
      <c r="E270" s="141"/>
      <c r="F270" s="141"/>
      <c r="G270" s="147"/>
      <c r="H270" s="147"/>
      <c r="I270" s="147"/>
      <c r="J270" s="147"/>
      <c r="K270" s="147"/>
      <c r="L270" s="147"/>
      <c r="M270" s="147"/>
      <c r="N270" s="147"/>
      <c r="O270" s="147"/>
      <c r="P270" s="147"/>
      <c r="Q270" s="147"/>
      <c r="R270" s="147"/>
      <c r="S270" s="147"/>
      <c r="T270" s="147"/>
      <c r="U270" s="147"/>
    </row>
    <row r="271" spans="1:21">
      <c r="A271" s="147"/>
      <c r="B271" s="147"/>
      <c r="C271" s="4681"/>
      <c r="D271" s="141"/>
      <c r="E271" s="141"/>
      <c r="F271" s="141"/>
      <c r="G271" s="147"/>
      <c r="H271" s="147"/>
      <c r="I271" s="147"/>
      <c r="J271" s="147"/>
      <c r="K271" s="147"/>
      <c r="L271" s="147"/>
      <c r="M271" s="147"/>
      <c r="N271" s="147"/>
      <c r="O271" s="147"/>
      <c r="P271" s="147"/>
      <c r="Q271" s="147"/>
      <c r="R271" s="147"/>
      <c r="S271" s="147"/>
      <c r="T271" s="147"/>
      <c r="U271" s="147"/>
    </row>
    <row r="272" spans="1:21">
      <c r="A272" s="147"/>
      <c r="B272" s="147"/>
      <c r="C272" s="4681" t="s">
        <v>6832</v>
      </c>
      <c r="D272" s="141"/>
      <c r="E272" s="141"/>
      <c r="F272" s="141"/>
      <c r="G272" s="147"/>
      <c r="H272" s="147"/>
      <c r="I272" s="147"/>
      <c r="J272" s="147"/>
      <c r="K272" s="147"/>
      <c r="L272" s="147"/>
      <c r="M272" s="147"/>
      <c r="N272" s="147"/>
      <c r="O272" s="147"/>
      <c r="P272" s="147"/>
      <c r="Q272" s="147"/>
      <c r="R272" s="147"/>
      <c r="S272" s="147"/>
      <c r="T272" s="147"/>
      <c r="U272" s="147"/>
    </row>
    <row r="273" spans="1:21">
      <c r="A273" s="147"/>
      <c r="B273" s="147"/>
      <c r="C273" s="141"/>
      <c r="D273" s="141"/>
      <c r="E273" s="141"/>
      <c r="F273" s="141"/>
      <c r="G273" s="147"/>
      <c r="H273" s="147"/>
      <c r="I273" s="147"/>
      <c r="J273" s="147"/>
      <c r="K273" s="147"/>
      <c r="L273" s="147"/>
      <c r="M273" s="147"/>
      <c r="N273" s="147"/>
      <c r="O273" s="147"/>
      <c r="P273" s="147"/>
      <c r="Q273" s="147"/>
      <c r="R273" s="147"/>
      <c r="S273" s="147"/>
      <c r="T273" s="147"/>
      <c r="U273" s="147"/>
    </row>
    <row r="274" spans="1:21" ht="18">
      <c r="A274" s="147"/>
      <c r="B274" s="147"/>
      <c r="C274" s="155" t="s">
        <v>6833</v>
      </c>
      <c r="D274" s="141"/>
      <c r="E274" s="141"/>
      <c r="F274" s="141"/>
      <c r="G274" s="147"/>
      <c r="H274" s="147"/>
      <c r="I274" s="147"/>
      <c r="J274" s="147"/>
      <c r="K274" s="147"/>
      <c r="L274" s="147"/>
      <c r="M274" s="147"/>
      <c r="N274" s="147"/>
      <c r="O274" s="147"/>
      <c r="P274" s="147"/>
      <c r="Q274" s="147"/>
      <c r="R274" s="147"/>
      <c r="S274" s="147"/>
      <c r="T274" s="147"/>
      <c r="U274" s="147"/>
    </row>
    <row r="275" spans="1:21">
      <c r="A275" s="147"/>
      <c r="B275" s="147"/>
      <c r="C275" s="4681"/>
      <c r="D275" s="141"/>
      <c r="E275" s="141"/>
      <c r="F275" s="141"/>
      <c r="G275" s="147"/>
      <c r="H275" s="147"/>
      <c r="I275" s="147"/>
      <c r="J275" s="147"/>
      <c r="K275" s="147"/>
      <c r="L275" s="147"/>
      <c r="M275" s="147"/>
      <c r="N275" s="147"/>
      <c r="O275" s="147"/>
      <c r="P275" s="147"/>
      <c r="Q275" s="147"/>
      <c r="R275" s="147"/>
      <c r="S275" s="147"/>
      <c r="T275" s="147"/>
      <c r="U275" s="147"/>
    </row>
    <row r="276" spans="1:21">
      <c r="A276" s="147"/>
      <c r="B276" s="147"/>
      <c r="C276" s="4681" t="s">
        <v>6834</v>
      </c>
      <c r="D276" s="141"/>
      <c r="E276" s="141"/>
      <c r="F276" s="141"/>
      <c r="G276" s="147"/>
      <c r="H276" s="147"/>
      <c r="I276" s="147"/>
      <c r="J276" s="147"/>
      <c r="K276" s="147"/>
      <c r="L276" s="147"/>
      <c r="M276" s="147"/>
      <c r="N276" s="147"/>
      <c r="O276" s="147"/>
      <c r="P276" s="147"/>
      <c r="Q276" s="147"/>
      <c r="R276" s="147"/>
      <c r="S276" s="147"/>
      <c r="T276" s="147"/>
      <c r="U276" s="147"/>
    </row>
    <row r="277" spans="1:21">
      <c r="A277" s="147"/>
      <c r="B277" s="147"/>
      <c r="C277" s="4681" t="s">
        <v>6835</v>
      </c>
      <c r="D277" s="141"/>
      <c r="E277" s="141"/>
      <c r="F277" s="141"/>
      <c r="G277" s="147"/>
      <c r="H277" s="147"/>
      <c r="I277" s="147"/>
      <c r="J277" s="147"/>
      <c r="K277" s="147"/>
      <c r="L277" s="147"/>
      <c r="M277" s="147"/>
      <c r="N277" s="147"/>
      <c r="O277" s="147"/>
      <c r="P277" s="147"/>
      <c r="Q277" s="147"/>
      <c r="R277" s="147"/>
      <c r="S277" s="147"/>
      <c r="T277" s="147"/>
      <c r="U277" s="147"/>
    </row>
    <row r="278" spans="1:21">
      <c r="A278" s="147"/>
      <c r="B278" s="147"/>
      <c r="C278" s="4681" t="s">
        <v>6836</v>
      </c>
      <c r="D278" s="141"/>
      <c r="E278" s="141"/>
      <c r="F278" s="141"/>
      <c r="G278" s="147"/>
      <c r="H278" s="147"/>
      <c r="I278" s="147"/>
      <c r="J278" s="147"/>
      <c r="K278" s="147"/>
      <c r="L278" s="147"/>
      <c r="M278" s="147"/>
      <c r="N278" s="147"/>
      <c r="O278" s="147"/>
      <c r="P278" s="147"/>
      <c r="Q278" s="147"/>
      <c r="R278" s="147"/>
      <c r="S278" s="147"/>
      <c r="T278" s="147"/>
      <c r="U278" s="147"/>
    </row>
    <row r="279" spans="1:21">
      <c r="A279" s="147"/>
      <c r="B279" s="147"/>
      <c r="C279" s="141"/>
      <c r="D279" s="141"/>
      <c r="E279" s="141"/>
      <c r="F279" s="141"/>
      <c r="G279" s="147"/>
      <c r="H279" s="147"/>
      <c r="I279" s="147"/>
      <c r="J279" s="147"/>
      <c r="K279" s="147"/>
      <c r="L279" s="147"/>
      <c r="M279" s="147"/>
      <c r="N279" s="147"/>
      <c r="O279" s="147"/>
      <c r="P279" s="147"/>
      <c r="Q279" s="147"/>
      <c r="R279" s="147"/>
      <c r="S279" s="147"/>
      <c r="T279" s="147"/>
      <c r="U279" s="147"/>
    </row>
    <row r="280" spans="1:21">
      <c r="A280" s="147"/>
      <c r="B280" s="147"/>
      <c r="C280" s="141" t="s">
        <v>6837</v>
      </c>
      <c r="D280" s="141"/>
      <c r="E280" s="141"/>
      <c r="F280" s="141"/>
      <c r="G280" s="147"/>
      <c r="H280" s="147"/>
      <c r="I280" s="147"/>
      <c r="J280" s="147"/>
      <c r="K280" s="147"/>
      <c r="L280" s="147"/>
      <c r="M280" s="147"/>
      <c r="N280" s="147"/>
      <c r="O280" s="147"/>
      <c r="P280" s="147"/>
      <c r="Q280" s="147"/>
      <c r="R280" s="147"/>
      <c r="S280" s="147"/>
      <c r="T280" s="147"/>
      <c r="U280" s="147"/>
    </row>
    <row r="281" spans="1:21">
      <c r="A281" s="147"/>
      <c r="B281" s="147"/>
      <c r="C281" s="4681"/>
      <c r="D281" s="141"/>
      <c r="E281" s="141"/>
      <c r="F281" s="141"/>
      <c r="G281" s="147"/>
      <c r="H281" s="147"/>
      <c r="I281" s="147"/>
      <c r="J281" s="147"/>
      <c r="K281" s="147"/>
      <c r="L281" s="147"/>
      <c r="M281" s="147"/>
      <c r="N281" s="147"/>
      <c r="O281" s="147"/>
      <c r="P281" s="147"/>
      <c r="Q281" s="147"/>
      <c r="R281" s="147"/>
      <c r="S281" s="147"/>
      <c r="T281" s="147"/>
      <c r="U281" s="147"/>
    </row>
    <row r="282" spans="1:21">
      <c r="A282" s="147"/>
      <c r="B282" s="147"/>
      <c r="C282" s="4681" t="s">
        <v>6838</v>
      </c>
      <c r="D282" s="141"/>
      <c r="E282" s="141"/>
      <c r="F282" s="141"/>
      <c r="G282" s="147"/>
      <c r="H282" s="147"/>
      <c r="I282" s="147"/>
      <c r="J282" s="147"/>
      <c r="K282" s="147"/>
      <c r="L282" s="147"/>
      <c r="M282" s="147"/>
      <c r="N282" s="147"/>
      <c r="O282" s="147"/>
      <c r="P282" s="147"/>
      <c r="Q282" s="147"/>
      <c r="R282" s="147"/>
      <c r="S282" s="147"/>
      <c r="T282" s="147"/>
      <c r="U282" s="147"/>
    </row>
    <row r="283" spans="1:21">
      <c r="A283" s="147"/>
      <c r="B283" s="147"/>
      <c r="C283" s="141"/>
      <c r="D283" s="141"/>
      <c r="E283" s="141"/>
      <c r="F283" s="141"/>
      <c r="G283" s="147"/>
      <c r="H283" s="147"/>
      <c r="I283" s="147"/>
      <c r="J283" s="147"/>
      <c r="K283" s="147"/>
      <c r="L283" s="147"/>
      <c r="M283" s="147"/>
      <c r="N283" s="147"/>
      <c r="O283" s="147"/>
      <c r="P283" s="147"/>
      <c r="Q283" s="147"/>
      <c r="R283" s="147"/>
      <c r="S283" s="147"/>
      <c r="T283" s="147"/>
      <c r="U283" s="147"/>
    </row>
    <row r="284" spans="1:21" ht="18">
      <c r="A284" s="147"/>
      <c r="B284" s="147"/>
      <c r="C284" s="155" t="s">
        <v>6839</v>
      </c>
      <c r="D284" s="141"/>
      <c r="E284" s="141"/>
      <c r="F284" s="141"/>
      <c r="G284" s="147"/>
      <c r="H284" s="147"/>
      <c r="I284" s="147"/>
      <c r="J284" s="147"/>
      <c r="K284" s="147"/>
      <c r="L284" s="147"/>
      <c r="M284" s="147"/>
      <c r="N284" s="147"/>
      <c r="O284" s="147"/>
      <c r="P284" s="147"/>
      <c r="Q284" s="147"/>
      <c r="R284" s="147"/>
      <c r="S284" s="147"/>
      <c r="T284" s="147"/>
      <c r="U284" s="147"/>
    </row>
    <row r="285" spans="1:21">
      <c r="A285" s="147"/>
      <c r="B285" s="147"/>
      <c r="C285" s="141"/>
      <c r="D285" s="141"/>
      <c r="E285" s="141"/>
      <c r="F285" s="141"/>
      <c r="G285" s="147"/>
      <c r="H285" s="147"/>
      <c r="I285" s="147"/>
      <c r="J285" s="147"/>
      <c r="K285" s="147"/>
      <c r="L285" s="147"/>
      <c r="M285" s="147"/>
      <c r="N285" s="147"/>
      <c r="O285" s="147"/>
      <c r="P285" s="147"/>
      <c r="Q285" s="147"/>
      <c r="R285" s="147"/>
      <c r="S285" s="147"/>
      <c r="T285" s="147"/>
      <c r="U285" s="147"/>
    </row>
    <row r="286" spans="1:21">
      <c r="A286" s="147"/>
      <c r="B286" s="147"/>
      <c r="C286" s="141" t="s">
        <v>6840</v>
      </c>
      <c r="D286" s="141"/>
      <c r="E286" s="141"/>
      <c r="F286" s="141"/>
      <c r="G286" s="147"/>
      <c r="H286" s="147"/>
      <c r="I286" s="147"/>
      <c r="J286" s="147"/>
      <c r="K286" s="147"/>
      <c r="L286" s="147"/>
      <c r="M286" s="147"/>
      <c r="N286" s="147"/>
      <c r="O286" s="147"/>
      <c r="P286" s="147"/>
      <c r="Q286" s="147"/>
      <c r="R286" s="147"/>
      <c r="S286" s="147"/>
      <c r="T286" s="147"/>
      <c r="U286" s="147"/>
    </row>
    <row r="287" spans="1:21">
      <c r="A287" s="147"/>
      <c r="B287" s="147"/>
      <c r="C287" s="4681"/>
      <c r="D287" s="141"/>
      <c r="E287" s="141"/>
      <c r="F287" s="141"/>
      <c r="G287" s="147"/>
      <c r="H287" s="147"/>
      <c r="I287" s="147"/>
      <c r="J287" s="147"/>
      <c r="K287" s="147"/>
      <c r="L287" s="147"/>
      <c r="M287" s="147"/>
      <c r="N287" s="147"/>
      <c r="O287" s="147"/>
      <c r="P287" s="147"/>
      <c r="Q287" s="147"/>
      <c r="R287" s="147"/>
      <c r="S287" s="147"/>
      <c r="T287" s="147"/>
      <c r="U287" s="147"/>
    </row>
    <row r="288" spans="1:21">
      <c r="A288" s="147"/>
      <c r="B288" s="147"/>
      <c r="C288" s="4681" t="s">
        <v>6841</v>
      </c>
      <c r="D288" s="141"/>
      <c r="E288" s="141"/>
      <c r="F288" s="141"/>
      <c r="G288" s="147"/>
      <c r="H288" s="147"/>
      <c r="I288" s="147"/>
      <c r="J288" s="147"/>
      <c r="K288" s="147"/>
      <c r="L288" s="147"/>
      <c r="M288" s="147"/>
      <c r="N288" s="147"/>
      <c r="O288" s="147"/>
      <c r="P288" s="147"/>
      <c r="Q288" s="147"/>
      <c r="R288" s="147"/>
      <c r="S288" s="147"/>
      <c r="T288" s="147"/>
      <c r="U288" s="147"/>
    </row>
    <row r="289" spans="1:21">
      <c r="A289" s="147"/>
      <c r="B289" s="147"/>
      <c r="C289" s="141"/>
      <c r="D289" s="141"/>
      <c r="E289" s="141"/>
      <c r="F289" s="141"/>
      <c r="G289" s="147"/>
      <c r="H289" s="147"/>
      <c r="I289" s="147"/>
      <c r="J289" s="147"/>
      <c r="K289" s="147"/>
      <c r="L289" s="147"/>
      <c r="M289" s="147"/>
      <c r="N289" s="147"/>
      <c r="O289" s="147"/>
      <c r="P289" s="147"/>
      <c r="Q289" s="147"/>
      <c r="R289" s="147"/>
      <c r="S289" s="147"/>
      <c r="T289" s="147"/>
      <c r="U289" s="147"/>
    </row>
    <row r="290" spans="1:21">
      <c r="A290" s="147"/>
      <c r="B290" s="147"/>
      <c r="C290" s="141" t="s">
        <v>6842</v>
      </c>
      <c r="D290" s="141"/>
      <c r="E290" s="141"/>
      <c r="F290" s="141"/>
      <c r="G290" s="147"/>
      <c r="H290" s="147"/>
      <c r="I290" s="147"/>
      <c r="J290" s="147"/>
      <c r="K290" s="147"/>
      <c r="L290" s="147"/>
      <c r="M290" s="147"/>
      <c r="N290" s="147"/>
      <c r="O290" s="147"/>
      <c r="P290" s="147"/>
      <c r="Q290" s="147"/>
      <c r="R290" s="147"/>
      <c r="S290" s="147"/>
      <c r="T290" s="147"/>
      <c r="U290" s="147"/>
    </row>
    <row r="291" spans="1:21">
      <c r="A291" s="147"/>
      <c r="B291" s="147"/>
      <c r="C291" s="4681"/>
      <c r="D291" s="141"/>
      <c r="E291" s="141"/>
      <c r="F291" s="141"/>
      <c r="G291" s="147"/>
      <c r="H291" s="147"/>
      <c r="I291" s="147"/>
      <c r="J291" s="147"/>
      <c r="K291" s="147"/>
      <c r="L291" s="147"/>
      <c r="M291" s="147"/>
      <c r="N291" s="147"/>
      <c r="O291" s="147"/>
      <c r="P291" s="147"/>
      <c r="Q291" s="147"/>
      <c r="R291" s="147"/>
      <c r="S291" s="147"/>
      <c r="T291" s="147"/>
      <c r="U291" s="147"/>
    </row>
    <row r="292" spans="1:21">
      <c r="A292" s="147"/>
      <c r="B292" s="147"/>
      <c r="C292" s="4681" t="s">
        <v>6843</v>
      </c>
      <c r="D292" s="141"/>
      <c r="E292" s="141"/>
      <c r="F292" s="141"/>
      <c r="G292" s="147"/>
      <c r="H292" s="147"/>
      <c r="I292" s="147"/>
      <c r="J292" s="147"/>
      <c r="K292" s="147"/>
      <c r="L292" s="147"/>
      <c r="M292" s="147"/>
      <c r="N292" s="147"/>
      <c r="O292" s="147"/>
      <c r="P292" s="147"/>
      <c r="Q292" s="147"/>
      <c r="R292" s="147"/>
      <c r="S292" s="147"/>
      <c r="T292" s="147"/>
      <c r="U292" s="147"/>
    </row>
    <row r="293" spans="1:21">
      <c r="A293" s="147"/>
      <c r="B293" s="147"/>
      <c r="C293" s="4681" t="s">
        <v>6844</v>
      </c>
      <c r="D293" s="141"/>
      <c r="E293" s="141"/>
      <c r="F293" s="141"/>
      <c r="G293" s="147"/>
      <c r="H293" s="147"/>
      <c r="I293" s="147"/>
      <c r="J293" s="147"/>
      <c r="K293" s="147"/>
      <c r="L293" s="147"/>
      <c r="M293" s="147"/>
      <c r="N293" s="147"/>
      <c r="O293" s="147"/>
      <c r="P293" s="147"/>
      <c r="Q293" s="147"/>
      <c r="R293" s="147"/>
      <c r="S293" s="147"/>
      <c r="T293" s="147"/>
      <c r="U293" s="147"/>
    </row>
    <row r="294" spans="1:21">
      <c r="A294" s="147"/>
      <c r="B294" s="147"/>
      <c r="C294" s="141"/>
      <c r="D294" s="141"/>
      <c r="E294" s="141"/>
      <c r="F294" s="141"/>
      <c r="G294" s="147"/>
      <c r="H294" s="147"/>
      <c r="I294" s="147"/>
      <c r="J294" s="147"/>
      <c r="K294" s="147"/>
      <c r="L294" s="147"/>
      <c r="M294" s="147"/>
      <c r="N294" s="147"/>
      <c r="O294" s="147"/>
      <c r="P294" s="147"/>
      <c r="Q294" s="147"/>
      <c r="R294" s="147"/>
      <c r="S294" s="147"/>
      <c r="T294" s="147"/>
      <c r="U294" s="147"/>
    </row>
    <row r="295" spans="1:21" ht="18">
      <c r="A295" s="147"/>
      <c r="B295" s="147"/>
      <c r="C295" s="155" t="s">
        <v>6845</v>
      </c>
      <c r="D295" s="141"/>
      <c r="E295" s="141"/>
      <c r="F295" s="141"/>
      <c r="G295" s="147"/>
      <c r="H295" s="147"/>
      <c r="I295" s="147"/>
      <c r="J295" s="147"/>
      <c r="K295" s="147"/>
      <c r="L295" s="147"/>
      <c r="M295" s="147"/>
      <c r="N295" s="147"/>
      <c r="O295" s="147"/>
      <c r="P295" s="147"/>
      <c r="Q295" s="147"/>
      <c r="R295" s="147"/>
      <c r="S295" s="147"/>
      <c r="T295" s="147"/>
      <c r="U295" s="147"/>
    </row>
    <row r="296" spans="1:21">
      <c r="A296" s="147"/>
      <c r="B296" s="147"/>
      <c r="C296" s="4681"/>
      <c r="D296" s="141"/>
      <c r="E296" s="141"/>
      <c r="F296" s="141"/>
      <c r="G296" s="147"/>
      <c r="H296" s="147"/>
      <c r="I296" s="147"/>
      <c r="J296" s="147"/>
      <c r="K296" s="147"/>
      <c r="L296" s="147"/>
      <c r="M296" s="147"/>
      <c r="N296" s="147"/>
      <c r="O296" s="147"/>
      <c r="P296" s="147"/>
      <c r="Q296" s="147"/>
      <c r="R296" s="147"/>
      <c r="S296" s="147"/>
      <c r="T296" s="147"/>
      <c r="U296" s="147"/>
    </row>
    <row r="297" spans="1:21">
      <c r="A297" s="147"/>
      <c r="B297" s="147"/>
      <c r="C297" s="4681" t="s">
        <v>6846</v>
      </c>
      <c r="D297" s="141"/>
      <c r="E297" s="141"/>
      <c r="F297" s="141"/>
      <c r="G297" s="147"/>
      <c r="H297" s="147"/>
      <c r="I297" s="147"/>
      <c r="J297" s="147"/>
      <c r="K297" s="147"/>
      <c r="L297" s="147"/>
      <c r="M297" s="147"/>
      <c r="N297" s="147"/>
      <c r="O297" s="147"/>
      <c r="P297" s="147"/>
      <c r="Q297" s="147"/>
      <c r="R297" s="147"/>
      <c r="S297" s="147"/>
      <c r="T297" s="147"/>
      <c r="U297" s="147"/>
    </row>
    <row r="298" spans="1:21">
      <c r="A298" s="147"/>
      <c r="B298" s="147"/>
      <c r="C298" s="4681" t="s">
        <v>6847</v>
      </c>
      <c r="D298" s="141"/>
      <c r="E298" s="141"/>
      <c r="F298" s="141"/>
      <c r="G298" s="147"/>
      <c r="H298" s="147"/>
      <c r="I298" s="147"/>
      <c r="J298" s="147"/>
      <c r="K298" s="147"/>
      <c r="L298" s="147"/>
      <c r="M298" s="147"/>
      <c r="N298" s="147"/>
      <c r="O298" s="147"/>
      <c r="P298" s="147"/>
      <c r="Q298" s="147"/>
      <c r="R298" s="147"/>
      <c r="S298" s="147"/>
      <c r="T298" s="147"/>
      <c r="U298" s="147"/>
    </row>
    <row r="299" spans="1:21">
      <c r="A299" s="147"/>
      <c r="B299" s="147"/>
      <c r="C299" s="141"/>
      <c r="D299" s="141"/>
      <c r="E299" s="141"/>
      <c r="F299" s="141"/>
      <c r="G299" s="147"/>
      <c r="H299" s="147"/>
      <c r="I299" s="147"/>
      <c r="J299" s="147"/>
      <c r="K299" s="147"/>
      <c r="L299" s="147"/>
      <c r="M299" s="147"/>
      <c r="N299" s="147"/>
      <c r="O299" s="147"/>
      <c r="P299" s="147"/>
      <c r="Q299" s="147"/>
      <c r="R299" s="147"/>
      <c r="S299" s="147"/>
      <c r="T299" s="147"/>
      <c r="U299" s="147"/>
    </row>
    <row r="300" spans="1:21">
      <c r="A300" s="147"/>
      <c r="B300" s="147"/>
      <c r="C300" s="141"/>
      <c r="D300" s="141"/>
      <c r="E300" s="141"/>
      <c r="F300" s="141"/>
      <c r="G300" s="147"/>
      <c r="H300" s="147"/>
      <c r="I300" s="147"/>
      <c r="J300" s="147"/>
      <c r="K300" s="147"/>
      <c r="L300" s="147"/>
      <c r="M300" s="147"/>
      <c r="N300" s="147"/>
      <c r="O300" s="147"/>
      <c r="P300" s="147"/>
      <c r="Q300" s="147"/>
      <c r="R300" s="147"/>
      <c r="S300" s="147"/>
      <c r="T300" s="147"/>
      <c r="U300" s="147"/>
    </row>
    <row r="301" spans="1:21">
      <c r="A301" s="147"/>
      <c r="B301" s="147"/>
      <c r="C301" s="141"/>
      <c r="D301" s="141"/>
      <c r="E301" s="141"/>
      <c r="F301" s="141"/>
      <c r="G301" s="147"/>
      <c r="H301" s="147"/>
      <c r="I301" s="147"/>
      <c r="J301" s="147"/>
      <c r="K301" s="147"/>
      <c r="L301" s="147"/>
      <c r="M301" s="147"/>
      <c r="N301" s="147"/>
      <c r="O301" s="147"/>
      <c r="P301" s="147"/>
      <c r="Q301" s="147"/>
      <c r="R301" s="147"/>
      <c r="S301" s="147"/>
      <c r="T301" s="147"/>
      <c r="U301" s="147"/>
    </row>
    <row r="302" spans="1:21" ht="23.25">
      <c r="A302" s="147"/>
      <c r="B302" s="147"/>
      <c r="C302" s="4680" t="s">
        <v>6848</v>
      </c>
      <c r="D302" s="141"/>
      <c r="E302" s="141"/>
      <c r="F302" s="141"/>
      <c r="G302" s="147"/>
      <c r="H302" s="147"/>
      <c r="I302" s="147"/>
      <c r="J302" s="147"/>
      <c r="K302" s="147"/>
      <c r="L302" s="147"/>
      <c r="M302" s="147"/>
      <c r="N302" s="147"/>
      <c r="O302" s="147"/>
      <c r="P302" s="147"/>
      <c r="Q302" s="147"/>
      <c r="R302" s="147"/>
      <c r="S302" s="147"/>
      <c r="T302" s="147"/>
      <c r="U302" s="147"/>
    </row>
    <row r="303" spans="1:21">
      <c r="A303" s="147"/>
      <c r="B303" s="147"/>
      <c r="C303" s="141"/>
      <c r="D303" s="141"/>
      <c r="E303" s="141"/>
      <c r="F303" s="141"/>
      <c r="G303" s="147"/>
      <c r="H303" s="147"/>
      <c r="I303" s="147"/>
      <c r="J303" s="147"/>
      <c r="K303" s="147"/>
      <c r="L303" s="147"/>
      <c r="M303" s="147"/>
      <c r="N303" s="147"/>
      <c r="O303" s="147"/>
      <c r="P303" s="147"/>
      <c r="Q303" s="147"/>
      <c r="R303" s="147"/>
      <c r="S303" s="147"/>
      <c r="T303" s="147"/>
      <c r="U303" s="147"/>
    </row>
    <row r="304" spans="1:21">
      <c r="A304" s="147"/>
      <c r="B304" s="147"/>
      <c r="C304" s="4683" t="s">
        <v>6849</v>
      </c>
      <c r="D304" s="4683" t="s">
        <v>6850</v>
      </c>
      <c r="E304" s="4683" t="s">
        <v>6851</v>
      </c>
      <c r="F304" s="4683" t="s">
        <v>6852</v>
      </c>
      <c r="G304" s="147"/>
      <c r="H304" s="147"/>
      <c r="I304" s="147"/>
      <c r="J304" s="147"/>
      <c r="K304" s="147"/>
      <c r="L304" s="147"/>
      <c r="M304" s="147"/>
      <c r="N304" s="147"/>
      <c r="O304" s="147"/>
      <c r="P304" s="147"/>
      <c r="Q304" s="147"/>
      <c r="R304" s="147"/>
      <c r="S304" s="147"/>
      <c r="T304" s="147"/>
      <c r="U304" s="147"/>
    </row>
    <row r="305" spans="1:21" ht="30">
      <c r="A305" s="147"/>
      <c r="B305" s="147"/>
      <c r="C305" s="4684" t="s">
        <v>6853</v>
      </c>
      <c r="D305" s="4684" t="s">
        <v>6854</v>
      </c>
      <c r="E305" s="4684" t="s">
        <v>6855</v>
      </c>
      <c r="F305" s="4684" t="s">
        <v>6856</v>
      </c>
      <c r="G305" s="147"/>
      <c r="H305" s="147"/>
      <c r="I305" s="147"/>
      <c r="J305" s="147"/>
      <c r="K305" s="147"/>
      <c r="L305" s="147"/>
      <c r="M305" s="147"/>
      <c r="N305" s="147"/>
      <c r="O305" s="147"/>
      <c r="P305" s="147"/>
      <c r="Q305" s="147"/>
      <c r="R305" s="147"/>
      <c r="S305" s="147"/>
      <c r="T305" s="147"/>
      <c r="U305" s="147"/>
    </row>
    <row r="306" spans="1:21" ht="30">
      <c r="A306" s="147"/>
      <c r="B306" s="147"/>
      <c r="C306" s="4684" t="s">
        <v>6857</v>
      </c>
      <c r="D306" s="4684" t="s">
        <v>6858</v>
      </c>
      <c r="E306" s="4684" t="s">
        <v>6859</v>
      </c>
      <c r="F306" s="4684" t="s">
        <v>6860</v>
      </c>
      <c r="G306" s="147"/>
      <c r="H306" s="147"/>
      <c r="I306" s="147"/>
      <c r="J306" s="147"/>
      <c r="K306" s="147"/>
      <c r="L306" s="147"/>
      <c r="M306" s="147"/>
      <c r="N306" s="147"/>
      <c r="O306" s="147"/>
      <c r="P306" s="147"/>
      <c r="Q306" s="147"/>
      <c r="R306" s="147"/>
      <c r="S306" s="147"/>
      <c r="T306" s="147"/>
      <c r="U306" s="147"/>
    </row>
    <row r="307" spans="1:21" ht="30">
      <c r="A307" s="147"/>
      <c r="B307" s="147"/>
      <c r="C307" s="4684" t="s">
        <v>6861</v>
      </c>
      <c r="D307" s="4684" t="s">
        <v>6862</v>
      </c>
      <c r="E307" s="4684" t="s">
        <v>6863</v>
      </c>
      <c r="F307" s="4684" t="s">
        <v>6864</v>
      </c>
      <c r="G307" s="147"/>
      <c r="H307" s="147"/>
      <c r="I307" s="147"/>
      <c r="J307" s="147"/>
      <c r="K307" s="147"/>
      <c r="L307" s="147"/>
      <c r="M307" s="147"/>
      <c r="N307" s="147"/>
      <c r="O307" s="147"/>
      <c r="P307" s="147"/>
      <c r="Q307" s="147"/>
      <c r="R307" s="147"/>
      <c r="S307" s="147"/>
      <c r="T307" s="147"/>
      <c r="U307" s="147"/>
    </row>
    <row r="308" spans="1:21" ht="30">
      <c r="A308" s="147"/>
      <c r="B308" s="147"/>
      <c r="C308" s="4684" t="s">
        <v>6865</v>
      </c>
      <c r="D308" s="4684" t="s">
        <v>6866</v>
      </c>
      <c r="E308" s="4684" t="s">
        <v>6867</v>
      </c>
      <c r="F308" s="4684" t="s">
        <v>6868</v>
      </c>
      <c r="G308" s="147"/>
      <c r="H308" s="147"/>
      <c r="I308" s="147"/>
      <c r="J308" s="147"/>
      <c r="K308" s="147"/>
      <c r="L308" s="147"/>
      <c r="M308" s="147"/>
      <c r="N308" s="147"/>
      <c r="O308" s="147"/>
      <c r="P308" s="147"/>
      <c r="Q308" s="147"/>
      <c r="R308" s="147"/>
      <c r="S308" s="147"/>
      <c r="T308" s="147"/>
      <c r="U308" s="147"/>
    </row>
    <row r="309" spans="1:21" ht="30">
      <c r="A309" s="147"/>
      <c r="B309" s="147"/>
      <c r="C309" s="4684" t="s">
        <v>1154</v>
      </c>
      <c r="D309" s="4684" t="s">
        <v>6862</v>
      </c>
      <c r="E309" s="4684" t="s">
        <v>6869</v>
      </c>
      <c r="F309" s="4684" t="s">
        <v>6870</v>
      </c>
      <c r="G309" s="147"/>
      <c r="H309" s="147"/>
      <c r="I309" s="147"/>
      <c r="J309" s="147"/>
      <c r="K309" s="147"/>
      <c r="L309" s="147"/>
      <c r="M309" s="147"/>
      <c r="N309" s="147"/>
      <c r="O309" s="147"/>
      <c r="P309" s="147"/>
      <c r="Q309" s="147"/>
      <c r="R309" s="147"/>
      <c r="S309" s="147"/>
      <c r="T309" s="147"/>
      <c r="U309" s="147"/>
    </row>
    <row r="310" spans="1:21" ht="30">
      <c r="A310" s="147"/>
      <c r="B310" s="147"/>
      <c r="C310" s="4684" t="s">
        <v>6871</v>
      </c>
      <c r="D310" s="4684" t="s">
        <v>6872</v>
      </c>
      <c r="E310" s="4684" t="s">
        <v>6873</v>
      </c>
      <c r="F310" s="4684" t="s">
        <v>6874</v>
      </c>
      <c r="G310" s="147"/>
      <c r="H310" s="147"/>
      <c r="I310" s="147"/>
      <c r="J310" s="147"/>
      <c r="K310" s="147"/>
      <c r="L310" s="147"/>
      <c r="M310" s="147"/>
      <c r="N310" s="147"/>
      <c r="O310" s="147"/>
      <c r="P310" s="147"/>
      <c r="Q310" s="147"/>
      <c r="R310" s="147"/>
      <c r="S310" s="147"/>
      <c r="T310" s="147"/>
      <c r="U310" s="147"/>
    </row>
    <row r="311" spans="1:21">
      <c r="A311" s="147"/>
      <c r="B311" s="147"/>
      <c r="C311" s="141"/>
      <c r="D311" s="141"/>
      <c r="E311" s="141"/>
      <c r="F311" s="141"/>
      <c r="G311" s="147"/>
      <c r="H311" s="147"/>
      <c r="I311" s="147"/>
      <c r="J311" s="147"/>
      <c r="K311" s="147"/>
      <c r="L311" s="147"/>
      <c r="M311" s="147"/>
      <c r="N311" s="147"/>
      <c r="O311" s="147"/>
      <c r="P311" s="147"/>
      <c r="Q311" s="147"/>
      <c r="R311" s="147"/>
      <c r="S311" s="147"/>
      <c r="T311" s="147"/>
      <c r="U311" s="147"/>
    </row>
    <row r="312" spans="1:21">
      <c r="A312" s="147"/>
      <c r="B312" s="147"/>
      <c r="C312" s="141"/>
      <c r="D312" s="141"/>
      <c r="E312" s="141"/>
      <c r="F312" s="141"/>
      <c r="G312" s="147"/>
      <c r="H312" s="147"/>
      <c r="I312" s="147"/>
      <c r="J312" s="147"/>
      <c r="K312" s="147"/>
      <c r="L312" s="147"/>
      <c r="M312" s="147"/>
      <c r="N312" s="147"/>
      <c r="O312" s="147"/>
      <c r="P312" s="147"/>
      <c r="Q312" s="147"/>
      <c r="R312" s="147"/>
      <c r="S312" s="147"/>
      <c r="T312" s="147"/>
      <c r="U312" s="147"/>
    </row>
    <row r="313" spans="1:21">
      <c r="A313" s="147"/>
      <c r="B313" s="147"/>
      <c r="C313" s="141" t="s">
        <v>6875</v>
      </c>
      <c r="D313" s="141"/>
      <c r="E313" s="141"/>
      <c r="F313" s="141"/>
      <c r="G313" s="147"/>
      <c r="H313" s="147"/>
      <c r="I313" s="147"/>
      <c r="J313" s="147"/>
      <c r="K313" s="147"/>
      <c r="L313" s="147"/>
      <c r="M313" s="147"/>
      <c r="N313" s="147"/>
      <c r="O313" s="147"/>
      <c r="P313" s="147"/>
      <c r="Q313" s="147"/>
      <c r="R313" s="147"/>
      <c r="S313" s="147"/>
      <c r="T313" s="147"/>
      <c r="U313" s="147"/>
    </row>
    <row r="314" spans="1:21">
      <c r="A314" s="147"/>
      <c r="B314" s="147"/>
      <c r="C314" s="147"/>
      <c r="D314" s="147"/>
      <c r="E314" s="147"/>
      <c r="F314" s="147"/>
      <c r="G314" s="147"/>
      <c r="H314" s="147"/>
      <c r="I314" s="147"/>
      <c r="J314" s="147"/>
      <c r="K314" s="147"/>
      <c r="L314" s="147"/>
      <c r="M314" s="147"/>
      <c r="N314" s="147"/>
      <c r="O314" s="147"/>
      <c r="P314" s="147"/>
      <c r="Q314" s="147"/>
      <c r="R314" s="147"/>
      <c r="S314" s="147"/>
      <c r="T314" s="147"/>
      <c r="U314" s="147"/>
    </row>
    <row r="315" spans="1:21">
      <c r="A315" s="147"/>
      <c r="B315" s="147"/>
      <c r="C315" s="147"/>
      <c r="D315" s="147"/>
      <c r="E315" s="147"/>
      <c r="F315" s="147"/>
      <c r="G315" s="147"/>
      <c r="H315" s="147"/>
      <c r="I315" s="147"/>
      <c r="J315" s="147"/>
      <c r="K315" s="147"/>
      <c r="L315" s="147"/>
      <c r="M315" s="147"/>
      <c r="N315" s="147"/>
      <c r="O315" s="147"/>
      <c r="P315" s="147"/>
      <c r="Q315" s="147"/>
      <c r="R315" s="147"/>
      <c r="S315" s="147"/>
      <c r="T315" s="147"/>
      <c r="U315" s="147"/>
    </row>
  </sheetData>
  <hyperlinks>
    <hyperlink ref="C201" r:id="rId1" xr:uid="{168AF0C4-BD2E-483F-A8B9-85CB56C210B5}"/>
    <hyperlink ref="C207" r:id="rId2" xr:uid="{91E69DFA-D5AF-4180-AEA8-371A21F9CE2C}"/>
    <hyperlink ref="C204" r:id="rId3" xr:uid="{B373D6AD-C0B2-4F5B-A17C-32CADE58B7BC}"/>
    <hyperlink ref="N207" r:id="rId4" xr:uid="{01FFDA94-B46F-4458-B70D-2FE338837F8D}"/>
    <hyperlink ref="D209" r:id="rId5" xr:uid="{8BD7C3DF-B9FF-444E-9E04-419677FB4D22}"/>
    <hyperlink ref="D218" r:id="rId6" xr:uid="{7CDC73F6-659E-4047-8BE1-DBEBBC93A07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1C2B-8C9A-4988-952A-0290C2AD15FA}">
  <dimension ref="A1:AC190"/>
  <sheetViews>
    <sheetView topLeftCell="T1" workbookViewId="0">
      <selection activeCell="AH20" sqref="AH20"/>
    </sheetView>
  </sheetViews>
  <sheetFormatPr baseColWidth="10" defaultRowHeight="15"/>
  <cols>
    <col min="1" max="1" width="4.140625" customWidth="1"/>
    <col min="27" max="27" width="8.7109375" style="2" customWidth="1"/>
    <col min="28" max="28" width="11.42578125" style="1"/>
    <col min="29" max="29" width="43.5703125" style="1" customWidth="1"/>
  </cols>
  <sheetData>
    <row r="1" spans="2:29">
      <c r="AA1" s="5">
        <v>1</v>
      </c>
      <c r="AB1" s="5443" t="str">
        <f>SUBSTITUTE(ADDRESS(1,COLUMN(),4),"1","")</f>
        <v>AB</v>
      </c>
      <c r="AC1" s="5442" t="str">
        <f>SUBSTITUTE(ADDRESS(1,COLUMN(),4),"1","")</f>
        <v>AC</v>
      </c>
    </row>
    <row r="2" spans="2:29" ht="18.75">
      <c r="B2" t="s">
        <v>6876</v>
      </c>
      <c r="Q2" t="s">
        <v>6877</v>
      </c>
      <c r="AA2" s="5">
        <v>1</v>
      </c>
      <c r="AB2" s="4685"/>
      <c r="AC2" s="4685" t="s">
        <v>295</v>
      </c>
    </row>
    <row r="3" spans="2:29" ht="21">
      <c r="B3" s="4686"/>
      <c r="L3" s="4687" t="str">
        <f ca="1">"Page N°"&amp;_xlfn.SHEET()</f>
        <v>Page N°27</v>
      </c>
      <c r="Q3" s="4686"/>
      <c r="AA3" s="5">
        <v>1</v>
      </c>
      <c r="AB3" s="4688">
        <f ca="1">COUNTA(A1:Z189)+COUNTBLANK(A1:Z189)</f>
        <v>4915</v>
      </c>
      <c r="AC3" s="4685" t="str">
        <f>"cellules entre"&amp;" " &amp;A1&amp;" et  "&amp;AA190</f>
        <v>cellules entre  et  AA190</v>
      </c>
    </row>
    <row r="4" spans="2:29" ht="18.75">
      <c r="B4" s="4689" t="s">
        <v>6878</v>
      </c>
      <c r="Q4" s="4689" t="s">
        <v>6879</v>
      </c>
      <c r="AA4" s="5">
        <v>1</v>
      </c>
      <c r="AB4" s="4688">
        <f ca="1">COUNTA(A1:Z189)</f>
        <v>274</v>
      </c>
      <c r="AC4" s="4685" t="s">
        <v>291</v>
      </c>
    </row>
    <row r="5" spans="2:29" ht="18.75">
      <c r="B5" s="4689" t="s">
        <v>6880</v>
      </c>
      <c r="Q5" s="4689" t="s">
        <v>6881</v>
      </c>
      <c r="AA5" s="5">
        <v>1</v>
      </c>
      <c r="AB5" s="4688">
        <f ca="1">COUNTBLANK(A1:Z189)</f>
        <v>4641</v>
      </c>
      <c r="AC5" s="4685" t="s">
        <v>288</v>
      </c>
    </row>
    <row r="6" spans="2:29" ht="18.75">
      <c r="B6" s="4689" t="s">
        <v>6882</v>
      </c>
      <c r="Q6" s="4689" t="s">
        <v>6883</v>
      </c>
      <c r="AA6" s="5">
        <v>1</v>
      </c>
      <c r="AB6" s="4688">
        <f>SUM(AA1:AA188)+2</f>
        <v>190</v>
      </c>
      <c r="AC6" s="4685" t="s">
        <v>286</v>
      </c>
    </row>
    <row r="7" spans="2:29" ht="18.75">
      <c r="B7" s="4689" t="s">
        <v>6884</v>
      </c>
      <c r="Q7" s="4689" t="s">
        <v>6885</v>
      </c>
      <c r="AA7" s="5">
        <v>1</v>
      </c>
      <c r="AB7" s="4688">
        <f>SUM(A190:Z190)+1</f>
        <v>27</v>
      </c>
      <c r="AC7" s="4685" t="s">
        <v>284</v>
      </c>
    </row>
    <row r="8" spans="2:29">
      <c r="B8" s="4689" t="s">
        <v>6886</v>
      </c>
      <c r="Q8" s="4689" t="s">
        <v>6887</v>
      </c>
      <c r="AA8" s="5">
        <v>1</v>
      </c>
    </row>
    <row r="9" spans="2:29">
      <c r="B9" s="4689" t="s">
        <v>6888</v>
      </c>
      <c r="Q9" s="4689" t="s">
        <v>6889</v>
      </c>
      <c r="AA9" s="5">
        <v>1</v>
      </c>
    </row>
    <row r="10" spans="2:29">
      <c r="B10" s="4689" t="s">
        <v>6890</v>
      </c>
      <c r="Q10" s="4689" t="s">
        <v>6891</v>
      </c>
      <c r="AA10" s="5">
        <v>1</v>
      </c>
    </row>
    <row r="11" spans="2:29">
      <c r="B11" s="4689" t="s">
        <v>6892</v>
      </c>
      <c r="Q11" s="4689" t="s">
        <v>6893</v>
      </c>
      <c r="AA11" s="5">
        <v>1</v>
      </c>
    </row>
    <row r="12" spans="2:29">
      <c r="B12" s="4689" t="s">
        <v>6894</v>
      </c>
      <c r="Q12" s="4689" t="s">
        <v>6895</v>
      </c>
      <c r="AA12" s="5">
        <v>1</v>
      </c>
    </row>
    <row r="13" spans="2:29">
      <c r="B13" s="4689" t="s">
        <v>6896</v>
      </c>
      <c r="Q13" s="4689" t="s">
        <v>6897</v>
      </c>
      <c r="AA13" s="5">
        <v>1</v>
      </c>
    </row>
    <row r="14" spans="2:29">
      <c r="B14" s="4689" t="s">
        <v>6898</v>
      </c>
      <c r="Q14" s="4689" t="s">
        <v>6899</v>
      </c>
      <c r="AA14" s="5">
        <v>1</v>
      </c>
    </row>
    <row r="15" spans="2:29">
      <c r="B15" s="4689" t="s">
        <v>6900</v>
      </c>
      <c r="Q15" s="4689" t="s">
        <v>6901</v>
      </c>
      <c r="AA15" s="5">
        <v>1</v>
      </c>
    </row>
    <row r="16" spans="2:29">
      <c r="B16" s="4689" t="s">
        <v>6902</v>
      </c>
      <c r="Q16" s="4689" t="s">
        <v>6903</v>
      </c>
      <c r="AA16" s="5">
        <v>1</v>
      </c>
    </row>
    <row r="17" spans="2:27">
      <c r="B17" s="4689" t="s">
        <v>6904</v>
      </c>
      <c r="Q17" s="4689" t="s">
        <v>6905</v>
      </c>
      <c r="AA17" s="5">
        <v>1</v>
      </c>
    </row>
    <row r="18" spans="2:27">
      <c r="B18" s="4689" t="s">
        <v>6906</v>
      </c>
      <c r="Q18" s="4689" t="s">
        <v>6907</v>
      </c>
      <c r="AA18" s="5">
        <v>1</v>
      </c>
    </row>
    <row r="19" spans="2:27">
      <c r="B19" s="4689" t="s">
        <v>6908</v>
      </c>
      <c r="Q19" s="4689" t="s">
        <v>6909</v>
      </c>
      <c r="AA19" s="5">
        <v>1</v>
      </c>
    </row>
    <row r="20" spans="2:27">
      <c r="B20" s="4689" t="s">
        <v>6910</v>
      </c>
      <c r="Q20" s="4689" t="s">
        <v>6911</v>
      </c>
      <c r="AA20" s="5">
        <v>1</v>
      </c>
    </row>
    <row r="21" spans="2:27">
      <c r="B21" s="4689" t="s">
        <v>6912</v>
      </c>
      <c r="Q21" s="4689" t="s">
        <v>6913</v>
      </c>
      <c r="AA21" s="5">
        <v>1</v>
      </c>
    </row>
    <row r="22" spans="2:27">
      <c r="B22" s="4689" t="s">
        <v>6914</v>
      </c>
      <c r="Q22" s="4689" t="s">
        <v>6915</v>
      </c>
      <c r="AA22" s="5">
        <v>1</v>
      </c>
    </row>
    <row r="23" spans="2:27">
      <c r="B23" s="4689" t="s">
        <v>6916</v>
      </c>
      <c r="Q23" s="4689" t="s">
        <v>6917</v>
      </c>
      <c r="AA23" s="5">
        <v>1</v>
      </c>
    </row>
    <row r="24" spans="2:27">
      <c r="B24" s="4689" t="s">
        <v>6918</v>
      </c>
      <c r="Q24" s="4689" t="s">
        <v>6919</v>
      </c>
      <c r="AA24" s="5">
        <v>1</v>
      </c>
    </row>
    <row r="25" spans="2:27">
      <c r="B25" s="4689" t="s">
        <v>6920</v>
      </c>
      <c r="Q25" s="4689" t="s">
        <v>6921</v>
      </c>
      <c r="AA25" s="5">
        <v>1</v>
      </c>
    </row>
    <row r="26" spans="2:27">
      <c r="B26" s="4689" t="s">
        <v>6922</v>
      </c>
      <c r="Q26" s="4689" t="s">
        <v>6923</v>
      </c>
      <c r="AA26" s="5">
        <v>1</v>
      </c>
    </row>
    <row r="27" spans="2:27">
      <c r="B27" s="4689" t="s">
        <v>6924</v>
      </c>
      <c r="Q27" s="4689" t="s">
        <v>6925</v>
      </c>
      <c r="AA27" s="5">
        <v>1</v>
      </c>
    </row>
    <row r="28" spans="2:27">
      <c r="B28" s="4689" t="s">
        <v>6926</v>
      </c>
      <c r="Q28" s="4689" t="s">
        <v>6927</v>
      </c>
      <c r="AA28" s="5">
        <v>1</v>
      </c>
    </row>
    <row r="29" spans="2:27">
      <c r="B29" s="4689" t="s">
        <v>6928</v>
      </c>
      <c r="Q29" s="4689" t="s">
        <v>6929</v>
      </c>
      <c r="AA29" s="5">
        <v>1</v>
      </c>
    </row>
    <row r="30" spans="2:27">
      <c r="B30" s="4689" t="s">
        <v>6930</v>
      </c>
      <c r="Q30" s="4689" t="s">
        <v>6931</v>
      </c>
      <c r="AA30" s="5">
        <v>1</v>
      </c>
    </row>
    <row r="31" spans="2:27">
      <c r="B31" s="4689" t="s">
        <v>6932</v>
      </c>
      <c r="Q31" s="4689" t="s">
        <v>6933</v>
      </c>
      <c r="AA31" s="5">
        <v>1</v>
      </c>
    </row>
    <row r="32" spans="2:27">
      <c r="B32" s="4689" t="s">
        <v>6934</v>
      </c>
      <c r="Q32" s="4689" t="s">
        <v>6935</v>
      </c>
      <c r="AA32" s="5">
        <v>1</v>
      </c>
    </row>
    <row r="33" spans="2:27">
      <c r="B33" s="4689" t="s">
        <v>6936</v>
      </c>
      <c r="Q33" s="4689" t="s">
        <v>6937</v>
      </c>
      <c r="AA33" s="5">
        <v>1</v>
      </c>
    </row>
    <row r="34" spans="2:27">
      <c r="AA34" s="5">
        <v>1</v>
      </c>
    </row>
    <row r="35" spans="2:27">
      <c r="B35" t="s">
        <v>6938</v>
      </c>
      <c r="Q35" t="s">
        <v>6939</v>
      </c>
      <c r="AA35" s="5">
        <v>1</v>
      </c>
    </row>
    <row r="36" spans="2:27">
      <c r="AA36" s="5">
        <v>1</v>
      </c>
    </row>
    <row r="37" spans="2:27">
      <c r="B37" t="s">
        <v>6940</v>
      </c>
      <c r="AA37" s="5">
        <v>1</v>
      </c>
    </row>
    <row r="38" spans="2:27">
      <c r="B38" s="187"/>
      <c r="AA38" s="5">
        <v>1</v>
      </c>
    </row>
    <row r="39" spans="2:27">
      <c r="B39" s="4690" t="s">
        <v>6941</v>
      </c>
      <c r="AA39" s="5">
        <v>1</v>
      </c>
    </row>
    <row r="40" spans="2:27">
      <c r="AA40" s="5">
        <v>1</v>
      </c>
    </row>
    <row r="41" spans="2:27">
      <c r="B41" t="s">
        <v>6942</v>
      </c>
      <c r="AA41" s="5">
        <v>1</v>
      </c>
    </row>
    <row r="42" spans="2:27">
      <c r="B42" s="4686"/>
      <c r="AA42" s="5">
        <v>1</v>
      </c>
    </row>
    <row r="43" spans="2:27">
      <c r="B43" s="4689" t="s">
        <v>6943</v>
      </c>
      <c r="AA43" s="5">
        <v>1</v>
      </c>
    </row>
    <row r="44" spans="2:27">
      <c r="B44" s="4689" t="s">
        <v>6944</v>
      </c>
      <c r="AA44" s="5">
        <v>1</v>
      </c>
    </row>
    <row r="45" spans="2:27">
      <c r="B45" s="4689" t="s">
        <v>6945</v>
      </c>
      <c r="AA45" s="5">
        <v>1</v>
      </c>
    </row>
    <row r="46" spans="2:27">
      <c r="B46" s="4689" t="s">
        <v>6946</v>
      </c>
      <c r="AA46" s="5">
        <v>1</v>
      </c>
    </row>
    <row r="47" spans="2:27">
      <c r="B47" s="4689" t="s">
        <v>6947</v>
      </c>
      <c r="AA47" s="5">
        <v>1</v>
      </c>
    </row>
    <row r="48" spans="2:27">
      <c r="B48" s="4689" t="s">
        <v>6948</v>
      </c>
      <c r="AA48" s="5">
        <v>1</v>
      </c>
    </row>
    <row r="49" spans="2:29">
      <c r="AA49" s="5">
        <v>1</v>
      </c>
    </row>
    <row r="50" spans="2:29">
      <c r="B50" t="s">
        <v>6949</v>
      </c>
      <c r="AA50" s="5">
        <v>1</v>
      </c>
    </row>
    <row r="51" spans="2:29">
      <c r="AA51" s="5">
        <v>1</v>
      </c>
    </row>
    <row r="52" spans="2:29">
      <c r="B52" t="s">
        <v>6950</v>
      </c>
      <c r="AA52" s="5">
        <v>1</v>
      </c>
    </row>
    <row r="53" spans="2:29">
      <c r="AA53" s="5">
        <v>1</v>
      </c>
    </row>
    <row r="54" spans="2:29">
      <c r="B54" t="s">
        <v>6951</v>
      </c>
      <c r="AA54" s="5">
        <v>1</v>
      </c>
    </row>
    <row r="55" spans="2:29">
      <c r="B55" s="4686"/>
      <c r="AA55" s="5">
        <v>1</v>
      </c>
      <c r="AB55" s="1724"/>
      <c r="AC55" s="1724"/>
    </row>
    <row r="56" spans="2:29">
      <c r="B56" s="4689" t="s">
        <v>6952</v>
      </c>
      <c r="AA56" s="5">
        <v>1</v>
      </c>
      <c r="AB56" s="1724"/>
      <c r="AC56" s="1724"/>
    </row>
    <row r="57" spans="2:29" ht="15.75">
      <c r="B57" s="4689" t="s">
        <v>6953</v>
      </c>
      <c r="O57" s="4691" t="s">
        <v>6954</v>
      </c>
      <c r="P57" s="147"/>
      <c r="Q57" s="147"/>
      <c r="R57" s="147"/>
      <c r="AA57" s="5">
        <v>1</v>
      </c>
    </row>
    <row r="58" spans="2:29" ht="15.75">
      <c r="B58" s="4689" t="s">
        <v>6955</v>
      </c>
      <c r="O58" s="147"/>
      <c r="P58" s="4692" t="s">
        <v>6956</v>
      </c>
      <c r="Q58" s="4693">
        <f>LEN(P59)</f>
        <v>57</v>
      </c>
      <c r="R58" s="147"/>
      <c r="AA58" s="5">
        <v>1</v>
      </c>
    </row>
    <row r="59" spans="2:29" ht="18.75">
      <c r="O59" s="4694"/>
      <c r="P59" s="4695" t="s">
        <v>6957</v>
      </c>
      <c r="Q59" s="2654"/>
      <c r="R59" s="2"/>
      <c r="AA59" s="5">
        <v>1</v>
      </c>
    </row>
    <row r="60" spans="2:29" ht="18.75">
      <c r="B60" t="s">
        <v>6958</v>
      </c>
      <c r="O60" s="4694"/>
      <c r="P60" s="4695" t="s">
        <v>6959</v>
      </c>
      <c r="Q60" s="2654"/>
      <c r="R60" s="2"/>
      <c r="AA60" s="5">
        <v>1</v>
      </c>
    </row>
    <row r="61" spans="2:29" ht="18.75">
      <c r="B61" s="187"/>
      <c r="O61" s="4694"/>
      <c r="P61" s="4695" t="s">
        <v>6960</v>
      </c>
      <c r="Q61" s="2654"/>
      <c r="R61" s="2"/>
      <c r="AA61" s="5">
        <v>1</v>
      </c>
    </row>
    <row r="62" spans="2:29" ht="18.75">
      <c r="B62" s="4696" t="s">
        <v>6961</v>
      </c>
      <c r="O62" s="4694"/>
      <c r="P62" s="4695" t="s">
        <v>6962</v>
      </c>
      <c r="Q62" s="2654"/>
      <c r="R62" s="2"/>
      <c r="AA62" s="5">
        <v>1</v>
      </c>
    </row>
    <row r="63" spans="2:29" ht="18.75">
      <c r="O63" s="4694"/>
      <c r="P63" s="4695" t="s">
        <v>6963</v>
      </c>
      <c r="Q63" s="2654"/>
      <c r="R63" s="2"/>
      <c r="AA63" s="5">
        <v>1</v>
      </c>
    </row>
    <row r="64" spans="2:29" ht="18.75">
      <c r="B64" t="s">
        <v>6942</v>
      </c>
      <c r="O64" s="4694"/>
      <c r="P64" s="4695" t="s">
        <v>6964</v>
      </c>
      <c r="Q64" s="2654"/>
      <c r="R64" s="2"/>
      <c r="AA64" s="5">
        <v>1</v>
      </c>
    </row>
    <row r="65" spans="2:29">
      <c r="B65" s="4686"/>
      <c r="O65" s="2"/>
      <c r="P65" s="2"/>
      <c r="Q65" s="2"/>
      <c r="R65" s="2"/>
      <c r="AA65" s="5">
        <v>1</v>
      </c>
    </row>
    <row r="66" spans="2:29" ht="15.75">
      <c r="B66" s="4689" t="s">
        <v>6965</v>
      </c>
      <c r="O66" s="4691" t="s">
        <v>6966</v>
      </c>
      <c r="P66" s="113"/>
      <c r="Q66" s="113"/>
      <c r="R66" s="113"/>
      <c r="AA66" s="5">
        <v>1</v>
      </c>
    </row>
    <row r="67" spans="2:29" ht="15.75">
      <c r="B67" s="4689" t="s">
        <v>6967</v>
      </c>
      <c r="O67" s="113"/>
      <c r="P67" s="4692" t="s">
        <v>6956</v>
      </c>
      <c r="Q67" s="4693">
        <f>LEN(P68)</f>
        <v>49</v>
      </c>
      <c r="R67" s="113"/>
      <c r="AA67" s="5">
        <v>1</v>
      </c>
    </row>
    <row r="68" spans="2:29" ht="18.75">
      <c r="B68" s="4689" t="s">
        <v>6968</v>
      </c>
      <c r="O68" s="4694"/>
      <c r="P68" s="4697" t="s">
        <v>6969</v>
      </c>
      <c r="Q68" s="498"/>
      <c r="R68" s="2"/>
      <c r="AA68" s="5">
        <v>1</v>
      </c>
    </row>
    <row r="69" spans="2:29" ht="18.75">
      <c r="B69" s="4689" t="s">
        <v>6970</v>
      </c>
      <c r="O69" s="4694"/>
      <c r="P69" s="4697" t="s">
        <v>6971</v>
      </c>
      <c r="Q69" s="498"/>
      <c r="R69" s="2"/>
      <c r="AA69" s="5">
        <v>1</v>
      </c>
    </row>
    <row r="70" spans="2:29" ht="18.75">
      <c r="B70" s="4689" t="s">
        <v>6972</v>
      </c>
      <c r="O70" s="4694"/>
      <c r="P70" s="4697" t="s">
        <v>6973</v>
      </c>
      <c r="Q70" s="498"/>
      <c r="R70" s="2"/>
      <c r="AA70" s="5">
        <v>1</v>
      </c>
    </row>
    <row r="71" spans="2:29">
      <c r="B71" s="4689" t="s">
        <v>6974</v>
      </c>
      <c r="AA71" s="5">
        <v>1</v>
      </c>
    </row>
    <row r="72" spans="2:29">
      <c r="B72" s="4689" t="s">
        <v>6975</v>
      </c>
      <c r="AA72" s="5">
        <v>1</v>
      </c>
    </row>
    <row r="73" spans="2:29" ht="18.75">
      <c r="P73" s="4698" t="s">
        <v>6976</v>
      </c>
      <c r="AA73" s="5">
        <v>1</v>
      </c>
    </row>
    <row r="74" spans="2:29" ht="18.75">
      <c r="B74" t="s">
        <v>6977</v>
      </c>
      <c r="O74" s="4694"/>
      <c r="P74" s="4697" t="s">
        <v>6978</v>
      </c>
      <c r="AA74" s="5">
        <v>1</v>
      </c>
    </row>
    <row r="75" spans="2:29" ht="18.75">
      <c r="O75" s="4694"/>
      <c r="P75" s="4697" t="s">
        <v>6979</v>
      </c>
      <c r="AA75" s="5">
        <v>1</v>
      </c>
    </row>
    <row r="76" spans="2:29" ht="18.75">
      <c r="O76" s="4694"/>
      <c r="P76" s="4697" t="s">
        <v>6969</v>
      </c>
      <c r="AA76" s="5">
        <v>1</v>
      </c>
      <c r="AB76" s="2"/>
      <c r="AC76" s="2"/>
    </row>
    <row r="77" spans="2:29" ht="18.75">
      <c r="B77" s="1740" t="s">
        <v>6980</v>
      </c>
      <c r="I77" s="4699"/>
      <c r="O77" s="4694"/>
      <c r="P77" s="4697" t="s">
        <v>6971</v>
      </c>
      <c r="AA77" s="5">
        <v>1</v>
      </c>
    </row>
    <row r="78" spans="2:29" ht="18.75">
      <c r="I78" s="4699"/>
      <c r="O78" s="4694"/>
      <c r="P78" s="4697" t="s">
        <v>6973</v>
      </c>
      <c r="AA78" s="5">
        <v>1</v>
      </c>
    </row>
    <row r="79" spans="2:29" ht="18.75">
      <c r="B79" s="4689" t="s">
        <v>6981</v>
      </c>
      <c r="I79" s="4699"/>
      <c r="P79" s="4700" t="s">
        <v>6982</v>
      </c>
      <c r="AA79" s="5">
        <v>1</v>
      </c>
    </row>
    <row r="80" spans="2:29" ht="18.75">
      <c r="B80" t="s">
        <v>6983</v>
      </c>
      <c r="I80" s="4699"/>
      <c r="P80" s="4700" t="s">
        <v>6984</v>
      </c>
      <c r="AA80" s="5">
        <v>1</v>
      </c>
    </row>
    <row r="81" spans="2:27">
      <c r="B81" t="s">
        <v>6985</v>
      </c>
      <c r="I81" s="4699"/>
      <c r="P81" s="2"/>
      <c r="AA81" s="5">
        <v>1</v>
      </c>
    </row>
    <row r="82" spans="2:27" ht="18.75">
      <c r="B82" t="s">
        <v>6986</v>
      </c>
      <c r="I82" s="4699"/>
      <c r="O82" s="4694"/>
      <c r="P82" s="4695" t="s">
        <v>6987</v>
      </c>
      <c r="AA82" s="5">
        <v>1</v>
      </c>
    </row>
    <row r="83" spans="2:27" ht="18.75">
      <c r="B83" s="4701" t="s">
        <v>6988</v>
      </c>
      <c r="I83" s="4699"/>
      <c r="O83" s="4694"/>
      <c r="P83" s="4695" t="s">
        <v>6989</v>
      </c>
      <c r="AA83" s="5">
        <v>1</v>
      </c>
    </row>
    <row r="84" spans="2:27" ht="18.75">
      <c r="B84" t="s">
        <v>856</v>
      </c>
      <c r="I84" s="4699"/>
      <c r="O84" s="4694"/>
      <c r="P84" s="4695" t="s">
        <v>6990</v>
      </c>
      <c r="AA84" s="5">
        <v>1</v>
      </c>
    </row>
    <row r="85" spans="2:27" ht="18.75">
      <c r="B85" s="4689" t="s">
        <v>6991</v>
      </c>
      <c r="I85" s="4699"/>
      <c r="O85" s="4694"/>
      <c r="P85" s="4695" t="s">
        <v>6992</v>
      </c>
      <c r="AA85" s="5">
        <v>1</v>
      </c>
    </row>
    <row r="86" spans="2:27" ht="18.75">
      <c r="B86" t="s">
        <v>6993</v>
      </c>
      <c r="I86" s="4699"/>
      <c r="O86" s="4694"/>
      <c r="P86" s="4695" t="s">
        <v>6994</v>
      </c>
      <c r="AA86" s="5">
        <v>1</v>
      </c>
    </row>
    <row r="87" spans="2:27" ht="18.75">
      <c r="B87" t="s">
        <v>6995</v>
      </c>
      <c r="I87" s="4699"/>
      <c r="O87" s="4694"/>
      <c r="P87" s="4695" t="s">
        <v>6957</v>
      </c>
      <c r="AA87" s="5">
        <v>1</v>
      </c>
    </row>
    <row r="88" spans="2:27" ht="18.75">
      <c r="B88" t="s">
        <v>6996</v>
      </c>
      <c r="I88" s="4699"/>
      <c r="O88" s="4694"/>
      <c r="P88" s="4695" t="s">
        <v>6959</v>
      </c>
      <c r="AA88" s="5">
        <v>1</v>
      </c>
    </row>
    <row r="89" spans="2:27" ht="18.75">
      <c r="B89" t="s">
        <v>6997</v>
      </c>
      <c r="I89" s="4699"/>
      <c r="O89" s="4694"/>
      <c r="P89" s="4695" t="s">
        <v>6960</v>
      </c>
      <c r="AA89" s="5">
        <v>1</v>
      </c>
    </row>
    <row r="90" spans="2:27" ht="18.75">
      <c r="B90" s="1"/>
      <c r="C90" s="1"/>
      <c r="D90" s="1"/>
      <c r="I90" s="4699"/>
      <c r="O90" s="4694"/>
      <c r="P90" s="4695" t="s">
        <v>6962</v>
      </c>
      <c r="AA90" s="5">
        <v>1</v>
      </c>
    </row>
    <row r="91" spans="2:27" ht="18.75">
      <c r="B91" s="4702">
        <v>15</v>
      </c>
      <c r="C91" s="4703" t="s">
        <v>6998</v>
      </c>
      <c r="D91" s="1"/>
      <c r="F91" s="4704" t="s">
        <v>6998</v>
      </c>
      <c r="G91" s="4702">
        <v>10</v>
      </c>
      <c r="I91" s="4699"/>
      <c r="O91" s="4694"/>
      <c r="P91" s="4695" t="s">
        <v>6963</v>
      </c>
      <c r="AA91" s="5">
        <v>1</v>
      </c>
    </row>
    <row r="92" spans="2:27" ht="18.75">
      <c r="B92" s="4705">
        <v>7</v>
      </c>
      <c r="C92" s="459" t="s">
        <v>6999</v>
      </c>
      <c r="D92" s="1"/>
      <c r="F92" s="4706" t="s">
        <v>7000</v>
      </c>
      <c r="G92" s="1155">
        <v>1.1000000000000001</v>
      </c>
      <c r="I92" s="4699"/>
      <c r="O92" s="4694"/>
      <c r="P92" s="4695" t="s">
        <v>6964</v>
      </c>
      <c r="AA92" s="5">
        <v>1</v>
      </c>
    </row>
    <row r="93" spans="2:27">
      <c r="B93" s="4707">
        <f>B91*B92</f>
        <v>105</v>
      </c>
      <c r="C93" s="459" t="s">
        <v>7001</v>
      </c>
      <c r="D93" s="1"/>
      <c r="F93" t="s">
        <v>7002</v>
      </c>
      <c r="G93" s="4707">
        <f>G91*G92</f>
        <v>11</v>
      </c>
      <c r="I93" s="4699"/>
      <c r="AA93" s="5">
        <v>1</v>
      </c>
    </row>
    <row r="94" spans="2:27" ht="15.75" thickBot="1">
      <c r="B94" s="1"/>
      <c r="C94" s="1"/>
      <c r="D94" s="1"/>
      <c r="E94" s="1"/>
      <c r="G94" s="1256" t="s">
        <v>7003</v>
      </c>
      <c r="H94" s="1"/>
      <c r="I94" s="1"/>
      <c r="AA94" s="5">
        <v>1</v>
      </c>
    </row>
    <row r="95" spans="2:27" ht="18.75" thickTop="1">
      <c r="B95" s="1740" t="s">
        <v>7004</v>
      </c>
      <c r="E95" s="1"/>
      <c r="F95" s="1"/>
      <c r="G95" s="1"/>
      <c r="H95" s="1"/>
      <c r="I95" s="1"/>
      <c r="O95" s="4708"/>
      <c r="P95" s="4709"/>
      <c r="Q95" s="4709"/>
      <c r="R95" s="4709"/>
      <c r="S95" s="4709"/>
      <c r="T95" s="4709"/>
      <c r="U95" s="4709"/>
      <c r="V95" s="4709"/>
      <c r="W95" s="4709"/>
      <c r="X95" s="4710">
        <v>1</v>
      </c>
      <c r="AA95" s="5">
        <v>1</v>
      </c>
    </row>
    <row r="96" spans="2:27">
      <c r="B96" s="187" t="s">
        <v>7005</v>
      </c>
      <c r="E96" s="1"/>
      <c r="F96" s="1"/>
      <c r="G96" s="1"/>
      <c r="H96" s="1"/>
      <c r="I96" s="1"/>
      <c r="O96" s="4711" t="s">
        <v>7006</v>
      </c>
      <c r="P96" s="4712"/>
      <c r="Q96" s="4712"/>
      <c r="R96" s="4712"/>
      <c r="S96" s="4712"/>
      <c r="T96" s="4712"/>
      <c r="U96" s="4712"/>
      <c r="V96" s="4712"/>
      <c r="W96" s="4712"/>
      <c r="X96" s="4713">
        <v>1</v>
      </c>
      <c r="AA96" s="5">
        <v>1</v>
      </c>
    </row>
    <row r="97" spans="2:27">
      <c r="B97" s="4689" t="s">
        <v>6981</v>
      </c>
      <c r="E97" s="1"/>
      <c r="F97" s="1"/>
      <c r="G97" s="1"/>
      <c r="H97" s="1"/>
      <c r="I97" s="1"/>
      <c r="O97" s="4714" t="s">
        <v>7007</v>
      </c>
      <c r="P97" s="4712"/>
      <c r="Q97" s="4712"/>
      <c r="R97" s="4712"/>
      <c r="S97" s="4712"/>
      <c r="T97" s="4712"/>
      <c r="U97" s="4712"/>
      <c r="V97" s="4712"/>
      <c r="W97" s="4712"/>
      <c r="X97" s="4713">
        <v>1</v>
      </c>
      <c r="AA97" s="5">
        <v>1</v>
      </c>
    </row>
    <row r="98" spans="2:27">
      <c r="B98" t="s">
        <v>7008</v>
      </c>
      <c r="E98" s="1"/>
      <c r="F98" s="1"/>
      <c r="G98" s="1"/>
      <c r="H98" s="1"/>
      <c r="I98" s="1"/>
      <c r="O98" s="4714" t="s">
        <v>7009</v>
      </c>
      <c r="P98" s="4712"/>
      <c r="Q98" s="4712"/>
      <c r="R98" s="4712"/>
      <c r="S98" s="4712"/>
      <c r="T98" s="4712"/>
      <c r="U98" s="4712"/>
      <c r="V98" s="4712"/>
      <c r="W98" s="4712"/>
      <c r="X98" s="4713">
        <v>1</v>
      </c>
      <c r="AA98" s="5">
        <v>1</v>
      </c>
    </row>
    <row r="99" spans="2:27">
      <c r="B99" t="s">
        <v>7010</v>
      </c>
      <c r="E99" s="1"/>
      <c r="F99" s="1"/>
      <c r="G99" s="1"/>
      <c r="H99" s="1"/>
      <c r="I99" s="1"/>
      <c r="O99" s="4714" t="s">
        <v>7011</v>
      </c>
      <c r="P99" s="4712"/>
      <c r="Q99" s="4712"/>
      <c r="R99" s="4712"/>
      <c r="S99" s="4712"/>
      <c r="T99" s="4712"/>
      <c r="U99" s="4712"/>
      <c r="V99" s="4712"/>
      <c r="W99" s="4712"/>
      <c r="X99" s="4713">
        <v>1</v>
      </c>
      <c r="AA99" s="5">
        <v>1</v>
      </c>
    </row>
    <row r="100" spans="2:27">
      <c r="B100" t="s">
        <v>7012</v>
      </c>
      <c r="E100" s="1"/>
      <c r="F100" s="1"/>
      <c r="G100" s="1"/>
      <c r="H100" s="1"/>
      <c r="I100" s="1"/>
      <c r="O100" s="4714" t="s">
        <v>7013</v>
      </c>
      <c r="P100" s="4712"/>
      <c r="Q100" s="4712"/>
      <c r="R100" s="4712"/>
      <c r="S100" s="4712"/>
      <c r="T100" s="4712"/>
      <c r="U100" s="4712"/>
      <c r="V100" s="4712"/>
      <c r="W100" s="4712"/>
      <c r="X100" s="4713">
        <v>1</v>
      </c>
      <c r="AA100" s="5">
        <v>1</v>
      </c>
    </row>
    <row r="101" spans="2:27">
      <c r="B101" t="s">
        <v>7014</v>
      </c>
      <c r="E101" s="1"/>
      <c r="F101" s="1"/>
      <c r="G101" s="1"/>
      <c r="H101" s="1"/>
      <c r="I101" s="1"/>
      <c r="O101" s="4714" t="s">
        <v>7015</v>
      </c>
      <c r="P101" s="4712"/>
      <c r="Q101" s="4712"/>
      <c r="R101" s="4712"/>
      <c r="S101" s="4712"/>
      <c r="T101" s="4712"/>
      <c r="U101" s="4712"/>
      <c r="V101" s="4712"/>
      <c r="W101" s="4712"/>
      <c r="X101" s="4713">
        <v>1</v>
      </c>
      <c r="AA101" s="5">
        <v>1</v>
      </c>
    </row>
    <row r="102" spans="2:27">
      <c r="B102" t="s">
        <v>7016</v>
      </c>
      <c r="E102" s="1"/>
      <c r="F102" s="1"/>
      <c r="G102" s="1"/>
      <c r="H102" s="1"/>
      <c r="I102" s="1"/>
      <c r="O102" s="4714" t="s">
        <v>7017</v>
      </c>
      <c r="P102" s="4712"/>
      <c r="Q102" s="4712"/>
      <c r="R102" s="4712"/>
      <c r="S102" s="4712"/>
      <c r="T102" s="4712"/>
      <c r="U102" s="4712"/>
      <c r="V102" s="4712"/>
      <c r="W102" s="4712"/>
      <c r="X102" s="4713">
        <v>1</v>
      </c>
      <c r="AA102" s="5">
        <v>1</v>
      </c>
    </row>
    <row r="103" spans="2:27" ht="15.75" thickBot="1">
      <c r="B103" s="4701" t="s">
        <v>7018</v>
      </c>
      <c r="E103" s="1"/>
      <c r="F103" s="1"/>
      <c r="G103" s="1"/>
      <c r="H103" s="1"/>
      <c r="I103" s="1"/>
      <c r="O103" s="4715"/>
      <c r="P103" s="4716"/>
      <c r="Q103" s="4716"/>
      <c r="R103" s="4716"/>
      <c r="S103" s="4716"/>
      <c r="T103" s="4716"/>
      <c r="U103" s="4716"/>
      <c r="V103" s="4716"/>
      <c r="W103" s="4716"/>
      <c r="X103" s="4717">
        <v>1</v>
      </c>
      <c r="AA103" s="5">
        <v>1</v>
      </c>
    </row>
    <row r="104" spans="2:27" ht="15.75" thickTop="1">
      <c r="E104" s="1"/>
      <c r="F104" s="1"/>
      <c r="G104" s="1"/>
      <c r="H104" s="1"/>
      <c r="I104" s="1"/>
      <c r="AA104" s="5">
        <v>1</v>
      </c>
    </row>
    <row r="105" spans="2:27">
      <c r="B105" s="4689" t="s">
        <v>6991</v>
      </c>
      <c r="E105" s="1"/>
      <c r="F105" s="1"/>
      <c r="G105" s="1"/>
      <c r="H105" s="1"/>
      <c r="I105" s="1"/>
      <c r="AA105" s="5">
        <v>1</v>
      </c>
    </row>
    <row r="106" spans="2:27">
      <c r="B106" t="s">
        <v>7019</v>
      </c>
      <c r="E106" s="1"/>
      <c r="F106" s="1"/>
      <c r="G106" s="1"/>
      <c r="H106" s="1"/>
      <c r="I106" s="1"/>
      <c r="AA106" s="5">
        <v>1</v>
      </c>
    </row>
    <row r="107" spans="2:27">
      <c r="B107" t="s">
        <v>7020</v>
      </c>
      <c r="E107" s="1"/>
      <c r="F107" s="1"/>
      <c r="G107" s="1"/>
      <c r="H107" s="1"/>
      <c r="I107" s="1"/>
      <c r="AA107" s="5">
        <v>1</v>
      </c>
    </row>
    <row r="108" spans="2:27">
      <c r="B108" t="s">
        <v>7021</v>
      </c>
      <c r="E108" s="1"/>
      <c r="F108" s="1"/>
      <c r="G108" s="1"/>
      <c r="H108" s="1"/>
      <c r="I108" s="1"/>
      <c r="AA108" s="5">
        <v>1</v>
      </c>
    </row>
    <row r="109" spans="2:27">
      <c r="B109" t="s">
        <v>7022</v>
      </c>
      <c r="E109" s="1"/>
      <c r="F109" s="1"/>
      <c r="G109" s="1"/>
      <c r="H109" s="1"/>
      <c r="I109" s="1"/>
      <c r="AA109" s="5">
        <v>1</v>
      </c>
    </row>
    <row r="110" spans="2:27" ht="18">
      <c r="B110" s="1740" t="s">
        <v>3194</v>
      </c>
      <c r="E110" s="1"/>
      <c r="F110" s="1"/>
      <c r="G110" s="1"/>
      <c r="H110" s="1"/>
      <c r="I110" s="1"/>
      <c r="AA110" s="5">
        <v>1</v>
      </c>
    </row>
    <row r="111" spans="2:27">
      <c r="B111" s="4686" t="s">
        <v>7023</v>
      </c>
      <c r="E111" s="1"/>
      <c r="F111" s="1"/>
      <c r="G111" s="1"/>
      <c r="H111" s="1"/>
      <c r="I111" s="1"/>
      <c r="AA111" s="5">
        <v>1</v>
      </c>
    </row>
    <row r="112" spans="2:27">
      <c r="B112" s="4686" t="s">
        <v>7024</v>
      </c>
      <c r="E112" s="1"/>
      <c r="F112" s="1"/>
      <c r="G112" s="1"/>
      <c r="H112" s="1"/>
      <c r="I112" s="1"/>
      <c r="AA112" s="5">
        <v>1</v>
      </c>
    </row>
    <row r="113" spans="2:27">
      <c r="E113" s="1"/>
      <c r="F113" s="1"/>
      <c r="G113" s="1"/>
      <c r="H113" s="1"/>
      <c r="I113" s="1"/>
      <c r="AA113" s="5">
        <v>1</v>
      </c>
    </row>
    <row r="114" spans="2:27">
      <c r="B114" s="4704" t="s">
        <v>7001</v>
      </c>
      <c r="C114" s="4702">
        <v>520</v>
      </c>
      <c r="D114" s="1"/>
      <c r="E114" s="1"/>
      <c r="F114" s="1"/>
      <c r="G114" s="1"/>
      <c r="H114" s="1"/>
      <c r="I114" s="1"/>
      <c r="AA114" s="5">
        <v>1</v>
      </c>
    </row>
    <row r="115" spans="2:27">
      <c r="B115" s="4706" t="s">
        <v>7000</v>
      </c>
      <c r="C115" s="1155">
        <v>7</v>
      </c>
      <c r="D115" s="1"/>
      <c r="E115" s="1"/>
      <c r="F115" s="1"/>
      <c r="G115" s="1"/>
      <c r="H115" s="1"/>
      <c r="I115" s="1"/>
      <c r="AA115" s="5">
        <v>1</v>
      </c>
    </row>
    <row r="116" spans="2:27">
      <c r="B116" t="s">
        <v>7002</v>
      </c>
      <c r="C116" s="4707">
        <f>C114*C115</f>
        <v>3640</v>
      </c>
      <c r="D116" s="1"/>
      <c r="E116" s="1"/>
      <c r="F116" s="1"/>
      <c r="G116" s="1"/>
      <c r="H116" s="1"/>
      <c r="I116" s="1"/>
      <c r="AA116" s="5">
        <v>1</v>
      </c>
    </row>
    <row r="117" spans="2:27">
      <c r="B117" s="1"/>
      <c r="C117" s="1"/>
      <c r="D117" s="1"/>
      <c r="E117" s="1"/>
      <c r="F117" s="1"/>
      <c r="G117" s="1"/>
      <c r="H117" s="1"/>
      <c r="I117" s="1"/>
      <c r="AA117" s="5">
        <v>1</v>
      </c>
    </row>
    <row r="118" spans="2:27" ht="18">
      <c r="B118" s="1740" t="s">
        <v>7025</v>
      </c>
      <c r="AA118" s="5">
        <v>1</v>
      </c>
    </row>
    <row r="119" spans="2:27">
      <c r="B119" t="s">
        <v>7026</v>
      </c>
      <c r="AA119" s="5">
        <v>1</v>
      </c>
    </row>
    <row r="120" spans="2:27">
      <c r="AA120" s="5">
        <v>1</v>
      </c>
    </row>
    <row r="121" spans="2:27" ht="18">
      <c r="B121" s="1740" t="s">
        <v>7027</v>
      </c>
      <c r="AA121" s="5">
        <v>1</v>
      </c>
    </row>
    <row r="122" spans="2:27">
      <c r="B122" t="s">
        <v>7028</v>
      </c>
      <c r="AA122" s="5">
        <v>1</v>
      </c>
    </row>
    <row r="123" spans="2:27">
      <c r="B123" t="s">
        <v>7029</v>
      </c>
      <c r="AA123" s="5">
        <v>1</v>
      </c>
    </row>
    <row r="124" spans="2:27">
      <c r="B124" s="4701" t="s">
        <v>7030</v>
      </c>
      <c r="AA124" s="5">
        <v>1</v>
      </c>
    </row>
    <row r="125" spans="2:27">
      <c r="B125" s="4701" t="s">
        <v>7031</v>
      </c>
      <c r="AA125" s="5">
        <v>1</v>
      </c>
    </row>
    <row r="126" spans="2:27">
      <c r="B126" s="4701" t="s">
        <v>7032</v>
      </c>
      <c r="AA126" s="5">
        <v>1</v>
      </c>
    </row>
    <row r="127" spans="2:27">
      <c r="AA127" s="5">
        <v>1</v>
      </c>
    </row>
    <row r="128" spans="2:27">
      <c r="B128" t="s">
        <v>7033</v>
      </c>
      <c r="C128" s="1"/>
      <c r="D128" s="1"/>
      <c r="E128" s="1"/>
      <c r="F128" s="1"/>
      <c r="G128" s="1"/>
      <c r="H128" s="1"/>
      <c r="I128" s="1"/>
      <c r="AA128" s="5">
        <v>1</v>
      </c>
    </row>
    <row r="129" spans="2:27">
      <c r="B129" t="s">
        <v>7034</v>
      </c>
      <c r="C129" s="1"/>
      <c r="D129" s="1"/>
      <c r="E129" s="1"/>
      <c r="F129" s="1"/>
      <c r="G129" s="1"/>
      <c r="H129" s="1"/>
      <c r="I129" s="1"/>
      <c r="AA129" s="5">
        <v>1</v>
      </c>
    </row>
    <row r="130" spans="2:27" ht="18">
      <c r="B130" s="1740" t="s">
        <v>7035</v>
      </c>
      <c r="C130" s="1"/>
      <c r="D130" s="1"/>
      <c r="E130" s="1"/>
      <c r="F130" s="1"/>
      <c r="G130" s="1"/>
      <c r="H130" s="1"/>
      <c r="I130" s="1"/>
      <c r="AA130" s="5">
        <v>1</v>
      </c>
    </row>
    <row r="131" spans="2:27">
      <c r="C131" s="1"/>
      <c r="D131" s="1"/>
      <c r="E131" s="1"/>
      <c r="F131" s="1"/>
      <c r="G131" s="1"/>
      <c r="H131" s="1"/>
      <c r="I131" s="1"/>
      <c r="AA131" s="5">
        <v>1</v>
      </c>
    </row>
    <row r="132" spans="2:27">
      <c r="B132" t="s">
        <v>7036</v>
      </c>
      <c r="C132" s="1"/>
      <c r="D132" s="1"/>
      <c r="E132" s="1"/>
      <c r="F132" s="1"/>
      <c r="G132" s="1"/>
      <c r="H132" s="1"/>
      <c r="I132" s="1"/>
      <c r="AA132" s="5">
        <v>1</v>
      </c>
    </row>
    <row r="133" spans="2:27">
      <c r="B133" s="4689" t="s">
        <v>7037</v>
      </c>
      <c r="C133" s="1"/>
      <c r="D133" s="1"/>
      <c r="E133" s="1"/>
      <c r="F133" s="1"/>
      <c r="G133" s="1"/>
      <c r="H133" s="1"/>
      <c r="I133" s="1"/>
      <c r="AA133" s="5">
        <v>1</v>
      </c>
    </row>
    <row r="134" spans="2:27">
      <c r="B134" s="4686" t="s">
        <v>7038</v>
      </c>
      <c r="C134" s="1"/>
      <c r="D134" s="1"/>
      <c r="E134" s="1"/>
      <c r="F134" s="1"/>
      <c r="G134" s="1"/>
      <c r="H134" s="1"/>
      <c r="I134" s="1"/>
      <c r="AA134" s="5">
        <v>1</v>
      </c>
    </row>
    <row r="135" spans="2:27">
      <c r="C135" s="1"/>
      <c r="D135" s="1"/>
      <c r="E135" s="1"/>
      <c r="F135" s="1"/>
      <c r="G135" s="1"/>
      <c r="H135" s="1"/>
      <c r="I135" s="1"/>
      <c r="AA135" s="5">
        <v>1</v>
      </c>
    </row>
    <row r="136" spans="2:27" ht="15.75">
      <c r="B136" s="4718" t="s">
        <v>7039</v>
      </c>
      <c r="C136" s="1"/>
      <c r="D136" s="1"/>
      <c r="E136" s="1"/>
      <c r="F136" s="1"/>
      <c r="G136" s="1"/>
      <c r="H136" s="1"/>
      <c r="I136" s="1"/>
      <c r="AA136" s="5">
        <v>1</v>
      </c>
    </row>
    <row r="137" spans="2:27">
      <c r="B137" t="s">
        <v>7040</v>
      </c>
      <c r="C137" s="1"/>
      <c r="D137" s="1"/>
      <c r="E137" s="1"/>
      <c r="F137" s="1"/>
      <c r="G137" s="1"/>
      <c r="H137" s="1"/>
      <c r="I137" s="1"/>
      <c r="AA137" s="5">
        <v>1</v>
      </c>
    </row>
    <row r="138" spans="2:27">
      <c r="B138" t="s">
        <v>7041</v>
      </c>
      <c r="C138" s="1"/>
      <c r="D138" s="1"/>
      <c r="E138" s="1"/>
      <c r="F138" s="1"/>
      <c r="G138" s="1"/>
      <c r="H138" s="1"/>
      <c r="I138" s="1"/>
      <c r="AA138" s="5">
        <v>1</v>
      </c>
    </row>
    <row r="139" spans="2:27" ht="15.75" thickBot="1">
      <c r="B139" s="1"/>
      <c r="C139" s="1"/>
      <c r="D139" s="1"/>
      <c r="E139" s="1"/>
      <c r="F139" s="1"/>
      <c r="G139" s="1"/>
      <c r="H139" s="1"/>
      <c r="I139" s="1"/>
      <c r="AA139" s="5">
        <v>1</v>
      </c>
    </row>
    <row r="140" spans="2:27">
      <c r="B140" s="4719"/>
      <c r="C140" s="4720"/>
      <c r="D140" s="4720"/>
      <c r="E140" s="4721"/>
      <c r="F140" s="4721"/>
      <c r="G140" s="4721"/>
      <c r="H140" s="4721"/>
      <c r="I140" s="4722"/>
      <c r="J140" s="4721"/>
      <c r="K140" s="4723"/>
      <c r="AA140" s="5">
        <v>1</v>
      </c>
    </row>
    <row r="141" spans="2:27" ht="15.75">
      <c r="B141" s="1160"/>
      <c r="C141" s="4724" t="s">
        <v>7042</v>
      </c>
      <c r="D141" s="1253"/>
      <c r="E141" s="1253"/>
      <c r="F141" s="1253"/>
      <c r="G141" s="1253"/>
      <c r="H141" s="1253"/>
      <c r="I141" s="1253"/>
      <c r="J141" s="141"/>
      <c r="K141" s="409"/>
      <c r="AA141" s="5">
        <v>1</v>
      </c>
    </row>
    <row r="142" spans="2:27">
      <c r="B142" s="1160"/>
      <c r="C142" s="1253" t="s">
        <v>7043</v>
      </c>
      <c r="D142" s="1253"/>
      <c r="E142" s="1253"/>
      <c r="F142" s="1253"/>
      <c r="G142" s="1253"/>
      <c r="H142" s="1253"/>
      <c r="I142" s="1253"/>
      <c r="J142" s="141"/>
      <c r="K142" s="409"/>
      <c r="AA142" s="5">
        <v>1</v>
      </c>
    </row>
    <row r="143" spans="2:27">
      <c r="B143" s="1160"/>
      <c r="C143" s="1362" t="s">
        <v>7044</v>
      </c>
      <c r="D143" s="1253"/>
      <c r="E143" s="1253"/>
      <c r="F143" s="1253"/>
      <c r="G143" s="1253"/>
      <c r="H143" s="1253"/>
      <c r="I143" s="1253"/>
      <c r="J143" s="141"/>
      <c r="K143" s="409"/>
      <c r="AA143" s="5">
        <v>1</v>
      </c>
    </row>
    <row r="144" spans="2:27">
      <c r="B144" s="1160"/>
      <c r="C144" s="1362" t="s">
        <v>7045</v>
      </c>
      <c r="D144" s="1253"/>
      <c r="E144" s="1253"/>
      <c r="F144" s="1253"/>
      <c r="G144" s="1253"/>
      <c r="H144" s="1253"/>
      <c r="I144" s="1253"/>
      <c r="J144" s="141"/>
      <c r="K144" s="409"/>
      <c r="AA144" s="5">
        <v>1</v>
      </c>
    </row>
    <row r="145" spans="2:27" ht="15.75">
      <c r="B145" s="1160"/>
      <c r="C145" s="4725" t="s">
        <v>7046</v>
      </c>
      <c r="D145" s="1253"/>
      <c r="E145" s="1253"/>
      <c r="F145" s="4726" t="str">
        <f>"colonne "&amp;SUBSTITUTE(ADDRESS(1,COLUMN(),4),"1","")</f>
        <v>colonne F</v>
      </c>
      <c r="G145" s="4726"/>
      <c r="H145" s="1253"/>
      <c r="I145" s="1253"/>
      <c r="J145" s="141"/>
      <c r="K145" s="409"/>
      <c r="AA145" s="5">
        <v>1</v>
      </c>
    </row>
    <row r="146" spans="2:27" ht="15.75">
      <c r="B146" s="1160"/>
      <c r="C146" s="1253"/>
      <c r="D146" s="1253"/>
      <c r="E146" s="4727" t="s">
        <v>7047</v>
      </c>
      <c r="F146" s="4728" cm="1">
        <f t="array" aca="1" ref="F146:G146" ca="1">(CELL("largeur",F146))</f>
        <v>11</v>
      </c>
      <c r="G146" s="4729" t="b">
        <f ca="1"/>
        <v>1</v>
      </c>
      <c r="H146" s="4730"/>
      <c r="I146" s="4731"/>
      <c r="J146" s="141"/>
      <c r="K146" s="409"/>
      <c r="AA146" s="5">
        <v>1</v>
      </c>
    </row>
    <row r="147" spans="2:27" ht="15.75">
      <c r="B147" s="103"/>
      <c r="C147" s="4725" t="s">
        <v>7048</v>
      </c>
      <c r="D147" s="1253"/>
      <c r="E147" s="1253"/>
      <c r="F147" s="1253"/>
      <c r="G147" s="1253"/>
      <c r="H147" s="1253"/>
      <c r="I147" s="1253"/>
      <c r="J147" s="141"/>
      <c r="K147" s="409"/>
      <c r="AA147" s="5">
        <v>1</v>
      </c>
    </row>
    <row r="148" spans="2:27" ht="15.75">
      <c r="B148" s="103"/>
      <c r="C148" s="4725" t="s">
        <v>7049</v>
      </c>
      <c r="D148" s="1253"/>
      <c r="E148" s="1253"/>
      <c r="F148" s="1253"/>
      <c r="G148" s="1253"/>
      <c r="H148" s="1253"/>
      <c r="I148" s="1253"/>
      <c r="J148" s="141"/>
      <c r="K148" s="409"/>
      <c r="AA148" s="5">
        <v>1</v>
      </c>
    </row>
    <row r="149" spans="2:27" ht="15.75">
      <c r="B149" s="103"/>
      <c r="C149" s="4732" t="s">
        <v>7050</v>
      </c>
      <c r="D149" s="1253"/>
      <c r="E149" s="1253"/>
      <c r="F149" s="1253"/>
      <c r="G149" s="1253"/>
      <c r="H149" s="1253"/>
      <c r="I149" s="1253"/>
      <c r="J149" s="141"/>
      <c r="K149" s="409"/>
      <c r="AA149" s="5">
        <v>1</v>
      </c>
    </row>
    <row r="150" spans="2:27" ht="15.75">
      <c r="B150" s="103"/>
      <c r="C150" s="4725" t="s">
        <v>7051</v>
      </c>
      <c r="D150" s="1253"/>
      <c r="E150" s="1253"/>
      <c r="F150" s="1253"/>
      <c r="G150" s="1253"/>
      <c r="H150" s="1253"/>
      <c r="I150" s="1253"/>
      <c r="J150" s="141"/>
      <c r="K150" s="409"/>
      <c r="AA150" s="5">
        <v>1</v>
      </c>
    </row>
    <row r="151" spans="2:27" ht="15.75">
      <c r="B151" s="103"/>
      <c r="C151" s="4725" t="s">
        <v>7052</v>
      </c>
      <c r="D151" s="1253"/>
      <c r="E151" s="1253"/>
      <c r="F151" s="1253"/>
      <c r="G151" s="1253"/>
      <c r="H151" s="1253"/>
      <c r="I151" s="1253"/>
      <c r="J151" s="141"/>
      <c r="K151" s="409"/>
      <c r="AA151" s="5">
        <v>1</v>
      </c>
    </row>
    <row r="152" spans="2:27" ht="15.75">
      <c r="B152" s="103"/>
      <c r="C152" s="4725"/>
      <c r="D152" s="1253"/>
      <c r="E152" s="1253"/>
      <c r="F152" s="1253"/>
      <c r="G152" s="1253"/>
      <c r="H152" s="1253"/>
      <c r="I152" s="1253"/>
      <c r="J152" s="141"/>
      <c r="K152" s="409"/>
      <c r="AA152" s="5">
        <v>1</v>
      </c>
    </row>
    <row r="153" spans="2:27" ht="15.75">
      <c r="B153" s="103"/>
      <c r="C153" s="1253"/>
      <c r="D153" s="1253"/>
      <c r="F153" s="4733" t="str">
        <f>"2. Pixels dans l'exemple (multiiplicateur)"&amp;" "&amp;F155</f>
        <v>2. Pixels dans l'exemple (multiiplicateur) 7.0889</v>
      </c>
      <c r="G153" s="4733"/>
      <c r="H153" s="1253"/>
      <c r="I153" s="1253"/>
      <c r="J153" s="141"/>
      <c r="K153" s="409"/>
      <c r="AA153" s="5">
        <v>1</v>
      </c>
    </row>
    <row r="154" spans="2:27" ht="15.75">
      <c r="B154" s="103"/>
      <c r="C154" s="1253"/>
      <c r="D154" s="1253"/>
      <c r="E154" s="1253"/>
      <c r="F154" s="4734">
        <f ca="1">ROUND(CELL("largeur",F153), 1)</f>
        <v>11</v>
      </c>
      <c r="G154" s="4734"/>
      <c r="H154" s="1253" t="s">
        <v>7053</v>
      </c>
      <c r="I154" s="4735"/>
      <c r="J154" s="141"/>
      <c r="K154" s="409"/>
      <c r="AA154" s="5">
        <v>1</v>
      </c>
    </row>
    <row r="155" spans="2:27" ht="15.75">
      <c r="B155" s="103"/>
      <c r="C155" s="1253"/>
      <c r="D155" s="1253"/>
      <c r="E155" s="1253"/>
      <c r="F155" s="4736">
        <v>7.0888999999999998</v>
      </c>
      <c r="G155" s="4736"/>
      <c r="H155" s="1253" t="s">
        <v>7054</v>
      </c>
      <c r="I155" s="4735"/>
      <c r="J155" s="141"/>
      <c r="K155" s="409"/>
      <c r="AA155" s="5">
        <v>1</v>
      </c>
    </row>
    <row r="156" spans="2:27" ht="15.75">
      <c r="B156" s="103"/>
      <c r="C156" s="1253"/>
      <c r="D156" s="1253"/>
      <c r="E156" s="4737" t="s">
        <v>7055</v>
      </c>
      <c r="F156" s="4738" t="str">
        <f ca="1">ROUNDDOWN(F154*F155,0)&amp;" "&amp;"Pixels"</f>
        <v>77 Pixels</v>
      </c>
      <c r="G156" s="4738"/>
      <c r="H156" s="1253"/>
      <c r="I156" s="4735"/>
      <c r="J156" s="141"/>
      <c r="K156" s="409"/>
      <c r="AA156" s="5">
        <v>1</v>
      </c>
    </row>
    <row r="157" spans="2:27">
      <c r="B157" s="103"/>
      <c r="C157" s="4677" t="s">
        <v>7056</v>
      </c>
      <c r="D157" s="141"/>
      <c r="E157" s="141"/>
      <c r="F157" s="141"/>
      <c r="G157" s="141"/>
      <c r="H157" s="141"/>
      <c r="I157" s="141"/>
      <c r="J157" s="141"/>
      <c r="K157" s="409"/>
      <c r="AA157" s="5">
        <v>1</v>
      </c>
    </row>
    <row r="158" spans="2:27" ht="15.75" thickBot="1">
      <c r="B158" s="4739"/>
      <c r="C158" s="4740"/>
      <c r="D158" s="4740"/>
      <c r="E158" s="4740"/>
      <c r="F158" s="4740"/>
      <c r="G158" s="4740"/>
      <c r="H158" s="4740"/>
      <c r="I158" s="4740"/>
      <c r="J158" s="4741"/>
      <c r="K158" s="399"/>
      <c r="AA158" s="5">
        <v>1</v>
      </c>
    </row>
    <row r="159" spans="2:27">
      <c r="B159" s="15">
        <f t="shared" ref="B159:K159" ca="1" si="0">CELL("largeur",B159)</f>
        <v>11</v>
      </c>
      <c r="C159" s="15">
        <f t="shared" ca="1" si="0"/>
        <v>11</v>
      </c>
      <c r="D159" s="15">
        <f t="shared" ca="1" si="0"/>
        <v>11</v>
      </c>
      <c r="E159" s="15">
        <f t="shared" ca="1" si="0"/>
        <v>11</v>
      </c>
      <c r="F159" s="15">
        <f t="shared" ca="1" si="0"/>
        <v>11</v>
      </c>
      <c r="G159" s="15">
        <f t="shared" ca="1" si="0"/>
        <v>11</v>
      </c>
      <c r="H159" s="15">
        <f t="shared" ca="1" si="0"/>
        <v>11</v>
      </c>
      <c r="I159" s="15">
        <f t="shared" ca="1" si="0"/>
        <v>11</v>
      </c>
      <c r="J159" s="15">
        <f t="shared" ca="1" si="0"/>
        <v>11</v>
      </c>
      <c r="K159" s="15">
        <f t="shared" ca="1" si="0"/>
        <v>11</v>
      </c>
      <c r="AA159" s="5">
        <v>1</v>
      </c>
    </row>
    <row r="160" spans="2:27">
      <c r="AA160" s="5">
        <v>1</v>
      </c>
    </row>
    <row r="161" spans="2:27">
      <c r="AA161" s="5">
        <v>1</v>
      </c>
    </row>
    <row r="162" spans="2:27">
      <c r="AA162" s="5">
        <v>1</v>
      </c>
    </row>
    <row r="163" spans="2:27" ht="18.75">
      <c r="B163" s="478" t="s">
        <v>7057</v>
      </c>
      <c r="O163" s="4742" t="s">
        <v>7058</v>
      </c>
      <c r="AA163" s="5">
        <v>1</v>
      </c>
    </row>
    <row r="164" spans="2:27">
      <c r="B164" s="102" t="s">
        <v>7059</v>
      </c>
      <c r="O164" s="102"/>
      <c r="AA164" s="5">
        <v>1</v>
      </c>
    </row>
    <row r="165" spans="2:27">
      <c r="B165" s="102" t="s">
        <v>7060</v>
      </c>
      <c r="O165" s="102" t="s">
        <v>7061</v>
      </c>
      <c r="AA165" s="5">
        <v>1</v>
      </c>
    </row>
    <row r="166" spans="2:27">
      <c r="B166" s="156" t="s">
        <v>7062</v>
      </c>
      <c r="O166" s="156"/>
      <c r="AA166" s="5">
        <v>1</v>
      </c>
    </row>
    <row r="167" spans="2:27">
      <c r="B167" s="156"/>
      <c r="O167" s="4743" t="s">
        <v>7063</v>
      </c>
      <c r="AA167" s="5">
        <v>1</v>
      </c>
    </row>
    <row r="168" spans="2:27">
      <c r="B168" s="4743" t="s">
        <v>7064</v>
      </c>
      <c r="O168" s="4743" t="s">
        <v>7065</v>
      </c>
      <c r="AA168" s="5">
        <v>1</v>
      </c>
    </row>
    <row r="169" spans="2:27">
      <c r="B169" s="156"/>
      <c r="O169" s="4743" t="s">
        <v>7066</v>
      </c>
      <c r="AA169" s="5">
        <v>1</v>
      </c>
    </row>
    <row r="170" spans="2:27">
      <c r="B170" s="4743" t="s">
        <v>7067</v>
      </c>
      <c r="O170" s="4743" t="s">
        <v>7068</v>
      </c>
      <c r="AA170" s="5">
        <v>1</v>
      </c>
    </row>
    <row r="171" spans="2:27">
      <c r="B171" s="4743" t="s">
        <v>7069</v>
      </c>
      <c r="O171" s="4743" t="s">
        <v>7070</v>
      </c>
      <c r="AA171" s="5">
        <v>1</v>
      </c>
    </row>
    <row r="172" spans="2:27">
      <c r="B172" s="4743" t="s">
        <v>7071</v>
      </c>
      <c r="O172" s="102"/>
      <c r="AA172" s="5">
        <v>1</v>
      </c>
    </row>
    <row r="173" spans="2:27" ht="18">
      <c r="B173" s="102"/>
      <c r="O173" s="4742" t="s">
        <v>7072</v>
      </c>
      <c r="AA173" s="5">
        <v>1</v>
      </c>
    </row>
    <row r="174" spans="2:27">
      <c r="B174" s="4743" t="s">
        <v>7073</v>
      </c>
      <c r="O174" s="102"/>
      <c r="AA174" s="5">
        <v>1</v>
      </c>
    </row>
    <row r="175" spans="2:27">
      <c r="B175" s="156" t="s">
        <v>7074</v>
      </c>
      <c r="O175" s="102" t="s">
        <v>7075</v>
      </c>
      <c r="AA175" s="5">
        <v>1</v>
      </c>
    </row>
    <row r="176" spans="2:27">
      <c r="B176" s="156" t="s">
        <v>7076</v>
      </c>
      <c r="O176" s="156"/>
      <c r="AA176" s="5">
        <v>1</v>
      </c>
    </row>
    <row r="177" spans="1:29">
      <c r="B177" s="156" t="s">
        <v>7077</v>
      </c>
      <c r="O177" s="4743" t="s">
        <v>7078</v>
      </c>
      <c r="AA177" s="5">
        <v>1</v>
      </c>
    </row>
    <row r="178" spans="1:29">
      <c r="B178" s="156" t="s">
        <v>7079</v>
      </c>
      <c r="O178" s="4743" t="s">
        <v>7080</v>
      </c>
      <c r="AA178" s="5">
        <v>1</v>
      </c>
    </row>
    <row r="179" spans="1:29">
      <c r="B179" s="4743" t="s">
        <v>7081</v>
      </c>
      <c r="O179" s="4743" t="s">
        <v>7082</v>
      </c>
      <c r="AA179" s="5">
        <v>1</v>
      </c>
    </row>
    <row r="180" spans="1:29">
      <c r="B180" s="156" t="s">
        <v>7083</v>
      </c>
      <c r="O180" s="102"/>
      <c r="AA180" s="5">
        <v>1</v>
      </c>
    </row>
    <row r="181" spans="1:29" ht="18">
      <c r="B181" s="102"/>
      <c r="O181" s="4742" t="s">
        <v>6625</v>
      </c>
      <c r="AA181" s="5">
        <v>1</v>
      </c>
    </row>
    <row r="182" spans="1:29">
      <c r="B182" s="4743" t="s">
        <v>7084</v>
      </c>
      <c r="O182" s="102"/>
      <c r="AA182" s="5">
        <v>1</v>
      </c>
    </row>
    <row r="183" spans="1:29">
      <c r="B183" s="4743" t="s">
        <v>7085</v>
      </c>
      <c r="O183" s="102" t="s">
        <v>7086</v>
      </c>
      <c r="AA183" s="5">
        <v>1</v>
      </c>
    </row>
    <row r="184" spans="1:29">
      <c r="B184" s="4743" t="s">
        <v>7087</v>
      </c>
      <c r="O184" s="102" t="s">
        <v>7088</v>
      </c>
      <c r="AA184" s="5">
        <v>1</v>
      </c>
    </row>
    <row r="185" spans="1:29">
      <c r="B185" s="4743" t="s">
        <v>7089</v>
      </c>
      <c r="O185" s="102" t="s">
        <v>7090</v>
      </c>
      <c r="AA185" s="5">
        <v>1</v>
      </c>
    </row>
    <row r="186" spans="1:29">
      <c r="B186" s="102" t="s">
        <v>7091</v>
      </c>
      <c r="AA186" s="5">
        <v>1</v>
      </c>
    </row>
    <row r="187" spans="1:29">
      <c r="AA187" s="5">
        <v>1</v>
      </c>
    </row>
    <row r="188" spans="1:29">
      <c r="AA188" s="5">
        <v>1</v>
      </c>
    </row>
    <row r="189" spans="1:29">
      <c r="AA189" s="10" t="s">
        <v>0</v>
      </c>
    </row>
    <row r="190" spans="1:29">
      <c r="A190" s="5">
        <v>1</v>
      </c>
      <c r="B190" s="5">
        <v>1</v>
      </c>
      <c r="C190" s="5">
        <v>1</v>
      </c>
      <c r="D190" s="5">
        <v>1</v>
      </c>
      <c r="E190" s="5">
        <v>1</v>
      </c>
      <c r="F190" s="5">
        <v>1</v>
      </c>
      <c r="G190" s="5">
        <v>1</v>
      </c>
      <c r="H190" s="5">
        <v>1</v>
      </c>
      <c r="I190" s="5">
        <v>1</v>
      </c>
      <c r="J190" s="5">
        <v>1</v>
      </c>
      <c r="K190" s="5">
        <v>1</v>
      </c>
      <c r="L190" s="5">
        <v>1</v>
      </c>
      <c r="M190" s="5">
        <v>1</v>
      </c>
      <c r="N190" s="5">
        <v>1</v>
      </c>
      <c r="O190" s="5">
        <v>1</v>
      </c>
      <c r="P190" s="5">
        <v>1</v>
      </c>
      <c r="Q190" s="5">
        <v>1</v>
      </c>
      <c r="R190" s="5">
        <v>1</v>
      </c>
      <c r="S190" s="5">
        <v>1</v>
      </c>
      <c r="T190" s="5">
        <v>1</v>
      </c>
      <c r="U190" s="5">
        <v>1</v>
      </c>
      <c r="V190" s="5">
        <v>1</v>
      </c>
      <c r="W190" s="5">
        <v>1</v>
      </c>
      <c r="X190" s="5">
        <v>1</v>
      </c>
      <c r="Y190" s="5">
        <v>1</v>
      </c>
      <c r="Z190" s="5">
        <v>1</v>
      </c>
      <c r="AA190" s="9" t="str">
        <f>ADDRESS(ROW(),COLUMN(),4)</f>
        <v>AA190</v>
      </c>
      <c r="AB190" s="8"/>
      <c r="AC190" s="7" t="str">
        <f>ADDRESS(ROW(),COLUMN(),4)</f>
        <v>AC190</v>
      </c>
    </row>
  </sheetData>
  <hyperlinks>
    <hyperlink ref="P82" r:id="rId1" xr:uid="{B6F27FE7-9EEB-446D-91FD-BDB52F1238C0}"/>
    <hyperlink ref="P83" r:id="rId2" xr:uid="{1E3B701F-3E65-4A49-AAA7-318E73671D40}"/>
    <hyperlink ref="P84" r:id="rId3" xr:uid="{25B9C210-7BC4-43A6-8734-B799778E43B7}"/>
    <hyperlink ref="P85" r:id="rId4" xr:uid="{3182958D-2415-4F4F-87DC-B8337383BD6B}"/>
    <hyperlink ref="P86" r:id="rId5" xr:uid="{B65BAEA7-5B23-4474-BDA9-38BF3D8AB235}"/>
    <hyperlink ref="P87" r:id="rId6" xr:uid="{76AE9BB0-43A3-4680-AEEB-4CAD065BFB32}"/>
    <hyperlink ref="P88" r:id="rId7" xr:uid="{9DD3F4B9-21E3-486E-8C4A-A390BD5A67DB}"/>
    <hyperlink ref="P89" r:id="rId8" xr:uid="{FD85DF43-257B-4F77-92C9-9862F56CE69D}"/>
    <hyperlink ref="P90" r:id="rId9" xr:uid="{C77A65B0-48AF-44AC-BA67-F34259D902B4}"/>
    <hyperlink ref="P91" r:id="rId10" xr:uid="{70BF4403-7854-40DE-A7AA-49AD4670C84A}"/>
    <hyperlink ref="P92" r:id="rId11" xr:uid="{4CC07FA0-70B5-4773-81CA-FFAFE68816F2}"/>
    <hyperlink ref="P74" r:id="rId12" xr:uid="{E220A2A8-EF85-44F1-9B6A-E48B3489C1C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4505-48A8-4276-A576-7CF1AA0DC2C0}">
  <dimension ref="A1:AL297"/>
  <sheetViews>
    <sheetView topLeftCell="A258" zoomScale="75" zoomScaleNormal="75" workbookViewId="0">
      <selection activeCell="AA263" sqref="AA263"/>
    </sheetView>
  </sheetViews>
  <sheetFormatPr baseColWidth="10" defaultColWidth="11.42578125" defaultRowHeight="12.75"/>
  <cols>
    <col min="1" max="2" width="11.42578125" style="632"/>
    <col min="3" max="3" width="16" style="632" customWidth="1"/>
    <col min="4" max="4" width="13.5703125" style="632" customWidth="1"/>
    <col min="5" max="5" width="29" style="632" customWidth="1"/>
    <col min="6" max="6" width="27.5703125" style="632" customWidth="1"/>
    <col min="7" max="7" width="36.42578125" style="632" customWidth="1"/>
    <col min="8" max="8" width="11.42578125" style="632"/>
    <col min="9" max="10" width="10.7109375" style="632" customWidth="1"/>
    <col min="11" max="11" width="14.85546875" style="632" customWidth="1"/>
    <col min="12" max="19" width="10.7109375" style="632" customWidth="1"/>
    <col min="20" max="20" width="19" style="632" customWidth="1"/>
    <col min="21" max="23" width="10.7109375" style="632" customWidth="1"/>
    <col min="24" max="16384" width="11.42578125" style="632"/>
  </cols>
  <sheetData>
    <row r="1" spans="1:25" ht="30" customHeight="1">
      <c r="A1" s="4744"/>
      <c r="B1" s="4744"/>
      <c r="C1" s="4744"/>
      <c r="D1" s="4744"/>
      <c r="E1" s="4744"/>
      <c r="F1" s="4744"/>
      <c r="G1" s="4744"/>
      <c r="H1" s="4744"/>
      <c r="I1" s="4744"/>
      <c r="J1" s="4744"/>
      <c r="K1" s="4744"/>
      <c r="L1" s="4745"/>
      <c r="M1" s="4745"/>
      <c r="N1" s="4745"/>
      <c r="O1" s="4745"/>
      <c r="P1" s="4745"/>
      <c r="Q1" s="4746"/>
      <c r="R1" s="4746"/>
      <c r="S1" s="4746"/>
      <c r="T1" s="4746"/>
      <c r="U1" s="4746"/>
      <c r="V1" s="4746"/>
      <c r="W1" s="4746"/>
      <c r="X1" s="4746"/>
      <c r="Y1" s="4746"/>
    </row>
    <row r="2" spans="1:25" ht="30" customHeight="1">
      <c r="A2" s="4744"/>
      <c r="B2" s="4747"/>
      <c r="C2" s="4744"/>
      <c r="D2" s="4744"/>
      <c r="E2" s="4744"/>
      <c r="F2" s="4744"/>
      <c r="G2" s="4744"/>
      <c r="H2" s="4744"/>
      <c r="I2" s="4745"/>
      <c r="J2" s="4744"/>
      <c r="K2" s="4744"/>
      <c r="L2" s="4745"/>
      <c r="M2" s="4745"/>
      <c r="N2" s="4745"/>
      <c r="O2" s="4745"/>
      <c r="P2" s="4745"/>
      <c r="Q2" s="4746"/>
      <c r="R2" s="4746"/>
      <c r="S2" s="4746"/>
      <c r="T2" s="7394" t="s">
        <v>7092</v>
      </c>
      <c r="U2" s="7394"/>
      <c r="V2" s="7394"/>
      <c r="W2" s="7394"/>
      <c r="X2" s="4746"/>
      <c r="Y2" s="4746"/>
    </row>
    <row r="3" spans="1:25" ht="30" customHeight="1">
      <c r="A3" s="4744"/>
      <c r="B3" s="4747"/>
      <c r="C3" s="4748"/>
      <c r="D3" s="4744"/>
      <c r="E3" s="4744"/>
      <c r="F3" s="4744"/>
      <c r="G3" s="4744"/>
      <c r="H3" s="4744"/>
      <c r="I3" s="4745"/>
      <c r="J3" s="4744"/>
      <c r="K3" s="4744"/>
      <c r="L3" s="4745"/>
      <c r="M3" s="4745"/>
      <c r="N3" s="4745"/>
      <c r="O3" s="4745"/>
      <c r="P3" s="4745"/>
      <c r="Q3" s="4746"/>
      <c r="R3" s="4746"/>
      <c r="S3" s="4749"/>
      <c r="T3" s="7394"/>
      <c r="U3" s="7394"/>
      <c r="V3" s="7394"/>
      <c r="W3" s="7394"/>
      <c r="X3" s="4746"/>
      <c r="Y3" s="4746"/>
    </row>
    <row r="4" spans="1:25" ht="30" customHeight="1">
      <c r="A4" s="4744"/>
      <c r="B4" s="4747" t="s">
        <v>7093</v>
      </c>
      <c r="C4" s="4748"/>
      <c r="D4" s="4744"/>
      <c r="E4" s="4744"/>
      <c r="F4" s="4744"/>
      <c r="G4" s="4744"/>
      <c r="H4" s="4744"/>
      <c r="I4" s="4745"/>
      <c r="J4" s="4744"/>
      <c r="K4" s="4744"/>
      <c r="L4" s="4745"/>
      <c r="M4" s="4745"/>
      <c r="N4" s="4745"/>
      <c r="O4" s="4745"/>
      <c r="P4" s="4745"/>
      <c r="Q4" s="4746"/>
      <c r="R4" s="4746"/>
      <c r="S4" s="1671"/>
      <c r="T4" s="4750" t="s">
        <v>7094</v>
      </c>
      <c r="U4" s="4746"/>
      <c r="V4" s="4746"/>
      <c r="W4" s="4746"/>
      <c r="X4" s="4746"/>
      <c r="Y4" s="4746"/>
    </row>
    <row r="5" spans="1:25" ht="30" hidden="1" customHeight="1">
      <c r="A5" s="4744"/>
      <c r="B5" s="4751"/>
      <c r="C5" s="4748"/>
      <c r="D5" s="4744"/>
      <c r="E5" s="4744"/>
      <c r="F5" s="4744"/>
      <c r="G5" s="4744"/>
      <c r="H5" s="4744"/>
      <c r="I5" s="4745"/>
      <c r="J5" s="4744"/>
      <c r="K5" s="4744"/>
      <c r="L5" s="4745"/>
      <c r="M5" s="4745"/>
      <c r="N5" s="4745"/>
      <c r="O5" s="4745"/>
      <c r="P5" s="4745"/>
      <c r="Q5" s="4746"/>
      <c r="R5" s="4746"/>
      <c r="S5" s="1671"/>
      <c r="T5" s="1671" t="str">
        <f ca="1">"Page "&amp;_xlfn.SHEET()&amp;" sur "&amp;_xlfn.SHEETS()</f>
        <v>Page 28 sur 28</v>
      </c>
      <c r="U5" s="4746"/>
      <c r="V5" s="4746"/>
      <c r="W5" s="4746"/>
      <c r="X5" s="4746"/>
      <c r="Y5" s="4746"/>
    </row>
    <row r="6" spans="1:25" ht="30" customHeight="1">
      <c r="A6" s="4744"/>
      <c r="B6" s="4752" t="s">
        <v>7095</v>
      </c>
      <c r="C6" s="4748"/>
      <c r="D6" s="4744"/>
      <c r="E6" s="4744"/>
      <c r="F6" s="4744"/>
      <c r="G6" s="4744"/>
      <c r="H6" s="4744"/>
      <c r="I6" s="4745"/>
      <c r="J6" s="4744"/>
      <c r="K6" s="4744"/>
      <c r="L6" s="4745"/>
      <c r="M6" s="4745"/>
      <c r="N6" s="4745"/>
      <c r="O6" s="4745"/>
      <c r="P6" s="4745"/>
      <c r="Q6" s="4746"/>
      <c r="R6" s="4746"/>
      <c r="S6" s="1671"/>
      <c r="T6" s="4746"/>
      <c r="U6" s="4746"/>
      <c r="V6" s="4746"/>
      <c r="W6" s="4746"/>
      <c r="X6" s="4746"/>
      <c r="Y6" s="4746"/>
    </row>
    <row r="7" spans="1:25" ht="30" customHeight="1">
      <c r="A7" s="4744"/>
      <c r="B7" s="7404" t="s">
        <v>269</v>
      </c>
      <c r="C7" s="7404"/>
      <c r="D7" s="4753" t="str">
        <f ca="1">CELL("nomfichier")</f>
        <v>D:\Données\1.UPRT\0-UPRT.fait\1-UPRT.FR-SITE-WEB\ff-fiches-fabrications\ff.fiches.fabrication.2023\ffr.restaurant.2023\[ff.REPERTOIRE.600.LIGNES.15.xlsx]Differents.postits.FR.EN.ES</v>
      </c>
      <c r="E7" s="4754"/>
      <c r="F7" s="4754"/>
      <c r="G7" s="4754"/>
      <c r="H7" s="4754"/>
      <c r="I7" s="4755"/>
      <c r="J7" s="4754"/>
      <c r="K7" s="4754"/>
      <c r="L7" s="4754"/>
      <c r="M7" s="4754"/>
      <c r="N7" s="4754"/>
      <c r="O7" s="4754"/>
      <c r="P7" s="4754"/>
      <c r="Q7" s="4754"/>
      <c r="R7" s="4754"/>
      <c r="S7" s="4754"/>
      <c r="T7" s="4687" t="str">
        <f ca="1">"Page N°"&amp;_xlfn.SHEET()</f>
        <v>Page N°28</v>
      </c>
      <c r="U7" s="4756"/>
      <c r="V7" s="4746"/>
      <c r="W7" s="4746"/>
      <c r="X7" s="4746"/>
      <c r="Y7" s="4746"/>
    </row>
    <row r="8" spans="1:25" ht="30" customHeight="1">
      <c r="A8" s="4744"/>
      <c r="B8" s="4751"/>
      <c r="C8" s="4744"/>
      <c r="D8" s="4744"/>
      <c r="E8" s="4744"/>
      <c r="F8" s="4744"/>
      <c r="G8" s="4744"/>
      <c r="H8" s="4744"/>
      <c r="I8" s="4745"/>
      <c r="J8" s="4744"/>
      <c r="K8" s="4744"/>
      <c r="L8" s="4745"/>
      <c r="M8" s="4745"/>
      <c r="N8" s="4745"/>
      <c r="O8" s="4745"/>
      <c r="P8" s="4745"/>
      <c r="Q8" s="4746"/>
      <c r="R8" s="4746"/>
      <c r="S8" s="4746"/>
      <c r="T8" s="4746"/>
      <c r="U8" s="4746"/>
      <c r="V8" s="4746"/>
      <c r="W8" s="4746"/>
      <c r="X8" s="4746"/>
      <c r="Y8" s="4746"/>
    </row>
    <row r="9" spans="1:25" ht="30" customHeight="1">
      <c r="A9" s="4744"/>
      <c r="B9" s="4757"/>
      <c r="C9" s="4757"/>
      <c r="D9" s="4757"/>
      <c r="E9" s="4757"/>
      <c r="F9" s="4757"/>
      <c r="G9" s="4757"/>
      <c r="H9" s="4757"/>
      <c r="I9" s="4757"/>
      <c r="J9" s="4757"/>
      <c r="K9" s="4757"/>
      <c r="L9" s="4757"/>
      <c r="M9" s="4757"/>
      <c r="N9" s="4757"/>
      <c r="O9" s="4758"/>
      <c r="P9" s="4758"/>
      <c r="Q9" s="4758"/>
      <c r="R9" s="4758"/>
      <c r="S9" s="4759"/>
      <c r="T9" s="4759"/>
      <c r="U9" s="4759"/>
      <c r="V9" s="4759"/>
      <c r="W9" s="4759"/>
      <c r="X9" s="4746"/>
      <c r="Y9" s="4746"/>
    </row>
    <row r="10" spans="1:25" ht="30" customHeight="1">
      <c r="A10" s="4744"/>
      <c r="B10" s="4757"/>
      <c r="C10" s="4757" t="s">
        <v>7096</v>
      </c>
      <c r="D10" s="4757"/>
      <c r="E10" s="4757"/>
      <c r="F10" s="4757"/>
      <c r="G10" s="4757"/>
      <c r="H10" s="4757"/>
      <c r="I10" s="4757"/>
      <c r="J10" s="4757"/>
      <c r="K10" s="4757"/>
      <c r="L10" s="4757"/>
      <c r="M10" s="4757"/>
      <c r="N10" s="4757"/>
      <c r="O10" s="4758"/>
      <c r="P10" s="4758"/>
      <c r="Q10" s="4758"/>
      <c r="R10" s="4758"/>
      <c r="S10" s="4759"/>
      <c r="T10" s="4759"/>
      <c r="U10" s="4759"/>
      <c r="V10" s="4759"/>
      <c r="W10" s="4759"/>
      <c r="X10" s="4746"/>
      <c r="Y10" s="4746"/>
    </row>
    <row r="11" spans="1:25" ht="30" customHeight="1">
      <c r="A11" s="4744"/>
      <c r="B11" s="4757"/>
      <c r="C11" s="4757"/>
      <c r="D11" s="4757"/>
      <c r="E11" s="4757"/>
      <c r="F11" s="4757"/>
      <c r="G11" s="4757"/>
      <c r="H11" s="4757"/>
      <c r="I11" s="4757"/>
      <c r="J11" s="4757"/>
      <c r="K11" s="4757"/>
      <c r="L11" s="4757"/>
      <c r="M11" s="4757"/>
      <c r="N11" s="4757"/>
      <c r="O11" s="4758"/>
      <c r="P11" s="4758"/>
      <c r="Q11" s="4758"/>
      <c r="R11" s="4758"/>
      <c r="S11" s="4759"/>
      <c r="T11" s="4759"/>
      <c r="U11" s="4759"/>
      <c r="V11" s="4759"/>
      <c r="W11" s="4759"/>
      <c r="X11" s="4746"/>
      <c r="Y11" s="4746"/>
    </row>
    <row r="12" spans="1:25" ht="30" customHeight="1">
      <c r="A12" s="4744"/>
      <c r="B12" s="4757"/>
      <c r="C12" s="4757" t="s">
        <v>7097</v>
      </c>
      <c r="D12" s="4757"/>
      <c r="E12" s="4757"/>
      <c r="F12" s="4757"/>
      <c r="G12" s="4757"/>
      <c r="H12" s="4757"/>
      <c r="I12" s="4757"/>
      <c r="J12" s="4757"/>
      <c r="K12" s="4757"/>
      <c r="L12" s="4757"/>
      <c r="M12" s="4757"/>
      <c r="N12" s="4757"/>
      <c r="O12" s="4758"/>
      <c r="P12" s="4758"/>
      <c r="Q12" s="4758"/>
      <c r="R12" s="4758"/>
      <c r="S12" s="4759"/>
      <c r="T12" s="4759"/>
      <c r="U12" s="4759"/>
      <c r="V12" s="4759"/>
      <c r="W12" s="4759"/>
      <c r="X12" s="4746"/>
      <c r="Y12" s="4746"/>
    </row>
    <row r="13" spans="1:25" ht="30" customHeight="1">
      <c r="A13" s="4744"/>
      <c r="B13" s="4757"/>
      <c r="C13" s="4757"/>
      <c r="D13" s="4760"/>
      <c r="E13" s="8475" t="s">
        <v>7098</v>
      </c>
      <c r="F13" s="8475"/>
      <c r="G13" s="8475"/>
      <c r="H13" s="8475"/>
      <c r="I13" s="8475"/>
      <c r="J13" s="8475"/>
      <c r="K13" s="8475"/>
      <c r="L13" s="8475"/>
      <c r="M13" s="8475"/>
      <c r="N13" s="8475"/>
      <c r="O13" s="4758"/>
      <c r="P13" s="4758"/>
      <c r="Q13" s="4758"/>
      <c r="R13" s="4758"/>
      <c r="S13" s="4759"/>
      <c r="T13" s="4759"/>
      <c r="U13" s="4759"/>
      <c r="V13" s="4759"/>
      <c r="W13" s="4759"/>
      <c r="X13" s="4746"/>
      <c r="Y13" s="4746"/>
    </row>
    <row r="14" spans="1:25" ht="30" customHeight="1">
      <c r="A14" s="4744"/>
      <c r="B14" s="4757"/>
      <c r="C14" s="4757"/>
      <c r="D14" s="4757"/>
      <c r="E14" s="4757"/>
      <c r="F14" s="4757"/>
      <c r="G14" s="4757"/>
      <c r="H14" s="4757"/>
      <c r="I14" s="4757"/>
      <c r="J14" s="4757"/>
      <c r="K14" s="4757"/>
      <c r="L14" s="4757"/>
      <c r="M14" s="4757"/>
      <c r="N14" s="4757"/>
      <c r="O14" s="4758"/>
      <c r="P14" s="4758"/>
      <c r="Q14" s="4758"/>
      <c r="R14" s="4758"/>
      <c r="S14" s="4759"/>
      <c r="T14" s="4759"/>
      <c r="U14" s="4759"/>
      <c r="V14" s="4759"/>
      <c r="W14" s="4759"/>
      <c r="X14" s="4746"/>
      <c r="Y14" s="4746"/>
    </row>
    <row r="15" spans="1:25" ht="30" customHeight="1">
      <c r="A15" s="4744"/>
      <c r="B15" s="4757"/>
      <c r="C15" s="4757"/>
      <c r="D15" s="4760"/>
      <c r="E15" s="8475" t="s">
        <v>628</v>
      </c>
      <c r="F15" s="8475"/>
      <c r="G15" s="8475"/>
      <c r="H15" s="8475"/>
      <c r="I15" s="8475"/>
      <c r="J15" s="8475"/>
      <c r="K15" s="8475"/>
      <c r="L15" s="8475"/>
      <c r="M15" s="8475"/>
      <c r="N15" s="8475"/>
      <c r="O15" s="4758"/>
      <c r="P15" s="4758"/>
      <c r="Q15" s="4758"/>
      <c r="R15" s="4758"/>
      <c r="S15" s="4759"/>
      <c r="T15" s="4759"/>
      <c r="U15" s="4759"/>
      <c r="V15" s="4759"/>
      <c r="W15" s="4759"/>
      <c r="X15" s="4746"/>
      <c r="Y15" s="4746"/>
    </row>
    <row r="16" spans="1:25" ht="30" customHeight="1">
      <c r="A16" s="4744"/>
      <c r="B16" s="4757"/>
      <c r="C16" s="4757"/>
      <c r="D16" s="4757"/>
      <c r="E16" s="4761"/>
      <c r="F16" s="4757"/>
      <c r="G16" s="4757"/>
      <c r="H16" s="4757"/>
      <c r="I16" s="4757"/>
      <c r="J16" s="4757"/>
      <c r="K16" s="4757"/>
      <c r="L16" s="4757"/>
      <c r="M16" s="4757"/>
      <c r="N16" s="4757"/>
      <c r="O16" s="4758"/>
      <c r="P16" s="4758"/>
      <c r="Q16" s="4758"/>
      <c r="R16" s="4758"/>
      <c r="S16" s="4759"/>
      <c r="T16" s="4759"/>
      <c r="U16" s="4759"/>
      <c r="V16" s="4759"/>
      <c r="W16" s="4759"/>
      <c r="X16" s="4746"/>
      <c r="Y16" s="4746"/>
    </row>
    <row r="17" spans="1:25" ht="30" customHeight="1">
      <c r="A17" s="4744"/>
      <c r="B17" s="4757"/>
      <c r="C17" s="4757"/>
      <c r="D17" s="4760"/>
      <c r="E17" s="8475" t="s">
        <v>630</v>
      </c>
      <c r="F17" s="8475"/>
      <c r="G17" s="8475"/>
      <c r="H17" s="8475"/>
      <c r="I17" s="8475"/>
      <c r="J17" s="8475"/>
      <c r="K17" s="8475"/>
      <c r="L17" s="8475"/>
      <c r="M17" s="8475"/>
      <c r="N17" s="8475"/>
      <c r="O17" s="4758"/>
      <c r="P17" s="4758"/>
      <c r="Q17" s="4758"/>
      <c r="R17" s="4758"/>
      <c r="S17" s="4759"/>
      <c r="T17" s="4759"/>
      <c r="U17" s="4759"/>
      <c r="V17" s="4759"/>
      <c r="W17" s="4759"/>
      <c r="X17" s="4746"/>
      <c r="Y17" s="4746"/>
    </row>
    <row r="18" spans="1:25" ht="30" customHeight="1">
      <c r="A18" s="4744"/>
      <c r="B18" s="4757"/>
      <c r="C18" s="4757"/>
      <c r="D18" s="4757"/>
      <c r="E18" s="4761"/>
      <c r="F18" s="4757"/>
      <c r="G18" s="4757"/>
      <c r="H18" s="4757"/>
      <c r="I18" s="4757"/>
      <c r="J18" s="4757"/>
      <c r="K18" s="4757"/>
      <c r="L18" s="4757"/>
      <c r="M18" s="4757"/>
      <c r="N18" s="4757"/>
      <c r="O18" s="4758"/>
      <c r="P18" s="4758"/>
      <c r="Q18" s="4758"/>
      <c r="R18" s="4758"/>
      <c r="S18" s="4759"/>
      <c r="T18" s="4759"/>
      <c r="U18" s="4759"/>
      <c r="V18" s="4759"/>
      <c r="W18" s="4759"/>
      <c r="X18" s="4746"/>
      <c r="Y18" s="4746"/>
    </row>
    <row r="19" spans="1:25" ht="30" customHeight="1">
      <c r="A19" s="4744"/>
      <c r="B19" s="4757"/>
      <c r="C19" s="4757" t="s">
        <v>7099</v>
      </c>
      <c r="D19" s="4757"/>
      <c r="E19" s="4757"/>
      <c r="F19" s="4757"/>
      <c r="G19" s="4757"/>
      <c r="H19" s="4757"/>
      <c r="I19" s="4757"/>
      <c r="J19" s="4757"/>
      <c r="K19" s="4757"/>
      <c r="L19" s="4757"/>
      <c r="M19" s="4757"/>
      <c r="N19" s="4757"/>
      <c r="O19" s="4758"/>
      <c r="P19" s="4758"/>
      <c r="Q19" s="4758"/>
      <c r="R19" s="4758"/>
      <c r="S19" s="4759"/>
      <c r="T19" s="4759"/>
      <c r="U19" s="4759"/>
      <c r="V19" s="4759"/>
      <c r="W19" s="4759"/>
      <c r="X19" s="4746"/>
      <c r="Y19" s="4746"/>
    </row>
    <row r="20" spans="1:25" ht="30" customHeight="1">
      <c r="A20" s="4744"/>
      <c r="B20" s="4757"/>
      <c r="C20" s="4757"/>
      <c r="D20" s="4760"/>
      <c r="E20" s="8475" t="s">
        <v>7100</v>
      </c>
      <c r="F20" s="8475"/>
      <c r="G20" s="8475"/>
      <c r="H20" s="8475"/>
      <c r="I20" s="8475"/>
      <c r="J20" s="8475"/>
      <c r="K20" s="8475"/>
      <c r="L20" s="8475"/>
      <c r="M20" s="8475"/>
      <c r="N20" s="8475"/>
      <c r="O20" s="4758"/>
      <c r="P20" s="4758"/>
      <c r="Q20" s="4758"/>
      <c r="R20" s="4758"/>
      <c r="S20" s="4759"/>
      <c r="T20" s="4759"/>
      <c r="U20" s="4759"/>
      <c r="V20" s="4759"/>
      <c r="W20" s="4759"/>
      <c r="X20" s="4746"/>
      <c r="Y20" s="4746"/>
    </row>
    <row r="21" spans="1:25" ht="30" customHeight="1">
      <c r="A21" s="4744"/>
      <c r="B21" s="4757"/>
      <c r="C21" s="4757" t="s">
        <v>7101</v>
      </c>
      <c r="D21" s="4757"/>
      <c r="E21" s="4757"/>
      <c r="F21" s="4757"/>
      <c r="G21" s="4757"/>
      <c r="H21" s="4757"/>
      <c r="I21" s="4757"/>
      <c r="J21" s="4757"/>
      <c r="K21" s="4757"/>
      <c r="L21" s="4757"/>
      <c r="M21" s="4757"/>
      <c r="N21" s="4757"/>
      <c r="O21" s="4758"/>
      <c r="P21" s="4758"/>
      <c r="Q21" s="4758"/>
      <c r="R21" s="4758"/>
      <c r="S21" s="4759"/>
      <c r="T21" s="4759"/>
      <c r="U21" s="4759"/>
      <c r="V21" s="4759"/>
      <c r="W21" s="4759"/>
      <c r="X21" s="4746"/>
      <c r="Y21" s="4746"/>
    </row>
    <row r="22" spans="1:25" ht="30" customHeight="1">
      <c r="A22" s="4744"/>
      <c r="B22" s="4757"/>
      <c r="C22" s="4757"/>
      <c r="D22" s="4760"/>
      <c r="E22" s="8475" t="s">
        <v>7102</v>
      </c>
      <c r="F22" s="8475"/>
      <c r="G22" s="8475"/>
      <c r="H22" s="8475"/>
      <c r="I22" s="8475"/>
      <c r="J22" s="8475"/>
      <c r="K22" s="8475"/>
      <c r="L22" s="8475"/>
      <c r="M22" s="8475"/>
      <c r="N22" s="8475"/>
      <c r="O22" s="4758"/>
      <c r="P22" s="4758"/>
      <c r="Q22" s="4758"/>
      <c r="R22" s="4758"/>
      <c r="S22" s="4759"/>
      <c r="T22" s="4759"/>
      <c r="U22" s="4759"/>
      <c r="V22" s="4759"/>
      <c r="W22" s="4759"/>
      <c r="X22" s="4746"/>
      <c r="Y22" s="4746"/>
    </row>
    <row r="23" spans="1:25" ht="30" customHeight="1">
      <c r="A23" s="4744"/>
      <c r="B23" s="4757"/>
      <c r="C23" s="4757" t="s">
        <v>7103</v>
      </c>
      <c r="D23" s="4757"/>
      <c r="E23" s="4762"/>
      <c r="F23" s="4757"/>
      <c r="G23" s="4757"/>
      <c r="H23" s="4757"/>
      <c r="I23" s="4757"/>
      <c r="J23" s="4757"/>
      <c r="K23" s="4757"/>
      <c r="L23" s="4757"/>
      <c r="M23" s="4757"/>
      <c r="N23" s="4757"/>
      <c r="O23" s="4758"/>
      <c r="P23" s="4758"/>
      <c r="Q23" s="4758"/>
      <c r="R23" s="4758"/>
      <c r="S23" s="4759"/>
      <c r="T23" s="4759"/>
      <c r="U23" s="4759"/>
      <c r="V23" s="4759"/>
      <c r="W23" s="4759"/>
      <c r="X23" s="4746"/>
      <c r="Y23" s="4746"/>
    </row>
    <row r="24" spans="1:25" ht="30" customHeight="1">
      <c r="A24" s="4744"/>
      <c r="B24" s="4757"/>
      <c r="C24" s="4757"/>
      <c r="D24" s="4760"/>
      <c r="E24" s="8475" t="s">
        <v>7104</v>
      </c>
      <c r="F24" s="8475"/>
      <c r="G24" s="8475"/>
      <c r="H24" s="8475"/>
      <c r="I24" s="8475"/>
      <c r="J24" s="8475"/>
      <c r="K24" s="8475"/>
      <c r="L24" s="8475"/>
      <c r="M24" s="8475"/>
      <c r="N24" s="8475"/>
      <c r="O24" s="4758"/>
      <c r="P24" s="4758"/>
      <c r="Q24" s="4758"/>
      <c r="R24" s="4758"/>
      <c r="S24" s="4759"/>
      <c r="T24" s="4759"/>
      <c r="U24" s="4759"/>
      <c r="V24" s="4759"/>
      <c r="W24" s="4759"/>
      <c r="X24" s="4746"/>
      <c r="Y24" s="4746"/>
    </row>
    <row r="25" spans="1:25" ht="30" customHeight="1">
      <c r="A25" s="4744"/>
      <c r="B25" s="4757"/>
      <c r="C25" s="4757" t="s">
        <v>7105</v>
      </c>
      <c r="D25" s="4757"/>
      <c r="E25" s="4762"/>
      <c r="F25" s="4757"/>
      <c r="G25" s="4757"/>
      <c r="H25" s="4757"/>
      <c r="I25" s="4757"/>
      <c r="J25" s="4757"/>
      <c r="K25" s="4757"/>
      <c r="L25" s="4757"/>
      <c r="M25" s="4757"/>
      <c r="N25" s="4757"/>
      <c r="O25" s="4758"/>
      <c r="P25" s="4758"/>
      <c r="Q25" s="4758"/>
      <c r="R25" s="4758"/>
      <c r="S25" s="4759"/>
      <c r="T25" s="4759"/>
      <c r="U25" s="4759"/>
      <c r="V25" s="4759"/>
      <c r="W25" s="4759"/>
      <c r="X25" s="4746"/>
      <c r="Y25" s="4746"/>
    </row>
    <row r="26" spans="1:25" ht="30" customHeight="1">
      <c r="A26" s="4744"/>
      <c r="B26" s="4757"/>
      <c r="C26" s="4757"/>
      <c r="D26" s="4760"/>
      <c r="E26" s="8475" t="s">
        <v>7106</v>
      </c>
      <c r="F26" s="8475"/>
      <c r="G26" s="8475"/>
      <c r="H26" s="8475"/>
      <c r="I26" s="8475"/>
      <c r="J26" s="8475"/>
      <c r="K26" s="8475"/>
      <c r="L26" s="8475"/>
      <c r="M26" s="8475"/>
      <c r="N26" s="8475"/>
      <c r="O26" s="4758"/>
      <c r="P26" s="4758"/>
      <c r="Q26" s="4758"/>
      <c r="R26" s="4758"/>
      <c r="S26" s="4759"/>
      <c r="T26" s="5495" t="s">
        <v>1</v>
      </c>
      <c r="U26" s="4759"/>
      <c r="V26" s="4759"/>
      <c r="W26" s="4759"/>
      <c r="X26" s="4746"/>
      <c r="Y26" s="4746"/>
    </row>
    <row r="27" spans="1:25" ht="30" customHeight="1">
      <c r="A27" s="4744"/>
      <c r="B27" s="4757"/>
      <c r="C27" s="4757"/>
      <c r="D27" s="4760"/>
      <c r="E27" s="4760"/>
      <c r="F27" s="4757"/>
      <c r="G27" s="4757"/>
      <c r="H27" s="4757"/>
      <c r="I27" s="4757"/>
      <c r="J27" s="4757"/>
      <c r="K27" s="4757"/>
      <c r="L27" s="4757"/>
      <c r="M27" s="4757"/>
      <c r="N27" s="4757"/>
      <c r="O27" s="4758"/>
      <c r="P27" s="4758"/>
      <c r="Q27" s="4758"/>
      <c r="R27" s="4758"/>
      <c r="S27" s="4759"/>
      <c r="T27" s="4759"/>
      <c r="U27" s="4759"/>
      <c r="V27" s="4759"/>
      <c r="W27" s="4759"/>
      <c r="X27" s="4746"/>
      <c r="Y27" s="4746"/>
    </row>
    <row r="28" spans="1:25" ht="30" customHeight="1">
      <c r="A28" s="4744"/>
      <c r="B28" s="4757"/>
      <c r="C28" s="4757" t="s">
        <v>7107</v>
      </c>
      <c r="D28" s="4757"/>
      <c r="E28" s="4762"/>
      <c r="F28" s="4757"/>
      <c r="G28" s="4757"/>
      <c r="H28" s="4757"/>
      <c r="I28" s="4757"/>
      <c r="J28" s="4757"/>
      <c r="K28" s="4757"/>
      <c r="L28" s="4757"/>
      <c r="M28" s="4757"/>
      <c r="N28" s="4757"/>
      <c r="O28" s="4758"/>
      <c r="P28" s="4758"/>
      <c r="Q28" s="4758"/>
      <c r="R28" s="4758"/>
      <c r="S28" s="4759"/>
      <c r="T28" s="4759"/>
      <c r="U28" s="4759"/>
      <c r="V28" s="4759"/>
      <c r="W28" s="4759"/>
      <c r="X28" s="4746"/>
      <c r="Y28" s="4746"/>
    </row>
    <row r="29" spans="1:25" ht="30" customHeight="1">
      <c r="A29" s="4744"/>
      <c r="B29" s="4757"/>
      <c r="C29" s="4757"/>
      <c r="D29" s="4760"/>
      <c r="E29" s="8475" t="s">
        <v>7108</v>
      </c>
      <c r="F29" s="8475"/>
      <c r="G29" s="8475"/>
      <c r="H29" s="8475"/>
      <c r="I29" s="8475"/>
      <c r="J29" s="8475"/>
      <c r="K29" s="8475"/>
      <c r="L29" s="8475"/>
      <c r="M29" s="8475"/>
      <c r="N29" s="8475"/>
      <c r="O29" s="4758"/>
      <c r="P29" s="4758"/>
      <c r="Q29" s="4758"/>
      <c r="R29" s="4758"/>
      <c r="S29" s="4759"/>
      <c r="T29" s="4759"/>
      <c r="U29" s="4759"/>
      <c r="V29" s="4759"/>
      <c r="W29" s="4759"/>
      <c r="X29" s="4746"/>
      <c r="Y29" s="4746"/>
    </row>
    <row r="30" spans="1:25" ht="30" customHeight="1">
      <c r="A30" s="4744"/>
      <c r="B30" s="4757"/>
      <c r="C30" s="4757"/>
      <c r="D30" s="4757"/>
      <c r="E30" s="4762"/>
      <c r="F30" s="4757"/>
      <c r="G30" s="4757"/>
      <c r="H30" s="4757"/>
      <c r="I30" s="4757"/>
      <c r="J30" s="4757"/>
      <c r="K30" s="4757"/>
      <c r="L30" s="4757"/>
      <c r="M30" s="4757"/>
      <c r="N30" s="4757"/>
      <c r="O30" s="4758"/>
      <c r="P30" s="4758"/>
      <c r="Q30" s="4758"/>
      <c r="R30" s="4758"/>
      <c r="S30" s="4759"/>
      <c r="T30" s="4759"/>
      <c r="U30" s="4759"/>
      <c r="V30" s="4759"/>
      <c r="W30" s="4759"/>
      <c r="X30" s="4746"/>
      <c r="Y30" s="4746"/>
    </row>
    <row r="31" spans="1:25" ht="30" customHeight="1">
      <c r="A31" s="4744"/>
      <c r="B31" s="4757"/>
      <c r="C31" s="4757" t="s">
        <v>7109</v>
      </c>
      <c r="D31" s="4757"/>
      <c r="E31" s="4762"/>
      <c r="F31" s="4757"/>
      <c r="G31" s="4757"/>
      <c r="H31" s="4757"/>
      <c r="I31" s="4757"/>
      <c r="J31" s="4757"/>
      <c r="K31" s="4757"/>
      <c r="L31" s="4757"/>
      <c r="M31" s="4757"/>
      <c r="N31" s="4757"/>
      <c r="O31" s="4758"/>
      <c r="P31" s="4758"/>
      <c r="Q31" s="4758"/>
      <c r="R31" s="4758"/>
      <c r="S31" s="4759"/>
      <c r="T31" s="4759"/>
      <c r="U31" s="4759"/>
      <c r="V31" s="4759"/>
      <c r="W31" s="4759"/>
      <c r="X31" s="4746"/>
      <c r="Y31" s="4746"/>
    </row>
    <row r="32" spans="1:25" ht="30" customHeight="1">
      <c r="A32" s="4744"/>
      <c r="B32" s="4757"/>
      <c r="C32" s="4757"/>
      <c r="D32" s="4760"/>
      <c r="E32" s="8475" t="s">
        <v>7110</v>
      </c>
      <c r="F32" s="8475"/>
      <c r="G32" s="8475"/>
      <c r="H32" s="8475"/>
      <c r="I32" s="8475"/>
      <c r="J32" s="8475"/>
      <c r="K32" s="8475"/>
      <c r="L32" s="8475"/>
      <c r="M32" s="8475"/>
      <c r="N32" s="8475"/>
      <c r="O32" s="4758"/>
      <c r="P32" s="4758"/>
      <c r="Q32" s="4758"/>
      <c r="R32" s="4758"/>
      <c r="S32" s="4759"/>
      <c r="T32" s="4759"/>
      <c r="U32" s="4759"/>
      <c r="V32" s="4759"/>
      <c r="W32" s="4759"/>
      <c r="X32" s="4746"/>
      <c r="Y32" s="4746"/>
    </row>
    <row r="33" spans="1:25" ht="30" customHeight="1">
      <c r="A33" s="4744"/>
      <c r="B33" s="4757"/>
      <c r="C33" s="4757"/>
      <c r="D33" s="4757"/>
      <c r="E33" s="4762"/>
      <c r="F33" s="4757"/>
      <c r="G33" s="4757"/>
      <c r="H33" s="4757"/>
      <c r="I33" s="4757"/>
      <c r="J33" s="4757"/>
      <c r="K33" s="4757"/>
      <c r="L33" s="4757"/>
      <c r="M33" s="4757"/>
      <c r="N33" s="4757"/>
      <c r="O33" s="4758"/>
      <c r="P33" s="4758"/>
      <c r="Q33" s="4758"/>
      <c r="R33" s="4758"/>
      <c r="S33" s="4759"/>
      <c r="T33" s="4759"/>
      <c r="U33" s="4759"/>
      <c r="V33" s="4759"/>
      <c r="W33" s="4759"/>
      <c r="X33" s="4746"/>
      <c r="Y33" s="4746"/>
    </row>
    <row r="34" spans="1:25" ht="30" customHeight="1">
      <c r="A34" s="4744"/>
      <c r="B34" s="4757"/>
      <c r="C34" s="4757" t="s">
        <v>7111</v>
      </c>
      <c r="D34" s="4760"/>
      <c r="E34" s="4760"/>
      <c r="F34" s="4757"/>
      <c r="G34" s="4757"/>
      <c r="H34" s="4757"/>
      <c r="I34" s="4757"/>
      <c r="J34" s="4757"/>
      <c r="K34" s="4757"/>
      <c r="L34" s="4757"/>
      <c r="M34" s="4757"/>
      <c r="N34" s="4757"/>
      <c r="O34" s="4758"/>
      <c r="P34" s="4758"/>
      <c r="Q34" s="4758"/>
      <c r="R34" s="4758"/>
      <c r="S34" s="4759"/>
      <c r="T34" s="4759"/>
      <c r="U34" s="4759"/>
      <c r="V34" s="4759"/>
      <c r="W34" s="4759"/>
      <c r="X34" s="4746"/>
      <c r="Y34" s="4746"/>
    </row>
    <row r="35" spans="1:25" ht="30" customHeight="1">
      <c r="A35" s="4744"/>
      <c r="B35" s="4757"/>
      <c r="C35" s="4757"/>
      <c r="D35" s="4760"/>
      <c r="E35" s="8475" t="s">
        <v>7112</v>
      </c>
      <c r="F35" s="8475"/>
      <c r="G35" s="8475"/>
      <c r="H35" s="8475"/>
      <c r="I35" s="8475"/>
      <c r="J35" s="8475"/>
      <c r="K35" s="8475"/>
      <c r="L35" s="8475"/>
      <c r="M35" s="8475"/>
      <c r="N35" s="8475"/>
      <c r="O35" s="4758"/>
      <c r="P35" s="4758"/>
      <c r="Q35" s="4758"/>
      <c r="R35" s="4758"/>
      <c r="S35" s="4759"/>
      <c r="T35" s="5495" t="s">
        <v>1</v>
      </c>
      <c r="U35" s="4759"/>
      <c r="V35" s="4759"/>
      <c r="W35" s="4759"/>
      <c r="X35" s="4746"/>
      <c r="Y35" s="4746"/>
    </row>
    <row r="36" spans="1:25" ht="30" customHeight="1">
      <c r="A36" s="4744"/>
      <c r="B36" s="4757"/>
      <c r="C36" s="4757"/>
      <c r="D36" s="4760"/>
      <c r="E36" s="4760"/>
      <c r="F36" s="4757"/>
      <c r="G36" s="4757"/>
      <c r="H36" s="4757"/>
      <c r="I36" s="4757"/>
      <c r="J36" s="4757"/>
      <c r="K36" s="4757"/>
      <c r="L36" s="4757"/>
      <c r="M36" s="4757"/>
      <c r="N36" s="4757"/>
      <c r="O36" s="4758"/>
      <c r="P36" s="4758"/>
      <c r="Q36" s="4758"/>
      <c r="R36" s="4758"/>
      <c r="S36" s="4759"/>
      <c r="T36" s="4759"/>
      <c r="U36" s="4759"/>
      <c r="V36" s="4759"/>
      <c r="W36" s="4759"/>
      <c r="X36" s="4746"/>
      <c r="Y36" s="4746"/>
    </row>
    <row r="37" spans="1:25" ht="30" customHeight="1">
      <c r="A37" s="4744"/>
      <c r="B37" s="4757"/>
      <c r="C37" s="4757" t="s">
        <v>7113</v>
      </c>
      <c r="D37" s="4757"/>
      <c r="E37" s="4757"/>
      <c r="F37" s="4757"/>
      <c r="G37" s="4757"/>
      <c r="H37" s="4757"/>
      <c r="I37" s="4757"/>
      <c r="J37" s="4757"/>
      <c r="K37" s="4757"/>
      <c r="L37" s="4757"/>
      <c r="M37" s="4757"/>
      <c r="N37" s="4757"/>
      <c r="O37" s="4758"/>
      <c r="P37" s="4758"/>
      <c r="Q37" s="4758"/>
      <c r="R37" s="4758"/>
      <c r="S37" s="4759"/>
      <c r="T37" s="4759"/>
      <c r="U37" s="4759"/>
      <c r="V37" s="4759"/>
      <c r="W37" s="4759"/>
      <c r="X37" s="4746"/>
      <c r="Y37" s="4746"/>
    </row>
    <row r="38" spans="1:25" ht="30" customHeight="1">
      <c r="A38" s="4744"/>
      <c r="B38" s="4757"/>
      <c r="C38" s="4757"/>
      <c r="D38" s="4760"/>
      <c r="E38" s="8475" t="s">
        <v>7114</v>
      </c>
      <c r="F38" s="8475"/>
      <c r="G38" s="8475"/>
      <c r="H38" s="8475"/>
      <c r="I38" s="8475"/>
      <c r="J38" s="8475"/>
      <c r="K38" s="8475"/>
      <c r="L38" s="8475"/>
      <c r="M38" s="8475"/>
      <c r="N38" s="8475"/>
      <c r="O38" s="4758"/>
      <c r="P38" s="4758"/>
      <c r="Q38" s="4758"/>
      <c r="R38" s="4758"/>
      <c r="S38" s="4759"/>
      <c r="T38" s="4759"/>
      <c r="U38" s="4759"/>
      <c r="V38" s="4759"/>
      <c r="W38" s="4759"/>
      <c r="X38" s="4746"/>
      <c r="Y38" s="4746"/>
    </row>
    <row r="39" spans="1:25" ht="30" customHeight="1">
      <c r="A39" s="4744"/>
      <c r="B39" s="4757"/>
      <c r="C39" s="4757"/>
      <c r="D39" s="4760"/>
      <c r="E39" s="4760"/>
      <c r="F39" s="4757"/>
      <c r="G39" s="4757"/>
      <c r="H39" s="4757"/>
      <c r="I39" s="4757"/>
      <c r="J39" s="4757"/>
      <c r="K39" s="4757"/>
      <c r="L39" s="4757"/>
      <c r="M39" s="4757"/>
      <c r="N39" s="4757"/>
      <c r="O39" s="4758"/>
      <c r="P39" s="4758"/>
      <c r="Q39" s="4758"/>
      <c r="R39" s="4758"/>
      <c r="S39" s="4759"/>
      <c r="T39" s="4759"/>
      <c r="U39" s="4759"/>
      <c r="V39" s="4759"/>
      <c r="W39" s="4759"/>
      <c r="X39" s="4746"/>
      <c r="Y39" s="4746"/>
    </row>
    <row r="40" spans="1:25" ht="30" customHeight="1">
      <c r="A40" s="4744"/>
      <c r="B40" s="4757"/>
      <c r="C40" s="4757" t="s">
        <v>7115</v>
      </c>
      <c r="D40" s="4757"/>
      <c r="E40" s="4757"/>
      <c r="F40" s="4757"/>
      <c r="G40" s="4757"/>
      <c r="H40" s="4757"/>
      <c r="I40" s="4757"/>
      <c r="J40" s="4757"/>
      <c r="K40" s="4757"/>
      <c r="L40" s="4757"/>
      <c r="M40" s="4757"/>
      <c r="N40" s="4757"/>
      <c r="O40" s="4758"/>
      <c r="P40" s="4758"/>
      <c r="Q40" s="4758"/>
      <c r="R40" s="4758"/>
      <c r="S40" s="4759"/>
      <c r="T40" s="4759"/>
      <c r="U40" s="4759"/>
      <c r="V40" s="4759"/>
      <c r="W40" s="4759"/>
      <c r="X40" s="4746"/>
      <c r="Y40" s="4746"/>
    </row>
    <row r="41" spans="1:25" ht="30" customHeight="1">
      <c r="A41" s="4744"/>
      <c r="B41" s="4757"/>
      <c r="C41" s="4757"/>
      <c r="D41" s="4760"/>
      <c r="E41" s="8475" t="s">
        <v>7116</v>
      </c>
      <c r="F41" s="8475"/>
      <c r="G41" s="8475"/>
      <c r="H41" s="8475"/>
      <c r="I41" s="8475"/>
      <c r="J41" s="8475"/>
      <c r="K41" s="8475"/>
      <c r="L41" s="8475"/>
      <c r="M41" s="8475"/>
      <c r="N41" s="8475"/>
      <c r="O41" s="4758"/>
      <c r="P41" s="4758"/>
      <c r="Q41" s="4758"/>
      <c r="R41" s="4758"/>
      <c r="S41" s="4759"/>
      <c r="T41" s="4759"/>
      <c r="U41" s="4759"/>
      <c r="V41" s="4759"/>
      <c r="W41" s="4759"/>
      <c r="X41" s="4746"/>
      <c r="Y41" s="4746"/>
    </row>
    <row r="42" spans="1:25" ht="30" customHeight="1">
      <c r="A42" s="4744"/>
      <c r="B42" s="4757"/>
      <c r="C42" s="4757"/>
      <c r="D42" s="4760"/>
      <c r="E42" s="4760"/>
      <c r="F42" s="4757"/>
      <c r="G42" s="4757"/>
      <c r="H42" s="4757"/>
      <c r="I42" s="4757"/>
      <c r="J42" s="4757"/>
      <c r="K42" s="4757"/>
      <c r="L42" s="4757"/>
      <c r="M42" s="4757"/>
      <c r="N42" s="4757"/>
      <c r="O42" s="4758"/>
      <c r="P42" s="4758"/>
      <c r="Q42" s="4758"/>
      <c r="R42" s="4758"/>
      <c r="S42" s="4759"/>
      <c r="T42" s="4759"/>
      <c r="U42" s="4759"/>
      <c r="V42" s="4759"/>
      <c r="W42" s="4759"/>
      <c r="X42" s="4746"/>
      <c r="Y42" s="4746"/>
    </row>
    <row r="43" spans="1:25" ht="30" customHeight="1">
      <c r="A43" s="4744"/>
      <c r="B43" s="4757"/>
      <c r="C43" s="4757" t="s">
        <v>7117</v>
      </c>
      <c r="D43" s="4757"/>
      <c r="E43" s="4757"/>
      <c r="F43" s="4757"/>
      <c r="G43" s="4757"/>
      <c r="H43" s="4757"/>
      <c r="I43" s="4757"/>
      <c r="J43" s="4757"/>
      <c r="K43" s="4757"/>
      <c r="L43" s="4757"/>
      <c r="M43" s="4757"/>
      <c r="N43" s="4757"/>
      <c r="O43" s="4758"/>
      <c r="P43" s="4758"/>
      <c r="Q43" s="4758"/>
      <c r="R43" s="4758"/>
      <c r="S43" s="4759"/>
      <c r="T43" s="4759"/>
      <c r="U43" s="4759"/>
      <c r="V43" s="4759"/>
      <c r="W43" s="4759"/>
      <c r="X43" s="4746"/>
      <c r="Y43" s="4746"/>
    </row>
    <row r="44" spans="1:25" ht="30" customHeight="1">
      <c r="A44" s="4744"/>
      <c r="B44" s="4757"/>
      <c r="C44" s="4757"/>
      <c r="D44" s="4760"/>
      <c r="E44" s="8475" t="s">
        <v>7118</v>
      </c>
      <c r="F44" s="8475"/>
      <c r="G44" s="8475"/>
      <c r="H44" s="8475"/>
      <c r="I44" s="8475"/>
      <c r="J44" s="8475"/>
      <c r="K44" s="8475"/>
      <c r="L44" s="8475"/>
      <c r="M44" s="8475"/>
      <c r="N44" s="8475"/>
      <c r="O44" s="4758"/>
      <c r="P44" s="4758"/>
      <c r="Q44" s="4758"/>
      <c r="R44" s="4758"/>
      <c r="S44" s="4759"/>
      <c r="T44" s="4759"/>
      <c r="U44" s="4759"/>
      <c r="V44" s="4759"/>
      <c r="W44" s="4759"/>
      <c r="X44" s="4746"/>
      <c r="Y44" s="4746"/>
    </row>
    <row r="45" spans="1:25" ht="30" customHeight="1">
      <c r="A45" s="4744"/>
      <c r="B45" s="4757"/>
      <c r="C45" s="4757"/>
      <c r="D45" s="4760"/>
      <c r="E45" s="4760"/>
      <c r="F45" s="4757"/>
      <c r="G45" s="4757"/>
      <c r="H45" s="4757"/>
      <c r="I45" s="4757"/>
      <c r="J45" s="4757"/>
      <c r="K45" s="4757"/>
      <c r="L45" s="4757"/>
      <c r="M45" s="4757"/>
      <c r="N45" s="4757"/>
      <c r="O45" s="4758"/>
      <c r="P45" s="4758"/>
      <c r="Q45" s="4758"/>
      <c r="R45" s="4758"/>
      <c r="S45" s="4759"/>
      <c r="T45" s="4759"/>
      <c r="U45" s="4759"/>
      <c r="V45" s="4759"/>
      <c r="W45" s="4759"/>
      <c r="X45" s="4746"/>
      <c r="Y45" s="4746"/>
    </row>
    <row r="46" spans="1:25" ht="30" customHeight="1">
      <c r="A46" s="4744"/>
      <c r="B46" s="4757"/>
      <c r="C46" s="4757" t="s">
        <v>7119</v>
      </c>
      <c r="D46" s="4757"/>
      <c r="E46" s="4757"/>
      <c r="F46" s="4757"/>
      <c r="G46" s="4757"/>
      <c r="H46" s="4757"/>
      <c r="I46" s="4757"/>
      <c r="J46" s="4757"/>
      <c r="K46" s="4757"/>
      <c r="L46" s="4757"/>
      <c r="M46" s="4757"/>
      <c r="N46" s="4757"/>
      <c r="O46" s="4758"/>
      <c r="P46" s="4758"/>
      <c r="Q46" s="4758"/>
      <c r="R46" s="4758"/>
      <c r="S46" s="4759"/>
      <c r="T46" s="4759"/>
      <c r="U46" s="4759"/>
      <c r="V46" s="4759"/>
      <c r="W46" s="4759"/>
      <c r="X46" s="4746"/>
      <c r="Y46" s="4746"/>
    </row>
    <row r="47" spans="1:25" ht="30" customHeight="1">
      <c r="A47" s="4744"/>
      <c r="B47" s="4757"/>
      <c r="C47" s="4757"/>
      <c r="D47" s="4757"/>
      <c r="E47" s="4757" t="s">
        <v>7120</v>
      </c>
      <c r="F47" s="4757"/>
      <c r="G47" s="4757"/>
      <c r="H47" s="4757"/>
      <c r="I47" s="4757"/>
      <c r="J47" s="4757"/>
      <c r="K47" s="4757"/>
      <c r="L47" s="4757"/>
      <c r="M47" s="4757"/>
      <c r="N47" s="4757"/>
      <c r="O47" s="4758"/>
      <c r="P47" s="4758"/>
      <c r="Q47" s="4758"/>
      <c r="R47" s="4758"/>
      <c r="S47" s="4759"/>
      <c r="T47" s="4759"/>
      <c r="U47" s="4759"/>
      <c r="V47" s="4759"/>
      <c r="W47" s="4759"/>
      <c r="X47" s="4746"/>
      <c r="Y47" s="4746"/>
    </row>
    <row r="48" spans="1:25" ht="30" customHeight="1">
      <c r="A48" s="4744"/>
      <c r="B48" s="4757"/>
      <c r="C48" s="4757"/>
      <c r="D48" s="4760"/>
      <c r="E48" s="8475" t="s">
        <v>7121</v>
      </c>
      <c r="F48" s="8475"/>
      <c r="G48" s="8475"/>
      <c r="H48" s="8475"/>
      <c r="I48" s="8475"/>
      <c r="J48" s="8475"/>
      <c r="K48" s="8475"/>
      <c r="L48" s="8475"/>
      <c r="M48" s="8475"/>
      <c r="N48" s="8475"/>
      <c r="O48" s="4758"/>
      <c r="P48" s="4758"/>
      <c r="Q48" s="4758"/>
      <c r="R48" s="4758"/>
      <c r="S48" s="4759"/>
      <c r="T48" s="4759" t="s">
        <v>1</v>
      </c>
      <c r="U48" s="4759"/>
      <c r="V48" s="4759"/>
      <c r="W48" s="4759"/>
      <c r="X48" s="4746"/>
      <c r="Y48" s="4746"/>
    </row>
    <row r="49" spans="1:25" ht="30" customHeight="1">
      <c r="A49" s="4744"/>
      <c r="B49" s="4757"/>
      <c r="C49" s="4757"/>
      <c r="D49" s="4760"/>
      <c r="E49" s="4760"/>
      <c r="F49" s="4757"/>
      <c r="G49" s="4757"/>
      <c r="H49" s="4757"/>
      <c r="I49" s="4757"/>
      <c r="J49" s="4757"/>
      <c r="K49" s="4757"/>
      <c r="L49" s="4757"/>
      <c r="M49" s="4757"/>
      <c r="N49" s="4757"/>
      <c r="O49" s="4758"/>
      <c r="P49" s="4758"/>
      <c r="Q49" s="4758"/>
      <c r="R49" s="4758"/>
      <c r="S49" s="4759"/>
      <c r="T49" s="4759"/>
      <c r="U49" s="4759"/>
      <c r="V49" s="4759"/>
      <c r="W49" s="4759"/>
      <c r="X49" s="4746"/>
      <c r="Y49" s="4746"/>
    </row>
    <row r="50" spans="1:25" ht="30" customHeight="1">
      <c r="A50" s="4744"/>
      <c r="B50" s="4757"/>
      <c r="C50" s="4757" t="s">
        <v>7122</v>
      </c>
      <c r="D50" s="4757"/>
      <c r="E50" s="4757"/>
      <c r="F50" s="4757"/>
      <c r="G50" s="4757"/>
      <c r="H50" s="4757"/>
      <c r="I50" s="4757"/>
      <c r="J50" s="4757"/>
      <c r="K50" s="4757"/>
      <c r="L50" s="4757"/>
      <c r="M50" s="4757"/>
      <c r="N50" s="4757"/>
      <c r="O50" s="4758"/>
      <c r="P50" s="4758"/>
      <c r="Q50" s="4758"/>
      <c r="R50" s="4758"/>
      <c r="S50" s="4759"/>
      <c r="T50" s="4759"/>
      <c r="U50" s="4759"/>
      <c r="V50" s="4759"/>
      <c r="W50" s="4759"/>
      <c r="X50" s="4746"/>
      <c r="Y50" s="4746"/>
    </row>
    <row r="51" spans="1:25" ht="30" customHeight="1">
      <c r="A51" s="4744"/>
      <c r="B51" s="4759"/>
      <c r="C51" s="4759"/>
      <c r="D51" s="4760"/>
      <c r="E51" s="8475" t="s">
        <v>7123</v>
      </c>
      <c r="F51" s="8475"/>
      <c r="G51" s="8475"/>
      <c r="H51" s="8475"/>
      <c r="I51" s="8475"/>
      <c r="J51" s="8475"/>
      <c r="K51" s="8475"/>
      <c r="L51" s="8475"/>
      <c r="M51" s="8475"/>
      <c r="N51" s="8475"/>
      <c r="O51" s="4758"/>
      <c r="P51" s="4758"/>
      <c r="Q51" s="4758"/>
      <c r="R51" s="4758"/>
      <c r="S51" s="4759"/>
      <c r="T51" s="5495" t="s">
        <v>1</v>
      </c>
      <c r="U51" s="4759"/>
      <c r="V51" s="4759"/>
      <c r="W51" s="4759"/>
      <c r="X51" s="4746"/>
      <c r="Y51" s="4746"/>
    </row>
    <row r="52" spans="1:25" ht="30" customHeight="1">
      <c r="A52" s="4744"/>
      <c r="B52" s="4759"/>
      <c r="C52" s="4759"/>
      <c r="D52" s="4760"/>
      <c r="E52" s="4760"/>
      <c r="F52" s="4757"/>
      <c r="G52" s="4757"/>
      <c r="H52" s="4757"/>
      <c r="I52" s="4757"/>
      <c r="J52" s="4757"/>
      <c r="K52" s="4757"/>
      <c r="L52" s="4757"/>
      <c r="M52" s="4757"/>
      <c r="N52" s="4757"/>
      <c r="O52" s="4758"/>
      <c r="P52" s="4758"/>
      <c r="Q52" s="4758"/>
      <c r="R52" s="4758"/>
      <c r="S52" s="4759"/>
      <c r="T52" s="4759"/>
      <c r="U52" s="4759"/>
      <c r="V52" s="4759"/>
      <c r="W52" s="4759"/>
      <c r="X52" s="4746"/>
      <c r="Y52" s="4746"/>
    </row>
    <row r="53" spans="1:25" ht="30" customHeight="1">
      <c r="A53" s="4744"/>
      <c r="B53" s="4759"/>
      <c r="C53" s="4757" t="s">
        <v>7124</v>
      </c>
      <c r="D53" s="4757"/>
      <c r="E53" s="4757"/>
      <c r="F53" s="4757"/>
      <c r="G53" s="4757"/>
      <c r="H53" s="4757"/>
      <c r="I53" s="4757"/>
      <c r="J53" s="4757"/>
      <c r="K53" s="4759"/>
      <c r="L53" s="4759"/>
      <c r="M53" s="4759"/>
      <c r="N53" s="4759"/>
      <c r="O53" s="4759"/>
      <c r="P53" s="4759"/>
      <c r="Q53" s="4759"/>
      <c r="R53" s="4759"/>
      <c r="S53" s="4759"/>
      <c r="T53" s="4759"/>
      <c r="U53" s="4759"/>
      <c r="V53" s="4759"/>
      <c r="W53" s="4759"/>
      <c r="X53" s="4746"/>
      <c r="Y53" s="4746"/>
    </row>
    <row r="54" spans="1:25" ht="30" customHeight="1">
      <c r="A54" s="4744"/>
      <c r="B54" s="4759"/>
      <c r="C54" s="4759"/>
      <c r="D54" s="4760"/>
      <c r="E54" s="8475" t="s">
        <v>7125</v>
      </c>
      <c r="F54" s="8475"/>
      <c r="G54" s="8475"/>
      <c r="H54" s="8475"/>
      <c r="I54" s="8475"/>
      <c r="J54" s="8475"/>
      <c r="K54" s="8475"/>
      <c r="L54" s="8475"/>
      <c r="M54" s="8475"/>
      <c r="N54" s="8475"/>
      <c r="O54" s="4759"/>
      <c r="P54" s="4759"/>
      <c r="Q54" s="4759"/>
      <c r="R54" s="4759"/>
      <c r="S54" s="4759"/>
      <c r="T54" s="4759" t="s">
        <v>1</v>
      </c>
      <c r="U54" s="4759"/>
      <c r="V54" s="4759"/>
      <c r="W54" s="4759"/>
      <c r="X54" s="4746"/>
      <c r="Y54" s="4746"/>
    </row>
    <row r="55" spans="1:25" ht="30" customHeight="1">
      <c r="A55" s="4744"/>
      <c r="B55" s="4759"/>
      <c r="C55" s="4759"/>
      <c r="D55" s="4757"/>
      <c r="E55" s="4757"/>
      <c r="F55" s="4757"/>
      <c r="G55" s="4757"/>
      <c r="H55" s="4757"/>
      <c r="I55" s="4757"/>
      <c r="J55" s="4757"/>
      <c r="K55" s="4759"/>
      <c r="L55" s="4759"/>
      <c r="M55" s="4759"/>
      <c r="N55" s="4759"/>
      <c r="O55" s="4759"/>
      <c r="P55" s="4759"/>
      <c r="Q55" s="4759"/>
      <c r="R55" s="4759"/>
      <c r="S55" s="4759"/>
      <c r="T55" s="4759"/>
      <c r="U55" s="4759"/>
      <c r="V55" s="4759"/>
      <c r="W55" s="4759"/>
      <c r="X55" s="4746"/>
      <c r="Y55" s="4746"/>
    </row>
    <row r="56" spans="1:25" ht="30" customHeight="1">
      <c r="A56" s="4744"/>
      <c r="B56" s="4759"/>
      <c r="C56" s="4757" t="s">
        <v>7126</v>
      </c>
      <c r="D56" s="4757"/>
      <c r="E56" s="4757"/>
      <c r="F56" s="4757"/>
      <c r="G56" s="4757"/>
      <c r="H56" s="4757"/>
      <c r="I56" s="4757"/>
      <c r="J56" s="4757"/>
      <c r="K56" s="4759"/>
      <c r="L56" s="4759"/>
      <c r="M56" s="4759"/>
      <c r="N56" s="4759"/>
      <c r="O56" s="4759"/>
      <c r="P56" s="4759"/>
      <c r="Q56" s="4759"/>
      <c r="R56" s="4759"/>
      <c r="S56" s="4759"/>
      <c r="T56" s="4759"/>
      <c r="U56" s="4759"/>
      <c r="V56" s="4759"/>
      <c r="W56" s="4759"/>
      <c r="X56" s="4746"/>
      <c r="Y56" s="4746"/>
    </row>
    <row r="57" spans="1:25" ht="30" customHeight="1">
      <c r="A57" s="4744"/>
      <c r="B57" s="4759"/>
      <c r="C57" s="4759"/>
      <c r="D57" s="4760"/>
      <c r="E57" s="8475" t="s">
        <v>7127</v>
      </c>
      <c r="F57" s="8475"/>
      <c r="G57" s="8475"/>
      <c r="H57" s="8475"/>
      <c r="I57" s="8475"/>
      <c r="J57" s="8475"/>
      <c r="K57" s="8475"/>
      <c r="L57" s="8475"/>
      <c r="M57" s="8475"/>
      <c r="N57" s="8475"/>
      <c r="O57" s="4759"/>
      <c r="P57" s="4759"/>
      <c r="Q57" s="4759"/>
      <c r="R57" s="4759"/>
      <c r="S57" s="4759"/>
      <c r="T57" s="4759"/>
      <c r="U57" s="4759"/>
      <c r="V57" s="4759"/>
      <c r="W57" s="4759"/>
      <c r="X57" s="4746"/>
      <c r="Y57" s="4746"/>
    </row>
    <row r="58" spans="1:25" ht="30" customHeight="1">
      <c r="A58" s="4744"/>
      <c r="B58" s="4759"/>
      <c r="C58" s="4759"/>
      <c r="D58" s="4760"/>
      <c r="E58" s="4760"/>
      <c r="F58" s="4757"/>
      <c r="G58" s="4757"/>
      <c r="H58" s="4757"/>
      <c r="I58" s="4757"/>
      <c r="J58" s="4757"/>
      <c r="K58" s="4759"/>
      <c r="L58" s="4759"/>
      <c r="M58" s="4759"/>
      <c r="N58" s="4759"/>
      <c r="O58" s="4759"/>
      <c r="P58" s="4759"/>
      <c r="Q58" s="4759"/>
      <c r="R58" s="4759"/>
      <c r="S58" s="4759"/>
      <c r="T58" s="4759"/>
      <c r="U58" s="4759"/>
      <c r="V58" s="4759"/>
      <c r="W58" s="4759"/>
      <c r="X58" s="4746"/>
      <c r="Y58" s="4746"/>
    </row>
    <row r="59" spans="1:25" ht="30" customHeight="1">
      <c r="A59" s="4744"/>
      <c r="B59" s="4759"/>
      <c r="C59" s="4757" t="s">
        <v>7128</v>
      </c>
      <c r="D59" s="4757"/>
      <c r="E59" s="4757"/>
      <c r="F59" s="4757"/>
      <c r="G59" s="4757"/>
      <c r="H59" s="4757"/>
      <c r="I59" s="4757"/>
      <c r="J59" s="4757"/>
      <c r="K59" s="4759"/>
      <c r="L59" s="4759"/>
      <c r="M59" s="4759"/>
      <c r="N59" s="4759"/>
      <c r="O59" s="4759"/>
      <c r="P59" s="4759"/>
      <c r="Q59" s="4759"/>
      <c r="R59" s="4759"/>
      <c r="S59" s="4759"/>
      <c r="T59" s="4759"/>
      <c r="U59" s="4759"/>
      <c r="V59" s="4759"/>
      <c r="W59" s="4759"/>
      <c r="X59" s="4746"/>
      <c r="Y59" s="4746"/>
    </row>
    <row r="60" spans="1:25" ht="30" customHeight="1">
      <c r="A60" s="4744"/>
      <c r="B60" s="4759"/>
      <c r="C60" s="4759"/>
      <c r="D60" s="4760"/>
      <c r="E60" s="8475" t="s">
        <v>7129</v>
      </c>
      <c r="F60" s="8475"/>
      <c r="G60" s="8475"/>
      <c r="H60" s="8475"/>
      <c r="I60" s="8475"/>
      <c r="J60" s="8475"/>
      <c r="K60" s="8475"/>
      <c r="L60" s="8475"/>
      <c r="M60" s="8475"/>
      <c r="N60" s="8475"/>
      <c r="O60" s="4759"/>
      <c r="P60" s="4759"/>
      <c r="Q60" s="4759"/>
      <c r="R60" s="4759"/>
      <c r="S60" s="4759"/>
      <c r="T60" s="4759"/>
      <c r="U60" s="4759"/>
      <c r="V60" s="4759"/>
      <c r="W60" s="4759"/>
      <c r="X60" s="4746"/>
      <c r="Y60" s="4746"/>
    </row>
    <row r="61" spans="1:25" ht="30" customHeight="1">
      <c r="A61" s="4744"/>
      <c r="B61" s="4759"/>
      <c r="C61" s="4759"/>
      <c r="D61" s="4760"/>
      <c r="E61" s="4760"/>
      <c r="F61" s="4757"/>
      <c r="G61" s="4757"/>
      <c r="H61" s="4757"/>
      <c r="I61" s="4757"/>
      <c r="J61" s="4757"/>
      <c r="K61" s="4759"/>
      <c r="L61" s="4759"/>
      <c r="M61" s="4759"/>
      <c r="N61" s="4759"/>
      <c r="O61" s="4759"/>
      <c r="P61" s="4759"/>
      <c r="Q61" s="4759"/>
      <c r="R61" s="4759"/>
      <c r="S61" s="4759"/>
      <c r="T61" s="4759"/>
      <c r="U61" s="4759"/>
      <c r="V61" s="4759"/>
      <c r="W61" s="4759"/>
      <c r="X61" s="4746"/>
      <c r="Y61" s="4746"/>
    </row>
    <row r="62" spans="1:25" ht="30" customHeight="1">
      <c r="A62" s="4744"/>
      <c r="B62" s="4759"/>
      <c r="C62" s="4757" t="s">
        <v>7130</v>
      </c>
      <c r="D62" s="4757"/>
      <c r="E62" s="4757"/>
      <c r="F62" s="4757"/>
      <c r="G62" s="4757"/>
      <c r="H62" s="4757"/>
      <c r="I62" s="4757"/>
      <c r="J62" s="4757"/>
      <c r="K62" s="4759"/>
      <c r="L62" s="4759"/>
      <c r="M62" s="4759"/>
      <c r="N62" s="4759"/>
      <c r="O62" s="4759"/>
      <c r="P62" s="4759"/>
      <c r="Q62" s="4759"/>
      <c r="R62" s="4759"/>
      <c r="S62" s="4759"/>
      <c r="T62" s="4759"/>
      <c r="U62" s="4759"/>
      <c r="V62" s="4759"/>
      <c r="W62" s="4759"/>
      <c r="X62" s="4746"/>
      <c r="Y62" s="4746"/>
    </row>
    <row r="63" spans="1:25" ht="30" customHeight="1">
      <c r="A63" s="4744"/>
      <c r="B63" s="4759"/>
      <c r="C63" s="4759"/>
      <c r="D63" s="4760"/>
      <c r="E63" s="8475" t="s">
        <v>7131</v>
      </c>
      <c r="F63" s="8475"/>
      <c r="G63" s="8475"/>
      <c r="H63" s="8475"/>
      <c r="I63" s="8475"/>
      <c r="J63" s="8475"/>
      <c r="K63" s="8475"/>
      <c r="L63" s="8475"/>
      <c r="M63" s="8475"/>
      <c r="N63" s="8475"/>
      <c r="O63" s="4759"/>
      <c r="P63" s="4759"/>
      <c r="Q63" s="4759"/>
      <c r="R63" s="4759"/>
      <c r="S63" s="4759"/>
      <c r="T63" s="4759"/>
      <c r="U63" s="4759"/>
      <c r="V63" s="4759"/>
      <c r="W63" s="4759"/>
      <c r="X63" s="4746"/>
      <c r="Y63" s="4746"/>
    </row>
    <row r="64" spans="1:25" ht="30" customHeight="1">
      <c r="A64" s="4744"/>
      <c r="B64" s="4759"/>
      <c r="C64" s="4759"/>
      <c r="D64" s="4760"/>
      <c r="E64" s="4760"/>
      <c r="F64" s="4757"/>
      <c r="G64" s="4757"/>
      <c r="H64" s="4757"/>
      <c r="I64" s="4757"/>
      <c r="J64" s="4757"/>
      <c r="K64" s="4759"/>
      <c r="L64" s="4759"/>
      <c r="M64" s="4759"/>
      <c r="N64" s="4759"/>
      <c r="O64" s="4759"/>
      <c r="P64" s="4759"/>
      <c r="Q64" s="4759"/>
      <c r="R64" s="4759"/>
      <c r="S64" s="4759"/>
      <c r="T64" s="4759"/>
      <c r="U64" s="4759"/>
      <c r="V64" s="4759"/>
      <c r="W64" s="4759"/>
      <c r="X64" s="4746"/>
      <c r="Y64" s="4746"/>
    </row>
    <row r="65" spans="1:25" ht="30" customHeight="1">
      <c r="A65" s="4744"/>
      <c r="B65" s="4759"/>
      <c r="C65" s="4757" t="s">
        <v>7132</v>
      </c>
      <c r="D65" s="4757"/>
      <c r="E65" s="4757"/>
      <c r="F65" s="4757"/>
      <c r="G65" s="4757"/>
      <c r="H65" s="4757"/>
      <c r="I65" s="4757"/>
      <c r="J65" s="4757"/>
      <c r="K65" s="4759"/>
      <c r="L65" s="4759"/>
      <c r="M65" s="4759"/>
      <c r="N65" s="4759"/>
      <c r="O65" s="4759"/>
      <c r="P65" s="4759"/>
      <c r="Q65" s="4759"/>
      <c r="R65" s="4759"/>
      <c r="S65" s="4759"/>
      <c r="T65" s="4759"/>
      <c r="U65" s="4759"/>
      <c r="V65" s="4759"/>
      <c r="W65" s="4759"/>
      <c r="X65" s="4746"/>
      <c r="Y65" s="4746"/>
    </row>
    <row r="66" spans="1:25" ht="30" customHeight="1">
      <c r="A66" s="4744"/>
      <c r="B66" s="4759"/>
      <c r="C66" s="4759"/>
      <c r="D66" s="4760"/>
      <c r="E66" s="8475" t="s">
        <v>7133</v>
      </c>
      <c r="F66" s="8475"/>
      <c r="G66" s="8475"/>
      <c r="H66" s="8475"/>
      <c r="I66" s="8475"/>
      <c r="J66" s="8475"/>
      <c r="K66" s="8475"/>
      <c r="L66" s="8475"/>
      <c r="M66" s="8475"/>
      <c r="N66" s="8475"/>
      <c r="O66" s="4759"/>
      <c r="P66" s="4759"/>
      <c r="Q66" s="4759"/>
      <c r="R66" s="4759"/>
      <c r="S66" s="4759"/>
      <c r="T66" s="4759"/>
      <c r="U66" s="4759"/>
      <c r="V66" s="4759"/>
      <c r="W66" s="4759"/>
      <c r="X66" s="4746"/>
      <c r="Y66" s="4746"/>
    </row>
    <row r="67" spans="1:25" ht="30" customHeight="1">
      <c r="A67" s="4744"/>
      <c r="B67" s="4759"/>
      <c r="C67" s="4759"/>
      <c r="D67" s="4760"/>
      <c r="E67" s="4760"/>
      <c r="F67" s="4757"/>
      <c r="G67" s="4757"/>
      <c r="H67" s="4757"/>
      <c r="I67" s="4757"/>
      <c r="J67" s="4757"/>
      <c r="K67" s="4759"/>
      <c r="L67" s="4759"/>
      <c r="M67" s="4759"/>
      <c r="N67" s="4759"/>
      <c r="O67" s="4759"/>
      <c r="P67" s="4759"/>
      <c r="Q67" s="4759"/>
      <c r="R67" s="4759"/>
      <c r="S67" s="4759"/>
      <c r="T67" s="4759"/>
      <c r="U67" s="4759"/>
      <c r="V67" s="4759"/>
      <c r="W67" s="4759"/>
      <c r="X67" s="4746"/>
      <c r="Y67" s="4746"/>
    </row>
    <row r="68" spans="1:25" ht="30" customHeight="1">
      <c r="A68" s="4744"/>
      <c r="B68" s="4759"/>
      <c r="C68" s="4757" t="s">
        <v>7134</v>
      </c>
      <c r="D68" s="4757"/>
      <c r="E68" s="4757"/>
      <c r="F68" s="4757"/>
      <c r="G68" s="4757"/>
      <c r="H68" s="4757"/>
      <c r="I68" s="4757"/>
      <c r="J68" s="4757"/>
      <c r="K68" s="4759"/>
      <c r="L68" s="4759"/>
      <c r="M68" s="4759"/>
      <c r="N68" s="4759"/>
      <c r="O68" s="4759"/>
      <c r="P68" s="4759"/>
      <c r="Q68" s="4759"/>
      <c r="R68" s="4759"/>
      <c r="S68" s="4759"/>
      <c r="T68" s="4759"/>
      <c r="U68" s="4759"/>
      <c r="V68" s="4759"/>
      <c r="W68" s="4759"/>
      <c r="X68" s="4746"/>
      <c r="Y68" s="4746"/>
    </row>
    <row r="69" spans="1:25" ht="30" customHeight="1">
      <c r="A69" s="4744"/>
      <c r="B69" s="4759"/>
      <c r="C69" s="4759"/>
      <c r="D69" s="4760"/>
      <c r="E69" s="8475" t="s">
        <v>7135</v>
      </c>
      <c r="F69" s="8475"/>
      <c r="G69" s="8475"/>
      <c r="H69" s="8475"/>
      <c r="I69" s="8475"/>
      <c r="J69" s="8475"/>
      <c r="K69" s="8475"/>
      <c r="L69" s="8475"/>
      <c r="M69" s="8475"/>
      <c r="N69" s="8475"/>
      <c r="O69" s="4759"/>
      <c r="P69" s="4759"/>
      <c r="Q69" s="4759"/>
      <c r="R69" s="4759"/>
      <c r="S69" s="4759"/>
      <c r="T69" s="4759"/>
      <c r="U69" s="4759"/>
      <c r="V69" s="4759"/>
      <c r="W69" s="4759"/>
      <c r="X69" s="4746"/>
      <c r="Y69" s="4746"/>
    </row>
    <row r="70" spans="1:25" ht="30" customHeight="1">
      <c r="A70" s="4744"/>
      <c r="B70" s="4759"/>
      <c r="C70" s="4759"/>
      <c r="D70" s="4760"/>
      <c r="E70" s="4760"/>
      <c r="F70" s="4757"/>
      <c r="G70" s="4757"/>
      <c r="H70" s="4757"/>
      <c r="I70" s="4757"/>
      <c r="J70" s="4757"/>
      <c r="K70" s="4759"/>
      <c r="L70" s="4759"/>
      <c r="M70" s="4759"/>
      <c r="N70" s="4759"/>
      <c r="O70" s="4759"/>
      <c r="P70" s="4759"/>
      <c r="Q70" s="4759"/>
      <c r="R70" s="4759"/>
      <c r="S70" s="4759"/>
      <c r="T70" s="4759"/>
      <c r="U70" s="4759"/>
      <c r="V70" s="4759"/>
      <c r="W70" s="4759"/>
      <c r="X70" s="4746"/>
      <c r="Y70" s="4746"/>
    </row>
    <row r="71" spans="1:25" ht="30" customHeight="1">
      <c r="A71" s="4744"/>
      <c r="B71" s="4759"/>
      <c r="C71" s="4757" t="s">
        <v>7136</v>
      </c>
      <c r="D71" s="4757"/>
      <c r="E71" s="4757"/>
      <c r="F71" s="4757"/>
      <c r="G71" s="4757"/>
      <c r="H71" s="4757"/>
      <c r="I71" s="4757"/>
      <c r="J71" s="4757"/>
      <c r="K71" s="4759"/>
      <c r="L71" s="4759"/>
      <c r="M71" s="4759"/>
      <c r="N71" s="4759"/>
      <c r="O71" s="4759"/>
      <c r="P71" s="4759"/>
      <c r="Q71" s="4759"/>
      <c r="R71" s="4759"/>
      <c r="S71" s="4759"/>
      <c r="T71" s="4759"/>
      <c r="U71" s="4759"/>
      <c r="V71" s="4759"/>
      <c r="W71" s="4759"/>
      <c r="X71" s="4746"/>
      <c r="Y71" s="4746"/>
    </row>
    <row r="72" spans="1:25" ht="30" customHeight="1">
      <c r="A72" s="4744"/>
      <c r="B72" s="4759"/>
      <c r="C72" s="4759"/>
      <c r="D72" s="4760"/>
      <c r="E72" s="8475" t="s">
        <v>7137</v>
      </c>
      <c r="F72" s="8475"/>
      <c r="G72" s="8475"/>
      <c r="H72" s="8475"/>
      <c r="I72" s="8475"/>
      <c r="J72" s="8475"/>
      <c r="K72" s="8475"/>
      <c r="L72" s="8475"/>
      <c r="M72" s="8475"/>
      <c r="N72" s="8475"/>
      <c r="O72" s="4759"/>
      <c r="P72" s="4759"/>
      <c r="Q72" s="4759"/>
      <c r="R72" s="4759"/>
      <c r="S72" s="4759"/>
      <c r="T72" s="4759"/>
      <c r="U72" s="4759"/>
      <c r="V72" s="4759"/>
      <c r="W72" s="4759"/>
      <c r="X72" s="4746"/>
      <c r="Y72" s="4746"/>
    </row>
    <row r="73" spans="1:25" ht="30" customHeight="1">
      <c r="A73" s="4744"/>
      <c r="B73" s="4759"/>
      <c r="C73" s="4759"/>
      <c r="D73" s="4760"/>
      <c r="E73" s="4760"/>
      <c r="F73" s="4757"/>
      <c r="G73" s="4757"/>
      <c r="H73" s="4757"/>
      <c r="I73" s="4757"/>
      <c r="J73" s="4757"/>
      <c r="K73" s="4759"/>
      <c r="L73" s="4759"/>
      <c r="M73" s="4759"/>
      <c r="N73" s="4759"/>
      <c r="O73" s="4759"/>
      <c r="P73" s="4759"/>
      <c r="Q73" s="4759"/>
      <c r="R73" s="4759"/>
      <c r="S73" s="4759"/>
      <c r="T73" s="4759"/>
      <c r="U73" s="4759"/>
      <c r="V73" s="4759"/>
      <c r="W73" s="4759"/>
      <c r="X73" s="4746"/>
      <c r="Y73" s="4746"/>
    </row>
    <row r="74" spans="1:25" ht="30" customHeight="1">
      <c r="A74" s="4744"/>
      <c r="B74" s="4759"/>
      <c r="C74" s="4757" t="s">
        <v>7138</v>
      </c>
      <c r="D74" s="4757"/>
      <c r="E74" s="4757"/>
      <c r="F74" s="4757"/>
      <c r="G74" s="4757"/>
      <c r="H74" s="4757"/>
      <c r="I74" s="4757"/>
      <c r="J74" s="4757"/>
      <c r="K74" s="4759"/>
      <c r="L74" s="4759"/>
      <c r="M74" s="4759"/>
      <c r="N74" s="4759"/>
      <c r="O74" s="4759"/>
      <c r="P74" s="4759"/>
      <c r="Q74" s="4759"/>
      <c r="R74" s="4759"/>
      <c r="S74" s="4759"/>
      <c r="T74" s="4759"/>
      <c r="U74" s="4759"/>
      <c r="V74" s="4759"/>
      <c r="W74" s="4759"/>
      <c r="X74" s="4746"/>
      <c r="Y74" s="4746"/>
    </row>
    <row r="75" spans="1:25" ht="30" customHeight="1">
      <c r="A75" s="4744"/>
      <c r="B75" s="4759"/>
      <c r="C75" s="4759"/>
      <c r="D75" s="4760"/>
      <c r="E75" s="8475" t="s">
        <v>7139</v>
      </c>
      <c r="F75" s="8475"/>
      <c r="G75" s="8475"/>
      <c r="H75" s="8475"/>
      <c r="I75" s="8475"/>
      <c r="J75" s="8475"/>
      <c r="K75" s="8475"/>
      <c r="L75" s="8475"/>
      <c r="M75" s="8475"/>
      <c r="N75" s="8475"/>
      <c r="O75" s="4759"/>
      <c r="P75" s="4759"/>
      <c r="Q75" s="4759"/>
      <c r="R75" s="4759"/>
      <c r="S75" s="4759"/>
      <c r="T75" s="4759" t="s">
        <v>1</v>
      </c>
      <c r="U75" s="4759"/>
      <c r="V75" s="4759"/>
      <c r="W75" s="4759"/>
      <c r="X75" s="4746"/>
      <c r="Y75" s="4746"/>
    </row>
    <row r="76" spans="1:25" ht="30" customHeight="1">
      <c r="A76" s="4744"/>
      <c r="B76" s="4759"/>
      <c r="C76" s="4759"/>
      <c r="D76" s="4760"/>
      <c r="E76" s="4760"/>
      <c r="F76" s="4757"/>
      <c r="G76" s="4757"/>
      <c r="H76" s="4757"/>
      <c r="I76" s="4757"/>
      <c r="J76" s="4757"/>
      <c r="K76" s="4759"/>
      <c r="L76" s="4759"/>
      <c r="M76" s="4759"/>
      <c r="N76" s="4759"/>
      <c r="O76" s="4759"/>
      <c r="P76" s="4759"/>
      <c r="Q76" s="4759"/>
      <c r="R76" s="4759"/>
      <c r="S76" s="4759"/>
      <c r="T76" s="4759"/>
      <c r="U76" s="4759"/>
      <c r="V76" s="4759"/>
      <c r="W76" s="4759"/>
      <c r="X76" s="4746"/>
      <c r="Y76" s="4746"/>
    </row>
    <row r="77" spans="1:25" ht="30" customHeight="1">
      <c r="A77" s="4744"/>
      <c r="B77" s="4759"/>
      <c r="C77" s="4757" t="s">
        <v>7140</v>
      </c>
      <c r="D77" s="4757"/>
      <c r="E77" s="4757"/>
      <c r="F77" s="4757"/>
      <c r="G77" s="4757"/>
      <c r="H77" s="4757"/>
      <c r="I77" s="4757"/>
      <c r="J77" s="4757"/>
      <c r="K77" s="4759"/>
      <c r="L77" s="4759"/>
      <c r="M77" s="4759"/>
      <c r="N77" s="4759"/>
      <c r="O77" s="4759"/>
      <c r="P77" s="4759"/>
      <c r="Q77" s="4759"/>
      <c r="R77" s="4759"/>
      <c r="S77" s="4759"/>
      <c r="T77" s="4759"/>
      <c r="U77" s="4759"/>
      <c r="V77" s="4759"/>
      <c r="W77" s="4759"/>
      <c r="X77" s="4746"/>
      <c r="Y77" s="4746"/>
    </row>
    <row r="78" spans="1:25" ht="30" customHeight="1">
      <c r="A78" s="4744"/>
      <c r="B78" s="4759"/>
      <c r="C78" s="4759"/>
      <c r="D78" s="4760"/>
      <c r="E78" s="8475" t="s">
        <v>7141</v>
      </c>
      <c r="F78" s="8475"/>
      <c r="G78" s="8475"/>
      <c r="H78" s="8475"/>
      <c r="I78" s="8475"/>
      <c r="J78" s="8475"/>
      <c r="K78" s="8475"/>
      <c r="L78" s="8475"/>
      <c r="M78" s="8475"/>
      <c r="N78" s="8475"/>
      <c r="O78" s="4759"/>
      <c r="P78" s="4759"/>
      <c r="Q78" s="4759"/>
      <c r="R78" s="4759"/>
      <c r="S78" s="4759"/>
      <c r="T78" s="4759"/>
      <c r="U78" s="4759"/>
      <c r="V78" s="4759"/>
      <c r="W78" s="4759"/>
      <c r="X78" s="4746"/>
      <c r="Y78" s="4746"/>
    </row>
    <row r="79" spans="1:25" ht="30" customHeight="1">
      <c r="A79" s="4744"/>
      <c r="B79" s="4759"/>
      <c r="C79" s="4759"/>
      <c r="D79" s="4760"/>
      <c r="E79" s="4760"/>
      <c r="F79" s="4757"/>
      <c r="G79" s="4757"/>
      <c r="H79" s="4757"/>
      <c r="I79" s="4757"/>
      <c r="J79" s="4757"/>
      <c r="K79" s="4759"/>
      <c r="L79" s="4759"/>
      <c r="M79" s="4759"/>
      <c r="N79" s="4759"/>
      <c r="O79" s="4759"/>
      <c r="P79" s="4759"/>
      <c r="Q79" s="4759"/>
      <c r="R79" s="4759"/>
      <c r="S79" s="4759"/>
      <c r="T79" s="4759"/>
      <c r="U79" s="4759"/>
      <c r="V79" s="4759"/>
      <c r="W79" s="4759"/>
      <c r="X79" s="4746"/>
      <c r="Y79" s="4746"/>
    </row>
    <row r="80" spans="1:25" ht="30" customHeight="1">
      <c r="A80" s="4744"/>
      <c r="B80" s="4759"/>
      <c r="C80" s="4757" t="s">
        <v>7142</v>
      </c>
      <c r="D80" s="4757"/>
      <c r="E80" s="4757"/>
      <c r="F80" s="4757"/>
      <c r="G80" s="4757"/>
      <c r="H80" s="4757"/>
      <c r="I80" s="4757"/>
      <c r="J80" s="4757"/>
      <c r="K80" s="4759"/>
      <c r="L80" s="4759"/>
      <c r="M80" s="4759"/>
      <c r="N80" s="4759"/>
      <c r="O80" s="4759"/>
      <c r="P80" s="4759"/>
      <c r="Q80" s="4759"/>
      <c r="R80" s="4759"/>
      <c r="S80" s="4759"/>
      <c r="T80" s="4759"/>
      <c r="U80" s="4759"/>
      <c r="V80" s="4759"/>
      <c r="W80" s="4759"/>
      <c r="X80" s="4746"/>
      <c r="Y80" s="4746"/>
    </row>
    <row r="81" spans="1:25" ht="30" customHeight="1">
      <c r="A81" s="4744"/>
      <c r="B81" s="4759"/>
      <c r="C81" s="4759"/>
      <c r="D81" s="4760"/>
      <c r="E81" s="8475" t="s">
        <v>7143</v>
      </c>
      <c r="F81" s="8475"/>
      <c r="G81" s="8475"/>
      <c r="H81" s="8475"/>
      <c r="I81" s="8475"/>
      <c r="J81" s="8475"/>
      <c r="K81" s="8475"/>
      <c r="L81" s="8475"/>
      <c r="M81" s="8475"/>
      <c r="N81" s="8475"/>
      <c r="O81" s="4759"/>
      <c r="P81" s="4759"/>
      <c r="Q81" s="4759"/>
      <c r="R81" s="4759"/>
      <c r="S81" s="4759"/>
      <c r="T81" s="4759"/>
      <c r="U81" s="4759"/>
      <c r="V81" s="4759"/>
      <c r="W81" s="4759"/>
      <c r="X81" s="4746"/>
      <c r="Y81" s="4746"/>
    </row>
    <row r="82" spans="1:25" ht="30" customHeight="1">
      <c r="A82" s="4744"/>
      <c r="B82" s="4759"/>
      <c r="C82" s="4759"/>
      <c r="D82" s="4760"/>
      <c r="E82" s="4760"/>
      <c r="F82" s="4757"/>
      <c r="G82" s="4757"/>
      <c r="H82" s="4757"/>
      <c r="I82" s="4757"/>
      <c r="J82" s="4757"/>
      <c r="K82" s="4759"/>
      <c r="L82" s="4759"/>
      <c r="M82" s="4759"/>
      <c r="N82" s="4759"/>
      <c r="O82" s="4759"/>
      <c r="P82" s="4759"/>
      <c r="Q82" s="4759"/>
      <c r="R82" s="4759"/>
      <c r="S82" s="4759"/>
      <c r="T82" s="4759"/>
      <c r="U82" s="4759"/>
      <c r="V82" s="4759"/>
      <c r="W82" s="4759"/>
      <c r="X82" s="4746"/>
      <c r="Y82" s="4746"/>
    </row>
    <row r="83" spans="1:25" ht="30" customHeight="1">
      <c r="A83" s="4744"/>
      <c r="B83" s="4759"/>
      <c r="C83" s="4757" t="s">
        <v>7144</v>
      </c>
      <c r="D83" s="4757"/>
      <c r="E83" s="4757"/>
      <c r="F83" s="4757"/>
      <c r="G83" s="4757"/>
      <c r="H83" s="4757"/>
      <c r="I83" s="4757"/>
      <c r="J83" s="4757"/>
      <c r="K83" s="4759"/>
      <c r="L83" s="4759"/>
      <c r="M83" s="4759"/>
      <c r="N83" s="4759"/>
      <c r="O83" s="4759"/>
      <c r="P83" s="4759"/>
      <c r="Q83" s="4759"/>
      <c r="R83" s="4759"/>
      <c r="S83" s="4759"/>
      <c r="T83" s="4759"/>
      <c r="U83" s="4759"/>
      <c r="V83" s="4759"/>
      <c r="W83" s="4759"/>
      <c r="X83" s="4746"/>
      <c r="Y83" s="4746"/>
    </row>
    <row r="84" spans="1:25" ht="30" customHeight="1">
      <c r="A84" s="4744"/>
      <c r="B84" s="4759"/>
      <c r="C84" s="4759"/>
      <c r="D84" s="4760"/>
      <c r="E84" s="8475" t="s">
        <v>7145</v>
      </c>
      <c r="F84" s="8475"/>
      <c r="G84" s="8475"/>
      <c r="H84" s="8475"/>
      <c r="I84" s="8475"/>
      <c r="J84" s="8475"/>
      <c r="K84" s="8475"/>
      <c r="L84" s="8475"/>
      <c r="M84" s="8475"/>
      <c r="N84" s="8475"/>
      <c r="O84" s="4759"/>
      <c r="P84" s="4759"/>
      <c r="Q84" s="4759"/>
      <c r="R84" s="4759"/>
      <c r="S84" s="4759"/>
      <c r="T84" s="4759"/>
      <c r="U84" s="4759"/>
      <c r="V84" s="4759"/>
      <c r="W84" s="4759"/>
      <c r="X84" s="4746"/>
      <c r="Y84" s="4746"/>
    </row>
    <row r="85" spans="1:25" ht="30" customHeight="1">
      <c r="A85" s="4744"/>
      <c r="B85" s="4759"/>
      <c r="C85" s="4759"/>
      <c r="D85" s="4760"/>
      <c r="E85" s="4760"/>
      <c r="F85" s="4757"/>
      <c r="G85" s="4757"/>
      <c r="H85" s="4757"/>
      <c r="I85" s="4757"/>
      <c r="J85" s="4757"/>
      <c r="K85" s="4759"/>
      <c r="L85" s="4759"/>
      <c r="M85" s="4759"/>
      <c r="N85" s="4759"/>
      <c r="O85" s="4759"/>
      <c r="P85" s="4759"/>
      <c r="Q85" s="4759"/>
      <c r="R85" s="4759"/>
      <c r="S85" s="4759"/>
      <c r="T85" s="4759"/>
      <c r="U85" s="4759"/>
      <c r="V85" s="4759"/>
      <c r="W85" s="4759"/>
      <c r="X85" s="4746"/>
      <c r="Y85" s="4746"/>
    </row>
    <row r="86" spans="1:25" ht="30" customHeight="1">
      <c r="A86" s="4744"/>
      <c r="B86" s="4759"/>
      <c r="C86" s="4757" t="s">
        <v>7146</v>
      </c>
      <c r="D86" s="4757"/>
      <c r="E86" s="4757"/>
      <c r="F86" s="4757"/>
      <c r="G86" s="4757"/>
      <c r="H86" s="4757"/>
      <c r="I86" s="4757"/>
      <c r="J86" s="4757"/>
      <c r="K86" s="4759"/>
      <c r="L86" s="4759"/>
      <c r="M86" s="4759"/>
      <c r="N86" s="4759"/>
      <c r="O86" s="4759"/>
      <c r="P86" s="4759"/>
      <c r="Q86" s="4759"/>
      <c r="R86" s="4759"/>
      <c r="S86" s="4759"/>
      <c r="T86" s="4759"/>
      <c r="U86" s="4759"/>
      <c r="V86" s="4759"/>
      <c r="W86" s="4759"/>
      <c r="X86" s="4746"/>
      <c r="Y86" s="4746"/>
    </row>
    <row r="87" spans="1:25" ht="30" customHeight="1">
      <c r="A87" s="4744"/>
      <c r="B87" s="4759"/>
      <c r="C87" s="4759"/>
      <c r="D87" s="4760"/>
      <c r="E87" s="8475" t="s">
        <v>7147</v>
      </c>
      <c r="F87" s="8475"/>
      <c r="G87" s="8475"/>
      <c r="H87" s="8475"/>
      <c r="I87" s="8475"/>
      <c r="J87" s="8475"/>
      <c r="K87" s="8475"/>
      <c r="L87" s="8475"/>
      <c r="M87" s="8475"/>
      <c r="N87" s="8475"/>
      <c r="O87" s="4759"/>
      <c r="P87" s="4759"/>
      <c r="Q87" s="4759"/>
      <c r="R87" s="4759"/>
      <c r="S87" s="4759"/>
      <c r="T87" s="4759"/>
      <c r="U87" s="4759"/>
      <c r="V87" s="4759"/>
      <c r="W87" s="4759"/>
      <c r="X87" s="4746"/>
      <c r="Y87" s="4746"/>
    </row>
    <row r="88" spans="1:25" ht="30" customHeight="1">
      <c r="A88" s="4744"/>
      <c r="B88" s="4759"/>
      <c r="C88" s="4759"/>
      <c r="D88" s="4760"/>
      <c r="E88" s="4760"/>
      <c r="F88" s="4757"/>
      <c r="G88" s="4757"/>
      <c r="H88" s="4757"/>
      <c r="I88" s="4757"/>
      <c r="J88" s="4757"/>
      <c r="K88" s="4759"/>
      <c r="L88" s="4759"/>
      <c r="M88" s="4759"/>
      <c r="N88" s="4759"/>
      <c r="O88" s="4759"/>
      <c r="P88" s="4759"/>
      <c r="Q88" s="4759"/>
      <c r="R88" s="4759"/>
      <c r="S88" s="4759"/>
      <c r="T88" s="4759"/>
      <c r="U88" s="4759"/>
      <c r="V88" s="4759"/>
      <c r="W88" s="4759"/>
      <c r="X88" s="4746"/>
      <c r="Y88" s="4746"/>
    </row>
    <row r="89" spans="1:25" ht="30" customHeight="1">
      <c r="A89" s="4744"/>
      <c r="B89" s="4759"/>
      <c r="C89" s="4757" t="s">
        <v>7148</v>
      </c>
      <c r="D89" s="4757"/>
      <c r="E89" s="4757"/>
      <c r="F89" s="4757"/>
      <c r="G89" s="4757"/>
      <c r="H89" s="4757"/>
      <c r="I89" s="4757"/>
      <c r="J89" s="4757"/>
      <c r="K89" s="4759"/>
      <c r="L89" s="4759"/>
      <c r="M89" s="4759"/>
      <c r="N89" s="4759"/>
      <c r="O89" s="4759"/>
      <c r="P89" s="4759"/>
      <c r="Q89" s="4759"/>
      <c r="R89" s="4759"/>
      <c r="S89" s="4759"/>
      <c r="T89" s="4759"/>
      <c r="U89" s="4759"/>
      <c r="V89" s="4759"/>
      <c r="W89" s="4759"/>
      <c r="X89" s="4746"/>
      <c r="Y89" s="4746"/>
    </row>
    <row r="90" spans="1:25" ht="30" customHeight="1">
      <c r="A90" s="4744"/>
      <c r="B90" s="4759"/>
      <c r="C90" s="4759"/>
      <c r="D90" s="4760"/>
      <c r="E90" s="8475" t="s">
        <v>7149</v>
      </c>
      <c r="F90" s="8475"/>
      <c r="G90" s="8475"/>
      <c r="H90" s="8475"/>
      <c r="I90" s="8475"/>
      <c r="J90" s="8475"/>
      <c r="K90" s="8475"/>
      <c r="L90" s="8475"/>
      <c r="M90" s="8475"/>
      <c r="N90" s="8475"/>
      <c r="O90" s="4759"/>
      <c r="P90" s="4759"/>
      <c r="Q90" s="4759"/>
      <c r="R90" s="4759"/>
      <c r="S90" s="4759"/>
      <c r="T90" s="4759"/>
      <c r="U90" s="4759"/>
      <c r="V90" s="4759"/>
      <c r="W90" s="4759"/>
      <c r="X90" s="4746"/>
      <c r="Y90" s="4746"/>
    </row>
    <row r="91" spans="1:25" ht="30" customHeight="1">
      <c r="A91" s="4744"/>
      <c r="B91" s="4759"/>
      <c r="C91" s="4759"/>
      <c r="D91" s="4757"/>
      <c r="E91" s="4757"/>
      <c r="F91" s="4757"/>
      <c r="G91" s="4757"/>
      <c r="H91" s="4757"/>
      <c r="I91" s="4757"/>
      <c r="J91" s="4757"/>
      <c r="K91" s="4759"/>
      <c r="L91" s="4759"/>
      <c r="M91" s="4759"/>
      <c r="N91" s="4759"/>
      <c r="O91" s="4759"/>
      <c r="P91" s="4759"/>
      <c r="Q91" s="4759"/>
      <c r="R91" s="4759"/>
      <c r="S91" s="4759"/>
      <c r="T91" s="4759"/>
      <c r="U91" s="4759"/>
      <c r="V91" s="4759"/>
      <c r="W91" s="4759"/>
      <c r="X91" s="4746"/>
      <c r="Y91" s="4746"/>
    </row>
    <row r="92" spans="1:25" ht="30" customHeight="1">
      <c r="A92" s="4744"/>
      <c r="B92" s="4759"/>
      <c r="C92" s="4757" t="s">
        <v>7150</v>
      </c>
      <c r="D92" s="4757"/>
      <c r="E92" s="4757"/>
      <c r="F92" s="4757"/>
      <c r="G92" s="4757"/>
      <c r="H92" s="4757"/>
      <c r="I92" s="4757"/>
      <c r="J92" s="4757"/>
      <c r="K92" s="4759"/>
      <c r="L92" s="4759"/>
      <c r="M92" s="4759"/>
      <c r="N92" s="4759"/>
      <c r="O92" s="4759"/>
      <c r="P92" s="4759"/>
      <c r="Q92" s="4759"/>
      <c r="R92" s="4759"/>
      <c r="S92" s="4759"/>
      <c r="T92" s="4759"/>
      <c r="U92" s="4759"/>
      <c r="V92" s="4759"/>
      <c r="W92" s="4759"/>
      <c r="X92" s="4746"/>
      <c r="Y92" s="4746"/>
    </row>
    <row r="93" spans="1:25" ht="30" customHeight="1">
      <c r="A93" s="4744"/>
      <c r="B93" s="4759"/>
      <c r="C93" s="4759"/>
      <c r="D93" s="4760"/>
      <c r="E93" s="8475" t="s">
        <v>7151</v>
      </c>
      <c r="F93" s="8475"/>
      <c r="G93" s="8475"/>
      <c r="H93" s="8475"/>
      <c r="I93" s="8475"/>
      <c r="J93" s="8475"/>
      <c r="K93" s="8475"/>
      <c r="L93" s="8475"/>
      <c r="M93" s="8475"/>
      <c r="N93" s="8475"/>
      <c r="O93" s="4759"/>
      <c r="P93" s="4759"/>
      <c r="Q93" s="4759"/>
      <c r="R93" s="4759"/>
      <c r="S93" s="4759"/>
      <c r="T93" s="4759"/>
      <c r="U93" s="4759"/>
      <c r="V93" s="4759"/>
      <c r="W93" s="4759"/>
      <c r="X93" s="4746"/>
      <c r="Y93" s="4746"/>
    </row>
    <row r="94" spans="1:25" ht="30" customHeight="1">
      <c r="A94" s="4744"/>
      <c r="B94" s="4759"/>
      <c r="C94" s="4759"/>
      <c r="D94" s="4760"/>
      <c r="E94" s="4760"/>
      <c r="F94" s="4757"/>
      <c r="G94" s="4757"/>
      <c r="H94" s="4757"/>
      <c r="I94" s="4757"/>
      <c r="J94" s="4757"/>
      <c r="K94" s="4759"/>
      <c r="L94" s="4759"/>
      <c r="M94" s="4759"/>
      <c r="N94" s="4759"/>
      <c r="O94" s="4759"/>
      <c r="P94" s="4759"/>
      <c r="Q94" s="4759"/>
      <c r="R94" s="4759"/>
      <c r="S94" s="4759"/>
      <c r="T94" s="4759"/>
      <c r="U94" s="4759"/>
      <c r="V94" s="4759"/>
      <c r="W94" s="4759"/>
      <c r="X94" s="4746"/>
      <c r="Y94" s="4746"/>
    </row>
    <row r="95" spans="1:25" ht="30" customHeight="1">
      <c r="A95" s="4744"/>
      <c r="B95" s="4759"/>
      <c r="C95" s="4757" t="s">
        <v>7152</v>
      </c>
      <c r="D95" s="4757"/>
      <c r="E95" s="4757"/>
      <c r="F95" s="4757"/>
      <c r="G95" s="4757"/>
      <c r="H95" s="4757"/>
      <c r="I95" s="4757"/>
      <c r="J95" s="4757"/>
      <c r="K95" s="4759"/>
      <c r="L95" s="4759"/>
      <c r="M95" s="4759"/>
      <c r="N95" s="4759"/>
      <c r="O95" s="4759"/>
      <c r="P95" s="4759"/>
      <c r="Q95" s="4759"/>
      <c r="R95" s="4759"/>
      <c r="S95" s="4759"/>
      <c r="T95" s="4759"/>
      <c r="U95" s="4759"/>
      <c r="V95" s="4759"/>
      <c r="W95" s="4759"/>
      <c r="X95" s="4746"/>
      <c r="Y95" s="4746"/>
    </row>
    <row r="96" spans="1:25" ht="30" customHeight="1">
      <c r="A96" s="4744"/>
      <c r="B96" s="4759"/>
      <c r="C96" s="4759"/>
      <c r="D96" s="4760"/>
      <c r="E96" s="8475" t="s">
        <v>7153</v>
      </c>
      <c r="F96" s="8475"/>
      <c r="G96" s="8475"/>
      <c r="H96" s="8475"/>
      <c r="I96" s="8475"/>
      <c r="J96" s="8475"/>
      <c r="K96" s="8475"/>
      <c r="L96" s="8475"/>
      <c r="M96" s="8475"/>
      <c r="N96" s="8475"/>
      <c r="O96" s="4759"/>
      <c r="P96" s="4759"/>
      <c r="Q96" s="4759"/>
      <c r="R96" s="4759"/>
      <c r="S96" s="4759"/>
      <c r="T96" s="4759" t="s">
        <v>1</v>
      </c>
      <c r="U96" s="4759"/>
      <c r="V96" s="4759"/>
      <c r="W96" s="4759"/>
      <c r="X96" s="4746"/>
      <c r="Y96" s="4746"/>
    </row>
    <row r="97" spans="1:38" ht="30" customHeight="1">
      <c r="A97" s="4744"/>
      <c r="B97" s="4759"/>
      <c r="C97" s="4759"/>
      <c r="D97" s="4757"/>
      <c r="E97" s="4757"/>
      <c r="F97" s="4757"/>
      <c r="G97" s="4757"/>
      <c r="H97" s="4757"/>
      <c r="I97" s="4757"/>
      <c r="J97" s="4757"/>
      <c r="K97" s="4759"/>
      <c r="L97" s="4759"/>
      <c r="M97" s="4759"/>
      <c r="N97" s="4759"/>
      <c r="O97" s="4759"/>
      <c r="P97" s="4759"/>
      <c r="Q97" s="4759"/>
      <c r="R97" s="4759"/>
      <c r="S97" s="4759"/>
      <c r="T97" s="4759"/>
      <c r="U97" s="4759"/>
      <c r="V97" s="4759"/>
      <c r="W97" s="4759"/>
      <c r="X97" s="4746"/>
      <c r="Y97" s="4746"/>
    </row>
    <row r="98" spans="1:38" s="4766" customFormat="1" ht="40.5" customHeight="1">
      <c r="A98" s="4744"/>
      <c r="B98" s="4764" t="s">
        <v>7154</v>
      </c>
      <c r="C98" s="4765"/>
      <c r="D98" s="4765"/>
      <c r="E98" s="4758"/>
      <c r="F98" s="4758"/>
      <c r="G98" s="4757"/>
      <c r="H98" s="4757"/>
      <c r="I98" s="4757"/>
      <c r="J98" s="4757"/>
      <c r="K98" s="4757"/>
      <c r="L98" s="4757"/>
      <c r="M98" s="4757"/>
      <c r="N98" s="4757"/>
      <c r="O98" s="4758"/>
      <c r="P98" s="4757"/>
      <c r="Q98" s="4757"/>
      <c r="R98" s="4757"/>
      <c r="S98" s="4759"/>
      <c r="T98" s="4759"/>
      <c r="U98" s="4759"/>
      <c r="V98" s="4759"/>
      <c r="W98" s="4759"/>
      <c r="X98" s="4744"/>
      <c r="Y98" s="4746"/>
      <c r="Z98" s="632"/>
      <c r="AA98" s="632"/>
      <c r="AB98" s="632"/>
      <c r="AC98" s="632"/>
      <c r="AD98" s="632"/>
      <c r="AE98" s="632"/>
      <c r="AF98" s="632"/>
      <c r="AG98" s="632"/>
      <c r="AH98" s="632"/>
      <c r="AI98" s="632"/>
      <c r="AJ98" s="632"/>
      <c r="AK98" s="632"/>
      <c r="AL98" s="632"/>
    </row>
    <row r="99" spans="1:38" s="4766" customFormat="1" ht="40.5" customHeight="1">
      <c r="A99" s="4744"/>
      <c r="B99" s="4767"/>
      <c r="C99" s="4768" t="s">
        <v>7155</v>
      </c>
      <c r="D99" s="4758"/>
      <c r="E99" s="4758"/>
      <c r="F99" s="4758"/>
      <c r="G99" s="4758"/>
      <c r="H99" s="4758"/>
      <c r="I99" s="4758"/>
      <c r="J99" s="4758"/>
      <c r="K99" s="4758"/>
      <c r="L99" s="4758"/>
      <c r="M99" s="4758"/>
      <c r="N99" s="4758"/>
      <c r="O99" s="4758"/>
      <c r="P99" s="4758"/>
      <c r="Q99" s="4758"/>
      <c r="R99" s="4759"/>
      <c r="S99" s="4759"/>
      <c r="T99" s="4759"/>
      <c r="U99" s="4759"/>
      <c r="V99" s="4759"/>
      <c r="W99" s="4759"/>
      <c r="X99" s="4744"/>
      <c r="Y99" s="4746"/>
      <c r="Z99" s="632"/>
      <c r="AA99" s="632"/>
      <c r="AB99" s="632"/>
      <c r="AC99" s="632"/>
      <c r="AD99" s="632"/>
      <c r="AE99" s="632"/>
      <c r="AF99" s="632"/>
      <c r="AG99" s="632"/>
      <c r="AH99" s="632"/>
      <c r="AI99" s="632"/>
      <c r="AJ99" s="632"/>
      <c r="AK99" s="632"/>
      <c r="AL99" s="632"/>
    </row>
    <row r="100" spans="1:38" s="4766" customFormat="1" ht="40.5" customHeight="1">
      <c r="A100" s="4744"/>
      <c r="B100" s="4767"/>
      <c r="C100" s="4757" t="s">
        <v>7156</v>
      </c>
      <c r="D100" s="4758"/>
      <c r="E100" s="4758"/>
      <c r="F100" s="4758"/>
      <c r="G100" s="4758"/>
      <c r="H100" s="4758"/>
      <c r="I100" s="4758"/>
      <c r="J100" s="4758"/>
      <c r="K100" s="4769" t="s">
        <v>7157</v>
      </c>
      <c r="L100" s="4758"/>
      <c r="M100" s="4758"/>
      <c r="N100" s="4758"/>
      <c r="O100" s="4758"/>
      <c r="P100" s="4758"/>
      <c r="Q100" s="4758"/>
      <c r="R100" s="4759"/>
      <c r="S100" s="4759"/>
      <c r="T100" s="5495" t="s">
        <v>1</v>
      </c>
      <c r="U100" s="4759"/>
      <c r="V100" s="4759"/>
      <c r="W100" s="4759"/>
      <c r="X100" s="4744"/>
      <c r="Y100" s="4746"/>
      <c r="Z100" s="632"/>
      <c r="AA100" s="632"/>
      <c r="AB100" s="632"/>
      <c r="AC100" s="632"/>
      <c r="AD100" s="632"/>
      <c r="AE100" s="632"/>
      <c r="AF100" s="632"/>
      <c r="AG100" s="632"/>
      <c r="AH100" s="632"/>
      <c r="AI100" s="632"/>
      <c r="AJ100" s="632"/>
      <c r="AK100" s="632"/>
      <c r="AL100" s="632"/>
    </row>
    <row r="101" spans="1:38" s="4766" customFormat="1" ht="40.5" customHeight="1">
      <c r="A101" s="4744"/>
      <c r="B101" s="4767"/>
      <c r="C101" s="4757" t="s">
        <v>7158</v>
      </c>
      <c r="D101" s="4758"/>
      <c r="E101" s="4758"/>
      <c r="F101" s="4758"/>
      <c r="G101" s="4758"/>
      <c r="H101" s="4758"/>
      <c r="I101" s="4758"/>
      <c r="J101" s="4758"/>
      <c r="K101" s="4769" t="s">
        <v>7159</v>
      </c>
      <c r="L101" s="4758"/>
      <c r="M101" s="4758"/>
      <c r="N101" s="4758"/>
      <c r="O101" s="4758"/>
      <c r="P101" s="4758"/>
      <c r="Q101" s="4758"/>
      <c r="R101" s="4759"/>
      <c r="S101" s="4759"/>
      <c r="T101" s="5495" t="s">
        <v>1</v>
      </c>
      <c r="U101" s="4759"/>
      <c r="V101" s="4759"/>
      <c r="W101" s="4759"/>
      <c r="X101" s="4744"/>
      <c r="Y101" s="4746"/>
      <c r="Z101" s="632"/>
      <c r="AA101" s="632"/>
      <c r="AB101" s="632"/>
      <c r="AC101" s="632"/>
      <c r="AD101" s="632"/>
      <c r="AE101" s="632"/>
      <c r="AF101" s="632"/>
      <c r="AG101" s="632"/>
      <c r="AH101" s="632"/>
      <c r="AI101" s="632"/>
      <c r="AJ101" s="632"/>
      <c r="AK101" s="632"/>
      <c r="AL101" s="632"/>
    </row>
    <row r="102" spans="1:38" s="4766" customFormat="1" ht="40.5" customHeight="1">
      <c r="A102" s="4744"/>
      <c r="B102" s="4767"/>
      <c r="C102" s="4757"/>
      <c r="D102" s="4758"/>
      <c r="E102" s="4758"/>
      <c r="F102" s="4758"/>
      <c r="G102" s="4758"/>
      <c r="H102" s="4758"/>
      <c r="I102" s="4758"/>
      <c r="J102" s="4758"/>
      <c r="K102" s="4769" t="s">
        <v>7160</v>
      </c>
      <c r="L102" s="4758"/>
      <c r="M102" s="4758"/>
      <c r="N102" s="4758"/>
      <c r="O102" s="4758"/>
      <c r="P102" s="4758"/>
      <c r="Q102" s="4758"/>
      <c r="R102" s="4759"/>
      <c r="S102" s="4759"/>
      <c r="T102" s="5495" t="s">
        <v>1</v>
      </c>
      <c r="U102" s="4759"/>
      <c r="V102" s="4759"/>
      <c r="W102" s="4759"/>
      <c r="X102" s="4744"/>
      <c r="Y102" s="4746"/>
      <c r="Z102" s="632"/>
      <c r="AA102" s="632"/>
      <c r="AB102" s="632"/>
      <c r="AC102" s="632"/>
      <c r="AD102" s="632"/>
      <c r="AE102" s="632"/>
      <c r="AF102" s="632"/>
      <c r="AG102" s="632"/>
      <c r="AH102" s="632"/>
      <c r="AI102" s="632"/>
      <c r="AJ102" s="632"/>
      <c r="AK102" s="632"/>
      <c r="AL102" s="632"/>
    </row>
    <row r="103" spans="1:38" s="4766" customFormat="1" ht="40.5" customHeight="1">
      <c r="A103" s="4744"/>
      <c r="B103" s="4767"/>
      <c r="C103" s="4757"/>
      <c r="D103" s="4758"/>
      <c r="E103" s="4758"/>
      <c r="F103" s="4758"/>
      <c r="G103" s="4758"/>
      <c r="H103" s="4758"/>
      <c r="I103" s="4758"/>
      <c r="J103" s="4758"/>
      <c r="K103" s="4769"/>
      <c r="L103" s="4758"/>
      <c r="M103" s="4758"/>
      <c r="N103" s="4758"/>
      <c r="O103" s="4758"/>
      <c r="P103" s="4758"/>
      <c r="Q103" s="4758"/>
      <c r="R103" s="4759"/>
      <c r="S103" s="4759"/>
      <c r="T103" s="4759"/>
      <c r="U103" s="4759"/>
      <c r="V103" s="4759"/>
      <c r="W103" s="4759"/>
      <c r="X103" s="4744"/>
      <c r="Y103" s="4746"/>
      <c r="Z103" s="632"/>
      <c r="AA103" s="632"/>
      <c r="AB103" s="632"/>
      <c r="AC103" s="632"/>
      <c r="AD103" s="632"/>
      <c r="AE103" s="632"/>
      <c r="AF103" s="632"/>
      <c r="AG103" s="632"/>
      <c r="AH103" s="632"/>
      <c r="AI103" s="632"/>
      <c r="AJ103" s="632"/>
      <c r="AK103" s="632"/>
      <c r="AL103" s="632"/>
    </row>
    <row r="104" spans="1:38" s="4766" customFormat="1" ht="40.5" customHeight="1">
      <c r="A104" s="4744"/>
      <c r="B104" s="4767"/>
      <c r="C104" s="4770" t="s">
        <v>7161</v>
      </c>
      <c r="D104" s="4758"/>
      <c r="E104" s="4758"/>
      <c r="F104" s="4758"/>
      <c r="G104" s="4758"/>
      <c r="H104" s="4758"/>
      <c r="I104" s="4758"/>
      <c r="J104" s="4758"/>
      <c r="K104" s="4769"/>
      <c r="L104" s="4758"/>
      <c r="M104" s="4758"/>
      <c r="N104" s="4758"/>
      <c r="O104" s="4758"/>
      <c r="P104" s="4758"/>
      <c r="Q104" s="4758"/>
      <c r="R104" s="4759"/>
      <c r="S104" s="4759"/>
      <c r="T104" s="4759"/>
      <c r="U104" s="4759"/>
      <c r="V104" s="4759"/>
      <c r="W104" s="4759"/>
      <c r="X104" s="4744"/>
      <c r="Y104" s="4746"/>
      <c r="Z104" s="632"/>
      <c r="AA104" s="632"/>
      <c r="AB104" s="632"/>
      <c r="AC104" s="632"/>
      <c r="AD104" s="632"/>
      <c r="AE104" s="632"/>
      <c r="AF104" s="632"/>
      <c r="AG104" s="632"/>
      <c r="AH104" s="632"/>
      <c r="AI104" s="632"/>
      <c r="AJ104" s="632"/>
      <c r="AK104" s="632"/>
      <c r="AL104" s="632"/>
    </row>
    <row r="105" spans="1:38" s="4766" customFormat="1" ht="40.5" customHeight="1">
      <c r="A105" s="4744"/>
      <c r="B105" s="4767"/>
      <c r="C105" s="4771" t="s">
        <v>627</v>
      </c>
      <c r="D105" s="4772" t="s">
        <v>7162</v>
      </c>
      <c r="E105" s="4758"/>
      <c r="F105" s="4758"/>
      <c r="G105" s="4758"/>
      <c r="H105" s="4758"/>
      <c r="I105" s="4758"/>
      <c r="J105" s="4758"/>
      <c r="K105" s="4769"/>
      <c r="L105" s="4758"/>
      <c r="M105" s="4758"/>
      <c r="N105" s="4758"/>
      <c r="O105" s="4758"/>
      <c r="P105" s="4758"/>
      <c r="Q105" s="4758"/>
      <c r="R105" s="4759"/>
      <c r="S105" s="4759"/>
      <c r="T105" s="4759"/>
      <c r="U105" s="4759"/>
      <c r="V105" s="4759"/>
      <c r="W105" s="4759"/>
      <c r="X105" s="4744"/>
      <c r="Y105" s="4746"/>
      <c r="Z105" s="632"/>
      <c r="AA105" s="632"/>
      <c r="AB105" s="632"/>
      <c r="AC105" s="632"/>
      <c r="AD105" s="632"/>
      <c r="AE105" s="632"/>
      <c r="AF105" s="632"/>
      <c r="AG105" s="632"/>
      <c r="AH105" s="632"/>
      <c r="AI105" s="632"/>
      <c r="AJ105" s="632"/>
      <c r="AK105" s="632"/>
      <c r="AL105" s="632"/>
    </row>
    <row r="106" spans="1:38" s="4766" customFormat="1" ht="40.5" customHeight="1">
      <c r="A106" s="4744"/>
      <c r="B106" s="4757"/>
      <c r="C106" s="4770" t="s">
        <v>7163</v>
      </c>
      <c r="D106" s="4758"/>
      <c r="E106" s="4758"/>
      <c r="F106" s="4758"/>
      <c r="G106" s="4757"/>
      <c r="H106" s="4757"/>
      <c r="I106" s="4757"/>
      <c r="J106" s="4757"/>
      <c r="K106" s="4757"/>
      <c r="L106" s="4757"/>
      <c r="M106" s="4757"/>
      <c r="N106" s="4757"/>
      <c r="O106" s="4758"/>
      <c r="P106" s="4757"/>
      <c r="Q106" s="4757"/>
      <c r="R106" s="4757"/>
      <c r="S106" s="4759"/>
      <c r="T106" s="4759"/>
      <c r="U106" s="4759"/>
      <c r="V106" s="4759"/>
      <c r="W106" s="4759"/>
      <c r="X106" s="4744"/>
      <c r="Y106" s="4746"/>
      <c r="Z106" s="632"/>
      <c r="AA106" s="632"/>
      <c r="AB106" s="632"/>
      <c r="AC106" s="632"/>
      <c r="AD106" s="632"/>
      <c r="AE106" s="632"/>
      <c r="AF106" s="632"/>
      <c r="AG106" s="632"/>
      <c r="AH106" s="632"/>
      <c r="AI106" s="632"/>
      <c r="AJ106" s="632"/>
      <c r="AK106" s="632"/>
      <c r="AL106" s="632"/>
    </row>
    <row r="107" spans="1:38" s="4766" customFormat="1" ht="40.5" customHeight="1">
      <c r="A107" s="4744"/>
      <c r="B107" s="4757"/>
      <c r="C107" s="4771" t="s">
        <v>627</v>
      </c>
      <c r="D107" s="4772" t="s">
        <v>7164</v>
      </c>
      <c r="E107" s="4758"/>
      <c r="F107" s="4758"/>
      <c r="G107" s="4757"/>
      <c r="H107" s="4757"/>
      <c r="I107" s="4757"/>
      <c r="J107" s="4757"/>
      <c r="K107" s="4757"/>
      <c r="L107" s="4757"/>
      <c r="M107" s="4757"/>
      <c r="N107" s="4757"/>
      <c r="O107" s="4758"/>
      <c r="P107" s="4757"/>
      <c r="Q107" s="4757"/>
      <c r="R107" s="4757"/>
      <c r="S107" s="4759"/>
      <c r="T107" s="4759"/>
      <c r="U107" s="4759"/>
      <c r="V107" s="4759"/>
      <c r="W107" s="4759"/>
      <c r="X107" s="4744"/>
      <c r="Y107" s="4746"/>
      <c r="Z107" s="632"/>
      <c r="AA107" s="632"/>
      <c r="AB107" s="632"/>
      <c r="AC107" s="632"/>
      <c r="AD107" s="632"/>
      <c r="AE107" s="632"/>
      <c r="AF107" s="632"/>
      <c r="AG107" s="632"/>
      <c r="AH107" s="632"/>
      <c r="AI107" s="632"/>
      <c r="AJ107" s="632"/>
      <c r="AK107" s="632"/>
      <c r="AL107" s="632"/>
    </row>
    <row r="108" spans="1:38" s="4766" customFormat="1" ht="40.5" customHeight="1">
      <c r="A108" s="4744"/>
      <c r="B108" s="4757"/>
      <c r="C108" s="4770" t="s">
        <v>7165</v>
      </c>
      <c r="D108" s="4758"/>
      <c r="E108" s="4758"/>
      <c r="F108" s="4758"/>
      <c r="G108" s="4757"/>
      <c r="H108" s="4757"/>
      <c r="I108" s="4757"/>
      <c r="J108" s="4757"/>
      <c r="K108" s="4757"/>
      <c r="L108" s="4757"/>
      <c r="M108" s="4757"/>
      <c r="N108" s="4757"/>
      <c r="O108" s="4758"/>
      <c r="P108" s="4757"/>
      <c r="Q108" s="4757"/>
      <c r="R108" s="4757"/>
      <c r="S108" s="4759"/>
      <c r="T108" s="4759"/>
      <c r="U108" s="4759"/>
      <c r="V108" s="4759"/>
      <c r="W108" s="4759"/>
      <c r="X108" s="4744"/>
      <c r="Y108" s="4746"/>
      <c r="Z108" s="632"/>
      <c r="AA108" s="632"/>
      <c r="AB108" s="632"/>
      <c r="AC108" s="632"/>
      <c r="AD108" s="632"/>
      <c r="AE108" s="632"/>
      <c r="AF108" s="632"/>
      <c r="AG108" s="632"/>
      <c r="AH108" s="632"/>
      <c r="AI108" s="632"/>
      <c r="AJ108" s="632"/>
      <c r="AK108" s="632"/>
      <c r="AL108" s="632"/>
    </row>
    <row r="109" spans="1:38" s="4766" customFormat="1" ht="40.5" customHeight="1">
      <c r="A109" s="4744"/>
      <c r="B109" s="4757"/>
      <c r="C109" s="4771" t="s">
        <v>627</v>
      </c>
      <c r="D109" s="4772" t="s">
        <v>7166</v>
      </c>
      <c r="E109" s="4758"/>
      <c r="F109" s="4758"/>
      <c r="G109" s="4757"/>
      <c r="H109" s="4757"/>
      <c r="I109" s="4757"/>
      <c r="J109" s="4757"/>
      <c r="K109" s="4773">
        <v>0.36272040302267006</v>
      </c>
      <c r="L109" s="4757" t="s">
        <v>1</v>
      </c>
      <c r="M109" s="4757"/>
      <c r="N109" s="4757"/>
      <c r="O109" s="4758"/>
      <c r="P109" s="4757"/>
      <c r="Q109" s="4757"/>
      <c r="R109" s="4757"/>
      <c r="S109" s="4759"/>
      <c r="T109" s="4759"/>
      <c r="U109" s="4759"/>
      <c r="V109" s="4759"/>
      <c r="W109" s="4759"/>
      <c r="X109" s="4744"/>
      <c r="Y109" s="4746"/>
      <c r="Z109" s="632"/>
      <c r="AA109" s="632"/>
      <c r="AB109" s="632"/>
      <c r="AC109" s="632"/>
      <c r="AD109" s="632"/>
      <c r="AE109" s="632"/>
      <c r="AF109" s="632"/>
      <c r="AG109" s="632"/>
      <c r="AH109" s="632"/>
      <c r="AI109" s="632"/>
      <c r="AJ109" s="632"/>
      <c r="AK109" s="632"/>
      <c r="AL109" s="632"/>
    </row>
    <row r="110" spans="1:38" s="4766" customFormat="1" ht="40.5" customHeight="1">
      <c r="A110" s="4744"/>
      <c r="B110" s="4757"/>
      <c r="C110" s="4771" t="s">
        <v>627</v>
      </c>
      <c r="D110" s="4772" t="s">
        <v>7167</v>
      </c>
      <c r="E110" s="4758"/>
      <c r="F110" s="4758"/>
      <c r="G110" s="4757"/>
      <c r="H110" s="4757"/>
      <c r="I110" s="4757"/>
      <c r="J110" s="4757"/>
      <c r="K110" s="4757"/>
      <c r="L110" s="4757"/>
      <c r="M110" s="4757"/>
      <c r="N110" s="4757"/>
      <c r="O110" s="4758"/>
      <c r="P110" s="4757"/>
      <c r="Q110" s="4757"/>
      <c r="R110" s="4757"/>
      <c r="S110" s="4759"/>
      <c r="T110" s="4759"/>
      <c r="U110" s="4759"/>
      <c r="V110" s="4759"/>
      <c r="W110" s="4759"/>
      <c r="X110" s="4744"/>
      <c r="Y110" s="4746"/>
      <c r="Z110" s="632"/>
      <c r="AA110" s="632"/>
      <c r="AB110" s="632"/>
      <c r="AC110" s="632"/>
      <c r="AD110" s="632"/>
      <c r="AE110" s="632"/>
      <c r="AF110" s="632"/>
      <c r="AG110" s="632"/>
      <c r="AH110" s="632"/>
      <c r="AI110" s="632"/>
      <c r="AJ110" s="632"/>
      <c r="AK110" s="632"/>
      <c r="AL110" s="632"/>
    </row>
    <row r="111" spans="1:38" s="4766" customFormat="1" ht="40.5" customHeight="1">
      <c r="A111" s="4744"/>
      <c r="B111" s="4757"/>
      <c r="C111" s="4774" t="s">
        <v>7168</v>
      </c>
      <c r="D111" s="4772"/>
      <c r="E111" s="4758"/>
      <c r="F111" s="4758"/>
      <c r="G111" s="4757"/>
      <c r="H111" s="4757"/>
      <c r="I111" s="4757"/>
      <c r="J111" s="4757"/>
      <c r="K111" s="4757"/>
      <c r="L111" s="4757"/>
      <c r="M111" s="4757"/>
      <c r="N111" s="4757"/>
      <c r="O111" s="4758"/>
      <c r="P111" s="4757"/>
      <c r="Q111" s="4757"/>
      <c r="R111" s="4757"/>
      <c r="S111" s="4759"/>
      <c r="T111" s="4759"/>
      <c r="U111" s="4759"/>
      <c r="V111" s="4759"/>
      <c r="W111" s="4759"/>
      <c r="X111" s="4744"/>
      <c r="Y111" s="4746"/>
      <c r="Z111" s="632"/>
      <c r="AA111" s="632"/>
      <c r="AB111" s="632"/>
      <c r="AC111" s="632"/>
      <c r="AD111" s="632"/>
      <c r="AE111" s="632"/>
      <c r="AF111" s="632"/>
      <c r="AG111" s="632"/>
      <c r="AH111" s="632"/>
      <c r="AI111" s="632"/>
      <c r="AJ111" s="632"/>
      <c r="AK111" s="632"/>
      <c r="AL111" s="632"/>
    </row>
    <row r="112" spans="1:38" s="4766" customFormat="1" ht="40.5" customHeight="1">
      <c r="A112" s="4744"/>
      <c r="B112" s="4757"/>
      <c r="C112" s="4771" t="s">
        <v>627</v>
      </c>
      <c r="D112" s="4772" t="s">
        <v>7169</v>
      </c>
      <c r="E112" s="4758"/>
      <c r="F112" s="4758"/>
      <c r="G112" s="4757"/>
      <c r="H112" s="4757"/>
      <c r="I112" s="4757"/>
      <c r="J112" s="4757"/>
      <c r="K112" s="4757"/>
      <c r="L112" s="4757"/>
      <c r="M112" s="4757"/>
      <c r="N112" s="4757"/>
      <c r="O112" s="4758"/>
      <c r="P112" s="4757"/>
      <c r="Q112" s="4757"/>
      <c r="R112" s="4757"/>
      <c r="S112" s="4759"/>
      <c r="T112" s="4759"/>
      <c r="U112" s="4759"/>
      <c r="V112" s="4759"/>
      <c r="W112" s="4759"/>
      <c r="X112" s="4744"/>
      <c r="Y112" s="4746"/>
      <c r="Z112" s="632"/>
      <c r="AA112" s="632"/>
      <c r="AB112" s="632"/>
      <c r="AC112" s="632"/>
      <c r="AD112" s="632"/>
      <c r="AE112" s="632"/>
      <c r="AF112" s="632"/>
      <c r="AG112" s="632"/>
      <c r="AH112" s="632"/>
      <c r="AI112" s="632"/>
      <c r="AJ112" s="632"/>
      <c r="AK112" s="632"/>
      <c r="AL112" s="632"/>
    </row>
    <row r="113" spans="1:38" s="4766" customFormat="1" ht="40.5" customHeight="1">
      <c r="A113" s="4744"/>
      <c r="B113" s="4757"/>
      <c r="C113" s="4770" t="s">
        <v>7170</v>
      </c>
      <c r="D113" s="4758"/>
      <c r="E113" s="4758"/>
      <c r="F113" s="4758"/>
      <c r="G113" s="4757"/>
      <c r="H113" s="4757"/>
      <c r="I113" s="4757"/>
      <c r="J113" s="4757"/>
      <c r="K113" s="4757"/>
      <c r="L113" s="4757"/>
      <c r="M113" s="4757"/>
      <c r="N113" s="4757"/>
      <c r="O113" s="4758"/>
      <c r="P113" s="4757"/>
      <c r="Q113" s="4757"/>
      <c r="R113" s="4757"/>
      <c r="S113" s="4759"/>
      <c r="T113" s="4759"/>
      <c r="U113" s="4759"/>
      <c r="V113" s="4759"/>
      <c r="W113" s="4759"/>
      <c r="X113" s="4744"/>
      <c r="Y113" s="4746"/>
      <c r="Z113" s="632"/>
      <c r="AA113" s="632"/>
      <c r="AB113" s="632"/>
      <c r="AC113" s="632"/>
      <c r="AD113" s="632"/>
      <c r="AE113" s="632"/>
      <c r="AF113" s="632"/>
      <c r="AG113" s="632"/>
      <c r="AH113" s="632"/>
      <c r="AI113" s="632"/>
      <c r="AJ113" s="632"/>
      <c r="AK113" s="632"/>
      <c r="AL113" s="632"/>
    </row>
    <row r="114" spans="1:38" s="4766" customFormat="1" ht="40.5" customHeight="1">
      <c r="A114" s="4744"/>
      <c r="B114" s="4757"/>
      <c r="C114" s="4771" t="s">
        <v>627</v>
      </c>
      <c r="D114" s="4772" t="s">
        <v>7171</v>
      </c>
      <c r="E114" s="4758"/>
      <c r="F114" s="4758"/>
      <c r="G114" s="4757"/>
      <c r="H114" s="4757"/>
      <c r="I114" s="4757"/>
      <c r="J114" s="4757"/>
      <c r="K114" s="4757"/>
      <c r="L114" s="4757" t="s">
        <v>1</v>
      </c>
      <c r="M114" s="4757"/>
      <c r="N114" s="4757"/>
      <c r="O114" s="4758"/>
      <c r="P114" s="4757"/>
      <c r="Q114" s="4757"/>
      <c r="R114" s="4757"/>
      <c r="S114" s="4759"/>
      <c r="T114" s="4759"/>
      <c r="U114" s="4759"/>
      <c r="V114" s="4759"/>
      <c r="W114" s="4759"/>
      <c r="X114" s="4744"/>
      <c r="Y114" s="4746"/>
      <c r="Z114" s="632"/>
      <c r="AA114" s="632"/>
      <c r="AB114" s="632"/>
      <c r="AC114" s="632"/>
      <c r="AD114" s="632"/>
      <c r="AE114" s="632"/>
      <c r="AF114" s="632"/>
      <c r="AG114" s="632"/>
      <c r="AH114" s="632"/>
      <c r="AI114" s="632"/>
      <c r="AJ114" s="632"/>
      <c r="AK114" s="632"/>
      <c r="AL114" s="632"/>
    </row>
    <row r="115" spans="1:38" s="4766" customFormat="1" ht="40.5" customHeight="1">
      <c r="A115" s="4744"/>
      <c r="B115" s="4757"/>
      <c r="C115" s="4770" t="s">
        <v>7172</v>
      </c>
      <c r="D115" s="4758"/>
      <c r="E115" s="4758"/>
      <c r="F115" s="4758"/>
      <c r="G115" s="4757"/>
      <c r="H115" s="4757"/>
      <c r="I115" s="4757"/>
      <c r="J115" s="4757"/>
      <c r="K115" s="4757"/>
      <c r="L115" s="4757"/>
      <c r="M115" s="4757"/>
      <c r="N115" s="4757"/>
      <c r="O115" s="4758"/>
      <c r="P115" s="4757"/>
      <c r="Q115" s="4757"/>
      <c r="R115" s="4757"/>
      <c r="S115" s="4759"/>
      <c r="T115" s="4759"/>
      <c r="U115" s="4759"/>
      <c r="V115" s="4759"/>
      <c r="W115" s="4759"/>
      <c r="X115" s="4744"/>
      <c r="Y115" s="4746"/>
      <c r="Z115" s="632"/>
      <c r="AA115" s="632"/>
      <c r="AB115" s="632"/>
      <c r="AC115" s="632"/>
      <c r="AD115" s="632"/>
      <c r="AE115" s="632"/>
      <c r="AF115" s="632"/>
      <c r="AG115" s="632"/>
      <c r="AH115" s="632"/>
      <c r="AI115" s="632"/>
      <c r="AJ115" s="632"/>
      <c r="AK115" s="632"/>
      <c r="AL115" s="632"/>
    </row>
    <row r="116" spans="1:38" s="4766" customFormat="1" ht="40.5" customHeight="1">
      <c r="A116" s="4744"/>
      <c r="B116" s="4757"/>
      <c r="C116" s="4771" t="s">
        <v>627</v>
      </c>
      <c r="D116" s="4772" t="s">
        <v>7173</v>
      </c>
      <c r="E116" s="4758"/>
      <c r="F116" s="4758"/>
      <c r="G116" s="4757"/>
      <c r="H116" s="4757"/>
      <c r="I116" s="4757"/>
      <c r="J116" s="4757"/>
      <c r="K116" s="4757"/>
      <c r="L116" s="4757"/>
      <c r="M116" s="4757"/>
      <c r="N116" s="4757"/>
      <c r="O116" s="4758"/>
      <c r="P116" s="4757"/>
      <c r="Q116" s="4757"/>
      <c r="R116" s="4757"/>
      <c r="S116" s="4759"/>
      <c r="T116" s="4759"/>
      <c r="U116" s="4759"/>
      <c r="V116" s="4759"/>
      <c r="W116" s="4759"/>
      <c r="X116" s="4744"/>
      <c r="Y116" s="4746"/>
      <c r="Z116" s="632"/>
      <c r="AA116" s="632"/>
      <c r="AB116" s="632"/>
      <c r="AC116" s="632"/>
      <c r="AD116" s="632"/>
      <c r="AE116" s="632"/>
      <c r="AF116" s="632"/>
      <c r="AG116" s="632"/>
      <c r="AH116" s="632"/>
      <c r="AI116" s="632"/>
      <c r="AJ116" s="632"/>
      <c r="AK116" s="632"/>
      <c r="AL116" s="632"/>
    </row>
    <row r="117" spans="1:38" s="4766" customFormat="1" ht="40.5" customHeight="1">
      <c r="A117" s="4744"/>
      <c r="B117" s="4757"/>
      <c r="C117" s="4770" t="s">
        <v>7174</v>
      </c>
      <c r="D117" s="4758"/>
      <c r="E117" s="4758"/>
      <c r="F117" s="4758"/>
      <c r="G117" s="4757"/>
      <c r="H117" s="4757"/>
      <c r="I117" s="4757"/>
      <c r="J117" s="4757"/>
      <c r="K117" s="4757"/>
      <c r="L117" s="4757"/>
      <c r="M117" s="4757"/>
      <c r="N117" s="4757"/>
      <c r="O117" s="4758"/>
      <c r="P117" s="4757"/>
      <c r="Q117" s="4757"/>
      <c r="R117" s="4757"/>
      <c r="S117" s="4759"/>
      <c r="T117" s="4759"/>
      <c r="U117" s="4759"/>
      <c r="V117" s="4759"/>
      <c r="W117" s="4759"/>
      <c r="X117" s="4744"/>
      <c r="Y117" s="4746"/>
      <c r="Z117" s="632"/>
      <c r="AA117" s="632"/>
      <c r="AB117" s="632"/>
      <c r="AC117" s="632"/>
      <c r="AD117" s="632"/>
      <c r="AE117" s="632"/>
      <c r="AF117" s="632"/>
      <c r="AG117" s="632"/>
      <c r="AH117" s="632"/>
      <c r="AI117" s="632"/>
      <c r="AJ117" s="632"/>
      <c r="AK117" s="632"/>
      <c r="AL117" s="632"/>
    </row>
    <row r="118" spans="1:38" s="4766" customFormat="1" ht="40.5" customHeight="1">
      <c r="A118" s="4744"/>
      <c r="B118" s="4757"/>
      <c r="C118" s="4771" t="s">
        <v>627</v>
      </c>
      <c r="D118" s="4772" t="s">
        <v>7175</v>
      </c>
      <c r="E118" s="4758"/>
      <c r="F118" s="4758"/>
      <c r="G118" s="4757"/>
      <c r="H118" s="4757"/>
      <c r="I118" s="4757"/>
      <c r="J118" s="4757"/>
      <c r="K118" s="4757"/>
      <c r="L118" s="4757" t="s">
        <v>1</v>
      </c>
      <c r="M118" s="4757"/>
      <c r="N118" s="4757"/>
      <c r="O118" s="4758"/>
      <c r="P118" s="4757"/>
      <c r="Q118" s="4757"/>
      <c r="R118" s="4757"/>
      <c r="S118" s="4759"/>
      <c r="T118" s="4759"/>
      <c r="U118" s="4759"/>
      <c r="V118" s="4759"/>
      <c r="W118" s="4759"/>
      <c r="X118" s="4744"/>
      <c r="Y118" s="4746"/>
      <c r="Z118" s="632"/>
      <c r="AA118" s="632"/>
      <c r="AB118" s="632"/>
      <c r="AC118" s="632"/>
      <c r="AD118" s="632"/>
      <c r="AE118" s="632"/>
      <c r="AF118" s="632"/>
      <c r="AG118" s="632"/>
      <c r="AH118" s="632"/>
      <c r="AI118" s="632"/>
      <c r="AJ118" s="632"/>
      <c r="AK118" s="632"/>
      <c r="AL118" s="632"/>
    </row>
    <row r="119" spans="1:38" s="4766" customFormat="1" ht="40.5" customHeight="1">
      <c r="A119" s="4744"/>
      <c r="B119" s="4757"/>
      <c r="C119" s="4775" t="s">
        <v>7176</v>
      </c>
      <c r="D119" s="4757"/>
      <c r="E119" s="4776"/>
      <c r="F119" s="4776"/>
      <c r="G119" s="4776"/>
      <c r="H119" s="4777"/>
      <c r="I119" s="4757"/>
      <c r="J119" s="4757"/>
      <c r="K119" s="4757"/>
      <c r="L119" s="4757"/>
      <c r="M119" s="4757"/>
      <c r="N119" s="4757"/>
      <c r="O119" s="4758"/>
      <c r="P119" s="4757"/>
      <c r="Q119" s="4757"/>
      <c r="R119" s="4757"/>
      <c r="S119" s="4759"/>
      <c r="T119" s="4759"/>
      <c r="U119" s="4759"/>
      <c r="V119" s="4759"/>
      <c r="W119" s="4759"/>
      <c r="X119" s="4744"/>
      <c r="Y119" s="4746"/>
      <c r="Z119" s="632"/>
      <c r="AA119" s="632"/>
      <c r="AB119" s="632"/>
      <c r="AC119" s="632"/>
      <c r="AD119" s="632"/>
      <c r="AE119" s="632"/>
      <c r="AF119" s="632"/>
      <c r="AG119" s="632"/>
      <c r="AH119" s="632"/>
      <c r="AI119" s="632"/>
      <c r="AJ119" s="632"/>
      <c r="AK119" s="632"/>
      <c r="AL119" s="632"/>
    </row>
    <row r="120" spans="1:38" s="4766" customFormat="1" ht="40.5" customHeight="1">
      <c r="A120" s="4744"/>
      <c r="B120" s="4757"/>
      <c r="C120" s="4778" t="s">
        <v>7177</v>
      </c>
      <c r="D120" s="4776"/>
      <c r="E120" s="4776"/>
      <c r="F120" s="4776"/>
      <c r="G120" s="4776"/>
      <c r="H120" s="4777"/>
      <c r="I120" s="4757"/>
      <c r="J120" s="4757"/>
      <c r="K120" s="4757"/>
      <c r="L120" s="4757"/>
      <c r="M120" s="4757"/>
      <c r="N120" s="4757"/>
      <c r="O120" s="4758"/>
      <c r="P120" s="4757"/>
      <c r="Q120" s="4757"/>
      <c r="R120" s="4757"/>
      <c r="S120" s="4759"/>
      <c r="T120" s="4759"/>
      <c r="U120" s="4759"/>
      <c r="V120" s="4759"/>
      <c r="W120" s="4759"/>
      <c r="X120" s="4744"/>
      <c r="Y120" s="4746"/>
      <c r="Z120" s="632"/>
      <c r="AA120" s="632"/>
      <c r="AB120" s="632"/>
      <c r="AC120" s="632"/>
      <c r="AD120" s="632"/>
      <c r="AE120" s="632"/>
      <c r="AF120" s="632"/>
      <c r="AG120" s="632"/>
      <c r="AH120" s="632"/>
      <c r="AI120" s="632"/>
      <c r="AJ120" s="632"/>
      <c r="AK120" s="632"/>
      <c r="AL120" s="632"/>
    </row>
    <row r="121" spans="1:38" s="4766" customFormat="1" ht="40.5" customHeight="1">
      <c r="A121" s="4744"/>
      <c r="B121" s="4757"/>
      <c r="C121" s="4771" t="s">
        <v>627</v>
      </c>
      <c r="D121" s="4779" t="s">
        <v>7178</v>
      </c>
      <c r="E121" s="4776"/>
      <c r="F121" s="4776"/>
      <c r="G121" s="4776"/>
      <c r="H121" s="4777"/>
      <c r="I121" s="4757"/>
      <c r="J121" s="4757"/>
      <c r="K121" s="4757"/>
      <c r="L121" s="4757"/>
      <c r="M121" s="4757"/>
      <c r="N121" s="4757"/>
      <c r="O121" s="4758"/>
      <c r="P121" s="4757"/>
      <c r="Q121" s="4757"/>
      <c r="R121" s="4757"/>
      <c r="S121" s="4759"/>
      <c r="T121" s="4759"/>
      <c r="U121" s="4759"/>
      <c r="V121" s="4759"/>
      <c r="W121" s="4759"/>
      <c r="X121" s="4744"/>
      <c r="Y121" s="4746"/>
      <c r="Z121" s="632"/>
      <c r="AA121" s="632"/>
      <c r="AB121" s="632"/>
      <c r="AC121" s="632"/>
      <c r="AD121" s="632"/>
      <c r="AE121" s="632"/>
      <c r="AF121" s="632"/>
      <c r="AG121" s="632"/>
      <c r="AH121" s="632"/>
      <c r="AI121" s="632"/>
      <c r="AJ121" s="632"/>
      <c r="AK121" s="632"/>
      <c r="AL121" s="632"/>
    </row>
    <row r="122" spans="1:38" s="4766" customFormat="1" ht="40.5" customHeight="1">
      <c r="A122" s="4744"/>
      <c r="B122" s="4757"/>
      <c r="C122" s="4771" t="s">
        <v>627</v>
      </c>
      <c r="D122" s="4779" t="s">
        <v>7179</v>
      </c>
      <c r="E122" s="4757"/>
      <c r="F122" s="4757"/>
      <c r="G122" s="4757"/>
      <c r="H122" s="4757"/>
      <c r="I122" s="4757"/>
      <c r="J122" s="4757"/>
      <c r="K122" s="4757"/>
      <c r="L122" s="4757" t="s">
        <v>1</v>
      </c>
      <c r="M122" s="4757"/>
      <c r="N122" s="4757"/>
      <c r="O122" s="4758"/>
      <c r="P122" s="4757"/>
      <c r="Q122" s="4757"/>
      <c r="R122" s="4757"/>
      <c r="S122" s="4759"/>
      <c r="T122" s="4759"/>
      <c r="U122" s="4759"/>
      <c r="V122" s="4759"/>
      <c r="W122" s="4759"/>
      <c r="X122" s="4744"/>
      <c r="Y122" s="4746"/>
      <c r="Z122" s="632"/>
      <c r="AA122" s="632"/>
      <c r="AB122" s="632"/>
      <c r="AC122" s="632"/>
      <c r="AD122" s="632"/>
      <c r="AE122" s="632"/>
      <c r="AF122" s="632"/>
      <c r="AG122" s="632"/>
      <c r="AH122" s="632"/>
      <c r="AI122" s="632"/>
      <c r="AJ122" s="632"/>
      <c r="AK122" s="632"/>
      <c r="AL122" s="632"/>
    </row>
    <row r="123" spans="1:38" s="4766" customFormat="1" ht="40.5" customHeight="1">
      <c r="A123" s="4744"/>
      <c r="B123" s="4757"/>
      <c r="C123" s="4778" t="s">
        <v>7180</v>
      </c>
      <c r="D123" s="4780"/>
      <c r="E123" s="4776"/>
      <c r="F123" s="4776"/>
      <c r="G123" s="4776"/>
      <c r="H123" s="4757"/>
      <c r="I123" s="4757"/>
      <c r="J123" s="4757"/>
      <c r="K123" s="4757"/>
      <c r="L123" s="4757"/>
      <c r="M123" s="4757"/>
      <c r="N123" s="4757"/>
      <c r="O123" s="4758"/>
      <c r="P123" s="4757"/>
      <c r="Q123" s="4757"/>
      <c r="R123" s="4757"/>
      <c r="S123" s="4759"/>
      <c r="T123" s="4759"/>
      <c r="U123" s="4759"/>
      <c r="V123" s="4759"/>
      <c r="W123" s="4759"/>
      <c r="X123" s="4744"/>
      <c r="Y123" s="4746"/>
      <c r="Z123" s="632"/>
      <c r="AA123" s="632"/>
      <c r="AB123" s="632"/>
      <c r="AC123" s="632"/>
      <c r="AD123" s="632"/>
      <c r="AE123" s="632"/>
      <c r="AF123" s="632"/>
      <c r="AG123" s="632"/>
      <c r="AH123" s="632"/>
      <c r="AI123" s="632"/>
      <c r="AJ123" s="632"/>
      <c r="AK123" s="632"/>
      <c r="AL123" s="632"/>
    </row>
    <row r="124" spans="1:38" s="4766" customFormat="1" ht="40.5" customHeight="1">
      <c r="A124" s="4744"/>
      <c r="B124" s="4757"/>
      <c r="C124" s="4771" t="s">
        <v>627</v>
      </c>
      <c r="D124" s="4779" t="s">
        <v>7181</v>
      </c>
      <c r="E124" s="4757"/>
      <c r="F124" s="4757"/>
      <c r="G124" s="4757"/>
      <c r="H124" s="4757"/>
      <c r="I124" s="4757"/>
      <c r="J124" s="4757"/>
      <c r="K124" s="4757"/>
      <c r="L124" s="4757"/>
      <c r="M124" s="4757"/>
      <c r="N124" s="4757"/>
      <c r="O124" s="4758"/>
      <c r="P124" s="4758"/>
      <c r="Q124" s="4758"/>
      <c r="R124" s="4758"/>
      <c r="S124" s="4758"/>
      <c r="T124" s="4758"/>
      <c r="U124" s="4758"/>
      <c r="V124" s="4759"/>
      <c r="W124" s="4759"/>
      <c r="X124" s="4744"/>
      <c r="Y124" s="4746"/>
      <c r="Z124" s="632"/>
      <c r="AA124" s="632"/>
      <c r="AB124" s="632"/>
      <c r="AC124" s="632"/>
      <c r="AD124" s="632"/>
      <c r="AE124" s="632"/>
      <c r="AF124" s="632"/>
      <c r="AG124" s="632"/>
      <c r="AH124" s="632"/>
      <c r="AI124" s="632"/>
      <c r="AJ124" s="632"/>
      <c r="AK124" s="632"/>
      <c r="AL124" s="632"/>
    </row>
    <row r="125" spans="1:38" s="4766" customFormat="1" ht="40.5" customHeight="1">
      <c r="A125" s="4744"/>
      <c r="B125" s="4757"/>
      <c r="C125" s="4771" t="s">
        <v>627</v>
      </c>
      <c r="D125" s="4779" t="s">
        <v>7182</v>
      </c>
      <c r="E125" s="4757"/>
      <c r="F125" s="4757"/>
      <c r="G125" s="4776"/>
      <c r="H125" s="4757"/>
      <c r="I125" s="4757"/>
      <c r="J125" s="4757"/>
      <c r="K125" s="4757"/>
      <c r="L125" s="4757"/>
      <c r="M125" s="4757"/>
      <c r="N125" s="4757"/>
      <c r="O125" s="4758"/>
      <c r="P125" s="4757"/>
      <c r="Q125" s="4757"/>
      <c r="R125" s="4757"/>
      <c r="S125" s="4759"/>
      <c r="T125" s="4759"/>
      <c r="U125" s="4759"/>
      <c r="V125" s="4759"/>
      <c r="W125" s="4759"/>
      <c r="X125" s="4744"/>
      <c r="Y125" s="4746"/>
      <c r="Z125" s="632"/>
      <c r="AA125" s="632"/>
      <c r="AB125" s="632"/>
      <c r="AC125" s="632"/>
      <c r="AD125" s="632"/>
      <c r="AE125" s="632"/>
      <c r="AF125" s="632"/>
      <c r="AG125" s="632"/>
      <c r="AH125" s="632"/>
      <c r="AI125" s="632"/>
      <c r="AJ125" s="632"/>
      <c r="AK125" s="632"/>
      <c r="AL125" s="632"/>
    </row>
    <row r="126" spans="1:38" s="4766" customFormat="1" ht="40.5" customHeight="1">
      <c r="A126" s="4744"/>
      <c r="B126" s="4757"/>
      <c r="C126" s="4778" t="s">
        <v>7183</v>
      </c>
      <c r="D126" s="4779"/>
      <c r="E126" s="4757"/>
      <c r="F126" s="4757"/>
      <c r="G126" s="4776"/>
      <c r="H126" s="4757"/>
      <c r="I126" s="4757"/>
      <c r="J126" s="4757"/>
      <c r="K126" s="4757"/>
      <c r="L126" s="4757"/>
      <c r="M126" s="4757"/>
      <c r="N126" s="4757"/>
      <c r="O126" s="4758"/>
      <c r="P126" s="4757"/>
      <c r="Q126" s="4757"/>
      <c r="R126" s="4757"/>
      <c r="S126" s="4759"/>
      <c r="T126" s="4759"/>
      <c r="U126" s="4759"/>
      <c r="V126" s="4759"/>
      <c r="W126" s="4759"/>
      <c r="X126" s="4744"/>
      <c r="Y126" s="4746"/>
      <c r="Z126" s="632"/>
      <c r="AA126" s="632"/>
      <c r="AB126" s="632"/>
      <c r="AC126" s="632"/>
      <c r="AD126" s="632"/>
      <c r="AE126" s="632"/>
      <c r="AF126" s="632"/>
      <c r="AG126" s="632"/>
      <c r="AH126" s="632"/>
      <c r="AI126" s="632"/>
      <c r="AJ126" s="632"/>
      <c r="AK126" s="632"/>
      <c r="AL126" s="632"/>
    </row>
    <row r="127" spans="1:38" s="4766" customFormat="1" ht="40.5" customHeight="1">
      <c r="A127" s="4744"/>
      <c r="B127" s="4757"/>
      <c r="C127" s="4771" t="s">
        <v>627</v>
      </c>
      <c r="D127" s="4779" t="s">
        <v>7184</v>
      </c>
      <c r="E127" s="4757"/>
      <c r="F127" s="4757"/>
      <c r="G127" s="4776"/>
      <c r="H127" s="4757"/>
      <c r="I127" s="4757"/>
      <c r="J127" s="4757"/>
      <c r="K127" s="4757"/>
      <c r="L127" s="4757"/>
      <c r="M127" s="4757"/>
      <c r="N127" s="4757"/>
      <c r="O127" s="4758"/>
      <c r="P127" s="4757"/>
      <c r="Q127" s="4757"/>
      <c r="R127" s="4757"/>
      <c r="S127" s="4759"/>
      <c r="T127" s="4759"/>
      <c r="U127" s="4759"/>
      <c r="V127" s="4759"/>
      <c r="W127" s="4759"/>
      <c r="X127" s="4744"/>
      <c r="Y127" s="4746"/>
      <c r="Z127" s="632"/>
      <c r="AA127" s="632"/>
      <c r="AB127" s="632"/>
      <c r="AC127" s="632"/>
      <c r="AD127" s="632"/>
      <c r="AE127" s="632"/>
      <c r="AF127" s="632"/>
      <c r="AG127" s="632"/>
      <c r="AH127" s="632"/>
      <c r="AI127" s="632"/>
      <c r="AJ127" s="632"/>
      <c r="AK127" s="632"/>
      <c r="AL127" s="632"/>
    </row>
    <row r="128" spans="1:38" s="4766" customFormat="1" ht="40.5" customHeight="1">
      <c r="A128" s="4744"/>
      <c r="B128" s="4757"/>
      <c r="C128" s="4778" t="s">
        <v>7185</v>
      </c>
      <c r="D128" s="4779"/>
      <c r="E128" s="4757"/>
      <c r="F128" s="4757"/>
      <c r="G128" s="4776"/>
      <c r="H128" s="4757"/>
      <c r="I128" s="4757"/>
      <c r="J128" s="4757"/>
      <c r="K128" s="4757"/>
      <c r="L128" s="4757"/>
      <c r="M128" s="4757"/>
      <c r="N128" s="4757"/>
      <c r="O128" s="4758"/>
      <c r="P128" s="4757"/>
      <c r="Q128" s="4757"/>
      <c r="R128" s="4757"/>
      <c r="S128" s="4759"/>
      <c r="T128" s="4759"/>
      <c r="U128" s="4759"/>
      <c r="V128" s="4759"/>
      <c r="W128" s="4759"/>
      <c r="X128" s="4744"/>
      <c r="Y128" s="4746"/>
      <c r="Z128" s="632"/>
      <c r="AA128" s="632"/>
      <c r="AB128" s="632"/>
      <c r="AC128" s="632"/>
      <c r="AD128" s="632"/>
      <c r="AE128" s="632"/>
      <c r="AF128" s="632"/>
      <c r="AG128" s="632"/>
      <c r="AH128" s="632"/>
      <c r="AI128" s="632"/>
      <c r="AJ128" s="632"/>
      <c r="AK128" s="632"/>
      <c r="AL128" s="632"/>
    </row>
    <row r="129" spans="1:38" s="4766" customFormat="1" ht="40.5" customHeight="1">
      <c r="A129" s="4744"/>
      <c r="B129" s="4757"/>
      <c r="C129" s="4771" t="s">
        <v>627</v>
      </c>
      <c r="D129" s="4779" t="s">
        <v>7186</v>
      </c>
      <c r="E129" s="4757"/>
      <c r="F129" s="4757"/>
      <c r="G129" s="4776"/>
      <c r="H129" s="4757"/>
      <c r="I129" s="4757"/>
      <c r="J129" s="4757"/>
      <c r="K129" s="4757"/>
      <c r="L129" s="4757"/>
      <c r="M129" s="4757"/>
      <c r="N129" s="4757"/>
      <c r="O129" s="4758"/>
      <c r="P129" s="4757"/>
      <c r="Q129" s="4757"/>
      <c r="R129" s="4757"/>
      <c r="S129" s="4759"/>
      <c r="T129" s="4759"/>
      <c r="U129" s="4759"/>
      <c r="V129" s="4759"/>
      <c r="W129" s="4759"/>
      <c r="X129" s="4744"/>
      <c r="Y129" s="4746"/>
      <c r="Z129" s="632"/>
      <c r="AA129" s="632"/>
      <c r="AB129" s="632"/>
      <c r="AC129" s="632"/>
      <c r="AD129" s="632"/>
      <c r="AE129" s="632"/>
      <c r="AF129" s="632"/>
      <c r="AG129" s="632"/>
      <c r="AH129" s="632"/>
      <c r="AI129" s="632"/>
      <c r="AJ129" s="632"/>
      <c r="AK129" s="632"/>
      <c r="AL129" s="632"/>
    </row>
    <row r="130" spans="1:38" s="4766" customFormat="1" ht="40.5" customHeight="1">
      <c r="A130" s="4744"/>
      <c r="B130" s="4757"/>
      <c r="C130" s="4778" t="s">
        <v>7187</v>
      </c>
      <c r="D130" s="4779"/>
      <c r="E130" s="4757"/>
      <c r="F130" s="4757"/>
      <c r="G130" s="4776"/>
      <c r="H130" s="4757"/>
      <c r="I130" s="4757"/>
      <c r="J130" s="4757"/>
      <c r="K130" s="4757"/>
      <c r="L130" s="4757"/>
      <c r="M130" s="4757"/>
      <c r="N130" s="4757"/>
      <c r="O130" s="4758"/>
      <c r="P130" s="4757"/>
      <c r="Q130" s="4757"/>
      <c r="R130" s="4757"/>
      <c r="S130" s="4759"/>
      <c r="T130" s="4759"/>
      <c r="U130" s="4759"/>
      <c r="V130" s="4759"/>
      <c r="W130" s="4759"/>
      <c r="X130" s="4744"/>
      <c r="Y130" s="4746"/>
      <c r="Z130" s="632"/>
      <c r="AA130" s="632"/>
      <c r="AB130" s="632"/>
      <c r="AC130" s="632"/>
      <c r="AD130" s="632"/>
      <c r="AE130" s="632"/>
      <c r="AF130" s="632"/>
      <c r="AG130" s="632"/>
      <c r="AH130" s="632"/>
      <c r="AI130" s="632"/>
      <c r="AJ130" s="632"/>
      <c r="AK130" s="632"/>
      <c r="AL130" s="632"/>
    </row>
    <row r="131" spans="1:38" s="4766" customFormat="1" ht="40.5" customHeight="1">
      <c r="A131" s="4744"/>
      <c r="B131" s="4757"/>
      <c r="C131" s="4771" t="s">
        <v>627</v>
      </c>
      <c r="D131" s="4779" t="s">
        <v>7188</v>
      </c>
      <c r="E131" s="4757"/>
      <c r="F131" s="4757"/>
      <c r="G131" s="4776"/>
      <c r="H131" s="4757"/>
      <c r="I131" s="4757"/>
      <c r="J131" s="4757"/>
      <c r="K131" s="4757"/>
      <c r="L131" s="4757"/>
      <c r="M131" s="4757"/>
      <c r="N131" s="4757"/>
      <c r="O131" s="4758"/>
      <c r="P131" s="4757"/>
      <c r="Q131" s="4757"/>
      <c r="R131" s="4757"/>
      <c r="S131" s="4759"/>
      <c r="T131" s="4759"/>
      <c r="U131" s="4759"/>
      <c r="V131" s="4759"/>
      <c r="W131" s="4759"/>
      <c r="X131" s="4744"/>
      <c r="Y131" s="4746"/>
      <c r="Z131" s="632"/>
      <c r="AA131" s="632"/>
      <c r="AB131" s="632"/>
      <c r="AC131" s="632"/>
      <c r="AD131" s="632"/>
      <c r="AE131" s="632"/>
      <c r="AF131" s="632"/>
      <c r="AG131" s="632"/>
      <c r="AH131" s="632"/>
      <c r="AI131" s="632"/>
      <c r="AJ131" s="632"/>
      <c r="AK131" s="632"/>
      <c r="AL131" s="632"/>
    </row>
    <row r="132" spans="1:38" s="4766" customFormat="1" ht="40.5" customHeight="1">
      <c r="A132" s="4744"/>
      <c r="B132" s="4757"/>
      <c r="C132" s="4771" t="s">
        <v>627</v>
      </c>
      <c r="D132" s="4779" t="s">
        <v>7189</v>
      </c>
      <c r="E132" s="4757"/>
      <c r="F132" s="4757"/>
      <c r="G132" s="4776"/>
      <c r="H132" s="4757"/>
      <c r="I132" s="4757"/>
      <c r="J132" s="4757"/>
      <c r="K132" s="4757"/>
      <c r="L132" s="4757" t="s">
        <v>1</v>
      </c>
      <c r="M132" s="4757"/>
      <c r="N132" s="4757"/>
      <c r="O132" s="4758"/>
      <c r="P132" s="4757"/>
      <c r="Q132" s="4757"/>
      <c r="R132" s="4757"/>
      <c r="S132" s="4759"/>
      <c r="T132" s="4759"/>
      <c r="U132" s="4759"/>
      <c r="V132" s="4759"/>
      <c r="W132" s="4759"/>
      <c r="X132" s="4744"/>
      <c r="Y132" s="4746"/>
      <c r="Z132" s="632"/>
      <c r="AA132" s="632"/>
      <c r="AB132" s="632"/>
      <c r="AC132" s="632"/>
      <c r="AD132" s="632"/>
      <c r="AE132" s="632"/>
      <c r="AF132" s="632"/>
      <c r="AG132" s="632"/>
      <c r="AH132" s="632"/>
      <c r="AI132" s="632"/>
      <c r="AJ132" s="632"/>
      <c r="AK132" s="632"/>
      <c r="AL132" s="632"/>
    </row>
    <row r="133" spans="1:38" s="4766" customFormat="1" ht="40.5" customHeight="1">
      <c r="A133" s="4744"/>
      <c r="B133" s="4757"/>
      <c r="C133" s="4778" t="s">
        <v>7190</v>
      </c>
      <c r="D133" s="4779"/>
      <c r="E133" s="4757"/>
      <c r="F133" s="4757"/>
      <c r="G133" s="4776"/>
      <c r="H133" s="4757"/>
      <c r="I133" s="4757"/>
      <c r="J133" s="4757"/>
      <c r="K133" s="4757"/>
      <c r="L133" s="4757"/>
      <c r="M133" s="4757"/>
      <c r="N133" s="4757"/>
      <c r="O133" s="4758"/>
      <c r="P133" s="4757"/>
      <c r="Q133" s="4757"/>
      <c r="R133" s="4757"/>
      <c r="S133" s="4759"/>
      <c r="T133" s="4759"/>
      <c r="U133" s="4759"/>
      <c r="V133" s="4759"/>
      <c r="W133" s="4759"/>
      <c r="X133" s="4744"/>
      <c r="Y133" s="4746"/>
      <c r="Z133" s="632"/>
      <c r="AA133" s="632"/>
      <c r="AB133" s="632"/>
      <c r="AC133" s="632"/>
      <c r="AD133" s="632"/>
      <c r="AE133" s="632"/>
      <c r="AF133" s="632"/>
      <c r="AG133" s="632"/>
      <c r="AH133" s="632"/>
      <c r="AI133" s="632"/>
      <c r="AJ133" s="632"/>
      <c r="AK133" s="632"/>
      <c r="AL133" s="632"/>
    </row>
    <row r="134" spans="1:38" s="4766" customFormat="1" ht="40.5" customHeight="1">
      <c r="A134" s="4744"/>
      <c r="B134" s="4757"/>
      <c r="C134" s="4771" t="s">
        <v>627</v>
      </c>
      <c r="D134" s="4779" t="s">
        <v>7191</v>
      </c>
      <c r="E134" s="4757"/>
      <c r="F134" s="4757"/>
      <c r="G134" s="4776"/>
      <c r="H134" s="4757"/>
      <c r="I134" s="4757"/>
      <c r="J134" s="4757"/>
      <c r="K134" s="4757"/>
      <c r="L134" s="4757"/>
      <c r="M134" s="4757"/>
      <c r="N134" s="4757"/>
      <c r="O134" s="4758"/>
      <c r="P134" s="4757"/>
      <c r="Q134" s="4757"/>
      <c r="R134" s="4757"/>
      <c r="S134" s="4759"/>
      <c r="T134" s="4759"/>
      <c r="U134" s="4759"/>
      <c r="V134" s="4759"/>
      <c r="W134" s="4759"/>
      <c r="X134" s="4744"/>
      <c r="Y134" s="4746"/>
      <c r="Z134" s="632"/>
      <c r="AA134" s="632"/>
      <c r="AB134" s="632"/>
      <c r="AC134" s="632"/>
      <c r="AD134" s="632"/>
      <c r="AE134" s="632"/>
      <c r="AF134" s="632"/>
      <c r="AG134" s="632"/>
      <c r="AH134" s="632"/>
      <c r="AI134" s="632"/>
      <c r="AJ134" s="632"/>
      <c r="AK134" s="632"/>
      <c r="AL134" s="632"/>
    </row>
    <row r="135" spans="1:38" s="4766" customFormat="1" ht="40.5" customHeight="1">
      <c r="A135" s="4744"/>
      <c r="B135" s="4757"/>
      <c r="C135" s="4778" t="s">
        <v>7192</v>
      </c>
      <c r="D135" s="4779"/>
      <c r="E135" s="4757"/>
      <c r="F135" s="4757"/>
      <c r="G135" s="4776"/>
      <c r="H135" s="4757"/>
      <c r="I135" s="4757"/>
      <c r="J135" s="4757"/>
      <c r="K135" s="4757"/>
      <c r="L135" s="4757"/>
      <c r="M135" s="4757"/>
      <c r="N135" s="4757"/>
      <c r="O135" s="4758"/>
      <c r="P135" s="4757"/>
      <c r="Q135" s="4757"/>
      <c r="R135" s="4757"/>
      <c r="S135" s="4759"/>
      <c r="T135" s="4759"/>
      <c r="U135" s="4759"/>
      <c r="V135" s="4759"/>
      <c r="W135" s="4759"/>
      <c r="X135" s="4744"/>
      <c r="Y135" s="4746"/>
      <c r="Z135" s="632"/>
      <c r="AA135" s="632"/>
      <c r="AB135" s="632"/>
      <c r="AC135" s="632"/>
      <c r="AD135" s="632"/>
      <c r="AE135" s="632"/>
      <c r="AF135" s="632"/>
      <c r="AG135" s="632"/>
      <c r="AH135" s="632"/>
      <c r="AI135" s="632"/>
      <c r="AJ135" s="632"/>
      <c r="AK135" s="632"/>
      <c r="AL135" s="632"/>
    </row>
    <row r="136" spans="1:38" s="4766" customFormat="1" ht="40.5" customHeight="1">
      <c r="A136" s="4744"/>
      <c r="B136" s="4757"/>
      <c r="C136" s="4771" t="s">
        <v>627</v>
      </c>
      <c r="D136" s="4779" t="s">
        <v>7193</v>
      </c>
      <c r="E136" s="4757"/>
      <c r="F136" s="4757"/>
      <c r="G136" s="4776"/>
      <c r="H136" s="4757"/>
      <c r="I136" s="4757"/>
      <c r="J136" s="4757"/>
      <c r="K136" s="4757"/>
      <c r="L136" s="4757"/>
      <c r="M136" s="4757"/>
      <c r="N136" s="4757"/>
      <c r="O136" s="4758"/>
      <c r="P136" s="4757"/>
      <c r="Q136" s="4757"/>
      <c r="R136" s="4757"/>
      <c r="S136" s="4759"/>
      <c r="T136" s="4759"/>
      <c r="U136" s="4759"/>
      <c r="V136" s="4759"/>
      <c r="W136" s="4759"/>
      <c r="X136" s="4744"/>
      <c r="Y136" s="4746"/>
      <c r="Z136" s="632"/>
      <c r="AA136" s="632"/>
      <c r="AB136" s="632"/>
      <c r="AC136" s="632"/>
      <c r="AD136" s="632"/>
      <c r="AE136" s="632"/>
      <c r="AF136" s="632"/>
      <c r="AG136" s="632"/>
      <c r="AH136" s="632"/>
      <c r="AI136" s="632"/>
      <c r="AJ136" s="632"/>
      <c r="AK136" s="632"/>
      <c r="AL136" s="632"/>
    </row>
    <row r="137" spans="1:38" s="4766" customFormat="1" ht="40.5" customHeight="1">
      <c r="A137" s="4744"/>
      <c r="B137" s="4757"/>
      <c r="C137" s="4778" t="s">
        <v>7194</v>
      </c>
      <c r="D137" s="4779"/>
      <c r="E137" s="4757"/>
      <c r="F137" s="4757"/>
      <c r="G137" s="4776"/>
      <c r="H137" s="4757"/>
      <c r="I137" s="4757"/>
      <c r="J137" s="4757"/>
      <c r="K137" s="4757"/>
      <c r="L137" s="4757"/>
      <c r="M137" s="4757"/>
      <c r="N137" s="4757"/>
      <c r="O137" s="4758"/>
      <c r="P137" s="4757"/>
      <c r="Q137" s="4757"/>
      <c r="R137" s="4757"/>
      <c r="S137" s="4759"/>
      <c r="T137" s="4759"/>
      <c r="U137" s="4759"/>
      <c r="V137" s="4759"/>
      <c r="W137" s="4759"/>
      <c r="X137" s="4744"/>
      <c r="Y137" s="4746"/>
      <c r="Z137" s="632"/>
      <c r="AA137" s="632"/>
      <c r="AB137" s="632"/>
      <c r="AC137" s="632"/>
      <c r="AD137" s="632"/>
      <c r="AE137" s="632"/>
      <c r="AF137" s="632"/>
      <c r="AG137" s="632"/>
      <c r="AH137" s="632"/>
      <c r="AI137" s="632"/>
      <c r="AJ137" s="632"/>
      <c r="AK137" s="632"/>
      <c r="AL137" s="632"/>
    </row>
    <row r="138" spans="1:38" s="4766" customFormat="1" ht="40.5" customHeight="1">
      <c r="A138" s="4744"/>
      <c r="B138" s="4757"/>
      <c r="C138" s="4771" t="s">
        <v>627</v>
      </c>
      <c r="D138" s="4779" t="s">
        <v>7195</v>
      </c>
      <c r="E138" s="4757"/>
      <c r="F138" s="4757"/>
      <c r="G138" s="4776"/>
      <c r="H138" s="4757"/>
      <c r="I138" s="4757"/>
      <c r="J138" s="4757"/>
      <c r="K138" s="4757"/>
      <c r="L138" s="4757"/>
      <c r="M138" s="4757"/>
      <c r="N138" s="4757"/>
      <c r="O138" s="4758"/>
      <c r="P138" s="4757"/>
      <c r="Q138" s="4757"/>
      <c r="R138" s="4757"/>
      <c r="S138" s="4759"/>
      <c r="T138" s="4759"/>
      <c r="U138" s="4759"/>
      <c r="V138" s="4759"/>
      <c r="W138" s="4759"/>
      <c r="X138" s="4744"/>
      <c r="Y138" s="4746"/>
      <c r="Z138" s="632"/>
      <c r="AA138" s="632"/>
      <c r="AB138" s="632"/>
      <c r="AC138" s="632"/>
      <c r="AD138" s="632"/>
      <c r="AE138" s="632"/>
      <c r="AF138" s="632"/>
      <c r="AG138" s="632"/>
      <c r="AH138" s="632"/>
      <c r="AI138" s="632"/>
      <c r="AJ138" s="632"/>
      <c r="AK138" s="632"/>
      <c r="AL138" s="632"/>
    </row>
    <row r="139" spans="1:38" s="4766" customFormat="1" ht="40.5" customHeight="1">
      <c r="A139" s="4744"/>
      <c r="B139" s="4757"/>
      <c r="C139" s="4778" t="s">
        <v>7196</v>
      </c>
      <c r="D139" s="4779"/>
      <c r="E139" s="4778"/>
      <c r="F139" s="4757"/>
      <c r="G139" s="4776"/>
      <c r="H139" s="4757"/>
      <c r="I139" s="4757"/>
      <c r="J139" s="4757"/>
      <c r="K139" s="4757"/>
      <c r="L139" s="4757"/>
      <c r="M139" s="4757"/>
      <c r="N139" s="4757"/>
      <c r="O139" s="4758"/>
      <c r="P139" s="4757"/>
      <c r="Q139" s="4757"/>
      <c r="R139" s="4757"/>
      <c r="S139" s="4759"/>
      <c r="T139" s="4759"/>
      <c r="U139" s="4759"/>
      <c r="V139" s="4759"/>
      <c r="W139" s="4759"/>
      <c r="X139" s="4744"/>
      <c r="Y139" s="4746"/>
      <c r="Z139" s="632"/>
      <c r="AA139" s="632"/>
      <c r="AB139" s="632"/>
      <c r="AC139" s="632"/>
      <c r="AD139" s="632"/>
      <c r="AE139" s="632"/>
      <c r="AF139" s="632"/>
      <c r="AG139" s="632"/>
      <c r="AH139" s="632"/>
      <c r="AI139" s="632"/>
      <c r="AJ139" s="632"/>
      <c r="AK139" s="632"/>
      <c r="AL139" s="632"/>
    </row>
    <row r="140" spans="1:38" s="4766" customFormat="1" ht="40.5" customHeight="1">
      <c r="A140" s="4744"/>
      <c r="B140" s="4757"/>
      <c r="C140" s="4771"/>
      <c r="D140" s="4779" t="s">
        <v>7197</v>
      </c>
      <c r="E140" s="4771"/>
      <c r="F140" s="4757"/>
      <c r="G140" s="4776"/>
      <c r="H140" s="4757"/>
      <c r="I140" s="4757"/>
      <c r="J140" s="4757"/>
      <c r="K140" s="4757"/>
      <c r="L140" s="4757"/>
      <c r="M140" s="4757"/>
      <c r="N140" s="4757"/>
      <c r="O140" s="4758"/>
      <c r="P140" s="4757"/>
      <c r="Q140" s="4757"/>
      <c r="R140" s="4757"/>
      <c r="S140" s="4759"/>
      <c r="T140" s="4759"/>
      <c r="U140" s="4759"/>
      <c r="V140" s="4759"/>
      <c r="W140" s="4759"/>
      <c r="X140" s="4744"/>
      <c r="Y140" s="4746"/>
      <c r="Z140" s="632"/>
      <c r="AA140" s="632"/>
      <c r="AB140" s="632"/>
      <c r="AC140" s="632"/>
      <c r="AD140" s="632"/>
      <c r="AE140" s="632"/>
      <c r="AF140" s="632"/>
      <c r="AG140" s="632"/>
      <c r="AH140" s="632"/>
      <c r="AI140" s="632"/>
      <c r="AJ140" s="632"/>
      <c r="AK140" s="632"/>
      <c r="AL140" s="632"/>
    </row>
    <row r="141" spans="1:38" s="4766" customFormat="1" ht="40.5" customHeight="1">
      <c r="A141" s="4744"/>
      <c r="B141" s="4757"/>
      <c r="C141" s="4778" t="s">
        <v>7198</v>
      </c>
      <c r="D141" s="4779"/>
      <c r="E141" s="4778"/>
      <c r="F141" s="4757"/>
      <c r="G141" s="4776"/>
      <c r="H141" s="4757"/>
      <c r="I141" s="4757"/>
      <c r="J141" s="4757"/>
      <c r="K141" s="4757"/>
      <c r="L141" s="4757"/>
      <c r="M141" s="4757"/>
      <c r="N141" s="4757"/>
      <c r="O141" s="4758"/>
      <c r="P141" s="4757"/>
      <c r="Q141" s="4757"/>
      <c r="R141" s="4757"/>
      <c r="S141" s="4759"/>
      <c r="T141" s="4759"/>
      <c r="U141" s="4759"/>
      <c r="V141" s="4759"/>
      <c r="W141" s="4759"/>
      <c r="X141" s="4744"/>
      <c r="Y141" s="4746"/>
      <c r="Z141" s="632"/>
      <c r="AA141" s="632"/>
      <c r="AB141" s="632"/>
      <c r="AC141" s="632"/>
      <c r="AD141" s="632"/>
      <c r="AE141" s="632"/>
      <c r="AF141" s="632"/>
      <c r="AG141" s="632"/>
      <c r="AH141" s="632"/>
      <c r="AI141" s="632"/>
      <c r="AJ141" s="632"/>
      <c r="AK141" s="632"/>
      <c r="AL141" s="632"/>
    </row>
    <row r="142" spans="1:38" s="4766" customFormat="1" ht="40.5" customHeight="1">
      <c r="A142" s="4744"/>
      <c r="B142" s="4757"/>
      <c r="C142" s="4771" t="s">
        <v>627</v>
      </c>
      <c r="D142" s="8475" t="s">
        <v>7199</v>
      </c>
      <c r="E142" s="8475"/>
      <c r="F142" s="8475"/>
      <c r="G142" s="8475"/>
      <c r="H142" s="8475"/>
      <c r="I142" s="8475"/>
      <c r="J142" s="8475"/>
      <c r="K142" s="8475"/>
      <c r="L142" s="4757" t="s">
        <v>1</v>
      </c>
      <c r="M142" s="4757"/>
      <c r="N142" s="4757"/>
      <c r="O142" s="4758"/>
      <c r="P142" s="4757"/>
      <c r="Q142" s="4757"/>
      <c r="R142" s="4757"/>
      <c r="S142" s="4759"/>
      <c r="T142" s="4759"/>
      <c r="U142" s="4759"/>
      <c r="V142" s="4759"/>
      <c r="W142" s="4759"/>
      <c r="X142" s="4744"/>
      <c r="Y142" s="4746"/>
      <c r="Z142" s="632"/>
      <c r="AA142" s="632"/>
      <c r="AB142" s="632"/>
      <c r="AC142" s="632"/>
      <c r="AD142" s="632"/>
      <c r="AE142" s="632"/>
      <c r="AF142" s="632"/>
      <c r="AG142" s="632"/>
      <c r="AH142" s="632"/>
      <c r="AI142" s="632"/>
      <c r="AJ142" s="632"/>
      <c r="AK142" s="632"/>
      <c r="AL142" s="632"/>
    </row>
    <row r="143" spans="1:38" s="4766" customFormat="1" ht="40.5" customHeight="1">
      <c r="A143" s="4744"/>
      <c r="B143" s="4757"/>
      <c r="C143" s="4778" t="s">
        <v>7200</v>
      </c>
      <c r="D143" s="4779"/>
      <c r="E143" s="4757"/>
      <c r="F143" s="4757"/>
      <c r="G143" s="4776"/>
      <c r="H143" s="4757"/>
      <c r="I143" s="4757"/>
      <c r="J143" s="4757"/>
      <c r="K143" s="4757"/>
      <c r="L143" s="4757"/>
      <c r="M143" s="4757"/>
      <c r="N143" s="4757"/>
      <c r="O143" s="4758"/>
      <c r="P143" s="4757"/>
      <c r="Q143" s="4757"/>
      <c r="R143" s="4757"/>
      <c r="S143" s="4759"/>
      <c r="T143" s="4759"/>
      <c r="U143" s="4759"/>
      <c r="V143" s="4759"/>
      <c r="W143" s="4759"/>
      <c r="X143" s="4744"/>
      <c r="Y143" s="4746"/>
      <c r="Z143" s="632"/>
      <c r="AA143" s="632"/>
      <c r="AB143" s="632"/>
      <c r="AC143" s="632"/>
      <c r="AD143" s="632"/>
      <c r="AE143" s="632"/>
      <c r="AF143" s="632"/>
      <c r="AG143" s="632"/>
      <c r="AH143" s="632"/>
      <c r="AI143" s="632"/>
      <c r="AJ143" s="632"/>
      <c r="AK143" s="632"/>
      <c r="AL143" s="632"/>
    </row>
    <row r="144" spans="1:38" s="4766" customFormat="1" ht="40.5" customHeight="1">
      <c r="A144" s="4744"/>
      <c r="B144" s="4757"/>
      <c r="C144" s="4771" t="s">
        <v>627</v>
      </c>
      <c r="D144" s="8475" t="s">
        <v>7201</v>
      </c>
      <c r="E144" s="8475"/>
      <c r="F144" s="8475"/>
      <c r="G144" s="8475"/>
      <c r="H144" s="8475"/>
      <c r="I144" s="8475"/>
      <c r="J144" s="8475"/>
      <c r="K144" s="8475"/>
      <c r="L144" s="4757" t="s">
        <v>1</v>
      </c>
      <c r="M144" s="4757"/>
      <c r="N144" s="4757"/>
      <c r="O144" s="4758"/>
      <c r="P144" s="4757"/>
      <c r="Q144" s="4757"/>
      <c r="R144" s="4757"/>
      <c r="S144" s="4759"/>
      <c r="T144" s="4759"/>
      <c r="U144" s="4759"/>
      <c r="V144" s="4759"/>
      <c r="W144" s="4759"/>
      <c r="X144" s="4744"/>
      <c r="Y144" s="4746"/>
      <c r="Z144" s="632"/>
      <c r="AA144" s="632"/>
      <c r="AB144" s="632"/>
      <c r="AC144" s="632"/>
      <c r="AD144" s="632"/>
      <c r="AE144" s="632"/>
      <c r="AF144" s="632"/>
      <c r="AG144" s="632"/>
      <c r="AH144" s="632"/>
      <c r="AI144" s="632"/>
      <c r="AJ144" s="632"/>
      <c r="AK144" s="632"/>
      <c r="AL144" s="632"/>
    </row>
    <row r="145" spans="1:38" s="4766" customFormat="1" ht="40.5" customHeight="1">
      <c r="A145" s="4744"/>
      <c r="B145" s="4757"/>
      <c r="C145" s="4778" t="s">
        <v>7202</v>
      </c>
      <c r="D145" s="4779"/>
      <c r="E145" s="4757"/>
      <c r="F145" s="4757"/>
      <c r="G145" s="4776"/>
      <c r="H145" s="4757"/>
      <c r="I145" s="4757"/>
      <c r="J145" s="4757"/>
      <c r="K145" s="4757"/>
      <c r="L145" s="4757"/>
      <c r="M145" s="4757"/>
      <c r="N145" s="4757"/>
      <c r="O145" s="4758"/>
      <c r="P145" s="4757"/>
      <c r="Q145" s="4757"/>
      <c r="R145" s="4757"/>
      <c r="S145" s="4759"/>
      <c r="T145" s="4759"/>
      <c r="U145" s="4759"/>
      <c r="V145" s="4759"/>
      <c r="W145" s="4759"/>
      <c r="X145" s="4744"/>
      <c r="Y145" s="4746"/>
      <c r="Z145" s="632"/>
      <c r="AA145" s="632"/>
      <c r="AB145" s="632"/>
      <c r="AC145" s="632"/>
      <c r="AD145" s="632"/>
      <c r="AE145" s="632"/>
      <c r="AF145" s="632"/>
      <c r="AG145" s="632"/>
      <c r="AH145" s="632"/>
      <c r="AI145" s="632"/>
      <c r="AJ145" s="632"/>
      <c r="AK145" s="632"/>
      <c r="AL145" s="632"/>
    </row>
    <row r="146" spans="1:38" s="4766" customFormat="1" ht="40.5" customHeight="1">
      <c r="A146" s="4744"/>
      <c r="B146" s="4757"/>
      <c r="C146" s="4771" t="s">
        <v>627</v>
      </c>
      <c r="D146" s="8475" t="s">
        <v>7203</v>
      </c>
      <c r="E146" s="8475"/>
      <c r="F146" s="8475"/>
      <c r="G146" s="8475"/>
      <c r="H146" s="8475"/>
      <c r="I146" s="8475"/>
      <c r="J146" s="8475"/>
      <c r="K146" s="8475"/>
      <c r="L146" s="4757" t="s">
        <v>1</v>
      </c>
      <c r="M146" s="4757"/>
      <c r="N146" s="4757"/>
      <c r="O146" s="4758"/>
      <c r="P146" s="4757"/>
      <c r="Q146" s="4757"/>
      <c r="R146" s="4757"/>
      <c r="S146" s="4759"/>
      <c r="T146" s="4759"/>
      <c r="U146" s="4759"/>
      <c r="V146" s="4759"/>
      <c r="W146" s="4759"/>
      <c r="X146" s="4744"/>
      <c r="Y146" s="4746"/>
      <c r="Z146" s="632"/>
      <c r="AA146" s="632"/>
      <c r="AB146" s="632"/>
      <c r="AC146" s="632"/>
      <c r="AD146" s="632"/>
      <c r="AE146" s="632"/>
      <c r="AF146" s="632"/>
      <c r="AG146" s="632"/>
      <c r="AH146" s="632"/>
      <c r="AI146" s="632"/>
      <c r="AJ146" s="632"/>
      <c r="AK146" s="632"/>
      <c r="AL146" s="632"/>
    </row>
    <row r="147" spans="1:38" s="4766" customFormat="1" ht="40.5" customHeight="1">
      <c r="A147" s="4744"/>
      <c r="B147" s="4757"/>
      <c r="C147" s="4778" t="s">
        <v>7204</v>
      </c>
      <c r="D147" s="4779"/>
      <c r="E147" s="4757"/>
      <c r="F147" s="4757"/>
      <c r="G147" s="4776"/>
      <c r="H147" s="4757"/>
      <c r="I147" s="4757"/>
      <c r="J147" s="4757"/>
      <c r="K147" s="4757"/>
      <c r="L147" s="4757"/>
      <c r="M147" s="4757"/>
      <c r="N147" s="4757"/>
      <c r="O147" s="4758"/>
      <c r="P147" s="4757"/>
      <c r="Q147" s="4757"/>
      <c r="R147" s="4757"/>
      <c r="S147" s="4759"/>
      <c r="T147" s="4759"/>
      <c r="U147" s="4759"/>
      <c r="V147" s="4759"/>
      <c r="W147" s="4759"/>
      <c r="X147" s="4744"/>
      <c r="Y147" s="4746"/>
      <c r="Z147" s="632"/>
      <c r="AA147" s="632"/>
      <c r="AB147" s="632"/>
      <c r="AC147" s="632"/>
      <c r="AD147" s="632"/>
      <c r="AE147" s="632"/>
      <c r="AF147" s="632"/>
      <c r="AG147" s="632"/>
      <c r="AH147" s="632"/>
      <c r="AI147" s="632"/>
      <c r="AJ147" s="632"/>
      <c r="AK147" s="632"/>
      <c r="AL147" s="632"/>
    </row>
    <row r="148" spans="1:38" s="4766" customFormat="1" ht="40.5" customHeight="1">
      <c r="A148" s="4744"/>
      <c r="B148" s="4757"/>
      <c r="C148" s="4771" t="s">
        <v>627</v>
      </c>
      <c r="D148" s="8475" t="s">
        <v>7205</v>
      </c>
      <c r="E148" s="8475"/>
      <c r="F148" s="8475"/>
      <c r="G148" s="8475"/>
      <c r="H148" s="8475"/>
      <c r="I148" s="8475"/>
      <c r="J148" s="8475"/>
      <c r="K148" s="8475"/>
      <c r="L148" s="4757" t="s">
        <v>1</v>
      </c>
      <c r="M148" s="4757"/>
      <c r="N148" s="4757"/>
      <c r="O148" s="4758"/>
      <c r="P148" s="4757"/>
      <c r="Q148" s="4757"/>
      <c r="R148" s="4757"/>
      <c r="S148" s="4759"/>
      <c r="T148" s="4759"/>
      <c r="U148" s="4759"/>
      <c r="V148" s="4759"/>
      <c r="W148" s="4759"/>
      <c r="X148" s="4744"/>
      <c r="Y148" s="4746"/>
      <c r="Z148" s="632"/>
      <c r="AA148" s="632"/>
      <c r="AB148" s="632"/>
      <c r="AC148" s="632"/>
      <c r="AD148" s="632"/>
      <c r="AE148" s="632"/>
      <c r="AF148" s="632"/>
      <c r="AG148" s="632"/>
      <c r="AH148" s="632"/>
      <c r="AI148" s="632"/>
      <c r="AJ148" s="632"/>
      <c r="AK148" s="632"/>
      <c r="AL148" s="632"/>
    </row>
    <row r="149" spans="1:38" s="4766" customFormat="1" ht="40.5" customHeight="1">
      <c r="A149" s="4744"/>
      <c r="B149" s="4757"/>
      <c r="C149" s="4778" t="s">
        <v>7206</v>
      </c>
      <c r="D149" s="4779"/>
      <c r="E149" s="4757"/>
      <c r="F149" s="4757"/>
      <c r="G149" s="4776"/>
      <c r="H149" s="4757"/>
      <c r="I149" s="4757"/>
      <c r="J149" s="4757"/>
      <c r="K149" s="4757"/>
      <c r="L149" s="4757"/>
      <c r="M149" s="4757"/>
      <c r="N149" s="4757"/>
      <c r="O149" s="4758"/>
      <c r="P149" s="4757"/>
      <c r="Q149" s="4757"/>
      <c r="R149" s="4757"/>
      <c r="S149" s="4759"/>
      <c r="T149" s="4759"/>
      <c r="U149" s="4759"/>
      <c r="V149" s="4759"/>
      <c r="W149" s="4759"/>
      <c r="X149" s="4744"/>
      <c r="Y149" s="4746"/>
      <c r="Z149" s="632"/>
      <c r="AA149" s="632"/>
      <c r="AB149" s="632"/>
      <c r="AC149" s="632"/>
      <c r="AD149" s="632"/>
      <c r="AE149" s="632"/>
      <c r="AF149" s="632"/>
      <c r="AG149" s="632"/>
      <c r="AH149" s="632"/>
      <c r="AI149" s="632"/>
      <c r="AJ149" s="632"/>
      <c r="AK149" s="632"/>
      <c r="AL149" s="632"/>
    </row>
    <row r="150" spans="1:38" s="4766" customFormat="1" ht="40.5" customHeight="1">
      <c r="A150" s="4744"/>
      <c r="B150" s="4757"/>
      <c r="C150" s="4771" t="s">
        <v>627</v>
      </c>
      <c r="D150" s="8475" t="s">
        <v>7207</v>
      </c>
      <c r="E150" s="8475"/>
      <c r="F150" s="8475"/>
      <c r="G150" s="8475"/>
      <c r="H150" s="8475"/>
      <c r="I150" s="8475"/>
      <c r="J150" s="8475"/>
      <c r="K150" s="8475"/>
      <c r="L150" s="4757" t="s">
        <v>1</v>
      </c>
      <c r="M150" s="4757"/>
      <c r="N150" s="4757"/>
      <c r="O150" s="4758"/>
      <c r="P150" s="4757"/>
      <c r="Q150" s="4757"/>
      <c r="R150" s="4757"/>
      <c r="S150" s="4759"/>
      <c r="T150" s="4759"/>
      <c r="U150" s="4759"/>
      <c r="V150" s="4759"/>
      <c r="W150" s="4759"/>
      <c r="X150" s="4744"/>
      <c r="Y150" s="4746"/>
      <c r="Z150" s="632"/>
      <c r="AA150" s="632"/>
      <c r="AB150" s="632"/>
      <c r="AC150" s="632"/>
      <c r="AD150" s="632"/>
      <c r="AE150" s="632"/>
      <c r="AF150" s="632"/>
      <c r="AG150" s="632"/>
      <c r="AH150" s="632"/>
      <c r="AI150" s="632"/>
      <c r="AJ150" s="632"/>
      <c r="AK150" s="632"/>
      <c r="AL150" s="632"/>
    </row>
    <row r="151" spans="1:38" s="4766" customFormat="1" ht="40.5" customHeight="1">
      <c r="A151" s="4744"/>
      <c r="B151" s="4757"/>
      <c r="C151" s="4778" t="s">
        <v>7208</v>
      </c>
      <c r="D151" s="4779"/>
      <c r="E151" s="4757"/>
      <c r="F151" s="4757"/>
      <c r="G151" s="4776"/>
      <c r="H151" s="4757"/>
      <c r="I151" s="4757"/>
      <c r="J151" s="4757"/>
      <c r="K151" s="4757"/>
      <c r="L151" s="4757"/>
      <c r="M151" s="4757"/>
      <c r="N151" s="4757"/>
      <c r="O151" s="4758"/>
      <c r="P151" s="4757"/>
      <c r="Q151" s="4757"/>
      <c r="R151" s="4757"/>
      <c r="S151" s="4759"/>
      <c r="T151" s="4759"/>
      <c r="U151" s="4759"/>
      <c r="V151" s="4759"/>
      <c r="W151" s="4759"/>
      <c r="X151" s="4744"/>
      <c r="Y151" s="4746"/>
      <c r="Z151" s="632"/>
      <c r="AA151" s="632"/>
      <c r="AB151" s="632"/>
      <c r="AC151" s="632"/>
      <c r="AD151" s="632"/>
      <c r="AE151" s="632"/>
      <c r="AF151" s="632"/>
      <c r="AG151" s="632"/>
      <c r="AH151" s="632"/>
      <c r="AI151" s="632"/>
      <c r="AJ151" s="632"/>
      <c r="AK151" s="632"/>
      <c r="AL151" s="632"/>
    </row>
    <row r="152" spans="1:38" s="4766" customFormat="1" ht="40.5" customHeight="1">
      <c r="A152" s="4744"/>
      <c r="B152" s="4757"/>
      <c r="C152" s="8475" t="s">
        <v>7209</v>
      </c>
      <c r="D152" s="8475"/>
      <c r="E152" s="8475"/>
      <c r="F152" s="8475"/>
      <c r="G152" s="8475"/>
      <c r="H152" s="8475"/>
      <c r="I152" s="8475"/>
      <c r="J152" s="8475"/>
      <c r="K152" s="8475"/>
      <c r="L152" s="8475"/>
      <c r="M152" s="4757"/>
      <c r="N152" s="4757"/>
      <c r="O152" s="4758"/>
      <c r="P152" s="4757"/>
      <c r="Q152" s="4757"/>
      <c r="R152" s="4757"/>
      <c r="S152" s="4759"/>
      <c r="T152" s="5495" t="s">
        <v>1</v>
      </c>
      <c r="U152" s="4759"/>
      <c r="V152" s="4759"/>
      <c r="W152" s="4759"/>
      <c r="X152" s="4744"/>
      <c r="Y152" s="4746"/>
      <c r="Z152" s="632"/>
      <c r="AA152" s="632"/>
      <c r="AB152" s="632"/>
      <c r="AC152" s="632"/>
      <c r="AD152" s="632"/>
      <c r="AE152" s="632"/>
      <c r="AF152" s="632"/>
      <c r="AG152" s="632"/>
      <c r="AH152" s="632"/>
      <c r="AI152" s="632"/>
      <c r="AJ152" s="632"/>
      <c r="AK152" s="632"/>
      <c r="AL152" s="632"/>
    </row>
    <row r="153" spans="1:38" s="4766" customFormat="1" ht="40.5" customHeight="1">
      <c r="A153" s="4744"/>
      <c r="B153" s="4757"/>
      <c r="C153" s="4778" t="s">
        <v>7210</v>
      </c>
      <c r="D153" s="4779"/>
      <c r="E153" s="4757"/>
      <c r="F153" s="4757"/>
      <c r="G153" s="4776"/>
      <c r="H153" s="4757"/>
      <c r="I153" s="4757"/>
      <c r="J153" s="4757"/>
      <c r="K153" s="4757"/>
      <c r="L153" s="4757"/>
      <c r="M153" s="4757"/>
      <c r="N153" s="4757"/>
      <c r="O153" s="4758"/>
      <c r="P153" s="4757"/>
      <c r="Q153" s="4757"/>
      <c r="R153" s="4757"/>
      <c r="S153" s="4759"/>
      <c r="T153" s="4759"/>
      <c r="U153" s="4759"/>
      <c r="V153" s="4759"/>
      <c r="W153" s="4759"/>
      <c r="X153" s="4744"/>
      <c r="Y153" s="4746"/>
      <c r="Z153" s="632"/>
      <c r="AA153" s="632"/>
      <c r="AB153" s="632"/>
      <c r="AC153" s="632"/>
      <c r="AD153" s="632"/>
      <c r="AE153" s="632"/>
      <c r="AF153" s="632"/>
      <c r="AG153" s="632"/>
      <c r="AH153" s="632"/>
      <c r="AI153" s="632"/>
      <c r="AJ153" s="632"/>
      <c r="AK153" s="632"/>
      <c r="AL153" s="632"/>
    </row>
    <row r="154" spans="1:38" s="4766" customFormat="1" ht="40.5" customHeight="1">
      <c r="A154" s="4744"/>
      <c r="B154" s="4757"/>
      <c r="C154" s="8475" t="s">
        <v>7211</v>
      </c>
      <c r="D154" s="8475"/>
      <c r="E154" s="8475"/>
      <c r="F154" s="8475"/>
      <c r="G154" s="8475"/>
      <c r="H154" s="8475"/>
      <c r="I154" s="8475"/>
      <c r="J154" s="8475"/>
      <c r="K154" s="8475"/>
      <c r="L154" s="8475"/>
      <c r="M154" s="4757"/>
      <c r="N154" s="4757"/>
      <c r="O154" s="4758"/>
      <c r="P154" s="4757"/>
      <c r="Q154" s="4757"/>
      <c r="R154" s="4757"/>
      <c r="S154" s="4759"/>
      <c r="T154" s="4759"/>
      <c r="U154" s="4759"/>
      <c r="V154" s="4759"/>
      <c r="W154" s="4759"/>
      <c r="X154" s="4744"/>
      <c r="Y154" s="4746"/>
      <c r="Z154" s="632"/>
      <c r="AA154" s="632"/>
      <c r="AB154" s="632"/>
      <c r="AC154" s="632"/>
      <c r="AD154" s="632"/>
      <c r="AE154" s="632"/>
      <c r="AF154" s="632"/>
      <c r="AG154" s="632"/>
      <c r="AH154" s="632"/>
      <c r="AI154" s="632"/>
      <c r="AJ154" s="632"/>
      <c r="AK154" s="632"/>
      <c r="AL154" s="632"/>
    </row>
    <row r="155" spans="1:38" s="4766" customFormat="1" ht="40.5" customHeight="1">
      <c r="A155" s="4744"/>
      <c r="B155" s="4757"/>
      <c r="C155" s="4778" t="s">
        <v>7212</v>
      </c>
      <c r="D155" s="4779"/>
      <c r="E155" s="4757"/>
      <c r="F155" s="4757"/>
      <c r="G155" s="4776"/>
      <c r="H155" s="4757"/>
      <c r="I155" s="4757"/>
      <c r="J155" s="4757"/>
      <c r="K155" s="4757"/>
      <c r="L155" s="4757"/>
      <c r="M155" s="4757"/>
      <c r="N155" s="4757"/>
      <c r="O155" s="4758"/>
      <c r="P155" s="4757"/>
      <c r="Q155" s="4757"/>
      <c r="R155" s="4757"/>
      <c r="S155" s="4759"/>
      <c r="T155" s="4759"/>
      <c r="U155" s="4759"/>
      <c r="V155" s="4759"/>
      <c r="W155" s="4759"/>
      <c r="X155" s="4744"/>
      <c r="Y155" s="4746"/>
      <c r="Z155" s="632"/>
      <c r="AA155" s="632"/>
      <c r="AB155" s="632"/>
      <c r="AC155" s="632"/>
      <c r="AD155" s="632"/>
      <c r="AE155" s="632"/>
      <c r="AF155" s="632"/>
      <c r="AG155" s="632"/>
      <c r="AH155" s="632"/>
      <c r="AI155" s="632"/>
      <c r="AJ155" s="632"/>
      <c r="AK155" s="632"/>
      <c r="AL155" s="632"/>
    </row>
    <row r="156" spans="1:38" s="4766" customFormat="1" ht="40.5" customHeight="1">
      <c r="A156" s="4744"/>
      <c r="B156" s="4757"/>
      <c r="C156" s="8475" t="s">
        <v>7213</v>
      </c>
      <c r="D156" s="8475"/>
      <c r="E156" s="8475"/>
      <c r="F156" s="8475"/>
      <c r="G156" s="8475"/>
      <c r="H156" s="8475"/>
      <c r="I156" s="8475"/>
      <c r="J156" s="8475"/>
      <c r="K156" s="8475"/>
      <c r="L156" s="8475"/>
      <c r="M156" s="4757"/>
      <c r="N156" s="4757"/>
      <c r="O156" s="4758"/>
      <c r="P156" s="4757"/>
      <c r="Q156" s="4757"/>
      <c r="R156" s="4757"/>
      <c r="S156" s="4759"/>
      <c r="T156" s="5495" t="s">
        <v>1</v>
      </c>
      <c r="U156" s="4759"/>
      <c r="V156" s="4759"/>
      <c r="W156" s="4759"/>
      <c r="X156" s="4744"/>
      <c r="Y156" s="4746"/>
      <c r="Z156" s="632"/>
      <c r="AA156" s="632"/>
      <c r="AB156" s="632"/>
      <c r="AC156" s="632"/>
      <c r="AD156" s="632"/>
      <c r="AE156" s="632"/>
      <c r="AF156" s="632"/>
      <c r="AG156" s="632"/>
      <c r="AH156" s="632"/>
      <c r="AI156" s="632"/>
      <c r="AJ156" s="632"/>
      <c r="AK156" s="632"/>
      <c r="AL156" s="632"/>
    </row>
    <row r="157" spans="1:38" s="4766" customFormat="1" ht="40.5" customHeight="1">
      <c r="A157" s="4744"/>
      <c r="B157" s="4757"/>
      <c r="C157" s="4778" t="s">
        <v>7214</v>
      </c>
      <c r="D157" s="4779"/>
      <c r="E157" s="4757"/>
      <c r="F157" s="4757"/>
      <c r="G157" s="4776"/>
      <c r="H157" s="4757"/>
      <c r="I157" s="4757"/>
      <c r="J157" s="4757"/>
      <c r="K157" s="4757"/>
      <c r="L157" s="4757"/>
      <c r="M157" s="4757"/>
      <c r="N157" s="4757"/>
      <c r="O157" s="4758"/>
      <c r="P157" s="4757"/>
      <c r="Q157" s="4757"/>
      <c r="R157" s="4757"/>
      <c r="S157" s="4759"/>
      <c r="T157" s="4759"/>
      <c r="U157" s="4759"/>
      <c r="V157" s="4759"/>
      <c r="W157" s="4759"/>
      <c r="X157" s="4744"/>
      <c r="Y157" s="4746"/>
      <c r="Z157" s="632"/>
      <c r="AA157" s="632"/>
      <c r="AB157" s="632"/>
      <c r="AC157" s="632"/>
      <c r="AD157" s="632"/>
      <c r="AE157" s="632"/>
      <c r="AF157" s="632"/>
      <c r="AG157" s="632"/>
      <c r="AH157" s="632"/>
      <c r="AI157" s="632"/>
      <c r="AJ157" s="632"/>
      <c r="AK157" s="632"/>
      <c r="AL157" s="632"/>
    </row>
    <row r="158" spans="1:38" s="4766" customFormat="1" ht="40.5" customHeight="1">
      <c r="A158" s="4744"/>
      <c r="B158" s="4757"/>
      <c r="C158" s="8475" t="s">
        <v>7215</v>
      </c>
      <c r="D158" s="8475"/>
      <c r="E158" s="8475"/>
      <c r="F158" s="8475"/>
      <c r="G158" s="8475"/>
      <c r="H158" s="8475"/>
      <c r="I158" s="8475"/>
      <c r="J158" s="8475"/>
      <c r="K158" s="8475"/>
      <c r="L158" s="8475"/>
      <c r="M158" s="4757"/>
      <c r="N158" s="4757"/>
      <c r="O158" s="4758"/>
      <c r="P158" s="4757"/>
      <c r="Q158" s="4757"/>
      <c r="R158" s="4757"/>
      <c r="S158" s="4759"/>
      <c r="T158" s="4759"/>
      <c r="U158" s="4759"/>
      <c r="V158" s="4759"/>
      <c r="W158" s="4759"/>
      <c r="X158" s="4744"/>
      <c r="Y158" s="4746"/>
      <c r="Z158" s="632"/>
      <c r="AA158" s="632"/>
      <c r="AB158" s="632"/>
      <c r="AC158" s="632"/>
      <c r="AD158" s="632"/>
      <c r="AE158" s="632"/>
      <c r="AF158" s="632"/>
      <c r="AG158" s="632"/>
      <c r="AH158" s="632"/>
      <c r="AI158" s="632"/>
      <c r="AJ158" s="632"/>
      <c r="AK158" s="632"/>
      <c r="AL158" s="632"/>
    </row>
    <row r="159" spans="1:38" s="4766" customFormat="1" ht="40.5" customHeight="1">
      <c r="A159" s="4744"/>
      <c r="B159" s="4757"/>
      <c r="C159" s="4779"/>
      <c r="D159" s="4779"/>
      <c r="E159" s="4757"/>
      <c r="F159" s="4757"/>
      <c r="G159" s="4776"/>
      <c r="H159" s="4757"/>
      <c r="I159" s="4757"/>
      <c r="J159" s="4757"/>
      <c r="K159" s="4757"/>
      <c r="L159" s="4757"/>
      <c r="M159" s="4757"/>
      <c r="N159" s="4757"/>
      <c r="O159" s="4758"/>
      <c r="P159" s="4757"/>
      <c r="Q159" s="4757"/>
      <c r="R159" s="4757"/>
      <c r="S159" s="4759"/>
      <c r="T159" s="4759"/>
      <c r="U159" s="4759"/>
      <c r="V159" s="4759"/>
      <c r="W159" s="4759"/>
      <c r="X159" s="4744"/>
      <c r="Y159" s="4746"/>
      <c r="Z159" s="632"/>
      <c r="AA159" s="632"/>
      <c r="AB159" s="632"/>
      <c r="AC159" s="632"/>
      <c r="AD159" s="632"/>
      <c r="AE159" s="632"/>
      <c r="AF159" s="632"/>
      <c r="AG159" s="632"/>
      <c r="AH159" s="632"/>
      <c r="AI159" s="632"/>
      <c r="AJ159" s="632"/>
      <c r="AK159" s="632"/>
      <c r="AL159" s="632"/>
    </row>
    <row r="160" spans="1:38" s="4766" customFormat="1" ht="40.5" customHeight="1">
      <c r="A160" s="4744"/>
      <c r="B160" s="4757"/>
      <c r="C160" s="8475" t="s">
        <v>6987</v>
      </c>
      <c r="D160" s="8475"/>
      <c r="E160" s="8475"/>
      <c r="F160" s="8475"/>
      <c r="G160" s="8475"/>
      <c r="H160" s="8475"/>
      <c r="I160" s="8475"/>
      <c r="J160" s="8475"/>
      <c r="K160" s="8475"/>
      <c r="L160" s="8475"/>
      <c r="M160" s="4757"/>
      <c r="N160" s="4757"/>
      <c r="O160" s="4758"/>
      <c r="P160" s="4757"/>
      <c r="Q160" s="4757"/>
      <c r="R160" s="4757"/>
      <c r="S160" s="4759"/>
      <c r="T160" s="4759"/>
      <c r="U160" s="4759"/>
      <c r="V160" s="4759"/>
      <c r="W160" s="4759"/>
      <c r="X160" s="4744"/>
      <c r="Y160" s="4746"/>
      <c r="Z160" s="632"/>
      <c r="AA160" s="632"/>
      <c r="AB160" s="632"/>
      <c r="AC160" s="632"/>
      <c r="AD160" s="632"/>
      <c r="AE160" s="632"/>
      <c r="AF160" s="632"/>
      <c r="AG160" s="632"/>
      <c r="AH160" s="632"/>
      <c r="AI160" s="632"/>
      <c r="AJ160" s="632"/>
      <c r="AK160" s="632"/>
      <c r="AL160" s="632"/>
    </row>
    <row r="161" spans="1:38" s="4766" customFormat="1" ht="40.5" customHeight="1">
      <c r="A161" s="4744"/>
      <c r="B161" s="4757"/>
      <c r="C161" s="8475" t="s">
        <v>6989</v>
      </c>
      <c r="D161" s="8475"/>
      <c r="E161" s="8475"/>
      <c r="F161" s="8475"/>
      <c r="G161" s="8475"/>
      <c r="H161" s="8475"/>
      <c r="I161" s="8475"/>
      <c r="J161" s="8475"/>
      <c r="K161" s="8475"/>
      <c r="L161" s="8475"/>
      <c r="M161" s="4757"/>
      <c r="N161" s="4757"/>
      <c r="O161" s="4758"/>
      <c r="P161" s="4757"/>
      <c r="Q161" s="4757"/>
      <c r="R161" s="4757"/>
      <c r="S161" s="4759"/>
      <c r="T161" s="4759"/>
      <c r="U161" s="4759"/>
      <c r="V161" s="4759"/>
      <c r="W161" s="4759"/>
      <c r="X161" s="4744"/>
      <c r="Y161" s="4746"/>
      <c r="Z161" s="632"/>
      <c r="AA161" s="632"/>
      <c r="AB161" s="632"/>
      <c r="AC161" s="632"/>
      <c r="AD161" s="632"/>
      <c r="AE161" s="632"/>
      <c r="AF161" s="632"/>
      <c r="AG161" s="632"/>
      <c r="AH161" s="632"/>
      <c r="AI161" s="632"/>
      <c r="AJ161" s="632"/>
      <c r="AK161" s="632"/>
      <c r="AL161" s="632"/>
    </row>
    <row r="162" spans="1:38" s="4766" customFormat="1" ht="40.5" customHeight="1">
      <c r="A162" s="4744"/>
      <c r="B162" s="4757"/>
      <c r="C162" s="8475" t="s">
        <v>6990</v>
      </c>
      <c r="D162" s="8475"/>
      <c r="E162" s="8475"/>
      <c r="F162" s="8475"/>
      <c r="G162" s="8475"/>
      <c r="H162" s="8475"/>
      <c r="I162" s="8475"/>
      <c r="J162" s="8475"/>
      <c r="K162" s="8475"/>
      <c r="L162" s="8475"/>
      <c r="M162" s="4757"/>
      <c r="N162" s="4757"/>
      <c r="O162" s="4758"/>
      <c r="P162" s="4757"/>
      <c r="Q162" s="4757"/>
      <c r="R162" s="4757"/>
      <c r="S162" s="4759"/>
      <c r="T162" s="4759"/>
      <c r="U162" s="4759"/>
      <c r="V162" s="4759"/>
      <c r="W162" s="4759"/>
      <c r="X162" s="4744"/>
      <c r="Y162" s="4746"/>
      <c r="Z162" s="632"/>
      <c r="AA162" s="632"/>
      <c r="AB162" s="632"/>
      <c r="AC162" s="632"/>
      <c r="AD162" s="632"/>
      <c r="AE162" s="632"/>
      <c r="AF162" s="632"/>
      <c r="AG162" s="632"/>
      <c r="AH162" s="632"/>
      <c r="AI162" s="632"/>
      <c r="AJ162" s="632"/>
      <c r="AK162" s="632"/>
      <c r="AL162" s="632"/>
    </row>
    <row r="163" spans="1:38" s="4766" customFormat="1" ht="40.5" customHeight="1">
      <c r="A163" s="4744"/>
      <c r="B163" s="4757"/>
      <c r="C163" s="8475" t="s">
        <v>6994</v>
      </c>
      <c r="D163" s="8475"/>
      <c r="E163" s="8475"/>
      <c r="F163" s="8475"/>
      <c r="G163" s="8475"/>
      <c r="H163" s="8475"/>
      <c r="I163" s="8475"/>
      <c r="J163" s="8475"/>
      <c r="K163" s="8475"/>
      <c r="L163" s="8475"/>
      <c r="M163" s="4757"/>
      <c r="N163" s="4757"/>
      <c r="O163" s="4758"/>
      <c r="P163" s="4757"/>
      <c r="Q163" s="4757"/>
      <c r="R163" s="4757"/>
      <c r="S163" s="4759"/>
      <c r="T163" s="4759"/>
      <c r="U163" s="4759"/>
      <c r="V163" s="4759"/>
      <c r="W163" s="4759"/>
      <c r="X163" s="4744"/>
      <c r="Y163" s="4746"/>
      <c r="Z163" s="632"/>
      <c r="AA163" s="632"/>
      <c r="AB163" s="632"/>
      <c r="AC163" s="632"/>
      <c r="AD163" s="632"/>
      <c r="AE163" s="632"/>
      <c r="AF163" s="632"/>
      <c r="AG163" s="632"/>
      <c r="AH163" s="632"/>
      <c r="AI163" s="632"/>
      <c r="AJ163" s="632"/>
      <c r="AK163" s="632"/>
      <c r="AL163" s="632"/>
    </row>
    <row r="164" spans="1:38" s="4766" customFormat="1" ht="40.5" customHeight="1">
      <c r="A164" s="4744"/>
      <c r="B164" s="4757"/>
      <c r="C164" s="8475" t="s">
        <v>6957</v>
      </c>
      <c r="D164" s="8475"/>
      <c r="E164" s="8475"/>
      <c r="F164" s="8475"/>
      <c r="G164" s="8475"/>
      <c r="H164" s="8475"/>
      <c r="I164" s="8475"/>
      <c r="J164" s="8475"/>
      <c r="K164" s="8475"/>
      <c r="L164" s="8475"/>
      <c r="M164" s="4757"/>
      <c r="N164" s="4757"/>
      <c r="O164" s="4758"/>
      <c r="P164" s="4757"/>
      <c r="Q164" s="4757"/>
      <c r="R164" s="4757"/>
      <c r="S164" s="4759"/>
      <c r="T164" s="4759"/>
      <c r="U164" s="4759"/>
      <c r="V164" s="4759"/>
      <c r="W164" s="4759"/>
      <c r="X164" s="4744"/>
      <c r="Y164" s="4746"/>
      <c r="Z164" s="632"/>
      <c r="AA164" s="632"/>
      <c r="AB164" s="632"/>
      <c r="AC164" s="632"/>
      <c r="AD164" s="632"/>
      <c r="AE164" s="632"/>
      <c r="AF164" s="632"/>
      <c r="AG164" s="632"/>
      <c r="AH164" s="632"/>
      <c r="AI164" s="632"/>
      <c r="AJ164" s="632"/>
      <c r="AK164" s="632"/>
      <c r="AL164" s="632"/>
    </row>
    <row r="165" spans="1:38" s="4766" customFormat="1" ht="40.5" customHeight="1">
      <c r="A165" s="4744"/>
      <c r="B165" s="4757"/>
      <c r="C165" s="8475" t="s">
        <v>6959</v>
      </c>
      <c r="D165" s="8475"/>
      <c r="E165" s="8475"/>
      <c r="F165" s="8475"/>
      <c r="G165" s="8475"/>
      <c r="H165" s="8475"/>
      <c r="I165" s="8475"/>
      <c r="J165" s="8475"/>
      <c r="K165" s="8475"/>
      <c r="L165" s="8475"/>
      <c r="M165" s="4757"/>
      <c r="N165" s="4757"/>
      <c r="O165" s="4758"/>
      <c r="P165" s="4757"/>
      <c r="Q165" s="4757"/>
      <c r="R165" s="4757"/>
      <c r="S165" s="4759"/>
      <c r="T165" s="4759"/>
      <c r="U165" s="4759"/>
      <c r="V165" s="4759"/>
      <c r="W165" s="4759"/>
      <c r="X165" s="4744"/>
      <c r="Y165" s="4746"/>
      <c r="Z165" s="632"/>
      <c r="AA165" s="632"/>
      <c r="AB165" s="632"/>
      <c r="AC165" s="632"/>
      <c r="AD165" s="632"/>
      <c r="AE165" s="632"/>
      <c r="AF165" s="632"/>
      <c r="AG165" s="632"/>
      <c r="AH165" s="632"/>
      <c r="AI165" s="632"/>
      <c r="AJ165" s="632"/>
      <c r="AK165" s="632"/>
      <c r="AL165" s="632"/>
    </row>
    <row r="166" spans="1:38" s="4766" customFormat="1" ht="40.5" customHeight="1">
      <c r="A166" s="4744"/>
      <c r="B166" s="4757"/>
      <c r="C166" s="8475" t="s">
        <v>6960</v>
      </c>
      <c r="D166" s="8475"/>
      <c r="E166" s="8475"/>
      <c r="F166" s="8475"/>
      <c r="G166" s="8475"/>
      <c r="H166" s="8475"/>
      <c r="I166" s="8475"/>
      <c r="J166" s="8475"/>
      <c r="K166" s="8475"/>
      <c r="L166" s="8475"/>
      <c r="M166" s="4757"/>
      <c r="N166" s="4757"/>
      <c r="O166" s="4758"/>
      <c r="P166" s="4757"/>
      <c r="Q166" s="4757"/>
      <c r="R166" s="4757"/>
      <c r="S166" s="4759"/>
      <c r="T166" s="4759"/>
      <c r="U166" s="4759"/>
      <c r="V166" s="4759"/>
      <c r="W166" s="4759"/>
      <c r="X166" s="4744"/>
      <c r="Y166" s="4746"/>
      <c r="Z166" s="632"/>
      <c r="AA166" s="632"/>
      <c r="AB166" s="632"/>
      <c r="AC166" s="632"/>
      <c r="AD166" s="632"/>
      <c r="AE166" s="632"/>
      <c r="AF166" s="632"/>
      <c r="AG166" s="632"/>
      <c r="AH166" s="632"/>
      <c r="AI166" s="632"/>
      <c r="AJ166" s="632"/>
      <c r="AK166" s="632"/>
      <c r="AL166" s="632"/>
    </row>
    <row r="167" spans="1:38" s="4766" customFormat="1" ht="40.5" customHeight="1">
      <c r="A167" s="4744"/>
      <c r="B167" s="4757"/>
      <c r="C167" s="8475" t="s">
        <v>6962</v>
      </c>
      <c r="D167" s="8475"/>
      <c r="E167" s="8475"/>
      <c r="F167" s="8475"/>
      <c r="G167" s="8475"/>
      <c r="H167" s="8475"/>
      <c r="I167" s="8475"/>
      <c r="J167" s="8475"/>
      <c r="K167" s="8475"/>
      <c r="L167" s="8475"/>
      <c r="M167" s="4757"/>
      <c r="N167" s="4757"/>
      <c r="O167" s="4758"/>
      <c r="P167" s="4757"/>
      <c r="Q167" s="4757"/>
      <c r="R167" s="4757"/>
      <c r="S167" s="4759"/>
      <c r="T167" s="4759"/>
      <c r="U167" s="4759"/>
      <c r="V167" s="4759"/>
      <c r="W167" s="4759"/>
      <c r="X167" s="4744"/>
      <c r="Y167" s="4746"/>
      <c r="Z167" s="632"/>
      <c r="AA167" s="632"/>
      <c r="AB167" s="632"/>
      <c r="AC167" s="632"/>
      <c r="AD167" s="632"/>
      <c r="AE167" s="632"/>
      <c r="AF167" s="632"/>
      <c r="AG167" s="632"/>
      <c r="AH167" s="632"/>
      <c r="AI167" s="632"/>
      <c r="AJ167" s="632"/>
      <c r="AK167" s="632"/>
      <c r="AL167" s="632"/>
    </row>
    <row r="168" spans="1:38" s="4766" customFormat="1" ht="40.5" customHeight="1">
      <c r="A168" s="4744"/>
      <c r="B168" s="4757"/>
      <c r="C168" s="8475" t="s">
        <v>6963</v>
      </c>
      <c r="D168" s="8475"/>
      <c r="E168" s="8475"/>
      <c r="F168" s="8475"/>
      <c r="G168" s="8475"/>
      <c r="H168" s="8475"/>
      <c r="I168" s="8475"/>
      <c r="J168" s="8475"/>
      <c r="K168" s="8475"/>
      <c r="L168" s="8475"/>
      <c r="M168" s="4757"/>
      <c r="N168" s="4757"/>
      <c r="O168" s="4758"/>
      <c r="P168" s="4757"/>
      <c r="Q168" s="4757"/>
      <c r="R168" s="4757"/>
      <c r="S168" s="4759"/>
      <c r="T168" s="4759"/>
      <c r="U168" s="4759"/>
      <c r="V168" s="4759"/>
      <c r="W168" s="4759"/>
      <c r="X168" s="4744"/>
      <c r="Y168" s="4746"/>
      <c r="Z168" s="632"/>
      <c r="AA168" s="632"/>
      <c r="AB168" s="632"/>
      <c r="AC168" s="632"/>
      <c r="AD168" s="632"/>
      <c r="AE168" s="632"/>
      <c r="AF168" s="632"/>
      <c r="AG168" s="632"/>
      <c r="AH168" s="632"/>
      <c r="AI168" s="632"/>
      <c r="AJ168" s="632"/>
      <c r="AK168" s="632"/>
      <c r="AL168" s="632"/>
    </row>
    <row r="169" spans="1:38" s="4766" customFormat="1" ht="40.5" customHeight="1">
      <c r="A169" s="4744"/>
      <c r="B169" s="4757"/>
      <c r="C169" s="8475" t="s">
        <v>6964</v>
      </c>
      <c r="D169" s="8475"/>
      <c r="E169" s="8475"/>
      <c r="F169" s="8475"/>
      <c r="G169" s="8475"/>
      <c r="H169" s="8475"/>
      <c r="I169" s="8475"/>
      <c r="J169" s="8475"/>
      <c r="K169" s="8475"/>
      <c r="L169" s="8475"/>
      <c r="M169" s="4757"/>
      <c r="N169" s="4757"/>
      <c r="O169" s="4758"/>
      <c r="P169" s="4757"/>
      <c r="Q169" s="4757"/>
      <c r="R169" s="4757"/>
      <c r="S169" s="4759"/>
      <c r="T169" s="4759"/>
      <c r="U169" s="4759"/>
      <c r="V169" s="4759"/>
      <c r="W169" s="4759"/>
      <c r="X169" s="4744"/>
      <c r="Y169" s="4746"/>
      <c r="Z169" s="632"/>
      <c r="AA169" s="632"/>
      <c r="AB169" s="632"/>
      <c r="AC169" s="632"/>
      <c r="AD169" s="632"/>
      <c r="AE169" s="632"/>
      <c r="AF169" s="632"/>
      <c r="AG169" s="632"/>
      <c r="AH169" s="632"/>
      <c r="AI169" s="632"/>
      <c r="AJ169" s="632"/>
      <c r="AK169" s="632"/>
      <c r="AL169" s="632"/>
    </row>
    <row r="170" spans="1:38" s="4766" customFormat="1" ht="40.5" customHeight="1">
      <c r="A170" s="4744"/>
      <c r="B170" s="4757"/>
      <c r="C170" s="4757"/>
      <c r="D170" s="4757"/>
      <c r="E170" s="4757"/>
      <c r="F170" s="4757"/>
      <c r="G170" s="4776"/>
      <c r="H170" s="4757"/>
      <c r="I170" s="4757"/>
      <c r="J170" s="4757"/>
      <c r="K170" s="4757"/>
      <c r="L170" s="4757"/>
      <c r="M170" s="4757"/>
      <c r="N170" s="4757"/>
      <c r="O170" s="4758"/>
      <c r="P170" s="4757"/>
      <c r="Q170" s="4757"/>
      <c r="R170" s="4757"/>
      <c r="S170" s="4759"/>
      <c r="T170" s="4759"/>
      <c r="U170" s="4759"/>
      <c r="V170" s="4759"/>
      <c r="W170" s="4759"/>
      <c r="X170" s="4744"/>
      <c r="Y170" s="4746"/>
      <c r="Z170" s="632"/>
      <c r="AA170" s="632"/>
      <c r="AB170" s="632"/>
      <c r="AC170" s="632"/>
      <c r="AD170" s="632"/>
      <c r="AE170" s="632"/>
      <c r="AF170" s="632"/>
      <c r="AG170" s="632"/>
      <c r="AH170" s="632"/>
      <c r="AI170" s="632"/>
      <c r="AJ170" s="632"/>
      <c r="AK170" s="632"/>
      <c r="AL170" s="632"/>
    </row>
    <row r="171" spans="1:38" s="4766" customFormat="1" ht="40.5" customHeight="1">
      <c r="A171" s="4744"/>
      <c r="B171" s="4781"/>
      <c r="C171" s="4782" t="s">
        <v>7216</v>
      </c>
      <c r="D171" s="4758"/>
      <c r="E171" s="4757"/>
      <c r="F171" s="4757"/>
      <c r="G171" s="4776"/>
      <c r="H171" s="4757"/>
      <c r="I171" s="4757"/>
      <c r="J171" s="4757"/>
      <c r="K171" s="4757"/>
      <c r="L171" s="4757"/>
      <c r="M171" s="4757"/>
      <c r="N171" s="4757"/>
      <c r="O171" s="4758"/>
      <c r="P171" s="4757"/>
      <c r="Q171" s="4757"/>
      <c r="R171" s="4757"/>
      <c r="S171" s="4759"/>
      <c r="T171" s="4759"/>
      <c r="U171" s="4759"/>
      <c r="V171" s="4759"/>
      <c r="W171" s="4759"/>
      <c r="X171" s="4744"/>
      <c r="Y171" s="4746"/>
      <c r="Z171" s="632"/>
      <c r="AA171" s="632"/>
      <c r="AB171" s="632"/>
      <c r="AC171" s="632"/>
      <c r="AD171" s="632"/>
      <c r="AE171" s="632"/>
      <c r="AF171" s="632"/>
      <c r="AG171" s="632"/>
      <c r="AH171" s="632"/>
      <c r="AI171" s="632"/>
      <c r="AJ171" s="632"/>
      <c r="AK171" s="632"/>
      <c r="AL171" s="632"/>
    </row>
    <row r="172" spans="1:38" s="4766" customFormat="1" ht="40.5" customHeight="1">
      <c r="A172" s="4744"/>
      <c r="B172" s="4781"/>
      <c r="C172" s="8475" t="s">
        <v>7217</v>
      </c>
      <c r="D172" s="8475"/>
      <c r="E172" s="8475"/>
      <c r="F172" s="8475"/>
      <c r="G172" s="8475"/>
      <c r="H172" s="8475"/>
      <c r="I172" s="8475"/>
      <c r="J172" s="8475"/>
      <c r="K172" s="8475"/>
      <c r="L172" s="8475"/>
      <c r="M172" s="4757"/>
      <c r="N172" s="4757"/>
      <c r="O172" s="4758"/>
      <c r="P172" s="4757"/>
      <c r="Q172" s="4757"/>
      <c r="R172" s="4757"/>
      <c r="S172" s="4759"/>
      <c r="T172" s="4759"/>
      <c r="U172" s="4759"/>
      <c r="V172" s="4759"/>
      <c r="W172" s="4759"/>
      <c r="X172" s="4744"/>
      <c r="Y172" s="4746"/>
      <c r="Z172" s="632"/>
      <c r="AA172" s="632"/>
      <c r="AB172" s="632"/>
      <c r="AC172" s="632"/>
      <c r="AD172" s="632"/>
      <c r="AE172" s="632"/>
      <c r="AF172" s="632"/>
      <c r="AG172" s="632"/>
      <c r="AH172" s="632"/>
      <c r="AI172" s="632"/>
      <c r="AJ172" s="632"/>
      <c r="AK172" s="632"/>
      <c r="AL172" s="632"/>
    </row>
    <row r="173" spans="1:38" s="4766" customFormat="1" ht="40.5" customHeight="1">
      <c r="A173" s="4744"/>
      <c r="B173" s="4781"/>
      <c r="C173" s="4782" t="s">
        <v>7218</v>
      </c>
      <c r="D173" s="4758"/>
      <c r="E173" s="4757"/>
      <c r="F173" s="4757"/>
      <c r="G173" s="4776"/>
      <c r="H173" s="4757"/>
      <c r="I173" s="4757"/>
      <c r="J173" s="4757"/>
      <c r="K173" s="4757"/>
      <c r="L173" s="4757"/>
      <c r="M173" s="4757"/>
      <c r="N173" s="4757"/>
      <c r="O173" s="4758"/>
      <c r="P173" s="4757"/>
      <c r="Q173" s="4757"/>
      <c r="R173" s="4757"/>
      <c r="S173" s="4759"/>
      <c r="T173" s="4759"/>
      <c r="U173" s="4759"/>
      <c r="V173" s="4759"/>
      <c r="W173" s="4759"/>
      <c r="X173" s="4744"/>
      <c r="Y173" s="4746"/>
      <c r="Z173" s="632"/>
      <c r="AA173" s="632"/>
      <c r="AB173" s="632"/>
      <c r="AC173" s="632"/>
      <c r="AD173" s="632"/>
      <c r="AE173" s="632"/>
      <c r="AF173" s="632"/>
      <c r="AG173" s="632"/>
      <c r="AH173" s="632"/>
      <c r="AI173" s="632"/>
      <c r="AJ173" s="632"/>
      <c r="AK173" s="632"/>
      <c r="AL173" s="632"/>
    </row>
    <row r="174" spans="1:38" s="4766" customFormat="1" ht="40.5" customHeight="1">
      <c r="A174" s="4744"/>
      <c r="B174" s="4781"/>
      <c r="C174" s="8475" t="s">
        <v>7219</v>
      </c>
      <c r="D174" s="8475"/>
      <c r="E174" s="8475"/>
      <c r="F174" s="8475"/>
      <c r="G174" s="8475"/>
      <c r="H174" s="8475"/>
      <c r="I174" s="8475"/>
      <c r="J174" s="8475"/>
      <c r="K174" s="8475"/>
      <c r="L174" s="8475"/>
      <c r="M174" s="4757"/>
      <c r="N174" s="4757"/>
      <c r="O174" s="4758"/>
      <c r="P174" s="4757"/>
      <c r="Q174" s="4757"/>
      <c r="R174" s="4757"/>
      <c r="S174" s="4759"/>
      <c r="T174" s="4759"/>
      <c r="U174" s="4759"/>
      <c r="V174" s="4759"/>
      <c r="W174" s="4759"/>
      <c r="X174" s="4744"/>
      <c r="Y174" s="4746"/>
      <c r="Z174" s="632"/>
      <c r="AA174" s="632"/>
      <c r="AB174" s="632"/>
      <c r="AC174" s="632"/>
      <c r="AD174" s="632"/>
      <c r="AE174" s="632"/>
      <c r="AF174" s="632"/>
      <c r="AG174" s="632"/>
      <c r="AH174" s="632"/>
      <c r="AI174" s="632"/>
      <c r="AJ174" s="632"/>
      <c r="AK174" s="632"/>
      <c r="AL174" s="632"/>
    </row>
    <row r="175" spans="1:38" s="4766" customFormat="1" ht="40.5" customHeight="1">
      <c r="A175" s="4744"/>
      <c r="B175" s="4781"/>
      <c r="C175" s="4782" t="s">
        <v>7220</v>
      </c>
      <c r="D175" s="4758"/>
      <c r="E175" s="4757"/>
      <c r="F175" s="4757"/>
      <c r="G175" s="4776"/>
      <c r="H175" s="4757"/>
      <c r="I175" s="4757"/>
      <c r="J175" s="4757"/>
      <c r="K175" s="4757"/>
      <c r="L175" s="4757"/>
      <c r="M175" s="4757"/>
      <c r="N175" s="4757"/>
      <c r="O175" s="4758"/>
      <c r="P175" s="4757"/>
      <c r="Q175" s="4757"/>
      <c r="R175" s="4757"/>
      <c r="S175" s="4759"/>
      <c r="T175" s="4759"/>
      <c r="U175" s="4759"/>
      <c r="V175" s="4759"/>
      <c r="W175" s="4759"/>
      <c r="X175" s="4744"/>
      <c r="Y175" s="4746"/>
      <c r="Z175" s="632"/>
      <c r="AA175" s="632"/>
      <c r="AB175" s="632"/>
      <c r="AC175" s="632"/>
      <c r="AD175" s="632"/>
      <c r="AE175" s="632"/>
      <c r="AF175" s="632"/>
      <c r="AG175" s="632"/>
      <c r="AH175" s="632"/>
      <c r="AI175" s="632"/>
      <c r="AJ175" s="632"/>
      <c r="AK175" s="632"/>
      <c r="AL175" s="632"/>
    </row>
    <row r="176" spans="1:38" s="4766" customFormat="1" ht="40.5" customHeight="1">
      <c r="A176" s="4744"/>
      <c r="B176" s="4781"/>
      <c r="C176" s="8475" t="s">
        <v>7221</v>
      </c>
      <c r="D176" s="8475"/>
      <c r="E176" s="8475"/>
      <c r="F176" s="8475"/>
      <c r="G176" s="8475"/>
      <c r="H176" s="8475"/>
      <c r="I176" s="8475"/>
      <c r="J176" s="8475"/>
      <c r="K176" s="8475"/>
      <c r="L176" s="8475"/>
      <c r="M176" s="4757"/>
      <c r="N176" s="4757"/>
      <c r="O176" s="4758"/>
      <c r="P176" s="4757"/>
      <c r="Q176" s="4757"/>
      <c r="R176" s="4757"/>
      <c r="S176" s="4759"/>
      <c r="T176" s="4759"/>
      <c r="U176" s="4759"/>
      <c r="V176" s="4759"/>
      <c r="W176" s="4759"/>
      <c r="X176" s="4744"/>
      <c r="Y176" s="4746"/>
      <c r="Z176" s="632"/>
      <c r="AA176" s="632"/>
      <c r="AB176" s="632"/>
      <c r="AC176" s="632"/>
      <c r="AD176" s="632"/>
      <c r="AE176" s="632"/>
      <c r="AF176" s="632"/>
      <c r="AG176" s="632"/>
      <c r="AH176" s="632"/>
      <c r="AI176" s="632"/>
      <c r="AJ176" s="632"/>
      <c r="AK176" s="632"/>
      <c r="AL176" s="632"/>
    </row>
    <row r="177" spans="1:38" s="4766" customFormat="1" ht="40.5" customHeight="1">
      <c r="A177" s="4744"/>
      <c r="B177" s="4781"/>
      <c r="C177" s="4757"/>
      <c r="D177" s="8479" t="s">
        <v>7222</v>
      </c>
      <c r="E177" s="8479"/>
      <c r="F177" s="8479"/>
      <c r="G177" s="8479"/>
      <c r="H177" s="8479"/>
      <c r="I177" s="8479"/>
      <c r="J177" s="8479"/>
      <c r="K177" s="8479"/>
      <c r="L177" s="8479"/>
      <c r="M177" s="4757"/>
      <c r="N177" s="4757"/>
      <c r="O177" s="4758"/>
      <c r="P177" s="4757"/>
      <c r="Q177" s="4757"/>
      <c r="R177" s="4757"/>
      <c r="S177" s="4759"/>
      <c r="T177" s="4759"/>
      <c r="U177" s="4759"/>
      <c r="V177" s="4759"/>
      <c r="W177" s="4759"/>
      <c r="X177" s="4744"/>
      <c r="Y177" s="4746"/>
      <c r="Z177" s="632"/>
      <c r="AA177" s="632"/>
      <c r="AB177" s="632"/>
      <c r="AC177" s="632"/>
      <c r="AD177" s="632"/>
      <c r="AE177" s="632"/>
      <c r="AF177" s="632"/>
      <c r="AG177" s="632"/>
      <c r="AH177" s="632"/>
      <c r="AI177" s="632"/>
      <c r="AJ177" s="632"/>
      <c r="AK177" s="632"/>
      <c r="AL177" s="632"/>
    </row>
    <row r="178" spans="1:38" s="4766" customFormat="1" ht="40.5" customHeight="1">
      <c r="A178" s="4744"/>
      <c r="B178" s="4781"/>
      <c r="C178" s="4757"/>
      <c r="D178" s="8479" t="s">
        <v>7223</v>
      </c>
      <c r="E178" s="8479"/>
      <c r="F178" s="8479"/>
      <c r="G178" s="8479"/>
      <c r="H178" s="8479"/>
      <c r="I178" s="8479"/>
      <c r="J178" s="8479"/>
      <c r="K178" s="8479"/>
      <c r="L178" s="8479"/>
      <c r="M178" s="4757"/>
      <c r="N178" s="4757"/>
      <c r="O178" s="4758"/>
      <c r="P178" s="4757"/>
      <c r="Q178" s="4757"/>
      <c r="R178" s="4757"/>
      <c r="S178" s="4759"/>
      <c r="T178" s="4759"/>
      <c r="U178" s="4759"/>
      <c r="V178" s="4759"/>
      <c r="W178" s="4759"/>
      <c r="X178" s="4744"/>
      <c r="Y178" s="4746"/>
      <c r="Z178" s="632"/>
      <c r="AA178" s="632"/>
      <c r="AB178" s="632"/>
      <c r="AC178" s="632"/>
      <c r="AD178" s="632"/>
      <c r="AE178" s="632"/>
      <c r="AF178" s="632"/>
      <c r="AG178" s="632"/>
      <c r="AH178" s="632"/>
      <c r="AI178" s="632"/>
      <c r="AJ178" s="632"/>
      <c r="AK178" s="632"/>
      <c r="AL178" s="632"/>
    </row>
    <row r="179" spans="1:38" s="4766" customFormat="1" ht="40.5" customHeight="1">
      <c r="A179" s="4744"/>
      <c r="B179" s="4781"/>
      <c r="C179" s="4757"/>
      <c r="D179" s="8479" t="s">
        <v>7224</v>
      </c>
      <c r="E179" s="8479"/>
      <c r="F179" s="8479"/>
      <c r="G179" s="8479"/>
      <c r="H179" s="8479"/>
      <c r="I179" s="8479"/>
      <c r="J179" s="8479"/>
      <c r="K179" s="8479"/>
      <c r="L179" s="8479"/>
      <c r="M179" s="4757"/>
      <c r="N179" s="4757"/>
      <c r="O179" s="4758"/>
      <c r="P179" s="4757"/>
      <c r="Q179" s="4757"/>
      <c r="R179" s="4757"/>
      <c r="S179" s="4759"/>
      <c r="T179" s="4759"/>
      <c r="U179" s="4759"/>
      <c r="V179" s="4759"/>
      <c r="W179" s="4759"/>
      <c r="X179" s="4744"/>
      <c r="Y179" s="4746"/>
      <c r="Z179" s="632"/>
      <c r="AA179" s="632"/>
      <c r="AB179" s="632"/>
      <c r="AC179" s="632"/>
      <c r="AD179" s="632"/>
      <c r="AE179" s="632"/>
      <c r="AF179" s="632"/>
      <c r="AG179" s="632"/>
      <c r="AH179" s="632"/>
      <c r="AI179" s="632"/>
      <c r="AJ179" s="632"/>
      <c r="AK179" s="632"/>
      <c r="AL179" s="632"/>
    </row>
    <row r="180" spans="1:38" s="4766" customFormat="1" ht="40.5" customHeight="1">
      <c r="A180" s="4744"/>
      <c r="B180" s="4781"/>
      <c r="C180" s="4757"/>
      <c r="D180" s="8479" t="s">
        <v>7225</v>
      </c>
      <c r="E180" s="8479"/>
      <c r="F180" s="8479"/>
      <c r="G180" s="8479"/>
      <c r="H180" s="8479"/>
      <c r="I180" s="8479"/>
      <c r="J180" s="8479"/>
      <c r="K180" s="8479"/>
      <c r="L180" s="8479"/>
      <c r="M180" s="4757"/>
      <c r="N180" s="4757"/>
      <c r="O180" s="4758"/>
      <c r="P180" s="4757"/>
      <c r="Q180" s="4757"/>
      <c r="R180" s="4757"/>
      <c r="S180" s="4759"/>
      <c r="T180" s="4759"/>
      <c r="U180" s="4759"/>
      <c r="V180" s="4759"/>
      <c r="W180" s="4759"/>
      <c r="X180" s="4744"/>
      <c r="Y180" s="4746"/>
      <c r="Z180" s="632"/>
      <c r="AA180" s="632"/>
      <c r="AB180" s="632"/>
      <c r="AC180" s="632"/>
      <c r="AD180" s="632"/>
      <c r="AE180" s="632"/>
      <c r="AF180" s="632"/>
      <c r="AG180" s="632"/>
      <c r="AH180" s="632"/>
      <c r="AI180" s="632"/>
      <c r="AJ180" s="632"/>
      <c r="AK180" s="632"/>
      <c r="AL180" s="632"/>
    </row>
    <row r="181" spans="1:38" s="4766" customFormat="1" ht="40.5" customHeight="1">
      <c r="A181" s="4744"/>
      <c r="B181" s="4781"/>
      <c r="C181" s="4782" t="s">
        <v>7226</v>
      </c>
      <c r="D181" s="4758"/>
      <c r="E181" s="4757"/>
      <c r="F181" s="4757"/>
      <c r="G181" s="4776"/>
      <c r="H181" s="4757"/>
      <c r="I181" s="4757"/>
      <c r="J181" s="4757"/>
      <c r="K181" s="4757"/>
      <c r="L181" s="4757"/>
      <c r="M181" s="4757"/>
      <c r="N181" s="4757"/>
      <c r="O181" s="4758"/>
      <c r="P181" s="4757"/>
      <c r="Q181" s="4757"/>
      <c r="R181" s="4757"/>
      <c r="S181" s="4759"/>
      <c r="T181" s="4759"/>
      <c r="U181" s="4759"/>
      <c r="V181" s="4759"/>
      <c r="W181" s="4759"/>
      <c r="X181" s="4744"/>
      <c r="Y181" s="4746"/>
      <c r="Z181" s="632"/>
      <c r="AA181" s="632"/>
      <c r="AB181" s="632"/>
      <c r="AC181" s="632"/>
      <c r="AD181" s="632"/>
      <c r="AE181" s="632"/>
      <c r="AF181" s="632"/>
      <c r="AG181" s="632"/>
      <c r="AH181" s="632"/>
      <c r="AI181" s="632"/>
      <c r="AJ181" s="632"/>
      <c r="AK181" s="632"/>
      <c r="AL181" s="632"/>
    </row>
    <row r="182" spans="1:38" s="4766" customFormat="1" ht="40.5" customHeight="1">
      <c r="A182" s="4744"/>
      <c r="B182" s="4781"/>
      <c r="C182" s="8475" t="s">
        <v>7227</v>
      </c>
      <c r="D182" s="8475"/>
      <c r="E182" s="8475"/>
      <c r="F182" s="8475"/>
      <c r="G182" s="8475"/>
      <c r="H182" s="8475"/>
      <c r="I182" s="8475"/>
      <c r="J182" s="8475"/>
      <c r="K182" s="8475"/>
      <c r="L182" s="8475"/>
      <c r="M182" s="4757"/>
      <c r="N182" s="4757"/>
      <c r="O182" s="4758"/>
      <c r="P182" s="4757"/>
      <c r="Q182" s="4757"/>
      <c r="R182" s="4757"/>
      <c r="S182" s="4759"/>
      <c r="T182" s="4759"/>
      <c r="U182" s="4759"/>
      <c r="V182" s="4759"/>
      <c r="W182" s="4759"/>
      <c r="X182" s="4744"/>
      <c r="Y182" s="4746"/>
      <c r="Z182" s="632"/>
      <c r="AA182" s="632"/>
      <c r="AB182" s="632"/>
      <c r="AC182" s="632"/>
      <c r="AD182" s="632"/>
      <c r="AE182" s="632"/>
      <c r="AF182" s="632"/>
      <c r="AG182" s="632"/>
      <c r="AH182" s="632"/>
      <c r="AI182" s="632"/>
      <c r="AJ182" s="632"/>
      <c r="AK182" s="632"/>
      <c r="AL182" s="632"/>
    </row>
    <row r="183" spans="1:38" s="4766" customFormat="1" ht="40.5" customHeight="1">
      <c r="A183" s="4744"/>
      <c r="B183" s="4781"/>
      <c r="C183" s="4782" t="s">
        <v>7228</v>
      </c>
      <c r="D183" s="4758"/>
      <c r="E183" s="4757"/>
      <c r="F183" s="4757"/>
      <c r="G183" s="4776"/>
      <c r="H183" s="4757"/>
      <c r="I183" s="4757"/>
      <c r="J183" s="4757"/>
      <c r="K183" s="4757"/>
      <c r="L183" s="4757"/>
      <c r="M183" s="4757"/>
      <c r="N183" s="4757"/>
      <c r="O183" s="4758"/>
      <c r="P183" s="4757"/>
      <c r="Q183" s="4757"/>
      <c r="R183" s="4757"/>
      <c r="S183" s="4759"/>
      <c r="T183" s="4759"/>
      <c r="U183" s="4759"/>
      <c r="V183" s="4759"/>
      <c r="W183" s="4759"/>
      <c r="X183" s="4744"/>
      <c r="Y183" s="4746"/>
      <c r="Z183" s="632"/>
      <c r="AA183" s="632"/>
      <c r="AB183" s="632"/>
      <c r="AC183" s="632"/>
      <c r="AD183" s="632"/>
      <c r="AE183" s="632"/>
      <c r="AF183" s="632"/>
      <c r="AG183" s="632"/>
      <c r="AH183" s="632"/>
      <c r="AI183" s="632"/>
      <c r="AJ183" s="632"/>
      <c r="AK183" s="632"/>
      <c r="AL183" s="632"/>
    </row>
    <row r="184" spans="1:38" s="4766" customFormat="1" ht="40.5" customHeight="1">
      <c r="A184" s="4744"/>
      <c r="B184" s="4781"/>
      <c r="C184" s="8475" t="s">
        <v>7229</v>
      </c>
      <c r="D184" s="8475"/>
      <c r="E184" s="8475"/>
      <c r="F184" s="8475"/>
      <c r="G184" s="8475"/>
      <c r="H184" s="8475"/>
      <c r="I184" s="8475"/>
      <c r="J184" s="8475"/>
      <c r="K184" s="8475"/>
      <c r="L184" s="8475"/>
      <c r="M184" s="4757"/>
      <c r="N184" s="4757"/>
      <c r="O184" s="4758"/>
      <c r="P184" s="4757"/>
      <c r="Q184" s="4757"/>
      <c r="R184" s="4757"/>
      <c r="S184" s="4759"/>
      <c r="T184" s="4759"/>
      <c r="U184" s="4759"/>
      <c r="V184" s="4759"/>
      <c r="W184" s="4759"/>
      <c r="X184" s="4744"/>
      <c r="Y184" s="4746"/>
      <c r="Z184" s="632"/>
      <c r="AA184" s="632"/>
      <c r="AB184" s="632"/>
      <c r="AC184" s="632"/>
      <c r="AD184" s="632"/>
      <c r="AE184" s="632"/>
      <c r="AF184" s="632"/>
      <c r="AG184" s="632"/>
      <c r="AH184" s="632"/>
      <c r="AI184" s="632"/>
      <c r="AJ184" s="632"/>
      <c r="AK184" s="632"/>
      <c r="AL184" s="632"/>
    </row>
    <row r="185" spans="1:38" s="4766" customFormat="1" ht="40.5" customHeight="1">
      <c r="A185" s="4744"/>
      <c r="B185" s="4781"/>
      <c r="C185" s="4783" t="s">
        <v>7230</v>
      </c>
      <c r="D185" s="4784"/>
      <c r="E185" s="4757"/>
      <c r="F185" s="4757"/>
      <c r="G185" s="4776"/>
      <c r="H185" s="4757"/>
      <c r="I185" s="4757"/>
      <c r="J185" s="4757"/>
      <c r="K185" s="4757"/>
      <c r="L185" s="4757"/>
      <c r="M185" s="4757"/>
      <c r="N185" s="4757"/>
      <c r="O185" s="4758"/>
      <c r="P185" s="4757"/>
      <c r="Q185" s="4757"/>
      <c r="R185" s="4757"/>
      <c r="S185" s="4759"/>
      <c r="T185" s="4759"/>
      <c r="U185" s="4759"/>
      <c r="V185" s="4759"/>
      <c r="W185" s="4759"/>
      <c r="X185" s="4744"/>
      <c r="Y185" s="4746"/>
      <c r="Z185" s="632"/>
      <c r="AA185" s="632"/>
      <c r="AB185" s="632"/>
      <c r="AC185" s="632"/>
      <c r="AD185" s="632"/>
      <c r="AE185" s="632"/>
      <c r="AF185" s="632"/>
      <c r="AG185" s="632"/>
      <c r="AH185" s="632"/>
      <c r="AI185" s="632"/>
      <c r="AJ185" s="632"/>
      <c r="AK185" s="632"/>
      <c r="AL185" s="632"/>
    </row>
    <row r="186" spans="1:38" s="4766" customFormat="1" ht="40.5" customHeight="1">
      <c r="A186" s="4744"/>
      <c r="B186" s="4781"/>
      <c r="C186" s="4782" t="s">
        <v>7231</v>
      </c>
      <c r="D186" s="4758"/>
      <c r="E186" s="4757"/>
      <c r="F186" s="4757"/>
      <c r="G186" s="4776"/>
      <c r="H186" s="4757"/>
      <c r="I186" s="4757"/>
      <c r="J186" s="4757"/>
      <c r="K186" s="4757"/>
      <c r="L186" s="4757"/>
      <c r="M186" s="4757"/>
      <c r="N186" s="4757"/>
      <c r="O186" s="4758"/>
      <c r="P186" s="4757"/>
      <c r="Q186" s="4757"/>
      <c r="R186" s="4757"/>
      <c r="S186" s="4759"/>
      <c r="T186" s="4759"/>
      <c r="U186" s="4759"/>
      <c r="V186" s="4759"/>
      <c r="W186" s="4759"/>
      <c r="X186" s="4744"/>
      <c r="Y186" s="4746"/>
      <c r="Z186" s="632"/>
      <c r="AA186" s="632"/>
      <c r="AB186" s="632"/>
      <c r="AC186" s="632"/>
      <c r="AD186" s="632"/>
      <c r="AE186" s="632"/>
      <c r="AF186" s="632"/>
      <c r="AG186" s="632"/>
      <c r="AH186" s="632"/>
      <c r="AI186" s="632"/>
      <c r="AJ186" s="632"/>
      <c r="AK186" s="632"/>
      <c r="AL186" s="632"/>
    </row>
    <row r="187" spans="1:38" s="4766" customFormat="1" ht="40.5" customHeight="1">
      <c r="A187" s="4744"/>
      <c r="B187" s="4781"/>
      <c r="C187" s="8475" t="s">
        <v>7232</v>
      </c>
      <c r="D187" s="8475"/>
      <c r="E187" s="8475"/>
      <c r="F187" s="8475"/>
      <c r="G187" s="8475"/>
      <c r="H187" s="8475"/>
      <c r="I187" s="8475"/>
      <c r="J187" s="8475"/>
      <c r="K187" s="8475"/>
      <c r="L187" s="8475"/>
      <c r="M187" s="4757"/>
      <c r="N187" s="4757"/>
      <c r="O187" s="4758"/>
      <c r="P187" s="4757"/>
      <c r="Q187" s="4757"/>
      <c r="R187" s="4757"/>
      <c r="S187" s="4759"/>
      <c r="T187" s="4759"/>
      <c r="U187" s="4759"/>
      <c r="V187" s="4759"/>
      <c r="W187" s="4759"/>
      <c r="X187" s="4744"/>
      <c r="Y187" s="4746"/>
      <c r="Z187" s="632"/>
      <c r="AA187" s="632"/>
      <c r="AB187" s="632"/>
      <c r="AC187" s="632"/>
      <c r="AD187" s="632"/>
      <c r="AE187" s="632"/>
      <c r="AF187" s="632"/>
      <c r="AG187" s="632"/>
      <c r="AH187" s="632"/>
      <c r="AI187" s="632"/>
      <c r="AJ187" s="632"/>
      <c r="AK187" s="632"/>
      <c r="AL187" s="632"/>
    </row>
    <row r="188" spans="1:38" s="4766" customFormat="1" ht="40.5" customHeight="1">
      <c r="A188" s="4744"/>
      <c r="B188" s="4781"/>
      <c r="C188" s="4782" t="s">
        <v>7233</v>
      </c>
      <c r="D188" s="4758"/>
      <c r="E188" s="4757"/>
      <c r="F188" s="4757"/>
      <c r="G188" s="4776"/>
      <c r="H188" s="4757"/>
      <c r="I188" s="4757"/>
      <c r="J188" s="4757"/>
      <c r="K188" s="4757"/>
      <c r="L188" s="4757"/>
      <c r="M188" s="4757"/>
      <c r="N188" s="4757"/>
      <c r="O188" s="4758"/>
      <c r="P188" s="4757"/>
      <c r="Q188" s="4757"/>
      <c r="R188" s="4757"/>
      <c r="S188" s="4759"/>
      <c r="T188" s="4759"/>
      <c r="U188" s="4759"/>
      <c r="V188" s="4759"/>
      <c r="W188" s="4759"/>
      <c r="X188" s="4744"/>
      <c r="Y188" s="4746"/>
      <c r="Z188" s="632"/>
      <c r="AA188" s="632"/>
      <c r="AB188" s="632"/>
      <c r="AC188" s="632"/>
      <c r="AD188" s="632"/>
      <c r="AE188" s="632"/>
      <c r="AF188" s="632"/>
      <c r="AG188" s="632"/>
      <c r="AH188" s="632"/>
      <c r="AI188" s="632"/>
      <c r="AJ188" s="632"/>
      <c r="AK188" s="632"/>
      <c r="AL188" s="632"/>
    </row>
    <row r="189" spans="1:38" s="4766" customFormat="1" ht="40.5" customHeight="1">
      <c r="A189" s="4744"/>
      <c r="B189" s="4781"/>
      <c r="C189" s="8475" t="s">
        <v>7234</v>
      </c>
      <c r="D189" s="8475"/>
      <c r="E189" s="8475"/>
      <c r="F189" s="8475"/>
      <c r="G189" s="8475"/>
      <c r="H189" s="8475"/>
      <c r="I189" s="8475"/>
      <c r="J189" s="8475"/>
      <c r="K189" s="8475"/>
      <c r="L189" s="8475"/>
      <c r="M189" s="4757"/>
      <c r="N189" s="4757"/>
      <c r="O189" s="4758"/>
      <c r="P189" s="4757"/>
      <c r="Q189" s="4757"/>
      <c r="R189" s="4757"/>
      <c r="S189" s="4759"/>
      <c r="T189" s="4759"/>
      <c r="U189" s="4759"/>
      <c r="V189" s="4759"/>
      <c r="W189" s="4759"/>
      <c r="X189" s="4744"/>
      <c r="Y189" s="4746"/>
      <c r="Z189" s="632"/>
      <c r="AA189" s="632"/>
      <c r="AB189" s="632"/>
      <c r="AC189" s="632"/>
      <c r="AD189" s="632"/>
      <c r="AE189" s="632"/>
      <c r="AF189" s="632"/>
      <c r="AG189" s="632"/>
      <c r="AH189" s="632"/>
      <c r="AI189" s="632"/>
      <c r="AJ189" s="632"/>
      <c r="AK189" s="632"/>
      <c r="AL189" s="632"/>
    </row>
    <row r="190" spans="1:38" s="4766" customFormat="1" ht="40.5" customHeight="1">
      <c r="A190" s="4744"/>
      <c r="B190" s="4781"/>
      <c r="C190" s="4782" t="s">
        <v>7235</v>
      </c>
      <c r="D190" s="4758"/>
      <c r="E190" s="4757"/>
      <c r="F190" s="4757"/>
      <c r="G190" s="4776"/>
      <c r="H190" s="4757"/>
      <c r="I190" s="4757"/>
      <c r="J190" s="4757"/>
      <c r="K190" s="4757"/>
      <c r="L190" s="4757"/>
      <c r="M190" s="4757"/>
      <c r="N190" s="4757"/>
      <c r="O190" s="4758"/>
      <c r="P190" s="4757"/>
      <c r="Q190" s="4757"/>
      <c r="R190" s="4757"/>
      <c r="S190" s="4759"/>
      <c r="T190" s="4759"/>
      <c r="U190" s="4759"/>
      <c r="V190" s="4759"/>
      <c r="W190" s="4759"/>
      <c r="X190" s="4744"/>
      <c r="Y190" s="4746"/>
      <c r="Z190" s="632"/>
      <c r="AA190" s="632"/>
      <c r="AB190" s="632"/>
      <c r="AC190" s="632"/>
      <c r="AD190" s="632"/>
      <c r="AE190" s="632"/>
      <c r="AF190" s="632"/>
      <c r="AG190" s="632"/>
      <c r="AH190" s="632"/>
      <c r="AI190" s="632"/>
      <c r="AJ190" s="632"/>
      <c r="AK190" s="632"/>
      <c r="AL190" s="632"/>
    </row>
    <row r="191" spans="1:38" s="4766" customFormat="1" ht="40.5" customHeight="1">
      <c r="A191" s="4744"/>
      <c r="B191" s="4781"/>
      <c r="C191" s="8475" t="s">
        <v>7236</v>
      </c>
      <c r="D191" s="8475"/>
      <c r="E191" s="8475"/>
      <c r="F191" s="8475"/>
      <c r="G191" s="8475"/>
      <c r="H191" s="8475"/>
      <c r="I191" s="8475"/>
      <c r="J191" s="8475"/>
      <c r="K191" s="8475"/>
      <c r="L191" s="8475"/>
      <c r="M191" s="4757"/>
      <c r="N191" s="4757"/>
      <c r="O191" s="4758"/>
      <c r="P191" s="4757"/>
      <c r="Q191" s="4757"/>
      <c r="R191" s="4757"/>
      <c r="S191" s="4759"/>
      <c r="T191" s="4759"/>
      <c r="U191" s="4759"/>
      <c r="V191" s="4759"/>
      <c r="W191" s="4759"/>
      <c r="X191" s="4744"/>
      <c r="Y191" s="4746"/>
      <c r="Z191" s="632"/>
      <c r="AA191" s="632"/>
      <c r="AB191" s="632"/>
      <c r="AC191" s="632"/>
      <c r="AD191" s="632"/>
      <c r="AE191" s="632"/>
      <c r="AF191" s="632"/>
      <c r="AG191" s="632"/>
      <c r="AH191" s="632"/>
      <c r="AI191" s="632"/>
      <c r="AJ191" s="632"/>
      <c r="AK191" s="632"/>
      <c r="AL191" s="632"/>
    </row>
    <row r="192" spans="1:38" s="4766" customFormat="1" ht="40.5" customHeight="1">
      <c r="A192" s="4744"/>
      <c r="B192" s="4781"/>
      <c r="C192" s="4782" t="s">
        <v>7237</v>
      </c>
      <c r="D192" s="4758"/>
      <c r="E192" s="4757"/>
      <c r="F192" s="4757"/>
      <c r="G192" s="4776"/>
      <c r="H192" s="4757"/>
      <c r="I192" s="4757"/>
      <c r="J192" s="4757"/>
      <c r="K192" s="4757"/>
      <c r="L192" s="4757"/>
      <c r="M192" s="4757"/>
      <c r="N192" s="4757"/>
      <c r="O192" s="4758"/>
      <c r="P192" s="4757"/>
      <c r="Q192" s="4757"/>
      <c r="R192" s="4757"/>
      <c r="S192" s="4759"/>
      <c r="T192" s="4759"/>
      <c r="U192" s="4759"/>
      <c r="V192" s="4759"/>
      <c r="W192" s="4759"/>
      <c r="X192" s="4744"/>
      <c r="Y192" s="4746"/>
      <c r="Z192" s="632"/>
      <c r="AA192" s="632"/>
      <c r="AB192" s="632"/>
      <c r="AC192" s="632"/>
      <c r="AD192" s="632"/>
      <c r="AE192" s="632"/>
      <c r="AF192" s="632"/>
      <c r="AG192" s="632"/>
      <c r="AH192" s="632"/>
      <c r="AI192" s="632"/>
      <c r="AJ192" s="632"/>
      <c r="AK192" s="632"/>
      <c r="AL192" s="632"/>
    </row>
    <row r="193" spans="1:38" s="4766" customFormat="1" ht="40.5" customHeight="1">
      <c r="A193" s="4744"/>
      <c r="B193" s="4781"/>
      <c r="C193" s="8475" t="s">
        <v>1044</v>
      </c>
      <c r="D193" s="8475"/>
      <c r="E193" s="8475"/>
      <c r="F193" s="8475"/>
      <c r="G193" s="8475"/>
      <c r="H193" s="8475"/>
      <c r="I193" s="8475"/>
      <c r="J193" s="8475"/>
      <c r="K193" s="8475"/>
      <c r="L193" s="8475"/>
      <c r="M193" s="4757"/>
      <c r="N193" s="4757"/>
      <c r="O193" s="4758"/>
      <c r="P193" s="4757"/>
      <c r="Q193" s="4757"/>
      <c r="R193" s="4757"/>
      <c r="S193" s="4759"/>
      <c r="T193" s="4759"/>
      <c r="U193" s="4759"/>
      <c r="V193" s="4759"/>
      <c r="W193" s="4759"/>
      <c r="X193" s="4744"/>
      <c r="Y193" s="4746"/>
      <c r="Z193" s="632"/>
      <c r="AA193" s="632"/>
      <c r="AB193" s="632"/>
      <c r="AC193" s="632"/>
      <c r="AD193" s="632"/>
      <c r="AE193" s="632"/>
      <c r="AF193" s="632"/>
      <c r="AG193" s="632"/>
      <c r="AH193" s="632"/>
      <c r="AI193" s="632"/>
      <c r="AJ193" s="632"/>
      <c r="AK193" s="632"/>
      <c r="AL193" s="632"/>
    </row>
    <row r="194" spans="1:38" s="4766" customFormat="1" ht="40.5" customHeight="1">
      <c r="A194" s="4744"/>
      <c r="B194" s="4781"/>
      <c r="C194" s="4782" t="s">
        <v>7238</v>
      </c>
      <c r="D194" s="4758"/>
      <c r="E194" s="4757"/>
      <c r="F194" s="4757"/>
      <c r="G194" s="4776"/>
      <c r="H194" s="4757"/>
      <c r="I194" s="4757"/>
      <c r="J194" s="4757"/>
      <c r="K194" s="4757"/>
      <c r="L194" s="4757"/>
      <c r="M194" s="4757"/>
      <c r="N194" s="4757"/>
      <c r="O194" s="4758"/>
      <c r="P194" s="4757"/>
      <c r="Q194" s="4757"/>
      <c r="R194" s="4757"/>
      <c r="S194" s="4759"/>
      <c r="T194" s="4759"/>
      <c r="U194" s="4759"/>
      <c r="V194" s="4759"/>
      <c r="W194" s="4759"/>
      <c r="X194" s="4744"/>
      <c r="Y194" s="4746"/>
      <c r="Z194" s="632"/>
      <c r="AA194" s="632"/>
      <c r="AB194" s="632"/>
      <c r="AC194" s="632"/>
      <c r="AD194" s="632"/>
      <c r="AE194" s="632"/>
      <c r="AF194" s="632"/>
      <c r="AG194" s="632"/>
      <c r="AH194" s="632"/>
      <c r="AI194" s="632"/>
      <c r="AJ194" s="632"/>
      <c r="AK194" s="632"/>
      <c r="AL194" s="632"/>
    </row>
    <row r="195" spans="1:38" s="4766" customFormat="1" ht="40.5" customHeight="1">
      <c r="A195" s="4744"/>
      <c r="B195" s="4781"/>
      <c r="C195" s="8475" t="s">
        <v>7239</v>
      </c>
      <c r="D195" s="8475"/>
      <c r="E195" s="8475"/>
      <c r="F195" s="8475"/>
      <c r="G195" s="8475"/>
      <c r="H195" s="8475"/>
      <c r="I195" s="8475"/>
      <c r="J195" s="8475"/>
      <c r="K195" s="8475"/>
      <c r="L195" s="8475"/>
      <c r="M195" s="4757"/>
      <c r="N195" s="4757"/>
      <c r="O195" s="4758"/>
      <c r="P195" s="4757"/>
      <c r="Q195" s="4757"/>
      <c r="R195" s="4757"/>
      <c r="S195" s="4759"/>
      <c r="T195" s="4759"/>
      <c r="U195" s="4759"/>
      <c r="V195" s="4759"/>
      <c r="W195" s="4759"/>
      <c r="X195" s="4744"/>
      <c r="Y195" s="4746"/>
      <c r="Z195" s="632"/>
      <c r="AA195" s="632"/>
      <c r="AB195" s="632"/>
      <c r="AC195" s="632"/>
      <c r="AD195" s="632"/>
      <c r="AE195" s="632"/>
      <c r="AF195" s="632"/>
      <c r="AG195" s="632"/>
      <c r="AH195" s="632"/>
      <c r="AI195" s="632"/>
      <c r="AJ195" s="632"/>
      <c r="AK195" s="632"/>
      <c r="AL195" s="632"/>
    </row>
    <row r="196" spans="1:38" s="4766" customFormat="1" ht="40.5" customHeight="1">
      <c r="A196" s="4744"/>
      <c r="B196" s="4781"/>
      <c r="C196" s="4782" t="s">
        <v>7240</v>
      </c>
      <c r="D196" s="4758"/>
      <c r="E196" s="4757"/>
      <c r="F196" s="4757"/>
      <c r="G196" s="4776"/>
      <c r="H196" s="4757"/>
      <c r="I196" s="4757"/>
      <c r="J196" s="4757"/>
      <c r="K196" s="4757"/>
      <c r="L196" s="4757"/>
      <c r="M196" s="4757"/>
      <c r="N196" s="4757"/>
      <c r="O196" s="4758"/>
      <c r="P196" s="4757"/>
      <c r="Q196" s="4757"/>
      <c r="R196" s="4757"/>
      <c r="S196" s="4759"/>
      <c r="T196" s="4759"/>
      <c r="U196" s="4759"/>
      <c r="V196" s="4759"/>
      <c r="W196" s="4759"/>
      <c r="X196" s="4744"/>
      <c r="Y196" s="4746"/>
      <c r="Z196" s="632"/>
      <c r="AA196" s="632"/>
      <c r="AB196" s="632"/>
      <c r="AC196" s="632"/>
      <c r="AD196" s="632"/>
      <c r="AE196" s="632"/>
      <c r="AF196" s="632"/>
      <c r="AG196" s="632"/>
      <c r="AH196" s="632"/>
      <c r="AI196" s="632"/>
      <c r="AJ196" s="632"/>
      <c r="AK196" s="632"/>
      <c r="AL196" s="632"/>
    </row>
    <row r="197" spans="1:38" s="4766" customFormat="1" ht="40.5" customHeight="1">
      <c r="A197" s="4744"/>
      <c r="B197" s="4781"/>
      <c r="C197" s="8475" t="s">
        <v>7241</v>
      </c>
      <c r="D197" s="8475"/>
      <c r="E197" s="8475"/>
      <c r="F197" s="8475"/>
      <c r="G197" s="8475"/>
      <c r="H197" s="8475"/>
      <c r="I197" s="8475"/>
      <c r="J197" s="8475"/>
      <c r="K197" s="8475"/>
      <c r="L197" s="8475"/>
      <c r="M197" s="4757"/>
      <c r="N197" s="4757"/>
      <c r="O197" s="4758"/>
      <c r="P197" s="4757"/>
      <c r="Q197" s="4757"/>
      <c r="R197" s="4757"/>
      <c r="S197" s="4759"/>
      <c r="T197" s="4759"/>
      <c r="U197" s="4759"/>
      <c r="V197" s="4759"/>
      <c r="W197" s="4759"/>
      <c r="X197" s="4744"/>
      <c r="Y197" s="4746"/>
      <c r="Z197" s="632"/>
      <c r="AA197" s="632"/>
      <c r="AB197" s="632"/>
      <c r="AC197" s="632"/>
      <c r="AD197" s="632"/>
      <c r="AE197" s="632"/>
      <c r="AF197" s="632"/>
      <c r="AG197" s="632"/>
      <c r="AH197" s="632"/>
      <c r="AI197" s="632"/>
      <c r="AJ197" s="632"/>
      <c r="AK197" s="632"/>
      <c r="AL197" s="632"/>
    </row>
    <row r="198" spans="1:38" s="4766" customFormat="1" ht="40.5" customHeight="1">
      <c r="A198" s="4744"/>
      <c r="B198" s="4781"/>
      <c r="C198" s="4782" t="s">
        <v>7242</v>
      </c>
      <c r="D198" s="4758"/>
      <c r="E198" s="4757"/>
      <c r="F198" s="4757"/>
      <c r="G198" s="4776"/>
      <c r="H198" s="4757"/>
      <c r="I198" s="4757"/>
      <c r="J198" s="4757"/>
      <c r="K198" s="4757"/>
      <c r="L198" s="4757"/>
      <c r="M198" s="4757"/>
      <c r="N198" s="4757"/>
      <c r="O198" s="4758"/>
      <c r="P198" s="4757"/>
      <c r="Q198" s="4757"/>
      <c r="R198" s="4757"/>
      <c r="S198" s="4759"/>
      <c r="T198" s="4759"/>
      <c r="U198" s="4759"/>
      <c r="V198" s="4759"/>
      <c r="W198" s="4759"/>
      <c r="X198" s="4744"/>
      <c r="Y198" s="4746"/>
      <c r="Z198" s="632"/>
      <c r="AA198" s="632"/>
      <c r="AB198" s="632"/>
      <c r="AC198" s="632"/>
      <c r="AD198" s="632"/>
      <c r="AE198" s="632"/>
      <c r="AF198" s="632"/>
      <c r="AG198" s="632"/>
      <c r="AH198" s="632"/>
      <c r="AI198" s="632"/>
      <c r="AJ198" s="632"/>
      <c r="AK198" s="632"/>
      <c r="AL198" s="632"/>
    </row>
    <row r="199" spans="1:38" s="4766" customFormat="1" ht="40.5" customHeight="1">
      <c r="A199" s="4744"/>
      <c r="B199" s="4781"/>
      <c r="C199" s="8475" t="s">
        <v>7243</v>
      </c>
      <c r="D199" s="8475"/>
      <c r="E199" s="8475"/>
      <c r="F199" s="8475"/>
      <c r="G199" s="8475"/>
      <c r="H199" s="8475"/>
      <c r="I199" s="8475"/>
      <c r="J199" s="8475"/>
      <c r="K199" s="8475"/>
      <c r="L199" s="8475"/>
      <c r="M199" s="4757"/>
      <c r="N199" s="4757"/>
      <c r="O199" s="4758"/>
      <c r="P199" s="4757"/>
      <c r="Q199" s="4757"/>
      <c r="R199" s="4757"/>
      <c r="S199" s="4759"/>
      <c r="T199" s="4759"/>
      <c r="U199" s="4759"/>
      <c r="V199" s="4759"/>
      <c r="W199" s="4759"/>
      <c r="X199" s="4744"/>
      <c r="Y199" s="4746"/>
      <c r="Z199" s="632"/>
      <c r="AA199" s="632"/>
      <c r="AB199" s="632"/>
      <c r="AC199" s="632"/>
      <c r="AD199" s="632"/>
      <c r="AE199" s="632"/>
      <c r="AF199" s="632"/>
      <c r="AG199" s="632"/>
      <c r="AH199" s="632"/>
      <c r="AI199" s="632"/>
      <c r="AJ199" s="632"/>
      <c r="AK199" s="632"/>
      <c r="AL199" s="632"/>
    </row>
    <row r="200" spans="1:38" s="4766" customFormat="1" ht="40.5" customHeight="1">
      <c r="A200" s="4744"/>
      <c r="B200" s="4781"/>
      <c r="C200" s="4782" t="s">
        <v>7244</v>
      </c>
      <c r="D200" s="4758"/>
      <c r="E200" s="4757"/>
      <c r="F200" s="4757"/>
      <c r="G200" s="4776"/>
      <c r="H200" s="4757"/>
      <c r="I200" s="4757"/>
      <c r="J200" s="4757"/>
      <c r="K200" s="4757"/>
      <c r="L200" s="4757"/>
      <c r="M200" s="4757"/>
      <c r="N200" s="4757"/>
      <c r="O200" s="4758"/>
      <c r="P200" s="4757"/>
      <c r="Q200" s="4757"/>
      <c r="R200" s="4757"/>
      <c r="S200" s="4759"/>
      <c r="T200" s="4759"/>
      <c r="U200" s="4759"/>
      <c r="V200" s="4759"/>
      <c r="W200" s="4759"/>
      <c r="X200" s="4744"/>
      <c r="Y200" s="4746"/>
      <c r="Z200" s="632"/>
      <c r="AA200" s="632"/>
      <c r="AB200" s="632"/>
      <c r="AC200" s="632"/>
      <c r="AD200" s="632"/>
      <c r="AE200" s="632"/>
      <c r="AF200" s="632"/>
      <c r="AG200" s="632"/>
      <c r="AH200" s="632"/>
      <c r="AI200" s="632"/>
      <c r="AJ200" s="632"/>
      <c r="AK200" s="632"/>
      <c r="AL200" s="632"/>
    </row>
    <row r="201" spans="1:38" s="4766" customFormat="1" ht="40.5" customHeight="1">
      <c r="A201" s="4744"/>
      <c r="B201" s="4781"/>
      <c r="C201" s="8475" t="s">
        <v>7245</v>
      </c>
      <c r="D201" s="8475"/>
      <c r="E201" s="8475"/>
      <c r="F201" s="8475"/>
      <c r="G201" s="8475"/>
      <c r="H201" s="8475"/>
      <c r="I201" s="8475"/>
      <c r="J201" s="8475"/>
      <c r="K201" s="8475"/>
      <c r="L201" s="8475"/>
      <c r="M201" s="4757"/>
      <c r="N201" s="4757"/>
      <c r="O201" s="4758"/>
      <c r="P201" s="4757"/>
      <c r="Q201" s="4757"/>
      <c r="R201" s="4757"/>
      <c r="S201" s="4759"/>
      <c r="T201" s="4759"/>
      <c r="U201" s="4759"/>
      <c r="V201" s="4759"/>
      <c r="W201" s="4759"/>
      <c r="X201" s="4744"/>
      <c r="Y201" s="4746"/>
      <c r="Z201" s="632"/>
      <c r="AA201" s="632"/>
      <c r="AB201" s="632"/>
      <c r="AC201" s="632"/>
      <c r="AD201" s="632"/>
      <c r="AE201" s="632"/>
      <c r="AF201" s="632"/>
      <c r="AG201" s="632"/>
      <c r="AH201" s="632"/>
      <c r="AI201" s="632"/>
      <c r="AJ201" s="632"/>
      <c r="AK201" s="632"/>
      <c r="AL201" s="632"/>
    </row>
    <row r="202" spans="1:38" s="4766" customFormat="1" ht="40.5" customHeight="1">
      <c r="A202" s="4744"/>
      <c r="B202" s="4781"/>
      <c r="C202" s="4782" t="s">
        <v>7246</v>
      </c>
      <c r="D202" s="4758"/>
      <c r="E202" s="4757"/>
      <c r="F202" s="4757"/>
      <c r="G202" s="4776"/>
      <c r="H202" s="4757"/>
      <c r="I202" s="4757"/>
      <c r="J202" s="4757"/>
      <c r="K202" s="4757"/>
      <c r="L202" s="4757"/>
      <c r="M202" s="4757"/>
      <c r="N202" s="4757"/>
      <c r="O202" s="4758"/>
      <c r="P202" s="4757"/>
      <c r="Q202" s="4757"/>
      <c r="R202" s="4757"/>
      <c r="S202" s="4759"/>
      <c r="T202" s="4759"/>
      <c r="U202" s="4759"/>
      <c r="V202" s="4759"/>
      <c r="W202" s="4759"/>
      <c r="X202" s="4744"/>
      <c r="Y202" s="4746"/>
      <c r="Z202" s="632"/>
      <c r="AA202" s="632"/>
      <c r="AB202" s="632"/>
      <c r="AC202" s="632"/>
      <c r="AD202" s="632"/>
      <c r="AE202" s="632"/>
      <c r="AF202" s="632"/>
      <c r="AG202" s="632"/>
      <c r="AH202" s="632"/>
      <c r="AI202" s="632"/>
      <c r="AJ202" s="632"/>
      <c r="AK202" s="632"/>
      <c r="AL202" s="632"/>
    </row>
    <row r="203" spans="1:38" s="4766" customFormat="1" ht="40.5" customHeight="1">
      <c r="A203" s="4744"/>
      <c r="B203" s="4781"/>
      <c r="C203" s="8475" t="s">
        <v>7247</v>
      </c>
      <c r="D203" s="8475"/>
      <c r="E203" s="8475"/>
      <c r="F203" s="8475"/>
      <c r="G203" s="8475"/>
      <c r="H203" s="8475"/>
      <c r="I203" s="8475"/>
      <c r="J203" s="8475"/>
      <c r="K203" s="8475"/>
      <c r="L203" s="8475"/>
      <c r="M203" s="4757"/>
      <c r="N203" s="4757"/>
      <c r="O203" s="4758"/>
      <c r="P203" s="4757"/>
      <c r="Q203" s="4757"/>
      <c r="R203" s="4757"/>
      <c r="S203" s="4759"/>
      <c r="T203" s="4759"/>
      <c r="U203" s="4759"/>
      <c r="V203" s="4759"/>
      <c r="W203" s="4759"/>
      <c r="X203" s="4744"/>
      <c r="Y203" s="4746"/>
      <c r="Z203" s="632"/>
      <c r="AA203" s="632"/>
      <c r="AB203" s="632"/>
      <c r="AC203" s="632"/>
      <c r="AD203" s="632"/>
      <c r="AE203" s="632"/>
      <c r="AF203" s="632"/>
      <c r="AG203" s="632"/>
      <c r="AH203" s="632"/>
      <c r="AI203" s="632"/>
      <c r="AJ203" s="632"/>
      <c r="AK203" s="632"/>
      <c r="AL203" s="632"/>
    </row>
    <row r="204" spans="1:38" s="4766" customFormat="1" ht="40.5" customHeight="1">
      <c r="A204" s="4744"/>
      <c r="B204" s="4781"/>
      <c r="C204" s="4782" t="s">
        <v>7248</v>
      </c>
      <c r="D204" s="4758"/>
      <c r="E204" s="4757"/>
      <c r="F204" s="4757"/>
      <c r="G204" s="4776"/>
      <c r="H204" s="4757"/>
      <c r="I204" s="4757"/>
      <c r="J204" s="4757"/>
      <c r="K204" s="4757"/>
      <c r="L204" s="4757"/>
      <c r="M204" s="4757"/>
      <c r="N204" s="4757"/>
      <c r="O204" s="4758"/>
      <c r="P204" s="4757"/>
      <c r="Q204" s="4757"/>
      <c r="R204" s="4757"/>
      <c r="S204" s="4759"/>
      <c r="T204" s="4759"/>
      <c r="U204" s="4759"/>
      <c r="V204" s="4759"/>
      <c r="W204" s="4759"/>
      <c r="X204" s="4744"/>
      <c r="Y204" s="4746"/>
      <c r="Z204" s="632"/>
      <c r="AA204" s="632"/>
      <c r="AB204" s="632"/>
      <c r="AC204" s="632"/>
      <c r="AD204" s="632"/>
      <c r="AE204" s="632"/>
      <c r="AF204" s="632"/>
      <c r="AG204" s="632"/>
      <c r="AH204" s="632"/>
      <c r="AI204" s="632"/>
      <c r="AJ204" s="632"/>
      <c r="AK204" s="632"/>
      <c r="AL204" s="632"/>
    </row>
    <row r="205" spans="1:38" s="4766" customFormat="1" ht="40.5" customHeight="1">
      <c r="A205" s="4744"/>
      <c r="B205" s="4781"/>
      <c r="C205" s="8475" t="s">
        <v>7249</v>
      </c>
      <c r="D205" s="8475"/>
      <c r="E205" s="8475"/>
      <c r="F205" s="8475"/>
      <c r="G205" s="8475"/>
      <c r="H205" s="8475"/>
      <c r="I205" s="8475"/>
      <c r="J205" s="8475"/>
      <c r="K205" s="8475"/>
      <c r="L205" s="8475"/>
      <c r="M205" s="4757"/>
      <c r="N205" s="4757"/>
      <c r="O205" s="4758"/>
      <c r="P205" s="4757"/>
      <c r="Q205" s="4757"/>
      <c r="R205" s="4757"/>
      <c r="S205" s="4759"/>
      <c r="T205" s="4759"/>
      <c r="U205" s="4759"/>
      <c r="V205" s="4759"/>
      <c r="W205" s="4759"/>
      <c r="X205" s="4744"/>
      <c r="Y205" s="4746"/>
      <c r="Z205" s="632"/>
      <c r="AA205" s="632"/>
      <c r="AB205" s="632"/>
      <c r="AC205" s="632"/>
      <c r="AD205" s="632"/>
      <c r="AE205" s="632"/>
      <c r="AF205" s="632"/>
      <c r="AG205" s="632"/>
      <c r="AH205" s="632"/>
      <c r="AI205" s="632"/>
      <c r="AJ205" s="632"/>
      <c r="AK205" s="632"/>
      <c r="AL205" s="632"/>
    </row>
    <row r="206" spans="1:38" s="4766" customFormat="1" ht="40.5" customHeight="1">
      <c r="A206" s="4744"/>
      <c r="B206" s="4781"/>
      <c r="C206" s="4785"/>
      <c r="D206" s="4757"/>
      <c r="E206" s="4757"/>
      <c r="F206" s="4757"/>
      <c r="G206" s="4776"/>
      <c r="H206" s="4757"/>
      <c r="I206" s="4757"/>
      <c r="J206" s="4757"/>
      <c r="K206" s="4757"/>
      <c r="L206" s="4757"/>
      <c r="M206" s="4757"/>
      <c r="N206" s="4757"/>
      <c r="O206" s="4758"/>
      <c r="P206" s="4757"/>
      <c r="Q206" s="4757"/>
      <c r="R206" s="4757"/>
      <c r="S206" s="4759"/>
      <c r="T206" s="4759"/>
      <c r="U206" s="4759"/>
      <c r="V206" s="4759"/>
      <c r="W206" s="4759"/>
      <c r="X206" s="4744"/>
      <c r="Y206" s="4746"/>
      <c r="Z206" s="632"/>
      <c r="AA206" s="632"/>
      <c r="AB206" s="632"/>
      <c r="AC206" s="632"/>
      <c r="AD206" s="632"/>
      <c r="AE206" s="632"/>
      <c r="AF206" s="632"/>
      <c r="AG206" s="632"/>
      <c r="AH206" s="632"/>
      <c r="AI206" s="632"/>
      <c r="AJ206" s="632"/>
      <c r="AK206" s="632"/>
      <c r="AL206" s="632"/>
    </row>
    <row r="207" spans="1:38" ht="27">
      <c r="A207" s="4744"/>
      <c r="B207" s="4786"/>
      <c r="C207" s="4786"/>
      <c r="D207" s="8476" t="s">
        <v>7250</v>
      </c>
      <c r="E207" s="8477"/>
      <c r="F207" s="8477"/>
      <c r="G207" s="8477"/>
      <c r="H207" s="8478"/>
      <c r="I207" s="4757"/>
      <c r="J207" s="4757"/>
      <c r="K207" s="4787" t="s">
        <v>7251</v>
      </c>
      <c r="L207" s="4788"/>
      <c r="M207" s="4788"/>
      <c r="N207" s="4788"/>
      <c r="O207" s="4758"/>
      <c r="P207" s="4758"/>
      <c r="Q207" s="4758"/>
      <c r="R207" s="4758"/>
      <c r="S207" s="4758"/>
      <c r="T207" s="4758"/>
      <c r="U207" s="4759"/>
      <c r="V207" s="4759"/>
      <c r="W207" s="4759"/>
      <c r="X207" s="4744"/>
      <c r="Y207" s="4746"/>
    </row>
    <row r="208" spans="1:38" ht="27">
      <c r="A208" s="4744"/>
      <c r="B208" s="4786"/>
      <c r="C208" s="4786"/>
      <c r="D208" s="4789"/>
      <c r="E208" s="4790" t="s">
        <v>7252</v>
      </c>
      <c r="F208" s="4790" t="s">
        <v>3189</v>
      </c>
      <c r="G208" s="4790" t="s">
        <v>7253</v>
      </c>
      <c r="H208" s="4791"/>
      <c r="I208" s="4757"/>
      <c r="J208" s="4757"/>
      <c r="K208" s="5491">
        <v>1</v>
      </c>
      <c r="L208" s="5491">
        <v>1</v>
      </c>
      <c r="M208" s="5491">
        <v>1</v>
      </c>
      <c r="N208" s="5491">
        <v>1</v>
      </c>
      <c r="O208" s="4758"/>
      <c r="P208" s="4758"/>
      <c r="Q208" s="4758"/>
      <c r="R208" s="4758"/>
      <c r="S208" s="4758"/>
      <c r="T208" s="4758"/>
      <c r="U208" s="4759"/>
      <c r="V208" s="4759"/>
      <c r="W208" s="4759"/>
      <c r="X208" s="4744"/>
      <c r="Y208" s="4746"/>
    </row>
    <row r="209" spans="1:25" ht="27">
      <c r="A209" s="4744"/>
      <c r="B209" s="4786"/>
      <c r="C209" s="4786"/>
      <c r="D209" s="4792">
        <v>6</v>
      </c>
      <c r="E209" s="4793">
        <f>ROWS(D211:D213)</f>
        <v>3</v>
      </c>
      <c r="F209" s="4793" t="s">
        <v>7254</v>
      </c>
      <c r="G209" s="4794" t="s">
        <v>1038</v>
      </c>
      <c r="H209" s="4795"/>
      <c r="I209" s="4757"/>
      <c r="J209" s="4757"/>
      <c r="K209" s="5491">
        <v>1</v>
      </c>
      <c r="L209" s="5491">
        <v>1</v>
      </c>
      <c r="M209" s="5491">
        <v>1</v>
      </c>
      <c r="N209" s="5491">
        <v>1</v>
      </c>
      <c r="O209" s="4758"/>
      <c r="P209" s="4758"/>
      <c r="Q209" s="4758"/>
      <c r="R209" s="4758"/>
      <c r="S209" s="4758"/>
      <c r="T209" s="4758"/>
      <c r="U209" s="4759"/>
      <c r="V209" s="4759"/>
      <c r="W209" s="4759"/>
      <c r="X209" s="4744"/>
      <c r="Y209" s="4746"/>
    </row>
    <row r="210" spans="1:25" ht="27">
      <c r="A210" s="4744"/>
      <c r="B210" s="4786"/>
      <c r="C210" s="4786"/>
      <c r="D210" s="4792">
        <v>6</v>
      </c>
      <c r="E210" s="4796">
        <f>ROW()+1</f>
        <v>211</v>
      </c>
      <c r="F210" s="4796" t="s">
        <v>7255</v>
      </c>
      <c r="G210" s="4794" t="s">
        <v>7256</v>
      </c>
      <c r="H210" s="4797"/>
      <c r="I210" s="4757"/>
      <c r="J210" s="4757"/>
      <c r="K210" s="5491">
        <v>1</v>
      </c>
      <c r="L210" s="5491">
        <v>1</v>
      </c>
      <c r="M210" s="5491">
        <v>1</v>
      </c>
      <c r="N210" s="5491">
        <v>1</v>
      </c>
      <c r="O210" s="4758"/>
      <c r="P210" s="4758"/>
      <c r="Q210" s="4758"/>
      <c r="R210" s="4758"/>
      <c r="S210" s="4758"/>
      <c r="T210" s="4758"/>
      <c r="U210" s="4759"/>
      <c r="V210" s="4759"/>
      <c r="W210" s="4759"/>
      <c r="X210" s="4744"/>
      <c r="Y210" s="4746"/>
    </row>
    <row r="211" spans="1:25" ht="27">
      <c r="A211" s="4744"/>
      <c r="B211" s="4786"/>
      <c r="C211" s="4786"/>
      <c r="D211" s="4798" t="s">
        <v>26</v>
      </c>
      <c r="E211" s="4799" t="s">
        <v>7257</v>
      </c>
      <c r="F211" s="4799"/>
      <c r="G211" s="4799"/>
      <c r="H211" s="4800"/>
      <c r="I211" s="4757"/>
      <c r="J211" s="4757"/>
      <c r="K211" s="5491">
        <v>1</v>
      </c>
      <c r="L211" s="5491">
        <v>1</v>
      </c>
      <c r="M211" s="5491">
        <v>1</v>
      </c>
      <c r="N211" s="5491">
        <v>1</v>
      </c>
      <c r="O211" s="4758"/>
      <c r="P211" s="4758"/>
      <c r="Q211" s="4758"/>
      <c r="R211" s="4758"/>
      <c r="S211" s="4758"/>
      <c r="T211" s="4758"/>
      <c r="U211" s="4759"/>
      <c r="V211" s="4759"/>
      <c r="W211" s="4759"/>
      <c r="X211" s="4744"/>
      <c r="Y211" s="4746"/>
    </row>
    <row r="212" spans="1:25" ht="27">
      <c r="A212" s="4744"/>
      <c r="B212" s="4786"/>
      <c r="C212" s="4786"/>
      <c r="D212" s="4798" t="s">
        <v>26</v>
      </c>
      <c r="E212" s="4801" t="s">
        <v>7258</v>
      </c>
      <c r="F212" s="4799"/>
      <c r="G212" s="4799"/>
      <c r="H212" s="4800"/>
      <c r="I212" s="4757"/>
      <c r="J212" s="4757"/>
      <c r="K212" s="5491">
        <v>1</v>
      </c>
      <c r="L212" s="5491">
        <v>1</v>
      </c>
      <c r="M212" s="5491">
        <v>1</v>
      </c>
      <c r="N212" s="5491">
        <v>1</v>
      </c>
      <c r="O212" s="4758"/>
      <c r="P212" s="4758"/>
      <c r="Q212" s="4758"/>
      <c r="R212" s="4758"/>
      <c r="S212" s="4758"/>
      <c r="T212" s="4758"/>
      <c r="U212" s="4759"/>
      <c r="V212" s="4759"/>
      <c r="W212" s="4759"/>
      <c r="X212" s="4744"/>
      <c r="Y212" s="4746"/>
    </row>
    <row r="213" spans="1:25" ht="27">
      <c r="A213" s="4744"/>
      <c r="B213" s="4786"/>
      <c r="C213" s="4786"/>
      <c r="D213" s="4798" t="s">
        <v>26</v>
      </c>
      <c r="E213" s="4801" t="s">
        <v>7259</v>
      </c>
      <c r="F213" s="4799"/>
      <c r="G213" s="4799"/>
      <c r="H213" s="4800"/>
      <c r="I213" s="4757"/>
      <c r="J213" s="4757"/>
      <c r="K213" s="5491">
        <v>1</v>
      </c>
      <c r="L213" s="5491">
        <v>1</v>
      </c>
      <c r="M213" s="5491">
        <v>1</v>
      </c>
      <c r="N213" s="5491">
        <v>1</v>
      </c>
      <c r="O213" s="4758"/>
      <c r="P213" s="4758"/>
      <c r="Q213" s="4758"/>
      <c r="R213" s="4758"/>
      <c r="S213" s="4758"/>
      <c r="T213" s="4758"/>
      <c r="U213" s="4759"/>
      <c r="V213" s="4759"/>
      <c r="W213" s="4759"/>
      <c r="X213" s="4744"/>
      <c r="Y213" s="4746"/>
    </row>
    <row r="214" spans="1:25" ht="27">
      <c r="A214" s="4744"/>
      <c r="B214" s="4786"/>
      <c r="C214" s="4786"/>
      <c r="D214" s="4802">
        <v>6</v>
      </c>
      <c r="E214" s="4803">
        <f>ROW()-1</f>
        <v>213</v>
      </c>
      <c r="F214" s="4803" t="s">
        <v>7260</v>
      </c>
      <c r="G214" s="4804" t="s">
        <v>7261</v>
      </c>
      <c r="H214" s="4805"/>
      <c r="I214" s="4757"/>
      <c r="J214" s="4757"/>
      <c r="K214" s="5491">
        <v>1</v>
      </c>
      <c r="L214" s="5491">
        <v>1</v>
      </c>
      <c r="M214" s="5491">
        <v>1</v>
      </c>
      <c r="N214" s="5491">
        <v>1</v>
      </c>
      <c r="O214" s="4758"/>
      <c r="P214" s="4758"/>
      <c r="Q214" s="4758"/>
      <c r="R214" s="4758"/>
      <c r="S214" s="4758"/>
      <c r="T214" s="4758"/>
      <c r="U214" s="4759"/>
      <c r="V214" s="4759"/>
      <c r="W214" s="4759"/>
      <c r="X214" s="4744"/>
      <c r="Y214" s="4746"/>
    </row>
    <row r="215" spans="1:25" ht="27">
      <c r="A215" s="4744"/>
      <c r="B215" s="4786"/>
      <c r="C215" s="4786"/>
      <c r="D215" s="4786"/>
      <c r="E215" s="4786"/>
      <c r="F215" s="4786"/>
      <c r="G215" s="4786"/>
      <c r="H215" s="4786"/>
      <c r="I215" s="4757"/>
      <c r="J215" s="4757"/>
      <c r="K215" s="5491">
        <v>1</v>
      </c>
      <c r="L215" s="5491">
        <v>1</v>
      </c>
      <c r="M215" s="5491">
        <v>1</v>
      </c>
      <c r="N215" s="5491">
        <v>1</v>
      </c>
      <c r="O215" s="4758"/>
      <c r="P215" s="4758"/>
      <c r="Q215" s="4758"/>
      <c r="R215" s="4758"/>
      <c r="S215" s="4758"/>
      <c r="T215" s="4758"/>
      <c r="U215" s="4759"/>
      <c r="V215" s="4759"/>
      <c r="W215" s="4759"/>
      <c r="X215" s="4744"/>
      <c r="Y215" s="4746"/>
    </row>
    <row r="216" spans="1:25" ht="28.5">
      <c r="A216" s="4744"/>
      <c r="B216" s="4786"/>
      <c r="C216" s="4786"/>
      <c r="D216" s="8476" t="s">
        <v>7262</v>
      </c>
      <c r="E216" s="8477"/>
      <c r="F216" s="8477"/>
      <c r="G216" s="8477"/>
      <c r="H216" s="8478"/>
      <c r="I216" s="4757"/>
      <c r="J216" s="4757"/>
      <c r="K216" s="4765" t="s">
        <v>7263</v>
      </c>
      <c r="L216" s="4806" t="s">
        <v>7264</v>
      </c>
      <c r="M216" s="4807"/>
      <c r="N216" s="4807"/>
      <c r="O216" s="4758"/>
      <c r="P216" s="4758"/>
      <c r="Q216" s="4758"/>
      <c r="R216" s="4758"/>
      <c r="S216" s="4758"/>
      <c r="T216" s="4758"/>
      <c r="U216" s="4759"/>
      <c r="V216" s="4759"/>
      <c r="W216" s="4759"/>
      <c r="X216" s="4744"/>
      <c r="Y216" s="4746"/>
    </row>
    <row r="217" spans="1:25" ht="28.5">
      <c r="A217" s="4744"/>
      <c r="B217" s="4786"/>
      <c r="C217" s="4786"/>
      <c r="D217" s="4808"/>
      <c r="E217" s="4799"/>
      <c r="F217" s="4799"/>
      <c r="G217" s="4809" t="s">
        <v>7265</v>
      </c>
      <c r="H217" s="4810" t="s">
        <v>26</v>
      </c>
      <c r="I217" s="4757"/>
      <c r="J217" s="4757"/>
      <c r="K217" s="4765"/>
      <c r="L217" s="4806" t="s">
        <v>7266</v>
      </c>
      <c r="M217" s="4807"/>
      <c r="N217" s="4807"/>
      <c r="O217" s="4758"/>
      <c r="P217" s="4758"/>
      <c r="Q217" s="4758"/>
      <c r="R217" s="4758"/>
      <c r="S217" s="4758"/>
      <c r="T217" s="4758"/>
      <c r="U217" s="4759"/>
      <c r="V217" s="4759"/>
      <c r="W217" s="4759"/>
      <c r="X217" s="4744"/>
      <c r="Y217" s="4746"/>
    </row>
    <row r="218" spans="1:25" ht="27">
      <c r="A218" s="4744"/>
      <c r="B218" s="4786"/>
      <c r="C218" s="4786"/>
      <c r="D218" s="4792"/>
      <c r="E218" s="4811"/>
      <c r="F218" s="4811"/>
      <c r="G218" s="4812" t="s">
        <v>7267</v>
      </c>
      <c r="H218" s="4813">
        <f>COUNTIF(D219:H223,H217)</f>
        <v>4</v>
      </c>
      <c r="I218" s="4757"/>
      <c r="J218" s="4757"/>
      <c r="K218" s="4758"/>
      <c r="L218" s="4758"/>
      <c r="M218" s="4758"/>
      <c r="N218" s="4758"/>
      <c r="O218" s="4758"/>
      <c r="P218" s="4758"/>
      <c r="Q218" s="4758"/>
      <c r="R218" s="4758"/>
      <c r="S218" s="4758"/>
      <c r="T218" s="4758"/>
      <c r="U218" s="4759"/>
      <c r="V218" s="4759"/>
      <c r="W218" s="4759"/>
      <c r="X218" s="4744"/>
      <c r="Y218" s="4746"/>
    </row>
    <row r="219" spans="1:25" ht="27">
      <c r="A219" s="4744"/>
      <c r="B219" s="4786"/>
      <c r="C219" s="4786"/>
      <c r="D219" s="4792">
        <v>6</v>
      </c>
      <c r="E219" s="4811">
        <v>6</v>
      </c>
      <c r="F219" s="4814" t="s">
        <v>26</v>
      </c>
      <c r="G219" s="4811">
        <v>6</v>
      </c>
      <c r="H219" s="4815">
        <v>6</v>
      </c>
      <c r="I219" s="4757"/>
      <c r="J219" s="4757"/>
      <c r="K219" s="4758"/>
      <c r="L219" s="4758"/>
      <c r="M219" s="4758"/>
      <c r="N219" s="4758"/>
      <c r="O219" s="4758"/>
      <c r="P219" s="4758"/>
      <c r="Q219" s="4758"/>
      <c r="R219" s="4758"/>
      <c r="S219" s="4758"/>
      <c r="T219" s="4758"/>
      <c r="U219" s="4759"/>
      <c r="V219" s="4759"/>
      <c r="W219" s="4759"/>
      <c r="X219" s="4744"/>
      <c r="Y219" s="4746"/>
    </row>
    <row r="220" spans="1:25" ht="27">
      <c r="A220" s="4744"/>
      <c r="B220" s="4786"/>
      <c r="C220" s="4786"/>
      <c r="D220" s="4792">
        <v>6</v>
      </c>
      <c r="E220" s="4811">
        <v>6</v>
      </c>
      <c r="F220" s="4811">
        <v>6</v>
      </c>
      <c r="G220" s="4811">
        <v>6</v>
      </c>
      <c r="H220" s="4815">
        <v>6</v>
      </c>
      <c r="I220" s="4757"/>
      <c r="J220" s="4757"/>
      <c r="K220" s="4758"/>
      <c r="L220" s="4758"/>
      <c r="M220" s="4758"/>
      <c r="N220" s="4758"/>
      <c r="O220" s="4758"/>
      <c r="P220" s="4758"/>
      <c r="Q220" s="4758"/>
      <c r="R220" s="4758"/>
      <c r="S220" s="4758"/>
      <c r="T220" s="4758"/>
      <c r="U220" s="4759"/>
      <c r="V220" s="4759"/>
      <c r="W220" s="4759"/>
      <c r="X220" s="4744"/>
      <c r="Y220" s="4746"/>
    </row>
    <row r="221" spans="1:25" ht="27">
      <c r="A221" s="4744"/>
      <c r="B221" s="4786"/>
      <c r="C221" s="4786"/>
      <c r="D221" s="4792">
        <v>6</v>
      </c>
      <c r="E221" s="4814" t="s">
        <v>26</v>
      </c>
      <c r="F221" s="4811">
        <v>6</v>
      </c>
      <c r="G221" s="4811">
        <v>6</v>
      </c>
      <c r="H221" s="4815">
        <v>6</v>
      </c>
      <c r="I221" s="4757"/>
      <c r="J221" s="4757"/>
      <c r="K221" s="4758"/>
      <c r="L221" s="4758"/>
      <c r="M221" s="4758"/>
      <c r="N221" s="4758"/>
      <c r="O221" s="4758"/>
      <c r="P221" s="4758"/>
      <c r="Q221" s="4758"/>
      <c r="R221" s="4758"/>
      <c r="S221" s="4758"/>
      <c r="T221" s="4758"/>
      <c r="U221" s="4759"/>
      <c r="V221" s="4759"/>
      <c r="W221" s="4759"/>
      <c r="X221" s="4744"/>
      <c r="Y221" s="4746"/>
    </row>
    <row r="222" spans="1:25" ht="27">
      <c r="A222" s="4744"/>
      <c r="B222" s="4786"/>
      <c r="C222" s="4786"/>
      <c r="D222" s="4792">
        <v>6</v>
      </c>
      <c r="E222" s="4811">
        <v>6</v>
      </c>
      <c r="F222" s="4811">
        <v>6</v>
      </c>
      <c r="G222" s="4814" t="s">
        <v>26</v>
      </c>
      <c r="H222" s="4815">
        <v>6</v>
      </c>
      <c r="I222" s="4757"/>
      <c r="J222" s="4757"/>
      <c r="K222" s="4758"/>
      <c r="L222" s="4758"/>
      <c r="M222" s="4758"/>
      <c r="N222" s="4758"/>
      <c r="O222" s="4758"/>
      <c r="P222" s="4758"/>
      <c r="Q222" s="4758"/>
      <c r="R222" s="4758"/>
      <c r="S222" s="4758"/>
      <c r="T222" s="4758"/>
      <c r="U222" s="4759"/>
      <c r="V222" s="4759"/>
      <c r="W222" s="4759"/>
      <c r="X222" s="4744"/>
      <c r="Y222" s="4746"/>
    </row>
    <row r="223" spans="1:25" ht="27">
      <c r="A223" s="4744"/>
      <c r="B223" s="4786"/>
      <c r="C223" s="4786"/>
      <c r="D223" s="4792">
        <v>6</v>
      </c>
      <c r="E223" s="4811">
        <v>6</v>
      </c>
      <c r="F223" s="4811">
        <v>6</v>
      </c>
      <c r="G223" s="4811">
        <v>6</v>
      </c>
      <c r="H223" s="4816" t="s">
        <v>26</v>
      </c>
      <c r="I223" s="4757"/>
      <c r="J223" s="4757"/>
      <c r="K223" s="4758"/>
      <c r="L223" s="4758"/>
      <c r="M223" s="4758"/>
      <c r="N223" s="4758"/>
      <c r="O223" s="4758"/>
      <c r="P223" s="4758"/>
      <c r="Q223" s="4758"/>
      <c r="R223" s="4758"/>
      <c r="S223" s="4758"/>
      <c r="T223" s="4758"/>
      <c r="U223" s="4759"/>
      <c r="V223" s="4759"/>
      <c r="W223" s="4759"/>
      <c r="X223" s="4744"/>
      <c r="Y223" s="4746"/>
    </row>
    <row r="224" spans="1:25" ht="27">
      <c r="A224" s="4744"/>
      <c r="B224" s="4786"/>
      <c r="C224" s="4786"/>
      <c r="D224" s="4817"/>
      <c r="E224" s="4818"/>
      <c r="F224" s="4818"/>
      <c r="G224" s="4818"/>
      <c r="H224" s="4819"/>
      <c r="I224" s="4757"/>
      <c r="J224" s="4757"/>
      <c r="K224" s="4758"/>
      <c r="L224" s="4758"/>
      <c r="M224" s="4758"/>
      <c r="N224" s="4758"/>
      <c r="O224" s="4758"/>
      <c r="P224" s="4758"/>
      <c r="Q224" s="4758"/>
      <c r="R224" s="4758"/>
      <c r="S224" s="4758"/>
      <c r="T224" s="4758"/>
      <c r="U224" s="4759"/>
      <c r="V224" s="4759"/>
      <c r="W224" s="4759"/>
      <c r="X224" s="4744"/>
      <c r="Y224" s="4746"/>
    </row>
    <row r="225" spans="1:38" s="4766" customFormat="1" ht="40.5" customHeight="1">
      <c r="A225" s="4744"/>
      <c r="B225" s="4757"/>
      <c r="C225" s="4771"/>
      <c r="D225" s="4779"/>
      <c r="E225" s="4757"/>
      <c r="F225" s="4757"/>
      <c r="G225" s="4776"/>
      <c r="H225" s="4757"/>
      <c r="I225" s="4757"/>
      <c r="J225" s="4757"/>
      <c r="K225" s="4757"/>
      <c r="L225" s="4757"/>
      <c r="M225" s="4757"/>
      <c r="N225" s="4757"/>
      <c r="O225" s="4758"/>
      <c r="P225" s="4757"/>
      <c r="Q225" s="4757"/>
      <c r="R225" s="4757"/>
      <c r="S225" s="4759"/>
      <c r="T225" s="4759"/>
      <c r="U225" s="4759"/>
      <c r="V225" s="4759"/>
      <c r="W225" s="4759"/>
      <c r="X225" s="4744"/>
      <c r="Y225" s="4746"/>
      <c r="Z225" s="632"/>
      <c r="AA225" s="632"/>
      <c r="AB225" s="632"/>
      <c r="AC225" s="632"/>
      <c r="AD225" s="632"/>
      <c r="AE225" s="632"/>
      <c r="AF225" s="632"/>
      <c r="AG225" s="632"/>
      <c r="AH225" s="632"/>
      <c r="AI225" s="632"/>
      <c r="AJ225" s="632"/>
      <c r="AK225" s="632"/>
      <c r="AL225" s="632"/>
    </row>
    <row r="226" spans="1:38" s="4766" customFormat="1" ht="40.5" customHeight="1">
      <c r="A226" s="4744"/>
      <c r="B226" s="4764" t="s">
        <v>7268</v>
      </c>
      <c r="C226" s="4765"/>
      <c r="D226" s="4765"/>
      <c r="E226" s="4758"/>
      <c r="F226" s="4758"/>
      <c r="G226" s="4757"/>
      <c r="H226" s="4757"/>
      <c r="I226" s="4757"/>
      <c r="J226" s="4757"/>
      <c r="K226" s="4757"/>
      <c r="L226" s="4757"/>
      <c r="M226" s="4757"/>
      <c r="N226" s="4757"/>
      <c r="O226" s="4758"/>
      <c r="P226" s="4757"/>
      <c r="Q226" s="4757"/>
      <c r="R226" s="4757"/>
      <c r="S226" s="4759"/>
      <c r="T226" s="4759"/>
      <c r="U226" s="4759"/>
      <c r="V226" s="4759"/>
      <c r="W226" s="4759"/>
      <c r="X226" s="4744"/>
      <c r="Y226" s="4746"/>
      <c r="Z226" s="632"/>
      <c r="AA226" s="632"/>
      <c r="AB226" s="632"/>
      <c r="AC226" s="632"/>
      <c r="AD226" s="632"/>
      <c r="AE226" s="632"/>
      <c r="AF226" s="632"/>
      <c r="AG226" s="632"/>
      <c r="AH226" s="632"/>
      <c r="AI226" s="632"/>
      <c r="AJ226" s="632"/>
      <c r="AK226" s="632"/>
      <c r="AL226" s="632"/>
    </row>
    <row r="227" spans="1:38" s="4766" customFormat="1" ht="40.5" customHeight="1">
      <c r="A227" s="4744"/>
      <c r="B227" s="4765"/>
      <c r="C227" s="4765" t="s">
        <v>3184</v>
      </c>
      <c r="D227" s="4765"/>
      <c r="E227" s="4765"/>
      <c r="F227" s="4765"/>
      <c r="G227" s="8474" t="s">
        <v>7269</v>
      </c>
      <c r="H227" s="8474"/>
      <c r="I227" s="8474"/>
      <c r="J227" s="8474"/>
      <c r="K227" s="8474"/>
      <c r="L227" s="8474"/>
      <c r="M227" s="8474"/>
      <c r="N227" s="8474"/>
      <c r="O227" s="8474"/>
      <c r="P227" s="8474"/>
      <c r="Q227" s="8474"/>
      <c r="R227" s="8474"/>
      <c r="S227" s="4759"/>
      <c r="T227" s="4769"/>
      <c r="U227" s="4769"/>
      <c r="V227" s="4759"/>
      <c r="W227" s="4759"/>
      <c r="X227" s="4744"/>
      <c r="Y227" s="4746"/>
      <c r="Z227" s="632"/>
      <c r="AA227" s="632"/>
      <c r="AB227" s="632"/>
      <c r="AC227" s="632"/>
      <c r="AD227" s="632"/>
      <c r="AE227" s="632"/>
      <c r="AF227" s="632"/>
      <c r="AG227" s="632"/>
      <c r="AH227" s="632"/>
      <c r="AI227" s="632"/>
      <c r="AJ227" s="632"/>
      <c r="AK227" s="632"/>
      <c r="AL227" s="632"/>
    </row>
    <row r="228" spans="1:38" s="4766" customFormat="1" ht="40.5" customHeight="1">
      <c r="A228" s="4744"/>
      <c r="B228" s="4765"/>
      <c r="C228" s="4765" t="s">
        <v>7270</v>
      </c>
      <c r="D228" s="4765"/>
      <c r="E228" s="4765"/>
      <c r="F228" s="4765"/>
      <c r="G228" s="8474" t="s">
        <v>7271</v>
      </c>
      <c r="H228" s="8474"/>
      <c r="I228" s="8474"/>
      <c r="J228" s="8474"/>
      <c r="K228" s="8474"/>
      <c r="L228" s="8474"/>
      <c r="M228" s="8474"/>
      <c r="N228" s="8474"/>
      <c r="O228" s="8474"/>
      <c r="P228" s="8474"/>
      <c r="Q228" s="8474"/>
      <c r="R228" s="8474"/>
      <c r="S228" s="4759"/>
      <c r="T228" s="4769"/>
      <c r="U228" s="4769"/>
      <c r="V228" s="4759"/>
      <c r="W228" s="4759"/>
      <c r="X228" s="4744"/>
      <c r="Y228" s="4746"/>
      <c r="Z228" s="632"/>
      <c r="AA228" s="632"/>
      <c r="AB228" s="632"/>
      <c r="AC228" s="632"/>
      <c r="AD228" s="632"/>
      <c r="AE228" s="632"/>
      <c r="AF228" s="632"/>
      <c r="AG228" s="632"/>
      <c r="AH228" s="632"/>
      <c r="AI228" s="632"/>
      <c r="AJ228" s="632"/>
      <c r="AK228" s="632"/>
      <c r="AL228" s="632"/>
    </row>
    <row r="229" spans="1:38" s="4766" customFormat="1" ht="40.5" customHeight="1">
      <c r="A229" s="4744"/>
      <c r="B229" s="4765"/>
      <c r="C229" s="4765"/>
      <c r="D229" s="4765"/>
      <c r="E229" s="4765"/>
      <c r="F229" s="4765"/>
      <c r="G229" s="8474" t="s">
        <v>7272</v>
      </c>
      <c r="H229" s="8474"/>
      <c r="I229" s="8474"/>
      <c r="J229" s="8474"/>
      <c r="K229" s="8474"/>
      <c r="L229" s="8474"/>
      <c r="M229" s="8474"/>
      <c r="N229" s="8474"/>
      <c r="O229" s="8474"/>
      <c r="P229" s="8474"/>
      <c r="Q229" s="8474"/>
      <c r="R229" s="8474"/>
      <c r="S229" s="4759"/>
      <c r="T229" s="4769"/>
      <c r="U229" s="4769"/>
      <c r="V229" s="4759"/>
      <c r="W229" s="4759"/>
      <c r="X229" s="4744"/>
      <c r="Y229" s="4746"/>
      <c r="Z229" s="632"/>
      <c r="AA229" s="632"/>
      <c r="AB229" s="632"/>
      <c r="AC229" s="632"/>
      <c r="AD229" s="632"/>
      <c r="AE229" s="632"/>
      <c r="AF229" s="632"/>
      <c r="AG229" s="632"/>
      <c r="AH229" s="632"/>
      <c r="AI229" s="632"/>
      <c r="AJ229" s="632"/>
      <c r="AK229" s="632"/>
      <c r="AL229" s="632"/>
    </row>
    <row r="230" spans="1:38" s="4766" customFormat="1" ht="40.5" customHeight="1">
      <c r="A230" s="4744"/>
      <c r="B230" s="4765"/>
      <c r="C230" s="4765"/>
      <c r="D230" s="4765"/>
      <c r="E230" s="4765"/>
      <c r="F230" s="4765"/>
      <c r="G230" s="8474" t="s">
        <v>7273</v>
      </c>
      <c r="H230" s="8474"/>
      <c r="I230" s="8474"/>
      <c r="J230" s="8474"/>
      <c r="K230" s="8474"/>
      <c r="L230" s="8474"/>
      <c r="M230" s="8474"/>
      <c r="N230" s="8474"/>
      <c r="O230" s="8474"/>
      <c r="P230" s="8474"/>
      <c r="Q230" s="8474"/>
      <c r="R230" s="8474"/>
      <c r="S230" s="4759"/>
      <c r="T230" s="4769"/>
      <c r="U230" s="4769"/>
      <c r="V230" s="4759"/>
      <c r="W230" s="4759"/>
      <c r="X230" s="4744"/>
      <c r="Y230" s="4746"/>
      <c r="Z230" s="632"/>
      <c r="AA230" s="632"/>
      <c r="AB230" s="632"/>
      <c r="AC230" s="632"/>
      <c r="AD230" s="632"/>
      <c r="AE230" s="632"/>
      <c r="AF230" s="632"/>
      <c r="AG230" s="632"/>
      <c r="AH230" s="632"/>
      <c r="AI230" s="632"/>
      <c r="AJ230" s="632"/>
      <c r="AK230" s="632"/>
      <c r="AL230" s="632"/>
    </row>
    <row r="231" spans="1:38" s="4766" customFormat="1" ht="40.5" customHeight="1">
      <c r="A231" s="4744"/>
      <c r="B231" s="4765"/>
      <c r="C231" s="4765" t="s">
        <v>7274</v>
      </c>
      <c r="D231" s="4765"/>
      <c r="E231" s="4765"/>
      <c r="F231" s="4765"/>
      <c r="G231" s="8474" t="s">
        <v>7275</v>
      </c>
      <c r="H231" s="8474"/>
      <c r="I231" s="8474"/>
      <c r="J231" s="8474"/>
      <c r="K231" s="8474"/>
      <c r="L231" s="8474"/>
      <c r="M231" s="8474"/>
      <c r="N231" s="8474"/>
      <c r="O231" s="8474"/>
      <c r="P231" s="8474"/>
      <c r="Q231" s="8474"/>
      <c r="R231" s="8474"/>
      <c r="S231" s="4759"/>
      <c r="T231" s="4769"/>
      <c r="U231" s="4769"/>
      <c r="V231" s="4759"/>
      <c r="W231" s="4759"/>
      <c r="X231" s="4744"/>
      <c r="Y231" s="4746"/>
      <c r="Z231" s="632"/>
      <c r="AA231" s="632"/>
      <c r="AB231" s="632"/>
      <c r="AC231" s="632"/>
      <c r="AD231" s="632"/>
      <c r="AE231" s="632"/>
      <c r="AF231" s="632"/>
      <c r="AG231" s="632"/>
      <c r="AH231" s="632"/>
      <c r="AI231" s="632"/>
      <c r="AJ231" s="632"/>
      <c r="AK231" s="632"/>
      <c r="AL231" s="632"/>
    </row>
    <row r="232" spans="1:38" s="4766" customFormat="1" ht="40.5" customHeight="1">
      <c r="A232" s="4744"/>
      <c r="B232" s="4765"/>
      <c r="C232" s="4765" t="s">
        <v>7276</v>
      </c>
      <c r="D232" s="4765"/>
      <c r="E232" s="4765"/>
      <c r="F232" s="4765"/>
      <c r="G232" s="8474" t="s">
        <v>7277</v>
      </c>
      <c r="H232" s="8474"/>
      <c r="I232" s="8474"/>
      <c r="J232" s="8474"/>
      <c r="K232" s="8474"/>
      <c r="L232" s="8474"/>
      <c r="M232" s="8474"/>
      <c r="N232" s="8474"/>
      <c r="O232" s="8474"/>
      <c r="P232" s="8474"/>
      <c r="Q232" s="8474"/>
      <c r="R232" s="8474"/>
      <c r="S232" s="4759"/>
      <c r="T232" s="4769"/>
      <c r="U232" s="4769"/>
      <c r="V232" s="4759"/>
      <c r="W232" s="4759"/>
      <c r="X232" s="4744"/>
      <c r="Y232" s="4746"/>
      <c r="Z232" s="632"/>
      <c r="AA232" s="632"/>
      <c r="AB232" s="632"/>
      <c r="AC232" s="632"/>
      <c r="AD232" s="632"/>
      <c r="AE232" s="632"/>
      <c r="AF232" s="632"/>
      <c r="AG232" s="632"/>
      <c r="AH232" s="632"/>
      <c r="AI232" s="632"/>
      <c r="AJ232" s="632"/>
      <c r="AK232" s="632"/>
      <c r="AL232" s="632"/>
    </row>
    <row r="233" spans="1:38" s="4766" customFormat="1" ht="40.5" customHeight="1">
      <c r="A233" s="4744"/>
      <c r="B233" s="4765"/>
      <c r="C233" s="4765" t="s">
        <v>7278</v>
      </c>
      <c r="D233" s="4765"/>
      <c r="E233" s="4765"/>
      <c r="F233" s="4765"/>
      <c r="G233" s="8474" t="s">
        <v>7279</v>
      </c>
      <c r="H233" s="8474"/>
      <c r="I233" s="8474"/>
      <c r="J233" s="8474"/>
      <c r="K233" s="8474"/>
      <c r="L233" s="8474"/>
      <c r="M233" s="8474"/>
      <c r="N233" s="8474"/>
      <c r="O233" s="8474"/>
      <c r="P233" s="8474"/>
      <c r="Q233" s="8474"/>
      <c r="R233" s="8474"/>
      <c r="S233" s="4759"/>
      <c r="T233" s="4769"/>
      <c r="U233" s="4769"/>
      <c r="V233" s="4759"/>
      <c r="W233" s="4759"/>
      <c r="X233" s="4744"/>
      <c r="Y233" s="4746"/>
      <c r="Z233" s="632"/>
      <c r="AA233" s="632"/>
      <c r="AB233" s="632"/>
      <c r="AC233" s="632"/>
      <c r="AD233" s="632"/>
      <c r="AE233" s="632"/>
      <c r="AF233" s="632"/>
      <c r="AG233" s="632"/>
      <c r="AH233" s="632"/>
      <c r="AI233" s="632"/>
      <c r="AJ233" s="632"/>
      <c r="AK233" s="632"/>
      <c r="AL233" s="632"/>
    </row>
    <row r="234" spans="1:38" s="4766" customFormat="1" ht="40.5" customHeight="1">
      <c r="A234" s="4744"/>
      <c r="B234" s="4765"/>
      <c r="C234" s="4765" t="s">
        <v>7280</v>
      </c>
      <c r="D234" s="4765"/>
      <c r="E234" s="4765"/>
      <c r="F234" s="4765"/>
      <c r="G234" s="8474" t="s">
        <v>7281</v>
      </c>
      <c r="H234" s="8474"/>
      <c r="I234" s="8474"/>
      <c r="J234" s="8474"/>
      <c r="K234" s="8474"/>
      <c r="L234" s="8474"/>
      <c r="M234" s="8474"/>
      <c r="N234" s="8474"/>
      <c r="O234" s="8474"/>
      <c r="P234" s="8474"/>
      <c r="Q234" s="8474"/>
      <c r="R234" s="8474"/>
      <c r="S234" s="4759"/>
      <c r="T234" s="4769"/>
      <c r="U234" s="4769"/>
      <c r="V234" s="4759"/>
      <c r="W234" s="4759"/>
      <c r="X234" s="4744"/>
      <c r="Y234" s="4746"/>
      <c r="Z234" s="632"/>
      <c r="AA234" s="632"/>
      <c r="AB234" s="632"/>
      <c r="AC234" s="632"/>
      <c r="AD234" s="632"/>
      <c r="AE234" s="632"/>
      <c r="AF234" s="632"/>
      <c r="AG234" s="632"/>
      <c r="AH234" s="632"/>
      <c r="AI234" s="632"/>
      <c r="AJ234" s="632"/>
      <c r="AK234" s="632"/>
      <c r="AL234" s="632"/>
    </row>
    <row r="235" spans="1:38" s="4766" customFormat="1" ht="40.5" customHeight="1">
      <c r="A235" s="4744"/>
      <c r="B235" s="4765"/>
      <c r="C235" s="4765" t="s">
        <v>7282</v>
      </c>
      <c r="D235" s="4765"/>
      <c r="E235" s="4765"/>
      <c r="F235" s="4765"/>
      <c r="G235" s="8474" t="s">
        <v>7283</v>
      </c>
      <c r="H235" s="8474"/>
      <c r="I235" s="8474"/>
      <c r="J235" s="8474"/>
      <c r="K235" s="8474"/>
      <c r="L235" s="8474"/>
      <c r="M235" s="8474"/>
      <c r="N235" s="8474"/>
      <c r="O235" s="8474"/>
      <c r="P235" s="8474"/>
      <c r="Q235" s="8474"/>
      <c r="R235" s="8474"/>
      <c r="S235" s="4759"/>
      <c r="T235" s="4769"/>
      <c r="U235" s="4769"/>
      <c r="V235" s="4759"/>
      <c r="W235" s="4759"/>
      <c r="X235" s="4744"/>
      <c r="Y235" s="4746"/>
      <c r="Z235" s="632"/>
      <c r="AA235" s="632"/>
      <c r="AB235" s="632"/>
      <c r="AC235" s="632"/>
      <c r="AD235" s="632"/>
      <c r="AE235" s="632"/>
      <c r="AF235" s="632"/>
      <c r="AG235" s="632"/>
      <c r="AH235" s="632"/>
      <c r="AI235" s="632"/>
      <c r="AJ235" s="632"/>
      <c r="AK235" s="632"/>
      <c r="AL235" s="632"/>
    </row>
    <row r="236" spans="1:38" s="4766" customFormat="1" ht="40.5" customHeight="1">
      <c r="A236" s="4744"/>
      <c r="B236" s="4765"/>
      <c r="C236" s="4765" t="s">
        <v>7284</v>
      </c>
      <c r="D236" s="4765"/>
      <c r="E236" s="4765"/>
      <c r="F236" s="4765"/>
      <c r="G236" s="4769"/>
      <c r="H236" s="4769"/>
      <c r="I236" s="4769"/>
      <c r="J236" s="4769"/>
      <c r="K236" s="4769"/>
      <c r="L236" s="4769"/>
      <c r="M236" s="4769"/>
      <c r="N236" s="4769"/>
      <c r="O236" s="4769"/>
      <c r="P236" s="4769"/>
      <c r="Q236" s="4769"/>
      <c r="R236" s="4769"/>
      <c r="S236" s="4759"/>
      <c r="T236" s="4769"/>
      <c r="U236" s="4769"/>
      <c r="V236" s="4759"/>
      <c r="W236" s="4759"/>
      <c r="X236" s="4744"/>
      <c r="Y236" s="4746"/>
      <c r="Z236" s="632"/>
      <c r="AA236" s="632"/>
      <c r="AB236" s="632"/>
      <c r="AC236" s="632"/>
      <c r="AD236" s="632"/>
      <c r="AE236" s="632"/>
      <c r="AF236" s="632"/>
      <c r="AG236" s="632"/>
      <c r="AH236" s="632"/>
      <c r="AI236" s="632"/>
      <c r="AJ236" s="632"/>
      <c r="AK236" s="632"/>
      <c r="AL236" s="632"/>
    </row>
    <row r="237" spans="1:38" s="4766" customFormat="1" ht="40.5" customHeight="1">
      <c r="A237" s="4744"/>
      <c r="B237" s="4765"/>
      <c r="C237" s="4765"/>
      <c r="D237" s="4765"/>
      <c r="E237" s="4765"/>
      <c r="F237" s="4765"/>
      <c r="G237" s="8474" t="s">
        <v>7285</v>
      </c>
      <c r="H237" s="8474"/>
      <c r="I237" s="8474"/>
      <c r="J237" s="8474"/>
      <c r="K237" s="8474"/>
      <c r="L237" s="8474"/>
      <c r="M237" s="8474"/>
      <c r="N237" s="8474"/>
      <c r="O237" s="8474"/>
      <c r="P237" s="8474"/>
      <c r="Q237" s="8474"/>
      <c r="R237" s="8474"/>
      <c r="S237" s="4759"/>
      <c r="T237" s="4769"/>
      <c r="U237" s="4769"/>
      <c r="V237" s="4759"/>
      <c r="W237" s="4759"/>
      <c r="X237" s="4744"/>
      <c r="Y237" s="4746"/>
      <c r="Z237" s="632"/>
      <c r="AA237" s="632"/>
      <c r="AB237" s="632"/>
      <c r="AC237" s="632"/>
      <c r="AD237" s="632"/>
      <c r="AE237" s="632"/>
      <c r="AF237" s="632"/>
      <c r="AG237" s="632"/>
      <c r="AH237" s="632"/>
      <c r="AI237" s="632"/>
      <c r="AJ237" s="632"/>
      <c r="AK237" s="632"/>
      <c r="AL237" s="632"/>
    </row>
    <row r="238" spans="1:38" s="4766" customFormat="1" ht="40.5" customHeight="1">
      <c r="A238" s="4744"/>
      <c r="B238" s="4765"/>
      <c r="C238" s="4765" t="s">
        <v>7286</v>
      </c>
      <c r="D238" s="4765"/>
      <c r="E238" s="4765"/>
      <c r="F238" s="4765"/>
      <c r="G238" s="8474" t="s">
        <v>7287</v>
      </c>
      <c r="H238" s="8474"/>
      <c r="I238" s="8474"/>
      <c r="J238" s="8474"/>
      <c r="K238" s="8474"/>
      <c r="L238" s="8474"/>
      <c r="M238" s="8474"/>
      <c r="N238" s="8474"/>
      <c r="O238" s="8474"/>
      <c r="P238" s="8474"/>
      <c r="Q238" s="8474"/>
      <c r="R238" s="8474"/>
      <c r="S238" s="4759"/>
      <c r="T238" s="4769"/>
      <c r="U238" s="4769"/>
      <c r="V238" s="4759"/>
      <c r="W238" s="4759"/>
      <c r="X238" s="4744"/>
      <c r="Y238" s="4746"/>
      <c r="Z238" s="632"/>
      <c r="AA238" s="632"/>
      <c r="AB238" s="632"/>
      <c r="AC238" s="632"/>
      <c r="AD238" s="632"/>
      <c r="AE238" s="632"/>
      <c r="AF238" s="632"/>
      <c r="AG238" s="632"/>
      <c r="AH238" s="632"/>
      <c r="AI238" s="632"/>
      <c r="AJ238" s="632"/>
      <c r="AK238" s="632"/>
      <c r="AL238" s="632"/>
    </row>
    <row r="239" spans="1:38" s="4766" customFormat="1" ht="40.5" customHeight="1">
      <c r="A239" s="4744"/>
      <c r="B239" s="4765"/>
      <c r="C239" s="4765" t="s">
        <v>7288</v>
      </c>
      <c r="D239" s="4765"/>
      <c r="E239" s="4765"/>
      <c r="F239" s="4765"/>
      <c r="G239" s="8474" t="s">
        <v>7289</v>
      </c>
      <c r="H239" s="8474"/>
      <c r="I239" s="8474"/>
      <c r="J239" s="8474"/>
      <c r="K239" s="8474"/>
      <c r="L239" s="8474"/>
      <c r="M239" s="8474"/>
      <c r="N239" s="8474"/>
      <c r="O239" s="8474"/>
      <c r="P239" s="8474"/>
      <c r="Q239" s="8474"/>
      <c r="R239" s="8474"/>
      <c r="S239" s="4759"/>
      <c r="T239" s="4769"/>
      <c r="U239" s="4769"/>
      <c r="V239" s="4759"/>
      <c r="W239" s="4759"/>
      <c r="X239" s="4744"/>
      <c r="Y239" s="4746"/>
      <c r="Z239" s="632"/>
      <c r="AA239" s="632"/>
      <c r="AB239" s="632"/>
      <c r="AC239" s="632"/>
      <c r="AD239" s="632"/>
      <c r="AE239" s="632"/>
      <c r="AF239" s="632"/>
      <c r="AG239" s="632"/>
      <c r="AH239" s="632"/>
      <c r="AI239" s="632"/>
      <c r="AJ239" s="632"/>
      <c r="AK239" s="632"/>
      <c r="AL239" s="632"/>
    </row>
    <row r="240" spans="1:38" s="4766" customFormat="1" ht="40.5" customHeight="1">
      <c r="A240" s="4744"/>
      <c r="B240" s="4765"/>
      <c r="C240" s="4765" t="s">
        <v>7290</v>
      </c>
      <c r="D240" s="4765"/>
      <c r="E240" s="4765"/>
      <c r="F240" s="4765"/>
      <c r="G240" s="8474" t="s">
        <v>7291</v>
      </c>
      <c r="H240" s="8474" t="s">
        <v>7291</v>
      </c>
      <c r="I240" s="8474"/>
      <c r="J240" s="8474"/>
      <c r="K240" s="8474"/>
      <c r="L240" s="8474"/>
      <c r="M240" s="8474"/>
      <c r="N240" s="8474"/>
      <c r="O240" s="8474"/>
      <c r="P240" s="8474"/>
      <c r="Q240" s="8474"/>
      <c r="R240" s="8474"/>
      <c r="S240" s="4759"/>
      <c r="T240" s="4769"/>
      <c r="U240" s="4769"/>
      <c r="V240" s="4759"/>
      <c r="W240" s="4759"/>
      <c r="X240" s="4744"/>
      <c r="Y240" s="4746"/>
      <c r="Z240" s="632"/>
      <c r="AA240" s="632"/>
      <c r="AB240" s="632"/>
      <c r="AC240" s="632"/>
      <c r="AD240" s="632"/>
      <c r="AE240" s="632"/>
      <c r="AF240" s="632"/>
      <c r="AG240" s="632"/>
      <c r="AH240" s="632"/>
      <c r="AI240" s="632"/>
      <c r="AJ240" s="632"/>
      <c r="AK240" s="632"/>
      <c r="AL240" s="632"/>
    </row>
    <row r="241" spans="1:38" s="4766" customFormat="1" ht="40.5" customHeight="1">
      <c r="A241" s="4744"/>
      <c r="B241" s="4765"/>
      <c r="C241" s="4765" t="s">
        <v>7292</v>
      </c>
      <c r="D241" s="4765"/>
      <c r="E241" s="4765"/>
      <c r="F241" s="4765"/>
      <c r="G241" s="8474" t="s">
        <v>7293</v>
      </c>
      <c r="H241" s="8474"/>
      <c r="I241" s="8474"/>
      <c r="J241" s="8474"/>
      <c r="K241" s="8474"/>
      <c r="L241" s="8474"/>
      <c r="M241" s="8474"/>
      <c r="N241" s="8474"/>
      <c r="O241" s="8474"/>
      <c r="P241" s="8474"/>
      <c r="Q241" s="8474"/>
      <c r="R241" s="8474"/>
      <c r="S241" s="4759"/>
      <c r="T241" s="4769"/>
      <c r="U241" s="4769"/>
      <c r="V241" s="4759"/>
      <c r="W241" s="4759"/>
      <c r="X241" s="4744"/>
      <c r="Y241" s="4746"/>
      <c r="Z241" s="632"/>
      <c r="AA241" s="632"/>
      <c r="AB241" s="632"/>
      <c r="AC241" s="632"/>
      <c r="AD241" s="632"/>
      <c r="AE241" s="632"/>
      <c r="AF241" s="632"/>
      <c r="AG241" s="632"/>
      <c r="AH241" s="632"/>
      <c r="AI241" s="632"/>
      <c r="AJ241" s="632"/>
      <c r="AK241" s="632"/>
      <c r="AL241" s="632"/>
    </row>
    <row r="242" spans="1:38" s="4766" customFormat="1" ht="40.5" customHeight="1">
      <c r="A242" s="4744"/>
      <c r="B242" s="4765"/>
      <c r="C242" s="4765" t="s">
        <v>7294</v>
      </c>
      <c r="D242" s="4765"/>
      <c r="E242" s="4765"/>
      <c r="F242" s="4765"/>
      <c r="G242" s="8474" t="s">
        <v>7295</v>
      </c>
      <c r="H242" s="8474"/>
      <c r="I242" s="8474"/>
      <c r="J242" s="8474"/>
      <c r="K242" s="8474"/>
      <c r="L242" s="8474"/>
      <c r="M242" s="8474"/>
      <c r="N242" s="8474"/>
      <c r="O242" s="8474"/>
      <c r="P242" s="8474"/>
      <c r="Q242" s="8474"/>
      <c r="R242" s="8474"/>
      <c r="S242" s="4759"/>
      <c r="T242" s="4769"/>
      <c r="U242" s="4769"/>
      <c r="V242" s="4759"/>
      <c r="W242" s="4759"/>
      <c r="X242" s="4744"/>
      <c r="Y242" s="4746"/>
      <c r="Z242" s="632"/>
      <c r="AA242" s="632"/>
      <c r="AB242" s="632"/>
      <c r="AC242" s="632"/>
      <c r="AD242" s="632"/>
      <c r="AE242" s="632"/>
      <c r="AF242" s="632"/>
      <c r="AG242" s="632"/>
      <c r="AH242" s="632"/>
      <c r="AI242" s="632"/>
      <c r="AJ242" s="632"/>
      <c r="AK242" s="632"/>
      <c r="AL242" s="632"/>
    </row>
    <row r="243" spans="1:38" s="4766" customFormat="1" ht="40.5" customHeight="1">
      <c r="A243" s="4744"/>
      <c r="B243" s="4765"/>
      <c r="C243" s="4765"/>
      <c r="D243" s="4765"/>
      <c r="E243" s="4765"/>
      <c r="F243" s="4765"/>
      <c r="G243" s="8474" t="s">
        <v>7296</v>
      </c>
      <c r="H243" s="8474"/>
      <c r="I243" s="8474"/>
      <c r="J243" s="8474"/>
      <c r="K243" s="8474"/>
      <c r="L243" s="8474"/>
      <c r="M243" s="8474"/>
      <c r="N243" s="8474"/>
      <c r="O243" s="8474"/>
      <c r="P243" s="8474"/>
      <c r="Q243" s="8474"/>
      <c r="R243" s="8474"/>
      <c r="S243" s="4759"/>
      <c r="T243" s="4769"/>
      <c r="U243" s="4769"/>
      <c r="V243" s="4759"/>
      <c r="W243" s="4759"/>
      <c r="X243" s="4744"/>
      <c r="Y243" s="4746"/>
      <c r="Z243" s="632"/>
      <c r="AA243" s="632"/>
      <c r="AB243" s="632"/>
      <c r="AC243" s="632"/>
      <c r="AD243" s="632"/>
      <c r="AE243" s="632"/>
      <c r="AF243" s="632"/>
      <c r="AG243" s="632"/>
      <c r="AH243" s="632"/>
      <c r="AI243" s="632"/>
      <c r="AJ243" s="632"/>
      <c r="AK243" s="632"/>
      <c r="AL243" s="632"/>
    </row>
    <row r="244" spans="1:38" s="4766" customFormat="1" ht="40.5" customHeight="1">
      <c r="A244" s="4744"/>
      <c r="B244" s="4765"/>
      <c r="C244" s="4765" t="s">
        <v>7297</v>
      </c>
      <c r="D244" s="4765"/>
      <c r="E244" s="4765"/>
      <c r="F244" s="4765"/>
      <c r="G244" s="8474" t="s">
        <v>7298</v>
      </c>
      <c r="H244" s="8474"/>
      <c r="I244" s="8474"/>
      <c r="J244" s="8474"/>
      <c r="K244" s="8474"/>
      <c r="L244" s="8474"/>
      <c r="M244" s="8474"/>
      <c r="N244" s="8474"/>
      <c r="O244" s="8474"/>
      <c r="P244" s="8474"/>
      <c r="Q244" s="8474"/>
      <c r="R244" s="8474"/>
      <c r="S244" s="4759"/>
      <c r="T244" s="4769"/>
      <c r="U244" s="4769"/>
      <c r="V244" s="4759"/>
      <c r="W244" s="4759"/>
      <c r="X244" s="4744"/>
      <c r="Y244" s="4746"/>
      <c r="Z244" s="632"/>
      <c r="AA244" s="632"/>
      <c r="AB244" s="632"/>
      <c r="AC244" s="632"/>
      <c r="AD244" s="632"/>
      <c r="AE244" s="632"/>
      <c r="AF244" s="632"/>
      <c r="AG244" s="632"/>
      <c r="AH244" s="632"/>
      <c r="AI244" s="632"/>
      <c r="AJ244" s="632"/>
      <c r="AK244" s="632"/>
      <c r="AL244" s="632"/>
    </row>
    <row r="245" spans="1:38" s="4766" customFormat="1" ht="40.5" customHeight="1">
      <c r="A245" s="4744"/>
      <c r="B245" s="4765"/>
      <c r="C245" s="4765" t="s">
        <v>7299</v>
      </c>
      <c r="D245" s="4765"/>
      <c r="E245" s="4765"/>
      <c r="F245" s="4765"/>
      <c r="G245" s="8474" t="s">
        <v>7300</v>
      </c>
      <c r="H245" s="8474"/>
      <c r="I245" s="8474"/>
      <c r="J245" s="8474"/>
      <c r="K245" s="8474"/>
      <c r="L245" s="8474"/>
      <c r="M245" s="8474"/>
      <c r="N245" s="8474"/>
      <c r="O245" s="8474"/>
      <c r="P245" s="8474"/>
      <c r="Q245" s="8474"/>
      <c r="R245" s="8474"/>
      <c r="S245" s="4759"/>
      <c r="T245" s="4769"/>
      <c r="U245" s="4769"/>
      <c r="V245" s="4759"/>
      <c r="W245" s="4759"/>
      <c r="X245" s="4744"/>
      <c r="Y245" s="4746"/>
      <c r="Z245" s="632"/>
      <c r="AA245" s="632"/>
      <c r="AB245" s="632"/>
      <c r="AC245" s="632"/>
      <c r="AD245" s="632"/>
      <c r="AE245" s="632"/>
      <c r="AF245" s="632"/>
      <c r="AG245" s="632"/>
      <c r="AH245" s="632"/>
      <c r="AI245" s="632"/>
      <c r="AJ245" s="632"/>
      <c r="AK245" s="632"/>
      <c r="AL245" s="632"/>
    </row>
    <row r="246" spans="1:38" s="4766" customFormat="1" ht="40.5" customHeight="1">
      <c r="A246" s="4744"/>
      <c r="B246" s="4765"/>
      <c r="C246" s="4765" t="s">
        <v>7301</v>
      </c>
      <c r="D246" s="4765"/>
      <c r="E246" s="4765"/>
      <c r="F246" s="4765"/>
      <c r="G246" s="8474" t="s">
        <v>7302</v>
      </c>
      <c r="H246" s="8474"/>
      <c r="I246" s="8474"/>
      <c r="J246" s="8474"/>
      <c r="K246" s="8474"/>
      <c r="L246" s="8474"/>
      <c r="M246" s="8474"/>
      <c r="N246" s="8474"/>
      <c r="O246" s="8474"/>
      <c r="P246" s="8474"/>
      <c r="Q246" s="8474"/>
      <c r="R246" s="8474"/>
      <c r="S246" s="4759"/>
      <c r="T246" s="4769"/>
      <c r="U246" s="4769"/>
      <c r="V246" s="4759"/>
      <c r="W246" s="4759"/>
      <c r="X246" s="4744"/>
      <c r="Y246" s="4746"/>
      <c r="Z246" s="632"/>
      <c r="AA246" s="632"/>
      <c r="AB246" s="632"/>
      <c r="AC246" s="632"/>
      <c r="AD246" s="632"/>
      <c r="AE246" s="632"/>
      <c r="AF246" s="632"/>
      <c r="AG246" s="632"/>
      <c r="AH246" s="632"/>
      <c r="AI246" s="632"/>
      <c r="AJ246" s="632"/>
      <c r="AK246" s="632"/>
      <c r="AL246" s="632"/>
    </row>
    <row r="247" spans="1:38" s="4766" customFormat="1" ht="40.5" customHeight="1">
      <c r="A247" s="4744"/>
      <c r="B247" s="4765"/>
      <c r="C247" s="4765" t="s">
        <v>7303</v>
      </c>
      <c r="D247" s="4782"/>
      <c r="E247" s="4765"/>
      <c r="F247" s="4765"/>
      <c r="G247" s="8474" t="s">
        <v>7304</v>
      </c>
      <c r="H247" s="8474"/>
      <c r="I247" s="8474"/>
      <c r="J247" s="8474"/>
      <c r="K247" s="8474"/>
      <c r="L247" s="8474"/>
      <c r="M247" s="8474"/>
      <c r="N247" s="8474"/>
      <c r="O247" s="8474"/>
      <c r="P247" s="8474"/>
      <c r="Q247" s="8474"/>
      <c r="R247" s="8474"/>
      <c r="S247" s="4759"/>
      <c r="T247" s="4769"/>
      <c r="U247" s="4769"/>
      <c r="V247" s="4759"/>
      <c r="W247" s="4759"/>
      <c r="X247" s="4744"/>
      <c r="Y247" s="4746"/>
      <c r="Z247" s="632"/>
      <c r="AA247" s="632"/>
      <c r="AB247" s="632"/>
      <c r="AC247" s="632"/>
      <c r="AD247" s="632"/>
      <c r="AE247" s="632"/>
      <c r="AF247" s="632"/>
      <c r="AG247" s="632"/>
      <c r="AH247" s="632"/>
      <c r="AI247" s="632"/>
      <c r="AJ247" s="632"/>
      <c r="AK247" s="632"/>
      <c r="AL247" s="632"/>
    </row>
    <row r="248" spans="1:38" s="4766" customFormat="1" ht="40.5" customHeight="1">
      <c r="A248" s="4744"/>
      <c r="B248" s="4765"/>
      <c r="C248" s="4765"/>
      <c r="D248" s="4765"/>
      <c r="E248" s="4765"/>
      <c r="F248" s="4769"/>
      <c r="G248" s="4769"/>
      <c r="H248" s="4769"/>
      <c r="I248" s="4769"/>
      <c r="J248" s="4769"/>
      <c r="K248" s="4769"/>
      <c r="L248" s="4769"/>
      <c r="M248" s="4769"/>
      <c r="N248" s="4769"/>
      <c r="O248" s="4769"/>
      <c r="P248" s="4769"/>
      <c r="Q248" s="4769"/>
      <c r="R248" s="4769"/>
      <c r="S248" s="4759"/>
      <c r="T248" s="4769"/>
      <c r="U248" s="4769"/>
      <c r="V248" s="4759"/>
      <c r="W248" s="4759"/>
      <c r="X248" s="4744"/>
      <c r="Y248" s="4746"/>
      <c r="Z248" s="632"/>
      <c r="AA248" s="632"/>
      <c r="AB248" s="632"/>
      <c r="AC248" s="632"/>
      <c r="AD248" s="632"/>
      <c r="AE248" s="632"/>
      <c r="AF248" s="632"/>
      <c r="AG248" s="632"/>
      <c r="AH248" s="632"/>
      <c r="AI248" s="632"/>
      <c r="AJ248" s="632"/>
      <c r="AK248" s="632"/>
      <c r="AL248" s="632"/>
    </row>
    <row r="249" spans="1:38" s="4766" customFormat="1" ht="40.5" customHeight="1">
      <c r="A249" s="4744"/>
      <c r="B249" s="4757"/>
      <c r="C249" s="4820" t="s">
        <v>7305</v>
      </c>
      <c r="D249" s="4765"/>
      <c r="E249" s="4758"/>
      <c r="F249" s="4758"/>
      <c r="G249" s="4757"/>
      <c r="H249" s="4757"/>
      <c r="I249" s="4757"/>
      <c r="J249" s="4757"/>
      <c r="K249" s="4757"/>
      <c r="L249" s="4757"/>
      <c r="M249" s="4757"/>
      <c r="N249" s="4757"/>
      <c r="O249" s="4758"/>
      <c r="P249" s="4757"/>
      <c r="Q249" s="4757"/>
      <c r="R249" s="4757"/>
      <c r="S249" s="4759"/>
      <c r="T249" s="4759"/>
      <c r="U249" s="4759"/>
      <c r="V249" s="4759"/>
      <c r="W249" s="4759"/>
      <c r="X249" s="4744"/>
      <c r="Y249" s="4746"/>
      <c r="Z249" s="632"/>
      <c r="AA249" s="632"/>
      <c r="AB249" s="632"/>
      <c r="AC249" s="632"/>
      <c r="AD249" s="632"/>
      <c r="AE249" s="632"/>
      <c r="AF249" s="632"/>
      <c r="AG249" s="632"/>
      <c r="AH249" s="632"/>
      <c r="AI249" s="632"/>
      <c r="AJ249" s="632"/>
      <c r="AK249" s="632"/>
      <c r="AL249" s="632"/>
    </row>
    <row r="250" spans="1:38" s="4766" customFormat="1" ht="40.5" customHeight="1">
      <c r="A250" s="4744"/>
      <c r="B250" s="4757"/>
      <c r="C250" s="4765"/>
      <c r="D250" s="4765"/>
      <c r="E250" s="4758"/>
      <c r="F250" s="4758"/>
      <c r="G250" s="4757"/>
      <c r="H250" s="4757"/>
      <c r="I250" s="4757"/>
      <c r="J250" s="4757"/>
      <c r="K250" s="4757"/>
      <c r="L250" s="4757"/>
      <c r="M250" s="4757"/>
      <c r="N250" s="4757"/>
      <c r="O250" s="4758"/>
      <c r="P250" s="4757"/>
      <c r="Q250" s="4757"/>
      <c r="R250" s="4757"/>
      <c r="S250" s="4759"/>
      <c r="T250" s="4759"/>
      <c r="U250" s="4759"/>
      <c r="V250" s="4759"/>
      <c r="W250" s="4759"/>
      <c r="X250" s="4744"/>
      <c r="Y250" s="4746"/>
      <c r="Z250" s="632"/>
      <c r="AA250" s="632"/>
      <c r="AB250" s="632"/>
      <c r="AC250" s="632"/>
      <c r="AD250" s="632"/>
      <c r="AE250" s="632"/>
      <c r="AF250" s="632"/>
      <c r="AG250" s="632"/>
      <c r="AH250" s="632"/>
      <c r="AI250" s="632"/>
      <c r="AJ250" s="632"/>
      <c r="AK250" s="632"/>
      <c r="AL250" s="632"/>
    </row>
    <row r="251" spans="1:38" s="4766" customFormat="1" ht="40.5" customHeight="1">
      <c r="A251" s="4744"/>
      <c r="B251" s="4757"/>
      <c r="C251" s="4757" t="s">
        <v>7306</v>
      </c>
      <c r="D251" s="4759"/>
      <c r="E251" s="4759"/>
      <c r="F251" s="4759"/>
      <c r="G251" s="4757"/>
      <c r="H251" s="4759"/>
      <c r="I251" s="4759"/>
      <c r="J251" s="4759"/>
      <c r="K251" s="4759"/>
      <c r="L251" s="4759"/>
      <c r="M251" s="4759"/>
      <c r="N251" s="4759"/>
      <c r="O251" s="4759"/>
      <c r="P251" s="4759"/>
      <c r="Q251" s="4759"/>
      <c r="R251" s="4759"/>
      <c r="S251" s="4759"/>
      <c r="T251" s="4759"/>
      <c r="U251" s="4759"/>
      <c r="V251" s="4759"/>
      <c r="W251" s="4759"/>
      <c r="X251" s="4744"/>
      <c r="Y251" s="4746"/>
      <c r="Z251" s="632"/>
      <c r="AA251" s="632"/>
      <c r="AB251" s="632"/>
      <c r="AC251" s="632"/>
      <c r="AD251" s="632"/>
      <c r="AE251" s="632"/>
      <c r="AF251" s="632"/>
      <c r="AG251" s="632"/>
      <c r="AH251" s="632"/>
      <c r="AI251" s="632"/>
      <c r="AJ251" s="632"/>
      <c r="AK251" s="632"/>
      <c r="AL251" s="632"/>
    </row>
    <row r="252" spans="1:38" s="4766" customFormat="1" ht="40.5" customHeight="1">
      <c r="A252" s="4744"/>
      <c r="B252" s="4757"/>
      <c r="C252" s="4757" t="s">
        <v>7307</v>
      </c>
      <c r="D252" s="4757"/>
      <c r="E252" s="4757"/>
      <c r="F252" s="4757"/>
      <c r="G252" s="4757"/>
      <c r="H252" s="4759"/>
      <c r="I252" s="4759"/>
      <c r="J252" s="4759"/>
      <c r="K252" s="4759"/>
      <c r="L252" s="4759"/>
      <c r="M252" s="4759"/>
      <c r="N252" s="4759"/>
      <c r="O252" s="4759"/>
      <c r="P252" s="4759"/>
      <c r="Q252" s="4759"/>
      <c r="R252" s="4759"/>
      <c r="S252" s="4759"/>
      <c r="T252" s="4759"/>
      <c r="U252" s="4759"/>
      <c r="V252" s="4759"/>
      <c r="W252" s="4759"/>
      <c r="X252" s="4744"/>
      <c r="Y252" s="4746"/>
      <c r="Z252" s="632"/>
      <c r="AA252" s="632"/>
      <c r="AB252" s="632"/>
      <c r="AC252" s="632"/>
      <c r="AD252" s="632"/>
      <c r="AE252" s="632"/>
      <c r="AF252" s="632"/>
      <c r="AG252" s="632"/>
      <c r="AH252" s="632"/>
      <c r="AI252" s="632"/>
      <c r="AJ252" s="632"/>
      <c r="AK252" s="632"/>
      <c r="AL252" s="632"/>
    </row>
    <row r="253" spans="1:38" s="4766" customFormat="1" ht="40.5" customHeight="1">
      <c r="A253" s="4744"/>
      <c r="B253" s="4757"/>
      <c r="C253" s="4757"/>
      <c r="D253" s="4757"/>
      <c r="E253" s="4757"/>
      <c r="F253" s="4757"/>
      <c r="G253" s="4757"/>
      <c r="H253" s="4759"/>
      <c r="I253" s="4759"/>
      <c r="J253" s="4759"/>
      <c r="K253" s="4759"/>
      <c r="L253" s="4759"/>
      <c r="M253" s="4759"/>
      <c r="N253" s="4759"/>
      <c r="O253" s="4759"/>
      <c r="P253" s="4759"/>
      <c r="Q253" s="4759"/>
      <c r="R253" s="4759"/>
      <c r="S253" s="4759"/>
      <c r="T253" s="4759"/>
      <c r="U253" s="4759"/>
      <c r="V253" s="4759"/>
      <c r="W253" s="4759"/>
      <c r="X253" s="4744"/>
      <c r="Y253" s="4746"/>
      <c r="Z253" s="632"/>
      <c r="AA253" s="632"/>
      <c r="AB253" s="632"/>
      <c r="AC253" s="632"/>
      <c r="AD253" s="632"/>
      <c r="AE253" s="632"/>
      <c r="AF253" s="632"/>
      <c r="AG253" s="632"/>
      <c r="AH253" s="632"/>
      <c r="AI253" s="632"/>
      <c r="AJ253" s="632"/>
      <c r="AK253" s="632"/>
      <c r="AL253" s="632"/>
    </row>
    <row r="254" spans="1:38" s="4766" customFormat="1" ht="40.5" customHeight="1">
      <c r="A254" s="4744"/>
      <c r="B254" s="4744"/>
      <c r="C254" s="4744"/>
      <c r="D254" s="4744"/>
      <c r="E254" s="4744"/>
      <c r="F254" s="4821"/>
      <c r="G254" s="4744"/>
      <c r="H254" s="4744"/>
      <c r="I254" s="4821"/>
      <c r="J254" s="4821"/>
      <c r="K254" s="4821"/>
      <c r="L254" s="4821"/>
      <c r="M254" s="4821"/>
      <c r="N254" s="4746"/>
      <c r="O254" s="4746"/>
      <c r="P254" s="4746"/>
      <c r="Q254" s="4746"/>
      <c r="R254" s="4746"/>
      <c r="S254" s="4746"/>
      <c r="T254" s="4746"/>
      <c r="U254" s="4746"/>
      <c r="V254" s="4746"/>
      <c r="W254" s="4744"/>
      <c r="X254" s="4744"/>
      <c r="Y254" s="4746"/>
      <c r="Z254" s="632"/>
      <c r="AA254" s="632"/>
      <c r="AB254" s="632"/>
      <c r="AC254" s="632"/>
      <c r="AD254" s="632"/>
      <c r="AE254" s="632"/>
      <c r="AF254" s="632"/>
      <c r="AG254" s="632"/>
      <c r="AH254" s="632"/>
      <c r="AI254" s="632"/>
      <c r="AJ254" s="632"/>
      <c r="AK254" s="632"/>
      <c r="AL254" s="632"/>
    </row>
    <row r="255" spans="1:38" s="4766" customFormat="1" ht="40.5" customHeight="1">
      <c r="A255" s="4744"/>
      <c r="B255" s="4786"/>
      <c r="C255" s="4786"/>
      <c r="D255" s="4786"/>
      <c r="E255" s="4786"/>
      <c r="F255" s="4786"/>
      <c r="G255" s="4822"/>
      <c r="H255" s="4786"/>
      <c r="I255" s="4786"/>
      <c r="J255" s="4822"/>
      <c r="K255" s="4822"/>
      <c r="L255" s="4822"/>
      <c r="M255" s="4822"/>
      <c r="N255" s="4822"/>
      <c r="O255" s="4823"/>
      <c r="P255" s="4824"/>
      <c r="Q255" s="4824"/>
      <c r="R255" s="4824"/>
      <c r="S255" s="4824"/>
      <c r="T255" s="4824"/>
      <c r="U255" s="4824"/>
      <c r="V255" s="4824"/>
      <c r="W255" s="4824"/>
      <c r="X255" s="4744"/>
      <c r="Y255" s="4744"/>
      <c r="Z255" s="632"/>
      <c r="AA255" s="632"/>
      <c r="AB255" s="632"/>
      <c r="AC255" s="632"/>
      <c r="AD255" s="632"/>
      <c r="AE255" s="632"/>
      <c r="AF255" s="632"/>
      <c r="AG255" s="632"/>
      <c r="AH255" s="632"/>
      <c r="AI255" s="632"/>
      <c r="AJ255" s="632"/>
      <c r="AK255" s="632"/>
      <c r="AL255" s="632"/>
    </row>
    <row r="256" spans="1:38" s="4766" customFormat="1" ht="40.5" customHeight="1">
      <c r="A256" s="4744"/>
      <c r="B256" s="4786"/>
      <c r="C256" s="4786"/>
      <c r="D256" s="4786"/>
      <c r="E256" s="4786"/>
      <c r="F256" s="4786"/>
      <c r="G256" s="4822"/>
      <c r="H256" s="4786"/>
      <c r="I256" s="4786"/>
      <c r="J256" s="4822"/>
      <c r="K256" s="4825" t="s">
        <v>7308</v>
      </c>
      <c r="L256" s="8473" t="s">
        <v>7309</v>
      </c>
      <c r="M256" s="8473"/>
      <c r="N256" s="8473"/>
      <c r="O256" s="8473"/>
      <c r="P256" s="8473"/>
      <c r="Q256" s="8473"/>
      <c r="R256" s="8473"/>
      <c r="S256" s="8473"/>
      <c r="T256" s="5495" t="s">
        <v>1</v>
      </c>
      <c r="U256" s="4763"/>
      <c r="V256" s="4763"/>
      <c r="W256" s="4763"/>
      <c r="X256" s="4744"/>
      <c r="Y256" s="4826"/>
      <c r="Z256" s="632"/>
      <c r="AA256" s="632"/>
      <c r="AB256" s="632"/>
      <c r="AC256" s="632"/>
      <c r="AD256" s="632"/>
      <c r="AE256" s="632"/>
      <c r="AF256" s="632"/>
      <c r="AG256" s="632"/>
      <c r="AH256" s="632"/>
      <c r="AI256" s="632"/>
      <c r="AJ256" s="632"/>
      <c r="AK256" s="632"/>
      <c r="AL256" s="632"/>
    </row>
    <row r="257" spans="1:38" s="4766" customFormat="1" ht="40.5" customHeight="1">
      <c r="A257" s="4744"/>
      <c r="B257" s="4786"/>
      <c r="C257" s="4786"/>
      <c r="D257" s="4786"/>
      <c r="E257" s="4786"/>
      <c r="F257" s="4786"/>
      <c r="G257" s="4822"/>
      <c r="H257" s="4786"/>
      <c r="I257" s="4786"/>
      <c r="J257" s="4822"/>
      <c r="K257" s="4827" t="s">
        <v>7310</v>
      </c>
      <c r="L257" s="8473" t="s">
        <v>7311</v>
      </c>
      <c r="M257" s="8473"/>
      <c r="N257" s="8473"/>
      <c r="O257" s="8473"/>
      <c r="P257" s="8473"/>
      <c r="Q257" s="8473"/>
      <c r="R257" s="8473"/>
      <c r="S257" s="8473"/>
      <c r="T257" s="5495" t="s">
        <v>1</v>
      </c>
      <c r="U257" s="4763"/>
      <c r="V257" s="4763"/>
      <c r="W257" s="5495" t="s">
        <v>1</v>
      </c>
      <c r="X257" s="4744"/>
      <c r="Y257" s="4826"/>
      <c r="Z257" s="632"/>
      <c r="AA257" s="632"/>
      <c r="AB257" s="632"/>
      <c r="AC257" s="632"/>
      <c r="AD257" s="632"/>
      <c r="AE257" s="632"/>
      <c r="AF257" s="632"/>
      <c r="AG257" s="632"/>
      <c r="AH257" s="632"/>
      <c r="AI257" s="632"/>
      <c r="AJ257" s="632"/>
      <c r="AK257" s="632"/>
      <c r="AL257" s="632"/>
    </row>
    <row r="258" spans="1:38" s="4766" customFormat="1" ht="40.5" customHeight="1">
      <c r="A258" s="4744"/>
      <c r="B258" s="4786"/>
      <c r="C258" s="4786"/>
      <c r="D258" s="4786"/>
      <c r="E258" s="4786"/>
      <c r="F258" s="4786"/>
      <c r="G258" s="4822"/>
      <c r="H258" s="4786"/>
      <c r="I258" s="4786"/>
      <c r="J258" s="4822"/>
      <c r="K258" s="4825" t="s">
        <v>7312</v>
      </c>
      <c r="L258" s="4763"/>
      <c r="M258" s="4822"/>
      <c r="N258" s="4828"/>
      <c r="O258" s="4781"/>
      <c r="P258" s="4781"/>
      <c r="Q258" s="4763"/>
      <c r="R258" s="4763"/>
      <c r="S258" s="4763"/>
      <c r="T258" s="4763"/>
      <c r="U258" s="4763"/>
      <c r="V258" s="4763"/>
      <c r="W258" s="5495" t="s">
        <v>1</v>
      </c>
      <c r="X258" s="4744"/>
      <c r="Y258" s="4826"/>
      <c r="Z258" s="632"/>
      <c r="AA258" s="632"/>
      <c r="AB258" s="632"/>
      <c r="AC258" s="632"/>
      <c r="AD258" s="632"/>
      <c r="AE258" s="632"/>
      <c r="AF258" s="632"/>
      <c r="AG258" s="632"/>
      <c r="AH258" s="632"/>
      <c r="AI258" s="632"/>
      <c r="AJ258" s="632"/>
      <c r="AK258" s="632"/>
      <c r="AL258" s="632"/>
    </row>
    <row r="259" spans="1:38" s="4766" customFormat="1" ht="40.5" customHeight="1">
      <c r="A259" s="4744"/>
      <c r="B259" s="4786"/>
      <c r="C259" s="4786"/>
      <c r="D259" s="4786"/>
      <c r="E259" s="4786"/>
      <c r="F259" s="4786"/>
      <c r="G259" s="4822"/>
      <c r="H259" s="4786"/>
      <c r="I259" s="4786"/>
      <c r="J259" s="4822"/>
      <c r="K259" s="4825" t="s">
        <v>7313</v>
      </c>
      <c r="L259" s="4763"/>
      <c r="M259" s="4822"/>
      <c r="N259" s="4828"/>
      <c r="O259" s="4781"/>
      <c r="P259" s="4781"/>
      <c r="Q259" s="4763"/>
      <c r="R259" s="4763"/>
      <c r="S259" s="4763"/>
      <c r="T259" s="4763"/>
      <c r="U259" s="4763"/>
      <c r="V259" s="4763"/>
      <c r="W259" s="5495" t="s">
        <v>1</v>
      </c>
      <c r="X259" s="4744"/>
      <c r="Y259" s="4826"/>
      <c r="Z259" s="632"/>
      <c r="AA259" s="632"/>
      <c r="AB259" s="632"/>
      <c r="AC259" s="632"/>
      <c r="AD259" s="632"/>
      <c r="AE259" s="632"/>
      <c r="AF259" s="632"/>
      <c r="AG259" s="632"/>
      <c r="AH259" s="632"/>
      <c r="AI259" s="632"/>
      <c r="AJ259" s="632"/>
      <c r="AK259" s="632"/>
      <c r="AL259" s="632"/>
    </row>
    <row r="260" spans="1:38" s="4766" customFormat="1" ht="40.5" customHeight="1">
      <c r="A260" s="4744"/>
      <c r="B260" s="4786"/>
      <c r="C260" s="4786"/>
      <c r="D260" s="4786"/>
      <c r="E260" s="4786"/>
      <c r="F260" s="4786"/>
      <c r="G260" s="4822"/>
      <c r="H260" s="4786"/>
      <c r="I260" s="4786"/>
      <c r="J260" s="4822"/>
      <c r="K260" s="4827" t="s">
        <v>7314</v>
      </c>
      <c r="L260" s="4829" t="s">
        <v>7315</v>
      </c>
      <c r="M260" s="4822"/>
      <c r="N260" s="4822"/>
      <c r="O260" s="4781"/>
      <c r="P260" s="4781"/>
      <c r="Q260" s="4763"/>
      <c r="R260" s="4763"/>
      <c r="S260" s="4763"/>
      <c r="T260" s="5495" t="s">
        <v>1</v>
      </c>
      <c r="U260" s="4763"/>
      <c r="V260" s="4763"/>
      <c r="W260" s="5495" t="s">
        <v>1</v>
      </c>
      <c r="X260" s="4744"/>
      <c r="Y260" s="4826"/>
      <c r="Z260" s="632"/>
      <c r="AA260" s="632"/>
      <c r="AB260" s="632"/>
      <c r="AC260" s="632"/>
      <c r="AD260" s="632"/>
      <c r="AE260" s="632"/>
      <c r="AF260" s="632"/>
      <c r="AG260" s="632"/>
      <c r="AH260" s="632"/>
      <c r="AI260" s="632"/>
      <c r="AJ260" s="632"/>
      <c r="AK260" s="632"/>
      <c r="AL260" s="632"/>
    </row>
    <row r="261" spans="1:38" s="4766" customFormat="1" ht="40.5" customHeight="1">
      <c r="A261" s="4744"/>
      <c r="B261" s="4786"/>
      <c r="C261" s="4786"/>
      <c r="D261" s="4786"/>
      <c r="E261" s="4786"/>
      <c r="F261" s="4786"/>
      <c r="G261" s="4822"/>
      <c r="H261" s="4786"/>
      <c r="I261" s="4786"/>
      <c r="J261" s="4822"/>
      <c r="K261" s="4827" t="s">
        <v>7316</v>
      </c>
      <c r="L261" s="4829" t="s">
        <v>7317</v>
      </c>
      <c r="M261" s="4822"/>
      <c r="N261" s="4822"/>
      <c r="O261" s="4781"/>
      <c r="P261" s="4781"/>
      <c r="Q261" s="4763"/>
      <c r="R261" s="4763"/>
      <c r="S261" s="4763"/>
      <c r="T261" s="5495" t="s">
        <v>1</v>
      </c>
      <c r="U261" s="4763"/>
      <c r="V261" s="4763"/>
      <c r="W261" s="5495" t="s">
        <v>1</v>
      </c>
      <c r="X261" s="4744"/>
      <c r="Y261" s="4826"/>
      <c r="Z261" s="632"/>
      <c r="AA261" s="632"/>
      <c r="AB261" s="632"/>
      <c r="AC261" s="632"/>
      <c r="AD261" s="632"/>
      <c r="AE261" s="632"/>
      <c r="AF261" s="632"/>
      <c r="AG261" s="632"/>
      <c r="AH261" s="632"/>
      <c r="AI261" s="632"/>
      <c r="AJ261" s="632"/>
      <c r="AK261" s="632"/>
      <c r="AL261" s="632"/>
    </row>
    <row r="262" spans="1:38" s="4766" customFormat="1" ht="40.5" customHeight="1">
      <c r="A262" s="4744"/>
      <c r="B262" s="4786"/>
      <c r="C262" s="4786"/>
      <c r="D262" s="4786"/>
      <c r="E262" s="4786"/>
      <c r="F262" s="4786"/>
      <c r="G262" s="4822"/>
      <c r="H262" s="4786"/>
      <c r="I262" s="4786"/>
      <c r="J262" s="4822"/>
      <c r="K262" s="4825" t="s">
        <v>7318</v>
      </c>
      <c r="L262" s="4763"/>
      <c r="M262" s="4822"/>
      <c r="N262" s="4822"/>
      <c r="O262" s="4781"/>
      <c r="P262" s="4781"/>
      <c r="Q262" s="4763"/>
      <c r="R262" s="4763"/>
      <c r="S262" s="4763"/>
      <c r="T262" s="5495" t="s">
        <v>1</v>
      </c>
      <c r="U262" s="4763"/>
      <c r="V262" s="4763"/>
      <c r="W262" s="5495" t="s">
        <v>1</v>
      </c>
      <c r="X262" s="4744"/>
      <c r="Y262" s="4826"/>
      <c r="Z262" s="632"/>
      <c r="AA262" s="632"/>
      <c r="AB262" s="632"/>
      <c r="AC262" s="632"/>
      <c r="AD262" s="632"/>
      <c r="AE262" s="632"/>
      <c r="AF262" s="632"/>
      <c r="AG262" s="632"/>
      <c r="AH262" s="632"/>
      <c r="AI262" s="632"/>
      <c r="AJ262" s="632"/>
      <c r="AK262" s="632"/>
      <c r="AL262" s="632"/>
    </row>
    <row r="263" spans="1:38" ht="30" customHeight="1">
      <c r="A263" s="4744"/>
      <c r="B263" s="4786"/>
      <c r="C263" s="4786"/>
      <c r="D263" s="4786"/>
      <c r="E263" s="4786"/>
      <c r="F263" s="4786"/>
      <c r="G263" s="4786"/>
      <c r="H263" s="4786"/>
      <c r="I263" s="4786"/>
      <c r="J263" s="4822"/>
      <c r="K263" s="4830" t="s">
        <v>7319</v>
      </c>
      <c r="L263" s="8473" t="s">
        <v>7320</v>
      </c>
      <c r="M263" s="8473"/>
      <c r="N263" s="8473"/>
      <c r="O263" s="8473"/>
      <c r="P263" s="8473"/>
      <c r="Q263" s="8473"/>
      <c r="R263" s="8473"/>
      <c r="S263" s="8473"/>
      <c r="T263" s="5495" t="s">
        <v>1</v>
      </c>
      <c r="U263" s="4763"/>
      <c r="V263" s="4763"/>
      <c r="W263" s="5495" t="s">
        <v>1</v>
      </c>
      <c r="X263" s="4744"/>
      <c r="Y263" s="4826"/>
    </row>
    <row r="264" spans="1:38" ht="30" customHeight="1">
      <c r="A264" s="4744"/>
      <c r="B264" s="4786"/>
      <c r="C264" s="4786"/>
      <c r="D264" s="4786"/>
      <c r="E264" s="4825"/>
      <c r="F264" s="4786"/>
      <c r="G264" s="4786"/>
      <c r="H264" s="4786"/>
      <c r="I264" s="4786"/>
      <c r="J264" s="4822"/>
      <c r="K264" s="4830" t="s">
        <v>7321</v>
      </c>
      <c r="L264" s="8473" t="s">
        <v>7322</v>
      </c>
      <c r="M264" s="8473"/>
      <c r="N264" s="8473"/>
      <c r="O264" s="8473"/>
      <c r="P264" s="8473"/>
      <c r="Q264" s="8473"/>
      <c r="R264" s="8473"/>
      <c r="S264" s="8473"/>
      <c r="T264" s="5495" t="s">
        <v>1</v>
      </c>
      <c r="U264" s="4763"/>
      <c r="V264" s="4763"/>
      <c r="W264" s="5495" t="s">
        <v>1</v>
      </c>
      <c r="X264" s="4744"/>
      <c r="Y264" s="4826"/>
    </row>
    <row r="265" spans="1:38" ht="30" customHeight="1">
      <c r="A265" s="4744"/>
      <c r="B265" s="4786"/>
      <c r="C265" s="4786"/>
      <c r="D265" s="4786"/>
      <c r="E265" s="4786"/>
      <c r="F265" s="4786"/>
      <c r="G265" s="4786"/>
      <c r="H265" s="4786"/>
      <c r="I265" s="4786"/>
      <c r="J265" s="4822"/>
      <c r="K265" s="4830" t="s">
        <v>7323</v>
      </c>
      <c r="L265" s="8473" t="s">
        <v>7324</v>
      </c>
      <c r="M265" s="8473"/>
      <c r="N265" s="8473"/>
      <c r="O265" s="8473"/>
      <c r="P265" s="8473"/>
      <c r="Q265" s="8473"/>
      <c r="R265" s="8473"/>
      <c r="S265" s="8473"/>
      <c r="T265" s="5495" t="s">
        <v>1</v>
      </c>
      <c r="U265" s="4763"/>
      <c r="V265" s="4763"/>
      <c r="W265" s="5494" t="s">
        <v>1</v>
      </c>
      <c r="X265" s="4744"/>
      <c r="Y265" s="4826"/>
    </row>
    <row r="266" spans="1:38" ht="30" customHeight="1">
      <c r="A266" s="4744"/>
      <c r="B266" s="4786"/>
      <c r="C266" s="4786"/>
      <c r="D266" s="4786"/>
      <c r="E266" s="4786"/>
      <c r="F266" s="4786"/>
      <c r="G266" s="4786"/>
      <c r="H266" s="4786"/>
      <c r="I266" s="4786"/>
      <c r="J266" s="4822"/>
      <c r="K266" s="4831"/>
      <c r="L266" s="4763"/>
      <c r="M266" s="4822"/>
      <c r="N266" s="4822"/>
      <c r="O266" s="4758"/>
      <c r="P266" s="4758"/>
      <c r="Q266" s="4763"/>
      <c r="R266" s="4763"/>
      <c r="S266" s="4763"/>
      <c r="T266" s="5495" t="s">
        <v>1</v>
      </c>
      <c r="U266" s="4763"/>
      <c r="V266" s="4763"/>
      <c r="W266" s="4763"/>
      <c r="X266" s="4826"/>
      <c r="Y266" s="4826"/>
    </row>
    <row r="267" spans="1:38" ht="30" customHeight="1">
      <c r="A267" s="4744"/>
      <c r="B267" s="4786"/>
      <c r="C267" s="4786"/>
      <c r="D267" s="4786"/>
      <c r="E267" s="4786"/>
      <c r="F267" s="4786"/>
      <c r="G267" s="4786"/>
      <c r="H267" s="4786"/>
      <c r="I267" s="4786"/>
      <c r="J267" s="4822"/>
      <c r="K267" s="4830" t="s">
        <v>7325</v>
      </c>
      <c r="L267" s="8473" t="s">
        <v>7326</v>
      </c>
      <c r="M267" s="8473"/>
      <c r="N267" s="8473"/>
      <c r="O267" s="8473"/>
      <c r="P267" s="8473"/>
      <c r="Q267" s="8473"/>
      <c r="R267" s="8473"/>
      <c r="S267" s="8473"/>
      <c r="T267" s="5495" t="s">
        <v>1</v>
      </c>
      <c r="U267" s="4763"/>
      <c r="V267" s="4763"/>
      <c r="W267" s="4763"/>
      <c r="X267" s="4826"/>
      <c r="Y267" s="4826"/>
    </row>
    <row r="268" spans="1:38" ht="30" customHeight="1">
      <c r="A268" s="4744"/>
      <c r="B268" s="4786"/>
      <c r="C268" s="4786"/>
      <c r="D268" s="4786"/>
      <c r="E268" s="4786"/>
      <c r="F268" s="4786"/>
      <c r="G268" s="4786"/>
      <c r="H268" s="4786"/>
      <c r="I268" s="4786"/>
      <c r="J268" s="4822"/>
      <c r="K268" s="4830"/>
      <c r="L268" s="4829"/>
      <c r="M268" s="4822"/>
      <c r="N268" s="4822"/>
      <c r="O268" s="4758"/>
      <c r="P268" s="4758"/>
      <c r="Q268" s="4763"/>
      <c r="R268" s="4763"/>
      <c r="S268" s="4763"/>
      <c r="T268" s="5495" t="s">
        <v>1</v>
      </c>
      <c r="U268" s="4763"/>
      <c r="V268" s="4763"/>
      <c r="W268" s="4763"/>
      <c r="X268" s="4826"/>
      <c r="Y268" s="4826"/>
    </row>
    <row r="269" spans="1:38" ht="30" customHeight="1">
      <c r="A269" s="4744"/>
      <c r="B269" s="4786"/>
      <c r="C269" s="4786"/>
      <c r="D269" s="4786"/>
      <c r="E269" s="4786"/>
      <c r="F269" s="4786"/>
      <c r="G269" s="4786"/>
      <c r="H269" s="4786"/>
      <c r="I269" s="4786"/>
      <c r="J269" s="4822"/>
      <c r="K269" s="4830" t="s">
        <v>7327</v>
      </c>
      <c r="L269" s="8473" t="s">
        <v>7328</v>
      </c>
      <c r="M269" s="8473"/>
      <c r="N269" s="8473"/>
      <c r="O269" s="8473"/>
      <c r="P269" s="8473"/>
      <c r="Q269" s="8473"/>
      <c r="R269" s="8473"/>
      <c r="S269" s="8473"/>
      <c r="T269" s="5495" t="s">
        <v>1</v>
      </c>
      <c r="U269" s="4763"/>
      <c r="V269" s="4763"/>
      <c r="W269" s="4763"/>
      <c r="X269" s="4826"/>
      <c r="Y269" s="4826"/>
    </row>
    <row r="270" spans="1:38" ht="30" customHeight="1">
      <c r="A270" s="4744"/>
      <c r="B270" s="4786"/>
      <c r="C270" s="4786"/>
      <c r="D270" s="4786"/>
      <c r="E270" s="4786"/>
      <c r="F270" s="4786"/>
      <c r="G270" s="4786"/>
      <c r="H270" s="4786"/>
      <c r="I270" s="4786"/>
      <c r="J270" s="4822"/>
      <c r="K270" s="4830"/>
      <c r="L270" s="4829"/>
      <c r="M270" s="4822"/>
      <c r="N270" s="4822"/>
      <c r="O270" s="4758"/>
      <c r="P270" s="4758"/>
      <c r="Q270" s="4763"/>
      <c r="R270" s="4763"/>
      <c r="S270" s="4763"/>
      <c r="T270" s="5495" t="s">
        <v>1</v>
      </c>
      <c r="U270" s="4763"/>
      <c r="V270" s="4763"/>
      <c r="W270" s="4763"/>
      <c r="X270" s="4826"/>
      <c r="Y270" s="4826"/>
    </row>
    <row r="271" spans="1:38" ht="30" customHeight="1">
      <c r="A271" s="4744"/>
      <c r="B271" s="4786"/>
      <c r="C271" s="4786"/>
      <c r="D271" s="4786"/>
      <c r="E271" s="4786"/>
      <c r="F271" s="4786"/>
      <c r="G271" s="4786"/>
      <c r="H271" s="4786"/>
      <c r="I271" s="4786"/>
      <c r="J271" s="4822"/>
      <c r="K271" s="4830" t="s">
        <v>7329</v>
      </c>
      <c r="L271" s="8473" t="s">
        <v>7330</v>
      </c>
      <c r="M271" s="8473"/>
      <c r="N271" s="8473"/>
      <c r="O271" s="8473"/>
      <c r="P271" s="8473"/>
      <c r="Q271" s="8473"/>
      <c r="R271" s="8473"/>
      <c r="S271" s="8473"/>
      <c r="T271" s="5495" t="s">
        <v>1</v>
      </c>
      <c r="U271" s="4763"/>
      <c r="V271" s="4763"/>
      <c r="W271" s="4763"/>
      <c r="X271" s="4826"/>
      <c r="Y271" s="4826"/>
    </row>
    <row r="272" spans="1:38" ht="30" customHeight="1">
      <c r="A272" s="4744"/>
      <c r="B272" s="4786"/>
      <c r="C272" s="4786"/>
      <c r="D272" s="4786"/>
      <c r="E272" s="4786"/>
      <c r="F272" s="4786"/>
      <c r="G272" s="4786"/>
      <c r="H272" s="4786"/>
      <c r="I272" s="4786"/>
      <c r="J272" s="4822"/>
      <c r="K272" s="4830"/>
      <c r="L272" s="4829"/>
      <c r="M272" s="4822"/>
      <c r="N272" s="4822"/>
      <c r="O272" s="4758"/>
      <c r="P272" s="4758"/>
      <c r="Q272" s="4763"/>
      <c r="R272" s="4763"/>
      <c r="S272" s="4763"/>
      <c r="T272" s="5495" t="s">
        <v>1</v>
      </c>
      <c r="U272" s="4763"/>
      <c r="V272" s="4763"/>
      <c r="W272" s="4763"/>
      <c r="X272" s="4826"/>
      <c r="Y272" s="4826"/>
    </row>
    <row r="273" spans="1:25" ht="30" customHeight="1">
      <c r="A273" s="4744"/>
      <c r="B273" s="4786"/>
      <c r="C273" s="4786"/>
      <c r="D273" s="4786"/>
      <c r="E273" s="4786"/>
      <c r="F273" s="4786"/>
      <c r="G273" s="4786"/>
      <c r="H273" s="4786"/>
      <c r="I273" s="4786"/>
      <c r="J273" s="4822"/>
      <c r="K273" s="4830" t="s">
        <v>7331</v>
      </c>
      <c r="L273" s="8473" t="s">
        <v>7332</v>
      </c>
      <c r="M273" s="8473"/>
      <c r="N273" s="8473"/>
      <c r="O273" s="8473"/>
      <c r="P273" s="8473"/>
      <c r="Q273" s="8473"/>
      <c r="R273" s="8473"/>
      <c r="S273" s="8473"/>
      <c r="T273" s="5495" t="s">
        <v>1</v>
      </c>
      <c r="U273" s="4763"/>
      <c r="V273" s="4763"/>
      <c r="W273" s="4763"/>
      <c r="X273" s="4826"/>
      <c r="Y273" s="4826"/>
    </row>
    <row r="274" spans="1:25" ht="30" customHeight="1">
      <c r="A274" s="4744"/>
      <c r="B274" s="4786"/>
      <c r="C274" s="4786"/>
      <c r="D274" s="4786"/>
      <c r="E274" s="4786"/>
      <c r="F274" s="4786"/>
      <c r="G274" s="4786"/>
      <c r="H274" s="4786"/>
      <c r="I274" s="4786"/>
      <c r="J274" s="4822"/>
      <c r="K274" s="4830"/>
      <c r="L274" s="4829"/>
      <c r="M274" s="4822"/>
      <c r="N274" s="4822"/>
      <c r="O274" s="4758"/>
      <c r="P274" s="4758"/>
      <c r="Q274" s="4763"/>
      <c r="R274" s="4763"/>
      <c r="S274" s="4763"/>
      <c r="T274" s="5495" t="s">
        <v>1</v>
      </c>
      <c r="U274" s="4763"/>
      <c r="V274" s="4763"/>
      <c r="W274" s="4763"/>
      <c r="X274" s="4826"/>
      <c r="Y274" s="4826"/>
    </row>
    <row r="275" spans="1:25" ht="30" customHeight="1">
      <c r="A275" s="4744"/>
      <c r="B275" s="4786"/>
      <c r="C275" s="4786"/>
      <c r="D275" s="4786"/>
      <c r="E275" s="4786"/>
      <c r="F275" s="4786"/>
      <c r="G275" s="4786"/>
      <c r="H275" s="4786"/>
      <c r="I275" s="4786"/>
      <c r="J275" s="4822"/>
      <c r="K275" s="4830" t="s">
        <v>7333</v>
      </c>
      <c r="L275" s="8473" t="s">
        <v>7334</v>
      </c>
      <c r="M275" s="8473"/>
      <c r="N275" s="8473"/>
      <c r="O275" s="8473"/>
      <c r="P275" s="8473"/>
      <c r="Q275" s="8473"/>
      <c r="R275" s="8473"/>
      <c r="S275" s="8473"/>
      <c r="T275" s="5495" t="s">
        <v>1</v>
      </c>
      <c r="U275" s="4763"/>
      <c r="V275" s="4763"/>
      <c r="W275" s="4763"/>
      <c r="X275" s="4826"/>
      <c r="Y275" s="4826"/>
    </row>
    <row r="276" spans="1:25" ht="30" customHeight="1">
      <c r="A276" s="4744"/>
      <c r="B276" s="4786"/>
      <c r="C276" s="4786"/>
      <c r="D276" s="4786"/>
      <c r="E276" s="4786"/>
      <c r="F276" s="4786"/>
      <c r="G276" s="4786"/>
      <c r="H276" s="4786"/>
      <c r="I276" s="4786"/>
      <c r="J276" s="4822"/>
      <c r="K276" s="4830"/>
      <c r="L276" s="4829"/>
      <c r="M276" s="4822"/>
      <c r="N276" s="4822"/>
      <c r="O276" s="4758"/>
      <c r="P276" s="4758"/>
      <c r="Q276" s="4763"/>
      <c r="R276" s="4763"/>
      <c r="S276" s="4763"/>
      <c r="T276" s="5495" t="s">
        <v>1</v>
      </c>
      <c r="U276" s="4763"/>
      <c r="V276" s="4763"/>
      <c r="W276" s="4763"/>
      <c r="X276" s="4826"/>
      <c r="Y276" s="4826"/>
    </row>
    <row r="277" spans="1:25" ht="30" customHeight="1">
      <c r="A277" s="4744"/>
      <c r="B277" s="4786"/>
      <c r="C277" s="4786"/>
      <c r="D277" s="4786"/>
      <c r="E277" s="4786"/>
      <c r="F277" s="4786"/>
      <c r="G277" s="4786"/>
      <c r="H277" s="4786"/>
      <c r="I277" s="4786"/>
      <c r="J277" s="4822"/>
      <c r="K277" s="4830" t="s">
        <v>7335</v>
      </c>
      <c r="L277" s="8473" t="s">
        <v>7336</v>
      </c>
      <c r="M277" s="8473"/>
      <c r="N277" s="8473"/>
      <c r="O277" s="8473"/>
      <c r="P277" s="8473"/>
      <c r="Q277" s="8473"/>
      <c r="R277" s="8473"/>
      <c r="S277" s="8473"/>
      <c r="T277" s="5495" t="s">
        <v>1</v>
      </c>
      <c r="U277" s="4763"/>
      <c r="V277" s="4763"/>
      <c r="W277" s="4763"/>
      <c r="X277" s="4826"/>
      <c r="Y277" s="4826"/>
    </row>
    <row r="278" spans="1:25" ht="30" customHeight="1">
      <c r="A278" s="4744"/>
      <c r="B278" s="4786"/>
      <c r="C278" s="4786"/>
      <c r="D278" s="4786"/>
      <c r="E278" s="4786"/>
      <c r="F278" s="4786"/>
      <c r="G278" s="4786"/>
      <c r="H278" s="4786"/>
      <c r="I278" s="4786"/>
      <c r="J278" s="4822"/>
      <c r="K278" s="4832"/>
      <c r="L278" s="4829"/>
      <c r="M278" s="4822"/>
      <c r="N278" s="4822"/>
      <c r="O278" s="4758"/>
      <c r="P278" s="4758"/>
      <c r="Q278" s="4763"/>
      <c r="R278" s="4763"/>
      <c r="S278" s="4763"/>
      <c r="T278" s="4763"/>
      <c r="U278" s="4763"/>
      <c r="V278" s="4763"/>
      <c r="W278" s="4763"/>
      <c r="X278" s="4826"/>
      <c r="Y278" s="4826"/>
    </row>
    <row r="279" spans="1:25" ht="30" customHeight="1">
      <c r="A279" s="4744"/>
      <c r="B279" s="4786"/>
      <c r="C279" s="4786"/>
      <c r="D279" s="4786"/>
      <c r="E279" s="4786"/>
      <c r="F279" s="4786"/>
      <c r="G279" s="4786"/>
      <c r="H279" s="4786"/>
      <c r="I279" s="4786"/>
      <c r="J279" s="4822"/>
      <c r="K279" s="4833" t="s">
        <v>7337</v>
      </c>
      <c r="L279" s="4829"/>
      <c r="M279" s="4822"/>
      <c r="N279" s="4822"/>
      <c r="O279" s="4758"/>
      <c r="P279" s="4758"/>
      <c r="Q279" s="4763"/>
      <c r="R279" s="4763"/>
      <c r="S279" s="4763"/>
      <c r="T279" s="4763"/>
      <c r="U279" s="4763"/>
      <c r="V279" s="4763"/>
      <c r="W279" s="4763"/>
      <c r="X279" s="4826"/>
      <c r="Y279" s="4826"/>
    </row>
    <row r="280" spans="1:25" ht="30" customHeight="1">
      <c r="A280" s="4744"/>
      <c r="B280" s="4786"/>
      <c r="C280" s="4786"/>
      <c r="D280" s="4786"/>
      <c r="E280" s="4786"/>
      <c r="F280" s="4786"/>
      <c r="G280" s="4786"/>
      <c r="H280" s="4786"/>
      <c r="I280" s="4786"/>
      <c r="J280" s="4822"/>
      <c r="K280" s="4832"/>
      <c r="L280" s="4829"/>
      <c r="M280" s="4822"/>
      <c r="N280" s="4822"/>
      <c r="O280" s="4758"/>
      <c r="P280" s="4758"/>
      <c r="Q280" s="4763"/>
      <c r="R280" s="4763"/>
      <c r="S280" s="4763"/>
      <c r="T280" s="4763"/>
      <c r="U280" s="4763"/>
      <c r="V280" s="4763"/>
      <c r="W280" s="4763"/>
      <c r="X280" s="4826"/>
      <c r="Y280" s="4826"/>
    </row>
    <row r="281" spans="1:25" ht="30" customHeight="1">
      <c r="A281" s="4744"/>
      <c r="B281" s="4786"/>
      <c r="C281" s="4786"/>
      <c r="D281" s="4786"/>
      <c r="E281" s="4786"/>
      <c r="F281" s="4786"/>
      <c r="G281" s="4786"/>
      <c r="H281" s="4786"/>
      <c r="I281" s="4786"/>
      <c r="J281" s="4822"/>
      <c r="K281" s="4830" t="s">
        <v>7338</v>
      </c>
      <c r="L281" s="8473" t="s">
        <v>7339</v>
      </c>
      <c r="M281" s="8473"/>
      <c r="N281" s="8473"/>
      <c r="O281" s="8473"/>
      <c r="P281" s="8473"/>
      <c r="Q281" s="8473"/>
      <c r="R281" s="8473"/>
      <c r="S281" s="8473"/>
      <c r="T281" s="5495" t="s">
        <v>1</v>
      </c>
      <c r="U281" s="4763"/>
      <c r="V281" s="4763"/>
      <c r="W281" s="4763"/>
      <c r="X281" s="4826"/>
      <c r="Y281" s="4826"/>
    </row>
    <row r="282" spans="1:25" ht="30" customHeight="1">
      <c r="A282" s="4744"/>
      <c r="B282" s="4786"/>
      <c r="C282" s="4786"/>
      <c r="D282" s="4786"/>
      <c r="E282" s="4786"/>
      <c r="F282" s="4786"/>
      <c r="G282" s="4786"/>
      <c r="H282" s="4786"/>
      <c r="I282" s="4786"/>
      <c r="J282" s="4822"/>
      <c r="K282" s="4830"/>
      <c r="L282" s="4763"/>
      <c r="M282" s="4822"/>
      <c r="N282" s="4822"/>
      <c r="O282" s="4758"/>
      <c r="P282" s="4758"/>
      <c r="Q282" s="4763"/>
      <c r="R282" s="4763"/>
      <c r="S282" s="4763"/>
      <c r="T282" s="5495" t="s">
        <v>1</v>
      </c>
      <c r="U282" s="4763"/>
      <c r="V282" s="4763"/>
      <c r="W282" s="4763"/>
      <c r="X282" s="4826"/>
      <c r="Y282" s="4826"/>
    </row>
    <row r="283" spans="1:25" ht="30" customHeight="1">
      <c r="A283" s="4744"/>
      <c r="B283" s="4786"/>
      <c r="C283" s="4786"/>
      <c r="D283" s="4786"/>
      <c r="E283" s="4786"/>
      <c r="F283" s="4786"/>
      <c r="G283" s="4786"/>
      <c r="H283" s="4786"/>
      <c r="I283" s="4786"/>
      <c r="J283" s="4822"/>
      <c r="K283" s="4830" t="s">
        <v>7340</v>
      </c>
      <c r="L283" s="8473" t="s">
        <v>7341</v>
      </c>
      <c r="M283" s="8473"/>
      <c r="N283" s="8473"/>
      <c r="O283" s="8473"/>
      <c r="P283" s="8473"/>
      <c r="Q283" s="8473"/>
      <c r="R283" s="8473"/>
      <c r="S283" s="8473"/>
      <c r="T283" s="5495" t="s">
        <v>1</v>
      </c>
      <c r="U283" s="5495" t="s">
        <v>1</v>
      </c>
      <c r="V283" s="4763"/>
      <c r="W283" s="4763"/>
      <c r="X283" s="4826"/>
      <c r="Y283" s="4826"/>
    </row>
    <row r="284" spans="1:25" ht="30" customHeight="1">
      <c r="A284" s="4744"/>
      <c r="B284" s="4786"/>
      <c r="C284" s="4786"/>
      <c r="D284" s="4786"/>
      <c r="E284" s="4786"/>
      <c r="F284" s="4786"/>
      <c r="G284" s="4786"/>
      <c r="H284" s="4786"/>
      <c r="I284" s="4786"/>
      <c r="J284" s="4822"/>
      <c r="K284" s="4832"/>
      <c r="L284" s="4763"/>
      <c r="M284" s="4822"/>
      <c r="N284" s="4822"/>
      <c r="O284" s="4758"/>
      <c r="P284" s="4758"/>
      <c r="Q284" s="4763"/>
      <c r="R284" s="4763"/>
      <c r="S284" s="4763"/>
      <c r="T284" s="5495" t="s">
        <v>1</v>
      </c>
      <c r="U284" s="4763"/>
      <c r="V284" s="4763"/>
      <c r="W284" s="4763"/>
      <c r="X284" s="4826"/>
      <c r="Y284" s="4826"/>
    </row>
    <row r="285" spans="1:25" ht="30" customHeight="1">
      <c r="A285" s="4744"/>
      <c r="B285" s="4786"/>
      <c r="C285" s="4786"/>
      <c r="D285" s="4786"/>
      <c r="E285" s="4786"/>
      <c r="F285" s="4786"/>
      <c r="G285" s="4786"/>
      <c r="H285" s="4786"/>
      <c r="I285" s="4786"/>
      <c r="J285" s="4822"/>
      <c r="K285" s="4832" t="s">
        <v>7342</v>
      </c>
      <c r="L285" s="8473" t="s">
        <v>7343</v>
      </c>
      <c r="M285" s="8473"/>
      <c r="N285" s="8473"/>
      <c r="O285" s="8473"/>
      <c r="P285" s="8473"/>
      <c r="Q285" s="8473"/>
      <c r="R285" s="8473"/>
      <c r="S285" s="8473"/>
      <c r="T285" s="5495" t="s">
        <v>1</v>
      </c>
      <c r="U285" s="4763"/>
      <c r="V285" s="4763"/>
      <c r="W285" s="4763"/>
      <c r="X285" s="4826"/>
      <c r="Y285" s="4826"/>
    </row>
    <row r="286" spans="1:25" ht="30" customHeight="1">
      <c r="A286" s="4744"/>
      <c r="B286" s="4786"/>
      <c r="C286" s="4786"/>
      <c r="D286" s="4786"/>
      <c r="E286" s="4786"/>
      <c r="F286" s="4786"/>
      <c r="G286" s="4786"/>
      <c r="H286" s="4786"/>
      <c r="I286" s="4786"/>
      <c r="J286" s="4822"/>
      <c r="K286" s="4832"/>
      <c r="L286" s="4829"/>
      <c r="M286" s="4822"/>
      <c r="N286" s="4822"/>
      <c r="O286" s="4758"/>
      <c r="P286" s="4758"/>
      <c r="Q286" s="4763"/>
      <c r="R286" s="4763"/>
      <c r="S286" s="4763"/>
      <c r="T286" s="5495" t="s">
        <v>1</v>
      </c>
      <c r="U286" s="4763"/>
      <c r="V286" s="4763"/>
      <c r="W286" s="4763"/>
      <c r="X286" s="4826"/>
      <c r="Y286" s="4826"/>
    </row>
    <row r="287" spans="1:25" ht="30" customHeight="1">
      <c r="A287" s="4744"/>
      <c r="B287" s="4786"/>
      <c r="C287" s="4786"/>
      <c r="D287" s="4786"/>
      <c r="E287" s="4786"/>
      <c r="F287" s="4786"/>
      <c r="G287" s="4786"/>
      <c r="H287" s="4786"/>
      <c r="I287" s="4786"/>
      <c r="J287" s="4822"/>
      <c r="K287" s="4832"/>
      <c r="L287" s="8473" t="s">
        <v>7344</v>
      </c>
      <c r="M287" s="8473"/>
      <c r="N287" s="8473"/>
      <c r="O287" s="8473"/>
      <c r="P287" s="8473"/>
      <c r="Q287" s="8473"/>
      <c r="R287" s="8473"/>
      <c r="S287" s="8473"/>
      <c r="T287" s="5495" t="s">
        <v>1</v>
      </c>
      <c r="U287" s="4763"/>
      <c r="V287" s="4763"/>
      <c r="W287" s="4763"/>
      <c r="X287" s="4826"/>
      <c r="Y287" s="4826"/>
    </row>
    <row r="288" spans="1:25" ht="30" customHeight="1">
      <c r="A288" s="4744"/>
      <c r="B288" s="4786"/>
      <c r="C288" s="4786"/>
      <c r="D288" s="4786"/>
      <c r="E288" s="4786"/>
      <c r="F288" s="4786"/>
      <c r="G288" s="4786"/>
      <c r="H288" s="4786"/>
      <c r="I288" s="4786"/>
      <c r="J288" s="4822"/>
      <c r="K288" s="4832"/>
      <c r="L288" s="8473" t="s">
        <v>7345</v>
      </c>
      <c r="M288" s="8473"/>
      <c r="N288" s="8473"/>
      <c r="O288" s="8473"/>
      <c r="P288" s="8473"/>
      <c r="Q288" s="8473"/>
      <c r="R288" s="8473"/>
      <c r="S288" s="8473"/>
      <c r="T288" s="5495" t="s">
        <v>1</v>
      </c>
      <c r="U288" s="4763"/>
      <c r="V288" s="4763"/>
      <c r="W288" s="4763"/>
      <c r="X288" s="4826"/>
      <c r="Y288" s="4826"/>
    </row>
    <row r="289" spans="1:38" ht="30" customHeight="1">
      <c r="A289" s="4744"/>
      <c r="B289" s="4786"/>
      <c r="C289" s="4786"/>
      <c r="D289" s="4786"/>
      <c r="E289" s="4786"/>
      <c r="F289" s="4786"/>
      <c r="G289" s="4786"/>
      <c r="H289" s="4786"/>
      <c r="I289" s="4786"/>
      <c r="J289" s="4822"/>
      <c r="K289" s="4832"/>
      <c r="L289" s="8473" t="s">
        <v>7346</v>
      </c>
      <c r="M289" s="8473"/>
      <c r="N289" s="8473"/>
      <c r="O289" s="8473"/>
      <c r="P289" s="8473"/>
      <c r="Q289" s="8473"/>
      <c r="R289" s="8473"/>
      <c r="S289" s="8473"/>
      <c r="T289" s="5495" t="s">
        <v>1</v>
      </c>
      <c r="U289" s="4763"/>
      <c r="V289" s="4763"/>
      <c r="W289" s="5495" t="s">
        <v>1</v>
      </c>
      <c r="X289" s="4826"/>
      <c r="Y289" s="4826"/>
    </row>
    <row r="290" spans="1:38" ht="30" customHeight="1">
      <c r="A290" s="4744"/>
      <c r="B290" s="4786"/>
      <c r="C290" s="4786"/>
      <c r="D290" s="4786"/>
      <c r="E290" s="4786"/>
      <c r="F290" s="4786"/>
      <c r="G290" s="4786"/>
      <c r="H290" s="4786"/>
      <c r="I290" s="4786"/>
      <c r="J290" s="4822"/>
      <c r="K290" s="4832"/>
      <c r="L290" s="4829"/>
      <c r="M290" s="4822"/>
      <c r="N290" s="4822"/>
      <c r="O290" s="4758"/>
      <c r="P290" s="4758"/>
      <c r="Q290" s="4763"/>
      <c r="R290" s="4763"/>
      <c r="S290" s="4763"/>
      <c r="T290" s="5495" t="s">
        <v>1</v>
      </c>
      <c r="U290" s="4763"/>
      <c r="V290" s="4763"/>
      <c r="W290" s="4763"/>
      <c r="X290" s="4826"/>
      <c r="Y290" s="4826"/>
    </row>
    <row r="291" spans="1:38" ht="30" customHeight="1">
      <c r="A291" s="4744"/>
      <c r="B291" s="4786"/>
      <c r="C291" s="4786"/>
      <c r="D291" s="4786"/>
      <c r="E291" s="4786"/>
      <c r="F291" s="4786"/>
      <c r="G291" s="4786"/>
      <c r="H291" s="4786"/>
      <c r="I291" s="4786"/>
      <c r="J291" s="4822"/>
      <c r="K291" s="4832" t="s">
        <v>7347</v>
      </c>
      <c r="L291" s="8473" t="s">
        <v>7348</v>
      </c>
      <c r="M291" s="8473"/>
      <c r="N291" s="8473"/>
      <c r="O291" s="8473"/>
      <c r="P291" s="8473"/>
      <c r="Q291" s="8473"/>
      <c r="R291" s="8473"/>
      <c r="S291" s="8473"/>
      <c r="T291" s="5495" t="s">
        <v>1</v>
      </c>
      <c r="U291" s="4763"/>
      <c r="V291" s="4763"/>
      <c r="W291" s="4763"/>
      <c r="X291" s="4826"/>
      <c r="Y291" s="4826"/>
    </row>
    <row r="292" spans="1:38" ht="30" customHeight="1">
      <c r="A292" s="4744"/>
      <c r="B292" s="4786"/>
      <c r="C292" s="4786"/>
      <c r="D292" s="4786"/>
      <c r="E292" s="4786"/>
      <c r="F292" s="4786"/>
      <c r="G292" s="4786"/>
      <c r="H292" s="4786"/>
      <c r="I292" s="4786"/>
      <c r="J292" s="4822"/>
      <c r="K292" s="4771"/>
      <c r="L292" s="8473" t="s">
        <v>7343</v>
      </c>
      <c r="M292" s="8473"/>
      <c r="N292" s="8473"/>
      <c r="O292" s="8473"/>
      <c r="P292" s="8473"/>
      <c r="Q292" s="8473"/>
      <c r="R292" s="8473"/>
      <c r="S292" s="8473"/>
      <c r="T292" s="5495" t="s">
        <v>1</v>
      </c>
      <c r="U292" s="4763"/>
      <c r="V292" s="4763"/>
      <c r="W292" s="4763"/>
      <c r="X292" s="4826"/>
      <c r="Y292" s="4826"/>
    </row>
    <row r="293" spans="1:38" ht="30" customHeight="1">
      <c r="A293" s="4744"/>
      <c r="B293" s="4786"/>
      <c r="C293" s="4786"/>
      <c r="D293" s="4786"/>
      <c r="E293" s="4786"/>
      <c r="F293" s="4786"/>
      <c r="G293" s="4786"/>
      <c r="H293" s="4786"/>
      <c r="I293" s="4786"/>
      <c r="J293" s="4822"/>
      <c r="K293" s="4822"/>
      <c r="L293" s="4822"/>
      <c r="M293" s="4822"/>
      <c r="N293" s="4822"/>
      <c r="O293" s="4834"/>
      <c r="P293" s="4834"/>
      <c r="Q293" s="4834"/>
      <c r="R293" s="4763"/>
      <c r="S293" s="4763"/>
      <c r="T293" s="4763"/>
      <c r="U293" s="4763"/>
      <c r="V293" s="4763"/>
      <c r="W293" s="4763"/>
      <c r="X293" s="4826"/>
      <c r="Y293" s="4826"/>
    </row>
    <row r="294" spans="1:38" s="4766" customFormat="1" ht="40.5" customHeight="1">
      <c r="A294" s="4744"/>
      <c r="B294" s="4757"/>
      <c r="C294" s="4835" t="s">
        <v>7349</v>
      </c>
      <c r="D294" s="4779"/>
      <c r="E294" s="4757"/>
      <c r="F294" s="4757"/>
      <c r="G294" s="4776"/>
      <c r="H294" s="4757"/>
      <c r="I294" s="4757"/>
      <c r="J294" s="4757"/>
      <c r="K294" s="4757"/>
      <c r="L294" s="4757"/>
      <c r="M294" s="4757"/>
      <c r="N294" s="4757"/>
      <c r="O294" s="4758"/>
      <c r="P294" s="4757"/>
      <c r="Q294" s="4757"/>
      <c r="R294" s="4757"/>
      <c r="S294" s="4759"/>
      <c r="T294" s="4759"/>
      <c r="U294" s="4759"/>
      <c r="V294" s="4759"/>
      <c r="W294" s="4759"/>
      <c r="X294" s="4744"/>
      <c r="Y294" s="4746"/>
      <c r="Z294" s="632"/>
      <c r="AA294" s="632"/>
      <c r="AB294" s="632"/>
      <c r="AC294" s="632"/>
      <c r="AD294" s="632"/>
      <c r="AE294" s="632"/>
      <c r="AF294" s="632"/>
      <c r="AG294" s="632"/>
      <c r="AH294" s="632"/>
      <c r="AI294" s="632"/>
      <c r="AJ294" s="632"/>
      <c r="AK294" s="632"/>
      <c r="AL294" s="632"/>
    </row>
    <row r="295" spans="1:38" s="4766" customFormat="1" ht="40.5" customHeight="1">
      <c r="A295" s="4744"/>
      <c r="B295" s="4757"/>
      <c r="C295" s="4771" t="s">
        <v>627</v>
      </c>
      <c r="D295" s="8473" t="s">
        <v>7350</v>
      </c>
      <c r="E295" s="8473"/>
      <c r="F295" s="8473"/>
      <c r="G295" s="8473"/>
      <c r="H295" s="8473"/>
      <c r="I295" s="8473"/>
      <c r="J295" s="8473"/>
      <c r="K295" s="8473"/>
      <c r="L295" s="4757"/>
      <c r="M295" s="4757"/>
      <c r="N295" s="4757"/>
      <c r="O295" s="4758"/>
      <c r="P295" s="4757" t="s">
        <v>1</v>
      </c>
      <c r="Q295" s="4757"/>
      <c r="R295" s="4757"/>
      <c r="S295" s="4759"/>
      <c r="T295" s="4759"/>
      <c r="U295" s="4759"/>
      <c r="V295" s="4759"/>
      <c r="W295" s="4759"/>
      <c r="X295" s="4744"/>
      <c r="Y295" s="4746"/>
      <c r="Z295" s="632"/>
      <c r="AA295" s="632"/>
      <c r="AB295" s="632"/>
      <c r="AC295" s="632"/>
      <c r="AD295" s="632"/>
      <c r="AE295" s="632"/>
      <c r="AF295" s="632"/>
      <c r="AG295" s="632"/>
      <c r="AH295" s="632"/>
      <c r="AI295" s="632"/>
      <c r="AJ295" s="632"/>
      <c r="AK295" s="632"/>
      <c r="AL295" s="632"/>
    </row>
    <row r="296" spans="1:38" s="4766" customFormat="1" ht="40.5" customHeight="1">
      <c r="A296" s="4744"/>
      <c r="B296" s="4758"/>
      <c r="C296" s="4758"/>
      <c r="D296" s="8473" t="s">
        <v>7351</v>
      </c>
      <c r="E296" s="8473"/>
      <c r="F296" s="8473"/>
      <c r="G296" s="8473"/>
      <c r="H296" s="8473"/>
      <c r="I296" s="8473"/>
      <c r="J296" s="8473"/>
      <c r="K296" s="8473"/>
      <c r="L296" s="4758"/>
      <c r="M296" s="4758"/>
      <c r="N296" s="4758"/>
      <c r="O296" s="4758"/>
      <c r="P296" s="4757"/>
      <c r="Q296" s="4757"/>
      <c r="R296" s="4757"/>
      <c r="S296" s="4759"/>
      <c r="T296" s="4759"/>
      <c r="U296" s="4759"/>
      <c r="V296" s="4759"/>
      <c r="W296" s="4759"/>
      <c r="X296" s="4744"/>
      <c r="Y296" s="4746"/>
      <c r="Z296" s="632"/>
      <c r="AA296" s="632"/>
      <c r="AB296" s="632"/>
      <c r="AC296" s="632"/>
      <c r="AD296" s="632"/>
      <c r="AE296" s="632"/>
      <c r="AF296" s="632"/>
      <c r="AG296" s="632"/>
      <c r="AH296" s="632"/>
      <c r="AI296" s="632"/>
      <c r="AJ296" s="632"/>
      <c r="AK296" s="632"/>
      <c r="AL296" s="632"/>
    </row>
    <row r="297" spans="1:38" s="4766" customFormat="1" ht="40.5" customHeight="1">
      <c r="A297" s="4744"/>
      <c r="B297" s="4758"/>
      <c r="C297" s="4758"/>
      <c r="D297" s="4758"/>
      <c r="E297" s="4758"/>
      <c r="F297" s="4758"/>
      <c r="G297" s="4758"/>
      <c r="H297" s="4758"/>
      <c r="I297" s="4758"/>
      <c r="J297" s="4758"/>
      <c r="K297" s="4758"/>
      <c r="L297" s="4758"/>
      <c r="M297" s="4758"/>
      <c r="N297" s="4758"/>
      <c r="O297" s="4758"/>
      <c r="P297" s="4757"/>
      <c r="Q297" s="4757"/>
      <c r="R297" s="4757"/>
      <c r="S297" s="4759"/>
      <c r="T297" s="4759"/>
      <c r="U297" s="4759"/>
      <c r="V297" s="4759"/>
      <c r="W297" s="4759"/>
      <c r="X297" s="4744"/>
      <c r="Y297" s="4746"/>
      <c r="Z297" s="632"/>
      <c r="AA297" s="632"/>
      <c r="AB297" s="632"/>
      <c r="AC297" s="632"/>
      <c r="AD297" s="632"/>
      <c r="AE297" s="632"/>
      <c r="AF297" s="632"/>
      <c r="AG297" s="632"/>
      <c r="AH297" s="632"/>
      <c r="AI297" s="632"/>
      <c r="AJ297" s="632"/>
      <c r="AK297" s="632"/>
      <c r="AL297" s="632"/>
    </row>
  </sheetData>
  <mergeCells count="113">
    <mergeCell ref="T2:W3"/>
    <mergeCell ref="B7:C7"/>
    <mergeCell ref="E13:N13"/>
    <mergeCell ref="E15:N15"/>
    <mergeCell ref="E17:N17"/>
    <mergeCell ref="E20:N20"/>
    <mergeCell ref="E38:N38"/>
    <mergeCell ref="E41:N41"/>
    <mergeCell ref="E44:N44"/>
    <mergeCell ref="E48:N48"/>
    <mergeCell ref="E51:N51"/>
    <mergeCell ref="E54:N54"/>
    <mergeCell ref="E22:N22"/>
    <mergeCell ref="E24:N24"/>
    <mergeCell ref="E26:N26"/>
    <mergeCell ref="E29:N29"/>
    <mergeCell ref="E32:N32"/>
    <mergeCell ref="E35:N35"/>
    <mergeCell ref="E75:N75"/>
    <mergeCell ref="E78:N78"/>
    <mergeCell ref="E81:N81"/>
    <mergeCell ref="E84:N84"/>
    <mergeCell ref="E87:N87"/>
    <mergeCell ref="E90:N90"/>
    <mergeCell ref="E57:N57"/>
    <mergeCell ref="E60:N60"/>
    <mergeCell ref="E63:N63"/>
    <mergeCell ref="E66:N66"/>
    <mergeCell ref="E69:N69"/>
    <mergeCell ref="E72:N72"/>
    <mergeCell ref="D150:K150"/>
    <mergeCell ref="C152:L152"/>
    <mergeCell ref="C154:L154"/>
    <mergeCell ref="C156:L156"/>
    <mergeCell ref="C158:L158"/>
    <mergeCell ref="C160:L160"/>
    <mergeCell ref="E93:N93"/>
    <mergeCell ref="E96:N96"/>
    <mergeCell ref="D142:K142"/>
    <mergeCell ref="D144:K144"/>
    <mergeCell ref="D146:K146"/>
    <mergeCell ref="D148:K148"/>
    <mergeCell ref="C167:L167"/>
    <mergeCell ref="C168:L168"/>
    <mergeCell ref="C169:L169"/>
    <mergeCell ref="C172:L172"/>
    <mergeCell ref="C174:L174"/>
    <mergeCell ref="C176:L176"/>
    <mergeCell ref="C161:L161"/>
    <mergeCell ref="C162:L162"/>
    <mergeCell ref="C163:L163"/>
    <mergeCell ref="C164:L164"/>
    <mergeCell ref="C165:L165"/>
    <mergeCell ref="C166:L166"/>
    <mergeCell ref="C187:L187"/>
    <mergeCell ref="C189:L189"/>
    <mergeCell ref="C191:L191"/>
    <mergeCell ref="C193:L193"/>
    <mergeCell ref="C195:L195"/>
    <mergeCell ref="C197:L197"/>
    <mergeCell ref="D177:L177"/>
    <mergeCell ref="D178:L178"/>
    <mergeCell ref="D179:L179"/>
    <mergeCell ref="D180:L180"/>
    <mergeCell ref="C182:L182"/>
    <mergeCell ref="C184:L184"/>
    <mergeCell ref="G227:R227"/>
    <mergeCell ref="G228:R228"/>
    <mergeCell ref="G229:R229"/>
    <mergeCell ref="G230:R230"/>
    <mergeCell ref="G231:R231"/>
    <mergeCell ref="G232:R232"/>
    <mergeCell ref="C199:L199"/>
    <mergeCell ref="C201:L201"/>
    <mergeCell ref="C203:L203"/>
    <mergeCell ref="C205:L205"/>
    <mergeCell ref="D207:H207"/>
    <mergeCell ref="D216:H216"/>
    <mergeCell ref="G240:R240"/>
    <mergeCell ref="G241:R241"/>
    <mergeCell ref="G242:R242"/>
    <mergeCell ref="G243:R243"/>
    <mergeCell ref="G244:R244"/>
    <mergeCell ref="G245:R245"/>
    <mergeCell ref="G233:R233"/>
    <mergeCell ref="G234:R234"/>
    <mergeCell ref="G235:R235"/>
    <mergeCell ref="G237:R237"/>
    <mergeCell ref="G238:R238"/>
    <mergeCell ref="G239:R239"/>
    <mergeCell ref="L265:S265"/>
    <mergeCell ref="L267:S267"/>
    <mergeCell ref="L269:S269"/>
    <mergeCell ref="L271:S271"/>
    <mergeCell ref="L273:S273"/>
    <mergeCell ref="L275:S275"/>
    <mergeCell ref="G246:R246"/>
    <mergeCell ref="G247:R247"/>
    <mergeCell ref="L256:S256"/>
    <mergeCell ref="L257:S257"/>
    <mergeCell ref="L263:S263"/>
    <mergeCell ref="L264:S264"/>
    <mergeCell ref="L289:S289"/>
    <mergeCell ref="L291:S291"/>
    <mergeCell ref="L292:S292"/>
    <mergeCell ref="D295:K295"/>
    <mergeCell ref="D296:K296"/>
    <mergeCell ref="L277:S277"/>
    <mergeCell ref="L281:S281"/>
    <mergeCell ref="L283:S283"/>
    <mergeCell ref="L285:S285"/>
    <mergeCell ref="L287:S287"/>
    <mergeCell ref="L288:S288"/>
  </mergeCells>
  <hyperlinks>
    <hyperlink ref="E38" r:id="rId1" xr:uid="{7CCE8CFF-4DA9-493F-BA52-0BBDD4734C6E}"/>
    <hyperlink ref="E41" r:id="rId2" xr:uid="{22C9E2B5-C34D-4AE3-AB39-0E3B375C415D}"/>
    <hyperlink ref="E44" r:id="rId3" xr:uid="{96621C6B-127E-4731-94D6-4147E5AD4210}"/>
    <hyperlink ref="E48" r:id="rId4" xr:uid="{E67189EB-4F1D-46F6-96E2-6BFB75395B62}"/>
    <hyperlink ref="E51" r:id="rId5" xr:uid="{76617D67-C67C-4508-8CF7-C83B6F13DF26}"/>
    <hyperlink ref="E54" r:id="rId6" xr:uid="{F6E4C42D-FDB9-412A-8DBB-4AC5B809C1D1}"/>
    <hyperlink ref="E20" r:id="rId7" xr:uid="{C2023AD1-7C0F-4F7D-8536-F227DFC43602}"/>
    <hyperlink ref="E22" r:id="rId8" xr:uid="{AE691DCF-8EE7-4480-89A5-8375407F68A3}"/>
    <hyperlink ref="E13" r:id="rId9" xr:uid="{84DEA42E-7690-46FA-A3E8-2CBA1D7403C9}"/>
    <hyperlink ref="E78" r:id="rId10" xr:uid="{A5B0ACDA-5E71-4331-BA0D-149046969731}"/>
    <hyperlink ref="E81" r:id="rId11" xr:uid="{66702E54-F18B-41B0-BE7F-0199354F9D59}"/>
    <hyperlink ref="E84" r:id="rId12" xr:uid="{BBAEAADC-C20D-4233-9C42-F872B535E54A}"/>
    <hyperlink ref="E87" r:id="rId13" xr:uid="{C3BA52BE-9C3A-4683-8128-545C8436D0C6}"/>
    <hyperlink ref="E90" r:id="rId14" xr:uid="{B0D717E0-82C6-4125-AADD-38D3F32A098E}"/>
    <hyperlink ref="E93" r:id="rId15" xr:uid="{510525EE-E49D-4C2B-B8FA-4ED6B5749956}"/>
    <hyperlink ref="E96" r:id="rId16" xr:uid="{CE29FE8D-1571-4162-ABF6-A0895138C8D3}"/>
    <hyperlink ref="E57" r:id="rId17" xr:uid="{C49B04EF-A60C-4049-B6EE-110AB3185211}"/>
    <hyperlink ref="E60" r:id="rId18" xr:uid="{B39DAF7E-686D-4C60-9F07-A5885A5982C8}"/>
    <hyperlink ref="E63" r:id="rId19" xr:uid="{9071BB09-A428-4816-9998-E4AC979EE549}"/>
    <hyperlink ref="E66" r:id="rId20" xr:uid="{7A5D2BD3-20B2-42C8-9F5E-5B694A9A4243}"/>
    <hyperlink ref="E69" r:id="rId21" xr:uid="{95C009EF-29E9-420C-9EAE-FE6C9370BFDA}"/>
    <hyperlink ref="E72" r:id="rId22" xr:uid="{3F566B36-ED75-48C3-A0E3-E6929E5B9B14}"/>
    <hyperlink ref="E75" r:id="rId23" xr:uid="{46D15AFB-6247-448A-93D6-ABA43DD16312}"/>
    <hyperlink ref="E29" r:id="rId24" xr:uid="{9A51688E-D068-49C2-87AA-163C96B5AC93}"/>
    <hyperlink ref="E35" r:id="rId25" xr:uid="{14845E24-FCB5-46C4-BD32-1EC1EB485C34}"/>
    <hyperlink ref="E15" r:id="rId26" xr:uid="{E3B805D1-9823-494E-89D2-EAF4F9C17911}"/>
    <hyperlink ref="E17" r:id="rId27" xr:uid="{F5A1EE8D-99EA-4BC2-89AD-86F1783E3C7A}"/>
    <hyperlink ref="D121" r:id="rId28" xr:uid="{F49A988C-10E5-4D8E-BAB9-42603906835E}"/>
    <hyperlink ref="D122" r:id="rId29" xr:uid="{9B2F7A60-7E34-4422-B725-D8B7AB1C2525}"/>
    <hyperlink ref="G227" r:id="rId30" xr:uid="{2572FFD7-27D3-4717-B03D-9BF2814B9876}"/>
    <hyperlink ref="D125" r:id="rId31" xr:uid="{E36DD04C-740C-4E7B-A2E1-6815C086017D}"/>
    <hyperlink ref="D124" r:id="rId32" xr:uid="{04BC1535-BF42-4E81-8244-CF64F82313AF}"/>
    <hyperlink ref="G228" r:id="rId33" xr:uid="{E756B8FF-D0ED-4F54-B295-B1C0070780BD}"/>
    <hyperlink ref="G229" r:id="rId34" xr:uid="{6D97CDC8-512E-4484-95A1-F5A81BD9E2FA}"/>
    <hyperlink ref="G230" r:id="rId35" xr:uid="{472B0BBD-E532-4DAA-B294-203A121BDFED}"/>
    <hyperlink ref="G231" r:id="rId36" xr:uid="{DE839D22-7881-43D4-A4BD-3A14AA25084B}"/>
    <hyperlink ref="G232" r:id="rId37" xr:uid="{6AFADACE-01AD-416B-BC78-74543D8552E1}"/>
    <hyperlink ref="G233" r:id="rId38" xr:uid="{2E48E430-E194-403F-AE5F-14B9C69812E3}"/>
    <hyperlink ref="G234" r:id="rId39" xr:uid="{837A7ADA-E4F1-4CCA-A83D-012EF16C6979}"/>
    <hyperlink ref="G235" r:id="rId40" xr:uid="{17FF953B-D781-431A-BDC9-9EE4C5E2408C}"/>
    <hyperlink ref="G239" r:id="rId41" xr:uid="{7631ED83-E815-462B-8539-EFC751D17318}"/>
    <hyperlink ref="H240" r:id="rId42" xr:uid="{15DC33D5-F8D8-46E3-A70D-AA56E77D1A4B}"/>
    <hyperlink ref="G241" r:id="rId43" xr:uid="{9BE6B289-7F0A-477C-A2FA-6CBCFC336524}"/>
    <hyperlink ref="G238" r:id="rId44" xr:uid="{F21DE965-36B7-4CDE-ADD7-D727769D5B2A}"/>
    <hyperlink ref="G242" r:id="rId45" xr:uid="{88F8E8D2-B4E9-431E-9BBC-67614AA7F783}"/>
    <hyperlink ref="G243" r:id="rId46" xr:uid="{4A6146F5-7ADC-44F4-954D-5E7C832EB0C7}"/>
    <hyperlink ref="G244" r:id="rId47" xr:uid="{962AD444-43A6-4881-BDDF-EE092B8BBD4A}"/>
    <hyperlink ref="L256" r:id="rId48" xr:uid="{0A9537EE-3EDB-4CEA-9223-DB4F202F2CDF}"/>
    <hyperlink ref="L257" r:id="rId49" xr:uid="{506662EE-4B54-4DD9-8EFA-61C5958ABB22}"/>
    <hyperlink ref="L260" r:id="rId50" xr:uid="{09E579FA-DBB8-4EFB-9AE2-3023D71F65B7}"/>
    <hyperlink ref="L261" r:id="rId51" xr:uid="{1E7083D4-2738-4760-AB04-AEA09C371CBC}"/>
    <hyperlink ref="L263" r:id="rId52" xr:uid="{D095F1DC-0461-4E88-A2EC-07F7BA49D466}"/>
    <hyperlink ref="L264" r:id="rId53" xr:uid="{EF965FB6-A96B-42AF-B4B9-50EA47A7B863}"/>
    <hyperlink ref="L265" r:id="rId54" xr:uid="{BCA5458E-7E41-4091-8CEE-5B02ECDB2D57}"/>
    <hyperlink ref="L267" r:id="rId55" xr:uid="{35CB4476-0A2E-48E3-8A26-51C857300C36}"/>
    <hyperlink ref="L271" r:id="rId56" xr:uid="{811495CE-9B50-4C73-B78F-9E80B485E36D}"/>
    <hyperlink ref="L273" r:id="rId57" xr:uid="{F0EF79BB-36A2-41A3-9F77-223BD7046DE3}"/>
    <hyperlink ref="L269" r:id="rId58" xr:uid="{FC28949B-C086-4128-8A04-FAB1BC0AC760}"/>
    <hyperlink ref="L275" r:id="rId59" xr:uid="{A38DCFC5-B2D6-4944-B45D-30A07A28A1B2}"/>
    <hyperlink ref="L281" r:id="rId60" xr:uid="{7482FCE1-129E-4A9C-AFBD-D41BDD341F16}"/>
    <hyperlink ref="L277" r:id="rId61" xr:uid="{D8B71A72-FD80-4381-BD8D-E8A1B13EBEDD}"/>
    <hyperlink ref="D127" r:id="rId62" xr:uid="{BE06BD9C-8D84-4D59-BF47-03C868466CCA}"/>
    <hyperlink ref="D129" r:id="rId63" xr:uid="{F563025E-4B15-4243-8524-395767280102}"/>
    <hyperlink ref="D131" r:id="rId64" xr:uid="{7668BCA6-98BF-4CB2-B1B5-2F0961DFFD06}"/>
    <hyperlink ref="D134" r:id="rId65" xr:uid="{DC1336B1-D463-4D53-9A64-1EE80E16378A}"/>
    <hyperlink ref="D138" r:id="rId66" xr:uid="{93A204EC-1D33-4D64-BEE8-881BBF4AAD40}"/>
    <hyperlink ref="D136" r:id="rId67" xr:uid="{43BC973B-4A7D-4D50-B329-CD47573ACDCE}"/>
    <hyperlink ref="D140" r:id="rId68" xr:uid="{CFDDB929-5AB4-4F64-A6D2-FCB6DFC9579E}"/>
    <hyperlink ref="D142" r:id="rId69" xr:uid="{21A054A9-CE0B-4ECE-8DF4-DDF23F481BDB}"/>
    <hyperlink ref="D148" r:id="rId70" xr:uid="{C5DF0291-6C2A-4569-AF29-E3266F4836D3}"/>
    <hyperlink ref="G237" r:id="rId71" xr:uid="{F827CC29-8DB4-4A93-8857-590BE670A489}"/>
    <hyperlink ref="K100" r:id="rId72" xr:uid="{C50E4E1A-4A83-4DCB-986F-CD18BA61BC82}"/>
    <hyperlink ref="K101" r:id="rId73" xr:uid="{9D92EAFA-478A-4530-9245-C29917CB67B4}"/>
    <hyperlink ref="L283" r:id="rId74" xr:uid="{C0D31CF5-C913-42E0-9D69-E518544E0EB8}"/>
    <hyperlink ref="K102" r:id="rId75" xr:uid="{FF865525-36F4-46B1-86AB-7AEA1FE1064F}"/>
    <hyperlink ref="L287" r:id="rId76" xr:uid="{FD5ECD2E-3AA7-4703-A9E3-E2D8CE256AC7}"/>
    <hyperlink ref="L285" r:id="rId77" xr:uid="{1CA5DFCA-DE98-4114-BC52-BE0126E0BA2E}"/>
    <hyperlink ref="G245" r:id="rId78" xr:uid="{E50511C7-6563-4966-B825-EFA9B62FF271}"/>
    <hyperlink ref="D132" r:id="rId79" xr:uid="{25CED60A-C92C-416A-A633-6AF98A1D5160}"/>
    <hyperlink ref="D295" r:id="rId80" xr:uid="{3F40E7C6-FBF2-495A-A682-4A769565A7B9}"/>
    <hyperlink ref="D150" r:id="rId81" xr:uid="{694F9A3D-9D23-4D1E-9DB3-B4FE5D77722B}"/>
    <hyperlink ref="L291" r:id="rId82" xr:uid="{356D7E7F-259F-41FF-A6B8-FBC6B815A240}"/>
    <hyperlink ref="L292" r:id="rId83" xr:uid="{54817CF2-DDD3-4858-8437-6105A885F347}"/>
    <hyperlink ref="L288" r:id="rId84" xr:uid="{0A9FE59B-9AF9-4796-B191-9C7472CE49D7}"/>
    <hyperlink ref="L289" r:id="rId85" xr:uid="{F082D4F4-30C1-48B4-859B-C81EA1A5F2E3}"/>
    <hyperlink ref="C203" r:id="rId86" xr:uid="{39AF9D6C-AAB6-414D-B345-51727793B3A6}"/>
    <hyperlink ref="C205" r:id="rId87" xr:uid="{66111C43-B026-437B-8F46-0A74F58348D0}"/>
    <hyperlink ref="C189" r:id="rId88" xr:uid="{01657C2E-CF4A-42B2-BB98-1F8E8D0A7A07}"/>
    <hyperlink ref="C191" r:id="rId89" xr:uid="{AC5137C0-1401-4AB7-BFBD-DE51F0102E46}"/>
    <hyperlink ref="C193" r:id="rId90" xr:uid="{36155F7C-AFEE-4B64-8234-A83A60D0F405}"/>
    <hyperlink ref="C195" r:id="rId91" xr:uid="{0E893C2A-0C2C-4F79-8FC3-3F964CEE80DC}"/>
    <hyperlink ref="C197" r:id="rId92" xr:uid="{6E17C716-1F32-4B4A-97FC-65AAA3604E79}"/>
    <hyperlink ref="C199" r:id="rId93" xr:uid="{46C71C55-19C3-47B7-9879-3A2DB144FADC}"/>
    <hyperlink ref="C201" r:id="rId94" xr:uid="{B18CFEAB-3181-44C0-8979-457A075B9911}"/>
    <hyperlink ref="C187" r:id="rId95" xr:uid="{CD242F48-2D39-4A5D-81D5-B3B173D35BF0}"/>
    <hyperlink ref="C152" r:id="rId96" xr:uid="{A0A7BE80-651B-4901-A1B4-BE5A435E9D48}"/>
    <hyperlink ref="C154" r:id="rId97" xr:uid="{385D88B6-BFB0-4286-A5FE-555F36E683D0}"/>
    <hyperlink ref="D296" r:id="rId98" xr:uid="{F37944E3-2F89-4571-8230-35469284901A}"/>
    <hyperlink ref="G246" r:id="rId99" xr:uid="{A7042DBA-2044-4A8F-BE11-84B022C762A1}"/>
    <hyperlink ref="C156" r:id="rId100" xr:uid="{11091921-DDFA-4BBC-AB7B-861017264594}"/>
    <hyperlink ref="C184" r:id="rId101" xr:uid="{476DCDF3-483C-4810-913E-82801D168103}"/>
    <hyperlink ref="C158" r:id="rId102" xr:uid="{C28062A1-BEC7-4B75-8F7D-6E05CF2782DD}"/>
    <hyperlink ref="C172" r:id="rId103" xr:uid="{EA583A3A-6EDD-4286-93DD-4F22C089EFF7}"/>
    <hyperlink ref="C176" r:id="rId104" xr:uid="{84A1FED3-584D-4E85-BFB4-9AB550694ECE}"/>
    <hyperlink ref="D179" r:id="rId105" xr:uid="{1F34ED59-0FDE-4418-8C4D-0C6D9E62AC1D}"/>
    <hyperlink ref="D177" r:id="rId106" xr:uid="{78BE7F3A-7AB4-4181-AA35-D060A5E0B060}"/>
    <hyperlink ref="D178" r:id="rId107" xr:uid="{30C930D3-B6EA-4F4F-8909-698C1C513C5A}"/>
    <hyperlink ref="C182" r:id="rId108" xr:uid="{E9D02C19-5B2B-4412-B6B1-3C2EDFB62DA2}"/>
    <hyperlink ref="C174" r:id="rId109" location="tag" xr:uid="{B85D2165-CB5A-4658-98EE-AAFCBA7CAEE3}"/>
    <hyperlink ref="D180" r:id="rId110" xr:uid="{D4B725E6-CF02-435B-93F2-EECF27E05751}"/>
    <hyperlink ref="G247" r:id="rId111" xr:uid="{96BC6B19-29A5-4214-851A-0D5AA58690A1}"/>
    <hyperlink ref="L216" r:id="rId112" location="whatisit" xr:uid="{E9F6C15C-7FAF-40D0-BCF8-E8C686C52632}"/>
    <hyperlink ref="L217" r:id="rId113" xr:uid="{0E27BA4E-926D-45AB-9F95-9EF5CFD2A2C0}"/>
    <hyperlink ref="C160" r:id="rId114" xr:uid="{389603CA-D6DB-4965-A324-162E600556D2}"/>
    <hyperlink ref="C161" r:id="rId115" xr:uid="{CE95E090-80F3-4803-98BF-2F62299D951F}"/>
    <hyperlink ref="C162" r:id="rId116" xr:uid="{4C769344-BF0A-48B0-9245-92910471100F}"/>
    <hyperlink ref="C163" r:id="rId117" xr:uid="{5F03F236-6B90-427A-B6F4-5811FC359586}"/>
    <hyperlink ref="C164" r:id="rId118" xr:uid="{C83581CB-2A4B-4A98-991F-C454B11D99FA}"/>
    <hyperlink ref="C165" r:id="rId119" xr:uid="{49E03595-A1FA-4B4B-894B-523F45D4868C}"/>
    <hyperlink ref="C166" r:id="rId120" xr:uid="{82BAB29A-1B07-4126-B960-22A9715640E1}"/>
    <hyperlink ref="C167" r:id="rId121" xr:uid="{95D7D72E-B3FF-41A1-9C3C-10A504B1FC29}"/>
    <hyperlink ref="C168" r:id="rId122" xr:uid="{0A0C19CC-5517-4935-9AD7-34AF19999390}"/>
    <hyperlink ref="C169" r:id="rId123" xr:uid="{086017A6-AABA-4627-9866-3E71FE864F6F}"/>
    <hyperlink ref="D105" r:id="rId124" xr:uid="{1D3DF7EC-4473-46D9-A06C-F4AEDB04C65A}"/>
    <hyperlink ref="D146" r:id="rId125" xr:uid="{BADB5A16-23A1-4BF7-8CAF-40D3214DE274}"/>
    <hyperlink ref="D144" r:id="rId126" xr:uid="{0567D16D-496A-48F7-A16B-6D4BD6F1935A}"/>
    <hyperlink ref="G240" r:id="rId127" xr:uid="{2117C39B-1767-4766-8DED-44D981CF056F}"/>
  </hyperlinks>
  <pageMargins left="0.7" right="0.7" top="0.75" bottom="0.75" header="0.3" footer="0.3"/>
  <pageSetup paperSize="9" orientation="portrait" r:id="rId128"/>
  <drawing r:id="rId12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5AF9-170C-4454-A21F-4D8AD92745B3}">
  <dimension ref="B1:Y597"/>
  <sheetViews>
    <sheetView workbookViewId="0">
      <selection activeCell="G5" sqref="G5"/>
    </sheetView>
  </sheetViews>
  <sheetFormatPr baseColWidth="10" defaultRowHeight="15"/>
  <cols>
    <col min="2" max="2" width="16" style="8566" bestFit="1" customWidth="1"/>
    <col min="3" max="3" width="56.28515625" style="8566" bestFit="1" customWidth="1"/>
    <col min="4" max="4" width="17.140625" style="8566" customWidth="1"/>
    <col min="5" max="5" width="18.140625" style="8566" customWidth="1"/>
    <col min="6" max="6" width="14.42578125" style="8566" bestFit="1" customWidth="1"/>
    <col min="7" max="7" width="68.5703125" style="8566" bestFit="1" customWidth="1"/>
    <col min="8" max="8" width="21.28515625" style="8566" customWidth="1"/>
    <col min="9" max="9" width="22.7109375" style="8566" customWidth="1"/>
    <col min="10" max="10" width="33.7109375" style="8566" bestFit="1" customWidth="1"/>
    <col min="11" max="11" width="16.140625" style="8566" bestFit="1" customWidth="1"/>
    <col min="12" max="12" width="67.5703125" style="8566" bestFit="1" customWidth="1"/>
    <col min="13" max="13" width="22.85546875" style="8566" customWidth="1"/>
    <col min="14" max="14" width="61.140625" style="8566" bestFit="1" customWidth="1"/>
    <col min="15" max="15" width="21.28515625" style="8566" customWidth="1"/>
    <col min="16" max="16" width="19.42578125" style="8566" bestFit="1" customWidth="1"/>
    <col min="17" max="17" width="15.85546875" style="8566" bestFit="1" customWidth="1"/>
    <col min="18" max="18" width="19.7109375" style="8566" customWidth="1"/>
    <col min="19" max="19" width="22.140625" style="8566" customWidth="1"/>
    <col min="20" max="20" width="26.28515625" style="8566" customWidth="1"/>
    <col min="21" max="21" width="27.85546875" style="8566" customWidth="1"/>
    <col min="22" max="22" width="32.42578125" style="8566" customWidth="1"/>
    <col min="23" max="23" width="20.5703125" style="8566" bestFit="1" customWidth="1"/>
    <col min="24" max="24" width="28.28515625" style="8566" bestFit="1" customWidth="1"/>
    <col min="25" max="25" width="24.28515625" style="8566" customWidth="1"/>
  </cols>
  <sheetData>
    <row r="1" spans="2:25" ht="15.75" thickTop="1">
      <c r="B1" s="443" t="str">
        <f t="shared" ref="B1:Y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t="str">
        <f t="shared" si="0"/>
        <v>N</v>
      </c>
      <c r="O1" s="443" t="str">
        <f t="shared" si="0"/>
        <v>O</v>
      </c>
      <c r="P1" s="443" t="str">
        <f t="shared" si="0"/>
        <v>P</v>
      </c>
      <c r="Q1" s="443" t="str">
        <f t="shared" si="0"/>
        <v>Q</v>
      </c>
      <c r="R1" s="443" t="str">
        <f t="shared" si="0"/>
        <v>R</v>
      </c>
      <c r="S1" s="443" t="str">
        <f t="shared" si="0"/>
        <v>S</v>
      </c>
      <c r="T1" s="443" t="str">
        <f t="shared" si="0"/>
        <v>T</v>
      </c>
      <c r="U1" s="443" t="str">
        <f t="shared" si="0"/>
        <v>U</v>
      </c>
      <c r="V1" s="443" t="str">
        <f t="shared" si="0"/>
        <v>V</v>
      </c>
      <c r="W1" s="443" t="str">
        <f t="shared" si="0"/>
        <v>W</v>
      </c>
      <c r="X1" s="443" t="str">
        <f t="shared" si="0"/>
        <v>X</v>
      </c>
      <c r="Y1" s="443" t="str">
        <f t="shared" si="0"/>
        <v>Y</v>
      </c>
    </row>
    <row r="2" spans="2:25">
      <c r="B2" s="6186">
        <f t="shared" ref="B2:Y2" ca="1" si="1">INDEX(CELL("largeur",B2),1,1)</f>
        <v>15</v>
      </c>
      <c r="C2" s="6186">
        <f t="shared" ca="1" si="1"/>
        <v>56</v>
      </c>
      <c r="D2" s="6186">
        <f t="shared" ca="1" si="1"/>
        <v>16</v>
      </c>
      <c r="E2" s="6186">
        <f t="shared" ca="1" si="1"/>
        <v>17</v>
      </c>
      <c r="F2" s="6186">
        <f t="shared" ca="1" si="1"/>
        <v>14</v>
      </c>
      <c r="G2" s="6186">
        <f t="shared" ca="1" si="1"/>
        <v>68</v>
      </c>
      <c r="H2" s="6186">
        <f t="shared" ca="1" si="1"/>
        <v>21</v>
      </c>
      <c r="I2" s="6186">
        <f t="shared" ca="1" si="1"/>
        <v>22</v>
      </c>
      <c r="J2" s="6186">
        <f t="shared" ca="1" si="1"/>
        <v>33</v>
      </c>
      <c r="K2" s="6186">
        <f t="shared" ca="1" si="1"/>
        <v>15</v>
      </c>
      <c r="L2" s="6186">
        <f t="shared" ca="1" si="1"/>
        <v>67</v>
      </c>
      <c r="M2" s="6186">
        <f t="shared" ca="1" si="1"/>
        <v>22</v>
      </c>
      <c r="N2" s="6186">
        <f t="shared" ca="1" si="1"/>
        <v>60</v>
      </c>
      <c r="O2" s="6186">
        <f t="shared" ca="1" si="1"/>
        <v>21</v>
      </c>
      <c r="P2" s="6186">
        <f t="shared" ca="1" si="1"/>
        <v>19</v>
      </c>
      <c r="Q2" s="6186">
        <f t="shared" ca="1" si="1"/>
        <v>15</v>
      </c>
      <c r="R2" s="6186">
        <f t="shared" ca="1" si="1"/>
        <v>19</v>
      </c>
      <c r="S2" s="6186">
        <f t="shared" ca="1" si="1"/>
        <v>21</v>
      </c>
      <c r="T2" s="6186">
        <f t="shared" ca="1" si="1"/>
        <v>26</v>
      </c>
      <c r="U2" s="6186">
        <f t="shared" ca="1" si="1"/>
        <v>27</v>
      </c>
      <c r="V2" s="6186">
        <f t="shared" ca="1" si="1"/>
        <v>32</v>
      </c>
      <c r="W2" s="6186">
        <f t="shared" ca="1" si="1"/>
        <v>20</v>
      </c>
      <c r="X2" s="6186">
        <f t="shared" ca="1" si="1"/>
        <v>28</v>
      </c>
      <c r="Y2" s="6186">
        <f t="shared" ca="1" si="1"/>
        <v>24</v>
      </c>
    </row>
    <row r="3" spans="2:25">
      <c r="B3" s="8559">
        <v>15</v>
      </c>
      <c r="C3" s="8559">
        <v>56</v>
      </c>
      <c r="D3" s="8559">
        <v>15</v>
      </c>
      <c r="E3" s="8559">
        <v>13</v>
      </c>
      <c r="F3" s="8559">
        <v>14</v>
      </c>
      <c r="G3" s="8559">
        <v>68</v>
      </c>
      <c r="H3" s="8559">
        <v>19</v>
      </c>
      <c r="I3" s="8559">
        <v>16</v>
      </c>
      <c r="J3" s="8559">
        <v>33</v>
      </c>
      <c r="K3" s="8559">
        <v>15</v>
      </c>
      <c r="L3" s="8559">
        <v>67</v>
      </c>
      <c r="M3" s="8559">
        <v>18</v>
      </c>
      <c r="N3" s="8559">
        <v>60</v>
      </c>
      <c r="O3" s="8559">
        <v>17</v>
      </c>
      <c r="P3" s="8559">
        <v>19</v>
      </c>
      <c r="Q3" s="8559">
        <v>15</v>
      </c>
      <c r="R3" s="8559">
        <v>17</v>
      </c>
      <c r="S3" s="8559">
        <v>18</v>
      </c>
      <c r="T3" s="8559">
        <v>26</v>
      </c>
      <c r="U3" s="8559">
        <v>27</v>
      </c>
      <c r="V3" s="8559">
        <v>32</v>
      </c>
      <c r="W3" s="8559">
        <v>20</v>
      </c>
      <c r="X3" s="8559">
        <v>28</v>
      </c>
      <c r="Y3" s="8559">
        <v>10</v>
      </c>
    </row>
    <row r="4" spans="2:25">
      <c r="B4" s="8560"/>
      <c r="C4" s="8560"/>
      <c r="D4" s="8560"/>
      <c r="E4" s="8560"/>
      <c r="F4" s="8560"/>
      <c r="G4" s="8560"/>
      <c r="H4" s="8560"/>
      <c r="I4" s="8560"/>
      <c r="J4" s="8560"/>
      <c r="K4" s="8560"/>
      <c r="L4" s="8560"/>
      <c r="M4" s="8560"/>
      <c r="N4" s="8560"/>
      <c r="O4" s="8560"/>
      <c r="P4" s="8560"/>
      <c r="Q4" s="8560"/>
      <c r="R4" s="8560"/>
      <c r="S4" s="8560"/>
      <c r="T4" s="8560"/>
      <c r="U4" s="8560"/>
      <c r="V4" s="8560"/>
      <c r="W4" s="8560"/>
      <c r="X4" s="8560"/>
      <c r="Y4" s="8560"/>
    </row>
    <row r="5" spans="2:25" ht="15.75">
      <c r="B5" s="8561" t="s">
        <v>11068</v>
      </c>
      <c r="C5" s="8560"/>
      <c r="D5" s="8560"/>
      <c r="E5" s="8560"/>
      <c r="F5" s="8560"/>
      <c r="G5" s="8560"/>
      <c r="H5" s="8560"/>
      <c r="I5" s="8560"/>
      <c r="J5" s="8560"/>
      <c r="K5" s="8560"/>
      <c r="L5" s="8560"/>
      <c r="M5" s="8560"/>
      <c r="N5" s="8560"/>
      <c r="O5" s="8560"/>
      <c r="P5" s="8560"/>
      <c r="Q5" s="8560"/>
      <c r="R5" s="8560"/>
      <c r="S5" s="8560"/>
      <c r="T5" s="8560"/>
      <c r="U5" s="8560"/>
      <c r="V5" s="8560"/>
      <c r="W5" s="8560"/>
      <c r="X5" s="8560"/>
      <c r="Y5" s="8560"/>
    </row>
    <row r="6" spans="2:25" ht="15.75">
      <c r="B6" s="8562" t="s">
        <v>11069</v>
      </c>
      <c r="C6" s="8560"/>
      <c r="D6" s="8560"/>
      <c r="E6" s="8560"/>
      <c r="F6" s="8560"/>
      <c r="G6" s="8560"/>
      <c r="H6" s="8560"/>
      <c r="I6" s="8560"/>
      <c r="J6" s="8560"/>
      <c r="K6" s="8560"/>
      <c r="L6" s="8560"/>
      <c r="M6" s="8560"/>
      <c r="N6" s="8560"/>
      <c r="O6" s="8560"/>
      <c r="P6" s="8560"/>
      <c r="Q6" s="8560"/>
      <c r="R6" s="8560"/>
      <c r="S6" s="8560"/>
      <c r="T6" s="8560"/>
      <c r="U6" s="8560"/>
      <c r="V6" s="8560"/>
      <c r="W6" s="8560"/>
      <c r="X6" s="8560"/>
      <c r="Y6" s="8560"/>
    </row>
    <row r="7" spans="2:25" ht="15.75">
      <c r="B7" s="8562"/>
      <c r="C7" s="8560"/>
      <c r="D7" s="8560"/>
      <c r="E7" s="8560"/>
      <c r="F7" s="8560"/>
      <c r="G7" s="8560"/>
      <c r="H7" s="8560"/>
      <c r="I7" s="8560"/>
      <c r="J7" s="8560"/>
      <c r="K7" s="8560"/>
      <c r="L7" s="8560"/>
      <c r="M7" s="8560"/>
      <c r="N7" s="8560"/>
      <c r="O7" s="8560"/>
      <c r="P7" s="8560"/>
      <c r="Q7" s="8560"/>
      <c r="R7" s="8560"/>
      <c r="S7" s="8560"/>
      <c r="T7" s="8560"/>
      <c r="U7" s="8560"/>
      <c r="V7" s="8560"/>
      <c r="W7" s="8560"/>
      <c r="X7" s="8560"/>
      <c r="Y7" s="8560"/>
    </row>
    <row r="8" spans="2:25">
      <c r="B8" s="8567" t="s">
        <v>11070</v>
      </c>
      <c r="C8" s="8567" t="s">
        <v>11071</v>
      </c>
      <c r="D8" s="8567" t="s">
        <v>11072</v>
      </c>
      <c r="E8" s="8567" t="s">
        <v>11073</v>
      </c>
      <c r="F8" s="8567" t="s">
        <v>11074</v>
      </c>
      <c r="G8" s="8567" t="s">
        <v>11075</v>
      </c>
      <c r="H8" s="8567" t="s">
        <v>11076</v>
      </c>
      <c r="I8" s="8567" t="s">
        <v>11077</v>
      </c>
      <c r="J8" s="8567" t="s">
        <v>11078</v>
      </c>
      <c r="K8" s="8567" t="s">
        <v>11079</v>
      </c>
      <c r="L8" s="8567" t="s">
        <v>11080</v>
      </c>
      <c r="M8" s="8567" t="s">
        <v>11081</v>
      </c>
      <c r="N8" s="8567" t="s">
        <v>11082</v>
      </c>
      <c r="O8" s="8567" t="s">
        <v>11083</v>
      </c>
      <c r="P8" s="8567" t="s">
        <v>11084</v>
      </c>
      <c r="Q8" s="8567" t="s">
        <v>11085</v>
      </c>
      <c r="R8" s="8567" t="s">
        <v>11086</v>
      </c>
      <c r="S8" s="8567" t="s">
        <v>11087</v>
      </c>
      <c r="T8" s="8567" t="s">
        <v>11088</v>
      </c>
      <c r="U8" s="8567" t="s">
        <v>11089</v>
      </c>
      <c r="V8" s="8567" t="s">
        <v>11090</v>
      </c>
      <c r="W8" s="8567" t="s">
        <v>11091</v>
      </c>
      <c r="X8" s="8567" t="s">
        <v>11092</v>
      </c>
      <c r="Y8" s="8567" t="s">
        <v>11093</v>
      </c>
    </row>
    <row r="9" spans="2:25">
      <c r="B9" s="8568"/>
      <c r="C9" s="8568"/>
      <c r="D9" s="8568"/>
      <c r="E9" s="8568"/>
      <c r="F9" s="8568"/>
      <c r="G9" s="8568"/>
      <c r="H9" s="8568"/>
      <c r="I9" s="8568"/>
      <c r="J9" s="8568"/>
      <c r="K9" s="8568"/>
      <c r="L9" s="8568"/>
      <c r="M9" s="8568"/>
      <c r="N9" s="8568"/>
      <c r="O9" s="8568"/>
      <c r="P9" s="8568"/>
      <c r="Q9" s="8568"/>
      <c r="R9" s="8568"/>
      <c r="S9" s="8568"/>
      <c r="T9" s="8568"/>
      <c r="U9" s="8568"/>
      <c r="V9" s="8568"/>
      <c r="W9" s="8568"/>
      <c r="X9" s="8568"/>
      <c r="Y9" s="8568"/>
    </row>
    <row r="10" spans="2:25">
      <c r="B10" s="8563" t="s">
        <v>11094</v>
      </c>
      <c r="C10" s="8563" t="s">
        <v>11095</v>
      </c>
      <c r="D10" s="8563" t="s">
        <v>11096</v>
      </c>
      <c r="E10" s="8563" t="s">
        <v>11097</v>
      </c>
      <c r="F10" s="8563" t="s">
        <v>11098</v>
      </c>
      <c r="G10" s="8563" t="s">
        <v>11099</v>
      </c>
      <c r="H10" s="8563" t="s">
        <v>11100</v>
      </c>
      <c r="I10" s="8563" t="s">
        <v>11101</v>
      </c>
      <c r="J10" s="8563" t="s">
        <v>11102</v>
      </c>
      <c r="K10" s="8563" t="s">
        <v>940</v>
      </c>
      <c r="L10" s="8563" t="s">
        <v>11103</v>
      </c>
      <c r="M10" s="8563" t="s">
        <v>11104</v>
      </c>
      <c r="N10" s="8563" t="s">
        <v>11105</v>
      </c>
      <c r="O10" s="8563" t="s">
        <v>11106</v>
      </c>
      <c r="P10" s="8563" t="s">
        <v>11107</v>
      </c>
      <c r="Q10" s="8563" t="s">
        <v>11108</v>
      </c>
      <c r="R10" s="8563" t="s">
        <v>11109</v>
      </c>
      <c r="S10" s="8563" t="s">
        <v>11110</v>
      </c>
      <c r="T10" s="8563" t="s">
        <v>11111</v>
      </c>
      <c r="U10" s="8563" t="s">
        <v>11112</v>
      </c>
      <c r="V10" s="8563" t="s">
        <v>11113</v>
      </c>
      <c r="W10" s="8563" t="s">
        <v>11114</v>
      </c>
      <c r="X10" s="8563" t="s">
        <v>11115</v>
      </c>
      <c r="Y10" s="8563" t="s">
        <v>11116</v>
      </c>
    </row>
    <row r="11" spans="2:25">
      <c r="B11" s="8563" t="s">
        <v>11117</v>
      </c>
      <c r="C11" s="8563" t="s">
        <v>11118</v>
      </c>
      <c r="D11" s="8563" t="s">
        <v>11119</v>
      </c>
      <c r="E11" s="8563" t="s">
        <v>11120</v>
      </c>
      <c r="F11" s="8563" t="s">
        <v>11121</v>
      </c>
      <c r="G11" s="8563" t="s">
        <v>11122</v>
      </c>
      <c r="H11" s="8563" t="s">
        <v>11123</v>
      </c>
      <c r="I11" s="8563" t="s">
        <v>11124</v>
      </c>
      <c r="J11" s="8563" t="s">
        <v>11125</v>
      </c>
      <c r="K11" s="8563" t="s">
        <v>785</v>
      </c>
      <c r="L11" s="8563" t="s">
        <v>11126</v>
      </c>
      <c r="M11" s="8563" t="s">
        <v>11127</v>
      </c>
      <c r="N11" s="8563" t="s">
        <v>11128</v>
      </c>
      <c r="O11" s="8563" t="s">
        <v>11129</v>
      </c>
      <c r="P11" s="8563" t="s">
        <v>11130</v>
      </c>
      <c r="Q11" s="8563"/>
      <c r="R11" s="8563" t="s">
        <v>11131</v>
      </c>
      <c r="S11" s="8563" t="s">
        <v>11132</v>
      </c>
      <c r="T11" s="8563" t="s">
        <v>11133</v>
      </c>
      <c r="U11" s="8563" t="s">
        <v>11134</v>
      </c>
      <c r="V11" s="8563" t="s">
        <v>11135</v>
      </c>
      <c r="W11" s="8563" t="s">
        <v>11136</v>
      </c>
      <c r="X11" s="8563" t="s">
        <v>11137</v>
      </c>
      <c r="Y11" s="8563" t="s">
        <v>11138</v>
      </c>
    </row>
    <row r="12" spans="2:25">
      <c r="B12" s="8563" t="s">
        <v>11139</v>
      </c>
      <c r="C12" s="8563" t="s">
        <v>11140</v>
      </c>
      <c r="D12" s="8563" t="s">
        <v>11141</v>
      </c>
      <c r="E12" s="8563" t="s">
        <v>11142</v>
      </c>
      <c r="F12" s="8563" t="s">
        <v>3024</v>
      </c>
      <c r="G12" s="8563" t="s">
        <v>11143</v>
      </c>
      <c r="H12" s="8563" t="s">
        <v>11144</v>
      </c>
      <c r="I12" s="8563" t="s">
        <v>11145</v>
      </c>
      <c r="J12" s="8563" t="s">
        <v>11146</v>
      </c>
      <c r="K12" s="8563" t="s">
        <v>11147</v>
      </c>
      <c r="L12" s="8563" t="s">
        <v>11148</v>
      </c>
      <c r="M12" s="8563" t="s">
        <v>11149</v>
      </c>
      <c r="N12" s="8563" t="s">
        <v>11150</v>
      </c>
      <c r="O12" s="8563" t="s">
        <v>11151</v>
      </c>
      <c r="P12" s="8563" t="s">
        <v>11152</v>
      </c>
      <c r="Q12" s="8563"/>
      <c r="R12" s="8563" t="s">
        <v>11153</v>
      </c>
      <c r="S12" s="8563" t="s">
        <v>11154</v>
      </c>
      <c r="T12" s="8563" t="s">
        <v>11155</v>
      </c>
      <c r="U12" s="8563" t="s">
        <v>11156</v>
      </c>
      <c r="V12" s="8563" t="s">
        <v>2989</v>
      </c>
      <c r="W12" s="8563" t="s">
        <v>11157</v>
      </c>
      <c r="X12" s="8563" t="s">
        <v>11158</v>
      </c>
      <c r="Y12" s="8563" t="s">
        <v>11159</v>
      </c>
    </row>
    <row r="13" spans="2:25">
      <c r="B13" s="8563" t="s">
        <v>11160</v>
      </c>
      <c r="C13" s="8563" t="s">
        <v>11161</v>
      </c>
      <c r="D13" s="8563" t="s">
        <v>11162</v>
      </c>
      <c r="E13" s="8563" t="s">
        <v>11163</v>
      </c>
      <c r="F13" s="8563" t="s">
        <v>11164</v>
      </c>
      <c r="G13" s="8563"/>
      <c r="H13" s="8563" t="s">
        <v>11137</v>
      </c>
      <c r="I13" s="8563" t="s">
        <v>11165</v>
      </c>
      <c r="J13" s="8563" t="s">
        <v>11166</v>
      </c>
      <c r="K13" s="8563" t="s">
        <v>11167</v>
      </c>
      <c r="L13" s="8563" t="s">
        <v>11168</v>
      </c>
      <c r="M13" s="8563" t="s">
        <v>11169</v>
      </c>
      <c r="N13" s="8563" t="s">
        <v>11170</v>
      </c>
      <c r="O13" s="8563" t="s">
        <v>11171</v>
      </c>
      <c r="P13" s="8563" t="s">
        <v>11172</v>
      </c>
      <c r="Q13" s="8563"/>
      <c r="R13" s="8563" t="s">
        <v>11173</v>
      </c>
      <c r="S13" s="8563" t="s">
        <v>11174</v>
      </c>
      <c r="T13" s="8563" t="s">
        <v>11175</v>
      </c>
      <c r="U13" s="8563" t="s">
        <v>11176</v>
      </c>
      <c r="V13" s="8563" t="s">
        <v>11177</v>
      </c>
      <c r="W13" s="8563" t="s">
        <v>11178</v>
      </c>
      <c r="X13" s="8563" t="s">
        <v>11179</v>
      </c>
      <c r="Y13" s="8563" t="s">
        <v>11180</v>
      </c>
    </row>
    <row r="14" spans="2:25">
      <c r="B14" s="8563" t="s">
        <v>11181</v>
      </c>
      <c r="C14" s="8563" t="s">
        <v>11182</v>
      </c>
      <c r="D14" s="8563" t="s">
        <v>11183</v>
      </c>
      <c r="E14" s="8563" t="s">
        <v>11184</v>
      </c>
      <c r="F14" s="8563" t="s">
        <v>11185</v>
      </c>
      <c r="G14" s="8563"/>
      <c r="H14" s="8563" t="s">
        <v>11115</v>
      </c>
      <c r="I14" s="8563" t="s">
        <v>11168</v>
      </c>
      <c r="J14" s="8563" t="s">
        <v>11186</v>
      </c>
      <c r="K14" s="8563" t="s">
        <v>11187</v>
      </c>
      <c r="L14" s="8563" t="s">
        <v>11188</v>
      </c>
      <c r="M14" s="8563" t="s">
        <v>11114</v>
      </c>
      <c r="N14" s="8563" t="s">
        <v>11189</v>
      </c>
      <c r="O14" s="8563" t="s">
        <v>11190</v>
      </c>
      <c r="P14" s="8563" t="s">
        <v>11191</v>
      </c>
      <c r="Q14" s="8563"/>
      <c r="R14" s="8563" t="s">
        <v>11192</v>
      </c>
      <c r="S14" s="8563" t="s">
        <v>11193</v>
      </c>
      <c r="T14" s="8563" t="s">
        <v>11194</v>
      </c>
      <c r="U14" s="8563" t="s">
        <v>11195</v>
      </c>
      <c r="V14" s="8563" t="s">
        <v>11196</v>
      </c>
      <c r="W14" s="8563" t="s">
        <v>11197</v>
      </c>
      <c r="X14" s="8563" t="s">
        <v>11198</v>
      </c>
      <c r="Y14" s="8563" t="s">
        <v>11199</v>
      </c>
    </row>
    <row r="15" spans="2:25">
      <c r="B15" s="8563" t="s">
        <v>11200</v>
      </c>
      <c r="C15" s="8563"/>
      <c r="D15" s="8563" t="s">
        <v>11201</v>
      </c>
      <c r="E15" s="8563" t="s">
        <v>11202</v>
      </c>
      <c r="F15" s="8563" t="s">
        <v>11203</v>
      </c>
      <c r="G15" s="8563"/>
      <c r="H15" s="8563" t="s">
        <v>11204</v>
      </c>
      <c r="I15" s="8563" t="s">
        <v>11205</v>
      </c>
      <c r="J15" s="8563" t="s">
        <v>11206</v>
      </c>
      <c r="K15" s="8563" t="s">
        <v>11207</v>
      </c>
      <c r="L15" s="8563" t="s">
        <v>11208</v>
      </c>
      <c r="M15" s="8563" t="s">
        <v>11136</v>
      </c>
      <c r="N15" s="8563" t="s">
        <v>11196</v>
      </c>
      <c r="O15" s="8563" t="s">
        <v>11209</v>
      </c>
      <c r="P15" s="8563" t="s">
        <v>11210</v>
      </c>
      <c r="Q15" s="8563"/>
      <c r="R15" s="8563" t="s">
        <v>11211</v>
      </c>
      <c r="S15" s="8563" t="s">
        <v>11212</v>
      </c>
      <c r="T15" s="8563" t="s">
        <v>11213</v>
      </c>
      <c r="U15" s="8563" t="s">
        <v>11214</v>
      </c>
      <c r="V15" s="8563" t="s">
        <v>11189</v>
      </c>
      <c r="W15" s="8563" t="s">
        <v>11149</v>
      </c>
      <c r="X15" s="8563" t="s">
        <v>11215</v>
      </c>
      <c r="Y15" s="8563" t="s">
        <v>11216</v>
      </c>
    </row>
    <row r="16" spans="2:25">
      <c r="B16" s="8563" t="s">
        <v>11217</v>
      </c>
      <c r="C16" s="8563"/>
      <c r="D16" s="8563" t="s">
        <v>11218</v>
      </c>
      <c r="E16" s="8563" t="s">
        <v>11219</v>
      </c>
      <c r="F16" s="8563" t="s">
        <v>11220</v>
      </c>
      <c r="G16" s="8563"/>
      <c r="H16" s="8563" t="s">
        <v>11221</v>
      </c>
      <c r="I16" s="8563" t="s">
        <v>11222</v>
      </c>
      <c r="J16" s="8563"/>
      <c r="K16" s="8563" t="s">
        <v>11223</v>
      </c>
      <c r="L16" s="8563" t="s">
        <v>11196</v>
      </c>
      <c r="M16" s="8563" t="s">
        <v>11224</v>
      </c>
      <c r="N16" s="8563" t="s">
        <v>11225</v>
      </c>
      <c r="O16" s="8563" t="s">
        <v>11226</v>
      </c>
      <c r="P16" s="8563"/>
      <c r="Q16" s="8563"/>
      <c r="R16" s="8563" t="s">
        <v>11227</v>
      </c>
      <c r="S16" s="8563" t="s">
        <v>11228</v>
      </c>
      <c r="T16" s="8563" t="s">
        <v>11229</v>
      </c>
      <c r="U16" s="8563" t="s">
        <v>11230</v>
      </c>
      <c r="V16" s="8563" t="s">
        <v>11231</v>
      </c>
      <c r="W16" s="8563" t="s">
        <v>11232</v>
      </c>
      <c r="X16" s="8563" t="s">
        <v>11233</v>
      </c>
      <c r="Y16" s="8563" t="s">
        <v>11234</v>
      </c>
    </row>
    <row r="17" spans="2:25">
      <c r="B17" s="8563" t="s">
        <v>11235</v>
      </c>
      <c r="C17" s="8563"/>
      <c r="D17" s="8563" t="s">
        <v>11236</v>
      </c>
      <c r="E17" s="8563" t="s">
        <v>11237</v>
      </c>
      <c r="F17" s="8563" t="s">
        <v>11238</v>
      </c>
      <c r="G17" s="8563"/>
      <c r="H17" s="8563" t="s">
        <v>11239</v>
      </c>
      <c r="I17" s="8563" t="s">
        <v>11240</v>
      </c>
      <c r="J17" s="8563"/>
      <c r="K17" s="8563" t="s">
        <v>11241</v>
      </c>
      <c r="L17" s="8563" t="s">
        <v>11242</v>
      </c>
      <c r="M17" s="8563" t="s">
        <v>11243</v>
      </c>
      <c r="N17" s="8563" t="s">
        <v>11244</v>
      </c>
      <c r="O17" s="8563" t="s">
        <v>11245</v>
      </c>
      <c r="P17" s="8563"/>
      <c r="Q17" s="8563"/>
      <c r="R17" s="8563" t="s">
        <v>11246</v>
      </c>
      <c r="S17" s="8563" t="s">
        <v>11247</v>
      </c>
      <c r="T17" s="8563" t="s">
        <v>11248</v>
      </c>
      <c r="U17" s="8563" t="s">
        <v>11249</v>
      </c>
      <c r="V17" s="8563" t="s">
        <v>11170</v>
      </c>
      <c r="W17" s="8563" t="s">
        <v>11169</v>
      </c>
      <c r="X17" s="8563" t="s">
        <v>11144</v>
      </c>
      <c r="Y17" s="8563"/>
    </row>
    <row r="18" spans="2:25">
      <c r="B18" s="8563" t="s">
        <v>11250</v>
      </c>
      <c r="C18" s="8563"/>
      <c r="D18" s="8563" t="s">
        <v>11251</v>
      </c>
      <c r="E18" s="8563" t="s">
        <v>11252</v>
      </c>
      <c r="F18" s="8563" t="s">
        <v>11253</v>
      </c>
      <c r="G18" s="8563"/>
      <c r="H18" s="8563" t="s">
        <v>11254</v>
      </c>
      <c r="I18" s="8563" t="s">
        <v>11255</v>
      </c>
      <c r="J18" s="8563"/>
      <c r="K18" s="8563" t="s">
        <v>11256</v>
      </c>
      <c r="L18" s="8563" t="s">
        <v>11257</v>
      </c>
      <c r="M18" s="8563" t="s">
        <v>11258</v>
      </c>
      <c r="N18" s="8563" t="s">
        <v>11259</v>
      </c>
      <c r="O18" s="8563" t="s">
        <v>11260</v>
      </c>
      <c r="P18" s="8563"/>
      <c r="Q18" s="8563"/>
      <c r="R18" s="8563" t="s">
        <v>11261</v>
      </c>
      <c r="S18" s="8563"/>
      <c r="T18" s="8563"/>
      <c r="U18" s="8563" t="s">
        <v>11262</v>
      </c>
      <c r="V18" s="8563" t="s">
        <v>11263</v>
      </c>
      <c r="W18" s="8563" t="s">
        <v>11264</v>
      </c>
      <c r="X18" s="8563" t="s">
        <v>11265</v>
      </c>
      <c r="Y18" s="8563"/>
    </row>
    <row r="19" spans="2:25">
      <c r="B19" s="8563" t="s">
        <v>11266</v>
      </c>
      <c r="C19" s="8563"/>
      <c r="D19" s="8563" t="s">
        <v>11267</v>
      </c>
      <c r="E19" s="8563" t="s">
        <v>11268</v>
      </c>
      <c r="F19" s="8563" t="s">
        <v>11269</v>
      </c>
      <c r="G19" s="8563"/>
      <c r="H19" s="8563" t="s">
        <v>11270</v>
      </c>
      <c r="I19" s="8563" t="s">
        <v>11271</v>
      </c>
      <c r="J19" s="8563"/>
      <c r="K19" s="8563" t="s">
        <v>11272</v>
      </c>
      <c r="L19" s="8563" t="s">
        <v>11273</v>
      </c>
      <c r="M19" s="8563" t="s">
        <v>11274</v>
      </c>
      <c r="N19" s="8563" t="s">
        <v>11231</v>
      </c>
      <c r="O19" s="8563"/>
      <c r="P19" s="8563"/>
      <c r="Q19" s="8563"/>
      <c r="R19" s="8563"/>
      <c r="S19" s="8563"/>
      <c r="T19" s="8563"/>
      <c r="U19" s="8563" t="s">
        <v>11275</v>
      </c>
      <c r="V19" s="8563" t="s">
        <v>11276</v>
      </c>
      <c r="W19" s="8563" t="s">
        <v>11277</v>
      </c>
      <c r="X19" s="8563" t="s">
        <v>11278</v>
      </c>
      <c r="Y19" s="8563"/>
    </row>
    <row r="20" spans="2:25">
      <c r="B20" s="8563" t="s">
        <v>11279</v>
      </c>
      <c r="C20" s="8563"/>
      <c r="D20" s="8563" t="s">
        <v>11280</v>
      </c>
      <c r="E20" s="8563" t="s">
        <v>11281</v>
      </c>
      <c r="F20" s="8563" t="s">
        <v>11282</v>
      </c>
      <c r="G20" s="8563"/>
      <c r="H20" s="8563" t="s">
        <v>11283</v>
      </c>
      <c r="I20" s="8563" t="s">
        <v>11284</v>
      </c>
      <c r="J20" s="8563"/>
      <c r="K20" s="8563" t="s">
        <v>11285</v>
      </c>
      <c r="L20" s="8563" t="s">
        <v>11286</v>
      </c>
      <c r="M20" s="8563" t="s">
        <v>11287</v>
      </c>
      <c r="N20" s="8563" t="s">
        <v>11177</v>
      </c>
      <c r="O20" s="8563"/>
      <c r="P20" s="8563"/>
      <c r="Q20" s="8563"/>
      <c r="R20" s="8563"/>
      <c r="S20" s="8563"/>
      <c r="T20" s="8563"/>
      <c r="U20" s="8563" t="s">
        <v>11288</v>
      </c>
      <c r="V20" s="8563" t="s">
        <v>11225</v>
      </c>
      <c r="W20" s="8563" t="s">
        <v>11289</v>
      </c>
      <c r="X20" s="8563" t="s">
        <v>11290</v>
      </c>
      <c r="Y20" s="8563"/>
    </row>
    <row r="21" spans="2:25">
      <c r="B21" s="8563" t="s">
        <v>11291</v>
      </c>
      <c r="C21" s="8563"/>
      <c r="D21" s="8563" t="s">
        <v>11292</v>
      </c>
      <c r="E21" s="8563" t="s">
        <v>11293</v>
      </c>
      <c r="F21" s="8563" t="s">
        <v>11294</v>
      </c>
      <c r="G21" s="8563"/>
      <c r="H21" s="8563" t="s">
        <v>11295</v>
      </c>
      <c r="I21" s="8563" t="s">
        <v>11296</v>
      </c>
      <c r="J21" s="8563"/>
      <c r="K21" s="8563" t="s">
        <v>11297</v>
      </c>
      <c r="L21" s="8563" t="s">
        <v>11277</v>
      </c>
      <c r="M21" s="8563" t="s">
        <v>11178</v>
      </c>
      <c r="N21" s="8563" t="s">
        <v>2989</v>
      </c>
      <c r="O21" s="8563"/>
      <c r="P21" s="8563"/>
      <c r="Q21" s="8563"/>
      <c r="R21" s="8563"/>
      <c r="S21" s="8563"/>
      <c r="T21" s="8563"/>
      <c r="U21" s="8563" t="s">
        <v>11298</v>
      </c>
      <c r="V21" s="8563" t="s">
        <v>11259</v>
      </c>
      <c r="W21" s="8563" t="s">
        <v>11101</v>
      </c>
      <c r="X21" s="8563" t="s">
        <v>11299</v>
      </c>
      <c r="Y21" s="8563"/>
    </row>
    <row r="22" spans="2:25">
      <c r="B22" s="8563" t="s">
        <v>11300</v>
      </c>
      <c r="C22" s="8563"/>
      <c r="D22" s="8563" t="s">
        <v>11301</v>
      </c>
      <c r="E22" s="8563"/>
      <c r="F22" s="8563" t="s">
        <v>11302</v>
      </c>
      <c r="G22" s="8563"/>
      <c r="H22" s="8563" t="s">
        <v>11303</v>
      </c>
      <c r="I22" s="8563" t="s">
        <v>11304</v>
      </c>
      <c r="J22" s="8563"/>
      <c r="K22" s="8563" t="s">
        <v>11305</v>
      </c>
      <c r="L22" s="8563" t="s">
        <v>11306</v>
      </c>
      <c r="M22" s="8563" t="s">
        <v>11157</v>
      </c>
      <c r="N22" s="8563" t="s">
        <v>11263</v>
      </c>
      <c r="O22" s="8563"/>
      <c r="P22" s="8563"/>
      <c r="Q22" s="8563"/>
      <c r="R22" s="8563"/>
      <c r="S22" s="8563"/>
      <c r="T22" s="8563"/>
      <c r="U22" s="8563" t="s">
        <v>11307</v>
      </c>
      <c r="V22" s="8563" t="s">
        <v>11308</v>
      </c>
      <c r="W22" s="8563" t="s">
        <v>11309</v>
      </c>
      <c r="X22" s="8563" t="s">
        <v>11310</v>
      </c>
      <c r="Y22" s="8563"/>
    </row>
    <row r="23" spans="2:25">
      <c r="B23" s="8563" t="s">
        <v>11311</v>
      </c>
      <c r="C23" s="8563"/>
      <c r="D23" s="8563"/>
      <c r="E23" s="8563"/>
      <c r="F23" s="8563" t="s">
        <v>11312</v>
      </c>
      <c r="G23" s="8563"/>
      <c r="H23" s="8563" t="s">
        <v>11313</v>
      </c>
      <c r="I23" s="8563" t="s">
        <v>11314</v>
      </c>
      <c r="J23" s="8563"/>
      <c r="K23" s="8563" t="s">
        <v>11315</v>
      </c>
      <c r="L23" s="8563" t="s">
        <v>11205</v>
      </c>
      <c r="M23" s="8563" t="s">
        <v>11316</v>
      </c>
      <c r="N23" s="8563" t="s">
        <v>11308</v>
      </c>
      <c r="O23" s="8563"/>
      <c r="P23" s="8563"/>
      <c r="Q23" s="8563"/>
      <c r="R23" s="8563"/>
      <c r="S23" s="8563"/>
      <c r="T23" s="8563"/>
      <c r="U23" s="8563" t="s">
        <v>11317</v>
      </c>
      <c r="V23" s="8563" t="s">
        <v>11244</v>
      </c>
      <c r="W23" s="8563" t="s">
        <v>11145</v>
      </c>
      <c r="X23" s="8563" t="s">
        <v>11318</v>
      </c>
      <c r="Y23" s="8563"/>
    </row>
    <row r="24" spans="2:25">
      <c r="B24" s="8563" t="s">
        <v>11319</v>
      </c>
      <c r="C24" s="8563"/>
      <c r="D24" s="8563"/>
      <c r="E24" s="8563"/>
      <c r="F24" s="8563" t="s">
        <v>11320</v>
      </c>
      <c r="G24" s="8563"/>
      <c r="H24" s="8563" t="s">
        <v>11321</v>
      </c>
      <c r="I24" s="8563" t="s">
        <v>11322</v>
      </c>
      <c r="J24" s="8563"/>
      <c r="K24" s="8563" t="s">
        <v>11323</v>
      </c>
      <c r="L24" s="8563" t="s">
        <v>11258</v>
      </c>
      <c r="M24" s="8563" t="s">
        <v>11324</v>
      </c>
      <c r="N24" s="8563"/>
      <c r="O24" s="8563"/>
      <c r="P24" s="8563"/>
      <c r="Q24" s="8563"/>
      <c r="R24" s="8563"/>
      <c r="S24" s="8563"/>
      <c r="T24" s="8563"/>
      <c r="U24" s="8563" t="s">
        <v>11325</v>
      </c>
      <c r="V24" s="8563"/>
      <c r="W24" s="8563" t="s">
        <v>11165</v>
      </c>
      <c r="X24" s="8563" t="s">
        <v>11326</v>
      </c>
      <c r="Y24" s="8563"/>
    </row>
    <row r="25" spans="2:25">
      <c r="B25" s="8563" t="s">
        <v>11327</v>
      </c>
      <c r="C25" s="8563"/>
      <c r="D25" s="8563"/>
      <c r="E25" s="8563"/>
      <c r="F25" s="8563" t="s">
        <v>11328</v>
      </c>
      <c r="G25" s="8563"/>
      <c r="H25" s="8563" t="s">
        <v>11329</v>
      </c>
      <c r="I25" s="8563" t="s">
        <v>11330</v>
      </c>
      <c r="J25" s="8563"/>
      <c r="K25" s="8563" t="s">
        <v>11331</v>
      </c>
      <c r="L25" s="8563" t="s">
        <v>11274</v>
      </c>
      <c r="M25" s="8563" t="s">
        <v>11286</v>
      </c>
      <c r="N25" s="8563"/>
      <c r="O25" s="8563"/>
      <c r="P25" s="8563"/>
      <c r="Q25" s="8563"/>
      <c r="R25" s="8563"/>
      <c r="S25" s="8563"/>
      <c r="T25" s="8563"/>
      <c r="U25" s="8563" t="s">
        <v>11332</v>
      </c>
      <c r="V25" s="8563"/>
      <c r="W25" s="8563" t="s">
        <v>11274</v>
      </c>
      <c r="X25" s="8563"/>
      <c r="Y25" s="8563"/>
    </row>
    <row r="26" spans="2:25">
      <c r="B26" s="8563" t="s">
        <v>11333</v>
      </c>
      <c r="C26" s="8563"/>
      <c r="D26" s="8563"/>
      <c r="E26" s="8563"/>
      <c r="F26" s="8563" t="s">
        <v>11334</v>
      </c>
      <c r="G26" s="8563"/>
      <c r="H26" s="8563" t="s">
        <v>11335</v>
      </c>
      <c r="I26" s="8563" t="s">
        <v>11336</v>
      </c>
      <c r="J26" s="8563"/>
      <c r="K26" s="8563" t="s">
        <v>11337</v>
      </c>
      <c r="L26" s="8563" t="s">
        <v>11178</v>
      </c>
      <c r="M26" s="8563" t="s">
        <v>11338</v>
      </c>
      <c r="N26" s="8563"/>
      <c r="O26" s="8563"/>
      <c r="P26" s="8563"/>
      <c r="Q26" s="8563"/>
      <c r="R26" s="8563"/>
      <c r="S26" s="8563"/>
      <c r="T26" s="8563"/>
      <c r="U26" s="8563" t="s">
        <v>11339</v>
      </c>
      <c r="V26" s="8563"/>
      <c r="W26" s="8563" t="s">
        <v>11306</v>
      </c>
      <c r="X26" s="8563"/>
      <c r="Y26" s="8563"/>
    </row>
    <row r="27" spans="2:25">
      <c r="B27" s="8563" t="s">
        <v>11340</v>
      </c>
      <c r="C27" s="8563"/>
      <c r="D27" s="8563"/>
      <c r="E27" s="8563"/>
      <c r="F27" s="8563"/>
      <c r="G27" s="8563"/>
      <c r="H27" s="8563" t="s">
        <v>11341</v>
      </c>
      <c r="I27" s="8563" t="s">
        <v>11342</v>
      </c>
      <c r="J27" s="8563"/>
      <c r="K27" s="8563" t="s">
        <v>11343</v>
      </c>
      <c r="L27" s="8563" t="s">
        <v>11157</v>
      </c>
      <c r="M27" s="8563" t="s">
        <v>11277</v>
      </c>
      <c r="N27" s="8563"/>
      <c r="O27" s="8563"/>
      <c r="P27" s="8563"/>
      <c r="Q27" s="8563"/>
      <c r="R27" s="8563"/>
      <c r="S27" s="8563"/>
      <c r="T27" s="8563"/>
      <c r="U27" s="8563" t="s">
        <v>11344</v>
      </c>
      <c r="V27" s="8563"/>
      <c r="W27" s="8563" t="s">
        <v>11345</v>
      </c>
      <c r="X27" s="8563"/>
      <c r="Y27" s="8563"/>
    </row>
    <row r="28" spans="2:25">
      <c r="B28" s="8563" t="s">
        <v>11346</v>
      </c>
      <c r="C28" s="8563"/>
      <c r="D28" s="8563"/>
      <c r="E28" s="8563"/>
      <c r="F28" s="8563"/>
      <c r="G28" s="8563"/>
      <c r="H28" s="8563" t="s">
        <v>11347</v>
      </c>
      <c r="I28" s="8563" t="s">
        <v>11348</v>
      </c>
      <c r="J28" s="8563"/>
      <c r="K28" s="8563"/>
      <c r="L28" s="8563" t="s">
        <v>11287</v>
      </c>
      <c r="M28" s="8563" t="s">
        <v>11289</v>
      </c>
      <c r="N28" s="8563"/>
      <c r="O28" s="8563"/>
      <c r="P28" s="8563"/>
      <c r="Q28" s="8563"/>
      <c r="R28" s="8563"/>
      <c r="S28" s="8563"/>
      <c r="T28" s="8563"/>
      <c r="U28" s="8563" t="s">
        <v>11349</v>
      </c>
      <c r="V28" s="8563"/>
      <c r="W28" s="8563" t="s">
        <v>11258</v>
      </c>
      <c r="X28" s="8563"/>
      <c r="Y28" s="8563"/>
    </row>
    <row r="29" spans="2:25">
      <c r="B29" s="8563" t="s">
        <v>11350</v>
      </c>
      <c r="C29" s="8563"/>
      <c r="D29" s="8563"/>
      <c r="E29" s="8563"/>
      <c r="F29" s="8563"/>
      <c r="G29" s="8563"/>
      <c r="H29" s="8563" t="s">
        <v>11351</v>
      </c>
      <c r="I29" s="8563" t="s">
        <v>11352</v>
      </c>
      <c r="J29" s="8563"/>
      <c r="K29" s="8563"/>
      <c r="L29" s="8563" t="s">
        <v>11197</v>
      </c>
      <c r="M29" s="8563" t="s">
        <v>11353</v>
      </c>
      <c r="N29" s="8563"/>
      <c r="O29" s="8563"/>
      <c r="P29" s="8563"/>
      <c r="Q29" s="8563"/>
      <c r="R29" s="8563"/>
      <c r="S29" s="8563"/>
      <c r="T29" s="8563"/>
      <c r="U29" s="8563" t="s">
        <v>11354</v>
      </c>
      <c r="V29" s="8563"/>
      <c r="W29" s="8563" t="s">
        <v>11188</v>
      </c>
      <c r="X29" s="8563"/>
      <c r="Y29" s="8563"/>
    </row>
    <row r="30" spans="2:25">
      <c r="B30" s="8563" t="s">
        <v>11355</v>
      </c>
      <c r="C30" s="8563"/>
      <c r="D30" s="8563"/>
      <c r="E30" s="8563"/>
      <c r="F30" s="8563"/>
      <c r="G30" s="8563"/>
      <c r="H30" s="8563"/>
      <c r="I30" s="8563" t="s">
        <v>11356</v>
      </c>
      <c r="J30" s="8563"/>
      <c r="K30" s="8563"/>
      <c r="L30" s="8563" t="s">
        <v>11357</v>
      </c>
      <c r="M30" s="8563" t="s">
        <v>11358</v>
      </c>
      <c r="N30" s="8563"/>
      <c r="O30" s="8563"/>
      <c r="P30" s="8563"/>
      <c r="Q30" s="8563"/>
      <c r="R30" s="8563"/>
      <c r="S30" s="8563"/>
      <c r="T30" s="8563"/>
      <c r="U30" s="8563" t="s">
        <v>11359</v>
      </c>
      <c r="V30" s="8563"/>
      <c r="W30" s="8563" t="s">
        <v>11287</v>
      </c>
      <c r="X30" s="8563"/>
      <c r="Y30" s="8563"/>
    </row>
    <row r="31" spans="2:25">
      <c r="B31" s="8563" t="s">
        <v>11360</v>
      </c>
      <c r="C31" s="8563"/>
      <c r="D31" s="8563"/>
      <c r="E31" s="8563"/>
      <c r="F31" s="8563"/>
      <c r="G31" s="8563"/>
      <c r="H31" s="8563"/>
      <c r="I31" s="8563" t="s">
        <v>11361</v>
      </c>
      <c r="J31" s="8563"/>
      <c r="K31" s="8563"/>
      <c r="L31" s="8563" t="s">
        <v>11362</v>
      </c>
      <c r="M31" s="8563" t="s">
        <v>11363</v>
      </c>
      <c r="N31" s="8563"/>
      <c r="O31" s="8563"/>
      <c r="P31" s="8563"/>
      <c r="Q31" s="8563"/>
      <c r="R31" s="8563"/>
      <c r="S31" s="8563"/>
      <c r="T31" s="8563"/>
      <c r="U31" s="8563" t="s">
        <v>11364</v>
      </c>
      <c r="V31" s="8563"/>
      <c r="W31" s="8563" t="s">
        <v>11242</v>
      </c>
      <c r="X31" s="8563"/>
      <c r="Y31" s="8563"/>
    </row>
    <row r="32" spans="2:25">
      <c r="B32" s="8563" t="s">
        <v>2884</v>
      </c>
      <c r="C32" s="8563"/>
      <c r="D32" s="8563"/>
      <c r="E32" s="8563"/>
      <c r="F32" s="8563"/>
      <c r="G32" s="8563"/>
      <c r="H32" s="8563"/>
      <c r="I32" s="8563" t="s">
        <v>11365</v>
      </c>
      <c r="J32" s="8563"/>
      <c r="K32" s="8563"/>
      <c r="L32" s="8563" t="s">
        <v>11366</v>
      </c>
      <c r="M32" s="8563" t="s">
        <v>11367</v>
      </c>
      <c r="N32" s="8563"/>
      <c r="O32" s="8563"/>
      <c r="P32" s="8563"/>
      <c r="Q32" s="8563"/>
      <c r="R32" s="8563"/>
      <c r="S32" s="8563"/>
      <c r="T32" s="8563"/>
      <c r="U32" s="8563" t="s">
        <v>11368</v>
      </c>
      <c r="V32" s="8563"/>
      <c r="W32" s="8563" t="s">
        <v>11369</v>
      </c>
      <c r="X32" s="8563"/>
      <c r="Y32" s="8563"/>
    </row>
    <row r="33" spans="2:25">
      <c r="B33" s="8563" t="s">
        <v>11370</v>
      </c>
      <c r="C33" s="8563"/>
      <c r="D33" s="8563"/>
      <c r="E33" s="8563"/>
      <c r="F33" s="8563"/>
      <c r="G33" s="8563"/>
      <c r="H33" s="8563"/>
      <c r="I33" s="8563" t="s">
        <v>11371</v>
      </c>
      <c r="J33" s="8563"/>
      <c r="K33" s="8563"/>
      <c r="L33" s="8563" t="s">
        <v>11372</v>
      </c>
      <c r="M33" s="8563" t="s">
        <v>11373</v>
      </c>
      <c r="N33" s="8563"/>
      <c r="O33" s="8563"/>
      <c r="P33" s="8563"/>
      <c r="Q33" s="8563"/>
      <c r="R33" s="8563"/>
      <c r="S33" s="8563"/>
      <c r="T33" s="8563"/>
      <c r="U33" s="8563" t="s">
        <v>11374</v>
      </c>
      <c r="V33" s="8563"/>
      <c r="W33" s="8563" t="s">
        <v>11375</v>
      </c>
      <c r="X33" s="8563"/>
      <c r="Y33" s="8563"/>
    </row>
    <row r="34" spans="2:25">
      <c r="B34" s="8563" t="s">
        <v>11232</v>
      </c>
      <c r="C34" s="8563"/>
      <c r="D34" s="8563"/>
      <c r="E34" s="8563"/>
      <c r="F34" s="8563"/>
      <c r="G34" s="8563"/>
      <c r="H34" s="8563"/>
      <c r="I34" s="8563" t="s">
        <v>11376</v>
      </c>
      <c r="J34" s="8563"/>
      <c r="K34" s="8563"/>
      <c r="L34" s="8563" t="s">
        <v>11377</v>
      </c>
      <c r="M34" s="8563" t="s">
        <v>11378</v>
      </c>
      <c r="N34" s="8563"/>
      <c r="O34" s="8563"/>
      <c r="P34" s="8563"/>
      <c r="Q34" s="8563"/>
      <c r="R34" s="8563"/>
      <c r="S34" s="8563"/>
      <c r="T34" s="8563"/>
      <c r="U34" s="8563" t="s">
        <v>11379</v>
      </c>
      <c r="V34" s="8563"/>
      <c r="W34" s="8563" t="s">
        <v>11196</v>
      </c>
      <c r="X34" s="8563"/>
      <c r="Y34" s="8563"/>
    </row>
    <row r="35" spans="2:25">
      <c r="B35" s="8563" t="s">
        <v>11380</v>
      </c>
      <c r="C35" s="8563"/>
      <c r="D35" s="8563"/>
      <c r="E35" s="8563"/>
      <c r="F35" s="8563"/>
      <c r="G35" s="8563"/>
      <c r="H35" s="8563"/>
      <c r="I35" s="8563" t="s">
        <v>11381</v>
      </c>
      <c r="J35" s="8563"/>
      <c r="K35" s="8563"/>
      <c r="L35" s="8563" t="s">
        <v>11382</v>
      </c>
      <c r="M35" s="8563" t="s">
        <v>11383</v>
      </c>
      <c r="N35" s="8563"/>
      <c r="O35" s="8563"/>
      <c r="P35" s="8563"/>
      <c r="Q35" s="8563"/>
      <c r="R35" s="8563"/>
      <c r="S35" s="8563"/>
      <c r="T35" s="8563"/>
      <c r="U35" s="8563" t="s">
        <v>11384</v>
      </c>
      <c r="V35" s="8563"/>
      <c r="W35" s="8563" t="s">
        <v>11168</v>
      </c>
      <c r="X35" s="8563"/>
      <c r="Y35" s="8563"/>
    </row>
    <row r="36" spans="2:25">
      <c r="B36" s="8563" t="s">
        <v>938</v>
      </c>
      <c r="C36" s="8563"/>
      <c r="D36" s="8563"/>
      <c r="E36" s="8563"/>
      <c r="F36" s="8563"/>
      <c r="G36" s="8563"/>
      <c r="H36" s="8563"/>
      <c r="I36" s="8563" t="s">
        <v>11385</v>
      </c>
      <c r="J36" s="8563"/>
      <c r="K36" s="8563"/>
      <c r="L36" s="8563" t="s">
        <v>11330</v>
      </c>
      <c r="M36" s="8563" t="s">
        <v>11386</v>
      </c>
      <c r="N36" s="8563"/>
      <c r="O36" s="8563"/>
      <c r="P36" s="8563"/>
      <c r="Q36" s="8563"/>
      <c r="R36" s="8563"/>
      <c r="S36" s="8563"/>
      <c r="T36" s="8563"/>
      <c r="U36" s="8563" t="s">
        <v>11113</v>
      </c>
      <c r="V36" s="8563"/>
      <c r="W36" s="8563" t="s">
        <v>11205</v>
      </c>
      <c r="X36" s="8563"/>
      <c r="Y36" s="8563"/>
    </row>
    <row r="37" spans="2:25">
      <c r="B37" s="8563"/>
      <c r="C37" s="8563"/>
      <c r="D37" s="8563"/>
      <c r="E37" s="8563"/>
      <c r="F37" s="8563"/>
      <c r="G37" s="8563"/>
      <c r="H37" s="8563"/>
      <c r="I37" s="8563" t="s">
        <v>11387</v>
      </c>
      <c r="J37" s="8563"/>
      <c r="K37" s="8563"/>
      <c r="L37" s="8563" t="s">
        <v>11336</v>
      </c>
      <c r="M37" s="8563" t="s">
        <v>11388</v>
      </c>
      <c r="N37" s="8563"/>
      <c r="O37" s="8563"/>
      <c r="P37" s="8563"/>
      <c r="Q37" s="8563"/>
      <c r="R37" s="8563"/>
      <c r="S37" s="8563"/>
      <c r="T37" s="8563"/>
      <c r="U37" s="8563" t="s">
        <v>11135</v>
      </c>
      <c r="V37" s="8563"/>
      <c r="W37" s="8563" t="s">
        <v>11286</v>
      </c>
      <c r="X37" s="8563"/>
      <c r="Y37" s="8563"/>
    </row>
    <row r="38" spans="2:25">
      <c r="B38" s="8563"/>
      <c r="C38" s="8563"/>
      <c r="D38" s="8563"/>
      <c r="E38" s="8563"/>
      <c r="F38" s="8563"/>
      <c r="G38" s="8563"/>
      <c r="H38" s="8563"/>
      <c r="I38" s="8563" t="s">
        <v>11389</v>
      </c>
      <c r="J38" s="8563"/>
      <c r="K38" s="8563"/>
      <c r="L38" s="8563" t="s">
        <v>11380</v>
      </c>
      <c r="M38" s="8563" t="s">
        <v>11390</v>
      </c>
      <c r="N38" s="8563"/>
      <c r="O38" s="8563"/>
      <c r="P38" s="8563"/>
      <c r="Q38" s="8563"/>
      <c r="R38" s="8563"/>
      <c r="S38" s="8563"/>
      <c r="T38" s="8563"/>
      <c r="U38" s="8563" t="s">
        <v>11391</v>
      </c>
      <c r="V38" s="8563"/>
      <c r="W38" s="8563" t="s">
        <v>11380</v>
      </c>
      <c r="X38" s="8563"/>
      <c r="Y38" s="8563"/>
    </row>
    <row r="39" spans="2:25">
      <c r="B39" s="8563"/>
      <c r="C39" s="8563"/>
      <c r="D39" s="8563"/>
      <c r="E39" s="8563"/>
      <c r="F39" s="8563"/>
      <c r="G39" s="8563"/>
      <c r="H39" s="8563"/>
      <c r="I39" s="8563" t="s">
        <v>11392</v>
      </c>
      <c r="J39" s="8563"/>
      <c r="K39" s="8563"/>
      <c r="L39" s="8563" t="s">
        <v>11338</v>
      </c>
      <c r="M39" s="8563" t="s">
        <v>11393</v>
      </c>
      <c r="N39" s="8563"/>
      <c r="O39" s="8563"/>
      <c r="P39" s="8563"/>
      <c r="Q39" s="8563"/>
      <c r="R39" s="8563"/>
      <c r="S39" s="8563"/>
      <c r="T39" s="8563"/>
      <c r="U39" s="8563"/>
      <c r="V39" s="8563"/>
      <c r="W39" s="8563" t="s">
        <v>11338</v>
      </c>
      <c r="X39" s="8563"/>
      <c r="Y39" s="8563"/>
    </row>
    <row r="40" spans="2:25">
      <c r="B40" s="8563"/>
      <c r="C40" s="8563"/>
      <c r="D40" s="8563"/>
      <c r="E40" s="8563"/>
      <c r="F40" s="8563"/>
      <c r="G40" s="8563"/>
      <c r="H40" s="8563"/>
      <c r="I40" s="8563" t="s">
        <v>11394</v>
      </c>
      <c r="J40" s="8563"/>
      <c r="K40" s="8563"/>
      <c r="L40" s="8563" t="s">
        <v>11289</v>
      </c>
      <c r="M40" s="8563" t="s">
        <v>11395</v>
      </c>
      <c r="N40" s="8563"/>
      <c r="O40" s="8563"/>
      <c r="P40" s="8563"/>
      <c r="Q40" s="8563"/>
      <c r="R40" s="8563"/>
      <c r="S40" s="8563"/>
      <c r="T40" s="8563"/>
      <c r="U40" s="8563"/>
      <c r="V40" s="8563"/>
      <c r="W40" s="8563" t="s">
        <v>11208</v>
      </c>
      <c r="X40" s="8563"/>
      <c r="Y40" s="8563"/>
    </row>
    <row r="41" spans="2:25">
      <c r="B41" s="8563"/>
      <c r="C41" s="8563"/>
      <c r="D41" s="8563"/>
      <c r="E41" s="8563"/>
      <c r="F41" s="8563"/>
      <c r="G41" s="8563"/>
      <c r="H41" s="8563"/>
      <c r="I41" s="8563" t="s">
        <v>11396</v>
      </c>
      <c r="J41" s="8563"/>
      <c r="K41" s="8563"/>
      <c r="L41" s="8563" t="s">
        <v>11397</v>
      </c>
      <c r="M41" s="8563" t="s">
        <v>11398</v>
      </c>
      <c r="N41" s="8563"/>
      <c r="O41" s="8563"/>
      <c r="P41" s="8563"/>
      <c r="Q41" s="8563"/>
      <c r="R41" s="8563"/>
      <c r="S41" s="8563"/>
      <c r="T41" s="8563"/>
      <c r="U41" s="8563"/>
      <c r="V41" s="8563"/>
      <c r="W41" s="8563" t="s">
        <v>11257</v>
      </c>
      <c r="X41" s="8563"/>
      <c r="Y41" s="8563"/>
    </row>
    <row r="42" spans="2:25">
      <c r="B42" s="8563"/>
      <c r="C42" s="8563"/>
      <c r="D42" s="8563"/>
      <c r="E42" s="8563"/>
      <c r="F42" s="8563"/>
      <c r="G42" s="8563"/>
      <c r="H42" s="8563"/>
      <c r="I42" s="8563"/>
      <c r="J42" s="8563"/>
      <c r="K42" s="8563"/>
      <c r="L42" s="8563" t="s">
        <v>11399</v>
      </c>
      <c r="M42" s="8563" t="s">
        <v>11400</v>
      </c>
      <c r="N42" s="8563"/>
      <c r="O42" s="8563"/>
      <c r="P42" s="8563"/>
      <c r="Q42" s="8563"/>
      <c r="R42" s="8563"/>
      <c r="S42" s="8563"/>
      <c r="T42" s="8563"/>
      <c r="U42" s="8563"/>
      <c r="V42" s="8563"/>
      <c r="W42" s="8563" t="s">
        <v>11330</v>
      </c>
      <c r="X42" s="8563"/>
      <c r="Y42" s="8563"/>
    </row>
    <row r="43" spans="2:25">
      <c r="B43" s="8563"/>
      <c r="C43" s="8563"/>
      <c r="D43" s="8563"/>
      <c r="E43" s="8563"/>
      <c r="F43" s="8563"/>
      <c r="G43" s="8563"/>
      <c r="H43" s="8563"/>
      <c r="I43" s="8563"/>
      <c r="J43" s="8563"/>
      <c r="K43" s="8563"/>
      <c r="L43" s="8563" t="s">
        <v>11369</v>
      </c>
      <c r="M43" s="8563" t="s">
        <v>11401</v>
      </c>
      <c r="N43" s="8563"/>
      <c r="O43" s="8563"/>
      <c r="P43" s="8563"/>
      <c r="Q43" s="8563"/>
      <c r="R43" s="8563"/>
      <c r="S43" s="8563"/>
      <c r="T43" s="8563"/>
      <c r="U43" s="8563"/>
      <c r="V43" s="8563"/>
      <c r="W43" s="8563" t="s">
        <v>11336</v>
      </c>
      <c r="X43" s="8563"/>
      <c r="Y43" s="8563"/>
    </row>
    <row r="44" spans="2:25">
      <c r="B44" s="8563"/>
      <c r="C44" s="8563"/>
      <c r="D44" s="8563"/>
      <c r="E44" s="8563"/>
      <c r="F44" s="8563"/>
      <c r="G44" s="8563"/>
      <c r="H44" s="8563"/>
      <c r="I44" s="8563"/>
      <c r="J44" s="8563"/>
      <c r="K44" s="8563"/>
      <c r="L44" s="8563" t="s">
        <v>11402</v>
      </c>
      <c r="M44" s="8563" t="s">
        <v>11403</v>
      </c>
      <c r="N44" s="8563"/>
      <c r="O44" s="8563"/>
      <c r="P44" s="8563"/>
      <c r="Q44" s="8563"/>
      <c r="R44" s="8563"/>
      <c r="S44" s="8563"/>
      <c r="T44" s="8563"/>
      <c r="U44" s="8563"/>
      <c r="V44" s="8563"/>
      <c r="W44" s="8563" t="s">
        <v>11404</v>
      </c>
      <c r="X44" s="8563"/>
      <c r="Y44" s="8563"/>
    </row>
    <row r="45" spans="2:25">
      <c r="B45" s="8563"/>
      <c r="C45" s="8563"/>
      <c r="D45" s="8563"/>
      <c r="E45" s="8563"/>
      <c r="F45" s="8563"/>
      <c r="G45" s="8563"/>
      <c r="H45" s="8563"/>
      <c r="I45" s="8563"/>
      <c r="J45" s="8563"/>
      <c r="K45" s="8563"/>
      <c r="L45" s="8563"/>
      <c r="M45" s="8563" t="s">
        <v>11405</v>
      </c>
      <c r="N45" s="8563"/>
      <c r="O45" s="8563"/>
      <c r="P45" s="8563"/>
      <c r="Q45" s="8563"/>
      <c r="R45" s="8563"/>
      <c r="S45" s="8563"/>
      <c r="T45" s="8563"/>
      <c r="U45" s="8563"/>
      <c r="V45" s="8563"/>
      <c r="W45" s="8563" t="s">
        <v>11273</v>
      </c>
      <c r="X45" s="8563"/>
      <c r="Y45" s="8563"/>
    </row>
    <row r="46" spans="2:25">
      <c r="B46" s="8563"/>
      <c r="C46" s="8563"/>
      <c r="D46" s="8563"/>
      <c r="E46" s="8563"/>
      <c r="F46" s="8563"/>
      <c r="G46" s="8563"/>
      <c r="H46" s="8563"/>
      <c r="I46" s="8563"/>
      <c r="J46" s="8563"/>
      <c r="K46" s="8563"/>
      <c r="L46" s="8563"/>
      <c r="M46" s="8563" t="s">
        <v>11406</v>
      </c>
      <c r="N46" s="8563"/>
      <c r="O46" s="8563"/>
      <c r="P46" s="8563"/>
      <c r="Q46" s="8563"/>
      <c r="R46" s="8563"/>
      <c r="S46" s="8563"/>
      <c r="T46" s="8563"/>
      <c r="U46" s="8563"/>
      <c r="V46" s="8563"/>
      <c r="W46" s="8563" t="s">
        <v>11407</v>
      </c>
      <c r="X46" s="8563"/>
      <c r="Y46" s="8563"/>
    </row>
    <row r="47" spans="2:25">
      <c r="B47" s="8563"/>
      <c r="C47" s="8563"/>
      <c r="D47" s="8563"/>
      <c r="E47" s="8563"/>
      <c r="F47" s="8563"/>
      <c r="G47" s="8563"/>
      <c r="H47" s="8563"/>
      <c r="I47" s="8563"/>
      <c r="J47" s="8563"/>
      <c r="K47" s="8563"/>
      <c r="L47" s="8563"/>
      <c r="M47" s="8563"/>
      <c r="N47" s="8563"/>
      <c r="O47" s="8563"/>
      <c r="P47" s="8563"/>
      <c r="Q47" s="8563"/>
      <c r="R47" s="8563"/>
      <c r="S47" s="8563"/>
      <c r="T47" s="8563"/>
      <c r="U47" s="8563"/>
      <c r="V47" s="8563"/>
      <c r="W47" s="8563"/>
      <c r="X47" s="8563"/>
      <c r="Y47" s="8563"/>
    </row>
    <row r="49" spans="2:25">
      <c r="B49" s="8564"/>
      <c r="C49" s="8564"/>
      <c r="D49" s="8564"/>
      <c r="E49" s="8564"/>
      <c r="F49" s="8564"/>
      <c r="G49" s="8564"/>
      <c r="H49" s="8564"/>
      <c r="I49" s="8564"/>
      <c r="J49" s="8564"/>
      <c r="K49" s="8564"/>
      <c r="L49" s="8564"/>
      <c r="M49" s="8564"/>
      <c r="N49" s="8564"/>
      <c r="O49" s="8564"/>
      <c r="P49" s="8564"/>
      <c r="Q49" s="8564"/>
      <c r="R49" s="8564"/>
      <c r="S49" s="8564"/>
      <c r="T49" s="8564"/>
      <c r="U49" s="8564"/>
      <c r="V49" s="8564"/>
      <c r="W49" s="8564"/>
      <c r="X49" s="8564"/>
      <c r="Y49" s="8564"/>
    </row>
    <row r="597" spans="2:25">
      <c r="B597" s="8565"/>
      <c r="C597" s="8565"/>
      <c r="D597" s="8565"/>
      <c r="E597" s="8565"/>
      <c r="F597" s="8565"/>
      <c r="G597" s="8565"/>
      <c r="H597" s="8565"/>
      <c r="I597" s="8565"/>
      <c r="J597" s="8565"/>
      <c r="K597" s="8565"/>
      <c r="L597" s="8565"/>
      <c r="M597" s="8565"/>
      <c r="N597" s="8565"/>
      <c r="O597" s="8565"/>
      <c r="P597" s="8565"/>
      <c r="Q597" s="8565"/>
      <c r="R597" s="8565"/>
      <c r="S597" s="8565"/>
      <c r="T597" s="8565"/>
      <c r="U597" s="8565"/>
      <c r="V597" s="8565"/>
      <c r="W597" s="8565"/>
      <c r="X597" s="8565"/>
      <c r="Y597" s="8565"/>
    </row>
  </sheetData>
  <mergeCells count="24">
    <mergeCell ref="T8:T9"/>
    <mergeCell ref="U8:U9"/>
    <mergeCell ref="V8:V9"/>
    <mergeCell ref="W8:W9"/>
    <mergeCell ref="X8:X9"/>
    <mergeCell ref="Y8:Y9"/>
    <mergeCell ref="N8:N9"/>
    <mergeCell ref="O8:O9"/>
    <mergeCell ref="P8:P9"/>
    <mergeCell ref="Q8:Q9"/>
    <mergeCell ref="R8:R9"/>
    <mergeCell ref="S8:S9"/>
    <mergeCell ref="H8:H9"/>
    <mergeCell ref="I8:I9"/>
    <mergeCell ref="J8:J9"/>
    <mergeCell ref="K8:K9"/>
    <mergeCell ref="L8:L9"/>
    <mergeCell ref="M8:M9"/>
    <mergeCell ref="B8:B9"/>
    <mergeCell ref="C8:C9"/>
    <mergeCell ref="D8:D9"/>
    <mergeCell ref="E8:E9"/>
    <mergeCell ref="F8:F9"/>
    <mergeCell ref="G8:G9"/>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1BAF-24DB-4916-9DF5-A7D1342F2518}">
  <dimension ref="A1:DE551"/>
  <sheetViews>
    <sheetView zoomScaleNormal="100" workbookViewId="0">
      <selection activeCell="J31" sqref="J31"/>
    </sheetView>
  </sheetViews>
  <sheetFormatPr baseColWidth="10" defaultColWidth="11.42578125" defaultRowHeight="15"/>
  <cols>
    <col min="1" max="1" width="6.85546875" style="4" customWidth="1"/>
    <col min="2" max="2" width="3.7109375" style="4" customWidth="1"/>
    <col min="3" max="3" width="9.7109375" customWidth="1"/>
    <col min="4" max="5" width="12.7109375" style="4" customWidth="1"/>
    <col min="6" max="6" width="4" style="4" customWidth="1"/>
    <col min="7" max="7" width="9.7109375" style="4" customWidth="1"/>
    <col min="8" max="8" width="13" style="4" customWidth="1"/>
    <col min="9" max="9" width="13.5703125" style="4" customWidth="1"/>
    <col min="10" max="10" width="40.7109375" style="4" customWidth="1"/>
    <col min="11" max="11" width="3.140625" style="4" customWidth="1"/>
    <col min="12" max="12" width="3.7109375" style="4" customWidth="1"/>
    <col min="13" max="16" width="5.7109375" style="4" customWidth="1"/>
    <col min="17" max="18" width="12.7109375" style="4" customWidth="1"/>
    <col min="19" max="19" width="4" style="4" customWidth="1"/>
    <col min="20" max="20" width="9.7109375" style="4" customWidth="1"/>
    <col min="21" max="21" width="12.85546875" style="4" customWidth="1"/>
    <col min="22" max="22" width="13.42578125" style="4" customWidth="1"/>
    <col min="23" max="23" width="40.7109375" style="4" customWidth="1"/>
    <col min="24" max="24" width="14.7109375" style="4" customWidth="1"/>
    <col min="25" max="25" width="10.5703125" style="4" customWidth="1"/>
    <col min="26" max="26" width="9.28515625" style="4" customWidth="1"/>
    <col min="27" max="27" width="12.28515625" style="4" customWidth="1"/>
    <col min="28" max="28" width="9.7109375" style="5657" customWidth="1"/>
    <col min="29" max="29" width="12.7109375" style="5657" customWidth="1"/>
    <col min="30" max="30" width="13.7109375" style="5657" customWidth="1"/>
    <col min="31" max="31" width="17.85546875" style="5657" customWidth="1"/>
    <col min="32" max="32" width="10.7109375" style="4" customWidth="1"/>
    <col min="33" max="33" width="21.28515625" style="4" customWidth="1"/>
    <col min="34" max="37" width="5.7109375" style="4" customWidth="1"/>
    <col min="38" max="38" width="11.7109375" style="4" customWidth="1"/>
    <col min="39" max="39" width="7.140625" style="4" customWidth="1"/>
    <col min="40" max="40" width="15.28515625" style="4" customWidth="1"/>
    <col min="41" max="41" width="12.7109375" style="4" customWidth="1"/>
    <col min="42" max="42" width="14.140625" style="5657" customWidth="1"/>
    <col min="43" max="43" width="11.7109375" style="5657" customWidth="1"/>
    <col min="44" max="44" width="24.5703125" style="5657" customWidth="1"/>
    <col min="45" max="45" width="10.140625" style="5657" customWidth="1"/>
    <col min="46" max="46" width="9.7109375" style="5657" customWidth="1"/>
    <col min="47" max="47" width="11.7109375" style="5657" customWidth="1"/>
    <col min="48" max="48" width="12.85546875" style="5657" customWidth="1"/>
    <col min="49" max="49" width="33" style="5657" customWidth="1"/>
    <col min="50" max="50" width="12.7109375" style="5657" customWidth="1"/>
    <col min="51" max="51" width="10.28515625" style="5657" customWidth="1"/>
    <col min="52" max="52" width="9" style="5657" customWidth="1"/>
    <col min="53" max="53" width="11.7109375" customWidth="1"/>
    <col min="54" max="55" width="17.7109375" style="4" customWidth="1"/>
    <col min="56" max="56" width="14.140625" style="4" customWidth="1"/>
    <col min="57" max="57" width="45" style="5657" customWidth="1"/>
    <col min="58" max="58" width="4.5703125" style="5657" customWidth="1"/>
    <col min="59" max="59" width="6.85546875" style="4" customWidth="1"/>
    <col min="60" max="60" width="15.7109375" style="2" customWidth="1"/>
    <col min="61" max="61" width="11.7109375" style="2" customWidth="1"/>
    <col min="62" max="64" width="14.7109375" style="2" customWidth="1"/>
    <col min="65" max="67" width="11.7109375" style="2" customWidth="1"/>
    <col min="68" max="68" width="20.42578125" style="2" customWidth="1"/>
    <col min="69" max="69" width="17.7109375" style="4" customWidth="1"/>
    <col min="70" max="74" width="14.7109375" customWidth="1"/>
    <col min="75" max="75" width="5.5703125" customWidth="1"/>
    <col min="76" max="76" width="11.5703125" customWidth="1"/>
    <col min="77" max="77" width="16.7109375" customWidth="1"/>
    <col min="78" max="78" width="17" bestFit="1" customWidth="1"/>
    <col min="79" max="79" width="11.7109375" customWidth="1"/>
    <col min="80" max="80" width="41" customWidth="1"/>
    <col min="81" max="81" width="11.42578125" style="4"/>
    <col min="82" max="82" width="3.7109375" style="4" customWidth="1"/>
    <col min="83" max="83" width="19.7109375" customWidth="1"/>
    <col min="84" max="84" width="18.7109375" customWidth="1"/>
    <col min="85" max="85" width="10.7109375" customWidth="1"/>
    <col min="86" max="86" width="16.7109375" customWidth="1"/>
    <col min="87" max="87" width="17" bestFit="1" customWidth="1"/>
    <col min="88" max="88" width="11.7109375" customWidth="1"/>
    <col min="89" max="89" width="41" customWidth="1"/>
    <col min="90" max="90" width="4.85546875" style="4" customWidth="1"/>
    <col min="91" max="91" width="19.7109375" customWidth="1"/>
    <col min="92" max="92" width="18.7109375" customWidth="1"/>
    <col min="93" max="93" width="10.7109375" customWidth="1"/>
    <col min="94" max="94" width="16.7109375" customWidth="1"/>
    <col min="95" max="95" width="17" bestFit="1" customWidth="1"/>
    <col min="96" max="96" width="11.7109375" customWidth="1"/>
    <col min="97" max="97" width="41" customWidth="1"/>
    <col min="98" max="98" width="4.85546875" style="4" customWidth="1"/>
    <col min="99" max="99" width="19.7109375" customWidth="1"/>
    <col min="100" max="100" width="18.7109375" customWidth="1"/>
    <col min="101" max="101" width="10.7109375" customWidth="1"/>
    <col min="102" max="102" width="16.7109375" customWidth="1"/>
    <col min="103" max="103" width="17" bestFit="1" customWidth="1"/>
    <col min="104" max="104" width="11.7109375" customWidth="1"/>
    <col min="105" max="105" width="41" customWidth="1"/>
    <col min="106" max="106" width="4.85546875" style="4" customWidth="1"/>
    <col min="107" max="107" width="7.28515625" style="4" customWidth="1"/>
    <col min="108" max="108" width="11.42578125" style="1"/>
    <col min="109" max="109" width="43.5703125" style="1" customWidth="1"/>
    <col min="110" max="16384" width="11.42578125" style="4"/>
  </cols>
  <sheetData>
    <row r="1" spans="1:109" ht="15" customHeight="1" thickTop="1">
      <c r="A1" s="9" t="str">
        <f>ADDRESS(ROW(),COLUMN(),4)</f>
        <v>A1</v>
      </c>
      <c r="B1" s="443" t="str">
        <f t="shared" ref="B1:BE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t="str">
        <f t="shared" si="0"/>
        <v>N</v>
      </c>
      <c r="O1" s="443" t="str">
        <f t="shared" si="0"/>
        <v>O</v>
      </c>
      <c r="P1" s="443" t="str">
        <f t="shared" si="0"/>
        <v>P</v>
      </c>
      <c r="Q1" s="443" t="str">
        <f t="shared" si="0"/>
        <v>Q</v>
      </c>
      <c r="R1" s="443" t="str">
        <f t="shared" si="0"/>
        <v>R</v>
      </c>
      <c r="S1" s="443" t="str">
        <f t="shared" si="0"/>
        <v>S</v>
      </c>
      <c r="T1" s="443" t="str">
        <f t="shared" si="0"/>
        <v>T</v>
      </c>
      <c r="U1" s="443" t="str">
        <f t="shared" si="0"/>
        <v>U</v>
      </c>
      <c r="V1" s="443" t="str">
        <f t="shared" si="0"/>
        <v>V</v>
      </c>
      <c r="W1" s="443" t="str">
        <f t="shared" si="0"/>
        <v>W</v>
      </c>
      <c r="X1" s="443" t="str">
        <f t="shared" si="0"/>
        <v>X</v>
      </c>
      <c r="Y1" s="443" t="str">
        <f t="shared" si="0"/>
        <v>Y</v>
      </c>
      <c r="Z1" s="443" t="str">
        <f t="shared" si="0"/>
        <v>Z</v>
      </c>
      <c r="AA1" s="443" t="str">
        <f t="shared" si="0"/>
        <v>AA</v>
      </c>
      <c r="AB1" s="443" t="str">
        <f t="shared" si="0"/>
        <v>AB</v>
      </c>
      <c r="AC1" s="443" t="str">
        <f t="shared" si="0"/>
        <v>AC</v>
      </c>
      <c r="AD1" s="443" t="str">
        <f t="shared" si="0"/>
        <v>AD</v>
      </c>
      <c r="AE1" s="1715"/>
      <c r="AF1" s="443" t="str">
        <f t="shared" si="0"/>
        <v>AF</v>
      </c>
      <c r="AG1" s="443" t="str">
        <f t="shared" si="0"/>
        <v>AG</v>
      </c>
      <c r="AH1" s="443" t="str">
        <f t="shared" si="0"/>
        <v>AH</v>
      </c>
      <c r="AI1" s="443" t="str">
        <f t="shared" si="0"/>
        <v>AI</v>
      </c>
      <c r="AJ1" s="443" t="str">
        <f t="shared" si="0"/>
        <v>AJ</v>
      </c>
      <c r="AK1" s="443" t="str">
        <f t="shared" si="0"/>
        <v>AK</v>
      </c>
      <c r="AL1" s="443" t="str">
        <f t="shared" si="0"/>
        <v>AL</v>
      </c>
      <c r="AM1" s="443" t="str">
        <f t="shared" si="0"/>
        <v>AM</v>
      </c>
      <c r="AN1" s="443" t="str">
        <f t="shared" si="0"/>
        <v>AN</v>
      </c>
      <c r="AO1" s="443" t="str">
        <f t="shared" si="0"/>
        <v>AO</v>
      </c>
      <c r="AP1" s="443" t="str">
        <f t="shared" si="0"/>
        <v>AP</v>
      </c>
      <c r="AQ1" s="443" t="str">
        <f t="shared" si="0"/>
        <v>AQ</v>
      </c>
      <c r="AR1" s="443" t="str">
        <f t="shared" si="0"/>
        <v>AR</v>
      </c>
      <c r="AS1" s="443" t="str">
        <f t="shared" si="0"/>
        <v>AS</v>
      </c>
      <c r="AT1" s="443" t="str">
        <f t="shared" si="0"/>
        <v>AT</v>
      </c>
      <c r="AU1" s="443" t="str">
        <f t="shared" si="0"/>
        <v>AU</v>
      </c>
      <c r="AV1" s="443" t="str">
        <f t="shared" si="0"/>
        <v>AV</v>
      </c>
      <c r="AW1" s="443" t="str">
        <f t="shared" si="0"/>
        <v>AW</v>
      </c>
      <c r="AX1" s="443" t="str">
        <f t="shared" si="0"/>
        <v>AX</v>
      </c>
      <c r="AY1" s="443" t="str">
        <f t="shared" si="0"/>
        <v>AY</v>
      </c>
      <c r="AZ1" s="443" t="str">
        <f t="shared" si="0"/>
        <v>AZ</v>
      </c>
      <c r="BA1" s="443" t="str">
        <f t="shared" si="0"/>
        <v>BA</v>
      </c>
      <c r="BB1" s="443" t="str">
        <f t="shared" si="0"/>
        <v>BB</v>
      </c>
      <c r="BC1" s="443" t="str">
        <f t="shared" si="0"/>
        <v>BC</v>
      </c>
      <c r="BD1" s="443" t="str">
        <f t="shared" si="0"/>
        <v>BD</v>
      </c>
      <c r="BE1" s="443" t="str">
        <f t="shared" si="0"/>
        <v>BE</v>
      </c>
      <c r="BF1" s="1715"/>
      <c r="BG1" s="1301"/>
      <c r="BH1" s="442" t="str">
        <f t="shared" ref="BH1:BQ1" si="1">SUBSTITUTE(ADDRESS(1,COLUMN(),4),"1","")</f>
        <v>BH</v>
      </c>
      <c r="BI1" s="442" t="str">
        <f t="shared" si="1"/>
        <v>BI</v>
      </c>
      <c r="BJ1" s="442" t="str">
        <f t="shared" si="1"/>
        <v>BJ</v>
      </c>
      <c r="BK1" s="442"/>
      <c r="BL1" s="442"/>
      <c r="BM1" s="442" t="str">
        <f t="shared" si="1"/>
        <v>BM</v>
      </c>
      <c r="BN1" s="442" t="str">
        <f t="shared" si="1"/>
        <v>BN</v>
      </c>
      <c r="BO1" s="442" t="str">
        <f t="shared" si="1"/>
        <v>BO</v>
      </c>
      <c r="BP1" s="442" t="str">
        <f t="shared" si="1"/>
        <v>BP</v>
      </c>
      <c r="BQ1" s="442" t="str">
        <f t="shared" si="1"/>
        <v>BQ</v>
      </c>
      <c r="BX1" s="442" t="str">
        <f t="shared" ref="BX1:CC1" si="2">SUBSTITUTE(ADDRESS(1,COLUMN(),4),"1","")</f>
        <v>BX</v>
      </c>
      <c r="BY1" s="442" t="str">
        <f t="shared" si="2"/>
        <v>BY</v>
      </c>
      <c r="BZ1" s="442" t="str">
        <f t="shared" si="2"/>
        <v>BZ</v>
      </c>
      <c r="CA1" s="442" t="str">
        <f t="shared" si="2"/>
        <v>CA</v>
      </c>
      <c r="CB1" s="442" t="str">
        <f t="shared" si="2"/>
        <v>CB</v>
      </c>
      <c r="CC1" s="442" t="str">
        <f t="shared" si="2"/>
        <v>CC</v>
      </c>
      <c r="CE1" s="442" t="str">
        <f t="shared" ref="CE1:DA1" si="3">SUBSTITUTE(ADDRESS(1,COLUMN(),4),"1","")</f>
        <v>CE</v>
      </c>
      <c r="CF1" s="442" t="str">
        <f t="shared" si="3"/>
        <v>CF</v>
      </c>
      <c r="CG1" s="442" t="str">
        <f t="shared" si="3"/>
        <v>CG</v>
      </c>
      <c r="CH1" s="442" t="str">
        <f t="shared" si="3"/>
        <v>CH</v>
      </c>
      <c r="CI1" s="442" t="str">
        <f t="shared" si="3"/>
        <v>CI</v>
      </c>
      <c r="CJ1" s="442" t="str">
        <f t="shared" si="3"/>
        <v>CJ</v>
      </c>
      <c r="CK1" s="442" t="str">
        <f t="shared" si="3"/>
        <v>CK</v>
      </c>
      <c r="CM1" s="442" t="str">
        <f t="shared" si="3"/>
        <v>CM</v>
      </c>
      <c r="CN1" s="442" t="str">
        <f t="shared" si="3"/>
        <v>CN</v>
      </c>
      <c r="CO1" s="442" t="str">
        <f t="shared" si="3"/>
        <v>CO</v>
      </c>
      <c r="CP1" s="442" t="str">
        <f t="shared" si="3"/>
        <v>CP</v>
      </c>
      <c r="CQ1" s="442" t="str">
        <f t="shared" si="3"/>
        <v>CQ</v>
      </c>
      <c r="CR1" s="442" t="str">
        <f t="shared" si="3"/>
        <v>CR</v>
      </c>
      <c r="CS1" s="442" t="str">
        <f t="shared" si="3"/>
        <v>CS</v>
      </c>
      <c r="CU1" s="442" t="str">
        <f t="shared" si="3"/>
        <v>CU</v>
      </c>
      <c r="CV1" s="442" t="str">
        <f t="shared" si="3"/>
        <v>CV</v>
      </c>
      <c r="CW1" s="442" t="str">
        <f t="shared" si="3"/>
        <v>CW</v>
      </c>
      <c r="CX1" s="442" t="str">
        <f t="shared" si="3"/>
        <v>CX</v>
      </c>
      <c r="CY1" s="442" t="str">
        <f t="shared" si="3"/>
        <v>CY</v>
      </c>
      <c r="CZ1" s="442" t="str">
        <f t="shared" si="3"/>
        <v>CZ</v>
      </c>
      <c r="DA1" s="442" t="str">
        <f t="shared" si="3"/>
        <v>DA</v>
      </c>
      <c r="DC1" s="5">
        <v>1</v>
      </c>
      <c r="DD1" s="442" t="str">
        <f>SUBSTITUTE(ADDRESS(1,COLUMN(),4),"1","")</f>
        <v>DD</v>
      </c>
      <c r="DE1" s="5497" t="str">
        <f>SUBSTITUTE(ADDRESS(1,COLUMN(),4),"1","")</f>
        <v>DE</v>
      </c>
    </row>
    <row r="2" spans="1:109" ht="23.25" customHeight="1" thickBot="1">
      <c r="B2" s="6186">
        <f t="shared" ref="B2:AD2" ca="1" si="4">INDEX(CELL("largeur",B2),1,1)</f>
        <v>3</v>
      </c>
      <c r="C2" s="6186">
        <f t="shared" ca="1" si="4"/>
        <v>9</v>
      </c>
      <c r="D2" s="6186">
        <f t="shared" ca="1" si="4"/>
        <v>12</v>
      </c>
      <c r="E2" s="6186">
        <f t="shared" ca="1" si="4"/>
        <v>12</v>
      </c>
      <c r="F2" s="6186">
        <f t="shared" ca="1" si="4"/>
        <v>3</v>
      </c>
      <c r="G2" s="6186">
        <f t="shared" ca="1" si="4"/>
        <v>9</v>
      </c>
      <c r="H2" s="6186">
        <f t="shared" ca="1" si="4"/>
        <v>12</v>
      </c>
      <c r="I2" s="6186">
        <f t="shared" ca="1" si="4"/>
        <v>13</v>
      </c>
      <c r="J2" s="6186">
        <f t="shared" ca="1" si="4"/>
        <v>40</v>
      </c>
      <c r="K2" s="6186">
        <f t="shared" ca="1" si="4"/>
        <v>2</v>
      </c>
      <c r="L2" s="6186">
        <f t="shared" ca="1" si="4"/>
        <v>3</v>
      </c>
      <c r="M2" s="6186">
        <f t="shared" ca="1" si="4"/>
        <v>5</v>
      </c>
      <c r="N2" s="6186">
        <f t="shared" ca="1" si="4"/>
        <v>5</v>
      </c>
      <c r="O2" s="6186">
        <f t="shared" ca="1" si="4"/>
        <v>5</v>
      </c>
      <c r="P2" s="6186">
        <f t="shared" ca="1" si="4"/>
        <v>5</v>
      </c>
      <c r="Q2" s="6186">
        <f t="shared" ca="1" si="4"/>
        <v>12</v>
      </c>
      <c r="R2" s="6186">
        <f t="shared" ca="1" si="4"/>
        <v>12</v>
      </c>
      <c r="S2" s="6186">
        <f t="shared" ca="1" si="4"/>
        <v>3</v>
      </c>
      <c r="T2" s="6186">
        <f t="shared" ca="1" si="4"/>
        <v>9</v>
      </c>
      <c r="U2" s="6186">
        <f t="shared" ca="1" si="4"/>
        <v>12</v>
      </c>
      <c r="V2" s="6186">
        <f t="shared" ca="1" si="4"/>
        <v>13</v>
      </c>
      <c r="W2" s="6186">
        <f t="shared" ca="1" si="4"/>
        <v>40</v>
      </c>
      <c r="X2" s="6186">
        <f t="shared" ca="1" si="4"/>
        <v>14</v>
      </c>
      <c r="Y2" s="6186">
        <f t="shared" ca="1" si="4"/>
        <v>10</v>
      </c>
      <c r="Z2" s="6186">
        <f t="shared" ca="1" si="4"/>
        <v>9</v>
      </c>
      <c r="AA2" s="6186">
        <f t="shared" ca="1" si="4"/>
        <v>12</v>
      </c>
      <c r="AB2" s="6186">
        <f t="shared" ca="1" si="4"/>
        <v>9</v>
      </c>
      <c r="AC2" s="6186">
        <f t="shared" ca="1" si="4"/>
        <v>12</v>
      </c>
      <c r="AD2" s="6186">
        <f t="shared" ca="1" si="4"/>
        <v>13</v>
      </c>
      <c r="AE2" s="1715"/>
      <c r="AF2" s="6186">
        <f t="shared" ref="AF2:BE2" ca="1" si="5">INDEX(CELL("largeur",AF2),1,1)</f>
        <v>10</v>
      </c>
      <c r="AG2" s="6186">
        <f t="shared" ca="1" si="5"/>
        <v>21</v>
      </c>
      <c r="AH2" s="6186">
        <f t="shared" ca="1" si="5"/>
        <v>5</v>
      </c>
      <c r="AI2" s="6186">
        <f t="shared" ca="1" si="5"/>
        <v>5</v>
      </c>
      <c r="AJ2" s="6186">
        <f t="shared" ca="1" si="5"/>
        <v>5</v>
      </c>
      <c r="AK2" s="6186">
        <f t="shared" ca="1" si="5"/>
        <v>5</v>
      </c>
      <c r="AL2" s="6186">
        <f t="shared" ca="1" si="5"/>
        <v>11</v>
      </c>
      <c r="AM2" s="6186">
        <f t="shared" ca="1" si="5"/>
        <v>6</v>
      </c>
      <c r="AN2" s="6186">
        <f t="shared" ca="1" si="5"/>
        <v>15</v>
      </c>
      <c r="AO2" s="6186">
        <f t="shared" ca="1" si="5"/>
        <v>12</v>
      </c>
      <c r="AP2" s="6186">
        <f t="shared" ca="1" si="5"/>
        <v>13</v>
      </c>
      <c r="AQ2" s="6186">
        <f t="shared" ca="1" si="5"/>
        <v>11</v>
      </c>
      <c r="AR2" s="6186">
        <f t="shared" ca="1" si="5"/>
        <v>24</v>
      </c>
      <c r="AS2" s="6186">
        <f t="shared" ca="1" si="5"/>
        <v>9</v>
      </c>
      <c r="AT2" s="6186">
        <f t="shared" ca="1" si="5"/>
        <v>9</v>
      </c>
      <c r="AU2" s="6186">
        <f t="shared" ca="1" si="5"/>
        <v>11</v>
      </c>
      <c r="AV2" s="6186">
        <f t="shared" ca="1" si="5"/>
        <v>12</v>
      </c>
      <c r="AW2" s="6186">
        <f t="shared" ca="1" si="5"/>
        <v>32</v>
      </c>
      <c r="AX2" s="6186">
        <f t="shared" ca="1" si="5"/>
        <v>12</v>
      </c>
      <c r="AY2" s="6186">
        <f t="shared" ca="1" si="5"/>
        <v>10</v>
      </c>
      <c r="AZ2" s="6186">
        <f t="shared" ca="1" si="5"/>
        <v>8</v>
      </c>
      <c r="BA2" s="6186">
        <f t="shared" ca="1" si="5"/>
        <v>11</v>
      </c>
      <c r="BB2" s="6186">
        <f t="shared" ca="1" si="5"/>
        <v>17</v>
      </c>
      <c r="BC2" s="6186">
        <f t="shared" ca="1" si="5"/>
        <v>17</v>
      </c>
      <c r="BD2" s="6186">
        <f t="shared" ca="1" si="5"/>
        <v>13</v>
      </c>
      <c r="BE2" s="6186">
        <f t="shared" ca="1" si="5"/>
        <v>44</v>
      </c>
      <c r="BF2" s="1715"/>
      <c r="BG2" s="1301"/>
      <c r="BH2" s="6186">
        <f t="shared" ref="BH2:BQ2" ca="1" si="6">INDEX(CELL("largeur",BH2),1,1)</f>
        <v>15</v>
      </c>
      <c r="BI2" s="6186">
        <f t="shared" ca="1" si="6"/>
        <v>11</v>
      </c>
      <c r="BJ2" s="6186">
        <f t="shared" ca="1" si="6"/>
        <v>14</v>
      </c>
      <c r="BK2" s="6186">
        <f t="shared" ca="1" si="6"/>
        <v>14</v>
      </c>
      <c r="BL2" s="6186">
        <f t="shared" ca="1" si="6"/>
        <v>14</v>
      </c>
      <c r="BM2" s="6186">
        <f t="shared" ca="1" si="6"/>
        <v>11</v>
      </c>
      <c r="BN2" s="6186">
        <f t="shared" ca="1" si="6"/>
        <v>11</v>
      </c>
      <c r="BO2" s="6186">
        <f t="shared" ca="1" si="6"/>
        <v>11</v>
      </c>
      <c r="BP2" s="6186">
        <f t="shared" ca="1" si="6"/>
        <v>20</v>
      </c>
      <c r="BQ2" s="6186">
        <f t="shared" ca="1" si="6"/>
        <v>17</v>
      </c>
      <c r="BX2" s="6186">
        <f t="shared" ref="BX2:CC2" ca="1" si="7">INDEX(CELL("largeur",BX2),1,1)</f>
        <v>11</v>
      </c>
      <c r="BY2" s="6186">
        <f t="shared" ca="1" si="7"/>
        <v>16</v>
      </c>
      <c r="BZ2" s="6186">
        <f t="shared" ca="1" si="7"/>
        <v>16</v>
      </c>
      <c r="CA2" s="6186">
        <f t="shared" ca="1" si="7"/>
        <v>11</v>
      </c>
      <c r="CB2" s="6186">
        <f t="shared" ca="1" si="7"/>
        <v>40</v>
      </c>
      <c r="CC2" s="6186">
        <f t="shared" ca="1" si="7"/>
        <v>11</v>
      </c>
      <c r="CE2" s="6186">
        <f t="shared" ref="CE2:CK2" ca="1" si="8">INDEX(CELL("largeur",CE2),1,1)</f>
        <v>19</v>
      </c>
      <c r="CF2" s="6186">
        <f t="shared" ca="1" si="8"/>
        <v>18</v>
      </c>
      <c r="CG2" s="6186">
        <f t="shared" ca="1" si="8"/>
        <v>10</v>
      </c>
      <c r="CH2" s="6186">
        <f t="shared" ca="1" si="8"/>
        <v>16</v>
      </c>
      <c r="CI2" s="6186">
        <f t="shared" ca="1" si="8"/>
        <v>16</v>
      </c>
      <c r="CJ2" s="6186">
        <f t="shared" ca="1" si="8"/>
        <v>11</v>
      </c>
      <c r="CK2" s="6186">
        <f t="shared" ca="1" si="8"/>
        <v>40</v>
      </c>
      <c r="CM2" s="6186">
        <f t="shared" ref="CM2:CS2" ca="1" si="9">INDEX(CELL("largeur",CM2),1,1)</f>
        <v>19</v>
      </c>
      <c r="CN2" s="6186">
        <f t="shared" ca="1" si="9"/>
        <v>18</v>
      </c>
      <c r="CO2" s="6186">
        <f t="shared" ca="1" si="9"/>
        <v>10</v>
      </c>
      <c r="CP2" s="6186">
        <f t="shared" ca="1" si="9"/>
        <v>16</v>
      </c>
      <c r="CQ2" s="6186">
        <f t="shared" ca="1" si="9"/>
        <v>16</v>
      </c>
      <c r="CR2" s="6186">
        <f t="shared" ca="1" si="9"/>
        <v>11</v>
      </c>
      <c r="CS2" s="6186">
        <f t="shared" ca="1" si="9"/>
        <v>40</v>
      </c>
      <c r="CU2" s="6186">
        <f t="shared" ref="CU2:DA2" ca="1" si="10">INDEX(CELL("largeur",CU2),1,1)</f>
        <v>19</v>
      </c>
      <c r="CV2" s="6186">
        <f t="shared" ca="1" si="10"/>
        <v>18</v>
      </c>
      <c r="CW2" s="6186">
        <f t="shared" ca="1" si="10"/>
        <v>10</v>
      </c>
      <c r="CX2" s="6186">
        <f t="shared" ca="1" si="10"/>
        <v>16</v>
      </c>
      <c r="CY2" s="6186">
        <f t="shared" ca="1" si="10"/>
        <v>16</v>
      </c>
      <c r="CZ2" s="6186">
        <f t="shared" ca="1" si="10"/>
        <v>11</v>
      </c>
      <c r="DA2" s="6186">
        <f t="shared" ca="1" si="10"/>
        <v>40</v>
      </c>
      <c r="DC2" s="5">
        <v>1</v>
      </c>
      <c r="DD2" s="6323" t="s">
        <v>8850</v>
      </c>
      <c r="DE2" s="440"/>
    </row>
    <row r="3" spans="1:109" s="1301" customFormat="1" ht="23.25" customHeight="1">
      <c r="A3" s="5641" t="s">
        <v>1</v>
      </c>
      <c r="B3" s="6228"/>
      <c r="C3" s="6228" t="s">
        <v>8838</v>
      </c>
      <c r="D3" s="6228"/>
      <c r="E3" s="6228"/>
      <c r="F3" s="6228"/>
      <c r="G3" s="6228"/>
      <c r="H3" s="6228"/>
      <c r="I3" s="6228"/>
      <c r="J3" s="6228"/>
      <c r="K3" s="6228"/>
      <c r="L3" s="5651" t="s">
        <v>255</v>
      </c>
      <c r="M3" s="5651" t="s">
        <v>10688</v>
      </c>
      <c r="N3" s="5651"/>
      <c r="O3" s="372"/>
      <c r="P3" s="372"/>
      <c r="Q3" s="372"/>
      <c r="R3" s="372"/>
      <c r="S3" s="372"/>
      <c r="T3" s="372"/>
      <c r="U3" s="372"/>
      <c r="V3" s="372"/>
      <c r="W3" s="372"/>
      <c r="X3" s="372"/>
      <c r="Y3" s="372"/>
      <c r="Z3" s="372"/>
      <c r="AA3" s="372"/>
      <c r="AB3" s="372"/>
      <c r="AC3" s="372"/>
      <c r="AD3" s="5651" t="s">
        <v>255</v>
      </c>
      <c r="AE3" s="1715"/>
      <c r="AG3" s="6861" t="s">
        <v>11018</v>
      </c>
      <c r="AH3" s="6246" t="s">
        <v>11019</v>
      </c>
      <c r="AI3" s="6246"/>
      <c r="AJ3" s="6246"/>
      <c r="AK3" s="6246"/>
      <c r="AL3" s="5651"/>
      <c r="AM3" s="5651"/>
      <c r="AN3" s="5651"/>
      <c r="AO3" s="5651"/>
      <c r="AP3" s="5651" t="s">
        <v>255</v>
      </c>
      <c r="AQ3" s="6320" t="s">
        <v>8848</v>
      </c>
      <c r="AR3" s="1715"/>
      <c r="AS3" s="1715"/>
      <c r="AT3" s="1715"/>
      <c r="AU3" s="1715"/>
      <c r="AV3" s="1715"/>
      <c r="AW3" s="1715"/>
      <c r="AX3" s="1715"/>
      <c r="AY3" s="1715"/>
      <c r="AZ3" s="7032" t="s">
        <v>10689</v>
      </c>
      <c r="BA3" s="7032"/>
      <c r="BB3" s="7032"/>
      <c r="BC3" s="7032"/>
      <c r="BD3" s="7032"/>
      <c r="BE3" s="7032"/>
      <c r="BF3" s="1715"/>
      <c r="BH3"/>
      <c r="BM3" s="2"/>
      <c r="BN3" s="2"/>
      <c r="BO3" s="2"/>
      <c r="BP3" s="2"/>
      <c r="BQ3" s="4"/>
      <c r="BR3"/>
      <c r="BS3"/>
      <c r="BT3"/>
      <c r="BU3"/>
      <c r="BV3"/>
      <c r="BW3"/>
      <c r="BX3" s="4"/>
      <c r="BY3" s="4"/>
      <c r="BZ3" s="4"/>
      <c r="CA3" s="4"/>
      <c r="CB3" s="4"/>
      <c r="CC3" s="4"/>
      <c r="CD3" s="4"/>
      <c r="CE3"/>
      <c r="CF3"/>
      <c r="CG3"/>
      <c r="CH3"/>
      <c r="CI3"/>
      <c r="CJ3"/>
      <c r="CK3"/>
      <c r="CL3"/>
      <c r="CN3"/>
      <c r="CO3"/>
      <c r="CP3"/>
      <c r="CQ3"/>
      <c r="CR3"/>
      <c r="CS3"/>
      <c r="CT3" s="4"/>
      <c r="CU3"/>
      <c r="CV3"/>
      <c r="CW3"/>
      <c r="CX3" s="5648" t="s">
        <v>3064</v>
      </c>
      <c r="CY3" s="5649" t="str">
        <f>$DC$551</f>
        <v>DC551</v>
      </c>
      <c r="CZ3"/>
      <c r="DA3" s="5650" t="str">
        <f ca="1">"Page "&amp;_xlfn.SHEET()&amp;" sur "&amp;_xlfn.SHEETS()</f>
        <v>Page 4 sur 28</v>
      </c>
      <c r="DB3" s="4"/>
      <c r="DC3" s="5">
        <v>1</v>
      </c>
      <c r="DD3" s="430">
        <f ca="1">COUNTA(A1:DC551) + COUNTBLANK(A1:DC551)</f>
        <v>63943</v>
      </c>
      <c r="DE3" s="6324" t="str">
        <f>"cellules entre -cells -celdas  "&amp;" " &amp;A1&amp;" et  "&amp;DC551</f>
        <v>cellules entre -cells -celdas   A1 et  DC551</v>
      </c>
    </row>
    <row r="4" spans="1:109" ht="24.75" customHeight="1" thickBot="1">
      <c r="A4" s="5641" t="s">
        <v>1</v>
      </c>
      <c r="B4" s="5654" t="str">
        <f>SUBSTITUTE(ADDRESS(1,COLUMN(),4),"1","")</f>
        <v>B</v>
      </c>
      <c r="C4" s="6318" t="s">
        <v>8839</v>
      </c>
      <c r="D4" s="5655"/>
      <c r="E4" s="5655"/>
      <c r="F4" s="5655"/>
      <c r="G4" s="5655"/>
      <c r="H4" s="5655"/>
      <c r="I4" s="5655"/>
      <c r="J4" s="5655"/>
      <c r="K4" s="5655"/>
      <c r="L4" s="5655"/>
      <c r="M4" s="5655"/>
      <c r="N4" s="5655"/>
      <c r="O4" s="5655"/>
      <c r="P4" s="5655"/>
      <c r="Q4" s="5655"/>
      <c r="R4" s="5655"/>
      <c r="S4" s="5655"/>
      <c r="T4" s="6318" t="s">
        <v>10690</v>
      </c>
      <c r="U4" s="5655"/>
      <c r="V4" s="5655"/>
      <c r="W4" s="5655"/>
      <c r="X4" s="5655"/>
      <c r="Y4" s="5655"/>
      <c r="Z4" s="5655"/>
      <c r="AA4" s="5655"/>
      <c r="AB4" s="5655"/>
      <c r="AC4" s="5655"/>
      <c r="AD4" s="5655"/>
      <c r="AE4" s="106"/>
      <c r="AF4" s="5646"/>
      <c r="AG4" s="5646"/>
      <c r="AH4" s="5646"/>
      <c r="AI4" s="5646"/>
      <c r="AJ4" s="5646"/>
      <c r="AK4" s="5646"/>
      <c r="AL4" s="5656"/>
      <c r="AM4" s="5656"/>
      <c r="AN4" s="5656"/>
      <c r="AP4" s="6321" t="s">
        <v>11017</v>
      </c>
      <c r="AQ4" s="5656" t="s">
        <v>8445</v>
      </c>
      <c r="AR4" s="106"/>
      <c r="AS4" s="106"/>
      <c r="AT4" s="106"/>
      <c r="AU4" s="106"/>
      <c r="AV4" s="106"/>
      <c r="AW4" s="106"/>
      <c r="AX4" s="106"/>
      <c r="AY4" s="106"/>
      <c r="AZ4" s="7033"/>
      <c r="BA4" s="7033"/>
      <c r="BB4" s="7033"/>
      <c r="BC4" s="7033"/>
      <c r="BD4" s="7033"/>
      <c r="BE4" s="7033"/>
      <c r="BF4" s="106"/>
      <c r="BH4"/>
      <c r="BI4" s="4"/>
      <c r="BP4" s="4"/>
      <c r="BX4" s="4"/>
      <c r="BY4" s="4"/>
      <c r="BZ4" s="4"/>
      <c r="CA4" s="6224" t="s">
        <v>8682</v>
      </c>
      <c r="CB4" s="4"/>
      <c r="CL4" s="1301"/>
      <c r="CT4" s="1301"/>
      <c r="CX4" s="1738" t="s">
        <v>8855</v>
      </c>
      <c r="DB4" s="1301"/>
      <c r="DC4" s="5">
        <v>1</v>
      </c>
      <c r="DD4" s="430">
        <f ca="1">COUNTA(A1:DC551)</f>
        <v>19482</v>
      </c>
      <c r="DE4" s="6324" t="s">
        <v>8851</v>
      </c>
    </row>
    <row r="5" spans="1:109" ht="21" customHeight="1">
      <c r="A5" s="5641" t="s">
        <v>1</v>
      </c>
      <c r="B5" s="5662" t="str">
        <f t="shared" ref="B5:B68" si="11">L5</f>
        <v>A</v>
      </c>
      <c r="C5" s="7034" t="s">
        <v>10678</v>
      </c>
      <c r="D5" s="7035"/>
      <c r="E5" s="7035"/>
      <c r="F5" s="7035"/>
      <c r="G5" s="7035"/>
      <c r="H5" s="7035"/>
      <c r="I5" s="7035"/>
      <c r="J5" s="7035"/>
      <c r="K5" s="106" t="s">
        <v>1</v>
      </c>
      <c r="L5" s="5666" t="s">
        <v>21</v>
      </c>
      <c r="M5" s="5682" t="s">
        <v>8344</v>
      </c>
      <c r="N5" s="5676"/>
      <c r="O5" s="5676"/>
      <c r="P5" s="5676"/>
      <c r="Q5" s="5677"/>
      <c r="R5" s="5677"/>
      <c r="S5" s="5677"/>
      <c r="T5" s="5677"/>
      <c r="U5" s="5677"/>
      <c r="V5" s="5677"/>
      <c r="W5" s="5677"/>
      <c r="X5" s="5677"/>
      <c r="Y5" s="5677"/>
      <c r="Z5" s="5677"/>
      <c r="AA5" s="5677"/>
      <c r="AB5" s="5677"/>
      <c r="AC5" s="6822"/>
      <c r="AD5" s="6823" t="s">
        <v>10691</v>
      </c>
      <c r="AE5" s="4" t="s">
        <v>1</v>
      </c>
      <c r="AF5" s="6238" t="s">
        <v>21</v>
      </c>
      <c r="AG5" s="6239" t="s">
        <v>8446</v>
      </c>
      <c r="AH5" s="6239"/>
      <c r="AI5" s="6239"/>
      <c r="AJ5" s="6239"/>
      <c r="AK5" s="6239"/>
      <c r="AL5" s="7038" t="s">
        <v>8689</v>
      </c>
      <c r="AM5" s="7040" t="s">
        <v>11036</v>
      </c>
      <c r="AN5" s="7040"/>
      <c r="AO5" s="7040"/>
      <c r="AP5" s="7040"/>
      <c r="AQ5" s="7040"/>
      <c r="AR5" s="7040"/>
      <c r="AS5" s="7040"/>
      <c r="AT5" s="7040"/>
      <c r="AU5" s="7040"/>
      <c r="AV5" s="7040"/>
      <c r="AW5" s="7040"/>
      <c r="AX5" s="7040"/>
      <c r="AY5" s="7040"/>
      <c r="AZ5" s="7041"/>
      <c r="BA5" s="7041"/>
      <c r="BB5" s="7042" t="s">
        <v>10010</v>
      </c>
      <c r="BC5" s="7042"/>
      <c r="BD5" s="7043" t="str">
        <f>LEFT(AM5,1)</f>
        <v>S</v>
      </c>
      <c r="BE5" s="7044">
        <v>8</v>
      </c>
      <c r="BF5" s="4"/>
      <c r="BH5"/>
      <c r="BI5" s="4"/>
      <c r="BP5" s="4"/>
      <c r="BX5" s="6238" t="str">
        <f t="shared" ref="BX5:BX68" si="12">AF5</f>
        <v>A</v>
      </c>
      <c r="BY5" s="6239" t="s">
        <v>8446</v>
      </c>
      <c r="BZ5" s="5659"/>
      <c r="CA5" s="5659">
        <f>BE6</f>
        <v>0</v>
      </c>
      <c r="CB5" s="5660"/>
      <c r="CC5" s="5660"/>
      <c r="CD5" s="5661"/>
      <c r="CE5" s="7015" t="s">
        <v>8830</v>
      </c>
      <c r="CF5" s="7016"/>
      <c r="CG5" s="7016"/>
      <c r="CH5" s="7016"/>
      <c r="CI5" s="7016"/>
      <c r="CJ5" s="7016"/>
      <c r="CK5" s="7017"/>
      <c r="CM5" s="7015" t="s">
        <v>8829</v>
      </c>
      <c r="CN5" s="7016"/>
      <c r="CO5" s="7016"/>
      <c r="CP5" s="7016"/>
      <c r="CQ5" s="7016"/>
      <c r="CR5" s="7016"/>
      <c r="CS5" s="7017"/>
      <c r="CU5" s="7015" t="s">
        <v>8828</v>
      </c>
      <c r="CV5" s="7016"/>
      <c r="CW5" s="7016"/>
      <c r="CX5" s="7016"/>
      <c r="CY5" s="7016"/>
      <c r="CZ5" s="7016"/>
      <c r="DA5" s="7017"/>
      <c r="DC5" s="5">
        <v>1</v>
      </c>
      <c r="DD5" s="430">
        <f ca="1">COUNTBLANK(A1:DC551)</f>
        <v>44461</v>
      </c>
      <c r="DE5" s="6324" t="s">
        <v>8852</v>
      </c>
    </row>
    <row r="6" spans="1:109" ht="21" customHeight="1">
      <c r="A6" s="5641" t="s">
        <v>1</v>
      </c>
      <c r="B6" s="5662" t="str">
        <f t="shared" si="11"/>
        <v>A</v>
      </c>
      <c r="C6" s="7036"/>
      <c r="D6" s="7037"/>
      <c r="E6" s="7037"/>
      <c r="F6" s="7037"/>
      <c r="G6" s="7037"/>
      <c r="H6" s="7037"/>
      <c r="I6" s="7037"/>
      <c r="J6" s="7037"/>
      <c r="K6" s="106" t="s">
        <v>1</v>
      </c>
      <c r="L6" s="5666" t="s">
        <v>21</v>
      </c>
      <c r="M6" s="5682" t="s">
        <v>8468</v>
      </c>
      <c r="N6" s="5676"/>
      <c r="O6" s="5676"/>
      <c r="P6" s="5676"/>
      <c r="Q6" s="5181"/>
      <c r="R6" s="5181"/>
      <c r="S6" s="5181"/>
      <c r="T6" s="5181"/>
      <c r="U6" s="5181"/>
      <c r="V6" s="5181"/>
      <c r="W6" s="5181"/>
      <c r="X6" s="5181"/>
      <c r="Y6" s="5181"/>
      <c r="Z6" s="5181"/>
      <c r="AA6" s="5181"/>
      <c r="AB6" s="5181"/>
      <c r="AC6" s="5181"/>
      <c r="AD6" s="6824" t="s">
        <v>10692</v>
      </c>
      <c r="AE6" s="4" t="s">
        <v>1</v>
      </c>
      <c r="AF6" s="6232" t="s">
        <v>21</v>
      </c>
      <c r="AG6" s="6322" t="s">
        <v>8849</v>
      </c>
      <c r="AH6" s="6322"/>
      <c r="AI6" s="6322"/>
      <c r="AJ6" s="6322"/>
      <c r="AK6" s="6322"/>
      <c r="AL6" s="7039"/>
      <c r="AM6" s="7041"/>
      <c r="AN6" s="7041"/>
      <c r="AO6" s="7041"/>
      <c r="AP6" s="7041"/>
      <c r="AQ6" s="7041"/>
      <c r="AR6" s="7041"/>
      <c r="AS6" s="7041"/>
      <c r="AT6" s="7041"/>
      <c r="AU6" s="7041"/>
      <c r="AV6" s="7041"/>
      <c r="AW6" s="7041"/>
      <c r="AX6" s="7041"/>
      <c r="AY6" s="7041"/>
      <c r="AZ6" s="7041"/>
      <c r="BA6" s="7041"/>
      <c r="BB6" s="7042"/>
      <c r="BC6" s="7042"/>
      <c r="BD6" s="7043"/>
      <c r="BE6" s="7044"/>
      <c r="BF6" s="4"/>
      <c r="BH6"/>
      <c r="BI6" s="4"/>
      <c r="BJ6" s="4"/>
      <c r="BK6" s="4"/>
      <c r="BL6" s="4"/>
      <c r="BM6" s="4"/>
      <c r="BN6" s="4"/>
      <c r="BO6" s="4"/>
      <c r="BP6" s="4"/>
      <c r="BR6" s="4"/>
      <c r="BS6" s="4"/>
      <c r="BT6" s="4"/>
      <c r="BU6" s="4"/>
      <c r="BV6" s="4"/>
      <c r="BW6" s="4"/>
      <c r="BX6" s="20" t="str">
        <f t="shared" si="12"/>
        <v>A</v>
      </c>
      <c r="BY6" s="7024" t="s">
        <v>8666</v>
      </c>
      <c r="BZ6" s="7024"/>
      <c r="CA6" s="7024"/>
      <c r="CB6" s="7024"/>
      <c r="CC6" s="7024"/>
      <c r="CD6" s="5661"/>
      <c r="CE6" s="7018"/>
      <c r="CF6" s="7019"/>
      <c r="CG6" s="7019"/>
      <c r="CH6" s="7019"/>
      <c r="CI6" s="7019"/>
      <c r="CJ6" s="7019"/>
      <c r="CK6" s="7020"/>
      <c r="CM6" s="7018"/>
      <c r="CN6" s="7019"/>
      <c r="CO6" s="7019"/>
      <c r="CP6" s="7019"/>
      <c r="CQ6" s="7019"/>
      <c r="CR6" s="7019"/>
      <c r="CS6" s="7020"/>
      <c r="CU6" s="7018"/>
      <c r="CV6" s="7019"/>
      <c r="CW6" s="7019"/>
      <c r="CX6" s="7019"/>
      <c r="CY6" s="7019"/>
      <c r="CZ6" s="7019"/>
      <c r="DA6" s="7020"/>
      <c r="DC6" s="5">
        <v>1</v>
      </c>
      <c r="DD6" s="430">
        <f>SUM(A551:DC551)+2</f>
        <v>107</v>
      </c>
      <c r="DE6" s="6324" t="s">
        <v>8853</v>
      </c>
    </row>
    <row r="7" spans="1:109" ht="21" customHeight="1" thickBot="1">
      <c r="A7" s="5641" t="s">
        <v>1</v>
      </c>
      <c r="B7" s="5662" t="str">
        <f t="shared" si="11"/>
        <v>A</v>
      </c>
      <c r="C7" s="7025" t="s">
        <v>10679</v>
      </c>
      <c r="D7" s="7026"/>
      <c r="E7" s="7026"/>
      <c r="F7" s="7026"/>
      <c r="G7" s="7026"/>
      <c r="H7" s="7026"/>
      <c r="I7" s="7026"/>
      <c r="J7" s="7026"/>
      <c r="K7" s="106" t="s">
        <v>1</v>
      </c>
      <c r="L7" s="5666" t="s">
        <v>21</v>
      </c>
      <c r="M7" s="6319" t="s">
        <v>8840</v>
      </c>
      <c r="N7" s="5700"/>
      <c r="O7" s="5700"/>
      <c r="P7" s="5700"/>
      <c r="Q7" s="5700"/>
      <c r="R7" s="5700"/>
      <c r="S7" s="5700"/>
      <c r="T7" s="5700"/>
      <c r="U7" s="5700"/>
      <c r="V7" s="5700"/>
      <c r="W7" s="5700"/>
      <c r="X7" s="5700"/>
      <c r="Y7" s="5700"/>
      <c r="Z7" s="5700"/>
      <c r="AA7" s="5700"/>
      <c r="AB7" s="5700"/>
      <c r="AC7" s="5700"/>
      <c r="AD7" s="6825"/>
      <c r="AE7" s="4" t="s">
        <v>1</v>
      </c>
      <c r="AF7" s="6232" t="s">
        <v>21</v>
      </c>
      <c r="AG7" s="6233"/>
      <c r="AH7" s="6233"/>
      <c r="AI7" s="6233"/>
      <c r="AJ7" s="6233"/>
      <c r="AK7" s="6233"/>
      <c r="AL7" s="7027" t="s">
        <v>8690</v>
      </c>
      <c r="AM7" s="7028" t="s">
        <v>10033</v>
      </c>
      <c r="AN7" s="7028"/>
      <c r="AO7" s="7028"/>
      <c r="AP7" s="7028"/>
      <c r="AQ7" s="7028"/>
      <c r="AR7" s="7028"/>
      <c r="AS7" s="7028"/>
      <c r="AT7" s="7028"/>
      <c r="AU7" s="7028"/>
      <c r="AV7" s="7028"/>
      <c r="AW7" s="7028"/>
      <c r="AX7" s="7028"/>
      <c r="AY7" s="7028"/>
      <c r="AZ7" s="7028"/>
      <c r="BA7" s="7028"/>
      <c r="BB7" s="7029" t="s">
        <v>8452</v>
      </c>
      <c r="BC7" s="7029"/>
      <c r="BD7" s="7030" t="s">
        <v>8453</v>
      </c>
      <c r="BE7" s="7044"/>
      <c r="BF7" s="4"/>
      <c r="BH7"/>
      <c r="BI7" s="4"/>
      <c r="BJ7" s="4"/>
      <c r="BK7" s="4"/>
      <c r="BL7" s="4"/>
      <c r="BM7" s="4"/>
      <c r="BN7" s="4"/>
      <c r="BO7" s="4"/>
      <c r="BP7" s="4"/>
      <c r="BR7" s="4"/>
      <c r="BS7" s="4"/>
      <c r="BT7" s="4"/>
      <c r="BU7" s="4"/>
      <c r="BV7" s="4"/>
      <c r="BW7" s="4"/>
      <c r="BX7" s="20" t="str">
        <f t="shared" si="12"/>
        <v>A</v>
      </c>
      <c r="BY7" s="7024"/>
      <c r="BZ7" s="7024"/>
      <c r="CA7" s="7024"/>
      <c r="CB7" s="7024"/>
      <c r="CC7" s="7024"/>
      <c r="CD7" s="5661"/>
      <c r="CE7" s="7021"/>
      <c r="CF7" s="7022"/>
      <c r="CG7" s="7022"/>
      <c r="CH7" s="7022"/>
      <c r="CI7" s="7022"/>
      <c r="CJ7" s="7022"/>
      <c r="CK7" s="7023"/>
      <c r="CM7" s="7021"/>
      <c r="CN7" s="7022"/>
      <c r="CO7" s="7022"/>
      <c r="CP7" s="7022"/>
      <c r="CQ7" s="7022"/>
      <c r="CR7" s="7022"/>
      <c r="CS7" s="7023"/>
      <c r="CU7" s="7021"/>
      <c r="CV7" s="7022"/>
      <c r="CW7" s="7022"/>
      <c r="CX7" s="7022"/>
      <c r="CY7" s="7022"/>
      <c r="CZ7" s="7022"/>
      <c r="DA7" s="7023"/>
      <c r="DC7" s="5">
        <v>1</v>
      </c>
      <c r="DD7" s="430">
        <f>SUM(A551:DC551)+1</f>
        <v>106</v>
      </c>
      <c r="DE7" s="6324" t="s">
        <v>8854</v>
      </c>
    </row>
    <row r="8" spans="1:109" ht="21" customHeight="1" thickTop="1">
      <c r="A8" s="5641" t="s">
        <v>1</v>
      </c>
      <c r="B8" s="5662" t="str">
        <f t="shared" si="11"/>
        <v>A</v>
      </c>
      <c r="C8" s="6695"/>
      <c r="D8" s="7031" t="s">
        <v>8455</v>
      </c>
      <c r="E8" s="7031"/>
      <c r="F8" s="7031"/>
      <c r="G8" s="7031"/>
      <c r="H8" s="7031"/>
      <c r="I8" s="7031"/>
      <c r="J8" s="7031"/>
      <c r="K8" s="106" t="s">
        <v>1</v>
      </c>
      <c r="L8" s="5666" t="s">
        <v>21</v>
      </c>
      <c r="M8" s="6319" t="s">
        <v>8841</v>
      </c>
      <c r="N8" s="5700"/>
      <c r="O8" s="5700"/>
      <c r="P8" s="5700"/>
      <c r="Q8" s="5700"/>
      <c r="R8" s="5700"/>
      <c r="S8" s="5700"/>
      <c r="T8" s="5700"/>
      <c r="U8" s="5700"/>
      <c r="V8" s="5700"/>
      <c r="W8" s="5700"/>
      <c r="X8" s="5700"/>
      <c r="Y8" s="5700"/>
      <c r="Z8" s="5700"/>
      <c r="AA8" s="5700"/>
      <c r="AB8" s="5700"/>
      <c r="AC8" s="5700"/>
      <c r="AD8" s="6825"/>
      <c r="AE8" s="4" t="s">
        <v>1</v>
      </c>
      <c r="AF8" s="6232" t="s">
        <v>21</v>
      </c>
      <c r="AG8" s="6233"/>
      <c r="AH8" s="6233"/>
      <c r="AI8" s="6233"/>
      <c r="AJ8" s="6233"/>
      <c r="AK8" s="6233"/>
      <c r="AL8" s="7027"/>
      <c r="AM8" s="7028"/>
      <c r="AN8" s="7028"/>
      <c r="AO8" s="7028"/>
      <c r="AP8" s="7028"/>
      <c r="AQ8" s="7028"/>
      <c r="AR8" s="7028"/>
      <c r="AS8" s="7028"/>
      <c r="AT8" s="7028"/>
      <c r="AU8" s="7028"/>
      <c r="AV8" s="7028"/>
      <c r="AW8" s="7028"/>
      <c r="AX8" s="7028"/>
      <c r="AY8" s="7028"/>
      <c r="AZ8" s="7028"/>
      <c r="BA8" s="7028"/>
      <c r="BB8" s="7029"/>
      <c r="BC8" s="7029"/>
      <c r="BD8" s="7030"/>
      <c r="BE8" s="7045"/>
      <c r="BF8" s="4"/>
      <c r="BH8"/>
      <c r="BI8" s="4"/>
      <c r="BJ8" s="4"/>
      <c r="BK8" s="4"/>
      <c r="BL8" s="4"/>
      <c r="BM8" s="4"/>
      <c r="BN8" s="4"/>
      <c r="BO8" s="4"/>
      <c r="BP8" s="4"/>
      <c r="BR8" s="4"/>
      <c r="BS8" s="4"/>
      <c r="BT8" s="4"/>
      <c r="BU8" s="4"/>
      <c r="BV8" s="4"/>
      <c r="BW8" s="4"/>
      <c r="BX8" s="20" t="str">
        <f t="shared" si="12"/>
        <v>A</v>
      </c>
      <c r="BY8" s="5671" t="s">
        <v>8667</v>
      </c>
      <c r="BZ8" s="5671"/>
      <c r="CA8" s="228"/>
      <c r="CB8" s="227"/>
      <c r="CC8" s="227"/>
      <c r="CD8" s="5661"/>
      <c r="CE8" s="7003"/>
      <c r="CF8" s="7004"/>
      <c r="CG8" s="7004"/>
      <c r="CH8" s="7004"/>
      <c r="CI8" s="7004"/>
      <c r="CJ8" s="7004"/>
      <c r="CK8" s="7005"/>
      <c r="CM8" s="7003"/>
      <c r="CN8" s="7004"/>
      <c r="CO8" s="7004"/>
      <c r="CP8" s="7004"/>
      <c r="CQ8" s="7004"/>
      <c r="CR8" s="7004"/>
      <c r="CS8" s="7005"/>
      <c r="CU8" s="7003"/>
      <c r="CV8" s="7004"/>
      <c r="CW8" s="7004"/>
      <c r="CX8" s="7004"/>
      <c r="CY8" s="7004"/>
      <c r="CZ8" s="7004"/>
      <c r="DA8" s="7005"/>
      <c r="DC8" s="5">
        <v>1</v>
      </c>
    </row>
    <row r="9" spans="1:109" s="1" customFormat="1" ht="21" customHeight="1">
      <c r="A9" s="5641" t="s">
        <v>1</v>
      </c>
      <c r="B9" s="5662" t="str">
        <f t="shared" si="11"/>
        <v>►</v>
      </c>
      <c r="C9" s="6696"/>
      <c r="D9" s="5181"/>
      <c r="E9" s="5181"/>
      <c r="F9" s="5181"/>
      <c r="G9" s="5181"/>
      <c r="H9" s="5181"/>
      <c r="I9" s="5181"/>
      <c r="J9" s="5181"/>
      <c r="K9" s="106" t="s">
        <v>1</v>
      </c>
      <c r="L9" s="5666" t="s">
        <v>26</v>
      </c>
      <c r="M9" s="5801"/>
      <c r="N9" s="5802" t="s">
        <v>10693</v>
      </c>
      <c r="O9" s="5801"/>
      <c r="P9" s="5801"/>
      <c r="Q9" s="5802"/>
      <c r="R9" s="5803"/>
      <c r="S9" s="5803"/>
      <c r="T9" s="5803"/>
      <c r="U9" s="5803"/>
      <c r="V9" s="5803"/>
      <c r="W9" s="5803" t="s">
        <v>10694</v>
      </c>
      <c r="X9" s="5803"/>
      <c r="Y9" s="5803"/>
      <c r="Z9" s="5803"/>
      <c r="AA9" s="5803"/>
      <c r="AB9" s="5803"/>
      <c r="AC9" s="5803"/>
      <c r="AD9" s="6826"/>
      <c r="AE9" s="4" t="s">
        <v>1</v>
      </c>
      <c r="AF9" s="6232" t="s">
        <v>21</v>
      </c>
      <c r="AG9" s="6235"/>
      <c r="AH9" s="6235"/>
      <c r="AI9" s="6235"/>
      <c r="AJ9" s="6235"/>
      <c r="AK9" s="6235"/>
      <c r="AL9" s="6235"/>
      <c r="AM9" s="5803"/>
      <c r="AN9" s="5803"/>
      <c r="AO9" s="5803"/>
      <c r="AP9" s="7006" t="s">
        <v>8692</v>
      </c>
      <c r="AQ9" s="7006"/>
      <c r="AR9" s="7006"/>
      <c r="AS9" s="7007">
        <v>20</v>
      </c>
      <c r="AT9" s="7008" t="s">
        <v>3367</v>
      </c>
      <c r="AU9" s="7008"/>
      <c r="AV9" s="6276" t="s">
        <v>897</v>
      </c>
      <c r="AW9" s="5801"/>
      <c r="AX9" s="5801"/>
      <c r="AY9" s="5801"/>
      <c r="AZ9" s="5712"/>
      <c r="BA9" s="5712"/>
      <c r="BB9" s="5712"/>
      <c r="BC9" s="6276" t="s">
        <v>10003</v>
      </c>
      <c r="BD9" s="6276"/>
      <c r="BE9" s="6298"/>
      <c r="BF9" s="4"/>
      <c r="BG9" s="4"/>
      <c r="BH9"/>
      <c r="BI9" s="4"/>
      <c r="BJ9" s="4"/>
      <c r="BK9" s="4"/>
      <c r="BL9" s="4"/>
      <c r="BM9" s="4"/>
      <c r="BN9" s="4"/>
      <c r="BO9" s="4"/>
      <c r="BP9" s="4"/>
      <c r="BQ9" s="4"/>
      <c r="BR9" s="4"/>
      <c r="BS9" s="4"/>
      <c r="BT9" s="4"/>
      <c r="BU9" s="4"/>
      <c r="BV9" s="4"/>
      <c r="BW9" s="4"/>
      <c r="BX9" s="20" t="str">
        <f t="shared" si="12"/>
        <v>A</v>
      </c>
      <c r="BY9" s="5671" t="s">
        <v>8668</v>
      </c>
      <c r="BZ9" s="228"/>
      <c r="CA9" s="228"/>
      <c r="CB9" s="227"/>
      <c r="CC9" s="227"/>
      <c r="CD9" s="5661"/>
      <c r="CE9" s="7009" t="s">
        <v>8694</v>
      </c>
      <c r="CF9" s="7010"/>
      <c r="CG9" s="7010"/>
      <c r="CH9" s="7010"/>
      <c r="CI9" s="7010"/>
      <c r="CJ9" s="7010"/>
      <c r="CK9" s="7011"/>
      <c r="CL9" s="4"/>
      <c r="CM9" s="7009" t="s">
        <v>8803</v>
      </c>
      <c r="CN9" s="7010"/>
      <c r="CO9" s="7010"/>
      <c r="CP9" s="7010"/>
      <c r="CQ9" s="7010"/>
      <c r="CR9" s="7010"/>
      <c r="CS9" s="7011"/>
      <c r="CT9" s="4"/>
      <c r="CU9" s="7009" t="s">
        <v>8814</v>
      </c>
      <c r="CV9" s="7010"/>
      <c r="CW9" s="7010"/>
      <c r="CX9" s="7010"/>
      <c r="CY9" s="7010"/>
      <c r="CZ9" s="7010"/>
      <c r="DA9" s="7011"/>
      <c r="DB9" s="4"/>
      <c r="DC9" s="5">
        <v>1</v>
      </c>
    </row>
    <row r="10" spans="1:109" s="1" customFormat="1" ht="21" customHeight="1" thickBot="1">
      <c r="A10" s="5641" t="s">
        <v>1</v>
      </c>
      <c r="B10" s="5662" t="str">
        <f t="shared" si="11"/>
        <v>►</v>
      </c>
      <c r="C10" s="5809">
        <f t="shared" ref="C10:J10" ca="1" si="13">CELL("largeur",C10)</f>
        <v>9</v>
      </c>
      <c r="D10" s="1288">
        <f t="shared" ca="1" si="13"/>
        <v>12</v>
      </c>
      <c r="E10" s="1288">
        <f t="shared" ca="1" si="13"/>
        <v>12</v>
      </c>
      <c r="F10" s="1288">
        <f t="shared" ca="1" si="13"/>
        <v>3</v>
      </c>
      <c r="G10" s="1288">
        <f t="shared" ca="1" si="13"/>
        <v>9</v>
      </c>
      <c r="H10" s="1288">
        <f t="shared" ca="1" si="13"/>
        <v>12</v>
      </c>
      <c r="I10" s="1288">
        <f t="shared" ca="1" si="13"/>
        <v>13</v>
      </c>
      <c r="J10" s="1288">
        <f t="shared" ca="1" si="13"/>
        <v>40</v>
      </c>
      <c r="K10" s="106" t="s">
        <v>1</v>
      </c>
      <c r="L10" s="5666" t="s">
        <v>26</v>
      </c>
      <c r="M10" s="5801"/>
      <c r="N10" s="5802" t="s">
        <v>8831</v>
      </c>
      <c r="O10" s="5801"/>
      <c r="P10" s="5801"/>
      <c r="Q10" s="5802"/>
      <c r="R10" s="5801"/>
      <c r="S10" s="5801"/>
      <c r="T10" s="5801"/>
      <c r="U10" s="5801"/>
      <c r="V10" s="5801"/>
      <c r="W10" s="6276" t="s">
        <v>10695</v>
      </c>
      <c r="X10" s="6276"/>
      <c r="Y10" s="6276"/>
      <c r="Z10" s="5801"/>
      <c r="AA10" s="5801"/>
      <c r="AB10" s="5801"/>
      <c r="AC10" s="5801"/>
      <c r="AD10" s="6827"/>
      <c r="AE10" s="4" t="s">
        <v>1</v>
      </c>
      <c r="AF10" s="6232" t="s">
        <v>21</v>
      </c>
      <c r="AG10" s="6235"/>
      <c r="AH10" s="6235"/>
      <c r="AI10" s="6235"/>
      <c r="AJ10" s="6235"/>
      <c r="AK10" s="6235"/>
      <c r="AL10" s="6235"/>
      <c r="AM10" s="5801"/>
      <c r="AN10" s="5801"/>
      <c r="AO10" s="5801"/>
      <c r="AP10" s="7006"/>
      <c r="AQ10" s="7006"/>
      <c r="AR10" s="7006"/>
      <c r="AS10" s="7007"/>
      <c r="AT10" s="7008"/>
      <c r="AU10" s="7008"/>
      <c r="AV10" s="6276" t="s">
        <v>8794</v>
      </c>
      <c r="AW10" s="5801"/>
      <c r="AX10" s="5801"/>
      <c r="AY10" s="5801"/>
      <c r="AZ10" s="5801"/>
      <c r="BA10" s="5712"/>
      <c r="BB10" s="5712"/>
      <c r="BC10" s="6276" t="s">
        <v>10004</v>
      </c>
      <c r="BD10" s="6276"/>
      <c r="BE10" s="6299"/>
      <c r="BF10" s="4"/>
      <c r="BG10" s="4"/>
      <c r="BH10" s="4"/>
      <c r="BI10" s="4"/>
      <c r="BJ10" s="6309" t="s">
        <v>8683</v>
      </c>
      <c r="BK10" s="6309"/>
      <c r="BL10" s="6309"/>
      <c r="BM10" s="6309"/>
      <c r="BN10" s="6309"/>
      <c r="BO10" s="6309"/>
      <c r="BP10" s="6309"/>
      <c r="BQ10" s="6309"/>
      <c r="BR10" s="4"/>
      <c r="BS10" s="4"/>
      <c r="BT10" s="4"/>
      <c r="BU10" s="4"/>
      <c r="BV10" s="4"/>
      <c r="BW10" s="4"/>
      <c r="BX10" s="20" t="str">
        <f t="shared" si="12"/>
        <v>A</v>
      </c>
      <c r="BY10" s="255"/>
      <c r="BZ10" s="228"/>
      <c r="CA10" s="228"/>
      <c r="CB10" s="227"/>
      <c r="CC10" s="227"/>
      <c r="CD10" s="5661"/>
      <c r="CE10" s="7012"/>
      <c r="CF10" s="7013"/>
      <c r="CG10" s="7013"/>
      <c r="CH10" s="7013"/>
      <c r="CI10" s="7013"/>
      <c r="CJ10" s="7013"/>
      <c r="CK10" s="7014"/>
      <c r="CL10" s="4"/>
      <c r="CM10" s="7012"/>
      <c r="CN10" s="7013"/>
      <c r="CO10" s="7013"/>
      <c r="CP10" s="7013"/>
      <c r="CQ10" s="7013"/>
      <c r="CR10" s="7013"/>
      <c r="CS10" s="7014"/>
      <c r="CT10" s="4"/>
      <c r="CU10" s="7012"/>
      <c r="CV10" s="7013"/>
      <c r="CW10" s="7013"/>
      <c r="CX10" s="7013"/>
      <c r="CY10" s="7013"/>
      <c r="CZ10" s="7013"/>
      <c r="DA10" s="7014"/>
      <c r="DB10" s="4"/>
      <c r="DC10" s="5">
        <v>1</v>
      </c>
    </row>
    <row r="11" spans="1:109" s="1" customFormat="1" ht="21" customHeight="1" thickBot="1">
      <c r="A11" s="5641" t="s">
        <v>1</v>
      </c>
      <c r="B11" s="5662" t="str">
        <f t="shared" si="11"/>
        <v>►</v>
      </c>
      <c r="C11" s="4720"/>
      <c r="D11" s="5812"/>
      <c r="E11" s="5812"/>
      <c r="F11" s="5812"/>
      <c r="G11" s="5812"/>
      <c r="H11" s="5812"/>
      <c r="I11" s="5812"/>
      <c r="J11" s="5812"/>
      <c r="K11" s="106" t="s">
        <v>1</v>
      </c>
      <c r="L11" s="5666" t="s">
        <v>26</v>
      </c>
      <c r="M11" s="5813" t="s">
        <v>1901</v>
      </c>
      <c r="N11" s="6276" t="s">
        <v>8842</v>
      </c>
      <c r="O11" s="5801"/>
      <c r="P11" s="5801"/>
      <c r="Q11" s="5802"/>
      <c r="R11" s="5801"/>
      <c r="S11" s="5801"/>
      <c r="T11" s="5801"/>
      <c r="U11" s="5801"/>
      <c r="V11" s="5801"/>
      <c r="W11" s="5801"/>
      <c r="X11" s="5801"/>
      <c r="Y11" s="5801"/>
      <c r="Z11" s="5801"/>
      <c r="AA11" s="5801"/>
      <c r="AB11" s="5801"/>
      <c r="AC11" s="5801"/>
      <c r="AD11" s="6827"/>
      <c r="AE11" s="4" t="s">
        <v>1</v>
      </c>
      <c r="AF11" s="6232" t="s">
        <v>21</v>
      </c>
      <c r="AG11" s="6235"/>
      <c r="AH11" s="6235"/>
      <c r="AI11" s="6235"/>
      <c r="AJ11" s="6235"/>
      <c r="AK11" s="6235"/>
      <c r="AL11" s="6235"/>
      <c r="AM11" s="5801"/>
      <c r="AN11" s="5801"/>
      <c r="AO11" s="5801"/>
      <c r="AP11" s="5801"/>
      <c r="AQ11" s="5801"/>
      <c r="AR11" s="6310" t="s">
        <v>8834</v>
      </c>
      <c r="AS11" s="5801"/>
      <c r="AT11" s="6247" t="s">
        <v>8693</v>
      </c>
      <c r="AU11" s="5801"/>
      <c r="AV11" s="6276"/>
      <c r="AW11" s="5801"/>
      <c r="AX11" s="5801"/>
      <c r="AY11" s="5801"/>
      <c r="AZ11" s="5801"/>
      <c r="BA11" s="5801"/>
      <c r="BB11" s="5801"/>
      <c r="BC11" s="6276" t="s">
        <v>10005</v>
      </c>
      <c r="BD11" s="6276"/>
      <c r="BE11" s="6299"/>
      <c r="BF11" s="4"/>
      <c r="BG11" s="4"/>
      <c r="BH11" s="4"/>
      <c r="BI11" s="4"/>
      <c r="BJ11" s="141" t="s">
        <v>8658</v>
      </c>
      <c r="BK11" s="141" t="s">
        <v>8658</v>
      </c>
      <c r="BL11" s="141" t="s">
        <v>8658</v>
      </c>
      <c r="BM11" s="141" t="s">
        <v>8658</v>
      </c>
      <c r="BN11" s="141" t="s">
        <v>8659</v>
      </c>
      <c r="BO11" s="141"/>
      <c r="BP11" s="141" t="s">
        <v>8660</v>
      </c>
      <c r="BQ11" s="141" t="s">
        <v>8661</v>
      </c>
      <c r="BR11" s="4"/>
      <c r="BS11" s="4"/>
      <c r="BT11" s="4"/>
      <c r="BU11" s="4"/>
      <c r="BV11" s="4"/>
      <c r="BW11" s="4"/>
      <c r="BX11" s="20" t="str">
        <f t="shared" si="12"/>
        <v>A</v>
      </c>
      <c r="BY11" s="320" t="s">
        <v>8669</v>
      </c>
      <c r="BZ11" s="228"/>
      <c r="CA11" s="228"/>
      <c r="CB11" s="227"/>
      <c r="CC11" s="227"/>
      <c r="CD11" s="5661"/>
      <c r="CE11" s="6998" t="s">
        <v>8695</v>
      </c>
      <c r="CF11" s="6999"/>
      <c r="CG11" s="6999"/>
      <c r="CH11" s="6999"/>
      <c r="CI11" s="6999"/>
      <c r="CJ11" s="6999"/>
      <c r="CK11" s="7000"/>
      <c r="CL11" s="4"/>
      <c r="CM11" s="6998" t="s">
        <v>8804</v>
      </c>
      <c r="CN11" s="6999"/>
      <c r="CO11" s="6999"/>
      <c r="CP11" s="6999"/>
      <c r="CQ11" s="6999"/>
      <c r="CR11" s="6999"/>
      <c r="CS11" s="7000"/>
      <c r="CT11" s="4"/>
      <c r="CU11" s="6998" t="s">
        <v>8815</v>
      </c>
      <c r="CV11" s="6999"/>
      <c r="CW11" s="6999"/>
      <c r="CX11" s="6999"/>
      <c r="CY11" s="6999"/>
      <c r="CZ11" s="6999"/>
      <c r="DA11" s="7000"/>
      <c r="DB11" s="4"/>
      <c r="DC11" s="5">
        <v>1</v>
      </c>
    </row>
    <row r="12" spans="1:109" s="1" customFormat="1" ht="21" customHeight="1">
      <c r="A12" s="5641" t="s">
        <v>1</v>
      </c>
      <c r="B12" s="5662" t="str">
        <f t="shared" si="11"/>
        <v>A</v>
      </c>
      <c r="C12" s="7001" t="s">
        <v>33</v>
      </c>
      <c r="D12" s="5815" t="s">
        <v>252</v>
      </c>
      <c r="E12" s="5816"/>
      <c r="F12" s="1321"/>
      <c r="G12" s="1321"/>
      <c r="H12" s="1321"/>
      <c r="I12" s="1321"/>
      <c r="J12" s="1322"/>
      <c r="K12" s="106" t="s">
        <v>1</v>
      </c>
      <c r="L12" s="5636" t="s">
        <v>21</v>
      </c>
      <c r="M12" s="5231" t="str">
        <f>M18</f>
        <v>C CHIBOUST PAMPLEMOUSSE | collez la--FAMILLE| Auteur &gt; VOUS</v>
      </c>
      <c r="N12" s="5232">
        <f>N18</f>
        <v>18</v>
      </c>
      <c r="O12" s="5232" t="str">
        <f>O18</f>
        <v>desserts</v>
      </c>
      <c r="P12" s="5384" t="str">
        <f>P18</f>
        <v>Recette mère ► Mille - feuille aux fraises des bois</v>
      </c>
      <c r="Q12" s="5233" t="s">
        <v>1</v>
      </c>
      <c r="R12" s="5234" t="s">
        <v>251</v>
      </c>
      <c r="S12" s="5234"/>
      <c r="T12" s="6911" t="s">
        <v>895</v>
      </c>
      <c r="U12" s="6911"/>
      <c r="V12" s="6911"/>
      <c r="W12" s="6911"/>
      <c r="X12" s="6911"/>
      <c r="Y12" s="6911"/>
      <c r="Z12" s="6911"/>
      <c r="AA12" s="6911"/>
      <c r="AB12" s="6935" t="s">
        <v>10012</v>
      </c>
      <c r="AC12" s="6935"/>
      <c r="AD12" s="6915" t="str">
        <f>UPPER(LEFT(T12,1))</f>
        <v>C</v>
      </c>
      <c r="AE12" s="4" t="s">
        <v>1</v>
      </c>
      <c r="AF12" s="6232" t="s">
        <v>21</v>
      </c>
      <c r="AG12" s="6231"/>
      <c r="AH12" s="6231"/>
      <c r="AI12" s="6231"/>
      <c r="AJ12" s="6231"/>
      <c r="AK12" s="6231"/>
      <c r="AL12" s="6226"/>
      <c r="AM12" s="6226"/>
      <c r="AN12" s="6226"/>
      <c r="AO12" s="6226"/>
      <c r="AP12" s="6226"/>
      <c r="AQ12" s="6226"/>
      <c r="AR12" s="6311"/>
      <c r="AS12" s="6226"/>
      <c r="AT12" s="6226" t="s">
        <v>8835</v>
      </c>
      <c r="AU12" s="6226"/>
      <c r="AV12" s="6226"/>
      <c r="AW12" s="6226"/>
      <c r="AX12" s="6226"/>
      <c r="AY12" s="6226"/>
      <c r="AZ12" s="6226"/>
      <c r="BA12" s="6226"/>
      <c r="BB12" s="6226"/>
      <c r="BC12" s="6226"/>
      <c r="BD12" s="6226"/>
      <c r="BE12" s="6227" t="str">
        <f ca="1">IF(COUNTIF(L2:BE2,"&lt;0.5")=0,"Aucune colonne masquée",COUNTIF(L2:BE2,"&lt;0.5")&amp;" colonnes masquées : "&amp;(BB13&amp;BC13&amp;BD13))</f>
        <v>Aucune colonne masquée</v>
      </c>
      <c r="BF12" s="4"/>
      <c r="BG12" s="6307" t="s">
        <v>8843</v>
      </c>
      <c r="BH12" s="6308"/>
      <c r="BI12" s="4"/>
      <c r="BJ12" s="102" t="s">
        <v>8662</v>
      </c>
      <c r="BK12" s="102" t="s">
        <v>8662</v>
      </c>
      <c r="BL12" s="102" t="s">
        <v>8662</v>
      </c>
      <c r="BM12" s="102" t="s">
        <v>8658</v>
      </c>
      <c r="BN12" s="102" t="s">
        <v>8665</v>
      </c>
      <c r="BO12" s="102"/>
      <c r="BP12" s="102" t="s">
        <v>8663</v>
      </c>
      <c r="BQ12" s="102" t="s">
        <v>8664</v>
      </c>
      <c r="BR12" s="4"/>
      <c r="BS12" s="4"/>
      <c r="BT12" s="4"/>
      <c r="BU12" s="4"/>
      <c r="BV12" s="4"/>
      <c r="BW12" s="4"/>
      <c r="BX12" s="20" t="str">
        <f t="shared" si="12"/>
        <v>A</v>
      </c>
      <c r="BY12" s="234"/>
      <c r="BZ12" s="228"/>
      <c r="CA12" s="228"/>
      <c r="CB12" s="227"/>
      <c r="CC12" s="227"/>
      <c r="CD12" s="5661"/>
      <c r="CE12" s="5687" t="s">
        <v>8466</v>
      </c>
      <c r="CF12" s="5688"/>
      <c r="CG12" s="5688"/>
      <c r="CH12" s="5688"/>
      <c r="CI12" s="5688"/>
      <c r="CJ12" s="5688"/>
      <c r="CK12" s="5689"/>
      <c r="CL12" s="4"/>
      <c r="CM12" s="5687" t="s">
        <v>8805</v>
      </c>
      <c r="CN12" s="5688"/>
      <c r="CO12" s="5688"/>
      <c r="CP12" s="5688"/>
      <c r="CQ12" s="5688"/>
      <c r="CR12" s="5688"/>
      <c r="CS12" s="5689"/>
      <c r="CT12" s="4"/>
      <c r="CU12" s="5687" t="s">
        <v>8816</v>
      </c>
      <c r="CV12" s="5688"/>
      <c r="CW12" s="5688"/>
      <c r="CX12" s="5688"/>
      <c r="CY12" s="5688"/>
      <c r="CZ12" s="5688"/>
      <c r="DA12" s="5689"/>
      <c r="DB12" s="4"/>
      <c r="DC12" s="5">
        <v>1</v>
      </c>
    </row>
    <row r="13" spans="1:109" s="1" customFormat="1" ht="21" customHeight="1" thickBot="1">
      <c r="A13" s="5641" t="s">
        <v>1</v>
      </c>
      <c r="B13" s="5662" t="str">
        <f t="shared" si="11"/>
        <v>A</v>
      </c>
      <c r="C13" s="7002"/>
      <c r="D13" s="5271" t="s">
        <v>10680</v>
      </c>
      <c r="E13" s="1320"/>
      <c r="F13" s="1320"/>
      <c r="G13" s="1320"/>
      <c r="H13" s="1320"/>
      <c r="I13" s="1320"/>
      <c r="J13" s="1324"/>
      <c r="K13" s="106" t="s">
        <v>1</v>
      </c>
      <c r="L13" s="1018" t="s">
        <v>21</v>
      </c>
      <c r="M13" s="363" t="str">
        <f>M18</f>
        <v>C CHIBOUST PAMPLEMOUSSE | collez la--FAMILLE| Auteur &gt; VOUS</v>
      </c>
      <c r="N13" s="362">
        <f>N18</f>
        <v>18</v>
      </c>
      <c r="O13" s="362" t="str">
        <f>O18</f>
        <v>desserts</v>
      </c>
      <c r="P13" s="5385" t="str">
        <f>P18</f>
        <v>Recette mère ► Mille - feuille aux fraises des bois</v>
      </c>
      <c r="Q13" s="361" t="s">
        <v>245</v>
      </c>
      <c r="R13" s="360" t="s">
        <v>9181</v>
      </c>
      <c r="S13" s="360"/>
      <c r="T13" s="6912"/>
      <c r="U13" s="6912"/>
      <c r="V13" s="6912"/>
      <c r="W13" s="6912"/>
      <c r="X13" s="6912"/>
      <c r="Y13" s="6912"/>
      <c r="Z13" s="6912"/>
      <c r="AA13" s="6912"/>
      <c r="AB13" s="6936"/>
      <c r="AC13" s="6936"/>
      <c r="AD13" s="6916"/>
      <c r="AE13" s="4" t="s">
        <v>1</v>
      </c>
      <c r="AF13" s="6232" t="s">
        <v>21</v>
      </c>
      <c r="AG13" s="6231"/>
      <c r="AH13" s="6231"/>
      <c r="AI13" s="6231"/>
      <c r="AJ13" s="6231"/>
      <c r="AK13" s="6231"/>
      <c r="AL13" s="6236"/>
      <c r="AM13" s="6226"/>
      <c r="AN13" s="6226"/>
      <c r="AO13" s="6226"/>
      <c r="AP13" s="6226"/>
      <c r="AQ13" s="6226"/>
      <c r="AR13" s="6226"/>
      <c r="AS13" s="6226"/>
      <c r="AT13" s="6226"/>
      <c r="AU13" s="6226"/>
      <c r="AV13" s="6226"/>
      <c r="AW13" s="6226"/>
      <c r="AX13" s="6226"/>
      <c r="AY13" s="6226"/>
      <c r="AZ13" s="6226"/>
      <c r="BA13" s="389"/>
      <c r="BB13" s="389" t="str">
        <f ca="1">IF(M2&lt;0.5,M1&amp;".","")&amp;IF(N2&lt;0.5,N1&amp;".","")&amp;IF(O2&lt;0.5,O1&amp;".","")&amp;IF(P2&lt;0.5,P1&amp;".","")&amp;IF(Q2&lt;0.5,Q1&amp;".","")&amp;IF(R2&lt;0.5,R1&amp;".","")&amp;IF(S2&lt;0.5,S1&amp;".","")&amp;IF(T2&lt;0.5,T1&amp;".","")&amp;IF(U2&lt;0.5,U1&amp;".","")&amp;IF(V2&lt;0.5,V1&amp;".","")&amp;IF(W2&lt;0.5,W1&amp;".","")&amp;IF(Y2&lt;0.5,Y1&amp;".","")&amp;IF(Z2&lt;0.5,Z1&amp;".","")&amp;IF(AA2&lt;0.5,AA1&amp;".","")&amp;IF(AB2&lt;0.5,AB1&amp;".","")&amp;IF(AC2&lt;0.5,AC1&amp;".","")&amp;IF(AD2&lt;0.5,AD1&amp;".","")</f>
        <v/>
      </c>
      <c r="BC13" s="389" t="str">
        <f ca="1">IF(AT2&lt;0.5,AT1&amp;".","")&amp;IF(AU2&lt;0.5,AU1&amp;".","")&amp;IF(AV2&lt;0.5,AV1&amp;".","")&amp;IF(AW2&lt;0.5,AW1&amp;".","")&amp;IF(AF2&lt;0.5,AF1&amp;".","")&amp;IF(AG2&lt;0.5,AG1&amp;".","")&amp;IF(AH2&lt;0.5,AH1&amp;".","")&amp;IF(AI2&lt;0.5,AI1&amp;".","")&amp;IF(AJ2&lt;0.5,AJ1&amp;".","")&amp;IF(AK2&lt;0.5,AK1&amp;".","")&amp;IF(AL2&lt;0.5,AL1&amp;".","")&amp;IF(AM2&lt;0.5,AM1&amp;".","")&amp;IF(AN2&lt;0.5,AN1&amp;".","")&amp;IF(AO2&lt;0.5,AO1&amp;".","")&amp;IF(AP2&lt;0.5,AP1&amp;".","")&amp;IF(AQ2&lt;0.5,AQ1&amp;".","")&amp;IF(AR2&lt;0.5,AR1&amp;".","")</f>
        <v/>
      </c>
      <c r="BD13" s="389" t="str">
        <f ca="1">IF(AS2&lt;0.5,AS1&amp;".","")&amp;IF(AT2&lt;0.5,AT1&amp;".","")&amp;IF(AU2&lt;0.5,AU1&amp;".","")&amp;IF(AV2&lt;0.5,AV1&amp;".","")&amp;IF(AW2&lt;0.5,AW1&amp;".","")&amp;IF(AX2&lt;0.5,AX1&amp;".","")&amp;IF(AY2&lt;0.5,AY1&amp;".","")&amp;IF(AZ2&lt;0.5,AZ1&amp;".","")&amp;IF(BA2&lt;0.5,BA1&amp;".","")&amp;IF(BB2&lt;0.5,BB1&amp;".","")&amp;IF(BC2&lt;0.5,BC1&amp;".","")&amp;IF(BD2&lt;0.5,BD1&amp;".","")&amp;IF(BE2&lt;0.5,BE1&amp;".","")</f>
        <v/>
      </c>
      <c r="BE13" s="6227" t="str">
        <f>ROWS(L5:L550)-SUBTOTAL(103,L5:L550)&amp;" "&amp;"Lignes masquées"</f>
        <v>0 Lignes masquées</v>
      </c>
      <c r="BF13" s="4"/>
      <c r="BG13" s="6307" t="s">
        <v>8833</v>
      </c>
      <c r="BH13" s="6308"/>
      <c r="BI13" s="4"/>
      <c r="BJ13" s="358" t="s">
        <v>9682</v>
      </c>
      <c r="BK13" s="358" t="s">
        <v>9683</v>
      </c>
      <c r="BL13" s="358" t="s">
        <v>9684</v>
      </c>
      <c r="BM13" s="358" t="s">
        <v>242</v>
      </c>
      <c r="BN13" s="359" t="s">
        <v>241</v>
      </c>
      <c r="BO13" s="359"/>
      <c r="BP13" s="358" t="s">
        <v>240</v>
      </c>
      <c r="BQ13" s="358" t="s">
        <v>8657</v>
      </c>
      <c r="BR13" s="4"/>
      <c r="BS13" s="4"/>
      <c r="BT13" s="4"/>
      <c r="BU13" s="4"/>
      <c r="BV13" s="4"/>
      <c r="BW13" s="4"/>
      <c r="BX13" s="20" t="str">
        <f t="shared" si="12"/>
        <v>A</v>
      </c>
      <c r="BY13" s="320" t="s">
        <v>8670</v>
      </c>
      <c r="BZ13" s="228"/>
      <c r="CA13" s="228"/>
      <c r="CB13" s="227"/>
      <c r="CC13" s="227"/>
      <c r="CD13" s="5661"/>
      <c r="CE13" s="5694" t="s">
        <v>8469</v>
      </c>
      <c r="CF13" s="5695"/>
      <c r="CG13" s="5695"/>
      <c r="CH13" s="5695"/>
      <c r="CI13" s="5695"/>
      <c r="CJ13" s="5695"/>
      <c r="CK13" s="5696"/>
      <c r="CL13" s="4"/>
      <c r="CM13" s="5694" t="s">
        <v>8806</v>
      </c>
      <c r="CN13" s="5695"/>
      <c r="CO13" s="5695"/>
      <c r="CP13" s="5695"/>
      <c r="CQ13" s="5695"/>
      <c r="CR13" s="5695"/>
      <c r="CS13" s="5696"/>
      <c r="CT13" s="4"/>
      <c r="CU13" s="5694" t="s">
        <v>8817</v>
      </c>
      <c r="CV13" s="5695"/>
      <c r="CW13" s="5695"/>
      <c r="CX13" s="5695"/>
      <c r="CY13" s="5695"/>
      <c r="CZ13" s="5695"/>
      <c r="DA13" s="5696"/>
      <c r="DB13" s="4"/>
      <c r="DC13" s="5">
        <v>1</v>
      </c>
    </row>
    <row r="14" spans="1:109" s="1" customFormat="1" ht="21" customHeight="1" thickTop="1" thickBot="1">
      <c r="A14" s="5641" t="s">
        <v>1</v>
      </c>
      <c r="B14" s="5662" t="str">
        <f t="shared" si="11"/>
        <v>A</v>
      </c>
      <c r="C14" s="5825" cm="1">
        <f t="array" ref="C14">SUMPRODUCT(LEN(D14:J14))</f>
        <v>0</v>
      </c>
      <c r="D14" s="5275"/>
      <c r="E14" s="1361"/>
      <c r="F14" s="1361"/>
      <c r="G14" s="1361"/>
      <c r="H14" s="1361"/>
      <c r="I14" s="1361"/>
      <c r="J14" s="5276"/>
      <c r="K14" s="106" t="s">
        <v>1</v>
      </c>
      <c r="L14" s="1018" t="s">
        <v>21</v>
      </c>
      <c r="M14" s="41" t="str">
        <f>M18</f>
        <v>C CHIBOUST PAMPLEMOUSSE | collez la--FAMILLE| Auteur &gt; VOUS</v>
      </c>
      <c r="N14" s="40">
        <f>N18</f>
        <v>18</v>
      </c>
      <c r="O14" s="40" t="str">
        <f>O18</f>
        <v>desserts</v>
      </c>
      <c r="P14" s="5386" t="str">
        <f>P18</f>
        <v>Recette mère ► Mille - feuille aux fraises des bois</v>
      </c>
      <c r="Q14" s="351"/>
      <c r="R14" s="350" t="s">
        <v>8388</v>
      </c>
      <c r="S14" s="349"/>
      <c r="T14" s="348" t="s">
        <v>232</v>
      </c>
      <c r="U14" s="347" t="s">
        <v>1092</v>
      </c>
      <c r="V14" s="141"/>
      <c r="W14" s="347"/>
      <c r="X14" s="347"/>
      <c r="Y14" s="347"/>
      <c r="Z14" s="347"/>
      <c r="AA14" s="5235"/>
      <c r="AB14" s="141"/>
      <c r="AC14" s="141"/>
      <c r="AD14" s="409"/>
      <c r="AE14" s="4" t="s">
        <v>1</v>
      </c>
      <c r="AF14" s="6232" t="s">
        <v>21</v>
      </c>
      <c r="AG14" s="6969" t="s">
        <v>8396</v>
      </c>
      <c r="AH14" s="6828"/>
      <c r="AI14" s="6828"/>
      <c r="AJ14" s="6828"/>
      <c r="AK14" s="6730"/>
      <c r="AL14" s="6975" t="s">
        <v>8646</v>
      </c>
      <c r="AM14" s="6976"/>
      <c r="AN14" s="6976"/>
      <c r="AO14" s="6976"/>
      <c r="AP14" s="6976"/>
      <c r="AQ14" s="6982" t="s">
        <v>8688</v>
      </c>
      <c r="AR14" s="6982"/>
      <c r="AS14" s="6993" t="s">
        <v>11010</v>
      </c>
      <c r="AT14" s="6993"/>
      <c r="AU14" s="6953" t="s">
        <v>8647</v>
      </c>
      <c r="AV14" s="6953"/>
      <c r="AW14" s="6995" t="s">
        <v>8648</v>
      </c>
      <c r="AX14" s="6957" t="s">
        <v>8696</v>
      </c>
      <c r="AY14" s="6959" t="s">
        <v>182</v>
      </c>
      <c r="AZ14" s="6960"/>
      <c r="BA14" s="6963" t="s">
        <v>8382</v>
      </c>
      <c r="BB14" s="6965" t="s">
        <v>8649</v>
      </c>
      <c r="BC14" s="6944" t="s">
        <v>8700</v>
      </c>
      <c r="BD14" s="6946" t="s">
        <v>8650</v>
      </c>
      <c r="BE14" s="6948" t="s">
        <v>8396</v>
      </c>
      <c r="BF14" s="4"/>
      <c r="BG14" s="6307" t="s">
        <v>8844</v>
      </c>
      <c r="BH14" s="6308"/>
      <c r="BI14" s="4"/>
      <c r="BJ14" s="6213" t="str">
        <f t="shared" ref="BJ14:BQ14" si="14">SUBSTITUTE(ADDRESS(1,COLUMN(),4),"1","")</f>
        <v>BJ</v>
      </c>
      <c r="BK14" s="6213" t="str">
        <f t="shared" si="14"/>
        <v>BK</v>
      </c>
      <c r="BL14" s="6213" t="str">
        <f t="shared" si="14"/>
        <v>BL</v>
      </c>
      <c r="BM14" s="6213" t="str">
        <f t="shared" si="14"/>
        <v>BM</v>
      </c>
      <c r="BN14" s="6213" t="str">
        <f t="shared" si="14"/>
        <v>BN</v>
      </c>
      <c r="BO14" s="6213" t="str">
        <f t="shared" si="14"/>
        <v>BO</v>
      </c>
      <c r="BP14" s="6213" t="str">
        <f t="shared" si="14"/>
        <v>BP</v>
      </c>
      <c r="BQ14" s="6213" t="str">
        <f t="shared" si="14"/>
        <v>BQ</v>
      </c>
      <c r="BR14" s="4" t="s">
        <v>11009</v>
      </c>
      <c r="BS14" s="4"/>
      <c r="BT14" s="4"/>
      <c r="BU14" s="4"/>
      <c r="BV14" s="4"/>
      <c r="BW14" s="4"/>
      <c r="BX14" s="20" t="str">
        <f t="shared" si="12"/>
        <v>A</v>
      </c>
      <c r="BY14" s="234"/>
      <c r="BZ14" s="234"/>
      <c r="CA14" s="228"/>
      <c r="CB14" s="227"/>
      <c r="CC14" s="227"/>
      <c r="CD14" s="5661"/>
      <c r="CE14" s="1065"/>
      <c r="CF14" s="234"/>
      <c r="CG14" s="234"/>
      <c r="CH14" s="234"/>
      <c r="CI14" s="234"/>
      <c r="CJ14" s="234"/>
      <c r="CK14" s="5704"/>
      <c r="CL14" s="4"/>
      <c r="CM14" s="1065"/>
      <c r="CN14" s="234"/>
      <c r="CO14" s="234"/>
      <c r="CP14" s="234"/>
      <c r="CQ14" s="234"/>
      <c r="CR14" s="234"/>
      <c r="CS14" s="5704"/>
      <c r="CT14" s="4"/>
      <c r="CU14" s="1065"/>
      <c r="CV14" s="234"/>
      <c r="CW14" s="234"/>
      <c r="CX14" s="234"/>
      <c r="CY14" s="234"/>
      <c r="CZ14" s="234"/>
      <c r="DA14" s="5704"/>
      <c r="DB14" s="4"/>
      <c r="DC14" s="5">
        <v>1</v>
      </c>
    </row>
    <row r="15" spans="1:109" s="1" customFormat="1" ht="21" customHeight="1" thickBot="1">
      <c r="A15" s="5641" t="s">
        <v>1</v>
      </c>
      <c r="B15" s="5662" t="str">
        <f t="shared" si="11"/>
        <v>A</v>
      </c>
      <c r="C15" s="5825" cm="1">
        <f t="array" ref="C15">SUMPRODUCT(LEN(D15:J15))</f>
        <v>0</v>
      </c>
      <c r="D15" s="5275"/>
      <c r="E15" s="1361"/>
      <c r="F15" s="1361"/>
      <c r="G15" s="1361"/>
      <c r="H15" s="1361"/>
      <c r="I15" s="1361"/>
      <c r="J15" s="5276"/>
      <c r="K15" s="106" t="s">
        <v>1</v>
      </c>
      <c r="L15" s="1018" t="s">
        <v>21</v>
      </c>
      <c r="M15" s="41" t="str">
        <f>M18</f>
        <v>C CHIBOUST PAMPLEMOUSSE | collez la--FAMILLE| Auteur &gt; VOUS</v>
      </c>
      <c r="N15" s="40">
        <f>N18</f>
        <v>18</v>
      </c>
      <c r="O15" s="40" t="str">
        <f>O18</f>
        <v>desserts</v>
      </c>
      <c r="P15" s="5386" t="str">
        <f>P18</f>
        <v>Recette mère ► Mille - feuille aux fraises des bois</v>
      </c>
      <c r="Q15" s="333" t="s">
        <v>228</v>
      </c>
      <c r="R15" s="341"/>
      <c r="S15" s="341"/>
      <c r="T15" s="340" t="s">
        <v>227</v>
      </c>
      <c r="U15" s="6901" t="str">
        <f>V18&amp;" "&amp;W18&amp;" ► Famille = "&amp;AB12&amp;" ► "&amp;T12&amp;" "&amp;AA15&amp;" "&amp;AB15&amp;" "&amp;AC15&amp;" "&amp;AD15</f>
        <v>Recette mère ► Mille - feuille aux fraises des bois ► Famille = collez la--FAMILLE ► CHIBOUST PAMPLEMOUSSE  ⓫  Dupliquée pour 36 desserts</v>
      </c>
      <c r="V15" s="6901"/>
      <c r="W15" s="6901"/>
      <c r="X15" s="6225"/>
      <c r="Y15" s="6225"/>
      <c r="Z15" s="6225"/>
      <c r="AA15" s="5235"/>
      <c r="AB15" s="5236" t="s">
        <v>8008</v>
      </c>
      <c r="AC15" s="5237">
        <v>36</v>
      </c>
      <c r="AD15" s="344" t="str">
        <f>AD17</f>
        <v>desserts</v>
      </c>
      <c r="AE15" s="4" t="s">
        <v>1</v>
      </c>
      <c r="AF15" s="6232" t="s">
        <v>21</v>
      </c>
      <c r="AG15" s="6997"/>
      <c r="AH15" s="6829"/>
      <c r="AI15" s="6829"/>
      <c r="AJ15" s="6829"/>
      <c r="AK15" s="6754"/>
      <c r="AL15" s="6978"/>
      <c r="AM15" s="6979"/>
      <c r="AN15" s="6979"/>
      <c r="AO15" s="6979"/>
      <c r="AP15" s="6979"/>
      <c r="AQ15" s="6984"/>
      <c r="AR15" s="6984"/>
      <c r="AS15" s="6994"/>
      <c r="AT15" s="6994"/>
      <c r="AU15" s="6954"/>
      <c r="AV15" s="6954"/>
      <c r="AW15" s="6996"/>
      <c r="AX15" s="6958"/>
      <c r="AY15" s="6961"/>
      <c r="AZ15" s="6962"/>
      <c r="BA15" s="6964"/>
      <c r="BB15" s="6966"/>
      <c r="BC15" s="6945"/>
      <c r="BD15" s="6947"/>
      <c r="BE15" s="6949"/>
      <c r="BF15" s="4"/>
      <c r="BG15" s="6307" t="s">
        <v>8832</v>
      </c>
      <c r="BH15" s="6308"/>
      <c r="BJ15" s="6697" t="s">
        <v>10696</v>
      </c>
      <c r="BK15" s="6697" t="s">
        <v>10697</v>
      </c>
      <c r="BL15" s="6697" t="s">
        <v>10698</v>
      </c>
      <c r="BM15" s="337">
        <v>1</v>
      </c>
      <c r="BN15" s="336" t="s">
        <v>175</v>
      </c>
      <c r="BO15" s="336"/>
      <c r="BP15" s="335">
        <f t="shared" ref="BP15:BP23" si="15">ROUND(1/BM15,0)</f>
        <v>1</v>
      </c>
      <c r="BQ15" s="334"/>
      <c r="BR15" s="6697" t="s">
        <v>226</v>
      </c>
      <c r="BS15" s="6697" t="s">
        <v>9597</v>
      </c>
      <c r="BT15" s="6697" t="s">
        <v>9598</v>
      </c>
      <c r="BU15" s="6830">
        <v>0.5</v>
      </c>
      <c r="BV15" s="4"/>
      <c r="BW15" s="4"/>
      <c r="BX15" s="20" t="str">
        <f t="shared" si="12"/>
        <v>A</v>
      </c>
      <c r="BY15" s="320" t="s">
        <v>8671</v>
      </c>
      <c r="BZ15" s="228"/>
      <c r="CA15" s="228"/>
      <c r="CB15" s="227"/>
      <c r="CC15" s="227"/>
      <c r="CD15" s="5661"/>
      <c r="CE15" s="1065" t="s">
        <v>8470</v>
      </c>
      <c r="CF15" s="5705"/>
      <c r="CG15" s="5705"/>
      <c r="CH15" s="5705"/>
      <c r="CI15" s="5705"/>
      <c r="CJ15" s="5705"/>
      <c r="CK15" s="5706"/>
      <c r="CL15" s="4"/>
      <c r="CM15" s="1065" t="s">
        <v>8778</v>
      </c>
      <c r="CN15" s="5705"/>
      <c r="CO15" s="5705"/>
      <c r="CP15" s="5705"/>
      <c r="CQ15" s="5705"/>
      <c r="CR15" s="5705"/>
      <c r="CS15" s="5706"/>
      <c r="CT15" s="4"/>
      <c r="CU15" s="1065" t="s">
        <v>8791</v>
      </c>
      <c r="CV15" s="5705"/>
      <c r="CW15" s="5705"/>
      <c r="CX15" s="5705"/>
      <c r="CY15" s="5705"/>
      <c r="CZ15" s="5705"/>
      <c r="DA15" s="5706"/>
      <c r="DB15" s="4"/>
      <c r="DC15" s="5">
        <v>1</v>
      </c>
    </row>
    <row r="16" spans="1:109" s="1" customFormat="1" ht="21" customHeight="1" thickTop="1">
      <c r="A16" s="5641" t="s">
        <v>1</v>
      </c>
      <c r="B16" s="5662" t="str">
        <f t="shared" si="11"/>
        <v>A</v>
      </c>
      <c r="C16" s="5825" cm="1">
        <f t="array" ref="C16">SUMPRODUCT(LEN(D16:J16))</f>
        <v>0</v>
      </c>
      <c r="D16" s="5275"/>
      <c r="E16" s="1361"/>
      <c r="F16" s="1361"/>
      <c r="G16" s="1361"/>
      <c r="H16" s="1361"/>
      <c r="I16" s="1361"/>
      <c r="J16" s="5276"/>
      <c r="K16" s="106" t="s">
        <v>1</v>
      </c>
      <c r="L16" s="1018" t="s">
        <v>21</v>
      </c>
      <c r="M16" s="41" t="str">
        <f>M18</f>
        <v>C CHIBOUST PAMPLEMOUSSE | collez la--FAMILLE| Auteur &gt; VOUS</v>
      </c>
      <c r="N16" s="40">
        <f>N18</f>
        <v>18</v>
      </c>
      <c r="O16" s="40" t="str">
        <f>O18</f>
        <v>desserts</v>
      </c>
      <c r="P16" s="5386" t="str">
        <f>P18</f>
        <v>Recette mère ► Mille - feuille aux fraises des bois</v>
      </c>
      <c r="Q16" s="5238">
        <v>18</v>
      </c>
      <c r="R16" s="5832" t="s">
        <v>10036</v>
      </c>
      <c r="S16" s="333"/>
      <c r="T16" s="333"/>
      <c r="U16" s="6901"/>
      <c r="V16" s="6901"/>
      <c r="W16" s="6901"/>
      <c r="X16" s="6225"/>
      <c r="Y16" s="6225"/>
      <c r="Z16" s="6225"/>
      <c r="AA16" s="5239"/>
      <c r="AB16" s="141"/>
      <c r="AC16" s="5392" t="s">
        <v>8354</v>
      </c>
      <c r="AD16" s="5391" t="s">
        <v>8353</v>
      </c>
      <c r="AE16" s="4" t="s">
        <v>1</v>
      </c>
      <c r="AF16" s="6232" t="s">
        <v>21</v>
      </c>
      <c r="AG16" s="6969" t="s">
        <v>8427</v>
      </c>
      <c r="AH16" s="6828"/>
      <c r="AI16" s="6828"/>
      <c r="AJ16" s="6828"/>
      <c r="AK16" s="6730"/>
      <c r="AL16" s="6975" t="s">
        <v>8651</v>
      </c>
      <c r="AM16" s="6976"/>
      <c r="AN16" s="6976"/>
      <c r="AO16" s="6976"/>
      <c r="AP16" s="6976"/>
      <c r="AQ16" s="6982" t="s">
        <v>8687</v>
      </c>
      <c r="AR16" s="6982"/>
      <c r="AS16" s="6993" t="s">
        <v>11011</v>
      </c>
      <c r="AT16" s="6993"/>
      <c r="AU16" s="6953" t="s">
        <v>8652</v>
      </c>
      <c r="AV16" s="6953"/>
      <c r="AW16" s="6995" t="s">
        <v>8653</v>
      </c>
      <c r="AX16" s="6957" t="s">
        <v>8697</v>
      </c>
      <c r="AY16" s="6959" t="s">
        <v>8654</v>
      </c>
      <c r="AZ16" s="6960"/>
      <c r="BA16" s="6963" t="s">
        <v>8419</v>
      </c>
      <c r="BB16" s="6965" t="s">
        <v>8655</v>
      </c>
      <c r="BC16" s="6944" t="s">
        <v>8701</v>
      </c>
      <c r="BD16" s="6946" t="s">
        <v>8656</v>
      </c>
      <c r="BE16" s="6948" t="s">
        <v>8427</v>
      </c>
      <c r="BF16" s="4"/>
      <c r="BG16" s="4"/>
      <c r="BH16" s="4"/>
      <c r="BJ16" s="6697" t="s">
        <v>225</v>
      </c>
      <c r="BK16" s="6697" t="s">
        <v>9599</v>
      </c>
      <c r="BL16" s="6697" t="s">
        <v>9600</v>
      </c>
      <c r="BM16" s="6698">
        <v>0.25</v>
      </c>
      <c r="BN16" s="273" t="s">
        <v>175</v>
      </c>
      <c r="BO16" s="273"/>
      <c r="BP16" s="223">
        <f t="shared" si="15"/>
        <v>4</v>
      </c>
      <c r="BQ16" s="321"/>
      <c r="BS16" s="187"/>
      <c r="BT16" s="187"/>
      <c r="BU16" s="187"/>
      <c r="BV16" s="187"/>
      <c r="BW16" s="187"/>
      <c r="BX16" s="20" t="str">
        <f t="shared" si="12"/>
        <v>A</v>
      </c>
      <c r="BY16" s="5715"/>
      <c r="BZ16" s="5715"/>
      <c r="CA16" s="5715"/>
      <c r="CB16" s="5715"/>
      <c r="CC16" s="5715"/>
      <c r="CD16" s="5661"/>
      <c r="CE16" s="1065"/>
      <c r="CF16" s="5705"/>
      <c r="CG16" s="5705"/>
      <c r="CH16" s="5705"/>
      <c r="CI16" s="5705"/>
      <c r="CJ16" s="5705"/>
      <c r="CK16" s="5706"/>
      <c r="CL16" s="4"/>
      <c r="CM16" s="1065"/>
      <c r="CN16" s="5705"/>
      <c r="CO16" s="5705"/>
      <c r="CP16" s="5705"/>
      <c r="CQ16" s="5705"/>
      <c r="CR16" s="5705"/>
      <c r="CS16" s="5706"/>
      <c r="CT16" s="4"/>
      <c r="CU16" s="1065"/>
      <c r="CV16" s="5705"/>
      <c r="CW16" s="5705"/>
      <c r="CX16" s="5705"/>
      <c r="CY16" s="5705"/>
      <c r="CZ16" s="5705"/>
      <c r="DA16" s="5706"/>
      <c r="DB16" s="4"/>
      <c r="DC16" s="5">
        <v>1</v>
      </c>
    </row>
    <row r="17" spans="1:107" s="1" customFormat="1" ht="21" customHeight="1" thickBot="1">
      <c r="A17" s="5641" t="s">
        <v>1</v>
      </c>
      <c r="B17" s="5662" t="str">
        <f t="shared" si="11"/>
        <v>►</v>
      </c>
      <c r="C17" s="5825" cm="1">
        <f t="array" ref="C17">SUMPRODUCT(LEN(D17:J17))</f>
        <v>0</v>
      </c>
      <c r="D17" s="5275"/>
      <c r="E17" s="1361"/>
      <c r="F17" s="1361"/>
      <c r="G17" s="1361"/>
      <c r="H17" s="1361"/>
      <c r="I17" s="1361"/>
      <c r="J17" s="5276"/>
      <c r="K17" s="106" t="s">
        <v>1</v>
      </c>
      <c r="L17" s="1018" t="s">
        <v>26</v>
      </c>
      <c r="M17" s="41" t="str">
        <f>M18</f>
        <v>C CHIBOUST PAMPLEMOUSSE | collez la--FAMILLE| Auteur &gt; VOUS</v>
      </c>
      <c r="N17" s="40">
        <f>N18</f>
        <v>18</v>
      </c>
      <c r="O17" s="40" t="str">
        <f>O18</f>
        <v>desserts</v>
      </c>
      <c r="P17" s="5386" t="str">
        <f>P18</f>
        <v>Recette mère ► Mille - feuille aux fraises des bois</v>
      </c>
      <c r="Q17" s="5397"/>
      <c r="R17" s="6831" t="s">
        <v>10699</v>
      </c>
      <c r="S17" s="6902">
        <f>AA36</f>
        <v>0.71100000000000008</v>
      </c>
      <c r="T17" s="6902"/>
      <c r="U17" s="6832" t="str" cm="1">
        <f t="array" ref="U17">"1= "&amp;IF(OR(Q16&lt;=0,S17=""),"",_xlfn.LET(_xlpm.kg,IF(ISNUMBER(S17),S17,VALEUR(SUBSTITUTE(SUBSTITUTE(SUBSTITUTE(LOWER(S17),"kg",""),",",".")," ",""))),TEXT(ROUND(_xlpm.kg*1000/Q16,2),"0.##")&amp;" g"))</f>
        <v>1= 39.5 g</v>
      </c>
      <c r="V17" s="6833">
        <f>IFERROR(AC15/Q16,0)</f>
        <v>2</v>
      </c>
      <c r="W17" s="6203"/>
      <c r="X17" s="6203"/>
      <c r="Y17" s="6203"/>
      <c r="Z17" s="6203"/>
      <c r="AA17"/>
      <c r="AB17" s="5241" t="s">
        <v>944</v>
      </c>
      <c r="AC17" s="5376">
        <v>18</v>
      </c>
      <c r="AD17" s="5242" t="s">
        <v>10036</v>
      </c>
      <c r="AE17" s="4" t="s">
        <v>1</v>
      </c>
      <c r="AF17" s="6232" t="s">
        <v>21</v>
      </c>
      <c r="AG17" s="6992"/>
      <c r="AH17" s="6231"/>
      <c r="AI17" s="6231"/>
      <c r="AJ17" s="6231"/>
      <c r="AK17" s="6731"/>
      <c r="AL17" s="6978"/>
      <c r="AM17" s="6979"/>
      <c r="AN17" s="6979"/>
      <c r="AO17" s="6979"/>
      <c r="AP17" s="6979"/>
      <c r="AQ17" s="6984"/>
      <c r="AR17" s="6984"/>
      <c r="AS17" s="6994"/>
      <c r="AT17" s="6994"/>
      <c r="AU17" s="6954"/>
      <c r="AV17" s="6954"/>
      <c r="AW17" s="6996"/>
      <c r="AX17" s="6958"/>
      <c r="AY17" s="6961"/>
      <c r="AZ17" s="6962"/>
      <c r="BA17" s="6964"/>
      <c r="BB17" s="6966"/>
      <c r="BC17" s="6945"/>
      <c r="BD17" s="6947"/>
      <c r="BE17" s="6949"/>
      <c r="BF17" s="4"/>
      <c r="BG17" s="4"/>
      <c r="BH17" s="4"/>
      <c r="BJ17" s="6697" t="s">
        <v>224</v>
      </c>
      <c r="BK17" s="6697" t="s">
        <v>9601</v>
      </c>
      <c r="BL17" s="6697" t="s">
        <v>9602</v>
      </c>
      <c r="BM17" s="6698">
        <v>0.33</v>
      </c>
      <c r="BN17" s="273" t="s">
        <v>175</v>
      </c>
      <c r="BO17" s="273"/>
      <c r="BP17" s="223">
        <f t="shared" si="15"/>
        <v>3</v>
      </c>
      <c r="BQ17" s="321"/>
      <c r="BS17" s="187"/>
      <c r="BT17" s="187"/>
      <c r="BU17" s="187"/>
      <c r="BV17" s="187"/>
      <c r="BW17" s="187"/>
      <c r="BX17" s="20" t="str">
        <f t="shared" si="12"/>
        <v>A</v>
      </c>
      <c r="BY17" s="5720" t="s">
        <v>8672</v>
      </c>
      <c r="BZ17" s="234"/>
      <c r="CA17" s="234"/>
      <c r="CB17" s="234"/>
      <c r="CC17" s="234"/>
      <c r="CD17" s="5661"/>
      <c r="CE17" s="5716" t="s">
        <v>8777</v>
      </c>
      <c r="CF17" s="5717"/>
      <c r="CG17" s="5705"/>
      <c r="CH17" s="5705"/>
      <c r="CI17" s="5705"/>
      <c r="CJ17" s="5705"/>
      <c r="CK17" s="5706"/>
      <c r="CL17" s="4"/>
      <c r="CM17" s="5716" t="s">
        <v>8779</v>
      </c>
      <c r="CN17" s="5717"/>
      <c r="CO17" s="5705"/>
      <c r="CP17" s="5705"/>
      <c r="CQ17" s="5705"/>
      <c r="CR17" s="5705"/>
      <c r="CS17" s="5706"/>
      <c r="CT17" s="4"/>
      <c r="CU17" s="5716" t="s">
        <v>8792</v>
      </c>
      <c r="CV17" s="5717"/>
      <c r="CW17" s="5705"/>
      <c r="CX17" s="5705"/>
      <c r="CY17" s="5705"/>
      <c r="CZ17" s="5705"/>
      <c r="DA17" s="5706"/>
      <c r="DB17" s="4"/>
      <c r="DC17" s="5">
        <v>1</v>
      </c>
    </row>
    <row r="18" spans="1:107" s="1" customFormat="1" ht="21" customHeight="1" thickTop="1" thickBot="1">
      <c r="A18" s="5641" t="s">
        <v>1</v>
      </c>
      <c r="B18" s="5662" t="str">
        <f t="shared" si="11"/>
        <v>►</v>
      </c>
      <c r="C18" s="5825" cm="1">
        <f t="array" ref="C18">SUMPRODUCT(LEN(D18:J18))</f>
        <v>0</v>
      </c>
      <c r="D18" s="5275"/>
      <c r="E18" s="1361"/>
      <c r="F18" s="1361"/>
      <c r="G18" s="1361"/>
      <c r="H18" s="1361"/>
      <c r="I18" s="1361"/>
      <c r="J18" s="5276"/>
      <c r="K18" s="106" t="s">
        <v>1</v>
      </c>
      <c r="L18" s="5243" t="s">
        <v>26</v>
      </c>
      <c r="M18" s="5379" t="str">
        <f>Q18</f>
        <v>C CHIBOUST PAMPLEMOUSSE | collez la--FAMILLE| Auteur &gt; VOUS</v>
      </c>
      <c r="N18" s="5380">
        <f>Q16</f>
        <v>18</v>
      </c>
      <c r="O18" s="5379" t="str">
        <f>R16</f>
        <v>desserts</v>
      </c>
      <c r="P18" s="5381" t="str">
        <f>V18&amp;" "&amp;W18</f>
        <v>Recette mère ► Mille - feuille aux fraises des bois</v>
      </c>
      <c r="Q18" s="5484" t="str">
        <f>UPPER(LEFT(T12,1))&amp;" "&amp;T12&amp;" | "&amp;AB12&amp;"| "&amp;T14&amp;" "&amp;U14</f>
        <v>C CHIBOUST PAMPLEMOUSSE | collez la--FAMILLE| Auteur &gt; VOUS</v>
      </c>
      <c r="R18" s="5485" t="s">
        <v>223</v>
      </c>
      <c r="S18" s="6903" t="s">
        <v>222</v>
      </c>
      <c r="T18" s="6903"/>
      <c r="U18" s="6903"/>
      <c r="V18" s="5119" t="str">
        <f>IF(ISTEXT(W18),"Recette mère ►",R18)</f>
        <v>Recette mère ►</v>
      </c>
      <c r="W18" s="6267" t="s">
        <v>10034</v>
      </c>
      <c r="X18" s="6267"/>
      <c r="Y18" s="6267"/>
      <c r="Z18" s="6267"/>
      <c r="AA18" s="6268"/>
      <c r="AB18" s="6268"/>
      <c r="AC18" s="6268"/>
      <c r="AD18" s="6736" t="s">
        <v>8379</v>
      </c>
      <c r="AE18" s="4" t="s">
        <v>1</v>
      </c>
      <c r="AF18" s="6232" t="s">
        <v>21</v>
      </c>
      <c r="AG18" s="6237" t="str">
        <f t="shared" ref="AG18:BH18" si="16">SUBSTITUTE(ADDRESS(1,COLUMN(),4),"1","")</f>
        <v>AG</v>
      </c>
      <c r="AH18" s="6237" t="str">
        <f t="shared" si="16"/>
        <v>AH</v>
      </c>
      <c r="AI18" s="6237" t="str">
        <f t="shared" si="16"/>
        <v>AI</v>
      </c>
      <c r="AJ18" s="6237" t="str">
        <f t="shared" si="16"/>
        <v>AJ</v>
      </c>
      <c r="AK18" s="6237" t="str">
        <f t="shared" si="16"/>
        <v>AK</v>
      </c>
      <c r="AL18" s="6237" t="str">
        <f t="shared" si="16"/>
        <v>AL</v>
      </c>
      <c r="AM18" s="6237" t="str">
        <f t="shared" si="16"/>
        <v>AM</v>
      </c>
      <c r="AN18" s="6237" t="str">
        <f t="shared" si="16"/>
        <v>AN</v>
      </c>
      <c r="AO18" s="6185" t="str">
        <f t="shared" si="16"/>
        <v>AO</v>
      </c>
      <c r="AP18" s="6185" t="str">
        <f t="shared" si="16"/>
        <v>AP</v>
      </c>
      <c r="AQ18" s="6185" t="str">
        <f t="shared" si="16"/>
        <v>AQ</v>
      </c>
      <c r="AR18" s="6185" t="str">
        <f t="shared" si="16"/>
        <v>AR</v>
      </c>
      <c r="AS18" s="6185" t="str">
        <f t="shared" si="16"/>
        <v>AS</v>
      </c>
      <c r="AT18" s="6185" t="str">
        <f t="shared" si="16"/>
        <v>AT</v>
      </c>
      <c r="AU18" s="6185" t="str">
        <f t="shared" si="16"/>
        <v>AU</v>
      </c>
      <c r="AV18" s="6185" t="str">
        <f t="shared" si="16"/>
        <v>AV</v>
      </c>
      <c r="AW18" s="6185" t="str">
        <f t="shared" si="16"/>
        <v>AW</v>
      </c>
      <c r="AX18" s="6185" t="str">
        <f t="shared" si="16"/>
        <v>AX</v>
      </c>
      <c r="AY18" s="6185" t="str">
        <f t="shared" si="16"/>
        <v>AY</v>
      </c>
      <c r="AZ18" s="6185" t="str">
        <f t="shared" si="16"/>
        <v>AZ</v>
      </c>
      <c r="BA18" s="6185" t="str">
        <f t="shared" si="16"/>
        <v>BA</v>
      </c>
      <c r="BB18" s="6185" t="str">
        <f t="shared" si="16"/>
        <v>BB</v>
      </c>
      <c r="BC18" s="6185" t="str">
        <f t="shared" si="16"/>
        <v>BC</v>
      </c>
      <c r="BD18" s="6185" t="str">
        <f t="shared" si="16"/>
        <v>BD</v>
      </c>
      <c r="BE18" s="6185" t="str">
        <f t="shared" si="16"/>
        <v>BE</v>
      </c>
      <c r="BF18" s="4"/>
      <c r="BG18" s="6187" t="str">
        <f t="shared" si="16"/>
        <v>BG</v>
      </c>
      <c r="BH18" s="6187" t="str">
        <f t="shared" si="16"/>
        <v>BH</v>
      </c>
      <c r="BJ18" s="6699" t="s">
        <v>219</v>
      </c>
      <c r="BK18" s="6699" t="s">
        <v>219</v>
      </c>
      <c r="BL18" s="6699" t="s">
        <v>219</v>
      </c>
      <c r="BM18" s="6304">
        <f>BQ18 / 1000</f>
        <v>1</v>
      </c>
      <c r="BN18" s="240" t="s">
        <v>111</v>
      </c>
      <c r="BO18" s="240" t="s">
        <v>8773</v>
      </c>
      <c r="BP18" s="223">
        <f t="shared" si="15"/>
        <v>1</v>
      </c>
      <c r="BQ18" s="239">
        <v>1000</v>
      </c>
      <c r="BS18" s="187"/>
      <c r="BT18" s="187"/>
      <c r="BU18" s="187"/>
      <c r="BV18" s="187"/>
      <c r="BW18" s="187"/>
      <c r="BX18" s="20" t="str">
        <f t="shared" si="12"/>
        <v>A</v>
      </c>
      <c r="BY18" s="5720"/>
      <c r="BZ18" s="228"/>
      <c r="CA18" s="234"/>
      <c r="CB18" s="234"/>
      <c r="CC18" s="234"/>
      <c r="CD18" s="5661"/>
      <c r="CE18" s="5716"/>
      <c r="CF18" s="5717"/>
      <c r="CG18" s="5705"/>
      <c r="CH18" s="5705"/>
      <c r="CI18" s="5705"/>
      <c r="CJ18" s="5705"/>
      <c r="CK18" s="5706"/>
      <c r="CM18" s="5716"/>
      <c r="CN18" s="5717"/>
      <c r="CO18" s="5705"/>
      <c r="CP18" s="5705"/>
      <c r="CQ18" s="5705"/>
      <c r="CR18" s="5705"/>
      <c r="CS18" s="5706"/>
      <c r="CU18" s="5716"/>
      <c r="CV18" s="5717"/>
      <c r="CW18" s="5705"/>
      <c r="CX18" s="5705"/>
      <c r="CY18" s="5705"/>
      <c r="CZ18" s="5705"/>
      <c r="DA18" s="5706"/>
      <c r="DC18" s="5">
        <v>1</v>
      </c>
    </row>
    <row r="19" spans="1:107" s="1" customFormat="1" ht="21" customHeight="1" thickTop="1" thickBot="1">
      <c r="A19" s="5641" t="s">
        <v>1</v>
      </c>
      <c r="B19" s="5662" t="str">
        <f t="shared" si="11"/>
        <v>►</v>
      </c>
      <c r="C19" s="5825" cm="1">
        <f t="array" ref="C19">SUMPRODUCT(LEN(D19:J19))</f>
        <v>0</v>
      </c>
      <c r="D19" s="5275"/>
      <c r="E19" s="1361"/>
      <c r="F19" s="1361"/>
      <c r="G19" s="1361"/>
      <c r="H19" s="1361"/>
      <c r="I19" s="1361"/>
      <c r="J19" s="5276"/>
      <c r="K19" s="106" t="s">
        <v>1</v>
      </c>
      <c r="L19" s="1017" t="s">
        <v>26</v>
      </c>
      <c r="M19" s="5382" t="str">
        <f>M18</f>
        <v>C CHIBOUST PAMPLEMOUSSE | collez la--FAMILLE| Auteur &gt; VOUS</v>
      </c>
      <c r="N19" s="5382">
        <f>N18</f>
        <v>18</v>
      </c>
      <c r="O19" s="5382" t="str">
        <f>O18</f>
        <v>desserts</v>
      </c>
      <c r="P19" s="5383" t="str">
        <f>P18</f>
        <v>Recette mère ► Mille - feuille aux fraises des bois</v>
      </c>
      <c r="Q19" s="310" t="s">
        <v>217</v>
      </c>
      <c r="R19" s="310" t="s">
        <v>216</v>
      </c>
      <c r="S19" s="310" t="s">
        <v>215</v>
      </c>
      <c r="T19" s="310" t="s">
        <v>214</v>
      </c>
      <c r="U19" s="309" t="s">
        <v>83</v>
      </c>
      <c r="V19" s="6265" t="s">
        <v>213</v>
      </c>
      <c r="W19" s="6266" t="s">
        <v>212</v>
      </c>
      <c r="X19" s="6266" t="s">
        <v>211</v>
      </c>
      <c r="Y19" s="6266" t="s">
        <v>210</v>
      </c>
      <c r="Z19" s="6266" t="s">
        <v>7928</v>
      </c>
      <c r="AA19" s="6266" t="s">
        <v>208</v>
      </c>
      <c r="AB19" s="6266" t="s">
        <v>207</v>
      </c>
      <c r="AC19" s="6266" t="s">
        <v>206</v>
      </c>
      <c r="AD19" s="6270" t="s">
        <v>205</v>
      </c>
      <c r="AE19" s="4" t="s">
        <v>1</v>
      </c>
      <c r="AF19" s="6232" t="s">
        <v>21</v>
      </c>
      <c r="AG19" s="6760" t="s">
        <v>203</v>
      </c>
      <c r="AH19" s="6760" t="s">
        <v>202</v>
      </c>
      <c r="AI19" s="6760" t="s">
        <v>201</v>
      </c>
      <c r="AJ19" s="6760" t="s">
        <v>200</v>
      </c>
      <c r="AK19" s="6760" t="s">
        <v>8345</v>
      </c>
      <c r="AL19" s="6760" t="s">
        <v>8346</v>
      </c>
      <c r="AM19" s="6760" t="s">
        <v>8347</v>
      </c>
      <c r="AN19" s="6760" t="s">
        <v>8348</v>
      </c>
      <c r="AO19" s="6760" t="s">
        <v>8349</v>
      </c>
      <c r="AP19" s="6760" t="s">
        <v>8350</v>
      </c>
      <c r="AQ19" s="304" t="s">
        <v>8351</v>
      </c>
      <c r="AR19" s="6760" t="s">
        <v>8352</v>
      </c>
      <c r="AS19" s="304" t="s">
        <v>8355</v>
      </c>
      <c r="AT19" s="304" t="s">
        <v>8685</v>
      </c>
      <c r="AU19" s="304" t="s">
        <v>8767</v>
      </c>
      <c r="AV19" s="304" t="s">
        <v>8768</v>
      </c>
      <c r="AW19" s="304" t="s">
        <v>8769</v>
      </c>
      <c r="AX19" s="304" t="s">
        <v>8770</v>
      </c>
      <c r="AY19" s="6761" t="s">
        <v>8771</v>
      </c>
      <c r="AZ19" s="304" t="s">
        <v>10002</v>
      </c>
      <c r="BA19" s="304" t="s">
        <v>10700</v>
      </c>
      <c r="BB19" s="304" t="s">
        <v>10701</v>
      </c>
      <c r="BC19" s="304" t="s">
        <v>10702</v>
      </c>
      <c r="BD19" s="304" t="s">
        <v>10703</v>
      </c>
      <c r="BE19" s="6223" t="s">
        <v>11008</v>
      </c>
      <c r="BF19" s="4"/>
      <c r="BG19" s="6196" t="s">
        <v>191</v>
      </c>
      <c r="BH19" s="6197" t="s">
        <v>8644</v>
      </c>
      <c r="BI19" s="187"/>
      <c r="BJ19" s="6283" t="s">
        <v>130</v>
      </c>
      <c r="BK19" s="6283" t="s">
        <v>130</v>
      </c>
      <c r="BL19" s="6283" t="s">
        <v>130</v>
      </c>
      <c r="BM19" s="6304">
        <f>BQ19 / 1000</f>
        <v>1E-3</v>
      </c>
      <c r="BN19" s="240" t="s">
        <v>111</v>
      </c>
      <c r="BO19" s="240" t="s">
        <v>8773</v>
      </c>
      <c r="BP19" s="223">
        <f t="shared" si="15"/>
        <v>1000</v>
      </c>
      <c r="BQ19" s="239">
        <v>1</v>
      </c>
      <c r="BR19" s="187"/>
      <c r="BS19" s="187"/>
      <c r="BT19" s="187"/>
      <c r="BU19" s="187"/>
      <c r="BV19" s="187"/>
      <c r="BW19" s="187"/>
      <c r="BX19" s="20" t="str">
        <f t="shared" si="12"/>
        <v>A</v>
      </c>
      <c r="BY19" s="5720" t="s">
        <v>8673</v>
      </c>
      <c r="BZ19" s="234"/>
      <c r="CA19" s="234"/>
      <c r="CB19" s="234"/>
      <c r="CC19" s="234"/>
      <c r="CD19" s="5661"/>
      <c r="CE19" s="5721" t="s">
        <v>8691</v>
      </c>
      <c r="CF19" s="5717"/>
      <c r="CG19" s="5705"/>
      <c r="CH19" s="5705"/>
      <c r="CI19" s="5705"/>
      <c r="CJ19" s="5705"/>
      <c r="CK19" s="5706"/>
      <c r="CM19" s="5721" t="s">
        <v>8780</v>
      </c>
      <c r="CN19" s="5717"/>
      <c r="CO19" s="5705"/>
      <c r="CP19" s="5705"/>
      <c r="CQ19" s="5705"/>
      <c r="CR19" s="5705"/>
      <c r="CS19" s="5706"/>
      <c r="CU19" s="5721" t="s">
        <v>8793</v>
      </c>
      <c r="CV19" s="5717"/>
      <c r="CW19" s="5705"/>
      <c r="CX19" s="5705"/>
      <c r="CY19" s="5705"/>
      <c r="CZ19" s="5705"/>
      <c r="DA19" s="5706"/>
      <c r="DC19" s="5">
        <v>1</v>
      </c>
    </row>
    <row r="20" spans="1:107" s="1" customFormat="1" ht="21" customHeight="1" thickTop="1">
      <c r="A20" s="5641" t="s">
        <v>1</v>
      </c>
      <c r="B20" s="5662" t="str">
        <f t="shared" si="11"/>
        <v>A</v>
      </c>
      <c r="C20" s="5825" cm="1">
        <f t="array" ref="C20">SUMPRODUCT(LEN(D20:J20))</f>
        <v>34</v>
      </c>
      <c r="D20" s="5275"/>
      <c r="E20" s="1361" t="s">
        <v>8519</v>
      </c>
      <c r="F20" s="1361"/>
      <c r="G20" s="1361"/>
      <c r="H20" s="1361"/>
      <c r="I20" s="1361"/>
      <c r="J20" s="5276"/>
      <c r="K20" s="106" t="s">
        <v>1</v>
      </c>
      <c r="L20" s="1018" t="s">
        <v>21</v>
      </c>
      <c r="M20" s="41" t="str">
        <f>M18</f>
        <v>C CHIBOUST PAMPLEMOUSSE | collez la--FAMILLE| Auteur &gt; VOUS</v>
      </c>
      <c r="N20" s="40">
        <f>N18</f>
        <v>18</v>
      </c>
      <c r="O20" s="41" t="str">
        <f>O18</f>
        <v>desserts</v>
      </c>
      <c r="P20" s="5386" t="str">
        <f>P18</f>
        <v>Recette mère ► Mille - feuille aux fraises des bois</v>
      </c>
      <c r="Q20" s="5247" t="s">
        <v>198</v>
      </c>
      <c r="R20" s="298" t="s">
        <v>197</v>
      </c>
      <c r="S20" s="297"/>
      <c r="T20" s="6986" t="s">
        <v>196</v>
      </c>
      <c r="U20" s="6987" t="s">
        <v>195</v>
      </c>
      <c r="V20" s="6988" t="s">
        <v>82</v>
      </c>
      <c r="W20" s="5248" t="s">
        <v>194</v>
      </c>
      <c r="X20" s="6869" t="s">
        <v>11041</v>
      </c>
      <c r="Y20" s="6256" t="s">
        <v>783</v>
      </c>
      <c r="Z20" s="6257" t="s">
        <v>191</v>
      </c>
      <c r="AA20" s="6989" t="s">
        <v>929</v>
      </c>
      <c r="AB20" s="6991" t="s">
        <v>191</v>
      </c>
      <c r="AC20" s="6967" t="s">
        <v>8009</v>
      </c>
      <c r="AD20" s="6968" t="s">
        <v>8010</v>
      </c>
      <c r="AE20" s="6873" t="s">
        <v>11041</v>
      </c>
      <c r="AF20" s="6232" t="s">
        <v>21</v>
      </c>
      <c r="AG20" s="6969" t="s">
        <v>8684</v>
      </c>
      <c r="AH20" s="6970"/>
      <c r="AI20" s="6970"/>
      <c r="AJ20" s="6970"/>
      <c r="AK20" s="6971"/>
      <c r="AL20" s="6975" t="s">
        <v>228</v>
      </c>
      <c r="AM20" s="6976"/>
      <c r="AN20" s="6976"/>
      <c r="AO20" s="6976"/>
      <c r="AP20" s="6977"/>
      <c r="AQ20" s="6981" t="s">
        <v>8686</v>
      </c>
      <c r="AR20" s="6982"/>
      <c r="AS20" s="6985" t="s">
        <v>11015</v>
      </c>
      <c r="AT20" s="6985"/>
      <c r="AU20" s="6953" t="s">
        <v>192</v>
      </c>
      <c r="AV20" s="6953"/>
      <c r="AW20" s="6955" t="s">
        <v>8645</v>
      </c>
      <c r="AX20" s="6957" t="s">
        <v>8698</v>
      </c>
      <c r="AY20" s="6959" t="s">
        <v>182</v>
      </c>
      <c r="AZ20" s="6960"/>
      <c r="BA20" s="6963" t="s">
        <v>191</v>
      </c>
      <c r="BB20" s="6965" t="s">
        <v>190</v>
      </c>
      <c r="BC20" s="6944" t="s">
        <v>8702</v>
      </c>
      <c r="BD20" s="6946" t="s">
        <v>180</v>
      </c>
      <c r="BE20" s="6948" t="s">
        <v>185</v>
      </c>
      <c r="BF20" s="4" t="s">
        <v>1</v>
      </c>
      <c r="BG20" s="6196">
        <f>IFERROR(_xlfn.LET(_xlpm.b,(Q20*#REF!)/AO14,IF(ISNUMBER(AS14),_xlpm.b*AS14,IF(OR(ISBLANK(AS14),AS14=""),_xlpm.b*AQ14,IF(AND(BH20=0,ISNUMBER(Q20)),_xlpm.b/AQ14,0)))),0)</f>
        <v>0</v>
      </c>
      <c r="BH20" s="6197">
        <f>IF(AL14&lt;=0,0,IF(ISBLANK(AS14),IFERROR(AQ14/AO14,0),IFERROR(AS14/AO14,0)))</f>
        <v>0</v>
      </c>
      <c r="BI20" s="187"/>
      <c r="BJ20" s="6287" t="s">
        <v>188</v>
      </c>
      <c r="BK20" s="6287" t="s">
        <v>9603</v>
      </c>
      <c r="BL20" s="6287" t="s">
        <v>9604</v>
      </c>
      <c r="BM20" s="6304">
        <f>BQ20 / 1000</f>
        <v>0.25</v>
      </c>
      <c r="BN20" s="240" t="s">
        <v>111</v>
      </c>
      <c r="BO20" s="240" t="s">
        <v>8773</v>
      </c>
      <c r="BP20" s="223">
        <f t="shared" si="15"/>
        <v>4</v>
      </c>
      <c r="BQ20" s="276">
        <v>250</v>
      </c>
      <c r="BR20" s="187"/>
      <c r="BS20" s="187"/>
      <c r="BT20" s="187"/>
      <c r="BU20" s="187"/>
      <c r="BV20" s="187"/>
      <c r="BW20" s="187"/>
      <c r="BX20" s="20" t="str">
        <f t="shared" si="12"/>
        <v>A</v>
      </c>
      <c r="BY20" s="5720"/>
      <c r="BZ20" s="228"/>
      <c r="CA20" s="228"/>
      <c r="CB20" s="227"/>
      <c r="CC20" s="227"/>
      <c r="CD20" s="5661"/>
      <c r="CE20" s="5721"/>
      <c r="CF20" s="5717"/>
      <c r="CG20" s="5705"/>
      <c r="CH20" s="5705"/>
      <c r="CI20" s="5705"/>
      <c r="CJ20" s="5705"/>
      <c r="CK20" s="5706"/>
      <c r="CM20" s="5721"/>
      <c r="CN20" s="5717"/>
      <c r="CO20" s="5705"/>
      <c r="CP20" s="5705"/>
      <c r="CQ20" s="5705"/>
      <c r="CR20" s="5705"/>
      <c r="CS20" s="5706"/>
      <c r="CU20" s="5721"/>
      <c r="CV20" s="5717"/>
      <c r="CW20" s="5705"/>
      <c r="CX20" s="5705"/>
      <c r="CY20" s="5705"/>
      <c r="CZ20" s="5705"/>
      <c r="DA20" s="5706"/>
      <c r="DC20" s="5">
        <v>1</v>
      </c>
    </row>
    <row r="21" spans="1:107" s="1" customFormat="1" ht="21" customHeight="1" thickBot="1">
      <c r="A21" s="5641" t="s">
        <v>1</v>
      </c>
      <c r="B21" s="5662" t="str">
        <f t="shared" si="11"/>
        <v>A</v>
      </c>
      <c r="C21" s="5825" cm="1">
        <f t="array" ref="C21">SUMPRODUCT(LEN(D21:J21))</f>
        <v>71</v>
      </c>
      <c r="D21" s="5275"/>
      <c r="E21" s="1361" t="s">
        <v>10681</v>
      </c>
      <c r="F21" s="1361"/>
      <c r="G21" s="1361"/>
      <c r="H21" s="1361"/>
      <c r="I21" s="1361"/>
      <c r="J21" s="5276"/>
      <c r="K21" s="106" t="s">
        <v>1</v>
      </c>
      <c r="L21" s="1018" t="s">
        <v>21</v>
      </c>
      <c r="M21" s="41" t="str">
        <f>M18</f>
        <v>C CHIBOUST PAMPLEMOUSSE | collez la--FAMILLE| Auteur &gt; VOUS</v>
      </c>
      <c r="N21" s="40">
        <f>N18</f>
        <v>18</v>
      </c>
      <c r="O21" s="41" t="str">
        <f>O18</f>
        <v>desserts</v>
      </c>
      <c r="P21" s="5386" t="str">
        <f>P18</f>
        <v>Recette mère ► Mille - feuille aux fraises des bois</v>
      </c>
      <c r="Q21" s="5249" t="s">
        <v>184</v>
      </c>
      <c r="R21" s="286" t="s">
        <v>162</v>
      </c>
      <c r="S21" s="285" t="s">
        <v>186</v>
      </c>
      <c r="T21" s="6905"/>
      <c r="U21" s="6907"/>
      <c r="V21" s="6909"/>
      <c r="W21" s="5250" t="s">
        <v>185</v>
      </c>
      <c r="X21" s="6870" t="s">
        <v>255</v>
      </c>
      <c r="Y21" s="6252" t="s">
        <v>8578</v>
      </c>
      <c r="Z21" s="6019">
        <v>1</v>
      </c>
      <c r="AA21" s="6990"/>
      <c r="AB21" s="6891"/>
      <c r="AC21" s="6893"/>
      <c r="AD21" s="6895"/>
      <c r="AE21" s="6872" t="s">
        <v>11043</v>
      </c>
      <c r="AF21" s="6232" t="s">
        <v>21</v>
      </c>
      <c r="AG21" s="6972"/>
      <c r="AH21" s="6973"/>
      <c r="AI21" s="6973"/>
      <c r="AJ21" s="6973"/>
      <c r="AK21" s="6974"/>
      <c r="AL21" s="6978"/>
      <c r="AM21" s="6979"/>
      <c r="AN21" s="6979"/>
      <c r="AO21" s="6979"/>
      <c r="AP21" s="6980"/>
      <c r="AQ21" s="6983"/>
      <c r="AR21" s="6984"/>
      <c r="AS21" s="6862" t="s">
        <v>11016</v>
      </c>
      <c r="AT21" s="6863" t="s">
        <v>11014</v>
      </c>
      <c r="AU21" s="6954"/>
      <c r="AV21" s="6954"/>
      <c r="AW21" s="6956"/>
      <c r="AX21" s="6958"/>
      <c r="AY21" s="6961"/>
      <c r="AZ21" s="6962"/>
      <c r="BA21" s="6964"/>
      <c r="BB21" s="6966"/>
      <c r="BC21" s="6945"/>
      <c r="BD21" s="6947"/>
      <c r="BE21" s="6949"/>
      <c r="BF21" s="4" t="s">
        <v>1</v>
      </c>
      <c r="BG21" s="6196">
        <f>IFERROR(_xlfn.LET(_xlpm.b,(Q21*#REF!)/AO15,IF(ISNUMBER(AS15),_xlpm.b*AS15,IF(OR(ISBLANK(AS15),AS15=""),_xlpm.b*AQ15,IF(AND(BH21=0,ISNUMBER(Q21)),_xlpm.b/AQ15,0)))),0)</f>
        <v>0</v>
      </c>
      <c r="BH21" s="6197">
        <f>IF(AL15&lt;=0,0,IF(ISBLANK(AS15),IFERROR(AQ15/AO15,0),IFERROR(AS15/AO15,0)))</f>
        <v>0</v>
      </c>
      <c r="BI21" s="187"/>
      <c r="BJ21" s="6287" t="s">
        <v>179</v>
      </c>
      <c r="BK21" s="6287" t="s">
        <v>9605</v>
      </c>
      <c r="BL21" s="6287" t="s">
        <v>9606</v>
      </c>
      <c r="BM21" s="6304">
        <f>BQ21 / 1000</f>
        <v>0.5</v>
      </c>
      <c r="BN21" s="240" t="s">
        <v>111</v>
      </c>
      <c r="BO21" s="240" t="s">
        <v>8773</v>
      </c>
      <c r="BP21" s="223">
        <f t="shared" si="15"/>
        <v>2</v>
      </c>
      <c r="BQ21" s="276">
        <v>500</v>
      </c>
      <c r="BR21" s="187"/>
      <c r="BS21" s="187"/>
      <c r="BT21" s="187"/>
      <c r="BU21" s="187"/>
      <c r="BV21" s="187"/>
      <c r="BW21" s="187"/>
      <c r="BX21" s="20" t="str">
        <f t="shared" si="12"/>
        <v>A</v>
      </c>
      <c r="BY21" s="5720" t="s">
        <v>8674</v>
      </c>
      <c r="BZ21" s="228"/>
      <c r="CA21" s="228"/>
      <c r="CB21" s="227"/>
      <c r="CC21" s="227"/>
      <c r="CD21" s="5661"/>
      <c r="CE21" s="6249" t="s">
        <v>8692</v>
      </c>
      <c r="CF21" s="5705"/>
      <c r="CG21" s="5705"/>
      <c r="CH21" s="5750">
        <v>45</v>
      </c>
      <c r="CI21" s="5751" t="s">
        <v>157</v>
      </c>
      <c r="CJ21" s="5950"/>
      <c r="CK21" s="6250"/>
      <c r="CM21" s="6249" t="s">
        <v>8807</v>
      </c>
      <c r="CN21" s="5705"/>
      <c r="CO21" s="5705"/>
      <c r="CP21" s="5750">
        <v>45</v>
      </c>
      <c r="CQ21" s="5751" t="s">
        <v>897</v>
      </c>
      <c r="CR21" s="5950"/>
      <c r="CS21" s="6250"/>
      <c r="CU21" s="6249" t="s">
        <v>8818</v>
      </c>
      <c r="CV21" s="5705"/>
      <c r="CW21" s="5705"/>
      <c r="CX21" s="5750">
        <v>45</v>
      </c>
      <c r="CY21" s="5751" t="s">
        <v>8794</v>
      </c>
      <c r="CZ21" s="5950"/>
      <c r="DA21" s="6250"/>
      <c r="DC21" s="5">
        <v>1</v>
      </c>
    </row>
    <row r="22" spans="1:107" s="1" customFormat="1" ht="21" customHeight="1" thickTop="1">
      <c r="A22" s="5641" t="s">
        <v>1</v>
      </c>
      <c r="B22" s="5662" t="str">
        <f t="shared" si="11"/>
        <v>A</v>
      </c>
      <c r="C22" s="5825" cm="1">
        <f t="array" ref="C22">SUMPRODUCT(LEN(D22:J22))</f>
        <v>78</v>
      </c>
      <c r="D22" s="5275"/>
      <c r="E22" s="1361" t="s">
        <v>10682</v>
      </c>
      <c r="F22" s="1361"/>
      <c r="G22" s="1361"/>
      <c r="H22" s="1361"/>
      <c r="I22" s="1361"/>
      <c r="J22" s="5276"/>
      <c r="K22" s="106" t="s">
        <v>1</v>
      </c>
      <c r="L22" s="1018" t="s">
        <v>21</v>
      </c>
      <c r="M22" s="41" t="str">
        <f>M18</f>
        <v>C CHIBOUST PAMPLEMOUSSE | collez la--FAMILLE| Auteur &gt; VOUS</v>
      </c>
      <c r="N22" s="40">
        <f>N18</f>
        <v>18</v>
      </c>
      <c r="O22" s="41" t="str">
        <f>O18</f>
        <v>desserts</v>
      </c>
      <c r="P22" s="5386" t="str">
        <f>P18</f>
        <v>Recette mère ► Mille - feuille aux fraises des bois</v>
      </c>
      <c r="Q22" s="213"/>
      <c r="R22" s="256"/>
      <c r="S22" s="211" t="str">
        <f t="shared" ref="S22:S35" si="17">IF(OR(ISTEXT(Q22), Q22&lt;=0, T22&lt;=0), "", "de")</f>
        <v/>
      </c>
      <c r="T22" s="210">
        <v>150</v>
      </c>
      <c r="U22" s="6283" t="s">
        <v>130</v>
      </c>
      <c r="V22" s="5448">
        <v>1</v>
      </c>
      <c r="W22" s="6866" t="s">
        <v>855</v>
      </c>
      <c r="X22" s="6871" t="s">
        <v>856</v>
      </c>
      <c r="Y22" s="6253">
        <f>IF(AA36=0,0,(AA22/AA36)*Z21*1000)</f>
        <v>210.97046413502107</v>
      </c>
      <c r="Z22" s="6254">
        <f>IF(AA36=0, 0, (Q22*V22)/(AA36*Z21))</f>
        <v>0</v>
      </c>
      <c r="AA22" s="5882">
        <f>IFERROR(_xlfn.LET(_xlpm.v,IFERROR(_xlfn.XLOOKUP(U22,Q37:AD37,Q38:AD38),_xlfn.XLOOKUP(U22,Q39:AD39,Q40:AD40)),_xlpm.v*T22*IF(ISBLANK(Q22),1,Q22)),0)</f>
        <v>0.15</v>
      </c>
      <c r="AB22" s="5251">
        <f>IF(OR(ISBLANK(AC17),AC17=0),0,Q22*AC15*V22/AC17)</f>
        <v>0</v>
      </c>
      <c r="AC22" s="6051">
        <f>IF(OR(ISBLANK(AC17),AC17=0),0,AA22*V22*AC15/AC17)</f>
        <v>0.3</v>
      </c>
      <c r="AD22" s="6459" t="str">
        <f>_xlfn.LET(_xlpm.unite,SUBSTITUTE(TRIM(U22)," (s)",""),_xlpm.val,AC22,_xlpm.estVol,COUNTIF(W37:AD37,_xlpm.unite)+COUNTIF(W39:AD39,_xlpm.unite)&gt;0,_xlpm.estPoids,COUNTIF(Q37:V37,_xlpm.unite)+COUNTIF(Q39:V39,_xlpm.unite)&gt;0,IF(_xlpm.estVol,IF(ROUND(_xlpm.val,3)&gt;=1,ROUND(_xlpm.val,3)&amp;"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300 g</v>
      </c>
      <c r="AE22" s="6872" t="s">
        <v>11044</v>
      </c>
      <c r="AF22" s="6202" t="str">
        <f t="shared" ref="AF22:AF85" si="18">IF(OR(AO22&gt;0,TRIM(AG22)="▼ recette suivante"),"A","►")</f>
        <v>A</v>
      </c>
      <c r="AG22" s="6234" t="str">
        <f t="shared" ref="AG22:AG85" si="19">IF(TRIM(Q22)="Adresse PC","▼ recette suivante",IF(AO22&gt;0,M22,""))</f>
        <v>C CHIBOUST PAMPLEMOUSSE | collez la--FAMILLE| Auteur &gt; VOUS</v>
      </c>
      <c r="AH22" s="6732">
        <f t="shared" ref="AH22:AH85" si="20">IF(AF22="A",N22,"")</f>
        <v>18</v>
      </c>
      <c r="AI22" s="6234" t="str">
        <f t="shared" ref="AI22:AI85" si="21">IF(AF22="A",O22,"")</f>
        <v>desserts</v>
      </c>
      <c r="AJ22" s="6732" t="str">
        <f t="shared" ref="AJ22:AJ85" si="22">IF(AF22="A",U22,"")</f>
        <v>g</v>
      </c>
      <c r="AK22" s="6732">
        <f t="shared" ref="AK22:AK85" si="23">IF(AND(L22="A",COUNTIF($BJ$15:$BL$62,TRIM(U22))&gt;0),1,0)</f>
        <v>1</v>
      </c>
      <c r="AL22" s="6230" cm="1">
        <f t="array" ref="AL22">IF(AF22&lt;&gt;"A","",IFERROR((IFERROR(_xlfn.XLOOKUP(TRIM(SUBSTITUTE(U22,CHAR(160)," ")),$BJ$15:$BJ$62,$BM$15:$BM$62),IFERROR(_xlfn.XLOOKUP(TRIM(SUBSTITUTE(U22,CHAR(160)," ")),$BK$15:$BK$62,$BM$15:$BM$62),_xlfn.XLOOKUP(TRIM(SUBSTITUTE(U22,CHAR(160)," ")),$BL$15:$BL$62,$BM$15:$BM$62))))*T22*IF(ISBLANK(Q22),1,Q22)+IFERROR(_xlfn.XLOOKUP("RECHERCHEX",TRIM(L22:AD22),L22:AD22),0),0))</f>
        <v>0.15</v>
      </c>
      <c r="AM22" s="6229" t="str">
        <f t="shared" ref="AM22:AM85" si="24">IF(AK22,IF(AL22&gt;0,"Kg",0),0)</f>
        <v>Kg</v>
      </c>
      <c r="AN22" s="6857" t="str">
        <f t="shared" ref="AN22:AN28" si="25">IF(AF22="A","❾ Author reference &gt;","")</f>
        <v>❾ Author reference &gt;</v>
      </c>
      <c r="AO22" s="392">
        <f t="shared" ref="AO22:AO85" si="26">IF(AK22,N22,0)</f>
        <v>18</v>
      </c>
      <c r="AP22" s="392" t="str">
        <f t="shared" ref="AP22:AP85" si="27">IF(AK22,O22,0)</f>
        <v>desserts</v>
      </c>
      <c r="AQ22" s="6190">
        <f t="shared" ref="AQ22:AQ85" si="28">IF(AO22&gt;0,AS$9,0)</f>
        <v>20</v>
      </c>
      <c r="AR22" s="6858" t="str">
        <f t="shared" ref="AR22:AR85" si="29">IF(TRIM(AG22)="▼ recette suivante", AG22, IF(AQ22&gt;0, IF(AT$9&lt;&gt;"", AT$9&amp;"-ou.or.o ❾ + or - &gt;", ""), ""))</f>
        <v>parts-ou.or.o ❾ + or - &gt;</v>
      </c>
      <c r="AS22" s="6860"/>
      <c r="AT22" s="6860"/>
      <c r="AU22" s="6271">
        <f t="shared" ref="AU22:AU85" si="30">IF(TRIM(AM22)="Kg",N(AL22)*N(BH22),0)</f>
        <v>0.16666666666666666</v>
      </c>
      <c r="AV22" s="6242" t="str">
        <f t="shared" ref="AV22:AV85" si="31">IF(AK22,IF(OR(AU22="",N(AU22)&lt;=0.000000001),"",_xlfn.XLOOKUP(AJ22,$BJ$15:$BJ$62,$BN$15:$BN$62,_xlfn.XLOOKUP(AJ22,$BK$15:$BK$62,$BN$15:$BN$62,_xlfn.XLOOKUP(AJ22,$BL$15:$BL$62,$BN$15:$BN$62,"")))),0)</f>
        <v>Kg</v>
      </c>
      <c r="AW22" s="6188" t="str" cm="1">
        <f t="array" ref="AW22">IF(AK22&lt;&gt;1,0,IF(OR(AU22="",N(AU22)&lt;=0.000000001),"",IF(OR(AO22="",N(AO22)&lt;=0.000000001),0,IF(ISNUMBER(AU22),IFERROR(_xlfn.LET(_xlpm.ai_test,TRIM(AJ22),_xlpm.r,IFERROR(_xlfn.XLOOKUP(_xlpm.ai_test,$BJ$15:$BJ$62,ROW($BJ$15:$BJ$62),0,1),IFERROR(_xlfn.XLOOKUP(_xlpm.ai_test,$BK$15:$BK$62,ROW($BK$15:$BK$62),0,1),_xlfn.XLOOKUP(_xlpm.ai_test,$BL$15:$BL$62,ROW($BL$15:$BL$62),0,1))),_xlpm.p,_xlpm.r-MIN(ROW($BJ$15:$BJ$62))+1,_xlpm.f,INDEX($BM$15:$BM$62,_xlpm.p),_xlpm.u,INDEX($BN$15:$BN$62,_xlpm.p),_xlpm.s,INDEX($BP$15:$BP$62,_xlpm.p),_xlpm.q,N(AU22)/_xlpm.f,IF(_xlpm.q&gt;=_xlpm.s,ROUND(_xlpm.q,1)&amp;" "&amp;_xlpm.ai_test&amp;" = "&amp;ROUND(_xlpm.q*_xlpm.f,1)&amp;" "&amp;_xlpm.u,ROUND(_xlpm.q,1)&amp;" "&amp;_xlpm.ai_test)),""),""))))</f>
        <v>166.7 g</v>
      </c>
      <c r="AX22" s="6218"/>
      <c r="AY22" s="6271">
        <f t="shared" ref="AY22:AY85" si="32">IF(TRIM(AG22)="▼ recette suivante","▼next recipe ",IF(AU22="","",IF(ISBLANK(AX22),AU22,ROUND(AU22*(1-MIN(1,MAX(0,IF(AX22&gt;1,AX22/100,AX22)))),3))))</f>
        <v>0.16666666666666666</v>
      </c>
      <c r="AZ22" s="6242" t="str">
        <f t="shared" ref="AZ22:AZ85" si="33">IF(AK22,AV22,"")</f>
        <v>Kg</v>
      </c>
      <c r="BA22" s="6194">
        <f>IF(ISNUMBER(BG22),IF(ABS(BG22)&lt;=0.000000001,0,BG22),0)</f>
        <v>0</v>
      </c>
      <c r="BB22" s="6192" t="str">
        <f t="shared" ref="BB22:BB85" si="34">IF(AK22,IF(N(BA22)&gt;0.000000001,R22,""),"")</f>
        <v/>
      </c>
      <c r="BC22" s="6219">
        <v>1</v>
      </c>
      <c r="BD22" s="6221">
        <f t="shared" ref="BD22:BD25" si="35">IF(OR(AO22=0,ISBLANK(BC22),ISTEXT(BA22)),0,(IF(AU22=0,BA22,AU22)*BC22))</f>
        <v>0.16666666666666666</v>
      </c>
      <c r="BE22" s="6220" t="str">
        <f t="shared" ref="BE22:BE85" si="36">IF(IFERROR(SEARCH("Adresse PC",TRIM(Q22)),0)&gt;0,"▼ receta siguiente",IF(AY22&gt;0,W22,""))</f>
        <v>crème</v>
      </c>
      <c r="BF22" s="4" t="s">
        <v>1</v>
      </c>
      <c r="BG22" s="6196">
        <f t="shared" ref="BG22:BG85" si="37">IFERROR(_xlfn.LET(_xlpm.EPS,0.000000001,_xlpm.b,Q22/AO22,IF(ISNUMBER(AS22),_xlpm.b*AS22,IF(OR(ISBLANK(AS22),AS22=""),_xlpm.b*AQ22,IF(AND(BH22=0,ISNUMBER(Q22)),_xlpm.b/AQ22,0)))),0)</f>
        <v>0</v>
      </c>
      <c r="BH22" s="6197">
        <f t="shared" ref="BH22:BH85" si="38">IF(AL22&gt;0,IFERROR(IF(OR(ISBLANK(AS22),AS22=""),AQ22,AS22)/AO22,0),0)</f>
        <v>1.1111111111111112</v>
      </c>
      <c r="BI22" s="187"/>
      <c r="BJ22" s="6287" t="s">
        <v>176</v>
      </c>
      <c r="BK22" s="6287" t="s">
        <v>9607</v>
      </c>
      <c r="BL22" s="6287" t="s">
        <v>9608</v>
      </c>
      <c r="BM22" s="6304">
        <f>BQ22 / 1000</f>
        <v>0.33300000000000002</v>
      </c>
      <c r="BN22" s="240" t="s">
        <v>111</v>
      </c>
      <c r="BO22" s="240" t="s">
        <v>8773</v>
      </c>
      <c r="BP22" s="223">
        <f t="shared" si="15"/>
        <v>3</v>
      </c>
      <c r="BQ22" s="276">
        <v>333</v>
      </c>
      <c r="BR22" s="187"/>
      <c r="BS22" s="187"/>
      <c r="BT22" s="187"/>
      <c r="BU22" s="187"/>
      <c r="BV22" s="187"/>
      <c r="BW22" s="187"/>
      <c r="BX22" s="20" t="str">
        <f t="shared" si="12"/>
        <v>A</v>
      </c>
      <c r="BY22" s="255"/>
      <c r="BZ22" s="228"/>
      <c r="CA22" s="228"/>
      <c r="CB22" s="227"/>
      <c r="CC22" s="227"/>
      <c r="CD22" s="5661"/>
      <c r="CE22" s="6251"/>
      <c r="CF22" s="5950"/>
      <c r="CG22" s="5950"/>
      <c r="CH22" s="5950"/>
      <c r="CI22" s="6248" t="s">
        <v>8776</v>
      </c>
      <c r="CJ22" s="5950"/>
      <c r="CK22" s="6250"/>
      <c r="CM22" s="6251"/>
      <c r="CN22" s="5950"/>
      <c r="CO22" s="5950"/>
      <c r="CP22" s="5950"/>
      <c r="CQ22" s="6248" t="s">
        <v>9609</v>
      </c>
      <c r="CR22" s="5950"/>
      <c r="CS22" s="6250"/>
      <c r="CU22" s="6251"/>
      <c r="CV22" s="5950"/>
      <c r="CW22" s="5950"/>
      <c r="CX22" s="5950"/>
      <c r="CY22" s="6248" t="s">
        <v>9610</v>
      </c>
      <c r="CZ22" s="5950"/>
      <c r="DA22" s="6250"/>
      <c r="DC22" s="5">
        <v>1</v>
      </c>
    </row>
    <row r="23" spans="1:107" s="1" customFormat="1" ht="21" customHeight="1">
      <c r="A23" s="5641" t="s">
        <v>1</v>
      </c>
      <c r="B23" s="5662" t="str">
        <f t="shared" si="11"/>
        <v>A</v>
      </c>
      <c r="C23" s="5825" cm="1">
        <f t="array" ref="C23">SUMPRODUCT(LEN(D23:J23))</f>
        <v>0</v>
      </c>
      <c r="D23" s="5275"/>
      <c r="E23" s="1361"/>
      <c r="F23" s="1361"/>
      <c r="G23" s="1361"/>
      <c r="H23" s="1361"/>
      <c r="I23" s="1361"/>
      <c r="J23" s="5276"/>
      <c r="K23" s="106" t="s">
        <v>1</v>
      </c>
      <c r="L23" s="1021" t="str">
        <f t="shared" ref="L23:L35" si="39">IF(W23&lt;&gt;"","A","►")</f>
        <v>A</v>
      </c>
      <c r="M23" s="41" t="str">
        <f>M18</f>
        <v>C CHIBOUST PAMPLEMOUSSE | collez la--FAMILLE| Auteur &gt; VOUS</v>
      </c>
      <c r="N23" s="40">
        <f>N18</f>
        <v>18</v>
      </c>
      <c r="O23" s="41" t="str">
        <f>O18</f>
        <v>desserts</v>
      </c>
      <c r="P23" s="5386" t="str">
        <f>P18</f>
        <v>Recette mère ► Mille - feuille aux fraises des bois</v>
      </c>
      <c r="Q23" s="213"/>
      <c r="R23" s="256"/>
      <c r="S23" s="211" t="str">
        <f t="shared" si="17"/>
        <v/>
      </c>
      <c r="T23" s="210">
        <v>8</v>
      </c>
      <c r="U23" s="6283" t="s">
        <v>130</v>
      </c>
      <c r="V23" s="5448">
        <v>1</v>
      </c>
      <c r="W23" s="6866" t="s">
        <v>858</v>
      </c>
      <c r="X23" s="6871"/>
      <c r="Y23" s="6253">
        <f>IF(AA36=0,0,(AA23/AA36)*Z21*1000)</f>
        <v>11.251758087201123</v>
      </c>
      <c r="Z23" s="6255">
        <f>IF(AA36=0, 0, (Q23*V23)/(AA36*Z21))</f>
        <v>0</v>
      </c>
      <c r="AA23" s="5882">
        <f>IFERROR(_xlfn.LET(_xlpm.v,IFERROR(_xlfn.XLOOKUP(U23,Q37:AD37,Q38:AD38),_xlfn.XLOOKUP(U23,Q39:AD39,Q40:AD40)),_xlpm.v*T23*IF(ISBLANK(Q23),1,Q23)),0)</f>
        <v>8.0000000000000002E-3</v>
      </c>
      <c r="AB23" s="5254">
        <f>IF(OR(ISBLANK(AC17),AC17=0),0,Q23*AC15*V23/AC17)</f>
        <v>0</v>
      </c>
      <c r="AC23" s="6051">
        <f>IF(OR(ISBLANK(AC17),AC17=0),0,AA23*V23*AC15/AC17)</f>
        <v>1.6E-2</v>
      </c>
      <c r="AD23" s="6199" t="str">
        <f>_xlfn.LET(_xlpm.unite,SUBSTITUTE(TRIM(U23)," (s)",""),_xlpm.val,AC23,_xlpm.estVol,COUNTIF(W37:AD37,_xlpm.unite)+COUNTIF(W39:AD39,_xlpm.unite)&gt;0,_xlpm.estPoids,COUNTIF(Q37:V37,_xlpm.unite)+COUNTIF(Q39:V39,_xlpm.unite)&gt;0,IF(_xlpm.estVol,IF(ROUND(_xlpm.val,3)&gt;=1,ROUND(_xlpm.val,3)&amp;"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16 g</v>
      </c>
      <c r="AE23" s="6872" t="s">
        <v>11045</v>
      </c>
      <c r="AF23" s="6202" t="str">
        <f t="shared" si="18"/>
        <v>A</v>
      </c>
      <c r="AG23" s="6234" t="str">
        <f t="shared" si="19"/>
        <v>C CHIBOUST PAMPLEMOUSSE | collez la--FAMILLE| Auteur &gt; VOUS</v>
      </c>
      <c r="AH23" s="6732">
        <f t="shared" si="20"/>
        <v>18</v>
      </c>
      <c r="AI23" s="6234" t="str">
        <f t="shared" si="21"/>
        <v>desserts</v>
      </c>
      <c r="AJ23" s="6732" t="str">
        <f t="shared" si="22"/>
        <v>g</v>
      </c>
      <c r="AK23" s="6732">
        <f t="shared" si="23"/>
        <v>1</v>
      </c>
      <c r="AL23" s="6230" cm="1">
        <f t="array" ref="AL23">IF(AF23&lt;&gt;"A","",IFERROR((IFERROR(_xlfn.XLOOKUP(TRIM(SUBSTITUTE(U23,CHAR(160)," ")),$BJ$15:$BJ$62,$BM$15:$BM$62),IFERROR(_xlfn.XLOOKUP(TRIM(SUBSTITUTE(U23,CHAR(160)," ")),$BK$15:$BK$62,$BM$15:$BM$62),_xlfn.XLOOKUP(TRIM(SUBSTITUTE(U23,CHAR(160)," ")),$BL$15:$BL$62,$BM$15:$BM$62))))*T23*IF(ISBLANK(Q23),1,Q23)+IFERROR(_xlfn.XLOOKUP("RECHERCHEX",TRIM(L23:AD23),L23:AD23),0),0))</f>
        <v>8.0000000000000002E-3</v>
      </c>
      <c r="AM23" s="6229" t="str">
        <f t="shared" si="24"/>
        <v>Kg</v>
      </c>
      <c r="AN23" s="6857" t="str">
        <f t="shared" si="25"/>
        <v>❾ Author reference &gt;</v>
      </c>
      <c r="AO23" s="392">
        <f t="shared" si="26"/>
        <v>18</v>
      </c>
      <c r="AP23" s="392" t="str">
        <f t="shared" si="27"/>
        <v>desserts</v>
      </c>
      <c r="AQ23" s="6191">
        <f t="shared" si="28"/>
        <v>20</v>
      </c>
      <c r="AR23" s="6859" t="str">
        <f t="shared" si="29"/>
        <v>parts-ou.or.o ❾ + or - &gt;</v>
      </c>
      <c r="AS23" s="6275"/>
      <c r="AT23" s="6275"/>
      <c r="AU23" s="6272">
        <f t="shared" si="30"/>
        <v>8.8888888888888889E-3</v>
      </c>
      <c r="AV23" s="6240" t="str">
        <f t="shared" si="31"/>
        <v>Kg</v>
      </c>
      <c r="AW23" s="6189" t="str" cm="1">
        <f t="array" ref="AW23">IF(AK23&lt;&gt;1,0,IF(OR(AU23="",N(AU23)&lt;=0.000000001),"",IF(OR(AO23="",N(AO23)&lt;=0.000000001),0,IF(ISNUMBER(AU23),IFERROR(_xlfn.LET(_xlpm.ai_test,TRIM(AJ23),_xlpm.r,IFERROR(_xlfn.XLOOKUP(_xlpm.ai_test,$BJ$15:$BJ$62,ROW($BJ$15:$BJ$62),0,1),IFERROR(_xlfn.XLOOKUP(_xlpm.ai_test,$BK$15:$BK$62,ROW($BK$15:$BK$62),0,1),_xlfn.XLOOKUP(_xlpm.ai_test,$BL$15:$BL$62,ROW($BL$15:$BL$62),0,1))),_xlpm.p,_xlpm.r-MIN(ROW($BJ$15:$BJ$62))+1,_xlpm.f,INDEX($BM$15:$BM$62,_xlpm.p),_xlpm.u,INDEX($BN$15:$BN$62,_xlpm.p),_xlpm.s,INDEX($BP$15:$BP$62,_xlpm.p),_xlpm.q,N(AU23)/_xlpm.f,IF(_xlpm.q&gt;=_xlpm.s,ROUND(_xlpm.q,1)&amp;" "&amp;_xlpm.ai_test&amp;" = "&amp;ROUND(_xlpm.q*_xlpm.f,1)&amp;" "&amp;_xlpm.u,ROUND(_xlpm.q,1)&amp;" "&amp;_xlpm.ai_test)),""),""))))</f>
        <v>8.9 g</v>
      </c>
      <c r="AX23" s="6218"/>
      <c r="AY23" s="6272">
        <f t="shared" si="32"/>
        <v>8.8888888888888889E-3</v>
      </c>
      <c r="AZ23" s="6240" t="str">
        <f t="shared" si="33"/>
        <v>Kg</v>
      </c>
      <c r="BA23" s="6195">
        <f t="shared" ref="BA23:BA86" si="40">IF(ISNUMBER(BG23),IF(ABS(BG23)&lt;=0.000000001,0,BG23),0)</f>
        <v>0</v>
      </c>
      <c r="BB23" s="6193" t="str">
        <f t="shared" si="34"/>
        <v/>
      </c>
      <c r="BC23" s="6219">
        <v>1</v>
      </c>
      <c r="BD23" s="6222">
        <f t="shared" si="35"/>
        <v>8.8888888888888889E-3</v>
      </c>
      <c r="BE23" s="6220" t="str">
        <f t="shared" si="36"/>
        <v>zestes de pamplemousse</v>
      </c>
      <c r="BF23" s="4" t="s">
        <v>1</v>
      </c>
      <c r="BG23" s="6196">
        <f t="shared" si="37"/>
        <v>0</v>
      </c>
      <c r="BH23" s="6197">
        <f t="shared" si="38"/>
        <v>1.1111111111111112</v>
      </c>
      <c r="BI23" s="187"/>
      <c r="BJ23" s="6702" t="s">
        <v>88</v>
      </c>
      <c r="BK23" s="6702" t="s">
        <v>88</v>
      </c>
      <c r="BL23" s="6702" t="s">
        <v>88</v>
      </c>
      <c r="BM23" s="6304">
        <v>1</v>
      </c>
      <c r="BN23" s="6274" t="s">
        <v>8766</v>
      </c>
      <c r="BO23" s="6274" t="s">
        <v>8774</v>
      </c>
      <c r="BP23" s="223">
        <f t="shared" si="15"/>
        <v>1</v>
      </c>
      <c r="BQ23" s="222">
        <v>1000</v>
      </c>
      <c r="BR23" s="187"/>
      <c r="BS23" s="187"/>
      <c r="BT23" s="187"/>
      <c r="BU23" s="187"/>
      <c r="BV23" s="187"/>
      <c r="BW23" s="187"/>
      <c r="BX23" s="20" t="str">
        <f t="shared" si="12"/>
        <v>A</v>
      </c>
      <c r="BY23" s="234"/>
      <c r="BZ23" s="234"/>
      <c r="CA23" s="234"/>
      <c r="CB23" s="234"/>
      <c r="CC23" s="234"/>
      <c r="CD23" s="5661"/>
      <c r="CE23" s="6251"/>
      <c r="CF23" s="5950"/>
      <c r="CG23" s="5950"/>
      <c r="CH23" s="5950"/>
      <c r="CI23" s="6300" t="s">
        <v>8491</v>
      </c>
      <c r="CJ23" s="5950"/>
      <c r="CK23" s="6250"/>
      <c r="CM23" s="6251"/>
      <c r="CN23" s="5950"/>
      <c r="CO23" s="5950"/>
      <c r="CP23" s="5950"/>
      <c r="CQ23" s="6248" t="s">
        <v>9611</v>
      </c>
      <c r="CR23" s="5950"/>
      <c r="CS23" s="6250"/>
      <c r="CU23" s="6251"/>
      <c r="CV23" s="5950"/>
      <c r="CW23" s="5950"/>
      <c r="CX23" s="5950"/>
      <c r="CY23" s="6300" t="s">
        <v>9612</v>
      </c>
      <c r="CZ23" s="5950"/>
      <c r="DA23" s="6250"/>
      <c r="DC23" s="5">
        <v>1</v>
      </c>
    </row>
    <row r="24" spans="1:107" s="1" customFormat="1" ht="21" customHeight="1">
      <c r="A24" s="5641" t="s">
        <v>1</v>
      </c>
      <c r="B24" s="5662" t="str">
        <f t="shared" si="11"/>
        <v>A</v>
      </c>
      <c r="C24" s="5825" cm="1">
        <f t="array" ref="C24">SUMPRODUCT(LEN(D24:J24))</f>
        <v>0</v>
      </c>
      <c r="D24" s="5275"/>
      <c r="E24" s="1361"/>
      <c r="F24" s="1361"/>
      <c r="G24" s="1361"/>
      <c r="H24" s="1361"/>
      <c r="I24" s="1361"/>
      <c r="J24" s="5276"/>
      <c r="K24" s="106" t="s">
        <v>1</v>
      </c>
      <c r="L24" s="1021" t="str">
        <f t="shared" si="39"/>
        <v>A</v>
      </c>
      <c r="M24" s="41" t="str">
        <f>M18</f>
        <v>C CHIBOUST PAMPLEMOUSSE | collez la--FAMILLE| Auteur &gt; VOUS</v>
      </c>
      <c r="N24" s="40">
        <f>N18</f>
        <v>18</v>
      </c>
      <c r="O24" s="41" t="str">
        <f>O18</f>
        <v>desserts</v>
      </c>
      <c r="P24" s="5386" t="str">
        <f>P18</f>
        <v>Recette mère ► Mille - feuille aux fraises des bois</v>
      </c>
      <c r="Q24" s="213"/>
      <c r="R24" s="212"/>
      <c r="S24" s="211" t="str">
        <f t="shared" si="17"/>
        <v/>
      </c>
      <c r="T24" s="210">
        <v>105</v>
      </c>
      <c r="U24" s="6283" t="s">
        <v>130</v>
      </c>
      <c r="V24" s="5448">
        <v>1</v>
      </c>
      <c r="W24" s="6866" t="s">
        <v>11062</v>
      </c>
      <c r="X24" s="6871" t="s">
        <v>11051</v>
      </c>
      <c r="Y24" s="6253">
        <f>IF(AA36=0,0,(AA24/AA36)*Z21*1000)</f>
        <v>147.67932489451474</v>
      </c>
      <c r="Z24" s="6255">
        <f>IF(AA36=0, 0, (Q24*V24)/(AA36*Z21))</f>
        <v>0</v>
      </c>
      <c r="AA24" s="5882">
        <f>IFERROR(_xlfn.LET(_xlpm.v,IFERROR(_xlfn.XLOOKUP(U24,Q37:AD37,Q38:AD38),_xlfn.XLOOKUP(U24,Q39:AD39,Q40:AD40)),_xlpm.v*T24*IF(ISBLANK(Q24),1,Q24)),0)</f>
        <v>0.105</v>
      </c>
      <c r="AB24" s="5256">
        <f>IF(OR(ISBLANK(AC17),AC17=0),0,Q24*AC15*V24/AC17)</f>
        <v>0</v>
      </c>
      <c r="AC24" s="6051">
        <f>IF(OR(ISBLANK(AC17),AC17=0),0,AA24*V24*AC15/AC17)</f>
        <v>0.21</v>
      </c>
      <c r="AD24" s="6198" t="str">
        <f>_xlfn.LET(_xlpm.unite,SUBSTITUTE(TRIM(U24)," (s)",""),_xlpm.val,AC24,_xlpm.estVol,COUNTIF(W37:AD37,_xlpm.unite)+COUNTIF(W39:AD39,_xlpm.unite)&gt;0,_xlpm.estPoids,COUNTIF(Q37:V37,_xlpm.unite)+COUNTIF(Q39:V39,_xlpm.unite)&gt;0,IF(_xlpm.estVol,IF(ROUND(_xlpm.val,3)&gt;=1,ROUND(_xlpm.val,3)&amp;"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210 g</v>
      </c>
      <c r="AE24" s="6872" t="s">
        <v>11046</v>
      </c>
      <c r="AF24" s="6202" t="str">
        <f t="shared" si="18"/>
        <v>A</v>
      </c>
      <c r="AG24" s="6234" t="str">
        <f t="shared" si="19"/>
        <v>C CHIBOUST PAMPLEMOUSSE | collez la--FAMILLE| Auteur &gt; VOUS</v>
      </c>
      <c r="AH24" s="6732">
        <f t="shared" si="20"/>
        <v>18</v>
      </c>
      <c r="AI24" s="6234" t="str">
        <f t="shared" si="21"/>
        <v>desserts</v>
      </c>
      <c r="AJ24" s="6732" t="str">
        <f t="shared" si="22"/>
        <v>g</v>
      </c>
      <c r="AK24" s="6732">
        <f t="shared" si="23"/>
        <v>1</v>
      </c>
      <c r="AL24" s="6230" cm="1">
        <f t="array" ref="AL24">IF(AF24&lt;&gt;"A","",IFERROR((IFERROR(_xlfn.XLOOKUP(TRIM(SUBSTITUTE(U24,CHAR(160)," ")),$BJ$15:$BJ$62,$BM$15:$BM$62),IFERROR(_xlfn.XLOOKUP(TRIM(SUBSTITUTE(U24,CHAR(160)," ")),$BK$15:$BK$62,$BM$15:$BM$62),_xlfn.XLOOKUP(TRIM(SUBSTITUTE(U24,CHAR(160)," ")),$BL$15:$BL$62,$BM$15:$BM$62))))*T24*IF(ISBLANK(Q24),1,Q24)+IFERROR(_xlfn.XLOOKUP("RECHERCHEX",TRIM(L24:AD24),L24:AD24),0),0))</f>
        <v>0.105</v>
      </c>
      <c r="AM24" s="6229" t="str">
        <f t="shared" si="24"/>
        <v>Kg</v>
      </c>
      <c r="AN24" s="6857" t="str">
        <f t="shared" si="25"/>
        <v>❾ Author reference &gt;</v>
      </c>
      <c r="AO24" s="392">
        <f t="shared" si="26"/>
        <v>18</v>
      </c>
      <c r="AP24" s="392" t="str">
        <f t="shared" si="27"/>
        <v>desserts</v>
      </c>
      <c r="AQ24" s="6190">
        <f t="shared" si="28"/>
        <v>20</v>
      </c>
      <c r="AR24" s="6858" t="str">
        <f t="shared" si="29"/>
        <v>parts-ou.or.o ❾ + or - &gt;</v>
      </c>
      <c r="AS24" s="6275"/>
      <c r="AT24" s="6275"/>
      <c r="AU24" s="6271">
        <f t="shared" si="30"/>
        <v>0.11666666666666667</v>
      </c>
      <c r="AV24" s="6242" t="str">
        <f t="shared" si="31"/>
        <v>Kg</v>
      </c>
      <c r="AW24" s="6188" t="str" cm="1">
        <f t="array" ref="AW24">IF(AK24&lt;&gt;1,0,IF(OR(AU24="",N(AU24)&lt;=0.000000001),"",IF(OR(AO24="",N(AO24)&lt;=0.000000001),0,IF(ISNUMBER(AU24),IFERROR(_xlfn.LET(_xlpm.ai_test,TRIM(AJ24),_xlpm.r,IFERROR(_xlfn.XLOOKUP(_xlpm.ai_test,$BJ$15:$BJ$62,ROW($BJ$15:$BJ$62),0,1),IFERROR(_xlfn.XLOOKUP(_xlpm.ai_test,$BK$15:$BK$62,ROW($BK$15:$BK$62),0,1),_xlfn.XLOOKUP(_xlpm.ai_test,$BL$15:$BL$62,ROW($BL$15:$BL$62),0,1))),_xlpm.p,_xlpm.r-MIN(ROW($BJ$15:$BJ$62))+1,_xlpm.f,INDEX($BM$15:$BM$62,_xlpm.p),_xlpm.u,INDEX($BN$15:$BN$62,_xlpm.p),_xlpm.s,INDEX($BP$15:$BP$62,_xlpm.p),_xlpm.q,N(AU24)/_xlpm.f,IF(_xlpm.q&gt;=_xlpm.s,ROUND(_xlpm.q,1)&amp;" "&amp;_xlpm.ai_test&amp;" = "&amp;ROUND(_xlpm.q*_xlpm.f,1)&amp;" "&amp;_xlpm.u,ROUND(_xlpm.q,1)&amp;" "&amp;_xlpm.ai_test)),""),""))))</f>
        <v>116.7 g</v>
      </c>
      <c r="AX24" s="6218"/>
      <c r="AY24" s="6271">
        <f t="shared" si="32"/>
        <v>0.11666666666666667</v>
      </c>
      <c r="AZ24" s="6242" t="str">
        <f t="shared" si="33"/>
        <v>Kg</v>
      </c>
      <c r="BA24" s="6194">
        <f t="shared" si="40"/>
        <v>0</v>
      </c>
      <c r="BB24" s="6192" t="str">
        <f t="shared" si="34"/>
        <v/>
      </c>
      <c r="BC24" s="6219">
        <v>1</v>
      </c>
      <c r="BD24" s="6221">
        <f t="shared" si="35"/>
        <v>0.11666666666666667</v>
      </c>
      <c r="BE24" s="6220" t="str">
        <f t="shared" si="36"/>
        <v>jaunes d'œufs*</v>
      </c>
      <c r="BF24" s="4" t="s">
        <v>1</v>
      </c>
      <c r="BG24" s="6196">
        <f t="shared" si="37"/>
        <v>0</v>
      </c>
      <c r="BH24" s="6197">
        <f t="shared" si="38"/>
        <v>1.1111111111111112</v>
      </c>
      <c r="BI24" s="187"/>
      <c r="BJ24" s="6285" t="s">
        <v>172</v>
      </c>
      <c r="BK24" s="6285" t="s">
        <v>172</v>
      </c>
      <c r="BL24" s="6285" t="s">
        <v>172</v>
      </c>
      <c r="BM24" s="6304">
        <v>0.1</v>
      </c>
      <c r="BN24" s="6274" t="s">
        <v>8766</v>
      </c>
      <c r="BO24" s="6274" t="s">
        <v>8774</v>
      </c>
      <c r="BP24" s="223">
        <f>ROUND(1/BM24,0)</f>
        <v>10</v>
      </c>
      <c r="BQ24" s="222">
        <v>100</v>
      </c>
      <c r="BR24" s="187"/>
      <c r="BS24" s="187"/>
      <c r="BT24" s="187"/>
      <c r="BU24" s="187"/>
      <c r="BV24" s="187"/>
      <c r="BW24" s="187"/>
      <c r="BX24" s="20" t="str">
        <f t="shared" si="12"/>
        <v>A</v>
      </c>
      <c r="BY24" s="234"/>
      <c r="BZ24" s="234"/>
      <c r="CA24" s="234"/>
      <c r="CB24" s="234"/>
      <c r="CC24" s="234"/>
      <c r="CD24" s="5661"/>
      <c r="CE24" s="5716"/>
      <c r="CF24" s="5738"/>
      <c r="CG24" s="5705"/>
      <c r="CH24" s="5755" t="s">
        <v>11020</v>
      </c>
      <c r="CI24" s="5705"/>
      <c r="CJ24" s="5705"/>
      <c r="CK24" s="5706"/>
      <c r="CM24" s="5716"/>
      <c r="CN24" s="5738"/>
      <c r="CO24" s="5705"/>
      <c r="CP24" s="5755" t="s">
        <v>11021</v>
      </c>
      <c r="CQ24" s="5705"/>
      <c r="CR24" s="5705"/>
      <c r="CS24" s="5706"/>
      <c r="CU24" s="5716"/>
      <c r="CV24" s="5738"/>
      <c r="CW24" s="5705"/>
      <c r="CX24" s="5755" t="s">
        <v>11022</v>
      </c>
      <c r="CY24" s="5705"/>
      <c r="CZ24" s="5705"/>
      <c r="DA24" s="5706"/>
      <c r="DC24" s="5">
        <v>1</v>
      </c>
    </row>
    <row r="25" spans="1:107" s="1" customFormat="1" ht="21" customHeight="1">
      <c r="A25" s="5641" t="s">
        <v>1</v>
      </c>
      <c r="B25" s="5662" t="str">
        <f t="shared" si="11"/>
        <v>A</v>
      </c>
      <c r="C25" s="5825" cm="1">
        <f t="array" ref="C25">SUMPRODUCT(LEN(D25:J25))</f>
        <v>0</v>
      </c>
      <c r="D25" s="5275"/>
      <c r="E25" s="1361"/>
      <c r="F25" s="1361"/>
      <c r="G25" s="1361"/>
      <c r="H25" s="1361"/>
      <c r="I25" s="1361"/>
      <c r="J25" s="5276"/>
      <c r="K25" s="106" t="s">
        <v>1</v>
      </c>
      <c r="L25" s="1021" t="str">
        <f t="shared" si="39"/>
        <v>A</v>
      </c>
      <c r="M25" s="41" t="str">
        <f>M18</f>
        <v>C CHIBOUST PAMPLEMOUSSE | collez la--FAMILLE| Auteur &gt; VOUS</v>
      </c>
      <c r="N25" s="40">
        <f>N18</f>
        <v>18</v>
      </c>
      <c r="O25" s="41" t="str">
        <f>O18</f>
        <v>desserts</v>
      </c>
      <c r="P25" s="5386" t="str">
        <f>P18</f>
        <v>Recette mère ► Mille - feuille aux fraises des bois</v>
      </c>
      <c r="Q25" s="213"/>
      <c r="R25" s="212"/>
      <c r="S25" s="211" t="str">
        <f t="shared" si="17"/>
        <v/>
      </c>
      <c r="T25" s="210">
        <v>35</v>
      </c>
      <c r="U25" s="6283" t="s">
        <v>130</v>
      </c>
      <c r="V25" s="5448">
        <v>1</v>
      </c>
      <c r="W25" s="6866" t="s">
        <v>10035</v>
      </c>
      <c r="X25" s="6871"/>
      <c r="Y25" s="6253">
        <f>IF(AA36=0,0,(AA25/AA36)*Z21*1000)</f>
        <v>49.226441631504919</v>
      </c>
      <c r="Z25" s="6255">
        <f>IF(AA36=0, 0, (Q25*V25)/(AA36*Z21))</f>
        <v>0</v>
      </c>
      <c r="AA25" s="5882">
        <f>IFERROR(_xlfn.LET(_xlpm.v,IFERROR(_xlfn.XLOOKUP(U25,Q37:AD37,Q38:AD38),_xlfn.XLOOKUP(U25,Q39:AD39,Q40:AD40)),_xlpm.v*T25*IF(ISBLANK(Q25),1,Q25)),0)</f>
        <v>3.5000000000000003E-2</v>
      </c>
      <c r="AB25" s="5254">
        <f>IF(OR(ISBLANK(AC17),AC17=0),0,Q25*AC15*V25/AC17)</f>
        <v>0</v>
      </c>
      <c r="AC25" s="6051">
        <f>IF(OR(ISBLANK(AC17),AC17=0),0,AA25*V25*AC15/AC17)</f>
        <v>7.0000000000000007E-2</v>
      </c>
      <c r="AD25" s="6199" t="str">
        <f>_xlfn.LET(_xlpm.unite,SUBSTITUTE(TRIM(U25)," (s)",""),_xlpm.val,AC25,_xlpm.estVol,COUNTIF(W37:AD37,_xlpm.unite)+COUNTIF(W39:AD39,_xlpm.unite)&gt;0,_xlpm.estPoids,COUNTIF(Q37:V37,_xlpm.unite)+COUNTIF(Q39:V39,_xlpm.unite)&gt;0,IF(_xlpm.estVol,IF(ROUND(_xlpm.val,3)&gt;=1,ROUND(_xlpm.val,3)&amp;"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70 g</v>
      </c>
      <c r="AE25" s="6872" t="s">
        <v>11047</v>
      </c>
      <c r="AF25" s="6202" t="str">
        <f t="shared" si="18"/>
        <v>A</v>
      </c>
      <c r="AG25" s="6234" t="str">
        <f t="shared" si="19"/>
        <v>C CHIBOUST PAMPLEMOUSSE | collez la--FAMILLE| Auteur &gt; VOUS</v>
      </c>
      <c r="AH25" s="6732">
        <f t="shared" si="20"/>
        <v>18</v>
      </c>
      <c r="AI25" s="6234" t="str">
        <f t="shared" si="21"/>
        <v>desserts</v>
      </c>
      <c r="AJ25" s="6732" t="str">
        <f t="shared" si="22"/>
        <v>g</v>
      </c>
      <c r="AK25" s="6732">
        <f t="shared" si="23"/>
        <v>1</v>
      </c>
      <c r="AL25" s="6230" cm="1">
        <f t="array" ref="AL25">IF(AF25&lt;&gt;"A","",IFERROR((IFERROR(_xlfn.XLOOKUP(TRIM(SUBSTITUTE(U25,CHAR(160)," ")),$BJ$15:$BJ$62,$BM$15:$BM$62),IFERROR(_xlfn.XLOOKUP(TRIM(SUBSTITUTE(U25,CHAR(160)," ")),$BK$15:$BK$62,$BM$15:$BM$62),_xlfn.XLOOKUP(TRIM(SUBSTITUTE(U25,CHAR(160)," ")),$BL$15:$BL$62,$BM$15:$BM$62))))*T25*IF(ISBLANK(Q25),1,Q25)+IFERROR(_xlfn.XLOOKUP("RECHERCHEX",TRIM(L25:AD25),L25:AD25),0),0))</f>
        <v>3.5000000000000003E-2</v>
      </c>
      <c r="AM25" s="6229" t="str">
        <f t="shared" si="24"/>
        <v>Kg</v>
      </c>
      <c r="AN25" s="6857" t="str">
        <f t="shared" si="25"/>
        <v>❾ Author reference &gt;</v>
      </c>
      <c r="AO25" s="392">
        <f t="shared" si="26"/>
        <v>18</v>
      </c>
      <c r="AP25" s="392" t="str">
        <f t="shared" si="27"/>
        <v>desserts</v>
      </c>
      <c r="AQ25" s="6191">
        <f t="shared" si="28"/>
        <v>20</v>
      </c>
      <c r="AR25" s="6859" t="str">
        <f t="shared" si="29"/>
        <v>parts-ou.or.o ❾ + or - &gt;</v>
      </c>
      <c r="AS25" s="6275"/>
      <c r="AT25" s="6275"/>
      <c r="AU25" s="6272">
        <f t="shared" si="30"/>
        <v>3.8888888888888896E-2</v>
      </c>
      <c r="AV25" s="6240" t="str">
        <f t="shared" si="31"/>
        <v>Kg</v>
      </c>
      <c r="AW25" s="6189" t="str" cm="1">
        <f t="array" ref="AW25">IF(AK25&lt;&gt;1,0,IF(OR(AU25="",N(AU25)&lt;=0.000000001),"",IF(OR(AO25="",N(AO25)&lt;=0.000000001),0,IF(ISNUMBER(AU25),IFERROR(_xlfn.LET(_xlpm.ai_test,TRIM(AJ25),_xlpm.r,IFERROR(_xlfn.XLOOKUP(_xlpm.ai_test,$BJ$15:$BJ$62,ROW($BJ$15:$BJ$62),0,1),IFERROR(_xlfn.XLOOKUP(_xlpm.ai_test,$BK$15:$BK$62,ROW($BK$15:$BK$62),0,1),_xlfn.XLOOKUP(_xlpm.ai_test,$BL$15:$BL$62,ROW($BL$15:$BL$62),0,1))),_xlpm.p,_xlpm.r-MIN(ROW($BJ$15:$BJ$62))+1,_xlpm.f,INDEX($BM$15:$BM$62,_xlpm.p),_xlpm.u,INDEX($BN$15:$BN$62,_xlpm.p),_xlpm.s,INDEX($BP$15:$BP$62,_xlpm.p),_xlpm.q,N(AU25)/_xlpm.f,IF(_xlpm.q&gt;=_xlpm.s,ROUND(_xlpm.q,1)&amp;" "&amp;_xlpm.ai_test&amp;" = "&amp;ROUND(_xlpm.q*_xlpm.f,1)&amp;" "&amp;_xlpm.u,ROUND(_xlpm.q,1)&amp;" "&amp;_xlpm.ai_test)),""),""))))</f>
        <v>38.9 g</v>
      </c>
      <c r="AX25" s="6218"/>
      <c r="AY25" s="6272">
        <f t="shared" si="32"/>
        <v>3.8888888888888896E-2</v>
      </c>
      <c r="AZ25" s="6240" t="str">
        <f t="shared" si="33"/>
        <v>Kg</v>
      </c>
      <c r="BA25" s="6195">
        <f t="shared" si="40"/>
        <v>0</v>
      </c>
      <c r="BB25" s="6193" t="str">
        <f t="shared" si="34"/>
        <v/>
      </c>
      <c r="BC25" s="6219">
        <v>1</v>
      </c>
      <c r="BD25" s="6222">
        <f t="shared" si="35"/>
        <v>3.8888888888888896E-2</v>
      </c>
      <c r="BE25" s="6220" t="str">
        <f t="shared" si="36"/>
        <v>cassonade antillaise</v>
      </c>
      <c r="BF25" s="4" t="s">
        <v>1</v>
      </c>
      <c r="BG25" s="6196">
        <f t="shared" si="37"/>
        <v>0</v>
      </c>
      <c r="BH25" s="6197">
        <f t="shared" si="38"/>
        <v>1.1111111111111112</v>
      </c>
      <c r="BI25" s="187"/>
      <c r="BJ25" s="6285" t="s">
        <v>170</v>
      </c>
      <c r="BK25" s="6285" t="s">
        <v>170</v>
      </c>
      <c r="BL25" s="6285" t="s">
        <v>170</v>
      </c>
      <c r="BM25" s="6304">
        <v>0.01</v>
      </c>
      <c r="BN25" s="6274" t="s">
        <v>8766</v>
      </c>
      <c r="BO25" s="6274" t="s">
        <v>8774</v>
      </c>
      <c r="BP25" s="273">
        <v>100</v>
      </c>
      <c r="BQ25" s="222">
        <v>10</v>
      </c>
      <c r="BR25" s="187"/>
      <c r="BT25" s="187"/>
      <c r="BU25" s="187"/>
      <c r="BV25" s="187"/>
      <c r="BW25" s="187"/>
      <c r="BX25" s="20" t="str">
        <f t="shared" si="12"/>
        <v>A</v>
      </c>
      <c r="BY25" s="234"/>
      <c r="BZ25" s="234"/>
      <c r="CA25" s="234"/>
      <c r="CB25" s="234"/>
      <c r="CC25" s="234"/>
      <c r="CD25" s="5661"/>
      <c r="CE25" s="5721"/>
      <c r="CF25" s="5717"/>
      <c r="CG25" s="5705"/>
      <c r="CH25" s="5705"/>
      <c r="CI25" s="5705"/>
      <c r="CJ25" s="5705"/>
      <c r="CK25" s="5706"/>
      <c r="CM25" s="5721"/>
      <c r="CN25" s="5717"/>
      <c r="CO25" s="5705"/>
      <c r="CP25" s="5705"/>
      <c r="CQ25" s="5705"/>
      <c r="CR25" s="5705"/>
      <c r="CS25" s="5706"/>
      <c r="CU25" s="5721"/>
      <c r="CV25" s="5717"/>
      <c r="CW25" s="5705"/>
      <c r="CX25" s="5705"/>
      <c r="CY25" s="5705"/>
      <c r="CZ25" s="5705"/>
      <c r="DA25" s="5706"/>
      <c r="DC25" s="5">
        <v>1</v>
      </c>
    </row>
    <row r="26" spans="1:107" s="1" customFormat="1" ht="21" customHeight="1">
      <c r="A26" s="5641" t="s">
        <v>1</v>
      </c>
      <c r="B26" s="5662" t="str">
        <f t="shared" si="11"/>
        <v>A</v>
      </c>
      <c r="C26" s="5825" cm="1">
        <f t="array" ref="C26">SUMPRODUCT(LEN(D26:J26))</f>
        <v>0</v>
      </c>
      <c r="D26" s="5275"/>
      <c r="E26" s="1361"/>
      <c r="F26" s="1361"/>
      <c r="G26" s="1361"/>
      <c r="H26" s="1361"/>
      <c r="I26" s="1361"/>
      <c r="J26" s="5276"/>
      <c r="K26" s="106" t="s">
        <v>1</v>
      </c>
      <c r="L26" s="1021" t="str">
        <f t="shared" si="39"/>
        <v>A</v>
      </c>
      <c r="M26" s="41" t="str">
        <f>M18</f>
        <v>C CHIBOUST PAMPLEMOUSSE | collez la--FAMILLE| Auteur &gt; VOUS</v>
      </c>
      <c r="N26" s="40">
        <f>N18</f>
        <v>18</v>
      </c>
      <c r="O26" s="41" t="str">
        <f>O18</f>
        <v>desserts</v>
      </c>
      <c r="P26" s="5386" t="str">
        <f>P18</f>
        <v>Recette mère ► Mille - feuille aux fraises des bois</v>
      </c>
      <c r="Q26" s="213">
        <v>10</v>
      </c>
      <c r="R26" s="212"/>
      <c r="S26" s="211" t="str">
        <f t="shared" si="17"/>
        <v>de</v>
      </c>
      <c r="T26" s="210">
        <v>15</v>
      </c>
      <c r="U26" s="6283" t="s">
        <v>130</v>
      </c>
      <c r="V26" s="5448">
        <v>1</v>
      </c>
      <c r="W26" s="6866" t="s">
        <v>7816</v>
      </c>
      <c r="X26" s="6871"/>
      <c r="Y26" s="6253">
        <f>IF(AA36=0,0,(AA26/AA36)*Z21*1000)</f>
        <v>210.97046413502107</v>
      </c>
      <c r="Z26" s="6255">
        <f>IF(AA36=0, 0, (Q26*V26)/(AA36*Z21))</f>
        <v>14.064697609001405</v>
      </c>
      <c r="AA26" s="5882">
        <f>IFERROR(_xlfn.LET(_xlpm.v,IFERROR(_xlfn.XLOOKUP(U26,Q37:AD37,Q38:AD38),_xlfn.XLOOKUP(U26,Q39:AD39,Q40:AD40)),_xlpm.v*T26*IF(ISBLANK(Q26),1,Q26)),0)</f>
        <v>0.15</v>
      </c>
      <c r="AB26" s="5256">
        <f>IF(OR(ISBLANK(AC17),AC17=0),0,Q26*AC15*V26/AC17)</f>
        <v>20</v>
      </c>
      <c r="AC26" s="6051">
        <f>IF(OR(ISBLANK(AC17),AC17=0),0,AA26*V26*AC15/AC17)</f>
        <v>0.3</v>
      </c>
      <c r="AD26" s="6198" t="str">
        <f>_xlfn.LET(_xlpm.unite,SUBSTITUTE(TRIM(U26)," (s)",""),_xlpm.val,AC26,_xlpm.estVol,COUNTIF(W37:AD37,_xlpm.unite)+COUNTIF(W39:AD39,_xlpm.unite)&gt;0,_xlpm.estPoids,COUNTIF(Q37:V37,_xlpm.unite)+COUNTIF(Q39:V39,_xlpm.unite)&gt;0,IF(_xlpm.estVol,IF(ROUND(_xlpm.val,3)&gt;=1,ROUND(_xlpm.val,3)&amp;"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300 g</v>
      </c>
      <c r="AE26" s="6872" t="s">
        <v>11048</v>
      </c>
      <c r="AF26" s="6202" t="str">
        <f t="shared" si="18"/>
        <v>A</v>
      </c>
      <c r="AG26" s="6234" t="str">
        <f t="shared" si="19"/>
        <v>C CHIBOUST PAMPLEMOUSSE | collez la--FAMILLE| Auteur &gt; VOUS</v>
      </c>
      <c r="AH26" s="6732">
        <f t="shared" si="20"/>
        <v>18</v>
      </c>
      <c r="AI26" s="6234" t="str">
        <f t="shared" si="21"/>
        <v>desserts</v>
      </c>
      <c r="AJ26" s="6732" t="str">
        <f t="shared" si="22"/>
        <v>g</v>
      </c>
      <c r="AK26" s="6732">
        <f t="shared" si="23"/>
        <v>1</v>
      </c>
      <c r="AL26" s="6230" cm="1">
        <f t="array" ref="AL26">IF(AF26&lt;&gt;"A","",IFERROR((IFERROR(_xlfn.XLOOKUP(TRIM(SUBSTITUTE(U26,CHAR(160)," ")),$BJ$15:$BJ$62,$BM$15:$BM$62),IFERROR(_xlfn.XLOOKUP(TRIM(SUBSTITUTE(U26,CHAR(160)," ")),$BK$15:$BK$62,$BM$15:$BM$62),_xlfn.XLOOKUP(TRIM(SUBSTITUTE(U26,CHAR(160)," ")),$BL$15:$BL$62,$BM$15:$BM$62))))*T26*IF(ISBLANK(Q26),1,Q26)+IFERROR(_xlfn.XLOOKUP("RECHERCHEX",TRIM(L26:AD26),L26:AD26),0),0))</f>
        <v>0.15</v>
      </c>
      <c r="AM26" s="6229" t="str">
        <f t="shared" si="24"/>
        <v>Kg</v>
      </c>
      <c r="AN26" s="6857" t="str">
        <f t="shared" si="25"/>
        <v>❾ Author reference &gt;</v>
      </c>
      <c r="AO26" s="392">
        <f t="shared" si="26"/>
        <v>18</v>
      </c>
      <c r="AP26" s="392" t="str">
        <f t="shared" si="27"/>
        <v>desserts</v>
      </c>
      <c r="AQ26" s="6190">
        <f t="shared" si="28"/>
        <v>20</v>
      </c>
      <c r="AR26" s="6858" t="str">
        <f t="shared" si="29"/>
        <v>parts-ou.or.o ❾ + or - &gt;</v>
      </c>
      <c r="AS26" s="6275"/>
      <c r="AT26" s="6275"/>
      <c r="AU26" s="6271">
        <f t="shared" si="30"/>
        <v>0.16666666666666666</v>
      </c>
      <c r="AV26" s="6242" t="str">
        <f t="shared" si="31"/>
        <v>Kg</v>
      </c>
      <c r="AW26" s="6188" t="str" cm="1">
        <f t="array" ref="AW26">IF(AK26&lt;&gt;1,0,IF(OR(AU26="",N(AU26)&lt;=0.000000001),"",IF(OR(AO26="",N(AO26)&lt;=0.000000001),0,IF(ISNUMBER(AU26),IFERROR(_xlfn.LET(_xlpm.ai_test,TRIM(AJ26),_xlpm.r,IFERROR(_xlfn.XLOOKUP(_xlpm.ai_test,$BJ$15:$BJ$62,ROW($BJ$15:$BJ$62),0,1),IFERROR(_xlfn.XLOOKUP(_xlpm.ai_test,$BK$15:$BK$62,ROW($BK$15:$BK$62),0,1),_xlfn.XLOOKUP(_xlpm.ai_test,$BL$15:$BL$62,ROW($BL$15:$BL$62),0,1))),_xlpm.p,_xlpm.r-MIN(ROW($BJ$15:$BJ$62))+1,_xlpm.f,INDEX($BM$15:$BM$62,_xlpm.p),_xlpm.u,INDEX($BN$15:$BN$62,_xlpm.p),_xlpm.s,INDEX($BP$15:$BP$62,_xlpm.p),_xlpm.q,N(AU26)/_xlpm.f,IF(_xlpm.q&gt;=_xlpm.s,ROUND(_xlpm.q,1)&amp;" "&amp;_xlpm.ai_test&amp;" = "&amp;ROUND(_xlpm.q*_xlpm.f,1)&amp;" "&amp;_xlpm.u,ROUND(_xlpm.q,1)&amp;" "&amp;_xlpm.ai_test)),""),""))))</f>
        <v>166.7 g</v>
      </c>
      <c r="AX26" s="6218"/>
      <c r="AY26" s="6271">
        <f t="shared" si="32"/>
        <v>0.16666666666666666</v>
      </c>
      <c r="AZ26" s="6242" t="str">
        <f t="shared" si="33"/>
        <v>Kg</v>
      </c>
      <c r="BA26" s="6194">
        <f t="shared" si="40"/>
        <v>11.111111111111111</v>
      </c>
      <c r="BB26" s="6192">
        <f t="shared" si="34"/>
        <v>0</v>
      </c>
      <c r="BC26" s="6219">
        <v>1</v>
      </c>
      <c r="BD26" s="6221">
        <f>IF(OR(AO26=0,ISBLANK(BC26),ISTEXT(BA26)),0,(IF(AU26=0,BA26,AU26)*BC26))</f>
        <v>0.16666666666666666</v>
      </c>
      <c r="BE26" s="6220" t="str">
        <f t="shared" si="36"/>
        <v>maïzena</v>
      </c>
      <c r="BF26" s="4" t="s">
        <v>1</v>
      </c>
      <c r="BG26" s="6196">
        <f t="shared" si="37"/>
        <v>11.111111111111111</v>
      </c>
      <c r="BH26" s="6197">
        <f t="shared" si="38"/>
        <v>1.1111111111111112</v>
      </c>
      <c r="BI26" s="187"/>
      <c r="BJ26" s="6702" t="s">
        <v>166</v>
      </c>
      <c r="BK26" s="6702" t="s">
        <v>166</v>
      </c>
      <c r="BL26" s="6702" t="s">
        <v>166</v>
      </c>
      <c r="BM26" s="6304">
        <v>1E-3</v>
      </c>
      <c r="BN26" s="6274" t="s">
        <v>8766</v>
      </c>
      <c r="BO26" s="6274" t="s">
        <v>8774</v>
      </c>
      <c r="BP26" s="223">
        <f t="shared" ref="BP26:BP62" si="41">ROUND(1/BM26,0)</f>
        <v>1000</v>
      </c>
      <c r="BQ26" s="222">
        <v>1</v>
      </c>
      <c r="BR26" s="187"/>
      <c r="BT26" s="187"/>
      <c r="BU26" s="187"/>
      <c r="BV26" s="187"/>
      <c r="BW26" s="187"/>
      <c r="BX26" s="20" t="str">
        <f t="shared" si="12"/>
        <v>A</v>
      </c>
      <c r="BY26" s="234"/>
      <c r="BZ26" s="234"/>
      <c r="CA26" s="234"/>
      <c r="CB26" s="234"/>
      <c r="CC26" s="234"/>
      <c r="CD26" s="5661"/>
      <c r="CE26" s="6950" t="s">
        <v>11023</v>
      </c>
      <c r="CF26" s="6951"/>
      <c r="CG26" s="6951"/>
      <c r="CH26" s="6951"/>
      <c r="CI26" s="6951"/>
      <c r="CJ26" s="6951"/>
      <c r="CK26" s="6952"/>
      <c r="CM26" s="6950" t="s">
        <v>11024</v>
      </c>
      <c r="CN26" s="6951"/>
      <c r="CO26" s="6951"/>
      <c r="CP26" s="6951"/>
      <c r="CQ26" s="6951"/>
      <c r="CR26" s="6951"/>
      <c r="CS26" s="6952"/>
      <c r="CU26" s="6950" t="s">
        <v>11025</v>
      </c>
      <c r="CV26" s="6951"/>
      <c r="CW26" s="6951"/>
      <c r="CX26" s="6951"/>
      <c r="CY26" s="6951"/>
      <c r="CZ26" s="6951"/>
      <c r="DA26" s="6952"/>
      <c r="DC26" s="5">
        <v>1</v>
      </c>
    </row>
    <row r="27" spans="1:107" s="1" customFormat="1" ht="21" customHeight="1">
      <c r="A27" s="5641" t="s">
        <v>1</v>
      </c>
      <c r="B27" s="5662" t="str">
        <f t="shared" si="11"/>
        <v>A</v>
      </c>
      <c r="C27" s="5825" cm="1">
        <f t="array" ref="C27">SUMPRODUCT(LEN(D27:J27))</f>
        <v>0</v>
      </c>
      <c r="D27" s="5275"/>
      <c r="E27" s="1361"/>
      <c r="F27" s="1361"/>
      <c r="G27" s="1361"/>
      <c r="H27" s="1361"/>
      <c r="I27" s="1361"/>
      <c r="J27" s="5276"/>
      <c r="K27" s="106" t="s">
        <v>1</v>
      </c>
      <c r="L27" s="1021" t="str">
        <f t="shared" si="39"/>
        <v>A</v>
      </c>
      <c r="M27" s="41" t="str">
        <f>M18</f>
        <v>C CHIBOUST PAMPLEMOUSSE | collez la--FAMILLE| Auteur &gt; VOUS</v>
      </c>
      <c r="N27" s="40">
        <f>N18</f>
        <v>18</v>
      </c>
      <c r="O27" s="41" t="str">
        <f>O18</f>
        <v>desserts</v>
      </c>
      <c r="P27" s="5386" t="str">
        <f>P18</f>
        <v>Recette mère ► Mille - feuille aux fraises des bois</v>
      </c>
      <c r="Q27" s="213"/>
      <c r="R27" s="212"/>
      <c r="S27" s="211" t="str">
        <f t="shared" si="17"/>
        <v/>
      </c>
      <c r="T27" s="210">
        <v>8</v>
      </c>
      <c r="U27" s="6283" t="s">
        <v>130</v>
      </c>
      <c r="V27" s="5448">
        <v>1</v>
      </c>
      <c r="W27" s="6866" t="s">
        <v>7817</v>
      </c>
      <c r="X27" s="6871"/>
      <c r="Y27" s="6253">
        <f>IF(AA36=0,0,(AA27/AA36)*Z21*1000)</f>
        <v>11.251758087201123</v>
      </c>
      <c r="Z27" s="6255">
        <f>IF(AA36=0, 0, (Q27*V27)/(AA36*Z21))</f>
        <v>0</v>
      </c>
      <c r="AA27" s="5882">
        <f>IFERROR(_xlfn.LET(_xlpm.v,IFERROR(_xlfn.XLOOKUP(U27,Q37:AD37,Q38:AD38),_xlfn.XLOOKUP(U27,Q39:AD39,Q40:AD40)),_xlpm.v*T27*IF(ISBLANK(Q27),1,Q27)),0)</f>
        <v>8.0000000000000002E-3</v>
      </c>
      <c r="AB27" s="5254">
        <f>IF(OR(ISBLANK(AC17),AC17=0),0,Q27*AC15*V27/AC17)</f>
        <v>0</v>
      </c>
      <c r="AC27" s="6051">
        <f>IF(OR(ISBLANK(AC17),AC17=0),0,AA27*V27*AC15/AC17)</f>
        <v>1.6E-2</v>
      </c>
      <c r="AD27" s="6199" t="str">
        <f>_xlfn.LET(_xlpm.unite,SUBSTITUTE(TRIM(U27)," (s)",""),_xlpm.val,AC27,_xlpm.estVol,COUNTIF(W37:AD37,_xlpm.unite)+COUNTIF(W39:AD39,_xlpm.unite)&gt;0,_xlpm.estPoids,COUNTIF(Q37:V37,_xlpm.unite)+COUNTIF(Q39:V39,_xlpm.unite)&gt;0,IF(_xlpm.estVol,IF(ROUND(_xlpm.val,3)&gt;=1,ROUND(_xlpm.val,3)&amp;"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16 g</v>
      </c>
      <c r="AE27" s="6872" t="s">
        <v>11049</v>
      </c>
      <c r="AF27" s="6202" t="str">
        <f t="shared" si="18"/>
        <v>A</v>
      </c>
      <c r="AG27" s="6234" t="str">
        <f t="shared" si="19"/>
        <v>C CHIBOUST PAMPLEMOUSSE | collez la--FAMILLE| Auteur &gt; VOUS</v>
      </c>
      <c r="AH27" s="6732">
        <f t="shared" si="20"/>
        <v>18</v>
      </c>
      <c r="AI27" s="6234" t="str">
        <f t="shared" si="21"/>
        <v>desserts</v>
      </c>
      <c r="AJ27" s="6732" t="str">
        <f t="shared" si="22"/>
        <v>g</v>
      </c>
      <c r="AK27" s="6732">
        <f t="shared" si="23"/>
        <v>1</v>
      </c>
      <c r="AL27" s="6230" cm="1">
        <f t="array" ref="AL27">IF(AF27&lt;&gt;"A","",IFERROR((IFERROR(_xlfn.XLOOKUP(TRIM(SUBSTITUTE(U27,CHAR(160)," ")),$BJ$15:$BJ$62,$BM$15:$BM$62),IFERROR(_xlfn.XLOOKUP(TRIM(SUBSTITUTE(U27,CHAR(160)," ")),$BK$15:$BK$62,$BM$15:$BM$62),_xlfn.XLOOKUP(TRIM(SUBSTITUTE(U27,CHAR(160)," ")),$BL$15:$BL$62,$BM$15:$BM$62))))*T27*IF(ISBLANK(Q27),1,Q27)+IFERROR(_xlfn.XLOOKUP("RECHERCHEX",TRIM(L27:AD27),L27:AD27),0),0))</f>
        <v>8.0000000000000002E-3</v>
      </c>
      <c r="AM27" s="6229" t="str">
        <f t="shared" si="24"/>
        <v>Kg</v>
      </c>
      <c r="AN27" s="6857" t="str">
        <f t="shared" si="25"/>
        <v>❾ Author reference &gt;</v>
      </c>
      <c r="AO27" s="392">
        <f t="shared" si="26"/>
        <v>18</v>
      </c>
      <c r="AP27" s="392" t="str">
        <f t="shared" si="27"/>
        <v>desserts</v>
      </c>
      <c r="AQ27" s="6191">
        <f t="shared" si="28"/>
        <v>20</v>
      </c>
      <c r="AR27" s="6859" t="str">
        <f t="shared" si="29"/>
        <v>parts-ou.or.o ❾ + or - &gt;</v>
      </c>
      <c r="AS27" s="6275"/>
      <c r="AT27" s="6275"/>
      <c r="AU27" s="6272">
        <f t="shared" si="30"/>
        <v>8.8888888888888889E-3</v>
      </c>
      <c r="AV27" s="6240" t="str">
        <f t="shared" si="31"/>
        <v>Kg</v>
      </c>
      <c r="AW27" s="6189" t="str" cm="1">
        <f t="array" ref="AW27">IF(AK27&lt;&gt;1,0,IF(OR(AU27="",N(AU27)&lt;=0.000000001),"",IF(OR(AO27="",N(AO27)&lt;=0.000000001),0,IF(ISNUMBER(AU27),IFERROR(_xlfn.LET(_xlpm.ai_test,TRIM(AJ27),_xlpm.r,IFERROR(_xlfn.XLOOKUP(_xlpm.ai_test,$BJ$15:$BJ$62,ROW($BJ$15:$BJ$62),0,1),IFERROR(_xlfn.XLOOKUP(_xlpm.ai_test,$BK$15:$BK$62,ROW($BK$15:$BK$62),0,1),_xlfn.XLOOKUP(_xlpm.ai_test,$BL$15:$BL$62,ROW($BL$15:$BL$62),0,1))),_xlpm.p,_xlpm.r-MIN(ROW($BJ$15:$BJ$62))+1,_xlpm.f,INDEX($BM$15:$BM$62,_xlpm.p),_xlpm.u,INDEX($BN$15:$BN$62,_xlpm.p),_xlpm.s,INDEX($BP$15:$BP$62,_xlpm.p),_xlpm.q,N(AU27)/_xlpm.f,IF(_xlpm.q&gt;=_xlpm.s,ROUND(_xlpm.q,1)&amp;" "&amp;_xlpm.ai_test&amp;" = "&amp;ROUND(_xlpm.q*_xlpm.f,1)&amp;" "&amp;_xlpm.u,ROUND(_xlpm.q,1)&amp;" "&amp;_xlpm.ai_test)),""),""))))</f>
        <v>8.9 g</v>
      </c>
      <c r="AX27" s="6218"/>
      <c r="AY27" s="6272">
        <f t="shared" si="32"/>
        <v>8.8888888888888889E-3</v>
      </c>
      <c r="AZ27" s="6240" t="str">
        <f t="shared" si="33"/>
        <v>Kg</v>
      </c>
      <c r="BA27" s="6195">
        <f t="shared" si="40"/>
        <v>0</v>
      </c>
      <c r="BB27" s="6193" t="str">
        <f t="shared" si="34"/>
        <v/>
      </c>
      <c r="BC27" s="6219">
        <v>1</v>
      </c>
      <c r="BD27" s="6222">
        <f t="shared" ref="BD27:BD90" si="42">IF(OR(AO27=0,ISBLANK(BC27),ISTEXT(BA27)),0,(IF(AU27=0,BA27,AU27)*BC27))</f>
        <v>8.8888888888888889E-3</v>
      </c>
      <c r="BE27" s="6220" t="str">
        <f t="shared" si="36"/>
        <v>gélatine</v>
      </c>
      <c r="BF27" s="4" t="s">
        <v>1</v>
      </c>
      <c r="BG27" s="6196">
        <f t="shared" si="37"/>
        <v>0</v>
      </c>
      <c r="BH27" s="6197">
        <f t="shared" si="38"/>
        <v>1.1111111111111112</v>
      </c>
      <c r="BI27" s="187"/>
      <c r="BJ27" s="6286" t="s">
        <v>164</v>
      </c>
      <c r="BK27" s="6286" t="s">
        <v>9613</v>
      </c>
      <c r="BL27" s="6286" t="s">
        <v>9614</v>
      </c>
      <c r="BM27" s="6304">
        <f t="shared" ref="BM27:BM62" si="43">BQ27 / 1000</f>
        <v>0.25</v>
      </c>
      <c r="BN27" s="6274" t="s">
        <v>8766</v>
      </c>
      <c r="BO27" s="6274" t="s">
        <v>8774</v>
      </c>
      <c r="BP27" s="223">
        <f t="shared" si="41"/>
        <v>4</v>
      </c>
      <c r="BQ27" s="222">
        <v>250</v>
      </c>
      <c r="BR27" s="187"/>
      <c r="BT27" s="187"/>
      <c r="BU27" s="187"/>
      <c r="BV27" s="187"/>
      <c r="BW27" s="187"/>
      <c r="BX27" s="20" t="str">
        <f t="shared" si="12"/>
        <v>A</v>
      </c>
      <c r="BY27" s="234"/>
      <c r="BZ27" s="234"/>
      <c r="CA27" s="234"/>
      <c r="CB27" s="234"/>
      <c r="CC27" s="234"/>
      <c r="CD27" s="5661"/>
      <c r="CE27" s="6950"/>
      <c r="CF27" s="6951"/>
      <c r="CG27" s="6951"/>
      <c r="CH27" s="6951"/>
      <c r="CI27" s="6951"/>
      <c r="CJ27" s="6951"/>
      <c r="CK27" s="6952"/>
      <c r="CM27" s="6950"/>
      <c r="CN27" s="6951"/>
      <c r="CO27" s="6951"/>
      <c r="CP27" s="6951"/>
      <c r="CQ27" s="6951"/>
      <c r="CR27" s="6951"/>
      <c r="CS27" s="6952"/>
      <c r="CU27" s="6950"/>
      <c r="CV27" s="6951"/>
      <c r="CW27" s="6951"/>
      <c r="CX27" s="6951"/>
      <c r="CY27" s="6951"/>
      <c r="CZ27" s="6951"/>
      <c r="DA27" s="6952"/>
      <c r="DC27" s="5">
        <v>1</v>
      </c>
    </row>
    <row r="28" spans="1:107" s="1" customFormat="1" ht="21" customHeight="1">
      <c r="A28" s="5641" t="s">
        <v>1</v>
      </c>
      <c r="B28" s="5662" t="str">
        <f t="shared" si="11"/>
        <v>A</v>
      </c>
      <c r="C28" s="5825" cm="1">
        <f t="array" ref="C28">SUMPRODUCT(LEN(D28:J28))</f>
        <v>0</v>
      </c>
      <c r="D28" s="5275"/>
      <c r="E28" s="1361"/>
      <c r="F28" s="1361"/>
      <c r="G28" s="1361"/>
      <c r="H28" s="1361"/>
      <c r="I28" s="1361"/>
      <c r="J28" s="5276"/>
      <c r="K28" s="106" t="s">
        <v>1</v>
      </c>
      <c r="L28" s="1021" t="str">
        <f t="shared" si="39"/>
        <v>A</v>
      </c>
      <c r="M28" s="41" t="str">
        <f>M18</f>
        <v>C CHIBOUST PAMPLEMOUSSE | collez la--FAMILLE| Auteur &gt; VOUS</v>
      </c>
      <c r="N28" s="40">
        <f>N18</f>
        <v>18</v>
      </c>
      <c r="O28" s="41" t="str">
        <f>O18</f>
        <v>desserts</v>
      </c>
      <c r="P28" s="5386" t="str">
        <f>P18</f>
        <v>Recette mère ► Mille - feuille aux fraises des bois</v>
      </c>
      <c r="Q28" s="213"/>
      <c r="R28" s="212"/>
      <c r="S28" s="211" t="str">
        <f t="shared" si="17"/>
        <v/>
      </c>
      <c r="T28" s="210">
        <v>160</v>
      </c>
      <c r="U28" s="6283" t="s">
        <v>130</v>
      </c>
      <c r="V28" s="5448">
        <v>1</v>
      </c>
      <c r="W28" s="6866" t="s">
        <v>1102</v>
      </c>
      <c r="X28" s="6871"/>
      <c r="Y28" s="6253">
        <f>IF(AA36=0,0,(AA28/AA36)*Z21*1000)</f>
        <v>225.0351617440225</v>
      </c>
      <c r="Z28" s="6255">
        <f>IF(AA36=0, 0, (Q28*V28)/(AA36*Z21))</f>
        <v>0</v>
      </c>
      <c r="AA28" s="5882">
        <f>IFERROR(_xlfn.LET(_xlpm.v,IFERROR(_xlfn.XLOOKUP(U28,Q37:AD37,Q38:AD38),_xlfn.XLOOKUP(U28,Q39:AD39,Q40:AD40)),_xlpm.v*T28*IF(ISBLANK(Q28),1,Q28)),0)</f>
        <v>0.16</v>
      </c>
      <c r="AB28" s="5256">
        <f>IF(OR(ISBLANK(AC17),AC17=0),0,Q28*AC15*V28/AC17)</f>
        <v>0</v>
      </c>
      <c r="AC28" s="6051">
        <f>IF(OR(ISBLANK(AC17),AC17=0),0,AA28*V28*AC15/AC17)</f>
        <v>0.32</v>
      </c>
      <c r="AD28" s="6200" t="str">
        <f>_xlfn.LET(_xlpm.unite,SUBSTITUTE(TRIM(U28)," (s)",""),_xlpm.val,AC28,_xlpm.estVol,COUNTIF(W37:AD37,_xlpm.unite)+COUNTIF(W39:AD39,_xlpm.unite)&gt;0,_xlpm.estPoids,COUNTIF(Q37:V37,_xlpm.unite)+COUNTIF(Q39:V39,_xlpm.unite)&gt;0,IF(_xlpm.estVol,IF(ROUND(_xlpm.val,3)&gt;=1,ROUND(_xlpm.val,3)&amp;"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320 g</v>
      </c>
      <c r="AE28" s="6872" t="s">
        <v>11042</v>
      </c>
      <c r="AF28" s="6202" t="str">
        <f t="shared" si="18"/>
        <v>A</v>
      </c>
      <c r="AG28" s="6234" t="str">
        <f t="shared" si="19"/>
        <v>C CHIBOUST PAMPLEMOUSSE | collez la--FAMILLE| Auteur &gt; VOUS</v>
      </c>
      <c r="AH28" s="6732">
        <f t="shared" si="20"/>
        <v>18</v>
      </c>
      <c r="AI28" s="6234" t="str">
        <f t="shared" si="21"/>
        <v>desserts</v>
      </c>
      <c r="AJ28" s="6732" t="str">
        <f t="shared" si="22"/>
        <v>g</v>
      </c>
      <c r="AK28" s="6732">
        <f t="shared" si="23"/>
        <v>1</v>
      </c>
      <c r="AL28" s="6230" cm="1">
        <f t="array" ref="AL28">IF(AF28&lt;&gt;"A","",IFERROR((IFERROR(_xlfn.XLOOKUP(TRIM(SUBSTITUTE(U28,CHAR(160)," ")),$BJ$15:$BJ$62,$BM$15:$BM$62),IFERROR(_xlfn.XLOOKUP(TRIM(SUBSTITUTE(U28,CHAR(160)," ")),$BK$15:$BK$62,$BM$15:$BM$62),_xlfn.XLOOKUP(TRIM(SUBSTITUTE(U28,CHAR(160)," ")),$BL$15:$BL$62,$BM$15:$BM$62))))*T28*IF(ISBLANK(Q28),1,Q28)+IFERROR(_xlfn.XLOOKUP("RECHERCHEX",TRIM(L28:AD28),L28:AD28),0),0))</f>
        <v>0.16</v>
      </c>
      <c r="AM28" s="6229" t="str">
        <f t="shared" si="24"/>
        <v>Kg</v>
      </c>
      <c r="AN28" s="6857" t="str">
        <f t="shared" si="25"/>
        <v>❾ Author reference &gt;</v>
      </c>
      <c r="AO28" s="392">
        <f t="shared" si="26"/>
        <v>18</v>
      </c>
      <c r="AP28" s="392" t="str">
        <f t="shared" si="27"/>
        <v>desserts</v>
      </c>
      <c r="AQ28" s="6190">
        <f t="shared" si="28"/>
        <v>20</v>
      </c>
      <c r="AR28" s="6858" t="str">
        <f t="shared" si="29"/>
        <v>parts-ou.or.o ❾ + or - &gt;</v>
      </c>
      <c r="AS28" s="6275"/>
      <c r="AT28" s="6275"/>
      <c r="AU28" s="6271">
        <f t="shared" si="30"/>
        <v>0.17777777777777778</v>
      </c>
      <c r="AV28" s="6242" t="str">
        <f t="shared" si="31"/>
        <v>Kg</v>
      </c>
      <c r="AW28" s="6188" t="str" cm="1">
        <f t="array" ref="AW28">IF(AK28&lt;&gt;1,0,IF(OR(AU28="",N(AU28)&lt;=0.000000001),"",IF(OR(AO28="",N(AO28)&lt;=0.000000001),0,IF(ISNUMBER(AU28),IFERROR(_xlfn.LET(_xlpm.ai_test,TRIM(AJ28),_xlpm.r,IFERROR(_xlfn.XLOOKUP(_xlpm.ai_test,$BJ$15:$BJ$62,ROW($BJ$15:$BJ$62),0,1),IFERROR(_xlfn.XLOOKUP(_xlpm.ai_test,$BK$15:$BK$62,ROW($BK$15:$BK$62),0,1),_xlfn.XLOOKUP(_xlpm.ai_test,$BL$15:$BL$62,ROW($BL$15:$BL$62),0,1))),_xlpm.p,_xlpm.r-MIN(ROW($BJ$15:$BJ$62))+1,_xlpm.f,INDEX($BM$15:$BM$62,_xlpm.p),_xlpm.u,INDEX($BN$15:$BN$62,_xlpm.p),_xlpm.s,INDEX($BP$15:$BP$62,_xlpm.p),_xlpm.q,N(AU28)/_xlpm.f,IF(_xlpm.q&gt;=_xlpm.s,ROUND(_xlpm.q,1)&amp;" "&amp;_xlpm.ai_test&amp;" = "&amp;ROUND(_xlpm.q*_xlpm.f,1)&amp;" "&amp;_xlpm.u,ROUND(_xlpm.q,1)&amp;" "&amp;_xlpm.ai_test)),""),""))))</f>
        <v>177.8 g</v>
      </c>
      <c r="AX28" s="6218"/>
      <c r="AY28" s="6271">
        <f t="shared" si="32"/>
        <v>0.17777777777777778</v>
      </c>
      <c r="AZ28" s="6242" t="str">
        <f t="shared" si="33"/>
        <v>Kg</v>
      </c>
      <c r="BA28" s="6194">
        <f t="shared" si="40"/>
        <v>0</v>
      </c>
      <c r="BB28" s="6192" t="str">
        <f t="shared" si="34"/>
        <v/>
      </c>
      <c r="BC28" s="6219">
        <v>1</v>
      </c>
      <c r="BD28" s="6221">
        <f t="shared" si="42"/>
        <v>0.17777777777777778</v>
      </c>
      <c r="BE28" s="6220" t="str">
        <f t="shared" si="36"/>
        <v>blancs</v>
      </c>
      <c r="BF28" s="4" t="s">
        <v>1</v>
      </c>
      <c r="BG28" s="6196">
        <f t="shared" si="37"/>
        <v>0</v>
      </c>
      <c r="BH28" s="6197">
        <f t="shared" si="38"/>
        <v>1.1111111111111112</v>
      </c>
      <c r="BI28" s="187"/>
      <c r="BJ28" s="6286" t="s">
        <v>159</v>
      </c>
      <c r="BK28" s="6286" t="s">
        <v>9615</v>
      </c>
      <c r="BL28" s="6286" t="s">
        <v>9616</v>
      </c>
      <c r="BM28" s="6304">
        <f t="shared" si="43"/>
        <v>0.5</v>
      </c>
      <c r="BN28" s="6274" t="s">
        <v>8766</v>
      </c>
      <c r="BO28" s="6274" t="s">
        <v>8774</v>
      </c>
      <c r="BP28" s="223">
        <f t="shared" si="41"/>
        <v>2</v>
      </c>
      <c r="BQ28" s="222">
        <v>500</v>
      </c>
      <c r="BR28" s="187"/>
      <c r="BS28" s="187"/>
      <c r="BT28" s="187"/>
      <c r="BU28" s="187"/>
      <c r="BV28" s="187"/>
      <c r="BW28" s="187"/>
      <c r="BX28" s="20" t="str">
        <f t="shared" si="12"/>
        <v>A</v>
      </c>
      <c r="BY28" s="5720"/>
      <c r="BZ28" s="228"/>
      <c r="CA28" s="228"/>
      <c r="CB28" s="227"/>
      <c r="CC28" s="227"/>
      <c r="CD28" s="5661"/>
      <c r="CE28" s="6950"/>
      <c r="CF28" s="6951"/>
      <c r="CG28" s="6951"/>
      <c r="CH28" s="6951"/>
      <c r="CI28" s="6951"/>
      <c r="CJ28" s="6951"/>
      <c r="CK28" s="6952"/>
      <c r="CM28" s="6950"/>
      <c r="CN28" s="6951"/>
      <c r="CO28" s="6951"/>
      <c r="CP28" s="6951"/>
      <c r="CQ28" s="6951"/>
      <c r="CR28" s="6951"/>
      <c r="CS28" s="6952"/>
      <c r="CU28" s="6950"/>
      <c r="CV28" s="6951"/>
      <c r="CW28" s="6951"/>
      <c r="CX28" s="6951"/>
      <c r="CY28" s="6951"/>
      <c r="CZ28" s="6951"/>
      <c r="DA28" s="6952"/>
      <c r="DC28" s="5">
        <v>1</v>
      </c>
    </row>
    <row r="29" spans="1:107" s="1" customFormat="1" ht="21" customHeight="1">
      <c r="A29" s="5641" t="s">
        <v>1</v>
      </c>
      <c r="B29" s="5662" t="str">
        <f t="shared" si="11"/>
        <v>A</v>
      </c>
      <c r="C29" s="5825" cm="1">
        <f t="array" ref="C29">SUMPRODUCT(LEN(D29:J29))</f>
        <v>0</v>
      </c>
      <c r="D29" s="5275"/>
      <c r="E29" s="1361"/>
      <c r="F29" s="1361"/>
      <c r="G29" s="1361"/>
      <c r="H29" s="1361"/>
      <c r="I29" s="1361"/>
      <c r="J29" s="5276"/>
      <c r="K29" s="106" t="s">
        <v>1</v>
      </c>
      <c r="L29" s="1021" t="str">
        <f t="shared" si="39"/>
        <v>A</v>
      </c>
      <c r="M29" s="41" t="str">
        <f>M18</f>
        <v>C CHIBOUST PAMPLEMOUSSE | collez la--FAMILLE| Auteur &gt; VOUS</v>
      </c>
      <c r="N29" s="40">
        <f>N18</f>
        <v>18</v>
      </c>
      <c r="O29" s="41" t="str">
        <f>O18</f>
        <v>desserts</v>
      </c>
      <c r="P29" s="5386" t="str">
        <f>P18</f>
        <v>Recette mère ► Mille - feuille aux fraises des bois</v>
      </c>
      <c r="Q29" s="213"/>
      <c r="R29" s="212"/>
      <c r="S29" s="211" t="str">
        <f t="shared" si="17"/>
        <v/>
      </c>
      <c r="T29" s="210">
        <v>95</v>
      </c>
      <c r="U29" s="6283" t="s">
        <v>130</v>
      </c>
      <c r="V29" s="5448">
        <v>1</v>
      </c>
      <c r="W29" s="6866" t="s">
        <v>10035</v>
      </c>
      <c r="X29" s="6871"/>
      <c r="Y29" s="6253">
        <f>IF(AA36=0,0,(AA29/AA36)*Z21*1000)</f>
        <v>133.61462728551334</v>
      </c>
      <c r="Z29" s="6255">
        <f>IF(AA36=0, 0, (Q29*V29)/(AA36*Z21))</f>
        <v>0</v>
      </c>
      <c r="AA29" s="5882">
        <f>IFERROR(_xlfn.LET(_xlpm.v,IFERROR(_xlfn.XLOOKUP(U29,Q37:AD37,Q38:AD38),_xlfn.XLOOKUP(U29,Q39:AD39,Q40:AD40)),_xlpm.v*T29*IF(ISBLANK(Q29),1,Q29)),0)</f>
        <v>9.5000000000000001E-2</v>
      </c>
      <c r="AB29" s="5254">
        <f>IF(OR(ISBLANK(AC17),AC17=0),0,Q29*AC15*V29/AC17)</f>
        <v>0</v>
      </c>
      <c r="AC29" s="6051">
        <f>IF(OR(ISBLANK(AC17),AC17=0),0,AA29*V29*AC15/AC17)</f>
        <v>0.19</v>
      </c>
      <c r="AD29" s="6199" t="str">
        <f>_xlfn.LET(_xlpm.unite,SUBSTITUTE(TRIM(U29)," (s)",""),_xlpm.val,AC29,_xlpm.estVol,COUNTIF(W37:AD37,_xlpm.unite)+COUNTIF(W39:AD39,_xlpm.unite)&gt;0,_xlpm.estPoids,COUNTIF(Q37:V37,_xlpm.unite)+COUNTIF(Q39:V39,_xlpm.unite)&gt;0,IF(_xlpm.estVol,IF(ROUND(_xlpm.val,3)&gt;=1,ROUND(_xlpm.val,3)&amp;"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190 g</v>
      </c>
      <c r="AE29" s="6872" t="s">
        <v>11050</v>
      </c>
      <c r="AF29" s="6202" t="str">
        <f t="shared" si="18"/>
        <v>A</v>
      </c>
      <c r="AG29" s="6234" t="str">
        <f t="shared" si="19"/>
        <v>C CHIBOUST PAMPLEMOUSSE | collez la--FAMILLE| Auteur &gt; VOUS</v>
      </c>
      <c r="AH29" s="6732">
        <f t="shared" si="20"/>
        <v>18</v>
      </c>
      <c r="AI29" s="6234" t="str">
        <f t="shared" si="21"/>
        <v>desserts</v>
      </c>
      <c r="AJ29" s="6732" t="str">
        <f t="shared" si="22"/>
        <v>g</v>
      </c>
      <c r="AK29" s="6732">
        <f t="shared" si="23"/>
        <v>1</v>
      </c>
      <c r="AL29" s="6230" cm="1">
        <f t="array" ref="AL29">IF(AF29&lt;&gt;"A","",IFERROR((IFERROR(_xlfn.XLOOKUP(TRIM(SUBSTITUTE(U29,CHAR(160)," ")),$BJ$15:$BJ$62,$BM$15:$BM$62),IFERROR(_xlfn.XLOOKUP(TRIM(SUBSTITUTE(U29,CHAR(160)," ")),$BK$15:$BK$62,$BM$15:$BM$62),_xlfn.XLOOKUP(TRIM(SUBSTITUTE(U29,CHAR(160)," ")),$BL$15:$BL$62,$BM$15:$BM$62))))*T29*IF(ISBLANK(Q29),1,Q29)+IFERROR(_xlfn.XLOOKUP("RECHERCHEX",TRIM(L29:AD29),L29:AD29),0),0))</f>
        <v>9.5000000000000001E-2</v>
      </c>
      <c r="AM29" s="6229" t="str">
        <f t="shared" si="24"/>
        <v>Kg</v>
      </c>
      <c r="AN29" s="6857" t="str">
        <f>IF(AF29="A","❾ Author reference &gt;","")</f>
        <v>❾ Author reference &gt;</v>
      </c>
      <c r="AO29" s="392">
        <f t="shared" si="26"/>
        <v>18</v>
      </c>
      <c r="AP29" s="392" t="str">
        <f t="shared" si="27"/>
        <v>desserts</v>
      </c>
      <c r="AQ29" s="6191">
        <f t="shared" si="28"/>
        <v>20</v>
      </c>
      <c r="AR29" s="6859" t="str">
        <f t="shared" si="29"/>
        <v>parts-ou.or.o ❾ + or - &gt;</v>
      </c>
      <c r="AS29" s="6275"/>
      <c r="AT29" s="6275"/>
      <c r="AU29" s="6272">
        <f t="shared" si="30"/>
        <v>0.10555555555555556</v>
      </c>
      <c r="AV29" s="6240" t="str">
        <f t="shared" si="31"/>
        <v>Kg</v>
      </c>
      <c r="AW29" s="6189" t="str" cm="1">
        <f t="array" ref="AW29">IF(AK29&lt;&gt;1,0,IF(OR(AU29="",N(AU29)&lt;=0.000000001),"",IF(OR(AO29="",N(AO29)&lt;=0.000000001),0,IF(ISNUMBER(AU29),IFERROR(_xlfn.LET(_xlpm.ai_test,TRIM(AJ29),_xlpm.r,IFERROR(_xlfn.XLOOKUP(_xlpm.ai_test,$BJ$15:$BJ$62,ROW($BJ$15:$BJ$62),0,1),IFERROR(_xlfn.XLOOKUP(_xlpm.ai_test,$BK$15:$BK$62,ROW($BK$15:$BK$62),0,1),_xlfn.XLOOKUP(_xlpm.ai_test,$BL$15:$BL$62,ROW($BL$15:$BL$62),0,1))),_xlpm.p,_xlpm.r-MIN(ROW($BJ$15:$BJ$62))+1,_xlpm.f,INDEX($BM$15:$BM$62,_xlpm.p),_xlpm.u,INDEX($BN$15:$BN$62,_xlpm.p),_xlpm.s,INDEX($BP$15:$BP$62,_xlpm.p),_xlpm.q,N(AU29)/_xlpm.f,IF(_xlpm.q&gt;=_xlpm.s,ROUND(_xlpm.q,1)&amp;" "&amp;_xlpm.ai_test&amp;" = "&amp;ROUND(_xlpm.q*_xlpm.f,1)&amp;" "&amp;_xlpm.u,ROUND(_xlpm.q,1)&amp;" "&amp;_xlpm.ai_test)),""),""))))</f>
        <v>105.6 g</v>
      </c>
      <c r="AX29" s="6218"/>
      <c r="AY29" s="6272">
        <f t="shared" si="32"/>
        <v>0.10555555555555556</v>
      </c>
      <c r="AZ29" s="6240" t="str">
        <f t="shared" si="33"/>
        <v>Kg</v>
      </c>
      <c r="BA29" s="6195">
        <f t="shared" si="40"/>
        <v>0</v>
      </c>
      <c r="BB29" s="6193" t="str">
        <f t="shared" si="34"/>
        <v/>
      </c>
      <c r="BC29" s="6219">
        <v>1</v>
      </c>
      <c r="BD29" s="6222">
        <f t="shared" si="42"/>
        <v>0.10555555555555556</v>
      </c>
      <c r="BE29" s="6220" t="str">
        <f t="shared" si="36"/>
        <v>cassonade antillaise</v>
      </c>
      <c r="BF29" s="4" t="s">
        <v>1</v>
      </c>
      <c r="BG29" s="6196">
        <f t="shared" si="37"/>
        <v>0</v>
      </c>
      <c r="BH29" s="6197">
        <f t="shared" si="38"/>
        <v>1.1111111111111112</v>
      </c>
      <c r="BI29" s="187"/>
      <c r="BJ29" s="6286" t="s">
        <v>8765</v>
      </c>
      <c r="BK29" s="6286" t="s">
        <v>9617</v>
      </c>
      <c r="BL29" s="6286" t="s">
        <v>9618</v>
      </c>
      <c r="BM29" s="6304">
        <f t="shared" si="43"/>
        <v>0.1</v>
      </c>
      <c r="BN29" s="6274" t="s">
        <v>8766</v>
      </c>
      <c r="BO29" s="6274" t="s">
        <v>8774</v>
      </c>
      <c r="BP29" s="223">
        <f t="shared" si="41"/>
        <v>10</v>
      </c>
      <c r="BQ29" s="222">
        <v>100</v>
      </c>
      <c r="BR29" s="187"/>
      <c r="BS29" s="187"/>
      <c r="BT29" s="187"/>
      <c r="BU29" s="187"/>
      <c r="BV29" s="187"/>
      <c r="BW29" s="187"/>
      <c r="BX29" s="20" t="str">
        <f t="shared" si="12"/>
        <v>A</v>
      </c>
      <c r="BY29" s="5720" t="s">
        <v>8675</v>
      </c>
      <c r="BZ29" s="228"/>
      <c r="CA29" s="228"/>
      <c r="CB29" s="227"/>
      <c r="CC29" s="227"/>
      <c r="CD29" s="5661"/>
      <c r="CE29" s="5716"/>
      <c r="CF29" s="5738" t="s">
        <v>11026</v>
      </c>
      <c r="CG29" s="5705"/>
      <c r="CH29" s="5705"/>
      <c r="CI29" s="5705"/>
      <c r="CJ29" s="5705"/>
      <c r="CK29" s="5706"/>
      <c r="CM29" s="5716"/>
      <c r="CN29" s="5738" t="s">
        <v>11028</v>
      </c>
      <c r="CO29" s="5705"/>
      <c r="CP29" s="5705"/>
      <c r="CQ29" s="5705"/>
      <c r="CR29" s="5705"/>
      <c r="CS29" s="5706"/>
      <c r="CU29" s="5716"/>
      <c r="CV29" s="5738" t="s">
        <v>11030</v>
      </c>
      <c r="CW29" s="5705"/>
      <c r="CX29" s="5705"/>
      <c r="CY29" s="5705"/>
      <c r="CZ29" s="5705"/>
      <c r="DA29" s="5706"/>
      <c r="DC29" s="5">
        <v>1</v>
      </c>
    </row>
    <row r="30" spans="1:107" s="1" customFormat="1" ht="21" customHeight="1">
      <c r="A30" s="5641" t="s">
        <v>1</v>
      </c>
      <c r="B30" s="5662" t="str">
        <f t="shared" si="11"/>
        <v>►</v>
      </c>
      <c r="C30" s="5825" cm="1">
        <f t="array" ref="C30">SUMPRODUCT(LEN(D30:J30))</f>
        <v>0</v>
      </c>
      <c r="D30" s="5275"/>
      <c r="E30" s="1361"/>
      <c r="F30" s="1361"/>
      <c r="G30" s="1361"/>
      <c r="H30" s="1361"/>
      <c r="I30" s="1361"/>
      <c r="J30" s="5276"/>
      <c r="K30" s="106" t="s">
        <v>1</v>
      </c>
      <c r="L30" s="1021" t="str">
        <f t="shared" si="39"/>
        <v>►</v>
      </c>
      <c r="M30" s="41" t="str">
        <f>M18</f>
        <v>C CHIBOUST PAMPLEMOUSSE | collez la--FAMILLE| Auteur &gt; VOUS</v>
      </c>
      <c r="N30" s="40">
        <f>N18</f>
        <v>18</v>
      </c>
      <c r="O30" s="41" t="str">
        <f>O18</f>
        <v>desserts</v>
      </c>
      <c r="P30" s="5386" t="str">
        <f>P18</f>
        <v>Recette mère ► Mille - feuille aux fraises des bois</v>
      </c>
      <c r="Q30" s="213"/>
      <c r="R30" s="212"/>
      <c r="S30" s="211" t="str">
        <f t="shared" si="17"/>
        <v/>
      </c>
      <c r="T30" s="210"/>
      <c r="U30" s="6366"/>
      <c r="V30" s="5448">
        <v>1</v>
      </c>
      <c r="W30" s="6866"/>
      <c r="X30" s="6871"/>
      <c r="Y30" s="6253">
        <f>IF(AA36=0,0,(AA30/AA36)*Z21*1000)</f>
        <v>0</v>
      </c>
      <c r="Z30" s="6255">
        <f>IF(AA36=0, 0, (Q30*V30)/(AA36*Z21))</f>
        <v>0</v>
      </c>
      <c r="AA30" s="5882">
        <f>IFERROR(_xlfn.LET(_xlpm.v,IFERROR(_xlfn.XLOOKUP(U30,Q37:AD37,Q38:AD38),_xlfn.XLOOKUP(U30,Q39:AD39,Q40:AD40)),_xlpm.v*T30*IF(ISBLANK(Q30),1,Q30)),0)</f>
        <v>0</v>
      </c>
      <c r="AB30" s="5256">
        <f>IF(OR(ISBLANK(AC17),AC17=0),0,Q30*AC15*V30/AC17)</f>
        <v>0</v>
      </c>
      <c r="AC30" s="6051">
        <f>IF(OR(ISBLANK(AC17),AC17=0),0,AA30*V30*AC15/AC17)</f>
        <v>0</v>
      </c>
      <c r="AD30" s="6200" t="str">
        <f>_xlfn.LET(_xlpm.unite,SUBSTITUTE(TRIM(U30)," (s)",""),_xlpm.val,AC30,_xlpm.estVol,COUNTIF(W37:AD37,_xlpm.unite)+COUNTIF(W39:AD39,_xlpm.unite)&gt;0,_xlpm.estPoids,COUNTIF(Q37:V37,_xlpm.unite)+COUNTIF(Q39:V39,_xlpm.unite)&gt;0,IF(_xlpm.estVol,IF(ROUND(_xlpm.val,3)&gt;=1,ROUND(_xlpm.val,3)&amp;"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0" s="6872" t="s">
        <v>11051</v>
      </c>
      <c r="AF30" s="6202" t="str">
        <f t="shared" si="18"/>
        <v>►</v>
      </c>
      <c r="AG30" s="6234" t="str">
        <f t="shared" si="19"/>
        <v/>
      </c>
      <c r="AH30" s="6732" t="str">
        <f t="shared" si="20"/>
        <v/>
      </c>
      <c r="AI30" s="6234" t="str">
        <f t="shared" si="21"/>
        <v/>
      </c>
      <c r="AJ30" s="6732" t="str">
        <f t="shared" si="22"/>
        <v/>
      </c>
      <c r="AK30" s="6732">
        <f t="shared" si="23"/>
        <v>0</v>
      </c>
      <c r="AL30" s="6230" t="str" cm="1">
        <f t="array" ref="AL30">IF(AF30&lt;&gt;"A","",IFERROR((IFERROR(_xlfn.XLOOKUP(TRIM(SUBSTITUTE(U30,CHAR(160)," ")),$BJ$15:$BJ$62,$BM$15:$BM$62),IFERROR(_xlfn.XLOOKUP(TRIM(SUBSTITUTE(U30,CHAR(160)," ")),$BK$15:$BK$62,$BM$15:$BM$62),_xlfn.XLOOKUP(TRIM(SUBSTITUTE(U30,CHAR(160)," ")),$BL$15:$BL$62,$BM$15:$BM$62))))*T30*IF(ISBLANK(Q30),1,Q30)+IFERROR(_xlfn.XLOOKUP("RECHERCHEX",TRIM(L30:AD30),L30:AD30),0),0))</f>
        <v/>
      </c>
      <c r="AM30" s="6229">
        <f t="shared" si="24"/>
        <v>0</v>
      </c>
      <c r="AN30" s="6857" t="str">
        <f t="shared" ref="AN30:AN93" si="44">IF(AF30="A","❾ Author reference &gt;","")</f>
        <v/>
      </c>
      <c r="AO30" s="392">
        <f t="shared" si="26"/>
        <v>0</v>
      </c>
      <c r="AP30" s="392">
        <f t="shared" si="27"/>
        <v>0</v>
      </c>
      <c r="AQ30" s="6190">
        <f t="shared" si="28"/>
        <v>0</v>
      </c>
      <c r="AR30" s="6858" t="str">
        <f t="shared" si="29"/>
        <v/>
      </c>
      <c r="AS30" s="6217"/>
      <c r="AT30" s="6217"/>
      <c r="AU30" s="6271">
        <f t="shared" si="30"/>
        <v>0</v>
      </c>
      <c r="AV30" s="6242">
        <f t="shared" si="31"/>
        <v>0</v>
      </c>
      <c r="AW30" s="6188" cm="1">
        <f t="array" ref="AW30">IF(AK30&lt;&gt;1,0,IF(OR(AU30="",N(AU30)&lt;=0.000000001),"",IF(OR(AO30="",N(AO30)&lt;=0.000000001),0,IF(ISNUMBER(AU30),IFERROR(_xlfn.LET(_xlpm.ai_test,TRIM(AJ30),_xlpm.r,IFERROR(_xlfn.XLOOKUP(_xlpm.ai_test,$BJ$15:$BJ$62,ROW($BJ$15:$BJ$62),0,1),IFERROR(_xlfn.XLOOKUP(_xlpm.ai_test,$BK$15:$BK$62,ROW($BK$15:$BK$62),0,1),_xlfn.XLOOKUP(_xlpm.ai_test,$BL$15:$BL$62,ROW($BL$15:$BL$62),0,1))),_xlpm.p,_xlpm.r-MIN(ROW($BJ$15:$BJ$62))+1,_xlpm.f,INDEX($BM$15:$BM$62,_xlpm.p),_xlpm.u,INDEX($BN$15:$BN$62,_xlpm.p),_xlpm.s,INDEX($BP$15:$BP$62,_xlpm.p),_xlpm.q,N(AU30)/_xlpm.f,IF(_xlpm.q&gt;=_xlpm.s,ROUND(_xlpm.q,1)&amp;" "&amp;_xlpm.ai_test&amp;" = "&amp;ROUND(_xlpm.q*_xlpm.f,1)&amp;" "&amp;_xlpm.u,ROUND(_xlpm.q,1)&amp;" "&amp;_xlpm.ai_test)),""),""))))</f>
        <v>0</v>
      </c>
      <c r="AX30" s="6218"/>
      <c r="AY30" s="6271">
        <f t="shared" si="32"/>
        <v>0</v>
      </c>
      <c r="AZ30" s="6242" t="str">
        <f t="shared" si="33"/>
        <v/>
      </c>
      <c r="BA30" s="6194">
        <f t="shared" si="40"/>
        <v>0</v>
      </c>
      <c r="BB30" s="6192" t="str">
        <f t="shared" si="34"/>
        <v/>
      </c>
      <c r="BC30" s="6219"/>
      <c r="BD30" s="6221">
        <f t="shared" si="42"/>
        <v>0</v>
      </c>
      <c r="BE30" s="6220" t="str">
        <f t="shared" si="36"/>
        <v/>
      </c>
      <c r="BF30" s="4" t="s">
        <v>1</v>
      </c>
      <c r="BG30" s="6196">
        <f t="shared" si="37"/>
        <v>0</v>
      </c>
      <c r="BH30" s="6197">
        <f t="shared" si="38"/>
        <v>0</v>
      </c>
      <c r="BI30" s="187"/>
      <c r="BJ30" s="6286" t="s">
        <v>8012</v>
      </c>
      <c r="BK30" s="6286" t="s">
        <v>9619</v>
      </c>
      <c r="BL30" s="6286" t="s">
        <v>9620</v>
      </c>
      <c r="BM30" s="6304">
        <f t="shared" si="43"/>
        <v>0.33300000000000002</v>
      </c>
      <c r="BN30" s="6274" t="s">
        <v>8766</v>
      </c>
      <c r="BO30" s="6274" t="s">
        <v>8774</v>
      </c>
      <c r="BP30" s="223">
        <f t="shared" si="41"/>
        <v>3</v>
      </c>
      <c r="BQ30" s="236">
        <v>333</v>
      </c>
      <c r="BR30" s="187"/>
      <c r="BS30" s="187"/>
      <c r="BT30" s="187"/>
      <c r="BU30" s="187"/>
      <c r="BV30" s="187"/>
      <c r="BW30" s="187"/>
      <c r="BX30" s="20" t="str">
        <f t="shared" si="12"/>
        <v>►</v>
      </c>
      <c r="BY30" s="6938" t="s">
        <v>8676</v>
      </c>
      <c r="BZ30" s="6938"/>
      <c r="CA30" s="6938"/>
      <c r="CB30" s="6938"/>
      <c r="CC30" s="6938"/>
      <c r="CD30" s="5661"/>
      <c r="CE30" s="5716"/>
      <c r="CF30" s="5738" t="s">
        <v>11027</v>
      </c>
      <c r="CG30" s="5705"/>
      <c r="CH30" s="5705"/>
      <c r="CI30" s="5705"/>
      <c r="CJ30" s="5705"/>
      <c r="CK30" s="5706"/>
      <c r="CM30" s="5716"/>
      <c r="CN30" s="5738" t="s">
        <v>8781</v>
      </c>
      <c r="CO30" s="5705"/>
      <c r="CP30" s="5705"/>
      <c r="CQ30" s="5705"/>
      <c r="CR30" s="5705"/>
      <c r="CS30" s="5706"/>
      <c r="CU30" s="5716"/>
      <c r="CV30" s="5738" t="s">
        <v>11032</v>
      </c>
      <c r="CW30" s="5705"/>
      <c r="CX30" s="5705"/>
      <c r="CY30" s="5705"/>
      <c r="CZ30" s="5705"/>
      <c r="DA30" s="5706"/>
      <c r="DC30" s="5">
        <v>1</v>
      </c>
    </row>
    <row r="31" spans="1:107" s="1" customFormat="1" ht="21" customHeight="1">
      <c r="A31" s="5641" t="s">
        <v>1</v>
      </c>
      <c r="B31" s="5662" t="str">
        <f t="shared" si="11"/>
        <v>►</v>
      </c>
      <c r="C31" s="5825" cm="1">
        <f t="array" ref="C31">SUMPRODUCT(LEN(D31:J31))</f>
        <v>0</v>
      </c>
      <c r="D31" s="5275"/>
      <c r="E31" s="1361"/>
      <c r="F31" s="1361"/>
      <c r="G31" s="1361"/>
      <c r="H31" s="1361"/>
      <c r="I31" s="1361"/>
      <c r="J31" s="5276"/>
      <c r="K31" s="106" t="s">
        <v>1</v>
      </c>
      <c r="L31" s="1021" t="str">
        <f t="shared" si="39"/>
        <v>►</v>
      </c>
      <c r="M31" s="41" t="str">
        <f>M18</f>
        <v>C CHIBOUST PAMPLEMOUSSE | collez la--FAMILLE| Auteur &gt; VOUS</v>
      </c>
      <c r="N31" s="40">
        <f>N18</f>
        <v>18</v>
      </c>
      <c r="O31" s="41" t="str">
        <f>O18</f>
        <v>desserts</v>
      </c>
      <c r="P31" s="5386" t="str">
        <f>P18</f>
        <v>Recette mère ► Mille - feuille aux fraises des bois</v>
      </c>
      <c r="Q31" s="213"/>
      <c r="R31" s="212"/>
      <c r="S31" s="211" t="str">
        <f t="shared" si="17"/>
        <v/>
      </c>
      <c r="T31" s="210"/>
      <c r="U31" s="6366"/>
      <c r="V31" s="5448">
        <v>1</v>
      </c>
      <c r="W31" s="6866"/>
      <c r="X31" s="6871"/>
      <c r="Y31" s="6253">
        <f>IF(AA36=0,0,(AA31/AA36)*Z21*1000)</f>
        <v>0</v>
      </c>
      <c r="Z31" s="6255">
        <f>IF(AA36=0, 0, (Q31*V31)/(AA36*Z21))</f>
        <v>0</v>
      </c>
      <c r="AA31" s="5882">
        <f>IFERROR(_xlfn.LET(_xlpm.v,IFERROR(_xlfn.XLOOKUP(U31,Q37:AD37,Q38:AD38),_xlfn.XLOOKUP(U31,Q39:AD39,Q40:AD40)),_xlpm.v*T31*IF(ISBLANK(Q31),1,Q31)),0)</f>
        <v>0</v>
      </c>
      <c r="AB31" s="5254">
        <f>IF(OR(ISBLANK(AC17),AC17=0),0,Q31*AC15*V31/AC17)</f>
        <v>0</v>
      </c>
      <c r="AC31" s="6051">
        <f>IF(OR(ISBLANK(AC17),AC17=0),0,AA31*V31*AC15/AC17)</f>
        <v>0</v>
      </c>
      <c r="AD31" s="6199" t="str">
        <f>_xlfn.LET(_xlpm.unite,SUBSTITUTE(TRIM(U31)," (s)",""),_xlpm.val,AC31,_xlpm.estVol,COUNTIF(W37:AD37,_xlpm.unite)+COUNTIF(W39:AD39,_xlpm.unite)&gt;0,_xlpm.estPoids,COUNTIF(Q37:V37,_xlpm.unite)+COUNTIF(Q39:V39,_xlpm.unite)&gt;0,IF(_xlpm.estVol,IF(ROUND(_xlpm.val,3)&gt;=1,ROUND(_xlpm.val,3)&amp;"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1" s="6872" t="s">
        <v>11052</v>
      </c>
      <c r="AF31" s="6202" t="str">
        <f t="shared" si="18"/>
        <v>►</v>
      </c>
      <c r="AG31" s="6234" t="str">
        <f t="shared" si="19"/>
        <v/>
      </c>
      <c r="AH31" s="6732" t="str">
        <f t="shared" si="20"/>
        <v/>
      </c>
      <c r="AI31" s="6234" t="str">
        <f t="shared" si="21"/>
        <v/>
      </c>
      <c r="AJ31" s="6732" t="str">
        <f t="shared" si="22"/>
        <v/>
      </c>
      <c r="AK31" s="6732">
        <f t="shared" si="23"/>
        <v>0</v>
      </c>
      <c r="AL31" s="6230" t="str" cm="1">
        <f t="array" ref="AL31">IF(AF31&lt;&gt;"A","",IFERROR((IFERROR(_xlfn.XLOOKUP(TRIM(SUBSTITUTE(U31,CHAR(160)," ")),$BJ$15:$BJ$62,$BM$15:$BM$62),IFERROR(_xlfn.XLOOKUP(TRIM(SUBSTITUTE(U31,CHAR(160)," ")),$BK$15:$BK$62,$BM$15:$BM$62),_xlfn.XLOOKUP(TRIM(SUBSTITUTE(U31,CHAR(160)," ")),$BL$15:$BL$62,$BM$15:$BM$62))))*T31*IF(ISBLANK(Q31),1,Q31)+IFERROR(_xlfn.XLOOKUP("RECHERCHEX",TRIM(L31:AD31),L31:AD31),0),0))</f>
        <v/>
      </c>
      <c r="AM31" s="6229">
        <f t="shared" si="24"/>
        <v>0</v>
      </c>
      <c r="AN31" s="6857" t="str">
        <f t="shared" si="44"/>
        <v/>
      </c>
      <c r="AO31" s="392">
        <f t="shared" si="26"/>
        <v>0</v>
      </c>
      <c r="AP31" s="392">
        <f t="shared" si="27"/>
        <v>0</v>
      </c>
      <c r="AQ31" s="6191">
        <f t="shared" si="28"/>
        <v>0</v>
      </c>
      <c r="AR31" s="6859" t="str">
        <f t="shared" si="29"/>
        <v/>
      </c>
      <c r="AS31" s="6217"/>
      <c r="AT31" s="6217"/>
      <c r="AU31" s="6272">
        <f t="shared" si="30"/>
        <v>0</v>
      </c>
      <c r="AV31" s="6240">
        <f t="shared" si="31"/>
        <v>0</v>
      </c>
      <c r="AW31" s="6189" cm="1">
        <f t="array" ref="AW31">IF(AK31&lt;&gt;1,0,IF(OR(AU31="",N(AU31)&lt;=0.000000001),"",IF(OR(AO31="",N(AO31)&lt;=0.000000001),0,IF(ISNUMBER(AU31),IFERROR(_xlfn.LET(_xlpm.ai_test,TRIM(AJ31),_xlpm.r,IFERROR(_xlfn.XLOOKUP(_xlpm.ai_test,$BJ$15:$BJ$62,ROW($BJ$15:$BJ$62),0,1),IFERROR(_xlfn.XLOOKUP(_xlpm.ai_test,$BK$15:$BK$62,ROW($BK$15:$BK$62),0,1),_xlfn.XLOOKUP(_xlpm.ai_test,$BL$15:$BL$62,ROW($BL$15:$BL$62),0,1))),_xlpm.p,_xlpm.r-MIN(ROW($BJ$15:$BJ$62))+1,_xlpm.f,INDEX($BM$15:$BM$62,_xlpm.p),_xlpm.u,INDEX($BN$15:$BN$62,_xlpm.p),_xlpm.s,INDEX($BP$15:$BP$62,_xlpm.p),_xlpm.q,N(AU31)/_xlpm.f,IF(_xlpm.q&gt;=_xlpm.s,ROUND(_xlpm.q,1)&amp;" "&amp;_xlpm.ai_test&amp;" = "&amp;ROUND(_xlpm.q*_xlpm.f,1)&amp;" "&amp;_xlpm.u,ROUND(_xlpm.q,1)&amp;" "&amp;_xlpm.ai_test)),""),""))))</f>
        <v>0</v>
      </c>
      <c r="AX31" s="6218"/>
      <c r="AY31" s="6272">
        <f t="shared" si="32"/>
        <v>0</v>
      </c>
      <c r="AZ31" s="6240" t="str">
        <f t="shared" si="33"/>
        <v/>
      </c>
      <c r="BA31" s="6195">
        <f t="shared" si="40"/>
        <v>0</v>
      </c>
      <c r="BB31" s="6193" t="str">
        <f t="shared" si="34"/>
        <v/>
      </c>
      <c r="BC31" s="6219"/>
      <c r="BD31" s="6222">
        <f t="shared" si="42"/>
        <v>0</v>
      </c>
      <c r="BE31" s="6220" t="str">
        <f t="shared" si="36"/>
        <v/>
      </c>
      <c r="BF31" s="4" t="s">
        <v>1</v>
      </c>
      <c r="BG31" s="6196">
        <f t="shared" si="37"/>
        <v>0</v>
      </c>
      <c r="BH31" s="6197">
        <f t="shared" si="38"/>
        <v>0</v>
      </c>
      <c r="BI31" s="187"/>
      <c r="BJ31" s="6286" t="s">
        <v>946</v>
      </c>
      <c r="BK31" s="6286" t="s">
        <v>9690</v>
      </c>
      <c r="BL31" s="6286" t="s">
        <v>9699</v>
      </c>
      <c r="BM31" s="6304">
        <f t="shared" si="43"/>
        <v>1.4999999999999999E-2</v>
      </c>
      <c r="BN31" s="6274" t="s">
        <v>8766</v>
      </c>
      <c r="BO31" s="6274" t="s">
        <v>8774</v>
      </c>
      <c r="BP31" s="223">
        <f t="shared" si="41"/>
        <v>67</v>
      </c>
      <c r="BQ31" s="222">
        <v>15</v>
      </c>
      <c r="BR31" s="187"/>
      <c r="BS31" s="187"/>
      <c r="BT31" s="187"/>
      <c r="BU31" s="187"/>
      <c r="BV31" s="187"/>
      <c r="BW31" s="187"/>
      <c r="BX31" s="20" t="str">
        <f t="shared" si="12"/>
        <v>►</v>
      </c>
      <c r="BY31" s="6938"/>
      <c r="BZ31" s="6938"/>
      <c r="CA31" s="6938"/>
      <c r="CB31" s="6938"/>
      <c r="CC31" s="6938"/>
      <c r="CD31" s="5661"/>
      <c r="CE31" s="5716"/>
      <c r="CF31" s="5738" t="s">
        <v>11037</v>
      </c>
      <c r="CG31" s="5705"/>
      <c r="CH31" s="5705"/>
      <c r="CI31" s="5705"/>
      <c r="CJ31" s="5705"/>
      <c r="CK31" s="5706"/>
      <c r="CM31" s="5716"/>
      <c r="CN31" s="5738" t="s">
        <v>11029</v>
      </c>
      <c r="CO31" s="5705"/>
      <c r="CP31" s="5705"/>
      <c r="CQ31" s="5705"/>
      <c r="CR31" s="5705"/>
      <c r="CS31" s="5706"/>
      <c r="CU31" s="5716"/>
      <c r="CV31" s="5738" t="s">
        <v>11031</v>
      </c>
      <c r="CW31" s="5705"/>
      <c r="CX31" s="5705"/>
      <c r="CY31" s="5705"/>
      <c r="CZ31" s="5705"/>
      <c r="DA31" s="5706"/>
      <c r="DC31" s="5">
        <v>1</v>
      </c>
    </row>
    <row r="32" spans="1:107" s="1" customFormat="1" ht="21" customHeight="1">
      <c r="A32" s="5641" t="s">
        <v>1</v>
      </c>
      <c r="B32" s="5662" t="str">
        <f t="shared" si="11"/>
        <v>►</v>
      </c>
      <c r="C32" s="5825" cm="1">
        <f t="array" ref="C32">SUMPRODUCT(LEN(D32:J32))</f>
        <v>0</v>
      </c>
      <c r="D32" s="5275"/>
      <c r="E32" s="1361"/>
      <c r="F32" s="1361"/>
      <c r="G32" s="1361"/>
      <c r="H32" s="1361"/>
      <c r="I32" s="1361"/>
      <c r="J32" s="5276"/>
      <c r="K32" s="106" t="s">
        <v>1</v>
      </c>
      <c r="L32" s="1021" t="str">
        <f t="shared" si="39"/>
        <v>►</v>
      </c>
      <c r="M32" s="41" t="str">
        <f>M18</f>
        <v>C CHIBOUST PAMPLEMOUSSE | collez la--FAMILLE| Auteur &gt; VOUS</v>
      </c>
      <c r="N32" s="40">
        <f>N18</f>
        <v>18</v>
      </c>
      <c r="O32" s="41" t="str">
        <f>O18</f>
        <v>desserts</v>
      </c>
      <c r="P32" s="5386" t="str">
        <f>P18</f>
        <v>Recette mère ► Mille - feuille aux fraises des bois</v>
      </c>
      <c r="Q32" s="213"/>
      <c r="R32" s="212"/>
      <c r="S32" s="211" t="str">
        <f t="shared" si="17"/>
        <v/>
      </c>
      <c r="T32" s="210"/>
      <c r="U32" s="6366"/>
      <c r="V32" s="5448">
        <v>1</v>
      </c>
      <c r="W32" s="6866"/>
      <c r="X32" s="6871"/>
      <c r="Y32" s="6253">
        <f>IF(AA36=0,0,(AA32/AA36)*Z21*1000)</f>
        <v>0</v>
      </c>
      <c r="Z32" s="6255">
        <f>IF(AA36=0, 0, (Q32*V32)/(AA36*Z21))</f>
        <v>0</v>
      </c>
      <c r="AA32" s="5882">
        <f>IFERROR(_xlfn.LET(_xlpm.v,IFERROR(_xlfn.XLOOKUP(U32,Q37:AD37,Q38:AD38),_xlfn.XLOOKUP(U32,Q39:AD39,Q40:AD40)),_xlpm.v*T32*IF(ISBLANK(Q32),1,Q32)),0)</f>
        <v>0</v>
      </c>
      <c r="AB32" s="5256">
        <f>IF(OR(ISBLANK(AC17),AC17=0),0,Q32*AC15*V32/AC17)</f>
        <v>0</v>
      </c>
      <c r="AC32" s="6051">
        <f>IF(OR(ISBLANK(AC17),AC17=0),0,AA32*V32*AC15/AC17)</f>
        <v>0</v>
      </c>
      <c r="AD32" s="6201" t="str">
        <f>_xlfn.LET(_xlpm.unite,SUBSTITUTE(TRIM(U32)," (s)",""),_xlpm.val,AC32,_xlpm.estVol,COUNTIF(W37:AD37,_xlpm.unite)+COUNTIF(W39:AD39,_xlpm.unite)&gt;0,_xlpm.estPoids,COUNTIF(Q37:V37,_xlpm.unite)+COUNTIF(Q39:V39,_xlpm.unite)&gt;0,IF(_xlpm.estVol,IF(ROUND(_xlpm.val,3)&gt;=1,ROUND(_xlpm.val,3)&amp;"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2" s="6872" t="s">
        <v>11053</v>
      </c>
      <c r="AF32" s="6202" t="str">
        <f t="shared" si="18"/>
        <v>►</v>
      </c>
      <c r="AG32" s="6234" t="str">
        <f t="shared" si="19"/>
        <v/>
      </c>
      <c r="AH32" s="6732" t="str">
        <f t="shared" si="20"/>
        <v/>
      </c>
      <c r="AI32" s="6234" t="str">
        <f t="shared" si="21"/>
        <v/>
      </c>
      <c r="AJ32" s="6732" t="str">
        <f t="shared" si="22"/>
        <v/>
      </c>
      <c r="AK32" s="6732">
        <f t="shared" si="23"/>
        <v>0</v>
      </c>
      <c r="AL32" s="6230" t="str" cm="1">
        <f t="array" ref="AL32">IF(AF32&lt;&gt;"A","",IFERROR((IFERROR(_xlfn.XLOOKUP(TRIM(SUBSTITUTE(U32,CHAR(160)," ")),$BJ$15:$BJ$62,$BM$15:$BM$62),IFERROR(_xlfn.XLOOKUP(TRIM(SUBSTITUTE(U32,CHAR(160)," ")),$BK$15:$BK$62,$BM$15:$BM$62),_xlfn.XLOOKUP(TRIM(SUBSTITUTE(U32,CHAR(160)," ")),$BL$15:$BL$62,$BM$15:$BM$62))))*T32*IF(ISBLANK(Q32),1,Q32)+IFERROR(_xlfn.XLOOKUP("RECHERCHEX",TRIM(L32:AD32),L32:AD32),0),0))</f>
        <v/>
      </c>
      <c r="AM32" s="6229">
        <f t="shared" si="24"/>
        <v>0</v>
      </c>
      <c r="AN32" s="6857" t="str">
        <f t="shared" si="44"/>
        <v/>
      </c>
      <c r="AO32" s="392">
        <f t="shared" si="26"/>
        <v>0</v>
      </c>
      <c r="AP32" s="392">
        <f t="shared" si="27"/>
        <v>0</v>
      </c>
      <c r="AQ32" s="6190">
        <f t="shared" si="28"/>
        <v>0</v>
      </c>
      <c r="AR32" s="6858" t="str">
        <f t="shared" si="29"/>
        <v/>
      </c>
      <c r="AS32" s="6217"/>
      <c r="AT32" s="6217"/>
      <c r="AU32" s="6271">
        <f t="shared" si="30"/>
        <v>0</v>
      </c>
      <c r="AV32" s="6242">
        <f t="shared" si="31"/>
        <v>0</v>
      </c>
      <c r="AW32" s="6188" cm="1">
        <f t="array" ref="AW32">IF(AK32&lt;&gt;1,0,IF(OR(AU32="",N(AU32)&lt;=0.000000001),"",IF(OR(AO32="",N(AO32)&lt;=0.000000001),0,IF(ISNUMBER(AU32),IFERROR(_xlfn.LET(_xlpm.ai_test,TRIM(AJ32),_xlpm.r,IFERROR(_xlfn.XLOOKUP(_xlpm.ai_test,$BJ$15:$BJ$62,ROW($BJ$15:$BJ$62),0,1),IFERROR(_xlfn.XLOOKUP(_xlpm.ai_test,$BK$15:$BK$62,ROW($BK$15:$BK$62),0,1),_xlfn.XLOOKUP(_xlpm.ai_test,$BL$15:$BL$62,ROW($BL$15:$BL$62),0,1))),_xlpm.p,_xlpm.r-MIN(ROW($BJ$15:$BJ$62))+1,_xlpm.f,INDEX($BM$15:$BM$62,_xlpm.p),_xlpm.u,INDEX($BN$15:$BN$62,_xlpm.p),_xlpm.s,INDEX($BP$15:$BP$62,_xlpm.p),_xlpm.q,N(AU32)/_xlpm.f,IF(_xlpm.q&gt;=_xlpm.s,ROUND(_xlpm.q,1)&amp;" "&amp;_xlpm.ai_test&amp;" = "&amp;ROUND(_xlpm.q*_xlpm.f,1)&amp;" "&amp;_xlpm.u,ROUND(_xlpm.q,1)&amp;" "&amp;_xlpm.ai_test)),""),""))))</f>
        <v>0</v>
      </c>
      <c r="AX32" s="6218"/>
      <c r="AY32" s="6271">
        <f t="shared" si="32"/>
        <v>0</v>
      </c>
      <c r="AZ32" s="6242" t="str">
        <f t="shared" si="33"/>
        <v/>
      </c>
      <c r="BA32" s="6194">
        <f t="shared" si="40"/>
        <v>0</v>
      </c>
      <c r="BB32" s="6192" t="str">
        <f t="shared" si="34"/>
        <v/>
      </c>
      <c r="BC32" s="6219"/>
      <c r="BD32" s="6221">
        <f t="shared" si="42"/>
        <v>0</v>
      </c>
      <c r="BE32" s="6220" t="str">
        <f t="shared" si="36"/>
        <v/>
      </c>
      <c r="BF32" s="4" t="s">
        <v>1</v>
      </c>
      <c r="BG32" s="6196">
        <f t="shared" si="37"/>
        <v>0</v>
      </c>
      <c r="BH32" s="6197">
        <f t="shared" si="38"/>
        <v>0</v>
      </c>
      <c r="BI32" s="187"/>
      <c r="BJ32" s="6286" t="s">
        <v>8764</v>
      </c>
      <c r="BK32" s="6286" t="s">
        <v>9621</v>
      </c>
      <c r="BL32" s="6282" t="s">
        <v>9622</v>
      </c>
      <c r="BM32" s="6304">
        <f t="shared" si="43"/>
        <v>0.2</v>
      </c>
      <c r="BN32" s="6274" t="s">
        <v>8766</v>
      </c>
      <c r="BO32" s="6274" t="s">
        <v>8774</v>
      </c>
      <c r="BP32" s="223">
        <f t="shared" si="41"/>
        <v>5</v>
      </c>
      <c r="BQ32" s="222">
        <v>200</v>
      </c>
      <c r="BR32" s="187"/>
      <c r="BS32" s="187"/>
      <c r="BT32" s="187"/>
      <c r="BU32" s="187"/>
      <c r="BV32" s="187"/>
      <c r="BW32" s="187"/>
      <c r="BX32" s="20" t="str">
        <f t="shared" si="12"/>
        <v>►</v>
      </c>
      <c r="BY32" s="6214"/>
      <c r="BZ32" s="6214"/>
      <c r="CA32" s="6214"/>
      <c r="CB32" s="6214"/>
      <c r="CC32" s="6214"/>
      <c r="CD32" s="5661"/>
      <c r="CE32" s="5716"/>
      <c r="CF32" s="5738" t="s">
        <v>11038</v>
      </c>
      <c r="CG32" s="5705"/>
      <c r="CH32" s="5705"/>
      <c r="CI32" s="5705"/>
      <c r="CJ32" s="5705"/>
      <c r="CK32" s="5706"/>
      <c r="CM32" s="5716"/>
      <c r="CN32" s="5738" t="s">
        <v>11039</v>
      </c>
      <c r="CO32" s="5705"/>
      <c r="CP32" s="5705"/>
      <c r="CQ32" s="5705"/>
      <c r="CR32" s="5705"/>
      <c r="CS32" s="5706"/>
      <c r="CU32" s="5716"/>
      <c r="CV32" s="5705" t="s">
        <v>11040</v>
      </c>
      <c r="CW32" s="5705"/>
      <c r="CX32" s="5705"/>
      <c r="CY32" s="5705"/>
      <c r="CZ32" s="5705"/>
      <c r="DA32" s="5706"/>
      <c r="DC32" s="5">
        <v>1</v>
      </c>
    </row>
    <row r="33" spans="1:107" s="1" customFormat="1" ht="21" customHeight="1">
      <c r="A33" s="5641" t="s">
        <v>1</v>
      </c>
      <c r="B33" s="5662" t="str">
        <f t="shared" si="11"/>
        <v>►</v>
      </c>
      <c r="C33" s="5825" cm="1">
        <f t="array" ref="C33">SUMPRODUCT(LEN(D33:J33))</f>
        <v>0</v>
      </c>
      <c r="D33" s="5275"/>
      <c r="E33" s="1361"/>
      <c r="F33" s="1361"/>
      <c r="G33" s="1361"/>
      <c r="H33" s="1361"/>
      <c r="I33" s="1361"/>
      <c r="J33" s="5276"/>
      <c r="K33" s="106" t="s">
        <v>1</v>
      </c>
      <c r="L33" s="1021" t="str">
        <f t="shared" si="39"/>
        <v>►</v>
      </c>
      <c r="M33" s="41" t="str">
        <f>M18</f>
        <v>C CHIBOUST PAMPLEMOUSSE | collez la--FAMILLE| Auteur &gt; VOUS</v>
      </c>
      <c r="N33" s="40">
        <f>N18</f>
        <v>18</v>
      </c>
      <c r="O33" s="41" t="str">
        <f>O18</f>
        <v>desserts</v>
      </c>
      <c r="P33" s="5386" t="str">
        <f>P18</f>
        <v>Recette mère ► Mille - feuille aux fraises des bois</v>
      </c>
      <c r="Q33" s="213"/>
      <c r="R33" s="212"/>
      <c r="S33" s="211" t="str">
        <f t="shared" si="17"/>
        <v/>
      </c>
      <c r="T33" s="210"/>
      <c r="U33" s="6366"/>
      <c r="V33" s="5448">
        <v>1</v>
      </c>
      <c r="W33" s="6866"/>
      <c r="X33" s="6871"/>
      <c r="Y33" s="6253">
        <f>IF(AA36=0,0,(AA33/AA36)*Z21*1000)</f>
        <v>0</v>
      </c>
      <c r="Z33" s="6255">
        <f>IF(AA36=0, 0, (Q33*V33)/(AA36*Z21))</f>
        <v>0</v>
      </c>
      <c r="AA33" s="5882">
        <f>IFERROR(_xlfn.LET(_xlpm.v,IFERROR(_xlfn.XLOOKUP(U33,Q37:AD37,Q38:AD38),_xlfn.XLOOKUP(U33,Q39:AD39,Q40:AD40)),_xlpm.v*T33*IF(ISBLANK(Q33),1,Q33)),0)</f>
        <v>0</v>
      </c>
      <c r="AB33" s="5254">
        <f>IF(OR(ISBLANK(AC17),AC17=0),0,Q33*AC15*V33/AC17)</f>
        <v>0</v>
      </c>
      <c r="AC33" s="6051">
        <f>IF(OR(ISBLANK(AC17),AC17=0),0,AA33*V33*AC15/AC17)</f>
        <v>0</v>
      </c>
      <c r="AD33" s="6199" t="str">
        <f>_xlfn.LET(_xlpm.unite,SUBSTITUTE(TRIM(U33)," (s)",""),_xlpm.val,AC33,_xlpm.estVol,COUNTIF(W37:AD37,_xlpm.unite)+COUNTIF(W39:AD39,_xlpm.unite)&gt;0,_xlpm.estPoids,COUNTIF(Q37:V37,_xlpm.unite)+COUNTIF(Q39:V39,_xlpm.unite)&gt;0,IF(_xlpm.estVol,IF(ROUND(_xlpm.val,3)&gt;=1,ROUND(_xlpm.val,3)&amp;"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3" s="6872" t="s">
        <v>11054</v>
      </c>
      <c r="AF33" s="6202" t="str">
        <f t="shared" si="18"/>
        <v>►</v>
      </c>
      <c r="AG33" s="6234" t="str">
        <f t="shared" si="19"/>
        <v/>
      </c>
      <c r="AH33" s="6732" t="str">
        <f t="shared" si="20"/>
        <v/>
      </c>
      <c r="AI33" s="6234" t="str">
        <f t="shared" si="21"/>
        <v/>
      </c>
      <c r="AJ33" s="6732" t="str">
        <f t="shared" si="22"/>
        <v/>
      </c>
      <c r="AK33" s="6732">
        <f t="shared" si="23"/>
        <v>0</v>
      </c>
      <c r="AL33" s="6230" t="str" cm="1">
        <f t="array" ref="AL33">IF(AF33&lt;&gt;"A","",IFERROR((IFERROR(_xlfn.XLOOKUP(TRIM(SUBSTITUTE(U33,CHAR(160)," ")),$BJ$15:$BJ$62,$BM$15:$BM$62),IFERROR(_xlfn.XLOOKUP(TRIM(SUBSTITUTE(U33,CHAR(160)," ")),$BK$15:$BK$62,$BM$15:$BM$62),_xlfn.XLOOKUP(TRIM(SUBSTITUTE(U33,CHAR(160)," ")),$BL$15:$BL$62,$BM$15:$BM$62))))*T33*IF(ISBLANK(Q33),1,Q33)+IFERROR(_xlfn.XLOOKUP("RECHERCHEX",TRIM(L33:AD33),L33:AD33),0),0))</f>
        <v/>
      </c>
      <c r="AM33" s="6229">
        <f t="shared" si="24"/>
        <v>0</v>
      </c>
      <c r="AN33" s="6857" t="str">
        <f t="shared" si="44"/>
        <v/>
      </c>
      <c r="AO33" s="392">
        <f t="shared" si="26"/>
        <v>0</v>
      </c>
      <c r="AP33" s="392">
        <f t="shared" si="27"/>
        <v>0</v>
      </c>
      <c r="AQ33" s="6191">
        <f t="shared" si="28"/>
        <v>0</v>
      </c>
      <c r="AR33" s="6859" t="str">
        <f t="shared" si="29"/>
        <v/>
      </c>
      <c r="AS33" s="6217"/>
      <c r="AT33" s="6217"/>
      <c r="AU33" s="6272">
        <f t="shared" si="30"/>
        <v>0</v>
      </c>
      <c r="AV33" s="6240">
        <f t="shared" si="31"/>
        <v>0</v>
      </c>
      <c r="AW33" s="6189" cm="1">
        <f t="array" ref="AW33">IF(AK33&lt;&gt;1,0,IF(OR(AU33="",N(AU33)&lt;=0.000000001),"",IF(OR(AO33="",N(AO33)&lt;=0.000000001),0,IF(ISNUMBER(AU33),IFERROR(_xlfn.LET(_xlpm.ai_test,TRIM(AJ33),_xlpm.r,IFERROR(_xlfn.XLOOKUP(_xlpm.ai_test,$BJ$15:$BJ$62,ROW($BJ$15:$BJ$62),0,1),IFERROR(_xlfn.XLOOKUP(_xlpm.ai_test,$BK$15:$BK$62,ROW($BK$15:$BK$62),0,1),_xlfn.XLOOKUP(_xlpm.ai_test,$BL$15:$BL$62,ROW($BL$15:$BL$62),0,1))),_xlpm.p,_xlpm.r-MIN(ROW($BJ$15:$BJ$62))+1,_xlpm.f,INDEX($BM$15:$BM$62,_xlpm.p),_xlpm.u,INDEX($BN$15:$BN$62,_xlpm.p),_xlpm.s,INDEX($BP$15:$BP$62,_xlpm.p),_xlpm.q,N(AU33)/_xlpm.f,IF(_xlpm.q&gt;=_xlpm.s,ROUND(_xlpm.q,1)&amp;" "&amp;_xlpm.ai_test&amp;" = "&amp;ROUND(_xlpm.q*_xlpm.f,1)&amp;" "&amp;_xlpm.u,ROUND(_xlpm.q,1)&amp;" "&amp;_xlpm.ai_test)),""),""))))</f>
        <v>0</v>
      </c>
      <c r="AX33" s="6218"/>
      <c r="AY33" s="6272">
        <f t="shared" si="32"/>
        <v>0</v>
      </c>
      <c r="AZ33" s="6240" t="str">
        <f t="shared" si="33"/>
        <v/>
      </c>
      <c r="BA33" s="6195">
        <f t="shared" si="40"/>
        <v>0</v>
      </c>
      <c r="BB33" s="6193" t="str">
        <f t="shared" si="34"/>
        <v/>
      </c>
      <c r="BC33" s="6219"/>
      <c r="BD33" s="6222">
        <f t="shared" si="42"/>
        <v>0</v>
      </c>
      <c r="BE33" s="6220" t="str">
        <f t="shared" si="36"/>
        <v/>
      </c>
      <c r="BF33" s="4" t="s">
        <v>1</v>
      </c>
      <c r="BG33" s="6196">
        <f t="shared" si="37"/>
        <v>0</v>
      </c>
      <c r="BH33" s="6197">
        <f t="shared" si="38"/>
        <v>0</v>
      </c>
      <c r="BI33" s="187"/>
      <c r="BJ33" s="6286" t="s">
        <v>124</v>
      </c>
      <c r="BK33" s="6286" t="s">
        <v>9623</v>
      </c>
      <c r="BL33" s="6286" t="s">
        <v>9624</v>
      </c>
      <c r="BM33" s="6304">
        <f t="shared" si="43"/>
        <v>0.22500000000000001</v>
      </c>
      <c r="BN33" s="6274" t="s">
        <v>8766</v>
      </c>
      <c r="BO33" s="6274" t="s">
        <v>8774</v>
      </c>
      <c r="BP33" s="223">
        <f t="shared" si="41"/>
        <v>4</v>
      </c>
      <c r="BQ33" s="222">
        <v>225</v>
      </c>
      <c r="BR33" s="187"/>
      <c r="BS33" s="187"/>
      <c r="BT33" s="187"/>
      <c r="BU33" s="187"/>
      <c r="BV33" s="187"/>
      <c r="BW33" s="187"/>
      <c r="BX33" s="20" t="str">
        <f t="shared" si="12"/>
        <v>►</v>
      </c>
      <c r="BY33" s="6939" t="s">
        <v>8677</v>
      </c>
      <c r="BZ33" s="6939"/>
      <c r="CA33" s="6939"/>
      <c r="CB33" s="6939"/>
      <c r="CC33" s="6939"/>
      <c r="CD33" s="5661"/>
      <c r="CE33" s="5716" t="s">
        <v>8698</v>
      </c>
      <c r="CF33" s="5738" t="s">
        <v>8699</v>
      </c>
      <c r="CG33" s="5705"/>
      <c r="CH33" s="5705"/>
      <c r="CI33" s="5705"/>
      <c r="CJ33" s="5705"/>
      <c r="CK33" s="5706"/>
      <c r="CM33" s="5716" t="s">
        <v>8808</v>
      </c>
      <c r="CN33" s="5738" t="s">
        <v>8782</v>
      </c>
      <c r="CO33" s="5705"/>
      <c r="CP33" s="5705"/>
      <c r="CQ33" s="5705"/>
      <c r="CR33" s="5705"/>
      <c r="CS33" s="5706"/>
      <c r="CU33" s="5716" t="s">
        <v>8819</v>
      </c>
      <c r="CV33" s="5738" t="s">
        <v>8795</v>
      </c>
      <c r="CW33" s="5705"/>
      <c r="CX33" s="5705"/>
      <c r="CY33" s="5705"/>
      <c r="CZ33" s="5705"/>
      <c r="DA33" s="5706"/>
      <c r="DC33" s="5">
        <v>1</v>
      </c>
    </row>
    <row r="34" spans="1:107" s="1" customFormat="1" ht="21" customHeight="1">
      <c r="A34" s="5641" t="s">
        <v>1</v>
      </c>
      <c r="B34" s="5662" t="str">
        <f t="shared" si="11"/>
        <v>►</v>
      </c>
      <c r="C34" s="5825" cm="1">
        <f t="array" ref="C34">SUMPRODUCT(LEN(D34:J34))</f>
        <v>0</v>
      </c>
      <c r="D34" s="5275"/>
      <c r="E34" s="1361"/>
      <c r="F34" s="1361"/>
      <c r="G34" s="1361"/>
      <c r="H34" s="1361"/>
      <c r="I34" s="1361"/>
      <c r="J34" s="5276"/>
      <c r="K34" s="106" t="s">
        <v>1</v>
      </c>
      <c r="L34" s="1021" t="str">
        <f t="shared" si="39"/>
        <v>►</v>
      </c>
      <c r="M34" s="41" t="str">
        <f>M18</f>
        <v>C CHIBOUST PAMPLEMOUSSE | collez la--FAMILLE| Auteur &gt; VOUS</v>
      </c>
      <c r="N34" s="40">
        <f>N18</f>
        <v>18</v>
      </c>
      <c r="O34" s="41" t="str">
        <f>O18</f>
        <v>desserts</v>
      </c>
      <c r="P34" s="5386" t="str">
        <f>P18</f>
        <v>Recette mère ► Mille - feuille aux fraises des bois</v>
      </c>
      <c r="Q34" s="213"/>
      <c r="R34" s="212"/>
      <c r="S34" s="211" t="str">
        <f t="shared" si="17"/>
        <v/>
      </c>
      <c r="T34" s="210"/>
      <c r="U34" s="6366"/>
      <c r="V34" s="5448">
        <v>1</v>
      </c>
      <c r="W34" s="6866"/>
      <c r="X34" s="6871"/>
      <c r="Y34" s="6253">
        <f>IF(AA36=0,0,(AA34/AA36)*Z21*1000)</f>
        <v>0</v>
      </c>
      <c r="Z34" s="6255">
        <f>IF(AA36=0, 0, (Q34*V34)/(AA36*Z21))</f>
        <v>0</v>
      </c>
      <c r="AA34" s="5882">
        <f>IFERROR(_xlfn.LET(_xlpm.v,IFERROR(_xlfn.XLOOKUP(U34,Q37:AD37,Q38:AD38),_xlfn.XLOOKUP(U34,Q39:AD39,Q40:AD40)),_xlpm.v*T34*IF(ISBLANK(Q34),1,Q34)),0)</f>
        <v>0</v>
      </c>
      <c r="AB34" s="5256">
        <f>IF(OR(ISBLANK(AC17),AC17=0),0,Q34*AC15*V34/AC17)</f>
        <v>0</v>
      </c>
      <c r="AC34" s="6051">
        <f>IF(OR(ISBLANK(AC17),AC17=0),0,AA34*V34*AC15/AC17)</f>
        <v>0</v>
      </c>
      <c r="AD34" s="6201" t="str">
        <f>_xlfn.LET(_xlpm.unite,SUBSTITUTE(TRIM(U34)," (s)",""),_xlpm.val,AC34,_xlpm.estVol,COUNTIF(W37:AD37,_xlpm.unite)+COUNTIF(W39:AD39,_xlpm.unite)&gt;0,_xlpm.estPoids,COUNTIF(Q37:V37,_xlpm.unite)+COUNTIF(Q39:V39,_xlpm.unite)&gt;0,IF(_xlpm.estVol,IF(ROUND(_xlpm.val,3)&gt;=1,ROUND(_xlpm.val,3)&amp;"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4" s="6872" t="s">
        <v>11055</v>
      </c>
      <c r="AF34" s="6202" t="str">
        <f t="shared" si="18"/>
        <v>►</v>
      </c>
      <c r="AG34" s="6234" t="str">
        <f t="shared" si="19"/>
        <v/>
      </c>
      <c r="AH34" s="6732" t="str">
        <f t="shared" si="20"/>
        <v/>
      </c>
      <c r="AI34" s="6234" t="str">
        <f t="shared" si="21"/>
        <v/>
      </c>
      <c r="AJ34" s="6732" t="str">
        <f t="shared" si="22"/>
        <v/>
      </c>
      <c r="AK34" s="6732">
        <f t="shared" si="23"/>
        <v>0</v>
      </c>
      <c r="AL34" s="6230" t="str" cm="1">
        <f t="array" ref="AL34">IF(AF34&lt;&gt;"A","",IFERROR((IFERROR(_xlfn.XLOOKUP(TRIM(SUBSTITUTE(U34,CHAR(160)," ")),$BJ$15:$BJ$62,$BM$15:$BM$62),IFERROR(_xlfn.XLOOKUP(TRIM(SUBSTITUTE(U34,CHAR(160)," ")),$BK$15:$BK$62,$BM$15:$BM$62),_xlfn.XLOOKUP(TRIM(SUBSTITUTE(U34,CHAR(160)," ")),$BL$15:$BL$62,$BM$15:$BM$62))))*T34*IF(ISBLANK(Q34),1,Q34)+IFERROR(_xlfn.XLOOKUP("RECHERCHEX",TRIM(L34:AD34),L34:AD34),0),0))</f>
        <v/>
      </c>
      <c r="AM34" s="6229">
        <f t="shared" si="24"/>
        <v>0</v>
      </c>
      <c r="AN34" s="6857" t="str">
        <f t="shared" si="44"/>
        <v/>
      </c>
      <c r="AO34" s="392">
        <f t="shared" si="26"/>
        <v>0</v>
      </c>
      <c r="AP34" s="392">
        <f t="shared" si="27"/>
        <v>0</v>
      </c>
      <c r="AQ34" s="6190">
        <f t="shared" si="28"/>
        <v>0</v>
      </c>
      <c r="AR34" s="6858" t="str">
        <f t="shared" si="29"/>
        <v/>
      </c>
      <c r="AS34" s="6217"/>
      <c r="AT34" s="6217"/>
      <c r="AU34" s="6271">
        <f t="shared" si="30"/>
        <v>0</v>
      </c>
      <c r="AV34" s="6242">
        <f t="shared" si="31"/>
        <v>0</v>
      </c>
      <c r="AW34" s="6188" cm="1">
        <f t="array" ref="AW34">IF(AK34&lt;&gt;1,0,IF(OR(AU34="",N(AU34)&lt;=0.000000001),"",IF(OR(AO34="",N(AO34)&lt;=0.000000001),0,IF(ISNUMBER(AU34),IFERROR(_xlfn.LET(_xlpm.ai_test,TRIM(AJ34),_xlpm.r,IFERROR(_xlfn.XLOOKUP(_xlpm.ai_test,$BJ$15:$BJ$62,ROW($BJ$15:$BJ$62),0,1),IFERROR(_xlfn.XLOOKUP(_xlpm.ai_test,$BK$15:$BK$62,ROW($BK$15:$BK$62),0,1),_xlfn.XLOOKUP(_xlpm.ai_test,$BL$15:$BL$62,ROW($BL$15:$BL$62),0,1))),_xlpm.p,_xlpm.r-MIN(ROW($BJ$15:$BJ$62))+1,_xlpm.f,INDEX($BM$15:$BM$62,_xlpm.p),_xlpm.u,INDEX($BN$15:$BN$62,_xlpm.p),_xlpm.s,INDEX($BP$15:$BP$62,_xlpm.p),_xlpm.q,N(AU34)/_xlpm.f,IF(_xlpm.q&gt;=_xlpm.s,ROUND(_xlpm.q,1)&amp;" "&amp;_xlpm.ai_test&amp;" = "&amp;ROUND(_xlpm.q*_xlpm.f,1)&amp;" "&amp;_xlpm.u,ROUND(_xlpm.q,1)&amp;" "&amp;_xlpm.ai_test)),""),""))))</f>
        <v>0</v>
      </c>
      <c r="AX34" s="6218"/>
      <c r="AY34" s="6271">
        <f t="shared" si="32"/>
        <v>0</v>
      </c>
      <c r="AZ34" s="6242" t="str">
        <f t="shared" si="33"/>
        <v/>
      </c>
      <c r="BA34" s="6194">
        <f t="shared" si="40"/>
        <v>0</v>
      </c>
      <c r="BB34" s="6192" t="str">
        <f t="shared" si="34"/>
        <v/>
      </c>
      <c r="BC34" s="6219"/>
      <c r="BD34" s="6221">
        <f t="shared" si="42"/>
        <v>0</v>
      </c>
      <c r="BE34" s="6220" t="str">
        <f t="shared" si="36"/>
        <v/>
      </c>
      <c r="BF34" s="4" t="s">
        <v>1</v>
      </c>
      <c r="BG34" s="6196">
        <f t="shared" si="37"/>
        <v>0</v>
      </c>
      <c r="BH34" s="6197">
        <f t="shared" si="38"/>
        <v>0</v>
      </c>
      <c r="BI34" s="187"/>
      <c r="BJ34" s="6703" t="s">
        <v>137</v>
      </c>
      <c r="BK34" s="6703" t="s">
        <v>9625</v>
      </c>
      <c r="BL34" s="6703" t="s">
        <v>9626</v>
      </c>
      <c r="BM34" s="6304">
        <f t="shared" si="43"/>
        <v>0.11799999999999999</v>
      </c>
      <c r="BN34" s="6274" t="s">
        <v>8766</v>
      </c>
      <c r="BO34" s="6274" t="s">
        <v>8774</v>
      </c>
      <c r="BP34" s="223">
        <f t="shared" si="41"/>
        <v>8</v>
      </c>
      <c r="BQ34" s="222">
        <v>118</v>
      </c>
      <c r="BR34" s="187"/>
      <c r="BS34" s="187"/>
      <c r="BT34" s="187"/>
      <c r="BU34" s="187"/>
      <c r="BV34" s="187"/>
      <c r="BW34" s="187"/>
      <c r="BX34" s="20" t="str">
        <f t="shared" si="12"/>
        <v>►</v>
      </c>
      <c r="BY34" s="6939"/>
      <c r="BZ34" s="6939"/>
      <c r="CA34" s="6939"/>
      <c r="CB34" s="6939"/>
      <c r="CC34" s="6939"/>
      <c r="CD34" s="5661"/>
      <c r="CE34" s="5716"/>
      <c r="CF34" s="5738"/>
      <c r="CG34" s="5705"/>
      <c r="CH34" s="5705"/>
      <c r="CI34" s="5705"/>
      <c r="CJ34" s="5705"/>
      <c r="CK34" s="5706"/>
      <c r="CM34" s="5716"/>
      <c r="CN34" s="5738"/>
      <c r="CO34" s="5705"/>
      <c r="CP34" s="5705"/>
      <c r="CQ34" s="5705"/>
      <c r="CR34" s="5705"/>
      <c r="CS34" s="5706"/>
      <c r="CU34" s="5716"/>
      <c r="CV34" s="5738"/>
      <c r="CW34" s="5705"/>
      <c r="CX34" s="5705"/>
      <c r="CY34" s="5705"/>
      <c r="CZ34" s="5705"/>
      <c r="DA34" s="5706"/>
      <c r="DC34" s="5">
        <v>1</v>
      </c>
    </row>
    <row r="35" spans="1:107" s="1" customFormat="1" ht="21" customHeight="1">
      <c r="A35" s="5641" t="s">
        <v>1</v>
      </c>
      <c r="B35" s="5662" t="str">
        <f t="shared" si="11"/>
        <v>►</v>
      </c>
      <c r="C35" s="5825" cm="1">
        <f t="array" ref="C35">SUMPRODUCT(LEN(D35:J35))</f>
        <v>0</v>
      </c>
      <c r="D35" s="5275"/>
      <c r="E35" s="1361"/>
      <c r="F35" s="1361"/>
      <c r="G35" s="1361"/>
      <c r="H35" s="1361"/>
      <c r="I35" s="1361"/>
      <c r="J35" s="5276"/>
      <c r="K35" s="106" t="s">
        <v>1</v>
      </c>
      <c r="L35" s="1021" t="str">
        <f t="shared" si="39"/>
        <v>►</v>
      </c>
      <c r="M35" s="41" t="str">
        <f>M18</f>
        <v>C CHIBOUST PAMPLEMOUSSE | collez la--FAMILLE| Auteur &gt; VOUS</v>
      </c>
      <c r="N35" s="40">
        <f>N18</f>
        <v>18</v>
      </c>
      <c r="O35" s="41" t="str">
        <f>O18</f>
        <v>desserts</v>
      </c>
      <c r="P35" s="5386" t="str">
        <f>P18</f>
        <v>Recette mère ► Mille - feuille aux fraises des bois</v>
      </c>
      <c r="Q35" s="213"/>
      <c r="R35" s="212"/>
      <c r="S35" s="211" t="str">
        <f t="shared" si="17"/>
        <v/>
      </c>
      <c r="T35" s="210"/>
      <c r="U35" s="6366"/>
      <c r="V35" s="5448">
        <v>1</v>
      </c>
      <c r="W35" s="6866"/>
      <c r="X35" s="6871"/>
      <c r="Y35" s="6253">
        <f>IF(AA36=0,0,(AA35/AA36)*Z21*1000)</f>
        <v>0</v>
      </c>
      <c r="Z35" s="6255">
        <f>IF(AA36=0, 0, (Q35*V35)/(AA36*Z21))</f>
        <v>0</v>
      </c>
      <c r="AA35" s="5882">
        <f>IFERROR(_xlfn.LET(_xlpm.v,IFERROR(_xlfn.XLOOKUP(U35,Q37:AD37,Q38:AD38),_xlfn.XLOOKUP(U35,Q39:AD39,Q40:AD40)),_xlpm.v*T35*IF(ISBLANK(Q35),1,Q35)),0)</f>
        <v>0</v>
      </c>
      <c r="AB35" s="5254">
        <f>IF(OR(ISBLANK(AC17),AC17=0),0,Q35*AC15*V35/AC17)</f>
        <v>0</v>
      </c>
      <c r="AC35" s="6051">
        <f>IF(OR(ISBLANK(AC17),AC17=0),0,AA35*V35*AC15/AC17)</f>
        <v>0</v>
      </c>
      <c r="AD35" s="6199" t="str">
        <f>_xlfn.LET(_xlpm.unite,SUBSTITUTE(TRIM(U35)," (s)",""),_xlpm.val,AC35,_xlpm.estVol,COUNTIF(W37:AD37,_xlpm.unite)+COUNTIF(W39:AD39,_xlpm.unite)&gt;0,_xlpm.estPoids,COUNTIF(Q37:V37,_xlpm.unite)+COUNTIF(Q39:V39,_xlpm.unite)&gt;0,IF(_xlpm.estVol,IF(ROUND(_xlpm.val,3)&gt;=1,ROUND(_xlpm.val,3)&amp;" L",MAX(1,ROUND(_xlpm.val*100,0))&amp;" cl"),IF(_xlpm.estPoids,IF(ROUND(_xlpm.val,3)&gt;=1,ROUND(_xlpm.val,3)&amp;" Kg",MAX(1,ROUND(_xlpm.val*1000,0))&amp;" g"),"")))</f>
        <v/>
      </c>
      <c r="AE35" s="6872" t="s">
        <v>11056</v>
      </c>
      <c r="AF35" s="6202" t="str">
        <f t="shared" si="18"/>
        <v>►</v>
      </c>
      <c r="AG35" s="6234" t="str">
        <f t="shared" si="19"/>
        <v/>
      </c>
      <c r="AH35" s="6732" t="str">
        <f t="shared" si="20"/>
        <v/>
      </c>
      <c r="AI35" s="6234" t="str">
        <f t="shared" si="21"/>
        <v/>
      </c>
      <c r="AJ35" s="6732" t="str">
        <f t="shared" si="22"/>
        <v/>
      </c>
      <c r="AK35" s="6732">
        <f t="shared" si="23"/>
        <v>0</v>
      </c>
      <c r="AL35" s="6230" t="str" cm="1">
        <f t="array" ref="AL35">IF(AF35&lt;&gt;"A","",IFERROR((IFERROR(_xlfn.XLOOKUP(TRIM(SUBSTITUTE(U35,CHAR(160)," ")),$BJ$15:$BJ$62,$BM$15:$BM$62),IFERROR(_xlfn.XLOOKUP(TRIM(SUBSTITUTE(U35,CHAR(160)," ")),$BK$15:$BK$62,$BM$15:$BM$62),_xlfn.XLOOKUP(TRIM(SUBSTITUTE(U35,CHAR(160)," ")),$BL$15:$BL$62,$BM$15:$BM$62))))*T35*IF(ISBLANK(Q35),1,Q35)+IFERROR(_xlfn.XLOOKUP("RECHERCHEX",TRIM(L35:AD35),L35:AD35),0),0))</f>
        <v/>
      </c>
      <c r="AM35" s="6229">
        <f t="shared" si="24"/>
        <v>0</v>
      </c>
      <c r="AN35" s="6857" t="str">
        <f t="shared" si="44"/>
        <v/>
      </c>
      <c r="AO35" s="392">
        <f t="shared" si="26"/>
        <v>0</v>
      </c>
      <c r="AP35" s="392">
        <f t="shared" si="27"/>
        <v>0</v>
      </c>
      <c r="AQ35" s="6191">
        <f t="shared" si="28"/>
        <v>0</v>
      </c>
      <c r="AR35" s="6859" t="str">
        <f t="shared" si="29"/>
        <v/>
      </c>
      <c r="AS35" s="6217"/>
      <c r="AT35" s="6217"/>
      <c r="AU35" s="6272">
        <f t="shared" si="30"/>
        <v>0</v>
      </c>
      <c r="AV35" s="6240">
        <f t="shared" si="31"/>
        <v>0</v>
      </c>
      <c r="AW35" s="6189" cm="1">
        <f t="array" ref="AW35">IF(AK35&lt;&gt;1,0,IF(OR(AU35="",N(AU35)&lt;=0.000000001),"",IF(OR(AO35="",N(AO35)&lt;=0.000000001),0,IF(ISNUMBER(AU35),IFERROR(_xlfn.LET(_xlpm.ai_test,TRIM(AJ35),_xlpm.r,IFERROR(_xlfn.XLOOKUP(_xlpm.ai_test,$BJ$15:$BJ$62,ROW($BJ$15:$BJ$62),0,1),IFERROR(_xlfn.XLOOKUP(_xlpm.ai_test,$BK$15:$BK$62,ROW($BK$15:$BK$62),0,1),_xlfn.XLOOKUP(_xlpm.ai_test,$BL$15:$BL$62,ROW($BL$15:$BL$62),0,1))),_xlpm.p,_xlpm.r-MIN(ROW($BJ$15:$BJ$62))+1,_xlpm.f,INDEX($BM$15:$BM$62,_xlpm.p),_xlpm.u,INDEX($BN$15:$BN$62,_xlpm.p),_xlpm.s,INDEX($BP$15:$BP$62,_xlpm.p),_xlpm.q,N(AU35)/_xlpm.f,IF(_xlpm.q&gt;=_xlpm.s,ROUND(_xlpm.q,1)&amp;" "&amp;_xlpm.ai_test&amp;" = "&amp;ROUND(_xlpm.q*_xlpm.f,1)&amp;" "&amp;_xlpm.u,ROUND(_xlpm.q,1)&amp;" "&amp;_xlpm.ai_test)),""),""))))</f>
        <v>0</v>
      </c>
      <c r="AX35" s="6218"/>
      <c r="AY35" s="6272">
        <f t="shared" si="32"/>
        <v>0</v>
      </c>
      <c r="AZ35" s="6240" t="str">
        <f t="shared" si="33"/>
        <v/>
      </c>
      <c r="BA35" s="6195">
        <f t="shared" si="40"/>
        <v>0</v>
      </c>
      <c r="BB35" s="6193" t="str">
        <f t="shared" si="34"/>
        <v/>
      </c>
      <c r="BC35" s="6219"/>
      <c r="BD35" s="6222">
        <f t="shared" si="42"/>
        <v>0</v>
      </c>
      <c r="BE35" s="6220" t="str">
        <f t="shared" si="36"/>
        <v/>
      </c>
      <c r="BF35" s="4" t="s">
        <v>1</v>
      </c>
      <c r="BG35" s="6196">
        <f t="shared" si="37"/>
        <v>0</v>
      </c>
      <c r="BH35" s="6197">
        <f t="shared" si="38"/>
        <v>0</v>
      </c>
      <c r="BI35" s="187"/>
      <c r="BJ35" s="6703" t="s">
        <v>133</v>
      </c>
      <c r="BK35" s="6703" t="s">
        <v>121</v>
      </c>
      <c r="BL35" s="6703" t="s">
        <v>9627</v>
      </c>
      <c r="BM35" s="6304">
        <f t="shared" si="43"/>
        <v>0.25</v>
      </c>
      <c r="BN35" s="6274" t="s">
        <v>8766</v>
      </c>
      <c r="BO35" s="6274" t="s">
        <v>8774</v>
      </c>
      <c r="BP35" s="223">
        <f t="shared" si="41"/>
        <v>4</v>
      </c>
      <c r="BQ35" s="222">
        <v>250</v>
      </c>
      <c r="BR35" s="187"/>
      <c r="BS35" s="187"/>
      <c r="BT35" s="187"/>
      <c r="BU35" s="187"/>
      <c r="BV35" s="187"/>
      <c r="BW35" s="187"/>
      <c r="BX35" s="20" t="str">
        <f t="shared" si="12"/>
        <v>►</v>
      </c>
      <c r="BY35" s="5720"/>
      <c r="BZ35" s="228"/>
      <c r="CA35" s="228"/>
      <c r="CB35" s="227"/>
      <c r="CC35" s="227"/>
      <c r="CD35" s="5661"/>
      <c r="CE35" s="6249" t="s">
        <v>8702</v>
      </c>
      <c r="CF35" s="5738" t="s">
        <v>8703</v>
      </c>
      <c r="CG35" s="5705"/>
      <c r="CH35" s="5705"/>
      <c r="CI35" s="5705"/>
      <c r="CJ35" s="5705"/>
      <c r="CK35" s="5706"/>
      <c r="CM35" s="6249" t="s">
        <v>8700</v>
      </c>
      <c r="CN35" s="5738" t="s">
        <v>9628</v>
      </c>
      <c r="CO35" s="5705"/>
      <c r="CP35" s="5705"/>
      <c r="CQ35" s="5705"/>
      <c r="CR35" s="5705"/>
      <c r="CS35" s="5706"/>
      <c r="CU35" s="6249" t="s">
        <v>8701</v>
      </c>
      <c r="CV35" s="5738" t="s">
        <v>8820</v>
      </c>
      <c r="CW35" s="5705"/>
      <c r="CX35" s="5705"/>
      <c r="CY35" s="5705"/>
      <c r="CZ35" s="5705"/>
      <c r="DA35" s="5706"/>
      <c r="DC35" s="5">
        <v>1</v>
      </c>
    </row>
    <row r="36" spans="1:107" s="1" customFormat="1" ht="21" customHeight="1">
      <c r="A36" s="5641" t="s">
        <v>1</v>
      </c>
      <c r="B36" s="5662" t="str">
        <f t="shared" si="11"/>
        <v>A</v>
      </c>
      <c r="C36" s="5825" cm="1">
        <f t="array" ref="C36">SUMPRODUCT(LEN(D36:J36))</f>
        <v>0</v>
      </c>
      <c r="D36" s="5275"/>
      <c r="E36" s="1361"/>
      <c r="F36" s="1361"/>
      <c r="G36" s="1361"/>
      <c r="H36" s="1361"/>
      <c r="I36" s="1361"/>
      <c r="J36" s="5276"/>
      <c r="K36" s="106" t="s">
        <v>1</v>
      </c>
      <c r="L36" s="1021" t="s">
        <v>21</v>
      </c>
      <c r="M36" s="41" t="str">
        <f>M18</f>
        <v>C CHIBOUST PAMPLEMOUSSE | collez la--FAMILLE| Auteur &gt; VOUS</v>
      </c>
      <c r="N36" s="40">
        <f>N18</f>
        <v>18</v>
      </c>
      <c r="O36" s="41" t="str">
        <f>O18</f>
        <v>desserts</v>
      </c>
      <c r="P36" s="5386" t="str">
        <f>P18</f>
        <v>Recette mère ► Mille - feuille aux fraises des bois</v>
      </c>
      <c r="Q36" s="5398" t="s">
        <v>8357</v>
      </c>
      <c r="R36" s="5261"/>
      <c r="S36" s="5261"/>
      <c r="T36" s="5261"/>
      <c r="U36" s="5261"/>
      <c r="V36" s="5921"/>
      <c r="W36" s="6277"/>
      <c r="X36" s="6277"/>
      <c r="Y36" s="5262"/>
      <c r="Z36" s="5262"/>
      <c r="AA36" s="5263">
        <f>SUM(AA22:AA35)</f>
        <v>0.71100000000000008</v>
      </c>
      <c r="AB36" s="5264"/>
      <c r="AC36" s="5264" t="str">
        <f>"Total " &amp; AC19&amp;" &gt;"</f>
        <v>Total Col.18 &gt;</v>
      </c>
      <c r="AD36" s="6204">
        <f>SUM(AC22:AC35)</f>
        <v>1.4220000000000002</v>
      </c>
      <c r="AE36" s="6872" t="s">
        <v>11057</v>
      </c>
      <c r="AF36" s="6202" t="str">
        <f t="shared" si="18"/>
        <v>►</v>
      </c>
      <c r="AG36" s="6234" t="str">
        <f t="shared" si="19"/>
        <v/>
      </c>
      <c r="AH36" s="6732" t="str">
        <f t="shared" si="20"/>
        <v/>
      </c>
      <c r="AI36" s="6234" t="str">
        <f t="shared" si="21"/>
        <v/>
      </c>
      <c r="AJ36" s="6732" t="str">
        <f t="shared" si="22"/>
        <v/>
      </c>
      <c r="AK36" s="6732">
        <f t="shared" si="23"/>
        <v>0</v>
      </c>
      <c r="AL36" s="6230" t="str" cm="1">
        <f t="array" ref="AL36">IF(AF36&lt;&gt;"A","",IFERROR((IFERROR(_xlfn.XLOOKUP(TRIM(SUBSTITUTE(U36,CHAR(160)," ")),$BJ$15:$BJ$62,$BM$15:$BM$62),IFERROR(_xlfn.XLOOKUP(TRIM(SUBSTITUTE(U36,CHAR(160)," ")),$BK$15:$BK$62,$BM$15:$BM$62),_xlfn.XLOOKUP(TRIM(SUBSTITUTE(U36,CHAR(160)," ")),$BL$15:$BL$62,$BM$15:$BM$62))))*T36*IF(ISBLANK(Q36),1,Q36)+IFERROR(_xlfn.XLOOKUP("RECHERCHEX",TRIM(L36:AD36),L36:AD36),0),0))</f>
        <v/>
      </c>
      <c r="AM36" s="6229">
        <f t="shared" si="24"/>
        <v>0</v>
      </c>
      <c r="AN36" s="6857" t="str">
        <f t="shared" si="44"/>
        <v/>
      </c>
      <c r="AO36" s="392">
        <f t="shared" si="26"/>
        <v>0</v>
      </c>
      <c r="AP36" s="392">
        <f t="shared" si="27"/>
        <v>0</v>
      </c>
      <c r="AQ36" s="6190">
        <f t="shared" si="28"/>
        <v>0</v>
      </c>
      <c r="AR36" s="6858" t="str">
        <f t="shared" si="29"/>
        <v/>
      </c>
      <c r="AS36" s="6217"/>
      <c r="AT36" s="6217"/>
      <c r="AU36" s="6271">
        <f t="shared" si="30"/>
        <v>0</v>
      </c>
      <c r="AV36" s="6242">
        <f t="shared" si="31"/>
        <v>0</v>
      </c>
      <c r="AW36" s="6188" cm="1">
        <f t="array" ref="AW36">IF(AK36&lt;&gt;1,0,IF(OR(AU36="",N(AU36)&lt;=0.000000001),"",IF(OR(AO36="",N(AO36)&lt;=0.000000001),0,IF(ISNUMBER(AU36),IFERROR(_xlfn.LET(_xlpm.ai_test,TRIM(AJ36),_xlpm.r,IFERROR(_xlfn.XLOOKUP(_xlpm.ai_test,$BJ$15:$BJ$62,ROW($BJ$15:$BJ$62),0,1),IFERROR(_xlfn.XLOOKUP(_xlpm.ai_test,$BK$15:$BK$62,ROW($BK$15:$BK$62),0,1),_xlfn.XLOOKUP(_xlpm.ai_test,$BL$15:$BL$62,ROW($BL$15:$BL$62),0,1))),_xlpm.p,_xlpm.r-MIN(ROW($BJ$15:$BJ$62))+1,_xlpm.f,INDEX($BM$15:$BM$62,_xlpm.p),_xlpm.u,INDEX($BN$15:$BN$62,_xlpm.p),_xlpm.s,INDEX($BP$15:$BP$62,_xlpm.p),_xlpm.q,N(AU36)/_xlpm.f,IF(_xlpm.q&gt;=_xlpm.s,ROUND(_xlpm.q,1)&amp;" "&amp;_xlpm.ai_test&amp;" = "&amp;ROUND(_xlpm.q*_xlpm.f,1)&amp;" "&amp;_xlpm.u,ROUND(_xlpm.q,1)&amp;" "&amp;_xlpm.ai_test)),""),""))))</f>
        <v>0</v>
      </c>
      <c r="AX36" s="6218"/>
      <c r="AY36" s="6271">
        <f t="shared" si="32"/>
        <v>0</v>
      </c>
      <c r="AZ36" s="6242" t="str">
        <f t="shared" si="33"/>
        <v/>
      </c>
      <c r="BA36" s="6194">
        <f t="shared" si="40"/>
        <v>0</v>
      </c>
      <c r="BB36" s="6192" t="str">
        <f t="shared" si="34"/>
        <v/>
      </c>
      <c r="BC36" s="6219"/>
      <c r="BD36" s="6221">
        <f t="shared" si="42"/>
        <v>0</v>
      </c>
      <c r="BE36" s="6220" t="str">
        <f t="shared" si="36"/>
        <v/>
      </c>
      <c r="BF36" s="4" t="s">
        <v>1</v>
      </c>
      <c r="BG36" s="6196">
        <f t="shared" si="37"/>
        <v>0</v>
      </c>
      <c r="BH36" s="6197">
        <f t="shared" si="38"/>
        <v>0</v>
      </c>
      <c r="BI36" s="187"/>
      <c r="BJ36" s="6703" t="s">
        <v>128</v>
      </c>
      <c r="BK36" s="6703" t="s">
        <v>9629</v>
      </c>
      <c r="BL36" s="6703" t="s">
        <v>9630</v>
      </c>
      <c r="BM36" s="6304">
        <f t="shared" si="43"/>
        <v>0.15</v>
      </c>
      <c r="BN36" s="6274" t="s">
        <v>8766</v>
      </c>
      <c r="BO36" s="6274" t="s">
        <v>8774</v>
      </c>
      <c r="BP36" s="223">
        <f t="shared" si="41"/>
        <v>7</v>
      </c>
      <c r="BQ36" s="222">
        <v>150</v>
      </c>
      <c r="BR36" s="187"/>
      <c r="BS36" s="187"/>
      <c r="BT36" s="187"/>
      <c r="BU36" s="187"/>
      <c r="BV36" s="187"/>
      <c r="BW36" s="187"/>
      <c r="BX36" s="20" t="str">
        <f t="shared" si="12"/>
        <v>►</v>
      </c>
      <c r="BY36" s="6940" t="s">
        <v>8678</v>
      </c>
      <c r="BZ36" s="6940"/>
      <c r="CA36" s="6940"/>
      <c r="CB36" s="6940"/>
      <c r="CC36" s="6940"/>
      <c r="CD36" s="5661"/>
      <c r="CE36" s="5716"/>
      <c r="CF36" s="5738"/>
      <c r="CG36" s="5705"/>
      <c r="CH36" s="5705"/>
      <c r="CI36" s="5705"/>
      <c r="CJ36" s="5705"/>
      <c r="CK36" s="5706"/>
      <c r="CM36" s="5716"/>
      <c r="CN36" s="5738"/>
      <c r="CO36" s="5705"/>
      <c r="CP36" s="5705"/>
      <c r="CQ36" s="5705"/>
      <c r="CR36" s="5705"/>
      <c r="CS36" s="5706"/>
      <c r="CU36" s="5716"/>
      <c r="CV36" s="5738"/>
      <c r="CW36" s="5705"/>
      <c r="CX36" s="5705"/>
      <c r="CY36" s="5705"/>
      <c r="CZ36" s="5705"/>
      <c r="DA36" s="5706"/>
      <c r="DC36" s="5">
        <v>1</v>
      </c>
    </row>
    <row r="37" spans="1:107" s="1" customFormat="1" ht="21" customHeight="1">
      <c r="A37" s="5641" t="s">
        <v>1</v>
      </c>
      <c r="B37" s="5662" t="str">
        <f t="shared" si="11"/>
        <v>►</v>
      </c>
      <c r="C37" s="5825" cm="1">
        <f t="array" ref="C37">SUMPRODUCT(LEN(D37:J37))</f>
        <v>0</v>
      </c>
      <c r="D37" s="5275"/>
      <c r="E37" s="1361"/>
      <c r="F37" s="1361"/>
      <c r="G37" s="1361"/>
      <c r="H37" s="1361"/>
      <c r="I37" s="1361"/>
      <c r="J37" s="5276"/>
      <c r="K37" s="106" t="s">
        <v>1</v>
      </c>
      <c r="L37" s="1021" t="s">
        <v>26</v>
      </c>
      <c r="M37" s="41" t="str">
        <f>M18</f>
        <v>C CHIBOUST PAMPLEMOUSSE | collez la--FAMILLE| Auteur &gt; VOUS</v>
      </c>
      <c r="N37" s="40">
        <f>N18</f>
        <v>18</v>
      </c>
      <c r="O37" s="41" t="str">
        <f>O18</f>
        <v>desserts</v>
      </c>
      <c r="P37" s="5386" t="str">
        <f>P18</f>
        <v>Recette mère ► Mille - feuille aux fraises des bois</v>
      </c>
      <c r="Q37" s="6284" t="s">
        <v>219</v>
      </c>
      <c r="R37" s="6283" t="s">
        <v>130</v>
      </c>
      <c r="S37" s="6291" t="s">
        <v>8014</v>
      </c>
      <c r="T37" s="6288" t="s">
        <v>188</v>
      </c>
      <c r="U37" s="6287" t="s">
        <v>176</v>
      </c>
      <c r="V37" s="6287" t="s">
        <v>179</v>
      </c>
      <c r="W37" s="8480" t="s">
        <v>88</v>
      </c>
      <c r="X37" s="8480" t="s">
        <v>172</v>
      </c>
      <c r="Y37" s="8480" t="s">
        <v>170</v>
      </c>
      <c r="Z37" s="8480" t="s">
        <v>166</v>
      </c>
      <c r="AA37" s="8481" t="s">
        <v>159</v>
      </c>
      <c r="AB37" s="8481" t="s">
        <v>164</v>
      </c>
      <c r="AC37" s="8482" t="s">
        <v>8012</v>
      </c>
      <c r="AD37" s="8481" t="s">
        <v>8764</v>
      </c>
      <c r="AE37" s="6872" t="s">
        <v>11058</v>
      </c>
      <c r="AF37" s="6202" t="str">
        <f t="shared" si="18"/>
        <v>►</v>
      </c>
      <c r="AG37" s="6234" t="str">
        <f t="shared" si="19"/>
        <v/>
      </c>
      <c r="AH37" s="6732" t="str">
        <f t="shared" si="20"/>
        <v/>
      </c>
      <c r="AI37" s="6234" t="str">
        <f t="shared" si="21"/>
        <v/>
      </c>
      <c r="AJ37" s="6732" t="str">
        <f t="shared" si="22"/>
        <v/>
      </c>
      <c r="AK37" s="6732">
        <f t="shared" si="23"/>
        <v>0</v>
      </c>
      <c r="AL37" s="6230" t="str" cm="1">
        <f t="array" ref="AL37">IF(AF37&lt;&gt;"A","",IFERROR((IFERROR(_xlfn.XLOOKUP(TRIM(SUBSTITUTE(U37,CHAR(160)," ")),$BJ$15:$BJ$62,$BM$15:$BM$62),IFERROR(_xlfn.XLOOKUP(TRIM(SUBSTITUTE(U37,CHAR(160)," ")),$BK$15:$BK$62,$BM$15:$BM$62),_xlfn.XLOOKUP(TRIM(SUBSTITUTE(U37,CHAR(160)," ")),$BL$15:$BL$62,$BM$15:$BM$62))))*T37*IF(ISBLANK(Q37),1,Q37)+IFERROR(_xlfn.XLOOKUP("RECHERCHEX",TRIM(L37:AD37),L37:AD37),0),0))</f>
        <v/>
      </c>
      <c r="AM37" s="6229">
        <f t="shared" si="24"/>
        <v>0</v>
      </c>
      <c r="AN37" s="6857" t="str">
        <f t="shared" si="44"/>
        <v/>
      </c>
      <c r="AO37" s="392">
        <f t="shared" si="26"/>
        <v>0</v>
      </c>
      <c r="AP37" s="392">
        <f t="shared" si="27"/>
        <v>0</v>
      </c>
      <c r="AQ37" s="6191">
        <f t="shared" si="28"/>
        <v>0</v>
      </c>
      <c r="AR37" s="6859" t="str">
        <f t="shared" si="29"/>
        <v/>
      </c>
      <c r="AS37" s="6217"/>
      <c r="AT37" s="6217"/>
      <c r="AU37" s="6272">
        <f t="shared" si="30"/>
        <v>0</v>
      </c>
      <c r="AV37" s="6240">
        <f t="shared" si="31"/>
        <v>0</v>
      </c>
      <c r="AW37" s="6189" cm="1">
        <f t="array" ref="AW37">IF(AK37&lt;&gt;1,0,IF(OR(AU37="",N(AU37)&lt;=0.000000001),"",IF(OR(AO37="",N(AO37)&lt;=0.000000001),0,IF(ISNUMBER(AU37),IFERROR(_xlfn.LET(_xlpm.ai_test,TRIM(AJ37),_xlpm.r,IFERROR(_xlfn.XLOOKUP(_xlpm.ai_test,$BJ$15:$BJ$62,ROW($BJ$15:$BJ$62),0,1),IFERROR(_xlfn.XLOOKUP(_xlpm.ai_test,$BK$15:$BK$62,ROW($BK$15:$BK$62),0,1),_xlfn.XLOOKUP(_xlpm.ai_test,$BL$15:$BL$62,ROW($BL$15:$BL$62),0,1))),_xlpm.p,_xlpm.r-MIN(ROW($BJ$15:$BJ$62))+1,_xlpm.f,INDEX($BM$15:$BM$62,_xlpm.p),_xlpm.u,INDEX($BN$15:$BN$62,_xlpm.p),_xlpm.s,INDEX($BP$15:$BP$62,_xlpm.p),_xlpm.q,N(AU37)/_xlpm.f,IF(_xlpm.q&gt;=_xlpm.s,ROUND(_xlpm.q,1)&amp;" "&amp;_xlpm.ai_test&amp;" = "&amp;ROUND(_xlpm.q*_xlpm.f,1)&amp;" "&amp;_xlpm.u,ROUND(_xlpm.q,1)&amp;" "&amp;_xlpm.ai_test)),""),""))))</f>
        <v>0</v>
      </c>
      <c r="AX37" s="6218"/>
      <c r="AY37" s="6272">
        <f t="shared" si="32"/>
        <v>0</v>
      </c>
      <c r="AZ37" s="6240" t="str">
        <f t="shared" si="33"/>
        <v/>
      </c>
      <c r="BA37" s="6195">
        <f t="shared" si="40"/>
        <v>0</v>
      </c>
      <c r="BB37" s="6193" t="str">
        <f t="shared" si="34"/>
        <v/>
      </c>
      <c r="BC37" s="6219"/>
      <c r="BD37" s="6222">
        <f t="shared" si="42"/>
        <v>0</v>
      </c>
      <c r="BE37" s="6220" t="str">
        <f t="shared" si="36"/>
        <v/>
      </c>
      <c r="BF37" s="4" t="s">
        <v>1</v>
      </c>
      <c r="BG37" s="6196">
        <f t="shared" si="37"/>
        <v>0</v>
      </c>
      <c r="BH37" s="6197">
        <f t="shared" si="38"/>
        <v>0</v>
      </c>
      <c r="BI37" s="187"/>
      <c r="BJ37" s="6703" t="s">
        <v>126</v>
      </c>
      <c r="BK37" s="6281" t="s">
        <v>9631</v>
      </c>
      <c r="BL37" s="6294" t="s">
        <v>9632</v>
      </c>
      <c r="BM37" s="6304">
        <f t="shared" si="43"/>
        <v>0.35</v>
      </c>
      <c r="BN37" s="6274" t="s">
        <v>8766</v>
      </c>
      <c r="BO37" s="6274" t="s">
        <v>8774</v>
      </c>
      <c r="BP37" s="223">
        <f t="shared" si="41"/>
        <v>3</v>
      </c>
      <c r="BQ37" s="222">
        <v>350</v>
      </c>
      <c r="BR37" s="187"/>
      <c r="BS37" s="187"/>
      <c r="BT37" s="187"/>
      <c r="BU37" s="187"/>
      <c r="BV37" s="187"/>
      <c r="BW37" s="187"/>
      <c r="BX37" s="20" t="str">
        <f t="shared" si="12"/>
        <v>►</v>
      </c>
      <c r="BY37" s="6940"/>
      <c r="BZ37" s="6940"/>
      <c r="CA37" s="6940"/>
      <c r="CB37" s="6940"/>
      <c r="CC37" s="6940"/>
      <c r="CD37" s="5661"/>
      <c r="CE37" s="5879" t="s">
        <v>8523</v>
      </c>
      <c r="CF37" s="5880"/>
      <c r="CG37" s="5880"/>
      <c r="CH37" s="955"/>
      <c r="CI37" s="955"/>
      <c r="CJ37" s="955"/>
      <c r="CK37" s="956"/>
      <c r="CM37" s="5879" t="s">
        <v>8783</v>
      </c>
      <c r="CN37" s="5880"/>
      <c r="CO37" s="5880"/>
      <c r="CP37" s="955"/>
      <c r="CQ37" s="955"/>
      <c r="CR37" s="955"/>
      <c r="CS37" s="956"/>
      <c r="CU37" s="5879" t="s">
        <v>8796</v>
      </c>
      <c r="CV37" s="5880"/>
      <c r="CW37" s="5880"/>
      <c r="CX37" s="955"/>
      <c r="CY37" s="955"/>
      <c r="CZ37" s="955"/>
      <c r="DA37" s="956"/>
      <c r="DC37" s="5">
        <v>1</v>
      </c>
    </row>
    <row r="38" spans="1:107" s="1" customFormat="1" ht="21" customHeight="1">
      <c r="A38" s="5641" t="s">
        <v>1</v>
      </c>
      <c r="B38" s="5662" t="str">
        <f t="shared" si="11"/>
        <v>►</v>
      </c>
      <c r="C38" s="5825" cm="1">
        <f t="array" ref="C38">SUMPRODUCT(LEN(D38:J38))</f>
        <v>0</v>
      </c>
      <c r="D38" s="5275"/>
      <c r="E38" s="1361"/>
      <c r="F38" s="1361"/>
      <c r="G38" s="1361"/>
      <c r="H38" s="1361"/>
      <c r="I38" s="1361"/>
      <c r="J38" s="5276"/>
      <c r="K38" s="106" t="s">
        <v>1</v>
      </c>
      <c r="L38" s="1021" t="s">
        <v>26</v>
      </c>
      <c r="M38" s="41" t="str">
        <f>M18</f>
        <v>C CHIBOUST PAMPLEMOUSSE | collez la--FAMILLE| Auteur &gt; VOUS</v>
      </c>
      <c r="N38" s="40">
        <f>N18</f>
        <v>18</v>
      </c>
      <c r="O38" s="41" t="str">
        <f>O18</f>
        <v>desserts</v>
      </c>
      <c r="P38" s="5386" t="str">
        <f>P18</f>
        <v>Recette mère ► Mille - feuille aux fraises des bois</v>
      </c>
      <c r="Q38" s="6706">
        <v>1</v>
      </c>
      <c r="R38" s="6707">
        <v>1E-3</v>
      </c>
      <c r="S38" s="6708">
        <v>0</v>
      </c>
      <c r="T38" s="6707">
        <v>0.25</v>
      </c>
      <c r="U38" s="6707">
        <v>0.33332999999999996</v>
      </c>
      <c r="V38" s="6707">
        <v>0.5</v>
      </c>
      <c r="W38" s="6709">
        <v>1</v>
      </c>
      <c r="X38" s="6709">
        <v>0.1</v>
      </c>
      <c r="Y38" s="6709">
        <v>0.01</v>
      </c>
      <c r="Z38" s="6709">
        <v>1E-3</v>
      </c>
      <c r="AA38" s="6709">
        <v>0.5</v>
      </c>
      <c r="AB38" s="6709">
        <v>0.25</v>
      </c>
      <c r="AC38" s="6709">
        <v>0.33300000000000002</v>
      </c>
      <c r="AD38" s="8485">
        <v>0.2</v>
      </c>
      <c r="AE38" s="6872" t="s">
        <v>11059</v>
      </c>
      <c r="AF38" s="6202" t="str">
        <f t="shared" si="18"/>
        <v>►</v>
      </c>
      <c r="AG38" s="6234" t="str">
        <f t="shared" si="19"/>
        <v/>
      </c>
      <c r="AH38" s="6732" t="str">
        <f t="shared" si="20"/>
        <v/>
      </c>
      <c r="AI38" s="6234" t="str">
        <f t="shared" si="21"/>
        <v/>
      </c>
      <c r="AJ38" s="6732" t="str">
        <f t="shared" si="22"/>
        <v/>
      </c>
      <c r="AK38" s="6732">
        <f t="shared" si="23"/>
        <v>0</v>
      </c>
      <c r="AL38" s="6230" t="str" cm="1">
        <f t="array" ref="AL38">IF(AF38&lt;&gt;"A","",IFERROR((IFERROR(_xlfn.XLOOKUP(TRIM(SUBSTITUTE(U38,CHAR(160)," ")),$BJ$15:$BJ$62,$BM$15:$BM$62),IFERROR(_xlfn.XLOOKUP(TRIM(SUBSTITUTE(U38,CHAR(160)," ")),$BK$15:$BK$62,$BM$15:$BM$62),_xlfn.XLOOKUP(TRIM(SUBSTITUTE(U38,CHAR(160)," ")),$BL$15:$BL$62,$BM$15:$BM$62))))*T38*IF(ISBLANK(Q38),1,Q38)+IFERROR(_xlfn.XLOOKUP("RECHERCHEX",TRIM(L38:AD38),L38:AD38),0),0))</f>
        <v/>
      </c>
      <c r="AM38" s="6229">
        <f t="shared" si="24"/>
        <v>0</v>
      </c>
      <c r="AN38" s="6857" t="str">
        <f t="shared" si="44"/>
        <v/>
      </c>
      <c r="AO38" s="392">
        <f t="shared" si="26"/>
        <v>0</v>
      </c>
      <c r="AP38" s="392">
        <f t="shared" si="27"/>
        <v>0</v>
      </c>
      <c r="AQ38" s="6190">
        <f t="shared" si="28"/>
        <v>0</v>
      </c>
      <c r="AR38" s="6858" t="str">
        <f t="shared" si="29"/>
        <v/>
      </c>
      <c r="AS38" s="6217"/>
      <c r="AT38" s="6217"/>
      <c r="AU38" s="6271">
        <f t="shared" si="30"/>
        <v>0</v>
      </c>
      <c r="AV38" s="6242">
        <f t="shared" si="31"/>
        <v>0</v>
      </c>
      <c r="AW38" s="6188" cm="1">
        <f t="array" ref="AW38">IF(AK38&lt;&gt;1,0,IF(OR(AU38="",N(AU38)&lt;=0.000000001),"",IF(OR(AO38="",N(AO38)&lt;=0.000000001),0,IF(ISNUMBER(AU38),IFERROR(_xlfn.LET(_xlpm.ai_test,TRIM(AJ38),_xlpm.r,IFERROR(_xlfn.XLOOKUP(_xlpm.ai_test,$BJ$15:$BJ$62,ROW($BJ$15:$BJ$62),0,1),IFERROR(_xlfn.XLOOKUP(_xlpm.ai_test,$BK$15:$BK$62,ROW($BK$15:$BK$62),0,1),_xlfn.XLOOKUP(_xlpm.ai_test,$BL$15:$BL$62,ROW($BL$15:$BL$62),0,1))),_xlpm.p,_xlpm.r-MIN(ROW($BJ$15:$BJ$62))+1,_xlpm.f,INDEX($BM$15:$BM$62,_xlpm.p),_xlpm.u,INDEX($BN$15:$BN$62,_xlpm.p),_xlpm.s,INDEX($BP$15:$BP$62,_xlpm.p),_xlpm.q,N(AU38)/_xlpm.f,IF(_xlpm.q&gt;=_xlpm.s,ROUND(_xlpm.q,1)&amp;" "&amp;_xlpm.ai_test&amp;" = "&amp;ROUND(_xlpm.q*_xlpm.f,1)&amp;" "&amp;_xlpm.u,ROUND(_xlpm.q,1)&amp;" "&amp;_xlpm.ai_test)),""),""))))</f>
        <v>0</v>
      </c>
      <c r="AX38" s="6218"/>
      <c r="AY38" s="6271">
        <f t="shared" si="32"/>
        <v>0</v>
      </c>
      <c r="AZ38" s="6242" t="str">
        <f t="shared" si="33"/>
        <v/>
      </c>
      <c r="BA38" s="6194">
        <f t="shared" si="40"/>
        <v>0</v>
      </c>
      <c r="BB38" s="6192" t="str">
        <f t="shared" si="34"/>
        <v/>
      </c>
      <c r="BC38" s="6219"/>
      <c r="BD38" s="6221">
        <f t="shared" si="42"/>
        <v>0</v>
      </c>
      <c r="BE38" s="6220" t="str">
        <f t="shared" si="36"/>
        <v/>
      </c>
      <c r="BF38" s="4" t="s">
        <v>1</v>
      </c>
      <c r="BG38" s="6196">
        <f t="shared" si="37"/>
        <v>0</v>
      </c>
      <c r="BH38" s="6197">
        <f t="shared" si="38"/>
        <v>0</v>
      </c>
      <c r="BI38" s="187"/>
      <c r="BJ38" s="6703" t="s">
        <v>152</v>
      </c>
      <c r="BK38" s="6281" t="s">
        <v>9688</v>
      </c>
      <c r="BL38" s="6281" t="s">
        <v>9697</v>
      </c>
      <c r="BM38" s="6304">
        <f t="shared" si="43"/>
        <v>4.9299999999999995E-3</v>
      </c>
      <c r="BN38" s="6274" t="s">
        <v>8766</v>
      </c>
      <c r="BO38" s="6274" t="s">
        <v>8774</v>
      </c>
      <c r="BP38" s="223">
        <f t="shared" si="41"/>
        <v>203</v>
      </c>
      <c r="BQ38" s="236">
        <v>4.93</v>
      </c>
      <c r="BR38" s="187"/>
      <c r="BS38" s="187"/>
      <c r="BT38" s="187"/>
      <c r="BU38" s="187"/>
      <c r="BV38" s="187"/>
      <c r="BW38" s="187"/>
      <c r="BX38" s="20" t="str">
        <f t="shared" si="12"/>
        <v>►</v>
      </c>
      <c r="BY38" s="5819"/>
      <c r="BZ38" s="228"/>
      <c r="CA38" s="228"/>
      <c r="CB38" s="227"/>
      <c r="CC38" s="227"/>
      <c r="CD38" s="5661"/>
      <c r="CE38" s="6941" t="s">
        <v>10704</v>
      </c>
      <c r="CF38" s="6942"/>
      <c r="CG38" s="6942"/>
      <c r="CH38" s="6942"/>
      <c r="CI38" s="6942"/>
      <c r="CJ38" s="6942"/>
      <c r="CK38" s="6943"/>
      <c r="CM38" s="6941" t="s">
        <v>10705</v>
      </c>
      <c r="CN38" s="6942"/>
      <c r="CO38" s="6942"/>
      <c r="CP38" s="6942"/>
      <c r="CQ38" s="6942"/>
      <c r="CR38" s="6942"/>
      <c r="CS38" s="6943"/>
      <c r="CU38" s="6941" t="s">
        <v>10706</v>
      </c>
      <c r="CV38" s="6942"/>
      <c r="CW38" s="6942"/>
      <c r="CX38" s="6942"/>
      <c r="CY38" s="6942"/>
      <c r="CZ38" s="6942"/>
      <c r="DA38" s="6943"/>
      <c r="DC38" s="5">
        <v>1</v>
      </c>
    </row>
    <row r="39" spans="1:107" s="1" customFormat="1" ht="21" customHeight="1">
      <c r="A39" s="5641" t="s">
        <v>1</v>
      </c>
      <c r="B39" s="5662" t="str">
        <f t="shared" si="11"/>
        <v>►</v>
      </c>
      <c r="C39" s="5825" cm="1">
        <f t="array" ref="C39">SUMPRODUCT(LEN(D39:J39))</f>
        <v>0</v>
      </c>
      <c r="D39" s="5275"/>
      <c r="E39" s="1361"/>
      <c r="F39" s="1361"/>
      <c r="G39" s="1361"/>
      <c r="H39" s="1361"/>
      <c r="I39" s="1361"/>
      <c r="J39" s="5276"/>
      <c r="K39" s="106"/>
      <c r="L39" s="1021" t="s">
        <v>26</v>
      </c>
      <c r="M39" s="41" t="str">
        <f>M18</f>
        <v>C CHIBOUST PAMPLEMOUSSE | collez la--FAMILLE| Auteur &gt; VOUS</v>
      </c>
      <c r="N39" s="40">
        <f>N18</f>
        <v>18</v>
      </c>
      <c r="O39" s="41" t="str">
        <f>O18</f>
        <v>desserts</v>
      </c>
      <c r="P39" s="5386" t="str">
        <f>P18</f>
        <v>Recette mère ► Mille - feuille aux fraises des bois</v>
      </c>
      <c r="Q39" s="6289" t="s">
        <v>122</v>
      </c>
      <c r="R39" s="6289" t="s">
        <v>113</v>
      </c>
      <c r="S39" s="6291" t="s">
        <v>8014</v>
      </c>
      <c r="T39" s="6289" t="s">
        <v>112</v>
      </c>
      <c r="U39" s="6289" t="s">
        <v>8015</v>
      </c>
      <c r="V39" s="6289" t="s">
        <v>8016</v>
      </c>
      <c r="W39" s="6294" t="s">
        <v>126</v>
      </c>
      <c r="X39" s="6281" t="s">
        <v>152</v>
      </c>
      <c r="Y39" s="6281" t="s">
        <v>143</v>
      </c>
      <c r="Z39" s="6286" t="s">
        <v>946</v>
      </c>
      <c r="AA39" s="6286" t="s">
        <v>8765</v>
      </c>
      <c r="AB39" s="6286" t="s">
        <v>124</v>
      </c>
      <c r="AC39" s="8483" t="s">
        <v>107</v>
      </c>
      <c r="AD39" s="8484" t="s">
        <v>110</v>
      </c>
      <c r="AE39" s="6872" t="s">
        <v>11060</v>
      </c>
      <c r="AF39" s="6202" t="str">
        <f t="shared" si="18"/>
        <v>►</v>
      </c>
      <c r="AG39" s="6234" t="str">
        <f t="shared" si="19"/>
        <v/>
      </c>
      <c r="AH39" s="6732" t="str">
        <f t="shared" si="20"/>
        <v/>
      </c>
      <c r="AI39" s="6234" t="str">
        <f t="shared" si="21"/>
        <v/>
      </c>
      <c r="AJ39" s="6732" t="str">
        <f t="shared" si="22"/>
        <v/>
      </c>
      <c r="AK39" s="6732">
        <f t="shared" si="23"/>
        <v>0</v>
      </c>
      <c r="AL39" s="6230" t="str" cm="1">
        <f t="array" ref="AL39">IF(AF39&lt;&gt;"A","",IFERROR((IFERROR(_xlfn.XLOOKUP(TRIM(SUBSTITUTE(U39,CHAR(160)," ")),$BJ$15:$BJ$62,$BM$15:$BM$62),IFERROR(_xlfn.XLOOKUP(TRIM(SUBSTITUTE(U39,CHAR(160)," ")),$BK$15:$BK$62,$BM$15:$BM$62),_xlfn.XLOOKUP(TRIM(SUBSTITUTE(U39,CHAR(160)," ")),$BL$15:$BL$62,$BM$15:$BM$62))))*T39*IF(ISBLANK(Q39),1,Q39)+IFERROR(_xlfn.XLOOKUP("RECHERCHEX",TRIM(L39:AD39),L39:AD39),0),0))</f>
        <v/>
      </c>
      <c r="AM39" s="6229">
        <f t="shared" si="24"/>
        <v>0</v>
      </c>
      <c r="AN39" s="6857" t="str">
        <f t="shared" si="44"/>
        <v/>
      </c>
      <c r="AO39" s="392">
        <f t="shared" si="26"/>
        <v>0</v>
      </c>
      <c r="AP39" s="392">
        <f t="shared" si="27"/>
        <v>0</v>
      </c>
      <c r="AQ39" s="6191">
        <f t="shared" si="28"/>
        <v>0</v>
      </c>
      <c r="AR39" s="6859" t="str">
        <f t="shared" si="29"/>
        <v/>
      </c>
      <c r="AS39" s="6217"/>
      <c r="AT39" s="6217"/>
      <c r="AU39" s="6272">
        <f t="shared" si="30"/>
        <v>0</v>
      </c>
      <c r="AV39" s="6240">
        <f t="shared" si="31"/>
        <v>0</v>
      </c>
      <c r="AW39" s="6189" cm="1">
        <f t="array" ref="AW39">IF(AK39&lt;&gt;1,0,IF(OR(AU39="",N(AU39)&lt;=0.000000001),"",IF(OR(AO39="",N(AO39)&lt;=0.000000001),0,IF(ISNUMBER(AU39),IFERROR(_xlfn.LET(_xlpm.ai_test,TRIM(AJ39),_xlpm.r,IFERROR(_xlfn.XLOOKUP(_xlpm.ai_test,$BJ$15:$BJ$62,ROW($BJ$15:$BJ$62),0,1),IFERROR(_xlfn.XLOOKUP(_xlpm.ai_test,$BK$15:$BK$62,ROW($BK$15:$BK$62),0,1),_xlfn.XLOOKUP(_xlpm.ai_test,$BL$15:$BL$62,ROW($BL$15:$BL$62),0,1))),_xlpm.p,_xlpm.r-MIN(ROW($BJ$15:$BJ$62))+1,_xlpm.f,INDEX($BM$15:$BM$62,_xlpm.p),_xlpm.u,INDEX($BN$15:$BN$62,_xlpm.p),_xlpm.s,INDEX($BP$15:$BP$62,_xlpm.p),_xlpm.q,N(AU39)/_xlpm.f,IF(_xlpm.q&gt;=_xlpm.s,ROUND(_xlpm.q,1)&amp;" "&amp;_xlpm.ai_test&amp;" = "&amp;ROUND(_xlpm.q*_xlpm.f,1)&amp;" "&amp;_xlpm.u,ROUND(_xlpm.q,1)&amp;" "&amp;_xlpm.ai_test)),""),""))))</f>
        <v>0</v>
      </c>
      <c r="AX39" s="6218"/>
      <c r="AY39" s="6272">
        <f t="shared" si="32"/>
        <v>0</v>
      </c>
      <c r="AZ39" s="6240" t="str">
        <f t="shared" si="33"/>
        <v/>
      </c>
      <c r="BA39" s="6195">
        <f t="shared" si="40"/>
        <v>0</v>
      </c>
      <c r="BB39" s="6193" t="str">
        <f t="shared" si="34"/>
        <v/>
      </c>
      <c r="BC39" s="6219"/>
      <c r="BD39" s="6222">
        <f t="shared" si="42"/>
        <v>0</v>
      </c>
      <c r="BE39" s="6220" t="str">
        <f t="shared" si="36"/>
        <v/>
      </c>
      <c r="BF39" s="4" t="s">
        <v>1</v>
      </c>
      <c r="BG39" s="6196">
        <f t="shared" si="37"/>
        <v>0</v>
      </c>
      <c r="BH39" s="6197">
        <f t="shared" si="38"/>
        <v>0</v>
      </c>
      <c r="BI39" s="187"/>
      <c r="BJ39" s="6703" t="s">
        <v>143</v>
      </c>
      <c r="BK39" s="6281" t="s">
        <v>9689</v>
      </c>
      <c r="BL39" s="6281" t="s">
        <v>9698</v>
      </c>
      <c r="BM39" s="6304">
        <f t="shared" si="43"/>
        <v>5.0000000000000001E-3</v>
      </c>
      <c r="BN39" s="6274" t="s">
        <v>8766</v>
      </c>
      <c r="BO39" s="6274" t="s">
        <v>8774</v>
      </c>
      <c r="BP39" s="223">
        <f t="shared" si="41"/>
        <v>200</v>
      </c>
      <c r="BQ39" s="222">
        <v>5</v>
      </c>
      <c r="BR39" s="187"/>
      <c r="BS39" s="187"/>
      <c r="BT39" s="187"/>
      <c r="BU39" s="187"/>
      <c r="BV39" s="187"/>
      <c r="BW39" s="187"/>
      <c r="BX39" s="20" t="str">
        <f t="shared" si="12"/>
        <v>►</v>
      </c>
      <c r="BY39" s="5819"/>
      <c r="BZ39" s="228"/>
      <c r="CA39" s="228"/>
      <c r="CB39" s="227"/>
      <c r="CC39" s="227"/>
      <c r="CD39" s="5661"/>
      <c r="CE39" s="6941"/>
      <c r="CF39" s="6942"/>
      <c r="CG39" s="6942"/>
      <c r="CH39" s="6942"/>
      <c r="CI39" s="6942"/>
      <c r="CJ39" s="6942"/>
      <c r="CK39" s="6943"/>
      <c r="CM39" s="6941"/>
      <c r="CN39" s="6942"/>
      <c r="CO39" s="6942"/>
      <c r="CP39" s="6942"/>
      <c r="CQ39" s="6942"/>
      <c r="CR39" s="6942"/>
      <c r="CS39" s="6943"/>
      <c r="CU39" s="6941"/>
      <c r="CV39" s="6942"/>
      <c r="CW39" s="6942"/>
      <c r="CX39" s="6942"/>
      <c r="CY39" s="6942"/>
      <c r="CZ39" s="6942"/>
      <c r="DA39" s="6943"/>
      <c r="DC39" s="5">
        <v>1</v>
      </c>
    </row>
    <row r="40" spans="1:107" s="1" customFormat="1" ht="21" customHeight="1">
      <c r="A40" s="5641" t="s">
        <v>1</v>
      </c>
      <c r="B40" s="5662" t="str">
        <f t="shared" si="11"/>
        <v>►</v>
      </c>
      <c r="C40" s="5825" cm="1">
        <f t="array" ref="C40">SUMPRODUCT(LEN(D40:J40))</f>
        <v>0</v>
      </c>
      <c r="D40" s="5275"/>
      <c r="E40" s="1361"/>
      <c r="F40" s="1361"/>
      <c r="G40" s="1361"/>
      <c r="H40" s="1361"/>
      <c r="I40" s="1361"/>
      <c r="J40" s="5276"/>
      <c r="K40" s="106"/>
      <c r="L40" s="1021" t="s">
        <v>26</v>
      </c>
      <c r="M40" s="41" t="str">
        <f>M18</f>
        <v>C CHIBOUST PAMPLEMOUSSE | collez la--FAMILLE| Auteur &gt; VOUS</v>
      </c>
      <c r="N40" s="40">
        <f>N18</f>
        <v>18</v>
      </c>
      <c r="O40" s="41" t="str">
        <f>O18</f>
        <v>desserts</v>
      </c>
      <c r="P40" s="5386" t="str">
        <f>P18</f>
        <v>Recette mère ► Mille - feuille aux fraises des bois</v>
      </c>
      <c r="Q40" s="6706">
        <v>2.835E-2</v>
      </c>
      <c r="R40" s="6707">
        <v>0.13</v>
      </c>
      <c r="S40" s="6708">
        <v>0</v>
      </c>
      <c r="T40" s="6707">
        <v>0.2</v>
      </c>
      <c r="U40" s="6707">
        <v>0.23</v>
      </c>
      <c r="V40" s="6707">
        <v>0.22500000000000001</v>
      </c>
      <c r="W40" s="8486">
        <v>0.35</v>
      </c>
      <c r="X40" s="8486">
        <v>5.0000000000000001E-3</v>
      </c>
      <c r="Y40" s="8486">
        <v>5.0000000000000001E-3</v>
      </c>
      <c r="Z40" s="8486">
        <v>1.4999999999999999E-2</v>
      </c>
      <c r="AA40" s="8486">
        <v>0.1</v>
      </c>
      <c r="AB40" s="8486">
        <v>0.22500000000000001</v>
      </c>
      <c r="AC40" s="8486">
        <v>4.0000000000000001E-3</v>
      </c>
      <c r="AD40" s="8485">
        <v>1E-3</v>
      </c>
      <c r="AE40" s="6872" t="s">
        <v>11061</v>
      </c>
      <c r="AF40" s="6202" t="str">
        <f t="shared" si="18"/>
        <v>►</v>
      </c>
      <c r="AG40" s="6234" t="str">
        <f t="shared" si="19"/>
        <v/>
      </c>
      <c r="AH40" s="6732" t="str">
        <f t="shared" si="20"/>
        <v/>
      </c>
      <c r="AI40" s="6234" t="str">
        <f t="shared" si="21"/>
        <v/>
      </c>
      <c r="AJ40" s="6732" t="str">
        <f t="shared" si="22"/>
        <v/>
      </c>
      <c r="AK40" s="6732">
        <f t="shared" si="23"/>
        <v>0</v>
      </c>
      <c r="AL40" s="6230" t="str" cm="1">
        <f t="array" ref="AL40">IF(AF40&lt;&gt;"A","",IFERROR((IFERROR(_xlfn.XLOOKUP(TRIM(SUBSTITUTE(U40,CHAR(160)," ")),$BJ$15:$BJ$62,$BM$15:$BM$62),IFERROR(_xlfn.XLOOKUP(TRIM(SUBSTITUTE(U40,CHAR(160)," ")),$BK$15:$BK$62,$BM$15:$BM$62),_xlfn.XLOOKUP(TRIM(SUBSTITUTE(U40,CHAR(160)," ")),$BL$15:$BL$62,$BM$15:$BM$62))))*T40*IF(ISBLANK(Q40),1,Q40)+IFERROR(_xlfn.XLOOKUP("RECHERCHEX",TRIM(L40:AD40),L40:AD40),0),0))</f>
        <v/>
      </c>
      <c r="AM40" s="6229">
        <f t="shared" si="24"/>
        <v>0</v>
      </c>
      <c r="AN40" s="6857" t="str">
        <f t="shared" si="44"/>
        <v/>
      </c>
      <c r="AO40" s="392">
        <f t="shared" si="26"/>
        <v>0</v>
      </c>
      <c r="AP40" s="392">
        <f t="shared" si="27"/>
        <v>0</v>
      </c>
      <c r="AQ40" s="6190">
        <f t="shared" si="28"/>
        <v>0</v>
      </c>
      <c r="AR40" s="6858" t="str">
        <f t="shared" si="29"/>
        <v/>
      </c>
      <c r="AS40" s="6217"/>
      <c r="AT40" s="6217"/>
      <c r="AU40" s="6271">
        <f t="shared" si="30"/>
        <v>0</v>
      </c>
      <c r="AV40" s="6242">
        <f t="shared" si="31"/>
        <v>0</v>
      </c>
      <c r="AW40" s="6188" cm="1">
        <f t="array" ref="AW40">IF(AK40&lt;&gt;1,0,IF(OR(AU40="",N(AU40)&lt;=0.000000001),"",IF(OR(AO40="",N(AO40)&lt;=0.000000001),0,IF(ISNUMBER(AU40),IFERROR(_xlfn.LET(_xlpm.ai_test,TRIM(AJ40),_xlpm.r,IFERROR(_xlfn.XLOOKUP(_xlpm.ai_test,$BJ$15:$BJ$62,ROW($BJ$15:$BJ$62),0,1),IFERROR(_xlfn.XLOOKUP(_xlpm.ai_test,$BK$15:$BK$62,ROW($BK$15:$BK$62),0,1),_xlfn.XLOOKUP(_xlpm.ai_test,$BL$15:$BL$62,ROW($BL$15:$BL$62),0,1))),_xlpm.p,_xlpm.r-MIN(ROW($BJ$15:$BJ$62))+1,_xlpm.f,INDEX($BM$15:$BM$62,_xlpm.p),_xlpm.u,INDEX($BN$15:$BN$62,_xlpm.p),_xlpm.s,INDEX($BP$15:$BP$62,_xlpm.p),_xlpm.q,N(AU40)/_xlpm.f,IF(_xlpm.q&gt;=_xlpm.s,ROUND(_xlpm.q,1)&amp;" "&amp;_xlpm.ai_test&amp;" = "&amp;ROUND(_xlpm.q*_xlpm.f,1)&amp;" "&amp;_xlpm.u,ROUND(_xlpm.q,1)&amp;" "&amp;_xlpm.ai_test)),""),""))))</f>
        <v>0</v>
      </c>
      <c r="AX40" s="6218"/>
      <c r="AY40" s="6271">
        <f t="shared" si="32"/>
        <v>0</v>
      </c>
      <c r="AZ40" s="6242" t="str">
        <f t="shared" si="33"/>
        <v/>
      </c>
      <c r="BA40" s="6194">
        <f t="shared" si="40"/>
        <v>0</v>
      </c>
      <c r="BB40" s="6192" t="str">
        <f t="shared" si="34"/>
        <v/>
      </c>
      <c r="BC40" s="6219"/>
      <c r="BD40" s="6221">
        <f t="shared" si="42"/>
        <v>0</v>
      </c>
      <c r="BE40" s="6220" t="str">
        <f t="shared" si="36"/>
        <v/>
      </c>
      <c r="BF40" s="4" t="s">
        <v>1</v>
      </c>
      <c r="BG40" s="6196">
        <f t="shared" si="37"/>
        <v>0</v>
      </c>
      <c r="BH40" s="6197">
        <f t="shared" si="38"/>
        <v>0</v>
      </c>
      <c r="BI40" s="187"/>
      <c r="BJ40" s="6289" t="s">
        <v>122</v>
      </c>
      <c r="BK40" s="6289" t="s">
        <v>122</v>
      </c>
      <c r="BL40" s="6289" t="s">
        <v>9633</v>
      </c>
      <c r="BM40" s="6304">
        <f t="shared" si="43"/>
        <v>2.835E-2</v>
      </c>
      <c r="BN40" s="240" t="s">
        <v>111</v>
      </c>
      <c r="BO40" s="240" t="s">
        <v>8773</v>
      </c>
      <c r="BP40" s="223">
        <f t="shared" si="41"/>
        <v>35</v>
      </c>
      <c r="BQ40" s="245">
        <v>28.35</v>
      </c>
      <c r="BR40" s="187"/>
      <c r="BS40" s="187"/>
      <c r="BT40" s="187"/>
      <c r="BU40" s="187"/>
      <c r="BV40" s="187"/>
      <c r="BW40" s="187"/>
      <c r="BX40" s="20" t="str">
        <f t="shared" si="12"/>
        <v>►</v>
      </c>
      <c r="BY40" s="5819"/>
      <c r="BZ40" s="228"/>
      <c r="CA40" s="228"/>
      <c r="CB40" s="227"/>
      <c r="CC40" s="227"/>
      <c r="CD40" s="5661"/>
      <c r="CE40" s="1160"/>
      <c r="CF40" s="141"/>
      <c r="CG40" s="141"/>
      <c r="CH40" s="141"/>
      <c r="CI40" s="141"/>
      <c r="CJ40" s="141"/>
      <c r="CK40" s="409"/>
      <c r="CM40" s="1160"/>
      <c r="CN40" s="141"/>
      <c r="CO40" s="141"/>
      <c r="CP40" s="141"/>
      <c r="CQ40" s="141"/>
      <c r="CR40" s="141"/>
      <c r="CS40" s="409"/>
      <c r="CU40" s="1160"/>
      <c r="CV40" s="141"/>
      <c r="CW40" s="141"/>
      <c r="CX40" s="141"/>
      <c r="CY40" s="141"/>
      <c r="CZ40" s="141"/>
      <c r="DA40" s="409"/>
      <c r="DC40" s="5">
        <v>1</v>
      </c>
    </row>
    <row r="41" spans="1:107" s="1" customFormat="1" ht="21" customHeight="1">
      <c r="A41" s="5641" t="s">
        <v>1</v>
      </c>
      <c r="B41" s="5662" t="str">
        <f t="shared" si="11"/>
        <v>A</v>
      </c>
      <c r="C41" s="5825" cm="1">
        <f t="array" ref="C41">SUMPRODUCT(LEN(D41:J41))</f>
        <v>0</v>
      </c>
      <c r="D41" s="5275"/>
      <c r="E41" s="1361"/>
      <c r="F41" s="1361"/>
      <c r="G41" s="1361"/>
      <c r="H41" s="1361"/>
      <c r="I41" s="1361"/>
      <c r="J41" s="5276"/>
      <c r="K41" s="106" t="s">
        <v>1</v>
      </c>
      <c r="L41" s="5269" t="s">
        <v>21</v>
      </c>
      <c r="M41" s="1313" t="str">
        <f>M18</f>
        <v>C CHIBOUST PAMPLEMOUSSE | collez la--FAMILLE| Auteur &gt; VOUS</v>
      </c>
      <c r="N41" s="1313">
        <f>N18</f>
        <v>18</v>
      </c>
      <c r="O41" s="5377" t="str">
        <f>O18</f>
        <v>desserts</v>
      </c>
      <c r="P41" s="5387" t="str">
        <f>P18</f>
        <v>Recette mère ► Mille - feuille aux fraises des bois</v>
      </c>
      <c r="Q41" s="6293" t="str">
        <f t="shared" ref="Q41:V41" si="45">Q19</f>
        <v>Col.6</v>
      </c>
      <c r="R41" s="6293" t="str">
        <f t="shared" si="45"/>
        <v>Col.7</v>
      </c>
      <c r="S41" s="6293" t="str">
        <f t="shared" si="45"/>
        <v>Col.8</v>
      </c>
      <c r="T41" s="6293" t="str">
        <f t="shared" si="45"/>
        <v>Col.9</v>
      </c>
      <c r="U41" s="6293" t="str">
        <f t="shared" si="45"/>
        <v>Col.10</v>
      </c>
      <c r="V41" s="6293" t="str">
        <f t="shared" si="45"/>
        <v>Col.11</v>
      </c>
      <c r="W41" s="6297" t="s">
        <v>8775</v>
      </c>
      <c r="X41" s="6867"/>
      <c r="Y41" s="6292"/>
      <c r="Z41" s="6292"/>
      <c r="AA41" s="6279"/>
      <c r="AB41" s="6279"/>
      <c r="AC41" s="6280" t="s">
        <v>1156</v>
      </c>
      <c r="AD41" s="6278" t="s">
        <v>1155</v>
      </c>
      <c r="AE41" s="4" t="s">
        <v>1</v>
      </c>
      <c r="AF41" s="6202" t="str">
        <f t="shared" si="18"/>
        <v>►</v>
      </c>
      <c r="AG41" s="6234" t="str">
        <f t="shared" si="19"/>
        <v/>
      </c>
      <c r="AH41" s="6732" t="str">
        <f t="shared" si="20"/>
        <v/>
      </c>
      <c r="AI41" s="6234" t="str">
        <f t="shared" si="21"/>
        <v/>
      </c>
      <c r="AJ41" s="6732" t="str">
        <f t="shared" si="22"/>
        <v/>
      </c>
      <c r="AK41" s="6732">
        <f t="shared" si="23"/>
        <v>0</v>
      </c>
      <c r="AL41" s="6230" t="str" cm="1">
        <f t="array" ref="AL41">IF(AF41&lt;&gt;"A","",IFERROR((IFERROR(_xlfn.XLOOKUP(TRIM(SUBSTITUTE(U41,CHAR(160)," ")),$BJ$15:$BJ$62,$BM$15:$BM$62),IFERROR(_xlfn.XLOOKUP(TRIM(SUBSTITUTE(U41,CHAR(160)," ")),$BK$15:$BK$62,$BM$15:$BM$62),_xlfn.XLOOKUP(TRIM(SUBSTITUTE(U41,CHAR(160)," ")),$BL$15:$BL$62,$BM$15:$BM$62))))*T41*IF(ISBLANK(Q41),1,Q41)+IFERROR(_xlfn.XLOOKUP("RECHERCHEX",TRIM(L41:AD41),L41:AD41),0),0))</f>
        <v/>
      </c>
      <c r="AM41" s="6229">
        <f t="shared" si="24"/>
        <v>0</v>
      </c>
      <c r="AN41" s="6857" t="str">
        <f t="shared" si="44"/>
        <v/>
      </c>
      <c r="AO41" s="392">
        <f t="shared" si="26"/>
        <v>0</v>
      </c>
      <c r="AP41" s="392">
        <f t="shared" si="27"/>
        <v>0</v>
      </c>
      <c r="AQ41" s="6191">
        <f t="shared" si="28"/>
        <v>0</v>
      </c>
      <c r="AR41" s="6859" t="str">
        <f t="shared" si="29"/>
        <v/>
      </c>
      <c r="AS41" s="6217"/>
      <c r="AT41" s="6217"/>
      <c r="AU41" s="6272">
        <f t="shared" si="30"/>
        <v>0</v>
      </c>
      <c r="AV41" s="6240">
        <f t="shared" si="31"/>
        <v>0</v>
      </c>
      <c r="AW41" s="6189" cm="1">
        <f t="array" ref="AW41">IF(AK41&lt;&gt;1,0,IF(OR(AU41="",N(AU41)&lt;=0.000000001),"",IF(OR(AO41="",N(AO41)&lt;=0.000000001),0,IF(ISNUMBER(AU41),IFERROR(_xlfn.LET(_xlpm.ai_test,TRIM(AJ41),_xlpm.r,IFERROR(_xlfn.XLOOKUP(_xlpm.ai_test,$BJ$15:$BJ$62,ROW($BJ$15:$BJ$62),0,1),IFERROR(_xlfn.XLOOKUP(_xlpm.ai_test,$BK$15:$BK$62,ROW($BK$15:$BK$62),0,1),_xlfn.XLOOKUP(_xlpm.ai_test,$BL$15:$BL$62,ROW($BL$15:$BL$62),0,1))),_xlpm.p,_xlpm.r-MIN(ROW($BJ$15:$BJ$62))+1,_xlpm.f,INDEX($BM$15:$BM$62,_xlpm.p),_xlpm.u,INDEX($BN$15:$BN$62,_xlpm.p),_xlpm.s,INDEX($BP$15:$BP$62,_xlpm.p),_xlpm.q,N(AU41)/_xlpm.f,IF(_xlpm.q&gt;=_xlpm.s,ROUND(_xlpm.q,1)&amp;" "&amp;_xlpm.ai_test&amp;" = "&amp;ROUND(_xlpm.q*_xlpm.f,1)&amp;" "&amp;_xlpm.u,ROUND(_xlpm.q,1)&amp;" "&amp;_xlpm.ai_test)),""),""))))</f>
        <v>0</v>
      </c>
      <c r="AX41" s="6218"/>
      <c r="AY41" s="6272">
        <f t="shared" si="32"/>
        <v>0</v>
      </c>
      <c r="AZ41" s="6240" t="str">
        <f t="shared" si="33"/>
        <v/>
      </c>
      <c r="BA41" s="6195">
        <f t="shared" si="40"/>
        <v>0</v>
      </c>
      <c r="BB41" s="6193" t="str">
        <f t="shared" si="34"/>
        <v/>
      </c>
      <c r="BC41" s="6219"/>
      <c r="BD41" s="6222">
        <f t="shared" si="42"/>
        <v>0</v>
      </c>
      <c r="BE41" s="6220" t="str">
        <f t="shared" si="36"/>
        <v/>
      </c>
      <c r="BF41" s="4" t="s">
        <v>1</v>
      </c>
      <c r="BG41" s="6196">
        <f t="shared" si="37"/>
        <v>0</v>
      </c>
      <c r="BH41" s="6197">
        <f t="shared" si="38"/>
        <v>0</v>
      </c>
      <c r="BI41" s="187"/>
      <c r="BJ41" s="6704" t="s">
        <v>123</v>
      </c>
      <c r="BK41" s="6704" t="s">
        <v>9634</v>
      </c>
      <c r="BL41" s="6704" t="s">
        <v>9635</v>
      </c>
      <c r="BM41" s="6304">
        <f t="shared" si="43"/>
        <v>1.4E-2</v>
      </c>
      <c r="BN41" s="6274" t="s">
        <v>8766</v>
      </c>
      <c r="BO41" s="6274" t="s">
        <v>8774</v>
      </c>
      <c r="BP41" s="223">
        <f t="shared" si="41"/>
        <v>71</v>
      </c>
      <c r="BQ41" s="222">
        <v>14</v>
      </c>
      <c r="BR41" s="187"/>
      <c r="BS41" s="187"/>
      <c r="BT41" s="187"/>
      <c r="BU41" s="187"/>
      <c r="BV41" s="187"/>
      <c r="BW41" s="187"/>
      <c r="BX41" s="20" t="str">
        <f t="shared" si="12"/>
        <v>►</v>
      </c>
      <c r="BY41" s="5819"/>
      <c r="BZ41" s="228"/>
      <c r="CA41" s="228"/>
      <c r="CB41" s="227"/>
      <c r="CC41" s="227"/>
      <c r="CD41" s="5661"/>
      <c r="CE41" s="5903" t="s">
        <v>8525</v>
      </c>
      <c r="CF41" s="141"/>
      <c r="CG41" s="141"/>
      <c r="CH41" s="141"/>
      <c r="CI41" s="141"/>
      <c r="CJ41" s="141"/>
      <c r="CK41" s="409"/>
      <c r="CM41" s="5903" t="s">
        <v>8809</v>
      </c>
      <c r="CN41" s="141"/>
      <c r="CO41" s="141"/>
      <c r="CP41" s="141"/>
      <c r="CQ41" s="141"/>
      <c r="CR41" s="141"/>
      <c r="CS41" s="409"/>
      <c r="CU41" s="5903" t="s">
        <v>8821</v>
      </c>
      <c r="CV41" s="141"/>
      <c r="CW41" s="141"/>
      <c r="CX41" s="141"/>
      <c r="CY41" s="141"/>
      <c r="CZ41" s="141"/>
      <c r="DA41" s="409"/>
      <c r="DC41" s="5">
        <v>1</v>
      </c>
    </row>
    <row r="42" spans="1:107" s="1" customFormat="1" ht="21" customHeight="1">
      <c r="A42" s="5641" t="s">
        <v>1</v>
      </c>
      <c r="B42" s="5662" t="str">
        <f t="shared" si="11"/>
        <v>A</v>
      </c>
      <c r="C42" s="5825" cm="1">
        <f t="array" ref="C42">SUMPRODUCT(LEN(D42:J42))</f>
        <v>0</v>
      </c>
      <c r="D42" s="5275"/>
      <c r="E42" s="1361"/>
      <c r="F42" s="1361"/>
      <c r="G42" s="1361"/>
      <c r="H42" s="1361"/>
      <c r="I42" s="1361"/>
      <c r="J42" s="5276"/>
      <c r="K42" s="106" t="s">
        <v>1</v>
      </c>
      <c r="L42" s="5270" t="s">
        <v>21</v>
      </c>
      <c r="M42" s="196" t="str">
        <f>M18</f>
        <v>C CHIBOUST PAMPLEMOUSSE | collez la--FAMILLE| Auteur &gt; VOUS</v>
      </c>
      <c r="N42" s="196">
        <f>N18</f>
        <v>18</v>
      </c>
      <c r="O42" s="197" t="str">
        <f>O18</f>
        <v>desserts</v>
      </c>
      <c r="P42" s="5388" t="str">
        <f>P18</f>
        <v>Recette mère ► Mille - feuille aux fraises des bois</v>
      </c>
      <c r="Q42" s="369" t="s">
        <v>252</v>
      </c>
      <c r="R42" s="5271" t="s">
        <v>864</v>
      </c>
      <c r="S42" s="1321"/>
      <c r="T42" s="1321"/>
      <c r="U42" s="1321"/>
      <c r="V42" s="1321"/>
      <c r="W42" s="1321"/>
      <c r="X42" s="1321"/>
      <c r="Y42" s="1321"/>
      <c r="Z42" s="1322"/>
      <c r="AA42" s="5411"/>
      <c r="AB42" s="1266"/>
      <c r="AC42" s="1270" t="s">
        <v>1157</v>
      </c>
      <c r="AD42" s="5272" t="s">
        <v>1155</v>
      </c>
      <c r="AE42" s="4" t="s">
        <v>1</v>
      </c>
      <c r="AF42" s="6202" t="str">
        <f t="shared" si="18"/>
        <v>►</v>
      </c>
      <c r="AG42" s="6234" t="str">
        <f t="shared" si="19"/>
        <v/>
      </c>
      <c r="AH42" s="6732" t="str">
        <f t="shared" si="20"/>
        <v/>
      </c>
      <c r="AI42" s="6234" t="str">
        <f t="shared" si="21"/>
        <v/>
      </c>
      <c r="AJ42" s="6732" t="str">
        <f t="shared" si="22"/>
        <v/>
      </c>
      <c r="AK42" s="6732">
        <f t="shared" si="23"/>
        <v>0</v>
      </c>
      <c r="AL42" s="6230" t="str" cm="1">
        <f t="array" ref="AL42">IF(AF42&lt;&gt;"A","",IFERROR((IFERROR(_xlfn.XLOOKUP(TRIM(SUBSTITUTE(U42,CHAR(160)," ")),$BJ$15:$BJ$62,$BM$15:$BM$62),IFERROR(_xlfn.XLOOKUP(TRIM(SUBSTITUTE(U42,CHAR(160)," ")),$BK$15:$BK$62,$BM$15:$BM$62),_xlfn.XLOOKUP(TRIM(SUBSTITUTE(U42,CHAR(160)," ")),$BL$15:$BL$62,$BM$15:$BM$62))))*T42*IF(ISBLANK(Q42),1,Q42)+IFERROR(_xlfn.XLOOKUP("RECHERCHEX",TRIM(L42:AD42),L42:AD42),0),0))</f>
        <v/>
      </c>
      <c r="AM42" s="6229">
        <f t="shared" si="24"/>
        <v>0</v>
      </c>
      <c r="AN42" s="6857" t="str">
        <f t="shared" si="44"/>
        <v/>
      </c>
      <c r="AO42" s="392">
        <f t="shared" si="26"/>
        <v>0</v>
      </c>
      <c r="AP42" s="392">
        <f t="shared" si="27"/>
        <v>0</v>
      </c>
      <c r="AQ42" s="6190">
        <f t="shared" si="28"/>
        <v>0</v>
      </c>
      <c r="AR42" s="6858" t="str">
        <f t="shared" si="29"/>
        <v/>
      </c>
      <c r="AS42" s="6217"/>
      <c r="AT42" s="6217"/>
      <c r="AU42" s="6271">
        <f t="shared" si="30"/>
        <v>0</v>
      </c>
      <c r="AV42" s="6242">
        <f t="shared" si="31"/>
        <v>0</v>
      </c>
      <c r="AW42" s="6188" cm="1">
        <f t="array" ref="AW42">IF(AK42&lt;&gt;1,0,IF(OR(AU42="",N(AU42)&lt;=0.000000001),"",IF(OR(AO42="",N(AO42)&lt;=0.000000001),0,IF(ISNUMBER(AU42),IFERROR(_xlfn.LET(_xlpm.ai_test,TRIM(AJ42),_xlpm.r,IFERROR(_xlfn.XLOOKUP(_xlpm.ai_test,$BJ$15:$BJ$62,ROW($BJ$15:$BJ$62),0,1),IFERROR(_xlfn.XLOOKUP(_xlpm.ai_test,$BK$15:$BK$62,ROW($BK$15:$BK$62),0,1),_xlfn.XLOOKUP(_xlpm.ai_test,$BL$15:$BL$62,ROW($BL$15:$BL$62),0,1))),_xlpm.p,_xlpm.r-MIN(ROW($BJ$15:$BJ$62))+1,_xlpm.f,INDEX($BM$15:$BM$62,_xlpm.p),_xlpm.u,INDEX($BN$15:$BN$62,_xlpm.p),_xlpm.s,INDEX($BP$15:$BP$62,_xlpm.p),_xlpm.q,N(AU42)/_xlpm.f,IF(_xlpm.q&gt;=_xlpm.s,ROUND(_xlpm.q,1)&amp;" "&amp;_xlpm.ai_test&amp;" = "&amp;ROUND(_xlpm.q*_xlpm.f,1)&amp;" "&amp;_xlpm.u,ROUND(_xlpm.q,1)&amp;" "&amp;_xlpm.ai_test)),""),""))))</f>
        <v>0</v>
      </c>
      <c r="AX42" s="6218"/>
      <c r="AY42" s="6271">
        <f t="shared" si="32"/>
        <v>0</v>
      </c>
      <c r="AZ42" s="6242" t="str">
        <f t="shared" si="33"/>
        <v/>
      </c>
      <c r="BA42" s="6194">
        <f t="shared" si="40"/>
        <v>0</v>
      </c>
      <c r="BB42" s="6192" t="str">
        <f t="shared" si="34"/>
        <v/>
      </c>
      <c r="BC42" s="6219"/>
      <c r="BD42" s="6221">
        <f t="shared" si="42"/>
        <v>0</v>
      </c>
      <c r="BE42" s="6220" t="str">
        <f t="shared" si="36"/>
        <v/>
      </c>
      <c r="BF42" s="4" t="s">
        <v>1</v>
      </c>
      <c r="BG42" s="6196">
        <f t="shared" si="37"/>
        <v>0</v>
      </c>
      <c r="BH42" s="6197">
        <f t="shared" si="38"/>
        <v>0</v>
      </c>
      <c r="BI42" s="187"/>
      <c r="BJ42" s="6704" t="s">
        <v>8016</v>
      </c>
      <c r="BK42" s="6289" t="s">
        <v>9636</v>
      </c>
      <c r="BL42" s="6289" t="s">
        <v>9696</v>
      </c>
      <c r="BM42" s="6304">
        <f t="shared" si="43"/>
        <v>0.22500000000000001</v>
      </c>
      <c r="BN42" s="6274" t="s">
        <v>8766</v>
      </c>
      <c r="BO42" s="6274" t="s">
        <v>8774</v>
      </c>
      <c r="BP42" s="223">
        <f t="shared" si="41"/>
        <v>4</v>
      </c>
      <c r="BQ42" s="222">
        <v>225</v>
      </c>
      <c r="BR42" s="187"/>
      <c r="BS42" s="187"/>
      <c r="BT42" s="187"/>
      <c r="BU42" s="187"/>
      <c r="BV42" s="187"/>
      <c r="BW42" s="187"/>
      <c r="BX42" s="20" t="str">
        <f t="shared" si="12"/>
        <v>►</v>
      </c>
      <c r="BY42" s="5819"/>
      <c r="BZ42" s="228"/>
      <c r="CA42" s="228"/>
      <c r="CB42" s="227"/>
      <c r="CC42" s="227"/>
      <c r="CD42" s="5661"/>
      <c r="CE42" s="5906" t="s">
        <v>8445</v>
      </c>
      <c r="CF42" s="141"/>
      <c r="CG42" s="141"/>
      <c r="CH42" s="141"/>
      <c r="CI42" s="141"/>
      <c r="CJ42" s="141"/>
      <c r="CK42" s="409"/>
      <c r="CM42" s="5906" t="s">
        <v>8810</v>
      </c>
      <c r="CN42" s="141"/>
      <c r="CO42" s="141"/>
      <c r="CP42" s="141"/>
      <c r="CQ42" s="141"/>
      <c r="CR42" s="141"/>
      <c r="CS42" s="409"/>
      <c r="CU42" s="5906" t="s">
        <v>8822</v>
      </c>
      <c r="CV42" s="141"/>
      <c r="CW42" s="141"/>
      <c r="CX42" s="141"/>
      <c r="CY42" s="141"/>
      <c r="CZ42" s="141"/>
      <c r="DA42" s="409"/>
      <c r="DC42" s="5">
        <v>1</v>
      </c>
    </row>
    <row r="43" spans="1:107" s="1" customFormat="1" ht="21" customHeight="1">
      <c r="A43" s="5641" t="s">
        <v>1</v>
      </c>
      <c r="B43" s="5662" t="str">
        <f t="shared" si="11"/>
        <v>►</v>
      </c>
      <c r="C43" s="5825" cm="1">
        <f t="array" ref="C43">SUMPRODUCT(LEN(D43:J43))</f>
        <v>0</v>
      </c>
      <c r="D43" s="5275"/>
      <c r="E43" s="1361"/>
      <c r="F43" s="1361"/>
      <c r="G43" s="1361"/>
      <c r="H43" s="1361"/>
      <c r="I43" s="1361"/>
      <c r="J43" s="5276"/>
      <c r="K43" s="106" t="s">
        <v>1</v>
      </c>
      <c r="L43" s="1021" t="str">
        <f t="shared" ref="L43:L53" si="46">IF(OR(Q43&lt;&gt;"",R43&lt;&gt; "",S43&lt;&gt;"",T43&lt;&gt;""),"A", "►")</f>
        <v>►</v>
      </c>
      <c r="M43" s="196" t="str">
        <f>M18</f>
        <v>C CHIBOUST PAMPLEMOUSSE | collez la--FAMILLE| Auteur &gt; VOUS</v>
      </c>
      <c r="N43" s="196">
        <f>N18</f>
        <v>18</v>
      </c>
      <c r="O43" s="197" t="str">
        <f>O18</f>
        <v>desserts</v>
      </c>
      <c r="P43" s="5388" t="str">
        <f>P18</f>
        <v>Recette mère ► Mille - feuille aux fraises des bois</v>
      </c>
      <c r="Q43" s="5275"/>
      <c r="R43" s="1320"/>
      <c r="S43" s="1320"/>
      <c r="T43" s="1320"/>
      <c r="U43" s="1320"/>
      <c r="V43" s="1320"/>
      <c r="W43" s="1320"/>
      <c r="X43" s="1320"/>
      <c r="Y43" s="1320"/>
      <c r="Z43" s="1324"/>
      <c r="AA43" s="141"/>
      <c r="AB43" s="141"/>
      <c r="AC43" s="5273" t="s">
        <v>1150</v>
      </c>
      <c r="AD43" s="5274">
        <v>3.472222222222222E-3</v>
      </c>
      <c r="AE43" s="4" t="s">
        <v>1</v>
      </c>
      <c r="AF43" s="6202" t="str">
        <f t="shared" si="18"/>
        <v>►</v>
      </c>
      <c r="AG43" s="6234" t="str">
        <f t="shared" si="19"/>
        <v/>
      </c>
      <c r="AH43" s="6732" t="str">
        <f t="shared" si="20"/>
        <v/>
      </c>
      <c r="AI43" s="6234" t="str">
        <f t="shared" si="21"/>
        <v/>
      </c>
      <c r="AJ43" s="6732" t="str">
        <f t="shared" si="22"/>
        <v/>
      </c>
      <c r="AK43" s="6732">
        <f t="shared" si="23"/>
        <v>0</v>
      </c>
      <c r="AL43" s="6230" t="str" cm="1">
        <f t="array" ref="AL43">IF(AF43&lt;&gt;"A","",IFERROR((IFERROR(_xlfn.XLOOKUP(TRIM(SUBSTITUTE(U43,CHAR(160)," ")),$BJ$15:$BJ$62,$BM$15:$BM$62),IFERROR(_xlfn.XLOOKUP(TRIM(SUBSTITUTE(U43,CHAR(160)," ")),$BK$15:$BK$62,$BM$15:$BM$62),_xlfn.XLOOKUP(TRIM(SUBSTITUTE(U43,CHAR(160)," ")),$BL$15:$BL$62,$BM$15:$BM$62))))*T43*IF(ISBLANK(Q43),1,Q43)+IFERROR(_xlfn.XLOOKUP("RECHERCHEX",TRIM(L43:AD43),L43:AD43),0),0))</f>
        <v/>
      </c>
      <c r="AM43" s="6229">
        <f t="shared" si="24"/>
        <v>0</v>
      </c>
      <c r="AN43" s="6857" t="str">
        <f t="shared" si="44"/>
        <v/>
      </c>
      <c r="AO43" s="392">
        <f t="shared" si="26"/>
        <v>0</v>
      </c>
      <c r="AP43" s="392">
        <f t="shared" si="27"/>
        <v>0</v>
      </c>
      <c r="AQ43" s="6191">
        <f t="shared" si="28"/>
        <v>0</v>
      </c>
      <c r="AR43" s="6859" t="str">
        <f t="shared" si="29"/>
        <v/>
      </c>
      <c r="AS43" s="6217"/>
      <c r="AT43" s="6217"/>
      <c r="AU43" s="6272">
        <f t="shared" si="30"/>
        <v>0</v>
      </c>
      <c r="AV43" s="6240">
        <f t="shared" si="31"/>
        <v>0</v>
      </c>
      <c r="AW43" s="6189" cm="1">
        <f t="array" ref="AW43">IF(AK43&lt;&gt;1,0,IF(OR(AU43="",N(AU43)&lt;=0.000000001),"",IF(OR(AO43="",N(AO43)&lt;=0.000000001),0,IF(ISNUMBER(AU43),IFERROR(_xlfn.LET(_xlpm.ai_test,TRIM(AJ43),_xlpm.r,IFERROR(_xlfn.XLOOKUP(_xlpm.ai_test,$BJ$15:$BJ$62,ROW($BJ$15:$BJ$62),0,1),IFERROR(_xlfn.XLOOKUP(_xlpm.ai_test,$BK$15:$BK$62,ROW($BK$15:$BK$62),0,1),_xlfn.XLOOKUP(_xlpm.ai_test,$BL$15:$BL$62,ROW($BL$15:$BL$62),0,1))),_xlpm.p,_xlpm.r-MIN(ROW($BJ$15:$BJ$62))+1,_xlpm.f,INDEX($BM$15:$BM$62,_xlpm.p),_xlpm.u,INDEX($BN$15:$BN$62,_xlpm.p),_xlpm.s,INDEX($BP$15:$BP$62,_xlpm.p),_xlpm.q,N(AU43)/_xlpm.f,IF(_xlpm.q&gt;=_xlpm.s,ROUND(_xlpm.q,1)&amp;" "&amp;_xlpm.ai_test&amp;" = "&amp;ROUND(_xlpm.q*_xlpm.f,1)&amp;" "&amp;_xlpm.u,ROUND(_xlpm.q,1)&amp;" "&amp;_xlpm.ai_test)),""),""))))</f>
        <v>0</v>
      </c>
      <c r="AX43" s="6218"/>
      <c r="AY43" s="6272">
        <f t="shared" si="32"/>
        <v>0</v>
      </c>
      <c r="AZ43" s="6240" t="str">
        <f t="shared" si="33"/>
        <v/>
      </c>
      <c r="BA43" s="6195">
        <f t="shared" si="40"/>
        <v>0</v>
      </c>
      <c r="BB43" s="6193" t="str">
        <f t="shared" si="34"/>
        <v/>
      </c>
      <c r="BC43" s="6219"/>
      <c r="BD43" s="6222">
        <f t="shared" si="42"/>
        <v>0</v>
      </c>
      <c r="BE43" s="6220" t="str">
        <f t="shared" si="36"/>
        <v/>
      </c>
      <c r="BF43" s="4" t="s">
        <v>1</v>
      </c>
      <c r="BG43" s="6196">
        <f t="shared" si="37"/>
        <v>0</v>
      </c>
      <c r="BH43" s="6197">
        <f t="shared" si="38"/>
        <v>0</v>
      </c>
      <c r="BI43" s="187"/>
      <c r="BJ43" s="6704" t="s">
        <v>120</v>
      </c>
      <c r="BK43" s="6704" t="s">
        <v>120</v>
      </c>
      <c r="BL43" s="6704" t="s">
        <v>9637</v>
      </c>
      <c r="BM43" s="6304">
        <f t="shared" si="43"/>
        <v>0.11799999999999999</v>
      </c>
      <c r="BN43" s="6274" t="s">
        <v>8766</v>
      </c>
      <c r="BO43" s="6274" t="s">
        <v>8774</v>
      </c>
      <c r="BP43" s="223">
        <f t="shared" si="41"/>
        <v>8</v>
      </c>
      <c r="BQ43" s="222">
        <v>118</v>
      </c>
      <c r="BR43" s="187"/>
      <c r="BS43" s="187"/>
      <c r="BT43" s="187"/>
      <c r="BU43" s="187"/>
      <c r="BV43" s="187"/>
      <c r="BW43" s="187"/>
      <c r="BX43" s="20" t="str">
        <f t="shared" si="12"/>
        <v>►</v>
      </c>
      <c r="BY43" s="5819"/>
      <c r="BZ43" s="228"/>
      <c r="CA43" s="228"/>
      <c r="CB43" s="227"/>
      <c r="CC43" s="227"/>
      <c r="CD43" s="5661"/>
      <c r="CE43" s="1160"/>
      <c r="CF43" s="141"/>
      <c r="CG43" s="141"/>
      <c r="CH43" s="141"/>
      <c r="CI43" s="141"/>
      <c r="CJ43" s="141"/>
      <c r="CK43" s="409"/>
      <c r="CM43" s="1160"/>
      <c r="CN43" s="141"/>
      <c r="CO43" s="141"/>
      <c r="CP43" s="141"/>
      <c r="CQ43" s="141"/>
      <c r="CR43" s="141"/>
      <c r="CS43" s="409"/>
      <c r="CU43" s="1160"/>
      <c r="CV43" s="141"/>
      <c r="CW43" s="141"/>
      <c r="CX43" s="141"/>
      <c r="CY43" s="141"/>
      <c r="CZ43" s="141"/>
      <c r="DA43" s="409"/>
      <c r="DC43" s="5">
        <v>1</v>
      </c>
    </row>
    <row r="44" spans="1:107" s="1" customFormat="1" ht="21" customHeight="1">
      <c r="A44" s="5641" t="s">
        <v>1</v>
      </c>
      <c r="B44" s="5662" t="str">
        <f t="shared" si="11"/>
        <v>A</v>
      </c>
      <c r="C44" s="5825" cm="1">
        <f t="array" ref="C44">SUMPRODUCT(LEN(D44:J44))</f>
        <v>0</v>
      </c>
      <c r="D44" s="5275"/>
      <c r="E44" s="1361"/>
      <c r="F44" s="1361"/>
      <c r="G44" s="1361"/>
      <c r="H44" s="1361"/>
      <c r="I44" s="1361"/>
      <c r="J44" s="5276"/>
      <c r="K44" s="106"/>
      <c r="L44" s="1021" t="str">
        <f t="shared" si="46"/>
        <v>A</v>
      </c>
      <c r="M44" s="196" t="str">
        <f>M18</f>
        <v>C CHIBOUST PAMPLEMOUSSE | collez la--FAMILLE| Auteur &gt; VOUS</v>
      </c>
      <c r="N44" s="196">
        <f>N18</f>
        <v>18</v>
      </c>
      <c r="O44" s="197" t="str">
        <f>O18</f>
        <v>desserts</v>
      </c>
      <c r="P44" s="5388" t="str">
        <f>P18</f>
        <v>Recette mère ► Mille - feuille aux fraises des bois</v>
      </c>
      <c r="Q44" s="5275" t="s">
        <v>8564</v>
      </c>
      <c r="R44" s="1361"/>
      <c r="S44" s="1361"/>
      <c r="T44" s="1361"/>
      <c r="U44" s="1361"/>
      <c r="V44" s="1361"/>
      <c r="W44" s="1361"/>
      <c r="X44" s="1361"/>
      <c r="Y44" s="1361"/>
      <c r="Z44" s="5276"/>
      <c r="AA44" s="141"/>
      <c r="AB44" s="141"/>
      <c r="AC44" s="5273" t="s">
        <v>1152</v>
      </c>
      <c r="AD44" s="5277">
        <v>1.0416666666666666E-2</v>
      </c>
      <c r="AE44" s="4" t="s">
        <v>1</v>
      </c>
      <c r="AF44" s="6202" t="str">
        <f t="shared" si="18"/>
        <v>►</v>
      </c>
      <c r="AG44" s="6234" t="str">
        <f t="shared" si="19"/>
        <v/>
      </c>
      <c r="AH44" s="6732" t="str">
        <f t="shared" si="20"/>
        <v/>
      </c>
      <c r="AI44" s="6234" t="str">
        <f t="shared" si="21"/>
        <v/>
      </c>
      <c r="AJ44" s="6732" t="str">
        <f t="shared" si="22"/>
        <v/>
      </c>
      <c r="AK44" s="6732">
        <f t="shared" si="23"/>
        <v>0</v>
      </c>
      <c r="AL44" s="6230" t="str" cm="1">
        <f t="array" ref="AL44">IF(AF44&lt;&gt;"A","",IFERROR((IFERROR(_xlfn.XLOOKUP(TRIM(SUBSTITUTE(U44,CHAR(160)," ")),$BJ$15:$BJ$62,$BM$15:$BM$62),IFERROR(_xlfn.XLOOKUP(TRIM(SUBSTITUTE(U44,CHAR(160)," ")),$BK$15:$BK$62,$BM$15:$BM$62),_xlfn.XLOOKUP(TRIM(SUBSTITUTE(U44,CHAR(160)," ")),$BL$15:$BL$62,$BM$15:$BM$62))))*T44*IF(ISBLANK(Q44),1,Q44)+IFERROR(_xlfn.XLOOKUP("RECHERCHEX",TRIM(L44:AD44),L44:AD44),0),0))</f>
        <v/>
      </c>
      <c r="AM44" s="6229">
        <f t="shared" si="24"/>
        <v>0</v>
      </c>
      <c r="AN44" s="6857" t="str">
        <f t="shared" si="44"/>
        <v/>
      </c>
      <c r="AO44" s="392">
        <f t="shared" si="26"/>
        <v>0</v>
      </c>
      <c r="AP44" s="392">
        <f t="shared" si="27"/>
        <v>0</v>
      </c>
      <c r="AQ44" s="6190">
        <f t="shared" si="28"/>
        <v>0</v>
      </c>
      <c r="AR44" s="6858" t="str">
        <f t="shared" si="29"/>
        <v/>
      </c>
      <c r="AS44" s="6217"/>
      <c r="AT44" s="6217"/>
      <c r="AU44" s="6271">
        <f t="shared" si="30"/>
        <v>0</v>
      </c>
      <c r="AV44" s="6242">
        <f t="shared" si="31"/>
        <v>0</v>
      </c>
      <c r="AW44" s="6188" cm="1">
        <f t="array" ref="AW44">IF(AK44&lt;&gt;1,0,IF(OR(AU44="",N(AU44)&lt;=0.000000001),"",IF(OR(AO44="",N(AO44)&lt;=0.000000001),0,IF(ISNUMBER(AU44),IFERROR(_xlfn.LET(_xlpm.ai_test,TRIM(AJ44),_xlpm.r,IFERROR(_xlfn.XLOOKUP(_xlpm.ai_test,$BJ$15:$BJ$62,ROW($BJ$15:$BJ$62),0,1),IFERROR(_xlfn.XLOOKUP(_xlpm.ai_test,$BK$15:$BK$62,ROW($BK$15:$BK$62),0,1),_xlfn.XLOOKUP(_xlpm.ai_test,$BL$15:$BL$62,ROW($BL$15:$BL$62),0,1))),_xlpm.p,_xlpm.r-MIN(ROW($BJ$15:$BJ$62))+1,_xlpm.f,INDEX($BM$15:$BM$62,_xlpm.p),_xlpm.u,INDEX($BN$15:$BN$62,_xlpm.p),_xlpm.s,INDEX($BP$15:$BP$62,_xlpm.p),_xlpm.q,N(AU44)/_xlpm.f,IF(_xlpm.q&gt;=_xlpm.s,ROUND(_xlpm.q,1)&amp;" "&amp;_xlpm.ai_test&amp;" = "&amp;ROUND(_xlpm.q*_xlpm.f,1)&amp;" "&amp;_xlpm.u,ROUND(_xlpm.q,1)&amp;" "&amp;_xlpm.ai_test)),""),""))))</f>
        <v>0</v>
      </c>
      <c r="AX44" s="6218"/>
      <c r="AY44" s="6271">
        <f t="shared" si="32"/>
        <v>0</v>
      </c>
      <c r="AZ44" s="6242" t="str">
        <f t="shared" si="33"/>
        <v/>
      </c>
      <c r="BA44" s="6194">
        <f t="shared" si="40"/>
        <v>0</v>
      </c>
      <c r="BB44" s="6192" t="str">
        <f t="shared" si="34"/>
        <v/>
      </c>
      <c r="BC44" s="6219"/>
      <c r="BD44" s="6221">
        <f t="shared" si="42"/>
        <v>0</v>
      </c>
      <c r="BE44" s="6220" t="str">
        <f t="shared" si="36"/>
        <v/>
      </c>
      <c r="BF44" s="4" t="s">
        <v>1</v>
      </c>
      <c r="BG44" s="6196">
        <f t="shared" si="37"/>
        <v>0</v>
      </c>
      <c r="BH44" s="6197">
        <f t="shared" si="38"/>
        <v>0</v>
      </c>
      <c r="BI44" s="187"/>
      <c r="BJ44" s="6704" t="s">
        <v>118</v>
      </c>
      <c r="BK44" s="6704" t="s">
        <v>118</v>
      </c>
      <c r="BL44" s="6704" t="s">
        <v>9638</v>
      </c>
      <c r="BM44" s="6304">
        <f t="shared" si="43"/>
        <v>5.8999999999999997E-2</v>
      </c>
      <c r="BN44" s="6274" t="s">
        <v>8766</v>
      </c>
      <c r="BO44" s="6274" t="s">
        <v>8774</v>
      </c>
      <c r="BP44" s="223">
        <f t="shared" si="41"/>
        <v>17</v>
      </c>
      <c r="BQ44" s="222">
        <v>59</v>
      </c>
      <c r="BR44" s="187"/>
      <c r="BS44" s="187"/>
      <c r="BT44" s="187"/>
      <c r="BU44" s="187"/>
      <c r="BV44" s="187"/>
      <c r="BW44" s="187"/>
      <c r="BX44" s="20" t="str">
        <f t="shared" si="12"/>
        <v>►</v>
      </c>
      <c r="BY44" s="5819"/>
      <c r="BZ44" s="228"/>
      <c r="CA44" s="228"/>
      <c r="CB44" s="227"/>
      <c r="CC44" s="227"/>
      <c r="CD44" s="5661"/>
      <c r="CE44" s="5908" t="s">
        <v>8527</v>
      </c>
      <c r="CF44" s="141"/>
      <c r="CG44" s="141"/>
      <c r="CH44" s="141"/>
      <c r="CI44" s="141"/>
      <c r="CJ44" s="141"/>
      <c r="CK44" s="409"/>
      <c r="CM44" s="5908" t="s">
        <v>8784</v>
      </c>
      <c r="CN44" s="141"/>
      <c r="CO44" s="141"/>
      <c r="CP44" s="141"/>
      <c r="CQ44" s="141"/>
      <c r="CR44" s="141"/>
      <c r="CS44" s="409"/>
      <c r="CU44" s="5908" t="s">
        <v>8797</v>
      </c>
      <c r="CV44" s="141"/>
      <c r="CW44" s="141"/>
      <c r="CX44" s="141"/>
      <c r="CY44" s="141"/>
      <c r="CZ44" s="141"/>
      <c r="DA44" s="409"/>
      <c r="DC44" s="5">
        <v>1</v>
      </c>
    </row>
    <row r="45" spans="1:107" s="1" customFormat="1" ht="21" customHeight="1">
      <c r="A45" s="5641" t="s">
        <v>1</v>
      </c>
      <c r="B45" s="5662" t="str">
        <f t="shared" si="11"/>
        <v>A</v>
      </c>
      <c r="C45" s="5825" cm="1">
        <f t="array" ref="C45">SUMPRODUCT(LEN(D45:J45))</f>
        <v>0</v>
      </c>
      <c r="D45" s="5275"/>
      <c r="E45" s="1361"/>
      <c r="F45" s="1361"/>
      <c r="G45" s="1361"/>
      <c r="H45" s="1361"/>
      <c r="I45" s="1361"/>
      <c r="J45" s="5276"/>
      <c r="K45" s="106"/>
      <c r="L45" s="1021" t="str">
        <f t="shared" si="46"/>
        <v>A</v>
      </c>
      <c r="M45" s="196" t="str">
        <f>M18</f>
        <v>C CHIBOUST PAMPLEMOUSSE | collez la--FAMILLE| Auteur &gt; VOUS</v>
      </c>
      <c r="N45" s="196">
        <f>N18</f>
        <v>18</v>
      </c>
      <c r="O45" s="197" t="str">
        <f>O18</f>
        <v>desserts</v>
      </c>
      <c r="P45" s="5388" t="str">
        <f>P18</f>
        <v>Recette mère ► Mille - feuille aux fraises des bois</v>
      </c>
      <c r="Q45" s="5275" t="s">
        <v>8565</v>
      </c>
      <c r="R45" s="1361"/>
      <c r="S45" s="1361"/>
      <c r="T45" s="1361"/>
      <c r="U45" s="1361"/>
      <c r="V45" s="1361"/>
      <c r="W45" s="1361"/>
      <c r="X45" s="1361"/>
      <c r="Y45" s="1361"/>
      <c r="Z45" s="5276"/>
      <c r="AA45" s="141"/>
      <c r="AB45" s="141"/>
      <c r="AC45" s="5273" t="s">
        <v>8017</v>
      </c>
      <c r="AD45" s="5278">
        <v>2.0833333333333332E-2</v>
      </c>
      <c r="AE45" s="4" t="s">
        <v>1</v>
      </c>
      <c r="AF45" s="6202" t="str">
        <f t="shared" si="18"/>
        <v>►</v>
      </c>
      <c r="AG45" s="6234" t="str">
        <f t="shared" si="19"/>
        <v/>
      </c>
      <c r="AH45" s="6732" t="str">
        <f t="shared" si="20"/>
        <v/>
      </c>
      <c r="AI45" s="6234" t="str">
        <f t="shared" si="21"/>
        <v/>
      </c>
      <c r="AJ45" s="6732" t="str">
        <f t="shared" si="22"/>
        <v/>
      </c>
      <c r="AK45" s="6732">
        <f t="shared" si="23"/>
        <v>0</v>
      </c>
      <c r="AL45" s="6230" t="str" cm="1">
        <f t="array" ref="AL45">IF(AF45&lt;&gt;"A","",IFERROR((IFERROR(_xlfn.XLOOKUP(TRIM(SUBSTITUTE(U45,CHAR(160)," ")),$BJ$15:$BJ$62,$BM$15:$BM$62),IFERROR(_xlfn.XLOOKUP(TRIM(SUBSTITUTE(U45,CHAR(160)," ")),$BK$15:$BK$62,$BM$15:$BM$62),_xlfn.XLOOKUP(TRIM(SUBSTITUTE(U45,CHAR(160)," ")),$BL$15:$BL$62,$BM$15:$BM$62))))*T45*IF(ISBLANK(Q45),1,Q45)+IFERROR(_xlfn.XLOOKUP("RECHERCHEX",TRIM(L45:AD45),L45:AD45),0),0))</f>
        <v/>
      </c>
      <c r="AM45" s="6229">
        <f t="shared" si="24"/>
        <v>0</v>
      </c>
      <c r="AN45" s="6857" t="str">
        <f t="shared" si="44"/>
        <v/>
      </c>
      <c r="AO45" s="392">
        <f t="shared" si="26"/>
        <v>0</v>
      </c>
      <c r="AP45" s="392">
        <f t="shared" si="27"/>
        <v>0</v>
      </c>
      <c r="AQ45" s="6191">
        <f t="shared" si="28"/>
        <v>0</v>
      </c>
      <c r="AR45" s="6859" t="str">
        <f t="shared" si="29"/>
        <v/>
      </c>
      <c r="AS45" s="6217"/>
      <c r="AT45" s="6217"/>
      <c r="AU45" s="6272">
        <f t="shared" si="30"/>
        <v>0</v>
      </c>
      <c r="AV45" s="6240">
        <f t="shared" si="31"/>
        <v>0</v>
      </c>
      <c r="AW45" s="6189" cm="1">
        <f t="array" ref="AW45">IF(AK45&lt;&gt;1,0,IF(OR(AU45="",N(AU45)&lt;=0.000000001),"",IF(OR(AO45="",N(AO45)&lt;=0.000000001),0,IF(ISNUMBER(AU45),IFERROR(_xlfn.LET(_xlpm.ai_test,TRIM(AJ45),_xlpm.r,IFERROR(_xlfn.XLOOKUP(_xlpm.ai_test,$BJ$15:$BJ$62,ROW($BJ$15:$BJ$62),0,1),IFERROR(_xlfn.XLOOKUP(_xlpm.ai_test,$BK$15:$BK$62,ROW($BK$15:$BK$62),0,1),_xlfn.XLOOKUP(_xlpm.ai_test,$BL$15:$BL$62,ROW($BL$15:$BL$62),0,1))),_xlpm.p,_xlpm.r-MIN(ROW($BJ$15:$BJ$62))+1,_xlpm.f,INDEX($BM$15:$BM$62,_xlpm.p),_xlpm.u,INDEX($BN$15:$BN$62,_xlpm.p),_xlpm.s,INDEX($BP$15:$BP$62,_xlpm.p),_xlpm.q,N(AU45)/_xlpm.f,IF(_xlpm.q&gt;=_xlpm.s,ROUND(_xlpm.q,1)&amp;" "&amp;_xlpm.ai_test&amp;" = "&amp;ROUND(_xlpm.q*_xlpm.f,1)&amp;" "&amp;_xlpm.u,ROUND(_xlpm.q,1)&amp;" "&amp;_xlpm.ai_test)),""),""))))</f>
        <v>0</v>
      </c>
      <c r="AX45" s="6218"/>
      <c r="AY45" s="6272">
        <f t="shared" si="32"/>
        <v>0</v>
      </c>
      <c r="AZ45" s="6240" t="str">
        <f t="shared" si="33"/>
        <v/>
      </c>
      <c r="BA45" s="6195">
        <f t="shared" si="40"/>
        <v>0</v>
      </c>
      <c r="BB45" s="6193" t="str">
        <f t="shared" si="34"/>
        <v/>
      </c>
      <c r="BC45" s="6219"/>
      <c r="BD45" s="6222">
        <f t="shared" si="42"/>
        <v>0</v>
      </c>
      <c r="BE45" s="6220" t="str">
        <f t="shared" si="36"/>
        <v/>
      </c>
      <c r="BF45" s="4" t="s">
        <v>1</v>
      </c>
      <c r="BG45" s="6196">
        <f t="shared" si="37"/>
        <v>0</v>
      </c>
      <c r="BH45" s="6197">
        <f t="shared" si="38"/>
        <v>0</v>
      </c>
      <c r="BI45" s="187"/>
      <c r="BJ45" s="6289" t="s">
        <v>8015</v>
      </c>
      <c r="BK45" s="6289" t="s">
        <v>9639</v>
      </c>
      <c r="BL45" s="6289" t="s">
        <v>9640</v>
      </c>
      <c r="BM45" s="6304">
        <f t="shared" si="43"/>
        <v>0.23</v>
      </c>
      <c r="BN45" s="240" t="s">
        <v>111</v>
      </c>
      <c r="BO45" s="240" t="s">
        <v>8773</v>
      </c>
      <c r="BP45" s="223">
        <f t="shared" si="41"/>
        <v>4</v>
      </c>
      <c r="BQ45" s="276">
        <v>230</v>
      </c>
      <c r="BR45" s="187"/>
      <c r="BS45" s="187"/>
      <c r="BT45" s="187"/>
      <c r="BU45" s="187"/>
      <c r="BV45" s="187"/>
      <c r="BW45" s="187"/>
      <c r="BX45" s="20" t="str">
        <f t="shared" si="12"/>
        <v>►</v>
      </c>
      <c r="BY45" s="6938" t="s">
        <v>8679</v>
      </c>
      <c r="BZ45" s="6938"/>
      <c r="CA45" s="6938"/>
      <c r="CB45" s="6938"/>
      <c r="CC45" s="6938"/>
      <c r="CD45" s="5661"/>
      <c r="CE45" s="5910" t="s">
        <v>9641</v>
      </c>
      <c r="CF45" s="141"/>
      <c r="CG45" s="141"/>
      <c r="CH45" s="141"/>
      <c r="CI45" s="141"/>
      <c r="CJ45" s="141"/>
      <c r="CK45" s="409"/>
      <c r="CM45" s="5910" t="s">
        <v>8785</v>
      </c>
      <c r="CN45" s="141"/>
      <c r="CO45" s="141"/>
      <c r="CP45" s="141"/>
      <c r="CQ45" s="141"/>
      <c r="CR45" s="141"/>
      <c r="CS45" s="409"/>
      <c r="CU45" s="5910" t="s">
        <v>8798</v>
      </c>
      <c r="CV45" s="141"/>
      <c r="CW45" s="141"/>
      <c r="CX45" s="141"/>
      <c r="CY45" s="141"/>
      <c r="CZ45" s="141"/>
      <c r="DA45" s="409"/>
      <c r="DC45" s="5">
        <v>1</v>
      </c>
    </row>
    <row r="46" spans="1:107" s="1" customFormat="1" ht="21" customHeight="1">
      <c r="A46" s="5641" t="s">
        <v>1</v>
      </c>
      <c r="B46" s="5662" t="str">
        <f t="shared" si="11"/>
        <v>A</v>
      </c>
      <c r="C46" s="5825" cm="1">
        <f t="array" ref="C46">SUMPRODUCT(LEN(D46:J46))</f>
        <v>0</v>
      </c>
      <c r="D46" s="5275"/>
      <c r="E46" s="1361"/>
      <c r="F46" s="1361"/>
      <c r="G46" s="1361"/>
      <c r="H46" s="1361"/>
      <c r="I46" s="1361"/>
      <c r="J46" s="5276"/>
      <c r="K46" s="106"/>
      <c r="L46" s="1021" t="str">
        <f t="shared" si="46"/>
        <v>A</v>
      </c>
      <c r="M46" s="196" t="str">
        <f>M18</f>
        <v>C CHIBOUST PAMPLEMOUSSE | collez la--FAMILLE| Auteur &gt; VOUS</v>
      </c>
      <c r="N46" s="196">
        <f>N18</f>
        <v>18</v>
      </c>
      <c r="O46" s="197" t="str">
        <f>O18</f>
        <v>desserts</v>
      </c>
      <c r="P46" s="5388" t="str">
        <f>P18</f>
        <v>Recette mère ► Mille - feuille aux fraises des bois</v>
      </c>
      <c r="Q46" s="5275" t="s">
        <v>8566</v>
      </c>
      <c r="R46" s="1361"/>
      <c r="S46" s="1361"/>
      <c r="T46" s="1361"/>
      <c r="U46" s="1361"/>
      <c r="V46" s="1361"/>
      <c r="W46" s="1361"/>
      <c r="X46" s="1361"/>
      <c r="Y46" s="1361"/>
      <c r="Z46" s="5276"/>
      <c r="AA46" s="141"/>
      <c r="AB46" s="141"/>
      <c r="AC46" s="5279" t="s">
        <v>37</v>
      </c>
      <c r="AD46" s="5280">
        <f>AD43+AD44+AD45</f>
        <v>3.4722222222222224E-2</v>
      </c>
      <c r="AE46" s="4" t="s">
        <v>1</v>
      </c>
      <c r="AF46" s="6202" t="str">
        <f t="shared" si="18"/>
        <v>►</v>
      </c>
      <c r="AG46" s="6234" t="str">
        <f t="shared" si="19"/>
        <v/>
      </c>
      <c r="AH46" s="6732" t="str">
        <f t="shared" si="20"/>
        <v/>
      </c>
      <c r="AI46" s="6234" t="str">
        <f t="shared" si="21"/>
        <v/>
      </c>
      <c r="AJ46" s="6732" t="str">
        <f t="shared" si="22"/>
        <v/>
      </c>
      <c r="AK46" s="6732">
        <f t="shared" si="23"/>
        <v>0</v>
      </c>
      <c r="AL46" s="6230" t="str" cm="1">
        <f t="array" ref="AL46">IF(AF46&lt;&gt;"A","",IFERROR((IFERROR(_xlfn.XLOOKUP(TRIM(SUBSTITUTE(U46,CHAR(160)," ")),$BJ$15:$BJ$62,$BM$15:$BM$62),IFERROR(_xlfn.XLOOKUP(TRIM(SUBSTITUTE(U46,CHAR(160)," ")),$BK$15:$BK$62,$BM$15:$BM$62),_xlfn.XLOOKUP(TRIM(SUBSTITUTE(U46,CHAR(160)," ")),$BL$15:$BL$62,$BM$15:$BM$62))))*T46*IF(ISBLANK(Q46),1,Q46)+IFERROR(_xlfn.XLOOKUP("RECHERCHEX",TRIM(L46:AD46),L46:AD46),0),0))</f>
        <v/>
      </c>
      <c r="AM46" s="6229">
        <f t="shared" si="24"/>
        <v>0</v>
      </c>
      <c r="AN46" s="6857" t="str">
        <f t="shared" si="44"/>
        <v/>
      </c>
      <c r="AO46" s="392">
        <f t="shared" si="26"/>
        <v>0</v>
      </c>
      <c r="AP46" s="392">
        <f t="shared" si="27"/>
        <v>0</v>
      </c>
      <c r="AQ46" s="6190">
        <f t="shared" si="28"/>
        <v>0</v>
      </c>
      <c r="AR46" s="6858" t="str">
        <f t="shared" si="29"/>
        <v/>
      </c>
      <c r="AS46" s="6217"/>
      <c r="AT46" s="6217"/>
      <c r="AU46" s="6271">
        <f t="shared" si="30"/>
        <v>0</v>
      </c>
      <c r="AV46" s="6242">
        <f t="shared" si="31"/>
        <v>0</v>
      </c>
      <c r="AW46" s="6188" cm="1">
        <f t="array" ref="AW46">IF(AK46&lt;&gt;1,0,IF(OR(AU46="",N(AU46)&lt;=0.000000001),"",IF(OR(AO46="",N(AO46)&lt;=0.000000001),0,IF(ISNUMBER(AU46),IFERROR(_xlfn.LET(_xlpm.ai_test,TRIM(AJ46),_xlpm.r,IFERROR(_xlfn.XLOOKUP(_xlpm.ai_test,$BJ$15:$BJ$62,ROW($BJ$15:$BJ$62),0,1),IFERROR(_xlfn.XLOOKUP(_xlpm.ai_test,$BK$15:$BK$62,ROW($BK$15:$BK$62),0,1),_xlfn.XLOOKUP(_xlpm.ai_test,$BL$15:$BL$62,ROW($BL$15:$BL$62),0,1))),_xlpm.p,_xlpm.r-MIN(ROW($BJ$15:$BJ$62))+1,_xlpm.f,INDEX($BM$15:$BM$62,_xlpm.p),_xlpm.u,INDEX($BN$15:$BN$62,_xlpm.p),_xlpm.s,INDEX($BP$15:$BP$62,_xlpm.p),_xlpm.q,N(AU46)/_xlpm.f,IF(_xlpm.q&gt;=_xlpm.s,ROUND(_xlpm.q,1)&amp;" "&amp;_xlpm.ai_test&amp;" = "&amp;ROUND(_xlpm.q*_xlpm.f,1)&amp;" "&amp;_xlpm.u,ROUND(_xlpm.q,1)&amp;" "&amp;_xlpm.ai_test)),""),""))))</f>
        <v>0</v>
      </c>
      <c r="AX46" s="6218"/>
      <c r="AY46" s="6271">
        <f t="shared" si="32"/>
        <v>0</v>
      </c>
      <c r="AZ46" s="6242" t="str">
        <f t="shared" si="33"/>
        <v/>
      </c>
      <c r="BA46" s="6194">
        <f t="shared" si="40"/>
        <v>0</v>
      </c>
      <c r="BB46" s="6192" t="str">
        <f t="shared" si="34"/>
        <v/>
      </c>
      <c r="BC46" s="6219"/>
      <c r="BD46" s="6221">
        <f t="shared" si="42"/>
        <v>0</v>
      </c>
      <c r="BE46" s="6220" t="str">
        <f t="shared" si="36"/>
        <v/>
      </c>
      <c r="BF46" s="4" t="s">
        <v>1</v>
      </c>
      <c r="BG46" s="6196">
        <f t="shared" si="37"/>
        <v>0</v>
      </c>
      <c r="BH46" s="6197">
        <f t="shared" si="38"/>
        <v>0</v>
      </c>
      <c r="BI46" s="187"/>
      <c r="BJ46" s="6289" t="s">
        <v>113</v>
      </c>
      <c r="BK46" s="6289" t="s">
        <v>9642</v>
      </c>
      <c r="BL46" s="6289" t="s">
        <v>9643</v>
      </c>
      <c r="BM46" s="6304">
        <f t="shared" si="43"/>
        <v>0.13</v>
      </c>
      <c r="BN46" s="240" t="s">
        <v>111</v>
      </c>
      <c r="BO46" s="240" t="s">
        <v>8773</v>
      </c>
      <c r="BP46" s="223">
        <f t="shared" si="41"/>
        <v>8</v>
      </c>
      <c r="BQ46" s="239">
        <v>130</v>
      </c>
      <c r="BR46" s="187"/>
      <c r="BS46" s="187"/>
      <c r="BT46" s="187"/>
      <c r="BU46" s="187"/>
      <c r="BV46" s="187"/>
      <c r="BW46" s="187"/>
      <c r="BX46" s="20" t="str">
        <f t="shared" si="12"/>
        <v>►</v>
      </c>
      <c r="BY46" s="6938"/>
      <c r="BZ46" s="6938"/>
      <c r="CA46" s="6938"/>
      <c r="CB46" s="6938"/>
      <c r="CC46" s="6938"/>
      <c r="CD46" s="5661"/>
      <c r="CE46" s="5910" t="s">
        <v>9644</v>
      </c>
      <c r="CF46" s="141"/>
      <c r="CG46" s="141"/>
      <c r="CH46" s="141"/>
      <c r="CI46" s="141"/>
      <c r="CJ46" s="141"/>
      <c r="CK46" s="409"/>
      <c r="CM46" s="5910" t="s">
        <v>8786</v>
      </c>
      <c r="CN46" s="141"/>
      <c r="CO46" s="141"/>
      <c r="CP46" s="141"/>
      <c r="CQ46" s="141"/>
      <c r="CR46" s="141"/>
      <c r="CS46" s="409"/>
      <c r="CU46" s="5910" t="s">
        <v>8799</v>
      </c>
      <c r="CV46" s="141"/>
      <c r="CW46" s="141"/>
      <c r="CX46" s="141"/>
      <c r="CY46" s="141"/>
      <c r="CZ46" s="141"/>
      <c r="DA46" s="409"/>
      <c r="DC46" s="5">
        <v>1</v>
      </c>
    </row>
    <row r="47" spans="1:107" s="1" customFormat="1" ht="21" customHeight="1">
      <c r="A47" s="5641" t="s">
        <v>1</v>
      </c>
      <c r="B47" s="5662" t="str">
        <f t="shared" si="11"/>
        <v>A</v>
      </c>
      <c r="C47" s="5825" cm="1">
        <f t="array" ref="C47">SUMPRODUCT(LEN(D47:J47))</f>
        <v>0</v>
      </c>
      <c r="D47" s="5275"/>
      <c r="E47" s="1361"/>
      <c r="F47" s="1361"/>
      <c r="G47" s="1361"/>
      <c r="H47" s="1361"/>
      <c r="I47" s="1361"/>
      <c r="J47" s="5276"/>
      <c r="K47" s="106"/>
      <c r="L47" s="1021" t="str">
        <f t="shared" si="46"/>
        <v>A</v>
      </c>
      <c r="M47" s="196" t="str">
        <f>M18</f>
        <v>C CHIBOUST PAMPLEMOUSSE | collez la--FAMILLE| Auteur &gt; VOUS</v>
      </c>
      <c r="N47" s="196">
        <f>N18</f>
        <v>18</v>
      </c>
      <c r="O47" s="197" t="str">
        <f>O18</f>
        <v>desserts</v>
      </c>
      <c r="P47" s="5388" t="str">
        <f>P18</f>
        <v>Recette mère ► Mille - feuille aux fraises des bois</v>
      </c>
      <c r="Q47" s="5275" t="s">
        <v>8567</v>
      </c>
      <c r="R47" s="1361"/>
      <c r="S47" s="1361"/>
      <c r="T47" s="1361"/>
      <c r="U47" s="1361"/>
      <c r="V47" s="1361"/>
      <c r="W47" s="1361"/>
      <c r="X47" s="1361"/>
      <c r="Y47" s="1361"/>
      <c r="Z47" s="5276"/>
      <c r="AA47" s="6896" t="s">
        <v>10041</v>
      </c>
      <c r="AB47" s="6897"/>
      <c r="AC47" s="6897"/>
      <c r="AD47" s="6898"/>
      <c r="AE47" s="4" t="s">
        <v>1</v>
      </c>
      <c r="AF47" s="6202" t="str">
        <f t="shared" si="18"/>
        <v>►</v>
      </c>
      <c r="AG47" s="6234" t="str">
        <f t="shared" si="19"/>
        <v/>
      </c>
      <c r="AH47" s="6732" t="str">
        <f t="shared" si="20"/>
        <v/>
      </c>
      <c r="AI47" s="6234" t="str">
        <f t="shared" si="21"/>
        <v/>
      </c>
      <c r="AJ47" s="6732" t="str">
        <f t="shared" si="22"/>
        <v/>
      </c>
      <c r="AK47" s="6732">
        <f t="shared" si="23"/>
        <v>0</v>
      </c>
      <c r="AL47" s="6230" t="str" cm="1">
        <f t="array" ref="AL47">IF(AF47&lt;&gt;"A","",IFERROR((IFERROR(_xlfn.XLOOKUP(TRIM(SUBSTITUTE(U47,CHAR(160)," ")),$BJ$15:$BJ$62,$BM$15:$BM$62),IFERROR(_xlfn.XLOOKUP(TRIM(SUBSTITUTE(U47,CHAR(160)," ")),$BK$15:$BK$62,$BM$15:$BM$62),_xlfn.XLOOKUP(TRIM(SUBSTITUTE(U47,CHAR(160)," ")),$BL$15:$BL$62,$BM$15:$BM$62))))*T47*IF(ISBLANK(Q47),1,Q47)+IFERROR(_xlfn.XLOOKUP("RECHERCHEX",TRIM(L47:AD47),L47:AD47),0),0))</f>
        <v/>
      </c>
      <c r="AM47" s="6229">
        <f t="shared" si="24"/>
        <v>0</v>
      </c>
      <c r="AN47" s="6857" t="str">
        <f t="shared" si="44"/>
        <v/>
      </c>
      <c r="AO47" s="392">
        <f t="shared" si="26"/>
        <v>0</v>
      </c>
      <c r="AP47" s="392">
        <f t="shared" si="27"/>
        <v>0</v>
      </c>
      <c r="AQ47" s="6191">
        <f t="shared" si="28"/>
        <v>0</v>
      </c>
      <c r="AR47" s="6859" t="str">
        <f t="shared" si="29"/>
        <v/>
      </c>
      <c r="AS47" s="6217"/>
      <c r="AT47" s="6217"/>
      <c r="AU47" s="6272">
        <f t="shared" si="30"/>
        <v>0</v>
      </c>
      <c r="AV47" s="6240">
        <f t="shared" si="31"/>
        <v>0</v>
      </c>
      <c r="AW47" s="6189" cm="1">
        <f t="array" ref="AW47">IF(AK47&lt;&gt;1,0,IF(OR(AU47="",N(AU47)&lt;=0.000000001),"",IF(OR(AO47="",N(AO47)&lt;=0.000000001),0,IF(ISNUMBER(AU47),IFERROR(_xlfn.LET(_xlpm.ai_test,TRIM(AJ47),_xlpm.r,IFERROR(_xlfn.XLOOKUP(_xlpm.ai_test,$BJ$15:$BJ$62,ROW($BJ$15:$BJ$62),0,1),IFERROR(_xlfn.XLOOKUP(_xlpm.ai_test,$BK$15:$BK$62,ROW($BK$15:$BK$62),0,1),_xlfn.XLOOKUP(_xlpm.ai_test,$BL$15:$BL$62,ROW($BL$15:$BL$62),0,1))),_xlpm.p,_xlpm.r-MIN(ROW($BJ$15:$BJ$62))+1,_xlpm.f,INDEX($BM$15:$BM$62,_xlpm.p),_xlpm.u,INDEX($BN$15:$BN$62,_xlpm.p),_xlpm.s,INDEX($BP$15:$BP$62,_xlpm.p),_xlpm.q,N(AU47)/_xlpm.f,IF(_xlpm.q&gt;=_xlpm.s,ROUND(_xlpm.q,1)&amp;" "&amp;_xlpm.ai_test&amp;" = "&amp;ROUND(_xlpm.q*_xlpm.f,1)&amp;" "&amp;_xlpm.u,ROUND(_xlpm.q,1)&amp;" "&amp;_xlpm.ai_test)),""),""))))</f>
        <v>0</v>
      </c>
      <c r="AX47" s="6218"/>
      <c r="AY47" s="6272">
        <f t="shared" si="32"/>
        <v>0</v>
      </c>
      <c r="AZ47" s="6240" t="str">
        <f t="shared" si="33"/>
        <v/>
      </c>
      <c r="BA47" s="6195">
        <f t="shared" si="40"/>
        <v>0</v>
      </c>
      <c r="BB47" s="6193" t="str">
        <f t="shared" si="34"/>
        <v/>
      </c>
      <c r="BC47" s="6219"/>
      <c r="BD47" s="6222">
        <f t="shared" si="42"/>
        <v>0</v>
      </c>
      <c r="BE47" s="6220" t="str">
        <f t="shared" si="36"/>
        <v/>
      </c>
      <c r="BF47" s="4" t="s">
        <v>1</v>
      </c>
      <c r="BG47" s="6196">
        <f t="shared" si="37"/>
        <v>0</v>
      </c>
      <c r="BH47" s="6197">
        <f t="shared" si="38"/>
        <v>0</v>
      </c>
      <c r="BI47" s="187"/>
      <c r="BJ47" s="6289" t="s">
        <v>112</v>
      </c>
      <c r="BK47" s="6289" t="s">
        <v>9645</v>
      </c>
      <c r="BL47" s="6289" t="s">
        <v>9646</v>
      </c>
      <c r="BM47" s="6304">
        <f t="shared" si="43"/>
        <v>0.2</v>
      </c>
      <c r="BN47" s="240" t="s">
        <v>111</v>
      </c>
      <c r="BO47" s="240" t="s">
        <v>8773</v>
      </c>
      <c r="BP47" s="223">
        <f t="shared" si="41"/>
        <v>5</v>
      </c>
      <c r="BQ47" s="239">
        <v>200</v>
      </c>
      <c r="BR47" s="187"/>
      <c r="BS47" s="187"/>
      <c r="BT47" s="187"/>
      <c r="BU47" s="187"/>
      <c r="BV47" s="187"/>
      <c r="BW47" s="187"/>
      <c r="BX47" s="20" t="str">
        <f t="shared" si="12"/>
        <v>►</v>
      </c>
      <c r="BY47" s="5819"/>
      <c r="BZ47" s="228"/>
      <c r="CA47" s="228"/>
      <c r="CB47" s="227"/>
      <c r="CC47" s="227"/>
      <c r="CD47" s="5661"/>
      <c r="CE47" s="5912" t="s">
        <v>9647</v>
      </c>
      <c r="CF47" s="141"/>
      <c r="CG47" s="141"/>
      <c r="CH47" s="141"/>
      <c r="CI47" s="141"/>
      <c r="CJ47" s="141"/>
      <c r="CK47" s="409"/>
      <c r="CM47" s="5912" t="s">
        <v>8811</v>
      </c>
      <c r="CN47" s="141"/>
      <c r="CO47" s="141"/>
      <c r="CP47" s="141"/>
      <c r="CQ47" s="141"/>
      <c r="CR47" s="141"/>
      <c r="CS47" s="409"/>
      <c r="CU47" s="5912" t="s">
        <v>8823</v>
      </c>
      <c r="CV47" s="141"/>
      <c r="CW47" s="141"/>
      <c r="CX47" s="141"/>
      <c r="CY47" s="141"/>
      <c r="CZ47" s="141"/>
      <c r="DA47" s="409"/>
      <c r="DC47" s="5">
        <v>1</v>
      </c>
    </row>
    <row r="48" spans="1:107" s="1" customFormat="1" ht="21" customHeight="1">
      <c r="A48" s="5641" t="s">
        <v>1</v>
      </c>
      <c r="B48" s="5662" t="str">
        <f t="shared" si="11"/>
        <v>A</v>
      </c>
      <c r="C48" s="5825" cm="1">
        <f t="array" ref="C48">SUMPRODUCT(LEN(D48:J48))</f>
        <v>0</v>
      </c>
      <c r="D48" s="5275"/>
      <c r="E48" s="1361"/>
      <c r="F48" s="1361"/>
      <c r="G48" s="1361"/>
      <c r="H48" s="1361"/>
      <c r="I48" s="1361"/>
      <c r="J48" s="5276"/>
      <c r="K48" s="106"/>
      <c r="L48" s="1021" t="str">
        <f t="shared" si="46"/>
        <v>A</v>
      </c>
      <c r="M48" s="196" t="str">
        <f>M18</f>
        <v>C CHIBOUST PAMPLEMOUSSE | collez la--FAMILLE| Auteur &gt; VOUS</v>
      </c>
      <c r="N48" s="196">
        <f>N18</f>
        <v>18</v>
      </c>
      <c r="O48" s="197" t="str">
        <f>O18</f>
        <v>desserts</v>
      </c>
      <c r="P48" s="5388" t="str">
        <f>P18</f>
        <v>Recette mère ► Mille - feuille aux fraises des bois</v>
      </c>
      <c r="Q48" s="5275" t="s">
        <v>8568</v>
      </c>
      <c r="R48" s="1361"/>
      <c r="S48" s="1361"/>
      <c r="T48" s="1361"/>
      <c r="U48" s="1361"/>
      <c r="V48" s="1361"/>
      <c r="W48" s="1361"/>
      <c r="X48" s="1361"/>
      <c r="Y48" s="1361"/>
      <c r="Z48" s="5276"/>
      <c r="AA48" s="6205" t="s">
        <v>8018</v>
      </c>
      <c r="AB48" s="147"/>
      <c r="AC48" s="6808" t="s">
        <v>8019</v>
      </c>
      <c r="AD48" s="6208">
        <f>AA51*AA49</f>
        <v>225</v>
      </c>
      <c r="AE48" s="4" t="s">
        <v>1</v>
      </c>
      <c r="AF48" s="6202" t="str">
        <f t="shared" si="18"/>
        <v>►</v>
      </c>
      <c r="AG48" s="6234" t="str">
        <f t="shared" si="19"/>
        <v/>
      </c>
      <c r="AH48" s="6732" t="str">
        <f t="shared" si="20"/>
        <v/>
      </c>
      <c r="AI48" s="6234" t="str">
        <f t="shared" si="21"/>
        <v/>
      </c>
      <c r="AJ48" s="6732" t="str">
        <f t="shared" si="22"/>
        <v/>
      </c>
      <c r="AK48" s="6732">
        <f t="shared" si="23"/>
        <v>0</v>
      </c>
      <c r="AL48" s="6230" t="str" cm="1">
        <f t="array" ref="AL48">IF(AF48&lt;&gt;"A","",IFERROR((IFERROR(_xlfn.XLOOKUP(TRIM(SUBSTITUTE(U48,CHAR(160)," ")),$BJ$15:$BJ$62,$BM$15:$BM$62),IFERROR(_xlfn.XLOOKUP(TRIM(SUBSTITUTE(U48,CHAR(160)," ")),$BK$15:$BK$62,$BM$15:$BM$62),_xlfn.XLOOKUP(TRIM(SUBSTITUTE(U48,CHAR(160)," ")),$BL$15:$BL$62,$BM$15:$BM$62))))*T48*IF(ISBLANK(Q48),1,Q48)+IFERROR(_xlfn.XLOOKUP("RECHERCHEX",TRIM(L48:AD48),L48:AD48),0),0))</f>
        <v/>
      </c>
      <c r="AM48" s="6229">
        <f t="shared" si="24"/>
        <v>0</v>
      </c>
      <c r="AN48" s="6857" t="str">
        <f t="shared" si="44"/>
        <v/>
      </c>
      <c r="AO48" s="392">
        <f t="shared" si="26"/>
        <v>0</v>
      </c>
      <c r="AP48" s="392">
        <f t="shared" si="27"/>
        <v>0</v>
      </c>
      <c r="AQ48" s="6190">
        <f t="shared" si="28"/>
        <v>0</v>
      </c>
      <c r="AR48" s="6858" t="str">
        <f t="shared" si="29"/>
        <v/>
      </c>
      <c r="AS48" s="6217"/>
      <c r="AT48" s="6217"/>
      <c r="AU48" s="6271">
        <f t="shared" si="30"/>
        <v>0</v>
      </c>
      <c r="AV48" s="6242">
        <f t="shared" si="31"/>
        <v>0</v>
      </c>
      <c r="AW48" s="6188" cm="1">
        <f t="array" ref="AW48">IF(AK48&lt;&gt;1,0,IF(OR(AU48="",N(AU48)&lt;=0.000000001),"",IF(OR(AO48="",N(AO48)&lt;=0.000000001),0,IF(ISNUMBER(AU48),IFERROR(_xlfn.LET(_xlpm.ai_test,TRIM(AJ48),_xlpm.r,IFERROR(_xlfn.XLOOKUP(_xlpm.ai_test,$BJ$15:$BJ$62,ROW($BJ$15:$BJ$62),0,1),IFERROR(_xlfn.XLOOKUP(_xlpm.ai_test,$BK$15:$BK$62,ROW($BK$15:$BK$62),0,1),_xlfn.XLOOKUP(_xlpm.ai_test,$BL$15:$BL$62,ROW($BL$15:$BL$62),0,1))),_xlpm.p,_xlpm.r-MIN(ROW($BJ$15:$BJ$62))+1,_xlpm.f,INDEX($BM$15:$BM$62,_xlpm.p),_xlpm.u,INDEX($BN$15:$BN$62,_xlpm.p),_xlpm.s,INDEX($BP$15:$BP$62,_xlpm.p),_xlpm.q,N(AU48)/_xlpm.f,IF(_xlpm.q&gt;=_xlpm.s,ROUND(_xlpm.q,1)&amp;" "&amp;_xlpm.ai_test&amp;" = "&amp;ROUND(_xlpm.q*_xlpm.f,1)&amp;" "&amp;_xlpm.u,ROUND(_xlpm.q,1)&amp;" "&amp;_xlpm.ai_test)),""),""))))</f>
        <v>0</v>
      </c>
      <c r="AX48" s="6218"/>
      <c r="AY48" s="6271">
        <f t="shared" si="32"/>
        <v>0</v>
      </c>
      <c r="AZ48" s="6242" t="str">
        <f t="shared" si="33"/>
        <v/>
      </c>
      <c r="BA48" s="6194">
        <f t="shared" si="40"/>
        <v>0</v>
      </c>
      <c r="BB48" s="6192" t="str">
        <f t="shared" si="34"/>
        <v/>
      </c>
      <c r="BC48" s="6219"/>
      <c r="BD48" s="6221">
        <f t="shared" si="42"/>
        <v>0</v>
      </c>
      <c r="BE48" s="6220" t="str">
        <f t="shared" si="36"/>
        <v/>
      </c>
      <c r="BF48" s="4" t="s">
        <v>1</v>
      </c>
      <c r="BG48" s="6196">
        <f t="shared" si="37"/>
        <v>0</v>
      </c>
      <c r="BH48" s="6197">
        <f t="shared" si="38"/>
        <v>0</v>
      </c>
      <c r="BI48" s="187"/>
      <c r="BJ48" s="6705" t="s">
        <v>110</v>
      </c>
      <c r="BK48" s="6755" t="s">
        <v>9691</v>
      </c>
      <c r="BL48" s="6755" t="s">
        <v>9648</v>
      </c>
      <c r="BM48" s="6304">
        <f t="shared" si="43"/>
        <v>1E-3</v>
      </c>
      <c r="BN48" s="6274" t="s">
        <v>8766</v>
      </c>
      <c r="BO48" s="6274" t="s">
        <v>8774</v>
      </c>
      <c r="BP48" s="223">
        <f t="shared" si="41"/>
        <v>1000</v>
      </c>
      <c r="BQ48" s="222">
        <v>1</v>
      </c>
      <c r="BR48" s="187"/>
      <c r="BS48" s="187"/>
      <c r="BT48" s="187"/>
      <c r="BU48" s="187"/>
      <c r="BV48" s="187"/>
      <c r="BW48" s="187"/>
      <c r="BX48" s="20" t="str">
        <f t="shared" si="12"/>
        <v>►</v>
      </c>
      <c r="BY48" s="6938" t="s">
        <v>8680</v>
      </c>
      <c r="BZ48" s="6938"/>
      <c r="CA48" s="6938"/>
      <c r="CB48" s="6938"/>
      <c r="CC48" s="6938"/>
      <c r="CD48" s="5661"/>
      <c r="CE48" s="5912" t="s">
        <v>9649</v>
      </c>
      <c r="CF48" s="141"/>
      <c r="CG48" s="141"/>
      <c r="CH48" s="141"/>
      <c r="CI48" s="141"/>
      <c r="CJ48" s="141"/>
      <c r="CK48" s="409"/>
      <c r="CM48" s="5912" t="s">
        <v>8812</v>
      </c>
      <c r="CN48" s="141"/>
      <c r="CO48" s="141"/>
      <c r="CP48" s="141"/>
      <c r="CQ48" s="141"/>
      <c r="CR48" s="141"/>
      <c r="CS48" s="409"/>
      <c r="CU48" s="5912" t="s">
        <v>8824</v>
      </c>
      <c r="CV48" s="141"/>
      <c r="CW48" s="141"/>
      <c r="CX48" s="141"/>
      <c r="CY48" s="141"/>
      <c r="CZ48" s="141"/>
      <c r="DA48" s="409"/>
      <c r="DC48" s="5">
        <v>1</v>
      </c>
    </row>
    <row r="49" spans="1:107" s="1" customFormat="1" ht="21" customHeight="1">
      <c r="A49" s="5641" t="s">
        <v>1</v>
      </c>
      <c r="B49" s="5662" t="str">
        <f t="shared" si="11"/>
        <v>►</v>
      </c>
      <c r="C49" s="5825" cm="1">
        <f t="array" ref="C49">SUMPRODUCT(LEN(D49:J49))</f>
        <v>0</v>
      </c>
      <c r="D49" s="5275"/>
      <c r="E49" s="1361"/>
      <c r="F49" s="1361"/>
      <c r="G49" s="1361"/>
      <c r="H49" s="1361"/>
      <c r="I49" s="1361"/>
      <c r="J49" s="5276"/>
      <c r="K49" s="106"/>
      <c r="L49" s="1021" t="str">
        <f t="shared" si="46"/>
        <v>►</v>
      </c>
      <c r="M49" s="196" t="str">
        <f>M18</f>
        <v>C CHIBOUST PAMPLEMOUSSE | collez la--FAMILLE| Auteur &gt; VOUS</v>
      </c>
      <c r="N49" s="196">
        <f>N18</f>
        <v>18</v>
      </c>
      <c r="O49" s="197" t="str">
        <f>O18</f>
        <v>desserts</v>
      </c>
      <c r="P49" s="5388" t="str">
        <f>P18</f>
        <v>Recette mère ► Mille - feuille aux fraises des bois</v>
      </c>
      <c r="Q49" s="5275"/>
      <c r="R49" s="1361"/>
      <c r="S49" s="1361"/>
      <c r="T49" s="1361"/>
      <c r="U49" s="1361"/>
      <c r="V49" s="1361"/>
      <c r="W49" s="1361"/>
      <c r="X49" s="1361"/>
      <c r="Y49" s="1361"/>
      <c r="Z49" s="5276"/>
      <c r="AA49" s="6206">
        <v>150</v>
      </c>
      <c r="AB49" s="4691" t="s">
        <v>8358</v>
      </c>
      <c r="AC49" s="6899" t="s">
        <v>3167</v>
      </c>
      <c r="AD49" s="6900"/>
      <c r="AE49" s="4" t="s">
        <v>1</v>
      </c>
      <c r="AF49" s="6202" t="str">
        <f t="shared" si="18"/>
        <v>►</v>
      </c>
      <c r="AG49" s="6234" t="str">
        <f t="shared" si="19"/>
        <v/>
      </c>
      <c r="AH49" s="6732" t="str">
        <f t="shared" si="20"/>
        <v/>
      </c>
      <c r="AI49" s="6234" t="str">
        <f t="shared" si="21"/>
        <v/>
      </c>
      <c r="AJ49" s="6732" t="str">
        <f t="shared" si="22"/>
        <v/>
      </c>
      <c r="AK49" s="6732">
        <f t="shared" si="23"/>
        <v>0</v>
      </c>
      <c r="AL49" s="6230" t="str" cm="1">
        <f t="array" ref="AL49">IF(AF49&lt;&gt;"A","",IFERROR((IFERROR(_xlfn.XLOOKUP(TRIM(SUBSTITUTE(U49,CHAR(160)," ")),$BJ$15:$BJ$62,$BM$15:$BM$62),IFERROR(_xlfn.XLOOKUP(TRIM(SUBSTITUTE(U49,CHAR(160)," ")),$BK$15:$BK$62,$BM$15:$BM$62),_xlfn.XLOOKUP(TRIM(SUBSTITUTE(U49,CHAR(160)," ")),$BL$15:$BL$62,$BM$15:$BM$62))))*T49*IF(ISBLANK(Q49),1,Q49)+IFERROR(_xlfn.XLOOKUP("RECHERCHEX",TRIM(L49:AD49),L49:AD49),0),0))</f>
        <v/>
      </c>
      <c r="AM49" s="6229">
        <f t="shared" si="24"/>
        <v>0</v>
      </c>
      <c r="AN49" s="6857" t="str">
        <f t="shared" si="44"/>
        <v/>
      </c>
      <c r="AO49" s="392">
        <f t="shared" si="26"/>
        <v>0</v>
      </c>
      <c r="AP49" s="392">
        <f t="shared" si="27"/>
        <v>0</v>
      </c>
      <c r="AQ49" s="6191">
        <f t="shared" si="28"/>
        <v>0</v>
      </c>
      <c r="AR49" s="6859" t="str">
        <f t="shared" si="29"/>
        <v/>
      </c>
      <c r="AS49" s="6217"/>
      <c r="AT49" s="6217"/>
      <c r="AU49" s="6272">
        <f t="shared" si="30"/>
        <v>0</v>
      </c>
      <c r="AV49" s="6240">
        <f t="shared" si="31"/>
        <v>0</v>
      </c>
      <c r="AW49" s="6189" cm="1">
        <f t="array" ref="AW49">IF(AK49&lt;&gt;1,0,IF(OR(AU49="",N(AU49)&lt;=0.000000001),"",IF(OR(AO49="",N(AO49)&lt;=0.000000001),0,IF(ISNUMBER(AU49),IFERROR(_xlfn.LET(_xlpm.ai_test,TRIM(AJ49),_xlpm.r,IFERROR(_xlfn.XLOOKUP(_xlpm.ai_test,$BJ$15:$BJ$62,ROW($BJ$15:$BJ$62),0,1),IFERROR(_xlfn.XLOOKUP(_xlpm.ai_test,$BK$15:$BK$62,ROW($BK$15:$BK$62),0,1),_xlfn.XLOOKUP(_xlpm.ai_test,$BL$15:$BL$62,ROW($BL$15:$BL$62),0,1))),_xlpm.p,_xlpm.r-MIN(ROW($BJ$15:$BJ$62))+1,_xlpm.f,INDEX($BM$15:$BM$62,_xlpm.p),_xlpm.u,INDEX($BN$15:$BN$62,_xlpm.p),_xlpm.s,INDEX($BP$15:$BP$62,_xlpm.p),_xlpm.q,N(AU49)/_xlpm.f,IF(_xlpm.q&gt;=_xlpm.s,ROUND(_xlpm.q,1)&amp;" "&amp;_xlpm.ai_test&amp;" = "&amp;ROUND(_xlpm.q*_xlpm.f,1)&amp;" "&amp;_xlpm.u,ROUND(_xlpm.q,1)&amp;" "&amp;_xlpm.ai_test)),""),""))))</f>
        <v>0</v>
      </c>
      <c r="AX49" s="6218"/>
      <c r="AY49" s="6272">
        <f t="shared" si="32"/>
        <v>0</v>
      </c>
      <c r="AZ49" s="6240" t="str">
        <f t="shared" si="33"/>
        <v/>
      </c>
      <c r="BA49" s="6195">
        <f t="shared" si="40"/>
        <v>0</v>
      </c>
      <c r="BB49" s="6193" t="str">
        <f t="shared" si="34"/>
        <v/>
      </c>
      <c r="BC49" s="6219"/>
      <c r="BD49" s="6222">
        <f t="shared" si="42"/>
        <v>0</v>
      </c>
      <c r="BE49" s="6220" t="str">
        <f t="shared" si="36"/>
        <v/>
      </c>
      <c r="BF49" s="4" t="s">
        <v>1</v>
      </c>
      <c r="BG49" s="6196">
        <f t="shared" si="37"/>
        <v>0</v>
      </c>
      <c r="BH49" s="6197">
        <f t="shared" si="38"/>
        <v>0</v>
      </c>
      <c r="BI49" s="187"/>
      <c r="BJ49" s="6705" t="s">
        <v>109</v>
      </c>
      <c r="BK49" s="6755" t="s">
        <v>9691</v>
      </c>
      <c r="BL49" s="6755" t="s">
        <v>9648</v>
      </c>
      <c r="BM49" s="6304">
        <f t="shared" si="43"/>
        <v>2.5000000000000001E-3</v>
      </c>
      <c r="BN49" s="6274" t="s">
        <v>8766</v>
      </c>
      <c r="BO49" s="6274" t="s">
        <v>8774</v>
      </c>
      <c r="BP49" s="223">
        <f t="shared" si="41"/>
        <v>400</v>
      </c>
      <c r="BQ49" s="236">
        <v>2.5</v>
      </c>
      <c r="BR49" s="187"/>
      <c r="BS49" s="187"/>
      <c r="BT49" s="187"/>
      <c r="BU49" s="187"/>
      <c r="BV49" s="187"/>
      <c r="BW49" s="187"/>
      <c r="BX49" s="20" t="str">
        <f t="shared" si="12"/>
        <v>►</v>
      </c>
      <c r="BY49" s="6938"/>
      <c r="BZ49" s="6938"/>
      <c r="CA49" s="6938"/>
      <c r="CB49" s="6938"/>
      <c r="CC49" s="6938"/>
      <c r="CD49" s="5661"/>
      <c r="CE49" s="5915"/>
      <c r="CF49" s="141"/>
      <c r="CG49" s="141"/>
      <c r="CH49" s="141"/>
      <c r="CI49" s="141"/>
      <c r="CJ49" s="141"/>
      <c r="CK49" s="409"/>
      <c r="CM49" s="5915"/>
      <c r="CN49" s="141"/>
      <c r="CO49" s="141"/>
      <c r="CP49" s="141"/>
      <c r="CQ49" s="141"/>
      <c r="CR49" s="141"/>
      <c r="CS49" s="409"/>
      <c r="CU49" s="5915"/>
      <c r="CV49" s="141"/>
      <c r="CW49" s="141"/>
      <c r="CX49" s="141"/>
      <c r="CY49" s="141"/>
      <c r="CZ49" s="141"/>
      <c r="DA49" s="409"/>
      <c r="DC49" s="5">
        <v>1</v>
      </c>
    </row>
    <row r="50" spans="1:107" s="1" customFormat="1" ht="21" customHeight="1">
      <c r="A50" s="5641" t="s">
        <v>1</v>
      </c>
      <c r="B50" s="5662" t="str">
        <f t="shared" si="11"/>
        <v>►</v>
      </c>
      <c r="C50" s="5825" cm="1">
        <f t="array" ref="C50">SUMPRODUCT(LEN(D50:J50))</f>
        <v>0</v>
      </c>
      <c r="D50" s="5275"/>
      <c r="E50" s="1361"/>
      <c r="F50" s="1361"/>
      <c r="G50" s="1361"/>
      <c r="H50" s="1361"/>
      <c r="I50" s="1361"/>
      <c r="J50" s="5276"/>
      <c r="K50" s="106"/>
      <c r="L50" s="1021" t="str">
        <f t="shared" si="46"/>
        <v>►</v>
      </c>
      <c r="M50" s="196" t="str">
        <f>M18</f>
        <v>C CHIBOUST PAMPLEMOUSSE | collez la--FAMILLE| Auteur &gt; VOUS</v>
      </c>
      <c r="N50" s="196">
        <f>N18</f>
        <v>18</v>
      </c>
      <c r="O50" s="197" t="str">
        <f>O18</f>
        <v>desserts</v>
      </c>
      <c r="P50" s="5388" t="str">
        <f>P18</f>
        <v>Recette mère ► Mille - feuille aux fraises des bois</v>
      </c>
      <c r="Q50" s="5275"/>
      <c r="R50" s="1361"/>
      <c r="S50" s="1361"/>
      <c r="T50" s="1361"/>
      <c r="U50" s="1361"/>
      <c r="V50" s="1361"/>
      <c r="W50" s="1361"/>
      <c r="X50" s="1361"/>
      <c r="Y50" s="1361"/>
      <c r="Z50" s="5276"/>
      <c r="AA50" s="6874" t="s">
        <v>1193</v>
      </c>
      <c r="AB50" s="6875"/>
      <c r="AC50" s="6809" t="s">
        <v>10037</v>
      </c>
      <c r="AD50" s="609"/>
      <c r="AE50" s="4" t="s">
        <v>1</v>
      </c>
      <c r="AF50" s="6202" t="str">
        <f t="shared" si="18"/>
        <v>►</v>
      </c>
      <c r="AG50" s="6234" t="str">
        <f t="shared" si="19"/>
        <v/>
      </c>
      <c r="AH50" s="6732" t="str">
        <f t="shared" si="20"/>
        <v/>
      </c>
      <c r="AI50" s="6234" t="str">
        <f t="shared" si="21"/>
        <v/>
      </c>
      <c r="AJ50" s="6732" t="str">
        <f t="shared" si="22"/>
        <v/>
      </c>
      <c r="AK50" s="6732">
        <f t="shared" si="23"/>
        <v>0</v>
      </c>
      <c r="AL50" s="6230" t="str" cm="1">
        <f t="array" ref="AL50">IF(AF50&lt;&gt;"A","",IFERROR((IFERROR(_xlfn.XLOOKUP(TRIM(SUBSTITUTE(U50,CHAR(160)," ")),$BJ$15:$BJ$62,$BM$15:$BM$62),IFERROR(_xlfn.XLOOKUP(TRIM(SUBSTITUTE(U50,CHAR(160)," ")),$BK$15:$BK$62,$BM$15:$BM$62),_xlfn.XLOOKUP(TRIM(SUBSTITUTE(U50,CHAR(160)," ")),$BL$15:$BL$62,$BM$15:$BM$62))))*T50*IF(ISBLANK(Q50),1,Q50)+IFERROR(_xlfn.XLOOKUP("RECHERCHEX",TRIM(L50:AD50),L50:AD50),0),0))</f>
        <v/>
      </c>
      <c r="AM50" s="6229">
        <f t="shared" si="24"/>
        <v>0</v>
      </c>
      <c r="AN50" s="6857" t="str">
        <f t="shared" si="44"/>
        <v/>
      </c>
      <c r="AO50" s="392">
        <f t="shared" si="26"/>
        <v>0</v>
      </c>
      <c r="AP50" s="392">
        <f t="shared" si="27"/>
        <v>0</v>
      </c>
      <c r="AQ50" s="6190">
        <f t="shared" si="28"/>
        <v>0</v>
      </c>
      <c r="AR50" s="6858" t="str">
        <f t="shared" si="29"/>
        <v/>
      </c>
      <c r="AS50" s="6217"/>
      <c r="AT50" s="6217"/>
      <c r="AU50" s="6271">
        <f t="shared" si="30"/>
        <v>0</v>
      </c>
      <c r="AV50" s="6242">
        <f t="shared" si="31"/>
        <v>0</v>
      </c>
      <c r="AW50" s="6188" cm="1">
        <f t="array" ref="AW50">IF(AK50&lt;&gt;1,0,IF(OR(AU50="",N(AU50)&lt;=0.000000001),"",IF(OR(AO50="",N(AO50)&lt;=0.000000001),0,IF(ISNUMBER(AU50),IFERROR(_xlfn.LET(_xlpm.ai_test,TRIM(AJ50),_xlpm.r,IFERROR(_xlfn.XLOOKUP(_xlpm.ai_test,$BJ$15:$BJ$62,ROW($BJ$15:$BJ$62),0,1),IFERROR(_xlfn.XLOOKUP(_xlpm.ai_test,$BK$15:$BK$62,ROW($BK$15:$BK$62),0,1),_xlfn.XLOOKUP(_xlpm.ai_test,$BL$15:$BL$62,ROW($BL$15:$BL$62),0,1))),_xlpm.p,_xlpm.r-MIN(ROW($BJ$15:$BJ$62))+1,_xlpm.f,INDEX($BM$15:$BM$62,_xlpm.p),_xlpm.u,INDEX($BN$15:$BN$62,_xlpm.p),_xlpm.s,INDEX($BP$15:$BP$62,_xlpm.p),_xlpm.q,N(AU50)/_xlpm.f,IF(_xlpm.q&gt;=_xlpm.s,ROUND(_xlpm.q,1)&amp;" "&amp;_xlpm.ai_test&amp;" = "&amp;ROUND(_xlpm.q*_xlpm.f,1)&amp;" "&amp;_xlpm.u,ROUND(_xlpm.q,1)&amp;" "&amp;_xlpm.ai_test)),""),""))))</f>
        <v>0</v>
      </c>
      <c r="AX50" s="6218"/>
      <c r="AY50" s="6271">
        <f t="shared" si="32"/>
        <v>0</v>
      </c>
      <c r="AZ50" s="6242" t="str">
        <f t="shared" si="33"/>
        <v/>
      </c>
      <c r="BA50" s="6194">
        <f t="shared" si="40"/>
        <v>0</v>
      </c>
      <c r="BB50" s="6192" t="str">
        <f t="shared" si="34"/>
        <v/>
      </c>
      <c r="BC50" s="6219"/>
      <c r="BD50" s="6221">
        <f t="shared" si="42"/>
        <v>0</v>
      </c>
      <c r="BE50" s="6220" t="str">
        <f t="shared" si="36"/>
        <v/>
      </c>
      <c r="BF50" s="4" t="s">
        <v>1</v>
      </c>
      <c r="BG50" s="6196">
        <f t="shared" si="37"/>
        <v>0</v>
      </c>
      <c r="BH50" s="6197">
        <f t="shared" si="38"/>
        <v>0</v>
      </c>
      <c r="BI50" s="187"/>
      <c r="BJ50" s="6705" t="s">
        <v>108</v>
      </c>
      <c r="BK50" s="6705" t="s">
        <v>9650</v>
      </c>
      <c r="BL50" s="6705" t="s">
        <v>9651</v>
      </c>
      <c r="BM50" s="6304">
        <f t="shared" si="43"/>
        <v>4.4999999999999997E-3</v>
      </c>
      <c r="BN50" s="6274" t="s">
        <v>8766</v>
      </c>
      <c r="BO50" s="6274" t="s">
        <v>8774</v>
      </c>
      <c r="BP50" s="223">
        <f t="shared" si="41"/>
        <v>222</v>
      </c>
      <c r="BQ50" s="237">
        <v>4.5</v>
      </c>
      <c r="BR50" s="187"/>
      <c r="BS50" s="187"/>
      <c r="BT50" s="187"/>
      <c r="BU50" s="187"/>
      <c r="BV50" s="187"/>
      <c r="BW50" s="187"/>
      <c r="BX50" s="20" t="str">
        <f t="shared" si="12"/>
        <v>►</v>
      </c>
      <c r="BY50" s="5819"/>
      <c r="BZ50" s="228"/>
      <c r="CA50" s="228"/>
      <c r="CB50" s="227"/>
      <c r="CC50" s="227"/>
      <c r="CD50" s="5661"/>
      <c r="CE50" s="5908" t="s">
        <v>8533</v>
      </c>
      <c r="CF50" s="141"/>
      <c r="CG50" s="141"/>
      <c r="CH50" s="141"/>
      <c r="CI50" s="141"/>
      <c r="CJ50" s="141"/>
      <c r="CK50" s="409"/>
      <c r="CM50" s="5908" t="s">
        <v>8787</v>
      </c>
      <c r="CN50" s="141"/>
      <c r="CO50" s="141"/>
      <c r="CP50" s="141"/>
      <c r="CQ50" s="141"/>
      <c r="CR50" s="141"/>
      <c r="CS50" s="409"/>
      <c r="CU50" s="5908" t="s">
        <v>8800</v>
      </c>
      <c r="CV50" s="141"/>
      <c r="CW50" s="141"/>
      <c r="CX50" s="141"/>
      <c r="CY50" s="141"/>
      <c r="CZ50" s="141"/>
      <c r="DA50" s="409"/>
      <c r="DC50" s="5">
        <v>1</v>
      </c>
    </row>
    <row r="51" spans="1:107" s="1" customFormat="1" ht="21" customHeight="1">
      <c r="A51" s="5641" t="s">
        <v>1</v>
      </c>
      <c r="B51" s="5662" t="str">
        <f t="shared" si="11"/>
        <v>►</v>
      </c>
      <c r="C51" s="5825" cm="1">
        <f t="array" ref="C51">SUMPRODUCT(LEN(D51:J51))</f>
        <v>0</v>
      </c>
      <c r="D51" s="5275"/>
      <c r="E51" s="1361"/>
      <c r="F51" s="1361"/>
      <c r="G51" s="1361"/>
      <c r="H51" s="1361"/>
      <c r="I51" s="1361"/>
      <c r="J51" s="5276"/>
      <c r="K51" s="106"/>
      <c r="L51" s="1021" t="str">
        <f t="shared" si="46"/>
        <v>►</v>
      </c>
      <c r="M51" s="196" t="str">
        <f>M18</f>
        <v>C CHIBOUST PAMPLEMOUSSE | collez la--FAMILLE| Auteur &gt; VOUS</v>
      </c>
      <c r="N51" s="196">
        <f>N18</f>
        <v>18</v>
      </c>
      <c r="O51" s="197" t="str">
        <f>O18</f>
        <v>desserts</v>
      </c>
      <c r="P51" s="5388" t="str">
        <f>P18</f>
        <v>Recette mère ► Mille - feuille aux fraises des bois</v>
      </c>
      <c r="Q51" s="5275"/>
      <c r="R51" s="1361"/>
      <c r="S51" s="1361"/>
      <c r="T51" s="1361"/>
      <c r="U51" s="1361"/>
      <c r="V51" s="1361"/>
      <c r="W51" s="1361"/>
      <c r="X51" s="1361"/>
      <c r="Y51" s="1361"/>
      <c r="Z51" s="5276"/>
      <c r="AA51" s="6207">
        <v>1.5</v>
      </c>
      <c r="AB51" s="920" t="str">
        <f>"&lt; Nb de "&amp;AC49&amp;" par personne "</f>
        <v xml:space="preserve">&lt; Nb de tranches par personne </v>
      </c>
      <c r="AC51" s="5286"/>
      <c r="AD51" s="762"/>
      <c r="AE51" s="4" t="s">
        <v>1</v>
      </c>
      <c r="AF51" s="6202" t="str">
        <f t="shared" si="18"/>
        <v>►</v>
      </c>
      <c r="AG51" s="6234" t="str">
        <f t="shared" si="19"/>
        <v/>
      </c>
      <c r="AH51" s="6732" t="str">
        <f t="shared" si="20"/>
        <v/>
      </c>
      <c r="AI51" s="6234" t="str">
        <f t="shared" si="21"/>
        <v/>
      </c>
      <c r="AJ51" s="6732" t="str">
        <f t="shared" si="22"/>
        <v/>
      </c>
      <c r="AK51" s="6732">
        <f t="shared" si="23"/>
        <v>0</v>
      </c>
      <c r="AL51" s="6230" t="str" cm="1">
        <f t="array" ref="AL51">IF(AF51&lt;&gt;"A","",IFERROR((IFERROR(_xlfn.XLOOKUP(TRIM(SUBSTITUTE(U51,CHAR(160)," ")),$BJ$15:$BJ$62,$BM$15:$BM$62),IFERROR(_xlfn.XLOOKUP(TRIM(SUBSTITUTE(U51,CHAR(160)," ")),$BK$15:$BK$62,$BM$15:$BM$62),_xlfn.XLOOKUP(TRIM(SUBSTITUTE(U51,CHAR(160)," ")),$BL$15:$BL$62,$BM$15:$BM$62))))*T51*IF(ISBLANK(Q51),1,Q51)+IFERROR(_xlfn.XLOOKUP("RECHERCHEX",TRIM(L51:AD51),L51:AD51),0),0))</f>
        <v/>
      </c>
      <c r="AM51" s="6229">
        <f t="shared" si="24"/>
        <v>0</v>
      </c>
      <c r="AN51" s="6857" t="str">
        <f t="shared" si="44"/>
        <v/>
      </c>
      <c r="AO51" s="392">
        <f t="shared" si="26"/>
        <v>0</v>
      </c>
      <c r="AP51" s="392">
        <f t="shared" si="27"/>
        <v>0</v>
      </c>
      <c r="AQ51" s="6191">
        <f t="shared" si="28"/>
        <v>0</v>
      </c>
      <c r="AR51" s="6859" t="str">
        <f t="shared" si="29"/>
        <v/>
      </c>
      <c r="AS51" s="6217"/>
      <c r="AT51" s="6217"/>
      <c r="AU51" s="6272">
        <f t="shared" si="30"/>
        <v>0</v>
      </c>
      <c r="AV51" s="6240">
        <f t="shared" si="31"/>
        <v>0</v>
      </c>
      <c r="AW51" s="6189" cm="1">
        <f t="array" ref="AW51">IF(AK51&lt;&gt;1,0,IF(OR(AU51="",N(AU51)&lt;=0.000000001),"",IF(OR(AO51="",N(AO51)&lt;=0.000000001),0,IF(ISNUMBER(AU51),IFERROR(_xlfn.LET(_xlpm.ai_test,TRIM(AJ51),_xlpm.r,IFERROR(_xlfn.XLOOKUP(_xlpm.ai_test,$BJ$15:$BJ$62,ROW($BJ$15:$BJ$62),0,1),IFERROR(_xlfn.XLOOKUP(_xlpm.ai_test,$BK$15:$BK$62,ROW($BK$15:$BK$62),0,1),_xlfn.XLOOKUP(_xlpm.ai_test,$BL$15:$BL$62,ROW($BL$15:$BL$62),0,1))),_xlpm.p,_xlpm.r-MIN(ROW($BJ$15:$BJ$62))+1,_xlpm.f,INDEX($BM$15:$BM$62,_xlpm.p),_xlpm.u,INDEX($BN$15:$BN$62,_xlpm.p),_xlpm.s,INDEX($BP$15:$BP$62,_xlpm.p),_xlpm.q,N(AU51)/_xlpm.f,IF(_xlpm.q&gt;=_xlpm.s,ROUND(_xlpm.q,1)&amp;" "&amp;_xlpm.ai_test&amp;" = "&amp;ROUND(_xlpm.q*_xlpm.f,1)&amp;" "&amp;_xlpm.u,ROUND(_xlpm.q,1)&amp;" "&amp;_xlpm.ai_test)),""),""))))</f>
        <v>0</v>
      </c>
      <c r="AX51" s="6218"/>
      <c r="AY51" s="6272">
        <f t="shared" si="32"/>
        <v>0</v>
      </c>
      <c r="AZ51" s="6240" t="str">
        <f t="shared" si="33"/>
        <v/>
      </c>
      <c r="BA51" s="6195">
        <f t="shared" si="40"/>
        <v>0</v>
      </c>
      <c r="BB51" s="6193" t="str">
        <f t="shared" si="34"/>
        <v/>
      </c>
      <c r="BC51" s="6219"/>
      <c r="BD51" s="6222">
        <f t="shared" si="42"/>
        <v>0</v>
      </c>
      <c r="BE51" s="6220" t="str">
        <f t="shared" si="36"/>
        <v/>
      </c>
      <c r="BF51" s="4" t="s">
        <v>1</v>
      </c>
      <c r="BG51" s="6196">
        <f t="shared" si="37"/>
        <v>0</v>
      </c>
      <c r="BH51" s="6197">
        <f t="shared" si="38"/>
        <v>0</v>
      </c>
      <c r="BI51" s="187"/>
      <c r="BJ51" s="6705" t="s">
        <v>107</v>
      </c>
      <c r="BK51" s="6705" t="s">
        <v>9652</v>
      </c>
      <c r="BL51" s="6705" t="s">
        <v>9653</v>
      </c>
      <c r="BM51" s="6304">
        <f t="shared" si="43"/>
        <v>5.9000000000000007E-3</v>
      </c>
      <c r="BN51" s="6274" t="s">
        <v>8766</v>
      </c>
      <c r="BO51" s="6274" t="s">
        <v>8774</v>
      </c>
      <c r="BP51" s="223">
        <f t="shared" si="41"/>
        <v>169</v>
      </c>
      <c r="BQ51" s="236">
        <v>5.9</v>
      </c>
      <c r="BR51" s="187"/>
      <c r="BS51" s="187"/>
      <c r="BT51" s="187"/>
      <c r="BU51" s="187"/>
      <c r="BV51" s="187"/>
      <c r="BW51" s="187"/>
      <c r="BX51" s="20" t="str">
        <f t="shared" si="12"/>
        <v>►</v>
      </c>
      <c r="BY51" s="5720" t="s">
        <v>8681</v>
      </c>
      <c r="BZ51" s="228"/>
      <c r="CA51" s="228"/>
      <c r="CB51" s="227"/>
      <c r="CC51" s="227"/>
      <c r="CD51" s="5661"/>
      <c r="CE51" s="5918" t="s">
        <v>627</v>
      </c>
      <c r="CF51" s="5919" t="s">
        <v>8534</v>
      </c>
      <c r="CG51" s="5920"/>
      <c r="CH51" s="5920"/>
      <c r="CI51" s="5920"/>
      <c r="CJ51"/>
      <c r="CK51" s="762"/>
      <c r="CM51" s="5918" t="s">
        <v>8788</v>
      </c>
      <c r="CN51" s="5919" t="s">
        <v>8534</v>
      </c>
      <c r="CO51" s="5920"/>
      <c r="CP51" s="5920"/>
      <c r="CQ51" s="5920"/>
      <c r="CR51"/>
      <c r="CS51" s="762"/>
      <c r="CU51" s="5918" t="s">
        <v>8801</v>
      </c>
      <c r="CV51" s="5919" t="s">
        <v>8534</v>
      </c>
      <c r="CW51" s="5920"/>
      <c r="CX51" s="5920"/>
      <c r="CY51" s="5920"/>
      <c r="CZ51"/>
      <c r="DA51" s="762"/>
      <c r="DC51" s="5">
        <v>1</v>
      </c>
    </row>
    <row r="52" spans="1:107" s="1" customFormat="1" ht="21" customHeight="1">
      <c r="A52" s="5641" t="s">
        <v>1</v>
      </c>
      <c r="B52" s="5662" t="str">
        <f t="shared" si="11"/>
        <v>►</v>
      </c>
      <c r="C52" s="5825" cm="1">
        <f t="array" ref="C52">SUMPRODUCT(LEN(D52:J52))</f>
        <v>0</v>
      </c>
      <c r="D52" s="5275"/>
      <c r="E52" s="1361"/>
      <c r="F52" s="1361"/>
      <c r="G52" s="1361"/>
      <c r="H52" s="1361"/>
      <c r="I52" s="1361"/>
      <c r="J52" s="5276"/>
      <c r="K52" s="106"/>
      <c r="L52" s="1021" t="str">
        <f t="shared" si="46"/>
        <v>►</v>
      </c>
      <c r="M52" s="196" t="str">
        <f>M18</f>
        <v>C CHIBOUST PAMPLEMOUSSE | collez la--FAMILLE| Auteur &gt; VOUS</v>
      </c>
      <c r="N52" s="196">
        <f>N18</f>
        <v>18</v>
      </c>
      <c r="O52" s="197" t="str">
        <f>O18</f>
        <v>desserts</v>
      </c>
      <c r="P52" s="5388" t="str">
        <f>P18</f>
        <v>Recette mère ► Mille - feuille aux fraises des bois</v>
      </c>
      <c r="Q52" s="5275"/>
      <c r="R52" s="1361"/>
      <c r="S52" s="1361"/>
      <c r="T52" s="1361"/>
      <c r="U52" s="1361"/>
      <c r="V52" s="1361"/>
      <c r="W52" s="1361"/>
      <c r="X52" s="1361"/>
      <c r="Y52" s="1361"/>
      <c r="Z52" s="5276"/>
      <c r="AA52" s="6209">
        <v>27</v>
      </c>
      <c r="AB52" s="920" t="str">
        <f>"&lt; Nb "&amp;AC49&amp;" dans 1 " &amp;AA50</f>
        <v>&lt; Nb tranches dans 1 Gastro 1/1</v>
      </c>
      <c r="AC52" s="5288"/>
      <c r="AD52" s="6208"/>
      <c r="AE52" s="4" t="s">
        <v>1</v>
      </c>
      <c r="AF52" s="6202" t="str">
        <f t="shared" si="18"/>
        <v>►</v>
      </c>
      <c r="AG52" s="6234" t="str">
        <f t="shared" si="19"/>
        <v/>
      </c>
      <c r="AH52" s="6732" t="str">
        <f t="shared" si="20"/>
        <v/>
      </c>
      <c r="AI52" s="6234" t="str">
        <f t="shared" si="21"/>
        <v/>
      </c>
      <c r="AJ52" s="6732" t="str">
        <f t="shared" si="22"/>
        <v/>
      </c>
      <c r="AK52" s="6732">
        <f t="shared" si="23"/>
        <v>0</v>
      </c>
      <c r="AL52" s="6230" t="str" cm="1">
        <f t="array" ref="AL52">IF(AF52&lt;&gt;"A","",IFERROR((IFERROR(_xlfn.XLOOKUP(TRIM(SUBSTITUTE(U52,CHAR(160)," ")),$BJ$15:$BJ$62,$BM$15:$BM$62),IFERROR(_xlfn.XLOOKUP(TRIM(SUBSTITUTE(U52,CHAR(160)," ")),$BK$15:$BK$62,$BM$15:$BM$62),_xlfn.XLOOKUP(TRIM(SUBSTITUTE(U52,CHAR(160)," ")),$BL$15:$BL$62,$BM$15:$BM$62))))*T52*IF(ISBLANK(Q52),1,Q52)+IFERROR(_xlfn.XLOOKUP("RECHERCHEX",TRIM(L52:AD52),L52:AD52),0),0))</f>
        <v/>
      </c>
      <c r="AM52" s="6229">
        <f t="shared" si="24"/>
        <v>0</v>
      </c>
      <c r="AN52" s="6857" t="str">
        <f t="shared" si="44"/>
        <v/>
      </c>
      <c r="AO52" s="392">
        <f t="shared" si="26"/>
        <v>0</v>
      </c>
      <c r="AP52" s="392">
        <f t="shared" si="27"/>
        <v>0</v>
      </c>
      <c r="AQ52" s="6190">
        <f t="shared" si="28"/>
        <v>0</v>
      </c>
      <c r="AR52" s="6858" t="str">
        <f t="shared" si="29"/>
        <v/>
      </c>
      <c r="AS52" s="6217"/>
      <c r="AT52" s="6217"/>
      <c r="AU52" s="6271">
        <f t="shared" si="30"/>
        <v>0</v>
      </c>
      <c r="AV52" s="6242">
        <f t="shared" si="31"/>
        <v>0</v>
      </c>
      <c r="AW52" s="6188" cm="1">
        <f t="array" ref="AW52">IF(AK52&lt;&gt;1,0,IF(OR(AU52="",N(AU52)&lt;=0.000000001),"",IF(OR(AO52="",N(AO52)&lt;=0.000000001),0,IF(ISNUMBER(AU52),IFERROR(_xlfn.LET(_xlpm.ai_test,TRIM(AJ52),_xlpm.r,IFERROR(_xlfn.XLOOKUP(_xlpm.ai_test,$BJ$15:$BJ$62,ROW($BJ$15:$BJ$62),0,1),IFERROR(_xlfn.XLOOKUP(_xlpm.ai_test,$BK$15:$BK$62,ROW($BK$15:$BK$62),0,1),_xlfn.XLOOKUP(_xlpm.ai_test,$BL$15:$BL$62,ROW($BL$15:$BL$62),0,1))),_xlpm.p,_xlpm.r-MIN(ROW($BJ$15:$BJ$62))+1,_xlpm.f,INDEX($BM$15:$BM$62,_xlpm.p),_xlpm.u,INDEX($BN$15:$BN$62,_xlpm.p),_xlpm.s,INDEX($BP$15:$BP$62,_xlpm.p),_xlpm.q,N(AU52)/_xlpm.f,IF(_xlpm.q&gt;=_xlpm.s,ROUND(_xlpm.q,1)&amp;" "&amp;_xlpm.ai_test&amp;" = "&amp;ROUND(_xlpm.q*_xlpm.f,1)&amp;" "&amp;_xlpm.u,ROUND(_xlpm.q,1)&amp;" "&amp;_xlpm.ai_test)),""),""))))</f>
        <v>0</v>
      </c>
      <c r="AX52" s="6218"/>
      <c r="AY52" s="6271">
        <f t="shared" si="32"/>
        <v>0</v>
      </c>
      <c r="AZ52" s="6242" t="str">
        <f t="shared" si="33"/>
        <v/>
      </c>
      <c r="BA52" s="6194">
        <f t="shared" si="40"/>
        <v>0</v>
      </c>
      <c r="BB52" s="6192" t="str">
        <f t="shared" si="34"/>
        <v/>
      </c>
      <c r="BC52" s="6219"/>
      <c r="BD52" s="6221">
        <f t="shared" si="42"/>
        <v>0</v>
      </c>
      <c r="BE52" s="6220" t="str">
        <f t="shared" si="36"/>
        <v/>
      </c>
      <c r="BF52" s="4" t="s">
        <v>1</v>
      </c>
      <c r="BG52" s="6196">
        <f t="shared" si="37"/>
        <v>0</v>
      </c>
      <c r="BH52" s="6197">
        <f t="shared" si="38"/>
        <v>0</v>
      </c>
      <c r="BI52" s="187"/>
      <c r="BJ52" s="6705" t="s">
        <v>106</v>
      </c>
      <c r="BK52" s="6705" t="s">
        <v>106</v>
      </c>
      <c r="BL52" s="6705" t="s">
        <v>9654</v>
      </c>
      <c r="BM52" s="6304">
        <f t="shared" si="43"/>
        <v>0.04</v>
      </c>
      <c r="BN52" s="6274" t="s">
        <v>8766</v>
      </c>
      <c r="BO52" s="6274" t="s">
        <v>8774</v>
      </c>
      <c r="BP52" s="223">
        <f t="shared" si="41"/>
        <v>25</v>
      </c>
      <c r="BQ52" s="222">
        <v>40</v>
      </c>
      <c r="BR52" s="187"/>
      <c r="BS52" s="187"/>
      <c r="BT52" s="187"/>
      <c r="BU52" s="187"/>
      <c r="BV52" s="187"/>
      <c r="BW52" s="187"/>
      <c r="BX52" s="20" t="str">
        <f t="shared" si="12"/>
        <v>►</v>
      </c>
      <c r="BY52" s="5819"/>
      <c r="BZ52" s="228"/>
      <c r="CA52" s="228"/>
      <c r="CB52" s="227"/>
      <c r="CC52" s="227"/>
      <c r="CD52" s="5661"/>
      <c r="CE52" s="954"/>
      <c r="CF52" s="955"/>
      <c r="CG52" s="955"/>
      <c r="CH52" s="955"/>
      <c r="CI52" s="955"/>
      <c r="CJ52" s="955"/>
      <c r="CK52" s="956"/>
      <c r="CM52" s="954"/>
      <c r="CN52" s="955"/>
      <c r="CO52" s="955"/>
      <c r="CP52" s="955"/>
      <c r="CQ52" s="955"/>
      <c r="CR52" s="955"/>
      <c r="CS52" s="956"/>
      <c r="CU52" s="954"/>
      <c r="CV52" s="955"/>
      <c r="CW52" s="955"/>
      <c r="CX52" s="955"/>
      <c r="CY52" s="955"/>
      <c r="CZ52" s="955"/>
      <c r="DA52" s="956"/>
      <c r="DC52" s="5">
        <v>1</v>
      </c>
    </row>
    <row r="53" spans="1:107" s="1" customFormat="1" ht="21" customHeight="1">
      <c r="A53" s="5641" t="s">
        <v>1</v>
      </c>
      <c r="B53" s="5662" t="str">
        <f t="shared" si="11"/>
        <v>►</v>
      </c>
      <c r="C53" s="5825" cm="1">
        <f t="array" ref="C53">SUMPRODUCT(LEN(D53:J53))</f>
        <v>0</v>
      </c>
      <c r="D53" s="5275"/>
      <c r="E53" s="1361"/>
      <c r="F53" s="1361"/>
      <c r="G53" s="1361"/>
      <c r="H53" s="1361"/>
      <c r="I53" s="1361"/>
      <c r="J53" s="5276"/>
      <c r="K53" s="106"/>
      <c r="L53" s="1021" t="str">
        <f t="shared" si="46"/>
        <v>►</v>
      </c>
      <c r="M53" s="196" t="str">
        <f>M18</f>
        <v>C CHIBOUST PAMPLEMOUSSE | collez la--FAMILLE| Auteur &gt; VOUS</v>
      </c>
      <c r="N53" s="196">
        <f>N18</f>
        <v>18</v>
      </c>
      <c r="O53" s="197" t="str">
        <f>O18</f>
        <v>desserts</v>
      </c>
      <c r="P53" s="5388" t="str">
        <f>P18</f>
        <v>Recette mère ► Mille - feuille aux fraises des bois</v>
      </c>
      <c r="Q53" s="5275"/>
      <c r="R53" s="1361"/>
      <c r="S53" s="1361"/>
      <c r="T53" s="1361"/>
      <c r="U53" s="1361"/>
      <c r="V53" s="1361"/>
      <c r="W53" s="1361"/>
      <c r="X53" s="1361"/>
      <c r="Y53" s="1361"/>
      <c r="Z53" s="5276"/>
      <c r="AA53" s="6876" t="str">
        <f>IF(OR(AA52="",AD48=0),"",INT(AD48/AA52) &amp; " " &amp; AA50 &amp; " de " &amp; AA52 &amp; " " &amp; AC49 &amp; IF(MOD(AD48,AA52)&gt;0," + 1 " &amp; AA50 &amp; " de " &amp; TEXT(MOD(AD48,AA52),"0.00") &amp; " " &amp; AC49,""))</f>
        <v>8 Gastro 1/1 de 27 tranches + 1 Gastro 1/1 de 9.00 tranches</v>
      </c>
      <c r="AB53" s="6877"/>
      <c r="AC53" s="6877"/>
      <c r="AD53" s="6878"/>
      <c r="AE53" s="4" t="s">
        <v>1</v>
      </c>
      <c r="AF53" s="6202" t="str">
        <f t="shared" si="18"/>
        <v>►</v>
      </c>
      <c r="AG53" s="6234" t="str">
        <f t="shared" si="19"/>
        <v/>
      </c>
      <c r="AH53" s="6732" t="str">
        <f t="shared" si="20"/>
        <v/>
      </c>
      <c r="AI53" s="6234" t="str">
        <f t="shared" si="21"/>
        <v/>
      </c>
      <c r="AJ53" s="6732" t="str">
        <f t="shared" si="22"/>
        <v/>
      </c>
      <c r="AK53" s="6732">
        <f t="shared" si="23"/>
        <v>0</v>
      </c>
      <c r="AL53" s="6230" t="str" cm="1">
        <f t="array" ref="AL53">IF(AF53&lt;&gt;"A","",IFERROR((IFERROR(_xlfn.XLOOKUP(TRIM(SUBSTITUTE(U53,CHAR(160)," ")),$BJ$15:$BJ$62,$BM$15:$BM$62),IFERROR(_xlfn.XLOOKUP(TRIM(SUBSTITUTE(U53,CHAR(160)," ")),$BK$15:$BK$62,$BM$15:$BM$62),_xlfn.XLOOKUP(TRIM(SUBSTITUTE(U53,CHAR(160)," ")),$BL$15:$BL$62,$BM$15:$BM$62))))*T53*IF(ISBLANK(Q53),1,Q53)+IFERROR(_xlfn.XLOOKUP("RECHERCHEX",TRIM(L53:AD53),L53:AD53),0),0))</f>
        <v/>
      </c>
      <c r="AM53" s="6229">
        <f t="shared" si="24"/>
        <v>0</v>
      </c>
      <c r="AN53" s="6857" t="str">
        <f t="shared" si="44"/>
        <v/>
      </c>
      <c r="AO53" s="392">
        <f t="shared" si="26"/>
        <v>0</v>
      </c>
      <c r="AP53" s="392">
        <f t="shared" si="27"/>
        <v>0</v>
      </c>
      <c r="AQ53" s="6191">
        <f t="shared" si="28"/>
        <v>0</v>
      </c>
      <c r="AR53" s="6859" t="str">
        <f t="shared" si="29"/>
        <v/>
      </c>
      <c r="AS53" s="6217"/>
      <c r="AT53" s="6217"/>
      <c r="AU53" s="6272">
        <f t="shared" si="30"/>
        <v>0</v>
      </c>
      <c r="AV53" s="6240">
        <f t="shared" si="31"/>
        <v>0</v>
      </c>
      <c r="AW53" s="6189" cm="1">
        <f t="array" ref="AW53">IF(AK53&lt;&gt;1,0,IF(OR(AU53="",N(AU53)&lt;=0.000000001),"",IF(OR(AO53="",N(AO53)&lt;=0.000000001),0,IF(ISNUMBER(AU53),IFERROR(_xlfn.LET(_xlpm.ai_test,TRIM(AJ53),_xlpm.r,IFERROR(_xlfn.XLOOKUP(_xlpm.ai_test,$BJ$15:$BJ$62,ROW($BJ$15:$BJ$62),0,1),IFERROR(_xlfn.XLOOKUP(_xlpm.ai_test,$BK$15:$BK$62,ROW($BK$15:$BK$62),0,1),_xlfn.XLOOKUP(_xlpm.ai_test,$BL$15:$BL$62,ROW($BL$15:$BL$62),0,1))),_xlpm.p,_xlpm.r-MIN(ROW($BJ$15:$BJ$62))+1,_xlpm.f,INDEX($BM$15:$BM$62,_xlpm.p),_xlpm.u,INDEX($BN$15:$BN$62,_xlpm.p),_xlpm.s,INDEX($BP$15:$BP$62,_xlpm.p),_xlpm.q,N(AU53)/_xlpm.f,IF(_xlpm.q&gt;=_xlpm.s,ROUND(_xlpm.q,1)&amp;" "&amp;_xlpm.ai_test&amp;" = "&amp;ROUND(_xlpm.q*_xlpm.f,1)&amp;" "&amp;_xlpm.u,ROUND(_xlpm.q,1)&amp;" "&amp;_xlpm.ai_test)),""),""))))</f>
        <v>0</v>
      </c>
      <c r="AX53" s="6218"/>
      <c r="AY53" s="6272">
        <f t="shared" si="32"/>
        <v>0</v>
      </c>
      <c r="AZ53" s="6240" t="str">
        <f t="shared" si="33"/>
        <v/>
      </c>
      <c r="BA53" s="6195">
        <f t="shared" si="40"/>
        <v>0</v>
      </c>
      <c r="BB53" s="6193" t="str">
        <f t="shared" si="34"/>
        <v/>
      </c>
      <c r="BC53" s="6219"/>
      <c r="BD53" s="6222">
        <f t="shared" si="42"/>
        <v>0</v>
      </c>
      <c r="BE53" s="6220" t="str">
        <f t="shared" si="36"/>
        <v/>
      </c>
      <c r="BF53" s="4" t="s">
        <v>1</v>
      </c>
      <c r="BG53" s="6196">
        <f t="shared" si="37"/>
        <v>0</v>
      </c>
      <c r="BH53" s="6197">
        <f t="shared" si="38"/>
        <v>0</v>
      </c>
      <c r="BI53" s="187"/>
      <c r="BJ53" s="6705" t="s">
        <v>104</v>
      </c>
      <c r="BK53" s="6705" t="s">
        <v>104</v>
      </c>
      <c r="BL53" s="6705" t="s">
        <v>104</v>
      </c>
      <c r="BM53" s="6304">
        <f t="shared" si="43"/>
        <v>4.4999999999999998E-2</v>
      </c>
      <c r="BN53" s="6274" t="s">
        <v>8766</v>
      </c>
      <c r="BO53" s="6274" t="s">
        <v>8774</v>
      </c>
      <c r="BP53" s="223">
        <f t="shared" si="41"/>
        <v>22</v>
      </c>
      <c r="BQ53" s="222">
        <v>45</v>
      </c>
      <c r="BR53" s="187"/>
      <c r="BS53" s="187"/>
      <c r="BT53" s="187"/>
      <c r="BU53" s="187"/>
      <c r="BV53" s="187"/>
      <c r="BW53" s="187"/>
      <c r="BX53" s="20" t="str">
        <f t="shared" si="12"/>
        <v>►</v>
      </c>
      <c r="BY53" s="5819"/>
      <c r="BZ53" s="228"/>
      <c r="CA53" s="228"/>
      <c r="CB53" s="227"/>
      <c r="CC53" s="227"/>
      <c r="CD53" s="5661"/>
      <c r="CE53" s="5939" t="s">
        <v>8538</v>
      </c>
      <c r="CF53" s="5940"/>
      <c r="CG53" s="5940"/>
      <c r="CH53" s="5940"/>
      <c r="CI53" s="5940"/>
      <c r="CJ53" s="5940"/>
      <c r="CK53" s="5941"/>
      <c r="CM53" s="5939" t="s">
        <v>8789</v>
      </c>
      <c r="CN53" s="5940"/>
      <c r="CO53" s="5940"/>
      <c r="CP53" s="5940"/>
      <c r="CQ53" s="5940"/>
      <c r="CR53" s="5940"/>
      <c r="CS53" s="5941"/>
      <c r="CU53" s="5939" t="s">
        <v>8825</v>
      </c>
      <c r="CV53" s="5940"/>
      <c r="CW53" s="5940"/>
      <c r="CX53" s="5940"/>
      <c r="CY53" s="5940"/>
      <c r="CZ53" s="5940"/>
      <c r="DA53" s="5941"/>
      <c r="DC53" s="5">
        <v>1</v>
      </c>
    </row>
    <row r="54" spans="1:107" s="1" customFormat="1" ht="21" customHeight="1">
      <c r="A54" s="5641" t="s">
        <v>1</v>
      </c>
      <c r="B54" s="5662" t="str">
        <f t="shared" si="11"/>
        <v>►</v>
      </c>
      <c r="C54" s="5825" cm="1">
        <f t="array" ref="C54">SUMPRODUCT(LEN(D54:J54))</f>
        <v>0</v>
      </c>
      <c r="D54" s="5275"/>
      <c r="E54" s="1361"/>
      <c r="F54" s="1361"/>
      <c r="G54" s="1361"/>
      <c r="H54" s="1361"/>
      <c r="I54" s="1361"/>
      <c r="J54" s="5276"/>
      <c r="K54" s="106"/>
      <c r="L54" s="5289" t="s">
        <v>26</v>
      </c>
      <c r="M54" s="196" t="str">
        <f>M18</f>
        <v>C CHIBOUST PAMPLEMOUSSE | collez la--FAMILLE| Auteur &gt; VOUS</v>
      </c>
      <c r="N54" s="196">
        <f>N18</f>
        <v>18</v>
      </c>
      <c r="O54" s="197" t="str">
        <f>O18</f>
        <v>desserts</v>
      </c>
      <c r="P54" s="5388" t="str">
        <f>P18</f>
        <v>Recette mère ► Mille - feuille aux fraises des bois</v>
      </c>
      <c r="Q54" s="5290" t="s">
        <v>1112</v>
      </c>
      <c r="R54" s="1361"/>
      <c r="S54" s="1361"/>
      <c r="T54" s="1361"/>
      <c r="U54" s="1361"/>
      <c r="V54" s="1361"/>
      <c r="W54" s="1361"/>
      <c r="X54" s="1361"/>
      <c r="Y54" s="1361"/>
      <c r="Z54" s="5291"/>
      <c r="AA54" s="6879"/>
      <c r="AB54" s="6880"/>
      <c r="AC54" s="6880"/>
      <c r="AD54" s="6881"/>
      <c r="AE54" s="4" t="s">
        <v>1</v>
      </c>
      <c r="AF54" s="6202" t="str">
        <f t="shared" si="18"/>
        <v>►</v>
      </c>
      <c r="AG54" s="6234" t="str">
        <f t="shared" si="19"/>
        <v/>
      </c>
      <c r="AH54" s="6732" t="str">
        <f t="shared" si="20"/>
        <v/>
      </c>
      <c r="AI54" s="6234" t="str">
        <f t="shared" si="21"/>
        <v/>
      </c>
      <c r="AJ54" s="6732" t="str">
        <f t="shared" si="22"/>
        <v/>
      </c>
      <c r="AK54" s="6732">
        <f t="shared" si="23"/>
        <v>0</v>
      </c>
      <c r="AL54" s="6230" t="str" cm="1">
        <f t="array" ref="AL54">IF(AF54&lt;&gt;"A","",IFERROR((IFERROR(_xlfn.XLOOKUP(TRIM(SUBSTITUTE(U54,CHAR(160)," ")),$BJ$15:$BJ$62,$BM$15:$BM$62),IFERROR(_xlfn.XLOOKUP(TRIM(SUBSTITUTE(U54,CHAR(160)," ")),$BK$15:$BK$62,$BM$15:$BM$62),_xlfn.XLOOKUP(TRIM(SUBSTITUTE(U54,CHAR(160)," ")),$BL$15:$BL$62,$BM$15:$BM$62))))*T54*IF(ISBLANK(Q54),1,Q54)+IFERROR(_xlfn.XLOOKUP("RECHERCHEX",TRIM(L54:AD54),L54:AD54),0),0))</f>
        <v/>
      </c>
      <c r="AM54" s="6229">
        <f t="shared" si="24"/>
        <v>0</v>
      </c>
      <c r="AN54" s="6857" t="str">
        <f t="shared" si="44"/>
        <v/>
      </c>
      <c r="AO54" s="392">
        <f t="shared" si="26"/>
        <v>0</v>
      </c>
      <c r="AP54" s="392">
        <f t="shared" si="27"/>
        <v>0</v>
      </c>
      <c r="AQ54" s="6190">
        <f t="shared" si="28"/>
        <v>0</v>
      </c>
      <c r="AR54" s="6858" t="str">
        <f t="shared" si="29"/>
        <v/>
      </c>
      <c r="AS54" s="6217"/>
      <c r="AT54" s="6217"/>
      <c r="AU54" s="6271">
        <f t="shared" si="30"/>
        <v>0</v>
      </c>
      <c r="AV54" s="6242">
        <f t="shared" si="31"/>
        <v>0</v>
      </c>
      <c r="AW54" s="6188" cm="1">
        <f t="array" ref="AW54">IF(AK54&lt;&gt;1,0,IF(OR(AU54="",N(AU54)&lt;=0.000000001),"",IF(OR(AO54="",N(AO54)&lt;=0.000000001),0,IF(ISNUMBER(AU54),IFERROR(_xlfn.LET(_xlpm.ai_test,TRIM(AJ54),_xlpm.r,IFERROR(_xlfn.XLOOKUP(_xlpm.ai_test,$BJ$15:$BJ$62,ROW($BJ$15:$BJ$62),0,1),IFERROR(_xlfn.XLOOKUP(_xlpm.ai_test,$BK$15:$BK$62,ROW($BK$15:$BK$62),0,1),_xlfn.XLOOKUP(_xlpm.ai_test,$BL$15:$BL$62,ROW($BL$15:$BL$62),0,1))),_xlpm.p,_xlpm.r-MIN(ROW($BJ$15:$BJ$62))+1,_xlpm.f,INDEX($BM$15:$BM$62,_xlpm.p),_xlpm.u,INDEX($BN$15:$BN$62,_xlpm.p),_xlpm.s,INDEX($BP$15:$BP$62,_xlpm.p),_xlpm.q,N(AU54)/_xlpm.f,IF(_xlpm.q&gt;=_xlpm.s,ROUND(_xlpm.q,1)&amp;" "&amp;_xlpm.ai_test&amp;" = "&amp;ROUND(_xlpm.q*_xlpm.f,1)&amp;" "&amp;_xlpm.u,ROUND(_xlpm.q,1)&amp;" "&amp;_xlpm.ai_test)),""),""))))</f>
        <v>0</v>
      </c>
      <c r="AX54" s="6218"/>
      <c r="AY54" s="6271">
        <f t="shared" si="32"/>
        <v>0</v>
      </c>
      <c r="AZ54" s="6242" t="str">
        <f t="shared" si="33"/>
        <v/>
      </c>
      <c r="BA54" s="6194">
        <f t="shared" si="40"/>
        <v>0</v>
      </c>
      <c r="BB54" s="6192" t="str">
        <f t="shared" si="34"/>
        <v/>
      </c>
      <c r="BC54" s="6219"/>
      <c r="BD54" s="6221">
        <f t="shared" si="42"/>
        <v>0</v>
      </c>
      <c r="BE54" s="6220" t="str">
        <f t="shared" si="36"/>
        <v/>
      </c>
      <c r="BF54" s="4" t="s">
        <v>1</v>
      </c>
      <c r="BG54" s="6196">
        <f t="shared" si="37"/>
        <v>0</v>
      </c>
      <c r="BH54" s="6197">
        <f t="shared" si="38"/>
        <v>0</v>
      </c>
      <c r="BI54" s="187"/>
      <c r="BJ54" s="6705" t="s">
        <v>102</v>
      </c>
      <c r="BK54" s="6705" t="s">
        <v>102</v>
      </c>
      <c r="BL54" s="6705" t="s">
        <v>102</v>
      </c>
      <c r="BM54" s="6304">
        <f t="shared" si="43"/>
        <v>0.15</v>
      </c>
      <c r="BN54" s="6274" t="s">
        <v>8766</v>
      </c>
      <c r="BO54" s="6274" t="s">
        <v>8774</v>
      </c>
      <c r="BP54" s="223">
        <f t="shared" si="41"/>
        <v>7</v>
      </c>
      <c r="BQ54" s="222">
        <v>150</v>
      </c>
      <c r="BR54" s="187"/>
      <c r="BS54" s="187"/>
      <c r="BT54" s="187"/>
      <c r="BU54" s="187"/>
      <c r="BV54" s="187"/>
      <c r="BW54" s="187"/>
      <c r="BX54" s="20" t="str">
        <f t="shared" si="12"/>
        <v>►</v>
      </c>
      <c r="BY54" s="5819"/>
      <c r="BZ54" s="228"/>
      <c r="CA54" s="228"/>
      <c r="CB54" s="227"/>
      <c r="CC54" s="227"/>
      <c r="CD54" s="5661"/>
      <c r="CE54" s="5947" t="s">
        <v>8541</v>
      </c>
      <c r="CF54" s="5940"/>
      <c r="CG54" s="5940"/>
      <c r="CH54" s="5940"/>
      <c r="CI54" s="5940"/>
      <c r="CJ54" s="5940"/>
      <c r="CK54" s="5948" t="s">
        <v>8542</v>
      </c>
      <c r="CM54" s="5947" t="s">
        <v>9655</v>
      </c>
      <c r="CN54" s="5940"/>
      <c r="CO54" s="5940"/>
      <c r="CP54" s="5940"/>
      <c r="CQ54" s="5940"/>
      <c r="CR54" s="5940"/>
      <c r="CS54" s="5948" t="s">
        <v>9656</v>
      </c>
      <c r="CU54" s="5947" t="s">
        <v>9657</v>
      </c>
      <c r="CV54" s="5940"/>
      <c r="CW54" s="5940"/>
      <c r="CX54" s="5940"/>
      <c r="CY54" s="5940"/>
      <c r="CZ54" s="5940"/>
      <c r="DA54" s="5948" t="s">
        <v>9658</v>
      </c>
      <c r="DC54" s="5">
        <v>1</v>
      </c>
    </row>
    <row r="55" spans="1:107" s="1" customFormat="1" ht="21" customHeight="1">
      <c r="A55" s="5641" t="s">
        <v>1</v>
      </c>
      <c r="B55" s="5662" t="str">
        <f t="shared" si="11"/>
        <v>A</v>
      </c>
      <c r="C55" s="5825" cm="1">
        <f t="array" ref="C55">SUMPRODUCT(LEN(D55:J55))</f>
        <v>0</v>
      </c>
      <c r="D55" s="5275"/>
      <c r="E55" s="1361"/>
      <c r="F55" s="1361"/>
      <c r="G55" s="1361"/>
      <c r="H55" s="1361"/>
      <c r="I55" s="1361"/>
      <c r="J55" s="5276"/>
      <c r="K55" s="106"/>
      <c r="L55" s="5289" t="s">
        <v>21</v>
      </c>
      <c r="M55" s="196" t="str">
        <f>M18</f>
        <v>C CHIBOUST PAMPLEMOUSSE | collez la--FAMILLE| Auteur &gt; VOUS</v>
      </c>
      <c r="N55" s="196">
        <f>N18</f>
        <v>18</v>
      </c>
      <c r="O55" s="197" t="str">
        <f>O18</f>
        <v>desserts</v>
      </c>
      <c r="P55" s="5388" t="str">
        <f>P18</f>
        <v>Recette mère ► Mille - feuille aux fraises des bois</v>
      </c>
      <c r="Q55" s="5403" t="s">
        <v>8022</v>
      </c>
      <c r="R55" s="988"/>
      <c r="S55" s="988"/>
      <c r="T55" s="988"/>
      <c r="U55" s="988"/>
      <c r="V55" s="988"/>
      <c r="W55" s="988"/>
      <c r="X55" s="988"/>
      <c r="Y55" s="988"/>
      <c r="Z55" s="1325"/>
      <c r="AA55" s="6210">
        <v>120</v>
      </c>
      <c r="AB55" s="77" t="s">
        <v>8023</v>
      </c>
      <c r="AC55" s="147"/>
      <c r="AD55" s="6211">
        <f>(AA55*AA49)/1000</f>
        <v>18</v>
      </c>
      <c r="AE55" s="4" t="s">
        <v>1</v>
      </c>
      <c r="AF55" s="6202" t="str">
        <f t="shared" si="18"/>
        <v>►</v>
      </c>
      <c r="AG55" s="6234" t="str">
        <f t="shared" si="19"/>
        <v/>
      </c>
      <c r="AH55" s="6732" t="str">
        <f t="shared" si="20"/>
        <v/>
      </c>
      <c r="AI55" s="6234" t="str">
        <f t="shared" si="21"/>
        <v/>
      </c>
      <c r="AJ55" s="6732" t="str">
        <f t="shared" si="22"/>
        <v/>
      </c>
      <c r="AK55" s="6732">
        <f t="shared" si="23"/>
        <v>0</v>
      </c>
      <c r="AL55" s="6230" t="str" cm="1">
        <f t="array" ref="AL55">IF(AF55&lt;&gt;"A","",IFERROR((IFERROR(_xlfn.XLOOKUP(TRIM(SUBSTITUTE(U55,CHAR(160)," ")),$BJ$15:$BJ$62,$BM$15:$BM$62),IFERROR(_xlfn.XLOOKUP(TRIM(SUBSTITUTE(U55,CHAR(160)," ")),$BK$15:$BK$62,$BM$15:$BM$62),_xlfn.XLOOKUP(TRIM(SUBSTITUTE(U55,CHAR(160)," ")),$BL$15:$BL$62,$BM$15:$BM$62))))*T55*IF(ISBLANK(Q55),1,Q55)+IFERROR(_xlfn.XLOOKUP("RECHERCHEX",TRIM(L55:AD55),L55:AD55),0),0))</f>
        <v/>
      </c>
      <c r="AM55" s="6229">
        <f t="shared" si="24"/>
        <v>0</v>
      </c>
      <c r="AN55" s="6857" t="str">
        <f t="shared" si="44"/>
        <v/>
      </c>
      <c r="AO55" s="392">
        <f t="shared" si="26"/>
        <v>0</v>
      </c>
      <c r="AP55" s="392">
        <f t="shared" si="27"/>
        <v>0</v>
      </c>
      <c r="AQ55" s="6191">
        <f t="shared" si="28"/>
        <v>0</v>
      </c>
      <c r="AR55" s="6859" t="str">
        <f t="shared" si="29"/>
        <v/>
      </c>
      <c r="AS55" s="6217"/>
      <c r="AT55" s="6217"/>
      <c r="AU55" s="6272">
        <f t="shared" si="30"/>
        <v>0</v>
      </c>
      <c r="AV55" s="6240">
        <f t="shared" si="31"/>
        <v>0</v>
      </c>
      <c r="AW55" s="6189" cm="1">
        <f t="array" ref="AW55">IF(AK55&lt;&gt;1,0,IF(OR(AU55="",N(AU55)&lt;=0.000000001),"",IF(OR(AO55="",N(AO55)&lt;=0.000000001),0,IF(ISNUMBER(AU55),IFERROR(_xlfn.LET(_xlpm.ai_test,TRIM(AJ55),_xlpm.r,IFERROR(_xlfn.XLOOKUP(_xlpm.ai_test,$BJ$15:$BJ$62,ROW($BJ$15:$BJ$62),0,1),IFERROR(_xlfn.XLOOKUP(_xlpm.ai_test,$BK$15:$BK$62,ROW($BK$15:$BK$62),0,1),_xlfn.XLOOKUP(_xlpm.ai_test,$BL$15:$BL$62,ROW($BL$15:$BL$62),0,1))),_xlpm.p,_xlpm.r-MIN(ROW($BJ$15:$BJ$62))+1,_xlpm.f,INDEX($BM$15:$BM$62,_xlpm.p),_xlpm.u,INDEX($BN$15:$BN$62,_xlpm.p),_xlpm.s,INDEX($BP$15:$BP$62,_xlpm.p),_xlpm.q,N(AU55)/_xlpm.f,IF(_xlpm.q&gt;=_xlpm.s,ROUND(_xlpm.q,1)&amp;" "&amp;_xlpm.ai_test&amp;" = "&amp;ROUND(_xlpm.q*_xlpm.f,1)&amp;" "&amp;_xlpm.u,ROUND(_xlpm.q,1)&amp;" "&amp;_xlpm.ai_test)),""),""))))</f>
        <v>0</v>
      </c>
      <c r="AX55" s="6218"/>
      <c r="AY55" s="6272">
        <f t="shared" si="32"/>
        <v>0</v>
      </c>
      <c r="AZ55" s="6240" t="str">
        <f t="shared" si="33"/>
        <v/>
      </c>
      <c r="BA55" s="6195">
        <f t="shared" si="40"/>
        <v>0</v>
      </c>
      <c r="BB55" s="6193" t="str">
        <f t="shared" si="34"/>
        <v/>
      </c>
      <c r="BC55" s="6219"/>
      <c r="BD55" s="6222">
        <f t="shared" si="42"/>
        <v>0</v>
      </c>
      <c r="BE55" s="6220" t="str">
        <f t="shared" si="36"/>
        <v/>
      </c>
      <c r="BF55" s="4" t="s">
        <v>1</v>
      </c>
      <c r="BG55" s="6196">
        <f t="shared" si="37"/>
        <v>0</v>
      </c>
      <c r="BH55" s="6197">
        <f t="shared" si="38"/>
        <v>0</v>
      </c>
      <c r="BI55" s="187"/>
      <c r="BJ55" s="6705" t="s">
        <v>100</v>
      </c>
      <c r="BK55" s="6705" t="s">
        <v>100</v>
      </c>
      <c r="BL55" s="6705" t="s">
        <v>9659</v>
      </c>
      <c r="BM55" s="6304">
        <f t="shared" si="43"/>
        <v>0.25</v>
      </c>
      <c r="BN55" s="6274" t="s">
        <v>8766</v>
      </c>
      <c r="BO55" s="6274" t="s">
        <v>8774</v>
      </c>
      <c r="BP55" s="223">
        <f t="shared" si="41"/>
        <v>4</v>
      </c>
      <c r="BQ55" s="222">
        <v>250</v>
      </c>
      <c r="BR55" s="187"/>
      <c r="BS55" s="187"/>
      <c r="BT55" s="187"/>
      <c r="BU55" s="187"/>
      <c r="BV55" s="187"/>
      <c r="BW55" s="187"/>
      <c r="BX55" s="20" t="str">
        <f t="shared" si="12"/>
        <v>►</v>
      </c>
      <c r="BY55" s="5819"/>
      <c r="BZ55" s="228"/>
      <c r="CA55" s="228"/>
      <c r="CB55" s="227"/>
      <c r="CC55" s="227"/>
      <c r="CD55" s="5661"/>
      <c r="CE55" s="5947" t="s">
        <v>8547</v>
      </c>
      <c r="CF55" s="5940"/>
      <c r="CG55" s="5940"/>
      <c r="CH55" s="5940"/>
      <c r="CI55" s="5940"/>
      <c r="CJ55" s="5940"/>
      <c r="CK55" s="5948" t="s">
        <v>8548</v>
      </c>
      <c r="CM55" s="5947" t="s">
        <v>9660</v>
      </c>
      <c r="CN55" s="5940"/>
      <c r="CO55" s="5940"/>
      <c r="CP55" s="5940"/>
      <c r="CQ55" s="5940"/>
      <c r="CR55" s="5940"/>
      <c r="CS55" s="5948" t="s">
        <v>9661</v>
      </c>
      <c r="CU55" s="5947" t="s">
        <v>9662</v>
      </c>
      <c r="CV55" s="5940"/>
      <c r="CW55" s="5940"/>
      <c r="CX55" s="5940"/>
      <c r="CY55" s="5940"/>
      <c r="CZ55" s="5940"/>
      <c r="DA55" s="5948" t="s">
        <v>9663</v>
      </c>
      <c r="DC55" s="5">
        <v>1</v>
      </c>
    </row>
    <row r="56" spans="1:107" s="1" customFormat="1" ht="21" customHeight="1">
      <c r="A56" s="5641" t="s">
        <v>1</v>
      </c>
      <c r="B56" s="5662" t="str">
        <f t="shared" si="11"/>
        <v>A</v>
      </c>
      <c r="C56" s="5825" cm="1">
        <f t="array" ref="C56">SUMPRODUCT(LEN(D56:J56))</f>
        <v>0</v>
      </c>
      <c r="D56" s="5275"/>
      <c r="E56" s="1361"/>
      <c r="F56" s="1361"/>
      <c r="G56" s="1361"/>
      <c r="H56" s="1361"/>
      <c r="I56" s="1361"/>
      <c r="J56" s="5276"/>
      <c r="K56" s="106"/>
      <c r="L56" s="5289" t="s">
        <v>21</v>
      </c>
      <c r="M56" s="196" t="str">
        <f>M18</f>
        <v>C CHIBOUST PAMPLEMOUSSE | collez la--FAMILLE| Auteur &gt; VOUS</v>
      </c>
      <c r="N56" s="196">
        <f>N18</f>
        <v>18</v>
      </c>
      <c r="O56" s="197" t="str">
        <f>O18</f>
        <v>desserts</v>
      </c>
      <c r="P56" s="5388" t="str">
        <f>P18</f>
        <v>Recette mère ► Mille - feuille aux fraises des bois</v>
      </c>
      <c r="Q56" s="5404" t="s">
        <v>8024</v>
      </c>
      <c r="R56" s="1449"/>
      <c r="S56" s="1449"/>
      <c r="T56" s="1449"/>
      <c r="U56" s="1449"/>
      <c r="V56" s="1449"/>
      <c r="W56" s="1449"/>
      <c r="X56" s="1449"/>
      <c r="Y56" s="1449"/>
      <c r="Z56" s="5295"/>
      <c r="AA56" s="6806">
        <v>2.7</v>
      </c>
      <c r="AB56" s="5297" t="str">
        <f>"poids par "&amp; AA50</f>
        <v>poids par Gastro 1/1</v>
      </c>
      <c r="AC56" s="147"/>
      <c r="AD56" s="609"/>
      <c r="AE56" s="4" t="s">
        <v>1</v>
      </c>
      <c r="AF56" s="6202" t="str">
        <f t="shared" si="18"/>
        <v>►</v>
      </c>
      <c r="AG56" s="6234" t="str">
        <f t="shared" si="19"/>
        <v/>
      </c>
      <c r="AH56" s="6732" t="str">
        <f t="shared" si="20"/>
        <v/>
      </c>
      <c r="AI56" s="6234" t="str">
        <f t="shared" si="21"/>
        <v/>
      </c>
      <c r="AJ56" s="6732" t="str">
        <f t="shared" si="22"/>
        <v/>
      </c>
      <c r="AK56" s="6732">
        <f t="shared" si="23"/>
        <v>0</v>
      </c>
      <c r="AL56" s="6230" t="str" cm="1">
        <f t="array" ref="AL56">IF(AF56&lt;&gt;"A","",IFERROR((IFERROR(_xlfn.XLOOKUP(TRIM(SUBSTITUTE(U56,CHAR(160)," ")),$BJ$15:$BJ$62,$BM$15:$BM$62),IFERROR(_xlfn.XLOOKUP(TRIM(SUBSTITUTE(U56,CHAR(160)," ")),$BK$15:$BK$62,$BM$15:$BM$62),_xlfn.XLOOKUP(TRIM(SUBSTITUTE(U56,CHAR(160)," ")),$BL$15:$BL$62,$BM$15:$BM$62))))*T56*IF(ISBLANK(Q56),1,Q56)+IFERROR(_xlfn.XLOOKUP("RECHERCHEX",TRIM(L56:AD56),L56:AD56),0),0))</f>
        <v/>
      </c>
      <c r="AM56" s="6229">
        <f t="shared" si="24"/>
        <v>0</v>
      </c>
      <c r="AN56" s="6857" t="str">
        <f t="shared" si="44"/>
        <v/>
      </c>
      <c r="AO56" s="392">
        <f t="shared" si="26"/>
        <v>0</v>
      </c>
      <c r="AP56" s="392">
        <f t="shared" si="27"/>
        <v>0</v>
      </c>
      <c r="AQ56" s="6190">
        <f t="shared" si="28"/>
        <v>0</v>
      </c>
      <c r="AR56" s="6858" t="str">
        <f t="shared" si="29"/>
        <v/>
      </c>
      <c r="AS56" s="6217"/>
      <c r="AT56" s="6217"/>
      <c r="AU56" s="6271">
        <f t="shared" si="30"/>
        <v>0</v>
      </c>
      <c r="AV56" s="6242">
        <f t="shared" si="31"/>
        <v>0</v>
      </c>
      <c r="AW56" s="6188" cm="1">
        <f t="array" ref="AW56">IF(AK56&lt;&gt;1,0,IF(OR(AU56="",N(AU56)&lt;=0.000000001),"",IF(OR(AO56="",N(AO56)&lt;=0.000000001),0,IF(ISNUMBER(AU56),IFERROR(_xlfn.LET(_xlpm.ai_test,TRIM(AJ56),_xlpm.r,IFERROR(_xlfn.XLOOKUP(_xlpm.ai_test,$BJ$15:$BJ$62,ROW($BJ$15:$BJ$62),0,1),IFERROR(_xlfn.XLOOKUP(_xlpm.ai_test,$BK$15:$BK$62,ROW($BK$15:$BK$62),0,1),_xlfn.XLOOKUP(_xlpm.ai_test,$BL$15:$BL$62,ROW($BL$15:$BL$62),0,1))),_xlpm.p,_xlpm.r-MIN(ROW($BJ$15:$BJ$62))+1,_xlpm.f,INDEX($BM$15:$BM$62,_xlpm.p),_xlpm.u,INDEX($BN$15:$BN$62,_xlpm.p),_xlpm.s,INDEX($BP$15:$BP$62,_xlpm.p),_xlpm.q,N(AU56)/_xlpm.f,IF(_xlpm.q&gt;=_xlpm.s,ROUND(_xlpm.q,1)&amp;" "&amp;_xlpm.ai_test&amp;" = "&amp;ROUND(_xlpm.q*_xlpm.f,1)&amp;" "&amp;_xlpm.u,ROUND(_xlpm.q,1)&amp;" "&amp;_xlpm.ai_test)),""),""))))</f>
        <v>0</v>
      </c>
      <c r="AX56" s="6218"/>
      <c r="AY56" s="6271">
        <f t="shared" si="32"/>
        <v>0</v>
      </c>
      <c r="AZ56" s="6242" t="str">
        <f t="shared" si="33"/>
        <v/>
      </c>
      <c r="BA56" s="6194">
        <f t="shared" si="40"/>
        <v>0</v>
      </c>
      <c r="BB56" s="6192" t="str">
        <f t="shared" si="34"/>
        <v/>
      </c>
      <c r="BC56" s="6219"/>
      <c r="BD56" s="6221">
        <f t="shared" si="42"/>
        <v>0</v>
      </c>
      <c r="BE56" s="6220" t="str">
        <f t="shared" si="36"/>
        <v/>
      </c>
      <c r="BF56" s="4" t="s">
        <v>1</v>
      </c>
      <c r="BG56" s="6196">
        <f t="shared" si="37"/>
        <v>0</v>
      </c>
      <c r="BH56" s="6197">
        <f t="shared" si="38"/>
        <v>0</v>
      </c>
      <c r="BI56" s="187"/>
      <c r="BJ56" s="6705" t="s">
        <v>97</v>
      </c>
      <c r="BK56" s="6705" t="s">
        <v>9664</v>
      </c>
      <c r="BL56" s="6705" t="s">
        <v>9665</v>
      </c>
      <c r="BM56" s="6304">
        <f t="shared" si="43"/>
        <v>0.23699999999999999</v>
      </c>
      <c r="BN56" s="6274" t="s">
        <v>8766</v>
      </c>
      <c r="BO56" s="6274" t="s">
        <v>8774</v>
      </c>
      <c r="BP56" s="223">
        <f t="shared" si="41"/>
        <v>4</v>
      </c>
      <c r="BQ56" s="222">
        <v>237</v>
      </c>
      <c r="BR56" s="187"/>
      <c r="BS56" s="187"/>
      <c r="BT56" s="187"/>
      <c r="BU56" s="187"/>
      <c r="BV56" s="187"/>
      <c r="BW56" s="187"/>
      <c r="BX56" s="20" t="str">
        <f t="shared" si="12"/>
        <v>►</v>
      </c>
      <c r="BY56" s="5819"/>
      <c r="BZ56" s="228"/>
      <c r="CA56" s="228"/>
      <c r="CB56" s="227"/>
      <c r="CC56" s="227"/>
      <c r="CD56" s="5661"/>
      <c r="CE56" s="5947" t="s">
        <v>8550</v>
      </c>
      <c r="CF56" s="5940"/>
      <c r="CG56" s="5940"/>
      <c r="CH56" s="5940"/>
      <c r="CI56" s="5940"/>
      <c r="CJ56" s="5940"/>
      <c r="CK56" s="5941"/>
      <c r="CM56" s="5947" t="s">
        <v>9666</v>
      </c>
      <c r="CN56" s="5940"/>
      <c r="CO56" s="5940"/>
      <c r="CP56" s="5940"/>
      <c r="CQ56" s="5940"/>
      <c r="CR56" s="5940"/>
      <c r="CS56" s="5948" t="s">
        <v>8813</v>
      </c>
      <c r="CU56" s="5947" t="s">
        <v>9667</v>
      </c>
      <c r="CV56" s="5940"/>
      <c r="CW56" s="5940"/>
      <c r="CX56" s="5940"/>
      <c r="CY56" s="5940"/>
      <c r="CZ56" s="5940"/>
      <c r="DA56" s="5948"/>
      <c r="DC56" s="5">
        <v>1</v>
      </c>
    </row>
    <row r="57" spans="1:107" s="1" customFormat="1" ht="21" customHeight="1">
      <c r="A57" s="5641" t="s">
        <v>1</v>
      </c>
      <c r="B57" s="5662" t="str">
        <f t="shared" si="11"/>
        <v>A</v>
      </c>
      <c r="C57" s="5825" cm="1">
        <f t="array" ref="C57">SUMPRODUCT(LEN(D57:J57))</f>
        <v>0</v>
      </c>
      <c r="D57" s="5275"/>
      <c r="E57" s="1361"/>
      <c r="F57" s="1361"/>
      <c r="G57" s="1361"/>
      <c r="H57" s="1361"/>
      <c r="I57" s="1361"/>
      <c r="J57" s="5276"/>
      <c r="K57" s="106"/>
      <c r="L57" s="5289" t="s">
        <v>21</v>
      </c>
      <c r="M57" s="196" t="str">
        <f>M18</f>
        <v>C CHIBOUST PAMPLEMOUSSE | collez la--FAMILLE| Auteur &gt; VOUS</v>
      </c>
      <c r="N57" s="196">
        <f>N18</f>
        <v>18</v>
      </c>
      <c r="O57" s="197" t="str">
        <f>O18</f>
        <v>desserts</v>
      </c>
      <c r="P57" s="5388" t="str">
        <f>P18</f>
        <v>Recette mère ► Mille - feuille aux fraises des bois</v>
      </c>
      <c r="Q57" s="1002"/>
      <c r="R57" s="1002"/>
      <c r="S57" s="1002" t="s">
        <v>873</v>
      </c>
      <c r="T57" s="1003"/>
      <c r="U57" s="1329"/>
      <c r="V57" s="1329"/>
      <c r="W57" s="1329"/>
      <c r="X57" s="1329"/>
      <c r="Y57" s="1329"/>
      <c r="Z57" s="1330"/>
      <c r="AA57" s="6882" t="str">
        <f>IF(OR(AD55&lt;=0,AA56&lt;=0),"",_xlfn.LET(_xlpm.n,ROUND(AD55/AA56,9),_xlpm.q,INT(_xlpm.n),_xlpm.r,ROUND(AD55-_xlpm.q*AA56,9),_xlpm.base,_xlpm.q&amp;" "&amp;AA50&amp;" de "&amp;TEXT(AA56,"0.000")&amp;" kg",IF(_xlpm.r&lt;=0.000000001,_xlpm.base,_xlpm.base&amp;" + 1 "&amp;AA50&amp;" de "&amp;TEXT(_xlpm.r,"0.000")&amp;" kg")))</f>
        <v>6 Gastro 1/1 de 2.700 kg + 1 Gastro 1/1 de 1.800 kg</v>
      </c>
      <c r="AB57" s="6883"/>
      <c r="AC57" s="6883"/>
      <c r="AD57" s="6884"/>
      <c r="AE57" s="4" t="s">
        <v>1</v>
      </c>
      <c r="AF57" s="6202" t="str">
        <f t="shared" si="18"/>
        <v>►</v>
      </c>
      <c r="AG57" s="6234" t="str">
        <f t="shared" si="19"/>
        <v/>
      </c>
      <c r="AH57" s="6732" t="str">
        <f t="shared" si="20"/>
        <v/>
      </c>
      <c r="AI57" s="6234" t="str">
        <f t="shared" si="21"/>
        <v/>
      </c>
      <c r="AJ57" s="6732" t="str">
        <f t="shared" si="22"/>
        <v/>
      </c>
      <c r="AK57" s="6732">
        <f t="shared" si="23"/>
        <v>0</v>
      </c>
      <c r="AL57" s="6230" t="str" cm="1">
        <f t="array" ref="AL57">IF(AF57&lt;&gt;"A","",IFERROR((IFERROR(_xlfn.XLOOKUP(TRIM(SUBSTITUTE(U57,CHAR(160)," ")),$BJ$15:$BJ$62,$BM$15:$BM$62),IFERROR(_xlfn.XLOOKUP(TRIM(SUBSTITUTE(U57,CHAR(160)," ")),$BK$15:$BK$62,$BM$15:$BM$62),_xlfn.XLOOKUP(TRIM(SUBSTITUTE(U57,CHAR(160)," ")),$BL$15:$BL$62,$BM$15:$BM$62))))*T57*IF(ISBLANK(Q57),1,Q57)+IFERROR(_xlfn.XLOOKUP("RECHERCHEX",TRIM(L57:AD57),L57:AD57),0),0))</f>
        <v/>
      </c>
      <c r="AM57" s="6229">
        <f t="shared" si="24"/>
        <v>0</v>
      </c>
      <c r="AN57" s="6857" t="str">
        <f t="shared" si="44"/>
        <v/>
      </c>
      <c r="AO57" s="392">
        <f t="shared" si="26"/>
        <v>0</v>
      </c>
      <c r="AP57" s="392">
        <f t="shared" si="27"/>
        <v>0</v>
      </c>
      <c r="AQ57" s="6191">
        <f t="shared" si="28"/>
        <v>0</v>
      </c>
      <c r="AR57" s="6859" t="str">
        <f t="shared" si="29"/>
        <v/>
      </c>
      <c r="AS57" s="6217"/>
      <c r="AT57" s="6217"/>
      <c r="AU57" s="6272">
        <f t="shared" si="30"/>
        <v>0</v>
      </c>
      <c r="AV57" s="6240">
        <f t="shared" si="31"/>
        <v>0</v>
      </c>
      <c r="AW57" s="6189" cm="1">
        <f t="array" ref="AW57">IF(AK57&lt;&gt;1,0,IF(OR(AU57="",N(AU57)&lt;=0.000000001),"",IF(OR(AO57="",N(AO57)&lt;=0.000000001),0,IF(ISNUMBER(AU57),IFERROR(_xlfn.LET(_xlpm.ai_test,TRIM(AJ57),_xlpm.r,IFERROR(_xlfn.XLOOKUP(_xlpm.ai_test,$BJ$15:$BJ$62,ROW($BJ$15:$BJ$62),0,1),IFERROR(_xlfn.XLOOKUP(_xlpm.ai_test,$BK$15:$BK$62,ROW($BK$15:$BK$62),0,1),_xlfn.XLOOKUP(_xlpm.ai_test,$BL$15:$BL$62,ROW($BL$15:$BL$62),0,1))),_xlpm.p,_xlpm.r-MIN(ROW($BJ$15:$BJ$62))+1,_xlpm.f,INDEX($BM$15:$BM$62,_xlpm.p),_xlpm.u,INDEX($BN$15:$BN$62,_xlpm.p),_xlpm.s,INDEX($BP$15:$BP$62,_xlpm.p),_xlpm.q,N(AU57)/_xlpm.f,IF(_xlpm.q&gt;=_xlpm.s,ROUND(_xlpm.q,1)&amp;" "&amp;_xlpm.ai_test&amp;" = "&amp;ROUND(_xlpm.q*_xlpm.f,1)&amp;" "&amp;_xlpm.u,ROUND(_xlpm.q,1)&amp;" "&amp;_xlpm.ai_test)),""),""))))</f>
        <v>0</v>
      </c>
      <c r="AX57" s="6218"/>
      <c r="AY57" s="6272">
        <f t="shared" si="32"/>
        <v>0</v>
      </c>
      <c r="AZ57" s="6240" t="str">
        <f t="shared" si="33"/>
        <v/>
      </c>
      <c r="BA57" s="6195">
        <f t="shared" si="40"/>
        <v>0</v>
      </c>
      <c r="BB57" s="6193" t="str">
        <f t="shared" si="34"/>
        <v/>
      </c>
      <c r="BC57" s="6219"/>
      <c r="BD57" s="6222">
        <f t="shared" si="42"/>
        <v>0</v>
      </c>
      <c r="BE57" s="6220" t="str">
        <f t="shared" si="36"/>
        <v/>
      </c>
      <c r="BF57" s="4" t="s">
        <v>1</v>
      </c>
      <c r="BG57" s="6196">
        <f t="shared" si="37"/>
        <v>0</v>
      </c>
      <c r="BH57" s="6197">
        <f t="shared" si="38"/>
        <v>0</v>
      </c>
      <c r="BI57" s="187"/>
      <c r="BJ57" s="6705" t="s">
        <v>95</v>
      </c>
      <c r="BK57" s="6705" t="s">
        <v>95</v>
      </c>
      <c r="BL57" s="6705" t="s">
        <v>9668</v>
      </c>
      <c r="BM57" s="6304">
        <f t="shared" si="43"/>
        <v>0.47299999999999998</v>
      </c>
      <c r="BN57" s="6274" t="s">
        <v>8766</v>
      </c>
      <c r="BO57" s="6274" t="s">
        <v>8774</v>
      </c>
      <c r="BP57" s="223">
        <f t="shared" si="41"/>
        <v>2</v>
      </c>
      <c r="BQ57" s="222">
        <v>473</v>
      </c>
      <c r="BR57"/>
      <c r="BS57"/>
      <c r="BT57"/>
      <c r="BU57"/>
      <c r="BV57"/>
      <c r="BW57"/>
      <c r="BX57" s="20" t="str">
        <f t="shared" si="12"/>
        <v>►</v>
      </c>
      <c r="BY57" s="5819"/>
      <c r="BZ57" s="228"/>
      <c r="CA57" s="228"/>
      <c r="CB57" s="227"/>
      <c r="CC57" s="227"/>
      <c r="CD57" s="5661"/>
      <c r="CE57" s="954"/>
      <c r="CF57" s="955"/>
      <c r="CG57" s="955"/>
      <c r="CH57" s="955"/>
      <c r="CI57" s="955"/>
      <c r="CJ57" s="955"/>
      <c r="CK57" s="956"/>
      <c r="CM57" s="954"/>
      <c r="CN57" s="955"/>
      <c r="CO57" s="955"/>
      <c r="CP57" s="955"/>
      <c r="CQ57" s="955"/>
      <c r="CR57" s="955"/>
      <c r="CS57" s="956"/>
      <c r="CU57" s="954"/>
      <c r="CV57" s="955"/>
      <c r="CW57" s="955"/>
      <c r="CX57" s="955"/>
      <c r="CY57" s="955"/>
      <c r="CZ57" s="955"/>
      <c r="DA57" s="6301" t="s">
        <v>8826</v>
      </c>
      <c r="DC57" s="5">
        <v>1</v>
      </c>
    </row>
    <row r="58" spans="1:107" s="1" customFormat="1" ht="21" customHeight="1">
      <c r="A58" s="5641" t="s">
        <v>1</v>
      </c>
      <c r="B58" s="5662" t="str">
        <f t="shared" si="11"/>
        <v>A</v>
      </c>
      <c r="C58" s="5825" cm="1">
        <f t="array" ref="C58">SUMPRODUCT(LEN(D58:J58))</f>
        <v>0</v>
      </c>
      <c r="D58" s="5275"/>
      <c r="E58" s="1361"/>
      <c r="F58" s="1361"/>
      <c r="G58" s="1361"/>
      <c r="H58" s="1361"/>
      <c r="I58" s="1361"/>
      <c r="J58" s="5276"/>
      <c r="K58" s="106"/>
      <c r="L58" s="5289" t="s">
        <v>21</v>
      </c>
      <c r="M58" s="5298" t="str">
        <f>M18</f>
        <v>C CHIBOUST PAMPLEMOUSSE | collez la--FAMILLE| Auteur &gt; VOUS</v>
      </c>
      <c r="N58" s="5298">
        <f>N18</f>
        <v>18</v>
      </c>
      <c r="O58" s="5378" t="str">
        <f>O18</f>
        <v>desserts</v>
      </c>
      <c r="P58" s="5389" t="str">
        <f>P18</f>
        <v>Recette mère ► Mille - feuille aux fraises des bois</v>
      </c>
      <c r="Q58" s="5299" t="s">
        <v>8375</v>
      </c>
      <c r="R58" s="5300"/>
      <c r="S58" s="5301"/>
      <c r="T58" s="5302"/>
      <c r="U58" s="5301"/>
      <c r="V58" s="5301"/>
      <c r="W58" s="5301"/>
      <c r="X58" s="5301"/>
      <c r="Y58" s="5301"/>
      <c r="Z58" s="5303"/>
      <c r="AA58" s="6885"/>
      <c r="AB58" s="6886"/>
      <c r="AC58" s="6886"/>
      <c r="AD58" s="6887"/>
      <c r="AE58" s="4" t="s">
        <v>1</v>
      </c>
      <c r="AF58" s="6202" t="str">
        <f t="shared" si="18"/>
        <v>►</v>
      </c>
      <c r="AG58" s="6234" t="str">
        <f t="shared" si="19"/>
        <v/>
      </c>
      <c r="AH58" s="6732" t="str">
        <f t="shared" si="20"/>
        <v/>
      </c>
      <c r="AI58" s="6234" t="str">
        <f t="shared" si="21"/>
        <v/>
      </c>
      <c r="AJ58" s="6732" t="str">
        <f t="shared" si="22"/>
        <v/>
      </c>
      <c r="AK58" s="6732">
        <f t="shared" si="23"/>
        <v>0</v>
      </c>
      <c r="AL58" s="6230" t="str" cm="1">
        <f t="array" ref="AL58">IF(AF58&lt;&gt;"A","",IFERROR((IFERROR(_xlfn.XLOOKUP(TRIM(SUBSTITUTE(U58,CHAR(160)," ")),$BJ$15:$BJ$62,$BM$15:$BM$62),IFERROR(_xlfn.XLOOKUP(TRIM(SUBSTITUTE(U58,CHAR(160)," ")),$BK$15:$BK$62,$BM$15:$BM$62),_xlfn.XLOOKUP(TRIM(SUBSTITUTE(U58,CHAR(160)," ")),$BL$15:$BL$62,$BM$15:$BM$62))))*T58*IF(ISBLANK(Q58),1,Q58)+IFERROR(_xlfn.XLOOKUP("RECHERCHEX",TRIM(L58:AD58),L58:AD58),0),0))</f>
        <v/>
      </c>
      <c r="AM58" s="6229">
        <f t="shared" si="24"/>
        <v>0</v>
      </c>
      <c r="AN58" s="6857" t="str">
        <f t="shared" si="44"/>
        <v/>
      </c>
      <c r="AO58" s="392">
        <f t="shared" si="26"/>
        <v>0</v>
      </c>
      <c r="AP58" s="392">
        <f t="shared" si="27"/>
        <v>0</v>
      </c>
      <c r="AQ58" s="6190">
        <f t="shared" si="28"/>
        <v>0</v>
      </c>
      <c r="AR58" s="6858" t="str">
        <f t="shared" si="29"/>
        <v/>
      </c>
      <c r="AS58" s="6217"/>
      <c r="AT58" s="6217"/>
      <c r="AU58" s="6271">
        <f t="shared" si="30"/>
        <v>0</v>
      </c>
      <c r="AV58" s="6242">
        <f t="shared" si="31"/>
        <v>0</v>
      </c>
      <c r="AW58" s="6188" cm="1">
        <f t="array" ref="AW58">IF(AK58&lt;&gt;1,0,IF(OR(AU58="",N(AU58)&lt;=0.000000001),"",IF(OR(AO58="",N(AO58)&lt;=0.000000001),0,IF(ISNUMBER(AU58),IFERROR(_xlfn.LET(_xlpm.ai_test,TRIM(AJ58),_xlpm.r,IFERROR(_xlfn.XLOOKUP(_xlpm.ai_test,$BJ$15:$BJ$62,ROW($BJ$15:$BJ$62),0,1),IFERROR(_xlfn.XLOOKUP(_xlpm.ai_test,$BK$15:$BK$62,ROW($BK$15:$BK$62),0,1),_xlfn.XLOOKUP(_xlpm.ai_test,$BL$15:$BL$62,ROW($BL$15:$BL$62),0,1))),_xlpm.p,_xlpm.r-MIN(ROW($BJ$15:$BJ$62))+1,_xlpm.f,INDEX($BM$15:$BM$62,_xlpm.p),_xlpm.u,INDEX($BN$15:$BN$62,_xlpm.p),_xlpm.s,INDEX($BP$15:$BP$62,_xlpm.p),_xlpm.q,N(AU58)/_xlpm.f,IF(_xlpm.q&gt;=_xlpm.s,ROUND(_xlpm.q,1)&amp;" "&amp;_xlpm.ai_test&amp;" = "&amp;ROUND(_xlpm.q*_xlpm.f,1)&amp;" "&amp;_xlpm.u,ROUND(_xlpm.q,1)&amp;" "&amp;_xlpm.ai_test)),""),""))))</f>
        <v>0</v>
      </c>
      <c r="AX58" s="6218"/>
      <c r="AY58" s="6271">
        <f t="shared" si="32"/>
        <v>0</v>
      </c>
      <c r="AZ58" s="6242" t="str">
        <f t="shared" si="33"/>
        <v/>
      </c>
      <c r="BA58" s="6194">
        <f t="shared" si="40"/>
        <v>0</v>
      </c>
      <c r="BB58" s="6192" t="str">
        <f t="shared" si="34"/>
        <v/>
      </c>
      <c r="BC58" s="6219"/>
      <c r="BD58" s="6221">
        <f t="shared" si="42"/>
        <v>0</v>
      </c>
      <c r="BE58" s="6220" t="str">
        <f t="shared" si="36"/>
        <v/>
      </c>
      <c r="BF58" s="4" t="s">
        <v>1</v>
      </c>
      <c r="BG58" s="6196">
        <f t="shared" si="37"/>
        <v>0</v>
      </c>
      <c r="BH58" s="6197">
        <f t="shared" si="38"/>
        <v>0</v>
      </c>
      <c r="BI58" s="187"/>
      <c r="BJ58" s="6705" t="s">
        <v>93</v>
      </c>
      <c r="BK58" s="6705" t="s">
        <v>9669</v>
      </c>
      <c r="BL58" s="6705" t="s">
        <v>9670</v>
      </c>
      <c r="BM58" s="6304">
        <f t="shared" si="43"/>
        <v>0.47299999999999998</v>
      </c>
      <c r="BN58" s="6274" t="s">
        <v>8766</v>
      </c>
      <c r="BO58" s="6274" t="s">
        <v>8774</v>
      </c>
      <c r="BP58" s="223">
        <f t="shared" si="41"/>
        <v>2</v>
      </c>
      <c r="BQ58" s="222">
        <v>473</v>
      </c>
      <c r="BR58"/>
      <c r="BS58"/>
      <c r="BT58"/>
      <c r="BU58"/>
      <c r="BV58"/>
      <c r="BW58"/>
      <c r="BX58" s="20" t="str">
        <f t="shared" si="12"/>
        <v>►</v>
      </c>
      <c r="BY58" s="6931" t="s">
        <v>8772</v>
      </c>
      <c r="BZ58" s="6931"/>
      <c r="CA58" s="6931"/>
      <c r="CB58" s="6931"/>
      <c r="CC58" s="6931"/>
      <c r="CD58" s="5661"/>
      <c r="CE58" s="5965" t="s">
        <v>367</v>
      </c>
      <c r="CF58" s="5966"/>
      <c r="CG58" s="5966"/>
      <c r="CH58" s="5966"/>
      <c r="CI58" s="5966"/>
      <c r="CJ58" s="5966"/>
      <c r="CK58" s="5967"/>
      <c r="CM58" s="5965" t="s">
        <v>367</v>
      </c>
      <c r="CN58" s="5966"/>
      <c r="CO58" s="5966"/>
      <c r="CP58" s="5966"/>
      <c r="CQ58" s="5966"/>
      <c r="CR58" s="5966"/>
      <c r="CS58" s="5967"/>
      <c r="CU58" s="5965" t="s">
        <v>367</v>
      </c>
      <c r="CV58" s="5966"/>
      <c r="CW58" s="5966"/>
      <c r="CX58" s="5966"/>
      <c r="CY58" s="5966"/>
      <c r="CZ58" s="5966"/>
      <c r="DA58" s="5967"/>
      <c r="DC58" s="5">
        <v>1</v>
      </c>
    </row>
    <row r="59" spans="1:107" s="1" customFormat="1" ht="21" customHeight="1" thickBot="1">
      <c r="A59" s="5641" t="s">
        <v>1</v>
      </c>
      <c r="B59" s="5662" t="str">
        <f t="shared" si="11"/>
        <v>A</v>
      </c>
      <c r="C59" s="5825" cm="1">
        <f t="array" ref="C59">SUMPRODUCT(LEN(D59:J59))</f>
        <v>0</v>
      </c>
      <c r="D59" s="5275"/>
      <c r="E59" s="1361"/>
      <c r="F59" s="1361"/>
      <c r="G59" s="1361"/>
      <c r="H59" s="1361"/>
      <c r="I59" s="1361"/>
      <c r="J59" s="5276"/>
      <c r="K59" s="106" t="s">
        <v>1</v>
      </c>
      <c r="L59" s="5304" t="s">
        <v>21</v>
      </c>
      <c r="M59" s="5305"/>
      <c r="N59" s="5305"/>
      <c r="O59" s="5305"/>
      <c r="P59" s="6241"/>
      <c r="Q59" s="5306" t="s">
        <v>269</v>
      </c>
      <c r="R59" s="5307" t="str">
        <f ca="1">CELL("nomfichier")</f>
        <v>D:\Données\1.UPRT\0-UPRT.fait\1-UPRT.FR-SITE-WEB\ff-fiches-fabrications\ff.fiches.fabrication.2023\ffr.restaurant.2023\[ff.REPERTOIRE.600.LIGNES.15.xlsx]Differents.postits.FR.EN.ES</v>
      </c>
      <c r="S59" s="5308"/>
      <c r="T59" s="5308"/>
      <c r="U59" s="5308"/>
      <c r="V59" s="5308"/>
      <c r="W59" s="5308"/>
      <c r="X59" s="5308"/>
      <c r="Y59" s="5308"/>
      <c r="Z59" s="5308"/>
      <c r="AA59" s="5308"/>
      <c r="AB59" s="5308"/>
      <c r="AC59" s="5308"/>
      <c r="AD59" s="5309"/>
      <c r="AE59" s="4" t="s">
        <v>1</v>
      </c>
      <c r="AF59" s="6202" t="str">
        <f t="shared" si="18"/>
        <v>A</v>
      </c>
      <c r="AG59" s="6234" t="str">
        <f t="shared" si="19"/>
        <v>▼ recette suivante</v>
      </c>
      <c r="AH59" s="6732">
        <f t="shared" si="20"/>
        <v>0</v>
      </c>
      <c r="AI59" s="6234">
        <f t="shared" si="21"/>
        <v>0</v>
      </c>
      <c r="AJ59" s="6732">
        <f t="shared" si="22"/>
        <v>0</v>
      </c>
      <c r="AK59" s="6732">
        <f t="shared" si="23"/>
        <v>0</v>
      </c>
      <c r="AL59" s="6230" cm="1">
        <f t="array" aca="1" ref="AL59" ca="1">IF(AF59&lt;&gt;"A","",IFERROR((IFERROR(_xlfn.XLOOKUP(TRIM(SUBSTITUTE(U59,CHAR(160)," ")),$BJ$15:$BJ$62,$BM$15:$BM$62),IFERROR(_xlfn.XLOOKUP(TRIM(SUBSTITUTE(U59,CHAR(160)," ")),$BK$15:$BK$62,$BM$15:$BM$62),_xlfn.XLOOKUP(TRIM(SUBSTITUTE(U59,CHAR(160)," ")),$BL$15:$BL$62,$BM$15:$BM$62))))*T59*IF(ISBLANK(Q59),1,Q59)+IFERROR(_xlfn.XLOOKUP("RECHERCHEX",TRIM(L59:AD59),L59:AD59),0),0))</f>
        <v>0</v>
      </c>
      <c r="AM59" s="6229">
        <f t="shared" si="24"/>
        <v>0</v>
      </c>
      <c r="AN59" s="6857" t="str">
        <f t="shared" si="44"/>
        <v>❾ Author reference &gt;</v>
      </c>
      <c r="AO59" s="392">
        <f t="shared" si="26"/>
        <v>0</v>
      </c>
      <c r="AP59" s="392">
        <f t="shared" si="27"/>
        <v>0</v>
      </c>
      <c r="AQ59" s="6191">
        <f t="shared" si="28"/>
        <v>0</v>
      </c>
      <c r="AR59" s="6859" t="str">
        <f t="shared" si="29"/>
        <v>▼ recette suivante</v>
      </c>
      <c r="AS59" s="6217"/>
      <c r="AT59" s="6217"/>
      <c r="AU59" s="6272">
        <f t="shared" si="30"/>
        <v>0</v>
      </c>
      <c r="AV59" s="6240">
        <f t="shared" si="31"/>
        <v>0</v>
      </c>
      <c r="AW59" s="6189" cm="1">
        <f t="array" ref="AW59">IF(AK59&lt;&gt;1,0,IF(OR(AU59="",N(AU59)&lt;=0.000000001),"",IF(OR(AO59="",N(AO59)&lt;=0.000000001),0,IF(ISNUMBER(AU59),IFERROR(_xlfn.LET(_xlpm.ai_test,TRIM(AJ59),_xlpm.r,IFERROR(_xlfn.XLOOKUP(_xlpm.ai_test,$BJ$15:$BJ$62,ROW($BJ$15:$BJ$62),0,1),IFERROR(_xlfn.XLOOKUP(_xlpm.ai_test,$BK$15:$BK$62,ROW($BK$15:$BK$62),0,1),_xlfn.XLOOKUP(_xlpm.ai_test,$BL$15:$BL$62,ROW($BL$15:$BL$62),0,1))),_xlpm.p,_xlpm.r-MIN(ROW($BJ$15:$BJ$62))+1,_xlpm.f,INDEX($BM$15:$BM$62,_xlpm.p),_xlpm.u,INDEX($BN$15:$BN$62,_xlpm.p),_xlpm.s,INDEX($BP$15:$BP$62,_xlpm.p),_xlpm.q,N(AU59)/_xlpm.f,IF(_xlpm.q&gt;=_xlpm.s,ROUND(_xlpm.q,1)&amp;" "&amp;_xlpm.ai_test&amp;" = "&amp;ROUND(_xlpm.q*_xlpm.f,1)&amp;" "&amp;_xlpm.u,ROUND(_xlpm.q,1)&amp;" "&amp;_xlpm.ai_test)),""),""))))</f>
        <v>0</v>
      </c>
      <c r="AX59" s="6218"/>
      <c r="AY59" s="6272" t="str">
        <f t="shared" si="32"/>
        <v xml:space="preserve">▼next recipe </v>
      </c>
      <c r="AZ59" s="6240" t="str">
        <f t="shared" si="33"/>
        <v/>
      </c>
      <c r="BA59" s="6195">
        <f t="shared" si="40"/>
        <v>0</v>
      </c>
      <c r="BB59" s="6193" t="str">
        <f t="shared" si="34"/>
        <v/>
      </c>
      <c r="BC59" s="6219"/>
      <c r="BD59" s="6222">
        <f t="shared" si="42"/>
        <v>0</v>
      </c>
      <c r="BE59" s="6220" t="str">
        <f t="shared" si="36"/>
        <v>▼ receta siguiente</v>
      </c>
      <c r="BF59" s="4" t="s">
        <v>1</v>
      </c>
      <c r="BG59" s="6196">
        <f t="shared" si="37"/>
        <v>0</v>
      </c>
      <c r="BH59" s="6197">
        <f t="shared" ca="1" si="38"/>
        <v>0</v>
      </c>
      <c r="BI59" s="187"/>
      <c r="BJ59" s="6705" t="s">
        <v>92</v>
      </c>
      <c r="BK59" s="6705" t="s">
        <v>9671</v>
      </c>
      <c r="BL59" s="6705" t="s">
        <v>9672</v>
      </c>
      <c r="BM59" s="6304">
        <f t="shared" si="43"/>
        <v>0.56799999999999995</v>
      </c>
      <c r="BN59" s="6274" t="s">
        <v>8766</v>
      </c>
      <c r="BO59" s="6274" t="s">
        <v>8774</v>
      </c>
      <c r="BP59" s="223">
        <f t="shared" si="41"/>
        <v>2</v>
      </c>
      <c r="BQ59" s="222">
        <v>568</v>
      </c>
      <c r="BR59"/>
      <c r="BS59"/>
      <c r="BT59"/>
      <c r="BU59"/>
      <c r="BV59"/>
      <c r="BW59"/>
      <c r="BX59" s="20" t="str">
        <f t="shared" si="12"/>
        <v>A</v>
      </c>
      <c r="BY59" s="6931"/>
      <c r="BZ59" s="6931"/>
      <c r="CA59" s="6931"/>
      <c r="CB59" s="6931"/>
      <c r="CC59" s="6931"/>
      <c r="CD59" s="5661"/>
      <c r="CE59" s="6932" t="s">
        <v>8563</v>
      </c>
      <c r="CF59" s="6933"/>
      <c r="CG59" s="6933"/>
      <c r="CH59" s="6933"/>
      <c r="CI59" s="6933"/>
      <c r="CJ59" s="6933"/>
      <c r="CK59" s="6934"/>
      <c r="CM59" s="6932" t="s">
        <v>8790</v>
      </c>
      <c r="CN59" s="6933"/>
      <c r="CO59" s="6933"/>
      <c r="CP59" s="6933"/>
      <c r="CQ59" s="6933"/>
      <c r="CR59" s="6933"/>
      <c r="CS59" s="6934"/>
      <c r="CU59" s="6932" t="s">
        <v>8802</v>
      </c>
      <c r="CV59" s="6933"/>
      <c r="CW59" s="6933"/>
      <c r="CX59" s="6933"/>
      <c r="CY59" s="6933"/>
      <c r="CZ59" s="6933"/>
      <c r="DA59" s="6934"/>
      <c r="DC59" s="5">
        <v>1</v>
      </c>
    </row>
    <row r="60" spans="1:107" s="1" customFormat="1" ht="21" customHeight="1" thickBot="1">
      <c r="A60" s="5641" t="s">
        <v>1</v>
      </c>
      <c r="B60" s="5662" t="str">
        <f t="shared" si="11"/>
        <v>A</v>
      </c>
      <c r="C60" s="5825" cm="1">
        <f t="array" ref="C60">SUMPRODUCT(LEN(D60:J60))</f>
        <v>0</v>
      </c>
      <c r="D60" s="5275"/>
      <c r="E60" s="1361"/>
      <c r="F60" s="1361"/>
      <c r="G60" s="1361"/>
      <c r="H60" s="1361"/>
      <c r="I60" s="1361"/>
      <c r="J60" s="5276"/>
      <c r="K60" s="106" t="s">
        <v>1</v>
      </c>
      <c r="L60" s="6834" t="s">
        <v>21</v>
      </c>
      <c r="M60" s="6835" t="s">
        <v>21</v>
      </c>
      <c r="N60" s="6835" t="s">
        <v>21</v>
      </c>
      <c r="O60" s="6835" t="s">
        <v>21</v>
      </c>
      <c r="P60" s="6835" t="s">
        <v>21</v>
      </c>
      <c r="Q60" s="6836" t="s">
        <v>10677</v>
      </c>
      <c r="R60" s="6837"/>
      <c r="S60" s="6838"/>
      <c r="T60" s="6839"/>
      <c r="U60" s="6840"/>
      <c r="V60" s="6841"/>
      <c r="W60" s="6839"/>
      <c r="X60" s="6839"/>
      <c r="Y60" s="6839"/>
      <c r="Z60" s="6837"/>
      <c r="AA60" s="6837"/>
      <c r="AB60" s="6837"/>
      <c r="AC60" s="6837"/>
      <c r="AD60" s="6842" t="s">
        <v>262</v>
      </c>
      <c r="AE60" s="4" t="s">
        <v>1</v>
      </c>
      <c r="AF60" s="6202" t="str">
        <f t="shared" si="18"/>
        <v>►</v>
      </c>
      <c r="AG60" s="6234" t="str">
        <f t="shared" si="19"/>
        <v/>
      </c>
      <c r="AH60" s="6732" t="str">
        <f t="shared" si="20"/>
        <v/>
      </c>
      <c r="AI60" s="6234" t="str">
        <f t="shared" si="21"/>
        <v/>
      </c>
      <c r="AJ60" s="6732" t="str">
        <f t="shared" si="22"/>
        <v/>
      </c>
      <c r="AK60" s="6732">
        <f t="shared" si="23"/>
        <v>0</v>
      </c>
      <c r="AL60" s="6230" t="str" cm="1">
        <f t="array" ref="AL60">IF(AF60&lt;&gt;"A","",IFERROR((IFERROR(_xlfn.XLOOKUP(TRIM(SUBSTITUTE(U60,CHAR(160)," ")),$BJ$15:$BJ$62,$BM$15:$BM$62),IFERROR(_xlfn.XLOOKUP(TRIM(SUBSTITUTE(U60,CHAR(160)," ")),$BK$15:$BK$62,$BM$15:$BM$62),_xlfn.XLOOKUP(TRIM(SUBSTITUTE(U60,CHAR(160)," ")),$BL$15:$BL$62,$BM$15:$BM$62))))*T60*IF(ISBLANK(Q60),1,Q60)+IFERROR(_xlfn.XLOOKUP("RECHERCHEX",TRIM(L60:AD60),L60:AD60),0),0))</f>
        <v/>
      </c>
      <c r="AM60" s="6229">
        <f t="shared" si="24"/>
        <v>0</v>
      </c>
      <c r="AN60" s="6857" t="str">
        <f t="shared" si="44"/>
        <v/>
      </c>
      <c r="AO60" s="392">
        <f t="shared" si="26"/>
        <v>0</v>
      </c>
      <c r="AP60" s="392">
        <f t="shared" si="27"/>
        <v>0</v>
      </c>
      <c r="AQ60" s="6190">
        <f t="shared" si="28"/>
        <v>0</v>
      </c>
      <c r="AR60" s="6858" t="str">
        <f t="shared" si="29"/>
        <v/>
      </c>
      <c r="AS60" s="6217"/>
      <c r="AT60" s="6217"/>
      <c r="AU60" s="6271">
        <f t="shared" si="30"/>
        <v>0</v>
      </c>
      <c r="AV60" s="6242">
        <f t="shared" si="31"/>
        <v>0</v>
      </c>
      <c r="AW60" s="6188" cm="1">
        <f t="array" ref="AW60">IF(AK60&lt;&gt;1,0,IF(OR(AU60="",N(AU60)&lt;=0.000000001),"",IF(OR(AO60="",N(AO60)&lt;=0.000000001),0,IF(ISNUMBER(AU60),IFERROR(_xlfn.LET(_xlpm.ai_test,TRIM(AJ60),_xlpm.r,IFERROR(_xlfn.XLOOKUP(_xlpm.ai_test,$BJ$15:$BJ$62,ROW($BJ$15:$BJ$62),0,1),IFERROR(_xlfn.XLOOKUP(_xlpm.ai_test,$BK$15:$BK$62,ROW($BK$15:$BK$62),0,1),_xlfn.XLOOKUP(_xlpm.ai_test,$BL$15:$BL$62,ROW($BL$15:$BL$62),0,1))),_xlpm.p,_xlpm.r-MIN(ROW($BJ$15:$BJ$62))+1,_xlpm.f,INDEX($BM$15:$BM$62,_xlpm.p),_xlpm.u,INDEX($BN$15:$BN$62,_xlpm.p),_xlpm.s,INDEX($BP$15:$BP$62,_xlpm.p),_xlpm.q,N(AU60)/_xlpm.f,IF(_xlpm.q&gt;=_xlpm.s,ROUND(_xlpm.q,1)&amp;" "&amp;_xlpm.ai_test&amp;" = "&amp;ROUND(_xlpm.q*_xlpm.f,1)&amp;" "&amp;_xlpm.u,ROUND(_xlpm.q,1)&amp;" "&amp;_xlpm.ai_test)),""),""))))</f>
        <v>0</v>
      </c>
      <c r="AX60" s="6218"/>
      <c r="AY60" s="6271">
        <f t="shared" si="32"/>
        <v>0</v>
      </c>
      <c r="AZ60" s="6242" t="str">
        <f t="shared" si="33"/>
        <v/>
      </c>
      <c r="BA60" s="6194">
        <f t="shared" si="40"/>
        <v>0</v>
      </c>
      <c r="BB60" s="6192" t="str">
        <f t="shared" si="34"/>
        <v/>
      </c>
      <c r="BC60" s="6219"/>
      <c r="BD60" s="6221">
        <f t="shared" si="42"/>
        <v>0</v>
      </c>
      <c r="BE60" s="6220" t="str">
        <f t="shared" si="36"/>
        <v/>
      </c>
      <c r="BF60" s="4" t="s">
        <v>1</v>
      </c>
      <c r="BG60" s="6196">
        <f t="shared" si="37"/>
        <v>0</v>
      </c>
      <c r="BH60" s="6197">
        <f t="shared" si="38"/>
        <v>0</v>
      </c>
      <c r="BI60" s="187"/>
      <c r="BJ60" s="6705" t="s">
        <v>91</v>
      </c>
      <c r="BK60" s="6705" t="s">
        <v>91</v>
      </c>
      <c r="BL60" s="6705" t="s">
        <v>9673</v>
      </c>
      <c r="BM60" s="6304">
        <f t="shared" si="43"/>
        <v>0.94599999999999995</v>
      </c>
      <c r="BN60" s="6274" t="s">
        <v>8766</v>
      </c>
      <c r="BO60" s="6274" t="s">
        <v>8774</v>
      </c>
      <c r="BP60" s="223">
        <f t="shared" si="41"/>
        <v>1</v>
      </c>
      <c r="BQ60" s="222">
        <v>946</v>
      </c>
      <c r="BR60"/>
      <c r="BS60"/>
      <c r="BT60"/>
      <c r="BU60"/>
      <c r="BV60"/>
      <c r="BW60"/>
      <c r="BX60" s="20" t="str">
        <f t="shared" si="12"/>
        <v>►</v>
      </c>
      <c r="BY60" s="5819"/>
      <c r="BZ60" s="228"/>
      <c r="CA60" s="228"/>
      <c r="CB60" s="227"/>
      <c r="CC60" s="227"/>
      <c r="CD60" s="5661"/>
      <c r="CE60" s="6932"/>
      <c r="CF60" s="6933"/>
      <c r="CG60" s="6933"/>
      <c r="CH60" s="6933"/>
      <c r="CI60" s="6933"/>
      <c r="CJ60" s="6933"/>
      <c r="CK60" s="6934"/>
      <c r="CM60" s="6932"/>
      <c r="CN60" s="6933"/>
      <c r="CO60" s="6933"/>
      <c r="CP60" s="6933"/>
      <c r="CQ60" s="6933"/>
      <c r="CR60" s="6933"/>
      <c r="CS60" s="6934"/>
      <c r="CU60" s="6932"/>
      <c r="CV60" s="6933"/>
      <c r="CW60" s="6933"/>
      <c r="CX60" s="6933"/>
      <c r="CY60" s="6933"/>
      <c r="CZ60" s="6933"/>
      <c r="DA60" s="6934"/>
      <c r="DC60" s="5">
        <v>1</v>
      </c>
    </row>
    <row r="61" spans="1:107" s="1" customFormat="1" ht="21" customHeight="1">
      <c r="A61" s="5641" t="s">
        <v>1</v>
      </c>
      <c r="B61" s="5662" t="str">
        <f t="shared" si="11"/>
        <v>A</v>
      </c>
      <c r="C61" s="5825" cm="1">
        <f t="array" ref="C61">SUMPRODUCT(LEN(D61:J61))</f>
        <v>0</v>
      </c>
      <c r="D61" s="5275"/>
      <c r="E61" s="1361"/>
      <c r="F61" s="1361"/>
      <c r="G61" s="1361"/>
      <c r="H61" s="1361"/>
      <c r="I61" s="1361"/>
      <c r="J61" s="5276"/>
      <c r="K61" s="106" t="s">
        <v>1</v>
      </c>
      <c r="L61" s="5636" t="s">
        <v>21</v>
      </c>
      <c r="M61" s="5231" t="str">
        <f>M67</f>
        <v>N NAME OF YOUR RECIPE | paste it — FAMILY|  Author &gt; YOU</v>
      </c>
      <c r="N61" s="5232">
        <f>N67</f>
        <v>5.23</v>
      </c>
      <c r="O61" s="5232" t="str">
        <f>O67</f>
        <v>kg</v>
      </c>
      <c r="P61" s="5384" t="str">
        <f>P67</f>
        <v>Master recipe ► Guinea fowl ballotine</v>
      </c>
      <c r="Q61" s="5233" t="s">
        <v>1</v>
      </c>
      <c r="R61" s="5234" t="s">
        <v>251</v>
      </c>
      <c r="S61" s="5234"/>
      <c r="T61" s="6911" t="s">
        <v>890</v>
      </c>
      <c r="U61" s="6911"/>
      <c r="V61" s="6911"/>
      <c r="W61" s="6911"/>
      <c r="X61" s="6911"/>
      <c r="Y61" s="6911"/>
      <c r="Z61" s="6911"/>
      <c r="AA61" s="6911"/>
      <c r="AB61" s="6935" t="s">
        <v>10010</v>
      </c>
      <c r="AC61" s="6935"/>
      <c r="AD61" s="6915" t="str">
        <f>UPPER(LEFT(T61,1))</f>
        <v>N</v>
      </c>
      <c r="AE61" s="4" t="s">
        <v>1</v>
      </c>
      <c r="AF61" s="6202" t="str">
        <f t="shared" si="18"/>
        <v>►</v>
      </c>
      <c r="AG61" s="6234" t="str">
        <f t="shared" si="19"/>
        <v/>
      </c>
      <c r="AH61" s="6732" t="str">
        <f t="shared" si="20"/>
        <v/>
      </c>
      <c r="AI61" s="6234" t="str">
        <f t="shared" si="21"/>
        <v/>
      </c>
      <c r="AJ61" s="6732" t="str">
        <f t="shared" si="22"/>
        <v/>
      </c>
      <c r="AK61" s="6732">
        <f t="shared" si="23"/>
        <v>0</v>
      </c>
      <c r="AL61" s="6230" t="str" cm="1">
        <f t="array" ref="AL61">IF(AF61&lt;&gt;"A","",IFERROR((IFERROR(_xlfn.XLOOKUP(TRIM(SUBSTITUTE(U61,CHAR(160)," ")),$BJ$15:$BJ$62,$BM$15:$BM$62),IFERROR(_xlfn.XLOOKUP(TRIM(SUBSTITUTE(U61,CHAR(160)," ")),$BK$15:$BK$62,$BM$15:$BM$62),_xlfn.XLOOKUP(TRIM(SUBSTITUTE(U61,CHAR(160)," ")),$BL$15:$BL$62,$BM$15:$BM$62))))*T61*IF(ISBLANK(Q61),1,Q61)+IFERROR(_xlfn.XLOOKUP("RECHERCHEX",TRIM(L61:AD61),L61:AD61),0),0))</f>
        <v/>
      </c>
      <c r="AM61" s="6229">
        <f t="shared" si="24"/>
        <v>0</v>
      </c>
      <c r="AN61" s="6857" t="str">
        <f t="shared" si="44"/>
        <v/>
      </c>
      <c r="AO61" s="392">
        <f t="shared" si="26"/>
        <v>0</v>
      </c>
      <c r="AP61" s="392">
        <f t="shared" si="27"/>
        <v>0</v>
      </c>
      <c r="AQ61" s="6191">
        <f t="shared" si="28"/>
        <v>0</v>
      </c>
      <c r="AR61" s="6859" t="str">
        <f t="shared" si="29"/>
        <v/>
      </c>
      <c r="AS61" s="6217"/>
      <c r="AT61" s="6217"/>
      <c r="AU61" s="6272">
        <f t="shared" si="30"/>
        <v>0</v>
      </c>
      <c r="AV61" s="6240">
        <f t="shared" si="31"/>
        <v>0</v>
      </c>
      <c r="AW61" s="6189" cm="1">
        <f t="array" ref="AW61">IF(AK61&lt;&gt;1,0,IF(OR(AU61="",N(AU61)&lt;=0.000000001),"",IF(OR(AO61="",N(AO61)&lt;=0.000000001),0,IF(ISNUMBER(AU61),IFERROR(_xlfn.LET(_xlpm.ai_test,TRIM(AJ61),_xlpm.r,IFERROR(_xlfn.XLOOKUP(_xlpm.ai_test,$BJ$15:$BJ$62,ROW($BJ$15:$BJ$62),0,1),IFERROR(_xlfn.XLOOKUP(_xlpm.ai_test,$BK$15:$BK$62,ROW($BK$15:$BK$62),0,1),_xlfn.XLOOKUP(_xlpm.ai_test,$BL$15:$BL$62,ROW($BL$15:$BL$62),0,1))),_xlpm.p,_xlpm.r-MIN(ROW($BJ$15:$BJ$62))+1,_xlpm.f,INDEX($BM$15:$BM$62,_xlpm.p),_xlpm.u,INDEX($BN$15:$BN$62,_xlpm.p),_xlpm.s,INDEX($BP$15:$BP$62,_xlpm.p),_xlpm.q,N(AU61)/_xlpm.f,IF(_xlpm.q&gt;=_xlpm.s,ROUND(_xlpm.q,1)&amp;" "&amp;_xlpm.ai_test&amp;" = "&amp;ROUND(_xlpm.q*_xlpm.f,1)&amp;" "&amp;_xlpm.u,ROUND(_xlpm.q,1)&amp;" "&amp;_xlpm.ai_test)),""),""))))</f>
        <v>0</v>
      </c>
      <c r="AX61" s="6218"/>
      <c r="AY61" s="6272">
        <f t="shared" si="32"/>
        <v>0</v>
      </c>
      <c r="AZ61" s="6240" t="str">
        <f t="shared" si="33"/>
        <v/>
      </c>
      <c r="BA61" s="6195">
        <f t="shared" si="40"/>
        <v>0</v>
      </c>
      <c r="BB61" s="6193" t="str">
        <f t="shared" si="34"/>
        <v/>
      </c>
      <c r="BC61" s="6219"/>
      <c r="BD61" s="6222">
        <f t="shared" si="42"/>
        <v>0</v>
      </c>
      <c r="BE61" s="6220" t="str">
        <f t="shared" si="36"/>
        <v/>
      </c>
      <c r="BF61" s="4" t="s">
        <v>1</v>
      </c>
      <c r="BG61" s="6196">
        <f t="shared" si="37"/>
        <v>0</v>
      </c>
      <c r="BH61" s="6197">
        <f t="shared" si="38"/>
        <v>0</v>
      </c>
      <c r="BI61" s="187"/>
      <c r="BJ61" s="6705" t="s">
        <v>90</v>
      </c>
      <c r="BK61" s="6705" t="s">
        <v>90</v>
      </c>
      <c r="BL61" s="6705" t="s">
        <v>9674</v>
      </c>
      <c r="BM61" s="6304">
        <f t="shared" si="43"/>
        <v>3.7850000000000001</v>
      </c>
      <c r="BN61" s="6274" t="s">
        <v>8766</v>
      </c>
      <c r="BO61" s="6274" t="s">
        <v>8774</v>
      </c>
      <c r="BP61" s="223">
        <f t="shared" si="41"/>
        <v>0</v>
      </c>
      <c r="BQ61" s="222">
        <v>3785</v>
      </c>
      <c r="BR61"/>
      <c r="BS61"/>
      <c r="BT61"/>
      <c r="BU61"/>
      <c r="BV61"/>
      <c r="BW61"/>
      <c r="BX61" s="20" t="str">
        <f t="shared" si="12"/>
        <v>►</v>
      </c>
      <c r="BY61" s="6937" t="s">
        <v>11035</v>
      </c>
      <c r="BZ61" s="6937"/>
      <c r="CA61" s="6937"/>
      <c r="CB61" s="6937"/>
      <c r="CC61" s="6937"/>
      <c r="CD61" s="5661"/>
      <c r="CE61" s="5972" t="s">
        <v>376</v>
      </c>
      <c r="CF61" s="5973"/>
      <c r="CG61" s="5973"/>
      <c r="CH61" s="5973"/>
      <c r="CI61" s="5973"/>
      <c r="CJ61" s="5973"/>
      <c r="CK61" s="5974"/>
      <c r="CM61" s="5972" t="s">
        <v>376</v>
      </c>
      <c r="CN61" s="5973"/>
      <c r="CO61" s="5973"/>
      <c r="CP61" s="5973"/>
      <c r="CQ61" s="5973"/>
      <c r="CR61" s="5973"/>
      <c r="CS61" s="5974"/>
      <c r="CU61" s="5972" t="s">
        <v>376</v>
      </c>
      <c r="CV61" s="5973"/>
      <c r="CW61" s="5973"/>
      <c r="CX61" s="5973"/>
      <c r="CY61" s="5973"/>
      <c r="CZ61" s="5973"/>
      <c r="DA61" s="6843" t="s">
        <v>10686</v>
      </c>
      <c r="DC61" s="5">
        <v>1</v>
      </c>
    </row>
    <row r="62" spans="1:107" s="1" customFormat="1" ht="21" customHeight="1" thickBot="1">
      <c r="A62" s="5641" t="s">
        <v>1</v>
      </c>
      <c r="B62" s="5662" t="str">
        <f t="shared" si="11"/>
        <v>A</v>
      </c>
      <c r="C62" s="5825" cm="1">
        <f t="array" ref="C62">SUMPRODUCT(LEN(D62:J62))</f>
        <v>0</v>
      </c>
      <c r="D62" s="5275"/>
      <c r="E62" s="1361"/>
      <c r="F62" s="1361"/>
      <c r="G62" s="1361"/>
      <c r="H62" s="1361"/>
      <c r="I62" s="1361"/>
      <c r="J62" s="5276"/>
      <c r="K62" s="106" t="s">
        <v>1</v>
      </c>
      <c r="L62" s="1018" t="s">
        <v>21</v>
      </c>
      <c r="M62" s="363" t="str">
        <f>M67</f>
        <v>N NAME OF YOUR RECIPE | paste it — FAMILY|  Author &gt; YOU</v>
      </c>
      <c r="N62" s="362">
        <f>N67</f>
        <v>5.23</v>
      </c>
      <c r="O62" s="362" t="str">
        <f>O67</f>
        <v>kg</v>
      </c>
      <c r="P62" s="5385" t="str">
        <f>P67</f>
        <v>Master recipe ► Guinea fowl ballotine</v>
      </c>
      <c r="Q62" s="361" t="s">
        <v>9685</v>
      </c>
      <c r="R62" s="360" t="s">
        <v>9181</v>
      </c>
      <c r="S62" s="360"/>
      <c r="T62" s="6912"/>
      <c r="U62" s="6912"/>
      <c r="V62" s="6912"/>
      <c r="W62" s="6912"/>
      <c r="X62" s="6912"/>
      <c r="Y62" s="6912"/>
      <c r="Z62" s="6912"/>
      <c r="AA62" s="6912"/>
      <c r="AB62" s="6936"/>
      <c r="AC62" s="6936"/>
      <c r="AD62" s="6916"/>
      <c r="AE62" s="4" t="s">
        <v>1</v>
      </c>
      <c r="AF62" s="6202" t="str">
        <f t="shared" si="18"/>
        <v>►</v>
      </c>
      <c r="AG62" s="6234" t="str">
        <f t="shared" si="19"/>
        <v/>
      </c>
      <c r="AH62" s="6732" t="str">
        <f t="shared" si="20"/>
        <v/>
      </c>
      <c r="AI62" s="6234" t="str">
        <f t="shared" si="21"/>
        <v/>
      </c>
      <c r="AJ62" s="6732" t="str">
        <f t="shared" si="22"/>
        <v/>
      </c>
      <c r="AK62" s="6732">
        <f t="shared" si="23"/>
        <v>0</v>
      </c>
      <c r="AL62" s="6230" t="str" cm="1">
        <f t="array" ref="AL62">IF(AF62&lt;&gt;"A","",IFERROR((IFERROR(_xlfn.XLOOKUP(TRIM(SUBSTITUTE(U62,CHAR(160)," ")),$BJ$15:$BJ$62,$BM$15:$BM$62),IFERROR(_xlfn.XLOOKUP(TRIM(SUBSTITUTE(U62,CHAR(160)," ")),$BK$15:$BK$62,$BM$15:$BM$62),_xlfn.XLOOKUP(TRIM(SUBSTITUTE(U62,CHAR(160)," ")),$BL$15:$BL$62,$BM$15:$BM$62))))*T62*IF(ISBLANK(Q62),1,Q62)+IFERROR(_xlfn.XLOOKUP("RECHERCHEX",TRIM(L62:AD62),L62:AD62),0),0))</f>
        <v/>
      </c>
      <c r="AM62" s="6229">
        <f t="shared" si="24"/>
        <v>0</v>
      </c>
      <c r="AN62" s="6857" t="str">
        <f t="shared" si="44"/>
        <v/>
      </c>
      <c r="AO62" s="392">
        <f t="shared" si="26"/>
        <v>0</v>
      </c>
      <c r="AP62" s="392">
        <f t="shared" si="27"/>
        <v>0</v>
      </c>
      <c r="AQ62" s="6190">
        <f t="shared" si="28"/>
        <v>0</v>
      </c>
      <c r="AR62" s="6858" t="str">
        <f t="shared" si="29"/>
        <v/>
      </c>
      <c r="AS62" s="6217"/>
      <c r="AT62" s="6217"/>
      <c r="AU62" s="6271">
        <f t="shared" si="30"/>
        <v>0</v>
      </c>
      <c r="AV62" s="6242">
        <f t="shared" si="31"/>
        <v>0</v>
      </c>
      <c r="AW62" s="6188" cm="1">
        <f t="array" ref="AW62">IF(AK62&lt;&gt;1,0,IF(OR(AU62="",N(AU62)&lt;=0.000000001),"",IF(OR(AO62="",N(AO62)&lt;=0.000000001),0,IF(ISNUMBER(AU62),IFERROR(_xlfn.LET(_xlpm.ai_test,TRIM(AJ62),_xlpm.r,IFERROR(_xlfn.XLOOKUP(_xlpm.ai_test,$BJ$15:$BJ$62,ROW($BJ$15:$BJ$62),0,1),IFERROR(_xlfn.XLOOKUP(_xlpm.ai_test,$BK$15:$BK$62,ROW($BK$15:$BK$62),0,1),_xlfn.XLOOKUP(_xlpm.ai_test,$BL$15:$BL$62,ROW($BL$15:$BL$62),0,1))),_xlpm.p,_xlpm.r-MIN(ROW($BJ$15:$BJ$62))+1,_xlpm.f,INDEX($BM$15:$BM$62,_xlpm.p),_xlpm.u,INDEX($BN$15:$BN$62,_xlpm.p),_xlpm.s,INDEX($BP$15:$BP$62,_xlpm.p),_xlpm.q,N(AU62)/_xlpm.f,IF(_xlpm.q&gt;=_xlpm.s,ROUND(_xlpm.q,1)&amp;" "&amp;_xlpm.ai_test&amp;" = "&amp;ROUND(_xlpm.q*_xlpm.f,1)&amp;" "&amp;_xlpm.u,ROUND(_xlpm.q,1)&amp;" "&amp;_xlpm.ai_test)),""),""))))</f>
        <v>0</v>
      </c>
      <c r="AX62" s="6218"/>
      <c r="AY62" s="6271">
        <f t="shared" si="32"/>
        <v>0</v>
      </c>
      <c r="AZ62" s="6242" t="str">
        <f t="shared" si="33"/>
        <v/>
      </c>
      <c r="BA62" s="6194">
        <f t="shared" si="40"/>
        <v>0</v>
      </c>
      <c r="BB62" s="6192" t="str">
        <f t="shared" si="34"/>
        <v/>
      </c>
      <c r="BC62" s="6219"/>
      <c r="BD62" s="6221">
        <f t="shared" si="42"/>
        <v>0</v>
      </c>
      <c r="BE62" s="6220" t="str">
        <f t="shared" si="36"/>
        <v/>
      </c>
      <c r="BF62" s="4" t="s">
        <v>1</v>
      </c>
      <c r="BG62" s="6196">
        <f t="shared" si="37"/>
        <v>0</v>
      </c>
      <c r="BH62" s="6197">
        <f t="shared" si="38"/>
        <v>0</v>
      </c>
      <c r="BI62" s="187"/>
      <c r="BJ62" s="6705" t="s">
        <v>89</v>
      </c>
      <c r="BK62" s="6705" t="s">
        <v>89</v>
      </c>
      <c r="BL62" s="6705" t="s">
        <v>9675</v>
      </c>
      <c r="BM62" s="6273">
        <f t="shared" si="43"/>
        <v>2.9569999999999999E-2</v>
      </c>
      <c r="BN62" s="6305" t="s">
        <v>8766</v>
      </c>
      <c r="BO62" s="6305" t="s">
        <v>8774</v>
      </c>
      <c r="BP62" s="216">
        <f t="shared" si="41"/>
        <v>34</v>
      </c>
      <c r="BQ62" s="215">
        <v>29.57</v>
      </c>
      <c r="BR62"/>
      <c r="BS62"/>
      <c r="BT62"/>
      <c r="BU62"/>
      <c r="BV62"/>
      <c r="BW62"/>
      <c r="BX62" s="20" t="str">
        <f t="shared" si="12"/>
        <v>►</v>
      </c>
      <c r="BY62" s="6937"/>
      <c r="BZ62" s="6937"/>
      <c r="CA62" s="6937"/>
      <c r="CB62" s="6937"/>
      <c r="CC62" s="6937"/>
      <c r="CD62" s="5661"/>
      <c r="CE62" s="5975" t="s">
        <v>7745</v>
      </c>
      <c r="CF62" s="5976" t="s">
        <v>7746</v>
      </c>
      <c r="CG62" s="5977" t="s">
        <v>3380</v>
      </c>
      <c r="CH62" s="5976" t="s">
        <v>7747</v>
      </c>
      <c r="CI62" s="5976" t="s">
        <v>7748</v>
      </c>
      <c r="CJ62" s="5976" t="s">
        <v>7749</v>
      </c>
      <c r="CK62" s="5978" t="s">
        <v>7755</v>
      </c>
      <c r="CM62" s="5975" t="s">
        <v>7745</v>
      </c>
      <c r="CN62" s="5976" t="s">
        <v>7746</v>
      </c>
      <c r="CO62" s="5977" t="s">
        <v>3380</v>
      </c>
      <c r="CP62" s="5976" t="s">
        <v>7747</v>
      </c>
      <c r="CQ62" s="5976" t="s">
        <v>7748</v>
      </c>
      <c r="CR62" s="5976" t="s">
        <v>7749</v>
      </c>
      <c r="CS62" s="5978" t="s">
        <v>7755</v>
      </c>
      <c r="CU62" s="5975" t="s">
        <v>7745</v>
      </c>
      <c r="CV62" s="5976" t="s">
        <v>7746</v>
      </c>
      <c r="CW62" s="5977" t="s">
        <v>3380</v>
      </c>
      <c r="CX62" s="5976" t="s">
        <v>7747</v>
      </c>
      <c r="CY62" s="5976" t="s">
        <v>7748</v>
      </c>
      <c r="CZ62" s="5976" t="s">
        <v>7749</v>
      </c>
      <c r="DA62" s="5978" t="s">
        <v>7755</v>
      </c>
      <c r="DC62" s="5">
        <v>1</v>
      </c>
    </row>
    <row r="63" spans="1:107" s="1" customFormat="1" ht="21" customHeight="1">
      <c r="A63" s="5641" t="s">
        <v>1</v>
      </c>
      <c r="B63" s="5662" t="str">
        <f t="shared" si="11"/>
        <v>A</v>
      </c>
      <c r="C63" s="5825" cm="1">
        <f t="array" ref="C63">SUMPRODUCT(LEN(D63:J63))</f>
        <v>0</v>
      </c>
      <c r="D63" s="5275"/>
      <c r="E63" s="1361"/>
      <c r="F63" s="1361"/>
      <c r="G63" s="1361"/>
      <c r="H63" s="1361"/>
      <c r="I63" s="1361"/>
      <c r="J63" s="5276"/>
      <c r="K63" s="106" t="s">
        <v>1</v>
      </c>
      <c r="L63" s="1018" t="s">
        <v>21</v>
      </c>
      <c r="M63" s="41" t="str">
        <f>M67</f>
        <v>N NAME OF YOUR RECIPE | paste it — FAMILY|  Author &gt; YOU</v>
      </c>
      <c r="N63" s="40">
        <f>N67</f>
        <v>5.23</v>
      </c>
      <c r="O63" s="40" t="str">
        <f>O67</f>
        <v>kg</v>
      </c>
      <c r="P63" s="5386" t="str">
        <f>P67</f>
        <v>Master recipe ► Guinea fowl ballotine</v>
      </c>
      <c r="Q63" s="351"/>
      <c r="R63" s="350" t="s">
        <v>8395</v>
      </c>
      <c r="S63" s="349"/>
      <c r="T63" s="348" t="s">
        <v>8387</v>
      </c>
      <c r="U63" s="347" t="s">
        <v>898</v>
      </c>
      <c r="V63" s="141"/>
      <c r="W63" s="347"/>
      <c r="X63" s="347"/>
      <c r="Y63" s="347"/>
      <c r="Z63" s="347"/>
      <c r="AA63" s="5235"/>
      <c r="AB63" s="141"/>
      <c r="AC63" s="141"/>
      <c r="AD63" s="409"/>
      <c r="AE63" s="4" t="s">
        <v>1</v>
      </c>
      <c r="AF63" s="6202" t="str">
        <f t="shared" si="18"/>
        <v>►</v>
      </c>
      <c r="AG63" s="6234" t="str">
        <f t="shared" si="19"/>
        <v/>
      </c>
      <c r="AH63" s="6732" t="str">
        <f t="shared" si="20"/>
        <v/>
      </c>
      <c r="AI63" s="6234" t="str">
        <f t="shared" si="21"/>
        <v/>
      </c>
      <c r="AJ63" s="6732" t="str">
        <f t="shared" si="22"/>
        <v/>
      </c>
      <c r="AK63" s="6732">
        <f t="shared" si="23"/>
        <v>0</v>
      </c>
      <c r="AL63" s="6230" t="str" cm="1">
        <f t="array" ref="AL63">IF(AF63&lt;&gt;"A","",IFERROR((IFERROR(_xlfn.XLOOKUP(TRIM(SUBSTITUTE(U63,CHAR(160)," ")),$BJ$15:$BJ$62,$BM$15:$BM$62),IFERROR(_xlfn.XLOOKUP(TRIM(SUBSTITUTE(U63,CHAR(160)," ")),$BK$15:$BK$62,$BM$15:$BM$62),_xlfn.XLOOKUP(TRIM(SUBSTITUTE(U63,CHAR(160)," ")),$BL$15:$BL$62,$BM$15:$BM$62))))*T63*IF(ISBLANK(Q63),1,Q63)+IFERROR(_xlfn.XLOOKUP("RECHERCHEX",TRIM(L63:AD63),L63:AD63),0),0))</f>
        <v/>
      </c>
      <c r="AM63" s="6229">
        <f t="shared" si="24"/>
        <v>0</v>
      </c>
      <c r="AN63" s="6857" t="str">
        <f t="shared" si="44"/>
        <v/>
      </c>
      <c r="AO63" s="392">
        <f t="shared" si="26"/>
        <v>0</v>
      </c>
      <c r="AP63" s="392">
        <f t="shared" si="27"/>
        <v>0</v>
      </c>
      <c r="AQ63" s="6191">
        <f t="shared" si="28"/>
        <v>0</v>
      </c>
      <c r="AR63" s="6859" t="str">
        <f t="shared" si="29"/>
        <v/>
      </c>
      <c r="AS63" s="6217"/>
      <c r="AT63" s="6217"/>
      <c r="AU63" s="6272">
        <f t="shared" si="30"/>
        <v>0</v>
      </c>
      <c r="AV63" s="6240">
        <f t="shared" si="31"/>
        <v>0</v>
      </c>
      <c r="AW63" s="6189" cm="1">
        <f t="array" ref="AW63">IF(AK63&lt;&gt;1,0,IF(OR(AU63="",N(AU63)&lt;=0.000000001),"",IF(OR(AO63="",N(AO63)&lt;=0.000000001),0,IF(ISNUMBER(AU63),IFERROR(_xlfn.LET(_xlpm.ai_test,TRIM(AJ63),_xlpm.r,IFERROR(_xlfn.XLOOKUP(_xlpm.ai_test,$BJ$15:$BJ$62,ROW($BJ$15:$BJ$62),0,1),IFERROR(_xlfn.XLOOKUP(_xlpm.ai_test,$BK$15:$BK$62,ROW($BK$15:$BK$62),0,1),_xlfn.XLOOKUP(_xlpm.ai_test,$BL$15:$BL$62,ROW($BL$15:$BL$62),0,1))),_xlpm.p,_xlpm.r-MIN(ROW($BJ$15:$BJ$62))+1,_xlpm.f,INDEX($BM$15:$BM$62,_xlpm.p),_xlpm.u,INDEX($BN$15:$BN$62,_xlpm.p),_xlpm.s,INDEX($BP$15:$BP$62,_xlpm.p),_xlpm.q,N(AU63)/_xlpm.f,IF(_xlpm.q&gt;=_xlpm.s,ROUND(_xlpm.q,1)&amp;" "&amp;_xlpm.ai_test&amp;" = "&amp;ROUND(_xlpm.q*_xlpm.f,1)&amp;" "&amp;_xlpm.u,ROUND(_xlpm.q,1)&amp;" "&amp;_xlpm.ai_test)),""),""))))</f>
        <v>0</v>
      </c>
      <c r="AX63" s="6218"/>
      <c r="AY63" s="6272">
        <f t="shared" si="32"/>
        <v>0</v>
      </c>
      <c r="AZ63" s="6240" t="str">
        <f t="shared" si="33"/>
        <v/>
      </c>
      <c r="BA63" s="6195">
        <f t="shared" si="40"/>
        <v>0</v>
      </c>
      <c r="BB63" s="6193" t="str">
        <f t="shared" si="34"/>
        <v/>
      </c>
      <c r="BC63" s="6219"/>
      <c r="BD63" s="6222">
        <f t="shared" si="42"/>
        <v>0</v>
      </c>
      <c r="BE63" s="6220" t="str">
        <f t="shared" si="36"/>
        <v/>
      </c>
      <c r="BF63" s="4" t="s">
        <v>1</v>
      </c>
      <c r="BG63" s="6196">
        <f t="shared" si="37"/>
        <v>0</v>
      </c>
      <c r="BH63" s="6197">
        <f t="shared" si="38"/>
        <v>0</v>
      </c>
      <c r="BI63" s="187"/>
      <c r="BJ63" s="6925" t="s">
        <v>8847</v>
      </c>
      <c r="BK63" s="6925"/>
      <c r="BL63" s="6925"/>
      <c r="BM63" s="6925"/>
      <c r="BN63" s="6925"/>
      <c r="BO63" s="6925"/>
      <c r="BP63" s="6925"/>
      <c r="BQ63" s="6925"/>
      <c r="BR63"/>
      <c r="BS63"/>
      <c r="BT63"/>
      <c r="BU63"/>
      <c r="BV63"/>
      <c r="BW63"/>
      <c r="BX63" s="20" t="str">
        <f t="shared" si="12"/>
        <v>►</v>
      </c>
      <c r="BY63" s="5819"/>
      <c r="BZ63" s="228"/>
      <c r="CA63" s="228"/>
      <c r="CB63" s="227"/>
      <c r="CC63" s="227"/>
      <c r="CD63" s="5661"/>
      <c r="CE63" s="5975" t="s">
        <v>7751</v>
      </c>
      <c r="CF63" s="5976" t="s">
        <v>2995</v>
      </c>
      <c r="CG63" s="5976" t="s">
        <v>7752</v>
      </c>
      <c r="CH63" s="5976" t="s">
        <v>26</v>
      </c>
      <c r="CI63" s="5976" t="s">
        <v>262</v>
      </c>
      <c r="CJ63" s="5976" t="s">
        <v>255</v>
      </c>
      <c r="CK63" s="5978" t="s">
        <v>7754</v>
      </c>
      <c r="CM63" s="5975" t="s">
        <v>7751</v>
      </c>
      <c r="CN63" s="5976" t="s">
        <v>2995</v>
      </c>
      <c r="CO63" s="5976" t="s">
        <v>7752</v>
      </c>
      <c r="CP63" s="5976" t="s">
        <v>26</v>
      </c>
      <c r="CQ63" s="5976" t="s">
        <v>262</v>
      </c>
      <c r="CR63" s="5976" t="s">
        <v>255</v>
      </c>
      <c r="CS63" s="5978" t="s">
        <v>7754</v>
      </c>
      <c r="CU63" s="5975" t="s">
        <v>7751</v>
      </c>
      <c r="CV63" s="5976" t="s">
        <v>2995</v>
      </c>
      <c r="CW63" s="5976" t="s">
        <v>7752</v>
      </c>
      <c r="CX63" s="5976" t="s">
        <v>26</v>
      </c>
      <c r="CY63" s="5976" t="s">
        <v>262</v>
      </c>
      <c r="CZ63" s="5976" t="s">
        <v>255</v>
      </c>
      <c r="DA63" s="5978" t="s">
        <v>7754</v>
      </c>
      <c r="DC63" s="5">
        <v>1</v>
      </c>
    </row>
    <row r="64" spans="1:107" s="1" customFormat="1" ht="21" customHeight="1">
      <c r="A64" s="5641" t="s">
        <v>1</v>
      </c>
      <c r="B64" s="5662" t="str">
        <f t="shared" si="11"/>
        <v>A</v>
      </c>
      <c r="C64" s="5825" cm="1">
        <f t="array" ref="C64">SUMPRODUCT(LEN(D64:J64))</f>
        <v>0</v>
      </c>
      <c r="D64" s="5275"/>
      <c r="E64" s="1361"/>
      <c r="F64" s="1361"/>
      <c r="G64" s="1361"/>
      <c r="H64" s="1361"/>
      <c r="I64" s="1361"/>
      <c r="J64" s="5276"/>
      <c r="K64" s="106" t="s">
        <v>1</v>
      </c>
      <c r="L64" s="1018" t="s">
        <v>21</v>
      </c>
      <c r="M64" s="41" t="str">
        <f>M67</f>
        <v>N NAME OF YOUR RECIPE | paste it — FAMILY|  Author &gt; YOU</v>
      </c>
      <c r="N64" s="40">
        <f>N67</f>
        <v>5.23</v>
      </c>
      <c r="O64" s="40" t="str">
        <f>O67</f>
        <v>kg</v>
      </c>
      <c r="P64" s="5386" t="str">
        <f>P67</f>
        <v>Master recipe ► Guinea fowl ballotine</v>
      </c>
      <c r="Q64" s="333" t="s">
        <v>8376</v>
      </c>
      <c r="R64" s="341"/>
      <c r="S64" s="341"/>
      <c r="T64" s="340" t="s">
        <v>227</v>
      </c>
      <c r="U64" s="6901" t="str">
        <f>V67&amp;" "&amp;W67&amp;" ► family = "&amp;AB61&amp;" ► "&amp;T61&amp;" "&amp;AA64&amp;" "&amp;AB64&amp;" "&amp;AC64&amp;" "&amp;AD64</f>
        <v>Master recipe ► Guinea fowl ballotine ► family = paste it — FAMILY ► NAME OF YOUR RECIPE  ⓫ Duplicated for 0.8 kg of guinea</v>
      </c>
      <c r="V64" s="6901"/>
      <c r="W64" s="6901"/>
      <c r="X64" s="6225"/>
      <c r="Y64" s="6225"/>
      <c r="Z64" s="6225"/>
      <c r="AA64" s="5235"/>
      <c r="AB64" s="5236" t="s">
        <v>888</v>
      </c>
      <c r="AC64" s="6853">
        <v>0.8</v>
      </c>
      <c r="AD64" s="5620" t="str">
        <f>AD66</f>
        <v>kg of guinea</v>
      </c>
      <c r="AE64" s="4" t="s">
        <v>1</v>
      </c>
      <c r="AF64" s="6202" t="str">
        <f t="shared" si="18"/>
        <v>►</v>
      </c>
      <c r="AG64" s="6234" t="str">
        <f t="shared" si="19"/>
        <v/>
      </c>
      <c r="AH64" s="6732" t="str">
        <f t="shared" si="20"/>
        <v/>
      </c>
      <c r="AI64" s="6234" t="str">
        <f t="shared" si="21"/>
        <v/>
      </c>
      <c r="AJ64" s="6732" t="str">
        <f t="shared" si="22"/>
        <v/>
      </c>
      <c r="AK64" s="6732">
        <f t="shared" si="23"/>
        <v>0</v>
      </c>
      <c r="AL64" s="6230" t="str" cm="1">
        <f t="array" ref="AL64">IF(AF64&lt;&gt;"A","",IFERROR((IFERROR(_xlfn.XLOOKUP(TRIM(SUBSTITUTE(U64,CHAR(160)," ")),$BJ$15:$BJ$62,$BM$15:$BM$62),IFERROR(_xlfn.XLOOKUP(TRIM(SUBSTITUTE(U64,CHAR(160)," ")),$BK$15:$BK$62,$BM$15:$BM$62),_xlfn.XLOOKUP(TRIM(SUBSTITUTE(U64,CHAR(160)," ")),$BL$15:$BL$62,$BM$15:$BM$62))))*T64*IF(ISBLANK(Q64),1,Q64)+IFERROR(_xlfn.XLOOKUP("RECHERCHEX",TRIM(L64:AD64),L64:AD64),0),0))</f>
        <v/>
      </c>
      <c r="AM64" s="6229">
        <f t="shared" si="24"/>
        <v>0</v>
      </c>
      <c r="AN64" s="6857" t="str">
        <f t="shared" si="44"/>
        <v/>
      </c>
      <c r="AO64" s="392">
        <f t="shared" si="26"/>
        <v>0</v>
      </c>
      <c r="AP64" s="392">
        <f t="shared" si="27"/>
        <v>0</v>
      </c>
      <c r="AQ64" s="6190">
        <f t="shared" si="28"/>
        <v>0</v>
      </c>
      <c r="AR64" s="6858" t="str">
        <f t="shared" si="29"/>
        <v/>
      </c>
      <c r="AS64" s="6217"/>
      <c r="AT64" s="6217"/>
      <c r="AU64" s="6271">
        <f t="shared" si="30"/>
        <v>0</v>
      </c>
      <c r="AV64" s="6242">
        <f t="shared" si="31"/>
        <v>0</v>
      </c>
      <c r="AW64" s="6188" cm="1">
        <f t="array" ref="AW64">IF(AK64&lt;&gt;1,0,IF(OR(AU64="",N(AU64)&lt;=0.000000001),"",IF(OR(AO64="",N(AO64)&lt;=0.000000001),0,IF(ISNUMBER(AU64),IFERROR(_xlfn.LET(_xlpm.ai_test,TRIM(AJ64),_xlpm.r,IFERROR(_xlfn.XLOOKUP(_xlpm.ai_test,$BJ$15:$BJ$62,ROW($BJ$15:$BJ$62),0,1),IFERROR(_xlfn.XLOOKUP(_xlpm.ai_test,$BK$15:$BK$62,ROW($BK$15:$BK$62),0,1),_xlfn.XLOOKUP(_xlpm.ai_test,$BL$15:$BL$62,ROW($BL$15:$BL$62),0,1))),_xlpm.p,_xlpm.r-MIN(ROW($BJ$15:$BJ$62))+1,_xlpm.f,INDEX($BM$15:$BM$62,_xlpm.p),_xlpm.u,INDEX($BN$15:$BN$62,_xlpm.p),_xlpm.s,INDEX($BP$15:$BP$62,_xlpm.p),_xlpm.q,N(AU64)/_xlpm.f,IF(_xlpm.q&gt;=_xlpm.s,ROUND(_xlpm.q,1)&amp;" "&amp;_xlpm.ai_test&amp;" = "&amp;ROUND(_xlpm.q*_xlpm.f,1)&amp;" "&amp;_xlpm.u,ROUND(_xlpm.q,1)&amp;" "&amp;_xlpm.ai_test)),""),""))))</f>
        <v>0</v>
      </c>
      <c r="AX64" s="6218"/>
      <c r="AY64" s="6271">
        <f t="shared" si="32"/>
        <v>0</v>
      </c>
      <c r="AZ64" s="6242" t="str">
        <f t="shared" si="33"/>
        <v/>
      </c>
      <c r="BA64" s="6194">
        <f t="shared" si="40"/>
        <v>0</v>
      </c>
      <c r="BB64" s="6192" t="str">
        <f t="shared" si="34"/>
        <v/>
      </c>
      <c r="BC64" s="6219"/>
      <c r="BD64" s="6221">
        <f t="shared" si="42"/>
        <v>0</v>
      </c>
      <c r="BE64" s="6220" t="str">
        <f t="shared" si="36"/>
        <v/>
      </c>
      <c r="BF64" s="4" t="s">
        <v>1</v>
      </c>
      <c r="BG64" s="6196">
        <f t="shared" si="37"/>
        <v>0</v>
      </c>
      <c r="BH64" s="6197">
        <f t="shared" si="38"/>
        <v>0</v>
      </c>
      <c r="BI64" s="187"/>
      <c r="BJ64" s="6925"/>
      <c r="BK64" s="6925"/>
      <c r="BL64" s="6925"/>
      <c r="BM64" s="6925"/>
      <c r="BN64" s="6925"/>
      <c r="BO64" s="6925"/>
      <c r="BP64" s="6925"/>
      <c r="BQ64" s="6925"/>
      <c r="BR64"/>
      <c r="BS64"/>
      <c r="BT64"/>
      <c r="BU64"/>
      <c r="BV64"/>
      <c r="BW64"/>
      <c r="BX64" s="20" t="str">
        <f t="shared" si="12"/>
        <v>►</v>
      </c>
      <c r="BY64" s="6926" t="s">
        <v>11034</v>
      </c>
      <c r="BZ64" s="6926"/>
      <c r="CA64" s="6926"/>
      <c r="CB64" s="6926"/>
      <c r="CC64" s="6926"/>
      <c r="CD64" s="5661"/>
      <c r="CE64" s="954"/>
      <c r="CF64" s="955"/>
      <c r="CG64" s="955"/>
      <c r="CH64" s="955"/>
      <c r="CI64" s="955"/>
      <c r="CJ64" s="955"/>
      <c r="CK64" s="6301" t="s">
        <v>10686</v>
      </c>
      <c r="CM64" s="954"/>
      <c r="CN64" s="955"/>
      <c r="CO64" s="955"/>
      <c r="CP64" s="955"/>
      <c r="CQ64" s="955"/>
      <c r="CR64" s="955"/>
      <c r="CS64" s="6301" t="s">
        <v>10686</v>
      </c>
      <c r="CU64" s="6927" t="s">
        <v>8827</v>
      </c>
      <c r="CV64" s="6928"/>
      <c r="CW64" s="6928"/>
      <c r="CX64" s="6928"/>
      <c r="CY64" s="6928"/>
      <c r="CZ64" s="6928"/>
      <c r="DA64" s="6929"/>
      <c r="DC64" s="5">
        <v>1</v>
      </c>
    </row>
    <row r="65" spans="1:107" s="1" customFormat="1" ht="21" customHeight="1">
      <c r="A65" s="5641" t="s">
        <v>1</v>
      </c>
      <c r="B65" s="5662" t="str">
        <f t="shared" si="11"/>
        <v>A</v>
      </c>
      <c r="C65" s="5825" cm="1">
        <f t="array" ref="C65">SUMPRODUCT(LEN(D65:J65))</f>
        <v>0</v>
      </c>
      <c r="D65" s="5275"/>
      <c r="E65" s="1361"/>
      <c r="F65" s="1361"/>
      <c r="G65" s="1361"/>
      <c r="H65" s="1361"/>
      <c r="I65" s="1361"/>
      <c r="J65" s="5276"/>
      <c r="K65" s="106" t="s">
        <v>1</v>
      </c>
      <c r="L65" s="1018" t="s">
        <v>21</v>
      </c>
      <c r="M65" s="41" t="str">
        <f>M67</f>
        <v>N NAME OF YOUR RECIPE | paste it — FAMILY|  Author &gt; YOU</v>
      </c>
      <c r="N65" s="40">
        <f>N67</f>
        <v>5.23</v>
      </c>
      <c r="O65" s="40" t="str">
        <f>O67</f>
        <v>kg</v>
      </c>
      <c r="P65" s="5386" t="str">
        <f>P67</f>
        <v>Master recipe ► Guinea fowl ballotine</v>
      </c>
      <c r="Q65" s="5238">
        <v>5.23</v>
      </c>
      <c r="R65" s="5455" t="s">
        <v>219</v>
      </c>
      <c r="S65" s="333"/>
      <c r="T65" s="333"/>
      <c r="U65" s="6901"/>
      <c r="V65" s="6901"/>
      <c r="W65" s="6901"/>
      <c r="X65" s="6225"/>
      <c r="Y65" s="6225"/>
      <c r="Z65" s="6225"/>
      <c r="AA65" s="5239"/>
      <c r="AB65" s="141"/>
      <c r="AC65" s="5392" t="s">
        <v>8378</v>
      </c>
      <c r="AD65" s="5391" t="s">
        <v>8390</v>
      </c>
      <c r="AE65" s="4" t="s">
        <v>1</v>
      </c>
      <c r="AF65" s="6202" t="str">
        <f t="shared" si="18"/>
        <v>►</v>
      </c>
      <c r="AG65" s="6234" t="str">
        <f t="shared" si="19"/>
        <v/>
      </c>
      <c r="AH65" s="6732" t="str">
        <f t="shared" si="20"/>
        <v/>
      </c>
      <c r="AI65" s="6234" t="str">
        <f t="shared" si="21"/>
        <v/>
      </c>
      <c r="AJ65" s="6732" t="str">
        <f t="shared" si="22"/>
        <v/>
      </c>
      <c r="AK65" s="6732">
        <f t="shared" si="23"/>
        <v>0</v>
      </c>
      <c r="AL65" s="6230" t="str" cm="1">
        <f t="array" ref="AL65">IF(AF65&lt;&gt;"A","",IFERROR((IFERROR(_xlfn.XLOOKUP(TRIM(SUBSTITUTE(U65,CHAR(160)," ")),$BJ$15:$BJ$62,$BM$15:$BM$62),IFERROR(_xlfn.XLOOKUP(TRIM(SUBSTITUTE(U65,CHAR(160)," ")),$BK$15:$BK$62,$BM$15:$BM$62),_xlfn.XLOOKUP(TRIM(SUBSTITUTE(U65,CHAR(160)," ")),$BL$15:$BL$62,$BM$15:$BM$62))))*T65*IF(ISBLANK(Q65),1,Q65)+IFERROR(_xlfn.XLOOKUP("RECHERCHEX",TRIM(L65:AD65),L65:AD65),0),0))</f>
        <v/>
      </c>
      <c r="AM65" s="6229">
        <f t="shared" si="24"/>
        <v>0</v>
      </c>
      <c r="AN65" s="6857" t="str">
        <f t="shared" si="44"/>
        <v/>
      </c>
      <c r="AO65" s="392">
        <f t="shared" si="26"/>
        <v>0</v>
      </c>
      <c r="AP65" s="392">
        <f t="shared" si="27"/>
        <v>0</v>
      </c>
      <c r="AQ65" s="6191">
        <f t="shared" si="28"/>
        <v>0</v>
      </c>
      <c r="AR65" s="6859" t="str">
        <f t="shared" si="29"/>
        <v/>
      </c>
      <c r="AS65" s="6217"/>
      <c r="AT65" s="6217"/>
      <c r="AU65" s="6272">
        <f t="shared" si="30"/>
        <v>0</v>
      </c>
      <c r="AV65" s="6240">
        <f t="shared" si="31"/>
        <v>0</v>
      </c>
      <c r="AW65" s="6189" cm="1">
        <f t="array" ref="AW65">IF(AK65&lt;&gt;1,0,IF(OR(AU65="",N(AU65)&lt;=0.000000001),"",IF(OR(AO65="",N(AO65)&lt;=0.000000001),0,IF(ISNUMBER(AU65),IFERROR(_xlfn.LET(_xlpm.ai_test,TRIM(AJ65),_xlpm.r,IFERROR(_xlfn.XLOOKUP(_xlpm.ai_test,$BJ$15:$BJ$62,ROW($BJ$15:$BJ$62),0,1),IFERROR(_xlfn.XLOOKUP(_xlpm.ai_test,$BK$15:$BK$62,ROW($BK$15:$BK$62),0,1),_xlfn.XLOOKUP(_xlpm.ai_test,$BL$15:$BL$62,ROW($BL$15:$BL$62),0,1))),_xlpm.p,_xlpm.r-MIN(ROW($BJ$15:$BJ$62))+1,_xlpm.f,INDEX($BM$15:$BM$62,_xlpm.p),_xlpm.u,INDEX($BN$15:$BN$62,_xlpm.p),_xlpm.s,INDEX($BP$15:$BP$62,_xlpm.p),_xlpm.q,N(AU65)/_xlpm.f,IF(_xlpm.q&gt;=_xlpm.s,ROUND(_xlpm.q,1)&amp;" "&amp;_xlpm.ai_test&amp;" = "&amp;ROUND(_xlpm.q*_xlpm.f,1)&amp;" "&amp;_xlpm.u,ROUND(_xlpm.q,1)&amp;" "&amp;_xlpm.ai_test)),""),""))))</f>
        <v>0</v>
      </c>
      <c r="AX65" s="6218"/>
      <c r="AY65" s="6272">
        <f t="shared" si="32"/>
        <v>0</v>
      </c>
      <c r="AZ65" s="6240" t="str">
        <f t="shared" si="33"/>
        <v/>
      </c>
      <c r="BA65" s="6195">
        <f t="shared" si="40"/>
        <v>0</v>
      </c>
      <c r="BB65" s="6193" t="str">
        <f t="shared" si="34"/>
        <v/>
      </c>
      <c r="BC65" s="6219"/>
      <c r="BD65" s="6222">
        <f t="shared" si="42"/>
        <v>0</v>
      </c>
      <c r="BE65" s="6220" t="str">
        <f t="shared" si="36"/>
        <v/>
      </c>
      <c r="BF65" s="4" t="s">
        <v>1</v>
      </c>
      <c r="BG65" s="6196">
        <f t="shared" si="37"/>
        <v>0</v>
      </c>
      <c r="BH65" s="6197">
        <f t="shared" si="38"/>
        <v>0</v>
      </c>
      <c r="BI65" s="190"/>
      <c r="BJ65" s="6302" t="s">
        <v>87</v>
      </c>
      <c r="BK65" s="6302"/>
      <c r="BL65" s="6302"/>
      <c r="BM65" s="6303"/>
      <c r="BN65" s="206"/>
      <c r="BO65" s="206"/>
      <c r="BP65" s="206"/>
      <c r="BR65"/>
      <c r="BS65"/>
      <c r="BT65"/>
      <c r="BU65"/>
      <c r="BV65"/>
      <c r="BW65"/>
      <c r="BX65" s="20" t="str">
        <f t="shared" si="12"/>
        <v>►</v>
      </c>
      <c r="BY65" s="6926"/>
      <c r="BZ65" s="6926"/>
      <c r="CA65" s="6926"/>
      <c r="CB65" s="6926"/>
      <c r="CC65" s="6926"/>
      <c r="CD65" s="5661"/>
      <c r="CE65" s="5981">
        <v>19</v>
      </c>
      <c r="CF65" s="5982">
        <v>18</v>
      </c>
      <c r="CG65" s="5982">
        <v>10</v>
      </c>
      <c r="CH65" s="5982">
        <v>16</v>
      </c>
      <c r="CI65" s="5982">
        <v>16</v>
      </c>
      <c r="CJ65" s="5982">
        <v>11</v>
      </c>
      <c r="CK65" s="5983">
        <v>40</v>
      </c>
      <c r="CM65" s="5981">
        <v>19</v>
      </c>
      <c r="CN65" s="5982">
        <v>18</v>
      </c>
      <c r="CO65" s="5982">
        <v>10</v>
      </c>
      <c r="CP65" s="5982">
        <v>16</v>
      </c>
      <c r="CQ65" s="5982">
        <v>16</v>
      </c>
      <c r="CR65" s="5982">
        <v>11</v>
      </c>
      <c r="CS65" s="5983">
        <v>40</v>
      </c>
      <c r="CU65" s="6927"/>
      <c r="CV65" s="6928"/>
      <c r="CW65" s="6928"/>
      <c r="CX65" s="6928"/>
      <c r="CY65" s="6928"/>
      <c r="CZ65" s="6928"/>
      <c r="DA65" s="6929"/>
      <c r="DC65" s="5">
        <v>1</v>
      </c>
    </row>
    <row r="66" spans="1:107" s="1" customFormat="1" ht="21" customHeight="1" thickBot="1">
      <c r="A66" s="5641" t="s">
        <v>1</v>
      </c>
      <c r="B66" s="5662" t="str">
        <f t="shared" si="11"/>
        <v>►</v>
      </c>
      <c r="C66" s="5825" cm="1">
        <f t="array" ref="C66">SUMPRODUCT(LEN(D66:J66))</f>
        <v>0</v>
      </c>
      <c r="D66" s="5275"/>
      <c r="E66" s="1361"/>
      <c r="F66" s="1361"/>
      <c r="G66" s="1361"/>
      <c r="H66" s="1361"/>
      <c r="I66" s="1361"/>
      <c r="J66" s="5276"/>
      <c r="K66" s="106" t="s">
        <v>1</v>
      </c>
      <c r="L66" s="1018" t="s">
        <v>26</v>
      </c>
      <c r="M66" s="41" t="str">
        <f>M67</f>
        <v>N NAME OF YOUR RECIPE | paste it — FAMILY|  Author &gt; YOU</v>
      </c>
      <c r="N66" s="40">
        <f>N67</f>
        <v>5.23</v>
      </c>
      <c r="O66" s="40" t="str">
        <f>O67</f>
        <v>kg</v>
      </c>
      <c r="P66" s="5386" t="str">
        <f>P67</f>
        <v>Master recipe ► Guinea fowl ballotine</v>
      </c>
      <c r="Q66" s="5397"/>
      <c r="R66" s="6831" t="s">
        <v>11012</v>
      </c>
      <c r="S66" s="6902">
        <f>AA85</f>
        <v>5.234659999999999</v>
      </c>
      <c r="T66" s="6902"/>
      <c r="U66" s="6832" t="str" cm="1">
        <f t="array" ref="U66">"1= "&amp;IF(OR(Q65&lt;=0,S66=""),"",_xlfn.LET(_xlpm.kg,IF(ISNUMBER(S66),S66,VALEUR(SUBSTITUTE(SUBSTITUTE(SUBSTITUTE(LOWER(S66),"kg",""),",",".")," ",""))),TEXT(ROUND(_xlpm.kg*1000/Q65,2),"0.##")&amp;" g"))</f>
        <v>1= 1000.89 g</v>
      </c>
      <c r="V66" s="6833">
        <f>IFERROR(AC64/Q65,0)</f>
        <v>0.15296367112810708</v>
      </c>
      <c r="W66" s="6203"/>
      <c r="X66" s="6203"/>
      <c r="Y66" s="6203"/>
      <c r="Z66" s="6203"/>
      <c r="AA66"/>
      <c r="AB66" s="5241" t="s">
        <v>941</v>
      </c>
      <c r="AC66" s="5376">
        <v>0.4</v>
      </c>
      <c r="AD66" s="5242" t="s">
        <v>9686</v>
      </c>
      <c r="AE66" s="4" t="s">
        <v>1</v>
      </c>
      <c r="AF66" s="6202" t="str">
        <f t="shared" si="18"/>
        <v>►</v>
      </c>
      <c r="AG66" s="6234" t="str">
        <f t="shared" si="19"/>
        <v/>
      </c>
      <c r="AH66" s="6732" t="str">
        <f t="shared" si="20"/>
        <v/>
      </c>
      <c r="AI66" s="6234" t="str">
        <f t="shared" si="21"/>
        <v/>
      </c>
      <c r="AJ66" s="6732" t="str">
        <f t="shared" si="22"/>
        <v/>
      </c>
      <c r="AK66" s="6732">
        <f t="shared" si="23"/>
        <v>0</v>
      </c>
      <c r="AL66" s="6230" t="str" cm="1">
        <f t="array" ref="AL66">IF(AF66&lt;&gt;"A","",IFERROR((IFERROR(_xlfn.XLOOKUP(TRIM(SUBSTITUTE(U66,CHAR(160)," ")),$BJ$15:$BJ$62,$BM$15:$BM$62),IFERROR(_xlfn.XLOOKUP(TRIM(SUBSTITUTE(U66,CHAR(160)," ")),$BK$15:$BK$62,$BM$15:$BM$62),_xlfn.XLOOKUP(TRIM(SUBSTITUTE(U66,CHAR(160)," ")),$BL$15:$BL$62,$BM$15:$BM$62))))*T66*IF(ISBLANK(Q66),1,Q66)+IFERROR(_xlfn.XLOOKUP("RECHERCHEX",TRIM(L66:AD66),L66:AD66),0),0))</f>
        <v/>
      </c>
      <c r="AM66" s="6229">
        <f t="shared" si="24"/>
        <v>0</v>
      </c>
      <c r="AN66" s="6857" t="str">
        <f t="shared" si="44"/>
        <v/>
      </c>
      <c r="AO66" s="392">
        <f t="shared" si="26"/>
        <v>0</v>
      </c>
      <c r="AP66" s="392">
        <f t="shared" si="27"/>
        <v>0</v>
      </c>
      <c r="AQ66" s="6190">
        <f t="shared" si="28"/>
        <v>0</v>
      </c>
      <c r="AR66" s="6858" t="str">
        <f t="shared" si="29"/>
        <v/>
      </c>
      <c r="AS66" s="6217"/>
      <c r="AT66" s="6217"/>
      <c r="AU66" s="6271">
        <f t="shared" si="30"/>
        <v>0</v>
      </c>
      <c r="AV66" s="6242">
        <f t="shared" si="31"/>
        <v>0</v>
      </c>
      <c r="AW66" s="6188" cm="1">
        <f t="array" ref="AW66">IF(AK66&lt;&gt;1,0,IF(OR(AU66="",N(AU66)&lt;=0.000000001),"",IF(OR(AO66="",N(AO66)&lt;=0.000000001),0,IF(ISNUMBER(AU66),IFERROR(_xlfn.LET(_xlpm.ai_test,TRIM(AJ66),_xlpm.r,IFERROR(_xlfn.XLOOKUP(_xlpm.ai_test,$BJ$15:$BJ$62,ROW($BJ$15:$BJ$62),0,1),IFERROR(_xlfn.XLOOKUP(_xlpm.ai_test,$BK$15:$BK$62,ROW($BK$15:$BK$62),0,1),_xlfn.XLOOKUP(_xlpm.ai_test,$BL$15:$BL$62,ROW($BL$15:$BL$62),0,1))),_xlpm.p,_xlpm.r-MIN(ROW($BJ$15:$BJ$62))+1,_xlpm.f,INDEX($BM$15:$BM$62,_xlpm.p),_xlpm.u,INDEX($BN$15:$BN$62,_xlpm.p),_xlpm.s,INDEX($BP$15:$BP$62,_xlpm.p),_xlpm.q,N(AU66)/_xlpm.f,IF(_xlpm.q&gt;=_xlpm.s,ROUND(_xlpm.q,1)&amp;" "&amp;_xlpm.ai_test&amp;" = "&amp;ROUND(_xlpm.q*_xlpm.f,1)&amp;" "&amp;_xlpm.u,ROUND(_xlpm.q,1)&amp;" "&amp;_xlpm.ai_test)),""),""))))</f>
        <v>0</v>
      </c>
      <c r="AX66" s="6218"/>
      <c r="AY66" s="6271">
        <f t="shared" si="32"/>
        <v>0</v>
      </c>
      <c r="AZ66" s="6242" t="str">
        <f t="shared" si="33"/>
        <v/>
      </c>
      <c r="BA66" s="6194">
        <f t="shared" si="40"/>
        <v>0</v>
      </c>
      <c r="BB66" s="6192" t="str">
        <f t="shared" si="34"/>
        <v/>
      </c>
      <c r="BC66" s="6219"/>
      <c r="BD66" s="6221">
        <f t="shared" si="42"/>
        <v>0</v>
      </c>
      <c r="BE66" s="6220" t="str">
        <f t="shared" si="36"/>
        <v/>
      </c>
      <c r="BF66" s="4" t="s">
        <v>1</v>
      </c>
      <c r="BG66" s="6196">
        <f t="shared" si="37"/>
        <v>0</v>
      </c>
      <c r="BH66" s="6197">
        <f t="shared" si="38"/>
        <v>0</v>
      </c>
      <c r="BI66" s="190"/>
      <c r="BJ66" s="102"/>
      <c r="BK66" s="102"/>
      <c r="BL66" s="102"/>
      <c r="BM66" s="102"/>
      <c r="BN66" s="102"/>
      <c r="BO66" s="102"/>
      <c r="BP66" s="102"/>
      <c r="BQ66" s="102"/>
      <c r="BR66"/>
      <c r="BS66"/>
      <c r="BT66"/>
      <c r="BU66"/>
      <c r="BV66"/>
      <c r="BW66"/>
      <c r="BX66" s="20" t="str">
        <f t="shared" si="12"/>
        <v>►</v>
      </c>
      <c r="BY66" s="5819"/>
      <c r="BZ66" s="228"/>
      <c r="CA66" s="228"/>
      <c r="CB66" s="227"/>
      <c r="CC66" s="227"/>
      <c r="CD66" s="5661"/>
      <c r="CE66" s="586">
        <f t="shared" ref="CE66:CK66" ca="1" si="47">CELL("largeur",CE66)</f>
        <v>19</v>
      </c>
      <c r="CF66" s="587">
        <f t="shared" ca="1" si="47"/>
        <v>18</v>
      </c>
      <c r="CG66" s="587">
        <f t="shared" ca="1" si="47"/>
        <v>10</v>
      </c>
      <c r="CH66" s="587">
        <f t="shared" ca="1" si="47"/>
        <v>16</v>
      </c>
      <c r="CI66" s="587">
        <f t="shared" ca="1" si="47"/>
        <v>16</v>
      </c>
      <c r="CJ66" s="587">
        <f t="shared" ca="1" si="47"/>
        <v>11</v>
      </c>
      <c r="CK66" s="588">
        <f t="shared" ca="1" si="47"/>
        <v>40</v>
      </c>
      <c r="CM66" s="586">
        <f t="shared" ref="CM66:CS66" ca="1" si="48">CELL("largeur",CM66)</f>
        <v>19</v>
      </c>
      <c r="CN66" s="587">
        <f t="shared" ca="1" si="48"/>
        <v>18</v>
      </c>
      <c r="CO66" s="587">
        <f t="shared" ca="1" si="48"/>
        <v>10</v>
      </c>
      <c r="CP66" s="587">
        <f t="shared" ca="1" si="48"/>
        <v>16</v>
      </c>
      <c r="CQ66" s="587">
        <f t="shared" ca="1" si="48"/>
        <v>16</v>
      </c>
      <c r="CR66" s="587">
        <f t="shared" ca="1" si="48"/>
        <v>11</v>
      </c>
      <c r="CS66" s="588">
        <f t="shared" ca="1" si="48"/>
        <v>40</v>
      </c>
      <c r="CU66" s="5981">
        <v>19</v>
      </c>
      <c r="CV66" s="5982">
        <v>18</v>
      </c>
      <c r="CW66" s="5982">
        <v>10</v>
      </c>
      <c r="CX66" s="5982">
        <v>16</v>
      </c>
      <c r="CY66" s="5982">
        <v>16</v>
      </c>
      <c r="CZ66" s="5982">
        <v>11</v>
      </c>
      <c r="DA66" s="5983">
        <v>40</v>
      </c>
      <c r="DC66" s="5">
        <v>1</v>
      </c>
    </row>
    <row r="67" spans="1:107" s="1" customFormat="1" ht="21" customHeight="1" thickBot="1">
      <c r="A67" s="5641" t="s">
        <v>1</v>
      </c>
      <c r="B67" s="5662" t="str">
        <f t="shared" si="11"/>
        <v>►</v>
      </c>
      <c r="C67" s="5825" cm="1">
        <f t="array" ref="C67">SUMPRODUCT(LEN(D67:J67))</f>
        <v>0</v>
      </c>
      <c r="D67" s="5275"/>
      <c r="E67" s="1361"/>
      <c r="F67" s="1361"/>
      <c r="G67" s="1361"/>
      <c r="H67" s="1361"/>
      <c r="I67" s="1361"/>
      <c r="J67" s="5276"/>
      <c r="K67" s="106" t="s">
        <v>1</v>
      </c>
      <c r="L67" s="5243" t="s">
        <v>26</v>
      </c>
      <c r="M67" s="5379" t="str">
        <f>Q67</f>
        <v>N NAME OF YOUR RECIPE | paste it — FAMILY|  Author &gt; YOU</v>
      </c>
      <c r="N67" s="5380">
        <f>Q65</f>
        <v>5.23</v>
      </c>
      <c r="O67" s="5379" t="str">
        <f>R65</f>
        <v>kg</v>
      </c>
      <c r="P67" s="5381" t="str">
        <f>V67&amp;" "&amp;W67</f>
        <v>Master recipe ► Guinea fowl ballotine</v>
      </c>
      <c r="Q67" s="5484" t="str">
        <f>UPPER(LEFT(T61,1))&amp;" "&amp;T61&amp;" | "&amp;AB61&amp;"| "&amp;T63&amp;" "&amp;U63</f>
        <v>N NAME OF YOUR RECIPE | paste it — FAMILY|  Author &gt; YOU</v>
      </c>
      <c r="R67" s="5485" t="s">
        <v>8391</v>
      </c>
      <c r="S67" s="6903" t="s">
        <v>903</v>
      </c>
      <c r="T67" s="6903"/>
      <c r="U67" s="6903"/>
      <c r="V67" s="5119" t="str">
        <f>IF(ISTEXT(W67),"Master recipe ►",R67)</f>
        <v>Master recipe ►</v>
      </c>
      <c r="W67" s="6267" t="s">
        <v>8380</v>
      </c>
      <c r="X67" s="6267"/>
      <c r="Y67" s="6267"/>
      <c r="Z67" s="6267"/>
      <c r="AA67" s="6268"/>
      <c r="AB67" s="6268"/>
      <c r="AC67" s="6268"/>
      <c r="AD67" s="6736" t="s">
        <v>8379</v>
      </c>
      <c r="AE67" s="4" t="s">
        <v>1</v>
      </c>
      <c r="AF67" s="6202" t="str">
        <f t="shared" si="18"/>
        <v>►</v>
      </c>
      <c r="AG67" s="6234" t="str">
        <f t="shared" si="19"/>
        <v/>
      </c>
      <c r="AH67" s="6732" t="str">
        <f t="shared" si="20"/>
        <v/>
      </c>
      <c r="AI67" s="6234" t="str">
        <f t="shared" si="21"/>
        <v/>
      </c>
      <c r="AJ67" s="6732" t="str">
        <f t="shared" si="22"/>
        <v/>
      </c>
      <c r="AK67" s="6732">
        <f t="shared" si="23"/>
        <v>0</v>
      </c>
      <c r="AL67" s="6230" t="str" cm="1">
        <f t="array" ref="AL67">IF(AF67&lt;&gt;"A","",IFERROR((IFERROR(_xlfn.XLOOKUP(TRIM(SUBSTITUTE(U67,CHAR(160)," ")),$BJ$15:$BJ$62,$BM$15:$BM$62),IFERROR(_xlfn.XLOOKUP(TRIM(SUBSTITUTE(U67,CHAR(160)," ")),$BK$15:$BK$62,$BM$15:$BM$62),_xlfn.XLOOKUP(TRIM(SUBSTITUTE(U67,CHAR(160)," ")),$BL$15:$BL$62,$BM$15:$BM$62))))*T67*IF(ISBLANK(Q67),1,Q67)+IFERROR(_xlfn.XLOOKUP("RECHERCHEX",TRIM(L67:AD67),L67:AD67),0),0))</f>
        <v/>
      </c>
      <c r="AM67" s="6229">
        <f t="shared" si="24"/>
        <v>0</v>
      </c>
      <c r="AN67" s="6857" t="str">
        <f t="shared" si="44"/>
        <v/>
      </c>
      <c r="AO67" s="392">
        <f t="shared" si="26"/>
        <v>0</v>
      </c>
      <c r="AP67" s="392">
        <f t="shared" si="27"/>
        <v>0</v>
      </c>
      <c r="AQ67" s="6191">
        <f t="shared" si="28"/>
        <v>0</v>
      </c>
      <c r="AR67" s="6859" t="str">
        <f t="shared" si="29"/>
        <v/>
      </c>
      <c r="AS67" s="6217"/>
      <c r="AT67" s="6217"/>
      <c r="AU67" s="6272">
        <f t="shared" si="30"/>
        <v>0</v>
      </c>
      <c r="AV67" s="6240">
        <f t="shared" si="31"/>
        <v>0</v>
      </c>
      <c r="AW67" s="6189" cm="1">
        <f t="array" ref="AW67">IF(AK67&lt;&gt;1,0,IF(OR(AU67="",N(AU67)&lt;=0.000000001),"",IF(OR(AO67="",N(AO67)&lt;=0.000000001),0,IF(ISNUMBER(AU67),IFERROR(_xlfn.LET(_xlpm.ai_test,TRIM(AJ67),_xlpm.r,IFERROR(_xlfn.XLOOKUP(_xlpm.ai_test,$BJ$15:$BJ$62,ROW($BJ$15:$BJ$62),0,1),IFERROR(_xlfn.XLOOKUP(_xlpm.ai_test,$BK$15:$BK$62,ROW($BK$15:$BK$62),0,1),_xlfn.XLOOKUP(_xlpm.ai_test,$BL$15:$BL$62,ROW($BL$15:$BL$62),0,1))),_xlpm.p,_xlpm.r-MIN(ROW($BJ$15:$BJ$62))+1,_xlpm.f,INDEX($BM$15:$BM$62,_xlpm.p),_xlpm.u,INDEX($BN$15:$BN$62,_xlpm.p),_xlpm.s,INDEX($BP$15:$BP$62,_xlpm.p),_xlpm.q,N(AU67)/_xlpm.f,IF(_xlpm.q&gt;=_xlpm.s,ROUND(_xlpm.q,1)&amp;" "&amp;_xlpm.ai_test&amp;" = "&amp;ROUND(_xlpm.q*_xlpm.f,1)&amp;" "&amp;_xlpm.u,ROUND(_xlpm.q,1)&amp;" "&amp;_xlpm.ai_test)),""),""))))</f>
        <v>0</v>
      </c>
      <c r="AX67" s="6218"/>
      <c r="AY67" s="6272">
        <f t="shared" si="32"/>
        <v>0</v>
      </c>
      <c r="AZ67" s="6240" t="str">
        <f t="shared" si="33"/>
        <v/>
      </c>
      <c r="BA67" s="6195">
        <f t="shared" si="40"/>
        <v>0</v>
      </c>
      <c r="BB67" s="6193" t="str">
        <f t="shared" si="34"/>
        <v/>
      </c>
      <c r="BC67" s="6219"/>
      <c r="BD67" s="6222">
        <f t="shared" si="42"/>
        <v>0</v>
      </c>
      <c r="BE67" s="6220" t="str">
        <f t="shared" si="36"/>
        <v/>
      </c>
      <c r="BF67" s="4" t="s">
        <v>1</v>
      </c>
      <c r="BG67" s="6196">
        <f t="shared" si="37"/>
        <v>0</v>
      </c>
      <c r="BH67" s="6197">
        <f t="shared" si="38"/>
        <v>0</v>
      </c>
      <c r="BI67"/>
      <c r="BJ67" s="6924" t="s">
        <v>8845</v>
      </c>
      <c r="BK67" s="6924"/>
      <c r="BL67" s="6924"/>
      <c r="BM67" s="6924"/>
      <c r="BN67" s="6924"/>
      <c r="BO67" s="6924"/>
      <c r="BP67" s="6924"/>
      <c r="BQ67" s="6924"/>
      <c r="BR67"/>
      <c r="BS67"/>
      <c r="BT67"/>
      <c r="BU67"/>
      <c r="BV67"/>
      <c r="BW67"/>
      <c r="BX67" s="20" t="str">
        <f t="shared" si="12"/>
        <v>►</v>
      </c>
      <c r="BY67" s="6930" t="s">
        <v>11033</v>
      </c>
      <c r="BZ67" s="6930"/>
      <c r="CA67" s="6930"/>
      <c r="CB67" s="6930"/>
      <c r="CC67" s="6930"/>
      <c r="CD67" s="5661"/>
      <c r="CU67" s="586">
        <f t="shared" ref="CU67:DA67" ca="1" si="49">CELL("largeur",CU67)</f>
        <v>19</v>
      </c>
      <c r="CV67" s="587">
        <f t="shared" ca="1" si="49"/>
        <v>18</v>
      </c>
      <c r="CW67" s="587">
        <f t="shared" ca="1" si="49"/>
        <v>10</v>
      </c>
      <c r="CX67" s="587">
        <f t="shared" ca="1" si="49"/>
        <v>16</v>
      </c>
      <c r="CY67" s="587">
        <f t="shared" ca="1" si="49"/>
        <v>16</v>
      </c>
      <c r="CZ67" s="587">
        <f t="shared" ca="1" si="49"/>
        <v>11</v>
      </c>
      <c r="DA67" s="588">
        <f t="shared" ca="1" si="49"/>
        <v>40</v>
      </c>
      <c r="DC67" s="5">
        <v>1</v>
      </c>
    </row>
    <row r="68" spans="1:107" s="1" customFormat="1" ht="21" customHeight="1">
      <c r="A68" s="5641" t="s">
        <v>1</v>
      </c>
      <c r="B68" s="5662" t="str">
        <f t="shared" si="11"/>
        <v>►</v>
      </c>
      <c r="C68" s="5825" cm="1">
        <f t="array" ref="C68">SUMPRODUCT(LEN(D68:J68))</f>
        <v>0</v>
      </c>
      <c r="D68" s="5275"/>
      <c r="E68" s="1361"/>
      <c r="F68" s="1361"/>
      <c r="G68" s="1361"/>
      <c r="H68" s="1361"/>
      <c r="I68" s="1361"/>
      <c r="J68" s="5276"/>
      <c r="K68" s="106" t="s">
        <v>1</v>
      </c>
      <c r="L68" s="1017" t="s">
        <v>26</v>
      </c>
      <c r="M68" s="5382" t="str">
        <f>M67</f>
        <v>N NAME OF YOUR RECIPE | paste it — FAMILY|  Author &gt; YOU</v>
      </c>
      <c r="N68" s="5382">
        <f>N67</f>
        <v>5.23</v>
      </c>
      <c r="O68" s="5382" t="str">
        <f>O67</f>
        <v>kg</v>
      </c>
      <c r="P68" s="5383" t="str">
        <f>P67</f>
        <v>Master recipe ► Guinea fowl ballotine</v>
      </c>
      <c r="Q68" s="310" t="s">
        <v>217</v>
      </c>
      <c r="R68" s="310" t="s">
        <v>216</v>
      </c>
      <c r="S68" s="310" t="s">
        <v>215</v>
      </c>
      <c r="T68" s="310" t="s">
        <v>214</v>
      </c>
      <c r="U68" s="309" t="s">
        <v>83</v>
      </c>
      <c r="V68" s="6265" t="s">
        <v>213</v>
      </c>
      <c r="W68" s="6266" t="s">
        <v>212</v>
      </c>
      <c r="X68" s="6266" t="s">
        <v>211</v>
      </c>
      <c r="Y68" s="6266" t="s">
        <v>210</v>
      </c>
      <c r="Z68" s="6266" t="s">
        <v>7928</v>
      </c>
      <c r="AA68" s="6266" t="s">
        <v>208</v>
      </c>
      <c r="AB68" s="6266" t="s">
        <v>207</v>
      </c>
      <c r="AC68" s="6266" t="s">
        <v>206</v>
      </c>
      <c r="AD68" s="6270" t="s">
        <v>205</v>
      </c>
      <c r="AE68" s="4" t="s">
        <v>1</v>
      </c>
      <c r="AF68" s="6202" t="str">
        <f t="shared" si="18"/>
        <v>►</v>
      </c>
      <c r="AG68" s="6234" t="str">
        <f t="shared" si="19"/>
        <v/>
      </c>
      <c r="AH68" s="6732" t="str">
        <f t="shared" si="20"/>
        <v/>
      </c>
      <c r="AI68" s="6234" t="str">
        <f t="shared" si="21"/>
        <v/>
      </c>
      <c r="AJ68" s="6732" t="str">
        <f t="shared" si="22"/>
        <v/>
      </c>
      <c r="AK68" s="6732">
        <f t="shared" si="23"/>
        <v>0</v>
      </c>
      <c r="AL68" s="6230" t="str" cm="1">
        <f t="array" ref="AL68">IF(AF68&lt;&gt;"A","",IFERROR((IFERROR(_xlfn.XLOOKUP(TRIM(SUBSTITUTE(U68,CHAR(160)," ")),$BJ$15:$BJ$62,$BM$15:$BM$62),IFERROR(_xlfn.XLOOKUP(TRIM(SUBSTITUTE(U68,CHAR(160)," ")),$BK$15:$BK$62,$BM$15:$BM$62),_xlfn.XLOOKUP(TRIM(SUBSTITUTE(U68,CHAR(160)," ")),$BL$15:$BL$62,$BM$15:$BM$62))))*T68*IF(ISBLANK(Q68),1,Q68)+IFERROR(_xlfn.XLOOKUP("RECHERCHEX",TRIM(L68:AD68),L68:AD68),0),0))</f>
        <v/>
      </c>
      <c r="AM68" s="6229">
        <f t="shared" si="24"/>
        <v>0</v>
      </c>
      <c r="AN68" s="6857" t="str">
        <f t="shared" si="44"/>
        <v/>
      </c>
      <c r="AO68" s="392">
        <f t="shared" si="26"/>
        <v>0</v>
      </c>
      <c r="AP68" s="392">
        <f t="shared" si="27"/>
        <v>0</v>
      </c>
      <c r="AQ68" s="6190">
        <f t="shared" si="28"/>
        <v>0</v>
      </c>
      <c r="AR68" s="6858" t="str">
        <f t="shared" si="29"/>
        <v/>
      </c>
      <c r="AS68" s="6217"/>
      <c r="AT68" s="6217"/>
      <c r="AU68" s="6271">
        <f t="shared" si="30"/>
        <v>0</v>
      </c>
      <c r="AV68" s="6242">
        <f t="shared" si="31"/>
        <v>0</v>
      </c>
      <c r="AW68" s="6188" cm="1">
        <f t="array" ref="AW68">IF(AK68&lt;&gt;1,0,IF(OR(AU68="",N(AU68)&lt;=0.000000001),"",IF(OR(AO68="",N(AO68)&lt;=0.000000001),0,IF(ISNUMBER(AU68),IFERROR(_xlfn.LET(_xlpm.ai_test,TRIM(AJ68),_xlpm.r,IFERROR(_xlfn.XLOOKUP(_xlpm.ai_test,$BJ$15:$BJ$62,ROW($BJ$15:$BJ$62),0,1),IFERROR(_xlfn.XLOOKUP(_xlpm.ai_test,$BK$15:$BK$62,ROW($BK$15:$BK$62),0,1),_xlfn.XLOOKUP(_xlpm.ai_test,$BL$15:$BL$62,ROW($BL$15:$BL$62),0,1))),_xlpm.p,_xlpm.r-MIN(ROW($BJ$15:$BJ$62))+1,_xlpm.f,INDEX($BM$15:$BM$62,_xlpm.p),_xlpm.u,INDEX($BN$15:$BN$62,_xlpm.p),_xlpm.s,INDEX($BP$15:$BP$62,_xlpm.p),_xlpm.q,N(AU68)/_xlpm.f,IF(_xlpm.q&gt;=_xlpm.s,ROUND(_xlpm.q,1)&amp;" "&amp;_xlpm.ai_test&amp;" = "&amp;ROUND(_xlpm.q*_xlpm.f,1)&amp;" "&amp;_xlpm.u,ROUND(_xlpm.q,1)&amp;" "&amp;_xlpm.ai_test)),""),""))))</f>
        <v>0</v>
      </c>
      <c r="AX68" s="6218"/>
      <c r="AY68" s="6271">
        <f t="shared" si="32"/>
        <v>0</v>
      </c>
      <c r="AZ68" s="6242" t="str">
        <f t="shared" si="33"/>
        <v/>
      </c>
      <c r="BA68" s="6194">
        <f t="shared" si="40"/>
        <v>0</v>
      </c>
      <c r="BB68" s="6192" t="str">
        <f t="shared" si="34"/>
        <v/>
      </c>
      <c r="BC68" s="6219"/>
      <c r="BD68" s="6221">
        <f t="shared" si="42"/>
        <v>0</v>
      </c>
      <c r="BE68" s="6220" t="str">
        <f t="shared" si="36"/>
        <v/>
      </c>
      <c r="BF68" s="4" t="s">
        <v>1</v>
      </c>
      <c r="BG68" s="6196">
        <f t="shared" si="37"/>
        <v>0</v>
      </c>
      <c r="BH68" s="6197">
        <f t="shared" si="38"/>
        <v>0</v>
      </c>
      <c r="BI68"/>
      <c r="BJ68" s="6924"/>
      <c r="BK68" s="6924"/>
      <c r="BL68" s="6924"/>
      <c r="BM68" s="6924"/>
      <c r="BN68" s="6924"/>
      <c r="BO68" s="6924"/>
      <c r="BP68" s="6924"/>
      <c r="BQ68" s="6924"/>
      <c r="BR68"/>
      <c r="BS68"/>
      <c r="BT68"/>
      <c r="BU68"/>
      <c r="BV68"/>
      <c r="BW68"/>
      <c r="BX68" s="20" t="str">
        <f t="shared" si="12"/>
        <v>►</v>
      </c>
      <c r="BY68" s="6930"/>
      <c r="BZ68" s="6930"/>
      <c r="CA68" s="6930"/>
      <c r="CB68" s="6930"/>
      <c r="CC68" s="6930"/>
      <c r="CD68" s="5661"/>
      <c r="DC68" s="5">
        <v>1</v>
      </c>
    </row>
    <row r="69" spans="1:107" s="1" customFormat="1" ht="21" customHeight="1">
      <c r="A69" s="5641" t="s">
        <v>1</v>
      </c>
      <c r="B69" s="5662" t="str">
        <f t="shared" ref="B69:B132" si="50">L69</f>
        <v>A</v>
      </c>
      <c r="C69" s="5825" cm="1">
        <f t="array" ref="C69">SUMPRODUCT(LEN(D69:J69))</f>
        <v>0</v>
      </c>
      <c r="D69" s="5275"/>
      <c r="E69" s="1361"/>
      <c r="F69" s="1361"/>
      <c r="G69" s="1361"/>
      <c r="H69" s="1361"/>
      <c r="I69" s="1361"/>
      <c r="J69" s="5276"/>
      <c r="K69" s="106" t="s">
        <v>1</v>
      </c>
      <c r="L69" s="1018" t="s">
        <v>21</v>
      </c>
      <c r="M69" s="41" t="str">
        <f>M67</f>
        <v>N NAME OF YOUR RECIPE | paste it — FAMILY|  Author &gt; YOU</v>
      </c>
      <c r="N69" s="40">
        <f>N67</f>
        <v>5.23</v>
      </c>
      <c r="O69" s="41" t="str">
        <f>O67</f>
        <v>kg</v>
      </c>
      <c r="P69" s="5386" t="str">
        <f>P67</f>
        <v>Master recipe ► Guinea fowl ballotine</v>
      </c>
      <c r="Q69" s="5247" t="s">
        <v>198</v>
      </c>
      <c r="R69" s="298" t="s">
        <v>197</v>
      </c>
      <c r="S69" s="297"/>
      <c r="T69" s="6904" t="s">
        <v>850</v>
      </c>
      <c r="U69" s="6906" t="s">
        <v>195</v>
      </c>
      <c r="V69" s="6908" t="s">
        <v>82</v>
      </c>
      <c r="W69" s="5248" t="s">
        <v>194</v>
      </c>
      <c r="X69" s="6869" t="s">
        <v>11041</v>
      </c>
      <c r="Y69" s="6256" t="s">
        <v>8377</v>
      </c>
      <c r="Z69" s="6700" t="s">
        <v>8382</v>
      </c>
      <c r="AA69" s="6888" t="s">
        <v>8381</v>
      </c>
      <c r="AB69" s="6890" t="s">
        <v>8382</v>
      </c>
      <c r="AC69" s="6892" t="s">
        <v>8383</v>
      </c>
      <c r="AD69" s="6894" t="s">
        <v>8384</v>
      </c>
      <c r="AE69" s="6873" t="s">
        <v>11041</v>
      </c>
      <c r="AF69" s="6202" t="str">
        <f t="shared" si="18"/>
        <v>►</v>
      </c>
      <c r="AG69" s="6234" t="str">
        <f t="shared" si="19"/>
        <v/>
      </c>
      <c r="AH69" s="6732" t="str">
        <f t="shared" si="20"/>
        <v/>
      </c>
      <c r="AI69" s="6234" t="str">
        <f t="shared" si="21"/>
        <v/>
      </c>
      <c r="AJ69" s="6732" t="str">
        <f t="shared" si="22"/>
        <v/>
      </c>
      <c r="AK69" s="6732">
        <f t="shared" si="23"/>
        <v>0</v>
      </c>
      <c r="AL69" s="6230" t="str" cm="1">
        <f t="array" ref="AL69">IF(AF69&lt;&gt;"A","",IFERROR((IFERROR(_xlfn.XLOOKUP(TRIM(SUBSTITUTE(U69,CHAR(160)," ")),$BJ$15:$BJ$62,$BM$15:$BM$62),IFERROR(_xlfn.XLOOKUP(TRIM(SUBSTITUTE(U69,CHAR(160)," ")),$BK$15:$BK$62,$BM$15:$BM$62),_xlfn.XLOOKUP(TRIM(SUBSTITUTE(U69,CHAR(160)," ")),$BL$15:$BL$62,$BM$15:$BM$62))))*T69*IF(ISBLANK(Q69),1,Q69)+IFERROR(_xlfn.XLOOKUP("RECHERCHEX",TRIM(L69:AD69),L69:AD69),0),0))</f>
        <v/>
      </c>
      <c r="AM69" s="6229">
        <f t="shared" si="24"/>
        <v>0</v>
      </c>
      <c r="AN69" s="6857" t="str">
        <f t="shared" si="44"/>
        <v/>
      </c>
      <c r="AO69" s="392">
        <f t="shared" si="26"/>
        <v>0</v>
      </c>
      <c r="AP69" s="392">
        <f t="shared" si="27"/>
        <v>0</v>
      </c>
      <c r="AQ69" s="6191">
        <f t="shared" si="28"/>
        <v>0</v>
      </c>
      <c r="AR69" s="6859" t="str">
        <f t="shared" si="29"/>
        <v/>
      </c>
      <c r="AS69" s="6217"/>
      <c r="AT69" s="6217"/>
      <c r="AU69" s="6272">
        <f t="shared" si="30"/>
        <v>0</v>
      </c>
      <c r="AV69" s="6240">
        <f t="shared" si="31"/>
        <v>0</v>
      </c>
      <c r="AW69" s="6189" cm="1">
        <f t="array" ref="AW69">IF(AK69&lt;&gt;1,0,IF(OR(AU69="",N(AU69)&lt;=0.000000001),"",IF(OR(AO69="",N(AO69)&lt;=0.000000001),0,IF(ISNUMBER(AU69),IFERROR(_xlfn.LET(_xlpm.ai_test,TRIM(AJ69),_xlpm.r,IFERROR(_xlfn.XLOOKUP(_xlpm.ai_test,$BJ$15:$BJ$62,ROW($BJ$15:$BJ$62),0,1),IFERROR(_xlfn.XLOOKUP(_xlpm.ai_test,$BK$15:$BK$62,ROW($BK$15:$BK$62),0,1),_xlfn.XLOOKUP(_xlpm.ai_test,$BL$15:$BL$62,ROW($BL$15:$BL$62),0,1))),_xlpm.p,_xlpm.r-MIN(ROW($BJ$15:$BJ$62))+1,_xlpm.f,INDEX($BM$15:$BM$62,_xlpm.p),_xlpm.u,INDEX($BN$15:$BN$62,_xlpm.p),_xlpm.s,INDEX($BP$15:$BP$62,_xlpm.p),_xlpm.q,N(AU69)/_xlpm.f,IF(_xlpm.q&gt;=_xlpm.s,ROUND(_xlpm.q,1)&amp;" "&amp;_xlpm.ai_test&amp;" = "&amp;ROUND(_xlpm.q*_xlpm.f,1)&amp;" "&amp;_xlpm.u,ROUND(_xlpm.q,1)&amp;" "&amp;_xlpm.ai_test)),""),""))))</f>
        <v>0</v>
      </c>
      <c r="AX69" s="6218"/>
      <c r="AY69" s="6272">
        <f t="shared" si="32"/>
        <v>0</v>
      </c>
      <c r="AZ69" s="6240" t="str">
        <f t="shared" si="33"/>
        <v/>
      </c>
      <c r="BA69" s="6195">
        <f t="shared" si="40"/>
        <v>0</v>
      </c>
      <c r="BB69" s="6193" t="str">
        <f t="shared" si="34"/>
        <v/>
      </c>
      <c r="BC69" s="6219"/>
      <c r="BD69" s="6222">
        <f t="shared" si="42"/>
        <v>0</v>
      </c>
      <c r="BE69" s="6220" t="str">
        <f t="shared" si="36"/>
        <v/>
      </c>
      <c r="BF69" s="4" t="s">
        <v>1</v>
      </c>
      <c r="BG69" s="6196">
        <f t="shared" si="37"/>
        <v>0</v>
      </c>
      <c r="BH69" s="6197">
        <f t="shared" si="38"/>
        <v>0</v>
      </c>
      <c r="BJ69" s="6924" t="s">
        <v>8846</v>
      </c>
      <c r="BK69" s="6924"/>
      <c r="BL69" s="6924"/>
      <c r="BM69" s="6924"/>
      <c r="BN69" s="6924"/>
      <c r="BO69" s="6924"/>
      <c r="BP69" s="6924"/>
      <c r="BQ69" s="6924"/>
      <c r="BR69"/>
      <c r="BS69"/>
      <c r="BT69"/>
      <c r="BU69"/>
      <c r="BV69"/>
      <c r="BW69"/>
      <c r="BX69" s="20" t="str">
        <f t="shared" ref="BX69:BX132" si="51">AF69</f>
        <v>►</v>
      </c>
      <c r="BY69" s="6930"/>
      <c r="BZ69" s="6930"/>
      <c r="CA69" s="6930"/>
      <c r="CB69" s="6930"/>
      <c r="CC69" s="6930"/>
      <c r="CD69" s="5661"/>
      <c r="DC69" s="5">
        <v>1</v>
      </c>
    </row>
    <row r="70" spans="1:107" s="1" customFormat="1" ht="21" customHeight="1">
      <c r="A70" s="5641" t="s">
        <v>1</v>
      </c>
      <c r="B70" s="5662" t="str">
        <f t="shared" si="50"/>
        <v>A</v>
      </c>
      <c r="C70" s="5825" cm="1">
        <f t="array" ref="C70">SUMPRODUCT(LEN(D70:J70))</f>
        <v>0</v>
      </c>
      <c r="D70" s="5275"/>
      <c r="E70" s="1361"/>
      <c r="F70" s="1361"/>
      <c r="G70" s="1361"/>
      <c r="H70" s="1361"/>
      <c r="I70" s="1361"/>
      <c r="J70" s="5276"/>
      <c r="K70" s="106" t="s">
        <v>1</v>
      </c>
      <c r="L70" s="1018" t="s">
        <v>21</v>
      </c>
      <c r="M70" s="41" t="str">
        <f>M67</f>
        <v>N NAME OF YOUR RECIPE | paste it — FAMILY|  Author &gt; YOU</v>
      </c>
      <c r="N70" s="40">
        <f>N67</f>
        <v>5.23</v>
      </c>
      <c r="O70" s="41" t="str">
        <f>O67</f>
        <v>kg</v>
      </c>
      <c r="P70" s="5386" t="str">
        <f>P67</f>
        <v>Master recipe ► Guinea fowl ballotine</v>
      </c>
      <c r="Q70" s="5249" t="s">
        <v>851</v>
      </c>
      <c r="R70" s="286" t="s">
        <v>852</v>
      </c>
      <c r="S70" s="285" t="s">
        <v>8398</v>
      </c>
      <c r="T70" s="6905"/>
      <c r="U70" s="6907"/>
      <c r="V70" s="6923"/>
      <c r="W70" s="5250" t="s">
        <v>8396</v>
      </c>
      <c r="X70" s="6870" t="s">
        <v>255</v>
      </c>
      <c r="Y70" s="6252" t="s">
        <v>8578</v>
      </c>
      <c r="Z70" s="6019">
        <v>1</v>
      </c>
      <c r="AA70" s="6889"/>
      <c r="AB70" s="6891"/>
      <c r="AC70" s="6893"/>
      <c r="AD70" s="6895"/>
      <c r="AE70" s="6872" t="s">
        <v>11043</v>
      </c>
      <c r="AF70" s="6202" t="str">
        <f t="shared" si="18"/>
        <v>►</v>
      </c>
      <c r="AG70" s="6234" t="str">
        <f t="shared" si="19"/>
        <v/>
      </c>
      <c r="AH70" s="6732" t="str">
        <f t="shared" si="20"/>
        <v/>
      </c>
      <c r="AI70" s="6234" t="str">
        <f t="shared" si="21"/>
        <v/>
      </c>
      <c r="AJ70" s="6732" t="str">
        <f t="shared" si="22"/>
        <v/>
      </c>
      <c r="AK70" s="6732">
        <f t="shared" si="23"/>
        <v>0</v>
      </c>
      <c r="AL70" s="6230" t="str" cm="1">
        <f t="array" ref="AL70">IF(AF70&lt;&gt;"A","",IFERROR((IFERROR(_xlfn.XLOOKUP(TRIM(SUBSTITUTE(U70,CHAR(160)," ")),$BJ$15:$BJ$62,$BM$15:$BM$62),IFERROR(_xlfn.XLOOKUP(TRIM(SUBSTITUTE(U70,CHAR(160)," ")),$BK$15:$BK$62,$BM$15:$BM$62),_xlfn.XLOOKUP(TRIM(SUBSTITUTE(U70,CHAR(160)," ")),$BL$15:$BL$62,$BM$15:$BM$62))))*T70*IF(ISBLANK(Q70),1,Q70)+IFERROR(_xlfn.XLOOKUP("RECHERCHEX",TRIM(L70:AD70),L70:AD70),0),0))</f>
        <v/>
      </c>
      <c r="AM70" s="6229">
        <f t="shared" si="24"/>
        <v>0</v>
      </c>
      <c r="AN70" s="6857" t="str">
        <f t="shared" si="44"/>
        <v/>
      </c>
      <c r="AO70" s="392">
        <f t="shared" si="26"/>
        <v>0</v>
      </c>
      <c r="AP70" s="392">
        <f t="shared" si="27"/>
        <v>0</v>
      </c>
      <c r="AQ70" s="6190">
        <f t="shared" si="28"/>
        <v>0</v>
      </c>
      <c r="AR70" s="6858" t="str">
        <f t="shared" si="29"/>
        <v/>
      </c>
      <c r="AS70" s="6217"/>
      <c r="AT70" s="6217"/>
      <c r="AU70" s="6271">
        <f t="shared" si="30"/>
        <v>0</v>
      </c>
      <c r="AV70" s="6242">
        <f t="shared" si="31"/>
        <v>0</v>
      </c>
      <c r="AW70" s="6188" cm="1">
        <f t="array" ref="AW70">IF(AK70&lt;&gt;1,0,IF(OR(AU70="",N(AU70)&lt;=0.000000001),"",IF(OR(AO70="",N(AO70)&lt;=0.000000001),0,IF(ISNUMBER(AU70),IFERROR(_xlfn.LET(_xlpm.ai_test,TRIM(AJ70),_xlpm.r,IFERROR(_xlfn.XLOOKUP(_xlpm.ai_test,$BJ$15:$BJ$62,ROW($BJ$15:$BJ$62),0,1),IFERROR(_xlfn.XLOOKUP(_xlpm.ai_test,$BK$15:$BK$62,ROW($BK$15:$BK$62),0,1),_xlfn.XLOOKUP(_xlpm.ai_test,$BL$15:$BL$62,ROW($BL$15:$BL$62),0,1))),_xlpm.p,_xlpm.r-MIN(ROW($BJ$15:$BJ$62))+1,_xlpm.f,INDEX($BM$15:$BM$62,_xlpm.p),_xlpm.u,INDEX($BN$15:$BN$62,_xlpm.p),_xlpm.s,INDEX($BP$15:$BP$62,_xlpm.p),_xlpm.q,N(AU70)/_xlpm.f,IF(_xlpm.q&gt;=_xlpm.s,ROUND(_xlpm.q,1)&amp;" "&amp;_xlpm.ai_test&amp;" = "&amp;ROUND(_xlpm.q*_xlpm.f,1)&amp;" "&amp;_xlpm.u,ROUND(_xlpm.q,1)&amp;" "&amp;_xlpm.ai_test)),""),""))))</f>
        <v>0</v>
      </c>
      <c r="AX70" s="6218"/>
      <c r="AY70" s="6271">
        <f t="shared" si="32"/>
        <v>0</v>
      </c>
      <c r="AZ70" s="6242" t="str">
        <f t="shared" si="33"/>
        <v/>
      </c>
      <c r="BA70" s="6194">
        <f t="shared" si="40"/>
        <v>0</v>
      </c>
      <c r="BB70" s="6192" t="str">
        <f t="shared" si="34"/>
        <v/>
      </c>
      <c r="BC70" s="6219"/>
      <c r="BD70" s="6221">
        <f t="shared" si="42"/>
        <v>0</v>
      </c>
      <c r="BE70" s="6220" t="str">
        <f t="shared" si="36"/>
        <v/>
      </c>
      <c r="BF70" s="4" t="s">
        <v>1</v>
      </c>
      <c r="BG70" s="6196">
        <f t="shared" si="37"/>
        <v>0</v>
      </c>
      <c r="BH70" s="6197">
        <f t="shared" si="38"/>
        <v>0</v>
      </c>
      <c r="BJ70" s="6924"/>
      <c r="BK70" s="6924"/>
      <c r="BL70" s="6924"/>
      <c r="BM70" s="6924"/>
      <c r="BN70" s="6924"/>
      <c r="BO70" s="6924"/>
      <c r="BP70" s="6924"/>
      <c r="BQ70" s="6924"/>
      <c r="BR70"/>
      <c r="BS70"/>
      <c r="BT70"/>
      <c r="BU70"/>
      <c r="BV70"/>
      <c r="BW70"/>
      <c r="BX70" s="20" t="str">
        <f t="shared" si="51"/>
        <v>►</v>
      </c>
      <c r="BY70" s="5819"/>
      <c r="BZ70" s="228"/>
      <c r="CA70" s="228"/>
      <c r="CB70" s="227"/>
      <c r="CC70" s="227"/>
      <c r="CD70" s="5661"/>
      <c r="DC70" s="5">
        <v>1</v>
      </c>
    </row>
    <row r="71" spans="1:107" s="1" customFormat="1" ht="21" customHeight="1">
      <c r="A71" s="5641" t="s">
        <v>1</v>
      </c>
      <c r="B71" s="5662" t="str">
        <f t="shared" si="50"/>
        <v>A</v>
      </c>
      <c r="C71" s="5825" cm="1">
        <f t="array" ref="C71">SUMPRODUCT(LEN(D71:J71))</f>
        <v>0</v>
      </c>
      <c r="D71" s="5275"/>
      <c r="E71" s="1361"/>
      <c r="F71" s="1361"/>
      <c r="G71" s="1361"/>
      <c r="H71" s="1361"/>
      <c r="I71" s="1361"/>
      <c r="J71" s="5276"/>
      <c r="K71" s="106" t="s">
        <v>1</v>
      </c>
      <c r="L71" s="1018" t="s">
        <v>21</v>
      </c>
      <c r="M71" s="41" t="str">
        <f>M67</f>
        <v>N NAME OF YOUR RECIPE | paste it — FAMILY|  Author &gt; YOU</v>
      </c>
      <c r="N71" s="40">
        <f>N67</f>
        <v>5.23</v>
      </c>
      <c r="O71" s="41" t="str">
        <f>O67</f>
        <v>kg</v>
      </c>
      <c r="P71" s="5386" t="str">
        <f>P67</f>
        <v>Master recipe ► Guinea fowl ballotine</v>
      </c>
      <c r="Q71" s="213"/>
      <c r="R71" s="256"/>
      <c r="S71" s="211" t="str">
        <f t="shared" ref="S71:S84" si="52">IF(OR(ISTEXT(Q71), Q71&lt;=0, T71&lt;=0), "", "de")</f>
        <v/>
      </c>
      <c r="T71" s="210">
        <v>400</v>
      </c>
      <c r="U71" s="6283" t="s">
        <v>130</v>
      </c>
      <c r="V71" s="5448">
        <v>1</v>
      </c>
      <c r="W71" s="6866" t="s">
        <v>8393</v>
      </c>
      <c r="X71" s="6871" t="s">
        <v>856</v>
      </c>
      <c r="Y71" s="6253">
        <f>IF(AA85=0,0,(AA71/AA85)*Z70*1000)</f>
        <v>76.413749890155259</v>
      </c>
      <c r="Z71" s="6254">
        <f>IF(AA85=0, 0, (Q71*V71)/(AA85*Z70))</f>
        <v>0</v>
      </c>
      <c r="AA71" s="5882">
        <f>IFERROR(_xlfn.LET(_xlpm.v,IFERROR(_xlfn.XLOOKUP(U71,Q86:AD86,Q87:AD87),_xlfn.XLOOKUP(U71,Q88:AD88,Q89:AD89)),_xlpm.v*T71*IF(ISBLANK(Q71),1,Q71)),0)</f>
        <v>0.4</v>
      </c>
      <c r="AB71" s="5251">
        <f>IF(OR(ISBLANK(AC66),AC66=0),0,Q71*AC64*V71/AC66)</f>
        <v>0</v>
      </c>
      <c r="AC71" s="6051">
        <f>IF(OR(ISBLANK(AC66),AC66=0),0,AA71*V71*AC64/AC66)</f>
        <v>0.80000000000000016</v>
      </c>
      <c r="AD71" s="6459" t="str">
        <f>_xlfn.LET(_xlpm.unite,SUBSTITUTE(TRIM(U71)," (s)",""),_xlpm.val,AC71,_xlpm.estVol,COUNTIF(W86:AD86,_xlpm.unite)+COUNTIF(W88:AD88,_xlpm.unite)&gt;0,_xlpm.estPoids,COUNTIF(Q86:V86,_xlpm.unite)+COUNTIF(Q88:V88,_xlpm.unite)&gt;0,IF(_xlpm.estVol,IF(ROUND(_xlpm.val,3)&gt;=1,ROUND(_xlpm.val,3)&amp;"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800 g</v>
      </c>
      <c r="AE71" s="6872" t="s">
        <v>11044</v>
      </c>
      <c r="AF71" s="6202" t="str">
        <f t="shared" si="18"/>
        <v>A</v>
      </c>
      <c r="AG71" s="6234" t="str">
        <f t="shared" si="19"/>
        <v>N NAME OF YOUR RECIPE | paste it — FAMILY|  Author &gt; YOU</v>
      </c>
      <c r="AH71" s="6732">
        <f t="shared" si="20"/>
        <v>5.23</v>
      </c>
      <c r="AI71" s="6234" t="str">
        <f t="shared" si="21"/>
        <v>kg</v>
      </c>
      <c r="AJ71" s="6732" t="str">
        <f t="shared" si="22"/>
        <v>g</v>
      </c>
      <c r="AK71" s="6732">
        <f t="shared" si="23"/>
        <v>1</v>
      </c>
      <c r="AL71" s="6854" cm="1">
        <f t="array" ref="AL71">IF(AF71&lt;&gt;"A","",IFERROR((IFERROR(_xlfn.XLOOKUP(TRIM(SUBSTITUTE(U71,CHAR(160)," ")),$BJ$15:$BJ$62,$BM$15:$BM$62),IFERROR(_xlfn.XLOOKUP(TRIM(SUBSTITUTE(U71,CHAR(160)," ")),$BK$15:$BK$62,$BM$15:$BM$62),_xlfn.XLOOKUP(TRIM(SUBSTITUTE(U71,CHAR(160)," ")),$BL$15:$BL$62,$BM$15:$BM$62))))*T71*IF(ISBLANK(Q71),1,Q71)+IFERROR(_xlfn.XLOOKUP("RECHERCHEX",TRIM(L71:AD71),L71:AD71),0),0))</f>
        <v>0.4</v>
      </c>
      <c r="AM71" s="6229" t="str">
        <f t="shared" si="24"/>
        <v>Kg</v>
      </c>
      <c r="AN71" s="6857" t="str">
        <f t="shared" si="44"/>
        <v>❾ Author reference &gt;</v>
      </c>
      <c r="AO71" s="392">
        <f t="shared" si="26"/>
        <v>5.23</v>
      </c>
      <c r="AP71" s="392" t="str">
        <f t="shared" si="27"/>
        <v>kg</v>
      </c>
      <c r="AQ71" s="6191">
        <f t="shared" si="28"/>
        <v>20</v>
      </c>
      <c r="AR71" s="6859" t="str">
        <f t="shared" si="29"/>
        <v>parts-ou.or.o ❾ + or - &gt;</v>
      </c>
      <c r="AS71" s="6856">
        <v>10</v>
      </c>
      <c r="AT71" s="6275" t="s">
        <v>219</v>
      </c>
      <c r="AU71" s="6272">
        <f t="shared" si="30"/>
        <v>0.76481835564053535</v>
      </c>
      <c r="AV71" s="6240" t="str">
        <f t="shared" si="31"/>
        <v>Kg</v>
      </c>
      <c r="AW71" s="6189" t="str" cm="1">
        <f t="array" ref="AW71">IF(AK71&lt;&gt;1,0,IF(OR(AU71="",N(AU71)&lt;=0.000000001),"",IF(OR(AO71="",N(AO71)&lt;=0.000000001),0,IF(ISNUMBER(AU71),IFERROR(_xlfn.LET(_xlpm.ai_test,TRIM(AJ71),_xlpm.r,IFERROR(_xlfn.XLOOKUP(_xlpm.ai_test,$BJ$15:$BJ$62,ROW($BJ$15:$BJ$62),0,1),IFERROR(_xlfn.XLOOKUP(_xlpm.ai_test,$BK$15:$BK$62,ROW($BK$15:$BK$62),0,1),_xlfn.XLOOKUP(_xlpm.ai_test,$BL$15:$BL$62,ROW($BL$15:$BL$62),0,1))),_xlpm.p,_xlpm.r-MIN(ROW($BJ$15:$BJ$62))+1,_xlpm.f,INDEX($BM$15:$BM$62,_xlpm.p),_xlpm.u,INDEX($BN$15:$BN$62,_xlpm.p),_xlpm.s,INDEX($BP$15:$BP$62,_xlpm.p),_xlpm.q,N(AU71)/_xlpm.f,IF(_xlpm.q&gt;=_xlpm.s,ROUND(_xlpm.q,1)&amp;" "&amp;_xlpm.ai_test&amp;" = "&amp;ROUND(_xlpm.q*_xlpm.f,1)&amp;" "&amp;_xlpm.u,ROUND(_xlpm.q,1)&amp;" "&amp;_xlpm.ai_test)),""),""))))</f>
        <v>764.8 g</v>
      </c>
      <c r="AX71" s="6218"/>
      <c r="AY71" s="6272">
        <f t="shared" si="32"/>
        <v>0.76481835564053535</v>
      </c>
      <c r="AZ71" s="6240" t="str">
        <f t="shared" si="33"/>
        <v>Kg</v>
      </c>
      <c r="BA71" s="6195">
        <f t="shared" si="40"/>
        <v>0</v>
      </c>
      <c r="BB71" s="6193" t="str">
        <f t="shared" si="34"/>
        <v/>
      </c>
      <c r="BC71" s="6219"/>
      <c r="BD71" s="6222">
        <f t="shared" si="42"/>
        <v>0</v>
      </c>
      <c r="BE71" s="6220" t="str">
        <f t="shared" si="36"/>
        <v>Lean guinea fowl</v>
      </c>
      <c r="BF71" s="4" t="s">
        <v>1</v>
      </c>
      <c r="BG71" s="6196">
        <f t="shared" si="37"/>
        <v>0</v>
      </c>
      <c r="BH71" s="6855">
        <f t="shared" si="38"/>
        <v>1.9120458891013383</v>
      </c>
      <c r="BJ71" s="102" t="s">
        <v>8836</v>
      </c>
      <c r="BK71" s="102"/>
      <c r="BL71" s="102"/>
      <c r="BM71" s="102"/>
      <c r="BN71" s="102"/>
      <c r="BO71" s="102"/>
      <c r="BP71" s="102"/>
      <c r="BQ71" s="102"/>
      <c r="BR71"/>
      <c r="BS71"/>
      <c r="BT71"/>
      <c r="BU71"/>
      <c r="BV71"/>
      <c r="BW71"/>
      <c r="BX71" s="20" t="str">
        <f t="shared" si="51"/>
        <v>A</v>
      </c>
      <c r="BY71" s="188" t="s">
        <v>105</v>
      </c>
      <c r="BZ71" s="228"/>
      <c r="CA71" s="234"/>
      <c r="CB71" s="234"/>
      <c r="CC71" s="234"/>
      <c r="CD71" s="5661"/>
      <c r="DC71" s="5">
        <v>1</v>
      </c>
    </row>
    <row r="72" spans="1:107" s="1" customFormat="1" ht="21" customHeight="1">
      <c r="A72" s="5641" t="s">
        <v>1</v>
      </c>
      <c r="B72" s="5662" t="str">
        <f t="shared" si="50"/>
        <v>A</v>
      </c>
      <c r="C72" s="5825" cm="1">
        <f t="array" ref="C72">SUMPRODUCT(LEN(D72:J72))</f>
        <v>0</v>
      </c>
      <c r="D72" s="5275"/>
      <c r="E72" s="1361"/>
      <c r="F72" s="1361"/>
      <c r="G72" s="1361"/>
      <c r="H72" s="1361"/>
      <c r="I72" s="1361"/>
      <c r="J72" s="5276"/>
      <c r="K72" s="106" t="s">
        <v>1</v>
      </c>
      <c r="L72" s="1021" t="str">
        <f t="shared" ref="L72:L84" si="53">IF(W72&lt;&gt;"","A","►")</f>
        <v>A</v>
      </c>
      <c r="M72" s="41" t="str">
        <f>M67</f>
        <v>N NAME OF YOUR RECIPE | paste it — FAMILY|  Author &gt; YOU</v>
      </c>
      <c r="N72" s="40">
        <f>N67</f>
        <v>5.23</v>
      </c>
      <c r="O72" s="41" t="str">
        <f>O67</f>
        <v>kg</v>
      </c>
      <c r="P72" s="5386" t="str">
        <f>P67</f>
        <v>Master recipe ► Guinea fowl ballotine</v>
      </c>
      <c r="Q72" s="213"/>
      <c r="R72" s="256"/>
      <c r="S72" s="211" t="str">
        <f t="shared" si="52"/>
        <v/>
      </c>
      <c r="T72" s="210">
        <v>200</v>
      </c>
      <c r="U72" s="6283" t="s">
        <v>130</v>
      </c>
      <c r="V72" s="5448">
        <v>1</v>
      </c>
      <c r="W72" s="6866" t="s">
        <v>8394</v>
      </c>
      <c r="X72" s="6871"/>
      <c r="Y72" s="6253">
        <f>IF(AA85=0,0,(AA72/AA85)*Z70*1000)</f>
        <v>38.206874945077629</v>
      </c>
      <c r="Z72" s="6701">
        <f>IF(AA85=0, 0, (Q72*V72)/(AA85*Z70))</f>
        <v>0</v>
      </c>
      <c r="AA72" s="5882">
        <f>IFERROR(_xlfn.LET(_xlpm.v,IFERROR(_xlfn.XLOOKUP(U72,Q86:AD86,Q87:AD87),_xlfn.XLOOKUP(U72,Q88:AD88,Q89:AD89)),_xlpm.v*T72*IF(ISBLANK(Q72),1,Q72)),0)</f>
        <v>0.2</v>
      </c>
      <c r="AB72" s="5254">
        <f>IF(OR(ISBLANK(AC66),AC66=0),0,Q72*AC64*V72/AC66)</f>
        <v>0</v>
      </c>
      <c r="AC72" s="6051">
        <f>IF(OR(ISBLANK(AC66),AC66=0),0,AA72*V72*AC64/AC66)</f>
        <v>0.40000000000000008</v>
      </c>
      <c r="AD72" s="6199" t="str">
        <f>_xlfn.LET(_xlpm.unite,SUBSTITUTE(TRIM(U72)," (s)",""),_xlpm.val,AC72,_xlpm.estVol,COUNTIF(W86:AD86,_xlpm.unite)+COUNTIF(W88:AD88,_xlpm.unite)&gt;0,_xlpm.estPoids,COUNTIF(Q86:V86,_xlpm.unite)+COUNTIF(Q88:V88,_xlpm.unite)&gt;0,IF(_xlpm.estVol,IF(ROUND(_xlpm.val,3)&gt;=1,ROUND(_xlpm.val,3)&amp;"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400 g</v>
      </c>
      <c r="AE72" s="6872" t="s">
        <v>11045</v>
      </c>
      <c r="AF72" s="6202" t="str">
        <f t="shared" si="18"/>
        <v>A</v>
      </c>
      <c r="AG72" s="6234" t="str">
        <f t="shared" si="19"/>
        <v>N NAME OF YOUR RECIPE | paste it — FAMILY|  Author &gt; YOU</v>
      </c>
      <c r="AH72" s="6732">
        <f t="shared" si="20"/>
        <v>5.23</v>
      </c>
      <c r="AI72" s="6234" t="str">
        <f t="shared" si="21"/>
        <v>kg</v>
      </c>
      <c r="AJ72" s="6732" t="str">
        <f t="shared" si="22"/>
        <v>g</v>
      </c>
      <c r="AK72" s="6732">
        <f t="shared" si="23"/>
        <v>1</v>
      </c>
      <c r="AL72" s="6854" cm="1">
        <f t="array" ref="AL72">IF(AF72&lt;&gt;"A","",IFERROR((IFERROR(_xlfn.XLOOKUP(TRIM(SUBSTITUTE(U72,CHAR(160)," ")),$BJ$15:$BJ$62,$BM$15:$BM$62),IFERROR(_xlfn.XLOOKUP(TRIM(SUBSTITUTE(U72,CHAR(160)," ")),$BK$15:$BK$62,$BM$15:$BM$62),_xlfn.XLOOKUP(TRIM(SUBSTITUTE(U72,CHAR(160)," ")),$BL$15:$BL$62,$BM$15:$BM$62))))*T72*IF(ISBLANK(Q72),1,Q72)+IFERROR(_xlfn.XLOOKUP("RECHERCHEX",TRIM(L72:AD72),L72:AD72),0),0))</f>
        <v>0.2</v>
      </c>
      <c r="AM72" s="6229" t="str">
        <f t="shared" si="24"/>
        <v>Kg</v>
      </c>
      <c r="AN72" s="6857" t="str">
        <f t="shared" si="44"/>
        <v>❾ Author reference &gt;</v>
      </c>
      <c r="AO72" s="392">
        <f t="shared" si="26"/>
        <v>5.23</v>
      </c>
      <c r="AP72" s="392" t="str">
        <f t="shared" si="27"/>
        <v>kg</v>
      </c>
      <c r="AQ72" s="6190">
        <f t="shared" si="28"/>
        <v>20</v>
      </c>
      <c r="AR72" s="6858" t="str">
        <f t="shared" si="29"/>
        <v>parts-ou.or.o ❾ + or - &gt;</v>
      </c>
      <c r="AS72" s="6856">
        <v>10</v>
      </c>
      <c r="AT72" s="6275" t="s">
        <v>219</v>
      </c>
      <c r="AU72" s="6271">
        <f t="shared" si="30"/>
        <v>0.38240917782026768</v>
      </c>
      <c r="AV72" s="6242" t="str">
        <f t="shared" si="31"/>
        <v>Kg</v>
      </c>
      <c r="AW72" s="6188" t="str" cm="1">
        <f t="array" ref="AW72">IF(AK72&lt;&gt;1,0,IF(OR(AU72="",N(AU72)&lt;=0.000000001),"",IF(OR(AO72="",N(AO72)&lt;=0.000000001),0,IF(ISNUMBER(AU72),IFERROR(_xlfn.LET(_xlpm.ai_test,TRIM(AJ72),_xlpm.r,IFERROR(_xlfn.XLOOKUP(_xlpm.ai_test,$BJ$15:$BJ$62,ROW($BJ$15:$BJ$62),0,1),IFERROR(_xlfn.XLOOKUP(_xlpm.ai_test,$BK$15:$BK$62,ROW($BK$15:$BK$62),0,1),_xlfn.XLOOKUP(_xlpm.ai_test,$BL$15:$BL$62,ROW($BL$15:$BL$62),0,1))),_xlpm.p,_xlpm.r-MIN(ROW($BJ$15:$BJ$62))+1,_xlpm.f,INDEX($BM$15:$BM$62,_xlpm.p),_xlpm.u,INDEX($BN$15:$BN$62,_xlpm.p),_xlpm.s,INDEX($BP$15:$BP$62,_xlpm.p),_xlpm.q,N(AU72)/_xlpm.f,IF(_xlpm.q&gt;=_xlpm.s,ROUND(_xlpm.q,1)&amp;" "&amp;_xlpm.ai_test&amp;" = "&amp;ROUND(_xlpm.q*_xlpm.f,1)&amp;" "&amp;_xlpm.u,ROUND(_xlpm.q,1)&amp;" "&amp;_xlpm.ai_test)),""),""))))</f>
        <v>382.4 g</v>
      </c>
      <c r="AX72" s="6218"/>
      <c r="AY72" s="6271">
        <f t="shared" si="32"/>
        <v>0.38240917782026768</v>
      </c>
      <c r="AZ72" s="6242" t="str">
        <f t="shared" si="33"/>
        <v>Kg</v>
      </c>
      <c r="BA72" s="6194">
        <f t="shared" si="40"/>
        <v>0</v>
      </c>
      <c r="BB72" s="6192" t="str">
        <f t="shared" si="34"/>
        <v/>
      </c>
      <c r="BC72" s="6219">
        <v>1.5</v>
      </c>
      <c r="BD72" s="6221">
        <f t="shared" si="42"/>
        <v>0.57361376673040154</v>
      </c>
      <c r="BE72" s="6220" t="str">
        <f t="shared" si="36"/>
        <v>Lean pork</v>
      </c>
      <c r="BF72" s="4" t="s">
        <v>1</v>
      </c>
      <c r="BG72" s="6196">
        <f t="shared" si="37"/>
        <v>0</v>
      </c>
      <c r="BH72" s="6197">
        <f t="shared" si="38"/>
        <v>1.9120458891013383</v>
      </c>
      <c r="BJ72" s="102" t="s">
        <v>8837</v>
      </c>
      <c r="BK72" s="102"/>
      <c r="BL72" s="102"/>
      <c r="BM72" s="102"/>
      <c r="BN72" s="102"/>
      <c r="BO72" s="102"/>
      <c r="BP72" s="102"/>
      <c r="BQ72" s="102"/>
      <c r="BR72"/>
      <c r="BS72"/>
      <c r="BT72"/>
      <c r="BU72"/>
      <c r="BV72"/>
      <c r="BW72"/>
      <c r="BX72" s="20" t="str">
        <f t="shared" si="51"/>
        <v>A</v>
      </c>
      <c r="BY72" s="188"/>
      <c r="BZ72" s="228"/>
      <c r="CA72" s="234"/>
      <c r="CB72" s="234"/>
      <c r="CC72" s="234"/>
      <c r="CD72" s="5661"/>
      <c r="DC72" s="5">
        <v>1</v>
      </c>
    </row>
    <row r="73" spans="1:107" s="1" customFormat="1" ht="21" customHeight="1" thickBot="1">
      <c r="A73" s="5641" t="s">
        <v>1</v>
      </c>
      <c r="B73" s="5662" t="str">
        <f t="shared" si="50"/>
        <v>A</v>
      </c>
      <c r="C73" s="5825" cm="1">
        <f t="array" ref="C73">SUMPRODUCT(LEN(D73:J73))</f>
        <v>0</v>
      </c>
      <c r="D73" s="5275"/>
      <c r="E73" s="1361"/>
      <c r="F73" s="1361"/>
      <c r="G73" s="1361"/>
      <c r="H73" s="1361"/>
      <c r="I73" s="1361"/>
      <c r="J73" s="5276"/>
      <c r="K73" s="106" t="s">
        <v>1</v>
      </c>
      <c r="L73" s="1021" t="str">
        <f t="shared" si="53"/>
        <v>A</v>
      </c>
      <c r="M73" s="41" t="str">
        <f>M67</f>
        <v>N NAME OF YOUR RECIPE | paste it — FAMILY|  Author &gt; YOU</v>
      </c>
      <c r="N73" s="40">
        <f>N67</f>
        <v>5.23</v>
      </c>
      <c r="O73" s="41" t="str">
        <f>O67</f>
        <v>kg</v>
      </c>
      <c r="P73" s="5386" t="str">
        <f>P67</f>
        <v>Master recipe ► Guinea fowl ballotine</v>
      </c>
      <c r="Q73" s="213"/>
      <c r="R73" s="212"/>
      <c r="S73" s="211" t="str">
        <f t="shared" si="52"/>
        <v/>
      </c>
      <c r="T73" s="210">
        <v>2</v>
      </c>
      <c r="U73" s="6286" t="s">
        <v>9615</v>
      </c>
      <c r="V73" s="5448">
        <v>1</v>
      </c>
      <c r="W73" s="6866" t="s">
        <v>10006</v>
      </c>
      <c r="X73" s="6871"/>
      <c r="Y73" s="6253">
        <f>IF(AA85=0,0,(AA73/AA85)*Z70*1000)</f>
        <v>191.03437472538812</v>
      </c>
      <c r="Z73" s="6701">
        <f>IF(AA85=0, 0, (Q73*V73)/(AA85*Z70))</f>
        <v>0</v>
      </c>
      <c r="AA73" s="5882">
        <f>IFERROR(_xlfn.LET(_xlpm.v,IFERROR(_xlfn.XLOOKUP(U73,Q86:AD86,Q87:AD87),_xlfn.XLOOKUP(U73,Q88:AD88,Q89:AD89)),_xlpm.v*T73*IF(ISBLANK(Q73),1,Q73)),0)</f>
        <v>1</v>
      </c>
      <c r="AB73" s="5256">
        <f>IF(OR(ISBLANK(AC66),AC66=0),0,Q73*AC64*V73/AC66)</f>
        <v>0</v>
      </c>
      <c r="AC73" s="6051">
        <f>IF(OR(ISBLANK(AC66),AC66=0),0,AA73*V73*AC64/AC66)</f>
        <v>2</v>
      </c>
      <c r="AD73" s="6198" t="str">
        <f>_xlfn.LET(_xlpm.unite,SUBSTITUTE(TRIM(U73)," (s)",""),_xlpm.val,AC73,_xlpm.estVol,COUNTIF(W86:AD86,_xlpm.unite)+COUNTIF(W88:AD88,_xlpm.unite)&gt;0,_xlpm.estPoids,COUNTIF(Q86:V86,_xlpm.unite)+COUNTIF(Q88:V88,_xlpm.unite)&gt;0,IF(_xlpm.estVol,IF(ROUND(_xlpm.val,3)&gt;=1,ROUND(_xlpm.val,3)&amp;"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2 L</v>
      </c>
      <c r="AE73" s="6872" t="s">
        <v>11046</v>
      </c>
      <c r="AF73" s="6202" t="str">
        <f t="shared" si="18"/>
        <v>A</v>
      </c>
      <c r="AG73" s="6234" t="str">
        <f t="shared" si="19"/>
        <v>N NAME OF YOUR RECIPE | paste it — FAMILY|  Author &gt; YOU</v>
      </c>
      <c r="AH73" s="6732">
        <f t="shared" si="20"/>
        <v>5.23</v>
      </c>
      <c r="AI73" s="6234" t="str">
        <f t="shared" si="21"/>
        <v>kg</v>
      </c>
      <c r="AJ73" s="6732" t="str">
        <f t="shared" si="22"/>
        <v>half/L</v>
      </c>
      <c r="AK73" s="6732">
        <f t="shared" si="23"/>
        <v>1</v>
      </c>
      <c r="AL73" s="6854" cm="1">
        <f t="array" ref="AL73">IF(AF73&lt;&gt;"A","",IFERROR((IFERROR(_xlfn.XLOOKUP(TRIM(SUBSTITUTE(U73,CHAR(160)," ")),$BJ$15:$BJ$62,$BM$15:$BM$62),IFERROR(_xlfn.XLOOKUP(TRIM(SUBSTITUTE(U73,CHAR(160)," ")),$BK$15:$BK$62,$BM$15:$BM$62),_xlfn.XLOOKUP(TRIM(SUBSTITUTE(U73,CHAR(160)," ")),$BL$15:$BL$62,$BM$15:$BM$62))))*T73*IF(ISBLANK(Q73),1,Q73)+IFERROR(_xlfn.XLOOKUP("RECHERCHEX",TRIM(L73:AD73),L73:AD73),0),0))</f>
        <v>1</v>
      </c>
      <c r="AM73" s="6229" t="str">
        <f t="shared" si="24"/>
        <v>Kg</v>
      </c>
      <c r="AN73" s="6857" t="str">
        <f t="shared" si="44"/>
        <v>❾ Author reference &gt;</v>
      </c>
      <c r="AO73" s="392">
        <f t="shared" si="26"/>
        <v>5.23</v>
      </c>
      <c r="AP73" s="392" t="str">
        <f t="shared" si="27"/>
        <v>kg</v>
      </c>
      <c r="AQ73" s="6191">
        <f t="shared" si="28"/>
        <v>20</v>
      </c>
      <c r="AR73" s="6859" t="str">
        <f t="shared" si="29"/>
        <v>parts-ou.or.o ❾ + or - &gt;</v>
      </c>
      <c r="AS73" s="6856">
        <v>10</v>
      </c>
      <c r="AT73" s="6275" t="s">
        <v>219</v>
      </c>
      <c r="AU73" s="6272">
        <f t="shared" si="30"/>
        <v>1.9120458891013383</v>
      </c>
      <c r="AV73" s="6240" t="str">
        <f t="shared" si="31"/>
        <v>L ou kg</v>
      </c>
      <c r="AW73" s="6189" t="str" cm="1">
        <f t="array" ref="AW73">IF(AK73&lt;&gt;1,0,IF(OR(AU73="",N(AU73)&lt;=0.000000001),"",IF(OR(AO73="",N(AO73)&lt;=0.000000001),0,IF(ISNUMBER(AU73),IFERROR(_xlfn.LET(_xlpm.ai_test,TRIM(AJ73),_xlpm.r,IFERROR(_xlfn.XLOOKUP(_xlpm.ai_test,$BJ$15:$BJ$62,ROW($BJ$15:$BJ$62),0,1),IFERROR(_xlfn.XLOOKUP(_xlpm.ai_test,$BK$15:$BK$62,ROW($BK$15:$BK$62),0,1),_xlfn.XLOOKUP(_xlpm.ai_test,$BL$15:$BL$62,ROW($BL$15:$BL$62),0,1))),_xlpm.p,_xlpm.r-MIN(ROW($BJ$15:$BJ$62))+1,_xlpm.f,INDEX($BM$15:$BM$62,_xlpm.p),_xlpm.u,INDEX($BN$15:$BN$62,_xlpm.p),_xlpm.s,INDEX($BP$15:$BP$62,_xlpm.p),_xlpm.q,N(AU73)/_xlpm.f,IF(_xlpm.q&gt;=_xlpm.s,ROUND(_xlpm.q,1)&amp;" "&amp;_xlpm.ai_test&amp;" = "&amp;ROUND(_xlpm.q*_xlpm.f,1)&amp;" "&amp;_xlpm.u,ROUND(_xlpm.q,1)&amp;" "&amp;_xlpm.ai_test)),""),""))))</f>
        <v>42.5 half/L = 1.9 L ou kg</v>
      </c>
      <c r="AX73" s="6218"/>
      <c r="AY73" s="6272">
        <f t="shared" si="32"/>
        <v>1.9120458891013383</v>
      </c>
      <c r="AZ73" s="6240" t="str">
        <f t="shared" si="33"/>
        <v>L ou kg</v>
      </c>
      <c r="BA73" s="6195">
        <f t="shared" si="40"/>
        <v>0</v>
      </c>
      <c r="BB73" s="6193" t="str">
        <f t="shared" si="34"/>
        <v/>
      </c>
      <c r="BC73" s="6219">
        <v>1.5</v>
      </c>
      <c r="BD73" s="6222">
        <f t="shared" si="42"/>
        <v>2.8680688336520075</v>
      </c>
      <c r="BE73" s="6220" t="str">
        <f t="shared" si="36"/>
        <v>test</v>
      </c>
      <c r="BF73" s="4" t="s">
        <v>1</v>
      </c>
      <c r="BG73" s="6196">
        <f t="shared" si="37"/>
        <v>0</v>
      </c>
      <c r="BH73" s="6197">
        <f t="shared" si="38"/>
        <v>1.9120458891013383</v>
      </c>
      <c r="BR73"/>
      <c r="BS73"/>
      <c r="BT73"/>
      <c r="BU73"/>
      <c r="BV73"/>
      <c r="BW73"/>
      <c r="BX73" s="20" t="str">
        <f t="shared" si="51"/>
        <v>A</v>
      </c>
      <c r="BY73" s="5913" t="s">
        <v>103</v>
      </c>
      <c r="BZ73" s="234"/>
      <c r="CA73" s="234"/>
      <c r="CB73" s="234"/>
      <c r="CC73" s="234"/>
      <c r="CD73" s="5661"/>
      <c r="DC73" s="5">
        <v>1</v>
      </c>
    </row>
    <row r="74" spans="1:107" s="1" customFormat="1" ht="21" customHeight="1">
      <c r="A74" s="5641" t="s">
        <v>1</v>
      </c>
      <c r="B74" s="5662" t="str">
        <f t="shared" si="50"/>
        <v>A</v>
      </c>
      <c r="C74" s="5825" cm="1">
        <f t="array" ref="C74">SUMPRODUCT(LEN(D74:J74))</f>
        <v>0</v>
      </c>
      <c r="D74" s="5275"/>
      <c r="E74" s="1361"/>
      <c r="F74" s="1361"/>
      <c r="G74" s="1361"/>
      <c r="H74" s="1361"/>
      <c r="I74" s="1361"/>
      <c r="J74" s="5276"/>
      <c r="K74" s="106" t="s">
        <v>1</v>
      </c>
      <c r="L74" s="1021" t="str">
        <f t="shared" si="53"/>
        <v>A</v>
      </c>
      <c r="M74" s="41" t="str">
        <f>M67</f>
        <v>N NAME OF YOUR RECIPE | paste it — FAMILY|  Author &gt; YOU</v>
      </c>
      <c r="N74" s="40">
        <f>N67</f>
        <v>5.23</v>
      </c>
      <c r="O74" s="41" t="str">
        <f>O67</f>
        <v>kg</v>
      </c>
      <c r="P74" s="5386" t="str">
        <f>P67</f>
        <v>Master recipe ► Guinea fowl ballotine</v>
      </c>
      <c r="Q74" s="213"/>
      <c r="R74" s="212"/>
      <c r="S74" s="211" t="str">
        <f t="shared" si="52"/>
        <v/>
      </c>
      <c r="T74" s="210">
        <v>2</v>
      </c>
      <c r="U74" s="6286" t="s">
        <v>9619</v>
      </c>
      <c r="V74" s="5448">
        <v>1</v>
      </c>
      <c r="W74" s="6866" t="s">
        <v>10006</v>
      </c>
      <c r="X74" s="6871"/>
      <c r="Y74" s="6253">
        <f>IF(AA85=0,0,(AA74/AA85)*Z70*1000)</f>
        <v>127.22889356710851</v>
      </c>
      <c r="Z74" s="6701">
        <f>IF(AA85=0, 0, (Q74*V74)/(AA85*Z70))</f>
        <v>0</v>
      </c>
      <c r="AA74" s="5882">
        <f>IFERROR(_xlfn.LET(_xlpm.v,IFERROR(_xlfn.XLOOKUP(U74,Q86:AD86,Q87:AD87),_xlfn.XLOOKUP(U74,Q88:AD88,Q89:AD89)),_xlpm.v*T74*IF(ISBLANK(Q74),1,Q74)),0)</f>
        <v>0.66600000000000004</v>
      </c>
      <c r="AB74" s="5254">
        <f>IF(OR(ISBLANK(AC66),AC66=0),0,Q74*AC64*V74/AC66)</f>
        <v>0</v>
      </c>
      <c r="AC74" s="6051">
        <f>IF(OR(ISBLANK(AC66),AC66=0),0,AA74*V74*AC64/AC66)</f>
        <v>1.3320000000000001</v>
      </c>
      <c r="AD74" s="6199" t="str">
        <f>_xlfn.LET(_xlpm.unite,SUBSTITUTE(TRIM(U74)," (s)",""),_xlpm.val,AC74,_xlpm.estVol,COUNTIF(W86:AD86,_xlpm.unite)+COUNTIF(W88:AD88,_xlpm.unite)&gt;0,_xlpm.estPoids,COUNTIF(Q86:V86,_xlpm.unite)+COUNTIF(Q88:V88,_xlpm.unite)&gt;0,IF(_xlpm.estVol,IF(ROUND(_xlpm.val,3)&gt;=1,ROUND(_xlpm.val,3)&amp;"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1.332 L</v>
      </c>
      <c r="AE74" s="6872" t="s">
        <v>11047</v>
      </c>
      <c r="AF74" s="6202" t="str">
        <f t="shared" si="18"/>
        <v>A</v>
      </c>
      <c r="AG74" s="6234" t="str">
        <f t="shared" si="19"/>
        <v>N NAME OF YOUR RECIPE | paste it — FAMILY|  Author &gt; YOU</v>
      </c>
      <c r="AH74" s="6732">
        <f t="shared" si="20"/>
        <v>5.23</v>
      </c>
      <c r="AI74" s="6234" t="str">
        <f t="shared" si="21"/>
        <v>kg</v>
      </c>
      <c r="AJ74" s="6732" t="str">
        <f t="shared" si="22"/>
        <v>third/L</v>
      </c>
      <c r="AK74" s="6732">
        <f t="shared" si="23"/>
        <v>1</v>
      </c>
      <c r="AL74" s="6854" cm="1">
        <f t="array" ref="AL74">IF(AF74&lt;&gt;"A","",IFERROR((IFERROR(_xlfn.XLOOKUP(TRIM(SUBSTITUTE(U74,CHAR(160)," ")),$BJ$15:$BJ$62,$BM$15:$BM$62),IFERROR(_xlfn.XLOOKUP(TRIM(SUBSTITUTE(U74,CHAR(160)," ")),$BK$15:$BK$62,$BM$15:$BM$62),_xlfn.XLOOKUP(TRIM(SUBSTITUTE(U74,CHAR(160)," ")),$BL$15:$BL$62,$BM$15:$BM$62))))*T74*IF(ISBLANK(Q74),1,Q74)+IFERROR(_xlfn.XLOOKUP("RECHERCHEX",TRIM(L74:AD74),L74:AD74),0),0))</f>
        <v>0.66600000000000004</v>
      </c>
      <c r="AM74" s="6229" t="str">
        <f t="shared" si="24"/>
        <v>Kg</v>
      </c>
      <c r="AN74" s="6857" t="str">
        <f t="shared" si="44"/>
        <v>❾ Author reference &gt;</v>
      </c>
      <c r="AO74" s="392">
        <f t="shared" si="26"/>
        <v>5.23</v>
      </c>
      <c r="AP74" s="392" t="str">
        <f t="shared" si="27"/>
        <v>kg</v>
      </c>
      <c r="AQ74" s="6190">
        <f t="shared" si="28"/>
        <v>20</v>
      </c>
      <c r="AR74" s="6858" t="str">
        <f t="shared" si="29"/>
        <v>parts-ou.or.o ❾ + or - &gt;</v>
      </c>
      <c r="AS74" s="6856">
        <v>10</v>
      </c>
      <c r="AT74" s="6275" t="s">
        <v>219</v>
      </c>
      <c r="AU74" s="6271">
        <f t="shared" si="30"/>
        <v>1.2734225621414914</v>
      </c>
      <c r="AV74" s="6242" t="str">
        <f t="shared" si="31"/>
        <v>L ou kg</v>
      </c>
      <c r="AW74" s="6188" t="str" cm="1">
        <f t="array" ref="AW74">IF(AK74&lt;&gt;1,0,IF(OR(AU74="",N(AU74)&lt;=0.000000001),"",IF(OR(AO74="",N(AO74)&lt;=0.000000001),0,IF(ISNUMBER(AU74),IFERROR(_xlfn.LET(_xlpm.ai_test,TRIM(AJ74),_xlpm.r,IFERROR(_xlfn.XLOOKUP(_xlpm.ai_test,$BJ$15:$BJ$62,ROW($BJ$15:$BJ$62),0,1),IFERROR(_xlfn.XLOOKUP(_xlpm.ai_test,$BK$15:$BK$62,ROW($BK$15:$BK$62),0,1),_xlfn.XLOOKUP(_xlpm.ai_test,$BL$15:$BL$62,ROW($BL$15:$BL$62),0,1))),_xlpm.p,_xlpm.r-MIN(ROW($BJ$15:$BJ$62))+1,_xlpm.f,INDEX($BM$15:$BM$62,_xlpm.p),_xlpm.u,INDEX($BN$15:$BN$62,_xlpm.p),_xlpm.s,INDEX($BP$15:$BP$62,_xlpm.p),_xlpm.q,N(AU74)/_xlpm.f,IF(_xlpm.q&gt;=_xlpm.s,ROUND(_xlpm.q,1)&amp;" "&amp;_xlpm.ai_test&amp;" = "&amp;ROUND(_xlpm.q*_xlpm.f,1)&amp;" "&amp;_xlpm.u,ROUND(_xlpm.q,1)&amp;" "&amp;_xlpm.ai_test)),""),""))))</f>
        <v>3.9 third/L = 1.3 entier</v>
      </c>
      <c r="AX74" s="6218"/>
      <c r="AY74" s="6271">
        <f t="shared" si="32"/>
        <v>1.2734225621414914</v>
      </c>
      <c r="AZ74" s="6242" t="str">
        <f t="shared" si="33"/>
        <v>L ou kg</v>
      </c>
      <c r="BA74" s="6194">
        <f t="shared" si="40"/>
        <v>0</v>
      </c>
      <c r="BB74" s="6192" t="str">
        <f t="shared" si="34"/>
        <v/>
      </c>
      <c r="BC74" s="6219">
        <v>1.5</v>
      </c>
      <c r="BD74" s="6221">
        <f t="shared" si="42"/>
        <v>1.910133843212237</v>
      </c>
      <c r="BE74" s="6220" t="str">
        <f t="shared" si="36"/>
        <v>test</v>
      </c>
      <c r="BF74" s="4" t="s">
        <v>1</v>
      </c>
      <c r="BG74" s="6196">
        <f t="shared" si="37"/>
        <v>0</v>
      </c>
      <c r="BH74" s="6197">
        <f t="shared" si="38"/>
        <v>1.9120458891013383</v>
      </c>
      <c r="BJ74" s="6917" t="s">
        <v>10007</v>
      </c>
      <c r="BK74" s="6918"/>
      <c r="BL74" s="6918"/>
      <c r="BM74" s="6918"/>
      <c r="BN74" s="6918"/>
      <c r="BO74" s="6918"/>
      <c r="BP74" s="6918"/>
      <c r="BQ74" s="6918"/>
      <c r="BR74" s="6918"/>
      <c r="BS74" s="6918"/>
      <c r="BT74" s="6918"/>
      <c r="BU74" s="6918"/>
      <c r="BV74" s="6919"/>
      <c r="BW74"/>
      <c r="BX74" s="20" t="str">
        <f t="shared" si="51"/>
        <v>A</v>
      </c>
      <c r="BY74" s="5914">
        <v>1</v>
      </c>
      <c r="BZ74" s="234"/>
      <c r="CA74" s="234"/>
      <c r="CB74" s="234"/>
      <c r="CC74" s="234"/>
      <c r="CD74" s="5661"/>
      <c r="DC74" s="5">
        <v>1</v>
      </c>
    </row>
    <row r="75" spans="1:107" s="1" customFormat="1" ht="21" customHeight="1">
      <c r="A75" s="5641" t="s">
        <v>1</v>
      </c>
      <c r="B75" s="5662" t="str">
        <f t="shared" si="50"/>
        <v>A</v>
      </c>
      <c r="C75" s="5825" cm="1">
        <f t="array" ref="C75">SUMPRODUCT(LEN(D75:J75))</f>
        <v>0</v>
      </c>
      <c r="D75" s="5275"/>
      <c r="E75" s="1361"/>
      <c r="F75" s="1361"/>
      <c r="G75" s="1361"/>
      <c r="H75" s="1361"/>
      <c r="I75" s="1361"/>
      <c r="J75" s="5276"/>
      <c r="K75" s="106" t="s">
        <v>1</v>
      </c>
      <c r="L75" s="1021" t="str">
        <f t="shared" si="53"/>
        <v>A</v>
      </c>
      <c r="M75" s="41" t="str">
        <f>M67</f>
        <v>N NAME OF YOUR RECIPE | paste it — FAMILY|  Author &gt; YOU</v>
      </c>
      <c r="N75" s="40">
        <f>N67</f>
        <v>5.23</v>
      </c>
      <c r="O75" s="41" t="str">
        <f>O67</f>
        <v>kg</v>
      </c>
      <c r="P75" s="5386" t="str">
        <f>P67</f>
        <v>Master recipe ► Guinea fowl ballotine</v>
      </c>
      <c r="Q75" s="213"/>
      <c r="R75" s="212"/>
      <c r="S75" s="211" t="str">
        <f t="shared" si="52"/>
        <v/>
      </c>
      <c r="T75" s="210">
        <v>2</v>
      </c>
      <c r="U75" s="6282" t="s">
        <v>9621</v>
      </c>
      <c r="V75" s="5448">
        <v>1</v>
      </c>
      <c r="W75" s="6866" t="s">
        <v>10006</v>
      </c>
      <c r="X75" s="6871"/>
      <c r="Y75" s="6253">
        <f>IF(AA85=0,0,(AA75/AA85)*Z70*1000)</f>
        <v>76.413749890155259</v>
      </c>
      <c r="Z75" s="6701">
        <f>IF(AA85=0, 0, (Q75*V75)/(AA85*Z70))</f>
        <v>0</v>
      </c>
      <c r="AA75" s="5882">
        <f>IFERROR(_xlfn.LET(_xlpm.v,IFERROR(_xlfn.XLOOKUP(U75,Q86:AD86,Q87:AD87),_xlfn.XLOOKUP(U75,Q88:AD88,Q89:AD89)),_xlpm.v*T75*IF(ISBLANK(Q75),1,Q75)),0)</f>
        <v>0.4</v>
      </c>
      <c r="AB75" s="5256">
        <f>IF(OR(ISBLANK(AC66),AC66=0),0,Q75*AC64*V75/AC66)</f>
        <v>0</v>
      </c>
      <c r="AC75" s="6051">
        <f>IF(OR(ISBLANK(AC66),AC66=0),0,AA75*V75*AC64/AC66)</f>
        <v>0.80000000000000016</v>
      </c>
      <c r="AD75" s="6198" t="str">
        <f>_xlfn.LET(_xlpm.unite,SUBSTITUTE(TRIM(U75)," (s)",""),_xlpm.val,AC75,_xlpm.estVol,COUNTIF(W86:AD86,_xlpm.unite)+COUNTIF(W88:AD88,_xlpm.unite)&gt;0,_xlpm.estPoids,COUNTIF(Q86:V86,_xlpm.unite)+COUNTIF(Q88:V88,_xlpm.unite)&gt;0,IF(_xlpm.estVol,IF(ROUND(_xlpm.val,3)&gt;=1,ROUND(_xlpm.val,3)&amp;"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80 cl</v>
      </c>
      <c r="AE75" s="6872" t="s">
        <v>11048</v>
      </c>
      <c r="AF75" s="6202" t="str">
        <f t="shared" si="18"/>
        <v>A</v>
      </c>
      <c r="AG75" s="6234" t="str">
        <f t="shared" si="19"/>
        <v>N NAME OF YOUR RECIPE | paste it — FAMILY|  Author &gt; YOU</v>
      </c>
      <c r="AH75" s="6732">
        <f t="shared" si="20"/>
        <v>5.23</v>
      </c>
      <c r="AI75" s="6234" t="str">
        <f t="shared" si="21"/>
        <v>kg</v>
      </c>
      <c r="AJ75" s="6732" t="str">
        <f t="shared" si="22"/>
        <v>fifth/L</v>
      </c>
      <c r="AK75" s="6732">
        <f t="shared" si="23"/>
        <v>1</v>
      </c>
      <c r="AL75" s="6854" cm="1">
        <f t="array" ref="AL75">IF(AF75&lt;&gt;"A","",IFERROR((IFERROR(_xlfn.XLOOKUP(TRIM(SUBSTITUTE(U75,CHAR(160)," ")),$BJ$15:$BJ$62,$BM$15:$BM$62),IFERROR(_xlfn.XLOOKUP(TRIM(SUBSTITUTE(U75,CHAR(160)," ")),$BK$15:$BK$62,$BM$15:$BM$62),_xlfn.XLOOKUP(TRIM(SUBSTITUTE(U75,CHAR(160)," ")),$BL$15:$BL$62,$BM$15:$BM$62))))*T75*IF(ISBLANK(Q75),1,Q75)+IFERROR(_xlfn.XLOOKUP("RECHERCHEX",TRIM(L75:AD75),L75:AD75),0),0))</f>
        <v>0.4</v>
      </c>
      <c r="AM75" s="6229" t="str">
        <f t="shared" si="24"/>
        <v>Kg</v>
      </c>
      <c r="AN75" s="6857" t="str">
        <f t="shared" si="44"/>
        <v>❾ Author reference &gt;</v>
      </c>
      <c r="AO75" s="392">
        <f t="shared" si="26"/>
        <v>5.23</v>
      </c>
      <c r="AP75" s="392" t="str">
        <f t="shared" si="27"/>
        <v>kg</v>
      </c>
      <c r="AQ75" s="6191">
        <f t="shared" si="28"/>
        <v>20</v>
      </c>
      <c r="AR75" s="6859" t="str">
        <f t="shared" si="29"/>
        <v>parts-ou.or.o ❾ + or - &gt;</v>
      </c>
      <c r="AS75" s="6856">
        <v>10</v>
      </c>
      <c r="AT75" s="6275" t="s">
        <v>219</v>
      </c>
      <c r="AU75" s="6272">
        <f t="shared" si="30"/>
        <v>0.76481835564053535</v>
      </c>
      <c r="AV75" s="6240" t="str">
        <f t="shared" si="31"/>
        <v>L ou kg</v>
      </c>
      <c r="AW75" s="6189" t="str" cm="1">
        <f t="array" ref="AW75">IF(AK75&lt;&gt;1,0,IF(OR(AU75="",N(AU75)&lt;=0.000000001),"",IF(OR(AO75="",N(AO75)&lt;=0.000000001),0,IF(ISNUMBER(AU75),IFERROR(_xlfn.LET(_xlpm.ai_test,TRIM(AJ75),_xlpm.r,IFERROR(_xlfn.XLOOKUP(_xlpm.ai_test,$BJ$15:$BJ$62,ROW($BJ$15:$BJ$62),0,1),IFERROR(_xlfn.XLOOKUP(_xlpm.ai_test,$BK$15:$BK$62,ROW($BK$15:$BK$62),0,1),_xlfn.XLOOKUP(_xlpm.ai_test,$BL$15:$BL$62,ROW($BL$15:$BL$62),0,1))),_xlpm.p,_xlpm.r-MIN(ROW($BJ$15:$BJ$62))+1,_xlpm.f,INDEX($BM$15:$BM$62,_xlpm.p),_xlpm.u,INDEX($BN$15:$BN$62,_xlpm.p),_xlpm.s,INDEX($BP$15:$BP$62,_xlpm.p),_xlpm.q,N(AU75)/_xlpm.f,IF(_xlpm.q&gt;=_xlpm.s,ROUND(_xlpm.q,1)&amp;" "&amp;_xlpm.ai_test&amp;" = "&amp;ROUND(_xlpm.q*_xlpm.f,1)&amp;" "&amp;_xlpm.u,ROUND(_xlpm.q,1)&amp;" "&amp;_xlpm.ai_test)),""),""))))</f>
        <v>764.8 fifth/L</v>
      </c>
      <c r="AX75" s="6218"/>
      <c r="AY75" s="6272">
        <f t="shared" si="32"/>
        <v>0.76481835564053535</v>
      </c>
      <c r="AZ75" s="6240" t="str">
        <f t="shared" si="33"/>
        <v>L ou kg</v>
      </c>
      <c r="BA75" s="6195">
        <f t="shared" si="40"/>
        <v>0</v>
      </c>
      <c r="BB75" s="6193" t="str">
        <f t="shared" si="34"/>
        <v/>
      </c>
      <c r="BC75" s="6219">
        <v>1.5</v>
      </c>
      <c r="BD75" s="6222">
        <f t="shared" si="42"/>
        <v>1.1472275334608031</v>
      </c>
      <c r="BE75" s="6220" t="str">
        <f t="shared" si="36"/>
        <v>test</v>
      </c>
      <c r="BF75" s="4" t="s">
        <v>1</v>
      </c>
      <c r="BG75" s="6196">
        <f t="shared" si="37"/>
        <v>0</v>
      </c>
      <c r="BH75" s="6197">
        <f t="shared" si="38"/>
        <v>1.9120458891013383</v>
      </c>
      <c r="BJ75" s="6920"/>
      <c r="BK75" s="6921"/>
      <c r="BL75" s="6921"/>
      <c r="BM75" s="6921"/>
      <c r="BN75" s="6921"/>
      <c r="BO75" s="6921"/>
      <c r="BP75" s="6921"/>
      <c r="BQ75" s="6921"/>
      <c r="BR75" s="6921"/>
      <c r="BS75" s="6921"/>
      <c r="BT75" s="6921"/>
      <c r="BU75" s="6921"/>
      <c r="BV75" s="6922"/>
      <c r="BW75"/>
      <c r="BX75" s="20" t="str">
        <f t="shared" si="51"/>
        <v>A</v>
      </c>
      <c r="BY75" s="188" t="s">
        <v>101</v>
      </c>
      <c r="BZ75" s="234"/>
      <c r="CA75" s="234"/>
      <c r="CB75" s="234"/>
      <c r="CC75" s="234"/>
      <c r="CD75" s="5661"/>
      <c r="DC75" s="5">
        <v>1</v>
      </c>
    </row>
    <row r="76" spans="1:107" s="1" customFormat="1" ht="21" customHeight="1">
      <c r="A76" s="5641" t="s">
        <v>1</v>
      </c>
      <c r="B76" s="5662" t="str">
        <f t="shared" si="50"/>
        <v>A</v>
      </c>
      <c r="C76" s="5825" cm="1">
        <f t="array" ref="C76">SUMPRODUCT(LEN(D76:J76))</f>
        <v>0</v>
      </c>
      <c r="D76" s="5275"/>
      <c r="E76" s="1361"/>
      <c r="F76" s="1361"/>
      <c r="G76" s="1361"/>
      <c r="H76" s="1361"/>
      <c r="I76" s="1361"/>
      <c r="J76" s="5276"/>
      <c r="K76" s="106" t="s">
        <v>1</v>
      </c>
      <c r="L76" s="1021" t="str">
        <f t="shared" si="53"/>
        <v>A</v>
      </c>
      <c r="M76" s="41" t="str">
        <f>M67</f>
        <v>N NAME OF YOUR RECIPE | paste it — FAMILY|  Author &gt; YOU</v>
      </c>
      <c r="N76" s="40">
        <f>N67</f>
        <v>5.23</v>
      </c>
      <c r="O76" s="41" t="str">
        <f>O67</f>
        <v>kg</v>
      </c>
      <c r="P76" s="5386" t="str">
        <f>P67</f>
        <v>Master recipe ► Guinea fowl ballotine</v>
      </c>
      <c r="Q76" s="213"/>
      <c r="R76" s="212"/>
      <c r="S76" s="211" t="str">
        <f t="shared" si="52"/>
        <v/>
      </c>
      <c r="T76" s="210">
        <v>2</v>
      </c>
      <c r="U76" s="6294" t="s">
        <v>9631</v>
      </c>
      <c r="V76" s="5448">
        <v>1</v>
      </c>
      <c r="W76" s="6866" t="s">
        <v>10006</v>
      </c>
      <c r="X76" s="6871"/>
      <c r="Y76" s="6253">
        <f>IF(AA85=0,0,(AA76/AA85)*Z70*1000)</f>
        <v>133.72406230777167</v>
      </c>
      <c r="Z76" s="6701">
        <f>IF(AA85=0, 0, (Q76*V76)/(AA85*Z70))</f>
        <v>0</v>
      </c>
      <c r="AA76" s="5882">
        <f>IFERROR(_xlfn.LET(_xlpm.v,IFERROR(_xlfn.XLOOKUP(U76,Q86:AD86,Q87:AD87),_xlfn.XLOOKUP(U76,Q88:AD88,Q89:AD89)),_xlpm.v*T76*IF(ISBLANK(Q76),1,Q76)),0)</f>
        <v>0.7</v>
      </c>
      <c r="AB76" s="5254">
        <f>IF(OR(ISBLANK(AC66),AC66=0),0,Q76*AC64*V76/AC66)</f>
        <v>0</v>
      </c>
      <c r="AC76" s="6051">
        <f>IF(OR(ISBLANK(AC66),AC66=0),0,AA76*V76*AC64/AC66)</f>
        <v>1.3999999999999997</v>
      </c>
      <c r="AD76" s="6199" t="str">
        <f>_xlfn.LET(_xlpm.unite,SUBSTITUTE(TRIM(U76)," (s)",""),_xlpm.val,AC76,_xlpm.estVol,COUNTIF(W86:AD86,_xlpm.unite)+COUNTIF(W88:AD88,_xlpm.unite)&gt;0,_xlpm.estPoids,COUNTIF(Q86:V86,_xlpm.unite)+COUNTIF(Q88:V88,_xlpm.unite)&gt;0,IF(_xlpm.estVol,IF(ROUND(_xlpm.val,3)&gt;=1,ROUND(_xlpm.val,3)&amp;"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1.4 L</v>
      </c>
      <c r="AE76" s="6872" t="s">
        <v>11049</v>
      </c>
      <c r="AF76" s="6202" t="str">
        <f t="shared" si="18"/>
        <v>A</v>
      </c>
      <c r="AG76" s="6234" t="str">
        <f t="shared" si="19"/>
        <v>N NAME OF YOUR RECIPE | paste it — FAMILY|  Author &gt; YOU</v>
      </c>
      <c r="AH76" s="6732">
        <f t="shared" si="20"/>
        <v>5.23</v>
      </c>
      <c r="AI76" s="6234" t="str">
        <f t="shared" si="21"/>
        <v>kg</v>
      </c>
      <c r="AJ76" s="6732" t="str">
        <f t="shared" si="22"/>
        <v>Bowl(s)</v>
      </c>
      <c r="AK76" s="6732">
        <f t="shared" si="23"/>
        <v>1</v>
      </c>
      <c r="AL76" s="6854" cm="1">
        <f t="array" ref="AL76">IF(AF76&lt;&gt;"A","",IFERROR((IFERROR(_xlfn.XLOOKUP(TRIM(SUBSTITUTE(U76,CHAR(160)," ")),$BJ$15:$BJ$62,$BM$15:$BM$62),IFERROR(_xlfn.XLOOKUP(TRIM(SUBSTITUTE(U76,CHAR(160)," ")),$BK$15:$BK$62,$BM$15:$BM$62),_xlfn.XLOOKUP(TRIM(SUBSTITUTE(U76,CHAR(160)," ")),$BL$15:$BL$62,$BM$15:$BM$62))))*T76*IF(ISBLANK(Q76),1,Q76)+IFERROR(_xlfn.XLOOKUP("RECHERCHEX",TRIM(L76:AD76),L76:AD76),0),0))</f>
        <v>0.7</v>
      </c>
      <c r="AM76" s="6229" t="str">
        <f t="shared" si="24"/>
        <v>Kg</v>
      </c>
      <c r="AN76" s="6857" t="str">
        <f t="shared" si="44"/>
        <v>❾ Author reference &gt;</v>
      </c>
      <c r="AO76" s="392">
        <f t="shared" si="26"/>
        <v>5.23</v>
      </c>
      <c r="AP76" s="392" t="str">
        <f t="shared" si="27"/>
        <v>kg</v>
      </c>
      <c r="AQ76" s="6190">
        <f t="shared" si="28"/>
        <v>20</v>
      </c>
      <c r="AR76" s="6858" t="str">
        <f t="shared" si="29"/>
        <v>parts-ou.or.o ❾ + or - &gt;</v>
      </c>
      <c r="AS76" s="6856">
        <v>10</v>
      </c>
      <c r="AT76" s="6275" t="s">
        <v>219</v>
      </c>
      <c r="AU76" s="6271">
        <f t="shared" si="30"/>
        <v>1.3384321223709368</v>
      </c>
      <c r="AV76" s="6242" t="str">
        <f t="shared" si="31"/>
        <v>L ou kg</v>
      </c>
      <c r="AW76" s="6188" t="str" cm="1">
        <f t="array" ref="AW76">IF(AK76&lt;&gt;1,0,IF(OR(AU76="",N(AU76)&lt;=0.000000001),"",IF(OR(AO76="",N(AO76)&lt;=0.000000001),0,IF(ISNUMBER(AU76),IFERROR(_xlfn.LET(_xlpm.ai_test,TRIM(AJ76),_xlpm.r,IFERROR(_xlfn.XLOOKUP(_xlpm.ai_test,$BJ$15:$BJ$62,ROW($BJ$15:$BJ$62),0,1),IFERROR(_xlfn.XLOOKUP(_xlpm.ai_test,$BK$15:$BK$62,ROW($BK$15:$BK$62),0,1),_xlfn.XLOOKUP(_xlpm.ai_test,$BL$15:$BL$62,ROW($BL$15:$BL$62),0,1))),_xlpm.p,_xlpm.r-MIN(ROW($BJ$15:$BJ$62))+1,_xlpm.f,INDEX($BM$15:$BM$62,_xlpm.p),_xlpm.u,INDEX($BN$15:$BN$62,_xlpm.p),_xlpm.s,INDEX($BP$15:$BP$62,_xlpm.p),_xlpm.q,N(AU76)/_xlpm.f,IF(_xlpm.q&gt;=_xlpm.s,ROUND(_xlpm.q,1)&amp;" "&amp;_xlpm.ai_test&amp;" = "&amp;ROUND(_xlpm.q*_xlpm.f,1)&amp;" "&amp;_xlpm.u,ROUND(_xlpm.q,1)&amp;" "&amp;_xlpm.ai_test)),""),""))))</f>
        <v>133.8 Bowl(s) = 1.3 L ou kg</v>
      </c>
      <c r="AX76" s="6218"/>
      <c r="AY76" s="6271">
        <f t="shared" si="32"/>
        <v>1.3384321223709368</v>
      </c>
      <c r="AZ76" s="6242" t="str">
        <f t="shared" si="33"/>
        <v>L ou kg</v>
      </c>
      <c r="BA76" s="6194">
        <f t="shared" si="40"/>
        <v>0</v>
      </c>
      <c r="BB76" s="6192" t="str">
        <f t="shared" si="34"/>
        <v/>
      </c>
      <c r="BC76" s="6219">
        <v>1.5</v>
      </c>
      <c r="BD76" s="6221">
        <f t="shared" si="42"/>
        <v>2.0076481835564053</v>
      </c>
      <c r="BE76" s="6220" t="str">
        <f t="shared" si="36"/>
        <v>test</v>
      </c>
      <c r="BF76" s="4" t="s">
        <v>1</v>
      </c>
      <c r="BG76" s="6196">
        <f t="shared" si="37"/>
        <v>0</v>
      </c>
      <c r="BH76" s="6197">
        <f t="shared" si="38"/>
        <v>1.9120458891013383</v>
      </c>
      <c r="BJ76" s="1" t="s">
        <v>10683</v>
      </c>
      <c r="BW76"/>
      <c r="BX76" s="20" t="str">
        <f t="shared" si="51"/>
        <v>A</v>
      </c>
      <c r="BY76" s="1022" t="s">
        <v>99</v>
      </c>
      <c r="BZ76" s="234"/>
      <c r="CA76" s="234"/>
      <c r="CB76" s="234"/>
      <c r="CC76" s="234"/>
      <c r="CD76" s="5661"/>
      <c r="DC76" s="5">
        <v>1</v>
      </c>
    </row>
    <row r="77" spans="1:107" s="1" customFormat="1" ht="21" customHeight="1">
      <c r="A77" s="5641" t="s">
        <v>1</v>
      </c>
      <c r="B77" s="5662" t="str">
        <f t="shared" si="50"/>
        <v>A</v>
      </c>
      <c r="C77" s="5825" cm="1">
        <f t="array" ref="C77">SUMPRODUCT(LEN(D77:J77))</f>
        <v>0</v>
      </c>
      <c r="D77" s="5275"/>
      <c r="E77" s="1361"/>
      <c r="F77" s="1361"/>
      <c r="G77" s="1361"/>
      <c r="H77" s="1361"/>
      <c r="I77" s="1361"/>
      <c r="J77" s="5276"/>
      <c r="K77" s="106" t="s">
        <v>1</v>
      </c>
      <c r="L77" s="1021" t="str">
        <f t="shared" si="53"/>
        <v>A</v>
      </c>
      <c r="M77" s="41" t="str">
        <f>M67</f>
        <v>N NAME OF YOUR RECIPE | paste it — FAMILY|  Author &gt; YOU</v>
      </c>
      <c r="N77" s="40">
        <f>N67</f>
        <v>5.23</v>
      </c>
      <c r="O77" s="41" t="str">
        <f>O67</f>
        <v>kg</v>
      </c>
      <c r="P77" s="5386" t="str">
        <f>P67</f>
        <v>Master recipe ► Guinea fowl ballotine</v>
      </c>
      <c r="Q77" s="213"/>
      <c r="R77" s="212"/>
      <c r="S77" s="211" t="str">
        <f t="shared" si="52"/>
        <v/>
      </c>
      <c r="T77" s="210">
        <v>2</v>
      </c>
      <c r="U77" s="6281" t="s">
        <v>9688</v>
      </c>
      <c r="V77" s="5448">
        <v>1</v>
      </c>
      <c r="W77" s="6866" t="s">
        <v>10006</v>
      </c>
      <c r="X77" s="6871"/>
      <c r="Y77" s="6253">
        <f>IF(AA85=0,0,(AA77/AA85)*Z70*1000)</f>
        <v>1.9103437472538813</v>
      </c>
      <c r="Z77" s="6701">
        <f>IF(AA85=0, 0, (Q77*V77)/(AA85*Z70))</f>
        <v>0</v>
      </c>
      <c r="AA77" s="5882">
        <f>IFERROR(_xlfn.LET(_xlpm.v,IFERROR(_xlfn.XLOOKUP(U77,Q86:AD86,Q87:AD87),_xlfn.XLOOKUP(U77,Q88:AD88,Q89:AD89)),_xlpm.v*T77*IF(ISBLANK(Q77),1,Q77)),0)</f>
        <v>0.01</v>
      </c>
      <c r="AB77" s="5256">
        <f>IF(OR(ISBLANK(AC66),AC66=0),0,Q77*AC64*V77/AC66)</f>
        <v>0</v>
      </c>
      <c r="AC77" s="6051">
        <f>IF(OR(ISBLANK(AC66),AC66=0),0,AA77*V77*AC64/AC66)</f>
        <v>0.02</v>
      </c>
      <c r="AD77" s="6200" t="str">
        <f>_xlfn.LET(_xlpm.unite,SUBSTITUTE(TRIM(U77)," (s)",""),_xlpm.val,AC77,_xlpm.estVol,COUNTIF(W86:AD86,_xlpm.unite)+COUNTIF(W88:AD88,_xlpm.unite)&gt;0,_xlpm.estPoids,COUNTIF(Q86:V86,_xlpm.unite)+COUNTIF(Q88:V88,_xlpm.unite)&gt;0,IF(_xlpm.estVol,IF(ROUND(_xlpm.val,3)&gt;=1,ROUND(_xlpm.val,3)&amp;"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2 cl</v>
      </c>
      <c r="AE77" s="6872" t="s">
        <v>11042</v>
      </c>
      <c r="AF77" s="6202" t="str">
        <f t="shared" si="18"/>
        <v>A</v>
      </c>
      <c r="AG77" s="6234" t="str">
        <f t="shared" si="19"/>
        <v>N NAME OF YOUR RECIPE | paste it — FAMILY|  Author &gt; YOU</v>
      </c>
      <c r="AH77" s="6732">
        <f t="shared" si="20"/>
        <v>5.23</v>
      </c>
      <c r="AI77" s="6234" t="str">
        <f t="shared" si="21"/>
        <v>kg</v>
      </c>
      <c r="AJ77" s="6732" t="str">
        <f t="shared" si="22"/>
        <v>teaspoon(s)</v>
      </c>
      <c r="AK77" s="6732">
        <f t="shared" si="23"/>
        <v>1</v>
      </c>
      <c r="AL77" s="6854" cm="1">
        <f t="array" ref="AL77">IF(AF77&lt;&gt;"A","",IFERROR((IFERROR(_xlfn.XLOOKUP(TRIM(SUBSTITUTE(U77,CHAR(160)," ")),$BJ$15:$BJ$62,$BM$15:$BM$62),IFERROR(_xlfn.XLOOKUP(TRIM(SUBSTITUTE(U77,CHAR(160)," ")),$BK$15:$BK$62,$BM$15:$BM$62),_xlfn.XLOOKUP(TRIM(SUBSTITUTE(U77,CHAR(160)," ")),$BL$15:$BL$62,$BM$15:$BM$62))))*T77*IF(ISBLANK(Q77),1,Q77)+IFERROR(_xlfn.XLOOKUP("RECHERCHEX",TRIM(L77:AD77),L77:AD77),0),0))</f>
        <v>9.859999999999999E-3</v>
      </c>
      <c r="AM77" s="6229" t="str">
        <f t="shared" si="24"/>
        <v>Kg</v>
      </c>
      <c r="AN77" s="6857" t="str">
        <f t="shared" si="44"/>
        <v>❾ Author reference &gt;</v>
      </c>
      <c r="AO77" s="392">
        <f t="shared" si="26"/>
        <v>5.23</v>
      </c>
      <c r="AP77" s="392" t="str">
        <f t="shared" si="27"/>
        <v>kg</v>
      </c>
      <c r="AQ77" s="6191">
        <f t="shared" si="28"/>
        <v>20</v>
      </c>
      <c r="AR77" s="6859" t="str">
        <f t="shared" si="29"/>
        <v>parts-ou.or.o ❾ + or - &gt;</v>
      </c>
      <c r="AS77" s="6856">
        <v>10</v>
      </c>
      <c r="AT77" s="6275" t="s">
        <v>219</v>
      </c>
      <c r="AU77" s="6272">
        <f t="shared" si="30"/>
        <v>1.8852772466539193E-2</v>
      </c>
      <c r="AV77" s="6240" t="str">
        <f t="shared" si="31"/>
        <v>L ou kg</v>
      </c>
      <c r="AW77" s="6189" t="str" cm="1">
        <f t="array" ref="AW77">IF(AK77&lt;&gt;1,0,IF(OR(AU77="",N(AU77)&lt;=0.000000001),"",IF(OR(AO77="",N(AO77)&lt;=0.000000001),0,IF(ISNUMBER(AU77),IFERROR(_xlfn.LET(_xlpm.ai_test,TRIM(AJ77),_xlpm.r,IFERROR(_xlfn.XLOOKUP(_xlpm.ai_test,$BJ$15:$BJ$62,ROW($BJ$15:$BJ$62),0,1),IFERROR(_xlfn.XLOOKUP(_xlpm.ai_test,$BK$15:$BK$62,ROW($BK$15:$BK$62),0,1),_xlfn.XLOOKUP(_xlpm.ai_test,$BL$15:$BL$62,ROW($BL$15:$BL$62),0,1))),_xlpm.p,_xlpm.r-MIN(ROW($BJ$15:$BJ$62))+1,_xlpm.f,INDEX($BM$15:$BM$62,_xlpm.p),_xlpm.u,INDEX($BN$15:$BN$62,_xlpm.p),_xlpm.s,INDEX($BP$15:$BP$62,_xlpm.p),_xlpm.q,N(AU77)/_xlpm.f,IF(_xlpm.q&gt;=_xlpm.s,ROUND(_xlpm.q,1)&amp;" "&amp;_xlpm.ai_test&amp;" = "&amp;ROUND(_xlpm.q*_xlpm.f,1)&amp;" "&amp;_xlpm.u,ROUND(_xlpm.q,1)&amp;" "&amp;_xlpm.ai_test)),""),""))))</f>
        <v>0.1 teaspoon(s)</v>
      </c>
      <c r="AX77" s="6218"/>
      <c r="AY77" s="6272">
        <f t="shared" si="32"/>
        <v>1.8852772466539193E-2</v>
      </c>
      <c r="AZ77" s="6240" t="str">
        <f t="shared" si="33"/>
        <v>L ou kg</v>
      </c>
      <c r="BA77" s="6195">
        <f t="shared" si="40"/>
        <v>0</v>
      </c>
      <c r="BB77" s="6193" t="str">
        <f t="shared" si="34"/>
        <v/>
      </c>
      <c r="BC77" s="6219">
        <v>1.5</v>
      </c>
      <c r="BD77" s="6222">
        <f t="shared" si="42"/>
        <v>2.8279158699808789E-2</v>
      </c>
      <c r="BE77" s="6220" t="str">
        <f t="shared" si="36"/>
        <v>test</v>
      </c>
      <c r="BF77" s="4" t="s">
        <v>1</v>
      </c>
      <c r="BG77" s="6196">
        <f t="shared" si="37"/>
        <v>0</v>
      </c>
      <c r="BH77" s="6197">
        <f t="shared" si="38"/>
        <v>1.9120458891013383</v>
      </c>
      <c r="BJ77" s="6284" t="s">
        <v>219</v>
      </c>
      <c r="BK77" s="6283" t="s">
        <v>130</v>
      </c>
      <c r="BL77" s="6291" t="s">
        <v>8014</v>
      </c>
      <c r="BM77" s="6288" t="s">
        <v>188</v>
      </c>
      <c r="BN77" s="6287" t="s">
        <v>176</v>
      </c>
      <c r="BO77" s="6287" t="s">
        <v>179</v>
      </c>
      <c r="BP77" s="6285" t="s">
        <v>88</v>
      </c>
      <c r="BQ77" s="6285" t="s">
        <v>172</v>
      </c>
      <c r="BR77" s="6285" t="s">
        <v>170</v>
      </c>
      <c r="BS77" s="6285" t="s">
        <v>166</v>
      </c>
      <c r="BT77" s="6286" t="s">
        <v>159</v>
      </c>
      <c r="BU77" s="6286" t="s">
        <v>8012</v>
      </c>
      <c r="BV77" s="6282" t="s">
        <v>8764</v>
      </c>
      <c r="BW77"/>
      <c r="BX77" s="20" t="str">
        <f t="shared" si="51"/>
        <v>A</v>
      </c>
      <c r="BY77" s="5914">
        <v>1</v>
      </c>
      <c r="BZ77" s="234"/>
      <c r="CA77" s="234"/>
      <c r="CB77" s="234"/>
      <c r="CC77" s="234"/>
      <c r="CD77" s="5661"/>
      <c r="DC77" s="5">
        <v>1</v>
      </c>
    </row>
    <row r="78" spans="1:107" s="1" customFormat="1" ht="21" customHeight="1">
      <c r="A78" s="5641" t="s">
        <v>1</v>
      </c>
      <c r="B78" s="5662" t="str">
        <f t="shared" si="50"/>
        <v>A</v>
      </c>
      <c r="C78" s="5825" cm="1">
        <f t="array" ref="C78">SUMPRODUCT(LEN(D78:J78))</f>
        <v>0</v>
      </c>
      <c r="D78" s="5275"/>
      <c r="E78" s="1361"/>
      <c r="F78" s="1361"/>
      <c r="G78" s="1361"/>
      <c r="H78" s="1361"/>
      <c r="I78" s="1361"/>
      <c r="J78" s="5276"/>
      <c r="K78" s="106" t="s">
        <v>1</v>
      </c>
      <c r="L78" s="1021" t="str">
        <f t="shared" si="53"/>
        <v>A</v>
      </c>
      <c r="M78" s="41" t="str">
        <f>M67</f>
        <v>N NAME OF YOUR RECIPE | paste it — FAMILY|  Author &gt; YOU</v>
      </c>
      <c r="N78" s="40">
        <f>N67</f>
        <v>5.23</v>
      </c>
      <c r="O78" s="41" t="str">
        <f>O67</f>
        <v>kg</v>
      </c>
      <c r="P78" s="5386" t="str">
        <f>P67</f>
        <v>Master recipe ► Guinea fowl ballotine</v>
      </c>
      <c r="Q78" s="213"/>
      <c r="R78" s="212"/>
      <c r="S78" s="211" t="str">
        <f t="shared" si="52"/>
        <v/>
      </c>
      <c r="T78" s="210">
        <v>2</v>
      </c>
      <c r="U78" s="6281" t="s">
        <v>9689</v>
      </c>
      <c r="V78" s="5448">
        <v>1</v>
      </c>
      <c r="W78" s="6866" t="s">
        <v>10006</v>
      </c>
      <c r="X78" s="6871"/>
      <c r="Y78" s="6253">
        <f>IF(AA85=0,0,(AA78/AA85)*Z70*1000)</f>
        <v>1.9103437472538813</v>
      </c>
      <c r="Z78" s="6701">
        <f>IF(AA85=0, 0, (Q78*V78)/(AA85*Z70))</f>
        <v>0</v>
      </c>
      <c r="AA78" s="5882">
        <f>IFERROR(_xlfn.LET(_xlpm.v,IFERROR(_xlfn.XLOOKUP(U78,Q86:AD86,Q87:AD87),_xlfn.XLOOKUP(U78,Q88:AD88,Q89:AD89)),_xlpm.v*T78*IF(ISBLANK(Q78),1,Q78)),0)</f>
        <v>0.01</v>
      </c>
      <c r="AB78" s="5254">
        <f>IF(OR(ISBLANK(AC66),AC66=0),0,Q78*AC64*V78/AC66)</f>
        <v>0</v>
      </c>
      <c r="AC78" s="6051">
        <f>IF(OR(ISBLANK(AC66),AC66=0),0,AA78*V78*AC64/AC66)</f>
        <v>0.02</v>
      </c>
      <c r="AD78" s="6199" t="str">
        <f>_xlfn.LET(_xlpm.unite,SUBSTITUTE(TRIM(U78)," (s)",""),_xlpm.val,AC78,_xlpm.estVol,COUNTIF(W86:AD86,_xlpm.unite)+COUNTIF(W88:AD88,_xlpm.unite)&gt;0,_xlpm.estPoids,COUNTIF(Q86:V86,_xlpm.unite)+COUNTIF(Q88:V88,_xlpm.unite)&gt;0,IF(_xlpm.estVol,IF(ROUND(_xlpm.val,3)&gt;=1,ROUND(_xlpm.val,3)&amp;"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2 cl</v>
      </c>
      <c r="AE78" s="6872" t="s">
        <v>11050</v>
      </c>
      <c r="AF78" s="6202" t="str">
        <f t="shared" si="18"/>
        <v>A</v>
      </c>
      <c r="AG78" s="6234" t="str">
        <f t="shared" si="19"/>
        <v>N NAME OF YOUR RECIPE | paste it — FAMILY|  Author &gt; YOU</v>
      </c>
      <c r="AH78" s="6732">
        <f t="shared" si="20"/>
        <v>5.23</v>
      </c>
      <c r="AI78" s="6234" t="str">
        <f t="shared" si="21"/>
        <v>kg</v>
      </c>
      <c r="AJ78" s="6732" t="str">
        <f t="shared" si="22"/>
        <v>tea spoon(s)</v>
      </c>
      <c r="AK78" s="6732">
        <f t="shared" si="23"/>
        <v>1</v>
      </c>
      <c r="AL78" s="6854" cm="1">
        <f t="array" ref="AL78">IF(AF78&lt;&gt;"A","",IFERROR((IFERROR(_xlfn.XLOOKUP(TRIM(SUBSTITUTE(U78,CHAR(160)," ")),$BJ$15:$BJ$62,$BM$15:$BM$62),IFERROR(_xlfn.XLOOKUP(TRIM(SUBSTITUTE(U78,CHAR(160)," ")),$BK$15:$BK$62,$BM$15:$BM$62),_xlfn.XLOOKUP(TRIM(SUBSTITUTE(U78,CHAR(160)," ")),$BL$15:$BL$62,$BM$15:$BM$62))))*T78*IF(ISBLANK(Q78),1,Q78)+IFERROR(_xlfn.XLOOKUP("RECHERCHEX",TRIM(L78:AD78),L78:AD78),0),0))</f>
        <v>0.01</v>
      </c>
      <c r="AM78" s="6229" t="str">
        <f t="shared" si="24"/>
        <v>Kg</v>
      </c>
      <c r="AN78" s="6857" t="str">
        <f t="shared" si="44"/>
        <v>❾ Author reference &gt;</v>
      </c>
      <c r="AO78" s="392">
        <f t="shared" si="26"/>
        <v>5.23</v>
      </c>
      <c r="AP78" s="392" t="str">
        <f t="shared" si="27"/>
        <v>kg</v>
      </c>
      <c r="AQ78" s="6190">
        <f t="shared" si="28"/>
        <v>20</v>
      </c>
      <c r="AR78" s="6858" t="str">
        <f t="shared" si="29"/>
        <v>parts-ou.or.o ❾ + or - &gt;</v>
      </c>
      <c r="AS78" s="6856">
        <v>10</v>
      </c>
      <c r="AT78" s="6275" t="s">
        <v>219</v>
      </c>
      <c r="AU78" s="6271">
        <f t="shared" si="30"/>
        <v>1.9120458891013385E-2</v>
      </c>
      <c r="AV78" s="6242" t="str">
        <f t="shared" si="31"/>
        <v>L ou kg</v>
      </c>
      <c r="AW78" s="6188" t="str" cm="1">
        <f t="array" ref="AW78">IF(AK78&lt;&gt;1,0,IF(OR(AU78="",N(AU78)&lt;=0.000000001),"",IF(OR(AO78="",N(AO78)&lt;=0.000000001),0,IF(ISNUMBER(AU78),IFERROR(_xlfn.LET(_xlpm.ai_test,TRIM(AJ78),_xlpm.r,IFERROR(_xlfn.XLOOKUP(_xlpm.ai_test,$BJ$15:$BJ$62,ROW($BJ$15:$BJ$62),0,1),IFERROR(_xlfn.XLOOKUP(_xlpm.ai_test,$BK$15:$BK$62,ROW($BK$15:$BK$62),0,1),_xlfn.XLOOKUP(_xlpm.ai_test,$BL$15:$BL$62,ROW($BL$15:$BL$62),0,1))),_xlpm.p,_xlpm.r-MIN(ROW($BJ$15:$BJ$62))+1,_xlpm.f,INDEX($BM$15:$BM$62,_xlpm.p),_xlpm.u,INDEX($BN$15:$BN$62,_xlpm.p),_xlpm.s,INDEX($BP$15:$BP$62,_xlpm.p),_xlpm.q,N(AU78)/_xlpm.f,IF(_xlpm.q&gt;=_xlpm.s,ROUND(_xlpm.q,1)&amp;" "&amp;_xlpm.ai_test&amp;" = "&amp;ROUND(_xlpm.q*_xlpm.f,1)&amp;" "&amp;_xlpm.u,ROUND(_xlpm.q,1)&amp;" "&amp;_xlpm.ai_test)),""),""))))</f>
        <v>0.1 tea spoon(s)</v>
      </c>
      <c r="AX78" s="6218"/>
      <c r="AY78" s="6271">
        <f t="shared" si="32"/>
        <v>1.9120458891013385E-2</v>
      </c>
      <c r="AZ78" s="6242" t="str">
        <f t="shared" si="33"/>
        <v>L ou kg</v>
      </c>
      <c r="BA78" s="6194">
        <f t="shared" si="40"/>
        <v>0</v>
      </c>
      <c r="BB78" s="6192" t="str">
        <f t="shared" si="34"/>
        <v/>
      </c>
      <c r="BC78" s="6219">
        <v>1.5</v>
      </c>
      <c r="BD78" s="6221">
        <f t="shared" si="42"/>
        <v>2.8680688336520078E-2</v>
      </c>
      <c r="BE78" s="6220" t="str">
        <f t="shared" si="36"/>
        <v>test</v>
      </c>
      <c r="BF78" s="4" t="s">
        <v>1</v>
      </c>
      <c r="BG78" s="6196">
        <f t="shared" si="37"/>
        <v>0</v>
      </c>
      <c r="BH78" s="6197">
        <f t="shared" si="38"/>
        <v>1.9120458891013383</v>
      </c>
      <c r="BJ78" s="6706">
        <v>1</v>
      </c>
      <c r="BK78" s="6707">
        <v>1E-3</v>
      </c>
      <c r="BL78" s="6708">
        <v>0</v>
      </c>
      <c r="BM78" s="6707">
        <v>0.25</v>
      </c>
      <c r="BN78" s="6707">
        <v>0.33332999999999996</v>
      </c>
      <c r="BO78" s="6707">
        <v>0.5</v>
      </c>
      <c r="BP78" s="6709">
        <v>1</v>
      </c>
      <c r="BQ78" s="6709">
        <v>0.1</v>
      </c>
      <c r="BR78" s="6709">
        <v>0.01</v>
      </c>
      <c r="BS78" s="6709">
        <v>1E-3</v>
      </c>
      <c r="BT78" s="6709">
        <v>0.5</v>
      </c>
      <c r="BU78" s="6709">
        <v>0.33300000000000002</v>
      </c>
      <c r="BV78" s="6710">
        <v>0.2</v>
      </c>
      <c r="BW78"/>
      <c r="BX78" s="20" t="str">
        <f t="shared" si="51"/>
        <v>A</v>
      </c>
      <c r="BY78" s="188" t="s">
        <v>96</v>
      </c>
      <c r="BZ78" s="234"/>
      <c r="CA78" s="234"/>
      <c r="CB78" s="234"/>
      <c r="CC78" s="234"/>
      <c r="CD78" s="5661"/>
      <c r="DC78" s="5">
        <v>1</v>
      </c>
    </row>
    <row r="79" spans="1:107" s="1" customFormat="1" ht="21" customHeight="1">
      <c r="A79" s="5641" t="s">
        <v>1</v>
      </c>
      <c r="B79" s="5662" t="str">
        <f t="shared" si="50"/>
        <v>A</v>
      </c>
      <c r="C79" s="5825" cm="1">
        <f t="array" ref="C79">SUMPRODUCT(LEN(D79:J79))</f>
        <v>0</v>
      </c>
      <c r="D79" s="5275"/>
      <c r="E79" s="1361"/>
      <c r="F79" s="1361"/>
      <c r="G79" s="1361"/>
      <c r="H79" s="1361"/>
      <c r="I79" s="1361"/>
      <c r="J79" s="5276"/>
      <c r="K79" s="106" t="s">
        <v>1</v>
      </c>
      <c r="L79" s="1021" t="str">
        <f t="shared" si="53"/>
        <v>A</v>
      </c>
      <c r="M79" s="41" t="str">
        <f>M67</f>
        <v>N NAME OF YOUR RECIPE | paste it — FAMILY|  Author &gt; YOU</v>
      </c>
      <c r="N79" s="40">
        <f>N67</f>
        <v>5.23</v>
      </c>
      <c r="O79" s="41" t="str">
        <f>O67</f>
        <v>kg</v>
      </c>
      <c r="P79" s="5386" t="str">
        <f>P67</f>
        <v>Master recipe ► Guinea fowl ballotine</v>
      </c>
      <c r="Q79" s="213"/>
      <c r="R79" s="212"/>
      <c r="S79" s="211" t="str">
        <f t="shared" si="52"/>
        <v/>
      </c>
      <c r="T79" s="210">
        <v>2</v>
      </c>
      <c r="U79" s="6286" t="s">
        <v>9690</v>
      </c>
      <c r="V79" s="5448">
        <v>1</v>
      </c>
      <c r="W79" s="6866" t="s">
        <v>10006</v>
      </c>
      <c r="X79" s="6871"/>
      <c r="Y79" s="6253">
        <f>IF(AA85=0,0,(AA79/AA85)*Z70*1000)</f>
        <v>5.7310312417616442</v>
      </c>
      <c r="Z79" s="6701">
        <f>IF(AA85=0, 0, (Q79*V79)/(AA85*Z70))</f>
        <v>0</v>
      </c>
      <c r="AA79" s="5882">
        <f>IFERROR(_xlfn.LET(_xlpm.v,IFERROR(_xlfn.XLOOKUP(U79,Q86:AD86,Q87:AD87),_xlfn.XLOOKUP(U79,Q88:AD88,Q89:AD89)),_xlpm.v*T79*IF(ISBLANK(Q79),1,Q79)),0)</f>
        <v>0.03</v>
      </c>
      <c r="AB79" s="5256">
        <f>IF(OR(ISBLANK(AC66),AC66=0),0,Q79*AC64*V79/AC66)</f>
        <v>0</v>
      </c>
      <c r="AC79" s="6051">
        <f>IF(OR(ISBLANK(AC66),AC66=0),0,AA79*V79*AC64/AC66)</f>
        <v>0.06</v>
      </c>
      <c r="AD79" s="6200" t="str">
        <f>_xlfn.LET(_xlpm.unite,SUBSTITUTE(TRIM(U79)," (s)",""),_xlpm.val,AC79,_xlpm.estVol,COUNTIF(W86:AD86,_xlpm.unite)+COUNTIF(W88:AD88,_xlpm.unite)&gt;0,_xlpm.estPoids,COUNTIF(Q86:V86,_xlpm.unite)+COUNTIF(Q88:V88,_xlpm.unite)&gt;0,IF(_xlpm.estVol,IF(ROUND(_xlpm.val,3)&gt;=1,ROUND(_xlpm.val,3)&amp;"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6 cl</v>
      </c>
      <c r="AE79" s="6872" t="s">
        <v>11051</v>
      </c>
      <c r="AF79" s="6202" t="str">
        <f t="shared" si="18"/>
        <v>A</v>
      </c>
      <c r="AG79" s="6234" t="str">
        <f t="shared" si="19"/>
        <v>N NAME OF YOUR RECIPE | paste it — FAMILY|  Author &gt; YOU</v>
      </c>
      <c r="AH79" s="6732">
        <f t="shared" si="20"/>
        <v>5.23</v>
      </c>
      <c r="AI79" s="6234" t="str">
        <f t="shared" si="21"/>
        <v>kg</v>
      </c>
      <c r="AJ79" s="6732" t="str">
        <f t="shared" si="22"/>
        <v>tablespoon(s)</v>
      </c>
      <c r="AK79" s="6732">
        <f t="shared" si="23"/>
        <v>1</v>
      </c>
      <c r="AL79" s="6854" cm="1">
        <f t="array" ref="AL79">IF(AF79&lt;&gt;"A","",IFERROR((IFERROR(_xlfn.XLOOKUP(TRIM(SUBSTITUTE(U79,CHAR(160)," ")),$BJ$15:$BJ$62,$BM$15:$BM$62),IFERROR(_xlfn.XLOOKUP(TRIM(SUBSTITUTE(U79,CHAR(160)," ")),$BK$15:$BK$62,$BM$15:$BM$62),_xlfn.XLOOKUP(TRIM(SUBSTITUTE(U79,CHAR(160)," ")),$BL$15:$BL$62,$BM$15:$BM$62))))*T79*IF(ISBLANK(Q79),1,Q79)+IFERROR(_xlfn.XLOOKUP("RECHERCHEX",TRIM(L79:AD79),L79:AD79),0),0))</f>
        <v>0.03</v>
      </c>
      <c r="AM79" s="6229" t="str">
        <f t="shared" si="24"/>
        <v>Kg</v>
      </c>
      <c r="AN79" s="6857" t="str">
        <f t="shared" si="44"/>
        <v>❾ Author reference &gt;</v>
      </c>
      <c r="AO79" s="392">
        <f t="shared" si="26"/>
        <v>5.23</v>
      </c>
      <c r="AP79" s="392" t="str">
        <f t="shared" si="27"/>
        <v>kg</v>
      </c>
      <c r="AQ79" s="6191">
        <f t="shared" si="28"/>
        <v>20</v>
      </c>
      <c r="AR79" s="6859" t="str">
        <f t="shared" si="29"/>
        <v>parts-ou.or.o ❾ + or - &gt;</v>
      </c>
      <c r="AS79" s="6856">
        <v>10</v>
      </c>
      <c r="AT79" s="6275" t="s">
        <v>219</v>
      </c>
      <c r="AU79" s="6272">
        <f t="shared" si="30"/>
        <v>5.736137667304015E-2</v>
      </c>
      <c r="AV79" s="6240" t="str">
        <f t="shared" si="31"/>
        <v>L ou kg</v>
      </c>
      <c r="AW79" s="6189" t="str" cm="1">
        <f t="array" ref="AW79">IF(AK79&lt;&gt;1,0,IF(OR(AU79="",N(AU79)&lt;=0.000000001),"",IF(OR(AO79="",N(AO79)&lt;=0.000000001),0,IF(ISNUMBER(AU79),IFERROR(_xlfn.LET(_xlpm.ai_test,TRIM(AJ79),_xlpm.r,IFERROR(_xlfn.XLOOKUP(_xlpm.ai_test,$BJ$15:$BJ$62,ROW($BJ$15:$BJ$62),0,1),IFERROR(_xlfn.XLOOKUP(_xlpm.ai_test,$BK$15:$BK$62,ROW($BK$15:$BK$62),0,1),_xlfn.XLOOKUP(_xlpm.ai_test,$BL$15:$BL$62,ROW($BL$15:$BL$62),0,1))),_xlpm.p,_xlpm.r-MIN(ROW($BJ$15:$BJ$62))+1,_xlpm.f,INDEX($BM$15:$BM$62,_xlpm.p),_xlpm.u,INDEX($BN$15:$BN$62,_xlpm.p),_xlpm.s,INDEX($BP$15:$BP$62,_xlpm.p),_xlpm.q,N(AU79)/_xlpm.f,IF(_xlpm.q&gt;=_xlpm.s,ROUND(_xlpm.q,1)&amp;" "&amp;_xlpm.ai_test&amp;" = "&amp;ROUND(_xlpm.q*_xlpm.f,1)&amp;" "&amp;_xlpm.u,ROUND(_xlpm.q,1)&amp;" "&amp;_xlpm.ai_test)),""),""))))</f>
        <v>0.2 tablespoon(s)</v>
      </c>
      <c r="AX79" s="6218"/>
      <c r="AY79" s="6272">
        <f t="shared" si="32"/>
        <v>5.736137667304015E-2</v>
      </c>
      <c r="AZ79" s="6240" t="str">
        <f t="shared" si="33"/>
        <v>L ou kg</v>
      </c>
      <c r="BA79" s="6195">
        <f t="shared" si="40"/>
        <v>0</v>
      </c>
      <c r="BB79" s="6193" t="str">
        <f t="shared" si="34"/>
        <v/>
      </c>
      <c r="BC79" s="6219">
        <v>1.5</v>
      </c>
      <c r="BD79" s="6222">
        <f t="shared" si="42"/>
        <v>8.6042065009560229E-2</v>
      </c>
      <c r="BE79" s="6220" t="str">
        <f t="shared" si="36"/>
        <v>test</v>
      </c>
      <c r="BF79" s="4" t="s">
        <v>1</v>
      </c>
      <c r="BG79" s="6196">
        <f t="shared" si="37"/>
        <v>0</v>
      </c>
      <c r="BH79" s="6197">
        <f t="shared" si="38"/>
        <v>1.9120458891013383</v>
      </c>
      <c r="BJ79" s="6289" t="s">
        <v>122</v>
      </c>
      <c r="BK79" s="6289" t="s">
        <v>113</v>
      </c>
      <c r="BL79" s="6291" t="s">
        <v>8014</v>
      </c>
      <c r="BM79" s="6289" t="s">
        <v>112</v>
      </c>
      <c r="BN79" s="6289" t="s">
        <v>8015</v>
      </c>
      <c r="BO79" s="6289" t="s">
        <v>8016</v>
      </c>
      <c r="BP79" s="6294" t="s">
        <v>126</v>
      </c>
      <c r="BQ79" s="6281" t="s">
        <v>152</v>
      </c>
      <c r="BR79" s="6281" t="s">
        <v>143</v>
      </c>
      <c r="BS79" s="6286" t="s">
        <v>946</v>
      </c>
      <c r="BT79" s="6286" t="s">
        <v>8765</v>
      </c>
      <c r="BU79" s="6286" t="s">
        <v>124</v>
      </c>
      <c r="BV79" s="6290" t="s">
        <v>110</v>
      </c>
      <c r="BW79"/>
      <c r="BX79" s="20" t="str">
        <f t="shared" si="51"/>
        <v>A</v>
      </c>
      <c r="BY79" s="1022" t="s">
        <v>94</v>
      </c>
      <c r="BZ79" s="234"/>
      <c r="CA79" s="234"/>
      <c r="CB79" s="234"/>
      <c r="CC79" s="234"/>
      <c r="CD79" s="5661"/>
      <c r="CE79"/>
      <c r="CF79"/>
      <c r="CG79"/>
      <c r="CH79"/>
      <c r="CI79"/>
      <c r="CJ79"/>
      <c r="CK79"/>
      <c r="CM79"/>
      <c r="CN79"/>
      <c r="CO79"/>
      <c r="CP79"/>
      <c r="CQ79"/>
      <c r="CR79"/>
      <c r="CS79"/>
      <c r="CU79"/>
      <c r="CV79"/>
      <c r="CW79"/>
      <c r="CX79"/>
      <c r="CY79"/>
      <c r="CZ79"/>
      <c r="DA79"/>
      <c r="DC79" s="5">
        <v>1</v>
      </c>
    </row>
    <row r="80" spans="1:107" s="1" customFormat="1" ht="21" customHeight="1">
      <c r="A80" s="5641" t="s">
        <v>1</v>
      </c>
      <c r="B80" s="5662" t="str">
        <f t="shared" si="50"/>
        <v>A</v>
      </c>
      <c r="C80" s="5825" cm="1">
        <f t="array" ref="C80">SUMPRODUCT(LEN(D80:J80))</f>
        <v>0</v>
      </c>
      <c r="D80" s="5275"/>
      <c r="E80" s="1361"/>
      <c r="F80" s="1361"/>
      <c r="G80" s="1361"/>
      <c r="H80" s="1361"/>
      <c r="I80" s="1361"/>
      <c r="J80" s="5276"/>
      <c r="K80" s="106" t="s">
        <v>1</v>
      </c>
      <c r="L80" s="1021" t="str">
        <f t="shared" si="53"/>
        <v>A</v>
      </c>
      <c r="M80" s="41" t="str">
        <f>M67</f>
        <v>N NAME OF YOUR RECIPE | paste it — FAMILY|  Author &gt; YOU</v>
      </c>
      <c r="N80" s="40">
        <f>N67</f>
        <v>5.23</v>
      </c>
      <c r="O80" s="41" t="str">
        <f>O67</f>
        <v>kg</v>
      </c>
      <c r="P80" s="5386" t="str">
        <f>P67</f>
        <v>Master recipe ► Guinea fowl ballotine</v>
      </c>
      <c r="Q80" s="213"/>
      <c r="R80" s="212"/>
      <c r="S80" s="211" t="str">
        <f t="shared" si="52"/>
        <v/>
      </c>
      <c r="T80" s="210">
        <v>2</v>
      </c>
      <c r="U80" s="6286" t="s">
        <v>9617</v>
      </c>
      <c r="V80" s="5448">
        <v>1</v>
      </c>
      <c r="W80" s="6866" t="s">
        <v>10006</v>
      </c>
      <c r="X80" s="6871"/>
      <c r="Y80" s="6253">
        <f>IF(AA85=0,0,(AA80/AA85)*Z70*1000)</f>
        <v>38.206874945077629</v>
      </c>
      <c r="Z80" s="6701">
        <f>IF(AA85=0, 0, (Q80*V80)/(AA85*Z70))</f>
        <v>0</v>
      </c>
      <c r="AA80" s="5882">
        <f>IFERROR(_xlfn.LET(_xlpm.v,IFERROR(_xlfn.XLOOKUP(U80,Q86:AD86,Q87:AD87),_xlfn.XLOOKUP(U80,Q88:AD88,Q89:AD89)),_xlpm.v*T80*IF(ISBLANK(Q80),1,Q80)),0)</f>
        <v>0.2</v>
      </c>
      <c r="AB80" s="5254">
        <f>IF(OR(ISBLANK(AC66),AC66=0),0,Q80*AC64*V80/AC66)</f>
        <v>0</v>
      </c>
      <c r="AC80" s="6051">
        <f>IF(OR(ISBLANK(AC66),AC66=0),0,AA80*V80*AC64/AC66)</f>
        <v>0.40000000000000008</v>
      </c>
      <c r="AD80" s="6199" t="str">
        <f>_xlfn.LET(_xlpm.unite,SUBSTITUTE(TRIM(U80)," (s)",""),_xlpm.val,AC80,_xlpm.estVol,COUNTIF(W86:AD86,_xlpm.unite)+COUNTIF(W88:AD88,_xlpm.unite)&gt;0,_xlpm.estPoids,COUNTIF(Q86:V86,_xlpm.unite)+COUNTIF(Q88:V88,_xlpm.unite)&gt;0,IF(_xlpm.estVol,IF(ROUND(_xlpm.val,3)&gt;=1,ROUND(_xlpm.val,3)&amp;"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40 cl</v>
      </c>
      <c r="AE80" s="6872" t="s">
        <v>11052</v>
      </c>
      <c r="AF80" s="6202" t="str">
        <f t="shared" si="18"/>
        <v>A</v>
      </c>
      <c r="AG80" s="6234" t="str">
        <f t="shared" si="19"/>
        <v>N NAME OF YOUR RECIPE | paste it — FAMILY|  Author &gt; YOU</v>
      </c>
      <c r="AH80" s="6732">
        <f t="shared" si="20"/>
        <v>5.23</v>
      </c>
      <c r="AI80" s="6234" t="str">
        <f t="shared" si="21"/>
        <v>kg</v>
      </c>
      <c r="AJ80" s="6732" t="str">
        <f t="shared" si="22"/>
        <v>tenth/L</v>
      </c>
      <c r="AK80" s="6732">
        <f t="shared" si="23"/>
        <v>1</v>
      </c>
      <c r="AL80" s="6854" cm="1">
        <f t="array" ref="AL80">IF(AF80&lt;&gt;"A","",IFERROR((IFERROR(_xlfn.XLOOKUP(TRIM(SUBSTITUTE(U80,CHAR(160)," ")),$BJ$15:$BJ$62,$BM$15:$BM$62),IFERROR(_xlfn.XLOOKUP(TRIM(SUBSTITUTE(U80,CHAR(160)," ")),$BK$15:$BK$62,$BM$15:$BM$62),_xlfn.XLOOKUP(TRIM(SUBSTITUTE(U80,CHAR(160)," ")),$BL$15:$BL$62,$BM$15:$BM$62))))*T80*IF(ISBLANK(Q80),1,Q80)+IFERROR(_xlfn.XLOOKUP("RECHERCHEX",TRIM(L80:AD80),L80:AD80),0),0))</f>
        <v>0.2</v>
      </c>
      <c r="AM80" s="6229" t="str">
        <f t="shared" si="24"/>
        <v>Kg</v>
      </c>
      <c r="AN80" s="6857" t="str">
        <f t="shared" si="44"/>
        <v>❾ Author reference &gt;</v>
      </c>
      <c r="AO80" s="392">
        <f t="shared" si="26"/>
        <v>5.23</v>
      </c>
      <c r="AP80" s="392" t="str">
        <f t="shared" si="27"/>
        <v>kg</v>
      </c>
      <c r="AQ80" s="6190">
        <f t="shared" si="28"/>
        <v>20</v>
      </c>
      <c r="AR80" s="6858" t="str">
        <f t="shared" si="29"/>
        <v>parts-ou.or.o ❾ + or - &gt;</v>
      </c>
      <c r="AS80" s="6856">
        <v>10</v>
      </c>
      <c r="AT80" s="6275" t="s">
        <v>219</v>
      </c>
      <c r="AU80" s="6271">
        <f t="shared" si="30"/>
        <v>0.38240917782026768</v>
      </c>
      <c r="AV80" s="6242" t="str">
        <f t="shared" si="31"/>
        <v>L ou kg</v>
      </c>
      <c r="AW80" s="6188" t="str" cm="1">
        <f t="array" ref="AW80">IF(AK80&lt;&gt;1,0,IF(OR(AU80="",N(AU80)&lt;=0.000000001),"",IF(OR(AO80="",N(AO80)&lt;=0.000000001),0,IF(ISNUMBER(AU80),IFERROR(_xlfn.LET(_xlpm.ai_test,TRIM(AJ80),_xlpm.r,IFERROR(_xlfn.XLOOKUP(_xlpm.ai_test,$BJ$15:$BJ$62,ROW($BJ$15:$BJ$62),0,1),IFERROR(_xlfn.XLOOKUP(_xlpm.ai_test,$BK$15:$BK$62,ROW($BK$15:$BK$62),0,1),_xlfn.XLOOKUP(_xlpm.ai_test,$BL$15:$BL$62,ROW($BL$15:$BL$62),0,1))),_xlpm.p,_xlpm.r-MIN(ROW($BJ$15:$BJ$62))+1,_xlpm.f,INDEX($BM$15:$BM$62,_xlpm.p),_xlpm.u,INDEX($BN$15:$BN$62,_xlpm.p),_xlpm.s,INDEX($BP$15:$BP$62,_xlpm.p),_xlpm.q,N(AU80)/_xlpm.f,IF(_xlpm.q&gt;=_xlpm.s,ROUND(_xlpm.q,1)&amp;" "&amp;_xlpm.ai_test&amp;" = "&amp;ROUND(_xlpm.q*_xlpm.f,1)&amp;" "&amp;_xlpm.u,ROUND(_xlpm.q,1)&amp;" "&amp;_xlpm.ai_test)),""),""))))</f>
        <v>1.2 tenth/L</v>
      </c>
      <c r="AX80" s="6218"/>
      <c r="AY80" s="6271">
        <f t="shared" si="32"/>
        <v>0.38240917782026768</v>
      </c>
      <c r="AZ80" s="6242" t="str">
        <f t="shared" si="33"/>
        <v>L ou kg</v>
      </c>
      <c r="BA80" s="6194">
        <f t="shared" si="40"/>
        <v>0</v>
      </c>
      <c r="BB80" s="6192" t="str">
        <f t="shared" si="34"/>
        <v/>
      </c>
      <c r="BC80" s="6219">
        <v>1.5</v>
      </c>
      <c r="BD80" s="6221">
        <f t="shared" si="42"/>
        <v>0.57361376673040154</v>
      </c>
      <c r="BE80" s="6220" t="str">
        <f t="shared" si="36"/>
        <v>test</v>
      </c>
      <c r="BF80" s="4" t="s">
        <v>1</v>
      </c>
      <c r="BG80" s="6196">
        <f t="shared" si="37"/>
        <v>0</v>
      </c>
      <c r="BH80" s="6197">
        <f t="shared" si="38"/>
        <v>1.9120458891013383</v>
      </c>
      <c r="BJ80" s="6706">
        <v>2.835E-2</v>
      </c>
      <c r="BK80" s="6707">
        <v>0.13</v>
      </c>
      <c r="BL80" s="6708">
        <v>0</v>
      </c>
      <c r="BM80" s="6707">
        <v>0.2</v>
      </c>
      <c r="BN80" s="6707">
        <v>0.23</v>
      </c>
      <c r="BO80" s="6707">
        <v>0.22500000000000001</v>
      </c>
      <c r="BP80" s="6709">
        <v>0.35</v>
      </c>
      <c r="BQ80" s="6709">
        <v>5.0000000000000001E-3</v>
      </c>
      <c r="BR80" s="6709">
        <v>5.0000000000000001E-3</v>
      </c>
      <c r="BS80" s="6709">
        <v>1.4999999999999999E-2</v>
      </c>
      <c r="BT80" s="6709">
        <v>0.1</v>
      </c>
      <c r="BU80" s="6709">
        <v>0.22500000000000001</v>
      </c>
      <c r="BV80" s="6710">
        <v>1E-3</v>
      </c>
      <c r="BW80"/>
      <c r="BX80" s="20" t="str">
        <f t="shared" si="51"/>
        <v>A</v>
      </c>
      <c r="BY80" s="5950"/>
      <c r="BZ80" s="5950"/>
      <c r="CA80" s="5950"/>
      <c r="CB80" s="5950"/>
      <c r="CC80" s="5950"/>
      <c r="CD80" s="5661"/>
      <c r="CE80"/>
      <c r="CF80"/>
      <c r="CG80"/>
      <c r="CH80"/>
      <c r="CI80"/>
      <c r="CJ80"/>
      <c r="CK80"/>
      <c r="CM80"/>
      <c r="CN80"/>
      <c r="CO80"/>
      <c r="CP80"/>
      <c r="CQ80"/>
      <c r="CR80"/>
      <c r="CS80"/>
      <c r="CU80"/>
      <c r="CV80"/>
      <c r="CW80"/>
      <c r="CX80"/>
      <c r="CY80"/>
      <c r="CZ80"/>
      <c r="DA80"/>
      <c r="DC80" s="5">
        <v>1</v>
      </c>
    </row>
    <row r="81" spans="1:107" s="1" customFormat="1" ht="21" customHeight="1" thickBot="1">
      <c r="A81" s="5641" t="s">
        <v>1</v>
      </c>
      <c r="B81" s="5662" t="str">
        <f t="shared" si="50"/>
        <v>A</v>
      </c>
      <c r="C81" s="5825" cm="1">
        <f t="array" ref="C81">SUMPRODUCT(LEN(D81:J81))</f>
        <v>0</v>
      </c>
      <c r="D81" s="5275"/>
      <c r="E81" s="1361"/>
      <c r="F81" s="1361"/>
      <c r="G81" s="1361"/>
      <c r="H81" s="1361"/>
      <c r="I81" s="1361"/>
      <c r="J81" s="5276"/>
      <c r="K81" s="106" t="s">
        <v>1</v>
      </c>
      <c r="L81" s="1021" t="str">
        <f t="shared" si="53"/>
        <v>A</v>
      </c>
      <c r="M81" s="41" t="str">
        <f>M67</f>
        <v>N NAME OF YOUR RECIPE | paste it — FAMILY|  Author &gt; YOU</v>
      </c>
      <c r="N81" s="40">
        <f>N67</f>
        <v>5.23</v>
      </c>
      <c r="O81" s="41" t="str">
        <f>O67</f>
        <v>kg</v>
      </c>
      <c r="P81" s="5386" t="str">
        <f>P67</f>
        <v>Master recipe ► Guinea fowl ballotine</v>
      </c>
      <c r="Q81" s="213"/>
      <c r="R81" s="212"/>
      <c r="S81" s="211" t="str">
        <f t="shared" si="52"/>
        <v/>
      </c>
      <c r="T81" s="210">
        <v>2</v>
      </c>
      <c r="U81" s="6286" t="s">
        <v>9623</v>
      </c>
      <c r="V81" s="5448">
        <v>1</v>
      </c>
      <c r="W81" s="6866" t="s">
        <v>10006</v>
      </c>
      <c r="X81" s="6871"/>
      <c r="Y81" s="6253">
        <f>IF(AA85=0,0,(AA81/AA85)*Z70*1000)</f>
        <v>85.965468626424652</v>
      </c>
      <c r="Z81" s="6701">
        <f>IF(AA85=0, 0, (Q81*V81)/(AA85*Z70))</f>
        <v>0</v>
      </c>
      <c r="AA81" s="5882">
        <f>IFERROR(_xlfn.LET(_xlpm.v,IFERROR(_xlfn.XLOOKUP(U81,Q86:AD86,Q87:AD87),_xlfn.XLOOKUP(U81,Q88:AD88,Q89:AD89)),_xlpm.v*T81*IF(ISBLANK(Q81),1,Q81)),0)</f>
        <v>0.45</v>
      </c>
      <c r="AB81" s="5256">
        <f>IF(OR(ISBLANK(AC66),AC66=0),0,Q81*AC64*V81/AC66)</f>
        <v>0</v>
      </c>
      <c r="AC81" s="6051">
        <f>IF(OR(ISBLANK(AC66),AC66=0),0,AA81*V81*AC64/AC66)</f>
        <v>0.9</v>
      </c>
      <c r="AD81" s="6201" t="str">
        <f>_xlfn.LET(_xlpm.unite,SUBSTITUTE(TRIM(U81)," (s)",""),_xlpm.val,AC81,_xlpm.estVol,COUNTIF(W86:AD86,_xlpm.unite)+COUNTIF(W88:AD88,_xlpm.unite)&gt;0,_xlpm.estPoids,COUNTIF(Q86:V86,_xlpm.unite)+COUNTIF(Q88:V88,_xlpm.unite)&gt;0,IF(_xlpm.estVol,IF(ROUND(_xlpm.val,3)&gt;=1,ROUND(_xlpm.val,3)&amp;"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90 cl</v>
      </c>
      <c r="AE81" s="6872" t="s">
        <v>11053</v>
      </c>
      <c r="AF81" s="6202" t="str">
        <f t="shared" si="18"/>
        <v>A</v>
      </c>
      <c r="AG81" s="6234" t="str">
        <f t="shared" si="19"/>
        <v>N NAME OF YOUR RECIPE | paste it — FAMILY|  Author &gt; YOU</v>
      </c>
      <c r="AH81" s="6732">
        <f t="shared" si="20"/>
        <v>5.23</v>
      </c>
      <c r="AI81" s="6234" t="str">
        <f t="shared" si="21"/>
        <v>kg</v>
      </c>
      <c r="AJ81" s="6732" t="str">
        <f t="shared" si="22"/>
        <v>Glass(es)</v>
      </c>
      <c r="AK81" s="6732">
        <f t="shared" si="23"/>
        <v>1</v>
      </c>
      <c r="AL81" s="6854" cm="1">
        <f t="array" ref="AL81">IF(AF81&lt;&gt;"A","",IFERROR((IFERROR(_xlfn.XLOOKUP(TRIM(SUBSTITUTE(U81,CHAR(160)," ")),$BJ$15:$BJ$62,$BM$15:$BM$62),IFERROR(_xlfn.XLOOKUP(TRIM(SUBSTITUTE(U81,CHAR(160)," ")),$BK$15:$BK$62,$BM$15:$BM$62),_xlfn.XLOOKUP(TRIM(SUBSTITUTE(U81,CHAR(160)," ")),$BL$15:$BL$62,$BM$15:$BM$62))))*T81*IF(ISBLANK(Q81),1,Q81)+IFERROR(_xlfn.XLOOKUP("RECHERCHEX",TRIM(L81:AD81),L81:AD81),0),0))</f>
        <v>0.45</v>
      </c>
      <c r="AM81" s="6229" t="str">
        <f t="shared" si="24"/>
        <v>Kg</v>
      </c>
      <c r="AN81" s="6857" t="str">
        <f t="shared" si="44"/>
        <v>❾ Author reference &gt;</v>
      </c>
      <c r="AO81" s="392">
        <f t="shared" si="26"/>
        <v>5.23</v>
      </c>
      <c r="AP81" s="392" t="str">
        <f t="shared" si="27"/>
        <v>kg</v>
      </c>
      <c r="AQ81" s="6191">
        <f t="shared" si="28"/>
        <v>20</v>
      </c>
      <c r="AR81" s="6859" t="str">
        <f t="shared" si="29"/>
        <v>parts-ou.or.o ❾ + or - &gt;</v>
      </c>
      <c r="AS81" s="6856">
        <v>10</v>
      </c>
      <c r="AT81" s="6275" t="s">
        <v>219</v>
      </c>
      <c r="AU81" s="6272">
        <f t="shared" si="30"/>
        <v>0.86042065009560231</v>
      </c>
      <c r="AV81" s="6240" t="str">
        <f t="shared" si="31"/>
        <v>L ou kg</v>
      </c>
      <c r="AW81" s="6189" t="str" cm="1">
        <f t="array" ref="AW81">IF(AK81&lt;&gt;1,0,IF(OR(AU81="",N(AU81)&lt;=0.000000001),"",IF(OR(AO81="",N(AO81)&lt;=0.000000001),0,IF(ISNUMBER(AU81),IFERROR(_xlfn.LET(_xlpm.ai_test,TRIM(AJ81),_xlpm.r,IFERROR(_xlfn.XLOOKUP(_xlpm.ai_test,$BJ$15:$BJ$62,ROW($BJ$15:$BJ$62),0,1),IFERROR(_xlfn.XLOOKUP(_xlpm.ai_test,$BK$15:$BK$62,ROW($BK$15:$BK$62),0,1),_xlfn.XLOOKUP(_xlpm.ai_test,$BL$15:$BL$62,ROW($BL$15:$BL$62),0,1))),_xlpm.p,_xlpm.r-MIN(ROW($BJ$15:$BJ$62))+1,_xlpm.f,INDEX($BM$15:$BM$62,_xlpm.p),_xlpm.u,INDEX($BN$15:$BN$62,_xlpm.p),_xlpm.s,INDEX($BP$15:$BP$62,_xlpm.p),_xlpm.q,N(AU81)/_xlpm.f,IF(_xlpm.q&gt;=_xlpm.s,ROUND(_xlpm.q,1)&amp;" "&amp;_xlpm.ai_test&amp;" = "&amp;ROUND(_xlpm.q*_xlpm.f,1)&amp;" "&amp;_xlpm.u,ROUND(_xlpm.q,1)&amp;" "&amp;_xlpm.ai_test)),""),""))))</f>
        <v>19.1 Glass(es)</v>
      </c>
      <c r="AX81" s="6218"/>
      <c r="AY81" s="6272">
        <f t="shared" si="32"/>
        <v>0.86042065009560231</v>
      </c>
      <c r="AZ81" s="6240" t="str">
        <f t="shared" si="33"/>
        <v>L ou kg</v>
      </c>
      <c r="BA81" s="6195">
        <f t="shared" si="40"/>
        <v>0</v>
      </c>
      <c r="BB81" s="6193" t="str">
        <f t="shared" si="34"/>
        <v/>
      </c>
      <c r="BC81" s="6219">
        <v>1.5</v>
      </c>
      <c r="BD81" s="6222">
        <f t="shared" si="42"/>
        <v>1.2906309751434035</v>
      </c>
      <c r="BE81" s="6220" t="str">
        <f t="shared" si="36"/>
        <v>test</v>
      </c>
      <c r="BF81" s="4" t="s">
        <v>1</v>
      </c>
      <c r="BG81" s="6196">
        <f t="shared" si="37"/>
        <v>0</v>
      </c>
      <c r="BH81" s="6197">
        <f t="shared" si="38"/>
        <v>1.9120458891013383</v>
      </c>
      <c r="BJ81"/>
      <c r="BK81"/>
      <c r="BL81"/>
      <c r="BM81"/>
      <c r="BN81"/>
      <c r="BO81"/>
      <c r="BP81"/>
      <c r="BQ81"/>
      <c r="BR81"/>
      <c r="BS81"/>
      <c r="BT81"/>
      <c r="BU81"/>
      <c r="BV81"/>
      <c r="BW81"/>
      <c r="BX81" s="20" t="str">
        <f t="shared" si="51"/>
        <v>A</v>
      </c>
      <c r="BY81" s="5950"/>
      <c r="BZ81" s="5950"/>
      <c r="CA81" s="5950"/>
      <c r="CB81" s="5950"/>
      <c r="CC81" s="5950"/>
      <c r="CD81" s="5661"/>
      <c r="CE81"/>
      <c r="CF81"/>
      <c r="CG81"/>
      <c r="CH81"/>
      <c r="CI81"/>
      <c r="CJ81"/>
      <c r="CK81"/>
      <c r="CM81"/>
      <c r="CN81"/>
      <c r="CO81"/>
      <c r="CP81"/>
      <c r="CQ81"/>
      <c r="CR81"/>
      <c r="CS81"/>
      <c r="CU81"/>
      <c r="CV81"/>
      <c r="CW81"/>
      <c r="CX81"/>
      <c r="CY81"/>
      <c r="CZ81"/>
      <c r="DA81"/>
      <c r="DC81" s="5">
        <v>1</v>
      </c>
    </row>
    <row r="82" spans="1:107" s="1" customFormat="1" ht="21" customHeight="1">
      <c r="A82" s="5641" t="s">
        <v>1</v>
      </c>
      <c r="B82" s="5662" t="str">
        <f t="shared" si="50"/>
        <v>A</v>
      </c>
      <c r="C82" s="5825" cm="1">
        <f t="array" ref="C82">SUMPRODUCT(LEN(D82:J82))</f>
        <v>0</v>
      </c>
      <c r="D82" s="5275"/>
      <c r="E82" s="1361"/>
      <c r="F82" s="1361"/>
      <c r="G82" s="1361"/>
      <c r="H82" s="1361"/>
      <c r="I82" s="1361"/>
      <c r="J82" s="5276"/>
      <c r="K82" s="106" t="s">
        <v>1</v>
      </c>
      <c r="L82" s="1021" t="str">
        <f t="shared" si="53"/>
        <v>A</v>
      </c>
      <c r="M82" s="41" t="str">
        <f>M67</f>
        <v>N NAME OF YOUR RECIPE | paste it — FAMILY|  Author &gt; YOU</v>
      </c>
      <c r="N82" s="40">
        <f>N67</f>
        <v>5.23</v>
      </c>
      <c r="O82" s="41" t="str">
        <f>O67</f>
        <v>kg</v>
      </c>
      <c r="P82" s="5386" t="str">
        <f>P67</f>
        <v>Master recipe ► Guinea fowl ballotine</v>
      </c>
      <c r="Q82" s="213"/>
      <c r="R82" s="212"/>
      <c r="S82" s="211" t="str">
        <f t="shared" si="52"/>
        <v/>
      </c>
      <c r="T82" s="210">
        <v>2</v>
      </c>
      <c r="U82" s="6755" t="s">
        <v>9691</v>
      </c>
      <c r="V82" s="5448">
        <v>1</v>
      </c>
      <c r="W82" s="6866" t="s">
        <v>10006</v>
      </c>
      <c r="X82" s="6871"/>
      <c r="Y82" s="6253">
        <f>IF(AA85=0,0,(AA82/AA85)*Z70*1000)</f>
        <v>0.38206874945077623</v>
      </c>
      <c r="Z82" s="6701">
        <f>IF(AA85=0, 0, (Q82*V82)/(AA85*Z70))</f>
        <v>0</v>
      </c>
      <c r="AA82" s="5882">
        <f>IFERROR(_xlfn.LET(_xlpm.v,IFERROR(_xlfn.XLOOKUP(U82,Q86:AD86,Q87:AD87),_xlfn.XLOOKUP(U82,Q88:AD88,Q89:AD89)),_xlpm.v*T82*IF(ISBLANK(Q82),1,Q82)),0)</f>
        <v>2E-3</v>
      </c>
      <c r="AB82" s="5254">
        <f>IF(OR(ISBLANK(AC66),AC66=0),0,Q82*AC64*V82/AC66)</f>
        <v>0</v>
      </c>
      <c r="AC82" s="6051">
        <f>IF(OR(ISBLANK(AC66),AC66=0),0,AA82*V82*AC64/AC66)</f>
        <v>4.0000000000000001E-3</v>
      </c>
      <c r="AD82" s="6199" t="str">
        <f>_xlfn.LET(_xlpm.unite,SUBSTITUTE(TRIM(U82)," (s)",""),_xlpm.val,AC82,_xlpm.estVol,COUNTIF(W86:AD86,_xlpm.unite)+COUNTIF(W88:AD88,_xlpm.unite)&gt;0,_xlpm.estPoids,COUNTIF(Q86:V86,_xlpm.unite)+COUNTIF(Q88:V88,_xlpm.unite)&gt;0,IF(_xlpm.estVol,IF(ROUND(_xlpm.val,3)&gt;=1,ROUND(_xlpm.val,3)&amp;"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1 cl</v>
      </c>
      <c r="AE82" s="6872" t="s">
        <v>11054</v>
      </c>
      <c r="AF82" s="6202" t="str">
        <f t="shared" si="18"/>
        <v>A</v>
      </c>
      <c r="AG82" s="6234" t="str">
        <f t="shared" si="19"/>
        <v>N NAME OF YOUR RECIPE | paste it — FAMILY|  Author &gt; YOU</v>
      </c>
      <c r="AH82" s="6732">
        <f t="shared" si="20"/>
        <v>5.23</v>
      </c>
      <c r="AI82" s="6234" t="str">
        <f t="shared" si="21"/>
        <v>kg</v>
      </c>
      <c r="AJ82" s="6732" t="str">
        <f t="shared" si="22"/>
        <v>Dash(es</v>
      </c>
      <c r="AK82" s="6732">
        <f t="shared" si="23"/>
        <v>1</v>
      </c>
      <c r="AL82" s="6854" cm="1">
        <f t="array" ref="AL82">IF(AF82&lt;&gt;"A","",IFERROR((IFERROR(_xlfn.XLOOKUP(TRIM(SUBSTITUTE(U82,CHAR(160)," ")),$BJ$15:$BJ$62,$BM$15:$BM$62),IFERROR(_xlfn.XLOOKUP(TRIM(SUBSTITUTE(U82,CHAR(160)," ")),$BK$15:$BK$62,$BM$15:$BM$62),_xlfn.XLOOKUP(TRIM(SUBSTITUTE(U82,CHAR(160)," ")),$BL$15:$BL$62,$BM$15:$BM$62))))*T82*IF(ISBLANK(Q82),1,Q82)+IFERROR(_xlfn.XLOOKUP("RECHERCHEX",TRIM(L82:AD82),L82:AD82),0),0))</f>
        <v>2E-3</v>
      </c>
      <c r="AM82" s="6229" t="str">
        <f t="shared" si="24"/>
        <v>Kg</v>
      </c>
      <c r="AN82" s="6857" t="str">
        <f t="shared" si="44"/>
        <v>❾ Author reference &gt;</v>
      </c>
      <c r="AO82" s="392">
        <f t="shared" si="26"/>
        <v>5.23</v>
      </c>
      <c r="AP82" s="392" t="str">
        <f t="shared" si="27"/>
        <v>kg</v>
      </c>
      <c r="AQ82" s="6190">
        <f t="shared" si="28"/>
        <v>20</v>
      </c>
      <c r="AR82" s="6858" t="str">
        <f t="shared" si="29"/>
        <v>parts-ou.or.o ❾ + or - &gt;</v>
      </c>
      <c r="AS82" s="6856">
        <v>10</v>
      </c>
      <c r="AT82" s="6275" t="s">
        <v>219</v>
      </c>
      <c r="AU82" s="6271">
        <f t="shared" si="30"/>
        <v>3.8240917782026767E-3</v>
      </c>
      <c r="AV82" s="6242" t="str">
        <f t="shared" si="31"/>
        <v>L ou kg</v>
      </c>
      <c r="AW82" s="6188" t="str" cm="1">
        <f t="array" ref="AW82">IF(AK82&lt;&gt;1,0,IF(OR(AU82="",N(AU82)&lt;=0.000000001),"",IF(OR(AO82="",N(AO82)&lt;=0.000000001),0,IF(ISNUMBER(AU82),IFERROR(_xlfn.LET(_xlpm.ai_test,TRIM(AJ82),_xlpm.r,IFERROR(_xlfn.XLOOKUP(_xlpm.ai_test,$BJ$15:$BJ$62,ROW($BJ$15:$BJ$62),0,1),IFERROR(_xlfn.XLOOKUP(_xlpm.ai_test,$BK$15:$BK$62,ROW($BK$15:$BK$62),0,1),_xlfn.XLOOKUP(_xlpm.ai_test,$BL$15:$BL$62,ROW($BL$15:$BL$62),0,1))),_xlpm.p,_xlpm.r-MIN(ROW($BJ$15:$BJ$62))+1,_xlpm.f,INDEX($BM$15:$BM$62,_xlpm.p),_xlpm.u,INDEX($BN$15:$BN$62,_xlpm.p),_xlpm.s,INDEX($BP$15:$BP$62,_xlpm.p),_xlpm.q,N(AU82)/_xlpm.f,IF(_xlpm.q&gt;=_xlpm.s,ROUND(_xlpm.q,1)&amp;" "&amp;_xlpm.ai_test&amp;" = "&amp;ROUND(_xlpm.q*_xlpm.f,1)&amp;" "&amp;_xlpm.u,ROUND(_xlpm.q,1)&amp;" "&amp;_xlpm.ai_test)),""),""))))</f>
        <v>1.5 Dash(es</v>
      </c>
      <c r="AX82" s="6218"/>
      <c r="AY82" s="6271">
        <f t="shared" si="32"/>
        <v>3.8240917782026767E-3</v>
      </c>
      <c r="AZ82" s="6242" t="str">
        <f t="shared" si="33"/>
        <v>L ou kg</v>
      </c>
      <c r="BA82" s="6194">
        <f t="shared" si="40"/>
        <v>0</v>
      </c>
      <c r="BB82" s="6192" t="str">
        <f t="shared" si="34"/>
        <v/>
      </c>
      <c r="BC82" s="6219">
        <v>1.5</v>
      </c>
      <c r="BD82" s="6221">
        <f t="shared" si="42"/>
        <v>5.7361376673040147E-3</v>
      </c>
      <c r="BE82" s="6220" t="str">
        <f t="shared" si="36"/>
        <v>test</v>
      </c>
      <c r="BF82" s="4" t="s">
        <v>1</v>
      </c>
      <c r="BG82" s="6196">
        <f t="shared" si="37"/>
        <v>0</v>
      </c>
      <c r="BH82" s="6197">
        <f t="shared" si="38"/>
        <v>1.9120458891013383</v>
      </c>
      <c r="BJ82" s="6917" t="s">
        <v>10008</v>
      </c>
      <c r="BK82" s="6918"/>
      <c r="BL82" s="6918"/>
      <c r="BM82" s="6918"/>
      <c r="BN82" s="6918"/>
      <c r="BO82" s="6918"/>
      <c r="BP82" s="6918"/>
      <c r="BQ82" s="6918"/>
      <c r="BR82" s="6918"/>
      <c r="BS82" s="6918"/>
      <c r="BT82" s="6918"/>
      <c r="BU82" s="6918"/>
      <c r="BV82" s="6919"/>
      <c r="BW82"/>
      <c r="BX82" s="20" t="str">
        <f t="shared" si="51"/>
        <v>A</v>
      </c>
      <c r="BY82" s="5950"/>
      <c r="BZ82" s="5950"/>
      <c r="CA82" s="5950"/>
      <c r="CB82" s="5950"/>
      <c r="CC82" s="5950"/>
      <c r="CD82" s="5661"/>
      <c r="CE82"/>
      <c r="CF82"/>
      <c r="CG82"/>
      <c r="CH82"/>
      <c r="CI82"/>
      <c r="CJ82"/>
      <c r="CK82"/>
      <c r="CM82"/>
      <c r="CN82"/>
      <c r="CO82"/>
      <c r="CP82"/>
      <c r="CQ82"/>
      <c r="CR82"/>
      <c r="CS82"/>
      <c r="CU82"/>
      <c r="CV82"/>
      <c r="CW82"/>
      <c r="CX82"/>
      <c r="CY82"/>
      <c r="CZ82"/>
      <c r="DA82"/>
      <c r="DC82" s="5">
        <v>1</v>
      </c>
    </row>
    <row r="83" spans="1:107" s="1" customFormat="1" ht="21" customHeight="1">
      <c r="A83" s="5641" t="s">
        <v>1</v>
      </c>
      <c r="B83" s="5662" t="str">
        <f t="shared" si="50"/>
        <v>A</v>
      </c>
      <c r="C83" s="5825" cm="1">
        <f t="array" ref="C83">SUMPRODUCT(LEN(D83:J83))</f>
        <v>0</v>
      </c>
      <c r="D83" s="5275"/>
      <c r="E83" s="1361"/>
      <c r="F83" s="1361"/>
      <c r="G83" s="1361"/>
      <c r="H83" s="1361"/>
      <c r="I83" s="1361"/>
      <c r="J83" s="5276"/>
      <c r="K83" s="106" t="s">
        <v>1</v>
      </c>
      <c r="L83" s="1021" t="str">
        <f t="shared" si="53"/>
        <v>A</v>
      </c>
      <c r="M83" s="41" t="str">
        <f>M67</f>
        <v>N NAME OF YOUR RECIPE | paste it — FAMILY|  Author &gt; YOU</v>
      </c>
      <c r="N83" s="40">
        <f>N67</f>
        <v>5.23</v>
      </c>
      <c r="O83" s="41" t="str">
        <f>O67</f>
        <v>kg</v>
      </c>
      <c r="P83" s="5386" t="str">
        <f>P67</f>
        <v>Master recipe ► Guinea fowl ballotine</v>
      </c>
      <c r="Q83" s="213"/>
      <c r="R83" s="212"/>
      <c r="S83" s="211" t="str">
        <f t="shared" si="52"/>
        <v/>
      </c>
      <c r="T83" s="210">
        <v>2</v>
      </c>
      <c r="U83" s="6288" t="s">
        <v>9603</v>
      </c>
      <c r="V83" s="5448">
        <v>1</v>
      </c>
      <c r="W83" s="6866" t="s">
        <v>10006</v>
      </c>
      <c r="X83" s="6871"/>
      <c r="Y83" s="6253">
        <f>IF(AA85=0,0,(AA83/AA85)*Z70*1000)</f>
        <v>95.51718736269406</v>
      </c>
      <c r="Z83" s="6701">
        <f>IF(AA85=0, 0, (Q83*V83)/(AA85*Z70))</f>
        <v>0</v>
      </c>
      <c r="AA83" s="5882">
        <f>IFERROR(_xlfn.LET(_xlpm.v,IFERROR(_xlfn.XLOOKUP(U83,Q86:AD86,Q87:AD87),_xlfn.XLOOKUP(U83,Q88:AD88,Q89:AD89)),_xlpm.v*T83*IF(ISBLANK(Q83),1,Q83)),0)</f>
        <v>0.5</v>
      </c>
      <c r="AB83" s="5256">
        <f>IF(OR(ISBLANK(AC66),AC66=0),0,Q83*AC64*V83/AC66)</f>
        <v>0</v>
      </c>
      <c r="AC83" s="6051">
        <f>IF(OR(ISBLANK(AC66),AC66=0),0,AA83*V83*AC64/AC66)</f>
        <v>1</v>
      </c>
      <c r="AD83" s="6201" t="str">
        <f>_xlfn.LET(_xlpm.unite,SUBSTITUTE(TRIM(U83)," (s)",""),_xlpm.val,AC83,_xlpm.estVol,COUNTIF(W86:AD86,_xlpm.unite)+COUNTIF(W88:AD88,_xlpm.unite)&gt;0,_xlpm.estPoids,COUNTIF(Q86:V86,_xlpm.unite)+COUNTIF(Q88:V88,_xlpm.unite)&gt;0,IF(_xlpm.estVol,IF(ROUND(_xlpm.val,3)&gt;=1,ROUND(_xlpm.val,3)&amp;"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1 Kg</v>
      </c>
      <c r="AE83" s="6872" t="s">
        <v>11055</v>
      </c>
      <c r="AF83" s="6202" t="str">
        <f t="shared" si="18"/>
        <v>A</v>
      </c>
      <c r="AG83" s="6234" t="str">
        <f t="shared" si="19"/>
        <v>N NAME OF YOUR RECIPE | paste it — FAMILY|  Author &gt; YOU</v>
      </c>
      <c r="AH83" s="6732">
        <f t="shared" si="20"/>
        <v>5.23</v>
      </c>
      <c r="AI83" s="6234" t="str">
        <f t="shared" si="21"/>
        <v>kg</v>
      </c>
      <c r="AJ83" s="6732" t="str">
        <f t="shared" si="22"/>
        <v>quarter(s) kg</v>
      </c>
      <c r="AK83" s="6732">
        <f t="shared" si="23"/>
        <v>1</v>
      </c>
      <c r="AL83" s="6854" cm="1">
        <f t="array" ref="AL83">IF(AF83&lt;&gt;"A","",IFERROR((IFERROR(_xlfn.XLOOKUP(TRIM(SUBSTITUTE(U83,CHAR(160)," ")),$BJ$15:$BJ$62,$BM$15:$BM$62),IFERROR(_xlfn.XLOOKUP(TRIM(SUBSTITUTE(U83,CHAR(160)," ")),$BK$15:$BK$62,$BM$15:$BM$62),_xlfn.XLOOKUP(TRIM(SUBSTITUTE(U83,CHAR(160)," ")),$BL$15:$BL$62,$BM$15:$BM$62))))*T83*IF(ISBLANK(Q83),1,Q83)+IFERROR(_xlfn.XLOOKUP("RECHERCHEX",TRIM(L83:AD83),L83:AD83),0),0))</f>
        <v>0.5</v>
      </c>
      <c r="AM83" s="6229" t="str">
        <f t="shared" si="24"/>
        <v>Kg</v>
      </c>
      <c r="AN83" s="6857" t="str">
        <f t="shared" si="44"/>
        <v>❾ Author reference &gt;</v>
      </c>
      <c r="AO83" s="392">
        <f t="shared" si="26"/>
        <v>5.23</v>
      </c>
      <c r="AP83" s="392" t="str">
        <f t="shared" si="27"/>
        <v>kg</v>
      </c>
      <c r="AQ83" s="6191">
        <f t="shared" si="28"/>
        <v>20</v>
      </c>
      <c r="AR83" s="6859" t="str">
        <f t="shared" si="29"/>
        <v>parts-ou.or.o ❾ + or - &gt;</v>
      </c>
      <c r="AS83" s="6856">
        <v>10</v>
      </c>
      <c r="AT83" s="6275" t="s">
        <v>219</v>
      </c>
      <c r="AU83" s="6272">
        <f t="shared" si="30"/>
        <v>0.95602294455066916</v>
      </c>
      <c r="AV83" s="6240" t="str">
        <f t="shared" si="31"/>
        <v>Kg</v>
      </c>
      <c r="AW83" s="6189" t="str" cm="1">
        <f t="array" ref="AW83">IF(AK83&lt;&gt;1,0,IF(OR(AU83="",N(AU83)&lt;=0.000000001),"",IF(OR(AO83="",N(AO83)&lt;=0.000000001),0,IF(ISNUMBER(AU83),IFERROR(_xlfn.LET(_xlpm.ai_test,TRIM(AJ83),_xlpm.r,IFERROR(_xlfn.XLOOKUP(_xlpm.ai_test,$BJ$15:$BJ$62,ROW($BJ$15:$BJ$62),0,1),IFERROR(_xlfn.XLOOKUP(_xlpm.ai_test,$BK$15:$BK$62,ROW($BK$15:$BK$62),0,1),_xlfn.XLOOKUP(_xlpm.ai_test,$BL$15:$BL$62,ROW($BL$15:$BL$62),0,1))),_xlpm.p,_xlpm.r-MIN(ROW($BJ$15:$BJ$62))+1,_xlpm.f,INDEX($BM$15:$BM$62,_xlpm.p),_xlpm.u,INDEX($BN$15:$BN$62,_xlpm.p),_xlpm.s,INDEX($BP$15:$BP$62,_xlpm.p),_xlpm.q,N(AU83)/_xlpm.f,IF(_xlpm.q&gt;=_xlpm.s,ROUND(_xlpm.q,1)&amp;" "&amp;_xlpm.ai_test&amp;" = "&amp;ROUND(_xlpm.q*_xlpm.f,1)&amp;" "&amp;_xlpm.u,ROUND(_xlpm.q,1)&amp;" "&amp;_xlpm.ai_test)),""),""))))</f>
        <v>23.9 quarter(s) kg</v>
      </c>
      <c r="AX83" s="6218"/>
      <c r="AY83" s="6272">
        <f t="shared" si="32"/>
        <v>0.95602294455066916</v>
      </c>
      <c r="AZ83" s="6240" t="str">
        <f t="shared" si="33"/>
        <v>Kg</v>
      </c>
      <c r="BA83" s="6195">
        <f t="shared" si="40"/>
        <v>0</v>
      </c>
      <c r="BB83" s="6193" t="str">
        <f t="shared" si="34"/>
        <v/>
      </c>
      <c r="BC83" s="6219">
        <v>1.5</v>
      </c>
      <c r="BD83" s="6222">
        <f t="shared" si="42"/>
        <v>1.4340344168260037</v>
      </c>
      <c r="BE83" s="6220" t="str">
        <f t="shared" si="36"/>
        <v>test</v>
      </c>
      <c r="BF83" s="4" t="s">
        <v>1</v>
      </c>
      <c r="BG83" s="6196">
        <f t="shared" si="37"/>
        <v>0</v>
      </c>
      <c r="BH83" s="6197">
        <f t="shared" si="38"/>
        <v>1.9120458891013383</v>
      </c>
      <c r="BJ83" s="6920"/>
      <c r="BK83" s="6921"/>
      <c r="BL83" s="6921"/>
      <c r="BM83" s="6921"/>
      <c r="BN83" s="6921"/>
      <c r="BO83" s="6921"/>
      <c r="BP83" s="6921"/>
      <c r="BQ83" s="6921"/>
      <c r="BR83" s="6921"/>
      <c r="BS83" s="6921"/>
      <c r="BT83" s="6921"/>
      <c r="BU83" s="6921"/>
      <c r="BV83" s="6922"/>
      <c r="BW83"/>
      <c r="BX83" s="20" t="str">
        <f t="shared" si="51"/>
        <v>A</v>
      </c>
      <c r="BY83" s="5950"/>
      <c r="BZ83" s="5950"/>
      <c r="CA83" s="5950"/>
      <c r="CB83" s="5950"/>
      <c r="CC83" s="5950"/>
      <c r="CD83" s="5661"/>
      <c r="CE83"/>
      <c r="CF83"/>
      <c r="CG83"/>
      <c r="CH83"/>
      <c r="CI83"/>
      <c r="CJ83"/>
      <c r="CK83"/>
      <c r="CM83"/>
      <c r="CN83"/>
      <c r="CO83"/>
      <c r="CP83"/>
      <c r="CQ83"/>
      <c r="CR83"/>
      <c r="CS83"/>
      <c r="CU83"/>
      <c r="CV83"/>
      <c r="CW83"/>
      <c r="CX83"/>
      <c r="CY83"/>
      <c r="CZ83"/>
      <c r="DA83"/>
      <c r="DC83" s="5">
        <v>1</v>
      </c>
    </row>
    <row r="84" spans="1:107" s="1" customFormat="1" ht="21" customHeight="1">
      <c r="A84" s="5641" t="s">
        <v>1</v>
      </c>
      <c r="B84" s="5662" t="str">
        <f t="shared" si="50"/>
        <v>A</v>
      </c>
      <c r="C84" s="5825" cm="1">
        <f t="array" ref="C84">SUMPRODUCT(LEN(D84:J84))</f>
        <v>0</v>
      </c>
      <c r="D84" s="5275"/>
      <c r="E84" s="1361"/>
      <c r="F84" s="1361"/>
      <c r="G84" s="1361"/>
      <c r="H84" s="1361"/>
      <c r="I84" s="1361"/>
      <c r="J84" s="5276"/>
      <c r="K84" s="106" t="s">
        <v>1</v>
      </c>
      <c r="L84" s="1021" t="str">
        <f t="shared" si="53"/>
        <v>A</v>
      </c>
      <c r="M84" s="41" t="str">
        <f>M67</f>
        <v>N NAME OF YOUR RECIPE | paste it — FAMILY|  Author &gt; YOU</v>
      </c>
      <c r="N84" s="40">
        <f>N67</f>
        <v>5.23</v>
      </c>
      <c r="O84" s="41" t="str">
        <f>O67</f>
        <v>kg</v>
      </c>
      <c r="P84" s="5386" t="str">
        <f>P67</f>
        <v>Master recipe ► Guinea fowl ballotine</v>
      </c>
      <c r="Q84" s="213"/>
      <c r="R84" s="212"/>
      <c r="S84" s="211" t="str">
        <f t="shared" si="52"/>
        <v/>
      </c>
      <c r="T84" s="210">
        <v>2</v>
      </c>
      <c r="U84" s="6287" t="s">
        <v>9607</v>
      </c>
      <c r="V84" s="5448">
        <v>1</v>
      </c>
      <c r="W84" s="6866" t="s">
        <v>10006</v>
      </c>
      <c r="X84" s="6871"/>
      <c r="Y84" s="6253">
        <f>IF(AA85=0,0,(AA84/AA85)*Z70*1000)</f>
        <v>127.35497625442724</v>
      </c>
      <c r="Z84" s="6701">
        <f>IF(AA85=0, 0, (Q84*V84)/(AA85*Z70))</f>
        <v>0</v>
      </c>
      <c r="AA84" s="5882">
        <f>IFERROR(_xlfn.LET(_xlpm.v,IFERROR(_xlfn.XLOOKUP(U84,Q86:AD86,Q87:AD87),_xlfn.XLOOKUP(U84,Q88:AD88,Q89:AD89)),_xlpm.v*T84*IF(ISBLANK(Q84),1,Q84)),0)</f>
        <v>0.66665999999999992</v>
      </c>
      <c r="AB84" s="5254">
        <f>IF(OR(ISBLANK(AC66),AC66=0),0,Q84*AC64*V84/AC66)</f>
        <v>0</v>
      </c>
      <c r="AC84" s="6051">
        <f>IF(OR(ISBLANK(AC66),AC66=0),0,AA84*V84*AC64/AC66)</f>
        <v>1.3333199999999996</v>
      </c>
      <c r="AD84" s="6199" t="str">
        <f>_xlfn.LET(_xlpm.unite,SUBSTITUTE(TRIM(U84)," (s)",""),_xlpm.val,AC84,_xlpm.estVol,COUNTIF(W86:AD86,_xlpm.unite)+COUNTIF(W88:AD88,_xlpm.unite)&gt;0,_xlpm.estPoids,COUNTIF(Q86:V86,_xlpm.unite)+COUNTIF(Q88:V88,_xlpm.unite)&gt;0,IF(_xlpm.estVol,IF(ROUND(_xlpm.val,3)&gt;=1,ROUND(_xlpm.val,3)&amp;" L",MAX(1,ROUND(_xlpm.val*100,0))&amp;" cl"),IF(_xlpm.estPoids,IF(ROUND(_xlpm.val,3)&gt;=1,ROUND(_xlpm.val,3)&amp;" Kg",MAX(1,ROUND(_xlpm.val*1000,0))&amp;" g"),"")))</f>
        <v>1.333 Kg</v>
      </c>
      <c r="AE84" s="6872" t="s">
        <v>11056</v>
      </c>
      <c r="AF84" s="6202" t="str">
        <f t="shared" si="18"/>
        <v>A</v>
      </c>
      <c r="AG84" s="6234" t="str">
        <f t="shared" si="19"/>
        <v>N NAME OF YOUR RECIPE | paste it — FAMILY|  Author &gt; YOU</v>
      </c>
      <c r="AH84" s="6732">
        <f t="shared" si="20"/>
        <v>5.23</v>
      </c>
      <c r="AI84" s="6234" t="str">
        <f t="shared" si="21"/>
        <v>kg</v>
      </c>
      <c r="AJ84" s="6732" t="str">
        <f t="shared" si="22"/>
        <v>third(s) kg</v>
      </c>
      <c r="AK84" s="6732">
        <f t="shared" si="23"/>
        <v>1</v>
      </c>
      <c r="AL84" s="6854" cm="1">
        <f t="array" ref="AL84">IF(AF84&lt;&gt;"A","",IFERROR((IFERROR(_xlfn.XLOOKUP(TRIM(SUBSTITUTE(U84,CHAR(160)," ")),$BJ$15:$BJ$62,$BM$15:$BM$62),IFERROR(_xlfn.XLOOKUP(TRIM(SUBSTITUTE(U84,CHAR(160)," ")),$BK$15:$BK$62,$BM$15:$BM$62),_xlfn.XLOOKUP(TRIM(SUBSTITUTE(U84,CHAR(160)," ")),$BL$15:$BL$62,$BM$15:$BM$62))))*T84*IF(ISBLANK(Q84),1,Q84)+IFERROR(_xlfn.XLOOKUP("RECHERCHEX",TRIM(L84:AD84),L84:AD84),0),0))</f>
        <v>0.66600000000000004</v>
      </c>
      <c r="AM84" s="6229" t="str">
        <f t="shared" si="24"/>
        <v>Kg</v>
      </c>
      <c r="AN84" s="6857" t="str">
        <f t="shared" si="44"/>
        <v>❾ Author reference &gt;</v>
      </c>
      <c r="AO84" s="392">
        <f t="shared" si="26"/>
        <v>5.23</v>
      </c>
      <c r="AP84" s="392" t="str">
        <f t="shared" si="27"/>
        <v>kg</v>
      </c>
      <c r="AQ84" s="6190">
        <f t="shared" si="28"/>
        <v>20</v>
      </c>
      <c r="AR84" s="6858" t="str">
        <f t="shared" si="29"/>
        <v>parts-ou.or.o ❾ + or - &gt;</v>
      </c>
      <c r="AS84" s="6856">
        <v>10</v>
      </c>
      <c r="AT84" s="6275" t="s">
        <v>219</v>
      </c>
      <c r="AU84" s="6271">
        <f t="shared" si="30"/>
        <v>1.2734225621414914</v>
      </c>
      <c r="AV84" s="6242" t="str">
        <f t="shared" si="31"/>
        <v>Kg</v>
      </c>
      <c r="AW84" s="6188" t="str" cm="1">
        <f t="array" ref="AW84">IF(AK84&lt;&gt;1,0,IF(OR(AU84="",N(AU84)&lt;=0.000000001),"",IF(OR(AO84="",N(AO84)&lt;=0.000000001),0,IF(ISNUMBER(AU84),IFERROR(_xlfn.LET(_xlpm.ai_test,TRIM(AJ84),_xlpm.r,IFERROR(_xlfn.XLOOKUP(_xlpm.ai_test,$BJ$15:$BJ$62,ROW($BJ$15:$BJ$62),0,1),IFERROR(_xlfn.XLOOKUP(_xlpm.ai_test,$BK$15:$BK$62,ROW($BK$15:$BK$62),0,1),_xlfn.XLOOKUP(_xlpm.ai_test,$BL$15:$BL$62,ROW($BL$15:$BL$62),0,1))),_xlpm.p,_xlpm.r-MIN(ROW($BJ$15:$BJ$62))+1,_xlpm.f,INDEX($BM$15:$BM$62,_xlpm.p),_xlpm.u,INDEX($BN$15:$BN$62,_xlpm.p),_xlpm.s,INDEX($BP$15:$BP$62,_xlpm.p),_xlpm.q,N(AU84)/_xlpm.f,IF(_xlpm.q&gt;=_xlpm.s,ROUND(_xlpm.q,1)&amp;" "&amp;_xlpm.ai_test&amp;" = "&amp;ROUND(_xlpm.q*_xlpm.f,1)&amp;" "&amp;_xlpm.u,ROUND(_xlpm.q,1)&amp;" "&amp;_xlpm.ai_test)),""),""))))</f>
        <v>3.9 third(s) kg = 1.3 entier</v>
      </c>
      <c r="AX84" s="6218"/>
      <c r="AY84" s="6271">
        <f t="shared" si="32"/>
        <v>1.2734225621414914</v>
      </c>
      <c r="AZ84" s="6242" t="str">
        <f t="shared" si="33"/>
        <v>Kg</v>
      </c>
      <c r="BA84" s="6194">
        <f t="shared" si="40"/>
        <v>0</v>
      </c>
      <c r="BB84" s="6192" t="str">
        <f t="shared" si="34"/>
        <v/>
      </c>
      <c r="BC84" s="6219">
        <v>1.5</v>
      </c>
      <c r="BD84" s="6221">
        <f t="shared" si="42"/>
        <v>1.910133843212237</v>
      </c>
      <c r="BE84" s="6220" t="str">
        <f t="shared" si="36"/>
        <v>test</v>
      </c>
      <c r="BF84" s="4" t="s">
        <v>1</v>
      </c>
      <c r="BG84" s="6196">
        <f t="shared" si="37"/>
        <v>0</v>
      </c>
      <c r="BH84" s="6197">
        <f t="shared" si="38"/>
        <v>1.9120458891013383</v>
      </c>
      <c r="BJ84" s="1" t="s">
        <v>10684</v>
      </c>
      <c r="BW84"/>
      <c r="BX84" s="20" t="str">
        <f t="shared" si="51"/>
        <v>A</v>
      </c>
      <c r="BY84" s="6245" t="s">
        <v>65</v>
      </c>
      <c r="BZ84" s="6244"/>
      <c r="CA84" s="6244"/>
      <c r="CB84" s="6244"/>
      <c r="CC84" s="6244"/>
      <c r="CD84" s="5661"/>
      <c r="CE84"/>
      <c r="CF84"/>
      <c r="CG84"/>
      <c r="CH84"/>
      <c r="CI84"/>
      <c r="CJ84"/>
      <c r="CK84"/>
      <c r="CM84"/>
      <c r="CN84"/>
      <c r="CO84"/>
      <c r="CP84"/>
      <c r="CQ84"/>
      <c r="CR84"/>
      <c r="CS84"/>
      <c r="CU84"/>
      <c r="CV84"/>
      <c r="CW84"/>
      <c r="CX84"/>
      <c r="CY84"/>
      <c r="CZ84"/>
      <c r="DA84"/>
      <c r="DC84" s="5">
        <v>1</v>
      </c>
    </row>
    <row r="85" spans="1:107" s="1" customFormat="1" ht="21" customHeight="1">
      <c r="A85" s="5641" t="s">
        <v>1</v>
      </c>
      <c r="B85" s="5662" t="str">
        <f t="shared" si="50"/>
        <v>A</v>
      </c>
      <c r="C85" s="5825" cm="1">
        <f t="array" ref="C85">SUMPRODUCT(LEN(D85:J85))</f>
        <v>0</v>
      </c>
      <c r="D85" s="5275"/>
      <c r="E85" s="1361"/>
      <c r="F85" s="1361"/>
      <c r="G85" s="1361"/>
      <c r="H85" s="1361"/>
      <c r="I85" s="1361"/>
      <c r="J85" s="5276"/>
      <c r="K85" s="106" t="s">
        <v>1</v>
      </c>
      <c r="L85" s="1021" t="s">
        <v>21</v>
      </c>
      <c r="M85" s="41" t="str">
        <f>M67</f>
        <v>N NAME OF YOUR RECIPE | paste it — FAMILY|  Author &gt; YOU</v>
      </c>
      <c r="N85" s="40">
        <f>N67</f>
        <v>5.23</v>
      </c>
      <c r="O85" s="41" t="str">
        <f>O67</f>
        <v>kg</v>
      </c>
      <c r="P85" s="5386" t="str">
        <f>P67</f>
        <v>Master recipe ► Guinea fowl ballotine</v>
      </c>
      <c r="Q85" s="6714" t="s">
        <v>8397</v>
      </c>
      <c r="R85" s="6379"/>
      <c r="S85" s="6379"/>
      <c r="T85" s="6379"/>
      <c r="U85" s="6379"/>
      <c r="V85" s="6715"/>
      <c r="W85" s="6716"/>
      <c r="X85" s="6716"/>
      <c r="Y85" s="6717"/>
      <c r="Z85" s="6717"/>
      <c r="AA85" s="6718">
        <f>SUM(AA71:AA84)</f>
        <v>5.234659999999999</v>
      </c>
      <c r="AB85" s="6719"/>
      <c r="AC85" s="6719" t="str">
        <f>"Total " &amp; AC68&amp;" &gt;"</f>
        <v>Total Col.18 &gt;</v>
      </c>
      <c r="AD85" s="6720">
        <f>SUM(AC71:AC84)</f>
        <v>10.469319999999996</v>
      </c>
      <c r="AE85" s="6872" t="s">
        <v>11057</v>
      </c>
      <c r="AF85" s="6202" t="str">
        <f t="shared" si="18"/>
        <v>►</v>
      </c>
      <c r="AG85" s="6234" t="str">
        <f t="shared" si="19"/>
        <v/>
      </c>
      <c r="AH85" s="6732" t="str">
        <f t="shared" si="20"/>
        <v/>
      </c>
      <c r="AI85" s="6234" t="str">
        <f t="shared" si="21"/>
        <v/>
      </c>
      <c r="AJ85" s="6732" t="str">
        <f t="shared" si="22"/>
        <v/>
      </c>
      <c r="AK85" s="6732">
        <f t="shared" si="23"/>
        <v>0</v>
      </c>
      <c r="AL85" s="6230" t="str" cm="1">
        <f t="array" ref="AL85">IF(AF85&lt;&gt;"A","",IFERROR((IFERROR(_xlfn.XLOOKUP(TRIM(SUBSTITUTE(U85,CHAR(160)," ")),$BJ$15:$BJ$62,$BM$15:$BM$62),IFERROR(_xlfn.XLOOKUP(TRIM(SUBSTITUTE(U85,CHAR(160)," ")),$BK$15:$BK$62,$BM$15:$BM$62),_xlfn.XLOOKUP(TRIM(SUBSTITUTE(U85,CHAR(160)," ")),$BL$15:$BL$62,$BM$15:$BM$62))))*T85*IF(ISBLANK(Q85),1,Q85)+IFERROR(_xlfn.XLOOKUP("RECHERCHEX",TRIM(L85:AD85),L85:AD85),0),0))</f>
        <v/>
      </c>
      <c r="AM85" s="6229">
        <f t="shared" si="24"/>
        <v>0</v>
      </c>
      <c r="AN85" s="6857" t="str">
        <f t="shared" si="44"/>
        <v/>
      </c>
      <c r="AO85" s="392">
        <f t="shared" si="26"/>
        <v>0</v>
      </c>
      <c r="AP85" s="392">
        <f t="shared" si="27"/>
        <v>0</v>
      </c>
      <c r="AQ85" s="6191">
        <f t="shared" si="28"/>
        <v>0</v>
      </c>
      <c r="AR85" s="6859" t="str">
        <f t="shared" si="29"/>
        <v/>
      </c>
      <c r="AS85" s="6217"/>
      <c r="AT85" s="6217"/>
      <c r="AU85" s="6272">
        <f t="shared" si="30"/>
        <v>0</v>
      </c>
      <c r="AV85" s="6240">
        <f t="shared" si="31"/>
        <v>0</v>
      </c>
      <c r="AW85" s="6189" cm="1">
        <f t="array" ref="AW85">IF(AK85&lt;&gt;1,0,IF(OR(AU85="",N(AU85)&lt;=0.000000001),"",IF(OR(AO85="",N(AO85)&lt;=0.000000001),0,IF(ISNUMBER(AU85),IFERROR(_xlfn.LET(_xlpm.ai_test,TRIM(AJ85),_xlpm.r,IFERROR(_xlfn.XLOOKUP(_xlpm.ai_test,$BJ$15:$BJ$62,ROW($BJ$15:$BJ$62),0,1),IFERROR(_xlfn.XLOOKUP(_xlpm.ai_test,$BK$15:$BK$62,ROW($BK$15:$BK$62),0,1),_xlfn.XLOOKUP(_xlpm.ai_test,$BL$15:$BL$62,ROW($BL$15:$BL$62),0,1))),_xlpm.p,_xlpm.r-MIN(ROW($BJ$15:$BJ$62))+1,_xlpm.f,INDEX($BM$15:$BM$62,_xlpm.p),_xlpm.u,INDEX($BN$15:$BN$62,_xlpm.p),_xlpm.s,INDEX($BP$15:$BP$62,_xlpm.p),_xlpm.q,N(AU85)/_xlpm.f,IF(_xlpm.q&gt;=_xlpm.s,ROUND(_xlpm.q,1)&amp;" "&amp;_xlpm.ai_test&amp;" = "&amp;ROUND(_xlpm.q*_xlpm.f,1)&amp;" "&amp;_xlpm.u,ROUND(_xlpm.q,1)&amp;" "&amp;_xlpm.ai_test)),""),""))))</f>
        <v>0</v>
      </c>
      <c r="AX85" s="6218"/>
      <c r="AY85" s="6272">
        <f t="shared" si="32"/>
        <v>0</v>
      </c>
      <c r="AZ85" s="6240" t="str">
        <f t="shared" si="33"/>
        <v/>
      </c>
      <c r="BA85" s="6195">
        <f t="shared" si="40"/>
        <v>0</v>
      </c>
      <c r="BB85" s="6193" t="str">
        <f t="shared" si="34"/>
        <v/>
      </c>
      <c r="BC85" s="6219">
        <v>1.5</v>
      </c>
      <c r="BD85" s="6222">
        <f t="shared" si="42"/>
        <v>0</v>
      </c>
      <c r="BE85" s="6220" t="str">
        <f t="shared" si="36"/>
        <v/>
      </c>
      <c r="BF85" s="4" t="s">
        <v>1</v>
      </c>
      <c r="BG85" s="6196">
        <f t="shared" si="37"/>
        <v>0</v>
      </c>
      <c r="BH85" s="6197">
        <f t="shared" si="38"/>
        <v>0</v>
      </c>
      <c r="BJ85" s="6699" t="s">
        <v>219</v>
      </c>
      <c r="BK85" s="6283" t="s">
        <v>130</v>
      </c>
      <c r="BL85" s="6291" t="s">
        <v>9687</v>
      </c>
      <c r="BM85" s="6287" t="s">
        <v>9603</v>
      </c>
      <c r="BN85" s="6287" t="s">
        <v>9607</v>
      </c>
      <c r="BO85" s="6287" t="s">
        <v>9605</v>
      </c>
      <c r="BP85" s="6702" t="s">
        <v>88</v>
      </c>
      <c r="BQ85" s="6285" t="s">
        <v>172</v>
      </c>
      <c r="BR85" s="6285" t="s">
        <v>170</v>
      </c>
      <c r="BS85" s="6702" t="s">
        <v>166</v>
      </c>
      <c r="BT85" s="6286" t="s">
        <v>9615</v>
      </c>
      <c r="BU85" s="6286" t="s">
        <v>9619</v>
      </c>
      <c r="BV85" s="6286" t="s">
        <v>9621</v>
      </c>
      <c r="BW85"/>
      <c r="BX85" s="20" t="str">
        <f t="shared" si="51"/>
        <v>►</v>
      </c>
      <c r="BY85" s="6312" t="s">
        <v>63</v>
      </c>
      <c r="BZ85" s="6244"/>
      <c r="CA85" s="6244"/>
      <c r="CB85" s="6244"/>
      <c r="CC85" s="6244"/>
      <c r="CD85" s="5661"/>
      <c r="CE85"/>
      <c r="CF85"/>
      <c r="CG85"/>
      <c r="CH85"/>
      <c r="CI85"/>
      <c r="CJ85"/>
      <c r="CK85"/>
      <c r="CM85"/>
      <c r="CN85"/>
      <c r="CO85"/>
      <c r="CP85"/>
      <c r="CQ85"/>
      <c r="CR85"/>
      <c r="CS85"/>
      <c r="CU85"/>
      <c r="CV85"/>
      <c r="CW85"/>
      <c r="CX85"/>
      <c r="CY85"/>
      <c r="CZ85"/>
      <c r="DA85"/>
      <c r="DC85" s="5">
        <v>1</v>
      </c>
    </row>
    <row r="86" spans="1:107" s="1" customFormat="1" ht="21" customHeight="1">
      <c r="A86" s="5641" t="s">
        <v>1</v>
      </c>
      <c r="B86" s="5662" t="str">
        <f t="shared" si="50"/>
        <v>►</v>
      </c>
      <c r="C86" s="5825" cm="1">
        <f t="array" ref="C86">SUMPRODUCT(LEN(D86:J86))</f>
        <v>0</v>
      </c>
      <c r="D86" s="5275"/>
      <c r="E86" s="1361"/>
      <c r="F86" s="1361"/>
      <c r="G86" s="1361"/>
      <c r="H86" s="1361"/>
      <c r="I86" s="1361"/>
      <c r="J86" s="5276"/>
      <c r="K86" s="106" t="s">
        <v>1</v>
      </c>
      <c r="L86" s="1021" t="s">
        <v>26</v>
      </c>
      <c r="M86" s="41" t="str">
        <f>M67</f>
        <v>N NAME OF YOUR RECIPE | paste it — FAMILY|  Author &gt; YOU</v>
      </c>
      <c r="N86" s="40">
        <f>N67</f>
        <v>5.23</v>
      </c>
      <c r="O86" s="41" t="str">
        <f>O67</f>
        <v>kg</v>
      </c>
      <c r="P86" s="5386" t="str">
        <f>P67</f>
        <v>Master recipe ► Guinea fowl ballotine</v>
      </c>
      <c r="Q86" s="6699" t="s">
        <v>219</v>
      </c>
      <c r="R86" s="6283" t="s">
        <v>130</v>
      </c>
      <c r="S86" s="6291" t="s">
        <v>9687</v>
      </c>
      <c r="T86" s="6287" t="s">
        <v>9603</v>
      </c>
      <c r="U86" s="6287" t="s">
        <v>9607</v>
      </c>
      <c r="V86" s="6287" t="s">
        <v>9605</v>
      </c>
      <c r="W86" s="6702" t="s">
        <v>88</v>
      </c>
      <c r="X86" s="6702"/>
      <c r="Y86" s="6285" t="s">
        <v>172</v>
      </c>
      <c r="Z86" s="6285" t="s">
        <v>170</v>
      </c>
      <c r="AA86" s="6702" t="s">
        <v>166</v>
      </c>
      <c r="AB86" s="6286" t="s">
        <v>9615</v>
      </c>
      <c r="AC86" s="6286" t="s">
        <v>9619</v>
      </c>
      <c r="AD86" s="6286" t="s">
        <v>9621</v>
      </c>
      <c r="AE86" s="6872" t="s">
        <v>11058</v>
      </c>
      <c r="AF86" s="6202" t="str">
        <f t="shared" ref="AF86:AF149" si="54">IF(OR(AO86&gt;0,TRIM(AG86)="▼ recette suivante"),"A","►")</f>
        <v>►</v>
      </c>
      <c r="AG86" s="6234" t="str">
        <f t="shared" ref="AG86:AG149" si="55">IF(TRIM(Q86)="Adresse PC","▼ recette suivante",IF(AO86&gt;0,M86,""))</f>
        <v/>
      </c>
      <c r="AH86" s="6732" t="str">
        <f t="shared" ref="AH86:AH149" si="56">IF(AF86="A",N86,"")</f>
        <v/>
      </c>
      <c r="AI86" s="6234" t="str">
        <f t="shared" ref="AI86:AI149" si="57">IF(AF86="A",O86,"")</f>
        <v/>
      </c>
      <c r="AJ86" s="6732" t="str">
        <f t="shared" ref="AJ86:AJ149" si="58">IF(AF86="A",U86,"")</f>
        <v/>
      </c>
      <c r="AK86" s="6732">
        <f t="shared" ref="AK86:AK149" si="59">IF(AND(L86="A",COUNTIF($BJ$15:$BL$62,TRIM(U86))&gt;0),1,0)</f>
        <v>0</v>
      </c>
      <c r="AL86" s="6230" t="str" cm="1">
        <f t="array" ref="AL86">IF(AF86&lt;&gt;"A","",IFERROR((IFERROR(_xlfn.XLOOKUP(TRIM(SUBSTITUTE(U86,CHAR(160)," ")),$BJ$15:$BJ$62,$BM$15:$BM$62),IFERROR(_xlfn.XLOOKUP(TRIM(SUBSTITUTE(U86,CHAR(160)," ")),$BK$15:$BK$62,$BM$15:$BM$62),_xlfn.XLOOKUP(TRIM(SUBSTITUTE(U86,CHAR(160)," ")),$BL$15:$BL$62,$BM$15:$BM$62))))*T86*IF(ISBLANK(Q86),1,Q86)+IFERROR(_xlfn.XLOOKUP("RECHERCHEX",TRIM(L86:AD86),L86:AD86),0),0))</f>
        <v/>
      </c>
      <c r="AM86" s="6229">
        <f t="shared" ref="AM86:AM149" si="60">IF(AK86,IF(AL86&gt;0,"Kg",0),0)</f>
        <v>0</v>
      </c>
      <c r="AN86" s="6857" t="str">
        <f t="shared" si="44"/>
        <v/>
      </c>
      <c r="AO86" s="392">
        <f t="shared" ref="AO86:AO149" si="61">IF(AK86,N86,0)</f>
        <v>0</v>
      </c>
      <c r="AP86" s="392">
        <f t="shared" ref="AP86:AP149" si="62">IF(AK86,O86,0)</f>
        <v>0</v>
      </c>
      <c r="AQ86" s="6190">
        <f t="shared" ref="AQ86:AQ149" si="63">IF(AO86&gt;0,AS$9,0)</f>
        <v>0</v>
      </c>
      <c r="AR86" s="6858" t="str">
        <f t="shared" ref="AR86:AR149" si="64">IF(TRIM(AG86)="▼ recette suivante", AG86, IF(AQ86&gt;0, IF(AT$9&lt;&gt;"", AT$9&amp;"-ou.or.o ❾ + or - &gt;", ""), ""))</f>
        <v/>
      </c>
      <c r="AS86" s="6217"/>
      <c r="AT86" s="6217"/>
      <c r="AU86" s="6271">
        <f t="shared" ref="AU86:AU149" si="65">IF(TRIM(AM86)="Kg",N(AL86)*N(BH86),0)</f>
        <v>0</v>
      </c>
      <c r="AV86" s="6242">
        <f t="shared" ref="AV86:AV149" si="66">IF(AK86,IF(OR(AU86="",N(AU86)&lt;=0.000000001),"",_xlfn.XLOOKUP(AJ86,$BJ$15:$BJ$62,$BN$15:$BN$62,_xlfn.XLOOKUP(AJ86,$BK$15:$BK$62,$BN$15:$BN$62,_xlfn.XLOOKUP(AJ86,$BL$15:$BL$62,$BN$15:$BN$62,"")))),0)</f>
        <v>0</v>
      </c>
      <c r="AW86" s="6188" cm="1">
        <f t="array" ref="AW86">IF(AK86&lt;&gt;1,0,IF(OR(AU86="",N(AU86)&lt;=0.000000001),"",IF(OR(AO86="",N(AO86)&lt;=0.000000001),0,IF(ISNUMBER(AU86),IFERROR(_xlfn.LET(_xlpm.ai_test,TRIM(AJ86),_xlpm.r,IFERROR(_xlfn.XLOOKUP(_xlpm.ai_test,$BJ$15:$BJ$62,ROW($BJ$15:$BJ$62),0,1),IFERROR(_xlfn.XLOOKUP(_xlpm.ai_test,$BK$15:$BK$62,ROW($BK$15:$BK$62),0,1),_xlfn.XLOOKUP(_xlpm.ai_test,$BL$15:$BL$62,ROW($BL$15:$BL$62),0,1))),_xlpm.p,_xlpm.r-MIN(ROW($BJ$15:$BJ$62))+1,_xlpm.f,INDEX($BM$15:$BM$62,_xlpm.p),_xlpm.u,INDEX($BN$15:$BN$62,_xlpm.p),_xlpm.s,INDEX($BP$15:$BP$62,_xlpm.p),_xlpm.q,N(AU86)/_xlpm.f,IF(_xlpm.q&gt;=_xlpm.s,ROUND(_xlpm.q,1)&amp;" "&amp;_xlpm.ai_test&amp;" = "&amp;ROUND(_xlpm.q*_xlpm.f,1)&amp;" "&amp;_xlpm.u,ROUND(_xlpm.q,1)&amp;" "&amp;_xlpm.ai_test)),""),""))))</f>
        <v>0</v>
      </c>
      <c r="AX86" s="6218"/>
      <c r="AY86" s="6271">
        <f t="shared" ref="AY86:AY149" si="67">IF(TRIM(AG86)="▼ recette suivante","▼next recipe ",IF(AU86="","",IF(ISBLANK(AX86),AU86,ROUND(AU86*(1-MIN(1,MAX(0,IF(AX86&gt;1,AX86/100,AX86)))),3))))</f>
        <v>0</v>
      </c>
      <c r="AZ86" s="6242" t="str">
        <f t="shared" ref="AZ86:AZ149" si="68">IF(AK86,AV86,"")</f>
        <v/>
      </c>
      <c r="BA86" s="6194">
        <f t="shared" si="40"/>
        <v>0</v>
      </c>
      <c r="BB86" s="6192" t="str">
        <f t="shared" ref="BB86:BB149" si="69">IF(AK86,IF(N(BA86)&gt;0.000000001,R86,""),"")</f>
        <v/>
      </c>
      <c r="BC86" s="6219"/>
      <c r="BD86" s="6221">
        <f t="shared" si="42"/>
        <v>0</v>
      </c>
      <c r="BE86" s="6220" t="str">
        <f t="shared" ref="BE86:BE149" si="70">IF(IFERROR(SEARCH("Adresse PC",TRIM(Q86)),0)&gt;0,"▼ receta siguiente",IF(AY86&gt;0,W86,""))</f>
        <v/>
      </c>
      <c r="BF86" s="4" t="s">
        <v>1</v>
      </c>
      <c r="BG86" s="6196">
        <f t="shared" ref="BG86:BG149" si="71">IFERROR(_xlfn.LET(_xlpm.EPS,0.000000001,_xlpm.b,Q86/AO86,IF(ISNUMBER(AS86),_xlpm.b*AS86,IF(OR(ISBLANK(AS86),AS86=""),_xlpm.b*AQ86,IF(AND(BH86=0,ISNUMBER(Q86)),_xlpm.b/AQ86,0)))),0)</f>
        <v>0</v>
      </c>
      <c r="BH86" s="6197">
        <f t="shared" ref="BH86:BH149" si="72">IF(AL86&gt;0,IFERROR(IF(OR(ISBLANK(AS86),AS86=""),AQ86,AS86)/AO86,0),0)</f>
        <v>0</v>
      </c>
      <c r="BJ86" s="6706">
        <v>1</v>
      </c>
      <c r="BK86" s="6707">
        <v>1E-3</v>
      </c>
      <c r="BL86" s="6708">
        <v>0</v>
      </c>
      <c r="BM86" s="6707">
        <v>0.25</v>
      </c>
      <c r="BN86" s="6707">
        <v>0.33332999999999996</v>
      </c>
      <c r="BO86" s="6707">
        <v>0.5</v>
      </c>
      <c r="BP86" s="6709">
        <v>1</v>
      </c>
      <c r="BQ86" s="6709">
        <v>0.1</v>
      </c>
      <c r="BR86" s="6709">
        <v>0.01</v>
      </c>
      <c r="BS86" s="6709">
        <v>1E-3</v>
      </c>
      <c r="BT86" s="6709">
        <v>0.5</v>
      </c>
      <c r="BU86" s="6709">
        <v>0.33300000000000002</v>
      </c>
      <c r="BV86" s="6710">
        <v>0.2</v>
      </c>
      <c r="BW86"/>
      <c r="BX86" s="20" t="str">
        <f t="shared" si="51"/>
        <v>►</v>
      </c>
      <c r="BY86" s="6313" t="s">
        <v>9676</v>
      </c>
      <c r="BZ86" s="6244"/>
      <c r="CA86" s="6244"/>
      <c r="CB86" s="6244"/>
      <c r="CC86" s="6244"/>
      <c r="CD86" s="5661"/>
      <c r="CE86"/>
      <c r="CF86"/>
      <c r="CG86"/>
      <c r="CH86"/>
      <c r="CI86"/>
      <c r="CJ86"/>
      <c r="CK86"/>
      <c r="CM86"/>
      <c r="CN86"/>
      <c r="CO86"/>
      <c r="CP86"/>
      <c r="CQ86"/>
      <c r="CR86"/>
      <c r="CS86"/>
      <c r="CU86"/>
      <c r="CV86"/>
      <c r="CW86"/>
      <c r="CX86"/>
      <c r="CY86"/>
      <c r="CZ86"/>
      <c r="DA86"/>
      <c r="DC86" s="5">
        <v>1</v>
      </c>
    </row>
    <row r="87" spans="1:107" s="1" customFormat="1" ht="21" customHeight="1">
      <c r="A87" s="5641" t="s">
        <v>1</v>
      </c>
      <c r="B87" s="5662" t="str">
        <f t="shared" si="50"/>
        <v>►</v>
      </c>
      <c r="C87" s="5825" cm="1">
        <f t="array" ref="C87">SUMPRODUCT(LEN(D87:J87))</f>
        <v>0</v>
      </c>
      <c r="D87" s="5275"/>
      <c r="E87" s="1361"/>
      <c r="F87" s="1361"/>
      <c r="G87" s="1361"/>
      <c r="H87" s="1361"/>
      <c r="I87" s="1361"/>
      <c r="J87" s="5276"/>
      <c r="K87" s="106" t="s">
        <v>1</v>
      </c>
      <c r="L87" s="1021" t="s">
        <v>26</v>
      </c>
      <c r="M87" s="41" t="str">
        <f>M67</f>
        <v>N NAME OF YOUR RECIPE | paste it — FAMILY|  Author &gt; YOU</v>
      </c>
      <c r="N87" s="40">
        <f>N67</f>
        <v>5.23</v>
      </c>
      <c r="O87" s="41" t="str">
        <f>O67</f>
        <v>kg</v>
      </c>
      <c r="P87" s="5386" t="str">
        <f>P67</f>
        <v>Master recipe ► Guinea fowl ballotine</v>
      </c>
      <c r="Q87" s="6706">
        <v>1</v>
      </c>
      <c r="R87" s="6707">
        <v>1E-3</v>
      </c>
      <c r="S87" s="6708">
        <v>0</v>
      </c>
      <c r="T87" s="6707">
        <v>0.25</v>
      </c>
      <c r="U87" s="6707">
        <v>0.33332999999999996</v>
      </c>
      <c r="V87" s="6707">
        <v>0.5</v>
      </c>
      <c r="W87" s="6709">
        <v>1</v>
      </c>
      <c r="X87" s="6709"/>
      <c r="Y87" s="6709">
        <v>0.1</v>
      </c>
      <c r="Z87" s="6709">
        <v>0.01</v>
      </c>
      <c r="AA87" s="6709">
        <v>1E-3</v>
      </c>
      <c r="AB87" s="6709">
        <v>0.5</v>
      </c>
      <c r="AC87" s="6709">
        <v>0.33300000000000002</v>
      </c>
      <c r="AD87" s="6710">
        <v>0.2</v>
      </c>
      <c r="AE87" s="6872" t="s">
        <v>11059</v>
      </c>
      <c r="AF87" s="6202" t="str">
        <f t="shared" si="54"/>
        <v>►</v>
      </c>
      <c r="AG87" s="6234" t="str">
        <f t="shared" si="55"/>
        <v/>
      </c>
      <c r="AH87" s="6732" t="str">
        <f t="shared" si="56"/>
        <v/>
      </c>
      <c r="AI87" s="6234" t="str">
        <f t="shared" si="57"/>
        <v/>
      </c>
      <c r="AJ87" s="6732" t="str">
        <f t="shared" si="58"/>
        <v/>
      </c>
      <c r="AK87" s="6732">
        <f t="shared" si="59"/>
        <v>0</v>
      </c>
      <c r="AL87" s="6230" t="str" cm="1">
        <f t="array" ref="AL87">IF(AF87&lt;&gt;"A","",IFERROR((IFERROR(_xlfn.XLOOKUP(TRIM(SUBSTITUTE(U87,CHAR(160)," ")),$BJ$15:$BJ$62,$BM$15:$BM$62),IFERROR(_xlfn.XLOOKUP(TRIM(SUBSTITUTE(U87,CHAR(160)," ")),$BK$15:$BK$62,$BM$15:$BM$62),_xlfn.XLOOKUP(TRIM(SUBSTITUTE(U87,CHAR(160)," ")),$BL$15:$BL$62,$BM$15:$BM$62))))*T87*IF(ISBLANK(Q87),1,Q87)+IFERROR(_xlfn.XLOOKUP("RECHERCHEX",TRIM(L87:AD87),L87:AD87),0),0))</f>
        <v/>
      </c>
      <c r="AM87" s="6229">
        <f t="shared" si="60"/>
        <v>0</v>
      </c>
      <c r="AN87" s="6857" t="str">
        <f t="shared" si="44"/>
        <v/>
      </c>
      <c r="AO87" s="392">
        <f t="shared" si="61"/>
        <v>0</v>
      </c>
      <c r="AP87" s="392">
        <f t="shared" si="62"/>
        <v>0</v>
      </c>
      <c r="AQ87" s="6191">
        <f t="shared" si="63"/>
        <v>0</v>
      </c>
      <c r="AR87" s="6859" t="str">
        <f t="shared" si="64"/>
        <v/>
      </c>
      <c r="AS87" s="6217"/>
      <c r="AT87" s="6217"/>
      <c r="AU87" s="6272">
        <f t="shared" si="65"/>
        <v>0</v>
      </c>
      <c r="AV87" s="6240">
        <f t="shared" si="66"/>
        <v>0</v>
      </c>
      <c r="AW87" s="6189" cm="1">
        <f t="array" ref="AW87">IF(AK87&lt;&gt;1,0,IF(OR(AU87="",N(AU87)&lt;=0.000000001),"",IF(OR(AO87="",N(AO87)&lt;=0.000000001),0,IF(ISNUMBER(AU87),IFERROR(_xlfn.LET(_xlpm.ai_test,TRIM(AJ87),_xlpm.r,IFERROR(_xlfn.XLOOKUP(_xlpm.ai_test,$BJ$15:$BJ$62,ROW($BJ$15:$BJ$62),0,1),IFERROR(_xlfn.XLOOKUP(_xlpm.ai_test,$BK$15:$BK$62,ROW($BK$15:$BK$62),0,1),_xlfn.XLOOKUP(_xlpm.ai_test,$BL$15:$BL$62,ROW($BL$15:$BL$62),0,1))),_xlpm.p,_xlpm.r-MIN(ROW($BJ$15:$BJ$62))+1,_xlpm.f,INDEX($BM$15:$BM$62,_xlpm.p),_xlpm.u,INDEX($BN$15:$BN$62,_xlpm.p),_xlpm.s,INDEX($BP$15:$BP$62,_xlpm.p),_xlpm.q,N(AU87)/_xlpm.f,IF(_xlpm.q&gt;=_xlpm.s,ROUND(_xlpm.q,1)&amp;" "&amp;_xlpm.ai_test&amp;" = "&amp;ROUND(_xlpm.q*_xlpm.f,1)&amp;" "&amp;_xlpm.u,ROUND(_xlpm.q,1)&amp;" "&amp;_xlpm.ai_test)),""),""))))</f>
        <v>0</v>
      </c>
      <c r="AX87" s="6218"/>
      <c r="AY87" s="6272">
        <f t="shared" si="67"/>
        <v>0</v>
      </c>
      <c r="AZ87" s="6240" t="str">
        <f t="shared" si="68"/>
        <v/>
      </c>
      <c r="BA87" s="6195">
        <f t="shared" ref="BA87:BA150" si="73">IF(ISNUMBER(BG87),IF(ABS(BG87)&lt;=0.000000001,0,BG87),0)</f>
        <v>0</v>
      </c>
      <c r="BB87" s="6193" t="str">
        <f t="shared" si="69"/>
        <v/>
      </c>
      <c r="BC87" s="6219"/>
      <c r="BD87" s="6222">
        <f t="shared" si="42"/>
        <v>0</v>
      </c>
      <c r="BE87" s="6220" t="str">
        <f t="shared" si="70"/>
        <v/>
      </c>
      <c r="BF87" s="4" t="s">
        <v>1</v>
      </c>
      <c r="BG87" s="6196">
        <f t="shared" si="71"/>
        <v>0</v>
      </c>
      <c r="BH87" s="6197">
        <f t="shared" si="72"/>
        <v>0</v>
      </c>
      <c r="BJ87" s="6289" t="s">
        <v>122</v>
      </c>
      <c r="BK87" s="6289" t="s">
        <v>9642</v>
      </c>
      <c r="BL87" s="6291" t="s">
        <v>9687</v>
      </c>
      <c r="BM87" s="6289" t="s">
        <v>9645</v>
      </c>
      <c r="BN87" s="6289" t="s">
        <v>9639</v>
      </c>
      <c r="BO87" s="6289" t="s">
        <v>9636</v>
      </c>
      <c r="BP87" s="6281" t="s">
        <v>9631</v>
      </c>
      <c r="BQ87" s="6281" t="s">
        <v>9688</v>
      </c>
      <c r="BR87" s="6281" t="s">
        <v>9689</v>
      </c>
      <c r="BS87" s="6286" t="s">
        <v>9690</v>
      </c>
      <c r="BT87" s="6286" t="s">
        <v>9617</v>
      </c>
      <c r="BU87" s="6286" t="s">
        <v>9623</v>
      </c>
      <c r="BV87" s="6755" t="s">
        <v>9691</v>
      </c>
      <c r="BW87"/>
      <c r="BX87" s="20" t="str">
        <f t="shared" si="51"/>
        <v>►</v>
      </c>
      <c r="BY87" s="6312" t="s">
        <v>58</v>
      </c>
      <c r="BZ87" s="6244"/>
      <c r="CA87" s="6244"/>
      <c r="CB87" s="6244"/>
      <c r="CC87" s="6244"/>
      <c r="CD87" s="5661"/>
      <c r="CE87"/>
      <c r="CF87"/>
      <c r="CG87"/>
      <c r="CH87"/>
      <c r="CI87"/>
      <c r="CJ87"/>
      <c r="CK87"/>
      <c r="CM87"/>
      <c r="CN87"/>
      <c r="CO87"/>
      <c r="CP87"/>
      <c r="CQ87"/>
      <c r="CR87"/>
      <c r="CS87"/>
      <c r="CU87"/>
      <c r="CV87"/>
      <c r="CW87"/>
      <c r="CX87"/>
      <c r="CY87"/>
      <c r="CZ87"/>
      <c r="DA87"/>
      <c r="DC87" s="5">
        <v>1</v>
      </c>
    </row>
    <row r="88" spans="1:107" s="1" customFormat="1" ht="21" customHeight="1">
      <c r="A88" s="5641" t="s">
        <v>1</v>
      </c>
      <c r="B88" s="5662" t="str">
        <f t="shared" si="50"/>
        <v>►</v>
      </c>
      <c r="C88" s="5825" cm="1">
        <f t="array" ref="C88">SUMPRODUCT(LEN(D88:J88))</f>
        <v>0</v>
      </c>
      <c r="D88" s="5275"/>
      <c r="E88" s="1361"/>
      <c r="F88" s="1361"/>
      <c r="G88" s="1361"/>
      <c r="H88" s="1361"/>
      <c r="I88" s="1361"/>
      <c r="J88" s="5276"/>
      <c r="K88" s="106" t="s">
        <v>1</v>
      </c>
      <c r="L88" s="1021" t="s">
        <v>26</v>
      </c>
      <c r="M88" s="41" t="str">
        <f>M67</f>
        <v>N NAME OF YOUR RECIPE | paste it — FAMILY|  Author &gt; YOU</v>
      </c>
      <c r="N88" s="40">
        <f>N67</f>
        <v>5.23</v>
      </c>
      <c r="O88" s="41" t="str">
        <f>O67</f>
        <v>kg</v>
      </c>
      <c r="P88" s="5386" t="str">
        <f>P67</f>
        <v>Master recipe ► Guinea fowl ballotine</v>
      </c>
      <c r="Q88" s="6289" t="s">
        <v>122</v>
      </c>
      <c r="R88" s="6289" t="s">
        <v>9642</v>
      </c>
      <c r="S88" s="6291" t="s">
        <v>9687</v>
      </c>
      <c r="T88" s="6289" t="s">
        <v>9645</v>
      </c>
      <c r="U88" s="6289" t="s">
        <v>9639</v>
      </c>
      <c r="V88" s="6289" t="s">
        <v>9636</v>
      </c>
      <c r="W88" s="6281" t="s">
        <v>9631</v>
      </c>
      <c r="X88" s="6281"/>
      <c r="Y88" s="6281" t="s">
        <v>9688</v>
      </c>
      <c r="Z88" s="6281" t="s">
        <v>9689</v>
      </c>
      <c r="AA88" s="6286" t="s">
        <v>9690</v>
      </c>
      <c r="AB88" s="6286" t="s">
        <v>9617</v>
      </c>
      <c r="AC88" s="6286" t="s">
        <v>9623</v>
      </c>
      <c r="AD88" s="6755" t="s">
        <v>9691</v>
      </c>
      <c r="AE88" s="6872" t="s">
        <v>11060</v>
      </c>
      <c r="AF88" s="6202" t="str">
        <f t="shared" si="54"/>
        <v>►</v>
      </c>
      <c r="AG88" s="6234" t="str">
        <f t="shared" si="55"/>
        <v/>
      </c>
      <c r="AH88" s="6732" t="str">
        <f t="shared" si="56"/>
        <v/>
      </c>
      <c r="AI88" s="6234" t="str">
        <f t="shared" si="57"/>
        <v/>
      </c>
      <c r="AJ88" s="6732" t="str">
        <f t="shared" si="58"/>
        <v/>
      </c>
      <c r="AK88" s="6732">
        <f t="shared" si="59"/>
        <v>0</v>
      </c>
      <c r="AL88" s="6230" t="str" cm="1">
        <f t="array" ref="AL88">IF(AF88&lt;&gt;"A","",IFERROR((IFERROR(_xlfn.XLOOKUP(TRIM(SUBSTITUTE(U88,CHAR(160)," ")),$BJ$15:$BJ$62,$BM$15:$BM$62),IFERROR(_xlfn.XLOOKUP(TRIM(SUBSTITUTE(U88,CHAR(160)," ")),$BK$15:$BK$62,$BM$15:$BM$62),_xlfn.XLOOKUP(TRIM(SUBSTITUTE(U88,CHAR(160)," ")),$BL$15:$BL$62,$BM$15:$BM$62))))*T88*IF(ISBLANK(Q88),1,Q88)+IFERROR(_xlfn.XLOOKUP("RECHERCHEX",TRIM(L88:AD88),L88:AD88),0),0))</f>
        <v/>
      </c>
      <c r="AM88" s="6229">
        <f t="shared" si="60"/>
        <v>0</v>
      </c>
      <c r="AN88" s="6857" t="str">
        <f t="shared" si="44"/>
        <v/>
      </c>
      <c r="AO88" s="392">
        <f t="shared" si="61"/>
        <v>0</v>
      </c>
      <c r="AP88" s="392">
        <f t="shared" si="62"/>
        <v>0</v>
      </c>
      <c r="AQ88" s="6190">
        <f t="shared" si="63"/>
        <v>0</v>
      </c>
      <c r="AR88" s="6858" t="str">
        <f t="shared" si="64"/>
        <v/>
      </c>
      <c r="AS88" s="6217"/>
      <c r="AT88" s="6217"/>
      <c r="AU88" s="6271">
        <f t="shared" si="65"/>
        <v>0</v>
      </c>
      <c r="AV88" s="6242">
        <f t="shared" si="66"/>
        <v>0</v>
      </c>
      <c r="AW88" s="6188" cm="1">
        <f t="array" ref="AW88">IF(AK88&lt;&gt;1,0,IF(OR(AU88="",N(AU88)&lt;=0.000000001),"",IF(OR(AO88="",N(AO88)&lt;=0.000000001),0,IF(ISNUMBER(AU88),IFERROR(_xlfn.LET(_xlpm.ai_test,TRIM(AJ88),_xlpm.r,IFERROR(_xlfn.XLOOKUP(_xlpm.ai_test,$BJ$15:$BJ$62,ROW($BJ$15:$BJ$62),0,1),IFERROR(_xlfn.XLOOKUP(_xlpm.ai_test,$BK$15:$BK$62,ROW($BK$15:$BK$62),0,1),_xlfn.XLOOKUP(_xlpm.ai_test,$BL$15:$BL$62,ROW($BL$15:$BL$62),0,1))),_xlpm.p,_xlpm.r-MIN(ROW($BJ$15:$BJ$62))+1,_xlpm.f,INDEX($BM$15:$BM$62,_xlpm.p),_xlpm.u,INDEX($BN$15:$BN$62,_xlpm.p),_xlpm.s,INDEX($BP$15:$BP$62,_xlpm.p),_xlpm.q,N(AU88)/_xlpm.f,IF(_xlpm.q&gt;=_xlpm.s,ROUND(_xlpm.q,1)&amp;" "&amp;_xlpm.ai_test&amp;" = "&amp;ROUND(_xlpm.q*_xlpm.f,1)&amp;" "&amp;_xlpm.u,ROUND(_xlpm.q,1)&amp;" "&amp;_xlpm.ai_test)),""),""))))</f>
        <v>0</v>
      </c>
      <c r="AX88" s="6218"/>
      <c r="AY88" s="6271">
        <f t="shared" si="67"/>
        <v>0</v>
      </c>
      <c r="AZ88" s="6242" t="str">
        <f t="shared" si="68"/>
        <v/>
      </c>
      <c r="BA88" s="6194">
        <f t="shared" si="73"/>
        <v>0</v>
      </c>
      <c r="BB88" s="6192" t="str">
        <f t="shared" si="69"/>
        <v/>
      </c>
      <c r="BC88" s="6219"/>
      <c r="BD88" s="6221">
        <f t="shared" si="42"/>
        <v>0</v>
      </c>
      <c r="BE88" s="6220" t="str">
        <f t="shared" si="70"/>
        <v/>
      </c>
      <c r="BF88" s="4" t="s">
        <v>1</v>
      </c>
      <c r="BG88" s="6196">
        <f t="shared" si="71"/>
        <v>0</v>
      </c>
      <c r="BH88" s="6197">
        <f t="shared" si="72"/>
        <v>0</v>
      </c>
      <c r="BJ88" s="6711">
        <v>2.835E-2</v>
      </c>
      <c r="BK88" s="6712">
        <v>0.13</v>
      </c>
      <c r="BL88" s="6713">
        <v>0</v>
      </c>
      <c r="BM88" s="6712">
        <v>0.2</v>
      </c>
      <c r="BN88" s="6712">
        <v>0.23</v>
      </c>
      <c r="BO88" s="6712">
        <v>0.22500000000000001</v>
      </c>
      <c r="BP88" s="6709">
        <v>0.35</v>
      </c>
      <c r="BQ88" s="6709">
        <v>5.0000000000000001E-3</v>
      </c>
      <c r="BR88" s="6709">
        <v>5.0000000000000001E-3</v>
      </c>
      <c r="BS88" s="6709">
        <v>1.4999999999999999E-2</v>
      </c>
      <c r="BT88" s="6709">
        <v>0.1</v>
      </c>
      <c r="BU88" s="6709">
        <v>0.22500000000000001</v>
      </c>
      <c r="BV88" s="6710">
        <v>1E-3</v>
      </c>
      <c r="BW88"/>
      <c r="BX88" s="20" t="str">
        <f t="shared" si="51"/>
        <v>►</v>
      </c>
      <c r="BY88" s="6316" t="s">
        <v>42</v>
      </c>
      <c r="BZ88" s="6244"/>
      <c r="CA88" s="6244"/>
      <c r="CB88" s="6244"/>
      <c r="CC88" s="6244"/>
      <c r="CD88" s="5661"/>
      <c r="CE88"/>
      <c r="CF88"/>
      <c r="CG88"/>
      <c r="CH88"/>
      <c r="CI88"/>
      <c r="CJ88"/>
      <c r="CK88"/>
      <c r="CM88"/>
      <c r="CN88"/>
      <c r="CO88"/>
      <c r="CP88"/>
      <c r="CQ88"/>
      <c r="CR88"/>
      <c r="CS88"/>
      <c r="CU88"/>
      <c r="CV88"/>
      <c r="CW88"/>
      <c r="CX88"/>
      <c r="CY88"/>
      <c r="CZ88"/>
      <c r="DA88"/>
      <c r="DC88" s="5">
        <v>1</v>
      </c>
    </row>
    <row r="89" spans="1:107" s="1" customFormat="1" ht="21" customHeight="1" thickBot="1">
      <c r="A89" s="5641" t="s">
        <v>1</v>
      </c>
      <c r="B89" s="5662" t="str">
        <f t="shared" si="50"/>
        <v>►</v>
      </c>
      <c r="C89" s="5825" cm="1">
        <f t="array" ref="C89">SUMPRODUCT(LEN(D89:J89))</f>
        <v>0</v>
      </c>
      <c r="D89" s="5275"/>
      <c r="E89" s="1361"/>
      <c r="F89" s="1361"/>
      <c r="G89" s="1361"/>
      <c r="H89" s="1361"/>
      <c r="I89" s="1361"/>
      <c r="J89" s="5276"/>
      <c r="K89" s="106" t="s">
        <v>1</v>
      </c>
      <c r="L89" s="1021" t="s">
        <v>26</v>
      </c>
      <c r="M89" s="41" t="str">
        <f>M67</f>
        <v>N NAME OF YOUR RECIPE | paste it — FAMILY|  Author &gt; YOU</v>
      </c>
      <c r="N89" s="40">
        <f>N67</f>
        <v>5.23</v>
      </c>
      <c r="O89" s="41" t="str">
        <f>O67</f>
        <v>kg</v>
      </c>
      <c r="P89" s="5386" t="str">
        <f>P67</f>
        <v>Master recipe ► Guinea fowl ballotine</v>
      </c>
      <c r="Q89" s="6711">
        <v>2.835E-2</v>
      </c>
      <c r="R89" s="6712">
        <v>0.13</v>
      </c>
      <c r="S89" s="6713">
        <v>0</v>
      </c>
      <c r="T89" s="6712">
        <v>0.2</v>
      </c>
      <c r="U89" s="6712">
        <v>0.23</v>
      </c>
      <c r="V89" s="6712">
        <v>0.22500000000000001</v>
      </c>
      <c r="W89" s="6709">
        <v>0.35</v>
      </c>
      <c r="X89" s="6709"/>
      <c r="Y89" s="6709">
        <v>5.0000000000000001E-3</v>
      </c>
      <c r="Z89" s="6709">
        <v>5.0000000000000001E-3</v>
      </c>
      <c r="AA89" s="6709">
        <v>1.4999999999999999E-2</v>
      </c>
      <c r="AB89" s="6709">
        <v>0.1</v>
      </c>
      <c r="AC89" s="6709">
        <v>0.22500000000000001</v>
      </c>
      <c r="AD89" s="6710">
        <v>1E-3</v>
      </c>
      <c r="AE89" s="6872" t="s">
        <v>11061</v>
      </c>
      <c r="AF89" s="6202" t="str">
        <f t="shared" si="54"/>
        <v>►</v>
      </c>
      <c r="AG89" s="6234" t="str">
        <f t="shared" si="55"/>
        <v/>
      </c>
      <c r="AH89" s="6732" t="str">
        <f t="shared" si="56"/>
        <v/>
      </c>
      <c r="AI89" s="6234" t="str">
        <f t="shared" si="57"/>
        <v/>
      </c>
      <c r="AJ89" s="6732" t="str">
        <f t="shared" si="58"/>
        <v/>
      </c>
      <c r="AK89" s="6732">
        <f t="shared" si="59"/>
        <v>0</v>
      </c>
      <c r="AL89" s="6230" t="str" cm="1">
        <f t="array" ref="AL89">IF(AF89&lt;&gt;"A","",IFERROR((IFERROR(_xlfn.XLOOKUP(TRIM(SUBSTITUTE(U89,CHAR(160)," ")),$BJ$15:$BJ$62,$BM$15:$BM$62),IFERROR(_xlfn.XLOOKUP(TRIM(SUBSTITUTE(U89,CHAR(160)," ")),$BK$15:$BK$62,$BM$15:$BM$62),_xlfn.XLOOKUP(TRIM(SUBSTITUTE(U89,CHAR(160)," ")),$BL$15:$BL$62,$BM$15:$BM$62))))*T89*IF(ISBLANK(Q89),1,Q89)+IFERROR(_xlfn.XLOOKUP("RECHERCHEX",TRIM(L89:AD89),L89:AD89),0),0))</f>
        <v/>
      </c>
      <c r="AM89" s="6229">
        <f t="shared" si="60"/>
        <v>0</v>
      </c>
      <c r="AN89" s="6857" t="str">
        <f t="shared" si="44"/>
        <v/>
      </c>
      <c r="AO89" s="392">
        <f t="shared" si="61"/>
        <v>0</v>
      </c>
      <c r="AP89" s="392">
        <f t="shared" si="62"/>
        <v>0</v>
      </c>
      <c r="AQ89" s="6191">
        <f t="shared" si="63"/>
        <v>0</v>
      </c>
      <c r="AR89" s="6859" t="str">
        <f t="shared" si="64"/>
        <v/>
      </c>
      <c r="AS89" s="6217"/>
      <c r="AT89" s="6217"/>
      <c r="AU89" s="6272">
        <f t="shared" si="65"/>
        <v>0</v>
      </c>
      <c r="AV89" s="6240">
        <f t="shared" si="66"/>
        <v>0</v>
      </c>
      <c r="AW89" s="6189" cm="1">
        <f t="array" ref="AW89">IF(AK89&lt;&gt;1,0,IF(OR(AU89="",N(AU89)&lt;=0.000000001),"",IF(OR(AO89="",N(AO89)&lt;=0.000000001),0,IF(ISNUMBER(AU89),IFERROR(_xlfn.LET(_xlpm.ai_test,TRIM(AJ89),_xlpm.r,IFERROR(_xlfn.XLOOKUP(_xlpm.ai_test,$BJ$15:$BJ$62,ROW($BJ$15:$BJ$62),0,1),IFERROR(_xlfn.XLOOKUP(_xlpm.ai_test,$BK$15:$BK$62,ROW($BK$15:$BK$62),0,1),_xlfn.XLOOKUP(_xlpm.ai_test,$BL$15:$BL$62,ROW($BL$15:$BL$62),0,1))),_xlpm.p,_xlpm.r-MIN(ROW($BJ$15:$BJ$62))+1,_xlpm.f,INDEX($BM$15:$BM$62,_xlpm.p),_xlpm.u,INDEX($BN$15:$BN$62,_xlpm.p),_xlpm.s,INDEX($BP$15:$BP$62,_xlpm.p),_xlpm.q,N(AU89)/_xlpm.f,IF(_xlpm.q&gt;=_xlpm.s,ROUND(_xlpm.q,1)&amp;" "&amp;_xlpm.ai_test&amp;" = "&amp;ROUND(_xlpm.q*_xlpm.f,1)&amp;" "&amp;_xlpm.u,ROUND(_xlpm.q,1)&amp;" "&amp;_xlpm.ai_test)),""),""))))</f>
        <v>0</v>
      </c>
      <c r="AX89" s="6218"/>
      <c r="AY89" s="6272">
        <f t="shared" si="67"/>
        <v>0</v>
      </c>
      <c r="AZ89" s="6240" t="str">
        <f t="shared" si="68"/>
        <v/>
      </c>
      <c r="BA89" s="6195">
        <f t="shared" si="73"/>
        <v>0</v>
      </c>
      <c r="BB89" s="6193" t="str">
        <f t="shared" si="69"/>
        <v/>
      </c>
      <c r="BC89" s="6219"/>
      <c r="BD89" s="6222">
        <f t="shared" si="42"/>
        <v>0</v>
      </c>
      <c r="BE89" s="6220" t="str">
        <f t="shared" si="70"/>
        <v/>
      </c>
      <c r="BF89" s="4" t="s">
        <v>1</v>
      </c>
      <c r="BG89" s="6196">
        <f t="shared" si="71"/>
        <v>0</v>
      </c>
      <c r="BH89" s="6197">
        <f t="shared" si="72"/>
        <v>0</v>
      </c>
      <c r="BW89"/>
      <c r="BX89" s="20" t="str">
        <f t="shared" si="51"/>
        <v>►</v>
      </c>
      <c r="BY89" s="6315"/>
      <c r="BZ89" s="6244"/>
      <c r="CA89" s="6244"/>
      <c r="CB89" s="6244"/>
      <c r="CC89" s="6244"/>
      <c r="CD89" s="5661"/>
      <c r="CE89"/>
      <c r="CF89"/>
      <c r="CG89"/>
      <c r="CH89"/>
      <c r="CI89"/>
      <c r="CJ89"/>
      <c r="CK89"/>
      <c r="CM89"/>
      <c r="CN89"/>
      <c r="CO89"/>
      <c r="CP89"/>
      <c r="CQ89"/>
      <c r="CR89"/>
      <c r="CS89"/>
      <c r="CU89"/>
      <c r="CV89"/>
      <c r="CW89"/>
      <c r="CX89"/>
      <c r="CY89"/>
      <c r="CZ89"/>
      <c r="DA89"/>
      <c r="DC89" s="5">
        <v>1</v>
      </c>
    </row>
    <row r="90" spans="1:107" s="1" customFormat="1" ht="21" customHeight="1">
      <c r="A90" s="5641" t="s">
        <v>1</v>
      </c>
      <c r="B90" s="5662" t="str">
        <f t="shared" si="50"/>
        <v>A</v>
      </c>
      <c r="C90" s="5825" cm="1">
        <f t="array" ref="C90">SUMPRODUCT(LEN(D90:J90))</f>
        <v>0</v>
      </c>
      <c r="D90" s="5275"/>
      <c r="E90" s="1361"/>
      <c r="F90" s="1361"/>
      <c r="G90" s="1361"/>
      <c r="H90" s="1361"/>
      <c r="I90" s="1361"/>
      <c r="J90" s="5276"/>
      <c r="K90" s="106" t="s">
        <v>1</v>
      </c>
      <c r="L90" s="5269" t="s">
        <v>21</v>
      </c>
      <c r="M90" s="1313" t="str">
        <f>M67</f>
        <v>N NAME OF YOUR RECIPE | paste it — FAMILY|  Author &gt; YOU</v>
      </c>
      <c r="N90" s="1313">
        <f>N67</f>
        <v>5.23</v>
      </c>
      <c r="O90" s="5377" t="str">
        <f>O67</f>
        <v>kg</v>
      </c>
      <c r="P90" s="5387" t="str">
        <f>P67</f>
        <v>Master recipe ► Guinea fowl ballotine</v>
      </c>
      <c r="Q90" s="6293" t="str">
        <f t="shared" ref="Q90:V90" si="74">Q68</f>
        <v>Col.6</v>
      </c>
      <c r="R90" s="6293" t="str">
        <f t="shared" si="74"/>
        <v>Col.7</v>
      </c>
      <c r="S90" s="6293" t="str">
        <f t="shared" si="74"/>
        <v>Col.8</v>
      </c>
      <c r="T90" s="6293" t="str">
        <f t="shared" si="74"/>
        <v>Col.9</v>
      </c>
      <c r="U90" s="6293" t="str">
        <f t="shared" si="74"/>
        <v>Col.10</v>
      </c>
      <c r="V90" s="6293" t="str">
        <f t="shared" si="74"/>
        <v>Col.11</v>
      </c>
      <c r="W90" s="6297" t="s">
        <v>9692</v>
      </c>
      <c r="X90" s="6867"/>
      <c r="Y90" s="6292"/>
      <c r="Z90" s="6292"/>
      <c r="AA90" s="6279"/>
      <c r="AB90" s="6279"/>
      <c r="AC90" s="6721" t="s">
        <v>8359</v>
      </c>
      <c r="AD90" s="6278" t="s">
        <v>1155</v>
      </c>
      <c r="AE90" s="4" t="s">
        <v>1</v>
      </c>
      <c r="AF90" s="6202" t="str">
        <f t="shared" si="54"/>
        <v>►</v>
      </c>
      <c r="AG90" s="6234" t="str">
        <f t="shared" si="55"/>
        <v/>
      </c>
      <c r="AH90" s="6732" t="str">
        <f t="shared" si="56"/>
        <v/>
      </c>
      <c r="AI90" s="6234" t="str">
        <f t="shared" si="57"/>
        <v/>
      </c>
      <c r="AJ90" s="6732" t="str">
        <f t="shared" si="58"/>
        <v/>
      </c>
      <c r="AK90" s="6732">
        <f t="shared" si="59"/>
        <v>0</v>
      </c>
      <c r="AL90" s="6230" t="str" cm="1">
        <f t="array" ref="AL90">IF(AF90&lt;&gt;"A","",IFERROR((IFERROR(_xlfn.XLOOKUP(TRIM(SUBSTITUTE(U90,CHAR(160)," ")),$BJ$15:$BJ$62,$BM$15:$BM$62),IFERROR(_xlfn.XLOOKUP(TRIM(SUBSTITUTE(U90,CHAR(160)," ")),$BK$15:$BK$62,$BM$15:$BM$62),_xlfn.XLOOKUP(TRIM(SUBSTITUTE(U90,CHAR(160)," ")),$BL$15:$BL$62,$BM$15:$BM$62))))*T90*IF(ISBLANK(Q90),1,Q90)+IFERROR(_xlfn.XLOOKUP("RECHERCHEX",TRIM(L90:AD90),L90:AD90),0),0))</f>
        <v/>
      </c>
      <c r="AM90" s="6229">
        <f t="shared" si="60"/>
        <v>0</v>
      </c>
      <c r="AN90" s="6857" t="str">
        <f t="shared" si="44"/>
        <v/>
      </c>
      <c r="AO90" s="392">
        <f t="shared" si="61"/>
        <v>0</v>
      </c>
      <c r="AP90" s="392">
        <f t="shared" si="62"/>
        <v>0</v>
      </c>
      <c r="AQ90" s="6190">
        <f t="shared" si="63"/>
        <v>0</v>
      </c>
      <c r="AR90" s="6858" t="str">
        <f t="shared" si="64"/>
        <v/>
      </c>
      <c r="AS90" s="6217"/>
      <c r="AT90" s="6217"/>
      <c r="AU90" s="6271">
        <f t="shared" si="65"/>
        <v>0</v>
      </c>
      <c r="AV90" s="6242">
        <f t="shared" si="66"/>
        <v>0</v>
      </c>
      <c r="AW90" s="6188" cm="1">
        <f t="array" ref="AW90">IF(AK90&lt;&gt;1,0,IF(OR(AU90="",N(AU90)&lt;=0.000000001),"",IF(OR(AO90="",N(AO90)&lt;=0.000000001),0,IF(ISNUMBER(AU90),IFERROR(_xlfn.LET(_xlpm.ai_test,TRIM(AJ90),_xlpm.r,IFERROR(_xlfn.XLOOKUP(_xlpm.ai_test,$BJ$15:$BJ$62,ROW($BJ$15:$BJ$62),0,1),IFERROR(_xlfn.XLOOKUP(_xlpm.ai_test,$BK$15:$BK$62,ROW($BK$15:$BK$62),0,1),_xlfn.XLOOKUP(_xlpm.ai_test,$BL$15:$BL$62,ROW($BL$15:$BL$62),0,1))),_xlpm.p,_xlpm.r-MIN(ROW($BJ$15:$BJ$62))+1,_xlpm.f,INDEX($BM$15:$BM$62,_xlpm.p),_xlpm.u,INDEX($BN$15:$BN$62,_xlpm.p),_xlpm.s,INDEX($BP$15:$BP$62,_xlpm.p),_xlpm.q,N(AU90)/_xlpm.f,IF(_xlpm.q&gt;=_xlpm.s,ROUND(_xlpm.q,1)&amp;" "&amp;_xlpm.ai_test&amp;" = "&amp;ROUND(_xlpm.q*_xlpm.f,1)&amp;" "&amp;_xlpm.u,ROUND(_xlpm.q,1)&amp;" "&amp;_xlpm.ai_test)),""),""))))</f>
        <v>0</v>
      </c>
      <c r="AX90" s="6218"/>
      <c r="AY90" s="6271">
        <f t="shared" si="67"/>
        <v>0</v>
      </c>
      <c r="AZ90" s="6242" t="str">
        <f t="shared" si="68"/>
        <v/>
      </c>
      <c r="BA90" s="6194">
        <f t="shared" si="73"/>
        <v>0</v>
      </c>
      <c r="BB90" s="6192" t="str">
        <f t="shared" si="69"/>
        <v/>
      </c>
      <c r="BC90" s="6219"/>
      <c r="BD90" s="6221">
        <f t="shared" si="42"/>
        <v>0</v>
      </c>
      <c r="BE90" s="6220" t="str">
        <f t="shared" si="70"/>
        <v/>
      </c>
      <c r="BF90" s="4" t="s">
        <v>1</v>
      </c>
      <c r="BG90" s="6196">
        <f t="shared" si="71"/>
        <v>0</v>
      </c>
      <c r="BH90" s="6197">
        <f t="shared" si="72"/>
        <v>0</v>
      </c>
      <c r="BJ90" s="6917" t="s">
        <v>10009</v>
      </c>
      <c r="BK90" s="6918"/>
      <c r="BL90" s="6918"/>
      <c r="BM90" s="6918"/>
      <c r="BN90" s="6918"/>
      <c r="BO90" s="6918"/>
      <c r="BP90" s="6918"/>
      <c r="BQ90" s="6918"/>
      <c r="BR90" s="6918"/>
      <c r="BS90" s="6918"/>
      <c r="BT90" s="6918"/>
      <c r="BU90" s="6918"/>
      <c r="BV90" s="6919"/>
      <c r="BW90"/>
      <c r="BX90" s="20" t="str">
        <f t="shared" si="51"/>
        <v>►</v>
      </c>
      <c r="BY90" s="6245" t="s">
        <v>53</v>
      </c>
      <c r="BZ90" s="6244"/>
      <c r="CA90" s="6244"/>
      <c r="CB90" s="6244"/>
      <c r="CC90" s="6244"/>
      <c r="CD90" s="5661"/>
      <c r="CE90"/>
      <c r="CF90"/>
      <c r="CG90"/>
      <c r="CH90"/>
      <c r="CI90"/>
      <c r="CJ90"/>
      <c r="CK90"/>
      <c r="CM90"/>
      <c r="CN90"/>
      <c r="CO90"/>
      <c r="CP90"/>
      <c r="CQ90"/>
      <c r="CR90"/>
      <c r="CS90"/>
      <c r="CU90"/>
      <c r="CV90"/>
      <c r="CW90"/>
      <c r="CX90"/>
      <c r="CY90"/>
      <c r="CZ90"/>
      <c r="DA90"/>
      <c r="DC90" s="5">
        <v>1</v>
      </c>
    </row>
    <row r="91" spans="1:107" s="1" customFormat="1" ht="21" customHeight="1">
      <c r="A91" s="5641" t="s">
        <v>1</v>
      </c>
      <c r="B91" s="5662" t="str">
        <f t="shared" si="50"/>
        <v>A</v>
      </c>
      <c r="C91" s="5825" cm="1">
        <f t="array" ref="C91">SUMPRODUCT(LEN(D91:J91))</f>
        <v>0</v>
      </c>
      <c r="D91" s="5275"/>
      <c r="E91" s="1361"/>
      <c r="F91" s="1361"/>
      <c r="G91" s="1361"/>
      <c r="H91" s="1361"/>
      <c r="I91" s="1361"/>
      <c r="J91" s="5276"/>
      <c r="K91" s="106" t="s">
        <v>1</v>
      </c>
      <c r="L91" s="5270" t="s">
        <v>21</v>
      </c>
      <c r="M91" s="196" t="str">
        <f>M67</f>
        <v>N NAME OF YOUR RECIPE | paste it — FAMILY|  Author &gt; YOU</v>
      </c>
      <c r="N91" s="196">
        <f>N67</f>
        <v>5.23</v>
      </c>
      <c r="O91" s="197" t="str">
        <f>O67</f>
        <v>kg</v>
      </c>
      <c r="P91" s="5388" t="str">
        <f>P67</f>
        <v>Master recipe ► Guinea fowl ballotine</v>
      </c>
      <c r="Q91" s="5815" t="s">
        <v>252</v>
      </c>
      <c r="R91" s="5271" t="s">
        <v>8392</v>
      </c>
      <c r="S91" s="1321"/>
      <c r="T91" s="1321"/>
      <c r="U91" s="1321"/>
      <c r="V91" s="1321"/>
      <c r="W91" s="1321"/>
      <c r="X91" s="1321"/>
      <c r="Y91" s="1321"/>
      <c r="Z91" s="1322"/>
      <c r="AA91" s="5411"/>
      <c r="AB91" s="1266"/>
      <c r="AC91" s="1270" t="s">
        <v>8360</v>
      </c>
      <c r="AD91" s="5272" t="s">
        <v>1155</v>
      </c>
      <c r="AE91" s="4" t="s">
        <v>1</v>
      </c>
      <c r="AF91" s="6202" t="str">
        <f t="shared" si="54"/>
        <v>►</v>
      </c>
      <c r="AG91" s="6234" t="str">
        <f t="shared" si="55"/>
        <v/>
      </c>
      <c r="AH91" s="6732" t="str">
        <f t="shared" si="56"/>
        <v/>
      </c>
      <c r="AI91" s="6234" t="str">
        <f t="shared" si="57"/>
        <v/>
      </c>
      <c r="AJ91" s="6732" t="str">
        <f t="shared" si="58"/>
        <v/>
      </c>
      <c r="AK91" s="6732">
        <f t="shared" si="59"/>
        <v>0</v>
      </c>
      <c r="AL91" s="6230" t="str" cm="1">
        <f t="array" ref="AL91">IF(AF91&lt;&gt;"A","",IFERROR((IFERROR(_xlfn.XLOOKUP(TRIM(SUBSTITUTE(U91,CHAR(160)," ")),$BJ$15:$BJ$62,$BM$15:$BM$62),IFERROR(_xlfn.XLOOKUP(TRIM(SUBSTITUTE(U91,CHAR(160)," ")),$BK$15:$BK$62,$BM$15:$BM$62),_xlfn.XLOOKUP(TRIM(SUBSTITUTE(U91,CHAR(160)," ")),$BL$15:$BL$62,$BM$15:$BM$62))))*T91*IF(ISBLANK(Q91),1,Q91)+IFERROR(_xlfn.XLOOKUP("RECHERCHEX",TRIM(L91:AD91),L91:AD91),0),0))</f>
        <v/>
      </c>
      <c r="AM91" s="6229">
        <f t="shared" si="60"/>
        <v>0</v>
      </c>
      <c r="AN91" s="6857" t="str">
        <f t="shared" si="44"/>
        <v/>
      </c>
      <c r="AO91" s="392">
        <f t="shared" si="61"/>
        <v>0</v>
      </c>
      <c r="AP91" s="392">
        <f t="shared" si="62"/>
        <v>0</v>
      </c>
      <c r="AQ91" s="6191">
        <f t="shared" si="63"/>
        <v>0</v>
      </c>
      <c r="AR91" s="6859" t="str">
        <f t="shared" si="64"/>
        <v/>
      </c>
      <c r="AS91" s="6217"/>
      <c r="AT91" s="6217"/>
      <c r="AU91" s="6272">
        <f t="shared" si="65"/>
        <v>0</v>
      </c>
      <c r="AV91" s="6240">
        <f t="shared" si="66"/>
        <v>0</v>
      </c>
      <c r="AW91" s="6189" cm="1">
        <f t="array" ref="AW91">IF(AK91&lt;&gt;1,0,IF(OR(AU91="",N(AU91)&lt;=0.000000001),"",IF(OR(AO91="",N(AO91)&lt;=0.000000001),0,IF(ISNUMBER(AU91),IFERROR(_xlfn.LET(_xlpm.ai_test,TRIM(AJ91),_xlpm.r,IFERROR(_xlfn.XLOOKUP(_xlpm.ai_test,$BJ$15:$BJ$62,ROW($BJ$15:$BJ$62),0,1),IFERROR(_xlfn.XLOOKUP(_xlpm.ai_test,$BK$15:$BK$62,ROW($BK$15:$BK$62),0,1),_xlfn.XLOOKUP(_xlpm.ai_test,$BL$15:$BL$62,ROW($BL$15:$BL$62),0,1))),_xlpm.p,_xlpm.r-MIN(ROW($BJ$15:$BJ$62))+1,_xlpm.f,INDEX($BM$15:$BM$62,_xlpm.p),_xlpm.u,INDEX($BN$15:$BN$62,_xlpm.p),_xlpm.s,INDEX($BP$15:$BP$62,_xlpm.p),_xlpm.q,N(AU91)/_xlpm.f,IF(_xlpm.q&gt;=_xlpm.s,ROUND(_xlpm.q,1)&amp;" "&amp;_xlpm.ai_test&amp;" = "&amp;ROUND(_xlpm.q*_xlpm.f,1)&amp;" "&amp;_xlpm.u,ROUND(_xlpm.q,1)&amp;" "&amp;_xlpm.ai_test)),""),""))))</f>
        <v>0</v>
      </c>
      <c r="AX91" s="6218"/>
      <c r="AY91" s="6272">
        <f t="shared" si="67"/>
        <v>0</v>
      </c>
      <c r="AZ91" s="6240" t="str">
        <f t="shared" si="68"/>
        <v/>
      </c>
      <c r="BA91" s="6195">
        <f t="shared" si="73"/>
        <v>0</v>
      </c>
      <c r="BB91" s="6193" t="str">
        <f t="shared" si="69"/>
        <v/>
      </c>
      <c r="BC91" s="6219"/>
      <c r="BD91" s="6222">
        <f t="shared" ref="BD91:BD154" si="75">IF(OR(AO91=0,ISBLANK(BC91),ISTEXT(BA91)),0,(IF(AU91=0,BA91,AU91)*BC91))</f>
        <v>0</v>
      </c>
      <c r="BE91" s="6220" t="str">
        <f t="shared" si="70"/>
        <v/>
      </c>
      <c r="BF91" s="4" t="s">
        <v>1</v>
      </c>
      <c r="BG91" s="6196">
        <f t="shared" si="71"/>
        <v>0</v>
      </c>
      <c r="BH91" s="6197">
        <f t="shared" si="72"/>
        <v>0</v>
      </c>
      <c r="BJ91" s="6920"/>
      <c r="BK91" s="6921"/>
      <c r="BL91" s="6921"/>
      <c r="BM91" s="6921"/>
      <c r="BN91" s="6921"/>
      <c r="BO91" s="6921"/>
      <c r="BP91" s="6921"/>
      <c r="BQ91" s="6921"/>
      <c r="BR91" s="6921"/>
      <c r="BS91" s="6921"/>
      <c r="BT91" s="6921"/>
      <c r="BU91" s="6921"/>
      <c r="BV91" s="6922"/>
      <c r="BW91"/>
      <c r="BX91" s="20" t="str">
        <f t="shared" si="51"/>
        <v>►</v>
      </c>
      <c r="BY91" s="6312" t="s">
        <v>52</v>
      </c>
      <c r="BZ91" s="6244"/>
      <c r="CA91" s="6244"/>
      <c r="CB91" s="6244"/>
      <c r="CC91" s="6244"/>
      <c r="CD91" s="5661"/>
      <c r="CE91"/>
      <c r="CF91"/>
      <c r="CG91"/>
      <c r="CH91"/>
      <c r="CI91"/>
      <c r="CJ91"/>
      <c r="CK91"/>
      <c r="CM91"/>
      <c r="CN91"/>
      <c r="CO91"/>
      <c r="CP91"/>
      <c r="CQ91"/>
      <c r="CR91"/>
      <c r="CS91"/>
      <c r="CU91"/>
      <c r="CV91"/>
      <c r="CW91"/>
      <c r="CX91"/>
      <c r="CY91"/>
      <c r="CZ91"/>
      <c r="DA91"/>
      <c r="DC91" s="5">
        <v>1</v>
      </c>
    </row>
    <row r="92" spans="1:107" s="1" customFormat="1" ht="21" customHeight="1">
      <c r="A92" s="5641" t="s">
        <v>1</v>
      </c>
      <c r="B92" s="5662" t="str">
        <f t="shared" si="50"/>
        <v>►</v>
      </c>
      <c r="C92" s="5825" cm="1">
        <f t="array" ref="C92">SUMPRODUCT(LEN(D92:J92))</f>
        <v>0</v>
      </c>
      <c r="D92" s="5275"/>
      <c r="E92" s="1361"/>
      <c r="F92" s="1361"/>
      <c r="G92" s="1361"/>
      <c r="H92" s="1361"/>
      <c r="I92" s="1361"/>
      <c r="J92" s="5276"/>
      <c r="K92" s="106"/>
      <c r="L92" s="1021" t="str">
        <f t="shared" ref="L92:L102" si="76">IF(OR(Q92&lt;&gt;"",R92&lt;&gt; "",S92&lt;&gt;"",T92&lt;&gt;""),"A", "►")</f>
        <v>►</v>
      </c>
      <c r="M92" s="196" t="str">
        <f>M67</f>
        <v>N NAME OF YOUR RECIPE | paste it — FAMILY|  Author &gt; YOU</v>
      </c>
      <c r="N92" s="196">
        <f>N67</f>
        <v>5.23</v>
      </c>
      <c r="O92" s="197" t="str">
        <f>O67</f>
        <v>kg</v>
      </c>
      <c r="P92" s="5388" t="str">
        <f>P67</f>
        <v>Master recipe ► Guinea fowl ballotine</v>
      </c>
      <c r="Q92" s="5275"/>
      <c r="R92" s="1320"/>
      <c r="S92" s="1320"/>
      <c r="T92" s="1320"/>
      <c r="U92" s="1320"/>
      <c r="V92" s="1320"/>
      <c r="W92" s="1320"/>
      <c r="X92" s="1320"/>
      <c r="Y92" s="1320"/>
      <c r="Z92" s="1324"/>
      <c r="AA92" s="141"/>
      <c r="AB92" s="141"/>
      <c r="AC92" s="5273" t="s">
        <v>8361</v>
      </c>
      <c r="AD92" s="5274">
        <v>3.472222222222222E-3</v>
      </c>
      <c r="AE92" s="4" t="s">
        <v>1</v>
      </c>
      <c r="AF92" s="6202" t="str">
        <f t="shared" si="54"/>
        <v>►</v>
      </c>
      <c r="AG92" s="6234" t="str">
        <f t="shared" si="55"/>
        <v/>
      </c>
      <c r="AH92" s="6732" t="str">
        <f t="shared" si="56"/>
        <v/>
      </c>
      <c r="AI92" s="6234" t="str">
        <f t="shared" si="57"/>
        <v/>
      </c>
      <c r="AJ92" s="6732" t="str">
        <f t="shared" si="58"/>
        <v/>
      </c>
      <c r="AK92" s="6732">
        <f t="shared" si="59"/>
        <v>0</v>
      </c>
      <c r="AL92" s="6230" t="str" cm="1">
        <f t="array" ref="AL92">IF(AF92&lt;&gt;"A","",IFERROR((IFERROR(_xlfn.XLOOKUP(TRIM(SUBSTITUTE(U92,CHAR(160)," ")),$BJ$15:$BJ$62,$BM$15:$BM$62),IFERROR(_xlfn.XLOOKUP(TRIM(SUBSTITUTE(U92,CHAR(160)," ")),$BK$15:$BK$62,$BM$15:$BM$62),_xlfn.XLOOKUP(TRIM(SUBSTITUTE(U92,CHAR(160)," ")),$BL$15:$BL$62,$BM$15:$BM$62))))*T92*IF(ISBLANK(Q92),1,Q92)+IFERROR(_xlfn.XLOOKUP("RECHERCHEX",TRIM(L92:AD92),L92:AD92),0),0))</f>
        <v/>
      </c>
      <c r="AM92" s="6229">
        <f t="shared" si="60"/>
        <v>0</v>
      </c>
      <c r="AN92" s="6857" t="str">
        <f t="shared" si="44"/>
        <v/>
      </c>
      <c r="AO92" s="392">
        <f t="shared" si="61"/>
        <v>0</v>
      </c>
      <c r="AP92" s="392">
        <f t="shared" si="62"/>
        <v>0</v>
      </c>
      <c r="AQ92" s="6190">
        <f t="shared" si="63"/>
        <v>0</v>
      </c>
      <c r="AR92" s="6858" t="str">
        <f t="shared" si="64"/>
        <v/>
      </c>
      <c r="AS92" s="6217"/>
      <c r="AT92" s="6217"/>
      <c r="AU92" s="6271">
        <f t="shared" si="65"/>
        <v>0</v>
      </c>
      <c r="AV92" s="6242">
        <f t="shared" si="66"/>
        <v>0</v>
      </c>
      <c r="AW92" s="6188" cm="1">
        <f t="array" ref="AW92">IF(AK92&lt;&gt;1,0,IF(OR(AU92="",N(AU92)&lt;=0.000000001),"",IF(OR(AO92="",N(AO92)&lt;=0.000000001),0,IF(ISNUMBER(AU92),IFERROR(_xlfn.LET(_xlpm.ai_test,TRIM(AJ92),_xlpm.r,IFERROR(_xlfn.XLOOKUP(_xlpm.ai_test,$BJ$15:$BJ$62,ROW($BJ$15:$BJ$62),0,1),IFERROR(_xlfn.XLOOKUP(_xlpm.ai_test,$BK$15:$BK$62,ROW($BK$15:$BK$62),0,1),_xlfn.XLOOKUP(_xlpm.ai_test,$BL$15:$BL$62,ROW($BL$15:$BL$62),0,1))),_xlpm.p,_xlpm.r-MIN(ROW($BJ$15:$BJ$62))+1,_xlpm.f,INDEX($BM$15:$BM$62,_xlpm.p),_xlpm.u,INDEX($BN$15:$BN$62,_xlpm.p),_xlpm.s,INDEX($BP$15:$BP$62,_xlpm.p),_xlpm.q,N(AU92)/_xlpm.f,IF(_xlpm.q&gt;=_xlpm.s,ROUND(_xlpm.q,1)&amp;" "&amp;_xlpm.ai_test&amp;" = "&amp;ROUND(_xlpm.q*_xlpm.f,1)&amp;" "&amp;_xlpm.u,ROUND(_xlpm.q,1)&amp;" "&amp;_xlpm.ai_test)),""),""))))</f>
        <v>0</v>
      </c>
      <c r="AX92" s="6218"/>
      <c r="AY92" s="6271">
        <f t="shared" si="67"/>
        <v>0</v>
      </c>
      <c r="AZ92" s="6242" t="str">
        <f t="shared" si="68"/>
        <v/>
      </c>
      <c r="BA92" s="6194">
        <f t="shared" si="73"/>
        <v>0</v>
      </c>
      <c r="BB92" s="6192" t="str">
        <f t="shared" si="69"/>
        <v/>
      </c>
      <c r="BC92" s="6219"/>
      <c r="BD92" s="6221">
        <f t="shared" si="75"/>
        <v>0</v>
      </c>
      <c r="BE92" s="6220" t="str">
        <f t="shared" si="70"/>
        <v/>
      </c>
      <c r="BF92" s="4" t="s">
        <v>1</v>
      </c>
      <c r="BG92" s="6196">
        <f t="shared" si="71"/>
        <v>0</v>
      </c>
      <c r="BH92" s="6197">
        <f t="shared" si="72"/>
        <v>0</v>
      </c>
      <c r="BJ92" s="1" t="s">
        <v>10685</v>
      </c>
      <c r="BW92"/>
      <c r="BX92" s="20" t="str">
        <f t="shared" si="51"/>
        <v>►</v>
      </c>
      <c r="BY92" s="6313" t="s">
        <v>48</v>
      </c>
      <c r="BZ92" s="6244"/>
      <c r="CA92" s="6244"/>
      <c r="CB92" s="6244"/>
      <c r="CC92" s="6244"/>
      <c r="CD92" s="5661"/>
      <c r="CE92"/>
      <c r="CF92"/>
      <c r="CG92"/>
      <c r="CH92"/>
      <c r="CI92"/>
      <c r="CJ92"/>
      <c r="CK92"/>
      <c r="CM92"/>
      <c r="CN92"/>
      <c r="CO92"/>
      <c r="CP92"/>
      <c r="CQ92"/>
      <c r="CR92"/>
      <c r="CS92"/>
      <c r="CU92"/>
      <c r="CV92"/>
      <c r="CW92"/>
      <c r="CX92"/>
      <c r="CY92"/>
      <c r="CZ92"/>
      <c r="DA92"/>
      <c r="DC92" s="5">
        <v>1</v>
      </c>
    </row>
    <row r="93" spans="1:107" s="1" customFormat="1" ht="21" customHeight="1">
      <c r="A93" s="5641" t="s">
        <v>1</v>
      </c>
      <c r="B93" s="5662" t="str">
        <f t="shared" si="50"/>
        <v>►</v>
      </c>
      <c r="C93" s="5825" cm="1">
        <f t="array" ref="C93">SUMPRODUCT(LEN(D93:J93))</f>
        <v>0</v>
      </c>
      <c r="D93" s="5275"/>
      <c r="E93" s="1361"/>
      <c r="F93" s="1361"/>
      <c r="G93" s="1361"/>
      <c r="H93" s="1361"/>
      <c r="I93" s="1361"/>
      <c r="J93" s="5276"/>
      <c r="K93" s="106"/>
      <c r="L93" s="1021" t="str">
        <f t="shared" si="76"/>
        <v>►</v>
      </c>
      <c r="M93" s="196" t="str">
        <f>M67</f>
        <v>N NAME OF YOUR RECIPE | paste it — FAMILY|  Author &gt; YOU</v>
      </c>
      <c r="N93" s="196">
        <f>N67</f>
        <v>5.23</v>
      </c>
      <c r="O93" s="197" t="str">
        <f>O67</f>
        <v>kg</v>
      </c>
      <c r="P93" s="5388" t="str">
        <f>P67</f>
        <v>Master recipe ► Guinea fowl ballotine</v>
      </c>
      <c r="Q93" s="5275"/>
      <c r="R93" s="1361"/>
      <c r="S93" s="1361"/>
      <c r="T93" s="1361"/>
      <c r="U93" s="1361"/>
      <c r="V93" s="1361"/>
      <c r="W93" s="1361"/>
      <c r="X93" s="1361"/>
      <c r="Y93" s="1361"/>
      <c r="Z93" s="5276"/>
      <c r="AA93" s="141"/>
      <c r="AB93" s="141"/>
      <c r="AC93" s="5273" t="s">
        <v>8362</v>
      </c>
      <c r="AD93" s="5277">
        <v>1.0416666666666666E-2</v>
      </c>
      <c r="AE93" s="4" t="s">
        <v>1</v>
      </c>
      <c r="AF93" s="6202" t="str">
        <f t="shared" si="54"/>
        <v>►</v>
      </c>
      <c r="AG93" s="6234" t="str">
        <f t="shared" si="55"/>
        <v/>
      </c>
      <c r="AH93" s="6732" t="str">
        <f t="shared" si="56"/>
        <v/>
      </c>
      <c r="AI93" s="6234" t="str">
        <f t="shared" si="57"/>
        <v/>
      </c>
      <c r="AJ93" s="6732" t="str">
        <f t="shared" si="58"/>
        <v/>
      </c>
      <c r="AK93" s="6732">
        <f t="shared" si="59"/>
        <v>0</v>
      </c>
      <c r="AL93" s="6230" t="str" cm="1">
        <f t="array" ref="AL93">IF(AF93&lt;&gt;"A","",IFERROR((IFERROR(_xlfn.XLOOKUP(TRIM(SUBSTITUTE(U93,CHAR(160)," ")),$BJ$15:$BJ$62,$BM$15:$BM$62),IFERROR(_xlfn.XLOOKUP(TRIM(SUBSTITUTE(U93,CHAR(160)," ")),$BK$15:$BK$62,$BM$15:$BM$62),_xlfn.XLOOKUP(TRIM(SUBSTITUTE(U93,CHAR(160)," ")),$BL$15:$BL$62,$BM$15:$BM$62))))*T93*IF(ISBLANK(Q93),1,Q93)+IFERROR(_xlfn.XLOOKUP("RECHERCHEX",TRIM(L93:AD93),L93:AD93),0),0))</f>
        <v/>
      </c>
      <c r="AM93" s="6229">
        <f t="shared" si="60"/>
        <v>0</v>
      </c>
      <c r="AN93" s="6857" t="str">
        <f t="shared" si="44"/>
        <v/>
      </c>
      <c r="AO93" s="392">
        <f t="shared" si="61"/>
        <v>0</v>
      </c>
      <c r="AP93" s="392">
        <f t="shared" si="62"/>
        <v>0</v>
      </c>
      <c r="AQ93" s="6191">
        <f t="shared" si="63"/>
        <v>0</v>
      </c>
      <c r="AR93" s="6859" t="str">
        <f t="shared" si="64"/>
        <v/>
      </c>
      <c r="AS93" s="6217"/>
      <c r="AT93" s="6217"/>
      <c r="AU93" s="6272">
        <f t="shared" si="65"/>
        <v>0</v>
      </c>
      <c r="AV93" s="6240">
        <f t="shared" si="66"/>
        <v>0</v>
      </c>
      <c r="AW93" s="6189" cm="1">
        <f t="array" ref="AW93">IF(AK93&lt;&gt;1,0,IF(OR(AU93="",N(AU93)&lt;=0.000000001),"",IF(OR(AO93="",N(AO93)&lt;=0.000000001),0,IF(ISNUMBER(AU93),IFERROR(_xlfn.LET(_xlpm.ai_test,TRIM(AJ93),_xlpm.r,IFERROR(_xlfn.XLOOKUP(_xlpm.ai_test,$BJ$15:$BJ$62,ROW($BJ$15:$BJ$62),0,1),IFERROR(_xlfn.XLOOKUP(_xlpm.ai_test,$BK$15:$BK$62,ROW($BK$15:$BK$62),0,1),_xlfn.XLOOKUP(_xlpm.ai_test,$BL$15:$BL$62,ROW($BL$15:$BL$62),0,1))),_xlpm.p,_xlpm.r-MIN(ROW($BJ$15:$BJ$62))+1,_xlpm.f,INDEX($BM$15:$BM$62,_xlpm.p),_xlpm.u,INDEX($BN$15:$BN$62,_xlpm.p),_xlpm.s,INDEX($BP$15:$BP$62,_xlpm.p),_xlpm.q,N(AU93)/_xlpm.f,IF(_xlpm.q&gt;=_xlpm.s,ROUND(_xlpm.q,1)&amp;" "&amp;_xlpm.ai_test&amp;" = "&amp;ROUND(_xlpm.q*_xlpm.f,1)&amp;" "&amp;_xlpm.u,ROUND(_xlpm.q,1)&amp;" "&amp;_xlpm.ai_test)),""),""))))</f>
        <v>0</v>
      </c>
      <c r="AX93" s="6218"/>
      <c r="AY93" s="6272">
        <f t="shared" si="67"/>
        <v>0</v>
      </c>
      <c r="AZ93" s="6240" t="str">
        <f t="shared" si="68"/>
        <v/>
      </c>
      <c r="BA93" s="6195">
        <f t="shared" si="73"/>
        <v>0</v>
      </c>
      <c r="BB93" s="6193" t="str">
        <f t="shared" si="69"/>
        <v/>
      </c>
      <c r="BC93" s="6219"/>
      <c r="BD93" s="6222">
        <f t="shared" si="75"/>
        <v>0</v>
      </c>
      <c r="BE93" s="6220" t="str">
        <f t="shared" si="70"/>
        <v/>
      </c>
      <c r="BF93" s="4" t="s">
        <v>1</v>
      </c>
      <c r="BG93" s="6196">
        <f t="shared" si="71"/>
        <v>0</v>
      </c>
      <c r="BH93" s="6197">
        <f t="shared" si="72"/>
        <v>0</v>
      </c>
      <c r="BJ93" s="6699" t="s">
        <v>219</v>
      </c>
      <c r="BK93" s="6283" t="s">
        <v>130</v>
      </c>
      <c r="BL93" s="6291" t="s">
        <v>9695</v>
      </c>
      <c r="BM93" s="6287" t="s">
        <v>9604</v>
      </c>
      <c r="BN93" s="6287" t="s">
        <v>9608</v>
      </c>
      <c r="BO93" s="6287" t="s">
        <v>9606</v>
      </c>
      <c r="BP93" s="6702" t="s">
        <v>88</v>
      </c>
      <c r="BQ93" s="6285" t="s">
        <v>172</v>
      </c>
      <c r="BR93" s="6285" t="s">
        <v>170</v>
      </c>
      <c r="BS93" s="6702" t="s">
        <v>166</v>
      </c>
      <c r="BT93" s="6286" t="s">
        <v>9616</v>
      </c>
      <c r="BU93" s="6286" t="s">
        <v>9620</v>
      </c>
      <c r="BV93" s="6282" t="s">
        <v>9622</v>
      </c>
      <c r="BW93"/>
      <c r="BX93" s="20" t="str">
        <f t="shared" si="51"/>
        <v>►</v>
      </c>
      <c r="BY93" s="6312" t="s">
        <v>9677</v>
      </c>
      <c r="BZ93" s="6244"/>
      <c r="CA93" s="6244"/>
      <c r="CB93" s="6244"/>
      <c r="CC93" s="6244"/>
      <c r="CD93" s="5661"/>
      <c r="CE93"/>
      <c r="CF93"/>
      <c r="CG93"/>
      <c r="CH93"/>
      <c r="CI93"/>
      <c r="CJ93"/>
      <c r="CK93"/>
      <c r="CM93"/>
      <c r="CN93"/>
      <c r="CO93"/>
      <c r="CP93"/>
      <c r="CQ93"/>
      <c r="CR93"/>
      <c r="CS93"/>
      <c r="CU93"/>
      <c r="CV93"/>
      <c r="CW93"/>
      <c r="CX93"/>
      <c r="CY93"/>
      <c r="CZ93"/>
      <c r="DA93"/>
      <c r="DC93" s="5">
        <v>1</v>
      </c>
    </row>
    <row r="94" spans="1:107" s="1" customFormat="1" ht="21" customHeight="1">
      <c r="A94" s="5641" t="s">
        <v>1</v>
      </c>
      <c r="B94" s="5662" t="str">
        <f t="shared" si="50"/>
        <v>►</v>
      </c>
      <c r="C94" s="5825" cm="1">
        <f t="array" ref="C94">SUMPRODUCT(LEN(D94:J94))</f>
        <v>0</v>
      </c>
      <c r="D94" s="5275"/>
      <c r="E94" s="1361"/>
      <c r="F94" s="1361"/>
      <c r="G94" s="1361"/>
      <c r="H94" s="1361"/>
      <c r="I94" s="1361"/>
      <c r="J94" s="5276"/>
      <c r="K94" s="106"/>
      <c r="L94" s="1021" t="str">
        <f t="shared" si="76"/>
        <v>►</v>
      </c>
      <c r="M94" s="196" t="str">
        <f>M67</f>
        <v>N NAME OF YOUR RECIPE | paste it — FAMILY|  Author &gt; YOU</v>
      </c>
      <c r="N94" s="196">
        <f>N67</f>
        <v>5.23</v>
      </c>
      <c r="O94" s="197" t="str">
        <f>O67</f>
        <v>kg</v>
      </c>
      <c r="P94" s="5388" t="str">
        <f>P67</f>
        <v>Master recipe ► Guinea fowl ballotine</v>
      </c>
      <c r="Q94" s="5275"/>
      <c r="R94" s="1361"/>
      <c r="S94" s="1361"/>
      <c r="T94" s="1361"/>
      <c r="U94" s="1361"/>
      <c r="V94" s="1361"/>
      <c r="W94" s="1361"/>
      <c r="X94" s="1361"/>
      <c r="Y94" s="1361"/>
      <c r="Z94" s="5276"/>
      <c r="AA94" s="141"/>
      <c r="AB94" s="141"/>
      <c r="AC94" s="5273" t="s">
        <v>8363</v>
      </c>
      <c r="AD94" s="5278">
        <v>2.0833333333333332E-2</v>
      </c>
      <c r="AE94" s="4" t="s">
        <v>1</v>
      </c>
      <c r="AF94" s="6202" t="str">
        <f t="shared" si="54"/>
        <v>►</v>
      </c>
      <c r="AG94" s="6234" t="str">
        <f t="shared" si="55"/>
        <v/>
      </c>
      <c r="AH94" s="6732" t="str">
        <f t="shared" si="56"/>
        <v/>
      </c>
      <c r="AI94" s="6234" t="str">
        <f t="shared" si="57"/>
        <v/>
      </c>
      <c r="AJ94" s="6732" t="str">
        <f t="shared" si="58"/>
        <v/>
      </c>
      <c r="AK94" s="6732">
        <f t="shared" si="59"/>
        <v>0</v>
      </c>
      <c r="AL94" s="6230" t="str" cm="1">
        <f t="array" ref="AL94">IF(AF94&lt;&gt;"A","",IFERROR((IFERROR(_xlfn.XLOOKUP(TRIM(SUBSTITUTE(U94,CHAR(160)," ")),$BJ$15:$BJ$62,$BM$15:$BM$62),IFERROR(_xlfn.XLOOKUP(TRIM(SUBSTITUTE(U94,CHAR(160)," ")),$BK$15:$BK$62,$BM$15:$BM$62),_xlfn.XLOOKUP(TRIM(SUBSTITUTE(U94,CHAR(160)," ")),$BL$15:$BL$62,$BM$15:$BM$62))))*T94*IF(ISBLANK(Q94),1,Q94)+IFERROR(_xlfn.XLOOKUP("RECHERCHEX",TRIM(L94:AD94),L94:AD94),0),0))</f>
        <v/>
      </c>
      <c r="AM94" s="6229">
        <f t="shared" si="60"/>
        <v>0</v>
      </c>
      <c r="AN94" s="6857" t="str">
        <f t="shared" ref="AN94:AN157" si="77">IF(AF94="A","❾ Author reference &gt;","")</f>
        <v/>
      </c>
      <c r="AO94" s="392">
        <f t="shared" si="61"/>
        <v>0</v>
      </c>
      <c r="AP94" s="392">
        <f t="shared" si="62"/>
        <v>0</v>
      </c>
      <c r="AQ94" s="6190">
        <f t="shared" si="63"/>
        <v>0</v>
      </c>
      <c r="AR94" s="6858" t="str">
        <f t="shared" si="64"/>
        <v/>
      </c>
      <c r="AS94" s="6217"/>
      <c r="AT94" s="6217"/>
      <c r="AU94" s="6271">
        <f t="shared" si="65"/>
        <v>0</v>
      </c>
      <c r="AV94" s="6242">
        <f t="shared" si="66"/>
        <v>0</v>
      </c>
      <c r="AW94" s="6188" cm="1">
        <f t="array" ref="AW94">IF(AK94&lt;&gt;1,0,IF(OR(AU94="",N(AU94)&lt;=0.000000001),"",IF(OR(AO94="",N(AO94)&lt;=0.000000001),0,IF(ISNUMBER(AU94),IFERROR(_xlfn.LET(_xlpm.ai_test,TRIM(AJ94),_xlpm.r,IFERROR(_xlfn.XLOOKUP(_xlpm.ai_test,$BJ$15:$BJ$62,ROW($BJ$15:$BJ$62),0,1),IFERROR(_xlfn.XLOOKUP(_xlpm.ai_test,$BK$15:$BK$62,ROW($BK$15:$BK$62),0,1),_xlfn.XLOOKUP(_xlpm.ai_test,$BL$15:$BL$62,ROW($BL$15:$BL$62),0,1))),_xlpm.p,_xlpm.r-MIN(ROW($BJ$15:$BJ$62))+1,_xlpm.f,INDEX($BM$15:$BM$62,_xlpm.p),_xlpm.u,INDEX($BN$15:$BN$62,_xlpm.p),_xlpm.s,INDEX($BP$15:$BP$62,_xlpm.p),_xlpm.q,N(AU94)/_xlpm.f,IF(_xlpm.q&gt;=_xlpm.s,ROUND(_xlpm.q,1)&amp;" "&amp;_xlpm.ai_test&amp;" = "&amp;ROUND(_xlpm.q*_xlpm.f,1)&amp;" "&amp;_xlpm.u,ROUND(_xlpm.q,1)&amp;" "&amp;_xlpm.ai_test)),""),""))))</f>
        <v>0</v>
      </c>
      <c r="AX94" s="6218"/>
      <c r="AY94" s="6271">
        <f t="shared" si="67"/>
        <v>0</v>
      </c>
      <c r="AZ94" s="6242" t="str">
        <f t="shared" si="68"/>
        <v/>
      </c>
      <c r="BA94" s="6194">
        <f t="shared" si="73"/>
        <v>0</v>
      </c>
      <c r="BB94" s="6192" t="str">
        <f t="shared" si="69"/>
        <v/>
      </c>
      <c r="BC94" s="6219"/>
      <c r="BD94" s="6221">
        <f t="shared" si="75"/>
        <v>0</v>
      </c>
      <c r="BE94" s="6220" t="str">
        <f t="shared" si="70"/>
        <v/>
      </c>
      <c r="BF94" s="4" t="s">
        <v>1</v>
      </c>
      <c r="BG94" s="6196">
        <f t="shared" si="71"/>
        <v>0</v>
      </c>
      <c r="BH94" s="6197">
        <f t="shared" si="72"/>
        <v>0</v>
      </c>
      <c r="BJ94" s="6706">
        <v>1</v>
      </c>
      <c r="BK94" s="6707">
        <v>1E-3</v>
      </c>
      <c r="BL94" s="6708">
        <v>0</v>
      </c>
      <c r="BM94" s="6707">
        <v>0.25</v>
      </c>
      <c r="BN94" s="6707">
        <v>0.33332999999999996</v>
      </c>
      <c r="BO94" s="6707">
        <v>0.5</v>
      </c>
      <c r="BP94" s="6709">
        <v>1</v>
      </c>
      <c r="BQ94" s="6709">
        <v>0.1</v>
      </c>
      <c r="BR94" s="6709">
        <v>0.01</v>
      </c>
      <c r="BS94" s="6709">
        <v>1E-3</v>
      </c>
      <c r="BT94" s="6709">
        <v>0.5</v>
      </c>
      <c r="BU94" s="6709">
        <v>0.33300000000000002</v>
      </c>
      <c r="BV94" s="6710">
        <v>0.2</v>
      </c>
      <c r="BW94"/>
      <c r="BX94" s="20" t="str">
        <f t="shared" si="51"/>
        <v>►</v>
      </c>
      <c r="BY94" s="6314" t="s">
        <v>45</v>
      </c>
      <c r="BZ94" s="5783"/>
      <c r="CA94" s="5783"/>
      <c r="CB94" s="5783"/>
      <c r="CC94" s="5783"/>
      <c r="CD94" s="5661"/>
      <c r="CE94"/>
      <c r="CF94"/>
      <c r="CG94"/>
      <c r="CH94"/>
      <c r="CI94"/>
      <c r="CJ94"/>
      <c r="CK94"/>
      <c r="CL94"/>
      <c r="CM94"/>
      <c r="CN94"/>
      <c r="CO94"/>
      <c r="CP94"/>
      <c r="CQ94"/>
      <c r="CR94"/>
      <c r="CS94"/>
      <c r="CT94"/>
      <c r="CU94"/>
      <c r="CV94"/>
      <c r="CW94"/>
      <c r="CX94"/>
      <c r="CY94"/>
      <c r="CZ94"/>
      <c r="DA94"/>
      <c r="DC94" s="5">
        <v>1</v>
      </c>
    </row>
    <row r="95" spans="1:107" s="1" customFormat="1" ht="21" customHeight="1">
      <c r="A95" s="5641" t="s">
        <v>1</v>
      </c>
      <c r="B95" s="5662" t="str">
        <f t="shared" si="50"/>
        <v>►</v>
      </c>
      <c r="C95" s="5825" cm="1">
        <f t="array" ref="C95">SUMPRODUCT(LEN(D95:J95))</f>
        <v>0</v>
      </c>
      <c r="D95" s="5275"/>
      <c r="E95" s="1361"/>
      <c r="F95" s="1361"/>
      <c r="G95" s="1361"/>
      <c r="H95" s="1361"/>
      <c r="I95" s="1361"/>
      <c r="J95" s="5276"/>
      <c r="K95" s="106"/>
      <c r="L95" s="1021" t="str">
        <f t="shared" si="76"/>
        <v>►</v>
      </c>
      <c r="M95" s="196" t="str">
        <f>M67</f>
        <v>N NAME OF YOUR RECIPE | paste it — FAMILY|  Author &gt; YOU</v>
      </c>
      <c r="N95" s="196">
        <f>N67</f>
        <v>5.23</v>
      </c>
      <c r="O95" s="197" t="str">
        <f>O67</f>
        <v>kg</v>
      </c>
      <c r="P95" s="5388" t="str">
        <f>P67</f>
        <v>Master recipe ► Guinea fowl ballotine</v>
      </c>
      <c r="Q95" s="5275"/>
      <c r="R95" s="1361"/>
      <c r="S95" s="1361"/>
      <c r="T95" s="1361"/>
      <c r="U95" s="1361"/>
      <c r="V95" s="1361"/>
      <c r="W95" s="1361"/>
      <c r="X95" s="1361"/>
      <c r="Y95" s="1361"/>
      <c r="Z95" s="5276"/>
      <c r="AA95" s="141"/>
      <c r="AB95" s="141"/>
      <c r="AC95" s="5279" t="s">
        <v>37</v>
      </c>
      <c r="AD95" s="5280">
        <f>AD92+AD93+AD94</f>
        <v>3.4722222222222224E-2</v>
      </c>
      <c r="AE95" s="4" t="s">
        <v>1</v>
      </c>
      <c r="AF95" s="6202" t="str">
        <f t="shared" si="54"/>
        <v>►</v>
      </c>
      <c r="AG95" s="6234" t="str">
        <f t="shared" si="55"/>
        <v/>
      </c>
      <c r="AH95" s="6732" t="str">
        <f t="shared" si="56"/>
        <v/>
      </c>
      <c r="AI95" s="6234" t="str">
        <f t="shared" si="57"/>
        <v/>
      </c>
      <c r="AJ95" s="6732" t="str">
        <f t="shared" si="58"/>
        <v/>
      </c>
      <c r="AK95" s="6732">
        <f t="shared" si="59"/>
        <v>0</v>
      </c>
      <c r="AL95" s="6230" t="str" cm="1">
        <f t="array" ref="AL95">IF(AF95&lt;&gt;"A","",IFERROR((IFERROR(_xlfn.XLOOKUP(TRIM(SUBSTITUTE(U95,CHAR(160)," ")),$BJ$15:$BJ$62,$BM$15:$BM$62),IFERROR(_xlfn.XLOOKUP(TRIM(SUBSTITUTE(U95,CHAR(160)," ")),$BK$15:$BK$62,$BM$15:$BM$62),_xlfn.XLOOKUP(TRIM(SUBSTITUTE(U95,CHAR(160)," ")),$BL$15:$BL$62,$BM$15:$BM$62))))*T95*IF(ISBLANK(Q95),1,Q95)+IFERROR(_xlfn.XLOOKUP("RECHERCHEX",TRIM(L95:AD95),L95:AD95),0),0))</f>
        <v/>
      </c>
      <c r="AM95" s="6229">
        <f t="shared" si="60"/>
        <v>0</v>
      </c>
      <c r="AN95" s="6857" t="str">
        <f t="shared" si="77"/>
        <v/>
      </c>
      <c r="AO95" s="392">
        <f t="shared" si="61"/>
        <v>0</v>
      </c>
      <c r="AP95" s="392">
        <f t="shared" si="62"/>
        <v>0</v>
      </c>
      <c r="AQ95" s="6191">
        <f t="shared" si="63"/>
        <v>0</v>
      </c>
      <c r="AR95" s="6859" t="str">
        <f t="shared" si="64"/>
        <v/>
      </c>
      <c r="AS95" s="6217"/>
      <c r="AT95" s="6217"/>
      <c r="AU95" s="6272">
        <f t="shared" si="65"/>
        <v>0</v>
      </c>
      <c r="AV95" s="6240">
        <f t="shared" si="66"/>
        <v>0</v>
      </c>
      <c r="AW95" s="6189" cm="1">
        <f t="array" ref="AW95">IF(AK95&lt;&gt;1,0,IF(OR(AU95="",N(AU95)&lt;=0.000000001),"",IF(OR(AO95="",N(AO95)&lt;=0.000000001),0,IF(ISNUMBER(AU95),IFERROR(_xlfn.LET(_xlpm.ai_test,TRIM(AJ95),_xlpm.r,IFERROR(_xlfn.XLOOKUP(_xlpm.ai_test,$BJ$15:$BJ$62,ROW($BJ$15:$BJ$62),0,1),IFERROR(_xlfn.XLOOKUP(_xlpm.ai_test,$BK$15:$BK$62,ROW($BK$15:$BK$62),0,1),_xlfn.XLOOKUP(_xlpm.ai_test,$BL$15:$BL$62,ROW($BL$15:$BL$62),0,1))),_xlpm.p,_xlpm.r-MIN(ROW($BJ$15:$BJ$62))+1,_xlpm.f,INDEX($BM$15:$BM$62,_xlpm.p),_xlpm.u,INDEX($BN$15:$BN$62,_xlpm.p),_xlpm.s,INDEX($BP$15:$BP$62,_xlpm.p),_xlpm.q,N(AU95)/_xlpm.f,IF(_xlpm.q&gt;=_xlpm.s,ROUND(_xlpm.q,1)&amp;" "&amp;_xlpm.ai_test&amp;" = "&amp;ROUND(_xlpm.q*_xlpm.f,1)&amp;" "&amp;_xlpm.u,ROUND(_xlpm.q,1)&amp;" "&amp;_xlpm.ai_test)),""),""))))</f>
        <v>0</v>
      </c>
      <c r="AX95" s="6218"/>
      <c r="AY95" s="6272">
        <f t="shared" si="67"/>
        <v>0</v>
      </c>
      <c r="AZ95" s="6240" t="str">
        <f t="shared" si="68"/>
        <v/>
      </c>
      <c r="BA95" s="6195">
        <f t="shared" si="73"/>
        <v>0</v>
      </c>
      <c r="BB95" s="6193" t="str">
        <f t="shared" si="69"/>
        <v/>
      </c>
      <c r="BC95" s="6219"/>
      <c r="BD95" s="6222">
        <f t="shared" si="75"/>
        <v>0</v>
      </c>
      <c r="BE95" s="6220" t="str">
        <f t="shared" si="70"/>
        <v/>
      </c>
      <c r="BF95" s="4" t="s">
        <v>1</v>
      </c>
      <c r="BG95" s="6196">
        <f t="shared" si="71"/>
        <v>0</v>
      </c>
      <c r="BH95" s="6197">
        <f t="shared" si="72"/>
        <v>0</v>
      </c>
      <c r="BJ95" s="6289" t="s">
        <v>9633</v>
      </c>
      <c r="BK95" s="6289" t="s">
        <v>9643</v>
      </c>
      <c r="BL95" s="6291" t="s">
        <v>9695</v>
      </c>
      <c r="BM95" s="6289" t="s">
        <v>9646</v>
      </c>
      <c r="BN95" s="6289" t="s">
        <v>9640</v>
      </c>
      <c r="BO95" s="6289" t="s">
        <v>9696</v>
      </c>
      <c r="BP95" s="6294" t="s">
        <v>9632</v>
      </c>
      <c r="BQ95" s="6281" t="s">
        <v>9697</v>
      </c>
      <c r="BR95" s="6281" t="s">
        <v>9698</v>
      </c>
      <c r="BS95" s="6286" t="s">
        <v>9699</v>
      </c>
      <c r="BT95" s="6286" t="s">
        <v>9618</v>
      </c>
      <c r="BU95" s="6286" t="s">
        <v>9624</v>
      </c>
      <c r="BV95" s="6755" t="s">
        <v>9648</v>
      </c>
      <c r="BW95"/>
      <c r="BX95" s="20" t="str">
        <f t="shared" si="51"/>
        <v>►</v>
      </c>
      <c r="BY95" s="6317" t="s">
        <v>42</v>
      </c>
      <c r="BZ95" s="6244"/>
      <c r="CA95" s="6244"/>
      <c r="CB95" s="5783"/>
      <c r="CC95" s="5783"/>
      <c r="CD95" s="5661"/>
      <c r="CE95"/>
      <c r="CF95"/>
      <c r="CG95"/>
      <c r="CH95"/>
      <c r="CI95"/>
      <c r="CJ95"/>
      <c r="CK95"/>
      <c r="CL95"/>
      <c r="CM95"/>
      <c r="CN95"/>
      <c r="CO95"/>
      <c r="CP95"/>
      <c r="CQ95"/>
      <c r="CR95"/>
      <c r="CS95"/>
      <c r="CT95"/>
      <c r="CU95"/>
      <c r="CV95"/>
      <c r="CW95"/>
      <c r="CX95"/>
      <c r="CY95"/>
      <c r="CZ95"/>
      <c r="DA95"/>
      <c r="DC95" s="5">
        <v>1</v>
      </c>
    </row>
    <row r="96" spans="1:107" s="1" customFormat="1" ht="21" customHeight="1">
      <c r="A96" s="5641" t="s">
        <v>1</v>
      </c>
      <c r="B96" s="5662" t="str">
        <f t="shared" si="50"/>
        <v>►</v>
      </c>
      <c r="C96" s="5825" cm="1">
        <f t="array" ref="C96">SUMPRODUCT(LEN(D96:J96))</f>
        <v>0</v>
      </c>
      <c r="D96" s="5275"/>
      <c r="E96" s="1361"/>
      <c r="F96" s="1361"/>
      <c r="G96" s="1361"/>
      <c r="H96" s="1361"/>
      <c r="I96" s="1361"/>
      <c r="J96" s="5276"/>
      <c r="K96" s="106"/>
      <c r="L96" s="1021" t="str">
        <f t="shared" si="76"/>
        <v>►</v>
      </c>
      <c r="M96" s="196" t="str">
        <f>M67</f>
        <v>N NAME OF YOUR RECIPE | paste it — FAMILY|  Author &gt; YOU</v>
      </c>
      <c r="N96" s="196">
        <f>N67</f>
        <v>5.23</v>
      </c>
      <c r="O96" s="197" t="str">
        <f>O67</f>
        <v>kg</v>
      </c>
      <c r="P96" s="5388" t="str">
        <f>P67</f>
        <v>Master recipe ► Guinea fowl ballotine</v>
      </c>
      <c r="Q96" s="5275"/>
      <c r="R96" s="1361"/>
      <c r="S96" s="1361"/>
      <c r="T96" s="1361"/>
      <c r="U96" s="1361"/>
      <c r="V96" s="1361"/>
      <c r="W96" s="1361"/>
      <c r="X96" s="1361"/>
      <c r="Y96" s="1361"/>
      <c r="Z96" s="5276"/>
      <c r="AA96" s="6896" t="s">
        <v>10039</v>
      </c>
      <c r="AB96" s="6897"/>
      <c r="AC96" s="6897"/>
      <c r="AD96" s="6898"/>
      <c r="AE96" s="4" t="s">
        <v>1</v>
      </c>
      <c r="AF96" s="6202" t="str">
        <f t="shared" si="54"/>
        <v>►</v>
      </c>
      <c r="AG96" s="6234" t="str">
        <f t="shared" si="55"/>
        <v/>
      </c>
      <c r="AH96" s="6732" t="str">
        <f t="shared" si="56"/>
        <v/>
      </c>
      <c r="AI96" s="6234" t="str">
        <f t="shared" si="57"/>
        <v/>
      </c>
      <c r="AJ96" s="6732" t="str">
        <f t="shared" si="58"/>
        <v/>
      </c>
      <c r="AK96" s="6732">
        <f t="shared" si="59"/>
        <v>0</v>
      </c>
      <c r="AL96" s="6230" t="str" cm="1">
        <f t="array" ref="AL96">IF(AF96&lt;&gt;"A","",IFERROR((IFERROR(_xlfn.XLOOKUP(TRIM(SUBSTITUTE(U96,CHAR(160)," ")),$BJ$15:$BJ$62,$BM$15:$BM$62),IFERROR(_xlfn.XLOOKUP(TRIM(SUBSTITUTE(U96,CHAR(160)," ")),$BK$15:$BK$62,$BM$15:$BM$62),_xlfn.XLOOKUP(TRIM(SUBSTITUTE(U96,CHAR(160)," ")),$BL$15:$BL$62,$BM$15:$BM$62))))*T96*IF(ISBLANK(Q96),1,Q96)+IFERROR(_xlfn.XLOOKUP("RECHERCHEX",TRIM(L96:AD96),L96:AD96),0),0))</f>
        <v/>
      </c>
      <c r="AM96" s="6229">
        <f t="shared" si="60"/>
        <v>0</v>
      </c>
      <c r="AN96" s="6857" t="str">
        <f t="shared" si="77"/>
        <v/>
      </c>
      <c r="AO96" s="392">
        <f t="shared" si="61"/>
        <v>0</v>
      </c>
      <c r="AP96" s="392">
        <f t="shared" si="62"/>
        <v>0</v>
      </c>
      <c r="AQ96" s="6190">
        <f t="shared" si="63"/>
        <v>0</v>
      </c>
      <c r="AR96" s="6858" t="str">
        <f t="shared" si="64"/>
        <v/>
      </c>
      <c r="AS96" s="6217"/>
      <c r="AT96" s="6217"/>
      <c r="AU96" s="6271">
        <f t="shared" si="65"/>
        <v>0</v>
      </c>
      <c r="AV96" s="6242">
        <f t="shared" si="66"/>
        <v>0</v>
      </c>
      <c r="AW96" s="6188" cm="1">
        <f t="array" ref="AW96">IF(AK96&lt;&gt;1,0,IF(OR(AU96="",N(AU96)&lt;=0.000000001),"",IF(OR(AO96="",N(AO96)&lt;=0.000000001),0,IF(ISNUMBER(AU96),IFERROR(_xlfn.LET(_xlpm.ai_test,TRIM(AJ96),_xlpm.r,IFERROR(_xlfn.XLOOKUP(_xlpm.ai_test,$BJ$15:$BJ$62,ROW($BJ$15:$BJ$62),0,1),IFERROR(_xlfn.XLOOKUP(_xlpm.ai_test,$BK$15:$BK$62,ROW($BK$15:$BK$62),0,1),_xlfn.XLOOKUP(_xlpm.ai_test,$BL$15:$BL$62,ROW($BL$15:$BL$62),0,1))),_xlpm.p,_xlpm.r-MIN(ROW($BJ$15:$BJ$62))+1,_xlpm.f,INDEX($BM$15:$BM$62,_xlpm.p),_xlpm.u,INDEX($BN$15:$BN$62,_xlpm.p),_xlpm.s,INDEX($BP$15:$BP$62,_xlpm.p),_xlpm.q,N(AU96)/_xlpm.f,IF(_xlpm.q&gt;=_xlpm.s,ROUND(_xlpm.q,1)&amp;" "&amp;_xlpm.ai_test&amp;" = "&amp;ROUND(_xlpm.q*_xlpm.f,1)&amp;" "&amp;_xlpm.u,ROUND(_xlpm.q,1)&amp;" "&amp;_xlpm.ai_test)),""),""))))</f>
        <v>0</v>
      </c>
      <c r="AX96" s="6218"/>
      <c r="AY96" s="6271">
        <f t="shared" si="67"/>
        <v>0</v>
      </c>
      <c r="AZ96" s="6242" t="str">
        <f t="shared" si="68"/>
        <v/>
      </c>
      <c r="BA96" s="6194">
        <f t="shared" si="73"/>
        <v>0</v>
      </c>
      <c r="BB96" s="6192" t="str">
        <f t="shared" si="69"/>
        <v/>
      </c>
      <c r="BC96" s="6219"/>
      <c r="BD96" s="6221">
        <f t="shared" si="75"/>
        <v>0</v>
      </c>
      <c r="BE96" s="6220" t="str">
        <f t="shared" si="70"/>
        <v/>
      </c>
      <c r="BF96" s="4" t="s">
        <v>1</v>
      </c>
      <c r="BG96" s="6196">
        <f t="shared" si="71"/>
        <v>0</v>
      </c>
      <c r="BH96" s="6197">
        <f t="shared" si="72"/>
        <v>0</v>
      </c>
      <c r="BJ96" s="6706">
        <v>2.835E-2</v>
      </c>
      <c r="BK96" s="6707">
        <v>0.13</v>
      </c>
      <c r="BL96" s="6708">
        <v>0</v>
      </c>
      <c r="BM96" s="6707">
        <v>0.2</v>
      </c>
      <c r="BN96" s="6707">
        <v>0.23</v>
      </c>
      <c r="BO96" s="6707">
        <v>0.22500000000000001</v>
      </c>
      <c r="BP96" s="6709">
        <v>0.35</v>
      </c>
      <c r="BQ96" s="6709">
        <v>5.0000000000000001E-3</v>
      </c>
      <c r="BR96" s="6709">
        <v>5.0000000000000001E-3</v>
      </c>
      <c r="BS96" s="6709">
        <v>1.4999999999999999E-2</v>
      </c>
      <c r="BT96" s="6709">
        <v>0.1</v>
      </c>
      <c r="BU96" s="6709">
        <v>0.22500000000000001</v>
      </c>
      <c r="BV96" s="6710">
        <v>1E-3</v>
      </c>
      <c r="BW96"/>
      <c r="BX96" s="20" t="str">
        <f t="shared" si="51"/>
        <v>►</v>
      </c>
      <c r="BY96" s="5783"/>
      <c r="BZ96" s="5783"/>
      <c r="CA96" s="5783"/>
      <c r="CB96" s="5783"/>
      <c r="CC96" s="5783"/>
      <c r="CD96" s="5661"/>
      <c r="CE96"/>
      <c r="CF96"/>
      <c r="CG96"/>
      <c r="CH96"/>
      <c r="CI96"/>
      <c r="CJ96"/>
      <c r="CK96"/>
      <c r="CL96"/>
      <c r="CM96"/>
      <c r="CN96"/>
      <c r="CO96"/>
      <c r="CP96"/>
      <c r="CQ96"/>
      <c r="CR96"/>
      <c r="CS96"/>
      <c r="CT96"/>
      <c r="CU96"/>
      <c r="CV96"/>
      <c r="CW96"/>
      <c r="CX96"/>
      <c r="CY96"/>
      <c r="CZ96"/>
      <c r="DA96"/>
      <c r="DC96" s="5">
        <v>1</v>
      </c>
    </row>
    <row r="97" spans="1:107" s="1" customFormat="1" ht="21" customHeight="1">
      <c r="A97" s="5641" t="s">
        <v>1</v>
      </c>
      <c r="B97" s="5662" t="str">
        <f t="shared" si="50"/>
        <v>►</v>
      </c>
      <c r="C97" s="5825" cm="1">
        <f t="array" ref="C97">SUMPRODUCT(LEN(D97:J97))</f>
        <v>0</v>
      </c>
      <c r="D97" s="5275"/>
      <c r="E97" s="1361"/>
      <c r="F97" s="1361"/>
      <c r="G97" s="1361"/>
      <c r="H97" s="1361"/>
      <c r="I97" s="1361"/>
      <c r="J97" s="5276"/>
      <c r="K97" s="106"/>
      <c r="L97" s="1021" t="str">
        <f t="shared" si="76"/>
        <v>►</v>
      </c>
      <c r="M97" s="196" t="str">
        <f>M67</f>
        <v>N NAME OF YOUR RECIPE | paste it — FAMILY|  Author &gt; YOU</v>
      </c>
      <c r="N97" s="196">
        <f>N67</f>
        <v>5.23</v>
      </c>
      <c r="O97" s="197" t="str">
        <f>O67</f>
        <v>kg</v>
      </c>
      <c r="P97" s="5388" t="str">
        <f>P67</f>
        <v>Master recipe ► Guinea fowl ballotine</v>
      </c>
      <c r="Q97" s="5275"/>
      <c r="R97" s="1361"/>
      <c r="S97" s="1361"/>
      <c r="T97" s="1361"/>
      <c r="U97" s="1361"/>
      <c r="V97" s="1361"/>
      <c r="W97" s="1361"/>
      <c r="X97" s="1361"/>
      <c r="Y97" s="1361"/>
      <c r="Z97" s="5276"/>
      <c r="AA97" s="6205" t="s">
        <v>8365</v>
      </c>
      <c r="AB97" s="147"/>
      <c r="AC97" s="6808" t="s">
        <v>8367</v>
      </c>
      <c r="AD97" s="6208">
        <f>AA100*AA98</f>
        <v>225</v>
      </c>
      <c r="AE97" s="4" t="s">
        <v>1</v>
      </c>
      <c r="AF97" s="6202" t="str">
        <f t="shared" si="54"/>
        <v>►</v>
      </c>
      <c r="AG97" s="6234" t="str">
        <f t="shared" si="55"/>
        <v/>
      </c>
      <c r="AH97" s="6732" t="str">
        <f t="shared" si="56"/>
        <v/>
      </c>
      <c r="AI97" s="6234" t="str">
        <f t="shared" si="57"/>
        <v/>
      </c>
      <c r="AJ97" s="6732" t="str">
        <f t="shared" si="58"/>
        <v/>
      </c>
      <c r="AK97" s="6732">
        <f t="shared" si="59"/>
        <v>0</v>
      </c>
      <c r="AL97" s="6230" t="str" cm="1">
        <f t="array" ref="AL97">IF(AF97&lt;&gt;"A","",IFERROR((IFERROR(_xlfn.XLOOKUP(TRIM(SUBSTITUTE(U97,CHAR(160)," ")),$BJ$15:$BJ$62,$BM$15:$BM$62),IFERROR(_xlfn.XLOOKUP(TRIM(SUBSTITUTE(U97,CHAR(160)," ")),$BK$15:$BK$62,$BM$15:$BM$62),_xlfn.XLOOKUP(TRIM(SUBSTITUTE(U97,CHAR(160)," ")),$BL$15:$BL$62,$BM$15:$BM$62))))*T97*IF(ISBLANK(Q97),1,Q97)+IFERROR(_xlfn.XLOOKUP("RECHERCHEX",TRIM(L97:AD97),L97:AD97),0),0))</f>
        <v/>
      </c>
      <c r="AM97" s="6229">
        <f t="shared" si="60"/>
        <v>0</v>
      </c>
      <c r="AN97" s="6857" t="str">
        <f t="shared" si="77"/>
        <v/>
      </c>
      <c r="AO97" s="392">
        <f t="shared" si="61"/>
        <v>0</v>
      </c>
      <c r="AP97" s="392">
        <f t="shared" si="62"/>
        <v>0</v>
      </c>
      <c r="AQ97" s="6191">
        <f t="shared" si="63"/>
        <v>0</v>
      </c>
      <c r="AR97" s="6859" t="str">
        <f t="shared" si="64"/>
        <v/>
      </c>
      <c r="AS97" s="6217"/>
      <c r="AT97" s="6217"/>
      <c r="AU97" s="6272">
        <f t="shared" si="65"/>
        <v>0</v>
      </c>
      <c r="AV97" s="6240">
        <f t="shared" si="66"/>
        <v>0</v>
      </c>
      <c r="AW97" s="6189" cm="1">
        <f t="array" ref="AW97">IF(AK97&lt;&gt;1,0,IF(OR(AU97="",N(AU97)&lt;=0.000000001),"",IF(OR(AO97="",N(AO97)&lt;=0.000000001),0,IF(ISNUMBER(AU97),IFERROR(_xlfn.LET(_xlpm.ai_test,TRIM(AJ97),_xlpm.r,IFERROR(_xlfn.XLOOKUP(_xlpm.ai_test,$BJ$15:$BJ$62,ROW($BJ$15:$BJ$62),0,1),IFERROR(_xlfn.XLOOKUP(_xlpm.ai_test,$BK$15:$BK$62,ROW($BK$15:$BK$62),0,1),_xlfn.XLOOKUP(_xlpm.ai_test,$BL$15:$BL$62,ROW($BL$15:$BL$62),0,1))),_xlpm.p,_xlpm.r-MIN(ROW($BJ$15:$BJ$62))+1,_xlpm.f,INDEX($BM$15:$BM$62,_xlpm.p),_xlpm.u,INDEX($BN$15:$BN$62,_xlpm.p),_xlpm.s,INDEX($BP$15:$BP$62,_xlpm.p),_xlpm.q,N(AU97)/_xlpm.f,IF(_xlpm.q&gt;=_xlpm.s,ROUND(_xlpm.q,1)&amp;" "&amp;_xlpm.ai_test&amp;" = "&amp;ROUND(_xlpm.q*_xlpm.f,1)&amp;" "&amp;_xlpm.u,ROUND(_xlpm.q,1)&amp;" "&amp;_xlpm.ai_test)),""),""))))</f>
        <v>0</v>
      </c>
      <c r="AX97" s="6218"/>
      <c r="AY97" s="6272">
        <f t="shared" si="67"/>
        <v>0</v>
      </c>
      <c r="AZ97" s="6240" t="str">
        <f t="shared" si="68"/>
        <v/>
      </c>
      <c r="BA97" s="6195">
        <f t="shared" si="73"/>
        <v>0</v>
      </c>
      <c r="BB97" s="6193" t="str">
        <f t="shared" si="69"/>
        <v/>
      </c>
      <c r="BC97" s="6219"/>
      <c r="BD97" s="6222">
        <f t="shared" si="75"/>
        <v>0</v>
      </c>
      <c r="BE97" s="6220" t="str">
        <f t="shared" si="70"/>
        <v/>
      </c>
      <c r="BF97" s="4" t="s">
        <v>1</v>
      </c>
      <c r="BG97" s="6196">
        <f t="shared" si="71"/>
        <v>0</v>
      </c>
      <c r="BH97" s="6197">
        <f t="shared" si="72"/>
        <v>0</v>
      </c>
      <c r="BJ97" s="6757" t="s">
        <v>8915</v>
      </c>
      <c r="BK97" s="5405"/>
      <c r="BL97" s="5405"/>
      <c r="BM97" s="5405"/>
      <c r="BN97" s="5405"/>
      <c r="BO97" s="5405"/>
      <c r="BP97" s="5405"/>
      <c r="BQ97" s="5405"/>
      <c r="BR97" s="5405"/>
      <c r="BS97" s="5405"/>
      <c r="BT97" s="5405"/>
      <c r="BU97" s="5405"/>
      <c r="BV97" s="5405"/>
      <c r="BW97"/>
      <c r="BX97" s="20" t="str">
        <f t="shared" si="51"/>
        <v>►</v>
      </c>
      <c r="BY97" s="6306"/>
      <c r="BZ97" s="6243"/>
      <c r="CA97" s="6243"/>
      <c r="CB97" s="6243"/>
      <c r="CC97" s="5783"/>
      <c r="CD97" s="5661"/>
      <c r="CE97"/>
      <c r="CF97"/>
      <c r="CG97"/>
      <c r="CH97"/>
      <c r="CI97"/>
      <c r="CJ97"/>
      <c r="CK97"/>
      <c r="CL97"/>
      <c r="CM97"/>
      <c r="CN97"/>
      <c r="CO97"/>
      <c r="CP97"/>
      <c r="CQ97"/>
      <c r="CR97"/>
      <c r="CS97"/>
      <c r="CT97"/>
      <c r="CU97"/>
      <c r="CV97"/>
      <c r="CW97"/>
      <c r="CX97"/>
      <c r="CY97"/>
      <c r="CZ97"/>
      <c r="DA97"/>
      <c r="DC97" s="5">
        <v>1</v>
      </c>
    </row>
    <row r="98" spans="1:107" s="1" customFormat="1" ht="21" customHeight="1">
      <c r="A98" s="5641" t="s">
        <v>1</v>
      </c>
      <c r="B98" s="5662" t="str">
        <f t="shared" si="50"/>
        <v>►</v>
      </c>
      <c r="C98" s="5825" cm="1">
        <f t="array" ref="C98">SUMPRODUCT(LEN(D98:J98))</f>
        <v>0</v>
      </c>
      <c r="D98" s="5275"/>
      <c r="E98" s="1361"/>
      <c r="F98" s="1361"/>
      <c r="G98" s="1361"/>
      <c r="H98" s="1361"/>
      <c r="I98" s="1361"/>
      <c r="J98" s="5276"/>
      <c r="K98" s="106"/>
      <c r="L98" s="1021" t="str">
        <f t="shared" si="76"/>
        <v>►</v>
      </c>
      <c r="M98" s="196" t="str">
        <f>M67</f>
        <v>N NAME OF YOUR RECIPE | paste it — FAMILY|  Author &gt; YOU</v>
      </c>
      <c r="N98" s="196">
        <f>N67</f>
        <v>5.23</v>
      </c>
      <c r="O98" s="197" t="str">
        <f>O67</f>
        <v>kg</v>
      </c>
      <c r="P98" s="5388" t="str">
        <f>P67</f>
        <v>Master recipe ► Guinea fowl ballotine</v>
      </c>
      <c r="Q98" s="5275"/>
      <c r="R98" s="1361"/>
      <c r="S98" s="1361"/>
      <c r="T98" s="1361"/>
      <c r="U98" s="1361"/>
      <c r="V98" s="1361"/>
      <c r="W98" s="1361"/>
      <c r="X98" s="1361"/>
      <c r="Y98" s="1361"/>
      <c r="Z98" s="5276"/>
      <c r="AA98" s="6206">
        <v>150</v>
      </c>
      <c r="AB98" s="4691" t="s">
        <v>8366</v>
      </c>
      <c r="AC98" s="6899" t="s">
        <v>8368</v>
      </c>
      <c r="AD98" s="6900"/>
      <c r="AE98" s="4" t="s">
        <v>1</v>
      </c>
      <c r="AF98" s="6202" t="str">
        <f t="shared" si="54"/>
        <v>►</v>
      </c>
      <c r="AG98" s="6234" t="str">
        <f t="shared" si="55"/>
        <v/>
      </c>
      <c r="AH98" s="6732" t="str">
        <f t="shared" si="56"/>
        <v/>
      </c>
      <c r="AI98" s="6234" t="str">
        <f t="shared" si="57"/>
        <v/>
      </c>
      <c r="AJ98" s="6732" t="str">
        <f t="shared" si="58"/>
        <v/>
      </c>
      <c r="AK98" s="6732">
        <f t="shared" si="59"/>
        <v>0</v>
      </c>
      <c r="AL98" s="6230" t="str" cm="1">
        <f t="array" ref="AL98">IF(AF98&lt;&gt;"A","",IFERROR((IFERROR(_xlfn.XLOOKUP(TRIM(SUBSTITUTE(U98,CHAR(160)," ")),$BJ$15:$BJ$62,$BM$15:$BM$62),IFERROR(_xlfn.XLOOKUP(TRIM(SUBSTITUTE(U98,CHAR(160)," ")),$BK$15:$BK$62,$BM$15:$BM$62),_xlfn.XLOOKUP(TRIM(SUBSTITUTE(U98,CHAR(160)," ")),$BL$15:$BL$62,$BM$15:$BM$62))))*T98*IF(ISBLANK(Q98),1,Q98)+IFERROR(_xlfn.XLOOKUP("RECHERCHEX",TRIM(L98:AD98),L98:AD98),0),0))</f>
        <v/>
      </c>
      <c r="AM98" s="6229">
        <f t="shared" si="60"/>
        <v>0</v>
      </c>
      <c r="AN98" s="6857" t="str">
        <f t="shared" si="77"/>
        <v/>
      </c>
      <c r="AO98" s="392">
        <f t="shared" si="61"/>
        <v>0</v>
      </c>
      <c r="AP98" s="392">
        <f t="shared" si="62"/>
        <v>0</v>
      </c>
      <c r="AQ98" s="6190">
        <f t="shared" si="63"/>
        <v>0</v>
      </c>
      <c r="AR98" s="6858" t="str">
        <f t="shared" si="64"/>
        <v/>
      </c>
      <c r="AS98" s="6217"/>
      <c r="AT98" s="6217"/>
      <c r="AU98" s="6271">
        <f t="shared" si="65"/>
        <v>0</v>
      </c>
      <c r="AV98" s="6242">
        <f t="shared" si="66"/>
        <v>0</v>
      </c>
      <c r="AW98" s="6188" cm="1">
        <f t="array" ref="AW98">IF(AK98&lt;&gt;1,0,IF(OR(AU98="",N(AU98)&lt;=0.000000001),"",IF(OR(AO98="",N(AO98)&lt;=0.000000001),0,IF(ISNUMBER(AU98),IFERROR(_xlfn.LET(_xlpm.ai_test,TRIM(AJ98),_xlpm.r,IFERROR(_xlfn.XLOOKUP(_xlpm.ai_test,$BJ$15:$BJ$62,ROW($BJ$15:$BJ$62),0,1),IFERROR(_xlfn.XLOOKUP(_xlpm.ai_test,$BK$15:$BK$62,ROW($BK$15:$BK$62),0,1),_xlfn.XLOOKUP(_xlpm.ai_test,$BL$15:$BL$62,ROW($BL$15:$BL$62),0,1))),_xlpm.p,_xlpm.r-MIN(ROW($BJ$15:$BJ$62))+1,_xlpm.f,INDEX($BM$15:$BM$62,_xlpm.p),_xlpm.u,INDEX($BN$15:$BN$62,_xlpm.p),_xlpm.s,INDEX($BP$15:$BP$62,_xlpm.p),_xlpm.q,N(AU98)/_xlpm.f,IF(_xlpm.q&gt;=_xlpm.s,ROUND(_xlpm.q,1)&amp;" "&amp;_xlpm.ai_test&amp;" = "&amp;ROUND(_xlpm.q*_xlpm.f,1)&amp;" "&amp;_xlpm.u,ROUND(_xlpm.q,1)&amp;" "&amp;_xlpm.ai_test)),""),""))))</f>
        <v>0</v>
      </c>
      <c r="AX98" s="6218"/>
      <c r="AY98" s="6271">
        <f t="shared" si="67"/>
        <v>0</v>
      </c>
      <c r="AZ98" s="6242" t="str">
        <f t="shared" si="68"/>
        <v/>
      </c>
      <c r="BA98" s="6194">
        <f t="shared" si="73"/>
        <v>0</v>
      </c>
      <c r="BB98" s="6192" t="str">
        <f t="shared" si="69"/>
        <v/>
      </c>
      <c r="BC98" s="6219"/>
      <c r="BD98" s="6221">
        <f t="shared" si="75"/>
        <v>0</v>
      </c>
      <c r="BE98" s="6220" t="str">
        <f t="shared" si="70"/>
        <v/>
      </c>
      <c r="BF98" s="4" t="s">
        <v>1</v>
      </c>
      <c r="BG98" s="6196">
        <f t="shared" si="71"/>
        <v>0</v>
      </c>
      <c r="BH98" s="6197">
        <f t="shared" si="72"/>
        <v>0</v>
      </c>
      <c r="BJ98" s="6758" t="s">
        <v>10013</v>
      </c>
      <c r="BK98" s="6756"/>
      <c r="BL98" s="6756"/>
      <c r="BM98" s="6756"/>
      <c r="BN98" s="6756"/>
      <c r="BO98" s="6756"/>
      <c r="BP98" s="6756"/>
      <c r="BQ98" s="6756"/>
      <c r="BR98" s="6756"/>
      <c r="BS98" s="6756"/>
      <c r="BT98" s="6756"/>
      <c r="BU98" s="6756"/>
      <c r="BV98" s="6756"/>
      <c r="BW98"/>
      <c r="BX98" s="20" t="str">
        <f t="shared" si="51"/>
        <v>►</v>
      </c>
      <c r="BY98" s="6306"/>
      <c r="BZ98" s="6243"/>
      <c r="CA98" s="6243"/>
      <c r="CB98" s="6243"/>
      <c r="CC98" s="5783"/>
      <c r="CD98" s="5661"/>
      <c r="CE98"/>
      <c r="CF98"/>
      <c r="CG98"/>
      <c r="CH98"/>
      <c r="CI98"/>
      <c r="CJ98"/>
      <c r="CK98"/>
      <c r="CL98"/>
      <c r="CM98"/>
      <c r="CN98"/>
      <c r="CO98"/>
      <c r="CP98"/>
      <c r="CQ98"/>
      <c r="CR98"/>
      <c r="CS98"/>
      <c r="CT98"/>
      <c r="CU98"/>
      <c r="CV98"/>
      <c r="CW98"/>
      <c r="CX98"/>
      <c r="CY98"/>
      <c r="CZ98"/>
      <c r="DA98"/>
      <c r="DC98" s="5">
        <v>1</v>
      </c>
    </row>
    <row r="99" spans="1:107" s="1" customFormat="1" ht="21" customHeight="1">
      <c r="A99" s="5641" t="s">
        <v>1</v>
      </c>
      <c r="B99" s="5662" t="str">
        <f t="shared" si="50"/>
        <v>►</v>
      </c>
      <c r="C99" s="5825" cm="1">
        <f t="array" ref="C99">SUMPRODUCT(LEN(D99:J99))</f>
        <v>0</v>
      </c>
      <c r="D99" s="5275"/>
      <c r="E99" s="1361"/>
      <c r="F99" s="1361"/>
      <c r="G99" s="1361"/>
      <c r="H99" s="1361"/>
      <c r="I99" s="1361"/>
      <c r="J99" s="5276"/>
      <c r="K99" s="106"/>
      <c r="L99" s="1021" t="str">
        <f t="shared" si="76"/>
        <v>►</v>
      </c>
      <c r="M99" s="196" t="str">
        <f>M67</f>
        <v>N NAME OF YOUR RECIPE | paste it — FAMILY|  Author &gt; YOU</v>
      </c>
      <c r="N99" s="196">
        <f>N67</f>
        <v>5.23</v>
      </c>
      <c r="O99" s="197" t="str">
        <f>O67</f>
        <v>kg</v>
      </c>
      <c r="P99" s="5388" t="str">
        <f>P67</f>
        <v>Master recipe ► Guinea fowl ballotine</v>
      </c>
      <c r="Q99" s="5275"/>
      <c r="R99" s="1361"/>
      <c r="S99" s="1361"/>
      <c r="T99" s="1361"/>
      <c r="U99" s="1361"/>
      <c r="V99" s="1361"/>
      <c r="W99" s="1361"/>
      <c r="X99" s="1361"/>
      <c r="Y99" s="1361"/>
      <c r="Z99" s="5276"/>
      <c r="AA99" s="6874" t="s">
        <v>8372</v>
      </c>
      <c r="AB99" s="6875"/>
      <c r="AC99" s="6809" t="s">
        <v>10038</v>
      </c>
      <c r="AD99" s="609"/>
      <c r="AE99" s="4" t="s">
        <v>1</v>
      </c>
      <c r="AF99" s="6202" t="str">
        <f t="shared" si="54"/>
        <v>►</v>
      </c>
      <c r="AG99" s="6234" t="str">
        <f t="shared" si="55"/>
        <v/>
      </c>
      <c r="AH99" s="6732" t="str">
        <f t="shared" si="56"/>
        <v/>
      </c>
      <c r="AI99" s="6234" t="str">
        <f t="shared" si="57"/>
        <v/>
      </c>
      <c r="AJ99" s="6732" t="str">
        <f t="shared" si="58"/>
        <v/>
      </c>
      <c r="AK99" s="6732">
        <f t="shared" si="59"/>
        <v>0</v>
      </c>
      <c r="AL99" s="6230" t="str" cm="1">
        <f t="array" ref="AL99">IF(AF99&lt;&gt;"A","",IFERROR((IFERROR(_xlfn.XLOOKUP(TRIM(SUBSTITUTE(U99,CHAR(160)," ")),$BJ$15:$BJ$62,$BM$15:$BM$62),IFERROR(_xlfn.XLOOKUP(TRIM(SUBSTITUTE(U99,CHAR(160)," ")),$BK$15:$BK$62,$BM$15:$BM$62),_xlfn.XLOOKUP(TRIM(SUBSTITUTE(U99,CHAR(160)," ")),$BL$15:$BL$62,$BM$15:$BM$62))))*T99*IF(ISBLANK(Q99),1,Q99)+IFERROR(_xlfn.XLOOKUP("RECHERCHEX",TRIM(L99:AD99),L99:AD99),0),0))</f>
        <v/>
      </c>
      <c r="AM99" s="6229">
        <f t="shared" si="60"/>
        <v>0</v>
      </c>
      <c r="AN99" s="6857" t="str">
        <f t="shared" si="77"/>
        <v/>
      </c>
      <c r="AO99" s="392">
        <f t="shared" si="61"/>
        <v>0</v>
      </c>
      <c r="AP99" s="392">
        <f t="shared" si="62"/>
        <v>0</v>
      </c>
      <c r="AQ99" s="6191">
        <f t="shared" si="63"/>
        <v>0</v>
      </c>
      <c r="AR99" s="6859" t="str">
        <f t="shared" si="64"/>
        <v/>
      </c>
      <c r="AS99" s="6217"/>
      <c r="AT99" s="6217"/>
      <c r="AU99" s="6272">
        <f t="shared" si="65"/>
        <v>0</v>
      </c>
      <c r="AV99" s="6240">
        <f t="shared" si="66"/>
        <v>0</v>
      </c>
      <c r="AW99" s="6189" cm="1">
        <f t="array" ref="AW99">IF(AK99&lt;&gt;1,0,IF(OR(AU99="",N(AU99)&lt;=0.000000001),"",IF(OR(AO99="",N(AO99)&lt;=0.000000001),0,IF(ISNUMBER(AU99),IFERROR(_xlfn.LET(_xlpm.ai_test,TRIM(AJ99),_xlpm.r,IFERROR(_xlfn.XLOOKUP(_xlpm.ai_test,$BJ$15:$BJ$62,ROW($BJ$15:$BJ$62),0,1),IFERROR(_xlfn.XLOOKUP(_xlpm.ai_test,$BK$15:$BK$62,ROW($BK$15:$BK$62),0,1),_xlfn.XLOOKUP(_xlpm.ai_test,$BL$15:$BL$62,ROW($BL$15:$BL$62),0,1))),_xlpm.p,_xlpm.r-MIN(ROW($BJ$15:$BJ$62))+1,_xlpm.f,INDEX($BM$15:$BM$62,_xlpm.p),_xlpm.u,INDEX($BN$15:$BN$62,_xlpm.p),_xlpm.s,INDEX($BP$15:$BP$62,_xlpm.p),_xlpm.q,N(AU99)/_xlpm.f,IF(_xlpm.q&gt;=_xlpm.s,ROUND(_xlpm.q,1)&amp;" "&amp;_xlpm.ai_test&amp;" = "&amp;ROUND(_xlpm.q*_xlpm.f,1)&amp;" "&amp;_xlpm.u,ROUND(_xlpm.q,1)&amp;" "&amp;_xlpm.ai_test)),""),""))))</f>
        <v>0</v>
      </c>
      <c r="AX99" s="6218"/>
      <c r="AY99" s="6272">
        <f t="shared" si="67"/>
        <v>0</v>
      </c>
      <c r="AZ99" s="6240" t="str">
        <f t="shared" si="68"/>
        <v/>
      </c>
      <c r="BA99" s="6195">
        <f t="shared" si="73"/>
        <v>0</v>
      </c>
      <c r="BB99" s="6193" t="str">
        <f t="shared" si="69"/>
        <v/>
      </c>
      <c r="BC99" s="6219"/>
      <c r="BD99" s="6222">
        <f t="shared" si="75"/>
        <v>0</v>
      </c>
      <c r="BE99" s="6220" t="str">
        <f t="shared" si="70"/>
        <v/>
      </c>
      <c r="BF99" s="4" t="s">
        <v>1</v>
      </c>
      <c r="BG99" s="6196">
        <f t="shared" si="71"/>
        <v>0</v>
      </c>
      <c r="BH99" s="6197">
        <f t="shared" si="72"/>
        <v>0</v>
      </c>
      <c r="BJ99" s="6910" t="s">
        <v>10022</v>
      </c>
      <c r="BK99" s="6910"/>
      <c r="BL99" s="6910"/>
      <c r="BM99" s="6910"/>
      <c r="BN99" s="6910"/>
      <c r="BO99" s="6910"/>
      <c r="BP99" s="6910"/>
      <c r="BQ99" s="6910"/>
      <c r="BR99" s="6910"/>
      <c r="BS99" s="6910"/>
      <c r="BT99" s="6910"/>
      <c r="BU99" s="6910"/>
      <c r="BV99" s="6910"/>
      <c r="BW99"/>
      <c r="BX99" s="20" t="str">
        <f t="shared" si="51"/>
        <v>►</v>
      </c>
      <c r="BY99" s="6306" t="s">
        <v>10686</v>
      </c>
      <c r="BZ99" s="6243"/>
      <c r="CA99" s="6243"/>
      <c r="CB99" s="6243"/>
      <c r="CC99" s="5783"/>
      <c r="CD99" s="5661"/>
      <c r="CE99"/>
      <c r="CF99"/>
      <c r="CG99"/>
      <c r="CH99"/>
      <c r="CI99"/>
      <c r="CJ99"/>
      <c r="CK99"/>
      <c r="CL99"/>
      <c r="CM99"/>
      <c r="CN99"/>
      <c r="CO99"/>
      <c r="CP99"/>
      <c r="CQ99"/>
      <c r="CR99"/>
      <c r="CS99"/>
      <c r="CT99"/>
      <c r="CU99"/>
      <c r="CV99"/>
      <c r="CW99"/>
      <c r="CX99"/>
      <c r="CY99"/>
      <c r="CZ99"/>
      <c r="DA99"/>
      <c r="DC99" s="5">
        <v>1</v>
      </c>
    </row>
    <row r="100" spans="1:107" s="1" customFormat="1" ht="21" customHeight="1" thickBot="1">
      <c r="A100" s="5641" t="s">
        <v>1</v>
      </c>
      <c r="B100" s="5662" t="str">
        <f t="shared" si="50"/>
        <v>A</v>
      </c>
      <c r="C100" s="5825" cm="1">
        <f t="array" ref="C100">SUMPRODUCT(LEN(D100:J100))</f>
        <v>0</v>
      </c>
      <c r="D100" s="5275"/>
      <c r="E100" s="1361"/>
      <c r="F100" s="1361"/>
      <c r="G100" s="1361"/>
      <c r="H100" s="1361"/>
      <c r="I100" s="1361"/>
      <c r="J100" s="5276"/>
      <c r="K100" s="106"/>
      <c r="L100" s="1021" t="str">
        <f t="shared" si="76"/>
        <v>A</v>
      </c>
      <c r="M100" s="196" t="str">
        <f>M67</f>
        <v>N NAME OF YOUR RECIPE | paste it — FAMILY|  Author &gt; YOU</v>
      </c>
      <c r="N100" s="196">
        <f>N67</f>
        <v>5.23</v>
      </c>
      <c r="O100" s="197" t="str">
        <f>O67</f>
        <v>kg</v>
      </c>
      <c r="P100" s="5388" t="str">
        <f>P67</f>
        <v>Master recipe ► Guinea fowl ballotine</v>
      </c>
      <c r="Q100" s="5275"/>
      <c r="R100" s="1361"/>
      <c r="S100" s="6733" t="s">
        <v>9693</v>
      </c>
      <c r="T100" s="5306" t="s">
        <v>269</v>
      </c>
      <c r="U100" s="1361" t="s">
        <v>10000</v>
      </c>
      <c r="V100" s="1361"/>
      <c r="W100" s="1361"/>
      <c r="X100" s="1361"/>
      <c r="Y100" s="1361"/>
      <c r="Z100" s="5276"/>
      <c r="AA100" s="6207">
        <v>1.5</v>
      </c>
      <c r="AB100" s="920" t="str">
        <f>"&lt; Nb of "&amp;AC98&amp;" per person "</f>
        <v xml:space="preserve">&lt; Nb of slices per person </v>
      </c>
      <c r="AC100" s="5286"/>
      <c r="AD100" s="762"/>
      <c r="AE100" s="4" t="s">
        <v>1</v>
      </c>
      <c r="AF100" s="6202" t="str">
        <f t="shared" si="54"/>
        <v>►</v>
      </c>
      <c r="AG100" s="6234" t="str">
        <f t="shared" si="55"/>
        <v/>
      </c>
      <c r="AH100" s="6732" t="str">
        <f t="shared" si="56"/>
        <v/>
      </c>
      <c r="AI100" s="6234" t="str">
        <f t="shared" si="57"/>
        <v/>
      </c>
      <c r="AJ100" s="6732" t="str">
        <f t="shared" si="58"/>
        <v/>
      </c>
      <c r="AK100" s="6732">
        <f t="shared" si="59"/>
        <v>0</v>
      </c>
      <c r="AL100" s="6230" t="str" cm="1">
        <f t="array" ref="AL100">IF(AF100&lt;&gt;"A","",IFERROR((IFERROR(_xlfn.XLOOKUP(TRIM(SUBSTITUTE(U100,CHAR(160)," ")),$BJ$15:$BJ$62,$BM$15:$BM$62),IFERROR(_xlfn.XLOOKUP(TRIM(SUBSTITUTE(U100,CHAR(160)," ")),$BK$15:$BK$62,$BM$15:$BM$62),_xlfn.XLOOKUP(TRIM(SUBSTITUTE(U100,CHAR(160)," ")),$BL$15:$BL$62,$BM$15:$BM$62))))*T100*IF(ISBLANK(Q100),1,Q100)+IFERROR(_xlfn.XLOOKUP("RECHERCHEX",TRIM(L100:AD100),L100:AD100),0),0))</f>
        <v/>
      </c>
      <c r="AM100" s="6229">
        <f t="shared" si="60"/>
        <v>0</v>
      </c>
      <c r="AN100" s="6857" t="str">
        <f t="shared" si="77"/>
        <v/>
      </c>
      <c r="AO100" s="392">
        <f t="shared" si="61"/>
        <v>0</v>
      </c>
      <c r="AP100" s="392">
        <f t="shared" si="62"/>
        <v>0</v>
      </c>
      <c r="AQ100" s="6190">
        <f t="shared" si="63"/>
        <v>0</v>
      </c>
      <c r="AR100" s="6858" t="str">
        <f t="shared" si="64"/>
        <v/>
      </c>
      <c r="AS100" s="6217"/>
      <c r="AT100" s="6217"/>
      <c r="AU100" s="6271">
        <f t="shared" si="65"/>
        <v>0</v>
      </c>
      <c r="AV100" s="6242">
        <f t="shared" si="66"/>
        <v>0</v>
      </c>
      <c r="AW100" s="6188" cm="1">
        <f t="array" ref="AW100">IF(AK100&lt;&gt;1,0,IF(OR(AU100="",N(AU100)&lt;=0.000000001),"",IF(OR(AO100="",N(AO100)&lt;=0.000000001),0,IF(ISNUMBER(AU100),IFERROR(_xlfn.LET(_xlpm.ai_test,TRIM(AJ100),_xlpm.r,IFERROR(_xlfn.XLOOKUP(_xlpm.ai_test,$BJ$15:$BJ$62,ROW($BJ$15:$BJ$62),0,1),IFERROR(_xlfn.XLOOKUP(_xlpm.ai_test,$BK$15:$BK$62,ROW($BK$15:$BK$62),0,1),_xlfn.XLOOKUP(_xlpm.ai_test,$BL$15:$BL$62,ROW($BL$15:$BL$62),0,1))),_xlpm.p,_xlpm.r-MIN(ROW($BJ$15:$BJ$62))+1,_xlpm.f,INDEX($BM$15:$BM$62,_xlpm.p),_xlpm.u,INDEX($BN$15:$BN$62,_xlpm.p),_xlpm.s,INDEX($BP$15:$BP$62,_xlpm.p),_xlpm.q,N(AU100)/_xlpm.f,IF(_xlpm.q&gt;=_xlpm.s,ROUND(_xlpm.q,1)&amp;" "&amp;_xlpm.ai_test&amp;" = "&amp;ROUND(_xlpm.q*_xlpm.f,1)&amp;" "&amp;_xlpm.u,ROUND(_xlpm.q,1)&amp;" "&amp;_xlpm.ai_test)),""),""))))</f>
        <v>0</v>
      </c>
      <c r="AX100" s="6218"/>
      <c r="AY100" s="6271">
        <f t="shared" si="67"/>
        <v>0</v>
      </c>
      <c r="AZ100" s="6242" t="str">
        <f t="shared" si="68"/>
        <v/>
      </c>
      <c r="BA100" s="6194">
        <f t="shared" si="73"/>
        <v>0</v>
      </c>
      <c r="BB100" s="6192" t="str">
        <f t="shared" si="69"/>
        <v/>
      </c>
      <c r="BC100" s="6219"/>
      <c r="BD100" s="6221">
        <f t="shared" si="75"/>
        <v>0</v>
      </c>
      <c r="BE100" s="6220" t="str">
        <f t="shared" si="70"/>
        <v/>
      </c>
      <c r="BF100" s="4" t="s">
        <v>1</v>
      </c>
      <c r="BG100" s="6196">
        <f t="shared" si="71"/>
        <v>0</v>
      </c>
      <c r="BH100" s="6197">
        <f t="shared" si="72"/>
        <v>0</v>
      </c>
      <c r="BJ100" s="6910"/>
      <c r="BK100" s="6910"/>
      <c r="BL100" s="6910"/>
      <c r="BM100" s="6910"/>
      <c r="BN100" s="6910"/>
      <c r="BO100" s="6910"/>
      <c r="BP100" s="6910"/>
      <c r="BQ100" s="6910"/>
      <c r="BR100" s="6910"/>
      <c r="BS100" s="6910"/>
      <c r="BT100" s="6910"/>
      <c r="BU100" s="6910"/>
      <c r="BV100" s="6910"/>
      <c r="BW100"/>
      <c r="BX100" s="20" t="str">
        <f t="shared" si="51"/>
        <v>►</v>
      </c>
      <c r="BY100" s="6306"/>
      <c r="BZ100" s="6243"/>
      <c r="CA100" s="6243"/>
      <c r="CB100" s="6243"/>
      <c r="CC100" s="5783"/>
      <c r="CD100" s="5661"/>
      <c r="CE100"/>
      <c r="CF100"/>
      <c r="CG100"/>
      <c r="CH100"/>
      <c r="CI100"/>
      <c r="CJ100"/>
      <c r="CK100"/>
      <c r="CL100"/>
      <c r="CM100"/>
      <c r="CN100"/>
      <c r="CO100"/>
      <c r="CP100"/>
      <c r="CQ100"/>
      <c r="CR100"/>
      <c r="CS100"/>
      <c r="CT100"/>
      <c r="CU100"/>
      <c r="CV100"/>
      <c r="CW100"/>
      <c r="CX100"/>
      <c r="CY100"/>
      <c r="CZ100"/>
      <c r="DA100"/>
      <c r="DC100" s="5">
        <v>1</v>
      </c>
    </row>
    <row r="101" spans="1:107" s="1" customFormat="1" ht="21" customHeight="1">
      <c r="A101" s="5641" t="s">
        <v>1</v>
      </c>
      <c r="B101" s="5662" t="str">
        <f t="shared" si="50"/>
        <v>►</v>
      </c>
      <c r="C101" s="5825" cm="1">
        <f t="array" ref="C101">SUMPRODUCT(LEN(D101:J101))</f>
        <v>0</v>
      </c>
      <c r="D101" s="5275"/>
      <c r="E101" s="1361"/>
      <c r="F101" s="1361"/>
      <c r="G101" s="1361"/>
      <c r="H101" s="1361"/>
      <c r="I101" s="1361"/>
      <c r="J101" s="5276"/>
      <c r="K101" s="106"/>
      <c r="L101" s="1021" t="str">
        <f t="shared" si="76"/>
        <v>►</v>
      </c>
      <c r="M101" s="196" t="str">
        <f>M67</f>
        <v>N NAME OF YOUR RECIPE | paste it — FAMILY|  Author &gt; YOU</v>
      </c>
      <c r="N101" s="196">
        <f>N67</f>
        <v>5.23</v>
      </c>
      <c r="O101" s="197" t="str">
        <f>O67</f>
        <v>kg</v>
      </c>
      <c r="P101" s="5388" t="str">
        <f>P67</f>
        <v>Master recipe ► Guinea fowl ballotine</v>
      </c>
      <c r="Q101" s="5275"/>
      <c r="R101" s="1361"/>
      <c r="S101" s="1361"/>
      <c r="T101" s="1361"/>
      <c r="U101" s="1361"/>
      <c r="V101" s="1361"/>
      <c r="W101" s="1361"/>
      <c r="X101" s="1361"/>
      <c r="Y101" s="1361"/>
      <c r="Z101" s="5276"/>
      <c r="AA101" s="6209">
        <v>27</v>
      </c>
      <c r="AB101" s="920" t="str">
        <f>"&lt; Nb "&amp;AC98&amp;" in 1 " &amp;AA99</f>
        <v>&lt; Nb slices in 1 pack(s)</v>
      </c>
      <c r="AC101" s="5288"/>
      <c r="AD101" s="6208"/>
      <c r="AE101" s="4" t="s">
        <v>1</v>
      </c>
      <c r="AF101" s="6202" t="str">
        <f t="shared" si="54"/>
        <v>►</v>
      </c>
      <c r="AG101" s="6234" t="str">
        <f t="shared" si="55"/>
        <v/>
      </c>
      <c r="AH101" s="6732" t="str">
        <f t="shared" si="56"/>
        <v/>
      </c>
      <c r="AI101" s="6234" t="str">
        <f t="shared" si="57"/>
        <v/>
      </c>
      <c r="AJ101" s="6732" t="str">
        <f t="shared" si="58"/>
        <v/>
      </c>
      <c r="AK101" s="6732">
        <f t="shared" si="59"/>
        <v>0</v>
      </c>
      <c r="AL101" s="6230" t="str" cm="1">
        <f t="array" ref="AL101">IF(AF101&lt;&gt;"A","",IFERROR((IFERROR(_xlfn.XLOOKUP(TRIM(SUBSTITUTE(U101,CHAR(160)," ")),$BJ$15:$BJ$62,$BM$15:$BM$62),IFERROR(_xlfn.XLOOKUP(TRIM(SUBSTITUTE(U101,CHAR(160)," ")),$BK$15:$BK$62,$BM$15:$BM$62),_xlfn.XLOOKUP(TRIM(SUBSTITUTE(U101,CHAR(160)," ")),$BL$15:$BL$62,$BM$15:$BM$62))))*T101*IF(ISBLANK(Q101),1,Q101)+IFERROR(_xlfn.XLOOKUP("RECHERCHEX",TRIM(L101:AD101),L101:AD101),0),0))</f>
        <v/>
      </c>
      <c r="AM101" s="6229">
        <f t="shared" si="60"/>
        <v>0</v>
      </c>
      <c r="AN101" s="6857" t="str">
        <f t="shared" si="77"/>
        <v/>
      </c>
      <c r="AO101" s="392">
        <f t="shared" si="61"/>
        <v>0</v>
      </c>
      <c r="AP101" s="392">
        <f t="shared" si="62"/>
        <v>0</v>
      </c>
      <c r="AQ101" s="6191">
        <f t="shared" si="63"/>
        <v>0</v>
      </c>
      <c r="AR101" s="6859" t="str">
        <f t="shared" si="64"/>
        <v/>
      </c>
      <c r="AS101" s="6217"/>
      <c r="AT101" s="6217"/>
      <c r="AU101" s="6272">
        <f t="shared" si="65"/>
        <v>0</v>
      </c>
      <c r="AV101" s="6240">
        <f t="shared" si="66"/>
        <v>0</v>
      </c>
      <c r="AW101" s="6189" cm="1">
        <f t="array" ref="AW101">IF(AK101&lt;&gt;1,0,IF(OR(AU101="",N(AU101)&lt;=0.000000001),"",IF(OR(AO101="",N(AO101)&lt;=0.000000001),0,IF(ISNUMBER(AU101),IFERROR(_xlfn.LET(_xlpm.ai_test,TRIM(AJ101),_xlpm.r,IFERROR(_xlfn.XLOOKUP(_xlpm.ai_test,$BJ$15:$BJ$62,ROW($BJ$15:$BJ$62),0,1),IFERROR(_xlfn.XLOOKUP(_xlpm.ai_test,$BK$15:$BK$62,ROW($BK$15:$BK$62),0,1),_xlfn.XLOOKUP(_xlpm.ai_test,$BL$15:$BL$62,ROW($BL$15:$BL$62),0,1))),_xlpm.p,_xlpm.r-MIN(ROW($BJ$15:$BJ$62))+1,_xlpm.f,INDEX($BM$15:$BM$62,_xlpm.p),_xlpm.u,INDEX($BN$15:$BN$62,_xlpm.p),_xlpm.s,INDEX($BP$15:$BP$62,_xlpm.p),_xlpm.q,N(AU101)/_xlpm.f,IF(_xlpm.q&gt;=_xlpm.s,ROUND(_xlpm.q,1)&amp;" "&amp;_xlpm.ai_test&amp;" = "&amp;ROUND(_xlpm.q*_xlpm.f,1)&amp;" "&amp;_xlpm.u,ROUND(_xlpm.q,1)&amp;" "&amp;_xlpm.ai_test)),""),""))))</f>
        <v>0</v>
      </c>
      <c r="AX101" s="6218"/>
      <c r="AY101" s="6272">
        <f t="shared" si="67"/>
        <v>0</v>
      </c>
      <c r="AZ101" s="6240" t="str">
        <f t="shared" si="68"/>
        <v/>
      </c>
      <c r="BA101" s="6195">
        <f t="shared" si="73"/>
        <v>0</v>
      </c>
      <c r="BB101" s="6193" t="str">
        <f t="shared" si="69"/>
        <v/>
      </c>
      <c r="BC101" s="6219"/>
      <c r="BD101" s="6222">
        <f t="shared" si="75"/>
        <v>0</v>
      </c>
      <c r="BE101" s="6220" t="str">
        <f t="shared" si="70"/>
        <v/>
      </c>
      <c r="BF101" s="4" t="s">
        <v>1</v>
      </c>
      <c r="BG101" s="6196">
        <f t="shared" si="71"/>
        <v>0</v>
      </c>
      <c r="BH101" s="6197">
        <f t="shared" si="72"/>
        <v>0</v>
      </c>
      <c r="BJ101" s="6757" t="s">
        <v>8916</v>
      </c>
      <c r="BK101" s="5405"/>
      <c r="BL101" s="5405"/>
      <c r="BM101" s="5405"/>
      <c r="BN101" s="5405"/>
      <c r="BO101" s="5405"/>
      <c r="BP101" s="5405"/>
      <c r="BQ101" s="5405"/>
      <c r="BR101" s="5405"/>
      <c r="BS101" s="5405"/>
      <c r="BT101" s="5405"/>
      <c r="BU101" s="5405"/>
      <c r="BV101" s="5405"/>
      <c r="BW101"/>
      <c r="BX101" s="20" t="str">
        <f t="shared" si="51"/>
        <v>►</v>
      </c>
      <c r="BY101"/>
      <c r="BZ101"/>
      <c r="CA101"/>
      <c r="CB101"/>
      <c r="CC101"/>
      <c r="CD101" s="5661"/>
      <c r="CE101"/>
      <c r="CF101"/>
      <c r="CG101"/>
      <c r="CH101"/>
      <c r="CI101"/>
      <c r="CJ101"/>
      <c r="CK101"/>
      <c r="CL101"/>
      <c r="CM101"/>
      <c r="CN101"/>
      <c r="CO101"/>
      <c r="CP101"/>
      <c r="CQ101"/>
      <c r="CR101"/>
      <c r="CS101"/>
      <c r="CT101"/>
      <c r="CU101"/>
      <c r="CV101"/>
      <c r="CW101"/>
      <c r="CX101"/>
      <c r="CY101"/>
      <c r="CZ101"/>
      <c r="DA101"/>
      <c r="DC101" s="5">
        <v>1</v>
      </c>
    </row>
    <row r="102" spans="1:107" s="1" customFormat="1" ht="21" customHeight="1">
      <c r="A102" s="5641" t="s">
        <v>1</v>
      </c>
      <c r="B102" s="5662" t="str">
        <f t="shared" si="50"/>
        <v>►</v>
      </c>
      <c r="C102" s="5825" cm="1">
        <f t="array" ref="C102">SUMPRODUCT(LEN(D102:J102))</f>
        <v>0</v>
      </c>
      <c r="D102" s="5275"/>
      <c r="E102" s="1361"/>
      <c r="F102" s="1361"/>
      <c r="G102" s="1361"/>
      <c r="H102" s="1361"/>
      <c r="I102" s="1361"/>
      <c r="J102" s="5276"/>
      <c r="K102" s="106"/>
      <c r="L102" s="1021" t="str">
        <f t="shared" si="76"/>
        <v>►</v>
      </c>
      <c r="M102" s="196" t="str">
        <f>M67</f>
        <v>N NAME OF YOUR RECIPE | paste it — FAMILY|  Author &gt; YOU</v>
      </c>
      <c r="N102" s="196">
        <f>N67</f>
        <v>5.23</v>
      </c>
      <c r="O102" s="197" t="str">
        <f>O67</f>
        <v>kg</v>
      </c>
      <c r="P102" s="5388" t="str">
        <f>P67</f>
        <v>Master recipe ► Guinea fowl ballotine</v>
      </c>
      <c r="Q102" s="5275"/>
      <c r="R102" s="1361"/>
      <c r="S102" s="1361"/>
      <c r="T102" s="1361"/>
      <c r="U102" s="1361"/>
      <c r="V102" s="1361"/>
      <c r="W102" s="1361"/>
      <c r="X102" s="1361"/>
      <c r="Y102" s="1361"/>
      <c r="Z102" s="5276"/>
      <c r="AA102" s="6876" t="str">
        <f>IF(OR(AA101="",AD97=0),"",INT(AD97/AA101) &amp; " " &amp; AA99 &amp; " de " &amp; AA101 &amp; " " &amp; AC98 &amp; IF(MOD(AD97,AA101)&gt;0," + 1 " &amp; AA99 &amp; " de " &amp; TEXT(MOD(AD97,AA101),"0.00") &amp; " " &amp; AC98,""))</f>
        <v>8 pack(s) de 27 slices + 1 pack(s) de 9.00 slices</v>
      </c>
      <c r="AB102" s="6877"/>
      <c r="AC102" s="6877"/>
      <c r="AD102" s="6878"/>
      <c r="AE102" s="4" t="s">
        <v>1</v>
      </c>
      <c r="AF102" s="6202" t="str">
        <f t="shared" si="54"/>
        <v>►</v>
      </c>
      <c r="AG102" s="6234" t="str">
        <f t="shared" si="55"/>
        <v/>
      </c>
      <c r="AH102" s="6732" t="str">
        <f t="shared" si="56"/>
        <v/>
      </c>
      <c r="AI102" s="6234" t="str">
        <f t="shared" si="57"/>
        <v/>
      </c>
      <c r="AJ102" s="6732" t="str">
        <f t="shared" si="58"/>
        <v/>
      </c>
      <c r="AK102" s="6732">
        <f t="shared" si="59"/>
        <v>0</v>
      </c>
      <c r="AL102" s="6230" t="str" cm="1">
        <f t="array" ref="AL102">IF(AF102&lt;&gt;"A","",IFERROR((IFERROR(_xlfn.XLOOKUP(TRIM(SUBSTITUTE(U102,CHAR(160)," ")),$BJ$15:$BJ$62,$BM$15:$BM$62),IFERROR(_xlfn.XLOOKUP(TRIM(SUBSTITUTE(U102,CHAR(160)," ")),$BK$15:$BK$62,$BM$15:$BM$62),_xlfn.XLOOKUP(TRIM(SUBSTITUTE(U102,CHAR(160)," ")),$BL$15:$BL$62,$BM$15:$BM$62))))*T102*IF(ISBLANK(Q102),1,Q102)+IFERROR(_xlfn.XLOOKUP("RECHERCHEX",TRIM(L102:AD102),L102:AD102),0),0))</f>
        <v/>
      </c>
      <c r="AM102" s="6229">
        <f t="shared" si="60"/>
        <v>0</v>
      </c>
      <c r="AN102" s="6857" t="str">
        <f t="shared" si="77"/>
        <v/>
      </c>
      <c r="AO102" s="392">
        <f t="shared" si="61"/>
        <v>0</v>
      </c>
      <c r="AP102" s="392">
        <f t="shared" si="62"/>
        <v>0</v>
      </c>
      <c r="AQ102" s="6190">
        <f t="shared" si="63"/>
        <v>0</v>
      </c>
      <c r="AR102" s="6858" t="str">
        <f t="shared" si="64"/>
        <v/>
      </c>
      <c r="AS102" s="6217"/>
      <c r="AT102" s="6217"/>
      <c r="AU102" s="6271">
        <f t="shared" si="65"/>
        <v>0</v>
      </c>
      <c r="AV102" s="6242">
        <f t="shared" si="66"/>
        <v>0</v>
      </c>
      <c r="AW102" s="6188" cm="1">
        <f t="array" ref="AW102">IF(AK102&lt;&gt;1,0,IF(OR(AU102="",N(AU102)&lt;=0.000000001),"",IF(OR(AO102="",N(AO102)&lt;=0.000000001),0,IF(ISNUMBER(AU102),IFERROR(_xlfn.LET(_xlpm.ai_test,TRIM(AJ102),_xlpm.r,IFERROR(_xlfn.XLOOKUP(_xlpm.ai_test,$BJ$15:$BJ$62,ROW($BJ$15:$BJ$62),0,1),IFERROR(_xlfn.XLOOKUP(_xlpm.ai_test,$BK$15:$BK$62,ROW($BK$15:$BK$62),0,1),_xlfn.XLOOKUP(_xlpm.ai_test,$BL$15:$BL$62,ROW($BL$15:$BL$62),0,1))),_xlpm.p,_xlpm.r-MIN(ROW($BJ$15:$BJ$62))+1,_xlpm.f,INDEX($BM$15:$BM$62,_xlpm.p),_xlpm.u,INDEX($BN$15:$BN$62,_xlpm.p),_xlpm.s,INDEX($BP$15:$BP$62,_xlpm.p),_xlpm.q,N(AU102)/_xlpm.f,IF(_xlpm.q&gt;=_xlpm.s,ROUND(_xlpm.q,1)&amp;" "&amp;_xlpm.ai_test&amp;" = "&amp;ROUND(_xlpm.q*_xlpm.f,1)&amp;" "&amp;_xlpm.u,ROUND(_xlpm.q,1)&amp;" "&amp;_xlpm.ai_test)),""),""))))</f>
        <v>0</v>
      </c>
      <c r="AX102" s="6218"/>
      <c r="AY102" s="6271">
        <f t="shared" si="67"/>
        <v>0</v>
      </c>
      <c r="AZ102" s="6242" t="str">
        <f t="shared" si="68"/>
        <v/>
      </c>
      <c r="BA102" s="6194">
        <f t="shared" si="73"/>
        <v>0</v>
      </c>
      <c r="BB102" s="6192" t="str">
        <f t="shared" si="69"/>
        <v/>
      </c>
      <c r="BC102" s="6219"/>
      <c r="BD102" s="6221">
        <f t="shared" si="75"/>
        <v>0</v>
      </c>
      <c r="BE102" s="6220" t="str">
        <f t="shared" si="70"/>
        <v/>
      </c>
      <c r="BF102" s="4" t="s">
        <v>1</v>
      </c>
      <c r="BG102" s="6196">
        <f t="shared" si="71"/>
        <v>0</v>
      </c>
      <c r="BH102" s="6197">
        <f t="shared" si="72"/>
        <v>0</v>
      </c>
      <c r="BJ102" s="6759" t="s">
        <v>10014</v>
      </c>
      <c r="BK102" s="5405"/>
      <c r="BL102" s="5405"/>
      <c r="BM102" s="5405"/>
      <c r="BN102" s="5405"/>
      <c r="BO102" s="5405"/>
      <c r="BP102" s="5405"/>
      <c r="BQ102" s="5405"/>
      <c r="BR102" s="5405"/>
      <c r="BS102" s="5405"/>
      <c r="BT102" s="5405"/>
      <c r="BU102" s="5405"/>
      <c r="BV102" s="5405"/>
      <c r="BW102"/>
      <c r="BX102" s="20" t="str">
        <f t="shared" si="51"/>
        <v>►</v>
      </c>
      <c r="BY102"/>
      <c r="BZ102"/>
      <c r="CA102"/>
      <c r="CB102"/>
      <c r="CC102"/>
      <c r="CD102" s="5661"/>
      <c r="CE102"/>
      <c r="CF102"/>
      <c r="CG102"/>
      <c r="CH102"/>
      <c r="CI102"/>
      <c r="CJ102"/>
      <c r="CK102"/>
      <c r="CL102"/>
      <c r="CM102"/>
      <c r="CN102"/>
      <c r="CO102"/>
      <c r="CP102"/>
      <c r="CQ102"/>
      <c r="CR102"/>
      <c r="CS102"/>
      <c r="CT102"/>
      <c r="CU102"/>
      <c r="CV102"/>
      <c r="CW102"/>
      <c r="CX102"/>
      <c r="CY102"/>
      <c r="CZ102"/>
      <c r="DA102"/>
      <c r="DC102" s="5">
        <v>1</v>
      </c>
    </row>
    <row r="103" spans="1:107" s="1" customFormat="1" ht="21" customHeight="1">
      <c r="A103" s="5641" t="s">
        <v>1</v>
      </c>
      <c r="B103" s="5662" t="str">
        <f t="shared" si="50"/>
        <v>►</v>
      </c>
      <c r="C103" s="5825" cm="1">
        <f t="array" ref="C103">SUMPRODUCT(LEN(D103:J103))</f>
        <v>0</v>
      </c>
      <c r="D103" s="5275"/>
      <c r="E103" s="1361"/>
      <c r="F103" s="1361"/>
      <c r="G103" s="1361"/>
      <c r="H103" s="1361"/>
      <c r="I103" s="1361"/>
      <c r="J103" s="5276"/>
      <c r="K103" s="106"/>
      <c r="L103" s="5289" t="s">
        <v>26</v>
      </c>
      <c r="M103" s="196" t="str">
        <f>M67</f>
        <v>N NAME OF YOUR RECIPE | paste it — FAMILY|  Author &gt; YOU</v>
      </c>
      <c r="N103" s="196">
        <f>N67</f>
        <v>5.23</v>
      </c>
      <c r="O103" s="197" t="str">
        <f>O67</f>
        <v>kg</v>
      </c>
      <c r="P103" s="5388" t="str">
        <f>P67</f>
        <v>Master recipe ► Guinea fowl ballotine</v>
      </c>
      <c r="Q103" s="5290" t="s">
        <v>8385</v>
      </c>
      <c r="R103" s="1361"/>
      <c r="S103" s="1361"/>
      <c r="T103" s="1361"/>
      <c r="U103" s="1361"/>
      <c r="V103" s="1361"/>
      <c r="W103" s="1361"/>
      <c r="X103" s="1361"/>
      <c r="Y103" s="1361"/>
      <c r="Z103" s="5291"/>
      <c r="AA103" s="6879"/>
      <c r="AB103" s="6880"/>
      <c r="AC103" s="6880"/>
      <c r="AD103" s="6881"/>
      <c r="AE103" s="4" t="s">
        <v>1</v>
      </c>
      <c r="AF103" s="6202" t="str">
        <f t="shared" si="54"/>
        <v>►</v>
      </c>
      <c r="AG103" s="6234" t="str">
        <f t="shared" si="55"/>
        <v/>
      </c>
      <c r="AH103" s="6732" t="str">
        <f t="shared" si="56"/>
        <v/>
      </c>
      <c r="AI103" s="6234" t="str">
        <f t="shared" si="57"/>
        <v/>
      </c>
      <c r="AJ103" s="6732" t="str">
        <f t="shared" si="58"/>
        <v/>
      </c>
      <c r="AK103" s="6732">
        <f t="shared" si="59"/>
        <v>0</v>
      </c>
      <c r="AL103" s="6230" t="str" cm="1">
        <f t="array" ref="AL103">IF(AF103&lt;&gt;"A","",IFERROR((IFERROR(_xlfn.XLOOKUP(TRIM(SUBSTITUTE(U103,CHAR(160)," ")),$BJ$15:$BJ$62,$BM$15:$BM$62),IFERROR(_xlfn.XLOOKUP(TRIM(SUBSTITUTE(U103,CHAR(160)," ")),$BK$15:$BK$62,$BM$15:$BM$62),_xlfn.XLOOKUP(TRIM(SUBSTITUTE(U103,CHAR(160)," ")),$BL$15:$BL$62,$BM$15:$BM$62))))*T103*IF(ISBLANK(Q103),1,Q103)+IFERROR(_xlfn.XLOOKUP("RECHERCHEX",TRIM(L103:AD103),L103:AD103),0),0))</f>
        <v/>
      </c>
      <c r="AM103" s="6229">
        <f t="shared" si="60"/>
        <v>0</v>
      </c>
      <c r="AN103" s="6857" t="str">
        <f t="shared" si="77"/>
        <v/>
      </c>
      <c r="AO103" s="392">
        <f t="shared" si="61"/>
        <v>0</v>
      </c>
      <c r="AP103" s="392">
        <f t="shared" si="62"/>
        <v>0</v>
      </c>
      <c r="AQ103" s="6191">
        <f t="shared" si="63"/>
        <v>0</v>
      </c>
      <c r="AR103" s="6859" t="str">
        <f t="shared" si="64"/>
        <v/>
      </c>
      <c r="AS103" s="6217"/>
      <c r="AT103" s="6217"/>
      <c r="AU103" s="6272">
        <f t="shared" si="65"/>
        <v>0</v>
      </c>
      <c r="AV103" s="6240">
        <f t="shared" si="66"/>
        <v>0</v>
      </c>
      <c r="AW103" s="6189" cm="1">
        <f t="array" ref="AW103">IF(AK103&lt;&gt;1,0,IF(OR(AU103="",N(AU103)&lt;=0.000000001),"",IF(OR(AO103="",N(AO103)&lt;=0.000000001),0,IF(ISNUMBER(AU103),IFERROR(_xlfn.LET(_xlpm.ai_test,TRIM(AJ103),_xlpm.r,IFERROR(_xlfn.XLOOKUP(_xlpm.ai_test,$BJ$15:$BJ$62,ROW($BJ$15:$BJ$62),0,1),IFERROR(_xlfn.XLOOKUP(_xlpm.ai_test,$BK$15:$BK$62,ROW($BK$15:$BK$62),0,1),_xlfn.XLOOKUP(_xlpm.ai_test,$BL$15:$BL$62,ROW($BL$15:$BL$62),0,1))),_xlpm.p,_xlpm.r-MIN(ROW($BJ$15:$BJ$62))+1,_xlpm.f,INDEX($BM$15:$BM$62,_xlpm.p),_xlpm.u,INDEX($BN$15:$BN$62,_xlpm.p),_xlpm.s,INDEX($BP$15:$BP$62,_xlpm.p),_xlpm.q,N(AU103)/_xlpm.f,IF(_xlpm.q&gt;=_xlpm.s,ROUND(_xlpm.q,1)&amp;" "&amp;_xlpm.ai_test&amp;" = "&amp;ROUND(_xlpm.q*_xlpm.f,1)&amp;" "&amp;_xlpm.u,ROUND(_xlpm.q,1)&amp;" "&amp;_xlpm.ai_test)),""),""))))</f>
        <v>0</v>
      </c>
      <c r="AX103" s="6218"/>
      <c r="AY103" s="6272">
        <f t="shared" si="67"/>
        <v>0</v>
      </c>
      <c r="AZ103" s="6240" t="str">
        <f t="shared" si="68"/>
        <v/>
      </c>
      <c r="BA103" s="6195">
        <f t="shared" si="73"/>
        <v>0</v>
      </c>
      <c r="BB103" s="6193" t="str">
        <f t="shared" si="69"/>
        <v/>
      </c>
      <c r="BC103" s="6219"/>
      <c r="BD103" s="6222">
        <f t="shared" si="75"/>
        <v>0</v>
      </c>
      <c r="BE103" s="6220" t="str">
        <f t="shared" si="70"/>
        <v/>
      </c>
      <c r="BF103" s="4" t="s">
        <v>1</v>
      </c>
      <c r="BG103" s="6196">
        <f t="shared" si="71"/>
        <v>0</v>
      </c>
      <c r="BH103" s="6197">
        <f t="shared" si="72"/>
        <v>0</v>
      </c>
      <c r="BJ103" s="6759" t="s">
        <v>10020</v>
      </c>
      <c r="BK103" s="5405"/>
      <c r="BL103" s="5405"/>
      <c r="BM103" s="5405"/>
      <c r="BN103" s="5405"/>
      <c r="BO103" s="5405"/>
      <c r="BP103" s="5405"/>
      <c r="BQ103" s="5405"/>
      <c r="BR103" s="5405"/>
      <c r="BS103" s="5405"/>
      <c r="BT103" s="5405"/>
      <c r="BU103" s="5405"/>
      <c r="BV103" s="5405"/>
      <c r="BW103"/>
      <c r="BX103" s="20" t="str">
        <f t="shared" si="51"/>
        <v>►</v>
      </c>
      <c r="BY103"/>
      <c r="BZ103"/>
      <c r="CA103"/>
      <c r="CB103"/>
      <c r="CC103"/>
      <c r="CD103" s="5661"/>
      <c r="CE103"/>
      <c r="CF103"/>
      <c r="CG103"/>
      <c r="CH103"/>
      <c r="CI103"/>
      <c r="CJ103"/>
      <c r="CK103"/>
      <c r="CL103"/>
      <c r="CM103"/>
      <c r="CN103"/>
      <c r="CO103"/>
      <c r="CP103"/>
      <c r="CQ103"/>
      <c r="CR103"/>
      <c r="CS103"/>
      <c r="CT103"/>
      <c r="CU103"/>
      <c r="CV103"/>
      <c r="CW103"/>
      <c r="CX103"/>
      <c r="CY103"/>
      <c r="CZ103"/>
      <c r="DA103"/>
      <c r="DC103" s="5">
        <v>1</v>
      </c>
    </row>
    <row r="104" spans="1:107" s="1" customFormat="1" ht="21" customHeight="1">
      <c r="A104" s="5641" t="s">
        <v>1</v>
      </c>
      <c r="B104" s="5662" t="str">
        <f t="shared" si="50"/>
        <v>A</v>
      </c>
      <c r="C104" s="5825" cm="1">
        <f t="array" ref="C104">SUMPRODUCT(LEN(D104:J104))</f>
        <v>0</v>
      </c>
      <c r="D104" s="5275"/>
      <c r="E104" s="1361"/>
      <c r="F104" s="1361"/>
      <c r="G104" s="1361"/>
      <c r="H104" s="1361"/>
      <c r="I104" s="1361"/>
      <c r="J104" s="5276"/>
      <c r="K104" s="106"/>
      <c r="L104" s="5289" t="s">
        <v>21</v>
      </c>
      <c r="M104" s="196" t="str">
        <f>M67</f>
        <v>N NAME OF YOUR RECIPE | paste it — FAMILY|  Author &gt; YOU</v>
      </c>
      <c r="N104" s="196">
        <f>N67</f>
        <v>5.23</v>
      </c>
      <c r="O104" s="197" t="str">
        <f>O67</f>
        <v>kg</v>
      </c>
      <c r="P104" s="5388" t="str">
        <f>P67</f>
        <v>Master recipe ► Guinea fowl ballotine</v>
      </c>
      <c r="Q104" s="5292" t="s">
        <v>8370</v>
      </c>
      <c r="R104" s="988"/>
      <c r="S104" s="988"/>
      <c r="T104" s="988"/>
      <c r="U104" s="988"/>
      <c r="V104" s="988"/>
      <c r="W104" s="988"/>
      <c r="X104" s="988"/>
      <c r="Y104" s="988"/>
      <c r="Z104" s="1325"/>
      <c r="AA104" s="6210">
        <v>120</v>
      </c>
      <c r="AB104" s="77" t="s">
        <v>8369</v>
      </c>
      <c r="AC104" s="147"/>
      <c r="AD104" s="6211">
        <f>(AA104*AA98)/1000</f>
        <v>18</v>
      </c>
      <c r="AE104" s="4" t="s">
        <v>1</v>
      </c>
      <c r="AF104" s="6202" t="str">
        <f t="shared" si="54"/>
        <v>►</v>
      </c>
      <c r="AG104" s="6234" t="str">
        <f t="shared" si="55"/>
        <v/>
      </c>
      <c r="AH104" s="6732" t="str">
        <f t="shared" si="56"/>
        <v/>
      </c>
      <c r="AI104" s="6234" t="str">
        <f t="shared" si="57"/>
        <v/>
      </c>
      <c r="AJ104" s="6732" t="str">
        <f t="shared" si="58"/>
        <v/>
      </c>
      <c r="AK104" s="6732">
        <f t="shared" si="59"/>
        <v>0</v>
      </c>
      <c r="AL104" s="6230" t="str" cm="1">
        <f t="array" ref="AL104">IF(AF104&lt;&gt;"A","",IFERROR((IFERROR(_xlfn.XLOOKUP(TRIM(SUBSTITUTE(U104,CHAR(160)," ")),$BJ$15:$BJ$62,$BM$15:$BM$62),IFERROR(_xlfn.XLOOKUP(TRIM(SUBSTITUTE(U104,CHAR(160)," ")),$BK$15:$BK$62,$BM$15:$BM$62),_xlfn.XLOOKUP(TRIM(SUBSTITUTE(U104,CHAR(160)," ")),$BL$15:$BL$62,$BM$15:$BM$62))))*T104*IF(ISBLANK(Q104),1,Q104)+IFERROR(_xlfn.XLOOKUP("RECHERCHEX",TRIM(L104:AD104),L104:AD104),0),0))</f>
        <v/>
      </c>
      <c r="AM104" s="6229">
        <f t="shared" si="60"/>
        <v>0</v>
      </c>
      <c r="AN104" s="6857" t="str">
        <f t="shared" si="77"/>
        <v/>
      </c>
      <c r="AO104" s="392">
        <f t="shared" si="61"/>
        <v>0</v>
      </c>
      <c r="AP104" s="392">
        <f t="shared" si="62"/>
        <v>0</v>
      </c>
      <c r="AQ104" s="6190">
        <f t="shared" si="63"/>
        <v>0</v>
      </c>
      <c r="AR104" s="6858" t="str">
        <f t="shared" si="64"/>
        <v/>
      </c>
      <c r="AS104" s="6217"/>
      <c r="AT104" s="6217"/>
      <c r="AU104" s="6271">
        <f t="shared" si="65"/>
        <v>0</v>
      </c>
      <c r="AV104" s="6242">
        <f t="shared" si="66"/>
        <v>0</v>
      </c>
      <c r="AW104" s="6188" cm="1">
        <f t="array" ref="AW104">IF(AK104&lt;&gt;1,0,IF(OR(AU104="",N(AU104)&lt;=0.000000001),"",IF(OR(AO104="",N(AO104)&lt;=0.000000001),0,IF(ISNUMBER(AU104),IFERROR(_xlfn.LET(_xlpm.ai_test,TRIM(AJ104),_xlpm.r,IFERROR(_xlfn.XLOOKUP(_xlpm.ai_test,$BJ$15:$BJ$62,ROW($BJ$15:$BJ$62),0,1),IFERROR(_xlfn.XLOOKUP(_xlpm.ai_test,$BK$15:$BK$62,ROW($BK$15:$BK$62),0,1),_xlfn.XLOOKUP(_xlpm.ai_test,$BL$15:$BL$62,ROW($BL$15:$BL$62),0,1))),_xlpm.p,_xlpm.r-MIN(ROW($BJ$15:$BJ$62))+1,_xlpm.f,INDEX($BM$15:$BM$62,_xlpm.p),_xlpm.u,INDEX($BN$15:$BN$62,_xlpm.p),_xlpm.s,INDEX($BP$15:$BP$62,_xlpm.p),_xlpm.q,N(AU104)/_xlpm.f,IF(_xlpm.q&gt;=_xlpm.s,ROUND(_xlpm.q,1)&amp;" "&amp;_xlpm.ai_test&amp;" = "&amp;ROUND(_xlpm.q*_xlpm.f,1)&amp;" "&amp;_xlpm.u,ROUND(_xlpm.q,1)&amp;" "&amp;_xlpm.ai_test)),""),""))))</f>
        <v>0</v>
      </c>
      <c r="AX104" s="6218"/>
      <c r="AY104" s="6271">
        <f t="shared" si="67"/>
        <v>0</v>
      </c>
      <c r="AZ104" s="6242" t="str">
        <f t="shared" si="68"/>
        <v/>
      </c>
      <c r="BA104" s="6194">
        <f t="shared" si="73"/>
        <v>0</v>
      </c>
      <c r="BB104" s="6192" t="str">
        <f t="shared" si="69"/>
        <v/>
      </c>
      <c r="BC104" s="6219"/>
      <c r="BD104" s="6221">
        <f t="shared" si="75"/>
        <v>0</v>
      </c>
      <c r="BE104" s="6220" t="str">
        <f t="shared" si="70"/>
        <v/>
      </c>
      <c r="BF104" s="4" t="s">
        <v>1</v>
      </c>
      <c r="BG104" s="6196">
        <f t="shared" si="71"/>
        <v>0</v>
      </c>
      <c r="BH104" s="6197">
        <f t="shared" si="72"/>
        <v>0</v>
      </c>
      <c r="BJ104" s="102"/>
      <c r="BK104" s="102"/>
      <c r="BL104" s="102"/>
      <c r="BM104" s="102"/>
      <c r="BN104" s="102"/>
      <c r="BO104" s="102"/>
      <c r="BP104" s="102"/>
      <c r="BQ104" s="102"/>
      <c r="BR104" s="102"/>
      <c r="BS104" s="102"/>
      <c r="BT104" s="102"/>
      <c r="BU104" s="102"/>
      <c r="BV104" s="102"/>
      <c r="BW104"/>
      <c r="BX104" s="20" t="str">
        <f t="shared" si="51"/>
        <v>►</v>
      </c>
      <c r="BY104"/>
      <c r="BZ104"/>
      <c r="CA104"/>
      <c r="CB104"/>
      <c r="CC104"/>
      <c r="CD104" s="5661"/>
      <c r="CE104"/>
      <c r="CF104"/>
      <c r="CG104"/>
      <c r="CH104"/>
      <c r="CI104"/>
      <c r="CJ104"/>
      <c r="CK104"/>
      <c r="CL104"/>
      <c r="CM104"/>
      <c r="CN104"/>
      <c r="CO104"/>
      <c r="CP104"/>
      <c r="CQ104"/>
      <c r="CR104"/>
      <c r="CS104"/>
      <c r="CT104"/>
      <c r="CU104"/>
      <c r="CV104"/>
      <c r="CW104"/>
      <c r="CX104"/>
      <c r="CY104"/>
      <c r="CZ104"/>
      <c r="DA104"/>
      <c r="DC104" s="5">
        <v>1</v>
      </c>
    </row>
    <row r="105" spans="1:107" s="1" customFormat="1" ht="21" customHeight="1">
      <c r="A105" s="5641" t="s">
        <v>1</v>
      </c>
      <c r="B105" s="5662" t="str">
        <f t="shared" si="50"/>
        <v>A</v>
      </c>
      <c r="C105" s="5825" cm="1">
        <f t="array" ref="C105">SUMPRODUCT(LEN(D105:J105))</f>
        <v>0</v>
      </c>
      <c r="D105" s="5275"/>
      <c r="E105" s="1361"/>
      <c r="F105" s="1361"/>
      <c r="G105" s="1361"/>
      <c r="H105" s="1361"/>
      <c r="I105" s="1361"/>
      <c r="J105" s="5276"/>
      <c r="K105" s="106"/>
      <c r="L105" s="5289" t="s">
        <v>21</v>
      </c>
      <c r="M105" s="196" t="str">
        <f>M67</f>
        <v>N NAME OF YOUR RECIPE | paste it — FAMILY|  Author &gt; YOU</v>
      </c>
      <c r="N105" s="196">
        <f>N67</f>
        <v>5.23</v>
      </c>
      <c r="O105" s="197" t="str">
        <f>O67</f>
        <v>kg</v>
      </c>
      <c r="P105" s="5388" t="str">
        <f>P67</f>
        <v>Master recipe ► Guinea fowl ballotine</v>
      </c>
      <c r="Q105" s="5294" t="s">
        <v>8371</v>
      </c>
      <c r="R105" s="1449"/>
      <c r="S105" s="1449"/>
      <c r="T105" s="1449"/>
      <c r="U105" s="1449"/>
      <c r="V105" s="1449"/>
      <c r="W105" s="1449"/>
      <c r="X105" s="1449"/>
      <c r="Y105" s="1449"/>
      <c r="Z105" s="5295"/>
      <c r="AA105" s="6806">
        <v>2.7</v>
      </c>
      <c r="AB105" s="5297" t="str">
        <f>"weight per  "&amp; AA99</f>
        <v>weight per  pack(s)</v>
      </c>
      <c r="AC105" s="147"/>
      <c r="AD105" s="609"/>
      <c r="AE105" s="4" t="s">
        <v>1</v>
      </c>
      <c r="AF105" s="6202" t="str">
        <f t="shared" si="54"/>
        <v>►</v>
      </c>
      <c r="AG105" s="6234" t="str">
        <f t="shared" si="55"/>
        <v/>
      </c>
      <c r="AH105" s="6732" t="str">
        <f t="shared" si="56"/>
        <v/>
      </c>
      <c r="AI105" s="6234" t="str">
        <f t="shared" si="57"/>
        <v/>
      </c>
      <c r="AJ105" s="6732" t="str">
        <f t="shared" si="58"/>
        <v/>
      </c>
      <c r="AK105" s="6732">
        <f t="shared" si="59"/>
        <v>0</v>
      </c>
      <c r="AL105" s="6230" t="str" cm="1">
        <f t="array" ref="AL105">IF(AF105&lt;&gt;"A","",IFERROR((IFERROR(_xlfn.XLOOKUP(TRIM(SUBSTITUTE(U105,CHAR(160)," ")),$BJ$15:$BJ$62,$BM$15:$BM$62),IFERROR(_xlfn.XLOOKUP(TRIM(SUBSTITUTE(U105,CHAR(160)," ")),$BK$15:$BK$62,$BM$15:$BM$62),_xlfn.XLOOKUP(TRIM(SUBSTITUTE(U105,CHAR(160)," ")),$BL$15:$BL$62,$BM$15:$BM$62))))*T105*IF(ISBLANK(Q105),1,Q105)+IFERROR(_xlfn.XLOOKUP("RECHERCHEX",TRIM(L105:AD105),L105:AD105),0),0))</f>
        <v/>
      </c>
      <c r="AM105" s="6229">
        <f t="shared" si="60"/>
        <v>0</v>
      </c>
      <c r="AN105" s="6857" t="str">
        <f t="shared" si="77"/>
        <v/>
      </c>
      <c r="AO105" s="392">
        <f t="shared" si="61"/>
        <v>0</v>
      </c>
      <c r="AP105" s="392">
        <f t="shared" si="62"/>
        <v>0</v>
      </c>
      <c r="AQ105" s="6191">
        <f t="shared" si="63"/>
        <v>0</v>
      </c>
      <c r="AR105" s="6859" t="str">
        <f t="shared" si="64"/>
        <v/>
      </c>
      <c r="AS105" s="6217"/>
      <c r="AT105" s="6217"/>
      <c r="AU105" s="6272">
        <f t="shared" si="65"/>
        <v>0</v>
      </c>
      <c r="AV105" s="6240">
        <f t="shared" si="66"/>
        <v>0</v>
      </c>
      <c r="AW105" s="6189" cm="1">
        <f t="array" ref="AW105">IF(AK105&lt;&gt;1,0,IF(OR(AU105="",N(AU105)&lt;=0.000000001),"",IF(OR(AO105="",N(AO105)&lt;=0.000000001),0,IF(ISNUMBER(AU105),IFERROR(_xlfn.LET(_xlpm.ai_test,TRIM(AJ105),_xlpm.r,IFERROR(_xlfn.XLOOKUP(_xlpm.ai_test,$BJ$15:$BJ$62,ROW($BJ$15:$BJ$62),0,1),IFERROR(_xlfn.XLOOKUP(_xlpm.ai_test,$BK$15:$BK$62,ROW($BK$15:$BK$62),0,1),_xlfn.XLOOKUP(_xlpm.ai_test,$BL$15:$BL$62,ROW($BL$15:$BL$62),0,1))),_xlpm.p,_xlpm.r-MIN(ROW($BJ$15:$BJ$62))+1,_xlpm.f,INDEX($BM$15:$BM$62,_xlpm.p),_xlpm.u,INDEX($BN$15:$BN$62,_xlpm.p),_xlpm.s,INDEX($BP$15:$BP$62,_xlpm.p),_xlpm.q,N(AU105)/_xlpm.f,IF(_xlpm.q&gt;=_xlpm.s,ROUND(_xlpm.q,1)&amp;" "&amp;_xlpm.ai_test&amp;" = "&amp;ROUND(_xlpm.q*_xlpm.f,1)&amp;" "&amp;_xlpm.u,ROUND(_xlpm.q,1)&amp;" "&amp;_xlpm.ai_test)),""),""))))</f>
        <v>0</v>
      </c>
      <c r="AX105" s="6218"/>
      <c r="AY105" s="6272">
        <f t="shared" si="67"/>
        <v>0</v>
      </c>
      <c r="AZ105" s="6240" t="str">
        <f t="shared" si="68"/>
        <v/>
      </c>
      <c r="BA105" s="6195">
        <f t="shared" si="73"/>
        <v>0</v>
      </c>
      <c r="BB105" s="6193" t="str">
        <f t="shared" si="69"/>
        <v/>
      </c>
      <c r="BC105" s="6219"/>
      <c r="BD105" s="6222">
        <f t="shared" si="75"/>
        <v>0</v>
      </c>
      <c r="BE105" s="6220" t="str">
        <f t="shared" si="70"/>
        <v/>
      </c>
      <c r="BF105" s="4" t="s">
        <v>1</v>
      </c>
      <c r="BG105" s="6196">
        <f t="shared" si="71"/>
        <v>0</v>
      </c>
      <c r="BH105" s="6197">
        <f t="shared" si="72"/>
        <v>0</v>
      </c>
      <c r="BJ105" s="6757" t="s">
        <v>8917</v>
      </c>
      <c r="BK105" s="102"/>
      <c r="BL105" s="102"/>
      <c r="BM105" s="102"/>
      <c r="BN105" s="102"/>
      <c r="BO105" s="102"/>
      <c r="BP105" s="102"/>
      <c r="BQ105" s="102"/>
      <c r="BR105" s="102"/>
      <c r="BS105" s="102"/>
      <c r="BT105" s="102"/>
      <c r="BU105" s="102"/>
      <c r="BV105" s="102"/>
      <c r="BW105"/>
      <c r="BX105" s="20" t="str">
        <f t="shared" si="51"/>
        <v>►</v>
      </c>
      <c r="BY105"/>
      <c r="BZ105"/>
      <c r="CA105"/>
      <c r="CB105"/>
      <c r="CC105"/>
      <c r="CD105" s="5661"/>
      <c r="CE105"/>
      <c r="CF105"/>
      <c r="CG105"/>
      <c r="CH105"/>
      <c r="CI105"/>
      <c r="CJ105"/>
      <c r="CK105"/>
      <c r="CL105"/>
      <c r="CM105"/>
      <c r="CN105"/>
      <c r="CO105"/>
      <c r="CP105"/>
      <c r="CQ105"/>
      <c r="CR105"/>
      <c r="CS105"/>
      <c r="CT105"/>
      <c r="CU105"/>
      <c r="CV105"/>
      <c r="CW105"/>
      <c r="CX105"/>
      <c r="CY105"/>
      <c r="CZ105"/>
      <c r="DA105"/>
      <c r="DC105" s="5">
        <v>1</v>
      </c>
    </row>
    <row r="106" spans="1:107" s="1" customFormat="1" ht="21" customHeight="1">
      <c r="A106" s="5641" t="s">
        <v>1</v>
      </c>
      <c r="B106" s="5662" t="str">
        <f t="shared" si="50"/>
        <v>A</v>
      </c>
      <c r="C106" s="5825" cm="1">
        <f t="array" ref="C106">SUMPRODUCT(LEN(D106:J106))</f>
        <v>0</v>
      </c>
      <c r="D106" s="5275"/>
      <c r="E106" s="1361"/>
      <c r="F106" s="1361"/>
      <c r="G106" s="1361"/>
      <c r="H106" s="1361"/>
      <c r="I106" s="1361"/>
      <c r="J106" s="5276"/>
      <c r="K106" s="106"/>
      <c r="L106" s="5289" t="s">
        <v>21</v>
      </c>
      <c r="M106" s="196" t="str">
        <f>M67</f>
        <v>N NAME OF YOUR RECIPE | paste it — FAMILY|  Author &gt; YOU</v>
      </c>
      <c r="N106" s="196">
        <f>N67</f>
        <v>5.23</v>
      </c>
      <c r="O106" s="197" t="str">
        <f>O67</f>
        <v>kg</v>
      </c>
      <c r="P106" s="5388" t="str">
        <f>P67</f>
        <v>Master recipe ► Guinea fowl ballotine</v>
      </c>
      <c r="Q106" s="1002"/>
      <c r="R106" s="1002"/>
      <c r="S106" s="1002" t="s">
        <v>873</v>
      </c>
      <c r="T106" s="1003"/>
      <c r="U106" s="1329"/>
      <c r="V106" s="1329"/>
      <c r="W106" s="1329"/>
      <c r="X106" s="1329"/>
      <c r="Y106" s="1329"/>
      <c r="Z106" s="1330"/>
      <c r="AA106" s="6882" t="str">
        <f>IF(OR(AD104&lt;=0,AA105&lt;=0),"",_xlfn.LET(_xlpm.n,ROUND(AD104/AA105,9),_xlpm.q,INT(_xlpm.n),_xlpm.r,ROUND(AD104-_xlpm.q*AA105,9),_xlpm.base,_xlpm.q&amp;" "&amp;AA99&amp;" de "&amp;TEXT(AA105,"0.000")&amp;" kg",IF(_xlpm.r&lt;=0.000000001,_xlpm.base,_xlpm.base&amp;" + 1 "&amp;AA99&amp;" de "&amp;TEXT(_xlpm.r,"0.000")&amp;" kg")))</f>
        <v>6 pack(s) de 2.700 kg + 1 pack(s) de 1.800 kg</v>
      </c>
      <c r="AB106" s="6883"/>
      <c r="AC106" s="6883"/>
      <c r="AD106" s="6884"/>
      <c r="AE106" s="4" t="s">
        <v>1</v>
      </c>
      <c r="AF106" s="6202" t="str">
        <f t="shared" si="54"/>
        <v>►</v>
      </c>
      <c r="AG106" s="6234" t="str">
        <f t="shared" si="55"/>
        <v/>
      </c>
      <c r="AH106" s="6732" t="str">
        <f t="shared" si="56"/>
        <v/>
      </c>
      <c r="AI106" s="6234" t="str">
        <f t="shared" si="57"/>
        <v/>
      </c>
      <c r="AJ106" s="6732" t="str">
        <f t="shared" si="58"/>
        <v/>
      </c>
      <c r="AK106" s="6732">
        <f t="shared" si="59"/>
        <v>0</v>
      </c>
      <c r="AL106" s="6230" t="str" cm="1">
        <f t="array" ref="AL106">IF(AF106&lt;&gt;"A","",IFERROR((IFERROR(_xlfn.XLOOKUP(TRIM(SUBSTITUTE(U106,CHAR(160)," ")),$BJ$15:$BJ$62,$BM$15:$BM$62),IFERROR(_xlfn.XLOOKUP(TRIM(SUBSTITUTE(U106,CHAR(160)," ")),$BK$15:$BK$62,$BM$15:$BM$62),_xlfn.XLOOKUP(TRIM(SUBSTITUTE(U106,CHAR(160)," ")),$BL$15:$BL$62,$BM$15:$BM$62))))*T106*IF(ISBLANK(Q106),1,Q106)+IFERROR(_xlfn.XLOOKUP("RECHERCHEX",TRIM(L106:AD106),L106:AD106),0),0))</f>
        <v/>
      </c>
      <c r="AM106" s="6229">
        <f t="shared" si="60"/>
        <v>0</v>
      </c>
      <c r="AN106" s="6857" t="str">
        <f t="shared" si="77"/>
        <v/>
      </c>
      <c r="AO106" s="392">
        <f t="shared" si="61"/>
        <v>0</v>
      </c>
      <c r="AP106" s="392">
        <f t="shared" si="62"/>
        <v>0</v>
      </c>
      <c r="AQ106" s="6190">
        <f t="shared" si="63"/>
        <v>0</v>
      </c>
      <c r="AR106" s="6858" t="str">
        <f t="shared" si="64"/>
        <v/>
      </c>
      <c r="AS106" s="6217"/>
      <c r="AT106" s="6217"/>
      <c r="AU106" s="6271">
        <f t="shared" si="65"/>
        <v>0</v>
      </c>
      <c r="AV106" s="6242">
        <f t="shared" si="66"/>
        <v>0</v>
      </c>
      <c r="AW106" s="6188" cm="1">
        <f t="array" ref="AW106">IF(AK106&lt;&gt;1,0,IF(OR(AU106="",N(AU106)&lt;=0.000000001),"",IF(OR(AO106="",N(AO106)&lt;=0.000000001),0,IF(ISNUMBER(AU106),IFERROR(_xlfn.LET(_xlpm.ai_test,TRIM(AJ106),_xlpm.r,IFERROR(_xlfn.XLOOKUP(_xlpm.ai_test,$BJ$15:$BJ$62,ROW($BJ$15:$BJ$62),0,1),IFERROR(_xlfn.XLOOKUP(_xlpm.ai_test,$BK$15:$BK$62,ROW($BK$15:$BK$62),0,1),_xlfn.XLOOKUP(_xlpm.ai_test,$BL$15:$BL$62,ROW($BL$15:$BL$62),0,1))),_xlpm.p,_xlpm.r-MIN(ROW($BJ$15:$BJ$62))+1,_xlpm.f,INDEX($BM$15:$BM$62,_xlpm.p),_xlpm.u,INDEX($BN$15:$BN$62,_xlpm.p),_xlpm.s,INDEX($BP$15:$BP$62,_xlpm.p),_xlpm.q,N(AU106)/_xlpm.f,IF(_xlpm.q&gt;=_xlpm.s,ROUND(_xlpm.q,1)&amp;" "&amp;_xlpm.ai_test&amp;" = "&amp;ROUND(_xlpm.q*_xlpm.f,1)&amp;" "&amp;_xlpm.u,ROUND(_xlpm.q,1)&amp;" "&amp;_xlpm.ai_test)),""),""))))</f>
        <v>0</v>
      </c>
      <c r="AX106" s="6218"/>
      <c r="AY106" s="6271">
        <f t="shared" si="67"/>
        <v>0</v>
      </c>
      <c r="AZ106" s="6242" t="str">
        <f t="shared" si="68"/>
        <v/>
      </c>
      <c r="BA106" s="6194">
        <f t="shared" si="73"/>
        <v>0</v>
      </c>
      <c r="BB106" s="6192" t="str">
        <f t="shared" si="69"/>
        <v/>
      </c>
      <c r="BC106" s="6219"/>
      <c r="BD106" s="6221">
        <f t="shared" si="75"/>
        <v>0</v>
      </c>
      <c r="BE106" s="6220" t="str">
        <f t="shared" si="70"/>
        <v/>
      </c>
      <c r="BF106" s="4" t="s">
        <v>1</v>
      </c>
      <c r="BG106" s="6196">
        <f t="shared" si="71"/>
        <v>0</v>
      </c>
      <c r="BH106" s="6197">
        <f t="shared" si="72"/>
        <v>0</v>
      </c>
      <c r="BJ106" s="6759" t="s">
        <v>10015</v>
      </c>
      <c r="BK106" s="102"/>
      <c r="BL106" s="102"/>
      <c r="BM106" s="102"/>
      <c r="BN106" s="102"/>
      <c r="BO106" s="102"/>
      <c r="BP106" s="102"/>
      <c r="BQ106" s="102"/>
      <c r="BR106" s="102"/>
      <c r="BS106" s="102"/>
      <c r="BT106" s="102"/>
      <c r="BU106" s="102"/>
      <c r="BV106" s="102"/>
      <c r="BW106"/>
      <c r="BX106" s="20" t="str">
        <f t="shared" si="51"/>
        <v>►</v>
      </c>
      <c r="BY106"/>
      <c r="BZ106"/>
      <c r="CA106"/>
      <c r="CB106"/>
      <c r="CC106"/>
      <c r="CD106" s="5661"/>
      <c r="CE106"/>
      <c r="CF106"/>
      <c r="CG106"/>
      <c r="CH106"/>
      <c r="CI106"/>
      <c r="CJ106"/>
      <c r="CK106"/>
      <c r="CL106"/>
      <c r="CM106"/>
      <c r="CN106"/>
      <c r="CO106"/>
      <c r="CP106"/>
      <c r="CQ106"/>
      <c r="CR106"/>
      <c r="CS106"/>
      <c r="CT106"/>
      <c r="CU106"/>
      <c r="CV106"/>
      <c r="CW106"/>
      <c r="CX106"/>
      <c r="CY106"/>
      <c r="CZ106"/>
      <c r="DA106"/>
      <c r="DC106" s="5">
        <v>1</v>
      </c>
    </row>
    <row r="107" spans="1:107" s="1" customFormat="1" ht="21" customHeight="1">
      <c r="A107" s="5641" t="s">
        <v>1</v>
      </c>
      <c r="B107" s="5662" t="str">
        <f t="shared" si="50"/>
        <v>A</v>
      </c>
      <c r="C107" s="5825" cm="1">
        <f t="array" ref="C107">SUMPRODUCT(LEN(D107:J107))</f>
        <v>0</v>
      </c>
      <c r="D107" s="5275"/>
      <c r="E107" s="1361"/>
      <c r="F107" s="1361"/>
      <c r="G107" s="1361"/>
      <c r="H107" s="1361"/>
      <c r="I107" s="1361"/>
      <c r="J107" s="5276"/>
      <c r="K107" s="106"/>
      <c r="L107" s="5289" t="s">
        <v>21</v>
      </c>
      <c r="M107" s="5298" t="str">
        <f>M67</f>
        <v>N NAME OF YOUR RECIPE | paste it — FAMILY|  Author &gt; YOU</v>
      </c>
      <c r="N107" s="5298">
        <f>N67</f>
        <v>5.23</v>
      </c>
      <c r="O107" s="5378" t="str">
        <f>O67</f>
        <v>kg</v>
      </c>
      <c r="P107" s="5389" t="str">
        <f>P67</f>
        <v>Master recipe ► Guinea fowl ballotine</v>
      </c>
      <c r="Q107" s="5299" t="s">
        <v>8375</v>
      </c>
      <c r="R107" s="5300"/>
      <c r="S107" s="5301"/>
      <c r="T107" s="5302"/>
      <c r="U107" s="5301"/>
      <c r="V107" s="5301"/>
      <c r="W107" s="5301"/>
      <c r="X107" s="5301"/>
      <c r="Y107" s="5301"/>
      <c r="Z107" s="5303"/>
      <c r="AA107" s="6885"/>
      <c r="AB107" s="6886"/>
      <c r="AC107" s="6886"/>
      <c r="AD107" s="6887"/>
      <c r="AE107" s="4" t="s">
        <v>1</v>
      </c>
      <c r="AF107" s="6202" t="str">
        <f t="shared" si="54"/>
        <v>►</v>
      </c>
      <c r="AG107" s="6234" t="str">
        <f t="shared" si="55"/>
        <v/>
      </c>
      <c r="AH107" s="6732" t="str">
        <f t="shared" si="56"/>
        <v/>
      </c>
      <c r="AI107" s="6234" t="str">
        <f t="shared" si="57"/>
        <v/>
      </c>
      <c r="AJ107" s="6732" t="str">
        <f t="shared" si="58"/>
        <v/>
      </c>
      <c r="AK107" s="6732">
        <f t="shared" si="59"/>
        <v>0</v>
      </c>
      <c r="AL107" s="6230" t="str" cm="1">
        <f t="array" ref="AL107">IF(AF107&lt;&gt;"A","",IFERROR((IFERROR(_xlfn.XLOOKUP(TRIM(SUBSTITUTE(U107,CHAR(160)," ")),$BJ$15:$BJ$62,$BM$15:$BM$62),IFERROR(_xlfn.XLOOKUP(TRIM(SUBSTITUTE(U107,CHAR(160)," ")),$BK$15:$BK$62,$BM$15:$BM$62),_xlfn.XLOOKUP(TRIM(SUBSTITUTE(U107,CHAR(160)," ")),$BL$15:$BL$62,$BM$15:$BM$62))))*T107*IF(ISBLANK(Q107),1,Q107)+IFERROR(_xlfn.XLOOKUP("RECHERCHEX",TRIM(L107:AD107),L107:AD107),0),0))</f>
        <v/>
      </c>
      <c r="AM107" s="6229">
        <f t="shared" si="60"/>
        <v>0</v>
      </c>
      <c r="AN107" s="6857" t="str">
        <f t="shared" si="77"/>
        <v/>
      </c>
      <c r="AO107" s="392">
        <f t="shared" si="61"/>
        <v>0</v>
      </c>
      <c r="AP107" s="392">
        <f t="shared" si="62"/>
        <v>0</v>
      </c>
      <c r="AQ107" s="6191">
        <f t="shared" si="63"/>
        <v>0</v>
      </c>
      <c r="AR107" s="6859" t="str">
        <f t="shared" si="64"/>
        <v/>
      </c>
      <c r="AS107" s="6217"/>
      <c r="AT107" s="6217"/>
      <c r="AU107" s="6272">
        <f t="shared" si="65"/>
        <v>0</v>
      </c>
      <c r="AV107" s="6240">
        <f t="shared" si="66"/>
        <v>0</v>
      </c>
      <c r="AW107" s="6189" cm="1">
        <f t="array" ref="AW107">IF(AK107&lt;&gt;1,0,IF(OR(AU107="",N(AU107)&lt;=0.000000001),"",IF(OR(AO107="",N(AO107)&lt;=0.000000001),0,IF(ISNUMBER(AU107),IFERROR(_xlfn.LET(_xlpm.ai_test,TRIM(AJ107),_xlpm.r,IFERROR(_xlfn.XLOOKUP(_xlpm.ai_test,$BJ$15:$BJ$62,ROW($BJ$15:$BJ$62),0,1),IFERROR(_xlfn.XLOOKUP(_xlpm.ai_test,$BK$15:$BK$62,ROW($BK$15:$BK$62),0,1),_xlfn.XLOOKUP(_xlpm.ai_test,$BL$15:$BL$62,ROW($BL$15:$BL$62),0,1))),_xlpm.p,_xlpm.r-MIN(ROW($BJ$15:$BJ$62))+1,_xlpm.f,INDEX($BM$15:$BM$62,_xlpm.p),_xlpm.u,INDEX($BN$15:$BN$62,_xlpm.p),_xlpm.s,INDEX($BP$15:$BP$62,_xlpm.p),_xlpm.q,N(AU107)/_xlpm.f,IF(_xlpm.q&gt;=_xlpm.s,ROUND(_xlpm.q,1)&amp;" "&amp;_xlpm.ai_test&amp;" = "&amp;ROUND(_xlpm.q*_xlpm.f,1)&amp;" "&amp;_xlpm.u,ROUND(_xlpm.q,1)&amp;" "&amp;_xlpm.ai_test)),""),""))))</f>
        <v>0</v>
      </c>
      <c r="AX107" s="6218"/>
      <c r="AY107" s="6272">
        <f t="shared" si="67"/>
        <v>0</v>
      </c>
      <c r="AZ107" s="6240" t="str">
        <f t="shared" si="68"/>
        <v/>
      </c>
      <c r="BA107" s="6195">
        <f t="shared" si="73"/>
        <v>0</v>
      </c>
      <c r="BB107" s="6193" t="str">
        <f t="shared" si="69"/>
        <v/>
      </c>
      <c r="BC107" s="6219"/>
      <c r="BD107" s="6222">
        <f t="shared" si="75"/>
        <v>0</v>
      </c>
      <c r="BE107" s="6220" t="str">
        <f t="shared" si="70"/>
        <v/>
      </c>
      <c r="BF107" s="4" t="s">
        <v>1</v>
      </c>
      <c r="BG107" s="6196">
        <f t="shared" si="71"/>
        <v>0</v>
      </c>
      <c r="BH107" s="6197">
        <f t="shared" si="72"/>
        <v>0</v>
      </c>
      <c r="BJ107" s="6910" t="s">
        <v>10021</v>
      </c>
      <c r="BK107" s="6910"/>
      <c r="BL107" s="6910"/>
      <c r="BM107" s="6910"/>
      <c r="BN107" s="6910"/>
      <c r="BO107" s="6910"/>
      <c r="BP107" s="6910"/>
      <c r="BQ107" s="6910"/>
      <c r="BR107" s="6910"/>
      <c r="BS107" s="6910"/>
      <c r="BT107" s="6910"/>
      <c r="BU107" s="6910"/>
      <c r="BV107" s="6910"/>
      <c r="BW107"/>
      <c r="BX107" s="20" t="str">
        <f t="shared" si="51"/>
        <v>►</v>
      </c>
      <c r="BY107"/>
      <c r="BZ107"/>
      <c r="CA107"/>
      <c r="CB107"/>
      <c r="CC107"/>
      <c r="CD107" s="5661"/>
      <c r="CE107"/>
      <c r="CF107"/>
      <c r="CG107"/>
      <c r="CH107"/>
      <c r="CI107"/>
      <c r="CJ107"/>
      <c r="CK107"/>
      <c r="CL107"/>
      <c r="CM107"/>
      <c r="CN107"/>
      <c r="CO107"/>
      <c r="CP107"/>
      <c r="CQ107"/>
      <c r="CR107"/>
      <c r="CS107"/>
      <c r="CT107"/>
      <c r="CU107"/>
      <c r="CV107"/>
      <c r="CW107"/>
      <c r="CX107"/>
      <c r="CY107"/>
      <c r="CZ107"/>
      <c r="DA107"/>
      <c r="DC107" s="5">
        <v>1</v>
      </c>
    </row>
    <row r="108" spans="1:107" s="1" customFormat="1" ht="21" customHeight="1" thickBot="1">
      <c r="A108" s="5641" t="s">
        <v>1</v>
      </c>
      <c r="B108" s="5662" t="str">
        <f t="shared" si="50"/>
        <v>A</v>
      </c>
      <c r="C108" s="5825" cm="1">
        <f t="array" ref="C108">SUMPRODUCT(LEN(D108:J108))</f>
        <v>0</v>
      </c>
      <c r="D108" s="5275"/>
      <c r="E108" s="1361"/>
      <c r="F108" s="1361"/>
      <c r="G108" s="1361"/>
      <c r="H108" s="1361"/>
      <c r="I108" s="1361"/>
      <c r="J108" s="5276"/>
      <c r="K108" s="106"/>
      <c r="L108" s="5304" t="s">
        <v>21</v>
      </c>
      <c r="M108" s="5305"/>
      <c r="N108" s="5305"/>
      <c r="O108" s="5305"/>
      <c r="P108" s="6241"/>
      <c r="Q108" s="5306" t="s">
        <v>269</v>
      </c>
      <c r="R108" s="5307" t="str">
        <f ca="1">CELL("nomfichier")</f>
        <v>D:\Données\1.UPRT\0-UPRT.fait\1-UPRT.FR-SITE-WEB\ff-fiches-fabrications\ff.fiches.fabrication.2023\ffr.restaurant.2023\[ff.REPERTOIRE.600.LIGNES.15.xlsx]Differents.postits.FR.EN.ES</v>
      </c>
      <c r="S108" s="5308"/>
      <c r="T108" s="5308"/>
      <c r="U108" s="5308"/>
      <c r="V108" s="5308"/>
      <c r="W108" s="5308"/>
      <c r="X108" s="5308"/>
      <c r="Y108" s="5308"/>
      <c r="Z108" s="5308"/>
      <c r="AA108" s="5308"/>
      <c r="AB108" s="5308"/>
      <c r="AC108" s="5308"/>
      <c r="AD108" s="5309"/>
      <c r="AE108" s="4" t="s">
        <v>1</v>
      </c>
      <c r="AF108" s="6202" t="str">
        <f t="shared" si="54"/>
        <v>A</v>
      </c>
      <c r="AG108" s="6234" t="str">
        <f t="shared" si="55"/>
        <v>▼ recette suivante</v>
      </c>
      <c r="AH108" s="6732">
        <f t="shared" si="56"/>
        <v>0</v>
      </c>
      <c r="AI108" s="6234">
        <f t="shared" si="57"/>
        <v>0</v>
      </c>
      <c r="AJ108" s="6732">
        <f t="shared" si="58"/>
        <v>0</v>
      </c>
      <c r="AK108" s="6732">
        <f t="shared" si="59"/>
        <v>0</v>
      </c>
      <c r="AL108" s="6230" cm="1">
        <f t="array" aca="1" ref="AL108" ca="1">IF(AF108&lt;&gt;"A","",IFERROR((IFERROR(_xlfn.XLOOKUP(TRIM(SUBSTITUTE(U108,CHAR(160)," ")),$BJ$15:$BJ$62,$BM$15:$BM$62),IFERROR(_xlfn.XLOOKUP(TRIM(SUBSTITUTE(U108,CHAR(160)," ")),$BK$15:$BK$62,$BM$15:$BM$62),_xlfn.XLOOKUP(TRIM(SUBSTITUTE(U108,CHAR(160)," ")),$BL$15:$BL$62,$BM$15:$BM$62))))*T108*IF(ISBLANK(Q108),1,Q108)+IFERROR(_xlfn.XLOOKUP("RECHERCHEX",TRIM(L108:AD108),L108:AD108),0),0))</f>
        <v>0</v>
      </c>
      <c r="AM108" s="6229">
        <f t="shared" si="60"/>
        <v>0</v>
      </c>
      <c r="AN108" s="6857" t="str">
        <f t="shared" si="77"/>
        <v>❾ Author reference &gt;</v>
      </c>
      <c r="AO108" s="392">
        <f t="shared" si="61"/>
        <v>0</v>
      </c>
      <c r="AP108" s="392">
        <f t="shared" si="62"/>
        <v>0</v>
      </c>
      <c r="AQ108" s="6190">
        <f t="shared" si="63"/>
        <v>0</v>
      </c>
      <c r="AR108" s="6858" t="str">
        <f t="shared" si="64"/>
        <v>▼ recette suivante</v>
      </c>
      <c r="AS108" s="6217"/>
      <c r="AT108" s="6217"/>
      <c r="AU108" s="6271">
        <f t="shared" si="65"/>
        <v>0</v>
      </c>
      <c r="AV108" s="6242">
        <f t="shared" si="66"/>
        <v>0</v>
      </c>
      <c r="AW108" s="6188" cm="1">
        <f t="array" ref="AW108">IF(AK108&lt;&gt;1,0,IF(OR(AU108="",N(AU108)&lt;=0.000000001),"",IF(OR(AO108="",N(AO108)&lt;=0.000000001),0,IF(ISNUMBER(AU108),IFERROR(_xlfn.LET(_xlpm.ai_test,TRIM(AJ108),_xlpm.r,IFERROR(_xlfn.XLOOKUP(_xlpm.ai_test,$BJ$15:$BJ$62,ROW($BJ$15:$BJ$62),0,1),IFERROR(_xlfn.XLOOKUP(_xlpm.ai_test,$BK$15:$BK$62,ROW($BK$15:$BK$62),0,1),_xlfn.XLOOKUP(_xlpm.ai_test,$BL$15:$BL$62,ROW($BL$15:$BL$62),0,1))),_xlpm.p,_xlpm.r-MIN(ROW($BJ$15:$BJ$62))+1,_xlpm.f,INDEX($BM$15:$BM$62,_xlpm.p),_xlpm.u,INDEX($BN$15:$BN$62,_xlpm.p),_xlpm.s,INDEX($BP$15:$BP$62,_xlpm.p),_xlpm.q,N(AU108)/_xlpm.f,IF(_xlpm.q&gt;=_xlpm.s,ROUND(_xlpm.q,1)&amp;" "&amp;_xlpm.ai_test&amp;" = "&amp;ROUND(_xlpm.q*_xlpm.f,1)&amp;" "&amp;_xlpm.u,ROUND(_xlpm.q,1)&amp;" "&amp;_xlpm.ai_test)),""),""))))</f>
        <v>0</v>
      </c>
      <c r="AX108" s="6218"/>
      <c r="AY108" s="6271" t="str">
        <f t="shared" si="67"/>
        <v xml:space="preserve">▼next recipe </v>
      </c>
      <c r="AZ108" s="6242" t="str">
        <f t="shared" si="68"/>
        <v/>
      </c>
      <c r="BA108" s="6194">
        <f t="shared" si="73"/>
        <v>0</v>
      </c>
      <c r="BB108" s="6192" t="str">
        <f t="shared" si="69"/>
        <v/>
      </c>
      <c r="BC108" s="6219"/>
      <c r="BD108" s="6221">
        <f t="shared" si="75"/>
        <v>0</v>
      </c>
      <c r="BE108" s="6220" t="str">
        <f t="shared" si="70"/>
        <v>▼ receta siguiente</v>
      </c>
      <c r="BF108" s="4" t="s">
        <v>1</v>
      </c>
      <c r="BG108" s="6196">
        <f t="shared" si="71"/>
        <v>0</v>
      </c>
      <c r="BH108" s="6197">
        <f t="shared" ca="1" si="72"/>
        <v>0</v>
      </c>
      <c r="BJ108" s="6910"/>
      <c r="BK108" s="6910"/>
      <c r="BL108" s="6910"/>
      <c r="BM108" s="6910"/>
      <c r="BN108" s="6910"/>
      <c r="BO108" s="6910"/>
      <c r="BP108" s="6910"/>
      <c r="BQ108" s="6910"/>
      <c r="BR108" s="6910"/>
      <c r="BS108" s="6910"/>
      <c r="BT108" s="6910"/>
      <c r="BU108" s="6910"/>
      <c r="BV108" s="6910"/>
      <c r="BW108"/>
      <c r="BX108" s="20" t="str">
        <f t="shared" si="51"/>
        <v>A</v>
      </c>
      <c r="BY108"/>
      <c r="BZ108"/>
      <c r="CA108"/>
      <c r="CB108"/>
      <c r="CC108"/>
      <c r="CD108" s="5661"/>
      <c r="CE108"/>
      <c r="CF108"/>
      <c r="CG108"/>
      <c r="CH108"/>
      <c r="CI108"/>
      <c r="CJ108"/>
      <c r="CK108"/>
      <c r="CL108"/>
      <c r="CM108"/>
      <c r="CN108"/>
      <c r="CO108"/>
      <c r="CP108"/>
      <c r="CQ108"/>
      <c r="CR108"/>
      <c r="CS108"/>
      <c r="CT108"/>
      <c r="CU108"/>
      <c r="CV108"/>
      <c r="CW108"/>
      <c r="CX108"/>
      <c r="CY108"/>
      <c r="CZ108"/>
      <c r="DA108"/>
      <c r="DC108" s="5">
        <v>1</v>
      </c>
    </row>
    <row r="109" spans="1:107" s="1" customFormat="1" ht="21" customHeight="1" thickBot="1">
      <c r="A109" s="5641" t="s">
        <v>1</v>
      </c>
      <c r="B109" s="5662" t="str">
        <f t="shared" si="50"/>
        <v>A</v>
      </c>
      <c r="C109" s="5825" cm="1">
        <f t="array" ref="C109">SUMPRODUCT(LEN(D109:J109))</f>
        <v>0</v>
      </c>
      <c r="D109" s="5275"/>
      <c r="E109" s="1361"/>
      <c r="F109" s="1361"/>
      <c r="G109" s="1361"/>
      <c r="H109" s="1361"/>
      <c r="I109" s="1361"/>
      <c r="J109" s="5276"/>
      <c r="K109" s="106" t="s">
        <v>1</v>
      </c>
      <c r="L109" s="6834" t="s">
        <v>21</v>
      </c>
      <c r="M109" s="6835" t="s">
        <v>21</v>
      </c>
      <c r="N109" s="6835" t="s">
        <v>21</v>
      </c>
      <c r="O109" s="6835" t="s">
        <v>21</v>
      </c>
      <c r="P109" s="6835" t="s">
        <v>21</v>
      </c>
      <c r="Q109" s="6836" t="s">
        <v>10677</v>
      </c>
      <c r="R109" s="6837"/>
      <c r="S109" s="6838"/>
      <c r="T109" s="6839"/>
      <c r="U109" s="6840"/>
      <c r="V109" s="6841"/>
      <c r="W109" s="6839"/>
      <c r="X109" s="6839"/>
      <c r="Y109" s="6839"/>
      <c r="Z109" s="6837"/>
      <c r="AA109" s="6837"/>
      <c r="AB109" s="6837"/>
      <c r="AC109" s="6837"/>
      <c r="AD109" s="6842" t="s">
        <v>262</v>
      </c>
      <c r="AE109" s="4" t="s">
        <v>1</v>
      </c>
      <c r="AF109" s="6202" t="str">
        <f t="shared" si="54"/>
        <v>►</v>
      </c>
      <c r="AG109" s="6234" t="str">
        <f t="shared" si="55"/>
        <v/>
      </c>
      <c r="AH109" s="6732" t="str">
        <f t="shared" si="56"/>
        <v/>
      </c>
      <c r="AI109" s="6234" t="str">
        <f t="shared" si="57"/>
        <v/>
      </c>
      <c r="AJ109" s="6732" t="str">
        <f t="shared" si="58"/>
        <v/>
      </c>
      <c r="AK109" s="6732">
        <f t="shared" si="59"/>
        <v>0</v>
      </c>
      <c r="AL109" s="6230" t="str" cm="1">
        <f t="array" ref="AL109">IF(AF109&lt;&gt;"A","",IFERROR((IFERROR(_xlfn.XLOOKUP(TRIM(SUBSTITUTE(U109,CHAR(160)," ")),$BJ$15:$BJ$62,$BM$15:$BM$62),IFERROR(_xlfn.XLOOKUP(TRIM(SUBSTITUTE(U109,CHAR(160)," ")),$BK$15:$BK$62,$BM$15:$BM$62),_xlfn.XLOOKUP(TRIM(SUBSTITUTE(U109,CHAR(160)," ")),$BL$15:$BL$62,$BM$15:$BM$62))))*T109*IF(ISBLANK(Q109),1,Q109)+IFERROR(_xlfn.XLOOKUP("RECHERCHEX",TRIM(L109:AD109),L109:AD109),0),0))</f>
        <v/>
      </c>
      <c r="AM109" s="6229">
        <f t="shared" si="60"/>
        <v>0</v>
      </c>
      <c r="AN109" s="6857" t="str">
        <f t="shared" si="77"/>
        <v/>
      </c>
      <c r="AO109" s="392">
        <f t="shared" si="61"/>
        <v>0</v>
      </c>
      <c r="AP109" s="392">
        <f t="shared" si="62"/>
        <v>0</v>
      </c>
      <c r="AQ109" s="6191">
        <f t="shared" si="63"/>
        <v>0</v>
      </c>
      <c r="AR109" s="6859" t="str">
        <f t="shared" si="64"/>
        <v/>
      </c>
      <c r="AS109" s="6217"/>
      <c r="AT109" s="6217"/>
      <c r="AU109" s="6272">
        <f t="shared" si="65"/>
        <v>0</v>
      </c>
      <c r="AV109" s="6240">
        <f t="shared" si="66"/>
        <v>0</v>
      </c>
      <c r="AW109" s="6189" cm="1">
        <f t="array" ref="AW109">IF(AK109&lt;&gt;1,0,IF(OR(AU109="",N(AU109)&lt;=0.000000001),"",IF(OR(AO109="",N(AO109)&lt;=0.000000001),0,IF(ISNUMBER(AU109),IFERROR(_xlfn.LET(_xlpm.ai_test,TRIM(AJ109),_xlpm.r,IFERROR(_xlfn.XLOOKUP(_xlpm.ai_test,$BJ$15:$BJ$62,ROW($BJ$15:$BJ$62),0,1),IFERROR(_xlfn.XLOOKUP(_xlpm.ai_test,$BK$15:$BK$62,ROW($BK$15:$BK$62),0,1),_xlfn.XLOOKUP(_xlpm.ai_test,$BL$15:$BL$62,ROW($BL$15:$BL$62),0,1))),_xlpm.p,_xlpm.r-MIN(ROW($BJ$15:$BJ$62))+1,_xlpm.f,INDEX($BM$15:$BM$62,_xlpm.p),_xlpm.u,INDEX($BN$15:$BN$62,_xlpm.p),_xlpm.s,INDEX($BP$15:$BP$62,_xlpm.p),_xlpm.q,N(AU109)/_xlpm.f,IF(_xlpm.q&gt;=_xlpm.s,ROUND(_xlpm.q,1)&amp;" "&amp;_xlpm.ai_test&amp;" = "&amp;ROUND(_xlpm.q*_xlpm.f,1)&amp;" "&amp;_xlpm.u,ROUND(_xlpm.q,1)&amp;" "&amp;_xlpm.ai_test)),""),""))))</f>
        <v>0</v>
      </c>
      <c r="AX109" s="6218"/>
      <c r="AY109" s="6272">
        <f t="shared" si="67"/>
        <v>0</v>
      </c>
      <c r="AZ109" s="6240" t="str">
        <f t="shared" si="68"/>
        <v/>
      </c>
      <c r="BA109" s="6195">
        <f t="shared" si="73"/>
        <v>0</v>
      </c>
      <c r="BB109" s="6193" t="str">
        <f t="shared" si="69"/>
        <v/>
      </c>
      <c r="BC109" s="6219"/>
      <c r="BD109" s="6222">
        <f t="shared" si="75"/>
        <v>0</v>
      </c>
      <c r="BE109" s="6220" t="str">
        <f t="shared" si="70"/>
        <v/>
      </c>
      <c r="BF109" s="4" t="s">
        <v>1</v>
      </c>
      <c r="BG109" s="6196">
        <f t="shared" si="71"/>
        <v>0</v>
      </c>
      <c r="BH109" s="6197">
        <f t="shared" si="72"/>
        <v>0</v>
      </c>
      <c r="BW109"/>
      <c r="BX109" s="20" t="str">
        <f t="shared" si="51"/>
        <v>►</v>
      </c>
      <c r="BY109"/>
      <c r="BZ109"/>
      <c r="CA109"/>
      <c r="CB109"/>
      <c r="CC109"/>
      <c r="CD109" s="5661"/>
      <c r="CE109"/>
      <c r="CF109"/>
      <c r="CG109"/>
      <c r="CH109"/>
      <c r="CI109"/>
      <c r="CJ109"/>
      <c r="CK109"/>
      <c r="CL109"/>
      <c r="CM109"/>
      <c r="CN109"/>
      <c r="CO109"/>
      <c r="CP109"/>
      <c r="CQ109"/>
      <c r="CR109"/>
      <c r="CS109"/>
      <c r="CT109"/>
      <c r="CU109"/>
      <c r="CV109"/>
      <c r="CW109"/>
      <c r="CX109"/>
      <c r="CY109"/>
      <c r="CZ109"/>
      <c r="DA109"/>
      <c r="DC109" s="5">
        <v>1</v>
      </c>
    </row>
    <row r="110" spans="1:107" s="1" customFormat="1" ht="21" customHeight="1">
      <c r="A110" s="5641" t="s">
        <v>1</v>
      </c>
      <c r="B110" s="5662" t="str">
        <f t="shared" si="50"/>
        <v>A</v>
      </c>
      <c r="C110" s="5825" cm="1">
        <f t="array" ref="C110">SUMPRODUCT(LEN(D110:J110))</f>
        <v>0</v>
      </c>
      <c r="D110" s="5275"/>
      <c r="E110" s="1361"/>
      <c r="F110" s="1361"/>
      <c r="G110" s="1361"/>
      <c r="H110" s="1361"/>
      <c r="I110" s="1361"/>
      <c r="J110" s="5276"/>
      <c r="K110" s="106" t="s">
        <v>1</v>
      </c>
      <c r="L110" s="5636" t="s">
        <v>21</v>
      </c>
      <c r="M110" s="5231" t="str">
        <f>M116</f>
        <v>N NOMBRE DE SU RECETA | pegue esto — FAMILIA| Autor &gt; USTED</v>
      </c>
      <c r="N110" s="5232">
        <f>N116</f>
        <v>5.53</v>
      </c>
      <c r="O110" s="5232" t="str">
        <f>O116</f>
        <v>kg</v>
      </c>
      <c r="P110" s="5384" t="str">
        <f>P116</f>
        <v>Receta madre ► Ballotina de pintada</v>
      </c>
      <c r="Q110" s="5233" t="s">
        <v>1</v>
      </c>
      <c r="R110" s="5234" t="s">
        <v>8402</v>
      </c>
      <c r="S110" s="5234"/>
      <c r="T110" s="6911" t="s">
        <v>8400</v>
      </c>
      <c r="U110" s="6911"/>
      <c r="V110" s="6911"/>
      <c r="W110" s="6911"/>
      <c r="X110" s="6911"/>
      <c r="Y110" s="6911"/>
      <c r="Z110" s="6911"/>
      <c r="AA110" s="6911"/>
      <c r="AB110" s="6913" t="s">
        <v>10011</v>
      </c>
      <c r="AC110" s="6913"/>
      <c r="AD110" s="6915" t="str">
        <f>UPPER(LEFT(T110,1))</f>
        <v>N</v>
      </c>
      <c r="AE110" s="4" t="s">
        <v>1</v>
      </c>
      <c r="AF110" s="6202" t="str">
        <f t="shared" si="54"/>
        <v>►</v>
      </c>
      <c r="AG110" s="6234" t="str">
        <f t="shared" si="55"/>
        <v/>
      </c>
      <c r="AH110" s="6732" t="str">
        <f t="shared" si="56"/>
        <v/>
      </c>
      <c r="AI110" s="6234" t="str">
        <f t="shared" si="57"/>
        <v/>
      </c>
      <c r="AJ110" s="6732" t="str">
        <f t="shared" si="58"/>
        <v/>
      </c>
      <c r="AK110" s="6732">
        <f t="shared" si="59"/>
        <v>0</v>
      </c>
      <c r="AL110" s="6230" t="str" cm="1">
        <f t="array" ref="AL110">IF(AF110&lt;&gt;"A","",IFERROR((IFERROR(_xlfn.XLOOKUP(TRIM(SUBSTITUTE(U110,CHAR(160)," ")),$BJ$15:$BJ$62,$BM$15:$BM$62),IFERROR(_xlfn.XLOOKUP(TRIM(SUBSTITUTE(U110,CHAR(160)," ")),$BK$15:$BK$62,$BM$15:$BM$62),_xlfn.XLOOKUP(TRIM(SUBSTITUTE(U110,CHAR(160)," ")),$BL$15:$BL$62,$BM$15:$BM$62))))*T110*IF(ISBLANK(Q110),1,Q110)+IFERROR(_xlfn.XLOOKUP("RECHERCHEX",TRIM(L110:AD110),L110:AD110),0),0))</f>
        <v/>
      </c>
      <c r="AM110" s="6229">
        <f t="shared" si="60"/>
        <v>0</v>
      </c>
      <c r="AN110" s="6857" t="str">
        <f t="shared" si="77"/>
        <v/>
      </c>
      <c r="AO110" s="392">
        <f t="shared" si="61"/>
        <v>0</v>
      </c>
      <c r="AP110" s="392">
        <f t="shared" si="62"/>
        <v>0</v>
      </c>
      <c r="AQ110" s="6190">
        <f t="shared" si="63"/>
        <v>0</v>
      </c>
      <c r="AR110" s="6858" t="str">
        <f t="shared" si="64"/>
        <v/>
      </c>
      <c r="AS110" s="6217"/>
      <c r="AT110" s="6217"/>
      <c r="AU110" s="6271">
        <f t="shared" si="65"/>
        <v>0</v>
      </c>
      <c r="AV110" s="6242">
        <f t="shared" si="66"/>
        <v>0</v>
      </c>
      <c r="AW110" s="6188" cm="1">
        <f t="array" ref="AW110">IF(AK110&lt;&gt;1,0,IF(OR(AU110="",N(AU110)&lt;=0.000000001),"",IF(OR(AO110="",N(AO110)&lt;=0.000000001),0,IF(ISNUMBER(AU110),IFERROR(_xlfn.LET(_xlpm.ai_test,TRIM(AJ110),_xlpm.r,IFERROR(_xlfn.XLOOKUP(_xlpm.ai_test,$BJ$15:$BJ$62,ROW($BJ$15:$BJ$62),0,1),IFERROR(_xlfn.XLOOKUP(_xlpm.ai_test,$BK$15:$BK$62,ROW($BK$15:$BK$62),0,1),_xlfn.XLOOKUP(_xlpm.ai_test,$BL$15:$BL$62,ROW($BL$15:$BL$62),0,1))),_xlpm.p,_xlpm.r-MIN(ROW($BJ$15:$BJ$62))+1,_xlpm.f,INDEX($BM$15:$BM$62,_xlpm.p),_xlpm.u,INDEX($BN$15:$BN$62,_xlpm.p),_xlpm.s,INDEX($BP$15:$BP$62,_xlpm.p),_xlpm.q,N(AU110)/_xlpm.f,IF(_xlpm.q&gt;=_xlpm.s,ROUND(_xlpm.q,1)&amp;" "&amp;_xlpm.ai_test&amp;" = "&amp;ROUND(_xlpm.q*_xlpm.f,1)&amp;" "&amp;_xlpm.u,ROUND(_xlpm.q,1)&amp;" "&amp;_xlpm.ai_test)),""),""))))</f>
        <v>0</v>
      </c>
      <c r="AX110" s="6218"/>
      <c r="AY110" s="6271">
        <f t="shared" si="67"/>
        <v>0</v>
      </c>
      <c r="AZ110" s="6242" t="str">
        <f t="shared" si="68"/>
        <v/>
      </c>
      <c r="BA110" s="6194">
        <f t="shared" si="73"/>
        <v>0</v>
      </c>
      <c r="BB110" s="6192" t="str">
        <f t="shared" si="69"/>
        <v/>
      </c>
      <c r="BC110" s="6219"/>
      <c r="BD110" s="6221">
        <f t="shared" si="75"/>
        <v>0</v>
      </c>
      <c r="BE110" s="6220" t="str">
        <f t="shared" si="70"/>
        <v/>
      </c>
      <c r="BF110" s="4" t="s">
        <v>1</v>
      </c>
      <c r="BG110" s="6196">
        <f t="shared" si="71"/>
        <v>0</v>
      </c>
      <c r="BH110" s="6197">
        <f t="shared" si="72"/>
        <v>0</v>
      </c>
      <c r="BW110"/>
      <c r="BX110" s="20" t="str">
        <f t="shared" si="51"/>
        <v>►</v>
      </c>
      <c r="BY110"/>
      <c r="BZ110"/>
      <c r="CA110"/>
      <c r="CB110"/>
      <c r="CC110"/>
      <c r="CD110" s="5661"/>
      <c r="CE110"/>
      <c r="CF110"/>
      <c r="CG110"/>
      <c r="CH110"/>
      <c r="CI110"/>
      <c r="CJ110"/>
      <c r="CK110"/>
      <c r="CL110"/>
      <c r="CM110"/>
      <c r="CN110"/>
      <c r="CO110"/>
      <c r="CP110"/>
      <c r="CQ110"/>
      <c r="CR110"/>
      <c r="CS110"/>
      <c r="CT110"/>
      <c r="CU110"/>
      <c r="CV110"/>
      <c r="CW110"/>
      <c r="CX110"/>
      <c r="CY110"/>
      <c r="CZ110"/>
      <c r="DA110"/>
      <c r="DC110" s="5">
        <v>1</v>
      </c>
    </row>
    <row r="111" spans="1:107" s="1" customFormat="1" ht="21" customHeight="1">
      <c r="A111" s="5641" t="s">
        <v>1</v>
      </c>
      <c r="B111" s="5662" t="str">
        <f t="shared" si="50"/>
        <v>A</v>
      </c>
      <c r="C111" s="5825" cm="1">
        <f t="array" ref="C111">SUMPRODUCT(LEN(D111:J111))</f>
        <v>0</v>
      </c>
      <c r="D111" s="5275"/>
      <c r="E111" s="1361"/>
      <c r="F111" s="1361"/>
      <c r="G111" s="1361"/>
      <c r="H111" s="1361"/>
      <c r="I111" s="1361"/>
      <c r="J111" s="5276"/>
      <c r="K111" s="106" t="s">
        <v>1</v>
      </c>
      <c r="L111" s="1018" t="s">
        <v>21</v>
      </c>
      <c r="M111" s="363" t="str">
        <f>M116</f>
        <v>N NOMBRE DE SU RECETA | pegue esto — FAMILIA| Autor &gt; USTED</v>
      </c>
      <c r="N111" s="362">
        <f>N116</f>
        <v>5.53</v>
      </c>
      <c r="O111" s="362" t="str">
        <f>O116</f>
        <v>kg</v>
      </c>
      <c r="P111" s="5385" t="str">
        <f>P116</f>
        <v>Receta madre ► Ballotina de pintada</v>
      </c>
      <c r="Q111" s="361" t="s">
        <v>8401</v>
      </c>
      <c r="R111" s="360" t="s">
        <v>9181</v>
      </c>
      <c r="S111" s="360"/>
      <c r="T111" s="6912"/>
      <c r="U111" s="6912"/>
      <c r="V111" s="6912"/>
      <c r="W111" s="6912"/>
      <c r="X111" s="6912"/>
      <c r="Y111" s="6912"/>
      <c r="Z111" s="6912"/>
      <c r="AA111" s="6912"/>
      <c r="AB111" s="6914"/>
      <c r="AC111" s="6914"/>
      <c r="AD111" s="6916"/>
      <c r="AE111" s="4" t="s">
        <v>1</v>
      </c>
      <c r="AF111" s="6202" t="str">
        <f t="shared" si="54"/>
        <v>►</v>
      </c>
      <c r="AG111" s="6234" t="str">
        <f t="shared" si="55"/>
        <v/>
      </c>
      <c r="AH111" s="6732" t="str">
        <f t="shared" si="56"/>
        <v/>
      </c>
      <c r="AI111" s="6234" t="str">
        <f t="shared" si="57"/>
        <v/>
      </c>
      <c r="AJ111" s="6732" t="str">
        <f t="shared" si="58"/>
        <v/>
      </c>
      <c r="AK111" s="6732">
        <f t="shared" si="59"/>
        <v>0</v>
      </c>
      <c r="AL111" s="6230" t="str" cm="1">
        <f t="array" ref="AL111">IF(AF111&lt;&gt;"A","",IFERROR((IFERROR(_xlfn.XLOOKUP(TRIM(SUBSTITUTE(U111,CHAR(160)," ")),$BJ$15:$BJ$62,$BM$15:$BM$62),IFERROR(_xlfn.XLOOKUP(TRIM(SUBSTITUTE(U111,CHAR(160)," ")),$BK$15:$BK$62,$BM$15:$BM$62),_xlfn.XLOOKUP(TRIM(SUBSTITUTE(U111,CHAR(160)," ")),$BL$15:$BL$62,$BM$15:$BM$62))))*T111*IF(ISBLANK(Q111),1,Q111)+IFERROR(_xlfn.XLOOKUP("RECHERCHEX",TRIM(L111:AD111),L111:AD111),0),0))</f>
        <v/>
      </c>
      <c r="AM111" s="6229">
        <f t="shared" si="60"/>
        <v>0</v>
      </c>
      <c r="AN111" s="6857" t="str">
        <f t="shared" si="77"/>
        <v/>
      </c>
      <c r="AO111" s="392">
        <f t="shared" si="61"/>
        <v>0</v>
      </c>
      <c r="AP111" s="392">
        <f t="shared" si="62"/>
        <v>0</v>
      </c>
      <c r="AQ111" s="6191">
        <f t="shared" si="63"/>
        <v>0</v>
      </c>
      <c r="AR111" s="6859" t="str">
        <f t="shared" si="64"/>
        <v/>
      </c>
      <c r="AS111" s="6217"/>
      <c r="AT111" s="6217"/>
      <c r="AU111" s="6272">
        <f t="shared" si="65"/>
        <v>0</v>
      </c>
      <c r="AV111" s="6240">
        <f t="shared" si="66"/>
        <v>0</v>
      </c>
      <c r="AW111" s="6189" cm="1">
        <f t="array" ref="AW111">IF(AK111&lt;&gt;1,0,IF(OR(AU111="",N(AU111)&lt;=0.000000001),"",IF(OR(AO111="",N(AO111)&lt;=0.000000001),0,IF(ISNUMBER(AU111),IFERROR(_xlfn.LET(_xlpm.ai_test,TRIM(AJ111),_xlpm.r,IFERROR(_xlfn.XLOOKUP(_xlpm.ai_test,$BJ$15:$BJ$62,ROW($BJ$15:$BJ$62),0,1),IFERROR(_xlfn.XLOOKUP(_xlpm.ai_test,$BK$15:$BK$62,ROW($BK$15:$BK$62),0,1),_xlfn.XLOOKUP(_xlpm.ai_test,$BL$15:$BL$62,ROW($BL$15:$BL$62),0,1))),_xlpm.p,_xlpm.r-MIN(ROW($BJ$15:$BJ$62))+1,_xlpm.f,INDEX($BM$15:$BM$62,_xlpm.p),_xlpm.u,INDEX($BN$15:$BN$62,_xlpm.p),_xlpm.s,INDEX($BP$15:$BP$62,_xlpm.p),_xlpm.q,N(AU111)/_xlpm.f,IF(_xlpm.q&gt;=_xlpm.s,ROUND(_xlpm.q,1)&amp;" "&amp;_xlpm.ai_test&amp;" = "&amp;ROUND(_xlpm.q*_xlpm.f,1)&amp;" "&amp;_xlpm.u,ROUND(_xlpm.q,1)&amp;" "&amp;_xlpm.ai_test)),""),""))))</f>
        <v>0</v>
      </c>
      <c r="AX111" s="6218"/>
      <c r="AY111" s="6272">
        <f t="shared" si="67"/>
        <v>0</v>
      </c>
      <c r="AZ111" s="6240" t="str">
        <f t="shared" si="68"/>
        <v/>
      </c>
      <c r="BA111" s="6195">
        <f t="shared" si="73"/>
        <v>0</v>
      </c>
      <c r="BB111" s="6193" t="str">
        <f t="shared" si="69"/>
        <v/>
      </c>
      <c r="BC111" s="6219"/>
      <c r="BD111" s="6222">
        <f t="shared" si="75"/>
        <v>0</v>
      </c>
      <c r="BE111" s="6220" t="str">
        <f t="shared" si="70"/>
        <v/>
      </c>
      <c r="BF111" s="4" t="s">
        <v>1</v>
      </c>
      <c r="BG111" s="6196">
        <f t="shared" si="71"/>
        <v>0</v>
      </c>
      <c r="BH111" s="6197">
        <f t="shared" si="72"/>
        <v>0</v>
      </c>
      <c r="BW111"/>
      <c r="BX111" s="20" t="str">
        <f t="shared" si="51"/>
        <v>►</v>
      </c>
      <c r="BY111"/>
      <c r="BZ111"/>
      <c r="CA111"/>
      <c r="CB111"/>
      <c r="CC111"/>
      <c r="CD111" s="5661"/>
      <c r="CE111"/>
      <c r="CF111"/>
      <c r="CG111"/>
      <c r="CH111"/>
      <c r="CI111"/>
      <c r="CJ111"/>
      <c r="CK111"/>
      <c r="CL111"/>
      <c r="CM111"/>
      <c r="CN111"/>
      <c r="CO111"/>
      <c r="CP111"/>
      <c r="CQ111"/>
      <c r="CR111"/>
      <c r="CS111"/>
      <c r="CT111"/>
      <c r="CU111"/>
      <c r="CV111"/>
      <c r="CW111"/>
      <c r="CX111"/>
      <c r="CY111"/>
      <c r="CZ111"/>
      <c r="DA111"/>
      <c r="DC111" s="5">
        <v>1</v>
      </c>
    </row>
    <row r="112" spans="1:107" s="1" customFormat="1" ht="21" customHeight="1">
      <c r="A112" s="5641" t="s">
        <v>1</v>
      </c>
      <c r="B112" s="5662" t="str">
        <f t="shared" si="50"/>
        <v>A</v>
      </c>
      <c r="C112" s="5825" cm="1">
        <f t="array" ref="C112">SUMPRODUCT(LEN(D112:J112))</f>
        <v>0</v>
      </c>
      <c r="D112" s="5275"/>
      <c r="E112" s="1361"/>
      <c r="F112" s="1361"/>
      <c r="G112" s="1361"/>
      <c r="H112" s="1361"/>
      <c r="I112" s="1361"/>
      <c r="J112" s="5276"/>
      <c r="K112" s="106" t="s">
        <v>1</v>
      </c>
      <c r="L112" s="1018" t="s">
        <v>21</v>
      </c>
      <c r="M112" s="41" t="str">
        <f>M116</f>
        <v>N NOMBRE DE SU RECETA | pegue esto — FAMILIA| Autor &gt; USTED</v>
      </c>
      <c r="N112" s="40">
        <f>N116</f>
        <v>5.53</v>
      </c>
      <c r="O112" s="40" t="str">
        <f>O116</f>
        <v>kg</v>
      </c>
      <c r="P112" s="5386" t="str">
        <f>P116</f>
        <v>Receta madre ► Ballotina de pintada</v>
      </c>
      <c r="Q112" s="351"/>
      <c r="R112" s="350" t="s">
        <v>8430</v>
      </c>
      <c r="S112" s="349"/>
      <c r="T112" s="348" t="s">
        <v>8403</v>
      </c>
      <c r="U112" s="347" t="s">
        <v>8404</v>
      </c>
      <c r="V112" s="141"/>
      <c r="W112" s="347"/>
      <c r="X112" s="347"/>
      <c r="Y112" s="347"/>
      <c r="Z112" s="347"/>
      <c r="AA112" s="5235"/>
      <c r="AB112" s="141"/>
      <c r="AC112" s="141"/>
      <c r="AD112" s="409"/>
      <c r="AE112" s="4" t="s">
        <v>1</v>
      </c>
      <c r="AF112" s="6202" t="str">
        <f t="shared" si="54"/>
        <v>►</v>
      </c>
      <c r="AG112" s="6234" t="str">
        <f t="shared" si="55"/>
        <v/>
      </c>
      <c r="AH112" s="6732" t="str">
        <f t="shared" si="56"/>
        <v/>
      </c>
      <c r="AI112" s="6234" t="str">
        <f t="shared" si="57"/>
        <v/>
      </c>
      <c r="AJ112" s="6732" t="str">
        <f t="shared" si="58"/>
        <v/>
      </c>
      <c r="AK112" s="6732">
        <f t="shared" si="59"/>
        <v>0</v>
      </c>
      <c r="AL112" s="6230" t="str" cm="1">
        <f t="array" ref="AL112">IF(AF112&lt;&gt;"A","",IFERROR((IFERROR(_xlfn.XLOOKUP(TRIM(SUBSTITUTE(U112,CHAR(160)," ")),$BJ$15:$BJ$62,$BM$15:$BM$62),IFERROR(_xlfn.XLOOKUP(TRIM(SUBSTITUTE(U112,CHAR(160)," ")),$BK$15:$BK$62,$BM$15:$BM$62),_xlfn.XLOOKUP(TRIM(SUBSTITUTE(U112,CHAR(160)," ")),$BL$15:$BL$62,$BM$15:$BM$62))))*T112*IF(ISBLANK(Q112),1,Q112)+IFERROR(_xlfn.XLOOKUP("RECHERCHEX",TRIM(L112:AD112),L112:AD112),0),0))</f>
        <v/>
      </c>
      <c r="AM112" s="6229">
        <f t="shared" si="60"/>
        <v>0</v>
      </c>
      <c r="AN112" s="6857" t="str">
        <f t="shared" si="77"/>
        <v/>
      </c>
      <c r="AO112" s="392">
        <f t="shared" si="61"/>
        <v>0</v>
      </c>
      <c r="AP112" s="392">
        <f t="shared" si="62"/>
        <v>0</v>
      </c>
      <c r="AQ112" s="6190">
        <f t="shared" si="63"/>
        <v>0</v>
      </c>
      <c r="AR112" s="6858" t="str">
        <f t="shared" si="64"/>
        <v/>
      </c>
      <c r="AS112" s="6217"/>
      <c r="AT112" s="6217"/>
      <c r="AU112" s="6271">
        <f t="shared" si="65"/>
        <v>0</v>
      </c>
      <c r="AV112" s="6242">
        <f t="shared" si="66"/>
        <v>0</v>
      </c>
      <c r="AW112" s="6188" cm="1">
        <f t="array" ref="AW112">IF(AK112&lt;&gt;1,0,IF(OR(AU112="",N(AU112)&lt;=0.000000001),"",IF(OR(AO112="",N(AO112)&lt;=0.000000001),0,IF(ISNUMBER(AU112),IFERROR(_xlfn.LET(_xlpm.ai_test,TRIM(AJ112),_xlpm.r,IFERROR(_xlfn.XLOOKUP(_xlpm.ai_test,$BJ$15:$BJ$62,ROW($BJ$15:$BJ$62),0,1),IFERROR(_xlfn.XLOOKUP(_xlpm.ai_test,$BK$15:$BK$62,ROW($BK$15:$BK$62),0,1),_xlfn.XLOOKUP(_xlpm.ai_test,$BL$15:$BL$62,ROW($BL$15:$BL$62),0,1))),_xlpm.p,_xlpm.r-MIN(ROW($BJ$15:$BJ$62))+1,_xlpm.f,INDEX($BM$15:$BM$62,_xlpm.p),_xlpm.u,INDEX($BN$15:$BN$62,_xlpm.p),_xlpm.s,INDEX($BP$15:$BP$62,_xlpm.p),_xlpm.q,N(AU112)/_xlpm.f,IF(_xlpm.q&gt;=_xlpm.s,ROUND(_xlpm.q,1)&amp;" "&amp;_xlpm.ai_test&amp;" = "&amp;ROUND(_xlpm.q*_xlpm.f,1)&amp;" "&amp;_xlpm.u,ROUND(_xlpm.q,1)&amp;" "&amp;_xlpm.ai_test)),""),""))))</f>
        <v>0</v>
      </c>
      <c r="AX112" s="6218"/>
      <c r="AY112" s="6271">
        <f t="shared" si="67"/>
        <v>0</v>
      </c>
      <c r="AZ112" s="6242" t="str">
        <f t="shared" si="68"/>
        <v/>
      </c>
      <c r="BA112" s="6194">
        <f t="shared" si="73"/>
        <v>0</v>
      </c>
      <c r="BB112" s="6192" t="str">
        <f t="shared" si="69"/>
        <v/>
      </c>
      <c r="BC112" s="6219"/>
      <c r="BD112" s="6221">
        <f t="shared" si="75"/>
        <v>0</v>
      </c>
      <c r="BE112" s="6220" t="str">
        <f t="shared" si="70"/>
        <v/>
      </c>
      <c r="BF112" s="4" t="s">
        <v>1</v>
      </c>
      <c r="BG112" s="6196">
        <f t="shared" si="71"/>
        <v>0</v>
      </c>
      <c r="BH112" s="6197">
        <f t="shared" si="72"/>
        <v>0</v>
      </c>
      <c r="BW112"/>
      <c r="BX112" s="20" t="str">
        <f t="shared" si="51"/>
        <v>►</v>
      </c>
      <c r="BY112"/>
      <c r="BZ112"/>
      <c r="CA112"/>
      <c r="CB112"/>
      <c r="CC112"/>
      <c r="CD112" s="5661"/>
      <c r="CE112"/>
      <c r="CF112"/>
      <c r="CG112"/>
      <c r="CH112"/>
      <c r="CI112"/>
      <c r="CJ112"/>
      <c r="CK112"/>
      <c r="CL112"/>
      <c r="CM112"/>
      <c r="CN112"/>
      <c r="CO112"/>
      <c r="CP112"/>
      <c r="CQ112"/>
      <c r="CR112"/>
      <c r="CS112"/>
      <c r="CT112"/>
      <c r="CU112"/>
      <c r="CV112"/>
      <c r="CW112"/>
      <c r="CX112"/>
      <c r="CY112"/>
      <c r="CZ112"/>
      <c r="DA112"/>
      <c r="DC112" s="5">
        <v>1</v>
      </c>
    </row>
    <row r="113" spans="1:107" s="1" customFormat="1" ht="21" customHeight="1">
      <c r="A113" s="5641" t="s">
        <v>1</v>
      </c>
      <c r="B113" s="5662" t="str">
        <f t="shared" si="50"/>
        <v>A</v>
      </c>
      <c r="C113" s="5825" cm="1">
        <f t="array" ref="C113">SUMPRODUCT(LEN(D113:J113))</f>
        <v>0</v>
      </c>
      <c r="D113" s="5275"/>
      <c r="E113" s="1361"/>
      <c r="F113" s="1361"/>
      <c r="G113" s="1361"/>
      <c r="H113" s="1361"/>
      <c r="I113" s="1361"/>
      <c r="J113" s="5276"/>
      <c r="K113" s="106" t="s">
        <v>1</v>
      </c>
      <c r="L113" s="1018" t="s">
        <v>21</v>
      </c>
      <c r="M113" s="41" t="str">
        <f>M116</f>
        <v>N NOMBRE DE SU RECETA | pegue esto — FAMILIA| Autor &gt; USTED</v>
      </c>
      <c r="N113" s="40">
        <f>N116</f>
        <v>5.53</v>
      </c>
      <c r="O113" s="40" t="str">
        <f>O116</f>
        <v>kg</v>
      </c>
      <c r="P113" s="5386" t="str">
        <f>P116</f>
        <v>Receta madre ► Ballotina de pintada</v>
      </c>
      <c r="Q113" s="333" t="s">
        <v>8405</v>
      </c>
      <c r="R113" s="341"/>
      <c r="S113" s="341"/>
      <c r="T113" s="340" t="s">
        <v>8407</v>
      </c>
      <c r="U113" s="6901" t="str">
        <f>V116&amp;" "&amp;W116&amp;" ► familia = "&amp;AB110&amp;" ► "&amp;T110&amp;" "&amp;AA113&amp;" "&amp;AB113&amp;" "&amp;AC113&amp;" "&amp;AD113</f>
        <v>Receta madre ► Ballotina de pintada ► familia = pegue esto — FAMILIA ► NOMBRE DE SU RECETA  ⓫ Duplicada para 20 kg magra de pintada</v>
      </c>
      <c r="V113" s="6901"/>
      <c r="W113" s="6901"/>
      <c r="X113" s="6225"/>
      <c r="Y113" s="6225"/>
      <c r="Z113" s="6225"/>
      <c r="AA113" s="5235"/>
      <c r="AB113" s="5236" t="s">
        <v>8408</v>
      </c>
      <c r="AC113" s="5237">
        <v>20</v>
      </c>
      <c r="AD113" s="5406" t="str">
        <f>AD115</f>
        <v>kg magra de pintada</v>
      </c>
      <c r="AE113" s="4" t="s">
        <v>1</v>
      </c>
      <c r="AF113" s="6202" t="str">
        <f t="shared" si="54"/>
        <v>►</v>
      </c>
      <c r="AG113" s="6234" t="str">
        <f t="shared" si="55"/>
        <v/>
      </c>
      <c r="AH113" s="6732" t="str">
        <f t="shared" si="56"/>
        <v/>
      </c>
      <c r="AI113" s="6234" t="str">
        <f t="shared" si="57"/>
        <v/>
      </c>
      <c r="AJ113" s="6732" t="str">
        <f t="shared" si="58"/>
        <v/>
      </c>
      <c r="AK113" s="6732">
        <f t="shared" si="59"/>
        <v>0</v>
      </c>
      <c r="AL113" s="6230" t="str" cm="1">
        <f t="array" ref="AL113">IF(AF113&lt;&gt;"A","",IFERROR((IFERROR(_xlfn.XLOOKUP(TRIM(SUBSTITUTE(U113,CHAR(160)," ")),$BJ$15:$BJ$62,$BM$15:$BM$62),IFERROR(_xlfn.XLOOKUP(TRIM(SUBSTITUTE(U113,CHAR(160)," ")),$BK$15:$BK$62,$BM$15:$BM$62),_xlfn.XLOOKUP(TRIM(SUBSTITUTE(U113,CHAR(160)," ")),$BL$15:$BL$62,$BM$15:$BM$62))))*T113*IF(ISBLANK(Q113),1,Q113)+IFERROR(_xlfn.XLOOKUP("RECHERCHEX",TRIM(L113:AD113),L113:AD113),0),0))</f>
        <v/>
      </c>
      <c r="AM113" s="6229">
        <f t="shared" si="60"/>
        <v>0</v>
      </c>
      <c r="AN113" s="6857" t="str">
        <f t="shared" si="77"/>
        <v/>
      </c>
      <c r="AO113" s="392">
        <f t="shared" si="61"/>
        <v>0</v>
      </c>
      <c r="AP113" s="392">
        <f t="shared" si="62"/>
        <v>0</v>
      </c>
      <c r="AQ113" s="6191">
        <f t="shared" si="63"/>
        <v>0</v>
      </c>
      <c r="AR113" s="6859" t="str">
        <f t="shared" si="64"/>
        <v/>
      </c>
      <c r="AS113" s="6217"/>
      <c r="AT113" s="6217"/>
      <c r="AU113" s="6272">
        <f t="shared" si="65"/>
        <v>0</v>
      </c>
      <c r="AV113" s="6240">
        <f t="shared" si="66"/>
        <v>0</v>
      </c>
      <c r="AW113" s="6189" cm="1">
        <f t="array" ref="AW113">IF(AK113&lt;&gt;1,0,IF(OR(AU113="",N(AU113)&lt;=0.000000001),"",IF(OR(AO113="",N(AO113)&lt;=0.000000001),0,IF(ISNUMBER(AU113),IFERROR(_xlfn.LET(_xlpm.ai_test,TRIM(AJ113),_xlpm.r,IFERROR(_xlfn.XLOOKUP(_xlpm.ai_test,$BJ$15:$BJ$62,ROW($BJ$15:$BJ$62),0,1),IFERROR(_xlfn.XLOOKUP(_xlpm.ai_test,$BK$15:$BK$62,ROW($BK$15:$BK$62),0,1),_xlfn.XLOOKUP(_xlpm.ai_test,$BL$15:$BL$62,ROW($BL$15:$BL$62),0,1))),_xlpm.p,_xlpm.r-MIN(ROW($BJ$15:$BJ$62))+1,_xlpm.f,INDEX($BM$15:$BM$62,_xlpm.p),_xlpm.u,INDEX($BN$15:$BN$62,_xlpm.p),_xlpm.s,INDEX($BP$15:$BP$62,_xlpm.p),_xlpm.q,N(AU113)/_xlpm.f,IF(_xlpm.q&gt;=_xlpm.s,ROUND(_xlpm.q,1)&amp;" "&amp;_xlpm.ai_test&amp;" = "&amp;ROUND(_xlpm.q*_xlpm.f,1)&amp;" "&amp;_xlpm.u,ROUND(_xlpm.q,1)&amp;" "&amp;_xlpm.ai_test)),""),""))))</f>
        <v>0</v>
      </c>
      <c r="AX113" s="6218"/>
      <c r="AY113" s="6272">
        <f t="shared" si="67"/>
        <v>0</v>
      </c>
      <c r="AZ113" s="6240" t="str">
        <f t="shared" si="68"/>
        <v/>
      </c>
      <c r="BA113" s="6195">
        <f t="shared" si="73"/>
        <v>0</v>
      </c>
      <c r="BB113" s="6193" t="str">
        <f t="shared" si="69"/>
        <v/>
      </c>
      <c r="BC113" s="6219"/>
      <c r="BD113" s="6222">
        <f t="shared" si="75"/>
        <v>0</v>
      </c>
      <c r="BE113" s="6220" t="str">
        <f t="shared" si="70"/>
        <v/>
      </c>
      <c r="BF113" s="4" t="s">
        <v>1</v>
      </c>
      <c r="BG113" s="6196">
        <f t="shared" si="71"/>
        <v>0</v>
      </c>
      <c r="BH113" s="6197">
        <f t="shared" si="72"/>
        <v>0</v>
      </c>
      <c r="BW113"/>
      <c r="BX113" s="20" t="str">
        <f t="shared" si="51"/>
        <v>►</v>
      </c>
      <c r="BY113"/>
      <c r="BZ113"/>
      <c r="CA113"/>
      <c r="CB113"/>
      <c r="CC113"/>
      <c r="CD113" s="5661"/>
      <c r="CE113"/>
      <c r="CF113"/>
      <c r="CG113"/>
      <c r="CH113"/>
      <c r="CI113"/>
      <c r="CJ113"/>
      <c r="CK113"/>
      <c r="CL113"/>
      <c r="CM113"/>
      <c r="CN113"/>
      <c r="CO113"/>
      <c r="CP113"/>
      <c r="CQ113"/>
      <c r="CR113"/>
      <c r="CS113"/>
      <c r="CT113"/>
      <c r="CU113"/>
      <c r="CV113"/>
      <c r="CW113"/>
      <c r="CX113"/>
      <c r="CY113"/>
      <c r="CZ113"/>
      <c r="DA113"/>
      <c r="DC113" s="5">
        <v>1</v>
      </c>
    </row>
    <row r="114" spans="1:107" s="1" customFormat="1" ht="21" customHeight="1">
      <c r="A114" s="5641" t="s">
        <v>1</v>
      </c>
      <c r="B114" s="5662" t="str">
        <f t="shared" si="50"/>
        <v>A</v>
      </c>
      <c r="C114" s="5825" cm="1">
        <f t="array" ref="C114">SUMPRODUCT(LEN(D114:J114))</f>
        <v>0</v>
      </c>
      <c r="D114" s="5275"/>
      <c r="E114" s="1361"/>
      <c r="F114" s="1361"/>
      <c r="G114" s="1361"/>
      <c r="H114" s="1361"/>
      <c r="I114" s="1361"/>
      <c r="J114" s="5276"/>
      <c r="K114" s="106" t="s">
        <v>1</v>
      </c>
      <c r="L114" s="1018" t="s">
        <v>21</v>
      </c>
      <c r="M114" s="41" t="str">
        <f>M116</f>
        <v>N NOMBRE DE SU RECETA | pegue esto — FAMILIA| Autor &gt; USTED</v>
      </c>
      <c r="N114" s="40">
        <f>N116</f>
        <v>5.53</v>
      </c>
      <c r="O114" s="40" t="str">
        <f>O116</f>
        <v>kg</v>
      </c>
      <c r="P114" s="5386" t="str">
        <f>P116</f>
        <v>Receta madre ► Ballotina de pintada</v>
      </c>
      <c r="Q114" s="6734">
        <v>5.53</v>
      </c>
      <c r="R114" s="5455" t="s">
        <v>219</v>
      </c>
      <c r="S114" s="333"/>
      <c r="T114" s="333"/>
      <c r="U114" s="6901"/>
      <c r="V114" s="6901"/>
      <c r="W114" s="6901"/>
      <c r="X114" s="6225"/>
      <c r="Y114" s="6225"/>
      <c r="Z114" s="6225"/>
      <c r="AA114" s="5239"/>
      <c r="AB114" s="141"/>
      <c r="AC114" s="5392" t="s">
        <v>8409</v>
      </c>
      <c r="AD114" s="5391" t="s">
        <v>8410</v>
      </c>
      <c r="AE114" s="4" t="s">
        <v>1</v>
      </c>
      <c r="AF114" s="6202" t="str">
        <f t="shared" si="54"/>
        <v>►</v>
      </c>
      <c r="AG114" s="6234" t="str">
        <f t="shared" si="55"/>
        <v/>
      </c>
      <c r="AH114" s="6732" t="str">
        <f t="shared" si="56"/>
        <v/>
      </c>
      <c r="AI114" s="6234" t="str">
        <f t="shared" si="57"/>
        <v/>
      </c>
      <c r="AJ114" s="6732" t="str">
        <f t="shared" si="58"/>
        <v/>
      </c>
      <c r="AK114" s="6732">
        <f t="shared" si="59"/>
        <v>0</v>
      </c>
      <c r="AL114" s="6230" t="str" cm="1">
        <f t="array" ref="AL114">IF(AF114&lt;&gt;"A","",IFERROR((IFERROR(_xlfn.XLOOKUP(TRIM(SUBSTITUTE(U114,CHAR(160)," ")),$BJ$15:$BJ$62,$BM$15:$BM$62),IFERROR(_xlfn.XLOOKUP(TRIM(SUBSTITUTE(U114,CHAR(160)," ")),$BK$15:$BK$62,$BM$15:$BM$62),_xlfn.XLOOKUP(TRIM(SUBSTITUTE(U114,CHAR(160)," ")),$BL$15:$BL$62,$BM$15:$BM$62))))*T114*IF(ISBLANK(Q114),1,Q114)+IFERROR(_xlfn.XLOOKUP("RECHERCHEX",TRIM(L114:AD114),L114:AD114),0),0))</f>
        <v/>
      </c>
      <c r="AM114" s="6229">
        <f t="shared" si="60"/>
        <v>0</v>
      </c>
      <c r="AN114" s="6857" t="str">
        <f t="shared" si="77"/>
        <v/>
      </c>
      <c r="AO114" s="392">
        <f t="shared" si="61"/>
        <v>0</v>
      </c>
      <c r="AP114" s="392">
        <f t="shared" si="62"/>
        <v>0</v>
      </c>
      <c r="AQ114" s="6190">
        <f t="shared" si="63"/>
        <v>0</v>
      </c>
      <c r="AR114" s="6858" t="str">
        <f t="shared" si="64"/>
        <v/>
      </c>
      <c r="AS114" s="6217"/>
      <c r="AT114" s="6217"/>
      <c r="AU114" s="6271">
        <f t="shared" si="65"/>
        <v>0</v>
      </c>
      <c r="AV114" s="6242">
        <f t="shared" si="66"/>
        <v>0</v>
      </c>
      <c r="AW114" s="6188" cm="1">
        <f t="array" ref="AW114">IF(AK114&lt;&gt;1,0,IF(OR(AU114="",N(AU114)&lt;=0.000000001),"",IF(OR(AO114="",N(AO114)&lt;=0.000000001),0,IF(ISNUMBER(AU114),IFERROR(_xlfn.LET(_xlpm.ai_test,TRIM(AJ114),_xlpm.r,IFERROR(_xlfn.XLOOKUP(_xlpm.ai_test,$BJ$15:$BJ$62,ROW($BJ$15:$BJ$62),0,1),IFERROR(_xlfn.XLOOKUP(_xlpm.ai_test,$BK$15:$BK$62,ROW($BK$15:$BK$62),0,1),_xlfn.XLOOKUP(_xlpm.ai_test,$BL$15:$BL$62,ROW($BL$15:$BL$62),0,1))),_xlpm.p,_xlpm.r-MIN(ROW($BJ$15:$BJ$62))+1,_xlpm.f,INDEX($BM$15:$BM$62,_xlpm.p),_xlpm.u,INDEX($BN$15:$BN$62,_xlpm.p),_xlpm.s,INDEX($BP$15:$BP$62,_xlpm.p),_xlpm.q,N(AU114)/_xlpm.f,IF(_xlpm.q&gt;=_xlpm.s,ROUND(_xlpm.q,1)&amp;" "&amp;_xlpm.ai_test&amp;" = "&amp;ROUND(_xlpm.q*_xlpm.f,1)&amp;" "&amp;_xlpm.u,ROUND(_xlpm.q,1)&amp;" "&amp;_xlpm.ai_test)),""),""))))</f>
        <v>0</v>
      </c>
      <c r="AX114" s="6218"/>
      <c r="AY114" s="6271">
        <f t="shared" si="67"/>
        <v>0</v>
      </c>
      <c r="AZ114" s="6242" t="str">
        <f t="shared" si="68"/>
        <v/>
      </c>
      <c r="BA114" s="6194">
        <f t="shared" si="73"/>
        <v>0</v>
      </c>
      <c r="BB114" s="6192" t="str">
        <f t="shared" si="69"/>
        <v/>
      </c>
      <c r="BC114" s="6219"/>
      <c r="BD114" s="6221">
        <f t="shared" si="75"/>
        <v>0</v>
      </c>
      <c r="BE114" s="6220" t="str">
        <f t="shared" si="70"/>
        <v/>
      </c>
      <c r="BF114" s="4" t="s">
        <v>1</v>
      </c>
      <c r="BG114" s="6196">
        <f t="shared" si="71"/>
        <v>0</v>
      </c>
      <c r="BH114" s="6197">
        <f t="shared" si="72"/>
        <v>0</v>
      </c>
      <c r="BW114"/>
      <c r="BX114" s="20" t="str">
        <f t="shared" si="51"/>
        <v>►</v>
      </c>
      <c r="BY114"/>
      <c r="BZ114"/>
      <c r="CA114"/>
      <c r="CB114"/>
      <c r="CC114"/>
      <c r="CD114" s="5661"/>
      <c r="CE114"/>
      <c r="CF114"/>
      <c r="CG114"/>
      <c r="CH114"/>
      <c r="CI114"/>
      <c r="CJ114"/>
      <c r="CK114"/>
      <c r="CL114"/>
      <c r="CM114"/>
      <c r="CN114"/>
      <c r="CO114"/>
      <c r="CP114"/>
      <c r="CQ114"/>
      <c r="CR114"/>
      <c r="CS114"/>
      <c r="CT114"/>
      <c r="CU114"/>
      <c r="CV114"/>
      <c r="CW114"/>
      <c r="CX114"/>
      <c r="CY114"/>
      <c r="CZ114"/>
      <c r="DA114"/>
      <c r="DC114" s="5">
        <v>1</v>
      </c>
    </row>
    <row r="115" spans="1:107" s="1" customFormat="1" ht="21" customHeight="1">
      <c r="A115" s="5641" t="s">
        <v>1</v>
      </c>
      <c r="B115" s="5662" t="str">
        <f t="shared" si="50"/>
        <v>►</v>
      </c>
      <c r="C115" s="5825" cm="1">
        <f t="array" ref="C115">SUMPRODUCT(LEN(D115:J115))</f>
        <v>0</v>
      </c>
      <c r="D115" s="5275"/>
      <c r="E115" s="1361"/>
      <c r="F115" s="1361"/>
      <c r="G115" s="1361"/>
      <c r="H115" s="1361"/>
      <c r="I115" s="1361"/>
      <c r="J115" s="5276"/>
      <c r="K115" s="106" t="s">
        <v>1</v>
      </c>
      <c r="L115" s="1018" t="s">
        <v>26</v>
      </c>
      <c r="M115" s="41" t="str">
        <f>M116</f>
        <v>N NOMBRE DE SU RECETA | pegue esto — FAMILIA| Autor &gt; USTED</v>
      </c>
      <c r="N115" s="40">
        <f>N116</f>
        <v>5.53</v>
      </c>
      <c r="O115" s="40" t="str">
        <f>O116</f>
        <v>kg</v>
      </c>
      <c r="P115" s="5386" t="str">
        <f>P116</f>
        <v>Receta madre ► Ballotina de pintada</v>
      </c>
      <c r="Q115" s="5397"/>
      <c r="R115" s="6831" t="s">
        <v>11013</v>
      </c>
      <c r="S115" s="6902">
        <f>AA134</f>
        <v>5.5346599999999997</v>
      </c>
      <c r="T115" s="6902"/>
      <c r="U115" s="6832" t="str" cm="1">
        <f t="array" ref="U115">"1= "&amp;IF(OR(Q114&lt;=0,S115=""),"",_xlfn.LET(_xlpm.kg,IF(ISNUMBER(S115),S115,VALEUR(SUBSTITUTE(SUBSTITUTE(SUBSTITUTE(LOWER(S115),"kg",""),",",".")," ",""))),TEXT(ROUND(_xlpm.kg*1000/Q114,2),"0.##")&amp;" g"))</f>
        <v>1= 1000.84 g</v>
      </c>
      <c r="V115" s="6833">
        <f>IFERROR(AC113/Q114,0)</f>
        <v>3.6166365280289328</v>
      </c>
      <c r="W115" s="6203"/>
      <c r="X115" s="6203"/>
      <c r="Y115" s="6203"/>
      <c r="Z115" s="6203"/>
      <c r="AA115"/>
      <c r="AB115" s="5241" t="s">
        <v>7913</v>
      </c>
      <c r="AC115" s="5376">
        <v>0.4</v>
      </c>
      <c r="AD115" s="5407" t="s">
        <v>9694</v>
      </c>
      <c r="AE115" s="4" t="s">
        <v>1</v>
      </c>
      <c r="AF115" s="6202" t="str">
        <f t="shared" si="54"/>
        <v>►</v>
      </c>
      <c r="AG115" s="6234" t="str">
        <f t="shared" si="55"/>
        <v/>
      </c>
      <c r="AH115" s="6732" t="str">
        <f t="shared" si="56"/>
        <v/>
      </c>
      <c r="AI115" s="6234" t="str">
        <f t="shared" si="57"/>
        <v/>
      </c>
      <c r="AJ115" s="6732" t="str">
        <f t="shared" si="58"/>
        <v/>
      </c>
      <c r="AK115" s="6732">
        <f t="shared" si="59"/>
        <v>0</v>
      </c>
      <c r="AL115" s="6230" t="str" cm="1">
        <f t="array" ref="AL115">IF(AF115&lt;&gt;"A","",IFERROR((IFERROR(_xlfn.XLOOKUP(TRIM(SUBSTITUTE(U115,CHAR(160)," ")),$BJ$15:$BJ$62,$BM$15:$BM$62),IFERROR(_xlfn.XLOOKUP(TRIM(SUBSTITUTE(U115,CHAR(160)," ")),$BK$15:$BK$62,$BM$15:$BM$62),_xlfn.XLOOKUP(TRIM(SUBSTITUTE(U115,CHAR(160)," ")),$BL$15:$BL$62,$BM$15:$BM$62))))*T115*IF(ISBLANK(Q115),1,Q115)+IFERROR(_xlfn.XLOOKUP("RECHERCHEX",TRIM(L115:AD115),L115:AD115),0),0))</f>
        <v/>
      </c>
      <c r="AM115" s="6229">
        <f t="shared" si="60"/>
        <v>0</v>
      </c>
      <c r="AN115" s="6857" t="str">
        <f t="shared" si="77"/>
        <v/>
      </c>
      <c r="AO115" s="392">
        <f t="shared" si="61"/>
        <v>0</v>
      </c>
      <c r="AP115" s="392">
        <f t="shared" si="62"/>
        <v>0</v>
      </c>
      <c r="AQ115" s="6191">
        <f t="shared" si="63"/>
        <v>0</v>
      </c>
      <c r="AR115" s="6859" t="str">
        <f t="shared" si="64"/>
        <v/>
      </c>
      <c r="AS115" s="6217"/>
      <c r="AT115" s="6217"/>
      <c r="AU115" s="6272">
        <f t="shared" si="65"/>
        <v>0</v>
      </c>
      <c r="AV115" s="6240">
        <f t="shared" si="66"/>
        <v>0</v>
      </c>
      <c r="AW115" s="6189" cm="1">
        <f t="array" ref="AW115">IF(AK115&lt;&gt;1,0,IF(OR(AU115="",N(AU115)&lt;=0.000000001),"",IF(OR(AO115="",N(AO115)&lt;=0.000000001),0,IF(ISNUMBER(AU115),IFERROR(_xlfn.LET(_xlpm.ai_test,TRIM(AJ115),_xlpm.r,IFERROR(_xlfn.XLOOKUP(_xlpm.ai_test,$BJ$15:$BJ$62,ROW($BJ$15:$BJ$62),0,1),IFERROR(_xlfn.XLOOKUP(_xlpm.ai_test,$BK$15:$BK$62,ROW($BK$15:$BK$62),0,1),_xlfn.XLOOKUP(_xlpm.ai_test,$BL$15:$BL$62,ROW($BL$15:$BL$62),0,1))),_xlpm.p,_xlpm.r-MIN(ROW($BJ$15:$BJ$62))+1,_xlpm.f,INDEX($BM$15:$BM$62,_xlpm.p),_xlpm.u,INDEX($BN$15:$BN$62,_xlpm.p),_xlpm.s,INDEX($BP$15:$BP$62,_xlpm.p),_xlpm.q,N(AU115)/_xlpm.f,IF(_xlpm.q&gt;=_xlpm.s,ROUND(_xlpm.q,1)&amp;" "&amp;_xlpm.ai_test&amp;" = "&amp;ROUND(_xlpm.q*_xlpm.f,1)&amp;" "&amp;_xlpm.u,ROUND(_xlpm.q,1)&amp;" "&amp;_xlpm.ai_test)),""),""))))</f>
        <v>0</v>
      </c>
      <c r="AX115" s="6218"/>
      <c r="AY115" s="6272">
        <f t="shared" si="67"/>
        <v>0</v>
      </c>
      <c r="AZ115" s="6240" t="str">
        <f t="shared" si="68"/>
        <v/>
      </c>
      <c r="BA115" s="6195">
        <f t="shared" si="73"/>
        <v>0</v>
      </c>
      <c r="BB115" s="6193" t="str">
        <f t="shared" si="69"/>
        <v/>
      </c>
      <c r="BC115" s="6219"/>
      <c r="BD115" s="6222">
        <f t="shared" si="75"/>
        <v>0</v>
      </c>
      <c r="BE115" s="6220" t="str">
        <f t="shared" si="70"/>
        <v/>
      </c>
      <c r="BF115" s="4" t="s">
        <v>1</v>
      </c>
      <c r="BG115" s="6196">
        <f t="shared" si="71"/>
        <v>0</v>
      </c>
      <c r="BH115" s="6197">
        <f t="shared" si="72"/>
        <v>0</v>
      </c>
      <c r="BW115"/>
      <c r="BX115" s="20" t="str">
        <f t="shared" si="51"/>
        <v>►</v>
      </c>
      <c r="BY115"/>
      <c r="BZ115"/>
      <c r="CA115"/>
      <c r="CB115"/>
      <c r="CC115"/>
      <c r="CD115" s="5661"/>
      <c r="CE115"/>
      <c r="CF115"/>
      <c r="CG115"/>
      <c r="CH115"/>
      <c r="CI115"/>
      <c r="CJ115"/>
      <c r="CK115"/>
      <c r="CL115"/>
      <c r="CM115"/>
      <c r="CN115"/>
      <c r="CO115"/>
      <c r="CP115"/>
      <c r="CQ115"/>
      <c r="CR115"/>
      <c r="CS115"/>
      <c r="CT115"/>
      <c r="CU115"/>
      <c r="CV115"/>
      <c r="CW115"/>
      <c r="CX115"/>
      <c r="CY115"/>
      <c r="CZ115"/>
      <c r="DA115"/>
      <c r="DC115" s="5">
        <v>1</v>
      </c>
    </row>
    <row r="116" spans="1:107" s="1" customFormat="1" ht="21" customHeight="1">
      <c r="A116" s="5641" t="s">
        <v>1</v>
      </c>
      <c r="B116" s="5662" t="str">
        <f t="shared" si="50"/>
        <v>►</v>
      </c>
      <c r="C116" s="5825" cm="1">
        <f t="array" ref="C116">SUMPRODUCT(LEN(D116:J116))</f>
        <v>0</v>
      </c>
      <c r="D116" s="5275"/>
      <c r="E116" s="1361"/>
      <c r="F116" s="1361"/>
      <c r="G116" s="1361"/>
      <c r="H116" s="1361"/>
      <c r="I116" s="1361"/>
      <c r="J116" s="5276"/>
      <c r="K116" s="106" t="s">
        <v>1</v>
      </c>
      <c r="L116" s="5243" t="s">
        <v>26</v>
      </c>
      <c r="M116" s="5379" t="str">
        <f>Q116</f>
        <v>N NOMBRE DE SU RECETA | pegue esto — FAMILIA| Autor &gt; USTED</v>
      </c>
      <c r="N116" s="5380">
        <f>Q114</f>
        <v>5.53</v>
      </c>
      <c r="O116" s="5379" t="str">
        <f>R114</f>
        <v>kg</v>
      </c>
      <c r="P116" s="5381" t="str">
        <f>V116&amp;" "&amp;W116</f>
        <v>Receta madre ► Ballotina de pintada</v>
      </c>
      <c r="Q116" s="5484" t="str">
        <f>UPPER(LEFT(T110,1))&amp;" "&amp;T110&amp;" | "&amp;AB110&amp;"| "&amp;T112&amp;" "&amp;U112</f>
        <v>N NOMBRE DE SU RECETA | pegue esto — FAMILIA| Autor &gt; USTED</v>
      </c>
      <c r="R116" s="5485" t="s">
        <v>8412</v>
      </c>
      <c r="S116" s="6903" t="s">
        <v>8411</v>
      </c>
      <c r="T116" s="6903"/>
      <c r="U116" s="6903"/>
      <c r="V116" s="5119" t="s">
        <v>9587</v>
      </c>
      <c r="W116" s="6267" t="s">
        <v>8413</v>
      </c>
      <c r="X116" s="6267"/>
      <c r="Y116" s="6267"/>
      <c r="Z116" s="6368"/>
      <c r="AA116" s="6268"/>
      <c r="AB116" s="6268"/>
      <c r="AC116" s="6268"/>
      <c r="AD116" s="6736" t="s">
        <v>8379</v>
      </c>
      <c r="AE116" s="4" t="s">
        <v>1</v>
      </c>
      <c r="AF116" s="6202" t="str">
        <f t="shared" si="54"/>
        <v>►</v>
      </c>
      <c r="AG116" s="6234" t="str">
        <f t="shared" si="55"/>
        <v/>
      </c>
      <c r="AH116" s="6732" t="str">
        <f t="shared" si="56"/>
        <v/>
      </c>
      <c r="AI116" s="6234" t="str">
        <f t="shared" si="57"/>
        <v/>
      </c>
      <c r="AJ116" s="6732" t="str">
        <f t="shared" si="58"/>
        <v/>
      </c>
      <c r="AK116" s="6732">
        <f t="shared" si="59"/>
        <v>0</v>
      </c>
      <c r="AL116" s="6230" t="str" cm="1">
        <f t="array" ref="AL116">IF(AF116&lt;&gt;"A","",IFERROR((IFERROR(_xlfn.XLOOKUP(TRIM(SUBSTITUTE(U116,CHAR(160)," ")),$BJ$15:$BJ$62,$BM$15:$BM$62),IFERROR(_xlfn.XLOOKUP(TRIM(SUBSTITUTE(U116,CHAR(160)," ")),$BK$15:$BK$62,$BM$15:$BM$62),_xlfn.XLOOKUP(TRIM(SUBSTITUTE(U116,CHAR(160)," ")),$BL$15:$BL$62,$BM$15:$BM$62))))*T116*IF(ISBLANK(Q116),1,Q116)+IFERROR(_xlfn.XLOOKUP("RECHERCHEX",TRIM(L116:AD116),L116:AD116),0),0))</f>
        <v/>
      </c>
      <c r="AM116" s="6229">
        <f t="shared" si="60"/>
        <v>0</v>
      </c>
      <c r="AN116" s="6857" t="str">
        <f t="shared" si="77"/>
        <v/>
      </c>
      <c r="AO116" s="392">
        <f t="shared" si="61"/>
        <v>0</v>
      </c>
      <c r="AP116" s="392">
        <f t="shared" si="62"/>
        <v>0</v>
      </c>
      <c r="AQ116" s="6190">
        <f t="shared" si="63"/>
        <v>0</v>
      </c>
      <c r="AR116" s="6858" t="str">
        <f t="shared" si="64"/>
        <v/>
      </c>
      <c r="AS116" s="6217"/>
      <c r="AT116" s="6217"/>
      <c r="AU116" s="6271">
        <f t="shared" si="65"/>
        <v>0</v>
      </c>
      <c r="AV116" s="6242">
        <f t="shared" si="66"/>
        <v>0</v>
      </c>
      <c r="AW116" s="6188" cm="1">
        <f t="array" ref="AW116">IF(AK116&lt;&gt;1,0,IF(OR(AU116="",N(AU116)&lt;=0.000000001),"",IF(OR(AO116="",N(AO116)&lt;=0.000000001),0,IF(ISNUMBER(AU116),IFERROR(_xlfn.LET(_xlpm.ai_test,TRIM(AJ116),_xlpm.r,IFERROR(_xlfn.XLOOKUP(_xlpm.ai_test,$BJ$15:$BJ$62,ROW($BJ$15:$BJ$62),0,1),IFERROR(_xlfn.XLOOKUP(_xlpm.ai_test,$BK$15:$BK$62,ROW($BK$15:$BK$62),0,1),_xlfn.XLOOKUP(_xlpm.ai_test,$BL$15:$BL$62,ROW($BL$15:$BL$62),0,1))),_xlpm.p,_xlpm.r-MIN(ROW($BJ$15:$BJ$62))+1,_xlpm.f,INDEX($BM$15:$BM$62,_xlpm.p),_xlpm.u,INDEX($BN$15:$BN$62,_xlpm.p),_xlpm.s,INDEX($BP$15:$BP$62,_xlpm.p),_xlpm.q,N(AU116)/_xlpm.f,IF(_xlpm.q&gt;=_xlpm.s,ROUND(_xlpm.q,1)&amp;" "&amp;_xlpm.ai_test&amp;" = "&amp;ROUND(_xlpm.q*_xlpm.f,1)&amp;" "&amp;_xlpm.u,ROUND(_xlpm.q,1)&amp;" "&amp;_xlpm.ai_test)),""),""))))</f>
        <v>0</v>
      </c>
      <c r="AX116" s="6218"/>
      <c r="AY116" s="6271">
        <f t="shared" si="67"/>
        <v>0</v>
      </c>
      <c r="AZ116" s="6242" t="str">
        <f t="shared" si="68"/>
        <v/>
      </c>
      <c r="BA116" s="6194">
        <f t="shared" si="73"/>
        <v>0</v>
      </c>
      <c r="BB116" s="6192" t="str">
        <f t="shared" si="69"/>
        <v/>
      </c>
      <c r="BC116" s="6219"/>
      <c r="BD116" s="6221">
        <f t="shared" si="75"/>
        <v>0</v>
      </c>
      <c r="BE116" s="6220" t="str">
        <f t="shared" si="70"/>
        <v/>
      </c>
      <c r="BF116" s="4" t="s">
        <v>1</v>
      </c>
      <c r="BG116" s="6196">
        <f t="shared" si="71"/>
        <v>0</v>
      </c>
      <c r="BH116" s="6197">
        <f t="shared" si="72"/>
        <v>0</v>
      </c>
      <c r="BW116"/>
      <c r="BX116" s="20" t="str">
        <f t="shared" si="51"/>
        <v>►</v>
      </c>
      <c r="CD116" s="5661"/>
      <c r="CE116"/>
      <c r="CF116"/>
      <c r="CG116"/>
      <c r="CH116"/>
      <c r="CI116"/>
      <c r="CJ116"/>
      <c r="CK116"/>
      <c r="CL116"/>
      <c r="CM116"/>
      <c r="CN116"/>
      <c r="CO116"/>
      <c r="CP116"/>
      <c r="CQ116"/>
      <c r="CR116"/>
      <c r="CS116"/>
      <c r="CT116"/>
      <c r="CU116"/>
      <c r="CV116"/>
      <c r="CW116"/>
      <c r="CX116"/>
      <c r="CY116"/>
      <c r="CZ116"/>
      <c r="DA116"/>
      <c r="DC116" s="5">
        <v>1</v>
      </c>
    </row>
    <row r="117" spans="1:107" s="1" customFormat="1" ht="21" customHeight="1">
      <c r="A117" s="5641" t="s">
        <v>1</v>
      </c>
      <c r="B117" s="5662" t="str">
        <f t="shared" si="50"/>
        <v>►</v>
      </c>
      <c r="C117" s="5825" cm="1">
        <f t="array" ref="C117">SUMPRODUCT(LEN(D117:J117))</f>
        <v>0</v>
      </c>
      <c r="D117" s="5275"/>
      <c r="E117" s="1361"/>
      <c r="F117" s="1361"/>
      <c r="G117" s="1361"/>
      <c r="H117" s="1361"/>
      <c r="I117" s="1361"/>
      <c r="J117" s="5276"/>
      <c r="K117" s="106" t="s">
        <v>1</v>
      </c>
      <c r="L117" s="1017" t="s">
        <v>26</v>
      </c>
      <c r="M117" s="5382" t="str">
        <f>M116</f>
        <v>N NOMBRE DE SU RECETA | pegue esto — FAMILIA| Autor &gt; USTED</v>
      </c>
      <c r="N117" s="5382">
        <f>N116</f>
        <v>5.53</v>
      </c>
      <c r="O117" s="5382" t="str">
        <f>O116</f>
        <v>kg</v>
      </c>
      <c r="P117" s="5383" t="str">
        <f>P116</f>
        <v>Receta madre ► Ballotina de pintada</v>
      </c>
      <c r="Q117" s="310" t="s">
        <v>217</v>
      </c>
      <c r="R117" s="310" t="s">
        <v>216</v>
      </c>
      <c r="S117" s="310" t="s">
        <v>215</v>
      </c>
      <c r="T117" s="310" t="s">
        <v>214</v>
      </c>
      <c r="U117" s="309" t="s">
        <v>83</v>
      </c>
      <c r="V117" s="6265" t="s">
        <v>213</v>
      </c>
      <c r="W117" s="6266" t="s">
        <v>212</v>
      </c>
      <c r="X117" s="6266" t="s">
        <v>211</v>
      </c>
      <c r="Y117" s="6266" t="s">
        <v>210</v>
      </c>
      <c r="Z117" s="6266" t="s">
        <v>7928</v>
      </c>
      <c r="AA117" s="6266" t="s">
        <v>208</v>
      </c>
      <c r="AB117" s="6266" t="s">
        <v>207</v>
      </c>
      <c r="AC117" s="6266" t="s">
        <v>206</v>
      </c>
      <c r="AD117" s="6270" t="s">
        <v>205</v>
      </c>
      <c r="AE117" s="6873" t="s">
        <v>11041</v>
      </c>
      <c r="AF117" s="6202" t="str">
        <f t="shared" si="54"/>
        <v>►</v>
      </c>
      <c r="AG117" s="6234" t="str">
        <f t="shared" si="55"/>
        <v/>
      </c>
      <c r="AH117" s="6732" t="str">
        <f t="shared" si="56"/>
        <v/>
      </c>
      <c r="AI117" s="6234" t="str">
        <f t="shared" si="57"/>
        <v/>
      </c>
      <c r="AJ117" s="6732" t="str">
        <f t="shared" si="58"/>
        <v/>
      </c>
      <c r="AK117" s="6732">
        <f t="shared" si="59"/>
        <v>0</v>
      </c>
      <c r="AL117" s="6230" t="str" cm="1">
        <f t="array" ref="AL117">IF(AF117&lt;&gt;"A","",IFERROR((IFERROR(_xlfn.XLOOKUP(TRIM(SUBSTITUTE(U117,CHAR(160)," ")),$BJ$15:$BJ$62,$BM$15:$BM$62),IFERROR(_xlfn.XLOOKUP(TRIM(SUBSTITUTE(U117,CHAR(160)," ")),$BK$15:$BK$62,$BM$15:$BM$62),_xlfn.XLOOKUP(TRIM(SUBSTITUTE(U117,CHAR(160)," ")),$BL$15:$BL$62,$BM$15:$BM$62))))*T117*IF(ISBLANK(Q117),1,Q117)+IFERROR(_xlfn.XLOOKUP("RECHERCHEX",TRIM(L117:AD117),L117:AD117),0),0))</f>
        <v/>
      </c>
      <c r="AM117" s="6229">
        <f t="shared" si="60"/>
        <v>0</v>
      </c>
      <c r="AN117" s="6857" t="str">
        <f t="shared" si="77"/>
        <v/>
      </c>
      <c r="AO117" s="392">
        <f t="shared" si="61"/>
        <v>0</v>
      </c>
      <c r="AP117" s="392">
        <f t="shared" si="62"/>
        <v>0</v>
      </c>
      <c r="AQ117" s="6191">
        <f t="shared" si="63"/>
        <v>0</v>
      </c>
      <c r="AR117" s="6859" t="str">
        <f t="shared" si="64"/>
        <v/>
      </c>
      <c r="AS117" s="6217"/>
      <c r="AT117" s="6217"/>
      <c r="AU117" s="6272">
        <f t="shared" si="65"/>
        <v>0</v>
      </c>
      <c r="AV117" s="6240">
        <f t="shared" si="66"/>
        <v>0</v>
      </c>
      <c r="AW117" s="6189" cm="1">
        <f t="array" ref="AW117">IF(AK117&lt;&gt;1,0,IF(OR(AU117="",N(AU117)&lt;=0.000000001),"",IF(OR(AO117="",N(AO117)&lt;=0.000000001),0,IF(ISNUMBER(AU117),IFERROR(_xlfn.LET(_xlpm.ai_test,TRIM(AJ117),_xlpm.r,IFERROR(_xlfn.XLOOKUP(_xlpm.ai_test,$BJ$15:$BJ$62,ROW($BJ$15:$BJ$62),0,1),IFERROR(_xlfn.XLOOKUP(_xlpm.ai_test,$BK$15:$BK$62,ROW($BK$15:$BK$62),0,1),_xlfn.XLOOKUP(_xlpm.ai_test,$BL$15:$BL$62,ROW($BL$15:$BL$62),0,1))),_xlpm.p,_xlpm.r-MIN(ROW($BJ$15:$BJ$62))+1,_xlpm.f,INDEX($BM$15:$BM$62,_xlpm.p),_xlpm.u,INDEX($BN$15:$BN$62,_xlpm.p),_xlpm.s,INDEX($BP$15:$BP$62,_xlpm.p),_xlpm.q,N(AU117)/_xlpm.f,IF(_xlpm.q&gt;=_xlpm.s,ROUND(_xlpm.q,1)&amp;" "&amp;_xlpm.ai_test&amp;" = "&amp;ROUND(_xlpm.q*_xlpm.f,1)&amp;" "&amp;_xlpm.u,ROUND(_xlpm.q,1)&amp;" "&amp;_xlpm.ai_test)),""),""))))</f>
        <v>0</v>
      </c>
      <c r="AX117" s="6218"/>
      <c r="AY117" s="6272">
        <f t="shared" si="67"/>
        <v>0</v>
      </c>
      <c r="AZ117" s="6240" t="str">
        <f t="shared" si="68"/>
        <v/>
      </c>
      <c r="BA117" s="6195">
        <f t="shared" si="73"/>
        <v>0</v>
      </c>
      <c r="BB117" s="6193" t="str">
        <f t="shared" si="69"/>
        <v/>
      </c>
      <c r="BC117" s="6219"/>
      <c r="BD117" s="6222">
        <f t="shared" si="75"/>
        <v>0</v>
      </c>
      <c r="BE117" s="6220" t="str">
        <f t="shared" si="70"/>
        <v/>
      </c>
      <c r="BF117" s="4" t="s">
        <v>1</v>
      </c>
      <c r="BG117" s="6196">
        <f t="shared" si="71"/>
        <v>0</v>
      </c>
      <c r="BH117" s="6197">
        <f t="shared" si="72"/>
        <v>0</v>
      </c>
      <c r="BW117"/>
      <c r="BX117" s="20" t="str">
        <f t="shared" si="51"/>
        <v>►</v>
      </c>
      <c r="CD117" s="5661"/>
      <c r="CE117"/>
      <c r="CF117"/>
      <c r="CG117"/>
      <c r="CH117"/>
      <c r="CI117"/>
      <c r="CJ117"/>
      <c r="CK117"/>
      <c r="CL117"/>
      <c r="CM117"/>
      <c r="CN117"/>
      <c r="CO117"/>
      <c r="CP117"/>
      <c r="CQ117"/>
      <c r="CR117"/>
      <c r="CS117"/>
      <c r="CT117"/>
      <c r="CU117"/>
      <c r="CV117"/>
      <c r="CW117"/>
      <c r="CX117"/>
      <c r="CY117"/>
      <c r="CZ117"/>
      <c r="DA117"/>
      <c r="DC117" s="5">
        <v>1</v>
      </c>
    </row>
    <row r="118" spans="1:107" s="1" customFormat="1" ht="21" customHeight="1">
      <c r="A118" s="5641" t="s">
        <v>1</v>
      </c>
      <c r="B118" s="5662" t="str">
        <f t="shared" si="50"/>
        <v>A</v>
      </c>
      <c r="C118" s="5825" cm="1">
        <f t="array" ref="C118">SUMPRODUCT(LEN(D118:J118))</f>
        <v>0</v>
      </c>
      <c r="D118" s="5275"/>
      <c r="E118" s="1361"/>
      <c r="F118" s="1361"/>
      <c r="G118" s="1361"/>
      <c r="H118" s="1361"/>
      <c r="I118" s="1361"/>
      <c r="J118" s="5276"/>
      <c r="K118" s="106" t="s">
        <v>1</v>
      </c>
      <c r="L118" s="1018" t="s">
        <v>21</v>
      </c>
      <c r="M118" s="41" t="str">
        <f>M116</f>
        <v>N NOMBRE DE SU RECETA | pegue esto — FAMILIA| Autor &gt; USTED</v>
      </c>
      <c r="N118" s="40">
        <f>N116</f>
        <v>5.53</v>
      </c>
      <c r="O118" s="41" t="str">
        <f>O116</f>
        <v>kg</v>
      </c>
      <c r="P118" s="5386" t="str">
        <f>P116</f>
        <v>Receta madre ► Ballotina de pintada</v>
      </c>
      <c r="Q118" s="5247" t="s">
        <v>198</v>
      </c>
      <c r="R118" s="298" t="s">
        <v>197</v>
      </c>
      <c r="S118" s="297"/>
      <c r="T118" s="6904" t="s">
        <v>8416</v>
      </c>
      <c r="U118" s="6906" t="s">
        <v>195</v>
      </c>
      <c r="V118" s="6908" t="s">
        <v>8417</v>
      </c>
      <c r="W118" s="5248" t="s">
        <v>194</v>
      </c>
      <c r="X118" s="6869" t="s">
        <v>11041</v>
      </c>
      <c r="Y118" s="6256" t="s">
        <v>8406</v>
      </c>
      <c r="Z118" s="6700" t="s">
        <v>8419</v>
      </c>
      <c r="AA118" s="6888" t="s">
        <v>8418</v>
      </c>
      <c r="AB118" s="6890" t="s">
        <v>8419</v>
      </c>
      <c r="AC118" s="6892" t="s">
        <v>8420</v>
      </c>
      <c r="AD118" s="6894" t="s">
        <v>8421</v>
      </c>
      <c r="AE118" s="6872" t="s">
        <v>11043</v>
      </c>
      <c r="AF118" s="6202" t="str">
        <f t="shared" si="54"/>
        <v>►</v>
      </c>
      <c r="AG118" s="6234" t="str">
        <f t="shared" si="55"/>
        <v/>
      </c>
      <c r="AH118" s="6732" t="str">
        <f t="shared" si="56"/>
        <v/>
      </c>
      <c r="AI118" s="6234" t="str">
        <f t="shared" si="57"/>
        <v/>
      </c>
      <c r="AJ118" s="6732" t="str">
        <f t="shared" si="58"/>
        <v/>
      </c>
      <c r="AK118" s="6732">
        <f t="shared" si="59"/>
        <v>0</v>
      </c>
      <c r="AL118" s="6230" t="str" cm="1">
        <f t="array" ref="AL118">IF(AF118&lt;&gt;"A","",IFERROR((IFERROR(_xlfn.XLOOKUP(TRIM(SUBSTITUTE(U118,CHAR(160)," ")),$BJ$15:$BJ$62,$BM$15:$BM$62),IFERROR(_xlfn.XLOOKUP(TRIM(SUBSTITUTE(U118,CHAR(160)," ")),$BK$15:$BK$62,$BM$15:$BM$62),_xlfn.XLOOKUP(TRIM(SUBSTITUTE(U118,CHAR(160)," ")),$BL$15:$BL$62,$BM$15:$BM$62))))*T118*IF(ISBLANK(Q118),1,Q118)+IFERROR(_xlfn.XLOOKUP("RECHERCHEX",TRIM(L118:AD118),L118:AD118),0),0))</f>
        <v/>
      </c>
      <c r="AM118" s="6229">
        <f t="shared" si="60"/>
        <v>0</v>
      </c>
      <c r="AN118" s="6857" t="str">
        <f t="shared" si="77"/>
        <v/>
      </c>
      <c r="AO118" s="392">
        <f t="shared" si="61"/>
        <v>0</v>
      </c>
      <c r="AP118" s="392">
        <f t="shared" si="62"/>
        <v>0</v>
      </c>
      <c r="AQ118" s="6190">
        <f t="shared" si="63"/>
        <v>0</v>
      </c>
      <c r="AR118" s="6858" t="str">
        <f t="shared" si="64"/>
        <v/>
      </c>
      <c r="AS118" s="6217"/>
      <c r="AT118" s="6217"/>
      <c r="AU118" s="6271">
        <f t="shared" si="65"/>
        <v>0</v>
      </c>
      <c r="AV118" s="6242">
        <f t="shared" si="66"/>
        <v>0</v>
      </c>
      <c r="AW118" s="6188" cm="1">
        <f t="array" ref="AW118">IF(AK118&lt;&gt;1,0,IF(OR(AU118="",N(AU118)&lt;=0.000000001),"",IF(OR(AO118="",N(AO118)&lt;=0.000000001),0,IF(ISNUMBER(AU118),IFERROR(_xlfn.LET(_xlpm.ai_test,TRIM(AJ118),_xlpm.r,IFERROR(_xlfn.XLOOKUP(_xlpm.ai_test,$BJ$15:$BJ$62,ROW($BJ$15:$BJ$62),0,1),IFERROR(_xlfn.XLOOKUP(_xlpm.ai_test,$BK$15:$BK$62,ROW($BK$15:$BK$62),0,1),_xlfn.XLOOKUP(_xlpm.ai_test,$BL$15:$BL$62,ROW($BL$15:$BL$62),0,1))),_xlpm.p,_xlpm.r-MIN(ROW($BJ$15:$BJ$62))+1,_xlpm.f,INDEX($BM$15:$BM$62,_xlpm.p),_xlpm.u,INDEX($BN$15:$BN$62,_xlpm.p),_xlpm.s,INDEX($BP$15:$BP$62,_xlpm.p),_xlpm.q,N(AU118)/_xlpm.f,IF(_xlpm.q&gt;=_xlpm.s,ROUND(_xlpm.q,1)&amp;" "&amp;_xlpm.ai_test&amp;" = "&amp;ROUND(_xlpm.q*_xlpm.f,1)&amp;" "&amp;_xlpm.u,ROUND(_xlpm.q,1)&amp;" "&amp;_xlpm.ai_test)),""),""))))</f>
        <v>0</v>
      </c>
      <c r="AX118" s="6218"/>
      <c r="AY118" s="6271">
        <f t="shared" si="67"/>
        <v>0</v>
      </c>
      <c r="AZ118" s="6242" t="str">
        <f t="shared" si="68"/>
        <v/>
      </c>
      <c r="BA118" s="6194">
        <f t="shared" si="73"/>
        <v>0</v>
      </c>
      <c r="BB118" s="6192" t="str">
        <f t="shared" si="69"/>
        <v/>
      </c>
      <c r="BC118" s="6219"/>
      <c r="BD118" s="6221">
        <f t="shared" si="75"/>
        <v>0</v>
      </c>
      <c r="BE118" s="6220" t="str">
        <f t="shared" si="70"/>
        <v/>
      </c>
      <c r="BF118" s="4" t="s">
        <v>1</v>
      </c>
      <c r="BG118" s="6196">
        <f t="shared" si="71"/>
        <v>0</v>
      </c>
      <c r="BH118" s="6197">
        <f t="shared" si="72"/>
        <v>0</v>
      </c>
      <c r="BW118"/>
      <c r="BX118" s="20" t="str">
        <f t="shared" si="51"/>
        <v>►</v>
      </c>
      <c r="CD118" s="5661"/>
      <c r="CE118"/>
      <c r="CF118"/>
      <c r="CG118"/>
      <c r="CH118"/>
      <c r="CI118"/>
      <c r="CJ118"/>
      <c r="CK118"/>
      <c r="CL118"/>
      <c r="CM118"/>
      <c r="CN118"/>
      <c r="CO118"/>
      <c r="CP118"/>
      <c r="CQ118"/>
      <c r="CR118"/>
      <c r="CS118"/>
      <c r="CT118"/>
      <c r="CU118"/>
      <c r="CV118"/>
      <c r="CW118"/>
      <c r="CX118"/>
      <c r="CY118"/>
      <c r="CZ118"/>
      <c r="DA118"/>
      <c r="DC118" s="5">
        <v>1</v>
      </c>
    </row>
    <row r="119" spans="1:107" s="1" customFormat="1" ht="21" customHeight="1">
      <c r="A119" s="5641" t="s">
        <v>1</v>
      </c>
      <c r="B119" s="5662" t="str">
        <f t="shared" si="50"/>
        <v>A</v>
      </c>
      <c r="C119" s="5825" cm="1">
        <f t="array" ref="C119">SUMPRODUCT(LEN(D119:J119))</f>
        <v>0</v>
      </c>
      <c r="D119" s="5275"/>
      <c r="E119" s="1361"/>
      <c r="F119" s="1361"/>
      <c r="G119" s="1361"/>
      <c r="H119" s="1361"/>
      <c r="I119" s="1361"/>
      <c r="J119" s="5276"/>
      <c r="K119" s="106" t="s">
        <v>1</v>
      </c>
      <c r="L119" s="1018" t="s">
        <v>21</v>
      </c>
      <c r="M119" s="41" t="str">
        <f>M116</f>
        <v>N NOMBRE DE SU RECETA | pegue esto — FAMILIA| Autor &gt; USTED</v>
      </c>
      <c r="N119" s="40">
        <f>N116</f>
        <v>5.53</v>
      </c>
      <c r="O119" s="41" t="str">
        <f>O116</f>
        <v>kg</v>
      </c>
      <c r="P119" s="5386" t="str">
        <f>P116</f>
        <v>Receta madre ► Ballotina de pintada</v>
      </c>
      <c r="Q119" s="5249" t="s">
        <v>8414</v>
      </c>
      <c r="R119" s="286" t="s">
        <v>8415</v>
      </c>
      <c r="S119" s="285" t="s">
        <v>186</v>
      </c>
      <c r="T119" s="6905"/>
      <c r="U119" s="6907"/>
      <c r="V119" s="6909"/>
      <c r="W119" s="5250" t="s">
        <v>8427</v>
      </c>
      <c r="X119" s="6870" t="s">
        <v>255</v>
      </c>
      <c r="Y119" s="6252" t="s">
        <v>8578</v>
      </c>
      <c r="Z119" s="6019">
        <v>1</v>
      </c>
      <c r="AA119" s="6889"/>
      <c r="AB119" s="6891"/>
      <c r="AC119" s="6893"/>
      <c r="AD119" s="6895"/>
      <c r="AE119" s="6872" t="s">
        <v>11044</v>
      </c>
      <c r="AF119" s="6202" t="str">
        <f t="shared" si="54"/>
        <v>►</v>
      </c>
      <c r="AG119" s="6234" t="str">
        <f t="shared" si="55"/>
        <v/>
      </c>
      <c r="AH119" s="6732" t="str">
        <f t="shared" si="56"/>
        <v/>
      </c>
      <c r="AI119" s="6234" t="str">
        <f t="shared" si="57"/>
        <v/>
      </c>
      <c r="AJ119" s="6732" t="str">
        <f t="shared" si="58"/>
        <v/>
      </c>
      <c r="AK119" s="6732">
        <f t="shared" si="59"/>
        <v>0</v>
      </c>
      <c r="AL119" s="6230" t="str" cm="1">
        <f t="array" ref="AL119">IF(AF119&lt;&gt;"A","",IFERROR((IFERROR(_xlfn.XLOOKUP(TRIM(SUBSTITUTE(U119,CHAR(160)," ")),$BJ$15:$BJ$62,$BM$15:$BM$62),IFERROR(_xlfn.XLOOKUP(TRIM(SUBSTITUTE(U119,CHAR(160)," ")),$BK$15:$BK$62,$BM$15:$BM$62),_xlfn.XLOOKUP(TRIM(SUBSTITUTE(U119,CHAR(160)," ")),$BL$15:$BL$62,$BM$15:$BM$62))))*T119*IF(ISBLANK(Q119),1,Q119)+IFERROR(_xlfn.XLOOKUP("RECHERCHEX",TRIM(L119:AD119),L119:AD119),0),0))</f>
        <v/>
      </c>
      <c r="AM119" s="6229">
        <f t="shared" si="60"/>
        <v>0</v>
      </c>
      <c r="AN119" s="6857" t="str">
        <f t="shared" si="77"/>
        <v/>
      </c>
      <c r="AO119" s="392">
        <f t="shared" si="61"/>
        <v>0</v>
      </c>
      <c r="AP119" s="392">
        <f t="shared" si="62"/>
        <v>0</v>
      </c>
      <c r="AQ119" s="6191">
        <f t="shared" si="63"/>
        <v>0</v>
      </c>
      <c r="AR119" s="6859" t="str">
        <f t="shared" si="64"/>
        <v/>
      </c>
      <c r="AS119" s="6217"/>
      <c r="AT119" s="6217"/>
      <c r="AU119" s="6272">
        <f t="shared" si="65"/>
        <v>0</v>
      </c>
      <c r="AV119" s="6240">
        <f t="shared" si="66"/>
        <v>0</v>
      </c>
      <c r="AW119" s="6189" cm="1">
        <f t="array" ref="AW119">IF(AK119&lt;&gt;1,0,IF(OR(AU119="",N(AU119)&lt;=0.000000001),"",IF(OR(AO119="",N(AO119)&lt;=0.000000001),0,IF(ISNUMBER(AU119),IFERROR(_xlfn.LET(_xlpm.ai_test,TRIM(AJ119),_xlpm.r,IFERROR(_xlfn.XLOOKUP(_xlpm.ai_test,$BJ$15:$BJ$62,ROW($BJ$15:$BJ$62),0,1),IFERROR(_xlfn.XLOOKUP(_xlpm.ai_test,$BK$15:$BK$62,ROW($BK$15:$BK$62),0,1),_xlfn.XLOOKUP(_xlpm.ai_test,$BL$15:$BL$62,ROW($BL$15:$BL$62),0,1))),_xlpm.p,_xlpm.r-MIN(ROW($BJ$15:$BJ$62))+1,_xlpm.f,INDEX($BM$15:$BM$62,_xlpm.p),_xlpm.u,INDEX($BN$15:$BN$62,_xlpm.p),_xlpm.s,INDEX($BP$15:$BP$62,_xlpm.p),_xlpm.q,N(AU119)/_xlpm.f,IF(_xlpm.q&gt;=_xlpm.s,ROUND(_xlpm.q,1)&amp;" "&amp;_xlpm.ai_test&amp;" = "&amp;ROUND(_xlpm.q*_xlpm.f,1)&amp;" "&amp;_xlpm.u,ROUND(_xlpm.q,1)&amp;" "&amp;_xlpm.ai_test)),""),""))))</f>
        <v>0</v>
      </c>
      <c r="AX119" s="6218"/>
      <c r="AY119" s="6272">
        <f t="shared" si="67"/>
        <v>0</v>
      </c>
      <c r="AZ119" s="6240" t="str">
        <f t="shared" si="68"/>
        <v/>
      </c>
      <c r="BA119" s="6195">
        <f t="shared" si="73"/>
        <v>0</v>
      </c>
      <c r="BB119" s="6193" t="str">
        <f t="shared" si="69"/>
        <v/>
      </c>
      <c r="BC119" s="6219"/>
      <c r="BD119" s="6222">
        <f t="shared" si="75"/>
        <v>0</v>
      </c>
      <c r="BE119" s="6220" t="str">
        <f t="shared" si="70"/>
        <v/>
      </c>
      <c r="BF119" s="4" t="s">
        <v>1</v>
      </c>
      <c r="BG119" s="6196">
        <f t="shared" si="71"/>
        <v>0</v>
      </c>
      <c r="BH119" s="6197">
        <f t="shared" si="72"/>
        <v>0</v>
      </c>
      <c r="BW119"/>
      <c r="BX119" s="20" t="str">
        <f t="shared" si="51"/>
        <v>►</v>
      </c>
      <c r="CD119" s="5661"/>
      <c r="CE119"/>
      <c r="CF119"/>
      <c r="CG119"/>
      <c r="CH119"/>
      <c r="CI119"/>
      <c r="CJ119"/>
      <c r="CK119"/>
      <c r="CL119"/>
      <c r="CM119"/>
      <c r="CN119"/>
      <c r="CO119"/>
      <c r="CP119"/>
      <c r="CQ119"/>
      <c r="CR119"/>
      <c r="CS119"/>
      <c r="CT119"/>
      <c r="CU119"/>
      <c r="CV119"/>
      <c r="CW119"/>
      <c r="CX119"/>
      <c r="CY119"/>
      <c r="CZ119"/>
      <c r="DA119"/>
      <c r="DC119" s="5">
        <v>1</v>
      </c>
    </row>
    <row r="120" spans="1:107" s="1" customFormat="1" ht="21" customHeight="1">
      <c r="A120" s="5641" t="s">
        <v>1</v>
      </c>
      <c r="B120" s="5662" t="str">
        <f t="shared" si="50"/>
        <v>A</v>
      </c>
      <c r="C120" s="5825" cm="1">
        <f t="array" ref="C120">SUMPRODUCT(LEN(D120:J120))</f>
        <v>0</v>
      </c>
      <c r="D120" s="5275"/>
      <c r="E120" s="1361"/>
      <c r="F120" s="1361"/>
      <c r="G120" s="1361"/>
      <c r="H120" s="1361"/>
      <c r="I120" s="1361"/>
      <c r="J120" s="5276"/>
      <c r="K120" s="106" t="s">
        <v>1</v>
      </c>
      <c r="L120" s="1018" t="s">
        <v>21</v>
      </c>
      <c r="M120" s="41" t="str">
        <f>M116</f>
        <v>N NOMBRE DE SU RECETA | pegue esto — FAMILIA| Autor &gt; USTED</v>
      </c>
      <c r="N120" s="40">
        <f>N116</f>
        <v>5.53</v>
      </c>
      <c r="O120" s="41" t="str">
        <f>O116</f>
        <v>kg</v>
      </c>
      <c r="P120" s="5386" t="str">
        <f>P116</f>
        <v>Receta madre ► Ballotina de pintada</v>
      </c>
      <c r="Q120" s="213"/>
      <c r="R120" s="256"/>
      <c r="S120" s="211" t="str">
        <f t="shared" ref="S120:S133" si="78">IF(OR(ISTEXT(Q120), Q120&lt;=0, T120&lt;=0), "", "de")</f>
        <v/>
      </c>
      <c r="T120" s="210">
        <v>400</v>
      </c>
      <c r="U120" s="6283" t="s">
        <v>130</v>
      </c>
      <c r="V120" s="5448">
        <v>1</v>
      </c>
      <c r="W120" s="6866" t="s">
        <v>8428</v>
      </c>
      <c r="X120" s="6871" t="s">
        <v>856</v>
      </c>
      <c r="Y120" s="6253">
        <f>IF(AA134=0,0,(AA120/AA134)*Z119*1000)</f>
        <v>72.271828802491939</v>
      </c>
      <c r="Z120" s="6254">
        <f>IF(AA134=0, 0, (Q120*V120)/(AA134*Z119))</f>
        <v>0</v>
      </c>
      <c r="AA120" s="5882">
        <f>IFERROR(_xlfn.LET(_xlpm.v,IFERROR(_xlfn.XLOOKUP(U120,Q135:AD135,Q136:AD136),_xlfn.XLOOKUP(U120,Q137:AD137,Q138:AD138)),_xlpm.v*T120*IF(ISBLANK(Q120),1,Q120)),0)</f>
        <v>0.4</v>
      </c>
      <c r="AB120" s="5251">
        <f>IF(OR(ISBLANK(AC115),AC115=0),0,Q120*AC113*V120/AC115)</f>
        <v>0</v>
      </c>
      <c r="AC120" s="6051">
        <f>IF(OR(ISBLANK(AC115),AC115=0),0,AA120*V120*AC113/AC115)</f>
        <v>20</v>
      </c>
      <c r="AD120" s="6459" t="str">
        <f>_xlfn.LET(_xlpm.unite,SUBSTITUTE(TRIM(U120)," (s)",""),_xlpm.val,AC120,_xlpm.estVol,COUNTIF(W135:AD135,_xlpm.unite)+COUNTIF(W137:AD137,_xlpm.unite)&gt;0,_xlpm.estPoids,COUNTIF(Q135:V135,_xlpm.unite)+COUNTIF(Q137:V137,_xlpm.unite)&gt;0,IF(_xlpm.estVol,IF(ROUND(_xlpm.val,3)&gt;=1,ROUND(_xlpm.val,3)&amp;"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20 Kg</v>
      </c>
      <c r="AE120" s="6872" t="s">
        <v>11045</v>
      </c>
      <c r="AF120" s="6202" t="str">
        <f t="shared" si="54"/>
        <v>A</v>
      </c>
      <c r="AG120" s="6234" t="str">
        <f t="shared" si="55"/>
        <v>N NOMBRE DE SU RECETA | pegue esto — FAMILIA| Autor &gt; USTED</v>
      </c>
      <c r="AH120" s="6732">
        <f t="shared" si="56"/>
        <v>5.53</v>
      </c>
      <c r="AI120" s="6234" t="str">
        <f t="shared" si="57"/>
        <v>kg</v>
      </c>
      <c r="AJ120" s="6732" t="str">
        <f t="shared" si="58"/>
        <v>g</v>
      </c>
      <c r="AK120" s="6732">
        <f t="shared" si="59"/>
        <v>1</v>
      </c>
      <c r="AL120" s="6230" cm="1">
        <f t="array" ref="AL120">IF(AF120&lt;&gt;"A","",IFERROR((IFERROR(_xlfn.XLOOKUP(TRIM(SUBSTITUTE(U120,CHAR(160)," ")),$BJ$15:$BJ$62,$BM$15:$BM$62),IFERROR(_xlfn.XLOOKUP(TRIM(SUBSTITUTE(U120,CHAR(160)," ")),$BK$15:$BK$62,$BM$15:$BM$62),_xlfn.XLOOKUP(TRIM(SUBSTITUTE(U120,CHAR(160)," ")),$BL$15:$BL$62,$BM$15:$BM$62))))*T120*IF(ISBLANK(Q120),1,Q120)+IFERROR(_xlfn.XLOOKUP("RECHERCHEX",TRIM(L120:AD120),L120:AD120),0),0))</f>
        <v>0.4</v>
      </c>
      <c r="AM120" s="6229" t="str">
        <f t="shared" si="60"/>
        <v>Kg</v>
      </c>
      <c r="AN120" s="6857" t="str">
        <f t="shared" si="77"/>
        <v>❾ Author reference &gt;</v>
      </c>
      <c r="AO120" s="392">
        <f t="shared" si="61"/>
        <v>5.53</v>
      </c>
      <c r="AP120" s="392" t="str">
        <f t="shared" si="62"/>
        <v>kg</v>
      </c>
      <c r="AQ120" s="6190">
        <f t="shared" si="63"/>
        <v>20</v>
      </c>
      <c r="AR120" s="6858" t="str">
        <f t="shared" si="64"/>
        <v>parts-ou.or.o ❾ + or - &gt;</v>
      </c>
      <c r="AS120" s="6856">
        <v>10</v>
      </c>
      <c r="AT120" s="6275" t="s">
        <v>219</v>
      </c>
      <c r="AU120" s="6271">
        <f t="shared" si="65"/>
        <v>0.72332730560578662</v>
      </c>
      <c r="AV120" s="6242" t="str">
        <f t="shared" si="66"/>
        <v>Kg</v>
      </c>
      <c r="AW120" s="6188" t="str" cm="1">
        <f t="array" ref="AW120">IF(AK120&lt;&gt;1,0,IF(OR(AU120="",N(AU120)&lt;=0.000000001),"",IF(OR(AO120="",N(AO120)&lt;=0.000000001),0,IF(ISNUMBER(AU120),IFERROR(_xlfn.LET(_xlpm.ai_test,TRIM(AJ120),_xlpm.r,IFERROR(_xlfn.XLOOKUP(_xlpm.ai_test,$BJ$15:$BJ$62,ROW($BJ$15:$BJ$62),0,1),IFERROR(_xlfn.XLOOKUP(_xlpm.ai_test,$BK$15:$BK$62,ROW($BK$15:$BK$62),0,1),_xlfn.XLOOKUP(_xlpm.ai_test,$BL$15:$BL$62,ROW($BL$15:$BL$62),0,1))),_xlpm.p,_xlpm.r-MIN(ROW($BJ$15:$BJ$62))+1,_xlpm.f,INDEX($BM$15:$BM$62,_xlpm.p),_xlpm.u,INDEX($BN$15:$BN$62,_xlpm.p),_xlpm.s,INDEX($BP$15:$BP$62,_xlpm.p),_xlpm.q,N(AU120)/_xlpm.f,IF(_xlpm.q&gt;=_xlpm.s,ROUND(_xlpm.q,1)&amp;" "&amp;_xlpm.ai_test&amp;" = "&amp;ROUND(_xlpm.q*_xlpm.f,1)&amp;" "&amp;_xlpm.u,ROUND(_xlpm.q,1)&amp;" "&amp;_xlpm.ai_test)),""),""))))</f>
        <v>723.3 g</v>
      </c>
      <c r="AX120" s="6218"/>
      <c r="AY120" s="6271">
        <f t="shared" si="67"/>
        <v>0.72332730560578662</v>
      </c>
      <c r="AZ120" s="6242" t="str">
        <f t="shared" si="68"/>
        <v>Kg</v>
      </c>
      <c r="BA120" s="6194">
        <f t="shared" si="73"/>
        <v>0</v>
      </c>
      <c r="BB120" s="6192" t="str">
        <f t="shared" si="69"/>
        <v/>
      </c>
      <c r="BC120" s="6219"/>
      <c r="BD120" s="6221">
        <f t="shared" si="75"/>
        <v>0</v>
      </c>
      <c r="BE120" s="6220" t="str">
        <f t="shared" si="70"/>
        <v>Carne magra de pintada</v>
      </c>
      <c r="BF120" s="4" t="s">
        <v>1</v>
      </c>
      <c r="BG120" s="6196">
        <f t="shared" si="71"/>
        <v>0</v>
      </c>
      <c r="BH120" s="6197">
        <f t="shared" si="72"/>
        <v>1.8083182640144664</v>
      </c>
      <c r="BW120"/>
      <c r="BX120" s="20" t="str">
        <f t="shared" si="51"/>
        <v>A</v>
      </c>
      <c r="CD120" s="5661"/>
      <c r="CE120"/>
      <c r="CF120"/>
      <c r="CG120"/>
      <c r="CH120"/>
      <c r="CI120"/>
      <c r="CJ120"/>
      <c r="CK120"/>
      <c r="CL120"/>
      <c r="CM120"/>
      <c r="CN120"/>
      <c r="CO120"/>
      <c r="CP120"/>
      <c r="CQ120"/>
      <c r="CR120"/>
      <c r="CS120"/>
      <c r="CT120"/>
      <c r="CU120"/>
      <c r="CV120"/>
      <c r="CW120"/>
      <c r="CX120"/>
      <c r="CY120"/>
      <c r="CZ120"/>
      <c r="DA120"/>
      <c r="DC120" s="5">
        <v>1</v>
      </c>
    </row>
    <row r="121" spans="1:107" s="1" customFormat="1" ht="21" customHeight="1">
      <c r="A121" s="5641" t="s">
        <v>1</v>
      </c>
      <c r="B121" s="5662" t="str">
        <f t="shared" si="50"/>
        <v>A</v>
      </c>
      <c r="C121" s="5825" cm="1">
        <f t="array" ref="C121">SUMPRODUCT(LEN(D121:J121))</f>
        <v>0</v>
      </c>
      <c r="D121" s="5275"/>
      <c r="E121" s="1361"/>
      <c r="F121" s="1361"/>
      <c r="G121" s="1361"/>
      <c r="H121" s="1361"/>
      <c r="I121" s="1361"/>
      <c r="J121" s="5276"/>
      <c r="K121" s="106" t="s">
        <v>1</v>
      </c>
      <c r="L121" s="1021" t="str">
        <f t="shared" ref="L121:L133" si="79">IF(W121&lt;&gt;"","A","►")</f>
        <v>A</v>
      </c>
      <c r="M121" s="41" t="str">
        <f>M116</f>
        <v>N NOMBRE DE SU RECETA | pegue esto — FAMILIA| Autor &gt; USTED</v>
      </c>
      <c r="N121" s="40">
        <f>N116</f>
        <v>5.53</v>
      </c>
      <c r="O121" s="41" t="str">
        <f>O116</f>
        <v>kg</v>
      </c>
      <c r="P121" s="5386" t="str">
        <f>P116</f>
        <v>Receta madre ► Ballotina de pintada</v>
      </c>
      <c r="Q121" s="213"/>
      <c r="R121" s="256"/>
      <c r="S121" s="211" t="str">
        <f t="shared" si="78"/>
        <v/>
      </c>
      <c r="T121" s="210">
        <v>200</v>
      </c>
      <c r="U121" s="6283" t="s">
        <v>130</v>
      </c>
      <c r="V121" s="5448">
        <v>1</v>
      </c>
      <c r="W121" s="6866" t="s">
        <v>8429</v>
      </c>
      <c r="X121" s="6871"/>
      <c r="Y121" s="6253">
        <f>IF(AA134=0,0,(AA121/AA134)*Z119*1000)</f>
        <v>36.135914401245969</v>
      </c>
      <c r="Z121" s="6701">
        <f>IF(AA134=0, 0, (Q121*V121)/(AA134*Z119))</f>
        <v>0</v>
      </c>
      <c r="AA121" s="5882">
        <f>IFERROR(_xlfn.LET(_xlpm.v,IFERROR(_xlfn.XLOOKUP(U121,Q135:AD135,Q136:AD136),_xlfn.XLOOKUP(U121,Q137:AD137,Q138:AD138)),_xlpm.v*T121*IF(ISBLANK(Q121),1,Q121)),0)</f>
        <v>0.2</v>
      </c>
      <c r="AB121" s="5254">
        <f>IF(OR(ISBLANK(AC115),AC115=0),0,Q121*AC113*V121/AC115)</f>
        <v>0</v>
      </c>
      <c r="AC121" s="6051">
        <f>IF(OR(ISBLANK(AC115),AC115=0),0,AA121*V121*AC113/AC115)</f>
        <v>10</v>
      </c>
      <c r="AD121" s="6199" t="str">
        <f>_xlfn.LET(_xlpm.unite,SUBSTITUTE(TRIM(U121)," (s)",""),_xlpm.val,AC121,_xlpm.estVol,COUNTIF(W135:AD135,_xlpm.unite)+COUNTIF(W137:AD137,_xlpm.unite)&gt;0,_xlpm.estPoids,COUNTIF(Q135:V135,_xlpm.unite)+COUNTIF(Q137:V137,_xlpm.unite)&gt;0,IF(_xlpm.estVol,IF(ROUND(_xlpm.val,3)&gt;=1,ROUND(_xlpm.val,3)&amp;"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10 Kg</v>
      </c>
      <c r="AE121" s="6872" t="s">
        <v>11046</v>
      </c>
      <c r="AF121" s="6202" t="str">
        <f t="shared" si="54"/>
        <v>A</v>
      </c>
      <c r="AG121" s="6234" t="str">
        <f t="shared" si="55"/>
        <v>N NOMBRE DE SU RECETA | pegue esto — FAMILIA| Autor &gt; USTED</v>
      </c>
      <c r="AH121" s="6732">
        <f t="shared" si="56"/>
        <v>5.53</v>
      </c>
      <c r="AI121" s="6234" t="str">
        <f t="shared" si="57"/>
        <v>kg</v>
      </c>
      <c r="AJ121" s="6732" t="str">
        <f t="shared" si="58"/>
        <v>g</v>
      </c>
      <c r="AK121" s="6732">
        <f t="shared" si="59"/>
        <v>1</v>
      </c>
      <c r="AL121" s="6230" cm="1">
        <f t="array" ref="AL121">IF(AF121&lt;&gt;"A","",IFERROR((IFERROR(_xlfn.XLOOKUP(TRIM(SUBSTITUTE(U121,CHAR(160)," ")),$BJ$15:$BJ$62,$BM$15:$BM$62),IFERROR(_xlfn.XLOOKUP(TRIM(SUBSTITUTE(U121,CHAR(160)," ")),$BK$15:$BK$62,$BM$15:$BM$62),_xlfn.XLOOKUP(TRIM(SUBSTITUTE(U121,CHAR(160)," ")),$BL$15:$BL$62,$BM$15:$BM$62))))*T121*IF(ISBLANK(Q121),1,Q121)+IFERROR(_xlfn.XLOOKUP("RECHERCHEX",TRIM(L121:AD121),L121:AD121),0),0))</f>
        <v>0.2</v>
      </c>
      <c r="AM121" s="6229" t="str">
        <f t="shared" si="60"/>
        <v>Kg</v>
      </c>
      <c r="AN121" s="6857" t="str">
        <f t="shared" si="77"/>
        <v>❾ Author reference &gt;</v>
      </c>
      <c r="AO121" s="392">
        <f t="shared" si="61"/>
        <v>5.53</v>
      </c>
      <c r="AP121" s="392" t="str">
        <f t="shared" si="62"/>
        <v>kg</v>
      </c>
      <c r="AQ121" s="6191">
        <f t="shared" si="63"/>
        <v>20</v>
      </c>
      <c r="AR121" s="6859" t="str">
        <f t="shared" si="64"/>
        <v>parts-ou.or.o ❾ + or - &gt;</v>
      </c>
      <c r="AS121" s="6856">
        <v>10</v>
      </c>
      <c r="AT121" s="6275" t="s">
        <v>219</v>
      </c>
      <c r="AU121" s="6272">
        <f t="shared" si="65"/>
        <v>0.36166365280289331</v>
      </c>
      <c r="AV121" s="6240" t="str">
        <f t="shared" si="66"/>
        <v>Kg</v>
      </c>
      <c r="AW121" s="6189" t="str" cm="1">
        <f t="array" ref="AW121">IF(AK121&lt;&gt;1,0,IF(OR(AU121="",N(AU121)&lt;=0.000000001),"",IF(OR(AO121="",N(AO121)&lt;=0.000000001),0,IF(ISNUMBER(AU121),IFERROR(_xlfn.LET(_xlpm.ai_test,TRIM(AJ121),_xlpm.r,IFERROR(_xlfn.XLOOKUP(_xlpm.ai_test,$BJ$15:$BJ$62,ROW($BJ$15:$BJ$62),0,1),IFERROR(_xlfn.XLOOKUP(_xlpm.ai_test,$BK$15:$BK$62,ROW($BK$15:$BK$62),0,1),_xlfn.XLOOKUP(_xlpm.ai_test,$BL$15:$BL$62,ROW($BL$15:$BL$62),0,1))),_xlpm.p,_xlpm.r-MIN(ROW($BJ$15:$BJ$62))+1,_xlpm.f,INDEX($BM$15:$BM$62,_xlpm.p),_xlpm.u,INDEX($BN$15:$BN$62,_xlpm.p),_xlpm.s,INDEX($BP$15:$BP$62,_xlpm.p),_xlpm.q,N(AU121)/_xlpm.f,IF(_xlpm.q&gt;=_xlpm.s,ROUND(_xlpm.q,1)&amp;" "&amp;_xlpm.ai_test&amp;" = "&amp;ROUND(_xlpm.q*_xlpm.f,1)&amp;" "&amp;_xlpm.u,ROUND(_xlpm.q,1)&amp;" "&amp;_xlpm.ai_test)),""),""))))</f>
        <v>361.7 g</v>
      </c>
      <c r="AX121" s="6218"/>
      <c r="AY121" s="6272">
        <f t="shared" si="67"/>
        <v>0.36166365280289331</v>
      </c>
      <c r="AZ121" s="6240" t="str">
        <f t="shared" si="68"/>
        <v>Kg</v>
      </c>
      <c r="BA121" s="6195">
        <f t="shared" si="73"/>
        <v>0</v>
      </c>
      <c r="BB121" s="6193" t="str">
        <f t="shared" si="69"/>
        <v/>
      </c>
      <c r="BC121" s="6219"/>
      <c r="BD121" s="6222">
        <f t="shared" si="75"/>
        <v>0</v>
      </c>
      <c r="BE121" s="6220" t="str">
        <f t="shared" si="70"/>
        <v>Carne magra de cerdo</v>
      </c>
      <c r="BF121" s="4" t="s">
        <v>1</v>
      </c>
      <c r="BG121" s="6196">
        <f t="shared" si="71"/>
        <v>0</v>
      </c>
      <c r="BH121" s="6197">
        <f t="shared" si="72"/>
        <v>1.8083182640144664</v>
      </c>
      <c r="BW121"/>
      <c r="BX121" s="20" t="str">
        <f t="shared" si="51"/>
        <v>A</v>
      </c>
      <c r="CD121" s="5661"/>
      <c r="CE121"/>
      <c r="CF121"/>
      <c r="CG121"/>
      <c r="CH121"/>
      <c r="CI121"/>
      <c r="CJ121"/>
      <c r="CK121"/>
      <c r="CL121"/>
      <c r="CM121"/>
      <c r="CN121"/>
      <c r="CO121"/>
      <c r="CP121"/>
      <c r="CQ121"/>
      <c r="CR121"/>
      <c r="CS121"/>
      <c r="CT121"/>
      <c r="CU121"/>
      <c r="CV121"/>
      <c r="CW121"/>
      <c r="CX121"/>
      <c r="CY121"/>
      <c r="CZ121"/>
      <c r="DA121"/>
      <c r="DC121" s="5">
        <v>1</v>
      </c>
    </row>
    <row r="122" spans="1:107" s="1" customFormat="1" ht="21" customHeight="1">
      <c r="A122" s="5641" t="s">
        <v>1</v>
      </c>
      <c r="B122" s="5662" t="str">
        <f t="shared" si="50"/>
        <v>A</v>
      </c>
      <c r="C122" s="5825" cm="1">
        <f t="array" ref="C122">SUMPRODUCT(LEN(D122:J122))</f>
        <v>0</v>
      </c>
      <c r="D122" s="5275"/>
      <c r="E122" s="1361"/>
      <c r="F122" s="1361"/>
      <c r="G122" s="1361"/>
      <c r="H122" s="1361"/>
      <c r="I122" s="1361"/>
      <c r="J122" s="5276"/>
      <c r="K122" s="106" t="s">
        <v>1</v>
      </c>
      <c r="L122" s="1021" t="str">
        <f t="shared" si="79"/>
        <v>A</v>
      </c>
      <c r="M122" s="41" t="str">
        <f>M116</f>
        <v>N NOMBRE DE SU RECETA | pegue esto — FAMILIA| Autor &gt; USTED</v>
      </c>
      <c r="N122" s="40">
        <f>N116</f>
        <v>5.53</v>
      </c>
      <c r="O122" s="41" t="str">
        <f>O116</f>
        <v>kg</v>
      </c>
      <c r="P122" s="5386" t="str">
        <f>P116</f>
        <v>Receta madre ► Ballotina de pintada</v>
      </c>
      <c r="Q122" s="213"/>
      <c r="R122" s="212"/>
      <c r="S122" s="211" t="str">
        <f t="shared" si="78"/>
        <v/>
      </c>
      <c r="T122" s="210">
        <v>2</v>
      </c>
      <c r="U122" s="6286" t="s">
        <v>9616</v>
      </c>
      <c r="V122" s="5448">
        <v>1</v>
      </c>
      <c r="W122" s="6866" t="s">
        <v>10006</v>
      </c>
      <c r="X122" s="6871"/>
      <c r="Y122" s="6253">
        <f>IF(AA134=0,0,(AA122/AA134)*Z119*1000)</f>
        <v>180.67957200622982</v>
      </c>
      <c r="Z122" s="6701">
        <f>IF(AA134=0, 0, (Q122*V122)/(AA134*Z119))</f>
        <v>0</v>
      </c>
      <c r="AA122" s="5882">
        <f>IFERROR(_xlfn.LET(_xlpm.v,IFERROR(_xlfn.XLOOKUP(U122,Q135:AD135,Q136:AD136),_xlfn.XLOOKUP(U122,Q137:AD137,Q138:AD138)),_xlpm.v*T122*IF(ISBLANK(Q122),1,Q122)),0)</f>
        <v>1</v>
      </c>
      <c r="AB122" s="5256">
        <f>IF(OR(ISBLANK(AC115),AC115=0),0,Q122*AC113*V122/AC115)</f>
        <v>0</v>
      </c>
      <c r="AC122" s="6051">
        <f>IF(OR(ISBLANK(AC115),AC115=0),0,AA122*V122*AC113/AC115)</f>
        <v>50</v>
      </c>
      <c r="AD122" s="6198" t="str">
        <f>_xlfn.LET(_xlpm.unite,SUBSTITUTE(TRIM(U122)," (s)",""),_xlpm.val,AC122,_xlpm.estVol,COUNTIF(W135:AD135,_xlpm.unite)+COUNTIF(W137:AD137,_xlpm.unite)&gt;0,_xlpm.estPoids,COUNTIF(Q135:V135,_xlpm.unite)+COUNTIF(Q137:V137,_xlpm.unite)&gt;0,IF(_xlpm.estVol,IF(ROUND(_xlpm.val,3)&gt;=1,ROUND(_xlpm.val,3)&amp;"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50 L</v>
      </c>
      <c r="AE122" s="6872" t="s">
        <v>11047</v>
      </c>
      <c r="AF122" s="6202" t="str">
        <f t="shared" si="54"/>
        <v>A</v>
      </c>
      <c r="AG122" s="6234" t="str">
        <f t="shared" si="55"/>
        <v>N NOMBRE DE SU RECETA | pegue esto — FAMILIA| Autor &gt; USTED</v>
      </c>
      <c r="AH122" s="6732">
        <f t="shared" si="56"/>
        <v>5.53</v>
      </c>
      <c r="AI122" s="6234" t="str">
        <f t="shared" si="57"/>
        <v>kg</v>
      </c>
      <c r="AJ122" s="6732" t="str">
        <f t="shared" si="58"/>
        <v>medio/L</v>
      </c>
      <c r="AK122" s="6732">
        <f t="shared" si="59"/>
        <v>1</v>
      </c>
      <c r="AL122" s="6230" cm="1">
        <f t="array" ref="AL122">IF(AF122&lt;&gt;"A","",IFERROR((IFERROR(_xlfn.XLOOKUP(TRIM(SUBSTITUTE(U122,CHAR(160)," ")),$BJ$15:$BJ$62,$BM$15:$BM$62),IFERROR(_xlfn.XLOOKUP(TRIM(SUBSTITUTE(U122,CHAR(160)," ")),$BK$15:$BK$62,$BM$15:$BM$62),_xlfn.XLOOKUP(TRIM(SUBSTITUTE(U122,CHAR(160)," ")),$BL$15:$BL$62,$BM$15:$BM$62))))*T122*IF(ISBLANK(Q122),1,Q122)+IFERROR(_xlfn.XLOOKUP("RECHERCHEX",TRIM(L122:AD122),L122:AD122),0),0))</f>
        <v>1</v>
      </c>
      <c r="AM122" s="6229" t="str">
        <f t="shared" si="60"/>
        <v>Kg</v>
      </c>
      <c r="AN122" s="6857" t="str">
        <f t="shared" si="77"/>
        <v>❾ Author reference &gt;</v>
      </c>
      <c r="AO122" s="392">
        <f t="shared" si="61"/>
        <v>5.53</v>
      </c>
      <c r="AP122" s="392" t="str">
        <f t="shared" si="62"/>
        <v>kg</v>
      </c>
      <c r="AQ122" s="6190">
        <f t="shared" si="63"/>
        <v>20</v>
      </c>
      <c r="AR122" s="6858" t="str">
        <f t="shared" si="64"/>
        <v>parts-ou.or.o ❾ + or - &gt;</v>
      </c>
      <c r="AS122" s="6856">
        <v>10</v>
      </c>
      <c r="AT122" s="6275" t="s">
        <v>219</v>
      </c>
      <c r="AU122" s="6271">
        <f t="shared" si="65"/>
        <v>1.8083182640144664</v>
      </c>
      <c r="AV122" s="6242" t="str">
        <f t="shared" si="66"/>
        <v>L ou kg</v>
      </c>
      <c r="AW122" s="6188" t="str" cm="1">
        <f t="array" ref="AW122">IF(AK122&lt;&gt;1,0,IF(OR(AU122="",N(AU122)&lt;=0.000000001),"",IF(OR(AO122="",N(AO122)&lt;=0.000000001),0,IF(ISNUMBER(AU122),IFERROR(_xlfn.LET(_xlpm.ai_test,TRIM(AJ122),_xlpm.r,IFERROR(_xlfn.XLOOKUP(_xlpm.ai_test,$BJ$15:$BJ$62,ROW($BJ$15:$BJ$62),0,1),IFERROR(_xlfn.XLOOKUP(_xlpm.ai_test,$BK$15:$BK$62,ROW($BK$15:$BK$62),0,1),_xlfn.XLOOKUP(_xlpm.ai_test,$BL$15:$BL$62,ROW($BL$15:$BL$62),0,1))),_xlpm.p,_xlpm.r-MIN(ROW($BJ$15:$BJ$62))+1,_xlpm.f,INDEX($BM$15:$BM$62,_xlpm.p),_xlpm.u,INDEX($BN$15:$BN$62,_xlpm.p),_xlpm.s,INDEX($BP$15:$BP$62,_xlpm.p),_xlpm.q,N(AU122)/_xlpm.f,IF(_xlpm.q&gt;=_xlpm.s,ROUND(_xlpm.q,1)&amp;" "&amp;_xlpm.ai_test&amp;" = "&amp;ROUND(_xlpm.q*_xlpm.f,1)&amp;" "&amp;_xlpm.u,ROUND(_xlpm.q,1)&amp;" "&amp;_xlpm.ai_test)),""),""))))</f>
        <v>1808.3 medio/L = 1.8 L ou kg</v>
      </c>
      <c r="AX122" s="6218"/>
      <c r="AY122" s="6271">
        <f t="shared" si="67"/>
        <v>1.8083182640144664</v>
      </c>
      <c r="AZ122" s="6242" t="str">
        <f t="shared" si="68"/>
        <v>L ou kg</v>
      </c>
      <c r="BA122" s="6194">
        <f t="shared" si="73"/>
        <v>0</v>
      </c>
      <c r="BB122" s="6192" t="str">
        <f t="shared" si="69"/>
        <v/>
      </c>
      <c r="BC122" s="6219"/>
      <c r="BD122" s="6221">
        <f t="shared" si="75"/>
        <v>0</v>
      </c>
      <c r="BE122" s="6220" t="str">
        <f t="shared" si="70"/>
        <v>test</v>
      </c>
      <c r="BF122" s="4" t="s">
        <v>1</v>
      </c>
      <c r="BG122" s="6196">
        <f t="shared" si="71"/>
        <v>0</v>
      </c>
      <c r="BH122" s="6197">
        <f t="shared" si="72"/>
        <v>1.8083182640144664</v>
      </c>
      <c r="BW122"/>
      <c r="BX122" s="20" t="str">
        <f t="shared" si="51"/>
        <v>A</v>
      </c>
      <c r="CD122" s="5661"/>
      <c r="CE122"/>
      <c r="CF122"/>
      <c r="CG122"/>
      <c r="CH122"/>
      <c r="CI122"/>
      <c r="CJ122"/>
      <c r="CK122"/>
      <c r="CL122"/>
      <c r="CM122"/>
      <c r="CN122"/>
      <c r="CO122"/>
      <c r="CP122"/>
      <c r="CQ122"/>
      <c r="CR122"/>
      <c r="CS122"/>
      <c r="CT122"/>
      <c r="CU122"/>
      <c r="CV122"/>
      <c r="CW122"/>
      <c r="CX122"/>
      <c r="CY122"/>
      <c r="CZ122"/>
      <c r="DA122"/>
      <c r="DC122" s="5">
        <v>1</v>
      </c>
    </row>
    <row r="123" spans="1:107" s="1" customFormat="1" ht="21" customHeight="1">
      <c r="A123" s="5641" t="s">
        <v>1</v>
      </c>
      <c r="B123" s="5662" t="str">
        <f t="shared" si="50"/>
        <v>A</v>
      </c>
      <c r="C123" s="5825" cm="1">
        <f t="array" ref="C123">SUMPRODUCT(LEN(D123:J123))</f>
        <v>0</v>
      </c>
      <c r="D123" s="5275"/>
      <c r="E123" s="1361"/>
      <c r="F123" s="1361"/>
      <c r="G123" s="1361"/>
      <c r="H123" s="1361"/>
      <c r="I123" s="1361"/>
      <c r="J123" s="5276"/>
      <c r="K123" s="106" t="s">
        <v>1</v>
      </c>
      <c r="L123" s="1021" t="str">
        <f t="shared" si="79"/>
        <v>A</v>
      </c>
      <c r="M123" s="41" t="str">
        <f>M116</f>
        <v>N NOMBRE DE SU RECETA | pegue esto — FAMILIA| Autor &gt; USTED</v>
      </c>
      <c r="N123" s="40">
        <f>N116</f>
        <v>5.53</v>
      </c>
      <c r="O123" s="41" t="str">
        <f>O116</f>
        <v>kg</v>
      </c>
      <c r="P123" s="5386" t="str">
        <f>P116</f>
        <v>Receta madre ► Ballotina de pintada</v>
      </c>
      <c r="Q123" s="213"/>
      <c r="R123" s="212"/>
      <c r="S123" s="211" t="str">
        <f t="shared" si="78"/>
        <v/>
      </c>
      <c r="T123" s="210">
        <v>2</v>
      </c>
      <c r="U123" s="6286" t="s">
        <v>9620</v>
      </c>
      <c r="V123" s="5448">
        <v>1</v>
      </c>
      <c r="W123" s="6866" t="s">
        <v>10006</v>
      </c>
      <c r="X123" s="6871"/>
      <c r="Y123" s="6253">
        <f>IF(AA134=0,0,(AA123/AA134)*Z119*1000)</f>
        <v>120.33259495614908</v>
      </c>
      <c r="Z123" s="6701">
        <f>IF(AA134=0, 0, (Q123*V123)/(AA134*Z119))</f>
        <v>0</v>
      </c>
      <c r="AA123" s="5882">
        <f>IFERROR(_xlfn.LET(_xlpm.v,IFERROR(_xlfn.XLOOKUP(U123,Q135:AD135,Q136:AD136),_xlfn.XLOOKUP(U123,Q137:AD137,Q138:AD138)),_xlpm.v*T123*IF(ISBLANK(Q123),1,Q123)),0)</f>
        <v>0.66600000000000004</v>
      </c>
      <c r="AB123" s="5254">
        <f>IF(OR(ISBLANK(AC115),AC115=0),0,Q123*AC113*V123/AC115)</f>
        <v>0</v>
      </c>
      <c r="AC123" s="6051">
        <f>IF(OR(ISBLANK(AC115),AC115=0),0,AA123*V123*AC113/AC115)</f>
        <v>33.299999999999997</v>
      </c>
      <c r="AD123" s="6199" t="str">
        <f>_xlfn.LET(_xlpm.unite,SUBSTITUTE(TRIM(U123)," (s)",""),_xlpm.val,AC123,_xlpm.estVol,COUNTIF(W135:AD135,_xlpm.unite)+COUNTIF(W137:AD137,_xlpm.unite)&gt;0,_xlpm.estPoids,COUNTIF(Q135:V135,_xlpm.unite)+COUNTIF(Q137:V137,_xlpm.unite)&gt;0,IF(_xlpm.estVol,IF(ROUND(_xlpm.val,3)&gt;=1,ROUND(_xlpm.val,3)&amp;"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33.3 L</v>
      </c>
      <c r="AE123" s="6872" t="s">
        <v>11048</v>
      </c>
      <c r="AF123" s="6202" t="str">
        <f t="shared" si="54"/>
        <v>A</v>
      </c>
      <c r="AG123" s="6234" t="str">
        <f t="shared" si="55"/>
        <v>N NOMBRE DE SU RECETA | pegue esto — FAMILIA| Autor &gt; USTED</v>
      </c>
      <c r="AH123" s="6732">
        <f t="shared" si="56"/>
        <v>5.53</v>
      </c>
      <c r="AI123" s="6234" t="str">
        <f t="shared" si="57"/>
        <v>kg</v>
      </c>
      <c r="AJ123" s="6732" t="str">
        <f t="shared" si="58"/>
        <v>tercio/L</v>
      </c>
      <c r="AK123" s="6732">
        <f t="shared" si="59"/>
        <v>1</v>
      </c>
      <c r="AL123" s="6230" cm="1">
        <f t="array" ref="AL123">IF(AF123&lt;&gt;"A","",IFERROR((IFERROR(_xlfn.XLOOKUP(TRIM(SUBSTITUTE(U123,CHAR(160)," ")),$BJ$15:$BJ$62,$BM$15:$BM$62),IFERROR(_xlfn.XLOOKUP(TRIM(SUBSTITUTE(U123,CHAR(160)," ")),$BK$15:$BK$62,$BM$15:$BM$62),_xlfn.XLOOKUP(TRIM(SUBSTITUTE(U123,CHAR(160)," ")),$BL$15:$BL$62,$BM$15:$BM$62))))*T123*IF(ISBLANK(Q123),1,Q123)+IFERROR(_xlfn.XLOOKUP("RECHERCHEX",TRIM(L123:AD123),L123:AD123),0),0))</f>
        <v>0.66600000000000004</v>
      </c>
      <c r="AM123" s="6229" t="str">
        <f t="shared" si="60"/>
        <v>Kg</v>
      </c>
      <c r="AN123" s="6857" t="str">
        <f t="shared" si="77"/>
        <v>❾ Author reference &gt;</v>
      </c>
      <c r="AO123" s="392">
        <f t="shared" si="61"/>
        <v>5.53</v>
      </c>
      <c r="AP123" s="392" t="str">
        <f t="shared" si="62"/>
        <v>kg</v>
      </c>
      <c r="AQ123" s="6191">
        <f t="shared" si="63"/>
        <v>20</v>
      </c>
      <c r="AR123" s="6859" t="str">
        <f t="shared" si="64"/>
        <v>parts-ou.or.o ❾ + or - &gt;</v>
      </c>
      <c r="AS123" s="6856">
        <v>10</v>
      </c>
      <c r="AT123" s="6275" t="s">
        <v>219</v>
      </c>
      <c r="AU123" s="6272">
        <f t="shared" si="65"/>
        <v>1.2043399638336347</v>
      </c>
      <c r="AV123" s="6240" t="str">
        <f t="shared" si="66"/>
        <v>L ou kg</v>
      </c>
      <c r="AW123" s="6189" t="str" cm="1">
        <f t="array" ref="AW123">IF(AK123&lt;&gt;1,0,IF(OR(AU123="",N(AU123)&lt;=0.000000001),"",IF(OR(AO123="",N(AO123)&lt;=0.000000001),0,IF(ISNUMBER(AU123),IFERROR(_xlfn.LET(_xlpm.ai_test,TRIM(AJ123),_xlpm.r,IFERROR(_xlfn.XLOOKUP(_xlpm.ai_test,$BJ$15:$BJ$62,ROW($BJ$15:$BJ$62),0,1),IFERROR(_xlfn.XLOOKUP(_xlpm.ai_test,$BK$15:$BK$62,ROW($BK$15:$BK$62),0,1),_xlfn.XLOOKUP(_xlpm.ai_test,$BL$15:$BL$62,ROW($BL$15:$BL$62),0,1))),_xlpm.p,_xlpm.r-MIN(ROW($BJ$15:$BJ$62))+1,_xlpm.f,INDEX($BM$15:$BM$62,_xlpm.p),_xlpm.u,INDEX($BN$15:$BN$62,_xlpm.p),_xlpm.s,INDEX($BP$15:$BP$62,_xlpm.p),_xlpm.q,N(AU123)/_xlpm.f,IF(_xlpm.q&gt;=_xlpm.s,ROUND(_xlpm.q,1)&amp;" "&amp;_xlpm.ai_test&amp;" = "&amp;ROUND(_xlpm.q*_xlpm.f,1)&amp;" "&amp;_xlpm.u,ROUND(_xlpm.q,1)&amp;" "&amp;_xlpm.ai_test)),""),""))))</f>
        <v>3.6 tercio/L = 1.2 entier</v>
      </c>
      <c r="AX123" s="6218"/>
      <c r="AY123" s="6272">
        <f t="shared" si="67"/>
        <v>1.2043399638336347</v>
      </c>
      <c r="AZ123" s="6240" t="str">
        <f t="shared" si="68"/>
        <v>L ou kg</v>
      </c>
      <c r="BA123" s="6195">
        <f t="shared" si="73"/>
        <v>0</v>
      </c>
      <c r="BB123" s="6193" t="str">
        <f t="shared" si="69"/>
        <v/>
      </c>
      <c r="BC123" s="6219"/>
      <c r="BD123" s="6222">
        <f t="shared" si="75"/>
        <v>0</v>
      </c>
      <c r="BE123" s="6220" t="str">
        <f t="shared" si="70"/>
        <v>test</v>
      </c>
      <c r="BF123" s="4" t="s">
        <v>1</v>
      </c>
      <c r="BG123" s="6196">
        <f t="shared" si="71"/>
        <v>0</v>
      </c>
      <c r="BH123" s="6197">
        <f t="shared" si="72"/>
        <v>1.8083182640144664</v>
      </c>
      <c r="BW123"/>
      <c r="BX123" s="20" t="str">
        <f t="shared" si="51"/>
        <v>A</v>
      </c>
      <c r="CD123" s="5661"/>
      <c r="CE123"/>
      <c r="CF123"/>
      <c r="CG123"/>
      <c r="CH123"/>
      <c r="CI123"/>
      <c r="CJ123"/>
      <c r="CK123"/>
      <c r="CL123"/>
      <c r="CM123"/>
      <c r="CN123"/>
      <c r="CO123"/>
      <c r="CP123"/>
      <c r="CQ123"/>
      <c r="CR123"/>
      <c r="CS123"/>
      <c r="CT123"/>
      <c r="CU123"/>
      <c r="CV123"/>
      <c r="CW123"/>
      <c r="CX123"/>
      <c r="CY123"/>
      <c r="CZ123"/>
      <c r="DA123"/>
      <c r="DC123" s="5">
        <v>1</v>
      </c>
    </row>
    <row r="124" spans="1:107" s="1" customFormat="1" ht="21" customHeight="1">
      <c r="A124" s="5641" t="s">
        <v>1</v>
      </c>
      <c r="B124" s="5662" t="str">
        <f t="shared" si="50"/>
        <v>A</v>
      </c>
      <c r="C124" s="5825" cm="1">
        <f t="array" ref="C124">SUMPRODUCT(LEN(D124:J124))</f>
        <v>0</v>
      </c>
      <c r="D124" s="5275"/>
      <c r="E124" s="1361"/>
      <c r="F124" s="1361"/>
      <c r="G124" s="1361"/>
      <c r="H124" s="1361"/>
      <c r="I124" s="1361"/>
      <c r="J124" s="5276"/>
      <c r="K124" s="106" t="s">
        <v>1</v>
      </c>
      <c r="L124" s="1021" t="str">
        <f t="shared" si="79"/>
        <v>A</v>
      </c>
      <c r="M124" s="41" t="str">
        <f>M116</f>
        <v>N NOMBRE DE SU RECETA | pegue esto — FAMILIA| Autor &gt; USTED</v>
      </c>
      <c r="N124" s="40">
        <f>N116</f>
        <v>5.53</v>
      </c>
      <c r="O124" s="41" t="str">
        <f>O116</f>
        <v>kg</v>
      </c>
      <c r="P124" s="5386" t="str">
        <f>P116</f>
        <v>Receta madre ► Ballotina de pintada</v>
      </c>
      <c r="Q124" s="213"/>
      <c r="R124" s="212"/>
      <c r="S124" s="211" t="str">
        <f t="shared" si="78"/>
        <v/>
      </c>
      <c r="T124" s="210">
        <v>2</v>
      </c>
      <c r="U124" s="6282" t="s">
        <v>9622</v>
      </c>
      <c r="V124" s="5448">
        <v>1</v>
      </c>
      <c r="W124" s="6866" t="s">
        <v>10006</v>
      </c>
      <c r="X124" s="6871"/>
      <c r="Y124" s="6253">
        <f>IF(AA134=0,0,(AA124/AA134)*Z119*1000)</f>
        <v>72.271828802491939</v>
      </c>
      <c r="Z124" s="6701">
        <f>IF(AA134=0, 0, (Q124*V124)/(AA134*Z119))</f>
        <v>0</v>
      </c>
      <c r="AA124" s="5882">
        <f>IFERROR(_xlfn.LET(_xlpm.v,IFERROR(_xlfn.XLOOKUP(U124,Q135:AD135,Q136:AD136),_xlfn.XLOOKUP(U124,Q137:AD137,Q138:AD138)),_xlpm.v*T124*IF(ISBLANK(Q124),1,Q124)),0)</f>
        <v>0.4</v>
      </c>
      <c r="AB124" s="5256">
        <f>IF(OR(ISBLANK(AC115),AC115=0),0,Q124*AC113*V124/AC115)</f>
        <v>0</v>
      </c>
      <c r="AC124" s="6051">
        <f>IF(OR(ISBLANK(AC115),AC115=0),0,AA124*V124*AC113/AC115)</f>
        <v>20</v>
      </c>
      <c r="AD124" s="6198" t="str">
        <f>_xlfn.LET(_xlpm.unite,SUBSTITUTE(TRIM(U124)," (s)",""),_xlpm.val,AC124,_xlpm.estVol,COUNTIF(W135:AD135,_xlpm.unite)+COUNTIF(W137:AD137,_xlpm.unite)&gt;0,_xlpm.estPoids,COUNTIF(Q135:V135,_xlpm.unite)+COUNTIF(Q137:V137,_xlpm.unite)&gt;0,IF(_xlpm.estVol,IF(ROUND(_xlpm.val,3)&gt;=1,ROUND(_xlpm.val,3)&amp;"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20 L</v>
      </c>
      <c r="AE124" s="6872" t="s">
        <v>11049</v>
      </c>
      <c r="AF124" s="6202" t="str">
        <f t="shared" si="54"/>
        <v>A</v>
      </c>
      <c r="AG124" s="6234" t="str">
        <f t="shared" si="55"/>
        <v>N NOMBRE DE SU RECETA | pegue esto — FAMILIA| Autor &gt; USTED</v>
      </c>
      <c r="AH124" s="6732">
        <f t="shared" si="56"/>
        <v>5.53</v>
      </c>
      <c r="AI124" s="6234" t="str">
        <f t="shared" si="57"/>
        <v>kg</v>
      </c>
      <c r="AJ124" s="6732" t="str">
        <f t="shared" si="58"/>
        <v>quinto/L</v>
      </c>
      <c r="AK124" s="6732">
        <f t="shared" si="59"/>
        <v>1</v>
      </c>
      <c r="AL124" s="6230" cm="1">
        <f t="array" ref="AL124">IF(AF124&lt;&gt;"A","",IFERROR((IFERROR(_xlfn.XLOOKUP(TRIM(SUBSTITUTE(U124,CHAR(160)," ")),$BJ$15:$BJ$62,$BM$15:$BM$62),IFERROR(_xlfn.XLOOKUP(TRIM(SUBSTITUTE(U124,CHAR(160)," ")),$BK$15:$BK$62,$BM$15:$BM$62),_xlfn.XLOOKUP(TRIM(SUBSTITUTE(U124,CHAR(160)," ")),$BL$15:$BL$62,$BM$15:$BM$62))))*T124*IF(ISBLANK(Q124),1,Q124)+IFERROR(_xlfn.XLOOKUP("RECHERCHEX",TRIM(L124:AD124),L124:AD124),0),0))</f>
        <v>0.4</v>
      </c>
      <c r="AM124" s="6229" t="str">
        <f t="shared" si="60"/>
        <v>Kg</v>
      </c>
      <c r="AN124" s="6857" t="str">
        <f t="shared" si="77"/>
        <v>❾ Author reference &gt;</v>
      </c>
      <c r="AO124" s="392">
        <f t="shared" si="61"/>
        <v>5.53</v>
      </c>
      <c r="AP124" s="392" t="str">
        <f t="shared" si="62"/>
        <v>kg</v>
      </c>
      <c r="AQ124" s="6190">
        <f t="shared" si="63"/>
        <v>20</v>
      </c>
      <c r="AR124" s="6858" t="str">
        <f t="shared" si="64"/>
        <v>parts-ou.or.o ❾ + or - &gt;</v>
      </c>
      <c r="AS124" s="6856">
        <v>10</v>
      </c>
      <c r="AT124" s="6275" t="s">
        <v>219</v>
      </c>
      <c r="AU124" s="6271">
        <f t="shared" si="65"/>
        <v>0.72332730560578662</v>
      </c>
      <c r="AV124" s="6242" t="str">
        <f t="shared" si="66"/>
        <v>L ou kg</v>
      </c>
      <c r="AW124" s="6188" t="str" cm="1">
        <f t="array" ref="AW124">IF(AK124&lt;&gt;1,0,IF(OR(AU124="",N(AU124)&lt;=0.000000001),"",IF(OR(AO124="",N(AO124)&lt;=0.000000001),0,IF(ISNUMBER(AU124),IFERROR(_xlfn.LET(_xlpm.ai_test,TRIM(AJ124),_xlpm.r,IFERROR(_xlfn.XLOOKUP(_xlpm.ai_test,$BJ$15:$BJ$62,ROW($BJ$15:$BJ$62),0,1),IFERROR(_xlfn.XLOOKUP(_xlpm.ai_test,$BK$15:$BK$62,ROW($BK$15:$BK$62),0,1),_xlfn.XLOOKUP(_xlpm.ai_test,$BL$15:$BL$62,ROW($BL$15:$BL$62),0,1))),_xlpm.p,_xlpm.r-MIN(ROW($BJ$15:$BJ$62))+1,_xlpm.f,INDEX($BM$15:$BM$62,_xlpm.p),_xlpm.u,INDEX($BN$15:$BN$62,_xlpm.p),_xlpm.s,INDEX($BP$15:$BP$62,_xlpm.p),_xlpm.q,N(AU124)/_xlpm.f,IF(_xlpm.q&gt;=_xlpm.s,ROUND(_xlpm.q,1)&amp;" "&amp;_xlpm.ai_test&amp;" = "&amp;ROUND(_xlpm.q*_xlpm.f,1)&amp;" "&amp;_xlpm.u,ROUND(_xlpm.q,1)&amp;" "&amp;_xlpm.ai_test)),""),""))))</f>
        <v>18.1 quinto/L</v>
      </c>
      <c r="AX124" s="6218"/>
      <c r="AY124" s="6271">
        <f t="shared" si="67"/>
        <v>0.72332730560578662</v>
      </c>
      <c r="AZ124" s="6242" t="str">
        <f t="shared" si="68"/>
        <v>L ou kg</v>
      </c>
      <c r="BA124" s="6194">
        <f t="shared" si="73"/>
        <v>0</v>
      </c>
      <c r="BB124" s="6192" t="str">
        <f t="shared" si="69"/>
        <v/>
      </c>
      <c r="BC124" s="6219"/>
      <c r="BD124" s="6221">
        <f t="shared" si="75"/>
        <v>0</v>
      </c>
      <c r="BE124" s="6220" t="str">
        <f t="shared" si="70"/>
        <v>test</v>
      </c>
      <c r="BF124" s="4" t="s">
        <v>1</v>
      </c>
      <c r="BG124" s="6196">
        <f t="shared" si="71"/>
        <v>0</v>
      </c>
      <c r="BH124" s="6197">
        <f t="shared" si="72"/>
        <v>1.8083182640144664</v>
      </c>
      <c r="BW124"/>
      <c r="BX124" s="20" t="str">
        <f t="shared" si="51"/>
        <v>A</v>
      </c>
      <c r="CD124" s="5661"/>
      <c r="CE124"/>
      <c r="CF124"/>
      <c r="CG124"/>
      <c r="CH124"/>
      <c r="CI124"/>
      <c r="CJ124"/>
      <c r="CK124"/>
      <c r="CL124"/>
      <c r="CM124"/>
      <c r="CN124"/>
      <c r="CO124"/>
      <c r="CP124"/>
      <c r="CQ124"/>
      <c r="CR124"/>
      <c r="CS124"/>
      <c r="CT124"/>
      <c r="CU124"/>
      <c r="CV124"/>
      <c r="CW124"/>
      <c r="CX124"/>
      <c r="CY124"/>
      <c r="CZ124"/>
      <c r="DA124"/>
      <c r="DC124" s="5">
        <v>1</v>
      </c>
    </row>
    <row r="125" spans="1:107" s="1" customFormat="1" ht="21" customHeight="1">
      <c r="A125" s="5641" t="s">
        <v>1</v>
      </c>
      <c r="B125" s="5662" t="str">
        <f t="shared" si="50"/>
        <v>A</v>
      </c>
      <c r="C125" s="5825" cm="1">
        <f t="array" ref="C125">SUMPRODUCT(LEN(D125:J125))</f>
        <v>0</v>
      </c>
      <c r="D125" s="5275"/>
      <c r="E125" s="1361"/>
      <c r="F125" s="1361"/>
      <c r="G125" s="1361"/>
      <c r="H125" s="1361"/>
      <c r="I125" s="1361"/>
      <c r="J125" s="5276"/>
      <c r="K125" s="106" t="s">
        <v>1</v>
      </c>
      <c r="L125" s="1021" t="str">
        <f t="shared" si="79"/>
        <v>A</v>
      </c>
      <c r="M125" s="41" t="str">
        <f>M116</f>
        <v>N NOMBRE DE SU RECETA | pegue esto — FAMILIA| Autor &gt; USTED</v>
      </c>
      <c r="N125" s="40">
        <f>N116</f>
        <v>5.53</v>
      </c>
      <c r="O125" s="41" t="str">
        <f>O116</f>
        <v>kg</v>
      </c>
      <c r="P125" s="5386" t="str">
        <f>P116</f>
        <v>Receta madre ► Ballotina de pintada</v>
      </c>
      <c r="Q125" s="213"/>
      <c r="R125" s="212"/>
      <c r="S125" s="211" t="str">
        <f t="shared" si="78"/>
        <v/>
      </c>
      <c r="T125" s="210">
        <v>2</v>
      </c>
      <c r="U125" s="6281" t="s">
        <v>9697</v>
      </c>
      <c r="V125" s="5448">
        <v>1</v>
      </c>
      <c r="W125" s="6866" t="s">
        <v>10006</v>
      </c>
      <c r="X125" s="6871"/>
      <c r="Y125" s="6253">
        <f>IF(AA134=0,0,(AA125/AA134)*Z119*1000)</f>
        <v>1.8067957200622986</v>
      </c>
      <c r="Z125" s="6701">
        <f>IF(AA134=0, 0, (Q125*V125)/(AA134*Z119))</f>
        <v>0</v>
      </c>
      <c r="AA125" s="5882">
        <f>IFERROR(_xlfn.LET(_xlpm.v,IFERROR(_xlfn.XLOOKUP(U125,Q135:AD135,Q136:AD136),_xlfn.XLOOKUP(U125,Q137:AD137,Q138:AD138)),_xlpm.v*T125*IF(ISBLANK(Q125),1,Q125)),0)</f>
        <v>0.01</v>
      </c>
      <c r="AB125" s="5254">
        <f>IF(OR(ISBLANK(AC115),AC115=0),0,Q125*AC113*V125/AC115)</f>
        <v>0</v>
      </c>
      <c r="AC125" s="6051">
        <f>IF(OR(ISBLANK(AC115),AC115=0),0,AA125*V125*AC113/AC115)</f>
        <v>0.5</v>
      </c>
      <c r="AD125" s="6199" t="str">
        <f>_xlfn.LET(_xlpm.unite,SUBSTITUTE(TRIM(U125)," (s)",""),_xlpm.val,AC125,_xlpm.estVol,COUNTIF(W135:AD135,_xlpm.unite)+COUNTIF(W137:AD137,_xlpm.unite)&gt;0,_xlpm.estPoids,COUNTIF(Q135:V135,_xlpm.unite)+COUNTIF(Q137:V137,_xlpm.unite)&gt;0,IF(_xlpm.estVol,IF(ROUND(_xlpm.val,3)&gt;=1,ROUND(_xlpm.val,3)&amp;"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50 cl</v>
      </c>
      <c r="AE125" s="6872" t="s">
        <v>11042</v>
      </c>
      <c r="AF125" s="6202" t="str">
        <f t="shared" si="54"/>
        <v>A</v>
      </c>
      <c r="AG125" s="6234" t="str">
        <f t="shared" si="55"/>
        <v>N NOMBRE DE SU RECETA | pegue esto — FAMILIA| Autor &gt; USTED</v>
      </c>
      <c r="AH125" s="6732">
        <f t="shared" si="56"/>
        <v>5.53</v>
      </c>
      <c r="AI125" s="6234" t="str">
        <f t="shared" si="57"/>
        <v>kg</v>
      </c>
      <c r="AJ125" s="6732" t="str">
        <f t="shared" si="58"/>
        <v>cucharadita(s)</v>
      </c>
      <c r="AK125" s="6732">
        <f t="shared" si="59"/>
        <v>1</v>
      </c>
      <c r="AL125" s="6230" cm="1">
        <f t="array" ref="AL125">IF(AF125&lt;&gt;"A","",IFERROR((IFERROR(_xlfn.XLOOKUP(TRIM(SUBSTITUTE(U125,CHAR(160)," ")),$BJ$15:$BJ$62,$BM$15:$BM$62),IFERROR(_xlfn.XLOOKUP(TRIM(SUBSTITUTE(U125,CHAR(160)," ")),$BK$15:$BK$62,$BM$15:$BM$62),_xlfn.XLOOKUP(TRIM(SUBSTITUTE(U125,CHAR(160)," ")),$BL$15:$BL$62,$BM$15:$BM$62))))*T125*IF(ISBLANK(Q125),1,Q125)+IFERROR(_xlfn.XLOOKUP("RECHERCHEX",TRIM(L125:AD125),L125:AD125),0),0))</f>
        <v>9.859999999999999E-3</v>
      </c>
      <c r="AM125" s="6229" t="str">
        <f t="shared" si="60"/>
        <v>Kg</v>
      </c>
      <c r="AN125" s="6857" t="str">
        <f t="shared" si="77"/>
        <v>❾ Author reference &gt;</v>
      </c>
      <c r="AO125" s="392">
        <f t="shared" si="61"/>
        <v>5.53</v>
      </c>
      <c r="AP125" s="392" t="str">
        <f t="shared" si="62"/>
        <v>kg</v>
      </c>
      <c r="AQ125" s="6191">
        <f t="shared" si="63"/>
        <v>20</v>
      </c>
      <c r="AR125" s="6859" t="str">
        <f t="shared" si="64"/>
        <v>parts-ou.or.o ❾ + or - &gt;</v>
      </c>
      <c r="AS125" s="6856">
        <v>10</v>
      </c>
      <c r="AT125" s="6275" t="s">
        <v>219</v>
      </c>
      <c r="AU125" s="6272">
        <f t="shared" si="65"/>
        <v>1.7830018083182637E-2</v>
      </c>
      <c r="AV125" s="6240" t="str">
        <f t="shared" si="66"/>
        <v>L ou kg</v>
      </c>
      <c r="AW125" s="6189" t="str" cm="1">
        <f t="array" ref="AW125">IF(AK125&lt;&gt;1,0,IF(OR(AU125="",N(AU125)&lt;=0.000000001),"",IF(OR(AO125="",N(AO125)&lt;=0.000000001),0,IF(ISNUMBER(AU125),IFERROR(_xlfn.LET(_xlpm.ai_test,TRIM(AJ125),_xlpm.r,IFERROR(_xlfn.XLOOKUP(_xlpm.ai_test,$BJ$15:$BJ$62,ROW($BJ$15:$BJ$62),0,1),IFERROR(_xlfn.XLOOKUP(_xlpm.ai_test,$BK$15:$BK$62,ROW($BK$15:$BK$62),0,1),_xlfn.XLOOKUP(_xlpm.ai_test,$BL$15:$BL$62,ROW($BL$15:$BL$62),0,1))),_xlpm.p,_xlpm.r-MIN(ROW($BJ$15:$BJ$62))+1,_xlpm.f,INDEX($BM$15:$BM$62,_xlpm.p),_xlpm.u,INDEX($BN$15:$BN$62,_xlpm.p),_xlpm.s,INDEX($BP$15:$BP$62,_xlpm.p),_xlpm.q,N(AU125)/_xlpm.f,IF(_xlpm.q&gt;=_xlpm.s,ROUND(_xlpm.q,1)&amp;" "&amp;_xlpm.ai_test&amp;" = "&amp;ROUND(_xlpm.q*_xlpm.f,1)&amp;" "&amp;_xlpm.u,ROUND(_xlpm.q,1)&amp;" "&amp;_xlpm.ai_test)),""),""))))</f>
        <v>3.6 cucharadita(s)</v>
      </c>
      <c r="AX125" s="6218"/>
      <c r="AY125" s="6272">
        <f t="shared" si="67"/>
        <v>1.7830018083182637E-2</v>
      </c>
      <c r="AZ125" s="6240" t="str">
        <f t="shared" si="68"/>
        <v>L ou kg</v>
      </c>
      <c r="BA125" s="6195">
        <f t="shared" si="73"/>
        <v>0</v>
      </c>
      <c r="BB125" s="6193" t="str">
        <f t="shared" si="69"/>
        <v/>
      </c>
      <c r="BC125" s="6219"/>
      <c r="BD125" s="6222">
        <f t="shared" si="75"/>
        <v>0</v>
      </c>
      <c r="BE125" s="6220" t="str">
        <f t="shared" si="70"/>
        <v>test</v>
      </c>
      <c r="BF125" s="4" t="s">
        <v>1</v>
      </c>
      <c r="BG125" s="6196">
        <f t="shared" si="71"/>
        <v>0</v>
      </c>
      <c r="BH125" s="6197">
        <f t="shared" si="72"/>
        <v>1.8083182640144664</v>
      </c>
      <c r="BW125"/>
      <c r="BX125" s="20" t="str">
        <f t="shared" si="51"/>
        <v>A</v>
      </c>
      <c r="CD125" s="5661"/>
      <c r="CE125"/>
      <c r="CF125"/>
      <c r="CG125"/>
      <c r="CH125"/>
      <c r="CI125"/>
      <c r="CJ125"/>
      <c r="CK125"/>
      <c r="CL125"/>
      <c r="CM125"/>
      <c r="CN125"/>
      <c r="CO125"/>
      <c r="CP125"/>
      <c r="CQ125"/>
      <c r="CR125"/>
      <c r="CS125"/>
      <c r="CT125"/>
      <c r="CU125"/>
      <c r="CV125"/>
      <c r="CW125"/>
      <c r="CX125"/>
      <c r="CY125"/>
      <c r="CZ125"/>
      <c r="DA125"/>
      <c r="DC125" s="5">
        <v>1</v>
      </c>
    </row>
    <row r="126" spans="1:107" s="1" customFormat="1" ht="21" customHeight="1">
      <c r="A126" s="5641" t="s">
        <v>1</v>
      </c>
      <c r="B126" s="5662" t="str">
        <f t="shared" si="50"/>
        <v>A</v>
      </c>
      <c r="C126" s="5825" cm="1">
        <f t="array" ref="C126">SUMPRODUCT(LEN(D126:J126))</f>
        <v>0</v>
      </c>
      <c r="D126" s="5275"/>
      <c r="E126" s="1361"/>
      <c r="F126" s="1361"/>
      <c r="G126" s="1361"/>
      <c r="H126" s="1361"/>
      <c r="I126" s="1361"/>
      <c r="J126" s="5276"/>
      <c r="K126" s="106" t="s">
        <v>1</v>
      </c>
      <c r="L126" s="1021" t="str">
        <f t="shared" si="79"/>
        <v>A</v>
      </c>
      <c r="M126" s="41" t="str">
        <f>M116</f>
        <v>N NOMBRE DE SU RECETA | pegue esto — FAMILIA| Autor &gt; USTED</v>
      </c>
      <c r="N126" s="40">
        <f>N116</f>
        <v>5.53</v>
      </c>
      <c r="O126" s="41" t="str">
        <f>O116</f>
        <v>kg</v>
      </c>
      <c r="P126" s="5386" t="str">
        <f>P116</f>
        <v>Receta madre ► Ballotina de pintada</v>
      </c>
      <c r="Q126" s="213"/>
      <c r="R126" s="212"/>
      <c r="S126" s="211" t="str">
        <f t="shared" si="78"/>
        <v/>
      </c>
      <c r="T126" s="210">
        <v>2</v>
      </c>
      <c r="U126" s="6281" t="s">
        <v>9698</v>
      </c>
      <c r="V126" s="5448">
        <v>1</v>
      </c>
      <c r="W126" s="6866" t="s">
        <v>10006</v>
      </c>
      <c r="X126" s="6871"/>
      <c r="Y126" s="6253">
        <f>IF(AA134=0,0,(AA126/AA134)*Z119*1000)</f>
        <v>1.8067957200622986</v>
      </c>
      <c r="Z126" s="6701">
        <f>IF(AA134=0, 0, (Q126*V126)/(AA134*Z119))</f>
        <v>0</v>
      </c>
      <c r="AA126" s="5882">
        <f>IFERROR(_xlfn.LET(_xlpm.v,IFERROR(_xlfn.XLOOKUP(U126,Q135:AD135,Q136:AD136),_xlfn.XLOOKUP(U126,Q137:AD137,Q138:AD138)),_xlpm.v*T126*IF(ISBLANK(Q126),1,Q126)),0)</f>
        <v>0.01</v>
      </c>
      <c r="AB126" s="5256">
        <f>IF(OR(ISBLANK(AC115),AC115=0),0,Q126*AC113*V126/AC115)</f>
        <v>0</v>
      </c>
      <c r="AC126" s="6051">
        <f>IF(OR(ISBLANK(AC115),AC115=0),0,AA126*V126*AC113/AC115)</f>
        <v>0.5</v>
      </c>
      <c r="AD126" s="6200" t="str">
        <f>_xlfn.LET(_xlpm.unite,SUBSTITUTE(TRIM(U126)," (s)",""),_xlpm.val,AC126,_xlpm.estVol,COUNTIF(W135:AD135,_xlpm.unite)+COUNTIF(W137:AD137,_xlpm.unite)&gt;0,_xlpm.estPoids,COUNTIF(Q135:V135,_xlpm.unite)+COUNTIF(Q137:V137,_xlpm.unite)&gt;0,IF(_xlpm.estVol,IF(ROUND(_xlpm.val,3)&gt;=1,ROUND(_xlpm.val,3)&amp;"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50 cl</v>
      </c>
      <c r="AE126" s="6872" t="s">
        <v>11050</v>
      </c>
      <c r="AF126" s="6202" t="str">
        <f t="shared" si="54"/>
        <v>A</v>
      </c>
      <c r="AG126" s="6234" t="str">
        <f t="shared" si="55"/>
        <v>N NOMBRE DE SU RECETA | pegue esto — FAMILIA| Autor &gt; USTED</v>
      </c>
      <c r="AH126" s="6732">
        <f t="shared" si="56"/>
        <v>5.53</v>
      </c>
      <c r="AI126" s="6234" t="str">
        <f t="shared" si="57"/>
        <v>kg</v>
      </c>
      <c r="AJ126" s="6732" t="str">
        <f t="shared" si="58"/>
        <v>cucharilla(s) de té</v>
      </c>
      <c r="AK126" s="6732">
        <f t="shared" si="59"/>
        <v>1</v>
      </c>
      <c r="AL126" s="6230" cm="1">
        <f t="array" ref="AL126">IF(AF126&lt;&gt;"A","",IFERROR((IFERROR(_xlfn.XLOOKUP(TRIM(SUBSTITUTE(U126,CHAR(160)," ")),$BJ$15:$BJ$62,$BM$15:$BM$62),IFERROR(_xlfn.XLOOKUP(TRIM(SUBSTITUTE(U126,CHAR(160)," ")),$BK$15:$BK$62,$BM$15:$BM$62),_xlfn.XLOOKUP(TRIM(SUBSTITUTE(U126,CHAR(160)," ")),$BL$15:$BL$62,$BM$15:$BM$62))))*T126*IF(ISBLANK(Q126),1,Q126)+IFERROR(_xlfn.XLOOKUP("RECHERCHEX",TRIM(L126:AD126),L126:AD126),0),0))</f>
        <v>0.01</v>
      </c>
      <c r="AM126" s="6229" t="str">
        <f t="shared" si="60"/>
        <v>Kg</v>
      </c>
      <c r="AN126" s="6857" t="str">
        <f t="shared" si="77"/>
        <v>❾ Author reference &gt;</v>
      </c>
      <c r="AO126" s="392">
        <f t="shared" si="61"/>
        <v>5.53</v>
      </c>
      <c r="AP126" s="392" t="str">
        <f t="shared" si="62"/>
        <v>kg</v>
      </c>
      <c r="AQ126" s="6190">
        <f t="shared" si="63"/>
        <v>20</v>
      </c>
      <c r="AR126" s="6858" t="str">
        <f t="shared" si="64"/>
        <v>parts-ou.or.o ❾ + or - &gt;</v>
      </c>
      <c r="AS126" s="6856">
        <v>10</v>
      </c>
      <c r="AT126" s="6275" t="s">
        <v>219</v>
      </c>
      <c r="AU126" s="6271">
        <f t="shared" si="65"/>
        <v>1.8083182640144663E-2</v>
      </c>
      <c r="AV126" s="6242" t="str">
        <f t="shared" si="66"/>
        <v>L ou kg</v>
      </c>
      <c r="AW126" s="6188" t="str" cm="1">
        <f t="array" ref="AW126">IF(AK126&lt;&gt;1,0,IF(OR(AU126="",N(AU126)&lt;=0.000000001),"",IF(OR(AO126="",N(AO126)&lt;=0.000000001),0,IF(ISNUMBER(AU126),IFERROR(_xlfn.LET(_xlpm.ai_test,TRIM(AJ126),_xlpm.r,IFERROR(_xlfn.XLOOKUP(_xlpm.ai_test,$BJ$15:$BJ$62,ROW($BJ$15:$BJ$62),0,1),IFERROR(_xlfn.XLOOKUP(_xlpm.ai_test,$BK$15:$BK$62,ROW($BK$15:$BK$62),0,1),_xlfn.XLOOKUP(_xlpm.ai_test,$BL$15:$BL$62,ROW($BL$15:$BL$62),0,1))),_xlpm.p,_xlpm.r-MIN(ROW($BJ$15:$BJ$62))+1,_xlpm.f,INDEX($BM$15:$BM$62,_xlpm.p),_xlpm.u,INDEX($BN$15:$BN$62,_xlpm.p),_xlpm.s,INDEX($BP$15:$BP$62,_xlpm.p),_xlpm.q,N(AU126)/_xlpm.f,IF(_xlpm.q&gt;=_xlpm.s,ROUND(_xlpm.q,1)&amp;" "&amp;_xlpm.ai_test&amp;" = "&amp;ROUND(_xlpm.q*_xlpm.f,1)&amp;" "&amp;_xlpm.u,ROUND(_xlpm.q,1)&amp;" "&amp;_xlpm.ai_test)),""),""))))</f>
        <v>3.7 cucharilla(s) de té</v>
      </c>
      <c r="AX126" s="6218"/>
      <c r="AY126" s="6271">
        <f t="shared" si="67"/>
        <v>1.8083182640144663E-2</v>
      </c>
      <c r="AZ126" s="6242" t="str">
        <f t="shared" si="68"/>
        <v>L ou kg</v>
      </c>
      <c r="BA126" s="6194">
        <f t="shared" si="73"/>
        <v>0</v>
      </c>
      <c r="BB126" s="6192" t="str">
        <f t="shared" si="69"/>
        <v/>
      </c>
      <c r="BC126" s="6219"/>
      <c r="BD126" s="6221">
        <f t="shared" si="75"/>
        <v>0</v>
      </c>
      <c r="BE126" s="6220" t="str">
        <f t="shared" si="70"/>
        <v>test</v>
      </c>
      <c r="BF126" s="4" t="s">
        <v>1</v>
      </c>
      <c r="BG126" s="6196">
        <f t="shared" si="71"/>
        <v>0</v>
      </c>
      <c r="BH126" s="6197">
        <f t="shared" si="72"/>
        <v>1.8083182640144664</v>
      </c>
      <c r="BW126"/>
      <c r="BX126" s="20" t="str">
        <f t="shared" si="51"/>
        <v>A</v>
      </c>
      <c r="CD126" s="5661"/>
      <c r="CE126"/>
      <c r="CF126"/>
      <c r="CG126"/>
      <c r="CH126"/>
      <c r="CI126"/>
      <c r="CJ126"/>
      <c r="CK126"/>
      <c r="CL126"/>
      <c r="CM126"/>
      <c r="CN126"/>
      <c r="CO126"/>
      <c r="CP126"/>
      <c r="CQ126"/>
      <c r="CR126"/>
      <c r="CS126"/>
      <c r="CT126"/>
      <c r="CU126"/>
      <c r="CV126"/>
      <c r="CW126"/>
      <c r="CX126"/>
      <c r="CY126"/>
      <c r="CZ126"/>
      <c r="DA126"/>
      <c r="DC126" s="5">
        <v>1</v>
      </c>
    </row>
    <row r="127" spans="1:107" s="1" customFormat="1" ht="21" customHeight="1">
      <c r="A127" s="5641" t="s">
        <v>1</v>
      </c>
      <c r="B127" s="5662" t="str">
        <f t="shared" si="50"/>
        <v>A</v>
      </c>
      <c r="C127" s="5825" cm="1">
        <f t="array" ref="C127">SUMPRODUCT(LEN(D127:J127))</f>
        <v>0</v>
      </c>
      <c r="D127" s="5275"/>
      <c r="E127" s="1361"/>
      <c r="F127" s="1361"/>
      <c r="G127" s="1361"/>
      <c r="H127" s="1361"/>
      <c r="I127" s="1361"/>
      <c r="J127" s="5276"/>
      <c r="K127" s="106" t="s">
        <v>1</v>
      </c>
      <c r="L127" s="1021" t="str">
        <f t="shared" si="79"/>
        <v>A</v>
      </c>
      <c r="M127" s="41" t="str">
        <f>M116</f>
        <v>N NOMBRE DE SU RECETA | pegue esto — FAMILIA| Autor &gt; USTED</v>
      </c>
      <c r="N127" s="40">
        <f>N116</f>
        <v>5.53</v>
      </c>
      <c r="O127" s="41" t="str">
        <f>O116</f>
        <v>kg</v>
      </c>
      <c r="P127" s="5386" t="str">
        <f>P116</f>
        <v>Receta madre ► Ballotina de pintada</v>
      </c>
      <c r="Q127" s="213"/>
      <c r="R127" s="212"/>
      <c r="S127" s="211" t="str">
        <f t="shared" si="78"/>
        <v/>
      </c>
      <c r="T127" s="210">
        <v>2</v>
      </c>
      <c r="U127" s="6286" t="s">
        <v>9699</v>
      </c>
      <c r="V127" s="5448">
        <v>1</v>
      </c>
      <c r="W127" s="6866" t="s">
        <v>10006</v>
      </c>
      <c r="X127" s="6871"/>
      <c r="Y127" s="6253">
        <f>IF(AA134=0,0,(AA127/AA134)*Z119*1000)</f>
        <v>5.4203871601868956</v>
      </c>
      <c r="Z127" s="6701">
        <f>IF(AA134=0, 0, (Q127*V127)/(AA134*Z119))</f>
        <v>0</v>
      </c>
      <c r="AA127" s="5882">
        <f>IFERROR(_xlfn.LET(_xlpm.v,IFERROR(_xlfn.XLOOKUP(U127,Q135:AD135,Q136:AD136),_xlfn.XLOOKUP(U127,Q137:AD137,Q138:AD138)),_xlpm.v*T127*IF(ISBLANK(Q127),1,Q127)),0)</f>
        <v>0.03</v>
      </c>
      <c r="AB127" s="5254">
        <f>IF(OR(ISBLANK(AC115),AC115=0),0,Q127*AC113*V127/AC115)</f>
        <v>0</v>
      </c>
      <c r="AC127" s="6051">
        <f>IF(OR(ISBLANK(AC115),AC115=0),0,AA127*V127*AC113/AC115)</f>
        <v>1.4999999999999998</v>
      </c>
      <c r="AD127" s="6199" t="str">
        <f>_xlfn.LET(_xlpm.unite,SUBSTITUTE(TRIM(U127)," (s)",""),_xlpm.val,AC127,_xlpm.estVol,COUNTIF(W135:AD135,_xlpm.unite)+COUNTIF(W137:AD137,_xlpm.unite)&gt;0,_xlpm.estPoids,COUNTIF(Q135:V135,_xlpm.unite)+COUNTIF(Q137:V137,_xlpm.unite)&gt;0,IF(_xlpm.estVol,IF(ROUND(_xlpm.val,3)&gt;=1,ROUND(_xlpm.val,3)&amp;"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1.5 L</v>
      </c>
      <c r="AE127" s="6872" t="s">
        <v>11051</v>
      </c>
      <c r="AF127" s="6202" t="str">
        <f t="shared" si="54"/>
        <v>A</v>
      </c>
      <c r="AG127" s="6234" t="str">
        <f t="shared" si="55"/>
        <v>N NOMBRE DE SU RECETA | pegue esto — FAMILIA| Autor &gt; USTED</v>
      </c>
      <c r="AH127" s="6732">
        <f t="shared" si="56"/>
        <v>5.53</v>
      </c>
      <c r="AI127" s="6234" t="str">
        <f t="shared" si="57"/>
        <v>kg</v>
      </c>
      <c r="AJ127" s="6732" t="str">
        <f t="shared" si="58"/>
        <v>cucharada(s) (sopera)</v>
      </c>
      <c r="AK127" s="6732">
        <f t="shared" si="59"/>
        <v>1</v>
      </c>
      <c r="AL127" s="6230" cm="1">
        <f t="array" ref="AL127">IF(AF127&lt;&gt;"A","",IFERROR((IFERROR(_xlfn.XLOOKUP(TRIM(SUBSTITUTE(U127,CHAR(160)," ")),$BJ$15:$BJ$62,$BM$15:$BM$62),IFERROR(_xlfn.XLOOKUP(TRIM(SUBSTITUTE(U127,CHAR(160)," ")),$BK$15:$BK$62,$BM$15:$BM$62),_xlfn.XLOOKUP(TRIM(SUBSTITUTE(U127,CHAR(160)," ")),$BL$15:$BL$62,$BM$15:$BM$62))))*T127*IF(ISBLANK(Q127),1,Q127)+IFERROR(_xlfn.XLOOKUP("RECHERCHEX",TRIM(L127:AD127),L127:AD127),0),0))</f>
        <v>0.03</v>
      </c>
      <c r="AM127" s="6229" t="str">
        <f t="shared" si="60"/>
        <v>Kg</v>
      </c>
      <c r="AN127" s="6857" t="str">
        <f t="shared" si="77"/>
        <v>❾ Author reference &gt;</v>
      </c>
      <c r="AO127" s="392">
        <f t="shared" si="61"/>
        <v>5.53</v>
      </c>
      <c r="AP127" s="392" t="str">
        <f t="shared" si="62"/>
        <v>kg</v>
      </c>
      <c r="AQ127" s="6191">
        <f t="shared" si="63"/>
        <v>20</v>
      </c>
      <c r="AR127" s="6859" t="str">
        <f t="shared" si="64"/>
        <v>parts-ou.or.o ❾ + or - &gt;</v>
      </c>
      <c r="AS127" s="6856">
        <v>10</v>
      </c>
      <c r="AT127" s="6275" t="s">
        <v>219</v>
      </c>
      <c r="AU127" s="6272">
        <f t="shared" si="65"/>
        <v>5.4249547920433988E-2</v>
      </c>
      <c r="AV127" s="6240" t="str">
        <f t="shared" si="66"/>
        <v>L ou kg</v>
      </c>
      <c r="AW127" s="6189" t="str" cm="1">
        <f t="array" ref="AW127">IF(AK127&lt;&gt;1,0,IF(OR(AU127="",N(AU127)&lt;=0.000000001),"",IF(OR(AO127="",N(AO127)&lt;=0.000000001),0,IF(ISNUMBER(AU127),IFERROR(_xlfn.LET(_xlpm.ai_test,TRIM(AJ127),_xlpm.r,IFERROR(_xlfn.XLOOKUP(_xlpm.ai_test,$BJ$15:$BJ$62,ROW($BJ$15:$BJ$62),0,1),IFERROR(_xlfn.XLOOKUP(_xlpm.ai_test,$BK$15:$BK$62,ROW($BK$15:$BK$62),0,1),_xlfn.XLOOKUP(_xlpm.ai_test,$BL$15:$BL$62,ROW($BL$15:$BL$62),0,1))),_xlpm.p,_xlpm.r-MIN(ROW($BJ$15:$BJ$62))+1,_xlpm.f,INDEX($BM$15:$BM$62,_xlpm.p),_xlpm.u,INDEX($BN$15:$BN$62,_xlpm.p),_xlpm.s,INDEX($BP$15:$BP$62,_xlpm.p),_xlpm.q,N(AU127)/_xlpm.f,IF(_xlpm.q&gt;=_xlpm.s,ROUND(_xlpm.q,1)&amp;" "&amp;_xlpm.ai_test&amp;" = "&amp;ROUND(_xlpm.q*_xlpm.f,1)&amp;" "&amp;_xlpm.u,ROUND(_xlpm.q,1)&amp;" "&amp;_xlpm.ai_test)),""),""))))</f>
        <v>11 cucharada(s) (sopera)</v>
      </c>
      <c r="AX127" s="6218"/>
      <c r="AY127" s="6272">
        <f t="shared" si="67"/>
        <v>5.4249547920433988E-2</v>
      </c>
      <c r="AZ127" s="6240" t="str">
        <f t="shared" si="68"/>
        <v>L ou kg</v>
      </c>
      <c r="BA127" s="6195">
        <f t="shared" si="73"/>
        <v>0</v>
      </c>
      <c r="BB127" s="6193" t="str">
        <f t="shared" si="69"/>
        <v/>
      </c>
      <c r="BC127" s="6219"/>
      <c r="BD127" s="6222">
        <f t="shared" si="75"/>
        <v>0</v>
      </c>
      <c r="BE127" s="6220" t="str">
        <f t="shared" si="70"/>
        <v>test</v>
      </c>
      <c r="BF127" s="4" t="s">
        <v>1</v>
      </c>
      <c r="BG127" s="6196">
        <f t="shared" si="71"/>
        <v>0</v>
      </c>
      <c r="BH127" s="6197">
        <f t="shared" si="72"/>
        <v>1.8083182640144664</v>
      </c>
      <c r="BR127"/>
      <c r="BS127"/>
      <c r="BT127"/>
      <c r="BU127"/>
      <c r="BV127"/>
      <c r="BW127"/>
      <c r="BX127" s="20" t="str">
        <f t="shared" si="51"/>
        <v>A</v>
      </c>
      <c r="CD127" s="5661"/>
      <c r="DC127" s="5">
        <v>1</v>
      </c>
    </row>
    <row r="128" spans="1:107" s="1" customFormat="1" ht="21" customHeight="1">
      <c r="A128" s="5641" t="s">
        <v>1</v>
      </c>
      <c r="B128" s="5662" t="str">
        <f t="shared" si="50"/>
        <v>A</v>
      </c>
      <c r="C128" s="5825" cm="1">
        <f t="array" ref="C128">SUMPRODUCT(LEN(D128:J128))</f>
        <v>0</v>
      </c>
      <c r="D128" s="5275"/>
      <c r="E128" s="1361"/>
      <c r="F128" s="1361"/>
      <c r="G128" s="1361"/>
      <c r="H128" s="1361"/>
      <c r="I128" s="1361"/>
      <c r="J128" s="5276"/>
      <c r="K128" s="106" t="s">
        <v>1</v>
      </c>
      <c r="L128" s="1021" t="str">
        <f t="shared" si="79"/>
        <v>A</v>
      </c>
      <c r="M128" s="41" t="str">
        <f>M116</f>
        <v>N NOMBRE DE SU RECETA | pegue esto — FAMILIA| Autor &gt; USTED</v>
      </c>
      <c r="N128" s="40">
        <f>N116</f>
        <v>5.53</v>
      </c>
      <c r="O128" s="41" t="str">
        <f>O116</f>
        <v>kg</v>
      </c>
      <c r="P128" s="5386" t="str">
        <f>P116</f>
        <v>Receta madre ► Ballotina de pintada</v>
      </c>
      <c r="Q128" s="213"/>
      <c r="R128" s="212"/>
      <c r="S128" s="211" t="str">
        <f t="shared" si="78"/>
        <v/>
      </c>
      <c r="T128" s="210">
        <v>2</v>
      </c>
      <c r="U128" s="6286" t="s">
        <v>9618</v>
      </c>
      <c r="V128" s="5448">
        <v>1</v>
      </c>
      <c r="W128" s="6866" t="s">
        <v>10006</v>
      </c>
      <c r="X128" s="6871"/>
      <c r="Y128" s="6253">
        <f>IF(AA134=0,0,(AA128/AA134)*Z119*1000)</f>
        <v>36.135914401245969</v>
      </c>
      <c r="Z128" s="6701">
        <f>IF(AA134=0, 0, (Q128*V128)/(AA134*Z119))</f>
        <v>0</v>
      </c>
      <c r="AA128" s="5882">
        <f>IFERROR(_xlfn.LET(_xlpm.v,IFERROR(_xlfn.XLOOKUP(U128,Q135:AD135,Q136:AD136),_xlfn.XLOOKUP(U128,Q137:AD137,Q138:AD138)),_xlpm.v*T128*IF(ISBLANK(Q128),1,Q128)),0)</f>
        <v>0.2</v>
      </c>
      <c r="AB128" s="5256">
        <f>IF(OR(ISBLANK(AC115),AC115=0),0,Q128*AC113*V128/AC115)</f>
        <v>0</v>
      </c>
      <c r="AC128" s="6051">
        <f>IF(OR(ISBLANK(AC115),AC115=0),0,AA128*V128*AC113/AC115)</f>
        <v>10</v>
      </c>
      <c r="AD128" s="6200" t="str">
        <f>_xlfn.LET(_xlpm.unite,SUBSTITUTE(TRIM(U128)," (s)",""),_xlpm.val,AC128,_xlpm.estVol,COUNTIF(W135:AD135,_xlpm.unite)+COUNTIF(W137:AD137,_xlpm.unite)&gt;0,_xlpm.estPoids,COUNTIF(Q135:V135,_xlpm.unite)+COUNTIF(Q137:V137,_xlpm.unite)&gt;0,IF(_xlpm.estVol,IF(ROUND(_xlpm.val,3)&gt;=1,ROUND(_xlpm.val,3)&amp;"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10 L</v>
      </c>
      <c r="AE128" s="6872" t="s">
        <v>11052</v>
      </c>
      <c r="AF128" s="6202" t="str">
        <f t="shared" si="54"/>
        <v>A</v>
      </c>
      <c r="AG128" s="6234" t="str">
        <f t="shared" si="55"/>
        <v>N NOMBRE DE SU RECETA | pegue esto — FAMILIA| Autor &gt; USTED</v>
      </c>
      <c r="AH128" s="6732">
        <f t="shared" si="56"/>
        <v>5.53</v>
      </c>
      <c r="AI128" s="6234" t="str">
        <f t="shared" si="57"/>
        <v>kg</v>
      </c>
      <c r="AJ128" s="6732" t="str">
        <f t="shared" si="58"/>
        <v>décimo/L</v>
      </c>
      <c r="AK128" s="6732">
        <f t="shared" si="59"/>
        <v>1</v>
      </c>
      <c r="AL128" s="6230" cm="1">
        <f t="array" ref="AL128">IF(AF128&lt;&gt;"A","",IFERROR((IFERROR(_xlfn.XLOOKUP(TRIM(SUBSTITUTE(U128,CHAR(160)," ")),$BJ$15:$BJ$62,$BM$15:$BM$62),IFERROR(_xlfn.XLOOKUP(TRIM(SUBSTITUTE(U128,CHAR(160)," ")),$BK$15:$BK$62,$BM$15:$BM$62),_xlfn.XLOOKUP(TRIM(SUBSTITUTE(U128,CHAR(160)," ")),$BL$15:$BL$62,$BM$15:$BM$62))))*T128*IF(ISBLANK(Q128),1,Q128)+IFERROR(_xlfn.XLOOKUP("RECHERCHEX",TRIM(L128:AD128),L128:AD128),0),0))</f>
        <v>0.2</v>
      </c>
      <c r="AM128" s="6229" t="str">
        <f t="shared" si="60"/>
        <v>Kg</v>
      </c>
      <c r="AN128" s="6857" t="str">
        <f t="shared" si="77"/>
        <v>❾ Author reference &gt;</v>
      </c>
      <c r="AO128" s="392">
        <f t="shared" si="61"/>
        <v>5.53</v>
      </c>
      <c r="AP128" s="392" t="str">
        <f t="shared" si="62"/>
        <v>kg</v>
      </c>
      <c r="AQ128" s="6190">
        <f t="shared" si="63"/>
        <v>20</v>
      </c>
      <c r="AR128" s="6858" t="str">
        <f t="shared" si="64"/>
        <v>parts-ou.or.o ❾ + or - &gt;</v>
      </c>
      <c r="AS128" s="6856">
        <v>10</v>
      </c>
      <c r="AT128" s="6275" t="s">
        <v>219</v>
      </c>
      <c r="AU128" s="6271">
        <f t="shared" si="65"/>
        <v>0.36166365280289331</v>
      </c>
      <c r="AV128" s="6242" t="str">
        <f t="shared" si="66"/>
        <v>L ou kg</v>
      </c>
      <c r="AW128" s="6188" t="str" cm="1">
        <f t="array" ref="AW128">IF(AK128&lt;&gt;1,0,IF(OR(AU128="",N(AU128)&lt;=0.000000001),"",IF(OR(AO128="",N(AO128)&lt;=0.000000001),0,IF(ISNUMBER(AU128),IFERROR(_xlfn.LET(_xlpm.ai_test,TRIM(AJ128),_xlpm.r,IFERROR(_xlfn.XLOOKUP(_xlpm.ai_test,$BJ$15:$BJ$62,ROW($BJ$15:$BJ$62),0,1),IFERROR(_xlfn.XLOOKUP(_xlpm.ai_test,$BK$15:$BK$62,ROW($BK$15:$BK$62),0,1),_xlfn.XLOOKUP(_xlpm.ai_test,$BL$15:$BL$62,ROW($BL$15:$BL$62),0,1))),_xlpm.p,_xlpm.r-MIN(ROW($BJ$15:$BJ$62))+1,_xlpm.f,INDEX($BM$15:$BM$62,_xlpm.p),_xlpm.u,INDEX($BN$15:$BN$62,_xlpm.p),_xlpm.s,INDEX($BP$15:$BP$62,_xlpm.p),_xlpm.q,N(AU128)/_xlpm.f,IF(_xlpm.q&gt;=_xlpm.s,ROUND(_xlpm.q,1)&amp;" "&amp;_xlpm.ai_test&amp;" = "&amp;ROUND(_xlpm.q*_xlpm.f,1)&amp;" "&amp;_xlpm.u,ROUND(_xlpm.q,1)&amp;" "&amp;_xlpm.ai_test)),""),""))))</f>
        <v>0.7 décimo/L</v>
      </c>
      <c r="AX128" s="6218"/>
      <c r="AY128" s="6271">
        <f t="shared" si="67"/>
        <v>0.36166365280289331</v>
      </c>
      <c r="AZ128" s="6242" t="str">
        <f t="shared" si="68"/>
        <v>L ou kg</v>
      </c>
      <c r="BA128" s="6194">
        <f t="shared" si="73"/>
        <v>0</v>
      </c>
      <c r="BB128" s="6192" t="str">
        <f t="shared" si="69"/>
        <v/>
      </c>
      <c r="BC128" s="6219"/>
      <c r="BD128" s="6221">
        <f t="shared" si="75"/>
        <v>0</v>
      </c>
      <c r="BE128" s="6220" t="str">
        <f t="shared" si="70"/>
        <v>test</v>
      </c>
      <c r="BF128" s="4" t="s">
        <v>1</v>
      </c>
      <c r="BG128" s="6196">
        <f t="shared" si="71"/>
        <v>0</v>
      </c>
      <c r="BH128" s="6197">
        <f t="shared" si="72"/>
        <v>1.8083182640144664</v>
      </c>
      <c r="BI128"/>
      <c r="BR128"/>
      <c r="BS128"/>
      <c r="BT128"/>
      <c r="BU128"/>
      <c r="BV128"/>
      <c r="BW128"/>
      <c r="BX128" s="20" t="str">
        <f t="shared" si="51"/>
        <v>A</v>
      </c>
      <c r="CD128" s="5661"/>
      <c r="DC128" s="5">
        <v>1</v>
      </c>
    </row>
    <row r="129" spans="1:107" s="1" customFormat="1" ht="21" customHeight="1">
      <c r="A129" s="5641" t="s">
        <v>1</v>
      </c>
      <c r="B129" s="5662" t="str">
        <f t="shared" si="50"/>
        <v>A</v>
      </c>
      <c r="C129" s="5825" cm="1">
        <f t="array" ref="C129">SUMPRODUCT(LEN(D129:J129))</f>
        <v>0</v>
      </c>
      <c r="D129" s="5275"/>
      <c r="E129" s="1361"/>
      <c r="F129" s="1361"/>
      <c r="G129" s="1361"/>
      <c r="H129" s="1361"/>
      <c r="I129" s="1361"/>
      <c r="J129" s="5276"/>
      <c r="K129" s="106" t="s">
        <v>1</v>
      </c>
      <c r="L129" s="1021" t="str">
        <f t="shared" si="79"/>
        <v>A</v>
      </c>
      <c r="M129" s="41" t="str">
        <f>M116</f>
        <v>N NOMBRE DE SU RECETA | pegue esto — FAMILIA| Autor &gt; USTED</v>
      </c>
      <c r="N129" s="40">
        <f>N116</f>
        <v>5.53</v>
      </c>
      <c r="O129" s="41" t="str">
        <f>O116</f>
        <v>kg</v>
      </c>
      <c r="P129" s="5386" t="str">
        <f>P116</f>
        <v>Receta madre ► Ballotina de pintada</v>
      </c>
      <c r="Q129" s="213"/>
      <c r="R129" s="212"/>
      <c r="S129" s="211" t="str">
        <f t="shared" si="78"/>
        <v/>
      </c>
      <c r="T129" s="210">
        <v>2</v>
      </c>
      <c r="U129" s="6286" t="s">
        <v>9624</v>
      </c>
      <c r="V129" s="5448">
        <v>1</v>
      </c>
      <c r="W129" s="6866" t="s">
        <v>10006</v>
      </c>
      <c r="X129" s="6871"/>
      <c r="Y129" s="6253">
        <f>IF(AA134=0,0,(AA129/AA134)*Z119*1000)</f>
        <v>81.305807402803438</v>
      </c>
      <c r="Z129" s="6701">
        <f>IF(AA134=0, 0, (Q129*V129)/(AA134*Z119))</f>
        <v>0</v>
      </c>
      <c r="AA129" s="5882">
        <f>IFERROR(_xlfn.LET(_xlpm.v,IFERROR(_xlfn.XLOOKUP(U129,Q135:AD135,Q136:AD136),_xlfn.XLOOKUP(U129,Q137:AD137,Q138:AD138)),_xlpm.v*T129*IF(ISBLANK(Q129),1,Q129)),0)</f>
        <v>0.45</v>
      </c>
      <c r="AB129" s="5254">
        <f>IF(OR(ISBLANK(AC115),AC115=0),0,Q129*AC113*V129/AC115)</f>
        <v>0</v>
      </c>
      <c r="AC129" s="6051">
        <f>IF(OR(ISBLANK(AC115),AC115=0),0,AA129*V129*AC113/AC115)</f>
        <v>22.5</v>
      </c>
      <c r="AD129" s="6199" t="str">
        <f>_xlfn.LET(_xlpm.unite,SUBSTITUTE(TRIM(U129)," (s)",""),_xlpm.val,AC129,_xlpm.estVol,COUNTIF(W135:AD135,_xlpm.unite)+COUNTIF(W137:AD137,_xlpm.unite)&gt;0,_xlpm.estPoids,COUNTIF(Q135:V135,_xlpm.unite)+COUNTIF(Q137:V137,_xlpm.unite)&gt;0,IF(_xlpm.estVol,IF(ROUND(_xlpm.val,3)&gt;=1,ROUND(_xlpm.val,3)&amp;"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22.5 L</v>
      </c>
      <c r="AE129" s="6872" t="s">
        <v>11053</v>
      </c>
      <c r="AF129" s="6202" t="str">
        <f t="shared" si="54"/>
        <v>A</v>
      </c>
      <c r="AG129" s="6234" t="str">
        <f t="shared" si="55"/>
        <v>N NOMBRE DE SU RECETA | pegue esto — FAMILIA| Autor &gt; USTED</v>
      </c>
      <c r="AH129" s="6732">
        <f t="shared" si="56"/>
        <v>5.53</v>
      </c>
      <c r="AI129" s="6234" t="str">
        <f t="shared" si="57"/>
        <v>kg</v>
      </c>
      <c r="AJ129" s="6732" t="str">
        <f t="shared" si="58"/>
        <v>Vaso(s)</v>
      </c>
      <c r="AK129" s="6732">
        <f t="shared" si="59"/>
        <v>1</v>
      </c>
      <c r="AL129" s="6230" cm="1">
        <f t="array" ref="AL129">IF(AF129&lt;&gt;"A","",IFERROR((IFERROR(_xlfn.XLOOKUP(TRIM(SUBSTITUTE(U129,CHAR(160)," ")),$BJ$15:$BJ$62,$BM$15:$BM$62),IFERROR(_xlfn.XLOOKUP(TRIM(SUBSTITUTE(U129,CHAR(160)," ")),$BK$15:$BK$62,$BM$15:$BM$62),_xlfn.XLOOKUP(TRIM(SUBSTITUTE(U129,CHAR(160)," ")),$BL$15:$BL$62,$BM$15:$BM$62))))*T129*IF(ISBLANK(Q129),1,Q129)+IFERROR(_xlfn.XLOOKUP("RECHERCHEX",TRIM(L129:AD129),L129:AD129),0),0))</f>
        <v>0.45</v>
      </c>
      <c r="AM129" s="6229" t="str">
        <f t="shared" si="60"/>
        <v>Kg</v>
      </c>
      <c r="AN129" s="6857" t="str">
        <f t="shared" si="77"/>
        <v>❾ Author reference &gt;</v>
      </c>
      <c r="AO129" s="392">
        <f t="shared" si="61"/>
        <v>5.53</v>
      </c>
      <c r="AP129" s="392" t="str">
        <f t="shared" si="62"/>
        <v>kg</v>
      </c>
      <c r="AQ129" s="6191">
        <f t="shared" si="63"/>
        <v>20</v>
      </c>
      <c r="AR129" s="6859" t="str">
        <f t="shared" si="64"/>
        <v>parts-ou.or.o ❾ + or - &gt;</v>
      </c>
      <c r="AS129" s="6856">
        <v>10</v>
      </c>
      <c r="AT129" s="6275" t="s">
        <v>219</v>
      </c>
      <c r="AU129" s="6272">
        <f t="shared" si="65"/>
        <v>0.8137432188065099</v>
      </c>
      <c r="AV129" s="6240" t="str">
        <f t="shared" si="66"/>
        <v>L ou kg</v>
      </c>
      <c r="AW129" s="6189" t="str" cm="1">
        <f t="array" ref="AW129">IF(AK129&lt;&gt;1,0,IF(OR(AU129="",N(AU129)&lt;=0.000000001),"",IF(OR(AO129="",N(AO129)&lt;=0.000000001),0,IF(ISNUMBER(AU129),IFERROR(_xlfn.LET(_xlpm.ai_test,TRIM(AJ129),_xlpm.r,IFERROR(_xlfn.XLOOKUP(_xlpm.ai_test,$BJ$15:$BJ$62,ROW($BJ$15:$BJ$62),0,1),IFERROR(_xlfn.XLOOKUP(_xlpm.ai_test,$BK$15:$BK$62,ROW($BK$15:$BK$62),0,1),_xlfn.XLOOKUP(_xlpm.ai_test,$BL$15:$BL$62,ROW($BL$15:$BL$62),0,1))),_xlpm.p,_xlpm.r-MIN(ROW($BJ$15:$BJ$62))+1,_xlpm.f,INDEX($BM$15:$BM$62,_xlpm.p),_xlpm.u,INDEX($BN$15:$BN$62,_xlpm.p),_xlpm.s,INDEX($BP$15:$BP$62,_xlpm.p),_xlpm.q,N(AU129)/_xlpm.f,IF(_xlpm.q&gt;=_xlpm.s,ROUND(_xlpm.q,1)&amp;" "&amp;_xlpm.ai_test&amp;" = "&amp;ROUND(_xlpm.q*_xlpm.f,1)&amp;" "&amp;_xlpm.u,ROUND(_xlpm.q,1)&amp;" "&amp;_xlpm.ai_test)),""),""))))</f>
        <v>3.6 Vaso(s)</v>
      </c>
      <c r="AX129" s="6218"/>
      <c r="AY129" s="6272">
        <f t="shared" si="67"/>
        <v>0.8137432188065099</v>
      </c>
      <c r="AZ129" s="6240" t="str">
        <f t="shared" si="68"/>
        <v>L ou kg</v>
      </c>
      <c r="BA129" s="6195">
        <f t="shared" si="73"/>
        <v>0</v>
      </c>
      <c r="BB129" s="6193" t="str">
        <f t="shared" si="69"/>
        <v/>
      </c>
      <c r="BC129" s="6219"/>
      <c r="BD129" s="6222">
        <f t="shared" si="75"/>
        <v>0</v>
      </c>
      <c r="BE129" s="6220" t="str">
        <f t="shared" si="70"/>
        <v>test</v>
      </c>
      <c r="BF129" s="4" t="s">
        <v>1</v>
      </c>
      <c r="BG129" s="6196">
        <f t="shared" si="71"/>
        <v>0</v>
      </c>
      <c r="BH129" s="6197">
        <f t="shared" si="72"/>
        <v>1.8083182640144664</v>
      </c>
      <c r="BI129"/>
      <c r="BR129"/>
      <c r="BS129"/>
      <c r="BT129"/>
      <c r="BU129"/>
      <c r="BV129"/>
      <c r="BW129"/>
      <c r="BX129" s="20" t="str">
        <f t="shared" si="51"/>
        <v>A</v>
      </c>
      <c r="CD129" s="5661"/>
      <c r="DC129" s="5">
        <v>1</v>
      </c>
    </row>
    <row r="130" spans="1:107" s="1" customFormat="1" ht="21" customHeight="1">
      <c r="A130" s="5641" t="s">
        <v>1</v>
      </c>
      <c r="B130" s="5662" t="str">
        <f t="shared" si="50"/>
        <v>A</v>
      </c>
      <c r="C130" s="5825" cm="1">
        <f t="array" ref="C130">SUMPRODUCT(LEN(D130:J130))</f>
        <v>0</v>
      </c>
      <c r="D130" s="5275"/>
      <c r="E130" s="1361"/>
      <c r="F130" s="1361"/>
      <c r="G130" s="1361"/>
      <c r="H130" s="1361"/>
      <c r="I130" s="1361"/>
      <c r="J130" s="5276"/>
      <c r="K130" s="106" t="s">
        <v>1</v>
      </c>
      <c r="L130" s="1021" t="str">
        <f t="shared" si="79"/>
        <v>A</v>
      </c>
      <c r="M130" s="41" t="str">
        <f>M116</f>
        <v>N NOMBRE DE SU RECETA | pegue esto — FAMILIA| Autor &gt; USTED</v>
      </c>
      <c r="N130" s="40">
        <f>N116</f>
        <v>5.53</v>
      </c>
      <c r="O130" s="41" t="str">
        <f>O116</f>
        <v>kg</v>
      </c>
      <c r="P130" s="5386" t="str">
        <f>P116</f>
        <v>Receta madre ► Ballotina de pintada</v>
      </c>
      <c r="Q130" s="213"/>
      <c r="R130" s="212"/>
      <c r="S130" s="211" t="str">
        <f t="shared" si="78"/>
        <v/>
      </c>
      <c r="T130" s="210">
        <v>2</v>
      </c>
      <c r="U130" s="6755" t="s">
        <v>9648</v>
      </c>
      <c r="V130" s="5448">
        <v>1</v>
      </c>
      <c r="W130" s="6866" t="s">
        <v>10006</v>
      </c>
      <c r="X130" s="6871"/>
      <c r="Y130" s="6253">
        <f>IF(AA134=0,0,(AA130/AA134)*Z119*1000)</f>
        <v>0.36135914401245967</v>
      </c>
      <c r="Z130" s="6701">
        <f>IF(AA134=0, 0, (Q130*V130)/(AA134*Z119))</f>
        <v>0</v>
      </c>
      <c r="AA130" s="5882">
        <f>IFERROR(_xlfn.LET(_xlpm.v,IFERROR(_xlfn.XLOOKUP(U130,Q135:AD135,Q136:AD136),_xlfn.XLOOKUP(U130,Q137:AD137,Q138:AD138)),_xlpm.v*T130*IF(ISBLANK(Q130),1,Q130)),0)</f>
        <v>2E-3</v>
      </c>
      <c r="AB130" s="5256">
        <f>IF(OR(ISBLANK(AC115),AC115=0),0,Q130*AC113*V130/AC115)</f>
        <v>0</v>
      </c>
      <c r="AC130" s="6051">
        <f>IF(OR(ISBLANK(AC115),AC115=0),0,AA130*V130*AC113/AC115)</f>
        <v>9.9999999999999992E-2</v>
      </c>
      <c r="AD130" s="6201" t="str">
        <f>_xlfn.LET(_xlpm.unite,SUBSTITUTE(TRIM(U130)," (s)",""),_xlpm.val,AC130,_xlpm.estVol,COUNTIF(W135:AD135,_xlpm.unite)+COUNTIF(W137:AD137,_xlpm.unite)&gt;0,_xlpm.estPoids,COUNTIF(Q135:V135,_xlpm.unite)+COUNTIF(Q137:V137,_xlpm.unite)&gt;0,IF(_xlpm.estVol,IF(ROUND(_xlpm.val,3)&gt;=1,ROUND(_xlpm.val,3)&amp;"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10 cl</v>
      </c>
      <c r="AE130" s="6872" t="s">
        <v>11054</v>
      </c>
      <c r="AF130" s="6202" t="str">
        <f t="shared" si="54"/>
        <v>A</v>
      </c>
      <c r="AG130" s="6234" t="str">
        <f t="shared" si="55"/>
        <v>N NOMBRE DE SU RECETA | pegue esto — FAMILIA| Autor &gt; USTED</v>
      </c>
      <c r="AH130" s="6732">
        <f t="shared" si="56"/>
        <v>5.53</v>
      </c>
      <c r="AI130" s="6234" t="str">
        <f t="shared" si="57"/>
        <v>kg</v>
      </c>
      <c r="AJ130" s="6732" t="str">
        <f t="shared" si="58"/>
        <v>Gota(s)</v>
      </c>
      <c r="AK130" s="6732">
        <f t="shared" si="59"/>
        <v>1</v>
      </c>
      <c r="AL130" s="6230" cm="1">
        <f t="array" ref="AL130">IF(AF130&lt;&gt;"A","",IFERROR((IFERROR(_xlfn.XLOOKUP(TRIM(SUBSTITUTE(U130,CHAR(160)," ")),$BJ$15:$BJ$62,$BM$15:$BM$62),IFERROR(_xlfn.XLOOKUP(TRIM(SUBSTITUTE(U130,CHAR(160)," ")),$BK$15:$BK$62,$BM$15:$BM$62),_xlfn.XLOOKUP(TRIM(SUBSTITUTE(U130,CHAR(160)," ")),$BL$15:$BL$62,$BM$15:$BM$62))))*T130*IF(ISBLANK(Q130),1,Q130)+IFERROR(_xlfn.XLOOKUP("RECHERCHEX",TRIM(L130:AD130),L130:AD130),0),0))</f>
        <v>2E-3</v>
      </c>
      <c r="AM130" s="6229" t="str">
        <f t="shared" si="60"/>
        <v>Kg</v>
      </c>
      <c r="AN130" s="6857" t="str">
        <f t="shared" si="77"/>
        <v>❾ Author reference &gt;</v>
      </c>
      <c r="AO130" s="392">
        <f t="shared" si="61"/>
        <v>5.53</v>
      </c>
      <c r="AP130" s="392" t="str">
        <f t="shared" si="62"/>
        <v>kg</v>
      </c>
      <c r="AQ130" s="6190">
        <f t="shared" si="63"/>
        <v>20</v>
      </c>
      <c r="AR130" s="6858" t="str">
        <f t="shared" si="64"/>
        <v>parts-ou.or.o ❾ + or - &gt;</v>
      </c>
      <c r="AS130" s="6856">
        <v>10</v>
      </c>
      <c r="AT130" s="6275" t="s">
        <v>219</v>
      </c>
      <c r="AU130" s="6271">
        <f t="shared" si="65"/>
        <v>3.616636528028933E-3</v>
      </c>
      <c r="AV130" s="6242" t="str">
        <f t="shared" si="66"/>
        <v>L ou kg</v>
      </c>
      <c r="AW130" s="6188" t="str" cm="1">
        <f t="array" ref="AW130">IF(AK130&lt;&gt;1,0,IF(OR(AU130="",N(AU130)&lt;=0.000000001),"",IF(OR(AO130="",N(AO130)&lt;=0.000000001),0,IF(ISNUMBER(AU130),IFERROR(_xlfn.LET(_xlpm.ai_test,TRIM(AJ130),_xlpm.r,IFERROR(_xlfn.XLOOKUP(_xlpm.ai_test,$BJ$15:$BJ$62,ROW($BJ$15:$BJ$62),0,1),IFERROR(_xlfn.XLOOKUP(_xlpm.ai_test,$BK$15:$BK$62,ROW($BK$15:$BK$62),0,1),_xlfn.XLOOKUP(_xlpm.ai_test,$BL$15:$BL$62,ROW($BL$15:$BL$62),0,1))),_xlpm.p,_xlpm.r-MIN(ROW($BJ$15:$BJ$62))+1,_xlpm.f,INDEX($BM$15:$BM$62,_xlpm.p),_xlpm.u,INDEX($BN$15:$BN$62,_xlpm.p),_xlpm.s,INDEX($BP$15:$BP$62,_xlpm.p),_xlpm.q,N(AU130)/_xlpm.f,IF(_xlpm.q&gt;=_xlpm.s,ROUND(_xlpm.q,1)&amp;" "&amp;_xlpm.ai_test&amp;" = "&amp;ROUND(_xlpm.q*_xlpm.f,1)&amp;" "&amp;_xlpm.u,ROUND(_xlpm.q,1)&amp;" "&amp;_xlpm.ai_test)),""),""))))</f>
        <v>0.1 Gota(s)</v>
      </c>
      <c r="AX130" s="6218"/>
      <c r="AY130" s="6271">
        <f t="shared" si="67"/>
        <v>3.616636528028933E-3</v>
      </c>
      <c r="AZ130" s="6242" t="str">
        <f t="shared" si="68"/>
        <v>L ou kg</v>
      </c>
      <c r="BA130" s="6194">
        <f t="shared" si="73"/>
        <v>0</v>
      </c>
      <c r="BB130" s="6192" t="str">
        <f t="shared" si="69"/>
        <v/>
      </c>
      <c r="BC130" s="6219"/>
      <c r="BD130" s="6221">
        <f t="shared" si="75"/>
        <v>0</v>
      </c>
      <c r="BE130" s="6220" t="str">
        <f t="shared" si="70"/>
        <v>test</v>
      </c>
      <c r="BF130" s="4" t="s">
        <v>1</v>
      </c>
      <c r="BG130" s="6196">
        <f t="shared" si="71"/>
        <v>0</v>
      </c>
      <c r="BH130" s="6197">
        <f t="shared" si="72"/>
        <v>1.8083182640144664</v>
      </c>
      <c r="BI130"/>
      <c r="BR130"/>
      <c r="BS130"/>
      <c r="BT130"/>
      <c r="BU130"/>
      <c r="BV130"/>
      <c r="BW130"/>
      <c r="BX130" s="20" t="str">
        <f t="shared" si="51"/>
        <v>A</v>
      </c>
      <c r="CD130" s="5661"/>
      <c r="DC130" s="5">
        <v>1</v>
      </c>
    </row>
    <row r="131" spans="1:107" s="1" customFormat="1" ht="21" customHeight="1">
      <c r="A131" s="5641" t="s">
        <v>1</v>
      </c>
      <c r="B131" s="5662" t="str">
        <f t="shared" si="50"/>
        <v>A</v>
      </c>
      <c r="C131" s="5825" cm="1">
        <f t="array" ref="C131">SUMPRODUCT(LEN(D131:J131))</f>
        <v>0</v>
      </c>
      <c r="D131" s="5275"/>
      <c r="E131" s="1361"/>
      <c r="F131" s="1361"/>
      <c r="G131" s="1361"/>
      <c r="H131" s="1361"/>
      <c r="I131" s="1361"/>
      <c r="J131" s="5276"/>
      <c r="K131" s="106" t="s">
        <v>1</v>
      </c>
      <c r="L131" s="1021" t="str">
        <f t="shared" si="79"/>
        <v>A</v>
      </c>
      <c r="M131" s="41" t="str">
        <f>M116</f>
        <v>N NOMBRE DE SU RECETA | pegue esto — FAMILIA| Autor &gt; USTED</v>
      </c>
      <c r="N131" s="40">
        <f>N116</f>
        <v>5.53</v>
      </c>
      <c r="O131" s="41" t="str">
        <f>O116</f>
        <v>kg</v>
      </c>
      <c r="P131" s="5386" t="str">
        <f>P116</f>
        <v>Receta madre ► Ballotina de pintada</v>
      </c>
      <c r="Q131" s="213"/>
      <c r="R131" s="212"/>
      <c r="S131" s="211" t="str">
        <f t="shared" si="78"/>
        <v/>
      </c>
      <c r="T131" s="210">
        <v>2</v>
      </c>
      <c r="U131" s="6288" t="s">
        <v>9604</v>
      </c>
      <c r="V131" s="5448">
        <v>1</v>
      </c>
      <c r="W131" s="6866" t="s">
        <v>10006</v>
      </c>
      <c r="X131" s="6871"/>
      <c r="Y131" s="6253">
        <f>IF(AA134=0,0,(AA131/AA134)*Z119*1000)</f>
        <v>90.339786003114909</v>
      </c>
      <c r="Z131" s="6701">
        <f>IF(AA134=0, 0, (Q131*V131)/(AA134*Z119))</f>
        <v>0</v>
      </c>
      <c r="AA131" s="5882">
        <f>IFERROR(_xlfn.LET(_xlpm.v,IFERROR(_xlfn.XLOOKUP(U131,Q135:AD135,Q136:AD136),_xlfn.XLOOKUP(U131,Q137:AD137,Q138:AD138)),_xlpm.v*T131*IF(ISBLANK(Q131),1,Q131)),0)</f>
        <v>0.5</v>
      </c>
      <c r="AB131" s="5254">
        <f>IF(OR(ISBLANK(AC115),AC115=0),0,Q131*AC113*V131/AC115)</f>
        <v>0</v>
      </c>
      <c r="AC131" s="6051">
        <f>IF(OR(ISBLANK(AC115),AC115=0),0,AA131*V131*AC113/AC115)</f>
        <v>25</v>
      </c>
      <c r="AD131" s="6199" t="str">
        <f>_xlfn.LET(_xlpm.unite,SUBSTITUTE(TRIM(U131)," (s)",""),_xlpm.val,AC131,_xlpm.estVol,COUNTIF(W135:AD135,_xlpm.unite)+COUNTIF(W137:AD137,_xlpm.unite)&gt;0,_xlpm.estPoids,COUNTIF(Q135:V135,_xlpm.unite)+COUNTIF(Q137:V137,_xlpm.unite)&gt;0,IF(_xlpm.estVol,IF(ROUND(_xlpm.val,3)&gt;=1,ROUND(_xlpm.val,3)&amp;"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25 Kg</v>
      </c>
      <c r="AE131" s="6872" t="s">
        <v>11055</v>
      </c>
      <c r="AF131" s="6202" t="str">
        <f t="shared" si="54"/>
        <v>A</v>
      </c>
      <c r="AG131" s="6234" t="str">
        <f t="shared" si="55"/>
        <v>N NOMBRE DE SU RECETA | pegue esto — FAMILIA| Autor &gt; USTED</v>
      </c>
      <c r="AH131" s="6732">
        <f t="shared" si="56"/>
        <v>5.53</v>
      </c>
      <c r="AI131" s="6234" t="str">
        <f t="shared" si="57"/>
        <v>kg</v>
      </c>
      <c r="AJ131" s="6732" t="str">
        <f t="shared" si="58"/>
        <v>cuarto(s) kg</v>
      </c>
      <c r="AK131" s="6732">
        <f t="shared" si="59"/>
        <v>1</v>
      </c>
      <c r="AL131" s="6230" cm="1">
        <f t="array" ref="AL131">IF(AF131&lt;&gt;"A","",IFERROR((IFERROR(_xlfn.XLOOKUP(TRIM(SUBSTITUTE(U131,CHAR(160)," ")),$BJ$15:$BJ$62,$BM$15:$BM$62),IFERROR(_xlfn.XLOOKUP(TRIM(SUBSTITUTE(U131,CHAR(160)," ")),$BK$15:$BK$62,$BM$15:$BM$62),_xlfn.XLOOKUP(TRIM(SUBSTITUTE(U131,CHAR(160)," ")),$BL$15:$BL$62,$BM$15:$BM$62))))*T131*IF(ISBLANK(Q131),1,Q131)+IFERROR(_xlfn.XLOOKUP("RECHERCHEX",TRIM(L131:AD131),L131:AD131),0),0))</f>
        <v>0.5</v>
      </c>
      <c r="AM131" s="6229" t="str">
        <f t="shared" si="60"/>
        <v>Kg</v>
      </c>
      <c r="AN131" s="6857" t="str">
        <f t="shared" si="77"/>
        <v>❾ Author reference &gt;</v>
      </c>
      <c r="AO131" s="392">
        <f t="shared" si="61"/>
        <v>5.53</v>
      </c>
      <c r="AP131" s="392" t="str">
        <f t="shared" si="62"/>
        <v>kg</v>
      </c>
      <c r="AQ131" s="6191">
        <f t="shared" si="63"/>
        <v>20</v>
      </c>
      <c r="AR131" s="6859" t="str">
        <f t="shared" si="64"/>
        <v>parts-ou.or.o ❾ + or - &gt;</v>
      </c>
      <c r="AS131" s="6856">
        <v>10</v>
      </c>
      <c r="AT131" s="6275" t="s">
        <v>219</v>
      </c>
      <c r="AU131" s="6272">
        <f t="shared" si="65"/>
        <v>0.90415913200723319</v>
      </c>
      <c r="AV131" s="6240" t="str">
        <f t="shared" si="66"/>
        <v>Kg</v>
      </c>
      <c r="AW131" s="6189" t="str" cm="1">
        <f t="array" ref="AW131">IF(AK131&lt;&gt;1,0,IF(OR(AU131="",N(AU131)&lt;=0.000000001),"",IF(OR(AO131="",N(AO131)&lt;=0.000000001),0,IF(ISNUMBER(AU131),IFERROR(_xlfn.LET(_xlpm.ai_test,TRIM(AJ131),_xlpm.r,IFERROR(_xlfn.XLOOKUP(_xlpm.ai_test,$BJ$15:$BJ$62,ROW($BJ$15:$BJ$62),0,1),IFERROR(_xlfn.XLOOKUP(_xlpm.ai_test,$BK$15:$BK$62,ROW($BK$15:$BK$62),0,1),_xlfn.XLOOKUP(_xlpm.ai_test,$BL$15:$BL$62,ROW($BL$15:$BL$62),0,1))),_xlpm.p,_xlpm.r-MIN(ROW($BJ$15:$BJ$62))+1,_xlpm.f,INDEX($BM$15:$BM$62,_xlpm.p),_xlpm.u,INDEX($BN$15:$BN$62,_xlpm.p),_xlpm.s,INDEX($BP$15:$BP$62,_xlpm.p),_xlpm.q,N(AU131)/_xlpm.f,IF(_xlpm.q&gt;=_xlpm.s,ROUND(_xlpm.q,1)&amp;" "&amp;_xlpm.ai_test&amp;" = "&amp;ROUND(_xlpm.q*_xlpm.f,1)&amp;" "&amp;_xlpm.u,ROUND(_xlpm.q,1)&amp;" "&amp;_xlpm.ai_test)),""),""))))</f>
        <v>183.4 cuarto(s) kg</v>
      </c>
      <c r="AX131" s="6218"/>
      <c r="AY131" s="6272">
        <f t="shared" si="67"/>
        <v>0.90415913200723319</v>
      </c>
      <c r="AZ131" s="6240" t="str">
        <f t="shared" si="68"/>
        <v>Kg</v>
      </c>
      <c r="BA131" s="6195">
        <f t="shared" si="73"/>
        <v>0</v>
      </c>
      <c r="BB131" s="6193" t="str">
        <f t="shared" si="69"/>
        <v/>
      </c>
      <c r="BC131" s="6219"/>
      <c r="BD131" s="6222">
        <f t="shared" si="75"/>
        <v>0</v>
      </c>
      <c r="BE131" s="6220" t="str">
        <f t="shared" si="70"/>
        <v>test</v>
      </c>
      <c r="BF131" s="4" t="s">
        <v>1</v>
      </c>
      <c r="BG131" s="6196">
        <f t="shared" si="71"/>
        <v>0</v>
      </c>
      <c r="BH131" s="6197">
        <f t="shared" si="72"/>
        <v>1.8083182640144664</v>
      </c>
      <c r="BI131"/>
      <c r="BR131"/>
      <c r="BS131"/>
      <c r="BT131"/>
      <c r="BU131"/>
      <c r="BV131"/>
      <c r="BW131"/>
      <c r="BX131" s="20" t="str">
        <f t="shared" si="51"/>
        <v>A</v>
      </c>
      <c r="CD131" s="5661"/>
      <c r="DC131" s="5">
        <v>1</v>
      </c>
    </row>
    <row r="132" spans="1:107" s="1" customFormat="1" ht="21" customHeight="1">
      <c r="A132" s="5641" t="s">
        <v>1</v>
      </c>
      <c r="B132" s="5662" t="str">
        <f t="shared" si="50"/>
        <v>A</v>
      </c>
      <c r="C132" s="5825" cm="1">
        <f t="array" ref="C132">SUMPRODUCT(LEN(D132:J132))</f>
        <v>0</v>
      </c>
      <c r="D132" s="5275"/>
      <c r="E132" s="1361"/>
      <c r="F132" s="1361"/>
      <c r="G132" s="1361"/>
      <c r="H132" s="1361"/>
      <c r="I132" s="1361"/>
      <c r="J132" s="5276"/>
      <c r="K132" s="106" t="s">
        <v>1</v>
      </c>
      <c r="L132" s="1021" t="str">
        <f t="shared" si="79"/>
        <v>A</v>
      </c>
      <c r="M132" s="41" t="str">
        <f>M116</f>
        <v>N NOMBRE DE SU RECETA | pegue esto — FAMILIA| Autor &gt; USTED</v>
      </c>
      <c r="N132" s="40">
        <f>N116</f>
        <v>5.53</v>
      </c>
      <c r="O132" s="41" t="str">
        <f>O116</f>
        <v>kg</v>
      </c>
      <c r="P132" s="5386" t="str">
        <f>P116</f>
        <v>Receta madre ► Ballotina de pintada</v>
      </c>
      <c r="Q132" s="213"/>
      <c r="R132" s="212"/>
      <c r="S132" s="211" t="str">
        <f t="shared" si="78"/>
        <v/>
      </c>
      <c r="T132" s="210">
        <v>2</v>
      </c>
      <c r="U132" s="6287" t="s">
        <v>9608</v>
      </c>
      <c r="V132" s="5448">
        <v>1</v>
      </c>
      <c r="W132" s="6866" t="s">
        <v>10006</v>
      </c>
      <c r="X132" s="6871"/>
      <c r="Y132" s="6253">
        <f>IF(AA134=0,0,(AA132/AA134)*Z119*1000)</f>
        <v>120.45184347367318</v>
      </c>
      <c r="Z132" s="6701">
        <f>IF(AA134=0, 0, (Q132*V132)/(AA134*Z119))</f>
        <v>0</v>
      </c>
      <c r="AA132" s="5882">
        <f>IFERROR(_xlfn.LET(_xlpm.v,IFERROR(_xlfn.XLOOKUP(U132,Q135:AD135,Q136:AD136),_xlfn.XLOOKUP(U132,Q137:AD137,Q138:AD138)),_xlpm.v*T132*IF(ISBLANK(Q132),1,Q132)),0)</f>
        <v>0.66665999999999992</v>
      </c>
      <c r="AB132" s="5256">
        <f>IF(OR(ISBLANK(AC115),AC115=0),0,Q132*AC113*V132/AC115)</f>
        <v>0</v>
      </c>
      <c r="AC132" s="6051">
        <f>IF(OR(ISBLANK(AC115),AC115=0),0,AA132*V132*AC113/AC115)</f>
        <v>33.332999999999991</v>
      </c>
      <c r="AD132" s="6201" t="str">
        <f>_xlfn.LET(_xlpm.unite,SUBSTITUTE(TRIM(U132)," (s)",""),_xlpm.val,AC132,_xlpm.estVol,COUNTIF(W135:AD135,_xlpm.unite)+COUNTIF(W137:AD137,_xlpm.unite)&gt;0,_xlpm.estPoids,COUNTIF(Q135:V135,_xlpm.unite)+COUNTIF(Q137:V137,_xlpm.unite)&gt;0,IF(_xlpm.estVol,IF(ROUND(_xlpm.val,3)&gt;=1,ROUND(_xlpm.val,3)&amp;"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33.333 Kg</v>
      </c>
      <c r="AE132" s="6872" t="s">
        <v>11056</v>
      </c>
      <c r="AF132" s="6202" t="str">
        <f t="shared" si="54"/>
        <v>A</v>
      </c>
      <c r="AG132" s="6234" t="str">
        <f t="shared" si="55"/>
        <v>N NOMBRE DE SU RECETA | pegue esto — FAMILIA| Autor &gt; USTED</v>
      </c>
      <c r="AH132" s="6732">
        <f t="shared" si="56"/>
        <v>5.53</v>
      </c>
      <c r="AI132" s="6234" t="str">
        <f t="shared" si="57"/>
        <v>kg</v>
      </c>
      <c r="AJ132" s="6732" t="str">
        <f t="shared" si="58"/>
        <v>tercio(s) kg</v>
      </c>
      <c r="AK132" s="6732">
        <f t="shared" si="59"/>
        <v>1</v>
      </c>
      <c r="AL132" s="6230" cm="1">
        <f t="array" ref="AL132">IF(AF132&lt;&gt;"A","",IFERROR((IFERROR(_xlfn.XLOOKUP(TRIM(SUBSTITUTE(U132,CHAR(160)," ")),$BJ$15:$BJ$62,$BM$15:$BM$62),IFERROR(_xlfn.XLOOKUP(TRIM(SUBSTITUTE(U132,CHAR(160)," ")),$BK$15:$BK$62,$BM$15:$BM$62),_xlfn.XLOOKUP(TRIM(SUBSTITUTE(U132,CHAR(160)," ")),$BL$15:$BL$62,$BM$15:$BM$62))))*T132*IF(ISBLANK(Q132),1,Q132)+IFERROR(_xlfn.XLOOKUP("RECHERCHEX",TRIM(L132:AD132),L132:AD132),0),0))</f>
        <v>0.66600000000000004</v>
      </c>
      <c r="AM132" s="6229" t="str">
        <f t="shared" si="60"/>
        <v>Kg</v>
      </c>
      <c r="AN132" s="6857" t="str">
        <f t="shared" si="77"/>
        <v>❾ Author reference &gt;</v>
      </c>
      <c r="AO132" s="392">
        <f t="shared" si="61"/>
        <v>5.53</v>
      </c>
      <c r="AP132" s="392" t="str">
        <f t="shared" si="62"/>
        <v>kg</v>
      </c>
      <c r="AQ132" s="6190">
        <f t="shared" si="63"/>
        <v>20</v>
      </c>
      <c r="AR132" s="6858" t="str">
        <f t="shared" si="64"/>
        <v>parts-ou.or.o ❾ + or - &gt;</v>
      </c>
      <c r="AS132" s="6856">
        <v>10</v>
      </c>
      <c r="AT132" s="6275" t="s">
        <v>219</v>
      </c>
      <c r="AU132" s="6271">
        <f t="shared" si="65"/>
        <v>1.2043399638336347</v>
      </c>
      <c r="AV132" s="6242" t="str">
        <f t="shared" si="66"/>
        <v>Kg</v>
      </c>
      <c r="AW132" s="6188" t="str" cm="1">
        <f t="array" ref="AW132">IF(AK132&lt;&gt;1,0,IF(OR(AU132="",N(AU132)&lt;=0.000000001),"",IF(OR(AO132="",N(AO132)&lt;=0.000000001),0,IF(ISNUMBER(AU132),IFERROR(_xlfn.LET(_xlpm.ai_test,TRIM(AJ132),_xlpm.r,IFERROR(_xlfn.XLOOKUP(_xlpm.ai_test,$BJ$15:$BJ$62,ROW($BJ$15:$BJ$62),0,1),IFERROR(_xlfn.XLOOKUP(_xlpm.ai_test,$BK$15:$BK$62,ROW($BK$15:$BK$62),0,1),_xlfn.XLOOKUP(_xlpm.ai_test,$BL$15:$BL$62,ROW($BL$15:$BL$62),0,1))),_xlpm.p,_xlpm.r-MIN(ROW($BJ$15:$BJ$62))+1,_xlpm.f,INDEX($BM$15:$BM$62,_xlpm.p),_xlpm.u,INDEX($BN$15:$BN$62,_xlpm.p),_xlpm.s,INDEX($BP$15:$BP$62,_xlpm.p),_xlpm.q,N(AU132)/_xlpm.f,IF(_xlpm.q&gt;=_xlpm.s,ROUND(_xlpm.q,1)&amp;" "&amp;_xlpm.ai_test&amp;" = "&amp;ROUND(_xlpm.q*_xlpm.f,1)&amp;" "&amp;_xlpm.u,ROUND(_xlpm.q,1)&amp;" "&amp;_xlpm.ai_test)),""),""))))</f>
        <v>3.6 tercio(s) kg = 1.2 entier</v>
      </c>
      <c r="AX132" s="6218"/>
      <c r="AY132" s="6271">
        <f t="shared" si="67"/>
        <v>1.2043399638336347</v>
      </c>
      <c r="AZ132" s="6242" t="str">
        <f t="shared" si="68"/>
        <v>Kg</v>
      </c>
      <c r="BA132" s="6194">
        <f t="shared" si="73"/>
        <v>0</v>
      </c>
      <c r="BB132" s="6192" t="str">
        <f t="shared" si="69"/>
        <v/>
      </c>
      <c r="BC132" s="6219"/>
      <c r="BD132" s="6221">
        <f t="shared" si="75"/>
        <v>0</v>
      </c>
      <c r="BE132" s="6220" t="str">
        <f t="shared" si="70"/>
        <v>test</v>
      </c>
      <c r="BF132" s="4" t="s">
        <v>1</v>
      </c>
      <c r="BG132" s="6196">
        <f t="shared" si="71"/>
        <v>0</v>
      </c>
      <c r="BH132" s="6197">
        <f t="shared" si="72"/>
        <v>1.8083182640144664</v>
      </c>
      <c r="BI132"/>
      <c r="BR132"/>
      <c r="BS132"/>
      <c r="BT132"/>
      <c r="BU132"/>
      <c r="BV132"/>
      <c r="BW132"/>
      <c r="BX132" s="20" t="str">
        <f t="shared" si="51"/>
        <v>A</v>
      </c>
      <c r="CD132" s="5661"/>
      <c r="DC132" s="5">
        <v>1</v>
      </c>
    </row>
    <row r="133" spans="1:107" s="1" customFormat="1" ht="21" customHeight="1">
      <c r="A133" s="5641" t="s">
        <v>1</v>
      </c>
      <c r="B133" s="5662" t="str">
        <f t="shared" ref="B133:B196" si="80">L133</f>
        <v>A</v>
      </c>
      <c r="C133" s="5825" cm="1">
        <f t="array" ref="C133">SUMPRODUCT(LEN(D133:J133))</f>
        <v>0</v>
      </c>
      <c r="D133" s="5275"/>
      <c r="E133" s="1361"/>
      <c r="F133" s="1361"/>
      <c r="G133" s="1361"/>
      <c r="H133" s="1361"/>
      <c r="I133" s="1361"/>
      <c r="J133" s="5276"/>
      <c r="K133" s="106" t="s">
        <v>1</v>
      </c>
      <c r="L133" s="1021" t="str">
        <f t="shared" si="79"/>
        <v>A</v>
      </c>
      <c r="M133" s="41" t="str">
        <f>M116</f>
        <v>N NOMBRE DE SU RECETA | pegue esto — FAMILIA| Autor &gt; USTED</v>
      </c>
      <c r="N133" s="40">
        <f>N116</f>
        <v>5.53</v>
      </c>
      <c r="O133" s="41" t="str">
        <f>O116</f>
        <v>kg</v>
      </c>
      <c r="P133" s="5386" t="str">
        <f>P116</f>
        <v>Receta madre ► Ballotina de pintada</v>
      </c>
      <c r="Q133" s="213"/>
      <c r="R133" s="212"/>
      <c r="S133" s="211" t="str">
        <f t="shared" si="78"/>
        <v/>
      </c>
      <c r="T133" s="210">
        <v>2</v>
      </c>
      <c r="U133" s="6287" t="s">
        <v>9606</v>
      </c>
      <c r="V133" s="5448">
        <v>1</v>
      </c>
      <c r="W133" s="6866" t="s">
        <v>10006</v>
      </c>
      <c r="X133" s="6871"/>
      <c r="Y133" s="6253">
        <f>IF(AA134=0,0,(AA133/AA134)*Z119*1000)</f>
        <v>180.67957200622982</v>
      </c>
      <c r="Z133" s="6701">
        <f>IF(AA134=0, 0, (Q133*V133)/(AA134*Z119))</f>
        <v>0</v>
      </c>
      <c r="AA133" s="5882">
        <f>IFERROR(_xlfn.LET(_xlpm.v,IFERROR(_xlfn.XLOOKUP(U133,Q135:AD135,Q136:AD136),_xlfn.XLOOKUP(U133,Q137:AD137,Q138:AD138)),_xlpm.v*T133*IF(ISBLANK(Q133),1,Q133)),0)</f>
        <v>1</v>
      </c>
      <c r="AB133" s="5254">
        <f>IF(OR(ISBLANK(AC115),AC115=0),0,Q133*AC113*V133/AC115)</f>
        <v>0</v>
      </c>
      <c r="AC133" s="6051">
        <f>IF(OR(ISBLANK(AC115),AC115=0),0,AA133*V133*AC113/AC115)</f>
        <v>50</v>
      </c>
      <c r="AD133" s="6199" t="str">
        <f>_xlfn.LET(_xlpm.unite,SUBSTITUTE(TRIM(U133)," (s)",""),_xlpm.val,AC133,_xlpm.estVol,COUNTIF(W135:AD135,_xlpm.unite)+COUNTIF(W137:AD137,_xlpm.unite)&gt;0,_xlpm.estPoids,COUNTIF(Q135:V135,_xlpm.unite)+COUNTIF(Q137:V137,_xlpm.unite)&gt;0,IF(_xlpm.estVol,IF(ROUND(_xlpm.val,3)&gt;=1,ROUND(_xlpm.val,3)&amp;" L",MAX(1,ROUND(_xlpm.val*100,0))&amp;" cl"),IF(_xlpm.estPoids,IF(ROUND(_xlpm.val,3)&gt;=1,ROUND(_xlpm.val,3)&amp;" Kg",MAX(1,ROUND(_xlpm.val*1000,0))&amp;" g"),"")))</f>
        <v>50 Kg</v>
      </c>
      <c r="AE133" s="6872" t="s">
        <v>11057</v>
      </c>
      <c r="AF133" s="6202" t="str">
        <f t="shared" si="54"/>
        <v>A</v>
      </c>
      <c r="AG133" s="6234" t="str">
        <f t="shared" si="55"/>
        <v>N NOMBRE DE SU RECETA | pegue esto — FAMILIA| Autor &gt; USTED</v>
      </c>
      <c r="AH133" s="6732">
        <f t="shared" si="56"/>
        <v>5.53</v>
      </c>
      <c r="AI133" s="6234" t="str">
        <f t="shared" si="57"/>
        <v>kg</v>
      </c>
      <c r="AJ133" s="6732" t="str">
        <f t="shared" si="58"/>
        <v>medio(s) kg</v>
      </c>
      <c r="AK133" s="6732">
        <f t="shared" si="59"/>
        <v>1</v>
      </c>
      <c r="AL133" s="6230" cm="1">
        <f t="array" ref="AL133">IF(AF133&lt;&gt;"A","",IFERROR((IFERROR(_xlfn.XLOOKUP(TRIM(SUBSTITUTE(U133,CHAR(160)," ")),$BJ$15:$BJ$62,$BM$15:$BM$62),IFERROR(_xlfn.XLOOKUP(TRIM(SUBSTITUTE(U133,CHAR(160)," ")),$BK$15:$BK$62,$BM$15:$BM$62),_xlfn.XLOOKUP(TRIM(SUBSTITUTE(U133,CHAR(160)," ")),$BL$15:$BL$62,$BM$15:$BM$62))))*T133*IF(ISBLANK(Q133),1,Q133)+IFERROR(_xlfn.XLOOKUP("RECHERCHEX",TRIM(L133:AD133),L133:AD133),0),0))</f>
        <v>1</v>
      </c>
      <c r="AM133" s="6229" t="str">
        <f t="shared" si="60"/>
        <v>Kg</v>
      </c>
      <c r="AN133" s="6857" t="str">
        <f t="shared" si="77"/>
        <v>❾ Author reference &gt;</v>
      </c>
      <c r="AO133" s="392">
        <f t="shared" si="61"/>
        <v>5.53</v>
      </c>
      <c r="AP133" s="392" t="str">
        <f t="shared" si="62"/>
        <v>kg</v>
      </c>
      <c r="AQ133" s="6191">
        <f t="shared" si="63"/>
        <v>20</v>
      </c>
      <c r="AR133" s="6859" t="str">
        <f t="shared" si="64"/>
        <v>parts-ou.or.o ❾ + or - &gt;</v>
      </c>
      <c r="AS133" s="6856">
        <v>10</v>
      </c>
      <c r="AT133" s="6275" t="s">
        <v>219</v>
      </c>
      <c r="AU133" s="6272">
        <f t="shared" si="65"/>
        <v>1.8083182640144664</v>
      </c>
      <c r="AV133" s="6240" t="str">
        <f t="shared" si="66"/>
        <v>Kg</v>
      </c>
      <c r="AW133" s="6189" t="str" cm="1">
        <f t="array" ref="AW133">IF(AK133&lt;&gt;1,0,IF(OR(AU133="",N(AU133)&lt;=0.000000001),"",IF(OR(AO133="",N(AO133)&lt;=0.000000001),0,IF(ISNUMBER(AU133),IFERROR(_xlfn.LET(_xlpm.ai_test,TRIM(AJ133),_xlpm.r,IFERROR(_xlfn.XLOOKUP(_xlpm.ai_test,$BJ$15:$BJ$62,ROW($BJ$15:$BJ$62),0,1),IFERROR(_xlfn.XLOOKUP(_xlpm.ai_test,$BK$15:$BK$62,ROW($BK$15:$BK$62),0,1),_xlfn.XLOOKUP(_xlpm.ai_test,$BL$15:$BL$62,ROW($BL$15:$BL$62),0,1))),_xlpm.p,_xlpm.r-MIN(ROW($BJ$15:$BJ$62))+1,_xlpm.f,INDEX($BM$15:$BM$62,_xlpm.p),_xlpm.u,INDEX($BN$15:$BN$62,_xlpm.p),_xlpm.s,INDEX($BP$15:$BP$62,_xlpm.p),_xlpm.q,N(AU133)/_xlpm.f,IF(_xlpm.q&gt;=_xlpm.s,ROUND(_xlpm.q,1)&amp;" "&amp;_xlpm.ai_test&amp;" = "&amp;ROUND(_xlpm.q*_xlpm.f,1)&amp;" "&amp;_xlpm.u,ROUND(_xlpm.q,1)&amp;" "&amp;_xlpm.ai_test)),""),""))))</f>
        <v>1808.3 medio(s) kg = 1.8 L ou kg</v>
      </c>
      <c r="AX133" s="6218"/>
      <c r="AY133" s="6272">
        <f t="shared" si="67"/>
        <v>1.8083182640144664</v>
      </c>
      <c r="AZ133" s="6240" t="str">
        <f t="shared" si="68"/>
        <v>Kg</v>
      </c>
      <c r="BA133" s="6195">
        <f t="shared" si="73"/>
        <v>0</v>
      </c>
      <c r="BB133" s="6193" t="str">
        <f t="shared" si="69"/>
        <v/>
      </c>
      <c r="BC133" s="6219"/>
      <c r="BD133" s="6222">
        <f t="shared" si="75"/>
        <v>0</v>
      </c>
      <c r="BE133" s="6220" t="str">
        <f t="shared" si="70"/>
        <v>test</v>
      </c>
      <c r="BF133" s="4" t="s">
        <v>1</v>
      </c>
      <c r="BG133" s="6196">
        <f t="shared" si="71"/>
        <v>0</v>
      </c>
      <c r="BH133" s="6197">
        <f t="shared" si="72"/>
        <v>1.8083182640144664</v>
      </c>
      <c r="BI133"/>
      <c r="BR133"/>
      <c r="BS133"/>
      <c r="BT133"/>
      <c r="BU133"/>
      <c r="BV133"/>
      <c r="BW133"/>
      <c r="BX133" s="20" t="str">
        <f t="shared" ref="BX133:BX196" si="81">AF133</f>
        <v>A</v>
      </c>
      <c r="CD133" s="5661"/>
      <c r="DC133" s="5">
        <v>1</v>
      </c>
    </row>
    <row r="134" spans="1:107" s="1" customFormat="1" ht="21" customHeight="1">
      <c r="A134" s="5641" t="s">
        <v>1</v>
      </c>
      <c r="B134" s="5662" t="str">
        <f t="shared" si="80"/>
        <v>A</v>
      </c>
      <c r="C134" s="5825" cm="1">
        <f t="array" ref="C134">SUMPRODUCT(LEN(D134:J134))</f>
        <v>0</v>
      </c>
      <c r="D134" s="5275"/>
      <c r="E134" s="1361"/>
      <c r="F134" s="1361"/>
      <c r="G134" s="1361"/>
      <c r="H134" s="1361"/>
      <c r="I134" s="1361"/>
      <c r="J134" s="5276"/>
      <c r="K134" s="106" t="s">
        <v>1</v>
      </c>
      <c r="L134" s="1021" t="s">
        <v>21</v>
      </c>
      <c r="M134" s="41" t="str">
        <f>M116</f>
        <v>N NOMBRE DE SU RECETA | pegue esto — FAMILIA| Autor &gt; USTED</v>
      </c>
      <c r="N134" s="40">
        <f>N116</f>
        <v>5.53</v>
      </c>
      <c r="O134" s="41" t="str">
        <f>O116</f>
        <v>kg</v>
      </c>
      <c r="P134" s="5386" t="str">
        <f>P116</f>
        <v>Receta madre ► Ballotina de pintada</v>
      </c>
      <c r="Q134" s="6714" t="s">
        <v>8357</v>
      </c>
      <c r="R134" s="6379"/>
      <c r="S134" s="6379"/>
      <c r="T134" s="6379"/>
      <c r="U134" s="6379"/>
      <c r="V134" s="6715"/>
      <c r="W134" s="6716"/>
      <c r="X134" s="6716"/>
      <c r="Y134" s="6717"/>
      <c r="Z134" s="6717"/>
      <c r="AA134" s="6718">
        <f>SUM(AA120:AA133)</f>
        <v>5.5346599999999997</v>
      </c>
      <c r="AB134" s="6719"/>
      <c r="AC134" s="6719" t="str">
        <f>"Total " &amp; AC117&amp;" &gt;"</f>
        <v>Total Col.18 &gt;</v>
      </c>
      <c r="AD134" s="6720">
        <f>SUM(AC120:AC133)</f>
        <v>276.733</v>
      </c>
      <c r="AE134" s="6872" t="s">
        <v>11058</v>
      </c>
      <c r="AF134" s="6202" t="str">
        <f t="shared" si="54"/>
        <v>►</v>
      </c>
      <c r="AG134" s="6234" t="str">
        <f t="shared" si="55"/>
        <v/>
      </c>
      <c r="AH134" s="6732" t="str">
        <f t="shared" si="56"/>
        <v/>
      </c>
      <c r="AI134" s="6234" t="str">
        <f t="shared" si="57"/>
        <v/>
      </c>
      <c r="AJ134" s="6732" t="str">
        <f t="shared" si="58"/>
        <v/>
      </c>
      <c r="AK134" s="6732">
        <f t="shared" si="59"/>
        <v>0</v>
      </c>
      <c r="AL134" s="6230" t="str" cm="1">
        <f t="array" ref="AL134">IF(AF134&lt;&gt;"A","",IFERROR((IFERROR(_xlfn.XLOOKUP(TRIM(SUBSTITUTE(U134,CHAR(160)," ")),$BJ$15:$BJ$62,$BM$15:$BM$62),IFERROR(_xlfn.XLOOKUP(TRIM(SUBSTITUTE(U134,CHAR(160)," ")),$BK$15:$BK$62,$BM$15:$BM$62),_xlfn.XLOOKUP(TRIM(SUBSTITUTE(U134,CHAR(160)," ")),$BL$15:$BL$62,$BM$15:$BM$62))))*T134*IF(ISBLANK(Q134),1,Q134)+IFERROR(_xlfn.XLOOKUP("RECHERCHEX",TRIM(L134:AD134),L134:AD134),0),0))</f>
        <v/>
      </c>
      <c r="AM134" s="6229">
        <f t="shared" si="60"/>
        <v>0</v>
      </c>
      <c r="AN134" s="6857" t="str">
        <f t="shared" si="77"/>
        <v/>
      </c>
      <c r="AO134" s="392">
        <f t="shared" si="61"/>
        <v>0</v>
      </c>
      <c r="AP134" s="392">
        <f t="shared" si="62"/>
        <v>0</v>
      </c>
      <c r="AQ134" s="6190">
        <f t="shared" si="63"/>
        <v>0</v>
      </c>
      <c r="AR134" s="6858" t="str">
        <f t="shared" si="64"/>
        <v/>
      </c>
      <c r="AS134" s="6217"/>
      <c r="AT134" s="6217"/>
      <c r="AU134" s="6271">
        <f t="shared" si="65"/>
        <v>0</v>
      </c>
      <c r="AV134" s="6242">
        <f t="shared" si="66"/>
        <v>0</v>
      </c>
      <c r="AW134" s="6188" cm="1">
        <f t="array" ref="AW134">IF(AK134&lt;&gt;1,0,IF(OR(AU134="",N(AU134)&lt;=0.000000001),"",IF(OR(AO134="",N(AO134)&lt;=0.000000001),0,IF(ISNUMBER(AU134),IFERROR(_xlfn.LET(_xlpm.ai_test,TRIM(AJ134),_xlpm.r,IFERROR(_xlfn.XLOOKUP(_xlpm.ai_test,$BJ$15:$BJ$62,ROW($BJ$15:$BJ$62),0,1),IFERROR(_xlfn.XLOOKUP(_xlpm.ai_test,$BK$15:$BK$62,ROW($BK$15:$BK$62),0,1),_xlfn.XLOOKUP(_xlpm.ai_test,$BL$15:$BL$62,ROW($BL$15:$BL$62),0,1))),_xlpm.p,_xlpm.r-MIN(ROW($BJ$15:$BJ$62))+1,_xlpm.f,INDEX($BM$15:$BM$62,_xlpm.p),_xlpm.u,INDEX($BN$15:$BN$62,_xlpm.p),_xlpm.s,INDEX($BP$15:$BP$62,_xlpm.p),_xlpm.q,N(AU134)/_xlpm.f,IF(_xlpm.q&gt;=_xlpm.s,ROUND(_xlpm.q,1)&amp;" "&amp;_xlpm.ai_test&amp;" = "&amp;ROUND(_xlpm.q*_xlpm.f,1)&amp;" "&amp;_xlpm.u,ROUND(_xlpm.q,1)&amp;" "&amp;_xlpm.ai_test)),""),""))))</f>
        <v>0</v>
      </c>
      <c r="AX134" s="6218"/>
      <c r="AY134" s="6271">
        <f t="shared" si="67"/>
        <v>0</v>
      </c>
      <c r="AZ134" s="6242" t="str">
        <f t="shared" si="68"/>
        <v/>
      </c>
      <c r="BA134" s="6194">
        <f t="shared" si="73"/>
        <v>0</v>
      </c>
      <c r="BB134" s="6192" t="str">
        <f t="shared" si="69"/>
        <v/>
      </c>
      <c r="BC134" s="6219"/>
      <c r="BD134" s="6221">
        <f t="shared" si="75"/>
        <v>0</v>
      </c>
      <c r="BE134" s="6220" t="str">
        <f t="shared" si="70"/>
        <v/>
      </c>
      <c r="BF134" s="4" t="s">
        <v>1</v>
      </c>
      <c r="BG134" s="6196">
        <f t="shared" si="71"/>
        <v>0</v>
      </c>
      <c r="BH134" s="6197">
        <f t="shared" si="72"/>
        <v>0</v>
      </c>
      <c r="BI134"/>
      <c r="BR134"/>
      <c r="BS134"/>
      <c r="BT134"/>
      <c r="BU134"/>
      <c r="BV134"/>
      <c r="BW134"/>
      <c r="BX134" s="20" t="str">
        <f t="shared" si="81"/>
        <v>►</v>
      </c>
      <c r="CD134" s="5661"/>
      <c r="DC134" s="5">
        <v>1</v>
      </c>
    </row>
    <row r="135" spans="1:107" s="1" customFormat="1" ht="21" customHeight="1">
      <c r="A135" s="5641" t="s">
        <v>1</v>
      </c>
      <c r="B135" s="5662" t="str">
        <f t="shared" si="80"/>
        <v>►</v>
      </c>
      <c r="C135" s="5825" cm="1">
        <f t="array" ref="C135">SUMPRODUCT(LEN(D135:J135))</f>
        <v>0</v>
      </c>
      <c r="D135" s="5275"/>
      <c r="E135" s="1361"/>
      <c r="F135" s="1361"/>
      <c r="G135" s="1361"/>
      <c r="H135" s="1361"/>
      <c r="I135" s="1361"/>
      <c r="J135" s="5276"/>
      <c r="K135" s="106" t="s">
        <v>1</v>
      </c>
      <c r="L135" s="1021" t="s">
        <v>26</v>
      </c>
      <c r="M135" s="41" t="str">
        <f>M116</f>
        <v>N NOMBRE DE SU RECETA | pegue esto — FAMILIA| Autor &gt; USTED</v>
      </c>
      <c r="N135" s="40">
        <f>N116</f>
        <v>5.53</v>
      </c>
      <c r="O135" s="41" t="str">
        <f>O116</f>
        <v>kg</v>
      </c>
      <c r="P135" s="5386" t="str">
        <f>P116</f>
        <v>Receta madre ► Ballotina de pintada</v>
      </c>
      <c r="Q135" s="6699" t="s">
        <v>219</v>
      </c>
      <c r="R135" s="6283" t="s">
        <v>130</v>
      </c>
      <c r="S135" s="6291" t="s">
        <v>9695</v>
      </c>
      <c r="T135" s="6287" t="s">
        <v>9604</v>
      </c>
      <c r="U135" s="6287" t="s">
        <v>9608</v>
      </c>
      <c r="V135" s="6287" t="s">
        <v>9606</v>
      </c>
      <c r="W135" s="6702" t="s">
        <v>88</v>
      </c>
      <c r="X135" s="6702"/>
      <c r="Y135" s="6285" t="s">
        <v>172</v>
      </c>
      <c r="Z135" s="6285" t="s">
        <v>170</v>
      </c>
      <c r="AA135" s="6702" t="s">
        <v>166</v>
      </c>
      <c r="AB135" s="6286" t="s">
        <v>9616</v>
      </c>
      <c r="AC135" s="6286" t="s">
        <v>9620</v>
      </c>
      <c r="AD135" s="6282" t="s">
        <v>9622</v>
      </c>
      <c r="AE135" s="6872" t="s">
        <v>11059</v>
      </c>
      <c r="AF135" s="6202" t="str">
        <f t="shared" si="54"/>
        <v>►</v>
      </c>
      <c r="AG135" s="6234" t="str">
        <f t="shared" si="55"/>
        <v/>
      </c>
      <c r="AH135" s="6732" t="str">
        <f t="shared" si="56"/>
        <v/>
      </c>
      <c r="AI135" s="6234" t="str">
        <f t="shared" si="57"/>
        <v/>
      </c>
      <c r="AJ135" s="6732" t="str">
        <f t="shared" si="58"/>
        <v/>
      </c>
      <c r="AK135" s="6732">
        <f t="shared" si="59"/>
        <v>0</v>
      </c>
      <c r="AL135" s="6230" t="str" cm="1">
        <f t="array" ref="AL135">IF(AF135&lt;&gt;"A","",IFERROR((IFERROR(_xlfn.XLOOKUP(TRIM(SUBSTITUTE(U135,CHAR(160)," ")),$BJ$15:$BJ$62,$BM$15:$BM$62),IFERROR(_xlfn.XLOOKUP(TRIM(SUBSTITUTE(U135,CHAR(160)," ")),$BK$15:$BK$62,$BM$15:$BM$62),_xlfn.XLOOKUP(TRIM(SUBSTITUTE(U135,CHAR(160)," ")),$BL$15:$BL$62,$BM$15:$BM$62))))*T135*IF(ISBLANK(Q135),1,Q135)+IFERROR(_xlfn.XLOOKUP("RECHERCHEX",TRIM(L135:AD135),L135:AD135),0),0))</f>
        <v/>
      </c>
      <c r="AM135" s="6229">
        <f t="shared" si="60"/>
        <v>0</v>
      </c>
      <c r="AN135" s="6857" t="str">
        <f t="shared" si="77"/>
        <v/>
      </c>
      <c r="AO135" s="392">
        <f t="shared" si="61"/>
        <v>0</v>
      </c>
      <c r="AP135" s="392">
        <f t="shared" si="62"/>
        <v>0</v>
      </c>
      <c r="AQ135" s="6191">
        <f t="shared" si="63"/>
        <v>0</v>
      </c>
      <c r="AR135" s="6859" t="str">
        <f t="shared" si="64"/>
        <v/>
      </c>
      <c r="AS135" s="6217"/>
      <c r="AT135" s="6217"/>
      <c r="AU135" s="6272">
        <f t="shared" si="65"/>
        <v>0</v>
      </c>
      <c r="AV135" s="6240">
        <f t="shared" si="66"/>
        <v>0</v>
      </c>
      <c r="AW135" s="6189" cm="1">
        <f t="array" ref="AW135">IF(AK135&lt;&gt;1,0,IF(OR(AU135="",N(AU135)&lt;=0.000000001),"",IF(OR(AO135="",N(AO135)&lt;=0.000000001),0,IF(ISNUMBER(AU135),IFERROR(_xlfn.LET(_xlpm.ai_test,TRIM(AJ135),_xlpm.r,IFERROR(_xlfn.XLOOKUP(_xlpm.ai_test,$BJ$15:$BJ$62,ROW($BJ$15:$BJ$62),0,1),IFERROR(_xlfn.XLOOKUP(_xlpm.ai_test,$BK$15:$BK$62,ROW($BK$15:$BK$62),0,1),_xlfn.XLOOKUP(_xlpm.ai_test,$BL$15:$BL$62,ROW($BL$15:$BL$62),0,1))),_xlpm.p,_xlpm.r-MIN(ROW($BJ$15:$BJ$62))+1,_xlpm.f,INDEX($BM$15:$BM$62,_xlpm.p),_xlpm.u,INDEX($BN$15:$BN$62,_xlpm.p),_xlpm.s,INDEX($BP$15:$BP$62,_xlpm.p),_xlpm.q,N(AU135)/_xlpm.f,IF(_xlpm.q&gt;=_xlpm.s,ROUND(_xlpm.q,1)&amp;" "&amp;_xlpm.ai_test&amp;" = "&amp;ROUND(_xlpm.q*_xlpm.f,1)&amp;" "&amp;_xlpm.u,ROUND(_xlpm.q,1)&amp;" "&amp;_xlpm.ai_test)),""),""))))</f>
        <v>0</v>
      </c>
      <c r="AX135" s="6218"/>
      <c r="AY135" s="6272">
        <f t="shared" si="67"/>
        <v>0</v>
      </c>
      <c r="AZ135" s="6240" t="str">
        <f t="shared" si="68"/>
        <v/>
      </c>
      <c r="BA135" s="6195">
        <f t="shared" si="73"/>
        <v>0</v>
      </c>
      <c r="BB135" s="6193" t="str">
        <f t="shared" si="69"/>
        <v/>
      </c>
      <c r="BC135" s="6219"/>
      <c r="BD135" s="6222">
        <f t="shared" si="75"/>
        <v>0</v>
      </c>
      <c r="BE135" s="6220" t="str">
        <f t="shared" si="70"/>
        <v/>
      </c>
      <c r="BF135" s="4" t="s">
        <v>1</v>
      </c>
      <c r="BG135" s="6196">
        <f t="shared" si="71"/>
        <v>0</v>
      </c>
      <c r="BH135" s="6197">
        <f t="shared" si="72"/>
        <v>0</v>
      </c>
      <c r="BI135"/>
      <c r="BR135"/>
      <c r="BS135"/>
      <c r="BT135"/>
      <c r="BU135"/>
      <c r="BV135"/>
      <c r="BW135"/>
      <c r="BX135" s="20" t="str">
        <f t="shared" si="81"/>
        <v>►</v>
      </c>
      <c r="CD135" s="5661"/>
      <c r="DC135" s="5">
        <v>1</v>
      </c>
    </row>
    <row r="136" spans="1:107" s="1" customFormat="1" ht="21" customHeight="1">
      <c r="A136" s="5641" t="s">
        <v>1</v>
      </c>
      <c r="B136" s="5662" t="str">
        <f t="shared" si="80"/>
        <v>►</v>
      </c>
      <c r="C136" s="5825" cm="1">
        <f t="array" ref="C136">SUMPRODUCT(LEN(D136:J136))</f>
        <v>0</v>
      </c>
      <c r="D136" s="5275"/>
      <c r="E136" s="1361"/>
      <c r="F136" s="1361"/>
      <c r="G136" s="1361"/>
      <c r="H136" s="1361"/>
      <c r="I136" s="1361"/>
      <c r="J136" s="5276"/>
      <c r="K136" s="106" t="s">
        <v>1</v>
      </c>
      <c r="L136" s="1021" t="s">
        <v>26</v>
      </c>
      <c r="M136" s="41" t="str">
        <f>M116</f>
        <v>N NOMBRE DE SU RECETA | pegue esto — FAMILIA| Autor &gt; USTED</v>
      </c>
      <c r="N136" s="40">
        <f>N116</f>
        <v>5.53</v>
      </c>
      <c r="O136" s="41" t="str">
        <f>O116</f>
        <v>kg</v>
      </c>
      <c r="P136" s="5386" t="str">
        <f>P116</f>
        <v>Receta madre ► Ballotina de pintada</v>
      </c>
      <c r="Q136" s="6706">
        <v>1</v>
      </c>
      <c r="R136" s="6707">
        <v>1E-3</v>
      </c>
      <c r="S136" s="6708">
        <v>0</v>
      </c>
      <c r="T136" s="6707">
        <v>0.25</v>
      </c>
      <c r="U136" s="6707">
        <v>0.33332999999999996</v>
      </c>
      <c r="V136" s="6707">
        <v>0.5</v>
      </c>
      <c r="W136" s="6709">
        <v>1</v>
      </c>
      <c r="X136" s="6709"/>
      <c r="Y136" s="6709">
        <v>0.1</v>
      </c>
      <c r="Z136" s="6709">
        <v>0.01</v>
      </c>
      <c r="AA136" s="6709">
        <v>1E-3</v>
      </c>
      <c r="AB136" s="6709">
        <v>0.5</v>
      </c>
      <c r="AC136" s="6709">
        <v>0.33300000000000002</v>
      </c>
      <c r="AD136" s="6710">
        <v>0.2</v>
      </c>
      <c r="AE136" s="6872" t="s">
        <v>11060</v>
      </c>
      <c r="AF136" s="6202" t="str">
        <f t="shared" si="54"/>
        <v>►</v>
      </c>
      <c r="AG136" s="6234" t="str">
        <f t="shared" si="55"/>
        <v/>
      </c>
      <c r="AH136" s="6732" t="str">
        <f t="shared" si="56"/>
        <v/>
      </c>
      <c r="AI136" s="6234" t="str">
        <f t="shared" si="57"/>
        <v/>
      </c>
      <c r="AJ136" s="6732" t="str">
        <f t="shared" si="58"/>
        <v/>
      </c>
      <c r="AK136" s="6732">
        <f t="shared" si="59"/>
        <v>0</v>
      </c>
      <c r="AL136" s="6230" t="str" cm="1">
        <f t="array" ref="AL136">IF(AF136&lt;&gt;"A","",IFERROR((IFERROR(_xlfn.XLOOKUP(TRIM(SUBSTITUTE(U136,CHAR(160)," ")),$BJ$15:$BJ$62,$BM$15:$BM$62),IFERROR(_xlfn.XLOOKUP(TRIM(SUBSTITUTE(U136,CHAR(160)," ")),$BK$15:$BK$62,$BM$15:$BM$62),_xlfn.XLOOKUP(TRIM(SUBSTITUTE(U136,CHAR(160)," ")),$BL$15:$BL$62,$BM$15:$BM$62))))*T136*IF(ISBLANK(Q136),1,Q136)+IFERROR(_xlfn.XLOOKUP("RECHERCHEX",TRIM(L136:AD136),L136:AD136),0),0))</f>
        <v/>
      </c>
      <c r="AM136" s="6229">
        <f t="shared" si="60"/>
        <v>0</v>
      </c>
      <c r="AN136" s="6857" t="str">
        <f t="shared" si="77"/>
        <v/>
      </c>
      <c r="AO136" s="392">
        <f t="shared" si="61"/>
        <v>0</v>
      </c>
      <c r="AP136" s="392">
        <f t="shared" si="62"/>
        <v>0</v>
      </c>
      <c r="AQ136" s="6190">
        <f t="shared" si="63"/>
        <v>0</v>
      </c>
      <c r="AR136" s="6858" t="str">
        <f t="shared" si="64"/>
        <v/>
      </c>
      <c r="AS136" s="6217"/>
      <c r="AT136" s="6217"/>
      <c r="AU136" s="6271">
        <f t="shared" si="65"/>
        <v>0</v>
      </c>
      <c r="AV136" s="6242">
        <f t="shared" si="66"/>
        <v>0</v>
      </c>
      <c r="AW136" s="6188" cm="1">
        <f t="array" ref="AW136">IF(AK136&lt;&gt;1,0,IF(OR(AU136="",N(AU136)&lt;=0.000000001),"",IF(OR(AO136="",N(AO136)&lt;=0.000000001),0,IF(ISNUMBER(AU136),IFERROR(_xlfn.LET(_xlpm.ai_test,TRIM(AJ136),_xlpm.r,IFERROR(_xlfn.XLOOKUP(_xlpm.ai_test,$BJ$15:$BJ$62,ROW($BJ$15:$BJ$62),0,1),IFERROR(_xlfn.XLOOKUP(_xlpm.ai_test,$BK$15:$BK$62,ROW($BK$15:$BK$62),0,1),_xlfn.XLOOKUP(_xlpm.ai_test,$BL$15:$BL$62,ROW($BL$15:$BL$62),0,1))),_xlpm.p,_xlpm.r-MIN(ROW($BJ$15:$BJ$62))+1,_xlpm.f,INDEX($BM$15:$BM$62,_xlpm.p),_xlpm.u,INDEX($BN$15:$BN$62,_xlpm.p),_xlpm.s,INDEX($BP$15:$BP$62,_xlpm.p),_xlpm.q,N(AU136)/_xlpm.f,IF(_xlpm.q&gt;=_xlpm.s,ROUND(_xlpm.q,1)&amp;" "&amp;_xlpm.ai_test&amp;" = "&amp;ROUND(_xlpm.q*_xlpm.f,1)&amp;" "&amp;_xlpm.u,ROUND(_xlpm.q,1)&amp;" "&amp;_xlpm.ai_test)),""),""))))</f>
        <v>0</v>
      </c>
      <c r="AX136" s="6218"/>
      <c r="AY136" s="6271">
        <f t="shared" si="67"/>
        <v>0</v>
      </c>
      <c r="AZ136" s="6242" t="str">
        <f t="shared" si="68"/>
        <v/>
      </c>
      <c r="BA136" s="6194">
        <f t="shared" si="73"/>
        <v>0</v>
      </c>
      <c r="BB136" s="6192" t="str">
        <f t="shared" si="69"/>
        <v/>
      </c>
      <c r="BC136" s="6219"/>
      <c r="BD136" s="6221">
        <f t="shared" si="75"/>
        <v>0</v>
      </c>
      <c r="BE136" s="6220" t="str">
        <f t="shared" si="70"/>
        <v/>
      </c>
      <c r="BF136" s="4" t="s">
        <v>1</v>
      </c>
      <c r="BG136" s="6196">
        <f t="shared" si="71"/>
        <v>0</v>
      </c>
      <c r="BH136" s="6197">
        <f t="shared" si="72"/>
        <v>0</v>
      </c>
      <c r="BI136"/>
      <c r="BR136"/>
      <c r="BS136"/>
      <c r="BT136"/>
      <c r="BU136"/>
      <c r="BV136"/>
      <c r="BW136"/>
      <c r="BX136" s="20" t="str">
        <f t="shared" si="81"/>
        <v>►</v>
      </c>
      <c r="CD136" s="5661"/>
      <c r="DC136" s="5">
        <v>1</v>
      </c>
    </row>
    <row r="137" spans="1:107" s="1" customFormat="1" ht="21" customHeight="1">
      <c r="A137" s="5641" t="s">
        <v>1</v>
      </c>
      <c r="B137" s="5662" t="str">
        <f t="shared" si="80"/>
        <v>►</v>
      </c>
      <c r="C137" s="5825" cm="1">
        <f t="array" ref="C137">SUMPRODUCT(LEN(D137:J137))</f>
        <v>0</v>
      </c>
      <c r="D137" s="5275"/>
      <c r="E137" s="1361"/>
      <c r="F137" s="1361"/>
      <c r="G137" s="1361"/>
      <c r="H137" s="1361"/>
      <c r="I137" s="1361"/>
      <c r="J137" s="5276"/>
      <c r="K137" s="106" t="s">
        <v>1</v>
      </c>
      <c r="L137" s="1021" t="s">
        <v>26</v>
      </c>
      <c r="M137" s="41" t="str">
        <f>M116</f>
        <v>N NOMBRE DE SU RECETA | pegue esto — FAMILIA| Autor &gt; USTED</v>
      </c>
      <c r="N137" s="40">
        <f>N116</f>
        <v>5.53</v>
      </c>
      <c r="O137" s="41" t="str">
        <f>O116</f>
        <v>kg</v>
      </c>
      <c r="P137" s="5386" t="str">
        <f>P116</f>
        <v>Receta madre ► Ballotina de pintada</v>
      </c>
      <c r="Q137" s="6289" t="s">
        <v>9633</v>
      </c>
      <c r="R137" s="6289" t="s">
        <v>9643</v>
      </c>
      <c r="S137" s="6291" t="s">
        <v>9695</v>
      </c>
      <c r="T137" s="6289" t="s">
        <v>9646</v>
      </c>
      <c r="U137" s="6289" t="s">
        <v>9640</v>
      </c>
      <c r="V137" s="6289" t="s">
        <v>9696</v>
      </c>
      <c r="W137" s="6294" t="s">
        <v>9632</v>
      </c>
      <c r="X137" s="6294"/>
      <c r="Y137" s="6281" t="s">
        <v>9697</v>
      </c>
      <c r="Z137" s="6281" t="s">
        <v>9698</v>
      </c>
      <c r="AA137" s="6286" t="s">
        <v>9699</v>
      </c>
      <c r="AB137" s="6286" t="s">
        <v>9618</v>
      </c>
      <c r="AC137" s="6286" t="s">
        <v>9624</v>
      </c>
      <c r="AD137" s="6755" t="s">
        <v>9648</v>
      </c>
      <c r="AE137" s="6872" t="s">
        <v>11061</v>
      </c>
      <c r="AF137" s="6202" t="str">
        <f t="shared" si="54"/>
        <v>►</v>
      </c>
      <c r="AG137" s="6234" t="str">
        <f t="shared" si="55"/>
        <v/>
      </c>
      <c r="AH137" s="6732" t="str">
        <f t="shared" si="56"/>
        <v/>
      </c>
      <c r="AI137" s="6234" t="str">
        <f t="shared" si="57"/>
        <v/>
      </c>
      <c r="AJ137" s="6732" t="str">
        <f t="shared" si="58"/>
        <v/>
      </c>
      <c r="AK137" s="6732">
        <f t="shared" si="59"/>
        <v>0</v>
      </c>
      <c r="AL137" s="6230" t="str" cm="1">
        <f t="array" ref="AL137">IF(AF137&lt;&gt;"A","",IFERROR((IFERROR(_xlfn.XLOOKUP(TRIM(SUBSTITUTE(U137,CHAR(160)," ")),$BJ$15:$BJ$62,$BM$15:$BM$62),IFERROR(_xlfn.XLOOKUP(TRIM(SUBSTITUTE(U137,CHAR(160)," ")),$BK$15:$BK$62,$BM$15:$BM$62),_xlfn.XLOOKUP(TRIM(SUBSTITUTE(U137,CHAR(160)," ")),$BL$15:$BL$62,$BM$15:$BM$62))))*T137*IF(ISBLANK(Q137),1,Q137)+IFERROR(_xlfn.XLOOKUP("RECHERCHEX",TRIM(L137:AD137),L137:AD137),0),0))</f>
        <v/>
      </c>
      <c r="AM137" s="6229">
        <f t="shared" si="60"/>
        <v>0</v>
      </c>
      <c r="AN137" s="6857" t="str">
        <f t="shared" si="77"/>
        <v/>
      </c>
      <c r="AO137" s="392">
        <f t="shared" si="61"/>
        <v>0</v>
      </c>
      <c r="AP137" s="392">
        <f t="shared" si="62"/>
        <v>0</v>
      </c>
      <c r="AQ137" s="6191">
        <f t="shared" si="63"/>
        <v>0</v>
      </c>
      <c r="AR137" s="6859" t="str">
        <f t="shared" si="64"/>
        <v/>
      </c>
      <c r="AS137" s="6217"/>
      <c r="AT137" s="6217"/>
      <c r="AU137" s="6272">
        <f t="shared" si="65"/>
        <v>0</v>
      </c>
      <c r="AV137" s="6240">
        <f t="shared" si="66"/>
        <v>0</v>
      </c>
      <c r="AW137" s="6189" cm="1">
        <f t="array" ref="AW137">IF(AK137&lt;&gt;1,0,IF(OR(AU137="",N(AU137)&lt;=0.000000001),"",IF(OR(AO137="",N(AO137)&lt;=0.000000001),0,IF(ISNUMBER(AU137),IFERROR(_xlfn.LET(_xlpm.ai_test,TRIM(AJ137),_xlpm.r,IFERROR(_xlfn.XLOOKUP(_xlpm.ai_test,$BJ$15:$BJ$62,ROW($BJ$15:$BJ$62),0,1),IFERROR(_xlfn.XLOOKUP(_xlpm.ai_test,$BK$15:$BK$62,ROW($BK$15:$BK$62),0,1),_xlfn.XLOOKUP(_xlpm.ai_test,$BL$15:$BL$62,ROW($BL$15:$BL$62),0,1))),_xlpm.p,_xlpm.r-MIN(ROW($BJ$15:$BJ$62))+1,_xlpm.f,INDEX($BM$15:$BM$62,_xlpm.p),_xlpm.u,INDEX($BN$15:$BN$62,_xlpm.p),_xlpm.s,INDEX($BP$15:$BP$62,_xlpm.p),_xlpm.q,N(AU137)/_xlpm.f,IF(_xlpm.q&gt;=_xlpm.s,ROUND(_xlpm.q,1)&amp;" "&amp;_xlpm.ai_test&amp;" = "&amp;ROUND(_xlpm.q*_xlpm.f,1)&amp;" "&amp;_xlpm.u,ROUND(_xlpm.q,1)&amp;" "&amp;_xlpm.ai_test)),""),""))))</f>
        <v>0</v>
      </c>
      <c r="AX137" s="6218"/>
      <c r="AY137" s="6272">
        <f t="shared" si="67"/>
        <v>0</v>
      </c>
      <c r="AZ137" s="6240" t="str">
        <f t="shared" si="68"/>
        <v/>
      </c>
      <c r="BA137" s="6195">
        <f t="shared" si="73"/>
        <v>0</v>
      </c>
      <c r="BB137" s="6193" t="str">
        <f t="shared" si="69"/>
        <v/>
      </c>
      <c r="BC137" s="6219"/>
      <c r="BD137" s="6222">
        <f t="shared" si="75"/>
        <v>0</v>
      </c>
      <c r="BE137" s="6220" t="str">
        <f t="shared" si="70"/>
        <v/>
      </c>
      <c r="BF137" s="4" t="s">
        <v>1</v>
      </c>
      <c r="BG137" s="6196">
        <f t="shared" si="71"/>
        <v>0</v>
      </c>
      <c r="BH137" s="6197">
        <f t="shared" si="72"/>
        <v>0</v>
      </c>
      <c r="BI137"/>
      <c r="BR137"/>
      <c r="BS137"/>
      <c r="BT137"/>
      <c r="BU137"/>
      <c r="BV137"/>
      <c r="BW137"/>
      <c r="BX137" s="20" t="str">
        <f t="shared" si="81"/>
        <v>►</v>
      </c>
      <c r="CD137" s="5661"/>
      <c r="DC137" s="5">
        <v>1</v>
      </c>
    </row>
    <row r="138" spans="1:107" s="1" customFormat="1" ht="21" customHeight="1">
      <c r="A138" s="5641" t="s">
        <v>1</v>
      </c>
      <c r="B138" s="5662" t="str">
        <f t="shared" si="80"/>
        <v>►</v>
      </c>
      <c r="C138" s="5825" cm="1">
        <f t="array" ref="C138">SUMPRODUCT(LEN(D138:J138))</f>
        <v>0</v>
      </c>
      <c r="D138" s="5275"/>
      <c r="E138" s="1361"/>
      <c r="F138" s="1361"/>
      <c r="G138" s="1361"/>
      <c r="H138" s="1361"/>
      <c r="I138" s="1361"/>
      <c r="J138" s="5276"/>
      <c r="K138" s="106" t="s">
        <v>1</v>
      </c>
      <c r="L138" s="1021" t="s">
        <v>26</v>
      </c>
      <c r="M138" s="41" t="str">
        <f>M116</f>
        <v>N NOMBRE DE SU RECETA | pegue esto — FAMILIA| Autor &gt; USTED</v>
      </c>
      <c r="N138" s="40">
        <f>N116</f>
        <v>5.53</v>
      </c>
      <c r="O138" s="41" t="str">
        <f>O116</f>
        <v>kg</v>
      </c>
      <c r="P138" s="5386" t="str">
        <f>P116</f>
        <v>Receta madre ► Ballotina de pintada</v>
      </c>
      <c r="Q138" s="6711">
        <v>2.835E-2</v>
      </c>
      <c r="R138" s="6712">
        <v>0.13</v>
      </c>
      <c r="S138" s="6713">
        <v>0</v>
      </c>
      <c r="T138" s="6712">
        <v>0.2</v>
      </c>
      <c r="U138" s="6712">
        <v>0.23</v>
      </c>
      <c r="V138" s="6712">
        <v>0.22500000000000001</v>
      </c>
      <c r="W138" s="6709">
        <v>0.35</v>
      </c>
      <c r="X138" s="6709"/>
      <c r="Y138" s="6709">
        <v>5.0000000000000001E-3</v>
      </c>
      <c r="Z138" s="6709">
        <v>5.0000000000000001E-3</v>
      </c>
      <c r="AA138" s="6709">
        <v>1.4999999999999999E-2</v>
      </c>
      <c r="AB138" s="6709">
        <v>0.1</v>
      </c>
      <c r="AC138" s="6709">
        <v>0.22500000000000001</v>
      </c>
      <c r="AD138" s="6710">
        <v>1E-3</v>
      </c>
      <c r="AE138" s="4" t="s">
        <v>1</v>
      </c>
      <c r="AF138" s="6202" t="str">
        <f t="shared" si="54"/>
        <v>►</v>
      </c>
      <c r="AG138" s="6234" t="str">
        <f t="shared" si="55"/>
        <v/>
      </c>
      <c r="AH138" s="6732" t="str">
        <f t="shared" si="56"/>
        <v/>
      </c>
      <c r="AI138" s="6234" t="str">
        <f t="shared" si="57"/>
        <v/>
      </c>
      <c r="AJ138" s="6732" t="str">
        <f t="shared" si="58"/>
        <v/>
      </c>
      <c r="AK138" s="6732">
        <f t="shared" si="59"/>
        <v>0</v>
      </c>
      <c r="AL138" s="6230" t="str" cm="1">
        <f t="array" ref="AL138">IF(AF138&lt;&gt;"A","",IFERROR((IFERROR(_xlfn.XLOOKUP(TRIM(SUBSTITUTE(U138,CHAR(160)," ")),$BJ$15:$BJ$62,$BM$15:$BM$62),IFERROR(_xlfn.XLOOKUP(TRIM(SUBSTITUTE(U138,CHAR(160)," ")),$BK$15:$BK$62,$BM$15:$BM$62),_xlfn.XLOOKUP(TRIM(SUBSTITUTE(U138,CHAR(160)," ")),$BL$15:$BL$62,$BM$15:$BM$62))))*T138*IF(ISBLANK(Q138),1,Q138)+IFERROR(_xlfn.XLOOKUP("RECHERCHEX",TRIM(L138:AD138),L138:AD138),0),0))</f>
        <v/>
      </c>
      <c r="AM138" s="6229">
        <f t="shared" si="60"/>
        <v>0</v>
      </c>
      <c r="AN138" s="6857" t="str">
        <f t="shared" si="77"/>
        <v/>
      </c>
      <c r="AO138" s="392">
        <f t="shared" si="61"/>
        <v>0</v>
      </c>
      <c r="AP138" s="392">
        <f t="shared" si="62"/>
        <v>0</v>
      </c>
      <c r="AQ138" s="6190">
        <f t="shared" si="63"/>
        <v>0</v>
      </c>
      <c r="AR138" s="6858" t="str">
        <f t="shared" si="64"/>
        <v/>
      </c>
      <c r="AS138" s="6217"/>
      <c r="AT138" s="6217"/>
      <c r="AU138" s="6271">
        <f t="shared" si="65"/>
        <v>0</v>
      </c>
      <c r="AV138" s="6242">
        <f t="shared" si="66"/>
        <v>0</v>
      </c>
      <c r="AW138" s="6188" cm="1">
        <f t="array" ref="AW138">IF(AK138&lt;&gt;1,0,IF(OR(AU138="",N(AU138)&lt;=0.000000001),"",IF(OR(AO138="",N(AO138)&lt;=0.000000001),0,IF(ISNUMBER(AU138),IFERROR(_xlfn.LET(_xlpm.ai_test,TRIM(AJ138),_xlpm.r,IFERROR(_xlfn.XLOOKUP(_xlpm.ai_test,$BJ$15:$BJ$62,ROW($BJ$15:$BJ$62),0,1),IFERROR(_xlfn.XLOOKUP(_xlpm.ai_test,$BK$15:$BK$62,ROW($BK$15:$BK$62),0,1),_xlfn.XLOOKUP(_xlpm.ai_test,$BL$15:$BL$62,ROW($BL$15:$BL$62),0,1))),_xlpm.p,_xlpm.r-MIN(ROW($BJ$15:$BJ$62))+1,_xlpm.f,INDEX($BM$15:$BM$62,_xlpm.p),_xlpm.u,INDEX($BN$15:$BN$62,_xlpm.p),_xlpm.s,INDEX($BP$15:$BP$62,_xlpm.p),_xlpm.q,N(AU138)/_xlpm.f,IF(_xlpm.q&gt;=_xlpm.s,ROUND(_xlpm.q,1)&amp;" "&amp;_xlpm.ai_test&amp;" = "&amp;ROUND(_xlpm.q*_xlpm.f,1)&amp;" "&amp;_xlpm.u,ROUND(_xlpm.q,1)&amp;" "&amp;_xlpm.ai_test)),""),""))))</f>
        <v>0</v>
      </c>
      <c r="AX138" s="6218"/>
      <c r="AY138" s="6271">
        <f t="shared" si="67"/>
        <v>0</v>
      </c>
      <c r="AZ138" s="6242" t="str">
        <f t="shared" si="68"/>
        <v/>
      </c>
      <c r="BA138" s="6194">
        <f t="shared" si="73"/>
        <v>0</v>
      </c>
      <c r="BB138" s="6192" t="str">
        <f t="shared" si="69"/>
        <v/>
      </c>
      <c r="BC138" s="6219"/>
      <c r="BD138" s="6221">
        <f t="shared" si="75"/>
        <v>0</v>
      </c>
      <c r="BE138" s="6220" t="str">
        <f t="shared" si="70"/>
        <v/>
      </c>
      <c r="BF138" s="4" t="s">
        <v>1</v>
      </c>
      <c r="BG138" s="6196">
        <f t="shared" si="71"/>
        <v>0</v>
      </c>
      <c r="BH138" s="6197">
        <f t="shared" si="72"/>
        <v>0</v>
      </c>
      <c r="BI138"/>
      <c r="BR138"/>
      <c r="BS138"/>
      <c r="BT138"/>
      <c r="BU138"/>
      <c r="BV138"/>
      <c r="BW138"/>
      <c r="BX138" s="20" t="str">
        <f t="shared" si="81"/>
        <v>►</v>
      </c>
      <c r="CD138" s="5661"/>
      <c r="DC138" s="5">
        <v>1</v>
      </c>
    </row>
    <row r="139" spans="1:107" s="1" customFormat="1" ht="21" customHeight="1">
      <c r="A139" s="5641" t="s">
        <v>1</v>
      </c>
      <c r="B139" s="5662" t="str">
        <f t="shared" si="80"/>
        <v>A</v>
      </c>
      <c r="C139" s="5825" cm="1">
        <f t="array" ref="C139">SUMPRODUCT(LEN(D139:J139))</f>
        <v>0</v>
      </c>
      <c r="D139" s="5275"/>
      <c r="E139" s="1361"/>
      <c r="F139" s="1361"/>
      <c r="G139" s="1361"/>
      <c r="H139" s="1361"/>
      <c r="I139" s="1361"/>
      <c r="J139" s="5276"/>
      <c r="K139" s="106" t="s">
        <v>1</v>
      </c>
      <c r="L139" s="5269" t="s">
        <v>21</v>
      </c>
      <c r="M139" s="1313" t="str">
        <f>M116</f>
        <v>N NOMBRE DE SU RECETA | pegue esto — FAMILIA| Autor &gt; USTED</v>
      </c>
      <c r="N139" s="1313">
        <f>N116</f>
        <v>5.53</v>
      </c>
      <c r="O139" s="5377" t="str">
        <f>O116</f>
        <v>kg</v>
      </c>
      <c r="P139" s="5387" t="str">
        <f>P116</f>
        <v>Receta madre ► Ballotina de pintada</v>
      </c>
      <c r="Q139" s="6293" t="str">
        <f t="shared" ref="Q139:V139" si="82">Q117</f>
        <v>Col.6</v>
      </c>
      <c r="R139" s="6293" t="str">
        <f t="shared" si="82"/>
        <v>Col.7</v>
      </c>
      <c r="S139" s="6293" t="str">
        <f t="shared" si="82"/>
        <v>Col.8</v>
      </c>
      <c r="T139" s="6293" t="str">
        <f t="shared" si="82"/>
        <v>Col.9</v>
      </c>
      <c r="U139" s="6293" t="str">
        <f t="shared" si="82"/>
        <v>Col.10</v>
      </c>
      <c r="V139" s="6293" t="str">
        <f t="shared" si="82"/>
        <v>Col.11</v>
      </c>
      <c r="W139" s="6297" t="s">
        <v>9700</v>
      </c>
      <c r="X139" s="6867"/>
      <c r="Y139" s="6292"/>
      <c r="Z139" s="6292"/>
      <c r="AA139" s="6279"/>
      <c r="AB139" s="6279"/>
      <c r="AC139" s="6721" t="s">
        <v>8436</v>
      </c>
      <c r="AD139" s="6278" t="s">
        <v>1155</v>
      </c>
      <c r="AE139" s="4" t="s">
        <v>1</v>
      </c>
      <c r="AF139" s="6202" t="str">
        <f t="shared" si="54"/>
        <v>►</v>
      </c>
      <c r="AG139" s="6234" t="str">
        <f t="shared" si="55"/>
        <v/>
      </c>
      <c r="AH139" s="6732" t="str">
        <f t="shared" si="56"/>
        <v/>
      </c>
      <c r="AI139" s="6234" t="str">
        <f t="shared" si="57"/>
        <v/>
      </c>
      <c r="AJ139" s="6732" t="str">
        <f t="shared" si="58"/>
        <v/>
      </c>
      <c r="AK139" s="6732">
        <f t="shared" si="59"/>
        <v>0</v>
      </c>
      <c r="AL139" s="6230" t="str" cm="1">
        <f t="array" ref="AL139">IF(AF139&lt;&gt;"A","",IFERROR((IFERROR(_xlfn.XLOOKUP(TRIM(SUBSTITUTE(U139,CHAR(160)," ")),$BJ$15:$BJ$62,$BM$15:$BM$62),IFERROR(_xlfn.XLOOKUP(TRIM(SUBSTITUTE(U139,CHAR(160)," ")),$BK$15:$BK$62,$BM$15:$BM$62),_xlfn.XLOOKUP(TRIM(SUBSTITUTE(U139,CHAR(160)," ")),$BL$15:$BL$62,$BM$15:$BM$62))))*T139*IF(ISBLANK(Q139),1,Q139)+IFERROR(_xlfn.XLOOKUP("RECHERCHEX",TRIM(L139:AD139),L139:AD139),0),0))</f>
        <v/>
      </c>
      <c r="AM139" s="6229">
        <f t="shared" si="60"/>
        <v>0</v>
      </c>
      <c r="AN139" s="6857" t="str">
        <f t="shared" si="77"/>
        <v/>
      </c>
      <c r="AO139" s="392">
        <f t="shared" si="61"/>
        <v>0</v>
      </c>
      <c r="AP139" s="392">
        <f t="shared" si="62"/>
        <v>0</v>
      </c>
      <c r="AQ139" s="6191">
        <f t="shared" si="63"/>
        <v>0</v>
      </c>
      <c r="AR139" s="6859" t="str">
        <f t="shared" si="64"/>
        <v/>
      </c>
      <c r="AS139" s="6217"/>
      <c r="AT139" s="6217"/>
      <c r="AU139" s="6272">
        <f t="shared" si="65"/>
        <v>0</v>
      </c>
      <c r="AV139" s="6240">
        <f t="shared" si="66"/>
        <v>0</v>
      </c>
      <c r="AW139" s="6189" cm="1">
        <f t="array" ref="AW139">IF(AK139&lt;&gt;1,0,IF(OR(AU139="",N(AU139)&lt;=0.000000001),"",IF(OR(AO139="",N(AO139)&lt;=0.000000001),0,IF(ISNUMBER(AU139),IFERROR(_xlfn.LET(_xlpm.ai_test,TRIM(AJ139),_xlpm.r,IFERROR(_xlfn.XLOOKUP(_xlpm.ai_test,$BJ$15:$BJ$62,ROW($BJ$15:$BJ$62),0,1),IFERROR(_xlfn.XLOOKUP(_xlpm.ai_test,$BK$15:$BK$62,ROW($BK$15:$BK$62),0,1),_xlfn.XLOOKUP(_xlpm.ai_test,$BL$15:$BL$62,ROW($BL$15:$BL$62),0,1))),_xlpm.p,_xlpm.r-MIN(ROW($BJ$15:$BJ$62))+1,_xlpm.f,INDEX($BM$15:$BM$62,_xlpm.p),_xlpm.u,INDEX($BN$15:$BN$62,_xlpm.p),_xlpm.s,INDEX($BP$15:$BP$62,_xlpm.p),_xlpm.q,N(AU139)/_xlpm.f,IF(_xlpm.q&gt;=_xlpm.s,ROUND(_xlpm.q,1)&amp;" "&amp;_xlpm.ai_test&amp;" = "&amp;ROUND(_xlpm.q*_xlpm.f,1)&amp;" "&amp;_xlpm.u,ROUND(_xlpm.q,1)&amp;" "&amp;_xlpm.ai_test)),""),""))))</f>
        <v>0</v>
      </c>
      <c r="AX139" s="6218"/>
      <c r="AY139" s="6272">
        <f t="shared" si="67"/>
        <v>0</v>
      </c>
      <c r="AZ139" s="6240" t="str">
        <f t="shared" si="68"/>
        <v/>
      </c>
      <c r="BA139" s="6195">
        <f t="shared" si="73"/>
        <v>0</v>
      </c>
      <c r="BB139" s="6193" t="str">
        <f t="shared" si="69"/>
        <v/>
      </c>
      <c r="BC139" s="6219"/>
      <c r="BD139" s="6222">
        <f t="shared" si="75"/>
        <v>0</v>
      </c>
      <c r="BE139" s="6220" t="str">
        <f t="shared" si="70"/>
        <v/>
      </c>
      <c r="BF139" s="4" t="s">
        <v>1</v>
      </c>
      <c r="BG139" s="6196">
        <f t="shared" si="71"/>
        <v>0</v>
      </c>
      <c r="BH139" s="6197">
        <f t="shared" si="72"/>
        <v>0</v>
      </c>
      <c r="BI139"/>
      <c r="BR139"/>
      <c r="BS139"/>
      <c r="BT139"/>
      <c r="BU139"/>
      <c r="BV139"/>
      <c r="BW139"/>
      <c r="BX139" s="20" t="str">
        <f t="shared" si="81"/>
        <v>►</v>
      </c>
      <c r="CD139" s="2"/>
      <c r="DC139" s="5">
        <v>1</v>
      </c>
    </row>
    <row r="140" spans="1:107" s="1" customFormat="1" ht="21" customHeight="1">
      <c r="A140" s="5641" t="s">
        <v>1</v>
      </c>
      <c r="B140" s="5662" t="str">
        <f t="shared" si="80"/>
        <v>A</v>
      </c>
      <c r="C140" s="5825" cm="1">
        <f t="array" ref="C140">SUMPRODUCT(LEN(D140:J140))</f>
        <v>0</v>
      </c>
      <c r="D140" s="5275"/>
      <c r="E140" s="1361"/>
      <c r="F140" s="1361"/>
      <c r="G140" s="1361"/>
      <c r="H140" s="1361"/>
      <c r="I140" s="1361"/>
      <c r="J140" s="5276"/>
      <c r="K140" s="106" t="s">
        <v>1</v>
      </c>
      <c r="L140" s="5270" t="s">
        <v>21</v>
      </c>
      <c r="M140" s="196" t="str">
        <f>M116</f>
        <v>N NOMBRE DE SU RECETA | pegue esto — FAMILIA| Autor &gt; USTED</v>
      </c>
      <c r="N140" s="196">
        <f>N116</f>
        <v>5.53</v>
      </c>
      <c r="O140" s="197" t="str">
        <f>O116</f>
        <v>kg</v>
      </c>
      <c r="P140" s="5388" t="str">
        <f>P116</f>
        <v>Receta madre ► Ballotina de pintada</v>
      </c>
      <c r="Q140" s="5815" t="s">
        <v>252</v>
      </c>
      <c r="R140" s="5271" t="s">
        <v>8422</v>
      </c>
      <c r="S140" s="1321"/>
      <c r="T140" s="1321"/>
      <c r="U140" s="1321"/>
      <c r="V140" s="1321"/>
      <c r="W140" s="1321"/>
      <c r="X140" s="1321"/>
      <c r="Y140" s="1321"/>
      <c r="Z140" s="1322"/>
      <c r="AA140" s="5411"/>
      <c r="AB140" s="1266"/>
      <c r="AC140" s="1270" t="s">
        <v>8437</v>
      </c>
      <c r="AD140" s="5272" t="s">
        <v>1155</v>
      </c>
      <c r="AE140" s="4" t="s">
        <v>1</v>
      </c>
      <c r="AF140" s="6202" t="str">
        <f t="shared" si="54"/>
        <v>►</v>
      </c>
      <c r="AG140" s="6234" t="str">
        <f t="shared" si="55"/>
        <v/>
      </c>
      <c r="AH140" s="6732" t="str">
        <f t="shared" si="56"/>
        <v/>
      </c>
      <c r="AI140" s="6234" t="str">
        <f t="shared" si="57"/>
        <v/>
      </c>
      <c r="AJ140" s="6732" t="str">
        <f t="shared" si="58"/>
        <v/>
      </c>
      <c r="AK140" s="6732">
        <f t="shared" si="59"/>
        <v>0</v>
      </c>
      <c r="AL140" s="6230" t="str" cm="1">
        <f t="array" ref="AL140">IF(AF140&lt;&gt;"A","",IFERROR((IFERROR(_xlfn.XLOOKUP(TRIM(SUBSTITUTE(U140,CHAR(160)," ")),$BJ$15:$BJ$62,$BM$15:$BM$62),IFERROR(_xlfn.XLOOKUP(TRIM(SUBSTITUTE(U140,CHAR(160)," ")),$BK$15:$BK$62,$BM$15:$BM$62),_xlfn.XLOOKUP(TRIM(SUBSTITUTE(U140,CHAR(160)," ")),$BL$15:$BL$62,$BM$15:$BM$62))))*T140*IF(ISBLANK(Q140),1,Q140)+IFERROR(_xlfn.XLOOKUP("RECHERCHEX",TRIM(L140:AD140),L140:AD140),0),0))</f>
        <v/>
      </c>
      <c r="AM140" s="6229">
        <f t="shared" si="60"/>
        <v>0</v>
      </c>
      <c r="AN140" s="6857" t="str">
        <f t="shared" si="77"/>
        <v/>
      </c>
      <c r="AO140" s="392">
        <f t="shared" si="61"/>
        <v>0</v>
      </c>
      <c r="AP140" s="392">
        <f t="shared" si="62"/>
        <v>0</v>
      </c>
      <c r="AQ140" s="6190">
        <f t="shared" si="63"/>
        <v>0</v>
      </c>
      <c r="AR140" s="6858" t="str">
        <f t="shared" si="64"/>
        <v/>
      </c>
      <c r="AS140" s="6217"/>
      <c r="AT140" s="6217"/>
      <c r="AU140" s="6271">
        <f t="shared" si="65"/>
        <v>0</v>
      </c>
      <c r="AV140" s="6242">
        <f t="shared" si="66"/>
        <v>0</v>
      </c>
      <c r="AW140" s="6188" cm="1">
        <f t="array" ref="AW140">IF(AK140&lt;&gt;1,0,IF(OR(AU140="",N(AU140)&lt;=0.000000001),"",IF(OR(AO140="",N(AO140)&lt;=0.000000001),0,IF(ISNUMBER(AU140),IFERROR(_xlfn.LET(_xlpm.ai_test,TRIM(AJ140),_xlpm.r,IFERROR(_xlfn.XLOOKUP(_xlpm.ai_test,$BJ$15:$BJ$62,ROW($BJ$15:$BJ$62),0,1),IFERROR(_xlfn.XLOOKUP(_xlpm.ai_test,$BK$15:$BK$62,ROW($BK$15:$BK$62),0,1),_xlfn.XLOOKUP(_xlpm.ai_test,$BL$15:$BL$62,ROW($BL$15:$BL$62),0,1))),_xlpm.p,_xlpm.r-MIN(ROW($BJ$15:$BJ$62))+1,_xlpm.f,INDEX($BM$15:$BM$62,_xlpm.p),_xlpm.u,INDEX($BN$15:$BN$62,_xlpm.p),_xlpm.s,INDEX($BP$15:$BP$62,_xlpm.p),_xlpm.q,N(AU140)/_xlpm.f,IF(_xlpm.q&gt;=_xlpm.s,ROUND(_xlpm.q,1)&amp;" "&amp;_xlpm.ai_test&amp;" = "&amp;ROUND(_xlpm.q*_xlpm.f,1)&amp;" "&amp;_xlpm.u,ROUND(_xlpm.q,1)&amp;" "&amp;_xlpm.ai_test)),""),""))))</f>
        <v>0</v>
      </c>
      <c r="AX140" s="6218"/>
      <c r="AY140" s="6271">
        <f t="shared" si="67"/>
        <v>0</v>
      </c>
      <c r="AZ140" s="6242" t="str">
        <f t="shared" si="68"/>
        <v/>
      </c>
      <c r="BA140" s="6194">
        <f t="shared" si="73"/>
        <v>0</v>
      </c>
      <c r="BB140" s="6192" t="str">
        <f t="shared" si="69"/>
        <v/>
      </c>
      <c r="BC140" s="6219"/>
      <c r="BD140" s="6221">
        <f t="shared" si="75"/>
        <v>0</v>
      </c>
      <c r="BE140" s="6220" t="str">
        <f t="shared" si="70"/>
        <v/>
      </c>
      <c r="BF140" s="4" t="s">
        <v>1</v>
      </c>
      <c r="BG140" s="6196">
        <f t="shared" si="71"/>
        <v>0</v>
      </c>
      <c r="BH140" s="6197">
        <f t="shared" si="72"/>
        <v>0</v>
      </c>
      <c r="BI140"/>
      <c r="BR140"/>
      <c r="BS140"/>
      <c r="BT140"/>
      <c r="BU140"/>
      <c r="BV140"/>
      <c r="BW140"/>
      <c r="BX140" s="20" t="str">
        <f t="shared" si="81"/>
        <v>►</v>
      </c>
      <c r="CD140" s="2"/>
      <c r="DC140" s="5">
        <v>1</v>
      </c>
    </row>
    <row r="141" spans="1:107" s="1" customFormat="1" ht="21" customHeight="1">
      <c r="A141" s="5641" t="s">
        <v>1</v>
      </c>
      <c r="B141" s="5662" t="str">
        <f t="shared" si="80"/>
        <v>►</v>
      </c>
      <c r="C141" s="5825" cm="1">
        <f t="array" ref="C141">SUMPRODUCT(LEN(D141:J141))</f>
        <v>0</v>
      </c>
      <c r="D141" s="5275"/>
      <c r="E141" s="1361"/>
      <c r="F141" s="1361"/>
      <c r="G141" s="1361"/>
      <c r="H141" s="1361"/>
      <c r="I141" s="1361"/>
      <c r="J141" s="5276"/>
      <c r="K141" s="106"/>
      <c r="L141" s="1021" t="str">
        <f t="shared" ref="L141:L151" si="83">IF(OR(Q141&lt;&gt;"",R141&lt;&gt; "",S141&lt;&gt;"",T141&lt;&gt;""),"A", "►")</f>
        <v>►</v>
      </c>
      <c r="M141" s="196" t="str">
        <f>M116</f>
        <v>N NOMBRE DE SU RECETA | pegue esto — FAMILIA| Autor &gt; USTED</v>
      </c>
      <c r="N141" s="196">
        <f>N116</f>
        <v>5.53</v>
      </c>
      <c r="O141" s="197" t="str">
        <f>O116</f>
        <v>kg</v>
      </c>
      <c r="P141" s="5388" t="str">
        <f>P116</f>
        <v>Receta madre ► Ballotina de pintada</v>
      </c>
      <c r="Q141" s="5275"/>
      <c r="R141" s="1320"/>
      <c r="S141" s="1320"/>
      <c r="T141" s="1320"/>
      <c r="U141" s="1320"/>
      <c r="V141" s="1320"/>
      <c r="W141" s="1320"/>
      <c r="X141" s="1320"/>
      <c r="Y141" s="1320"/>
      <c r="Z141" s="1324"/>
      <c r="AA141" s="141"/>
      <c r="AB141" s="141"/>
      <c r="AC141" s="5273" t="s">
        <v>8431</v>
      </c>
      <c r="AD141" s="5274">
        <v>3.472222222222222E-3</v>
      </c>
      <c r="AE141" s="4" t="s">
        <v>1</v>
      </c>
      <c r="AF141" s="6202" t="str">
        <f t="shared" si="54"/>
        <v>►</v>
      </c>
      <c r="AG141" s="6234" t="str">
        <f t="shared" si="55"/>
        <v/>
      </c>
      <c r="AH141" s="6732" t="str">
        <f t="shared" si="56"/>
        <v/>
      </c>
      <c r="AI141" s="6234" t="str">
        <f t="shared" si="57"/>
        <v/>
      </c>
      <c r="AJ141" s="6732" t="str">
        <f t="shared" si="58"/>
        <v/>
      </c>
      <c r="AK141" s="6732">
        <f t="shared" si="59"/>
        <v>0</v>
      </c>
      <c r="AL141" s="6230" t="str" cm="1">
        <f t="array" ref="AL141">IF(AF141&lt;&gt;"A","",IFERROR((IFERROR(_xlfn.XLOOKUP(TRIM(SUBSTITUTE(U141,CHAR(160)," ")),$BJ$15:$BJ$62,$BM$15:$BM$62),IFERROR(_xlfn.XLOOKUP(TRIM(SUBSTITUTE(U141,CHAR(160)," ")),$BK$15:$BK$62,$BM$15:$BM$62),_xlfn.XLOOKUP(TRIM(SUBSTITUTE(U141,CHAR(160)," ")),$BL$15:$BL$62,$BM$15:$BM$62))))*T141*IF(ISBLANK(Q141),1,Q141)+IFERROR(_xlfn.XLOOKUP("RECHERCHEX",TRIM(L141:AD141),L141:AD141),0),0))</f>
        <v/>
      </c>
      <c r="AM141" s="6229">
        <f t="shared" si="60"/>
        <v>0</v>
      </c>
      <c r="AN141" s="6857" t="str">
        <f t="shared" si="77"/>
        <v/>
      </c>
      <c r="AO141" s="392">
        <f t="shared" si="61"/>
        <v>0</v>
      </c>
      <c r="AP141" s="392">
        <f t="shared" si="62"/>
        <v>0</v>
      </c>
      <c r="AQ141" s="6191">
        <f t="shared" si="63"/>
        <v>0</v>
      </c>
      <c r="AR141" s="6859" t="str">
        <f t="shared" si="64"/>
        <v/>
      </c>
      <c r="AS141" s="6217"/>
      <c r="AT141" s="6217"/>
      <c r="AU141" s="6272">
        <f t="shared" si="65"/>
        <v>0</v>
      </c>
      <c r="AV141" s="6240">
        <f t="shared" si="66"/>
        <v>0</v>
      </c>
      <c r="AW141" s="6189" cm="1">
        <f t="array" ref="AW141">IF(AK141&lt;&gt;1,0,IF(OR(AU141="",N(AU141)&lt;=0.000000001),"",IF(OR(AO141="",N(AO141)&lt;=0.000000001),0,IF(ISNUMBER(AU141),IFERROR(_xlfn.LET(_xlpm.ai_test,TRIM(AJ141),_xlpm.r,IFERROR(_xlfn.XLOOKUP(_xlpm.ai_test,$BJ$15:$BJ$62,ROW($BJ$15:$BJ$62),0,1),IFERROR(_xlfn.XLOOKUP(_xlpm.ai_test,$BK$15:$BK$62,ROW($BK$15:$BK$62),0,1),_xlfn.XLOOKUP(_xlpm.ai_test,$BL$15:$BL$62,ROW($BL$15:$BL$62),0,1))),_xlpm.p,_xlpm.r-MIN(ROW($BJ$15:$BJ$62))+1,_xlpm.f,INDEX($BM$15:$BM$62,_xlpm.p),_xlpm.u,INDEX($BN$15:$BN$62,_xlpm.p),_xlpm.s,INDEX($BP$15:$BP$62,_xlpm.p),_xlpm.q,N(AU141)/_xlpm.f,IF(_xlpm.q&gt;=_xlpm.s,ROUND(_xlpm.q,1)&amp;" "&amp;_xlpm.ai_test&amp;" = "&amp;ROUND(_xlpm.q*_xlpm.f,1)&amp;" "&amp;_xlpm.u,ROUND(_xlpm.q,1)&amp;" "&amp;_xlpm.ai_test)),""),""))))</f>
        <v>0</v>
      </c>
      <c r="AX141" s="6218"/>
      <c r="AY141" s="6272">
        <f t="shared" si="67"/>
        <v>0</v>
      </c>
      <c r="AZ141" s="6240" t="str">
        <f t="shared" si="68"/>
        <v/>
      </c>
      <c r="BA141" s="6195">
        <f t="shared" si="73"/>
        <v>0</v>
      </c>
      <c r="BB141" s="6193" t="str">
        <f t="shared" si="69"/>
        <v/>
      </c>
      <c r="BC141" s="6219"/>
      <c r="BD141" s="6222">
        <f t="shared" si="75"/>
        <v>0</v>
      </c>
      <c r="BE141" s="6220" t="str">
        <f t="shared" si="70"/>
        <v/>
      </c>
      <c r="BF141" s="4" t="s">
        <v>1</v>
      </c>
      <c r="BG141" s="6196">
        <f t="shared" si="71"/>
        <v>0</v>
      </c>
      <c r="BH141" s="6197">
        <f t="shared" si="72"/>
        <v>0</v>
      </c>
      <c r="BI141"/>
      <c r="BR141"/>
      <c r="BS141"/>
      <c r="BT141"/>
      <c r="BU141"/>
      <c r="BV141"/>
      <c r="BW141"/>
      <c r="BX141" s="20" t="str">
        <f t="shared" si="81"/>
        <v>►</v>
      </c>
      <c r="CD141" s="2"/>
      <c r="DC141" s="5">
        <v>1</v>
      </c>
    </row>
    <row r="142" spans="1:107" s="1" customFormat="1" ht="21" customHeight="1">
      <c r="A142" s="5641" t="s">
        <v>1</v>
      </c>
      <c r="B142" s="5662" t="str">
        <f t="shared" si="80"/>
        <v>►</v>
      </c>
      <c r="C142" s="5825" cm="1">
        <f t="array" ref="C142">SUMPRODUCT(LEN(D142:J142))</f>
        <v>0</v>
      </c>
      <c r="D142" s="5275"/>
      <c r="E142" s="1361"/>
      <c r="F142" s="1361"/>
      <c r="G142" s="1361"/>
      <c r="H142" s="1361"/>
      <c r="I142" s="1361"/>
      <c r="J142" s="5276"/>
      <c r="K142" s="106"/>
      <c r="L142" s="1021" t="str">
        <f t="shared" si="83"/>
        <v>►</v>
      </c>
      <c r="M142" s="196" t="str">
        <f>M116</f>
        <v>N NOMBRE DE SU RECETA | pegue esto — FAMILIA| Autor &gt; USTED</v>
      </c>
      <c r="N142" s="196">
        <f>N116</f>
        <v>5.53</v>
      </c>
      <c r="O142" s="197" t="str">
        <f>O116</f>
        <v>kg</v>
      </c>
      <c r="P142" s="5388" t="str">
        <f>P116</f>
        <v>Receta madre ► Ballotina de pintada</v>
      </c>
      <c r="Q142" s="5275"/>
      <c r="R142" s="1361"/>
      <c r="S142" s="1361"/>
      <c r="T142" s="1361"/>
      <c r="U142" s="1361"/>
      <c r="V142" s="1361"/>
      <c r="W142" s="1361"/>
      <c r="X142" s="1361"/>
      <c r="Y142" s="1361"/>
      <c r="Z142" s="5276"/>
      <c r="AA142" s="141"/>
      <c r="AB142" s="141"/>
      <c r="AC142" s="5273" t="s">
        <v>8432</v>
      </c>
      <c r="AD142" s="5277">
        <v>1.0416666666666666E-2</v>
      </c>
      <c r="AE142" s="4" t="s">
        <v>1</v>
      </c>
      <c r="AF142" s="6202" t="str">
        <f t="shared" si="54"/>
        <v>►</v>
      </c>
      <c r="AG142" s="6234" t="str">
        <f t="shared" si="55"/>
        <v/>
      </c>
      <c r="AH142" s="6732" t="str">
        <f t="shared" si="56"/>
        <v/>
      </c>
      <c r="AI142" s="6234" t="str">
        <f t="shared" si="57"/>
        <v/>
      </c>
      <c r="AJ142" s="6732" t="str">
        <f t="shared" si="58"/>
        <v/>
      </c>
      <c r="AK142" s="6732">
        <f t="shared" si="59"/>
        <v>0</v>
      </c>
      <c r="AL142" s="6230" t="str" cm="1">
        <f t="array" ref="AL142">IF(AF142&lt;&gt;"A","",IFERROR((IFERROR(_xlfn.XLOOKUP(TRIM(SUBSTITUTE(U142,CHAR(160)," ")),$BJ$15:$BJ$62,$BM$15:$BM$62),IFERROR(_xlfn.XLOOKUP(TRIM(SUBSTITUTE(U142,CHAR(160)," ")),$BK$15:$BK$62,$BM$15:$BM$62),_xlfn.XLOOKUP(TRIM(SUBSTITUTE(U142,CHAR(160)," ")),$BL$15:$BL$62,$BM$15:$BM$62))))*T142*IF(ISBLANK(Q142),1,Q142)+IFERROR(_xlfn.XLOOKUP("RECHERCHEX",TRIM(L142:AD142),L142:AD142),0),0))</f>
        <v/>
      </c>
      <c r="AM142" s="6229">
        <f t="shared" si="60"/>
        <v>0</v>
      </c>
      <c r="AN142" s="6857" t="str">
        <f t="shared" si="77"/>
        <v/>
      </c>
      <c r="AO142" s="392">
        <f t="shared" si="61"/>
        <v>0</v>
      </c>
      <c r="AP142" s="392">
        <f t="shared" si="62"/>
        <v>0</v>
      </c>
      <c r="AQ142" s="6190">
        <f t="shared" si="63"/>
        <v>0</v>
      </c>
      <c r="AR142" s="6858" t="str">
        <f t="shared" si="64"/>
        <v/>
      </c>
      <c r="AS142" s="6217"/>
      <c r="AT142" s="6217"/>
      <c r="AU142" s="6271">
        <f t="shared" si="65"/>
        <v>0</v>
      </c>
      <c r="AV142" s="6242">
        <f t="shared" si="66"/>
        <v>0</v>
      </c>
      <c r="AW142" s="6188" cm="1">
        <f t="array" ref="AW142">IF(AK142&lt;&gt;1,0,IF(OR(AU142="",N(AU142)&lt;=0.000000001),"",IF(OR(AO142="",N(AO142)&lt;=0.000000001),0,IF(ISNUMBER(AU142),IFERROR(_xlfn.LET(_xlpm.ai_test,TRIM(AJ142),_xlpm.r,IFERROR(_xlfn.XLOOKUP(_xlpm.ai_test,$BJ$15:$BJ$62,ROW($BJ$15:$BJ$62),0,1),IFERROR(_xlfn.XLOOKUP(_xlpm.ai_test,$BK$15:$BK$62,ROW($BK$15:$BK$62),0,1),_xlfn.XLOOKUP(_xlpm.ai_test,$BL$15:$BL$62,ROW($BL$15:$BL$62),0,1))),_xlpm.p,_xlpm.r-MIN(ROW($BJ$15:$BJ$62))+1,_xlpm.f,INDEX($BM$15:$BM$62,_xlpm.p),_xlpm.u,INDEX($BN$15:$BN$62,_xlpm.p),_xlpm.s,INDEX($BP$15:$BP$62,_xlpm.p),_xlpm.q,N(AU142)/_xlpm.f,IF(_xlpm.q&gt;=_xlpm.s,ROUND(_xlpm.q,1)&amp;" "&amp;_xlpm.ai_test&amp;" = "&amp;ROUND(_xlpm.q*_xlpm.f,1)&amp;" "&amp;_xlpm.u,ROUND(_xlpm.q,1)&amp;" "&amp;_xlpm.ai_test)),""),""))))</f>
        <v>0</v>
      </c>
      <c r="AX142" s="6218"/>
      <c r="AY142" s="6271">
        <f t="shared" si="67"/>
        <v>0</v>
      </c>
      <c r="AZ142" s="6242" t="str">
        <f t="shared" si="68"/>
        <v/>
      </c>
      <c r="BA142" s="6194">
        <f t="shared" si="73"/>
        <v>0</v>
      </c>
      <c r="BB142" s="6192" t="str">
        <f t="shared" si="69"/>
        <v/>
      </c>
      <c r="BC142" s="6219"/>
      <c r="BD142" s="6221">
        <f t="shared" si="75"/>
        <v>0</v>
      </c>
      <c r="BE142" s="6220" t="str">
        <f t="shared" si="70"/>
        <v/>
      </c>
      <c r="BF142" s="4" t="s">
        <v>1</v>
      </c>
      <c r="BG142" s="6196">
        <f t="shared" si="71"/>
        <v>0</v>
      </c>
      <c r="BH142" s="6197">
        <f t="shared" si="72"/>
        <v>0</v>
      </c>
      <c r="BI142"/>
      <c r="BR142"/>
      <c r="BS142"/>
      <c r="BT142"/>
      <c r="BU142"/>
      <c r="BV142"/>
      <c r="BW142"/>
      <c r="BX142" s="20" t="str">
        <f t="shared" si="81"/>
        <v>►</v>
      </c>
      <c r="CD142" s="2"/>
      <c r="DC142" s="5">
        <v>1</v>
      </c>
    </row>
    <row r="143" spans="1:107" s="1" customFormat="1" ht="21" customHeight="1">
      <c r="A143" s="5641" t="s">
        <v>1</v>
      </c>
      <c r="B143" s="5662" t="str">
        <f t="shared" si="80"/>
        <v>►</v>
      </c>
      <c r="C143" s="5825" cm="1">
        <f t="array" ref="C143">SUMPRODUCT(LEN(D143:J143))</f>
        <v>0</v>
      </c>
      <c r="D143" s="5275"/>
      <c r="E143" s="1361"/>
      <c r="F143" s="1361"/>
      <c r="G143" s="1361"/>
      <c r="H143" s="1361"/>
      <c r="I143" s="1361"/>
      <c r="J143" s="5276"/>
      <c r="K143" s="106"/>
      <c r="L143" s="1021" t="str">
        <f t="shared" si="83"/>
        <v>►</v>
      </c>
      <c r="M143" s="196" t="str">
        <f>M116</f>
        <v>N NOMBRE DE SU RECETA | pegue esto — FAMILIA| Autor &gt; USTED</v>
      </c>
      <c r="N143" s="196">
        <f>N116</f>
        <v>5.53</v>
      </c>
      <c r="O143" s="197" t="str">
        <f>O116</f>
        <v>kg</v>
      </c>
      <c r="P143" s="5388" t="str">
        <f>P116</f>
        <v>Receta madre ► Ballotina de pintada</v>
      </c>
      <c r="Q143" s="5275"/>
      <c r="R143" s="1361"/>
      <c r="S143" s="1361"/>
      <c r="T143" s="1361"/>
      <c r="U143" s="1361"/>
      <c r="V143" s="1361"/>
      <c r="W143" s="1361"/>
      <c r="X143" s="1361"/>
      <c r="Y143" s="1361"/>
      <c r="Z143" s="5276"/>
      <c r="AA143" s="141"/>
      <c r="AB143" s="141"/>
      <c r="AC143" s="5273" t="s">
        <v>8433</v>
      </c>
      <c r="AD143" s="5278">
        <v>2.0833333333333332E-2</v>
      </c>
      <c r="AE143" s="4" t="s">
        <v>1</v>
      </c>
      <c r="AF143" s="6202" t="str">
        <f t="shared" si="54"/>
        <v>►</v>
      </c>
      <c r="AG143" s="6234" t="str">
        <f t="shared" si="55"/>
        <v/>
      </c>
      <c r="AH143" s="6732" t="str">
        <f t="shared" si="56"/>
        <v/>
      </c>
      <c r="AI143" s="6234" t="str">
        <f t="shared" si="57"/>
        <v/>
      </c>
      <c r="AJ143" s="6732" t="str">
        <f t="shared" si="58"/>
        <v/>
      </c>
      <c r="AK143" s="6732">
        <f t="shared" si="59"/>
        <v>0</v>
      </c>
      <c r="AL143" s="6230" t="str" cm="1">
        <f t="array" ref="AL143">IF(AF143&lt;&gt;"A","",IFERROR((IFERROR(_xlfn.XLOOKUP(TRIM(SUBSTITUTE(U143,CHAR(160)," ")),$BJ$15:$BJ$62,$BM$15:$BM$62),IFERROR(_xlfn.XLOOKUP(TRIM(SUBSTITUTE(U143,CHAR(160)," ")),$BK$15:$BK$62,$BM$15:$BM$62),_xlfn.XLOOKUP(TRIM(SUBSTITUTE(U143,CHAR(160)," ")),$BL$15:$BL$62,$BM$15:$BM$62))))*T143*IF(ISBLANK(Q143),1,Q143)+IFERROR(_xlfn.XLOOKUP("RECHERCHEX",TRIM(L143:AD143),L143:AD143),0),0))</f>
        <v/>
      </c>
      <c r="AM143" s="6229">
        <f t="shared" si="60"/>
        <v>0</v>
      </c>
      <c r="AN143" s="6857" t="str">
        <f t="shared" si="77"/>
        <v/>
      </c>
      <c r="AO143" s="392">
        <f t="shared" si="61"/>
        <v>0</v>
      </c>
      <c r="AP143" s="392">
        <f t="shared" si="62"/>
        <v>0</v>
      </c>
      <c r="AQ143" s="6191">
        <f t="shared" si="63"/>
        <v>0</v>
      </c>
      <c r="AR143" s="6859" t="str">
        <f t="shared" si="64"/>
        <v/>
      </c>
      <c r="AS143" s="6217"/>
      <c r="AT143" s="6217"/>
      <c r="AU143" s="6272">
        <f t="shared" si="65"/>
        <v>0</v>
      </c>
      <c r="AV143" s="6240">
        <f t="shared" si="66"/>
        <v>0</v>
      </c>
      <c r="AW143" s="6189" cm="1">
        <f t="array" ref="AW143">IF(AK143&lt;&gt;1,0,IF(OR(AU143="",N(AU143)&lt;=0.000000001),"",IF(OR(AO143="",N(AO143)&lt;=0.000000001),0,IF(ISNUMBER(AU143),IFERROR(_xlfn.LET(_xlpm.ai_test,TRIM(AJ143),_xlpm.r,IFERROR(_xlfn.XLOOKUP(_xlpm.ai_test,$BJ$15:$BJ$62,ROW($BJ$15:$BJ$62),0,1),IFERROR(_xlfn.XLOOKUP(_xlpm.ai_test,$BK$15:$BK$62,ROW($BK$15:$BK$62),0,1),_xlfn.XLOOKUP(_xlpm.ai_test,$BL$15:$BL$62,ROW($BL$15:$BL$62),0,1))),_xlpm.p,_xlpm.r-MIN(ROW($BJ$15:$BJ$62))+1,_xlpm.f,INDEX($BM$15:$BM$62,_xlpm.p),_xlpm.u,INDEX($BN$15:$BN$62,_xlpm.p),_xlpm.s,INDEX($BP$15:$BP$62,_xlpm.p),_xlpm.q,N(AU143)/_xlpm.f,IF(_xlpm.q&gt;=_xlpm.s,ROUND(_xlpm.q,1)&amp;" "&amp;_xlpm.ai_test&amp;" = "&amp;ROUND(_xlpm.q*_xlpm.f,1)&amp;" "&amp;_xlpm.u,ROUND(_xlpm.q,1)&amp;" "&amp;_xlpm.ai_test)),""),""))))</f>
        <v>0</v>
      </c>
      <c r="AX143" s="6218"/>
      <c r="AY143" s="6272">
        <f t="shared" si="67"/>
        <v>0</v>
      </c>
      <c r="AZ143" s="6240" t="str">
        <f t="shared" si="68"/>
        <v/>
      </c>
      <c r="BA143" s="6195">
        <f t="shared" si="73"/>
        <v>0</v>
      </c>
      <c r="BB143" s="6193" t="str">
        <f t="shared" si="69"/>
        <v/>
      </c>
      <c r="BC143" s="6219"/>
      <c r="BD143" s="6222">
        <f t="shared" si="75"/>
        <v>0</v>
      </c>
      <c r="BE143" s="6220" t="str">
        <f t="shared" si="70"/>
        <v/>
      </c>
      <c r="BF143" s="4" t="s">
        <v>1</v>
      </c>
      <c r="BG143" s="6196">
        <f t="shared" si="71"/>
        <v>0</v>
      </c>
      <c r="BH143" s="6197">
        <f t="shared" si="72"/>
        <v>0</v>
      </c>
      <c r="BI143"/>
      <c r="BR143"/>
      <c r="BS143"/>
      <c r="BT143"/>
      <c r="BU143"/>
      <c r="BV143"/>
      <c r="BW143"/>
      <c r="BX143" s="20" t="str">
        <f t="shared" si="81"/>
        <v>►</v>
      </c>
      <c r="CD143" s="2"/>
      <c r="DC143" s="5">
        <v>1</v>
      </c>
    </row>
    <row r="144" spans="1:107" s="1" customFormat="1" ht="21" customHeight="1">
      <c r="A144" s="5641" t="s">
        <v>1</v>
      </c>
      <c r="B144" s="5662" t="str">
        <f t="shared" si="80"/>
        <v>►</v>
      </c>
      <c r="C144" s="5825" cm="1">
        <f t="array" ref="C144">SUMPRODUCT(LEN(D144:J144))</f>
        <v>0</v>
      </c>
      <c r="D144" s="5275"/>
      <c r="E144" s="1361"/>
      <c r="F144" s="1361"/>
      <c r="G144" s="1361"/>
      <c r="H144" s="1361"/>
      <c r="I144" s="1361"/>
      <c r="J144" s="5276"/>
      <c r="K144" s="106"/>
      <c r="L144" s="1021" t="str">
        <f t="shared" si="83"/>
        <v>►</v>
      </c>
      <c r="M144" s="196" t="str">
        <f>M116</f>
        <v>N NOMBRE DE SU RECETA | pegue esto — FAMILIA| Autor &gt; USTED</v>
      </c>
      <c r="N144" s="196">
        <f>N116</f>
        <v>5.53</v>
      </c>
      <c r="O144" s="197" t="str">
        <f>O116</f>
        <v>kg</v>
      </c>
      <c r="P144" s="5388" t="str">
        <f>P116</f>
        <v>Receta madre ► Ballotina de pintada</v>
      </c>
      <c r="Q144" s="5275"/>
      <c r="R144" s="1361"/>
      <c r="S144" s="1361"/>
      <c r="T144" s="1361"/>
      <c r="U144" s="1361"/>
      <c r="V144" s="1361"/>
      <c r="W144" s="1361"/>
      <c r="X144" s="1361"/>
      <c r="Y144" s="1361"/>
      <c r="Z144" s="5276"/>
      <c r="AA144" s="141"/>
      <c r="AB144" s="141"/>
      <c r="AC144" s="5279" t="s">
        <v>37</v>
      </c>
      <c r="AD144" s="5280">
        <f>AD141+AD142+AD143</f>
        <v>3.4722222222222224E-2</v>
      </c>
      <c r="AE144" s="4" t="s">
        <v>1</v>
      </c>
      <c r="AF144" s="6202" t="str">
        <f t="shared" si="54"/>
        <v>►</v>
      </c>
      <c r="AG144" s="6234" t="str">
        <f t="shared" si="55"/>
        <v/>
      </c>
      <c r="AH144" s="6732" t="str">
        <f t="shared" si="56"/>
        <v/>
      </c>
      <c r="AI144" s="6234" t="str">
        <f t="shared" si="57"/>
        <v/>
      </c>
      <c r="AJ144" s="6732" t="str">
        <f t="shared" si="58"/>
        <v/>
      </c>
      <c r="AK144" s="6732">
        <f t="shared" si="59"/>
        <v>0</v>
      </c>
      <c r="AL144" s="6230" t="str" cm="1">
        <f t="array" ref="AL144">IF(AF144&lt;&gt;"A","",IFERROR((IFERROR(_xlfn.XLOOKUP(TRIM(SUBSTITUTE(U144,CHAR(160)," ")),$BJ$15:$BJ$62,$BM$15:$BM$62),IFERROR(_xlfn.XLOOKUP(TRIM(SUBSTITUTE(U144,CHAR(160)," ")),$BK$15:$BK$62,$BM$15:$BM$62),_xlfn.XLOOKUP(TRIM(SUBSTITUTE(U144,CHAR(160)," ")),$BL$15:$BL$62,$BM$15:$BM$62))))*T144*IF(ISBLANK(Q144),1,Q144)+IFERROR(_xlfn.XLOOKUP("RECHERCHEX",TRIM(L144:AD144),L144:AD144),0),0))</f>
        <v/>
      </c>
      <c r="AM144" s="6229">
        <f t="shared" si="60"/>
        <v>0</v>
      </c>
      <c r="AN144" s="6857" t="str">
        <f t="shared" si="77"/>
        <v/>
      </c>
      <c r="AO144" s="392">
        <f t="shared" si="61"/>
        <v>0</v>
      </c>
      <c r="AP144" s="392">
        <f t="shared" si="62"/>
        <v>0</v>
      </c>
      <c r="AQ144" s="6190">
        <f t="shared" si="63"/>
        <v>0</v>
      </c>
      <c r="AR144" s="6858" t="str">
        <f t="shared" si="64"/>
        <v/>
      </c>
      <c r="AS144" s="6217"/>
      <c r="AT144" s="6217"/>
      <c r="AU144" s="6271">
        <f t="shared" si="65"/>
        <v>0</v>
      </c>
      <c r="AV144" s="6242">
        <f t="shared" si="66"/>
        <v>0</v>
      </c>
      <c r="AW144" s="6188" cm="1">
        <f t="array" ref="AW144">IF(AK144&lt;&gt;1,0,IF(OR(AU144="",N(AU144)&lt;=0.000000001),"",IF(OR(AO144="",N(AO144)&lt;=0.000000001),0,IF(ISNUMBER(AU144),IFERROR(_xlfn.LET(_xlpm.ai_test,TRIM(AJ144),_xlpm.r,IFERROR(_xlfn.XLOOKUP(_xlpm.ai_test,$BJ$15:$BJ$62,ROW($BJ$15:$BJ$62),0,1),IFERROR(_xlfn.XLOOKUP(_xlpm.ai_test,$BK$15:$BK$62,ROW($BK$15:$BK$62),0,1),_xlfn.XLOOKUP(_xlpm.ai_test,$BL$15:$BL$62,ROW($BL$15:$BL$62),0,1))),_xlpm.p,_xlpm.r-MIN(ROW($BJ$15:$BJ$62))+1,_xlpm.f,INDEX($BM$15:$BM$62,_xlpm.p),_xlpm.u,INDEX($BN$15:$BN$62,_xlpm.p),_xlpm.s,INDEX($BP$15:$BP$62,_xlpm.p),_xlpm.q,N(AU144)/_xlpm.f,IF(_xlpm.q&gt;=_xlpm.s,ROUND(_xlpm.q,1)&amp;" "&amp;_xlpm.ai_test&amp;" = "&amp;ROUND(_xlpm.q*_xlpm.f,1)&amp;" "&amp;_xlpm.u,ROUND(_xlpm.q,1)&amp;" "&amp;_xlpm.ai_test)),""),""))))</f>
        <v>0</v>
      </c>
      <c r="AX144" s="6218"/>
      <c r="AY144" s="6271">
        <f t="shared" si="67"/>
        <v>0</v>
      </c>
      <c r="AZ144" s="6242" t="str">
        <f t="shared" si="68"/>
        <v/>
      </c>
      <c r="BA144" s="6194">
        <f t="shared" si="73"/>
        <v>0</v>
      </c>
      <c r="BB144" s="6192" t="str">
        <f t="shared" si="69"/>
        <v/>
      </c>
      <c r="BC144" s="6219"/>
      <c r="BD144" s="6221">
        <f t="shared" si="75"/>
        <v>0</v>
      </c>
      <c r="BE144" s="6220" t="str">
        <f t="shared" si="70"/>
        <v/>
      </c>
      <c r="BF144" s="4" t="s">
        <v>1</v>
      </c>
      <c r="BG144" s="6196">
        <f t="shared" si="71"/>
        <v>0</v>
      </c>
      <c r="BH144" s="6197">
        <f t="shared" si="72"/>
        <v>0</v>
      </c>
      <c r="BI144"/>
      <c r="BR144"/>
      <c r="BS144"/>
      <c r="BT144"/>
      <c r="BU144"/>
      <c r="BV144"/>
      <c r="BW144"/>
      <c r="BX144" s="20" t="str">
        <f t="shared" si="81"/>
        <v>►</v>
      </c>
      <c r="CD144" s="2"/>
      <c r="DC144" s="5">
        <v>1</v>
      </c>
    </row>
    <row r="145" spans="1:107" s="1" customFormat="1" ht="21" customHeight="1">
      <c r="A145" s="5641" t="s">
        <v>1</v>
      </c>
      <c r="B145" s="5662" t="str">
        <f t="shared" si="80"/>
        <v>►</v>
      </c>
      <c r="C145" s="5825" cm="1">
        <f t="array" ref="C145">SUMPRODUCT(LEN(D145:J145))</f>
        <v>0</v>
      </c>
      <c r="D145" s="5275"/>
      <c r="E145" s="1361"/>
      <c r="F145" s="1361"/>
      <c r="G145" s="1361"/>
      <c r="H145" s="1361"/>
      <c r="I145" s="1361"/>
      <c r="J145" s="5276"/>
      <c r="K145" s="106"/>
      <c r="L145" s="1021" t="str">
        <f t="shared" si="83"/>
        <v>►</v>
      </c>
      <c r="M145" s="196" t="str">
        <f>M116</f>
        <v>N NOMBRE DE SU RECETA | pegue esto — FAMILIA| Autor &gt; USTED</v>
      </c>
      <c r="N145" s="196">
        <f>N116</f>
        <v>5.53</v>
      </c>
      <c r="O145" s="197" t="str">
        <f>O116</f>
        <v>kg</v>
      </c>
      <c r="P145" s="5388" t="str">
        <f>P116</f>
        <v>Receta madre ► Ballotina de pintada</v>
      </c>
      <c r="Q145" s="5275"/>
      <c r="R145" s="1361"/>
      <c r="S145" s="1361"/>
      <c r="T145" s="1361"/>
      <c r="U145" s="1361"/>
      <c r="V145" s="1361"/>
      <c r="W145" s="1361"/>
      <c r="X145" s="1361"/>
      <c r="Y145" s="1361"/>
      <c r="Z145" s="5276"/>
      <c r="AA145" s="6896" t="s">
        <v>10040</v>
      </c>
      <c r="AB145" s="6897"/>
      <c r="AC145" s="6897"/>
      <c r="AD145" s="6898"/>
      <c r="AE145" s="4" t="s">
        <v>1</v>
      </c>
      <c r="AF145" s="6202" t="str">
        <f t="shared" si="54"/>
        <v>►</v>
      </c>
      <c r="AG145" s="6234" t="str">
        <f t="shared" si="55"/>
        <v/>
      </c>
      <c r="AH145" s="6732" t="str">
        <f t="shared" si="56"/>
        <v/>
      </c>
      <c r="AI145" s="6234" t="str">
        <f t="shared" si="57"/>
        <v/>
      </c>
      <c r="AJ145" s="6732" t="str">
        <f t="shared" si="58"/>
        <v/>
      </c>
      <c r="AK145" s="6732">
        <f t="shared" si="59"/>
        <v>0</v>
      </c>
      <c r="AL145" s="6230" t="str" cm="1">
        <f t="array" ref="AL145">IF(AF145&lt;&gt;"A","",IFERROR((IFERROR(_xlfn.XLOOKUP(TRIM(SUBSTITUTE(U145,CHAR(160)," ")),$BJ$15:$BJ$62,$BM$15:$BM$62),IFERROR(_xlfn.XLOOKUP(TRIM(SUBSTITUTE(U145,CHAR(160)," ")),$BK$15:$BK$62,$BM$15:$BM$62),_xlfn.XLOOKUP(TRIM(SUBSTITUTE(U145,CHAR(160)," ")),$BL$15:$BL$62,$BM$15:$BM$62))))*T145*IF(ISBLANK(Q145),1,Q145)+IFERROR(_xlfn.XLOOKUP("RECHERCHEX",TRIM(L145:AD145),L145:AD145),0),0))</f>
        <v/>
      </c>
      <c r="AM145" s="6229">
        <f t="shared" si="60"/>
        <v>0</v>
      </c>
      <c r="AN145" s="6857" t="str">
        <f t="shared" si="77"/>
        <v/>
      </c>
      <c r="AO145" s="392">
        <f t="shared" si="61"/>
        <v>0</v>
      </c>
      <c r="AP145" s="392">
        <f t="shared" si="62"/>
        <v>0</v>
      </c>
      <c r="AQ145" s="6191">
        <f t="shared" si="63"/>
        <v>0</v>
      </c>
      <c r="AR145" s="6859" t="str">
        <f t="shared" si="64"/>
        <v/>
      </c>
      <c r="AS145" s="6217"/>
      <c r="AT145" s="6217"/>
      <c r="AU145" s="6272">
        <f t="shared" si="65"/>
        <v>0</v>
      </c>
      <c r="AV145" s="6240">
        <f t="shared" si="66"/>
        <v>0</v>
      </c>
      <c r="AW145" s="6189" cm="1">
        <f t="array" ref="AW145">IF(AK145&lt;&gt;1,0,IF(OR(AU145="",N(AU145)&lt;=0.000000001),"",IF(OR(AO145="",N(AO145)&lt;=0.000000001),0,IF(ISNUMBER(AU145),IFERROR(_xlfn.LET(_xlpm.ai_test,TRIM(AJ145),_xlpm.r,IFERROR(_xlfn.XLOOKUP(_xlpm.ai_test,$BJ$15:$BJ$62,ROW($BJ$15:$BJ$62),0,1),IFERROR(_xlfn.XLOOKUP(_xlpm.ai_test,$BK$15:$BK$62,ROW($BK$15:$BK$62),0,1),_xlfn.XLOOKUP(_xlpm.ai_test,$BL$15:$BL$62,ROW($BL$15:$BL$62),0,1))),_xlpm.p,_xlpm.r-MIN(ROW($BJ$15:$BJ$62))+1,_xlpm.f,INDEX($BM$15:$BM$62,_xlpm.p),_xlpm.u,INDEX($BN$15:$BN$62,_xlpm.p),_xlpm.s,INDEX($BP$15:$BP$62,_xlpm.p),_xlpm.q,N(AU145)/_xlpm.f,IF(_xlpm.q&gt;=_xlpm.s,ROUND(_xlpm.q,1)&amp;" "&amp;_xlpm.ai_test&amp;" = "&amp;ROUND(_xlpm.q*_xlpm.f,1)&amp;" "&amp;_xlpm.u,ROUND(_xlpm.q,1)&amp;" "&amp;_xlpm.ai_test)),""),""))))</f>
        <v>0</v>
      </c>
      <c r="AX145" s="6218"/>
      <c r="AY145" s="6272">
        <f t="shared" si="67"/>
        <v>0</v>
      </c>
      <c r="AZ145" s="6240" t="str">
        <f t="shared" si="68"/>
        <v/>
      </c>
      <c r="BA145" s="6195">
        <f t="shared" si="73"/>
        <v>0</v>
      </c>
      <c r="BB145" s="6193" t="str">
        <f t="shared" si="69"/>
        <v/>
      </c>
      <c r="BC145" s="6219"/>
      <c r="BD145" s="6222">
        <f t="shared" si="75"/>
        <v>0</v>
      </c>
      <c r="BE145" s="6220" t="str">
        <f t="shared" si="70"/>
        <v/>
      </c>
      <c r="BF145" s="4" t="s">
        <v>1</v>
      </c>
      <c r="BG145" s="6196">
        <f t="shared" si="71"/>
        <v>0</v>
      </c>
      <c r="BH145" s="6197">
        <f t="shared" si="72"/>
        <v>0</v>
      </c>
      <c r="BI145"/>
      <c r="BR145"/>
      <c r="BS145"/>
      <c r="BT145"/>
      <c r="BU145"/>
      <c r="BV145"/>
      <c r="BW145"/>
      <c r="BX145" s="20" t="str">
        <f t="shared" si="81"/>
        <v>►</v>
      </c>
      <c r="CD145" s="2"/>
      <c r="DC145" s="5">
        <v>1</v>
      </c>
    </row>
    <row r="146" spans="1:107" s="1" customFormat="1" ht="21" customHeight="1">
      <c r="A146" s="5641" t="s">
        <v>1</v>
      </c>
      <c r="B146" s="5662" t="str">
        <f t="shared" si="80"/>
        <v>►</v>
      </c>
      <c r="C146" s="5825" cm="1">
        <f t="array" ref="C146">SUMPRODUCT(LEN(D146:J146))</f>
        <v>0</v>
      </c>
      <c r="D146" s="5275"/>
      <c r="E146" s="1361"/>
      <c r="F146" s="1361"/>
      <c r="G146" s="1361"/>
      <c r="H146" s="1361"/>
      <c r="I146" s="1361"/>
      <c r="J146" s="5276"/>
      <c r="K146" s="106"/>
      <c r="L146" s="1021" t="str">
        <f t="shared" si="83"/>
        <v>►</v>
      </c>
      <c r="M146" s="196" t="str">
        <f>M116</f>
        <v>N NOMBRE DE SU RECETA | pegue esto — FAMILIA| Autor &gt; USTED</v>
      </c>
      <c r="N146" s="196">
        <f>N116</f>
        <v>5.53</v>
      </c>
      <c r="O146" s="197" t="str">
        <f>O116</f>
        <v>kg</v>
      </c>
      <c r="P146" s="5388" t="str">
        <f>P116</f>
        <v>Receta madre ► Ballotina de pintada</v>
      </c>
      <c r="Q146" s="5275"/>
      <c r="R146" s="1361"/>
      <c r="S146" s="1361"/>
      <c r="T146" s="1361"/>
      <c r="U146" s="1361"/>
      <c r="V146" s="1361"/>
      <c r="W146" s="1361"/>
      <c r="X146" s="1361"/>
      <c r="Y146" s="1361"/>
      <c r="Z146" s="5276"/>
      <c r="AA146" s="6205" t="s">
        <v>9470</v>
      </c>
      <c r="AB146" s="147"/>
      <c r="AC146" s="6808" t="s">
        <v>8438</v>
      </c>
      <c r="AD146" s="6208">
        <f>AA149*AA147</f>
        <v>225</v>
      </c>
      <c r="AE146" s="4" t="s">
        <v>1</v>
      </c>
      <c r="AF146" s="6202" t="str">
        <f t="shared" si="54"/>
        <v>►</v>
      </c>
      <c r="AG146" s="6234" t="str">
        <f t="shared" si="55"/>
        <v/>
      </c>
      <c r="AH146" s="6732" t="str">
        <f t="shared" si="56"/>
        <v/>
      </c>
      <c r="AI146" s="6234" t="str">
        <f t="shared" si="57"/>
        <v/>
      </c>
      <c r="AJ146" s="6732" t="str">
        <f t="shared" si="58"/>
        <v/>
      </c>
      <c r="AK146" s="6732">
        <f t="shared" si="59"/>
        <v>0</v>
      </c>
      <c r="AL146" s="6230" t="str" cm="1">
        <f t="array" ref="AL146">IF(AF146&lt;&gt;"A","",IFERROR((IFERROR(_xlfn.XLOOKUP(TRIM(SUBSTITUTE(U146,CHAR(160)," ")),$BJ$15:$BJ$62,$BM$15:$BM$62),IFERROR(_xlfn.XLOOKUP(TRIM(SUBSTITUTE(U146,CHAR(160)," ")),$BK$15:$BK$62,$BM$15:$BM$62),_xlfn.XLOOKUP(TRIM(SUBSTITUTE(U146,CHAR(160)," ")),$BL$15:$BL$62,$BM$15:$BM$62))))*T146*IF(ISBLANK(Q146),1,Q146)+IFERROR(_xlfn.XLOOKUP("RECHERCHEX",TRIM(L146:AD146),L146:AD146),0),0))</f>
        <v/>
      </c>
      <c r="AM146" s="6229">
        <f t="shared" si="60"/>
        <v>0</v>
      </c>
      <c r="AN146" s="6857" t="str">
        <f t="shared" si="77"/>
        <v/>
      </c>
      <c r="AO146" s="392">
        <f t="shared" si="61"/>
        <v>0</v>
      </c>
      <c r="AP146" s="392">
        <f t="shared" si="62"/>
        <v>0</v>
      </c>
      <c r="AQ146" s="6190">
        <f t="shared" si="63"/>
        <v>0</v>
      </c>
      <c r="AR146" s="6858" t="str">
        <f t="shared" si="64"/>
        <v/>
      </c>
      <c r="AS146" s="6217"/>
      <c r="AT146" s="6217"/>
      <c r="AU146" s="6271">
        <f t="shared" si="65"/>
        <v>0</v>
      </c>
      <c r="AV146" s="6242">
        <f t="shared" si="66"/>
        <v>0</v>
      </c>
      <c r="AW146" s="6188" cm="1">
        <f t="array" ref="AW146">IF(AK146&lt;&gt;1,0,IF(OR(AU146="",N(AU146)&lt;=0.000000001),"",IF(OR(AO146="",N(AO146)&lt;=0.000000001),0,IF(ISNUMBER(AU146),IFERROR(_xlfn.LET(_xlpm.ai_test,TRIM(AJ146),_xlpm.r,IFERROR(_xlfn.XLOOKUP(_xlpm.ai_test,$BJ$15:$BJ$62,ROW($BJ$15:$BJ$62),0,1),IFERROR(_xlfn.XLOOKUP(_xlpm.ai_test,$BK$15:$BK$62,ROW($BK$15:$BK$62),0,1),_xlfn.XLOOKUP(_xlpm.ai_test,$BL$15:$BL$62,ROW($BL$15:$BL$62),0,1))),_xlpm.p,_xlpm.r-MIN(ROW($BJ$15:$BJ$62))+1,_xlpm.f,INDEX($BM$15:$BM$62,_xlpm.p),_xlpm.u,INDEX($BN$15:$BN$62,_xlpm.p),_xlpm.s,INDEX($BP$15:$BP$62,_xlpm.p),_xlpm.q,N(AU146)/_xlpm.f,IF(_xlpm.q&gt;=_xlpm.s,ROUND(_xlpm.q,1)&amp;" "&amp;_xlpm.ai_test&amp;" = "&amp;ROUND(_xlpm.q*_xlpm.f,1)&amp;" "&amp;_xlpm.u,ROUND(_xlpm.q,1)&amp;" "&amp;_xlpm.ai_test)),""),""))))</f>
        <v>0</v>
      </c>
      <c r="AX146" s="6218"/>
      <c r="AY146" s="6271">
        <f t="shared" si="67"/>
        <v>0</v>
      </c>
      <c r="AZ146" s="6242" t="str">
        <f t="shared" si="68"/>
        <v/>
      </c>
      <c r="BA146" s="6194">
        <f t="shared" si="73"/>
        <v>0</v>
      </c>
      <c r="BB146" s="6192" t="str">
        <f t="shared" si="69"/>
        <v/>
      </c>
      <c r="BC146" s="6219"/>
      <c r="BD146" s="6221">
        <f t="shared" si="75"/>
        <v>0</v>
      </c>
      <c r="BE146" s="6220" t="str">
        <f t="shared" si="70"/>
        <v/>
      </c>
      <c r="BF146" s="4" t="s">
        <v>1</v>
      </c>
      <c r="BG146" s="6196">
        <f t="shared" si="71"/>
        <v>0</v>
      </c>
      <c r="BH146" s="6197">
        <f t="shared" si="72"/>
        <v>0</v>
      </c>
      <c r="BI146"/>
      <c r="BR146"/>
      <c r="BS146"/>
      <c r="BT146"/>
      <c r="BU146"/>
      <c r="BV146"/>
      <c r="BW146"/>
      <c r="BX146" s="20" t="str">
        <f t="shared" si="81"/>
        <v>►</v>
      </c>
      <c r="BY146"/>
      <c r="BZ146"/>
      <c r="CA146"/>
      <c r="CB146"/>
      <c r="CC146"/>
      <c r="CD146" s="2"/>
      <c r="DC146" s="5">
        <v>1</v>
      </c>
    </row>
    <row r="147" spans="1:107" s="1" customFormat="1" ht="21" customHeight="1">
      <c r="A147" s="5641" t="s">
        <v>1</v>
      </c>
      <c r="B147" s="5662" t="str">
        <f t="shared" si="80"/>
        <v>►</v>
      </c>
      <c r="C147" s="5825" cm="1">
        <f t="array" ref="C147">SUMPRODUCT(LEN(D147:J147))</f>
        <v>0</v>
      </c>
      <c r="D147" s="5275"/>
      <c r="E147" s="1361"/>
      <c r="F147" s="1361"/>
      <c r="G147" s="1361"/>
      <c r="H147" s="1361"/>
      <c r="I147" s="1361"/>
      <c r="J147" s="5276"/>
      <c r="K147" s="106"/>
      <c r="L147" s="1021" t="str">
        <f t="shared" si="83"/>
        <v>►</v>
      </c>
      <c r="M147" s="196" t="str">
        <f>M116</f>
        <v>N NOMBRE DE SU RECETA | pegue esto — FAMILIA| Autor &gt; USTED</v>
      </c>
      <c r="N147" s="196">
        <f>N116</f>
        <v>5.53</v>
      </c>
      <c r="O147" s="197" t="str">
        <f>O116</f>
        <v>kg</v>
      </c>
      <c r="P147" s="5388" t="str">
        <f>P116</f>
        <v>Receta madre ► Ballotina de pintada</v>
      </c>
      <c r="Q147" s="5275"/>
      <c r="R147" s="1361"/>
      <c r="S147" s="1361"/>
      <c r="T147" s="1361"/>
      <c r="U147" s="1361"/>
      <c r="V147" s="1361"/>
      <c r="W147" s="1361"/>
      <c r="X147" s="1361"/>
      <c r="Y147" s="1361"/>
      <c r="Z147" s="5276"/>
      <c r="AA147" s="6206">
        <v>150</v>
      </c>
      <c r="AB147" s="4691" t="s">
        <v>9701</v>
      </c>
      <c r="AC147" s="6899" t="s">
        <v>9702</v>
      </c>
      <c r="AD147" s="6900"/>
      <c r="AE147" s="4" t="s">
        <v>1</v>
      </c>
      <c r="AF147" s="6202" t="str">
        <f t="shared" si="54"/>
        <v>►</v>
      </c>
      <c r="AG147" s="6234" t="str">
        <f t="shared" si="55"/>
        <v/>
      </c>
      <c r="AH147" s="6732" t="str">
        <f t="shared" si="56"/>
        <v/>
      </c>
      <c r="AI147" s="6234" t="str">
        <f t="shared" si="57"/>
        <v/>
      </c>
      <c r="AJ147" s="6732" t="str">
        <f t="shared" si="58"/>
        <v/>
      </c>
      <c r="AK147" s="6732">
        <f t="shared" si="59"/>
        <v>0</v>
      </c>
      <c r="AL147" s="6230" t="str" cm="1">
        <f t="array" ref="AL147">IF(AF147&lt;&gt;"A","",IFERROR((IFERROR(_xlfn.XLOOKUP(TRIM(SUBSTITUTE(U147,CHAR(160)," ")),$BJ$15:$BJ$62,$BM$15:$BM$62),IFERROR(_xlfn.XLOOKUP(TRIM(SUBSTITUTE(U147,CHAR(160)," ")),$BK$15:$BK$62,$BM$15:$BM$62),_xlfn.XLOOKUP(TRIM(SUBSTITUTE(U147,CHAR(160)," ")),$BL$15:$BL$62,$BM$15:$BM$62))))*T147*IF(ISBLANK(Q147),1,Q147)+IFERROR(_xlfn.XLOOKUP("RECHERCHEX",TRIM(L147:AD147),L147:AD147),0),0))</f>
        <v/>
      </c>
      <c r="AM147" s="6229">
        <f t="shared" si="60"/>
        <v>0</v>
      </c>
      <c r="AN147" s="6857" t="str">
        <f t="shared" si="77"/>
        <v/>
      </c>
      <c r="AO147" s="392">
        <f t="shared" si="61"/>
        <v>0</v>
      </c>
      <c r="AP147" s="392">
        <f t="shared" si="62"/>
        <v>0</v>
      </c>
      <c r="AQ147" s="6191">
        <f t="shared" si="63"/>
        <v>0</v>
      </c>
      <c r="AR147" s="6859" t="str">
        <f t="shared" si="64"/>
        <v/>
      </c>
      <c r="AS147" s="6217"/>
      <c r="AT147" s="6217"/>
      <c r="AU147" s="6272">
        <f t="shared" si="65"/>
        <v>0</v>
      </c>
      <c r="AV147" s="6240">
        <f t="shared" si="66"/>
        <v>0</v>
      </c>
      <c r="AW147" s="6189" cm="1">
        <f t="array" ref="AW147">IF(AK147&lt;&gt;1,0,IF(OR(AU147="",N(AU147)&lt;=0.000000001),"",IF(OR(AO147="",N(AO147)&lt;=0.000000001),0,IF(ISNUMBER(AU147),IFERROR(_xlfn.LET(_xlpm.ai_test,TRIM(AJ147),_xlpm.r,IFERROR(_xlfn.XLOOKUP(_xlpm.ai_test,$BJ$15:$BJ$62,ROW($BJ$15:$BJ$62),0,1),IFERROR(_xlfn.XLOOKUP(_xlpm.ai_test,$BK$15:$BK$62,ROW($BK$15:$BK$62),0,1),_xlfn.XLOOKUP(_xlpm.ai_test,$BL$15:$BL$62,ROW($BL$15:$BL$62),0,1))),_xlpm.p,_xlpm.r-MIN(ROW($BJ$15:$BJ$62))+1,_xlpm.f,INDEX($BM$15:$BM$62,_xlpm.p),_xlpm.u,INDEX($BN$15:$BN$62,_xlpm.p),_xlpm.s,INDEX($BP$15:$BP$62,_xlpm.p),_xlpm.q,N(AU147)/_xlpm.f,IF(_xlpm.q&gt;=_xlpm.s,ROUND(_xlpm.q,1)&amp;" "&amp;_xlpm.ai_test&amp;" = "&amp;ROUND(_xlpm.q*_xlpm.f,1)&amp;" "&amp;_xlpm.u,ROUND(_xlpm.q,1)&amp;" "&amp;_xlpm.ai_test)),""),""))))</f>
        <v>0</v>
      </c>
      <c r="AX147" s="6218"/>
      <c r="AY147" s="6272">
        <f t="shared" si="67"/>
        <v>0</v>
      </c>
      <c r="AZ147" s="6240" t="str">
        <f t="shared" si="68"/>
        <v/>
      </c>
      <c r="BA147" s="6195">
        <f t="shared" si="73"/>
        <v>0</v>
      </c>
      <c r="BB147" s="6193" t="str">
        <f t="shared" si="69"/>
        <v/>
      </c>
      <c r="BC147" s="6219"/>
      <c r="BD147" s="6222">
        <f t="shared" si="75"/>
        <v>0</v>
      </c>
      <c r="BE147" s="6220" t="str">
        <f t="shared" si="70"/>
        <v/>
      </c>
      <c r="BF147" s="4" t="s">
        <v>1</v>
      </c>
      <c r="BG147" s="6196">
        <f t="shared" si="71"/>
        <v>0</v>
      </c>
      <c r="BH147" s="6197">
        <f t="shared" si="72"/>
        <v>0</v>
      </c>
      <c r="BI147"/>
      <c r="BR147"/>
      <c r="BS147"/>
      <c r="BT147"/>
      <c r="BU147"/>
      <c r="BV147"/>
      <c r="BW147"/>
      <c r="BX147" s="20" t="str">
        <f t="shared" si="81"/>
        <v>►</v>
      </c>
      <c r="BY147"/>
      <c r="BZ147"/>
      <c r="CA147"/>
      <c r="CB147"/>
      <c r="CC147"/>
      <c r="CD147" s="2"/>
      <c r="DC147" s="5">
        <v>1</v>
      </c>
    </row>
    <row r="148" spans="1:107" s="1" customFormat="1" ht="21" customHeight="1">
      <c r="A148" s="5641" t="s">
        <v>1</v>
      </c>
      <c r="B148" s="5662" t="str">
        <f t="shared" si="80"/>
        <v>►</v>
      </c>
      <c r="C148" s="5825" cm="1">
        <f t="array" ref="C148">SUMPRODUCT(LEN(D148:J148))</f>
        <v>0</v>
      </c>
      <c r="D148" s="5275"/>
      <c r="E148" s="1361"/>
      <c r="F148" s="1361"/>
      <c r="G148" s="1361"/>
      <c r="H148" s="1361"/>
      <c r="I148" s="1361"/>
      <c r="J148" s="5276"/>
      <c r="K148" s="106"/>
      <c r="L148" s="1021" t="str">
        <f t="shared" si="83"/>
        <v>►</v>
      </c>
      <c r="M148" s="196" t="str">
        <f>M116</f>
        <v>N NOMBRE DE SU RECETA | pegue esto — FAMILIA| Autor &gt; USTED</v>
      </c>
      <c r="N148" s="196">
        <f>N116</f>
        <v>5.53</v>
      </c>
      <c r="O148" s="197" t="str">
        <f>O116</f>
        <v>kg</v>
      </c>
      <c r="P148" s="5388" t="str">
        <f>P116</f>
        <v>Receta madre ► Ballotina de pintada</v>
      </c>
      <c r="Q148" s="5275"/>
      <c r="R148" s="1361"/>
      <c r="S148" s="1361"/>
      <c r="T148" s="1361"/>
      <c r="U148" s="1361"/>
      <c r="V148" s="1361"/>
      <c r="W148" s="1361"/>
      <c r="X148" s="1361"/>
      <c r="Y148" s="1361"/>
      <c r="Z148" s="5276"/>
      <c r="AA148" s="6874" t="s">
        <v>8372</v>
      </c>
      <c r="AB148" s="6875"/>
      <c r="AC148" s="6809" t="s">
        <v>8434</v>
      </c>
      <c r="AD148" s="609"/>
      <c r="AE148" s="4" t="s">
        <v>1</v>
      </c>
      <c r="AF148" s="6202" t="str">
        <f t="shared" si="54"/>
        <v>►</v>
      </c>
      <c r="AG148" s="6234" t="str">
        <f t="shared" si="55"/>
        <v/>
      </c>
      <c r="AH148" s="6732" t="str">
        <f t="shared" si="56"/>
        <v/>
      </c>
      <c r="AI148" s="6234" t="str">
        <f t="shared" si="57"/>
        <v/>
      </c>
      <c r="AJ148" s="6732" t="str">
        <f t="shared" si="58"/>
        <v/>
      </c>
      <c r="AK148" s="6732">
        <f t="shared" si="59"/>
        <v>0</v>
      </c>
      <c r="AL148" s="6230" t="str" cm="1">
        <f t="array" ref="AL148">IF(AF148&lt;&gt;"A","",IFERROR((IFERROR(_xlfn.XLOOKUP(TRIM(SUBSTITUTE(U148,CHAR(160)," ")),$BJ$15:$BJ$62,$BM$15:$BM$62),IFERROR(_xlfn.XLOOKUP(TRIM(SUBSTITUTE(U148,CHAR(160)," ")),$BK$15:$BK$62,$BM$15:$BM$62),_xlfn.XLOOKUP(TRIM(SUBSTITUTE(U148,CHAR(160)," ")),$BL$15:$BL$62,$BM$15:$BM$62))))*T148*IF(ISBLANK(Q148),1,Q148)+IFERROR(_xlfn.XLOOKUP("RECHERCHEX",TRIM(L148:AD148),L148:AD148),0),0))</f>
        <v/>
      </c>
      <c r="AM148" s="6229">
        <f t="shared" si="60"/>
        <v>0</v>
      </c>
      <c r="AN148" s="6857" t="str">
        <f t="shared" si="77"/>
        <v/>
      </c>
      <c r="AO148" s="392">
        <f t="shared" si="61"/>
        <v>0</v>
      </c>
      <c r="AP148" s="392">
        <f t="shared" si="62"/>
        <v>0</v>
      </c>
      <c r="AQ148" s="6190">
        <f t="shared" si="63"/>
        <v>0</v>
      </c>
      <c r="AR148" s="6858" t="str">
        <f t="shared" si="64"/>
        <v/>
      </c>
      <c r="AS148" s="6217"/>
      <c r="AT148" s="6217"/>
      <c r="AU148" s="6271">
        <f t="shared" si="65"/>
        <v>0</v>
      </c>
      <c r="AV148" s="6242">
        <f t="shared" si="66"/>
        <v>0</v>
      </c>
      <c r="AW148" s="6188" cm="1">
        <f t="array" ref="AW148">IF(AK148&lt;&gt;1,0,IF(OR(AU148="",N(AU148)&lt;=0.000000001),"",IF(OR(AO148="",N(AO148)&lt;=0.000000001),0,IF(ISNUMBER(AU148),IFERROR(_xlfn.LET(_xlpm.ai_test,TRIM(AJ148),_xlpm.r,IFERROR(_xlfn.XLOOKUP(_xlpm.ai_test,$BJ$15:$BJ$62,ROW($BJ$15:$BJ$62),0,1),IFERROR(_xlfn.XLOOKUP(_xlpm.ai_test,$BK$15:$BK$62,ROW($BK$15:$BK$62),0,1),_xlfn.XLOOKUP(_xlpm.ai_test,$BL$15:$BL$62,ROW($BL$15:$BL$62),0,1))),_xlpm.p,_xlpm.r-MIN(ROW($BJ$15:$BJ$62))+1,_xlpm.f,INDEX($BM$15:$BM$62,_xlpm.p),_xlpm.u,INDEX($BN$15:$BN$62,_xlpm.p),_xlpm.s,INDEX($BP$15:$BP$62,_xlpm.p),_xlpm.q,N(AU148)/_xlpm.f,IF(_xlpm.q&gt;=_xlpm.s,ROUND(_xlpm.q,1)&amp;" "&amp;_xlpm.ai_test&amp;" = "&amp;ROUND(_xlpm.q*_xlpm.f,1)&amp;" "&amp;_xlpm.u,ROUND(_xlpm.q,1)&amp;" "&amp;_xlpm.ai_test)),""),""))))</f>
        <v>0</v>
      </c>
      <c r="AX148" s="6218"/>
      <c r="AY148" s="6271">
        <f t="shared" si="67"/>
        <v>0</v>
      </c>
      <c r="AZ148" s="6242" t="str">
        <f t="shared" si="68"/>
        <v/>
      </c>
      <c r="BA148" s="6194">
        <f t="shared" si="73"/>
        <v>0</v>
      </c>
      <c r="BB148" s="6192" t="str">
        <f t="shared" si="69"/>
        <v/>
      </c>
      <c r="BC148" s="6219"/>
      <c r="BD148" s="6221">
        <f t="shared" si="75"/>
        <v>0</v>
      </c>
      <c r="BE148" s="6220" t="str">
        <f t="shared" si="70"/>
        <v/>
      </c>
      <c r="BF148" s="4" t="s">
        <v>1</v>
      </c>
      <c r="BG148" s="6196">
        <f t="shared" si="71"/>
        <v>0</v>
      </c>
      <c r="BH148" s="6197">
        <f t="shared" si="72"/>
        <v>0</v>
      </c>
      <c r="BI148"/>
      <c r="BR148"/>
      <c r="BS148"/>
      <c r="BT148"/>
      <c r="BU148"/>
      <c r="BV148"/>
      <c r="BW148"/>
      <c r="BX148" s="20" t="str">
        <f t="shared" si="81"/>
        <v>►</v>
      </c>
      <c r="BY148"/>
      <c r="BZ148"/>
      <c r="CA148"/>
      <c r="CB148"/>
      <c r="CC148"/>
      <c r="CD148" s="2"/>
      <c r="DC148" s="5">
        <v>1</v>
      </c>
    </row>
    <row r="149" spans="1:107" s="1" customFormat="1" ht="21" customHeight="1" thickBot="1">
      <c r="A149" s="5641" t="s">
        <v>1</v>
      </c>
      <c r="B149" s="5662" t="str">
        <f t="shared" si="80"/>
        <v>A</v>
      </c>
      <c r="C149" s="5825" cm="1">
        <f t="array" ref="C149">SUMPRODUCT(LEN(D149:J149))</f>
        <v>0</v>
      </c>
      <c r="D149" s="5275"/>
      <c r="E149" s="1361"/>
      <c r="F149" s="1361"/>
      <c r="G149" s="1361"/>
      <c r="H149" s="1361"/>
      <c r="I149" s="1361"/>
      <c r="J149" s="5276"/>
      <c r="K149" s="106"/>
      <c r="L149" s="1021" t="str">
        <f t="shared" si="83"/>
        <v>A</v>
      </c>
      <c r="M149" s="196" t="str">
        <f>M116</f>
        <v>N NOMBRE DE SU RECETA | pegue esto — FAMILIA| Autor &gt; USTED</v>
      </c>
      <c r="N149" s="196">
        <f>N116</f>
        <v>5.53</v>
      </c>
      <c r="O149" s="197" t="str">
        <f>O116</f>
        <v>kg</v>
      </c>
      <c r="P149" s="5388" t="str">
        <f>P116</f>
        <v>Receta madre ► Ballotina de pintada</v>
      </c>
      <c r="Q149" s="5275"/>
      <c r="R149" s="1361"/>
      <c r="S149" s="6733" t="s">
        <v>9998</v>
      </c>
      <c r="T149" s="5306" t="s">
        <v>269</v>
      </c>
      <c r="U149" s="1361" t="s">
        <v>9999</v>
      </c>
      <c r="V149" s="1361"/>
      <c r="W149" s="1361"/>
      <c r="X149" s="1361"/>
      <c r="Y149" s="1361"/>
      <c r="Z149" s="5276"/>
      <c r="AA149" s="6207">
        <v>1.5</v>
      </c>
      <c r="AB149" s="920" t="str">
        <f>"&lt; Nb de "&amp;AC147&amp;" por persona "</f>
        <v xml:space="preserve">&lt; Nb de tajadas por persona </v>
      </c>
      <c r="AC149" s="5286"/>
      <c r="AD149" s="762"/>
      <c r="AE149" s="4" t="s">
        <v>1</v>
      </c>
      <c r="AF149" s="6202" t="str">
        <f t="shared" si="54"/>
        <v>►</v>
      </c>
      <c r="AG149" s="6234" t="str">
        <f t="shared" si="55"/>
        <v/>
      </c>
      <c r="AH149" s="6732" t="str">
        <f t="shared" si="56"/>
        <v/>
      </c>
      <c r="AI149" s="6234" t="str">
        <f t="shared" si="57"/>
        <v/>
      </c>
      <c r="AJ149" s="6732" t="str">
        <f t="shared" si="58"/>
        <v/>
      </c>
      <c r="AK149" s="6732">
        <f t="shared" si="59"/>
        <v>0</v>
      </c>
      <c r="AL149" s="6230" t="str" cm="1">
        <f t="array" ref="AL149">IF(AF149&lt;&gt;"A","",IFERROR((IFERROR(_xlfn.XLOOKUP(TRIM(SUBSTITUTE(U149,CHAR(160)," ")),$BJ$15:$BJ$62,$BM$15:$BM$62),IFERROR(_xlfn.XLOOKUP(TRIM(SUBSTITUTE(U149,CHAR(160)," ")),$BK$15:$BK$62,$BM$15:$BM$62),_xlfn.XLOOKUP(TRIM(SUBSTITUTE(U149,CHAR(160)," ")),$BL$15:$BL$62,$BM$15:$BM$62))))*T149*IF(ISBLANK(Q149),1,Q149)+IFERROR(_xlfn.XLOOKUP("RECHERCHEX",TRIM(L149:AD149),L149:AD149),0),0))</f>
        <v/>
      </c>
      <c r="AM149" s="6229">
        <f t="shared" si="60"/>
        <v>0</v>
      </c>
      <c r="AN149" s="6857" t="str">
        <f t="shared" si="77"/>
        <v/>
      </c>
      <c r="AO149" s="392">
        <f t="shared" si="61"/>
        <v>0</v>
      </c>
      <c r="AP149" s="392">
        <f t="shared" si="62"/>
        <v>0</v>
      </c>
      <c r="AQ149" s="6191">
        <f t="shared" si="63"/>
        <v>0</v>
      </c>
      <c r="AR149" s="6859" t="str">
        <f t="shared" si="64"/>
        <v/>
      </c>
      <c r="AS149" s="6217"/>
      <c r="AT149" s="6217"/>
      <c r="AU149" s="6272">
        <f t="shared" si="65"/>
        <v>0</v>
      </c>
      <c r="AV149" s="6240">
        <f t="shared" si="66"/>
        <v>0</v>
      </c>
      <c r="AW149" s="6189" cm="1">
        <f t="array" ref="AW149">IF(AK149&lt;&gt;1,0,IF(OR(AU149="",N(AU149)&lt;=0.000000001),"",IF(OR(AO149="",N(AO149)&lt;=0.000000001),0,IF(ISNUMBER(AU149),IFERROR(_xlfn.LET(_xlpm.ai_test,TRIM(AJ149),_xlpm.r,IFERROR(_xlfn.XLOOKUP(_xlpm.ai_test,$BJ$15:$BJ$62,ROW($BJ$15:$BJ$62),0,1),IFERROR(_xlfn.XLOOKUP(_xlpm.ai_test,$BK$15:$BK$62,ROW($BK$15:$BK$62),0,1),_xlfn.XLOOKUP(_xlpm.ai_test,$BL$15:$BL$62,ROW($BL$15:$BL$62),0,1))),_xlpm.p,_xlpm.r-MIN(ROW($BJ$15:$BJ$62))+1,_xlpm.f,INDEX($BM$15:$BM$62,_xlpm.p),_xlpm.u,INDEX($BN$15:$BN$62,_xlpm.p),_xlpm.s,INDEX($BP$15:$BP$62,_xlpm.p),_xlpm.q,N(AU149)/_xlpm.f,IF(_xlpm.q&gt;=_xlpm.s,ROUND(_xlpm.q,1)&amp;" "&amp;_xlpm.ai_test&amp;" = "&amp;ROUND(_xlpm.q*_xlpm.f,1)&amp;" "&amp;_xlpm.u,ROUND(_xlpm.q,1)&amp;" "&amp;_xlpm.ai_test)),""),""))))</f>
        <v>0</v>
      </c>
      <c r="AX149" s="6218"/>
      <c r="AY149" s="6272">
        <f t="shared" si="67"/>
        <v>0</v>
      </c>
      <c r="AZ149" s="6240" t="str">
        <f t="shared" si="68"/>
        <v/>
      </c>
      <c r="BA149" s="6195">
        <f t="shared" si="73"/>
        <v>0</v>
      </c>
      <c r="BB149" s="6193" t="str">
        <f t="shared" si="69"/>
        <v/>
      </c>
      <c r="BC149" s="6219"/>
      <c r="BD149" s="6222">
        <f t="shared" si="75"/>
        <v>0</v>
      </c>
      <c r="BE149" s="6220" t="str">
        <f t="shared" si="70"/>
        <v/>
      </c>
      <c r="BF149" s="4" t="s">
        <v>1</v>
      </c>
      <c r="BG149" s="6196">
        <f t="shared" si="71"/>
        <v>0</v>
      </c>
      <c r="BH149" s="6197">
        <f t="shared" si="72"/>
        <v>0</v>
      </c>
      <c r="BI149"/>
      <c r="BR149"/>
      <c r="BS149"/>
      <c r="BT149"/>
      <c r="BU149"/>
      <c r="BV149"/>
      <c r="BW149"/>
      <c r="BX149" s="20" t="str">
        <f t="shared" si="81"/>
        <v>►</v>
      </c>
      <c r="BY149"/>
      <c r="BZ149"/>
      <c r="CA149"/>
      <c r="CB149"/>
      <c r="CC149"/>
      <c r="CD149" s="2"/>
      <c r="DC149" s="5">
        <v>1</v>
      </c>
    </row>
    <row r="150" spans="1:107" s="1" customFormat="1" ht="21" customHeight="1">
      <c r="A150" s="5641" t="s">
        <v>1</v>
      </c>
      <c r="B150" s="5662" t="str">
        <f t="shared" si="80"/>
        <v>►</v>
      </c>
      <c r="C150" s="5825" cm="1">
        <f t="array" ref="C150">SUMPRODUCT(LEN(D150:J150))</f>
        <v>0</v>
      </c>
      <c r="D150" s="5275"/>
      <c r="E150" s="1361"/>
      <c r="F150" s="1361"/>
      <c r="G150" s="1361"/>
      <c r="H150" s="1361"/>
      <c r="I150" s="1361"/>
      <c r="J150" s="5276"/>
      <c r="K150" s="106"/>
      <c r="L150" s="1021" t="str">
        <f t="shared" si="83"/>
        <v>►</v>
      </c>
      <c r="M150" s="196" t="str">
        <f>M116</f>
        <v>N NOMBRE DE SU RECETA | pegue esto — FAMILIA| Autor &gt; USTED</v>
      </c>
      <c r="N150" s="196">
        <f>N116</f>
        <v>5.53</v>
      </c>
      <c r="O150" s="197" t="str">
        <f>O116</f>
        <v>kg</v>
      </c>
      <c r="P150" s="5388" t="str">
        <f>P116</f>
        <v>Receta madre ► Ballotina de pintada</v>
      </c>
      <c r="Q150" s="5275"/>
      <c r="R150" s="1361"/>
      <c r="S150" s="1361"/>
      <c r="T150" s="1361"/>
      <c r="U150" s="1361"/>
      <c r="V150" s="1361"/>
      <c r="W150" s="1361"/>
      <c r="X150" s="1361"/>
      <c r="Y150" s="1361"/>
      <c r="Z150" s="5276"/>
      <c r="AA150" s="6209">
        <v>27</v>
      </c>
      <c r="AB150" s="920" t="str">
        <f>"&lt; Nb "&amp;AC147&amp;" dans 1 " &amp;AA148</f>
        <v>&lt; Nb tajadas dans 1 pack(s)</v>
      </c>
      <c r="AC150" s="5288"/>
      <c r="AD150" s="6208"/>
      <c r="AE150" s="4" t="s">
        <v>1</v>
      </c>
      <c r="AF150" s="6202" t="str">
        <f t="shared" ref="AF150:AF213" si="84">IF(OR(AO150&gt;0,TRIM(AG150)="▼ recette suivante"),"A","►")</f>
        <v>►</v>
      </c>
      <c r="AG150" s="6234" t="str">
        <f t="shared" ref="AG150:AG213" si="85">IF(TRIM(Q150)="Adresse PC","▼ recette suivante",IF(AO150&gt;0,M150,""))</f>
        <v/>
      </c>
      <c r="AH150" s="6732" t="str">
        <f t="shared" ref="AH150:AH213" si="86">IF(AF150="A",N150,"")</f>
        <v/>
      </c>
      <c r="AI150" s="6234" t="str">
        <f t="shared" ref="AI150:AI213" si="87">IF(AF150="A",O150,"")</f>
        <v/>
      </c>
      <c r="AJ150" s="6732" t="str">
        <f t="shared" ref="AJ150:AJ213" si="88">IF(AF150="A",U150,"")</f>
        <v/>
      </c>
      <c r="AK150" s="6732">
        <f t="shared" ref="AK150:AK213" si="89">IF(AND(L150="A",COUNTIF($BJ$15:$BL$62,TRIM(U150))&gt;0),1,0)</f>
        <v>0</v>
      </c>
      <c r="AL150" s="6230" t="str" cm="1">
        <f t="array" ref="AL150">IF(AF150&lt;&gt;"A","",IFERROR((IFERROR(_xlfn.XLOOKUP(TRIM(SUBSTITUTE(U150,CHAR(160)," ")),$BJ$15:$BJ$62,$BM$15:$BM$62),IFERROR(_xlfn.XLOOKUP(TRIM(SUBSTITUTE(U150,CHAR(160)," ")),$BK$15:$BK$62,$BM$15:$BM$62),_xlfn.XLOOKUP(TRIM(SUBSTITUTE(U150,CHAR(160)," ")),$BL$15:$BL$62,$BM$15:$BM$62))))*T150*IF(ISBLANK(Q150),1,Q150)+IFERROR(_xlfn.XLOOKUP("RECHERCHEX",TRIM(L150:AD150),L150:AD150),0),0))</f>
        <v/>
      </c>
      <c r="AM150" s="6229">
        <f t="shared" ref="AM150:AM213" si="90">IF(AK150,IF(AL150&gt;0,"Kg",0),0)</f>
        <v>0</v>
      </c>
      <c r="AN150" s="6857" t="str">
        <f t="shared" si="77"/>
        <v/>
      </c>
      <c r="AO150" s="392">
        <f t="shared" ref="AO150:AO213" si="91">IF(AK150,N150,0)</f>
        <v>0</v>
      </c>
      <c r="AP150" s="392">
        <f t="shared" ref="AP150:AP213" si="92">IF(AK150,O150,0)</f>
        <v>0</v>
      </c>
      <c r="AQ150" s="6190">
        <f t="shared" ref="AQ150:AQ213" si="93">IF(AO150&gt;0,AS$9,0)</f>
        <v>0</v>
      </c>
      <c r="AR150" s="6858" t="str">
        <f t="shared" ref="AR150:AR213" si="94">IF(TRIM(AG150)="▼ recette suivante", AG150, IF(AQ150&gt;0, IF(AT$9&lt;&gt;"", AT$9&amp;"-ou.or.o ❾ + or - &gt;", ""), ""))</f>
        <v/>
      </c>
      <c r="AS150" s="6217"/>
      <c r="AT150" s="6217"/>
      <c r="AU150" s="6271">
        <f t="shared" ref="AU150:AU213" si="95">IF(TRIM(AM150)="Kg",N(AL150)*N(BH150),0)</f>
        <v>0</v>
      </c>
      <c r="AV150" s="6242">
        <f t="shared" ref="AV150:AV213" si="96">IF(AK150,IF(OR(AU150="",N(AU150)&lt;=0.000000001),"",_xlfn.XLOOKUP(AJ150,$BJ$15:$BJ$62,$BN$15:$BN$62,_xlfn.XLOOKUP(AJ150,$BK$15:$BK$62,$BN$15:$BN$62,_xlfn.XLOOKUP(AJ150,$BL$15:$BL$62,$BN$15:$BN$62,"")))),0)</f>
        <v>0</v>
      </c>
      <c r="AW150" s="6188" cm="1">
        <f t="array" ref="AW150">IF(AK150&lt;&gt;1,0,IF(OR(AU150="",N(AU150)&lt;=0.000000001),"",IF(OR(AO150="",N(AO150)&lt;=0.000000001),0,IF(ISNUMBER(AU150),IFERROR(_xlfn.LET(_xlpm.ai_test,TRIM(AJ150),_xlpm.r,IFERROR(_xlfn.XLOOKUP(_xlpm.ai_test,$BJ$15:$BJ$62,ROW($BJ$15:$BJ$62),0,1),IFERROR(_xlfn.XLOOKUP(_xlpm.ai_test,$BK$15:$BK$62,ROW($BK$15:$BK$62),0,1),_xlfn.XLOOKUP(_xlpm.ai_test,$BL$15:$BL$62,ROW($BL$15:$BL$62),0,1))),_xlpm.p,_xlpm.r-MIN(ROW($BJ$15:$BJ$62))+1,_xlpm.f,INDEX($BM$15:$BM$62,_xlpm.p),_xlpm.u,INDEX($BN$15:$BN$62,_xlpm.p),_xlpm.s,INDEX($BP$15:$BP$62,_xlpm.p),_xlpm.q,N(AU150)/_xlpm.f,IF(_xlpm.q&gt;=_xlpm.s,ROUND(_xlpm.q,1)&amp;" "&amp;_xlpm.ai_test&amp;" = "&amp;ROUND(_xlpm.q*_xlpm.f,1)&amp;" "&amp;_xlpm.u,ROUND(_xlpm.q,1)&amp;" "&amp;_xlpm.ai_test)),""),""))))</f>
        <v>0</v>
      </c>
      <c r="AX150" s="6218"/>
      <c r="AY150" s="6271">
        <f t="shared" ref="AY150:AY213" si="97">IF(TRIM(AG150)="▼ recette suivante","▼next recipe ",IF(AU150="","",IF(ISBLANK(AX150),AU150,ROUND(AU150*(1-MIN(1,MAX(0,IF(AX150&gt;1,AX150/100,AX150)))),3))))</f>
        <v>0</v>
      </c>
      <c r="AZ150" s="6242" t="str">
        <f t="shared" ref="AZ150:AZ213" si="98">IF(AK150,AV150,"")</f>
        <v/>
      </c>
      <c r="BA150" s="6194">
        <f t="shared" si="73"/>
        <v>0</v>
      </c>
      <c r="BB150" s="6192" t="str">
        <f t="shared" ref="BB150:BB213" si="99">IF(AK150,IF(N(BA150)&gt;0.000000001,R150,""),"")</f>
        <v/>
      </c>
      <c r="BC150" s="6219"/>
      <c r="BD150" s="6221">
        <f t="shared" si="75"/>
        <v>0</v>
      </c>
      <c r="BE150" s="6220" t="str">
        <f t="shared" ref="BE150:BE213" si="100">IF(IFERROR(SEARCH("Adresse PC",TRIM(Q150)),0)&gt;0,"▼ receta siguiente",IF(AY150&gt;0,W150,""))</f>
        <v/>
      </c>
      <c r="BF150" s="4" t="s">
        <v>1</v>
      </c>
      <c r="BG150" s="6196">
        <f t="shared" ref="BG150:BG213" si="101">IFERROR(_xlfn.LET(_xlpm.EPS,0.000000001,_xlpm.b,Q150/AO150,IF(ISNUMBER(AS150),_xlpm.b*AS150,IF(OR(ISBLANK(AS150),AS150=""),_xlpm.b*AQ150,IF(AND(BH150=0,ISNUMBER(Q150)),_xlpm.b/AQ150,0)))),0)</f>
        <v>0</v>
      </c>
      <c r="BH150" s="6197">
        <f t="shared" ref="BH150:BH213" si="102">IF(AL150&gt;0,IFERROR(IF(OR(ISBLANK(AS150),AS150=""),AQ150,AS150)/AO150,0),0)</f>
        <v>0</v>
      </c>
      <c r="BI150"/>
      <c r="BR150"/>
      <c r="BS150"/>
      <c r="BT150"/>
      <c r="BU150"/>
      <c r="BV150"/>
      <c r="BW150"/>
      <c r="BX150" s="20" t="str">
        <f t="shared" si="81"/>
        <v>►</v>
      </c>
      <c r="BY150"/>
      <c r="BZ150"/>
      <c r="CA150"/>
      <c r="CB150"/>
      <c r="CC150"/>
      <c r="CD150" s="2"/>
      <c r="DC150" s="5">
        <v>1</v>
      </c>
    </row>
    <row r="151" spans="1:107" s="1" customFormat="1" ht="21" customHeight="1">
      <c r="A151" s="5641" t="s">
        <v>1</v>
      </c>
      <c r="B151" s="5662" t="str">
        <f t="shared" si="80"/>
        <v>►</v>
      </c>
      <c r="C151" s="5825" cm="1">
        <f t="array" ref="C151">SUMPRODUCT(LEN(D151:J151))</f>
        <v>0</v>
      </c>
      <c r="D151" s="5275"/>
      <c r="E151" s="1361"/>
      <c r="F151" s="1361"/>
      <c r="G151" s="1361"/>
      <c r="H151" s="1361"/>
      <c r="I151" s="1361"/>
      <c r="J151" s="5276"/>
      <c r="K151" s="106"/>
      <c r="L151" s="1021" t="str">
        <f t="shared" si="83"/>
        <v>►</v>
      </c>
      <c r="M151" s="196" t="str">
        <f>M116</f>
        <v>N NOMBRE DE SU RECETA | pegue esto — FAMILIA| Autor &gt; USTED</v>
      </c>
      <c r="N151" s="196">
        <f>N116</f>
        <v>5.53</v>
      </c>
      <c r="O151" s="197" t="str">
        <f>O116</f>
        <v>kg</v>
      </c>
      <c r="P151" s="5388" t="str">
        <f>P116</f>
        <v>Receta madre ► Ballotina de pintada</v>
      </c>
      <c r="Q151" s="5275"/>
      <c r="R151" s="1361"/>
      <c r="S151" s="1361"/>
      <c r="T151" s="1361"/>
      <c r="U151" s="1361"/>
      <c r="V151" s="1361"/>
      <c r="W151" s="1361"/>
      <c r="X151" s="1361"/>
      <c r="Y151" s="1361"/>
      <c r="Z151" s="5276"/>
      <c r="AA151" s="6876" t="str">
        <f>IF(OR(AA150="",AD146=0),"",INT(AD146/AA150) &amp; " " &amp; AA148 &amp; " de " &amp; AA150 &amp; " " &amp; AC147 &amp; IF(MOD(AD146,AA150)&gt;0," + 1 " &amp; AA148 &amp; " de " &amp; TEXT(MOD(AD146,AA150),"0.00") &amp; " " &amp; AC147,""))</f>
        <v>8 pack(s) de 27 tajadas + 1 pack(s) de 9.00 tajadas</v>
      </c>
      <c r="AB151" s="6877"/>
      <c r="AC151" s="6877"/>
      <c r="AD151" s="6878"/>
      <c r="AE151" s="4" t="s">
        <v>1</v>
      </c>
      <c r="AF151" s="6202" t="str">
        <f t="shared" si="84"/>
        <v>►</v>
      </c>
      <c r="AG151" s="6234" t="str">
        <f t="shared" si="85"/>
        <v/>
      </c>
      <c r="AH151" s="6732" t="str">
        <f t="shared" si="86"/>
        <v/>
      </c>
      <c r="AI151" s="6234" t="str">
        <f t="shared" si="87"/>
        <v/>
      </c>
      <c r="AJ151" s="6732" t="str">
        <f t="shared" si="88"/>
        <v/>
      </c>
      <c r="AK151" s="6732">
        <f t="shared" si="89"/>
        <v>0</v>
      </c>
      <c r="AL151" s="6230" t="str" cm="1">
        <f t="array" ref="AL151">IF(AF151&lt;&gt;"A","",IFERROR((IFERROR(_xlfn.XLOOKUP(TRIM(SUBSTITUTE(U151,CHAR(160)," ")),$BJ$15:$BJ$62,$BM$15:$BM$62),IFERROR(_xlfn.XLOOKUP(TRIM(SUBSTITUTE(U151,CHAR(160)," ")),$BK$15:$BK$62,$BM$15:$BM$62),_xlfn.XLOOKUP(TRIM(SUBSTITUTE(U151,CHAR(160)," ")),$BL$15:$BL$62,$BM$15:$BM$62))))*T151*IF(ISBLANK(Q151),1,Q151)+IFERROR(_xlfn.XLOOKUP("RECHERCHEX",TRIM(L151:AD151),L151:AD151),0),0))</f>
        <v/>
      </c>
      <c r="AM151" s="6229">
        <f t="shared" si="90"/>
        <v>0</v>
      </c>
      <c r="AN151" s="6857" t="str">
        <f t="shared" si="77"/>
        <v/>
      </c>
      <c r="AO151" s="392">
        <f t="shared" si="91"/>
        <v>0</v>
      </c>
      <c r="AP151" s="392">
        <f t="shared" si="92"/>
        <v>0</v>
      </c>
      <c r="AQ151" s="6191">
        <f t="shared" si="93"/>
        <v>0</v>
      </c>
      <c r="AR151" s="6859" t="str">
        <f t="shared" si="94"/>
        <v/>
      </c>
      <c r="AS151" s="6217"/>
      <c r="AT151" s="6217"/>
      <c r="AU151" s="6272">
        <f t="shared" si="95"/>
        <v>0</v>
      </c>
      <c r="AV151" s="6240">
        <f t="shared" si="96"/>
        <v>0</v>
      </c>
      <c r="AW151" s="6189" cm="1">
        <f t="array" ref="AW151">IF(AK151&lt;&gt;1,0,IF(OR(AU151="",N(AU151)&lt;=0.000000001),"",IF(OR(AO151="",N(AO151)&lt;=0.000000001),0,IF(ISNUMBER(AU151),IFERROR(_xlfn.LET(_xlpm.ai_test,TRIM(AJ151),_xlpm.r,IFERROR(_xlfn.XLOOKUP(_xlpm.ai_test,$BJ$15:$BJ$62,ROW($BJ$15:$BJ$62),0,1),IFERROR(_xlfn.XLOOKUP(_xlpm.ai_test,$BK$15:$BK$62,ROW($BK$15:$BK$62),0,1),_xlfn.XLOOKUP(_xlpm.ai_test,$BL$15:$BL$62,ROW($BL$15:$BL$62),0,1))),_xlpm.p,_xlpm.r-MIN(ROW($BJ$15:$BJ$62))+1,_xlpm.f,INDEX($BM$15:$BM$62,_xlpm.p),_xlpm.u,INDEX($BN$15:$BN$62,_xlpm.p),_xlpm.s,INDEX($BP$15:$BP$62,_xlpm.p),_xlpm.q,N(AU151)/_xlpm.f,IF(_xlpm.q&gt;=_xlpm.s,ROUND(_xlpm.q,1)&amp;" "&amp;_xlpm.ai_test&amp;" = "&amp;ROUND(_xlpm.q*_xlpm.f,1)&amp;" "&amp;_xlpm.u,ROUND(_xlpm.q,1)&amp;" "&amp;_xlpm.ai_test)),""),""))))</f>
        <v>0</v>
      </c>
      <c r="AX151" s="6218"/>
      <c r="AY151" s="6272">
        <f t="shared" si="97"/>
        <v>0</v>
      </c>
      <c r="AZ151" s="6240" t="str">
        <f t="shared" si="98"/>
        <v/>
      </c>
      <c r="BA151" s="6195">
        <f t="shared" ref="BA151:BA214" si="103">IF(ISNUMBER(BG151),IF(ABS(BG151)&lt;=0.000000001,0,BG151),0)</f>
        <v>0</v>
      </c>
      <c r="BB151" s="6193" t="str">
        <f t="shared" si="99"/>
        <v/>
      </c>
      <c r="BC151" s="6219"/>
      <c r="BD151" s="6222">
        <f t="shared" si="75"/>
        <v>0</v>
      </c>
      <c r="BE151" s="6220" t="str">
        <f t="shared" si="100"/>
        <v/>
      </c>
      <c r="BF151" s="4" t="s">
        <v>1</v>
      </c>
      <c r="BG151" s="6196">
        <f t="shared" si="101"/>
        <v>0</v>
      </c>
      <c r="BH151" s="6197">
        <f t="shared" si="102"/>
        <v>0</v>
      </c>
      <c r="BI151"/>
      <c r="BR151"/>
      <c r="BS151"/>
      <c r="BT151"/>
      <c r="BU151"/>
      <c r="BV151"/>
      <c r="BW151"/>
      <c r="BX151" s="20" t="str">
        <f t="shared" si="81"/>
        <v>►</v>
      </c>
      <c r="BY151"/>
      <c r="BZ151"/>
      <c r="CA151"/>
      <c r="CB151"/>
      <c r="CC151"/>
      <c r="CD151" s="2"/>
      <c r="DC151" s="5">
        <v>1</v>
      </c>
    </row>
    <row r="152" spans="1:107" s="1" customFormat="1" ht="21" customHeight="1">
      <c r="A152" s="5641" t="s">
        <v>1</v>
      </c>
      <c r="B152" s="5662" t="str">
        <f t="shared" si="80"/>
        <v>►</v>
      </c>
      <c r="C152" s="5825" cm="1">
        <f t="array" ref="C152">SUMPRODUCT(LEN(D152:J152))</f>
        <v>0</v>
      </c>
      <c r="D152" s="5275"/>
      <c r="E152" s="1361"/>
      <c r="F152" s="1361"/>
      <c r="G152" s="1361"/>
      <c r="H152" s="1361"/>
      <c r="I152" s="1361"/>
      <c r="J152" s="5276"/>
      <c r="K152" s="106"/>
      <c r="L152" s="5289" t="s">
        <v>26</v>
      </c>
      <c r="M152" s="196" t="str">
        <f>M116</f>
        <v>N NOMBRE DE SU RECETA | pegue esto — FAMILIA| Autor &gt; USTED</v>
      </c>
      <c r="N152" s="196">
        <f>N116</f>
        <v>5.53</v>
      </c>
      <c r="O152" s="197" t="str">
        <f>O116</f>
        <v>kg</v>
      </c>
      <c r="P152" s="5388" t="str">
        <f>P116</f>
        <v>Receta madre ► Ballotina de pintada</v>
      </c>
      <c r="Q152" s="5290" t="s">
        <v>8423</v>
      </c>
      <c r="R152" s="1361"/>
      <c r="S152" s="1361"/>
      <c r="T152" s="1361"/>
      <c r="U152" s="1361"/>
      <c r="V152" s="1361"/>
      <c r="W152" s="1361"/>
      <c r="X152" s="1361"/>
      <c r="Y152" s="1361"/>
      <c r="Z152" s="5291"/>
      <c r="AA152" s="6879"/>
      <c r="AB152" s="6880"/>
      <c r="AC152" s="6880"/>
      <c r="AD152" s="6881"/>
      <c r="AE152" s="4" t="s">
        <v>1</v>
      </c>
      <c r="AF152" s="6202" t="str">
        <f t="shared" si="84"/>
        <v>►</v>
      </c>
      <c r="AG152" s="6234" t="str">
        <f t="shared" si="85"/>
        <v/>
      </c>
      <c r="AH152" s="6732" t="str">
        <f t="shared" si="86"/>
        <v/>
      </c>
      <c r="AI152" s="6234" t="str">
        <f t="shared" si="87"/>
        <v/>
      </c>
      <c r="AJ152" s="6732" t="str">
        <f t="shared" si="88"/>
        <v/>
      </c>
      <c r="AK152" s="6732">
        <f t="shared" si="89"/>
        <v>0</v>
      </c>
      <c r="AL152" s="6230" t="str" cm="1">
        <f t="array" ref="AL152">IF(AF152&lt;&gt;"A","",IFERROR((IFERROR(_xlfn.XLOOKUP(TRIM(SUBSTITUTE(U152,CHAR(160)," ")),$BJ$15:$BJ$62,$BM$15:$BM$62),IFERROR(_xlfn.XLOOKUP(TRIM(SUBSTITUTE(U152,CHAR(160)," ")),$BK$15:$BK$62,$BM$15:$BM$62),_xlfn.XLOOKUP(TRIM(SUBSTITUTE(U152,CHAR(160)," ")),$BL$15:$BL$62,$BM$15:$BM$62))))*T152*IF(ISBLANK(Q152),1,Q152)+IFERROR(_xlfn.XLOOKUP("RECHERCHEX",TRIM(L152:AD152),L152:AD152),0),0))</f>
        <v/>
      </c>
      <c r="AM152" s="6229">
        <f t="shared" si="90"/>
        <v>0</v>
      </c>
      <c r="AN152" s="6857" t="str">
        <f t="shared" si="77"/>
        <v/>
      </c>
      <c r="AO152" s="392">
        <f t="shared" si="91"/>
        <v>0</v>
      </c>
      <c r="AP152" s="392">
        <f t="shared" si="92"/>
        <v>0</v>
      </c>
      <c r="AQ152" s="6190">
        <f t="shared" si="93"/>
        <v>0</v>
      </c>
      <c r="AR152" s="6858" t="str">
        <f t="shared" si="94"/>
        <v/>
      </c>
      <c r="AS152" s="6217"/>
      <c r="AT152" s="6217"/>
      <c r="AU152" s="6271">
        <f t="shared" si="95"/>
        <v>0</v>
      </c>
      <c r="AV152" s="6242">
        <f t="shared" si="96"/>
        <v>0</v>
      </c>
      <c r="AW152" s="6188" cm="1">
        <f t="array" ref="AW152">IF(AK152&lt;&gt;1,0,IF(OR(AU152="",N(AU152)&lt;=0.000000001),"",IF(OR(AO152="",N(AO152)&lt;=0.000000001),0,IF(ISNUMBER(AU152),IFERROR(_xlfn.LET(_xlpm.ai_test,TRIM(AJ152),_xlpm.r,IFERROR(_xlfn.XLOOKUP(_xlpm.ai_test,$BJ$15:$BJ$62,ROW($BJ$15:$BJ$62),0,1),IFERROR(_xlfn.XLOOKUP(_xlpm.ai_test,$BK$15:$BK$62,ROW($BK$15:$BK$62),0,1),_xlfn.XLOOKUP(_xlpm.ai_test,$BL$15:$BL$62,ROW($BL$15:$BL$62),0,1))),_xlpm.p,_xlpm.r-MIN(ROW($BJ$15:$BJ$62))+1,_xlpm.f,INDEX($BM$15:$BM$62,_xlpm.p),_xlpm.u,INDEX($BN$15:$BN$62,_xlpm.p),_xlpm.s,INDEX($BP$15:$BP$62,_xlpm.p),_xlpm.q,N(AU152)/_xlpm.f,IF(_xlpm.q&gt;=_xlpm.s,ROUND(_xlpm.q,1)&amp;" "&amp;_xlpm.ai_test&amp;" = "&amp;ROUND(_xlpm.q*_xlpm.f,1)&amp;" "&amp;_xlpm.u,ROUND(_xlpm.q,1)&amp;" "&amp;_xlpm.ai_test)),""),""))))</f>
        <v>0</v>
      </c>
      <c r="AX152" s="6218"/>
      <c r="AY152" s="6271">
        <f t="shared" si="97"/>
        <v>0</v>
      </c>
      <c r="AZ152" s="6242" t="str">
        <f t="shared" si="98"/>
        <v/>
      </c>
      <c r="BA152" s="6194">
        <f t="shared" si="103"/>
        <v>0</v>
      </c>
      <c r="BB152" s="6192" t="str">
        <f t="shared" si="99"/>
        <v/>
      </c>
      <c r="BC152" s="6219"/>
      <c r="BD152" s="6221">
        <f t="shared" si="75"/>
        <v>0</v>
      </c>
      <c r="BE152" s="6220" t="str">
        <f t="shared" si="100"/>
        <v/>
      </c>
      <c r="BF152" s="4" t="s">
        <v>1</v>
      </c>
      <c r="BG152" s="6196">
        <f t="shared" si="101"/>
        <v>0</v>
      </c>
      <c r="BH152" s="6197">
        <f t="shared" si="102"/>
        <v>0</v>
      </c>
      <c r="BI152"/>
      <c r="BR152"/>
      <c r="BS152"/>
      <c r="BT152"/>
      <c r="BU152"/>
      <c r="BV152"/>
      <c r="BW152"/>
      <c r="BX152" s="20" t="str">
        <f t="shared" si="81"/>
        <v>►</v>
      </c>
      <c r="BY152"/>
      <c r="BZ152"/>
      <c r="CA152"/>
      <c r="CB152"/>
      <c r="CC152"/>
      <c r="CD152" s="2"/>
      <c r="DC152" s="5">
        <v>1</v>
      </c>
    </row>
    <row r="153" spans="1:107" s="1" customFormat="1" ht="21" customHeight="1">
      <c r="A153" s="5641" t="s">
        <v>1</v>
      </c>
      <c r="B153" s="5662" t="str">
        <f t="shared" si="80"/>
        <v>A</v>
      </c>
      <c r="C153" s="5825" cm="1">
        <f t="array" ref="C153">SUMPRODUCT(LEN(D153:J153))</f>
        <v>0</v>
      </c>
      <c r="D153" s="5275"/>
      <c r="E153" s="1361"/>
      <c r="F153" s="1361"/>
      <c r="G153" s="1361"/>
      <c r="H153" s="1361"/>
      <c r="I153" s="1361"/>
      <c r="J153" s="5276"/>
      <c r="K153" s="106"/>
      <c r="L153" s="5289" t="s">
        <v>21</v>
      </c>
      <c r="M153" s="196" t="str">
        <f>M116</f>
        <v>N NOMBRE DE SU RECETA | pegue esto — FAMILIA| Autor &gt; USTED</v>
      </c>
      <c r="N153" s="196">
        <f>N116</f>
        <v>5.53</v>
      </c>
      <c r="O153" s="197" t="str">
        <f>O116</f>
        <v>kg</v>
      </c>
      <c r="P153" s="5388" t="str">
        <f>P116</f>
        <v>Receta madre ► Ballotina de pintada</v>
      </c>
      <c r="Q153" s="5292" t="s">
        <v>8424</v>
      </c>
      <c r="R153" s="988"/>
      <c r="S153" s="988"/>
      <c r="T153" s="988"/>
      <c r="U153" s="988"/>
      <c r="V153" s="988"/>
      <c r="W153" s="988"/>
      <c r="X153" s="988"/>
      <c r="Y153" s="988"/>
      <c r="Z153" s="1325"/>
      <c r="AA153" s="6210">
        <v>120</v>
      </c>
      <c r="AB153" s="77" t="s">
        <v>8435</v>
      </c>
      <c r="AC153" s="147"/>
      <c r="AD153" s="6211">
        <f>(AA153*AA147)/1000</f>
        <v>18</v>
      </c>
      <c r="AE153" s="4" t="s">
        <v>1</v>
      </c>
      <c r="AF153" s="6202" t="str">
        <f t="shared" si="84"/>
        <v>►</v>
      </c>
      <c r="AG153" s="6234" t="str">
        <f t="shared" si="85"/>
        <v/>
      </c>
      <c r="AH153" s="6732" t="str">
        <f t="shared" si="86"/>
        <v/>
      </c>
      <c r="AI153" s="6234" t="str">
        <f t="shared" si="87"/>
        <v/>
      </c>
      <c r="AJ153" s="6732" t="str">
        <f t="shared" si="88"/>
        <v/>
      </c>
      <c r="AK153" s="6732">
        <f t="shared" si="89"/>
        <v>0</v>
      </c>
      <c r="AL153" s="6230" t="str" cm="1">
        <f t="array" ref="AL153">IF(AF153&lt;&gt;"A","",IFERROR((IFERROR(_xlfn.XLOOKUP(TRIM(SUBSTITUTE(U153,CHAR(160)," ")),$BJ$15:$BJ$62,$BM$15:$BM$62),IFERROR(_xlfn.XLOOKUP(TRIM(SUBSTITUTE(U153,CHAR(160)," ")),$BK$15:$BK$62,$BM$15:$BM$62),_xlfn.XLOOKUP(TRIM(SUBSTITUTE(U153,CHAR(160)," ")),$BL$15:$BL$62,$BM$15:$BM$62))))*T153*IF(ISBLANK(Q153),1,Q153)+IFERROR(_xlfn.XLOOKUP("RECHERCHEX",TRIM(L153:AD153),L153:AD153),0),0))</f>
        <v/>
      </c>
      <c r="AM153" s="6229">
        <f t="shared" si="90"/>
        <v>0</v>
      </c>
      <c r="AN153" s="6857" t="str">
        <f t="shared" si="77"/>
        <v/>
      </c>
      <c r="AO153" s="392">
        <f t="shared" si="91"/>
        <v>0</v>
      </c>
      <c r="AP153" s="392">
        <f t="shared" si="92"/>
        <v>0</v>
      </c>
      <c r="AQ153" s="6191">
        <f t="shared" si="93"/>
        <v>0</v>
      </c>
      <c r="AR153" s="6859" t="str">
        <f t="shared" si="94"/>
        <v/>
      </c>
      <c r="AS153" s="6217"/>
      <c r="AT153" s="6217"/>
      <c r="AU153" s="6272">
        <f t="shared" si="95"/>
        <v>0</v>
      </c>
      <c r="AV153" s="6240">
        <f t="shared" si="96"/>
        <v>0</v>
      </c>
      <c r="AW153" s="6189" cm="1">
        <f t="array" ref="AW153">IF(AK153&lt;&gt;1,0,IF(OR(AU153="",N(AU153)&lt;=0.000000001),"",IF(OR(AO153="",N(AO153)&lt;=0.000000001),0,IF(ISNUMBER(AU153),IFERROR(_xlfn.LET(_xlpm.ai_test,TRIM(AJ153),_xlpm.r,IFERROR(_xlfn.XLOOKUP(_xlpm.ai_test,$BJ$15:$BJ$62,ROW($BJ$15:$BJ$62),0,1),IFERROR(_xlfn.XLOOKUP(_xlpm.ai_test,$BK$15:$BK$62,ROW($BK$15:$BK$62),0,1),_xlfn.XLOOKUP(_xlpm.ai_test,$BL$15:$BL$62,ROW($BL$15:$BL$62),0,1))),_xlpm.p,_xlpm.r-MIN(ROW($BJ$15:$BJ$62))+1,_xlpm.f,INDEX($BM$15:$BM$62,_xlpm.p),_xlpm.u,INDEX($BN$15:$BN$62,_xlpm.p),_xlpm.s,INDEX($BP$15:$BP$62,_xlpm.p),_xlpm.q,N(AU153)/_xlpm.f,IF(_xlpm.q&gt;=_xlpm.s,ROUND(_xlpm.q,1)&amp;" "&amp;_xlpm.ai_test&amp;" = "&amp;ROUND(_xlpm.q*_xlpm.f,1)&amp;" "&amp;_xlpm.u,ROUND(_xlpm.q,1)&amp;" "&amp;_xlpm.ai_test)),""),""))))</f>
        <v>0</v>
      </c>
      <c r="AX153" s="6218"/>
      <c r="AY153" s="6272">
        <f t="shared" si="97"/>
        <v>0</v>
      </c>
      <c r="AZ153" s="6240" t="str">
        <f t="shared" si="98"/>
        <v/>
      </c>
      <c r="BA153" s="6195">
        <f t="shared" si="103"/>
        <v>0</v>
      </c>
      <c r="BB153" s="6193" t="str">
        <f t="shared" si="99"/>
        <v/>
      </c>
      <c r="BC153" s="6219"/>
      <c r="BD153" s="6222">
        <f t="shared" si="75"/>
        <v>0</v>
      </c>
      <c r="BE153" s="6220" t="str">
        <f t="shared" si="100"/>
        <v/>
      </c>
      <c r="BF153" s="4" t="s">
        <v>1</v>
      </c>
      <c r="BG153" s="6196">
        <f t="shared" si="101"/>
        <v>0</v>
      </c>
      <c r="BH153" s="6197">
        <f t="shared" si="102"/>
        <v>0</v>
      </c>
      <c r="BI153"/>
      <c r="BR153"/>
      <c r="BS153"/>
      <c r="BT153"/>
      <c r="BU153"/>
      <c r="BV153"/>
      <c r="BW153"/>
      <c r="BX153" s="20" t="str">
        <f t="shared" si="81"/>
        <v>►</v>
      </c>
      <c r="BY153"/>
      <c r="BZ153"/>
      <c r="CA153"/>
      <c r="CB153"/>
      <c r="CC153"/>
      <c r="CD153" s="2"/>
      <c r="DC153" s="5">
        <v>1</v>
      </c>
    </row>
    <row r="154" spans="1:107" s="1" customFormat="1" ht="21" customHeight="1">
      <c r="A154" s="5641" t="s">
        <v>1</v>
      </c>
      <c r="B154" s="5662" t="str">
        <f t="shared" si="80"/>
        <v>A</v>
      </c>
      <c r="C154" s="5825" cm="1">
        <f t="array" ref="C154">SUMPRODUCT(LEN(D154:J154))</f>
        <v>0</v>
      </c>
      <c r="D154" s="5275"/>
      <c r="E154" s="1361"/>
      <c r="F154" s="1361"/>
      <c r="G154" s="1361"/>
      <c r="H154" s="1361"/>
      <c r="I154" s="1361"/>
      <c r="J154" s="5276"/>
      <c r="K154" s="106"/>
      <c r="L154" s="5289" t="s">
        <v>21</v>
      </c>
      <c r="M154" s="196" t="str">
        <f>M116</f>
        <v>N NOMBRE DE SU RECETA | pegue esto — FAMILIA| Autor &gt; USTED</v>
      </c>
      <c r="N154" s="196">
        <f>N116</f>
        <v>5.53</v>
      </c>
      <c r="O154" s="197" t="str">
        <f>O116</f>
        <v>kg</v>
      </c>
      <c r="P154" s="5388" t="str">
        <f>P116</f>
        <v>Receta madre ► Ballotina de pintada</v>
      </c>
      <c r="Q154" s="5294" t="s">
        <v>8425</v>
      </c>
      <c r="R154" s="1449"/>
      <c r="S154" s="1449"/>
      <c r="T154" s="1449"/>
      <c r="U154" s="1449"/>
      <c r="V154" s="1449"/>
      <c r="W154" s="1449"/>
      <c r="X154" s="1449"/>
      <c r="Y154" s="1449"/>
      <c r="Z154" s="5295"/>
      <c r="AA154" s="6806">
        <v>2.7</v>
      </c>
      <c r="AB154" s="5297" t="str">
        <f>"peso por  "&amp; AA148</f>
        <v>peso por  pack(s)</v>
      </c>
      <c r="AC154" s="147"/>
      <c r="AD154" s="609"/>
      <c r="AE154" s="4" t="s">
        <v>1</v>
      </c>
      <c r="AF154" s="6202" t="str">
        <f t="shared" si="84"/>
        <v>►</v>
      </c>
      <c r="AG154" s="6234" t="str">
        <f t="shared" si="85"/>
        <v/>
      </c>
      <c r="AH154" s="6732" t="str">
        <f t="shared" si="86"/>
        <v/>
      </c>
      <c r="AI154" s="6234" t="str">
        <f t="shared" si="87"/>
        <v/>
      </c>
      <c r="AJ154" s="6732" t="str">
        <f t="shared" si="88"/>
        <v/>
      </c>
      <c r="AK154" s="6732">
        <f t="shared" si="89"/>
        <v>0</v>
      </c>
      <c r="AL154" s="6230" t="str" cm="1">
        <f t="array" ref="AL154">IF(AF154&lt;&gt;"A","",IFERROR((IFERROR(_xlfn.XLOOKUP(TRIM(SUBSTITUTE(U154,CHAR(160)," ")),$BJ$15:$BJ$62,$BM$15:$BM$62),IFERROR(_xlfn.XLOOKUP(TRIM(SUBSTITUTE(U154,CHAR(160)," ")),$BK$15:$BK$62,$BM$15:$BM$62),_xlfn.XLOOKUP(TRIM(SUBSTITUTE(U154,CHAR(160)," ")),$BL$15:$BL$62,$BM$15:$BM$62))))*T154*IF(ISBLANK(Q154),1,Q154)+IFERROR(_xlfn.XLOOKUP("RECHERCHEX",TRIM(L154:AD154),L154:AD154),0),0))</f>
        <v/>
      </c>
      <c r="AM154" s="6229">
        <f t="shared" si="90"/>
        <v>0</v>
      </c>
      <c r="AN154" s="6857" t="str">
        <f t="shared" si="77"/>
        <v/>
      </c>
      <c r="AO154" s="392">
        <f t="shared" si="91"/>
        <v>0</v>
      </c>
      <c r="AP154" s="392">
        <f t="shared" si="92"/>
        <v>0</v>
      </c>
      <c r="AQ154" s="6190">
        <f t="shared" si="93"/>
        <v>0</v>
      </c>
      <c r="AR154" s="6858" t="str">
        <f t="shared" si="94"/>
        <v/>
      </c>
      <c r="AS154" s="6217"/>
      <c r="AT154" s="6217"/>
      <c r="AU154" s="6271">
        <f t="shared" si="95"/>
        <v>0</v>
      </c>
      <c r="AV154" s="6242">
        <f t="shared" si="96"/>
        <v>0</v>
      </c>
      <c r="AW154" s="6188" cm="1">
        <f t="array" ref="AW154">IF(AK154&lt;&gt;1,0,IF(OR(AU154="",N(AU154)&lt;=0.000000001),"",IF(OR(AO154="",N(AO154)&lt;=0.000000001),0,IF(ISNUMBER(AU154),IFERROR(_xlfn.LET(_xlpm.ai_test,TRIM(AJ154),_xlpm.r,IFERROR(_xlfn.XLOOKUP(_xlpm.ai_test,$BJ$15:$BJ$62,ROW($BJ$15:$BJ$62),0,1),IFERROR(_xlfn.XLOOKUP(_xlpm.ai_test,$BK$15:$BK$62,ROW($BK$15:$BK$62),0,1),_xlfn.XLOOKUP(_xlpm.ai_test,$BL$15:$BL$62,ROW($BL$15:$BL$62),0,1))),_xlpm.p,_xlpm.r-MIN(ROW($BJ$15:$BJ$62))+1,_xlpm.f,INDEX($BM$15:$BM$62,_xlpm.p),_xlpm.u,INDEX($BN$15:$BN$62,_xlpm.p),_xlpm.s,INDEX($BP$15:$BP$62,_xlpm.p),_xlpm.q,N(AU154)/_xlpm.f,IF(_xlpm.q&gt;=_xlpm.s,ROUND(_xlpm.q,1)&amp;" "&amp;_xlpm.ai_test&amp;" = "&amp;ROUND(_xlpm.q*_xlpm.f,1)&amp;" "&amp;_xlpm.u,ROUND(_xlpm.q,1)&amp;" "&amp;_xlpm.ai_test)),""),""))))</f>
        <v>0</v>
      </c>
      <c r="AX154" s="6218"/>
      <c r="AY154" s="6271">
        <f t="shared" si="97"/>
        <v>0</v>
      </c>
      <c r="AZ154" s="6242" t="str">
        <f t="shared" si="98"/>
        <v/>
      </c>
      <c r="BA154" s="6194">
        <f t="shared" si="103"/>
        <v>0</v>
      </c>
      <c r="BB154" s="6192" t="str">
        <f t="shared" si="99"/>
        <v/>
      </c>
      <c r="BC154" s="6219"/>
      <c r="BD154" s="6221">
        <f t="shared" si="75"/>
        <v>0</v>
      </c>
      <c r="BE154" s="6220" t="str">
        <f t="shared" si="100"/>
        <v/>
      </c>
      <c r="BF154" s="4" t="s">
        <v>1</v>
      </c>
      <c r="BG154" s="6196">
        <f t="shared" si="101"/>
        <v>0</v>
      </c>
      <c r="BH154" s="6197">
        <f t="shared" si="102"/>
        <v>0</v>
      </c>
      <c r="BI154"/>
      <c r="BR154"/>
      <c r="BS154"/>
      <c r="BT154"/>
      <c r="BU154"/>
      <c r="BV154"/>
      <c r="BW154"/>
      <c r="BX154" s="20" t="str">
        <f t="shared" si="81"/>
        <v>►</v>
      </c>
      <c r="BY154"/>
      <c r="BZ154"/>
      <c r="CA154"/>
      <c r="CB154"/>
      <c r="CC154"/>
      <c r="CD154" s="2"/>
      <c r="CE154"/>
      <c r="CF154"/>
      <c r="CG154"/>
      <c r="CH154"/>
      <c r="CI154"/>
      <c r="CJ154"/>
      <c r="CK154"/>
      <c r="CM154"/>
      <c r="CN154"/>
      <c r="CO154"/>
      <c r="CP154"/>
      <c r="CQ154"/>
      <c r="CR154"/>
      <c r="CS154"/>
      <c r="CU154"/>
      <c r="CV154"/>
      <c r="CW154"/>
      <c r="CX154"/>
      <c r="CY154"/>
      <c r="CZ154"/>
      <c r="DA154"/>
      <c r="DC154" s="5">
        <v>1</v>
      </c>
    </row>
    <row r="155" spans="1:107" s="1" customFormat="1" ht="21" customHeight="1">
      <c r="A155" s="5641" t="s">
        <v>1</v>
      </c>
      <c r="B155" s="5662" t="str">
        <f t="shared" si="80"/>
        <v>A</v>
      </c>
      <c r="C155" s="5825" cm="1">
        <f t="array" ref="C155">SUMPRODUCT(LEN(D155:J155))</f>
        <v>0</v>
      </c>
      <c r="D155" s="5275"/>
      <c r="E155" s="1361"/>
      <c r="F155" s="1361"/>
      <c r="G155" s="1361"/>
      <c r="H155" s="1361"/>
      <c r="I155" s="1361"/>
      <c r="J155" s="5276"/>
      <c r="K155" s="106"/>
      <c r="L155" s="5289" t="s">
        <v>21</v>
      </c>
      <c r="M155" s="196" t="str">
        <f>M116</f>
        <v>N NOMBRE DE SU RECETA | pegue esto — FAMILIA| Autor &gt; USTED</v>
      </c>
      <c r="N155" s="196">
        <f>N116</f>
        <v>5.53</v>
      </c>
      <c r="O155" s="197" t="str">
        <f>O116</f>
        <v>kg</v>
      </c>
      <c r="P155" s="5388" t="str">
        <f>P116</f>
        <v>Receta madre ► Ballotina de pintada</v>
      </c>
      <c r="Q155" s="1002"/>
      <c r="R155" s="1002"/>
      <c r="S155" s="1002" t="s">
        <v>8426</v>
      </c>
      <c r="T155" s="1003"/>
      <c r="U155" s="1329"/>
      <c r="V155" s="1329"/>
      <c r="W155" s="1329"/>
      <c r="X155" s="1329"/>
      <c r="Y155" s="1329"/>
      <c r="Z155" s="1330"/>
      <c r="AA155" s="6882" t="str">
        <f>IF(OR(AD153&lt;=0,AA154&lt;=0),"",_xlfn.LET(_xlpm.n,ROUND(AD153/AA154,9),_xlpm.q,INT(_xlpm.n),_xlpm.r,ROUND(AD153-_xlpm.q*AA154,9),_xlpm.base,_xlpm.q&amp;" "&amp;AA148&amp;" de "&amp;TEXT(AA154,"0.000")&amp;" kg",IF(_xlpm.r&lt;=0.000000001,_xlpm.base,_xlpm.base&amp;" + 1 "&amp;AA148&amp;" de "&amp;TEXT(_xlpm.r,"0.000")&amp;" kg")))</f>
        <v>6 pack(s) de 2.700 kg + 1 pack(s) de 1.800 kg</v>
      </c>
      <c r="AB155" s="6883"/>
      <c r="AC155" s="6883"/>
      <c r="AD155" s="6884"/>
      <c r="AE155" s="4" t="s">
        <v>1</v>
      </c>
      <c r="AF155" s="6202" t="str">
        <f t="shared" si="84"/>
        <v>►</v>
      </c>
      <c r="AG155" s="6234" t="str">
        <f t="shared" si="85"/>
        <v/>
      </c>
      <c r="AH155" s="6732" t="str">
        <f t="shared" si="86"/>
        <v/>
      </c>
      <c r="AI155" s="6234" t="str">
        <f t="shared" si="87"/>
        <v/>
      </c>
      <c r="AJ155" s="6732" t="str">
        <f t="shared" si="88"/>
        <v/>
      </c>
      <c r="AK155" s="6732">
        <f t="shared" si="89"/>
        <v>0</v>
      </c>
      <c r="AL155" s="6230" t="str" cm="1">
        <f t="array" ref="AL155">IF(AF155&lt;&gt;"A","",IFERROR((IFERROR(_xlfn.XLOOKUP(TRIM(SUBSTITUTE(U155,CHAR(160)," ")),$BJ$15:$BJ$62,$BM$15:$BM$62),IFERROR(_xlfn.XLOOKUP(TRIM(SUBSTITUTE(U155,CHAR(160)," ")),$BK$15:$BK$62,$BM$15:$BM$62),_xlfn.XLOOKUP(TRIM(SUBSTITUTE(U155,CHAR(160)," ")),$BL$15:$BL$62,$BM$15:$BM$62))))*T155*IF(ISBLANK(Q155),1,Q155)+IFERROR(_xlfn.XLOOKUP("RECHERCHEX",TRIM(L155:AD155),L155:AD155),0),0))</f>
        <v/>
      </c>
      <c r="AM155" s="6229">
        <f t="shared" si="90"/>
        <v>0</v>
      </c>
      <c r="AN155" s="6857" t="str">
        <f t="shared" si="77"/>
        <v/>
      </c>
      <c r="AO155" s="392">
        <f t="shared" si="91"/>
        <v>0</v>
      </c>
      <c r="AP155" s="392">
        <f t="shared" si="92"/>
        <v>0</v>
      </c>
      <c r="AQ155" s="6191">
        <f t="shared" si="93"/>
        <v>0</v>
      </c>
      <c r="AR155" s="6859" t="str">
        <f t="shared" si="94"/>
        <v/>
      </c>
      <c r="AS155" s="6217"/>
      <c r="AT155" s="6217"/>
      <c r="AU155" s="6272">
        <f t="shared" si="95"/>
        <v>0</v>
      </c>
      <c r="AV155" s="6240">
        <f t="shared" si="96"/>
        <v>0</v>
      </c>
      <c r="AW155" s="6189" cm="1">
        <f t="array" ref="AW155">IF(AK155&lt;&gt;1,0,IF(OR(AU155="",N(AU155)&lt;=0.000000001),"",IF(OR(AO155="",N(AO155)&lt;=0.000000001),0,IF(ISNUMBER(AU155),IFERROR(_xlfn.LET(_xlpm.ai_test,TRIM(AJ155),_xlpm.r,IFERROR(_xlfn.XLOOKUP(_xlpm.ai_test,$BJ$15:$BJ$62,ROW($BJ$15:$BJ$62),0,1),IFERROR(_xlfn.XLOOKUP(_xlpm.ai_test,$BK$15:$BK$62,ROW($BK$15:$BK$62),0,1),_xlfn.XLOOKUP(_xlpm.ai_test,$BL$15:$BL$62,ROW($BL$15:$BL$62),0,1))),_xlpm.p,_xlpm.r-MIN(ROW($BJ$15:$BJ$62))+1,_xlpm.f,INDEX($BM$15:$BM$62,_xlpm.p),_xlpm.u,INDEX($BN$15:$BN$62,_xlpm.p),_xlpm.s,INDEX($BP$15:$BP$62,_xlpm.p),_xlpm.q,N(AU155)/_xlpm.f,IF(_xlpm.q&gt;=_xlpm.s,ROUND(_xlpm.q,1)&amp;" "&amp;_xlpm.ai_test&amp;" = "&amp;ROUND(_xlpm.q*_xlpm.f,1)&amp;" "&amp;_xlpm.u,ROUND(_xlpm.q,1)&amp;" "&amp;_xlpm.ai_test)),""),""))))</f>
        <v>0</v>
      </c>
      <c r="AX155" s="6218"/>
      <c r="AY155" s="6272">
        <f t="shared" si="97"/>
        <v>0</v>
      </c>
      <c r="AZ155" s="6240" t="str">
        <f t="shared" si="98"/>
        <v/>
      </c>
      <c r="BA155" s="6195">
        <f t="shared" si="103"/>
        <v>0</v>
      </c>
      <c r="BB155" s="6193" t="str">
        <f t="shared" si="99"/>
        <v/>
      </c>
      <c r="BC155" s="6219"/>
      <c r="BD155" s="6222">
        <f t="shared" ref="BD155:BD218" si="104">IF(OR(AO155=0,ISBLANK(BC155),ISTEXT(BA155)),0,(IF(AU155=0,BA155,AU155)*BC155))</f>
        <v>0</v>
      </c>
      <c r="BE155" s="6220" t="str">
        <f t="shared" si="100"/>
        <v/>
      </c>
      <c r="BF155" s="4" t="s">
        <v>1</v>
      </c>
      <c r="BG155" s="6196">
        <f t="shared" si="101"/>
        <v>0</v>
      </c>
      <c r="BH155" s="6197">
        <f t="shared" si="102"/>
        <v>0</v>
      </c>
      <c r="BI155"/>
      <c r="BR155"/>
      <c r="BS155"/>
      <c r="BT155"/>
      <c r="BU155"/>
      <c r="BV155"/>
      <c r="BW155"/>
      <c r="BX155" s="20" t="str">
        <f t="shared" si="81"/>
        <v>►</v>
      </c>
      <c r="BY155"/>
      <c r="BZ155"/>
      <c r="CA155"/>
      <c r="CB155"/>
      <c r="CC155"/>
      <c r="CD155" s="2"/>
      <c r="CE155"/>
      <c r="CF155"/>
      <c r="CG155"/>
      <c r="CH155"/>
      <c r="CI155"/>
      <c r="CJ155"/>
      <c r="CK155"/>
      <c r="CM155"/>
      <c r="CN155"/>
      <c r="CO155"/>
      <c r="CP155"/>
      <c r="CQ155"/>
      <c r="CR155"/>
      <c r="CS155"/>
      <c r="CU155"/>
      <c r="CV155"/>
      <c r="CW155"/>
      <c r="CX155"/>
      <c r="CY155"/>
      <c r="CZ155"/>
      <c r="DA155"/>
      <c r="DC155" s="5">
        <v>1</v>
      </c>
    </row>
    <row r="156" spans="1:107" s="1" customFormat="1" ht="21" customHeight="1">
      <c r="A156" s="5641" t="s">
        <v>1</v>
      </c>
      <c r="B156" s="5662" t="str">
        <f t="shared" si="80"/>
        <v>A</v>
      </c>
      <c r="C156" s="5825" cm="1">
        <f t="array" ref="C156">SUMPRODUCT(LEN(D156:J156))</f>
        <v>0</v>
      </c>
      <c r="D156" s="5275"/>
      <c r="E156" s="1361"/>
      <c r="F156" s="1361"/>
      <c r="G156" s="1361"/>
      <c r="H156" s="1361"/>
      <c r="I156" s="1361"/>
      <c r="J156" s="5276"/>
      <c r="K156" s="106"/>
      <c r="L156" s="5289" t="s">
        <v>21</v>
      </c>
      <c r="M156" s="5298" t="str">
        <f>M116</f>
        <v>N NOMBRE DE SU RECETA | pegue esto — FAMILIA| Autor &gt; USTED</v>
      </c>
      <c r="N156" s="5298">
        <f>N116</f>
        <v>5.53</v>
      </c>
      <c r="O156" s="5378" t="str">
        <f>O116</f>
        <v>kg</v>
      </c>
      <c r="P156" s="5389" t="str">
        <f>P116</f>
        <v>Receta madre ► Ballotina de pintada</v>
      </c>
      <c r="Q156" s="5299" t="s">
        <v>8375</v>
      </c>
      <c r="R156" s="5300"/>
      <c r="S156" s="5301"/>
      <c r="T156" s="5302"/>
      <c r="U156" s="5301"/>
      <c r="V156" s="5301"/>
      <c r="W156" s="5301"/>
      <c r="X156" s="5301"/>
      <c r="Y156" s="5301"/>
      <c r="Z156" s="5303"/>
      <c r="AA156" s="6885"/>
      <c r="AB156" s="6886"/>
      <c r="AC156" s="6886"/>
      <c r="AD156" s="6887"/>
      <c r="AE156" s="4" t="s">
        <v>1</v>
      </c>
      <c r="AF156" s="6202" t="str">
        <f t="shared" si="84"/>
        <v>►</v>
      </c>
      <c r="AG156" s="6234" t="str">
        <f t="shared" si="85"/>
        <v/>
      </c>
      <c r="AH156" s="6732" t="str">
        <f t="shared" si="86"/>
        <v/>
      </c>
      <c r="AI156" s="6234" t="str">
        <f t="shared" si="87"/>
        <v/>
      </c>
      <c r="AJ156" s="6732" t="str">
        <f t="shared" si="88"/>
        <v/>
      </c>
      <c r="AK156" s="6732">
        <f t="shared" si="89"/>
        <v>0</v>
      </c>
      <c r="AL156" s="6230" t="str" cm="1">
        <f t="array" ref="AL156">IF(AF156&lt;&gt;"A","",IFERROR((IFERROR(_xlfn.XLOOKUP(TRIM(SUBSTITUTE(U156,CHAR(160)," ")),$BJ$15:$BJ$62,$BM$15:$BM$62),IFERROR(_xlfn.XLOOKUP(TRIM(SUBSTITUTE(U156,CHAR(160)," ")),$BK$15:$BK$62,$BM$15:$BM$62),_xlfn.XLOOKUP(TRIM(SUBSTITUTE(U156,CHAR(160)," ")),$BL$15:$BL$62,$BM$15:$BM$62))))*T156*IF(ISBLANK(Q156),1,Q156)+IFERROR(_xlfn.XLOOKUP("RECHERCHEX",TRIM(L156:AD156),L156:AD156),0),0))</f>
        <v/>
      </c>
      <c r="AM156" s="6229">
        <f t="shared" si="90"/>
        <v>0</v>
      </c>
      <c r="AN156" s="6857" t="str">
        <f t="shared" si="77"/>
        <v/>
      </c>
      <c r="AO156" s="392">
        <f t="shared" si="91"/>
        <v>0</v>
      </c>
      <c r="AP156" s="392">
        <f t="shared" si="92"/>
        <v>0</v>
      </c>
      <c r="AQ156" s="6190">
        <f t="shared" si="93"/>
        <v>0</v>
      </c>
      <c r="AR156" s="6858" t="str">
        <f t="shared" si="94"/>
        <v/>
      </c>
      <c r="AS156" s="6217"/>
      <c r="AT156" s="6217"/>
      <c r="AU156" s="6271">
        <f t="shared" si="95"/>
        <v>0</v>
      </c>
      <c r="AV156" s="6242">
        <f t="shared" si="96"/>
        <v>0</v>
      </c>
      <c r="AW156" s="6188" cm="1">
        <f t="array" ref="AW156">IF(AK156&lt;&gt;1,0,IF(OR(AU156="",N(AU156)&lt;=0.000000001),"",IF(OR(AO156="",N(AO156)&lt;=0.000000001),0,IF(ISNUMBER(AU156),IFERROR(_xlfn.LET(_xlpm.ai_test,TRIM(AJ156),_xlpm.r,IFERROR(_xlfn.XLOOKUP(_xlpm.ai_test,$BJ$15:$BJ$62,ROW($BJ$15:$BJ$62),0,1),IFERROR(_xlfn.XLOOKUP(_xlpm.ai_test,$BK$15:$BK$62,ROW($BK$15:$BK$62),0,1),_xlfn.XLOOKUP(_xlpm.ai_test,$BL$15:$BL$62,ROW($BL$15:$BL$62),0,1))),_xlpm.p,_xlpm.r-MIN(ROW($BJ$15:$BJ$62))+1,_xlpm.f,INDEX($BM$15:$BM$62,_xlpm.p),_xlpm.u,INDEX($BN$15:$BN$62,_xlpm.p),_xlpm.s,INDEX($BP$15:$BP$62,_xlpm.p),_xlpm.q,N(AU156)/_xlpm.f,IF(_xlpm.q&gt;=_xlpm.s,ROUND(_xlpm.q,1)&amp;" "&amp;_xlpm.ai_test&amp;" = "&amp;ROUND(_xlpm.q*_xlpm.f,1)&amp;" "&amp;_xlpm.u,ROUND(_xlpm.q,1)&amp;" "&amp;_xlpm.ai_test)),""),""))))</f>
        <v>0</v>
      </c>
      <c r="AX156" s="6218"/>
      <c r="AY156" s="6271">
        <f t="shared" si="97"/>
        <v>0</v>
      </c>
      <c r="AZ156" s="6242" t="str">
        <f t="shared" si="98"/>
        <v/>
      </c>
      <c r="BA156" s="6194">
        <f t="shared" si="103"/>
        <v>0</v>
      </c>
      <c r="BB156" s="6192" t="str">
        <f t="shared" si="99"/>
        <v/>
      </c>
      <c r="BC156" s="6219"/>
      <c r="BD156" s="6221">
        <f t="shared" si="104"/>
        <v>0</v>
      </c>
      <c r="BE156" s="6220" t="str">
        <f t="shared" si="100"/>
        <v/>
      </c>
      <c r="BF156" s="4" t="s">
        <v>1</v>
      </c>
      <c r="BG156" s="6196">
        <f t="shared" si="101"/>
        <v>0</v>
      </c>
      <c r="BH156" s="6197">
        <f t="shared" si="102"/>
        <v>0</v>
      </c>
      <c r="BI156"/>
      <c r="BR156"/>
      <c r="BS156"/>
      <c r="BT156"/>
      <c r="BU156"/>
      <c r="BV156"/>
      <c r="BW156"/>
      <c r="BX156" s="20" t="str">
        <f t="shared" si="81"/>
        <v>►</v>
      </c>
      <c r="BY156"/>
      <c r="BZ156"/>
      <c r="CA156"/>
      <c r="CB156"/>
      <c r="CC156"/>
      <c r="CD156" s="2"/>
      <c r="CE156"/>
      <c r="CF156"/>
      <c r="CG156"/>
      <c r="CH156"/>
      <c r="CI156"/>
      <c r="CJ156"/>
      <c r="CK156"/>
      <c r="CM156"/>
      <c r="CN156"/>
      <c r="CO156"/>
      <c r="CP156"/>
      <c r="CQ156"/>
      <c r="CR156"/>
      <c r="CS156"/>
      <c r="CU156"/>
      <c r="CV156"/>
      <c r="CW156"/>
      <c r="CX156"/>
      <c r="CY156"/>
      <c r="CZ156"/>
      <c r="DA156"/>
      <c r="DC156" s="5">
        <v>1</v>
      </c>
    </row>
    <row r="157" spans="1:107" s="1" customFormat="1" ht="21" customHeight="1" thickBot="1">
      <c r="A157" s="5641" t="s">
        <v>1</v>
      </c>
      <c r="B157" s="5662" t="str">
        <f t="shared" si="80"/>
        <v>A</v>
      </c>
      <c r="C157" s="5825" cm="1">
        <f t="array" ref="C157">SUMPRODUCT(LEN(D157:J157))</f>
        <v>0</v>
      </c>
      <c r="D157" s="5275"/>
      <c r="E157" s="1361"/>
      <c r="F157" s="1361"/>
      <c r="G157" s="1361"/>
      <c r="H157" s="1361"/>
      <c r="I157" s="1361"/>
      <c r="J157" s="5276"/>
      <c r="K157" s="106"/>
      <c r="L157" s="5304" t="s">
        <v>21</v>
      </c>
      <c r="M157" s="5305"/>
      <c r="N157" s="5305"/>
      <c r="O157" s="5305"/>
      <c r="P157" s="6241"/>
      <c r="Q157" s="5306" t="s">
        <v>269</v>
      </c>
      <c r="R157" s="5307" t="str">
        <f ca="1">CELL("nomfichier")</f>
        <v>D:\Données\1.UPRT\0-UPRT.fait\1-UPRT.FR-SITE-WEB\ff-fiches-fabrications\ff.fiches.fabrication.2023\ffr.restaurant.2023\[ff.REPERTOIRE.600.LIGNES.15.xlsx]Differents.postits.FR.EN.ES</v>
      </c>
      <c r="S157" s="5308"/>
      <c r="T157" s="5308"/>
      <c r="U157" s="5308"/>
      <c r="V157" s="5308"/>
      <c r="W157" s="5308"/>
      <c r="X157" s="5308"/>
      <c r="Y157" s="5308"/>
      <c r="Z157" s="5308"/>
      <c r="AA157" s="5308"/>
      <c r="AB157" s="5308"/>
      <c r="AC157" s="5308"/>
      <c r="AD157" s="5309"/>
      <c r="AE157" s="4" t="s">
        <v>1</v>
      </c>
      <c r="AF157" s="6202" t="str">
        <f t="shared" si="84"/>
        <v>A</v>
      </c>
      <c r="AG157" s="6234" t="str">
        <f t="shared" si="85"/>
        <v>▼ recette suivante</v>
      </c>
      <c r="AH157" s="6732">
        <f t="shared" si="86"/>
        <v>0</v>
      </c>
      <c r="AI157" s="6234">
        <f t="shared" si="87"/>
        <v>0</v>
      </c>
      <c r="AJ157" s="6732">
        <f t="shared" si="88"/>
        <v>0</v>
      </c>
      <c r="AK157" s="6732">
        <f t="shared" si="89"/>
        <v>0</v>
      </c>
      <c r="AL157" s="6230" cm="1">
        <f t="array" aca="1" ref="AL157" ca="1">IF(AF157&lt;&gt;"A","",IFERROR((IFERROR(_xlfn.XLOOKUP(TRIM(SUBSTITUTE(U157,CHAR(160)," ")),$BJ$15:$BJ$62,$BM$15:$BM$62),IFERROR(_xlfn.XLOOKUP(TRIM(SUBSTITUTE(U157,CHAR(160)," ")),$BK$15:$BK$62,$BM$15:$BM$62),_xlfn.XLOOKUP(TRIM(SUBSTITUTE(U157,CHAR(160)," ")),$BL$15:$BL$62,$BM$15:$BM$62))))*T157*IF(ISBLANK(Q157),1,Q157)+IFERROR(_xlfn.XLOOKUP("RECHERCHEX",TRIM(L157:AD157),L157:AD157),0),0))</f>
        <v>0</v>
      </c>
      <c r="AM157" s="6229">
        <f t="shared" si="90"/>
        <v>0</v>
      </c>
      <c r="AN157" s="6857" t="str">
        <f t="shared" si="77"/>
        <v>❾ Author reference &gt;</v>
      </c>
      <c r="AO157" s="392">
        <f t="shared" si="91"/>
        <v>0</v>
      </c>
      <c r="AP157" s="392">
        <f t="shared" si="92"/>
        <v>0</v>
      </c>
      <c r="AQ157" s="6191">
        <f t="shared" si="93"/>
        <v>0</v>
      </c>
      <c r="AR157" s="6859" t="str">
        <f t="shared" si="94"/>
        <v>▼ recette suivante</v>
      </c>
      <c r="AS157" s="6217"/>
      <c r="AT157" s="6217"/>
      <c r="AU157" s="6272">
        <f t="shared" si="95"/>
        <v>0</v>
      </c>
      <c r="AV157" s="6240">
        <f t="shared" si="96"/>
        <v>0</v>
      </c>
      <c r="AW157" s="6189" cm="1">
        <f t="array" ref="AW157">IF(AK157&lt;&gt;1,0,IF(OR(AU157="",N(AU157)&lt;=0.000000001),"",IF(OR(AO157="",N(AO157)&lt;=0.000000001),0,IF(ISNUMBER(AU157),IFERROR(_xlfn.LET(_xlpm.ai_test,TRIM(AJ157),_xlpm.r,IFERROR(_xlfn.XLOOKUP(_xlpm.ai_test,$BJ$15:$BJ$62,ROW($BJ$15:$BJ$62),0,1),IFERROR(_xlfn.XLOOKUP(_xlpm.ai_test,$BK$15:$BK$62,ROW($BK$15:$BK$62),0,1),_xlfn.XLOOKUP(_xlpm.ai_test,$BL$15:$BL$62,ROW($BL$15:$BL$62),0,1))),_xlpm.p,_xlpm.r-MIN(ROW($BJ$15:$BJ$62))+1,_xlpm.f,INDEX($BM$15:$BM$62,_xlpm.p),_xlpm.u,INDEX($BN$15:$BN$62,_xlpm.p),_xlpm.s,INDEX($BP$15:$BP$62,_xlpm.p),_xlpm.q,N(AU157)/_xlpm.f,IF(_xlpm.q&gt;=_xlpm.s,ROUND(_xlpm.q,1)&amp;" "&amp;_xlpm.ai_test&amp;" = "&amp;ROUND(_xlpm.q*_xlpm.f,1)&amp;" "&amp;_xlpm.u,ROUND(_xlpm.q,1)&amp;" "&amp;_xlpm.ai_test)),""),""))))</f>
        <v>0</v>
      </c>
      <c r="AX157" s="6218"/>
      <c r="AY157" s="6272" t="str">
        <f t="shared" si="97"/>
        <v xml:space="preserve">▼next recipe </v>
      </c>
      <c r="AZ157" s="6240" t="str">
        <f t="shared" si="98"/>
        <v/>
      </c>
      <c r="BA157" s="6195">
        <f t="shared" si="103"/>
        <v>0</v>
      </c>
      <c r="BB157" s="6193" t="str">
        <f t="shared" si="99"/>
        <v/>
      </c>
      <c r="BC157" s="6219"/>
      <c r="BD157" s="6222">
        <f t="shared" si="104"/>
        <v>0</v>
      </c>
      <c r="BE157" s="6220" t="str">
        <f t="shared" si="100"/>
        <v>▼ receta siguiente</v>
      </c>
      <c r="BF157" s="4" t="s">
        <v>1</v>
      </c>
      <c r="BG157" s="6196">
        <f t="shared" si="101"/>
        <v>0</v>
      </c>
      <c r="BH157" s="6197">
        <f t="shared" ca="1" si="102"/>
        <v>0</v>
      </c>
      <c r="BI157"/>
      <c r="BR157"/>
      <c r="BS157"/>
      <c r="BT157"/>
      <c r="BU157"/>
      <c r="BV157"/>
      <c r="BW157"/>
      <c r="BX157" s="20" t="str">
        <f t="shared" si="81"/>
        <v>A</v>
      </c>
      <c r="BY157"/>
      <c r="BZ157"/>
      <c r="CA157"/>
      <c r="CB157"/>
      <c r="CC157"/>
      <c r="CD157" s="2"/>
      <c r="CE157"/>
      <c r="CF157"/>
      <c r="CG157"/>
      <c r="CH157"/>
      <c r="CI157"/>
      <c r="CJ157"/>
      <c r="CK157"/>
      <c r="CM157"/>
      <c r="CN157"/>
      <c r="CO157"/>
      <c r="CP157"/>
      <c r="CQ157"/>
      <c r="CR157"/>
      <c r="CS157"/>
      <c r="CU157"/>
      <c r="CV157"/>
      <c r="CW157"/>
      <c r="CX157"/>
      <c r="CY157"/>
      <c r="CZ157"/>
      <c r="DA157"/>
      <c r="DC157" s="5">
        <v>1</v>
      </c>
    </row>
    <row r="158" spans="1:107" s="1" customFormat="1" ht="21" customHeight="1" thickBot="1">
      <c r="A158" s="5641" t="s">
        <v>1</v>
      </c>
      <c r="B158" s="5662" t="str">
        <f t="shared" si="80"/>
        <v>A</v>
      </c>
      <c r="C158" s="5825" cm="1">
        <f t="array" ref="C158">SUMPRODUCT(LEN(D158:J158))</f>
        <v>0</v>
      </c>
      <c r="D158" s="5275"/>
      <c r="E158" s="1361"/>
      <c r="F158" s="1361"/>
      <c r="G158" s="1361"/>
      <c r="H158" s="1361"/>
      <c r="I158" s="1361"/>
      <c r="J158" s="5276"/>
      <c r="K158" s="106" t="s">
        <v>1</v>
      </c>
      <c r="L158" s="6834" t="s">
        <v>21</v>
      </c>
      <c r="M158" s="6835" t="s">
        <v>21</v>
      </c>
      <c r="N158" s="6835" t="s">
        <v>21</v>
      </c>
      <c r="O158" s="6835" t="s">
        <v>21</v>
      </c>
      <c r="P158" s="6835" t="s">
        <v>21</v>
      </c>
      <c r="Q158" s="6836" t="s">
        <v>10677</v>
      </c>
      <c r="R158" s="6837"/>
      <c r="S158" s="6838"/>
      <c r="T158" s="6839"/>
      <c r="U158" s="6840"/>
      <c r="V158" s="6841"/>
      <c r="W158" s="6839"/>
      <c r="X158" s="6839"/>
      <c r="Y158" s="6839"/>
      <c r="Z158" s="6837"/>
      <c r="AA158" s="6837"/>
      <c r="AB158" s="6837"/>
      <c r="AC158" s="6837"/>
      <c r="AD158" s="6842" t="s">
        <v>262</v>
      </c>
      <c r="AE158" s="4" t="s">
        <v>1</v>
      </c>
      <c r="AF158" s="6202" t="str">
        <f t="shared" si="84"/>
        <v>►</v>
      </c>
      <c r="AG158" s="6234" t="str">
        <f t="shared" si="85"/>
        <v/>
      </c>
      <c r="AH158" s="6732" t="str">
        <f t="shared" si="86"/>
        <v/>
      </c>
      <c r="AI158" s="6234" t="str">
        <f t="shared" si="87"/>
        <v/>
      </c>
      <c r="AJ158" s="6732" t="str">
        <f t="shared" si="88"/>
        <v/>
      </c>
      <c r="AK158" s="6732">
        <f t="shared" si="89"/>
        <v>0</v>
      </c>
      <c r="AL158" s="6230" t="str" cm="1">
        <f t="array" ref="AL158">IF(AF158&lt;&gt;"A","",IFERROR((IFERROR(_xlfn.XLOOKUP(TRIM(SUBSTITUTE(U158,CHAR(160)," ")),$BJ$15:$BJ$62,$BM$15:$BM$62),IFERROR(_xlfn.XLOOKUP(TRIM(SUBSTITUTE(U158,CHAR(160)," ")),$BK$15:$BK$62,$BM$15:$BM$62),_xlfn.XLOOKUP(TRIM(SUBSTITUTE(U158,CHAR(160)," ")),$BL$15:$BL$62,$BM$15:$BM$62))))*T158*IF(ISBLANK(Q158),1,Q158)+IFERROR(_xlfn.XLOOKUP("RECHERCHEX",TRIM(L158:AD158),L158:AD158),0),0))</f>
        <v/>
      </c>
      <c r="AM158" s="6229">
        <f t="shared" si="90"/>
        <v>0</v>
      </c>
      <c r="AN158" s="6857" t="str">
        <f t="shared" ref="AN158:AN221" si="105">IF(AF158="A","❾ Author reference &gt;","")</f>
        <v/>
      </c>
      <c r="AO158" s="392">
        <f t="shared" si="91"/>
        <v>0</v>
      </c>
      <c r="AP158" s="392">
        <f t="shared" si="92"/>
        <v>0</v>
      </c>
      <c r="AQ158" s="6190">
        <f t="shared" si="93"/>
        <v>0</v>
      </c>
      <c r="AR158" s="6858" t="str">
        <f t="shared" si="94"/>
        <v/>
      </c>
      <c r="AS158" s="6217"/>
      <c r="AT158" s="6217"/>
      <c r="AU158" s="6271">
        <f t="shared" si="95"/>
        <v>0</v>
      </c>
      <c r="AV158" s="6242">
        <f t="shared" si="96"/>
        <v>0</v>
      </c>
      <c r="AW158" s="6188" cm="1">
        <f t="array" ref="AW158">IF(AK158&lt;&gt;1,0,IF(OR(AU158="",N(AU158)&lt;=0.000000001),"",IF(OR(AO158="",N(AO158)&lt;=0.000000001),0,IF(ISNUMBER(AU158),IFERROR(_xlfn.LET(_xlpm.ai_test,TRIM(AJ158),_xlpm.r,IFERROR(_xlfn.XLOOKUP(_xlpm.ai_test,$BJ$15:$BJ$62,ROW($BJ$15:$BJ$62),0,1),IFERROR(_xlfn.XLOOKUP(_xlpm.ai_test,$BK$15:$BK$62,ROW($BK$15:$BK$62),0,1),_xlfn.XLOOKUP(_xlpm.ai_test,$BL$15:$BL$62,ROW($BL$15:$BL$62),0,1))),_xlpm.p,_xlpm.r-MIN(ROW($BJ$15:$BJ$62))+1,_xlpm.f,INDEX($BM$15:$BM$62,_xlpm.p),_xlpm.u,INDEX($BN$15:$BN$62,_xlpm.p),_xlpm.s,INDEX($BP$15:$BP$62,_xlpm.p),_xlpm.q,N(AU158)/_xlpm.f,IF(_xlpm.q&gt;=_xlpm.s,ROUND(_xlpm.q,1)&amp;" "&amp;_xlpm.ai_test&amp;" = "&amp;ROUND(_xlpm.q*_xlpm.f,1)&amp;" "&amp;_xlpm.u,ROUND(_xlpm.q,1)&amp;" "&amp;_xlpm.ai_test)),""),""))))</f>
        <v>0</v>
      </c>
      <c r="AX158" s="6218"/>
      <c r="AY158" s="6271">
        <f t="shared" si="97"/>
        <v>0</v>
      </c>
      <c r="AZ158" s="6242" t="str">
        <f t="shared" si="98"/>
        <v/>
      </c>
      <c r="BA158" s="6194">
        <f t="shared" si="103"/>
        <v>0</v>
      </c>
      <c r="BB158" s="6192" t="str">
        <f t="shared" si="99"/>
        <v/>
      </c>
      <c r="BC158" s="6219"/>
      <c r="BD158" s="6221">
        <f t="shared" si="104"/>
        <v>0</v>
      </c>
      <c r="BE158" s="6220" t="str">
        <f t="shared" si="100"/>
        <v/>
      </c>
      <c r="BF158" s="4" t="s">
        <v>1</v>
      </c>
      <c r="BG158" s="6196">
        <f t="shared" si="101"/>
        <v>0</v>
      </c>
      <c r="BH158" s="6197">
        <f t="shared" si="102"/>
        <v>0</v>
      </c>
      <c r="BI158"/>
      <c r="BR158"/>
      <c r="BS158"/>
      <c r="BT158"/>
      <c r="BU158"/>
      <c r="BV158"/>
      <c r="BW158"/>
      <c r="BX158" s="20" t="str">
        <f t="shared" si="81"/>
        <v>►</v>
      </c>
      <c r="BY158"/>
      <c r="BZ158"/>
      <c r="CA158"/>
      <c r="CB158"/>
      <c r="CC158"/>
      <c r="CD158" s="2"/>
      <c r="CE158"/>
      <c r="CF158"/>
      <c r="CG158"/>
      <c r="CH158"/>
      <c r="CI158"/>
      <c r="CJ158"/>
      <c r="CK158"/>
      <c r="CM158"/>
      <c r="CN158"/>
      <c r="CO158"/>
      <c r="CP158"/>
      <c r="CQ158"/>
      <c r="CR158"/>
      <c r="CS158"/>
      <c r="CU158"/>
      <c r="CV158"/>
      <c r="CW158"/>
      <c r="CX158"/>
      <c r="CY158"/>
      <c r="CZ158"/>
      <c r="DA158"/>
      <c r="DC158" s="5">
        <v>1</v>
      </c>
    </row>
    <row r="159" spans="1:107" s="1" customFormat="1" ht="21" customHeight="1">
      <c r="A159" s="5641" t="s">
        <v>1</v>
      </c>
      <c r="B159" s="5662" t="str">
        <f t="shared" si="80"/>
        <v>►</v>
      </c>
      <c r="C159" s="5825" cm="1">
        <f t="array" ref="C159">SUMPRODUCT(LEN(D159:J159))</f>
        <v>0</v>
      </c>
      <c r="D159" s="5275"/>
      <c r="E159" s="1361"/>
      <c r="F159" s="1361"/>
      <c r="G159" s="1361"/>
      <c r="H159" s="1361"/>
      <c r="I159" s="1361"/>
      <c r="J159" s="5276"/>
      <c r="K159" s="106" t="s">
        <v>1</v>
      </c>
      <c r="L159" s="1021" t="s">
        <v>26</v>
      </c>
      <c r="M159" s="6787"/>
      <c r="N159" s="6787"/>
      <c r="O159" s="6787"/>
      <c r="P159" s="6788"/>
      <c r="Q159" s="6789"/>
      <c r="R159" s="6790"/>
      <c r="S159" s="6786"/>
      <c r="T159" s="6791"/>
      <c r="U159" s="6844"/>
      <c r="V159" s="6791"/>
      <c r="W159" s="6785"/>
      <c r="X159" s="6868"/>
      <c r="Y159" s="6793"/>
      <c r="Z159" s="6794"/>
      <c r="AA159" s="6795"/>
      <c r="AB159" s="6796"/>
      <c r="AC159" s="6797"/>
      <c r="AD159" s="6798"/>
      <c r="AE159" s="4" t="s">
        <v>1</v>
      </c>
      <c r="AF159" s="6202" t="str">
        <f t="shared" si="84"/>
        <v>►</v>
      </c>
      <c r="AG159" s="6234" t="str">
        <f t="shared" si="85"/>
        <v/>
      </c>
      <c r="AH159" s="6732" t="str">
        <f t="shared" si="86"/>
        <v/>
      </c>
      <c r="AI159" s="6234" t="str">
        <f t="shared" si="87"/>
        <v/>
      </c>
      <c r="AJ159" s="6732" t="str">
        <f t="shared" si="88"/>
        <v/>
      </c>
      <c r="AK159" s="6732">
        <f t="shared" si="89"/>
        <v>0</v>
      </c>
      <c r="AL159" s="6230" t="str" cm="1">
        <f t="array" ref="AL159">IF(AF159&lt;&gt;"A","",IFERROR((IFERROR(_xlfn.XLOOKUP(TRIM(SUBSTITUTE(U159,CHAR(160)," ")),$BJ$15:$BJ$62,$BM$15:$BM$62),IFERROR(_xlfn.XLOOKUP(TRIM(SUBSTITUTE(U159,CHAR(160)," ")),$BK$15:$BK$62,$BM$15:$BM$62),_xlfn.XLOOKUP(TRIM(SUBSTITUTE(U159,CHAR(160)," ")),$BL$15:$BL$62,$BM$15:$BM$62))))*T159*IF(ISBLANK(Q159),1,Q159)+IFERROR(_xlfn.XLOOKUP("RECHERCHEX",TRIM(L159:AD159),L159:AD159),0),0))</f>
        <v/>
      </c>
      <c r="AM159" s="6229">
        <f t="shared" si="90"/>
        <v>0</v>
      </c>
      <c r="AN159" s="6857" t="str">
        <f t="shared" si="105"/>
        <v/>
      </c>
      <c r="AO159" s="392">
        <f t="shared" si="91"/>
        <v>0</v>
      </c>
      <c r="AP159" s="392">
        <f t="shared" si="92"/>
        <v>0</v>
      </c>
      <c r="AQ159" s="6191">
        <f t="shared" si="93"/>
        <v>0</v>
      </c>
      <c r="AR159" s="6859" t="str">
        <f t="shared" si="94"/>
        <v/>
      </c>
      <c r="AS159" s="6217"/>
      <c r="AT159" s="6217"/>
      <c r="AU159" s="6272">
        <f t="shared" si="95"/>
        <v>0</v>
      </c>
      <c r="AV159" s="6240">
        <f t="shared" si="96"/>
        <v>0</v>
      </c>
      <c r="AW159" s="6189" cm="1">
        <f t="array" ref="AW159">IF(AK159&lt;&gt;1,0,IF(OR(AU159="",N(AU159)&lt;=0.000000001),"",IF(OR(AO159="",N(AO159)&lt;=0.000000001),0,IF(ISNUMBER(AU159),IFERROR(_xlfn.LET(_xlpm.ai_test,TRIM(AJ159),_xlpm.r,IFERROR(_xlfn.XLOOKUP(_xlpm.ai_test,$BJ$15:$BJ$62,ROW($BJ$15:$BJ$62),0,1),IFERROR(_xlfn.XLOOKUP(_xlpm.ai_test,$BK$15:$BK$62,ROW($BK$15:$BK$62),0,1),_xlfn.XLOOKUP(_xlpm.ai_test,$BL$15:$BL$62,ROW($BL$15:$BL$62),0,1))),_xlpm.p,_xlpm.r-MIN(ROW($BJ$15:$BJ$62))+1,_xlpm.f,INDEX($BM$15:$BM$62,_xlpm.p),_xlpm.u,INDEX($BN$15:$BN$62,_xlpm.p),_xlpm.s,INDEX($BP$15:$BP$62,_xlpm.p),_xlpm.q,N(AU159)/_xlpm.f,IF(_xlpm.q&gt;=_xlpm.s,ROUND(_xlpm.q,1)&amp;" "&amp;_xlpm.ai_test&amp;" = "&amp;ROUND(_xlpm.q*_xlpm.f,1)&amp;" "&amp;_xlpm.u,ROUND(_xlpm.q,1)&amp;" "&amp;_xlpm.ai_test)),""),""))))</f>
        <v>0</v>
      </c>
      <c r="AX159" s="6218"/>
      <c r="AY159" s="6272">
        <f t="shared" si="97"/>
        <v>0</v>
      </c>
      <c r="AZ159" s="6240" t="str">
        <f t="shared" si="98"/>
        <v/>
      </c>
      <c r="BA159" s="6195">
        <f t="shared" si="103"/>
        <v>0</v>
      </c>
      <c r="BB159" s="6193" t="str">
        <f t="shared" si="99"/>
        <v/>
      </c>
      <c r="BC159" s="6219"/>
      <c r="BD159" s="6222">
        <f t="shared" si="104"/>
        <v>0</v>
      </c>
      <c r="BE159" s="6220" t="str">
        <f t="shared" si="100"/>
        <v/>
      </c>
      <c r="BF159" s="4" t="s">
        <v>1</v>
      </c>
      <c r="BG159" s="6196">
        <f t="shared" si="101"/>
        <v>0</v>
      </c>
      <c r="BH159" s="6197">
        <f t="shared" si="102"/>
        <v>0</v>
      </c>
      <c r="BI159"/>
      <c r="BR159"/>
      <c r="BS159"/>
      <c r="BT159"/>
      <c r="BU159"/>
      <c r="BV159"/>
      <c r="BW159"/>
      <c r="BX159" s="20" t="str">
        <f t="shared" si="81"/>
        <v>►</v>
      </c>
      <c r="BY159"/>
      <c r="BZ159"/>
      <c r="CA159"/>
      <c r="CB159"/>
      <c r="CC159"/>
      <c r="CD159" s="2"/>
      <c r="CE159"/>
      <c r="CF159"/>
      <c r="CG159"/>
      <c r="CH159"/>
      <c r="CI159"/>
      <c r="CJ159"/>
      <c r="CK159"/>
      <c r="CM159"/>
      <c r="CN159"/>
      <c r="CO159"/>
      <c r="CP159"/>
      <c r="CQ159"/>
      <c r="CR159"/>
      <c r="CS159"/>
      <c r="CU159"/>
      <c r="CV159"/>
      <c r="CW159"/>
      <c r="CX159"/>
      <c r="CY159"/>
      <c r="CZ159"/>
      <c r="DA159"/>
      <c r="DC159" s="5">
        <v>1</v>
      </c>
    </row>
    <row r="160" spans="1:107" s="1" customFormat="1" ht="21" customHeight="1">
      <c r="A160" s="5641" t="s">
        <v>1</v>
      </c>
      <c r="B160" s="5662" t="str">
        <f t="shared" si="80"/>
        <v>►</v>
      </c>
      <c r="C160" s="5825" cm="1">
        <f t="array" ref="C160">SUMPRODUCT(LEN(D160:J160))</f>
        <v>0</v>
      </c>
      <c r="D160" s="5275"/>
      <c r="E160" s="1361"/>
      <c r="F160" s="1361"/>
      <c r="G160" s="1361"/>
      <c r="H160" s="1361"/>
      <c r="I160" s="1361"/>
      <c r="J160" s="5276"/>
      <c r="K160" s="106" t="s">
        <v>1</v>
      </c>
      <c r="L160" s="1021" t="s">
        <v>26</v>
      </c>
      <c r="M160" s="6787"/>
      <c r="N160" s="6787"/>
      <c r="O160" s="6787"/>
      <c r="P160" s="6788"/>
      <c r="Q160" s="6789"/>
      <c r="R160" s="6790"/>
      <c r="S160" s="6786"/>
      <c r="T160" s="6791"/>
      <c r="U160" s="6844"/>
      <c r="V160" s="6791"/>
      <c r="W160" s="6785"/>
      <c r="X160" s="6868"/>
      <c r="Y160" s="6793"/>
      <c r="Z160" s="6794"/>
      <c r="AA160" s="6795"/>
      <c r="AB160" s="6796"/>
      <c r="AC160" s="6797"/>
      <c r="AD160" s="6798"/>
      <c r="AE160" s="4" t="s">
        <v>1</v>
      </c>
      <c r="AF160" s="6202" t="str">
        <f t="shared" si="84"/>
        <v>►</v>
      </c>
      <c r="AG160" s="6234" t="str">
        <f t="shared" si="85"/>
        <v/>
      </c>
      <c r="AH160" s="6732" t="str">
        <f t="shared" si="86"/>
        <v/>
      </c>
      <c r="AI160" s="6234" t="str">
        <f t="shared" si="87"/>
        <v/>
      </c>
      <c r="AJ160" s="6732" t="str">
        <f t="shared" si="88"/>
        <v/>
      </c>
      <c r="AK160" s="6732">
        <f t="shared" si="89"/>
        <v>0</v>
      </c>
      <c r="AL160" s="6230" t="str" cm="1">
        <f t="array" ref="AL160">IF(AF160&lt;&gt;"A","",IFERROR((IFERROR(_xlfn.XLOOKUP(TRIM(SUBSTITUTE(U160,CHAR(160)," ")),$BJ$15:$BJ$62,$BM$15:$BM$62),IFERROR(_xlfn.XLOOKUP(TRIM(SUBSTITUTE(U160,CHAR(160)," ")),$BK$15:$BK$62,$BM$15:$BM$62),_xlfn.XLOOKUP(TRIM(SUBSTITUTE(U160,CHAR(160)," ")),$BL$15:$BL$62,$BM$15:$BM$62))))*T160*IF(ISBLANK(Q160),1,Q160)+IFERROR(_xlfn.XLOOKUP("RECHERCHEX",TRIM(L160:AD160),L160:AD160),0),0))</f>
        <v/>
      </c>
      <c r="AM160" s="6229">
        <f t="shared" si="90"/>
        <v>0</v>
      </c>
      <c r="AN160" s="6857" t="str">
        <f t="shared" si="105"/>
        <v/>
      </c>
      <c r="AO160" s="392">
        <f t="shared" si="91"/>
        <v>0</v>
      </c>
      <c r="AP160" s="392">
        <f t="shared" si="92"/>
        <v>0</v>
      </c>
      <c r="AQ160" s="6190">
        <f t="shared" si="93"/>
        <v>0</v>
      </c>
      <c r="AR160" s="6858" t="str">
        <f t="shared" si="94"/>
        <v/>
      </c>
      <c r="AS160" s="6217"/>
      <c r="AT160" s="6217"/>
      <c r="AU160" s="6271">
        <f t="shared" si="95"/>
        <v>0</v>
      </c>
      <c r="AV160" s="6242">
        <f t="shared" si="96"/>
        <v>0</v>
      </c>
      <c r="AW160" s="6188" cm="1">
        <f t="array" ref="AW160">IF(AK160&lt;&gt;1,0,IF(OR(AU160="",N(AU160)&lt;=0.000000001),"",IF(OR(AO160="",N(AO160)&lt;=0.000000001),0,IF(ISNUMBER(AU160),IFERROR(_xlfn.LET(_xlpm.ai_test,TRIM(AJ160),_xlpm.r,IFERROR(_xlfn.XLOOKUP(_xlpm.ai_test,$BJ$15:$BJ$62,ROW($BJ$15:$BJ$62),0,1),IFERROR(_xlfn.XLOOKUP(_xlpm.ai_test,$BK$15:$BK$62,ROW($BK$15:$BK$62),0,1),_xlfn.XLOOKUP(_xlpm.ai_test,$BL$15:$BL$62,ROW($BL$15:$BL$62),0,1))),_xlpm.p,_xlpm.r-MIN(ROW($BJ$15:$BJ$62))+1,_xlpm.f,INDEX($BM$15:$BM$62,_xlpm.p),_xlpm.u,INDEX($BN$15:$BN$62,_xlpm.p),_xlpm.s,INDEX($BP$15:$BP$62,_xlpm.p),_xlpm.q,N(AU160)/_xlpm.f,IF(_xlpm.q&gt;=_xlpm.s,ROUND(_xlpm.q,1)&amp;" "&amp;_xlpm.ai_test&amp;" = "&amp;ROUND(_xlpm.q*_xlpm.f,1)&amp;" "&amp;_xlpm.u,ROUND(_xlpm.q,1)&amp;" "&amp;_xlpm.ai_test)),""),""))))</f>
        <v>0</v>
      </c>
      <c r="AX160" s="6218"/>
      <c r="AY160" s="6271">
        <f t="shared" si="97"/>
        <v>0</v>
      </c>
      <c r="AZ160" s="6242" t="str">
        <f t="shared" si="98"/>
        <v/>
      </c>
      <c r="BA160" s="6194">
        <f t="shared" si="103"/>
        <v>0</v>
      </c>
      <c r="BB160" s="6192" t="str">
        <f t="shared" si="99"/>
        <v/>
      </c>
      <c r="BC160" s="6219"/>
      <c r="BD160" s="6221">
        <f t="shared" si="104"/>
        <v>0</v>
      </c>
      <c r="BE160" s="6220" t="str">
        <f t="shared" si="100"/>
        <v/>
      </c>
      <c r="BF160" s="4" t="s">
        <v>1</v>
      </c>
      <c r="BG160" s="6196">
        <f t="shared" si="101"/>
        <v>0</v>
      </c>
      <c r="BH160" s="6197">
        <f t="shared" si="102"/>
        <v>0</v>
      </c>
      <c r="BI160"/>
      <c r="BR160"/>
      <c r="BS160"/>
      <c r="BT160"/>
      <c r="BU160"/>
      <c r="BV160"/>
      <c r="BW160"/>
      <c r="BX160" s="20" t="str">
        <f t="shared" si="81"/>
        <v>►</v>
      </c>
      <c r="BY160"/>
      <c r="BZ160"/>
      <c r="CA160"/>
      <c r="CB160"/>
      <c r="CC160"/>
      <c r="CD160" s="2"/>
      <c r="CE160"/>
      <c r="CF160"/>
      <c r="CG160"/>
      <c r="CH160"/>
      <c r="CI160"/>
      <c r="CJ160"/>
      <c r="CK160"/>
      <c r="CM160"/>
      <c r="CN160"/>
      <c r="CO160"/>
      <c r="CP160"/>
      <c r="CQ160"/>
      <c r="CR160"/>
      <c r="CS160"/>
      <c r="CU160"/>
      <c r="CV160"/>
      <c r="CW160"/>
      <c r="CX160"/>
      <c r="CY160"/>
      <c r="CZ160"/>
      <c r="DA160"/>
      <c r="DC160" s="5">
        <v>1</v>
      </c>
    </row>
    <row r="161" spans="1:107" s="1" customFormat="1" ht="21" customHeight="1">
      <c r="A161" s="5641" t="s">
        <v>1</v>
      </c>
      <c r="B161" s="5662" t="str">
        <f t="shared" si="80"/>
        <v>►</v>
      </c>
      <c r="C161" s="5825" cm="1">
        <f t="array" ref="C161">SUMPRODUCT(LEN(D161:J161))</f>
        <v>0</v>
      </c>
      <c r="D161" s="5275"/>
      <c r="E161" s="1361"/>
      <c r="F161" s="1361"/>
      <c r="G161" s="1361"/>
      <c r="H161" s="1361"/>
      <c r="I161" s="1361"/>
      <c r="J161" s="5276"/>
      <c r="K161" s="106" t="s">
        <v>1</v>
      </c>
      <c r="L161" s="1021" t="s">
        <v>26</v>
      </c>
      <c r="M161" s="6787"/>
      <c r="N161" s="6787"/>
      <c r="O161" s="6787"/>
      <c r="P161" s="6788"/>
      <c r="Q161" s="6789"/>
      <c r="R161" s="6790"/>
      <c r="S161" s="6786"/>
      <c r="T161" s="6791"/>
      <c r="U161" s="6844"/>
      <c r="V161" s="6791"/>
      <c r="W161" s="6785"/>
      <c r="X161" s="6868"/>
      <c r="Y161" s="6793"/>
      <c r="Z161" s="6794"/>
      <c r="AA161" s="6795"/>
      <c r="AB161" s="6796"/>
      <c r="AC161" s="6797"/>
      <c r="AD161" s="6798"/>
      <c r="AE161" s="4" t="s">
        <v>1</v>
      </c>
      <c r="AF161" s="6202" t="str">
        <f t="shared" si="84"/>
        <v>►</v>
      </c>
      <c r="AG161" s="6234" t="str">
        <f t="shared" si="85"/>
        <v/>
      </c>
      <c r="AH161" s="6732" t="str">
        <f t="shared" si="86"/>
        <v/>
      </c>
      <c r="AI161" s="6234" t="str">
        <f t="shared" si="87"/>
        <v/>
      </c>
      <c r="AJ161" s="6732" t="str">
        <f t="shared" si="88"/>
        <v/>
      </c>
      <c r="AK161" s="6732">
        <f t="shared" si="89"/>
        <v>0</v>
      </c>
      <c r="AL161" s="6230" t="str" cm="1">
        <f t="array" ref="AL161">IF(AF161&lt;&gt;"A","",IFERROR((IFERROR(_xlfn.XLOOKUP(TRIM(SUBSTITUTE(U161,CHAR(160)," ")),$BJ$15:$BJ$62,$BM$15:$BM$62),IFERROR(_xlfn.XLOOKUP(TRIM(SUBSTITUTE(U161,CHAR(160)," ")),$BK$15:$BK$62,$BM$15:$BM$62),_xlfn.XLOOKUP(TRIM(SUBSTITUTE(U161,CHAR(160)," ")),$BL$15:$BL$62,$BM$15:$BM$62))))*T161*IF(ISBLANK(Q161),1,Q161)+IFERROR(_xlfn.XLOOKUP("RECHERCHEX",TRIM(L161:AD161),L161:AD161),0),0))</f>
        <v/>
      </c>
      <c r="AM161" s="6229">
        <f t="shared" si="90"/>
        <v>0</v>
      </c>
      <c r="AN161" s="6857" t="str">
        <f t="shared" si="105"/>
        <v/>
      </c>
      <c r="AO161" s="392">
        <f t="shared" si="91"/>
        <v>0</v>
      </c>
      <c r="AP161" s="392">
        <f t="shared" si="92"/>
        <v>0</v>
      </c>
      <c r="AQ161" s="6191">
        <f t="shared" si="93"/>
        <v>0</v>
      </c>
      <c r="AR161" s="6859" t="str">
        <f t="shared" si="94"/>
        <v/>
      </c>
      <c r="AS161" s="6217"/>
      <c r="AT161" s="6217"/>
      <c r="AU161" s="6272">
        <f t="shared" si="95"/>
        <v>0</v>
      </c>
      <c r="AV161" s="6240">
        <f t="shared" si="96"/>
        <v>0</v>
      </c>
      <c r="AW161" s="6189" cm="1">
        <f t="array" ref="AW161">IF(AK161&lt;&gt;1,0,IF(OR(AU161="",N(AU161)&lt;=0.000000001),"",IF(OR(AO161="",N(AO161)&lt;=0.000000001),0,IF(ISNUMBER(AU161),IFERROR(_xlfn.LET(_xlpm.ai_test,TRIM(AJ161),_xlpm.r,IFERROR(_xlfn.XLOOKUP(_xlpm.ai_test,$BJ$15:$BJ$62,ROW($BJ$15:$BJ$62),0,1),IFERROR(_xlfn.XLOOKUP(_xlpm.ai_test,$BK$15:$BK$62,ROW($BK$15:$BK$62),0,1),_xlfn.XLOOKUP(_xlpm.ai_test,$BL$15:$BL$62,ROW($BL$15:$BL$62),0,1))),_xlpm.p,_xlpm.r-MIN(ROW($BJ$15:$BJ$62))+1,_xlpm.f,INDEX($BM$15:$BM$62,_xlpm.p),_xlpm.u,INDEX($BN$15:$BN$62,_xlpm.p),_xlpm.s,INDEX($BP$15:$BP$62,_xlpm.p),_xlpm.q,N(AU161)/_xlpm.f,IF(_xlpm.q&gt;=_xlpm.s,ROUND(_xlpm.q,1)&amp;" "&amp;_xlpm.ai_test&amp;" = "&amp;ROUND(_xlpm.q*_xlpm.f,1)&amp;" "&amp;_xlpm.u,ROUND(_xlpm.q,1)&amp;" "&amp;_xlpm.ai_test)),""),""))))</f>
        <v>0</v>
      </c>
      <c r="AX161" s="6218"/>
      <c r="AY161" s="6272">
        <f t="shared" si="97"/>
        <v>0</v>
      </c>
      <c r="AZ161" s="6240" t="str">
        <f t="shared" si="98"/>
        <v/>
      </c>
      <c r="BA161" s="6195">
        <f t="shared" si="103"/>
        <v>0</v>
      </c>
      <c r="BB161" s="6193" t="str">
        <f t="shared" si="99"/>
        <v/>
      </c>
      <c r="BC161" s="6219"/>
      <c r="BD161" s="6222">
        <f t="shared" si="104"/>
        <v>0</v>
      </c>
      <c r="BE161" s="6220" t="str">
        <f t="shared" si="100"/>
        <v/>
      </c>
      <c r="BF161" s="4" t="s">
        <v>1</v>
      </c>
      <c r="BG161" s="6196">
        <f t="shared" si="101"/>
        <v>0</v>
      </c>
      <c r="BH161" s="6197">
        <f t="shared" si="102"/>
        <v>0</v>
      </c>
      <c r="BI161"/>
      <c r="BR161"/>
      <c r="BS161"/>
      <c r="BT161"/>
      <c r="BU161"/>
      <c r="BV161"/>
      <c r="BW161"/>
      <c r="BX161" s="20" t="str">
        <f t="shared" si="81"/>
        <v>►</v>
      </c>
      <c r="BY161"/>
      <c r="BZ161"/>
      <c r="CA161"/>
      <c r="CB161"/>
      <c r="CC161"/>
      <c r="CD161" s="2"/>
      <c r="CE161"/>
      <c r="CF161"/>
      <c r="CG161"/>
      <c r="CH161"/>
      <c r="CI161"/>
      <c r="CJ161"/>
      <c r="CK161"/>
      <c r="CM161"/>
      <c r="CN161"/>
      <c r="CO161"/>
      <c r="CP161"/>
      <c r="CQ161"/>
      <c r="CR161"/>
      <c r="CS161"/>
      <c r="CU161"/>
      <c r="CV161"/>
      <c r="CW161"/>
      <c r="CX161"/>
      <c r="CY161"/>
      <c r="CZ161"/>
      <c r="DA161"/>
      <c r="DC161" s="5">
        <v>1</v>
      </c>
    </row>
    <row r="162" spans="1:107" s="1" customFormat="1" ht="21" customHeight="1">
      <c r="A162" s="5641" t="s">
        <v>1</v>
      </c>
      <c r="B162" s="5662" t="str">
        <f t="shared" si="80"/>
        <v>►</v>
      </c>
      <c r="C162" s="5825" cm="1">
        <f t="array" ref="C162">SUMPRODUCT(LEN(D162:J162))</f>
        <v>0</v>
      </c>
      <c r="D162" s="5275"/>
      <c r="E162" s="1361"/>
      <c r="F162" s="1361"/>
      <c r="G162" s="1361"/>
      <c r="H162" s="1361"/>
      <c r="I162" s="1361"/>
      <c r="J162" s="5276"/>
      <c r="K162" s="106" t="s">
        <v>1</v>
      </c>
      <c r="L162" s="1021" t="s">
        <v>26</v>
      </c>
      <c r="M162" s="6787"/>
      <c r="N162" s="6787"/>
      <c r="O162" s="6787"/>
      <c r="P162" s="6788"/>
      <c r="Q162" s="6789"/>
      <c r="R162" s="6790"/>
      <c r="S162" s="6786"/>
      <c r="T162" s="6791"/>
      <c r="U162" s="6844"/>
      <c r="V162" s="6791"/>
      <c r="W162" s="6785"/>
      <c r="X162" s="6868"/>
      <c r="Y162" s="6793"/>
      <c r="Z162" s="6794"/>
      <c r="AA162" s="6795"/>
      <c r="AB162" s="6796"/>
      <c r="AC162" s="6797"/>
      <c r="AD162" s="6798"/>
      <c r="AE162" s="4" t="s">
        <v>1</v>
      </c>
      <c r="AF162" s="6202" t="str">
        <f t="shared" si="84"/>
        <v>►</v>
      </c>
      <c r="AG162" s="6234" t="str">
        <f t="shared" si="85"/>
        <v/>
      </c>
      <c r="AH162" s="6732" t="str">
        <f t="shared" si="86"/>
        <v/>
      </c>
      <c r="AI162" s="6234" t="str">
        <f t="shared" si="87"/>
        <v/>
      </c>
      <c r="AJ162" s="6732" t="str">
        <f t="shared" si="88"/>
        <v/>
      </c>
      <c r="AK162" s="6732">
        <f t="shared" si="89"/>
        <v>0</v>
      </c>
      <c r="AL162" s="6230" t="str" cm="1">
        <f t="array" ref="AL162">IF(AF162&lt;&gt;"A","",IFERROR((IFERROR(_xlfn.XLOOKUP(TRIM(SUBSTITUTE(U162,CHAR(160)," ")),$BJ$15:$BJ$62,$BM$15:$BM$62),IFERROR(_xlfn.XLOOKUP(TRIM(SUBSTITUTE(U162,CHAR(160)," ")),$BK$15:$BK$62,$BM$15:$BM$62),_xlfn.XLOOKUP(TRIM(SUBSTITUTE(U162,CHAR(160)," ")),$BL$15:$BL$62,$BM$15:$BM$62))))*T162*IF(ISBLANK(Q162),1,Q162)+IFERROR(_xlfn.XLOOKUP("RECHERCHEX",TRIM(L162:AD162),L162:AD162),0),0))</f>
        <v/>
      </c>
      <c r="AM162" s="6229">
        <f t="shared" si="90"/>
        <v>0</v>
      </c>
      <c r="AN162" s="6857" t="str">
        <f t="shared" si="105"/>
        <v/>
      </c>
      <c r="AO162" s="392">
        <f t="shared" si="91"/>
        <v>0</v>
      </c>
      <c r="AP162" s="392">
        <f t="shared" si="92"/>
        <v>0</v>
      </c>
      <c r="AQ162" s="6190">
        <f t="shared" si="93"/>
        <v>0</v>
      </c>
      <c r="AR162" s="6858" t="str">
        <f t="shared" si="94"/>
        <v/>
      </c>
      <c r="AS162" s="6217"/>
      <c r="AT162" s="6217"/>
      <c r="AU162" s="6271">
        <f t="shared" si="95"/>
        <v>0</v>
      </c>
      <c r="AV162" s="6242">
        <f t="shared" si="96"/>
        <v>0</v>
      </c>
      <c r="AW162" s="6188" cm="1">
        <f t="array" ref="AW162">IF(AK162&lt;&gt;1,0,IF(OR(AU162="",N(AU162)&lt;=0.000000001),"",IF(OR(AO162="",N(AO162)&lt;=0.000000001),0,IF(ISNUMBER(AU162),IFERROR(_xlfn.LET(_xlpm.ai_test,TRIM(AJ162),_xlpm.r,IFERROR(_xlfn.XLOOKUP(_xlpm.ai_test,$BJ$15:$BJ$62,ROW($BJ$15:$BJ$62),0,1),IFERROR(_xlfn.XLOOKUP(_xlpm.ai_test,$BK$15:$BK$62,ROW($BK$15:$BK$62),0,1),_xlfn.XLOOKUP(_xlpm.ai_test,$BL$15:$BL$62,ROW($BL$15:$BL$62),0,1))),_xlpm.p,_xlpm.r-MIN(ROW($BJ$15:$BJ$62))+1,_xlpm.f,INDEX($BM$15:$BM$62,_xlpm.p),_xlpm.u,INDEX($BN$15:$BN$62,_xlpm.p),_xlpm.s,INDEX($BP$15:$BP$62,_xlpm.p),_xlpm.q,N(AU162)/_xlpm.f,IF(_xlpm.q&gt;=_xlpm.s,ROUND(_xlpm.q,1)&amp;" "&amp;_xlpm.ai_test&amp;" = "&amp;ROUND(_xlpm.q*_xlpm.f,1)&amp;" "&amp;_xlpm.u,ROUND(_xlpm.q,1)&amp;" "&amp;_xlpm.ai_test)),""),""))))</f>
        <v>0</v>
      </c>
      <c r="AX162" s="6218"/>
      <c r="AY162" s="6271">
        <f t="shared" si="97"/>
        <v>0</v>
      </c>
      <c r="AZ162" s="6242" t="str">
        <f t="shared" si="98"/>
        <v/>
      </c>
      <c r="BA162" s="6194">
        <f t="shared" si="103"/>
        <v>0</v>
      </c>
      <c r="BB162" s="6192" t="str">
        <f t="shared" si="99"/>
        <v/>
      </c>
      <c r="BC162" s="6219"/>
      <c r="BD162" s="6221">
        <f t="shared" si="104"/>
        <v>0</v>
      </c>
      <c r="BE162" s="6220" t="str">
        <f t="shared" si="100"/>
        <v/>
      </c>
      <c r="BF162" s="4" t="s">
        <v>1</v>
      </c>
      <c r="BG162" s="6196">
        <f t="shared" si="101"/>
        <v>0</v>
      </c>
      <c r="BH162" s="6197">
        <f t="shared" si="102"/>
        <v>0</v>
      </c>
      <c r="BI162"/>
      <c r="BR162"/>
      <c r="BS162"/>
      <c r="BT162"/>
      <c r="BU162"/>
      <c r="BV162"/>
      <c r="BW162"/>
      <c r="BX162" s="20" t="str">
        <f t="shared" si="81"/>
        <v>►</v>
      </c>
      <c r="BY162"/>
      <c r="BZ162"/>
      <c r="CA162"/>
      <c r="CB162"/>
      <c r="CC162"/>
      <c r="CD162" s="2"/>
      <c r="CE162"/>
      <c r="CF162"/>
      <c r="CG162"/>
      <c r="CH162"/>
      <c r="CI162"/>
      <c r="CJ162"/>
      <c r="CK162"/>
      <c r="CM162"/>
      <c r="CN162"/>
      <c r="CO162"/>
      <c r="CP162"/>
      <c r="CQ162"/>
      <c r="CR162"/>
      <c r="CS162"/>
      <c r="CU162"/>
      <c r="CV162"/>
      <c r="CW162"/>
      <c r="CX162"/>
      <c r="CY162"/>
      <c r="CZ162"/>
      <c r="DA162"/>
      <c r="DC162" s="5">
        <v>1</v>
      </c>
    </row>
    <row r="163" spans="1:107" s="1" customFormat="1" ht="21" customHeight="1">
      <c r="A163" s="5641" t="s">
        <v>1</v>
      </c>
      <c r="B163" s="5662" t="str">
        <f t="shared" si="80"/>
        <v>►</v>
      </c>
      <c r="C163" s="5825" cm="1">
        <f t="array" ref="C163">SUMPRODUCT(LEN(D163:J163))</f>
        <v>0</v>
      </c>
      <c r="D163" s="5275"/>
      <c r="E163" s="1361"/>
      <c r="F163" s="1361"/>
      <c r="G163" s="1361"/>
      <c r="H163" s="1361"/>
      <c r="I163" s="1361"/>
      <c r="J163" s="5276"/>
      <c r="K163" s="106" t="s">
        <v>1</v>
      </c>
      <c r="L163" s="1021" t="s">
        <v>26</v>
      </c>
      <c r="M163" s="6787"/>
      <c r="N163" s="6787"/>
      <c r="O163" s="6787"/>
      <c r="P163" s="6788"/>
      <c r="Q163" s="6789"/>
      <c r="R163" s="6790"/>
      <c r="S163" s="6786"/>
      <c r="T163" s="6791"/>
      <c r="U163" s="6844"/>
      <c r="V163" s="6791"/>
      <c r="W163" s="6785"/>
      <c r="X163" s="6868"/>
      <c r="Y163" s="6793"/>
      <c r="Z163" s="6794"/>
      <c r="AA163" s="6795"/>
      <c r="AB163" s="6796"/>
      <c r="AC163" s="6797"/>
      <c r="AD163" s="6798"/>
      <c r="AE163" s="4" t="s">
        <v>1</v>
      </c>
      <c r="AF163" s="6202" t="str">
        <f t="shared" si="84"/>
        <v>►</v>
      </c>
      <c r="AG163" s="6234" t="str">
        <f t="shared" si="85"/>
        <v/>
      </c>
      <c r="AH163" s="6732" t="str">
        <f t="shared" si="86"/>
        <v/>
      </c>
      <c r="AI163" s="6234" t="str">
        <f t="shared" si="87"/>
        <v/>
      </c>
      <c r="AJ163" s="6732" t="str">
        <f t="shared" si="88"/>
        <v/>
      </c>
      <c r="AK163" s="6732">
        <f t="shared" si="89"/>
        <v>0</v>
      </c>
      <c r="AL163" s="6230" t="str" cm="1">
        <f t="array" ref="AL163">IF(AF163&lt;&gt;"A","",IFERROR((IFERROR(_xlfn.XLOOKUP(TRIM(SUBSTITUTE(U163,CHAR(160)," ")),$BJ$15:$BJ$62,$BM$15:$BM$62),IFERROR(_xlfn.XLOOKUP(TRIM(SUBSTITUTE(U163,CHAR(160)," ")),$BK$15:$BK$62,$BM$15:$BM$62),_xlfn.XLOOKUP(TRIM(SUBSTITUTE(U163,CHAR(160)," ")),$BL$15:$BL$62,$BM$15:$BM$62))))*T163*IF(ISBLANK(Q163),1,Q163)+IFERROR(_xlfn.XLOOKUP("RECHERCHEX",TRIM(L163:AD163),L163:AD163),0),0))</f>
        <v/>
      </c>
      <c r="AM163" s="6229">
        <f t="shared" si="90"/>
        <v>0</v>
      </c>
      <c r="AN163" s="6857" t="str">
        <f t="shared" si="105"/>
        <v/>
      </c>
      <c r="AO163" s="392">
        <f t="shared" si="91"/>
        <v>0</v>
      </c>
      <c r="AP163" s="392">
        <f t="shared" si="92"/>
        <v>0</v>
      </c>
      <c r="AQ163" s="6191">
        <f t="shared" si="93"/>
        <v>0</v>
      </c>
      <c r="AR163" s="6859" t="str">
        <f t="shared" si="94"/>
        <v/>
      </c>
      <c r="AS163" s="6217"/>
      <c r="AT163" s="6217"/>
      <c r="AU163" s="6272">
        <f t="shared" si="95"/>
        <v>0</v>
      </c>
      <c r="AV163" s="6240">
        <f t="shared" si="96"/>
        <v>0</v>
      </c>
      <c r="AW163" s="6189" cm="1">
        <f t="array" ref="AW163">IF(AK163&lt;&gt;1,0,IF(OR(AU163="",N(AU163)&lt;=0.000000001),"",IF(OR(AO163="",N(AO163)&lt;=0.000000001),0,IF(ISNUMBER(AU163),IFERROR(_xlfn.LET(_xlpm.ai_test,TRIM(AJ163),_xlpm.r,IFERROR(_xlfn.XLOOKUP(_xlpm.ai_test,$BJ$15:$BJ$62,ROW($BJ$15:$BJ$62),0,1),IFERROR(_xlfn.XLOOKUP(_xlpm.ai_test,$BK$15:$BK$62,ROW($BK$15:$BK$62),0,1),_xlfn.XLOOKUP(_xlpm.ai_test,$BL$15:$BL$62,ROW($BL$15:$BL$62),0,1))),_xlpm.p,_xlpm.r-MIN(ROW($BJ$15:$BJ$62))+1,_xlpm.f,INDEX($BM$15:$BM$62,_xlpm.p),_xlpm.u,INDEX($BN$15:$BN$62,_xlpm.p),_xlpm.s,INDEX($BP$15:$BP$62,_xlpm.p),_xlpm.q,N(AU163)/_xlpm.f,IF(_xlpm.q&gt;=_xlpm.s,ROUND(_xlpm.q,1)&amp;" "&amp;_xlpm.ai_test&amp;" = "&amp;ROUND(_xlpm.q*_xlpm.f,1)&amp;" "&amp;_xlpm.u,ROUND(_xlpm.q,1)&amp;" "&amp;_xlpm.ai_test)),""),""))))</f>
        <v>0</v>
      </c>
      <c r="AX163" s="6218"/>
      <c r="AY163" s="6272">
        <f t="shared" si="97"/>
        <v>0</v>
      </c>
      <c r="AZ163" s="6240" t="str">
        <f t="shared" si="98"/>
        <v/>
      </c>
      <c r="BA163" s="6195">
        <f t="shared" si="103"/>
        <v>0</v>
      </c>
      <c r="BB163" s="6193" t="str">
        <f t="shared" si="99"/>
        <v/>
      </c>
      <c r="BC163" s="6219"/>
      <c r="BD163" s="6222">
        <f t="shared" si="104"/>
        <v>0</v>
      </c>
      <c r="BE163" s="6220" t="str">
        <f t="shared" si="100"/>
        <v/>
      </c>
      <c r="BF163" s="4" t="s">
        <v>1</v>
      </c>
      <c r="BG163" s="6196">
        <f t="shared" si="101"/>
        <v>0</v>
      </c>
      <c r="BH163" s="6197">
        <f t="shared" si="102"/>
        <v>0</v>
      </c>
      <c r="BI163"/>
      <c r="BR163"/>
      <c r="BS163"/>
      <c r="BT163"/>
      <c r="BU163"/>
      <c r="BV163"/>
      <c r="BW163"/>
      <c r="BX163" s="20" t="str">
        <f t="shared" si="81"/>
        <v>►</v>
      </c>
      <c r="BY163"/>
      <c r="BZ163"/>
      <c r="CA163"/>
      <c r="CB163"/>
      <c r="CC163"/>
      <c r="CD163" s="2"/>
      <c r="CE163"/>
      <c r="CF163"/>
      <c r="CG163"/>
      <c r="CH163"/>
      <c r="CI163"/>
      <c r="CJ163"/>
      <c r="CK163"/>
      <c r="CM163"/>
      <c r="CN163"/>
      <c r="CO163"/>
      <c r="CP163"/>
      <c r="CQ163"/>
      <c r="CR163"/>
      <c r="CS163"/>
      <c r="CU163"/>
      <c r="CV163"/>
      <c r="CW163"/>
      <c r="CX163"/>
      <c r="CY163"/>
      <c r="CZ163"/>
      <c r="DA163"/>
      <c r="DC163" s="5">
        <v>1</v>
      </c>
    </row>
    <row r="164" spans="1:107" s="1" customFormat="1" ht="21" customHeight="1">
      <c r="A164" s="5641" t="s">
        <v>1</v>
      </c>
      <c r="B164" s="5662" t="str">
        <f t="shared" si="80"/>
        <v>►</v>
      </c>
      <c r="C164" s="5825" cm="1">
        <f t="array" ref="C164">SUMPRODUCT(LEN(D164:J164))</f>
        <v>0</v>
      </c>
      <c r="D164" s="5275"/>
      <c r="E164" s="1361"/>
      <c r="F164" s="1361"/>
      <c r="G164" s="1361"/>
      <c r="H164" s="1361"/>
      <c r="I164" s="1361"/>
      <c r="J164" s="5276"/>
      <c r="K164" s="106" t="s">
        <v>1</v>
      </c>
      <c r="L164" s="1021" t="s">
        <v>26</v>
      </c>
      <c r="M164" s="6787"/>
      <c r="N164" s="6787"/>
      <c r="O164" s="6787"/>
      <c r="P164" s="6788"/>
      <c r="Q164" s="6789"/>
      <c r="R164" s="6790"/>
      <c r="S164" s="6786"/>
      <c r="T164" s="6791"/>
      <c r="U164" s="6844"/>
      <c r="V164" s="6791"/>
      <c r="W164" s="6785"/>
      <c r="X164" s="6868"/>
      <c r="Y164" s="6793"/>
      <c r="Z164" s="6794"/>
      <c r="AA164" s="6795"/>
      <c r="AB164" s="6796"/>
      <c r="AC164" s="6797"/>
      <c r="AD164" s="6798"/>
      <c r="AE164" s="4" t="s">
        <v>1</v>
      </c>
      <c r="AF164" s="6202" t="str">
        <f t="shared" si="84"/>
        <v>►</v>
      </c>
      <c r="AG164" s="6234" t="str">
        <f t="shared" si="85"/>
        <v/>
      </c>
      <c r="AH164" s="6732" t="str">
        <f t="shared" si="86"/>
        <v/>
      </c>
      <c r="AI164" s="6234" t="str">
        <f t="shared" si="87"/>
        <v/>
      </c>
      <c r="AJ164" s="6732" t="str">
        <f t="shared" si="88"/>
        <v/>
      </c>
      <c r="AK164" s="6732">
        <f t="shared" si="89"/>
        <v>0</v>
      </c>
      <c r="AL164" s="6230" t="str" cm="1">
        <f t="array" ref="AL164">IF(AF164&lt;&gt;"A","",IFERROR((IFERROR(_xlfn.XLOOKUP(TRIM(SUBSTITUTE(U164,CHAR(160)," ")),$BJ$15:$BJ$62,$BM$15:$BM$62),IFERROR(_xlfn.XLOOKUP(TRIM(SUBSTITUTE(U164,CHAR(160)," ")),$BK$15:$BK$62,$BM$15:$BM$62),_xlfn.XLOOKUP(TRIM(SUBSTITUTE(U164,CHAR(160)," ")),$BL$15:$BL$62,$BM$15:$BM$62))))*T164*IF(ISBLANK(Q164),1,Q164)+IFERROR(_xlfn.XLOOKUP("RECHERCHEX",TRIM(L164:AD164),L164:AD164),0),0))</f>
        <v/>
      </c>
      <c r="AM164" s="6229">
        <f t="shared" si="90"/>
        <v>0</v>
      </c>
      <c r="AN164" s="6857" t="str">
        <f t="shared" si="105"/>
        <v/>
      </c>
      <c r="AO164" s="392">
        <f t="shared" si="91"/>
        <v>0</v>
      </c>
      <c r="AP164" s="392">
        <f t="shared" si="92"/>
        <v>0</v>
      </c>
      <c r="AQ164" s="6190">
        <f t="shared" si="93"/>
        <v>0</v>
      </c>
      <c r="AR164" s="6858" t="str">
        <f t="shared" si="94"/>
        <v/>
      </c>
      <c r="AS164" s="6217"/>
      <c r="AT164" s="6217"/>
      <c r="AU164" s="6271">
        <f t="shared" si="95"/>
        <v>0</v>
      </c>
      <c r="AV164" s="6242">
        <f t="shared" si="96"/>
        <v>0</v>
      </c>
      <c r="AW164" s="6188" cm="1">
        <f t="array" ref="AW164">IF(AK164&lt;&gt;1,0,IF(OR(AU164="",N(AU164)&lt;=0.000000001),"",IF(OR(AO164="",N(AO164)&lt;=0.000000001),0,IF(ISNUMBER(AU164),IFERROR(_xlfn.LET(_xlpm.ai_test,TRIM(AJ164),_xlpm.r,IFERROR(_xlfn.XLOOKUP(_xlpm.ai_test,$BJ$15:$BJ$62,ROW($BJ$15:$BJ$62),0,1),IFERROR(_xlfn.XLOOKUP(_xlpm.ai_test,$BK$15:$BK$62,ROW($BK$15:$BK$62),0,1),_xlfn.XLOOKUP(_xlpm.ai_test,$BL$15:$BL$62,ROW($BL$15:$BL$62),0,1))),_xlpm.p,_xlpm.r-MIN(ROW($BJ$15:$BJ$62))+1,_xlpm.f,INDEX($BM$15:$BM$62,_xlpm.p),_xlpm.u,INDEX($BN$15:$BN$62,_xlpm.p),_xlpm.s,INDEX($BP$15:$BP$62,_xlpm.p),_xlpm.q,N(AU164)/_xlpm.f,IF(_xlpm.q&gt;=_xlpm.s,ROUND(_xlpm.q,1)&amp;" "&amp;_xlpm.ai_test&amp;" = "&amp;ROUND(_xlpm.q*_xlpm.f,1)&amp;" "&amp;_xlpm.u,ROUND(_xlpm.q,1)&amp;" "&amp;_xlpm.ai_test)),""),""))))</f>
        <v>0</v>
      </c>
      <c r="AX164" s="6218"/>
      <c r="AY164" s="6271">
        <f t="shared" si="97"/>
        <v>0</v>
      </c>
      <c r="AZ164" s="6242" t="str">
        <f t="shared" si="98"/>
        <v/>
      </c>
      <c r="BA164" s="6194">
        <f t="shared" si="103"/>
        <v>0</v>
      </c>
      <c r="BB164" s="6192" t="str">
        <f t="shared" si="99"/>
        <v/>
      </c>
      <c r="BC164" s="6219"/>
      <c r="BD164" s="6221">
        <f t="shared" si="104"/>
        <v>0</v>
      </c>
      <c r="BE164" s="6220" t="str">
        <f t="shared" si="100"/>
        <v/>
      </c>
      <c r="BF164" s="4" t="s">
        <v>1</v>
      </c>
      <c r="BG164" s="6196">
        <f t="shared" si="101"/>
        <v>0</v>
      </c>
      <c r="BH164" s="6197">
        <f t="shared" si="102"/>
        <v>0</v>
      </c>
      <c r="BI164"/>
      <c r="BR164"/>
      <c r="BS164"/>
      <c r="BT164"/>
      <c r="BU164"/>
      <c r="BV164"/>
      <c r="BW164"/>
      <c r="BX164" s="20" t="str">
        <f t="shared" si="81"/>
        <v>►</v>
      </c>
      <c r="BY164"/>
      <c r="BZ164"/>
      <c r="CA164"/>
      <c r="CB164"/>
      <c r="CC164"/>
      <c r="CD164" s="2"/>
      <c r="CE164"/>
      <c r="CF164"/>
      <c r="CG164"/>
      <c r="CH164"/>
      <c r="CI164"/>
      <c r="CJ164"/>
      <c r="CK164"/>
      <c r="CM164"/>
      <c r="CN164"/>
      <c r="CO164"/>
      <c r="CP164"/>
      <c r="CQ164"/>
      <c r="CR164"/>
      <c r="CS164"/>
      <c r="CU164"/>
      <c r="CV164"/>
      <c r="CW164"/>
      <c r="CX164"/>
      <c r="CY164"/>
      <c r="CZ164"/>
      <c r="DA164"/>
      <c r="DC164" s="5">
        <v>1</v>
      </c>
    </row>
    <row r="165" spans="1:107" s="1" customFormat="1" ht="21" customHeight="1">
      <c r="A165" s="5641" t="s">
        <v>1</v>
      </c>
      <c r="B165" s="5662" t="str">
        <f t="shared" si="80"/>
        <v>►</v>
      </c>
      <c r="C165" s="5825" cm="1">
        <f t="array" ref="C165">SUMPRODUCT(LEN(D165:J165))</f>
        <v>0</v>
      </c>
      <c r="D165" s="5275"/>
      <c r="E165" s="1361"/>
      <c r="F165" s="1361"/>
      <c r="G165" s="1361"/>
      <c r="H165" s="1361"/>
      <c r="I165" s="1361"/>
      <c r="J165" s="5276"/>
      <c r="K165" s="106" t="s">
        <v>1</v>
      </c>
      <c r="L165" s="1021" t="s">
        <v>26</v>
      </c>
      <c r="M165" s="6787"/>
      <c r="N165" s="6787"/>
      <c r="O165" s="6787"/>
      <c r="P165" s="6788"/>
      <c r="Q165" s="6789"/>
      <c r="R165" s="6790"/>
      <c r="S165" s="6786"/>
      <c r="T165" s="6791"/>
      <c r="U165" s="6844"/>
      <c r="V165" s="6791"/>
      <c r="W165" s="6785"/>
      <c r="X165" s="6868"/>
      <c r="Y165" s="6793"/>
      <c r="Z165" s="6794"/>
      <c r="AA165" s="6795"/>
      <c r="AB165" s="6796"/>
      <c r="AC165" s="6797"/>
      <c r="AD165" s="6798"/>
      <c r="AE165" s="4" t="s">
        <v>1</v>
      </c>
      <c r="AF165" s="6202" t="str">
        <f t="shared" si="84"/>
        <v>►</v>
      </c>
      <c r="AG165" s="6234" t="str">
        <f t="shared" si="85"/>
        <v/>
      </c>
      <c r="AH165" s="6732" t="str">
        <f t="shared" si="86"/>
        <v/>
      </c>
      <c r="AI165" s="6234" t="str">
        <f t="shared" si="87"/>
        <v/>
      </c>
      <c r="AJ165" s="6732" t="str">
        <f t="shared" si="88"/>
        <v/>
      </c>
      <c r="AK165" s="6732">
        <f t="shared" si="89"/>
        <v>0</v>
      </c>
      <c r="AL165" s="6230" t="str" cm="1">
        <f t="array" ref="AL165">IF(AF165&lt;&gt;"A","",IFERROR((IFERROR(_xlfn.XLOOKUP(TRIM(SUBSTITUTE(U165,CHAR(160)," ")),$BJ$15:$BJ$62,$BM$15:$BM$62),IFERROR(_xlfn.XLOOKUP(TRIM(SUBSTITUTE(U165,CHAR(160)," ")),$BK$15:$BK$62,$BM$15:$BM$62),_xlfn.XLOOKUP(TRIM(SUBSTITUTE(U165,CHAR(160)," ")),$BL$15:$BL$62,$BM$15:$BM$62))))*T165*IF(ISBLANK(Q165),1,Q165)+IFERROR(_xlfn.XLOOKUP("RECHERCHEX",TRIM(L165:AD165),L165:AD165),0),0))</f>
        <v/>
      </c>
      <c r="AM165" s="6229">
        <f t="shared" si="90"/>
        <v>0</v>
      </c>
      <c r="AN165" s="6857" t="str">
        <f t="shared" si="105"/>
        <v/>
      </c>
      <c r="AO165" s="392">
        <f t="shared" si="91"/>
        <v>0</v>
      </c>
      <c r="AP165" s="392">
        <f t="shared" si="92"/>
        <v>0</v>
      </c>
      <c r="AQ165" s="6191">
        <f t="shared" si="93"/>
        <v>0</v>
      </c>
      <c r="AR165" s="6859" t="str">
        <f t="shared" si="94"/>
        <v/>
      </c>
      <c r="AS165" s="6217"/>
      <c r="AT165" s="6217"/>
      <c r="AU165" s="6272">
        <f t="shared" si="95"/>
        <v>0</v>
      </c>
      <c r="AV165" s="6240">
        <f t="shared" si="96"/>
        <v>0</v>
      </c>
      <c r="AW165" s="6189" cm="1">
        <f t="array" ref="AW165">IF(AK165&lt;&gt;1,0,IF(OR(AU165="",N(AU165)&lt;=0.000000001),"",IF(OR(AO165="",N(AO165)&lt;=0.000000001),0,IF(ISNUMBER(AU165),IFERROR(_xlfn.LET(_xlpm.ai_test,TRIM(AJ165),_xlpm.r,IFERROR(_xlfn.XLOOKUP(_xlpm.ai_test,$BJ$15:$BJ$62,ROW($BJ$15:$BJ$62),0,1),IFERROR(_xlfn.XLOOKUP(_xlpm.ai_test,$BK$15:$BK$62,ROW($BK$15:$BK$62),0,1),_xlfn.XLOOKUP(_xlpm.ai_test,$BL$15:$BL$62,ROW($BL$15:$BL$62),0,1))),_xlpm.p,_xlpm.r-MIN(ROW($BJ$15:$BJ$62))+1,_xlpm.f,INDEX($BM$15:$BM$62,_xlpm.p),_xlpm.u,INDEX($BN$15:$BN$62,_xlpm.p),_xlpm.s,INDEX($BP$15:$BP$62,_xlpm.p),_xlpm.q,N(AU165)/_xlpm.f,IF(_xlpm.q&gt;=_xlpm.s,ROUND(_xlpm.q,1)&amp;" "&amp;_xlpm.ai_test&amp;" = "&amp;ROUND(_xlpm.q*_xlpm.f,1)&amp;" "&amp;_xlpm.u,ROUND(_xlpm.q,1)&amp;" "&amp;_xlpm.ai_test)),""),""))))</f>
        <v>0</v>
      </c>
      <c r="AX165" s="6218"/>
      <c r="AY165" s="6272">
        <f t="shared" si="97"/>
        <v>0</v>
      </c>
      <c r="AZ165" s="6240" t="str">
        <f t="shared" si="98"/>
        <v/>
      </c>
      <c r="BA165" s="6195">
        <f t="shared" si="103"/>
        <v>0</v>
      </c>
      <c r="BB165" s="6193" t="str">
        <f t="shared" si="99"/>
        <v/>
      </c>
      <c r="BC165" s="6219"/>
      <c r="BD165" s="6222">
        <f t="shared" si="104"/>
        <v>0</v>
      </c>
      <c r="BE165" s="6220" t="str">
        <f t="shared" si="100"/>
        <v/>
      </c>
      <c r="BF165" s="4" t="s">
        <v>1</v>
      </c>
      <c r="BG165" s="6196">
        <f t="shared" si="101"/>
        <v>0</v>
      </c>
      <c r="BH165" s="6197">
        <f t="shared" si="102"/>
        <v>0</v>
      </c>
      <c r="BI165"/>
      <c r="BR165"/>
      <c r="BS165"/>
      <c r="BT165"/>
      <c r="BU165"/>
      <c r="BV165"/>
      <c r="BW165"/>
      <c r="BX165" s="20" t="str">
        <f t="shared" si="81"/>
        <v>►</v>
      </c>
      <c r="BY165"/>
      <c r="BZ165"/>
      <c r="CA165"/>
      <c r="CB165"/>
      <c r="CC165"/>
      <c r="CD165" s="2"/>
      <c r="CE165"/>
      <c r="CF165"/>
      <c r="CG165"/>
      <c r="CH165"/>
      <c r="CI165"/>
      <c r="CJ165"/>
      <c r="CK165"/>
      <c r="CM165"/>
      <c r="CN165"/>
      <c r="CO165"/>
      <c r="CP165"/>
      <c r="CQ165"/>
      <c r="CR165"/>
      <c r="CS165"/>
      <c r="CU165"/>
      <c r="CV165"/>
      <c r="CW165"/>
      <c r="CX165"/>
      <c r="CY165"/>
      <c r="CZ165"/>
      <c r="DA165"/>
      <c r="DC165" s="5">
        <v>1</v>
      </c>
    </row>
    <row r="166" spans="1:107" s="1" customFormat="1" ht="21" customHeight="1">
      <c r="A166" s="5641" t="s">
        <v>1</v>
      </c>
      <c r="B166" s="5662" t="str">
        <f t="shared" si="80"/>
        <v>►</v>
      </c>
      <c r="C166" s="5825" cm="1">
        <f t="array" ref="C166">SUMPRODUCT(LEN(D166:J166))</f>
        <v>0</v>
      </c>
      <c r="D166" s="5275"/>
      <c r="E166" s="1361"/>
      <c r="F166" s="1361"/>
      <c r="G166" s="1361"/>
      <c r="H166" s="1361"/>
      <c r="I166" s="1361"/>
      <c r="J166" s="5276"/>
      <c r="K166" s="106" t="s">
        <v>1</v>
      </c>
      <c r="L166" s="1021" t="s">
        <v>26</v>
      </c>
      <c r="M166" s="6787"/>
      <c r="N166" s="6787"/>
      <c r="O166" s="6787"/>
      <c r="P166" s="6788"/>
      <c r="Q166" s="6789"/>
      <c r="R166" s="6790"/>
      <c r="S166" s="6786"/>
      <c r="T166" s="6791"/>
      <c r="U166" s="6844"/>
      <c r="V166" s="6791"/>
      <c r="W166" s="6785"/>
      <c r="X166" s="6868"/>
      <c r="Y166" s="6793"/>
      <c r="Z166" s="6794"/>
      <c r="AA166" s="6795"/>
      <c r="AB166" s="6796"/>
      <c r="AC166" s="6797"/>
      <c r="AD166" s="6798"/>
      <c r="AE166" s="4" t="s">
        <v>1</v>
      </c>
      <c r="AF166" s="6202" t="str">
        <f t="shared" si="84"/>
        <v>►</v>
      </c>
      <c r="AG166" s="6234" t="str">
        <f t="shared" si="85"/>
        <v/>
      </c>
      <c r="AH166" s="6732" t="str">
        <f t="shared" si="86"/>
        <v/>
      </c>
      <c r="AI166" s="6234" t="str">
        <f t="shared" si="87"/>
        <v/>
      </c>
      <c r="AJ166" s="6732" t="str">
        <f t="shared" si="88"/>
        <v/>
      </c>
      <c r="AK166" s="6732">
        <f t="shared" si="89"/>
        <v>0</v>
      </c>
      <c r="AL166" s="6230" t="str" cm="1">
        <f t="array" ref="AL166">IF(AF166&lt;&gt;"A","",IFERROR((IFERROR(_xlfn.XLOOKUP(TRIM(SUBSTITUTE(U166,CHAR(160)," ")),$BJ$15:$BJ$62,$BM$15:$BM$62),IFERROR(_xlfn.XLOOKUP(TRIM(SUBSTITUTE(U166,CHAR(160)," ")),$BK$15:$BK$62,$BM$15:$BM$62),_xlfn.XLOOKUP(TRIM(SUBSTITUTE(U166,CHAR(160)," ")),$BL$15:$BL$62,$BM$15:$BM$62))))*T166*IF(ISBLANK(Q166),1,Q166)+IFERROR(_xlfn.XLOOKUP("RECHERCHEX",TRIM(L166:AD166),L166:AD166),0),0))</f>
        <v/>
      </c>
      <c r="AM166" s="6229">
        <f t="shared" si="90"/>
        <v>0</v>
      </c>
      <c r="AN166" s="6857" t="str">
        <f t="shared" si="105"/>
        <v/>
      </c>
      <c r="AO166" s="392">
        <f t="shared" si="91"/>
        <v>0</v>
      </c>
      <c r="AP166" s="392">
        <f t="shared" si="92"/>
        <v>0</v>
      </c>
      <c r="AQ166" s="6190">
        <f t="shared" si="93"/>
        <v>0</v>
      </c>
      <c r="AR166" s="6858" t="str">
        <f t="shared" si="94"/>
        <v/>
      </c>
      <c r="AS166" s="6217"/>
      <c r="AT166" s="6217"/>
      <c r="AU166" s="6271">
        <f t="shared" si="95"/>
        <v>0</v>
      </c>
      <c r="AV166" s="6242">
        <f t="shared" si="96"/>
        <v>0</v>
      </c>
      <c r="AW166" s="6188" cm="1">
        <f t="array" ref="AW166">IF(AK166&lt;&gt;1,0,IF(OR(AU166="",N(AU166)&lt;=0.000000001),"",IF(OR(AO166="",N(AO166)&lt;=0.000000001),0,IF(ISNUMBER(AU166),IFERROR(_xlfn.LET(_xlpm.ai_test,TRIM(AJ166),_xlpm.r,IFERROR(_xlfn.XLOOKUP(_xlpm.ai_test,$BJ$15:$BJ$62,ROW($BJ$15:$BJ$62),0,1),IFERROR(_xlfn.XLOOKUP(_xlpm.ai_test,$BK$15:$BK$62,ROW($BK$15:$BK$62),0,1),_xlfn.XLOOKUP(_xlpm.ai_test,$BL$15:$BL$62,ROW($BL$15:$BL$62),0,1))),_xlpm.p,_xlpm.r-MIN(ROW($BJ$15:$BJ$62))+1,_xlpm.f,INDEX($BM$15:$BM$62,_xlpm.p),_xlpm.u,INDEX($BN$15:$BN$62,_xlpm.p),_xlpm.s,INDEX($BP$15:$BP$62,_xlpm.p),_xlpm.q,N(AU166)/_xlpm.f,IF(_xlpm.q&gt;=_xlpm.s,ROUND(_xlpm.q,1)&amp;" "&amp;_xlpm.ai_test&amp;" = "&amp;ROUND(_xlpm.q*_xlpm.f,1)&amp;" "&amp;_xlpm.u,ROUND(_xlpm.q,1)&amp;" "&amp;_xlpm.ai_test)),""),""))))</f>
        <v>0</v>
      </c>
      <c r="AX166" s="6218"/>
      <c r="AY166" s="6271">
        <f t="shared" si="97"/>
        <v>0</v>
      </c>
      <c r="AZ166" s="6242" t="str">
        <f t="shared" si="98"/>
        <v/>
      </c>
      <c r="BA166" s="6194">
        <f t="shared" si="103"/>
        <v>0</v>
      </c>
      <c r="BB166" s="6192" t="str">
        <f t="shared" si="99"/>
        <v/>
      </c>
      <c r="BC166" s="6219"/>
      <c r="BD166" s="6221">
        <f t="shared" si="104"/>
        <v>0</v>
      </c>
      <c r="BE166" s="6220" t="str">
        <f t="shared" si="100"/>
        <v/>
      </c>
      <c r="BF166" s="4" t="s">
        <v>1</v>
      </c>
      <c r="BG166" s="6196">
        <f t="shared" si="101"/>
        <v>0</v>
      </c>
      <c r="BH166" s="6197">
        <f t="shared" si="102"/>
        <v>0</v>
      </c>
      <c r="BI166"/>
      <c r="BR166"/>
      <c r="BS166"/>
      <c r="BT166"/>
      <c r="BU166"/>
      <c r="BV166"/>
      <c r="BW166"/>
      <c r="BX166" s="20" t="str">
        <f t="shared" si="81"/>
        <v>►</v>
      </c>
      <c r="BY166"/>
      <c r="BZ166"/>
      <c r="CA166"/>
      <c r="CB166"/>
      <c r="CC166"/>
      <c r="CD166" s="2"/>
      <c r="CE166"/>
      <c r="CF166"/>
      <c r="CG166"/>
      <c r="CH166"/>
      <c r="CI166"/>
      <c r="CJ166"/>
      <c r="CK166"/>
      <c r="CM166"/>
      <c r="CN166"/>
      <c r="CO166"/>
      <c r="CP166"/>
      <c r="CQ166"/>
      <c r="CR166"/>
      <c r="CS166"/>
      <c r="CU166"/>
      <c r="CV166"/>
      <c r="CW166"/>
      <c r="CX166"/>
      <c r="CY166"/>
      <c r="CZ166"/>
      <c r="DA166"/>
      <c r="DC166" s="5">
        <v>1</v>
      </c>
    </row>
    <row r="167" spans="1:107" s="1" customFormat="1" ht="21" customHeight="1">
      <c r="A167" s="5641" t="s">
        <v>1</v>
      </c>
      <c r="B167" s="5662" t="str">
        <f t="shared" si="80"/>
        <v>►</v>
      </c>
      <c r="C167" s="5825" cm="1">
        <f t="array" ref="C167">SUMPRODUCT(LEN(D167:J167))</f>
        <v>0</v>
      </c>
      <c r="D167" s="5275"/>
      <c r="E167" s="1361"/>
      <c r="F167" s="1361"/>
      <c r="G167" s="1361"/>
      <c r="H167" s="1361"/>
      <c r="I167" s="1361"/>
      <c r="J167" s="5276"/>
      <c r="K167" s="106" t="s">
        <v>1</v>
      </c>
      <c r="L167" s="1021" t="s">
        <v>26</v>
      </c>
      <c r="M167" s="6787"/>
      <c r="N167" s="6787"/>
      <c r="O167" s="6787"/>
      <c r="P167" s="6788"/>
      <c r="Q167" s="6789"/>
      <c r="R167" s="6790"/>
      <c r="S167" s="6786"/>
      <c r="T167" s="6791"/>
      <c r="U167" s="6844"/>
      <c r="V167" s="6791"/>
      <c r="W167" s="6785"/>
      <c r="X167" s="6868"/>
      <c r="Y167" s="6793"/>
      <c r="Z167" s="6794"/>
      <c r="AA167" s="6795"/>
      <c r="AB167" s="6796"/>
      <c r="AC167" s="6797"/>
      <c r="AD167" s="6798"/>
      <c r="AE167" s="4" t="s">
        <v>1</v>
      </c>
      <c r="AF167" s="6202" t="str">
        <f t="shared" si="84"/>
        <v>►</v>
      </c>
      <c r="AG167" s="6234" t="str">
        <f t="shared" si="85"/>
        <v/>
      </c>
      <c r="AH167" s="6732" t="str">
        <f t="shared" si="86"/>
        <v/>
      </c>
      <c r="AI167" s="6234" t="str">
        <f t="shared" si="87"/>
        <v/>
      </c>
      <c r="AJ167" s="6732" t="str">
        <f t="shared" si="88"/>
        <v/>
      </c>
      <c r="AK167" s="6732">
        <f t="shared" si="89"/>
        <v>0</v>
      </c>
      <c r="AL167" s="6230" t="str" cm="1">
        <f t="array" ref="AL167">IF(AF167&lt;&gt;"A","",IFERROR((IFERROR(_xlfn.XLOOKUP(TRIM(SUBSTITUTE(U167,CHAR(160)," ")),$BJ$15:$BJ$62,$BM$15:$BM$62),IFERROR(_xlfn.XLOOKUP(TRIM(SUBSTITUTE(U167,CHAR(160)," ")),$BK$15:$BK$62,$BM$15:$BM$62),_xlfn.XLOOKUP(TRIM(SUBSTITUTE(U167,CHAR(160)," ")),$BL$15:$BL$62,$BM$15:$BM$62))))*T167*IF(ISBLANK(Q167),1,Q167)+IFERROR(_xlfn.XLOOKUP("RECHERCHEX",TRIM(L167:AD167),L167:AD167),0),0))</f>
        <v/>
      </c>
      <c r="AM167" s="6229">
        <f t="shared" si="90"/>
        <v>0</v>
      </c>
      <c r="AN167" s="6857" t="str">
        <f t="shared" si="105"/>
        <v/>
      </c>
      <c r="AO167" s="392">
        <f t="shared" si="91"/>
        <v>0</v>
      </c>
      <c r="AP167" s="392">
        <f t="shared" si="92"/>
        <v>0</v>
      </c>
      <c r="AQ167" s="6191">
        <f t="shared" si="93"/>
        <v>0</v>
      </c>
      <c r="AR167" s="6859" t="str">
        <f t="shared" si="94"/>
        <v/>
      </c>
      <c r="AS167" s="6217"/>
      <c r="AT167" s="6217"/>
      <c r="AU167" s="6272">
        <f t="shared" si="95"/>
        <v>0</v>
      </c>
      <c r="AV167" s="6240">
        <f t="shared" si="96"/>
        <v>0</v>
      </c>
      <c r="AW167" s="6189" cm="1">
        <f t="array" ref="AW167">IF(AK167&lt;&gt;1,0,IF(OR(AU167="",N(AU167)&lt;=0.000000001),"",IF(OR(AO167="",N(AO167)&lt;=0.000000001),0,IF(ISNUMBER(AU167),IFERROR(_xlfn.LET(_xlpm.ai_test,TRIM(AJ167),_xlpm.r,IFERROR(_xlfn.XLOOKUP(_xlpm.ai_test,$BJ$15:$BJ$62,ROW($BJ$15:$BJ$62),0,1),IFERROR(_xlfn.XLOOKUP(_xlpm.ai_test,$BK$15:$BK$62,ROW($BK$15:$BK$62),0,1),_xlfn.XLOOKUP(_xlpm.ai_test,$BL$15:$BL$62,ROW($BL$15:$BL$62),0,1))),_xlpm.p,_xlpm.r-MIN(ROW($BJ$15:$BJ$62))+1,_xlpm.f,INDEX($BM$15:$BM$62,_xlpm.p),_xlpm.u,INDEX($BN$15:$BN$62,_xlpm.p),_xlpm.s,INDEX($BP$15:$BP$62,_xlpm.p),_xlpm.q,N(AU167)/_xlpm.f,IF(_xlpm.q&gt;=_xlpm.s,ROUND(_xlpm.q,1)&amp;" "&amp;_xlpm.ai_test&amp;" = "&amp;ROUND(_xlpm.q*_xlpm.f,1)&amp;" "&amp;_xlpm.u,ROUND(_xlpm.q,1)&amp;" "&amp;_xlpm.ai_test)),""),""))))</f>
        <v>0</v>
      </c>
      <c r="AX167" s="6218"/>
      <c r="AY167" s="6272">
        <f t="shared" si="97"/>
        <v>0</v>
      </c>
      <c r="AZ167" s="6240" t="str">
        <f t="shared" si="98"/>
        <v/>
      </c>
      <c r="BA167" s="6195">
        <f t="shared" si="103"/>
        <v>0</v>
      </c>
      <c r="BB167" s="6193" t="str">
        <f t="shared" si="99"/>
        <v/>
      </c>
      <c r="BC167" s="6219"/>
      <c r="BD167" s="6222">
        <f t="shared" si="104"/>
        <v>0</v>
      </c>
      <c r="BE167" s="6220" t="str">
        <f t="shared" si="100"/>
        <v/>
      </c>
      <c r="BF167" s="4" t="s">
        <v>1</v>
      </c>
      <c r="BG167" s="6196">
        <f t="shared" si="101"/>
        <v>0</v>
      </c>
      <c r="BH167" s="6197">
        <f t="shared" si="102"/>
        <v>0</v>
      </c>
      <c r="BI167"/>
      <c r="BR167"/>
      <c r="BS167"/>
      <c r="BT167"/>
      <c r="BU167"/>
      <c r="BV167"/>
      <c r="BW167"/>
      <c r="BX167" s="20" t="str">
        <f t="shared" si="81"/>
        <v>►</v>
      </c>
      <c r="BY167"/>
      <c r="BZ167"/>
      <c r="CA167"/>
      <c r="CB167"/>
      <c r="CC167"/>
      <c r="CD167" s="2"/>
      <c r="CE167"/>
      <c r="CF167"/>
      <c r="CG167"/>
      <c r="CH167"/>
      <c r="CI167"/>
      <c r="CJ167"/>
      <c r="CK167"/>
      <c r="CM167"/>
      <c r="CN167"/>
      <c r="CO167"/>
      <c r="CP167"/>
      <c r="CQ167"/>
      <c r="CR167"/>
      <c r="CS167"/>
      <c r="CU167"/>
      <c r="CV167"/>
      <c r="CW167"/>
      <c r="CX167"/>
      <c r="CY167"/>
      <c r="CZ167"/>
      <c r="DA167"/>
      <c r="DC167" s="5">
        <v>1</v>
      </c>
    </row>
    <row r="168" spans="1:107" s="1" customFormat="1" ht="21" customHeight="1">
      <c r="A168" s="5641" t="s">
        <v>1</v>
      </c>
      <c r="B168" s="5662" t="str">
        <f t="shared" si="80"/>
        <v>►</v>
      </c>
      <c r="C168" s="5825" cm="1">
        <f t="array" ref="C168">SUMPRODUCT(LEN(D168:J168))</f>
        <v>0</v>
      </c>
      <c r="D168" s="5275"/>
      <c r="E168" s="1361"/>
      <c r="F168" s="1361"/>
      <c r="G168" s="1361"/>
      <c r="H168" s="1361"/>
      <c r="I168" s="1361"/>
      <c r="J168" s="5276"/>
      <c r="K168" s="106" t="s">
        <v>1</v>
      </c>
      <c r="L168" s="1021" t="s">
        <v>26</v>
      </c>
      <c r="M168" s="6787"/>
      <c r="N168" s="6787"/>
      <c r="O168" s="6787"/>
      <c r="P168" s="6788"/>
      <c r="Q168" s="6789"/>
      <c r="R168" s="6790"/>
      <c r="S168" s="6786"/>
      <c r="T168" s="6791"/>
      <c r="U168" s="6844"/>
      <c r="V168" s="6791"/>
      <c r="W168" s="6785"/>
      <c r="X168" s="6868"/>
      <c r="Y168" s="6793"/>
      <c r="Z168" s="6794"/>
      <c r="AA168" s="6795"/>
      <c r="AB168" s="6796"/>
      <c r="AC168" s="6797"/>
      <c r="AD168" s="6798"/>
      <c r="AE168" s="4" t="s">
        <v>1</v>
      </c>
      <c r="AF168" s="6202" t="str">
        <f t="shared" si="84"/>
        <v>►</v>
      </c>
      <c r="AG168" s="6234" t="str">
        <f t="shared" si="85"/>
        <v/>
      </c>
      <c r="AH168" s="6732" t="str">
        <f t="shared" si="86"/>
        <v/>
      </c>
      <c r="AI168" s="6234" t="str">
        <f t="shared" si="87"/>
        <v/>
      </c>
      <c r="AJ168" s="6732" t="str">
        <f t="shared" si="88"/>
        <v/>
      </c>
      <c r="AK168" s="6732">
        <f t="shared" si="89"/>
        <v>0</v>
      </c>
      <c r="AL168" s="6230" t="str" cm="1">
        <f t="array" ref="AL168">IF(AF168&lt;&gt;"A","",IFERROR((IFERROR(_xlfn.XLOOKUP(TRIM(SUBSTITUTE(U168,CHAR(160)," ")),$BJ$15:$BJ$62,$BM$15:$BM$62),IFERROR(_xlfn.XLOOKUP(TRIM(SUBSTITUTE(U168,CHAR(160)," ")),$BK$15:$BK$62,$BM$15:$BM$62),_xlfn.XLOOKUP(TRIM(SUBSTITUTE(U168,CHAR(160)," ")),$BL$15:$BL$62,$BM$15:$BM$62))))*T168*IF(ISBLANK(Q168),1,Q168)+IFERROR(_xlfn.XLOOKUP("RECHERCHEX",TRIM(L168:AD168),L168:AD168),0),0))</f>
        <v/>
      </c>
      <c r="AM168" s="6229">
        <f t="shared" si="90"/>
        <v>0</v>
      </c>
      <c r="AN168" s="6857" t="str">
        <f t="shared" si="105"/>
        <v/>
      </c>
      <c r="AO168" s="392">
        <f t="shared" si="91"/>
        <v>0</v>
      </c>
      <c r="AP168" s="392">
        <f t="shared" si="92"/>
        <v>0</v>
      </c>
      <c r="AQ168" s="6190">
        <f t="shared" si="93"/>
        <v>0</v>
      </c>
      <c r="AR168" s="6858" t="str">
        <f t="shared" si="94"/>
        <v/>
      </c>
      <c r="AS168" s="6217"/>
      <c r="AT168" s="6217"/>
      <c r="AU168" s="6271">
        <f t="shared" si="95"/>
        <v>0</v>
      </c>
      <c r="AV168" s="6242">
        <f t="shared" si="96"/>
        <v>0</v>
      </c>
      <c r="AW168" s="6188" cm="1">
        <f t="array" ref="AW168">IF(AK168&lt;&gt;1,0,IF(OR(AU168="",N(AU168)&lt;=0.000000001),"",IF(OR(AO168="",N(AO168)&lt;=0.000000001),0,IF(ISNUMBER(AU168),IFERROR(_xlfn.LET(_xlpm.ai_test,TRIM(AJ168),_xlpm.r,IFERROR(_xlfn.XLOOKUP(_xlpm.ai_test,$BJ$15:$BJ$62,ROW($BJ$15:$BJ$62),0,1),IFERROR(_xlfn.XLOOKUP(_xlpm.ai_test,$BK$15:$BK$62,ROW($BK$15:$BK$62),0,1),_xlfn.XLOOKUP(_xlpm.ai_test,$BL$15:$BL$62,ROW($BL$15:$BL$62),0,1))),_xlpm.p,_xlpm.r-MIN(ROW($BJ$15:$BJ$62))+1,_xlpm.f,INDEX($BM$15:$BM$62,_xlpm.p),_xlpm.u,INDEX($BN$15:$BN$62,_xlpm.p),_xlpm.s,INDEX($BP$15:$BP$62,_xlpm.p),_xlpm.q,N(AU168)/_xlpm.f,IF(_xlpm.q&gt;=_xlpm.s,ROUND(_xlpm.q,1)&amp;" "&amp;_xlpm.ai_test&amp;" = "&amp;ROUND(_xlpm.q*_xlpm.f,1)&amp;" "&amp;_xlpm.u,ROUND(_xlpm.q,1)&amp;" "&amp;_xlpm.ai_test)),""),""))))</f>
        <v>0</v>
      </c>
      <c r="AX168" s="6218"/>
      <c r="AY168" s="6271">
        <f t="shared" si="97"/>
        <v>0</v>
      </c>
      <c r="AZ168" s="6242" t="str">
        <f t="shared" si="98"/>
        <v/>
      </c>
      <c r="BA168" s="6194">
        <f t="shared" si="103"/>
        <v>0</v>
      </c>
      <c r="BB168" s="6192" t="str">
        <f t="shared" si="99"/>
        <v/>
      </c>
      <c r="BC168" s="6219"/>
      <c r="BD168" s="6221">
        <f t="shared" si="104"/>
        <v>0</v>
      </c>
      <c r="BE168" s="6220" t="str">
        <f t="shared" si="100"/>
        <v/>
      </c>
      <c r="BF168" s="4" t="s">
        <v>1</v>
      </c>
      <c r="BG168" s="6196">
        <f t="shared" si="101"/>
        <v>0</v>
      </c>
      <c r="BH168" s="6197">
        <f t="shared" si="102"/>
        <v>0</v>
      </c>
      <c r="BI168"/>
      <c r="BR168"/>
      <c r="BS168"/>
      <c r="BT168"/>
      <c r="BU168"/>
      <c r="BV168"/>
      <c r="BW168"/>
      <c r="BX168" s="20" t="str">
        <f t="shared" si="81"/>
        <v>►</v>
      </c>
      <c r="BY168"/>
      <c r="BZ168"/>
      <c r="CA168"/>
      <c r="CB168"/>
      <c r="CC168"/>
      <c r="CD168" s="2"/>
      <c r="CE168"/>
      <c r="CF168"/>
      <c r="CG168"/>
      <c r="CH168"/>
      <c r="CI168"/>
      <c r="CJ168"/>
      <c r="CK168"/>
      <c r="CM168"/>
      <c r="CN168"/>
      <c r="CO168"/>
      <c r="CP168"/>
      <c r="CQ168"/>
      <c r="CR168"/>
      <c r="CS168"/>
      <c r="CU168"/>
      <c r="CV168"/>
      <c r="CW168"/>
      <c r="CX168"/>
      <c r="CY168"/>
      <c r="CZ168"/>
      <c r="DA168"/>
      <c r="DC168" s="5">
        <v>1</v>
      </c>
    </row>
    <row r="169" spans="1:107" s="1" customFormat="1" ht="21" customHeight="1">
      <c r="A169" s="5641" t="s">
        <v>1</v>
      </c>
      <c r="B169" s="5662" t="str">
        <f t="shared" si="80"/>
        <v>►</v>
      </c>
      <c r="C169" s="5825" cm="1">
        <f t="array" ref="C169">SUMPRODUCT(LEN(D169:J169))</f>
        <v>0</v>
      </c>
      <c r="D169" s="5275"/>
      <c r="E169" s="1361"/>
      <c r="F169" s="1361"/>
      <c r="G169" s="1361"/>
      <c r="H169" s="1361"/>
      <c r="I169" s="1361"/>
      <c r="J169" s="5276"/>
      <c r="K169" s="106" t="s">
        <v>1</v>
      </c>
      <c r="L169" s="1021" t="s">
        <v>26</v>
      </c>
      <c r="M169" s="6787"/>
      <c r="N169" s="6787"/>
      <c r="O169" s="6787"/>
      <c r="P169" s="6788"/>
      <c r="Q169" s="6789"/>
      <c r="R169" s="6790"/>
      <c r="S169" s="6786"/>
      <c r="T169" s="6791"/>
      <c r="U169" s="6844"/>
      <c r="V169" s="6791"/>
      <c r="W169" s="6785"/>
      <c r="X169" s="6868"/>
      <c r="Y169" s="6793"/>
      <c r="Z169" s="6794"/>
      <c r="AA169" s="6795"/>
      <c r="AB169" s="6796"/>
      <c r="AC169" s="6797"/>
      <c r="AD169" s="6798"/>
      <c r="AE169" s="4" t="s">
        <v>1</v>
      </c>
      <c r="AF169" s="6202" t="str">
        <f t="shared" si="84"/>
        <v>►</v>
      </c>
      <c r="AG169" s="6234" t="str">
        <f t="shared" si="85"/>
        <v/>
      </c>
      <c r="AH169" s="6732" t="str">
        <f t="shared" si="86"/>
        <v/>
      </c>
      <c r="AI169" s="6234" t="str">
        <f t="shared" si="87"/>
        <v/>
      </c>
      <c r="AJ169" s="6732" t="str">
        <f t="shared" si="88"/>
        <v/>
      </c>
      <c r="AK169" s="6732">
        <f t="shared" si="89"/>
        <v>0</v>
      </c>
      <c r="AL169" s="6230" t="str" cm="1">
        <f t="array" ref="AL169">IF(AF169&lt;&gt;"A","",IFERROR((IFERROR(_xlfn.XLOOKUP(TRIM(SUBSTITUTE(U169,CHAR(160)," ")),$BJ$15:$BJ$62,$BM$15:$BM$62),IFERROR(_xlfn.XLOOKUP(TRIM(SUBSTITUTE(U169,CHAR(160)," ")),$BK$15:$BK$62,$BM$15:$BM$62),_xlfn.XLOOKUP(TRIM(SUBSTITUTE(U169,CHAR(160)," ")),$BL$15:$BL$62,$BM$15:$BM$62))))*T169*IF(ISBLANK(Q169),1,Q169)+IFERROR(_xlfn.XLOOKUP("RECHERCHEX",TRIM(L169:AD169),L169:AD169),0),0))</f>
        <v/>
      </c>
      <c r="AM169" s="6229">
        <f t="shared" si="90"/>
        <v>0</v>
      </c>
      <c r="AN169" s="6857" t="str">
        <f t="shared" si="105"/>
        <v/>
      </c>
      <c r="AO169" s="392">
        <f t="shared" si="91"/>
        <v>0</v>
      </c>
      <c r="AP169" s="392">
        <f t="shared" si="92"/>
        <v>0</v>
      </c>
      <c r="AQ169" s="6191">
        <f t="shared" si="93"/>
        <v>0</v>
      </c>
      <c r="AR169" s="6859" t="str">
        <f t="shared" si="94"/>
        <v/>
      </c>
      <c r="AS169" s="6217"/>
      <c r="AT169" s="6217"/>
      <c r="AU169" s="6272">
        <f t="shared" si="95"/>
        <v>0</v>
      </c>
      <c r="AV169" s="6240">
        <f t="shared" si="96"/>
        <v>0</v>
      </c>
      <c r="AW169" s="6189" cm="1">
        <f t="array" ref="AW169">IF(AK169&lt;&gt;1,0,IF(OR(AU169="",N(AU169)&lt;=0.000000001),"",IF(OR(AO169="",N(AO169)&lt;=0.000000001),0,IF(ISNUMBER(AU169),IFERROR(_xlfn.LET(_xlpm.ai_test,TRIM(AJ169),_xlpm.r,IFERROR(_xlfn.XLOOKUP(_xlpm.ai_test,$BJ$15:$BJ$62,ROW($BJ$15:$BJ$62),0,1),IFERROR(_xlfn.XLOOKUP(_xlpm.ai_test,$BK$15:$BK$62,ROW($BK$15:$BK$62),0,1),_xlfn.XLOOKUP(_xlpm.ai_test,$BL$15:$BL$62,ROW($BL$15:$BL$62),0,1))),_xlpm.p,_xlpm.r-MIN(ROW($BJ$15:$BJ$62))+1,_xlpm.f,INDEX($BM$15:$BM$62,_xlpm.p),_xlpm.u,INDEX($BN$15:$BN$62,_xlpm.p),_xlpm.s,INDEX($BP$15:$BP$62,_xlpm.p),_xlpm.q,N(AU169)/_xlpm.f,IF(_xlpm.q&gt;=_xlpm.s,ROUND(_xlpm.q,1)&amp;" "&amp;_xlpm.ai_test&amp;" = "&amp;ROUND(_xlpm.q*_xlpm.f,1)&amp;" "&amp;_xlpm.u,ROUND(_xlpm.q,1)&amp;" "&amp;_xlpm.ai_test)),""),""))))</f>
        <v>0</v>
      </c>
      <c r="AX169" s="6218"/>
      <c r="AY169" s="6272">
        <f t="shared" si="97"/>
        <v>0</v>
      </c>
      <c r="AZ169" s="6240" t="str">
        <f t="shared" si="98"/>
        <v/>
      </c>
      <c r="BA169" s="6195">
        <f t="shared" si="103"/>
        <v>0</v>
      </c>
      <c r="BB169" s="6193" t="str">
        <f t="shared" si="99"/>
        <v/>
      </c>
      <c r="BC169" s="6219"/>
      <c r="BD169" s="6222">
        <f t="shared" si="104"/>
        <v>0</v>
      </c>
      <c r="BE169" s="6220" t="str">
        <f t="shared" si="100"/>
        <v/>
      </c>
      <c r="BF169" s="4" t="s">
        <v>1</v>
      </c>
      <c r="BG169" s="6196">
        <f t="shared" si="101"/>
        <v>0</v>
      </c>
      <c r="BH169" s="6197">
        <f t="shared" si="102"/>
        <v>0</v>
      </c>
      <c r="BI169"/>
      <c r="BR169"/>
      <c r="BS169"/>
      <c r="BT169"/>
      <c r="BU169"/>
      <c r="BV169"/>
      <c r="BW169"/>
      <c r="BX169" s="20" t="str">
        <f t="shared" si="81"/>
        <v>►</v>
      </c>
      <c r="BY169"/>
      <c r="BZ169"/>
      <c r="CA169"/>
      <c r="CB169"/>
      <c r="CC169"/>
      <c r="CD169" s="2"/>
      <c r="CE169"/>
      <c r="CF169"/>
      <c r="CG169"/>
      <c r="CH169"/>
      <c r="CI169"/>
      <c r="CJ169"/>
      <c r="CK169"/>
      <c r="CM169"/>
      <c r="CN169"/>
      <c r="CO169"/>
      <c r="CP169"/>
      <c r="CQ169"/>
      <c r="CR169"/>
      <c r="CS169"/>
      <c r="CU169"/>
      <c r="CV169"/>
      <c r="CW169"/>
      <c r="CX169"/>
      <c r="CY169"/>
      <c r="CZ169"/>
      <c r="DA169"/>
      <c r="DC169" s="5">
        <v>1</v>
      </c>
    </row>
    <row r="170" spans="1:107" s="1" customFormat="1" ht="21" customHeight="1">
      <c r="A170" s="5641" t="s">
        <v>1</v>
      </c>
      <c r="B170" s="5662" t="str">
        <f t="shared" si="80"/>
        <v>►</v>
      </c>
      <c r="C170" s="5825" cm="1">
        <f t="array" ref="C170">SUMPRODUCT(LEN(D170:J170))</f>
        <v>0</v>
      </c>
      <c r="D170" s="5275"/>
      <c r="E170" s="1361"/>
      <c r="F170" s="1361"/>
      <c r="G170" s="1361"/>
      <c r="H170" s="1361"/>
      <c r="I170" s="1361"/>
      <c r="J170" s="5276"/>
      <c r="K170" s="106" t="s">
        <v>1</v>
      </c>
      <c r="L170" s="1021" t="s">
        <v>26</v>
      </c>
      <c r="M170" s="6787"/>
      <c r="N170" s="6787"/>
      <c r="O170" s="6787"/>
      <c r="P170" s="6788"/>
      <c r="Q170" s="6789"/>
      <c r="R170" s="6790"/>
      <c r="S170" s="6786"/>
      <c r="T170" s="6791"/>
      <c r="U170" s="6844"/>
      <c r="V170" s="6791"/>
      <c r="W170" s="6785"/>
      <c r="X170" s="6868"/>
      <c r="Y170" s="6793"/>
      <c r="Z170" s="6794"/>
      <c r="AA170" s="6795"/>
      <c r="AB170" s="6796"/>
      <c r="AC170" s="6797"/>
      <c r="AD170" s="6798"/>
      <c r="AE170" s="4" t="s">
        <v>1</v>
      </c>
      <c r="AF170" s="6202" t="str">
        <f t="shared" si="84"/>
        <v>►</v>
      </c>
      <c r="AG170" s="6234" t="str">
        <f t="shared" si="85"/>
        <v/>
      </c>
      <c r="AH170" s="6732" t="str">
        <f t="shared" si="86"/>
        <v/>
      </c>
      <c r="AI170" s="6234" t="str">
        <f t="shared" si="87"/>
        <v/>
      </c>
      <c r="AJ170" s="6732" t="str">
        <f t="shared" si="88"/>
        <v/>
      </c>
      <c r="AK170" s="6732">
        <f t="shared" si="89"/>
        <v>0</v>
      </c>
      <c r="AL170" s="6230" t="str" cm="1">
        <f t="array" ref="AL170">IF(AF170&lt;&gt;"A","",IFERROR((IFERROR(_xlfn.XLOOKUP(TRIM(SUBSTITUTE(U170,CHAR(160)," ")),$BJ$15:$BJ$62,$BM$15:$BM$62),IFERROR(_xlfn.XLOOKUP(TRIM(SUBSTITUTE(U170,CHAR(160)," ")),$BK$15:$BK$62,$BM$15:$BM$62),_xlfn.XLOOKUP(TRIM(SUBSTITUTE(U170,CHAR(160)," ")),$BL$15:$BL$62,$BM$15:$BM$62))))*T170*IF(ISBLANK(Q170),1,Q170)+IFERROR(_xlfn.XLOOKUP("RECHERCHEX",TRIM(L170:AD170),L170:AD170),0),0))</f>
        <v/>
      </c>
      <c r="AM170" s="6229">
        <f t="shared" si="90"/>
        <v>0</v>
      </c>
      <c r="AN170" s="6857" t="str">
        <f t="shared" si="105"/>
        <v/>
      </c>
      <c r="AO170" s="392">
        <f t="shared" si="91"/>
        <v>0</v>
      </c>
      <c r="AP170" s="392">
        <f t="shared" si="92"/>
        <v>0</v>
      </c>
      <c r="AQ170" s="6190">
        <f t="shared" si="93"/>
        <v>0</v>
      </c>
      <c r="AR170" s="6858" t="str">
        <f t="shared" si="94"/>
        <v/>
      </c>
      <c r="AS170" s="6217"/>
      <c r="AT170" s="6217"/>
      <c r="AU170" s="6271">
        <f t="shared" si="95"/>
        <v>0</v>
      </c>
      <c r="AV170" s="6242">
        <f t="shared" si="96"/>
        <v>0</v>
      </c>
      <c r="AW170" s="6188" cm="1">
        <f t="array" ref="AW170">IF(AK170&lt;&gt;1,0,IF(OR(AU170="",N(AU170)&lt;=0.000000001),"",IF(OR(AO170="",N(AO170)&lt;=0.000000001),0,IF(ISNUMBER(AU170),IFERROR(_xlfn.LET(_xlpm.ai_test,TRIM(AJ170),_xlpm.r,IFERROR(_xlfn.XLOOKUP(_xlpm.ai_test,$BJ$15:$BJ$62,ROW($BJ$15:$BJ$62),0,1),IFERROR(_xlfn.XLOOKUP(_xlpm.ai_test,$BK$15:$BK$62,ROW($BK$15:$BK$62),0,1),_xlfn.XLOOKUP(_xlpm.ai_test,$BL$15:$BL$62,ROW($BL$15:$BL$62),0,1))),_xlpm.p,_xlpm.r-MIN(ROW($BJ$15:$BJ$62))+1,_xlpm.f,INDEX($BM$15:$BM$62,_xlpm.p),_xlpm.u,INDEX($BN$15:$BN$62,_xlpm.p),_xlpm.s,INDEX($BP$15:$BP$62,_xlpm.p),_xlpm.q,N(AU170)/_xlpm.f,IF(_xlpm.q&gt;=_xlpm.s,ROUND(_xlpm.q,1)&amp;" "&amp;_xlpm.ai_test&amp;" = "&amp;ROUND(_xlpm.q*_xlpm.f,1)&amp;" "&amp;_xlpm.u,ROUND(_xlpm.q,1)&amp;" "&amp;_xlpm.ai_test)),""),""))))</f>
        <v>0</v>
      </c>
      <c r="AX170" s="6218"/>
      <c r="AY170" s="6271">
        <f t="shared" si="97"/>
        <v>0</v>
      </c>
      <c r="AZ170" s="6242" t="str">
        <f t="shared" si="98"/>
        <v/>
      </c>
      <c r="BA170" s="6194">
        <f t="shared" si="103"/>
        <v>0</v>
      </c>
      <c r="BB170" s="6192" t="str">
        <f t="shared" si="99"/>
        <v/>
      </c>
      <c r="BC170" s="6219"/>
      <c r="BD170" s="6221">
        <f t="shared" si="104"/>
        <v>0</v>
      </c>
      <c r="BE170" s="6220" t="str">
        <f t="shared" si="100"/>
        <v/>
      </c>
      <c r="BF170" s="4" t="s">
        <v>1</v>
      </c>
      <c r="BG170" s="6196">
        <f t="shared" si="101"/>
        <v>0</v>
      </c>
      <c r="BH170" s="6197">
        <f t="shared" si="102"/>
        <v>0</v>
      </c>
      <c r="BI170"/>
      <c r="BR170"/>
      <c r="BS170"/>
      <c r="BT170"/>
      <c r="BU170"/>
      <c r="BV170"/>
      <c r="BW170"/>
      <c r="BX170" s="20" t="str">
        <f t="shared" si="81"/>
        <v>►</v>
      </c>
      <c r="BY170"/>
      <c r="BZ170"/>
      <c r="CA170"/>
      <c r="CB170"/>
      <c r="CC170"/>
      <c r="CD170" s="2"/>
      <c r="CE170"/>
      <c r="CF170"/>
      <c r="CG170"/>
      <c r="CH170"/>
      <c r="CI170"/>
      <c r="CJ170"/>
      <c r="CK170"/>
      <c r="CM170"/>
      <c r="CN170"/>
      <c r="CO170"/>
      <c r="CP170"/>
      <c r="CQ170"/>
      <c r="CR170"/>
      <c r="CS170"/>
      <c r="CU170"/>
      <c r="CV170"/>
      <c r="CW170"/>
      <c r="CX170"/>
      <c r="CY170"/>
      <c r="CZ170"/>
      <c r="DA170"/>
      <c r="DC170" s="5">
        <v>1</v>
      </c>
    </row>
    <row r="171" spans="1:107" s="1" customFormat="1" ht="21" customHeight="1">
      <c r="A171" s="5641" t="s">
        <v>1</v>
      </c>
      <c r="B171" s="5662" t="str">
        <f t="shared" si="80"/>
        <v>►</v>
      </c>
      <c r="C171" s="5825" cm="1">
        <f t="array" ref="C171">SUMPRODUCT(LEN(D171:J171))</f>
        <v>0</v>
      </c>
      <c r="D171" s="5275"/>
      <c r="E171" s="1361"/>
      <c r="F171" s="1361"/>
      <c r="G171" s="1361"/>
      <c r="H171" s="1361"/>
      <c r="I171" s="1361"/>
      <c r="J171" s="5276"/>
      <c r="K171" s="106" t="s">
        <v>1</v>
      </c>
      <c r="L171" s="1021" t="s">
        <v>26</v>
      </c>
      <c r="M171" s="6787"/>
      <c r="N171" s="6787"/>
      <c r="O171" s="6787"/>
      <c r="P171" s="6788"/>
      <c r="Q171" s="6789"/>
      <c r="R171" s="6790"/>
      <c r="S171" s="6786"/>
      <c r="T171" s="6791"/>
      <c r="U171" s="6844"/>
      <c r="V171" s="6791"/>
      <c r="W171" s="6785"/>
      <c r="X171" s="6868"/>
      <c r="Y171" s="6793"/>
      <c r="Z171" s="6794"/>
      <c r="AA171" s="6795"/>
      <c r="AB171" s="6796"/>
      <c r="AC171" s="6797"/>
      <c r="AD171" s="6798"/>
      <c r="AE171" s="4" t="s">
        <v>1</v>
      </c>
      <c r="AF171" s="6202" t="str">
        <f t="shared" si="84"/>
        <v>►</v>
      </c>
      <c r="AG171" s="6234" t="str">
        <f t="shared" si="85"/>
        <v/>
      </c>
      <c r="AH171" s="6732" t="str">
        <f t="shared" si="86"/>
        <v/>
      </c>
      <c r="AI171" s="6234" t="str">
        <f t="shared" si="87"/>
        <v/>
      </c>
      <c r="AJ171" s="6732" t="str">
        <f t="shared" si="88"/>
        <v/>
      </c>
      <c r="AK171" s="6732">
        <f t="shared" si="89"/>
        <v>0</v>
      </c>
      <c r="AL171" s="6230" t="str" cm="1">
        <f t="array" ref="AL171">IF(AF171&lt;&gt;"A","",IFERROR((IFERROR(_xlfn.XLOOKUP(TRIM(SUBSTITUTE(U171,CHAR(160)," ")),$BJ$15:$BJ$62,$BM$15:$BM$62),IFERROR(_xlfn.XLOOKUP(TRIM(SUBSTITUTE(U171,CHAR(160)," ")),$BK$15:$BK$62,$BM$15:$BM$62),_xlfn.XLOOKUP(TRIM(SUBSTITUTE(U171,CHAR(160)," ")),$BL$15:$BL$62,$BM$15:$BM$62))))*T171*IF(ISBLANK(Q171),1,Q171)+IFERROR(_xlfn.XLOOKUP("RECHERCHEX",TRIM(L171:AD171),L171:AD171),0),0))</f>
        <v/>
      </c>
      <c r="AM171" s="6229">
        <f t="shared" si="90"/>
        <v>0</v>
      </c>
      <c r="AN171" s="6857" t="str">
        <f t="shared" si="105"/>
        <v/>
      </c>
      <c r="AO171" s="392">
        <f t="shared" si="91"/>
        <v>0</v>
      </c>
      <c r="AP171" s="392">
        <f t="shared" si="92"/>
        <v>0</v>
      </c>
      <c r="AQ171" s="6191">
        <f t="shared" si="93"/>
        <v>0</v>
      </c>
      <c r="AR171" s="6859" t="str">
        <f t="shared" si="94"/>
        <v/>
      </c>
      <c r="AS171" s="6217"/>
      <c r="AT171" s="6217"/>
      <c r="AU171" s="6272">
        <f t="shared" si="95"/>
        <v>0</v>
      </c>
      <c r="AV171" s="6240">
        <f t="shared" si="96"/>
        <v>0</v>
      </c>
      <c r="AW171" s="6189" cm="1">
        <f t="array" ref="AW171">IF(AK171&lt;&gt;1,0,IF(OR(AU171="",N(AU171)&lt;=0.000000001),"",IF(OR(AO171="",N(AO171)&lt;=0.000000001),0,IF(ISNUMBER(AU171),IFERROR(_xlfn.LET(_xlpm.ai_test,TRIM(AJ171),_xlpm.r,IFERROR(_xlfn.XLOOKUP(_xlpm.ai_test,$BJ$15:$BJ$62,ROW($BJ$15:$BJ$62),0,1),IFERROR(_xlfn.XLOOKUP(_xlpm.ai_test,$BK$15:$BK$62,ROW($BK$15:$BK$62),0,1),_xlfn.XLOOKUP(_xlpm.ai_test,$BL$15:$BL$62,ROW($BL$15:$BL$62),0,1))),_xlpm.p,_xlpm.r-MIN(ROW($BJ$15:$BJ$62))+1,_xlpm.f,INDEX($BM$15:$BM$62,_xlpm.p),_xlpm.u,INDEX($BN$15:$BN$62,_xlpm.p),_xlpm.s,INDEX($BP$15:$BP$62,_xlpm.p),_xlpm.q,N(AU171)/_xlpm.f,IF(_xlpm.q&gt;=_xlpm.s,ROUND(_xlpm.q,1)&amp;" "&amp;_xlpm.ai_test&amp;" = "&amp;ROUND(_xlpm.q*_xlpm.f,1)&amp;" "&amp;_xlpm.u,ROUND(_xlpm.q,1)&amp;" "&amp;_xlpm.ai_test)),""),""))))</f>
        <v>0</v>
      </c>
      <c r="AX171" s="6218"/>
      <c r="AY171" s="6272">
        <f t="shared" si="97"/>
        <v>0</v>
      </c>
      <c r="AZ171" s="6240" t="str">
        <f t="shared" si="98"/>
        <v/>
      </c>
      <c r="BA171" s="6195">
        <f t="shared" si="103"/>
        <v>0</v>
      </c>
      <c r="BB171" s="6193" t="str">
        <f t="shared" si="99"/>
        <v/>
      </c>
      <c r="BC171" s="6219"/>
      <c r="BD171" s="6222">
        <f t="shared" si="104"/>
        <v>0</v>
      </c>
      <c r="BE171" s="6220" t="str">
        <f t="shared" si="100"/>
        <v/>
      </c>
      <c r="BF171" s="4" t="s">
        <v>1</v>
      </c>
      <c r="BG171" s="6196">
        <f t="shared" si="101"/>
        <v>0</v>
      </c>
      <c r="BH171" s="6197">
        <f t="shared" si="102"/>
        <v>0</v>
      </c>
      <c r="BI171"/>
      <c r="BR171"/>
      <c r="BS171"/>
      <c r="BT171"/>
      <c r="BU171"/>
      <c r="BV171"/>
      <c r="BW171"/>
      <c r="BX171" s="20" t="str">
        <f t="shared" si="81"/>
        <v>►</v>
      </c>
      <c r="BY171"/>
      <c r="BZ171"/>
      <c r="CA171"/>
      <c r="CB171"/>
      <c r="CC171"/>
      <c r="CD171" s="2"/>
      <c r="CE171"/>
      <c r="CF171"/>
      <c r="CG171"/>
      <c r="CH171"/>
      <c r="CI171"/>
      <c r="CJ171"/>
      <c r="CK171"/>
      <c r="CM171"/>
      <c r="CN171"/>
      <c r="CO171"/>
      <c r="CP171"/>
      <c r="CQ171"/>
      <c r="CR171"/>
      <c r="CS171"/>
      <c r="CU171"/>
      <c r="CV171"/>
      <c r="CW171"/>
      <c r="CX171"/>
      <c r="CY171"/>
      <c r="CZ171"/>
      <c r="DA171"/>
      <c r="DC171" s="5">
        <v>1</v>
      </c>
    </row>
    <row r="172" spans="1:107" s="1" customFormat="1" ht="21" customHeight="1">
      <c r="A172" s="5641" t="s">
        <v>1</v>
      </c>
      <c r="B172" s="5662" t="str">
        <f t="shared" si="80"/>
        <v>►</v>
      </c>
      <c r="C172" s="5825" cm="1">
        <f t="array" ref="C172">SUMPRODUCT(LEN(D172:J172))</f>
        <v>0</v>
      </c>
      <c r="D172" s="5275"/>
      <c r="E172" s="1361"/>
      <c r="F172" s="1361"/>
      <c r="G172" s="1361"/>
      <c r="H172" s="1361"/>
      <c r="I172" s="1361"/>
      <c r="J172" s="5276"/>
      <c r="K172" s="106" t="s">
        <v>1</v>
      </c>
      <c r="L172" s="1021" t="s">
        <v>26</v>
      </c>
      <c r="M172" s="6787"/>
      <c r="N172" s="6787"/>
      <c r="O172" s="6787"/>
      <c r="P172" s="6788"/>
      <c r="Q172" s="6789"/>
      <c r="R172" s="6790"/>
      <c r="S172" s="6786"/>
      <c r="T172" s="6791"/>
      <c r="U172" s="6844"/>
      <c r="V172" s="6791"/>
      <c r="W172" s="6785"/>
      <c r="X172" s="6868"/>
      <c r="Y172" s="6793"/>
      <c r="Z172" s="6794"/>
      <c r="AA172" s="6795"/>
      <c r="AB172" s="6796"/>
      <c r="AC172" s="6797"/>
      <c r="AD172" s="6798"/>
      <c r="AE172" s="4" t="s">
        <v>1</v>
      </c>
      <c r="AF172" s="6202" t="str">
        <f t="shared" si="84"/>
        <v>►</v>
      </c>
      <c r="AG172" s="6234" t="str">
        <f t="shared" si="85"/>
        <v/>
      </c>
      <c r="AH172" s="6732" t="str">
        <f t="shared" si="86"/>
        <v/>
      </c>
      <c r="AI172" s="6234" t="str">
        <f t="shared" si="87"/>
        <v/>
      </c>
      <c r="AJ172" s="6732" t="str">
        <f t="shared" si="88"/>
        <v/>
      </c>
      <c r="AK172" s="6732">
        <f t="shared" si="89"/>
        <v>0</v>
      </c>
      <c r="AL172" s="6230" t="str" cm="1">
        <f t="array" ref="AL172">IF(AF172&lt;&gt;"A","",IFERROR((IFERROR(_xlfn.XLOOKUP(TRIM(SUBSTITUTE(U172,CHAR(160)," ")),$BJ$15:$BJ$62,$BM$15:$BM$62),IFERROR(_xlfn.XLOOKUP(TRIM(SUBSTITUTE(U172,CHAR(160)," ")),$BK$15:$BK$62,$BM$15:$BM$62),_xlfn.XLOOKUP(TRIM(SUBSTITUTE(U172,CHAR(160)," ")),$BL$15:$BL$62,$BM$15:$BM$62))))*T172*IF(ISBLANK(Q172),1,Q172)+IFERROR(_xlfn.XLOOKUP("RECHERCHEX",TRIM(L172:AD172),L172:AD172),0),0))</f>
        <v/>
      </c>
      <c r="AM172" s="6229">
        <f t="shared" si="90"/>
        <v>0</v>
      </c>
      <c r="AN172" s="6857" t="str">
        <f t="shared" si="105"/>
        <v/>
      </c>
      <c r="AO172" s="392">
        <f t="shared" si="91"/>
        <v>0</v>
      </c>
      <c r="AP172" s="392">
        <f t="shared" si="92"/>
        <v>0</v>
      </c>
      <c r="AQ172" s="6190">
        <f t="shared" si="93"/>
        <v>0</v>
      </c>
      <c r="AR172" s="6858" t="str">
        <f t="shared" si="94"/>
        <v/>
      </c>
      <c r="AS172" s="6217"/>
      <c r="AT172" s="6217"/>
      <c r="AU172" s="6271">
        <f t="shared" si="95"/>
        <v>0</v>
      </c>
      <c r="AV172" s="6242">
        <f t="shared" si="96"/>
        <v>0</v>
      </c>
      <c r="AW172" s="6188" cm="1">
        <f t="array" ref="AW172">IF(AK172&lt;&gt;1,0,IF(OR(AU172="",N(AU172)&lt;=0.000000001),"",IF(OR(AO172="",N(AO172)&lt;=0.000000001),0,IF(ISNUMBER(AU172),IFERROR(_xlfn.LET(_xlpm.ai_test,TRIM(AJ172),_xlpm.r,IFERROR(_xlfn.XLOOKUP(_xlpm.ai_test,$BJ$15:$BJ$62,ROW($BJ$15:$BJ$62),0,1),IFERROR(_xlfn.XLOOKUP(_xlpm.ai_test,$BK$15:$BK$62,ROW($BK$15:$BK$62),0,1),_xlfn.XLOOKUP(_xlpm.ai_test,$BL$15:$BL$62,ROW($BL$15:$BL$62),0,1))),_xlpm.p,_xlpm.r-MIN(ROW($BJ$15:$BJ$62))+1,_xlpm.f,INDEX($BM$15:$BM$62,_xlpm.p),_xlpm.u,INDEX($BN$15:$BN$62,_xlpm.p),_xlpm.s,INDEX($BP$15:$BP$62,_xlpm.p),_xlpm.q,N(AU172)/_xlpm.f,IF(_xlpm.q&gt;=_xlpm.s,ROUND(_xlpm.q,1)&amp;" "&amp;_xlpm.ai_test&amp;" = "&amp;ROUND(_xlpm.q*_xlpm.f,1)&amp;" "&amp;_xlpm.u,ROUND(_xlpm.q,1)&amp;" "&amp;_xlpm.ai_test)),""),""))))</f>
        <v>0</v>
      </c>
      <c r="AX172" s="6218"/>
      <c r="AY172" s="6271">
        <f t="shared" si="97"/>
        <v>0</v>
      </c>
      <c r="AZ172" s="6242" t="str">
        <f t="shared" si="98"/>
        <v/>
      </c>
      <c r="BA172" s="6194">
        <f t="shared" si="103"/>
        <v>0</v>
      </c>
      <c r="BB172" s="6192" t="str">
        <f t="shared" si="99"/>
        <v/>
      </c>
      <c r="BC172" s="6219"/>
      <c r="BD172" s="6221">
        <f t="shared" si="104"/>
        <v>0</v>
      </c>
      <c r="BE172" s="6220" t="str">
        <f t="shared" si="100"/>
        <v/>
      </c>
      <c r="BF172" s="4" t="s">
        <v>1</v>
      </c>
      <c r="BG172" s="6196">
        <f t="shared" si="101"/>
        <v>0</v>
      </c>
      <c r="BH172" s="6197">
        <f t="shared" si="102"/>
        <v>0</v>
      </c>
      <c r="BI172"/>
      <c r="BR172"/>
      <c r="BS172"/>
      <c r="BT172"/>
      <c r="BU172"/>
      <c r="BV172"/>
      <c r="BW172"/>
      <c r="BX172" s="20" t="str">
        <f t="shared" si="81"/>
        <v>►</v>
      </c>
      <c r="BY172"/>
      <c r="BZ172"/>
      <c r="CA172"/>
      <c r="CB172"/>
      <c r="CC172"/>
      <c r="CD172" s="2"/>
      <c r="CE172"/>
      <c r="CF172"/>
      <c r="CG172"/>
      <c r="CH172"/>
      <c r="CI172"/>
      <c r="CJ172"/>
      <c r="CK172"/>
      <c r="CM172"/>
      <c r="CN172"/>
      <c r="CO172"/>
      <c r="CP172"/>
      <c r="CQ172"/>
      <c r="CR172"/>
      <c r="CS172"/>
      <c r="CU172"/>
      <c r="CV172"/>
      <c r="CW172"/>
      <c r="CX172"/>
      <c r="CY172"/>
      <c r="CZ172"/>
      <c r="DA172"/>
      <c r="DC172" s="5">
        <v>1</v>
      </c>
    </row>
    <row r="173" spans="1:107" s="1" customFormat="1" ht="21" customHeight="1">
      <c r="A173" s="5641" t="s">
        <v>1</v>
      </c>
      <c r="B173" s="5662" t="str">
        <f t="shared" si="80"/>
        <v>►</v>
      </c>
      <c r="C173" s="5825" cm="1">
        <f t="array" ref="C173">SUMPRODUCT(LEN(D173:J173))</f>
        <v>0</v>
      </c>
      <c r="D173" s="5275"/>
      <c r="E173" s="1361"/>
      <c r="F173" s="1361"/>
      <c r="G173" s="1361"/>
      <c r="H173" s="1361"/>
      <c r="I173" s="1361"/>
      <c r="J173" s="5276"/>
      <c r="K173" s="106" t="s">
        <v>1</v>
      </c>
      <c r="L173" s="1021" t="s">
        <v>26</v>
      </c>
      <c r="M173" s="6787"/>
      <c r="N173" s="6787"/>
      <c r="O173" s="6787"/>
      <c r="P173" s="6788"/>
      <c r="Q173" s="6789"/>
      <c r="R173" s="6790"/>
      <c r="S173" s="6786"/>
      <c r="T173" s="6791"/>
      <c r="U173" s="6844"/>
      <c r="V173" s="6791"/>
      <c r="W173" s="6785"/>
      <c r="X173" s="6868"/>
      <c r="Y173" s="6793"/>
      <c r="Z173" s="6794"/>
      <c r="AA173" s="6795"/>
      <c r="AB173" s="6796"/>
      <c r="AC173" s="6797"/>
      <c r="AD173" s="6798"/>
      <c r="AE173" s="4" t="s">
        <v>1</v>
      </c>
      <c r="AF173" s="6202" t="str">
        <f t="shared" si="84"/>
        <v>►</v>
      </c>
      <c r="AG173" s="6234" t="str">
        <f t="shared" si="85"/>
        <v/>
      </c>
      <c r="AH173" s="6732" t="str">
        <f t="shared" si="86"/>
        <v/>
      </c>
      <c r="AI173" s="6234" t="str">
        <f t="shared" si="87"/>
        <v/>
      </c>
      <c r="AJ173" s="6732" t="str">
        <f t="shared" si="88"/>
        <v/>
      </c>
      <c r="AK173" s="6732">
        <f t="shared" si="89"/>
        <v>0</v>
      </c>
      <c r="AL173" s="6230" t="str" cm="1">
        <f t="array" ref="AL173">IF(AF173&lt;&gt;"A","",IFERROR((IFERROR(_xlfn.XLOOKUP(TRIM(SUBSTITUTE(U173,CHAR(160)," ")),$BJ$15:$BJ$62,$BM$15:$BM$62),IFERROR(_xlfn.XLOOKUP(TRIM(SUBSTITUTE(U173,CHAR(160)," ")),$BK$15:$BK$62,$BM$15:$BM$62),_xlfn.XLOOKUP(TRIM(SUBSTITUTE(U173,CHAR(160)," ")),$BL$15:$BL$62,$BM$15:$BM$62))))*T173*IF(ISBLANK(Q173),1,Q173)+IFERROR(_xlfn.XLOOKUP("RECHERCHEX",TRIM(L173:AD173),L173:AD173),0),0))</f>
        <v/>
      </c>
      <c r="AM173" s="6229">
        <f t="shared" si="90"/>
        <v>0</v>
      </c>
      <c r="AN173" s="6857" t="str">
        <f t="shared" si="105"/>
        <v/>
      </c>
      <c r="AO173" s="392">
        <f t="shared" si="91"/>
        <v>0</v>
      </c>
      <c r="AP173" s="392">
        <f t="shared" si="92"/>
        <v>0</v>
      </c>
      <c r="AQ173" s="6191">
        <f t="shared" si="93"/>
        <v>0</v>
      </c>
      <c r="AR173" s="6859" t="str">
        <f t="shared" si="94"/>
        <v/>
      </c>
      <c r="AS173" s="6217"/>
      <c r="AT173" s="6217"/>
      <c r="AU173" s="6272">
        <f t="shared" si="95"/>
        <v>0</v>
      </c>
      <c r="AV173" s="6240">
        <f t="shared" si="96"/>
        <v>0</v>
      </c>
      <c r="AW173" s="6189" cm="1">
        <f t="array" ref="AW173">IF(AK173&lt;&gt;1,0,IF(OR(AU173="",N(AU173)&lt;=0.000000001),"",IF(OR(AO173="",N(AO173)&lt;=0.000000001),0,IF(ISNUMBER(AU173),IFERROR(_xlfn.LET(_xlpm.ai_test,TRIM(AJ173),_xlpm.r,IFERROR(_xlfn.XLOOKUP(_xlpm.ai_test,$BJ$15:$BJ$62,ROW($BJ$15:$BJ$62),0,1),IFERROR(_xlfn.XLOOKUP(_xlpm.ai_test,$BK$15:$BK$62,ROW($BK$15:$BK$62),0,1),_xlfn.XLOOKUP(_xlpm.ai_test,$BL$15:$BL$62,ROW($BL$15:$BL$62),0,1))),_xlpm.p,_xlpm.r-MIN(ROW($BJ$15:$BJ$62))+1,_xlpm.f,INDEX($BM$15:$BM$62,_xlpm.p),_xlpm.u,INDEX($BN$15:$BN$62,_xlpm.p),_xlpm.s,INDEX($BP$15:$BP$62,_xlpm.p),_xlpm.q,N(AU173)/_xlpm.f,IF(_xlpm.q&gt;=_xlpm.s,ROUND(_xlpm.q,1)&amp;" "&amp;_xlpm.ai_test&amp;" = "&amp;ROUND(_xlpm.q*_xlpm.f,1)&amp;" "&amp;_xlpm.u,ROUND(_xlpm.q,1)&amp;" "&amp;_xlpm.ai_test)),""),""))))</f>
        <v>0</v>
      </c>
      <c r="AX173" s="6218"/>
      <c r="AY173" s="6272">
        <f t="shared" si="97"/>
        <v>0</v>
      </c>
      <c r="AZ173" s="6240" t="str">
        <f t="shared" si="98"/>
        <v/>
      </c>
      <c r="BA173" s="6195">
        <f t="shared" si="103"/>
        <v>0</v>
      </c>
      <c r="BB173" s="6193" t="str">
        <f t="shared" si="99"/>
        <v/>
      </c>
      <c r="BC173" s="6219"/>
      <c r="BD173" s="6222">
        <f t="shared" si="104"/>
        <v>0</v>
      </c>
      <c r="BE173" s="6220" t="str">
        <f t="shared" si="100"/>
        <v/>
      </c>
      <c r="BF173" s="4" t="s">
        <v>1</v>
      </c>
      <c r="BG173" s="6196">
        <f t="shared" si="101"/>
        <v>0</v>
      </c>
      <c r="BH173" s="6197">
        <f t="shared" si="102"/>
        <v>0</v>
      </c>
      <c r="BI173"/>
      <c r="BR173"/>
      <c r="BS173"/>
      <c r="BT173"/>
      <c r="BU173"/>
      <c r="BV173"/>
      <c r="BW173"/>
      <c r="BX173" s="20" t="str">
        <f t="shared" si="81"/>
        <v>►</v>
      </c>
      <c r="BY173"/>
      <c r="BZ173"/>
      <c r="CA173"/>
      <c r="CB173"/>
      <c r="CC173"/>
      <c r="CD173" s="2"/>
      <c r="CE173"/>
      <c r="CF173"/>
      <c r="CG173"/>
      <c r="CH173"/>
      <c r="CI173"/>
      <c r="CJ173"/>
      <c r="CK173"/>
      <c r="CM173"/>
      <c r="CN173"/>
      <c r="CO173"/>
      <c r="CP173"/>
      <c r="CQ173"/>
      <c r="CR173"/>
      <c r="CS173"/>
      <c r="CU173"/>
      <c r="CV173"/>
      <c r="CW173"/>
      <c r="CX173"/>
      <c r="CY173"/>
      <c r="CZ173"/>
      <c r="DA173"/>
      <c r="DC173" s="5">
        <v>1</v>
      </c>
    </row>
    <row r="174" spans="1:107" s="1" customFormat="1" ht="21" customHeight="1">
      <c r="A174" s="5641" t="s">
        <v>1</v>
      </c>
      <c r="B174" s="5662" t="str">
        <f t="shared" si="80"/>
        <v>►</v>
      </c>
      <c r="C174" s="5825" cm="1">
        <f t="array" ref="C174">SUMPRODUCT(LEN(D174:J174))</f>
        <v>0</v>
      </c>
      <c r="D174" s="5275"/>
      <c r="E174" s="1361"/>
      <c r="F174" s="1361"/>
      <c r="G174" s="1361"/>
      <c r="H174" s="1361"/>
      <c r="I174" s="1361"/>
      <c r="J174" s="5276"/>
      <c r="K174" s="106" t="s">
        <v>1</v>
      </c>
      <c r="L174" s="1021" t="s">
        <v>26</v>
      </c>
      <c r="M174" s="6787"/>
      <c r="N174" s="6787"/>
      <c r="O174" s="6787"/>
      <c r="P174" s="6788"/>
      <c r="Q174" s="6789"/>
      <c r="R174" s="6790"/>
      <c r="S174" s="6786"/>
      <c r="T174" s="6791"/>
      <c r="U174" s="6844"/>
      <c r="V174" s="6791"/>
      <c r="W174" s="6785"/>
      <c r="X174" s="6868"/>
      <c r="Y174" s="6793"/>
      <c r="Z174" s="6794"/>
      <c r="AA174" s="6795"/>
      <c r="AB174" s="6796"/>
      <c r="AC174" s="6797"/>
      <c r="AD174" s="6798"/>
      <c r="AE174" s="4" t="s">
        <v>1</v>
      </c>
      <c r="AF174" s="6202" t="str">
        <f t="shared" si="84"/>
        <v>►</v>
      </c>
      <c r="AG174" s="6234" t="str">
        <f t="shared" si="85"/>
        <v/>
      </c>
      <c r="AH174" s="6732" t="str">
        <f t="shared" si="86"/>
        <v/>
      </c>
      <c r="AI174" s="6234" t="str">
        <f t="shared" si="87"/>
        <v/>
      </c>
      <c r="AJ174" s="6732" t="str">
        <f t="shared" si="88"/>
        <v/>
      </c>
      <c r="AK174" s="6732">
        <f t="shared" si="89"/>
        <v>0</v>
      </c>
      <c r="AL174" s="6230" t="str" cm="1">
        <f t="array" ref="AL174">IF(AF174&lt;&gt;"A","",IFERROR((IFERROR(_xlfn.XLOOKUP(TRIM(SUBSTITUTE(U174,CHAR(160)," ")),$BJ$15:$BJ$62,$BM$15:$BM$62),IFERROR(_xlfn.XLOOKUP(TRIM(SUBSTITUTE(U174,CHAR(160)," ")),$BK$15:$BK$62,$BM$15:$BM$62),_xlfn.XLOOKUP(TRIM(SUBSTITUTE(U174,CHAR(160)," ")),$BL$15:$BL$62,$BM$15:$BM$62))))*T174*IF(ISBLANK(Q174),1,Q174)+IFERROR(_xlfn.XLOOKUP("RECHERCHEX",TRIM(L174:AD174),L174:AD174),0),0))</f>
        <v/>
      </c>
      <c r="AM174" s="6229">
        <f t="shared" si="90"/>
        <v>0</v>
      </c>
      <c r="AN174" s="6857" t="str">
        <f t="shared" si="105"/>
        <v/>
      </c>
      <c r="AO174" s="392">
        <f t="shared" si="91"/>
        <v>0</v>
      </c>
      <c r="AP174" s="392">
        <f t="shared" si="92"/>
        <v>0</v>
      </c>
      <c r="AQ174" s="6190">
        <f t="shared" si="93"/>
        <v>0</v>
      </c>
      <c r="AR174" s="6858" t="str">
        <f t="shared" si="94"/>
        <v/>
      </c>
      <c r="AS174" s="6217"/>
      <c r="AT174" s="6217"/>
      <c r="AU174" s="6271">
        <f t="shared" si="95"/>
        <v>0</v>
      </c>
      <c r="AV174" s="6242">
        <f t="shared" si="96"/>
        <v>0</v>
      </c>
      <c r="AW174" s="6188" cm="1">
        <f t="array" ref="AW174">IF(AK174&lt;&gt;1,0,IF(OR(AU174="",N(AU174)&lt;=0.000000001),"",IF(OR(AO174="",N(AO174)&lt;=0.000000001),0,IF(ISNUMBER(AU174),IFERROR(_xlfn.LET(_xlpm.ai_test,TRIM(AJ174),_xlpm.r,IFERROR(_xlfn.XLOOKUP(_xlpm.ai_test,$BJ$15:$BJ$62,ROW($BJ$15:$BJ$62),0,1),IFERROR(_xlfn.XLOOKUP(_xlpm.ai_test,$BK$15:$BK$62,ROW($BK$15:$BK$62),0,1),_xlfn.XLOOKUP(_xlpm.ai_test,$BL$15:$BL$62,ROW($BL$15:$BL$62),0,1))),_xlpm.p,_xlpm.r-MIN(ROW($BJ$15:$BJ$62))+1,_xlpm.f,INDEX($BM$15:$BM$62,_xlpm.p),_xlpm.u,INDEX($BN$15:$BN$62,_xlpm.p),_xlpm.s,INDEX($BP$15:$BP$62,_xlpm.p),_xlpm.q,N(AU174)/_xlpm.f,IF(_xlpm.q&gt;=_xlpm.s,ROUND(_xlpm.q,1)&amp;" "&amp;_xlpm.ai_test&amp;" = "&amp;ROUND(_xlpm.q*_xlpm.f,1)&amp;" "&amp;_xlpm.u,ROUND(_xlpm.q,1)&amp;" "&amp;_xlpm.ai_test)),""),""))))</f>
        <v>0</v>
      </c>
      <c r="AX174" s="6218"/>
      <c r="AY174" s="6271">
        <f t="shared" si="97"/>
        <v>0</v>
      </c>
      <c r="AZ174" s="6242" t="str">
        <f t="shared" si="98"/>
        <v/>
      </c>
      <c r="BA174" s="6194">
        <f t="shared" si="103"/>
        <v>0</v>
      </c>
      <c r="BB174" s="6192" t="str">
        <f t="shared" si="99"/>
        <v/>
      </c>
      <c r="BC174" s="6219"/>
      <c r="BD174" s="6221">
        <f t="shared" si="104"/>
        <v>0</v>
      </c>
      <c r="BE174" s="6220" t="str">
        <f t="shared" si="100"/>
        <v/>
      </c>
      <c r="BF174" s="4" t="s">
        <v>1</v>
      </c>
      <c r="BG174" s="6196">
        <f t="shared" si="101"/>
        <v>0</v>
      </c>
      <c r="BH174" s="6197">
        <f t="shared" si="102"/>
        <v>0</v>
      </c>
      <c r="BI174"/>
      <c r="BR174"/>
      <c r="BS174"/>
      <c r="BT174"/>
      <c r="BU174"/>
      <c r="BV174"/>
      <c r="BW174"/>
      <c r="BX174" s="20" t="str">
        <f t="shared" si="81"/>
        <v>►</v>
      </c>
      <c r="BY174"/>
      <c r="BZ174"/>
      <c r="CA174"/>
      <c r="CB174"/>
      <c r="CC174"/>
      <c r="CD174" s="2"/>
      <c r="CE174"/>
      <c r="CF174"/>
      <c r="CG174"/>
      <c r="CH174"/>
      <c r="CI174"/>
      <c r="CJ174"/>
      <c r="CK174"/>
      <c r="CM174"/>
      <c r="CN174"/>
      <c r="CO174"/>
      <c r="CP174"/>
      <c r="CQ174"/>
      <c r="CR174"/>
      <c r="CS174"/>
      <c r="CU174"/>
      <c r="CV174"/>
      <c r="CW174"/>
      <c r="CX174"/>
      <c r="CY174"/>
      <c r="CZ174"/>
      <c r="DA174"/>
      <c r="DC174" s="5">
        <v>1</v>
      </c>
    </row>
    <row r="175" spans="1:107" s="1" customFormat="1" ht="21" customHeight="1">
      <c r="A175" s="5641" t="s">
        <v>1</v>
      </c>
      <c r="B175" s="5662" t="str">
        <f t="shared" si="80"/>
        <v>►</v>
      </c>
      <c r="C175" s="5825" cm="1">
        <f t="array" ref="C175">SUMPRODUCT(LEN(D175:J175))</f>
        <v>0</v>
      </c>
      <c r="D175" s="5275"/>
      <c r="E175" s="1361"/>
      <c r="F175" s="1361"/>
      <c r="G175" s="1361"/>
      <c r="H175" s="1361"/>
      <c r="I175" s="1361"/>
      <c r="J175" s="5276"/>
      <c r="K175" s="106" t="s">
        <v>1</v>
      </c>
      <c r="L175" s="1021" t="s">
        <v>26</v>
      </c>
      <c r="M175" s="6787"/>
      <c r="N175" s="6787"/>
      <c r="O175" s="6787"/>
      <c r="P175" s="6788"/>
      <c r="Q175" s="6789"/>
      <c r="R175" s="6790"/>
      <c r="S175" s="6786"/>
      <c r="T175" s="6791"/>
      <c r="U175" s="6844"/>
      <c r="V175" s="6791"/>
      <c r="W175" s="6785"/>
      <c r="X175" s="6868"/>
      <c r="Y175" s="6793"/>
      <c r="Z175" s="6794"/>
      <c r="AA175" s="6795"/>
      <c r="AB175" s="6796"/>
      <c r="AC175" s="6797"/>
      <c r="AD175" s="6798"/>
      <c r="AE175" s="4" t="s">
        <v>1</v>
      </c>
      <c r="AF175" s="6202" t="str">
        <f t="shared" si="84"/>
        <v>►</v>
      </c>
      <c r="AG175" s="6234" t="str">
        <f t="shared" si="85"/>
        <v/>
      </c>
      <c r="AH175" s="6732" t="str">
        <f t="shared" si="86"/>
        <v/>
      </c>
      <c r="AI175" s="6234" t="str">
        <f t="shared" si="87"/>
        <v/>
      </c>
      <c r="AJ175" s="6732" t="str">
        <f t="shared" si="88"/>
        <v/>
      </c>
      <c r="AK175" s="6732">
        <f t="shared" si="89"/>
        <v>0</v>
      </c>
      <c r="AL175" s="6230" t="str" cm="1">
        <f t="array" ref="AL175">IF(AF175&lt;&gt;"A","",IFERROR((IFERROR(_xlfn.XLOOKUP(TRIM(SUBSTITUTE(U175,CHAR(160)," ")),$BJ$15:$BJ$62,$BM$15:$BM$62),IFERROR(_xlfn.XLOOKUP(TRIM(SUBSTITUTE(U175,CHAR(160)," ")),$BK$15:$BK$62,$BM$15:$BM$62),_xlfn.XLOOKUP(TRIM(SUBSTITUTE(U175,CHAR(160)," ")),$BL$15:$BL$62,$BM$15:$BM$62))))*T175*IF(ISBLANK(Q175),1,Q175)+IFERROR(_xlfn.XLOOKUP("RECHERCHEX",TRIM(L175:AD175),L175:AD175),0),0))</f>
        <v/>
      </c>
      <c r="AM175" s="6229">
        <f t="shared" si="90"/>
        <v>0</v>
      </c>
      <c r="AN175" s="6857" t="str">
        <f t="shared" si="105"/>
        <v/>
      </c>
      <c r="AO175" s="392">
        <f t="shared" si="91"/>
        <v>0</v>
      </c>
      <c r="AP175" s="392">
        <f t="shared" si="92"/>
        <v>0</v>
      </c>
      <c r="AQ175" s="6191">
        <f t="shared" si="93"/>
        <v>0</v>
      </c>
      <c r="AR175" s="6859" t="str">
        <f t="shared" si="94"/>
        <v/>
      </c>
      <c r="AS175" s="6217"/>
      <c r="AT175" s="6217"/>
      <c r="AU175" s="6272">
        <f t="shared" si="95"/>
        <v>0</v>
      </c>
      <c r="AV175" s="6240">
        <f t="shared" si="96"/>
        <v>0</v>
      </c>
      <c r="AW175" s="6189" cm="1">
        <f t="array" ref="AW175">IF(AK175&lt;&gt;1,0,IF(OR(AU175="",N(AU175)&lt;=0.000000001),"",IF(OR(AO175="",N(AO175)&lt;=0.000000001),0,IF(ISNUMBER(AU175),IFERROR(_xlfn.LET(_xlpm.ai_test,TRIM(AJ175),_xlpm.r,IFERROR(_xlfn.XLOOKUP(_xlpm.ai_test,$BJ$15:$BJ$62,ROW($BJ$15:$BJ$62),0,1),IFERROR(_xlfn.XLOOKUP(_xlpm.ai_test,$BK$15:$BK$62,ROW($BK$15:$BK$62),0,1),_xlfn.XLOOKUP(_xlpm.ai_test,$BL$15:$BL$62,ROW($BL$15:$BL$62),0,1))),_xlpm.p,_xlpm.r-MIN(ROW($BJ$15:$BJ$62))+1,_xlpm.f,INDEX($BM$15:$BM$62,_xlpm.p),_xlpm.u,INDEX($BN$15:$BN$62,_xlpm.p),_xlpm.s,INDEX($BP$15:$BP$62,_xlpm.p),_xlpm.q,N(AU175)/_xlpm.f,IF(_xlpm.q&gt;=_xlpm.s,ROUND(_xlpm.q,1)&amp;" "&amp;_xlpm.ai_test&amp;" = "&amp;ROUND(_xlpm.q*_xlpm.f,1)&amp;" "&amp;_xlpm.u,ROUND(_xlpm.q,1)&amp;" "&amp;_xlpm.ai_test)),""),""))))</f>
        <v>0</v>
      </c>
      <c r="AX175" s="6218"/>
      <c r="AY175" s="6272">
        <f t="shared" si="97"/>
        <v>0</v>
      </c>
      <c r="AZ175" s="6240" t="str">
        <f t="shared" si="98"/>
        <v/>
      </c>
      <c r="BA175" s="6195">
        <f t="shared" si="103"/>
        <v>0</v>
      </c>
      <c r="BB175" s="6193" t="str">
        <f t="shared" si="99"/>
        <v/>
      </c>
      <c r="BC175" s="6219"/>
      <c r="BD175" s="6222">
        <f t="shared" si="104"/>
        <v>0</v>
      </c>
      <c r="BE175" s="6220" t="str">
        <f t="shared" si="100"/>
        <v/>
      </c>
      <c r="BF175" s="4" t="s">
        <v>1</v>
      </c>
      <c r="BG175" s="6196">
        <f t="shared" si="101"/>
        <v>0</v>
      </c>
      <c r="BH175" s="6197">
        <f t="shared" si="102"/>
        <v>0</v>
      </c>
      <c r="BI175"/>
      <c r="BR175"/>
      <c r="BS175"/>
      <c r="BT175"/>
      <c r="BU175"/>
      <c r="BV175"/>
      <c r="BW175"/>
      <c r="BX175" s="20" t="str">
        <f t="shared" si="81"/>
        <v>►</v>
      </c>
      <c r="BY175"/>
      <c r="BZ175"/>
      <c r="CA175"/>
      <c r="CB175"/>
      <c r="CC175"/>
      <c r="CD175" s="2"/>
      <c r="CE175"/>
      <c r="CF175"/>
      <c r="CG175"/>
      <c r="CH175"/>
      <c r="CI175"/>
      <c r="CJ175"/>
      <c r="CK175"/>
      <c r="CM175"/>
      <c r="CN175"/>
      <c r="CO175"/>
      <c r="CP175"/>
      <c r="CQ175"/>
      <c r="CR175"/>
      <c r="CS175"/>
      <c r="CU175"/>
      <c r="CV175"/>
      <c r="CW175"/>
      <c r="CX175"/>
      <c r="CY175"/>
      <c r="CZ175"/>
      <c r="DA175"/>
      <c r="DC175" s="5">
        <v>1</v>
      </c>
    </row>
    <row r="176" spans="1:107" s="1" customFormat="1" ht="21" customHeight="1">
      <c r="A176" s="5641" t="s">
        <v>1</v>
      </c>
      <c r="B176" s="5662" t="str">
        <f t="shared" si="80"/>
        <v>►</v>
      </c>
      <c r="C176" s="5825" cm="1">
        <f t="array" ref="C176">SUMPRODUCT(LEN(D176:J176))</f>
        <v>0</v>
      </c>
      <c r="D176" s="5275"/>
      <c r="E176" s="1361"/>
      <c r="F176" s="1361"/>
      <c r="G176" s="1361"/>
      <c r="H176" s="1361"/>
      <c r="I176" s="1361"/>
      <c r="J176" s="5276"/>
      <c r="K176" s="106" t="s">
        <v>1</v>
      </c>
      <c r="L176" s="1021" t="s">
        <v>26</v>
      </c>
      <c r="M176" s="6787"/>
      <c r="N176" s="6787"/>
      <c r="O176" s="6787"/>
      <c r="P176" s="6788"/>
      <c r="Q176" s="6789"/>
      <c r="R176" s="6790"/>
      <c r="S176" s="6786"/>
      <c r="T176" s="6791"/>
      <c r="U176" s="6844"/>
      <c r="V176" s="6791"/>
      <c r="W176" s="6785"/>
      <c r="X176" s="6868"/>
      <c r="Y176" s="6793"/>
      <c r="Z176" s="6794"/>
      <c r="AA176" s="6795"/>
      <c r="AB176" s="6796"/>
      <c r="AC176" s="6797"/>
      <c r="AD176" s="6798"/>
      <c r="AE176" s="4" t="s">
        <v>1</v>
      </c>
      <c r="AF176" s="6202" t="str">
        <f t="shared" si="84"/>
        <v>►</v>
      </c>
      <c r="AG176" s="6234" t="str">
        <f t="shared" si="85"/>
        <v/>
      </c>
      <c r="AH176" s="6732" t="str">
        <f t="shared" si="86"/>
        <v/>
      </c>
      <c r="AI176" s="6234" t="str">
        <f t="shared" si="87"/>
        <v/>
      </c>
      <c r="AJ176" s="6732" t="str">
        <f t="shared" si="88"/>
        <v/>
      </c>
      <c r="AK176" s="6732">
        <f t="shared" si="89"/>
        <v>0</v>
      </c>
      <c r="AL176" s="6230" t="str" cm="1">
        <f t="array" ref="AL176">IF(AF176&lt;&gt;"A","",IFERROR((IFERROR(_xlfn.XLOOKUP(TRIM(SUBSTITUTE(U176,CHAR(160)," ")),$BJ$15:$BJ$62,$BM$15:$BM$62),IFERROR(_xlfn.XLOOKUP(TRIM(SUBSTITUTE(U176,CHAR(160)," ")),$BK$15:$BK$62,$BM$15:$BM$62),_xlfn.XLOOKUP(TRIM(SUBSTITUTE(U176,CHAR(160)," ")),$BL$15:$BL$62,$BM$15:$BM$62))))*T176*IF(ISBLANK(Q176),1,Q176)+IFERROR(_xlfn.XLOOKUP("RECHERCHEX",TRIM(L176:AD176),L176:AD176),0),0))</f>
        <v/>
      </c>
      <c r="AM176" s="6229">
        <f t="shared" si="90"/>
        <v>0</v>
      </c>
      <c r="AN176" s="6857" t="str">
        <f t="shared" si="105"/>
        <v/>
      </c>
      <c r="AO176" s="392">
        <f t="shared" si="91"/>
        <v>0</v>
      </c>
      <c r="AP176" s="392">
        <f t="shared" si="92"/>
        <v>0</v>
      </c>
      <c r="AQ176" s="6190">
        <f t="shared" si="93"/>
        <v>0</v>
      </c>
      <c r="AR176" s="6858" t="str">
        <f t="shared" si="94"/>
        <v/>
      </c>
      <c r="AS176" s="6217"/>
      <c r="AT176" s="6217"/>
      <c r="AU176" s="6271">
        <f t="shared" si="95"/>
        <v>0</v>
      </c>
      <c r="AV176" s="6242">
        <f t="shared" si="96"/>
        <v>0</v>
      </c>
      <c r="AW176" s="6188" cm="1">
        <f t="array" ref="AW176">IF(AK176&lt;&gt;1,0,IF(OR(AU176="",N(AU176)&lt;=0.000000001),"",IF(OR(AO176="",N(AO176)&lt;=0.000000001),0,IF(ISNUMBER(AU176),IFERROR(_xlfn.LET(_xlpm.ai_test,TRIM(AJ176),_xlpm.r,IFERROR(_xlfn.XLOOKUP(_xlpm.ai_test,$BJ$15:$BJ$62,ROW($BJ$15:$BJ$62),0,1),IFERROR(_xlfn.XLOOKUP(_xlpm.ai_test,$BK$15:$BK$62,ROW($BK$15:$BK$62),0,1),_xlfn.XLOOKUP(_xlpm.ai_test,$BL$15:$BL$62,ROW($BL$15:$BL$62),0,1))),_xlpm.p,_xlpm.r-MIN(ROW($BJ$15:$BJ$62))+1,_xlpm.f,INDEX($BM$15:$BM$62,_xlpm.p),_xlpm.u,INDEX($BN$15:$BN$62,_xlpm.p),_xlpm.s,INDEX($BP$15:$BP$62,_xlpm.p),_xlpm.q,N(AU176)/_xlpm.f,IF(_xlpm.q&gt;=_xlpm.s,ROUND(_xlpm.q,1)&amp;" "&amp;_xlpm.ai_test&amp;" = "&amp;ROUND(_xlpm.q*_xlpm.f,1)&amp;" "&amp;_xlpm.u,ROUND(_xlpm.q,1)&amp;" "&amp;_xlpm.ai_test)),""),""))))</f>
        <v>0</v>
      </c>
      <c r="AX176" s="6218"/>
      <c r="AY176" s="6271">
        <f t="shared" si="97"/>
        <v>0</v>
      </c>
      <c r="AZ176" s="6242" t="str">
        <f t="shared" si="98"/>
        <v/>
      </c>
      <c r="BA176" s="6194">
        <f t="shared" si="103"/>
        <v>0</v>
      </c>
      <c r="BB176" s="6192" t="str">
        <f t="shared" si="99"/>
        <v/>
      </c>
      <c r="BC176" s="6219"/>
      <c r="BD176" s="6221">
        <f t="shared" si="104"/>
        <v>0</v>
      </c>
      <c r="BE176" s="6220" t="str">
        <f t="shared" si="100"/>
        <v/>
      </c>
      <c r="BF176" s="4" t="s">
        <v>1</v>
      </c>
      <c r="BG176" s="6196">
        <f t="shared" si="101"/>
        <v>0</v>
      </c>
      <c r="BH176" s="6197">
        <f t="shared" si="102"/>
        <v>0</v>
      </c>
      <c r="BI176"/>
      <c r="BR176"/>
      <c r="BS176"/>
      <c r="BT176"/>
      <c r="BU176"/>
      <c r="BV176"/>
      <c r="BW176"/>
      <c r="BX176" s="20" t="str">
        <f t="shared" si="81"/>
        <v>►</v>
      </c>
      <c r="BY176"/>
      <c r="BZ176"/>
      <c r="CA176"/>
      <c r="CB176"/>
      <c r="CC176"/>
      <c r="CD176" s="2"/>
      <c r="CE176"/>
      <c r="CF176"/>
      <c r="CG176"/>
      <c r="CH176"/>
      <c r="CI176"/>
      <c r="CJ176"/>
      <c r="CK176"/>
      <c r="CM176"/>
      <c r="CN176"/>
      <c r="CO176"/>
      <c r="CP176"/>
      <c r="CQ176"/>
      <c r="CR176"/>
      <c r="CS176"/>
      <c r="CU176"/>
      <c r="CV176"/>
      <c r="CW176"/>
      <c r="CX176"/>
      <c r="CY176"/>
      <c r="CZ176"/>
      <c r="DA176"/>
      <c r="DC176" s="5">
        <v>1</v>
      </c>
    </row>
    <row r="177" spans="1:107" s="1" customFormat="1" ht="21" customHeight="1">
      <c r="A177" s="5641" t="s">
        <v>1</v>
      </c>
      <c r="B177" s="5662" t="str">
        <f t="shared" si="80"/>
        <v>►</v>
      </c>
      <c r="C177" s="5825" cm="1">
        <f t="array" ref="C177">SUMPRODUCT(LEN(D177:J177))</f>
        <v>0</v>
      </c>
      <c r="D177" s="5275"/>
      <c r="E177" s="1361"/>
      <c r="F177" s="1361"/>
      <c r="G177" s="1361"/>
      <c r="H177" s="1361"/>
      <c r="I177" s="1361"/>
      <c r="J177" s="5276"/>
      <c r="K177" s="106" t="s">
        <v>1</v>
      </c>
      <c r="L177" s="1021" t="s">
        <v>26</v>
      </c>
      <c r="M177" s="6787"/>
      <c r="N177" s="6787"/>
      <c r="O177" s="6787"/>
      <c r="P177" s="6788"/>
      <c r="Q177" s="6789"/>
      <c r="R177" s="6790"/>
      <c r="S177" s="6786"/>
      <c r="T177" s="6791"/>
      <c r="U177" s="6844"/>
      <c r="V177" s="6791"/>
      <c r="W177" s="6785"/>
      <c r="X177" s="6868"/>
      <c r="Y177" s="6793"/>
      <c r="Z177" s="6794"/>
      <c r="AA177" s="6795"/>
      <c r="AB177" s="6796"/>
      <c r="AC177" s="6797"/>
      <c r="AD177" s="6798"/>
      <c r="AE177" s="4" t="s">
        <v>1</v>
      </c>
      <c r="AF177" s="6202" t="str">
        <f t="shared" si="84"/>
        <v>►</v>
      </c>
      <c r="AG177" s="6234" t="str">
        <f t="shared" si="85"/>
        <v/>
      </c>
      <c r="AH177" s="6732" t="str">
        <f t="shared" si="86"/>
        <v/>
      </c>
      <c r="AI177" s="6234" t="str">
        <f t="shared" si="87"/>
        <v/>
      </c>
      <c r="AJ177" s="6732" t="str">
        <f t="shared" si="88"/>
        <v/>
      </c>
      <c r="AK177" s="6732">
        <f t="shared" si="89"/>
        <v>0</v>
      </c>
      <c r="AL177" s="6230" t="str" cm="1">
        <f t="array" ref="AL177">IF(AF177&lt;&gt;"A","",IFERROR((IFERROR(_xlfn.XLOOKUP(TRIM(SUBSTITUTE(U177,CHAR(160)," ")),$BJ$15:$BJ$62,$BM$15:$BM$62),IFERROR(_xlfn.XLOOKUP(TRIM(SUBSTITUTE(U177,CHAR(160)," ")),$BK$15:$BK$62,$BM$15:$BM$62),_xlfn.XLOOKUP(TRIM(SUBSTITUTE(U177,CHAR(160)," ")),$BL$15:$BL$62,$BM$15:$BM$62))))*T177*IF(ISBLANK(Q177),1,Q177)+IFERROR(_xlfn.XLOOKUP("RECHERCHEX",TRIM(L177:AD177),L177:AD177),0),0))</f>
        <v/>
      </c>
      <c r="AM177" s="6229">
        <f t="shared" si="90"/>
        <v>0</v>
      </c>
      <c r="AN177" s="6857" t="str">
        <f t="shared" si="105"/>
        <v/>
      </c>
      <c r="AO177" s="392">
        <f t="shared" si="91"/>
        <v>0</v>
      </c>
      <c r="AP177" s="392">
        <f t="shared" si="92"/>
        <v>0</v>
      </c>
      <c r="AQ177" s="6191">
        <f t="shared" si="93"/>
        <v>0</v>
      </c>
      <c r="AR177" s="6859" t="str">
        <f t="shared" si="94"/>
        <v/>
      </c>
      <c r="AS177" s="6217"/>
      <c r="AT177" s="6217"/>
      <c r="AU177" s="6272">
        <f t="shared" si="95"/>
        <v>0</v>
      </c>
      <c r="AV177" s="6240">
        <f t="shared" si="96"/>
        <v>0</v>
      </c>
      <c r="AW177" s="6189" cm="1">
        <f t="array" ref="AW177">IF(AK177&lt;&gt;1,0,IF(OR(AU177="",N(AU177)&lt;=0.000000001),"",IF(OR(AO177="",N(AO177)&lt;=0.000000001),0,IF(ISNUMBER(AU177),IFERROR(_xlfn.LET(_xlpm.ai_test,TRIM(AJ177),_xlpm.r,IFERROR(_xlfn.XLOOKUP(_xlpm.ai_test,$BJ$15:$BJ$62,ROW($BJ$15:$BJ$62),0,1),IFERROR(_xlfn.XLOOKUP(_xlpm.ai_test,$BK$15:$BK$62,ROW($BK$15:$BK$62),0,1),_xlfn.XLOOKUP(_xlpm.ai_test,$BL$15:$BL$62,ROW($BL$15:$BL$62),0,1))),_xlpm.p,_xlpm.r-MIN(ROW($BJ$15:$BJ$62))+1,_xlpm.f,INDEX($BM$15:$BM$62,_xlpm.p),_xlpm.u,INDEX($BN$15:$BN$62,_xlpm.p),_xlpm.s,INDEX($BP$15:$BP$62,_xlpm.p),_xlpm.q,N(AU177)/_xlpm.f,IF(_xlpm.q&gt;=_xlpm.s,ROUND(_xlpm.q,1)&amp;" "&amp;_xlpm.ai_test&amp;" = "&amp;ROUND(_xlpm.q*_xlpm.f,1)&amp;" "&amp;_xlpm.u,ROUND(_xlpm.q,1)&amp;" "&amp;_xlpm.ai_test)),""),""))))</f>
        <v>0</v>
      </c>
      <c r="AX177" s="6218"/>
      <c r="AY177" s="6272">
        <f t="shared" si="97"/>
        <v>0</v>
      </c>
      <c r="AZ177" s="6240" t="str">
        <f t="shared" si="98"/>
        <v/>
      </c>
      <c r="BA177" s="6195">
        <f t="shared" si="103"/>
        <v>0</v>
      </c>
      <c r="BB177" s="6193" t="str">
        <f t="shared" si="99"/>
        <v/>
      </c>
      <c r="BC177" s="6219"/>
      <c r="BD177" s="6222">
        <f t="shared" si="104"/>
        <v>0</v>
      </c>
      <c r="BE177" s="6220" t="str">
        <f t="shared" si="100"/>
        <v/>
      </c>
      <c r="BF177" s="4" t="s">
        <v>1</v>
      </c>
      <c r="BG177" s="6196">
        <f t="shared" si="101"/>
        <v>0</v>
      </c>
      <c r="BH177" s="6197">
        <f t="shared" si="102"/>
        <v>0</v>
      </c>
      <c r="BI177"/>
      <c r="BR177"/>
      <c r="BS177"/>
      <c r="BT177"/>
      <c r="BU177"/>
      <c r="BV177"/>
      <c r="BW177"/>
      <c r="BX177" s="20" t="str">
        <f t="shared" si="81"/>
        <v>►</v>
      </c>
      <c r="BY177"/>
      <c r="BZ177"/>
      <c r="CA177"/>
      <c r="CB177"/>
      <c r="CC177"/>
      <c r="CD177" s="2"/>
      <c r="CE177"/>
      <c r="CF177"/>
      <c r="CG177"/>
      <c r="CH177"/>
      <c r="CI177"/>
      <c r="CJ177"/>
      <c r="CK177"/>
      <c r="CM177"/>
      <c r="CN177"/>
      <c r="CO177"/>
      <c r="CP177"/>
      <c r="CQ177"/>
      <c r="CR177"/>
      <c r="CS177"/>
      <c r="CU177"/>
      <c r="CV177"/>
      <c r="CW177"/>
      <c r="CX177"/>
      <c r="CY177"/>
      <c r="CZ177"/>
      <c r="DA177"/>
      <c r="DC177" s="5">
        <v>1</v>
      </c>
    </row>
    <row r="178" spans="1:107" s="1" customFormat="1" ht="21" customHeight="1">
      <c r="A178" s="5641" t="s">
        <v>1</v>
      </c>
      <c r="B178" s="5662" t="str">
        <f t="shared" si="80"/>
        <v>►</v>
      </c>
      <c r="C178" s="5825" cm="1">
        <f t="array" ref="C178">SUMPRODUCT(LEN(D178:J178))</f>
        <v>0</v>
      </c>
      <c r="D178" s="5275"/>
      <c r="E178" s="1361"/>
      <c r="F178" s="1361"/>
      <c r="G178" s="1361"/>
      <c r="H178" s="1361"/>
      <c r="I178" s="1361"/>
      <c r="J178" s="5276"/>
      <c r="K178" s="106" t="s">
        <v>1</v>
      </c>
      <c r="L178" s="1021" t="s">
        <v>26</v>
      </c>
      <c r="M178" s="6787"/>
      <c r="N178" s="6787"/>
      <c r="O178" s="6787"/>
      <c r="P178" s="6788"/>
      <c r="Q178" s="6789"/>
      <c r="R178" s="6790"/>
      <c r="S178" s="6786"/>
      <c r="T178" s="6791"/>
      <c r="U178" s="6844"/>
      <c r="V178" s="6791"/>
      <c r="W178" s="6785"/>
      <c r="X178" s="6868"/>
      <c r="Y178" s="6793"/>
      <c r="Z178" s="6794"/>
      <c r="AA178" s="6795"/>
      <c r="AB178" s="6796"/>
      <c r="AC178" s="6797"/>
      <c r="AD178" s="6798"/>
      <c r="AE178" s="4" t="s">
        <v>1</v>
      </c>
      <c r="AF178" s="6202" t="str">
        <f t="shared" si="84"/>
        <v>►</v>
      </c>
      <c r="AG178" s="6234" t="str">
        <f t="shared" si="85"/>
        <v/>
      </c>
      <c r="AH178" s="6732" t="str">
        <f t="shared" si="86"/>
        <v/>
      </c>
      <c r="AI178" s="6234" t="str">
        <f t="shared" si="87"/>
        <v/>
      </c>
      <c r="AJ178" s="6732" t="str">
        <f t="shared" si="88"/>
        <v/>
      </c>
      <c r="AK178" s="6732">
        <f t="shared" si="89"/>
        <v>0</v>
      </c>
      <c r="AL178" s="6230" t="str" cm="1">
        <f t="array" ref="AL178">IF(AF178&lt;&gt;"A","",IFERROR((IFERROR(_xlfn.XLOOKUP(TRIM(SUBSTITUTE(U178,CHAR(160)," ")),$BJ$15:$BJ$62,$BM$15:$BM$62),IFERROR(_xlfn.XLOOKUP(TRIM(SUBSTITUTE(U178,CHAR(160)," ")),$BK$15:$BK$62,$BM$15:$BM$62),_xlfn.XLOOKUP(TRIM(SUBSTITUTE(U178,CHAR(160)," ")),$BL$15:$BL$62,$BM$15:$BM$62))))*T178*IF(ISBLANK(Q178),1,Q178)+IFERROR(_xlfn.XLOOKUP("RECHERCHEX",TRIM(L178:AD178),L178:AD178),0),0))</f>
        <v/>
      </c>
      <c r="AM178" s="6229">
        <f t="shared" si="90"/>
        <v>0</v>
      </c>
      <c r="AN178" s="6857" t="str">
        <f t="shared" si="105"/>
        <v/>
      </c>
      <c r="AO178" s="392">
        <f t="shared" si="91"/>
        <v>0</v>
      </c>
      <c r="AP178" s="392">
        <f t="shared" si="92"/>
        <v>0</v>
      </c>
      <c r="AQ178" s="6190">
        <f t="shared" si="93"/>
        <v>0</v>
      </c>
      <c r="AR178" s="6858" t="str">
        <f t="shared" si="94"/>
        <v/>
      </c>
      <c r="AS178" s="6217"/>
      <c r="AT178" s="6217"/>
      <c r="AU178" s="6271">
        <f t="shared" si="95"/>
        <v>0</v>
      </c>
      <c r="AV178" s="6242">
        <f t="shared" si="96"/>
        <v>0</v>
      </c>
      <c r="AW178" s="6188" cm="1">
        <f t="array" ref="AW178">IF(AK178&lt;&gt;1,0,IF(OR(AU178="",N(AU178)&lt;=0.000000001),"",IF(OR(AO178="",N(AO178)&lt;=0.000000001),0,IF(ISNUMBER(AU178),IFERROR(_xlfn.LET(_xlpm.ai_test,TRIM(AJ178),_xlpm.r,IFERROR(_xlfn.XLOOKUP(_xlpm.ai_test,$BJ$15:$BJ$62,ROW($BJ$15:$BJ$62),0,1),IFERROR(_xlfn.XLOOKUP(_xlpm.ai_test,$BK$15:$BK$62,ROW($BK$15:$BK$62),0,1),_xlfn.XLOOKUP(_xlpm.ai_test,$BL$15:$BL$62,ROW($BL$15:$BL$62),0,1))),_xlpm.p,_xlpm.r-MIN(ROW($BJ$15:$BJ$62))+1,_xlpm.f,INDEX($BM$15:$BM$62,_xlpm.p),_xlpm.u,INDEX($BN$15:$BN$62,_xlpm.p),_xlpm.s,INDEX($BP$15:$BP$62,_xlpm.p),_xlpm.q,N(AU178)/_xlpm.f,IF(_xlpm.q&gt;=_xlpm.s,ROUND(_xlpm.q,1)&amp;" "&amp;_xlpm.ai_test&amp;" = "&amp;ROUND(_xlpm.q*_xlpm.f,1)&amp;" "&amp;_xlpm.u,ROUND(_xlpm.q,1)&amp;" "&amp;_xlpm.ai_test)),""),""))))</f>
        <v>0</v>
      </c>
      <c r="AX178" s="6218"/>
      <c r="AY178" s="6271">
        <f t="shared" si="97"/>
        <v>0</v>
      </c>
      <c r="AZ178" s="6242" t="str">
        <f t="shared" si="98"/>
        <v/>
      </c>
      <c r="BA178" s="6194">
        <f t="shared" si="103"/>
        <v>0</v>
      </c>
      <c r="BB178" s="6192" t="str">
        <f t="shared" si="99"/>
        <v/>
      </c>
      <c r="BC178" s="6219"/>
      <c r="BD178" s="6221">
        <f t="shared" si="104"/>
        <v>0</v>
      </c>
      <c r="BE178" s="6220" t="str">
        <f t="shared" si="100"/>
        <v/>
      </c>
      <c r="BF178" s="4" t="s">
        <v>1</v>
      </c>
      <c r="BG178" s="6196">
        <f t="shared" si="101"/>
        <v>0</v>
      </c>
      <c r="BH178" s="6197">
        <f t="shared" si="102"/>
        <v>0</v>
      </c>
      <c r="BI178"/>
      <c r="BR178"/>
      <c r="BS178"/>
      <c r="BT178"/>
      <c r="BU178"/>
      <c r="BV178"/>
      <c r="BW178"/>
      <c r="BX178" s="20" t="str">
        <f t="shared" si="81"/>
        <v>►</v>
      </c>
      <c r="BY178"/>
      <c r="BZ178"/>
      <c r="CA178"/>
      <c r="CB178"/>
      <c r="CC178"/>
      <c r="CD178" s="2"/>
      <c r="CE178"/>
      <c r="CF178"/>
      <c r="CG178"/>
      <c r="CH178"/>
      <c r="CI178"/>
      <c r="CJ178"/>
      <c r="CK178"/>
      <c r="CM178"/>
      <c r="CN178"/>
      <c r="CO178"/>
      <c r="CP178"/>
      <c r="CQ178"/>
      <c r="CR178"/>
      <c r="CS178"/>
      <c r="CU178"/>
      <c r="CV178"/>
      <c r="CW178"/>
      <c r="CX178"/>
      <c r="CY178"/>
      <c r="CZ178"/>
      <c r="DA178"/>
      <c r="DC178" s="5">
        <v>1</v>
      </c>
    </row>
    <row r="179" spans="1:107" s="1" customFormat="1" ht="21" customHeight="1">
      <c r="A179" s="5641" t="s">
        <v>1</v>
      </c>
      <c r="B179" s="5662" t="str">
        <f t="shared" si="80"/>
        <v>►</v>
      </c>
      <c r="C179" s="5825" cm="1">
        <f t="array" ref="C179">SUMPRODUCT(LEN(D179:J179))</f>
        <v>0</v>
      </c>
      <c r="D179" s="5275"/>
      <c r="E179" s="1361"/>
      <c r="F179" s="1361"/>
      <c r="G179" s="1361"/>
      <c r="H179" s="1361"/>
      <c r="I179" s="1361"/>
      <c r="J179" s="5276"/>
      <c r="K179" s="106" t="s">
        <v>1</v>
      </c>
      <c r="L179" s="1021" t="s">
        <v>26</v>
      </c>
      <c r="M179" s="6787"/>
      <c r="N179" s="6787"/>
      <c r="O179" s="6787"/>
      <c r="P179" s="6788"/>
      <c r="Q179" s="6789"/>
      <c r="R179" s="6790"/>
      <c r="S179" s="6786"/>
      <c r="T179" s="6791"/>
      <c r="U179" s="6844"/>
      <c r="V179" s="6791"/>
      <c r="W179" s="6785"/>
      <c r="X179" s="6868"/>
      <c r="Y179" s="6793"/>
      <c r="Z179" s="6794"/>
      <c r="AA179" s="6795"/>
      <c r="AB179" s="6796"/>
      <c r="AC179" s="6797"/>
      <c r="AD179" s="6798"/>
      <c r="AE179" s="4" t="s">
        <v>1</v>
      </c>
      <c r="AF179" s="6202" t="str">
        <f t="shared" si="84"/>
        <v>►</v>
      </c>
      <c r="AG179" s="6234" t="str">
        <f t="shared" si="85"/>
        <v/>
      </c>
      <c r="AH179" s="6732" t="str">
        <f t="shared" si="86"/>
        <v/>
      </c>
      <c r="AI179" s="6234" t="str">
        <f t="shared" si="87"/>
        <v/>
      </c>
      <c r="AJ179" s="6732" t="str">
        <f t="shared" si="88"/>
        <v/>
      </c>
      <c r="AK179" s="6732">
        <f t="shared" si="89"/>
        <v>0</v>
      </c>
      <c r="AL179" s="6230" t="str" cm="1">
        <f t="array" ref="AL179">IF(AF179&lt;&gt;"A","",IFERROR((IFERROR(_xlfn.XLOOKUP(TRIM(SUBSTITUTE(U179,CHAR(160)," ")),$BJ$15:$BJ$62,$BM$15:$BM$62),IFERROR(_xlfn.XLOOKUP(TRIM(SUBSTITUTE(U179,CHAR(160)," ")),$BK$15:$BK$62,$BM$15:$BM$62),_xlfn.XLOOKUP(TRIM(SUBSTITUTE(U179,CHAR(160)," ")),$BL$15:$BL$62,$BM$15:$BM$62))))*T179*IF(ISBLANK(Q179),1,Q179)+IFERROR(_xlfn.XLOOKUP("RECHERCHEX",TRIM(L179:AD179),L179:AD179),0),0))</f>
        <v/>
      </c>
      <c r="AM179" s="6229">
        <f t="shared" si="90"/>
        <v>0</v>
      </c>
      <c r="AN179" s="6857" t="str">
        <f t="shared" si="105"/>
        <v/>
      </c>
      <c r="AO179" s="392">
        <f t="shared" si="91"/>
        <v>0</v>
      </c>
      <c r="AP179" s="392">
        <f t="shared" si="92"/>
        <v>0</v>
      </c>
      <c r="AQ179" s="6191">
        <f t="shared" si="93"/>
        <v>0</v>
      </c>
      <c r="AR179" s="6859" t="str">
        <f t="shared" si="94"/>
        <v/>
      </c>
      <c r="AS179" s="6217"/>
      <c r="AT179" s="6217"/>
      <c r="AU179" s="6272">
        <f t="shared" si="95"/>
        <v>0</v>
      </c>
      <c r="AV179" s="6240">
        <f t="shared" si="96"/>
        <v>0</v>
      </c>
      <c r="AW179" s="6189" cm="1">
        <f t="array" ref="AW179">IF(AK179&lt;&gt;1,0,IF(OR(AU179="",N(AU179)&lt;=0.000000001),"",IF(OR(AO179="",N(AO179)&lt;=0.000000001),0,IF(ISNUMBER(AU179),IFERROR(_xlfn.LET(_xlpm.ai_test,TRIM(AJ179),_xlpm.r,IFERROR(_xlfn.XLOOKUP(_xlpm.ai_test,$BJ$15:$BJ$62,ROW($BJ$15:$BJ$62),0,1),IFERROR(_xlfn.XLOOKUP(_xlpm.ai_test,$BK$15:$BK$62,ROW($BK$15:$BK$62),0,1),_xlfn.XLOOKUP(_xlpm.ai_test,$BL$15:$BL$62,ROW($BL$15:$BL$62),0,1))),_xlpm.p,_xlpm.r-MIN(ROW($BJ$15:$BJ$62))+1,_xlpm.f,INDEX($BM$15:$BM$62,_xlpm.p),_xlpm.u,INDEX($BN$15:$BN$62,_xlpm.p),_xlpm.s,INDEX($BP$15:$BP$62,_xlpm.p),_xlpm.q,N(AU179)/_xlpm.f,IF(_xlpm.q&gt;=_xlpm.s,ROUND(_xlpm.q,1)&amp;" "&amp;_xlpm.ai_test&amp;" = "&amp;ROUND(_xlpm.q*_xlpm.f,1)&amp;" "&amp;_xlpm.u,ROUND(_xlpm.q,1)&amp;" "&amp;_xlpm.ai_test)),""),""))))</f>
        <v>0</v>
      </c>
      <c r="AX179" s="6218"/>
      <c r="AY179" s="6272">
        <f t="shared" si="97"/>
        <v>0</v>
      </c>
      <c r="AZ179" s="6240" t="str">
        <f t="shared" si="98"/>
        <v/>
      </c>
      <c r="BA179" s="6195">
        <f t="shared" si="103"/>
        <v>0</v>
      </c>
      <c r="BB179" s="6193" t="str">
        <f t="shared" si="99"/>
        <v/>
      </c>
      <c r="BC179" s="6219"/>
      <c r="BD179" s="6222">
        <f t="shared" si="104"/>
        <v>0</v>
      </c>
      <c r="BE179" s="6220" t="str">
        <f t="shared" si="100"/>
        <v/>
      </c>
      <c r="BF179" s="4" t="s">
        <v>1</v>
      </c>
      <c r="BG179" s="6196">
        <f t="shared" si="101"/>
        <v>0</v>
      </c>
      <c r="BH179" s="6197">
        <f t="shared" si="102"/>
        <v>0</v>
      </c>
      <c r="BI179"/>
      <c r="BR179"/>
      <c r="BS179"/>
      <c r="BT179"/>
      <c r="BU179"/>
      <c r="BV179"/>
      <c r="BW179"/>
      <c r="BX179" s="20" t="str">
        <f t="shared" si="81"/>
        <v>►</v>
      </c>
      <c r="BY179"/>
      <c r="BZ179"/>
      <c r="CA179"/>
      <c r="CB179"/>
      <c r="CC179"/>
      <c r="CD179" s="2"/>
      <c r="CE179"/>
      <c r="CF179"/>
      <c r="CG179"/>
      <c r="CH179"/>
      <c r="CI179"/>
      <c r="CJ179"/>
      <c r="CK179"/>
      <c r="CM179"/>
      <c r="CN179"/>
      <c r="CO179"/>
      <c r="CP179"/>
      <c r="CQ179"/>
      <c r="CR179"/>
      <c r="CS179"/>
      <c r="CU179"/>
      <c r="CV179"/>
      <c r="CW179"/>
      <c r="CX179"/>
      <c r="CY179"/>
      <c r="CZ179"/>
      <c r="DA179"/>
      <c r="DC179" s="5">
        <v>1</v>
      </c>
    </row>
    <row r="180" spans="1:107" s="1" customFormat="1" ht="21" customHeight="1">
      <c r="A180" s="5641" t="s">
        <v>1</v>
      </c>
      <c r="B180" s="5662" t="str">
        <f t="shared" si="80"/>
        <v>►</v>
      </c>
      <c r="C180" s="5825" cm="1">
        <f t="array" ref="C180">SUMPRODUCT(LEN(D180:J180))</f>
        <v>0</v>
      </c>
      <c r="D180" s="5275"/>
      <c r="E180" s="1361"/>
      <c r="F180" s="1361"/>
      <c r="G180" s="1361"/>
      <c r="H180" s="1361"/>
      <c r="I180" s="1361"/>
      <c r="J180" s="5276"/>
      <c r="K180" s="106" t="s">
        <v>1</v>
      </c>
      <c r="L180" s="1021" t="s">
        <v>26</v>
      </c>
      <c r="M180" s="6787"/>
      <c r="N180" s="6787"/>
      <c r="O180" s="6787"/>
      <c r="P180" s="6788"/>
      <c r="Q180" s="6789"/>
      <c r="R180" s="6790"/>
      <c r="S180" s="6786"/>
      <c r="T180" s="6791"/>
      <c r="U180" s="6844"/>
      <c r="V180" s="6791"/>
      <c r="W180" s="6785"/>
      <c r="X180" s="6868"/>
      <c r="Y180" s="6793"/>
      <c r="Z180" s="6794"/>
      <c r="AA180" s="6795"/>
      <c r="AB180" s="6796"/>
      <c r="AC180" s="6797"/>
      <c r="AD180" s="6798"/>
      <c r="AE180" s="4" t="s">
        <v>1</v>
      </c>
      <c r="AF180" s="6202" t="str">
        <f t="shared" si="84"/>
        <v>►</v>
      </c>
      <c r="AG180" s="6234" t="str">
        <f t="shared" si="85"/>
        <v/>
      </c>
      <c r="AH180" s="6732" t="str">
        <f t="shared" si="86"/>
        <v/>
      </c>
      <c r="AI180" s="6234" t="str">
        <f t="shared" si="87"/>
        <v/>
      </c>
      <c r="AJ180" s="6732" t="str">
        <f t="shared" si="88"/>
        <v/>
      </c>
      <c r="AK180" s="6732">
        <f t="shared" si="89"/>
        <v>0</v>
      </c>
      <c r="AL180" s="6230" t="str" cm="1">
        <f t="array" ref="AL180">IF(AF180&lt;&gt;"A","",IFERROR((IFERROR(_xlfn.XLOOKUP(TRIM(SUBSTITUTE(U180,CHAR(160)," ")),$BJ$15:$BJ$62,$BM$15:$BM$62),IFERROR(_xlfn.XLOOKUP(TRIM(SUBSTITUTE(U180,CHAR(160)," ")),$BK$15:$BK$62,$BM$15:$BM$62),_xlfn.XLOOKUP(TRIM(SUBSTITUTE(U180,CHAR(160)," ")),$BL$15:$BL$62,$BM$15:$BM$62))))*T180*IF(ISBLANK(Q180),1,Q180)+IFERROR(_xlfn.XLOOKUP("RECHERCHEX",TRIM(L180:AD180),L180:AD180),0),0))</f>
        <v/>
      </c>
      <c r="AM180" s="6229">
        <f t="shared" si="90"/>
        <v>0</v>
      </c>
      <c r="AN180" s="6857" t="str">
        <f t="shared" si="105"/>
        <v/>
      </c>
      <c r="AO180" s="392">
        <f t="shared" si="91"/>
        <v>0</v>
      </c>
      <c r="AP180" s="392">
        <f t="shared" si="92"/>
        <v>0</v>
      </c>
      <c r="AQ180" s="6190">
        <f t="shared" si="93"/>
        <v>0</v>
      </c>
      <c r="AR180" s="6858" t="str">
        <f t="shared" si="94"/>
        <v/>
      </c>
      <c r="AS180" s="6217"/>
      <c r="AT180" s="6217"/>
      <c r="AU180" s="6271">
        <f t="shared" si="95"/>
        <v>0</v>
      </c>
      <c r="AV180" s="6242">
        <f t="shared" si="96"/>
        <v>0</v>
      </c>
      <c r="AW180" s="6188" cm="1">
        <f t="array" ref="AW180">IF(AK180&lt;&gt;1,0,IF(OR(AU180="",N(AU180)&lt;=0.000000001),"",IF(OR(AO180="",N(AO180)&lt;=0.000000001),0,IF(ISNUMBER(AU180),IFERROR(_xlfn.LET(_xlpm.ai_test,TRIM(AJ180),_xlpm.r,IFERROR(_xlfn.XLOOKUP(_xlpm.ai_test,$BJ$15:$BJ$62,ROW($BJ$15:$BJ$62),0,1),IFERROR(_xlfn.XLOOKUP(_xlpm.ai_test,$BK$15:$BK$62,ROW($BK$15:$BK$62),0,1),_xlfn.XLOOKUP(_xlpm.ai_test,$BL$15:$BL$62,ROW($BL$15:$BL$62),0,1))),_xlpm.p,_xlpm.r-MIN(ROW($BJ$15:$BJ$62))+1,_xlpm.f,INDEX($BM$15:$BM$62,_xlpm.p),_xlpm.u,INDEX($BN$15:$BN$62,_xlpm.p),_xlpm.s,INDEX($BP$15:$BP$62,_xlpm.p),_xlpm.q,N(AU180)/_xlpm.f,IF(_xlpm.q&gt;=_xlpm.s,ROUND(_xlpm.q,1)&amp;" "&amp;_xlpm.ai_test&amp;" = "&amp;ROUND(_xlpm.q*_xlpm.f,1)&amp;" "&amp;_xlpm.u,ROUND(_xlpm.q,1)&amp;" "&amp;_xlpm.ai_test)),""),""))))</f>
        <v>0</v>
      </c>
      <c r="AX180" s="6218"/>
      <c r="AY180" s="6271">
        <f t="shared" si="97"/>
        <v>0</v>
      </c>
      <c r="AZ180" s="6242" t="str">
        <f t="shared" si="98"/>
        <v/>
      </c>
      <c r="BA180" s="6194">
        <f t="shared" si="103"/>
        <v>0</v>
      </c>
      <c r="BB180" s="6192" t="str">
        <f t="shared" si="99"/>
        <v/>
      </c>
      <c r="BC180" s="6219"/>
      <c r="BD180" s="6221">
        <f t="shared" si="104"/>
        <v>0</v>
      </c>
      <c r="BE180" s="6220" t="str">
        <f t="shared" si="100"/>
        <v/>
      </c>
      <c r="BF180" s="4" t="s">
        <v>1</v>
      </c>
      <c r="BG180" s="6196">
        <f t="shared" si="101"/>
        <v>0</v>
      </c>
      <c r="BH180" s="6197">
        <f t="shared" si="102"/>
        <v>0</v>
      </c>
      <c r="BI180"/>
      <c r="BR180"/>
      <c r="BS180"/>
      <c r="BT180"/>
      <c r="BU180"/>
      <c r="BV180"/>
      <c r="BW180"/>
      <c r="BX180" s="20" t="str">
        <f t="shared" si="81"/>
        <v>►</v>
      </c>
      <c r="BY180"/>
      <c r="BZ180"/>
      <c r="CA180"/>
      <c r="CB180"/>
      <c r="CC180"/>
      <c r="CD180" s="2"/>
      <c r="CE180"/>
      <c r="CF180"/>
      <c r="CG180"/>
      <c r="CH180"/>
      <c r="CI180"/>
      <c r="CJ180"/>
      <c r="CK180"/>
      <c r="CM180"/>
      <c r="CN180"/>
      <c r="CO180"/>
      <c r="CP180"/>
      <c r="CQ180"/>
      <c r="CR180"/>
      <c r="CS180"/>
      <c r="CU180"/>
      <c r="CV180"/>
      <c r="CW180"/>
      <c r="CX180"/>
      <c r="CY180"/>
      <c r="CZ180"/>
      <c r="DA180"/>
      <c r="DC180" s="5">
        <v>1</v>
      </c>
    </row>
    <row r="181" spans="1:107" s="1" customFormat="1" ht="21" customHeight="1">
      <c r="A181" s="5641" t="s">
        <v>1</v>
      </c>
      <c r="B181" s="5662" t="str">
        <f t="shared" si="80"/>
        <v>►</v>
      </c>
      <c r="C181" s="5825" cm="1">
        <f t="array" ref="C181">SUMPRODUCT(LEN(D181:J181))</f>
        <v>0</v>
      </c>
      <c r="D181" s="5275"/>
      <c r="E181" s="1361"/>
      <c r="F181" s="1361"/>
      <c r="G181" s="1361"/>
      <c r="H181" s="1361"/>
      <c r="I181" s="1361"/>
      <c r="J181" s="5276"/>
      <c r="K181" s="106" t="s">
        <v>1</v>
      </c>
      <c r="L181" s="1021" t="s">
        <v>26</v>
      </c>
      <c r="M181" s="6787"/>
      <c r="N181" s="6787"/>
      <c r="O181" s="6787"/>
      <c r="P181" s="6788"/>
      <c r="Q181" s="6789"/>
      <c r="R181" s="6790"/>
      <c r="S181" s="6786"/>
      <c r="T181" s="6791"/>
      <c r="U181" s="6844"/>
      <c r="V181" s="6791"/>
      <c r="W181" s="6785"/>
      <c r="X181" s="6868"/>
      <c r="Y181" s="6793"/>
      <c r="Z181" s="6794"/>
      <c r="AA181" s="6795"/>
      <c r="AB181" s="6796"/>
      <c r="AC181" s="6797"/>
      <c r="AD181" s="6798"/>
      <c r="AE181" s="4" t="s">
        <v>1</v>
      </c>
      <c r="AF181" s="6202" t="str">
        <f t="shared" si="84"/>
        <v>►</v>
      </c>
      <c r="AG181" s="6234" t="str">
        <f t="shared" si="85"/>
        <v/>
      </c>
      <c r="AH181" s="6732" t="str">
        <f t="shared" si="86"/>
        <v/>
      </c>
      <c r="AI181" s="6234" t="str">
        <f t="shared" si="87"/>
        <v/>
      </c>
      <c r="AJ181" s="6732" t="str">
        <f t="shared" si="88"/>
        <v/>
      </c>
      <c r="AK181" s="6732">
        <f t="shared" si="89"/>
        <v>0</v>
      </c>
      <c r="AL181" s="6230" t="str" cm="1">
        <f t="array" ref="AL181">IF(AF181&lt;&gt;"A","",IFERROR((IFERROR(_xlfn.XLOOKUP(TRIM(SUBSTITUTE(U181,CHAR(160)," ")),$BJ$15:$BJ$62,$BM$15:$BM$62),IFERROR(_xlfn.XLOOKUP(TRIM(SUBSTITUTE(U181,CHAR(160)," ")),$BK$15:$BK$62,$BM$15:$BM$62),_xlfn.XLOOKUP(TRIM(SUBSTITUTE(U181,CHAR(160)," ")),$BL$15:$BL$62,$BM$15:$BM$62))))*T181*IF(ISBLANK(Q181),1,Q181)+IFERROR(_xlfn.XLOOKUP("RECHERCHEX",TRIM(L181:AD181),L181:AD181),0),0))</f>
        <v/>
      </c>
      <c r="AM181" s="6229">
        <f t="shared" si="90"/>
        <v>0</v>
      </c>
      <c r="AN181" s="6857" t="str">
        <f t="shared" si="105"/>
        <v/>
      </c>
      <c r="AO181" s="392">
        <f t="shared" si="91"/>
        <v>0</v>
      </c>
      <c r="AP181" s="392">
        <f t="shared" si="92"/>
        <v>0</v>
      </c>
      <c r="AQ181" s="6191">
        <f t="shared" si="93"/>
        <v>0</v>
      </c>
      <c r="AR181" s="6859" t="str">
        <f t="shared" si="94"/>
        <v/>
      </c>
      <c r="AS181" s="6217"/>
      <c r="AT181" s="6217"/>
      <c r="AU181" s="6272">
        <f t="shared" si="95"/>
        <v>0</v>
      </c>
      <c r="AV181" s="6240">
        <f t="shared" si="96"/>
        <v>0</v>
      </c>
      <c r="AW181" s="6189" cm="1">
        <f t="array" ref="AW181">IF(AK181&lt;&gt;1,0,IF(OR(AU181="",N(AU181)&lt;=0.000000001),"",IF(OR(AO181="",N(AO181)&lt;=0.000000001),0,IF(ISNUMBER(AU181),IFERROR(_xlfn.LET(_xlpm.ai_test,TRIM(AJ181),_xlpm.r,IFERROR(_xlfn.XLOOKUP(_xlpm.ai_test,$BJ$15:$BJ$62,ROW($BJ$15:$BJ$62),0,1),IFERROR(_xlfn.XLOOKUP(_xlpm.ai_test,$BK$15:$BK$62,ROW($BK$15:$BK$62),0,1),_xlfn.XLOOKUP(_xlpm.ai_test,$BL$15:$BL$62,ROW($BL$15:$BL$62),0,1))),_xlpm.p,_xlpm.r-MIN(ROW($BJ$15:$BJ$62))+1,_xlpm.f,INDEX($BM$15:$BM$62,_xlpm.p),_xlpm.u,INDEX($BN$15:$BN$62,_xlpm.p),_xlpm.s,INDEX($BP$15:$BP$62,_xlpm.p),_xlpm.q,N(AU181)/_xlpm.f,IF(_xlpm.q&gt;=_xlpm.s,ROUND(_xlpm.q,1)&amp;" "&amp;_xlpm.ai_test&amp;" = "&amp;ROUND(_xlpm.q*_xlpm.f,1)&amp;" "&amp;_xlpm.u,ROUND(_xlpm.q,1)&amp;" "&amp;_xlpm.ai_test)),""),""))))</f>
        <v>0</v>
      </c>
      <c r="AX181" s="6218"/>
      <c r="AY181" s="6272">
        <f t="shared" si="97"/>
        <v>0</v>
      </c>
      <c r="AZ181" s="6240" t="str">
        <f t="shared" si="98"/>
        <v/>
      </c>
      <c r="BA181" s="6195">
        <f t="shared" si="103"/>
        <v>0</v>
      </c>
      <c r="BB181" s="6193" t="str">
        <f t="shared" si="99"/>
        <v/>
      </c>
      <c r="BC181" s="6219"/>
      <c r="BD181" s="6222">
        <f t="shared" si="104"/>
        <v>0</v>
      </c>
      <c r="BE181" s="6220" t="str">
        <f t="shared" si="100"/>
        <v/>
      </c>
      <c r="BF181" s="4" t="s">
        <v>1</v>
      </c>
      <c r="BG181" s="6196">
        <f t="shared" si="101"/>
        <v>0</v>
      </c>
      <c r="BH181" s="6197">
        <f t="shared" si="102"/>
        <v>0</v>
      </c>
      <c r="BI181"/>
      <c r="BR181"/>
      <c r="BS181"/>
      <c r="BT181"/>
      <c r="BU181"/>
      <c r="BV181"/>
      <c r="BW181"/>
      <c r="BX181" s="20" t="str">
        <f t="shared" si="81"/>
        <v>►</v>
      </c>
      <c r="BY181"/>
      <c r="BZ181"/>
      <c r="CA181"/>
      <c r="CB181"/>
      <c r="CC181"/>
      <c r="CD181" s="2"/>
      <c r="CE181"/>
      <c r="CF181"/>
      <c r="CG181"/>
      <c r="CH181"/>
      <c r="CI181"/>
      <c r="CJ181"/>
      <c r="CK181"/>
      <c r="CM181"/>
      <c r="CN181"/>
      <c r="CO181"/>
      <c r="CP181"/>
      <c r="CQ181"/>
      <c r="CR181"/>
      <c r="CS181"/>
      <c r="CU181"/>
      <c r="CV181"/>
      <c r="CW181"/>
      <c r="CX181"/>
      <c r="CY181"/>
      <c r="CZ181"/>
      <c r="DA181"/>
      <c r="DC181" s="5">
        <v>1</v>
      </c>
    </row>
    <row r="182" spans="1:107" s="1" customFormat="1" ht="21" customHeight="1">
      <c r="A182" s="5641" t="s">
        <v>1</v>
      </c>
      <c r="B182" s="5662" t="str">
        <f t="shared" si="80"/>
        <v>►</v>
      </c>
      <c r="C182" s="5825" cm="1">
        <f t="array" ref="C182">SUMPRODUCT(LEN(D182:J182))</f>
        <v>0</v>
      </c>
      <c r="D182" s="5275"/>
      <c r="E182" s="1361"/>
      <c r="F182" s="1361"/>
      <c r="G182" s="1361"/>
      <c r="H182" s="1361"/>
      <c r="I182" s="1361"/>
      <c r="J182" s="5276"/>
      <c r="K182" s="106" t="s">
        <v>1</v>
      </c>
      <c r="L182" s="1021" t="s">
        <v>26</v>
      </c>
      <c r="M182" s="6787"/>
      <c r="N182" s="6787"/>
      <c r="O182" s="6787"/>
      <c r="P182" s="6788"/>
      <c r="Q182" s="6789"/>
      <c r="R182" s="6790"/>
      <c r="S182" s="6786"/>
      <c r="T182" s="6791"/>
      <c r="U182" s="6844"/>
      <c r="V182" s="6791"/>
      <c r="W182" s="6785"/>
      <c r="X182" s="6868"/>
      <c r="Y182" s="6793"/>
      <c r="Z182" s="6794"/>
      <c r="AA182" s="6795"/>
      <c r="AB182" s="6796"/>
      <c r="AC182" s="6797"/>
      <c r="AD182" s="6798"/>
      <c r="AE182" s="4" t="s">
        <v>1</v>
      </c>
      <c r="AF182" s="6202" t="str">
        <f t="shared" si="84"/>
        <v>►</v>
      </c>
      <c r="AG182" s="6234" t="str">
        <f t="shared" si="85"/>
        <v/>
      </c>
      <c r="AH182" s="6732" t="str">
        <f t="shared" si="86"/>
        <v/>
      </c>
      <c r="AI182" s="6234" t="str">
        <f t="shared" si="87"/>
        <v/>
      </c>
      <c r="AJ182" s="6732" t="str">
        <f t="shared" si="88"/>
        <v/>
      </c>
      <c r="AK182" s="6732">
        <f t="shared" si="89"/>
        <v>0</v>
      </c>
      <c r="AL182" s="6230" t="str" cm="1">
        <f t="array" ref="AL182">IF(AF182&lt;&gt;"A","",IFERROR((IFERROR(_xlfn.XLOOKUP(TRIM(SUBSTITUTE(U182,CHAR(160)," ")),$BJ$15:$BJ$62,$BM$15:$BM$62),IFERROR(_xlfn.XLOOKUP(TRIM(SUBSTITUTE(U182,CHAR(160)," ")),$BK$15:$BK$62,$BM$15:$BM$62),_xlfn.XLOOKUP(TRIM(SUBSTITUTE(U182,CHAR(160)," ")),$BL$15:$BL$62,$BM$15:$BM$62))))*T182*IF(ISBLANK(Q182),1,Q182)+IFERROR(_xlfn.XLOOKUP("RECHERCHEX",TRIM(L182:AD182),L182:AD182),0),0))</f>
        <v/>
      </c>
      <c r="AM182" s="6229">
        <f t="shared" si="90"/>
        <v>0</v>
      </c>
      <c r="AN182" s="6857" t="str">
        <f t="shared" si="105"/>
        <v/>
      </c>
      <c r="AO182" s="392">
        <f t="shared" si="91"/>
        <v>0</v>
      </c>
      <c r="AP182" s="392">
        <f t="shared" si="92"/>
        <v>0</v>
      </c>
      <c r="AQ182" s="6190">
        <f t="shared" si="93"/>
        <v>0</v>
      </c>
      <c r="AR182" s="6858" t="str">
        <f t="shared" si="94"/>
        <v/>
      </c>
      <c r="AS182" s="6217"/>
      <c r="AT182" s="6217"/>
      <c r="AU182" s="6271">
        <f t="shared" si="95"/>
        <v>0</v>
      </c>
      <c r="AV182" s="6242">
        <f t="shared" si="96"/>
        <v>0</v>
      </c>
      <c r="AW182" s="6188" cm="1">
        <f t="array" ref="AW182">IF(AK182&lt;&gt;1,0,IF(OR(AU182="",N(AU182)&lt;=0.000000001),"",IF(OR(AO182="",N(AO182)&lt;=0.000000001),0,IF(ISNUMBER(AU182),IFERROR(_xlfn.LET(_xlpm.ai_test,TRIM(AJ182),_xlpm.r,IFERROR(_xlfn.XLOOKUP(_xlpm.ai_test,$BJ$15:$BJ$62,ROW($BJ$15:$BJ$62),0,1),IFERROR(_xlfn.XLOOKUP(_xlpm.ai_test,$BK$15:$BK$62,ROW($BK$15:$BK$62),0,1),_xlfn.XLOOKUP(_xlpm.ai_test,$BL$15:$BL$62,ROW($BL$15:$BL$62),0,1))),_xlpm.p,_xlpm.r-MIN(ROW($BJ$15:$BJ$62))+1,_xlpm.f,INDEX($BM$15:$BM$62,_xlpm.p),_xlpm.u,INDEX($BN$15:$BN$62,_xlpm.p),_xlpm.s,INDEX($BP$15:$BP$62,_xlpm.p),_xlpm.q,N(AU182)/_xlpm.f,IF(_xlpm.q&gt;=_xlpm.s,ROUND(_xlpm.q,1)&amp;" "&amp;_xlpm.ai_test&amp;" = "&amp;ROUND(_xlpm.q*_xlpm.f,1)&amp;" "&amp;_xlpm.u,ROUND(_xlpm.q,1)&amp;" "&amp;_xlpm.ai_test)),""),""))))</f>
        <v>0</v>
      </c>
      <c r="AX182" s="6218"/>
      <c r="AY182" s="6271">
        <f t="shared" si="97"/>
        <v>0</v>
      </c>
      <c r="AZ182" s="6242" t="str">
        <f t="shared" si="98"/>
        <v/>
      </c>
      <c r="BA182" s="6194">
        <f t="shared" si="103"/>
        <v>0</v>
      </c>
      <c r="BB182" s="6192" t="str">
        <f t="shared" si="99"/>
        <v/>
      </c>
      <c r="BC182" s="6219"/>
      <c r="BD182" s="6221">
        <f t="shared" si="104"/>
        <v>0</v>
      </c>
      <c r="BE182" s="6220" t="str">
        <f t="shared" si="100"/>
        <v/>
      </c>
      <c r="BF182" s="4" t="s">
        <v>1</v>
      </c>
      <c r="BG182" s="6196">
        <f t="shared" si="101"/>
        <v>0</v>
      </c>
      <c r="BH182" s="6197">
        <f t="shared" si="102"/>
        <v>0</v>
      </c>
      <c r="BI182"/>
      <c r="BR182"/>
      <c r="BS182"/>
      <c r="BT182"/>
      <c r="BU182"/>
      <c r="BV182"/>
      <c r="BW182"/>
      <c r="BX182" s="20" t="str">
        <f t="shared" si="81"/>
        <v>►</v>
      </c>
      <c r="BY182"/>
      <c r="BZ182"/>
      <c r="CA182"/>
      <c r="CB182"/>
      <c r="CC182"/>
      <c r="CD182" s="2"/>
      <c r="CE182"/>
      <c r="CF182"/>
      <c r="CG182"/>
      <c r="CH182"/>
      <c r="CI182"/>
      <c r="CJ182"/>
      <c r="CK182"/>
      <c r="CM182"/>
      <c r="CN182"/>
      <c r="CO182"/>
      <c r="CP182"/>
      <c r="CQ182"/>
      <c r="CR182"/>
      <c r="CS182"/>
      <c r="CU182"/>
      <c r="CV182"/>
      <c r="CW182"/>
      <c r="CX182"/>
      <c r="CY182"/>
      <c r="CZ182"/>
      <c r="DA182"/>
      <c r="DC182" s="5">
        <v>1</v>
      </c>
    </row>
    <row r="183" spans="1:107" s="1" customFormat="1" ht="21" customHeight="1">
      <c r="A183" s="5641" t="s">
        <v>1</v>
      </c>
      <c r="B183" s="5662" t="str">
        <f t="shared" si="80"/>
        <v>►</v>
      </c>
      <c r="C183" s="5825" cm="1">
        <f t="array" ref="C183">SUMPRODUCT(LEN(D183:J183))</f>
        <v>0</v>
      </c>
      <c r="D183" s="5275"/>
      <c r="E183" s="1361"/>
      <c r="F183" s="1361"/>
      <c r="G183" s="1361"/>
      <c r="H183" s="1361"/>
      <c r="I183" s="1361"/>
      <c r="J183" s="5276"/>
      <c r="K183" s="106" t="s">
        <v>1</v>
      </c>
      <c r="L183" s="1021" t="s">
        <v>26</v>
      </c>
      <c r="M183" s="6787"/>
      <c r="N183" s="6787"/>
      <c r="O183" s="6787"/>
      <c r="P183" s="6788"/>
      <c r="Q183" s="6789"/>
      <c r="R183" s="6790"/>
      <c r="S183" s="6786"/>
      <c r="T183" s="6791"/>
      <c r="U183" s="6844"/>
      <c r="V183" s="6791"/>
      <c r="W183" s="6785"/>
      <c r="X183" s="6868"/>
      <c r="Y183" s="6793"/>
      <c r="Z183" s="6794"/>
      <c r="AA183" s="6795"/>
      <c r="AB183" s="6796"/>
      <c r="AC183" s="6797"/>
      <c r="AD183" s="6798"/>
      <c r="AE183" s="4" t="s">
        <v>1</v>
      </c>
      <c r="AF183" s="6202" t="str">
        <f t="shared" si="84"/>
        <v>►</v>
      </c>
      <c r="AG183" s="6234" t="str">
        <f t="shared" si="85"/>
        <v/>
      </c>
      <c r="AH183" s="6732" t="str">
        <f t="shared" si="86"/>
        <v/>
      </c>
      <c r="AI183" s="6234" t="str">
        <f t="shared" si="87"/>
        <v/>
      </c>
      <c r="AJ183" s="6732" t="str">
        <f t="shared" si="88"/>
        <v/>
      </c>
      <c r="AK183" s="6732">
        <f t="shared" si="89"/>
        <v>0</v>
      </c>
      <c r="AL183" s="6230" t="str" cm="1">
        <f t="array" ref="AL183">IF(AF183&lt;&gt;"A","",IFERROR((IFERROR(_xlfn.XLOOKUP(TRIM(SUBSTITUTE(U183,CHAR(160)," ")),$BJ$15:$BJ$62,$BM$15:$BM$62),IFERROR(_xlfn.XLOOKUP(TRIM(SUBSTITUTE(U183,CHAR(160)," ")),$BK$15:$BK$62,$BM$15:$BM$62),_xlfn.XLOOKUP(TRIM(SUBSTITUTE(U183,CHAR(160)," ")),$BL$15:$BL$62,$BM$15:$BM$62))))*T183*IF(ISBLANK(Q183),1,Q183)+IFERROR(_xlfn.XLOOKUP("RECHERCHEX",TRIM(L183:AD183),L183:AD183),0),0))</f>
        <v/>
      </c>
      <c r="AM183" s="6229">
        <f t="shared" si="90"/>
        <v>0</v>
      </c>
      <c r="AN183" s="6857" t="str">
        <f t="shared" si="105"/>
        <v/>
      </c>
      <c r="AO183" s="392">
        <f t="shared" si="91"/>
        <v>0</v>
      </c>
      <c r="AP183" s="392">
        <f t="shared" si="92"/>
        <v>0</v>
      </c>
      <c r="AQ183" s="6191">
        <f t="shared" si="93"/>
        <v>0</v>
      </c>
      <c r="AR183" s="6859" t="str">
        <f t="shared" si="94"/>
        <v/>
      </c>
      <c r="AS183" s="6217"/>
      <c r="AT183" s="6217"/>
      <c r="AU183" s="6272">
        <f t="shared" si="95"/>
        <v>0</v>
      </c>
      <c r="AV183" s="6240">
        <f t="shared" si="96"/>
        <v>0</v>
      </c>
      <c r="AW183" s="6189" cm="1">
        <f t="array" ref="AW183">IF(AK183&lt;&gt;1,0,IF(OR(AU183="",N(AU183)&lt;=0.000000001),"",IF(OR(AO183="",N(AO183)&lt;=0.000000001),0,IF(ISNUMBER(AU183),IFERROR(_xlfn.LET(_xlpm.ai_test,TRIM(AJ183),_xlpm.r,IFERROR(_xlfn.XLOOKUP(_xlpm.ai_test,$BJ$15:$BJ$62,ROW($BJ$15:$BJ$62),0,1),IFERROR(_xlfn.XLOOKUP(_xlpm.ai_test,$BK$15:$BK$62,ROW($BK$15:$BK$62),0,1),_xlfn.XLOOKUP(_xlpm.ai_test,$BL$15:$BL$62,ROW($BL$15:$BL$62),0,1))),_xlpm.p,_xlpm.r-MIN(ROW($BJ$15:$BJ$62))+1,_xlpm.f,INDEX($BM$15:$BM$62,_xlpm.p),_xlpm.u,INDEX($BN$15:$BN$62,_xlpm.p),_xlpm.s,INDEX($BP$15:$BP$62,_xlpm.p),_xlpm.q,N(AU183)/_xlpm.f,IF(_xlpm.q&gt;=_xlpm.s,ROUND(_xlpm.q,1)&amp;" "&amp;_xlpm.ai_test&amp;" = "&amp;ROUND(_xlpm.q*_xlpm.f,1)&amp;" "&amp;_xlpm.u,ROUND(_xlpm.q,1)&amp;" "&amp;_xlpm.ai_test)),""),""))))</f>
        <v>0</v>
      </c>
      <c r="AX183" s="6218"/>
      <c r="AY183" s="6272">
        <f t="shared" si="97"/>
        <v>0</v>
      </c>
      <c r="AZ183" s="6240" t="str">
        <f t="shared" si="98"/>
        <v/>
      </c>
      <c r="BA183" s="6195">
        <f t="shared" si="103"/>
        <v>0</v>
      </c>
      <c r="BB183" s="6193" t="str">
        <f t="shared" si="99"/>
        <v/>
      </c>
      <c r="BC183" s="6219"/>
      <c r="BD183" s="6222">
        <f t="shared" si="104"/>
        <v>0</v>
      </c>
      <c r="BE183" s="6220" t="str">
        <f t="shared" si="100"/>
        <v/>
      </c>
      <c r="BF183" s="4" t="s">
        <v>1</v>
      </c>
      <c r="BG183" s="6196">
        <f t="shared" si="101"/>
        <v>0</v>
      </c>
      <c r="BH183" s="6197">
        <f t="shared" si="102"/>
        <v>0</v>
      </c>
      <c r="BI183"/>
      <c r="BR183"/>
      <c r="BS183"/>
      <c r="BT183"/>
      <c r="BU183"/>
      <c r="BV183"/>
      <c r="BW183"/>
      <c r="BX183" s="20" t="str">
        <f t="shared" si="81"/>
        <v>►</v>
      </c>
      <c r="BY183"/>
      <c r="BZ183"/>
      <c r="CA183"/>
      <c r="CB183"/>
      <c r="CC183"/>
      <c r="CD183" s="2"/>
      <c r="CE183"/>
      <c r="CF183"/>
      <c r="CG183"/>
      <c r="CH183"/>
      <c r="CI183"/>
      <c r="CJ183"/>
      <c r="CK183"/>
      <c r="CM183"/>
      <c r="CN183"/>
      <c r="CO183"/>
      <c r="CP183"/>
      <c r="CQ183"/>
      <c r="CR183"/>
      <c r="CS183"/>
      <c r="CU183"/>
      <c r="CV183"/>
      <c r="CW183"/>
      <c r="CX183"/>
      <c r="CY183"/>
      <c r="CZ183"/>
      <c r="DA183"/>
      <c r="DC183" s="5">
        <v>1</v>
      </c>
    </row>
    <row r="184" spans="1:107" s="1" customFormat="1" ht="21" customHeight="1">
      <c r="A184" s="5641" t="s">
        <v>1</v>
      </c>
      <c r="B184" s="5662" t="str">
        <f t="shared" si="80"/>
        <v>►</v>
      </c>
      <c r="C184" s="5825" cm="1">
        <f t="array" ref="C184">SUMPRODUCT(LEN(D184:J184))</f>
        <v>0</v>
      </c>
      <c r="D184" s="5275"/>
      <c r="E184" s="1361"/>
      <c r="F184" s="1361"/>
      <c r="G184" s="1361"/>
      <c r="H184" s="1361"/>
      <c r="I184" s="1361"/>
      <c r="J184" s="5276"/>
      <c r="K184" s="106" t="s">
        <v>1</v>
      </c>
      <c r="L184" s="1021" t="s">
        <v>26</v>
      </c>
      <c r="M184" s="6787"/>
      <c r="N184" s="6787"/>
      <c r="O184" s="6787"/>
      <c r="P184" s="6788"/>
      <c r="Q184" s="6789"/>
      <c r="R184" s="6790"/>
      <c r="S184" s="6786"/>
      <c r="T184" s="6791"/>
      <c r="U184" s="6844"/>
      <c r="V184" s="6791"/>
      <c r="W184" s="6785"/>
      <c r="X184" s="6868"/>
      <c r="Y184" s="6793"/>
      <c r="Z184" s="6794"/>
      <c r="AA184" s="6795"/>
      <c r="AB184" s="6796"/>
      <c r="AC184" s="6797"/>
      <c r="AD184" s="6798"/>
      <c r="AE184" s="4" t="s">
        <v>1</v>
      </c>
      <c r="AF184" s="6202" t="str">
        <f t="shared" si="84"/>
        <v>►</v>
      </c>
      <c r="AG184" s="6234" t="str">
        <f t="shared" si="85"/>
        <v/>
      </c>
      <c r="AH184" s="6732" t="str">
        <f t="shared" si="86"/>
        <v/>
      </c>
      <c r="AI184" s="6234" t="str">
        <f t="shared" si="87"/>
        <v/>
      </c>
      <c r="AJ184" s="6732" t="str">
        <f t="shared" si="88"/>
        <v/>
      </c>
      <c r="AK184" s="6732">
        <f t="shared" si="89"/>
        <v>0</v>
      </c>
      <c r="AL184" s="6230" t="str" cm="1">
        <f t="array" ref="AL184">IF(AF184&lt;&gt;"A","",IFERROR((IFERROR(_xlfn.XLOOKUP(TRIM(SUBSTITUTE(U184,CHAR(160)," ")),$BJ$15:$BJ$62,$BM$15:$BM$62),IFERROR(_xlfn.XLOOKUP(TRIM(SUBSTITUTE(U184,CHAR(160)," ")),$BK$15:$BK$62,$BM$15:$BM$62),_xlfn.XLOOKUP(TRIM(SUBSTITUTE(U184,CHAR(160)," ")),$BL$15:$BL$62,$BM$15:$BM$62))))*T184*IF(ISBLANK(Q184),1,Q184)+IFERROR(_xlfn.XLOOKUP("RECHERCHEX",TRIM(L184:AD184),L184:AD184),0),0))</f>
        <v/>
      </c>
      <c r="AM184" s="6229">
        <f t="shared" si="90"/>
        <v>0</v>
      </c>
      <c r="AN184" s="6857" t="str">
        <f t="shared" si="105"/>
        <v/>
      </c>
      <c r="AO184" s="392">
        <f t="shared" si="91"/>
        <v>0</v>
      </c>
      <c r="AP184" s="392">
        <f t="shared" si="92"/>
        <v>0</v>
      </c>
      <c r="AQ184" s="6190">
        <f t="shared" si="93"/>
        <v>0</v>
      </c>
      <c r="AR184" s="6858" t="str">
        <f t="shared" si="94"/>
        <v/>
      </c>
      <c r="AS184" s="6217"/>
      <c r="AT184" s="6217"/>
      <c r="AU184" s="6271">
        <f t="shared" si="95"/>
        <v>0</v>
      </c>
      <c r="AV184" s="6242">
        <f t="shared" si="96"/>
        <v>0</v>
      </c>
      <c r="AW184" s="6188" cm="1">
        <f t="array" ref="AW184">IF(AK184&lt;&gt;1,0,IF(OR(AU184="",N(AU184)&lt;=0.000000001),"",IF(OR(AO184="",N(AO184)&lt;=0.000000001),0,IF(ISNUMBER(AU184),IFERROR(_xlfn.LET(_xlpm.ai_test,TRIM(AJ184),_xlpm.r,IFERROR(_xlfn.XLOOKUP(_xlpm.ai_test,$BJ$15:$BJ$62,ROW($BJ$15:$BJ$62),0,1),IFERROR(_xlfn.XLOOKUP(_xlpm.ai_test,$BK$15:$BK$62,ROW($BK$15:$BK$62),0,1),_xlfn.XLOOKUP(_xlpm.ai_test,$BL$15:$BL$62,ROW($BL$15:$BL$62),0,1))),_xlpm.p,_xlpm.r-MIN(ROW($BJ$15:$BJ$62))+1,_xlpm.f,INDEX($BM$15:$BM$62,_xlpm.p),_xlpm.u,INDEX($BN$15:$BN$62,_xlpm.p),_xlpm.s,INDEX($BP$15:$BP$62,_xlpm.p),_xlpm.q,N(AU184)/_xlpm.f,IF(_xlpm.q&gt;=_xlpm.s,ROUND(_xlpm.q,1)&amp;" "&amp;_xlpm.ai_test&amp;" = "&amp;ROUND(_xlpm.q*_xlpm.f,1)&amp;" "&amp;_xlpm.u,ROUND(_xlpm.q,1)&amp;" "&amp;_xlpm.ai_test)),""),""))))</f>
        <v>0</v>
      </c>
      <c r="AX184" s="6218"/>
      <c r="AY184" s="6271">
        <f t="shared" si="97"/>
        <v>0</v>
      </c>
      <c r="AZ184" s="6242" t="str">
        <f t="shared" si="98"/>
        <v/>
      </c>
      <c r="BA184" s="6194">
        <f t="shared" si="103"/>
        <v>0</v>
      </c>
      <c r="BB184" s="6192" t="str">
        <f t="shared" si="99"/>
        <v/>
      </c>
      <c r="BC184" s="6219"/>
      <c r="BD184" s="6221">
        <f t="shared" si="104"/>
        <v>0</v>
      </c>
      <c r="BE184" s="6220" t="str">
        <f t="shared" si="100"/>
        <v/>
      </c>
      <c r="BF184" s="4" t="s">
        <v>1</v>
      </c>
      <c r="BG184" s="6196">
        <f t="shared" si="101"/>
        <v>0</v>
      </c>
      <c r="BH184" s="6197">
        <f t="shared" si="102"/>
        <v>0</v>
      </c>
      <c r="BI184"/>
      <c r="BR184"/>
      <c r="BS184"/>
      <c r="BT184"/>
      <c r="BU184"/>
      <c r="BV184"/>
      <c r="BW184"/>
      <c r="BX184" s="20" t="str">
        <f t="shared" si="81"/>
        <v>►</v>
      </c>
      <c r="BY184"/>
      <c r="BZ184"/>
      <c r="CA184"/>
      <c r="CB184"/>
      <c r="CC184"/>
      <c r="CD184" s="2"/>
      <c r="CE184"/>
      <c r="CF184"/>
      <c r="CG184"/>
      <c r="CH184"/>
      <c r="CI184"/>
      <c r="CJ184"/>
      <c r="CK184"/>
      <c r="CM184"/>
      <c r="CN184"/>
      <c r="CO184"/>
      <c r="CP184"/>
      <c r="CQ184"/>
      <c r="CR184"/>
      <c r="CS184"/>
      <c r="CU184"/>
      <c r="CV184"/>
      <c r="CW184"/>
      <c r="CX184"/>
      <c r="CY184"/>
      <c r="CZ184"/>
      <c r="DA184"/>
      <c r="DC184" s="5">
        <v>1</v>
      </c>
    </row>
    <row r="185" spans="1:107" s="1" customFormat="1" ht="21" customHeight="1">
      <c r="A185" s="5641" t="s">
        <v>1</v>
      </c>
      <c r="B185" s="5662" t="str">
        <f t="shared" si="80"/>
        <v>►</v>
      </c>
      <c r="C185" s="5825" cm="1">
        <f t="array" ref="C185">SUMPRODUCT(LEN(D185:J185))</f>
        <v>0</v>
      </c>
      <c r="D185" s="5275"/>
      <c r="E185" s="1361"/>
      <c r="F185" s="1361"/>
      <c r="G185" s="1361"/>
      <c r="H185" s="1361"/>
      <c r="I185" s="1361"/>
      <c r="J185" s="5276"/>
      <c r="K185" s="106" t="s">
        <v>1</v>
      </c>
      <c r="L185" s="1021" t="s">
        <v>26</v>
      </c>
      <c r="M185" s="6787"/>
      <c r="N185" s="6787"/>
      <c r="O185" s="6787"/>
      <c r="P185" s="6788"/>
      <c r="Q185" s="6789"/>
      <c r="R185" s="6790"/>
      <c r="S185" s="6786"/>
      <c r="T185" s="6791"/>
      <c r="U185" s="6844"/>
      <c r="V185" s="6791"/>
      <c r="W185" s="6785"/>
      <c r="X185" s="6868"/>
      <c r="Y185" s="6793"/>
      <c r="Z185" s="6794"/>
      <c r="AA185" s="6795"/>
      <c r="AB185" s="6796"/>
      <c r="AC185" s="6797"/>
      <c r="AD185" s="6798"/>
      <c r="AE185" s="4" t="s">
        <v>1</v>
      </c>
      <c r="AF185" s="6202" t="str">
        <f t="shared" si="84"/>
        <v>►</v>
      </c>
      <c r="AG185" s="6234" t="str">
        <f t="shared" si="85"/>
        <v/>
      </c>
      <c r="AH185" s="6732" t="str">
        <f t="shared" si="86"/>
        <v/>
      </c>
      <c r="AI185" s="6234" t="str">
        <f t="shared" si="87"/>
        <v/>
      </c>
      <c r="AJ185" s="6732" t="str">
        <f t="shared" si="88"/>
        <v/>
      </c>
      <c r="AK185" s="6732">
        <f t="shared" si="89"/>
        <v>0</v>
      </c>
      <c r="AL185" s="6230" t="str" cm="1">
        <f t="array" ref="AL185">IF(AF185&lt;&gt;"A","",IFERROR((IFERROR(_xlfn.XLOOKUP(TRIM(SUBSTITUTE(U185,CHAR(160)," ")),$BJ$15:$BJ$62,$BM$15:$BM$62),IFERROR(_xlfn.XLOOKUP(TRIM(SUBSTITUTE(U185,CHAR(160)," ")),$BK$15:$BK$62,$BM$15:$BM$62),_xlfn.XLOOKUP(TRIM(SUBSTITUTE(U185,CHAR(160)," ")),$BL$15:$BL$62,$BM$15:$BM$62))))*T185*IF(ISBLANK(Q185),1,Q185)+IFERROR(_xlfn.XLOOKUP("RECHERCHEX",TRIM(L185:AD185),L185:AD185),0),0))</f>
        <v/>
      </c>
      <c r="AM185" s="6229">
        <f t="shared" si="90"/>
        <v>0</v>
      </c>
      <c r="AN185" s="6857" t="str">
        <f t="shared" si="105"/>
        <v/>
      </c>
      <c r="AO185" s="392">
        <f t="shared" si="91"/>
        <v>0</v>
      </c>
      <c r="AP185" s="392">
        <f t="shared" si="92"/>
        <v>0</v>
      </c>
      <c r="AQ185" s="6191">
        <f t="shared" si="93"/>
        <v>0</v>
      </c>
      <c r="AR185" s="6859" t="str">
        <f t="shared" si="94"/>
        <v/>
      </c>
      <c r="AS185" s="6217"/>
      <c r="AT185" s="6217"/>
      <c r="AU185" s="6272">
        <f t="shared" si="95"/>
        <v>0</v>
      </c>
      <c r="AV185" s="6240">
        <f t="shared" si="96"/>
        <v>0</v>
      </c>
      <c r="AW185" s="6189" cm="1">
        <f t="array" ref="AW185">IF(AK185&lt;&gt;1,0,IF(OR(AU185="",N(AU185)&lt;=0.000000001),"",IF(OR(AO185="",N(AO185)&lt;=0.000000001),0,IF(ISNUMBER(AU185),IFERROR(_xlfn.LET(_xlpm.ai_test,TRIM(AJ185),_xlpm.r,IFERROR(_xlfn.XLOOKUP(_xlpm.ai_test,$BJ$15:$BJ$62,ROW($BJ$15:$BJ$62),0,1),IFERROR(_xlfn.XLOOKUP(_xlpm.ai_test,$BK$15:$BK$62,ROW($BK$15:$BK$62),0,1),_xlfn.XLOOKUP(_xlpm.ai_test,$BL$15:$BL$62,ROW($BL$15:$BL$62),0,1))),_xlpm.p,_xlpm.r-MIN(ROW($BJ$15:$BJ$62))+1,_xlpm.f,INDEX($BM$15:$BM$62,_xlpm.p),_xlpm.u,INDEX($BN$15:$BN$62,_xlpm.p),_xlpm.s,INDEX($BP$15:$BP$62,_xlpm.p),_xlpm.q,N(AU185)/_xlpm.f,IF(_xlpm.q&gt;=_xlpm.s,ROUND(_xlpm.q,1)&amp;" "&amp;_xlpm.ai_test&amp;" = "&amp;ROUND(_xlpm.q*_xlpm.f,1)&amp;" "&amp;_xlpm.u,ROUND(_xlpm.q,1)&amp;" "&amp;_xlpm.ai_test)),""),""))))</f>
        <v>0</v>
      </c>
      <c r="AX185" s="6218"/>
      <c r="AY185" s="6272">
        <f t="shared" si="97"/>
        <v>0</v>
      </c>
      <c r="AZ185" s="6240" t="str">
        <f t="shared" si="98"/>
        <v/>
      </c>
      <c r="BA185" s="6195">
        <f t="shared" si="103"/>
        <v>0</v>
      </c>
      <c r="BB185" s="6193" t="str">
        <f t="shared" si="99"/>
        <v/>
      </c>
      <c r="BC185" s="6219"/>
      <c r="BD185" s="6222">
        <f t="shared" si="104"/>
        <v>0</v>
      </c>
      <c r="BE185" s="6220" t="str">
        <f t="shared" si="100"/>
        <v/>
      </c>
      <c r="BF185" s="4" t="s">
        <v>1</v>
      </c>
      <c r="BG185" s="6196">
        <f t="shared" si="101"/>
        <v>0</v>
      </c>
      <c r="BH185" s="6197">
        <f t="shared" si="102"/>
        <v>0</v>
      </c>
      <c r="BI185"/>
      <c r="BR185"/>
      <c r="BS185"/>
      <c r="BT185"/>
      <c r="BU185"/>
      <c r="BV185"/>
      <c r="BW185"/>
      <c r="BX185" s="20" t="str">
        <f t="shared" si="81"/>
        <v>►</v>
      </c>
      <c r="BY185"/>
      <c r="BZ185"/>
      <c r="CA185"/>
      <c r="CB185"/>
      <c r="CC185"/>
      <c r="CD185" s="2"/>
      <c r="CE185"/>
      <c r="CF185"/>
      <c r="CG185"/>
      <c r="CH185"/>
      <c r="CI185"/>
      <c r="CJ185"/>
      <c r="CK185"/>
      <c r="CM185"/>
      <c r="CN185"/>
      <c r="CO185"/>
      <c r="CP185"/>
      <c r="CQ185"/>
      <c r="CR185"/>
      <c r="CS185"/>
      <c r="CU185"/>
      <c r="CV185"/>
      <c r="CW185"/>
      <c r="CX185"/>
      <c r="CY185"/>
      <c r="CZ185"/>
      <c r="DA185"/>
      <c r="DC185" s="5">
        <v>1</v>
      </c>
    </row>
    <row r="186" spans="1:107" s="1" customFormat="1" ht="21" customHeight="1">
      <c r="A186" s="5641" t="s">
        <v>1</v>
      </c>
      <c r="B186" s="5662" t="str">
        <f t="shared" si="80"/>
        <v>►</v>
      </c>
      <c r="C186" s="5825" cm="1">
        <f t="array" ref="C186">SUMPRODUCT(LEN(D186:J186))</f>
        <v>0</v>
      </c>
      <c r="D186" s="5275"/>
      <c r="E186" s="1361"/>
      <c r="F186" s="1361"/>
      <c r="G186" s="1361"/>
      <c r="H186" s="1361"/>
      <c r="I186" s="1361"/>
      <c r="J186" s="5276"/>
      <c r="K186" s="106" t="s">
        <v>1</v>
      </c>
      <c r="L186" s="1021" t="s">
        <v>26</v>
      </c>
      <c r="M186" s="6787"/>
      <c r="N186" s="6787"/>
      <c r="O186" s="6787"/>
      <c r="P186" s="6788"/>
      <c r="Q186" s="6789"/>
      <c r="R186" s="6790"/>
      <c r="S186" s="6786"/>
      <c r="T186" s="6791"/>
      <c r="U186" s="6844"/>
      <c r="V186" s="6791"/>
      <c r="W186" s="6785"/>
      <c r="X186" s="6868"/>
      <c r="Y186" s="6793"/>
      <c r="Z186" s="6794"/>
      <c r="AA186" s="6795"/>
      <c r="AB186" s="6796"/>
      <c r="AC186" s="6797"/>
      <c r="AD186" s="6798"/>
      <c r="AE186" s="4" t="s">
        <v>1</v>
      </c>
      <c r="AF186" s="6202" t="str">
        <f t="shared" si="84"/>
        <v>►</v>
      </c>
      <c r="AG186" s="6234" t="str">
        <f t="shared" si="85"/>
        <v/>
      </c>
      <c r="AH186" s="6732" t="str">
        <f t="shared" si="86"/>
        <v/>
      </c>
      <c r="AI186" s="6234" t="str">
        <f t="shared" si="87"/>
        <v/>
      </c>
      <c r="AJ186" s="6732" t="str">
        <f t="shared" si="88"/>
        <v/>
      </c>
      <c r="AK186" s="6732">
        <f t="shared" si="89"/>
        <v>0</v>
      </c>
      <c r="AL186" s="6230" t="str" cm="1">
        <f t="array" ref="AL186">IF(AF186&lt;&gt;"A","",IFERROR((IFERROR(_xlfn.XLOOKUP(TRIM(SUBSTITUTE(U186,CHAR(160)," ")),$BJ$15:$BJ$62,$BM$15:$BM$62),IFERROR(_xlfn.XLOOKUP(TRIM(SUBSTITUTE(U186,CHAR(160)," ")),$BK$15:$BK$62,$BM$15:$BM$62),_xlfn.XLOOKUP(TRIM(SUBSTITUTE(U186,CHAR(160)," ")),$BL$15:$BL$62,$BM$15:$BM$62))))*T186*IF(ISBLANK(Q186),1,Q186)+IFERROR(_xlfn.XLOOKUP("RECHERCHEX",TRIM(L186:AD186),L186:AD186),0),0))</f>
        <v/>
      </c>
      <c r="AM186" s="6229">
        <f t="shared" si="90"/>
        <v>0</v>
      </c>
      <c r="AN186" s="6857" t="str">
        <f t="shared" si="105"/>
        <v/>
      </c>
      <c r="AO186" s="392">
        <f t="shared" si="91"/>
        <v>0</v>
      </c>
      <c r="AP186" s="392">
        <f t="shared" si="92"/>
        <v>0</v>
      </c>
      <c r="AQ186" s="6190">
        <f t="shared" si="93"/>
        <v>0</v>
      </c>
      <c r="AR186" s="6858" t="str">
        <f t="shared" si="94"/>
        <v/>
      </c>
      <c r="AS186" s="6217"/>
      <c r="AT186" s="6217"/>
      <c r="AU186" s="6271">
        <f t="shared" si="95"/>
        <v>0</v>
      </c>
      <c r="AV186" s="6242">
        <f t="shared" si="96"/>
        <v>0</v>
      </c>
      <c r="AW186" s="6188" cm="1">
        <f t="array" ref="AW186">IF(AK186&lt;&gt;1,0,IF(OR(AU186="",N(AU186)&lt;=0.000000001),"",IF(OR(AO186="",N(AO186)&lt;=0.000000001),0,IF(ISNUMBER(AU186),IFERROR(_xlfn.LET(_xlpm.ai_test,TRIM(AJ186),_xlpm.r,IFERROR(_xlfn.XLOOKUP(_xlpm.ai_test,$BJ$15:$BJ$62,ROW($BJ$15:$BJ$62),0,1),IFERROR(_xlfn.XLOOKUP(_xlpm.ai_test,$BK$15:$BK$62,ROW($BK$15:$BK$62),0,1),_xlfn.XLOOKUP(_xlpm.ai_test,$BL$15:$BL$62,ROW($BL$15:$BL$62),0,1))),_xlpm.p,_xlpm.r-MIN(ROW($BJ$15:$BJ$62))+1,_xlpm.f,INDEX($BM$15:$BM$62,_xlpm.p),_xlpm.u,INDEX($BN$15:$BN$62,_xlpm.p),_xlpm.s,INDEX($BP$15:$BP$62,_xlpm.p),_xlpm.q,N(AU186)/_xlpm.f,IF(_xlpm.q&gt;=_xlpm.s,ROUND(_xlpm.q,1)&amp;" "&amp;_xlpm.ai_test&amp;" = "&amp;ROUND(_xlpm.q*_xlpm.f,1)&amp;" "&amp;_xlpm.u,ROUND(_xlpm.q,1)&amp;" "&amp;_xlpm.ai_test)),""),""))))</f>
        <v>0</v>
      </c>
      <c r="AX186" s="6218"/>
      <c r="AY186" s="6271">
        <f t="shared" si="97"/>
        <v>0</v>
      </c>
      <c r="AZ186" s="6242" t="str">
        <f t="shared" si="98"/>
        <v/>
      </c>
      <c r="BA186" s="6194">
        <f t="shared" si="103"/>
        <v>0</v>
      </c>
      <c r="BB186" s="6192" t="str">
        <f t="shared" si="99"/>
        <v/>
      </c>
      <c r="BC186" s="6219"/>
      <c r="BD186" s="6221">
        <f t="shared" si="104"/>
        <v>0</v>
      </c>
      <c r="BE186" s="6220" t="str">
        <f t="shared" si="100"/>
        <v/>
      </c>
      <c r="BF186" s="4" t="s">
        <v>1</v>
      </c>
      <c r="BG186" s="6196">
        <f t="shared" si="101"/>
        <v>0</v>
      </c>
      <c r="BH186" s="6197">
        <f t="shared" si="102"/>
        <v>0</v>
      </c>
      <c r="BI186"/>
      <c r="BR186"/>
      <c r="BS186"/>
      <c r="BT186"/>
      <c r="BU186"/>
      <c r="BV186"/>
      <c r="BW186"/>
      <c r="BX186" s="20" t="str">
        <f t="shared" si="81"/>
        <v>►</v>
      </c>
      <c r="BY186"/>
      <c r="BZ186"/>
      <c r="CA186"/>
      <c r="CB186"/>
      <c r="CC186"/>
      <c r="CD186" s="2"/>
      <c r="CE186"/>
      <c r="CF186"/>
      <c r="CG186"/>
      <c r="CH186"/>
      <c r="CI186"/>
      <c r="CJ186"/>
      <c r="CK186"/>
      <c r="CM186"/>
      <c r="CN186"/>
      <c r="CO186"/>
      <c r="CP186"/>
      <c r="CQ186"/>
      <c r="CR186"/>
      <c r="CS186"/>
      <c r="CU186"/>
      <c r="CV186"/>
      <c r="CW186"/>
      <c r="CX186"/>
      <c r="CY186"/>
      <c r="CZ186"/>
      <c r="DA186"/>
      <c r="DC186" s="5">
        <v>1</v>
      </c>
    </row>
    <row r="187" spans="1:107" s="1" customFormat="1" ht="21" customHeight="1">
      <c r="A187" s="5641" t="s">
        <v>1</v>
      </c>
      <c r="B187" s="5662" t="str">
        <f t="shared" si="80"/>
        <v>►</v>
      </c>
      <c r="C187" s="5825" cm="1">
        <f t="array" ref="C187">SUMPRODUCT(LEN(D187:J187))</f>
        <v>0</v>
      </c>
      <c r="D187" s="5275"/>
      <c r="E187" s="1361"/>
      <c r="F187" s="1361"/>
      <c r="G187" s="1361"/>
      <c r="H187" s="1361"/>
      <c r="I187" s="1361"/>
      <c r="J187" s="5276"/>
      <c r="K187" s="106" t="s">
        <v>1</v>
      </c>
      <c r="L187" s="1021" t="s">
        <v>26</v>
      </c>
      <c r="M187" s="6787"/>
      <c r="N187" s="6787"/>
      <c r="O187" s="6787"/>
      <c r="P187" s="6788"/>
      <c r="Q187" s="6789"/>
      <c r="R187" s="6790"/>
      <c r="S187" s="6786"/>
      <c r="T187" s="6791"/>
      <c r="U187" s="6844"/>
      <c r="V187" s="6791"/>
      <c r="W187" s="6785"/>
      <c r="X187" s="6868"/>
      <c r="Y187" s="6793"/>
      <c r="Z187" s="6794"/>
      <c r="AA187" s="6795"/>
      <c r="AB187" s="6796"/>
      <c r="AC187" s="6797"/>
      <c r="AD187" s="6798"/>
      <c r="AE187" s="4" t="s">
        <v>1</v>
      </c>
      <c r="AF187" s="6202" t="str">
        <f t="shared" si="84"/>
        <v>►</v>
      </c>
      <c r="AG187" s="6234" t="str">
        <f t="shared" si="85"/>
        <v/>
      </c>
      <c r="AH187" s="6732" t="str">
        <f t="shared" si="86"/>
        <v/>
      </c>
      <c r="AI187" s="6234" t="str">
        <f t="shared" si="87"/>
        <v/>
      </c>
      <c r="AJ187" s="6732" t="str">
        <f t="shared" si="88"/>
        <v/>
      </c>
      <c r="AK187" s="6732">
        <f t="shared" si="89"/>
        <v>0</v>
      </c>
      <c r="AL187" s="6230" t="str" cm="1">
        <f t="array" ref="AL187">IF(AF187&lt;&gt;"A","",IFERROR((IFERROR(_xlfn.XLOOKUP(TRIM(SUBSTITUTE(U187,CHAR(160)," ")),$BJ$15:$BJ$62,$BM$15:$BM$62),IFERROR(_xlfn.XLOOKUP(TRIM(SUBSTITUTE(U187,CHAR(160)," ")),$BK$15:$BK$62,$BM$15:$BM$62),_xlfn.XLOOKUP(TRIM(SUBSTITUTE(U187,CHAR(160)," ")),$BL$15:$BL$62,$BM$15:$BM$62))))*T187*IF(ISBLANK(Q187),1,Q187)+IFERROR(_xlfn.XLOOKUP("RECHERCHEX",TRIM(L187:AD187),L187:AD187),0),0))</f>
        <v/>
      </c>
      <c r="AM187" s="6229">
        <f t="shared" si="90"/>
        <v>0</v>
      </c>
      <c r="AN187" s="6857" t="str">
        <f t="shared" si="105"/>
        <v/>
      </c>
      <c r="AO187" s="392">
        <f t="shared" si="91"/>
        <v>0</v>
      </c>
      <c r="AP187" s="392">
        <f t="shared" si="92"/>
        <v>0</v>
      </c>
      <c r="AQ187" s="6191">
        <f t="shared" si="93"/>
        <v>0</v>
      </c>
      <c r="AR187" s="6859" t="str">
        <f t="shared" si="94"/>
        <v/>
      </c>
      <c r="AS187" s="6217"/>
      <c r="AT187" s="6217"/>
      <c r="AU187" s="6272">
        <f t="shared" si="95"/>
        <v>0</v>
      </c>
      <c r="AV187" s="6240">
        <f t="shared" si="96"/>
        <v>0</v>
      </c>
      <c r="AW187" s="6189" cm="1">
        <f t="array" ref="AW187">IF(AK187&lt;&gt;1,0,IF(OR(AU187="",N(AU187)&lt;=0.000000001),"",IF(OR(AO187="",N(AO187)&lt;=0.000000001),0,IF(ISNUMBER(AU187),IFERROR(_xlfn.LET(_xlpm.ai_test,TRIM(AJ187),_xlpm.r,IFERROR(_xlfn.XLOOKUP(_xlpm.ai_test,$BJ$15:$BJ$62,ROW($BJ$15:$BJ$62),0,1),IFERROR(_xlfn.XLOOKUP(_xlpm.ai_test,$BK$15:$BK$62,ROW($BK$15:$BK$62),0,1),_xlfn.XLOOKUP(_xlpm.ai_test,$BL$15:$BL$62,ROW($BL$15:$BL$62),0,1))),_xlpm.p,_xlpm.r-MIN(ROW($BJ$15:$BJ$62))+1,_xlpm.f,INDEX($BM$15:$BM$62,_xlpm.p),_xlpm.u,INDEX($BN$15:$BN$62,_xlpm.p),_xlpm.s,INDEX($BP$15:$BP$62,_xlpm.p),_xlpm.q,N(AU187)/_xlpm.f,IF(_xlpm.q&gt;=_xlpm.s,ROUND(_xlpm.q,1)&amp;" "&amp;_xlpm.ai_test&amp;" = "&amp;ROUND(_xlpm.q*_xlpm.f,1)&amp;" "&amp;_xlpm.u,ROUND(_xlpm.q,1)&amp;" "&amp;_xlpm.ai_test)),""),""))))</f>
        <v>0</v>
      </c>
      <c r="AX187" s="6218"/>
      <c r="AY187" s="6272">
        <f t="shared" si="97"/>
        <v>0</v>
      </c>
      <c r="AZ187" s="6240" t="str">
        <f t="shared" si="98"/>
        <v/>
      </c>
      <c r="BA187" s="6195">
        <f t="shared" si="103"/>
        <v>0</v>
      </c>
      <c r="BB187" s="6193" t="str">
        <f t="shared" si="99"/>
        <v/>
      </c>
      <c r="BC187" s="6219"/>
      <c r="BD187" s="6222">
        <f t="shared" si="104"/>
        <v>0</v>
      </c>
      <c r="BE187" s="6220" t="str">
        <f t="shared" si="100"/>
        <v/>
      </c>
      <c r="BF187" s="4" t="s">
        <v>1</v>
      </c>
      <c r="BG187" s="6196">
        <f t="shared" si="101"/>
        <v>0</v>
      </c>
      <c r="BH187" s="6197">
        <f t="shared" si="102"/>
        <v>0</v>
      </c>
      <c r="BI187"/>
      <c r="BR187"/>
      <c r="BS187"/>
      <c r="BT187"/>
      <c r="BU187"/>
      <c r="BV187"/>
      <c r="BW187"/>
      <c r="BX187" s="20" t="str">
        <f t="shared" si="81"/>
        <v>►</v>
      </c>
      <c r="BY187"/>
      <c r="BZ187"/>
      <c r="CA187"/>
      <c r="CB187"/>
      <c r="CC187"/>
      <c r="CD187" s="2"/>
      <c r="CE187"/>
      <c r="CF187"/>
      <c r="CG187"/>
      <c r="CH187"/>
      <c r="CI187"/>
      <c r="CJ187"/>
      <c r="CK187"/>
      <c r="CM187"/>
      <c r="CN187"/>
      <c r="CO187"/>
      <c r="CP187"/>
      <c r="CQ187"/>
      <c r="CR187"/>
      <c r="CS187"/>
      <c r="CU187"/>
      <c r="CV187"/>
      <c r="CW187"/>
      <c r="CX187"/>
      <c r="CY187"/>
      <c r="CZ187"/>
      <c r="DA187"/>
      <c r="DC187" s="5">
        <v>1</v>
      </c>
    </row>
    <row r="188" spans="1:107" s="1" customFormat="1" ht="21" customHeight="1">
      <c r="A188" s="5641" t="s">
        <v>1</v>
      </c>
      <c r="B188" s="5662" t="str">
        <f t="shared" si="80"/>
        <v>►</v>
      </c>
      <c r="C188" s="5825" cm="1">
        <f t="array" ref="C188">SUMPRODUCT(LEN(D188:J188))</f>
        <v>0</v>
      </c>
      <c r="D188" s="5275"/>
      <c r="E188" s="1361"/>
      <c r="F188" s="1361"/>
      <c r="G188" s="1361"/>
      <c r="H188" s="1361"/>
      <c r="I188" s="1361"/>
      <c r="J188" s="5276"/>
      <c r="K188" s="106" t="s">
        <v>1</v>
      </c>
      <c r="L188" s="1021" t="s">
        <v>26</v>
      </c>
      <c r="M188" s="6787"/>
      <c r="N188" s="6787"/>
      <c r="O188" s="6787"/>
      <c r="P188" s="6788"/>
      <c r="Q188" s="6789"/>
      <c r="R188" s="6790"/>
      <c r="S188" s="6786"/>
      <c r="T188" s="6791"/>
      <c r="U188" s="6844"/>
      <c r="V188" s="6791"/>
      <c r="W188" s="6785"/>
      <c r="X188" s="6868"/>
      <c r="Y188" s="6793"/>
      <c r="Z188" s="6794"/>
      <c r="AA188" s="6795"/>
      <c r="AB188" s="6796"/>
      <c r="AC188" s="6797"/>
      <c r="AD188" s="6798"/>
      <c r="AE188" s="4" t="s">
        <v>1</v>
      </c>
      <c r="AF188" s="6202" t="str">
        <f t="shared" si="84"/>
        <v>►</v>
      </c>
      <c r="AG188" s="6234" t="str">
        <f t="shared" si="85"/>
        <v/>
      </c>
      <c r="AH188" s="6732" t="str">
        <f t="shared" si="86"/>
        <v/>
      </c>
      <c r="AI188" s="6234" t="str">
        <f t="shared" si="87"/>
        <v/>
      </c>
      <c r="AJ188" s="6732" t="str">
        <f t="shared" si="88"/>
        <v/>
      </c>
      <c r="AK188" s="6732">
        <f t="shared" si="89"/>
        <v>0</v>
      </c>
      <c r="AL188" s="6230" t="str" cm="1">
        <f t="array" ref="AL188">IF(AF188&lt;&gt;"A","",IFERROR((IFERROR(_xlfn.XLOOKUP(TRIM(SUBSTITUTE(U188,CHAR(160)," ")),$BJ$15:$BJ$62,$BM$15:$BM$62),IFERROR(_xlfn.XLOOKUP(TRIM(SUBSTITUTE(U188,CHAR(160)," ")),$BK$15:$BK$62,$BM$15:$BM$62),_xlfn.XLOOKUP(TRIM(SUBSTITUTE(U188,CHAR(160)," ")),$BL$15:$BL$62,$BM$15:$BM$62))))*T188*IF(ISBLANK(Q188),1,Q188)+IFERROR(_xlfn.XLOOKUP("RECHERCHEX",TRIM(L188:AD188),L188:AD188),0),0))</f>
        <v/>
      </c>
      <c r="AM188" s="6229">
        <f t="shared" si="90"/>
        <v>0</v>
      </c>
      <c r="AN188" s="6857" t="str">
        <f t="shared" si="105"/>
        <v/>
      </c>
      <c r="AO188" s="392">
        <f t="shared" si="91"/>
        <v>0</v>
      </c>
      <c r="AP188" s="392">
        <f t="shared" si="92"/>
        <v>0</v>
      </c>
      <c r="AQ188" s="6190">
        <f t="shared" si="93"/>
        <v>0</v>
      </c>
      <c r="AR188" s="6858" t="str">
        <f t="shared" si="94"/>
        <v/>
      </c>
      <c r="AS188" s="6217"/>
      <c r="AT188" s="6217"/>
      <c r="AU188" s="6271">
        <f t="shared" si="95"/>
        <v>0</v>
      </c>
      <c r="AV188" s="6242">
        <f t="shared" si="96"/>
        <v>0</v>
      </c>
      <c r="AW188" s="6188" cm="1">
        <f t="array" ref="AW188">IF(AK188&lt;&gt;1,0,IF(OR(AU188="",N(AU188)&lt;=0.000000001),"",IF(OR(AO188="",N(AO188)&lt;=0.000000001),0,IF(ISNUMBER(AU188),IFERROR(_xlfn.LET(_xlpm.ai_test,TRIM(AJ188),_xlpm.r,IFERROR(_xlfn.XLOOKUP(_xlpm.ai_test,$BJ$15:$BJ$62,ROW($BJ$15:$BJ$62),0,1),IFERROR(_xlfn.XLOOKUP(_xlpm.ai_test,$BK$15:$BK$62,ROW($BK$15:$BK$62),0,1),_xlfn.XLOOKUP(_xlpm.ai_test,$BL$15:$BL$62,ROW($BL$15:$BL$62),0,1))),_xlpm.p,_xlpm.r-MIN(ROW($BJ$15:$BJ$62))+1,_xlpm.f,INDEX($BM$15:$BM$62,_xlpm.p),_xlpm.u,INDEX($BN$15:$BN$62,_xlpm.p),_xlpm.s,INDEX($BP$15:$BP$62,_xlpm.p),_xlpm.q,N(AU188)/_xlpm.f,IF(_xlpm.q&gt;=_xlpm.s,ROUND(_xlpm.q,1)&amp;" "&amp;_xlpm.ai_test&amp;" = "&amp;ROUND(_xlpm.q*_xlpm.f,1)&amp;" "&amp;_xlpm.u,ROUND(_xlpm.q,1)&amp;" "&amp;_xlpm.ai_test)),""),""))))</f>
        <v>0</v>
      </c>
      <c r="AX188" s="6218"/>
      <c r="AY188" s="6271">
        <f t="shared" si="97"/>
        <v>0</v>
      </c>
      <c r="AZ188" s="6242" t="str">
        <f t="shared" si="98"/>
        <v/>
      </c>
      <c r="BA188" s="6194">
        <f t="shared" si="103"/>
        <v>0</v>
      </c>
      <c r="BB188" s="6192" t="str">
        <f t="shared" si="99"/>
        <v/>
      </c>
      <c r="BC188" s="6219"/>
      <c r="BD188" s="6221">
        <f t="shared" si="104"/>
        <v>0</v>
      </c>
      <c r="BE188" s="6220" t="str">
        <f t="shared" si="100"/>
        <v/>
      </c>
      <c r="BF188" s="4" t="s">
        <v>1</v>
      </c>
      <c r="BG188" s="6196">
        <f t="shared" si="101"/>
        <v>0</v>
      </c>
      <c r="BH188" s="6197">
        <f t="shared" si="102"/>
        <v>0</v>
      </c>
      <c r="BI188"/>
      <c r="BR188"/>
      <c r="BS188"/>
      <c r="BT188"/>
      <c r="BU188"/>
      <c r="BV188"/>
      <c r="BW188"/>
      <c r="BX188" s="20" t="str">
        <f t="shared" si="81"/>
        <v>►</v>
      </c>
      <c r="BY188"/>
      <c r="BZ188"/>
      <c r="CA188"/>
      <c r="CB188"/>
      <c r="CC188"/>
      <c r="CD188" s="2"/>
      <c r="CE188"/>
      <c r="CF188"/>
      <c r="CG188"/>
      <c r="CH188"/>
      <c r="CI188"/>
      <c r="CJ188"/>
      <c r="CK188"/>
      <c r="CM188"/>
      <c r="CN188"/>
      <c r="CO188"/>
      <c r="CP188"/>
      <c r="CQ188"/>
      <c r="CR188"/>
      <c r="CS188"/>
      <c r="CU188"/>
      <c r="CV188"/>
      <c r="CW188"/>
      <c r="CX188"/>
      <c r="CY188"/>
      <c r="CZ188"/>
      <c r="DA188"/>
      <c r="DC188" s="5">
        <v>1</v>
      </c>
    </row>
    <row r="189" spans="1:107" s="1" customFormat="1" ht="21" customHeight="1">
      <c r="A189" s="5641" t="s">
        <v>1</v>
      </c>
      <c r="B189" s="5662" t="str">
        <f t="shared" si="80"/>
        <v>►</v>
      </c>
      <c r="C189" s="5825" cm="1">
        <f t="array" ref="C189">SUMPRODUCT(LEN(D189:J189))</f>
        <v>0</v>
      </c>
      <c r="D189" s="5275"/>
      <c r="E189" s="1361"/>
      <c r="F189" s="1361"/>
      <c r="G189" s="1361"/>
      <c r="H189" s="1361"/>
      <c r="I189" s="1361"/>
      <c r="J189" s="5276"/>
      <c r="K189" s="106" t="s">
        <v>1</v>
      </c>
      <c r="L189" s="1021" t="s">
        <v>26</v>
      </c>
      <c r="M189" s="6787"/>
      <c r="N189" s="6787"/>
      <c r="O189" s="6787"/>
      <c r="P189" s="6788"/>
      <c r="Q189" s="6789"/>
      <c r="R189" s="6790"/>
      <c r="S189" s="6786"/>
      <c r="T189" s="6791"/>
      <c r="U189" s="6844"/>
      <c r="V189" s="6791"/>
      <c r="W189" s="6785"/>
      <c r="X189" s="6868"/>
      <c r="Y189" s="6793"/>
      <c r="Z189" s="6794"/>
      <c r="AA189" s="6795"/>
      <c r="AB189" s="6796"/>
      <c r="AC189" s="6797"/>
      <c r="AD189" s="6798"/>
      <c r="AE189" s="4" t="s">
        <v>1</v>
      </c>
      <c r="AF189" s="6202" t="str">
        <f t="shared" si="84"/>
        <v>►</v>
      </c>
      <c r="AG189" s="6234" t="str">
        <f t="shared" si="85"/>
        <v/>
      </c>
      <c r="AH189" s="6732" t="str">
        <f t="shared" si="86"/>
        <v/>
      </c>
      <c r="AI189" s="6234" t="str">
        <f t="shared" si="87"/>
        <v/>
      </c>
      <c r="AJ189" s="6732" t="str">
        <f t="shared" si="88"/>
        <v/>
      </c>
      <c r="AK189" s="6732">
        <f t="shared" si="89"/>
        <v>0</v>
      </c>
      <c r="AL189" s="6230" t="str" cm="1">
        <f t="array" ref="AL189">IF(AF189&lt;&gt;"A","",IFERROR((IFERROR(_xlfn.XLOOKUP(TRIM(SUBSTITUTE(U189,CHAR(160)," ")),$BJ$15:$BJ$62,$BM$15:$BM$62),IFERROR(_xlfn.XLOOKUP(TRIM(SUBSTITUTE(U189,CHAR(160)," ")),$BK$15:$BK$62,$BM$15:$BM$62),_xlfn.XLOOKUP(TRIM(SUBSTITUTE(U189,CHAR(160)," ")),$BL$15:$BL$62,$BM$15:$BM$62))))*T189*IF(ISBLANK(Q189),1,Q189)+IFERROR(_xlfn.XLOOKUP("RECHERCHEX",TRIM(L189:AD189),L189:AD189),0),0))</f>
        <v/>
      </c>
      <c r="AM189" s="6229">
        <f t="shared" si="90"/>
        <v>0</v>
      </c>
      <c r="AN189" s="6857" t="str">
        <f t="shared" si="105"/>
        <v/>
      </c>
      <c r="AO189" s="392">
        <f t="shared" si="91"/>
        <v>0</v>
      </c>
      <c r="AP189" s="392">
        <f t="shared" si="92"/>
        <v>0</v>
      </c>
      <c r="AQ189" s="6191">
        <f t="shared" si="93"/>
        <v>0</v>
      </c>
      <c r="AR189" s="6859" t="str">
        <f t="shared" si="94"/>
        <v/>
      </c>
      <c r="AS189" s="6217"/>
      <c r="AT189" s="6217"/>
      <c r="AU189" s="6272">
        <f t="shared" si="95"/>
        <v>0</v>
      </c>
      <c r="AV189" s="6240">
        <f t="shared" si="96"/>
        <v>0</v>
      </c>
      <c r="AW189" s="6189" cm="1">
        <f t="array" ref="AW189">IF(AK189&lt;&gt;1,0,IF(OR(AU189="",N(AU189)&lt;=0.000000001),"",IF(OR(AO189="",N(AO189)&lt;=0.000000001),0,IF(ISNUMBER(AU189),IFERROR(_xlfn.LET(_xlpm.ai_test,TRIM(AJ189),_xlpm.r,IFERROR(_xlfn.XLOOKUP(_xlpm.ai_test,$BJ$15:$BJ$62,ROW($BJ$15:$BJ$62),0,1),IFERROR(_xlfn.XLOOKUP(_xlpm.ai_test,$BK$15:$BK$62,ROW($BK$15:$BK$62),0,1),_xlfn.XLOOKUP(_xlpm.ai_test,$BL$15:$BL$62,ROW($BL$15:$BL$62),0,1))),_xlpm.p,_xlpm.r-MIN(ROW($BJ$15:$BJ$62))+1,_xlpm.f,INDEX($BM$15:$BM$62,_xlpm.p),_xlpm.u,INDEX($BN$15:$BN$62,_xlpm.p),_xlpm.s,INDEX($BP$15:$BP$62,_xlpm.p),_xlpm.q,N(AU189)/_xlpm.f,IF(_xlpm.q&gt;=_xlpm.s,ROUND(_xlpm.q,1)&amp;" "&amp;_xlpm.ai_test&amp;" = "&amp;ROUND(_xlpm.q*_xlpm.f,1)&amp;" "&amp;_xlpm.u,ROUND(_xlpm.q,1)&amp;" "&amp;_xlpm.ai_test)),""),""))))</f>
        <v>0</v>
      </c>
      <c r="AX189" s="6218"/>
      <c r="AY189" s="6272">
        <f t="shared" si="97"/>
        <v>0</v>
      </c>
      <c r="AZ189" s="6240" t="str">
        <f t="shared" si="98"/>
        <v/>
      </c>
      <c r="BA189" s="6195">
        <f t="shared" si="103"/>
        <v>0</v>
      </c>
      <c r="BB189" s="6193" t="str">
        <f t="shared" si="99"/>
        <v/>
      </c>
      <c r="BC189" s="6219"/>
      <c r="BD189" s="6222">
        <f t="shared" si="104"/>
        <v>0</v>
      </c>
      <c r="BE189" s="6220" t="str">
        <f t="shared" si="100"/>
        <v/>
      </c>
      <c r="BF189" s="4" t="s">
        <v>1</v>
      </c>
      <c r="BG189" s="6196">
        <f t="shared" si="101"/>
        <v>0</v>
      </c>
      <c r="BH189" s="6197">
        <f t="shared" si="102"/>
        <v>0</v>
      </c>
      <c r="BI189"/>
      <c r="BR189"/>
      <c r="BS189"/>
      <c r="BT189"/>
      <c r="BU189"/>
      <c r="BV189"/>
      <c r="BW189"/>
      <c r="BX189" s="20" t="str">
        <f t="shared" si="81"/>
        <v>►</v>
      </c>
      <c r="BY189"/>
      <c r="BZ189"/>
      <c r="CA189"/>
      <c r="CB189"/>
      <c r="CC189"/>
      <c r="CD189" s="2"/>
      <c r="CE189"/>
      <c r="CF189"/>
      <c r="CG189"/>
      <c r="CH189"/>
      <c r="CI189"/>
      <c r="CJ189"/>
      <c r="CK189"/>
      <c r="CM189"/>
      <c r="CN189"/>
      <c r="CO189"/>
      <c r="CP189"/>
      <c r="CQ189"/>
      <c r="CR189"/>
      <c r="CS189"/>
      <c r="CU189"/>
      <c r="CV189"/>
      <c r="CW189"/>
      <c r="CX189"/>
      <c r="CY189"/>
      <c r="CZ189"/>
      <c r="DA189"/>
      <c r="DC189" s="5">
        <v>1</v>
      </c>
    </row>
    <row r="190" spans="1:107" s="1" customFormat="1" ht="21" customHeight="1">
      <c r="A190" s="5641" t="s">
        <v>1</v>
      </c>
      <c r="B190" s="5662" t="str">
        <f t="shared" si="80"/>
        <v>►</v>
      </c>
      <c r="C190" s="5825" cm="1">
        <f t="array" ref="C190">SUMPRODUCT(LEN(D190:J190))</f>
        <v>0</v>
      </c>
      <c r="D190" s="5275"/>
      <c r="E190" s="1361"/>
      <c r="F190" s="1361"/>
      <c r="G190" s="1361"/>
      <c r="H190" s="1361"/>
      <c r="I190" s="1361"/>
      <c r="J190" s="5276"/>
      <c r="K190" s="106" t="s">
        <v>1</v>
      </c>
      <c r="L190" s="1021" t="s">
        <v>26</v>
      </c>
      <c r="M190" s="6787"/>
      <c r="N190" s="6787"/>
      <c r="O190" s="6787"/>
      <c r="P190" s="6788"/>
      <c r="Q190" s="6789"/>
      <c r="R190" s="6790"/>
      <c r="S190" s="6786"/>
      <c r="T190" s="6791"/>
      <c r="U190" s="6844"/>
      <c r="V190" s="6791"/>
      <c r="W190" s="6785"/>
      <c r="X190" s="6868"/>
      <c r="Y190" s="6793"/>
      <c r="Z190" s="6794"/>
      <c r="AA190" s="6795"/>
      <c r="AB190" s="6796"/>
      <c r="AC190" s="6797"/>
      <c r="AD190" s="6798"/>
      <c r="AE190" s="4" t="s">
        <v>1</v>
      </c>
      <c r="AF190" s="6202" t="str">
        <f t="shared" si="84"/>
        <v>►</v>
      </c>
      <c r="AG190" s="6234" t="str">
        <f t="shared" si="85"/>
        <v/>
      </c>
      <c r="AH190" s="6732" t="str">
        <f t="shared" si="86"/>
        <v/>
      </c>
      <c r="AI190" s="6234" t="str">
        <f t="shared" si="87"/>
        <v/>
      </c>
      <c r="AJ190" s="6732" t="str">
        <f t="shared" si="88"/>
        <v/>
      </c>
      <c r="AK190" s="6732">
        <f t="shared" si="89"/>
        <v>0</v>
      </c>
      <c r="AL190" s="6230" t="str" cm="1">
        <f t="array" ref="AL190">IF(AF190&lt;&gt;"A","",IFERROR((IFERROR(_xlfn.XLOOKUP(TRIM(SUBSTITUTE(U190,CHAR(160)," ")),$BJ$15:$BJ$62,$BM$15:$BM$62),IFERROR(_xlfn.XLOOKUP(TRIM(SUBSTITUTE(U190,CHAR(160)," ")),$BK$15:$BK$62,$BM$15:$BM$62),_xlfn.XLOOKUP(TRIM(SUBSTITUTE(U190,CHAR(160)," ")),$BL$15:$BL$62,$BM$15:$BM$62))))*T190*IF(ISBLANK(Q190),1,Q190)+IFERROR(_xlfn.XLOOKUP("RECHERCHEX",TRIM(L190:AD190),L190:AD190),0),0))</f>
        <v/>
      </c>
      <c r="AM190" s="6229">
        <f t="shared" si="90"/>
        <v>0</v>
      </c>
      <c r="AN190" s="6857" t="str">
        <f t="shared" si="105"/>
        <v/>
      </c>
      <c r="AO190" s="392">
        <f t="shared" si="91"/>
        <v>0</v>
      </c>
      <c r="AP190" s="392">
        <f t="shared" si="92"/>
        <v>0</v>
      </c>
      <c r="AQ190" s="6190">
        <f t="shared" si="93"/>
        <v>0</v>
      </c>
      <c r="AR190" s="6858" t="str">
        <f t="shared" si="94"/>
        <v/>
      </c>
      <c r="AS190" s="6217"/>
      <c r="AT190" s="6217"/>
      <c r="AU190" s="6271">
        <f t="shared" si="95"/>
        <v>0</v>
      </c>
      <c r="AV190" s="6242">
        <f t="shared" si="96"/>
        <v>0</v>
      </c>
      <c r="AW190" s="6188" cm="1">
        <f t="array" ref="AW190">IF(AK190&lt;&gt;1,0,IF(OR(AU190="",N(AU190)&lt;=0.000000001),"",IF(OR(AO190="",N(AO190)&lt;=0.000000001),0,IF(ISNUMBER(AU190),IFERROR(_xlfn.LET(_xlpm.ai_test,TRIM(AJ190),_xlpm.r,IFERROR(_xlfn.XLOOKUP(_xlpm.ai_test,$BJ$15:$BJ$62,ROW($BJ$15:$BJ$62),0,1),IFERROR(_xlfn.XLOOKUP(_xlpm.ai_test,$BK$15:$BK$62,ROW($BK$15:$BK$62),0,1),_xlfn.XLOOKUP(_xlpm.ai_test,$BL$15:$BL$62,ROW($BL$15:$BL$62),0,1))),_xlpm.p,_xlpm.r-MIN(ROW($BJ$15:$BJ$62))+1,_xlpm.f,INDEX($BM$15:$BM$62,_xlpm.p),_xlpm.u,INDEX($BN$15:$BN$62,_xlpm.p),_xlpm.s,INDEX($BP$15:$BP$62,_xlpm.p),_xlpm.q,N(AU190)/_xlpm.f,IF(_xlpm.q&gt;=_xlpm.s,ROUND(_xlpm.q,1)&amp;" "&amp;_xlpm.ai_test&amp;" = "&amp;ROUND(_xlpm.q*_xlpm.f,1)&amp;" "&amp;_xlpm.u,ROUND(_xlpm.q,1)&amp;" "&amp;_xlpm.ai_test)),""),""))))</f>
        <v>0</v>
      </c>
      <c r="AX190" s="6218"/>
      <c r="AY190" s="6271">
        <f t="shared" si="97"/>
        <v>0</v>
      </c>
      <c r="AZ190" s="6242" t="str">
        <f t="shared" si="98"/>
        <v/>
      </c>
      <c r="BA190" s="6194">
        <f t="shared" si="103"/>
        <v>0</v>
      </c>
      <c r="BB190" s="6192" t="str">
        <f t="shared" si="99"/>
        <v/>
      </c>
      <c r="BC190" s="6219"/>
      <c r="BD190" s="6221">
        <f t="shared" si="104"/>
        <v>0</v>
      </c>
      <c r="BE190" s="6220" t="str">
        <f t="shared" si="100"/>
        <v/>
      </c>
      <c r="BF190" s="4" t="s">
        <v>1</v>
      </c>
      <c r="BG190" s="6196">
        <f t="shared" si="101"/>
        <v>0</v>
      </c>
      <c r="BH190" s="6197">
        <f t="shared" si="102"/>
        <v>0</v>
      </c>
      <c r="BI190"/>
      <c r="BR190"/>
      <c r="BS190"/>
      <c r="BT190"/>
      <c r="BU190"/>
      <c r="BV190"/>
      <c r="BW190"/>
      <c r="BX190" s="20" t="str">
        <f t="shared" si="81"/>
        <v>►</v>
      </c>
      <c r="BY190"/>
      <c r="BZ190"/>
      <c r="CA190"/>
      <c r="CB190"/>
      <c r="CC190"/>
      <c r="CD190" s="2"/>
      <c r="CE190"/>
      <c r="CF190"/>
      <c r="CG190"/>
      <c r="CH190"/>
      <c r="CI190"/>
      <c r="CJ190"/>
      <c r="CK190"/>
      <c r="CM190"/>
      <c r="CN190"/>
      <c r="CO190"/>
      <c r="CP190"/>
      <c r="CQ190"/>
      <c r="CR190"/>
      <c r="CS190"/>
      <c r="CU190"/>
      <c r="CV190"/>
      <c r="CW190"/>
      <c r="CX190"/>
      <c r="CY190"/>
      <c r="CZ190"/>
      <c r="DA190"/>
      <c r="DC190" s="5">
        <v>1</v>
      </c>
    </row>
    <row r="191" spans="1:107" s="1" customFormat="1" ht="21" customHeight="1">
      <c r="A191" s="5641" t="s">
        <v>1</v>
      </c>
      <c r="B191" s="5662" t="str">
        <f t="shared" si="80"/>
        <v>►</v>
      </c>
      <c r="C191" s="5825" cm="1">
        <f t="array" ref="C191">SUMPRODUCT(LEN(D191:J191))</f>
        <v>0</v>
      </c>
      <c r="D191" s="5275"/>
      <c r="E191" s="1361"/>
      <c r="F191" s="1361"/>
      <c r="G191" s="1361"/>
      <c r="H191" s="1361"/>
      <c r="I191" s="1361"/>
      <c r="J191" s="5276"/>
      <c r="K191" s="106"/>
      <c r="L191" s="1021" t="s">
        <v>26</v>
      </c>
      <c r="M191" s="6787"/>
      <c r="N191" s="6787"/>
      <c r="O191" s="6787"/>
      <c r="P191" s="6788"/>
      <c r="Q191" s="6789"/>
      <c r="R191" s="6790"/>
      <c r="S191" s="6786"/>
      <c r="T191" s="6791"/>
      <c r="U191" s="6844"/>
      <c r="V191" s="6791"/>
      <c r="W191" s="6785"/>
      <c r="X191" s="6868"/>
      <c r="Y191" s="6793"/>
      <c r="Z191" s="6794"/>
      <c r="AA191" s="6795"/>
      <c r="AB191" s="6796"/>
      <c r="AC191" s="6797"/>
      <c r="AD191" s="6798"/>
      <c r="AE191" s="4" t="s">
        <v>1</v>
      </c>
      <c r="AF191" s="6202" t="str">
        <f t="shared" si="84"/>
        <v>►</v>
      </c>
      <c r="AG191" s="6234" t="str">
        <f t="shared" si="85"/>
        <v/>
      </c>
      <c r="AH191" s="6732" t="str">
        <f t="shared" si="86"/>
        <v/>
      </c>
      <c r="AI191" s="6234" t="str">
        <f t="shared" si="87"/>
        <v/>
      </c>
      <c r="AJ191" s="6732" t="str">
        <f t="shared" si="88"/>
        <v/>
      </c>
      <c r="AK191" s="6732">
        <f t="shared" si="89"/>
        <v>0</v>
      </c>
      <c r="AL191" s="6230" t="str" cm="1">
        <f t="array" ref="AL191">IF(AF191&lt;&gt;"A","",IFERROR((IFERROR(_xlfn.XLOOKUP(TRIM(SUBSTITUTE(U191,CHAR(160)," ")),$BJ$15:$BJ$62,$BM$15:$BM$62),IFERROR(_xlfn.XLOOKUP(TRIM(SUBSTITUTE(U191,CHAR(160)," ")),$BK$15:$BK$62,$BM$15:$BM$62),_xlfn.XLOOKUP(TRIM(SUBSTITUTE(U191,CHAR(160)," ")),$BL$15:$BL$62,$BM$15:$BM$62))))*T191*IF(ISBLANK(Q191),1,Q191)+IFERROR(_xlfn.XLOOKUP("RECHERCHEX",TRIM(L191:AD191),L191:AD191),0),0))</f>
        <v/>
      </c>
      <c r="AM191" s="6229">
        <f t="shared" si="90"/>
        <v>0</v>
      </c>
      <c r="AN191" s="6857" t="str">
        <f t="shared" si="105"/>
        <v/>
      </c>
      <c r="AO191" s="392">
        <f t="shared" si="91"/>
        <v>0</v>
      </c>
      <c r="AP191" s="392">
        <f t="shared" si="92"/>
        <v>0</v>
      </c>
      <c r="AQ191" s="6191">
        <f t="shared" si="93"/>
        <v>0</v>
      </c>
      <c r="AR191" s="6859" t="str">
        <f t="shared" si="94"/>
        <v/>
      </c>
      <c r="AS191" s="6217"/>
      <c r="AT191" s="6217"/>
      <c r="AU191" s="6272">
        <f t="shared" si="95"/>
        <v>0</v>
      </c>
      <c r="AV191" s="6240">
        <f t="shared" si="96"/>
        <v>0</v>
      </c>
      <c r="AW191" s="6189" cm="1">
        <f t="array" ref="AW191">IF(AK191&lt;&gt;1,0,IF(OR(AU191="",N(AU191)&lt;=0.000000001),"",IF(OR(AO191="",N(AO191)&lt;=0.000000001),0,IF(ISNUMBER(AU191),IFERROR(_xlfn.LET(_xlpm.ai_test,TRIM(AJ191),_xlpm.r,IFERROR(_xlfn.XLOOKUP(_xlpm.ai_test,$BJ$15:$BJ$62,ROW($BJ$15:$BJ$62),0,1),IFERROR(_xlfn.XLOOKUP(_xlpm.ai_test,$BK$15:$BK$62,ROW($BK$15:$BK$62),0,1),_xlfn.XLOOKUP(_xlpm.ai_test,$BL$15:$BL$62,ROW($BL$15:$BL$62),0,1))),_xlpm.p,_xlpm.r-MIN(ROW($BJ$15:$BJ$62))+1,_xlpm.f,INDEX($BM$15:$BM$62,_xlpm.p),_xlpm.u,INDEX($BN$15:$BN$62,_xlpm.p),_xlpm.s,INDEX($BP$15:$BP$62,_xlpm.p),_xlpm.q,N(AU191)/_xlpm.f,IF(_xlpm.q&gt;=_xlpm.s,ROUND(_xlpm.q,1)&amp;" "&amp;_xlpm.ai_test&amp;" = "&amp;ROUND(_xlpm.q*_xlpm.f,1)&amp;" "&amp;_xlpm.u,ROUND(_xlpm.q,1)&amp;" "&amp;_xlpm.ai_test)),""),""))))</f>
        <v>0</v>
      </c>
      <c r="AX191" s="6218"/>
      <c r="AY191" s="6272">
        <f t="shared" si="97"/>
        <v>0</v>
      </c>
      <c r="AZ191" s="6240" t="str">
        <f t="shared" si="98"/>
        <v/>
      </c>
      <c r="BA191" s="6195">
        <f t="shared" si="103"/>
        <v>0</v>
      </c>
      <c r="BB191" s="6193" t="str">
        <f t="shared" si="99"/>
        <v/>
      </c>
      <c r="BC191" s="6219"/>
      <c r="BD191" s="6222">
        <f t="shared" si="104"/>
        <v>0</v>
      </c>
      <c r="BE191" s="6220" t="str">
        <f t="shared" si="100"/>
        <v/>
      </c>
      <c r="BF191" s="4" t="s">
        <v>1</v>
      </c>
      <c r="BG191" s="6196">
        <f t="shared" si="101"/>
        <v>0</v>
      </c>
      <c r="BH191" s="6197">
        <f t="shared" si="102"/>
        <v>0</v>
      </c>
      <c r="BI191"/>
      <c r="BR191"/>
      <c r="BS191"/>
      <c r="BT191"/>
      <c r="BU191"/>
      <c r="BV191"/>
      <c r="BW191"/>
      <c r="BX191" s="20" t="str">
        <f t="shared" si="81"/>
        <v>►</v>
      </c>
      <c r="BY191"/>
      <c r="BZ191"/>
      <c r="CA191"/>
      <c r="CB191"/>
      <c r="CC191"/>
      <c r="CD191" s="2"/>
      <c r="CE191"/>
      <c r="CF191"/>
      <c r="CG191"/>
      <c r="CH191"/>
      <c r="CI191"/>
      <c r="CJ191"/>
      <c r="CK191"/>
      <c r="CM191"/>
      <c r="CN191"/>
      <c r="CO191"/>
      <c r="CP191"/>
      <c r="CQ191"/>
      <c r="CR191"/>
      <c r="CS191"/>
      <c r="CU191"/>
      <c r="CV191"/>
      <c r="CW191"/>
      <c r="CX191"/>
      <c r="CY191"/>
      <c r="CZ191"/>
      <c r="DA191"/>
      <c r="DC191" s="5">
        <v>1</v>
      </c>
    </row>
    <row r="192" spans="1:107" s="1" customFormat="1" ht="21" customHeight="1">
      <c r="A192" s="5641" t="s">
        <v>1</v>
      </c>
      <c r="B192" s="5662" t="str">
        <f t="shared" si="80"/>
        <v>►</v>
      </c>
      <c r="C192" s="5825" cm="1">
        <f t="array" ref="C192">SUMPRODUCT(LEN(D192:J192))</f>
        <v>0</v>
      </c>
      <c r="D192" s="5275"/>
      <c r="E192" s="1361"/>
      <c r="F192" s="1361"/>
      <c r="G192" s="1361"/>
      <c r="H192" s="1361"/>
      <c r="I192" s="1361"/>
      <c r="J192" s="5276"/>
      <c r="K192" s="106"/>
      <c r="L192" s="1021" t="s">
        <v>26</v>
      </c>
      <c r="M192" s="6787"/>
      <c r="N192" s="6787"/>
      <c r="O192" s="6787"/>
      <c r="P192" s="6788"/>
      <c r="Q192" s="6789"/>
      <c r="R192" s="6790"/>
      <c r="S192" s="6786"/>
      <c r="T192" s="6791"/>
      <c r="U192" s="6844"/>
      <c r="V192" s="6791"/>
      <c r="W192" s="6785"/>
      <c r="X192" s="6868"/>
      <c r="Y192" s="6793"/>
      <c r="Z192" s="6794"/>
      <c r="AA192" s="6795"/>
      <c r="AB192" s="6796"/>
      <c r="AC192" s="6797"/>
      <c r="AD192" s="6798"/>
      <c r="AE192" s="4" t="s">
        <v>1</v>
      </c>
      <c r="AF192" s="6202" t="str">
        <f t="shared" si="84"/>
        <v>►</v>
      </c>
      <c r="AG192" s="6234" t="str">
        <f t="shared" si="85"/>
        <v/>
      </c>
      <c r="AH192" s="6732" t="str">
        <f t="shared" si="86"/>
        <v/>
      </c>
      <c r="AI192" s="6234" t="str">
        <f t="shared" si="87"/>
        <v/>
      </c>
      <c r="AJ192" s="6732" t="str">
        <f t="shared" si="88"/>
        <v/>
      </c>
      <c r="AK192" s="6732">
        <f t="shared" si="89"/>
        <v>0</v>
      </c>
      <c r="AL192" s="6230" t="str" cm="1">
        <f t="array" ref="AL192">IF(AF192&lt;&gt;"A","",IFERROR((IFERROR(_xlfn.XLOOKUP(TRIM(SUBSTITUTE(U192,CHAR(160)," ")),$BJ$15:$BJ$62,$BM$15:$BM$62),IFERROR(_xlfn.XLOOKUP(TRIM(SUBSTITUTE(U192,CHAR(160)," ")),$BK$15:$BK$62,$BM$15:$BM$62),_xlfn.XLOOKUP(TRIM(SUBSTITUTE(U192,CHAR(160)," ")),$BL$15:$BL$62,$BM$15:$BM$62))))*T192*IF(ISBLANK(Q192),1,Q192)+IFERROR(_xlfn.XLOOKUP("RECHERCHEX",TRIM(L192:AD192),L192:AD192),0),0))</f>
        <v/>
      </c>
      <c r="AM192" s="6229">
        <f t="shared" si="90"/>
        <v>0</v>
      </c>
      <c r="AN192" s="6857" t="str">
        <f t="shared" si="105"/>
        <v/>
      </c>
      <c r="AO192" s="392">
        <f t="shared" si="91"/>
        <v>0</v>
      </c>
      <c r="AP192" s="392">
        <f t="shared" si="92"/>
        <v>0</v>
      </c>
      <c r="AQ192" s="6190">
        <f t="shared" si="93"/>
        <v>0</v>
      </c>
      <c r="AR192" s="6858" t="str">
        <f t="shared" si="94"/>
        <v/>
      </c>
      <c r="AS192" s="6217"/>
      <c r="AT192" s="6217"/>
      <c r="AU192" s="6271">
        <f t="shared" si="95"/>
        <v>0</v>
      </c>
      <c r="AV192" s="6242">
        <f t="shared" si="96"/>
        <v>0</v>
      </c>
      <c r="AW192" s="6188" cm="1">
        <f t="array" ref="AW192">IF(AK192&lt;&gt;1,0,IF(OR(AU192="",N(AU192)&lt;=0.000000001),"",IF(OR(AO192="",N(AO192)&lt;=0.000000001),0,IF(ISNUMBER(AU192),IFERROR(_xlfn.LET(_xlpm.ai_test,TRIM(AJ192),_xlpm.r,IFERROR(_xlfn.XLOOKUP(_xlpm.ai_test,$BJ$15:$BJ$62,ROW($BJ$15:$BJ$62),0,1),IFERROR(_xlfn.XLOOKUP(_xlpm.ai_test,$BK$15:$BK$62,ROW($BK$15:$BK$62),0,1),_xlfn.XLOOKUP(_xlpm.ai_test,$BL$15:$BL$62,ROW($BL$15:$BL$62),0,1))),_xlpm.p,_xlpm.r-MIN(ROW($BJ$15:$BJ$62))+1,_xlpm.f,INDEX($BM$15:$BM$62,_xlpm.p),_xlpm.u,INDEX($BN$15:$BN$62,_xlpm.p),_xlpm.s,INDEX($BP$15:$BP$62,_xlpm.p),_xlpm.q,N(AU192)/_xlpm.f,IF(_xlpm.q&gt;=_xlpm.s,ROUND(_xlpm.q,1)&amp;" "&amp;_xlpm.ai_test&amp;" = "&amp;ROUND(_xlpm.q*_xlpm.f,1)&amp;" "&amp;_xlpm.u,ROUND(_xlpm.q,1)&amp;" "&amp;_xlpm.ai_test)),""),""))))</f>
        <v>0</v>
      </c>
      <c r="AX192" s="6218"/>
      <c r="AY192" s="6271">
        <f t="shared" si="97"/>
        <v>0</v>
      </c>
      <c r="AZ192" s="6242" t="str">
        <f t="shared" si="98"/>
        <v/>
      </c>
      <c r="BA192" s="6194">
        <f t="shared" si="103"/>
        <v>0</v>
      </c>
      <c r="BB192" s="6192" t="str">
        <f t="shared" si="99"/>
        <v/>
      </c>
      <c r="BC192" s="6219"/>
      <c r="BD192" s="6221">
        <f t="shared" si="104"/>
        <v>0</v>
      </c>
      <c r="BE192" s="6220" t="str">
        <f t="shared" si="100"/>
        <v/>
      </c>
      <c r="BF192" s="4" t="s">
        <v>1</v>
      </c>
      <c r="BG192" s="6196">
        <f t="shared" si="101"/>
        <v>0</v>
      </c>
      <c r="BH192" s="6197">
        <f t="shared" si="102"/>
        <v>0</v>
      </c>
      <c r="BI192"/>
      <c r="BR192"/>
      <c r="BS192"/>
      <c r="BT192"/>
      <c r="BU192"/>
      <c r="BV192"/>
      <c r="BW192"/>
      <c r="BX192" s="20" t="str">
        <f t="shared" si="81"/>
        <v>►</v>
      </c>
      <c r="BY192"/>
      <c r="BZ192"/>
      <c r="CA192"/>
      <c r="CB192"/>
      <c r="CC192"/>
      <c r="CD192" s="2"/>
      <c r="CE192"/>
      <c r="CF192"/>
      <c r="CG192"/>
      <c r="CH192"/>
      <c r="CI192"/>
      <c r="CJ192"/>
      <c r="CK192"/>
      <c r="CM192"/>
      <c r="CN192"/>
      <c r="CO192"/>
      <c r="CP192"/>
      <c r="CQ192"/>
      <c r="CR192"/>
      <c r="CS192"/>
      <c r="CU192"/>
      <c r="CV192"/>
      <c r="CW192"/>
      <c r="CX192"/>
      <c r="CY192"/>
      <c r="CZ192"/>
      <c r="DA192"/>
      <c r="DC192" s="5">
        <v>1</v>
      </c>
    </row>
    <row r="193" spans="1:107" s="1" customFormat="1" ht="21" customHeight="1">
      <c r="A193" s="5641" t="s">
        <v>1</v>
      </c>
      <c r="B193" s="5662" t="str">
        <f t="shared" si="80"/>
        <v>►</v>
      </c>
      <c r="C193" s="5825" cm="1">
        <f t="array" ref="C193">SUMPRODUCT(LEN(D193:J193))</f>
        <v>0</v>
      </c>
      <c r="D193" s="5275"/>
      <c r="E193" s="1361"/>
      <c r="F193" s="1361"/>
      <c r="G193" s="1361"/>
      <c r="H193" s="1361"/>
      <c r="I193" s="1361"/>
      <c r="J193" s="5276"/>
      <c r="K193" s="106"/>
      <c r="L193" s="1021" t="s">
        <v>26</v>
      </c>
      <c r="M193" s="6787"/>
      <c r="N193" s="6787"/>
      <c r="O193" s="6787"/>
      <c r="P193" s="6788"/>
      <c r="Q193" s="6789"/>
      <c r="R193" s="6790"/>
      <c r="S193" s="6786"/>
      <c r="T193" s="6791"/>
      <c r="U193" s="6844"/>
      <c r="V193" s="6791"/>
      <c r="W193" s="6785"/>
      <c r="X193" s="6868"/>
      <c r="Y193" s="6793"/>
      <c r="Z193" s="6794"/>
      <c r="AA193" s="6795"/>
      <c r="AB193" s="6796"/>
      <c r="AC193" s="6797"/>
      <c r="AD193" s="6798"/>
      <c r="AE193" s="4" t="s">
        <v>1</v>
      </c>
      <c r="AF193" s="6202" t="str">
        <f t="shared" si="84"/>
        <v>►</v>
      </c>
      <c r="AG193" s="6234" t="str">
        <f t="shared" si="85"/>
        <v/>
      </c>
      <c r="AH193" s="6732" t="str">
        <f t="shared" si="86"/>
        <v/>
      </c>
      <c r="AI193" s="6234" t="str">
        <f t="shared" si="87"/>
        <v/>
      </c>
      <c r="AJ193" s="6732" t="str">
        <f t="shared" si="88"/>
        <v/>
      </c>
      <c r="AK193" s="6732">
        <f t="shared" si="89"/>
        <v>0</v>
      </c>
      <c r="AL193" s="6230" t="str" cm="1">
        <f t="array" ref="AL193">IF(AF193&lt;&gt;"A","",IFERROR((IFERROR(_xlfn.XLOOKUP(TRIM(SUBSTITUTE(U193,CHAR(160)," ")),$BJ$15:$BJ$62,$BM$15:$BM$62),IFERROR(_xlfn.XLOOKUP(TRIM(SUBSTITUTE(U193,CHAR(160)," ")),$BK$15:$BK$62,$BM$15:$BM$62),_xlfn.XLOOKUP(TRIM(SUBSTITUTE(U193,CHAR(160)," ")),$BL$15:$BL$62,$BM$15:$BM$62))))*T193*IF(ISBLANK(Q193),1,Q193)+IFERROR(_xlfn.XLOOKUP("RECHERCHEX",TRIM(L193:AD193),L193:AD193),0),0))</f>
        <v/>
      </c>
      <c r="AM193" s="6229">
        <f t="shared" si="90"/>
        <v>0</v>
      </c>
      <c r="AN193" s="6857" t="str">
        <f t="shared" si="105"/>
        <v/>
      </c>
      <c r="AO193" s="392">
        <f t="shared" si="91"/>
        <v>0</v>
      </c>
      <c r="AP193" s="392">
        <f t="shared" si="92"/>
        <v>0</v>
      </c>
      <c r="AQ193" s="6191">
        <f t="shared" si="93"/>
        <v>0</v>
      </c>
      <c r="AR193" s="6859" t="str">
        <f t="shared" si="94"/>
        <v/>
      </c>
      <c r="AS193" s="6217"/>
      <c r="AT193" s="6217"/>
      <c r="AU193" s="6272">
        <f t="shared" si="95"/>
        <v>0</v>
      </c>
      <c r="AV193" s="6240">
        <f t="shared" si="96"/>
        <v>0</v>
      </c>
      <c r="AW193" s="6189" cm="1">
        <f t="array" ref="AW193">IF(AK193&lt;&gt;1,0,IF(OR(AU193="",N(AU193)&lt;=0.000000001),"",IF(OR(AO193="",N(AO193)&lt;=0.000000001),0,IF(ISNUMBER(AU193),IFERROR(_xlfn.LET(_xlpm.ai_test,TRIM(AJ193),_xlpm.r,IFERROR(_xlfn.XLOOKUP(_xlpm.ai_test,$BJ$15:$BJ$62,ROW($BJ$15:$BJ$62),0,1),IFERROR(_xlfn.XLOOKUP(_xlpm.ai_test,$BK$15:$BK$62,ROW($BK$15:$BK$62),0,1),_xlfn.XLOOKUP(_xlpm.ai_test,$BL$15:$BL$62,ROW($BL$15:$BL$62),0,1))),_xlpm.p,_xlpm.r-MIN(ROW($BJ$15:$BJ$62))+1,_xlpm.f,INDEX($BM$15:$BM$62,_xlpm.p),_xlpm.u,INDEX($BN$15:$BN$62,_xlpm.p),_xlpm.s,INDEX($BP$15:$BP$62,_xlpm.p),_xlpm.q,N(AU193)/_xlpm.f,IF(_xlpm.q&gt;=_xlpm.s,ROUND(_xlpm.q,1)&amp;" "&amp;_xlpm.ai_test&amp;" = "&amp;ROUND(_xlpm.q*_xlpm.f,1)&amp;" "&amp;_xlpm.u,ROUND(_xlpm.q,1)&amp;" "&amp;_xlpm.ai_test)),""),""))))</f>
        <v>0</v>
      </c>
      <c r="AX193" s="6218"/>
      <c r="AY193" s="6272">
        <f t="shared" si="97"/>
        <v>0</v>
      </c>
      <c r="AZ193" s="6240" t="str">
        <f t="shared" si="98"/>
        <v/>
      </c>
      <c r="BA193" s="6195">
        <f t="shared" si="103"/>
        <v>0</v>
      </c>
      <c r="BB193" s="6193" t="str">
        <f t="shared" si="99"/>
        <v/>
      </c>
      <c r="BC193" s="6219"/>
      <c r="BD193" s="6222">
        <f t="shared" si="104"/>
        <v>0</v>
      </c>
      <c r="BE193" s="6220" t="str">
        <f t="shared" si="100"/>
        <v/>
      </c>
      <c r="BF193" s="4" t="s">
        <v>1</v>
      </c>
      <c r="BG193" s="6196">
        <f t="shared" si="101"/>
        <v>0</v>
      </c>
      <c r="BH193" s="6197">
        <f t="shared" si="102"/>
        <v>0</v>
      </c>
      <c r="BI193"/>
      <c r="BR193"/>
      <c r="BS193"/>
      <c r="BT193"/>
      <c r="BU193"/>
      <c r="BV193"/>
      <c r="BW193"/>
      <c r="BX193" s="20" t="str">
        <f t="shared" si="81"/>
        <v>►</v>
      </c>
      <c r="BY193"/>
      <c r="BZ193"/>
      <c r="CA193"/>
      <c r="CB193"/>
      <c r="CC193"/>
      <c r="CD193" s="2"/>
      <c r="CE193"/>
      <c r="CF193"/>
      <c r="CG193"/>
      <c r="CH193"/>
      <c r="CI193"/>
      <c r="CJ193"/>
      <c r="CK193"/>
      <c r="CM193"/>
      <c r="CN193"/>
      <c r="CO193"/>
      <c r="CP193"/>
      <c r="CQ193"/>
      <c r="CR193"/>
      <c r="CS193"/>
      <c r="CU193"/>
      <c r="CV193"/>
      <c r="CW193"/>
      <c r="CX193"/>
      <c r="CY193"/>
      <c r="CZ193"/>
      <c r="DA193"/>
      <c r="DC193" s="5">
        <v>1</v>
      </c>
    </row>
    <row r="194" spans="1:107" s="1" customFormat="1" ht="21" customHeight="1">
      <c r="A194" s="5641" t="s">
        <v>1</v>
      </c>
      <c r="B194" s="5662" t="str">
        <f t="shared" si="80"/>
        <v>►</v>
      </c>
      <c r="C194" s="5825" cm="1">
        <f t="array" ref="C194">SUMPRODUCT(LEN(D194:J194))</f>
        <v>0</v>
      </c>
      <c r="D194" s="5275"/>
      <c r="E194" s="1361"/>
      <c r="F194" s="1361"/>
      <c r="G194" s="1361"/>
      <c r="H194" s="1361"/>
      <c r="I194" s="1361"/>
      <c r="J194" s="5276"/>
      <c r="K194" s="106"/>
      <c r="L194" s="1021" t="s">
        <v>26</v>
      </c>
      <c r="M194" s="6787"/>
      <c r="N194" s="6787"/>
      <c r="O194" s="6787"/>
      <c r="P194" s="6788"/>
      <c r="Q194" s="6789"/>
      <c r="R194" s="6790"/>
      <c r="S194" s="6786"/>
      <c r="T194" s="6791"/>
      <c r="U194" s="6844"/>
      <c r="V194" s="6791"/>
      <c r="W194" s="6785"/>
      <c r="X194" s="6868"/>
      <c r="Y194" s="6793"/>
      <c r="Z194" s="6794"/>
      <c r="AA194" s="6795"/>
      <c r="AB194" s="6796"/>
      <c r="AC194" s="6797"/>
      <c r="AD194" s="6798"/>
      <c r="AE194" s="4" t="s">
        <v>1</v>
      </c>
      <c r="AF194" s="6202" t="str">
        <f t="shared" si="84"/>
        <v>►</v>
      </c>
      <c r="AG194" s="6234" t="str">
        <f t="shared" si="85"/>
        <v/>
      </c>
      <c r="AH194" s="6732" t="str">
        <f t="shared" si="86"/>
        <v/>
      </c>
      <c r="AI194" s="6234" t="str">
        <f t="shared" si="87"/>
        <v/>
      </c>
      <c r="AJ194" s="6732" t="str">
        <f t="shared" si="88"/>
        <v/>
      </c>
      <c r="AK194" s="6732">
        <f t="shared" si="89"/>
        <v>0</v>
      </c>
      <c r="AL194" s="6230" t="str" cm="1">
        <f t="array" ref="AL194">IF(AF194&lt;&gt;"A","",IFERROR((IFERROR(_xlfn.XLOOKUP(TRIM(SUBSTITUTE(U194,CHAR(160)," ")),$BJ$15:$BJ$62,$BM$15:$BM$62),IFERROR(_xlfn.XLOOKUP(TRIM(SUBSTITUTE(U194,CHAR(160)," ")),$BK$15:$BK$62,$BM$15:$BM$62),_xlfn.XLOOKUP(TRIM(SUBSTITUTE(U194,CHAR(160)," ")),$BL$15:$BL$62,$BM$15:$BM$62))))*T194*IF(ISBLANK(Q194),1,Q194)+IFERROR(_xlfn.XLOOKUP("RECHERCHEX",TRIM(L194:AD194),L194:AD194),0),0))</f>
        <v/>
      </c>
      <c r="AM194" s="6229">
        <f t="shared" si="90"/>
        <v>0</v>
      </c>
      <c r="AN194" s="6857" t="str">
        <f t="shared" si="105"/>
        <v/>
      </c>
      <c r="AO194" s="392">
        <f t="shared" si="91"/>
        <v>0</v>
      </c>
      <c r="AP194" s="392">
        <f t="shared" si="92"/>
        <v>0</v>
      </c>
      <c r="AQ194" s="6190">
        <f t="shared" si="93"/>
        <v>0</v>
      </c>
      <c r="AR194" s="6858" t="str">
        <f t="shared" si="94"/>
        <v/>
      </c>
      <c r="AS194" s="6217"/>
      <c r="AT194" s="6217"/>
      <c r="AU194" s="6271">
        <f t="shared" si="95"/>
        <v>0</v>
      </c>
      <c r="AV194" s="6242">
        <f t="shared" si="96"/>
        <v>0</v>
      </c>
      <c r="AW194" s="6188" cm="1">
        <f t="array" ref="AW194">IF(AK194&lt;&gt;1,0,IF(OR(AU194="",N(AU194)&lt;=0.000000001),"",IF(OR(AO194="",N(AO194)&lt;=0.000000001),0,IF(ISNUMBER(AU194),IFERROR(_xlfn.LET(_xlpm.ai_test,TRIM(AJ194),_xlpm.r,IFERROR(_xlfn.XLOOKUP(_xlpm.ai_test,$BJ$15:$BJ$62,ROW($BJ$15:$BJ$62),0,1),IFERROR(_xlfn.XLOOKUP(_xlpm.ai_test,$BK$15:$BK$62,ROW($BK$15:$BK$62),0,1),_xlfn.XLOOKUP(_xlpm.ai_test,$BL$15:$BL$62,ROW($BL$15:$BL$62),0,1))),_xlpm.p,_xlpm.r-MIN(ROW($BJ$15:$BJ$62))+1,_xlpm.f,INDEX($BM$15:$BM$62,_xlpm.p),_xlpm.u,INDEX($BN$15:$BN$62,_xlpm.p),_xlpm.s,INDEX($BP$15:$BP$62,_xlpm.p),_xlpm.q,N(AU194)/_xlpm.f,IF(_xlpm.q&gt;=_xlpm.s,ROUND(_xlpm.q,1)&amp;" "&amp;_xlpm.ai_test&amp;" = "&amp;ROUND(_xlpm.q*_xlpm.f,1)&amp;" "&amp;_xlpm.u,ROUND(_xlpm.q,1)&amp;" "&amp;_xlpm.ai_test)),""),""))))</f>
        <v>0</v>
      </c>
      <c r="AX194" s="6218"/>
      <c r="AY194" s="6271">
        <f t="shared" si="97"/>
        <v>0</v>
      </c>
      <c r="AZ194" s="6242" t="str">
        <f t="shared" si="98"/>
        <v/>
      </c>
      <c r="BA194" s="6194">
        <f t="shared" si="103"/>
        <v>0</v>
      </c>
      <c r="BB194" s="6192" t="str">
        <f t="shared" si="99"/>
        <v/>
      </c>
      <c r="BC194" s="6219"/>
      <c r="BD194" s="6221">
        <f t="shared" si="104"/>
        <v>0</v>
      </c>
      <c r="BE194" s="6220" t="str">
        <f t="shared" si="100"/>
        <v/>
      </c>
      <c r="BF194" s="4" t="s">
        <v>1</v>
      </c>
      <c r="BG194" s="6196">
        <f t="shared" si="101"/>
        <v>0</v>
      </c>
      <c r="BH194" s="6197">
        <f t="shared" si="102"/>
        <v>0</v>
      </c>
      <c r="BI194"/>
      <c r="BR194"/>
      <c r="BS194"/>
      <c r="BT194"/>
      <c r="BU194"/>
      <c r="BV194"/>
      <c r="BW194"/>
      <c r="BX194" s="20" t="str">
        <f t="shared" si="81"/>
        <v>►</v>
      </c>
      <c r="BY194"/>
      <c r="BZ194"/>
      <c r="CA194"/>
      <c r="CB194"/>
      <c r="CC194"/>
      <c r="CD194" s="2"/>
      <c r="CE194"/>
      <c r="CF194"/>
      <c r="CG194"/>
      <c r="CH194"/>
      <c r="CI194"/>
      <c r="CJ194"/>
      <c r="CK194"/>
      <c r="CM194"/>
      <c r="CN194"/>
      <c r="CO194"/>
      <c r="CP194"/>
      <c r="CQ194"/>
      <c r="CR194"/>
      <c r="CS194"/>
      <c r="CU194"/>
      <c r="CV194"/>
      <c r="CW194"/>
      <c r="CX194"/>
      <c r="CY194"/>
      <c r="CZ194"/>
      <c r="DA194"/>
      <c r="DC194" s="5">
        <v>1</v>
      </c>
    </row>
    <row r="195" spans="1:107" s="1" customFormat="1" ht="21" customHeight="1">
      <c r="A195" s="5641" t="s">
        <v>1</v>
      </c>
      <c r="B195" s="5662" t="str">
        <f t="shared" si="80"/>
        <v>►</v>
      </c>
      <c r="C195" s="5825" cm="1">
        <f t="array" ref="C195">SUMPRODUCT(LEN(D195:J195))</f>
        <v>0</v>
      </c>
      <c r="D195" s="5275"/>
      <c r="E195" s="1361"/>
      <c r="F195" s="1361"/>
      <c r="G195" s="1361"/>
      <c r="H195" s="1361"/>
      <c r="I195" s="1361"/>
      <c r="J195" s="5276"/>
      <c r="K195" s="106"/>
      <c r="L195" s="1021" t="s">
        <v>26</v>
      </c>
      <c r="M195" s="6787"/>
      <c r="N195" s="6787"/>
      <c r="O195" s="6787"/>
      <c r="P195" s="6788"/>
      <c r="Q195" s="6789"/>
      <c r="R195" s="6790"/>
      <c r="S195" s="6786"/>
      <c r="T195" s="6791"/>
      <c r="U195" s="6844"/>
      <c r="V195" s="6791"/>
      <c r="W195" s="6785"/>
      <c r="X195" s="6868"/>
      <c r="Y195" s="6793"/>
      <c r="Z195" s="6794"/>
      <c r="AA195" s="6795"/>
      <c r="AB195" s="6796"/>
      <c r="AC195" s="6797"/>
      <c r="AD195" s="6798"/>
      <c r="AE195" s="4" t="s">
        <v>1</v>
      </c>
      <c r="AF195" s="6202" t="str">
        <f t="shared" si="84"/>
        <v>►</v>
      </c>
      <c r="AG195" s="6234" t="str">
        <f t="shared" si="85"/>
        <v/>
      </c>
      <c r="AH195" s="6732" t="str">
        <f t="shared" si="86"/>
        <v/>
      </c>
      <c r="AI195" s="6234" t="str">
        <f t="shared" si="87"/>
        <v/>
      </c>
      <c r="AJ195" s="6732" t="str">
        <f t="shared" si="88"/>
        <v/>
      </c>
      <c r="AK195" s="6732">
        <f t="shared" si="89"/>
        <v>0</v>
      </c>
      <c r="AL195" s="6230" t="str" cm="1">
        <f t="array" ref="AL195">IF(AF195&lt;&gt;"A","",IFERROR((IFERROR(_xlfn.XLOOKUP(TRIM(SUBSTITUTE(U195,CHAR(160)," ")),$BJ$15:$BJ$62,$BM$15:$BM$62),IFERROR(_xlfn.XLOOKUP(TRIM(SUBSTITUTE(U195,CHAR(160)," ")),$BK$15:$BK$62,$BM$15:$BM$62),_xlfn.XLOOKUP(TRIM(SUBSTITUTE(U195,CHAR(160)," ")),$BL$15:$BL$62,$BM$15:$BM$62))))*T195*IF(ISBLANK(Q195),1,Q195)+IFERROR(_xlfn.XLOOKUP("RECHERCHEX",TRIM(L195:AD195),L195:AD195),0),0))</f>
        <v/>
      </c>
      <c r="AM195" s="6229">
        <f t="shared" si="90"/>
        <v>0</v>
      </c>
      <c r="AN195" s="6857" t="str">
        <f t="shared" si="105"/>
        <v/>
      </c>
      <c r="AO195" s="392">
        <f t="shared" si="91"/>
        <v>0</v>
      </c>
      <c r="AP195" s="392">
        <f t="shared" si="92"/>
        <v>0</v>
      </c>
      <c r="AQ195" s="6191">
        <f t="shared" si="93"/>
        <v>0</v>
      </c>
      <c r="AR195" s="6859" t="str">
        <f t="shared" si="94"/>
        <v/>
      </c>
      <c r="AS195" s="6217"/>
      <c r="AT195" s="6217"/>
      <c r="AU195" s="6272">
        <f t="shared" si="95"/>
        <v>0</v>
      </c>
      <c r="AV195" s="6240">
        <f t="shared" si="96"/>
        <v>0</v>
      </c>
      <c r="AW195" s="6189" cm="1">
        <f t="array" ref="AW195">IF(AK195&lt;&gt;1,0,IF(OR(AU195="",N(AU195)&lt;=0.000000001),"",IF(OR(AO195="",N(AO195)&lt;=0.000000001),0,IF(ISNUMBER(AU195),IFERROR(_xlfn.LET(_xlpm.ai_test,TRIM(AJ195),_xlpm.r,IFERROR(_xlfn.XLOOKUP(_xlpm.ai_test,$BJ$15:$BJ$62,ROW($BJ$15:$BJ$62),0,1),IFERROR(_xlfn.XLOOKUP(_xlpm.ai_test,$BK$15:$BK$62,ROW($BK$15:$BK$62),0,1),_xlfn.XLOOKUP(_xlpm.ai_test,$BL$15:$BL$62,ROW($BL$15:$BL$62),0,1))),_xlpm.p,_xlpm.r-MIN(ROW($BJ$15:$BJ$62))+1,_xlpm.f,INDEX($BM$15:$BM$62,_xlpm.p),_xlpm.u,INDEX($BN$15:$BN$62,_xlpm.p),_xlpm.s,INDEX($BP$15:$BP$62,_xlpm.p),_xlpm.q,N(AU195)/_xlpm.f,IF(_xlpm.q&gt;=_xlpm.s,ROUND(_xlpm.q,1)&amp;" "&amp;_xlpm.ai_test&amp;" = "&amp;ROUND(_xlpm.q*_xlpm.f,1)&amp;" "&amp;_xlpm.u,ROUND(_xlpm.q,1)&amp;" "&amp;_xlpm.ai_test)),""),""))))</f>
        <v>0</v>
      </c>
      <c r="AX195" s="6218"/>
      <c r="AY195" s="6272">
        <f t="shared" si="97"/>
        <v>0</v>
      </c>
      <c r="AZ195" s="6240" t="str">
        <f t="shared" si="98"/>
        <v/>
      </c>
      <c r="BA195" s="6195">
        <f t="shared" si="103"/>
        <v>0</v>
      </c>
      <c r="BB195" s="6193" t="str">
        <f t="shared" si="99"/>
        <v/>
      </c>
      <c r="BC195" s="6219"/>
      <c r="BD195" s="6222">
        <f t="shared" si="104"/>
        <v>0</v>
      </c>
      <c r="BE195" s="6220" t="str">
        <f t="shared" si="100"/>
        <v/>
      </c>
      <c r="BF195" s="4" t="s">
        <v>1</v>
      </c>
      <c r="BG195" s="6196">
        <f t="shared" si="101"/>
        <v>0</v>
      </c>
      <c r="BH195" s="6197">
        <f t="shared" si="102"/>
        <v>0</v>
      </c>
      <c r="BI195"/>
      <c r="BR195"/>
      <c r="BS195"/>
      <c r="BT195"/>
      <c r="BU195"/>
      <c r="BV195"/>
      <c r="BW195"/>
      <c r="BX195" s="20" t="str">
        <f t="shared" si="81"/>
        <v>►</v>
      </c>
      <c r="BY195"/>
      <c r="BZ195"/>
      <c r="CA195"/>
      <c r="CB195"/>
      <c r="CC195"/>
      <c r="CD195" s="2"/>
      <c r="CE195"/>
      <c r="CF195"/>
      <c r="CG195"/>
      <c r="CH195"/>
      <c r="CI195"/>
      <c r="CJ195"/>
      <c r="CK195"/>
      <c r="CM195"/>
      <c r="CN195"/>
      <c r="CO195"/>
      <c r="CP195"/>
      <c r="CQ195"/>
      <c r="CR195"/>
      <c r="CS195"/>
      <c r="CU195"/>
      <c r="CV195"/>
      <c r="CW195"/>
      <c r="CX195"/>
      <c r="CY195"/>
      <c r="CZ195"/>
      <c r="DA195"/>
      <c r="DC195" s="5">
        <v>1</v>
      </c>
    </row>
    <row r="196" spans="1:107" s="1" customFormat="1" ht="21" customHeight="1">
      <c r="A196" s="5641" t="s">
        <v>1</v>
      </c>
      <c r="B196" s="5662" t="str">
        <f t="shared" si="80"/>
        <v>►</v>
      </c>
      <c r="C196" s="5825" cm="1">
        <f t="array" ref="C196">SUMPRODUCT(LEN(D196:J196))</f>
        <v>0</v>
      </c>
      <c r="D196" s="5275"/>
      <c r="E196" s="1361"/>
      <c r="F196" s="1361"/>
      <c r="G196" s="1361"/>
      <c r="H196" s="1361"/>
      <c r="I196" s="1361"/>
      <c r="J196" s="5276"/>
      <c r="K196" s="106"/>
      <c r="L196" s="1021" t="s">
        <v>26</v>
      </c>
      <c r="M196" s="6787"/>
      <c r="N196" s="6787"/>
      <c r="O196" s="6787"/>
      <c r="P196" s="6788"/>
      <c r="Q196" s="6789"/>
      <c r="R196" s="6790"/>
      <c r="S196" s="6786"/>
      <c r="T196" s="6791"/>
      <c r="U196" s="6844"/>
      <c r="V196" s="6791"/>
      <c r="W196" s="6785"/>
      <c r="X196" s="6868"/>
      <c r="Y196" s="6793"/>
      <c r="Z196" s="6794"/>
      <c r="AA196" s="6795"/>
      <c r="AB196" s="6796"/>
      <c r="AC196" s="6797"/>
      <c r="AD196" s="6798"/>
      <c r="AE196" s="4" t="s">
        <v>1</v>
      </c>
      <c r="AF196" s="6202" t="str">
        <f t="shared" si="84"/>
        <v>►</v>
      </c>
      <c r="AG196" s="6234" t="str">
        <f t="shared" si="85"/>
        <v/>
      </c>
      <c r="AH196" s="6732" t="str">
        <f t="shared" si="86"/>
        <v/>
      </c>
      <c r="AI196" s="6234" t="str">
        <f t="shared" si="87"/>
        <v/>
      </c>
      <c r="AJ196" s="6732" t="str">
        <f t="shared" si="88"/>
        <v/>
      </c>
      <c r="AK196" s="6732">
        <f t="shared" si="89"/>
        <v>0</v>
      </c>
      <c r="AL196" s="6230" t="str" cm="1">
        <f t="array" ref="AL196">IF(AF196&lt;&gt;"A","",IFERROR((IFERROR(_xlfn.XLOOKUP(TRIM(SUBSTITUTE(U196,CHAR(160)," ")),$BJ$15:$BJ$62,$BM$15:$BM$62),IFERROR(_xlfn.XLOOKUP(TRIM(SUBSTITUTE(U196,CHAR(160)," ")),$BK$15:$BK$62,$BM$15:$BM$62),_xlfn.XLOOKUP(TRIM(SUBSTITUTE(U196,CHAR(160)," ")),$BL$15:$BL$62,$BM$15:$BM$62))))*T196*IF(ISBLANK(Q196),1,Q196)+IFERROR(_xlfn.XLOOKUP("RECHERCHEX",TRIM(L196:AD196),L196:AD196),0),0))</f>
        <v/>
      </c>
      <c r="AM196" s="6229">
        <f t="shared" si="90"/>
        <v>0</v>
      </c>
      <c r="AN196" s="6857" t="str">
        <f t="shared" si="105"/>
        <v/>
      </c>
      <c r="AO196" s="392">
        <f t="shared" si="91"/>
        <v>0</v>
      </c>
      <c r="AP196" s="392">
        <f t="shared" si="92"/>
        <v>0</v>
      </c>
      <c r="AQ196" s="6190">
        <f t="shared" si="93"/>
        <v>0</v>
      </c>
      <c r="AR196" s="6858" t="str">
        <f t="shared" si="94"/>
        <v/>
      </c>
      <c r="AS196" s="6217"/>
      <c r="AT196" s="6217"/>
      <c r="AU196" s="6271">
        <f t="shared" si="95"/>
        <v>0</v>
      </c>
      <c r="AV196" s="6242">
        <f t="shared" si="96"/>
        <v>0</v>
      </c>
      <c r="AW196" s="6188" cm="1">
        <f t="array" ref="AW196">IF(AK196&lt;&gt;1,0,IF(OR(AU196="",N(AU196)&lt;=0.000000001),"",IF(OR(AO196="",N(AO196)&lt;=0.000000001),0,IF(ISNUMBER(AU196),IFERROR(_xlfn.LET(_xlpm.ai_test,TRIM(AJ196),_xlpm.r,IFERROR(_xlfn.XLOOKUP(_xlpm.ai_test,$BJ$15:$BJ$62,ROW($BJ$15:$BJ$62),0,1),IFERROR(_xlfn.XLOOKUP(_xlpm.ai_test,$BK$15:$BK$62,ROW($BK$15:$BK$62),0,1),_xlfn.XLOOKUP(_xlpm.ai_test,$BL$15:$BL$62,ROW($BL$15:$BL$62),0,1))),_xlpm.p,_xlpm.r-MIN(ROW($BJ$15:$BJ$62))+1,_xlpm.f,INDEX($BM$15:$BM$62,_xlpm.p),_xlpm.u,INDEX($BN$15:$BN$62,_xlpm.p),_xlpm.s,INDEX($BP$15:$BP$62,_xlpm.p),_xlpm.q,N(AU196)/_xlpm.f,IF(_xlpm.q&gt;=_xlpm.s,ROUND(_xlpm.q,1)&amp;" "&amp;_xlpm.ai_test&amp;" = "&amp;ROUND(_xlpm.q*_xlpm.f,1)&amp;" "&amp;_xlpm.u,ROUND(_xlpm.q,1)&amp;" "&amp;_xlpm.ai_test)),""),""))))</f>
        <v>0</v>
      </c>
      <c r="AX196" s="6218"/>
      <c r="AY196" s="6271">
        <f t="shared" si="97"/>
        <v>0</v>
      </c>
      <c r="AZ196" s="6242" t="str">
        <f t="shared" si="98"/>
        <v/>
      </c>
      <c r="BA196" s="6194">
        <f t="shared" si="103"/>
        <v>0</v>
      </c>
      <c r="BB196" s="6192" t="str">
        <f t="shared" si="99"/>
        <v/>
      </c>
      <c r="BC196" s="6219"/>
      <c r="BD196" s="6221">
        <f t="shared" si="104"/>
        <v>0</v>
      </c>
      <c r="BE196" s="6220" t="str">
        <f t="shared" si="100"/>
        <v/>
      </c>
      <c r="BF196" s="4" t="s">
        <v>1</v>
      </c>
      <c r="BG196" s="6196">
        <f t="shared" si="101"/>
        <v>0</v>
      </c>
      <c r="BH196" s="6197">
        <f t="shared" si="102"/>
        <v>0</v>
      </c>
      <c r="BI196"/>
      <c r="BR196"/>
      <c r="BS196"/>
      <c r="BT196"/>
      <c r="BU196"/>
      <c r="BV196"/>
      <c r="BW196"/>
      <c r="BX196" s="20" t="str">
        <f t="shared" si="81"/>
        <v>►</v>
      </c>
      <c r="BY196"/>
      <c r="BZ196"/>
      <c r="CA196"/>
      <c r="CB196"/>
      <c r="CC196"/>
      <c r="CD196" s="2"/>
      <c r="CE196"/>
      <c r="CF196"/>
      <c r="CG196"/>
      <c r="CH196"/>
      <c r="CI196"/>
      <c r="CJ196"/>
      <c r="CK196"/>
      <c r="CM196"/>
      <c r="CN196"/>
      <c r="CO196"/>
      <c r="CP196"/>
      <c r="CQ196"/>
      <c r="CR196"/>
      <c r="CS196"/>
      <c r="CU196"/>
      <c r="CV196"/>
      <c r="CW196"/>
      <c r="CX196"/>
      <c r="CY196"/>
      <c r="CZ196"/>
      <c r="DA196"/>
      <c r="DC196" s="5">
        <v>1</v>
      </c>
    </row>
    <row r="197" spans="1:107" s="1" customFormat="1" ht="21" customHeight="1">
      <c r="A197" s="5641" t="s">
        <v>1</v>
      </c>
      <c r="B197" s="5662" t="str">
        <f t="shared" ref="B197:B260" si="106">L197</f>
        <v>►</v>
      </c>
      <c r="C197" s="5825" cm="1">
        <f t="array" ref="C197">SUMPRODUCT(LEN(D197:J197))</f>
        <v>0</v>
      </c>
      <c r="D197" s="5275"/>
      <c r="E197" s="1361"/>
      <c r="F197" s="1361"/>
      <c r="G197" s="1361"/>
      <c r="H197" s="1361"/>
      <c r="I197" s="1361"/>
      <c r="J197" s="5276"/>
      <c r="K197" s="106"/>
      <c r="L197" s="1021" t="s">
        <v>26</v>
      </c>
      <c r="M197" s="6787"/>
      <c r="N197" s="6787"/>
      <c r="O197" s="6787"/>
      <c r="P197" s="6788"/>
      <c r="Q197" s="6789"/>
      <c r="R197" s="6790"/>
      <c r="S197" s="6786"/>
      <c r="T197" s="6791"/>
      <c r="U197" s="6844"/>
      <c r="V197" s="6791"/>
      <c r="W197" s="6785"/>
      <c r="X197" s="6868"/>
      <c r="Y197" s="6793"/>
      <c r="Z197" s="6794"/>
      <c r="AA197" s="6795"/>
      <c r="AB197" s="6796"/>
      <c r="AC197" s="6797"/>
      <c r="AD197" s="6798"/>
      <c r="AE197" s="4" t="s">
        <v>1</v>
      </c>
      <c r="AF197" s="6202" t="str">
        <f t="shared" si="84"/>
        <v>►</v>
      </c>
      <c r="AG197" s="6234" t="str">
        <f t="shared" si="85"/>
        <v/>
      </c>
      <c r="AH197" s="6732" t="str">
        <f t="shared" si="86"/>
        <v/>
      </c>
      <c r="AI197" s="6234" t="str">
        <f t="shared" si="87"/>
        <v/>
      </c>
      <c r="AJ197" s="6732" t="str">
        <f t="shared" si="88"/>
        <v/>
      </c>
      <c r="AK197" s="6732">
        <f t="shared" si="89"/>
        <v>0</v>
      </c>
      <c r="AL197" s="6230" t="str" cm="1">
        <f t="array" ref="AL197">IF(AF197&lt;&gt;"A","",IFERROR((IFERROR(_xlfn.XLOOKUP(TRIM(SUBSTITUTE(U197,CHAR(160)," ")),$BJ$15:$BJ$62,$BM$15:$BM$62),IFERROR(_xlfn.XLOOKUP(TRIM(SUBSTITUTE(U197,CHAR(160)," ")),$BK$15:$BK$62,$BM$15:$BM$62),_xlfn.XLOOKUP(TRIM(SUBSTITUTE(U197,CHAR(160)," ")),$BL$15:$BL$62,$BM$15:$BM$62))))*T197*IF(ISBLANK(Q197),1,Q197)+IFERROR(_xlfn.XLOOKUP("RECHERCHEX",TRIM(L197:AD197),L197:AD197),0),0))</f>
        <v/>
      </c>
      <c r="AM197" s="6229">
        <f t="shared" si="90"/>
        <v>0</v>
      </c>
      <c r="AN197" s="6857" t="str">
        <f t="shared" si="105"/>
        <v/>
      </c>
      <c r="AO197" s="392">
        <f t="shared" si="91"/>
        <v>0</v>
      </c>
      <c r="AP197" s="392">
        <f t="shared" si="92"/>
        <v>0</v>
      </c>
      <c r="AQ197" s="6191">
        <f t="shared" si="93"/>
        <v>0</v>
      </c>
      <c r="AR197" s="6859" t="str">
        <f t="shared" si="94"/>
        <v/>
      </c>
      <c r="AS197" s="6217"/>
      <c r="AT197" s="6217"/>
      <c r="AU197" s="6272">
        <f t="shared" si="95"/>
        <v>0</v>
      </c>
      <c r="AV197" s="6240">
        <f t="shared" si="96"/>
        <v>0</v>
      </c>
      <c r="AW197" s="6189" cm="1">
        <f t="array" ref="AW197">IF(AK197&lt;&gt;1,0,IF(OR(AU197="",N(AU197)&lt;=0.000000001),"",IF(OR(AO197="",N(AO197)&lt;=0.000000001),0,IF(ISNUMBER(AU197),IFERROR(_xlfn.LET(_xlpm.ai_test,TRIM(AJ197),_xlpm.r,IFERROR(_xlfn.XLOOKUP(_xlpm.ai_test,$BJ$15:$BJ$62,ROW($BJ$15:$BJ$62),0,1),IFERROR(_xlfn.XLOOKUP(_xlpm.ai_test,$BK$15:$BK$62,ROW($BK$15:$BK$62),0,1),_xlfn.XLOOKUP(_xlpm.ai_test,$BL$15:$BL$62,ROW($BL$15:$BL$62),0,1))),_xlpm.p,_xlpm.r-MIN(ROW($BJ$15:$BJ$62))+1,_xlpm.f,INDEX($BM$15:$BM$62,_xlpm.p),_xlpm.u,INDEX($BN$15:$BN$62,_xlpm.p),_xlpm.s,INDEX($BP$15:$BP$62,_xlpm.p),_xlpm.q,N(AU197)/_xlpm.f,IF(_xlpm.q&gt;=_xlpm.s,ROUND(_xlpm.q,1)&amp;" "&amp;_xlpm.ai_test&amp;" = "&amp;ROUND(_xlpm.q*_xlpm.f,1)&amp;" "&amp;_xlpm.u,ROUND(_xlpm.q,1)&amp;" "&amp;_xlpm.ai_test)),""),""))))</f>
        <v>0</v>
      </c>
      <c r="AX197" s="6218"/>
      <c r="AY197" s="6272">
        <f t="shared" si="97"/>
        <v>0</v>
      </c>
      <c r="AZ197" s="6240" t="str">
        <f t="shared" si="98"/>
        <v/>
      </c>
      <c r="BA197" s="6195">
        <f t="shared" si="103"/>
        <v>0</v>
      </c>
      <c r="BB197" s="6193" t="str">
        <f t="shared" si="99"/>
        <v/>
      </c>
      <c r="BC197" s="6219"/>
      <c r="BD197" s="6222">
        <f t="shared" si="104"/>
        <v>0</v>
      </c>
      <c r="BE197" s="6220" t="str">
        <f t="shared" si="100"/>
        <v/>
      </c>
      <c r="BF197" s="4" t="s">
        <v>1</v>
      </c>
      <c r="BG197" s="6196">
        <f t="shared" si="101"/>
        <v>0</v>
      </c>
      <c r="BH197" s="6197">
        <f t="shared" si="102"/>
        <v>0</v>
      </c>
      <c r="BI197"/>
      <c r="BR197"/>
      <c r="BS197"/>
      <c r="BT197"/>
      <c r="BU197"/>
      <c r="BV197"/>
      <c r="BW197"/>
      <c r="BX197" s="20" t="str">
        <f t="shared" ref="BX197:BX260" si="107">AF197</f>
        <v>►</v>
      </c>
      <c r="BY197"/>
      <c r="BZ197"/>
      <c r="CA197"/>
      <c r="CB197"/>
      <c r="CC197"/>
      <c r="CD197" s="2"/>
      <c r="CE197"/>
      <c r="CF197"/>
      <c r="CG197"/>
      <c r="CH197"/>
      <c r="CI197"/>
      <c r="CJ197"/>
      <c r="CK197"/>
      <c r="CM197"/>
      <c r="CN197"/>
      <c r="CO197"/>
      <c r="CP197"/>
      <c r="CQ197"/>
      <c r="CR197"/>
      <c r="CS197"/>
      <c r="CU197"/>
      <c r="CV197"/>
      <c r="CW197"/>
      <c r="CX197"/>
      <c r="CY197"/>
      <c r="CZ197"/>
      <c r="DA197"/>
      <c r="DC197" s="5">
        <v>1</v>
      </c>
    </row>
    <row r="198" spans="1:107" s="1" customFormat="1" ht="21" customHeight="1">
      <c r="A198" s="5641" t="s">
        <v>1</v>
      </c>
      <c r="B198" s="5662" t="str">
        <f t="shared" si="106"/>
        <v>►</v>
      </c>
      <c r="C198" s="5825" cm="1">
        <f t="array" ref="C198">SUMPRODUCT(LEN(D198:J198))</f>
        <v>0</v>
      </c>
      <c r="D198" s="5275"/>
      <c r="E198" s="1361"/>
      <c r="F198" s="1361"/>
      <c r="G198" s="1361"/>
      <c r="H198" s="1361"/>
      <c r="I198" s="1361"/>
      <c r="J198" s="5276"/>
      <c r="K198" s="106"/>
      <c r="L198" s="1021" t="s">
        <v>26</v>
      </c>
      <c r="M198" s="6787"/>
      <c r="N198" s="6787"/>
      <c r="O198" s="6787"/>
      <c r="P198" s="6788"/>
      <c r="Q198" s="6789"/>
      <c r="R198" s="6790"/>
      <c r="S198" s="6786"/>
      <c r="T198" s="6791"/>
      <c r="U198" s="6844"/>
      <c r="V198" s="6791"/>
      <c r="W198" s="6785"/>
      <c r="X198" s="6868"/>
      <c r="Y198" s="6793"/>
      <c r="Z198" s="6794"/>
      <c r="AA198" s="6795"/>
      <c r="AB198" s="6796"/>
      <c r="AC198" s="6797"/>
      <c r="AD198" s="6798"/>
      <c r="AE198" s="4" t="s">
        <v>1</v>
      </c>
      <c r="AF198" s="6202" t="str">
        <f t="shared" si="84"/>
        <v>►</v>
      </c>
      <c r="AG198" s="6234" t="str">
        <f t="shared" si="85"/>
        <v/>
      </c>
      <c r="AH198" s="6732" t="str">
        <f t="shared" si="86"/>
        <v/>
      </c>
      <c r="AI198" s="6234" t="str">
        <f t="shared" si="87"/>
        <v/>
      </c>
      <c r="AJ198" s="6732" t="str">
        <f t="shared" si="88"/>
        <v/>
      </c>
      <c r="AK198" s="6732">
        <f t="shared" si="89"/>
        <v>0</v>
      </c>
      <c r="AL198" s="6230" t="str" cm="1">
        <f t="array" ref="AL198">IF(AF198&lt;&gt;"A","",IFERROR((IFERROR(_xlfn.XLOOKUP(TRIM(SUBSTITUTE(U198,CHAR(160)," ")),$BJ$15:$BJ$62,$BM$15:$BM$62),IFERROR(_xlfn.XLOOKUP(TRIM(SUBSTITUTE(U198,CHAR(160)," ")),$BK$15:$BK$62,$BM$15:$BM$62),_xlfn.XLOOKUP(TRIM(SUBSTITUTE(U198,CHAR(160)," ")),$BL$15:$BL$62,$BM$15:$BM$62))))*T198*IF(ISBLANK(Q198),1,Q198)+IFERROR(_xlfn.XLOOKUP("RECHERCHEX",TRIM(L198:AD198),L198:AD198),0),0))</f>
        <v/>
      </c>
      <c r="AM198" s="6229">
        <f t="shared" si="90"/>
        <v>0</v>
      </c>
      <c r="AN198" s="6857" t="str">
        <f t="shared" si="105"/>
        <v/>
      </c>
      <c r="AO198" s="392">
        <f t="shared" si="91"/>
        <v>0</v>
      </c>
      <c r="AP198" s="392">
        <f t="shared" si="92"/>
        <v>0</v>
      </c>
      <c r="AQ198" s="6190">
        <f t="shared" si="93"/>
        <v>0</v>
      </c>
      <c r="AR198" s="6858" t="str">
        <f t="shared" si="94"/>
        <v/>
      </c>
      <c r="AS198" s="6217"/>
      <c r="AT198" s="6217"/>
      <c r="AU198" s="6271">
        <f t="shared" si="95"/>
        <v>0</v>
      </c>
      <c r="AV198" s="6242">
        <f t="shared" si="96"/>
        <v>0</v>
      </c>
      <c r="AW198" s="6188" cm="1">
        <f t="array" ref="AW198">IF(AK198&lt;&gt;1,0,IF(OR(AU198="",N(AU198)&lt;=0.000000001),"",IF(OR(AO198="",N(AO198)&lt;=0.000000001),0,IF(ISNUMBER(AU198),IFERROR(_xlfn.LET(_xlpm.ai_test,TRIM(AJ198),_xlpm.r,IFERROR(_xlfn.XLOOKUP(_xlpm.ai_test,$BJ$15:$BJ$62,ROW($BJ$15:$BJ$62),0,1),IFERROR(_xlfn.XLOOKUP(_xlpm.ai_test,$BK$15:$BK$62,ROW($BK$15:$BK$62),0,1),_xlfn.XLOOKUP(_xlpm.ai_test,$BL$15:$BL$62,ROW($BL$15:$BL$62),0,1))),_xlpm.p,_xlpm.r-MIN(ROW($BJ$15:$BJ$62))+1,_xlpm.f,INDEX($BM$15:$BM$62,_xlpm.p),_xlpm.u,INDEX($BN$15:$BN$62,_xlpm.p),_xlpm.s,INDEX($BP$15:$BP$62,_xlpm.p),_xlpm.q,N(AU198)/_xlpm.f,IF(_xlpm.q&gt;=_xlpm.s,ROUND(_xlpm.q,1)&amp;" "&amp;_xlpm.ai_test&amp;" = "&amp;ROUND(_xlpm.q*_xlpm.f,1)&amp;" "&amp;_xlpm.u,ROUND(_xlpm.q,1)&amp;" "&amp;_xlpm.ai_test)),""),""))))</f>
        <v>0</v>
      </c>
      <c r="AX198" s="6218"/>
      <c r="AY198" s="6271">
        <f t="shared" si="97"/>
        <v>0</v>
      </c>
      <c r="AZ198" s="6242" t="str">
        <f t="shared" si="98"/>
        <v/>
      </c>
      <c r="BA198" s="6194">
        <f t="shared" si="103"/>
        <v>0</v>
      </c>
      <c r="BB198" s="6192" t="str">
        <f t="shared" si="99"/>
        <v/>
      </c>
      <c r="BC198" s="6219"/>
      <c r="BD198" s="6221">
        <f t="shared" si="104"/>
        <v>0</v>
      </c>
      <c r="BE198" s="6220" t="str">
        <f t="shared" si="100"/>
        <v/>
      </c>
      <c r="BF198" s="4" t="s">
        <v>1</v>
      </c>
      <c r="BG198" s="6196">
        <f t="shared" si="101"/>
        <v>0</v>
      </c>
      <c r="BH198" s="6197">
        <f t="shared" si="102"/>
        <v>0</v>
      </c>
      <c r="BI198"/>
      <c r="BR198"/>
      <c r="BS198"/>
      <c r="BT198"/>
      <c r="BU198"/>
      <c r="BV198"/>
      <c r="BW198"/>
      <c r="BX198" s="20" t="str">
        <f t="shared" si="107"/>
        <v>►</v>
      </c>
      <c r="BY198"/>
      <c r="BZ198"/>
      <c r="CA198"/>
      <c r="CB198"/>
      <c r="CC198"/>
      <c r="CD198" s="2"/>
      <c r="CE198"/>
      <c r="CF198"/>
      <c r="CG198"/>
      <c r="CH198"/>
      <c r="CI198"/>
      <c r="CJ198"/>
      <c r="CK198"/>
      <c r="CM198"/>
      <c r="CN198"/>
      <c r="CO198"/>
      <c r="CP198"/>
      <c r="CQ198"/>
      <c r="CR198"/>
      <c r="CS198"/>
      <c r="CU198"/>
      <c r="CV198"/>
      <c r="CW198"/>
      <c r="CX198"/>
      <c r="CY198"/>
      <c r="CZ198"/>
      <c r="DA198"/>
      <c r="DC198" s="5">
        <v>1</v>
      </c>
    </row>
    <row r="199" spans="1:107" s="1" customFormat="1" ht="21" customHeight="1">
      <c r="A199" s="5641" t="s">
        <v>1</v>
      </c>
      <c r="B199" s="5662" t="str">
        <f t="shared" si="106"/>
        <v>►</v>
      </c>
      <c r="C199" s="5825" cm="1">
        <f t="array" ref="C199">SUMPRODUCT(LEN(D199:J199))</f>
        <v>0</v>
      </c>
      <c r="D199" s="5275"/>
      <c r="E199" s="1361"/>
      <c r="F199" s="1361"/>
      <c r="G199" s="1361"/>
      <c r="H199" s="1361"/>
      <c r="I199" s="1361"/>
      <c r="J199" s="5276"/>
      <c r="K199" s="106"/>
      <c r="L199" s="1021" t="s">
        <v>26</v>
      </c>
      <c r="M199" s="6787"/>
      <c r="N199" s="6787"/>
      <c r="O199" s="6787"/>
      <c r="P199" s="6788"/>
      <c r="Q199" s="6789"/>
      <c r="R199" s="6790"/>
      <c r="S199" s="6786"/>
      <c r="T199" s="6791"/>
      <c r="U199" s="6844"/>
      <c r="V199" s="6791"/>
      <c r="W199" s="6785"/>
      <c r="X199" s="6868"/>
      <c r="Y199" s="6793"/>
      <c r="Z199" s="6794"/>
      <c r="AA199" s="6795"/>
      <c r="AB199" s="6796"/>
      <c r="AC199" s="6797"/>
      <c r="AD199" s="6798"/>
      <c r="AE199" s="4" t="s">
        <v>1</v>
      </c>
      <c r="AF199" s="6202" t="str">
        <f t="shared" si="84"/>
        <v>►</v>
      </c>
      <c r="AG199" s="6234" t="str">
        <f t="shared" si="85"/>
        <v/>
      </c>
      <c r="AH199" s="6732" t="str">
        <f t="shared" si="86"/>
        <v/>
      </c>
      <c r="AI199" s="6234" t="str">
        <f t="shared" si="87"/>
        <v/>
      </c>
      <c r="AJ199" s="6732" t="str">
        <f t="shared" si="88"/>
        <v/>
      </c>
      <c r="AK199" s="6732">
        <f t="shared" si="89"/>
        <v>0</v>
      </c>
      <c r="AL199" s="6230" t="str" cm="1">
        <f t="array" ref="AL199">IF(AF199&lt;&gt;"A","",IFERROR((IFERROR(_xlfn.XLOOKUP(TRIM(SUBSTITUTE(U199,CHAR(160)," ")),$BJ$15:$BJ$62,$BM$15:$BM$62),IFERROR(_xlfn.XLOOKUP(TRIM(SUBSTITUTE(U199,CHAR(160)," ")),$BK$15:$BK$62,$BM$15:$BM$62),_xlfn.XLOOKUP(TRIM(SUBSTITUTE(U199,CHAR(160)," ")),$BL$15:$BL$62,$BM$15:$BM$62))))*T199*IF(ISBLANK(Q199),1,Q199)+IFERROR(_xlfn.XLOOKUP("RECHERCHEX",TRIM(L199:AD199),L199:AD199),0),0))</f>
        <v/>
      </c>
      <c r="AM199" s="6229">
        <f t="shared" si="90"/>
        <v>0</v>
      </c>
      <c r="AN199" s="6857" t="str">
        <f t="shared" si="105"/>
        <v/>
      </c>
      <c r="AO199" s="392">
        <f t="shared" si="91"/>
        <v>0</v>
      </c>
      <c r="AP199" s="392">
        <f t="shared" si="92"/>
        <v>0</v>
      </c>
      <c r="AQ199" s="6191">
        <f t="shared" si="93"/>
        <v>0</v>
      </c>
      <c r="AR199" s="6859" t="str">
        <f t="shared" si="94"/>
        <v/>
      </c>
      <c r="AS199" s="6217"/>
      <c r="AT199" s="6217"/>
      <c r="AU199" s="6272">
        <f t="shared" si="95"/>
        <v>0</v>
      </c>
      <c r="AV199" s="6240">
        <f t="shared" si="96"/>
        <v>0</v>
      </c>
      <c r="AW199" s="6189" cm="1">
        <f t="array" ref="AW199">IF(AK199&lt;&gt;1,0,IF(OR(AU199="",N(AU199)&lt;=0.000000001),"",IF(OR(AO199="",N(AO199)&lt;=0.000000001),0,IF(ISNUMBER(AU199),IFERROR(_xlfn.LET(_xlpm.ai_test,TRIM(AJ199),_xlpm.r,IFERROR(_xlfn.XLOOKUP(_xlpm.ai_test,$BJ$15:$BJ$62,ROW($BJ$15:$BJ$62),0,1),IFERROR(_xlfn.XLOOKUP(_xlpm.ai_test,$BK$15:$BK$62,ROW($BK$15:$BK$62),0,1),_xlfn.XLOOKUP(_xlpm.ai_test,$BL$15:$BL$62,ROW($BL$15:$BL$62),0,1))),_xlpm.p,_xlpm.r-MIN(ROW($BJ$15:$BJ$62))+1,_xlpm.f,INDEX($BM$15:$BM$62,_xlpm.p),_xlpm.u,INDEX($BN$15:$BN$62,_xlpm.p),_xlpm.s,INDEX($BP$15:$BP$62,_xlpm.p),_xlpm.q,N(AU199)/_xlpm.f,IF(_xlpm.q&gt;=_xlpm.s,ROUND(_xlpm.q,1)&amp;" "&amp;_xlpm.ai_test&amp;" = "&amp;ROUND(_xlpm.q*_xlpm.f,1)&amp;" "&amp;_xlpm.u,ROUND(_xlpm.q,1)&amp;" "&amp;_xlpm.ai_test)),""),""))))</f>
        <v>0</v>
      </c>
      <c r="AX199" s="6218"/>
      <c r="AY199" s="6272">
        <f t="shared" si="97"/>
        <v>0</v>
      </c>
      <c r="AZ199" s="6240" t="str">
        <f t="shared" si="98"/>
        <v/>
      </c>
      <c r="BA199" s="6195">
        <f t="shared" si="103"/>
        <v>0</v>
      </c>
      <c r="BB199" s="6193" t="str">
        <f t="shared" si="99"/>
        <v/>
      </c>
      <c r="BC199" s="6219"/>
      <c r="BD199" s="6222">
        <f t="shared" si="104"/>
        <v>0</v>
      </c>
      <c r="BE199" s="6220" t="str">
        <f t="shared" si="100"/>
        <v/>
      </c>
      <c r="BF199" s="4" t="s">
        <v>1</v>
      </c>
      <c r="BG199" s="6196">
        <f t="shared" si="101"/>
        <v>0</v>
      </c>
      <c r="BH199" s="6197">
        <f t="shared" si="102"/>
        <v>0</v>
      </c>
      <c r="BI199"/>
      <c r="BR199"/>
      <c r="BS199"/>
      <c r="BT199"/>
      <c r="BU199"/>
      <c r="BV199"/>
      <c r="BW199"/>
      <c r="BX199" s="20" t="str">
        <f t="shared" si="107"/>
        <v>►</v>
      </c>
      <c r="BY199"/>
      <c r="BZ199"/>
      <c r="CA199"/>
      <c r="CB199"/>
      <c r="CC199"/>
      <c r="CD199" s="2"/>
      <c r="CE199"/>
      <c r="CF199"/>
      <c r="CG199"/>
      <c r="CH199"/>
      <c r="CI199"/>
      <c r="CJ199"/>
      <c r="CK199"/>
      <c r="CM199"/>
      <c r="CN199"/>
      <c r="CO199"/>
      <c r="CP199"/>
      <c r="CQ199"/>
      <c r="CR199"/>
      <c r="CS199"/>
      <c r="CU199"/>
      <c r="CV199"/>
      <c r="CW199"/>
      <c r="CX199"/>
      <c r="CY199"/>
      <c r="CZ199"/>
      <c r="DA199"/>
      <c r="DC199" s="5">
        <v>1</v>
      </c>
    </row>
    <row r="200" spans="1:107" s="1" customFormat="1" ht="21" customHeight="1">
      <c r="A200" s="5641" t="s">
        <v>1</v>
      </c>
      <c r="B200" s="5662" t="str">
        <f t="shared" si="106"/>
        <v>►</v>
      </c>
      <c r="C200" s="5825" cm="1">
        <f t="array" ref="C200">SUMPRODUCT(LEN(D200:J200))</f>
        <v>0</v>
      </c>
      <c r="D200" s="5275"/>
      <c r="E200" s="1361"/>
      <c r="F200" s="1361"/>
      <c r="G200" s="1361"/>
      <c r="H200" s="1361"/>
      <c r="I200" s="1361"/>
      <c r="J200" s="5276"/>
      <c r="K200" s="106"/>
      <c r="L200" s="1021" t="s">
        <v>26</v>
      </c>
      <c r="M200" s="6787"/>
      <c r="N200" s="6787"/>
      <c r="O200" s="6787"/>
      <c r="P200" s="6788"/>
      <c r="Q200" s="6789"/>
      <c r="R200" s="6790"/>
      <c r="S200" s="6786"/>
      <c r="T200" s="6791"/>
      <c r="U200" s="6844"/>
      <c r="V200" s="6791"/>
      <c r="W200" s="6785"/>
      <c r="X200" s="6868"/>
      <c r="Y200" s="6793"/>
      <c r="Z200" s="6794"/>
      <c r="AA200" s="6795"/>
      <c r="AB200" s="6796"/>
      <c r="AC200" s="6797"/>
      <c r="AD200" s="6798"/>
      <c r="AE200" s="4" t="s">
        <v>1</v>
      </c>
      <c r="AF200" s="6202" t="str">
        <f t="shared" si="84"/>
        <v>►</v>
      </c>
      <c r="AG200" s="6234" t="str">
        <f t="shared" si="85"/>
        <v/>
      </c>
      <c r="AH200" s="6732" t="str">
        <f t="shared" si="86"/>
        <v/>
      </c>
      <c r="AI200" s="6234" t="str">
        <f t="shared" si="87"/>
        <v/>
      </c>
      <c r="AJ200" s="6732" t="str">
        <f t="shared" si="88"/>
        <v/>
      </c>
      <c r="AK200" s="6732">
        <f t="shared" si="89"/>
        <v>0</v>
      </c>
      <c r="AL200" s="6230" t="str" cm="1">
        <f t="array" ref="AL200">IF(AF200&lt;&gt;"A","",IFERROR((IFERROR(_xlfn.XLOOKUP(TRIM(SUBSTITUTE(U200,CHAR(160)," ")),$BJ$15:$BJ$62,$BM$15:$BM$62),IFERROR(_xlfn.XLOOKUP(TRIM(SUBSTITUTE(U200,CHAR(160)," ")),$BK$15:$BK$62,$BM$15:$BM$62),_xlfn.XLOOKUP(TRIM(SUBSTITUTE(U200,CHAR(160)," ")),$BL$15:$BL$62,$BM$15:$BM$62))))*T200*IF(ISBLANK(Q200),1,Q200)+IFERROR(_xlfn.XLOOKUP("RECHERCHEX",TRIM(L200:AD200),L200:AD200),0),0))</f>
        <v/>
      </c>
      <c r="AM200" s="6229">
        <f t="shared" si="90"/>
        <v>0</v>
      </c>
      <c r="AN200" s="6857" t="str">
        <f t="shared" si="105"/>
        <v/>
      </c>
      <c r="AO200" s="392">
        <f t="shared" si="91"/>
        <v>0</v>
      </c>
      <c r="AP200" s="392">
        <f t="shared" si="92"/>
        <v>0</v>
      </c>
      <c r="AQ200" s="6190">
        <f t="shared" si="93"/>
        <v>0</v>
      </c>
      <c r="AR200" s="6858" t="str">
        <f t="shared" si="94"/>
        <v/>
      </c>
      <c r="AS200" s="6217"/>
      <c r="AT200" s="6217"/>
      <c r="AU200" s="6271">
        <f t="shared" si="95"/>
        <v>0</v>
      </c>
      <c r="AV200" s="6242">
        <f t="shared" si="96"/>
        <v>0</v>
      </c>
      <c r="AW200" s="6188" cm="1">
        <f t="array" ref="AW200">IF(AK200&lt;&gt;1,0,IF(OR(AU200="",N(AU200)&lt;=0.000000001),"",IF(OR(AO200="",N(AO200)&lt;=0.000000001),0,IF(ISNUMBER(AU200),IFERROR(_xlfn.LET(_xlpm.ai_test,TRIM(AJ200),_xlpm.r,IFERROR(_xlfn.XLOOKUP(_xlpm.ai_test,$BJ$15:$BJ$62,ROW($BJ$15:$BJ$62),0,1),IFERROR(_xlfn.XLOOKUP(_xlpm.ai_test,$BK$15:$BK$62,ROW($BK$15:$BK$62),0,1),_xlfn.XLOOKUP(_xlpm.ai_test,$BL$15:$BL$62,ROW($BL$15:$BL$62),0,1))),_xlpm.p,_xlpm.r-MIN(ROW($BJ$15:$BJ$62))+1,_xlpm.f,INDEX($BM$15:$BM$62,_xlpm.p),_xlpm.u,INDEX($BN$15:$BN$62,_xlpm.p),_xlpm.s,INDEX($BP$15:$BP$62,_xlpm.p),_xlpm.q,N(AU200)/_xlpm.f,IF(_xlpm.q&gt;=_xlpm.s,ROUND(_xlpm.q,1)&amp;" "&amp;_xlpm.ai_test&amp;" = "&amp;ROUND(_xlpm.q*_xlpm.f,1)&amp;" "&amp;_xlpm.u,ROUND(_xlpm.q,1)&amp;" "&amp;_xlpm.ai_test)),""),""))))</f>
        <v>0</v>
      </c>
      <c r="AX200" s="6218"/>
      <c r="AY200" s="6271">
        <f t="shared" si="97"/>
        <v>0</v>
      </c>
      <c r="AZ200" s="6242" t="str">
        <f t="shared" si="98"/>
        <v/>
      </c>
      <c r="BA200" s="6194">
        <f t="shared" si="103"/>
        <v>0</v>
      </c>
      <c r="BB200" s="6192" t="str">
        <f t="shared" si="99"/>
        <v/>
      </c>
      <c r="BC200" s="6219"/>
      <c r="BD200" s="6221">
        <f t="shared" si="104"/>
        <v>0</v>
      </c>
      <c r="BE200" s="6220" t="str">
        <f t="shared" si="100"/>
        <v/>
      </c>
      <c r="BF200" s="4" t="s">
        <v>1</v>
      </c>
      <c r="BG200" s="6196">
        <f t="shared" si="101"/>
        <v>0</v>
      </c>
      <c r="BH200" s="6197">
        <f t="shared" si="102"/>
        <v>0</v>
      </c>
      <c r="BI200"/>
      <c r="BR200"/>
      <c r="BS200"/>
      <c r="BT200"/>
      <c r="BU200"/>
      <c r="BV200"/>
      <c r="BW200"/>
      <c r="BX200" s="20" t="str">
        <f t="shared" si="107"/>
        <v>►</v>
      </c>
      <c r="BY200"/>
      <c r="BZ200"/>
      <c r="CA200"/>
      <c r="CB200"/>
      <c r="CC200"/>
      <c r="CD200" s="2"/>
      <c r="CE200"/>
      <c r="CF200"/>
      <c r="CG200"/>
      <c r="CH200"/>
      <c r="CI200"/>
      <c r="CJ200"/>
      <c r="CK200"/>
      <c r="CM200"/>
      <c r="CN200"/>
      <c r="CO200"/>
      <c r="CP200"/>
      <c r="CQ200"/>
      <c r="CR200"/>
      <c r="CS200"/>
      <c r="CU200"/>
      <c r="CV200"/>
      <c r="CW200"/>
      <c r="CX200"/>
      <c r="CY200"/>
      <c r="CZ200"/>
      <c r="DA200"/>
      <c r="DC200" s="5">
        <v>1</v>
      </c>
    </row>
    <row r="201" spans="1:107" s="1" customFormat="1" ht="21" customHeight="1">
      <c r="A201" s="5641" t="s">
        <v>1</v>
      </c>
      <c r="B201" s="5662" t="str">
        <f t="shared" si="106"/>
        <v>►</v>
      </c>
      <c r="C201" s="5825" cm="1">
        <f t="array" ref="C201">SUMPRODUCT(LEN(D201:J201))</f>
        <v>0</v>
      </c>
      <c r="D201" s="5275"/>
      <c r="E201" s="1361"/>
      <c r="F201" s="1361"/>
      <c r="G201" s="1361"/>
      <c r="H201" s="1361"/>
      <c r="I201" s="1361"/>
      <c r="J201" s="5276"/>
      <c r="K201" s="106"/>
      <c r="L201" s="1021" t="s">
        <v>26</v>
      </c>
      <c r="M201" s="6787"/>
      <c r="N201" s="6787"/>
      <c r="O201" s="6787"/>
      <c r="P201" s="6788"/>
      <c r="Q201" s="6789"/>
      <c r="R201" s="6790"/>
      <c r="S201" s="6786"/>
      <c r="T201" s="6791"/>
      <c r="U201" s="6844"/>
      <c r="V201" s="6791"/>
      <c r="W201" s="6785"/>
      <c r="X201" s="6868"/>
      <c r="Y201" s="6793"/>
      <c r="Z201" s="6794"/>
      <c r="AA201" s="6795"/>
      <c r="AB201" s="6796"/>
      <c r="AC201" s="6797"/>
      <c r="AD201" s="6798"/>
      <c r="AE201" s="4" t="s">
        <v>1</v>
      </c>
      <c r="AF201" s="6202" t="str">
        <f t="shared" si="84"/>
        <v>►</v>
      </c>
      <c r="AG201" s="6234" t="str">
        <f t="shared" si="85"/>
        <v/>
      </c>
      <c r="AH201" s="6732" t="str">
        <f t="shared" si="86"/>
        <v/>
      </c>
      <c r="AI201" s="6234" t="str">
        <f t="shared" si="87"/>
        <v/>
      </c>
      <c r="AJ201" s="6732" t="str">
        <f t="shared" si="88"/>
        <v/>
      </c>
      <c r="AK201" s="6732">
        <f t="shared" si="89"/>
        <v>0</v>
      </c>
      <c r="AL201" s="6230" t="str" cm="1">
        <f t="array" ref="AL201">IF(AF201&lt;&gt;"A","",IFERROR((IFERROR(_xlfn.XLOOKUP(TRIM(SUBSTITUTE(U201,CHAR(160)," ")),$BJ$15:$BJ$62,$BM$15:$BM$62),IFERROR(_xlfn.XLOOKUP(TRIM(SUBSTITUTE(U201,CHAR(160)," ")),$BK$15:$BK$62,$BM$15:$BM$62),_xlfn.XLOOKUP(TRIM(SUBSTITUTE(U201,CHAR(160)," ")),$BL$15:$BL$62,$BM$15:$BM$62))))*T201*IF(ISBLANK(Q201),1,Q201)+IFERROR(_xlfn.XLOOKUP("RECHERCHEX",TRIM(L201:AD201),L201:AD201),0),0))</f>
        <v/>
      </c>
      <c r="AM201" s="6229">
        <f t="shared" si="90"/>
        <v>0</v>
      </c>
      <c r="AN201" s="6857" t="str">
        <f t="shared" si="105"/>
        <v/>
      </c>
      <c r="AO201" s="392">
        <f t="shared" si="91"/>
        <v>0</v>
      </c>
      <c r="AP201" s="392">
        <f t="shared" si="92"/>
        <v>0</v>
      </c>
      <c r="AQ201" s="6191">
        <f t="shared" si="93"/>
        <v>0</v>
      </c>
      <c r="AR201" s="6859" t="str">
        <f t="shared" si="94"/>
        <v/>
      </c>
      <c r="AS201" s="6217"/>
      <c r="AT201" s="6217"/>
      <c r="AU201" s="6272">
        <f t="shared" si="95"/>
        <v>0</v>
      </c>
      <c r="AV201" s="6240">
        <f t="shared" si="96"/>
        <v>0</v>
      </c>
      <c r="AW201" s="6189" cm="1">
        <f t="array" ref="AW201">IF(AK201&lt;&gt;1,0,IF(OR(AU201="",N(AU201)&lt;=0.000000001),"",IF(OR(AO201="",N(AO201)&lt;=0.000000001),0,IF(ISNUMBER(AU201),IFERROR(_xlfn.LET(_xlpm.ai_test,TRIM(AJ201),_xlpm.r,IFERROR(_xlfn.XLOOKUP(_xlpm.ai_test,$BJ$15:$BJ$62,ROW($BJ$15:$BJ$62),0,1),IFERROR(_xlfn.XLOOKUP(_xlpm.ai_test,$BK$15:$BK$62,ROW($BK$15:$BK$62),0,1),_xlfn.XLOOKUP(_xlpm.ai_test,$BL$15:$BL$62,ROW($BL$15:$BL$62),0,1))),_xlpm.p,_xlpm.r-MIN(ROW($BJ$15:$BJ$62))+1,_xlpm.f,INDEX($BM$15:$BM$62,_xlpm.p),_xlpm.u,INDEX($BN$15:$BN$62,_xlpm.p),_xlpm.s,INDEX($BP$15:$BP$62,_xlpm.p),_xlpm.q,N(AU201)/_xlpm.f,IF(_xlpm.q&gt;=_xlpm.s,ROUND(_xlpm.q,1)&amp;" "&amp;_xlpm.ai_test&amp;" = "&amp;ROUND(_xlpm.q*_xlpm.f,1)&amp;" "&amp;_xlpm.u,ROUND(_xlpm.q,1)&amp;" "&amp;_xlpm.ai_test)),""),""))))</f>
        <v>0</v>
      </c>
      <c r="AX201" s="6218"/>
      <c r="AY201" s="6272">
        <f t="shared" si="97"/>
        <v>0</v>
      </c>
      <c r="AZ201" s="6240" t="str">
        <f t="shared" si="98"/>
        <v/>
      </c>
      <c r="BA201" s="6195">
        <f t="shared" si="103"/>
        <v>0</v>
      </c>
      <c r="BB201" s="6193" t="str">
        <f t="shared" si="99"/>
        <v/>
      </c>
      <c r="BC201" s="6219"/>
      <c r="BD201" s="6222">
        <f t="shared" si="104"/>
        <v>0</v>
      </c>
      <c r="BE201" s="6220" t="str">
        <f t="shared" si="100"/>
        <v/>
      </c>
      <c r="BF201" s="4" t="s">
        <v>1</v>
      </c>
      <c r="BG201" s="6196">
        <f t="shared" si="101"/>
        <v>0</v>
      </c>
      <c r="BH201" s="6197">
        <f t="shared" si="102"/>
        <v>0</v>
      </c>
      <c r="BI201"/>
      <c r="BR201"/>
      <c r="BS201"/>
      <c r="BT201"/>
      <c r="BU201"/>
      <c r="BV201"/>
      <c r="BW201"/>
      <c r="BX201" s="20" t="str">
        <f t="shared" si="107"/>
        <v>►</v>
      </c>
      <c r="BY201"/>
      <c r="BZ201"/>
      <c r="CA201"/>
      <c r="CB201"/>
      <c r="CC201"/>
      <c r="CD201" s="2"/>
      <c r="CE201"/>
      <c r="CF201"/>
      <c r="CG201"/>
      <c r="CH201"/>
      <c r="CI201"/>
      <c r="CJ201"/>
      <c r="CK201"/>
      <c r="CM201"/>
      <c r="CN201"/>
      <c r="CO201"/>
      <c r="CP201"/>
      <c r="CQ201"/>
      <c r="CR201"/>
      <c r="CS201"/>
      <c r="CU201"/>
      <c r="CV201"/>
      <c r="CW201"/>
      <c r="CX201"/>
      <c r="CY201"/>
      <c r="CZ201"/>
      <c r="DA201"/>
      <c r="DC201" s="5">
        <v>1</v>
      </c>
    </row>
    <row r="202" spans="1:107" s="1" customFormat="1" ht="21" customHeight="1">
      <c r="A202" s="5641" t="s">
        <v>1</v>
      </c>
      <c r="B202" s="5662" t="str">
        <f t="shared" si="106"/>
        <v>►</v>
      </c>
      <c r="C202" s="5825" cm="1">
        <f t="array" ref="C202">SUMPRODUCT(LEN(D202:J202))</f>
        <v>0</v>
      </c>
      <c r="D202" s="5275"/>
      <c r="E202" s="1361"/>
      <c r="F202" s="1361"/>
      <c r="G202" s="1361"/>
      <c r="H202" s="1361"/>
      <c r="I202" s="1361"/>
      <c r="J202" s="5276"/>
      <c r="K202" s="106"/>
      <c r="L202" s="1021" t="s">
        <v>26</v>
      </c>
      <c r="M202" s="6787"/>
      <c r="N202" s="6787"/>
      <c r="O202" s="6787"/>
      <c r="P202" s="6788"/>
      <c r="Q202" s="6789"/>
      <c r="R202" s="6790"/>
      <c r="S202" s="6786"/>
      <c r="T202" s="6791"/>
      <c r="U202" s="6844"/>
      <c r="V202" s="6791"/>
      <c r="W202" s="6785"/>
      <c r="X202" s="6868"/>
      <c r="Y202" s="6793"/>
      <c r="Z202" s="6794"/>
      <c r="AA202" s="6795"/>
      <c r="AB202" s="6796"/>
      <c r="AC202" s="6797"/>
      <c r="AD202" s="6798"/>
      <c r="AE202" s="4" t="s">
        <v>1</v>
      </c>
      <c r="AF202" s="6202" t="str">
        <f t="shared" si="84"/>
        <v>►</v>
      </c>
      <c r="AG202" s="6234" t="str">
        <f t="shared" si="85"/>
        <v/>
      </c>
      <c r="AH202" s="6732" t="str">
        <f t="shared" si="86"/>
        <v/>
      </c>
      <c r="AI202" s="6234" t="str">
        <f t="shared" si="87"/>
        <v/>
      </c>
      <c r="AJ202" s="6732" t="str">
        <f t="shared" si="88"/>
        <v/>
      </c>
      <c r="AK202" s="6732">
        <f t="shared" si="89"/>
        <v>0</v>
      </c>
      <c r="AL202" s="6230" t="str" cm="1">
        <f t="array" ref="AL202">IF(AF202&lt;&gt;"A","",IFERROR((IFERROR(_xlfn.XLOOKUP(TRIM(SUBSTITUTE(U202,CHAR(160)," ")),$BJ$15:$BJ$62,$BM$15:$BM$62),IFERROR(_xlfn.XLOOKUP(TRIM(SUBSTITUTE(U202,CHAR(160)," ")),$BK$15:$BK$62,$BM$15:$BM$62),_xlfn.XLOOKUP(TRIM(SUBSTITUTE(U202,CHAR(160)," ")),$BL$15:$BL$62,$BM$15:$BM$62))))*T202*IF(ISBLANK(Q202),1,Q202)+IFERROR(_xlfn.XLOOKUP("RECHERCHEX",TRIM(L202:AD202),L202:AD202),0),0))</f>
        <v/>
      </c>
      <c r="AM202" s="6229">
        <f t="shared" si="90"/>
        <v>0</v>
      </c>
      <c r="AN202" s="6857" t="str">
        <f t="shared" si="105"/>
        <v/>
      </c>
      <c r="AO202" s="392">
        <f t="shared" si="91"/>
        <v>0</v>
      </c>
      <c r="AP202" s="392">
        <f t="shared" si="92"/>
        <v>0</v>
      </c>
      <c r="AQ202" s="6190">
        <f t="shared" si="93"/>
        <v>0</v>
      </c>
      <c r="AR202" s="6858" t="str">
        <f t="shared" si="94"/>
        <v/>
      </c>
      <c r="AS202" s="6217"/>
      <c r="AT202" s="6217"/>
      <c r="AU202" s="6271">
        <f t="shared" si="95"/>
        <v>0</v>
      </c>
      <c r="AV202" s="6242">
        <f t="shared" si="96"/>
        <v>0</v>
      </c>
      <c r="AW202" s="6188" cm="1">
        <f t="array" ref="AW202">IF(AK202&lt;&gt;1,0,IF(OR(AU202="",N(AU202)&lt;=0.000000001),"",IF(OR(AO202="",N(AO202)&lt;=0.000000001),0,IF(ISNUMBER(AU202),IFERROR(_xlfn.LET(_xlpm.ai_test,TRIM(AJ202),_xlpm.r,IFERROR(_xlfn.XLOOKUP(_xlpm.ai_test,$BJ$15:$BJ$62,ROW($BJ$15:$BJ$62),0,1),IFERROR(_xlfn.XLOOKUP(_xlpm.ai_test,$BK$15:$BK$62,ROW($BK$15:$BK$62),0,1),_xlfn.XLOOKUP(_xlpm.ai_test,$BL$15:$BL$62,ROW($BL$15:$BL$62),0,1))),_xlpm.p,_xlpm.r-MIN(ROW($BJ$15:$BJ$62))+1,_xlpm.f,INDEX($BM$15:$BM$62,_xlpm.p),_xlpm.u,INDEX($BN$15:$BN$62,_xlpm.p),_xlpm.s,INDEX($BP$15:$BP$62,_xlpm.p),_xlpm.q,N(AU202)/_xlpm.f,IF(_xlpm.q&gt;=_xlpm.s,ROUND(_xlpm.q,1)&amp;" "&amp;_xlpm.ai_test&amp;" = "&amp;ROUND(_xlpm.q*_xlpm.f,1)&amp;" "&amp;_xlpm.u,ROUND(_xlpm.q,1)&amp;" "&amp;_xlpm.ai_test)),""),""))))</f>
        <v>0</v>
      </c>
      <c r="AX202" s="6218"/>
      <c r="AY202" s="6271">
        <f t="shared" si="97"/>
        <v>0</v>
      </c>
      <c r="AZ202" s="6242" t="str">
        <f t="shared" si="98"/>
        <v/>
      </c>
      <c r="BA202" s="6194">
        <f t="shared" si="103"/>
        <v>0</v>
      </c>
      <c r="BB202" s="6192" t="str">
        <f t="shared" si="99"/>
        <v/>
      </c>
      <c r="BC202" s="6219"/>
      <c r="BD202" s="6221">
        <f t="shared" si="104"/>
        <v>0</v>
      </c>
      <c r="BE202" s="6220" t="str">
        <f t="shared" si="100"/>
        <v/>
      </c>
      <c r="BF202" s="4" t="s">
        <v>1</v>
      </c>
      <c r="BG202" s="6196">
        <f t="shared" si="101"/>
        <v>0</v>
      </c>
      <c r="BH202" s="6197">
        <f t="shared" si="102"/>
        <v>0</v>
      </c>
      <c r="BI202"/>
      <c r="BR202"/>
      <c r="BS202"/>
      <c r="BT202"/>
      <c r="BU202"/>
      <c r="BV202"/>
      <c r="BW202"/>
      <c r="BX202" s="20" t="str">
        <f t="shared" si="107"/>
        <v>►</v>
      </c>
      <c r="BY202"/>
      <c r="BZ202"/>
      <c r="CA202"/>
      <c r="CB202"/>
      <c r="CC202"/>
      <c r="CD202" s="2"/>
      <c r="CE202"/>
      <c r="CF202"/>
      <c r="CG202"/>
      <c r="CH202"/>
      <c r="CI202"/>
      <c r="CJ202"/>
      <c r="CK202"/>
      <c r="CM202"/>
      <c r="CN202"/>
      <c r="CO202"/>
      <c r="CP202"/>
      <c r="CQ202"/>
      <c r="CR202"/>
      <c r="CS202"/>
      <c r="CU202"/>
      <c r="CV202"/>
      <c r="CW202"/>
      <c r="CX202"/>
      <c r="CY202"/>
      <c r="CZ202"/>
      <c r="DA202"/>
      <c r="DC202" s="5">
        <v>1</v>
      </c>
    </row>
    <row r="203" spans="1:107" s="1" customFormat="1" ht="21" customHeight="1">
      <c r="A203" s="5641" t="s">
        <v>1</v>
      </c>
      <c r="B203" s="5662" t="str">
        <f t="shared" si="106"/>
        <v>►</v>
      </c>
      <c r="C203" s="5825" cm="1">
        <f t="array" ref="C203">SUMPRODUCT(LEN(D203:J203))</f>
        <v>0</v>
      </c>
      <c r="D203" s="5275"/>
      <c r="E203" s="1361"/>
      <c r="F203" s="1361"/>
      <c r="G203" s="1361"/>
      <c r="H203" s="1361"/>
      <c r="I203" s="1361"/>
      <c r="J203" s="5276"/>
      <c r="K203" s="106"/>
      <c r="L203" s="1021" t="s">
        <v>26</v>
      </c>
      <c r="M203" s="6787"/>
      <c r="N203" s="6787"/>
      <c r="O203" s="6787"/>
      <c r="P203" s="6788"/>
      <c r="Q203" s="6789"/>
      <c r="R203" s="6790"/>
      <c r="S203" s="6786"/>
      <c r="T203" s="6791"/>
      <c r="U203" s="6844"/>
      <c r="V203" s="6791"/>
      <c r="W203" s="6785"/>
      <c r="X203" s="6868"/>
      <c r="Y203" s="6793"/>
      <c r="Z203" s="6794"/>
      <c r="AA203" s="6795"/>
      <c r="AB203" s="6796"/>
      <c r="AC203" s="6797"/>
      <c r="AD203" s="6798"/>
      <c r="AE203" s="4" t="s">
        <v>1</v>
      </c>
      <c r="AF203" s="6202" t="str">
        <f t="shared" si="84"/>
        <v>►</v>
      </c>
      <c r="AG203" s="6234" t="str">
        <f t="shared" si="85"/>
        <v/>
      </c>
      <c r="AH203" s="6732" t="str">
        <f t="shared" si="86"/>
        <v/>
      </c>
      <c r="AI203" s="6234" t="str">
        <f t="shared" si="87"/>
        <v/>
      </c>
      <c r="AJ203" s="6732" t="str">
        <f t="shared" si="88"/>
        <v/>
      </c>
      <c r="AK203" s="6732">
        <f t="shared" si="89"/>
        <v>0</v>
      </c>
      <c r="AL203" s="6230" t="str" cm="1">
        <f t="array" ref="AL203">IF(AF203&lt;&gt;"A","",IFERROR((IFERROR(_xlfn.XLOOKUP(TRIM(SUBSTITUTE(U203,CHAR(160)," ")),$BJ$15:$BJ$62,$BM$15:$BM$62),IFERROR(_xlfn.XLOOKUP(TRIM(SUBSTITUTE(U203,CHAR(160)," ")),$BK$15:$BK$62,$BM$15:$BM$62),_xlfn.XLOOKUP(TRIM(SUBSTITUTE(U203,CHAR(160)," ")),$BL$15:$BL$62,$BM$15:$BM$62))))*T203*IF(ISBLANK(Q203),1,Q203)+IFERROR(_xlfn.XLOOKUP("RECHERCHEX",TRIM(L203:AD203),L203:AD203),0),0))</f>
        <v/>
      </c>
      <c r="AM203" s="6229">
        <f t="shared" si="90"/>
        <v>0</v>
      </c>
      <c r="AN203" s="6857" t="str">
        <f t="shared" si="105"/>
        <v/>
      </c>
      <c r="AO203" s="392">
        <f t="shared" si="91"/>
        <v>0</v>
      </c>
      <c r="AP203" s="392">
        <f t="shared" si="92"/>
        <v>0</v>
      </c>
      <c r="AQ203" s="6191">
        <f t="shared" si="93"/>
        <v>0</v>
      </c>
      <c r="AR203" s="6859" t="str">
        <f t="shared" si="94"/>
        <v/>
      </c>
      <c r="AS203" s="6217"/>
      <c r="AT203" s="6217"/>
      <c r="AU203" s="6272">
        <f t="shared" si="95"/>
        <v>0</v>
      </c>
      <c r="AV203" s="6240">
        <f t="shared" si="96"/>
        <v>0</v>
      </c>
      <c r="AW203" s="6189" cm="1">
        <f t="array" ref="AW203">IF(AK203&lt;&gt;1,0,IF(OR(AU203="",N(AU203)&lt;=0.000000001),"",IF(OR(AO203="",N(AO203)&lt;=0.000000001),0,IF(ISNUMBER(AU203),IFERROR(_xlfn.LET(_xlpm.ai_test,TRIM(AJ203),_xlpm.r,IFERROR(_xlfn.XLOOKUP(_xlpm.ai_test,$BJ$15:$BJ$62,ROW($BJ$15:$BJ$62),0,1),IFERROR(_xlfn.XLOOKUP(_xlpm.ai_test,$BK$15:$BK$62,ROW($BK$15:$BK$62),0,1),_xlfn.XLOOKUP(_xlpm.ai_test,$BL$15:$BL$62,ROW($BL$15:$BL$62),0,1))),_xlpm.p,_xlpm.r-MIN(ROW($BJ$15:$BJ$62))+1,_xlpm.f,INDEX($BM$15:$BM$62,_xlpm.p),_xlpm.u,INDEX($BN$15:$BN$62,_xlpm.p),_xlpm.s,INDEX($BP$15:$BP$62,_xlpm.p),_xlpm.q,N(AU203)/_xlpm.f,IF(_xlpm.q&gt;=_xlpm.s,ROUND(_xlpm.q,1)&amp;" "&amp;_xlpm.ai_test&amp;" = "&amp;ROUND(_xlpm.q*_xlpm.f,1)&amp;" "&amp;_xlpm.u,ROUND(_xlpm.q,1)&amp;" "&amp;_xlpm.ai_test)),""),""))))</f>
        <v>0</v>
      </c>
      <c r="AX203" s="6218"/>
      <c r="AY203" s="6272">
        <f t="shared" si="97"/>
        <v>0</v>
      </c>
      <c r="AZ203" s="6240" t="str">
        <f t="shared" si="98"/>
        <v/>
      </c>
      <c r="BA203" s="6195">
        <f t="shared" si="103"/>
        <v>0</v>
      </c>
      <c r="BB203" s="6193" t="str">
        <f t="shared" si="99"/>
        <v/>
      </c>
      <c r="BC203" s="6219"/>
      <c r="BD203" s="6222">
        <f t="shared" si="104"/>
        <v>0</v>
      </c>
      <c r="BE203" s="6220" t="str">
        <f t="shared" si="100"/>
        <v/>
      </c>
      <c r="BF203" s="4" t="s">
        <v>1</v>
      </c>
      <c r="BG203" s="6196">
        <f t="shared" si="101"/>
        <v>0</v>
      </c>
      <c r="BH203" s="6197">
        <f t="shared" si="102"/>
        <v>0</v>
      </c>
      <c r="BI203"/>
      <c r="BR203"/>
      <c r="BS203"/>
      <c r="BT203"/>
      <c r="BU203"/>
      <c r="BV203"/>
      <c r="BW203"/>
      <c r="BX203" s="20" t="str">
        <f t="shared" si="107"/>
        <v>►</v>
      </c>
      <c r="BY203"/>
      <c r="BZ203"/>
      <c r="CA203"/>
      <c r="CB203"/>
      <c r="CC203"/>
      <c r="CD203" s="2"/>
      <c r="CE203"/>
      <c r="CF203"/>
      <c r="CG203"/>
      <c r="CH203"/>
      <c r="CI203"/>
      <c r="CJ203"/>
      <c r="CK203"/>
      <c r="CM203"/>
      <c r="CN203"/>
      <c r="CO203"/>
      <c r="CP203"/>
      <c r="CQ203"/>
      <c r="CR203"/>
      <c r="CS203"/>
      <c r="CU203"/>
      <c r="CV203"/>
      <c r="CW203"/>
      <c r="CX203"/>
      <c r="CY203"/>
      <c r="CZ203"/>
      <c r="DA203"/>
      <c r="DC203" s="5">
        <v>1</v>
      </c>
    </row>
    <row r="204" spans="1:107" s="1" customFormat="1" ht="21" customHeight="1">
      <c r="A204" s="5641" t="s">
        <v>1</v>
      </c>
      <c r="B204" s="5662" t="str">
        <f t="shared" si="106"/>
        <v>►</v>
      </c>
      <c r="C204" s="5825" cm="1">
        <f t="array" ref="C204">SUMPRODUCT(LEN(D204:J204))</f>
        <v>0</v>
      </c>
      <c r="D204" s="5275"/>
      <c r="E204" s="1361"/>
      <c r="F204" s="1361"/>
      <c r="G204" s="1361"/>
      <c r="H204" s="1361"/>
      <c r="I204" s="1361"/>
      <c r="J204" s="5276"/>
      <c r="K204" s="106"/>
      <c r="L204" s="1021" t="s">
        <v>26</v>
      </c>
      <c r="M204" s="6787"/>
      <c r="N204" s="6787"/>
      <c r="O204" s="6787"/>
      <c r="P204" s="6788"/>
      <c r="Q204" s="6789"/>
      <c r="R204" s="6790"/>
      <c r="S204" s="6786"/>
      <c r="T204" s="6791"/>
      <c r="U204" s="6844"/>
      <c r="V204" s="6791"/>
      <c r="W204" s="6785"/>
      <c r="X204" s="6868"/>
      <c r="Y204" s="6793"/>
      <c r="Z204" s="6794"/>
      <c r="AA204" s="6795"/>
      <c r="AB204" s="6796"/>
      <c r="AC204" s="6797"/>
      <c r="AD204" s="6798"/>
      <c r="AE204" s="4" t="s">
        <v>1</v>
      </c>
      <c r="AF204" s="6202" t="str">
        <f t="shared" si="84"/>
        <v>►</v>
      </c>
      <c r="AG204" s="6234" t="str">
        <f t="shared" si="85"/>
        <v/>
      </c>
      <c r="AH204" s="6732" t="str">
        <f t="shared" si="86"/>
        <v/>
      </c>
      <c r="AI204" s="6234" t="str">
        <f t="shared" si="87"/>
        <v/>
      </c>
      <c r="AJ204" s="6732" t="str">
        <f t="shared" si="88"/>
        <v/>
      </c>
      <c r="AK204" s="6732">
        <f t="shared" si="89"/>
        <v>0</v>
      </c>
      <c r="AL204" s="6230" t="str" cm="1">
        <f t="array" ref="AL204">IF(AF204&lt;&gt;"A","",IFERROR((IFERROR(_xlfn.XLOOKUP(TRIM(SUBSTITUTE(U204,CHAR(160)," ")),$BJ$15:$BJ$62,$BM$15:$BM$62),IFERROR(_xlfn.XLOOKUP(TRIM(SUBSTITUTE(U204,CHAR(160)," ")),$BK$15:$BK$62,$BM$15:$BM$62),_xlfn.XLOOKUP(TRIM(SUBSTITUTE(U204,CHAR(160)," ")),$BL$15:$BL$62,$BM$15:$BM$62))))*T204*IF(ISBLANK(Q204),1,Q204)+IFERROR(_xlfn.XLOOKUP("RECHERCHEX",TRIM(L204:AD204),L204:AD204),0),0))</f>
        <v/>
      </c>
      <c r="AM204" s="6229">
        <f t="shared" si="90"/>
        <v>0</v>
      </c>
      <c r="AN204" s="6857" t="str">
        <f t="shared" si="105"/>
        <v/>
      </c>
      <c r="AO204" s="392">
        <f t="shared" si="91"/>
        <v>0</v>
      </c>
      <c r="AP204" s="392">
        <f t="shared" si="92"/>
        <v>0</v>
      </c>
      <c r="AQ204" s="6190">
        <f t="shared" si="93"/>
        <v>0</v>
      </c>
      <c r="AR204" s="6858" t="str">
        <f t="shared" si="94"/>
        <v/>
      </c>
      <c r="AS204" s="6217"/>
      <c r="AT204" s="6217"/>
      <c r="AU204" s="6271">
        <f t="shared" si="95"/>
        <v>0</v>
      </c>
      <c r="AV204" s="6242">
        <f t="shared" si="96"/>
        <v>0</v>
      </c>
      <c r="AW204" s="6188" cm="1">
        <f t="array" ref="AW204">IF(AK204&lt;&gt;1,0,IF(OR(AU204="",N(AU204)&lt;=0.000000001),"",IF(OR(AO204="",N(AO204)&lt;=0.000000001),0,IF(ISNUMBER(AU204),IFERROR(_xlfn.LET(_xlpm.ai_test,TRIM(AJ204),_xlpm.r,IFERROR(_xlfn.XLOOKUP(_xlpm.ai_test,$BJ$15:$BJ$62,ROW($BJ$15:$BJ$62),0,1),IFERROR(_xlfn.XLOOKUP(_xlpm.ai_test,$BK$15:$BK$62,ROW($BK$15:$BK$62),0,1),_xlfn.XLOOKUP(_xlpm.ai_test,$BL$15:$BL$62,ROW($BL$15:$BL$62),0,1))),_xlpm.p,_xlpm.r-MIN(ROW($BJ$15:$BJ$62))+1,_xlpm.f,INDEX($BM$15:$BM$62,_xlpm.p),_xlpm.u,INDEX($BN$15:$BN$62,_xlpm.p),_xlpm.s,INDEX($BP$15:$BP$62,_xlpm.p),_xlpm.q,N(AU204)/_xlpm.f,IF(_xlpm.q&gt;=_xlpm.s,ROUND(_xlpm.q,1)&amp;" "&amp;_xlpm.ai_test&amp;" = "&amp;ROUND(_xlpm.q*_xlpm.f,1)&amp;" "&amp;_xlpm.u,ROUND(_xlpm.q,1)&amp;" "&amp;_xlpm.ai_test)),""),""))))</f>
        <v>0</v>
      </c>
      <c r="AX204" s="6218"/>
      <c r="AY204" s="6271">
        <f t="shared" si="97"/>
        <v>0</v>
      </c>
      <c r="AZ204" s="6242" t="str">
        <f t="shared" si="98"/>
        <v/>
      </c>
      <c r="BA204" s="6194">
        <f t="shared" si="103"/>
        <v>0</v>
      </c>
      <c r="BB204" s="6192" t="str">
        <f t="shared" si="99"/>
        <v/>
      </c>
      <c r="BC204" s="6219"/>
      <c r="BD204" s="6221">
        <f t="shared" si="104"/>
        <v>0</v>
      </c>
      <c r="BE204" s="6220" t="str">
        <f t="shared" si="100"/>
        <v/>
      </c>
      <c r="BF204" s="4" t="s">
        <v>1</v>
      </c>
      <c r="BG204" s="6196">
        <f t="shared" si="101"/>
        <v>0</v>
      </c>
      <c r="BH204" s="6197">
        <f t="shared" si="102"/>
        <v>0</v>
      </c>
      <c r="BI204"/>
      <c r="BR204"/>
      <c r="BS204"/>
      <c r="BT204"/>
      <c r="BU204"/>
      <c r="BV204"/>
      <c r="BW204"/>
      <c r="BX204" s="20" t="str">
        <f t="shared" si="107"/>
        <v>►</v>
      </c>
      <c r="BY204"/>
      <c r="BZ204"/>
      <c r="CA204"/>
      <c r="CB204"/>
      <c r="CC204"/>
      <c r="CD204" s="2"/>
      <c r="CE204"/>
      <c r="CF204"/>
      <c r="CG204"/>
      <c r="CH204"/>
      <c r="CI204"/>
      <c r="CJ204"/>
      <c r="CK204"/>
      <c r="CM204"/>
      <c r="CN204"/>
      <c r="CO204"/>
      <c r="CP204"/>
      <c r="CQ204"/>
      <c r="CR204"/>
      <c r="CS204"/>
      <c r="CU204"/>
      <c r="CV204"/>
      <c r="CW204"/>
      <c r="CX204"/>
      <c r="CY204"/>
      <c r="CZ204"/>
      <c r="DA204"/>
      <c r="DC204" s="5">
        <v>1</v>
      </c>
    </row>
    <row r="205" spans="1:107" s="1" customFormat="1" ht="21" customHeight="1">
      <c r="A205" s="5641" t="s">
        <v>1</v>
      </c>
      <c r="B205" s="5662" t="str">
        <f t="shared" si="106"/>
        <v>►</v>
      </c>
      <c r="C205" s="5825" cm="1">
        <f t="array" ref="C205">SUMPRODUCT(LEN(D205:J205))</f>
        <v>0</v>
      </c>
      <c r="D205" s="5275"/>
      <c r="E205" s="1361"/>
      <c r="F205" s="1361"/>
      <c r="G205" s="1361"/>
      <c r="H205" s="1361"/>
      <c r="I205" s="1361"/>
      <c r="J205" s="5276"/>
      <c r="K205" s="106"/>
      <c r="L205" s="1021" t="s">
        <v>26</v>
      </c>
      <c r="M205" s="6787"/>
      <c r="N205" s="6787"/>
      <c r="O205" s="6787"/>
      <c r="P205" s="6788"/>
      <c r="Q205" s="6789"/>
      <c r="R205" s="6790"/>
      <c r="S205" s="6786"/>
      <c r="T205" s="6791"/>
      <c r="U205" s="6844"/>
      <c r="V205" s="6791"/>
      <c r="W205" s="6785"/>
      <c r="X205" s="6868"/>
      <c r="Y205" s="6793"/>
      <c r="Z205" s="6794"/>
      <c r="AA205" s="6795"/>
      <c r="AB205" s="6796"/>
      <c r="AC205" s="6797"/>
      <c r="AD205" s="6798"/>
      <c r="AE205" s="4" t="s">
        <v>1</v>
      </c>
      <c r="AF205" s="6202" t="str">
        <f t="shared" si="84"/>
        <v>►</v>
      </c>
      <c r="AG205" s="6234" t="str">
        <f t="shared" si="85"/>
        <v/>
      </c>
      <c r="AH205" s="6732" t="str">
        <f t="shared" si="86"/>
        <v/>
      </c>
      <c r="AI205" s="6234" t="str">
        <f t="shared" si="87"/>
        <v/>
      </c>
      <c r="AJ205" s="6732" t="str">
        <f t="shared" si="88"/>
        <v/>
      </c>
      <c r="AK205" s="6732">
        <f t="shared" si="89"/>
        <v>0</v>
      </c>
      <c r="AL205" s="6230" t="str" cm="1">
        <f t="array" ref="AL205">IF(AF205&lt;&gt;"A","",IFERROR((IFERROR(_xlfn.XLOOKUP(TRIM(SUBSTITUTE(U205,CHAR(160)," ")),$BJ$15:$BJ$62,$BM$15:$BM$62),IFERROR(_xlfn.XLOOKUP(TRIM(SUBSTITUTE(U205,CHAR(160)," ")),$BK$15:$BK$62,$BM$15:$BM$62),_xlfn.XLOOKUP(TRIM(SUBSTITUTE(U205,CHAR(160)," ")),$BL$15:$BL$62,$BM$15:$BM$62))))*T205*IF(ISBLANK(Q205),1,Q205)+IFERROR(_xlfn.XLOOKUP("RECHERCHEX",TRIM(L205:AD205),L205:AD205),0),0))</f>
        <v/>
      </c>
      <c r="AM205" s="6229">
        <f t="shared" si="90"/>
        <v>0</v>
      </c>
      <c r="AN205" s="6857" t="str">
        <f t="shared" si="105"/>
        <v/>
      </c>
      <c r="AO205" s="392">
        <f t="shared" si="91"/>
        <v>0</v>
      </c>
      <c r="AP205" s="392">
        <f t="shared" si="92"/>
        <v>0</v>
      </c>
      <c r="AQ205" s="6191">
        <f t="shared" si="93"/>
        <v>0</v>
      </c>
      <c r="AR205" s="6859" t="str">
        <f t="shared" si="94"/>
        <v/>
      </c>
      <c r="AS205" s="6217"/>
      <c r="AT205" s="6217"/>
      <c r="AU205" s="6272">
        <f t="shared" si="95"/>
        <v>0</v>
      </c>
      <c r="AV205" s="6240">
        <f t="shared" si="96"/>
        <v>0</v>
      </c>
      <c r="AW205" s="6189" cm="1">
        <f t="array" ref="AW205">IF(AK205&lt;&gt;1,0,IF(OR(AU205="",N(AU205)&lt;=0.000000001),"",IF(OR(AO205="",N(AO205)&lt;=0.000000001),0,IF(ISNUMBER(AU205),IFERROR(_xlfn.LET(_xlpm.ai_test,TRIM(AJ205),_xlpm.r,IFERROR(_xlfn.XLOOKUP(_xlpm.ai_test,$BJ$15:$BJ$62,ROW($BJ$15:$BJ$62),0,1),IFERROR(_xlfn.XLOOKUP(_xlpm.ai_test,$BK$15:$BK$62,ROW($BK$15:$BK$62),0,1),_xlfn.XLOOKUP(_xlpm.ai_test,$BL$15:$BL$62,ROW($BL$15:$BL$62),0,1))),_xlpm.p,_xlpm.r-MIN(ROW($BJ$15:$BJ$62))+1,_xlpm.f,INDEX($BM$15:$BM$62,_xlpm.p),_xlpm.u,INDEX($BN$15:$BN$62,_xlpm.p),_xlpm.s,INDEX($BP$15:$BP$62,_xlpm.p),_xlpm.q,N(AU205)/_xlpm.f,IF(_xlpm.q&gt;=_xlpm.s,ROUND(_xlpm.q,1)&amp;" "&amp;_xlpm.ai_test&amp;" = "&amp;ROUND(_xlpm.q*_xlpm.f,1)&amp;" "&amp;_xlpm.u,ROUND(_xlpm.q,1)&amp;" "&amp;_xlpm.ai_test)),""),""))))</f>
        <v>0</v>
      </c>
      <c r="AX205" s="6218"/>
      <c r="AY205" s="6272">
        <f t="shared" si="97"/>
        <v>0</v>
      </c>
      <c r="AZ205" s="6240" t="str">
        <f t="shared" si="98"/>
        <v/>
      </c>
      <c r="BA205" s="6195">
        <f t="shared" si="103"/>
        <v>0</v>
      </c>
      <c r="BB205" s="6193" t="str">
        <f t="shared" si="99"/>
        <v/>
      </c>
      <c r="BC205" s="6219"/>
      <c r="BD205" s="6222">
        <f t="shared" si="104"/>
        <v>0</v>
      </c>
      <c r="BE205" s="6220" t="str">
        <f t="shared" si="100"/>
        <v/>
      </c>
      <c r="BF205" s="4" t="s">
        <v>1</v>
      </c>
      <c r="BG205" s="6196">
        <f t="shared" si="101"/>
        <v>0</v>
      </c>
      <c r="BH205" s="6197">
        <f t="shared" si="102"/>
        <v>0</v>
      </c>
      <c r="BI205"/>
      <c r="BR205"/>
      <c r="BS205"/>
      <c r="BT205"/>
      <c r="BU205"/>
      <c r="BV205"/>
      <c r="BW205"/>
      <c r="BX205" s="20" t="str">
        <f t="shared" si="107"/>
        <v>►</v>
      </c>
      <c r="BY205"/>
      <c r="BZ205"/>
      <c r="CA205"/>
      <c r="CB205"/>
      <c r="CC205"/>
      <c r="CD205" s="2"/>
      <c r="CE205"/>
      <c r="CF205"/>
      <c r="CG205"/>
      <c r="CH205"/>
      <c r="CI205"/>
      <c r="CJ205"/>
      <c r="CK205"/>
      <c r="CM205"/>
      <c r="CN205"/>
      <c r="CO205"/>
      <c r="CP205"/>
      <c r="CQ205"/>
      <c r="CR205"/>
      <c r="CS205"/>
      <c r="CU205"/>
      <c r="CV205"/>
      <c r="CW205"/>
      <c r="CX205"/>
      <c r="CY205"/>
      <c r="CZ205"/>
      <c r="DA205"/>
      <c r="DC205" s="5">
        <v>1</v>
      </c>
    </row>
    <row r="206" spans="1:107" s="1" customFormat="1" ht="21" customHeight="1">
      <c r="A206" s="5641" t="s">
        <v>1</v>
      </c>
      <c r="B206" s="5662" t="str">
        <f t="shared" si="106"/>
        <v>►</v>
      </c>
      <c r="C206" s="5825" cm="1">
        <f t="array" ref="C206">SUMPRODUCT(LEN(D206:J206))</f>
        <v>0</v>
      </c>
      <c r="D206" s="5275"/>
      <c r="E206" s="1361"/>
      <c r="F206" s="1361"/>
      <c r="G206" s="1361"/>
      <c r="H206" s="1361"/>
      <c r="I206" s="1361"/>
      <c r="J206" s="5276"/>
      <c r="K206" s="106"/>
      <c r="L206" s="1021" t="s">
        <v>26</v>
      </c>
      <c r="M206" s="6787"/>
      <c r="N206" s="6787"/>
      <c r="O206" s="6787"/>
      <c r="P206" s="6788"/>
      <c r="Q206" s="6789"/>
      <c r="R206" s="6790"/>
      <c r="S206" s="6786"/>
      <c r="T206" s="6791"/>
      <c r="U206" s="6844"/>
      <c r="V206" s="6791"/>
      <c r="W206" s="6785"/>
      <c r="X206" s="6868"/>
      <c r="Y206" s="6793"/>
      <c r="Z206" s="6794"/>
      <c r="AA206" s="6795"/>
      <c r="AB206" s="6796"/>
      <c r="AC206" s="6797"/>
      <c r="AD206" s="6798"/>
      <c r="AE206" s="4" t="s">
        <v>1</v>
      </c>
      <c r="AF206" s="6202" t="str">
        <f t="shared" si="84"/>
        <v>►</v>
      </c>
      <c r="AG206" s="6234" t="str">
        <f t="shared" si="85"/>
        <v/>
      </c>
      <c r="AH206" s="6732" t="str">
        <f t="shared" si="86"/>
        <v/>
      </c>
      <c r="AI206" s="6234" t="str">
        <f t="shared" si="87"/>
        <v/>
      </c>
      <c r="AJ206" s="6732" t="str">
        <f t="shared" si="88"/>
        <v/>
      </c>
      <c r="AK206" s="6732">
        <f t="shared" si="89"/>
        <v>0</v>
      </c>
      <c r="AL206" s="6230" t="str" cm="1">
        <f t="array" ref="AL206">IF(AF206&lt;&gt;"A","",IFERROR((IFERROR(_xlfn.XLOOKUP(TRIM(SUBSTITUTE(U206,CHAR(160)," ")),$BJ$15:$BJ$62,$BM$15:$BM$62),IFERROR(_xlfn.XLOOKUP(TRIM(SUBSTITUTE(U206,CHAR(160)," ")),$BK$15:$BK$62,$BM$15:$BM$62),_xlfn.XLOOKUP(TRIM(SUBSTITUTE(U206,CHAR(160)," ")),$BL$15:$BL$62,$BM$15:$BM$62))))*T206*IF(ISBLANK(Q206),1,Q206)+IFERROR(_xlfn.XLOOKUP("RECHERCHEX",TRIM(L206:AD206),L206:AD206),0),0))</f>
        <v/>
      </c>
      <c r="AM206" s="6229">
        <f t="shared" si="90"/>
        <v>0</v>
      </c>
      <c r="AN206" s="6857" t="str">
        <f t="shared" si="105"/>
        <v/>
      </c>
      <c r="AO206" s="392">
        <f t="shared" si="91"/>
        <v>0</v>
      </c>
      <c r="AP206" s="392">
        <f t="shared" si="92"/>
        <v>0</v>
      </c>
      <c r="AQ206" s="6190">
        <f t="shared" si="93"/>
        <v>0</v>
      </c>
      <c r="AR206" s="6858" t="str">
        <f t="shared" si="94"/>
        <v/>
      </c>
      <c r="AS206" s="6217"/>
      <c r="AT206" s="6217"/>
      <c r="AU206" s="6271">
        <f t="shared" si="95"/>
        <v>0</v>
      </c>
      <c r="AV206" s="6242">
        <f t="shared" si="96"/>
        <v>0</v>
      </c>
      <c r="AW206" s="6188" cm="1">
        <f t="array" ref="AW206">IF(AK206&lt;&gt;1,0,IF(OR(AU206="",N(AU206)&lt;=0.000000001),"",IF(OR(AO206="",N(AO206)&lt;=0.000000001),0,IF(ISNUMBER(AU206),IFERROR(_xlfn.LET(_xlpm.ai_test,TRIM(AJ206),_xlpm.r,IFERROR(_xlfn.XLOOKUP(_xlpm.ai_test,$BJ$15:$BJ$62,ROW($BJ$15:$BJ$62),0,1),IFERROR(_xlfn.XLOOKUP(_xlpm.ai_test,$BK$15:$BK$62,ROW($BK$15:$BK$62),0,1),_xlfn.XLOOKUP(_xlpm.ai_test,$BL$15:$BL$62,ROW($BL$15:$BL$62),0,1))),_xlpm.p,_xlpm.r-MIN(ROW($BJ$15:$BJ$62))+1,_xlpm.f,INDEX($BM$15:$BM$62,_xlpm.p),_xlpm.u,INDEX($BN$15:$BN$62,_xlpm.p),_xlpm.s,INDEX($BP$15:$BP$62,_xlpm.p),_xlpm.q,N(AU206)/_xlpm.f,IF(_xlpm.q&gt;=_xlpm.s,ROUND(_xlpm.q,1)&amp;" "&amp;_xlpm.ai_test&amp;" = "&amp;ROUND(_xlpm.q*_xlpm.f,1)&amp;" "&amp;_xlpm.u,ROUND(_xlpm.q,1)&amp;" "&amp;_xlpm.ai_test)),""),""))))</f>
        <v>0</v>
      </c>
      <c r="AX206" s="6218"/>
      <c r="AY206" s="6271">
        <f t="shared" si="97"/>
        <v>0</v>
      </c>
      <c r="AZ206" s="6242" t="str">
        <f t="shared" si="98"/>
        <v/>
      </c>
      <c r="BA206" s="6194">
        <f t="shared" si="103"/>
        <v>0</v>
      </c>
      <c r="BB206" s="6192" t="str">
        <f t="shared" si="99"/>
        <v/>
      </c>
      <c r="BC206" s="6219"/>
      <c r="BD206" s="6221">
        <f t="shared" si="104"/>
        <v>0</v>
      </c>
      <c r="BE206" s="6220" t="str">
        <f t="shared" si="100"/>
        <v/>
      </c>
      <c r="BF206" s="4" t="s">
        <v>1</v>
      </c>
      <c r="BG206" s="6196">
        <f t="shared" si="101"/>
        <v>0</v>
      </c>
      <c r="BH206" s="6197">
        <f t="shared" si="102"/>
        <v>0</v>
      </c>
      <c r="BI206"/>
      <c r="BR206"/>
      <c r="BS206"/>
      <c r="BT206"/>
      <c r="BU206"/>
      <c r="BV206"/>
      <c r="BW206"/>
      <c r="BX206" s="20" t="str">
        <f t="shared" si="107"/>
        <v>►</v>
      </c>
      <c r="BY206"/>
      <c r="BZ206"/>
      <c r="CA206"/>
      <c r="CB206"/>
      <c r="CC206"/>
      <c r="CD206" s="2"/>
      <c r="CE206"/>
      <c r="CF206"/>
      <c r="CG206"/>
      <c r="CH206"/>
      <c r="CI206"/>
      <c r="CJ206"/>
      <c r="CK206"/>
      <c r="CM206"/>
      <c r="CN206"/>
      <c r="CO206"/>
      <c r="CP206"/>
      <c r="CQ206"/>
      <c r="CR206"/>
      <c r="CS206"/>
      <c r="CU206"/>
      <c r="CV206"/>
      <c r="CW206"/>
      <c r="CX206"/>
      <c r="CY206"/>
      <c r="CZ206"/>
      <c r="DA206"/>
      <c r="DC206" s="5">
        <v>1</v>
      </c>
    </row>
    <row r="207" spans="1:107" s="1" customFormat="1" ht="21" customHeight="1">
      <c r="A207" s="5641" t="s">
        <v>1</v>
      </c>
      <c r="B207" s="5662" t="str">
        <f t="shared" si="106"/>
        <v>►</v>
      </c>
      <c r="C207" s="5825" cm="1">
        <f t="array" ref="C207">SUMPRODUCT(LEN(D207:J207))</f>
        <v>0</v>
      </c>
      <c r="D207" s="5275"/>
      <c r="E207" s="1361"/>
      <c r="F207" s="1361"/>
      <c r="G207" s="1361"/>
      <c r="H207" s="1361"/>
      <c r="I207" s="1361"/>
      <c r="J207" s="5276"/>
      <c r="K207" s="106"/>
      <c r="L207" s="1021" t="s">
        <v>26</v>
      </c>
      <c r="M207" s="6787"/>
      <c r="N207" s="6787"/>
      <c r="O207" s="6787"/>
      <c r="P207" s="6788"/>
      <c r="Q207" s="6789"/>
      <c r="R207" s="6790"/>
      <c r="S207" s="6786"/>
      <c r="T207" s="6791"/>
      <c r="U207" s="6844"/>
      <c r="V207" s="6791"/>
      <c r="W207" s="6785"/>
      <c r="X207" s="6868"/>
      <c r="Y207" s="6793"/>
      <c r="Z207" s="6794"/>
      <c r="AA207" s="6795"/>
      <c r="AB207" s="6796"/>
      <c r="AC207" s="6797"/>
      <c r="AD207" s="6798"/>
      <c r="AE207" s="4" t="s">
        <v>1</v>
      </c>
      <c r="AF207" s="6202" t="str">
        <f t="shared" si="84"/>
        <v>►</v>
      </c>
      <c r="AG207" s="6234" t="str">
        <f t="shared" si="85"/>
        <v/>
      </c>
      <c r="AH207" s="6732" t="str">
        <f t="shared" si="86"/>
        <v/>
      </c>
      <c r="AI207" s="6234" t="str">
        <f t="shared" si="87"/>
        <v/>
      </c>
      <c r="AJ207" s="6732" t="str">
        <f t="shared" si="88"/>
        <v/>
      </c>
      <c r="AK207" s="6732">
        <f t="shared" si="89"/>
        <v>0</v>
      </c>
      <c r="AL207" s="6230" t="str" cm="1">
        <f t="array" ref="AL207">IF(AF207&lt;&gt;"A","",IFERROR((IFERROR(_xlfn.XLOOKUP(TRIM(SUBSTITUTE(U207,CHAR(160)," ")),$BJ$15:$BJ$62,$BM$15:$BM$62),IFERROR(_xlfn.XLOOKUP(TRIM(SUBSTITUTE(U207,CHAR(160)," ")),$BK$15:$BK$62,$BM$15:$BM$62),_xlfn.XLOOKUP(TRIM(SUBSTITUTE(U207,CHAR(160)," ")),$BL$15:$BL$62,$BM$15:$BM$62))))*T207*IF(ISBLANK(Q207),1,Q207)+IFERROR(_xlfn.XLOOKUP("RECHERCHEX",TRIM(L207:AD207),L207:AD207),0),0))</f>
        <v/>
      </c>
      <c r="AM207" s="6229">
        <f t="shared" si="90"/>
        <v>0</v>
      </c>
      <c r="AN207" s="6857" t="str">
        <f t="shared" si="105"/>
        <v/>
      </c>
      <c r="AO207" s="392">
        <f t="shared" si="91"/>
        <v>0</v>
      </c>
      <c r="AP207" s="392">
        <f t="shared" si="92"/>
        <v>0</v>
      </c>
      <c r="AQ207" s="6191">
        <f t="shared" si="93"/>
        <v>0</v>
      </c>
      <c r="AR207" s="6859" t="str">
        <f t="shared" si="94"/>
        <v/>
      </c>
      <c r="AS207" s="6217"/>
      <c r="AT207" s="6217"/>
      <c r="AU207" s="6272">
        <f t="shared" si="95"/>
        <v>0</v>
      </c>
      <c r="AV207" s="6240">
        <f t="shared" si="96"/>
        <v>0</v>
      </c>
      <c r="AW207" s="6189" cm="1">
        <f t="array" ref="AW207">IF(AK207&lt;&gt;1,0,IF(OR(AU207="",N(AU207)&lt;=0.000000001),"",IF(OR(AO207="",N(AO207)&lt;=0.000000001),0,IF(ISNUMBER(AU207),IFERROR(_xlfn.LET(_xlpm.ai_test,TRIM(AJ207),_xlpm.r,IFERROR(_xlfn.XLOOKUP(_xlpm.ai_test,$BJ$15:$BJ$62,ROW($BJ$15:$BJ$62),0,1),IFERROR(_xlfn.XLOOKUP(_xlpm.ai_test,$BK$15:$BK$62,ROW($BK$15:$BK$62),0,1),_xlfn.XLOOKUP(_xlpm.ai_test,$BL$15:$BL$62,ROW($BL$15:$BL$62),0,1))),_xlpm.p,_xlpm.r-MIN(ROW($BJ$15:$BJ$62))+1,_xlpm.f,INDEX($BM$15:$BM$62,_xlpm.p),_xlpm.u,INDEX($BN$15:$BN$62,_xlpm.p),_xlpm.s,INDEX($BP$15:$BP$62,_xlpm.p),_xlpm.q,N(AU207)/_xlpm.f,IF(_xlpm.q&gt;=_xlpm.s,ROUND(_xlpm.q,1)&amp;" "&amp;_xlpm.ai_test&amp;" = "&amp;ROUND(_xlpm.q*_xlpm.f,1)&amp;" "&amp;_xlpm.u,ROUND(_xlpm.q,1)&amp;" "&amp;_xlpm.ai_test)),""),""))))</f>
        <v>0</v>
      </c>
      <c r="AX207" s="6218"/>
      <c r="AY207" s="6272">
        <f t="shared" si="97"/>
        <v>0</v>
      </c>
      <c r="AZ207" s="6240" t="str">
        <f t="shared" si="98"/>
        <v/>
      </c>
      <c r="BA207" s="6195">
        <f t="shared" si="103"/>
        <v>0</v>
      </c>
      <c r="BB207" s="6193" t="str">
        <f t="shared" si="99"/>
        <v/>
      </c>
      <c r="BC207" s="6219"/>
      <c r="BD207" s="6222">
        <f t="shared" si="104"/>
        <v>0</v>
      </c>
      <c r="BE207" s="6220" t="str">
        <f t="shared" si="100"/>
        <v/>
      </c>
      <c r="BF207" s="4" t="s">
        <v>1</v>
      </c>
      <c r="BG207" s="6196">
        <f t="shared" si="101"/>
        <v>0</v>
      </c>
      <c r="BH207" s="6197">
        <f t="shared" si="102"/>
        <v>0</v>
      </c>
      <c r="BI207"/>
      <c r="BR207"/>
      <c r="BS207"/>
      <c r="BT207"/>
      <c r="BU207"/>
      <c r="BV207"/>
      <c r="BW207"/>
      <c r="BX207" s="20" t="str">
        <f t="shared" si="107"/>
        <v>►</v>
      </c>
      <c r="BY207"/>
      <c r="BZ207"/>
      <c r="CA207"/>
      <c r="CB207"/>
      <c r="CC207"/>
      <c r="CD207" s="2"/>
      <c r="CE207"/>
      <c r="CF207"/>
      <c r="CG207"/>
      <c r="CH207"/>
      <c r="CI207"/>
      <c r="CJ207"/>
      <c r="CK207"/>
      <c r="CM207"/>
      <c r="CN207"/>
      <c r="CO207"/>
      <c r="CP207"/>
      <c r="CQ207"/>
      <c r="CR207"/>
      <c r="CS207"/>
      <c r="CU207"/>
      <c r="CV207"/>
      <c r="CW207"/>
      <c r="CX207"/>
      <c r="CY207"/>
      <c r="CZ207"/>
      <c r="DA207"/>
      <c r="DC207" s="5">
        <v>1</v>
      </c>
    </row>
    <row r="208" spans="1:107" s="1" customFormat="1" ht="21" customHeight="1">
      <c r="A208" s="5641" t="s">
        <v>1</v>
      </c>
      <c r="B208" s="5662" t="str">
        <f t="shared" si="106"/>
        <v>►</v>
      </c>
      <c r="C208" s="5825" cm="1">
        <f t="array" ref="C208">SUMPRODUCT(LEN(D208:J208))</f>
        <v>0</v>
      </c>
      <c r="D208" s="5275"/>
      <c r="E208" s="1361"/>
      <c r="F208" s="1361"/>
      <c r="G208" s="1361"/>
      <c r="H208" s="1361"/>
      <c r="I208" s="1361"/>
      <c r="J208" s="5276"/>
      <c r="K208" s="106" t="s">
        <v>1</v>
      </c>
      <c r="L208" s="1021" t="s">
        <v>26</v>
      </c>
      <c r="M208" s="6787"/>
      <c r="N208" s="6787"/>
      <c r="O208" s="6787"/>
      <c r="P208" s="6788"/>
      <c r="Q208" s="6789"/>
      <c r="R208" s="6790"/>
      <c r="S208" s="6786"/>
      <c r="T208" s="6791"/>
      <c r="U208" s="6844"/>
      <c r="V208" s="6791"/>
      <c r="W208" s="6785"/>
      <c r="X208" s="6868"/>
      <c r="Y208" s="6793"/>
      <c r="Z208" s="6794"/>
      <c r="AA208" s="6795"/>
      <c r="AB208" s="6796"/>
      <c r="AC208" s="6797"/>
      <c r="AD208" s="6798"/>
      <c r="AE208" s="4" t="s">
        <v>1</v>
      </c>
      <c r="AF208" s="6202" t="str">
        <f t="shared" si="84"/>
        <v>►</v>
      </c>
      <c r="AG208" s="6234" t="str">
        <f t="shared" si="85"/>
        <v/>
      </c>
      <c r="AH208" s="6732" t="str">
        <f t="shared" si="86"/>
        <v/>
      </c>
      <c r="AI208" s="6234" t="str">
        <f t="shared" si="87"/>
        <v/>
      </c>
      <c r="AJ208" s="6732" t="str">
        <f t="shared" si="88"/>
        <v/>
      </c>
      <c r="AK208" s="6732">
        <f t="shared" si="89"/>
        <v>0</v>
      </c>
      <c r="AL208" s="6230" t="str" cm="1">
        <f t="array" ref="AL208">IF(AF208&lt;&gt;"A","",IFERROR((IFERROR(_xlfn.XLOOKUP(TRIM(SUBSTITUTE(U208,CHAR(160)," ")),$BJ$15:$BJ$62,$BM$15:$BM$62),IFERROR(_xlfn.XLOOKUP(TRIM(SUBSTITUTE(U208,CHAR(160)," ")),$BK$15:$BK$62,$BM$15:$BM$62),_xlfn.XLOOKUP(TRIM(SUBSTITUTE(U208,CHAR(160)," ")),$BL$15:$BL$62,$BM$15:$BM$62))))*T208*IF(ISBLANK(Q208),1,Q208)+IFERROR(_xlfn.XLOOKUP("RECHERCHEX",TRIM(L208:AD208),L208:AD208),0),0))</f>
        <v/>
      </c>
      <c r="AM208" s="6229">
        <f t="shared" si="90"/>
        <v>0</v>
      </c>
      <c r="AN208" s="6857" t="str">
        <f t="shared" si="105"/>
        <v/>
      </c>
      <c r="AO208" s="392">
        <f t="shared" si="91"/>
        <v>0</v>
      </c>
      <c r="AP208" s="392">
        <f t="shared" si="92"/>
        <v>0</v>
      </c>
      <c r="AQ208" s="6190">
        <f t="shared" si="93"/>
        <v>0</v>
      </c>
      <c r="AR208" s="6858" t="str">
        <f t="shared" si="94"/>
        <v/>
      </c>
      <c r="AS208" s="6217"/>
      <c r="AT208" s="6217"/>
      <c r="AU208" s="6271">
        <f t="shared" si="95"/>
        <v>0</v>
      </c>
      <c r="AV208" s="6242">
        <f t="shared" si="96"/>
        <v>0</v>
      </c>
      <c r="AW208" s="6188" cm="1">
        <f t="array" ref="AW208">IF(AK208&lt;&gt;1,0,IF(OR(AU208="",N(AU208)&lt;=0.000000001),"",IF(OR(AO208="",N(AO208)&lt;=0.000000001),0,IF(ISNUMBER(AU208),IFERROR(_xlfn.LET(_xlpm.ai_test,TRIM(AJ208),_xlpm.r,IFERROR(_xlfn.XLOOKUP(_xlpm.ai_test,$BJ$15:$BJ$62,ROW($BJ$15:$BJ$62),0,1),IFERROR(_xlfn.XLOOKUP(_xlpm.ai_test,$BK$15:$BK$62,ROW($BK$15:$BK$62),0,1),_xlfn.XLOOKUP(_xlpm.ai_test,$BL$15:$BL$62,ROW($BL$15:$BL$62),0,1))),_xlpm.p,_xlpm.r-MIN(ROW($BJ$15:$BJ$62))+1,_xlpm.f,INDEX($BM$15:$BM$62,_xlpm.p),_xlpm.u,INDEX($BN$15:$BN$62,_xlpm.p),_xlpm.s,INDEX($BP$15:$BP$62,_xlpm.p),_xlpm.q,N(AU208)/_xlpm.f,IF(_xlpm.q&gt;=_xlpm.s,ROUND(_xlpm.q,1)&amp;" "&amp;_xlpm.ai_test&amp;" = "&amp;ROUND(_xlpm.q*_xlpm.f,1)&amp;" "&amp;_xlpm.u,ROUND(_xlpm.q,1)&amp;" "&amp;_xlpm.ai_test)),""),""))))</f>
        <v>0</v>
      </c>
      <c r="AX208" s="6218"/>
      <c r="AY208" s="6271">
        <f t="shared" si="97"/>
        <v>0</v>
      </c>
      <c r="AZ208" s="6242" t="str">
        <f t="shared" si="98"/>
        <v/>
      </c>
      <c r="BA208" s="6194">
        <f t="shared" si="103"/>
        <v>0</v>
      </c>
      <c r="BB208" s="6192" t="str">
        <f t="shared" si="99"/>
        <v/>
      </c>
      <c r="BC208" s="6219"/>
      <c r="BD208" s="6221">
        <f t="shared" si="104"/>
        <v>0</v>
      </c>
      <c r="BE208" s="6220" t="str">
        <f t="shared" si="100"/>
        <v/>
      </c>
      <c r="BF208" s="4" t="s">
        <v>1</v>
      </c>
      <c r="BG208" s="6196">
        <f t="shared" si="101"/>
        <v>0</v>
      </c>
      <c r="BH208" s="6197">
        <f t="shared" si="102"/>
        <v>0</v>
      </c>
      <c r="BI208"/>
      <c r="BR208"/>
      <c r="BS208"/>
      <c r="BT208"/>
      <c r="BU208"/>
      <c r="BV208"/>
      <c r="BW208"/>
      <c r="BX208" s="20" t="str">
        <f t="shared" si="107"/>
        <v>►</v>
      </c>
      <c r="BY208"/>
      <c r="BZ208"/>
      <c r="CA208"/>
      <c r="CB208"/>
      <c r="CC208"/>
      <c r="CD208" s="2"/>
      <c r="CE208"/>
      <c r="CF208"/>
      <c r="CG208"/>
      <c r="CH208"/>
      <c r="CI208"/>
      <c r="CJ208"/>
      <c r="CK208"/>
      <c r="CM208"/>
      <c r="CN208"/>
      <c r="CO208"/>
      <c r="CP208"/>
      <c r="CQ208"/>
      <c r="CR208"/>
      <c r="CS208"/>
      <c r="CU208"/>
      <c r="CV208"/>
      <c r="CW208"/>
      <c r="CX208"/>
      <c r="CY208"/>
      <c r="CZ208"/>
      <c r="DA208"/>
      <c r="DC208" s="5">
        <v>1</v>
      </c>
    </row>
    <row r="209" spans="1:107" s="1" customFormat="1" ht="21" customHeight="1">
      <c r="A209" s="5641" t="s">
        <v>1</v>
      </c>
      <c r="B209" s="5662" t="str">
        <f t="shared" si="106"/>
        <v>►</v>
      </c>
      <c r="C209" s="5825" cm="1">
        <f t="array" ref="C209">SUMPRODUCT(LEN(D209:J209))</f>
        <v>0</v>
      </c>
      <c r="D209" s="5275"/>
      <c r="E209" s="1361"/>
      <c r="F209" s="1361"/>
      <c r="G209" s="1361"/>
      <c r="H209" s="1361"/>
      <c r="I209" s="1361"/>
      <c r="J209" s="5276"/>
      <c r="K209" s="106" t="s">
        <v>1</v>
      </c>
      <c r="L209" s="1021" t="s">
        <v>26</v>
      </c>
      <c r="M209" s="6787"/>
      <c r="N209" s="6787"/>
      <c r="O209" s="6787"/>
      <c r="P209" s="6788"/>
      <c r="Q209" s="6789"/>
      <c r="R209" s="6790"/>
      <c r="S209" s="6786"/>
      <c r="T209" s="6791"/>
      <c r="U209" s="6844"/>
      <c r="V209" s="6791"/>
      <c r="W209" s="6785"/>
      <c r="X209" s="6868"/>
      <c r="Y209" s="6793"/>
      <c r="Z209" s="6794"/>
      <c r="AA209" s="6795"/>
      <c r="AB209" s="6796"/>
      <c r="AC209" s="6797"/>
      <c r="AD209" s="6798"/>
      <c r="AE209" s="4" t="s">
        <v>1</v>
      </c>
      <c r="AF209" s="6202" t="str">
        <f t="shared" si="84"/>
        <v>►</v>
      </c>
      <c r="AG209" s="6234" t="str">
        <f t="shared" si="85"/>
        <v/>
      </c>
      <c r="AH209" s="6732" t="str">
        <f t="shared" si="86"/>
        <v/>
      </c>
      <c r="AI209" s="6234" t="str">
        <f t="shared" si="87"/>
        <v/>
      </c>
      <c r="AJ209" s="6732" t="str">
        <f t="shared" si="88"/>
        <v/>
      </c>
      <c r="AK209" s="6732">
        <f t="shared" si="89"/>
        <v>0</v>
      </c>
      <c r="AL209" s="6230" t="str" cm="1">
        <f t="array" ref="AL209">IF(AF209&lt;&gt;"A","",IFERROR((IFERROR(_xlfn.XLOOKUP(TRIM(SUBSTITUTE(U209,CHAR(160)," ")),$BJ$15:$BJ$62,$BM$15:$BM$62),IFERROR(_xlfn.XLOOKUP(TRIM(SUBSTITUTE(U209,CHAR(160)," ")),$BK$15:$BK$62,$BM$15:$BM$62),_xlfn.XLOOKUP(TRIM(SUBSTITUTE(U209,CHAR(160)," ")),$BL$15:$BL$62,$BM$15:$BM$62))))*T209*IF(ISBLANK(Q209),1,Q209)+IFERROR(_xlfn.XLOOKUP("RECHERCHEX",TRIM(L209:AD209),L209:AD209),0),0))</f>
        <v/>
      </c>
      <c r="AM209" s="6229">
        <f t="shared" si="90"/>
        <v>0</v>
      </c>
      <c r="AN209" s="6857" t="str">
        <f t="shared" si="105"/>
        <v/>
      </c>
      <c r="AO209" s="392">
        <f t="shared" si="91"/>
        <v>0</v>
      </c>
      <c r="AP209" s="392">
        <f t="shared" si="92"/>
        <v>0</v>
      </c>
      <c r="AQ209" s="6191">
        <f t="shared" si="93"/>
        <v>0</v>
      </c>
      <c r="AR209" s="6859" t="str">
        <f t="shared" si="94"/>
        <v/>
      </c>
      <c r="AS209" s="6217"/>
      <c r="AT209" s="6217"/>
      <c r="AU209" s="6272">
        <f t="shared" si="95"/>
        <v>0</v>
      </c>
      <c r="AV209" s="6240">
        <f t="shared" si="96"/>
        <v>0</v>
      </c>
      <c r="AW209" s="6189" cm="1">
        <f t="array" ref="AW209">IF(AK209&lt;&gt;1,0,IF(OR(AU209="",N(AU209)&lt;=0.000000001),"",IF(OR(AO209="",N(AO209)&lt;=0.000000001),0,IF(ISNUMBER(AU209),IFERROR(_xlfn.LET(_xlpm.ai_test,TRIM(AJ209),_xlpm.r,IFERROR(_xlfn.XLOOKUP(_xlpm.ai_test,$BJ$15:$BJ$62,ROW($BJ$15:$BJ$62),0,1),IFERROR(_xlfn.XLOOKUP(_xlpm.ai_test,$BK$15:$BK$62,ROW($BK$15:$BK$62),0,1),_xlfn.XLOOKUP(_xlpm.ai_test,$BL$15:$BL$62,ROW($BL$15:$BL$62),0,1))),_xlpm.p,_xlpm.r-MIN(ROW($BJ$15:$BJ$62))+1,_xlpm.f,INDEX($BM$15:$BM$62,_xlpm.p),_xlpm.u,INDEX($BN$15:$BN$62,_xlpm.p),_xlpm.s,INDEX($BP$15:$BP$62,_xlpm.p),_xlpm.q,N(AU209)/_xlpm.f,IF(_xlpm.q&gt;=_xlpm.s,ROUND(_xlpm.q,1)&amp;" "&amp;_xlpm.ai_test&amp;" = "&amp;ROUND(_xlpm.q*_xlpm.f,1)&amp;" "&amp;_xlpm.u,ROUND(_xlpm.q,1)&amp;" "&amp;_xlpm.ai_test)),""),""))))</f>
        <v>0</v>
      </c>
      <c r="AX209" s="6218"/>
      <c r="AY209" s="6272">
        <f t="shared" si="97"/>
        <v>0</v>
      </c>
      <c r="AZ209" s="6240" t="str">
        <f t="shared" si="98"/>
        <v/>
      </c>
      <c r="BA209" s="6195">
        <f t="shared" si="103"/>
        <v>0</v>
      </c>
      <c r="BB209" s="6193" t="str">
        <f t="shared" si="99"/>
        <v/>
      </c>
      <c r="BC209" s="6219"/>
      <c r="BD209" s="6222">
        <f t="shared" si="104"/>
        <v>0</v>
      </c>
      <c r="BE209" s="6220" t="str">
        <f t="shared" si="100"/>
        <v/>
      </c>
      <c r="BF209" s="4" t="s">
        <v>1</v>
      </c>
      <c r="BG209" s="6196">
        <f t="shared" si="101"/>
        <v>0</v>
      </c>
      <c r="BH209" s="6197">
        <f t="shared" si="102"/>
        <v>0</v>
      </c>
      <c r="BI209"/>
      <c r="BR209"/>
      <c r="BS209"/>
      <c r="BT209"/>
      <c r="BU209"/>
      <c r="BV209"/>
      <c r="BW209"/>
      <c r="BX209" s="20" t="str">
        <f t="shared" si="107"/>
        <v>►</v>
      </c>
      <c r="BY209"/>
      <c r="BZ209"/>
      <c r="CA209"/>
      <c r="CB209"/>
      <c r="CC209"/>
      <c r="CD209" s="2"/>
      <c r="CE209"/>
      <c r="CF209"/>
      <c r="CG209"/>
      <c r="CH209"/>
      <c r="CI209"/>
      <c r="CJ209"/>
      <c r="CK209"/>
      <c r="CM209"/>
      <c r="CN209"/>
      <c r="CO209"/>
      <c r="CP209"/>
      <c r="CQ209"/>
      <c r="CR209"/>
      <c r="CS209"/>
      <c r="CU209"/>
      <c r="CV209"/>
      <c r="CW209"/>
      <c r="CX209"/>
      <c r="CY209"/>
      <c r="CZ209"/>
      <c r="DA209"/>
      <c r="DC209" s="5">
        <v>1</v>
      </c>
    </row>
    <row r="210" spans="1:107" s="1" customFormat="1" ht="21" customHeight="1">
      <c r="A210" s="5641" t="s">
        <v>1</v>
      </c>
      <c r="B210" s="5662" t="str">
        <f t="shared" si="106"/>
        <v>►</v>
      </c>
      <c r="C210" s="5825" cm="1">
        <f t="array" ref="C210">SUMPRODUCT(LEN(D210:J210))</f>
        <v>0</v>
      </c>
      <c r="D210" s="5275"/>
      <c r="E210" s="1361"/>
      <c r="F210" s="1361"/>
      <c r="G210" s="1361"/>
      <c r="H210" s="1361"/>
      <c r="I210" s="1361"/>
      <c r="J210" s="5276"/>
      <c r="K210" s="106" t="s">
        <v>1</v>
      </c>
      <c r="L210" s="1021" t="s">
        <v>26</v>
      </c>
      <c r="M210" s="6787"/>
      <c r="N210" s="6787"/>
      <c r="O210" s="6787"/>
      <c r="P210" s="6788"/>
      <c r="Q210" s="6789"/>
      <c r="R210" s="6790"/>
      <c r="S210" s="6786"/>
      <c r="T210" s="6791"/>
      <c r="U210" s="6844"/>
      <c r="V210" s="6791"/>
      <c r="W210" s="6785"/>
      <c r="X210" s="6868"/>
      <c r="Y210" s="6793"/>
      <c r="Z210" s="6794"/>
      <c r="AA210" s="6795"/>
      <c r="AB210" s="6796"/>
      <c r="AC210" s="6797"/>
      <c r="AD210" s="6798"/>
      <c r="AE210" s="4" t="s">
        <v>1</v>
      </c>
      <c r="AF210" s="6202" t="str">
        <f t="shared" si="84"/>
        <v>►</v>
      </c>
      <c r="AG210" s="6234" t="str">
        <f t="shared" si="85"/>
        <v/>
      </c>
      <c r="AH210" s="6732" t="str">
        <f t="shared" si="86"/>
        <v/>
      </c>
      <c r="AI210" s="6234" t="str">
        <f t="shared" si="87"/>
        <v/>
      </c>
      <c r="AJ210" s="6732" t="str">
        <f t="shared" si="88"/>
        <v/>
      </c>
      <c r="AK210" s="6732">
        <f t="shared" si="89"/>
        <v>0</v>
      </c>
      <c r="AL210" s="6230" t="str" cm="1">
        <f t="array" ref="AL210">IF(AF210&lt;&gt;"A","",IFERROR((IFERROR(_xlfn.XLOOKUP(TRIM(SUBSTITUTE(U210,CHAR(160)," ")),$BJ$15:$BJ$62,$BM$15:$BM$62),IFERROR(_xlfn.XLOOKUP(TRIM(SUBSTITUTE(U210,CHAR(160)," ")),$BK$15:$BK$62,$BM$15:$BM$62),_xlfn.XLOOKUP(TRIM(SUBSTITUTE(U210,CHAR(160)," ")),$BL$15:$BL$62,$BM$15:$BM$62))))*T210*IF(ISBLANK(Q210),1,Q210)+IFERROR(_xlfn.XLOOKUP("RECHERCHEX",TRIM(L210:AD210),L210:AD210),0),0))</f>
        <v/>
      </c>
      <c r="AM210" s="6229">
        <f t="shared" si="90"/>
        <v>0</v>
      </c>
      <c r="AN210" s="6857" t="str">
        <f t="shared" si="105"/>
        <v/>
      </c>
      <c r="AO210" s="392">
        <f t="shared" si="91"/>
        <v>0</v>
      </c>
      <c r="AP210" s="392">
        <f t="shared" si="92"/>
        <v>0</v>
      </c>
      <c r="AQ210" s="6190">
        <f t="shared" si="93"/>
        <v>0</v>
      </c>
      <c r="AR210" s="6858" t="str">
        <f t="shared" si="94"/>
        <v/>
      </c>
      <c r="AS210" s="6217"/>
      <c r="AT210" s="6217"/>
      <c r="AU210" s="6271">
        <f t="shared" si="95"/>
        <v>0</v>
      </c>
      <c r="AV210" s="6242">
        <f t="shared" si="96"/>
        <v>0</v>
      </c>
      <c r="AW210" s="6188" cm="1">
        <f t="array" ref="AW210">IF(AK210&lt;&gt;1,0,IF(OR(AU210="",N(AU210)&lt;=0.000000001),"",IF(OR(AO210="",N(AO210)&lt;=0.000000001),0,IF(ISNUMBER(AU210),IFERROR(_xlfn.LET(_xlpm.ai_test,TRIM(AJ210),_xlpm.r,IFERROR(_xlfn.XLOOKUP(_xlpm.ai_test,$BJ$15:$BJ$62,ROW($BJ$15:$BJ$62),0,1),IFERROR(_xlfn.XLOOKUP(_xlpm.ai_test,$BK$15:$BK$62,ROW($BK$15:$BK$62),0,1),_xlfn.XLOOKUP(_xlpm.ai_test,$BL$15:$BL$62,ROW($BL$15:$BL$62),0,1))),_xlpm.p,_xlpm.r-MIN(ROW($BJ$15:$BJ$62))+1,_xlpm.f,INDEX($BM$15:$BM$62,_xlpm.p),_xlpm.u,INDEX($BN$15:$BN$62,_xlpm.p),_xlpm.s,INDEX($BP$15:$BP$62,_xlpm.p),_xlpm.q,N(AU210)/_xlpm.f,IF(_xlpm.q&gt;=_xlpm.s,ROUND(_xlpm.q,1)&amp;" "&amp;_xlpm.ai_test&amp;" = "&amp;ROUND(_xlpm.q*_xlpm.f,1)&amp;" "&amp;_xlpm.u,ROUND(_xlpm.q,1)&amp;" "&amp;_xlpm.ai_test)),""),""))))</f>
        <v>0</v>
      </c>
      <c r="AX210" s="6218"/>
      <c r="AY210" s="6271">
        <f t="shared" si="97"/>
        <v>0</v>
      </c>
      <c r="AZ210" s="6242" t="str">
        <f t="shared" si="98"/>
        <v/>
      </c>
      <c r="BA210" s="6194">
        <f t="shared" si="103"/>
        <v>0</v>
      </c>
      <c r="BB210" s="6192" t="str">
        <f t="shared" si="99"/>
        <v/>
      </c>
      <c r="BC210" s="6219"/>
      <c r="BD210" s="6221">
        <f t="shared" si="104"/>
        <v>0</v>
      </c>
      <c r="BE210" s="6220" t="str">
        <f t="shared" si="100"/>
        <v/>
      </c>
      <c r="BF210" s="4" t="s">
        <v>1</v>
      </c>
      <c r="BG210" s="6196">
        <f t="shared" si="101"/>
        <v>0</v>
      </c>
      <c r="BH210" s="6197">
        <f t="shared" si="102"/>
        <v>0</v>
      </c>
      <c r="BI210"/>
      <c r="BR210"/>
      <c r="BS210"/>
      <c r="BT210"/>
      <c r="BU210"/>
      <c r="BV210"/>
      <c r="BW210"/>
      <c r="BX210" s="20" t="str">
        <f t="shared" si="107"/>
        <v>►</v>
      </c>
      <c r="BY210"/>
      <c r="BZ210"/>
      <c r="CA210"/>
      <c r="CB210"/>
      <c r="CC210"/>
      <c r="CD210" s="2"/>
      <c r="CE210"/>
      <c r="CF210"/>
      <c r="CG210"/>
      <c r="CH210"/>
      <c r="CI210"/>
      <c r="CJ210"/>
      <c r="CK210"/>
      <c r="CM210"/>
      <c r="CN210"/>
      <c r="CO210"/>
      <c r="CP210"/>
      <c r="CQ210"/>
      <c r="CR210"/>
      <c r="CS210"/>
      <c r="CU210"/>
      <c r="CV210"/>
      <c r="CW210"/>
      <c r="CX210"/>
      <c r="CY210"/>
      <c r="CZ210"/>
      <c r="DA210"/>
      <c r="DC210" s="5">
        <v>1</v>
      </c>
    </row>
    <row r="211" spans="1:107" s="1" customFormat="1" ht="21" customHeight="1">
      <c r="A211" s="5641" t="s">
        <v>1</v>
      </c>
      <c r="B211" s="5662" t="str">
        <f t="shared" si="106"/>
        <v>►</v>
      </c>
      <c r="C211" s="5825" cm="1">
        <f t="array" ref="C211">SUMPRODUCT(LEN(D211:J211))</f>
        <v>0</v>
      </c>
      <c r="D211" s="5275"/>
      <c r="E211" s="1361"/>
      <c r="F211" s="1361"/>
      <c r="G211" s="1361"/>
      <c r="H211" s="1361"/>
      <c r="I211" s="1361"/>
      <c r="J211" s="5276"/>
      <c r="K211" s="106" t="s">
        <v>1</v>
      </c>
      <c r="L211" s="1021" t="s">
        <v>26</v>
      </c>
      <c r="M211" s="6787"/>
      <c r="N211" s="6787"/>
      <c r="O211" s="6787"/>
      <c r="P211" s="6788"/>
      <c r="Q211" s="6789"/>
      <c r="R211" s="6790"/>
      <c r="S211" s="6786"/>
      <c r="T211" s="6791"/>
      <c r="U211" s="6844"/>
      <c r="V211" s="6791"/>
      <c r="W211" s="6785"/>
      <c r="X211" s="6868"/>
      <c r="Y211" s="6793"/>
      <c r="Z211" s="6794"/>
      <c r="AA211" s="6795"/>
      <c r="AB211" s="6796"/>
      <c r="AC211" s="6797"/>
      <c r="AD211" s="6798"/>
      <c r="AE211" s="4" t="s">
        <v>1</v>
      </c>
      <c r="AF211" s="6202" t="str">
        <f t="shared" si="84"/>
        <v>►</v>
      </c>
      <c r="AG211" s="6234" t="str">
        <f t="shared" si="85"/>
        <v/>
      </c>
      <c r="AH211" s="6732" t="str">
        <f t="shared" si="86"/>
        <v/>
      </c>
      <c r="AI211" s="6234" t="str">
        <f t="shared" si="87"/>
        <v/>
      </c>
      <c r="AJ211" s="6732" t="str">
        <f t="shared" si="88"/>
        <v/>
      </c>
      <c r="AK211" s="6732">
        <f t="shared" si="89"/>
        <v>0</v>
      </c>
      <c r="AL211" s="6230" t="str" cm="1">
        <f t="array" ref="AL211">IF(AF211&lt;&gt;"A","",IFERROR((IFERROR(_xlfn.XLOOKUP(TRIM(SUBSTITUTE(U211,CHAR(160)," ")),$BJ$15:$BJ$62,$BM$15:$BM$62),IFERROR(_xlfn.XLOOKUP(TRIM(SUBSTITUTE(U211,CHAR(160)," ")),$BK$15:$BK$62,$BM$15:$BM$62),_xlfn.XLOOKUP(TRIM(SUBSTITUTE(U211,CHAR(160)," ")),$BL$15:$BL$62,$BM$15:$BM$62))))*T211*IF(ISBLANK(Q211),1,Q211)+IFERROR(_xlfn.XLOOKUP("RECHERCHEX",TRIM(L211:AD211),L211:AD211),0),0))</f>
        <v/>
      </c>
      <c r="AM211" s="6229">
        <f t="shared" si="90"/>
        <v>0</v>
      </c>
      <c r="AN211" s="6857" t="str">
        <f t="shared" si="105"/>
        <v/>
      </c>
      <c r="AO211" s="392">
        <f t="shared" si="91"/>
        <v>0</v>
      </c>
      <c r="AP211" s="392">
        <f t="shared" si="92"/>
        <v>0</v>
      </c>
      <c r="AQ211" s="6191">
        <f t="shared" si="93"/>
        <v>0</v>
      </c>
      <c r="AR211" s="6859" t="str">
        <f t="shared" si="94"/>
        <v/>
      </c>
      <c r="AS211" s="6217"/>
      <c r="AT211" s="6217"/>
      <c r="AU211" s="6272">
        <f t="shared" si="95"/>
        <v>0</v>
      </c>
      <c r="AV211" s="6240">
        <f t="shared" si="96"/>
        <v>0</v>
      </c>
      <c r="AW211" s="6189" cm="1">
        <f t="array" ref="AW211">IF(AK211&lt;&gt;1,0,IF(OR(AU211="",N(AU211)&lt;=0.000000001),"",IF(OR(AO211="",N(AO211)&lt;=0.000000001),0,IF(ISNUMBER(AU211),IFERROR(_xlfn.LET(_xlpm.ai_test,TRIM(AJ211),_xlpm.r,IFERROR(_xlfn.XLOOKUP(_xlpm.ai_test,$BJ$15:$BJ$62,ROW($BJ$15:$BJ$62),0,1),IFERROR(_xlfn.XLOOKUP(_xlpm.ai_test,$BK$15:$BK$62,ROW($BK$15:$BK$62),0,1),_xlfn.XLOOKUP(_xlpm.ai_test,$BL$15:$BL$62,ROW($BL$15:$BL$62),0,1))),_xlpm.p,_xlpm.r-MIN(ROW($BJ$15:$BJ$62))+1,_xlpm.f,INDEX($BM$15:$BM$62,_xlpm.p),_xlpm.u,INDEX($BN$15:$BN$62,_xlpm.p),_xlpm.s,INDEX($BP$15:$BP$62,_xlpm.p),_xlpm.q,N(AU211)/_xlpm.f,IF(_xlpm.q&gt;=_xlpm.s,ROUND(_xlpm.q,1)&amp;" "&amp;_xlpm.ai_test&amp;" = "&amp;ROUND(_xlpm.q*_xlpm.f,1)&amp;" "&amp;_xlpm.u,ROUND(_xlpm.q,1)&amp;" "&amp;_xlpm.ai_test)),""),""))))</f>
        <v>0</v>
      </c>
      <c r="AX211" s="6218"/>
      <c r="AY211" s="6272">
        <f t="shared" si="97"/>
        <v>0</v>
      </c>
      <c r="AZ211" s="6240" t="str">
        <f t="shared" si="98"/>
        <v/>
      </c>
      <c r="BA211" s="6195">
        <f t="shared" si="103"/>
        <v>0</v>
      </c>
      <c r="BB211" s="6193" t="str">
        <f t="shared" si="99"/>
        <v/>
      </c>
      <c r="BC211" s="6219"/>
      <c r="BD211" s="6222">
        <f t="shared" si="104"/>
        <v>0</v>
      </c>
      <c r="BE211" s="6220" t="str">
        <f t="shared" si="100"/>
        <v/>
      </c>
      <c r="BF211" s="4" t="s">
        <v>1</v>
      </c>
      <c r="BG211" s="6196">
        <f t="shared" si="101"/>
        <v>0</v>
      </c>
      <c r="BH211" s="6197">
        <f t="shared" si="102"/>
        <v>0</v>
      </c>
      <c r="BI211"/>
      <c r="BR211"/>
      <c r="BS211"/>
      <c r="BT211"/>
      <c r="BU211"/>
      <c r="BV211"/>
      <c r="BW211"/>
      <c r="BX211" s="20" t="str">
        <f t="shared" si="107"/>
        <v>►</v>
      </c>
      <c r="BY211"/>
      <c r="BZ211"/>
      <c r="CA211"/>
      <c r="CB211"/>
      <c r="CC211"/>
      <c r="CD211" s="2"/>
      <c r="CE211"/>
      <c r="CF211"/>
      <c r="CG211"/>
      <c r="CH211"/>
      <c r="CI211"/>
      <c r="CJ211"/>
      <c r="CK211"/>
      <c r="CM211"/>
      <c r="CN211"/>
      <c r="CO211"/>
      <c r="CP211"/>
      <c r="CQ211"/>
      <c r="CR211"/>
      <c r="CS211"/>
      <c r="CU211"/>
      <c r="CV211"/>
      <c r="CW211"/>
      <c r="CX211"/>
      <c r="CY211"/>
      <c r="CZ211"/>
      <c r="DA211"/>
      <c r="DC211" s="5">
        <v>1</v>
      </c>
    </row>
    <row r="212" spans="1:107" s="1" customFormat="1" ht="21" customHeight="1">
      <c r="A212" s="5641" t="s">
        <v>1</v>
      </c>
      <c r="B212" s="5662" t="str">
        <f t="shared" si="106"/>
        <v>►</v>
      </c>
      <c r="C212" s="5825" cm="1">
        <f t="array" ref="C212">SUMPRODUCT(LEN(D212:J212))</f>
        <v>0</v>
      </c>
      <c r="D212" s="5275"/>
      <c r="E212" s="1361"/>
      <c r="F212" s="1361"/>
      <c r="G212" s="1361"/>
      <c r="H212" s="1361"/>
      <c r="I212" s="1361"/>
      <c r="J212" s="5276"/>
      <c r="K212" s="106" t="s">
        <v>1</v>
      </c>
      <c r="L212" s="1021" t="s">
        <v>26</v>
      </c>
      <c r="M212" s="6787"/>
      <c r="N212" s="6787"/>
      <c r="O212" s="6787"/>
      <c r="P212" s="6788"/>
      <c r="Q212" s="6789"/>
      <c r="R212" s="6790"/>
      <c r="S212" s="6786"/>
      <c r="T212" s="6791"/>
      <c r="U212" s="6844"/>
      <c r="V212" s="6791"/>
      <c r="W212" s="6785"/>
      <c r="X212" s="6868"/>
      <c r="Y212" s="6793"/>
      <c r="Z212" s="6794"/>
      <c r="AA212" s="6795"/>
      <c r="AB212" s="6796"/>
      <c r="AC212" s="6797"/>
      <c r="AD212" s="6798"/>
      <c r="AE212" s="4" t="s">
        <v>1</v>
      </c>
      <c r="AF212" s="6202" t="str">
        <f t="shared" si="84"/>
        <v>►</v>
      </c>
      <c r="AG212" s="6234" t="str">
        <f t="shared" si="85"/>
        <v/>
      </c>
      <c r="AH212" s="6732" t="str">
        <f t="shared" si="86"/>
        <v/>
      </c>
      <c r="AI212" s="6234" t="str">
        <f t="shared" si="87"/>
        <v/>
      </c>
      <c r="AJ212" s="6732" t="str">
        <f t="shared" si="88"/>
        <v/>
      </c>
      <c r="AK212" s="6732">
        <f t="shared" si="89"/>
        <v>0</v>
      </c>
      <c r="AL212" s="6230" t="str" cm="1">
        <f t="array" ref="AL212">IF(AF212&lt;&gt;"A","",IFERROR((IFERROR(_xlfn.XLOOKUP(TRIM(SUBSTITUTE(U212,CHAR(160)," ")),$BJ$15:$BJ$62,$BM$15:$BM$62),IFERROR(_xlfn.XLOOKUP(TRIM(SUBSTITUTE(U212,CHAR(160)," ")),$BK$15:$BK$62,$BM$15:$BM$62),_xlfn.XLOOKUP(TRIM(SUBSTITUTE(U212,CHAR(160)," ")),$BL$15:$BL$62,$BM$15:$BM$62))))*T212*IF(ISBLANK(Q212),1,Q212)+IFERROR(_xlfn.XLOOKUP("RECHERCHEX",TRIM(L212:AD212),L212:AD212),0),0))</f>
        <v/>
      </c>
      <c r="AM212" s="6229">
        <f t="shared" si="90"/>
        <v>0</v>
      </c>
      <c r="AN212" s="6857" t="str">
        <f t="shared" si="105"/>
        <v/>
      </c>
      <c r="AO212" s="392">
        <f t="shared" si="91"/>
        <v>0</v>
      </c>
      <c r="AP212" s="392">
        <f t="shared" si="92"/>
        <v>0</v>
      </c>
      <c r="AQ212" s="6190">
        <f t="shared" si="93"/>
        <v>0</v>
      </c>
      <c r="AR212" s="6858" t="str">
        <f t="shared" si="94"/>
        <v/>
      </c>
      <c r="AS212" s="6217"/>
      <c r="AT212" s="6217"/>
      <c r="AU212" s="6271">
        <f t="shared" si="95"/>
        <v>0</v>
      </c>
      <c r="AV212" s="6242">
        <f t="shared" si="96"/>
        <v>0</v>
      </c>
      <c r="AW212" s="6188" cm="1">
        <f t="array" ref="AW212">IF(AK212&lt;&gt;1,0,IF(OR(AU212="",N(AU212)&lt;=0.000000001),"",IF(OR(AO212="",N(AO212)&lt;=0.000000001),0,IF(ISNUMBER(AU212),IFERROR(_xlfn.LET(_xlpm.ai_test,TRIM(AJ212),_xlpm.r,IFERROR(_xlfn.XLOOKUP(_xlpm.ai_test,$BJ$15:$BJ$62,ROW($BJ$15:$BJ$62),0,1),IFERROR(_xlfn.XLOOKUP(_xlpm.ai_test,$BK$15:$BK$62,ROW($BK$15:$BK$62),0,1),_xlfn.XLOOKUP(_xlpm.ai_test,$BL$15:$BL$62,ROW($BL$15:$BL$62),0,1))),_xlpm.p,_xlpm.r-MIN(ROW($BJ$15:$BJ$62))+1,_xlpm.f,INDEX($BM$15:$BM$62,_xlpm.p),_xlpm.u,INDEX($BN$15:$BN$62,_xlpm.p),_xlpm.s,INDEX($BP$15:$BP$62,_xlpm.p),_xlpm.q,N(AU212)/_xlpm.f,IF(_xlpm.q&gt;=_xlpm.s,ROUND(_xlpm.q,1)&amp;" "&amp;_xlpm.ai_test&amp;" = "&amp;ROUND(_xlpm.q*_xlpm.f,1)&amp;" "&amp;_xlpm.u,ROUND(_xlpm.q,1)&amp;" "&amp;_xlpm.ai_test)),""),""))))</f>
        <v>0</v>
      </c>
      <c r="AX212" s="6218"/>
      <c r="AY212" s="6271">
        <f t="shared" si="97"/>
        <v>0</v>
      </c>
      <c r="AZ212" s="6242" t="str">
        <f t="shared" si="98"/>
        <v/>
      </c>
      <c r="BA212" s="6194">
        <f t="shared" si="103"/>
        <v>0</v>
      </c>
      <c r="BB212" s="6192" t="str">
        <f t="shared" si="99"/>
        <v/>
      </c>
      <c r="BC212" s="6219"/>
      <c r="BD212" s="6221">
        <f t="shared" si="104"/>
        <v>0</v>
      </c>
      <c r="BE212" s="6220" t="str">
        <f t="shared" si="100"/>
        <v/>
      </c>
      <c r="BF212" s="4" t="s">
        <v>1</v>
      </c>
      <c r="BG212" s="6196">
        <f t="shared" si="101"/>
        <v>0</v>
      </c>
      <c r="BH212" s="6197">
        <f t="shared" si="102"/>
        <v>0</v>
      </c>
      <c r="BI212"/>
      <c r="BR212"/>
      <c r="BS212"/>
      <c r="BT212"/>
      <c r="BU212"/>
      <c r="BV212"/>
      <c r="BW212"/>
      <c r="BX212" s="20" t="str">
        <f t="shared" si="107"/>
        <v>►</v>
      </c>
      <c r="BY212"/>
      <c r="BZ212"/>
      <c r="CA212"/>
      <c r="CB212"/>
      <c r="CC212"/>
      <c r="CD212" s="2"/>
      <c r="CE212"/>
      <c r="CF212"/>
      <c r="CG212"/>
      <c r="CH212"/>
      <c r="CI212"/>
      <c r="CJ212"/>
      <c r="CK212"/>
      <c r="CM212"/>
      <c r="CN212"/>
      <c r="CO212"/>
      <c r="CP212"/>
      <c r="CQ212"/>
      <c r="CR212"/>
      <c r="CS212"/>
      <c r="CU212"/>
      <c r="CV212"/>
      <c r="CW212"/>
      <c r="CX212"/>
      <c r="CY212"/>
      <c r="CZ212"/>
      <c r="DA212"/>
      <c r="DC212" s="5">
        <v>1</v>
      </c>
    </row>
    <row r="213" spans="1:107" s="1" customFormat="1" ht="21" customHeight="1">
      <c r="A213" s="5641" t="s">
        <v>1</v>
      </c>
      <c r="B213" s="5662" t="str">
        <f t="shared" si="106"/>
        <v>►</v>
      </c>
      <c r="C213" s="5825" cm="1">
        <f t="array" ref="C213">SUMPRODUCT(LEN(D213:J213))</f>
        <v>0</v>
      </c>
      <c r="D213" s="5275"/>
      <c r="E213" s="1361"/>
      <c r="F213" s="1361"/>
      <c r="G213" s="1361"/>
      <c r="H213" s="1361"/>
      <c r="I213" s="1361"/>
      <c r="J213" s="5276"/>
      <c r="K213" s="106" t="s">
        <v>1</v>
      </c>
      <c r="L213" s="1021" t="s">
        <v>26</v>
      </c>
      <c r="M213" s="6787"/>
      <c r="N213" s="6787"/>
      <c r="O213" s="6787"/>
      <c r="P213" s="6788"/>
      <c r="Q213" s="6789"/>
      <c r="R213" s="6790"/>
      <c r="S213" s="6786"/>
      <c r="T213" s="6791"/>
      <c r="U213" s="6844"/>
      <c r="V213" s="6791"/>
      <c r="W213" s="6785"/>
      <c r="X213" s="6868"/>
      <c r="Y213" s="6793"/>
      <c r="Z213" s="6794"/>
      <c r="AA213" s="6795"/>
      <c r="AB213" s="6796"/>
      <c r="AC213" s="6797"/>
      <c r="AD213" s="6798"/>
      <c r="AE213" s="4" t="s">
        <v>1</v>
      </c>
      <c r="AF213" s="6202" t="str">
        <f t="shared" si="84"/>
        <v>►</v>
      </c>
      <c r="AG213" s="6234" t="str">
        <f t="shared" si="85"/>
        <v/>
      </c>
      <c r="AH213" s="6732" t="str">
        <f t="shared" si="86"/>
        <v/>
      </c>
      <c r="AI213" s="6234" t="str">
        <f t="shared" si="87"/>
        <v/>
      </c>
      <c r="AJ213" s="6732" t="str">
        <f t="shared" si="88"/>
        <v/>
      </c>
      <c r="AK213" s="6732">
        <f t="shared" si="89"/>
        <v>0</v>
      </c>
      <c r="AL213" s="6230" t="str" cm="1">
        <f t="array" ref="AL213">IF(AF213&lt;&gt;"A","",IFERROR((IFERROR(_xlfn.XLOOKUP(TRIM(SUBSTITUTE(U213,CHAR(160)," ")),$BJ$15:$BJ$62,$BM$15:$BM$62),IFERROR(_xlfn.XLOOKUP(TRIM(SUBSTITUTE(U213,CHAR(160)," ")),$BK$15:$BK$62,$BM$15:$BM$62),_xlfn.XLOOKUP(TRIM(SUBSTITUTE(U213,CHAR(160)," ")),$BL$15:$BL$62,$BM$15:$BM$62))))*T213*IF(ISBLANK(Q213),1,Q213)+IFERROR(_xlfn.XLOOKUP("RECHERCHEX",TRIM(L213:AD213),L213:AD213),0),0))</f>
        <v/>
      </c>
      <c r="AM213" s="6229">
        <f t="shared" si="90"/>
        <v>0</v>
      </c>
      <c r="AN213" s="6857" t="str">
        <f t="shared" si="105"/>
        <v/>
      </c>
      <c r="AO213" s="392">
        <f t="shared" si="91"/>
        <v>0</v>
      </c>
      <c r="AP213" s="392">
        <f t="shared" si="92"/>
        <v>0</v>
      </c>
      <c r="AQ213" s="6191">
        <f t="shared" si="93"/>
        <v>0</v>
      </c>
      <c r="AR213" s="6859" t="str">
        <f t="shared" si="94"/>
        <v/>
      </c>
      <c r="AS213" s="6217"/>
      <c r="AT213" s="6217"/>
      <c r="AU213" s="6272">
        <f t="shared" si="95"/>
        <v>0</v>
      </c>
      <c r="AV213" s="6240">
        <f t="shared" si="96"/>
        <v>0</v>
      </c>
      <c r="AW213" s="6189" cm="1">
        <f t="array" ref="AW213">IF(AK213&lt;&gt;1,0,IF(OR(AU213="",N(AU213)&lt;=0.000000001),"",IF(OR(AO213="",N(AO213)&lt;=0.000000001),0,IF(ISNUMBER(AU213),IFERROR(_xlfn.LET(_xlpm.ai_test,TRIM(AJ213),_xlpm.r,IFERROR(_xlfn.XLOOKUP(_xlpm.ai_test,$BJ$15:$BJ$62,ROW($BJ$15:$BJ$62),0,1),IFERROR(_xlfn.XLOOKUP(_xlpm.ai_test,$BK$15:$BK$62,ROW($BK$15:$BK$62),0,1),_xlfn.XLOOKUP(_xlpm.ai_test,$BL$15:$BL$62,ROW($BL$15:$BL$62),0,1))),_xlpm.p,_xlpm.r-MIN(ROW($BJ$15:$BJ$62))+1,_xlpm.f,INDEX($BM$15:$BM$62,_xlpm.p),_xlpm.u,INDEX($BN$15:$BN$62,_xlpm.p),_xlpm.s,INDEX($BP$15:$BP$62,_xlpm.p),_xlpm.q,N(AU213)/_xlpm.f,IF(_xlpm.q&gt;=_xlpm.s,ROUND(_xlpm.q,1)&amp;" "&amp;_xlpm.ai_test&amp;" = "&amp;ROUND(_xlpm.q*_xlpm.f,1)&amp;" "&amp;_xlpm.u,ROUND(_xlpm.q,1)&amp;" "&amp;_xlpm.ai_test)),""),""))))</f>
        <v>0</v>
      </c>
      <c r="AX213" s="6218"/>
      <c r="AY213" s="6272">
        <f t="shared" si="97"/>
        <v>0</v>
      </c>
      <c r="AZ213" s="6240" t="str">
        <f t="shared" si="98"/>
        <v/>
      </c>
      <c r="BA213" s="6195">
        <f t="shared" si="103"/>
        <v>0</v>
      </c>
      <c r="BB213" s="6193" t="str">
        <f t="shared" si="99"/>
        <v/>
      </c>
      <c r="BC213" s="6219"/>
      <c r="BD213" s="6222">
        <f t="shared" si="104"/>
        <v>0</v>
      </c>
      <c r="BE213" s="6220" t="str">
        <f t="shared" si="100"/>
        <v/>
      </c>
      <c r="BF213" s="4" t="s">
        <v>1</v>
      </c>
      <c r="BG213" s="6196">
        <f t="shared" si="101"/>
        <v>0</v>
      </c>
      <c r="BH213" s="6197">
        <f t="shared" si="102"/>
        <v>0</v>
      </c>
      <c r="BI213"/>
      <c r="BR213"/>
      <c r="BS213"/>
      <c r="BT213"/>
      <c r="BU213"/>
      <c r="BV213"/>
      <c r="BW213"/>
      <c r="BX213" s="20" t="str">
        <f t="shared" si="107"/>
        <v>►</v>
      </c>
      <c r="BY213"/>
      <c r="BZ213"/>
      <c r="CA213"/>
      <c r="CB213"/>
      <c r="CC213"/>
      <c r="CD213" s="2"/>
      <c r="CE213"/>
      <c r="CF213"/>
      <c r="CG213"/>
      <c r="CH213"/>
      <c r="CI213"/>
      <c r="CJ213"/>
      <c r="CK213"/>
      <c r="CM213"/>
      <c r="CN213"/>
      <c r="CO213"/>
      <c r="CP213"/>
      <c r="CQ213"/>
      <c r="CR213"/>
      <c r="CS213"/>
      <c r="CU213"/>
      <c r="CV213"/>
      <c r="CW213"/>
      <c r="CX213"/>
      <c r="CY213"/>
      <c r="CZ213"/>
      <c r="DA213"/>
      <c r="DC213" s="5">
        <v>1</v>
      </c>
    </row>
    <row r="214" spans="1:107" s="1" customFormat="1" ht="21" customHeight="1">
      <c r="A214" s="5641" t="s">
        <v>1</v>
      </c>
      <c r="B214" s="5662" t="str">
        <f t="shared" si="106"/>
        <v>►</v>
      </c>
      <c r="C214" s="5825" cm="1">
        <f t="array" ref="C214">SUMPRODUCT(LEN(D214:J214))</f>
        <v>0</v>
      </c>
      <c r="D214" s="5275"/>
      <c r="E214" s="1361"/>
      <c r="F214" s="1361"/>
      <c r="G214" s="1361"/>
      <c r="H214" s="1361"/>
      <c r="I214" s="1361"/>
      <c r="J214" s="5276" t="str">
        <f>""&amp;T208</f>
        <v/>
      </c>
      <c r="K214" s="106" t="s">
        <v>1</v>
      </c>
      <c r="L214" s="1021" t="s">
        <v>26</v>
      </c>
      <c r="M214" s="6787"/>
      <c r="N214" s="6787"/>
      <c r="O214" s="6787"/>
      <c r="P214" s="6788"/>
      <c r="Q214" s="6789"/>
      <c r="R214" s="6790"/>
      <c r="S214" s="6786"/>
      <c r="T214" s="6791"/>
      <c r="U214" s="6844"/>
      <c r="V214" s="6791"/>
      <c r="W214" s="6785"/>
      <c r="X214" s="6868"/>
      <c r="Y214" s="6793"/>
      <c r="Z214" s="6794"/>
      <c r="AA214" s="6795"/>
      <c r="AB214" s="6796"/>
      <c r="AC214" s="6797"/>
      <c r="AD214" s="6798"/>
      <c r="AE214" s="4" t="s">
        <v>1</v>
      </c>
      <c r="AF214" s="6202" t="str">
        <f t="shared" ref="AF214:AF277" si="108">IF(OR(AO214&gt;0,TRIM(AG214)="▼ recette suivante"),"A","►")</f>
        <v>►</v>
      </c>
      <c r="AG214" s="6234" t="str">
        <f t="shared" ref="AG214:AG277" si="109">IF(TRIM(Q214)="Adresse PC","▼ recette suivante",IF(AO214&gt;0,M214,""))</f>
        <v/>
      </c>
      <c r="AH214" s="6732" t="str">
        <f t="shared" ref="AH214:AH277" si="110">IF(AF214="A",N214,"")</f>
        <v/>
      </c>
      <c r="AI214" s="6234" t="str">
        <f t="shared" ref="AI214:AI277" si="111">IF(AF214="A",O214,"")</f>
        <v/>
      </c>
      <c r="AJ214" s="6732" t="str">
        <f t="shared" ref="AJ214:AJ277" si="112">IF(AF214="A",U214,"")</f>
        <v/>
      </c>
      <c r="AK214" s="6732">
        <f t="shared" ref="AK214:AK277" si="113">IF(AND(L214="A",COUNTIF($BJ$15:$BL$62,TRIM(U214))&gt;0),1,0)</f>
        <v>0</v>
      </c>
      <c r="AL214" s="6230" t="str" cm="1">
        <f t="array" ref="AL214">IF(AF214&lt;&gt;"A","",IFERROR((IFERROR(_xlfn.XLOOKUP(TRIM(SUBSTITUTE(U214,CHAR(160)," ")),$BJ$15:$BJ$62,$BM$15:$BM$62),IFERROR(_xlfn.XLOOKUP(TRIM(SUBSTITUTE(U214,CHAR(160)," ")),$BK$15:$BK$62,$BM$15:$BM$62),_xlfn.XLOOKUP(TRIM(SUBSTITUTE(U214,CHAR(160)," ")),$BL$15:$BL$62,$BM$15:$BM$62))))*T214*IF(ISBLANK(Q214),1,Q214)+IFERROR(_xlfn.XLOOKUP("RECHERCHEX",TRIM(L214:AD214),L214:AD214),0),0))</f>
        <v/>
      </c>
      <c r="AM214" s="6229">
        <f t="shared" ref="AM214:AM277" si="114">IF(AK214,IF(AL214&gt;0,"Kg",0),0)</f>
        <v>0</v>
      </c>
      <c r="AN214" s="6857" t="str">
        <f t="shared" si="105"/>
        <v/>
      </c>
      <c r="AO214" s="392">
        <f t="shared" ref="AO214:AO277" si="115">IF(AK214,N214,0)</f>
        <v>0</v>
      </c>
      <c r="AP214" s="392">
        <f t="shared" ref="AP214:AP277" si="116">IF(AK214,O214,0)</f>
        <v>0</v>
      </c>
      <c r="AQ214" s="6190">
        <f t="shared" ref="AQ214:AQ277" si="117">IF(AO214&gt;0,AS$9,0)</f>
        <v>0</v>
      </c>
      <c r="AR214" s="6858" t="str">
        <f t="shared" ref="AR214:AR277" si="118">IF(TRIM(AG214)="▼ recette suivante", AG214, IF(AQ214&gt;0, IF(AT$9&lt;&gt;"", AT$9&amp;"-ou.or.o ❾ + or - &gt;", ""), ""))</f>
        <v/>
      </c>
      <c r="AS214" s="6217"/>
      <c r="AT214" s="6217"/>
      <c r="AU214" s="6271">
        <f t="shared" ref="AU214:AU277" si="119">IF(TRIM(AM214)="Kg",N(AL214)*N(BH214),0)</f>
        <v>0</v>
      </c>
      <c r="AV214" s="6242">
        <f t="shared" ref="AV214:AV277" si="120">IF(AK214,IF(OR(AU214="",N(AU214)&lt;=0.000000001),"",_xlfn.XLOOKUP(AJ214,$BJ$15:$BJ$62,$BN$15:$BN$62,_xlfn.XLOOKUP(AJ214,$BK$15:$BK$62,$BN$15:$BN$62,_xlfn.XLOOKUP(AJ214,$BL$15:$BL$62,$BN$15:$BN$62,"")))),0)</f>
        <v>0</v>
      </c>
      <c r="AW214" s="6188" cm="1">
        <f t="array" ref="AW214">IF(AK214&lt;&gt;1,0,IF(OR(AU214="",N(AU214)&lt;=0.000000001),"",IF(OR(AO214="",N(AO214)&lt;=0.000000001),0,IF(ISNUMBER(AU214),IFERROR(_xlfn.LET(_xlpm.ai_test,TRIM(AJ214),_xlpm.r,IFERROR(_xlfn.XLOOKUP(_xlpm.ai_test,$BJ$15:$BJ$62,ROW($BJ$15:$BJ$62),0,1),IFERROR(_xlfn.XLOOKUP(_xlpm.ai_test,$BK$15:$BK$62,ROW($BK$15:$BK$62),0,1),_xlfn.XLOOKUP(_xlpm.ai_test,$BL$15:$BL$62,ROW($BL$15:$BL$62),0,1))),_xlpm.p,_xlpm.r-MIN(ROW($BJ$15:$BJ$62))+1,_xlpm.f,INDEX($BM$15:$BM$62,_xlpm.p),_xlpm.u,INDEX($BN$15:$BN$62,_xlpm.p),_xlpm.s,INDEX($BP$15:$BP$62,_xlpm.p),_xlpm.q,N(AU214)/_xlpm.f,IF(_xlpm.q&gt;=_xlpm.s,ROUND(_xlpm.q,1)&amp;" "&amp;_xlpm.ai_test&amp;" = "&amp;ROUND(_xlpm.q*_xlpm.f,1)&amp;" "&amp;_xlpm.u,ROUND(_xlpm.q,1)&amp;" "&amp;_xlpm.ai_test)),""),""))))</f>
        <v>0</v>
      </c>
      <c r="AX214" s="6218"/>
      <c r="AY214" s="6271">
        <f t="shared" ref="AY214:AY277" si="121">IF(TRIM(AG214)="▼ recette suivante","▼next recipe ",IF(AU214="","",IF(ISBLANK(AX214),AU214,ROUND(AU214*(1-MIN(1,MAX(0,IF(AX214&gt;1,AX214/100,AX214)))),3))))</f>
        <v>0</v>
      </c>
      <c r="AZ214" s="6242" t="str">
        <f t="shared" ref="AZ214:AZ277" si="122">IF(AK214,AV214,"")</f>
        <v/>
      </c>
      <c r="BA214" s="6194">
        <f t="shared" si="103"/>
        <v>0</v>
      </c>
      <c r="BB214" s="6192" t="str">
        <f t="shared" ref="BB214:BB277" si="123">IF(AK214,IF(N(BA214)&gt;0.000000001,R214,""),"")</f>
        <v/>
      </c>
      <c r="BC214" s="6219"/>
      <c r="BD214" s="6221">
        <f t="shared" si="104"/>
        <v>0</v>
      </c>
      <c r="BE214" s="6220" t="str">
        <f t="shared" ref="BE214:BE277" si="124">IF(IFERROR(SEARCH("Adresse PC",TRIM(Q214)),0)&gt;0,"▼ receta siguiente",IF(AY214&gt;0,W214,""))</f>
        <v/>
      </c>
      <c r="BF214" s="4" t="s">
        <v>1</v>
      </c>
      <c r="BG214" s="6196">
        <f t="shared" ref="BG214:BG277" si="125">IFERROR(_xlfn.LET(_xlpm.EPS,0.000000001,_xlpm.b,Q214/AO214,IF(ISNUMBER(AS214),_xlpm.b*AS214,IF(OR(ISBLANK(AS214),AS214=""),_xlpm.b*AQ214,IF(AND(BH214=0,ISNUMBER(Q214)),_xlpm.b/AQ214,0)))),0)</f>
        <v>0</v>
      </c>
      <c r="BH214" s="6197">
        <f t="shared" ref="BH214:BH277" si="126">IF(AL214&gt;0,IFERROR(IF(OR(ISBLANK(AS214),AS214=""),AQ214,AS214)/AO214,0),0)</f>
        <v>0</v>
      </c>
      <c r="BI214"/>
      <c r="BR214"/>
      <c r="BS214"/>
      <c r="BT214"/>
      <c r="BU214"/>
      <c r="BV214"/>
      <c r="BW214"/>
      <c r="BX214" s="20" t="str">
        <f t="shared" si="107"/>
        <v>►</v>
      </c>
      <c r="BY214"/>
      <c r="BZ214"/>
      <c r="CA214"/>
      <c r="CB214"/>
      <c r="CC214"/>
      <c r="CD214" s="2"/>
      <c r="CE214"/>
      <c r="CF214"/>
      <c r="CG214"/>
      <c r="CH214"/>
      <c r="CI214"/>
      <c r="CJ214"/>
      <c r="CK214"/>
      <c r="CM214"/>
      <c r="CN214"/>
      <c r="CO214"/>
      <c r="CP214"/>
      <c r="CQ214"/>
      <c r="CR214"/>
      <c r="CS214"/>
      <c r="CU214"/>
      <c r="CV214"/>
      <c r="CW214"/>
      <c r="CX214"/>
      <c r="CY214"/>
      <c r="CZ214"/>
      <c r="DA214"/>
      <c r="DC214" s="5">
        <v>1</v>
      </c>
    </row>
    <row r="215" spans="1:107" s="1" customFormat="1" ht="21" customHeight="1">
      <c r="A215" s="5641" t="s">
        <v>1</v>
      </c>
      <c r="B215" s="5662" t="str">
        <f t="shared" si="106"/>
        <v>►</v>
      </c>
      <c r="C215" s="5825" cm="1">
        <f t="array" ref="C215">SUMPRODUCT(LEN(D215:J215))</f>
        <v>0</v>
      </c>
      <c r="D215" s="5275"/>
      <c r="E215" s="1361"/>
      <c r="F215" s="1361"/>
      <c r="G215" s="1361"/>
      <c r="H215" s="1361"/>
      <c r="I215" s="1361"/>
      <c r="J215" s="5276"/>
      <c r="K215" s="106" t="s">
        <v>1</v>
      </c>
      <c r="L215" s="1021" t="s">
        <v>26</v>
      </c>
      <c r="M215" s="6787"/>
      <c r="N215" s="6787"/>
      <c r="O215" s="6787"/>
      <c r="P215" s="6788"/>
      <c r="Q215" s="6789"/>
      <c r="R215" s="6790"/>
      <c r="S215" s="6786"/>
      <c r="T215" s="6791"/>
      <c r="U215" s="6844"/>
      <c r="V215" s="6791"/>
      <c r="W215" s="6785"/>
      <c r="X215" s="6868"/>
      <c r="Y215" s="6793"/>
      <c r="Z215" s="6794"/>
      <c r="AA215" s="6795"/>
      <c r="AB215" s="6796"/>
      <c r="AC215" s="6797"/>
      <c r="AD215" s="6798"/>
      <c r="AE215" s="4" t="s">
        <v>1</v>
      </c>
      <c r="AF215" s="6202" t="str">
        <f t="shared" si="108"/>
        <v>►</v>
      </c>
      <c r="AG215" s="6234" t="str">
        <f t="shared" si="109"/>
        <v/>
      </c>
      <c r="AH215" s="6732" t="str">
        <f t="shared" si="110"/>
        <v/>
      </c>
      <c r="AI215" s="6234" t="str">
        <f t="shared" si="111"/>
        <v/>
      </c>
      <c r="AJ215" s="6732" t="str">
        <f t="shared" si="112"/>
        <v/>
      </c>
      <c r="AK215" s="6732">
        <f t="shared" si="113"/>
        <v>0</v>
      </c>
      <c r="AL215" s="6230" t="str" cm="1">
        <f t="array" ref="AL215">IF(AF215&lt;&gt;"A","",IFERROR((IFERROR(_xlfn.XLOOKUP(TRIM(SUBSTITUTE(U215,CHAR(160)," ")),$BJ$15:$BJ$62,$BM$15:$BM$62),IFERROR(_xlfn.XLOOKUP(TRIM(SUBSTITUTE(U215,CHAR(160)," ")),$BK$15:$BK$62,$BM$15:$BM$62),_xlfn.XLOOKUP(TRIM(SUBSTITUTE(U215,CHAR(160)," ")),$BL$15:$BL$62,$BM$15:$BM$62))))*T215*IF(ISBLANK(Q215),1,Q215)+IFERROR(_xlfn.XLOOKUP("RECHERCHEX",TRIM(L215:AD215),L215:AD215),0),0))</f>
        <v/>
      </c>
      <c r="AM215" s="6229">
        <f t="shared" si="114"/>
        <v>0</v>
      </c>
      <c r="AN215" s="6857" t="str">
        <f t="shared" si="105"/>
        <v/>
      </c>
      <c r="AO215" s="392">
        <f t="shared" si="115"/>
        <v>0</v>
      </c>
      <c r="AP215" s="392">
        <f t="shared" si="116"/>
        <v>0</v>
      </c>
      <c r="AQ215" s="6191">
        <f t="shared" si="117"/>
        <v>0</v>
      </c>
      <c r="AR215" s="6859" t="str">
        <f t="shared" si="118"/>
        <v/>
      </c>
      <c r="AS215" s="6217"/>
      <c r="AT215" s="6217"/>
      <c r="AU215" s="6272">
        <f t="shared" si="119"/>
        <v>0</v>
      </c>
      <c r="AV215" s="6240">
        <f t="shared" si="120"/>
        <v>0</v>
      </c>
      <c r="AW215" s="6189" cm="1">
        <f t="array" ref="AW215">IF(AK215&lt;&gt;1,0,IF(OR(AU215="",N(AU215)&lt;=0.000000001),"",IF(OR(AO215="",N(AO215)&lt;=0.000000001),0,IF(ISNUMBER(AU215),IFERROR(_xlfn.LET(_xlpm.ai_test,TRIM(AJ215),_xlpm.r,IFERROR(_xlfn.XLOOKUP(_xlpm.ai_test,$BJ$15:$BJ$62,ROW($BJ$15:$BJ$62),0,1),IFERROR(_xlfn.XLOOKUP(_xlpm.ai_test,$BK$15:$BK$62,ROW($BK$15:$BK$62),0,1),_xlfn.XLOOKUP(_xlpm.ai_test,$BL$15:$BL$62,ROW($BL$15:$BL$62),0,1))),_xlpm.p,_xlpm.r-MIN(ROW($BJ$15:$BJ$62))+1,_xlpm.f,INDEX($BM$15:$BM$62,_xlpm.p),_xlpm.u,INDEX($BN$15:$BN$62,_xlpm.p),_xlpm.s,INDEX($BP$15:$BP$62,_xlpm.p),_xlpm.q,N(AU215)/_xlpm.f,IF(_xlpm.q&gt;=_xlpm.s,ROUND(_xlpm.q,1)&amp;" "&amp;_xlpm.ai_test&amp;" = "&amp;ROUND(_xlpm.q*_xlpm.f,1)&amp;" "&amp;_xlpm.u,ROUND(_xlpm.q,1)&amp;" "&amp;_xlpm.ai_test)),""),""))))</f>
        <v>0</v>
      </c>
      <c r="AX215" s="6218"/>
      <c r="AY215" s="6272">
        <f t="shared" si="121"/>
        <v>0</v>
      </c>
      <c r="AZ215" s="6240" t="str">
        <f t="shared" si="122"/>
        <v/>
      </c>
      <c r="BA215" s="6195">
        <f t="shared" ref="BA215:BA278" si="127">IF(ISNUMBER(BG215),IF(ABS(BG215)&lt;=0.000000001,0,BG215),0)</f>
        <v>0</v>
      </c>
      <c r="BB215" s="6193" t="str">
        <f t="shared" si="123"/>
        <v/>
      </c>
      <c r="BC215" s="6219"/>
      <c r="BD215" s="6222">
        <f t="shared" si="104"/>
        <v>0</v>
      </c>
      <c r="BE215" s="6220" t="str">
        <f t="shared" si="124"/>
        <v/>
      </c>
      <c r="BF215" s="4" t="s">
        <v>1</v>
      </c>
      <c r="BG215" s="6196">
        <f t="shared" si="125"/>
        <v>0</v>
      </c>
      <c r="BH215" s="6197">
        <f t="shared" si="126"/>
        <v>0</v>
      </c>
      <c r="BI215"/>
      <c r="BR215"/>
      <c r="BS215"/>
      <c r="BT215"/>
      <c r="BU215"/>
      <c r="BV215"/>
      <c r="BW215"/>
      <c r="BX215" s="20" t="str">
        <f t="shared" si="107"/>
        <v>►</v>
      </c>
      <c r="BY215"/>
      <c r="BZ215"/>
      <c r="CA215"/>
      <c r="CB215"/>
      <c r="CC215"/>
      <c r="CD215" s="2"/>
      <c r="CE215"/>
      <c r="CF215"/>
      <c r="CG215"/>
      <c r="CH215"/>
      <c r="CI215"/>
      <c r="CJ215"/>
      <c r="CK215"/>
      <c r="CM215"/>
      <c r="CN215"/>
      <c r="CO215"/>
      <c r="CP215"/>
      <c r="CQ215"/>
      <c r="CR215"/>
      <c r="CS215"/>
      <c r="CU215"/>
      <c r="CV215"/>
      <c r="CW215"/>
      <c r="CX215"/>
      <c r="CY215"/>
      <c r="CZ215"/>
      <c r="DA215"/>
      <c r="DC215" s="5">
        <v>1</v>
      </c>
    </row>
    <row r="216" spans="1:107" s="1" customFormat="1" ht="21" customHeight="1">
      <c r="A216" s="5641" t="s">
        <v>1</v>
      </c>
      <c r="B216" s="5662" t="str">
        <f t="shared" si="106"/>
        <v>►</v>
      </c>
      <c r="C216" s="5825" cm="1">
        <f t="array" ref="C216">SUMPRODUCT(LEN(D216:J216))</f>
        <v>0</v>
      </c>
      <c r="D216" s="5275"/>
      <c r="E216" s="1361"/>
      <c r="F216" s="1361"/>
      <c r="G216" s="1361"/>
      <c r="H216" s="1361"/>
      <c r="I216" s="1361"/>
      <c r="J216" s="5276"/>
      <c r="K216" s="106" t="s">
        <v>1</v>
      </c>
      <c r="L216" s="1021" t="s">
        <v>26</v>
      </c>
      <c r="M216" s="6787"/>
      <c r="N216" s="6787"/>
      <c r="O216" s="6787"/>
      <c r="P216" s="6788"/>
      <c r="Q216" s="6789"/>
      <c r="R216" s="6790"/>
      <c r="S216" s="6786"/>
      <c r="T216" s="6791"/>
      <c r="U216" s="6844"/>
      <c r="V216" s="6791"/>
      <c r="W216" s="6785"/>
      <c r="X216" s="6868"/>
      <c r="Y216" s="6793"/>
      <c r="Z216" s="6794"/>
      <c r="AA216" s="6795"/>
      <c r="AB216" s="6796"/>
      <c r="AC216" s="6797"/>
      <c r="AD216" s="6798"/>
      <c r="AE216" s="4" t="s">
        <v>1</v>
      </c>
      <c r="AF216" s="6202" t="str">
        <f t="shared" si="108"/>
        <v>►</v>
      </c>
      <c r="AG216" s="6234" t="str">
        <f t="shared" si="109"/>
        <v/>
      </c>
      <c r="AH216" s="6732" t="str">
        <f t="shared" si="110"/>
        <v/>
      </c>
      <c r="AI216" s="6234" t="str">
        <f t="shared" si="111"/>
        <v/>
      </c>
      <c r="AJ216" s="6732" t="str">
        <f t="shared" si="112"/>
        <v/>
      </c>
      <c r="AK216" s="6732">
        <f t="shared" si="113"/>
        <v>0</v>
      </c>
      <c r="AL216" s="6230" t="str" cm="1">
        <f t="array" ref="AL216">IF(AF216&lt;&gt;"A","",IFERROR((IFERROR(_xlfn.XLOOKUP(TRIM(SUBSTITUTE(U216,CHAR(160)," ")),$BJ$15:$BJ$62,$BM$15:$BM$62),IFERROR(_xlfn.XLOOKUP(TRIM(SUBSTITUTE(U216,CHAR(160)," ")),$BK$15:$BK$62,$BM$15:$BM$62),_xlfn.XLOOKUP(TRIM(SUBSTITUTE(U216,CHAR(160)," ")),$BL$15:$BL$62,$BM$15:$BM$62))))*T216*IF(ISBLANK(Q216),1,Q216)+IFERROR(_xlfn.XLOOKUP("RECHERCHEX",TRIM(L216:AD216),L216:AD216),0),0))</f>
        <v/>
      </c>
      <c r="AM216" s="6229">
        <f t="shared" si="114"/>
        <v>0</v>
      </c>
      <c r="AN216" s="6857" t="str">
        <f t="shared" si="105"/>
        <v/>
      </c>
      <c r="AO216" s="392">
        <f t="shared" si="115"/>
        <v>0</v>
      </c>
      <c r="AP216" s="392">
        <f t="shared" si="116"/>
        <v>0</v>
      </c>
      <c r="AQ216" s="6190">
        <f t="shared" si="117"/>
        <v>0</v>
      </c>
      <c r="AR216" s="6858" t="str">
        <f t="shared" si="118"/>
        <v/>
      </c>
      <c r="AS216" s="6217"/>
      <c r="AT216" s="6217"/>
      <c r="AU216" s="6271">
        <f t="shared" si="119"/>
        <v>0</v>
      </c>
      <c r="AV216" s="6242">
        <f t="shared" si="120"/>
        <v>0</v>
      </c>
      <c r="AW216" s="6188" cm="1">
        <f t="array" ref="AW216">IF(AK216&lt;&gt;1,0,IF(OR(AU216="",N(AU216)&lt;=0.000000001),"",IF(OR(AO216="",N(AO216)&lt;=0.000000001),0,IF(ISNUMBER(AU216),IFERROR(_xlfn.LET(_xlpm.ai_test,TRIM(AJ216),_xlpm.r,IFERROR(_xlfn.XLOOKUP(_xlpm.ai_test,$BJ$15:$BJ$62,ROW($BJ$15:$BJ$62),0,1),IFERROR(_xlfn.XLOOKUP(_xlpm.ai_test,$BK$15:$BK$62,ROW($BK$15:$BK$62),0,1),_xlfn.XLOOKUP(_xlpm.ai_test,$BL$15:$BL$62,ROW($BL$15:$BL$62),0,1))),_xlpm.p,_xlpm.r-MIN(ROW($BJ$15:$BJ$62))+1,_xlpm.f,INDEX($BM$15:$BM$62,_xlpm.p),_xlpm.u,INDEX($BN$15:$BN$62,_xlpm.p),_xlpm.s,INDEX($BP$15:$BP$62,_xlpm.p),_xlpm.q,N(AU216)/_xlpm.f,IF(_xlpm.q&gt;=_xlpm.s,ROUND(_xlpm.q,1)&amp;" "&amp;_xlpm.ai_test&amp;" = "&amp;ROUND(_xlpm.q*_xlpm.f,1)&amp;" "&amp;_xlpm.u,ROUND(_xlpm.q,1)&amp;" "&amp;_xlpm.ai_test)),""),""))))</f>
        <v>0</v>
      </c>
      <c r="AX216" s="6218"/>
      <c r="AY216" s="6271">
        <f t="shared" si="121"/>
        <v>0</v>
      </c>
      <c r="AZ216" s="6242" t="str">
        <f t="shared" si="122"/>
        <v/>
      </c>
      <c r="BA216" s="6194">
        <f t="shared" si="127"/>
        <v>0</v>
      </c>
      <c r="BB216" s="6192" t="str">
        <f t="shared" si="123"/>
        <v/>
      </c>
      <c r="BC216" s="6219"/>
      <c r="BD216" s="6221">
        <f t="shared" si="104"/>
        <v>0</v>
      </c>
      <c r="BE216" s="6220" t="str">
        <f t="shared" si="124"/>
        <v/>
      </c>
      <c r="BF216" s="4" t="s">
        <v>1</v>
      </c>
      <c r="BG216" s="6196">
        <f t="shared" si="125"/>
        <v>0</v>
      </c>
      <c r="BH216" s="6197">
        <f t="shared" si="126"/>
        <v>0</v>
      </c>
      <c r="BI216"/>
      <c r="BR216"/>
      <c r="BS216"/>
      <c r="BT216"/>
      <c r="BU216"/>
      <c r="BV216"/>
      <c r="BW216"/>
      <c r="BX216" s="20" t="str">
        <f t="shared" si="107"/>
        <v>►</v>
      </c>
      <c r="BY216"/>
      <c r="BZ216"/>
      <c r="CA216"/>
      <c r="CB216"/>
      <c r="CC216"/>
      <c r="CD216" s="2"/>
      <c r="CE216"/>
      <c r="CF216"/>
      <c r="CG216"/>
      <c r="CH216"/>
      <c r="CI216"/>
      <c r="CJ216"/>
      <c r="CK216"/>
      <c r="CM216"/>
      <c r="CN216"/>
      <c r="CO216"/>
      <c r="CP216"/>
      <c r="CQ216"/>
      <c r="CR216"/>
      <c r="CS216"/>
      <c r="CU216"/>
      <c r="CV216"/>
      <c r="CW216"/>
      <c r="CX216"/>
      <c r="CY216"/>
      <c r="CZ216"/>
      <c r="DA216"/>
      <c r="DC216" s="5">
        <v>1</v>
      </c>
    </row>
    <row r="217" spans="1:107" s="1" customFormat="1" ht="21" customHeight="1">
      <c r="A217" s="5641" t="s">
        <v>1</v>
      </c>
      <c r="B217" s="5662" t="str">
        <f t="shared" si="106"/>
        <v>►</v>
      </c>
      <c r="C217" s="5825" cm="1">
        <f t="array" ref="C217">SUMPRODUCT(LEN(D217:J217))</f>
        <v>0</v>
      </c>
      <c r="D217" s="5275"/>
      <c r="E217" s="1361"/>
      <c r="F217" s="1361"/>
      <c r="G217" s="1361"/>
      <c r="H217" s="1361"/>
      <c r="I217" s="1361"/>
      <c r="J217" s="5276"/>
      <c r="K217" s="106" t="s">
        <v>1</v>
      </c>
      <c r="L217" s="1021" t="s">
        <v>26</v>
      </c>
      <c r="M217" s="6787"/>
      <c r="N217" s="6787"/>
      <c r="O217" s="6787"/>
      <c r="P217" s="6788"/>
      <c r="Q217" s="6789"/>
      <c r="R217" s="6790"/>
      <c r="S217" s="6786"/>
      <c r="T217" s="6791"/>
      <c r="U217" s="6844"/>
      <c r="V217" s="6791"/>
      <c r="W217" s="6785"/>
      <c r="X217" s="6868"/>
      <c r="Y217" s="6793"/>
      <c r="Z217" s="6794"/>
      <c r="AA217" s="6795"/>
      <c r="AB217" s="6796"/>
      <c r="AC217" s="6797"/>
      <c r="AD217" s="6798"/>
      <c r="AE217" s="4" t="s">
        <v>1</v>
      </c>
      <c r="AF217" s="6202" t="str">
        <f t="shared" si="108"/>
        <v>►</v>
      </c>
      <c r="AG217" s="6234" t="str">
        <f t="shared" si="109"/>
        <v/>
      </c>
      <c r="AH217" s="6732" t="str">
        <f t="shared" si="110"/>
        <v/>
      </c>
      <c r="AI217" s="6234" t="str">
        <f t="shared" si="111"/>
        <v/>
      </c>
      <c r="AJ217" s="6732" t="str">
        <f t="shared" si="112"/>
        <v/>
      </c>
      <c r="AK217" s="6732">
        <f t="shared" si="113"/>
        <v>0</v>
      </c>
      <c r="AL217" s="6230" t="str" cm="1">
        <f t="array" ref="AL217">IF(AF217&lt;&gt;"A","",IFERROR((IFERROR(_xlfn.XLOOKUP(TRIM(SUBSTITUTE(U217,CHAR(160)," ")),$BJ$15:$BJ$62,$BM$15:$BM$62),IFERROR(_xlfn.XLOOKUP(TRIM(SUBSTITUTE(U217,CHAR(160)," ")),$BK$15:$BK$62,$BM$15:$BM$62),_xlfn.XLOOKUP(TRIM(SUBSTITUTE(U217,CHAR(160)," ")),$BL$15:$BL$62,$BM$15:$BM$62))))*T217*IF(ISBLANK(Q217),1,Q217)+IFERROR(_xlfn.XLOOKUP("RECHERCHEX",TRIM(L217:AD217),L217:AD217),0),0))</f>
        <v/>
      </c>
      <c r="AM217" s="6229">
        <f t="shared" si="114"/>
        <v>0</v>
      </c>
      <c r="AN217" s="6857" t="str">
        <f t="shared" si="105"/>
        <v/>
      </c>
      <c r="AO217" s="392">
        <f t="shared" si="115"/>
        <v>0</v>
      </c>
      <c r="AP217" s="392">
        <f t="shared" si="116"/>
        <v>0</v>
      </c>
      <c r="AQ217" s="6191">
        <f t="shared" si="117"/>
        <v>0</v>
      </c>
      <c r="AR217" s="6859" t="str">
        <f t="shared" si="118"/>
        <v/>
      </c>
      <c r="AS217" s="6217"/>
      <c r="AT217" s="6217"/>
      <c r="AU217" s="6272">
        <f t="shared" si="119"/>
        <v>0</v>
      </c>
      <c r="AV217" s="6240">
        <f t="shared" si="120"/>
        <v>0</v>
      </c>
      <c r="AW217" s="6189" cm="1">
        <f t="array" ref="AW217">IF(AK217&lt;&gt;1,0,IF(OR(AU217="",N(AU217)&lt;=0.000000001),"",IF(OR(AO217="",N(AO217)&lt;=0.000000001),0,IF(ISNUMBER(AU217),IFERROR(_xlfn.LET(_xlpm.ai_test,TRIM(AJ217),_xlpm.r,IFERROR(_xlfn.XLOOKUP(_xlpm.ai_test,$BJ$15:$BJ$62,ROW($BJ$15:$BJ$62),0,1),IFERROR(_xlfn.XLOOKUP(_xlpm.ai_test,$BK$15:$BK$62,ROW($BK$15:$BK$62),0,1),_xlfn.XLOOKUP(_xlpm.ai_test,$BL$15:$BL$62,ROW($BL$15:$BL$62),0,1))),_xlpm.p,_xlpm.r-MIN(ROW($BJ$15:$BJ$62))+1,_xlpm.f,INDEX($BM$15:$BM$62,_xlpm.p),_xlpm.u,INDEX($BN$15:$BN$62,_xlpm.p),_xlpm.s,INDEX($BP$15:$BP$62,_xlpm.p),_xlpm.q,N(AU217)/_xlpm.f,IF(_xlpm.q&gt;=_xlpm.s,ROUND(_xlpm.q,1)&amp;" "&amp;_xlpm.ai_test&amp;" = "&amp;ROUND(_xlpm.q*_xlpm.f,1)&amp;" "&amp;_xlpm.u,ROUND(_xlpm.q,1)&amp;" "&amp;_xlpm.ai_test)),""),""))))</f>
        <v>0</v>
      </c>
      <c r="AX217" s="6218"/>
      <c r="AY217" s="6272">
        <f t="shared" si="121"/>
        <v>0</v>
      </c>
      <c r="AZ217" s="6240" t="str">
        <f t="shared" si="122"/>
        <v/>
      </c>
      <c r="BA217" s="6195">
        <f t="shared" si="127"/>
        <v>0</v>
      </c>
      <c r="BB217" s="6193" t="str">
        <f t="shared" si="123"/>
        <v/>
      </c>
      <c r="BC217" s="6219"/>
      <c r="BD217" s="6222">
        <f t="shared" si="104"/>
        <v>0</v>
      </c>
      <c r="BE217" s="6220" t="str">
        <f t="shared" si="124"/>
        <v/>
      </c>
      <c r="BF217" s="4" t="s">
        <v>1</v>
      </c>
      <c r="BG217" s="6196">
        <f t="shared" si="125"/>
        <v>0</v>
      </c>
      <c r="BH217" s="6197">
        <f t="shared" si="126"/>
        <v>0</v>
      </c>
      <c r="BI217"/>
      <c r="BR217"/>
      <c r="BS217"/>
      <c r="BT217"/>
      <c r="BU217"/>
      <c r="BV217"/>
      <c r="BW217"/>
      <c r="BX217" s="20" t="str">
        <f t="shared" si="107"/>
        <v>►</v>
      </c>
      <c r="BY217"/>
      <c r="BZ217"/>
      <c r="CA217"/>
      <c r="CB217"/>
      <c r="CC217"/>
      <c r="CD217" s="2"/>
      <c r="CE217"/>
      <c r="CF217"/>
      <c r="CG217"/>
      <c r="CH217"/>
      <c r="CI217"/>
      <c r="CJ217"/>
      <c r="CK217"/>
      <c r="CM217"/>
      <c r="CN217"/>
      <c r="CO217"/>
      <c r="CP217"/>
      <c r="CQ217"/>
      <c r="CR217"/>
      <c r="CS217"/>
      <c r="CU217"/>
      <c r="CV217"/>
      <c r="CW217"/>
      <c r="CX217"/>
      <c r="CY217"/>
      <c r="CZ217"/>
      <c r="DA217"/>
      <c r="DC217" s="5">
        <v>1</v>
      </c>
    </row>
    <row r="218" spans="1:107" s="1" customFormat="1" ht="21" customHeight="1">
      <c r="A218" s="5641" t="s">
        <v>1</v>
      </c>
      <c r="B218" s="5662" t="str">
        <f t="shared" si="106"/>
        <v>►</v>
      </c>
      <c r="C218" s="5825" cm="1">
        <f t="array" ref="C218">SUMPRODUCT(LEN(D218:J218))</f>
        <v>0</v>
      </c>
      <c r="D218" s="5275"/>
      <c r="E218" s="1361"/>
      <c r="F218" s="1361"/>
      <c r="G218" s="1361"/>
      <c r="H218" s="1361"/>
      <c r="I218" s="1361"/>
      <c r="J218" s="5276"/>
      <c r="K218" s="106" t="s">
        <v>1</v>
      </c>
      <c r="L218" s="1021" t="s">
        <v>26</v>
      </c>
      <c r="M218" s="6787"/>
      <c r="N218" s="6787"/>
      <c r="O218" s="6787"/>
      <c r="P218" s="6788"/>
      <c r="Q218" s="6789"/>
      <c r="R218" s="6790"/>
      <c r="S218" s="6786"/>
      <c r="T218" s="6791"/>
      <c r="U218" s="6844"/>
      <c r="V218" s="6791"/>
      <c r="W218" s="6785"/>
      <c r="X218" s="6868"/>
      <c r="Y218" s="6793"/>
      <c r="Z218" s="6794"/>
      <c r="AA218" s="6795"/>
      <c r="AB218" s="6796"/>
      <c r="AC218" s="6797"/>
      <c r="AD218" s="6798"/>
      <c r="AE218" s="4" t="s">
        <v>1</v>
      </c>
      <c r="AF218" s="6202" t="str">
        <f t="shared" si="108"/>
        <v>►</v>
      </c>
      <c r="AG218" s="6234" t="str">
        <f t="shared" si="109"/>
        <v/>
      </c>
      <c r="AH218" s="6732" t="str">
        <f t="shared" si="110"/>
        <v/>
      </c>
      <c r="AI218" s="6234" t="str">
        <f t="shared" si="111"/>
        <v/>
      </c>
      <c r="AJ218" s="6732" t="str">
        <f t="shared" si="112"/>
        <v/>
      </c>
      <c r="AK218" s="6732">
        <f t="shared" si="113"/>
        <v>0</v>
      </c>
      <c r="AL218" s="6230" t="str" cm="1">
        <f t="array" ref="AL218">IF(AF218&lt;&gt;"A","",IFERROR((IFERROR(_xlfn.XLOOKUP(TRIM(SUBSTITUTE(U218,CHAR(160)," ")),$BJ$15:$BJ$62,$BM$15:$BM$62),IFERROR(_xlfn.XLOOKUP(TRIM(SUBSTITUTE(U218,CHAR(160)," ")),$BK$15:$BK$62,$BM$15:$BM$62),_xlfn.XLOOKUP(TRIM(SUBSTITUTE(U218,CHAR(160)," ")),$BL$15:$BL$62,$BM$15:$BM$62))))*T218*IF(ISBLANK(Q218),1,Q218)+IFERROR(_xlfn.XLOOKUP("RECHERCHEX",TRIM(L218:AD218),L218:AD218),0),0))</f>
        <v/>
      </c>
      <c r="AM218" s="6229">
        <f t="shared" si="114"/>
        <v>0</v>
      </c>
      <c r="AN218" s="6857" t="str">
        <f t="shared" si="105"/>
        <v/>
      </c>
      <c r="AO218" s="392">
        <f t="shared" si="115"/>
        <v>0</v>
      </c>
      <c r="AP218" s="392">
        <f t="shared" si="116"/>
        <v>0</v>
      </c>
      <c r="AQ218" s="6190">
        <f t="shared" si="117"/>
        <v>0</v>
      </c>
      <c r="AR218" s="6858" t="str">
        <f t="shared" si="118"/>
        <v/>
      </c>
      <c r="AS218" s="6217"/>
      <c r="AT218" s="6217"/>
      <c r="AU218" s="6271">
        <f t="shared" si="119"/>
        <v>0</v>
      </c>
      <c r="AV218" s="6242">
        <f t="shared" si="120"/>
        <v>0</v>
      </c>
      <c r="AW218" s="6188" cm="1">
        <f t="array" ref="AW218">IF(AK218&lt;&gt;1,0,IF(OR(AU218="",N(AU218)&lt;=0.000000001),"",IF(OR(AO218="",N(AO218)&lt;=0.000000001),0,IF(ISNUMBER(AU218),IFERROR(_xlfn.LET(_xlpm.ai_test,TRIM(AJ218),_xlpm.r,IFERROR(_xlfn.XLOOKUP(_xlpm.ai_test,$BJ$15:$BJ$62,ROW($BJ$15:$BJ$62),0,1),IFERROR(_xlfn.XLOOKUP(_xlpm.ai_test,$BK$15:$BK$62,ROW($BK$15:$BK$62),0,1),_xlfn.XLOOKUP(_xlpm.ai_test,$BL$15:$BL$62,ROW($BL$15:$BL$62),0,1))),_xlpm.p,_xlpm.r-MIN(ROW($BJ$15:$BJ$62))+1,_xlpm.f,INDEX($BM$15:$BM$62,_xlpm.p),_xlpm.u,INDEX($BN$15:$BN$62,_xlpm.p),_xlpm.s,INDEX($BP$15:$BP$62,_xlpm.p),_xlpm.q,N(AU218)/_xlpm.f,IF(_xlpm.q&gt;=_xlpm.s,ROUND(_xlpm.q,1)&amp;" "&amp;_xlpm.ai_test&amp;" = "&amp;ROUND(_xlpm.q*_xlpm.f,1)&amp;" "&amp;_xlpm.u,ROUND(_xlpm.q,1)&amp;" "&amp;_xlpm.ai_test)),""),""))))</f>
        <v>0</v>
      </c>
      <c r="AX218" s="6218"/>
      <c r="AY218" s="6271">
        <f t="shared" si="121"/>
        <v>0</v>
      </c>
      <c r="AZ218" s="6242" t="str">
        <f t="shared" si="122"/>
        <v/>
      </c>
      <c r="BA218" s="6194">
        <f t="shared" si="127"/>
        <v>0</v>
      </c>
      <c r="BB218" s="6192" t="str">
        <f t="shared" si="123"/>
        <v/>
      </c>
      <c r="BC218" s="6219"/>
      <c r="BD218" s="6221">
        <f t="shared" si="104"/>
        <v>0</v>
      </c>
      <c r="BE218" s="6220" t="str">
        <f t="shared" si="124"/>
        <v/>
      </c>
      <c r="BF218" s="4" t="s">
        <v>1</v>
      </c>
      <c r="BG218" s="6196">
        <f t="shared" si="125"/>
        <v>0</v>
      </c>
      <c r="BH218" s="6197">
        <f t="shared" si="126"/>
        <v>0</v>
      </c>
      <c r="BI218"/>
      <c r="BR218"/>
      <c r="BS218"/>
      <c r="BT218"/>
      <c r="BU218"/>
      <c r="BV218"/>
      <c r="BW218"/>
      <c r="BX218" s="20" t="str">
        <f t="shared" si="107"/>
        <v>►</v>
      </c>
      <c r="BY218"/>
      <c r="BZ218"/>
      <c r="CA218"/>
      <c r="CB218"/>
      <c r="CC218"/>
      <c r="CD218" s="2"/>
      <c r="CE218"/>
      <c r="CF218"/>
      <c r="CG218"/>
      <c r="CH218"/>
      <c r="CI218"/>
      <c r="CJ218"/>
      <c r="CK218"/>
      <c r="CM218"/>
      <c r="CN218"/>
      <c r="CO218"/>
      <c r="CP218"/>
      <c r="CQ218"/>
      <c r="CR218"/>
      <c r="CS218"/>
      <c r="CU218"/>
      <c r="CV218"/>
      <c r="CW218"/>
      <c r="CX218"/>
      <c r="CY218"/>
      <c r="CZ218"/>
      <c r="DA218"/>
      <c r="DC218" s="5">
        <v>1</v>
      </c>
    </row>
    <row r="219" spans="1:107" s="1" customFormat="1" ht="21" customHeight="1">
      <c r="A219" s="5641" t="s">
        <v>1</v>
      </c>
      <c r="B219" s="5662" t="str">
        <f t="shared" si="106"/>
        <v>►</v>
      </c>
      <c r="C219" s="5825" cm="1">
        <f t="array" ref="C219">SUMPRODUCT(LEN(D219:J219))</f>
        <v>0</v>
      </c>
      <c r="D219" s="5275"/>
      <c r="E219" s="1361"/>
      <c r="F219" s="1361"/>
      <c r="G219" s="1361"/>
      <c r="H219" s="1361"/>
      <c r="I219" s="1361"/>
      <c r="J219" s="5276"/>
      <c r="K219" s="106" t="s">
        <v>1</v>
      </c>
      <c r="L219" s="1021" t="s">
        <v>26</v>
      </c>
      <c r="M219" s="6787"/>
      <c r="N219" s="6787"/>
      <c r="O219" s="6787"/>
      <c r="P219" s="6788"/>
      <c r="Q219" s="6789"/>
      <c r="R219" s="6790"/>
      <c r="S219" s="6786"/>
      <c r="T219" s="6791"/>
      <c r="U219" s="6844"/>
      <c r="V219" s="6791"/>
      <c r="W219" s="6785"/>
      <c r="X219" s="6868"/>
      <c r="Y219" s="6793"/>
      <c r="Z219" s="6794"/>
      <c r="AA219" s="6795"/>
      <c r="AB219" s="6796"/>
      <c r="AC219" s="6797"/>
      <c r="AD219" s="6798"/>
      <c r="AE219" s="4" t="s">
        <v>1</v>
      </c>
      <c r="AF219" s="6202" t="str">
        <f t="shared" si="108"/>
        <v>►</v>
      </c>
      <c r="AG219" s="6234" t="str">
        <f t="shared" si="109"/>
        <v/>
      </c>
      <c r="AH219" s="6732" t="str">
        <f t="shared" si="110"/>
        <v/>
      </c>
      <c r="AI219" s="6234" t="str">
        <f t="shared" si="111"/>
        <v/>
      </c>
      <c r="AJ219" s="6732" t="str">
        <f t="shared" si="112"/>
        <v/>
      </c>
      <c r="AK219" s="6732">
        <f t="shared" si="113"/>
        <v>0</v>
      </c>
      <c r="AL219" s="6230" t="str" cm="1">
        <f t="array" ref="AL219">IF(AF219&lt;&gt;"A","",IFERROR((IFERROR(_xlfn.XLOOKUP(TRIM(SUBSTITUTE(U219,CHAR(160)," ")),$BJ$15:$BJ$62,$BM$15:$BM$62),IFERROR(_xlfn.XLOOKUP(TRIM(SUBSTITUTE(U219,CHAR(160)," ")),$BK$15:$BK$62,$BM$15:$BM$62),_xlfn.XLOOKUP(TRIM(SUBSTITUTE(U219,CHAR(160)," ")),$BL$15:$BL$62,$BM$15:$BM$62))))*T219*IF(ISBLANK(Q219),1,Q219)+IFERROR(_xlfn.XLOOKUP("RECHERCHEX",TRIM(L219:AD219),L219:AD219),0),0))</f>
        <v/>
      </c>
      <c r="AM219" s="6229">
        <f t="shared" si="114"/>
        <v>0</v>
      </c>
      <c r="AN219" s="6857" t="str">
        <f t="shared" si="105"/>
        <v/>
      </c>
      <c r="AO219" s="392">
        <f t="shared" si="115"/>
        <v>0</v>
      </c>
      <c r="AP219" s="392">
        <f t="shared" si="116"/>
        <v>0</v>
      </c>
      <c r="AQ219" s="6191">
        <f t="shared" si="117"/>
        <v>0</v>
      </c>
      <c r="AR219" s="6859" t="str">
        <f t="shared" si="118"/>
        <v/>
      </c>
      <c r="AS219" s="6217"/>
      <c r="AT219" s="6217"/>
      <c r="AU219" s="6272">
        <f t="shared" si="119"/>
        <v>0</v>
      </c>
      <c r="AV219" s="6240">
        <f t="shared" si="120"/>
        <v>0</v>
      </c>
      <c r="AW219" s="6189" cm="1">
        <f t="array" ref="AW219">IF(AK219&lt;&gt;1,0,IF(OR(AU219="",N(AU219)&lt;=0.000000001),"",IF(OR(AO219="",N(AO219)&lt;=0.000000001),0,IF(ISNUMBER(AU219),IFERROR(_xlfn.LET(_xlpm.ai_test,TRIM(AJ219),_xlpm.r,IFERROR(_xlfn.XLOOKUP(_xlpm.ai_test,$BJ$15:$BJ$62,ROW($BJ$15:$BJ$62),0,1),IFERROR(_xlfn.XLOOKUP(_xlpm.ai_test,$BK$15:$BK$62,ROW($BK$15:$BK$62),0,1),_xlfn.XLOOKUP(_xlpm.ai_test,$BL$15:$BL$62,ROW($BL$15:$BL$62),0,1))),_xlpm.p,_xlpm.r-MIN(ROW($BJ$15:$BJ$62))+1,_xlpm.f,INDEX($BM$15:$BM$62,_xlpm.p),_xlpm.u,INDEX($BN$15:$BN$62,_xlpm.p),_xlpm.s,INDEX($BP$15:$BP$62,_xlpm.p),_xlpm.q,N(AU219)/_xlpm.f,IF(_xlpm.q&gt;=_xlpm.s,ROUND(_xlpm.q,1)&amp;" "&amp;_xlpm.ai_test&amp;" = "&amp;ROUND(_xlpm.q*_xlpm.f,1)&amp;" "&amp;_xlpm.u,ROUND(_xlpm.q,1)&amp;" "&amp;_xlpm.ai_test)),""),""))))</f>
        <v>0</v>
      </c>
      <c r="AX219" s="6218"/>
      <c r="AY219" s="6272">
        <f t="shared" si="121"/>
        <v>0</v>
      </c>
      <c r="AZ219" s="6240" t="str">
        <f t="shared" si="122"/>
        <v/>
      </c>
      <c r="BA219" s="6195">
        <f t="shared" si="127"/>
        <v>0</v>
      </c>
      <c r="BB219" s="6193" t="str">
        <f t="shared" si="123"/>
        <v/>
      </c>
      <c r="BC219" s="6219"/>
      <c r="BD219" s="6222">
        <f t="shared" ref="BD219:BD282" si="128">IF(OR(AO219=0,ISBLANK(BC219),ISTEXT(BA219)),0,(IF(AU219=0,BA219,AU219)*BC219))</f>
        <v>0</v>
      </c>
      <c r="BE219" s="6220" t="str">
        <f t="shared" si="124"/>
        <v/>
      </c>
      <c r="BF219" s="4" t="s">
        <v>1</v>
      </c>
      <c r="BG219" s="6196">
        <f t="shared" si="125"/>
        <v>0</v>
      </c>
      <c r="BH219" s="6197">
        <f t="shared" si="126"/>
        <v>0</v>
      </c>
      <c r="BI219"/>
      <c r="BR219"/>
      <c r="BS219"/>
      <c r="BT219"/>
      <c r="BU219"/>
      <c r="BV219"/>
      <c r="BW219"/>
      <c r="BX219" s="20" t="str">
        <f t="shared" si="107"/>
        <v>►</v>
      </c>
      <c r="BY219"/>
      <c r="BZ219"/>
      <c r="CA219"/>
      <c r="CB219"/>
      <c r="CC219"/>
      <c r="CD219" s="2"/>
      <c r="CE219"/>
      <c r="CF219"/>
      <c r="CG219"/>
      <c r="CH219"/>
      <c r="CI219"/>
      <c r="CJ219"/>
      <c r="CK219"/>
      <c r="CM219"/>
      <c r="CN219"/>
      <c r="CO219"/>
      <c r="CP219"/>
      <c r="CQ219"/>
      <c r="CR219"/>
      <c r="CS219"/>
      <c r="CU219"/>
      <c r="CV219"/>
      <c r="CW219"/>
      <c r="CX219"/>
      <c r="CY219"/>
      <c r="CZ219"/>
      <c r="DA219"/>
      <c r="DC219" s="5">
        <v>1</v>
      </c>
    </row>
    <row r="220" spans="1:107" s="1" customFormat="1" ht="21" customHeight="1">
      <c r="A220" s="5641" t="s">
        <v>1</v>
      </c>
      <c r="B220" s="5662" t="str">
        <f t="shared" si="106"/>
        <v>►</v>
      </c>
      <c r="C220" s="5825" cm="1">
        <f t="array" ref="C220">SUMPRODUCT(LEN(D220:J220))</f>
        <v>0</v>
      </c>
      <c r="D220" s="5275"/>
      <c r="E220" s="1361"/>
      <c r="F220" s="1361"/>
      <c r="G220" s="1361"/>
      <c r="H220" s="1361"/>
      <c r="I220" s="1361"/>
      <c r="J220" s="5276"/>
      <c r="K220" s="106" t="s">
        <v>1</v>
      </c>
      <c r="L220" s="1021" t="s">
        <v>26</v>
      </c>
      <c r="M220" s="6787"/>
      <c r="N220" s="6787"/>
      <c r="O220" s="6787"/>
      <c r="P220" s="6788"/>
      <c r="Q220" s="6789"/>
      <c r="R220" s="6790"/>
      <c r="S220" s="6786"/>
      <c r="T220" s="6791"/>
      <c r="U220" s="6844"/>
      <c r="V220" s="6791"/>
      <c r="W220" s="6785"/>
      <c r="X220" s="6868"/>
      <c r="Y220" s="6793"/>
      <c r="Z220" s="6794"/>
      <c r="AA220" s="6795"/>
      <c r="AB220" s="6796"/>
      <c r="AC220" s="6797"/>
      <c r="AD220" s="6798"/>
      <c r="AE220" s="4" t="s">
        <v>1</v>
      </c>
      <c r="AF220" s="6202" t="str">
        <f t="shared" si="108"/>
        <v>►</v>
      </c>
      <c r="AG220" s="6234" t="str">
        <f t="shared" si="109"/>
        <v/>
      </c>
      <c r="AH220" s="6732" t="str">
        <f t="shared" si="110"/>
        <v/>
      </c>
      <c r="AI220" s="6234" t="str">
        <f t="shared" si="111"/>
        <v/>
      </c>
      <c r="AJ220" s="6732" t="str">
        <f t="shared" si="112"/>
        <v/>
      </c>
      <c r="AK220" s="6732">
        <f t="shared" si="113"/>
        <v>0</v>
      </c>
      <c r="AL220" s="6230" t="str" cm="1">
        <f t="array" ref="AL220">IF(AF220&lt;&gt;"A","",IFERROR((IFERROR(_xlfn.XLOOKUP(TRIM(SUBSTITUTE(U220,CHAR(160)," ")),$BJ$15:$BJ$62,$BM$15:$BM$62),IFERROR(_xlfn.XLOOKUP(TRIM(SUBSTITUTE(U220,CHAR(160)," ")),$BK$15:$BK$62,$BM$15:$BM$62),_xlfn.XLOOKUP(TRIM(SUBSTITUTE(U220,CHAR(160)," ")),$BL$15:$BL$62,$BM$15:$BM$62))))*T220*IF(ISBLANK(Q220),1,Q220)+IFERROR(_xlfn.XLOOKUP("RECHERCHEX",TRIM(L220:AD220),L220:AD220),0),0))</f>
        <v/>
      </c>
      <c r="AM220" s="6229">
        <f t="shared" si="114"/>
        <v>0</v>
      </c>
      <c r="AN220" s="6857" t="str">
        <f t="shared" si="105"/>
        <v/>
      </c>
      <c r="AO220" s="392">
        <f t="shared" si="115"/>
        <v>0</v>
      </c>
      <c r="AP220" s="392">
        <f t="shared" si="116"/>
        <v>0</v>
      </c>
      <c r="AQ220" s="6190">
        <f t="shared" si="117"/>
        <v>0</v>
      </c>
      <c r="AR220" s="6858" t="str">
        <f t="shared" si="118"/>
        <v/>
      </c>
      <c r="AS220" s="6217"/>
      <c r="AT220" s="6217"/>
      <c r="AU220" s="6271">
        <f t="shared" si="119"/>
        <v>0</v>
      </c>
      <c r="AV220" s="6242">
        <f t="shared" si="120"/>
        <v>0</v>
      </c>
      <c r="AW220" s="6188" cm="1">
        <f t="array" ref="AW220">IF(AK220&lt;&gt;1,0,IF(OR(AU220="",N(AU220)&lt;=0.000000001),"",IF(OR(AO220="",N(AO220)&lt;=0.000000001),0,IF(ISNUMBER(AU220),IFERROR(_xlfn.LET(_xlpm.ai_test,TRIM(AJ220),_xlpm.r,IFERROR(_xlfn.XLOOKUP(_xlpm.ai_test,$BJ$15:$BJ$62,ROW($BJ$15:$BJ$62),0,1),IFERROR(_xlfn.XLOOKUP(_xlpm.ai_test,$BK$15:$BK$62,ROW($BK$15:$BK$62),0,1),_xlfn.XLOOKUP(_xlpm.ai_test,$BL$15:$BL$62,ROW($BL$15:$BL$62),0,1))),_xlpm.p,_xlpm.r-MIN(ROW($BJ$15:$BJ$62))+1,_xlpm.f,INDEX($BM$15:$BM$62,_xlpm.p),_xlpm.u,INDEX($BN$15:$BN$62,_xlpm.p),_xlpm.s,INDEX($BP$15:$BP$62,_xlpm.p),_xlpm.q,N(AU220)/_xlpm.f,IF(_xlpm.q&gt;=_xlpm.s,ROUND(_xlpm.q,1)&amp;" "&amp;_xlpm.ai_test&amp;" = "&amp;ROUND(_xlpm.q*_xlpm.f,1)&amp;" "&amp;_xlpm.u,ROUND(_xlpm.q,1)&amp;" "&amp;_xlpm.ai_test)),""),""))))</f>
        <v>0</v>
      </c>
      <c r="AX220" s="6218"/>
      <c r="AY220" s="6271">
        <f t="shared" si="121"/>
        <v>0</v>
      </c>
      <c r="AZ220" s="6242" t="str">
        <f t="shared" si="122"/>
        <v/>
      </c>
      <c r="BA220" s="6194">
        <f t="shared" si="127"/>
        <v>0</v>
      </c>
      <c r="BB220" s="6192" t="str">
        <f t="shared" si="123"/>
        <v/>
      </c>
      <c r="BC220" s="6219"/>
      <c r="BD220" s="6221">
        <f t="shared" si="128"/>
        <v>0</v>
      </c>
      <c r="BE220" s="6220" t="str">
        <f t="shared" si="124"/>
        <v/>
      </c>
      <c r="BF220" s="4" t="s">
        <v>1</v>
      </c>
      <c r="BG220" s="6196">
        <f t="shared" si="125"/>
        <v>0</v>
      </c>
      <c r="BH220" s="6197">
        <f t="shared" si="126"/>
        <v>0</v>
      </c>
      <c r="BI220"/>
      <c r="BR220"/>
      <c r="BS220"/>
      <c r="BT220"/>
      <c r="BU220"/>
      <c r="BV220"/>
      <c r="BW220"/>
      <c r="BX220" s="20" t="str">
        <f t="shared" si="107"/>
        <v>►</v>
      </c>
      <c r="BY220"/>
      <c r="BZ220"/>
      <c r="CA220"/>
      <c r="CB220"/>
      <c r="CC220"/>
      <c r="CD220" s="2"/>
      <c r="CE220"/>
      <c r="CF220"/>
      <c r="CG220"/>
      <c r="CH220"/>
      <c r="CI220"/>
      <c r="CJ220"/>
      <c r="CK220"/>
      <c r="CM220"/>
      <c r="CN220"/>
      <c r="CO220"/>
      <c r="CP220"/>
      <c r="CQ220"/>
      <c r="CR220"/>
      <c r="CS220"/>
      <c r="CU220"/>
      <c r="CV220"/>
      <c r="CW220"/>
      <c r="CX220"/>
      <c r="CY220"/>
      <c r="CZ220"/>
      <c r="DA220"/>
      <c r="DC220" s="5">
        <v>1</v>
      </c>
    </row>
    <row r="221" spans="1:107" s="1" customFormat="1" ht="21" customHeight="1">
      <c r="A221" s="5641" t="s">
        <v>1</v>
      </c>
      <c r="B221" s="5662" t="str">
        <f t="shared" si="106"/>
        <v>►</v>
      </c>
      <c r="C221" s="5825" cm="1">
        <f t="array" ref="C221">SUMPRODUCT(LEN(D221:J221))</f>
        <v>0</v>
      </c>
      <c r="D221" s="5275"/>
      <c r="E221" s="1361"/>
      <c r="F221" s="1361"/>
      <c r="G221" s="1361"/>
      <c r="H221" s="1361"/>
      <c r="I221" s="1361"/>
      <c r="J221" s="5276"/>
      <c r="K221" s="106" t="s">
        <v>1</v>
      </c>
      <c r="L221" s="1021" t="s">
        <v>26</v>
      </c>
      <c r="M221" s="6787"/>
      <c r="N221" s="6787"/>
      <c r="O221" s="6787"/>
      <c r="P221" s="6788"/>
      <c r="Q221" s="6789"/>
      <c r="R221" s="6790"/>
      <c r="S221" s="6786"/>
      <c r="T221" s="6791"/>
      <c r="U221" s="6844"/>
      <c r="V221" s="6791"/>
      <c r="W221" s="6785"/>
      <c r="X221" s="6868"/>
      <c r="Y221" s="6793"/>
      <c r="Z221" s="6794"/>
      <c r="AA221" s="6795"/>
      <c r="AB221" s="6796"/>
      <c r="AC221" s="6797"/>
      <c r="AD221" s="6798"/>
      <c r="AE221" s="4" t="s">
        <v>1</v>
      </c>
      <c r="AF221" s="6202" t="str">
        <f t="shared" si="108"/>
        <v>►</v>
      </c>
      <c r="AG221" s="6234" t="str">
        <f t="shared" si="109"/>
        <v/>
      </c>
      <c r="AH221" s="6732" t="str">
        <f t="shared" si="110"/>
        <v/>
      </c>
      <c r="AI221" s="6234" t="str">
        <f t="shared" si="111"/>
        <v/>
      </c>
      <c r="AJ221" s="6732" t="str">
        <f t="shared" si="112"/>
        <v/>
      </c>
      <c r="AK221" s="6732">
        <f t="shared" si="113"/>
        <v>0</v>
      </c>
      <c r="AL221" s="6230" t="str" cm="1">
        <f t="array" ref="AL221">IF(AF221&lt;&gt;"A","",IFERROR((IFERROR(_xlfn.XLOOKUP(TRIM(SUBSTITUTE(U221,CHAR(160)," ")),$BJ$15:$BJ$62,$BM$15:$BM$62),IFERROR(_xlfn.XLOOKUP(TRIM(SUBSTITUTE(U221,CHAR(160)," ")),$BK$15:$BK$62,$BM$15:$BM$62),_xlfn.XLOOKUP(TRIM(SUBSTITUTE(U221,CHAR(160)," ")),$BL$15:$BL$62,$BM$15:$BM$62))))*T221*IF(ISBLANK(Q221),1,Q221)+IFERROR(_xlfn.XLOOKUP("RECHERCHEX",TRIM(L221:AD221),L221:AD221),0),0))</f>
        <v/>
      </c>
      <c r="AM221" s="6229">
        <f t="shared" si="114"/>
        <v>0</v>
      </c>
      <c r="AN221" s="6857" t="str">
        <f t="shared" si="105"/>
        <v/>
      </c>
      <c r="AO221" s="392">
        <f t="shared" si="115"/>
        <v>0</v>
      </c>
      <c r="AP221" s="392">
        <f t="shared" si="116"/>
        <v>0</v>
      </c>
      <c r="AQ221" s="6191">
        <f t="shared" si="117"/>
        <v>0</v>
      </c>
      <c r="AR221" s="6859" t="str">
        <f t="shared" si="118"/>
        <v/>
      </c>
      <c r="AS221" s="6217"/>
      <c r="AT221" s="6217"/>
      <c r="AU221" s="6272">
        <f t="shared" si="119"/>
        <v>0</v>
      </c>
      <c r="AV221" s="6240">
        <f t="shared" si="120"/>
        <v>0</v>
      </c>
      <c r="AW221" s="6189" cm="1">
        <f t="array" ref="AW221">IF(AK221&lt;&gt;1,0,IF(OR(AU221="",N(AU221)&lt;=0.000000001),"",IF(OR(AO221="",N(AO221)&lt;=0.000000001),0,IF(ISNUMBER(AU221),IFERROR(_xlfn.LET(_xlpm.ai_test,TRIM(AJ221),_xlpm.r,IFERROR(_xlfn.XLOOKUP(_xlpm.ai_test,$BJ$15:$BJ$62,ROW($BJ$15:$BJ$62),0,1),IFERROR(_xlfn.XLOOKUP(_xlpm.ai_test,$BK$15:$BK$62,ROW($BK$15:$BK$62),0,1),_xlfn.XLOOKUP(_xlpm.ai_test,$BL$15:$BL$62,ROW($BL$15:$BL$62),0,1))),_xlpm.p,_xlpm.r-MIN(ROW($BJ$15:$BJ$62))+1,_xlpm.f,INDEX($BM$15:$BM$62,_xlpm.p),_xlpm.u,INDEX($BN$15:$BN$62,_xlpm.p),_xlpm.s,INDEX($BP$15:$BP$62,_xlpm.p),_xlpm.q,N(AU221)/_xlpm.f,IF(_xlpm.q&gt;=_xlpm.s,ROUND(_xlpm.q,1)&amp;" "&amp;_xlpm.ai_test&amp;" = "&amp;ROUND(_xlpm.q*_xlpm.f,1)&amp;" "&amp;_xlpm.u,ROUND(_xlpm.q,1)&amp;" "&amp;_xlpm.ai_test)),""),""))))</f>
        <v>0</v>
      </c>
      <c r="AX221" s="6218"/>
      <c r="AY221" s="6272">
        <f t="shared" si="121"/>
        <v>0</v>
      </c>
      <c r="AZ221" s="6240" t="str">
        <f t="shared" si="122"/>
        <v/>
      </c>
      <c r="BA221" s="6195">
        <f t="shared" si="127"/>
        <v>0</v>
      </c>
      <c r="BB221" s="6193" t="str">
        <f t="shared" si="123"/>
        <v/>
      </c>
      <c r="BC221" s="6219"/>
      <c r="BD221" s="6222">
        <f t="shared" si="128"/>
        <v>0</v>
      </c>
      <c r="BE221" s="6220" t="str">
        <f t="shared" si="124"/>
        <v/>
      </c>
      <c r="BF221" s="4" t="s">
        <v>1</v>
      </c>
      <c r="BG221" s="6196">
        <f t="shared" si="125"/>
        <v>0</v>
      </c>
      <c r="BH221" s="6197">
        <f t="shared" si="126"/>
        <v>0</v>
      </c>
      <c r="BI221"/>
      <c r="BR221"/>
      <c r="BS221"/>
      <c r="BT221"/>
      <c r="BU221"/>
      <c r="BV221"/>
      <c r="BW221"/>
      <c r="BX221" s="20" t="str">
        <f t="shared" si="107"/>
        <v>►</v>
      </c>
      <c r="BY221"/>
      <c r="BZ221"/>
      <c r="CA221"/>
      <c r="CB221"/>
      <c r="CC221"/>
      <c r="CD221" s="2"/>
      <c r="CE221"/>
      <c r="CF221"/>
      <c r="CG221"/>
      <c r="CH221"/>
      <c r="CI221"/>
      <c r="CJ221"/>
      <c r="CK221"/>
      <c r="CM221"/>
      <c r="CN221"/>
      <c r="CO221"/>
      <c r="CP221"/>
      <c r="CQ221"/>
      <c r="CR221"/>
      <c r="CS221"/>
      <c r="CU221"/>
      <c r="CV221"/>
      <c r="CW221"/>
      <c r="CX221"/>
      <c r="CY221"/>
      <c r="CZ221"/>
      <c r="DA221"/>
      <c r="DC221" s="5">
        <v>1</v>
      </c>
    </row>
    <row r="222" spans="1:107" s="1" customFormat="1" ht="21" customHeight="1">
      <c r="A222" s="5641" t="s">
        <v>1</v>
      </c>
      <c r="B222" s="5662" t="str">
        <f t="shared" si="106"/>
        <v>►</v>
      </c>
      <c r="C222" s="5825" cm="1">
        <f t="array" ref="C222">SUMPRODUCT(LEN(D222:J222))</f>
        <v>0</v>
      </c>
      <c r="D222" s="5275"/>
      <c r="E222" s="1361"/>
      <c r="F222" s="1361"/>
      <c r="G222" s="1361"/>
      <c r="H222" s="1361"/>
      <c r="I222" s="1361"/>
      <c r="J222" s="5276"/>
      <c r="K222" s="106" t="s">
        <v>1</v>
      </c>
      <c r="L222" s="1021" t="s">
        <v>26</v>
      </c>
      <c r="M222" s="6787"/>
      <c r="N222" s="6787"/>
      <c r="O222" s="6787"/>
      <c r="P222" s="6788"/>
      <c r="Q222" s="6789"/>
      <c r="R222" s="6790"/>
      <c r="S222" s="6786"/>
      <c r="T222" s="6791"/>
      <c r="U222" s="6844"/>
      <c r="V222" s="6791"/>
      <c r="W222" s="6785"/>
      <c r="X222" s="6868"/>
      <c r="Y222" s="6793"/>
      <c r="Z222" s="6794"/>
      <c r="AA222" s="6795"/>
      <c r="AB222" s="6796"/>
      <c r="AC222" s="6797"/>
      <c r="AD222" s="6798"/>
      <c r="AE222" s="4" t="s">
        <v>1</v>
      </c>
      <c r="AF222" s="6202" t="str">
        <f t="shared" si="108"/>
        <v>►</v>
      </c>
      <c r="AG222" s="6234" t="str">
        <f t="shared" si="109"/>
        <v/>
      </c>
      <c r="AH222" s="6732" t="str">
        <f t="shared" si="110"/>
        <v/>
      </c>
      <c r="AI222" s="6234" t="str">
        <f t="shared" si="111"/>
        <v/>
      </c>
      <c r="AJ222" s="6732" t="str">
        <f t="shared" si="112"/>
        <v/>
      </c>
      <c r="AK222" s="6732">
        <f t="shared" si="113"/>
        <v>0</v>
      </c>
      <c r="AL222" s="6230" t="str" cm="1">
        <f t="array" ref="AL222">IF(AF222&lt;&gt;"A","",IFERROR((IFERROR(_xlfn.XLOOKUP(TRIM(SUBSTITUTE(U222,CHAR(160)," ")),$BJ$15:$BJ$62,$BM$15:$BM$62),IFERROR(_xlfn.XLOOKUP(TRIM(SUBSTITUTE(U222,CHAR(160)," ")),$BK$15:$BK$62,$BM$15:$BM$62),_xlfn.XLOOKUP(TRIM(SUBSTITUTE(U222,CHAR(160)," ")),$BL$15:$BL$62,$BM$15:$BM$62))))*T222*IF(ISBLANK(Q222),1,Q222)+IFERROR(_xlfn.XLOOKUP("RECHERCHEX",TRIM(L222:AD222),L222:AD222),0),0))</f>
        <v/>
      </c>
      <c r="AM222" s="6229">
        <f t="shared" si="114"/>
        <v>0</v>
      </c>
      <c r="AN222" s="6857" t="str">
        <f t="shared" ref="AN222:AN285" si="129">IF(AF222="A","❾ Author reference &gt;","")</f>
        <v/>
      </c>
      <c r="AO222" s="392">
        <f t="shared" si="115"/>
        <v>0</v>
      </c>
      <c r="AP222" s="392">
        <f t="shared" si="116"/>
        <v>0</v>
      </c>
      <c r="AQ222" s="6190">
        <f t="shared" si="117"/>
        <v>0</v>
      </c>
      <c r="AR222" s="6858" t="str">
        <f t="shared" si="118"/>
        <v/>
      </c>
      <c r="AS222" s="6217"/>
      <c r="AT222" s="6217"/>
      <c r="AU222" s="6271">
        <f t="shared" si="119"/>
        <v>0</v>
      </c>
      <c r="AV222" s="6242">
        <f t="shared" si="120"/>
        <v>0</v>
      </c>
      <c r="AW222" s="6188" cm="1">
        <f t="array" ref="AW222">IF(AK222&lt;&gt;1,0,IF(OR(AU222="",N(AU222)&lt;=0.000000001),"",IF(OR(AO222="",N(AO222)&lt;=0.000000001),0,IF(ISNUMBER(AU222),IFERROR(_xlfn.LET(_xlpm.ai_test,TRIM(AJ222),_xlpm.r,IFERROR(_xlfn.XLOOKUP(_xlpm.ai_test,$BJ$15:$BJ$62,ROW($BJ$15:$BJ$62),0,1),IFERROR(_xlfn.XLOOKUP(_xlpm.ai_test,$BK$15:$BK$62,ROW($BK$15:$BK$62),0,1),_xlfn.XLOOKUP(_xlpm.ai_test,$BL$15:$BL$62,ROW($BL$15:$BL$62),0,1))),_xlpm.p,_xlpm.r-MIN(ROW($BJ$15:$BJ$62))+1,_xlpm.f,INDEX($BM$15:$BM$62,_xlpm.p),_xlpm.u,INDEX($BN$15:$BN$62,_xlpm.p),_xlpm.s,INDEX($BP$15:$BP$62,_xlpm.p),_xlpm.q,N(AU222)/_xlpm.f,IF(_xlpm.q&gt;=_xlpm.s,ROUND(_xlpm.q,1)&amp;" "&amp;_xlpm.ai_test&amp;" = "&amp;ROUND(_xlpm.q*_xlpm.f,1)&amp;" "&amp;_xlpm.u,ROUND(_xlpm.q,1)&amp;" "&amp;_xlpm.ai_test)),""),""))))</f>
        <v>0</v>
      </c>
      <c r="AX222" s="6218"/>
      <c r="AY222" s="6271">
        <f t="shared" si="121"/>
        <v>0</v>
      </c>
      <c r="AZ222" s="6242" t="str">
        <f t="shared" si="122"/>
        <v/>
      </c>
      <c r="BA222" s="6194">
        <f t="shared" si="127"/>
        <v>0</v>
      </c>
      <c r="BB222" s="6192" t="str">
        <f t="shared" si="123"/>
        <v/>
      </c>
      <c r="BC222" s="6219"/>
      <c r="BD222" s="6221">
        <f t="shared" si="128"/>
        <v>0</v>
      </c>
      <c r="BE222" s="6220" t="str">
        <f t="shared" si="124"/>
        <v/>
      </c>
      <c r="BF222" s="4" t="s">
        <v>1</v>
      </c>
      <c r="BG222" s="6196">
        <f t="shared" si="125"/>
        <v>0</v>
      </c>
      <c r="BH222" s="6197">
        <f t="shared" si="126"/>
        <v>0</v>
      </c>
      <c r="BI222"/>
      <c r="BR222"/>
      <c r="BS222"/>
      <c r="BT222"/>
      <c r="BU222"/>
      <c r="BV222"/>
      <c r="BW222"/>
      <c r="BX222" s="20" t="str">
        <f t="shared" si="107"/>
        <v>►</v>
      </c>
      <c r="BY222"/>
      <c r="BZ222"/>
      <c r="CA222"/>
      <c r="CB222"/>
      <c r="CC222"/>
      <c r="CD222" s="2"/>
      <c r="CE222"/>
      <c r="CF222"/>
      <c r="CG222"/>
      <c r="CH222"/>
      <c r="CI222"/>
      <c r="CJ222"/>
      <c r="CK222"/>
      <c r="CM222"/>
      <c r="CN222"/>
      <c r="CO222"/>
      <c r="CP222"/>
      <c r="CQ222"/>
      <c r="CR222"/>
      <c r="CS222"/>
      <c r="CU222"/>
      <c r="CV222"/>
      <c r="CW222"/>
      <c r="CX222"/>
      <c r="CY222"/>
      <c r="CZ222"/>
      <c r="DA222"/>
      <c r="DC222" s="5">
        <v>1</v>
      </c>
    </row>
    <row r="223" spans="1:107" s="1" customFormat="1" ht="21" customHeight="1">
      <c r="A223" s="5641" t="s">
        <v>1</v>
      </c>
      <c r="B223" s="5662" t="str">
        <f t="shared" si="106"/>
        <v>►</v>
      </c>
      <c r="C223" s="5825" cm="1">
        <f t="array" ref="C223">SUMPRODUCT(LEN(D223:J223))</f>
        <v>0</v>
      </c>
      <c r="D223" s="5275"/>
      <c r="E223" s="1361"/>
      <c r="F223" s="1361"/>
      <c r="G223" s="1361"/>
      <c r="H223" s="1361"/>
      <c r="I223" s="1361"/>
      <c r="J223" s="5276"/>
      <c r="K223" s="106" t="s">
        <v>1</v>
      </c>
      <c r="L223" s="1021" t="s">
        <v>26</v>
      </c>
      <c r="M223" s="6787"/>
      <c r="N223" s="6787"/>
      <c r="O223" s="6787"/>
      <c r="P223" s="6788"/>
      <c r="Q223" s="6789"/>
      <c r="R223" s="6790"/>
      <c r="S223" s="6786"/>
      <c r="T223" s="6791"/>
      <c r="U223" s="6844"/>
      <c r="V223" s="6791"/>
      <c r="W223" s="6785"/>
      <c r="X223" s="6868"/>
      <c r="Y223" s="6793"/>
      <c r="Z223" s="6794"/>
      <c r="AA223" s="6795"/>
      <c r="AB223" s="6796"/>
      <c r="AC223" s="6797"/>
      <c r="AD223" s="6798"/>
      <c r="AE223" s="4" t="s">
        <v>1</v>
      </c>
      <c r="AF223" s="6202" t="str">
        <f t="shared" si="108"/>
        <v>►</v>
      </c>
      <c r="AG223" s="6234" t="str">
        <f t="shared" si="109"/>
        <v/>
      </c>
      <c r="AH223" s="6732" t="str">
        <f t="shared" si="110"/>
        <v/>
      </c>
      <c r="AI223" s="6234" t="str">
        <f t="shared" si="111"/>
        <v/>
      </c>
      <c r="AJ223" s="6732" t="str">
        <f t="shared" si="112"/>
        <v/>
      </c>
      <c r="AK223" s="6732">
        <f t="shared" si="113"/>
        <v>0</v>
      </c>
      <c r="AL223" s="6230" t="str" cm="1">
        <f t="array" ref="AL223">IF(AF223&lt;&gt;"A","",IFERROR((IFERROR(_xlfn.XLOOKUP(TRIM(SUBSTITUTE(U223,CHAR(160)," ")),$BJ$15:$BJ$62,$BM$15:$BM$62),IFERROR(_xlfn.XLOOKUP(TRIM(SUBSTITUTE(U223,CHAR(160)," ")),$BK$15:$BK$62,$BM$15:$BM$62),_xlfn.XLOOKUP(TRIM(SUBSTITUTE(U223,CHAR(160)," ")),$BL$15:$BL$62,$BM$15:$BM$62))))*T223*IF(ISBLANK(Q223),1,Q223)+IFERROR(_xlfn.XLOOKUP("RECHERCHEX",TRIM(L223:AD223),L223:AD223),0),0))</f>
        <v/>
      </c>
      <c r="AM223" s="6229">
        <f t="shared" si="114"/>
        <v>0</v>
      </c>
      <c r="AN223" s="6857" t="str">
        <f t="shared" si="129"/>
        <v/>
      </c>
      <c r="AO223" s="392">
        <f t="shared" si="115"/>
        <v>0</v>
      </c>
      <c r="AP223" s="392">
        <f t="shared" si="116"/>
        <v>0</v>
      </c>
      <c r="AQ223" s="6191">
        <f t="shared" si="117"/>
        <v>0</v>
      </c>
      <c r="AR223" s="6859" t="str">
        <f t="shared" si="118"/>
        <v/>
      </c>
      <c r="AS223" s="6217"/>
      <c r="AT223" s="6217"/>
      <c r="AU223" s="6272">
        <f t="shared" si="119"/>
        <v>0</v>
      </c>
      <c r="AV223" s="6240">
        <f t="shared" si="120"/>
        <v>0</v>
      </c>
      <c r="AW223" s="6189" cm="1">
        <f t="array" ref="AW223">IF(AK223&lt;&gt;1,0,IF(OR(AU223="",N(AU223)&lt;=0.000000001),"",IF(OR(AO223="",N(AO223)&lt;=0.000000001),0,IF(ISNUMBER(AU223),IFERROR(_xlfn.LET(_xlpm.ai_test,TRIM(AJ223),_xlpm.r,IFERROR(_xlfn.XLOOKUP(_xlpm.ai_test,$BJ$15:$BJ$62,ROW($BJ$15:$BJ$62),0,1),IFERROR(_xlfn.XLOOKUP(_xlpm.ai_test,$BK$15:$BK$62,ROW($BK$15:$BK$62),0,1),_xlfn.XLOOKUP(_xlpm.ai_test,$BL$15:$BL$62,ROW($BL$15:$BL$62),0,1))),_xlpm.p,_xlpm.r-MIN(ROW($BJ$15:$BJ$62))+1,_xlpm.f,INDEX($BM$15:$BM$62,_xlpm.p),_xlpm.u,INDEX($BN$15:$BN$62,_xlpm.p),_xlpm.s,INDEX($BP$15:$BP$62,_xlpm.p),_xlpm.q,N(AU223)/_xlpm.f,IF(_xlpm.q&gt;=_xlpm.s,ROUND(_xlpm.q,1)&amp;" "&amp;_xlpm.ai_test&amp;" = "&amp;ROUND(_xlpm.q*_xlpm.f,1)&amp;" "&amp;_xlpm.u,ROUND(_xlpm.q,1)&amp;" "&amp;_xlpm.ai_test)),""),""))))</f>
        <v>0</v>
      </c>
      <c r="AX223" s="6218"/>
      <c r="AY223" s="6272">
        <f t="shared" si="121"/>
        <v>0</v>
      </c>
      <c r="AZ223" s="6240" t="str">
        <f t="shared" si="122"/>
        <v/>
      </c>
      <c r="BA223" s="6195">
        <f t="shared" si="127"/>
        <v>0</v>
      </c>
      <c r="BB223" s="6193" t="str">
        <f t="shared" si="123"/>
        <v/>
      </c>
      <c r="BC223" s="6219"/>
      <c r="BD223" s="6222">
        <f t="shared" si="128"/>
        <v>0</v>
      </c>
      <c r="BE223" s="6220" t="str">
        <f t="shared" si="124"/>
        <v/>
      </c>
      <c r="BF223" s="4" t="s">
        <v>1</v>
      </c>
      <c r="BG223" s="6196">
        <f t="shared" si="125"/>
        <v>0</v>
      </c>
      <c r="BH223" s="6197">
        <f t="shared" si="126"/>
        <v>0</v>
      </c>
      <c r="BI223"/>
      <c r="BR223"/>
      <c r="BS223"/>
      <c r="BT223"/>
      <c r="BU223"/>
      <c r="BV223"/>
      <c r="BW223"/>
      <c r="BX223" s="20" t="str">
        <f t="shared" si="107"/>
        <v>►</v>
      </c>
      <c r="BY223"/>
      <c r="BZ223"/>
      <c r="CA223"/>
      <c r="CB223"/>
      <c r="CC223"/>
      <c r="CD223" s="2"/>
      <c r="CE223"/>
      <c r="CF223"/>
      <c r="CG223"/>
      <c r="CH223"/>
      <c r="CI223"/>
      <c r="CJ223"/>
      <c r="CK223"/>
      <c r="CM223"/>
      <c r="CN223"/>
      <c r="CO223"/>
      <c r="CP223"/>
      <c r="CQ223"/>
      <c r="CR223"/>
      <c r="CS223"/>
      <c r="CU223"/>
      <c r="CV223"/>
      <c r="CW223"/>
      <c r="CX223"/>
      <c r="CY223"/>
      <c r="CZ223"/>
      <c r="DA223"/>
      <c r="DC223" s="5">
        <v>1</v>
      </c>
    </row>
    <row r="224" spans="1:107" s="1" customFormat="1" ht="21" customHeight="1">
      <c r="A224" s="5641" t="s">
        <v>1</v>
      </c>
      <c r="B224" s="5662" t="str">
        <f t="shared" si="106"/>
        <v>►</v>
      </c>
      <c r="C224" s="5825" cm="1">
        <f t="array" ref="C224">SUMPRODUCT(LEN(D224:J224))</f>
        <v>0</v>
      </c>
      <c r="D224" s="5275"/>
      <c r="E224" s="1361"/>
      <c r="F224" s="1361"/>
      <c r="G224" s="1361"/>
      <c r="H224" s="1361"/>
      <c r="I224" s="1361"/>
      <c r="J224" s="5276"/>
      <c r="K224" s="106" t="s">
        <v>1</v>
      </c>
      <c r="L224" s="1021" t="s">
        <v>26</v>
      </c>
      <c r="M224" s="6787"/>
      <c r="N224" s="6787"/>
      <c r="O224" s="6787"/>
      <c r="P224" s="6788"/>
      <c r="Q224" s="6789"/>
      <c r="R224" s="6790"/>
      <c r="S224" s="6786"/>
      <c r="T224" s="6791"/>
      <c r="U224" s="6844"/>
      <c r="V224" s="6791"/>
      <c r="W224" s="6785"/>
      <c r="X224" s="6868"/>
      <c r="Y224" s="6793"/>
      <c r="Z224" s="6794"/>
      <c r="AA224" s="6795"/>
      <c r="AB224" s="6796"/>
      <c r="AC224" s="6797"/>
      <c r="AD224" s="6798"/>
      <c r="AE224" s="4" t="s">
        <v>1</v>
      </c>
      <c r="AF224" s="6202" t="str">
        <f t="shared" si="108"/>
        <v>►</v>
      </c>
      <c r="AG224" s="6234" t="str">
        <f t="shared" si="109"/>
        <v/>
      </c>
      <c r="AH224" s="6732" t="str">
        <f t="shared" si="110"/>
        <v/>
      </c>
      <c r="AI224" s="6234" t="str">
        <f t="shared" si="111"/>
        <v/>
      </c>
      <c r="AJ224" s="6732" t="str">
        <f t="shared" si="112"/>
        <v/>
      </c>
      <c r="AK224" s="6732">
        <f t="shared" si="113"/>
        <v>0</v>
      </c>
      <c r="AL224" s="6230" t="str" cm="1">
        <f t="array" ref="AL224">IF(AF224&lt;&gt;"A","",IFERROR((IFERROR(_xlfn.XLOOKUP(TRIM(SUBSTITUTE(U224,CHAR(160)," ")),$BJ$15:$BJ$62,$BM$15:$BM$62),IFERROR(_xlfn.XLOOKUP(TRIM(SUBSTITUTE(U224,CHAR(160)," ")),$BK$15:$BK$62,$BM$15:$BM$62),_xlfn.XLOOKUP(TRIM(SUBSTITUTE(U224,CHAR(160)," ")),$BL$15:$BL$62,$BM$15:$BM$62))))*T224*IF(ISBLANK(Q224),1,Q224)+IFERROR(_xlfn.XLOOKUP("RECHERCHEX",TRIM(L224:AD224),L224:AD224),0),0))</f>
        <v/>
      </c>
      <c r="AM224" s="6229">
        <f t="shared" si="114"/>
        <v>0</v>
      </c>
      <c r="AN224" s="6857" t="str">
        <f t="shared" si="129"/>
        <v/>
      </c>
      <c r="AO224" s="392">
        <f t="shared" si="115"/>
        <v>0</v>
      </c>
      <c r="AP224" s="392">
        <f t="shared" si="116"/>
        <v>0</v>
      </c>
      <c r="AQ224" s="6190">
        <f t="shared" si="117"/>
        <v>0</v>
      </c>
      <c r="AR224" s="6858" t="str">
        <f t="shared" si="118"/>
        <v/>
      </c>
      <c r="AS224" s="6217"/>
      <c r="AT224" s="6217"/>
      <c r="AU224" s="6271">
        <f t="shared" si="119"/>
        <v>0</v>
      </c>
      <c r="AV224" s="6242">
        <f t="shared" si="120"/>
        <v>0</v>
      </c>
      <c r="AW224" s="6188" cm="1">
        <f t="array" ref="AW224">IF(AK224&lt;&gt;1,0,IF(OR(AU224="",N(AU224)&lt;=0.000000001),"",IF(OR(AO224="",N(AO224)&lt;=0.000000001),0,IF(ISNUMBER(AU224),IFERROR(_xlfn.LET(_xlpm.ai_test,TRIM(AJ224),_xlpm.r,IFERROR(_xlfn.XLOOKUP(_xlpm.ai_test,$BJ$15:$BJ$62,ROW($BJ$15:$BJ$62),0,1),IFERROR(_xlfn.XLOOKUP(_xlpm.ai_test,$BK$15:$BK$62,ROW($BK$15:$BK$62),0,1),_xlfn.XLOOKUP(_xlpm.ai_test,$BL$15:$BL$62,ROW($BL$15:$BL$62),0,1))),_xlpm.p,_xlpm.r-MIN(ROW($BJ$15:$BJ$62))+1,_xlpm.f,INDEX($BM$15:$BM$62,_xlpm.p),_xlpm.u,INDEX($BN$15:$BN$62,_xlpm.p),_xlpm.s,INDEX($BP$15:$BP$62,_xlpm.p),_xlpm.q,N(AU224)/_xlpm.f,IF(_xlpm.q&gt;=_xlpm.s,ROUND(_xlpm.q,1)&amp;" "&amp;_xlpm.ai_test&amp;" = "&amp;ROUND(_xlpm.q*_xlpm.f,1)&amp;" "&amp;_xlpm.u,ROUND(_xlpm.q,1)&amp;" "&amp;_xlpm.ai_test)),""),""))))</f>
        <v>0</v>
      </c>
      <c r="AX224" s="6218"/>
      <c r="AY224" s="6271">
        <f t="shared" si="121"/>
        <v>0</v>
      </c>
      <c r="AZ224" s="6242" t="str">
        <f t="shared" si="122"/>
        <v/>
      </c>
      <c r="BA224" s="6194">
        <f t="shared" si="127"/>
        <v>0</v>
      </c>
      <c r="BB224" s="6192" t="str">
        <f t="shared" si="123"/>
        <v/>
      </c>
      <c r="BC224" s="6219"/>
      <c r="BD224" s="6221">
        <f t="shared" si="128"/>
        <v>0</v>
      </c>
      <c r="BE224" s="6220" t="str">
        <f t="shared" si="124"/>
        <v/>
      </c>
      <c r="BF224" s="4" t="s">
        <v>1</v>
      </c>
      <c r="BG224" s="6196">
        <f t="shared" si="125"/>
        <v>0</v>
      </c>
      <c r="BH224" s="6197">
        <f t="shared" si="126"/>
        <v>0</v>
      </c>
      <c r="BI224"/>
      <c r="BR224"/>
      <c r="BS224"/>
      <c r="BT224"/>
      <c r="BU224"/>
      <c r="BV224"/>
      <c r="BW224"/>
      <c r="BX224" s="20" t="str">
        <f t="shared" si="107"/>
        <v>►</v>
      </c>
      <c r="BY224"/>
      <c r="BZ224"/>
      <c r="CA224"/>
      <c r="CB224"/>
      <c r="CC224"/>
      <c r="CD224" s="2"/>
      <c r="CE224"/>
      <c r="CF224"/>
      <c r="CG224"/>
      <c r="CH224"/>
      <c r="CI224"/>
      <c r="CJ224"/>
      <c r="CK224"/>
      <c r="CM224"/>
      <c r="CN224"/>
      <c r="CO224"/>
      <c r="CP224"/>
      <c r="CQ224"/>
      <c r="CR224"/>
      <c r="CS224"/>
      <c r="CU224"/>
      <c r="CV224"/>
      <c r="CW224"/>
      <c r="CX224"/>
      <c r="CY224"/>
      <c r="CZ224"/>
      <c r="DA224"/>
      <c r="DC224" s="5">
        <v>1</v>
      </c>
    </row>
    <row r="225" spans="1:107" s="1" customFormat="1" ht="21" customHeight="1">
      <c r="A225" s="5641" t="s">
        <v>1</v>
      </c>
      <c r="B225" s="5662" t="str">
        <f t="shared" si="106"/>
        <v>►</v>
      </c>
      <c r="C225" s="5825" cm="1">
        <f t="array" ref="C225">SUMPRODUCT(LEN(D225:J225))</f>
        <v>0</v>
      </c>
      <c r="D225" s="5275"/>
      <c r="E225" s="1361"/>
      <c r="F225" s="1361"/>
      <c r="G225" s="1361"/>
      <c r="H225" s="1361"/>
      <c r="I225" s="1361"/>
      <c r="J225" s="5276"/>
      <c r="K225" s="106" t="s">
        <v>1</v>
      </c>
      <c r="L225" s="1021" t="s">
        <v>26</v>
      </c>
      <c r="M225" s="6787"/>
      <c r="N225" s="6787"/>
      <c r="O225" s="6787"/>
      <c r="P225" s="6788"/>
      <c r="Q225" s="6789"/>
      <c r="R225" s="6790"/>
      <c r="S225" s="6786"/>
      <c r="T225" s="6791"/>
      <c r="U225" s="6844"/>
      <c r="V225" s="6791"/>
      <c r="W225" s="6785"/>
      <c r="X225" s="6868"/>
      <c r="Y225" s="6793"/>
      <c r="Z225" s="6794"/>
      <c r="AA225" s="6795"/>
      <c r="AB225" s="6796"/>
      <c r="AC225" s="6797"/>
      <c r="AD225" s="6798"/>
      <c r="AE225" s="4" t="s">
        <v>1</v>
      </c>
      <c r="AF225" s="6202" t="str">
        <f t="shared" si="108"/>
        <v>►</v>
      </c>
      <c r="AG225" s="6234" t="str">
        <f t="shared" si="109"/>
        <v/>
      </c>
      <c r="AH225" s="6732" t="str">
        <f t="shared" si="110"/>
        <v/>
      </c>
      <c r="AI225" s="6234" t="str">
        <f t="shared" si="111"/>
        <v/>
      </c>
      <c r="AJ225" s="6732" t="str">
        <f t="shared" si="112"/>
        <v/>
      </c>
      <c r="AK225" s="6732">
        <f t="shared" si="113"/>
        <v>0</v>
      </c>
      <c r="AL225" s="6230" t="str" cm="1">
        <f t="array" ref="AL225">IF(AF225&lt;&gt;"A","",IFERROR((IFERROR(_xlfn.XLOOKUP(TRIM(SUBSTITUTE(U225,CHAR(160)," ")),$BJ$15:$BJ$62,$BM$15:$BM$62),IFERROR(_xlfn.XLOOKUP(TRIM(SUBSTITUTE(U225,CHAR(160)," ")),$BK$15:$BK$62,$BM$15:$BM$62),_xlfn.XLOOKUP(TRIM(SUBSTITUTE(U225,CHAR(160)," ")),$BL$15:$BL$62,$BM$15:$BM$62))))*T225*IF(ISBLANK(Q225),1,Q225)+IFERROR(_xlfn.XLOOKUP("RECHERCHEX",TRIM(L225:AD225),L225:AD225),0),0))</f>
        <v/>
      </c>
      <c r="AM225" s="6229">
        <f t="shared" si="114"/>
        <v>0</v>
      </c>
      <c r="AN225" s="6857" t="str">
        <f t="shared" si="129"/>
        <v/>
      </c>
      <c r="AO225" s="392">
        <f t="shared" si="115"/>
        <v>0</v>
      </c>
      <c r="AP225" s="392">
        <f t="shared" si="116"/>
        <v>0</v>
      </c>
      <c r="AQ225" s="6191">
        <f t="shared" si="117"/>
        <v>0</v>
      </c>
      <c r="AR225" s="6859" t="str">
        <f t="shared" si="118"/>
        <v/>
      </c>
      <c r="AS225" s="6217"/>
      <c r="AT225" s="6217"/>
      <c r="AU225" s="6272">
        <f t="shared" si="119"/>
        <v>0</v>
      </c>
      <c r="AV225" s="6240">
        <f t="shared" si="120"/>
        <v>0</v>
      </c>
      <c r="AW225" s="6189" cm="1">
        <f t="array" ref="AW225">IF(AK225&lt;&gt;1,0,IF(OR(AU225="",N(AU225)&lt;=0.000000001),"",IF(OR(AO225="",N(AO225)&lt;=0.000000001),0,IF(ISNUMBER(AU225),IFERROR(_xlfn.LET(_xlpm.ai_test,TRIM(AJ225),_xlpm.r,IFERROR(_xlfn.XLOOKUP(_xlpm.ai_test,$BJ$15:$BJ$62,ROW($BJ$15:$BJ$62),0,1),IFERROR(_xlfn.XLOOKUP(_xlpm.ai_test,$BK$15:$BK$62,ROW($BK$15:$BK$62),0,1),_xlfn.XLOOKUP(_xlpm.ai_test,$BL$15:$BL$62,ROW($BL$15:$BL$62),0,1))),_xlpm.p,_xlpm.r-MIN(ROW($BJ$15:$BJ$62))+1,_xlpm.f,INDEX($BM$15:$BM$62,_xlpm.p),_xlpm.u,INDEX($BN$15:$BN$62,_xlpm.p),_xlpm.s,INDEX($BP$15:$BP$62,_xlpm.p),_xlpm.q,N(AU225)/_xlpm.f,IF(_xlpm.q&gt;=_xlpm.s,ROUND(_xlpm.q,1)&amp;" "&amp;_xlpm.ai_test&amp;" = "&amp;ROUND(_xlpm.q*_xlpm.f,1)&amp;" "&amp;_xlpm.u,ROUND(_xlpm.q,1)&amp;" "&amp;_xlpm.ai_test)),""),""))))</f>
        <v>0</v>
      </c>
      <c r="AX225" s="6218"/>
      <c r="AY225" s="6272">
        <f t="shared" si="121"/>
        <v>0</v>
      </c>
      <c r="AZ225" s="6240" t="str">
        <f t="shared" si="122"/>
        <v/>
      </c>
      <c r="BA225" s="6195">
        <f t="shared" si="127"/>
        <v>0</v>
      </c>
      <c r="BB225" s="6193" t="str">
        <f t="shared" si="123"/>
        <v/>
      </c>
      <c r="BC225" s="6219"/>
      <c r="BD225" s="6222">
        <f t="shared" si="128"/>
        <v>0</v>
      </c>
      <c r="BE225" s="6220" t="str">
        <f t="shared" si="124"/>
        <v/>
      </c>
      <c r="BF225" s="4" t="s">
        <v>1</v>
      </c>
      <c r="BG225" s="6196">
        <f t="shared" si="125"/>
        <v>0</v>
      </c>
      <c r="BH225" s="6197">
        <f t="shared" si="126"/>
        <v>0</v>
      </c>
      <c r="BI225"/>
      <c r="BR225"/>
      <c r="BS225"/>
      <c r="BT225"/>
      <c r="BU225"/>
      <c r="BV225"/>
      <c r="BW225"/>
      <c r="BX225" s="20" t="str">
        <f t="shared" si="107"/>
        <v>►</v>
      </c>
      <c r="BY225"/>
      <c r="BZ225"/>
      <c r="CA225"/>
      <c r="CB225"/>
      <c r="CC225"/>
      <c r="CD225" s="2"/>
      <c r="CE225"/>
      <c r="CF225"/>
      <c r="CG225"/>
      <c r="CH225"/>
      <c r="CI225"/>
      <c r="CJ225"/>
      <c r="CK225"/>
      <c r="CM225"/>
      <c r="CN225"/>
      <c r="CO225"/>
      <c r="CP225"/>
      <c r="CQ225"/>
      <c r="CR225"/>
      <c r="CS225"/>
      <c r="CU225"/>
      <c r="CV225"/>
      <c r="CW225"/>
      <c r="CX225"/>
      <c r="CY225"/>
      <c r="CZ225"/>
      <c r="DA225"/>
      <c r="DC225" s="5">
        <v>1</v>
      </c>
    </row>
    <row r="226" spans="1:107" s="1" customFormat="1" ht="21" customHeight="1">
      <c r="A226" s="5641" t="s">
        <v>1</v>
      </c>
      <c r="B226" s="5662" t="str">
        <f t="shared" si="106"/>
        <v>►</v>
      </c>
      <c r="C226" s="5825" cm="1">
        <f t="array" ref="C226">SUMPRODUCT(LEN(D226:J226))</f>
        <v>0</v>
      </c>
      <c r="D226" s="5275"/>
      <c r="E226" s="1361"/>
      <c r="F226" s="1361"/>
      <c r="G226" s="1361"/>
      <c r="H226" s="1361"/>
      <c r="I226" s="1361"/>
      <c r="J226" s="5276"/>
      <c r="K226" s="106" t="s">
        <v>1</v>
      </c>
      <c r="L226" s="1021" t="s">
        <v>26</v>
      </c>
      <c r="M226" s="6787"/>
      <c r="N226" s="6787"/>
      <c r="O226" s="6787"/>
      <c r="P226" s="6788"/>
      <c r="Q226" s="6789"/>
      <c r="R226" s="6790"/>
      <c r="S226" s="6786"/>
      <c r="T226" s="6791"/>
      <c r="U226" s="6844"/>
      <c r="V226" s="6791"/>
      <c r="W226" s="6785"/>
      <c r="X226" s="6868"/>
      <c r="Y226" s="6793"/>
      <c r="Z226" s="6794"/>
      <c r="AA226" s="6795"/>
      <c r="AB226" s="6796"/>
      <c r="AC226" s="6797"/>
      <c r="AD226" s="6798"/>
      <c r="AE226" s="4" t="s">
        <v>1</v>
      </c>
      <c r="AF226" s="6202" t="str">
        <f t="shared" si="108"/>
        <v>►</v>
      </c>
      <c r="AG226" s="6234" t="str">
        <f t="shared" si="109"/>
        <v/>
      </c>
      <c r="AH226" s="6732" t="str">
        <f t="shared" si="110"/>
        <v/>
      </c>
      <c r="AI226" s="6234" t="str">
        <f t="shared" si="111"/>
        <v/>
      </c>
      <c r="AJ226" s="6732" t="str">
        <f t="shared" si="112"/>
        <v/>
      </c>
      <c r="AK226" s="6732">
        <f t="shared" si="113"/>
        <v>0</v>
      </c>
      <c r="AL226" s="6230" t="str" cm="1">
        <f t="array" ref="AL226">IF(AF226&lt;&gt;"A","",IFERROR((IFERROR(_xlfn.XLOOKUP(TRIM(SUBSTITUTE(U226,CHAR(160)," ")),$BJ$15:$BJ$62,$BM$15:$BM$62),IFERROR(_xlfn.XLOOKUP(TRIM(SUBSTITUTE(U226,CHAR(160)," ")),$BK$15:$BK$62,$BM$15:$BM$62),_xlfn.XLOOKUP(TRIM(SUBSTITUTE(U226,CHAR(160)," ")),$BL$15:$BL$62,$BM$15:$BM$62))))*T226*IF(ISBLANK(Q226),1,Q226)+IFERROR(_xlfn.XLOOKUP("RECHERCHEX",TRIM(L226:AD226),L226:AD226),0),0))</f>
        <v/>
      </c>
      <c r="AM226" s="6229">
        <f t="shared" si="114"/>
        <v>0</v>
      </c>
      <c r="AN226" s="6857" t="str">
        <f t="shared" si="129"/>
        <v/>
      </c>
      <c r="AO226" s="392">
        <f t="shared" si="115"/>
        <v>0</v>
      </c>
      <c r="AP226" s="392">
        <f t="shared" si="116"/>
        <v>0</v>
      </c>
      <c r="AQ226" s="6190">
        <f t="shared" si="117"/>
        <v>0</v>
      </c>
      <c r="AR226" s="6858" t="str">
        <f t="shared" si="118"/>
        <v/>
      </c>
      <c r="AS226" s="6217"/>
      <c r="AT226" s="6217"/>
      <c r="AU226" s="6271">
        <f t="shared" si="119"/>
        <v>0</v>
      </c>
      <c r="AV226" s="6242">
        <f t="shared" si="120"/>
        <v>0</v>
      </c>
      <c r="AW226" s="6188" cm="1">
        <f t="array" ref="AW226">IF(AK226&lt;&gt;1,0,IF(OR(AU226="",N(AU226)&lt;=0.000000001),"",IF(OR(AO226="",N(AO226)&lt;=0.000000001),0,IF(ISNUMBER(AU226),IFERROR(_xlfn.LET(_xlpm.ai_test,TRIM(AJ226),_xlpm.r,IFERROR(_xlfn.XLOOKUP(_xlpm.ai_test,$BJ$15:$BJ$62,ROW($BJ$15:$BJ$62),0,1),IFERROR(_xlfn.XLOOKUP(_xlpm.ai_test,$BK$15:$BK$62,ROW($BK$15:$BK$62),0,1),_xlfn.XLOOKUP(_xlpm.ai_test,$BL$15:$BL$62,ROW($BL$15:$BL$62),0,1))),_xlpm.p,_xlpm.r-MIN(ROW($BJ$15:$BJ$62))+1,_xlpm.f,INDEX($BM$15:$BM$62,_xlpm.p),_xlpm.u,INDEX($BN$15:$BN$62,_xlpm.p),_xlpm.s,INDEX($BP$15:$BP$62,_xlpm.p),_xlpm.q,N(AU226)/_xlpm.f,IF(_xlpm.q&gt;=_xlpm.s,ROUND(_xlpm.q,1)&amp;" "&amp;_xlpm.ai_test&amp;" = "&amp;ROUND(_xlpm.q*_xlpm.f,1)&amp;" "&amp;_xlpm.u,ROUND(_xlpm.q,1)&amp;" "&amp;_xlpm.ai_test)),""),""))))</f>
        <v>0</v>
      </c>
      <c r="AX226" s="6218"/>
      <c r="AY226" s="6271">
        <f t="shared" si="121"/>
        <v>0</v>
      </c>
      <c r="AZ226" s="6242" t="str">
        <f t="shared" si="122"/>
        <v/>
      </c>
      <c r="BA226" s="6194">
        <f t="shared" si="127"/>
        <v>0</v>
      </c>
      <c r="BB226" s="6192" t="str">
        <f t="shared" si="123"/>
        <v/>
      </c>
      <c r="BC226" s="6219"/>
      <c r="BD226" s="6221">
        <f t="shared" si="128"/>
        <v>0</v>
      </c>
      <c r="BE226" s="6220" t="str">
        <f t="shared" si="124"/>
        <v/>
      </c>
      <c r="BF226" s="4" t="s">
        <v>1</v>
      </c>
      <c r="BG226" s="6196">
        <f t="shared" si="125"/>
        <v>0</v>
      </c>
      <c r="BH226" s="6197">
        <f t="shared" si="126"/>
        <v>0</v>
      </c>
      <c r="BI226"/>
      <c r="BR226"/>
      <c r="BS226"/>
      <c r="BT226"/>
      <c r="BU226"/>
      <c r="BV226"/>
      <c r="BW226"/>
      <c r="BX226" s="20" t="str">
        <f t="shared" si="107"/>
        <v>►</v>
      </c>
      <c r="BY226"/>
      <c r="BZ226"/>
      <c r="CA226"/>
      <c r="CB226"/>
      <c r="CC226"/>
      <c r="CD226" s="2"/>
      <c r="CE226"/>
      <c r="CF226"/>
      <c r="CG226"/>
      <c r="CH226"/>
      <c r="CI226"/>
      <c r="CJ226"/>
      <c r="CK226"/>
      <c r="CM226"/>
      <c r="CN226"/>
      <c r="CO226"/>
      <c r="CP226"/>
      <c r="CQ226"/>
      <c r="CR226"/>
      <c r="CS226"/>
      <c r="CU226"/>
      <c r="CV226"/>
      <c r="CW226"/>
      <c r="CX226"/>
      <c r="CY226"/>
      <c r="CZ226"/>
      <c r="DA226"/>
      <c r="DC226" s="5">
        <v>1</v>
      </c>
    </row>
    <row r="227" spans="1:107" s="1" customFormat="1" ht="21" customHeight="1">
      <c r="A227" s="5641" t="s">
        <v>1</v>
      </c>
      <c r="B227" s="5662" t="str">
        <f t="shared" si="106"/>
        <v>►</v>
      </c>
      <c r="C227" s="5825" cm="1">
        <f t="array" ref="C227">SUMPRODUCT(LEN(D227:J227))</f>
        <v>0</v>
      </c>
      <c r="D227" s="5275"/>
      <c r="E227" s="1361"/>
      <c r="F227" s="1361"/>
      <c r="G227" s="1361"/>
      <c r="H227" s="1361"/>
      <c r="I227" s="1361"/>
      <c r="J227" s="5276"/>
      <c r="K227" s="106" t="s">
        <v>1</v>
      </c>
      <c r="L227" s="1021" t="s">
        <v>26</v>
      </c>
      <c r="M227" s="6787"/>
      <c r="N227" s="6787"/>
      <c r="O227" s="6787"/>
      <c r="P227" s="6788"/>
      <c r="Q227" s="6789"/>
      <c r="R227" s="6790"/>
      <c r="S227" s="6786"/>
      <c r="T227" s="6791"/>
      <c r="U227" s="6844"/>
      <c r="V227" s="6791"/>
      <c r="W227" s="6785"/>
      <c r="X227" s="6868"/>
      <c r="Y227" s="6793"/>
      <c r="Z227" s="6794"/>
      <c r="AA227" s="6795"/>
      <c r="AB227" s="6796"/>
      <c r="AC227" s="6797"/>
      <c r="AD227" s="6798"/>
      <c r="AE227" s="4" t="s">
        <v>1</v>
      </c>
      <c r="AF227" s="6202" t="str">
        <f t="shared" si="108"/>
        <v>►</v>
      </c>
      <c r="AG227" s="6234" t="str">
        <f t="shared" si="109"/>
        <v/>
      </c>
      <c r="AH227" s="6732" t="str">
        <f t="shared" si="110"/>
        <v/>
      </c>
      <c r="AI227" s="6234" t="str">
        <f t="shared" si="111"/>
        <v/>
      </c>
      <c r="AJ227" s="6732" t="str">
        <f t="shared" si="112"/>
        <v/>
      </c>
      <c r="AK227" s="6732">
        <f t="shared" si="113"/>
        <v>0</v>
      </c>
      <c r="AL227" s="6230" t="str" cm="1">
        <f t="array" ref="AL227">IF(AF227&lt;&gt;"A","",IFERROR((IFERROR(_xlfn.XLOOKUP(TRIM(SUBSTITUTE(U227,CHAR(160)," ")),$BJ$15:$BJ$62,$BM$15:$BM$62),IFERROR(_xlfn.XLOOKUP(TRIM(SUBSTITUTE(U227,CHAR(160)," ")),$BK$15:$BK$62,$BM$15:$BM$62),_xlfn.XLOOKUP(TRIM(SUBSTITUTE(U227,CHAR(160)," ")),$BL$15:$BL$62,$BM$15:$BM$62))))*T227*IF(ISBLANK(Q227),1,Q227)+IFERROR(_xlfn.XLOOKUP("RECHERCHEX",TRIM(L227:AD227),L227:AD227),0),0))</f>
        <v/>
      </c>
      <c r="AM227" s="6229">
        <f t="shared" si="114"/>
        <v>0</v>
      </c>
      <c r="AN227" s="6857" t="str">
        <f t="shared" si="129"/>
        <v/>
      </c>
      <c r="AO227" s="392">
        <f t="shared" si="115"/>
        <v>0</v>
      </c>
      <c r="AP227" s="392">
        <f t="shared" si="116"/>
        <v>0</v>
      </c>
      <c r="AQ227" s="6191">
        <f t="shared" si="117"/>
        <v>0</v>
      </c>
      <c r="AR227" s="6859" t="str">
        <f t="shared" si="118"/>
        <v/>
      </c>
      <c r="AS227" s="6217"/>
      <c r="AT227" s="6217"/>
      <c r="AU227" s="6272">
        <f t="shared" si="119"/>
        <v>0</v>
      </c>
      <c r="AV227" s="6240">
        <f t="shared" si="120"/>
        <v>0</v>
      </c>
      <c r="AW227" s="6189" cm="1">
        <f t="array" ref="AW227">IF(AK227&lt;&gt;1,0,IF(OR(AU227="",N(AU227)&lt;=0.000000001),"",IF(OR(AO227="",N(AO227)&lt;=0.000000001),0,IF(ISNUMBER(AU227),IFERROR(_xlfn.LET(_xlpm.ai_test,TRIM(AJ227),_xlpm.r,IFERROR(_xlfn.XLOOKUP(_xlpm.ai_test,$BJ$15:$BJ$62,ROW($BJ$15:$BJ$62),0,1),IFERROR(_xlfn.XLOOKUP(_xlpm.ai_test,$BK$15:$BK$62,ROW($BK$15:$BK$62),0,1),_xlfn.XLOOKUP(_xlpm.ai_test,$BL$15:$BL$62,ROW($BL$15:$BL$62),0,1))),_xlpm.p,_xlpm.r-MIN(ROW($BJ$15:$BJ$62))+1,_xlpm.f,INDEX($BM$15:$BM$62,_xlpm.p),_xlpm.u,INDEX($BN$15:$BN$62,_xlpm.p),_xlpm.s,INDEX($BP$15:$BP$62,_xlpm.p),_xlpm.q,N(AU227)/_xlpm.f,IF(_xlpm.q&gt;=_xlpm.s,ROUND(_xlpm.q,1)&amp;" "&amp;_xlpm.ai_test&amp;" = "&amp;ROUND(_xlpm.q*_xlpm.f,1)&amp;" "&amp;_xlpm.u,ROUND(_xlpm.q,1)&amp;" "&amp;_xlpm.ai_test)),""),""))))</f>
        <v>0</v>
      </c>
      <c r="AX227" s="6218"/>
      <c r="AY227" s="6272">
        <f t="shared" si="121"/>
        <v>0</v>
      </c>
      <c r="AZ227" s="6240" t="str">
        <f t="shared" si="122"/>
        <v/>
      </c>
      <c r="BA227" s="6195">
        <f t="shared" si="127"/>
        <v>0</v>
      </c>
      <c r="BB227" s="6193" t="str">
        <f t="shared" si="123"/>
        <v/>
      </c>
      <c r="BC227" s="6219"/>
      <c r="BD227" s="6222">
        <f t="shared" si="128"/>
        <v>0</v>
      </c>
      <c r="BE227" s="6220" t="str">
        <f t="shared" si="124"/>
        <v/>
      </c>
      <c r="BF227" s="4" t="s">
        <v>1</v>
      </c>
      <c r="BG227" s="6196">
        <f t="shared" si="125"/>
        <v>0</v>
      </c>
      <c r="BH227" s="6197">
        <f t="shared" si="126"/>
        <v>0</v>
      </c>
      <c r="BI227"/>
      <c r="BR227"/>
      <c r="BS227"/>
      <c r="BT227"/>
      <c r="BU227"/>
      <c r="BV227"/>
      <c r="BW227"/>
      <c r="BX227" s="20" t="str">
        <f t="shared" si="107"/>
        <v>►</v>
      </c>
      <c r="BY227"/>
      <c r="BZ227"/>
      <c r="CA227"/>
      <c r="CB227"/>
      <c r="CC227"/>
      <c r="CD227" s="2"/>
      <c r="CE227"/>
      <c r="CF227"/>
      <c r="CG227"/>
      <c r="CH227"/>
      <c r="CI227"/>
      <c r="CJ227"/>
      <c r="CK227"/>
      <c r="CM227"/>
      <c r="CN227"/>
      <c r="CO227"/>
      <c r="CP227"/>
      <c r="CQ227"/>
      <c r="CR227"/>
      <c r="CS227"/>
      <c r="CU227"/>
      <c r="CV227"/>
      <c r="CW227"/>
      <c r="CX227"/>
      <c r="CY227"/>
      <c r="CZ227"/>
      <c r="DA227"/>
      <c r="DC227" s="5">
        <v>1</v>
      </c>
    </row>
    <row r="228" spans="1:107" s="1" customFormat="1" ht="21" customHeight="1">
      <c r="A228" s="5641" t="s">
        <v>1</v>
      </c>
      <c r="B228" s="5662" t="str">
        <f t="shared" si="106"/>
        <v>►</v>
      </c>
      <c r="C228" s="5825" cm="1">
        <f t="array" ref="C228">SUMPRODUCT(LEN(D228:J228))</f>
        <v>0</v>
      </c>
      <c r="D228" s="5275"/>
      <c r="E228" s="1361"/>
      <c r="F228" s="1361"/>
      <c r="G228" s="1361"/>
      <c r="H228" s="1361"/>
      <c r="I228" s="1361"/>
      <c r="J228" s="5276"/>
      <c r="K228" s="106" t="s">
        <v>1</v>
      </c>
      <c r="L228" s="1021" t="s">
        <v>26</v>
      </c>
      <c r="M228" s="6787"/>
      <c r="N228" s="6787"/>
      <c r="O228" s="6787"/>
      <c r="P228" s="6788"/>
      <c r="Q228" s="6789"/>
      <c r="R228" s="6790"/>
      <c r="S228" s="6786"/>
      <c r="T228" s="6791"/>
      <c r="U228" s="6844"/>
      <c r="V228" s="6791"/>
      <c r="W228" s="6785"/>
      <c r="X228" s="6868"/>
      <c r="Y228" s="6793"/>
      <c r="Z228" s="6794"/>
      <c r="AA228" s="6795"/>
      <c r="AB228" s="6796"/>
      <c r="AC228" s="6797"/>
      <c r="AD228" s="6798"/>
      <c r="AE228" s="4" t="s">
        <v>1</v>
      </c>
      <c r="AF228" s="6202" t="str">
        <f t="shared" si="108"/>
        <v>►</v>
      </c>
      <c r="AG228" s="6234" t="str">
        <f t="shared" si="109"/>
        <v/>
      </c>
      <c r="AH228" s="6732" t="str">
        <f t="shared" si="110"/>
        <v/>
      </c>
      <c r="AI228" s="6234" t="str">
        <f t="shared" si="111"/>
        <v/>
      </c>
      <c r="AJ228" s="6732" t="str">
        <f t="shared" si="112"/>
        <v/>
      </c>
      <c r="AK228" s="6732">
        <f t="shared" si="113"/>
        <v>0</v>
      </c>
      <c r="AL228" s="6230" t="str" cm="1">
        <f t="array" ref="AL228">IF(AF228&lt;&gt;"A","",IFERROR((IFERROR(_xlfn.XLOOKUP(TRIM(SUBSTITUTE(U228,CHAR(160)," ")),$BJ$15:$BJ$62,$BM$15:$BM$62),IFERROR(_xlfn.XLOOKUP(TRIM(SUBSTITUTE(U228,CHAR(160)," ")),$BK$15:$BK$62,$BM$15:$BM$62),_xlfn.XLOOKUP(TRIM(SUBSTITUTE(U228,CHAR(160)," ")),$BL$15:$BL$62,$BM$15:$BM$62))))*T228*IF(ISBLANK(Q228),1,Q228)+IFERROR(_xlfn.XLOOKUP("RECHERCHEX",TRIM(L228:AD228),L228:AD228),0),0))</f>
        <v/>
      </c>
      <c r="AM228" s="6229">
        <f t="shared" si="114"/>
        <v>0</v>
      </c>
      <c r="AN228" s="6857" t="str">
        <f t="shared" si="129"/>
        <v/>
      </c>
      <c r="AO228" s="392">
        <f t="shared" si="115"/>
        <v>0</v>
      </c>
      <c r="AP228" s="392">
        <f t="shared" si="116"/>
        <v>0</v>
      </c>
      <c r="AQ228" s="6190">
        <f t="shared" si="117"/>
        <v>0</v>
      </c>
      <c r="AR228" s="6858" t="str">
        <f t="shared" si="118"/>
        <v/>
      </c>
      <c r="AS228" s="6217"/>
      <c r="AT228" s="6217"/>
      <c r="AU228" s="6271">
        <f t="shared" si="119"/>
        <v>0</v>
      </c>
      <c r="AV228" s="6242">
        <f t="shared" si="120"/>
        <v>0</v>
      </c>
      <c r="AW228" s="6188" cm="1">
        <f t="array" ref="AW228">IF(AK228&lt;&gt;1,0,IF(OR(AU228="",N(AU228)&lt;=0.000000001),"",IF(OR(AO228="",N(AO228)&lt;=0.000000001),0,IF(ISNUMBER(AU228),IFERROR(_xlfn.LET(_xlpm.ai_test,TRIM(AJ228),_xlpm.r,IFERROR(_xlfn.XLOOKUP(_xlpm.ai_test,$BJ$15:$BJ$62,ROW($BJ$15:$BJ$62),0,1),IFERROR(_xlfn.XLOOKUP(_xlpm.ai_test,$BK$15:$BK$62,ROW($BK$15:$BK$62),0,1),_xlfn.XLOOKUP(_xlpm.ai_test,$BL$15:$BL$62,ROW($BL$15:$BL$62),0,1))),_xlpm.p,_xlpm.r-MIN(ROW($BJ$15:$BJ$62))+1,_xlpm.f,INDEX($BM$15:$BM$62,_xlpm.p),_xlpm.u,INDEX($BN$15:$BN$62,_xlpm.p),_xlpm.s,INDEX($BP$15:$BP$62,_xlpm.p),_xlpm.q,N(AU228)/_xlpm.f,IF(_xlpm.q&gt;=_xlpm.s,ROUND(_xlpm.q,1)&amp;" "&amp;_xlpm.ai_test&amp;" = "&amp;ROUND(_xlpm.q*_xlpm.f,1)&amp;" "&amp;_xlpm.u,ROUND(_xlpm.q,1)&amp;" "&amp;_xlpm.ai_test)),""),""))))</f>
        <v>0</v>
      </c>
      <c r="AX228" s="6218"/>
      <c r="AY228" s="6271">
        <f t="shared" si="121"/>
        <v>0</v>
      </c>
      <c r="AZ228" s="6242" t="str">
        <f t="shared" si="122"/>
        <v/>
      </c>
      <c r="BA228" s="6194">
        <f t="shared" si="127"/>
        <v>0</v>
      </c>
      <c r="BB228" s="6192" t="str">
        <f t="shared" si="123"/>
        <v/>
      </c>
      <c r="BC228" s="6219"/>
      <c r="BD228" s="6221">
        <f t="shared" si="128"/>
        <v>0</v>
      </c>
      <c r="BE228" s="6220" t="str">
        <f t="shared" si="124"/>
        <v/>
      </c>
      <c r="BF228" s="4" t="s">
        <v>1</v>
      </c>
      <c r="BG228" s="6196">
        <f t="shared" si="125"/>
        <v>0</v>
      </c>
      <c r="BH228" s="6197">
        <f t="shared" si="126"/>
        <v>0</v>
      </c>
      <c r="BI228"/>
      <c r="BR228"/>
      <c r="BS228"/>
      <c r="BT228"/>
      <c r="BU228"/>
      <c r="BV228"/>
      <c r="BW228"/>
      <c r="BX228" s="20" t="str">
        <f t="shared" si="107"/>
        <v>►</v>
      </c>
      <c r="BY228"/>
      <c r="BZ228"/>
      <c r="CA228"/>
      <c r="CB228"/>
      <c r="CC228"/>
      <c r="CD228" s="2"/>
      <c r="CE228"/>
      <c r="CF228"/>
      <c r="CG228"/>
      <c r="CH228"/>
      <c r="CI228"/>
      <c r="CJ228"/>
      <c r="CK228"/>
      <c r="CM228"/>
      <c r="CN228"/>
      <c r="CO228"/>
      <c r="CP228"/>
      <c r="CQ228"/>
      <c r="CR228"/>
      <c r="CS228"/>
      <c r="CU228"/>
      <c r="CV228"/>
      <c r="CW228"/>
      <c r="CX228"/>
      <c r="CY228"/>
      <c r="CZ228"/>
      <c r="DA228"/>
      <c r="DC228" s="5">
        <v>1</v>
      </c>
    </row>
    <row r="229" spans="1:107" s="1" customFormat="1" ht="21" customHeight="1">
      <c r="A229" s="5641" t="s">
        <v>1</v>
      </c>
      <c r="B229" s="5662" t="str">
        <f t="shared" si="106"/>
        <v>►</v>
      </c>
      <c r="C229" s="5825" cm="1">
        <f t="array" ref="C229">SUMPRODUCT(LEN(D229:J229))</f>
        <v>0</v>
      </c>
      <c r="D229" s="5275"/>
      <c r="E229" s="1361"/>
      <c r="F229" s="1361"/>
      <c r="G229" s="1361"/>
      <c r="H229" s="1361"/>
      <c r="I229" s="1361"/>
      <c r="J229" s="5276"/>
      <c r="K229" s="106" t="s">
        <v>1</v>
      </c>
      <c r="L229" s="1021" t="s">
        <v>26</v>
      </c>
      <c r="M229" s="6787"/>
      <c r="N229" s="6787"/>
      <c r="O229" s="6787"/>
      <c r="P229" s="6788"/>
      <c r="Q229" s="6789"/>
      <c r="R229" s="6790"/>
      <c r="S229" s="6786"/>
      <c r="T229" s="6791"/>
      <c r="U229" s="6844"/>
      <c r="V229" s="6791"/>
      <c r="W229" s="6785"/>
      <c r="X229" s="6868"/>
      <c r="Y229" s="6793"/>
      <c r="Z229" s="6794"/>
      <c r="AA229" s="6795"/>
      <c r="AB229" s="6796"/>
      <c r="AC229" s="6797"/>
      <c r="AD229" s="6798"/>
      <c r="AE229" s="4" t="s">
        <v>1</v>
      </c>
      <c r="AF229" s="6202" t="str">
        <f t="shared" si="108"/>
        <v>►</v>
      </c>
      <c r="AG229" s="6234" t="str">
        <f t="shared" si="109"/>
        <v/>
      </c>
      <c r="AH229" s="6732" t="str">
        <f t="shared" si="110"/>
        <v/>
      </c>
      <c r="AI229" s="6234" t="str">
        <f t="shared" si="111"/>
        <v/>
      </c>
      <c r="AJ229" s="6732" t="str">
        <f t="shared" si="112"/>
        <v/>
      </c>
      <c r="AK229" s="6732">
        <f t="shared" si="113"/>
        <v>0</v>
      </c>
      <c r="AL229" s="6230" t="str" cm="1">
        <f t="array" ref="AL229">IF(AF229&lt;&gt;"A","",IFERROR((IFERROR(_xlfn.XLOOKUP(TRIM(SUBSTITUTE(U229,CHAR(160)," ")),$BJ$15:$BJ$62,$BM$15:$BM$62),IFERROR(_xlfn.XLOOKUP(TRIM(SUBSTITUTE(U229,CHAR(160)," ")),$BK$15:$BK$62,$BM$15:$BM$62),_xlfn.XLOOKUP(TRIM(SUBSTITUTE(U229,CHAR(160)," ")),$BL$15:$BL$62,$BM$15:$BM$62))))*T229*IF(ISBLANK(Q229),1,Q229)+IFERROR(_xlfn.XLOOKUP("RECHERCHEX",TRIM(L229:AD229),L229:AD229),0),0))</f>
        <v/>
      </c>
      <c r="AM229" s="6229">
        <f t="shared" si="114"/>
        <v>0</v>
      </c>
      <c r="AN229" s="6857" t="str">
        <f t="shared" si="129"/>
        <v/>
      </c>
      <c r="AO229" s="392">
        <f t="shared" si="115"/>
        <v>0</v>
      </c>
      <c r="AP229" s="392">
        <f t="shared" si="116"/>
        <v>0</v>
      </c>
      <c r="AQ229" s="6191">
        <f t="shared" si="117"/>
        <v>0</v>
      </c>
      <c r="AR229" s="6859" t="str">
        <f t="shared" si="118"/>
        <v/>
      </c>
      <c r="AS229" s="6217"/>
      <c r="AT229" s="6217"/>
      <c r="AU229" s="6272">
        <f t="shared" si="119"/>
        <v>0</v>
      </c>
      <c r="AV229" s="6240">
        <f t="shared" si="120"/>
        <v>0</v>
      </c>
      <c r="AW229" s="6189" cm="1">
        <f t="array" ref="AW229">IF(AK229&lt;&gt;1,0,IF(OR(AU229="",N(AU229)&lt;=0.000000001),"",IF(OR(AO229="",N(AO229)&lt;=0.000000001),0,IF(ISNUMBER(AU229),IFERROR(_xlfn.LET(_xlpm.ai_test,TRIM(AJ229),_xlpm.r,IFERROR(_xlfn.XLOOKUP(_xlpm.ai_test,$BJ$15:$BJ$62,ROW($BJ$15:$BJ$62),0,1),IFERROR(_xlfn.XLOOKUP(_xlpm.ai_test,$BK$15:$BK$62,ROW($BK$15:$BK$62),0,1),_xlfn.XLOOKUP(_xlpm.ai_test,$BL$15:$BL$62,ROW($BL$15:$BL$62),0,1))),_xlpm.p,_xlpm.r-MIN(ROW($BJ$15:$BJ$62))+1,_xlpm.f,INDEX($BM$15:$BM$62,_xlpm.p),_xlpm.u,INDEX($BN$15:$BN$62,_xlpm.p),_xlpm.s,INDEX($BP$15:$BP$62,_xlpm.p),_xlpm.q,N(AU229)/_xlpm.f,IF(_xlpm.q&gt;=_xlpm.s,ROUND(_xlpm.q,1)&amp;" "&amp;_xlpm.ai_test&amp;" = "&amp;ROUND(_xlpm.q*_xlpm.f,1)&amp;" "&amp;_xlpm.u,ROUND(_xlpm.q,1)&amp;" "&amp;_xlpm.ai_test)),""),""))))</f>
        <v>0</v>
      </c>
      <c r="AX229" s="6218"/>
      <c r="AY229" s="6272">
        <f t="shared" si="121"/>
        <v>0</v>
      </c>
      <c r="AZ229" s="6240" t="str">
        <f t="shared" si="122"/>
        <v/>
      </c>
      <c r="BA229" s="6195">
        <f t="shared" si="127"/>
        <v>0</v>
      </c>
      <c r="BB229" s="6193" t="str">
        <f t="shared" si="123"/>
        <v/>
      </c>
      <c r="BC229" s="6219"/>
      <c r="BD229" s="6222">
        <f t="shared" si="128"/>
        <v>0</v>
      </c>
      <c r="BE229" s="6220" t="str">
        <f t="shared" si="124"/>
        <v/>
      </c>
      <c r="BF229" s="4" t="s">
        <v>1</v>
      </c>
      <c r="BG229" s="6196">
        <f t="shared" si="125"/>
        <v>0</v>
      </c>
      <c r="BH229" s="6197">
        <f t="shared" si="126"/>
        <v>0</v>
      </c>
      <c r="BI229"/>
      <c r="BR229"/>
      <c r="BS229"/>
      <c r="BT229"/>
      <c r="BU229"/>
      <c r="BV229"/>
      <c r="BW229"/>
      <c r="BX229" s="20" t="str">
        <f t="shared" si="107"/>
        <v>►</v>
      </c>
      <c r="BY229"/>
      <c r="BZ229"/>
      <c r="CA229"/>
      <c r="CB229"/>
      <c r="CC229"/>
      <c r="CD229" s="2"/>
      <c r="CE229"/>
      <c r="CF229"/>
      <c r="CG229"/>
      <c r="CH229"/>
      <c r="CI229"/>
      <c r="CJ229"/>
      <c r="CK229"/>
      <c r="CM229"/>
      <c r="CN229"/>
      <c r="CO229"/>
      <c r="CP229"/>
      <c r="CQ229"/>
      <c r="CR229"/>
      <c r="CS229"/>
      <c r="CU229"/>
      <c r="CV229"/>
      <c r="CW229"/>
      <c r="CX229"/>
      <c r="CY229"/>
      <c r="CZ229"/>
      <c r="DA229"/>
      <c r="DC229" s="5">
        <v>1</v>
      </c>
    </row>
    <row r="230" spans="1:107" s="1" customFormat="1" ht="21" customHeight="1">
      <c r="A230" s="5641" t="s">
        <v>1</v>
      </c>
      <c r="B230" s="5662" t="str">
        <f t="shared" si="106"/>
        <v>►</v>
      </c>
      <c r="C230" s="5825" cm="1">
        <f t="array" ref="C230">SUMPRODUCT(LEN(D230:J230))</f>
        <v>0</v>
      </c>
      <c r="D230" s="5275"/>
      <c r="E230" s="1361"/>
      <c r="F230" s="1361"/>
      <c r="G230" s="1361"/>
      <c r="H230" s="1361"/>
      <c r="I230" s="1361"/>
      <c r="J230" s="5276"/>
      <c r="K230" s="106" t="s">
        <v>1</v>
      </c>
      <c r="L230" s="1021" t="s">
        <v>26</v>
      </c>
      <c r="M230" s="6787"/>
      <c r="N230" s="6787"/>
      <c r="O230" s="6787"/>
      <c r="P230" s="6788"/>
      <c r="Q230" s="6789"/>
      <c r="R230" s="6790"/>
      <c r="S230" s="6786"/>
      <c r="T230" s="6791"/>
      <c r="U230" s="6844"/>
      <c r="V230" s="6791"/>
      <c r="W230" s="6785"/>
      <c r="X230" s="6868"/>
      <c r="Y230" s="6793"/>
      <c r="Z230" s="6794"/>
      <c r="AA230" s="6795"/>
      <c r="AB230" s="6796"/>
      <c r="AC230" s="6797"/>
      <c r="AD230" s="6798"/>
      <c r="AE230" s="4" t="s">
        <v>1</v>
      </c>
      <c r="AF230" s="6202" t="str">
        <f t="shared" si="108"/>
        <v>►</v>
      </c>
      <c r="AG230" s="6234" t="str">
        <f t="shared" si="109"/>
        <v/>
      </c>
      <c r="AH230" s="6732" t="str">
        <f t="shared" si="110"/>
        <v/>
      </c>
      <c r="AI230" s="6234" t="str">
        <f t="shared" si="111"/>
        <v/>
      </c>
      <c r="AJ230" s="6732" t="str">
        <f t="shared" si="112"/>
        <v/>
      </c>
      <c r="AK230" s="6732">
        <f t="shared" si="113"/>
        <v>0</v>
      </c>
      <c r="AL230" s="6230" t="str" cm="1">
        <f t="array" ref="AL230">IF(AF230&lt;&gt;"A","",IFERROR((IFERROR(_xlfn.XLOOKUP(TRIM(SUBSTITUTE(U230,CHAR(160)," ")),$BJ$15:$BJ$62,$BM$15:$BM$62),IFERROR(_xlfn.XLOOKUP(TRIM(SUBSTITUTE(U230,CHAR(160)," ")),$BK$15:$BK$62,$BM$15:$BM$62),_xlfn.XLOOKUP(TRIM(SUBSTITUTE(U230,CHAR(160)," ")),$BL$15:$BL$62,$BM$15:$BM$62))))*T230*IF(ISBLANK(Q230),1,Q230)+IFERROR(_xlfn.XLOOKUP("RECHERCHEX",TRIM(L230:AD230),L230:AD230),0),0))</f>
        <v/>
      </c>
      <c r="AM230" s="6229">
        <f t="shared" si="114"/>
        <v>0</v>
      </c>
      <c r="AN230" s="6857" t="str">
        <f t="shared" si="129"/>
        <v/>
      </c>
      <c r="AO230" s="392">
        <f t="shared" si="115"/>
        <v>0</v>
      </c>
      <c r="AP230" s="392">
        <f t="shared" si="116"/>
        <v>0</v>
      </c>
      <c r="AQ230" s="6190">
        <f t="shared" si="117"/>
        <v>0</v>
      </c>
      <c r="AR230" s="6858" t="str">
        <f t="shared" si="118"/>
        <v/>
      </c>
      <c r="AS230" s="6217"/>
      <c r="AT230" s="6217"/>
      <c r="AU230" s="6271">
        <f t="shared" si="119"/>
        <v>0</v>
      </c>
      <c r="AV230" s="6242">
        <f t="shared" si="120"/>
        <v>0</v>
      </c>
      <c r="AW230" s="6188" cm="1">
        <f t="array" ref="AW230">IF(AK230&lt;&gt;1,0,IF(OR(AU230="",N(AU230)&lt;=0.000000001),"",IF(OR(AO230="",N(AO230)&lt;=0.000000001),0,IF(ISNUMBER(AU230),IFERROR(_xlfn.LET(_xlpm.ai_test,TRIM(AJ230),_xlpm.r,IFERROR(_xlfn.XLOOKUP(_xlpm.ai_test,$BJ$15:$BJ$62,ROW($BJ$15:$BJ$62),0,1),IFERROR(_xlfn.XLOOKUP(_xlpm.ai_test,$BK$15:$BK$62,ROW($BK$15:$BK$62),0,1),_xlfn.XLOOKUP(_xlpm.ai_test,$BL$15:$BL$62,ROW($BL$15:$BL$62),0,1))),_xlpm.p,_xlpm.r-MIN(ROW($BJ$15:$BJ$62))+1,_xlpm.f,INDEX($BM$15:$BM$62,_xlpm.p),_xlpm.u,INDEX($BN$15:$BN$62,_xlpm.p),_xlpm.s,INDEX($BP$15:$BP$62,_xlpm.p),_xlpm.q,N(AU230)/_xlpm.f,IF(_xlpm.q&gt;=_xlpm.s,ROUND(_xlpm.q,1)&amp;" "&amp;_xlpm.ai_test&amp;" = "&amp;ROUND(_xlpm.q*_xlpm.f,1)&amp;" "&amp;_xlpm.u,ROUND(_xlpm.q,1)&amp;" "&amp;_xlpm.ai_test)),""),""))))</f>
        <v>0</v>
      </c>
      <c r="AX230" s="6218"/>
      <c r="AY230" s="6271">
        <f t="shared" si="121"/>
        <v>0</v>
      </c>
      <c r="AZ230" s="6242" t="str">
        <f t="shared" si="122"/>
        <v/>
      </c>
      <c r="BA230" s="6194">
        <f t="shared" si="127"/>
        <v>0</v>
      </c>
      <c r="BB230" s="6192" t="str">
        <f t="shared" si="123"/>
        <v/>
      </c>
      <c r="BC230" s="6219"/>
      <c r="BD230" s="6221">
        <f t="shared" si="128"/>
        <v>0</v>
      </c>
      <c r="BE230" s="6220" t="str">
        <f t="shared" si="124"/>
        <v/>
      </c>
      <c r="BF230" s="4" t="s">
        <v>1</v>
      </c>
      <c r="BG230" s="6196">
        <f t="shared" si="125"/>
        <v>0</v>
      </c>
      <c r="BH230" s="6197">
        <f t="shared" si="126"/>
        <v>0</v>
      </c>
      <c r="BI230"/>
      <c r="BR230"/>
      <c r="BS230"/>
      <c r="BT230"/>
      <c r="BU230"/>
      <c r="BV230"/>
      <c r="BW230"/>
      <c r="BX230" s="20" t="str">
        <f t="shared" si="107"/>
        <v>►</v>
      </c>
      <c r="BY230"/>
      <c r="BZ230"/>
      <c r="CA230"/>
      <c r="CB230"/>
      <c r="CC230"/>
      <c r="CD230" s="2"/>
      <c r="CE230"/>
      <c r="CF230"/>
      <c r="CG230"/>
      <c r="CH230"/>
      <c r="CI230"/>
      <c r="CJ230"/>
      <c r="CK230"/>
      <c r="CM230"/>
      <c r="CN230"/>
      <c r="CO230"/>
      <c r="CP230"/>
      <c r="CQ230"/>
      <c r="CR230"/>
      <c r="CS230"/>
      <c r="CU230"/>
      <c r="CV230"/>
      <c r="CW230"/>
      <c r="CX230"/>
      <c r="CY230"/>
      <c r="CZ230"/>
      <c r="DA230"/>
      <c r="DC230" s="5">
        <v>1</v>
      </c>
    </row>
    <row r="231" spans="1:107" s="1" customFormat="1" ht="21" customHeight="1">
      <c r="A231" s="5641" t="s">
        <v>1</v>
      </c>
      <c r="B231" s="5662" t="str">
        <f t="shared" si="106"/>
        <v>►</v>
      </c>
      <c r="C231" s="5825" cm="1">
        <f t="array" ref="C231">SUMPRODUCT(LEN(D231:J231))</f>
        <v>0</v>
      </c>
      <c r="D231" s="5275"/>
      <c r="E231" s="1361"/>
      <c r="F231" s="1361"/>
      <c r="G231" s="1361"/>
      <c r="H231" s="1361"/>
      <c r="I231" s="1361"/>
      <c r="J231" s="5276"/>
      <c r="K231" s="106" t="s">
        <v>1</v>
      </c>
      <c r="L231" s="1021" t="s">
        <v>26</v>
      </c>
      <c r="M231" s="6787"/>
      <c r="N231" s="6787"/>
      <c r="O231" s="6787"/>
      <c r="P231" s="6788"/>
      <c r="Q231" s="6789"/>
      <c r="R231" s="6790"/>
      <c r="S231" s="6786"/>
      <c r="T231" s="6791"/>
      <c r="U231" s="6844"/>
      <c r="V231" s="6791"/>
      <c r="W231" s="6785"/>
      <c r="X231" s="6868"/>
      <c r="Y231" s="6793"/>
      <c r="Z231" s="6794"/>
      <c r="AA231" s="6795"/>
      <c r="AB231" s="6796"/>
      <c r="AC231" s="6797"/>
      <c r="AD231" s="6798"/>
      <c r="AE231" s="4" t="s">
        <v>1</v>
      </c>
      <c r="AF231" s="6202" t="str">
        <f t="shared" si="108"/>
        <v>►</v>
      </c>
      <c r="AG231" s="6234" t="str">
        <f t="shared" si="109"/>
        <v/>
      </c>
      <c r="AH231" s="6732" t="str">
        <f t="shared" si="110"/>
        <v/>
      </c>
      <c r="AI231" s="6234" t="str">
        <f t="shared" si="111"/>
        <v/>
      </c>
      <c r="AJ231" s="6732" t="str">
        <f t="shared" si="112"/>
        <v/>
      </c>
      <c r="AK231" s="6732">
        <f t="shared" si="113"/>
        <v>0</v>
      </c>
      <c r="AL231" s="6230" t="str" cm="1">
        <f t="array" ref="AL231">IF(AF231&lt;&gt;"A","",IFERROR((IFERROR(_xlfn.XLOOKUP(TRIM(SUBSTITUTE(U231,CHAR(160)," ")),$BJ$15:$BJ$62,$BM$15:$BM$62),IFERROR(_xlfn.XLOOKUP(TRIM(SUBSTITUTE(U231,CHAR(160)," ")),$BK$15:$BK$62,$BM$15:$BM$62),_xlfn.XLOOKUP(TRIM(SUBSTITUTE(U231,CHAR(160)," ")),$BL$15:$BL$62,$BM$15:$BM$62))))*T231*IF(ISBLANK(Q231),1,Q231)+IFERROR(_xlfn.XLOOKUP("RECHERCHEX",TRIM(L231:AD231),L231:AD231),0),0))</f>
        <v/>
      </c>
      <c r="AM231" s="6229">
        <f t="shared" si="114"/>
        <v>0</v>
      </c>
      <c r="AN231" s="6857" t="str">
        <f t="shared" si="129"/>
        <v/>
      </c>
      <c r="AO231" s="392">
        <f t="shared" si="115"/>
        <v>0</v>
      </c>
      <c r="AP231" s="392">
        <f t="shared" si="116"/>
        <v>0</v>
      </c>
      <c r="AQ231" s="6191">
        <f t="shared" si="117"/>
        <v>0</v>
      </c>
      <c r="AR231" s="6859" t="str">
        <f t="shared" si="118"/>
        <v/>
      </c>
      <c r="AS231" s="6217"/>
      <c r="AT231" s="6217"/>
      <c r="AU231" s="6272">
        <f t="shared" si="119"/>
        <v>0</v>
      </c>
      <c r="AV231" s="6240">
        <f t="shared" si="120"/>
        <v>0</v>
      </c>
      <c r="AW231" s="6189" cm="1">
        <f t="array" ref="AW231">IF(AK231&lt;&gt;1,0,IF(OR(AU231="",N(AU231)&lt;=0.000000001),"",IF(OR(AO231="",N(AO231)&lt;=0.000000001),0,IF(ISNUMBER(AU231),IFERROR(_xlfn.LET(_xlpm.ai_test,TRIM(AJ231),_xlpm.r,IFERROR(_xlfn.XLOOKUP(_xlpm.ai_test,$BJ$15:$BJ$62,ROW($BJ$15:$BJ$62),0,1),IFERROR(_xlfn.XLOOKUP(_xlpm.ai_test,$BK$15:$BK$62,ROW($BK$15:$BK$62),0,1),_xlfn.XLOOKUP(_xlpm.ai_test,$BL$15:$BL$62,ROW($BL$15:$BL$62),0,1))),_xlpm.p,_xlpm.r-MIN(ROW($BJ$15:$BJ$62))+1,_xlpm.f,INDEX($BM$15:$BM$62,_xlpm.p),_xlpm.u,INDEX($BN$15:$BN$62,_xlpm.p),_xlpm.s,INDEX($BP$15:$BP$62,_xlpm.p),_xlpm.q,N(AU231)/_xlpm.f,IF(_xlpm.q&gt;=_xlpm.s,ROUND(_xlpm.q,1)&amp;" "&amp;_xlpm.ai_test&amp;" = "&amp;ROUND(_xlpm.q*_xlpm.f,1)&amp;" "&amp;_xlpm.u,ROUND(_xlpm.q,1)&amp;" "&amp;_xlpm.ai_test)),""),""))))</f>
        <v>0</v>
      </c>
      <c r="AX231" s="6218"/>
      <c r="AY231" s="6272">
        <f t="shared" si="121"/>
        <v>0</v>
      </c>
      <c r="AZ231" s="6240" t="str">
        <f t="shared" si="122"/>
        <v/>
      </c>
      <c r="BA231" s="6195">
        <f t="shared" si="127"/>
        <v>0</v>
      </c>
      <c r="BB231" s="6193" t="str">
        <f t="shared" si="123"/>
        <v/>
      </c>
      <c r="BC231" s="6219"/>
      <c r="BD231" s="6222">
        <f t="shared" si="128"/>
        <v>0</v>
      </c>
      <c r="BE231" s="6220" t="str">
        <f t="shared" si="124"/>
        <v/>
      </c>
      <c r="BF231" s="4" t="s">
        <v>1</v>
      </c>
      <c r="BG231" s="6196">
        <f t="shared" si="125"/>
        <v>0</v>
      </c>
      <c r="BH231" s="6197">
        <f t="shared" si="126"/>
        <v>0</v>
      </c>
      <c r="BI231"/>
      <c r="BR231"/>
      <c r="BS231"/>
      <c r="BT231"/>
      <c r="BU231"/>
      <c r="BV231"/>
      <c r="BW231"/>
      <c r="BX231" s="20" t="str">
        <f t="shared" si="107"/>
        <v>►</v>
      </c>
      <c r="BY231"/>
      <c r="BZ231"/>
      <c r="CA231"/>
      <c r="CB231"/>
      <c r="CC231"/>
      <c r="CD231" s="2"/>
      <c r="CE231"/>
      <c r="CF231"/>
      <c r="CG231"/>
      <c r="CH231"/>
      <c r="CI231"/>
      <c r="CJ231"/>
      <c r="CK231"/>
      <c r="CM231"/>
      <c r="CN231"/>
      <c r="CO231"/>
      <c r="CP231"/>
      <c r="CQ231"/>
      <c r="CR231"/>
      <c r="CS231"/>
      <c r="CU231"/>
      <c r="CV231"/>
      <c r="CW231"/>
      <c r="CX231"/>
      <c r="CY231"/>
      <c r="CZ231"/>
      <c r="DA231"/>
      <c r="DC231" s="5">
        <v>1</v>
      </c>
    </row>
    <row r="232" spans="1:107" s="1" customFormat="1" ht="21" customHeight="1">
      <c r="A232" s="5641" t="s">
        <v>1</v>
      </c>
      <c r="B232" s="5662" t="str">
        <f t="shared" si="106"/>
        <v>►</v>
      </c>
      <c r="C232" s="5825" cm="1">
        <f t="array" ref="C232">SUMPRODUCT(LEN(D232:J232))</f>
        <v>0</v>
      </c>
      <c r="D232" s="5275"/>
      <c r="E232" s="1361"/>
      <c r="F232" s="1361"/>
      <c r="G232" s="1361"/>
      <c r="H232" s="1361"/>
      <c r="I232" s="1361"/>
      <c r="J232" s="5276"/>
      <c r="K232" s="106" t="s">
        <v>1</v>
      </c>
      <c r="L232" s="1021" t="s">
        <v>26</v>
      </c>
      <c r="M232" s="6787"/>
      <c r="N232" s="6787"/>
      <c r="O232" s="6787"/>
      <c r="P232" s="6788"/>
      <c r="Q232" s="6789"/>
      <c r="R232" s="6790"/>
      <c r="S232" s="6786"/>
      <c r="T232" s="6791"/>
      <c r="U232" s="6844"/>
      <c r="V232" s="6791"/>
      <c r="W232" s="6785"/>
      <c r="X232" s="6868"/>
      <c r="Y232" s="6793"/>
      <c r="Z232" s="6794"/>
      <c r="AA232" s="6795"/>
      <c r="AB232" s="6796"/>
      <c r="AC232" s="6797"/>
      <c r="AD232" s="6798"/>
      <c r="AE232" s="4" t="s">
        <v>1</v>
      </c>
      <c r="AF232" s="6202" t="str">
        <f t="shared" si="108"/>
        <v>►</v>
      </c>
      <c r="AG232" s="6234" t="str">
        <f t="shared" si="109"/>
        <v/>
      </c>
      <c r="AH232" s="6732" t="str">
        <f t="shared" si="110"/>
        <v/>
      </c>
      <c r="AI232" s="6234" t="str">
        <f t="shared" si="111"/>
        <v/>
      </c>
      <c r="AJ232" s="6732" t="str">
        <f t="shared" si="112"/>
        <v/>
      </c>
      <c r="AK232" s="6732">
        <f t="shared" si="113"/>
        <v>0</v>
      </c>
      <c r="AL232" s="6230" t="str" cm="1">
        <f t="array" ref="AL232">IF(AF232&lt;&gt;"A","",IFERROR((IFERROR(_xlfn.XLOOKUP(TRIM(SUBSTITUTE(U232,CHAR(160)," ")),$BJ$15:$BJ$62,$BM$15:$BM$62),IFERROR(_xlfn.XLOOKUP(TRIM(SUBSTITUTE(U232,CHAR(160)," ")),$BK$15:$BK$62,$BM$15:$BM$62),_xlfn.XLOOKUP(TRIM(SUBSTITUTE(U232,CHAR(160)," ")),$BL$15:$BL$62,$BM$15:$BM$62))))*T232*IF(ISBLANK(Q232),1,Q232)+IFERROR(_xlfn.XLOOKUP("RECHERCHEX",TRIM(L232:AD232),L232:AD232),0),0))</f>
        <v/>
      </c>
      <c r="AM232" s="6229">
        <f t="shared" si="114"/>
        <v>0</v>
      </c>
      <c r="AN232" s="6857" t="str">
        <f t="shared" si="129"/>
        <v/>
      </c>
      <c r="AO232" s="392">
        <f t="shared" si="115"/>
        <v>0</v>
      </c>
      <c r="AP232" s="392">
        <f t="shared" si="116"/>
        <v>0</v>
      </c>
      <c r="AQ232" s="6190">
        <f t="shared" si="117"/>
        <v>0</v>
      </c>
      <c r="AR232" s="6858" t="str">
        <f t="shared" si="118"/>
        <v/>
      </c>
      <c r="AS232" s="6217"/>
      <c r="AT232" s="6217"/>
      <c r="AU232" s="6271">
        <f t="shared" si="119"/>
        <v>0</v>
      </c>
      <c r="AV232" s="6242">
        <f t="shared" si="120"/>
        <v>0</v>
      </c>
      <c r="AW232" s="6188" cm="1">
        <f t="array" ref="AW232">IF(AK232&lt;&gt;1,0,IF(OR(AU232="",N(AU232)&lt;=0.000000001),"",IF(OR(AO232="",N(AO232)&lt;=0.000000001),0,IF(ISNUMBER(AU232),IFERROR(_xlfn.LET(_xlpm.ai_test,TRIM(AJ232),_xlpm.r,IFERROR(_xlfn.XLOOKUP(_xlpm.ai_test,$BJ$15:$BJ$62,ROW($BJ$15:$BJ$62),0,1),IFERROR(_xlfn.XLOOKUP(_xlpm.ai_test,$BK$15:$BK$62,ROW($BK$15:$BK$62),0,1),_xlfn.XLOOKUP(_xlpm.ai_test,$BL$15:$BL$62,ROW($BL$15:$BL$62),0,1))),_xlpm.p,_xlpm.r-MIN(ROW($BJ$15:$BJ$62))+1,_xlpm.f,INDEX($BM$15:$BM$62,_xlpm.p),_xlpm.u,INDEX($BN$15:$BN$62,_xlpm.p),_xlpm.s,INDEX($BP$15:$BP$62,_xlpm.p),_xlpm.q,N(AU232)/_xlpm.f,IF(_xlpm.q&gt;=_xlpm.s,ROUND(_xlpm.q,1)&amp;" "&amp;_xlpm.ai_test&amp;" = "&amp;ROUND(_xlpm.q*_xlpm.f,1)&amp;" "&amp;_xlpm.u,ROUND(_xlpm.q,1)&amp;" "&amp;_xlpm.ai_test)),""),""))))</f>
        <v>0</v>
      </c>
      <c r="AX232" s="6218"/>
      <c r="AY232" s="6271">
        <f t="shared" si="121"/>
        <v>0</v>
      </c>
      <c r="AZ232" s="6242" t="str">
        <f t="shared" si="122"/>
        <v/>
      </c>
      <c r="BA232" s="6194">
        <f t="shared" si="127"/>
        <v>0</v>
      </c>
      <c r="BB232" s="6192" t="str">
        <f t="shared" si="123"/>
        <v/>
      </c>
      <c r="BC232" s="6219"/>
      <c r="BD232" s="6221">
        <f t="shared" si="128"/>
        <v>0</v>
      </c>
      <c r="BE232" s="6220" t="str">
        <f t="shared" si="124"/>
        <v/>
      </c>
      <c r="BF232" s="4" t="s">
        <v>1</v>
      </c>
      <c r="BG232" s="6196">
        <f t="shared" si="125"/>
        <v>0</v>
      </c>
      <c r="BH232" s="6197">
        <f t="shared" si="126"/>
        <v>0</v>
      </c>
      <c r="BI232"/>
      <c r="BR232"/>
      <c r="BS232"/>
      <c r="BT232"/>
      <c r="BU232"/>
      <c r="BV232"/>
      <c r="BW232"/>
      <c r="BX232" s="20" t="str">
        <f t="shared" si="107"/>
        <v>►</v>
      </c>
      <c r="BY232"/>
      <c r="BZ232"/>
      <c r="CA232"/>
      <c r="CB232"/>
      <c r="CC232"/>
      <c r="CD232" s="2"/>
      <c r="CE232"/>
      <c r="CF232"/>
      <c r="CG232"/>
      <c r="CH232"/>
      <c r="CI232"/>
      <c r="CJ232"/>
      <c r="CK232"/>
      <c r="CM232"/>
      <c r="CN232"/>
      <c r="CO232"/>
      <c r="CP232"/>
      <c r="CQ232"/>
      <c r="CR232"/>
      <c r="CS232"/>
      <c r="CU232"/>
      <c r="CV232"/>
      <c r="CW232"/>
      <c r="CX232"/>
      <c r="CY232"/>
      <c r="CZ232"/>
      <c r="DA232"/>
      <c r="DC232" s="5">
        <v>1</v>
      </c>
    </row>
    <row r="233" spans="1:107" s="1" customFormat="1" ht="21" customHeight="1">
      <c r="A233" s="5641" t="s">
        <v>1</v>
      </c>
      <c r="B233" s="5662" t="str">
        <f t="shared" si="106"/>
        <v>►</v>
      </c>
      <c r="C233" s="5825" cm="1">
        <f t="array" ref="C233">SUMPRODUCT(LEN(D233:J233))</f>
        <v>0</v>
      </c>
      <c r="D233" s="5275"/>
      <c r="E233" s="1361"/>
      <c r="F233" s="1361"/>
      <c r="G233" s="1361"/>
      <c r="H233" s="1361"/>
      <c r="I233" s="1361"/>
      <c r="J233" s="5276"/>
      <c r="K233" s="106" t="s">
        <v>1</v>
      </c>
      <c r="L233" s="1021" t="s">
        <v>26</v>
      </c>
      <c r="M233" s="6787"/>
      <c r="N233" s="6787"/>
      <c r="O233" s="6787"/>
      <c r="P233" s="6788"/>
      <c r="Q233" s="6789"/>
      <c r="R233" s="6790"/>
      <c r="S233" s="6786"/>
      <c r="T233" s="6791"/>
      <c r="U233" s="6844"/>
      <c r="V233" s="6791"/>
      <c r="W233" s="6785"/>
      <c r="X233" s="6868"/>
      <c r="Y233" s="6793"/>
      <c r="Z233" s="6794"/>
      <c r="AA233" s="6795"/>
      <c r="AB233" s="6796"/>
      <c r="AC233" s="6797"/>
      <c r="AD233" s="6798"/>
      <c r="AE233" s="4" t="s">
        <v>1</v>
      </c>
      <c r="AF233" s="6202" t="str">
        <f t="shared" si="108"/>
        <v>►</v>
      </c>
      <c r="AG233" s="6234" t="str">
        <f t="shared" si="109"/>
        <v/>
      </c>
      <c r="AH233" s="6732" t="str">
        <f t="shared" si="110"/>
        <v/>
      </c>
      <c r="AI233" s="6234" t="str">
        <f t="shared" si="111"/>
        <v/>
      </c>
      <c r="AJ233" s="6732" t="str">
        <f t="shared" si="112"/>
        <v/>
      </c>
      <c r="AK233" s="6732">
        <f t="shared" si="113"/>
        <v>0</v>
      </c>
      <c r="AL233" s="6230" t="str" cm="1">
        <f t="array" ref="AL233">IF(AF233&lt;&gt;"A","",IFERROR((IFERROR(_xlfn.XLOOKUP(TRIM(SUBSTITUTE(U233,CHAR(160)," ")),$BJ$15:$BJ$62,$BM$15:$BM$62),IFERROR(_xlfn.XLOOKUP(TRIM(SUBSTITUTE(U233,CHAR(160)," ")),$BK$15:$BK$62,$BM$15:$BM$62),_xlfn.XLOOKUP(TRIM(SUBSTITUTE(U233,CHAR(160)," ")),$BL$15:$BL$62,$BM$15:$BM$62))))*T233*IF(ISBLANK(Q233),1,Q233)+IFERROR(_xlfn.XLOOKUP("RECHERCHEX",TRIM(L233:AD233),L233:AD233),0),0))</f>
        <v/>
      </c>
      <c r="AM233" s="6229">
        <f t="shared" si="114"/>
        <v>0</v>
      </c>
      <c r="AN233" s="6857" t="str">
        <f t="shared" si="129"/>
        <v/>
      </c>
      <c r="AO233" s="392">
        <f t="shared" si="115"/>
        <v>0</v>
      </c>
      <c r="AP233" s="392">
        <f t="shared" si="116"/>
        <v>0</v>
      </c>
      <c r="AQ233" s="6191">
        <f t="shared" si="117"/>
        <v>0</v>
      </c>
      <c r="AR233" s="6859" t="str">
        <f t="shared" si="118"/>
        <v/>
      </c>
      <c r="AS233" s="6217"/>
      <c r="AT233" s="6217"/>
      <c r="AU233" s="6272">
        <f t="shared" si="119"/>
        <v>0</v>
      </c>
      <c r="AV233" s="6240">
        <f t="shared" si="120"/>
        <v>0</v>
      </c>
      <c r="AW233" s="6189" cm="1">
        <f t="array" ref="AW233">IF(AK233&lt;&gt;1,0,IF(OR(AU233="",N(AU233)&lt;=0.000000001),"",IF(OR(AO233="",N(AO233)&lt;=0.000000001),0,IF(ISNUMBER(AU233),IFERROR(_xlfn.LET(_xlpm.ai_test,TRIM(AJ233),_xlpm.r,IFERROR(_xlfn.XLOOKUP(_xlpm.ai_test,$BJ$15:$BJ$62,ROW($BJ$15:$BJ$62),0,1),IFERROR(_xlfn.XLOOKUP(_xlpm.ai_test,$BK$15:$BK$62,ROW($BK$15:$BK$62),0,1),_xlfn.XLOOKUP(_xlpm.ai_test,$BL$15:$BL$62,ROW($BL$15:$BL$62),0,1))),_xlpm.p,_xlpm.r-MIN(ROW($BJ$15:$BJ$62))+1,_xlpm.f,INDEX($BM$15:$BM$62,_xlpm.p),_xlpm.u,INDEX($BN$15:$BN$62,_xlpm.p),_xlpm.s,INDEX($BP$15:$BP$62,_xlpm.p),_xlpm.q,N(AU233)/_xlpm.f,IF(_xlpm.q&gt;=_xlpm.s,ROUND(_xlpm.q,1)&amp;" "&amp;_xlpm.ai_test&amp;" = "&amp;ROUND(_xlpm.q*_xlpm.f,1)&amp;" "&amp;_xlpm.u,ROUND(_xlpm.q,1)&amp;" "&amp;_xlpm.ai_test)),""),""))))</f>
        <v>0</v>
      </c>
      <c r="AX233" s="6218"/>
      <c r="AY233" s="6272">
        <f t="shared" si="121"/>
        <v>0</v>
      </c>
      <c r="AZ233" s="6240" t="str">
        <f t="shared" si="122"/>
        <v/>
      </c>
      <c r="BA233" s="6195">
        <f t="shared" si="127"/>
        <v>0</v>
      </c>
      <c r="BB233" s="6193" t="str">
        <f t="shared" si="123"/>
        <v/>
      </c>
      <c r="BC233" s="6219"/>
      <c r="BD233" s="6222">
        <f t="shared" si="128"/>
        <v>0</v>
      </c>
      <c r="BE233" s="6220" t="str">
        <f t="shared" si="124"/>
        <v/>
      </c>
      <c r="BF233" s="4" t="s">
        <v>1</v>
      </c>
      <c r="BG233" s="6196">
        <f t="shared" si="125"/>
        <v>0</v>
      </c>
      <c r="BH233" s="6197">
        <f t="shared" si="126"/>
        <v>0</v>
      </c>
      <c r="BI233"/>
      <c r="BR233"/>
      <c r="BS233"/>
      <c r="BT233"/>
      <c r="BU233"/>
      <c r="BV233"/>
      <c r="BW233"/>
      <c r="BX233" s="20" t="str">
        <f t="shared" si="107"/>
        <v>►</v>
      </c>
      <c r="BY233"/>
      <c r="BZ233"/>
      <c r="CA233"/>
      <c r="CB233"/>
      <c r="CC233"/>
      <c r="CD233" s="2"/>
      <c r="CE233"/>
      <c r="CF233"/>
      <c r="CG233"/>
      <c r="CH233"/>
      <c r="CI233"/>
      <c r="CJ233"/>
      <c r="CK233"/>
      <c r="CM233"/>
      <c r="CN233"/>
      <c r="CO233"/>
      <c r="CP233"/>
      <c r="CQ233"/>
      <c r="CR233"/>
      <c r="CS233"/>
      <c r="CU233"/>
      <c r="CV233"/>
      <c r="CW233"/>
      <c r="CX233"/>
      <c r="CY233"/>
      <c r="CZ233"/>
      <c r="DA233"/>
      <c r="DC233" s="5">
        <v>1</v>
      </c>
    </row>
    <row r="234" spans="1:107" s="1" customFormat="1" ht="21" customHeight="1">
      <c r="A234" s="5641" t="s">
        <v>1</v>
      </c>
      <c r="B234" s="5662" t="str">
        <f t="shared" si="106"/>
        <v>►</v>
      </c>
      <c r="C234" s="5825" cm="1">
        <f t="array" ref="C234">SUMPRODUCT(LEN(D234:J234))</f>
        <v>0</v>
      </c>
      <c r="D234" s="5275"/>
      <c r="E234" s="1361"/>
      <c r="F234" s="1361"/>
      <c r="G234" s="1361"/>
      <c r="H234" s="1361"/>
      <c r="I234" s="1361"/>
      <c r="J234" s="5276"/>
      <c r="K234" s="106" t="s">
        <v>1</v>
      </c>
      <c r="L234" s="1021" t="s">
        <v>26</v>
      </c>
      <c r="M234" s="6787"/>
      <c r="N234" s="6787"/>
      <c r="O234" s="6787"/>
      <c r="P234" s="6788"/>
      <c r="Q234" s="6789"/>
      <c r="R234" s="6790"/>
      <c r="S234" s="6786"/>
      <c r="T234" s="6791"/>
      <c r="U234" s="6844"/>
      <c r="V234" s="6791"/>
      <c r="W234" s="6785"/>
      <c r="X234" s="6868"/>
      <c r="Y234" s="6793"/>
      <c r="Z234" s="6794"/>
      <c r="AA234" s="6795"/>
      <c r="AB234" s="6796"/>
      <c r="AC234" s="6797"/>
      <c r="AD234" s="6798"/>
      <c r="AE234" s="4" t="s">
        <v>1</v>
      </c>
      <c r="AF234" s="6202" t="str">
        <f t="shared" si="108"/>
        <v>►</v>
      </c>
      <c r="AG234" s="6234" t="str">
        <f t="shared" si="109"/>
        <v/>
      </c>
      <c r="AH234" s="6732" t="str">
        <f t="shared" si="110"/>
        <v/>
      </c>
      <c r="AI234" s="6234" t="str">
        <f t="shared" si="111"/>
        <v/>
      </c>
      <c r="AJ234" s="6732" t="str">
        <f t="shared" si="112"/>
        <v/>
      </c>
      <c r="AK234" s="6732">
        <f t="shared" si="113"/>
        <v>0</v>
      </c>
      <c r="AL234" s="6230" t="str" cm="1">
        <f t="array" ref="AL234">IF(AF234&lt;&gt;"A","",IFERROR((IFERROR(_xlfn.XLOOKUP(TRIM(SUBSTITUTE(U234,CHAR(160)," ")),$BJ$15:$BJ$62,$BM$15:$BM$62),IFERROR(_xlfn.XLOOKUP(TRIM(SUBSTITUTE(U234,CHAR(160)," ")),$BK$15:$BK$62,$BM$15:$BM$62),_xlfn.XLOOKUP(TRIM(SUBSTITUTE(U234,CHAR(160)," ")),$BL$15:$BL$62,$BM$15:$BM$62))))*T234*IF(ISBLANK(Q234),1,Q234)+IFERROR(_xlfn.XLOOKUP("RECHERCHEX",TRIM(L234:AD234),L234:AD234),0),0))</f>
        <v/>
      </c>
      <c r="AM234" s="6229">
        <f t="shared" si="114"/>
        <v>0</v>
      </c>
      <c r="AN234" s="6857" t="str">
        <f t="shared" si="129"/>
        <v/>
      </c>
      <c r="AO234" s="392">
        <f t="shared" si="115"/>
        <v>0</v>
      </c>
      <c r="AP234" s="392">
        <f t="shared" si="116"/>
        <v>0</v>
      </c>
      <c r="AQ234" s="6190">
        <f t="shared" si="117"/>
        <v>0</v>
      </c>
      <c r="AR234" s="6858" t="str">
        <f t="shared" si="118"/>
        <v/>
      </c>
      <c r="AS234" s="6217"/>
      <c r="AT234" s="6217"/>
      <c r="AU234" s="6271">
        <f t="shared" si="119"/>
        <v>0</v>
      </c>
      <c r="AV234" s="6242">
        <f t="shared" si="120"/>
        <v>0</v>
      </c>
      <c r="AW234" s="6188" cm="1">
        <f t="array" ref="AW234">IF(AK234&lt;&gt;1,0,IF(OR(AU234="",N(AU234)&lt;=0.000000001),"",IF(OR(AO234="",N(AO234)&lt;=0.000000001),0,IF(ISNUMBER(AU234),IFERROR(_xlfn.LET(_xlpm.ai_test,TRIM(AJ234),_xlpm.r,IFERROR(_xlfn.XLOOKUP(_xlpm.ai_test,$BJ$15:$BJ$62,ROW($BJ$15:$BJ$62),0,1),IFERROR(_xlfn.XLOOKUP(_xlpm.ai_test,$BK$15:$BK$62,ROW($BK$15:$BK$62),0,1),_xlfn.XLOOKUP(_xlpm.ai_test,$BL$15:$BL$62,ROW($BL$15:$BL$62),0,1))),_xlpm.p,_xlpm.r-MIN(ROW($BJ$15:$BJ$62))+1,_xlpm.f,INDEX($BM$15:$BM$62,_xlpm.p),_xlpm.u,INDEX($BN$15:$BN$62,_xlpm.p),_xlpm.s,INDEX($BP$15:$BP$62,_xlpm.p),_xlpm.q,N(AU234)/_xlpm.f,IF(_xlpm.q&gt;=_xlpm.s,ROUND(_xlpm.q,1)&amp;" "&amp;_xlpm.ai_test&amp;" = "&amp;ROUND(_xlpm.q*_xlpm.f,1)&amp;" "&amp;_xlpm.u,ROUND(_xlpm.q,1)&amp;" "&amp;_xlpm.ai_test)),""),""))))</f>
        <v>0</v>
      </c>
      <c r="AX234" s="6218"/>
      <c r="AY234" s="6271">
        <f t="shared" si="121"/>
        <v>0</v>
      </c>
      <c r="AZ234" s="6242" t="str">
        <f t="shared" si="122"/>
        <v/>
      </c>
      <c r="BA234" s="6194">
        <f t="shared" si="127"/>
        <v>0</v>
      </c>
      <c r="BB234" s="6192" t="str">
        <f t="shared" si="123"/>
        <v/>
      </c>
      <c r="BC234" s="6219"/>
      <c r="BD234" s="6221">
        <f t="shared" si="128"/>
        <v>0</v>
      </c>
      <c r="BE234" s="6220" t="str">
        <f t="shared" si="124"/>
        <v/>
      </c>
      <c r="BF234" s="4" t="s">
        <v>1</v>
      </c>
      <c r="BG234" s="6196">
        <f t="shared" si="125"/>
        <v>0</v>
      </c>
      <c r="BH234" s="6197">
        <f t="shared" si="126"/>
        <v>0</v>
      </c>
      <c r="BI234"/>
      <c r="BR234"/>
      <c r="BS234"/>
      <c r="BT234"/>
      <c r="BU234"/>
      <c r="BV234"/>
      <c r="BW234"/>
      <c r="BX234" s="20" t="str">
        <f t="shared" si="107"/>
        <v>►</v>
      </c>
      <c r="BY234"/>
      <c r="BZ234"/>
      <c r="CA234"/>
      <c r="CB234"/>
      <c r="CC234"/>
      <c r="CD234" s="2"/>
      <c r="CE234"/>
      <c r="CF234"/>
      <c r="CG234"/>
      <c r="CH234"/>
      <c r="CI234"/>
      <c r="CJ234"/>
      <c r="CK234"/>
      <c r="CM234"/>
      <c r="CN234"/>
      <c r="CO234"/>
      <c r="CP234"/>
      <c r="CQ234"/>
      <c r="CR234"/>
      <c r="CS234"/>
      <c r="CU234"/>
      <c r="CV234"/>
      <c r="CW234"/>
      <c r="CX234"/>
      <c r="CY234"/>
      <c r="CZ234"/>
      <c r="DA234"/>
      <c r="DC234" s="5">
        <v>1</v>
      </c>
    </row>
    <row r="235" spans="1:107" s="1" customFormat="1" ht="21" customHeight="1">
      <c r="A235" s="5641" t="s">
        <v>1</v>
      </c>
      <c r="B235" s="5662" t="str">
        <f t="shared" si="106"/>
        <v>►</v>
      </c>
      <c r="C235" s="5825" cm="1">
        <f t="array" ref="C235">SUMPRODUCT(LEN(D235:J235))</f>
        <v>0</v>
      </c>
      <c r="D235" s="5275"/>
      <c r="E235" s="1361"/>
      <c r="F235" s="1361"/>
      <c r="G235" s="1361"/>
      <c r="H235" s="1361"/>
      <c r="I235" s="1361"/>
      <c r="J235" s="5276"/>
      <c r="K235" s="106" t="s">
        <v>1</v>
      </c>
      <c r="L235" s="1021" t="s">
        <v>26</v>
      </c>
      <c r="M235" s="6787"/>
      <c r="N235" s="6787"/>
      <c r="O235" s="6787"/>
      <c r="P235" s="6788"/>
      <c r="Q235" s="6789"/>
      <c r="R235" s="6790"/>
      <c r="S235" s="6786"/>
      <c r="T235" s="6791"/>
      <c r="U235" s="6844"/>
      <c r="V235" s="6791"/>
      <c r="W235" s="6785"/>
      <c r="X235" s="6868"/>
      <c r="Y235" s="6793"/>
      <c r="Z235" s="6794"/>
      <c r="AA235" s="6795"/>
      <c r="AB235" s="6796"/>
      <c r="AC235" s="6797"/>
      <c r="AD235" s="6798"/>
      <c r="AE235" s="4" t="s">
        <v>1</v>
      </c>
      <c r="AF235" s="6202" t="str">
        <f t="shared" si="108"/>
        <v>►</v>
      </c>
      <c r="AG235" s="6234" t="str">
        <f t="shared" si="109"/>
        <v/>
      </c>
      <c r="AH235" s="6732" t="str">
        <f t="shared" si="110"/>
        <v/>
      </c>
      <c r="AI235" s="6234" t="str">
        <f t="shared" si="111"/>
        <v/>
      </c>
      <c r="AJ235" s="6732" t="str">
        <f t="shared" si="112"/>
        <v/>
      </c>
      <c r="AK235" s="6732">
        <f t="shared" si="113"/>
        <v>0</v>
      </c>
      <c r="AL235" s="6230" t="str" cm="1">
        <f t="array" ref="AL235">IF(AF235&lt;&gt;"A","",IFERROR((IFERROR(_xlfn.XLOOKUP(TRIM(SUBSTITUTE(U235,CHAR(160)," ")),$BJ$15:$BJ$62,$BM$15:$BM$62),IFERROR(_xlfn.XLOOKUP(TRIM(SUBSTITUTE(U235,CHAR(160)," ")),$BK$15:$BK$62,$BM$15:$BM$62),_xlfn.XLOOKUP(TRIM(SUBSTITUTE(U235,CHAR(160)," ")),$BL$15:$BL$62,$BM$15:$BM$62))))*T235*IF(ISBLANK(Q235),1,Q235)+IFERROR(_xlfn.XLOOKUP("RECHERCHEX",TRIM(L235:AD235),L235:AD235),0),0))</f>
        <v/>
      </c>
      <c r="AM235" s="6229">
        <f t="shared" si="114"/>
        <v>0</v>
      </c>
      <c r="AN235" s="6857" t="str">
        <f t="shared" si="129"/>
        <v/>
      </c>
      <c r="AO235" s="392">
        <f t="shared" si="115"/>
        <v>0</v>
      </c>
      <c r="AP235" s="392">
        <f t="shared" si="116"/>
        <v>0</v>
      </c>
      <c r="AQ235" s="6191">
        <f t="shared" si="117"/>
        <v>0</v>
      </c>
      <c r="AR235" s="6859" t="str">
        <f t="shared" si="118"/>
        <v/>
      </c>
      <c r="AS235" s="6217"/>
      <c r="AT235" s="6217"/>
      <c r="AU235" s="6272">
        <f t="shared" si="119"/>
        <v>0</v>
      </c>
      <c r="AV235" s="6240">
        <f t="shared" si="120"/>
        <v>0</v>
      </c>
      <c r="AW235" s="6189" cm="1">
        <f t="array" ref="AW235">IF(AK235&lt;&gt;1,0,IF(OR(AU235="",N(AU235)&lt;=0.000000001),"",IF(OR(AO235="",N(AO235)&lt;=0.000000001),0,IF(ISNUMBER(AU235),IFERROR(_xlfn.LET(_xlpm.ai_test,TRIM(AJ235),_xlpm.r,IFERROR(_xlfn.XLOOKUP(_xlpm.ai_test,$BJ$15:$BJ$62,ROW($BJ$15:$BJ$62),0,1),IFERROR(_xlfn.XLOOKUP(_xlpm.ai_test,$BK$15:$BK$62,ROW($BK$15:$BK$62),0,1),_xlfn.XLOOKUP(_xlpm.ai_test,$BL$15:$BL$62,ROW($BL$15:$BL$62),0,1))),_xlpm.p,_xlpm.r-MIN(ROW($BJ$15:$BJ$62))+1,_xlpm.f,INDEX($BM$15:$BM$62,_xlpm.p),_xlpm.u,INDEX($BN$15:$BN$62,_xlpm.p),_xlpm.s,INDEX($BP$15:$BP$62,_xlpm.p),_xlpm.q,N(AU235)/_xlpm.f,IF(_xlpm.q&gt;=_xlpm.s,ROUND(_xlpm.q,1)&amp;" "&amp;_xlpm.ai_test&amp;" = "&amp;ROUND(_xlpm.q*_xlpm.f,1)&amp;" "&amp;_xlpm.u,ROUND(_xlpm.q,1)&amp;" "&amp;_xlpm.ai_test)),""),""))))</f>
        <v>0</v>
      </c>
      <c r="AX235" s="6218"/>
      <c r="AY235" s="6272">
        <f t="shared" si="121"/>
        <v>0</v>
      </c>
      <c r="AZ235" s="6240" t="str">
        <f t="shared" si="122"/>
        <v/>
      </c>
      <c r="BA235" s="6195">
        <f t="shared" si="127"/>
        <v>0</v>
      </c>
      <c r="BB235" s="6193" t="str">
        <f t="shared" si="123"/>
        <v/>
      </c>
      <c r="BC235" s="6219"/>
      <c r="BD235" s="6222">
        <f t="shared" si="128"/>
        <v>0</v>
      </c>
      <c r="BE235" s="6220" t="str">
        <f t="shared" si="124"/>
        <v/>
      </c>
      <c r="BF235" s="4" t="s">
        <v>1</v>
      </c>
      <c r="BG235" s="6196">
        <f t="shared" si="125"/>
        <v>0</v>
      </c>
      <c r="BH235" s="6197">
        <f t="shared" si="126"/>
        <v>0</v>
      </c>
      <c r="BI235"/>
      <c r="BR235"/>
      <c r="BS235"/>
      <c r="BT235"/>
      <c r="BU235"/>
      <c r="BV235"/>
      <c r="BW235"/>
      <c r="BX235" s="20" t="str">
        <f t="shared" si="107"/>
        <v>►</v>
      </c>
      <c r="BY235"/>
      <c r="BZ235"/>
      <c r="CA235"/>
      <c r="CB235"/>
      <c r="CC235"/>
      <c r="CD235" s="2"/>
      <c r="CE235"/>
      <c r="CF235"/>
      <c r="CG235"/>
      <c r="CH235"/>
      <c r="CI235"/>
      <c r="CJ235"/>
      <c r="CK235"/>
      <c r="CM235"/>
      <c r="CN235"/>
      <c r="CO235"/>
      <c r="CP235"/>
      <c r="CQ235"/>
      <c r="CR235"/>
      <c r="CS235"/>
      <c r="CU235"/>
      <c r="CV235"/>
      <c r="CW235"/>
      <c r="CX235"/>
      <c r="CY235"/>
      <c r="CZ235"/>
      <c r="DA235"/>
      <c r="DC235" s="5">
        <v>1</v>
      </c>
    </row>
    <row r="236" spans="1:107" ht="21" customHeight="1">
      <c r="A236" s="5641" t="s">
        <v>1</v>
      </c>
      <c r="B236" s="5662" t="str">
        <f t="shared" si="106"/>
        <v>►</v>
      </c>
      <c r="C236" s="5825" cm="1">
        <f t="array" ref="C236">SUMPRODUCT(LEN(D236:J236))</f>
        <v>0</v>
      </c>
      <c r="D236" s="5275"/>
      <c r="E236" s="1361"/>
      <c r="F236" s="1361"/>
      <c r="G236" s="1361"/>
      <c r="H236" s="1361"/>
      <c r="I236" s="1361"/>
      <c r="J236" s="5276"/>
      <c r="K236" s="106" t="s">
        <v>1</v>
      </c>
      <c r="L236" s="1021" t="s">
        <v>26</v>
      </c>
      <c r="M236" s="6787"/>
      <c r="N236" s="6787"/>
      <c r="O236" s="6787"/>
      <c r="P236" s="6788"/>
      <c r="Q236" s="6789"/>
      <c r="R236" s="6790"/>
      <c r="S236" s="6786"/>
      <c r="T236" s="6791"/>
      <c r="U236" s="6844"/>
      <c r="V236" s="6791"/>
      <c r="W236" s="6785"/>
      <c r="X236" s="6868"/>
      <c r="Y236" s="6793"/>
      <c r="Z236" s="6794"/>
      <c r="AA236" s="6795"/>
      <c r="AB236" s="6796"/>
      <c r="AC236" s="6797"/>
      <c r="AD236" s="6798"/>
      <c r="AE236" s="4" t="s">
        <v>1</v>
      </c>
      <c r="AF236" s="6202" t="str">
        <f t="shared" si="108"/>
        <v>►</v>
      </c>
      <c r="AG236" s="6234" t="str">
        <f t="shared" si="109"/>
        <v/>
      </c>
      <c r="AH236" s="6732" t="str">
        <f t="shared" si="110"/>
        <v/>
      </c>
      <c r="AI236" s="6234" t="str">
        <f t="shared" si="111"/>
        <v/>
      </c>
      <c r="AJ236" s="6732" t="str">
        <f t="shared" si="112"/>
        <v/>
      </c>
      <c r="AK236" s="6732">
        <f t="shared" si="113"/>
        <v>0</v>
      </c>
      <c r="AL236" s="6230" t="str" cm="1">
        <f t="array" ref="AL236">IF(AF236&lt;&gt;"A","",IFERROR((IFERROR(_xlfn.XLOOKUP(TRIM(SUBSTITUTE(U236,CHAR(160)," ")),$BJ$15:$BJ$62,$BM$15:$BM$62),IFERROR(_xlfn.XLOOKUP(TRIM(SUBSTITUTE(U236,CHAR(160)," ")),$BK$15:$BK$62,$BM$15:$BM$62),_xlfn.XLOOKUP(TRIM(SUBSTITUTE(U236,CHAR(160)," ")),$BL$15:$BL$62,$BM$15:$BM$62))))*T236*IF(ISBLANK(Q236),1,Q236)+IFERROR(_xlfn.XLOOKUP("RECHERCHEX",TRIM(L236:AD236),L236:AD236),0),0))</f>
        <v/>
      </c>
      <c r="AM236" s="6229">
        <f t="shared" si="114"/>
        <v>0</v>
      </c>
      <c r="AN236" s="6857" t="str">
        <f t="shared" si="129"/>
        <v/>
      </c>
      <c r="AO236" s="392">
        <f t="shared" si="115"/>
        <v>0</v>
      </c>
      <c r="AP236" s="392">
        <f t="shared" si="116"/>
        <v>0</v>
      </c>
      <c r="AQ236" s="6190">
        <f t="shared" si="117"/>
        <v>0</v>
      </c>
      <c r="AR236" s="6858" t="str">
        <f t="shared" si="118"/>
        <v/>
      </c>
      <c r="AS236" s="6217"/>
      <c r="AT236" s="6217"/>
      <c r="AU236" s="6271">
        <f t="shared" si="119"/>
        <v>0</v>
      </c>
      <c r="AV236" s="6242">
        <f t="shared" si="120"/>
        <v>0</v>
      </c>
      <c r="AW236" s="6188" cm="1">
        <f t="array" ref="AW236">IF(AK236&lt;&gt;1,0,IF(OR(AU236="",N(AU236)&lt;=0.000000001),"",IF(OR(AO236="",N(AO236)&lt;=0.000000001),0,IF(ISNUMBER(AU236),IFERROR(_xlfn.LET(_xlpm.ai_test,TRIM(AJ236),_xlpm.r,IFERROR(_xlfn.XLOOKUP(_xlpm.ai_test,$BJ$15:$BJ$62,ROW($BJ$15:$BJ$62),0,1),IFERROR(_xlfn.XLOOKUP(_xlpm.ai_test,$BK$15:$BK$62,ROW($BK$15:$BK$62),0,1),_xlfn.XLOOKUP(_xlpm.ai_test,$BL$15:$BL$62,ROW($BL$15:$BL$62),0,1))),_xlpm.p,_xlpm.r-MIN(ROW($BJ$15:$BJ$62))+1,_xlpm.f,INDEX($BM$15:$BM$62,_xlpm.p),_xlpm.u,INDEX($BN$15:$BN$62,_xlpm.p),_xlpm.s,INDEX($BP$15:$BP$62,_xlpm.p),_xlpm.q,N(AU236)/_xlpm.f,IF(_xlpm.q&gt;=_xlpm.s,ROUND(_xlpm.q,1)&amp;" "&amp;_xlpm.ai_test&amp;" = "&amp;ROUND(_xlpm.q*_xlpm.f,1)&amp;" "&amp;_xlpm.u,ROUND(_xlpm.q,1)&amp;" "&amp;_xlpm.ai_test)),""),""))))</f>
        <v>0</v>
      </c>
      <c r="AX236" s="6218"/>
      <c r="AY236" s="6271">
        <f t="shared" si="121"/>
        <v>0</v>
      </c>
      <c r="AZ236" s="6242" t="str">
        <f t="shared" si="122"/>
        <v/>
      </c>
      <c r="BA236" s="6194">
        <f t="shared" si="127"/>
        <v>0</v>
      </c>
      <c r="BB236" s="6192" t="str">
        <f t="shared" si="123"/>
        <v/>
      </c>
      <c r="BC236" s="6219"/>
      <c r="BD236" s="6221">
        <f t="shared" si="128"/>
        <v>0</v>
      </c>
      <c r="BE236" s="6220" t="str">
        <f t="shared" si="124"/>
        <v/>
      </c>
      <c r="BF236" s="4" t="s">
        <v>1</v>
      </c>
      <c r="BG236" s="6196">
        <f t="shared" si="125"/>
        <v>0</v>
      </c>
      <c r="BH236" s="6197">
        <f t="shared" si="126"/>
        <v>0</v>
      </c>
      <c r="BI236"/>
      <c r="BJ236" s="1"/>
      <c r="BK236" s="1"/>
      <c r="BL236" s="1"/>
      <c r="BM236" s="1"/>
      <c r="BN236" s="1"/>
      <c r="BO236" s="1"/>
      <c r="BP236" s="1"/>
      <c r="BQ236" s="1"/>
      <c r="BX236" s="20" t="str">
        <f t="shared" si="107"/>
        <v>►</v>
      </c>
      <c r="CC236"/>
      <c r="CD236" s="2"/>
      <c r="CL236" s="1"/>
      <c r="CT236" s="1"/>
      <c r="DB236" s="1"/>
      <c r="DC236" s="5">
        <v>1</v>
      </c>
    </row>
    <row r="237" spans="1:107" ht="21" customHeight="1">
      <c r="A237" s="5641" t="s">
        <v>1</v>
      </c>
      <c r="B237" s="5662" t="str">
        <f t="shared" si="106"/>
        <v>►</v>
      </c>
      <c r="C237" s="5825" cm="1">
        <f t="array" ref="C237">SUMPRODUCT(LEN(D237:J237))</f>
        <v>0</v>
      </c>
      <c r="D237" s="5275"/>
      <c r="E237" s="1361"/>
      <c r="F237" s="1361"/>
      <c r="G237" s="1361"/>
      <c r="H237" s="1361"/>
      <c r="I237" s="1361"/>
      <c r="J237" s="5276"/>
      <c r="K237" s="106" t="s">
        <v>1</v>
      </c>
      <c r="L237" s="1021" t="s">
        <v>26</v>
      </c>
      <c r="M237" s="6787"/>
      <c r="N237" s="6787"/>
      <c r="O237" s="6787"/>
      <c r="P237" s="6788"/>
      <c r="Q237" s="6789"/>
      <c r="R237" s="6790"/>
      <c r="S237" s="6786"/>
      <c r="T237" s="6791"/>
      <c r="U237" s="6844"/>
      <c r="V237" s="6791"/>
      <c r="W237" s="6785"/>
      <c r="X237" s="6868"/>
      <c r="Y237" s="6793"/>
      <c r="Z237" s="6794"/>
      <c r="AA237" s="6795"/>
      <c r="AB237" s="6796"/>
      <c r="AC237" s="6797"/>
      <c r="AD237" s="6798"/>
      <c r="AE237" s="4" t="s">
        <v>1</v>
      </c>
      <c r="AF237" s="6202" t="str">
        <f t="shared" si="108"/>
        <v>►</v>
      </c>
      <c r="AG237" s="6234" t="str">
        <f t="shared" si="109"/>
        <v/>
      </c>
      <c r="AH237" s="6732" t="str">
        <f t="shared" si="110"/>
        <v/>
      </c>
      <c r="AI237" s="6234" t="str">
        <f t="shared" si="111"/>
        <v/>
      </c>
      <c r="AJ237" s="6732" t="str">
        <f t="shared" si="112"/>
        <v/>
      </c>
      <c r="AK237" s="6732">
        <f t="shared" si="113"/>
        <v>0</v>
      </c>
      <c r="AL237" s="6230" t="str" cm="1">
        <f t="array" ref="AL237">IF(AF237&lt;&gt;"A","",IFERROR((IFERROR(_xlfn.XLOOKUP(TRIM(SUBSTITUTE(U237,CHAR(160)," ")),$BJ$15:$BJ$62,$BM$15:$BM$62),IFERROR(_xlfn.XLOOKUP(TRIM(SUBSTITUTE(U237,CHAR(160)," ")),$BK$15:$BK$62,$BM$15:$BM$62),_xlfn.XLOOKUP(TRIM(SUBSTITUTE(U237,CHAR(160)," ")),$BL$15:$BL$62,$BM$15:$BM$62))))*T237*IF(ISBLANK(Q237),1,Q237)+IFERROR(_xlfn.XLOOKUP("RECHERCHEX",TRIM(L237:AD237),L237:AD237),0),0))</f>
        <v/>
      </c>
      <c r="AM237" s="6229">
        <f t="shared" si="114"/>
        <v>0</v>
      </c>
      <c r="AN237" s="6857" t="str">
        <f t="shared" si="129"/>
        <v/>
      </c>
      <c r="AO237" s="392">
        <f t="shared" si="115"/>
        <v>0</v>
      </c>
      <c r="AP237" s="392">
        <f t="shared" si="116"/>
        <v>0</v>
      </c>
      <c r="AQ237" s="6191">
        <f t="shared" si="117"/>
        <v>0</v>
      </c>
      <c r="AR237" s="6859" t="str">
        <f t="shared" si="118"/>
        <v/>
      </c>
      <c r="AS237" s="6217"/>
      <c r="AT237" s="6217"/>
      <c r="AU237" s="6272">
        <f t="shared" si="119"/>
        <v>0</v>
      </c>
      <c r="AV237" s="6240">
        <f t="shared" si="120"/>
        <v>0</v>
      </c>
      <c r="AW237" s="6189" cm="1">
        <f t="array" ref="AW237">IF(AK237&lt;&gt;1,0,IF(OR(AU237="",N(AU237)&lt;=0.000000001),"",IF(OR(AO237="",N(AO237)&lt;=0.000000001),0,IF(ISNUMBER(AU237),IFERROR(_xlfn.LET(_xlpm.ai_test,TRIM(AJ237),_xlpm.r,IFERROR(_xlfn.XLOOKUP(_xlpm.ai_test,$BJ$15:$BJ$62,ROW($BJ$15:$BJ$62),0,1),IFERROR(_xlfn.XLOOKUP(_xlpm.ai_test,$BK$15:$BK$62,ROW($BK$15:$BK$62),0,1),_xlfn.XLOOKUP(_xlpm.ai_test,$BL$15:$BL$62,ROW($BL$15:$BL$62),0,1))),_xlpm.p,_xlpm.r-MIN(ROW($BJ$15:$BJ$62))+1,_xlpm.f,INDEX($BM$15:$BM$62,_xlpm.p),_xlpm.u,INDEX($BN$15:$BN$62,_xlpm.p),_xlpm.s,INDEX($BP$15:$BP$62,_xlpm.p),_xlpm.q,N(AU237)/_xlpm.f,IF(_xlpm.q&gt;=_xlpm.s,ROUND(_xlpm.q,1)&amp;" "&amp;_xlpm.ai_test&amp;" = "&amp;ROUND(_xlpm.q*_xlpm.f,1)&amp;" "&amp;_xlpm.u,ROUND(_xlpm.q,1)&amp;" "&amp;_xlpm.ai_test)),""),""))))</f>
        <v>0</v>
      </c>
      <c r="AX237" s="6218"/>
      <c r="AY237" s="6272">
        <f t="shared" si="121"/>
        <v>0</v>
      </c>
      <c r="AZ237" s="6240" t="str">
        <f t="shared" si="122"/>
        <v/>
      </c>
      <c r="BA237" s="6195">
        <f t="shared" si="127"/>
        <v>0</v>
      </c>
      <c r="BB237" s="6193" t="str">
        <f t="shared" si="123"/>
        <v/>
      </c>
      <c r="BC237" s="6219"/>
      <c r="BD237" s="6222">
        <f t="shared" si="128"/>
        <v>0</v>
      </c>
      <c r="BE237" s="6220" t="str">
        <f t="shared" si="124"/>
        <v/>
      </c>
      <c r="BF237" s="4" t="s">
        <v>1</v>
      </c>
      <c r="BG237" s="6196">
        <f t="shared" si="125"/>
        <v>0</v>
      </c>
      <c r="BH237" s="6197">
        <f t="shared" si="126"/>
        <v>0</v>
      </c>
      <c r="BI237"/>
      <c r="BJ237" s="1"/>
      <c r="BK237" s="1"/>
      <c r="BL237" s="1"/>
      <c r="BM237" s="1"/>
      <c r="BN237" s="1"/>
      <c r="BO237" s="1"/>
      <c r="BP237" s="1"/>
      <c r="BQ237" s="1"/>
      <c r="BX237" s="20" t="str">
        <f t="shared" si="107"/>
        <v>►</v>
      </c>
      <c r="CC237"/>
      <c r="CD237" s="2"/>
      <c r="CL237" s="1"/>
      <c r="CT237" s="1"/>
      <c r="DB237" s="1"/>
      <c r="DC237" s="5">
        <v>1</v>
      </c>
    </row>
    <row r="238" spans="1:107" ht="21" customHeight="1">
      <c r="A238" s="5641" t="s">
        <v>1</v>
      </c>
      <c r="B238" s="5662" t="str">
        <f t="shared" si="106"/>
        <v>►</v>
      </c>
      <c r="C238" s="5825" cm="1">
        <f t="array" ref="C238">SUMPRODUCT(LEN(D238:J238))</f>
        <v>0</v>
      </c>
      <c r="D238" s="5275"/>
      <c r="E238" s="1361"/>
      <c r="F238" s="1361"/>
      <c r="G238" s="1361"/>
      <c r="H238" s="1361"/>
      <c r="I238" s="1361"/>
      <c r="J238" s="5276"/>
      <c r="K238" s="106" t="s">
        <v>1</v>
      </c>
      <c r="L238" s="1021" t="s">
        <v>26</v>
      </c>
      <c r="M238" s="6787"/>
      <c r="N238" s="6787"/>
      <c r="O238" s="6787"/>
      <c r="P238" s="6788"/>
      <c r="Q238" s="6789"/>
      <c r="R238" s="6790"/>
      <c r="S238" s="6786"/>
      <c r="T238" s="6791"/>
      <c r="U238" s="6844"/>
      <c r="V238" s="6791"/>
      <c r="W238" s="6785"/>
      <c r="X238" s="6868"/>
      <c r="Y238" s="6793"/>
      <c r="Z238" s="6794"/>
      <c r="AA238" s="6795"/>
      <c r="AB238" s="6796"/>
      <c r="AC238" s="6797"/>
      <c r="AD238" s="6798"/>
      <c r="AE238" s="4" t="s">
        <v>1</v>
      </c>
      <c r="AF238" s="6202" t="str">
        <f t="shared" si="108"/>
        <v>►</v>
      </c>
      <c r="AG238" s="6234" t="str">
        <f t="shared" si="109"/>
        <v/>
      </c>
      <c r="AH238" s="6732" t="str">
        <f t="shared" si="110"/>
        <v/>
      </c>
      <c r="AI238" s="6234" t="str">
        <f t="shared" si="111"/>
        <v/>
      </c>
      <c r="AJ238" s="6732" t="str">
        <f t="shared" si="112"/>
        <v/>
      </c>
      <c r="AK238" s="6732">
        <f t="shared" si="113"/>
        <v>0</v>
      </c>
      <c r="AL238" s="6230" t="str" cm="1">
        <f t="array" ref="AL238">IF(AF238&lt;&gt;"A","",IFERROR((IFERROR(_xlfn.XLOOKUP(TRIM(SUBSTITUTE(U238,CHAR(160)," ")),$BJ$15:$BJ$62,$BM$15:$BM$62),IFERROR(_xlfn.XLOOKUP(TRIM(SUBSTITUTE(U238,CHAR(160)," ")),$BK$15:$BK$62,$BM$15:$BM$62),_xlfn.XLOOKUP(TRIM(SUBSTITUTE(U238,CHAR(160)," ")),$BL$15:$BL$62,$BM$15:$BM$62))))*T238*IF(ISBLANK(Q238),1,Q238)+IFERROR(_xlfn.XLOOKUP("RECHERCHEX",TRIM(L238:AD238),L238:AD238),0),0))</f>
        <v/>
      </c>
      <c r="AM238" s="6229">
        <f t="shared" si="114"/>
        <v>0</v>
      </c>
      <c r="AN238" s="6857" t="str">
        <f t="shared" si="129"/>
        <v/>
      </c>
      <c r="AO238" s="392">
        <f t="shared" si="115"/>
        <v>0</v>
      </c>
      <c r="AP238" s="392">
        <f t="shared" si="116"/>
        <v>0</v>
      </c>
      <c r="AQ238" s="6190">
        <f t="shared" si="117"/>
        <v>0</v>
      </c>
      <c r="AR238" s="6858" t="str">
        <f t="shared" si="118"/>
        <v/>
      </c>
      <c r="AS238" s="6217"/>
      <c r="AT238" s="6217"/>
      <c r="AU238" s="6271">
        <f t="shared" si="119"/>
        <v>0</v>
      </c>
      <c r="AV238" s="6242">
        <f t="shared" si="120"/>
        <v>0</v>
      </c>
      <c r="AW238" s="6188" cm="1">
        <f t="array" ref="AW238">IF(AK238&lt;&gt;1,0,IF(OR(AU238="",N(AU238)&lt;=0.000000001),"",IF(OR(AO238="",N(AO238)&lt;=0.000000001),0,IF(ISNUMBER(AU238),IFERROR(_xlfn.LET(_xlpm.ai_test,TRIM(AJ238),_xlpm.r,IFERROR(_xlfn.XLOOKUP(_xlpm.ai_test,$BJ$15:$BJ$62,ROW($BJ$15:$BJ$62),0,1),IFERROR(_xlfn.XLOOKUP(_xlpm.ai_test,$BK$15:$BK$62,ROW($BK$15:$BK$62),0,1),_xlfn.XLOOKUP(_xlpm.ai_test,$BL$15:$BL$62,ROW($BL$15:$BL$62),0,1))),_xlpm.p,_xlpm.r-MIN(ROW($BJ$15:$BJ$62))+1,_xlpm.f,INDEX($BM$15:$BM$62,_xlpm.p),_xlpm.u,INDEX($BN$15:$BN$62,_xlpm.p),_xlpm.s,INDEX($BP$15:$BP$62,_xlpm.p),_xlpm.q,N(AU238)/_xlpm.f,IF(_xlpm.q&gt;=_xlpm.s,ROUND(_xlpm.q,1)&amp;" "&amp;_xlpm.ai_test&amp;" = "&amp;ROUND(_xlpm.q*_xlpm.f,1)&amp;" "&amp;_xlpm.u,ROUND(_xlpm.q,1)&amp;" "&amp;_xlpm.ai_test)),""),""))))</f>
        <v>0</v>
      </c>
      <c r="AX238" s="6218"/>
      <c r="AY238" s="6271">
        <f t="shared" si="121"/>
        <v>0</v>
      </c>
      <c r="AZ238" s="6242" t="str">
        <f t="shared" si="122"/>
        <v/>
      </c>
      <c r="BA238" s="6194">
        <f t="shared" si="127"/>
        <v>0</v>
      </c>
      <c r="BB238" s="6192" t="str">
        <f t="shared" si="123"/>
        <v/>
      </c>
      <c r="BC238" s="6219"/>
      <c r="BD238" s="6221">
        <f t="shared" si="128"/>
        <v>0</v>
      </c>
      <c r="BE238" s="6220" t="str">
        <f t="shared" si="124"/>
        <v/>
      </c>
      <c r="BF238" s="4" t="s">
        <v>1</v>
      </c>
      <c r="BG238" s="6196">
        <f t="shared" si="125"/>
        <v>0</v>
      </c>
      <c r="BH238" s="6197">
        <f t="shared" si="126"/>
        <v>0</v>
      </c>
      <c r="BI238"/>
      <c r="BJ238" s="1"/>
      <c r="BK238" s="1"/>
      <c r="BL238" s="1"/>
      <c r="BM238" s="1"/>
      <c r="BN238" s="1"/>
      <c r="BO238" s="1"/>
      <c r="BP238" s="1"/>
      <c r="BQ238" s="1"/>
      <c r="BX238" s="20" t="str">
        <f t="shared" si="107"/>
        <v>►</v>
      </c>
      <c r="CC238"/>
      <c r="CD238" s="2"/>
      <c r="CL238" s="1"/>
      <c r="CT238" s="1"/>
      <c r="DB238" s="1"/>
      <c r="DC238" s="5">
        <v>1</v>
      </c>
    </row>
    <row r="239" spans="1:107" ht="21" customHeight="1">
      <c r="A239" s="5641" t="s">
        <v>1</v>
      </c>
      <c r="B239" s="5662" t="str">
        <f t="shared" si="106"/>
        <v>►</v>
      </c>
      <c r="C239" s="5825" cm="1">
        <f t="array" ref="C239">SUMPRODUCT(LEN(D239:J239))</f>
        <v>0</v>
      </c>
      <c r="D239" s="5275"/>
      <c r="E239" s="1361"/>
      <c r="F239" s="1361"/>
      <c r="G239" s="1361"/>
      <c r="H239" s="1361"/>
      <c r="I239" s="1361"/>
      <c r="J239" s="5276"/>
      <c r="K239" s="106" t="s">
        <v>1</v>
      </c>
      <c r="L239" s="1021" t="s">
        <v>26</v>
      </c>
      <c r="M239" s="6787"/>
      <c r="N239" s="6787"/>
      <c r="O239" s="6787"/>
      <c r="P239" s="6788"/>
      <c r="Q239" s="6789"/>
      <c r="R239" s="6790"/>
      <c r="S239" s="6786"/>
      <c r="T239" s="6791"/>
      <c r="U239" s="6844"/>
      <c r="V239" s="6791"/>
      <c r="W239" s="6785"/>
      <c r="X239" s="6868"/>
      <c r="Y239" s="6793"/>
      <c r="Z239" s="6794"/>
      <c r="AA239" s="6795"/>
      <c r="AB239" s="6796"/>
      <c r="AC239" s="6797"/>
      <c r="AD239" s="6798"/>
      <c r="AE239" s="4" t="s">
        <v>1</v>
      </c>
      <c r="AF239" s="6202" t="str">
        <f t="shared" si="108"/>
        <v>►</v>
      </c>
      <c r="AG239" s="6234" t="str">
        <f t="shared" si="109"/>
        <v/>
      </c>
      <c r="AH239" s="6732" t="str">
        <f t="shared" si="110"/>
        <v/>
      </c>
      <c r="AI239" s="6234" t="str">
        <f t="shared" si="111"/>
        <v/>
      </c>
      <c r="AJ239" s="6732" t="str">
        <f t="shared" si="112"/>
        <v/>
      </c>
      <c r="AK239" s="6732">
        <f t="shared" si="113"/>
        <v>0</v>
      </c>
      <c r="AL239" s="6230" t="str" cm="1">
        <f t="array" ref="AL239">IF(AF239&lt;&gt;"A","",IFERROR((IFERROR(_xlfn.XLOOKUP(TRIM(SUBSTITUTE(U239,CHAR(160)," ")),$BJ$15:$BJ$62,$BM$15:$BM$62),IFERROR(_xlfn.XLOOKUP(TRIM(SUBSTITUTE(U239,CHAR(160)," ")),$BK$15:$BK$62,$BM$15:$BM$62),_xlfn.XLOOKUP(TRIM(SUBSTITUTE(U239,CHAR(160)," ")),$BL$15:$BL$62,$BM$15:$BM$62))))*T239*IF(ISBLANK(Q239),1,Q239)+IFERROR(_xlfn.XLOOKUP("RECHERCHEX",TRIM(L239:AD239),L239:AD239),0),0))</f>
        <v/>
      </c>
      <c r="AM239" s="6229">
        <f t="shared" si="114"/>
        <v>0</v>
      </c>
      <c r="AN239" s="6857" t="str">
        <f t="shared" si="129"/>
        <v/>
      </c>
      <c r="AO239" s="392">
        <f t="shared" si="115"/>
        <v>0</v>
      </c>
      <c r="AP239" s="392">
        <f t="shared" si="116"/>
        <v>0</v>
      </c>
      <c r="AQ239" s="6191">
        <f t="shared" si="117"/>
        <v>0</v>
      </c>
      <c r="AR239" s="6859" t="str">
        <f t="shared" si="118"/>
        <v/>
      </c>
      <c r="AS239" s="6217"/>
      <c r="AT239" s="6217"/>
      <c r="AU239" s="6272">
        <f t="shared" si="119"/>
        <v>0</v>
      </c>
      <c r="AV239" s="6240">
        <f t="shared" si="120"/>
        <v>0</v>
      </c>
      <c r="AW239" s="6189" cm="1">
        <f t="array" ref="AW239">IF(AK239&lt;&gt;1,0,IF(OR(AU239="",N(AU239)&lt;=0.000000001),"",IF(OR(AO239="",N(AO239)&lt;=0.000000001),0,IF(ISNUMBER(AU239),IFERROR(_xlfn.LET(_xlpm.ai_test,TRIM(AJ239),_xlpm.r,IFERROR(_xlfn.XLOOKUP(_xlpm.ai_test,$BJ$15:$BJ$62,ROW($BJ$15:$BJ$62),0,1),IFERROR(_xlfn.XLOOKUP(_xlpm.ai_test,$BK$15:$BK$62,ROW($BK$15:$BK$62),0,1),_xlfn.XLOOKUP(_xlpm.ai_test,$BL$15:$BL$62,ROW($BL$15:$BL$62),0,1))),_xlpm.p,_xlpm.r-MIN(ROW($BJ$15:$BJ$62))+1,_xlpm.f,INDEX($BM$15:$BM$62,_xlpm.p),_xlpm.u,INDEX($BN$15:$BN$62,_xlpm.p),_xlpm.s,INDEX($BP$15:$BP$62,_xlpm.p),_xlpm.q,N(AU239)/_xlpm.f,IF(_xlpm.q&gt;=_xlpm.s,ROUND(_xlpm.q,1)&amp;" "&amp;_xlpm.ai_test&amp;" = "&amp;ROUND(_xlpm.q*_xlpm.f,1)&amp;" "&amp;_xlpm.u,ROUND(_xlpm.q,1)&amp;" "&amp;_xlpm.ai_test)),""),""))))</f>
        <v>0</v>
      </c>
      <c r="AX239" s="6218"/>
      <c r="AY239" s="6272">
        <f t="shared" si="121"/>
        <v>0</v>
      </c>
      <c r="AZ239" s="6240" t="str">
        <f t="shared" si="122"/>
        <v/>
      </c>
      <c r="BA239" s="6195">
        <f t="shared" si="127"/>
        <v>0</v>
      </c>
      <c r="BB239" s="6193" t="str">
        <f t="shared" si="123"/>
        <v/>
      </c>
      <c r="BC239" s="6219"/>
      <c r="BD239" s="6222">
        <f t="shared" si="128"/>
        <v>0</v>
      </c>
      <c r="BE239" s="6220" t="str">
        <f t="shared" si="124"/>
        <v/>
      </c>
      <c r="BF239" s="4" t="s">
        <v>1</v>
      </c>
      <c r="BG239" s="6196">
        <f t="shared" si="125"/>
        <v>0</v>
      </c>
      <c r="BH239" s="6197">
        <f t="shared" si="126"/>
        <v>0</v>
      </c>
      <c r="BI239"/>
      <c r="BJ239" s="1"/>
      <c r="BK239" s="1"/>
      <c r="BL239" s="1"/>
      <c r="BM239" s="1"/>
      <c r="BN239" s="1"/>
      <c r="BO239" s="1"/>
      <c r="BP239" s="1"/>
      <c r="BQ239" s="1"/>
      <c r="BX239" s="20" t="str">
        <f t="shared" si="107"/>
        <v>►</v>
      </c>
      <c r="CC239"/>
      <c r="CD239" s="2"/>
      <c r="CL239" s="1"/>
      <c r="CT239" s="1"/>
      <c r="DB239" s="1"/>
      <c r="DC239" s="5">
        <v>1</v>
      </c>
    </row>
    <row r="240" spans="1:107" ht="21" customHeight="1">
      <c r="A240" s="5641" t="s">
        <v>1</v>
      </c>
      <c r="B240" s="5662" t="str">
        <f t="shared" si="106"/>
        <v>►</v>
      </c>
      <c r="C240" s="5825" cm="1">
        <f t="array" ref="C240">SUMPRODUCT(LEN(D240:J240))</f>
        <v>0</v>
      </c>
      <c r="D240" s="5275"/>
      <c r="E240" s="1361"/>
      <c r="F240" s="1361"/>
      <c r="G240" s="1361"/>
      <c r="H240" s="1361"/>
      <c r="I240" s="1361"/>
      <c r="J240" s="5276"/>
      <c r="K240" s="106"/>
      <c r="L240" s="1021" t="s">
        <v>26</v>
      </c>
      <c r="M240" s="6787"/>
      <c r="N240" s="6787"/>
      <c r="O240" s="6787"/>
      <c r="P240" s="6788"/>
      <c r="Q240" s="6789"/>
      <c r="R240" s="6790"/>
      <c r="S240" s="6786"/>
      <c r="T240" s="6791"/>
      <c r="U240" s="6844"/>
      <c r="V240" s="6791"/>
      <c r="W240" s="6785"/>
      <c r="X240" s="6868"/>
      <c r="Y240" s="6793"/>
      <c r="Z240" s="6794"/>
      <c r="AA240" s="6795"/>
      <c r="AB240" s="6796"/>
      <c r="AC240" s="6797"/>
      <c r="AD240" s="6798"/>
      <c r="AE240" s="4" t="s">
        <v>1</v>
      </c>
      <c r="AF240" s="6202" t="str">
        <f t="shared" si="108"/>
        <v>►</v>
      </c>
      <c r="AG240" s="6234" t="str">
        <f t="shared" si="109"/>
        <v/>
      </c>
      <c r="AH240" s="6732" t="str">
        <f t="shared" si="110"/>
        <v/>
      </c>
      <c r="AI240" s="6234" t="str">
        <f t="shared" si="111"/>
        <v/>
      </c>
      <c r="AJ240" s="6732" t="str">
        <f t="shared" si="112"/>
        <v/>
      </c>
      <c r="AK240" s="6732">
        <f t="shared" si="113"/>
        <v>0</v>
      </c>
      <c r="AL240" s="6230" t="str" cm="1">
        <f t="array" ref="AL240">IF(AF240&lt;&gt;"A","",IFERROR((IFERROR(_xlfn.XLOOKUP(TRIM(SUBSTITUTE(U240,CHAR(160)," ")),$BJ$15:$BJ$62,$BM$15:$BM$62),IFERROR(_xlfn.XLOOKUP(TRIM(SUBSTITUTE(U240,CHAR(160)," ")),$BK$15:$BK$62,$BM$15:$BM$62),_xlfn.XLOOKUP(TRIM(SUBSTITUTE(U240,CHAR(160)," ")),$BL$15:$BL$62,$BM$15:$BM$62))))*T240*IF(ISBLANK(Q240),1,Q240)+IFERROR(_xlfn.XLOOKUP("RECHERCHEX",TRIM(L240:AD240),L240:AD240),0),0))</f>
        <v/>
      </c>
      <c r="AM240" s="6229">
        <f t="shared" si="114"/>
        <v>0</v>
      </c>
      <c r="AN240" s="6857" t="str">
        <f t="shared" si="129"/>
        <v/>
      </c>
      <c r="AO240" s="392">
        <f t="shared" si="115"/>
        <v>0</v>
      </c>
      <c r="AP240" s="392">
        <f t="shared" si="116"/>
        <v>0</v>
      </c>
      <c r="AQ240" s="6190">
        <f t="shared" si="117"/>
        <v>0</v>
      </c>
      <c r="AR240" s="6858" t="str">
        <f t="shared" si="118"/>
        <v/>
      </c>
      <c r="AS240" s="6217"/>
      <c r="AT240" s="6217"/>
      <c r="AU240" s="6271">
        <f t="shared" si="119"/>
        <v>0</v>
      </c>
      <c r="AV240" s="6242">
        <f t="shared" si="120"/>
        <v>0</v>
      </c>
      <c r="AW240" s="6188" cm="1">
        <f t="array" ref="AW240">IF(AK240&lt;&gt;1,0,IF(OR(AU240="",N(AU240)&lt;=0.000000001),"",IF(OR(AO240="",N(AO240)&lt;=0.000000001),0,IF(ISNUMBER(AU240),IFERROR(_xlfn.LET(_xlpm.ai_test,TRIM(AJ240),_xlpm.r,IFERROR(_xlfn.XLOOKUP(_xlpm.ai_test,$BJ$15:$BJ$62,ROW($BJ$15:$BJ$62),0,1),IFERROR(_xlfn.XLOOKUP(_xlpm.ai_test,$BK$15:$BK$62,ROW($BK$15:$BK$62),0,1),_xlfn.XLOOKUP(_xlpm.ai_test,$BL$15:$BL$62,ROW($BL$15:$BL$62),0,1))),_xlpm.p,_xlpm.r-MIN(ROW($BJ$15:$BJ$62))+1,_xlpm.f,INDEX($BM$15:$BM$62,_xlpm.p),_xlpm.u,INDEX($BN$15:$BN$62,_xlpm.p),_xlpm.s,INDEX($BP$15:$BP$62,_xlpm.p),_xlpm.q,N(AU240)/_xlpm.f,IF(_xlpm.q&gt;=_xlpm.s,ROUND(_xlpm.q,1)&amp;" "&amp;_xlpm.ai_test&amp;" = "&amp;ROUND(_xlpm.q*_xlpm.f,1)&amp;" "&amp;_xlpm.u,ROUND(_xlpm.q,1)&amp;" "&amp;_xlpm.ai_test)),""),""))))</f>
        <v>0</v>
      </c>
      <c r="AX240" s="6218"/>
      <c r="AY240" s="6271">
        <f t="shared" si="121"/>
        <v>0</v>
      </c>
      <c r="AZ240" s="6242" t="str">
        <f t="shared" si="122"/>
        <v/>
      </c>
      <c r="BA240" s="6194">
        <f t="shared" si="127"/>
        <v>0</v>
      </c>
      <c r="BB240" s="6192" t="str">
        <f t="shared" si="123"/>
        <v/>
      </c>
      <c r="BC240" s="6219"/>
      <c r="BD240" s="6221">
        <f t="shared" si="128"/>
        <v>0</v>
      </c>
      <c r="BE240" s="6220" t="str">
        <f t="shared" si="124"/>
        <v/>
      </c>
      <c r="BF240" s="4" t="s">
        <v>1</v>
      </c>
      <c r="BG240" s="6196">
        <f t="shared" si="125"/>
        <v>0</v>
      </c>
      <c r="BH240" s="6197">
        <f t="shared" si="126"/>
        <v>0</v>
      </c>
      <c r="BI240"/>
      <c r="BJ240" s="1"/>
      <c r="BK240" s="1"/>
      <c r="BL240" s="1"/>
      <c r="BM240" s="1"/>
      <c r="BN240" s="1"/>
      <c r="BO240" s="1"/>
      <c r="BP240" s="1"/>
      <c r="BQ240" s="1"/>
      <c r="BX240" s="20" t="str">
        <f t="shared" si="107"/>
        <v>►</v>
      </c>
      <c r="CC240"/>
      <c r="CD240" s="2"/>
      <c r="CL240" s="1"/>
      <c r="CT240" s="1"/>
      <c r="DB240" s="1"/>
      <c r="DC240" s="5">
        <v>1</v>
      </c>
    </row>
    <row r="241" spans="1:107" ht="21" customHeight="1">
      <c r="A241" s="5641" t="s">
        <v>1</v>
      </c>
      <c r="B241" s="5662" t="str">
        <f t="shared" si="106"/>
        <v>►</v>
      </c>
      <c r="C241" s="5825" cm="1">
        <f t="array" ref="C241">SUMPRODUCT(LEN(D241:J241))</f>
        <v>0</v>
      </c>
      <c r="D241" s="5275"/>
      <c r="E241" s="1361"/>
      <c r="F241" s="1361"/>
      <c r="G241" s="1361"/>
      <c r="H241" s="1361"/>
      <c r="I241" s="1361"/>
      <c r="J241" s="5276"/>
      <c r="K241" s="106"/>
      <c r="L241" s="1021" t="s">
        <v>26</v>
      </c>
      <c r="M241" s="6787"/>
      <c r="N241" s="6787"/>
      <c r="O241" s="6787"/>
      <c r="P241" s="6788"/>
      <c r="Q241" s="6789"/>
      <c r="R241" s="6790"/>
      <c r="S241" s="6786"/>
      <c r="T241" s="6791"/>
      <c r="U241" s="6844"/>
      <c r="V241" s="6791"/>
      <c r="W241" s="6785"/>
      <c r="X241" s="6868"/>
      <c r="Y241" s="6793"/>
      <c r="Z241" s="6794"/>
      <c r="AA241" s="6795"/>
      <c r="AB241" s="6796"/>
      <c r="AC241" s="6797"/>
      <c r="AD241" s="6798"/>
      <c r="AE241" s="4" t="s">
        <v>1</v>
      </c>
      <c r="AF241" s="6202" t="str">
        <f t="shared" si="108"/>
        <v>►</v>
      </c>
      <c r="AG241" s="6234" t="str">
        <f t="shared" si="109"/>
        <v/>
      </c>
      <c r="AH241" s="6732" t="str">
        <f t="shared" si="110"/>
        <v/>
      </c>
      <c r="AI241" s="6234" t="str">
        <f t="shared" si="111"/>
        <v/>
      </c>
      <c r="AJ241" s="6732" t="str">
        <f t="shared" si="112"/>
        <v/>
      </c>
      <c r="AK241" s="6732">
        <f t="shared" si="113"/>
        <v>0</v>
      </c>
      <c r="AL241" s="6230" t="str" cm="1">
        <f t="array" ref="AL241">IF(AF241&lt;&gt;"A","",IFERROR((IFERROR(_xlfn.XLOOKUP(TRIM(SUBSTITUTE(U241,CHAR(160)," ")),$BJ$15:$BJ$62,$BM$15:$BM$62),IFERROR(_xlfn.XLOOKUP(TRIM(SUBSTITUTE(U241,CHAR(160)," ")),$BK$15:$BK$62,$BM$15:$BM$62),_xlfn.XLOOKUP(TRIM(SUBSTITUTE(U241,CHAR(160)," ")),$BL$15:$BL$62,$BM$15:$BM$62))))*T241*IF(ISBLANK(Q241),1,Q241)+IFERROR(_xlfn.XLOOKUP("RECHERCHEX",TRIM(L241:AD241),L241:AD241),0),0))</f>
        <v/>
      </c>
      <c r="AM241" s="6229">
        <f t="shared" si="114"/>
        <v>0</v>
      </c>
      <c r="AN241" s="6857" t="str">
        <f t="shared" si="129"/>
        <v/>
      </c>
      <c r="AO241" s="392">
        <f t="shared" si="115"/>
        <v>0</v>
      </c>
      <c r="AP241" s="392">
        <f t="shared" si="116"/>
        <v>0</v>
      </c>
      <c r="AQ241" s="6191">
        <f t="shared" si="117"/>
        <v>0</v>
      </c>
      <c r="AR241" s="6859" t="str">
        <f t="shared" si="118"/>
        <v/>
      </c>
      <c r="AS241" s="6217"/>
      <c r="AT241" s="6217"/>
      <c r="AU241" s="6272">
        <f t="shared" si="119"/>
        <v>0</v>
      </c>
      <c r="AV241" s="6240">
        <f t="shared" si="120"/>
        <v>0</v>
      </c>
      <c r="AW241" s="6189" cm="1">
        <f t="array" ref="AW241">IF(AK241&lt;&gt;1,0,IF(OR(AU241="",N(AU241)&lt;=0.000000001),"",IF(OR(AO241="",N(AO241)&lt;=0.000000001),0,IF(ISNUMBER(AU241),IFERROR(_xlfn.LET(_xlpm.ai_test,TRIM(AJ241),_xlpm.r,IFERROR(_xlfn.XLOOKUP(_xlpm.ai_test,$BJ$15:$BJ$62,ROW($BJ$15:$BJ$62),0,1),IFERROR(_xlfn.XLOOKUP(_xlpm.ai_test,$BK$15:$BK$62,ROW($BK$15:$BK$62),0,1),_xlfn.XLOOKUP(_xlpm.ai_test,$BL$15:$BL$62,ROW($BL$15:$BL$62),0,1))),_xlpm.p,_xlpm.r-MIN(ROW($BJ$15:$BJ$62))+1,_xlpm.f,INDEX($BM$15:$BM$62,_xlpm.p),_xlpm.u,INDEX($BN$15:$BN$62,_xlpm.p),_xlpm.s,INDEX($BP$15:$BP$62,_xlpm.p),_xlpm.q,N(AU241)/_xlpm.f,IF(_xlpm.q&gt;=_xlpm.s,ROUND(_xlpm.q,1)&amp;" "&amp;_xlpm.ai_test&amp;" = "&amp;ROUND(_xlpm.q*_xlpm.f,1)&amp;" "&amp;_xlpm.u,ROUND(_xlpm.q,1)&amp;" "&amp;_xlpm.ai_test)),""),""))))</f>
        <v>0</v>
      </c>
      <c r="AX241" s="6218"/>
      <c r="AY241" s="6272">
        <f t="shared" si="121"/>
        <v>0</v>
      </c>
      <c r="AZ241" s="6240" t="str">
        <f t="shared" si="122"/>
        <v/>
      </c>
      <c r="BA241" s="6195">
        <f t="shared" si="127"/>
        <v>0</v>
      </c>
      <c r="BB241" s="6193" t="str">
        <f t="shared" si="123"/>
        <v/>
      </c>
      <c r="BC241" s="6219"/>
      <c r="BD241" s="6222">
        <f t="shared" si="128"/>
        <v>0</v>
      </c>
      <c r="BE241" s="6220" t="str">
        <f t="shared" si="124"/>
        <v/>
      </c>
      <c r="BF241" s="4" t="s">
        <v>1</v>
      </c>
      <c r="BG241" s="6196">
        <f t="shared" si="125"/>
        <v>0</v>
      </c>
      <c r="BH241" s="6197">
        <f t="shared" si="126"/>
        <v>0</v>
      </c>
      <c r="BI241"/>
      <c r="BJ241" s="1"/>
      <c r="BK241" s="1"/>
      <c r="BL241" s="1"/>
      <c r="BM241" s="1"/>
      <c r="BN241" s="1"/>
      <c r="BO241" s="1"/>
      <c r="BP241" s="1"/>
      <c r="BQ241" s="1"/>
      <c r="BX241" s="20" t="str">
        <f t="shared" si="107"/>
        <v>►</v>
      </c>
      <c r="CC241"/>
      <c r="CD241" s="2"/>
      <c r="CL241" s="1"/>
      <c r="CT241" s="1"/>
      <c r="DB241" s="1"/>
      <c r="DC241" s="5">
        <v>1</v>
      </c>
    </row>
    <row r="242" spans="1:107" ht="21" customHeight="1">
      <c r="A242" s="5641" t="s">
        <v>1</v>
      </c>
      <c r="B242" s="5662" t="str">
        <f t="shared" si="106"/>
        <v>►</v>
      </c>
      <c r="C242" s="5825" cm="1">
        <f t="array" ref="C242">SUMPRODUCT(LEN(D242:J242))</f>
        <v>0</v>
      </c>
      <c r="D242" s="5275"/>
      <c r="E242" s="1361"/>
      <c r="F242" s="1361"/>
      <c r="G242" s="1361"/>
      <c r="H242" s="1361"/>
      <c r="I242" s="1361"/>
      <c r="J242" s="5276"/>
      <c r="K242" s="106"/>
      <c r="L242" s="1021" t="s">
        <v>26</v>
      </c>
      <c r="M242" s="6787"/>
      <c r="N242" s="6787"/>
      <c r="O242" s="6787"/>
      <c r="P242" s="6788"/>
      <c r="Q242" s="6789"/>
      <c r="R242" s="6790"/>
      <c r="S242" s="6786"/>
      <c r="T242" s="6791"/>
      <c r="U242" s="6844"/>
      <c r="V242" s="6791"/>
      <c r="W242" s="6785"/>
      <c r="X242" s="6868"/>
      <c r="Y242" s="6793"/>
      <c r="Z242" s="6794"/>
      <c r="AA242" s="6795"/>
      <c r="AB242" s="6796"/>
      <c r="AC242" s="6797"/>
      <c r="AD242" s="6798"/>
      <c r="AE242" s="4" t="s">
        <v>1</v>
      </c>
      <c r="AF242" s="6202" t="str">
        <f t="shared" si="108"/>
        <v>►</v>
      </c>
      <c r="AG242" s="6234" t="str">
        <f t="shared" si="109"/>
        <v/>
      </c>
      <c r="AH242" s="6732" t="str">
        <f t="shared" si="110"/>
        <v/>
      </c>
      <c r="AI242" s="6234" t="str">
        <f t="shared" si="111"/>
        <v/>
      </c>
      <c r="AJ242" s="6732" t="str">
        <f t="shared" si="112"/>
        <v/>
      </c>
      <c r="AK242" s="6732">
        <f t="shared" si="113"/>
        <v>0</v>
      </c>
      <c r="AL242" s="6230" t="str" cm="1">
        <f t="array" ref="AL242">IF(AF242&lt;&gt;"A","",IFERROR((IFERROR(_xlfn.XLOOKUP(TRIM(SUBSTITUTE(U242,CHAR(160)," ")),$BJ$15:$BJ$62,$BM$15:$BM$62),IFERROR(_xlfn.XLOOKUP(TRIM(SUBSTITUTE(U242,CHAR(160)," ")),$BK$15:$BK$62,$BM$15:$BM$62),_xlfn.XLOOKUP(TRIM(SUBSTITUTE(U242,CHAR(160)," ")),$BL$15:$BL$62,$BM$15:$BM$62))))*T242*IF(ISBLANK(Q242),1,Q242)+IFERROR(_xlfn.XLOOKUP("RECHERCHEX",TRIM(L242:AD242),L242:AD242),0),0))</f>
        <v/>
      </c>
      <c r="AM242" s="6229">
        <f t="shared" si="114"/>
        <v>0</v>
      </c>
      <c r="AN242" s="6857" t="str">
        <f t="shared" si="129"/>
        <v/>
      </c>
      <c r="AO242" s="392">
        <f t="shared" si="115"/>
        <v>0</v>
      </c>
      <c r="AP242" s="392">
        <f t="shared" si="116"/>
        <v>0</v>
      </c>
      <c r="AQ242" s="6190">
        <f t="shared" si="117"/>
        <v>0</v>
      </c>
      <c r="AR242" s="6858" t="str">
        <f t="shared" si="118"/>
        <v/>
      </c>
      <c r="AS242" s="6217"/>
      <c r="AT242" s="6217"/>
      <c r="AU242" s="6271">
        <f t="shared" si="119"/>
        <v>0</v>
      </c>
      <c r="AV242" s="6242">
        <f t="shared" si="120"/>
        <v>0</v>
      </c>
      <c r="AW242" s="6188" cm="1">
        <f t="array" ref="AW242">IF(AK242&lt;&gt;1,0,IF(OR(AU242="",N(AU242)&lt;=0.000000001),"",IF(OR(AO242="",N(AO242)&lt;=0.000000001),0,IF(ISNUMBER(AU242),IFERROR(_xlfn.LET(_xlpm.ai_test,TRIM(AJ242),_xlpm.r,IFERROR(_xlfn.XLOOKUP(_xlpm.ai_test,$BJ$15:$BJ$62,ROW($BJ$15:$BJ$62),0,1),IFERROR(_xlfn.XLOOKUP(_xlpm.ai_test,$BK$15:$BK$62,ROW($BK$15:$BK$62),0,1),_xlfn.XLOOKUP(_xlpm.ai_test,$BL$15:$BL$62,ROW($BL$15:$BL$62),0,1))),_xlpm.p,_xlpm.r-MIN(ROW($BJ$15:$BJ$62))+1,_xlpm.f,INDEX($BM$15:$BM$62,_xlpm.p),_xlpm.u,INDEX($BN$15:$BN$62,_xlpm.p),_xlpm.s,INDEX($BP$15:$BP$62,_xlpm.p),_xlpm.q,N(AU242)/_xlpm.f,IF(_xlpm.q&gt;=_xlpm.s,ROUND(_xlpm.q,1)&amp;" "&amp;_xlpm.ai_test&amp;" = "&amp;ROUND(_xlpm.q*_xlpm.f,1)&amp;" "&amp;_xlpm.u,ROUND(_xlpm.q,1)&amp;" "&amp;_xlpm.ai_test)),""),""))))</f>
        <v>0</v>
      </c>
      <c r="AX242" s="6218"/>
      <c r="AY242" s="6271">
        <f t="shared" si="121"/>
        <v>0</v>
      </c>
      <c r="AZ242" s="6242" t="str">
        <f t="shared" si="122"/>
        <v/>
      </c>
      <c r="BA242" s="6194">
        <f t="shared" si="127"/>
        <v>0</v>
      </c>
      <c r="BB242" s="6192" t="str">
        <f t="shared" si="123"/>
        <v/>
      </c>
      <c r="BC242" s="6219"/>
      <c r="BD242" s="6221">
        <f t="shared" si="128"/>
        <v>0</v>
      </c>
      <c r="BE242" s="6220" t="str">
        <f t="shared" si="124"/>
        <v/>
      </c>
      <c r="BF242" s="4" t="s">
        <v>1</v>
      </c>
      <c r="BG242" s="6196">
        <f t="shared" si="125"/>
        <v>0</v>
      </c>
      <c r="BH242" s="6197">
        <f t="shared" si="126"/>
        <v>0</v>
      </c>
      <c r="BI242"/>
      <c r="BJ242" s="1"/>
      <c r="BK242" s="1"/>
      <c r="BL242" s="1"/>
      <c r="BM242" s="1"/>
      <c r="BN242" s="1"/>
      <c r="BO242" s="1"/>
      <c r="BP242" s="1"/>
      <c r="BQ242" s="1"/>
      <c r="BX242" s="20" t="str">
        <f t="shared" si="107"/>
        <v>►</v>
      </c>
      <c r="CC242"/>
      <c r="CD242" s="2"/>
      <c r="CL242" s="1"/>
      <c r="CT242" s="1"/>
      <c r="DB242" s="1"/>
      <c r="DC242" s="5">
        <v>1</v>
      </c>
    </row>
    <row r="243" spans="1:107" ht="21" customHeight="1">
      <c r="A243" s="5641" t="s">
        <v>1</v>
      </c>
      <c r="B243" s="5662" t="str">
        <f t="shared" si="106"/>
        <v>►</v>
      </c>
      <c r="C243" s="5825" cm="1">
        <f t="array" ref="C243">SUMPRODUCT(LEN(D243:J243))</f>
        <v>0</v>
      </c>
      <c r="D243" s="5275"/>
      <c r="E243" s="1361"/>
      <c r="F243" s="1361"/>
      <c r="G243" s="1361"/>
      <c r="H243" s="1361"/>
      <c r="I243" s="1361"/>
      <c r="J243" s="5276"/>
      <c r="K243" s="106"/>
      <c r="L243" s="1021" t="s">
        <v>26</v>
      </c>
      <c r="M243" s="6787"/>
      <c r="N243" s="6787"/>
      <c r="O243" s="6787"/>
      <c r="P243" s="6788"/>
      <c r="Q243" s="6789"/>
      <c r="R243" s="6790"/>
      <c r="S243" s="6786"/>
      <c r="T243" s="6791"/>
      <c r="U243" s="6844"/>
      <c r="V243" s="6791"/>
      <c r="W243" s="6785"/>
      <c r="X243" s="6868"/>
      <c r="Y243" s="6793"/>
      <c r="Z243" s="6794"/>
      <c r="AA243" s="6795"/>
      <c r="AB243" s="6796"/>
      <c r="AC243" s="6797"/>
      <c r="AD243" s="6798"/>
      <c r="AE243" s="4" t="s">
        <v>1</v>
      </c>
      <c r="AF243" s="6202" t="str">
        <f t="shared" si="108"/>
        <v>►</v>
      </c>
      <c r="AG243" s="6234" t="str">
        <f t="shared" si="109"/>
        <v/>
      </c>
      <c r="AH243" s="6732" t="str">
        <f t="shared" si="110"/>
        <v/>
      </c>
      <c r="AI243" s="6234" t="str">
        <f t="shared" si="111"/>
        <v/>
      </c>
      <c r="AJ243" s="6732" t="str">
        <f t="shared" si="112"/>
        <v/>
      </c>
      <c r="AK243" s="6732">
        <f t="shared" si="113"/>
        <v>0</v>
      </c>
      <c r="AL243" s="6230" t="str" cm="1">
        <f t="array" ref="AL243">IF(AF243&lt;&gt;"A","",IFERROR((IFERROR(_xlfn.XLOOKUP(TRIM(SUBSTITUTE(U243,CHAR(160)," ")),$BJ$15:$BJ$62,$BM$15:$BM$62),IFERROR(_xlfn.XLOOKUP(TRIM(SUBSTITUTE(U243,CHAR(160)," ")),$BK$15:$BK$62,$BM$15:$BM$62),_xlfn.XLOOKUP(TRIM(SUBSTITUTE(U243,CHAR(160)," ")),$BL$15:$BL$62,$BM$15:$BM$62))))*T243*IF(ISBLANK(Q243),1,Q243)+IFERROR(_xlfn.XLOOKUP("RECHERCHEX",TRIM(L243:AD243),L243:AD243),0),0))</f>
        <v/>
      </c>
      <c r="AM243" s="6229">
        <f t="shared" si="114"/>
        <v>0</v>
      </c>
      <c r="AN243" s="6857" t="str">
        <f t="shared" si="129"/>
        <v/>
      </c>
      <c r="AO243" s="392">
        <f t="shared" si="115"/>
        <v>0</v>
      </c>
      <c r="AP243" s="392">
        <f t="shared" si="116"/>
        <v>0</v>
      </c>
      <c r="AQ243" s="6191">
        <f t="shared" si="117"/>
        <v>0</v>
      </c>
      <c r="AR243" s="6859" t="str">
        <f t="shared" si="118"/>
        <v/>
      </c>
      <c r="AS243" s="6217"/>
      <c r="AT243" s="6217"/>
      <c r="AU243" s="6272">
        <f t="shared" si="119"/>
        <v>0</v>
      </c>
      <c r="AV243" s="6240">
        <f t="shared" si="120"/>
        <v>0</v>
      </c>
      <c r="AW243" s="6189" cm="1">
        <f t="array" ref="AW243">IF(AK243&lt;&gt;1,0,IF(OR(AU243="",N(AU243)&lt;=0.000000001),"",IF(OR(AO243="",N(AO243)&lt;=0.000000001),0,IF(ISNUMBER(AU243),IFERROR(_xlfn.LET(_xlpm.ai_test,TRIM(AJ243),_xlpm.r,IFERROR(_xlfn.XLOOKUP(_xlpm.ai_test,$BJ$15:$BJ$62,ROW($BJ$15:$BJ$62),0,1),IFERROR(_xlfn.XLOOKUP(_xlpm.ai_test,$BK$15:$BK$62,ROW($BK$15:$BK$62),0,1),_xlfn.XLOOKUP(_xlpm.ai_test,$BL$15:$BL$62,ROW($BL$15:$BL$62),0,1))),_xlpm.p,_xlpm.r-MIN(ROW($BJ$15:$BJ$62))+1,_xlpm.f,INDEX($BM$15:$BM$62,_xlpm.p),_xlpm.u,INDEX($BN$15:$BN$62,_xlpm.p),_xlpm.s,INDEX($BP$15:$BP$62,_xlpm.p),_xlpm.q,N(AU243)/_xlpm.f,IF(_xlpm.q&gt;=_xlpm.s,ROUND(_xlpm.q,1)&amp;" "&amp;_xlpm.ai_test&amp;" = "&amp;ROUND(_xlpm.q*_xlpm.f,1)&amp;" "&amp;_xlpm.u,ROUND(_xlpm.q,1)&amp;" "&amp;_xlpm.ai_test)),""),""))))</f>
        <v>0</v>
      </c>
      <c r="AX243" s="6218"/>
      <c r="AY243" s="6272">
        <f t="shared" si="121"/>
        <v>0</v>
      </c>
      <c r="AZ243" s="6240" t="str">
        <f t="shared" si="122"/>
        <v/>
      </c>
      <c r="BA243" s="6195">
        <f t="shared" si="127"/>
        <v>0</v>
      </c>
      <c r="BB243" s="6193" t="str">
        <f t="shared" si="123"/>
        <v/>
      </c>
      <c r="BC243" s="6219"/>
      <c r="BD243" s="6222">
        <f t="shared" si="128"/>
        <v>0</v>
      </c>
      <c r="BE243" s="6220" t="str">
        <f t="shared" si="124"/>
        <v/>
      </c>
      <c r="BF243" s="4" t="s">
        <v>1</v>
      </c>
      <c r="BG243" s="6196">
        <f t="shared" si="125"/>
        <v>0</v>
      </c>
      <c r="BH243" s="6197">
        <f t="shared" si="126"/>
        <v>0</v>
      </c>
      <c r="BI243"/>
      <c r="BJ243" s="1"/>
      <c r="BK243" s="1"/>
      <c r="BL243" s="1"/>
      <c r="BM243" s="1"/>
      <c r="BN243" s="1"/>
      <c r="BO243" s="1"/>
      <c r="BP243" s="1"/>
      <c r="BQ243" s="1"/>
      <c r="BX243" s="20" t="str">
        <f t="shared" si="107"/>
        <v>►</v>
      </c>
      <c r="CC243"/>
      <c r="CD243" s="2"/>
      <c r="CL243" s="1"/>
      <c r="CT243" s="1"/>
      <c r="DB243" s="1"/>
      <c r="DC243" s="5">
        <v>1</v>
      </c>
    </row>
    <row r="244" spans="1:107" ht="21" customHeight="1">
      <c r="A244" s="5641" t="s">
        <v>1</v>
      </c>
      <c r="B244" s="5662" t="str">
        <f t="shared" si="106"/>
        <v>►</v>
      </c>
      <c r="C244" s="5825" cm="1">
        <f t="array" ref="C244">SUMPRODUCT(LEN(D244:J244))</f>
        <v>0</v>
      </c>
      <c r="D244" s="5275"/>
      <c r="E244" s="1361"/>
      <c r="F244" s="1361"/>
      <c r="G244" s="1361"/>
      <c r="H244" s="1361"/>
      <c r="I244" s="1361"/>
      <c r="J244" s="5276"/>
      <c r="K244" s="106"/>
      <c r="L244" s="1021" t="s">
        <v>26</v>
      </c>
      <c r="M244" s="6787"/>
      <c r="N244" s="6787"/>
      <c r="O244" s="6787"/>
      <c r="P244" s="6788"/>
      <c r="Q244" s="6789"/>
      <c r="R244" s="6790"/>
      <c r="S244" s="6786"/>
      <c r="T244" s="6791"/>
      <c r="U244" s="6844"/>
      <c r="V244" s="6791"/>
      <c r="W244" s="6785"/>
      <c r="X244" s="6868"/>
      <c r="Y244" s="6793"/>
      <c r="Z244" s="6794"/>
      <c r="AA244" s="6795"/>
      <c r="AB244" s="6796"/>
      <c r="AC244" s="6797"/>
      <c r="AD244" s="6798"/>
      <c r="AE244" s="4" t="s">
        <v>1</v>
      </c>
      <c r="AF244" s="6202" t="str">
        <f t="shared" si="108"/>
        <v>►</v>
      </c>
      <c r="AG244" s="6234" t="str">
        <f t="shared" si="109"/>
        <v/>
      </c>
      <c r="AH244" s="6732" t="str">
        <f t="shared" si="110"/>
        <v/>
      </c>
      <c r="AI244" s="6234" t="str">
        <f t="shared" si="111"/>
        <v/>
      </c>
      <c r="AJ244" s="6732" t="str">
        <f t="shared" si="112"/>
        <v/>
      </c>
      <c r="AK244" s="6732">
        <f t="shared" si="113"/>
        <v>0</v>
      </c>
      <c r="AL244" s="6230" t="str" cm="1">
        <f t="array" ref="AL244">IF(AF244&lt;&gt;"A","",IFERROR((IFERROR(_xlfn.XLOOKUP(TRIM(SUBSTITUTE(U244,CHAR(160)," ")),$BJ$15:$BJ$62,$BM$15:$BM$62),IFERROR(_xlfn.XLOOKUP(TRIM(SUBSTITUTE(U244,CHAR(160)," ")),$BK$15:$BK$62,$BM$15:$BM$62),_xlfn.XLOOKUP(TRIM(SUBSTITUTE(U244,CHAR(160)," ")),$BL$15:$BL$62,$BM$15:$BM$62))))*T244*IF(ISBLANK(Q244),1,Q244)+IFERROR(_xlfn.XLOOKUP("RECHERCHEX",TRIM(L244:AD244),L244:AD244),0),0))</f>
        <v/>
      </c>
      <c r="AM244" s="6229">
        <f t="shared" si="114"/>
        <v>0</v>
      </c>
      <c r="AN244" s="6857" t="str">
        <f t="shared" si="129"/>
        <v/>
      </c>
      <c r="AO244" s="392">
        <f t="shared" si="115"/>
        <v>0</v>
      </c>
      <c r="AP244" s="392">
        <f t="shared" si="116"/>
        <v>0</v>
      </c>
      <c r="AQ244" s="6190">
        <f t="shared" si="117"/>
        <v>0</v>
      </c>
      <c r="AR244" s="6858" t="str">
        <f t="shared" si="118"/>
        <v/>
      </c>
      <c r="AS244" s="6217"/>
      <c r="AT244" s="6217"/>
      <c r="AU244" s="6271">
        <f t="shared" si="119"/>
        <v>0</v>
      </c>
      <c r="AV244" s="6242">
        <f t="shared" si="120"/>
        <v>0</v>
      </c>
      <c r="AW244" s="6188" cm="1">
        <f t="array" ref="AW244">IF(AK244&lt;&gt;1,0,IF(OR(AU244="",N(AU244)&lt;=0.000000001),"",IF(OR(AO244="",N(AO244)&lt;=0.000000001),0,IF(ISNUMBER(AU244),IFERROR(_xlfn.LET(_xlpm.ai_test,TRIM(AJ244),_xlpm.r,IFERROR(_xlfn.XLOOKUP(_xlpm.ai_test,$BJ$15:$BJ$62,ROW($BJ$15:$BJ$62),0,1),IFERROR(_xlfn.XLOOKUP(_xlpm.ai_test,$BK$15:$BK$62,ROW($BK$15:$BK$62),0,1),_xlfn.XLOOKUP(_xlpm.ai_test,$BL$15:$BL$62,ROW($BL$15:$BL$62),0,1))),_xlpm.p,_xlpm.r-MIN(ROW($BJ$15:$BJ$62))+1,_xlpm.f,INDEX($BM$15:$BM$62,_xlpm.p),_xlpm.u,INDEX($BN$15:$BN$62,_xlpm.p),_xlpm.s,INDEX($BP$15:$BP$62,_xlpm.p),_xlpm.q,N(AU244)/_xlpm.f,IF(_xlpm.q&gt;=_xlpm.s,ROUND(_xlpm.q,1)&amp;" "&amp;_xlpm.ai_test&amp;" = "&amp;ROUND(_xlpm.q*_xlpm.f,1)&amp;" "&amp;_xlpm.u,ROUND(_xlpm.q,1)&amp;" "&amp;_xlpm.ai_test)),""),""))))</f>
        <v>0</v>
      </c>
      <c r="AX244" s="6218"/>
      <c r="AY244" s="6271">
        <f t="shared" si="121"/>
        <v>0</v>
      </c>
      <c r="AZ244" s="6242" t="str">
        <f t="shared" si="122"/>
        <v/>
      </c>
      <c r="BA244" s="6194">
        <f t="shared" si="127"/>
        <v>0</v>
      </c>
      <c r="BB244" s="6192" t="str">
        <f t="shared" si="123"/>
        <v/>
      </c>
      <c r="BC244" s="6219"/>
      <c r="BD244" s="6221">
        <f t="shared" si="128"/>
        <v>0</v>
      </c>
      <c r="BE244" s="6220" t="str">
        <f t="shared" si="124"/>
        <v/>
      </c>
      <c r="BF244" s="4" t="s">
        <v>1</v>
      </c>
      <c r="BG244" s="6196">
        <f t="shared" si="125"/>
        <v>0</v>
      </c>
      <c r="BH244" s="6197">
        <f t="shared" si="126"/>
        <v>0</v>
      </c>
      <c r="BI244"/>
      <c r="BJ244" s="1"/>
      <c r="BK244" s="1"/>
      <c r="BL244" s="1"/>
      <c r="BM244" s="1"/>
      <c r="BN244" s="1"/>
      <c r="BO244" s="1"/>
      <c r="BP244" s="1"/>
      <c r="BQ244" s="1"/>
      <c r="BX244" s="20" t="str">
        <f t="shared" si="107"/>
        <v>►</v>
      </c>
      <c r="CC244"/>
      <c r="CD244" s="2"/>
      <c r="CL244" s="1"/>
      <c r="CT244" s="1"/>
      <c r="DB244" s="1"/>
      <c r="DC244" s="5">
        <v>1</v>
      </c>
    </row>
    <row r="245" spans="1:107" ht="21" customHeight="1">
      <c r="A245" s="5641" t="s">
        <v>1</v>
      </c>
      <c r="B245" s="5662" t="str">
        <f t="shared" si="106"/>
        <v>►</v>
      </c>
      <c r="C245" s="5825" cm="1">
        <f t="array" ref="C245">SUMPRODUCT(LEN(D245:J245))</f>
        <v>0</v>
      </c>
      <c r="D245" s="5275"/>
      <c r="E245" s="1361"/>
      <c r="F245" s="1361"/>
      <c r="G245" s="1361"/>
      <c r="H245" s="1361"/>
      <c r="I245" s="1361"/>
      <c r="J245" s="5276"/>
      <c r="K245" s="106"/>
      <c r="L245" s="1021" t="s">
        <v>26</v>
      </c>
      <c r="M245" s="6787"/>
      <c r="N245" s="6787"/>
      <c r="O245" s="6787"/>
      <c r="P245" s="6788"/>
      <c r="Q245" s="6789"/>
      <c r="R245" s="6790"/>
      <c r="S245" s="6786"/>
      <c r="T245" s="6791"/>
      <c r="U245" s="6844"/>
      <c r="V245" s="6791"/>
      <c r="W245" s="6785"/>
      <c r="X245" s="6868"/>
      <c r="Y245" s="6793"/>
      <c r="Z245" s="6794"/>
      <c r="AA245" s="6795"/>
      <c r="AB245" s="6796"/>
      <c r="AC245" s="6797"/>
      <c r="AD245" s="6798"/>
      <c r="AE245" s="4" t="s">
        <v>1</v>
      </c>
      <c r="AF245" s="6202" t="str">
        <f t="shared" si="108"/>
        <v>►</v>
      </c>
      <c r="AG245" s="6234" t="str">
        <f t="shared" si="109"/>
        <v/>
      </c>
      <c r="AH245" s="6732" t="str">
        <f t="shared" si="110"/>
        <v/>
      </c>
      <c r="AI245" s="6234" t="str">
        <f t="shared" si="111"/>
        <v/>
      </c>
      <c r="AJ245" s="6732" t="str">
        <f t="shared" si="112"/>
        <v/>
      </c>
      <c r="AK245" s="6732">
        <f t="shared" si="113"/>
        <v>0</v>
      </c>
      <c r="AL245" s="6230" t="str" cm="1">
        <f t="array" ref="AL245">IF(AF245&lt;&gt;"A","",IFERROR((IFERROR(_xlfn.XLOOKUP(TRIM(SUBSTITUTE(U245,CHAR(160)," ")),$BJ$15:$BJ$62,$BM$15:$BM$62),IFERROR(_xlfn.XLOOKUP(TRIM(SUBSTITUTE(U245,CHAR(160)," ")),$BK$15:$BK$62,$BM$15:$BM$62),_xlfn.XLOOKUP(TRIM(SUBSTITUTE(U245,CHAR(160)," ")),$BL$15:$BL$62,$BM$15:$BM$62))))*T245*IF(ISBLANK(Q245),1,Q245)+IFERROR(_xlfn.XLOOKUP("RECHERCHEX",TRIM(L245:AD245),L245:AD245),0),0))</f>
        <v/>
      </c>
      <c r="AM245" s="6229">
        <f t="shared" si="114"/>
        <v>0</v>
      </c>
      <c r="AN245" s="6857" t="str">
        <f t="shared" si="129"/>
        <v/>
      </c>
      <c r="AO245" s="392">
        <f t="shared" si="115"/>
        <v>0</v>
      </c>
      <c r="AP245" s="392">
        <f t="shared" si="116"/>
        <v>0</v>
      </c>
      <c r="AQ245" s="6191">
        <f t="shared" si="117"/>
        <v>0</v>
      </c>
      <c r="AR245" s="6859" t="str">
        <f t="shared" si="118"/>
        <v/>
      </c>
      <c r="AS245" s="6217"/>
      <c r="AT245" s="6217"/>
      <c r="AU245" s="6272">
        <f t="shared" si="119"/>
        <v>0</v>
      </c>
      <c r="AV245" s="6240">
        <f t="shared" si="120"/>
        <v>0</v>
      </c>
      <c r="AW245" s="6189" cm="1">
        <f t="array" ref="AW245">IF(AK245&lt;&gt;1,0,IF(OR(AU245="",N(AU245)&lt;=0.000000001),"",IF(OR(AO245="",N(AO245)&lt;=0.000000001),0,IF(ISNUMBER(AU245),IFERROR(_xlfn.LET(_xlpm.ai_test,TRIM(AJ245),_xlpm.r,IFERROR(_xlfn.XLOOKUP(_xlpm.ai_test,$BJ$15:$BJ$62,ROW($BJ$15:$BJ$62),0,1),IFERROR(_xlfn.XLOOKUP(_xlpm.ai_test,$BK$15:$BK$62,ROW($BK$15:$BK$62),0,1),_xlfn.XLOOKUP(_xlpm.ai_test,$BL$15:$BL$62,ROW($BL$15:$BL$62),0,1))),_xlpm.p,_xlpm.r-MIN(ROW($BJ$15:$BJ$62))+1,_xlpm.f,INDEX($BM$15:$BM$62,_xlpm.p),_xlpm.u,INDEX($BN$15:$BN$62,_xlpm.p),_xlpm.s,INDEX($BP$15:$BP$62,_xlpm.p),_xlpm.q,N(AU245)/_xlpm.f,IF(_xlpm.q&gt;=_xlpm.s,ROUND(_xlpm.q,1)&amp;" "&amp;_xlpm.ai_test&amp;" = "&amp;ROUND(_xlpm.q*_xlpm.f,1)&amp;" "&amp;_xlpm.u,ROUND(_xlpm.q,1)&amp;" "&amp;_xlpm.ai_test)),""),""))))</f>
        <v>0</v>
      </c>
      <c r="AX245" s="6218"/>
      <c r="AY245" s="6272">
        <f t="shared" si="121"/>
        <v>0</v>
      </c>
      <c r="AZ245" s="6240" t="str">
        <f t="shared" si="122"/>
        <v/>
      </c>
      <c r="BA245" s="6195">
        <f t="shared" si="127"/>
        <v>0</v>
      </c>
      <c r="BB245" s="6193" t="str">
        <f t="shared" si="123"/>
        <v/>
      </c>
      <c r="BC245" s="6219"/>
      <c r="BD245" s="6222">
        <f t="shared" si="128"/>
        <v>0</v>
      </c>
      <c r="BE245" s="6220" t="str">
        <f t="shared" si="124"/>
        <v/>
      </c>
      <c r="BF245" s="4" t="s">
        <v>1</v>
      </c>
      <c r="BG245" s="6196">
        <f t="shared" si="125"/>
        <v>0</v>
      </c>
      <c r="BH245" s="6197">
        <f t="shared" si="126"/>
        <v>0</v>
      </c>
      <c r="BI245"/>
      <c r="BJ245" s="1"/>
      <c r="BK245" s="1"/>
      <c r="BL245" s="1"/>
      <c r="BM245" s="1"/>
      <c r="BN245" s="1"/>
      <c r="BO245" s="1"/>
      <c r="BP245" s="1"/>
      <c r="BQ245" s="1"/>
      <c r="BX245" s="20" t="str">
        <f t="shared" si="107"/>
        <v>►</v>
      </c>
      <c r="CC245"/>
      <c r="CD245" s="2"/>
      <c r="CL245" s="1"/>
      <c r="CT245" s="1"/>
      <c r="DB245" s="1"/>
      <c r="DC245" s="5">
        <v>1</v>
      </c>
    </row>
    <row r="246" spans="1:107" ht="21" customHeight="1">
      <c r="A246" s="5641" t="s">
        <v>1</v>
      </c>
      <c r="B246" s="5662" t="str">
        <f t="shared" si="106"/>
        <v>►</v>
      </c>
      <c r="C246" s="5825" cm="1">
        <f t="array" ref="C246">SUMPRODUCT(LEN(D246:J246))</f>
        <v>0</v>
      </c>
      <c r="D246" s="5275"/>
      <c r="E246" s="1361"/>
      <c r="F246" s="1361"/>
      <c r="G246" s="1361"/>
      <c r="H246" s="1361"/>
      <c r="I246" s="1361"/>
      <c r="J246" s="5276"/>
      <c r="K246" s="106"/>
      <c r="L246" s="1021" t="s">
        <v>26</v>
      </c>
      <c r="M246" s="6787"/>
      <c r="N246" s="6787"/>
      <c r="O246" s="6787"/>
      <c r="P246" s="6788"/>
      <c r="Q246" s="6789"/>
      <c r="R246" s="6790"/>
      <c r="S246" s="6786"/>
      <c r="T246" s="6791"/>
      <c r="U246" s="6844"/>
      <c r="V246" s="6791"/>
      <c r="W246" s="6785"/>
      <c r="X246" s="6868"/>
      <c r="Y246" s="6793"/>
      <c r="Z246" s="6794"/>
      <c r="AA246" s="6795"/>
      <c r="AB246" s="6796"/>
      <c r="AC246" s="6797"/>
      <c r="AD246" s="6798"/>
      <c r="AE246" s="4" t="s">
        <v>1</v>
      </c>
      <c r="AF246" s="6202" t="str">
        <f t="shared" si="108"/>
        <v>►</v>
      </c>
      <c r="AG246" s="6234" t="str">
        <f t="shared" si="109"/>
        <v/>
      </c>
      <c r="AH246" s="6732" t="str">
        <f t="shared" si="110"/>
        <v/>
      </c>
      <c r="AI246" s="6234" t="str">
        <f t="shared" si="111"/>
        <v/>
      </c>
      <c r="AJ246" s="6732" t="str">
        <f t="shared" si="112"/>
        <v/>
      </c>
      <c r="AK246" s="6732">
        <f t="shared" si="113"/>
        <v>0</v>
      </c>
      <c r="AL246" s="6230" t="str" cm="1">
        <f t="array" ref="AL246">IF(AF246&lt;&gt;"A","",IFERROR((IFERROR(_xlfn.XLOOKUP(TRIM(SUBSTITUTE(U246,CHAR(160)," ")),$BJ$15:$BJ$62,$BM$15:$BM$62),IFERROR(_xlfn.XLOOKUP(TRIM(SUBSTITUTE(U246,CHAR(160)," ")),$BK$15:$BK$62,$BM$15:$BM$62),_xlfn.XLOOKUP(TRIM(SUBSTITUTE(U246,CHAR(160)," ")),$BL$15:$BL$62,$BM$15:$BM$62))))*T246*IF(ISBLANK(Q246),1,Q246)+IFERROR(_xlfn.XLOOKUP("RECHERCHEX",TRIM(L246:AD246),L246:AD246),0),0))</f>
        <v/>
      </c>
      <c r="AM246" s="6229">
        <f t="shared" si="114"/>
        <v>0</v>
      </c>
      <c r="AN246" s="6857" t="str">
        <f t="shared" si="129"/>
        <v/>
      </c>
      <c r="AO246" s="392">
        <f t="shared" si="115"/>
        <v>0</v>
      </c>
      <c r="AP246" s="392">
        <f t="shared" si="116"/>
        <v>0</v>
      </c>
      <c r="AQ246" s="6190">
        <f t="shared" si="117"/>
        <v>0</v>
      </c>
      <c r="AR246" s="6858" t="str">
        <f t="shared" si="118"/>
        <v/>
      </c>
      <c r="AS246" s="6217"/>
      <c r="AT246" s="6217"/>
      <c r="AU246" s="6271">
        <f t="shared" si="119"/>
        <v>0</v>
      </c>
      <c r="AV246" s="6242">
        <f t="shared" si="120"/>
        <v>0</v>
      </c>
      <c r="AW246" s="6188" cm="1">
        <f t="array" ref="AW246">IF(AK246&lt;&gt;1,0,IF(OR(AU246="",N(AU246)&lt;=0.000000001),"",IF(OR(AO246="",N(AO246)&lt;=0.000000001),0,IF(ISNUMBER(AU246),IFERROR(_xlfn.LET(_xlpm.ai_test,TRIM(AJ246),_xlpm.r,IFERROR(_xlfn.XLOOKUP(_xlpm.ai_test,$BJ$15:$BJ$62,ROW($BJ$15:$BJ$62),0,1),IFERROR(_xlfn.XLOOKUP(_xlpm.ai_test,$BK$15:$BK$62,ROW($BK$15:$BK$62),0,1),_xlfn.XLOOKUP(_xlpm.ai_test,$BL$15:$BL$62,ROW($BL$15:$BL$62),0,1))),_xlpm.p,_xlpm.r-MIN(ROW($BJ$15:$BJ$62))+1,_xlpm.f,INDEX($BM$15:$BM$62,_xlpm.p),_xlpm.u,INDEX($BN$15:$BN$62,_xlpm.p),_xlpm.s,INDEX($BP$15:$BP$62,_xlpm.p),_xlpm.q,N(AU246)/_xlpm.f,IF(_xlpm.q&gt;=_xlpm.s,ROUND(_xlpm.q,1)&amp;" "&amp;_xlpm.ai_test&amp;" = "&amp;ROUND(_xlpm.q*_xlpm.f,1)&amp;" "&amp;_xlpm.u,ROUND(_xlpm.q,1)&amp;" "&amp;_xlpm.ai_test)),""),""))))</f>
        <v>0</v>
      </c>
      <c r="AX246" s="6218"/>
      <c r="AY246" s="6271">
        <f t="shared" si="121"/>
        <v>0</v>
      </c>
      <c r="AZ246" s="6242" t="str">
        <f t="shared" si="122"/>
        <v/>
      </c>
      <c r="BA246" s="6194">
        <f t="shared" si="127"/>
        <v>0</v>
      </c>
      <c r="BB246" s="6192" t="str">
        <f t="shared" si="123"/>
        <v/>
      </c>
      <c r="BC246" s="6219"/>
      <c r="BD246" s="6221">
        <f t="shared" si="128"/>
        <v>0</v>
      </c>
      <c r="BE246" s="6220" t="str">
        <f t="shared" si="124"/>
        <v/>
      </c>
      <c r="BF246" s="4" t="s">
        <v>1</v>
      </c>
      <c r="BG246" s="6196">
        <f t="shared" si="125"/>
        <v>0</v>
      </c>
      <c r="BH246" s="6197">
        <f t="shared" si="126"/>
        <v>0</v>
      </c>
      <c r="BI246"/>
      <c r="BJ246" s="1"/>
      <c r="BK246" s="1"/>
      <c r="BL246" s="1"/>
      <c r="BM246" s="1"/>
      <c r="BN246" s="1"/>
      <c r="BO246" s="1"/>
      <c r="BP246" s="1"/>
      <c r="BQ246" s="1"/>
      <c r="BX246" s="20" t="str">
        <f t="shared" si="107"/>
        <v>►</v>
      </c>
      <c r="CC246"/>
      <c r="CD246" s="2"/>
      <c r="CL246" s="1"/>
      <c r="CT246" s="1"/>
      <c r="DB246" s="1"/>
      <c r="DC246" s="5">
        <v>1</v>
      </c>
    </row>
    <row r="247" spans="1:107" ht="21" customHeight="1">
      <c r="A247" s="5641" t="s">
        <v>1</v>
      </c>
      <c r="B247" s="5662" t="str">
        <f t="shared" si="106"/>
        <v>►</v>
      </c>
      <c r="C247" s="5825" cm="1">
        <f t="array" ref="C247">SUMPRODUCT(LEN(D247:J247))</f>
        <v>0</v>
      </c>
      <c r="D247" s="5275"/>
      <c r="E247" s="1361"/>
      <c r="F247" s="1361"/>
      <c r="G247" s="1361"/>
      <c r="H247" s="1361"/>
      <c r="I247" s="1361"/>
      <c r="J247" s="5276"/>
      <c r="K247" s="106"/>
      <c r="L247" s="1021" t="s">
        <v>26</v>
      </c>
      <c r="M247" s="6787"/>
      <c r="N247" s="6787"/>
      <c r="O247" s="6787"/>
      <c r="P247" s="6788"/>
      <c r="Q247" s="6789"/>
      <c r="R247" s="6790"/>
      <c r="S247" s="6786"/>
      <c r="T247" s="6791"/>
      <c r="U247" s="6844"/>
      <c r="V247" s="6791"/>
      <c r="W247" s="6785"/>
      <c r="X247" s="6868"/>
      <c r="Y247" s="6793"/>
      <c r="Z247" s="6794"/>
      <c r="AA247" s="6795"/>
      <c r="AB247" s="6796"/>
      <c r="AC247" s="6797"/>
      <c r="AD247" s="6798"/>
      <c r="AE247" s="4" t="s">
        <v>1</v>
      </c>
      <c r="AF247" s="6202" t="str">
        <f t="shared" si="108"/>
        <v>►</v>
      </c>
      <c r="AG247" s="6234" t="str">
        <f t="shared" si="109"/>
        <v/>
      </c>
      <c r="AH247" s="6732" t="str">
        <f t="shared" si="110"/>
        <v/>
      </c>
      <c r="AI247" s="6234" t="str">
        <f t="shared" si="111"/>
        <v/>
      </c>
      <c r="AJ247" s="6732" t="str">
        <f t="shared" si="112"/>
        <v/>
      </c>
      <c r="AK247" s="6732">
        <f t="shared" si="113"/>
        <v>0</v>
      </c>
      <c r="AL247" s="6230" t="str" cm="1">
        <f t="array" ref="AL247">IF(AF247&lt;&gt;"A","",IFERROR((IFERROR(_xlfn.XLOOKUP(TRIM(SUBSTITUTE(U247,CHAR(160)," ")),$BJ$15:$BJ$62,$BM$15:$BM$62),IFERROR(_xlfn.XLOOKUP(TRIM(SUBSTITUTE(U247,CHAR(160)," ")),$BK$15:$BK$62,$BM$15:$BM$62),_xlfn.XLOOKUP(TRIM(SUBSTITUTE(U247,CHAR(160)," ")),$BL$15:$BL$62,$BM$15:$BM$62))))*T247*IF(ISBLANK(Q247),1,Q247)+IFERROR(_xlfn.XLOOKUP("RECHERCHEX",TRIM(L247:AD247),L247:AD247),0),0))</f>
        <v/>
      </c>
      <c r="AM247" s="6229">
        <f t="shared" si="114"/>
        <v>0</v>
      </c>
      <c r="AN247" s="6857" t="str">
        <f t="shared" si="129"/>
        <v/>
      </c>
      <c r="AO247" s="392">
        <f t="shared" si="115"/>
        <v>0</v>
      </c>
      <c r="AP247" s="392">
        <f t="shared" si="116"/>
        <v>0</v>
      </c>
      <c r="AQ247" s="6191">
        <f t="shared" si="117"/>
        <v>0</v>
      </c>
      <c r="AR247" s="6859" t="str">
        <f t="shared" si="118"/>
        <v/>
      </c>
      <c r="AS247" s="6217"/>
      <c r="AT247" s="6217"/>
      <c r="AU247" s="6272">
        <f t="shared" si="119"/>
        <v>0</v>
      </c>
      <c r="AV247" s="6240">
        <f t="shared" si="120"/>
        <v>0</v>
      </c>
      <c r="AW247" s="6189" cm="1">
        <f t="array" ref="AW247">IF(AK247&lt;&gt;1,0,IF(OR(AU247="",N(AU247)&lt;=0.000000001),"",IF(OR(AO247="",N(AO247)&lt;=0.000000001),0,IF(ISNUMBER(AU247),IFERROR(_xlfn.LET(_xlpm.ai_test,TRIM(AJ247),_xlpm.r,IFERROR(_xlfn.XLOOKUP(_xlpm.ai_test,$BJ$15:$BJ$62,ROW($BJ$15:$BJ$62),0,1),IFERROR(_xlfn.XLOOKUP(_xlpm.ai_test,$BK$15:$BK$62,ROW($BK$15:$BK$62),0,1),_xlfn.XLOOKUP(_xlpm.ai_test,$BL$15:$BL$62,ROW($BL$15:$BL$62),0,1))),_xlpm.p,_xlpm.r-MIN(ROW($BJ$15:$BJ$62))+1,_xlpm.f,INDEX($BM$15:$BM$62,_xlpm.p),_xlpm.u,INDEX($BN$15:$BN$62,_xlpm.p),_xlpm.s,INDEX($BP$15:$BP$62,_xlpm.p),_xlpm.q,N(AU247)/_xlpm.f,IF(_xlpm.q&gt;=_xlpm.s,ROUND(_xlpm.q,1)&amp;" "&amp;_xlpm.ai_test&amp;" = "&amp;ROUND(_xlpm.q*_xlpm.f,1)&amp;" "&amp;_xlpm.u,ROUND(_xlpm.q,1)&amp;" "&amp;_xlpm.ai_test)),""),""))))</f>
        <v>0</v>
      </c>
      <c r="AX247" s="6218"/>
      <c r="AY247" s="6272">
        <f t="shared" si="121"/>
        <v>0</v>
      </c>
      <c r="AZ247" s="6240" t="str">
        <f t="shared" si="122"/>
        <v/>
      </c>
      <c r="BA247" s="6195">
        <f t="shared" si="127"/>
        <v>0</v>
      </c>
      <c r="BB247" s="6193" t="str">
        <f t="shared" si="123"/>
        <v/>
      </c>
      <c r="BC247" s="6219"/>
      <c r="BD247" s="6222">
        <f t="shared" si="128"/>
        <v>0</v>
      </c>
      <c r="BE247" s="6220" t="str">
        <f t="shared" si="124"/>
        <v/>
      </c>
      <c r="BF247" s="4" t="s">
        <v>1</v>
      </c>
      <c r="BG247" s="6196">
        <f t="shared" si="125"/>
        <v>0</v>
      </c>
      <c r="BH247" s="6197">
        <f t="shared" si="126"/>
        <v>0</v>
      </c>
      <c r="BI247"/>
      <c r="BJ247" s="1"/>
      <c r="BK247" s="1"/>
      <c r="BL247" s="1"/>
      <c r="BM247" s="1"/>
      <c r="BN247" s="1"/>
      <c r="BO247" s="1"/>
      <c r="BP247" s="1"/>
      <c r="BQ247" s="1"/>
      <c r="BX247" s="20" t="str">
        <f t="shared" si="107"/>
        <v>►</v>
      </c>
      <c r="CC247"/>
      <c r="CD247" s="2"/>
      <c r="CL247" s="1"/>
      <c r="CT247" s="1"/>
      <c r="DB247" s="1"/>
      <c r="DC247" s="5">
        <v>1</v>
      </c>
    </row>
    <row r="248" spans="1:107" ht="21" customHeight="1">
      <c r="A248" s="5641" t="s">
        <v>1</v>
      </c>
      <c r="B248" s="5662" t="str">
        <f t="shared" si="106"/>
        <v>►</v>
      </c>
      <c r="C248" s="5825" cm="1">
        <f t="array" ref="C248">SUMPRODUCT(LEN(D248:J248))</f>
        <v>0</v>
      </c>
      <c r="D248" s="5275"/>
      <c r="E248" s="1361"/>
      <c r="F248" s="1361"/>
      <c r="G248" s="1361"/>
      <c r="H248" s="1361"/>
      <c r="I248" s="1361"/>
      <c r="J248" s="5276"/>
      <c r="K248" s="106"/>
      <c r="L248" s="1021" t="s">
        <v>26</v>
      </c>
      <c r="M248" s="6787"/>
      <c r="N248" s="6787"/>
      <c r="O248" s="6787"/>
      <c r="P248" s="6788"/>
      <c r="Q248" s="6789"/>
      <c r="R248" s="6790"/>
      <c r="S248" s="6786"/>
      <c r="T248" s="6791"/>
      <c r="U248" s="6844"/>
      <c r="V248" s="6791"/>
      <c r="W248" s="6785"/>
      <c r="X248" s="6868"/>
      <c r="Y248" s="6793"/>
      <c r="Z248" s="6794"/>
      <c r="AA248" s="6795"/>
      <c r="AB248" s="6796"/>
      <c r="AC248" s="6797"/>
      <c r="AD248" s="6798"/>
      <c r="AE248" s="4" t="s">
        <v>1</v>
      </c>
      <c r="AF248" s="6202" t="str">
        <f t="shared" si="108"/>
        <v>►</v>
      </c>
      <c r="AG248" s="6234" t="str">
        <f t="shared" si="109"/>
        <v/>
      </c>
      <c r="AH248" s="6732" t="str">
        <f t="shared" si="110"/>
        <v/>
      </c>
      <c r="AI248" s="6234" t="str">
        <f t="shared" si="111"/>
        <v/>
      </c>
      <c r="AJ248" s="6732" t="str">
        <f t="shared" si="112"/>
        <v/>
      </c>
      <c r="AK248" s="6732">
        <f t="shared" si="113"/>
        <v>0</v>
      </c>
      <c r="AL248" s="6230" t="str" cm="1">
        <f t="array" ref="AL248">IF(AF248&lt;&gt;"A","",IFERROR((IFERROR(_xlfn.XLOOKUP(TRIM(SUBSTITUTE(U248,CHAR(160)," ")),$BJ$15:$BJ$62,$BM$15:$BM$62),IFERROR(_xlfn.XLOOKUP(TRIM(SUBSTITUTE(U248,CHAR(160)," ")),$BK$15:$BK$62,$BM$15:$BM$62),_xlfn.XLOOKUP(TRIM(SUBSTITUTE(U248,CHAR(160)," ")),$BL$15:$BL$62,$BM$15:$BM$62))))*T248*IF(ISBLANK(Q248),1,Q248)+IFERROR(_xlfn.XLOOKUP("RECHERCHEX",TRIM(L248:AD248),L248:AD248),0),0))</f>
        <v/>
      </c>
      <c r="AM248" s="6229">
        <f t="shared" si="114"/>
        <v>0</v>
      </c>
      <c r="AN248" s="6857" t="str">
        <f t="shared" si="129"/>
        <v/>
      </c>
      <c r="AO248" s="392">
        <f t="shared" si="115"/>
        <v>0</v>
      </c>
      <c r="AP248" s="392">
        <f t="shared" si="116"/>
        <v>0</v>
      </c>
      <c r="AQ248" s="6190">
        <f t="shared" si="117"/>
        <v>0</v>
      </c>
      <c r="AR248" s="6858" t="str">
        <f t="shared" si="118"/>
        <v/>
      </c>
      <c r="AS248" s="6217"/>
      <c r="AT248" s="6217"/>
      <c r="AU248" s="6271">
        <f t="shared" si="119"/>
        <v>0</v>
      </c>
      <c r="AV248" s="6242">
        <f t="shared" si="120"/>
        <v>0</v>
      </c>
      <c r="AW248" s="6188" cm="1">
        <f t="array" ref="AW248">IF(AK248&lt;&gt;1,0,IF(OR(AU248="",N(AU248)&lt;=0.000000001),"",IF(OR(AO248="",N(AO248)&lt;=0.000000001),0,IF(ISNUMBER(AU248),IFERROR(_xlfn.LET(_xlpm.ai_test,TRIM(AJ248),_xlpm.r,IFERROR(_xlfn.XLOOKUP(_xlpm.ai_test,$BJ$15:$BJ$62,ROW($BJ$15:$BJ$62),0,1),IFERROR(_xlfn.XLOOKUP(_xlpm.ai_test,$BK$15:$BK$62,ROW($BK$15:$BK$62),0,1),_xlfn.XLOOKUP(_xlpm.ai_test,$BL$15:$BL$62,ROW($BL$15:$BL$62),0,1))),_xlpm.p,_xlpm.r-MIN(ROW($BJ$15:$BJ$62))+1,_xlpm.f,INDEX($BM$15:$BM$62,_xlpm.p),_xlpm.u,INDEX($BN$15:$BN$62,_xlpm.p),_xlpm.s,INDEX($BP$15:$BP$62,_xlpm.p),_xlpm.q,N(AU248)/_xlpm.f,IF(_xlpm.q&gt;=_xlpm.s,ROUND(_xlpm.q,1)&amp;" "&amp;_xlpm.ai_test&amp;" = "&amp;ROUND(_xlpm.q*_xlpm.f,1)&amp;" "&amp;_xlpm.u,ROUND(_xlpm.q,1)&amp;" "&amp;_xlpm.ai_test)),""),""))))</f>
        <v>0</v>
      </c>
      <c r="AX248" s="6218"/>
      <c r="AY248" s="6271">
        <f t="shared" si="121"/>
        <v>0</v>
      </c>
      <c r="AZ248" s="6242" t="str">
        <f t="shared" si="122"/>
        <v/>
      </c>
      <c r="BA248" s="6194">
        <f t="shared" si="127"/>
        <v>0</v>
      </c>
      <c r="BB248" s="6192" t="str">
        <f t="shared" si="123"/>
        <v/>
      </c>
      <c r="BC248" s="6219"/>
      <c r="BD248" s="6221">
        <f t="shared" si="128"/>
        <v>0</v>
      </c>
      <c r="BE248" s="6220" t="str">
        <f t="shared" si="124"/>
        <v/>
      </c>
      <c r="BF248" s="4" t="s">
        <v>1</v>
      </c>
      <c r="BG248" s="6196">
        <f t="shared" si="125"/>
        <v>0</v>
      </c>
      <c r="BH248" s="6197">
        <f t="shared" si="126"/>
        <v>0</v>
      </c>
      <c r="BI248"/>
      <c r="BJ248" s="1"/>
      <c r="BK248" s="1"/>
      <c r="BL248" s="1"/>
      <c r="BM248" s="1"/>
      <c r="BN248" s="1"/>
      <c r="BO248" s="1"/>
      <c r="BP248" s="1"/>
      <c r="BQ248" s="1"/>
      <c r="BX248" s="20" t="str">
        <f t="shared" si="107"/>
        <v>►</v>
      </c>
      <c r="CC248"/>
      <c r="CD248" s="2"/>
      <c r="CL248" s="1"/>
      <c r="CT248" s="1"/>
      <c r="DB248" s="1"/>
      <c r="DC248" s="5">
        <v>1</v>
      </c>
    </row>
    <row r="249" spans="1:107" ht="21" customHeight="1">
      <c r="A249" s="5641" t="s">
        <v>1</v>
      </c>
      <c r="B249" s="5662" t="str">
        <f t="shared" si="106"/>
        <v>►</v>
      </c>
      <c r="C249" s="5825" cm="1">
        <f t="array" ref="C249">SUMPRODUCT(LEN(D249:J249))</f>
        <v>0</v>
      </c>
      <c r="D249" s="5275"/>
      <c r="E249" s="1361"/>
      <c r="F249" s="1361"/>
      <c r="G249" s="1361"/>
      <c r="H249" s="1361"/>
      <c r="I249" s="1361"/>
      <c r="J249" s="5276"/>
      <c r="K249" s="106"/>
      <c r="L249" s="1021" t="s">
        <v>26</v>
      </c>
      <c r="M249" s="6787"/>
      <c r="N249" s="6787"/>
      <c r="O249" s="6787"/>
      <c r="P249" s="6788"/>
      <c r="Q249" s="6789"/>
      <c r="R249" s="6790"/>
      <c r="S249" s="6786"/>
      <c r="T249" s="6791"/>
      <c r="U249" s="6844"/>
      <c r="V249" s="6791"/>
      <c r="W249" s="6785"/>
      <c r="X249" s="6868"/>
      <c r="Y249" s="6793"/>
      <c r="Z249" s="6794"/>
      <c r="AA249" s="6795"/>
      <c r="AB249" s="6796"/>
      <c r="AC249" s="6797"/>
      <c r="AD249" s="6798"/>
      <c r="AE249" s="4" t="s">
        <v>1</v>
      </c>
      <c r="AF249" s="6202" t="str">
        <f t="shared" si="108"/>
        <v>►</v>
      </c>
      <c r="AG249" s="6234" t="str">
        <f t="shared" si="109"/>
        <v/>
      </c>
      <c r="AH249" s="6732" t="str">
        <f t="shared" si="110"/>
        <v/>
      </c>
      <c r="AI249" s="6234" t="str">
        <f t="shared" si="111"/>
        <v/>
      </c>
      <c r="AJ249" s="6732" t="str">
        <f t="shared" si="112"/>
        <v/>
      </c>
      <c r="AK249" s="6732">
        <f t="shared" si="113"/>
        <v>0</v>
      </c>
      <c r="AL249" s="6230" t="str" cm="1">
        <f t="array" ref="AL249">IF(AF249&lt;&gt;"A","",IFERROR((IFERROR(_xlfn.XLOOKUP(TRIM(SUBSTITUTE(U249,CHAR(160)," ")),$BJ$15:$BJ$62,$BM$15:$BM$62),IFERROR(_xlfn.XLOOKUP(TRIM(SUBSTITUTE(U249,CHAR(160)," ")),$BK$15:$BK$62,$BM$15:$BM$62),_xlfn.XLOOKUP(TRIM(SUBSTITUTE(U249,CHAR(160)," ")),$BL$15:$BL$62,$BM$15:$BM$62))))*T249*IF(ISBLANK(Q249),1,Q249)+IFERROR(_xlfn.XLOOKUP("RECHERCHEX",TRIM(L249:AD249),L249:AD249),0),0))</f>
        <v/>
      </c>
      <c r="AM249" s="6229">
        <f t="shared" si="114"/>
        <v>0</v>
      </c>
      <c r="AN249" s="6857" t="str">
        <f t="shared" si="129"/>
        <v/>
      </c>
      <c r="AO249" s="392">
        <f t="shared" si="115"/>
        <v>0</v>
      </c>
      <c r="AP249" s="392">
        <f t="shared" si="116"/>
        <v>0</v>
      </c>
      <c r="AQ249" s="6191">
        <f t="shared" si="117"/>
        <v>0</v>
      </c>
      <c r="AR249" s="6859" t="str">
        <f t="shared" si="118"/>
        <v/>
      </c>
      <c r="AS249" s="6217"/>
      <c r="AT249" s="6217"/>
      <c r="AU249" s="6272">
        <f t="shared" si="119"/>
        <v>0</v>
      </c>
      <c r="AV249" s="6240">
        <f t="shared" si="120"/>
        <v>0</v>
      </c>
      <c r="AW249" s="6189" cm="1">
        <f t="array" ref="AW249">IF(AK249&lt;&gt;1,0,IF(OR(AU249="",N(AU249)&lt;=0.000000001),"",IF(OR(AO249="",N(AO249)&lt;=0.000000001),0,IF(ISNUMBER(AU249),IFERROR(_xlfn.LET(_xlpm.ai_test,TRIM(AJ249),_xlpm.r,IFERROR(_xlfn.XLOOKUP(_xlpm.ai_test,$BJ$15:$BJ$62,ROW($BJ$15:$BJ$62),0,1),IFERROR(_xlfn.XLOOKUP(_xlpm.ai_test,$BK$15:$BK$62,ROW($BK$15:$BK$62),0,1),_xlfn.XLOOKUP(_xlpm.ai_test,$BL$15:$BL$62,ROW($BL$15:$BL$62),0,1))),_xlpm.p,_xlpm.r-MIN(ROW($BJ$15:$BJ$62))+1,_xlpm.f,INDEX($BM$15:$BM$62,_xlpm.p),_xlpm.u,INDEX($BN$15:$BN$62,_xlpm.p),_xlpm.s,INDEX($BP$15:$BP$62,_xlpm.p),_xlpm.q,N(AU249)/_xlpm.f,IF(_xlpm.q&gt;=_xlpm.s,ROUND(_xlpm.q,1)&amp;" "&amp;_xlpm.ai_test&amp;" = "&amp;ROUND(_xlpm.q*_xlpm.f,1)&amp;" "&amp;_xlpm.u,ROUND(_xlpm.q,1)&amp;" "&amp;_xlpm.ai_test)),""),""))))</f>
        <v>0</v>
      </c>
      <c r="AX249" s="6218"/>
      <c r="AY249" s="6272">
        <f t="shared" si="121"/>
        <v>0</v>
      </c>
      <c r="AZ249" s="6240" t="str">
        <f t="shared" si="122"/>
        <v/>
      </c>
      <c r="BA249" s="6195">
        <f t="shared" si="127"/>
        <v>0</v>
      </c>
      <c r="BB249" s="6193" t="str">
        <f t="shared" si="123"/>
        <v/>
      </c>
      <c r="BC249" s="6219"/>
      <c r="BD249" s="6222">
        <f t="shared" si="128"/>
        <v>0</v>
      </c>
      <c r="BE249" s="6220" t="str">
        <f t="shared" si="124"/>
        <v/>
      </c>
      <c r="BF249" s="4" t="s">
        <v>1</v>
      </c>
      <c r="BG249" s="6196">
        <f t="shared" si="125"/>
        <v>0</v>
      </c>
      <c r="BH249" s="6197">
        <f t="shared" si="126"/>
        <v>0</v>
      </c>
      <c r="BI249"/>
      <c r="BJ249" s="1"/>
      <c r="BK249" s="1"/>
      <c r="BL249" s="1"/>
      <c r="BM249" s="1"/>
      <c r="BN249" s="1"/>
      <c r="BO249" s="1"/>
      <c r="BP249" s="1"/>
      <c r="BQ249" s="1"/>
      <c r="BX249" s="20" t="str">
        <f t="shared" si="107"/>
        <v>►</v>
      </c>
      <c r="CC249"/>
      <c r="CD249" s="2"/>
      <c r="CL249" s="1"/>
      <c r="CT249" s="1"/>
      <c r="DB249" s="1"/>
      <c r="DC249" s="5">
        <v>1</v>
      </c>
    </row>
    <row r="250" spans="1:107" ht="21" customHeight="1">
      <c r="A250" s="5641" t="s">
        <v>1</v>
      </c>
      <c r="B250" s="5662" t="str">
        <f t="shared" si="106"/>
        <v>►</v>
      </c>
      <c r="C250" s="5825" cm="1">
        <f t="array" ref="C250">SUMPRODUCT(LEN(D250:J250))</f>
        <v>0</v>
      </c>
      <c r="D250" s="5275"/>
      <c r="E250" s="1361"/>
      <c r="F250" s="1361"/>
      <c r="G250" s="1361"/>
      <c r="H250" s="1361"/>
      <c r="I250" s="1361"/>
      <c r="J250" s="5276"/>
      <c r="K250" s="106"/>
      <c r="L250" s="1021" t="s">
        <v>26</v>
      </c>
      <c r="M250" s="6787"/>
      <c r="N250" s="6787"/>
      <c r="O250" s="6787"/>
      <c r="P250" s="6788"/>
      <c r="Q250" s="6789"/>
      <c r="R250" s="6790"/>
      <c r="S250" s="6786"/>
      <c r="T250" s="6791"/>
      <c r="U250" s="6844"/>
      <c r="V250" s="6791"/>
      <c r="W250" s="6785"/>
      <c r="X250" s="6868"/>
      <c r="Y250" s="6793"/>
      <c r="Z250" s="6794"/>
      <c r="AA250" s="6795"/>
      <c r="AB250" s="6796"/>
      <c r="AC250" s="6797"/>
      <c r="AD250" s="6798"/>
      <c r="AE250" s="4" t="s">
        <v>1</v>
      </c>
      <c r="AF250" s="6202" t="str">
        <f t="shared" si="108"/>
        <v>►</v>
      </c>
      <c r="AG250" s="6234" t="str">
        <f t="shared" si="109"/>
        <v/>
      </c>
      <c r="AH250" s="6732" t="str">
        <f t="shared" si="110"/>
        <v/>
      </c>
      <c r="AI250" s="6234" t="str">
        <f t="shared" si="111"/>
        <v/>
      </c>
      <c r="AJ250" s="6732" t="str">
        <f t="shared" si="112"/>
        <v/>
      </c>
      <c r="AK250" s="6732">
        <f t="shared" si="113"/>
        <v>0</v>
      </c>
      <c r="AL250" s="6230" t="str" cm="1">
        <f t="array" ref="AL250">IF(AF250&lt;&gt;"A","",IFERROR((IFERROR(_xlfn.XLOOKUP(TRIM(SUBSTITUTE(U250,CHAR(160)," ")),$BJ$15:$BJ$62,$BM$15:$BM$62),IFERROR(_xlfn.XLOOKUP(TRIM(SUBSTITUTE(U250,CHAR(160)," ")),$BK$15:$BK$62,$BM$15:$BM$62),_xlfn.XLOOKUP(TRIM(SUBSTITUTE(U250,CHAR(160)," ")),$BL$15:$BL$62,$BM$15:$BM$62))))*T250*IF(ISBLANK(Q250),1,Q250)+IFERROR(_xlfn.XLOOKUP("RECHERCHEX",TRIM(L250:AD250),L250:AD250),0),0))</f>
        <v/>
      </c>
      <c r="AM250" s="6229">
        <f t="shared" si="114"/>
        <v>0</v>
      </c>
      <c r="AN250" s="6857" t="str">
        <f t="shared" si="129"/>
        <v/>
      </c>
      <c r="AO250" s="392">
        <f t="shared" si="115"/>
        <v>0</v>
      </c>
      <c r="AP250" s="392">
        <f t="shared" si="116"/>
        <v>0</v>
      </c>
      <c r="AQ250" s="6190">
        <f t="shared" si="117"/>
        <v>0</v>
      </c>
      <c r="AR250" s="6858" t="str">
        <f t="shared" si="118"/>
        <v/>
      </c>
      <c r="AS250" s="6217"/>
      <c r="AT250" s="6217"/>
      <c r="AU250" s="6271">
        <f t="shared" si="119"/>
        <v>0</v>
      </c>
      <c r="AV250" s="6242">
        <f t="shared" si="120"/>
        <v>0</v>
      </c>
      <c r="AW250" s="6188" cm="1">
        <f t="array" ref="AW250">IF(AK250&lt;&gt;1,0,IF(OR(AU250="",N(AU250)&lt;=0.000000001),"",IF(OR(AO250="",N(AO250)&lt;=0.000000001),0,IF(ISNUMBER(AU250),IFERROR(_xlfn.LET(_xlpm.ai_test,TRIM(AJ250),_xlpm.r,IFERROR(_xlfn.XLOOKUP(_xlpm.ai_test,$BJ$15:$BJ$62,ROW($BJ$15:$BJ$62),0,1),IFERROR(_xlfn.XLOOKUP(_xlpm.ai_test,$BK$15:$BK$62,ROW($BK$15:$BK$62),0,1),_xlfn.XLOOKUP(_xlpm.ai_test,$BL$15:$BL$62,ROW($BL$15:$BL$62),0,1))),_xlpm.p,_xlpm.r-MIN(ROW($BJ$15:$BJ$62))+1,_xlpm.f,INDEX($BM$15:$BM$62,_xlpm.p),_xlpm.u,INDEX($BN$15:$BN$62,_xlpm.p),_xlpm.s,INDEX($BP$15:$BP$62,_xlpm.p),_xlpm.q,N(AU250)/_xlpm.f,IF(_xlpm.q&gt;=_xlpm.s,ROUND(_xlpm.q,1)&amp;" "&amp;_xlpm.ai_test&amp;" = "&amp;ROUND(_xlpm.q*_xlpm.f,1)&amp;" "&amp;_xlpm.u,ROUND(_xlpm.q,1)&amp;" "&amp;_xlpm.ai_test)),""),""))))</f>
        <v>0</v>
      </c>
      <c r="AX250" s="6218"/>
      <c r="AY250" s="6271">
        <f t="shared" si="121"/>
        <v>0</v>
      </c>
      <c r="AZ250" s="6242" t="str">
        <f t="shared" si="122"/>
        <v/>
      </c>
      <c r="BA250" s="6194">
        <f t="shared" si="127"/>
        <v>0</v>
      </c>
      <c r="BB250" s="6192" t="str">
        <f t="shared" si="123"/>
        <v/>
      </c>
      <c r="BC250" s="6219"/>
      <c r="BD250" s="6221">
        <f t="shared" si="128"/>
        <v>0</v>
      </c>
      <c r="BE250" s="6220" t="str">
        <f t="shared" si="124"/>
        <v/>
      </c>
      <c r="BF250" s="4" t="s">
        <v>1</v>
      </c>
      <c r="BG250" s="6196">
        <f t="shared" si="125"/>
        <v>0</v>
      </c>
      <c r="BH250" s="6197">
        <f t="shared" si="126"/>
        <v>0</v>
      </c>
      <c r="BI250"/>
      <c r="BJ250" s="1"/>
      <c r="BK250" s="1"/>
      <c r="BL250" s="1"/>
      <c r="BM250" s="1"/>
      <c r="BN250" s="1"/>
      <c r="BO250" s="1"/>
      <c r="BP250" s="1"/>
      <c r="BQ250" s="1"/>
      <c r="BX250" s="20" t="str">
        <f t="shared" si="107"/>
        <v>►</v>
      </c>
      <c r="CC250"/>
      <c r="CD250" s="2"/>
      <c r="CL250" s="1"/>
      <c r="CT250" s="1"/>
      <c r="DB250" s="1"/>
      <c r="DC250" s="5">
        <v>1</v>
      </c>
    </row>
    <row r="251" spans="1:107" ht="21" customHeight="1">
      <c r="A251" s="5641" t="s">
        <v>1</v>
      </c>
      <c r="B251" s="5662" t="str">
        <f t="shared" si="106"/>
        <v>►</v>
      </c>
      <c r="C251" s="5825" cm="1">
        <f t="array" ref="C251">SUMPRODUCT(LEN(D251:J251))</f>
        <v>0</v>
      </c>
      <c r="D251" s="5275"/>
      <c r="E251" s="1361"/>
      <c r="F251" s="1361"/>
      <c r="G251" s="1361"/>
      <c r="H251" s="1361"/>
      <c r="I251" s="1361"/>
      <c r="J251" s="5276"/>
      <c r="K251" s="106"/>
      <c r="L251" s="1021" t="s">
        <v>26</v>
      </c>
      <c r="M251" s="6787"/>
      <c r="N251" s="6787"/>
      <c r="O251" s="6787"/>
      <c r="P251" s="6788"/>
      <c r="Q251" s="6789"/>
      <c r="R251" s="6790"/>
      <c r="S251" s="6786"/>
      <c r="T251" s="6791"/>
      <c r="U251" s="6844"/>
      <c r="V251" s="6791"/>
      <c r="W251" s="6785"/>
      <c r="X251" s="6868"/>
      <c r="Y251" s="6793"/>
      <c r="Z251" s="6794"/>
      <c r="AA251" s="6795"/>
      <c r="AB251" s="6796"/>
      <c r="AC251" s="6797"/>
      <c r="AD251" s="6798"/>
      <c r="AE251" s="4" t="s">
        <v>1</v>
      </c>
      <c r="AF251" s="6202" t="str">
        <f t="shared" si="108"/>
        <v>►</v>
      </c>
      <c r="AG251" s="6234" t="str">
        <f t="shared" si="109"/>
        <v/>
      </c>
      <c r="AH251" s="6732" t="str">
        <f t="shared" si="110"/>
        <v/>
      </c>
      <c r="AI251" s="6234" t="str">
        <f t="shared" si="111"/>
        <v/>
      </c>
      <c r="AJ251" s="6732" t="str">
        <f t="shared" si="112"/>
        <v/>
      </c>
      <c r="AK251" s="6732">
        <f t="shared" si="113"/>
        <v>0</v>
      </c>
      <c r="AL251" s="6230" t="str" cm="1">
        <f t="array" ref="AL251">IF(AF251&lt;&gt;"A","",IFERROR((IFERROR(_xlfn.XLOOKUP(TRIM(SUBSTITUTE(U251,CHAR(160)," ")),$BJ$15:$BJ$62,$BM$15:$BM$62),IFERROR(_xlfn.XLOOKUP(TRIM(SUBSTITUTE(U251,CHAR(160)," ")),$BK$15:$BK$62,$BM$15:$BM$62),_xlfn.XLOOKUP(TRIM(SUBSTITUTE(U251,CHAR(160)," ")),$BL$15:$BL$62,$BM$15:$BM$62))))*T251*IF(ISBLANK(Q251),1,Q251)+IFERROR(_xlfn.XLOOKUP("RECHERCHEX",TRIM(L251:AD251),L251:AD251),0),0))</f>
        <v/>
      </c>
      <c r="AM251" s="6229">
        <f t="shared" si="114"/>
        <v>0</v>
      </c>
      <c r="AN251" s="6857" t="str">
        <f t="shared" si="129"/>
        <v/>
      </c>
      <c r="AO251" s="392">
        <f t="shared" si="115"/>
        <v>0</v>
      </c>
      <c r="AP251" s="392">
        <f t="shared" si="116"/>
        <v>0</v>
      </c>
      <c r="AQ251" s="6191">
        <f t="shared" si="117"/>
        <v>0</v>
      </c>
      <c r="AR251" s="6859" t="str">
        <f t="shared" si="118"/>
        <v/>
      </c>
      <c r="AS251" s="6217"/>
      <c r="AT251" s="6217"/>
      <c r="AU251" s="6272">
        <f t="shared" si="119"/>
        <v>0</v>
      </c>
      <c r="AV251" s="6240">
        <f t="shared" si="120"/>
        <v>0</v>
      </c>
      <c r="AW251" s="6189" cm="1">
        <f t="array" ref="AW251">IF(AK251&lt;&gt;1,0,IF(OR(AU251="",N(AU251)&lt;=0.000000001),"",IF(OR(AO251="",N(AO251)&lt;=0.000000001),0,IF(ISNUMBER(AU251),IFERROR(_xlfn.LET(_xlpm.ai_test,TRIM(AJ251),_xlpm.r,IFERROR(_xlfn.XLOOKUP(_xlpm.ai_test,$BJ$15:$BJ$62,ROW($BJ$15:$BJ$62),0,1),IFERROR(_xlfn.XLOOKUP(_xlpm.ai_test,$BK$15:$BK$62,ROW($BK$15:$BK$62),0,1),_xlfn.XLOOKUP(_xlpm.ai_test,$BL$15:$BL$62,ROW($BL$15:$BL$62),0,1))),_xlpm.p,_xlpm.r-MIN(ROW($BJ$15:$BJ$62))+1,_xlpm.f,INDEX($BM$15:$BM$62,_xlpm.p),_xlpm.u,INDEX($BN$15:$BN$62,_xlpm.p),_xlpm.s,INDEX($BP$15:$BP$62,_xlpm.p),_xlpm.q,N(AU251)/_xlpm.f,IF(_xlpm.q&gt;=_xlpm.s,ROUND(_xlpm.q,1)&amp;" "&amp;_xlpm.ai_test&amp;" = "&amp;ROUND(_xlpm.q*_xlpm.f,1)&amp;" "&amp;_xlpm.u,ROUND(_xlpm.q,1)&amp;" "&amp;_xlpm.ai_test)),""),""))))</f>
        <v>0</v>
      </c>
      <c r="AX251" s="6218"/>
      <c r="AY251" s="6272">
        <f t="shared" si="121"/>
        <v>0</v>
      </c>
      <c r="AZ251" s="6240" t="str">
        <f t="shared" si="122"/>
        <v/>
      </c>
      <c r="BA251" s="6195">
        <f t="shared" si="127"/>
        <v>0</v>
      </c>
      <c r="BB251" s="6193" t="str">
        <f t="shared" si="123"/>
        <v/>
      </c>
      <c r="BC251" s="6219"/>
      <c r="BD251" s="6222">
        <f t="shared" si="128"/>
        <v>0</v>
      </c>
      <c r="BE251" s="6220" t="str">
        <f t="shared" si="124"/>
        <v/>
      </c>
      <c r="BF251" s="4" t="s">
        <v>1</v>
      </c>
      <c r="BG251" s="6196">
        <f t="shared" si="125"/>
        <v>0</v>
      </c>
      <c r="BH251" s="6197">
        <f t="shared" si="126"/>
        <v>0</v>
      </c>
      <c r="BI251"/>
      <c r="BJ251" s="1"/>
      <c r="BK251" s="1"/>
      <c r="BL251" s="1"/>
      <c r="BM251" s="1"/>
      <c r="BN251" s="1"/>
      <c r="BO251" s="1"/>
      <c r="BP251" s="1"/>
      <c r="BQ251" s="1"/>
      <c r="BX251" s="20" t="str">
        <f t="shared" si="107"/>
        <v>►</v>
      </c>
      <c r="CC251"/>
      <c r="CD251" s="2"/>
      <c r="CL251" s="1"/>
      <c r="CT251" s="1"/>
      <c r="DB251" s="1"/>
      <c r="DC251" s="5">
        <v>1</v>
      </c>
    </row>
    <row r="252" spans="1:107" ht="21" customHeight="1">
      <c r="A252" s="5641" t="s">
        <v>1</v>
      </c>
      <c r="B252" s="5662" t="str">
        <f t="shared" si="106"/>
        <v>►</v>
      </c>
      <c r="C252" s="5825" cm="1">
        <f t="array" ref="C252">SUMPRODUCT(LEN(D252:J252))</f>
        <v>0</v>
      </c>
      <c r="D252" s="5275"/>
      <c r="E252" s="1361"/>
      <c r="F252" s="1361"/>
      <c r="G252" s="1361"/>
      <c r="H252" s="1361"/>
      <c r="I252" s="1361"/>
      <c r="J252" s="5276"/>
      <c r="K252" s="106"/>
      <c r="L252" s="1021" t="s">
        <v>26</v>
      </c>
      <c r="M252" s="6787"/>
      <c r="N252" s="6787"/>
      <c r="O252" s="6787"/>
      <c r="P252" s="6788"/>
      <c r="Q252" s="6789"/>
      <c r="R252" s="6790"/>
      <c r="S252" s="6786"/>
      <c r="T252" s="6791"/>
      <c r="U252" s="6844"/>
      <c r="V252" s="6791"/>
      <c r="W252" s="6785"/>
      <c r="X252" s="6868"/>
      <c r="Y252" s="6793"/>
      <c r="Z252" s="6794"/>
      <c r="AA252" s="6795"/>
      <c r="AB252" s="6796"/>
      <c r="AC252" s="6797"/>
      <c r="AD252" s="6798"/>
      <c r="AE252" s="4" t="s">
        <v>1</v>
      </c>
      <c r="AF252" s="6202" t="str">
        <f t="shared" si="108"/>
        <v>►</v>
      </c>
      <c r="AG252" s="6234" t="str">
        <f t="shared" si="109"/>
        <v/>
      </c>
      <c r="AH252" s="6732" t="str">
        <f t="shared" si="110"/>
        <v/>
      </c>
      <c r="AI252" s="6234" t="str">
        <f t="shared" si="111"/>
        <v/>
      </c>
      <c r="AJ252" s="6732" t="str">
        <f t="shared" si="112"/>
        <v/>
      </c>
      <c r="AK252" s="6732">
        <f t="shared" si="113"/>
        <v>0</v>
      </c>
      <c r="AL252" s="6230" t="str" cm="1">
        <f t="array" ref="AL252">IF(AF252&lt;&gt;"A","",IFERROR((IFERROR(_xlfn.XLOOKUP(TRIM(SUBSTITUTE(U252,CHAR(160)," ")),$BJ$15:$BJ$62,$BM$15:$BM$62),IFERROR(_xlfn.XLOOKUP(TRIM(SUBSTITUTE(U252,CHAR(160)," ")),$BK$15:$BK$62,$BM$15:$BM$62),_xlfn.XLOOKUP(TRIM(SUBSTITUTE(U252,CHAR(160)," ")),$BL$15:$BL$62,$BM$15:$BM$62))))*T252*IF(ISBLANK(Q252),1,Q252)+IFERROR(_xlfn.XLOOKUP("RECHERCHEX",TRIM(L252:AD252),L252:AD252),0),0))</f>
        <v/>
      </c>
      <c r="AM252" s="6229">
        <f t="shared" si="114"/>
        <v>0</v>
      </c>
      <c r="AN252" s="6857" t="str">
        <f t="shared" si="129"/>
        <v/>
      </c>
      <c r="AO252" s="392">
        <f t="shared" si="115"/>
        <v>0</v>
      </c>
      <c r="AP252" s="392">
        <f t="shared" si="116"/>
        <v>0</v>
      </c>
      <c r="AQ252" s="6190">
        <f t="shared" si="117"/>
        <v>0</v>
      </c>
      <c r="AR252" s="6858" t="str">
        <f t="shared" si="118"/>
        <v/>
      </c>
      <c r="AS252" s="6217"/>
      <c r="AT252" s="6217"/>
      <c r="AU252" s="6271">
        <f t="shared" si="119"/>
        <v>0</v>
      </c>
      <c r="AV252" s="6242">
        <f t="shared" si="120"/>
        <v>0</v>
      </c>
      <c r="AW252" s="6188" cm="1">
        <f t="array" ref="AW252">IF(AK252&lt;&gt;1,0,IF(OR(AU252="",N(AU252)&lt;=0.000000001),"",IF(OR(AO252="",N(AO252)&lt;=0.000000001),0,IF(ISNUMBER(AU252),IFERROR(_xlfn.LET(_xlpm.ai_test,TRIM(AJ252),_xlpm.r,IFERROR(_xlfn.XLOOKUP(_xlpm.ai_test,$BJ$15:$BJ$62,ROW($BJ$15:$BJ$62),0,1),IFERROR(_xlfn.XLOOKUP(_xlpm.ai_test,$BK$15:$BK$62,ROW($BK$15:$BK$62),0,1),_xlfn.XLOOKUP(_xlpm.ai_test,$BL$15:$BL$62,ROW($BL$15:$BL$62),0,1))),_xlpm.p,_xlpm.r-MIN(ROW($BJ$15:$BJ$62))+1,_xlpm.f,INDEX($BM$15:$BM$62,_xlpm.p),_xlpm.u,INDEX($BN$15:$BN$62,_xlpm.p),_xlpm.s,INDEX($BP$15:$BP$62,_xlpm.p),_xlpm.q,N(AU252)/_xlpm.f,IF(_xlpm.q&gt;=_xlpm.s,ROUND(_xlpm.q,1)&amp;" "&amp;_xlpm.ai_test&amp;" = "&amp;ROUND(_xlpm.q*_xlpm.f,1)&amp;" "&amp;_xlpm.u,ROUND(_xlpm.q,1)&amp;" "&amp;_xlpm.ai_test)),""),""))))</f>
        <v>0</v>
      </c>
      <c r="AX252" s="6218"/>
      <c r="AY252" s="6271">
        <f t="shared" si="121"/>
        <v>0</v>
      </c>
      <c r="AZ252" s="6242" t="str">
        <f t="shared" si="122"/>
        <v/>
      </c>
      <c r="BA252" s="6194">
        <f t="shared" si="127"/>
        <v>0</v>
      </c>
      <c r="BB252" s="6192" t="str">
        <f t="shared" si="123"/>
        <v/>
      </c>
      <c r="BC252" s="6219"/>
      <c r="BD252" s="6221">
        <f t="shared" si="128"/>
        <v>0</v>
      </c>
      <c r="BE252" s="6220" t="str">
        <f t="shared" si="124"/>
        <v/>
      </c>
      <c r="BF252" s="4" t="s">
        <v>1</v>
      </c>
      <c r="BG252" s="6196">
        <f t="shared" si="125"/>
        <v>0</v>
      </c>
      <c r="BH252" s="6197">
        <f t="shared" si="126"/>
        <v>0</v>
      </c>
      <c r="BI252"/>
      <c r="BJ252" s="1"/>
      <c r="BK252" s="1"/>
      <c r="BL252" s="1"/>
      <c r="BM252" s="1"/>
      <c r="BN252" s="1"/>
      <c r="BO252" s="1"/>
      <c r="BP252" s="1"/>
      <c r="BQ252" s="1"/>
      <c r="BX252" s="20" t="str">
        <f t="shared" si="107"/>
        <v>►</v>
      </c>
      <c r="CC252"/>
      <c r="CD252" s="2"/>
      <c r="CL252" s="1"/>
      <c r="CT252" s="1"/>
      <c r="DB252" s="1"/>
      <c r="DC252" s="5">
        <v>1</v>
      </c>
    </row>
    <row r="253" spans="1:107" ht="21" customHeight="1">
      <c r="A253" s="5641" t="s">
        <v>1</v>
      </c>
      <c r="B253" s="5662" t="str">
        <f t="shared" si="106"/>
        <v>►</v>
      </c>
      <c r="C253" s="5825" cm="1">
        <f t="array" ref="C253">SUMPRODUCT(LEN(D253:J253))</f>
        <v>0</v>
      </c>
      <c r="D253" s="5275"/>
      <c r="E253" s="1361"/>
      <c r="F253" s="1361"/>
      <c r="G253" s="1361"/>
      <c r="H253" s="1361"/>
      <c r="I253" s="1361"/>
      <c r="J253" s="5276"/>
      <c r="K253" s="106"/>
      <c r="L253" s="1021" t="s">
        <v>26</v>
      </c>
      <c r="M253" s="6787"/>
      <c r="N253" s="6787"/>
      <c r="O253" s="6787"/>
      <c r="P253" s="6788"/>
      <c r="Q253" s="6789"/>
      <c r="R253" s="6790"/>
      <c r="S253" s="6786"/>
      <c r="T253" s="6791"/>
      <c r="U253" s="6844"/>
      <c r="V253" s="6791"/>
      <c r="W253" s="6785"/>
      <c r="X253" s="6868"/>
      <c r="Y253" s="6793"/>
      <c r="Z253" s="6794"/>
      <c r="AA253" s="6795"/>
      <c r="AB253" s="6796"/>
      <c r="AC253" s="6797"/>
      <c r="AD253" s="6798"/>
      <c r="AE253" s="4" t="s">
        <v>1</v>
      </c>
      <c r="AF253" s="6202" t="str">
        <f t="shared" si="108"/>
        <v>►</v>
      </c>
      <c r="AG253" s="6234" t="str">
        <f t="shared" si="109"/>
        <v/>
      </c>
      <c r="AH253" s="6732" t="str">
        <f t="shared" si="110"/>
        <v/>
      </c>
      <c r="AI253" s="6234" t="str">
        <f t="shared" si="111"/>
        <v/>
      </c>
      <c r="AJ253" s="6732" t="str">
        <f t="shared" si="112"/>
        <v/>
      </c>
      <c r="AK253" s="6732">
        <f t="shared" si="113"/>
        <v>0</v>
      </c>
      <c r="AL253" s="6230" t="str" cm="1">
        <f t="array" ref="AL253">IF(AF253&lt;&gt;"A","",IFERROR((IFERROR(_xlfn.XLOOKUP(TRIM(SUBSTITUTE(U253,CHAR(160)," ")),$BJ$15:$BJ$62,$BM$15:$BM$62),IFERROR(_xlfn.XLOOKUP(TRIM(SUBSTITUTE(U253,CHAR(160)," ")),$BK$15:$BK$62,$BM$15:$BM$62),_xlfn.XLOOKUP(TRIM(SUBSTITUTE(U253,CHAR(160)," ")),$BL$15:$BL$62,$BM$15:$BM$62))))*T253*IF(ISBLANK(Q253),1,Q253)+IFERROR(_xlfn.XLOOKUP("RECHERCHEX",TRIM(L253:AD253),L253:AD253),0),0))</f>
        <v/>
      </c>
      <c r="AM253" s="6229">
        <f t="shared" si="114"/>
        <v>0</v>
      </c>
      <c r="AN253" s="6857" t="str">
        <f t="shared" si="129"/>
        <v/>
      </c>
      <c r="AO253" s="392">
        <f t="shared" si="115"/>
        <v>0</v>
      </c>
      <c r="AP253" s="392">
        <f t="shared" si="116"/>
        <v>0</v>
      </c>
      <c r="AQ253" s="6191">
        <f t="shared" si="117"/>
        <v>0</v>
      </c>
      <c r="AR253" s="6859" t="str">
        <f t="shared" si="118"/>
        <v/>
      </c>
      <c r="AS253" s="6217"/>
      <c r="AT253" s="6217"/>
      <c r="AU253" s="6272">
        <f t="shared" si="119"/>
        <v>0</v>
      </c>
      <c r="AV253" s="6240">
        <f t="shared" si="120"/>
        <v>0</v>
      </c>
      <c r="AW253" s="6189" cm="1">
        <f t="array" ref="AW253">IF(AK253&lt;&gt;1,0,IF(OR(AU253="",N(AU253)&lt;=0.000000001),"",IF(OR(AO253="",N(AO253)&lt;=0.000000001),0,IF(ISNUMBER(AU253),IFERROR(_xlfn.LET(_xlpm.ai_test,TRIM(AJ253),_xlpm.r,IFERROR(_xlfn.XLOOKUP(_xlpm.ai_test,$BJ$15:$BJ$62,ROW($BJ$15:$BJ$62),0,1),IFERROR(_xlfn.XLOOKUP(_xlpm.ai_test,$BK$15:$BK$62,ROW($BK$15:$BK$62),0,1),_xlfn.XLOOKUP(_xlpm.ai_test,$BL$15:$BL$62,ROW($BL$15:$BL$62),0,1))),_xlpm.p,_xlpm.r-MIN(ROW($BJ$15:$BJ$62))+1,_xlpm.f,INDEX($BM$15:$BM$62,_xlpm.p),_xlpm.u,INDEX($BN$15:$BN$62,_xlpm.p),_xlpm.s,INDEX($BP$15:$BP$62,_xlpm.p),_xlpm.q,N(AU253)/_xlpm.f,IF(_xlpm.q&gt;=_xlpm.s,ROUND(_xlpm.q,1)&amp;" "&amp;_xlpm.ai_test&amp;" = "&amp;ROUND(_xlpm.q*_xlpm.f,1)&amp;" "&amp;_xlpm.u,ROUND(_xlpm.q,1)&amp;" "&amp;_xlpm.ai_test)),""),""))))</f>
        <v>0</v>
      </c>
      <c r="AX253" s="6218"/>
      <c r="AY253" s="6272">
        <f t="shared" si="121"/>
        <v>0</v>
      </c>
      <c r="AZ253" s="6240" t="str">
        <f t="shared" si="122"/>
        <v/>
      </c>
      <c r="BA253" s="6195">
        <f t="shared" si="127"/>
        <v>0</v>
      </c>
      <c r="BB253" s="6193" t="str">
        <f t="shared" si="123"/>
        <v/>
      </c>
      <c r="BC253" s="6219"/>
      <c r="BD253" s="6222">
        <f t="shared" si="128"/>
        <v>0</v>
      </c>
      <c r="BE253" s="6220" t="str">
        <f t="shared" si="124"/>
        <v/>
      </c>
      <c r="BF253" s="4" t="s">
        <v>1</v>
      </c>
      <c r="BG253" s="6196">
        <f t="shared" si="125"/>
        <v>0</v>
      </c>
      <c r="BH253" s="6197">
        <f t="shared" si="126"/>
        <v>0</v>
      </c>
      <c r="BI253"/>
      <c r="BJ253" s="1"/>
      <c r="BK253" s="1"/>
      <c r="BL253" s="1"/>
      <c r="BM253" s="1"/>
      <c r="BN253" s="1"/>
      <c r="BO253" s="1"/>
      <c r="BP253" s="1"/>
      <c r="BQ253" s="1"/>
      <c r="BX253" s="20" t="str">
        <f t="shared" si="107"/>
        <v>►</v>
      </c>
      <c r="CC253"/>
      <c r="CD253" s="2"/>
      <c r="CL253" s="1"/>
      <c r="CT253" s="1"/>
      <c r="DB253" s="1"/>
      <c r="DC253" s="5">
        <v>1</v>
      </c>
    </row>
    <row r="254" spans="1:107" ht="21" customHeight="1">
      <c r="A254" s="5641" t="s">
        <v>1</v>
      </c>
      <c r="B254" s="5662" t="str">
        <f t="shared" si="106"/>
        <v>►</v>
      </c>
      <c r="C254" s="5825" cm="1">
        <f t="array" ref="C254">SUMPRODUCT(LEN(D254:J254))</f>
        <v>0</v>
      </c>
      <c r="D254" s="5275"/>
      <c r="E254" s="1361"/>
      <c r="F254" s="1361"/>
      <c r="G254" s="1361"/>
      <c r="H254" s="1361"/>
      <c r="I254" s="1361"/>
      <c r="J254" s="5276"/>
      <c r="K254" s="106"/>
      <c r="L254" s="1021" t="s">
        <v>26</v>
      </c>
      <c r="M254" s="6787"/>
      <c r="N254" s="6787"/>
      <c r="O254" s="6787"/>
      <c r="P254" s="6788"/>
      <c r="Q254" s="6789"/>
      <c r="R254" s="6790"/>
      <c r="S254" s="6786"/>
      <c r="T254" s="6791"/>
      <c r="U254" s="6844"/>
      <c r="V254" s="6791"/>
      <c r="W254" s="6785"/>
      <c r="X254" s="6868"/>
      <c r="Y254" s="6793"/>
      <c r="Z254" s="6794"/>
      <c r="AA254" s="6795"/>
      <c r="AB254" s="6796"/>
      <c r="AC254" s="6797"/>
      <c r="AD254" s="6798"/>
      <c r="AE254" s="4" t="s">
        <v>1</v>
      </c>
      <c r="AF254" s="6202" t="str">
        <f t="shared" si="108"/>
        <v>►</v>
      </c>
      <c r="AG254" s="6234" t="str">
        <f t="shared" si="109"/>
        <v/>
      </c>
      <c r="AH254" s="6732" t="str">
        <f t="shared" si="110"/>
        <v/>
      </c>
      <c r="AI254" s="6234" t="str">
        <f t="shared" si="111"/>
        <v/>
      </c>
      <c r="AJ254" s="6732" t="str">
        <f t="shared" si="112"/>
        <v/>
      </c>
      <c r="AK254" s="6732">
        <f t="shared" si="113"/>
        <v>0</v>
      </c>
      <c r="AL254" s="6230" t="str" cm="1">
        <f t="array" ref="AL254">IF(AF254&lt;&gt;"A","",IFERROR((IFERROR(_xlfn.XLOOKUP(TRIM(SUBSTITUTE(U254,CHAR(160)," ")),$BJ$15:$BJ$62,$BM$15:$BM$62),IFERROR(_xlfn.XLOOKUP(TRIM(SUBSTITUTE(U254,CHAR(160)," ")),$BK$15:$BK$62,$BM$15:$BM$62),_xlfn.XLOOKUP(TRIM(SUBSTITUTE(U254,CHAR(160)," ")),$BL$15:$BL$62,$BM$15:$BM$62))))*T254*IF(ISBLANK(Q254),1,Q254)+IFERROR(_xlfn.XLOOKUP("RECHERCHEX",TRIM(L254:AD254),L254:AD254),0),0))</f>
        <v/>
      </c>
      <c r="AM254" s="6229">
        <f t="shared" si="114"/>
        <v>0</v>
      </c>
      <c r="AN254" s="6857" t="str">
        <f t="shared" si="129"/>
        <v/>
      </c>
      <c r="AO254" s="392">
        <f t="shared" si="115"/>
        <v>0</v>
      </c>
      <c r="AP254" s="392">
        <f t="shared" si="116"/>
        <v>0</v>
      </c>
      <c r="AQ254" s="6190">
        <f t="shared" si="117"/>
        <v>0</v>
      </c>
      <c r="AR254" s="6858" t="str">
        <f t="shared" si="118"/>
        <v/>
      </c>
      <c r="AS254" s="6217"/>
      <c r="AT254" s="6217"/>
      <c r="AU254" s="6271">
        <f t="shared" si="119"/>
        <v>0</v>
      </c>
      <c r="AV254" s="6242">
        <f t="shared" si="120"/>
        <v>0</v>
      </c>
      <c r="AW254" s="6188" cm="1">
        <f t="array" ref="AW254">IF(AK254&lt;&gt;1,0,IF(OR(AU254="",N(AU254)&lt;=0.000000001),"",IF(OR(AO254="",N(AO254)&lt;=0.000000001),0,IF(ISNUMBER(AU254),IFERROR(_xlfn.LET(_xlpm.ai_test,TRIM(AJ254),_xlpm.r,IFERROR(_xlfn.XLOOKUP(_xlpm.ai_test,$BJ$15:$BJ$62,ROW($BJ$15:$BJ$62),0,1),IFERROR(_xlfn.XLOOKUP(_xlpm.ai_test,$BK$15:$BK$62,ROW($BK$15:$BK$62),0,1),_xlfn.XLOOKUP(_xlpm.ai_test,$BL$15:$BL$62,ROW($BL$15:$BL$62),0,1))),_xlpm.p,_xlpm.r-MIN(ROW($BJ$15:$BJ$62))+1,_xlpm.f,INDEX($BM$15:$BM$62,_xlpm.p),_xlpm.u,INDEX($BN$15:$BN$62,_xlpm.p),_xlpm.s,INDEX($BP$15:$BP$62,_xlpm.p),_xlpm.q,N(AU254)/_xlpm.f,IF(_xlpm.q&gt;=_xlpm.s,ROUND(_xlpm.q,1)&amp;" "&amp;_xlpm.ai_test&amp;" = "&amp;ROUND(_xlpm.q*_xlpm.f,1)&amp;" "&amp;_xlpm.u,ROUND(_xlpm.q,1)&amp;" "&amp;_xlpm.ai_test)),""),""))))</f>
        <v>0</v>
      </c>
      <c r="AX254" s="6218"/>
      <c r="AY254" s="6271">
        <f t="shared" si="121"/>
        <v>0</v>
      </c>
      <c r="AZ254" s="6242" t="str">
        <f t="shared" si="122"/>
        <v/>
      </c>
      <c r="BA254" s="6194">
        <f t="shared" si="127"/>
        <v>0</v>
      </c>
      <c r="BB254" s="6192" t="str">
        <f t="shared" si="123"/>
        <v/>
      </c>
      <c r="BC254" s="6219"/>
      <c r="BD254" s="6221">
        <f t="shared" si="128"/>
        <v>0</v>
      </c>
      <c r="BE254" s="6220" t="str">
        <f t="shared" si="124"/>
        <v/>
      </c>
      <c r="BF254" s="4" t="s">
        <v>1</v>
      </c>
      <c r="BG254" s="6196">
        <f t="shared" si="125"/>
        <v>0</v>
      </c>
      <c r="BH254" s="6197">
        <f t="shared" si="126"/>
        <v>0</v>
      </c>
      <c r="BI254"/>
      <c r="BJ254" s="1"/>
      <c r="BK254" s="1"/>
      <c r="BL254" s="1"/>
      <c r="BM254" s="1"/>
      <c r="BN254" s="1"/>
      <c r="BO254" s="1"/>
      <c r="BP254" s="1"/>
      <c r="BQ254" s="1"/>
      <c r="BX254" s="20" t="str">
        <f t="shared" si="107"/>
        <v>►</v>
      </c>
      <c r="CC254"/>
      <c r="CD254" s="2"/>
      <c r="CL254" s="1"/>
      <c r="CT254" s="1"/>
      <c r="DB254" s="1"/>
      <c r="DC254" s="5">
        <v>1</v>
      </c>
    </row>
    <row r="255" spans="1:107" ht="21" customHeight="1">
      <c r="A255" s="5641" t="s">
        <v>1</v>
      </c>
      <c r="B255" s="5662" t="str">
        <f t="shared" si="106"/>
        <v>►</v>
      </c>
      <c r="C255" s="5825" cm="1">
        <f t="array" ref="C255">SUMPRODUCT(LEN(D255:J255))</f>
        <v>0</v>
      </c>
      <c r="D255" s="5275"/>
      <c r="E255" s="1361"/>
      <c r="F255" s="1361"/>
      <c r="G255" s="1361"/>
      <c r="H255" s="1361"/>
      <c r="I255" s="1361"/>
      <c r="J255" s="5276"/>
      <c r="K255" s="106"/>
      <c r="L255" s="1021" t="s">
        <v>26</v>
      </c>
      <c r="M255" s="6787"/>
      <c r="N255" s="6787"/>
      <c r="O255" s="6787"/>
      <c r="P255" s="6788"/>
      <c r="Q255" s="6789"/>
      <c r="R255" s="6790"/>
      <c r="S255" s="6786"/>
      <c r="T255" s="6791"/>
      <c r="U255" s="6844"/>
      <c r="V255" s="6791"/>
      <c r="W255" s="6785"/>
      <c r="X255" s="6868"/>
      <c r="Y255" s="6793"/>
      <c r="Z255" s="6794"/>
      <c r="AA255" s="6795"/>
      <c r="AB255" s="6796"/>
      <c r="AC255" s="6797"/>
      <c r="AD255" s="6798"/>
      <c r="AE255" s="4" t="s">
        <v>1</v>
      </c>
      <c r="AF255" s="6202" t="str">
        <f t="shared" si="108"/>
        <v>►</v>
      </c>
      <c r="AG255" s="6234" t="str">
        <f t="shared" si="109"/>
        <v/>
      </c>
      <c r="AH255" s="6732" t="str">
        <f t="shared" si="110"/>
        <v/>
      </c>
      <c r="AI255" s="6234" t="str">
        <f t="shared" si="111"/>
        <v/>
      </c>
      <c r="AJ255" s="6732" t="str">
        <f t="shared" si="112"/>
        <v/>
      </c>
      <c r="AK255" s="6732">
        <f t="shared" si="113"/>
        <v>0</v>
      </c>
      <c r="AL255" s="6230" t="str" cm="1">
        <f t="array" ref="AL255">IF(AF255&lt;&gt;"A","",IFERROR((IFERROR(_xlfn.XLOOKUP(TRIM(SUBSTITUTE(U255,CHAR(160)," ")),$BJ$15:$BJ$62,$BM$15:$BM$62),IFERROR(_xlfn.XLOOKUP(TRIM(SUBSTITUTE(U255,CHAR(160)," ")),$BK$15:$BK$62,$BM$15:$BM$62),_xlfn.XLOOKUP(TRIM(SUBSTITUTE(U255,CHAR(160)," ")),$BL$15:$BL$62,$BM$15:$BM$62))))*T255*IF(ISBLANK(Q255),1,Q255)+IFERROR(_xlfn.XLOOKUP("RECHERCHEX",TRIM(L255:AD255),L255:AD255),0),0))</f>
        <v/>
      </c>
      <c r="AM255" s="6229">
        <f t="shared" si="114"/>
        <v>0</v>
      </c>
      <c r="AN255" s="6857" t="str">
        <f t="shared" si="129"/>
        <v/>
      </c>
      <c r="AO255" s="392">
        <f t="shared" si="115"/>
        <v>0</v>
      </c>
      <c r="AP255" s="392">
        <f t="shared" si="116"/>
        <v>0</v>
      </c>
      <c r="AQ255" s="6191">
        <f t="shared" si="117"/>
        <v>0</v>
      </c>
      <c r="AR255" s="6859" t="str">
        <f t="shared" si="118"/>
        <v/>
      </c>
      <c r="AS255" s="6217"/>
      <c r="AT255" s="6217"/>
      <c r="AU255" s="6272">
        <f t="shared" si="119"/>
        <v>0</v>
      </c>
      <c r="AV255" s="6240">
        <f t="shared" si="120"/>
        <v>0</v>
      </c>
      <c r="AW255" s="6189" cm="1">
        <f t="array" ref="AW255">IF(AK255&lt;&gt;1,0,IF(OR(AU255="",N(AU255)&lt;=0.000000001),"",IF(OR(AO255="",N(AO255)&lt;=0.000000001),0,IF(ISNUMBER(AU255),IFERROR(_xlfn.LET(_xlpm.ai_test,TRIM(AJ255),_xlpm.r,IFERROR(_xlfn.XLOOKUP(_xlpm.ai_test,$BJ$15:$BJ$62,ROW($BJ$15:$BJ$62),0,1),IFERROR(_xlfn.XLOOKUP(_xlpm.ai_test,$BK$15:$BK$62,ROW($BK$15:$BK$62),0,1),_xlfn.XLOOKUP(_xlpm.ai_test,$BL$15:$BL$62,ROW($BL$15:$BL$62),0,1))),_xlpm.p,_xlpm.r-MIN(ROW($BJ$15:$BJ$62))+1,_xlpm.f,INDEX($BM$15:$BM$62,_xlpm.p),_xlpm.u,INDEX($BN$15:$BN$62,_xlpm.p),_xlpm.s,INDEX($BP$15:$BP$62,_xlpm.p),_xlpm.q,N(AU255)/_xlpm.f,IF(_xlpm.q&gt;=_xlpm.s,ROUND(_xlpm.q,1)&amp;" "&amp;_xlpm.ai_test&amp;" = "&amp;ROUND(_xlpm.q*_xlpm.f,1)&amp;" "&amp;_xlpm.u,ROUND(_xlpm.q,1)&amp;" "&amp;_xlpm.ai_test)),""),""))))</f>
        <v>0</v>
      </c>
      <c r="AX255" s="6218"/>
      <c r="AY255" s="6272">
        <f t="shared" si="121"/>
        <v>0</v>
      </c>
      <c r="AZ255" s="6240" t="str">
        <f t="shared" si="122"/>
        <v/>
      </c>
      <c r="BA255" s="6195">
        <f t="shared" si="127"/>
        <v>0</v>
      </c>
      <c r="BB255" s="6193" t="str">
        <f t="shared" si="123"/>
        <v/>
      </c>
      <c r="BC255" s="6219"/>
      <c r="BD255" s="6222">
        <f t="shared" si="128"/>
        <v>0</v>
      </c>
      <c r="BE255" s="6220" t="str">
        <f t="shared" si="124"/>
        <v/>
      </c>
      <c r="BF255" s="4" t="s">
        <v>1</v>
      </c>
      <c r="BG255" s="6196">
        <f t="shared" si="125"/>
        <v>0</v>
      </c>
      <c r="BH255" s="6197">
        <f t="shared" si="126"/>
        <v>0</v>
      </c>
      <c r="BI255"/>
      <c r="BJ255" s="1"/>
      <c r="BK255" s="1"/>
      <c r="BL255" s="1"/>
      <c r="BM255" s="1"/>
      <c r="BN255" s="1"/>
      <c r="BO255" s="1"/>
      <c r="BP255" s="1"/>
      <c r="BQ255" s="1"/>
      <c r="BX255" s="20" t="str">
        <f t="shared" si="107"/>
        <v>►</v>
      </c>
      <c r="CC255"/>
      <c r="CD255" s="2"/>
      <c r="CL255" s="1"/>
      <c r="CT255" s="1"/>
      <c r="DB255" s="1"/>
      <c r="DC255" s="5">
        <v>1</v>
      </c>
    </row>
    <row r="256" spans="1:107" ht="21" customHeight="1">
      <c r="A256" s="5641" t="s">
        <v>1</v>
      </c>
      <c r="B256" s="5662" t="str">
        <f t="shared" si="106"/>
        <v>►</v>
      </c>
      <c r="C256" s="5825" cm="1">
        <f t="array" ref="C256">SUMPRODUCT(LEN(D256:J256))</f>
        <v>0</v>
      </c>
      <c r="D256" s="5275"/>
      <c r="E256" s="1361"/>
      <c r="F256" s="1361"/>
      <c r="G256" s="1361"/>
      <c r="H256" s="1361"/>
      <c r="I256" s="1361"/>
      <c r="J256" s="5276"/>
      <c r="K256" s="106"/>
      <c r="L256" s="1021" t="s">
        <v>26</v>
      </c>
      <c r="M256" s="6787"/>
      <c r="N256" s="6787"/>
      <c r="O256" s="6787"/>
      <c r="P256" s="6788"/>
      <c r="Q256" s="6789"/>
      <c r="R256" s="6790"/>
      <c r="S256" s="6786"/>
      <c r="T256" s="6791"/>
      <c r="U256" s="6844"/>
      <c r="V256" s="6791"/>
      <c r="W256" s="6785"/>
      <c r="X256" s="6868"/>
      <c r="Y256" s="6793"/>
      <c r="Z256" s="6794"/>
      <c r="AA256" s="6795"/>
      <c r="AB256" s="6796"/>
      <c r="AC256" s="6797"/>
      <c r="AD256" s="6798"/>
      <c r="AE256" s="4" t="s">
        <v>1</v>
      </c>
      <c r="AF256" s="6202" t="str">
        <f t="shared" si="108"/>
        <v>►</v>
      </c>
      <c r="AG256" s="6234" t="str">
        <f t="shared" si="109"/>
        <v/>
      </c>
      <c r="AH256" s="6732" t="str">
        <f t="shared" si="110"/>
        <v/>
      </c>
      <c r="AI256" s="6234" t="str">
        <f t="shared" si="111"/>
        <v/>
      </c>
      <c r="AJ256" s="6732" t="str">
        <f t="shared" si="112"/>
        <v/>
      </c>
      <c r="AK256" s="6732">
        <f t="shared" si="113"/>
        <v>0</v>
      </c>
      <c r="AL256" s="6230" t="str" cm="1">
        <f t="array" ref="AL256">IF(AF256&lt;&gt;"A","",IFERROR((IFERROR(_xlfn.XLOOKUP(TRIM(SUBSTITUTE(U256,CHAR(160)," ")),$BJ$15:$BJ$62,$BM$15:$BM$62),IFERROR(_xlfn.XLOOKUP(TRIM(SUBSTITUTE(U256,CHAR(160)," ")),$BK$15:$BK$62,$BM$15:$BM$62),_xlfn.XLOOKUP(TRIM(SUBSTITUTE(U256,CHAR(160)," ")),$BL$15:$BL$62,$BM$15:$BM$62))))*T256*IF(ISBLANK(Q256),1,Q256)+IFERROR(_xlfn.XLOOKUP("RECHERCHEX",TRIM(L256:AD256),L256:AD256),0),0))</f>
        <v/>
      </c>
      <c r="AM256" s="6229">
        <f t="shared" si="114"/>
        <v>0</v>
      </c>
      <c r="AN256" s="6857" t="str">
        <f t="shared" si="129"/>
        <v/>
      </c>
      <c r="AO256" s="392">
        <f t="shared" si="115"/>
        <v>0</v>
      </c>
      <c r="AP256" s="392">
        <f t="shared" si="116"/>
        <v>0</v>
      </c>
      <c r="AQ256" s="6190">
        <f t="shared" si="117"/>
        <v>0</v>
      </c>
      <c r="AR256" s="6858" t="str">
        <f t="shared" si="118"/>
        <v/>
      </c>
      <c r="AS256" s="6217"/>
      <c r="AT256" s="6217"/>
      <c r="AU256" s="6271">
        <f t="shared" si="119"/>
        <v>0</v>
      </c>
      <c r="AV256" s="6242">
        <f t="shared" si="120"/>
        <v>0</v>
      </c>
      <c r="AW256" s="6188" cm="1">
        <f t="array" ref="AW256">IF(AK256&lt;&gt;1,0,IF(OR(AU256="",N(AU256)&lt;=0.000000001),"",IF(OR(AO256="",N(AO256)&lt;=0.000000001),0,IF(ISNUMBER(AU256),IFERROR(_xlfn.LET(_xlpm.ai_test,TRIM(AJ256),_xlpm.r,IFERROR(_xlfn.XLOOKUP(_xlpm.ai_test,$BJ$15:$BJ$62,ROW($BJ$15:$BJ$62),0,1),IFERROR(_xlfn.XLOOKUP(_xlpm.ai_test,$BK$15:$BK$62,ROW($BK$15:$BK$62),0,1),_xlfn.XLOOKUP(_xlpm.ai_test,$BL$15:$BL$62,ROW($BL$15:$BL$62),0,1))),_xlpm.p,_xlpm.r-MIN(ROW($BJ$15:$BJ$62))+1,_xlpm.f,INDEX($BM$15:$BM$62,_xlpm.p),_xlpm.u,INDEX($BN$15:$BN$62,_xlpm.p),_xlpm.s,INDEX($BP$15:$BP$62,_xlpm.p),_xlpm.q,N(AU256)/_xlpm.f,IF(_xlpm.q&gt;=_xlpm.s,ROUND(_xlpm.q,1)&amp;" "&amp;_xlpm.ai_test&amp;" = "&amp;ROUND(_xlpm.q*_xlpm.f,1)&amp;" "&amp;_xlpm.u,ROUND(_xlpm.q,1)&amp;" "&amp;_xlpm.ai_test)),""),""))))</f>
        <v>0</v>
      </c>
      <c r="AX256" s="6218"/>
      <c r="AY256" s="6271">
        <f t="shared" si="121"/>
        <v>0</v>
      </c>
      <c r="AZ256" s="6242" t="str">
        <f t="shared" si="122"/>
        <v/>
      </c>
      <c r="BA256" s="6194">
        <f t="shared" si="127"/>
        <v>0</v>
      </c>
      <c r="BB256" s="6192" t="str">
        <f t="shared" si="123"/>
        <v/>
      </c>
      <c r="BC256" s="6219"/>
      <c r="BD256" s="6221">
        <f t="shared" si="128"/>
        <v>0</v>
      </c>
      <c r="BE256" s="6220" t="str">
        <f t="shared" si="124"/>
        <v/>
      </c>
      <c r="BF256" s="4" t="s">
        <v>1</v>
      </c>
      <c r="BG256" s="6196">
        <f t="shared" si="125"/>
        <v>0</v>
      </c>
      <c r="BH256" s="6197">
        <f t="shared" si="126"/>
        <v>0</v>
      </c>
      <c r="BI256"/>
      <c r="BJ256" s="1"/>
      <c r="BK256" s="1"/>
      <c r="BL256" s="1"/>
      <c r="BM256" s="1"/>
      <c r="BN256" s="1"/>
      <c r="BO256" s="1"/>
      <c r="BP256" s="1"/>
      <c r="BQ256" s="1"/>
      <c r="BX256" s="20" t="str">
        <f t="shared" si="107"/>
        <v>►</v>
      </c>
      <c r="CC256"/>
      <c r="CD256" s="2"/>
      <c r="CL256" s="1"/>
      <c r="CT256" s="1"/>
      <c r="DB256" s="1"/>
      <c r="DC256" s="5">
        <v>1</v>
      </c>
    </row>
    <row r="257" spans="1:109" ht="21" customHeight="1">
      <c r="A257" s="5641" t="s">
        <v>1</v>
      </c>
      <c r="B257" s="5662" t="str">
        <f t="shared" si="106"/>
        <v>►</v>
      </c>
      <c r="C257" s="5825" cm="1">
        <f t="array" ref="C257">SUMPRODUCT(LEN(D257:J257))</f>
        <v>0</v>
      </c>
      <c r="D257" s="5275"/>
      <c r="E257" s="1361"/>
      <c r="F257" s="1361"/>
      <c r="G257" s="1361"/>
      <c r="H257" s="1361"/>
      <c r="I257" s="1361"/>
      <c r="J257" s="5276"/>
      <c r="K257" s="106" t="s">
        <v>1</v>
      </c>
      <c r="L257" s="1021" t="s">
        <v>26</v>
      </c>
      <c r="M257" s="6787"/>
      <c r="N257" s="6787"/>
      <c r="O257" s="6787"/>
      <c r="P257" s="6788"/>
      <c r="Q257" s="6789"/>
      <c r="R257" s="6790"/>
      <c r="S257" s="6786"/>
      <c r="T257" s="6791"/>
      <c r="U257" s="6844"/>
      <c r="V257" s="6791"/>
      <c r="W257" s="6785"/>
      <c r="X257" s="6868"/>
      <c r="Y257" s="6793"/>
      <c r="Z257" s="6794"/>
      <c r="AA257" s="6795"/>
      <c r="AB257" s="6796"/>
      <c r="AC257" s="6797"/>
      <c r="AD257" s="6798"/>
      <c r="AE257" s="4" t="s">
        <v>1</v>
      </c>
      <c r="AF257" s="6202" t="str">
        <f t="shared" si="108"/>
        <v>►</v>
      </c>
      <c r="AG257" s="6234" t="str">
        <f t="shared" si="109"/>
        <v/>
      </c>
      <c r="AH257" s="6732" t="str">
        <f t="shared" si="110"/>
        <v/>
      </c>
      <c r="AI257" s="6234" t="str">
        <f t="shared" si="111"/>
        <v/>
      </c>
      <c r="AJ257" s="6732" t="str">
        <f t="shared" si="112"/>
        <v/>
      </c>
      <c r="AK257" s="6732">
        <f t="shared" si="113"/>
        <v>0</v>
      </c>
      <c r="AL257" s="6230" t="str" cm="1">
        <f t="array" ref="AL257">IF(AF257&lt;&gt;"A","",IFERROR((IFERROR(_xlfn.XLOOKUP(TRIM(SUBSTITUTE(U257,CHAR(160)," ")),$BJ$15:$BJ$62,$BM$15:$BM$62),IFERROR(_xlfn.XLOOKUP(TRIM(SUBSTITUTE(U257,CHAR(160)," ")),$BK$15:$BK$62,$BM$15:$BM$62),_xlfn.XLOOKUP(TRIM(SUBSTITUTE(U257,CHAR(160)," ")),$BL$15:$BL$62,$BM$15:$BM$62))))*T257*IF(ISBLANK(Q257),1,Q257)+IFERROR(_xlfn.XLOOKUP("RECHERCHEX",TRIM(L257:AD257),L257:AD257),0),0))</f>
        <v/>
      </c>
      <c r="AM257" s="6229">
        <f t="shared" si="114"/>
        <v>0</v>
      </c>
      <c r="AN257" s="6857" t="str">
        <f t="shared" si="129"/>
        <v/>
      </c>
      <c r="AO257" s="392">
        <f t="shared" si="115"/>
        <v>0</v>
      </c>
      <c r="AP257" s="392">
        <f t="shared" si="116"/>
        <v>0</v>
      </c>
      <c r="AQ257" s="6191">
        <f t="shared" si="117"/>
        <v>0</v>
      </c>
      <c r="AR257" s="6859" t="str">
        <f t="shared" si="118"/>
        <v/>
      </c>
      <c r="AS257" s="6217"/>
      <c r="AT257" s="6217"/>
      <c r="AU257" s="6272">
        <f t="shared" si="119"/>
        <v>0</v>
      </c>
      <c r="AV257" s="6240">
        <f t="shared" si="120"/>
        <v>0</v>
      </c>
      <c r="AW257" s="6189" cm="1">
        <f t="array" ref="AW257">IF(AK257&lt;&gt;1,0,IF(OR(AU257="",N(AU257)&lt;=0.000000001),"",IF(OR(AO257="",N(AO257)&lt;=0.000000001),0,IF(ISNUMBER(AU257),IFERROR(_xlfn.LET(_xlpm.ai_test,TRIM(AJ257),_xlpm.r,IFERROR(_xlfn.XLOOKUP(_xlpm.ai_test,$BJ$15:$BJ$62,ROW($BJ$15:$BJ$62),0,1),IFERROR(_xlfn.XLOOKUP(_xlpm.ai_test,$BK$15:$BK$62,ROW($BK$15:$BK$62),0,1),_xlfn.XLOOKUP(_xlpm.ai_test,$BL$15:$BL$62,ROW($BL$15:$BL$62),0,1))),_xlpm.p,_xlpm.r-MIN(ROW($BJ$15:$BJ$62))+1,_xlpm.f,INDEX($BM$15:$BM$62,_xlpm.p),_xlpm.u,INDEX($BN$15:$BN$62,_xlpm.p),_xlpm.s,INDEX($BP$15:$BP$62,_xlpm.p),_xlpm.q,N(AU257)/_xlpm.f,IF(_xlpm.q&gt;=_xlpm.s,ROUND(_xlpm.q,1)&amp;" "&amp;_xlpm.ai_test&amp;" = "&amp;ROUND(_xlpm.q*_xlpm.f,1)&amp;" "&amp;_xlpm.u,ROUND(_xlpm.q,1)&amp;" "&amp;_xlpm.ai_test)),""),""))))</f>
        <v>0</v>
      </c>
      <c r="AX257" s="6218"/>
      <c r="AY257" s="6272">
        <f t="shared" si="121"/>
        <v>0</v>
      </c>
      <c r="AZ257" s="6240" t="str">
        <f t="shared" si="122"/>
        <v/>
      </c>
      <c r="BA257" s="6195">
        <f t="shared" si="127"/>
        <v>0</v>
      </c>
      <c r="BB257" s="6193" t="str">
        <f t="shared" si="123"/>
        <v/>
      </c>
      <c r="BC257" s="6219"/>
      <c r="BD257" s="6222">
        <f t="shared" si="128"/>
        <v>0</v>
      </c>
      <c r="BE257" s="6220" t="str">
        <f t="shared" si="124"/>
        <v/>
      </c>
      <c r="BF257" s="4" t="s">
        <v>1</v>
      </c>
      <c r="BG257" s="6196">
        <f t="shared" si="125"/>
        <v>0</v>
      </c>
      <c r="BH257" s="6197">
        <f t="shared" si="126"/>
        <v>0</v>
      </c>
      <c r="BI257"/>
      <c r="BJ257" s="1"/>
      <c r="BK257" s="1"/>
      <c r="BL257" s="1"/>
      <c r="BM257" s="1"/>
      <c r="BN257" s="1"/>
      <c r="BO257" s="1"/>
      <c r="BP257" s="1"/>
      <c r="BQ257" s="1"/>
      <c r="BX257" s="20" t="str">
        <f t="shared" si="107"/>
        <v>►</v>
      </c>
      <c r="CC257"/>
      <c r="CD257" s="2"/>
      <c r="CL257" s="1"/>
      <c r="CT257" s="1"/>
      <c r="DB257" s="1"/>
      <c r="DC257" s="5">
        <v>1</v>
      </c>
    </row>
    <row r="258" spans="1:109" ht="21" customHeight="1">
      <c r="A258" s="5641" t="s">
        <v>1</v>
      </c>
      <c r="B258" s="5662" t="str">
        <f t="shared" si="106"/>
        <v>►</v>
      </c>
      <c r="C258" s="5825" cm="1">
        <f t="array" ref="C258">SUMPRODUCT(LEN(D258:J258))</f>
        <v>0</v>
      </c>
      <c r="D258" s="5275"/>
      <c r="E258" s="1361"/>
      <c r="F258" s="1361"/>
      <c r="G258" s="1361"/>
      <c r="H258" s="1361"/>
      <c r="I258" s="1361"/>
      <c r="J258" s="5276"/>
      <c r="K258" s="106" t="s">
        <v>1</v>
      </c>
      <c r="L258" s="1021" t="s">
        <v>26</v>
      </c>
      <c r="M258" s="6787"/>
      <c r="N258" s="6787"/>
      <c r="O258" s="6787"/>
      <c r="P258" s="6788"/>
      <c r="Q258" s="6789"/>
      <c r="R258" s="6790"/>
      <c r="S258" s="6786"/>
      <c r="T258" s="6791"/>
      <c r="U258" s="6844"/>
      <c r="V258" s="6791"/>
      <c r="W258" s="6785"/>
      <c r="X258" s="6868"/>
      <c r="Y258" s="6793"/>
      <c r="Z258" s="6794"/>
      <c r="AA258" s="6795"/>
      <c r="AB258" s="6796"/>
      <c r="AC258" s="6797"/>
      <c r="AD258" s="6798"/>
      <c r="AE258" s="4" t="s">
        <v>1</v>
      </c>
      <c r="AF258" s="6202" t="str">
        <f t="shared" si="108"/>
        <v>►</v>
      </c>
      <c r="AG258" s="6234" t="str">
        <f t="shared" si="109"/>
        <v/>
      </c>
      <c r="AH258" s="6732" t="str">
        <f t="shared" si="110"/>
        <v/>
      </c>
      <c r="AI258" s="6234" t="str">
        <f t="shared" si="111"/>
        <v/>
      </c>
      <c r="AJ258" s="6732" t="str">
        <f t="shared" si="112"/>
        <v/>
      </c>
      <c r="AK258" s="6732">
        <f t="shared" si="113"/>
        <v>0</v>
      </c>
      <c r="AL258" s="6230" t="str" cm="1">
        <f t="array" ref="AL258">IF(AF258&lt;&gt;"A","",IFERROR((IFERROR(_xlfn.XLOOKUP(TRIM(SUBSTITUTE(U258,CHAR(160)," ")),$BJ$15:$BJ$62,$BM$15:$BM$62),IFERROR(_xlfn.XLOOKUP(TRIM(SUBSTITUTE(U258,CHAR(160)," ")),$BK$15:$BK$62,$BM$15:$BM$62),_xlfn.XLOOKUP(TRIM(SUBSTITUTE(U258,CHAR(160)," ")),$BL$15:$BL$62,$BM$15:$BM$62))))*T258*IF(ISBLANK(Q258),1,Q258)+IFERROR(_xlfn.XLOOKUP("RECHERCHEX",TRIM(L258:AD258),L258:AD258),0),0))</f>
        <v/>
      </c>
      <c r="AM258" s="6229">
        <f t="shared" si="114"/>
        <v>0</v>
      </c>
      <c r="AN258" s="6857" t="str">
        <f t="shared" si="129"/>
        <v/>
      </c>
      <c r="AO258" s="392">
        <f t="shared" si="115"/>
        <v>0</v>
      </c>
      <c r="AP258" s="392">
        <f t="shared" si="116"/>
        <v>0</v>
      </c>
      <c r="AQ258" s="6190">
        <f t="shared" si="117"/>
        <v>0</v>
      </c>
      <c r="AR258" s="6858" t="str">
        <f t="shared" si="118"/>
        <v/>
      </c>
      <c r="AS258" s="6217"/>
      <c r="AT258" s="6217"/>
      <c r="AU258" s="6271">
        <f t="shared" si="119"/>
        <v>0</v>
      </c>
      <c r="AV258" s="6242">
        <f t="shared" si="120"/>
        <v>0</v>
      </c>
      <c r="AW258" s="6188" cm="1">
        <f t="array" ref="AW258">IF(AK258&lt;&gt;1,0,IF(OR(AU258="",N(AU258)&lt;=0.000000001),"",IF(OR(AO258="",N(AO258)&lt;=0.000000001),0,IF(ISNUMBER(AU258),IFERROR(_xlfn.LET(_xlpm.ai_test,TRIM(AJ258),_xlpm.r,IFERROR(_xlfn.XLOOKUP(_xlpm.ai_test,$BJ$15:$BJ$62,ROW($BJ$15:$BJ$62),0,1),IFERROR(_xlfn.XLOOKUP(_xlpm.ai_test,$BK$15:$BK$62,ROW($BK$15:$BK$62),0,1),_xlfn.XLOOKUP(_xlpm.ai_test,$BL$15:$BL$62,ROW($BL$15:$BL$62),0,1))),_xlpm.p,_xlpm.r-MIN(ROW($BJ$15:$BJ$62))+1,_xlpm.f,INDEX($BM$15:$BM$62,_xlpm.p),_xlpm.u,INDEX($BN$15:$BN$62,_xlpm.p),_xlpm.s,INDEX($BP$15:$BP$62,_xlpm.p),_xlpm.q,N(AU258)/_xlpm.f,IF(_xlpm.q&gt;=_xlpm.s,ROUND(_xlpm.q,1)&amp;" "&amp;_xlpm.ai_test&amp;" = "&amp;ROUND(_xlpm.q*_xlpm.f,1)&amp;" "&amp;_xlpm.u,ROUND(_xlpm.q,1)&amp;" "&amp;_xlpm.ai_test)),""),""))))</f>
        <v>0</v>
      </c>
      <c r="AX258" s="6218"/>
      <c r="AY258" s="6271">
        <f t="shared" si="121"/>
        <v>0</v>
      </c>
      <c r="AZ258" s="6242" t="str">
        <f t="shared" si="122"/>
        <v/>
      </c>
      <c r="BA258" s="6194">
        <f t="shared" si="127"/>
        <v>0</v>
      </c>
      <c r="BB258" s="6192" t="str">
        <f t="shared" si="123"/>
        <v/>
      </c>
      <c r="BC258" s="6219"/>
      <c r="BD258" s="6221">
        <f t="shared" si="128"/>
        <v>0</v>
      </c>
      <c r="BE258" s="6220" t="str">
        <f t="shared" si="124"/>
        <v/>
      </c>
      <c r="BF258" s="4" t="s">
        <v>1</v>
      </c>
      <c r="BG258" s="6196">
        <f t="shared" si="125"/>
        <v>0</v>
      </c>
      <c r="BH258" s="6197">
        <f t="shared" si="126"/>
        <v>0</v>
      </c>
      <c r="BI258"/>
      <c r="BJ258" s="1"/>
      <c r="BK258" s="1"/>
      <c r="BL258" s="1"/>
      <c r="BM258" s="1"/>
      <c r="BN258" s="1"/>
      <c r="BO258" s="1"/>
      <c r="BP258" s="1"/>
      <c r="BQ258" s="1"/>
      <c r="BX258" s="20" t="str">
        <f t="shared" si="107"/>
        <v>►</v>
      </c>
      <c r="CC258"/>
      <c r="CD258" s="2"/>
      <c r="CL258" s="1"/>
      <c r="CT258" s="1"/>
      <c r="DB258" s="1"/>
      <c r="DC258" s="5">
        <v>1</v>
      </c>
    </row>
    <row r="259" spans="1:109" ht="21" customHeight="1">
      <c r="A259" s="5641" t="s">
        <v>1</v>
      </c>
      <c r="B259" s="5662" t="str">
        <f t="shared" si="106"/>
        <v>►</v>
      </c>
      <c r="C259" s="5825" cm="1">
        <f t="array" ref="C259">SUMPRODUCT(LEN(D259:J259))</f>
        <v>0</v>
      </c>
      <c r="D259" s="5275"/>
      <c r="E259" s="1361"/>
      <c r="F259" s="1361"/>
      <c r="G259" s="1361"/>
      <c r="H259" s="1361"/>
      <c r="I259" s="1361"/>
      <c r="J259" s="5276"/>
      <c r="K259" s="106" t="s">
        <v>1</v>
      </c>
      <c r="L259" s="1021" t="s">
        <v>26</v>
      </c>
      <c r="M259" s="6787"/>
      <c r="N259" s="6787"/>
      <c r="O259" s="6787"/>
      <c r="P259" s="6788"/>
      <c r="Q259" s="6789"/>
      <c r="R259" s="6790"/>
      <c r="S259" s="6786"/>
      <c r="T259" s="6791"/>
      <c r="U259" s="6844"/>
      <c r="V259" s="6791"/>
      <c r="W259" s="6785"/>
      <c r="X259" s="6868"/>
      <c r="Y259" s="6793"/>
      <c r="Z259" s="6794"/>
      <c r="AA259" s="6795"/>
      <c r="AB259" s="6796"/>
      <c r="AC259" s="6797"/>
      <c r="AD259" s="6798"/>
      <c r="AE259" s="4" t="s">
        <v>1</v>
      </c>
      <c r="AF259" s="6202" t="str">
        <f t="shared" si="108"/>
        <v>►</v>
      </c>
      <c r="AG259" s="6234" t="str">
        <f t="shared" si="109"/>
        <v/>
      </c>
      <c r="AH259" s="6732" t="str">
        <f t="shared" si="110"/>
        <v/>
      </c>
      <c r="AI259" s="6234" t="str">
        <f t="shared" si="111"/>
        <v/>
      </c>
      <c r="AJ259" s="6732" t="str">
        <f t="shared" si="112"/>
        <v/>
      </c>
      <c r="AK259" s="6732">
        <f t="shared" si="113"/>
        <v>0</v>
      </c>
      <c r="AL259" s="6230" t="str" cm="1">
        <f t="array" ref="AL259">IF(AF259&lt;&gt;"A","",IFERROR((IFERROR(_xlfn.XLOOKUP(TRIM(SUBSTITUTE(U259,CHAR(160)," ")),$BJ$15:$BJ$62,$BM$15:$BM$62),IFERROR(_xlfn.XLOOKUP(TRIM(SUBSTITUTE(U259,CHAR(160)," ")),$BK$15:$BK$62,$BM$15:$BM$62),_xlfn.XLOOKUP(TRIM(SUBSTITUTE(U259,CHAR(160)," ")),$BL$15:$BL$62,$BM$15:$BM$62))))*T259*IF(ISBLANK(Q259),1,Q259)+IFERROR(_xlfn.XLOOKUP("RECHERCHEX",TRIM(L259:AD259),L259:AD259),0),0))</f>
        <v/>
      </c>
      <c r="AM259" s="6229">
        <f t="shared" si="114"/>
        <v>0</v>
      </c>
      <c r="AN259" s="6857" t="str">
        <f t="shared" si="129"/>
        <v/>
      </c>
      <c r="AO259" s="392">
        <f t="shared" si="115"/>
        <v>0</v>
      </c>
      <c r="AP259" s="392">
        <f t="shared" si="116"/>
        <v>0</v>
      </c>
      <c r="AQ259" s="6191">
        <f t="shared" si="117"/>
        <v>0</v>
      </c>
      <c r="AR259" s="6859" t="str">
        <f t="shared" si="118"/>
        <v/>
      </c>
      <c r="AS259" s="6217"/>
      <c r="AT259" s="6217"/>
      <c r="AU259" s="6272">
        <f t="shared" si="119"/>
        <v>0</v>
      </c>
      <c r="AV259" s="6240">
        <f t="shared" si="120"/>
        <v>0</v>
      </c>
      <c r="AW259" s="6189" cm="1">
        <f t="array" ref="AW259">IF(AK259&lt;&gt;1,0,IF(OR(AU259="",N(AU259)&lt;=0.000000001),"",IF(OR(AO259="",N(AO259)&lt;=0.000000001),0,IF(ISNUMBER(AU259),IFERROR(_xlfn.LET(_xlpm.ai_test,TRIM(AJ259),_xlpm.r,IFERROR(_xlfn.XLOOKUP(_xlpm.ai_test,$BJ$15:$BJ$62,ROW($BJ$15:$BJ$62),0,1),IFERROR(_xlfn.XLOOKUP(_xlpm.ai_test,$BK$15:$BK$62,ROW($BK$15:$BK$62),0,1),_xlfn.XLOOKUP(_xlpm.ai_test,$BL$15:$BL$62,ROW($BL$15:$BL$62),0,1))),_xlpm.p,_xlpm.r-MIN(ROW($BJ$15:$BJ$62))+1,_xlpm.f,INDEX($BM$15:$BM$62,_xlpm.p),_xlpm.u,INDEX($BN$15:$BN$62,_xlpm.p),_xlpm.s,INDEX($BP$15:$BP$62,_xlpm.p),_xlpm.q,N(AU259)/_xlpm.f,IF(_xlpm.q&gt;=_xlpm.s,ROUND(_xlpm.q,1)&amp;" "&amp;_xlpm.ai_test&amp;" = "&amp;ROUND(_xlpm.q*_xlpm.f,1)&amp;" "&amp;_xlpm.u,ROUND(_xlpm.q,1)&amp;" "&amp;_xlpm.ai_test)),""),""))))</f>
        <v>0</v>
      </c>
      <c r="AX259" s="6218"/>
      <c r="AY259" s="6272">
        <f t="shared" si="121"/>
        <v>0</v>
      </c>
      <c r="AZ259" s="6240" t="str">
        <f t="shared" si="122"/>
        <v/>
      </c>
      <c r="BA259" s="6195">
        <f t="shared" si="127"/>
        <v>0</v>
      </c>
      <c r="BB259" s="6193" t="str">
        <f t="shared" si="123"/>
        <v/>
      </c>
      <c r="BC259" s="6219"/>
      <c r="BD259" s="6222">
        <f t="shared" si="128"/>
        <v>0</v>
      </c>
      <c r="BE259" s="6220" t="str">
        <f t="shared" si="124"/>
        <v/>
      </c>
      <c r="BF259" s="4" t="s">
        <v>1</v>
      </c>
      <c r="BG259" s="6196">
        <f t="shared" si="125"/>
        <v>0</v>
      </c>
      <c r="BH259" s="6197">
        <f t="shared" si="126"/>
        <v>0</v>
      </c>
      <c r="BI259"/>
      <c r="BJ259" s="1"/>
      <c r="BK259" s="1"/>
      <c r="BL259" s="1"/>
      <c r="BM259" s="1"/>
      <c r="BN259" s="1"/>
      <c r="BO259" s="1"/>
      <c r="BP259" s="1"/>
      <c r="BQ259" s="1"/>
      <c r="BX259" s="20" t="str">
        <f t="shared" si="107"/>
        <v>►</v>
      </c>
      <c r="CC259"/>
      <c r="CD259" s="2"/>
      <c r="DC259" s="5">
        <v>1</v>
      </c>
    </row>
    <row r="260" spans="1:109" ht="21" customHeight="1">
      <c r="A260" s="5641" t="s">
        <v>1</v>
      </c>
      <c r="B260" s="5662" t="str">
        <f t="shared" si="106"/>
        <v>►</v>
      </c>
      <c r="C260" s="5825" cm="1">
        <f t="array" ref="C260">SUMPRODUCT(LEN(D260:J260))</f>
        <v>0</v>
      </c>
      <c r="D260" s="5275"/>
      <c r="E260" s="1361"/>
      <c r="F260" s="1361"/>
      <c r="G260" s="1361"/>
      <c r="H260" s="1361"/>
      <c r="I260" s="1361"/>
      <c r="J260" s="5276"/>
      <c r="K260" s="106" t="s">
        <v>1</v>
      </c>
      <c r="L260" s="1021" t="s">
        <v>26</v>
      </c>
      <c r="M260" s="6787"/>
      <c r="N260" s="6787"/>
      <c r="O260" s="6787"/>
      <c r="P260" s="6788"/>
      <c r="Q260" s="6789"/>
      <c r="R260" s="6790"/>
      <c r="S260" s="6786"/>
      <c r="T260" s="6791"/>
      <c r="U260" s="6844"/>
      <c r="V260" s="6791"/>
      <c r="W260" s="6785"/>
      <c r="X260" s="6868"/>
      <c r="Y260" s="6793"/>
      <c r="Z260" s="6794"/>
      <c r="AA260" s="6795"/>
      <c r="AB260" s="6796"/>
      <c r="AC260" s="6797"/>
      <c r="AD260" s="6798"/>
      <c r="AE260" s="4" t="s">
        <v>1</v>
      </c>
      <c r="AF260" s="6202" t="str">
        <f t="shared" si="108"/>
        <v>►</v>
      </c>
      <c r="AG260" s="6234" t="str">
        <f t="shared" si="109"/>
        <v/>
      </c>
      <c r="AH260" s="6732" t="str">
        <f t="shared" si="110"/>
        <v/>
      </c>
      <c r="AI260" s="6234" t="str">
        <f t="shared" si="111"/>
        <v/>
      </c>
      <c r="AJ260" s="6732" t="str">
        <f t="shared" si="112"/>
        <v/>
      </c>
      <c r="AK260" s="6732">
        <f t="shared" si="113"/>
        <v>0</v>
      </c>
      <c r="AL260" s="6230" t="str" cm="1">
        <f t="array" ref="AL260">IF(AF260&lt;&gt;"A","",IFERROR((IFERROR(_xlfn.XLOOKUP(TRIM(SUBSTITUTE(U260,CHAR(160)," ")),$BJ$15:$BJ$62,$BM$15:$BM$62),IFERROR(_xlfn.XLOOKUP(TRIM(SUBSTITUTE(U260,CHAR(160)," ")),$BK$15:$BK$62,$BM$15:$BM$62),_xlfn.XLOOKUP(TRIM(SUBSTITUTE(U260,CHAR(160)," ")),$BL$15:$BL$62,$BM$15:$BM$62))))*T260*IF(ISBLANK(Q260),1,Q260)+IFERROR(_xlfn.XLOOKUP("RECHERCHEX",TRIM(L260:AD260),L260:AD260),0),0))</f>
        <v/>
      </c>
      <c r="AM260" s="6229">
        <f t="shared" si="114"/>
        <v>0</v>
      </c>
      <c r="AN260" s="6857" t="str">
        <f t="shared" si="129"/>
        <v/>
      </c>
      <c r="AO260" s="392">
        <f t="shared" si="115"/>
        <v>0</v>
      </c>
      <c r="AP260" s="392">
        <f t="shared" si="116"/>
        <v>0</v>
      </c>
      <c r="AQ260" s="6190">
        <f t="shared" si="117"/>
        <v>0</v>
      </c>
      <c r="AR260" s="6858" t="str">
        <f t="shared" si="118"/>
        <v/>
      </c>
      <c r="AS260" s="6217"/>
      <c r="AT260" s="6217"/>
      <c r="AU260" s="6271">
        <f t="shared" si="119"/>
        <v>0</v>
      </c>
      <c r="AV260" s="6242">
        <f t="shared" si="120"/>
        <v>0</v>
      </c>
      <c r="AW260" s="6188" cm="1">
        <f t="array" ref="AW260">IF(AK260&lt;&gt;1,0,IF(OR(AU260="",N(AU260)&lt;=0.000000001),"",IF(OR(AO260="",N(AO260)&lt;=0.000000001),0,IF(ISNUMBER(AU260),IFERROR(_xlfn.LET(_xlpm.ai_test,TRIM(AJ260),_xlpm.r,IFERROR(_xlfn.XLOOKUP(_xlpm.ai_test,$BJ$15:$BJ$62,ROW($BJ$15:$BJ$62),0,1),IFERROR(_xlfn.XLOOKUP(_xlpm.ai_test,$BK$15:$BK$62,ROW($BK$15:$BK$62),0,1),_xlfn.XLOOKUP(_xlpm.ai_test,$BL$15:$BL$62,ROW($BL$15:$BL$62),0,1))),_xlpm.p,_xlpm.r-MIN(ROW($BJ$15:$BJ$62))+1,_xlpm.f,INDEX($BM$15:$BM$62,_xlpm.p),_xlpm.u,INDEX($BN$15:$BN$62,_xlpm.p),_xlpm.s,INDEX($BP$15:$BP$62,_xlpm.p),_xlpm.q,N(AU260)/_xlpm.f,IF(_xlpm.q&gt;=_xlpm.s,ROUND(_xlpm.q,1)&amp;" "&amp;_xlpm.ai_test&amp;" = "&amp;ROUND(_xlpm.q*_xlpm.f,1)&amp;" "&amp;_xlpm.u,ROUND(_xlpm.q,1)&amp;" "&amp;_xlpm.ai_test)),""),""))))</f>
        <v>0</v>
      </c>
      <c r="AX260" s="6218"/>
      <c r="AY260" s="6271">
        <f t="shared" si="121"/>
        <v>0</v>
      </c>
      <c r="AZ260" s="6242" t="str">
        <f t="shared" si="122"/>
        <v/>
      </c>
      <c r="BA260" s="6194">
        <f t="shared" si="127"/>
        <v>0</v>
      </c>
      <c r="BB260" s="6192" t="str">
        <f t="shared" si="123"/>
        <v/>
      </c>
      <c r="BC260" s="6219"/>
      <c r="BD260" s="6221">
        <f t="shared" si="128"/>
        <v>0</v>
      </c>
      <c r="BE260" s="6220" t="str">
        <f t="shared" si="124"/>
        <v/>
      </c>
      <c r="BF260" s="4" t="s">
        <v>1</v>
      </c>
      <c r="BG260" s="6196">
        <f t="shared" si="125"/>
        <v>0</v>
      </c>
      <c r="BH260" s="6197">
        <f t="shared" si="126"/>
        <v>0</v>
      </c>
      <c r="BI260"/>
      <c r="BJ260" s="1"/>
      <c r="BK260" s="1"/>
      <c r="BL260" s="1"/>
      <c r="BM260" s="1"/>
      <c r="BN260" s="1"/>
      <c r="BO260" s="1"/>
      <c r="BP260" s="1"/>
      <c r="BQ260" s="1"/>
      <c r="BX260" s="20" t="str">
        <f t="shared" si="107"/>
        <v>►</v>
      </c>
      <c r="CC260"/>
      <c r="CD260" s="2"/>
      <c r="DC260" s="5">
        <v>1</v>
      </c>
    </row>
    <row r="261" spans="1:109" ht="21" customHeight="1">
      <c r="A261" s="5641" t="s">
        <v>1</v>
      </c>
      <c r="B261" s="5662" t="str">
        <f t="shared" ref="B261:B304" si="130">L261</f>
        <v>►</v>
      </c>
      <c r="C261" s="5825" cm="1">
        <f t="array" ref="C261">SUMPRODUCT(LEN(D261:J261))</f>
        <v>0</v>
      </c>
      <c r="D261" s="5275"/>
      <c r="E261" s="1361"/>
      <c r="F261" s="1361"/>
      <c r="G261" s="1361"/>
      <c r="H261" s="1361"/>
      <c r="I261" s="1361"/>
      <c r="J261" s="5276"/>
      <c r="K261" s="106" t="s">
        <v>1</v>
      </c>
      <c r="L261" s="1021" t="s">
        <v>26</v>
      </c>
      <c r="M261" s="6787"/>
      <c r="N261" s="6787"/>
      <c r="O261" s="6787"/>
      <c r="P261" s="6788"/>
      <c r="Q261" s="6789"/>
      <c r="R261" s="6790"/>
      <c r="S261" s="6786"/>
      <c r="T261" s="6791"/>
      <c r="U261" s="6844"/>
      <c r="V261" s="6791"/>
      <c r="W261" s="6785"/>
      <c r="X261" s="6868"/>
      <c r="Y261" s="6793"/>
      <c r="Z261" s="6794"/>
      <c r="AA261" s="6795"/>
      <c r="AB261" s="6796"/>
      <c r="AC261" s="6797"/>
      <c r="AD261" s="6798"/>
      <c r="AE261" s="4" t="s">
        <v>1</v>
      </c>
      <c r="AF261" s="6202" t="str">
        <f t="shared" si="108"/>
        <v>►</v>
      </c>
      <c r="AG261" s="6234" t="str">
        <f t="shared" si="109"/>
        <v/>
      </c>
      <c r="AH261" s="6732" t="str">
        <f t="shared" si="110"/>
        <v/>
      </c>
      <c r="AI261" s="6234" t="str">
        <f t="shared" si="111"/>
        <v/>
      </c>
      <c r="AJ261" s="6732" t="str">
        <f t="shared" si="112"/>
        <v/>
      </c>
      <c r="AK261" s="6732">
        <f t="shared" si="113"/>
        <v>0</v>
      </c>
      <c r="AL261" s="6230" t="str" cm="1">
        <f t="array" ref="AL261">IF(AF261&lt;&gt;"A","",IFERROR((IFERROR(_xlfn.XLOOKUP(TRIM(SUBSTITUTE(U261,CHAR(160)," ")),$BJ$15:$BJ$62,$BM$15:$BM$62),IFERROR(_xlfn.XLOOKUP(TRIM(SUBSTITUTE(U261,CHAR(160)," ")),$BK$15:$BK$62,$BM$15:$BM$62),_xlfn.XLOOKUP(TRIM(SUBSTITUTE(U261,CHAR(160)," ")),$BL$15:$BL$62,$BM$15:$BM$62))))*T261*IF(ISBLANK(Q261),1,Q261)+IFERROR(_xlfn.XLOOKUP("RECHERCHEX",TRIM(L261:AD261),L261:AD261),0),0))</f>
        <v/>
      </c>
      <c r="AM261" s="6229">
        <f t="shared" si="114"/>
        <v>0</v>
      </c>
      <c r="AN261" s="6857" t="str">
        <f t="shared" si="129"/>
        <v/>
      </c>
      <c r="AO261" s="392">
        <f t="shared" si="115"/>
        <v>0</v>
      </c>
      <c r="AP261" s="392">
        <f t="shared" si="116"/>
        <v>0</v>
      </c>
      <c r="AQ261" s="6191">
        <f t="shared" si="117"/>
        <v>0</v>
      </c>
      <c r="AR261" s="6859" t="str">
        <f t="shared" si="118"/>
        <v/>
      </c>
      <c r="AS261" s="6217"/>
      <c r="AT261" s="6217"/>
      <c r="AU261" s="6272">
        <f t="shared" si="119"/>
        <v>0</v>
      </c>
      <c r="AV261" s="6240">
        <f t="shared" si="120"/>
        <v>0</v>
      </c>
      <c r="AW261" s="6189" cm="1">
        <f t="array" ref="AW261">IF(AK261&lt;&gt;1,0,IF(OR(AU261="",N(AU261)&lt;=0.000000001),"",IF(OR(AO261="",N(AO261)&lt;=0.000000001),0,IF(ISNUMBER(AU261),IFERROR(_xlfn.LET(_xlpm.ai_test,TRIM(AJ261),_xlpm.r,IFERROR(_xlfn.XLOOKUP(_xlpm.ai_test,$BJ$15:$BJ$62,ROW($BJ$15:$BJ$62),0,1),IFERROR(_xlfn.XLOOKUP(_xlpm.ai_test,$BK$15:$BK$62,ROW($BK$15:$BK$62),0,1),_xlfn.XLOOKUP(_xlpm.ai_test,$BL$15:$BL$62,ROW($BL$15:$BL$62),0,1))),_xlpm.p,_xlpm.r-MIN(ROW($BJ$15:$BJ$62))+1,_xlpm.f,INDEX($BM$15:$BM$62,_xlpm.p),_xlpm.u,INDEX($BN$15:$BN$62,_xlpm.p),_xlpm.s,INDEX($BP$15:$BP$62,_xlpm.p),_xlpm.q,N(AU261)/_xlpm.f,IF(_xlpm.q&gt;=_xlpm.s,ROUND(_xlpm.q,1)&amp;" "&amp;_xlpm.ai_test&amp;" = "&amp;ROUND(_xlpm.q*_xlpm.f,1)&amp;" "&amp;_xlpm.u,ROUND(_xlpm.q,1)&amp;" "&amp;_xlpm.ai_test)),""),""))))</f>
        <v>0</v>
      </c>
      <c r="AX261" s="6218"/>
      <c r="AY261" s="6272">
        <f t="shared" si="121"/>
        <v>0</v>
      </c>
      <c r="AZ261" s="6240" t="str">
        <f t="shared" si="122"/>
        <v/>
      </c>
      <c r="BA261" s="6195">
        <f t="shared" si="127"/>
        <v>0</v>
      </c>
      <c r="BB261" s="6193" t="str">
        <f t="shared" si="123"/>
        <v/>
      </c>
      <c r="BC261" s="6219"/>
      <c r="BD261" s="6222">
        <f t="shared" si="128"/>
        <v>0</v>
      </c>
      <c r="BE261" s="6220" t="str">
        <f t="shared" si="124"/>
        <v/>
      </c>
      <c r="BF261" s="4" t="s">
        <v>1</v>
      </c>
      <c r="BG261" s="6196">
        <f t="shared" si="125"/>
        <v>0</v>
      </c>
      <c r="BH261" s="6197">
        <f t="shared" si="126"/>
        <v>0</v>
      </c>
      <c r="BI261"/>
      <c r="BJ261" s="1"/>
      <c r="BK261" s="1"/>
      <c r="BL261" s="1"/>
      <c r="BM261" s="1"/>
      <c r="BN261" s="1"/>
      <c r="BO261" s="1"/>
      <c r="BP261" s="1"/>
      <c r="BQ261" s="1"/>
      <c r="BX261" s="20" t="str">
        <f t="shared" ref="BX261:BX324" si="131">AF261</f>
        <v>►</v>
      </c>
      <c r="CC261"/>
      <c r="CD261" s="2"/>
      <c r="DC261" s="5">
        <v>1</v>
      </c>
    </row>
    <row r="262" spans="1:109" ht="21" customHeight="1">
      <c r="A262" s="5641" t="s">
        <v>1</v>
      </c>
      <c r="B262" s="5662" t="str">
        <f t="shared" si="130"/>
        <v>►</v>
      </c>
      <c r="C262" s="5825" cm="1">
        <f t="array" ref="C262">SUMPRODUCT(LEN(D262:J262))</f>
        <v>0</v>
      </c>
      <c r="D262" s="5275"/>
      <c r="E262" s="1361"/>
      <c r="F262" s="1361"/>
      <c r="G262" s="1361"/>
      <c r="H262" s="1361"/>
      <c r="I262" s="1361"/>
      <c r="J262" s="5276"/>
      <c r="K262" s="106" t="s">
        <v>1</v>
      </c>
      <c r="L262" s="1021" t="s">
        <v>26</v>
      </c>
      <c r="M262" s="6787"/>
      <c r="N262" s="6787"/>
      <c r="O262" s="6787"/>
      <c r="P262" s="6788"/>
      <c r="Q262" s="6789"/>
      <c r="R262" s="6790"/>
      <c r="S262" s="6786"/>
      <c r="T262" s="6791"/>
      <c r="U262" s="6844"/>
      <c r="V262" s="6791"/>
      <c r="W262" s="6785"/>
      <c r="X262" s="6868"/>
      <c r="Y262" s="6793"/>
      <c r="Z262" s="6794"/>
      <c r="AA262" s="6795"/>
      <c r="AB262" s="6796"/>
      <c r="AC262" s="6797"/>
      <c r="AD262" s="6798"/>
      <c r="AE262" s="4" t="s">
        <v>1</v>
      </c>
      <c r="AF262" s="6202" t="str">
        <f t="shared" si="108"/>
        <v>►</v>
      </c>
      <c r="AG262" s="6234" t="str">
        <f t="shared" si="109"/>
        <v/>
      </c>
      <c r="AH262" s="6732" t="str">
        <f t="shared" si="110"/>
        <v/>
      </c>
      <c r="AI262" s="6234" t="str">
        <f t="shared" si="111"/>
        <v/>
      </c>
      <c r="AJ262" s="6732" t="str">
        <f t="shared" si="112"/>
        <v/>
      </c>
      <c r="AK262" s="6732">
        <f t="shared" si="113"/>
        <v>0</v>
      </c>
      <c r="AL262" s="6230" t="str" cm="1">
        <f t="array" ref="AL262">IF(AF262&lt;&gt;"A","",IFERROR((IFERROR(_xlfn.XLOOKUP(TRIM(SUBSTITUTE(U262,CHAR(160)," ")),$BJ$15:$BJ$62,$BM$15:$BM$62),IFERROR(_xlfn.XLOOKUP(TRIM(SUBSTITUTE(U262,CHAR(160)," ")),$BK$15:$BK$62,$BM$15:$BM$62),_xlfn.XLOOKUP(TRIM(SUBSTITUTE(U262,CHAR(160)," ")),$BL$15:$BL$62,$BM$15:$BM$62))))*T262*IF(ISBLANK(Q262),1,Q262)+IFERROR(_xlfn.XLOOKUP("RECHERCHEX",TRIM(L262:AD262),L262:AD262),0),0))</f>
        <v/>
      </c>
      <c r="AM262" s="6229">
        <f t="shared" si="114"/>
        <v>0</v>
      </c>
      <c r="AN262" s="6857" t="str">
        <f t="shared" si="129"/>
        <v/>
      </c>
      <c r="AO262" s="392">
        <f t="shared" si="115"/>
        <v>0</v>
      </c>
      <c r="AP262" s="392">
        <f t="shared" si="116"/>
        <v>0</v>
      </c>
      <c r="AQ262" s="6190">
        <f t="shared" si="117"/>
        <v>0</v>
      </c>
      <c r="AR262" s="6858" t="str">
        <f t="shared" si="118"/>
        <v/>
      </c>
      <c r="AS262" s="6217"/>
      <c r="AT262" s="6217"/>
      <c r="AU262" s="6271">
        <f t="shared" si="119"/>
        <v>0</v>
      </c>
      <c r="AV262" s="6242">
        <f t="shared" si="120"/>
        <v>0</v>
      </c>
      <c r="AW262" s="6188" cm="1">
        <f t="array" ref="AW262">IF(AK262&lt;&gt;1,0,IF(OR(AU262="",N(AU262)&lt;=0.000000001),"",IF(OR(AO262="",N(AO262)&lt;=0.000000001),0,IF(ISNUMBER(AU262),IFERROR(_xlfn.LET(_xlpm.ai_test,TRIM(AJ262),_xlpm.r,IFERROR(_xlfn.XLOOKUP(_xlpm.ai_test,$BJ$15:$BJ$62,ROW($BJ$15:$BJ$62),0,1),IFERROR(_xlfn.XLOOKUP(_xlpm.ai_test,$BK$15:$BK$62,ROW($BK$15:$BK$62),0,1),_xlfn.XLOOKUP(_xlpm.ai_test,$BL$15:$BL$62,ROW($BL$15:$BL$62),0,1))),_xlpm.p,_xlpm.r-MIN(ROW($BJ$15:$BJ$62))+1,_xlpm.f,INDEX($BM$15:$BM$62,_xlpm.p),_xlpm.u,INDEX($BN$15:$BN$62,_xlpm.p),_xlpm.s,INDEX($BP$15:$BP$62,_xlpm.p),_xlpm.q,N(AU262)/_xlpm.f,IF(_xlpm.q&gt;=_xlpm.s,ROUND(_xlpm.q,1)&amp;" "&amp;_xlpm.ai_test&amp;" = "&amp;ROUND(_xlpm.q*_xlpm.f,1)&amp;" "&amp;_xlpm.u,ROUND(_xlpm.q,1)&amp;" "&amp;_xlpm.ai_test)),""),""))))</f>
        <v>0</v>
      </c>
      <c r="AX262" s="6218"/>
      <c r="AY262" s="6271">
        <f t="shared" si="121"/>
        <v>0</v>
      </c>
      <c r="AZ262" s="6242" t="str">
        <f t="shared" si="122"/>
        <v/>
      </c>
      <c r="BA262" s="6194">
        <f t="shared" si="127"/>
        <v>0</v>
      </c>
      <c r="BB262" s="6192" t="str">
        <f t="shared" si="123"/>
        <v/>
      </c>
      <c r="BC262" s="6219"/>
      <c r="BD262" s="6221">
        <f t="shared" si="128"/>
        <v>0</v>
      </c>
      <c r="BE262" s="6220" t="str">
        <f t="shared" si="124"/>
        <v/>
      </c>
      <c r="BF262" s="4" t="s">
        <v>1</v>
      </c>
      <c r="BG262" s="6196">
        <f t="shared" si="125"/>
        <v>0</v>
      </c>
      <c r="BH262" s="6197">
        <f t="shared" si="126"/>
        <v>0</v>
      </c>
      <c r="BI262"/>
      <c r="BJ262" s="1"/>
      <c r="BK262" s="1"/>
      <c r="BL262" s="1"/>
      <c r="BM262" s="1"/>
      <c r="BN262" s="1"/>
      <c r="BO262" s="1"/>
      <c r="BP262" s="1"/>
      <c r="BQ262" s="1"/>
      <c r="BX262" s="20" t="str">
        <f t="shared" si="131"/>
        <v>►</v>
      </c>
      <c r="CC262"/>
      <c r="CD262" s="2"/>
      <c r="DC262" s="5">
        <v>1</v>
      </c>
    </row>
    <row r="263" spans="1:109" ht="21" customHeight="1">
      <c r="A263" s="5641" t="s">
        <v>1</v>
      </c>
      <c r="B263" s="5662" t="str">
        <f t="shared" si="130"/>
        <v>►</v>
      </c>
      <c r="C263" s="5825" cm="1">
        <f t="array" ref="C263">SUMPRODUCT(LEN(D263:J263))</f>
        <v>0</v>
      </c>
      <c r="D263" s="5275"/>
      <c r="E263" s="1361"/>
      <c r="F263" s="1361"/>
      <c r="G263" s="1361"/>
      <c r="H263" s="1361"/>
      <c r="I263" s="1361"/>
      <c r="J263" s="5276" t="str">
        <f>""&amp;T257</f>
        <v/>
      </c>
      <c r="K263" s="106" t="s">
        <v>1</v>
      </c>
      <c r="L263" s="1021" t="s">
        <v>26</v>
      </c>
      <c r="M263" s="6787"/>
      <c r="N263" s="6787"/>
      <c r="O263" s="6787"/>
      <c r="P263" s="6788"/>
      <c r="Q263" s="6789"/>
      <c r="R263" s="6790"/>
      <c r="S263" s="6786"/>
      <c r="T263" s="6791"/>
      <c r="U263" s="6844"/>
      <c r="V263" s="6791"/>
      <c r="W263" s="6785"/>
      <c r="X263" s="6868"/>
      <c r="Y263" s="6793"/>
      <c r="Z263" s="6794"/>
      <c r="AA263" s="6795"/>
      <c r="AB263" s="6796"/>
      <c r="AC263" s="6797"/>
      <c r="AD263" s="6798"/>
      <c r="AE263" s="4" t="s">
        <v>1</v>
      </c>
      <c r="AF263" s="6202" t="str">
        <f t="shared" si="108"/>
        <v>►</v>
      </c>
      <c r="AG263" s="6234" t="str">
        <f t="shared" si="109"/>
        <v/>
      </c>
      <c r="AH263" s="6732" t="str">
        <f t="shared" si="110"/>
        <v/>
      </c>
      <c r="AI263" s="6234" t="str">
        <f t="shared" si="111"/>
        <v/>
      </c>
      <c r="AJ263" s="6732" t="str">
        <f t="shared" si="112"/>
        <v/>
      </c>
      <c r="AK263" s="6732">
        <f t="shared" si="113"/>
        <v>0</v>
      </c>
      <c r="AL263" s="6230" t="str" cm="1">
        <f t="array" ref="AL263">IF(AF263&lt;&gt;"A","",IFERROR((IFERROR(_xlfn.XLOOKUP(TRIM(SUBSTITUTE(U263,CHAR(160)," ")),$BJ$15:$BJ$62,$BM$15:$BM$62),IFERROR(_xlfn.XLOOKUP(TRIM(SUBSTITUTE(U263,CHAR(160)," ")),$BK$15:$BK$62,$BM$15:$BM$62),_xlfn.XLOOKUP(TRIM(SUBSTITUTE(U263,CHAR(160)," ")),$BL$15:$BL$62,$BM$15:$BM$62))))*T263*IF(ISBLANK(Q263),1,Q263)+IFERROR(_xlfn.XLOOKUP("RECHERCHEX",TRIM(L263:AD263),L263:AD263),0),0))</f>
        <v/>
      </c>
      <c r="AM263" s="6229">
        <f t="shared" si="114"/>
        <v>0</v>
      </c>
      <c r="AN263" s="6857" t="str">
        <f t="shared" si="129"/>
        <v/>
      </c>
      <c r="AO263" s="392">
        <f t="shared" si="115"/>
        <v>0</v>
      </c>
      <c r="AP263" s="392">
        <f t="shared" si="116"/>
        <v>0</v>
      </c>
      <c r="AQ263" s="6191">
        <f t="shared" si="117"/>
        <v>0</v>
      </c>
      <c r="AR263" s="6859" t="str">
        <f t="shared" si="118"/>
        <v/>
      </c>
      <c r="AS263" s="6217"/>
      <c r="AT263" s="6217"/>
      <c r="AU263" s="6272">
        <f t="shared" si="119"/>
        <v>0</v>
      </c>
      <c r="AV263" s="6240">
        <f t="shared" si="120"/>
        <v>0</v>
      </c>
      <c r="AW263" s="6189" cm="1">
        <f t="array" ref="AW263">IF(AK263&lt;&gt;1,0,IF(OR(AU263="",N(AU263)&lt;=0.000000001),"",IF(OR(AO263="",N(AO263)&lt;=0.000000001),0,IF(ISNUMBER(AU263),IFERROR(_xlfn.LET(_xlpm.ai_test,TRIM(AJ263),_xlpm.r,IFERROR(_xlfn.XLOOKUP(_xlpm.ai_test,$BJ$15:$BJ$62,ROW($BJ$15:$BJ$62),0,1),IFERROR(_xlfn.XLOOKUP(_xlpm.ai_test,$BK$15:$BK$62,ROW($BK$15:$BK$62),0,1),_xlfn.XLOOKUP(_xlpm.ai_test,$BL$15:$BL$62,ROW($BL$15:$BL$62),0,1))),_xlpm.p,_xlpm.r-MIN(ROW($BJ$15:$BJ$62))+1,_xlpm.f,INDEX($BM$15:$BM$62,_xlpm.p),_xlpm.u,INDEX($BN$15:$BN$62,_xlpm.p),_xlpm.s,INDEX($BP$15:$BP$62,_xlpm.p),_xlpm.q,N(AU263)/_xlpm.f,IF(_xlpm.q&gt;=_xlpm.s,ROUND(_xlpm.q,1)&amp;" "&amp;_xlpm.ai_test&amp;" = "&amp;ROUND(_xlpm.q*_xlpm.f,1)&amp;" "&amp;_xlpm.u,ROUND(_xlpm.q,1)&amp;" "&amp;_xlpm.ai_test)),""),""))))</f>
        <v>0</v>
      </c>
      <c r="AX263" s="6218"/>
      <c r="AY263" s="6272">
        <f t="shared" si="121"/>
        <v>0</v>
      </c>
      <c r="AZ263" s="6240" t="str">
        <f t="shared" si="122"/>
        <v/>
      </c>
      <c r="BA263" s="6195">
        <f t="shared" si="127"/>
        <v>0</v>
      </c>
      <c r="BB263" s="6193" t="str">
        <f t="shared" si="123"/>
        <v/>
      </c>
      <c r="BC263" s="6219"/>
      <c r="BD263" s="6222">
        <f t="shared" si="128"/>
        <v>0</v>
      </c>
      <c r="BE263" s="6220" t="str">
        <f t="shared" si="124"/>
        <v/>
      </c>
      <c r="BF263" s="4" t="s">
        <v>1</v>
      </c>
      <c r="BG263" s="6196">
        <f t="shared" si="125"/>
        <v>0</v>
      </c>
      <c r="BH263" s="6197">
        <f t="shared" si="126"/>
        <v>0</v>
      </c>
      <c r="BI263"/>
      <c r="BJ263" s="1"/>
      <c r="BK263" s="1"/>
      <c r="BL263" s="1"/>
      <c r="BM263" s="1"/>
      <c r="BN263" s="1"/>
      <c r="BO263" s="1"/>
      <c r="BP263" s="1"/>
      <c r="BQ263" s="1"/>
      <c r="BX263" s="20" t="str">
        <f t="shared" si="131"/>
        <v>►</v>
      </c>
      <c r="CC263"/>
      <c r="CD263" s="2"/>
      <c r="DC263" s="5">
        <v>1</v>
      </c>
    </row>
    <row r="264" spans="1:109" ht="21" customHeight="1">
      <c r="A264" s="5641" t="s">
        <v>1</v>
      </c>
      <c r="B264" s="5662" t="str">
        <f t="shared" si="130"/>
        <v>►</v>
      </c>
      <c r="C264" s="5825" cm="1">
        <f t="array" ref="C264">SUMPRODUCT(LEN(D264:J264))</f>
        <v>0</v>
      </c>
      <c r="D264" s="5275"/>
      <c r="E264" s="1361"/>
      <c r="F264" s="1361"/>
      <c r="G264" s="1361"/>
      <c r="H264" s="1361"/>
      <c r="I264" s="1361"/>
      <c r="J264" s="5276"/>
      <c r="K264" s="106" t="s">
        <v>1</v>
      </c>
      <c r="L264" s="1021" t="s">
        <v>26</v>
      </c>
      <c r="M264" s="6787"/>
      <c r="N264" s="6787"/>
      <c r="O264" s="6787"/>
      <c r="P264" s="6788"/>
      <c r="Q264" s="6789"/>
      <c r="R264" s="6790"/>
      <c r="S264" s="6786"/>
      <c r="T264" s="6791"/>
      <c r="U264" s="6844"/>
      <c r="V264" s="6791"/>
      <c r="W264" s="6785"/>
      <c r="X264" s="6868"/>
      <c r="Y264" s="6793"/>
      <c r="Z264" s="6794"/>
      <c r="AA264" s="6795"/>
      <c r="AB264" s="6796"/>
      <c r="AC264" s="6797"/>
      <c r="AD264" s="6798"/>
      <c r="AE264" s="4" t="s">
        <v>1</v>
      </c>
      <c r="AF264" s="6202" t="str">
        <f t="shared" si="108"/>
        <v>►</v>
      </c>
      <c r="AG264" s="6234" t="str">
        <f t="shared" si="109"/>
        <v/>
      </c>
      <c r="AH264" s="6732" t="str">
        <f t="shared" si="110"/>
        <v/>
      </c>
      <c r="AI264" s="6234" t="str">
        <f t="shared" si="111"/>
        <v/>
      </c>
      <c r="AJ264" s="6732" t="str">
        <f t="shared" si="112"/>
        <v/>
      </c>
      <c r="AK264" s="6732">
        <f t="shared" si="113"/>
        <v>0</v>
      </c>
      <c r="AL264" s="6230" t="str" cm="1">
        <f t="array" ref="AL264">IF(AF264&lt;&gt;"A","",IFERROR((IFERROR(_xlfn.XLOOKUP(TRIM(SUBSTITUTE(U264,CHAR(160)," ")),$BJ$15:$BJ$62,$BM$15:$BM$62),IFERROR(_xlfn.XLOOKUP(TRIM(SUBSTITUTE(U264,CHAR(160)," ")),$BK$15:$BK$62,$BM$15:$BM$62),_xlfn.XLOOKUP(TRIM(SUBSTITUTE(U264,CHAR(160)," ")),$BL$15:$BL$62,$BM$15:$BM$62))))*T264*IF(ISBLANK(Q264),1,Q264)+IFERROR(_xlfn.XLOOKUP("RECHERCHEX",TRIM(L264:AD264),L264:AD264),0),0))</f>
        <v/>
      </c>
      <c r="AM264" s="6229">
        <f t="shared" si="114"/>
        <v>0</v>
      </c>
      <c r="AN264" s="6857" t="str">
        <f t="shared" si="129"/>
        <v/>
      </c>
      <c r="AO264" s="392">
        <f t="shared" si="115"/>
        <v>0</v>
      </c>
      <c r="AP264" s="392">
        <f t="shared" si="116"/>
        <v>0</v>
      </c>
      <c r="AQ264" s="6190">
        <f t="shared" si="117"/>
        <v>0</v>
      </c>
      <c r="AR264" s="6858" t="str">
        <f t="shared" si="118"/>
        <v/>
      </c>
      <c r="AS264" s="6217"/>
      <c r="AT264" s="6217"/>
      <c r="AU264" s="6271">
        <f t="shared" si="119"/>
        <v>0</v>
      </c>
      <c r="AV264" s="6242">
        <f t="shared" si="120"/>
        <v>0</v>
      </c>
      <c r="AW264" s="6188" cm="1">
        <f t="array" ref="AW264">IF(AK264&lt;&gt;1,0,IF(OR(AU264="",N(AU264)&lt;=0.000000001),"",IF(OR(AO264="",N(AO264)&lt;=0.000000001),0,IF(ISNUMBER(AU264),IFERROR(_xlfn.LET(_xlpm.ai_test,TRIM(AJ264),_xlpm.r,IFERROR(_xlfn.XLOOKUP(_xlpm.ai_test,$BJ$15:$BJ$62,ROW($BJ$15:$BJ$62),0,1),IFERROR(_xlfn.XLOOKUP(_xlpm.ai_test,$BK$15:$BK$62,ROW($BK$15:$BK$62),0,1),_xlfn.XLOOKUP(_xlpm.ai_test,$BL$15:$BL$62,ROW($BL$15:$BL$62),0,1))),_xlpm.p,_xlpm.r-MIN(ROW($BJ$15:$BJ$62))+1,_xlpm.f,INDEX($BM$15:$BM$62,_xlpm.p),_xlpm.u,INDEX($BN$15:$BN$62,_xlpm.p),_xlpm.s,INDEX($BP$15:$BP$62,_xlpm.p),_xlpm.q,N(AU264)/_xlpm.f,IF(_xlpm.q&gt;=_xlpm.s,ROUND(_xlpm.q,1)&amp;" "&amp;_xlpm.ai_test&amp;" = "&amp;ROUND(_xlpm.q*_xlpm.f,1)&amp;" "&amp;_xlpm.u,ROUND(_xlpm.q,1)&amp;" "&amp;_xlpm.ai_test)),""),""))))</f>
        <v>0</v>
      </c>
      <c r="AX264" s="6218"/>
      <c r="AY264" s="6271">
        <f t="shared" si="121"/>
        <v>0</v>
      </c>
      <c r="AZ264" s="6242" t="str">
        <f t="shared" si="122"/>
        <v/>
      </c>
      <c r="BA264" s="6194">
        <f t="shared" si="127"/>
        <v>0</v>
      </c>
      <c r="BB264" s="6192" t="str">
        <f t="shared" si="123"/>
        <v/>
      </c>
      <c r="BC264" s="6219"/>
      <c r="BD264" s="6221">
        <f t="shared" si="128"/>
        <v>0</v>
      </c>
      <c r="BE264" s="6220" t="str">
        <f t="shared" si="124"/>
        <v/>
      </c>
      <c r="BF264" s="4" t="s">
        <v>1</v>
      </c>
      <c r="BG264" s="6196">
        <f t="shared" si="125"/>
        <v>0</v>
      </c>
      <c r="BH264" s="6197">
        <f t="shared" si="126"/>
        <v>0</v>
      </c>
      <c r="BI264"/>
      <c r="BJ264" s="1"/>
      <c r="BK264" s="1"/>
      <c r="BL264" s="1"/>
      <c r="BM264" s="1"/>
      <c r="BN264" s="1"/>
      <c r="BO264" s="1"/>
      <c r="BP264" s="1"/>
      <c r="BQ264" s="1"/>
      <c r="BX264" s="20" t="str">
        <f t="shared" si="131"/>
        <v>►</v>
      </c>
      <c r="CC264"/>
      <c r="CD264" s="2"/>
      <c r="DC264" s="5">
        <v>1</v>
      </c>
    </row>
    <row r="265" spans="1:109" ht="21" customHeight="1">
      <c r="A265" s="5641" t="s">
        <v>1</v>
      </c>
      <c r="B265" s="5662" t="str">
        <f t="shared" si="130"/>
        <v>►</v>
      </c>
      <c r="C265" s="5825" cm="1">
        <f t="array" ref="C265">SUMPRODUCT(LEN(D265:J265))</f>
        <v>0</v>
      </c>
      <c r="D265" s="5275"/>
      <c r="E265" s="1361"/>
      <c r="F265" s="1361"/>
      <c r="G265" s="1361"/>
      <c r="H265" s="1361"/>
      <c r="I265" s="1361"/>
      <c r="J265" s="5276"/>
      <c r="K265" s="106" t="s">
        <v>1</v>
      </c>
      <c r="L265" s="1021" t="s">
        <v>26</v>
      </c>
      <c r="M265" s="6787"/>
      <c r="N265" s="6787"/>
      <c r="O265" s="6787"/>
      <c r="P265" s="6788"/>
      <c r="Q265" s="6789"/>
      <c r="R265" s="6790"/>
      <c r="S265" s="6786"/>
      <c r="T265" s="6791"/>
      <c r="U265" s="6844"/>
      <c r="V265" s="6791"/>
      <c r="W265" s="6785"/>
      <c r="X265" s="6868"/>
      <c r="Y265" s="6793"/>
      <c r="Z265" s="6794"/>
      <c r="AA265" s="6795"/>
      <c r="AB265" s="6796"/>
      <c r="AC265" s="6797"/>
      <c r="AD265" s="6798"/>
      <c r="AE265" s="4" t="s">
        <v>1</v>
      </c>
      <c r="AF265" s="6202" t="str">
        <f t="shared" si="108"/>
        <v>►</v>
      </c>
      <c r="AG265" s="6234" t="str">
        <f t="shared" si="109"/>
        <v/>
      </c>
      <c r="AH265" s="6732" t="str">
        <f t="shared" si="110"/>
        <v/>
      </c>
      <c r="AI265" s="6234" t="str">
        <f t="shared" si="111"/>
        <v/>
      </c>
      <c r="AJ265" s="6732" t="str">
        <f t="shared" si="112"/>
        <v/>
      </c>
      <c r="AK265" s="6732">
        <f t="shared" si="113"/>
        <v>0</v>
      </c>
      <c r="AL265" s="6230" t="str" cm="1">
        <f t="array" ref="AL265">IF(AF265&lt;&gt;"A","",IFERROR((IFERROR(_xlfn.XLOOKUP(TRIM(SUBSTITUTE(U265,CHAR(160)," ")),$BJ$15:$BJ$62,$BM$15:$BM$62),IFERROR(_xlfn.XLOOKUP(TRIM(SUBSTITUTE(U265,CHAR(160)," ")),$BK$15:$BK$62,$BM$15:$BM$62),_xlfn.XLOOKUP(TRIM(SUBSTITUTE(U265,CHAR(160)," ")),$BL$15:$BL$62,$BM$15:$BM$62))))*T265*IF(ISBLANK(Q265),1,Q265)+IFERROR(_xlfn.XLOOKUP("RECHERCHEX",TRIM(L265:AD265),L265:AD265),0),0))</f>
        <v/>
      </c>
      <c r="AM265" s="6229">
        <f t="shared" si="114"/>
        <v>0</v>
      </c>
      <c r="AN265" s="6857" t="str">
        <f t="shared" si="129"/>
        <v/>
      </c>
      <c r="AO265" s="392">
        <f t="shared" si="115"/>
        <v>0</v>
      </c>
      <c r="AP265" s="392">
        <f t="shared" si="116"/>
        <v>0</v>
      </c>
      <c r="AQ265" s="6191">
        <f t="shared" si="117"/>
        <v>0</v>
      </c>
      <c r="AR265" s="6859" t="str">
        <f t="shared" si="118"/>
        <v/>
      </c>
      <c r="AS265" s="6217"/>
      <c r="AT265" s="6217"/>
      <c r="AU265" s="6272">
        <f t="shared" si="119"/>
        <v>0</v>
      </c>
      <c r="AV265" s="6240">
        <f t="shared" si="120"/>
        <v>0</v>
      </c>
      <c r="AW265" s="6189" cm="1">
        <f t="array" ref="AW265">IF(AK265&lt;&gt;1,0,IF(OR(AU265="",N(AU265)&lt;=0.000000001),"",IF(OR(AO265="",N(AO265)&lt;=0.000000001),0,IF(ISNUMBER(AU265),IFERROR(_xlfn.LET(_xlpm.ai_test,TRIM(AJ265),_xlpm.r,IFERROR(_xlfn.XLOOKUP(_xlpm.ai_test,$BJ$15:$BJ$62,ROW($BJ$15:$BJ$62),0,1),IFERROR(_xlfn.XLOOKUP(_xlpm.ai_test,$BK$15:$BK$62,ROW($BK$15:$BK$62),0,1),_xlfn.XLOOKUP(_xlpm.ai_test,$BL$15:$BL$62,ROW($BL$15:$BL$62),0,1))),_xlpm.p,_xlpm.r-MIN(ROW($BJ$15:$BJ$62))+1,_xlpm.f,INDEX($BM$15:$BM$62,_xlpm.p),_xlpm.u,INDEX($BN$15:$BN$62,_xlpm.p),_xlpm.s,INDEX($BP$15:$BP$62,_xlpm.p),_xlpm.q,N(AU265)/_xlpm.f,IF(_xlpm.q&gt;=_xlpm.s,ROUND(_xlpm.q,1)&amp;" "&amp;_xlpm.ai_test&amp;" = "&amp;ROUND(_xlpm.q*_xlpm.f,1)&amp;" "&amp;_xlpm.u,ROUND(_xlpm.q,1)&amp;" "&amp;_xlpm.ai_test)),""),""))))</f>
        <v>0</v>
      </c>
      <c r="AX265" s="6218"/>
      <c r="AY265" s="6272">
        <f t="shared" si="121"/>
        <v>0</v>
      </c>
      <c r="AZ265" s="6240" t="str">
        <f t="shared" si="122"/>
        <v/>
      </c>
      <c r="BA265" s="6195">
        <f t="shared" si="127"/>
        <v>0</v>
      </c>
      <c r="BB265" s="6193" t="str">
        <f t="shared" si="123"/>
        <v/>
      </c>
      <c r="BC265" s="6219"/>
      <c r="BD265" s="6222">
        <f t="shared" si="128"/>
        <v>0</v>
      </c>
      <c r="BE265" s="6220" t="str">
        <f t="shared" si="124"/>
        <v/>
      </c>
      <c r="BF265" s="4" t="s">
        <v>1</v>
      </c>
      <c r="BG265" s="6196">
        <f t="shared" si="125"/>
        <v>0</v>
      </c>
      <c r="BH265" s="6197">
        <f t="shared" si="126"/>
        <v>0</v>
      </c>
      <c r="BI265"/>
      <c r="BJ265" s="1"/>
      <c r="BK265" s="1"/>
      <c r="BL265" s="1"/>
      <c r="BM265" s="1"/>
      <c r="BN265" s="1"/>
      <c r="BO265" s="1"/>
      <c r="BP265" s="1"/>
      <c r="BQ265" s="1"/>
      <c r="BX265" s="20" t="str">
        <f t="shared" si="131"/>
        <v>►</v>
      </c>
      <c r="CC265"/>
      <c r="CD265" s="2"/>
      <c r="DC265" s="5">
        <v>1</v>
      </c>
    </row>
    <row r="266" spans="1:109" s="2" customFormat="1" ht="21" customHeight="1">
      <c r="A266" s="5641" t="s">
        <v>1</v>
      </c>
      <c r="B266" s="5662" t="str">
        <f t="shared" si="130"/>
        <v>►</v>
      </c>
      <c r="C266" s="5825" cm="1">
        <f t="array" ref="C266">SUMPRODUCT(LEN(D266:J266))</f>
        <v>0</v>
      </c>
      <c r="D266" s="5275"/>
      <c r="E266" s="1361"/>
      <c r="F266" s="1361"/>
      <c r="G266" s="1361"/>
      <c r="H266" s="1361"/>
      <c r="I266" s="1361"/>
      <c r="J266" s="5276"/>
      <c r="K266" s="106" t="s">
        <v>1</v>
      </c>
      <c r="L266" s="1021" t="s">
        <v>26</v>
      </c>
      <c r="M266" s="6787"/>
      <c r="N266" s="6787"/>
      <c r="O266" s="6787"/>
      <c r="P266" s="6788"/>
      <c r="Q266" s="6789"/>
      <c r="R266" s="6790"/>
      <c r="S266" s="6786"/>
      <c r="T266" s="6791"/>
      <c r="U266" s="6844"/>
      <c r="V266" s="6791"/>
      <c r="W266" s="6785"/>
      <c r="X266" s="6868"/>
      <c r="Y266" s="6793"/>
      <c r="Z266" s="6794"/>
      <c r="AA266" s="6795"/>
      <c r="AB266" s="6796"/>
      <c r="AC266" s="6797"/>
      <c r="AD266" s="6798"/>
      <c r="AE266" s="4" t="s">
        <v>1</v>
      </c>
      <c r="AF266" s="6202" t="str">
        <f t="shared" si="108"/>
        <v>►</v>
      </c>
      <c r="AG266" s="6234" t="str">
        <f t="shared" si="109"/>
        <v/>
      </c>
      <c r="AH266" s="6732" t="str">
        <f t="shared" si="110"/>
        <v/>
      </c>
      <c r="AI266" s="6234" t="str">
        <f t="shared" si="111"/>
        <v/>
      </c>
      <c r="AJ266" s="6732" t="str">
        <f t="shared" si="112"/>
        <v/>
      </c>
      <c r="AK266" s="6732">
        <f t="shared" si="113"/>
        <v>0</v>
      </c>
      <c r="AL266" s="6230" t="str" cm="1">
        <f t="array" ref="AL266">IF(AF266&lt;&gt;"A","",IFERROR((IFERROR(_xlfn.XLOOKUP(TRIM(SUBSTITUTE(U266,CHAR(160)," ")),$BJ$15:$BJ$62,$BM$15:$BM$62),IFERROR(_xlfn.XLOOKUP(TRIM(SUBSTITUTE(U266,CHAR(160)," ")),$BK$15:$BK$62,$BM$15:$BM$62),_xlfn.XLOOKUP(TRIM(SUBSTITUTE(U266,CHAR(160)," ")),$BL$15:$BL$62,$BM$15:$BM$62))))*T266*IF(ISBLANK(Q266),1,Q266)+IFERROR(_xlfn.XLOOKUP("RECHERCHEX",TRIM(L266:AD266),L266:AD266),0),0))</f>
        <v/>
      </c>
      <c r="AM266" s="6229">
        <f t="shared" si="114"/>
        <v>0</v>
      </c>
      <c r="AN266" s="6857" t="str">
        <f t="shared" si="129"/>
        <v/>
      </c>
      <c r="AO266" s="392">
        <f t="shared" si="115"/>
        <v>0</v>
      </c>
      <c r="AP266" s="392">
        <f t="shared" si="116"/>
        <v>0</v>
      </c>
      <c r="AQ266" s="6190">
        <f t="shared" si="117"/>
        <v>0</v>
      </c>
      <c r="AR266" s="6858" t="str">
        <f t="shared" si="118"/>
        <v/>
      </c>
      <c r="AS266" s="6217"/>
      <c r="AT266" s="6217"/>
      <c r="AU266" s="6271">
        <f t="shared" si="119"/>
        <v>0</v>
      </c>
      <c r="AV266" s="6242">
        <f t="shared" si="120"/>
        <v>0</v>
      </c>
      <c r="AW266" s="6188" cm="1">
        <f t="array" ref="AW266">IF(AK266&lt;&gt;1,0,IF(OR(AU266="",N(AU266)&lt;=0.000000001),"",IF(OR(AO266="",N(AO266)&lt;=0.000000001),0,IF(ISNUMBER(AU266),IFERROR(_xlfn.LET(_xlpm.ai_test,TRIM(AJ266),_xlpm.r,IFERROR(_xlfn.XLOOKUP(_xlpm.ai_test,$BJ$15:$BJ$62,ROW($BJ$15:$BJ$62),0,1),IFERROR(_xlfn.XLOOKUP(_xlpm.ai_test,$BK$15:$BK$62,ROW($BK$15:$BK$62),0,1),_xlfn.XLOOKUP(_xlpm.ai_test,$BL$15:$BL$62,ROW($BL$15:$BL$62),0,1))),_xlpm.p,_xlpm.r-MIN(ROW($BJ$15:$BJ$62))+1,_xlpm.f,INDEX($BM$15:$BM$62,_xlpm.p),_xlpm.u,INDEX($BN$15:$BN$62,_xlpm.p),_xlpm.s,INDEX($BP$15:$BP$62,_xlpm.p),_xlpm.q,N(AU266)/_xlpm.f,IF(_xlpm.q&gt;=_xlpm.s,ROUND(_xlpm.q,1)&amp;" "&amp;_xlpm.ai_test&amp;" = "&amp;ROUND(_xlpm.q*_xlpm.f,1)&amp;" "&amp;_xlpm.u,ROUND(_xlpm.q,1)&amp;" "&amp;_xlpm.ai_test)),""),""))))</f>
        <v>0</v>
      </c>
      <c r="AX266" s="6218"/>
      <c r="AY266" s="6271">
        <f t="shared" si="121"/>
        <v>0</v>
      </c>
      <c r="AZ266" s="6242" t="str">
        <f t="shared" si="122"/>
        <v/>
      </c>
      <c r="BA266" s="6194">
        <f t="shared" si="127"/>
        <v>0</v>
      </c>
      <c r="BB266" s="6192" t="str">
        <f t="shared" si="123"/>
        <v/>
      </c>
      <c r="BC266" s="6219"/>
      <c r="BD266" s="6221">
        <f t="shared" si="128"/>
        <v>0</v>
      </c>
      <c r="BE266" s="6220" t="str">
        <f t="shared" si="124"/>
        <v/>
      </c>
      <c r="BF266" s="4" t="s">
        <v>1</v>
      </c>
      <c r="BG266" s="6196">
        <f t="shared" si="125"/>
        <v>0</v>
      </c>
      <c r="BH266" s="6197">
        <f t="shared" si="126"/>
        <v>0</v>
      </c>
      <c r="BI266"/>
      <c r="BJ266" s="1"/>
      <c r="BK266" s="1"/>
      <c r="BL266" s="1"/>
      <c r="BM266" s="1"/>
      <c r="BN266" s="1"/>
      <c r="BO266" s="1"/>
      <c r="BP266" s="1"/>
      <c r="BQ266" s="1"/>
      <c r="BR266"/>
      <c r="BS266"/>
      <c r="BT266"/>
      <c r="BU266"/>
      <c r="BV266"/>
      <c r="BW266"/>
      <c r="BX266" s="20" t="str">
        <f t="shared" si="131"/>
        <v>►</v>
      </c>
      <c r="BY266"/>
      <c r="BZ266"/>
      <c r="CA266"/>
      <c r="CB266"/>
      <c r="CC266"/>
      <c r="CE266"/>
      <c r="CF266"/>
      <c r="CG266"/>
      <c r="CH266"/>
      <c r="CI266"/>
      <c r="CJ266"/>
      <c r="CK266"/>
      <c r="CL266" s="4"/>
      <c r="CM266"/>
      <c r="CN266"/>
      <c r="CO266"/>
      <c r="CP266"/>
      <c r="CQ266"/>
      <c r="CR266"/>
      <c r="CS266"/>
      <c r="CT266" s="4"/>
      <c r="CU266"/>
      <c r="CV266"/>
      <c r="CW266"/>
      <c r="CX266"/>
      <c r="CY266"/>
      <c r="CZ266"/>
      <c r="DA266"/>
      <c r="DB266" s="4"/>
      <c r="DC266" s="5">
        <v>1</v>
      </c>
      <c r="DD266" s="1"/>
      <c r="DE266" s="1"/>
    </row>
    <row r="267" spans="1:109" s="2" customFormat="1" ht="21" customHeight="1">
      <c r="A267" s="5641" t="s">
        <v>1</v>
      </c>
      <c r="B267" s="5662" t="str">
        <f t="shared" si="130"/>
        <v>►</v>
      </c>
      <c r="C267" s="5825" cm="1">
        <f t="array" ref="C267">SUMPRODUCT(LEN(D267:J267))</f>
        <v>0</v>
      </c>
      <c r="D267" s="5275"/>
      <c r="E267" s="1361"/>
      <c r="F267" s="1361"/>
      <c r="G267" s="1361"/>
      <c r="H267" s="1361"/>
      <c r="I267" s="1361"/>
      <c r="J267" s="5276"/>
      <c r="K267" s="106" t="s">
        <v>1</v>
      </c>
      <c r="L267" s="1021" t="s">
        <v>26</v>
      </c>
      <c r="M267" s="6787"/>
      <c r="N267" s="6787"/>
      <c r="O267" s="6787"/>
      <c r="P267" s="6788"/>
      <c r="Q267" s="6789"/>
      <c r="R267" s="6790"/>
      <c r="S267" s="6786"/>
      <c r="T267" s="6791"/>
      <c r="U267" s="6844"/>
      <c r="V267" s="6791"/>
      <c r="W267" s="6785"/>
      <c r="X267" s="6868"/>
      <c r="Y267" s="6793"/>
      <c r="Z267" s="6794"/>
      <c r="AA267" s="6795"/>
      <c r="AB267" s="6796"/>
      <c r="AC267" s="6797"/>
      <c r="AD267" s="6798"/>
      <c r="AE267" s="4" t="s">
        <v>1</v>
      </c>
      <c r="AF267" s="6202" t="str">
        <f t="shared" si="108"/>
        <v>►</v>
      </c>
      <c r="AG267" s="6234" t="str">
        <f t="shared" si="109"/>
        <v/>
      </c>
      <c r="AH267" s="6732" t="str">
        <f t="shared" si="110"/>
        <v/>
      </c>
      <c r="AI267" s="6234" t="str">
        <f t="shared" si="111"/>
        <v/>
      </c>
      <c r="AJ267" s="6732" t="str">
        <f t="shared" si="112"/>
        <v/>
      </c>
      <c r="AK267" s="6732">
        <f t="shared" si="113"/>
        <v>0</v>
      </c>
      <c r="AL267" s="6230" t="str" cm="1">
        <f t="array" ref="AL267">IF(AF267&lt;&gt;"A","",IFERROR((IFERROR(_xlfn.XLOOKUP(TRIM(SUBSTITUTE(U267,CHAR(160)," ")),$BJ$15:$BJ$62,$BM$15:$BM$62),IFERROR(_xlfn.XLOOKUP(TRIM(SUBSTITUTE(U267,CHAR(160)," ")),$BK$15:$BK$62,$BM$15:$BM$62),_xlfn.XLOOKUP(TRIM(SUBSTITUTE(U267,CHAR(160)," ")),$BL$15:$BL$62,$BM$15:$BM$62))))*T267*IF(ISBLANK(Q267),1,Q267)+IFERROR(_xlfn.XLOOKUP("RECHERCHEX",TRIM(L267:AD267),L267:AD267),0),0))</f>
        <v/>
      </c>
      <c r="AM267" s="6229">
        <f t="shared" si="114"/>
        <v>0</v>
      </c>
      <c r="AN267" s="6857" t="str">
        <f t="shared" si="129"/>
        <v/>
      </c>
      <c r="AO267" s="392">
        <f t="shared" si="115"/>
        <v>0</v>
      </c>
      <c r="AP267" s="392">
        <f t="shared" si="116"/>
        <v>0</v>
      </c>
      <c r="AQ267" s="6191">
        <f t="shared" si="117"/>
        <v>0</v>
      </c>
      <c r="AR267" s="6859" t="str">
        <f t="shared" si="118"/>
        <v/>
      </c>
      <c r="AS267" s="6217"/>
      <c r="AT267" s="6217"/>
      <c r="AU267" s="6272">
        <f t="shared" si="119"/>
        <v>0</v>
      </c>
      <c r="AV267" s="6240">
        <f t="shared" si="120"/>
        <v>0</v>
      </c>
      <c r="AW267" s="6189" cm="1">
        <f t="array" ref="AW267">IF(AK267&lt;&gt;1,0,IF(OR(AU267="",N(AU267)&lt;=0.000000001),"",IF(OR(AO267="",N(AO267)&lt;=0.000000001),0,IF(ISNUMBER(AU267),IFERROR(_xlfn.LET(_xlpm.ai_test,TRIM(AJ267),_xlpm.r,IFERROR(_xlfn.XLOOKUP(_xlpm.ai_test,$BJ$15:$BJ$62,ROW($BJ$15:$BJ$62),0,1),IFERROR(_xlfn.XLOOKUP(_xlpm.ai_test,$BK$15:$BK$62,ROW($BK$15:$BK$62),0,1),_xlfn.XLOOKUP(_xlpm.ai_test,$BL$15:$BL$62,ROW($BL$15:$BL$62),0,1))),_xlpm.p,_xlpm.r-MIN(ROW($BJ$15:$BJ$62))+1,_xlpm.f,INDEX($BM$15:$BM$62,_xlpm.p),_xlpm.u,INDEX($BN$15:$BN$62,_xlpm.p),_xlpm.s,INDEX($BP$15:$BP$62,_xlpm.p),_xlpm.q,N(AU267)/_xlpm.f,IF(_xlpm.q&gt;=_xlpm.s,ROUND(_xlpm.q,1)&amp;" "&amp;_xlpm.ai_test&amp;" = "&amp;ROUND(_xlpm.q*_xlpm.f,1)&amp;" "&amp;_xlpm.u,ROUND(_xlpm.q,1)&amp;" "&amp;_xlpm.ai_test)),""),""))))</f>
        <v>0</v>
      </c>
      <c r="AX267" s="6218"/>
      <c r="AY267" s="6272">
        <f t="shared" si="121"/>
        <v>0</v>
      </c>
      <c r="AZ267" s="6240" t="str">
        <f t="shared" si="122"/>
        <v/>
      </c>
      <c r="BA267" s="6195">
        <f t="shared" si="127"/>
        <v>0</v>
      </c>
      <c r="BB267" s="6193" t="str">
        <f t="shared" si="123"/>
        <v/>
      </c>
      <c r="BC267" s="6219"/>
      <c r="BD267" s="6222">
        <f t="shared" si="128"/>
        <v>0</v>
      </c>
      <c r="BE267" s="6220" t="str">
        <f t="shared" si="124"/>
        <v/>
      </c>
      <c r="BF267" s="4" t="s">
        <v>1</v>
      </c>
      <c r="BG267" s="6196">
        <f t="shared" si="125"/>
        <v>0</v>
      </c>
      <c r="BH267" s="6197">
        <f t="shared" si="126"/>
        <v>0</v>
      </c>
      <c r="BI267"/>
      <c r="BJ267" s="1"/>
      <c r="BK267" s="1"/>
      <c r="BL267" s="1"/>
      <c r="BM267" s="1"/>
      <c r="BN267" s="1"/>
      <c r="BO267" s="1"/>
      <c r="BP267" s="1"/>
      <c r="BQ267" s="1"/>
      <c r="BR267"/>
      <c r="BS267"/>
      <c r="BT267"/>
      <c r="BU267"/>
      <c r="BV267"/>
      <c r="BW267"/>
      <c r="BX267" s="20" t="str">
        <f t="shared" si="131"/>
        <v>►</v>
      </c>
      <c r="BY267"/>
      <c r="BZ267"/>
      <c r="CA267"/>
      <c r="CB267"/>
      <c r="CC267"/>
      <c r="CE267"/>
      <c r="CF267"/>
      <c r="CG267"/>
      <c r="CH267"/>
      <c r="CI267"/>
      <c r="CJ267"/>
      <c r="CK267"/>
      <c r="CL267" s="4"/>
      <c r="CM267"/>
      <c r="CN267"/>
      <c r="CO267"/>
      <c r="CP267"/>
      <c r="CQ267"/>
      <c r="CR267"/>
      <c r="CS267"/>
      <c r="CT267" s="4"/>
      <c r="CU267"/>
      <c r="CV267"/>
      <c r="CW267"/>
      <c r="CX267"/>
      <c r="CY267"/>
      <c r="CZ267"/>
      <c r="DA267"/>
      <c r="DB267" s="4"/>
      <c r="DC267" s="5">
        <v>1</v>
      </c>
      <c r="DD267" s="1"/>
      <c r="DE267" s="1"/>
    </row>
    <row r="268" spans="1:109" s="2" customFormat="1" ht="21" customHeight="1">
      <c r="A268" s="5641" t="s">
        <v>1</v>
      </c>
      <c r="B268" s="5662" t="str">
        <f t="shared" si="130"/>
        <v>►</v>
      </c>
      <c r="C268" s="5825" cm="1">
        <f t="array" ref="C268">SUMPRODUCT(LEN(D268:J268))</f>
        <v>0</v>
      </c>
      <c r="D268" s="5275"/>
      <c r="E268" s="1361"/>
      <c r="F268" s="1361"/>
      <c r="G268" s="1361"/>
      <c r="H268" s="1361"/>
      <c r="I268" s="1361"/>
      <c r="J268" s="5276"/>
      <c r="K268" s="106" t="s">
        <v>1</v>
      </c>
      <c r="L268" s="1021" t="s">
        <v>26</v>
      </c>
      <c r="M268" s="6787"/>
      <c r="N268" s="6787"/>
      <c r="O268" s="6787"/>
      <c r="P268" s="6788"/>
      <c r="Q268" s="6789"/>
      <c r="R268" s="6790"/>
      <c r="S268" s="6786"/>
      <c r="T268" s="6791"/>
      <c r="U268" s="6844"/>
      <c r="V268" s="6791"/>
      <c r="W268" s="6785"/>
      <c r="X268" s="6868"/>
      <c r="Y268" s="6793"/>
      <c r="Z268" s="6794"/>
      <c r="AA268" s="6795"/>
      <c r="AB268" s="6796"/>
      <c r="AC268" s="6797"/>
      <c r="AD268" s="6798"/>
      <c r="AE268" s="4" t="s">
        <v>1</v>
      </c>
      <c r="AF268" s="6202" t="str">
        <f t="shared" si="108"/>
        <v>►</v>
      </c>
      <c r="AG268" s="6234" t="str">
        <f t="shared" si="109"/>
        <v/>
      </c>
      <c r="AH268" s="6732" t="str">
        <f t="shared" si="110"/>
        <v/>
      </c>
      <c r="AI268" s="6234" t="str">
        <f t="shared" si="111"/>
        <v/>
      </c>
      <c r="AJ268" s="6732" t="str">
        <f t="shared" si="112"/>
        <v/>
      </c>
      <c r="AK268" s="6732">
        <f t="shared" si="113"/>
        <v>0</v>
      </c>
      <c r="AL268" s="6230" t="str" cm="1">
        <f t="array" ref="AL268">IF(AF268&lt;&gt;"A","",IFERROR((IFERROR(_xlfn.XLOOKUP(TRIM(SUBSTITUTE(U268,CHAR(160)," ")),$BJ$15:$BJ$62,$BM$15:$BM$62),IFERROR(_xlfn.XLOOKUP(TRIM(SUBSTITUTE(U268,CHAR(160)," ")),$BK$15:$BK$62,$BM$15:$BM$62),_xlfn.XLOOKUP(TRIM(SUBSTITUTE(U268,CHAR(160)," ")),$BL$15:$BL$62,$BM$15:$BM$62))))*T268*IF(ISBLANK(Q268),1,Q268)+IFERROR(_xlfn.XLOOKUP("RECHERCHEX",TRIM(L268:AD268),L268:AD268),0),0))</f>
        <v/>
      </c>
      <c r="AM268" s="6229">
        <f t="shared" si="114"/>
        <v>0</v>
      </c>
      <c r="AN268" s="6857" t="str">
        <f t="shared" si="129"/>
        <v/>
      </c>
      <c r="AO268" s="392">
        <f t="shared" si="115"/>
        <v>0</v>
      </c>
      <c r="AP268" s="392">
        <f t="shared" si="116"/>
        <v>0</v>
      </c>
      <c r="AQ268" s="6190">
        <f t="shared" si="117"/>
        <v>0</v>
      </c>
      <c r="AR268" s="6858" t="str">
        <f t="shared" si="118"/>
        <v/>
      </c>
      <c r="AS268" s="6217"/>
      <c r="AT268" s="6217"/>
      <c r="AU268" s="6271">
        <f t="shared" si="119"/>
        <v>0</v>
      </c>
      <c r="AV268" s="6242">
        <f t="shared" si="120"/>
        <v>0</v>
      </c>
      <c r="AW268" s="6188" cm="1">
        <f t="array" ref="AW268">IF(AK268&lt;&gt;1,0,IF(OR(AU268="",N(AU268)&lt;=0.000000001),"",IF(OR(AO268="",N(AO268)&lt;=0.000000001),0,IF(ISNUMBER(AU268),IFERROR(_xlfn.LET(_xlpm.ai_test,TRIM(AJ268),_xlpm.r,IFERROR(_xlfn.XLOOKUP(_xlpm.ai_test,$BJ$15:$BJ$62,ROW($BJ$15:$BJ$62),0,1),IFERROR(_xlfn.XLOOKUP(_xlpm.ai_test,$BK$15:$BK$62,ROW($BK$15:$BK$62),0,1),_xlfn.XLOOKUP(_xlpm.ai_test,$BL$15:$BL$62,ROW($BL$15:$BL$62),0,1))),_xlpm.p,_xlpm.r-MIN(ROW($BJ$15:$BJ$62))+1,_xlpm.f,INDEX($BM$15:$BM$62,_xlpm.p),_xlpm.u,INDEX($BN$15:$BN$62,_xlpm.p),_xlpm.s,INDEX($BP$15:$BP$62,_xlpm.p),_xlpm.q,N(AU268)/_xlpm.f,IF(_xlpm.q&gt;=_xlpm.s,ROUND(_xlpm.q,1)&amp;" "&amp;_xlpm.ai_test&amp;" = "&amp;ROUND(_xlpm.q*_xlpm.f,1)&amp;" "&amp;_xlpm.u,ROUND(_xlpm.q,1)&amp;" "&amp;_xlpm.ai_test)),""),""))))</f>
        <v>0</v>
      </c>
      <c r="AX268" s="6218"/>
      <c r="AY268" s="6271">
        <f t="shared" si="121"/>
        <v>0</v>
      </c>
      <c r="AZ268" s="6242" t="str">
        <f t="shared" si="122"/>
        <v/>
      </c>
      <c r="BA268" s="6194">
        <f t="shared" si="127"/>
        <v>0</v>
      </c>
      <c r="BB268" s="6192" t="str">
        <f t="shared" si="123"/>
        <v/>
      </c>
      <c r="BC268" s="6219"/>
      <c r="BD268" s="6221">
        <f t="shared" si="128"/>
        <v>0</v>
      </c>
      <c r="BE268" s="6220" t="str">
        <f t="shared" si="124"/>
        <v/>
      </c>
      <c r="BF268" s="4" t="s">
        <v>1</v>
      </c>
      <c r="BG268" s="6196">
        <f t="shared" si="125"/>
        <v>0</v>
      </c>
      <c r="BH268" s="6197">
        <f t="shared" si="126"/>
        <v>0</v>
      </c>
      <c r="BI268"/>
      <c r="BJ268" s="1"/>
      <c r="BK268" s="1"/>
      <c r="BL268" s="1"/>
      <c r="BM268" s="1"/>
      <c r="BN268" s="1"/>
      <c r="BO268" s="1"/>
      <c r="BP268" s="1"/>
      <c r="BQ268" s="1"/>
      <c r="BR268"/>
      <c r="BS268"/>
      <c r="BT268"/>
      <c r="BU268"/>
      <c r="BV268"/>
      <c r="BW268"/>
      <c r="BX268" s="20" t="str">
        <f t="shared" si="131"/>
        <v>►</v>
      </c>
      <c r="BY268"/>
      <c r="BZ268"/>
      <c r="CA268"/>
      <c r="CB268"/>
      <c r="CC268"/>
      <c r="CE268"/>
      <c r="CF268"/>
      <c r="CG268"/>
      <c r="CH268"/>
      <c r="CI268"/>
      <c r="CJ268"/>
      <c r="CK268"/>
      <c r="CL268" s="4"/>
      <c r="CM268"/>
      <c r="CN268"/>
      <c r="CO268"/>
      <c r="CP268"/>
      <c r="CQ268"/>
      <c r="CR268"/>
      <c r="CS268"/>
      <c r="CT268" s="4"/>
      <c r="CU268"/>
      <c r="CV268"/>
      <c r="CW268"/>
      <c r="CX268"/>
      <c r="CY268"/>
      <c r="CZ268"/>
      <c r="DA268"/>
      <c r="DB268" s="4"/>
      <c r="DC268" s="5">
        <v>1</v>
      </c>
      <c r="DD268" s="1"/>
      <c r="DE268" s="1"/>
    </row>
    <row r="269" spans="1:109" s="2" customFormat="1" ht="21" customHeight="1">
      <c r="A269" s="5641" t="s">
        <v>1</v>
      </c>
      <c r="B269" s="5662" t="str">
        <f t="shared" si="130"/>
        <v>►</v>
      </c>
      <c r="C269" s="5825" cm="1">
        <f t="array" ref="C269">SUMPRODUCT(LEN(D269:J269))</f>
        <v>0</v>
      </c>
      <c r="D269" s="5275"/>
      <c r="E269" s="1361"/>
      <c r="F269" s="1361"/>
      <c r="G269" s="1361"/>
      <c r="H269" s="1361"/>
      <c r="I269" s="1361"/>
      <c r="J269" s="5276"/>
      <c r="K269" s="106" t="s">
        <v>1</v>
      </c>
      <c r="L269" s="1021" t="s">
        <v>26</v>
      </c>
      <c r="M269" s="6787"/>
      <c r="N269" s="6787"/>
      <c r="O269" s="6787"/>
      <c r="P269" s="6788"/>
      <c r="Q269" s="6789"/>
      <c r="R269" s="6790"/>
      <c r="S269" s="6786"/>
      <c r="T269" s="6791"/>
      <c r="U269" s="6844"/>
      <c r="V269" s="6791"/>
      <c r="W269" s="6785"/>
      <c r="X269" s="6868"/>
      <c r="Y269" s="6793"/>
      <c r="Z269" s="6794"/>
      <c r="AA269" s="6795"/>
      <c r="AB269" s="6796"/>
      <c r="AC269" s="6797"/>
      <c r="AD269" s="6798"/>
      <c r="AE269" s="4" t="s">
        <v>1</v>
      </c>
      <c r="AF269" s="6202" t="str">
        <f t="shared" si="108"/>
        <v>►</v>
      </c>
      <c r="AG269" s="6234" t="str">
        <f t="shared" si="109"/>
        <v/>
      </c>
      <c r="AH269" s="6732" t="str">
        <f t="shared" si="110"/>
        <v/>
      </c>
      <c r="AI269" s="6234" t="str">
        <f t="shared" si="111"/>
        <v/>
      </c>
      <c r="AJ269" s="6732" t="str">
        <f t="shared" si="112"/>
        <v/>
      </c>
      <c r="AK269" s="6732">
        <f t="shared" si="113"/>
        <v>0</v>
      </c>
      <c r="AL269" s="6230" t="str" cm="1">
        <f t="array" ref="AL269">IF(AF269&lt;&gt;"A","",IFERROR((IFERROR(_xlfn.XLOOKUP(TRIM(SUBSTITUTE(U269,CHAR(160)," ")),$BJ$15:$BJ$62,$BM$15:$BM$62),IFERROR(_xlfn.XLOOKUP(TRIM(SUBSTITUTE(U269,CHAR(160)," ")),$BK$15:$BK$62,$BM$15:$BM$62),_xlfn.XLOOKUP(TRIM(SUBSTITUTE(U269,CHAR(160)," ")),$BL$15:$BL$62,$BM$15:$BM$62))))*T269*IF(ISBLANK(Q269),1,Q269)+IFERROR(_xlfn.XLOOKUP("RECHERCHEX",TRIM(L269:AD269),L269:AD269),0),0))</f>
        <v/>
      </c>
      <c r="AM269" s="6229">
        <f t="shared" si="114"/>
        <v>0</v>
      </c>
      <c r="AN269" s="6857" t="str">
        <f t="shared" si="129"/>
        <v/>
      </c>
      <c r="AO269" s="392">
        <f t="shared" si="115"/>
        <v>0</v>
      </c>
      <c r="AP269" s="392">
        <f t="shared" si="116"/>
        <v>0</v>
      </c>
      <c r="AQ269" s="6191">
        <f t="shared" si="117"/>
        <v>0</v>
      </c>
      <c r="AR269" s="6859" t="str">
        <f t="shared" si="118"/>
        <v/>
      </c>
      <c r="AS269" s="6217"/>
      <c r="AT269" s="6217"/>
      <c r="AU269" s="6272">
        <f t="shared" si="119"/>
        <v>0</v>
      </c>
      <c r="AV269" s="6240">
        <f t="shared" si="120"/>
        <v>0</v>
      </c>
      <c r="AW269" s="6189" cm="1">
        <f t="array" ref="AW269">IF(AK269&lt;&gt;1,0,IF(OR(AU269="",N(AU269)&lt;=0.000000001),"",IF(OR(AO269="",N(AO269)&lt;=0.000000001),0,IF(ISNUMBER(AU269),IFERROR(_xlfn.LET(_xlpm.ai_test,TRIM(AJ269),_xlpm.r,IFERROR(_xlfn.XLOOKUP(_xlpm.ai_test,$BJ$15:$BJ$62,ROW($BJ$15:$BJ$62),0,1),IFERROR(_xlfn.XLOOKUP(_xlpm.ai_test,$BK$15:$BK$62,ROW($BK$15:$BK$62),0,1),_xlfn.XLOOKUP(_xlpm.ai_test,$BL$15:$BL$62,ROW($BL$15:$BL$62),0,1))),_xlpm.p,_xlpm.r-MIN(ROW($BJ$15:$BJ$62))+1,_xlpm.f,INDEX($BM$15:$BM$62,_xlpm.p),_xlpm.u,INDEX($BN$15:$BN$62,_xlpm.p),_xlpm.s,INDEX($BP$15:$BP$62,_xlpm.p),_xlpm.q,N(AU269)/_xlpm.f,IF(_xlpm.q&gt;=_xlpm.s,ROUND(_xlpm.q,1)&amp;" "&amp;_xlpm.ai_test&amp;" = "&amp;ROUND(_xlpm.q*_xlpm.f,1)&amp;" "&amp;_xlpm.u,ROUND(_xlpm.q,1)&amp;" "&amp;_xlpm.ai_test)),""),""))))</f>
        <v>0</v>
      </c>
      <c r="AX269" s="6218"/>
      <c r="AY269" s="6272">
        <f t="shared" si="121"/>
        <v>0</v>
      </c>
      <c r="AZ269" s="6240" t="str">
        <f t="shared" si="122"/>
        <v/>
      </c>
      <c r="BA269" s="6195">
        <f t="shared" si="127"/>
        <v>0</v>
      </c>
      <c r="BB269" s="6193" t="str">
        <f t="shared" si="123"/>
        <v/>
      </c>
      <c r="BC269" s="6219"/>
      <c r="BD269" s="6222">
        <f t="shared" si="128"/>
        <v>0</v>
      </c>
      <c r="BE269" s="6220" t="str">
        <f t="shared" si="124"/>
        <v/>
      </c>
      <c r="BF269" s="4" t="s">
        <v>1</v>
      </c>
      <c r="BG269" s="6196">
        <f t="shared" si="125"/>
        <v>0</v>
      </c>
      <c r="BH269" s="6197">
        <f t="shared" si="126"/>
        <v>0</v>
      </c>
      <c r="BI269"/>
      <c r="BJ269" s="1"/>
      <c r="BK269" s="1"/>
      <c r="BL269" s="1"/>
      <c r="BM269" s="1"/>
      <c r="BN269" s="1"/>
      <c r="BO269" s="1"/>
      <c r="BP269" s="1"/>
      <c r="BQ269" s="1"/>
      <c r="BR269"/>
      <c r="BS269"/>
      <c r="BT269"/>
      <c r="BU269"/>
      <c r="BV269"/>
      <c r="BW269"/>
      <c r="BX269" s="20" t="str">
        <f t="shared" si="131"/>
        <v>►</v>
      </c>
      <c r="BY269"/>
      <c r="BZ269"/>
      <c r="CA269"/>
      <c r="CB269"/>
      <c r="CC269"/>
      <c r="CE269"/>
      <c r="CF269"/>
      <c r="CG269"/>
      <c r="CH269"/>
      <c r="CI269"/>
      <c r="CJ269"/>
      <c r="CK269"/>
      <c r="CL269" s="4"/>
      <c r="CM269"/>
      <c r="CN269"/>
      <c r="CO269"/>
      <c r="CP269"/>
      <c r="CQ269"/>
      <c r="CR269"/>
      <c r="CS269"/>
      <c r="CT269" s="4"/>
      <c r="CU269"/>
      <c r="CV269"/>
      <c r="CW269"/>
      <c r="CX269"/>
      <c r="CY269"/>
      <c r="CZ269"/>
      <c r="DA269"/>
      <c r="DB269" s="4"/>
      <c r="DC269" s="5">
        <v>1</v>
      </c>
      <c r="DD269" s="1"/>
      <c r="DE269" s="1"/>
    </row>
    <row r="270" spans="1:109" s="2" customFormat="1" ht="21" customHeight="1">
      <c r="A270" s="5641" t="s">
        <v>1</v>
      </c>
      <c r="B270" s="5662" t="str">
        <f t="shared" si="130"/>
        <v>►</v>
      </c>
      <c r="C270" s="5825" cm="1">
        <f t="array" ref="C270">SUMPRODUCT(LEN(D270:J270))</f>
        <v>0</v>
      </c>
      <c r="D270" s="5275"/>
      <c r="E270" s="1361"/>
      <c r="F270" s="1361"/>
      <c r="G270" s="1361"/>
      <c r="H270" s="1361"/>
      <c r="I270" s="1361"/>
      <c r="J270" s="5276"/>
      <c r="K270" s="106" t="s">
        <v>1</v>
      </c>
      <c r="L270" s="1021" t="s">
        <v>26</v>
      </c>
      <c r="M270" s="6787"/>
      <c r="N270" s="6787"/>
      <c r="O270" s="6787"/>
      <c r="P270" s="6788"/>
      <c r="Q270" s="6789"/>
      <c r="R270" s="6790"/>
      <c r="S270" s="6786"/>
      <c r="T270" s="6791"/>
      <c r="U270" s="6844"/>
      <c r="V270" s="6791"/>
      <c r="W270" s="6785"/>
      <c r="X270" s="6868"/>
      <c r="Y270" s="6793"/>
      <c r="Z270" s="6794"/>
      <c r="AA270" s="6795"/>
      <c r="AB270" s="6796"/>
      <c r="AC270" s="6797"/>
      <c r="AD270" s="6798"/>
      <c r="AE270" s="4" t="s">
        <v>1</v>
      </c>
      <c r="AF270" s="6202" t="str">
        <f t="shared" si="108"/>
        <v>►</v>
      </c>
      <c r="AG270" s="6234" t="str">
        <f t="shared" si="109"/>
        <v/>
      </c>
      <c r="AH270" s="6732" t="str">
        <f t="shared" si="110"/>
        <v/>
      </c>
      <c r="AI270" s="6234" t="str">
        <f t="shared" si="111"/>
        <v/>
      </c>
      <c r="AJ270" s="6732" t="str">
        <f t="shared" si="112"/>
        <v/>
      </c>
      <c r="AK270" s="6732">
        <f t="shared" si="113"/>
        <v>0</v>
      </c>
      <c r="AL270" s="6230" t="str" cm="1">
        <f t="array" ref="AL270">IF(AF270&lt;&gt;"A","",IFERROR((IFERROR(_xlfn.XLOOKUP(TRIM(SUBSTITUTE(U270,CHAR(160)," ")),$BJ$15:$BJ$62,$BM$15:$BM$62),IFERROR(_xlfn.XLOOKUP(TRIM(SUBSTITUTE(U270,CHAR(160)," ")),$BK$15:$BK$62,$BM$15:$BM$62),_xlfn.XLOOKUP(TRIM(SUBSTITUTE(U270,CHAR(160)," ")),$BL$15:$BL$62,$BM$15:$BM$62))))*T270*IF(ISBLANK(Q270),1,Q270)+IFERROR(_xlfn.XLOOKUP("RECHERCHEX",TRIM(L270:AD270),L270:AD270),0),0))</f>
        <v/>
      </c>
      <c r="AM270" s="6229">
        <f t="shared" si="114"/>
        <v>0</v>
      </c>
      <c r="AN270" s="6857" t="str">
        <f t="shared" si="129"/>
        <v/>
      </c>
      <c r="AO270" s="392">
        <f t="shared" si="115"/>
        <v>0</v>
      </c>
      <c r="AP270" s="392">
        <f t="shared" si="116"/>
        <v>0</v>
      </c>
      <c r="AQ270" s="6190">
        <f t="shared" si="117"/>
        <v>0</v>
      </c>
      <c r="AR270" s="6858" t="str">
        <f t="shared" si="118"/>
        <v/>
      </c>
      <c r="AS270" s="6217"/>
      <c r="AT270" s="6217"/>
      <c r="AU270" s="6271">
        <f t="shared" si="119"/>
        <v>0</v>
      </c>
      <c r="AV270" s="6242">
        <f t="shared" si="120"/>
        <v>0</v>
      </c>
      <c r="AW270" s="6188" cm="1">
        <f t="array" ref="AW270">IF(AK270&lt;&gt;1,0,IF(OR(AU270="",N(AU270)&lt;=0.000000001),"",IF(OR(AO270="",N(AO270)&lt;=0.000000001),0,IF(ISNUMBER(AU270),IFERROR(_xlfn.LET(_xlpm.ai_test,TRIM(AJ270),_xlpm.r,IFERROR(_xlfn.XLOOKUP(_xlpm.ai_test,$BJ$15:$BJ$62,ROW($BJ$15:$BJ$62),0,1),IFERROR(_xlfn.XLOOKUP(_xlpm.ai_test,$BK$15:$BK$62,ROW($BK$15:$BK$62),0,1),_xlfn.XLOOKUP(_xlpm.ai_test,$BL$15:$BL$62,ROW($BL$15:$BL$62),0,1))),_xlpm.p,_xlpm.r-MIN(ROW($BJ$15:$BJ$62))+1,_xlpm.f,INDEX($BM$15:$BM$62,_xlpm.p),_xlpm.u,INDEX($BN$15:$BN$62,_xlpm.p),_xlpm.s,INDEX($BP$15:$BP$62,_xlpm.p),_xlpm.q,N(AU270)/_xlpm.f,IF(_xlpm.q&gt;=_xlpm.s,ROUND(_xlpm.q,1)&amp;" "&amp;_xlpm.ai_test&amp;" = "&amp;ROUND(_xlpm.q*_xlpm.f,1)&amp;" "&amp;_xlpm.u,ROUND(_xlpm.q,1)&amp;" "&amp;_xlpm.ai_test)),""),""))))</f>
        <v>0</v>
      </c>
      <c r="AX270" s="6218"/>
      <c r="AY270" s="6271">
        <f t="shared" si="121"/>
        <v>0</v>
      </c>
      <c r="AZ270" s="6242" t="str">
        <f t="shared" si="122"/>
        <v/>
      </c>
      <c r="BA270" s="6194">
        <f t="shared" si="127"/>
        <v>0</v>
      </c>
      <c r="BB270" s="6192" t="str">
        <f t="shared" si="123"/>
        <v/>
      </c>
      <c r="BC270" s="6219"/>
      <c r="BD270" s="6221">
        <f t="shared" si="128"/>
        <v>0</v>
      </c>
      <c r="BE270" s="6220" t="str">
        <f t="shared" si="124"/>
        <v/>
      </c>
      <c r="BF270" s="4" t="s">
        <v>1</v>
      </c>
      <c r="BG270" s="6196">
        <f t="shared" si="125"/>
        <v>0</v>
      </c>
      <c r="BH270" s="6197">
        <f t="shared" si="126"/>
        <v>0</v>
      </c>
      <c r="BI270"/>
      <c r="BJ270" s="1"/>
      <c r="BK270" s="1"/>
      <c r="BL270" s="1"/>
      <c r="BM270" s="1"/>
      <c r="BN270" s="1"/>
      <c r="BO270" s="1"/>
      <c r="BP270" s="1"/>
      <c r="BQ270" s="1"/>
      <c r="BR270"/>
      <c r="BS270"/>
      <c r="BT270"/>
      <c r="BU270"/>
      <c r="BV270"/>
      <c r="BW270"/>
      <c r="BX270" s="20" t="str">
        <f t="shared" si="131"/>
        <v>►</v>
      </c>
      <c r="BY270"/>
      <c r="BZ270"/>
      <c r="CA270"/>
      <c r="CB270"/>
      <c r="CC270"/>
      <c r="CE270"/>
      <c r="CF270"/>
      <c r="CG270"/>
      <c r="CH270"/>
      <c r="CI270"/>
      <c r="CJ270"/>
      <c r="CK270"/>
      <c r="CL270" s="4"/>
      <c r="CM270"/>
      <c r="CN270"/>
      <c r="CO270"/>
      <c r="CP270"/>
      <c r="CQ270"/>
      <c r="CR270"/>
      <c r="CS270"/>
      <c r="CT270" s="4"/>
      <c r="CU270"/>
      <c r="CV270"/>
      <c r="CW270"/>
      <c r="CX270"/>
      <c r="CY270"/>
      <c r="CZ270"/>
      <c r="DA270"/>
      <c r="DB270" s="4"/>
      <c r="DC270" s="5">
        <v>1</v>
      </c>
      <c r="DD270" s="1"/>
      <c r="DE270" s="1"/>
    </row>
    <row r="271" spans="1:109" s="2" customFormat="1" ht="21" customHeight="1">
      <c r="A271" s="5641" t="s">
        <v>1</v>
      </c>
      <c r="B271" s="5662" t="str">
        <f t="shared" si="130"/>
        <v>►</v>
      </c>
      <c r="C271" s="5825" cm="1">
        <f t="array" ref="C271">SUMPRODUCT(LEN(D271:J271))</f>
        <v>0</v>
      </c>
      <c r="D271" s="5275"/>
      <c r="E271" s="1361"/>
      <c r="F271" s="1361"/>
      <c r="G271" s="1361"/>
      <c r="H271" s="1361"/>
      <c r="I271" s="1361"/>
      <c r="J271" s="5276"/>
      <c r="K271" s="106" t="s">
        <v>1</v>
      </c>
      <c r="L271" s="1021" t="s">
        <v>26</v>
      </c>
      <c r="M271" s="6787"/>
      <c r="N271" s="6787"/>
      <c r="O271" s="6787"/>
      <c r="P271" s="6788"/>
      <c r="Q271" s="6789"/>
      <c r="R271" s="6790"/>
      <c r="S271" s="6786"/>
      <c r="T271" s="6791"/>
      <c r="U271" s="6844"/>
      <c r="V271" s="6791"/>
      <c r="W271" s="6785"/>
      <c r="X271" s="6868"/>
      <c r="Y271" s="6793"/>
      <c r="Z271" s="6794"/>
      <c r="AA271" s="6795"/>
      <c r="AB271" s="6796"/>
      <c r="AC271" s="6797"/>
      <c r="AD271" s="6798"/>
      <c r="AE271" s="4" t="s">
        <v>1</v>
      </c>
      <c r="AF271" s="6202" t="str">
        <f t="shared" si="108"/>
        <v>►</v>
      </c>
      <c r="AG271" s="6234" t="str">
        <f t="shared" si="109"/>
        <v/>
      </c>
      <c r="AH271" s="6732" t="str">
        <f t="shared" si="110"/>
        <v/>
      </c>
      <c r="AI271" s="6234" t="str">
        <f t="shared" si="111"/>
        <v/>
      </c>
      <c r="AJ271" s="6732" t="str">
        <f t="shared" si="112"/>
        <v/>
      </c>
      <c r="AK271" s="6732">
        <f t="shared" si="113"/>
        <v>0</v>
      </c>
      <c r="AL271" s="6230" t="str" cm="1">
        <f t="array" ref="AL271">IF(AF271&lt;&gt;"A","",IFERROR((IFERROR(_xlfn.XLOOKUP(TRIM(SUBSTITUTE(U271,CHAR(160)," ")),$BJ$15:$BJ$62,$BM$15:$BM$62),IFERROR(_xlfn.XLOOKUP(TRIM(SUBSTITUTE(U271,CHAR(160)," ")),$BK$15:$BK$62,$BM$15:$BM$62),_xlfn.XLOOKUP(TRIM(SUBSTITUTE(U271,CHAR(160)," ")),$BL$15:$BL$62,$BM$15:$BM$62))))*T271*IF(ISBLANK(Q271),1,Q271)+IFERROR(_xlfn.XLOOKUP("RECHERCHEX",TRIM(L271:AD271),L271:AD271),0),0))</f>
        <v/>
      </c>
      <c r="AM271" s="6229">
        <f t="shared" si="114"/>
        <v>0</v>
      </c>
      <c r="AN271" s="6857" t="str">
        <f t="shared" si="129"/>
        <v/>
      </c>
      <c r="AO271" s="392">
        <f t="shared" si="115"/>
        <v>0</v>
      </c>
      <c r="AP271" s="392">
        <f t="shared" si="116"/>
        <v>0</v>
      </c>
      <c r="AQ271" s="6191">
        <f t="shared" si="117"/>
        <v>0</v>
      </c>
      <c r="AR271" s="6859" t="str">
        <f t="shared" si="118"/>
        <v/>
      </c>
      <c r="AS271" s="6217"/>
      <c r="AT271" s="6217"/>
      <c r="AU271" s="6272">
        <f t="shared" si="119"/>
        <v>0</v>
      </c>
      <c r="AV271" s="6240">
        <f t="shared" si="120"/>
        <v>0</v>
      </c>
      <c r="AW271" s="6189" cm="1">
        <f t="array" ref="AW271">IF(AK271&lt;&gt;1,0,IF(OR(AU271="",N(AU271)&lt;=0.000000001),"",IF(OR(AO271="",N(AO271)&lt;=0.000000001),0,IF(ISNUMBER(AU271),IFERROR(_xlfn.LET(_xlpm.ai_test,TRIM(AJ271),_xlpm.r,IFERROR(_xlfn.XLOOKUP(_xlpm.ai_test,$BJ$15:$BJ$62,ROW($BJ$15:$BJ$62),0,1),IFERROR(_xlfn.XLOOKUP(_xlpm.ai_test,$BK$15:$BK$62,ROW($BK$15:$BK$62),0,1),_xlfn.XLOOKUP(_xlpm.ai_test,$BL$15:$BL$62,ROW($BL$15:$BL$62),0,1))),_xlpm.p,_xlpm.r-MIN(ROW($BJ$15:$BJ$62))+1,_xlpm.f,INDEX($BM$15:$BM$62,_xlpm.p),_xlpm.u,INDEX($BN$15:$BN$62,_xlpm.p),_xlpm.s,INDEX($BP$15:$BP$62,_xlpm.p),_xlpm.q,N(AU271)/_xlpm.f,IF(_xlpm.q&gt;=_xlpm.s,ROUND(_xlpm.q,1)&amp;" "&amp;_xlpm.ai_test&amp;" = "&amp;ROUND(_xlpm.q*_xlpm.f,1)&amp;" "&amp;_xlpm.u,ROUND(_xlpm.q,1)&amp;" "&amp;_xlpm.ai_test)),""),""))))</f>
        <v>0</v>
      </c>
      <c r="AX271" s="6218"/>
      <c r="AY271" s="6272">
        <f t="shared" si="121"/>
        <v>0</v>
      </c>
      <c r="AZ271" s="6240" t="str">
        <f t="shared" si="122"/>
        <v/>
      </c>
      <c r="BA271" s="6195">
        <f t="shared" si="127"/>
        <v>0</v>
      </c>
      <c r="BB271" s="6193" t="str">
        <f t="shared" si="123"/>
        <v/>
      </c>
      <c r="BC271" s="6219"/>
      <c r="BD271" s="6222">
        <f t="shared" si="128"/>
        <v>0</v>
      </c>
      <c r="BE271" s="6220" t="str">
        <f t="shared" si="124"/>
        <v/>
      </c>
      <c r="BF271" s="4" t="s">
        <v>1</v>
      </c>
      <c r="BG271" s="6196">
        <f t="shared" si="125"/>
        <v>0</v>
      </c>
      <c r="BH271" s="6197">
        <f t="shared" si="126"/>
        <v>0</v>
      </c>
      <c r="BI271"/>
      <c r="BJ271" s="1"/>
      <c r="BK271" s="1"/>
      <c r="BL271" s="1"/>
      <c r="BM271" s="1"/>
      <c r="BN271" s="1"/>
      <c r="BO271" s="1"/>
      <c r="BP271" s="1"/>
      <c r="BQ271" s="1"/>
      <c r="BR271"/>
      <c r="BS271"/>
      <c r="BT271"/>
      <c r="BU271"/>
      <c r="BV271"/>
      <c r="BW271"/>
      <c r="BX271" s="20" t="str">
        <f t="shared" si="131"/>
        <v>►</v>
      </c>
      <c r="BY271"/>
      <c r="BZ271"/>
      <c r="CA271"/>
      <c r="CB271"/>
      <c r="CC271"/>
      <c r="CE271"/>
      <c r="CF271"/>
      <c r="CG271"/>
      <c r="CH271"/>
      <c r="CI271"/>
      <c r="CJ271"/>
      <c r="CK271"/>
      <c r="CL271" s="4"/>
      <c r="CM271"/>
      <c r="CN271"/>
      <c r="CO271"/>
      <c r="CP271"/>
      <c r="CQ271"/>
      <c r="CR271"/>
      <c r="CS271"/>
      <c r="CT271" s="4"/>
      <c r="CU271"/>
      <c r="CV271"/>
      <c r="CW271"/>
      <c r="CX271"/>
      <c r="CY271"/>
      <c r="CZ271"/>
      <c r="DA271"/>
      <c r="DB271" s="4"/>
      <c r="DC271" s="5">
        <v>1</v>
      </c>
      <c r="DD271" s="1"/>
      <c r="DE271" s="1"/>
    </row>
    <row r="272" spans="1:109" s="2" customFormat="1" ht="21" customHeight="1">
      <c r="A272" s="5641" t="s">
        <v>1</v>
      </c>
      <c r="B272" s="5662" t="str">
        <f t="shared" si="130"/>
        <v>►</v>
      </c>
      <c r="C272" s="5825" cm="1">
        <f t="array" ref="C272">SUMPRODUCT(LEN(D272:J272))</f>
        <v>0</v>
      </c>
      <c r="D272" s="5275"/>
      <c r="E272" s="1361"/>
      <c r="F272" s="1361"/>
      <c r="G272" s="1361"/>
      <c r="H272" s="1361"/>
      <c r="I272" s="1361"/>
      <c r="J272" s="5276"/>
      <c r="K272" s="106" t="s">
        <v>1</v>
      </c>
      <c r="L272" s="1021" t="s">
        <v>26</v>
      </c>
      <c r="M272" s="6787"/>
      <c r="N272" s="6787"/>
      <c r="O272" s="6787"/>
      <c r="P272" s="6788"/>
      <c r="Q272" s="6789"/>
      <c r="R272" s="6790"/>
      <c r="S272" s="6786"/>
      <c r="T272" s="6791"/>
      <c r="U272" s="6844"/>
      <c r="V272" s="6791"/>
      <c r="W272" s="6785"/>
      <c r="X272" s="6868"/>
      <c r="Y272" s="6793"/>
      <c r="Z272" s="6794"/>
      <c r="AA272" s="6795"/>
      <c r="AB272" s="6796"/>
      <c r="AC272" s="6797"/>
      <c r="AD272" s="6798"/>
      <c r="AE272" s="4" t="s">
        <v>1</v>
      </c>
      <c r="AF272" s="6202" t="str">
        <f t="shared" si="108"/>
        <v>►</v>
      </c>
      <c r="AG272" s="6234" t="str">
        <f t="shared" si="109"/>
        <v/>
      </c>
      <c r="AH272" s="6732" t="str">
        <f t="shared" si="110"/>
        <v/>
      </c>
      <c r="AI272" s="6234" t="str">
        <f t="shared" si="111"/>
        <v/>
      </c>
      <c r="AJ272" s="6732" t="str">
        <f t="shared" si="112"/>
        <v/>
      </c>
      <c r="AK272" s="6732">
        <f t="shared" si="113"/>
        <v>0</v>
      </c>
      <c r="AL272" s="6230" t="str" cm="1">
        <f t="array" ref="AL272">IF(AF272&lt;&gt;"A","",IFERROR((IFERROR(_xlfn.XLOOKUP(TRIM(SUBSTITUTE(U272,CHAR(160)," ")),$BJ$15:$BJ$62,$BM$15:$BM$62),IFERROR(_xlfn.XLOOKUP(TRIM(SUBSTITUTE(U272,CHAR(160)," ")),$BK$15:$BK$62,$BM$15:$BM$62),_xlfn.XLOOKUP(TRIM(SUBSTITUTE(U272,CHAR(160)," ")),$BL$15:$BL$62,$BM$15:$BM$62))))*T272*IF(ISBLANK(Q272),1,Q272)+IFERROR(_xlfn.XLOOKUP("RECHERCHEX",TRIM(L272:AD272),L272:AD272),0),0))</f>
        <v/>
      </c>
      <c r="AM272" s="6229">
        <f t="shared" si="114"/>
        <v>0</v>
      </c>
      <c r="AN272" s="6857" t="str">
        <f t="shared" si="129"/>
        <v/>
      </c>
      <c r="AO272" s="392">
        <f t="shared" si="115"/>
        <v>0</v>
      </c>
      <c r="AP272" s="392">
        <f t="shared" si="116"/>
        <v>0</v>
      </c>
      <c r="AQ272" s="6190">
        <f t="shared" si="117"/>
        <v>0</v>
      </c>
      <c r="AR272" s="6858" t="str">
        <f t="shared" si="118"/>
        <v/>
      </c>
      <c r="AS272" s="6217"/>
      <c r="AT272" s="6217"/>
      <c r="AU272" s="6271">
        <f t="shared" si="119"/>
        <v>0</v>
      </c>
      <c r="AV272" s="6242">
        <f t="shared" si="120"/>
        <v>0</v>
      </c>
      <c r="AW272" s="6188" cm="1">
        <f t="array" ref="AW272">IF(AK272&lt;&gt;1,0,IF(OR(AU272="",N(AU272)&lt;=0.000000001),"",IF(OR(AO272="",N(AO272)&lt;=0.000000001),0,IF(ISNUMBER(AU272),IFERROR(_xlfn.LET(_xlpm.ai_test,TRIM(AJ272),_xlpm.r,IFERROR(_xlfn.XLOOKUP(_xlpm.ai_test,$BJ$15:$BJ$62,ROW($BJ$15:$BJ$62),0,1),IFERROR(_xlfn.XLOOKUP(_xlpm.ai_test,$BK$15:$BK$62,ROW($BK$15:$BK$62),0,1),_xlfn.XLOOKUP(_xlpm.ai_test,$BL$15:$BL$62,ROW($BL$15:$BL$62),0,1))),_xlpm.p,_xlpm.r-MIN(ROW($BJ$15:$BJ$62))+1,_xlpm.f,INDEX($BM$15:$BM$62,_xlpm.p),_xlpm.u,INDEX($BN$15:$BN$62,_xlpm.p),_xlpm.s,INDEX($BP$15:$BP$62,_xlpm.p),_xlpm.q,N(AU272)/_xlpm.f,IF(_xlpm.q&gt;=_xlpm.s,ROUND(_xlpm.q,1)&amp;" "&amp;_xlpm.ai_test&amp;" = "&amp;ROUND(_xlpm.q*_xlpm.f,1)&amp;" "&amp;_xlpm.u,ROUND(_xlpm.q,1)&amp;" "&amp;_xlpm.ai_test)),""),""))))</f>
        <v>0</v>
      </c>
      <c r="AX272" s="6218"/>
      <c r="AY272" s="6271">
        <f t="shared" si="121"/>
        <v>0</v>
      </c>
      <c r="AZ272" s="6242" t="str">
        <f t="shared" si="122"/>
        <v/>
      </c>
      <c r="BA272" s="6194">
        <f t="shared" si="127"/>
        <v>0</v>
      </c>
      <c r="BB272" s="6192" t="str">
        <f t="shared" si="123"/>
        <v/>
      </c>
      <c r="BC272" s="6219"/>
      <c r="BD272" s="6221">
        <f t="shared" si="128"/>
        <v>0</v>
      </c>
      <c r="BE272" s="6220" t="str">
        <f t="shared" si="124"/>
        <v/>
      </c>
      <c r="BF272" s="4" t="s">
        <v>1</v>
      </c>
      <c r="BG272" s="6196">
        <f t="shared" si="125"/>
        <v>0</v>
      </c>
      <c r="BH272" s="6197">
        <f t="shared" si="126"/>
        <v>0</v>
      </c>
      <c r="BI272"/>
      <c r="BJ272" s="1"/>
      <c r="BK272" s="1"/>
      <c r="BL272" s="1"/>
      <c r="BM272" s="1"/>
      <c r="BN272" s="1"/>
      <c r="BO272" s="1"/>
      <c r="BP272" s="1"/>
      <c r="BQ272" s="1"/>
      <c r="BR272"/>
      <c r="BS272"/>
      <c r="BT272"/>
      <c r="BU272"/>
      <c r="BV272"/>
      <c r="BW272"/>
      <c r="BX272" s="20" t="str">
        <f t="shared" si="131"/>
        <v>►</v>
      </c>
      <c r="BY272"/>
      <c r="BZ272"/>
      <c r="CA272"/>
      <c r="CB272"/>
      <c r="CC272"/>
      <c r="CE272"/>
      <c r="CF272"/>
      <c r="CG272"/>
      <c r="CH272"/>
      <c r="CI272"/>
      <c r="CJ272"/>
      <c r="CK272"/>
      <c r="CL272" s="4"/>
      <c r="CM272"/>
      <c r="CN272"/>
      <c r="CO272"/>
      <c r="CP272"/>
      <c r="CQ272"/>
      <c r="CR272"/>
      <c r="CS272"/>
      <c r="CT272" s="4"/>
      <c r="CU272"/>
      <c r="CV272"/>
      <c r="CW272"/>
      <c r="CX272"/>
      <c r="CY272"/>
      <c r="CZ272"/>
      <c r="DA272"/>
      <c r="DB272" s="4"/>
      <c r="DC272" s="5">
        <v>1</v>
      </c>
      <c r="DD272" s="1"/>
      <c r="DE272" s="1"/>
    </row>
    <row r="273" spans="1:109" s="2" customFormat="1" ht="21" customHeight="1">
      <c r="A273" s="5641" t="s">
        <v>1</v>
      </c>
      <c r="B273" s="5662" t="str">
        <f t="shared" si="130"/>
        <v>►</v>
      </c>
      <c r="C273" s="5825" cm="1">
        <f t="array" ref="C273">SUMPRODUCT(LEN(D273:J273))</f>
        <v>0</v>
      </c>
      <c r="D273" s="5275"/>
      <c r="E273" s="1361"/>
      <c r="F273" s="1361"/>
      <c r="G273" s="1361"/>
      <c r="H273" s="1361"/>
      <c r="I273" s="1361"/>
      <c r="J273" s="5276"/>
      <c r="K273" s="106" t="s">
        <v>1</v>
      </c>
      <c r="L273" s="1021" t="s">
        <v>26</v>
      </c>
      <c r="M273" s="6787"/>
      <c r="N273" s="6787"/>
      <c r="O273" s="6787"/>
      <c r="P273" s="6788"/>
      <c r="Q273" s="6789"/>
      <c r="R273" s="6790"/>
      <c r="S273" s="6786"/>
      <c r="T273" s="6791"/>
      <c r="U273" s="6844"/>
      <c r="V273" s="6791"/>
      <c r="W273" s="6785"/>
      <c r="X273" s="6868"/>
      <c r="Y273" s="6793"/>
      <c r="Z273" s="6794"/>
      <c r="AA273" s="6795"/>
      <c r="AB273" s="6796"/>
      <c r="AC273" s="6797"/>
      <c r="AD273" s="6798"/>
      <c r="AE273" s="4" t="s">
        <v>1</v>
      </c>
      <c r="AF273" s="6202" t="str">
        <f t="shared" si="108"/>
        <v>►</v>
      </c>
      <c r="AG273" s="6234" t="str">
        <f t="shared" si="109"/>
        <v/>
      </c>
      <c r="AH273" s="6732" t="str">
        <f t="shared" si="110"/>
        <v/>
      </c>
      <c r="AI273" s="6234" t="str">
        <f t="shared" si="111"/>
        <v/>
      </c>
      <c r="AJ273" s="6732" t="str">
        <f t="shared" si="112"/>
        <v/>
      </c>
      <c r="AK273" s="6732">
        <f t="shared" si="113"/>
        <v>0</v>
      </c>
      <c r="AL273" s="6230" t="str" cm="1">
        <f t="array" ref="AL273">IF(AF273&lt;&gt;"A","",IFERROR((IFERROR(_xlfn.XLOOKUP(TRIM(SUBSTITUTE(U273,CHAR(160)," ")),$BJ$15:$BJ$62,$BM$15:$BM$62),IFERROR(_xlfn.XLOOKUP(TRIM(SUBSTITUTE(U273,CHAR(160)," ")),$BK$15:$BK$62,$BM$15:$BM$62),_xlfn.XLOOKUP(TRIM(SUBSTITUTE(U273,CHAR(160)," ")),$BL$15:$BL$62,$BM$15:$BM$62))))*T273*IF(ISBLANK(Q273),1,Q273)+IFERROR(_xlfn.XLOOKUP("RECHERCHEX",TRIM(L273:AD273),L273:AD273),0),0))</f>
        <v/>
      </c>
      <c r="AM273" s="6229">
        <f t="shared" si="114"/>
        <v>0</v>
      </c>
      <c r="AN273" s="6857" t="str">
        <f t="shared" si="129"/>
        <v/>
      </c>
      <c r="AO273" s="392">
        <f t="shared" si="115"/>
        <v>0</v>
      </c>
      <c r="AP273" s="392">
        <f t="shared" si="116"/>
        <v>0</v>
      </c>
      <c r="AQ273" s="6191">
        <f t="shared" si="117"/>
        <v>0</v>
      </c>
      <c r="AR273" s="6859" t="str">
        <f t="shared" si="118"/>
        <v/>
      </c>
      <c r="AS273" s="6217"/>
      <c r="AT273" s="6217"/>
      <c r="AU273" s="6272">
        <f t="shared" si="119"/>
        <v>0</v>
      </c>
      <c r="AV273" s="6240">
        <f t="shared" si="120"/>
        <v>0</v>
      </c>
      <c r="AW273" s="6189" cm="1">
        <f t="array" ref="AW273">IF(AK273&lt;&gt;1,0,IF(OR(AU273="",N(AU273)&lt;=0.000000001),"",IF(OR(AO273="",N(AO273)&lt;=0.000000001),0,IF(ISNUMBER(AU273),IFERROR(_xlfn.LET(_xlpm.ai_test,TRIM(AJ273),_xlpm.r,IFERROR(_xlfn.XLOOKUP(_xlpm.ai_test,$BJ$15:$BJ$62,ROW($BJ$15:$BJ$62),0,1),IFERROR(_xlfn.XLOOKUP(_xlpm.ai_test,$BK$15:$BK$62,ROW($BK$15:$BK$62),0,1),_xlfn.XLOOKUP(_xlpm.ai_test,$BL$15:$BL$62,ROW($BL$15:$BL$62),0,1))),_xlpm.p,_xlpm.r-MIN(ROW($BJ$15:$BJ$62))+1,_xlpm.f,INDEX($BM$15:$BM$62,_xlpm.p),_xlpm.u,INDEX($BN$15:$BN$62,_xlpm.p),_xlpm.s,INDEX($BP$15:$BP$62,_xlpm.p),_xlpm.q,N(AU273)/_xlpm.f,IF(_xlpm.q&gt;=_xlpm.s,ROUND(_xlpm.q,1)&amp;" "&amp;_xlpm.ai_test&amp;" = "&amp;ROUND(_xlpm.q*_xlpm.f,1)&amp;" "&amp;_xlpm.u,ROUND(_xlpm.q,1)&amp;" "&amp;_xlpm.ai_test)),""),""))))</f>
        <v>0</v>
      </c>
      <c r="AX273" s="6218"/>
      <c r="AY273" s="6272">
        <f t="shared" si="121"/>
        <v>0</v>
      </c>
      <c r="AZ273" s="6240" t="str">
        <f t="shared" si="122"/>
        <v/>
      </c>
      <c r="BA273" s="6195">
        <f t="shared" si="127"/>
        <v>0</v>
      </c>
      <c r="BB273" s="6193" t="str">
        <f t="shared" si="123"/>
        <v/>
      </c>
      <c r="BC273" s="6219"/>
      <c r="BD273" s="6222">
        <f t="shared" si="128"/>
        <v>0</v>
      </c>
      <c r="BE273" s="6220" t="str">
        <f t="shared" si="124"/>
        <v/>
      </c>
      <c r="BF273" s="4" t="s">
        <v>1</v>
      </c>
      <c r="BG273" s="6196">
        <f t="shared" si="125"/>
        <v>0</v>
      </c>
      <c r="BH273" s="6197">
        <f t="shared" si="126"/>
        <v>0</v>
      </c>
      <c r="BI273"/>
      <c r="BJ273" s="1"/>
      <c r="BK273" s="1"/>
      <c r="BL273" s="1"/>
      <c r="BM273" s="1"/>
      <c r="BN273" s="1"/>
      <c r="BO273" s="1"/>
      <c r="BP273" s="1"/>
      <c r="BQ273" s="1"/>
      <c r="BR273"/>
      <c r="BS273"/>
      <c r="BT273"/>
      <c r="BU273"/>
      <c r="BV273"/>
      <c r="BW273"/>
      <c r="BX273" s="20" t="str">
        <f t="shared" si="131"/>
        <v>►</v>
      </c>
      <c r="BY273"/>
      <c r="BZ273"/>
      <c r="CA273"/>
      <c r="CB273"/>
      <c r="CC273"/>
      <c r="CE273"/>
      <c r="CF273"/>
      <c r="CG273"/>
      <c r="CH273"/>
      <c r="CI273"/>
      <c r="CJ273"/>
      <c r="CK273"/>
      <c r="CL273" s="4"/>
      <c r="CM273"/>
      <c r="CN273"/>
      <c r="CO273"/>
      <c r="CP273"/>
      <c r="CQ273"/>
      <c r="CR273"/>
      <c r="CS273"/>
      <c r="CT273" s="4"/>
      <c r="CU273"/>
      <c r="CV273"/>
      <c r="CW273"/>
      <c r="CX273"/>
      <c r="CY273"/>
      <c r="CZ273"/>
      <c r="DA273"/>
      <c r="DB273" s="4"/>
      <c r="DC273" s="5">
        <v>1</v>
      </c>
      <c r="DD273" s="1"/>
      <c r="DE273" s="1"/>
    </row>
    <row r="274" spans="1:109" s="2" customFormat="1" ht="21" customHeight="1">
      <c r="A274" s="5641" t="s">
        <v>1</v>
      </c>
      <c r="B274" s="5662" t="str">
        <f t="shared" si="130"/>
        <v>►</v>
      </c>
      <c r="C274" s="5825" cm="1">
        <f t="array" ref="C274">SUMPRODUCT(LEN(D274:J274))</f>
        <v>0</v>
      </c>
      <c r="D274" s="5275"/>
      <c r="E274" s="1361"/>
      <c r="F274" s="1361"/>
      <c r="G274" s="1361"/>
      <c r="H274" s="1361"/>
      <c r="I274" s="1361"/>
      <c r="J274" s="5276"/>
      <c r="K274" s="106" t="s">
        <v>1</v>
      </c>
      <c r="L274" s="1021" t="s">
        <v>26</v>
      </c>
      <c r="M274" s="6787"/>
      <c r="N274" s="6787"/>
      <c r="O274" s="6787"/>
      <c r="P274" s="6788"/>
      <c r="Q274" s="6789"/>
      <c r="R274" s="6790"/>
      <c r="S274" s="6786"/>
      <c r="T274" s="6791"/>
      <c r="U274" s="6844"/>
      <c r="V274" s="6791"/>
      <c r="W274" s="6785"/>
      <c r="X274" s="6868"/>
      <c r="Y274" s="6793"/>
      <c r="Z274" s="6794"/>
      <c r="AA274" s="6795"/>
      <c r="AB274" s="6796"/>
      <c r="AC274" s="6797"/>
      <c r="AD274" s="6798"/>
      <c r="AE274" s="4" t="s">
        <v>1</v>
      </c>
      <c r="AF274" s="6202" t="str">
        <f t="shared" si="108"/>
        <v>►</v>
      </c>
      <c r="AG274" s="6234" t="str">
        <f t="shared" si="109"/>
        <v/>
      </c>
      <c r="AH274" s="6732" t="str">
        <f t="shared" si="110"/>
        <v/>
      </c>
      <c r="AI274" s="6234" t="str">
        <f t="shared" si="111"/>
        <v/>
      </c>
      <c r="AJ274" s="6732" t="str">
        <f t="shared" si="112"/>
        <v/>
      </c>
      <c r="AK274" s="6732">
        <f t="shared" si="113"/>
        <v>0</v>
      </c>
      <c r="AL274" s="6230" t="str" cm="1">
        <f t="array" ref="AL274">IF(AF274&lt;&gt;"A","",IFERROR((IFERROR(_xlfn.XLOOKUP(TRIM(SUBSTITUTE(U274,CHAR(160)," ")),$BJ$15:$BJ$62,$BM$15:$BM$62),IFERROR(_xlfn.XLOOKUP(TRIM(SUBSTITUTE(U274,CHAR(160)," ")),$BK$15:$BK$62,$BM$15:$BM$62),_xlfn.XLOOKUP(TRIM(SUBSTITUTE(U274,CHAR(160)," ")),$BL$15:$BL$62,$BM$15:$BM$62))))*T274*IF(ISBLANK(Q274),1,Q274)+IFERROR(_xlfn.XLOOKUP("RECHERCHEX",TRIM(L274:AD274),L274:AD274),0),0))</f>
        <v/>
      </c>
      <c r="AM274" s="6229">
        <f t="shared" si="114"/>
        <v>0</v>
      </c>
      <c r="AN274" s="6857" t="str">
        <f t="shared" si="129"/>
        <v/>
      </c>
      <c r="AO274" s="392">
        <f t="shared" si="115"/>
        <v>0</v>
      </c>
      <c r="AP274" s="392">
        <f t="shared" si="116"/>
        <v>0</v>
      </c>
      <c r="AQ274" s="6190">
        <f t="shared" si="117"/>
        <v>0</v>
      </c>
      <c r="AR274" s="6858" t="str">
        <f t="shared" si="118"/>
        <v/>
      </c>
      <c r="AS274" s="6217"/>
      <c r="AT274" s="6217"/>
      <c r="AU274" s="6271">
        <f t="shared" si="119"/>
        <v>0</v>
      </c>
      <c r="AV274" s="6242">
        <f t="shared" si="120"/>
        <v>0</v>
      </c>
      <c r="AW274" s="6188" cm="1">
        <f t="array" ref="AW274">IF(AK274&lt;&gt;1,0,IF(OR(AU274="",N(AU274)&lt;=0.000000001),"",IF(OR(AO274="",N(AO274)&lt;=0.000000001),0,IF(ISNUMBER(AU274),IFERROR(_xlfn.LET(_xlpm.ai_test,TRIM(AJ274),_xlpm.r,IFERROR(_xlfn.XLOOKUP(_xlpm.ai_test,$BJ$15:$BJ$62,ROW($BJ$15:$BJ$62),0,1),IFERROR(_xlfn.XLOOKUP(_xlpm.ai_test,$BK$15:$BK$62,ROW($BK$15:$BK$62),0,1),_xlfn.XLOOKUP(_xlpm.ai_test,$BL$15:$BL$62,ROW($BL$15:$BL$62),0,1))),_xlpm.p,_xlpm.r-MIN(ROW($BJ$15:$BJ$62))+1,_xlpm.f,INDEX($BM$15:$BM$62,_xlpm.p),_xlpm.u,INDEX($BN$15:$BN$62,_xlpm.p),_xlpm.s,INDEX($BP$15:$BP$62,_xlpm.p),_xlpm.q,N(AU274)/_xlpm.f,IF(_xlpm.q&gt;=_xlpm.s,ROUND(_xlpm.q,1)&amp;" "&amp;_xlpm.ai_test&amp;" = "&amp;ROUND(_xlpm.q*_xlpm.f,1)&amp;" "&amp;_xlpm.u,ROUND(_xlpm.q,1)&amp;" "&amp;_xlpm.ai_test)),""),""))))</f>
        <v>0</v>
      </c>
      <c r="AX274" s="6218"/>
      <c r="AY274" s="6271">
        <f t="shared" si="121"/>
        <v>0</v>
      </c>
      <c r="AZ274" s="6242" t="str">
        <f t="shared" si="122"/>
        <v/>
      </c>
      <c r="BA274" s="6194">
        <f t="shared" si="127"/>
        <v>0</v>
      </c>
      <c r="BB274" s="6192" t="str">
        <f t="shared" si="123"/>
        <v/>
      </c>
      <c r="BC274" s="6219"/>
      <c r="BD274" s="6221">
        <f t="shared" si="128"/>
        <v>0</v>
      </c>
      <c r="BE274" s="6220" t="str">
        <f t="shared" si="124"/>
        <v/>
      </c>
      <c r="BF274" s="4" t="s">
        <v>1</v>
      </c>
      <c r="BG274" s="6196">
        <f t="shared" si="125"/>
        <v>0</v>
      </c>
      <c r="BH274" s="6197">
        <f t="shared" si="126"/>
        <v>0</v>
      </c>
      <c r="BI274"/>
      <c r="BJ274" s="1"/>
      <c r="BK274" s="1"/>
      <c r="BL274" s="1"/>
      <c r="BM274" s="1"/>
      <c r="BN274" s="1"/>
      <c r="BO274" s="1"/>
      <c r="BP274" s="1"/>
      <c r="BQ274" s="1"/>
      <c r="BR274"/>
      <c r="BS274"/>
      <c r="BT274"/>
      <c r="BU274"/>
      <c r="BV274"/>
      <c r="BW274"/>
      <c r="BX274" s="20" t="str">
        <f t="shared" si="131"/>
        <v>►</v>
      </c>
      <c r="BY274"/>
      <c r="BZ274"/>
      <c r="CA274"/>
      <c r="CB274"/>
      <c r="CC274"/>
      <c r="CE274"/>
      <c r="CF274"/>
      <c r="CG274"/>
      <c r="CH274"/>
      <c r="CI274"/>
      <c r="CJ274"/>
      <c r="CK274"/>
      <c r="CL274" s="4"/>
      <c r="CM274"/>
      <c r="CN274"/>
      <c r="CO274"/>
      <c r="CP274"/>
      <c r="CQ274"/>
      <c r="CR274"/>
      <c r="CS274"/>
      <c r="CT274" s="4"/>
      <c r="CU274"/>
      <c r="CV274"/>
      <c r="CW274"/>
      <c r="CX274"/>
      <c r="CY274"/>
      <c r="CZ274"/>
      <c r="DA274"/>
      <c r="DB274" s="4"/>
      <c r="DC274" s="5">
        <v>1</v>
      </c>
      <c r="DD274" s="1"/>
      <c r="DE274" s="1"/>
    </row>
    <row r="275" spans="1:109" s="2" customFormat="1" ht="21" customHeight="1">
      <c r="A275" s="5641" t="s">
        <v>1</v>
      </c>
      <c r="B275" s="5662" t="str">
        <f t="shared" si="130"/>
        <v>►</v>
      </c>
      <c r="C275" s="5825" cm="1">
        <f t="array" ref="C275">SUMPRODUCT(LEN(D275:J275))</f>
        <v>0</v>
      </c>
      <c r="D275" s="5275"/>
      <c r="E275" s="1361"/>
      <c r="F275" s="1361"/>
      <c r="G275" s="1361"/>
      <c r="H275" s="1361"/>
      <c r="I275" s="1361"/>
      <c r="J275" s="5276"/>
      <c r="K275" s="106" t="s">
        <v>1</v>
      </c>
      <c r="L275" s="1021" t="s">
        <v>26</v>
      </c>
      <c r="M275" s="6787"/>
      <c r="N275" s="6787"/>
      <c r="O275" s="6787"/>
      <c r="P275" s="6788"/>
      <c r="Q275" s="6789"/>
      <c r="R275" s="6790"/>
      <c r="S275" s="6786"/>
      <c r="T275" s="6791"/>
      <c r="U275" s="6844"/>
      <c r="V275" s="6791"/>
      <c r="W275" s="6785"/>
      <c r="X275" s="6868"/>
      <c r="Y275" s="6793"/>
      <c r="Z275" s="6794"/>
      <c r="AA275" s="6795"/>
      <c r="AB275" s="6796"/>
      <c r="AC275" s="6797"/>
      <c r="AD275" s="6798"/>
      <c r="AE275" s="4" t="s">
        <v>1</v>
      </c>
      <c r="AF275" s="6202" t="str">
        <f t="shared" si="108"/>
        <v>►</v>
      </c>
      <c r="AG275" s="6234" t="str">
        <f t="shared" si="109"/>
        <v/>
      </c>
      <c r="AH275" s="6732" t="str">
        <f t="shared" si="110"/>
        <v/>
      </c>
      <c r="AI275" s="6234" t="str">
        <f t="shared" si="111"/>
        <v/>
      </c>
      <c r="AJ275" s="6732" t="str">
        <f t="shared" si="112"/>
        <v/>
      </c>
      <c r="AK275" s="6732">
        <f t="shared" si="113"/>
        <v>0</v>
      </c>
      <c r="AL275" s="6230" t="str" cm="1">
        <f t="array" ref="AL275">IF(AF275&lt;&gt;"A","",IFERROR((IFERROR(_xlfn.XLOOKUP(TRIM(SUBSTITUTE(U275,CHAR(160)," ")),$BJ$15:$BJ$62,$BM$15:$BM$62),IFERROR(_xlfn.XLOOKUP(TRIM(SUBSTITUTE(U275,CHAR(160)," ")),$BK$15:$BK$62,$BM$15:$BM$62),_xlfn.XLOOKUP(TRIM(SUBSTITUTE(U275,CHAR(160)," ")),$BL$15:$BL$62,$BM$15:$BM$62))))*T275*IF(ISBLANK(Q275),1,Q275)+IFERROR(_xlfn.XLOOKUP("RECHERCHEX",TRIM(L275:AD275),L275:AD275),0),0))</f>
        <v/>
      </c>
      <c r="AM275" s="6229">
        <f t="shared" si="114"/>
        <v>0</v>
      </c>
      <c r="AN275" s="6857" t="str">
        <f t="shared" si="129"/>
        <v/>
      </c>
      <c r="AO275" s="392">
        <f t="shared" si="115"/>
        <v>0</v>
      </c>
      <c r="AP275" s="392">
        <f t="shared" si="116"/>
        <v>0</v>
      </c>
      <c r="AQ275" s="6191">
        <f t="shared" si="117"/>
        <v>0</v>
      </c>
      <c r="AR275" s="6859" t="str">
        <f t="shared" si="118"/>
        <v/>
      </c>
      <c r="AS275" s="6217"/>
      <c r="AT275" s="6217"/>
      <c r="AU275" s="6272">
        <f t="shared" si="119"/>
        <v>0</v>
      </c>
      <c r="AV275" s="6240">
        <f t="shared" si="120"/>
        <v>0</v>
      </c>
      <c r="AW275" s="6189" cm="1">
        <f t="array" ref="AW275">IF(AK275&lt;&gt;1,0,IF(OR(AU275="",N(AU275)&lt;=0.000000001),"",IF(OR(AO275="",N(AO275)&lt;=0.000000001),0,IF(ISNUMBER(AU275),IFERROR(_xlfn.LET(_xlpm.ai_test,TRIM(AJ275),_xlpm.r,IFERROR(_xlfn.XLOOKUP(_xlpm.ai_test,$BJ$15:$BJ$62,ROW($BJ$15:$BJ$62),0,1),IFERROR(_xlfn.XLOOKUP(_xlpm.ai_test,$BK$15:$BK$62,ROW($BK$15:$BK$62),0,1),_xlfn.XLOOKUP(_xlpm.ai_test,$BL$15:$BL$62,ROW($BL$15:$BL$62),0,1))),_xlpm.p,_xlpm.r-MIN(ROW($BJ$15:$BJ$62))+1,_xlpm.f,INDEX($BM$15:$BM$62,_xlpm.p),_xlpm.u,INDEX($BN$15:$BN$62,_xlpm.p),_xlpm.s,INDEX($BP$15:$BP$62,_xlpm.p),_xlpm.q,N(AU275)/_xlpm.f,IF(_xlpm.q&gt;=_xlpm.s,ROUND(_xlpm.q,1)&amp;" "&amp;_xlpm.ai_test&amp;" = "&amp;ROUND(_xlpm.q*_xlpm.f,1)&amp;" "&amp;_xlpm.u,ROUND(_xlpm.q,1)&amp;" "&amp;_xlpm.ai_test)),""),""))))</f>
        <v>0</v>
      </c>
      <c r="AX275" s="6218"/>
      <c r="AY275" s="6272">
        <f t="shared" si="121"/>
        <v>0</v>
      </c>
      <c r="AZ275" s="6240" t="str">
        <f t="shared" si="122"/>
        <v/>
      </c>
      <c r="BA275" s="6195">
        <f t="shared" si="127"/>
        <v>0</v>
      </c>
      <c r="BB275" s="6193" t="str">
        <f t="shared" si="123"/>
        <v/>
      </c>
      <c r="BC275" s="6219"/>
      <c r="BD275" s="6222">
        <f t="shared" si="128"/>
        <v>0</v>
      </c>
      <c r="BE275" s="6220" t="str">
        <f t="shared" si="124"/>
        <v/>
      </c>
      <c r="BF275" s="4" t="s">
        <v>1</v>
      </c>
      <c r="BG275" s="6196">
        <f t="shared" si="125"/>
        <v>0</v>
      </c>
      <c r="BH275" s="6197">
        <f t="shared" si="126"/>
        <v>0</v>
      </c>
      <c r="BI275"/>
      <c r="BJ275" s="1"/>
      <c r="BK275" s="1"/>
      <c r="BL275" s="1"/>
      <c r="BM275" s="1"/>
      <c r="BN275" s="1"/>
      <c r="BO275" s="1"/>
      <c r="BP275" s="1"/>
      <c r="BQ275" s="1"/>
      <c r="BR275"/>
      <c r="BS275"/>
      <c r="BT275"/>
      <c r="BU275"/>
      <c r="BV275"/>
      <c r="BW275"/>
      <c r="BX275" s="20" t="str">
        <f t="shared" si="131"/>
        <v>►</v>
      </c>
      <c r="BY275"/>
      <c r="BZ275"/>
      <c r="CA275"/>
      <c r="CB275"/>
      <c r="CC275"/>
      <c r="CE275"/>
      <c r="CF275"/>
      <c r="CG275"/>
      <c r="CH275"/>
      <c r="CI275"/>
      <c r="CJ275"/>
      <c r="CK275"/>
      <c r="CL275" s="4"/>
      <c r="CM275"/>
      <c r="CN275"/>
      <c r="CO275"/>
      <c r="CP275"/>
      <c r="CQ275"/>
      <c r="CR275"/>
      <c r="CS275"/>
      <c r="CT275" s="4"/>
      <c r="CU275"/>
      <c r="CV275"/>
      <c r="CW275"/>
      <c r="CX275"/>
      <c r="CY275"/>
      <c r="CZ275"/>
      <c r="DA275"/>
      <c r="DB275" s="4"/>
      <c r="DC275" s="5">
        <v>1</v>
      </c>
      <c r="DD275" s="1"/>
      <c r="DE275" s="1"/>
    </row>
    <row r="276" spans="1:109" s="2" customFormat="1" ht="21" customHeight="1">
      <c r="A276" s="5641" t="s">
        <v>1</v>
      </c>
      <c r="B276" s="5662" t="str">
        <f t="shared" si="130"/>
        <v>►</v>
      </c>
      <c r="C276" s="5825" cm="1">
        <f t="array" ref="C276">SUMPRODUCT(LEN(D276:J276))</f>
        <v>0</v>
      </c>
      <c r="D276" s="5275"/>
      <c r="E276" s="1361"/>
      <c r="F276" s="1361"/>
      <c r="G276" s="1361"/>
      <c r="H276" s="1361"/>
      <c r="I276" s="1361"/>
      <c r="J276" s="5276"/>
      <c r="K276" s="106" t="s">
        <v>1</v>
      </c>
      <c r="L276" s="1021" t="s">
        <v>26</v>
      </c>
      <c r="M276" s="6787"/>
      <c r="N276" s="6787"/>
      <c r="O276" s="6787"/>
      <c r="P276" s="6788"/>
      <c r="Q276" s="6789"/>
      <c r="R276" s="6790"/>
      <c r="S276" s="6786"/>
      <c r="T276" s="6791"/>
      <c r="U276" s="6844"/>
      <c r="V276" s="6791"/>
      <c r="W276" s="6785"/>
      <c r="X276" s="6868"/>
      <c r="Y276" s="6793"/>
      <c r="Z276" s="6794"/>
      <c r="AA276" s="6795"/>
      <c r="AB276" s="6796"/>
      <c r="AC276" s="6797"/>
      <c r="AD276" s="6798"/>
      <c r="AE276" s="4" t="s">
        <v>1</v>
      </c>
      <c r="AF276" s="6202" t="str">
        <f t="shared" si="108"/>
        <v>►</v>
      </c>
      <c r="AG276" s="6234" t="str">
        <f t="shared" si="109"/>
        <v/>
      </c>
      <c r="AH276" s="6732" t="str">
        <f t="shared" si="110"/>
        <v/>
      </c>
      <c r="AI276" s="6234" t="str">
        <f t="shared" si="111"/>
        <v/>
      </c>
      <c r="AJ276" s="6732" t="str">
        <f t="shared" si="112"/>
        <v/>
      </c>
      <c r="AK276" s="6732">
        <f t="shared" si="113"/>
        <v>0</v>
      </c>
      <c r="AL276" s="6230" t="str" cm="1">
        <f t="array" ref="AL276">IF(AF276&lt;&gt;"A","",IFERROR((IFERROR(_xlfn.XLOOKUP(TRIM(SUBSTITUTE(U276,CHAR(160)," ")),$BJ$15:$BJ$62,$BM$15:$BM$62),IFERROR(_xlfn.XLOOKUP(TRIM(SUBSTITUTE(U276,CHAR(160)," ")),$BK$15:$BK$62,$BM$15:$BM$62),_xlfn.XLOOKUP(TRIM(SUBSTITUTE(U276,CHAR(160)," ")),$BL$15:$BL$62,$BM$15:$BM$62))))*T276*IF(ISBLANK(Q276),1,Q276)+IFERROR(_xlfn.XLOOKUP("RECHERCHEX",TRIM(L276:AD276),L276:AD276),0),0))</f>
        <v/>
      </c>
      <c r="AM276" s="6229">
        <f t="shared" si="114"/>
        <v>0</v>
      </c>
      <c r="AN276" s="6857" t="str">
        <f t="shared" si="129"/>
        <v/>
      </c>
      <c r="AO276" s="392">
        <f t="shared" si="115"/>
        <v>0</v>
      </c>
      <c r="AP276" s="392">
        <f t="shared" si="116"/>
        <v>0</v>
      </c>
      <c r="AQ276" s="6190">
        <f t="shared" si="117"/>
        <v>0</v>
      </c>
      <c r="AR276" s="6858" t="str">
        <f t="shared" si="118"/>
        <v/>
      </c>
      <c r="AS276" s="6217"/>
      <c r="AT276" s="6217"/>
      <c r="AU276" s="6271">
        <f t="shared" si="119"/>
        <v>0</v>
      </c>
      <c r="AV276" s="6242">
        <f t="shared" si="120"/>
        <v>0</v>
      </c>
      <c r="AW276" s="6188" cm="1">
        <f t="array" ref="AW276">IF(AK276&lt;&gt;1,0,IF(OR(AU276="",N(AU276)&lt;=0.000000001),"",IF(OR(AO276="",N(AO276)&lt;=0.000000001),0,IF(ISNUMBER(AU276),IFERROR(_xlfn.LET(_xlpm.ai_test,TRIM(AJ276),_xlpm.r,IFERROR(_xlfn.XLOOKUP(_xlpm.ai_test,$BJ$15:$BJ$62,ROW($BJ$15:$BJ$62),0,1),IFERROR(_xlfn.XLOOKUP(_xlpm.ai_test,$BK$15:$BK$62,ROW($BK$15:$BK$62),0,1),_xlfn.XLOOKUP(_xlpm.ai_test,$BL$15:$BL$62,ROW($BL$15:$BL$62),0,1))),_xlpm.p,_xlpm.r-MIN(ROW($BJ$15:$BJ$62))+1,_xlpm.f,INDEX($BM$15:$BM$62,_xlpm.p),_xlpm.u,INDEX($BN$15:$BN$62,_xlpm.p),_xlpm.s,INDEX($BP$15:$BP$62,_xlpm.p),_xlpm.q,N(AU276)/_xlpm.f,IF(_xlpm.q&gt;=_xlpm.s,ROUND(_xlpm.q,1)&amp;" "&amp;_xlpm.ai_test&amp;" = "&amp;ROUND(_xlpm.q*_xlpm.f,1)&amp;" "&amp;_xlpm.u,ROUND(_xlpm.q,1)&amp;" "&amp;_xlpm.ai_test)),""),""))))</f>
        <v>0</v>
      </c>
      <c r="AX276" s="6218"/>
      <c r="AY276" s="6271">
        <f t="shared" si="121"/>
        <v>0</v>
      </c>
      <c r="AZ276" s="6242" t="str">
        <f t="shared" si="122"/>
        <v/>
      </c>
      <c r="BA276" s="6194">
        <f t="shared" si="127"/>
        <v>0</v>
      </c>
      <c r="BB276" s="6192" t="str">
        <f t="shared" si="123"/>
        <v/>
      </c>
      <c r="BC276" s="6219"/>
      <c r="BD276" s="6221">
        <f t="shared" si="128"/>
        <v>0</v>
      </c>
      <c r="BE276" s="6220" t="str">
        <f t="shared" si="124"/>
        <v/>
      </c>
      <c r="BF276" s="4" t="s">
        <v>1</v>
      </c>
      <c r="BG276" s="6196">
        <f t="shared" si="125"/>
        <v>0</v>
      </c>
      <c r="BH276" s="6197">
        <f t="shared" si="126"/>
        <v>0</v>
      </c>
      <c r="BI276"/>
      <c r="BJ276" s="1"/>
      <c r="BK276" s="1"/>
      <c r="BL276" s="1"/>
      <c r="BM276" s="1"/>
      <c r="BN276" s="1"/>
      <c r="BO276" s="1"/>
      <c r="BP276" s="1"/>
      <c r="BQ276" s="1"/>
      <c r="BR276"/>
      <c r="BS276"/>
      <c r="BT276"/>
      <c r="BU276"/>
      <c r="BV276"/>
      <c r="BW276"/>
      <c r="BX276" s="20" t="str">
        <f t="shared" si="131"/>
        <v>►</v>
      </c>
      <c r="BY276"/>
      <c r="BZ276"/>
      <c r="CA276"/>
      <c r="CB276"/>
      <c r="CC276"/>
      <c r="CE276"/>
      <c r="CF276"/>
      <c r="CG276"/>
      <c r="CH276"/>
      <c r="CI276"/>
      <c r="CJ276"/>
      <c r="CK276"/>
      <c r="CL276" s="4"/>
      <c r="CM276"/>
      <c r="CN276"/>
      <c r="CO276"/>
      <c r="CP276"/>
      <c r="CQ276"/>
      <c r="CR276"/>
      <c r="CS276"/>
      <c r="CT276" s="4"/>
      <c r="CU276"/>
      <c r="CV276"/>
      <c r="CW276"/>
      <c r="CX276"/>
      <c r="CY276"/>
      <c r="CZ276"/>
      <c r="DA276"/>
      <c r="DB276" s="4"/>
      <c r="DC276" s="5">
        <v>1</v>
      </c>
      <c r="DD276" s="1"/>
      <c r="DE276" s="1"/>
    </row>
    <row r="277" spans="1:109" s="2" customFormat="1" ht="21" customHeight="1">
      <c r="A277" s="5641" t="s">
        <v>1</v>
      </c>
      <c r="B277" s="5662" t="str">
        <f t="shared" si="130"/>
        <v>►</v>
      </c>
      <c r="C277" s="5825" cm="1">
        <f t="array" ref="C277">SUMPRODUCT(LEN(D277:J277))</f>
        <v>0</v>
      </c>
      <c r="D277" s="5275"/>
      <c r="E277" s="1361"/>
      <c r="F277" s="1361"/>
      <c r="G277" s="1361"/>
      <c r="H277" s="1361"/>
      <c r="I277" s="1361"/>
      <c r="J277" s="5276"/>
      <c r="K277" s="106" t="s">
        <v>1</v>
      </c>
      <c r="L277" s="1021" t="s">
        <v>26</v>
      </c>
      <c r="M277" s="6787"/>
      <c r="N277" s="6787"/>
      <c r="O277" s="6787"/>
      <c r="P277" s="6788"/>
      <c r="Q277" s="6789"/>
      <c r="R277" s="6790"/>
      <c r="S277" s="6786"/>
      <c r="T277" s="6791"/>
      <c r="U277" s="6844"/>
      <c r="V277" s="6791"/>
      <c r="W277" s="6785"/>
      <c r="X277" s="6868"/>
      <c r="Y277" s="6793"/>
      <c r="Z277" s="6794"/>
      <c r="AA277" s="6795"/>
      <c r="AB277" s="6796"/>
      <c r="AC277" s="6797"/>
      <c r="AD277" s="6798"/>
      <c r="AE277" s="4" t="s">
        <v>1</v>
      </c>
      <c r="AF277" s="6202" t="str">
        <f t="shared" si="108"/>
        <v>►</v>
      </c>
      <c r="AG277" s="6234" t="str">
        <f t="shared" si="109"/>
        <v/>
      </c>
      <c r="AH277" s="6732" t="str">
        <f t="shared" si="110"/>
        <v/>
      </c>
      <c r="AI277" s="6234" t="str">
        <f t="shared" si="111"/>
        <v/>
      </c>
      <c r="AJ277" s="6732" t="str">
        <f t="shared" si="112"/>
        <v/>
      </c>
      <c r="AK277" s="6732">
        <f t="shared" si="113"/>
        <v>0</v>
      </c>
      <c r="AL277" s="6230" t="str" cm="1">
        <f t="array" ref="AL277">IF(AF277&lt;&gt;"A","",IFERROR((IFERROR(_xlfn.XLOOKUP(TRIM(SUBSTITUTE(U277,CHAR(160)," ")),$BJ$15:$BJ$62,$BM$15:$BM$62),IFERROR(_xlfn.XLOOKUP(TRIM(SUBSTITUTE(U277,CHAR(160)," ")),$BK$15:$BK$62,$BM$15:$BM$62),_xlfn.XLOOKUP(TRIM(SUBSTITUTE(U277,CHAR(160)," ")),$BL$15:$BL$62,$BM$15:$BM$62))))*T277*IF(ISBLANK(Q277),1,Q277)+IFERROR(_xlfn.XLOOKUP("RECHERCHEX",TRIM(L277:AD277),L277:AD277),0),0))</f>
        <v/>
      </c>
      <c r="AM277" s="6229">
        <f t="shared" si="114"/>
        <v>0</v>
      </c>
      <c r="AN277" s="6857" t="str">
        <f t="shared" si="129"/>
        <v/>
      </c>
      <c r="AO277" s="392">
        <f t="shared" si="115"/>
        <v>0</v>
      </c>
      <c r="AP277" s="392">
        <f t="shared" si="116"/>
        <v>0</v>
      </c>
      <c r="AQ277" s="6191">
        <f t="shared" si="117"/>
        <v>0</v>
      </c>
      <c r="AR277" s="6859" t="str">
        <f t="shared" si="118"/>
        <v/>
      </c>
      <c r="AS277" s="6217"/>
      <c r="AT277" s="6217"/>
      <c r="AU277" s="6272">
        <f t="shared" si="119"/>
        <v>0</v>
      </c>
      <c r="AV277" s="6240">
        <f t="shared" si="120"/>
        <v>0</v>
      </c>
      <c r="AW277" s="6189" cm="1">
        <f t="array" ref="AW277">IF(AK277&lt;&gt;1,0,IF(OR(AU277="",N(AU277)&lt;=0.000000001),"",IF(OR(AO277="",N(AO277)&lt;=0.000000001),0,IF(ISNUMBER(AU277),IFERROR(_xlfn.LET(_xlpm.ai_test,TRIM(AJ277),_xlpm.r,IFERROR(_xlfn.XLOOKUP(_xlpm.ai_test,$BJ$15:$BJ$62,ROW($BJ$15:$BJ$62),0,1),IFERROR(_xlfn.XLOOKUP(_xlpm.ai_test,$BK$15:$BK$62,ROW($BK$15:$BK$62),0,1),_xlfn.XLOOKUP(_xlpm.ai_test,$BL$15:$BL$62,ROW($BL$15:$BL$62),0,1))),_xlpm.p,_xlpm.r-MIN(ROW($BJ$15:$BJ$62))+1,_xlpm.f,INDEX($BM$15:$BM$62,_xlpm.p),_xlpm.u,INDEX($BN$15:$BN$62,_xlpm.p),_xlpm.s,INDEX($BP$15:$BP$62,_xlpm.p),_xlpm.q,N(AU277)/_xlpm.f,IF(_xlpm.q&gt;=_xlpm.s,ROUND(_xlpm.q,1)&amp;" "&amp;_xlpm.ai_test&amp;" = "&amp;ROUND(_xlpm.q*_xlpm.f,1)&amp;" "&amp;_xlpm.u,ROUND(_xlpm.q,1)&amp;" "&amp;_xlpm.ai_test)),""),""))))</f>
        <v>0</v>
      </c>
      <c r="AX277" s="6218"/>
      <c r="AY277" s="6272">
        <f t="shared" si="121"/>
        <v>0</v>
      </c>
      <c r="AZ277" s="6240" t="str">
        <f t="shared" si="122"/>
        <v/>
      </c>
      <c r="BA277" s="6195">
        <f t="shared" si="127"/>
        <v>0</v>
      </c>
      <c r="BB277" s="6193" t="str">
        <f t="shared" si="123"/>
        <v/>
      </c>
      <c r="BC277" s="6219"/>
      <c r="BD277" s="6222">
        <f t="shared" si="128"/>
        <v>0</v>
      </c>
      <c r="BE277" s="6220" t="str">
        <f t="shared" si="124"/>
        <v/>
      </c>
      <c r="BF277" s="4" t="s">
        <v>1</v>
      </c>
      <c r="BG277" s="6196">
        <f t="shared" si="125"/>
        <v>0</v>
      </c>
      <c r="BH277" s="6197">
        <f t="shared" si="126"/>
        <v>0</v>
      </c>
      <c r="BI277"/>
      <c r="BJ277" s="1"/>
      <c r="BK277" s="1"/>
      <c r="BL277" s="1"/>
      <c r="BM277" s="1"/>
      <c r="BN277" s="1"/>
      <c r="BO277" s="1"/>
      <c r="BP277" s="1"/>
      <c r="BQ277" s="1"/>
      <c r="BR277"/>
      <c r="BS277"/>
      <c r="BT277"/>
      <c r="BU277"/>
      <c r="BV277"/>
      <c r="BW277"/>
      <c r="BX277" s="20" t="str">
        <f t="shared" si="131"/>
        <v>►</v>
      </c>
      <c r="BY277"/>
      <c r="BZ277"/>
      <c r="CA277"/>
      <c r="CB277"/>
      <c r="CC277"/>
      <c r="CE277"/>
      <c r="CF277"/>
      <c r="CG277"/>
      <c r="CH277"/>
      <c r="CI277"/>
      <c r="CJ277"/>
      <c r="CK277"/>
      <c r="CL277" s="4"/>
      <c r="CM277"/>
      <c r="CN277"/>
      <c r="CO277"/>
      <c r="CP277"/>
      <c r="CQ277"/>
      <c r="CR277"/>
      <c r="CS277"/>
      <c r="CT277" s="4"/>
      <c r="CU277"/>
      <c r="CV277"/>
      <c r="CW277"/>
      <c r="CX277"/>
      <c r="CY277"/>
      <c r="CZ277"/>
      <c r="DA277"/>
      <c r="DB277" s="4"/>
      <c r="DC277" s="5">
        <v>1</v>
      </c>
      <c r="DD277" s="1"/>
      <c r="DE277" s="1"/>
    </row>
    <row r="278" spans="1:109" s="2" customFormat="1" ht="21" customHeight="1">
      <c r="A278" s="5641" t="s">
        <v>1</v>
      </c>
      <c r="B278" s="5662" t="str">
        <f t="shared" si="130"/>
        <v>►</v>
      </c>
      <c r="C278" s="5825" cm="1">
        <f t="array" ref="C278">SUMPRODUCT(LEN(D278:J278))</f>
        <v>0</v>
      </c>
      <c r="D278" s="5275"/>
      <c r="E278" s="1361"/>
      <c r="F278" s="1361"/>
      <c r="G278" s="1361"/>
      <c r="H278" s="1361"/>
      <c r="I278" s="1361"/>
      <c r="J278" s="5276"/>
      <c r="K278" s="106" t="s">
        <v>1</v>
      </c>
      <c r="L278" s="1021" t="s">
        <v>26</v>
      </c>
      <c r="M278" s="6787"/>
      <c r="N278" s="6787"/>
      <c r="O278" s="6787"/>
      <c r="P278" s="6788"/>
      <c r="Q278" s="6789"/>
      <c r="R278" s="6790"/>
      <c r="S278" s="6786"/>
      <c r="T278" s="6791"/>
      <c r="U278" s="6844"/>
      <c r="V278" s="6791"/>
      <c r="W278" s="6785"/>
      <c r="X278" s="6868"/>
      <c r="Y278" s="6793"/>
      <c r="Z278" s="6794"/>
      <c r="AA278" s="6795"/>
      <c r="AB278" s="6796"/>
      <c r="AC278" s="6797"/>
      <c r="AD278" s="6798"/>
      <c r="AE278" s="4" t="s">
        <v>1</v>
      </c>
      <c r="AF278" s="6202" t="str">
        <f t="shared" ref="AF278:AF341" si="132">IF(OR(AO278&gt;0,TRIM(AG278)="▼ recette suivante"),"A","►")</f>
        <v>►</v>
      </c>
      <c r="AG278" s="6234" t="str">
        <f t="shared" ref="AG278:AG341" si="133">IF(TRIM(Q278)="Adresse PC","▼ recette suivante",IF(AO278&gt;0,M278,""))</f>
        <v/>
      </c>
      <c r="AH278" s="6732" t="str">
        <f t="shared" ref="AH278:AH341" si="134">IF(AF278="A",N278,"")</f>
        <v/>
      </c>
      <c r="AI278" s="6234" t="str">
        <f t="shared" ref="AI278:AI341" si="135">IF(AF278="A",O278,"")</f>
        <v/>
      </c>
      <c r="AJ278" s="6732" t="str">
        <f t="shared" ref="AJ278:AJ341" si="136">IF(AF278="A",U278,"")</f>
        <v/>
      </c>
      <c r="AK278" s="6732">
        <f t="shared" ref="AK278:AK341" si="137">IF(AND(L278="A",COUNTIF($BJ$15:$BL$62,TRIM(U278))&gt;0),1,0)</f>
        <v>0</v>
      </c>
      <c r="AL278" s="6230" t="str" cm="1">
        <f t="array" ref="AL278">IF(AF278&lt;&gt;"A","",IFERROR((IFERROR(_xlfn.XLOOKUP(TRIM(SUBSTITUTE(U278,CHAR(160)," ")),$BJ$15:$BJ$62,$BM$15:$BM$62),IFERROR(_xlfn.XLOOKUP(TRIM(SUBSTITUTE(U278,CHAR(160)," ")),$BK$15:$BK$62,$BM$15:$BM$62),_xlfn.XLOOKUP(TRIM(SUBSTITUTE(U278,CHAR(160)," ")),$BL$15:$BL$62,$BM$15:$BM$62))))*T278*IF(ISBLANK(Q278),1,Q278)+IFERROR(_xlfn.XLOOKUP("RECHERCHEX",TRIM(L278:AD278),L278:AD278),0),0))</f>
        <v/>
      </c>
      <c r="AM278" s="6229">
        <f t="shared" ref="AM278:AM341" si="138">IF(AK278,IF(AL278&gt;0,"Kg",0),0)</f>
        <v>0</v>
      </c>
      <c r="AN278" s="6857" t="str">
        <f t="shared" si="129"/>
        <v/>
      </c>
      <c r="AO278" s="392">
        <f t="shared" ref="AO278:AO341" si="139">IF(AK278,N278,0)</f>
        <v>0</v>
      </c>
      <c r="AP278" s="392">
        <f t="shared" ref="AP278:AP341" si="140">IF(AK278,O278,0)</f>
        <v>0</v>
      </c>
      <c r="AQ278" s="6190">
        <f t="shared" ref="AQ278:AQ341" si="141">IF(AO278&gt;0,AS$9,0)</f>
        <v>0</v>
      </c>
      <c r="AR278" s="6858" t="str">
        <f t="shared" ref="AR278:AR341" si="142">IF(TRIM(AG278)="▼ recette suivante", AG278, IF(AQ278&gt;0, IF(AT$9&lt;&gt;"", AT$9&amp;"-ou.or.o ❾ + or - &gt;", ""), ""))</f>
        <v/>
      </c>
      <c r="AS278" s="6217"/>
      <c r="AT278" s="6217"/>
      <c r="AU278" s="6271">
        <f t="shared" ref="AU278:AU341" si="143">IF(TRIM(AM278)="Kg",N(AL278)*N(BH278),0)</f>
        <v>0</v>
      </c>
      <c r="AV278" s="6242">
        <f t="shared" ref="AV278:AV341" si="144">IF(AK278,IF(OR(AU278="",N(AU278)&lt;=0.000000001),"",_xlfn.XLOOKUP(AJ278,$BJ$15:$BJ$62,$BN$15:$BN$62,_xlfn.XLOOKUP(AJ278,$BK$15:$BK$62,$BN$15:$BN$62,_xlfn.XLOOKUP(AJ278,$BL$15:$BL$62,$BN$15:$BN$62,"")))),0)</f>
        <v>0</v>
      </c>
      <c r="AW278" s="6188" cm="1">
        <f t="array" ref="AW278">IF(AK278&lt;&gt;1,0,IF(OR(AU278="",N(AU278)&lt;=0.000000001),"",IF(OR(AO278="",N(AO278)&lt;=0.000000001),0,IF(ISNUMBER(AU278),IFERROR(_xlfn.LET(_xlpm.ai_test,TRIM(AJ278),_xlpm.r,IFERROR(_xlfn.XLOOKUP(_xlpm.ai_test,$BJ$15:$BJ$62,ROW($BJ$15:$BJ$62),0,1),IFERROR(_xlfn.XLOOKUP(_xlpm.ai_test,$BK$15:$BK$62,ROW($BK$15:$BK$62),0,1),_xlfn.XLOOKUP(_xlpm.ai_test,$BL$15:$BL$62,ROW($BL$15:$BL$62),0,1))),_xlpm.p,_xlpm.r-MIN(ROW($BJ$15:$BJ$62))+1,_xlpm.f,INDEX($BM$15:$BM$62,_xlpm.p),_xlpm.u,INDEX($BN$15:$BN$62,_xlpm.p),_xlpm.s,INDEX($BP$15:$BP$62,_xlpm.p),_xlpm.q,N(AU278)/_xlpm.f,IF(_xlpm.q&gt;=_xlpm.s,ROUND(_xlpm.q,1)&amp;" "&amp;_xlpm.ai_test&amp;" = "&amp;ROUND(_xlpm.q*_xlpm.f,1)&amp;" "&amp;_xlpm.u,ROUND(_xlpm.q,1)&amp;" "&amp;_xlpm.ai_test)),""),""))))</f>
        <v>0</v>
      </c>
      <c r="AX278" s="6218"/>
      <c r="AY278" s="6271">
        <f t="shared" ref="AY278:AY341" si="145">IF(TRIM(AG278)="▼ recette suivante","▼next recipe ",IF(AU278="","",IF(ISBLANK(AX278),AU278,ROUND(AU278*(1-MIN(1,MAX(0,IF(AX278&gt;1,AX278/100,AX278)))),3))))</f>
        <v>0</v>
      </c>
      <c r="AZ278" s="6242" t="str">
        <f t="shared" ref="AZ278:AZ341" si="146">IF(AK278,AV278,"")</f>
        <v/>
      </c>
      <c r="BA278" s="6194">
        <f t="shared" si="127"/>
        <v>0</v>
      </c>
      <c r="BB278" s="6192" t="str">
        <f t="shared" ref="BB278:BB341" si="147">IF(AK278,IF(N(BA278)&gt;0.000000001,R278,""),"")</f>
        <v/>
      </c>
      <c r="BC278" s="6219"/>
      <c r="BD278" s="6221">
        <f t="shared" si="128"/>
        <v>0</v>
      </c>
      <c r="BE278" s="6220" t="str">
        <f t="shared" ref="BE278:BE341" si="148">IF(IFERROR(SEARCH("Adresse PC",TRIM(Q278)),0)&gt;0,"▼ receta siguiente",IF(AY278&gt;0,W278,""))</f>
        <v/>
      </c>
      <c r="BF278" s="4" t="s">
        <v>1</v>
      </c>
      <c r="BG278" s="6196">
        <f t="shared" ref="BG278:BG341" si="149">IFERROR(_xlfn.LET(_xlpm.EPS,0.000000001,_xlpm.b,Q278/AO278,IF(ISNUMBER(AS278),_xlpm.b*AS278,IF(OR(ISBLANK(AS278),AS278=""),_xlpm.b*AQ278,IF(AND(BH278=0,ISNUMBER(Q278)),_xlpm.b/AQ278,0)))),0)</f>
        <v>0</v>
      </c>
      <c r="BH278" s="6197">
        <f t="shared" ref="BH278:BH341" si="150">IF(AL278&gt;0,IFERROR(IF(OR(ISBLANK(AS278),AS278=""),AQ278,AS278)/AO278,0),0)</f>
        <v>0</v>
      </c>
      <c r="BI278"/>
      <c r="BJ278" s="1"/>
      <c r="BK278" s="1"/>
      <c r="BL278" s="1"/>
      <c r="BM278" s="1"/>
      <c r="BN278" s="1"/>
      <c r="BO278" s="1"/>
      <c r="BP278" s="1"/>
      <c r="BQ278" s="1"/>
      <c r="BR278"/>
      <c r="BS278"/>
      <c r="BT278"/>
      <c r="BU278"/>
      <c r="BV278"/>
      <c r="BW278"/>
      <c r="BX278" s="20" t="str">
        <f t="shared" si="131"/>
        <v>►</v>
      </c>
      <c r="BY278"/>
      <c r="BZ278"/>
      <c r="CA278"/>
      <c r="CB278"/>
      <c r="CC278"/>
      <c r="CE278"/>
      <c r="CF278"/>
      <c r="CG278"/>
      <c r="CH278"/>
      <c r="CI278"/>
      <c r="CJ278"/>
      <c r="CK278"/>
      <c r="CL278" s="4"/>
      <c r="CM278"/>
      <c r="CN278"/>
      <c r="CO278"/>
      <c r="CP278"/>
      <c r="CQ278"/>
      <c r="CR278"/>
      <c r="CS278"/>
      <c r="CT278" s="4"/>
      <c r="CU278"/>
      <c r="CV278"/>
      <c r="CW278"/>
      <c r="CX278"/>
      <c r="CY278"/>
      <c r="CZ278"/>
      <c r="DA278"/>
      <c r="DB278" s="4"/>
      <c r="DC278" s="5">
        <v>1</v>
      </c>
      <c r="DD278" s="1"/>
      <c r="DE278" s="1"/>
    </row>
    <row r="279" spans="1:109" s="2" customFormat="1" ht="21" customHeight="1">
      <c r="A279" s="5641" t="s">
        <v>1</v>
      </c>
      <c r="B279" s="5662" t="str">
        <f t="shared" si="130"/>
        <v>►</v>
      </c>
      <c r="C279" s="5825" cm="1">
        <f t="array" ref="C279">SUMPRODUCT(LEN(D279:J279))</f>
        <v>0</v>
      </c>
      <c r="D279" s="5275"/>
      <c r="E279" s="1361"/>
      <c r="F279" s="1361"/>
      <c r="G279" s="1361"/>
      <c r="H279" s="1361"/>
      <c r="I279" s="1361"/>
      <c r="J279" s="5276"/>
      <c r="K279" s="106" t="s">
        <v>1</v>
      </c>
      <c r="L279" s="1021" t="s">
        <v>26</v>
      </c>
      <c r="M279" s="6787"/>
      <c r="N279" s="6787"/>
      <c r="O279" s="6787"/>
      <c r="P279" s="6788"/>
      <c r="Q279" s="6789"/>
      <c r="R279" s="6790"/>
      <c r="S279" s="6786"/>
      <c r="T279" s="6791"/>
      <c r="U279" s="6844"/>
      <c r="V279" s="6791"/>
      <c r="W279" s="6785"/>
      <c r="X279" s="6868"/>
      <c r="Y279" s="6793"/>
      <c r="Z279" s="6794"/>
      <c r="AA279" s="6795"/>
      <c r="AB279" s="6796"/>
      <c r="AC279" s="6797"/>
      <c r="AD279" s="6798"/>
      <c r="AE279" s="4" t="s">
        <v>1</v>
      </c>
      <c r="AF279" s="6202" t="str">
        <f t="shared" si="132"/>
        <v>►</v>
      </c>
      <c r="AG279" s="6234" t="str">
        <f t="shared" si="133"/>
        <v/>
      </c>
      <c r="AH279" s="6732" t="str">
        <f t="shared" si="134"/>
        <v/>
      </c>
      <c r="AI279" s="6234" t="str">
        <f t="shared" si="135"/>
        <v/>
      </c>
      <c r="AJ279" s="6732" t="str">
        <f t="shared" si="136"/>
        <v/>
      </c>
      <c r="AK279" s="6732">
        <f t="shared" si="137"/>
        <v>0</v>
      </c>
      <c r="AL279" s="6230" t="str" cm="1">
        <f t="array" ref="AL279">IF(AF279&lt;&gt;"A","",IFERROR((IFERROR(_xlfn.XLOOKUP(TRIM(SUBSTITUTE(U279,CHAR(160)," ")),$BJ$15:$BJ$62,$BM$15:$BM$62),IFERROR(_xlfn.XLOOKUP(TRIM(SUBSTITUTE(U279,CHAR(160)," ")),$BK$15:$BK$62,$BM$15:$BM$62),_xlfn.XLOOKUP(TRIM(SUBSTITUTE(U279,CHAR(160)," ")),$BL$15:$BL$62,$BM$15:$BM$62))))*T279*IF(ISBLANK(Q279),1,Q279)+IFERROR(_xlfn.XLOOKUP("RECHERCHEX",TRIM(L279:AD279),L279:AD279),0),0))</f>
        <v/>
      </c>
      <c r="AM279" s="6229">
        <f t="shared" si="138"/>
        <v>0</v>
      </c>
      <c r="AN279" s="6857" t="str">
        <f t="shared" si="129"/>
        <v/>
      </c>
      <c r="AO279" s="392">
        <f t="shared" si="139"/>
        <v>0</v>
      </c>
      <c r="AP279" s="392">
        <f t="shared" si="140"/>
        <v>0</v>
      </c>
      <c r="AQ279" s="6191">
        <f t="shared" si="141"/>
        <v>0</v>
      </c>
      <c r="AR279" s="6859" t="str">
        <f t="shared" si="142"/>
        <v/>
      </c>
      <c r="AS279" s="6217"/>
      <c r="AT279" s="6217"/>
      <c r="AU279" s="6272">
        <f t="shared" si="143"/>
        <v>0</v>
      </c>
      <c r="AV279" s="6240">
        <f t="shared" si="144"/>
        <v>0</v>
      </c>
      <c r="AW279" s="6189" cm="1">
        <f t="array" ref="AW279">IF(AK279&lt;&gt;1,0,IF(OR(AU279="",N(AU279)&lt;=0.000000001),"",IF(OR(AO279="",N(AO279)&lt;=0.000000001),0,IF(ISNUMBER(AU279),IFERROR(_xlfn.LET(_xlpm.ai_test,TRIM(AJ279),_xlpm.r,IFERROR(_xlfn.XLOOKUP(_xlpm.ai_test,$BJ$15:$BJ$62,ROW($BJ$15:$BJ$62),0,1),IFERROR(_xlfn.XLOOKUP(_xlpm.ai_test,$BK$15:$BK$62,ROW($BK$15:$BK$62),0,1),_xlfn.XLOOKUP(_xlpm.ai_test,$BL$15:$BL$62,ROW($BL$15:$BL$62),0,1))),_xlpm.p,_xlpm.r-MIN(ROW($BJ$15:$BJ$62))+1,_xlpm.f,INDEX($BM$15:$BM$62,_xlpm.p),_xlpm.u,INDEX($BN$15:$BN$62,_xlpm.p),_xlpm.s,INDEX($BP$15:$BP$62,_xlpm.p),_xlpm.q,N(AU279)/_xlpm.f,IF(_xlpm.q&gt;=_xlpm.s,ROUND(_xlpm.q,1)&amp;" "&amp;_xlpm.ai_test&amp;" = "&amp;ROUND(_xlpm.q*_xlpm.f,1)&amp;" "&amp;_xlpm.u,ROUND(_xlpm.q,1)&amp;" "&amp;_xlpm.ai_test)),""),""))))</f>
        <v>0</v>
      </c>
      <c r="AX279" s="6218"/>
      <c r="AY279" s="6272">
        <f t="shared" si="145"/>
        <v>0</v>
      </c>
      <c r="AZ279" s="6240" t="str">
        <f t="shared" si="146"/>
        <v/>
      </c>
      <c r="BA279" s="6195">
        <f t="shared" ref="BA279:BA342" si="151">IF(ISNUMBER(BG279),IF(ABS(BG279)&lt;=0.000000001,0,BG279),0)</f>
        <v>0</v>
      </c>
      <c r="BB279" s="6193" t="str">
        <f t="shared" si="147"/>
        <v/>
      </c>
      <c r="BC279" s="6219"/>
      <c r="BD279" s="6222">
        <f t="shared" si="128"/>
        <v>0</v>
      </c>
      <c r="BE279" s="6220" t="str">
        <f t="shared" si="148"/>
        <v/>
      </c>
      <c r="BF279" s="4" t="s">
        <v>1</v>
      </c>
      <c r="BG279" s="6196">
        <f t="shared" si="149"/>
        <v>0</v>
      </c>
      <c r="BH279" s="6197">
        <f t="shared" si="150"/>
        <v>0</v>
      </c>
      <c r="BI279"/>
      <c r="BJ279" s="1"/>
      <c r="BK279" s="1"/>
      <c r="BL279" s="1"/>
      <c r="BM279" s="1"/>
      <c r="BN279" s="1"/>
      <c r="BO279" s="1"/>
      <c r="BP279" s="1"/>
      <c r="BQ279" s="1"/>
      <c r="BR279"/>
      <c r="BS279"/>
      <c r="BT279"/>
      <c r="BU279"/>
      <c r="BV279"/>
      <c r="BW279"/>
      <c r="BX279" s="20" t="str">
        <f t="shared" si="131"/>
        <v>►</v>
      </c>
      <c r="BY279"/>
      <c r="BZ279"/>
      <c r="CA279"/>
      <c r="CB279"/>
      <c r="CC279"/>
      <c r="CE279"/>
      <c r="CF279"/>
      <c r="CG279"/>
      <c r="CH279"/>
      <c r="CI279"/>
      <c r="CJ279"/>
      <c r="CK279"/>
      <c r="CL279" s="4"/>
      <c r="CM279"/>
      <c r="CN279"/>
      <c r="CO279"/>
      <c r="CP279"/>
      <c r="CQ279"/>
      <c r="CR279"/>
      <c r="CS279"/>
      <c r="CT279" s="4"/>
      <c r="CU279"/>
      <c r="CV279"/>
      <c r="CW279"/>
      <c r="CX279"/>
      <c r="CY279"/>
      <c r="CZ279"/>
      <c r="DA279"/>
      <c r="DB279" s="4"/>
      <c r="DC279" s="5">
        <v>1</v>
      </c>
      <c r="DD279" s="1"/>
      <c r="DE279" s="1"/>
    </row>
    <row r="280" spans="1:109" s="2" customFormat="1" ht="21" customHeight="1">
      <c r="A280" s="5641" t="s">
        <v>1</v>
      </c>
      <c r="B280" s="5662" t="str">
        <f t="shared" si="130"/>
        <v>►</v>
      </c>
      <c r="C280" s="5825" cm="1">
        <f t="array" ref="C280">SUMPRODUCT(LEN(D280:J280))</f>
        <v>0</v>
      </c>
      <c r="D280" s="5275"/>
      <c r="E280" s="1361"/>
      <c r="F280" s="1361"/>
      <c r="G280" s="1361"/>
      <c r="H280" s="1361"/>
      <c r="I280" s="1361"/>
      <c r="J280" s="5276"/>
      <c r="K280" s="106" t="s">
        <v>1</v>
      </c>
      <c r="L280" s="1021" t="s">
        <v>26</v>
      </c>
      <c r="M280" s="6787"/>
      <c r="N280" s="6787"/>
      <c r="O280" s="6787"/>
      <c r="P280" s="6788"/>
      <c r="Q280" s="6789"/>
      <c r="R280" s="6790"/>
      <c r="S280" s="6786"/>
      <c r="T280" s="6791"/>
      <c r="U280" s="6844"/>
      <c r="V280" s="6791"/>
      <c r="W280" s="6785"/>
      <c r="X280" s="6868"/>
      <c r="Y280" s="6793"/>
      <c r="Z280" s="6794"/>
      <c r="AA280" s="6795"/>
      <c r="AB280" s="6796"/>
      <c r="AC280" s="6797"/>
      <c r="AD280" s="6798"/>
      <c r="AE280" s="4" t="s">
        <v>1</v>
      </c>
      <c r="AF280" s="6202" t="str">
        <f t="shared" si="132"/>
        <v>►</v>
      </c>
      <c r="AG280" s="6234" t="str">
        <f t="shared" si="133"/>
        <v/>
      </c>
      <c r="AH280" s="6732" t="str">
        <f t="shared" si="134"/>
        <v/>
      </c>
      <c r="AI280" s="6234" t="str">
        <f t="shared" si="135"/>
        <v/>
      </c>
      <c r="AJ280" s="6732" t="str">
        <f t="shared" si="136"/>
        <v/>
      </c>
      <c r="AK280" s="6732">
        <f t="shared" si="137"/>
        <v>0</v>
      </c>
      <c r="AL280" s="6230" t="str" cm="1">
        <f t="array" ref="AL280">IF(AF280&lt;&gt;"A","",IFERROR((IFERROR(_xlfn.XLOOKUP(TRIM(SUBSTITUTE(U280,CHAR(160)," ")),$BJ$15:$BJ$62,$BM$15:$BM$62),IFERROR(_xlfn.XLOOKUP(TRIM(SUBSTITUTE(U280,CHAR(160)," ")),$BK$15:$BK$62,$BM$15:$BM$62),_xlfn.XLOOKUP(TRIM(SUBSTITUTE(U280,CHAR(160)," ")),$BL$15:$BL$62,$BM$15:$BM$62))))*T280*IF(ISBLANK(Q280),1,Q280)+IFERROR(_xlfn.XLOOKUP("RECHERCHEX",TRIM(L280:AD280),L280:AD280),0),0))</f>
        <v/>
      </c>
      <c r="AM280" s="6229">
        <f t="shared" si="138"/>
        <v>0</v>
      </c>
      <c r="AN280" s="6857" t="str">
        <f t="shared" si="129"/>
        <v/>
      </c>
      <c r="AO280" s="392">
        <f t="shared" si="139"/>
        <v>0</v>
      </c>
      <c r="AP280" s="392">
        <f t="shared" si="140"/>
        <v>0</v>
      </c>
      <c r="AQ280" s="6190">
        <f t="shared" si="141"/>
        <v>0</v>
      </c>
      <c r="AR280" s="6858" t="str">
        <f t="shared" si="142"/>
        <v/>
      </c>
      <c r="AS280" s="6217"/>
      <c r="AT280" s="6217"/>
      <c r="AU280" s="6271">
        <f t="shared" si="143"/>
        <v>0</v>
      </c>
      <c r="AV280" s="6242">
        <f t="shared" si="144"/>
        <v>0</v>
      </c>
      <c r="AW280" s="6188" cm="1">
        <f t="array" ref="AW280">IF(AK280&lt;&gt;1,0,IF(OR(AU280="",N(AU280)&lt;=0.000000001),"",IF(OR(AO280="",N(AO280)&lt;=0.000000001),0,IF(ISNUMBER(AU280),IFERROR(_xlfn.LET(_xlpm.ai_test,TRIM(AJ280),_xlpm.r,IFERROR(_xlfn.XLOOKUP(_xlpm.ai_test,$BJ$15:$BJ$62,ROW($BJ$15:$BJ$62),0,1),IFERROR(_xlfn.XLOOKUP(_xlpm.ai_test,$BK$15:$BK$62,ROW($BK$15:$BK$62),0,1),_xlfn.XLOOKUP(_xlpm.ai_test,$BL$15:$BL$62,ROW($BL$15:$BL$62),0,1))),_xlpm.p,_xlpm.r-MIN(ROW($BJ$15:$BJ$62))+1,_xlpm.f,INDEX($BM$15:$BM$62,_xlpm.p),_xlpm.u,INDEX($BN$15:$BN$62,_xlpm.p),_xlpm.s,INDEX($BP$15:$BP$62,_xlpm.p),_xlpm.q,N(AU280)/_xlpm.f,IF(_xlpm.q&gt;=_xlpm.s,ROUND(_xlpm.q,1)&amp;" "&amp;_xlpm.ai_test&amp;" = "&amp;ROUND(_xlpm.q*_xlpm.f,1)&amp;" "&amp;_xlpm.u,ROUND(_xlpm.q,1)&amp;" "&amp;_xlpm.ai_test)),""),""))))</f>
        <v>0</v>
      </c>
      <c r="AX280" s="6218"/>
      <c r="AY280" s="6271">
        <f t="shared" si="145"/>
        <v>0</v>
      </c>
      <c r="AZ280" s="6242" t="str">
        <f t="shared" si="146"/>
        <v/>
      </c>
      <c r="BA280" s="6194">
        <f t="shared" si="151"/>
        <v>0</v>
      </c>
      <c r="BB280" s="6192" t="str">
        <f t="shared" si="147"/>
        <v/>
      </c>
      <c r="BC280" s="6219"/>
      <c r="BD280" s="6221">
        <f t="shared" si="128"/>
        <v>0</v>
      </c>
      <c r="BE280" s="6220" t="str">
        <f t="shared" si="148"/>
        <v/>
      </c>
      <c r="BF280" s="4" t="s">
        <v>1</v>
      </c>
      <c r="BG280" s="6196">
        <f t="shared" si="149"/>
        <v>0</v>
      </c>
      <c r="BH280" s="6197">
        <f t="shared" si="150"/>
        <v>0</v>
      </c>
      <c r="BI280"/>
      <c r="BJ280" s="1"/>
      <c r="BK280" s="1"/>
      <c r="BL280" s="1"/>
      <c r="BM280" s="1"/>
      <c r="BN280" s="1"/>
      <c r="BO280" s="1"/>
      <c r="BP280" s="1"/>
      <c r="BQ280" s="1"/>
      <c r="BR280"/>
      <c r="BS280"/>
      <c r="BT280"/>
      <c r="BU280"/>
      <c r="BV280"/>
      <c r="BW280"/>
      <c r="BX280" s="20" t="str">
        <f t="shared" si="131"/>
        <v>►</v>
      </c>
      <c r="BY280"/>
      <c r="BZ280"/>
      <c r="CA280"/>
      <c r="CB280"/>
      <c r="CC280"/>
      <c r="CE280"/>
      <c r="CF280"/>
      <c r="CG280"/>
      <c r="CH280"/>
      <c r="CI280"/>
      <c r="CJ280"/>
      <c r="CK280"/>
      <c r="CL280" s="4"/>
      <c r="CM280"/>
      <c r="CN280"/>
      <c r="CO280"/>
      <c r="CP280"/>
      <c r="CQ280"/>
      <c r="CR280"/>
      <c r="CS280"/>
      <c r="CT280" s="4"/>
      <c r="CU280"/>
      <c r="CV280"/>
      <c r="CW280"/>
      <c r="CX280"/>
      <c r="CY280"/>
      <c r="CZ280"/>
      <c r="DA280"/>
      <c r="DB280" s="4"/>
      <c r="DC280" s="5">
        <v>1</v>
      </c>
      <c r="DD280" s="1"/>
      <c r="DE280" s="1"/>
    </row>
    <row r="281" spans="1:109" s="2" customFormat="1" ht="21" customHeight="1">
      <c r="A281" s="5641" t="s">
        <v>1</v>
      </c>
      <c r="B281" s="5662" t="str">
        <f t="shared" si="130"/>
        <v>►</v>
      </c>
      <c r="C281" s="5825" cm="1">
        <f t="array" ref="C281">SUMPRODUCT(LEN(D281:J281))</f>
        <v>0</v>
      </c>
      <c r="D281" s="5275"/>
      <c r="E281" s="1361"/>
      <c r="F281" s="1361"/>
      <c r="G281" s="1361"/>
      <c r="H281" s="1361"/>
      <c r="I281" s="1361"/>
      <c r="J281" s="5276"/>
      <c r="K281" s="106" t="s">
        <v>1</v>
      </c>
      <c r="L281" s="1021" t="s">
        <v>26</v>
      </c>
      <c r="M281" s="6787"/>
      <c r="N281" s="6787"/>
      <c r="O281" s="6787"/>
      <c r="P281" s="6788"/>
      <c r="Q281" s="6789"/>
      <c r="R281" s="6790"/>
      <c r="S281" s="6786"/>
      <c r="T281" s="6791"/>
      <c r="U281" s="6844"/>
      <c r="V281" s="6791"/>
      <c r="W281" s="6785"/>
      <c r="X281" s="6868"/>
      <c r="Y281" s="6793"/>
      <c r="Z281" s="6794"/>
      <c r="AA281" s="6795"/>
      <c r="AB281" s="6796"/>
      <c r="AC281" s="6797"/>
      <c r="AD281" s="6798"/>
      <c r="AE281" s="4" t="s">
        <v>1</v>
      </c>
      <c r="AF281" s="6202" t="str">
        <f t="shared" si="132"/>
        <v>►</v>
      </c>
      <c r="AG281" s="6234" t="str">
        <f t="shared" si="133"/>
        <v/>
      </c>
      <c r="AH281" s="6732" t="str">
        <f t="shared" si="134"/>
        <v/>
      </c>
      <c r="AI281" s="6234" t="str">
        <f t="shared" si="135"/>
        <v/>
      </c>
      <c r="AJ281" s="6732" t="str">
        <f t="shared" si="136"/>
        <v/>
      </c>
      <c r="AK281" s="6732">
        <f t="shared" si="137"/>
        <v>0</v>
      </c>
      <c r="AL281" s="6230" t="str" cm="1">
        <f t="array" ref="AL281">IF(AF281&lt;&gt;"A","",IFERROR((IFERROR(_xlfn.XLOOKUP(TRIM(SUBSTITUTE(U281,CHAR(160)," ")),$BJ$15:$BJ$62,$BM$15:$BM$62),IFERROR(_xlfn.XLOOKUP(TRIM(SUBSTITUTE(U281,CHAR(160)," ")),$BK$15:$BK$62,$BM$15:$BM$62),_xlfn.XLOOKUP(TRIM(SUBSTITUTE(U281,CHAR(160)," ")),$BL$15:$BL$62,$BM$15:$BM$62))))*T281*IF(ISBLANK(Q281),1,Q281)+IFERROR(_xlfn.XLOOKUP("RECHERCHEX",TRIM(L281:AD281),L281:AD281),0),0))</f>
        <v/>
      </c>
      <c r="AM281" s="6229">
        <f t="shared" si="138"/>
        <v>0</v>
      </c>
      <c r="AN281" s="6857" t="str">
        <f t="shared" si="129"/>
        <v/>
      </c>
      <c r="AO281" s="392">
        <f t="shared" si="139"/>
        <v>0</v>
      </c>
      <c r="AP281" s="392">
        <f t="shared" si="140"/>
        <v>0</v>
      </c>
      <c r="AQ281" s="6191">
        <f t="shared" si="141"/>
        <v>0</v>
      </c>
      <c r="AR281" s="6859" t="str">
        <f t="shared" si="142"/>
        <v/>
      </c>
      <c r="AS281" s="6217"/>
      <c r="AT281" s="6217"/>
      <c r="AU281" s="6272">
        <f t="shared" si="143"/>
        <v>0</v>
      </c>
      <c r="AV281" s="6240">
        <f t="shared" si="144"/>
        <v>0</v>
      </c>
      <c r="AW281" s="6189" cm="1">
        <f t="array" ref="AW281">IF(AK281&lt;&gt;1,0,IF(OR(AU281="",N(AU281)&lt;=0.000000001),"",IF(OR(AO281="",N(AO281)&lt;=0.000000001),0,IF(ISNUMBER(AU281),IFERROR(_xlfn.LET(_xlpm.ai_test,TRIM(AJ281),_xlpm.r,IFERROR(_xlfn.XLOOKUP(_xlpm.ai_test,$BJ$15:$BJ$62,ROW($BJ$15:$BJ$62),0,1),IFERROR(_xlfn.XLOOKUP(_xlpm.ai_test,$BK$15:$BK$62,ROW($BK$15:$BK$62),0,1),_xlfn.XLOOKUP(_xlpm.ai_test,$BL$15:$BL$62,ROW($BL$15:$BL$62),0,1))),_xlpm.p,_xlpm.r-MIN(ROW($BJ$15:$BJ$62))+1,_xlpm.f,INDEX($BM$15:$BM$62,_xlpm.p),_xlpm.u,INDEX($BN$15:$BN$62,_xlpm.p),_xlpm.s,INDEX($BP$15:$BP$62,_xlpm.p),_xlpm.q,N(AU281)/_xlpm.f,IF(_xlpm.q&gt;=_xlpm.s,ROUND(_xlpm.q,1)&amp;" "&amp;_xlpm.ai_test&amp;" = "&amp;ROUND(_xlpm.q*_xlpm.f,1)&amp;" "&amp;_xlpm.u,ROUND(_xlpm.q,1)&amp;" "&amp;_xlpm.ai_test)),""),""))))</f>
        <v>0</v>
      </c>
      <c r="AX281" s="6218"/>
      <c r="AY281" s="6272">
        <f t="shared" si="145"/>
        <v>0</v>
      </c>
      <c r="AZ281" s="6240" t="str">
        <f t="shared" si="146"/>
        <v/>
      </c>
      <c r="BA281" s="6195">
        <f t="shared" si="151"/>
        <v>0</v>
      </c>
      <c r="BB281" s="6193" t="str">
        <f t="shared" si="147"/>
        <v/>
      </c>
      <c r="BC281" s="6219"/>
      <c r="BD281" s="6222">
        <f t="shared" si="128"/>
        <v>0</v>
      </c>
      <c r="BE281" s="6220" t="str">
        <f t="shared" si="148"/>
        <v/>
      </c>
      <c r="BF281" s="4" t="s">
        <v>1</v>
      </c>
      <c r="BG281" s="6196">
        <f t="shared" si="149"/>
        <v>0</v>
      </c>
      <c r="BH281" s="6197">
        <f t="shared" si="150"/>
        <v>0</v>
      </c>
      <c r="BI281"/>
      <c r="BJ281" s="1"/>
      <c r="BK281" s="1"/>
      <c r="BL281" s="1"/>
      <c r="BM281" s="1"/>
      <c r="BN281" s="1"/>
      <c r="BO281" s="1"/>
      <c r="BP281" s="1"/>
      <c r="BQ281" s="1"/>
      <c r="BR281"/>
      <c r="BS281"/>
      <c r="BT281"/>
      <c r="BU281"/>
      <c r="BV281"/>
      <c r="BW281"/>
      <c r="BX281" s="20" t="str">
        <f t="shared" si="131"/>
        <v>►</v>
      </c>
      <c r="BY281"/>
      <c r="BZ281"/>
      <c r="CA281"/>
      <c r="CB281"/>
      <c r="CC281"/>
      <c r="CE281"/>
      <c r="CF281"/>
      <c r="CG281"/>
      <c r="CH281"/>
      <c r="CI281"/>
      <c r="CJ281"/>
      <c r="CK281"/>
      <c r="CL281" s="4"/>
      <c r="CM281"/>
      <c r="CN281"/>
      <c r="CO281"/>
      <c r="CP281"/>
      <c r="CQ281"/>
      <c r="CR281"/>
      <c r="CS281"/>
      <c r="CT281" s="4"/>
      <c r="CU281"/>
      <c r="CV281"/>
      <c r="CW281"/>
      <c r="CX281"/>
      <c r="CY281"/>
      <c r="CZ281"/>
      <c r="DA281"/>
      <c r="DB281" s="4"/>
      <c r="DC281" s="5">
        <v>1</v>
      </c>
      <c r="DD281" s="1"/>
      <c r="DE281" s="1"/>
    </row>
    <row r="282" spans="1:109" s="2" customFormat="1" ht="21" customHeight="1">
      <c r="A282" s="5641" t="s">
        <v>1</v>
      </c>
      <c r="B282" s="5662" t="str">
        <f t="shared" si="130"/>
        <v>►</v>
      </c>
      <c r="C282" s="5825" cm="1">
        <f t="array" ref="C282">SUMPRODUCT(LEN(D282:J282))</f>
        <v>0</v>
      </c>
      <c r="D282" s="5275"/>
      <c r="E282" s="1361"/>
      <c r="F282" s="1361"/>
      <c r="G282" s="1361"/>
      <c r="H282" s="1361"/>
      <c r="I282" s="1361"/>
      <c r="J282" s="5276"/>
      <c r="K282" s="106" t="s">
        <v>1</v>
      </c>
      <c r="L282" s="1021" t="s">
        <v>26</v>
      </c>
      <c r="M282" s="6787"/>
      <c r="N282" s="6787"/>
      <c r="O282" s="6787"/>
      <c r="P282" s="6788"/>
      <c r="Q282" s="6789"/>
      <c r="R282" s="6790"/>
      <c r="S282" s="6786"/>
      <c r="T282" s="6791"/>
      <c r="U282" s="6844"/>
      <c r="V282" s="6791"/>
      <c r="W282" s="6785"/>
      <c r="X282" s="6868"/>
      <c r="Y282" s="6793"/>
      <c r="Z282" s="6794"/>
      <c r="AA282" s="6795"/>
      <c r="AB282" s="6796"/>
      <c r="AC282" s="6797"/>
      <c r="AD282" s="6798"/>
      <c r="AE282" s="4" t="s">
        <v>1</v>
      </c>
      <c r="AF282" s="6202" t="str">
        <f t="shared" si="132"/>
        <v>►</v>
      </c>
      <c r="AG282" s="6234" t="str">
        <f t="shared" si="133"/>
        <v/>
      </c>
      <c r="AH282" s="6732" t="str">
        <f t="shared" si="134"/>
        <v/>
      </c>
      <c r="AI282" s="6234" t="str">
        <f t="shared" si="135"/>
        <v/>
      </c>
      <c r="AJ282" s="6732" t="str">
        <f t="shared" si="136"/>
        <v/>
      </c>
      <c r="AK282" s="6732">
        <f t="shared" si="137"/>
        <v>0</v>
      </c>
      <c r="AL282" s="6230" t="str" cm="1">
        <f t="array" ref="AL282">IF(AF282&lt;&gt;"A","",IFERROR((IFERROR(_xlfn.XLOOKUP(TRIM(SUBSTITUTE(U282,CHAR(160)," ")),$BJ$15:$BJ$62,$BM$15:$BM$62),IFERROR(_xlfn.XLOOKUP(TRIM(SUBSTITUTE(U282,CHAR(160)," ")),$BK$15:$BK$62,$BM$15:$BM$62),_xlfn.XLOOKUP(TRIM(SUBSTITUTE(U282,CHAR(160)," ")),$BL$15:$BL$62,$BM$15:$BM$62))))*T282*IF(ISBLANK(Q282),1,Q282)+IFERROR(_xlfn.XLOOKUP("RECHERCHEX",TRIM(L282:AD282),L282:AD282),0),0))</f>
        <v/>
      </c>
      <c r="AM282" s="6229">
        <f t="shared" si="138"/>
        <v>0</v>
      </c>
      <c r="AN282" s="6857" t="str">
        <f t="shared" si="129"/>
        <v/>
      </c>
      <c r="AO282" s="392">
        <f t="shared" si="139"/>
        <v>0</v>
      </c>
      <c r="AP282" s="392">
        <f t="shared" si="140"/>
        <v>0</v>
      </c>
      <c r="AQ282" s="6190">
        <f t="shared" si="141"/>
        <v>0</v>
      </c>
      <c r="AR282" s="6858" t="str">
        <f t="shared" si="142"/>
        <v/>
      </c>
      <c r="AS282" s="6217"/>
      <c r="AT282" s="6217"/>
      <c r="AU282" s="6271">
        <f t="shared" si="143"/>
        <v>0</v>
      </c>
      <c r="AV282" s="6242">
        <f t="shared" si="144"/>
        <v>0</v>
      </c>
      <c r="AW282" s="6188" cm="1">
        <f t="array" ref="AW282">IF(AK282&lt;&gt;1,0,IF(OR(AU282="",N(AU282)&lt;=0.000000001),"",IF(OR(AO282="",N(AO282)&lt;=0.000000001),0,IF(ISNUMBER(AU282),IFERROR(_xlfn.LET(_xlpm.ai_test,TRIM(AJ282),_xlpm.r,IFERROR(_xlfn.XLOOKUP(_xlpm.ai_test,$BJ$15:$BJ$62,ROW($BJ$15:$BJ$62),0,1),IFERROR(_xlfn.XLOOKUP(_xlpm.ai_test,$BK$15:$BK$62,ROW($BK$15:$BK$62),0,1),_xlfn.XLOOKUP(_xlpm.ai_test,$BL$15:$BL$62,ROW($BL$15:$BL$62),0,1))),_xlpm.p,_xlpm.r-MIN(ROW($BJ$15:$BJ$62))+1,_xlpm.f,INDEX($BM$15:$BM$62,_xlpm.p),_xlpm.u,INDEX($BN$15:$BN$62,_xlpm.p),_xlpm.s,INDEX($BP$15:$BP$62,_xlpm.p),_xlpm.q,N(AU282)/_xlpm.f,IF(_xlpm.q&gt;=_xlpm.s,ROUND(_xlpm.q,1)&amp;" "&amp;_xlpm.ai_test&amp;" = "&amp;ROUND(_xlpm.q*_xlpm.f,1)&amp;" "&amp;_xlpm.u,ROUND(_xlpm.q,1)&amp;" "&amp;_xlpm.ai_test)),""),""))))</f>
        <v>0</v>
      </c>
      <c r="AX282" s="6218"/>
      <c r="AY282" s="6271">
        <f t="shared" si="145"/>
        <v>0</v>
      </c>
      <c r="AZ282" s="6242" t="str">
        <f t="shared" si="146"/>
        <v/>
      </c>
      <c r="BA282" s="6194">
        <f t="shared" si="151"/>
        <v>0</v>
      </c>
      <c r="BB282" s="6192" t="str">
        <f t="shared" si="147"/>
        <v/>
      </c>
      <c r="BC282" s="6219"/>
      <c r="BD282" s="6221">
        <f t="shared" si="128"/>
        <v>0</v>
      </c>
      <c r="BE282" s="6220" t="str">
        <f t="shared" si="148"/>
        <v/>
      </c>
      <c r="BF282" s="4" t="s">
        <v>1</v>
      </c>
      <c r="BG282" s="6196">
        <f t="shared" si="149"/>
        <v>0</v>
      </c>
      <c r="BH282" s="6197">
        <f t="shared" si="150"/>
        <v>0</v>
      </c>
      <c r="BI282"/>
      <c r="BJ282" s="1"/>
      <c r="BK282" s="1"/>
      <c r="BL282" s="1"/>
      <c r="BM282" s="1"/>
      <c r="BN282" s="1"/>
      <c r="BO282" s="1"/>
      <c r="BP282" s="1"/>
      <c r="BQ282" s="1"/>
      <c r="BR282"/>
      <c r="BS282"/>
      <c r="BT282"/>
      <c r="BU282"/>
      <c r="BV282"/>
      <c r="BW282"/>
      <c r="BX282" s="20" t="str">
        <f t="shared" si="131"/>
        <v>►</v>
      </c>
      <c r="BY282"/>
      <c r="BZ282"/>
      <c r="CA282"/>
      <c r="CB282"/>
      <c r="CC282"/>
      <c r="CE282"/>
      <c r="CF282"/>
      <c r="CG282"/>
      <c r="CH282"/>
      <c r="CI282"/>
      <c r="CJ282"/>
      <c r="CK282"/>
      <c r="CL282" s="4"/>
      <c r="CM282"/>
      <c r="CN282"/>
      <c r="CO282"/>
      <c r="CP282"/>
      <c r="CQ282"/>
      <c r="CR282"/>
      <c r="CS282"/>
      <c r="CT282" s="4"/>
      <c r="CU282"/>
      <c r="CV282"/>
      <c r="CW282"/>
      <c r="CX282"/>
      <c r="CY282"/>
      <c r="CZ282"/>
      <c r="DA282"/>
      <c r="DB282" s="4"/>
      <c r="DC282" s="5">
        <v>1</v>
      </c>
      <c r="DD282" s="1"/>
      <c r="DE282" s="1"/>
    </row>
    <row r="283" spans="1:109" s="2" customFormat="1" ht="21" customHeight="1">
      <c r="A283" s="5641" t="s">
        <v>1</v>
      </c>
      <c r="B283" s="5662" t="str">
        <f t="shared" si="130"/>
        <v>►</v>
      </c>
      <c r="C283" s="5825" cm="1">
        <f t="array" ref="C283">SUMPRODUCT(LEN(D283:J283))</f>
        <v>0</v>
      </c>
      <c r="D283" s="5275"/>
      <c r="E283" s="1361"/>
      <c r="F283" s="1361"/>
      <c r="G283" s="1361"/>
      <c r="H283" s="1361"/>
      <c r="I283" s="1361"/>
      <c r="J283" s="5276"/>
      <c r="K283" s="106" t="s">
        <v>1</v>
      </c>
      <c r="L283" s="1021" t="s">
        <v>26</v>
      </c>
      <c r="M283" s="6787"/>
      <c r="N283" s="6787"/>
      <c r="O283" s="6787"/>
      <c r="P283" s="6788"/>
      <c r="Q283" s="6789"/>
      <c r="R283" s="6790"/>
      <c r="S283" s="6786"/>
      <c r="T283" s="6791"/>
      <c r="U283" s="6844"/>
      <c r="V283" s="6791"/>
      <c r="W283" s="6785"/>
      <c r="X283" s="6868"/>
      <c r="Y283" s="6793"/>
      <c r="Z283" s="6794"/>
      <c r="AA283" s="6795"/>
      <c r="AB283" s="6796"/>
      <c r="AC283" s="6797"/>
      <c r="AD283" s="6798"/>
      <c r="AE283" s="4" t="s">
        <v>1</v>
      </c>
      <c r="AF283" s="6202" t="str">
        <f t="shared" si="132"/>
        <v>►</v>
      </c>
      <c r="AG283" s="6234" t="str">
        <f t="shared" si="133"/>
        <v/>
      </c>
      <c r="AH283" s="6732" t="str">
        <f t="shared" si="134"/>
        <v/>
      </c>
      <c r="AI283" s="6234" t="str">
        <f t="shared" si="135"/>
        <v/>
      </c>
      <c r="AJ283" s="6732" t="str">
        <f t="shared" si="136"/>
        <v/>
      </c>
      <c r="AK283" s="6732">
        <f t="shared" si="137"/>
        <v>0</v>
      </c>
      <c r="AL283" s="6230" t="str" cm="1">
        <f t="array" ref="AL283">IF(AF283&lt;&gt;"A","",IFERROR((IFERROR(_xlfn.XLOOKUP(TRIM(SUBSTITUTE(U283,CHAR(160)," ")),$BJ$15:$BJ$62,$BM$15:$BM$62),IFERROR(_xlfn.XLOOKUP(TRIM(SUBSTITUTE(U283,CHAR(160)," ")),$BK$15:$BK$62,$BM$15:$BM$62),_xlfn.XLOOKUP(TRIM(SUBSTITUTE(U283,CHAR(160)," ")),$BL$15:$BL$62,$BM$15:$BM$62))))*T283*IF(ISBLANK(Q283),1,Q283)+IFERROR(_xlfn.XLOOKUP("RECHERCHEX",TRIM(L283:AD283),L283:AD283),0),0))</f>
        <v/>
      </c>
      <c r="AM283" s="6229">
        <f t="shared" si="138"/>
        <v>0</v>
      </c>
      <c r="AN283" s="6857" t="str">
        <f t="shared" si="129"/>
        <v/>
      </c>
      <c r="AO283" s="392">
        <f t="shared" si="139"/>
        <v>0</v>
      </c>
      <c r="AP283" s="392">
        <f t="shared" si="140"/>
        <v>0</v>
      </c>
      <c r="AQ283" s="6191">
        <f t="shared" si="141"/>
        <v>0</v>
      </c>
      <c r="AR283" s="6859" t="str">
        <f t="shared" si="142"/>
        <v/>
      </c>
      <c r="AS283" s="6217"/>
      <c r="AT283" s="6217"/>
      <c r="AU283" s="6272">
        <f t="shared" si="143"/>
        <v>0</v>
      </c>
      <c r="AV283" s="6240">
        <f t="shared" si="144"/>
        <v>0</v>
      </c>
      <c r="AW283" s="6189" cm="1">
        <f t="array" ref="AW283">IF(AK283&lt;&gt;1,0,IF(OR(AU283="",N(AU283)&lt;=0.000000001),"",IF(OR(AO283="",N(AO283)&lt;=0.000000001),0,IF(ISNUMBER(AU283),IFERROR(_xlfn.LET(_xlpm.ai_test,TRIM(AJ283),_xlpm.r,IFERROR(_xlfn.XLOOKUP(_xlpm.ai_test,$BJ$15:$BJ$62,ROW($BJ$15:$BJ$62),0,1),IFERROR(_xlfn.XLOOKUP(_xlpm.ai_test,$BK$15:$BK$62,ROW($BK$15:$BK$62),0,1),_xlfn.XLOOKUP(_xlpm.ai_test,$BL$15:$BL$62,ROW($BL$15:$BL$62),0,1))),_xlpm.p,_xlpm.r-MIN(ROW($BJ$15:$BJ$62))+1,_xlpm.f,INDEX($BM$15:$BM$62,_xlpm.p),_xlpm.u,INDEX($BN$15:$BN$62,_xlpm.p),_xlpm.s,INDEX($BP$15:$BP$62,_xlpm.p),_xlpm.q,N(AU283)/_xlpm.f,IF(_xlpm.q&gt;=_xlpm.s,ROUND(_xlpm.q,1)&amp;" "&amp;_xlpm.ai_test&amp;" = "&amp;ROUND(_xlpm.q*_xlpm.f,1)&amp;" "&amp;_xlpm.u,ROUND(_xlpm.q,1)&amp;" "&amp;_xlpm.ai_test)),""),""))))</f>
        <v>0</v>
      </c>
      <c r="AX283" s="6218"/>
      <c r="AY283" s="6272">
        <f t="shared" si="145"/>
        <v>0</v>
      </c>
      <c r="AZ283" s="6240" t="str">
        <f t="shared" si="146"/>
        <v/>
      </c>
      <c r="BA283" s="6195">
        <f t="shared" si="151"/>
        <v>0</v>
      </c>
      <c r="BB283" s="6193" t="str">
        <f t="shared" si="147"/>
        <v/>
      </c>
      <c r="BC283" s="6219"/>
      <c r="BD283" s="6222">
        <f t="shared" ref="BD283:BD346" si="152">IF(OR(AO283=0,ISBLANK(BC283),ISTEXT(BA283)),0,(IF(AU283=0,BA283,AU283)*BC283))</f>
        <v>0</v>
      </c>
      <c r="BE283" s="6220" t="str">
        <f t="shared" si="148"/>
        <v/>
      </c>
      <c r="BF283" s="4" t="s">
        <v>1</v>
      </c>
      <c r="BG283" s="6196">
        <f t="shared" si="149"/>
        <v>0</v>
      </c>
      <c r="BH283" s="6197">
        <f t="shared" si="150"/>
        <v>0</v>
      </c>
      <c r="BI283"/>
      <c r="BJ283" s="1"/>
      <c r="BK283" s="1"/>
      <c r="BL283" s="1"/>
      <c r="BM283" s="1"/>
      <c r="BN283" s="1"/>
      <c r="BO283" s="1"/>
      <c r="BP283" s="1"/>
      <c r="BQ283" s="1"/>
      <c r="BR283"/>
      <c r="BS283"/>
      <c r="BT283"/>
      <c r="BU283"/>
      <c r="BV283"/>
      <c r="BW283"/>
      <c r="BX283" s="20" t="str">
        <f t="shared" si="131"/>
        <v>►</v>
      </c>
      <c r="BY283"/>
      <c r="BZ283"/>
      <c r="CA283"/>
      <c r="CB283"/>
      <c r="CC283"/>
      <c r="CE283"/>
      <c r="CF283"/>
      <c r="CG283"/>
      <c r="CH283"/>
      <c r="CI283"/>
      <c r="CJ283"/>
      <c r="CK283"/>
      <c r="CL283" s="4"/>
      <c r="CM283"/>
      <c r="CN283"/>
      <c r="CO283"/>
      <c r="CP283"/>
      <c r="CQ283"/>
      <c r="CR283"/>
      <c r="CS283"/>
      <c r="CT283" s="4"/>
      <c r="CU283"/>
      <c r="CV283"/>
      <c r="CW283"/>
      <c r="CX283"/>
      <c r="CY283"/>
      <c r="CZ283"/>
      <c r="DA283"/>
      <c r="DB283" s="4"/>
      <c r="DC283" s="5">
        <v>1</v>
      </c>
      <c r="DD283" s="1"/>
      <c r="DE283" s="1"/>
    </row>
    <row r="284" spans="1:109" s="2" customFormat="1" ht="21" customHeight="1">
      <c r="A284" s="5641" t="s">
        <v>1</v>
      </c>
      <c r="B284" s="5662" t="str">
        <f t="shared" si="130"/>
        <v>►</v>
      </c>
      <c r="C284" s="5825" cm="1">
        <f t="array" ref="C284">SUMPRODUCT(LEN(D284:J284))</f>
        <v>0</v>
      </c>
      <c r="D284" s="5275"/>
      <c r="E284" s="1361"/>
      <c r="F284" s="1361"/>
      <c r="G284" s="1361"/>
      <c r="H284" s="1361"/>
      <c r="I284" s="1361"/>
      <c r="J284" s="5276"/>
      <c r="K284" s="106" t="s">
        <v>1</v>
      </c>
      <c r="L284" s="1021" t="s">
        <v>26</v>
      </c>
      <c r="M284" s="6787"/>
      <c r="N284" s="6787"/>
      <c r="O284" s="6787"/>
      <c r="P284" s="6788"/>
      <c r="Q284" s="6789"/>
      <c r="R284" s="6790"/>
      <c r="S284" s="6786"/>
      <c r="T284" s="6791"/>
      <c r="U284" s="6844"/>
      <c r="V284" s="6791"/>
      <c r="W284" s="6785"/>
      <c r="X284" s="6868"/>
      <c r="Y284" s="6793"/>
      <c r="Z284" s="6794"/>
      <c r="AA284" s="6795"/>
      <c r="AB284" s="6796"/>
      <c r="AC284" s="6797"/>
      <c r="AD284" s="6798"/>
      <c r="AE284" s="4" t="s">
        <v>1</v>
      </c>
      <c r="AF284" s="6202" t="str">
        <f t="shared" si="132"/>
        <v>►</v>
      </c>
      <c r="AG284" s="6234" t="str">
        <f t="shared" si="133"/>
        <v/>
      </c>
      <c r="AH284" s="6732" t="str">
        <f t="shared" si="134"/>
        <v/>
      </c>
      <c r="AI284" s="6234" t="str">
        <f t="shared" si="135"/>
        <v/>
      </c>
      <c r="AJ284" s="6732" t="str">
        <f t="shared" si="136"/>
        <v/>
      </c>
      <c r="AK284" s="6732">
        <f t="shared" si="137"/>
        <v>0</v>
      </c>
      <c r="AL284" s="6230" t="str" cm="1">
        <f t="array" ref="AL284">IF(AF284&lt;&gt;"A","",IFERROR((IFERROR(_xlfn.XLOOKUP(TRIM(SUBSTITUTE(U284,CHAR(160)," ")),$BJ$15:$BJ$62,$BM$15:$BM$62),IFERROR(_xlfn.XLOOKUP(TRIM(SUBSTITUTE(U284,CHAR(160)," ")),$BK$15:$BK$62,$BM$15:$BM$62),_xlfn.XLOOKUP(TRIM(SUBSTITUTE(U284,CHAR(160)," ")),$BL$15:$BL$62,$BM$15:$BM$62))))*T284*IF(ISBLANK(Q284),1,Q284)+IFERROR(_xlfn.XLOOKUP("RECHERCHEX",TRIM(L284:AD284),L284:AD284),0),0))</f>
        <v/>
      </c>
      <c r="AM284" s="6229">
        <f t="shared" si="138"/>
        <v>0</v>
      </c>
      <c r="AN284" s="6857" t="str">
        <f t="shared" si="129"/>
        <v/>
      </c>
      <c r="AO284" s="392">
        <f t="shared" si="139"/>
        <v>0</v>
      </c>
      <c r="AP284" s="392">
        <f t="shared" si="140"/>
        <v>0</v>
      </c>
      <c r="AQ284" s="6190">
        <f t="shared" si="141"/>
        <v>0</v>
      </c>
      <c r="AR284" s="6858" t="str">
        <f t="shared" si="142"/>
        <v/>
      </c>
      <c r="AS284" s="6217"/>
      <c r="AT284" s="6217"/>
      <c r="AU284" s="6271">
        <f t="shared" si="143"/>
        <v>0</v>
      </c>
      <c r="AV284" s="6242">
        <f t="shared" si="144"/>
        <v>0</v>
      </c>
      <c r="AW284" s="6188" cm="1">
        <f t="array" ref="AW284">IF(AK284&lt;&gt;1,0,IF(OR(AU284="",N(AU284)&lt;=0.000000001),"",IF(OR(AO284="",N(AO284)&lt;=0.000000001),0,IF(ISNUMBER(AU284),IFERROR(_xlfn.LET(_xlpm.ai_test,TRIM(AJ284),_xlpm.r,IFERROR(_xlfn.XLOOKUP(_xlpm.ai_test,$BJ$15:$BJ$62,ROW($BJ$15:$BJ$62),0,1),IFERROR(_xlfn.XLOOKUP(_xlpm.ai_test,$BK$15:$BK$62,ROW($BK$15:$BK$62),0,1),_xlfn.XLOOKUP(_xlpm.ai_test,$BL$15:$BL$62,ROW($BL$15:$BL$62),0,1))),_xlpm.p,_xlpm.r-MIN(ROW($BJ$15:$BJ$62))+1,_xlpm.f,INDEX($BM$15:$BM$62,_xlpm.p),_xlpm.u,INDEX($BN$15:$BN$62,_xlpm.p),_xlpm.s,INDEX($BP$15:$BP$62,_xlpm.p),_xlpm.q,N(AU284)/_xlpm.f,IF(_xlpm.q&gt;=_xlpm.s,ROUND(_xlpm.q,1)&amp;" "&amp;_xlpm.ai_test&amp;" = "&amp;ROUND(_xlpm.q*_xlpm.f,1)&amp;" "&amp;_xlpm.u,ROUND(_xlpm.q,1)&amp;" "&amp;_xlpm.ai_test)),""),""))))</f>
        <v>0</v>
      </c>
      <c r="AX284" s="6218"/>
      <c r="AY284" s="6271">
        <f t="shared" si="145"/>
        <v>0</v>
      </c>
      <c r="AZ284" s="6242" t="str">
        <f t="shared" si="146"/>
        <v/>
      </c>
      <c r="BA284" s="6194">
        <f t="shared" si="151"/>
        <v>0</v>
      </c>
      <c r="BB284" s="6192" t="str">
        <f t="shared" si="147"/>
        <v/>
      </c>
      <c r="BC284" s="6219"/>
      <c r="BD284" s="6221">
        <f t="shared" si="152"/>
        <v>0</v>
      </c>
      <c r="BE284" s="6220" t="str">
        <f t="shared" si="148"/>
        <v/>
      </c>
      <c r="BF284" s="4" t="s">
        <v>1</v>
      </c>
      <c r="BG284" s="6196">
        <f t="shared" si="149"/>
        <v>0</v>
      </c>
      <c r="BH284" s="6197">
        <f t="shared" si="150"/>
        <v>0</v>
      </c>
      <c r="BI284"/>
      <c r="BJ284" s="1"/>
      <c r="BK284" s="1"/>
      <c r="BL284" s="1"/>
      <c r="BM284" s="1"/>
      <c r="BN284" s="1"/>
      <c r="BO284" s="1"/>
      <c r="BP284" s="1"/>
      <c r="BQ284" s="1"/>
      <c r="BR284"/>
      <c r="BS284"/>
      <c r="BT284"/>
      <c r="BU284"/>
      <c r="BV284"/>
      <c r="BW284"/>
      <c r="BX284" s="20" t="str">
        <f t="shared" si="131"/>
        <v>►</v>
      </c>
      <c r="BY284"/>
      <c r="BZ284"/>
      <c r="CA284"/>
      <c r="CB284"/>
      <c r="CC284"/>
      <c r="CE284"/>
      <c r="CF284"/>
      <c r="CG284"/>
      <c r="CH284"/>
      <c r="CI284"/>
      <c r="CJ284"/>
      <c r="CK284"/>
      <c r="CL284" s="4"/>
      <c r="CM284"/>
      <c r="CN284"/>
      <c r="CO284"/>
      <c r="CP284"/>
      <c r="CQ284"/>
      <c r="CR284"/>
      <c r="CS284"/>
      <c r="CT284" s="4"/>
      <c r="CU284"/>
      <c r="CV284"/>
      <c r="CW284"/>
      <c r="CX284"/>
      <c r="CY284"/>
      <c r="CZ284"/>
      <c r="DA284"/>
      <c r="DB284" s="4"/>
      <c r="DC284" s="5">
        <v>1</v>
      </c>
      <c r="DD284" s="1"/>
      <c r="DE284" s="1"/>
    </row>
    <row r="285" spans="1:109" s="2" customFormat="1" ht="21" customHeight="1">
      <c r="A285" s="5641" t="s">
        <v>1</v>
      </c>
      <c r="B285" s="5662" t="str">
        <f t="shared" si="130"/>
        <v>►</v>
      </c>
      <c r="C285" s="5825" cm="1">
        <f t="array" ref="C285">SUMPRODUCT(LEN(D285:J285))</f>
        <v>0</v>
      </c>
      <c r="D285" s="5275"/>
      <c r="E285" s="1361"/>
      <c r="F285" s="1361"/>
      <c r="G285" s="1361"/>
      <c r="H285" s="1361"/>
      <c r="I285" s="1361"/>
      <c r="J285" s="5276"/>
      <c r="K285" s="106" t="s">
        <v>1</v>
      </c>
      <c r="L285" s="1021" t="s">
        <v>26</v>
      </c>
      <c r="M285" s="6787"/>
      <c r="N285" s="6787"/>
      <c r="O285" s="6787"/>
      <c r="P285" s="6788"/>
      <c r="Q285" s="6789"/>
      <c r="R285" s="6790"/>
      <c r="S285" s="6786"/>
      <c r="T285" s="6791"/>
      <c r="U285" s="6844"/>
      <c r="V285" s="6791"/>
      <c r="W285" s="6785"/>
      <c r="X285" s="6868"/>
      <c r="Y285" s="6793"/>
      <c r="Z285" s="6794"/>
      <c r="AA285" s="6795"/>
      <c r="AB285" s="6796"/>
      <c r="AC285" s="6797"/>
      <c r="AD285" s="6798"/>
      <c r="AE285" s="4" t="s">
        <v>1</v>
      </c>
      <c r="AF285" s="6202" t="str">
        <f t="shared" si="132"/>
        <v>►</v>
      </c>
      <c r="AG285" s="6234" t="str">
        <f t="shared" si="133"/>
        <v/>
      </c>
      <c r="AH285" s="6732" t="str">
        <f t="shared" si="134"/>
        <v/>
      </c>
      <c r="AI285" s="6234" t="str">
        <f t="shared" si="135"/>
        <v/>
      </c>
      <c r="AJ285" s="6732" t="str">
        <f t="shared" si="136"/>
        <v/>
      </c>
      <c r="AK285" s="6732">
        <f t="shared" si="137"/>
        <v>0</v>
      </c>
      <c r="AL285" s="6230" t="str" cm="1">
        <f t="array" ref="AL285">IF(AF285&lt;&gt;"A","",IFERROR((IFERROR(_xlfn.XLOOKUP(TRIM(SUBSTITUTE(U285,CHAR(160)," ")),$BJ$15:$BJ$62,$BM$15:$BM$62),IFERROR(_xlfn.XLOOKUP(TRIM(SUBSTITUTE(U285,CHAR(160)," ")),$BK$15:$BK$62,$BM$15:$BM$62),_xlfn.XLOOKUP(TRIM(SUBSTITUTE(U285,CHAR(160)," ")),$BL$15:$BL$62,$BM$15:$BM$62))))*T285*IF(ISBLANK(Q285),1,Q285)+IFERROR(_xlfn.XLOOKUP("RECHERCHEX",TRIM(L285:AD285),L285:AD285),0),0))</f>
        <v/>
      </c>
      <c r="AM285" s="6229">
        <f t="shared" si="138"/>
        <v>0</v>
      </c>
      <c r="AN285" s="6857" t="str">
        <f t="shared" si="129"/>
        <v/>
      </c>
      <c r="AO285" s="392">
        <f t="shared" si="139"/>
        <v>0</v>
      </c>
      <c r="AP285" s="392">
        <f t="shared" si="140"/>
        <v>0</v>
      </c>
      <c r="AQ285" s="6191">
        <f t="shared" si="141"/>
        <v>0</v>
      </c>
      <c r="AR285" s="6859" t="str">
        <f t="shared" si="142"/>
        <v/>
      </c>
      <c r="AS285" s="6217"/>
      <c r="AT285" s="6217"/>
      <c r="AU285" s="6272">
        <f t="shared" si="143"/>
        <v>0</v>
      </c>
      <c r="AV285" s="6240">
        <f t="shared" si="144"/>
        <v>0</v>
      </c>
      <c r="AW285" s="6189" cm="1">
        <f t="array" ref="AW285">IF(AK285&lt;&gt;1,0,IF(OR(AU285="",N(AU285)&lt;=0.000000001),"",IF(OR(AO285="",N(AO285)&lt;=0.000000001),0,IF(ISNUMBER(AU285),IFERROR(_xlfn.LET(_xlpm.ai_test,TRIM(AJ285),_xlpm.r,IFERROR(_xlfn.XLOOKUP(_xlpm.ai_test,$BJ$15:$BJ$62,ROW($BJ$15:$BJ$62),0,1),IFERROR(_xlfn.XLOOKUP(_xlpm.ai_test,$BK$15:$BK$62,ROW($BK$15:$BK$62),0,1),_xlfn.XLOOKUP(_xlpm.ai_test,$BL$15:$BL$62,ROW($BL$15:$BL$62),0,1))),_xlpm.p,_xlpm.r-MIN(ROW($BJ$15:$BJ$62))+1,_xlpm.f,INDEX($BM$15:$BM$62,_xlpm.p),_xlpm.u,INDEX($BN$15:$BN$62,_xlpm.p),_xlpm.s,INDEX($BP$15:$BP$62,_xlpm.p),_xlpm.q,N(AU285)/_xlpm.f,IF(_xlpm.q&gt;=_xlpm.s,ROUND(_xlpm.q,1)&amp;" "&amp;_xlpm.ai_test&amp;" = "&amp;ROUND(_xlpm.q*_xlpm.f,1)&amp;" "&amp;_xlpm.u,ROUND(_xlpm.q,1)&amp;" "&amp;_xlpm.ai_test)),""),""))))</f>
        <v>0</v>
      </c>
      <c r="AX285" s="6218"/>
      <c r="AY285" s="6272">
        <f t="shared" si="145"/>
        <v>0</v>
      </c>
      <c r="AZ285" s="6240" t="str">
        <f t="shared" si="146"/>
        <v/>
      </c>
      <c r="BA285" s="6195">
        <f t="shared" si="151"/>
        <v>0</v>
      </c>
      <c r="BB285" s="6193" t="str">
        <f t="shared" si="147"/>
        <v/>
      </c>
      <c r="BC285" s="6219"/>
      <c r="BD285" s="6222">
        <f t="shared" si="152"/>
        <v>0</v>
      </c>
      <c r="BE285" s="6220" t="str">
        <f t="shared" si="148"/>
        <v/>
      </c>
      <c r="BF285" s="4" t="s">
        <v>1</v>
      </c>
      <c r="BG285" s="6196">
        <f t="shared" si="149"/>
        <v>0</v>
      </c>
      <c r="BH285" s="6197">
        <f t="shared" si="150"/>
        <v>0</v>
      </c>
      <c r="BI285"/>
      <c r="BJ285" s="1"/>
      <c r="BK285" s="1"/>
      <c r="BL285" s="1"/>
      <c r="BM285" s="1"/>
      <c r="BN285" s="1"/>
      <c r="BO285" s="1"/>
      <c r="BP285" s="1"/>
      <c r="BQ285" s="1"/>
      <c r="BR285"/>
      <c r="BS285"/>
      <c r="BT285"/>
      <c r="BU285"/>
      <c r="BV285"/>
      <c r="BW285"/>
      <c r="BX285" s="20" t="str">
        <f t="shared" si="131"/>
        <v>►</v>
      </c>
      <c r="BY285"/>
      <c r="BZ285"/>
      <c r="CA285"/>
      <c r="CB285"/>
      <c r="CC285"/>
      <c r="CE285"/>
      <c r="CF285"/>
      <c r="CG285"/>
      <c r="CH285"/>
      <c r="CI285"/>
      <c r="CJ285"/>
      <c r="CK285"/>
      <c r="CL285" s="4"/>
      <c r="CM285"/>
      <c r="CN285"/>
      <c r="CO285"/>
      <c r="CP285"/>
      <c r="CQ285"/>
      <c r="CR285"/>
      <c r="CS285"/>
      <c r="CT285" s="4"/>
      <c r="CU285"/>
      <c r="CV285"/>
      <c r="CW285"/>
      <c r="CX285"/>
      <c r="CY285"/>
      <c r="CZ285"/>
      <c r="DA285"/>
      <c r="DB285" s="4"/>
      <c r="DC285" s="5">
        <v>1</v>
      </c>
      <c r="DD285" s="1"/>
      <c r="DE285" s="1"/>
    </row>
    <row r="286" spans="1:109" s="2" customFormat="1" ht="21" customHeight="1">
      <c r="A286" s="5641" t="s">
        <v>1</v>
      </c>
      <c r="B286" s="5662" t="str">
        <f t="shared" si="130"/>
        <v>►</v>
      </c>
      <c r="C286" s="5825" cm="1">
        <f t="array" ref="C286">SUMPRODUCT(LEN(D286:J286))</f>
        <v>0</v>
      </c>
      <c r="D286" s="5275"/>
      <c r="E286" s="1361"/>
      <c r="F286" s="1361"/>
      <c r="G286" s="1361"/>
      <c r="H286" s="1361"/>
      <c r="I286" s="1361"/>
      <c r="J286" s="5276"/>
      <c r="K286" s="106" t="s">
        <v>1</v>
      </c>
      <c r="L286" s="1021" t="s">
        <v>26</v>
      </c>
      <c r="M286" s="6787"/>
      <c r="N286" s="6787"/>
      <c r="O286" s="6787"/>
      <c r="P286" s="6788"/>
      <c r="Q286" s="6789"/>
      <c r="R286" s="6790"/>
      <c r="S286" s="6786"/>
      <c r="T286" s="6791"/>
      <c r="U286" s="6844"/>
      <c r="V286" s="6791"/>
      <c r="W286" s="6785"/>
      <c r="X286" s="6868"/>
      <c r="Y286" s="6793"/>
      <c r="Z286" s="6794"/>
      <c r="AA286" s="6795"/>
      <c r="AB286" s="6796"/>
      <c r="AC286" s="6797"/>
      <c r="AD286" s="6798"/>
      <c r="AE286" s="4" t="s">
        <v>1</v>
      </c>
      <c r="AF286" s="6202" t="str">
        <f t="shared" si="132"/>
        <v>►</v>
      </c>
      <c r="AG286" s="6234" t="str">
        <f t="shared" si="133"/>
        <v/>
      </c>
      <c r="AH286" s="6732" t="str">
        <f t="shared" si="134"/>
        <v/>
      </c>
      <c r="AI286" s="6234" t="str">
        <f t="shared" si="135"/>
        <v/>
      </c>
      <c r="AJ286" s="6732" t="str">
        <f t="shared" si="136"/>
        <v/>
      </c>
      <c r="AK286" s="6732">
        <f t="shared" si="137"/>
        <v>0</v>
      </c>
      <c r="AL286" s="6230" t="str" cm="1">
        <f t="array" ref="AL286">IF(AF286&lt;&gt;"A","",IFERROR((IFERROR(_xlfn.XLOOKUP(TRIM(SUBSTITUTE(U286,CHAR(160)," ")),$BJ$15:$BJ$62,$BM$15:$BM$62),IFERROR(_xlfn.XLOOKUP(TRIM(SUBSTITUTE(U286,CHAR(160)," ")),$BK$15:$BK$62,$BM$15:$BM$62),_xlfn.XLOOKUP(TRIM(SUBSTITUTE(U286,CHAR(160)," ")),$BL$15:$BL$62,$BM$15:$BM$62))))*T286*IF(ISBLANK(Q286),1,Q286)+IFERROR(_xlfn.XLOOKUP("RECHERCHEX",TRIM(L286:AD286),L286:AD286),0),0))</f>
        <v/>
      </c>
      <c r="AM286" s="6229">
        <f t="shared" si="138"/>
        <v>0</v>
      </c>
      <c r="AN286" s="6857" t="str">
        <f t="shared" ref="AN286:AN349" si="153">IF(AF286="A","❾ Author reference &gt;","")</f>
        <v/>
      </c>
      <c r="AO286" s="392">
        <f t="shared" si="139"/>
        <v>0</v>
      </c>
      <c r="AP286" s="392">
        <f t="shared" si="140"/>
        <v>0</v>
      </c>
      <c r="AQ286" s="6190">
        <f t="shared" si="141"/>
        <v>0</v>
      </c>
      <c r="AR286" s="6858" t="str">
        <f t="shared" si="142"/>
        <v/>
      </c>
      <c r="AS286" s="6217"/>
      <c r="AT286" s="6217"/>
      <c r="AU286" s="6271">
        <f t="shared" si="143"/>
        <v>0</v>
      </c>
      <c r="AV286" s="6242">
        <f t="shared" si="144"/>
        <v>0</v>
      </c>
      <c r="AW286" s="6188" cm="1">
        <f t="array" ref="AW286">IF(AK286&lt;&gt;1,0,IF(OR(AU286="",N(AU286)&lt;=0.000000001),"",IF(OR(AO286="",N(AO286)&lt;=0.000000001),0,IF(ISNUMBER(AU286),IFERROR(_xlfn.LET(_xlpm.ai_test,TRIM(AJ286),_xlpm.r,IFERROR(_xlfn.XLOOKUP(_xlpm.ai_test,$BJ$15:$BJ$62,ROW($BJ$15:$BJ$62),0,1),IFERROR(_xlfn.XLOOKUP(_xlpm.ai_test,$BK$15:$BK$62,ROW($BK$15:$BK$62),0,1),_xlfn.XLOOKUP(_xlpm.ai_test,$BL$15:$BL$62,ROW($BL$15:$BL$62),0,1))),_xlpm.p,_xlpm.r-MIN(ROW($BJ$15:$BJ$62))+1,_xlpm.f,INDEX($BM$15:$BM$62,_xlpm.p),_xlpm.u,INDEX($BN$15:$BN$62,_xlpm.p),_xlpm.s,INDEX($BP$15:$BP$62,_xlpm.p),_xlpm.q,N(AU286)/_xlpm.f,IF(_xlpm.q&gt;=_xlpm.s,ROUND(_xlpm.q,1)&amp;" "&amp;_xlpm.ai_test&amp;" = "&amp;ROUND(_xlpm.q*_xlpm.f,1)&amp;" "&amp;_xlpm.u,ROUND(_xlpm.q,1)&amp;" "&amp;_xlpm.ai_test)),""),""))))</f>
        <v>0</v>
      </c>
      <c r="AX286" s="6218"/>
      <c r="AY286" s="6271">
        <f t="shared" si="145"/>
        <v>0</v>
      </c>
      <c r="AZ286" s="6242" t="str">
        <f t="shared" si="146"/>
        <v/>
      </c>
      <c r="BA286" s="6194">
        <f t="shared" si="151"/>
        <v>0</v>
      </c>
      <c r="BB286" s="6192" t="str">
        <f t="shared" si="147"/>
        <v/>
      </c>
      <c r="BC286" s="6219"/>
      <c r="BD286" s="6221">
        <f t="shared" si="152"/>
        <v>0</v>
      </c>
      <c r="BE286" s="6220" t="str">
        <f t="shared" si="148"/>
        <v/>
      </c>
      <c r="BF286" s="4" t="s">
        <v>1</v>
      </c>
      <c r="BG286" s="6196">
        <f t="shared" si="149"/>
        <v>0</v>
      </c>
      <c r="BH286" s="6197">
        <f t="shared" si="150"/>
        <v>0</v>
      </c>
      <c r="BI286"/>
      <c r="BJ286" s="1"/>
      <c r="BK286" s="1"/>
      <c r="BL286" s="1"/>
      <c r="BM286" s="1"/>
      <c r="BN286" s="1"/>
      <c r="BO286" s="1"/>
      <c r="BP286" s="1"/>
      <c r="BQ286" s="1"/>
      <c r="BR286"/>
      <c r="BS286"/>
      <c r="BT286"/>
      <c r="BU286"/>
      <c r="BV286"/>
      <c r="BW286"/>
      <c r="BX286" s="20" t="str">
        <f t="shared" si="131"/>
        <v>►</v>
      </c>
      <c r="BY286"/>
      <c r="BZ286"/>
      <c r="CA286"/>
      <c r="CB286"/>
      <c r="CC286"/>
      <c r="CE286"/>
      <c r="CF286"/>
      <c r="CG286"/>
      <c r="CH286"/>
      <c r="CI286"/>
      <c r="CJ286"/>
      <c r="CK286"/>
      <c r="CL286" s="4"/>
      <c r="CM286"/>
      <c r="CN286"/>
      <c r="CO286"/>
      <c r="CP286"/>
      <c r="CQ286"/>
      <c r="CR286"/>
      <c r="CS286"/>
      <c r="CT286" s="4"/>
      <c r="CU286"/>
      <c r="CV286"/>
      <c r="CW286"/>
      <c r="CX286"/>
      <c r="CY286"/>
      <c r="CZ286"/>
      <c r="DA286"/>
      <c r="DB286" s="4"/>
      <c r="DC286" s="5">
        <v>1</v>
      </c>
      <c r="DD286" s="1"/>
      <c r="DE286" s="1"/>
    </row>
    <row r="287" spans="1:109" s="2" customFormat="1" ht="21" customHeight="1">
      <c r="A287" s="5641" t="s">
        <v>1</v>
      </c>
      <c r="B287" s="5662" t="str">
        <f t="shared" si="130"/>
        <v>►</v>
      </c>
      <c r="C287" s="5825" cm="1">
        <f t="array" ref="C287">SUMPRODUCT(LEN(D287:J287))</f>
        <v>0</v>
      </c>
      <c r="D287" s="5275"/>
      <c r="E287" s="1361"/>
      <c r="F287" s="1361"/>
      <c r="G287" s="1361"/>
      <c r="H287" s="1361"/>
      <c r="I287" s="1361"/>
      <c r="J287" s="5276"/>
      <c r="K287" s="106" t="s">
        <v>1</v>
      </c>
      <c r="L287" s="1021" t="s">
        <v>26</v>
      </c>
      <c r="M287" s="6787"/>
      <c r="N287" s="6787"/>
      <c r="O287" s="6787"/>
      <c r="P287" s="6788"/>
      <c r="Q287" s="6789"/>
      <c r="R287" s="6790"/>
      <c r="S287" s="6786"/>
      <c r="T287" s="6791"/>
      <c r="U287" s="6844"/>
      <c r="V287" s="6791"/>
      <c r="W287" s="6785"/>
      <c r="X287" s="6868"/>
      <c r="Y287" s="6793"/>
      <c r="Z287" s="6794"/>
      <c r="AA287" s="6795"/>
      <c r="AB287" s="6796"/>
      <c r="AC287" s="6797"/>
      <c r="AD287" s="6798"/>
      <c r="AE287" s="4" t="s">
        <v>1</v>
      </c>
      <c r="AF287" s="6202" t="str">
        <f t="shared" si="132"/>
        <v>►</v>
      </c>
      <c r="AG287" s="6234" t="str">
        <f t="shared" si="133"/>
        <v/>
      </c>
      <c r="AH287" s="6732" t="str">
        <f t="shared" si="134"/>
        <v/>
      </c>
      <c r="AI287" s="6234" t="str">
        <f t="shared" si="135"/>
        <v/>
      </c>
      <c r="AJ287" s="6732" t="str">
        <f t="shared" si="136"/>
        <v/>
      </c>
      <c r="AK287" s="6732">
        <f t="shared" si="137"/>
        <v>0</v>
      </c>
      <c r="AL287" s="6230" t="str" cm="1">
        <f t="array" ref="AL287">IF(AF287&lt;&gt;"A","",IFERROR((IFERROR(_xlfn.XLOOKUP(TRIM(SUBSTITUTE(U287,CHAR(160)," ")),$BJ$15:$BJ$62,$BM$15:$BM$62),IFERROR(_xlfn.XLOOKUP(TRIM(SUBSTITUTE(U287,CHAR(160)," ")),$BK$15:$BK$62,$BM$15:$BM$62),_xlfn.XLOOKUP(TRIM(SUBSTITUTE(U287,CHAR(160)," ")),$BL$15:$BL$62,$BM$15:$BM$62))))*T287*IF(ISBLANK(Q287),1,Q287)+IFERROR(_xlfn.XLOOKUP("RECHERCHEX",TRIM(L287:AD287),L287:AD287),0),0))</f>
        <v/>
      </c>
      <c r="AM287" s="6229">
        <f t="shared" si="138"/>
        <v>0</v>
      </c>
      <c r="AN287" s="6857" t="str">
        <f t="shared" si="153"/>
        <v/>
      </c>
      <c r="AO287" s="392">
        <f t="shared" si="139"/>
        <v>0</v>
      </c>
      <c r="AP287" s="392">
        <f t="shared" si="140"/>
        <v>0</v>
      </c>
      <c r="AQ287" s="6191">
        <f t="shared" si="141"/>
        <v>0</v>
      </c>
      <c r="AR287" s="6859" t="str">
        <f t="shared" si="142"/>
        <v/>
      </c>
      <c r="AS287" s="6217"/>
      <c r="AT287" s="6217"/>
      <c r="AU287" s="6272">
        <f t="shared" si="143"/>
        <v>0</v>
      </c>
      <c r="AV287" s="6240">
        <f t="shared" si="144"/>
        <v>0</v>
      </c>
      <c r="AW287" s="6189" cm="1">
        <f t="array" ref="AW287">IF(AK287&lt;&gt;1,0,IF(OR(AU287="",N(AU287)&lt;=0.000000001),"",IF(OR(AO287="",N(AO287)&lt;=0.000000001),0,IF(ISNUMBER(AU287),IFERROR(_xlfn.LET(_xlpm.ai_test,TRIM(AJ287),_xlpm.r,IFERROR(_xlfn.XLOOKUP(_xlpm.ai_test,$BJ$15:$BJ$62,ROW($BJ$15:$BJ$62),0,1),IFERROR(_xlfn.XLOOKUP(_xlpm.ai_test,$BK$15:$BK$62,ROW($BK$15:$BK$62),0,1),_xlfn.XLOOKUP(_xlpm.ai_test,$BL$15:$BL$62,ROW($BL$15:$BL$62),0,1))),_xlpm.p,_xlpm.r-MIN(ROW($BJ$15:$BJ$62))+1,_xlpm.f,INDEX($BM$15:$BM$62,_xlpm.p),_xlpm.u,INDEX($BN$15:$BN$62,_xlpm.p),_xlpm.s,INDEX($BP$15:$BP$62,_xlpm.p),_xlpm.q,N(AU287)/_xlpm.f,IF(_xlpm.q&gt;=_xlpm.s,ROUND(_xlpm.q,1)&amp;" "&amp;_xlpm.ai_test&amp;" = "&amp;ROUND(_xlpm.q*_xlpm.f,1)&amp;" "&amp;_xlpm.u,ROUND(_xlpm.q,1)&amp;" "&amp;_xlpm.ai_test)),""),""))))</f>
        <v>0</v>
      </c>
      <c r="AX287" s="6218"/>
      <c r="AY287" s="6272">
        <f t="shared" si="145"/>
        <v>0</v>
      </c>
      <c r="AZ287" s="6240" t="str">
        <f t="shared" si="146"/>
        <v/>
      </c>
      <c r="BA287" s="6195">
        <f t="shared" si="151"/>
        <v>0</v>
      </c>
      <c r="BB287" s="6193" t="str">
        <f t="shared" si="147"/>
        <v/>
      </c>
      <c r="BC287" s="6219"/>
      <c r="BD287" s="6222">
        <f t="shared" si="152"/>
        <v>0</v>
      </c>
      <c r="BE287" s="6220" t="str">
        <f t="shared" si="148"/>
        <v/>
      </c>
      <c r="BF287" s="4" t="s">
        <v>1</v>
      </c>
      <c r="BG287" s="6196">
        <f t="shared" si="149"/>
        <v>0</v>
      </c>
      <c r="BH287" s="6197">
        <f t="shared" si="150"/>
        <v>0</v>
      </c>
      <c r="BI287"/>
      <c r="BJ287" s="1"/>
      <c r="BK287" s="1"/>
      <c r="BL287" s="1"/>
      <c r="BM287" s="1"/>
      <c r="BN287" s="1"/>
      <c r="BO287" s="1"/>
      <c r="BP287" s="1"/>
      <c r="BQ287" s="1"/>
      <c r="BR287"/>
      <c r="BS287"/>
      <c r="BT287"/>
      <c r="BU287"/>
      <c r="BV287"/>
      <c r="BW287"/>
      <c r="BX287" s="20" t="str">
        <f t="shared" si="131"/>
        <v>►</v>
      </c>
      <c r="BY287"/>
      <c r="BZ287"/>
      <c r="CA287"/>
      <c r="CB287"/>
      <c r="CC287"/>
      <c r="CE287"/>
      <c r="CF287"/>
      <c r="CG287"/>
      <c r="CH287"/>
      <c r="CI287"/>
      <c r="CJ287"/>
      <c r="CK287"/>
      <c r="CL287" s="4"/>
      <c r="CM287"/>
      <c r="CN287"/>
      <c r="CO287"/>
      <c r="CP287"/>
      <c r="CQ287"/>
      <c r="CR287"/>
      <c r="CS287"/>
      <c r="CT287" s="4"/>
      <c r="CU287"/>
      <c r="CV287"/>
      <c r="CW287"/>
      <c r="CX287"/>
      <c r="CY287"/>
      <c r="CZ287"/>
      <c r="DA287"/>
      <c r="DB287" s="4"/>
      <c r="DC287" s="5">
        <v>1</v>
      </c>
      <c r="DD287" s="1"/>
      <c r="DE287" s="1"/>
    </row>
    <row r="288" spans="1:109" s="2" customFormat="1" ht="21" customHeight="1">
      <c r="A288" s="5641" t="s">
        <v>1</v>
      </c>
      <c r="B288" s="5662" t="str">
        <f t="shared" si="130"/>
        <v>►</v>
      </c>
      <c r="C288" s="5825" cm="1">
        <f t="array" ref="C288">SUMPRODUCT(LEN(D288:J288))</f>
        <v>0</v>
      </c>
      <c r="D288" s="5275"/>
      <c r="E288" s="1361"/>
      <c r="F288" s="1361"/>
      <c r="G288" s="1361"/>
      <c r="H288" s="1361"/>
      <c r="I288" s="1361"/>
      <c r="J288" s="5276"/>
      <c r="K288" s="106" t="s">
        <v>1</v>
      </c>
      <c r="L288" s="1021" t="s">
        <v>26</v>
      </c>
      <c r="M288" s="6787"/>
      <c r="N288" s="6787"/>
      <c r="O288" s="6787"/>
      <c r="P288" s="6788"/>
      <c r="Q288" s="6789"/>
      <c r="R288" s="6790"/>
      <c r="S288" s="6786"/>
      <c r="T288" s="6791"/>
      <c r="U288" s="6844"/>
      <c r="V288" s="6791"/>
      <c r="W288" s="6785"/>
      <c r="X288" s="6868"/>
      <c r="Y288" s="6793"/>
      <c r="Z288" s="6794"/>
      <c r="AA288" s="6795"/>
      <c r="AB288" s="6796"/>
      <c r="AC288" s="6797"/>
      <c r="AD288" s="6798"/>
      <c r="AE288" s="4" t="s">
        <v>1</v>
      </c>
      <c r="AF288" s="6202" t="str">
        <f t="shared" si="132"/>
        <v>►</v>
      </c>
      <c r="AG288" s="6234" t="str">
        <f t="shared" si="133"/>
        <v/>
      </c>
      <c r="AH288" s="6732" t="str">
        <f t="shared" si="134"/>
        <v/>
      </c>
      <c r="AI288" s="6234" t="str">
        <f t="shared" si="135"/>
        <v/>
      </c>
      <c r="AJ288" s="6732" t="str">
        <f t="shared" si="136"/>
        <v/>
      </c>
      <c r="AK288" s="6732">
        <f t="shared" si="137"/>
        <v>0</v>
      </c>
      <c r="AL288" s="6230" t="str" cm="1">
        <f t="array" ref="AL288">IF(AF288&lt;&gt;"A","",IFERROR((IFERROR(_xlfn.XLOOKUP(TRIM(SUBSTITUTE(U288,CHAR(160)," ")),$BJ$15:$BJ$62,$BM$15:$BM$62),IFERROR(_xlfn.XLOOKUP(TRIM(SUBSTITUTE(U288,CHAR(160)," ")),$BK$15:$BK$62,$BM$15:$BM$62),_xlfn.XLOOKUP(TRIM(SUBSTITUTE(U288,CHAR(160)," ")),$BL$15:$BL$62,$BM$15:$BM$62))))*T288*IF(ISBLANK(Q288),1,Q288)+IFERROR(_xlfn.XLOOKUP("RECHERCHEX",TRIM(L288:AD288),L288:AD288),0),0))</f>
        <v/>
      </c>
      <c r="AM288" s="6229">
        <f t="shared" si="138"/>
        <v>0</v>
      </c>
      <c r="AN288" s="6857" t="str">
        <f t="shared" si="153"/>
        <v/>
      </c>
      <c r="AO288" s="392">
        <f t="shared" si="139"/>
        <v>0</v>
      </c>
      <c r="AP288" s="392">
        <f t="shared" si="140"/>
        <v>0</v>
      </c>
      <c r="AQ288" s="6190">
        <f t="shared" si="141"/>
        <v>0</v>
      </c>
      <c r="AR288" s="6858" t="str">
        <f t="shared" si="142"/>
        <v/>
      </c>
      <c r="AS288" s="6217"/>
      <c r="AT288" s="6217"/>
      <c r="AU288" s="6271">
        <f t="shared" si="143"/>
        <v>0</v>
      </c>
      <c r="AV288" s="6242">
        <f t="shared" si="144"/>
        <v>0</v>
      </c>
      <c r="AW288" s="6188" cm="1">
        <f t="array" ref="AW288">IF(AK288&lt;&gt;1,0,IF(OR(AU288="",N(AU288)&lt;=0.000000001),"",IF(OR(AO288="",N(AO288)&lt;=0.000000001),0,IF(ISNUMBER(AU288),IFERROR(_xlfn.LET(_xlpm.ai_test,TRIM(AJ288),_xlpm.r,IFERROR(_xlfn.XLOOKUP(_xlpm.ai_test,$BJ$15:$BJ$62,ROW($BJ$15:$BJ$62),0,1),IFERROR(_xlfn.XLOOKUP(_xlpm.ai_test,$BK$15:$BK$62,ROW($BK$15:$BK$62),0,1),_xlfn.XLOOKUP(_xlpm.ai_test,$BL$15:$BL$62,ROW($BL$15:$BL$62),0,1))),_xlpm.p,_xlpm.r-MIN(ROW($BJ$15:$BJ$62))+1,_xlpm.f,INDEX($BM$15:$BM$62,_xlpm.p),_xlpm.u,INDEX($BN$15:$BN$62,_xlpm.p),_xlpm.s,INDEX($BP$15:$BP$62,_xlpm.p),_xlpm.q,N(AU288)/_xlpm.f,IF(_xlpm.q&gt;=_xlpm.s,ROUND(_xlpm.q,1)&amp;" "&amp;_xlpm.ai_test&amp;" = "&amp;ROUND(_xlpm.q*_xlpm.f,1)&amp;" "&amp;_xlpm.u,ROUND(_xlpm.q,1)&amp;" "&amp;_xlpm.ai_test)),""),""))))</f>
        <v>0</v>
      </c>
      <c r="AX288" s="6218"/>
      <c r="AY288" s="6271">
        <f t="shared" si="145"/>
        <v>0</v>
      </c>
      <c r="AZ288" s="6242" t="str">
        <f t="shared" si="146"/>
        <v/>
      </c>
      <c r="BA288" s="6194">
        <f t="shared" si="151"/>
        <v>0</v>
      </c>
      <c r="BB288" s="6192" t="str">
        <f t="shared" si="147"/>
        <v/>
      </c>
      <c r="BC288" s="6219"/>
      <c r="BD288" s="6221">
        <f t="shared" si="152"/>
        <v>0</v>
      </c>
      <c r="BE288" s="6220" t="str">
        <f t="shared" si="148"/>
        <v/>
      </c>
      <c r="BF288" s="4" t="s">
        <v>1</v>
      </c>
      <c r="BG288" s="6196">
        <f t="shared" si="149"/>
        <v>0</v>
      </c>
      <c r="BH288" s="6197">
        <f t="shared" si="150"/>
        <v>0</v>
      </c>
      <c r="BI288"/>
      <c r="BJ288" s="1"/>
      <c r="BK288" s="1"/>
      <c r="BL288" s="1"/>
      <c r="BM288" s="1"/>
      <c r="BN288" s="1"/>
      <c r="BO288" s="1"/>
      <c r="BP288" s="1"/>
      <c r="BQ288" s="1"/>
      <c r="BR288"/>
      <c r="BS288"/>
      <c r="BT288"/>
      <c r="BU288"/>
      <c r="BV288"/>
      <c r="BW288"/>
      <c r="BX288" s="20" t="str">
        <f t="shared" si="131"/>
        <v>►</v>
      </c>
      <c r="BY288"/>
      <c r="BZ288"/>
      <c r="CA288"/>
      <c r="CB288"/>
      <c r="CC288"/>
      <c r="CE288"/>
      <c r="CF288"/>
      <c r="CG288"/>
      <c r="CH288"/>
      <c r="CI288"/>
      <c r="CJ288"/>
      <c r="CK288"/>
      <c r="CL288" s="4"/>
      <c r="CM288"/>
      <c r="CN288"/>
      <c r="CO288"/>
      <c r="CP288"/>
      <c r="CQ288"/>
      <c r="CR288"/>
      <c r="CS288"/>
      <c r="CT288" s="4"/>
      <c r="CU288"/>
      <c r="CV288"/>
      <c r="CW288"/>
      <c r="CX288"/>
      <c r="CY288"/>
      <c r="CZ288"/>
      <c r="DA288"/>
      <c r="DB288" s="4"/>
      <c r="DC288" s="5">
        <v>1</v>
      </c>
      <c r="DD288" s="1"/>
      <c r="DE288" s="1"/>
    </row>
    <row r="289" spans="1:109" s="2" customFormat="1" ht="21" customHeight="1">
      <c r="A289" s="5641" t="s">
        <v>1</v>
      </c>
      <c r="B289" s="5662" t="str">
        <f t="shared" si="130"/>
        <v>►</v>
      </c>
      <c r="C289" s="5825" cm="1">
        <f t="array" ref="C289">SUMPRODUCT(LEN(D289:J289))</f>
        <v>0</v>
      </c>
      <c r="D289" s="5275"/>
      <c r="E289" s="1361"/>
      <c r="F289" s="1361"/>
      <c r="G289" s="1361"/>
      <c r="H289" s="1361"/>
      <c r="I289" s="1361"/>
      <c r="J289" s="5276"/>
      <c r="K289" s="106"/>
      <c r="L289" s="1021" t="s">
        <v>26</v>
      </c>
      <c r="M289" s="6787"/>
      <c r="N289" s="6787"/>
      <c r="O289" s="6787"/>
      <c r="P289" s="6788"/>
      <c r="Q289" s="6789"/>
      <c r="R289" s="6790"/>
      <c r="S289" s="6786"/>
      <c r="T289" s="6791"/>
      <c r="U289" s="6844"/>
      <c r="V289" s="6791"/>
      <c r="W289" s="6785"/>
      <c r="X289" s="6868"/>
      <c r="Y289" s="6793"/>
      <c r="Z289" s="6794"/>
      <c r="AA289" s="6795"/>
      <c r="AB289" s="6796"/>
      <c r="AC289" s="6797"/>
      <c r="AD289" s="6798"/>
      <c r="AE289" s="4" t="s">
        <v>1</v>
      </c>
      <c r="AF289" s="6202" t="str">
        <f t="shared" si="132"/>
        <v>►</v>
      </c>
      <c r="AG289" s="6234" t="str">
        <f t="shared" si="133"/>
        <v/>
      </c>
      <c r="AH289" s="6732" t="str">
        <f t="shared" si="134"/>
        <v/>
      </c>
      <c r="AI289" s="6234" t="str">
        <f t="shared" si="135"/>
        <v/>
      </c>
      <c r="AJ289" s="6732" t="str">
        <f t="shared" si="136"/>
        <v/>
      </c>
      <c r="AK289" s="6732">
        <f t="shared" si="137"/>
        <v>0</v>
      </c>
      <c r="AL289" s="6230" t="str" cm="1">
        <f t="array" ref="AL289">IF(AF289&lt;&gt;"A","",IFERROR((IFERROR(_xlfn.XLOOKUP(TRIM(SUBSTITUTE(U289,CHAR(160)," ")),$BJ$15:$BJ$62,$BM$15:$BM$62),IFERROR(_xlfn.XLOOKUP(TRIM(SUBSTITUTE(U289,CHAR(160)," ")),$BK$15:$BK$62,$BM$15:$BM$62),_xlfn.XLOOKUP(TRIM(SUBSTITUTE(U289,CHAR(160)," ")),$BL$15:$BL$62,$BM$15:$BM$62))))*T289*IF(ISBLANK(Q289),1,Q289)+IFERROR(_xlfn.XLOOKUP("RECHERCHEX",TRIM(L289:AD289),L289:AD289),0),0))</f>
        <v/>
      </c>
      <c r="AM289" s="6229">
        <f t="shared" si="138"/>
        <v>0</v>
      </c>
      <c r="AN289" s="6857" t="str">
        <f t="shared" si="153"/>
        <v/>
      </c>
      <c r="AO289" s="392">
        <f t="shared" si="139"/>
        <v>0</v>
      </c>
      <c r="AP289" s="392">
        <f t="shared" si="140"/>
        <v>0</v>
      </c>
      <c r="AQ289" s="6191">
        <f t="shared" si="141"/>
        <v>0</v>
      </c>
      <c r="AR289" s="6859" t="str">
        <f t="shared" si="142"/>
        <v/>
      </c>
      <c r="AS289" s="6217"/>
      <c r="AT289" s="6217"/>
      <c r="AU289" s="6272">
        <f t="shared" si="143"/>
        <v>0</v>
      </c>
      <c r="AV289" s="6240">
        <f t="shared" si="144"/>
        <v>0</v>
      </c>
      <c r="AW289" s="6189" cm="1">
        <f t="array" ref="AW289">IF(AK289&lt;&gt;1,0,IF(OR(AU289="",N(AU289)&lt;=0.000000001),"",IF(OR(AO289="",N(AO289)&lt;=0.000000001),0,IF(ISNUMBER(AU289),IFERROR(_xlfn.LET(_xlpm.ai_test,TRIM(AJ289),_xlpm.r,IFERROR(_xlfn.XLOOKUP(_xlpm.ai_test,$BJ$15:$BJ$62,ROW($BJ$15:$BJ$62),0,1),IFERROR(_xlfn.XLOOKUP(_xlpm.ai_test,$BK$15:$BK$62,ROW($BK$15:$BK$62),0,1),_xlfn.XLOOKUP(_xlpm.ai_test,$BL$15:$BL$62,ROW($BL$15:$BL$62),0,1))),_xlpm.p,_xlpm.r-MIN(ROW($BJ$15:$BJ$62))+1,_xlpm.f,INDEX($BM$15:$BM$62,_xlpm.p),_xlpm.u,INDEX($BN$15:$BN$62,_xlpm.p),_xlpm.s,INDEX($BP$15:$BP$62,_xlpm.p),_xlpm.q,N(AU289)/_xlpm.f,IF(_xlpm.q&gt;=_xlpm.s,ROUND(_xlpm.q,1)&amp;" "&amp;_xlpm.ai_test&amp;" = "&amp;ROUND(_xlpm.q*_xlpm.f,1)&amp;" "&amp;_xlpm.u,ROUND(_xlpm.q,1)&amp;" "&amp;_xlpm.ai_test)),""),""))))</f>
        <v>0</v>
      </c>
      <c r="AX289" s="6218"/>
      <c r="AY289" s="6272">
        <f t="shared" si="145"/>
        <v>0</v>
      </c>
      <c r="AZ289" s="6240" t="str">
        <f t="shared" si="146"/>
        <v/>
      </c>
      <c r="BA289" s="6195">
        <f t="shared" si="151"/>
        <v>0</v>
      </c>
      <c r="BB289" s="6193" t="str">
        <f t="shared" si="147"/>
        <v/>
      </c>
      <c r="BC289" s="6219"/>
      <c r="BD289" s="6222">
        <f t="shared" si="152"/>
        <v>0</v>
      </c>
      <c r="BE289" s="6220" t="str">
        <f t="shared" si="148"/>
        <v/>
      </c>
      <c r="BF289" s="4" t="s">
        <v>1</v>
      </c>
      <c r="BG289" s="6196">
        <f t="shared" si="149"/>
        <v>0</v>
      </c>
      <c r="BH289" s="6197">
        <f t="shared" si="150"/>
        <v>0</v>
      </c>
      <c r="BI289"/>
      <c r="BJ289" s="1"/>
      <c r="BK289" s="1"/>
      <c r="BL289" s="1"/>
      <c r="BM289" s="1"/>
      <c r="BN289" s="1"/>
      <c r="BO289" s="1"/>
      <c r="BP289" s="1"/>
      <c r="BQ289" s="1"/>
      <c r="BR289"/>
      <c r="BS289"/>
      <c r="BT289"/>
      <c r="BU289"/>
      <c r="BV289"/>
      <c r="BW289"/>
      <c r="BX289" s="20" t="str">
        <f t="shared" si="131"/>
        <v>►</v>
      </c>
      <c r="BY289"/>
      <c r="BZ289"/>
      <c r="CA289"/>
      <c r="CB289"/>
      <c r="CC289"/>
      <c r="CE289"/>
      <c r="CF289"/>
      <c r="CG289"/>
      <c r="CH289"/>
      <c r="CI289"/>
      <c r="CJ289"/>
      <c r="CK289"/>
      <c r="CL289" s="4"/>
      <c r="CM289"/>
      <c r="CN289"/>
      <c r="CO289"/>
      <c r="CP289"/>
      <c r="CQ289"/>
      <c r="CR289"/>
      <c r="CS289"/>
      <c r="CT289" s="4"/>
      <c r="CU289"/>
      <c r="CV289"/>
      <c r="CW289"/>
      <c r="CX289"/>
      <c r="CY289"/>
      <c r="CZ289"/>
      <c r="DA289"/>
      <c r="DB289" s="4"/>
      <c r="DC289" s="5">
        <v>1</v>
      </c>
      <c r="DD289" s="1"/>
      <c r="DE289" s="1"/>
    </row>
    <row r="290" spans="1:109" s="2" customFormat="1" ht="21" customHeight="1">
      <c r="A290" s="5641" t="s">
        <v>1</v>
      </c>
      <c r="B290" s="5662" t="str">
        <f t="shared" si="130"/>
        <v>►</v>
      </c>
      <c r="C290" s="5825" cm="1">
        <f t="array" ref="C290">SUMPRODUCT(LEN(D290:J290))</f>
        <v>0</v>
      </c>
      <c r="D290" s="5275"/>
      <c r="E290" s="1361"/>
      <c r="F290" s="1361"/>
      <c r="G290" s="1361"/>
      <c r="H290" s="1361"/>
      <c r="I290" s="1361"/>
      <c r="J290" s="5276"/>
      <c r="K290" s="106"/>
      <c r="L290" s="1021" t="s">
        <v>26</v>
      </c>
      <c r="M290" s="6787"/>
      <c r="N290" s="6787"/>
      <c r="O290" s="6787"/>
      <c r="P290" s="6788"/>
      <c r="Q290" s="6789"/>
      <c r="R290" s="6790"/>
      <c r="S290" s="6786"/>
      <c r="T290" s="6791"/>
      <c r="U290" s="6844"/>
      <c r="V290" s="6791"/>
      <c r="W290" s="6785"/>
      <c r="X290" s="6868"/>
      <c r="Y290" s="6793"/>
      <c r="Z290" s="6794"/>
      <c r="AA290" s="6795"/>
      <c r="AB290" s="6796"/>
      <c r="AC290" s="6797"/>
      <c r="AD290" s="6798"/>
      <c r="AE290" s="4" t="s">
        <v>1</v>
      </c>
      <c r="AF290" s="6202" t="str">
        <f t="shared" si="132"/>
        <v>►</v>
      </c>
      <c r="AG290" s="6234" t="str">
        <f t="shared" si="133"/>
        <v/>
      </c>
      <c r="AH290" s="6732" t="str">
        <f t="shared" si="134"/>
        <v/>
      </c>
      <c r="AI290" s="6234" t="str">
        <f t="shared" si="135"/>
        <v/>
      </c>
      <c r="AJ290" s="6732" t="str">
        <f t="shared" si="136"/>
        <v/>
      </c>
      <c r="AK290" s="6732">
        <f t="shared" si="137"/>
        <v>0</v>
      </c>
      <c r="AL290" s="6230" t="str" cm="1">
        <f t="array" ref="AL290">IF(AF290&lt;&gt;"A","",IFERROR((IFERROR(_xlfn.XLOOKUP(TRIM(SUBSTITUTE(U290,CHAR(160)," ")),$BJ$15:$BJ$62,$BM$15:$BM$62),IFERROR(_xlfn.XLOOKUP(TRIM(SUBSTITUTE(U290,CHAR(160)," ")),$BK$15:$BK$62,$BM$15:$BM$62),_xlfn.XLOOKUP(TRIM(SUBSTITUTE(U290,CHAR(160)," ")),$BL$15:$BL$62,$BM$15:$BM$62))))*T290*IF(ISBLANK(Q290),1,Q290)+IFERROR(_xlfn.XLOOKUP("RECHERCHEX",TRIM(L290:AD290),L290:AD290),0),0))</f>
        <v/>
      </c>
      <c r="AM290" s="6229">
        <f t="shared" si="138"/>
        <v>0</v>
      </c>
      <c r="AN290" s="6857" t="str">
        <f t="shared" si="153"/>
        <v/>
      </c>
      <c r="AO290" s="392">
        <f t="shared" si="139"/>
        <v>0</v>
      </c>
      <c r="AP290" s="392">
        <f t="shared" si="140"/>
        <v>0</v>
      </c>
      <c r="AQ290" s="6190">
        <f t="shared" si="141"/>
        <v>0</v>
      </c>
      <c r="AR290" s="6858" t="str">
        <f t="shared" si="142"/>
        <v/>
      </c>
      <c r="AS290" s="6217"/>
      <c r="AT290" s="6217"/>
      <c r="AU290" s="6271">
        <f t="shared" si="143"/>
        <v>0</v>
      </c>
      <c r="AV290" s="6242">
        <f t="shared" si="144"/>
        <v>0</v>
      </c>
      <c r="AW290" s="6188" cm="1">
        <f t="array" ref="AW290">IF(AK290&lt;&gt;1,0,IF(OR(AU290="",N(AU290)&lt;=0.000000001),"",IF(OR(AO290="",N(AO290)&lt;=0.000000001),0,IF(ISNUMBER(AU290),IFERROR(_xlfn.LET(_xlpm.ai_test,TRIM(AJ290),_xlpm.r,IFERROR(_xlfn.XLOOKUP(_xlpm.ai_test,$BJ$15:$BJ$62,ROW($BJ$15:$BJ$62),0,1),IFERROR(_xlfn.XLOOKUP(_xlpm.ai_test,$BK$15:$BK$62,ROW($BK$15:$BK$62),0,1),_xlfn.XLOOKUP(_xlpm.ai_test,$BL$15:$BL$62,ROW($BL$15:$BL$62),0,1))),_xlpm.p,_xlpm.r-MIN(ROW($BJ$15:$BJ$62))+1,_xlpm.f,INDEX($BM$15:$BM$62,_xlpm.p),_xlpm.u,INDEX($BN$15:$BN$62,_xlpm.p),_xlpm.s,INDEX($BP$15:$BP$62,_xlpm.p),_xlpm.q,N(AU290)/_xlpm.f,IF(_xlpm.q&gt;=_xlpm.s,ROUND(_xlpm.q,1)&amp;" "&amp;_xlpm.ai_test&amp;" = "&amp;ROUND(_xlpm.q*_xlpm.f,1)&amp;" "&amp;_xlpm.u,ROUND(_xlpm.q,1)&amp;" "&amp;_xlpm.ai_test)),""),""))))</f>
        <v>0</v>
      </c>
      <c r="AX290" s="6218"/>
      <c r="AY290" s="6271">
        <f t="shared" si="145"/>
        <v>0</v>
      </c>
      <c r="AZ290" s="6242" t="str">
        <f t="shared" si="146"/>
        <v/>
      </c>
      <c r="BA290" s="6194">
        <f t="shared" si="151"/>
        <v>0</v>
      </c>
      <c r="BB290" s="6192" t="str">
        <f t="shared" si="147"/>
        <v/>
      </c>
      <c r="BC290" s="6219"/>
      <c r="BD290" s="6221">
        <f t="shared" si="152"/>
        <v>0</v>
      </c>
      <c r="BE290" s="6220" t="str">
        <f t="shared" si="148"/>
        <v/>
      </c>
      <c r="BF290" s="4" t="s">
        <v>1</v>
      </c>
      <c r="BG290" s="6196">
        <f t="shared" si="149"/>
        <v>0</v>
      </c>
      <c r="BH290" s="6197">
        <f t="shared" si="150"/>
        <v>0</v>
      </c>
      <c r="BI290"/>
      <c r="BJ290" s="1"/>
      <c r="BK290" s="1"/>
      <c r="BL290" s="1"/>
      <c r="BM290" s="1"/>
      <c r="BN290" s="1"/>
      <c r="BO290" s="1"/>
      <c r="BP290" s="1"/>
      <c r="BQ290" s="1"/>
      <c r="BR290"/>
      <c r="BS290"/>
      <c r="BT290"/>
      <c r="BU290"/>
      <c r="BV290"/>
      <c r="BW290"/>
      <c r="BX290" s="20" t="str">
        <f t="shared" si="131"/>
        <v>►</v>
      </c>
      <c r="BY290"/>
      <c r="BZ290"/>
      <c r="CA290"/>
      <c r="CB290"/>
      <c r="CC290"/>
      <c r="CE290"/>
      <c r="CF290"/>
      <c r="CG290"/>
      <c r="CH290"/>
      <c r="CI290"/>
      <c r="CJ290"/>
      <c r="CK290"/>
      <c r="CL290" s="4"/>
      <c r="CM290"/>
      <c r="CN290"/>
      <c r="CO290"/>
      <c r="CP290"/>
      <c r="CQ290"/>
      <c r="CR290"/>
      <c r="CS290"/>
      <c r="CT290" s="4"/>
      <c r="CU290"/>
      <c r="CV290"/>
      <c r="CW290"/>
      <c r="CX290"/>
      <c r="CY290"/>
      <c r="CZ290"/>
      <c r="DA290"/>
      <c r="DB290" s="4"/>
      <c r="DC290" s="5">
        <v>1</v>
      </c>
      <c r="DD290" s="1"/>
      <c r="DE290" s="1"/>
    </row>
    <row r="291" spans="1:109" s="2" customFormat="1" ht="21" customHeight="1">
      <c r="A291" s="5641" t="s">
        <v>1</v>
      </c>
      <c r="B291" s="5662" t="str">
        <f t="shared" si="130"/>
        <v>►</v>
      </c>
      <c r="C291" s="5825" cm="1">
        <f t="array" ref="C291">SUMPRODUCT(LEN(D291:J291))</f>
        <v>0</v>
      </c>
      <c r="D291" s="5275"/>
      <c r="E291" s="1361"/>
      <c r="F291" s="1361"/>
      <c r="G291" s="1361"/>
      <c r="H291" s="1361"/>
      <c r="I291" s="1361"/>
      <c r="J291" s="5276"/>
      <c r="K291" s="106"/>
      <c r="L291" s="1021" t="s">
        <v>26</v>
      </c>
      <c r="M291" s="6787"/>
      <c r="N291" s="6787"/>
      <c r="O291" s="6787"/>
      <c r="P291" s="6788"/>
      <c r="Q291" s="6789"/>
      <c r="R291" s="6790"/>
      <c r="S291" s="6786"/>
      <c r="T291" s="6791"/>
      <c r="U291" s="6844"/>
      <c r="V291" s="6791"/>
      <c r="W291" s="6785"/>
      <c r="X291" s="6868"/>
      <c r="Y291" s="6793"/>
      <c r="Z291" s="6794"/>
      <c r="AA291" s="6795"/>
      <c r="AB291" s="6796"/>
      <c r="AC291" s="6797"/>
      <c r="AD291" s="6798"/>
      <c r="AE291" s="4" t="s">
        <v>1</v>
      </c>
      <c r="AF291" s="6202" t="str">
        <f t="shared" si="132"/>
        <v>►</v>
      </c>
      <c r="AG291" s="6234" t="str">
        <f t="shared" si="133"/>
        <v/>
      </c>
      <c r="AH291" s="6732" t="str">
        <f t="shared" si="134"/>
        <v/>
      </c>
      <c r="AI291" s="6234" t="str">
        <f t="shared" si="135"/>
        <v/>
      </c>
      <c r="AJ291" s="6732" t="str">
        <f t="shared" si="136"/>
        <v/>
      </c>
      <c r="AK291" s="6732">
        <f t="shared" si="137"/>
        <v>0</v>
      </c>
      <c r="AL291" s="6230" t="str" cm="1">
        <f t="array" ref="AL291">IF(AF291&lt;&gt;"A","",IFERROR((IFERROR(_xlfn.XLOOKUP(TRIM(SUBSTITUTE(U291,CHAR(160)," ")),$BJ$15:$BJ$62,$BM$15:$BM$62),IFERROR(_xlfn.XLOOKUP(TRIM(SUBSTITUTE(U291,CHAR(160)," ")),$BK$15:$BK$62,$BM$15:$BM$62),_xlfn.XLOOKUP(TRIM(SUBSTITUTE(U291,CHAR(160)," ")),$BL$15:$BL$62,$BM$15:$BM$62))))*T291*IF(ISBLANK(Q291),1,Q291)+IFERROR(_xlfn.XLOOKUP("RECHERCHEX",TRIM(L291:AD291),L291:AD291),0),0))</f>
        <v/>
      </c>
      <c r="AM291" s="6229">
        <f t="shared" si="138"/>
        <v>0</v>
      </c>
      <c r="AN291" s="6857" t="str">
        <f t="shared" si="153"/>
        <v/>
      </c>
      <c r="AO291" s="392">
        <f t="shared" si="139"/>
        <v>0</v>
      </c>
      <c r="AP291" s="392">
        <f t="shared" si="140"/>
        <v>0</v>
      </c>
      <c r="AQ291" s="6191">
        <f t="shared" si="141"/>
        <v>0</v>
      </c>
      <c r="AR291" s="6859" t="str">
        <f t="shared" si="142"/>
        <v/>
      </c>
      <c r="AS291" s="6217"/>
      <c r="AT291" s="6217"/>
      <c r="AU291" s="6272">
        <f t="shared" si="143"/>
        <v>0</v>
      </c>
      <c r="AV291" s="6240">
        <f t="shared" si="144"/>
        <v>0</v>
      </c>
      <c r="AW291" s="6189" cm="1">
        <f t="array" ref="AW291">IF(AK291&lt;&gt;1,0,IF(OR(AU291="",N(AU291)&lt;=0.000000001),"",IF(OR(AO291="",N(AO291)&lt;=0.000000001),0,IF(ISNUMBER(AU291),IFERROR(_xlfn.LET(_xlpm.ai_test,TRIM(AJ291),_xlpm.r,IFERROR(_xlfn.XLOOKUP(_xlpm.ai_test,$BJ$15:$BJ$62,ROW($BJ$15:$BJ$62),0,1),IFERROR(_xlfn.XLOOKUP(_xlpm.ai_test,$BK$15:$BK$62,ROW($BK$15:$BK$62),0,1),_xlfn.XLOOKUP(_xlpm.ai_test,$BL$15:$BL$62,ROW($BL$15:$BL$62),0,1))),_xlpm.p,_xlpm.r-MIN(ROW($BJ$15:$BJ$62))+1,_xlpm.f,INDEX($BM$15:$BM$62,_xlpm.p),_xlpm.u,INDEX($BN$15:$BN$62,_xlpm.p),_xlpm.s,INDEX($BP$15:$BP$62,_xlpm.p),_xlpm.q,N(AU291)/_xlpm.f,IF(_xlpm.q&gt;=_xlpm.s,ROUND(_xlpm.q,1)&amp;" "&amp;_xlpm.ai_test&amp;" = "&amp;ROUND(_xlpm.q*_xlpm.f,1)&amp;" "&amp;_xlpm.u,ROUND(_xlpm.q,1)&amp;" "&amp;_xlpm.ai_test)),""),""))))</f>
        <v>0</v>
      </c>
      <c r="AX291" s="6218"/>
      <c r="AY291" s="6272">
        <f t="shared" si="145"/>
        <v>0</v>
      </c>
      <c r="AZ291" s="6240" t="str">
        <f t="shared" si="146"/>
        <v/>
      </c>
      <c r="BA291" s="6195">
        <f t="shared" si="151"/>
        <v>0</v>
      </c>
      <c r="BB291" s="6193" t="str">
        <f t="shared" si="147"/>
        <v/>
      </c>
      <c r="BC291" s="6219"/>
      <c r="BD291" s="6222">
        <f t="shared" si="152"/>
        <v>0</v>
      </c>
      <c r="BE291" s="6220" t="str">
        <f t="shared" si="148"/>
        <v/>
      </c>
      <c r="BF291" s="4" t="s">
        <v>1</v>
      </c>
      <c r="BG291" s="6196">
        <f t="shared" si="149"/>
        <v>0</v>
      </c>
      <c r="BH291" s="6197">
        <f t="shared" si="150"/>
        <v>0</v>
      </c>
      <c r="BI291"/>
      <c r="BJ291" s="1"/>
      <c r="BK291" s="1"/>
      <c r="BL291" s="1"/>
      <c r="BM291" s="1"/>
      <c r="BN291" s="1"/>
      <c r="BO291" s="1"/>
      <c r="BP291" s="1"/>
      <c r="BQ291" s="1"/>
      <c r="BR291"/>
      <c r="BS291"/>
      <c r="BT291"/>
      <c r="BU291"/>
      <c r="BV291"/>
      <c r="BW291"/>
      <c r="BX291" s="20" t="str">
        <f t="shared" si="131"/>
        <v>►</v>
      </c>
      <c r="BY291"/>
      <c r="BZ291"/>
      <c r="CA291"/>
      <c r="CB291"/>
      <c r="CC291"/>
      <c r="CE291"/>
      <c r="CF291"/>
      <c r="CG291"/>
      <c r="CH291"/>
      <c r="CI291"/>
      <c r="CJ291"/>
      <c r="CK291"/>
      <c r="CM291"/>
      <c r="CN291"/>
      <c r="CO291"/>
      <c r="CP291"/>
      <c r="CQ291"/>
      <c r="CR291"/>
      <c r="CS291"/>
      <c r="CU291"/>
      <c r="CV291"/>
      <c r="CW291"/>
      <c r="CX291"/>
      <c r="CY291"/>
      <c r="CZ291"/>
      <c r="DA291"/>
      <c r="DC291" s="5">
        <v>1</v>
      </c>
      <c r="DD291" s="1"/>
      <c r="DE291" s="1"/>
    </row>
    <row r="292" spans="1:109" s="2" customFormat="1" ht="21" customHeight="1">
      <c r="A292" s="5641" t="s">
        <v>1</v>
      </c>
      <c r="B292" s="5662" t="str">
        <f t="shared" si="130"/>
        <v>►</v>
      </c>
      <c r="C292" s="5825" cm="1">
        <f t="array" ref="C292">SUMPRODUCT(LEN(D292:J292))</f>
        <v>0</v>
      </c>
      <c r="D292" s="5275"/>
      <c r="E292" s="1361"/>
      <c r="F292" s="1361"/>
      <c r="G292" s="1361"/>
      <c r="H292" s="1361"/>
      <c r="I292" s="1361"/>
      <c r="J292" s="5276"/>
      <c r="K292" s="106"/>
      <c r="L292" s="1021" t="s">
        <v>26</v>
      </c>
      <c r="M292" s="6787"/>
      <c r="N292" s="6787"/>
      <c r="O292" s="6787"/>
      <c r="P292" s="6788"/>
      <c r="Q292" s="6789"/>
      <c r="R292" s="6790"/>
      <c r="S292" s="6786"/>
      <c r="T292" s="6791"/>
      <c r="U292" s="6844"/>
      <c r="V292" s="6791"/>
      <c r="W292" s="6785"/>
      <c r="X292" s="6868"/>
      <c r="Y292" s="6793"/>
      <c r="Z292" s="6794"/>
      <c r="AA292" s="6795"/>
      <c r="AB292" s="6796"/>
      <c r="AC292" s="6797"/>
      <c r="AD292" s="6798"/>
      <c r="AE292" s="4" t="s">
        <v>1</v>
      </c>
      <c r="AF292" s="6202" t="str">
        <f t="shared" si="132"/>
        <v>►</v>
      </c>
      <c r="AG292" s="6234" t="str">
        <f t="shared" si="133"/>
        <v/>
      </c>
      <c r="AH292" s="6732" t="str">
        <f t="shared" si="134"/>
        <v/>
      </c>
      <c r="AI292" s="6234" t="str">
        <f t="shared" si="135"/>
        <v/>
      </c>
      <c r="AJ292" s="6732" t="str">
        <f t="shared" si="136"/>
        <v/>
      </c>
      <c r="AK292" s="6732">
        <f t="shared" si="137"/>
        <v>0</v>
      </c>
      <c r="AL292" s="6230" t="str" cm="1">
        <f t="array" ref="AL292">IF(AF292&lt;&gt;"A","",IFERROR((IFERROR(_xlfn.XLOOKUP(TRIM(SUBSTITUTE(U292,CHAR(160)," ")),$BJ$15:$BJ$62,$BM$15:$BM$62),IFERROR(_xlfn.XLOOKUP(TRIM(SUBSTITUTE(U292,CHAR(160)," ")),$BK$15:$BK$62,$BM$15:$BM$62),_xlfn.XLOOKUP(TRIM(SUBSTITUTE(U292,CHAR(160)," ")),$BL$15:$BL$62,$BM$15:$BM$62))))*T292*IF(ISBLANK(Q292),1,Q292)+IFERROR(_xlfn.XLOOKUP("RECHERCHEX",TRIM(L292:AD292),L292:AD292),0),0))</f>
        <v/>
      </c>
      <c r="AM292" s="6229">
        <f t="shared" si="138"/>
        <v>0</v>
      </c>
      <c r="AN292" s="6857" t="str">
        <f t="shared" si="153"/>
        <v/>
      </c>
      <c r="AO292" s="392">
        <f t="shared" si="139"/>
        <v>0</v>
      </c>
      <c r="AP292" s="392">
        <f t="shared" si="140"/>
        <v>0</v>
      </c>
      <c r="AQ292" s="6190">
        <f t="shared" si="141"/>
        <v>0</v>
      </c>
      <c r="AR292" s="6858" t="str">
        <f t="shared" si="142"/>
        <v/>
      </c>
      <c r="AS292" s="6217"/>
      <c r="AT292" s="6217"/>
      <c r="AU292" s="6271">
        <f t="shared" si="143"/>
        <v>0</v>
      </c>
      <c r="AV292" s="6242">
        <f t="shared" si="144"/>
        <v>0</v>
      </c>
      <c r="AW292" s="6188" cm="1">
        <f t="array" ref="AW292">IF(AK292&lt;&gt;1,0,IF(OR(AU292="",N(AU292)&lt;=0.000000001),"",IF(OR(AO292="",N(AO292)&lt;=0.000000001),0,IF(ISNUMBER(AU292),IFERROR(_xlfn.LET(_xlpm.ai_test,TRIM(AJ292),_xlpm.r,IFERROR(_xlfn.XLOOKUP(_xlpm.ai_test,$BJ$15:$BJ$62,ROW($BJ$15:$BJ$62),0,1),IFERROR(_xlfn.XLOOKUP(_xlpm.ai_test,$BK$15:$BK$62,ROW($BK$15:$BK$62),0,1),_xlfn.XLOOKUP(_xlpm.ai_test,$BL$15:$BL$62,ROW($BL$15:$BL$62),0,1))),_xlpm.p,_xlpm.r-MIN(ROW($BJ$15:$BJ$62))+1,_xlpm.f,INDEX($BM$15:$BM$62,_xlpm.p),_xlpm.u,INDEX($BN$15:$BN$62,_xlpm.p),_xlpm.s,INDEX($BP$15:$BP$62,_xlpm.p),_xlpm.q,N(AU292)/_xlpm.f,IF(_xlpm.q&gt;=_xlpm.s,ROUND(_xlpm.q,1)&amp;" "&amp;_xlpm.ai_test&amp;" = "&amp;ROUND(_xlpm.q*_xlpm.f,1)&amp;" "&amp;_xlpm.u,ROUND(_xlpm.q,1)&amp;" "&amp;_xlpm.ai_test)),""),""))))</f>
        <v>0</v>
      </c>
      <c r="AX292" s="6218"/>
      <c r="AY292" s="6271">
        <f t="shared" si="145"/>
        <v>0</v>
      </c>
      <c r="AZ292" s="6242" t="str">
        <f t="shared" si="146"/>
        <v/>
      </c>
      <c r="BA292" s="6194">
        <f t="shared" si="151"/>
        <v>0</v>
      </c>
      <c r="BB292" s="6192" t="str">
        <f t="shared" si="147"/>
        <v/>
      </c>
      <c r="BC292" s="6219"/>
      <c r="BD292" s="6221">
        <f t="shared" si="152"/>
        <v>0</v>
      </c>
      <c r="BE292" s="6220" t="str">
        <f t="shared" si="148"/>
        <v/>
      </c>
      <c r="BF292" s="4" t="s">
        <v>1</v>
      </c>
      <c r="BG292" s="6196">
        <f t="shared" si="149"/>
        <v>0</v>
      </c>
      <c r="BH292" s="6197">
        <f t="shared" si="150"/>
        <v>0</v>
      </c>
      <c r="BI292"/>
      <c r="BJ292" s="1"/>
      <c r="BK292" s="1"/>
      <c r="BL292" s="1"/>
      <c r="BM292" s="1"/>
      <c r="BN292" s="1"/>
      <c r="BO292" s="1"/>
      <c r="BP292" s="1"/>
      <c r="BQ292" s="1"/>
      <c r="BR292"/>
      <c r="BS292"/>
      <c r="BT292"/>
      <c r="BU292"/>
      <c r="BV292"/>
      <c r="BW292"/>
      <c r="BX292" s="20" t="str">
        <f t="shared" si="131"/>
        <v>►</v>
      </c>
      <c r="BY292"/>
      <c r="BZ292"/>
      <c r="CA292"/>
      <c r="CB292"/>
      <c r="CC292"/>
      <c r="CE292"/>
      <c r="CF292"/>
      <c r="CG292"/>
      <c r="CH292"/>
      <c r="CI292"/>
      <c r="CJ292"/>
      <c r="CK292"/>
      <c r="CM292"/>
      <c r="CN292"/>
      <c r="CO292"/>
      <c r="CP292"/>
      <c r="CQ292"/>
      <c r="CR292"/>
      <c r="CS292"/>
      <c r="CU292"/>
      <c r="CV292"/>
      <c r="CW292"/>
      <c r="CX292"/>
      <c r="CY292"/>
      <c r="CZ292"/>
      <c r="DA292"/>
      <c r="DC292" s="5">
        <v>1</v>
      </c>
      <c r="DD292" s="1"/>
      <c r="DE292" s="1"/>
    </row>
    <row r="293" spans="1:109" s="2" customFormat="1" ht="21" customHeight="1">
      <c r="A293" s="5641" t="s">
        <v>1</v>
      </c>
      <c r="B293" s="5662" t="str">
        <f t="shared" si="130"/>
        <v>►</v>
      </c>
      <c r="C293" s="5825" cm="1">
        <f t="array" ref="C293">SUMPRODUCT(LEN(D293:J293))</f>
        <v>0</v>
      </c>
      <c r="D293" s="5275"/>
      <c r="E293" s="1361"/>
      <c r="F293" s="1361"/>
      <c r="G293" s="1361"/>
      <c r="H293" s="1361"/>
      <c r="I293" s="1361"/>
      <c r="J293" s="5276"/>
      <c r="K293" s="106"/>
      <c r="L293" s="1021" t="s">
        <v>26</v>
      </c>
      <c r="M293" s="6787"/>
      <c r="N293" s="6787"/>
      <c r="O293" s="6787"/>
      <c r="P293" s="6788"/>
      <c r="Q293" s="6789"/>
      <c r="R293" s="6790"/>
      <c r="S293" s="6786"/>
      <c r="T293" s="6791"/>
      <c r="U293" s="6844"/>
      <c r="V293" s="6791"/>
      <c r="W293" s="6785"/>
      <c r="X293" s="6868"/>
      <c r="Y293" s="6793"/>
      <c r="Z293" s="6794"/>
      <c r="AA293" s="6795"/>
      <c r="AB293" s="6796"/>
      <c r="AC293" s="6797"/>
      <c r="AD293" s="6798"/>
      <c r="AE293" s="4" t="s">
        <v>1</v>
      </c>
      <c r="AF293" s="6202" t="str">
        <f t="shared" si="132"/>
        <v>►</v>
      </c>
      <c r="AG293" s="6234" t="str">
        <f t="shared" si="133"/>
        <v/>
      </c>
      <c r="AH293" s="6732" t="str">
        <f t="shared" si="134"/>
        <v/>
      </c>
      <c r="AI293" s="6234" t="str">
        <f t="shared" si="135"/>
        <v/>
      </c>
      <c r="AJ293" s="6732" t="str">
        <f t="shared" si="136"/>
        <v/>
      </c>
      <c r="AK293" s="6732">
        <f t="shared" si="137"/>
        <v>0</v>
      </c>
      <c r="AL293" s="6230" t="str" cm="1">
        <f t="array" ref="AL293">IF(AF293&lt;&gt;"A","",IFERROR((IFERROR(_xlfn.XLOOKUP(TRIM(SUBSTITUTE(U293,CHAR(160)," ")),$BJ$15:$BJ$62,$BM$15:$BM$62),IFERROR(_xlfn.XLOOKUP(TRIM(SUBSTITUTE(U293,CHAR(160)," ")),$BK$15:$BK$62,$BM$15:$BM$62),_xlfn.XLOOKUP(TRIM(SUBSTITUTE(U293,CHAR(160)," ")),$BL$15:$BL$62,$BM$15:$BM$62))))*T293*IF(ISBLANK(Q293),1,Q293)+IFERROR(_xlfn.XLOOKUP("RECHERCHEX",TRIM(L293:AD293),L293:AD293),0),0))</f>
        <v/>
      </c>
      <c r="AM293" s="6229">
        <f t="shared" si="138"/>
        <v>0</v>
      </c>
      <c r="AN293" s="6857" t="str">
        <f t="shared" si="153"/>
        <v/>
      </c>
      <c r="AO293" s="392">
        <f t="shared" si="139"/>
        <v>0</v>
      </c>
      <c r="AP293" s="392">
        <f t="shared" si="140"/>
        <v>0</v>
      </c>
      <c r="AQ293" s="6191">
        <f t="shared" si="141"/>
        <v>0</v>
      </c>
      <c r="AR293" s="6859" t="str">
        <f t="shared" si="142"/>
        <v/>
      </c>
      <c r="AS293" s="6217"/>
      <c r="AT293" s="6217"/>
      <c r="AU293" s="6272">
        <f t="shared" si="143"/>
        <v>0</v>
      </c>
      <c r="AV293" s="6240">
        <f t="shared" si="144"/>
        <v>0</v>
      </c>
      <c r="AW293" s="6189" cm="1">
        <f t="array" ref="AW293">IF(AK293&lt;&gt;1,0,IF(OR(AU293="",N(AU293)&lt;=0.000000001),"",IF(OR(AO293="",N(AO293)&lt;=0.000000001),0,IF(ISNUMBER(AU293),IFERROR(_xlfn.LET(_xlpm.ai_test,TRIM(AJ293),_xlpm.r,IFERROR(_xlfn.XLOOKUP(_xlpm.ai_test,$BJ$15:$BJ$62,ROW($BJ$15:$BJ$62),0,1),IFERROR(_xlfn.XLOOKUP(_xlpm.ai_test,$BK$15:$BK$62,ROW($BK$15:$BK$62),0,1),_xlfn.XLOOKUP(_xlpm.ai_test,$BL$15:$BL$62,ROW($BL$15:$BL$62),0,1))),_xlpm.p,_xlpm.r-MIN(ROW($BJ$15:$BJ$62))+1,_xlpm.f,INDEX($BM$15:$BM$62,_xlpm.p),_xlpm.u,INDEX($BN$15:$BN$62,_xlpm.p),_xlpm.s,INDEX($BP$15:$BP$62,_xlpm.p),_xlpm.q,N(AU293)/_xlpm.f,IF(_xlpm.q&gt;=_xlpm.s,ROUND(_xlpm.q,1)&amp;" "&amp;_xlpm.ai_test&amp;" = "&amp;ROUND(_xlpm.q*_xlpm.f,1)&amp;" "&amp;_xlpm.u,ROUND(_xlpm.q,1)&amp;" "&amp;_xlpm.ai_test)),""),""))))</f>
        <v>0</v>
      </c>
      <c r="AX293" s="6218"/>
      <c r="AY293" s="6272">
        <f t="shared" si="145"/>
        <v>0</v>
      </c>
      <c r="AZ293" s="6240" t="str">
        <f t="shared" si="146"/>
        <v/>
      </c>
      <c r="BA293" s="6195">
        <f t="shared" si="151"/>
        <v>0</v>
      </c>
      <c r="BB293" s="6193" t="str">
        <f t="shared" si="147"/>
        <v/>
      </c>
      <c r="BC293" s="6219"/>
      <c r="BD293" s="6222">
        <f t="shared" si="152"/>
        <v>0</v>
      </c>
      <c r="BE293" s="6220" t="str">
        <f t="shared" si="148"/>
        <v/>
      </c>
      <c r="BF293" s="4" t="s">
        <v>1</v>
      </c>
      <c r="BG293" s="6196">
        <f t="shared" si="149"/>
        <v>0</v>
      </c>
      <c r="BH293" s="6197">
        <f t="shared" si="150"/>
        <v>0</v>
      </c>
      <c r="BI293"/>
      <c r="BJ293" s="1"/>
      <c r="BK293" s="1"/>
      <c r="BL293" s="1"/>
      <c r="BM293" s="1"/>
      <c r="BN293" s="1"/>
      <c r="BO293" s="1"/>
      <c r="BP293" s="1"/>
      <c r="BQ293" s="1"/>
      <c r="BR293"/>
      <c r="BS293"/>
      <c r="BT293"/>
      <c r="BU293"/>
      <c r="BV293"/>
      <c r="BW293"/>
      <c r="BX293" s="20" t="str">
        <f t="shared" si="131"/>
        <v>►</v>
      </c>
      <c r="BY293"/>
      <c r="BZ293"/>
      <c r="CA293"/>
      <c r="CB293"/>
      <c r="CC293"/>
      <c r="CE293"/>
      <c r="CF293"/>
      <c r="CG293"/>
      <c r="CH293"/>
      <c r="CI293"/>
      <c r="CJ293"/>
      <c r="CK293"/>
      <c r="CM293"/>
      <c r="CN293"/>
      <c r="CO293"/>
      <c r="CP293"/>
      <c r="CQ293"/>
      <c r="CR293"/>
      <c r="CS293"/>
      <c r="CU293"/>
      <c r="CV293"/>
      <c r="CW293"/>
      <c r="CX293"/>
      <c r="CY293"/>
      <c r="CZ293"/>
      <c r="DA293"/>
      <c r="DC293" s="5">
        <v>1</v>
      </c>
      <c r="DD293" s="1"/>
      <c r="DE293" s="1"/>
    </row>
    <row r="294" spans="1:109" s="2" customFormat="1" ht="21" customHeight="1">
      <c r="A294" s="5641" t="s">
        <v>1</v>
      </c>
      <c r="B294" s="5662" t="str">
        <f t="shared" si="130"/>
        <v>►</v>
      </c>
      <c r="C294" s="5825" cm="1">
        <f t="array" ref="C294">SUMPRODUCT(LEN(D294:J294))</f>
        <v>0</v>
      </c>
      <c r="D294" s="5275"/>
      <c r="E294" s="1361"/>
      <c r="F294" s="1361"/>
      <c r="G294" s="1361"/>
      <c r="H294" s="1361"/>
      <c r="I294" s="1361"/>
      <c r="J294" s="5276"/>
      <c r="K294" s="106"/>
      <c r="L294" s="1021" t="s">
        <v>26</v>
      </c>
      <c r="M294" s="6787"/>
      <c r="N294" s="6787"/>
      <c r="O294" s="6787"/>
      <c r="P294" s="6788"/>
      <c r="Q294" s="6789"/>
      <c r="R294" s="6790"/>
      <c r="S294" s="6786"/>
      <c r="T294" s="6791"/>
      <c r="U294" s="6844"/>
      <c r="V294" s="6791"/>
      <c r="W294" s="6785"/>
      <c r="X294" s="6868"/>
      <c r="Y294" s="6793"/>
      <c r="Z294" s="6794"/>
      <c r="AA294" s="6795"/>
      <c r="AB294" s="6796"/>
      <c r="AC294" s="6797"/>
      <c r="AD294" s="6798"/>
      <c r="AE294" s="4" t="s">
        <v>1</v>
      </c>
      <c r="AF294" s="6202" t="str">
        <f t="shared" si="132"/>
        <v>►</v>
      </c>
      <c r="AG294" s="6234" t="str">
        <f t="shared" si="133"/>
        <v/>
      </c>
      <c r="AH294" s="6732" t="str">
        <f t="shared" si="134"/>
        <v/>
      </c>
      <c r="AI294" s="6234" t="str">
        <f t="shared" si="135"/>
        <v/>
      </c>
      <c r="AJ294" s="6732" t="str">
        <f t="shared" si="136"/>
        <v/>
      </c>
      <c r="AK294" s="6732">
        <f t="shared" si="137"/>
        <v>0</v>
      </c>
      <c r="AL294" s="6230" t="str" cm="1">
        <f t="array" ref="AL294">IF(AF294&lt;&gt;"A","",IFERROR((IFERROR(_xlfn.XLOOKUP(TRIM(SUBSTITUTE(U294,CHAR(160)," ")),$BJ$15:$BJ$62,$BM$15:$BM$62),IFERROR(_xlfn.XLOOKUP(TRIM(SUBSTITUTE(U294,CHAR(160)," ")),$BK$15:$BK$62,$BM$15:$BM$62),_xlfn.XLOOKUP(TRIM(SUBSTITUTE(U294,CHAR(160)," ")),$BL$15:$BL$62,$BM$15:$BM$62))))*T294*IF(ISBLANK(Q294),1,Q294)+IFERROR(_xlfn.XLOOKUP("RECHERCHEX",TRIM(L294:AD294),L294:AD294),0),0))</f>
        <v/>
      </c>
      <c r="AM294" s="6229">
        <f t="shared" si="138"/>
        <v>0</v>
      </c>
      <c r="AN294" s="6857" t="str">
        <f t="shared" si="153"/>
        <v/>
      </c>
      <c r="AO294" s="392">
        <f t="shared" si="139"/>
        <v>0</v>
      </c>
      <c r="AP294" s="392">
        <f t="shared" si="140"/>
        <v>0</v>
      </c>
      <c r="AQ294" s="6190">
        <f t="shared" si="141"/>
        <v>0</v>
      </c>
      <c r="AR294" s="6858" t="str">
        <f t="shared" si="142"/>
        <v/>
      </c>
      <c r="AS294" s="6217"/>
      <c r="AT294" s="6217"/>
      <c r="AU294" s="6271">
        <f t="shared" si="143"/>
        <v>0</v>
      </c>
      <c r="AV294" s="6242">
        <f t="shared" si="144"/>
        <v>0</v>
      </c>
      <c r="AW294" s="6188" cm="1">
        <f t="array" ref="AW294">IF(AK294&lt;&gt;1,0,IF(OR(AU294="",N(AU294)&lt;=0.000000001),"",IF(OR(AO294="",N(AO294)&lt;=0.000000001),0,IF(ISNUMBER(AU294),IFERROR(_xlfn.LET(_xlpm.ai_test,TRIM(AJ294),_xlpm.r,IFERROR(_xlfn.XLOOKUP(_xlpm.ai_test,$BJ$15:$BJ$62,ROW($BJ$15:$BJ$62),0,1),IFERROR(_xlfn.XLOOKUP(_xlpm.ai_test,$BK$15:$BK$62,ROW($BK$15:$BK$62),0,1),_xlfn.XLOOKUP(_xlpm.ai_test,$BL$15:$BL$62,ROW($BL$15:$BL$62),0,1))),_xlpm.p,_xlpm.r-MIN(ROW($BJ$15:$BJ$62))+1,_xlpm.f,INDEX($BM$15:$BM$62,_xlpm.p),_xlpm.u,INDEX($BN$15:$BN$62,_xlpm.p),_xlpm.s,INDEX($BP$15:$BP$62,_xlpm.p),_xlpm.q,N(AU294)/_xlpm.f,IF(_xlpm.q&gt;=_xlpm.s,ROUND(_xlpm.q,1)&amp;" "&amp;_xlpm.ai_test&amp;" = "&amp;ROUND(_xlpm.q*_xlpm.f,1)&amp;" "&amp;_xlpm.u,ROUND(_xlpm.q,1)&amp;" "&amp;_xlpm.ai_test)),""),""))))</f>
        <v>0</v>
      </c>
      <c r="AX294" s="6218"/>
      <c r="AY294" s="6271">
        <f t="shared" si="145"/>
        <v>0</v>
      </c>
      <c r="AZ294" s="6242" t="str">
        <f t="shared" si="146"/>
        <v/>
      </c>
      <c r="BA294" s="6194">
        <f t="shared" si="151"/>
        <v>0</v>
      </c>
      <c r="BB294" s="6192" t="str">
        <f t="shared" si="147"/>
        <v/>
      </c>
      <c r="BC294" s="6219"/>
      <c r="BD294" s="6221">
        <f t="shared" si="152"/>
        <v>0</v>
      </c>
      <c r="BE294" s="6220" t="str">
        <f t="shared" si="148"/>
        <v/>
      </c>
      <c r="BF294" s="4" t="s">
        <v>1</v>
      </c>
      <c r="BG294" s="6196">
        <f t="shared" si="149"/>
        <v>0</v>
      </c>
      <c r="BH294" s="6197">
        <f t="shared" si="150"/>
        <v>0</v>
      </c>
      <c r="BI294"/>
      <c r="BJ294" s="1"/>
      <c r="BK294" s="1"/>
      <c r="BL294" s="1"/>
      <c r="BM294" s="1"/>
      <c r="BN294" s="1"/>
      <c r="BO294" s="1"/>
      <c r="BP294" s="1"/>
      <c r="BQ294" s="1"/>
      <c r="BR294"/>
      <c r="BS294"/>
      <c r="BT294"/>
      <c r="BU294"/>
      <c r="BV294"/>
      <c r="BW294"/>
      <c r="BX294" s="20" t="str">
        <f t="shared" si="131"/>
        <v>►</v>
      </c>
      <c r="BY294"/>
      <c r="BZ294"/>
      <c r="CA294"/>
      <c r="CB294"/>
      <c r="CC294"/>
      <c r="CE294"/>
      <c r="CF294"/>
      <c r="CG294"/>
      <c r="CH294"/>
      <c r="CI294"/>
      <c r="CJ294"/>
      <c r="CK294"/>
      <c r="CM294"/>
      <c r="CN294"/>
      <c r="CO294"/>
      <c r="CP294"/>
      <c r="CQ294"/>
      <c r="CR294"/>
      <c r="CS294"/>
      <c r="CU294"/>
      <c r="CV294"/>
      <c r="CW294"/>
      <c r="CX294"/>
      <c r="CY294"/>
      <c r="CZ294"/>
      <c r="DA294"/>
      <c r="DC294" s="5">
        <v>1</v>
      </c>
      <c r="DD294" s="1"/>
      <c r="DE294" s="1"/>
    </row>
    <row r="295" spans="1:109" s="2" customFormat="1" ht="21" customHeight="1">
      <c r="A295" s="5641" t="s">
        <v>1</v>
      </c>
      <c r="B295" s="5662" t="str">
        <f t="shared" si="130"/>
        <v>►</v>
      </c>
      <c r="C295" s="5825" cm="1">
        <f t="array" ref="C295">SUMPRODUCT(LEN(D295:J295))</f>
        <v>0</v>
      </c>
      <c r="D295" s="5275"/>
      <c r="E295" s="1361"/>
      <c r="F295" s="1361"/>
      <c r="G295" s="1361"/>
      <c r="H295" s="1361"/>
      <c r="I295" s="1361"/>
      <c r="J295" s="5276"/>
      <c r="K295" s="106"/>
      <c r="L295" s="1021" t="s">
        <v>26</v>
      </c>
      <c r="M295" s="6787"/>
      <c r="N295" s="6787"/>
      <c r="O295" s="6787"/>
      <c r="P295" s="6788"/>
      <c r="Q295" s="6789"/>
      <c r="R295" s="6790"/>
      <c r="S295" s="6786"/>
      <c r="T295" s="6791"/>
      <c r="U295" s="6844"/>
      <c r="V295" s="6791"/>
      <c r="W295" s="6785"/>
      <c r="X295" s="6868"/>
      <c r="Y295" s="6793"/>
      <c r="Z295" s="6794"/>
      <c r="AA295" s="6795"/>
      <c r="AB295" s="6796"/>
      <c r="AC295" s="6797"/>
      <c r="AD295" s="6798"/>
      <c r="AE295" s="4" t="s">
        <v>1</v>
      </c>
      <c r="AF295" s="6202" t="str">
        <f t="shared" si="132"/>
        <v>►</v>
      </c>
      <c r="AG295" s="6234" t="str">
        <f t="shared" si="133"/>
        <v/>
      </c>
      <c r="AH295" s="6732" t="str">
        <f t="shared" si="134"/>
        <v/>
      </c>
      <c r="AI295" s="6234" t="str">
        <f t="shared" si="135"/>
        <v/>
      </c>
      <c r="AJ295" s="6732" t="str">
        <f t="shared" si="136"/>
        <v/>
      </c>
      <c r="AK295" s="6732">
        <f t="shared" si="137"/>
        <v>0</v>
      </c>
      <c r="AL295" s="6230" t="str" cm="1">
        <f t="array" ref="AL295">IF(AF295&lt;&gt;"A","",IFERROR((IFERROR(_xlfn.XLOOKUP(TRIM(SUBSTITUTE(U295,CHAR(160)," ")),$BJ$15:$BJ$62,$BM$15:$BM$62),IFERROR(_xlfn.XLOOKUP(TRIM(SUBSTITUTE(U295,CHAR(160)," ")),$BK$15:$BK$62,$BM$15:$BM$62),_xlfn.XLOOKUP(TRIM(SUBSTITUTE(U295,CHAR(160)," ")),$BL$15:$BL$62,$BM$15:$BM$62))))*T295*IF(ISBLANK(Q295),1,Q295)+IFERROR(_xlfn.XLOOKUP("RECHERCHEX",TRIM(L295:AD295),L295:AD295),0),0))</f>
        <v/>
      </c>
      <c r="AM295" s="6229">
        <f t="shared" si="138"/>
        <v>0</v>
      </c>
      <c r="AN295" s="6857" t="str">
        <f t="shared" si="153"/>
        <v/>
      </c>
      <c r="AO295" s="392">
        <f t="shared" si="139"/>
        <v>0</v>
      </c>
      <c r="AP295" s="392">
        <f t="shared" si="140"/>
        <v>0</v>
      </c>
      <c r="AQ295" s="6191">
        <f t="shared" si="141"/>
        <v>0</v>
      </c>
      <c r="AR295" s="6859" t="str">
        <f t="shared" si="142"/>
        <v/>
      </c>
      <c r="AS295" s="6217"/>
      <c r="AT295" s="6217"/>
      <c r="AU295" s="6272">
        <f t="shared" si="143"/>
        <v>0</v>
      </c>
      <c r="AV295" s="6240">
        <f t="shared" si="144"/>
        <v>0</v>
      </c>
      <c r="AW295" s="6189" cm="1">
        <f t="array" ref="AW295">IF(AK295&lt;&gt;1,0,IF(OR(AU295="",N(AU295)&lt;=0.000000001),"",IF(OR(AO295="",N(AO295)&lt;=0.000000001),0,IF(ISNUMBER(AU295),IFERROR(_xlfn.LET(_xlpm.ai_test,TRIM(AJ295),_xlpm.r,IFERROR(_xlfn.XLOOKUP(_xlpm.ai_test,$BJ$15:$BJ$62,ROW($BJ$15:$BJ$62),0,1),IFERROR(_xlfn.XLOOKUP(_xlpm.ai_test,$BK$15:$BK$62,ROW($BK$15:$BK$62),0,1),_xlfn.XLOOKUP(_xlpm.ai_test,$BL$15:$BL$62,ROW($BL$15:$BL$62),0,1))),_xlpm.p,_xlpm.r-MIN(ROW($BJ$15:$BJ$62))+1,_xlpm.f,INDEX($BM$15:$BM$62,_xlpm.p),_xlpm.u,INDEX($BN$15:$BN$62,_xlpm.p),_xlpm.s,INDEX($BP$15:$BP$62,_xlpm.p),_xlpm.q,N(AU295)/_xlpm.f,IF(_xlpm.q&gt;=_xlpm.s,ROUND(_xlpm.q,1)&amp;" "&amp;_xlpm.ai_test&amp;" = "&amp;ROUND(_xlpm.q*_xlpm.f,1)&amp;" "&amp;_xlpm.u,ROUND(_xlpm.q,1)&amp;" "&amp;_xlpm.ai_test)),""),""))))</f>
        <v>0</v>
      </c>
      <c r="AX295" s="6218"/>
      <c r="AY295" s="6272">
        <f t="shared" si="145"/>
        <v>0</v>
      </c>
      <c r="AZ295" s="6240" t="str">
        <f t="shared" si="146"/>
        <v/>
      </c>
      <c r="BA295" s="6195">
        <f t="shared" si="151"/>
        <v>0</v>
      </c>
      <c r="BB295" s="6193" t="str">
        <f t="shared" si="147"/>
        <v/>
      </c>
      <c r="BC295" s="6219"/>
      <c r="BD295" s="6222">
        <f t="shared" si="152"/>
        <v>0</v>
      </c>
      <c r="BE295" s="6220" t="str">
        <f t="shared" si="148"/>
        <v/>
      </c>
      <c r="BF295" s="4" t="s">
        <v>1</v>
      </c>
      <c r="BG295" s="6196">
        <f t="shared" si="149"/>
        <v>0</v>
      </c>
      <c r="BH295" s="6197">
        <f t="shared" si="150"/>
        <v>0</v>
      </c>
      <c r="BI295"/>
      <c r="BJ295" s="1"/>
      <c r="BK295" s="1"/>
      <c r="BL295" s="1"/>
      <c r="BM295" s="1"/>
      <c r="BN295" s="1"/>
      <c r="BO295" s="1"/>
      <c r="BP295" s="1"/>
      <c r="BQ295" s="1"/>
      <c r="BR295"/>
      <c r="BS295"/>
      <c r="BT295"/>
      <c r="BU295"/>
      <c r="BV295"/>
      <c r="BW295"/>
      <c r="BX295" s="20" t="str">
        <f t="shared" si="131"/>
        <v>►</v>
      </c>
      <c r="BY295"/>
      <c r="BZ295"/>
      <c r="CA295"/>
      <c r="CB295"/>
      <c r="CC295"/>
      <c r="CE295"/>
      <c r="CF295"/>
      <c r="CG295"/>
      <c r="CH295"/>
      <c r="CI295"/>
      <c r="CJ295"/>
      <c r="CK295"/>
      <c r="CM295"/>
      <c r="CN295"/>
      <c r="CO295"/>
      <c r="CP295"/>
      <c r="CQ295"/>
      <c r="CR295"/>
      <c r="CS295"/>
      <c r="CU295"/>
      <c r="CV295"/>
      <c r="CW295"/>
      <c r="CX295"/>
      <c r="CY295"/>
      <c r="CZ295"/>
      <c r="DA295"/>
      <c r="DC295" s="5">
        <v>1</v>
      </c>
      <c r="DD295" s="1"/>
      <c r="DE295" s="1"/>
    </row>
    <row r="296" spans="1:109" s="2" customFormat="1" ht="21" customHeight="1">
      <c r="A296" s="5641" t="s">
        <v>1</v>
      </c>
      <c r="B296" s="5662" t="str">
        <f t="shared" si="130"/>
        <v>►</v>
      </c>
      <c r="C296" s="5825" cm="1">
        <f t="array" ref="C296">SUMPRODUCT(LEN(D296:J296))</f>
        <v>0</v>
      </c>
      <c r="D296" s="5275"/>
      <c r="E296" s="1361"/>
      <c r="F296" s="1361"/>
      <c r="G296" s="1361"/>
      <c r="H296" s="1361"/>
      <c r="I296" s="1361"/>
      <c r="J296" s="5276"/>
      <c r="K296" s="106"/>
      <c r="L296" s="1021" t="s">
        <v>26</v>
      </c>
      <c r="M296" s="6787"/>
      <c r="N296" s="6787"/>
      <c r="O296" s="6787"/>
      <c r="P296" s="6788"/>
      <c r="Q296" s="6789"/>
      <c r="R296" s="6790"/>
      <c r="S296" s="6786"/>
      <c r="T296" s="6791"/>
      <c r="U296" s="6844"/>
      <c r="V296" s="6791"/>
      <c r="W296" s="6785"/>
      <c r="X296" s="6868"/>
      <c r="Y296" s="6793"/>
      <c r="Z296" s="6794"/>
      <c r="AA296" s="6795"/>
      <c r="AB296" s="6796"/>
      <c r="AC296" s="6797"/>
      <c r="AD296" s="6798"/>
      <c r="AE296" s="4" t="s">
        <v>1</v>
      </c>
      <c r="AF296" s="6202" t="str">
        <f t="shared" si="132"/>
        <v>►</v>
      </c>
      <c r="AG296" s="6234" t="str">
        <f t="shared" si="133"/>
        <v/>
      </c>
      <c r="AH296" s="6732" t="str">
        <f t="shared" si="134"/>
        <v/>
      </c>
      <c r="AI296" s="6234" t="str">
        <f t="shared" si="135"/>
        <v/>
      </c>
      <c r="AJ296" s="6732" t="str">
        <f t="shared" si="136"/>
        <v/>
      </c>
      <c r="AK296" s="6732">
        <f t="shared" si="137"/>
        <v>0</v>
      </c>
      <c r="AL296" s="6230" t="str" cm="1">
        <f t="array" ref="AL296">IF(AF296&lt;&gt;"A","",IFERROR((IFERROR(_xlfn.XLOOKUP(TRIM(SUBSTITUTE(U296,CHAR(160)," ")),$BJ$15:$BJ$62,$BM$15:$BM$62),IFERROR(_xlfn.XLOOKUP(TRIM(SUBSTITUTE(U296,CHAR(160)," ")),$BK$15:$BK$62,$BM$15:$BM$62),_xlfn.XLOOKUP(TRIM(SUBSTITUTE(U296,CHAR(160)," ")),$BL$15:$BL$62,$BM$15:$BM$62))))*T296*IF(ISBLANK(Q296),1,Q296)+IFERROR(_xlfn.XLOOKUP("RECHERCHEX",TRIM(L296:AD296),L296:AD296),0),0))</f>
        <v/>
      </c>
      <c r="AM296" s="6229">
        <f t="shared" si="138"/>
        <v>0</v>
      </c>
      <c r="AN296" s="6857" t="str">
        <f t="shared" si="153"/>
        <v/>
      </c>
      <c r="AO296" s="392">
        <f t="shared" si="139"/>
        <v>0</v>
      </c>
      <c r="AP296" s="392">
        <f t="shared" si="140"/>
        <v>0</v>
      </c>
      <c r="AQ296" s="6190">
        <f t="shared" si="141"/>
        <v>0</v>
      </c>
      <c r="AR296" s="6858" t="str">
        <f t="shared" si="142"/>
        <v/>
      </c>
      <c r="AS296" s="6217"/>
      <c r="AT296" s="6217"/>
      <c r="AU296" s="6271">
        <f t="shared" si="143"/>
        <v>0</v>
      </c>
      <c r="AV296" s="6242">
        <f t="shared" si="144"/>
        <v>0</v>
      </c>
      <c r="AW296" s="6188" cm="1">
        <f t="array" ref="AW296">IF(AK296&lt;&gt;1,0,IF(OR(AU296="",N(AU296)&lt;=0.000000001),"",IF(OR(AO296="",N(AO296)&lt;=0.000000001),0,IF(ISNUMBER(AU296),IFERROR(_xlfn.LET(_xlpm.ai_test,TRIM(AJ296),_xlpm.r,IFERROR(_xlfn.XLOOKUP(_xlpm.ai_test,$BJ$15:$BJ$62,ROW($BJ$15:$BJ$62),0,1),IFERROR(_xlfn.XLOOKUP(_xlpm.ai_test,$BK$15:$BK$62,ROW($BK$15:$BK$62),0,1),_xlfn.XLOOKUP(_xlpm.ai_test,$BL$15:$BL$62,ROW($BL$15:$BL$62),0,1))),_xlpm.p,_xlpm.r-MIN(ROW($BJ$15:$BJ$62))+1,_xlpm.f,INDEX($BM$15:$BM$62,_xlpm.p),_xlpm.u,INDEX($BN$15:$BN$62,_xlpm.p),_xlpm.s,INDEX($BP$15:$BP$62,_xlpm.p),_xlpm.q,N(AU296)/_xlpm.f,IF(_xlpm.q&gt;=_xlpm.s,ROUND(_xlpm.q,1)&amp;" "&amp;_xlpm.ai_test&amp;" = "&amp;ROUND(_xlpm.q*_xlpm.f,1)&amp;" "&amp;_xlpm.u,ROUND(_xlpm.q,1)&amp;" "&amp;_xlpm.ai_test)),""),""))))</f>
        <v>0</v>
      </c>
      <c r="AX296" s="6218"/>
      <c r="AY296" s="6271">
        <f t="shared" si="145"/>
        <v>0</v>
      </c>
      <c r="AZ296" s="6242" t="str">
        <f t="shared" si="146"/>
        <v/>
      </c>
      <c r="BA296" s="6194">
        <f t="shared" si="151"/>
        <v>0</v>
      </c>
      <c r="BB296" s="6192" t="str">
        <f t="shared" si="147"/>
        <v/>
      </c>
      <c r="BC296" s="6219"/>
      <c r="BD296" s="6221">
        <f t="shared" si="152"/>
        <v>0</v>
      </c>
      <c r="BE296" s="6220" t="str">
        <f t="shared" si="148"/>
        <v/>
      </c>
      <c r="BF296" s="4" t="s">
        <v>1</v>
      </c>
      <c r="BG296" s="6196">
        <f t="shared" si="149"/>
        <v>0</v>
      </c>
      <c r="BH296" s="6197">
        <f t="shared" si="150"/>
        <v>0</v>
      </c>
      <c r="BI296"/>
      <c r="BJ296" s="1"/>
      <c r="BK296" s="1"/>
      <c r="BL296" s="1"/>
      <c r="BM296" s="1"/>
      <c r="BN296" s="1"/>
      <c r="BO296" s="1"/>
      <c r="BP296" s="1"/>
      <c r="BQ296" s="1"/>
      <c r="BR296"/>
      <c r="BS296"/>
      <c r="BT296"/>
      <c r="BU296"/>
      <c r="BV296"/>
      <c r="BW296"/>
      <c r="BX296" s="20" t="str">
        <f t="shared" si="131"/>
        <v>►</v>
      </c>
      <c r="BY296"/>
      <c r="BZ296"/>
      <c r="CA296"/>
      <c r="CB296"/>
      <c r="CC296"/>
      <c r="CE296"/>
      <c r="CF296"/>
      <c r="CG296"/>
      <c r="CH296"/>
      <c r="CI296"/>
      <c r="CJ296"/>
      <c r="CK296"/>
      <c r="CM296"/>
      <c r="CN296"/>
      <c r="CO296"/>
      <c r="CP296"/>
      <c r="CQ296"/>
      <c r="CR296"/>
      <c r="CS296"/>
      <c r="CU296"/>
      <c r="CV296"/>
      <c r="CW296"/>
      <c r="CX296"/>
      <c r="CY296"/>
      <c r="CZ296"/>
      <c r="DA296"/>
      <c r="DC296" s="5">
        <v>1</v>
      </c>
      <c r="DD296" s="1"/>
      <c r="DE296" s="1"/>
    </row>
    <row r="297" spans="1:109" s="2" customFormat="1" ht="21" customHeight="1">
      <c r="A297" s="5641" t="s">
        <v>1</v>
      </c>
      <c r="B297" s="5662" t="str">
        <f t="shared" si="130"/>
        <v>►</v>
      </c>
      <c r="C297" s="5825" cm="1">
        <f t="array" ref="C297">SUMPRODUCT(LEN(D297:J297))</f>
        <v>0</v>
      </c>
      <c r="D297" s="5275"/>
      <c r="E297" s="1361"/>
      <c r="F297" s="1361"/>
      <c r="G297" s="1361"/>
      <c r="H297" s="1361"/>
      <c r="I297" s="1361"/>
      <c r="J297" s="5276"/>
      <c r="K297" s="106"/>
      <c r="L297" s="1021" t="s">
        <v>26</v>
      </c>
      <c r="M297" s="6787"/>
      <c r="N297" s="6787"/>
      <c r="O297" s="6787"/>
      <c r="P297" s="6788"/>
      <c r="Q297" s="6789"/>
      <c r="R297" s="6790"/>
      <c r="S297" s="6786"/>
      <c r="T297" s="6791"/>
      <c r="U297" s="6844"/>
      <c r="V297" s="6791"/>
      <c r="W297" s="6785"/>
      <c r="X297" s="6868"/>
      <c r="Y297" s="6793"/>
      <c r="Z297" s="6794"/>
      <c r="AA297" s="6795"/>
      <c r="AB297" s="6796"/>
      <c r="AC297" s="6797"/>
      <c r="AD297" s="6798"/>
      <c r="AE297" s="4" t="s">
        <v>1</v>
      </c>
      <c r="AF297" s="6202" t="str">
        <f t="shared" si="132"/>
        <v>►</v>
      </c>
      <c r="AG297" s="6234" t="str">
        <f t="shared" si="133"/>
        <v/>
      </c>
      <c r="AH297" s="6732" t="str">
        <f t="shared" si="134"/>
        <v/>
      </c>
      <c r="AI297" s="6234" t="str">
        <f t="shared" si="135"/>
        <v/>
      </c>
      <c r="AJ297" s="6732" t="str">
        <f t="shared" si="136"/>
        <v/>
      </c>
      <c r="AK297" s="6732">
        <f t="shared" si="137"/>
        <v>0</v>
      </c>
      <c r="AL297" s="6230" t="str" cm="1">
        <f t="array" ref="AL297">IF(AF297&lt;&gt;"A","",IFERROR((IFERROR(_xlfn.XLOOKUP(TRIM(SUBSTITUTE(U297,CHAR(160)," ")),$BJ$15:$BJ$62,$BM$15:$BM$62),IFERROR(_xlfn.XLOOKUP(TRIM(SUBSTITUTE(U297,CHAR(160)," ")),$BK$15:$BK$62,$BM$15:$BM$62),_xlfn.XLOOKUP(TRIM(SUBSTITUTE(U297,CHAR(160)," ")),$BL$15:$BL$62,$BM$15:$BM$62))))*T297*IF(ISBLANK(Q297),1,Q297)+IFERROR(_xlfn.XLOOKUP("RECHERCHEX",TRIM(L297:AD297),L297:AD297),0),0))</f>
        <v/>
      </c>
      <c r="AM297" s="6229">
        <f t="shared" si="138"/>
        <v>0</v>
      </c>
      <c r="AN297" s="6857" t="str">
        <f t="shared" si="153"/>
        <v/>
      </c>
      <c r="AO297" s="392">
        <f t="shared" si="139"/>
        <v>0</v>
      </c>
      <c r="AP297" s="392">
        <f t="shared" si="140"/>
        <v>0</v>
      </c>
      <c r="AQ297" s="6191">
        <f t="shared" si="141"/>
        <v>0</v>
      </c>
      <c r="AR297" s="6859" t="str">
        <f t="shared" si="142"/>
        <v/>
      </c>
      <c r="AS297" s="6217"/>
      <c r="AT297" s="6217"/>
      <c r="AU297" s="6272">
        <f t="shared" si="143"/>
        <v>0</v>
      </c>
      <c r="AV297" s="6240">
        <f t="shared" si="144"/>
        <v>0</v>
      </c>
      <c r="AW297" s="6189" cm="1">
        <f t="array" ref="AW297">IF(AK297&lt;&gt;1,0,IF(OR(AU297="",N(AU297)&lt;=0.000000001),"",IF(OR(AO297="",N(AO297)&lt;=0.000000001),0,IF(ISNUMBER(AU297),IFERROR(_xlfn.LET(_xlpm.ai_test,TRIM(AJ297),_xlpm.r,IFERROR(_xlfn.XLOOKUP(_xlpm.ai_test,$BJ$15:$BJ$62,ROW($BJ$15:$BJ$62),0,1),IFERROR(_xlfn.XLOOKUP(_xlpm.ai_test,$BK$15:$BK$62,ROW($BK$15:$BK$62),0,1),_xlfn.XLOOKUP(_xlpm.ai_test,$BL$15:$BL$62,ROW($BL$15:$BL$62),0,1))),_xlpm.p,_xlpm.r-MIN(ROW($BJ$15:$BJ$62))+1,_xlpm.f,INDEX($BM$15:$BM$62,_xlpm.p),_xlpm.u,INDEX($BN$15:$BN$62,_xlpm.p),_xlpm.s,INDEX($BP$15:$BP$62,_xlpm.p),_xlpm.q,N(AU297)/_xlpm.f,IF(_xlpm.q&gt;=_xlpm.s,ROUND(_xlpm.q,1)&amp;" "&amp;_xlpm.ai_test&amp;" = "&amp;ROUND(_xlpm.q*_xlpm.f,1)&amp;" "&amp;_xlpm.u,ROUND(_xlpm.q,1)&amp;" "&amp;_xlpm.ai_test)),""),""))))</f>
        <v>0</v>
      </c>
      <c r="AX297" s="6218"/>
      <c r="AY297" s="6272">
        <f t="shared" si="145"/>
        <v>0</v>
      </c>
      <c r="AZ297" s="6240" t="str">
        <f t="shared" si="146"/>
        <v/>
      </c>
      <c r="BA297" s="6195">
        <f t="shared" si="151"/>
        <v>0</v>
      </c>
      <c r="BB297" s="6193" t="str">
        <f t="shared" si="147"/>
        <v/>
      </c>
      <c r="BC297" s="6219"/>
      <c r="BD297" s="6222">
        <f t="shared" si="152"/>
        <v>0</v>
      </c>
      <c r="BE297" s="6220" t="str">
        <f t="shared" si="148"/>
        <v/>
      </c>
      <c r="BF297" s="4" t="s">
        <v>1</v>
      </c>
      <c r="BG297" s="6196">
        <f t="shared" si="149"/>
        <v>0</v>
      </c>
      <c r="BH297" s="6197">
        <f t="shared" si="150"/>
        <v>0</v>
      </c>
      <c r="BI297"/>
      <c r="BJ297" s="1"/>
      <c r="BK297" s="1"/>
      <c r="BL297" s="1"/>
      <c r="BM297" s="1"/>
      <c r="BN297" s="1"/>
      <c r="BO297" s="1"/>
      <c r="BP297" s="1"/>
      <c r="BQ297" s="1"/>
      <c r="BR297"/>
      <c r="BS297"/>
      <c r="BT297"/>
      <c r="BU297"/>
      <c r="BV297"/>
      <c r="BW297"/>
      <c r="BX297" s="20" t="str">
        <f t="shared" si="131"/>
        <v>►</v>
      </c>
      <c r="BY297"/>
      <c r="BZ297"/>
      <c r="CA297"/>
      <c r="CB297"/>
      <c r="CC297"/>
      <c r="CE297"/>
      <c r="CF297"/>
      <c r="CG297"/>
      <c r="CH297"/>
      <c r="CI297"/>
      <c r="CJ297"/>
      <c r="CK297"/>
      <c r="CM297"/>
      <c r="CN297"/>
      <c r="CO297"/>
      <c r="CP297"/>
      <c r="CQ297"/>
      <c r="CR297"/>
      <c r="CS297"/>
      <c r="CU297"/>
      <c r="CV297"/>
      <c r="CW297"/>
      <c r="CX297"/>
      <c r="CY297"/>
      <c r="CZ297"/>
      <c r="DA297"/>
      <c r="DC297" s="5">
        <v>1</v>
      </c>
      <c r="DD297" s="1"/>
      <c r="DE297" s="1"/>
    </row>
    <row r="298" spans="1:109" s="2" customFormat="1" ht="21" customHeight="1">
      <c r="A298" s="5641" t="s">
        <v>1</v>
      </c>
      <c r="B298" s="5662" t="str">
        <f t="shared" si="130"/>
        <v>►</v>
      </c>
      <c r="C298" s="5825" cm="1">
        <f t="array" ref="C298">SUMPRODUCT(LEN(D298:J298))</f>
        <v>0</v>
      </c>
      <c r="D298" s="5275"/>
      <c r="E298" s="1361"/>
      <c r="F298" s="1361"/>
      <c r="G298" s="1361"/>
      <c r="H298" s="1361"/>
      <c r="I298" s="1361"/>
      <c r="J298" s="5276"/>
      <c r="K298" s="106"/>
      <c r="L298" s="1021" t="s">
        <v>26</v>
      </c>
      <c r="M298" s="6787"/>
      <c r="N298" s="6787"/>
      <c r="O298" s="6787"/>
      <c r="P298" s="6788"/>
      <c r="Q298" s="6789"/>
      <c r="R298" s="6790"/>
      <c r="S298" s="6786"/>
      <c r="T298" s="6791"/>
      <c r="U298" s="6844"/>
      <c r="V298" s="6791"/>
      <c r="W298" s="6785"/>
      <c r="X298" s="6868"/>
      <c r="Y298" s="6793"/>
      <c r="Z298" s="6794"/>
      <c r="AA298" s="6795"/>
      <c r="AB298" s="6796"/>
      <c r="AC298" s="6797"/>
      <c r="AD298" s="6798"/>
      <c r="AE298" s="4" t="s">
        <v>1</v>
      </c>
      <c r="AF298" s="6202" t="str">
        <f t="shared" si="132"/>
        <v>►</v>
      </c>
      <c r="AG298" s="6234" t="str">
        <f t="shared" si="133"/>
        <v/>
      </c>
      <c r="AH298" s="6732" t="str">
        <f t="shared" si="134"/>
        <v/>
      </c>
      <c r="AI298" s="6234" t="str">
        <f t="shared" si="135"/>
        <v/>
      </c>
      <c r="AJ298" s="6732" t="str">
        <f t="shared" si="136"/>
        <v/>
      </c>
      <c r="AK298" s="6732">
        <f t="shared" si="137"/>
        <v>0</v>
      </c>
      <c r="AL298" s="6230" t="str" cm="1">
        <f t="array" ref="AL298">IF(AF298&lt;&gt;"A","",IFERROR((IFERROR(_xlfn.XLOOKUP(TRIM(SUBSTITUTE(U298,CHAR(160)," ")),$BJ$15:$BJ$62,$BM$15:$BM$62),IFERROR(_xlfn.XLOOKUP(TRIM(SUBSTITUTE(U298,CHAR(160)," ")),$BK$15:$BK$62,$BM$15:$BM$62),_xlfn.XLOOKUP(TRIM(SUBSTITUTE(U298,CHAR(160)," ")),$BL$15:$BL$62,$BM$15:$BM$62))))*T298*IF(ISBLANK(Q298),1,Q298)+IFERROR(_xlfn.XLOOKUP("RECHERCHEX",TRIM(L298:AD298),L298:AD298),0),0))</f>
        <v/>
      </c>
      <c r="AM298" s="6229">
        <f t="shared" si="138"/>
        <v>0</v>
      </c>
      <c r="AN298" s="6857" t="str">
        <f t="shared" si="153"/>
        <v/>
      </c>
      <c r="AO298" s="392">
        <f t="shared" si="139"/>
        <v>0</v>
      </c>
      <c r="AP298" s="392">
        <f t="shared" si="140"/>
        <v>0</v>
      </c>
      <c r="AQ298" s="6190">
        <f t="shared" si="141"/>
        <v>0</v>
      </c>
      <c r="AR298" s="6858" t="str">
        <f t="shared" si="142"/>
        <v/>
      </c>
      <c r="AS298" s="6217"/>
      <c r="AT298" s="6217"/>
      <c r="AU298" s="6271">
        <f t="shared" si="143"/>
        <v>0</v>
      </c>
      <c r="AV298" s="6242">
        <f t="shared" si="144"/>
        <v>0</v>
      </c>
      <c r="AW298" s="6188" cm="1">
        <f t="array" ref="AW298">IF(AK298&lt;&gt;1,0,IF(OR(AU298="",N(AU298)&lt;=0.000000001),"",IF(OR(AO298="",N(AO298)&lt;=0.000000001),0,IF(ISNUMBER(AU298),IFERROR(_xlfn.LET(_xlpm.ai_test,TRIM(AJ298),_xlpm.r,IFERROR(_xlfn.XLOOKUP(_xlpm.ai_test,$BJ$15:$BJ$62,ROW($BJ$15:$BJ$62),0,1),IFERROR(_xlfn.XLOOKUP(_xlpm.ai_test,$BK$15:$BK$62,ROW($BK$15:$BK$62),0,1),_xlfn.XLOOKUP(_xlpm.ai_test,$BL$15:$BL$62,ROW($BL$15:$BL$62),0,1))),_xlpm.p,_xlpm.r-MIN(ROW($BJ$15:$BJ$62))+1,_xlpm.f,INDEX($BM$15:$BM$62,_xlpm.p),_xlpm.u,INDEX($BN$15:$BN$62,_xlpm.p),_xlpm.s,INDEX($BP$15:$BP$62,_xlpm.p),_xlpm.q,N(AU298)/_xlpm.f,IF(_xlpm.q&gt;=_xlpm.s,ROUND(_xlpm.q,1)&amp;" "&amp;_xlpm.ai_test&amp;" = "&amp;ROUND(_xlpm.q*_xlpm.f,1)&amp;" "&amp;_xlpm.u,ROUND(_xlpm.q,1)&amp;" "&amp;_xlpm.ai_test)),""),""))))</f>
        <v>0</v>
      </c>
      <c r="AX298" s="6218"/>
      <c r="AY298" s="6271">
        <f t="shared" si="145"/>
        <v>0</v>
      </c>
      <c r="AZ298" s="6242" t="str">
        <f t="shared" si="146"/>
        <v/>
      </c>
      <c r="BA298" s="6194">
        <f t="shared" si="151"/>
        <v>0</v>
      </c>
      <c r="BB298" s="6192" t="str">
        <f t="shared" si="147"/>
        <v/>
      </c>
      <c r="BC298" s="6219"/>
      <c r="BD298" s="6221">
        <f t="shared" si="152"/>
        <v>0</v>
      </c>
      <c r="BE298" s="6220" t="str">
        <f t="shared" si="148"/>
        <v/>
      </c>
      <c r="BF298" s="4" t="s">
        <v>1</v>
      </c>
      <c r="BG298" s="6196">
        <f t="shared" si="149"/>
        <v>0</v>
      </c>
      <c r="BH298" s="6197">
        <f t="shared" si="150"/>
        <v>0</v>
      </c>
      <c r="BI298"/>
      <c r="BJ298" s="1"/>
      <c r="BK298" s="1"/>
      <c r="BL298" s="1"/>
      <c r="BM298" s="1"/>
      <c r="BN298" s="1"/>
      <c r="BO298" s="1"/>
      <c r="BP298" s="1"/>
      <c r="BQ298" s="1"/>
      <c r="BR298"/>
      <c r="BS298"/>
      <c r="BT298"/>
      <c r="BU298"/>
      <c r="BV298"/>
      <c r="BW298"/>
      <c r="BX298" s="20" t="str">
        <f t="shared" si="131"/>
        <v>►</v>
      </c>
      <c r="BY298"/>
      <c r="BZ298"/>
      <c r="CA298"/>
      <c r="CB298"/>
      <c r="CC298"/>
      <c r="CE298"/>
      <c r="CF298"/>
      <c r="CG298"/>
      <c r="CH298"/>
      <c r="CI298"/>
      <c r="CJ298"/>
      <c r="CK298"/>
      <c r="CM298"/>
      <c r="CN298"/>
      <c r="CO298"/>
      <c r="CP298"/>
      <c r="CQ298"/>
      <c r="CR298"/>
      <c r="CS298"/>
      <c r="CU298"/>
      <c r="CV298"/>
      <c r="CW298"/>
      <c r="CX298"/>
      <c r="CY298"/>
      <c r="CZ298"/>
      <c r="DA298"/>
      <c r="DC298" s="5">
        <v>1</v>
      </c>
      <c r="DD298" s="1"/>
      <c r="DE298" s="1"/>
    </row>
    <row r="299" spans="1:109" s="2" customFormat="1" ht="21" customHeight="1">
      <c r="A299" s="5641" t="s">
        <v>1</v>
      </c>
      <c r="B299" s="5662" t="str">
        <f t="shared" si="130"/>
        <v>►</v>
      </c>
      <c r="C299" s="5825" cm="1">
        <f t="array" ref="C299">SUMPRODUCT(LEN(D299:J299))</f>
        <v>0</v>
      </c>
      <c r="D299" s="5275"/>
      <c r="E299" s="1361"/>
      <c r="F299" s="1361"/>
      <c r="G299" s="1361"/>
      <c r="H299" s="1361"/>
      <c r="I299" s="1361"/>
      <c r="J299" s="5276"/>
      <c r="K299" s="106"/>
      <c r="L299" s="1021" t="s">
        <v>26</v>
      </c>
      <c r="M299" s="6787"/>
      <c r="N299" s="6787"/>
      <c r="O299" s="6787"/>
      <c r="P299" s="6788"/>
      <c r="Q299" s="6789"/>
      <c r="R299" s="6790"/>
      <c r="S299" s="6786"/>
      <c r="T299" s="6791"/>
      <c r="U299" s="6844"/>
      <c r="V299" s="6791"/>
      <c r="W299" s="6785"/>
      <c r="X299" s="6868"/>
      <c r="Y299" s="6793"/>
      <c r="Z299" s="6794"/>
      <c r="AA299" s="6795"/>
      <c r="AB299" s="6796"/>
      <c r="AC299" s="6797"/>
      <c r="AD299" s="6798"/>
      <c r="AE299" s="4" t="s">
        <v>1</v>
      </c>
      <c r="AF299" s="6202" t="str">
        <f t="shared" si="132"/>
        <v>►</v>
      </c>
      <c r="AG299" s="6234" t="str">
        <f t="shared" si="133"/>
        <v/>
      </c>
      <c r="AH299" s="6732" t="str">
        <f t="shared" si="134"/>
        <v/>
      </c>
      <c r="AI299" s="6234" t="str">
        <f t="shared" si="135"/>
        <v/>
      </c>
      <c r="AJ299" s="6732" t="str">
        <f t="shared" si="136"/>
        <v/>
      </c>
      <c r="AK299" s="6732">
        <f t="shared" si="137"/>
        <v>0</v>
      </c>
      <c r="AL299" s="6230" t="str" cm="1">
        <f t="array" ref="AL299">IF(AF299&lt;&gt;"A","",IFERROR((IFERROR(_xlfn.XLOOKUP(TRIM(SUBSTITUTE(U299,CHAR(160)," ")),$BJ$15:$BJ$62,$BM$15:$BM$62),IFERROR(_xlfn.XLOOKUP(TRIM(SUBSTITUTE(U299,CHAR(160)," ")),$BK$15:$BK$62,$BM$15:$BM$62),_xlfn.XLOOKUP(TRIM(SUBSTITUTE(U299,CHAR(160)," ")),$BL$15:$BL$62,$BM$15:$BM$62))))*T299*IF(ISBLANK(Q299),1,Q299)+IFERROR(_xlfn.XLOOKUP("RECHERCHEX",TRIM(L299:AD299),L299:AD299),0),0))</f>
        <v/>
      </c>
      <c r="AM299" s="6229">
        <f t="shared" si="138"/>
        <v>0</v>
      </c>
      <c r="AN299" s="6857" t="str">
        <f t="shared" si="153"/>
        <v/>
      </c>
      <c r="AO299" s="392">
        <f t="shared" si="139"/>
        <v>0</v>
      </c>
      <c r="AP299" s="392">
        <f t="shared" si="140"/>
        <v>0</v>
      </c>
      <c r="AQ299" s="6191">
        <f t="shared" si="141"/>
        <v>0</v>
      </c>
      <c r="AR299" s="6859" t="str">
        <f t="shared" si="142"/>
        <v/>
      </c>
      <c r="AS299" s="6217"/>
      <c r="AT299" s="6217"/>
      <c r="AU299" s="6272">
        <f t="shared" si="143"/>
        <v>0</v>
      </c>
      <c r="AV299" s="6240">
        <f t="shared" si="144"/>
        <v>0</v>
      </c>
      <c r="AW299" s="6189" cm="1">
        <f t="array" ref="AW299">IF(AK299&lt;&gt;1,0,IF(OR(AU299="",N(AU299)&lt;=0.000000001),"",IF(OR(AO299="",N(AO299)&lt;=0.000000001),0,IF(ISNUMBER(AU299),IFERROR(_xlfn.LET(_xlpm.ai_test,TRIM(AJ299),_xlpm.r,IFERROR(_xlfn.XLOOKUP(_xlpm.ai_test,$BJ$15:$BJ$62,ROW($BJ$15:$BJ$62),0,1),IFERROR(_xlfn.XLOOKUP(_xlpm.ai_test,$BK$15:$BK$62,ROW($BK$15:$BK$62),0,1),_xlfn.XLOOKUP(_xlpm.ai_test,$BL$15:$BL$62,ROW($BL$15:$BL$62),0,1))),_xlpm.p,_xlpm.r-MIN(ROW($BJ$15:$BJ$62))+1,_xlpm.f,INDEX($BM$15:$BM$62,_xlpm.p),_xlpm.u,INDEX($BN$15:$BN$62,_xlpm.p),_xlpm.s,INDEX($BP$15:$BP$62,_xlpm.p),_xlpm.q,N(AU299)/_xlpm.f,IF(_xlpm.q&gt;=_xlpm.s,ROUND(_xlpm.q,1)&amp;" "&amp;_xlpm.ai_test&amp;" = "&amp;ROUND(_xlpm.q*_xlpm.f,1)&amp;" "&amp;_xlpm.u,ROUND(_xlpm.q,1)&amp;" "&amp;_xlpm.ai_test)),""),""))))</f>
        <v>0</v>
      </c>
      <c r="AX299" s="6218"/>
      <c r="AY299" s="6272">
        <f t="shared" si="145"/>
        <v>0</v>
      </c>
      <c r="AZ299" s="6240" t="str">
        <f t="shared" si="146"/>
        <v/>
      </c>
      <c r="BA299" s="6195">
        <f t="shared" si="151"/>
        <v>0</v>
      </c>
      <c r="BB299" s="6193" t="str">
        <f t="shared" si="147"/>
        <v/>
      </c>
      <c r="BC299" s="6219"/>
      <c r="BD299" s="6222">
        <f t="shared" si="152"/>
        <v>0</v>
      </c>
      <c r="BE299" s="6220" t="str">
        <f t="shared" si="148"/>
        <v/>
      </c>
      <c r="BF299" s="4" t="s">
        <v>1</v>
      </c>
      <c r="BG299" s="6196">
        <f t="shared" si="149"/>
        <v>0</v>
      </c>
      <c r="BH299" s="6197">
        <f t="shared" si="150"/>
        <v>0</v>
      </c>
      <c r="BI299"/>
      <c r="BJ299" s="1"/>
      <c r="BK299" s="1"/>
      <c r="BL299" s="1"/>
      <c r="BM299" s="1"/>
      <c r="BN299" s="1"/>
      <c r="BO299" s="1"/>
      <c r="BP299" s="1"/>
      <c r="BQ299" s="1"/>
      <c r="BR299"/>
      <c r="BS299"/>
      <c r="BT299"/>
      <c r="BU299"/>
      <c r="BV299"/>
      <c r="BW299"/>
      <c r="BX299" s="20" t="str">
        <f t="shared" si="131"/>
        <v>►</v>
      </c>
      <c r="BY299"/>
      <c r="BZ299"/>
      <c r="CA299"/>
      <c r="CB299"/>
      <c r="CC299"/>
      <c r="CE299"/>
      <c r="CF299"/>
      <c r="CG299"/>
      <c r="CH299"/>
      <c r="CI299"/>
      <c r="CJ299"/>
      <c r="CK299"/>
      <c r="CM299"/>
      <c r="CN299"/>
      <c r="CO299"/>
      <c r="CP299"/>
      <c r="CQ299"/>
      <c r="CR299"/>
      <c r="CS299"/>
      <c r="CU299"/>
      <c r="CV299"/>
      <c r="CW299"/>
      <c r="CX299"/>
      <c r="CY299"/>
      <c r="CZ299"/>
      <c r="DA299"/>
      <c r="DC299" s="5">
        <v>1</v>
      </c>
      <c r="DD299" s="1"/>
      <c r="DE299" s="1"/>
    </row>
    <row r="300" spans="1:109" s="2" customFormat="1" ht="21" customHeight="1">
      <c r="A300" s="5641" t="s">
        <v>1</v>
      </c>
      <c r="B300" s="5662" t="str">
        <f t="shared" si="130"/>
        <v>►</v>
      </c>
      <c r="C300" s="5825" cm="1">
        <f t="array" ref="C300">SUMPRODUCT(LEN(D300:J300))</f>
        <v>0</v>
      </c>
      <c r="D300" s="5275"/>
      <c r="E300" s="1361"/>
      <c r="F300" s="1361"/>
      <c r="G300" s="1361"/>
      <c r="H300" s="1361"/>
      <c r="I300" s="1361"/>
      <c r="J300" s="5276"/>
      <c r="K300" s="106"/>
      <c r="L300" s="1021" t="s">
        <v>26</v>
      </c>
      <c r="M300" s="6787"/>
      <c r="N300" s="6787"/>
      <c r="O300" s="6787"/>
      <c r="P300" s="6788"/>
      <c r="Q300" s="6789"/>
      <c r="R300" s="6790"/>
      <c r="S300" s="6786"/>
      <c r="T300" s="6791"/>
      <c r="U300" s="6844"/>
      <c r="V300" s="6791"/>
      <c r="W300" s="6785"/>
      <c r="X300" s="6868"/>
      <c r="Y300" s="6793"/>
      <c r="Z300" s="6794"/>
      <c r="AA300" s="6795"/>
      <c r="AB300" s="6796"/>
      <c r="AC300" s="6797"/>
      <c r="AD300" s="6798"/>
      <c r="AE300" s="4" t="s">
        <v>1</v>
      </c>
      <c r="AF300" s="6202" t="str">
        <f t="shared" si="132"/>
        <v>►</v>
      </c>
      <c r="AG300" s="6234" t="str">
        <f t="shared" si="133"/>
        <v/>
      </c>
      <c r="AH300" s="6732" t="str">
        <f t="shared" si="134"/>
        <v/>
      </c>
      <c r="AI300" s="6234" t="str">
        <f t="shared" si="135"/>
        <v/>
      </c>
      <c r="AJ300" s="6732" t="str">
        <f t="shared" si="136"/>
        <v/>
      </c>
      <c r="AK300" s="6732">
        <f t="shared" si="137"/>
        <v>0</v>
      </c>
      <c r="AL300" s="6230" t="str" cm="1">
        <f t="array" ref="AL300">IF(AF300&lt;&gt;"A","",IFERROR((IFERROR(_xlfn.XLOOKUP(TRIM(SUBSTITUTE(U300,CHAR(160)," ")),$BJ$15:$BJ$62,$BM$15:$BM$62),IFERROR(_xlfn.XLOOKUP(TRIM(SUBSTITUTE(U300,CHAR(160)," ")),$BK$15:$BK$62,$BM$15:$BM$62),_xlfn.XLOOKUP(TRIM(SUBSTITUTE(U300,CHAR(160)," ")),$BL$15:$BL$62,$BM$15:$BM$62))))*T300*IF(ISBLANK(Q300),1,Q300)+IFERROR(_xlfn.XLOOKUP("RECHERCHEX",TRIM(L300:AD300),L300:AD300),0),0))</f>
        <v/>
      </c>
      <c r="AM300" s="6229">
        <f t="shared" si="138"/>
        <v>0</v>
      </c>
      <c r="AN300" s="6857" t="str">
        <f t="shared" si="153"/>
        <v/>
      </c>
      <c r="AO300" s="392">
        <f t="shared" si="139"/>
        <v>0</v>
      </c>
      <c r="AP300" s="392">
        <f t="shared" si="140"/>
        <v>0</v>
      </c>
      <c r="AQ300" s="6190">
        <f t="shared" si="141"/>
        <v>0</v>
      </c>
      <c r="AR300" s="6858" t="str">
        <f t="shared" si="142"/>
        <v/>
      </c>
      <c r="AS300" s="6217"/>
      <c r="AT300" s="6217"/>
      <c r="AU300" s="6271">
        <f t="shared" si="143"/>
        <v>0</v>
      </c>
      <c r="AV300" s="6242">
        <f t="shared" si="144"/>
        <v>0</v>
      </c>
      <c r="AW300" s="6188" cm="1">
        <f t="array" ref="AW300">IF(AK300&lt;&gt;1,0,IF(OR(AU300="",N(AU300)&lt;=0.000000001),"",IF(OR(AO300="",N(AO300)&lt;=0.000000001),0,IF(ISNUMBER(AU300),IFERROR(_xlfn.LET(_xlpm.ai_test,TRIM(AJ300),_xlpm.r,IFERROR(_xlfn.XLOOKUP(_xlpm.ai_test,$BJ$15:$BJ$62,ROW($BJ$15:$BJ$62),0,1),IFERROR(_xlfn.XLOOKUP(_xlpm.ai_test,$BK$15:$BK$62,ROW($BK$15:$BK$62),0,1),_xlfn.XLOOKUP(_xlpm.ai_test,$BL$15:$BL$62,ROW($BL$15:$BL$62),0,1))),_xlpm.p,_xlpm.r-MIN(ROW($BJ$15:$BJ$62))+1,_xlpm.f,INDEX($BM$15:$BM$62,_xlpm.p),_xlpm.u,INDEX($BN$15:$BN$62,_xlpm.p),_xlpm.s,INDEX($BP$15:$BP$62,_xlpm.p),_xlpm.q,N(AU300)/_xlpm.f,IF(_xlpm.q&gt;=_xlpm.s,ROUND(_xlpm.q,1)&amp;" "&amp;_xlpm.ai_test&amp;" = "&amp;ROUND(_xlpm.q*_xlpm.f,1)&amp;" "&amp;_xlpm.u,ROUND(_xlpm.q,1)&amp;" "&amp;_xlpm.ai_test)),""),""))))</f>
        <v>0</v>
      </c>
      <c r="AX300" s="6218"/>
      <c r="AY300" s="6271">
        <f t="shared" si="145"/>
        <v>0</v>
      </c>
      <c r="AZ300" s="6242" t="str">
        <f t="shared" si="146"/>
        <v/>
      </c>
      <c r="BA300" s="6194">
        <f t="shared" si="151"/>
        <v>0</v>
      </c>
      <c r="BB300" s="6192" t="str">
        <f t="shared" si="147"/>
        <v/>
      </c>
      <c r="BC300" s="6219"/>
      <c r="BD300" s="6221">
        <f t="shared" si="152"/>
        <v>0</v>
      </c>
      <c r="BE300" s="6220" t="str">
        <f t="shared" si="148"/>
        <v/>
      </c>
      <c r="BF300" s="4" t="s">
        <v>1</v>
      </c>
      <c r="BG300" s="6196">
        <f t="shared" si="149"/>
        <v>0</v>
      </c>
      <c r="BH300" s="6197">
        <f t="shared" si="150"/>
        <v>0</v>
      </c>
      <c r="BI300"/>
      <c r="BJ300" s="1"/>
      <c r="BK300" s="1"/>
      <c r="BL300" s="1"/>
      <c r="BM300" s="1"/>
      <c r="BN300" s="1"/>
      <c r="BO300" s="1"/>
      <c r="BP300" s="1"/>
      <c r="BQ300" s="1"/>
      <c r="BR300"/>
      <c r="BS300"/>
      <c r="BT300"/>
      <c r="BU300"/>
      <c r="BV300"/>
      <c r="BW300"/>
      <c r="BX300" s="20" t="str">
        <f t="shared" si="131"/>
        <v>►</v>
      </c>
      <c r="BY300"/>
      <c r="BZ300"/>
      <c r="CA300"/>
      <c r="CB300"/>
      <c r="CC300"/>
      <c r="CE300"/>
      <c r="CF300"/>
      <c r="CG300"/>
      <c r="CH300"/>
      <c r="CI300"/>
      <c r="CJ300"/>
      <c r="CK300"/>
      <c r="CM300"/>
      <c r="CN300"/>
      <c r="CO300"/>
      <c r="CP300"/>
      <c r="CQ300"/>
      <c r="CR300"/>
      <c r="CS300"/>
      <c r="CU300"/>
      <c r="CV300"/>
      <c r="CW300"/>
      <c r="CX300"/>
      <c r="CY300"/>
      <c r="CZ300"/>
      <c r="DA300"/>
      <c r="DC300" s="5">
        <v>1</v>
      </c>
      <c r="DD300" s="1"/>
      <c r="DE300" s="1"/>
    </row>
    <row r="301" spans="1:109" s="2" customFormat="1" ht="21" customHeight="1">
      <c r="A301" s="5641" t="s">
        <v>1</v>
      </c>
      <c r="B301" s="5662" t="str">
        <f t="shared" si="130"/>
        <v>►</v>
      </c>
      <c r="C301" s="5825" cm="1">
        <f t="array" ref="C301">SUMPRODUCT(LEN(D301:J301))</f>
        <v>0</v>
      </c>
      <c r="D301" s="5275"/>
      <c r="E301" s="1361"/>
      <c r="F301" s="1361"/>
      <c r="G301" s="1361"/>
      <c r="H301" s="1361"/>
      <c r="I301" s="1361"/>
      <c r="J301" s="5276"/>
      <c r="K301" s="106"/>
      <c r="L301" s="1021" t="s">
        <v>26</v>
      </c>
      <c r="M301" s="6787"/>
      <c r="N301" s="6787"/>
      <c r="O301" s="6787"/>
      <c r="P301" s="6788"/>
      <c r="Q301" s="6789"/>
      <c r="R301" s="6790"/>
      <c r="S301" s="6786"/>
      <c r="T301" s="6791"/>
      <c r="U301" s="6844"/>
      <c r="V301" s="6791"/>
      <c r="W301" s="6785"/>
      <c r="X301" s="6868"/>
      <c r="Y301" s="6793"/>
      <c r="Z301" s="6794"/>
      <c r="AA301" s="6795"/>
      <c r="AB301" s="6796"/>
      <c r="AC301" s="6797"/>
      <c r="AD301" s="6798"/>
      <c r="AE301" s="4" t="s">
        <v>1</v>
      </c>
      <c r="AF301" s="6202" t="str">
        <f t="shared" si="132"/>
        <v>►</v>
      </c>
      <c r="AG301" s="6234" t="str">
        <f t="shared" si="133"/>
        <v/>
      </c>
      <c r="AH301" s="6732" t="str">
        <f t="shared" si="134"/>
        <v/>
      </c>
      <c r="AI301" s="6234" t="str">
        <f t="shared" si="135"/>
        <v/>
      </c>
      <c r="AJ301" s="6732" t="str">
        <f t="shared" si="136"/>
        <v/>
      </c>
      <c r="AK301" s="6732">
        <f t="shared" si="137"/>
        <v>0</v>
      </c>
      <c r="AL301" s="6230" t="str" cm="1">
        <f t="array" ref="AL301">IF(AF301&lt;&gt;"A","",IFERROR((IFERROR(_xlfn.XLOOKUP(TRIM(SUBSTITUTE(U301,CHAR(160)," ")),$BJ$15:$BJ$62,$BM$15:$BM$62),IFERROR(_xlfn.XLOOKUP(TRIM(SUBSTITUTE(U301,CHAR(160)," ")),$BK$15:$BK$62,$BM$15:$BM$62),_xlfn.XLOOKUP(TRIM(SUBSTITUTE(U301,CHAR(160)," ")),$BL$15:$BL$62,$BM$15:$BM$62))))*T301*IF(ISBLANK(Q301),1,Q301)+IFERROR(_xlfn.XLOOKUP("RECHERCHEX",TRIM(L301:AD301),L301:AD301),0),0))</f>
        <v/>
      </c>
      <c r="AM301" s="6229">
        <f t="shared" si="138"/>
        <v>0</v>
      </c>
      <c r="AN301" s="6857" t="str">
        <f t="shared" si="153"/>
        <v/>
      </c>
      <c r="AO301" s="392">
        <f t="shared" si="139"/>
        <v>0</v>
      </c>
      <c r="AP301" s="392">
        <f t="shared" si="140"/>
        <v>0</v>
      </c>
      <c r="AQ301" s="6191">
        <f t="shared" si="141"/>
        <v>0</v>
      </c>
      <c r="AR301" s="6859" t="str">
        <f t="shared" si="142"/>
        <v/>
      </c>
      <c r="AS301" s="6217"/>
      <c r="AT301" s="6217"/>
      <c r="AU301" s="6272">
        <f t="shared" si="143"/>
        <v>0</v>
      </c>
      <c r="AV301" s="6240">
        <f t="shared" si="144"/>
        <v>0</v>
      </c>
      <c r="AW301" s="6189" cm="1">
        <f t="array" ref="AW301">IF(AK301&lt;&gt;1,0,IF(OR(AU301="",N(AU301)&lt;=0.000000001),"",IF(OR(AO301="",N(AO301)&lt;=0.000000001),0,IF(ISNUMBER(AU301),IFERROR(_xlfn.LET(_xlpm.ai_test,TRIM(AJ301),_xlpm.r,IFERROR(_xlfn.XLOOKUP(_xlpm.ai_test,$BJ$15:$BJ$62,ROW($BJ$15:$BJ$62),0,1),IFERROR(_xlfn.XLOOKUP(_xlpm.ai_test,$BK$15:$BK$62,ROW($BK$15:$BK$62),0,1),_xlfn.XLOOKUP(_xlpm.ai_test,$BL$15:$BL$62,ROW($BL$15:$BL$62),0,1))),_xlpm.p,_xlpm.r-MIN(ROW($BJ$15:$BJ$62))+1,_xlpm.f,INDEX($BM$15:$BM$62,_xlpm.p),_xlpm.u,INDEX($BN$15:$BN$62,_xlpm.p),_xlpm.s,INDEX($BP$15:$BP$62,_xlpm.p),_xlpm.q,N(AU301)/_xlpm.f,IF(_xlpm.q&gt;=_xlpm.s,ROUND(_xlpm.q,1)&amp;" "&amp;_xlpm.ai_test&amp;" = "&amp;ROUND(_xlpm.q*_xlpm.f,1)&amp;" "&amp;_xlpm.u,ROUND(_xlpm.q,1)&amp;" "&amp;_xlpm.ai_test)),""),""))))</f>
        <v>0</v>
      </c>
      <c r="AX301" s="6218"/>
      <c r="AY301" s="6272">
        <f t="shared" si="145"/>
        <v>0</v>
      </c>
      <c r="AZ301" s="6240" t="str">
        <f t="shared" si="146"/>
        <v/>
      </c>
      <c r="BA301" s="6195">
        <f t="shared" si="151"/>
        <v>0</v>
      </c>
      <c r="BB301" s="6193" t="str">
        <f t="shared" si="147"/>
        <v/>
      </c>
      <c r="BC301" s="6219"/>
      <c r="BD301" s="6222">
        <f t="shared" si="152"/>
        <v>0</v>
      </c>
      <c r="BE301" s="6220" t="str">
        <f t="shared" si="148"/>
        <v/>
      </c>
      <c r="BF301" s="4" t="s">
        <v>1</v>
      </c>
      <c r="BG301" s="6196">
        <f t="shared" si="149"/>
        <v>0</v>
      </c>
      <c r="BH301" s="6197">
        <f t="shared" si="150"/>
        <v>0</v>
      </c>
      <c r="BI301"/>
      <c r="BJ301" s="1"/>
      <c r="BK301" s="1"/>
      <c r="BL301" s="1"/>
      <c r="BM301" s="1"/>
      <c r="BN301" s="1"/>
      <c r="BO301" s="1"/>
      <c r="BP301" s="1"/>
      <c r="BQ301" s="1"/>
      <c r="BR301"/>
      <c r="BS301"/>
      <c r="BT301"/>
      <c r="BU301"/>
      <c r="BV301"/>
      <c r="BW301"/>
      <c r="BX301" s="20" t="str">
        <f t="shared" si="131"/>
        <v>►</v>
      </c>
      <c r="BY301"/>
      <c r="BZ301"/>
      <c r="CA301"/>
      <c r="CB301"/>
      <c r="CC301"/>
      <c r="CE301"/>
      <c r="CF301"/>
      <c r="CG301"/>
      <c r="CH301"/>
      <c r="CI301"/>
      <c r="CJ301"/>
      <c r="CK301"/>
      <c r="CM301"/>
      <c r="CN301"/>
      <c r="CO301"/>
      <c r="CP301"/>
      <c r="CQ301"/>
      <c r="CR301"/>
      <c r="CS301"/>
      <c r="CU301"/>
      <c r="CV301"/>
      <c r="CW301"/>
      <c r="CX301"/>
      <c r="CY301"/>
      <c r="CZ301"/>
      <c r="DA301"/>
      <c r="DC301" s="5">
        <v>1</v>
      </c>
      <c r="DD301" s="1"/>
      <c r="DE301" s="1"/>
    </row>
    <row r="302" spans="1:109" s="2" customFormat="1" ht="21" customHeight="1">
      <c r="A302" s="5641" t="s">
        <v>1</v>
      </c>
      <c r="B302" s="5662" t="str">
        <f t="shared" si="130"/>
        <v>►</v>
      </c>
      <c r="C302" s="5825" cm="1">
        <f t="array" ref="C302">SUMPRODUCT(LEN(D302:J302))</f>
        <v>0</v>
      </c>
      <c r="D302" s="5275"/>
      <c r="E302" s="1361"/>
      <c r="F302" s="1361"/>
      <c r="G302" s="1361"/>
      <c r="H302" s="1361"/>
      <c r="I302" s="1361"/>
      <c r="J302" s="5276"/>
      <c r="K302" s="106"/>
      <c r="L302" s="1021" t="s">
        <v>26</v>
      </c>
      <c r="M302" s="6787"/>
      <c r="N302" s="6787"/>
      <c r="O302" s="6787"/>
      <c r="P302" s="6788"/>
      <c r="Q302" s="6789"/>
      <c r="R302" s="6790"/>
      <c r="S302" s="6786"/>
      <c r="T302" s="6791"/>
      <c r="U302" s="6844"/>
      <c r="V302" s="6791"/>
      <c r="W302" s="6785"/>
      <c r="X302" s="6868"/>
      <c r="Y302" s="6793"/>
      <c r="Z302" s="6794"/>
      <c r="AA302" s="6795"/>
      <c r="AB302" s="6796"/>
      <c r="AC302" s="6797"/>
      <c r="AD302" s="6798"/>
      <c r="AE302" s="4" t="s">
        <v>1</v>
      </c>
      <c r="AF302" s="6202" t="str">
        <f t="shared" si="132"/>
        <v>►</v>
      </c>
      <c r="AG302" s="6234" t="str">
        <f t="shared" si="133"/>
        <v/>
      </c>
      <c r="AH302" s="6732" t="str">
        <f t="shared" si="134"/>
        <v/>
      </c>
      <c r="AI302" s="6234" t="str">
        <f t="shared" si="135"/>
        <v/>
      </c>
      <c r="AJ302" s="6732" t="str">
        <f t="shared" si="136"/>
        <v/>
      </c>
      <c r="AK302" s="6732">
        <f t="shared" si="137"/>
        <v>0</v>
      </c>
      <c r="AL302" s="6230" t="str" cm="1">
        <f t="array" ref="AL302">IF(AF302&lt;&gt;"A","",IFERROR((IFERROR(_xlfn.XLOOKUP(TRIM(SUBSTITUTE(U302,CHAR(160)," ")),$BJ$15:$BJ$62,$BM$15:$BM$62),IFERROR(_xlfn.XLOOKUP(TRIM(SUBSTITUTE(U302,CHAR(160)," ")),$BK$15:$BK$62,$BM$15:$BM$62),_xlfn.XLOOKUP(TRIM(SUBSTITUTE(U302,CHAR(160)," ")),$BL$15:$BL$62,$BM$15:$BM$62))))*T302*IF(ISBLANK(Q302),1,Q302)+IFERROR(_xlfn.XLOOKUP("RECHERCHEX",TRIM(L302:AD302),L302:AD302),0),0))</f>
        <v/>
      </c>
      <c r="AM302" s="6229">
        <f t="shared" si="138"/>
        <v>0</v>
      </c>
      <c r="AN302" s="6857" t="str">
        <f t="shared" si="153"/>
        <v/>
      </c>
      <c r="AO302" s="392">
        <f t="shared" si="139"/>
        <v>0</v>
      </c>
      <c r="AP302" s="392">
        <f t="shared" si="140"/>
        <v>0</v>
      </c>
      <c r="AQ302" s="6190">
        <f t="shared" si="141"/>
        <v>0</v>
      </c>
      <c r="AR302" s="6858" t="str">
        <f t="shared" si="142"/>
        <v/>
      </c>
      <c r="AS302" s="6217"/>
      <c r="AT302" s="6217"/>
      <c r="AU302" s="6271">
        <f t="shared" si="143"/>
        <v>0</v>
      </c>
      <c r="AV302" s="6242">
        <f t="shared" si="144"/>
        <v>0</v>
      </c>
      <c r="AW302" s="6188" cm="1">
        <f t="array" ref="AW302">IF(AK302&lt;&gt;1,0,IF(OR(AU302="",N(AU302)&lt;=0.000000001),"",IF(OR(AO302="",N(AO302)&lt;=0.000000001),0,IF(ISNUMBER(AU302),IFERROR(_xlfn.LET(_xlpm.ai_test,TRIM(AJ302),_xlpm.r,IFERROR(_xlfn.XLOOKUP(_xlpm.ai_test,$BJ$15:$BJ$62,ROW($BJ$15:$BJ$62),0,1),IFERROR(_xlfn.XLOOKUP(_xlpm.ai_test,$BK$15:$BK$62,ROW($BK$15:$BK$62),0,1),_xlfn.XLOOKUP(_xlpm.ai_test,$BL$15:$BL$62,ROW($BL$15:$BL$62),0,1))),_xlpm.p,_xlpm.r-MIN(ROW($BJ$15:$BJ$62))+1,_xlpm.f,INDEX($BM$15:$BM$62,_xlpm.p),_xlpm.u,INDEX($BN$15:$BN$62,_xlpm.p),_xlpm.s,INDEX($BP$15:$BP$62,_xlpm.p),_xlpm.q,N(AU302)/_xlpm.f,IF(_xlpm.q&gt;=_xlpm.s,ROUND(_xlpm.q,1)&amp;" "&amp;_xlpm.ai_test&amp;" = "&amp;ROUND(_xlpm.q*_xlpm.f,1)&amp;" "&amp;_xlpm.u,ROUND(_xlpm.q,1)&amp;" "&amp;_xlpm.ai_test)),""),""))))</f>
        <v>0</v>
      </c>
      <c r="AX302" s="6218"/>
      <c r="AY302" s="6271">
        <f t="shared" si="145"/>
        <v>0</v>
      </c>
      <c r="AZ302" s="6242" t="str">
        <f t="shared" si="146"/>
        <v/>
      </c>
      <c r="BA302" s="6194">
        <f t="shared" si="151"/>
        <v>0</v>
      </c>
      <c r="BB302" s="6192" t="str">
        <f t="shared" si="147"/>
        <v/>
      </c>
      <c r="BC302" s="6219"/>
      <c r="BD302" s="6221">
        <f t="shared" si="152"/>
        <v>0</v>
      </c>
      <c r="BE302" s="6220" t="str">
        <f t="shared" si="148"/>
        <v/>
      </c>
      <c r="BF302" s="4" t="s">
        <v>1</v>
      </c>
      <c r="BG302" s="6196">
        <f t="shared" si="149"/>
        <v>0</v>
      </c>
      <c r="BH302" s="6197">
        <f t="shared" si="150"/>
        <v>0</v>
      </c>
      <c r="BI302"/>
      <c r="BJ302" s="1"/>
      <c r="BK302" s="1"/>
      <c r="BL302" s="1"/>
      <c r="BM302" s="1"/>
      <c r="BN302" s="1"/>
      <c r="BO302" s="1"/>
      <c r="BP302" s="1"/>
      <c r="BQ302" s="1"/>
      <c r="BR302"/>
      <c r="BS302"/>
      <c r="BT302"/>
      <c r="BU302"/>
      <c r="BV302"/>
      <c r="BW302"/>
      <c r="BX302" s="20" t="str">
        <f t="shared" si="131"/>
        <v>►</v>
      </c>
      <c r="BY302"/>
      <c r="BZ302"/>
      <c r="CA302"/>
      <c r="CB302"/>
      <c r="CC302"/>
      <c r="CE302"/>
      <c r="CF302"/>
      <c r="CG302"/>
      <c r="CH302"/>
      <c r="CI302"/>
      <c r="CJ302"/>
      <c r="CK302"/>
      <c r="CM302"/>
      <c r="CN302"/>
      <c r="CO302"/>
      <c r="CP302"/>
      <c r="CQ302"/>
      <c r="CR302"/>
      <c r="CS302"/>
      <c r="CU302"/>
      <c r="CV302"/>
      <c r="CW302"/>
      <c r="CX302"/>
      <c r="CY302"/>
      <c r="CZ302"/>
      <c r="DA302"/>
      <c r="DC302" s="5">
        <v>1</v>
      </c>
      <c r="DD302" s="1"/>
      <c r="DE302" s="1"/>
    </row>
    <row r="303" spans="1:109" s="2" customFormat="1" ht="21" customHeight="1">
      <c r="A303" s="5641" t="s">
        <v>1</v>
      </c>
      <c r="B303" s="5662" t="str">
        <f t="shared" si="130"/>
        <v>►</v>
      </c>
      <c r="C303" s="5825" cm="1">
        <f t="array" ref="C303">SUMPRODUCT(LEN(D303:J303))</f>
        <v>0</v>
      </c>
      <c r="D303" s="5275"/>
      <c r="E303" s="1361"/>
      <c r="F303" s="1361"/>
      <c r="G303" s="1361"/>
      <c r="H303" s="1361"/>
      <c r="I303" s="1361"/>
      <c r="J303" s="5276"/>
      <c r="K303" s="106"/>
      <c r="L303" s="1021" t="s">
        <v>26</v>
      </c>
      <c r="M303" s="6787"/>
      <c r="N303" s="6787"/>
      <c r="O303" s="6787"/>
      <c r="P303" s="6788"/>
      <c r="Q303" s="6789"/>
      <c r="R303" s="6790"/>
      <c r="S303" s="6786"/>
      <c r="T303" s="6791"/>
      <c r="U303" s="6844"/>
      <c r="V303" s="6791"/>
      <c r="W303" s="6785"/>
      <c r="X303" s="6868"/>
      <c r="Y303" s="6793"/>
      <c r="Z303" s="6794"/>
      <c r="AA303" s="6795"/>
      <c r="AB303" s="6796"/>
      <c r="AC303" s="6797"/>
      <c r="AD303" s="6798"/>
      <c r="AE303" s="4" t="s">
        <v>1</v>
      </c>
      <c r="AF303" s="6202" t="str">
        <f t="shared" si="132"/>
        <v>►</v>
      </c>
      <c r="AG303" s="6234" t="str">
        <f t="shared" si="133"/>
        <v/>
      </c>
      <c r="AH303" s="6732" t="str">
        <f t="shared" si="134"/>
        <v/>
      </c>
      <c r="AI303" s="6234" t="str">
        <f t="shared" si="135"/>
        <v/>
      </c>
      <c r="AJ303" s="6732" t="str">
        <f t="shared" si="136"/>
        <v/>
      </c>
      <c r="AK303" s="6732">
        <f t="shared" si="137"/>
        <v>0</v>
      </c>
      <c r="AL303" s="6230" t="str" cm="1">
        <f t="array" ref="AL303">IF(AF303&lt;&gt;"A","",IFERROR((IFERROR(_xlfn.XLOOKUP(TRIM(SUBSTITUTE(U303,CHAR(160)," ")),$BJ$15:$BJ$62,$BM$15:$BM$62),IFERROR(_xlfn.XLOOKUP(TRIM(SUBSTITUTE(U303,CHAR(160)," ")),$BK$15:$BK$62,$BM$15:$BM$62),_xlfn.XLOOKUP(TRIM(SUBSTITUTE(U303,CHAR(160)," ")),$BL$15:$BL$62,$BM$15:$BM$62))))*T303*IF(ISBLANK(Q303),1,Q303)+IFERROR(_xlfn.XLOOKUP("RECHERCHEX",TRIM(L303:AD303),L303:AD303),0),0))</f>
        <v/>
      </c>
      <c r="AM303" s="6229">
        <f t="shared" si="138"/>
        <v>0</v>
      </c>
      <c r="AN303" s="6857" t="str">
        <f t="shared" si="153"/>
        <v/>
      </c>
      <c r="AO303" s="392">
        <f t="shared" si="139"/>
        <v>0</v>
      </c>
      <c r="AP303" s="392">
        <f t="shared" si="140"/>
        <v>0</v>
      </c>
      <c r="AQ303" s="6191">
        <f t="shared" si="141"/>
        <v>0</v>
      </c>
      <c r="AR303" s="6859" t="str">
        <f t="shared" si="142"/>
        <v/>
      </c>
      <c r="AS303" s="6217"/>
      <c r="AT303" s="6217"/>
      <c r="AU303" s="6272">
        <f t="shared" si="143"/>
        <v>0</v>
      </c>
      <c r="AV303" s="6240">
        <f t="shared" si="144"/>
        <v>0</v>
      </c>
      <c r="AW303" s="6189" cm="1">
        <f t="array" ref="AW303">IF(AK303&lt;&gt;1,0,IF(OR(AU303="",N(AU303)&lt;=0.000000001),"",IF(OR(AO303="",N(AO303)&lt;=0.000000001),0,IF(ISNUMBER(AU303),IFERROR(_xlfn.LET(_xlpm.ai_test,TRIM(AJ303),_xlpm.r,IFERROR(_xlfn.XLOOKUP(_xlpm.ai_test,$BJ$15:$BJ$62,ROW($BJ$15:$BJ$62),0,1),IFERROR(_xlfn.XLOOKUP(_xlpm.ai_test,$BK$15:$BK$62,ROW($BK$15:$BK$62),0,1),_xlfn.XLOOKUP(_xlpm.ai_test,$BL$15:$BL$62,ROW($BL$15:$BL$62),0,1))),_xlpm.p,_xlpm.r-MIN(ROW($BJ$15:$BJ$62))+1,_xlpm.f,INDEX($BM$15:$BM$62,_xlpm.p),_xlpm.u,INDEX($BN$15:$BN$62,_xlpm.p),_xlpm.s,INDEX($BP$15:$BP$62,_xlpm.p),_xlpm.q,N(AU303)/_xlpm.f,IF(_xlpm.q&gt;=_xlpm.s,ROUND(_xlpm.q,1)&amp;" "&amp;_xlpm.ai_test&amp;" = "&amp;ROUND(_xlpm.q*_xlpm.f,1)&amp;" "&amp;_xlpm.u,ROUND(_xlpm.q,1)&amp;" "&amp;_xlpm.ai_test)),""),""))))</f>
        <v>0</v>
      </c>
      <c r="AX303" s="6218"/>
      <c r="AY303" s="6272">
        <f t="shared" si="145"/>
        <v>0</v>
      </c>
      <c r="AZ303" s="6240" t="str">
        <f t="shared" si="146"/>
        <v/>
      </c>
      <c r="BA303" s="6195">
        <f t="shared" si="151"/>
        <v>0</v>
      </c>
      <c r="BB303" s="6193" t="str">
        <f t="shared" si="147"/>
        <v/>
      </c>
      <c r="BC303" s="6219"/>
      <c r="BD303" s="6222">
        <f t="shared" si="152"/>
        <v>0</v>
      </c>
      <c r="BE303" s="6220" t="str">
        <f t="shared" si="148"/>
        <v/>
      </c>
      <c r="BF303" s="4" t="s">
        <v>1</v>
      </c>
      <c r="BG303" s="6196">
        <f t="shared" si="149"/>
        <v>0</v>
      </c>
      <c r="BH303" s="6197">
        <f t="shared" si="150"/>
        <v>0</v>
      </c>
      <c r="BI303"/>
      <c r="BJ303" s="1"/>
      <c r="BK303" s="1"/>
      <c r="BL303" s="1"/>
      <c r="BM303" s="1"/>
      <c r="BN303" s="1"/>
      <c r="BO303" s="1"/>
      <c r="BP303" s="1"/>
      <c r="BQ303" s="1"/>
      <c r="BR303"/>
      <c r="BS303"/>
      <c r="BT303"/>
      <c r="BU303"/>
      <c r="BV303"/>
      <c r="BW303"/>
      <c r="BX303" s="20" t="str">
        <f t="shared" si="131"/>
        <v>►</v>
      </c>
      <c r="BY303"/>
      <c r="BZ303"/>
      <c r="CA303"/>
      <c r="CB303"/>
      <c r="CC303"/>
      <c r="CE303"/>
      <c r="CF303"/>
      <c r="CG303"/>
      <c r="CH303"/>
      <c r="CI303"/>
      <c r="CJ303"/>
      <c r="CK303"/>
      <c r="CM303"/>
      <c r="CN303"/>
      <c r="CO303"/>
      <c r="CP303"/>
      <c r="CQ303"/>
      <c r="CR303"/>
      <c r="CS303"/>
      <c r="CU303"/>
      <c r="CV303"/>
      <c r="CW303"/>
      <c r="CX303"/>
      <c r="CY303"/>
      <c r="CZ303"/>
      <c r="DA303"/>
      <c r="DC303" s="5">
        <v>1</v>
      </c>
      <c r="DD303" s="1"/>
      <c r="DE303" s="1"/>
    </row>
    <row r="304" spans="1:109" s="2" customFormat="1" ht="21" customHeight="1">
      <c r="A304" s="5641" t="s">
        <v>1</v>
      </c>
      <c r="B304" s="5662" t="str">
        <f t="shared" si="130"/>
        <v>►</v>
      </c>
      <c r="C304" s="5825" cm="1">
        <f t="array" ref="C304">SUMPRODUCT(LEN(D304:J304))</f>
        <v>0</v>
      </c>
      <c r="D304" s="5275"/>
      <c r="E304" s="1361"/>
      <c r="F304" s="1361"/>
      <c r="G304" s="1361"/>
      <c r="H304" s="1361"/>
      <c r="I304" s="1361"/>
      <c r="J304" s="5276"/>
      <c r="K304" s="106"/>
      <c r="L304" s="1021" t="s">
        <v>26</v>
      </c>
      <c r="M304" s="6787"/>
      <c r="N304" s="6787"/>
      <c r="O304" s="6787"/>
      <c r="P304" s="6788"/>
      <c r="Q304" s="6789"/>
      <c r="R304" s="6790"/>
      <c r="S304" s="6786"/>
      <c r="T304" s="6791"/>
      <c r="U304" s="6844"/>
      <c r="V304" s="6791"/>
      <c r="W304" s="6785"/>
      <c r="X304" s="6868"/>
      <c r="Y304" s="6793"/>
      <c r="Z304" s="6794"/>
      <c r="AA304" s="6795"/>
      <c r="AB304" s="6796"/>
      <c r="AC304" s="6797"/>
      <c r="AD304" s="6798"/>
      <c r="AE304" s="4" t="s">
        <v>1</v>
      </c>
      <c r="AF304" s="6202" t="str">
        <f t="shared" si="132"/>
        <v>►</v>
      </c>
      <c r="AG304" s="6234" t="str">
        <f t="shared" si="133"/>
        <v/>
      </c>
      <c r="AH304" s="6732" t="str">
        <f t="shared" si="134"/>
        <v/>
      </c>
      <c r="AI304" s="6234" t="str">
        <f t="shared" si="135"/>
        <v/>
      </c>
      <c r="AJ304" s="6732" t="str">
        <f t="shared" si="136"/>
        <v/>
      </c>
      <c r="AK304" s="6732">
        <f t="shared" si="137"/>
        <v>0</v>
      </c>
      <c r="AL304" s="6230" t="str" cm="1">
        <f t="array" ref="AL304">IF(AF304&lt;&gt;"A","",IFERROR((IFERROR(_xlfn.XLOOKUP(TRIM(SUBSTITUTE(U304,CHAR(160)," ")),$BJ$15:$BJ$62,$BM$15:$BM$62),IFERROR(_xlfn.XLOOKUP(TRIM(SUBSTITUTE(U304,CHAR(160)," ")),$BK$15:$BK$62,$BM$15:$BM$62),_xlfn.XLOOKUP(TRIM(SUBSTITUTE(U304,CHAR(160)," ")),$BL$15:$BL$62,$BM$15:$BM$62))))*T304*IF(ISBLANK(Q304),1,Q304)+IFERROR(_xlfn.XLOOKUP("RECHERCHEX",TRIM(L304:AD304),L304:AD304),0),0))</f>
        <v/>
      </c>
      <c r="AM304" s="6229">
        <f t="shared" si="138"/>
        <v>0</v>
      </c>
      <c r="AN304" s="6857" t="str">
        <f t="shared" si="153"/>
        <v/>
      </c>
      <c r="AO304" s="392">
        <f t="shared" si="139"/>
        <v>0</v>
      </c>
      <c r="AP304" s="392">
        <f t="shared" si="140"/>
        <v>0</v>
      </c>
      <c r="AQ304" s="6190">
        <f t="shared" si="141"/>
        <v>0</v>
      </c>
      <c r="AR304" s="6858" t="str">
        <f t="shared" si="142"/>
        <v/>
      </c>
      <c r="AS304" s="6217"/>
      <c r="AT304" s="6217"/>
      <c r="AU304" s="6271">
        <f t="shared" si="143"/>
        <v>0</v>
      </c>
      <c r="AV304" s="6242">
        <f t="shared" si="144"/>
        <v>0</v>
      </c>
      <c r="AW304" s="6188" cm="1">
        <f t="array" ref="AW304">IF(AK304&lt;&gt;1,0,IF(OR(AU304="",N(AU304)&lt;=0.000000001),"",IF(OR(AO304="",N(AO304)&lt;=0.000000001),0,IF(ISNUMBER(AU304),IFERROR(_xlfn.LET(_xlpm.ai_test,TRIM(AJ304),_xlpm.r,IFERROR(_xlfn.XLOOKUP(_xlpm.ai_test,$BJ$15:$BJ$62,ROW($BJ$15:$BJ$62),0,1),IFERROR(_xlfn.XLOOKUP(_xlpm.ai_test,$BK$15:$BK$62,ROW($BK$15:$BK$62),0,1),_xlfn.XLOOKUP(_xlpm.ai_test,$BL$15:$BL$62,ROW($BL$15:$BL$62),0,1))),_xlpm.p,_xlpm.r-MIN(ROW($BJ$15:$BJ$62))+1,_xlpm.f,INDEX($BM$15:$BM$62,_xlpm.p),_xlpm.u,INDEX($BN$15:$BN$62,_xlpm.p),_xlpm.s,INDEX($BP$15:$BP$62,_xlpm.p),_xlpm.q,N(AU304)/_xlpm.f,IF(_xlpm.q&gt;=_xlpm.s,ROUND(_xlpm.q,1)&amp;" "&amp;_xlpm.ai_test&amp;" = "&amp;ROUND(_xlpm.q*_xlpm.f,1)&amp;" "&amp;_xlpm.u,ROUND(_xlpm.q,1)&amp;" "&amp;_xlpm.ai_test)),""),""))))</f>
        <v>0</v>
      </c>
      <c r="AX304" s="6218"/>
      <c r="AY304" s="6271">
        <f t="shared" si="145"/>
        <v>0</v>
      </c>
      <c r="AZ304" s="6242" t="str">
        <f t="shared" si="146"/>
        <v/>
      </c>
      <c r="BA304" s="6194">
        <f t="shared" si="151"/>
        <v>0</v>
      </c>
      <c r="BB304" s="6192" t="str">
        <f t="shared" si="147"/>
        <v/>
      </c>
      <c r="BC304" s="6219"/>
      <c r="BD304" s="6221">
        <f t="shared" si="152"/>
        <v>0</v>
      </c>
      <c r="BE304" s="6220" t="str">
        <f t="shared" si="148"/>
        <v/>
      </c>
      <c r="BF304" s="4" t="s">
        <v>1</v>
      </c>
      <c r="BG304" s="6196">
        <f t="shared" si="149"/>
        <v>0</v>
      </c>
      <c r="BH304" s="6197">
        <f t="shared" si="150"/>
        <v>0</v>
      </c>
      <c r="BI304"/>
      <c r="BJ304" s="1"/>
      <c r="BK304" s="1"/>
      <c r="BL304" s="1"/>
      <c r="BM304" s="1"/>
      <c r="BN304" s="1"/>
      <c r="BO304" s="1"/>
      <c r="BP304" s="1"/>
      <c r="BQ304" s="1"/>
      <c r="BR304"/>
      <c r="BS304"/>
      <c r="BT304"/>
      <c r="BU304"/>
      <c r="BV304"/>
      <c r="BW304"/>
      <c r="BX304" s="20" t="str">
        <f t="shared" si="131"/>
        <v>►</v>
      </c>
      <c r="BY304"/>
      <c r="BZ304"/>
      <c r="CA304"/>
      <c r="CB304"/>
      <c r="CC304"/>
      <c r="CE304"/>
      <c r="CF304"/>
      <c r="CG304"/>
      <c r="CH304"/>
      <c r="CI304"/>
      <c r="CJ304"/>
      <c r="CK304"/>
      <c r="CM304"/>
      <c r="CN304"/>
      <c r="CO304"/>
      <c r="CP304"/>
      <c r="CQ304"/>
      <c r="CR304"/>
      <c r="CS304"/>
      <c r="CU304"/>
      <c r="CV304"/>
      <c r="CW304"/>
      <c r="CX304"/>
      <c r="CY304"/>
      <c r="CZ304"/>
      <c r="DA304"/>
      <c r="DC304" s="5">
        <v>1</v>
      </c>
      <c r="DD304" s="1"/>
      <c r="DE304" s="1"/>
    </row>
    <row r="305" spans="1:109" s="2" customFormat="1" ht="21" customHeight="1">
      <c r="A305" s="5641" t="s">
        <v>1</v>
      </c>
      <c r="B305" s="6123">
        <v>3</v>
      </c>
      <c r="C305" s="6123">
        <v>9</v>
      </c>
      <c r="D305" s="6123">
        <v>12</v>
      </c>
      <c r="E305" s="6123">
        <v>12</v>
      </c>
      <c r="F305" s="6123">
        <v>3</v>
      </c>
      <c r="G305" s="6123">
        <v>9</v>
      </c>
      <c r="H305" s="6123">
        <v>12</v>
      </c>
      <c r="I305" s="6123">
        <v>13</v>
      </c>
      <c r="J305" s="6123">
        <v>40</v>
      </c>
      <c r="K305" s="106" t="s">
        <v>1</v>
      </c>
      <c r="L305" s="1021" t="s">
        <v>26</v>
      </c>
      <c r="M305" s="6787"/>
      <c r="N305" s="6787"/>
      <c r="O305" s="6787"/>
      <c r="P305" s="6788"/>
      <c r="Q305" s="6789"/>
      <c r="R305" s="6790"/>
      <c r="S305" s="6786"/>
      <c r="T305" s="6791"/>
      <c r="U305" s="6844"/>
      <c r="V305" s="6791"/>
      <c r="W305" s="6785"/>
      <c r="X305" s="6868"/>
      <c r="Y305" s="6793"/>
      <c r="Z305" s="6794"/>
      <c r="AA305" s="6795"/>
      <c r="AB305" s="6796"/>
      <c r="AC305" s="6797"/>
      <c r="AD305" s="6798"/>
      <c r="AE305" s="4" t="s">
        <v>1</v>
      </c>
      <c r="AF305" s="6202" t="str">
        <f t="shared" si="132"/>
        <v>►</v>
      </c>
      <c r="AG305" s="6234" t="str">
        <f t="shared" si="133"/>
        <v/>
      </c>
      <c r="AH305" s="6732" t="str">
        <f t="shared" si="134"/>
        <v/>
      </c>
      <c r="AI305" s="6234" t="str">
        <f t="shared" si="135"/>
        <v/>
      </c>
      <c r="AJ305" s="6732" t="str">
        <f t="shared" si="136"/>
        <v/>
      </c>
      <c r="AK305" s="6732">
        <f t="shared" si="137"/>
        <v>0</v>
      </c>
      <c r="AL305" s="6230" t="str" cm="1">
        <f t="array" ref="AL305">IF(AF305&lt;&gt;"A","",IFERROR((IFERROR(_xlfn.XLOOKUP(TRIM(SUBSTITUTE(U305,CHAR(160)," ")),$BJ$15:$BJ$62,$BM$15:$BM$62),IFERROR(_xlfn.XLOOKUP(TRIM(SUBSTITUTE(U305,CHAR(160)," ")),$BK$15:$BK$62,$BM$15:$BM$62),_xlfn.XLOOKUP(TRIM(SUBSTITUTE(U305,CHAR(160)," ")),$BL$15:$BL$62,$BM$15:$BM$62))))*T305*IF(ISBLANK(Q305),1,Q305)+IFERROR(_xlfn.XLOOKUP("RECHERCHEX",TRIM(L305:AD305),L305:AD305),0),0))</f>
        <v/>
      </c>
      <c r="AM305" s="6229">
        <f t="shared" si="138"/>
        <v>0</v>
      </c>
      <c r="AN305" s="6857" t="str">
        <f t="shared" si="153"/>
        <v/>
      </c>
      <c r="AO305" s="392">
        <f t="shared" si="139"/>
        <v>0</v>
      </c>
      <c r="AP305" s="392">
        <f t="shared" si="140"/>
        <v>0</v>
      </c>
      <c r="AQ305" s="6191">
        <f t="shared" si="141"/>
        <v>0</v>
      </c>
      <c r="AR305" s="6859" t="str">
        <f t="shared" si="142"/>
        <v/>
      </c>
      <c r="AS305" s="6217"/>
      <c r="AT305" s="6217"/>
      <c r="AU305" s="6272">
        <f t="shared" si="143"/>
        <v>0</v>
      </c>
      <c r="AV305" s="6240">
        <f t="shared" si="144"/>
        <v>0</v>
      </c>
      <c r="AW305" s="6189" cm="1">
        <f t="array" ref="AW305">IF(AK305&lt;&gt;1,0,IF(OR(AU305="",N(AU305)&lt;=0.000000001),"",IF(OR(AO305="",N(AO305)&lt;=0.000000001),0,IF(ISNUMBER(AU305),IFERROR(_xlfn.LET(_xlpm.ai_test,TRIM(AJ305),_xlpm.r,IFERROR(_xlfn.XLOOKUP(_xlpm.ai_test,$BJ$15:$BJ$62,ROW($BJ$15:$BJ$62),0,1),IFERROR(_xlfn.XLOOKUP(_xlpm.ai_test,$BK$15:$BK$62,ROW($BK$15:$BK$62),0,1),_xlfn.XLOOKUP(_xlpm.ai_test,$BL$15:$BL$62,ROW($BL$15:$BL$62),0,1))),_xlpm.p,_xlpm.r-MIN(ROW($BJ$15:$BJ$62))+1,_xlpm.f,INDEX($BM$15:$BM$62,_xlpm.p),_xlpm.u,INDEX($BN$15:$BN$62,_xlpm.p),_xlpm.s,INDEX($BP$15:$BP$62,_xlpm.p),_xlpm.q,N(AU305)/_xlpm.f,IF(_xlpm.q&gt;=_xlpm.s,ROUND(_xlpm.q,1)&amp;" "&amp;_xlpm.ai_test&amp;" = "&amp;ROUND(_xlpm.q*_xlpm.f,1)&amp;" "&amp;_xlpm.u,ROUND(_xlpm.q,1)&amp;" "&amp;_xlpm.ai_test)),""),""))))</f>
        <v>0</v>
      </c>
      <c r="AX305" s="6218"/>
      <c r="AY305" s="6272">
        <f t="shared" si="145"/>
        <v>0</v>
      </c>
      <c r="AZ305" s="6240" t="str">
        <f t="shared" si="146"/>
        <v/>
      </c>
      <c r="BA305" s="6195">
        <f t="shared" si="151"/>
        <v>0</v>
      </c>
      <c r="BB305" s="6193" t="str">
        <f t="shared" si="147"/>
        <v/>
      </c>
      <c r="BC305" s="6219"/>
      <c r="BD305" s="6222">
        <f t="shared" si="152"/>
        <v>0</v>
      </c>
      <c r="BE305" s="6220" t="str">
        <f t="shared" si="148"/>
        <v/>
      </c>
      <c r="BF305" s="4" t="s">
        <v>1</v>
      </c>
      <c r="BG305" s="6196">
        <f t="shared" si="149"/>
        <v>0</v>
      </c>
      <c r="BH305" s="6197">
        <f t="shared" si="150"/>
        <v>0</v>
      </c>
      <c r="BI305"/>
      <c r="BJ305" s="1"/>
      <c r="BK305" s="1"/>
      <c r="BL305" s="1"/>
      <c r="BM305" s="1"/>
      <c r="BN305" s="1"/>
      <c r="BO305" s="1"/>
      <c r="BP305" s="1"/>
      <c r="BQ305" s="1"/>
      <c r="BR305"/>
      <c r="BS305"/>
      <c r="BT305"/>
      <c r="BU305"/>
      <c r="BV305"/>
      <c r="BW305"/>
      <c r="BX305" s="20" t="str">
        <f t="shared" si="131"/>
        <v>►</v>
      </c>
      <c r="BY305"/>
      <c r="BZ305"/>
      <c r="CA305"/>
      <c r="CB305"/>
      <c r="CC305"/>
      <c r="CE305"/>
      <c r="CF305"/>
      <c r="CG305"/>
      <c r="CH305"/>
      <c r="CI305"/>
      <c r="CJ305"/>
      <c r="CK305"/>
      <c r="CM305"/>
      <c r="CN305"/>
      <c r="CO305"/>
      <c r="CP305"/>
      <c r="CQ305"/>
      <c r="CR305"/>
      <c r="CS305"/>
      <c r="CU305"/>
      <c r="CV305"/>
      <c r="CW305"/>
      <c r="CX305"/>
      <c r="CY305"/>
      <c r="CZ305"/>
      <c r="DA305"/>
      <c r="DC305" s="5">
        <v>1</v>
      </c>
      <c r="DD305" s="1"/>
      <c r="DE305" s="1"/>
    </row>
    <row r="306" spans="1:109" s="2" customFormat="1" ht="21" customHeight="1" thickBot="1">
      <c r="A306" s="5641" t="s">
        <v>1</v>
      </c>
      <c r="B306" s="441" t="str">
        <f>L306</f>
        <v>►</v>
      </c>
      <c r="C306" s="441">
        <f t="shared" ref="C306:J306" ca="1" si="154">CELL("largeur",C306)</f>
        <v>9</v>
      </c>
      <c r="D306" s="441">
        <f t="shared" ca="1" si="154"/>
        <v>12</v>
      </c>
      <c r="E306" s="441">
        <f t="shared" ca="1" si="154"/>
        <v>12</v>
      </c>
      <c r="F306" s="441">
        <f t="shared" ca="1" si="154"/>
        <v>3</v>
      </c>
      <c r="G306" s="441">
        <f t="shared" ca="1" si="154"/>
        <v>9</v>
      </c>
      <c r="H306" s="441">
        <f t="shared" ca="1" si="154"/>
        <v>12</v>
      </c>
      <c r="I306" s="441">
        <f t="shared" ca="1" si="154"/>
        <v>13</v>
      </c>
      <c r="J306" s="441">
        <f t="shared" ca="1" si="154"/>
        <v>40</v>
      </c>
      <c r="K306" s="106" t="s">
        <v>1</v>
      </c>
      <c r="L306" s="1021" t="s">
        <v>26</v>
      </c>
      <c r="M306" s="6787"/>
      <c r="N306" s="6787"/>
      <c r="O306" s="6787"/>
      <c r="P306" s="6788"/>
      <c r="Q306" s="6789"/>
      <c r="R306" s="6790"/>
      <c r="S306" s="6786"/>
      <c r="T306" s="6791"/>
      <c r="U306" s="6844"/>
      <c r="V306" s="6791"/>
      <c r="W306" s="6785"/>
      <c r="X306" s="6868"/>
      <c r="Y306" s="6793"/>
      <c r="Z306" s="6794"/>
      <c r="AA306" s="6795"/>
      <c r="AB306" s="6796"/>
      <c r="AC306" s="6797"/>
      <c r="AD306" s="6798"/>
      <c r="AE306" s="4" t="s">
        <v>1</v>
      </c>
      <c r="AF306" s="6202" t="str">
        <f t="shared" si="132"/>
        <v>►</v>
      </c>
      <c r="AG306" s="6234" t="str">
        <f t="shared" si="133"/>
        <v/>
      </c>
      <c r="AH306" s="6732" t="str">
        <f t="shared" si="134"/>
        <v/>
      </c>
      <c r="AI306" s="6234" t="str">
        <f t="shared" si="135"/>
        <v/>
      </c>
      <c r="AJ306" s="6732" t="str">
        <f t="shared" si="136"/>
        <v/>
      </c>
      <c r="AK306" s="6732">
        <f t="shared" si="137"/>
        <v>0</v>
      </c>
      <c r="AL306" s="6230" t="str" cm="1">
        <f t="array" ref="AL306">IF(AF306&lt;&gt;"A","",IFERROR((IFERROR(_xlfn.XLOOKUP(TRIM(SUBSTITUTE(U306,CHAR(160)," ")),$BJ$15:$BJ$62,$BM$15:$BM$62),IFERROR(_xlfn.XLOOKUP(TRIM(SUBSTITUTE(U306,CHAR(160)," ")),$BK$15:$BK$62,$BM$15:$BM$62),_xlfn.XLOOKUP(TRIM(SUBSTITUTE(U306,CHAR(160)," ")),$BL$15:$BL$62,$BM$15:$BM$62))))*T306*IF(ISBLANK(Q306),1,Q306)+IFERROR(_xlfn.XLOOKUP("RECHERCHEX",TRIM(L306:AD306),L306:AD306),0),0))</f>
        <v/>
      </c>
      <c r="AM306" s="6229">
        <f t="shared" si="138"/>
        <v>0</v>
      </c>
      <c r="AN306" s="6857" t="str">
        <f t="shared" si="153"/>
        <v/>
      </c>
      <c r="AO306" s="392">
        <f t="shared" si="139"/>
        <v>0</v>
      </c>
      <c r="AP306" s="392">
        <f t="shared" si="140"/>
        <v>0</v>
      </c>
      <c r="AQ306" s="6190">
        <f t="shared" si="141"/>
        <v>0</v>
      </c>
      <c r="AR306" s="6858" t="str">
        <f t="shared" si="142"/>
        <v/>
      </c>
      <c r="AS306" s="6217"/>
      <c r="AT306" s="6217"/>
      <c r="AU306" s="6271">
        <f t="shared" si="143"/>
        <v>0</v>
      </c>
      <c r="AV306" s="6242">
        <f t="shared" si="144"/>
        <v>0</v>
      </c>
      <c r="AW306" s="6188" cm="1">
        <f t="array" ref="AW306">IF(AK306&lt;&gt;1,0,IF(OR(AU306="",N(AU306)&lt;=0.000000001),"",IF(OR(AO306="",N(AO306)&lt;=0.000000001),0,IF(ISNUMBER(AU306),IFERROR(_xlfn.LET(_xlpm.ai_test,TRIM(AJ306),_xlpm.r,IFERROR(_xlfn.XLOOKUP(_xlpm.ai_test,$BJ$15:$BJ$62,ROW($BJ$15:$BJ$62),0,1),IFERROR(_xlfn.XLOOKUP(_xlpm.ai_test,$BK$15:$BK$62,ROW($BK$15:$BK$62),0,1),_xlfn.XLOOKUP(_xlpm.ai_test,$BL$15:$BL$62,ROW($BL$15:$BL$62),0,1))),_xlpm.p,_xlpm.r-MIN(ROW($BJ$15:$BJ$62))+1,_xlpm.f,INDEX($BM$15:$BM$62,_xlpm.p),_xlpm.u,INDEX($BN$15:$BN$62,_xlpm.p),_xlpm.s,INDEX($BP$15:$BP$62,_xlpm.p),_xlpm.q,N(AU306)/_xlpm.f,IF(_xlpm.q&gt;=_xlpm.s,ROUND(_xlpm.q,1)&amp;" "&amp;_xlpm.ai_test&amp;" = "&amp;ROUND(_xlpm.q*_xlpm.f,1)&amp;" "&amp;_xlpm.u,ROUND(_xlpm.q,1)&amp;" "&amp;_xlpm.ai_test)),""),""))))</f>
        <v>0</v>
      </c>
      <c r="AX306" s="6218"/>
      <c r="AY306" s="6271">
        <f t="shared" si="145"/>
        <v>0</v>
      </c>
      <c r="AZ306" s="6242" t="str">
        <f t="shared" si="146"/>
        <v/>
      </c>
      <c r="BA306" s="6194">
        <f t="shared" si="151"/>
        <v>0</v>
      </c>
      <c r="BB306" s="6192" t="str">
        <f t="shared" si="147"/>
        <v/>
      </c>
      <c r="BC306" s="6219"/>
      <c r="BD306" s="6221">
        <f t="shared" si="152"/>
        <v>0</v>
      </c>
      <c r="BE306" s="6220" t="str">
        <f t="shared" si="148"/>
        <v/>
      </c>
      <c r="BF306" s="4" t="s">
        <v>1</v>
      </c>
      <c r="BG306" s="6196">
        <f t="shared" si="149"/>
        <v>0</v>
      </c>
      <c r="BH306" s="6197">
        <f t="shared" si="150"/>
        <v>0</v>
      </c>
      <c r="BI306"/>
      <c r="BJ306" s="1"/>
      <c r="BK306" s="1"/>
      <c r="BL306" s="1"/>
      <c r="BM306" s="1"/>
      <c r="BN306" s="1"/>
      <c r="BO306" s="1"/>
      <c r="BP306" s="1"/>
      <c r="BQ306" s="1"/>
      <c r="BR306"/>
      <c r="BS306"/>
      <c r="BT306"/>
      <c r="BU306"/>
      <c r="BV306"/>
      <c r="BW306"/>
      <c r="BX306" s="20" t="str">
        <f t="shared" si="131"/>
        <v>►</v>
      </c>
      <c r="BY306"/>
      <c r="BZ306"/>
      <c r="CA306"/>
      <c r="CB306"/>
      <c r="CC306"/>
      <c r="CE306"/>
      <c r="CF306"/>
      <c r="CG306"/>
      <c r="CH306"/>
      <c r="CI306"/>
      <c r="CJ306"/>
      <c r="CK306"/>
      <c r="CM306"/>
      <c r="CN306"/>
      <c r="CO306"/>
      <c r="CP306"/>
      <c r="CQ306"/>
      <c r="CR306"/>
      <c r="CS306"/>
      <c r="CU306"/>
      <c r="CV306"/>
      <c r="CW306"/>
      <c r="CX306"/>
      <c r="CY306"/>
      <c r="CZ306"/>
      <c r="DA306"/>
      <c r="DC306" s="5">
        <v>1</v>
      </c>
    </row>
    <row r="307" spans="1:109" s="1" customFormat="1" ht="21" customHeight="1">
      <c r="A307" s="5641" t="s">
        <v>1</v>
      </c>
      <c r="B307" s="4" t="str">
        <f>L307</f>
        <v>►</v>
      </c>
      <c r="C307" s="4"/>
      <c r="D307" s="473"/>
      <c r="E307" s="473"/>
      <c r="F307" s="473"/>
      <c r="G307" s="473"/>
      <c r="H307" s="473"/>
      <c r="I307" s="473"/>
      <c r="J307" s="473"/>
      <c r="K307" s="106" t="s">
        <v>1</v>
      </c>
      <c r="L307" s="1021" t="s">
        <v>26</v>
      </c>
      <c r="M307" s="6787"/>
      <c r="N307" s="6787"/>
      <c r="O307" s="6787"/>
      <c r="P307" s="6788"/>
      <c r="Q307" s="6789"/>
      <c r="R307" s="6790"/>
      <c r="S307" s="6786"/>
      <c r="T307" s="6791"/>
      <c r="U307" s="6844"/>
      <c r="V307" s="6791"/>
      <c r="W307" s="6785"/>
      <c r="X307" s="6868"/>
      <c r="Y307" s="6793"/>
      <c r="Z307" s="6794"/>
      <c r="AA307" s="6795"/>
      <c r="AB307" s="6796"/>
      <c r="AC307" s="6797"/>
      <c r="AD307" s="6798"/>
      <c r="AE307" s="4" t="s">
        <v>1</v>
      </c>
      <c r="AF307" s="6202" t="str">
        <f t="shared" si="132"/>
        <v>►</v>
      </c>
      <c r="AG307" s="6234" t="str">
        <f t="shared" si="133"/>
        <v/>
      </c>
      <c r="AH307" s="6732" t="str">
        <f t="shared" si="134"/>
        <v/>
      </c>
      <c r="AI307" s="6234" t="str">
        <f t="shared" si="135"/>
        <v/>
      </c>
      <c r="AJ307" s="6732" t="str">
        <f t="shared" si="136"/>
        <v/>
      </c>
      <c r="AK307" s="6732">
        <f t="shared" si="137"/>
        <v>0</v>
      </c>
      <c r="AL307" s="6230" t="str" cm="1">
        <f t="array" ref="AL307">IF(AF307&lt;&gt;"A","",IFERROR((IFERROR(_xlfn.XLOOKUP(TRIM(SUBSTITUTE(U307,CHAR(160)," ")),$BJ$15:$BJ$62,$BM$15:$BM$62),IFERROR(_xlfn.XLOOKUP(TRIM(SUBSTITUTE(U307,CHAR(160)," ")),$BK$15:$BK$62,$BM$15:$BM$62),_xlfn.XLOOKUP(TRIM(SUBSTITUTE(U307,CHAR(160)," ")),$BL$15:$BL$62,$BM$15:$BM$62))))*T307*IF(ISBLANK(Q307),1,Q307)+IFERROR(_xlfn.XLOOKUP("RECHERCHEX",TRIM(L307:AD307),L307:AD307),0),0))</f>
        <v/>
      </c>
      <c r="AM307" s="6229">
        <f t="shared" si="138"/>
        <v>0</v>
      </c>
      <c r="AN307" s="6857" t="str">
        <f t="shared" si="153"/>
        <v/>
      </c>
      <c r="AO307" s="392">
        <f t="shared" si="139"/>
        <v>0</v>
      </c>
      <c r="AP307" s="392">
        <f t="shared" si="140"/>
        <v>0</v>
      </c>
      <c r="AQ307" s="6191">
        <f t="shared" si="141"/>
        <v>0</v>
      </c>
      <c r="AR307" s="6859" t="str">
        <f t="shared" si="142"/>
        <v/>
      </c>
      <c r="AS307" s="6217"/>
      <c r="AT307" s="6217"/>
      <c r="AU307" s="6272">
        <f t="shared" si="143"/>
        <v>0</v>
      </c>
      <c r="AV307" s="6240">
        <f t="shared" si="144"/>
        <v>0</v>
      </c>
      <c r="AW307" s="6189" cm="1">
        <f t="array" ref="AW307">IF(AK307&lt;&gt;1,0,IF(OR(AU307="",N(AU307)&lt;=0.000000001),"",IF(OR(AO307="",N(AO307)&lt;=0.000000001),0,IF(ISNUMBER(AU307),IFERROR(_xlfn.LET(_xlpm.ai_test,TRIM(AJ307),_xlpm.r,IFERROR(_xlfn.XLOOKUP(_xlpm.ai_test,$BJ$15:$BJ$62,ROW($BJ$15:$BJ$62),0,1),IFERROR(_xlfn.XLOOKUP(_xlpm.ai_test,$BK$15:$BK$62,ROW($BK$15:$BK$62),0,1),_xlfn.XLOOKUP(_xlpm.ai_test,$BL$15:$BL$62,ROW($BL$15:$BL$62),0,1))),_xlpm.p,_xlpm.r-MIN(ROW($BJ$15:$BJ$62))+1,_xlpm.f,INDEX($BM$15:$BM$62,_xlpm.p),_xlpm.u,INDEX($BN$15:$BN$62,_xlpm.p),_xlpm.s,INDEX($BP$15:$BP$62,_xlpm.p),_xlpm.q,N(AU307)/_xlpm.f,IF(_xlpm.q&gt;=_xlpm.s,ROUND(_xlpm.q,1)&amp;" "&amp;_xlpm.ai_test&amp;" = "&amp;ROUND(_xlpm.q*_xlpm.f,1)&amp;" "&amp;_xlpm.u,ROUND(_xlpm.q,1)&amp;" "&amp;_xlpm.ai_test)),""),""))))</f>
        <v>0</v>
      </c>
      <c r="AX307" s="6218"/>
      <c r="AY307" s="6272">
        <f t="shared" si="145"/>
        <v>0</v>
      </c>
      <c r="AZ307" s="6240" t="str">
        <f t="shared" si="146"/>
        <v/>
      </c>
      <c r="BA307" s="6195">
        <f t="shared" si="151"/>
        <v>0</v>
      </c>
      <c r="BB307" s="6193" t="str">
        <f t="shared" si="147"/>
        <v/>
      </c>
      <c r="BC307" s="6219"/>
      <c r="BD307" s="6222">
        <f t="shared" si="152"/>
        <v>0</v>
      </c>
      <c r="BE307" s="6220" t="str">
        <f t="shared" si="148"/>
        <v/>
      </c>
      <c r="BF307" s="4" t="s">
        <v>1</v>
      </c>
      <c r="BG307" s="6196">
        <f t="shared" si="149"/>
        <v>0</v>
      </c>
      <c r="BH307" s="6197">
        <f t="shared" si="150"/>
        <v>0</v>
      </c>
      <c r="BI307"/>
      <c r="BR307"/>
      <c r="BS307"/>
      <c r="BT307"/>
      <c r="BU307"/>
      <c r="BV307"/>
      <c r="BW307"/>
      <c r="BX307" s="20" t="str">
        <f t="shared" si="131"/>
        <v>►</v>
      </c>
      <c r="BY307"/>
      <c r="BZ307"/>
      <c r="CA307"/>
      <c r="CB307"/>
      <c r="CC307"/>
      <c r="CD307" s="2"/>
      <c r="CE307"/>
      <c r="CF307"/>
      <c r="CG307"/>
      <c r="CH307"/>
      <c r="CI307"/>
      <c r="CJ307"/>
      <c r="CK307"/>
      <c r="CL307" s="2"/>
      <c r="CM307"/>
      <c r="CN307"/>
      <c r="CO307"/>
      <c r="CP307"/>
      <c r="CQ307"/>
      <c r="CR307"/>
      <c r="CS307"/>
      <c r="CT307" s="2"/>
      <c r="CU307"/>
      <c r="CV307"/>
      <c r="CW307"/>
      <c r="CX307"/>
      <c r="CY307"/>
      <c r="CZ307"/>
      <c r="DA307"/>
      <c r="DB307" s="2"/>
      <c r="DC307" s="5">
        <v>1</v>
      </c>
    </row>
    <row r="308" spans="1:109" ht="21" customHeight="1">
      <c r="L308" s="1021" t="s">
        <v>26</v>
      </c>
      <c r="M308" s="6787"/>
      <c r="N308" s="6787"/>
      <c r="O308" s="6787"/>
      <c r="P308" s="6788"/>
      <c r="Q308" s="6789"/>
      <c r="R308" s="6790"/>
      <c r="S308" s="6786"/>
      <c r="T308" s="6791"/>
      <c r="U308" s="6844"/>
      <c r="V308" s="6791"/>
      <c r="W308" s="6785"/>
      <c r="X308" s="6868"/>
      <c r="Y308" s="6793"/>
      <c r="Z308" s="6794"/>
      <c r="AA308" s="6795"/>
      <c r="AB308" s="6796"/>
      <c r="AC308" s="6797"/>
      <c r="AD308" s="6798"/>
      <c r="AE308" s="4" t="s">
        <v>1</v>
      </c>
      <c r="AF308" s="6202" t="str">
        <f t="shared" si="132"/>
        <v>►</v>
      </c>
      <c r="AG308" s="6234" t="str">
        <f t="shared" si="133"/>
        <v/>
      </c>
      <c r="AH308" s="6732" t="str">
        <f t="shared" si="134"/>
        <v/>
      </c>
      <c r="AI308" s="6234" t="str">
        <f t="shared" si="135"/>
        <v/>
      </c>
      <c r="AJ308" s="6732" t="str">
        <f t="shared" si="136"/>
        <v/>
      </c>
      <c r="AK308" s="6732">
        <f t="shared" si="137"/>
        <v>0</v>
      </c>
      <c r="AL308" s="6230" t="str" cm="1">
        <f t="array" ref="AL308">IF(AF308&lt;&gt;"A","",IFERROR((IFERROR(_xlfn.XLOOKUP(TRIM(SUBSTITUTE(U308,CHAR(160)," ")),$BJ$15:$BJ$62,$BM$15:$BM$62),IFERROR(_xlfn.XLOOKUP(TRIM(SUBSTITUTE(U308,CHAR(160)," ")),$BK$15:$BK$62,$BM$15:$BM$62),_xlfn.XLOOKUP(TRIM(SUBSTITUTE(U308,CHAR(160)," ")),$BL$15:$BL$62,$BM$15:$BM$62))))*T308*IF(ISBLANK(Q308),1,Q308)+IFERROR(_xlfn.XLOOKUP("RECHERCHEX",TRIM(L308:AD308),L308:AD308),0),0))</f>
        <v/>
      </c>
      <c r="AM308" s="6229">
        <f t="shared" si="138"/>
        <v>0</v>
      </c>
      <c r="AN308" s="6857" t="str">
        <f t="shared" si="153"/>
        <v/>
      </c>
      <c r="AO308" s="392">
        <f t="shared" si="139"/>
        <v>0</v>
      </c>
      <c r="AP308" s="392">
        <f t="shared" si="140"/>
        <v>0</v>
      </c>
      <c r="AQ308" s="6190">
        <f t="shared" si="141"/>
        <v>0</v>
      </c>
      <c r="AR308" s="6858" t="str">
        <f t="shared" si="142"/>
        <v/>
      </c>
      <c r="AS308" s="6217"/>
      <c r="AT308" s="6217"/>
      <c r="AU308" s="6271">
        <f t="shared" si="143"/>
        <v>0</v>
      </c>
      <c r="AV308" s="6242">
        <f t="shared" si="144"/>
        <v>0</v>
      </c>
      <c r="AW308" s="6188" cm="1">
        <f t="array" ref="AW308">IF(AK308&lt;&gt;1,0,IF(OR(AU308="",N(AU308)&lt;=0.000000001),"",IF(OR(AO308="",N(AO308)&lt;=0.000000001),0,IF(ISNUMBER(AU308),IFERROR(_xlfn.LET(_xlpm.ai_test,TRIM(AJ308),_xlpm.r,IFERROR(_xlfn.XLOOKUP(_xlpm.ai_test,$BJ$15:$BJ$62,ROW($BJ$15:$BJ$62),0,1),IFERROR(_xlfn.XLOOKUP(_xlpm.ai_test,$BK$15:$BK$62,ROW($BK$15:$BK$62),0,1),_xlfn.XLOOKUP(_xlpm.ai_test,$BL$15:$BL$62,ROW($BL$15:$BL$62),0,1))),_xlpm.p,_xlpm.r-MIN(ROW($BJ$15:$BJ$62))+1,_xlpm.f,INDEX($BM$15:$BM$62,_xlpm.p),_xlpm.u,INDEX($BN$15:$BN$62,_xlpm.p),_xlpm.s,INDEX($BP$15:$BP$62,_xlpm.p),_xlpm.q,N(AU308)/_xlpm.f,IF(_xlpm.q&gt;=_xlpm.s,ROUND(_xlpm.q,1)&amp;" "&amp;_xlpm.ai_test&amp;" = "&amp;ROUND(_xlpm.q*_xlpm.f,1)&amp;" "&amp;_xlpm.u,ROUND(_xlpm.q,1)&amp;" "&amp;_xlpm.ai_test)),""),""))))</f>
        <v>0</v>
      </c>
      <c r="AX308" s="6218"/>
      <c r="AY308" s="6271">
        <f t="shared" si="145"/>
        <v>0</v>
      </c>
      <c r="AZ308" s="6242" t="str">
        <f t="shared" si="146"/>
        <v/>
      </c>
      <c r="BA308" s="6194">
        <f t="shared" si="151"/>
        <v>0</v>
      </c>
      <c r="BB308" s="6192" t="str">
        <f t="shared" si="147"/>
        <v/>
      </c>
      <c r="BC308" s="6219"/>
      <c r="BD308" s="6221">
        <f t="shared" si="152"/>
        <v>0</v>
      </c>
      <c r="BE308" s="6220" t="str">
        <f t="shared" si="148"/>
        <v/>
      </c>
      <c r="BF308" s="4" t="s">
        <v>1</v>
      </c>
      <c r="BG308" s="6196">
        <f t="shared" si="149"/>
        <v>0</v>
      </c>
      <c r="BH308" s="6197">
        <f t="shared" si="150"/>
        <v>0</v>
      </c>
      <c r="BI308"/>
      <c r="BJ308" s="1"/>
      <c r="BK308" s="1"/>
      <c r="BL308" s="1"/>
      <c r="BM308" s="1"/>
      <c r="BN308" s="1"/>
      <c r="BO308" s="1"/>
      <c r="BP308" s="1"/>
      <c r="BQ308" s="1"/>
      <c r="BX308" s="20" t="str">
        <f t="shared" si="131"/>
        <v>►</v>
      </c>
      <c r="CC308"/>
      <c r="CD308" s="2"/>
      <c r="CL308" s="2"/>
      <c r="CT308" s="2"/>
      <c r="DB308" s="2"/>
      <c r="DC308" s="5">
        <v>1</v>
      </c>
    </row>
    <row r="309" spans="1:109" ht="21" customHeight="1">
      <c r="L309" s="1021" t="s">
        <v>26</v>
      </c>
      <c r="M309" s="6787"/>
      <c r="N309" s="6787"/>
      <c r="O309" s="6787"/>
      <c r="P309" s="6788"/>
      <c r="Q309" s="6789"/>
      <c r="R309" s="6790"/>
      <c r="S309" s="6786"/>
      <c r="T309" s="6791"/>
      <c r="U309" s="6844"/>
      <c r="V309" s="6791"/>
      <c r="W309" s="6785"/>
      <c r="X309" s="6868"/>
      <c r="Y309" s="6793"/>
      <c r="Z309" s="6794"/>
      <c r="AA309" s="6795"/>
      <c r="AB309" s="6796"/>
      <c r="AC309" s="6797"/>
      <c r="AD309" s="6798"/>
      <c r="AE309" s="4" t="s">
        <v>1</v>
      </c>
      <c r="AF309" s="6202" t="str">
        <f t="shared" si="132"/>
        <v>►</v>
      </c>
      <c r="AG309" s="6234" t="str">
        <f t="shared" si="133"/>
        <v/>
      </c>
      <c r="AH309" s="6732" t="str">
        <f t="shared" si="134"/>
        <v/>
      </c>
      <c r="AI309" s="6234" t="str">
        <f t="shared" si="135"/>
        <v/>
      </c>
      <c r="AJ309" s="6732" t="str">
        <f t="shared" si="136"/>
        <v/>
      </c>
      <c r="AK309" s="6732">
        <f t="shared" si="137"/>
        <v>0</v>
      </c>
      <c r="AL309" s="6230" t="str" cm="1">
        <f t="array" ref="AL309">IF(AF309&lt;&gt;"A","",IFERROR((IFERROR(_xlfn.XLOOKUP(TRIM(SUBSTITUTE(U309,CHAR(160)," ")),$BJ$15:$BJ$62,$BM$15:$BM$62),IFERROR(_xlfn.XLOOKUP(TRIM(SUBSTITUTE(U309,CHAR(160)," ")),$BK$15:$BK$62,$BM$15:$BM$62),_xlfn.XLOOKUP(TRIM(SUBSTITUTE(U309,CHAR(160)," ")),$BL$15:$BL$62,$BM$15:$BM$62))))*T309*IF(ISBLANK(Q309),1,Q309)+IFERROR(_xlfn.XLOOKUP("RECHERCHEX",TRIM(L309:AD309),L309:AD309),0),0))</f>
        <v/>
      </c>
      <c r="AM309" s="6229">
        <f t="shared" si="138"/>
        <v>0</v>
      </c>
      <c r="AN309" s="6857" t="str">
        <f t="shared" si="153"/>
        <v/>
      </c>
      <c r="AO309" s="392">
        <f t="shared" si="139"/>
        <v>0</v>
      </c>
      <c r="AP309" s="392">
        <f t="shared" si="140"/>
        <v>0</v>
      </c>
      <c r="AQ309" s="6191">
        <f t="shared" si="141"/>
        <v>0</v>
      </c>
      <c r="AR309" s="6859" t="str">
        <f t="shared" si="142"/>
        <v/>
      </c>
      <c r="AS309" s="6217"/>
      <c r="AT309" s="6217"/>
      <c r="AU309" s="6272">
        <f t="shared" si="143"/>
        <v>0</v>
      </c>
      <c r="AV309" s="6240">
        <f t="shared" si="144"/>
        <v>0</v>
      </c>
      <c r="AW309" s="6189" cm="1">
        <f t="array" ref="AW309">IF(AK309&lt;&gt;1,0,IF(OR(AU309="",N(AU309)&lt;=0.000000001),"",IF(OR(AO309="",N(AO309)&lt;=0.000000001),0,IF(ISNUMBER(AU309),IFERROR(_xlfn.LET(_xlpm.ai_test,TRIM(AJ309),_xlpm.r,IFERROR(_xlfn.XLOOKUP(_xlpm.ai_test,$BJ$15:$BJ$62,ROW($BJ$15:$BJ$62),0,1),IFERROR(_xlfn.XLOOKUP(_xlpm.ai_test,$BK$15:$BK$62,ROW($BK$15:$BK$62),0,1),_xlfn.XLOOKUP(_xlpm.ai_test,$BL$15:$BL$62,ROW($BL$15:$BL$62),0,1))),_xlpm.p,_xlpm.r-MIN(ROW($BJ$15:$BJ$62))+1,_xlpm.f,INDEX($BM$15:$BM$62,_xlpm.p),_xlpm.u,INDEX($BN$15:$BN$62,_xlpm.p),_xlpm.s,INDEX($BP$15:$BP$62,_xlpm.p),_xlpm.q,N(AU309)/_xlpm.f,IF(_xlpm.q&gt;=_xlpm.s,ROUND(_xlpm.q,1)&amp;" "&amp;_xlpm.ai_test&amp;" = "&amp;ROUND(_xlpm.q*_xlpm.f,1)&amp;" "&amp;_xlpm.u,ROUND(_xlpm.q,1)&amp;" "&amp;_xlpm.ai_test)),""),""))))</f>
        <v>0</v>
      </c>
      <c r="AX309" s="6218"/>
      <c r="AY309" s="6272">
        <f t="shared" si="145"/>
        <v>0</v>
      </c>
      <c r="AZ309" s="6240" t="str">
        <f t="shared" si="146"/>
        <v/>
      </c>
      <c r="BA309" s="6195">
        <f t="shared" si="151"/>
        <v>0</v>
      </c>
      <c r="BB309" s="6193" t="str">
        <f t="shared" si="147"/>
        <v/>
      </c>
      <c r="BC309" s="6219"/>
      <c r="BD309" s="6222">
        <f t="shared" si="152"/>
        <v>0</v>
      </c>
      <c r="BE309" s="6220" t="str">
        <f t="shared" si="148"/>
        <v/>
      </c>
      <c r="BF309" s="4" t="s">
        <v>1</v>
      </c>
      <c r="BG309" s="6196">
        <f t="shared" si="149"/>
        <v>0</v>
      </c>
      <c r="BH309" s="6197">
        <f t="shared" si="150"/>
        <v>0</v>
      </c>
      <c r="BI309"/>
      <c r="BJ309" s="1"/>
      <c r="BK309" s="1"/>
      <c r="BL309" s="1"/>
      <c r="BM309" s="1"/>
      <c r="BN309" s="1"/>
      <c r="BO309" s="1"/>
      <c r="BP309" s="1"/>
      <c r="BQ309" s="1"/>
      <c r="BX309" s="20" t="str">
        <f t="shared" si="131"/>
        <v>►</v>
      </c>
      <c r="CC309"/>
      <c r="CD309" s="2"/>
      <c r="CL309" s="2"/>
      <c r="CT309" s="2"/>
      <c r="DB309" s="2"/>
      <c r="DC309" s="5">
        <v>1</v>
      </c>
    </row>
    <row r="310" spans="1:109" ht="21" customHeight="1">
      <c r="L310" s="1021" t="s">
        <v>26</v>
      </c>
      <c r="M310" s="6787"/>
      <c r="N310" s="6787"/>
      <c r="O310" s="6787"/>
      <c r="P310" s="6788"/>
      <c r="Q310" s="6789"/>
      <c r="R310" s="6790"/>
      <c r="S310" s="6786"/>
      <c r="T310" s="6791"/>
      <c r="U310" s="6844"/>
      <c r="V310" s="6791"/>
      <c r="W310" s="6785"/>
      <c r="X310" s="6868"/>
      <c r="Y310" s="6793"/>
      <c r="Z310" s="6794"/>
      <c r="AA310" s="6795"/>
      <c r="AB310" s="6796"/>
      <c r="AC310" s="6797"/>
      <c r="AD310" s="6798"/>
      <c r="AE310" s="4" t="s">
        <v>1</v>
      </c>
      <c r="AF310" s="6202" t="str">
        <f t="shared" si="132"/>
        <v>►</v>
      </c>
      <c r="AG310" s="6234" t="str">
        <f t="shared" si="133"/>
        <v/>
      </c>
      <c r="AH310" s="6732" t="str">
        <f t="shared" si="134"/>
        <v/>
      </c>
      <c r="AI310" s="6234" t="str">
        <f t="shared" si="135"/>
        <v/>
      </c>
      <c r="AJ310" s="6732" t="str">
        <f t="shared" si="136"/>
        <v/>
      </c>
      <c r="AK310" s="6732">
        <f t="shared" si="137"/>
        <v>0</v>
      </c>
      <c r="AL310" s="6230" t="str" cm="1">
        <f t="array" ref="AL310">IF(AF310&lt;&gt;"A","",IFERROR((IFERROR(_xlfn.XLOOKUP(TRIM(SUBSTITUTE(U310,CHAR(160)," ")),$BJ$15:$BJ$62,$BM$15:$BM$62),IFERROR(_xlfn.XLOOKUP(TRIM(SUBSTITUTE(U310,CHAR(160)," ")),$BK$15:$BK$62,$BM$15:$BM$62),_xlfn.XLOOKUP(TRIM(SUBSTITUTE(U310,CHAR(160)," ")),$BL$15:$BL$62,$BM$15:$BM$62))))*T310*IF(ISBLANK(Q310),1,Q310)+IFERROR(_xlfn.XLOOKUP("RECHERCHEX",TRIM(L310:AD310),L310:AD310),0),0))</f>
        <v/>
      </c>
      <c r="AM310" s="6229">
        <f t="shared" si="138"/>
        <v>0</v>
      </c>
      <c r="AN310" s="6857" t="str">
        <f t="shared" si="153"/>
        <v/>
      </c>
      <c r="AO310" s="392">
        <f t="shared" si="139"/>
        <v>0</v>
      </c>
      <c r="AP310" s="392">
        <f t="shared" si="140"/>
        <v>0</v>
      </c>
      <c r="AQ310" s="6190">
        <f t="shared" si="141"/>
        <v>0</v>
      </c>
      <c r="AR310" s="6858" t="str">
        <f t="shared" si="142"/>
        <v/>
      </c>
      <c r="AS310" s="6217"/>
      <c r="AT310" s="6217"/>
      <c r="AU310" s="6271">
        <f t="shared" si="143"/>
        <v>0</v>
      </c>
      <c r="AV310" s="6242">
        <f t="shared" si="144"/>
        <v>0</v>
      </c>
      <c r="AW310" s="6188" cm="1">
        <f t="array" ref="AW310">IF(AK310&lt;&gt;1,0,IF(OR(AU310="",N(AU310)&lt;=0.000000001),"",IF(OR(AO310="",N(AO310)&lt;=0.000000001),0,IF(ISNUMBER(AU310),IFERROR(_xlfn.LET(_xlpm.ai_test,TRIM(AJ310),_xlpm.r,IFERROR(_xlfn.XLOOKUP(_xlpm.ai_test,$BJ$15:$BJ$62,ROW($BJ$15:$BJ$62),0,1),IFERROR(_xlfn.XLOOKUP(_xlpm.ai_test,$BK$15:$BK$62,ROW($BK$15:$BK$62),0,1),_xlfn.XLOOKUP(_xlpm.ai_test,$BL$15:$BL$62,ROW($BL$15:$BL$62),0,1))),_xlpm.p,_xlpm.r-MIN(ROW($BJ$15:$BJ$62))+1,_xlpm.f,INDEX($BM$15:$BM$62,_xlpm.p),_xlpm.u,INDEX($BN$15:$BN$62,_xlpm.p),_xlpm.s,INDEX($BP$15:$BP$62,_xlpm.p),_xlpm.q,N(AU310)/_xlpm.f,IF(_xlpm.q&gt;=_xlpm.s,ROUND(_xlpm.q,1)&amp;" "&amp;_xlpm.ai_test&amp;" = "&amp;ROUND(_xlpm.q*_xlpm.f,1)&amp;" "&amp;_xlpm.u,ROUND(_xlpm.q,1)&amp;" "&amp;_xlpm.ai_test)),""),""))))</f>
        <v>0</v>
      </c>
      <c r="AX310" s="6218"/>
      <c r="AY310" s="6271">
        <f t="shared" si="145"/>
        <v>0</v>
      </c>
      <c r="AZ310" s="6242" t="str">
        <f t="shared" si="146"/>
        <v/>
      </c>
      <c r="BA310" s="6194">
        <f t="shared" si="151"/>
        <v>0</v>
      </c>
      <c r="BB310" s="6192" t="str">
        <f t="shared" si="147"/>
        <v/>
      </c>
      <c r="BC310" s="6219"/>
      <c r="BD310" s="6221">
        <f t="shared" si="152"/>
        <v>0</v>
      </c>
      <c r="BE310" s="6220" t="str">
        <f t="shared" si="148"/>
        <v/>
      </c>
      <c r="BF310" s="4" t="s">
        <v>1</v>
      </c>
      <c r="BG310" s="6196">
        <f t="shared" si="149"/>
        <v>0</v>
      </c>
      <c r="BH310" s="6197">
        <f t="shared" si="150"/>
        <v>0</v>
      </c>
      <c r="BI310"/>
      <c r="BJ310" s="1"/>
      <c r="BK310" s="1"/>
      <c r="BL310" s="1"/>
      <c r="BM310" s="1"/>
      <c r="BN310" s="1"/>
      <c r="BO310" s="1"/>
      <c r="BP310" s="1"/>
      <c r="BQ310" s="1"/>
      <c r="BX310" s="20" t="str">
        <f t="shared" si="131"/>
        <v>►</v>
      </c>
      <c r="CC310"/>
      <c r="CD310" s="2"/>
      <c r="CL310" s="2"/>
      <c r="CT310" s="2"/>
      <c r="DB310" s="2"/>
      <c r="DC310" s="5">
        <v>1</v>
      </c>
    </row>
    <row r="311" spans="1:109" ht="21" customHeight="1">
      <c r="L311" s="1021" t="s">
        <v>26</v>
      </c>
      <c r="M311" s="6787"/>
      <c r="N311" s="6787"/>
      <c r="O311" s="6787"/>
      <c r="P311" s="6788"/>
      <c r="Q311" s="6789"/>
      <c r="R311" s="6790"/>
      <c r="S311" s="6786"/>
      <c r="T311" s="6791"/>
      <c r="U311" s="6844"/>
      <c r="V311" s="6791"/>
      <c r="W311" s="6785"/>
      <c r="X311" s="6868"/>
      <c r="Y311" s="6793"/>
      <c r="Z311" s="6794"/>
      <c r="AA311" s="6795"/>
      <c r="AB311" s="6796"/>
      <c r="AC311" s="6797"/>
      <c r="AD311" s="6798"/>
      <c r="AE311" s="4" t="s">
        <v>1</v>
      </c>
      <c r="AF311" s="6202" t="str">
        <f t="shared" si="132"/>
        <v>►</v>
      </c>
      <c r="AG311" s="6234" t="str">
        <f t="shared" si="133"/>
        <v/>
      </c>
      <c r="AH311" s="6732" t="str">
        <f t="shared" si="134"/>
        <v/>
      </c>
      <c r="AI311" s="6234" t="str">
        <f t="shared" si="135"/>
        <v/>
      </c>
      <c r="AJ311" s="6732" t="str">
        <f t="shared" si="136"/>
        <v/>
      </c>
      <c r="AK311" s="6732">
        <f t="shared" si="137"/>
        <v>0</v>
      </c>
      <c r="AL311" s="6230" t="str" cm="1">
        <f t="array" ref="AL311">IF(AF311&lt;&gt;"A","",IFERROR((IFERROR(_xlfn.XLOOKUP(TRIM(SUBSTITUTE(U311,CHAR(160)," ")),$BJ$15:$BJ$62,$BM$15:$BM$62),IFERROR(_xlfn.XLOOKUP(TRIM(SUBSTITUTE(U311,CHAR(160)," ")),$BK$15:$BK$62,$BM$15:$BM$62),_xlfn.XLOOKUP(TRIM(SUBSTITUTE(U311,CHAR(160)," ")),$BL$15:$BL$62,$BM$15:$BM$62))))*T311*IF(ISBLANK(Q311),1,Q311)+IFERROR(_xlfn.XLOOKUP("RECHERCHEX",TRIM(L311:AD311),L311:AD311),0),0))</f>
        <v/>
      </c>
      <c r="AM311" s="6229">
        <f t="shared" si="138"/>
        <v>0</v>
      </c>
      <c r="AN311" s="6857" t="str">
        <f t="shared" si="153"/>
        <v/>
      </c>
      <c r="AO311" s="392">
        <f t="shared" si="139"/>
        <v>0</v>
      </c>
      <c r="AP311" s="392">
        <f t="shared" si="140"/>
        <v>0</v>
      </c>
      <c r="AQ311" s="6191">
        <f t="shared" si="141"/>
        <v>0</v>
      </c>
      <c r="AR311" s="6859" t="str">
        <f t="shared" si="142"/>
        <v/>
      </c>
      <c r="AS311" s="6217"/>
      <c r="AT311" s="6217"/>
      <c r="AU311" s="6272">
        <f t="shared" si="143"/>
        <v>0</v>
      </c>
      <c r="AV311" s="6240">
        <f t="shared" si="144"/>
        <v>0</v>
      </c>
      <c r="AW311" s="6189" cm="1">
        <f t="array" ref="AW311">IF(AK311&lt;&gt;1,0,IF(OR(AU311="",N(AU311)&lt;=0.000000001),"",IF(OR(AO311="",N(AO311)&lt;=0.000000001),0,IF(ISNUMBER(AU311),IFERROR(_xlfn.LET(_xlpm.ai_test,TRIM(AJ311),_xlpm.r,IFERROR(_xlfn.XLOOKUP(_xlpm.ai_test,$BJ$15:$BJ$62,ROW($BJ$15:$BJ$62),0,1),IFERROR(_xlfn.XLOOKUP(_xlpm.ai_test,$BK$15:$BK$62,ROW($BK$15:$BK$62),0,1),_xlfn.XLOOKUP(_xlpm.ai_test,$BL$15:$BL$62,ROW($BL$15:$BL$62),0,1))),_xlpm.p,_xlpm.r-MIN(ROW($BJ$15:$BJ$62))+1,_xlpm.f,INDEX($BM$15:$BM$62,_xlpm.p),_xlpm.u,INDEX($BN$15:$BN$62,_xlpm.p),_xlpm.s,INDEX($BP$15:$BP$62,_xlpm.p),_xlpm.q,N(AU311)/_xlpm.f,IF(_xlpm.q&gt;=_xlpm.s,ROUND(_xlpm.q,1)&amp;" "&amp;_xlpm.ai_test&amp;" = "&amp;ROUND(_xlpm.q*_xlpm.f,1)&amp;" "&amp;_xlpm.u,ROUND(_xlpm.q,1)&amp;" "&amp;_xlpm.ai_test)),""),""))))</f>
        <v>0</v>
      </c>
      <c r="AX311" s="6218"/>
      <c r="AY311" s="6272">
        <f t="shared" si="145"/>
        <v>0</v>
      </c>
      <c r="AZ311" s="6240" t="str">
        <f t="shared" si="146"/>
        <v/>
      </c>
      <c r="BA311" s="6195">
        <f t="shared" si="151"/>
        <v>0</v>
      </c>
      <c r="BB311" s="6193" t="str">
        <f t="shared" si="147"/>
        <v/>
      </c>
      <c r="BC311" s="6219"/>
      <c r="BD311" s="6222">
        <f t="shared" si="152"/>
        <v>0</v>
      </c>
      <c r="BE311" s="6220" t="str">
        <f t="shared" si="148"/>
        <v/>
      </c>
      <c r="BF311" s="4" t="s">
        <v>1</v>
      </c>
      <c r="BG311" s="6196">
        <f t="shared" si="149"/>
        <v>0</v>
      </c>
      <c r="BH311" s="6197">
        <f t="shared" si="150"/>
        <v>0</v>
      </c>
      <c r="BI311"/>
      <c r="BJ311" s="1"/>
      <c r="BK311" s="1"/>
      <c r="BL311" s="1"/>
      <c r="BM311" s="1"/>
      <c r="BN311" s="1"/>
      <c r="BO311" s="1"/>
      <c r="BP311" s="1"/>
      <c r="BQ311" s="1"/>
      <c r="BX311" s="20" t="str">
        <f t="shared" si="131"/>
        <v>►</v>
      </c>
      <c r="CC311"/>
      <c r="CD311" s="2"/>
      <c r="CL311" s="2"/>
      <c r="CT311" s="2"/>
      <c r="DB311" s="2"/>
      <c r="DC311" s="5">
        <v>1</v>
      </c>
    </row>
    <row r="312" spans="1:109" ht="21" customHeight="1">
      <c r="L312" s="1021" t="s">
        <v>26</v>
      </c>
      <c r="M312" s="6787"/>
      <c r="N312" s="6787"/>
      <c r="O312" s="6787"/>
      <c r="P312" s="6788"/>
      <c r="Q312" s="6789"/>
      <c r="R312" s="6790"/>
      <c r="S312" s="6786"/>
      <c r="T312" s="6791"/>
      <c r="U312" s="6844"/>
      <c r="V312" s="6791"/>
      <c r="W312" s="6785"/>
      <c r="X312" s="6868"/>
      <c r="Y312" s="6793"/>
      <c r="Z312" s="6794"/>
      <c r="AA312" s="6795"/>
      <c r="AB312" s="6796"/>
      <c r="AC312" s="6797"/>
      <c r="AD312" s="6798"/>
      <c r="AE312" s="4" t="s">
        <v>1</v>
      </c>
      <c r="AF312" s="6202" t="str">
        <f t="shared" si="132"/>
        <v>►</v>
      </c>
      <c r="AG312" s="6234" t="str">
        <f t="shared" si="133"/>
        <v/>
      </c>
      <c r="AH312" s="6732" t="str">
        <f t="shared" si="134"/>
        <v/>
      </c>
      <c r="AI312" s="6234" t="str">
        <f t="shared" si="135"/>
        <v/>
      </c>
      <c r="AJ312" s="6732" t="str">
        <f t="shared" si="136"/>
        <v/>
      </c>
      <c r="AK312" s="6732">
        <f t="shared" si="137"/>
        <v>0</v>
      </c>
      <c r="AL312" s="6230" t="str" cm="1">
        <f t="array" ref="AL312">IF(AF312&lt;&gt;"A","",IFERROR((IFERROR(_xlfn.XLOOKUP(TRIM(SUBSTITUTE(U312,CHAR(160)," ")),$BJ$15:$BJ$62,$BM$15:$BM$62),IFERROR(_xlfn.XLOOKUP(TRIM(SUBSTITUTE(U312,CHAR(160)," ")),$BK$15:$BK$62,$BM$15:$BM$62),_xlfn.XLOOKUP(TRIM(SUBSTITUTE(U312,CHAR(160)," ")),$BL$15:$BL$62,$BM$15:$BM$62))))*T312*IF(ISBLANK(Q312),1,Q312)+IFERROR(_xlfn.XLOOKUP("RECHERCHEX",TRIM(L312:AD312),L312:AD312),0),0))</f>
        <v/>
      </c>
      <c r="AM312" s="6229">
        <f t="shared" si="138"/>
        <v>0</v>
      </c>
      <c r="AN312" s="6857" t="str">
        <f t="shared" si="153"/>
        <v/>
      </c>
      <c r="AO312" s="392">
        <f t="shared" si="139"/>
        <v>0</v>
      </c>
      <c r="AP312" s="392">
        <f t="shared" si="140"/>
        <v>0</v>
      </c>
      <c r="AQ312" s="6190">
        <f t="shared" si="141"/>
        <v>0</v>
      </c>
      <c r="AR312" s="6858" t="str">
        <f t="shared" si="142"/>
        <v/>
      </c>
      <c r="AS312" s="6217"/>
      <c r="AT312" s="6217"/>
      <c r="AU312" s="6271">
        <f t="shared" si="143"/>
        <v>0</v>
      </c>
      <c r="AV312" s="6242">
        <f t="shared" si="144"/>
        <v>0</v>
      </c>
      <c r="AW312" s="6188" cm="1">
        <f t="array" ref="AW312">IF(AK312&lt;&gt;1,0,IF(OR(AU312="",N(AU312)&lt;=0.000000001),"",IF(OR(AO312="",N(AO312)&lt;=0.000000001),0,IF(ISNUMBER(AU312),IFERROR(_xlfn.LET(_xlpm.ai_test,TRIM(AJ312),_xlpm.r,IFERROR(_xlfn.XLOOKUP(_xlpm.ai_test,$BJ$15:$BJ$62,ROW($BJ$15:$BJ$62),0,1),IFERROR(_xlfn.XLOOKUP(_xlpm.ai_test,$BK$15:$BK$62,ROW($BK$15:$BK$62),0,1),_xlfn.XLOOKUP(_xlpm.ai_test,$BL$15:$BL$62,ROW($BL$15:$BL$62),0,1))),_xlpm.p,_xlpm.r-MIN(ROW($BJ$15:$BJ$62))+1,_xlpm.f,INDEX($BM$15:$BM$62,_xlpm.p),_xlpm.u,INDEX($BN$15:$BN$62,_xlpm.p),_xlpm.s,INDEX($BP$15:$BP$62,_xlpm.p),_xlpm.q,N(AU312)/_xlpm.f,IF(_xlpm.q&gt;=_xlpm.s,ROUND(_xlpm.q,1)&amp;" "&amp;_xlpm.ai_test&amp;" = "&amp;ROUND(_xlpm.q*_xlpm.f,1)&amp;" "&amp;_xlpm.u,ROUND(_xlpm.q,1)&amp;" "&amp;_xlpm.ai_test)),""),""))))</f>
        <v>0</v>
      </c>
      <c r="AX312" s="6218"/>
      <c r="AY312" s="6271">
        <f t="shared" si="145"/>
        <v>0</v>
      </c>
      <c r="AZ312" s="6242" t="str">
        <f t="shared" si="146"/>
        <v/>
      </c>
      <c r="BA312" s="6194">
        <f t="shared" si="151"/>
        <v>0</v>
      </c>
      <c r="BB312" s="6192" t="str">
        <f t="shared" si="147"/>
        <v/>
      </c>
      <c r="BC312" s="6219"/>
      <c r="BD312" s="6221">
        <f t="shared" si="152"/>
        <v>0</v>
      </c>
      <c r="BE312" s="6220" t="str">
        <f t="shared" si="148"/>
        <v/>
      </c>
      <c r="BF312" s="4" t="s">
        <v>1</v>
      </c>
      <c r="BG312" s="6196">
        <f t="shared" si="149"/>
        <v>0</v>
      </c>
      <c r="BH312" s="6197">
        <f t="shared" si="150"/>
        <v>0</v>
      </c>
      <c r="BI312"/>
      <c r="BJ312" s="1"/>
      <c r="BK312" s="1"/>
      <c r="BL312" s="1"/>
      <c r="BM312" s="1"/>
      <c r="BN312" s="1"/>
      <c r="BO312" s="1"/>
      <c r="BP312" s="1"/>
      <c r="BQ312" s="1"/>
      <c r="BX312" s="20" t="str">
        <f t="shared" si="131"/>
        <v>►</v>
      </c>
      <c r="CC312"/>
      <c r="CD312" s="2"/>
      <c r="CL312" s="2"/>
      <c r="CT312" s="2"/>
      <c r="DB312" s="2"/>
      <c r="DC312" s="5">
        <v>1</v>
      </c>
    </row>
    <row r="313" spans="1:109" ht="21" customHeight="1">
      <c r="L313" s="1021" t="s">
        <v>26</v>
      </c>
      <c r="M313" s="6787"/>
      <c r="N313" s="6787"/>
      <c r="O313" s="6787"/>
      <c r="P313" s="6788"/>
      <c r="Q313" s="6789"/>
      <c r="R313" s="6790"/>
      <c r="S313" s="6786"/>
      <c r="T313" s="6791"/>
      <c r="U313" s="6844"/>
      <c r="V313" s="6791"/>
      <c r="W313" s="6785"/>
      <c r="X313" s="6868"/>
      <c r="Y313" s="6793"/>
      <c r="Z313" s="6794"/>
      <c r="AA313" s="6795"/>
      <c r="AB313" s="6796"/>
      <c r="AC313" s="6797"/>
      <c r="AD313" s="6798"/>
      <c r="AE313" s="4" t="s">
        <v>1</v>
      </c>
      <c r="AF313" s="6202" t="str">
        <f t="shared" si="132"/>
        <v>►</v>
      </c>
      <c r="AG313" s="6234" t="str">
        <f t="shared" si="133"/>
        <v/>
      </c>
      <c r="AH313" s="6732" t="str">
        <f t="shared" si="134"/>
        <v/>
      </c>
      <c r="AI313" s="6234" t="str">
        <f t="shared" si="135"/>
        <v/>
      </c>
      <c r="AJ313" s="6732" t="str">
        <f t="shared" si="136"/>
        <v/>
      </c>
      <c r="AK313" s="6732">
        <f t="shared" si="137"/>
        <v>0</v>
      </c>
      <c r="AL313" s="6230" t="str" cm="1">
        <f t="array" ref="AL313">IF(AF313&lt;&gt;"A","",IFERROR((IFERROR(_xlfn.XLOOKUP(TRIM(SUBSTITUTE(U313,CHAR(160)," ")),$BJ$15:$BJ$62,$BM$15:$BM$62),IFERROR(_xlfn.XLOOKUP(TRIM(SUBSTITUTE(U313,CHAR(160)," ")),$BK$15:$BK$62,$BM$15:$BM$62),_xlfn.XLOOKUP(TRIM(SUBSTITUTE(U313,CHAR(160)," ")),$BL$15:$BL$62,$BM$15:$BM$62))))*T313*IF(ISBLANK(Q313),1,Q313)+IFERROR(_xlfn.XLOOKUP("RECHERCHEX",TRIM(L313:AD313),L313:AD313),0),0))</f>
        <v/>
      </c>
      <c r="AM313" s="6229">
        <f t="shared" si="138"/>
        <v>0</v>
      </c>
      <c r="AN313" s="6857" t="str">
        <f t="shared" si="153"/>
        <v/>
      </c>
      <c r="AO313" s="392">
        <f t="shared" si="139"/>
        <v>0</v>
      </c>
      <c r="AP313" s="392">
        <f t="shared" si="140"/>
        <v>0</v>
      </c>
      <c r="AQ313" s="6191">
        <f t="shared" si="141"/>
        <v>0</v>
      </c>
      <c r="AR313" s="6859" t="str">
        <f t="shared" si="142"/>
        <v/>
      </c>
      <c r="AS313" s="6217"/>
      <c r="AT313" s="6217"/>
      <c r="AU313" s="6272">
        <f t="shared" si="143"/>
        <v>0</v>
      </c>
      <c r="AV313" s="6240">
        <f t="shared" si="144"/>
        <v>0</v>
      </c>
      <c r="AW313" s="6189" cm="1">
        <f t="array" ref="AW313">IF(AK313&lt;&gt;1,0,IF(OR(AU313="",N(AU313)&lt;=0.000000001),"",IF(OR(AO313="",N(AO313)&lt;=0.000000001),0,IF(ISNUMBER(AU313),IFERROR(_xlfn.LET(_xlpm.ai_test,TRIM(AJ313),_xlpm.r,IFERROR(_xlfn.XLOOKUP(_xlpm.ai_test,$BJ$15:$BJ$62,ROW($BJ$15:$BJ$62),0,1),IFERROR(_xlfn.XLOOKUP(_xlpm.ai_test,$BK$15:$BK$62,ROW($BK$15:$BK$62),0,1),_xlfn.XLOOKUP(_xlpm.ai_test,$BL$15:$BL$62,ROW($BL$15:$BL$62),0,1))),_xlpm.p,_xlpm.r-MIN(ROW($BJ$15:$BJ$62))+1,_xlpm.f,INDEX($BM$15:$BM$62,_xlpm.p),_xlpm.u,INDEX($BN$15:$BN$62,_xlpm.p),_xlpm.s,INDEX($BP$15:$BP$62,_xlpm.p),_xlpm.q,N(AU313)/_xlpm.f,IF(_xlpm.q&gt;=_xlpm.s,ROUND(_xlpm.q,1)&amp;" "&amp;_xlpm.ai_test&amp;" = "&amp;ROUND(_xlpm.q*_xlpm.f,1)&amp;" "&amp;_xlpm.u,ROUND(_xlpm.q,1)&amp;" "&amp;_xlpm.ai_test)),""),""))))</f>
        <v>0</v>
      </c>
      <c r="AX313" s="6218"/>
      <c r="AY313" s="6272">
        <f t="shared" si="145"/>
        <v>0</v>
      </c>
      <c r="AZ313" s="6240" t="str">
        <f t="shared" si="146"/>
        <v/>
      </c>
      <c r="BA313" s="6195">
        <f t="shared" si="151"/>
        <v>0</v>
      </c>
      <c r="BB313" s="6193" t="str">
        <f t="shared" si="147"/>
        <v/>
      </c>
      <c r="BC313" s="6219"/>
      <c r="BD313" s="6222">
        <f t="shared" si="152"/>
        <v>0</v>
      </c>
      <c r="BE313" s="6220" t="str">
        <f t="shared" si="148"/>
        <v/>
      </c>
      <c r="BF313" s="4" t="s">
        <v>1</v>
      </c>
      <c r="BG313" s="6196">
        <f t="shared" si="149"/>
        <v>0</v>
      </c>
      <c r="BH313" s="6197">
        <f t="shared" si="150"/>
        <v>0</v>
      </c>
      <c r="BI313"/>
      <c r="BJ313" s="1"/>
      <c r="BK313" s="1"/>
      <c r="BL313" s="1"/>
      <c r="BM313" s="1"/>
      <c r="BN313" s="1"/>
      <c r="BO313" s="1"/>
      <c r="BP313" s="1"/>
      <c r="BQ313" s="1"/>
      <c r="BX313" s="20" t="str">
        <f t="shared" si="131"/>
        <v>►</v>
      </c>
      <c r="CC313"/>
      <c r="CD313" s="2"/>
      <c r="CL313" s="2"/>
      <c r="CT313" s="2"/>
      <c r="DB313" s="2"/>
      <c r="DC313" s="5">
        <v>1</v>
      </c>
    </row>
    <row r="314" spans="1:109" ht="21" customHeight="1">
      <c r="L314" s="1021" t="s">
        <v>26</v>
      </c>
      <c r="M314" s="6787"/>
      <c r="N314" s="6787"/>
      <c r="O314" s="6787"/>
      <c r="P314" s="6788"/>
      <c r="Q314" s="6789"/>
      <c r="R314" s="6790"/>
      <c r="S314" s="6786"/>
      <c r="T314" s="6791"/>
      <c r="U314" s="6844"/>
      <c r="V314" s="6791"/>
      <c r="W314" s="6785"/>
      <c r="X314" s="6868"/>
      <c r="Y314" s="6793"/>
      <c r="Z314" s="6794"/>
      <c r="AA314" s="6795"/>
      <c r="AB314" s="6796"/>
      <c r="AC314" s="6797"/>
      <c r="AD314" s="6798"/>
      <c r="AE314" s="4" t="s">
        <v>1</v>
      </c>
      <c r="AF314" s="6202" t="str">
        <f t="shared" si="132"/>
        <v>►</v>
      </c>
      <c r="AG314" s="6234" t="str">
        <f t="shared" si="133"/>
        <v/>
      </c>
      <c r="AH314" s="6732" t="str">
        <f t="shared" si="134"/>
        <v/>
      </c>
      <c r="AI314" s="6234" t="str">
        <f t="shared" si="135"/>
        <v/>
      </c>
      <c r="AJ314" s="6732" t="str">
        <f t="shared" si="136"/>
        <v/>
      </c>
      <c r="AK314" s="6732">
        <f t="shared" si="137"/>
        <v>0</v>
      </c>
      <c r="AL314" s="6230" t="str" cm="1">
        <f t="array" ref="AL314">IF(AF314&lt;&gt;"A","",IFERROR((IFERROR(_xlfn.XLOOKUP(TRIM(SUBSTITUTE(U314,CHAR(160)," ")),$BJ$15:$BJ$62,$BM$15:$BM$62),IFERROR(_xlfn.XLOOKUP(TRIM(SUBSTITUTE(U314,CHAR(160)," ")),$BK$15:$BK$62,$BM$15:$BM$62),_xlfn.XLOOKUP(TRIM(SUBSTITUTE(U314,CHAR(160)," ")),$BL$15:$BL$62,$BM$15:$BM$62))))*T314*IF(ISBLANK(Q314),1,Q314)+IFERROR(_xlfn.XLOOKUP("RECHERCHEX",TRIM(L314:AD314),L314:AD314),0),0))</f>
        <v/>
      </c>
      <c r="AM314" s="6229">
        <f t="shared" si="138"/>
        <v>0</v>
      </c>
      <c r="AN314" s="6857" t="str">
        <f t="shared" si="153"/>
        <v/>
      </c>
      <c r="AO314" s="392">
        <f t="shared" si="139"/>
        <v>0</v>
      </c>
      <c r="AP314" s="392">
        <f t="shared" si="140"/>
        <v>0</v>
      </c>
      <c r="AQ314" s="6190">
        <f t="shared" si="141"/>
        <v>0</v>
      </c>
      <c r="AR314" s="6858" t="str">
        <f t="shared" si="142"/>
        <v/>
      </c>
      <c r="AS314" s="6217"/>
      <c r="AT314" s="6217"/>
      <c r="AU314" s="6271">
        <f t="shared" si="143"/>
        <v>0</v>
      </c>
      <c r="AV314" s="6242">
        <f t="shared" si="144"/>
        <v>0</v>
      </c>
      <c r="AW314" s="6188" cm="1">
        <f t="array" ref="AW314">IF(AK314&lt;&gt;1,0,IF(OR(AU314="",N(AU314)&lt;=0.000000001),"",IF(OR(AO314="",N(AO314)&lt;=0.000000001),0,IF(ISNUMBER(AU314),IFERROR(_xlfn.LET(_xlpm.ai_test,TRIM(AJ314),_xlpm.r,IFERROR(_xlfn.XLOOKUP(_xlpm.ai_test,$BJ$15:$BJ$62,ROW($BJ$15:$BJ$62),0,1),IFERROR(_xlfn.XLOOKUP(_xlpm.ai_test,$BK$15:$BK$62,ROW($BK$15:$BK$62),0,1),_xlfn.XLOOKUP(_xlpm.ai_test,$BL$15:$BL$62,ROW($BL$15:$BL$62),0,1))),_xlpm.p,_xlpm.r-MIN(ROW($BJ$15:$BJ$62))+1,_xlpm.f,INDEX($BM$15:$BM$62,_xlpm.p),_xlpm.u,INDEX($BN$15:$BN$62,_xlpm.p),_xlpm.s,INDEX($BP$15:$BP$62,_xlpm.p),_xlpm.q,N(AU314)/_xlpm.f,IF(_xlpm.q&gt;=_xlpm.s,ROUND(_xlpm.q,1)&amp;" "&amp;_xlpm.ai_test&amp;" = "&amp;ROUND(_xlpm.q*_xlpm.f,1)&amp;" "&amp;_xlpm.u,ROUND(_xlpm.q,1)&amp;" "&amp;_xlpm.ai_test)),""),""))))</f>
        <v>0</v>
      </c>
      <c r="AX314" s="6218"/>
      <c r="AY314" s="6271">
        <f t="shared" si="145"/>
        <v>0</v>
      </c>
      <c r="AZ314" s="6242" t="str">
        <f t="shared" si="146"/>
        <v/>
      </c>
      <c r="BA314" s="6194">
        <f t="shared" si="151"/>
        <v>0</v>
      </c>
      <c r="BB314" s="6192" t="str">
        <f t="shared" si="147"/>
        <v/>
      </c>
      <c r="BC314" s="6219"/>
      <c r="BD314" s="6221">
        <f t="shared" si="152"/>
        <v>0</v>
      </c>
      <c r="BE314" s="6220" t="str">
        <f t="shared" si="148"/>
        <v/>
      </c>
      <c r="BF314" s="4" t="s">
        <v>1</v>
      </c>
      <c r="BG314" s="6196">
        <f t="shared" si="149"/>
        <v>0</v>
      </c>
      <c r="BH314" s="6197">
        <f t="shared" si="150"/>
        <v>0</v>
      </c>
      <c r="BI314"/>
      <c r="BJ314" s="1"/>
      <c r="BK314" s="1"/>
      <c r="BL314" s="1"/>
      <c r="BM314" s="1"/>
      <c r="BN314" s="1"/>
      <c r="BO314" s="1"/>
      <c r="BP314" s="1"/>
      <c r="BQ314" s="1"/>
      <c r="BX314" s="20" t="str">
        <f t="shared" si="131"/>
        <v>►</v>
      </c>
      <c r="CC314"/>
      <c r="CD314" s="2"/>
      <c r="CL314" s="2"/>
      <c r="CT314" s="2"/>
      <c r="DB314" s="2"/>
      <c r="DC314" s="5">
        <v>1</v>
      </c>
    </row>
    <row r="315" spans="1:109" ht="21" customHeight="1">
      <c r="L315" s="1021" t="s">
        <v>26</v>
      </c>
      <c r="M315" s="6787"/>
      <c r="N315" s="6787"/>
      <c r="O315" s="6787"/>
      <c r="P315" s="6788"/>
      <c r="Q315" s="6789"/>
      <c r="R315" s="6790"/>
      <c r="S315" s="6786"/>
      <c r="T315" s="6791"/>
      <c r="U315" s="6844"/>
      <c r="V315" s="6791"/>
      <c r="W315" s="6785"/>
      <c r="X315" s="6868"/>
      <c r="Y315" s="6793"/>
      <c r="Z315" s="6794"/>
      <c r="AA315" s="6795"/>
      <c r="AB315" s="6796"/>
      <c r="AC315" s="6797"/>
      <c r="AD315" s="6798"/>
      <c r="AE315" s="4" t="s">
        <v>1</v>
      </c>
      <c r="AF315" s="6202" t="str">
        <f t="shared" si="132"/>
        <v>►</v>
      </c>
      <c r="AG315" s="6234" t="str">
        <f t="shared" si="133"/>
        <v/>
      </c>
      <c r="AH315" s="6732" t="str">
        <f t="shared" si="134"/>
        <v/>
      </c>
      <c r="AI315" s="6234" t="str">
        <f t="shared" si="135"/>
        <v/>
      </c>
      <c r="AJ315" s="6732" t="str">
        <f t="shared" si="136"/>
        <v/>
      </c>
      <c r="AK315" s="6732">
        <f t="shared" si="137"/>
        <v>0</v>
      </c>
      <c r="AL315" s="6230" t="str" cm="1">
        <f t="array" ref="AL315">IF(AF315&lt;&gt;"A","",IFERROR((IFERROR(_xlfn.XLOOKUP(TRIM(SUBSTITUTE(U315,CHAR(160)," ")),$BJ$15:$BJ$62,$BM$15:$BM$62),IFERROR(_xlfn.XLOOKUP(TRIM(SUBSTITUTE(U315,CHAR(160)," ")),$BK$15:$BK$62,$BM$15:$BM$62),_xlfn.XLOOKUP(TRIM(SUBSTITUTE(U315,CHAR(160)," ")),$BL$15:$BL$62,$BM$15:$BM$62))))*T315*IF(ISBLANK(Q315),1,Q315)+IFERROR(_xlfn.XLOOKUP("RECHERCHEX",TRIM(L315:AD315),L315:AD315),0),0))</f>
        <v/>
      </c>
      <c r="AM315" s="6229">
        <f t="shared" si="138"/>
        <v>0</v>
      </c>
      <c r="AN315" s="6857" t="str">
        <f t="shared" si="153"/>
        <v/>
      </c>
      <c r="AO315" s="392">
        <f t="shared" si="139"/>
        <v>0</v>
      </c>
      <c r="AP315" s="392">
        <f t="shared" si="140"/>
        <v>0</v>
      </c>
      <c r="AQ315" s="6191">
        <f t="shared" si="141"/>
        <v>0</v>
      </c>
      <c r="AR315" s="6859" t="str">
        <f t="shared" si="142"/>
        <v/>
      </c>
      <c r="AS315" s="6217"/>
      <c r="AT315" s="6217"/>
      <c r="AU315" s="6272">
        <f t="shared" si="143"/>
        <v>0</v>
      </c>
      <c r="AV315" s="6240">
        <f t="shared" si="144"/>
        <v>0</v>
      </c>
      <c r="AW315" s="6189" cm="1">
        <f t="array" ref="AW315">IF(AK315&lt;&gt;1,0,IF(OR(AU315="",N(AU315)&lt;=0.000000001),"",IF(OR(AO315="",N(AO315)&lt;=0.000000001),0,IF(ISNUMBER(AU315),IFERROR(_xlfn.LET(_xlpm.ai_test,TRIM(AJ315),_xlpm.r,IFERROR(_xlfn.XLOOKUP(_xlpm.ai_test,$BJ$15:$BJ$62,ROW($BJ$15:$BJ$62),0,1),IFERROR(_xlfn.XLOOKUP(_xlpm.ai_test,$BK$15:$BK$62,ROW($BK$15:$BK$62),0,1),_xlfn.XLOOKUP(_xlpm.ai_test,$BL$15:$BL$62,ROW($BL$15:$BL$62),0,1))),_xlpm.p,_xlpm.r-MIN(ROW($BJ$15:$BJ$62))+1,_xlpm.f,INDEX($BM$15:$BM$62,_xlpm.p),_xlpm.u,INDEX($BN$15:$BN$62,_xlpm.p),_xlpm.s,INDEX($BP$15:$BP$62,_xlpm.p),_xlpm.q,N(AU315)/_xlpm.f,IF(_xlpm.q&gt;=_xlpm.s,ROUND(_xlpm.q,1)&amp;" "&amp;_xlpm.ai_test&amp;" = "&amp;ROUND(_xlpm.q*_xlpm.f,1)&amp;" "&amp;_xlpm.u,ROUND(_xlpm.q,1)&amp;" "&amp;_xlpm.ai_test)),""),""))))</f>
        <v>0</v>
      </c>
      <c r="AX315" s="6218"/>
      <c r="AY315" s="6272">
        <f t="shared" si="145"/>
        <v>0</v>
      </c>
      <c r="AZ315" s="6240" t="str">
        <f t="shared" si="146"/>
        <v/>
      </c>
      <c r="BA315" s="6195">
        <f t="shared" si="151"/>
        <v>0</v>
      </c>
      <c r="BB315" s="6193" t="str">
        <f t="shared" si="147"/>
        <v/>
      </c>
      <c r="BC315" s="6219"/>
      <c r="BD315" s="6222">
        <f t="shared" si="152"/>
        <v>0</v>
      </c>
      <c r="BE315" s="6220" t="str">
        <f t="shared" si="148"/>
        <v/>
      </c>
      <c r="BF315" s="4" t="s">
        <v>1</v>
      </c>
      <c r="BG315" s="6196">
        <f t="shared" si="149"/>
        <v>0</v>
      </c>
      <c r="BH315" s="6197">
        <f t="shared" si="150"/>
        <v>0</v>
      </c>
      <c r="BI315"/>
      <c r="BJ315" s="1"/>
      <c r="BK315" s="1"/>
      <c r="BL315" s="1"/>
      <c r="BM315" s="1"/>
      <c r="BN315" s="1"/>
      <c r="BO315" s="1"/>
      <c r="BP315" s="1"/>
      <c r="BQ315" s="1"/>
      <c r="BX315" s="20" t="str">
        <f t="shared" si="131"/>
        <v>►</v>
      </c>
      <c r="CC315"/>
      <c r="CD315" s="2"/>
      <c r="CL315" s="2"/>
      <c r="CT315" s="2"/>
      <c r="DB315" s="2"/>
      <c r="DC315" s="5">
        <v>1</v>
      </c>
    </row>
    <row r="316" spans="1:109" ht="21" customHeight="1">
      <c r="L316" s="1021" t="s">
        <v>26</v>
      </c>
      <c r="M316" s="6787"/>
      <c r="N316" s="6787"/>
      <c r="O316" s="6787"/>
      <c r="P316" s="6788"/>
      <c r="Q316" s="6789"/>
      <c r="R316" s="6790"/>
      <c r="S316" s="6786"/>
      <c r="T316" s="6791"/>
      <c r="U316" s="6844"/>
      <c r="V316" s="6791"/>
      <c r="W316" s="6785"/>
      <c r="X316" s="6868"/>
      <c r="Y316" s="6793"/>
      <c r="Z316" s="6794"/>
      <c r="AA316" s="6795"/>
      <c r="AB316" s="6796"/>
      <c r="AC316" s="6797"/>
      <c r="AD316" s="6798"/>
      <c r="AE316" s="4" t="s">
        <v>1</v>
      </c>
      <c r="AF316" s="6202" t="str">
        <f t="shared" si="132"/>
        <v>►</v>
      </c>
      <c r="AG316" s="6234" t="str">
        <f t="shared" si="133"/>
        <v/>
      </c>
      <c r="AH316" s="6732" t="str">
        <f t="shared" si="134"/>
        <v/>
      </c>
      <c r="AI316" s="6234" t="str">
        <f t="shared" si="135"/>
        <v/>
      </c>
      <c r="AJ316" s="6732" t="str">
        <f t="shared" si="136"/>
        <v/>
      </c>
      <c r="AK316" s="6732">
        <f t="shared" si="137"/>
        <v>0</v>
      </c>
      <c r="AL316" s="6230" t="str" cm="1">
        <f t="array" ref="AL316">IF(AF316&lt;&gt;"A","",IFERROR((IFERROR(_xlfn.XLOOKUP(TRIM(SUBSTITUTE(U316,CHAR(160)," ")),$BJ$15:$BJ$62,$BM$15:$BM$62),IFERROR(_xlfn.XLOOKUP(TRIM(SUBSTITUTE(U316,CHAR(160)," ")),$BK$15:$BK$62,$BM$15:$BM$62),_xlfn.XLOOKUP(TRIM(SUBSTITUTE(U316,CHAR(160)," ")),$BL$15:$BL$62,$BM$15:$BM$62))))*T316*IF(ISBLANK(Q316),1,Q316)+IFERROR(_xlfn.XLOOKUP("RECHERCHEX",TRIM(L316:AD316),L316:AD316),0),0))</f>
        <v/>
      </c>
      <c r="AM316" s="6229">
        <f t="shared" si="138"/>
        <v>0</v>
      </c>
      <c r="AN316" s="6857" t="str">
        <f t="shared" si="153"/>
        <v/>
      </c>
      <c r="AO316" s="392">
        <f t="shared" si="139"/>
        <v>0</v>
      </c>
      <c r="AP316" s="392">
        <f t="shared" si="140"/>
        <v>0</v>
      </c>
      <c r="AQ316" s="6190">
        <f t="shared" si="141"/>
        <v>0</v>
      </c>
      <c r="AR316" s="6858" t="str">
        <f t="shared" si="142"/>
        <v/>
      </c>
      <c r="AS316" s="6217"/>
      <c r="AT316" s="6217"/>
      <c r="AU316" s="6271">
        <f t="shared" si="143"/>
        <v>0</v>
      </c>
      <c r="AV316" s="6242">
        <f t="shared" si="144"/>
        <v>0</v>
      </c>
      <c r="AW316" s="6188" cm="1">
        <f t="array" ref="AW316">IF(AK316&lt;&gt;1,0,IF(OR(AU316="",N(AU316)&lt;=0.000000001),"",IF(OR(AO316="",N(AO316)&lt;=0.000000001),0,IF(ISNUMBER(AU316),IFERROR(_xlfn.LET(_xlpm.ai_test,TRIM(AJ316),_xlpm.r,IFERROR(_xlfn.XLOOKUP(_xlpm.ai_test,$BJ$15:$BJ$62,ROW($BJ$15:$BJ$62),0,1),IFERROR(_xlfn.XLOOKUP(_xlpm.ai_test,$BK$15:$BK$62,ROW($BK$15:$BK$62),0,1),_xlfn.XLOOKUP(_xlpm.ai_test,$BL$15:$BL$62,ROW($BL$15:$BL$62),0,1))),_xlpm.p,_xlpm.r-MIN(ROW($BJ$15:$BJ$62))+1,_xlpm.f,INDEX($BM$15:$BM$62,_xlpm.p),_xlpm.u,INDEX($BN$15:$BN$62,_xlpm.p),_xlpm.s,INDEX($BP$15:$BP$62,_xlpm.p),_xlpm.q,N(AU316)/_xlpm.f,IF(_xlpm.q&gt;=_xlpm.s,ROUND(_xlpm.q,1)&amp;" "&amp;_xlpm.ai_test&amp;" = "&amp;ROUND(_xlpm.q*_xlpm.f,1)&amp;" "&amp;_xlpm.u,ROUND(_xlpm.q,1)&amp;" "&amp;_xlpm.ai_test)),""),""))))</f>
        <v>0</v>
      </c>
      <c r="AX316" s="6218"/>
      <c r="AY316" s="6271">
        <f t="shared" si="145"/>
        <v>0</v>
      </c>
      <c r="AZ316" s="6242" t="str">
        <f t="shared" si="146"/>
        <v/>
      </c>
      <c r="BA316" s="6194">
        <f t="shared" si="151"/>
        <v>0</v>
      </c>
      <c r="BB316" s="6192" t="str">
        <f t="shared" si="147"/>
        <v/>
      </c>
      <c r="BC316" s="6219"/>
      <c r="BD316" s="6221">
        <f t="shared" si="152"/>
        <v>0</v>
      </c>
      <c r="BE316" s="6220" t="str">
        <f t="shared" si="148"/>
        <v/>
      </c>
      <c r="BF316" s="4" t="s">
        <v>1</v>
      </c>
      <c r="BG316" s="6196">
        <f t="shared" si="149"/>
        <v>0</v>
      </c>
      <c r="BH316" s="6197">
        <f t="shared" si="150"/>
        <v>0</v>
      </c>
      <c r="BI316"/>
      <c r="BJ316" s="1"/>
      <c r="BK316" s="1"/>
      <c r="BL316" s="1"/>
      <c r="BM316" s="1"/>
      <c r="BN316" s="1"/>
      <c r="BO316" s="1"/>
      <c r="BP316" s="1"/>
      <c r="BQ316" s="1"/>
      <c r="BX316" s="20" t="str">
        <f t="shared" si="131"/>
        <v>►</v>
      </c>
      <c r="CC316"/>
      <c r="CD316" s="2"/>
      <c r="CL316" s="2"/>
      <c r="CT316" s="2"/>
      <c r="DB316" s="2"/>
      <c r="DC316" s="5">
        <v>1</v>
      </c>
    </row>
    <row r="317" spans="1:109" ht="21" customHeight="1">
      <c r="L317" s="1021" t="s">
        <v>26</v>
      </c>
      <c r="M317" s="6787"/>
      <c r="N317" s="6787"/>
      <c r="O317" s="6787"/>
      <c r="P317" s="6788"/>
      <c r="Q317" s="6789"/>
      <c r="R317" s="6790"/>
      <c r="S317" s="6786"/>
      <c r="T317" s="6791"/>
      <c r="U317" s="6844"/>
      <c r="V317" s="6791"/>
      <c r="W317" s="6785"/>
      <c r="X317" s="6868"/>
      <c r="Y317" s="6793"/>
      <c r="Z317" s="6794"/>
      <c r="AA317" s="6795"/>
      <c r="AB317" s="6796"/>
      <c r="AC317" s="6797"/>
      <c r="AD317" s="6798"/>
      <c r="AE317" s="4" t="s">
        <v>1</v>
      </c>
      <c r="AF317" s="6202" t="str">
        <f t="shared" si="132"/>
        <v>►</v>
      </c>
      <c r="AG317" s="6234" t="str">
        <f t="shared" si="133"/>
        <v/>
      </c>
      <c r="AH317" s="6732" t="str">
        <f t="shared" si="134"/>
        <v/>
      </c>
      <c r="AI317" s="6234" t="str">
        <f t="shared" si="135"/>
        <v/>
      </c>
      <c r="AJ317" s="6732" t="str">
        <f t="shared" si="136"/>
        <v/>
      </c>
      <c r="AK317" s="6732">
        <f t="shared" si="137"/>
        <v>0</v>
      </c>
      <c r="AL317" s="6230" t="str" cm="1">
        <f t="array" ref="AL317">IF(AF317&lt;&gt;"A","",IFERROR((IFERROR(_xlfn.XLOOKUP(TRIM(SUBSTITUTE(U317,CHAR(160)," ")),$BJ$15:$BJ$62,$BM$15:$BM$62),IFERROR(_xlfn.XLOOKUP(TRIM(SUBSTITUTE(U317,CHAR(160)," ")),$BK$15:$BK$62,$BM$15:$BM$62),_xlfn.XLOOKUP(TRIM(SUBSTITUTE(U317,CHAR(160)," ")),$BL$15:$BL$62,$BM$15:$BM$62))))*T317*IF(ISBLANK(Q317),1,Q317)+IFERROR(_xlfn.XLOOKUP("RECHERCHEX",TRIM(L317:AD317),L317:AD317),0),0))</f>
        <v/>
      </c>
      <c r="AM317" s="6229">
        <f t="shared" si="138"/>
        <v>0</v>
      </c>
      <c r="AN317" s="6857" t="str">
        <f t="shared" si="153"/>
        <v/>
      </c>
      <c r="AO317" s="392">
        <f t="shared" si="139"/>
        <v>0</v>
      </c>
      <c r="AP317" s="392">
        <f t="shared" si="140"/>
        <v>0</v>
      </c>
      <c r="AQ317" s="6191">
        <f t="shared" si="141"/>
        <v>0</v>
      </c>
      <c r="AR317" s="6859" t="str">
        <f t="shared" si="142"/>
        <v/>
      </c>
      <c r="AS317" s="6217"/>
      <c r="AT317" s="6217"/>
      <c r="AU317" s="6272">
        <f t="shared" si="143"/>
        <v>0</v>
      </c>
      <c r="AV317" s="6240">
        <f t="shared" si="144"/>
        <v>0</v>
      </c>
      <c r="AW317" s="6189" cm="1">
        <f t="array" ref="AW317">IF(AK317&lt;&gt;1,0,IF(OR(AU317="",N(AU317)&lt;=0.000000001),"",IF(OR(AO317="",N(AO317)&lt;=0.000000001),0,IF(ISNUMBER(AU317),IFERROR(_xlfn.LET(_xlpm.ai_test,TRIM(AJ317),_xlpm.r,IFERROR(_xlfn.XLOOKUP(_xlpm.ai_test,$BJ$15:$BJ$62,ROW($BJ$15:$BJ$62),0,1),IFERROR(_xlfn.XLOOKUP(_xlpm.ai_test,$BK$15:$BK$62,ROW($BK$15:$BK$62),0,1),_xlfn.XLOOKUP(_xlpm.ai_test,$BL$15:$BL$62,ROW($BL$15:$BL$62),0,1))),_xlpm.p,_xlpm.r-MIN(ROW($BJ$15:$BJ$62))+1,_xlpm.f,INDEX($BM$15:$BM$62,_xlpm.p),_xlpm.u,INDEX($BN$15:$BN$62,_xlpm.p),_xlpm.s,INDEX($BP$15:$BP$62,_xlpm.p),_xlpm.q,N(AU317)/_xlpm.f,IF(_xlpm.q&gt;=_xlpm.s,ROUND(_xlpm.q,1)&amp;" "&amp;_xlpm.ai_test&amp;" = "&amp;ROUND(_xlpm.q*_xlpm.f,1)&amp;" "&amp;_xlpm.u,ROUND(_xlpm.q,1)&amp;" "&amp;_xlpm.ai_test)),""),""))))</f>
        <v>0</v>
      </c>
      <c r="AX317" s="6218"/>
      <c r="AY317" s="6272">
        <f t="shared" si="145"/>
        <v>0</v>
      </c>
      <c r="AZ317" s="6240" t="str">
        <f t="shared" si="146"/>
        <v/>
      </c>
      <c r="BA317" s="6195">
        <f t="shared" si="151"/>
        <v>0</v>
      </c>
      <c r="BB317" s="6193" t="str">
        <f t="shared" si="147"/>
        <v/>
      </c>
      <c r="BC317" s="6219"/>
      <c r="BD317" s="6222">
        <f t="shared" si="152"/>
        <v>0</v>
      </c>
      <c r="BE317" s="6220" t="str">
        <f t="shared" si="148"/>
        <v/>
      </c>
      <c r="BF317" s="4" t="s">
        <v>1</v>
      </c>
      <c r="BG317" s="6196">
        <f t="shared" si="149"/>
        <v>0</v>
      </c>
      <c r="BH317" s="6197">
        <f t="shared" si="150"/>
        <v>0</v>
      </c>
      <c r="BI317"/>
      <c r="BJ317" s="1"/>
      <c r="BK317" s="1"/>
      <c r="BL317" s="1"/>
      <c r="BM317" s="1"/>
      <c r="BN317" s="1"/>
      <c r="BO317" s="1"/>
      <c r="BP317" s="1"/>
      <c r="BQ317" s="1"/>
      <c r="BX317" s="20" t="str">
        <f t="shared" si="131"/>
        <v>►</v>
      </c>
      <c r="CC317"/>
      <c r="CD317" s="2"/>
      <c r="CL317" s="2"/>
      <c r="CT317" s="2"/>
      <c r="DB317" s="2"/>
      <c r="DC317" s="5">
        <v>1</v>
      </c>
    </row>
    <row r="318" spans="1:109" ht="21" customHeight="1">
      <c r="L318" s="1021" t="s">
        <v>26</v>
      </c>
      <c r="M318" s="6787"/>
      <c r="N318" s="6787"/>
      <c r="O318" s="6787"/>
      <c r="P318" s="6788"/>
      <c r="Q318" s="6789"/>
      <c r="R318" s="6790"/>
      <c r="S318" s="6786"/>
      <c r="T318" s="6791"/>
      <c r="U318" s="6844"/>
      <c r="V318" s="6791"/>
      <c r="W318" s="6785"/>
      <c r="X318" s="6868"/>
      <c r="Y318" s="6793"/>
      <c r="Z318" s="6794"/>
      <c r="AA318" s="6795"/>
      <c r="AB318" s="6796"/>
      <c r="AC318" s="6797"/>
      <c r="AD318" s="6798"/>
      <c r="AE318" s="4" t="s">
        <v>1</v>
      </c>
      <c r="AF318" s="6202" t="str">
        <f t="shared" si="132"/>
        <v>►</v>
      </c>
      <c r="AG318" s="6234" t="str">
        <f t="shared" si="133"/>
        <v/>
      </c>
      <c r="AH318" s="6732" t="str">
        <f t="shared" si="134"/>
        <v/>
      </c>
      <c r="AI318" s="6234" t="str">
        <f t="shared" si="135"/>
        <v/>
      </c>
      <c r="AJ318" s="6732" t="str">
        <f t="shared" si="136"/>
        <v/>
      </c>
      <c r="AK318" s="6732">
        <f t="shared" si="137"/>
        <v>0</v>
      </c>
      <c r="AL318" s="6230" t="str" cm="1">
        <f t="array" ref="AL318">IF(AF318&lt;&gt;"A","",IFERROR((IFERROR(_xlfn.XLOOKUP(TRIM(SUBSTITUTE(U318,CHAR(160)," ")),$BJ$15:$BJ$62,$BM$15:$BM$62),IFERROR(_xlfn.XLOOKUP(TRIM(SUBSTITUTE(U318,CHAR(160)," ")),$BK$15:$BK$62,$BM$15:$BM$62),_xlfn.XLOOKUP(TRIM(SUBSTITUTE(U318,CHAR(160)," ")),$BL$15:$BL$62,$BM$15:$BM$62))))*T318*IF(ISBLANK(Q318),1,Q318)+IFERROR(_xlfn.XLOOKUP("RECHERCHEX",TRIM(L318:AD318),L318:AD318),0),0))</f>
        <v/>
      </c>
      <c r="AM318" s="6229">
        <f t="shared" si="138"/>
        <v>0</v>
      </c>
      <c r="AN318" s="6857" t="str">
        <f t="shared" si="153"/>
        <v/>
      </c>
      <c r="AO318" s="392">
        <f t="shared" si="139"/>
        <v>0</v>
      </c>
      <c r="AP318" s="392">
        <f t="shared" si="140"/>
        <v>0</v>
      </c>
      <c r="AQ318" s="6190">
        <f t="shared" si="141"/>
        <v>0</v>
      </c>
      <c r="AR318" s="6858" t="str">
        <f t="shared" si="142"/>
        <v/>
      </c>
      <c r="AS318" s="6217"/>
      <c r="AT318" s="6217"/>
      <c r="AU318" s="6271">
        <f t="shared" si="143"/>
        <v>0</v>
      </c>
      <c r="AV318" s="6242">
        <f t="shared" si="144"/>
        <v>0</v>
      </c>
      <c r="AW318" s="6188" cm="1">
        <f t="array" ref="AW318">IF(AK318&lt;&gt;1,0,IF(OR(AU318="",N(AU318)&lt;=0.000000001),"",IF(OR(AO318="",N(AO318)&lt;=0.000000001),0,IF(ISNUMBER(AU318),IFERROR(_xlfn.LET(_xlpm.ai_test,TRIM(AJ318),_xlpm.r,IFERROR(_xlfn.XLOOKUP(_xlpm.ai_test,$BJ$15:$BJ$62,ROW($BJ$15:$BJ$62),0,1),IFERROR(_xlfn.XLOOKUP(_xlpm.ai_test,$BK$15:$BK$62,ROW($BK$15:$BK$62),0,1),_xlfn.XLOOKUP(_xlpm.ai_test,$BL$15:$BL$62,ROW($BL$15:$BL$62),0,1))),_xlpm.p,_xlpm.r-MIN(ROW($BJ$15:$BJ$62))+1,_xlpm.f,INDEX($BM$15:$BM$62,_xlpm.p),_xlpm.u,INDEX($BN$15:$BN$62,_xlpm.p),_xlpm.s,INDEX($BP$15:$BP$62,_xlpm.p),_xlpm.q,N(AU318)/_xlpm.f,IF(_xlpm.q&gt;=_xlpm.s,ROUND(_xlpm.q,1)&amp;" "&amp;_xlpm.ai_test&amp;" = "&amp;ROUND(_xlpm.q*_xlpm.f,1)&amp;" "&amp;_xlpm.u,ROUND(_xlpm.q,1)&amp;" "&amp;_xlpm.ai_test)),""),""))))</f>
        <v>0</v>
      </c>
      <c r="AX318" s="6218"/>
      <c r="AY318" s="6271">
        <f t="shared" si="145"/>
        <v>0</v>
      </c>
      <c r="AZ318" s="6242" t="str">
        <f t="shared" si="146"/>
        <v/>
      </c>
      <c r="BA318" s="6194">
        <f t="shared" si="151"/>
        <v>0</v>
      </c>
      <c r="BB318" s="6192" t="str">
        <f t="shared" si="147"/>
        <v/>
      </c>
      <c r="BC318" s="6219"/>
      <c r="BD318" s="6221">
        <f t="shared" si="152"/>
        <v>0</v>
      </c>
      <c r="BE318" s="6220" t="str">
        <f t="shared" si="148"/>
        <v/>
      </c>
      <c r="BF318" s="4" t="s">
        <v>1</v>
      </c>
      <c r="BG318" s="6196">
        <f t="shared" si="149"/>
        <v>0</v>
      </c>
      <c r="BH318" s="6197">
        <f t="shared" si="150"/>
        <v>0</v>
      </c>
      <c r="BI318"/>
      <c r="BJ318" s="1"/>
      <c r="BK318" s="1"/>
      <c r="BL318" s="1"/>
      <c r="BM318" s="1"/>
      <c r="BN318" s="1"/>
      <c r="BO318" s="1"/>
      <c r="BP318" s="1"/>
      <c r="BQ318" s="1"/>
      <c r="BX318" s="20" t="str">
        <f t="shared" si="131"/>
        <v>►</v>
      </c>
      <c r="CC318"/>
      <c r="CD318" s="2"/>
      <c r="CL318" s="2"/>
      <c r="CT318" s="2"/>
      <c r="DB318" s="2"/>
      <c r="DC318" s="5">
        <v>1</v>
      </c>
    </row>
    <row r="319" spans="1:109" ht="21" customHeight="1">
      <c r="L319" s="1021" t="s">
        <v>26</v>
      </c>
      <c r="M319" s="6787"/>
      <c r="N319" s="6787"/>
      <c r="O319" s="6787"/>
      <c r="P319" s="6788"/>
      <c r="Q319" s="6789"/>
      <c r="R319" s="6790"/>
      <c r="S319" s="6786"/>
      <c r="T319" s="6791"/>
      <c r="U319" s="6844"/>
      <c r="V319" s="6791"/>
      <c r="W319" s="6785"/>
      <c r="X319" s="6868"/>
      <c r="Y319" s="6793"/>
      <c r="Z319" s="6794"/>
      <c r="AA319" s="6795"/>
      <c r="AB319" s="6796"/>
      <c r="AC319" s="6797"/>
      <c r="AD319" s="6798"/>
      <c r="AE319" s="4" t="s">
        <v>1</v>
      </c>
      <c r="AF319" s="6202" t="str">
        <f t="shared" si="132"/>
        <v>►</v>
      </c>
      <c r="AG319" s="6234" t="str">
        <f t="shared" si="133"/>
        <v/>
      </c>
      <c r="AH319" s="6732" t="str">
        <f t="shared" si="134"/>
        <v/>
      </c>
      <c r="AI319" s="6234" t="str">
        <f t="shared" si="135"/>
        <v/>
      </c>
      <c r="AJ319" s="6732" t="str">
        <f t="shared" si="136"/>
        <v/>
      </c>
      <c r="AK319" s="6732">
        <f t="shared" si="137"/>
        <v>0</v>
      </c>
      <c r="AL319" s="6230" t="str" cm="1">
        <f t="array" ref="AL319">IF(AF319&lt;&gt;"A","",IFERROR((IFERROR(_xlfn.XLOOKUP(TRIM(SUBSTITUTE(U319,CHAR(160)," ")),$BJ$15:$BJ$62,$BM$15:$BM$62),IFERROR(_xlfn.XLOOKUP(TRIM(SUBSTITUTE(U319,CHAR(160)," ")),$BK$15:$BK$62,$BM$15:$BM$62),_xlfn.XLOOKUP(TRIM(SUBSTITUTE(U319,CHAR(160)," ")),$BL$15:$BL$62,$BM$15:$BM$62))))*T319*IF(ISBLANK(Q319),1,Q319)+IFERROR(_xlfn.XLOOKUP("RECHERCHEX",TRIM(L319:AD319),L319:AD319),0),0))</f>
        <v/>
      </c>
      <c r="AM319" s="6229">
        <f t="shared" si="138"/>
        <v>0</v>
      </c>
      <c r="AN319" s="6857" t="str">
        <f t="shared" si="153"/>
        <v/>
      </c>
      <c r="AO319" s="392">
        <f t="shared" si="139"/>
        <v>0</v>
      </c>
      <c r="AP319" s="392">
        <f t="shared" si="140"/>
        <v>0</v>
      </c>
      <c r="AQ319" s="6191">
        <f t="shared" si="141"/>
        <v>0</v>
      </c>
      <c r="AR319" s="6859" t="str">
        <f t="shared" si="142"/>
        <v/>
      </c>
      <c r="AS319" s="6217"/>
      <c r="AT319" s="6217"/>
      <c r="AU319" s="6272">
        <f t="shared" si="143"/>
        <v>0</v>
      </c>
      <c r="AV319" s="6240">
        <f t="shared" si="144"/>
        <v>0</v>
      </c>
      <c r="AW319" s="6189" cm="1">
        <f t="array" ref="AW319">IF(AK319&lt;&gt;1,0,IF(OR(AU319="",N(AU319)&lt;=0.000000001),"",IF(OR(AO319="",N(AO319)&lt;=0.000000001),0,IF(ISNUMBER(AU319),IFERROR(_xlfn.LET(_xlpm.ai_test,TRIM(AJ319),_xlpm.r,IFERROR(_xlfn.XLOOKUP(_xlpm.ai_test,$BJ$15:$BJ$62,ROW($BJ$15:$BJ$62),0,1),IFERROR(_xlfn.XLOOKUP(_xlpm.ai_test,$BK$15:$BK$62,ROW($BK$15:$BK$62),0,1),_xlfn.XLOOKUP(_xlpm.ai_test,$BL$15:$BL$62,ROW($BL$15:$BL$62),0,1))),_xlpm.p,_xlpm.r-MIN(ROW($BJ$15:$BJ$62))+1,_xlpm.f,INDEX($BM$15:$BM$62,_xlpm.p),_xlpm.u,INDEX($BN$15:$BN$62,_xlpm.p),_xlpm.s,INDEX($BP$15:$BP$62,_xlpm.p),_xlpm.q,N(AU319)/_xlpm.f,IF(_xlpm.q&gt;=_xlpm.s,ROUND(_xlpm.q,1)&amp;" "&amp;_xlpm.ai_test&amp;" = "&amp;ROUND(_xlpm.q*_xlpm.f,1)&amp;" "&amp;_xlpm.u,ROUND(_xlpm.q,1)&amp;" "&amp;_xlpm.ai_test)),""),""))))</f>
        <v>0</v>
      </c>
      <c r="AX319" s="6218"/>
      <c r="AY319" s="6272">
        <f t="shared" si="145"/>
        <v>0</v>
      </c>
      <c r="AZ319" s="6240" t="str">
        <f t="shared" si="146"/>
        <v/>
      </c>
      <c r="BA319" s="6195">
        <f t="shared" si="151"/>
        <v>0</v>
      </c>
      <c r="BB319" s="6193" t="str">
        <f t="shared" si="147"/>
        <v/>
      </c>
      <c r="BC319" s="6219"/>
      <c r="BD319" s="6222">
        <f t="shared" si="152"/>
        <v>0</v>
      </c>
      <c r="BE319" s="6220" t="str">
        <f t="shared" si="148"/>
        <v/>
      </c>
      <c r="BF319" s="4" t="s">
        <v>1</v>
      </c>
      <c r="BG319" s="6196">
        <f t="shared" si="149"/>
        <v>0</v>
      </c>
      <c r="BH319" s="6197">
        <f t="shared" si="150"/>
        <v>0</v>
      </c>
      <c r="BI319"/>
      <c r="BJ319" s="1"/>
      <c r="BK319" s="1"/>
      <c r="BL319" s="1"/>
      <c r="BM319" s="1"/>
      <c r="BN319" s="1"/>
      <c r="BO319" s="1"/>
      <c r="BP319" s="1"/>
      <c r="BQ319" s="1"/>
      <c r="BX319" s="20" t="str">
        <f t="shared" si="131"/>
        <v>►</v>
      </c>
      <c r="CC319"/>
      <c r="CD319" s="2"/>
      <c r="CL319" s="2"/>
      <c r="CT319" s="2"/>
      <c r="DB319" s="2"/>
      <c r="DC319" s="5">
        <v>1</v>
      </c>
    </row>
    <row r="320" spans="1:109" ht="21" customHeight="1">
      <c r="L320" s="1021" t="s">
        <v>26</v>
      </c>
      <c r="M320" s="6787"/>
      <c r="N320" s="6787"/>
      <c r="O320" s="6787"/>
      <c r="P320" s="6788"/>
      <c r="Q320" s="6789"/>
      <c r="R320" s="6790"/>
      <c r="S320" s="6786"/>
      <c r="T320" s="6791"/>
      <c r="U320" s="6844"/>
      <c r="V320" s="6791"/>
      <c r="W320" s="6785"/>
      <c r="X320" s="6868"/>
      <c r="Y320" s="6793"/>
      <c r="Z320" s="6794"/>
      <c r="AA320" s="6795"/>
      <c r="AB320" s="6796"/>
      <c r="AC320" s="6797"/>
      <c r="AD320" s="6798"/>
      <c r="AE320" s="4" t="s">
        <v>1</v>
      </c>
      <c r="AF320" s="6202" t="str">
        <f t="shared" si="132"/>
        <v>►</v>
      </c>
      <c r="AG320" s="6234" t="str">
        <f t="shared" si="133"/>
        <v/>
      </c>
      <c r="AH320" s="6732" t="str">
        <f t="shared" si="134"/>
        <v/>
      </c>
      <c r="AI320" s="6234" t="str">
        <f t="shared" si="135"/>
        <v/>
      </c>
      <c r="AJ320" s="6732" t="str">
        <f t="shared" si="136"/>
        <v/>
      </c>
      <c r="AK320" s="6732">
        <f t="shared" si="137"/>
        <v>0</v>
      </c>
      <c r="AL320" s="6230" t="str" cm="1">
        <f t="array" ref="AL320">IF(AF320&lt;&gt;"A","",IFERROR((IFERROR(_xlfn.XLOOKUP(TRIM(SUBSTITUTE(U320,CHAR(160)," ")),$BJ$15:$BJ$62,$BM$15:$BM$62),IFERROR(_xlfn.XLOOKUP(TRIM(SUBSTITUTE(U320,CHAR(160)," ")),$BK$15:$BK$62,$BM$15:$BM$62),_xlfn.XLOOKUP(TRIM(SUBSTITUTE(U320,CHAR(160)," ")),$BL$15:$BL$62,$BM$15:$BM$62))))*T320*IF(ISBLANK(Q320),1,Q320)+IFERROR(_xlfn.XLOOKUP("RECHERCHEX",TRIM(L320:AD320),L320:AD320),0),0))</f>
        <v/>
      </c>
      <c r="AM320" s="6229">
        <f t="shared" si="138"/>
        <v>0</v>
      </c>
      <c r="AN320" s="6857" t="str">
        <f t="shared" si="153"/>
        <v/>
      </c>
      <c r="AO320" s="392">
        <f t="shared" si="139"/>
        <v>0</v>
      </c>
      <c r="AP320" s="392">
        <f t="shared" si="140"/>
        <v>0</v>
      </c>
      <c r="AQ320" s="6190">
        <f t="shared" si="141"/>
        <v>0</v>
      </c>
      <c r="AR320" s="6858" t="str">
        <f t="shared" si="142"/>
        <v/>
      </c>
      <c r="AS320" s="6217"/>
      <c r="AT320" s="6217"/>
      <c r="AU320" s="6271">
        <f t="shared" si="143"/>
        <v>0</v>
      </c>
      <c r="AV320" s="6242">
        <f t="shared" si="144"/>
        <v>0</v>
      </c>
      <c r="AW320" s="6188" cm="1">
        <f t="array" ref="AW320">IF(AK320&lt;&gt;1,0,IF(OR(AU320="",N(AU320)&lt;=0.000000001),"",IF(OR(AO320="",N(AO320)&lt;=0.000000001),0,IF(ISNUMBER(AU320),IFERROR(_xlfn.LET(_xlpm.ai_test,TRIM(AJ320),_xlpm.r,IFERROR(_xlfn.XLOOKUP(_xlpm.ai_test,$BJ$15:$BJ$62,ROW($BJ$15:$BJ$62),0,1),IFERROR(_xlfn.XLOOKUP(_xlpm.ai_test,$BK$15:$BK$62,ROW($BK$15:$BK$62),0,1),_xlfn.XLOOKUP(_xlpm.ai_test,$BL$15:$BL$62,ROW($BL$15:$BL$62),0,1))),_xlpm.p,_xlpm.r-MIN(ROW($BJ$15:$BJ$62))+1,_xlpm.f,INDEX($BM$15:$BM$62,_xlpm.p),_xlpm.u,INDEX($BN$15:$BN$62,_xlpm.p),_xlpm.s,INDEX($BP$15:$BP$62,_xlpm.p),_xlpm.q,N(AU320)/_xlpm.f,IF(_xlpm.q&gt;=_xlpm.s,ROUND(_xlpm.q,1)&amp;" "&amp;_xlpm.ai_test&amp;" = "&amp;ROUND(_xlpm.q*_xlpm.f,1)&amp;" "&amp;_xlpm.u,ROUND(_xlpm.q,1)&amp;" "&amp;_xlpm.ai_test)),""),""))))</f>
        <v>0</v>
      </c>
      <c r="AX320" s="6218"/>
      <c r="AY320" s="6271">
        <f t="shared" si="145"/>
        <v>0</v>
      </c>
      <c r="AZ320" s="6242" t="str">
        <f t="shared" si="146"/>
        <v/>
      </c>
      <c r="BA320" s="6194">
        <f t="shared" si="151"/>
        <v>0</v>
      </c>
      <c r="BB320" s="6192" t="str">
        <f t="shared" si="147"/>
        <v/>
      </c>
      <c r="BC320" s="6219"/>
      <c r="BD320" s="6221">
        <f t="shared" si="152"/>
        <v>0</v>
      </c>
      <c r="BE320" s="6220" t="str">
        <f t="shared" si="148"/>
        <v/>
      </c>
      <c r="BF320" s="4" t="s">
        <v>1</v>
      </c>
      <c r="BG320" s="6196">
        <f t="shared" si="149"/>
        <v>0</v>
      </c>
      <c r="BH320" s="6197">
        <f t="shared" si="150"/>
        <v>0</v>
      </c>
      <c r="BI320"/>
      <c r="BJ320" s="1"/>
      <c r="BK320" s="1"/>
      <c r="BL320" s="1"/>
      <c r="BM320" s="1"/>
      <c r="BN320" s="1"/>
      <c r="BO320" s="1"/>
      <c r="BP320" s="1"/>
      <c r="BQ320" s="1"/>
      <c r="BX320" s="20" t="str">
        <f t="shared" si="131"/>
        <v>►</v>
      </c>
      <c r="BY320" s="2"/>
      <c r="BZ320" s="2"/>
      <c r="CA320" s="2"/>
      <c r="CB320" s="2"/>
      <c r="CC320" s="2"/>
      <c r="CD320" s="2"/>
      <c r="CL320" s="2"/>
      <c r="CT320" s="2"/>
      <c r="DB320" s="2"/>
      <c r="DC320" s="5">
        <v>1</v>
      </c>
    </row>
    <row r="321" spans="12:107" ht="21" customHeight="1">
      <c r="L321" s="1021" t="s">
        <v>26</v>
      </c>
      <c r="M321" s="6787"/>
      <c r="N321" s="6787"/>
      <c r="O321" s="6787"/>
      <c r="P321" s="6788"/>
      <c r="Q321" s="6789"/>
      <c r="R321" s="6790"/>
      <c r="S321" s="6786"/>
      <c r="T321" s="6791"/>
      <c r="U321" s="6844"/>
      <c r="V321" s="6791"/>
      <c r="W321" s="6785"/>
      <c r="X321" s="6868"/>
      <c r="Y321" s="6793"/>
      <c r="Z321" s="6794"/>
      <c r="AA321" s="6795"/>
      <c r="AB321" s="6796"/>
      <c r="AC321" s="6797"/>
      <c r="AD321" s="6798"/>
      <c r="AE321" s="4" t="s">
        <v>1</v>
      </c>
      <c r="AF321" s="6202" t="str">
        <f t="shared" si="132"/>
        <v>►</v>
      </c>
      <c r="AG321" s="6234" t="str">
        <f t="shared" si="133"/>
        <v/>
      </c>
      <c r="AH321" s="6732" t="str">
        <f t="shared" si="134"/>
        <v/>
      </c>
      <c r="AI321" s="6234" t="str">
        <f t="shared" si="135"/>
        <v/>
      </c>
      <c r="AJ321" s="6732" t="str">
        <f t="shared" si="136"/>
        <v/>
      </c>
      <c r="AK321" s="6732">
        <f t="shared" si="137"/>
        <v>0</v>
      </c>
      <c r="AL321" s="6230" t="str" cm="1">
        <f t="array" ref="AL321">IF(AF321&lt;&gt;"A","",IFERROR((IFERROR(_xlfn.XLOOKUP(TRIM(SUBSTITUTE(U321,CHAR(160)," ")),$BJ$15:$BJ$62,$BM$15:$BM$62),IFERROR(_xlfn.XLOOKUP(TRIM(SUBSTITUTE(U321,CHAR(160)," ")),$BK$15:$BK$62,$BM$15:$BM$62),_xlfn.XLOOKUP(TRIM(SUBSTITUTE(U321,CHAR(160)," ")),$BL$15:$BL$62,$BM$15:$BM$62))))*T321*IF(ISBLANK(Q321),1,Q321)+IFERROR(_xlfn.XLOOKUP("RECHERCHEX",TRIM(L321:AD321),L321:AD321),0),0))</f>
        <v/>
      </c>
      <c r="AM321" s="6229">
        <f t="shared" si="138"/>
        <v>0</v>
      </c>
      <c r="AN321" s="6857" t="str">
        <f t="shared" si="153"/>
        <v/>
      </c>
      <c r="AO321" s="392">
        <f t="shared" si="139"/>
        <v>0</v>
      </c>
      <c r="AP321" s="392">
        <f t="shared" si="140"/>
        <v>0</v>
      </c>
      <c r="AQ321" s="6191">
        <f t="shared" si="141"/>
        <v>0</v>
      </c>
      <c r="AR321" s="6859" t="str">
        <f t="shared" si="142"/>
        <v/>
      </c>
      <c r="AS321" s="6217"/>
      <c r="AT321" s="6217"/>
      <c r="AU321" s="6272">
        <f t="shared" si="143"/>
        <v>0</v>
      </c>
      <c r="AV321" s="6240">
        <f t="shared" si="144"/>
        <v>0</v>
      </c>
      <c r="AW321" s="6189" cm="1">
        <f t="array" ref="AW321">IF(AK321&lt;&gt;1,0,IF(OR(AU321="",N(AU321)&lt;=0.000000001),"",IF(OR(AO321="",N(AO321)&lt;=0.000000001),0,IF(ISNUMBER(AU321),IFERROR(_xlfn.LET(_xlpm.ai_test,TRIM(AJ321),_xlpm.r,IFERROR(_xlfn.XLOOKUP(_xlpm.ai_test,$BJ$15:$BJ$62,ROW($BJ$15:$BJ$62),0,1),IFERROR(_xlfn.XLOOKUP(_xlpm.ai_test,$BK$15:$BK$62,ROW($BK$15:$BK$62),0,1),_xlfn.XLOOKUP(_xlpm.ai_test,$BL$15:$BL$62,ROW($BL$15:$BL$62),0,1))),_xlpm.p,_xlpm.r-MIN(ROW($BJ$15:$BJ$62))+1,_xlpm.f,INDEX($BM$15:$BM$62,_xlpm.p),_xlpm.u,INDEX($BN$15:$BN$62,_xlpm.p),_xlpm.s,INDEX($BP$15:$BP$62,_xlpm.p),_xlpm.q,N(AU321)/_xlpm.f,IF(_xlpm.q&gt;=_xlpm.s,ROUND(_xlpm.q,1)&amp;" "&amp;_xlpm.ai_test&amp;" = "&amp;ROUND(_xlpm.q*_xlpm.f,1)&amp;" "&amp;_xlpm.u,ROUND(_xlpm.q,1)&amp;" "&amp;_xlpm.ai_test)),""),""))))</f>
        <v>0</v>
      </c>
      <c r="AX321" s="6218"/>
      <c r="AY321" s="6272">
        <f t="shared" si="145"/>
        <v>0</v>
      </c>
      <c r="AZ321" s="6240" t="str">
        <f t="shared" si="146"/>
        <v/>
      </c>
      <c r="BA321" s="6195">
        <f t="shared" si="151"/>
        <v>0</v>
      </c>
      <c r="BB321" s="6193" t="str">
        <f t="shared" si="147"/>
        <v/>
      </c>
      <c r="BC321" s="6219"/>
      <c r="BD321" s="6222">
        <f t="shared" si="152"/>
        <v>0</v>
      </c>
      <c r="BE321" s="6220" t="str">
        <f t="shared" si="148"/>
        <v/>
      </c>
      <c r="BF321" s="4" t="s">
        <v>1</v>
      </c>
      <c r="BG321" s="6196">
        <f t="shared" si="149"/>
        <v>0</v>
      </c>
      <c r="BH321" s="6197">
        <f t="shared" si="150"/>
        <v>0</v>
      </c>
      <c r="BI321"/>
      <c r="BJ321" s="1"/>
      <c r="BK321" s="1"/>
      <c r="BL321" s="1"/>
      <c r="BM321" s="1"/>
      <c r="BN321" s="1"/>
      <c r="BO321" s="1"/>
      <c r="BP321" s="1"/>
      <c r="BQ321" s="1"/>
      <c r="BX321" s="20" t="str">
        <f t="shared" si="131"/>
        <v>►</v>
      </c>
      <c r="BY321" s="2"/>
      <c r="BZ321" s="2"/>
      <c r="CA321" s="2"/>
      <c r="CB321" s="2"/>
      <c r="CC321" s="2"/>
      <c r="CD321" s="2"/>
      <c r="CL321" s="2"/>
      <c r="CT321" s="2"/>
      <c r="DB321" s="2"/>
      <c r="DC321" s="5">
        <v>1</v>
      </c>
    </row>
    <row r="322" spans="12:107" ht="21" customHeight="1">
      <c r="L322" s="1021" t="s">
        <v>26</v>
      </c>
      <c r="M322" s="6787"/>
      <c r="N322" s="6787"/>
      <c r="O322" s="6787"/>
      <c r="P322" s="6788"/>
      <c r="Q322" s="6789"/>
      <c r="R322" s="6790"/>
      <c r="S322" s="6786"/>
      <c r="T322" s="6791"/>
      <c r="U322" s="6844"/>
      <c r="V322" s="6791"/>
      <c r="W322" s="6785"/>
      <c r="X322" s="6868"/>
      <c r="Y322" s="6793"/>
      <c r="Z322" s="6794"/>
      <c r="AA322" s="6795"/>
      <c r="AB322" s="6796"/>
      <c r="AC322" s="6797"/>
      <c r="AD322" s="6798"/>
      <c r="AE322" s="4" t="s">
        <v>1</v>
      </c>
      <c r="AF322" s="6202" t="str">
        <f t="shared" si="132"/>
        <v>►</v>
      </c>
      <c r="AG322" s="6234" t="str">
        <f t="shared" si="133"/>
        <v/>
      </c>
      <c r="AH322" s="6732" t="str">
        <f t="shared" si="134"/>
        <v/>
      </c>
      <c r="AI322" s="6234" t="str">
        <f t="shared" si="135"/>
        <v/>
      </c>
      <c r="AJ322" s="6732" t="str">
        <f t="shared" si="136"/>
        <v/>
      </c>
      <c r="AK322" s="6732">
        <f t="shared" si="137"/>
        <v>0</v>
      </c>
      <c r="AL322" s="6230" t="str" cm="1">
        <f t="array" ref="AL322">IF(AF322&lt;&gt;"A","",IFERROR((IFERROR(_xlfn.XLOOKUP(TRIM(SUBSTITUTE(U322,CHAR(160)," ")),$BJ$15:$BJ$62,$BM$15:$BM$62),IFERROR(_xlfn.XLOOKUP(TRIM(SUBSTITUTE(U322,CHAR(160)," ")),$BK$15:$BK$62,$BM$15:$BM$62),_xlfn.XLOOKUP(TRIM(SUBSTITUTE(U322,CHAR(160)," ")),$BL$15:$BL$62,$BM$15:$BM$62))))*T322*IF(ISBLANK(Q322),1,Q322)+IFERROR(_xlfn.XLOOKUP("RECHERCHEX",TRIM(L322:AD322),L322:AD322),0),0))</f>
        <v/>
      </c>
      <c r="AM322" s="6229">
        <f t="shared" si="138"/>
        <v>0</v>
      </c>
      <c r="AN322" s="6857" t="str">
        <f t="shared" si="153"/>
        <v/>
      </c>
      <c r="AO322" s="392">
        <f t="shared" si="139"/>
        <v>0</v>
      </c>
      <c r="AP322" s="392">
        <f t="shared" si="140"/>
        <v>0</v>
      </c>
      <c r="AQ322" s="6190">
        <f t="shared" si="141"/>
        <v>0</v>
      </c>
      <c r="AR322" s="6858" t="str">
        <f t="shared" si="142"/>
        <v/>
      </c>
      <c r="AS322" s="6217"/>
      <c r="AT322" s="6217"/>
      <c r="AU322" s="6271">
        <f t="shared" si="143"/>
        <v>0</v>
      </c>
      <c r="AV322" s="6242">
        <f t="shared" si="144"/>
        <v>0</v>
      </c>
      <c r="AW322" s="6188" cm="1">
        <f t="array" ref="AW322">IF(AK322&lt;&gt;1,0,IF(OR(AU322="",N(AU322)&lt;=0.000000001),"",IF(OR(AO322="",N(AO322)&lt;=0.000000001),0,IF(ISNUMBER(AU322),IFERROR(_xlfn.LET(_xlpm.ai_test,TRIM(AJ322),_xlpm.r,IFERROR(_xlfn.XLOOKUP(_xlpm.ai_test,$BJ$15:$BJ$62,ROW($BJ$15:$BJ$62),0,1),IFERROR(_xlfn.XLOOKUP(_xlpm.ai_test,$BK$15:$BK$62,ROW($BK$15:$BK$62),0,1),_xlfn.XLOOKUP(_xlpm.ai_test,$BL$15:$BL$62,ROW($BL$15:$BL$62),0,1))),_xlpm.p,_xlpm.r-MIN(ROW($BJ$15:$BJ$62))+1,_xlpm.f,INDEX($BM$15:$BM$62,_xlpm.p),_xlpm.u,INDEX($BN$15:$BN$62,_xlpm.p),_xlpm.s,INDEX($BP$15:$BP$62,_xlpm.p),_xlpm.q,N(AU322)/_xlpm.f,IF(_xlpm.q&gt;=_xlpm.s,ROUND(_xlpm.q,1)&amp;" "&amp;_xlpm.ai_test&amp;" = "&amp;ROUND(_xlpm.q*_xlpm.f,1)&amp;" "&amp;_xlpm.u,ROUND(_xlpm.q,1)&amp;" "&amp;_xlpm.ai_test)),""),""))))</f>
        <v>0</v>
      </c>
      <c r="AX322" s="6218"/>
      <c r="AY322" s="6271">
        <f t="shared" si="145"/>
        <v>0</v>
      </c>
      <c r="AZ322" s="6242" t="str">
        <f t="shared" si="146"/>
        <v/>
      </c>
      <c r="BA322" s="6194">
        <f t="shared" si="151"/>
        <v>0</v>
      </c>
      <c r="BB322" s="6192" t="str">
        <f t="shared" si="147"/>
        <v/>
      </c>
      <c r="BC322" s="6219"/>
      <c r="BD322" s="6221">
        <f t="shared" si="152"/>
        <v>0</v>
      </c>
      <c r="BE322" s="6220" t="str">
        <f t="shared" si="148"/>
        <v/>
      </c>
      <c r="BF322" s="4" t="s">
        <v>1</v>
      </c>
      <c r="BG322" s="6196">
        <f t="shared" si="149"/>
        <v>0</v>
      </c>
      <c r="BH322" s="6197">
        <f t="shared" si="150"/>
        <v>0</v>
      </c>
      <c r="BI322"/>
      <c r="BJ322" s="1"/>
      <c r="BK322" s="1"/>
      <c r="BL322" s="1"/>
      <c r="BM322" s="1"/>
      <c r="BN322" s="1"/>
      <c r="BO322" s="1"/>
      <c r="BP322" s="1"/>
      <c r="BQ322" s="1"/>
      <c r="BX322" s="20" t="str">
        <f t="shared" si="131"/>
        <v>►</v>
      </c>
      <c r="CC322"/>
      <c r="CD322" s="2"/>
      <c r="CL322" s="2"/>
      <c r="CT322" s="2"/>
      <c r="DB322" s="2"/>
      <c r="DC322" s="5">
        <v>1</v>
      </c>
    </row>
    <row r="323" spans="12:107" ht="21" customHeight="1">
      <c r="L323" s="1021" t="s">
        <v>26</v>
      </c>
      <c r="M323" s="6787"/>
      <c r="N323" s="6787"/>
      <c r="O323" s="6787"/>
      <c r="P323" s="6788"/>
      <c r="Q323" s="6789"/>
      <c r="R323" s="6790"/>
      <c r="S323" s="6786"/>
      <c r="T323" s="6791"/>
      <c r="U323" s="6844"/>
      <c r="V323" s="6791"/>
      <c r="W323" s="6785"/>
      <c r="X323" s="6868"/>
      <c r="Y323" s="6793"/>
      <c r="Z323" s="6794"/>
      <c r="AA323" s="6795"/>
      <c r="AB323" s="6796"/>
      <c r="AC323" s="6797"/>
      <c r="AD323" s="6798"/>
      <c r="AE323" s="4" t="s">
        <v>1</v>
      </c>
      <c r="AF323" s="6202" t="str">
        <f t="shared" si="132"/>
        <v>►</v>
      </c>
      <c r="AG323" s="6234" t="str">
        <f t="shared" si="133"/>
        <v/>
      </c>
      <c r="AH323" s="6732" t="str">
        <f t="shared" si="134"/>
        <v/>
      </c>
      <c r="AI323" s="6234" t="str">
        <f t="shared" si="135"/>
        <v/>
      </c>
      <c r="AJ323" s="6732" t="str">
        <f t="shared" si="136"/>
        <v/>
      </c>
      <c r="AK323" s="6732">
        <f t="shared" si="137"/>
        <v>0</v>
      </c>
      <c r="AL323" s="6230" t="str" cm="1">
        <f t="array" ref="AL323">IF(AF323&lt;&gt;"A","",IFERROR((IFERROR(_xlfn.XLOOKUP(TRIM(SUBSTITUTE(U323,CHAR(160)," ")),$BJ$15:$BJ$62,$BM$15:$BM$62),IFERROR(_xlfn.XLOOKUP(TRIM(SUBSTITUTE(U323,CHAR(160)," ")),$BK$15:$BK$62,$BM$15:$BM$62),_xlfn.XLOOKUP(TRIM(SUBSTITUTE(U323,CHAR(160)," ")),$BL$15:$BL$62,$BM$15:$BM$62))))*T323*IF(ISBLANK(Q323),1,Q323)+IFERROR(_xlfn.XLOOKUP("RECHERCHEX",TRIM(L323:AD323),L323:AD323),0),0))</f>
        <v/>
      </c>
      <c r="AM323" s="6229">
        <f t="shared" si="138"/>
        <v>0</v>
      </c>
      <c r="AN323" s="6857" t="str">
        <f t="shared" si="153"/>
        <v/>
      </c>
      <c r="AO323" s="392">
        <f t="shared" si="139"/>
        <v>0</v>
      </c>
      <c r="AP323" s="392">
        <f t="shared" si="140"/>
        <v>0</v>
      </c>
      <c r="AQ323" s="6191">
        <f t="shared" si="141"/>
        <v>0</v>
      </c>
      <c r="AR323" s="6859" t="str">
        <f t="shared" si="142"/>
        <v/>
      </c>
      <c r="AS323" s="6217"/>
      <c r="AT323" s="6217"/>
      <c r="AU323" s="6272">
        <f t="shared" si="143"/>
        <v>0</v>
      </c>
      <c r="AV323" s="6240">
        <f t="shared" si="144"/>
        <v>0</v>
      </c>
      <c r="AW323" s="6189" cm="1">
        <f t="array" ref="AW323">IF(AK323&lt;&gt;1,0,IF(OR(AU323="",N(AU323)&lt;=0.000000001),"",IF(OR(AO323="",N(AO323)&lt;=0.000000001),0,IF(ISNUMBER(AU323),IFERROR(_xlfn.LET(_xlpm.ai_test,TRIM(AJ323),_xlpm.r,IFERROR(_xlfn.XLOOKUP(_xlpm.ai_test,$BJ$15:$BJ$62,ROW($BJ$15:$BJ$62),0,1),IFERROR(_xlfn.XLOOKUP(_xlpm.ai_test,$BK$15:$BK$62,ROW($BK$15:$BK$62),0,1),_xlfn.XLOOKUP(_xlpm.ai_test,$BL$15:$BL$62,ROW($BL$15:$BL$62),0,1))),_xlpm.p,_xlpm.r-MIN(ROW($BJ$15:$BJ$62))+1,_xlpm.f,INDEX($BM$15:$BM$62,_xlpm.p),_xlpm.u,INDEX($BN$15:$BN$62,_xlpm.p),_xlpm.s,INDEX($BP$15:$BP$62,_xlpm.p),_xlpm.q,N(AU323)/_xlpm.f,IF(_xlpm.q&gt;=_xlpm.s,ROUND(_xlpm.q,1)&amp;" "&amp;_xlpm.ai_test&amp;" = "&amp;ROUND(_xlpm.q*_xlpm.f,1)&amp;" "&amp;_xlpm.u,ROUND(_xlpm.q,1)&amp;" "&amp;_xlpm.ai_test)),""),""))))</f>
        <v>0</v>
      </c>
      <c r="AX323" s="6218"/>
      <c r="AY323" s="6272">
        <f t="shared" si="145"/>
        <v>0</v>
      </c>
      <c r="AZ323" s="6240" t="str">
        <f t="shared" si="146"/>
        <v/>
      </c>
      <c r="BA323" s="6195">
        <f t="shared" si="151"/>
        <v>0</v>
      </c>
      <c r="BB323" s="6193" t="str">
        <f t="shared" si="147"/>
        <v/>
      </c>
      <c r="BC323" s="6219"/>
      <c r="BD323" s="6222">
        <f t="shared" si="152"/>
        <v>0</v>
      </c>
      <c r="BE323" s="6220" t="str">
        <f t="shared" si="148"/>
        <v/>
      </c>
      <c r="BF323" s="4" t="s">
        <v>1</v>
      </c>
      <c r="BG323" s="6196">
        <f t="shared" si="149"/>
        <v>0</v>
      </c>
      <c r="BH323" s="6197">
        <f t="shared" si="150"/>
        <v>0</v>
      </c>
      <c r="BI323"/>
      <c r="BJ323" s="1"/>
      <c r="BK323" s="1"/>
      <c r="BL323" s="1"/>
      <c r="BM323" s="1"/>
      <c r="BN323" s="1"/>
      <c r="BO323" s="1"/>
      <c r="BP323" s="1"/>
      <c r="BQ323" s="1"/>
      <c r="BX323" s="20" t="str">
        <f t="shared" si="131"/>
        <v>►</v>
      </c>
      <c r="BY323" s="2"/>
      <c r="BZ323" s="2"/>
      <c r="CA323" s="2"/>
      <c r="CB323" s="2"/>
      <c r="CC323" s="2"/>
      <c r="CD323" s="2"/>
      <c r="CL323" s="2"/>
      <c r="CT323" s="2"/>
      <c r="DB323" s="2"/>
      <c r="DC323" s="5">
        <v>1</v>
      </c>
    </row>
    <row r="324" spans="12:107" ht="21" customHeight="1">
      <c r="L324" s="1021" t="s">
        <v>26</v>
      </c>
      <c r="M324" s="6787"/>
      <c r="N324" s="6787"/>
      <c r="O324" s="6787"/>
      <c r="P324" s="6788"/>
      <c r="Q324" s="6789"/>
      <c r="R324" s="6790"/>
      <c r="S324" s="6786"/>
      <c r="T324" s="6791"/>
      <c r="U324" s="6844"/>
      <c r="V324" s="6791"/>
      <c r="W324" s="6785"/>
      <c r="X324" s="6868"/>
      <c r="Y324" s="6793"/>
      <c r="Z324" s="6794"/>
      <c r="AA324" s="6795"/>
      <c r="AB324" s="6796"/>
      <c r="AC324" s="6797"/>
      <c r="AD324" s="6798"/>
      <c r="AE324" s="4" t="s">
        <v>1</v>
      </c>
      <c r="AF324" s="6202" t="str">
        <f t="shared" si="132"/>
        <v>►</v>
      </c>
      <c r="AG324" s="6234" t="str">
        <f t="shared" si="133"/>
        <v/>
      </c>
      <c r="AH324" s="6732" t="str">
        <f t="shared" si="134"/>
        <v/>
      </c>
      <c r="AI324" s="6234" t="str">
        <f t="shared" si="135"/>
        <v/>
      </c>
      <c r="AJ324" s="6732" t="str">
        <f t="shared" si="136"/>
        <v/>
      </c>
      <c r="AK324" s="6732">
        <f t="shared" si="137"/>
        <v>0</v>
      </c>
      <c r="AL324" s="6230" t="str" cm="1">
        <f t="array" ref="AL324">IF(AF324&lt;&gt;"A","",IFERROR((IFERROR(_xlfn.XLOOKUP(TRIM(SUBSTITUTE(U324,CHAR(160)," ")),$BJ$15:$BJ$62,$BM$15:$BM$62),IFERROR(_xlfn.XLOOKUP(TRIM(SUBSTITUTE(U324,CHAR(160)," ")),$BK$15:$BK$62,$BM$15:$BM$62),_xlfn.XLOOKUP(TRIM(SUBSTITUTE(U324,CHAR(160)," ")),$BL$15:$BL$62,$BM$15:$BM$62))))*T324*IF(ISBLANK(Q324),1,Q324)+IFERROR(_xlfn.XLOOKUP("RECHERCHEX",TRIM(L324:AD324),L324:AD324),0),0))</f>
        <v/>
      </c>
      <c r="AM324" s="6229">
        <f t="shared" si="138"/>
        <v>0</v>
      </c>
      <c r="AN324" s="6857" t="str">
        <f t="shared" si="153"/>
        <v/>
      </c>
      <c r="AO324" s="392">
        <f t="shared" si="139"/>
        <v>0</v>
      </c>
      <c r="AP324" s="392">
        <f t="shared" si="140"/>
        <v>0</v>
      </c>
      <c r="AQ324" s="6190">
        <f t="shared" si="141"/>
        <v>0</v>
      </c>
      <c r="AR324" s="6858" t="str">
        <f t="shared" si="142"/>
        <v/>
      </c>
      <c r="AS324" s="6217"/>
      <c r="AT324" s="6217"/>
      <c r="AU324" s="6271">
        <f t="shared" si="143"/>
        <v>0</v>
      </c>
      <c r="AV324" s="6242">
        <f t="shared" si="144"/>
        <v>0</v>
      </c>
      <c r="AW324" s="6188" cm="1">
        <f t="array" ref="AW324">IF(AK324&lt;&gt;1,0,IF(OR(AU324="",N(AU324)&lt;=0.000000001),"",IF(OR(AO324="",N(AO324)&lt;=0.000000001),0,IF(ISNUMBER(AU324),IFERROR(_xlfn.LET(_xlpm.ai_test,TRIM(AJ324),_xlpm.r,IFERROR(_xlfn.XLOOKUP(_xlpm.ai_test,$BJ$15:$BJ$62,ROW($BJ$15:$BJ$62),0,1),IFERROR(_xlfn.XLOOKUP(_xlpm.ai_test,$BK$15:$BK$62,ROW($BK$15:$BK$62),0,1),_xlfn.XLOOKUP(_xlpm.ai_test,$BL$15:$BL$62,ROW($BL$15:$BL$62),0,1))),_xlpm.p,_xlpm.r-MIN(ROW($BJ$15:$BJ$62))+1,_xlpm.f,INDEX($BM$15:$BM$62,_xlpm.p),_xlpm.u,INDEX($BN$15:$BN$62,_xlpm.p),_xlpm.s,INDEX($BP$15:$BP$62,_xlpm.p),_xlpm.q,N(AU324)/_xlpm.f,IF(_xlpm.q&gt;=_xlpm.s,ROUND(_xlpm.q,1)&amp;" "&amp;_xlpm.ai_test&amp;" = "&amp;ROUND(_xlpm.q*_xlpm.f,1)&amp;" "&amp;_xlpm.u,ROUND(_xlpm.q,1)&amp;" "&amp;_xlpm.ai_test)),""),""))))</f>
        <v>0</v>
      </c>
      <c r="AX324" s="6218"/>
      <c r="AY324" s="6271">
        <f t="shared" si="145"/>
        <v>0</v>
      </c>
      <c r="AZ324" s="6242" t="str">
        <f t="shared" si="146"/>
        <v/>
      </c>
      <c r="BA324" s="6194">
        <f t="shared" si="151"/>
        <v>0</v>
      </c>
      <c r="BB324" s="6192" t="str">
        <f t="shared" si="147"/>
        <v/>
      </c>
      <c r="BC324" s="6219"/>
      <c r="BD324" s="6221">
        <f t="shared" si="152"/>
        <v>0</v>
      </c>
      <c r="BE324" s="6220" t="str">
        <f t="shared" si="148"/>
        <v/>
      </c>
      <c r="BF324" s="4" t="s">
        <v>1</v>
      </c>
      <c r="BG324" s="6196">
        <f t="shared" si="149"/>
        <v>0</v>
      </c>
      <c r="BH324" s="6197">
        <f t="shared" si="150"/>
        <v>0</v>
      </c>
      <c r="BI324"/>
      <c r="BJ324" s="1"/>
      <c r="BK324" s="1"/>
      <c r="BL324" s="1"/>
      <c r="BM324" s="1"/>
      <c r="BN324" s="1"/>
      <c r="BO324" s="1"/>
      <c r="BP324" s="1"/>
      <c r="BQ324" s="1"/>
      <c r="BX324" s="20" t="str">
        <f t="shared" si="131"/>
        <v>►</v>
      </c>
      <c r="BY324" s="2"/>
      <c r="BZ324" s="2"/>
      <c r="CA324" s="2"/>
      <c r="CB324" s="2"/>
      <c r="CC324" s="2"/>
      <c r="CD324" s="2"/>
      <c r="CL324" s="2"/>
      <c r="CT324" s="2"/>
      <c r="DB324" s="2"/>
      <c r="DC324" s="5">
        <v>1</v>
      </c>
    </row>
    <row r="325" spans="12:107" ht="21" customHeight="1">
      <c r="L325" s="1021" t="s">
        <v>26</v>
      </c>
      <c r="M325" s="6787"/>
      <c r="N325" s="6787"/>
      <c r="O325" s="6787"/>
      <c r="P325" s="6788"/>
      <c r="Q325" s="6789"/>
      <c r="R325" s="6790"/>
      <c r="S325" s="6786"/>
      <c r="T325" s="6791"/>
      <c r="U325" s="6844"/>
      <c r="V325" s="6791"/>
      <c r="W325" s="6785"/>
      <c r="X325" s="6868"/>
      <c r="Y325" s="6793"/>
      <c r="Z325" s="6794"/>
      <c r="AA325" s="6795"/>
      <c r="AB325" s="6796"/>
      <c r="AC325" s="6797"/>
      <c r="AD325" s="6798"/>
      <c r="AE325" s="4" t="s">
        <v>1</v>
      </c>
      <c r="AF325" s="6202" t="str">
        <f t="shared" si="132"/>
        <v>►</v>
      </c>
      <c r="AG325" s="6234" t="str">
        <f t="shared" si="133"/>
        <v/>
      </c>
      <c r="AH325" s="6732" t="str">
        <f t="shared" si="134"/>
        <v/>
      </c>
      <c r="AI325" s="6234" t="str">
        <f t="shared" si="135"/>
        <v/>
      </c>
      <c r="AJ325" s="6732" t="str">
        <f t="shared" si="136"/>
        <v/>
      </c>
      <c r="AK325" s="6732">
        <f t="shared" si="137"/>
        <v>0</v>
      </c>
      <c r="AL325" s="6230" t="str" cm="1">
        <f t="array" ref="AL325">IF(AF325&lt;&gt;"A","",IFERROR((IFERROR(_xlfn.XLOOKUP(TRIM(SUBSTITUTE(U325,CHAR(160)," ")),$BJ$15:$BJ$62,$BM$15:$BM$62),IFERROR(_xlfn.XLOOKUP(TRIM(SUBSTITUTE(U325,CHAR(160)," ")),$BK$15:$BK$62,$BM$15:$BM$62),_xlfn.XLOOKUP(TRIM(SUBSTITUTE(U325,CHAR(160)," ")),$BL$15:$BL$62,$BM$15:$BM$62))))*T325*IF(ISBLANK(Q325),1,Q325)+IFERROR(_xlfn.XLOOKUP("RECHERCHEX",TRIM(L325:AD325),L325:AD325),0),0))</f>
        <v/>
      </c>
      <c r="AM325" s="6229">
        <f t="shared" si="138"/>
        <v>0</v>
      </c>
      <c r="AN325" s="6857" t="str">
        <f t="shared" si="153"/>
        <v/>
      </c>
      <c r="AO325" s="392">
        <f t="shared" si="139"/>
        <v>0</v>
      </c>
      <c r="AP325" s="392">
        <f t="shared" si="140"/>
        <v>0</v>
      </c>
      <c r="AQ325" s="6191">
        <f t="shared" si="141"/>
        <v>0</v>
      </c>
      <c r="AR325" s="6859" t="str">
        <f t="shared" si="142"/>
        <v/>
      </c>
      <c r="AS325" s="6217"/>
      <c r="AT325" s="6217"/>
      <c r="AU325" s="6272">
        <f t="shared" si="143"/>
        <v>0</v>
      </c>
      <c r="AV325" s="6240">
        <f t="shared" si="144"/>
        <v>0</v>
      </c>
      <c r="AW325" s="6189" cm="1">
        <f t="array" ref="AW325">IF(AK325&lt;&gt;1,0,IF(OR(AU325="",N(AU325)&lt;=0.000000001),"",IF(OR(AO325="",N(AO325)&lt;=0.000000001),0,IF(ISNUMBER(AU325),IFERROR(_xlfn.LET(_xlpm.ai_test,TRIM(AJ325),_xlpm.r,IFERROR(_xlfn.XLOOKUP(_xlpm.ai_test,$BJ$15:$BJ$62,ROW($BJ$15:$BJ$62),0,1),IFERROR(_xlfn.XLOOKUP(_xlpm.ai_test,$BK$15:$BK$62,ROW($BK$15:$BK$62),0,1),_xlfn.XLOOKUP(_xlpm.ai_test,$BL$15:$BL$62,ROW($BL$15:$BL$62),0,1))),_xlpm.p,_xlpm.r-MIN(ROW($BJ$15:$BJ$62))+1,_xlpm.f,INDEX($BM$15:$BM$62,_xlpm.p),_xlpm.u,INDEX($BN$15:$BN$62,_xlpm.p),_xlpm.s,INDEX($BP$15:$BP$62,_xlpm.p),_xlpm.q,N(AU325)/_xlpm.f,IF(_xlpm.q&gt;=_xlpm.s,ROUND(_xlpm.q,1)&amp;" "&amp;_xlpm.ai_test&amp;" = "&amp;ROUND(_xlpm.q*_xlpm.f,1)&amp;" "&amp;_xlpm.u,ROUND(_xlpm.q,1)&amp;" "&amp;_xlpm.ai_test)),""),""))))</f>
        <v>0</v>
      </c>
      <c r="AX325" s="6218"/>
      <c r="AY325" s="6272">
        <f t="shared" si="145"/>
        <v>0</v>
      </c>
      <c r="AZ325" s="6240" t="str">
        <f t="shared" si="146"/>
        <v/>
      </c>
      <c r="BA325" s="6195">
        <f t="shared" si="151"/>
        <v>0</v>
      </c>
      <c r="BB325" s="6193" t="str">
        <f t="shared" si="147"/>
        <v/>
      </c>
      <c r="BC325" s="6219"/>
      <c r="BD325" s="6222">
        <f t="shared" si="152"/>
        <v>0</v>
      </c>
      <c r="BE325" s="6220" t="str">
        <f t="shared" si="148"/>
        <v/>
      </c>
      <c r="BF325" s="4" t="s">
        <v>1</v>
      </c>
      <c r="BG325" s="6196">
        <f t="shared" si="149"/>
        <v>0</v>
      </c>
      <c r="BH325" s="6197">
        <f t="shared" si="150"/>
        <v>0</v>
      </c>
      <c r="BI325"/>
      <c r="BJ325" s="1"/>
      <c r="BK325" s="1"/>
      <c r="BL325" s="1"/>
      <c r="BM325" s="1"/>
      <c r="BN325" s="1"/>
      <c r="BO325" s="1"/>
      <c r="BP325" s="1"/>
      <c r="BQ325" s="1"/>
      <c r="BX325" s="20" t="str">
        <f t="shared" ref="BX325:BX388" si="155">AF325</f>
        <v>►</v>
      </c>
      <c r="BY325" s="2"/>
      <c r="BZ325" s="2"/>
      <c r="CA325" s="2"/>
      <c r="CB325" s="2"/>
      <c r="CC325" s="2"/>
      <c r="CD325" s="2"/>
      <c r="CL325" s="2"/>
      <c r="CT325" s="2"/>
      <c r="DB325" s="2"/>
      <c r="DC325" s="5">
        <v>1</v>
      </c>
    </row>
    <row r="326" spans="12:107" ht="21" customHeight="1">
      <c r="L326" s="1021" t="s">
        <v>26</v>
      </c>
      <c r="M326" s="6787"/>
      <c r="N326" s="6787"/>
      <c r="O326" s="6787"/>
      <c r="P326" s="6788"/>
      <c r="Q326" s="6789"/>
      <c r="R326" s="6790"/>
      <c r="S326" s="6786"/>
      <c r="T326" s="6791"/>
      <c r="U326" s="6844"/>
      <c r="V326" s="6791"/>
      <c r="W326" s="6785"/>
      <c r="X326" s="6868"/>
      <c r="Y326" s="6793"/>
      <c r="Z326" s="6794"/>
      <c r="AA326" s="6795"/>
      <c r="AB326" s="6796"/>
      <c r="AC326" s="6797"/>
      <c r="AD326" s="6798"/>
      <c r="AE326" s="4" t="s">
        <v>1</v>
      </c>
      <c r="AF326" s="6202" t="str">
        <f t="shared" si="132"/>
        <v>►</v>
      </c>
      <c r="AG326" s="6234" t="str">
        <f t="shared" si="133"/>
        <v/>
      </c>
      <c r="AH326" s="6732" t="str">
        <f t="shared" si="134"/>
        <v/>
      </c>
      <c r="AI326" s="6234" t="str">
        <f t="shared" si="135"/>
        <v/>
      </c>
      <c r="AJ326" s="6732" t="str">
        <f t="shared" si="136"/>
        <v/>
      </c>
      <c r="AK326" s="6732">
        <f t="shared" si="137"/>
        <v>0</v>
      </c>
      <c r="AL326" s="6230" t="str" cm="1">
        <f t="array" ref="AL326">IF(AF326&lt;&gt;"A","",IFERROR((IFERROR(_xlfn.XLOOKUP(TRIM(SUBSTITUTE(U326,CHAR(160)," ")),$BJ$15:$BJ$62,$BM$15:$BM$62),IFERROR(_xlfn.XLOOKUP(TRIM(SUBSTITUTE(U326,CHAR(160)," ")),$BK$15:$BK$62,$BM$15:$BM$62),_xlfn.XLOOKUP(TRIM(SUBSTITUTE(U326,CHAR(160)," ")),$BL$15:$BL$62,$BM$15:$BM$62))))*T326*IF(ISBLANK(Q326),1,Q326)+IFERROR(_xlfn.XLOOKUP("RECHERCHEX",TRIM(L326:AD326),L326:AD326),0),0))</f>
        <v/>
      </c>
      <c r="AM326" s="6229">
        <f t="shared" si="138"/>
        <v>0</v>
      </c>
      <c r="AN326" s="6857" t="str">
        <f t="shared" si="153"/>
        <v/>
      </c>
      <c r="AO326" s="392">
        <f t="shared" si="139"/>
        <v>0</v>
      </c>
      <c r="AP326" s="392">
        <f t="shared" si="140"/>
        <v>0</v>
      </c>
      <c r="AQ326" s="6190">
        <f t="shared" si="141"/>
        <v>0</v>
      </c>
      <c r="AR326" s="6858" t="str">
        <f t="shared" si="142"/>
        <v/>
      </c>
      <c r="AS326" s="6217"/>
      <c r="AT326" s="6217"/>
      <c r="AU326" s="6271">
        <f t="shared" si="143"/>
        <v>0</v>
      </c>
      <c r="AV326" s="6242">
        <f t="shared" si="144"/>
        <v>0</v>
      </c>
      <c r="AW326" s="6188" cm="1">
        <f t="array" ref="AW326">IF(AK326&lt;&gt;1,0,IF(OR(AU326="",N(AU326)&lt;=0.000000001),"",IF(OR(AO326="",N(AO326)&lt;=0.000000001),0,IF(ISNUMBER(AU326),IFERROR(_xlfn.LET(_xlpm.ai_test,TRIM(AJ326),_xlpm.r,IFERROR(_xlfn.XLOOKUP(_xlpm.ai_test,$BJ$15:$BJ$62,ROW($BJ$15:$BJ$62),0,1),IFERROR(_xlfn.XLOOKUP(_xlpm.ai_test,$BK$15:$BK$62,ROW($BK$15:$BK$62),0,1),_xlfn.XLOOKUP(_xlpm.ai_test,$BL$15:$BL$62,ROW($BL$15:$BL$62),0,1))),_xlpm.p,_xlpm.r-MIN(ROW($BJ$15:$BJ$62))+1,_xlpm.f,INDEX($BM$15:$BM$62,_xlpm.p),_xlpm.u,INDEX($BN$15:$BN$62,_xlpm.p),_xlpm.s,INDEX($BP$15:$BP$62,_xlpm.p),_xlpm.q,N(AU326)/_xlpm.f,IF(_xlpm.q&gt;=_xlpm.s,ROUND(_xlpm.q,1)&amp;" "&amp;_xlpm.ai_test&amp;" = "&amp;ROUND(_xlpm.q*_xlpm.f,1)&amp;" "&amp;_xlpm.u,ROUND(_xlpm.q,1)&amp;" "&amp;_xlpm.ai_test)),""),""))))</f>
        <v>0</v>
      </c>
      <c r="AX326" s="6218"/>
      <c r="AY326" s="6271">
        <f t="shared" si="145"/>
        <v>0</v>
      </c>
      <c r="AZ326" s="6242" t="str">
        <f t="shared" si="146"/>
        <v/>
      </c>
      <c r="BA326" s="6194">
        <f t="shared" si="151"/>
        <v>0</v>
      </c>
      <c r="BB326" s="6192" t="str">
        <f t="shared" si="147"/>
        <v/>
      </c>
      <c r="BC326" s="6219"/>
      <c r="BD326" s="6221">
        <f t="shared" si="152"/>
        <v>0</v>
      </c>
      <c r="BE326" s="6220" t="str">
        <f t="shared" si="148"/>
        <v/>
      </c>
      <c r="BF326" s="4" t="s">
        <v>1</v>
      </c>
      <c r="BG326" s="6196">
        <f t="shared" si="149"/>
        <v>0</v>
      </c>
      <c r="BH326" s="6197">
        <f t="shared" si="150"/>
        <v>0</v>
      </c>
      <c r="BI326"/>
      <c r="BJ326" s="1"/>
      <c r="BK326" s="1"/>
      <c r="BL326" s="1"/>
      <c r="BM326" s="1"/>
      <c r="BN326" s="1"/>
      <c r="BO326" s="1"/>
      <c r="BP326" s="1"/>
      <c r="BQ326" s="1"/>
      <c r="BX326" s="20" t="str">
        <f t="shared" si="155"/>
        <v>►</v>
      </c>
      <c r="BY326" s="2"/>
      <c r="BZ326" s="2"/>
      <c r="CA326" s="2"/>
      <c r="CB326" s="2"/>
      <c r="CC326" s="2"/>
      <c r="CD326" s="2"/>
      <c r="CL326" s="2"/>
      <c r="CT326" s="2"/>
      <c r="DB326" s="2"/>
      <c r="DC326" s="5">
        <v>1</v>
      </c>
    </row>
    <row r="327" spans="12:107" ht="21" customHeight="1">
      <c r="L327" s="1021" t="s">
        <v>26</v>
      </c>
      <c r="M327" s="6787"/>
      <c r="N327" s="6787"/>
      <c r="O327" s="6787"/>
      <c r="P327" s="6788"/>
      <c r="Q327" s="6789"/>
      <c r="R327" s="6790"/>
      <c r="S327" s="6786"/>
      <c r="T327" s="6791"/>
      <c r="U327" s="6844"/>
      <c r="V327" s="6791"/>
      <c r="W327" s="6785"/>
      <c r="X327" s="6868"/>
      <c r="Y327" s="6793"/>
      <c r="Z327" s="6794"/>
      <c r="AA327" s="6795"/>
      <c r="AB327" s="6796"/>
      <c r="AC327" s="6797"/>
      <c r="AD327" s="6798"/>
      <c r="AE327" s="4" t="s">
        <v>1</v>
      </c>
      <c r="AF327" s="6202" t="str">
        <f t="shared" si="132"/>
        <v>►</v>
      </c>
      <c r="AG327" s="6234" t="str">
        <f t="shared" si="133"/>
        <v/>
      </c>
      <c r="AH327" s="6732" t="str">
        <f t="shared" si="134"/>
        <v/>
      </c>
      <c r="AI327" s="6234" t="str">
        <f t="shared" si="135"/>
        <v/>
      </c>
      <c r="AJ327" s="6732" t="str">
        <f t="shared" si="136"/>
        <v/>
      </c>
      <c r="AK327" s="6732">
        <f t="shared" si="137"/>
        <v>0</v>
      </c>
      <c r="AL327" s="6230" t="str" cm="1">
        <f t="array" ref="AL327">IF(AF327&lt;&gt;"A","",IFERROR((IFERROR(_xlfn.XLOOKUP(TRIM(SUBSTITUTE(U327,CHAR(160)," ")),$BJ$15:$BJ$62,$BM$15:$BM$62),IFERROR(_xlfn.XLOOKUP(TRIM(SUBSTITUTE(U327,CHAR(160)," ")),$BK$15:$BK$62,$BM$15:$BM$62),_xlfn.XLOOKUP(TRIM(SUBSTITUTE(U327,CHAR(160)," ")),$BL$15:$BL$62,$BM$15:$BM$62))))*T327*IF(ISBLANK(Q327),1,Q327)+IFERROR(_xlfn.XLOOKUP("RECHERCHEX",TRIM(L327:AD327),L327:AD327),0),0))</f>
        <v/>
      </c>
      <c r="AM327" s="6229">
        <f t="shared" si="138"/>
        <v>0</v>
      </c>
      <c r="AN327" s="6857" t="str">
        <f t="shared" si="153"/>
        <v/>
      </c>
      <c r="AO327" s="392">
        <f t="shared" si="139"/>
        <v>0</v>
      </c>
      <c r="AP327" s="392">
        <f t="shared" si="140"/>
        <v>0</v>
      </c>
      <c r="AQ327" s="6191">
        <f t="shared" si="141"/>
        <v>0</v>
      </c>
      <c r="AR327" s="6859" t="str">
        <f t="shared" si="142"/>
        <v/>
      </c>
      <c r="AS327" s="6217"/>
      <c r="AT327" s="6217"/>
      <c r="AU327" s="6272">
        <f t="shared" si="143"/>
        <v>0</v>
      </c>
      <c r="AV327" s="6240">
        <f t="shared" si="144"/>
        <v>0</v>
      </c>
      <c r="AW327" s="6189" cm="1">
        <f t="array" ref="AW327">IF(AK327&lt;&gt;1,0,IF(OR(AU327="",N(AU327)&lt;=0.000000001),"",IF(OR(AO327="",N(AO327)&lt;=0.000000001),0,IF(ISNUMBER(AU327),IFERROR(_xlfn.LET(_xlpm.ai_test,TRIM(AJ327),_xlpm.r,IFERROR(_xlfn.XLOOKUP(_xlpm.ai_test,$BJ$15:$BJ$62,ROW($BJ$15:$BJ$62),0,1),IFERROR(_xlfn.XLOOKUP(_xlpm.ai_test,$BK$15:$BK$62,ROW($BK$15:$BK$62),0,1),_xlfn.XLOOKUP(_xlpm.ai_test,$BL$15:$BL$62,ROW($BL$15:$BL$62),0,1))),_xlpm.p,_xlpm.r-MIN(ROW($BJ$15:$BJ$62))+1,_xlpm.f,INDEX($BM$15:$BM$62,_xlpm.p),_xlpm.u,INDEX($BN$15:$BN$62,_xlpm.p),_xlpm.s,INDEX($BP$15:$BP$62,_xlpm.p),_xlpm.q,N(AU327)/_xlpm.f,IF(_xlpm.q&gt;=_xlpm.s,ROUND(_xlpm.q,1)&amp;" "&amp;_xlpm.ai_test&amp;" = "&amp;ROUND(_xlpm.q*_xlpm.f,1)&amp;" "&amp;_xlpm.u,ROUND(_xlpm.q,1)&amp;" "&amp;_xlpm.ai_test)),""),""))))</f>
        <v>0</v>
      </c>
      <c r="AX327" s="6218"/>
      <c r="AY327" s="6272">
        <f t="shared" si="145"/>
        <v>0</v>
      </c>
      <c r="AZ327" s="6240" t="str">
        <f t="shared" si="146"/>
        <v/>
      </c>
      <c r="BA327" s="6195">
        <f t="shared" si="151"/>
        <v>0</v>
      </c>
      <c r="BB327" s="6193" t="str">
        <f t="shared" si="147"/>
        <v/>
      </c>
      <c r="BC327" s="6219"/>
      <c r="BD327" s="6222">
        <f t="shared" si="152"/>
        <v>0</v>
      </c>
      <c r="BE327" s="6220" t="str">
        <f t="shared" si="148"/>
        <v/>
      </c>
      <c r="BF327" s="4" t="s">
        <v>1</v>
      </c>
      <c r="BG327" s="6196">
        <f t="shared" si="149"/>
        <v>0</v>
      </c>
      <c r="BH327" s="6197">
        <f t="shared" si="150"/>
        <v>0</v>
      </c>
      <c r="BI327"/>
      <c r="BJ327" s="1"/>
      <c r="BK327" s="1"/>
      <c r="BL327" s="1"/>
      <c r="BM327" s="1"/>
      <c r="BN327" s="1"/>
      <c r="BO327" s="1"/>
      <c r="BP327" s="1"/>
      <c r="BQ327" s="1"/>
      <c r="BX327" s="20" t="str">
        <f t="shared" si="155"/>
        <v>►</v>
      </c>
      <c r="BY327" s="2"/>
      <c r="BZ327" s="2"/>
      <c r="CA327" s="2"/>
      <c r="CB327" s="2"/>
      <c r="CC327" s="2"/>
      <c r="CD327" s="2"/>
      <c r="CL327" s="2"/>
      <c r="CT327" s="2"/>
      <c r="DB327" s="2"/>
      <c r="DC327" s="5">
        <v>1</v>
      </c>
    </row>
    <row r="328" spans="12:107" ht="21" customHeight="1">
      <c r="L328" s="1021" t="s">
        <v>26</v>
      </c>
      <c r="M328" s="6787"/>
      <c r="N328" s="6787"/>
      <c r="O328" s="6787"/>
      <c r="P328" s="6788"/>
      <c r="Q328" s="6789"/>
      <c r="R328" s="6790"/>
      <c r="S328" s="6786"/>
      <c r="T328" s="6791"/>
      <c r="U328" s="6844"/>
      <c r="V328" s="6791"/>
      <c r="W328" s="6785"/>
      <c r="X328" s="6868"/>
      <c r="Y328" s="6793"/>
      <c r="Z328" s="6794"/>
      <c r="AA328" s="6795"/>
      <c r="AB328" s="6796"/>
      <c r="AC328" s="6797"/>
      <c r="AD328" s="6798"/>
      <c r="AE328" s="4" t="s">
        <v>1</v>
      </c>
      <c r="AF328" s="6202" t="str">
        <f t="shared" si="132"/>
        <v>►</v>
      </c>
      <c r="AG328" s="6234" t="str">
        <f t="shared" si="133"/>
        <v/>
      </c>
      <c r="AH328" s="6732" t="str">
        <f t="shared" si="134"/>
        <v/>
      </c>
      <c r="AI328" s="6234" t="str">
        <f t="shared" si="135"/>
        <v/>
      </c>
      <c r="AJ328" s="6732" t="str">
        <f t="shared" si="136"/>
        <v/>
      </c>
      <c r="AK328" s="6732">
        <f t="shared" si="137"/>
        <v>0</v>
      </c>
      <c r="AL328" s="6230" t="str" cm="1">
        <f t="array" ref="AL328">IF(AF328&lt;&gt;"A","",IFERROR((IFERROR(_xlfn.XLOOKUP(TRIM(SUBSTITUTE(U328,CHAR(160)," ")),$BJ$15:$BJ$62,$BM$15:$BM$62),IFERROR(_xlfn.XLOOKUP(TRIM(SUBSTITUTE(U328,CHAR(160)," ")),$BK$15:$BK$62,$BM$15:$BM$62),_xlfn.XLOOKUP(TRIM(SUBSTITUTE(U328,CHAR(160)," ")),$BL$15:$BL$62,$BM$15:$BM$62))))*T328*IF(ISBLANK(Q328),1,Q328)+IFERROR(_xlfn.XLOOKUP("RECHERCHEX",TRIM(L328:AD328),L328:AD328),0),0))</f>
        <v/>
      </c>
      <c r="AM328" s="6229">
        <f t="shared" si="138"/>
        <v>0</v>
      </c>
      <c r="AN328" s="6857" t="str">
        <f t="shared" si="153"/>
        <v/>
      </c>
      <c r="AO328" s="392">
        <f t="shared" si="139"/>
        <v>0</v>
      </c>
      <c r="AP328" s="392">
        <f t="shared" si="140"/>
        <v>0</v>
      </c>
      <c r="AQ328" s="6190">
        <f t="shared" si="141"/>
        <v>0</v>
      </c>
      <c r="AR328" s="6858" t="str">
        <f t="shared" si="142"/>
        <v/>
      </c>
      <c r="AS328" s="6217"/>
      <c r="AT328" s="6217"/>
      <c r="AU328" s="6271">
        <f t="shared" si="143"/>
        <v>0</v>
      </c>
      <c r="AV328" s="6242">
        <f t="shared" si="144"/>
        <v>0</v>
      </c>
      <c r="AW328" s="6188" cm="1">
        <f t="array" ref="AW328">IF(AK328&lt;&gt;1,0,IF(OR(AU328="",N(AU328)&lt;=0.000000001),"",IF(OR(AO328="",N(AO328)&lt;=0.000000001),0,IF(ISNUMBER(AU328),IFERROR(_xlfn.LET(_xlpm.ai_test,TRIM(AJ328),_xlpm.r,IFERROR(_xlfn.XLOOKUP(_xlpm.ai_test,$BJ$15:$BJ$62,ROW($BJ$15:$BJ$62),0,1),IFERROR(_xlfn.XLOOKUP(_xlpm.ai_test,$BK$15:$BK$62,ROW($BK$15:$BK$62),0,1),_xlfn.XLOOKUP(_xlpm.ai_test,$BL$15:$BL$62,ROW($BL$15:$BL$62),0,1))),_xlpm.p,_xlpm.r-MIN(ROW($BJ$15:$BJ$62))+1,_xlpm.f,INDEX($BM$15:$BM$62,_xlpm.p),_xlpm.u,INDEX($BN$15:$BN$62,_xlpm.p),_xlpm.s,INDEX($BP$15:$BP$62,_xlpm.p),_xlpm.q,N(AU328)/_xlpm.f,IF(_xlpm.q&gt;=_xlpm.s,ROUND(_xlpm.q,1)&amp;" "&amp;_xlpm.ai_test&amp;" = "&amp;ROUND(_xlpm.q*_xlpm.f,1)&amp;" "&amp;_xlpm.u,ROUND(_xlpm.q,1)&amp;" "&amp;_xlpm.ai_test)),""),""))))</f>
        <v>0</v>
      </c>
      <c r="AX328" s="6218"/>
      <c r="AY328" s="6271">
        <f t="shared" si="145"/>
        <v>0</v>
      </c>
      <c r="AZ328" s="6242" t="str">
        <f t="shared" si="146"/>
        <v/>
      </c>
      <c r="BA328" s="6194">
        <f t="shared" si="151"/>
        <v>0</v>
      </c>
      <c r="BB328" s="6192" t="str">
        <f t="shared" si="147"/>
        <v/>
      </c>
      <c r="BC328" s="6219"/>
      <c r="BD328" s="6221">
        <f t="shared" si="152"/>
        <v>0</v>
      </c>
      <c r="BE328" s="6220" t="str">
        <f t="shared" si="148"/>
        <v/>
      </c>
      <c r="BF328" s="4" t="s">
        <v>1</v>
      </c>
      <c r="BG328" s="6196">
        <f t="shared" si="149"/>
        <v>0</v>
      </c>
      <c r="BH328" s="6197">
        <f t="shared" si="150"/>
        <v>0</v>
      </c>
      <c r="BI328"/>
      <c r="BJ328" s="1"/>
      <c r="BK328" s="1"/>
      <c r="BL328" s="1"/>
      <c r="BM328" s="1"/>
      <c r="BN328" s="1"/>
      <c r="BO328" s="1"/>
      <c r="BP328" s="1"/>
      <c r="BQ328" s="1"/>
      <c r="BX328" s="20" t="str">
        <f t="shared" si="155"/>
        <v>►</v>
      </c>
      <c r="BY328" s="2"/>
      <c r="BZ328" s="2"/>
      <c r="CA328" s="2"/>
      <c r="CB328" s="2"/>
      <c r="CC328" s="2"/>
      <c r="CD328" s="2"/>
      <c r="CL328" s="2"/>
      <c r="CT328" s="2"/>
      <c r="DB328" s="2"/>
      <c r="DC328" s="5">
        <v>1</v>
      </c>
    </row>
    <row r="329" spans="12:107" ht="21" customHeight="1">
      <c r="L329" s="1021" t="s">
        <v>26</v>
      </c>
      <c r="M329" s="6787"/>
      <c r="N329" s="6787"/>
      <c r="O329" s="6787"/>
      <c r="P329" s="6788"/>
      <c r="Q329" s="6789"/>
      <c r="R329" s="6790"/>
      <c r="S329" s="6786"/>
      <c r="T329" s="6791"/>
      <c r="U329" s="6844"/>
      <c r="V329" s="6791"/>
      <c r="W329" s="6785"/>
      <c r="X329" s="6868"/>
      <c r="Y329" s="6793"/>
      <c r="Z329" s="6794"/>
      <c r="AA329" s="6795"/>
      <c r="AB329" s="6796"/>
      <c r="AC329" s="6797"/>
      <c r="AD329" s="6798"/>
      <c r="AE329" s="4" t="s">
        <v>1</v>
      </c>
      <c r="AF329" s="6202" t="str">
        <f t="shared" si="132"/>
        <v>►</v>
      </c>
      <c r="AG329" s="6234" t="str">
        <f t="shared" si="133"/>
        <v/>
      </c>
      <c r="AH329" s="6732" t="str">
        <f t="shared" si="134"/>
        <v/>
      </c>
      <c r="AI329" s="6234" t="str">
        <f t="shared" si="135"/>
        <v/>
      </c>
      <c r="AJ329" s="6732" t="str">
        <f t="shared" si="136"/>
        <v/>
      </c>
      <c r="AK329" s="6732">
        <f t="shared" si="137"/>
        <v>0</v>
      </c>
      <c r="AL329" s="6230" t="str" cm="1">
        <f t="array" ref="AL329">IF(AF329&lt;&gt;"A","",IFERROR((IFERROR(_xlfn.XLOOKUP(TRIM(SUBSTITUTE(U329,CHAR(160)," ")),$BJ$15:$BJ$62,$BM$15:$BM$62),IFERROR(_xlfn.XLOOKUP(TRIM(SUBSTITUTE(U329,CHAR(160)," ")),$BK$15:$BK$62,$BM$15:$BM$62),_xlfn.XLOOKUP(TRIM(SUBSTITUTE(U329,CHAR(160)," ")),$BL$15:$BL$62,$BM$15:$BM$62))))*T329*IF(ISBLANK(Q329),1,Q329)+IFERROR(_xlfn.XLOOKUP("RECHERCHEX",TRIM(L329:AD329),L329:AD329),0),0))</f>
        <v/>
      </c>
      <c r="AM329" s="6229">
        <f t="shared" si="138"/>
        <v>0</v>
      </c>
      <c r="AN329" s="6857" t="str">
        <f t="shared" si="153"/>
        <v/>
      </c>
      <c r="AO329" s="392">
        <f t="shared" si="139"/>
        <v>0</v>
      </c>
      <c r="AP329" s="392">
        <f t="shared" si="140"/>
        <v>0</v>
      </c>
      <c r="AQ329" s="6191">
        <f t="shared" si="141"/>
        <v>0</v>
      </c>
      <c r="AR329" s="6859" t="str">
        <f t="shared" si="142"/>
        <v/>
      </c>
      <c r="AS329" s="6217"/>
      <c r="AT329" s="6217"/>
      <c r="AU329" s="6272">
        <f t="shared" si="143"/>
        <v>0</v>
      </c>
      <c r="AV329" s="6240">
        <f t="shared" si="144"/>
        <v>0</v>
      </c>
      <c r="AW329" s="6189" cm="1">
        <f t="array" ref="AW329">IF(AK329&lt;&gt;1,0,IF(OR(AU329="",N(AU329)&lt;=0.000000001),"",IF(OR(AO329="",N(AO329)&lt;=0.000000001),0,IF(ISNUMBER(AU329),IFERROR(_xlfn.LET(_xlpm.ai_test,TRIM(AJ329),_xlpm.r,IFERROR(_xlfn.XLOOKUP(_xlpm.ai_test,$BJ$15:$BJ$62,ROW($BJ$15:$BJ$62),0,1),IFERROR(_xlfn.XLOOKUP(_xlpm.ai_test,$BK$15:$BK$62,ROW($BK$15:$BK$62),0,1),_xlfn.XLOOKUP(_xlpm.ai_test,$BL$15:$BL$62,ROW($BL$15:$BL$62),0,1))),_xlpm.p,_xlpm.r-MIN(ROW($BJ$15:$BJ$62))+1,_xlpm.f,INDEX($BM$15:$BM$62,_xlpm.p),_xlpm.u,INDEX($BN$15:$BN$62,_xlpm.p),_xlpm.s,INDEX($BP$15:$BP$62,_xlpm.p),_xlpm.q,N(AU329)/_xlpm.f,IF(_xlpm.q&gt;=_xlpm.s,ROUND(_xlpm.q,1)&amp;" "&amp;_xlpm.ai_test&amp;" = "&amp;ROUND(_xlpm.q*_xlpm.f,1)&amp;" "&amp;_xlpm.u,ROUND(_xlpm.q,1)&amp;" "&amp;_xlpm.ai_test)),""),""))))</f>
        <v>0</v>
      </c>
      <c r="AX329" s="6218"/>
      <c r="AY329" s="6272">
        <f t="shared" si="145"/>
        <v>0</v>
      </c>
      <c r="AZ329" s="6240" t="str">
        <f t="shared" si="146"/>
        <v/>
      </c>
      <c r="BA329" s="6195">
        <f t="shared" si="151"/>
        <v>0</v>
      </c>
      <c r="BB329" s="6193" t="str">
        <f t="shared" si="147"/>
        <v/>
      </c>
      <c r="BC329" s="6219"/>
      <c r="BD329" s="6222">
        <f t="shared" si="152"/>
        <v>0</v>
      </c>
      <c r="BE329" s="6220" t="str">
        <f t="shared" si="148"/>
        <v/>
      </c>
      <c r="BF329" s="4" t="s">
        <v>1</v>
      </c>
      <c r="BG329" s="6196">
        <f t="shared" si="149"/>
        <v>0</v>
      </c>
      <c r="BH329" s="6197">
        <f t="shared" si="150"/>
        <v>0</v>
      </c>
      <c r="BI329"/>
      <c r="BJ329" s="1"/>
      <c r="BK329" s="1"/>
      <c r="BL329" s="1"/>
      <c r="BM329" s="1"/>
      <c r="BN329" s="1"/>
      <c r="BO329" s="1"/>
      <c r="BP329" s="1"/>
      <c r="BQ329" s="1"/>
      <c r="BX329" s="20" t="str">
        <f t="shared" si="155"/>
        <v>►</v>
      </c>
      <c r="BY329" s="2"/>
      <c r="BZ329" s="2"/>
      <c r="CA329" s="2"/>
      <c r="CB329" s="2"/>
      <c r="CC329" s="2"/>
      <c r="CD329" s="2"/>
      <c r="CL329" s="2"/>
      <c r="CT329" s="2"/>
      <c r="DB329" s="2"/>
      <c r="DC329" s="5">
        <v>1</v>
      </c>
    </row>
    <row r="330" spans="12:107" ht="21" customHeight="1">
      <c r="L330" s="1021" t="s">
        <v>26</v>
      </c>
      <c r="M330" s="6787"/>
      <c r="N330" s="6787"/>
      <c r="O330" s="6787"/>
      <c r="P330" s="6788"/>
      <c r="Q330" s="6789"/>
      <c r="R330" s="6790"/>
      <c r="S330" s="6786"/>
      <c r="T330" s="6791"/>
      <c r="U330" s="6844"/>
      <c r="V330" s="6791"/>
      <c r="W330" s="6785"/>
      <c r="X330" s="6868"/>
      <c r="Y330" s="6793"/>
      <c r="Z330" s="6794"/>
      <c r="AA330" s="6795"/>
      <c r="AB330" s="6796"/>
      <c r="AC330" s="6797"/>
      <c r="AD330" s="6798"/>
      <c r="AE330" s="4" t="s">
        <v>1</v>
      </c>
      <c r="AF330" s="6202" t="str">
        <f t="shared" si="132"/>
        <v>►</v>
      </c>
      <c r="AG330" s="6234" t="str">
        <f t="shared" si="133"/>
        <v/>
      </c>
      <c r="AH330" s="6732" t="str">
        <f t="shared" si="134"/>
        <v/>
      </c>
      <c r="AI330" s="6234" t="str">
        <f t="shared" si="135"/>
        <v/>
      </c>
      <c r="AJ330" s="6732" t="str">
        <f t="shared" si="136"/>
        <v/>
      </c>
      <c r="AK330" s="6732">
        <f t="shared" si="137"/>
        <v>0</v>
      </c>
      <c r="AL330" s="6230" t="str" cm="1">
        <f t="array" ref="AL330">IF(AF330&lt;&gt;"A","",IFERROR((IFERROR(_xlfn.XLOOKUP(TRIM(SUBSTITUTE(U330,CHAR(160)," ")),$BJ$15:$BJ$62,$BM$15:$BM$62),IFERROR(_xlfn.XLOOKUP(TRIM(SUBSTITUTE(U330,CHAR(160)," ")),$BK$15:$BK$62,$BM$15:$BM$62),_xlfn.XLOOKUP(TRIM(SUBSTITUTE(U330,CHAR(160)," ")),$BL$15:$BL$62,$BM$15:$BM$62))))*T330*IF(ISBLANK(Q330),1,Q330)+IFERROR(_xlfn.XLOOKUP("RECHERCHEX",TRIM(L330:AD330),L330:AD330),0),0))</f>
        <v/>
      </c>
      <c r="AM330" s="6229">
        <f t="shared" si="138"/>
        <v>0</v>
      </c>
      <c r="AN330" s="6857" t="str">
        <f t="shared" si="153"/>
        <v/>
      </c>
      <c r="AO330" s="392">
        <f t="shared" si="139"/>
        <v>0</v>
      </c>
      <c r="AP330" s="392">
        <f t="shared" si="140"/>
        <v>0</v>
      </c>
      <c r="AQ330" s="6190">
        <f t="shared" si="141"/>
        <v>0</v>
      </c>
      <c r="AR330" s="6858" t="str">
        <f t="shared" si="142"/>
        <v/>
      </c>
      <c r="AS330" s="6217"/>
      <c r="AT330" s="6217"/>
      <c r="AU330" s="6271">
        <f t="shared" si="143"/>
        <v>0</v>
      </c>
      <c r="AV330" s="6242">
        <f t="shared" si="144"/>
        <v>0</v>
      </c>
      <c r="AW330" s="6188" cm="1">
        <f t="array" ref="AW330">IF(AK330&lt;&gt;1,0,IF(OR(AU330="",N(AU330)&lt;=0.000000001),"",IF(OR(AO330="",N(AO330)&lt;=0.000000001),0,IF(ISNUMBER(AU330),IFERROR(_xlfn.LET(_xlpm.ai_test,TRIM(AJ330),_xlpm.r,IFERROR(_xlfn.XLOOKUP(_xlpm.ai_test,$BJ$15:$BJ$62,ROW($BJ$15:$BJ$62),0,1),IFERROR(_xlfn.XLOOKUP(_xlpm.ai_test,$BK$15:$BK$62,ROW($BK$15:$BK$62),0,1),_xlfn.XLOOKUP(_xlpm.ai_test,$BL$15:$BL$62,ROW($BL$15:$BL$62),0,1))),_xlpm.p,_xlpm.r-MIN(ROW($BJ$15:$BJ$62))+1,_xlpm.f,INDEX($BM$15:$BM$62,_xlpm.p),_xlpm.u,INDEX($BN$15:$BN$62,_xlpm.p),_xlpm.s,INDEX($BP$15:$BP$62,_xlpm.p),_xlpm.q,N(AU330)/_xlpm.f,IF(_xlpm.q&gt;=_xlpm.s,ROUND(_xlpm.q,1)&amp;" "&amp;_xlpm.ai_test&amp;" = "&amp;ROUND(_xlpm.q*_xlpm.f,1)&amp;" "&amp;_xlpm.u,ROUND(_xlpm.q,1)&amp;" "&amp;_xlpm.ai_test)),""),""))))</f>
        <v>0</v>
      </c>
      <c r="AX330" s="6218"/>
      <c r="AY330" s="6271">
        <f t="shared" si="145"/>
        <v>0</v>
      </c>
      <c r="AZ330" s="6242" t="str">
        <f t="shared" si="146"/>
        <v/>
      </c>
      <c r="BA330" s="6194">
        <f t="shared" si="151"/>
        <v>0</v>
      </c>
      <c r="BB330" s="6192" t="str">
        <f t="shared" si="147"/>
        <v/>
      </c>
      <c r="BC330" s="6219"/>
      <c r="BD330" s="6221">
        <f t="shared" si="152"/>
        <v>0</v>
      </c>
      <c r="BE330" s="6220" t="str">
        <f t="shared" si="148"/>
        <v/>
      </c>
      <c r="BF330" s="4" t="s">
        <v>1</v>
      </c>
      <c r="BG330" s="6196">
        <f t="shared" si="149"/>
        <v>0</v>
      </c>
      <c r="BH330" s="6197">
        <f t="shared" si="150"/>
        <v>0</v>
      </c>
      <c r="BI330"/>
      <c r="BJ330" s="1"/>
      <c r="BK330" s="1"/>
      <c r="BL330" s="1"/>
      <c r="BM330" s="1"/>
      <c r="BN330" s="1"/>
      <c r="BO330" s="1"/>
      <c r="BP330" s="1"/>
      <c r="BQ330" s="1"/>
      <c r="BX330" s="20" t="str">
        <f t="shared" si="155"/>
        <v>►</v>
      </c>
      <c r="BY330" s="2"/>
      <c r="BZ330" s="2"/>
      <c r="CA330" s="2"/>
      <c r="CB330" s="2"/>
      <c r="CC330" s="2"/>
      <c r="CD330" s="2"/>
      <c r="CL330" s="2"/>
      <c r="CT330" s="2"/>
      <c r="DB330" s="2"/>
      <c r="DC330" s="5">
        <v>1</v>
      </c>
    </row>
    <row r="331" spans="12:107" ht="21" customHeight="1">
      <c r="L331" s="1021" t="s">
        <v>26</v>
      </c>
      <c r="M331" s="6787"/>
      <c r="N331" s="6787"/>
      <c r="O331" s="6787"/>
      <c r="P331" s="6788"/>
      <c r="Q331" s="6789"/>
      <c r="R331" s="6790"/>
      <c r="S331" s="6786"/>
      <c r="T331" s="6791"/>
      <c r="U331" s="6844"/>
      <c r="V331" s="6791"/>
      <c r="W331" s="6785"/>
      <c r="X331" s="6868"/>
      <c r="Y331" s="6793"/>
      <c r="Z331" s="6794"/>
      <c r="AA331" s="6795"/>
      <c r="AB331" s="6796"/>
      <c r="AC331" s="6797"/>
      <c r="AD331" s="6798"/>
      <c r="AE331" s="4" t="s">
        <v>1</v>
      </c>
      <c r="AF331" s="6202" t="str">
        <f t="shared" si="132"/>
        <v>►</v>
      </c>
      <c r="AG331" s="6234" t="str">
        <f t="shared" si="133"/>
        <v/>
      </c>
      <c r="AH331" s="6732" t="str">
        <f t="shared" si="134"/>
        <v/>
      </c>
      <c r="AI331" s="6234" t="str">
        <f t="shared" si="135"/>
        <v/>
      </c>
      <c r="AJ331" s="6732" t="str">
        <f t="shared" si="136"/>
        <v/>
      </c>
      <c r="AK331" s="6732">
        <f t="shared" si="137"/>
        <v>0</v>
      </c>
      <c r="AL331" s="6230" t="str" cm="1">
        <f t="array" ref="AL331">IF(AF331&lt;&gt;"A","",IFERROR((IFERROR(_xlfn.XLOOKUP(TRIM(SUBSTITUTE(U331,CHAR(160)," ")),$BJ$15:$BJ$62,$BM$15:$BM$62),IFERROR(_xlfn.XLOOKUP(TRIM(SUBSTITUTE(U331,CHAR(160)," ")),$BK$15:$BK$62,$BM$15:$BM$62),_xlfn.XLOOKUP(TRIM(SUBSTITUTE(U331,CHAR(160)," ")),$BL$15:$BL$62,$BM$15:$BM$62))))*T331*IF(ISBLANK(Q331),1,Q331)+IFERROR(_xlfn.XLOOKUP("RECHERCHEX",TRIM(L331:AD331),L331:AD331),0),0))</f>
        <v/>
      </c>
      <c r="AM331" s="6229">
        <f t="shared" si="138"/>
        <v>0</v>
      </c>
      <c r="AN331" s="6857" t="str">
        <f t="shared" si="153"/>
        <v/>
      </c>
      <c r="AO331" s="392">
        <f t="shared" si="139"/>
        <v>0</v>
      </c>
      <c r="AP331" s="392">
        <f t="shared" si="140"/>
        <v>0</v>
      </c>
      <c r="AQ331" s="6191">
        <f t="shared" si="141"/>
        <v>0</v>
      </c>
      <c r="AR331" s="6859" t="str">
        <f t="shared" si="142"/>
        <v/>
      </c>
      <c r="AS331" s="6217"/>
      <c r="AT331" s="6217"/>
      <c r="AU331" s="6272">
        <f t="shared" si="143"/>
        <v>0</v>
      </c>
      <c r="AV331" s="6240">
        <f t="shared" si="144"/>
        <v>0</v>
      </c>
      <c r="AW331" s="6189" cm="1">
        <f t="array" ref="AW331">IF(AK331&lt;&gt;1,0,IF(OR(AU331="",N(AU331)&lt;=0.000000001),"",IF(OR(AO331="",N(AO331)&lt;=0.000000001),0,IF(ISNUMBER(AU331),IFERROR(_xlfn.LET(_xlpm.ai_test,TRIM(AJ331),_xlpm.r,IFERROR(_xlfn.XLOOKUP(_xlpm.ai_test,$BJ$15:$BJ$62,ROW($BJ$15:$BJ$62),0,1),IFERROR(_xlfn.XLOOKUP(_xlpm.ai_test,$BK$15:$BK$62,ROW($BK$15:$BK$62),0,1),_xlfn.XLOOKUP(_xlpm.ai_test,$BL$15:$BL$62,ROW($BL$15:$BL$62),0,1))),_xlpm.p,_xlpm.r-MIN(ROW($BJ$15:$BJ$62))+1,_xlpm.f,INDEX($BM$15:$BM$62,_xlpm.p),_xlpm.u,INDEX($BN$15:$BN$62,_xlpm.p),_xlpm.s,INDEX($BP$15:$BP$62,_xlpm.p),_xlpm.q,N(AU331)/_xlpm.f,IF(_xlpm.q&gt;=_xlpm.s,ROUND(_xlpm.q,1)&amp;" "&amp;_xlpm.ai_test&amp;" = "&amp;ROUND(_xlpm.q*_xlpm.f,1)&amp;" "&amp;_xlpm.u,ROUND(_xlpm.q,1)&amp;" "&amp;_xlpm.ai_test)),""),""))))</f>
        <v>0</v>
      </c>
      <c r="AX331" s="6218"/>
      <c r="AY331" s="6272">
        <f t="shared" si="145"/>
        <v>0</v>
      </c>
      <c r="AZ331" s="6240" t="str">
        <f t="shared" si="146"/>
        <v/>
      </c>
      <c r="BA331" s="6195">
        <f t="shared" si="151"/>
        <v>0</v>
      </c>
      <c r="BB331" s="6193" t="str">
        <f t="shared" si="147"/>
        <v/>
      </c>
      <c r="BC331" s="6219"/>
      <c r="BD331" s="6222">
        <f t="shared" si="152"/>
        <v>0</v>
      </c>
      <c r="BE331" s="6220" t="str">
        <f t="shared" si="148"/>
        <v/>
      </c>
      <c r="BF331" s="4" t="s">
        <v>1</v>
      </c>
      <c r="BG331" s="6196">
        <f t="shared" si="149"/>
        <v>0</v>
      </c>
      <c r="BH331" s="6197">
        <f t="shared" si="150"/>
        <v>0</v>
      </c>
      <c r="BI331"/>
      <c r="BJ331" s="1"/>
      <c r="BK331" s="1"/>
      <c r="BL331" s="1"/>
      <c r="BM331" s="1"/>
      <c r="BN331" s="1"/>
      <c r="BO331" s="1"/>
      <c r="BP331" s="1"/>
      <c r="BQ331" s="1"/>
      <c r="BX331" s="20" t="str">
        <f t="shared" si="155"/>
        <v>►</v>
      </c>
      <c r="BY331" s="2"/>
      <c r="BZ331" s="2"/>
      <c r="CA331" s="2"/>
      <c r="CB331" s="2"/>
      <c r="CC331" s="2"/>
      <c r="CD331" s="2"/>
      <c r="CL331" s="2"/>
      <c r="CT331" s="2"/>
      <c r="DB331" s="2"/>
      <c r="DC331" s="5">
        <v>1</v>
      </c>
    </row>
    <row r="332" spans="12:107" ht="21" customHeight="1">
      <c r="L332" s="1021" t="s">
        <v>26</v>
      </c>
      <c r="M332" s="6787"/>
      <c r="N332" s="6787"/>
      <c r="O332" s="6787"/>
      <c r="P332" s="6788"/>
      <c r="Q332" s="6789"/>
      <c r="R332" s="6790"/>
      <c r="S332" s="6786"/>
      <c r="T332" s="6791"/>
      <c r="U332" s="6844"/>
      <c r="V332" s="6791"/>
      <c r="W332" s="6785"/>
      <c r="X332" s="6868"/>
      <c r="Y332" s="6793"/>
      <c r="Z332" s="6794"/>
      <c r="AA332" s="6795"/>
      <c r="AB332" s="6796"/>
      <c r="AC332" s="6797"/>
      <c r="AD332" s="6798"/>
      <c r="AE332" s="4" t="s">
        <v>1</v>
      </c>
      <c r="AF332" s="6202" t="str">
        <f t="shared" si="132"/>
        <v>►</v>
      </c>
      <c r="AG332" s="6234" t="str">
        <f t="shared" si="133"/>
        <v/>
      </c>
      <c r="AH332" s="6732" t="str">
        <f t="shared" si="134"/>
        <v/>
      </c>
      <c r="AI332" s="6234" t="str">
        <f t="shared" si="135"/>
        <v/>
      </c>
      <c r="AJ332" s="6732" t="str">
        <f t="shared" si="136"/>
        <v/>
      </c>
      <c r="AK332" s="6732">
        <f t="shared" si="137"/>
        <v>0</v>
      </c>
      <c r="AL332" s="6230" t="str" cm="1">
        <f t="array" ref="AL332">IF(AF332&lt;&gt;"A","",IFERROR((IFERROR(_xlfn.XLOOKUP(TRIM(SUBSTITUTE(U332,CHAR(160)," ")),$BJ$15:$BJ$62,$BM$15:$BM$62),IFERROR(_xlfn.XLOOKUP(TRIM(SUBSTITUTE(U332,CHAR(160)," ")),$BK$15:$BK$62,$BM$15:$BM$62),_xlfn.XLOOKUP(TRIM(SUBSTITUTE(U332,CHAR(160)," ")),$BL$15:$BL$62,$BM$15:$BM$62))))*T332*IF(ISBLANK(Q332),1,Q332)+IFERROR(_xlfn.XLOOKUP("RECHERCHEX",TRIM(L332:AD332),L332:AD332),0),0))</f>
        <v/>
      </c>
      <c r="AM332" s="6229">
        <f t="shared" si="138"/>
        <v>0</v>
      </c>
      <c r="AN332" s="6857" t="str">
        <f t="shared" si="153"/>
        <v/>
      </c>
      <c r="AO332" s="392">
        <f t="shared" si="139"/>
        <v>0</v>
      </c>
      <c r="AP332" s="392">
        <f t="shared" si="140"/>
        <v>0</v>
      </c>
      <c r="AQ332" s="6190">
        <f t="shared" si="141"/>
        <v>0</v>
      </c>
      <c r="AR332" s="6858" t="str">
        <f t="shared" si="142"/>
        <v/>
      </c>
      <c r="AS332" s="6217"/>
      <c r="AT332" s="6217"/>
      <c r="AU332" s="6271">
        <f t="shared" si="143"/>
        <v>0</v>
      </c>
      <c r="AV332" s="6242">
        <f t="shared" si="144"/>
        <v>0</v>
      </c>
      <c r="AW332" s="6188" cm="1">
        <f t="array" ref="AW332">IF(AK332&lt;&gt;1,0,IF(OR(AU332="",N(AU332)&lt;=0.000000001),"",IF(OR(AO332="",N(AO332)&lt;=0.000000001),0,IF(ISNUMBER(AU332),IFERROR(_xlfn.LET(_xlpm.ai_test,TRIM(AJ332),_xlpm.r,IFERROR(_xlfn.XLOOKUP(_xlpm.ai_test,$BJ$15:$BJ$62,ROW($BJ$15:$BJ$62),0,1),IFERROR(_xlfn.XLOOKUP(_xlpm.ai_test,$BK$15:$BK$62,ROW($BK$15:$BK$62),0,1),_xlfn.XLOOKUP(_xlpm.ai_test,$BL$15:$BL$62,ROW($BL$15:$BL$62),0,1))),_xlpm.p,_xlpm.r-MIN(ROW($BJ$15:$BJ$62))+1,_xlpm.f,INDEX($BM$15:$BM$62,_xlpm.p),_xlpm.u,INDEX($BN$15:$BN$62,_xlpm.p),_xlpm.s,INDEX($BP$15:$BP$62,_xlpm.p),_xlpm.q,N(AU332)/_xlpm.f,IF(_xlpm.q&gt;=_xlpm.s,ROUND(_xlpm.q,1)&amp;" "&amp;_xlpm.ai_test&amp;" = "&amp;ROUND(_xlpm.q*_xlpm.f,1)&amp;" "&amp;_xlpm.u,ROUND(_xlpm.q,1)&amp;" "&amp;_xlpm.ai_test)),""),""))))</f>
        <v>0</v>
      </c>
      <c r="AX332" s="6218"/>
      <c r="AY332" s="6271">
        <f t="shared" si="145"/>
        <v>0</v>
      </c>
      <c r="AZ332" s="6242" t="str">
        <f t="shared" si="146"/>
        <v/>
      </c>
      <c r="BA332" s="6194">
        <f t="shared" si="151"/>
        <v>0</v>
      </c>
      <c r="BB332" s="6192" t="str">
        <f t="shared" si="147"/>
        <v/>
      </c>
      <c r="BC332" s="6219"/>
      <c r="BD332" s="6221">
        <f t="shared" si="152"/>
        <v>0</v>
      </c>
      <c r="BE332" s="6220" t="str">
        <f t="shared" si="148"/>
        <v/>
      </c>
      <c r="BF332" s="4" t="s">
        <v>1</v>
      </c>
      <c r="BG332" s="6196">
        <f t="shared" si="149"/>
        <v>0</v>
      </c>
      <c r="BH332" s="6197">
        <f t="shared" si="150"/>
        <v>0</v>
      </c>
      <c r="BI332"/>
      <c r="BJ332" s="1"/>
      <c r="BK332" s="1"/>
      <c r="BL332" s="1"/>
      <c r="BM332" s="1"/>
      <c r="BN332" s="1"/>
      <c r="BO332" s="1"/>
      <c r="BP332" s="1"/>
      <c r="BQ332" s="1"/>
      <c r="BX332" s="20" t="str">
        <f t="shared" si="155"/>
        <v>►</v>
      </c>
      <c r="BY332" s="2"/>
      <c r="BZ332" s="2"/>
      <c r="CA332" s="2"/>
      <c r="CB332" s="2"/>
      <c r="CC332" s="2"/>
      <c r="CD332" s="2"/>
      <c r="DC332" s="5">
        <v>1</v>
      </c>
    </row>
    <row r="333" spans="12:107" ht="21" customHeight="1">
      <c r="L333" s="1021" t="s">
        <v>26</v>
      </c>
      <c r="M333" s="6787"/>
      <c r="N333" s="6787"/>
      <c r="O333" s="6787"/>
      <c r="P333" s="6788"/>
      <c r="Q333" s="6789"/>
      <c r="R333" s="6790"/>
      <c r="S333" s="6786"/>
      <c r="T333" s="6791"/>
      <c r="U333" s="6844"/>
      <c r="V333" s="6791"/>
      <c r="W333" s="6785"/>
      <c r="X333" s="6868"/>
      <c r="Y333" s="6793"/>
      <c r="Z333" s="6794"/>
      <c r="AA333" s="6795"/>
      <c r="AB333" s="6796"/>
      <c r="AC333" s="6797"/>
      <c r="AD333" s="6798"/>
      <c r="AE333" s="4" t="s">
        <v>1</v>
      </c>
      <c r="AF333" s="6202" t="str">
        <f t="shared" si="132"/>
        <v>►</v>
      </c>
      <c r="AG333" s="6234" t="str">
        <f t="shared" si="133"/>
        <v/>
      </c>
      <c r="AH333" s="6732" t="str">
        <f t="shared" si="134"/>
        <v/>
      </c>
      <c r="AI333" s="6234" t="str">
        <f t="shared" si="135"/>
        <v/>
      </c>
      <c r="AJ333" s="6732" t="str">
        <f t="shared" si="136"/>
        <v/>
      </c>
      <c r="AK333" s="6732">
        <f t="shared" si="137"/>
        <v>0</v>
      </c>
      <c r="AL333" s="6230" t="str" cm="1">
        <f t="array" ref="AL333">IF(AF333&lt;&gt;"A","",IFERROR((IFERROR(_xlfn.XLOOKUP(TRIM(SUBSTITUTE(U333,CHAR(160)," ")),$BJ$15:$BJ$62,$BM$15:$BM$62),IFERROR(_xlfn.XLOOKUP(TRIM(SUBSTITUTE(U333,CHAR(160)," ")),$BK$15:$BK$62,$BM$15:$BM$62),_xlfn.XLOOKUP(TRIM(SUBSTITUTE(U333,CHAR(160)," ")),$BL$15:$BL$62,$BM$15:$BM$62))))*T333*IF(ISBLANK(Q333),1,Q333)+IFERROR(_xlfn.XLOOKUP("RECHERCHEX",TRIM(L333:AD333),L333:AD333),0),0))</f>
        <v/>
      </c>
      <c r="AM333" s="6229">
        <f t="shared" si="138"/>
        <v>0</v>
      </c>
      <c r="AN333" s="6857" t="str">
        <f t="shared" si="153"/>
        <v/>
      </c>
      <c r="AO333" s="392">
        <f t="shared" si="139"/>
        <v>0</v>
      </c>
      <c r="AP333" s="392">
        <f t="shared" si="140"/>
        <v>0</v>
      </c>
      <c r="AQ333" s="6191">
        <f t="shared" si="141"/>
        <v>0</v>
      </c>
      <c r="AR333" s="6859" t="str">
        <f t="shared" si="142"/>
        <v/>
      </c>
      <c r="AS333" s="6217"/>
      <c r="AT333" s="6217"/>
      <c r="AU333" s="6272">
        <f t="shared" si="143"/>
        <v>0</v>
      </c>
      <c r="AV333" s="6240">
        <f t="shared" si="144"/>
        <v>0</v>
      </c>
      <c r="AW333" s="6189" cm="1">
        <f t="array" ref="AW333">IF(AK333&lt;&gt;1,0,IF(OR(AU333="",N(AU333)&lt;=0.000000001),"",IF(OR(AO333="",N(AO333)&lt;=0.000000001),0,IF(ISNUMBER(AU333),IFERROR(_xlfn.LET(_xlpm.ai_test,TRIM(AJ333),_xlpm.r,IFERROR(_xlfn.XLOOKUP(_xlpm.ai_test,$BJ$15:$BJ$62,ROW($BJ$15:$BJ$62),0,1),IFERROR(_xlfn.XLOOKUP(_xlpm.ai_test,$BK$15:$BK$62,ROW($BK$15:$BK$62),0,1),_xlfn.XLOOKUP(_xlpm.ai_test,$BL$15:$BL$62,ROW($BL$15:$BL$62),0,1))),_xlpm.p,_xlpm.r-MIN(ROW($BJ$15:$BJ$62))+1,_xlpm.f,INDEX($BM$15:$BM$62,_xlpm.p),_xlpm.u,INDEX($BN$15:$BN$62,_xlpm.p),_xlpm.s,INDEX($BP$15:$BP$62,_xlpm.p),_xlpm.q,N(AU333)/_xlpm.f,IF(_xlpm.q&gt;=_xlpm.s,ROUND(_xlpm.q,1)&amp;" "&amp;_xlpm.ai_test&amp;" = "&amp;ROUND(_xlpm.q*_xlpm.f,1)&amp;" "&amp;_xlpm.u,ROUND(_xlpm.q,1)&amp;" "&amp;_xlpm.ai_test)),""),""))))</f>
        <v>0</v>
      </c>
      <c r="AX333" s="6218"/>
      <c r="AY333" s="6272">
        <f t="shared" si="145"/>
        <v>0</v>
      </c>
      <c r="AZ333" s="6240" t="str">
        <f t="shared" si="146"/>
        <v/>
      </c>
      <c r="BA333" s="6195">
        <f t="shared" si="151"/>
        <v>0</v>
      </c>
      <c r="BB333" s="6193" t="str">
        <f t="shared" si="147"/>
        <v/>
      </c>
      <c r="BC333" s="6219"/>
      <c r="BD333" s="6222">
        <f t="shared" si="152"/>
        <v>0</v>
      </c>
      <c r="BE333" s="6220" t="str">
        <f t="shared" si="148"/>
        <v/>
      </c>
      <c r="BF333" s="4" t="s">
        <v>1</v>
      </c>
      <c r="BG333" s="6196">
        <f t="shared" si="149"/>
        <v>0</v>
      </c>
      <c r="BH333" s="6197">
        <f t="shared" si="150"/>
        <v>0</v>
      </c>
      <c r="BI333"/>
      <c r="BJ333" s="1"/>
      <c r="BK333" s="1"/>
      <c r="BL333" s="1"/>
      <c r="BM333" s="1"/>
      <c r="BN333" s="1"/>
      <c r="BO333" s="1"/>
      <c r="BP333" s="1"/>
      <c r="BQ333" s="1"/>
      <c r="BX333" s="20" t="str">
        <f t="shared" si="155"/>
        <v>►</v>
      </c>
      <c r="BY333" s="2"/>
      <c r="BZ333" s="2"/>
      <c r="CA333" s="2"/>
      <c r="CB333" s="2"/>
      <c r="CC333" s="2"/>
      <c r="DC333" s="5">
        <v>1</v>
      </c>
    </row>
    <row r="334" spans="12:107" ht="21" customHeight="1">
      <c r="L334" s="1021" t="s">
        <v>26</v>
      </c>
      <c r="M334" s="6787"/>
      <c r="N334" s="6787"/>
      <c r="O334" s="6787"/>
      <c r="P334" s="6788"/>
      <c r="Q334" s="6789"/>
      <c r="R334" s="6790"/>
      <c r="S334" s="6786"/>
      <c r="T334" s="6791"/>
      <c r="U334" s="6844"/>
      <c r="V334" s="6791"/>
      <c r="W334" s="6785"/>
      <c r="X334" s="6868"/>
      <c r="Y334" s="6793"/>
      <c r="Z334" s="6794"/>
      <c r="AA334" s="6795"/>
      <c r="AB334" s="6796"/>
      <c r="AC334" s="6797"/>
      <c r="AD334" s="6798"/>
      <c r="AE334" s="4" t="s">
        <v>1</v>
      </c>
      <c r="AF334" s="6202" t="str">
        <f t="shared" si="132"/>
        <v>►</v>
      </c>
      <c r="AG334" s="6234" t="str">
        <f t="shared" si="133"/>
        <v/>
      </c>
      <c r="AH334" s="6732" t="str">
        <f t="shared" si="134"/>
        <v/>
      </c>
      <c r="AI334" s="6234" t="str">
        <f t="shared" si="135"/>
        <v/>
      </c>
      <c r="AJ334" s="6732" t="str">
        <f t="shared" si="136"/>
        <v/>
      </c>
      <c r="AK334" s="6732">
        <f t="shared" si="137"/>
        <v>0</v>
      </c>
      <c r="AL334" s="6230" t="str" cm="1">
        <f t="array" ref="AL334">IF(AF334&lt;&gt;"A","",IFERROR((IFERROR(_xlfn.XLOOKUP(TRIM(SUBSTITUTE(U334,CHAR(160)," ")),$BJ$15:$BJ$62,$BM$15:$BM$62),IFERROR(_xlfn.XLOOKUP(TRIM(SUBSTITUTE(U334,CHAR(160)," ")),$BK$15:$BK$62,$BM$15:$BM$62),_xlfn.XLOOKUP(TRIM(SUBSTITUTE(U334,CHAR(160)," ")),$BL$15:$BL$62,$BM$15:$BM$62))))*T334*IF(ISBLANK(Q334),1,Q334)+IFERROR(_xlfn.XLOOKUP("RECHERCHEX",TRIM(L334:AD334),L334:AD334),0),0))</f>
        <v/>
      </c>
      <c r="AM334" s="6229">
        <f t="shared" si="138"/>
        <v>0</v>
      </c>
      <c r="AN334" s="6857" t="str">
        <f t="shared" si="153"/>
        <v/>
      </c>
      <c r="AO334" s="392">
        <f t="shared" si="139"/>
        <v>0</v>
      </c>
      <c r="AP334" s="392">
        <f t="shared" si="140"/>
        <v>0</v>
      </c>
      <c r="AQ334" s="6190">
        <f t="shared" si="141"/>
        <v>0</v>
      </c>
      <c r="AR334" s="6858" t="str">
        <f t="shared" si="142"/>
        <v/>
      </c>
      <c r="AS334" s="6217"/>
      <c r="AT334" s="6217"/>
      <c r="AU334" s="6271">
        <f t="shared" si="143"/>
        <v>0</v>
      </c>
      <c r="AV334" s="6242">
        <f t="shared" si="144"/>
        <v>0</v>
      </c>
      <c r="AW334" s="6188" cm="1">
        <f t="array" ref="AW334">IF(AK334&lt;&gt;1,0,IF(OR(AU334="",N(AU334)&lt;=0.000000001),"",IF(OR(AO334="",N(AO334)&lt;=0.000000001),0,IF(ISNUMBER(AU334),IFERROR(_xlfn.LET(_xlpm.ai_test,TRIM(AJ334),_xlpm.r,IFERROR(_xlfn.XLOOKUP(_xlpm.ai_test,$BJ$15:$BJ$62,ROW($BJ$15:$BJ$62),0,1),IFERROR(_xlfn.XLOOKUP(_xlpm.ai_test,$BK$15:$BK$62,ROW($BK$15:$BK$62),0,1),_xlfn.XLOOKUP(_xlpm.ai_test,$BL$15:$BL$62,ROW($BL$15:$BL$62),0,1))),_xlpm.p,_xlpm.r-MIN(ROW($BJ$15:$BJ$62))+1,_xlpm.f,INDEX($BM$15:$BM$62,_xlpm.p),_xlpm.u,INDEX($BN$15:$BN$62,_xlpm.p),_xlpm.s,INDEX($BP$15:$BP$62,_xlpm.p),_xlpm.q,N(AU334)/_xlpm.f,IF(_xlpm.q&gt;=_xlpm.s,ROUND(_xlpm.q,1)&amp;" "&amp;_xlpm.ai_test&amp;" = "&amp;ROUND(_xlpm.q*_xlpm.f,1)&amp;" "&amp;_xlpm.u,ROUND(_xlpm.q,1)&amp;" "&amp;_xlpm.ai_test)),""),""))))</f>
        <v>0</v>
      </c>
      <c r="AX334" s="6218"/>
      <c r="AY334" s="6271">
        <f t="shared" si="145"/>
        <v>0</v>
      </c>
      <c r="AZ334" s="6242" t="str">
        <f t="shared" si="146"/>
        <v/>
      </c>
      <c r="BA334" s="6194">
        <f t="shared" si="151"/>
        <v>0</v>
      </c>
      <c r="BB334" s="6192" t="str">
        <f t="shared" si="147"/>
        <v/>
      </c>
      <c r="BC334" s="6219"/>
      <c r="BD334" s="6221">
        <f t="shared" si="152"/>
        <v>0</v>
      </c>
      <c r="BE334" s="6220" t="str">
        <f t="shared" si="148"/>
        <v/>
      </c>
      <c r="BF334" s="4" t="s">
        <v>1</v>
      </c>
      <c r="BG334" s="6196">
        <f t="shared" si="149"/>
        <v>0</v>
      </c>
      <c r="BH334" s="6197">
        <f t="shared" si="150"/>
        <v>0</v>
      </c>
      <c r="BI334"/>
      <c r="BJ334" s="1"/>
      <c r="BK334" s="1"/>
      <c r="BL334" s="1"/>
      <c r="BM334" s="1"/>
      <c r="BN334" s="1"/>
      <c r="BO334" s="1"/>
      <c r="BP334" s="1"/>
      <c r="BQ334" s="1"/>
      <c r="BX334" s="20" t="str">
        <f t="shared" si="155"/>
        <v>►</v>
      </c>
      <c r="BY334" s="2"/>
      <c r="BZ334" s="2"/>
      <c r="CA334" s="2"/>
      <c r="CB334" s="2"/>
      <c r="CC334" s="2"/>
      <c r="DC334" s="5">
        <v>1</v>
      </c>
    </row>
    <row r="335" spans="12:107" ht="21" customHeight="1">
      <c r="L335" s="1021" t="s">
        <v>26</v>
      </c>
      <c r="M335" s="6787"/>
      <c r="N335" s="6787"/>
      <c r="O335" s="6787"/>
      <c r="P335" s="6788"/>
      <c r="Q335" s="6789"/>
      <c r="R335" s="6790"/>
      <c r="S335" s="6786"/>
      <c r="T335" s="6791"/>
      <c r="U335" s="6844"/>
      <c r="V335" s="6791"/>
      <c r="W335" s="6785"/>
      <c r="X335" s="6868"/>
      <c r="Y335" s="6793"/>
      <c r="Z335" s="6794"/>
      <c r="AA335" s="6795"/>
      <c r="AB335" s="6796"/>
      <c r="AC335" s="6797"/>
      <c r="AD335" s="6798"/>
      <c r="AE335" s="4" t="s">
        <v>1</v>
      </c>
      <c r="AF335" s="6202" t="str">
        <f t="shared" si="132"/>
        <v>►</v>
      </c>
      <c r="AG335" s="6234" t="str">
        <f t="shared" si="133"/>
        <v/>
      </c>
      <c r="AH335" s="6732" t="str">
        <f t="shared" si="134"/>
        <v/>
      </c>
      <c r="AI335" s="6234" t="str">
        <f t="shared" si="135"/>
        <v/>
      </c>
      <c r="AJ335" s="6732" t="str">
        <f t="shared" si="136"/>
        <v/>
      </c>
      <c r="AK335" s="6732">
        <f t="shared" si="137"/>
        <v>0</v>
      </c>
      <c r="AL335" s="6230" t="str" cm="1">
        <f t="array" ref="AL335">IF(AF335&lt;&gt;"A","",IFERROR((IFERROR(_xlfn.XLOOKUP(TRIM(SUBSTITUTE(U335,CHAR(160)," ")),$BJ$15:$BJ$62,$BM$15:$BM$62),IFERROR(_xlfn.XLOOKUP(TRIM(SUBSTITUTE(U335,CHAR(160)," ")),$BK$15:$BK$62,$BM$15:$BM$62),_xlfn.XLOOKUP(TRIM(SUBSTITUTE(U335,CHAR(160)," ")),$BL$15:$BL$62,$BM$15:$BM$62))))*T335*IF(ISBLANK(Q335),1,Q335)+IFERROR(_xlfn.XLOOKUP("RECHERCHEX",TRIM(L335:AD335),L335:AD335),0),0))</f>
        <v/>
      </c>
      <c r="AM335" s="6229">
        <f t="shared" si="138"/>
        <v>0</v>
      </c>
      <c r="AN335" s="6857" t="str">
        <f t="shared" si="153"/>
        <v/>
      </c>
      <c r="AO335" s="392">
        <f t="shared" si="139"/>
        <v>0</v>
      </c>
      <c r="AP335" s="392">
        <f t="shared" si="140"/>
        <v>0</v>
      </c>
      <c r="AQ335" s="6191">
        <f t="shared" si="141"/>
        <v>0</v>
      </c>
      <c r="AR335" s="6859" t="str">
        <f t="shared" si="142"/>
        <v/>
      </c>
      <c r="AS335" s="6217"/>
      <c r="AT335" s="6217"/>
      <c r="AU335" s="6272">
        <f t="shared" si="143"/>
        <v>0</v>
      </c>
      <c r="AV335" s="6240">
        <f t="shared" si="144"/>
        <v>0</v>
      </c>
      <c r="AW335" s="6189" cm="1">
        <f t="array" ref="AW335">IF(AK335&lt;&gt;1,0,IF(OR(AU335="",N(AU335)&lt;=0.000000001),"",IF(OR(AO335="",N(AO335)&lt;=0.000000001),0,IF(ISNUMBER(AU335),IFERROR(_xlfn.LET(_xlpm.ai_test,TRIM(AJ335),_xlpm.r,IFERROR(_xlfn.XLOOKUP(_xlpm.ai_test,$BJ$15:$BJ$62,ROW($BJ$15:$BJ$62),0,1),IFERROR(_xlfn.XLOOKUP(_xlpm.ai_test,$BK$15:$BK$62,ROW($BK$15:$BK$62),0,1),_xlfn.XLOOKUP(_xlpm.ai_test,$BL$15:$BL$62,ROW($BL$15:$BL$62),0,1))),_xlpm.p,_xlpm.r-MIN(ROW($BJ$15:$BJ$62))+1,_xlpm.f,INDEX($BM$15:$BM$62,_xlpm.p),_xlpm.u,INDEX($BN$15:$BN$62,_xlpm.p),_xlpm.s,INDEX($BP$15:$BP$62,_xlpm.p),_xlpm.q,N(AU335)/_xlpm.f,IF(_xlpm.q&gt;=_xlpm.s,ROUND(_xlpm.q,1)&amp;" "&amp;_xlpm.ai_test&amp;" = "&amp;ROUND(_xlpm.q*_xlpm.f,1)&amp;" "&amp;_xlpm.u,ROUND(_xlpm.q,1)&amp;" "&amp;_xlpm.ai_test)),""),""))))</f>
        <v>0</v>
      </c>
      <c r="AX335" s="6218"/>
      <c r="AY335" s="6272">
        <f t="shared" si="145"/>
        <v>0</v>
      </c>
      <c r="AZ335" s="6240" t="str">
        <f t="shared" si="146"/>
        <v/>
      </c>
      <c r="BA335" s="6195">
        <f t="shared" si="151"/>
        <v>0</v>
      </c>
      <c r="BB335" s="6193" t="str">
        <f t="shared" si="147"/>
        <v/>
      </c>
      <c r="BC335" s="6219"/>
      <c r="BD335" s="6222">
        <f t="shared" si="152"/>
        <v>0</v>
      </c>
      <c r="BE335" s="6220" t="str">
        <f t="shared" si="148"/>
        <v/>
      </c>
      <c r="BF335" s="4" t="s">
        <v>1</v>
      </c>
      <c r="BG335" s="6196">
        <f t="shared" si="149"/>
        <v>0</v>
      </c>
      <c r="BH335" s="6197">
        <f t="shared" si="150"/>
        <v>0</v>
      </c>
      <c r="BI335"/>
      <c r="BJ335" s="1"/>
      <c r="BK335" s="1"/>
      <c r="BL335" s="1"/>
      <c r="BM335" s="1"/>
      <c r="BN335" s="1"/>
      <c r="BO335" s="1"/>
      <c r="BP335" s="1"/>
      <c r="BQ335" s="1"/>
      <c r="BX335" s="20" t="str">
        <f t="shared" si="155"/>
        <v>►</v>
      </c>
      <c r="BY335" s="2"/>
      <c r="BZ335" s="2"/>
      <c r="CA335" s="2"/>
      <c r="CB335" s="2"/>
      <c r="CC335" s="2"/>
      <c r="DC335" s="5">
        <v>1</v>
      </c>
    </row>
    <row r="336" spans="12:107" ht="21" customHeight="1">
      <c r="L336" s="1021" t="s">
        <v>26</v>
      </c>
      <c r="M336" s="6787"/>
      <c r="N336" s="6787"/>
      <c r="O336" s="6787"/>
      <c r="P336" s="6788"/>
      <c r="Q336" s="6789"/>
      <c r="R336" s="6790"/>
      <c r="S336" s="6786"/>
      <c r="T336" s="6791"/>
      <c r="U336" s="6844"/>
      <c r="V336" s="6791"/>
      <c r="W336" s="6785"/>
      <c r="X336" s="6868"/>
      <c r="Y336" s="6793"/>
      <c r="Z336" s="6794"/>
      <c r="AA336" s="6795"/>
      <c r="AB336" s="6796"/>
      <c r="AC336" s="6797"/>
      <c r="AD336" s="6798"/>
      <c r="AE336" s="4" t="s">
        <v>1</v>
      </c>
      <c r="AF336" s="6202" t="str">
        <f t="shared" si="132"/>
        <v>►</v>
      </c>
      <c r="AG336" s="6234" t="str">
        <f t="shared" si="133"/>
        <v/>
      </c>
      <c r="AH336" s="6732" t="str">
        <f t="shared" si="134"/>
        <v/>
      </c>
      <c r="AI336" s="6234" t="str">
        <f t="shared" si="135"/>
        <v/>
      </c>
      <c r="AJ336" s="6732" t="str">
        <f t="shared" si="136"/>
        <v/>
      </c>
      <c r="AK336" s="6732">
        <f t="shared" si="137"/>
        <v>0</v>
      </c>
      <c r="AL336" s="6230" t="str" cm="1">
        <f t="array" ref="AL336">IF(AF336&lt;&gt;"A","",IFERROR((IFERROR(_xlfn.XLOOKUP(TRIM(SUBSTITUTE(U336,CHAR(160)," ")),$BJ$15:$BJ$62,$BM$15:$BM$62),IFERROR(_xlfn.XLOOKUP(TRIM(SUBSTITUTE(U336,CHAR(160)," ")),$BK$15:$BK$62,$BM$15:$BM$62),_xlfn.XLOOKUP(TRIM(SUBSTITUTE(U336,CHAR(160)," ")),$BL$15:$BL$62,$BM$15:$BM$62))))*T336*IF(ISBLANK(Q336),1,Q336)+IFERROR(_xlfn.XLOOKUP("RECHERCHEX",TRIM(L336:AD336),L336:AD336),0),0))</f>
        <v/>
      </c>
      <c r="AM336" s="6229">
        <f t="shared" si="138"/>
        <v>0</v>
      </c>
      <c r="AN336" s="6857" t="str">
        <f t="shared" si="153"/>
        <v/>
      </c>
      <c r="AO336" s="392">
        <f t="shared" si="139"/>
        <v>0</v>
      </c>
      <c r="AP336" s="392">
        <f t="shared" si="140"/>
        <v>0</v>
      </c>
      <c r="AQ336" s="6190">
        <f t="shared" si="141"/>
        <v>0</v>
      </c>
      <c r="AR336" s="6858" t="str">
        <f t="shared" si="142"/>
        <v/>
      </c>
      <c r="AS336" s="6217"/>
      <c r="AT336" s="6217"/>
      <c r="AU336" s="6271">
        <f t="shared" si="143"/>
        <v>0</v>
      </c>
      <c r="AV336" s="6242">
        <f t="shared" si="144"/>
        <v>0</v>
      </c>
      <c r="AW336" s="6188" cm="1">
        <f t="array" ref="AW336">IF(AK336&lt;&gt;1,0,IF(OR(AU336="",N(AU336)&lt;=0.000000001),"",IF(OR(AO336="",N(AO336)&lt;=0.000000001),0,IF(ISNUMBER(AU336),IFERROR(_xlfn.LET(_xlpm.ai_test,TRIM(AJ336),_xlpm.r,IFERROR(_xlfn.XLOOKUP(_xlpm.ai_test,$BJ$15:$BJ$62,ROW($BJ$15:$BJ$62),0,1),IFERROR(_xlfn.XLOOKUP(_xlpm.ai_test,$BK$15:$BK$62,ROW($BK$15:$BK$62),0,1),_xlfn.XLOOKUP(_xlpm.ai_test,$BL$15:$BL$62,ROW($BL$15:$BL$62),0,1))),_xlpm.p,_xlpm.r-MIN(ROW($BJ$15:$BJ$62))+1,_xlpm.f,INDEX($BM$15:$BM$62,_xlpm.p),_xlpm.u,INDEX($BN$15:$BN$62,_xlpm.p),_xlpm.s,INDEX($BP$15:$BP$62,_xlpm.p),_xlpm.q,N(AU336)/_xlpm.f,IF(_xlpm.q&gt;=_xlpm.s,ROUND(_xlpm.q,1)&amp;" "&amp;_xlpm.ai_test&amp;" = "&amp;ROUND(_xlpm.q*_xlpm.f,1)&amp;" "&amp;_xlpm.u,ROUND(_xlpm.q,1)&amp;" "&amp;_xlpm.ai_test)),""),""))))</f>
        <v>0</v>
      </c>
      <c r="AX336" s="6218"/>
      <c r="AY336" s="6271">
        <f t="shared" si="145"/>
        <v>0</v>
      </c>
      <c r="AZ336" s="6242" t="str">
        <f t="shared" si="146"/>
        <v/>
      </c>
      <c r="BA336" s="6194">
        <f t="shared" si="151"/>
        <v>0</v>
      </c>
      <c r="BB336" s="6192" t="str">
        <f t="shared" si="147"/>
        <v/>
      </c>
      <c r="BC336" s="6219"/>
      <c r="BD336" s="6221">
        <f t="shared" si="152"/>
        <v>0</v>
      </c>
      <c r="BE336" s="6220" t="str">
        <f t="shared" si="148"/>
        <v/>
      </c>
      <c r="BF336" s="4" t="s">
        <v>1</v>
      </c>
      <c r="BG336" s="6196">
        <f t="shared" si="149"/>
        <v>0</v>
      </c>
      <c r="BH336" s="6197">
        <f t="shared" si="150"/>
        <v>0</v>
      </c>
      <c r="BI336"/>
      <c r="BJ336" s="1"/>
      <c r="BK336" s="1"/>
      <c r="BL336" s="1"/>
      <c r="BM336" s="1"/>
      <c r="BN336" s="1"/>
      <c r="BO336" s="1"/>
      <c r="BP336" s="1"/>
      <c r="BQ336" s="1"/>
      <c r="BX336" s="20" t="str">
        <f t="shared" si="155"/>
        <v>►</v>
      </c>
      <c r="BY336" s="2"/>
      <c r="BZ336" s="2"/>
      <c r="CA336" s="2"/>
      <c r="CB336" s="2"/>
      <c r="CC336" s="2"/>
      <c r="DC336" s="5">
        <v>1</v>
      </c>
    </row>
    <row r="337" spans="12:107" ht="21" customHeight="1">
      <c r="L337" s="1021" t="s">
        <v>26</v>
      </c>
      <c r="M337" s="6787"/>
      <c r="N337" s="6787"/>
      <c r="O337" s="6787"/>
      <c r="P337" s="6788"/>
      <c r="Q337" s="6789"/>
      <c r="R337" s="6790"/>
      <c r="S337" s="6786"/>
      <c r="T337" s="6791"/>
      <c r="U337" s="6844"/>
      <c r="V337" s="6791"/>
      <c r="W337" s="6785"/>
      <c r="X337" s="6868"/>
      <c r="Y337" s="6793"/>
      <c r="Z337" s="6794"/>
      <c r="AA337" s="6795"/>
      <c r="AB337" s="6796"/>
      <c r="AC337" s="6797"/>
      <c r="AD337" s="6798"/>
      <c r="AE337" s="4" t="s">
        <v>1</v>
      </c>
      <c r="AF337" s="6202" t="str">
        <f t="shared" si="132"/>
        <v>►</v>
      </c>
      <c r="AG337" s="6234" t="str">
        <f t="shared" si="133"/>
        <v/>
      </c>
      <c r="AH337" s="6732" t="str">
        <f t="shared" si="134"/>
        <v/>
      </c>
      <c r="AI337" s="6234" t="str">
        <f t="shared" si="135"/>
        <v/>
      </c>
      <c r="AJ337" s="6732" t="str">
        <f t="shared" si="136"/>
        <v/>
      </c>
      <c r="AK337" s="6732">
        <f t="shared" si="137"/>
        <v>0</v>
      </c>
      <c r="AL337" s="6230" t="str" cm="1">
        <f t="array" ref="AL337">IF(AF337&lt;&gt;"A","",IFERROR((IFERROR(_xlfn.XLOOKUP(TRIM(SUBSTITUTE(U337,CHAR(160)," ")),$BJ$15:$BJ$62,$BM$15:$BM$62),IFERROR(_xlfn.XLOOKUP(TRIM(SUBSTITUTE(U337,CHAR(160)," ")),$BK$15:$BK$62,$BM$15:$BM$62),_xlfn.XLOOKUP(TRIM(SUBSTITUTE(U337,CHAR(160)," ")),$BL$15:$BL$62,$BM$15:$BM$62))))*T337*IF(ISBLANK(Q337),1,Q337)+IFERROR(_xlfn.XLOOKUP("RECHERCHEX",TRIM(L337:AD337),L337:AD337),0),0))</f>
        <v/>
      </c>
      <c r="AM337" s="6229">
        <f t="shared" si="138"/>
        <v>0</v>
      </c>
      <c r="AN337" s="6857" t="str">
        <f t="shared" si="153"/>
        <v/>
      </c>
      <c r="AO337" s="392">
        <f t="shared" si="139"/>
        <v>0</v>
      </c>
      <c r="AP337" s="392">
        <f t="shared" si="140"/>
        <v>0</v>
      </c>
      <c r="AQ337" s="6191">
        <f t="shared" si="141"/>
        <v>0</v>
      </c>
      <c r="AR337" s="6859" t="str">
        <f t="shared" si="142"/>
        <v/>
      </c>
      <c r="AS337" s="6217"/>
      <c r="AT337" s="6217"/>
      <c r="AU337" s="6272">
        <f t="shared" si="143"/>
        <v>0</v>
      </c>
      <c r="AV337" s="6240">
        <f t="shared" si="144"/>
        <v>0</v>
      </c>
      <c r="AW337" s="6189" cm="1">
        <f t="array" ref="AW337">IF(AK337&lt;&gt;1,0,IF(OR(AU337="",N(AU337)&lt;=0.000000001),"",IF(OR(AO337="",N(AO337)&lt;=0.000000001),0,IF(ISNUMBER(AU337),IFERROR(_xlfn.LET(_xlpm.ai_test,TRIM(AJ337),_xlpm.r,IFERROR(_xlfn.XLOOKUP(_xlpm.ai_test,$BJ$15:$BJ$62,ROW($BJ$15:$BJ$62),0,1),IFERROR(_xlfn.XLOOKUP(_xlpm.ai_test,$BK$15:$BK$62,ROW($BK$15:$BK$62),0,1),_xlfn.XLOOKUP(_xlpm.ai_test,$BL$15:$BL$62,ROW($BL$15:$BL$62),0,1))),_xlpm.p,_xlpm.r-MIN(ROW($BJ$15:$BJ$62))+1,_xlpm.f,INDEX($BM$15:$BM$62,_xlpm.p),_xlpm.u,INDEX($BN$15:$BN$62,_xlpm.p),_xlpm.s,INDEX($BP$15:$BP$62,_xlpm.p),_xlpm.q,N(AU337)/_xlpm.f,IF(_xlpm.q&gt;=_xlpm.s,ROUND(_xlpm.q,1)&amp;" "&amp;_xlpm.ai_test&amp;" = "&amp;ROUND(_xlpm.q*_xlpm.f,1)&amp;" "&amp;_xlpm.u,ROUND(_xlpm.q,1)&amp;" "&amp;_xlpm.ai_test)),""),""))))</f>
        <v>0</v>
      </c>
      <c r="AX337" s="6218"/>
      <c r="AY337" s="6272">
        <f t="shared" si="145"/>
        <v>0</v>
      </c>
      <c r="AZ337" s="6240" t="str">
        <f t="shared" si="146"/>
        <v/>
      </c>
      <c r="BA337" s="6195">
        <f t="shared" si="151"/>
        <v>0</v>
      </c>
      <c r="BB337" s="6193" t="str">
        <f t="shared" si="147"/>
        <v/>
      </c>
      <c r="BC337" s="6219"/>
      <c r="BD337" s="6222">
        <f t="shared" si="152"/>
        <v>0</v>
      </c>
      <c r="BE337" s="6220" t="str">
        <f t="shared" si="148"/>
        <v/>
      </c>
      <c r="BF337" s="4" t="s">
        <v>1</v>
      </c>
      <c r="BG337" s="6196">
        <f t="shared" si="149"/>
        <v>0</v>
      </c>
      <c r="BH337" s="6197">
        <f t="shared" si="150"/>
        <v>0</v>
      </c>
      <c r="BI337"/>
      <c r="BJ337" s="1"/>
      <c r="BK337" s="1"/>
      <c r="BL337" s="1"/>
      <c r="BM337" s="1"/>
      <c r="BN337" s="1"/>
      <c r="BO337" s="1"/>
      <c r="BP337" s="1"/>
      <c r="BQ337" s="1"/>
      <c r="BX337" s="20" t="str">
        <f t="shared" si="155"/>
        <v>►</v>
      </c>
      <c r="BY337" s="2"/>
      <c r="BZ337" s="2"/>
      <c r="CA337" s="2"/>
      <c r="CB337" s="2"/>
      <c r="CC337" s="2"/>
      <c r="DC337" s="5">
        <v>1</v>
      </c>
    </row>
    <row r="338" spans="12:107" ht="21" customHeight="1">
      <c r="L338" s="1021" t="s">
        <v>26</v>
      </c>
      <c r="M338" s="6787"/>
      <c r="N338" s="6787"/>
      <c r="O338" s="6787"/>
      <c r="P338" s="6788"/>
      <c r="Q338" s="6789"/>
      <c r="R338" s="6790"/>
      <c r="S338" s="6786"/>
      <c r="T338" s="6791"/>
      <c r="U338" s="6844"/>
      <c r="V338" s="6791"/>
      <c r="W338" s="6785"/>
      <c r="X338" s="6868"/>
      <c r="Y338" s="6793"/>
      <c r="Z338" s="6794"/>
      <c r="AA338" s="6795"/>
      <c r="AB338" s="6796"/>
      <c r="AC338" s="6797"/>
      <c r="AD338" s="6798"/>
      <c r="AE338" s="4" t="s">
        <v>1</v>
      </c>
      <c r="AF338" s="6202" t="str">
        <f t="shared" si="132"/>
        <v>►</v>
      </c>
      <c r="AG338" s="6234" t="str">
        <f t="shared" si="133"/>
        <v/>
      </c>
      <c r="AH338" s="6732" t="str">
        <f t="shared" si="134"/>
        <v/>
      </c>
      <c r="AI338" s="6234" t="str">
        <f t="shared" si="135"/>
        <v/>
      </c>
      <c r="AJ338" s="6732" t="str">
        <f t="shared" si="136"/>
        <v/>
      </c>
      <c r="AK338" s="6732">
        <f t="shared" si="137"/>
        <v>0</v>
      </c>
      <c r="AL338" s="6230" t="str" cm="1">
        <f t="array" ref="AL338">IF(AF338&lt;&gt;"A","",IFERROR((IFERROR(_xlfn.XLOOKUP(TRIM(SUBSTITUTE(U338,CHAR(160)," ")),$BJ$15:$BJ$62,$BM$15:$BM$62),IFERROR(_xlfn.XLOOKUP(TRIM(SUBSTITUTE(U338,CHAR(160)," ")),$BK$15:$BK$62,$BM$15:$BM$62),_xlfn.XLOOKUP(TRIM(SUBSTITUTE(U338,CHAR(160)," ")),$BL$15:$BL$62,$BM$15:$BM$62))))*T338*IF(ISBLANK(Q338),1,Q338)+IFERROR(_xlfn.XLOOKUP("RECHERCHEX",TRIM(L338:AD338),L338:AD338),0),0))</f>
        <v/>
      </c>
      <c r="AM338" s="6229">
        <f t="shared" si="138"/>
        <v>0</v>
      </c>
      <c r="AN338" s="6857" t="str">
        <f t="shared" si="153"/>
        <v/>
      </c>
      <c r="AO338" s="392">
        <f t="shared" si="139"/>
        <v>0</v>
      </c>
      <c r="AP338" s="392">
        <f t="shared" si="140"/>
        <v>0</v>
      </c>
      <c r="AQ338" s="6190">
        <f t="shared" si="141"/>
        <v>0</v>
      </c>
      <c r="AR338" s="6858" t="str">
        <f t="shared" si="142"/>
        <v/>
      </c>
      <c r="AS338" s="6217"/>
      <c r="AT338" s="6217"/>
      <c r="AU338" s="6271">
        <f t="shared" si="143"/>
        <v>0</v>
      </c>
      <c r="AV338" s="6242">
        <f t="shared" si="144"/>
        <v>0</v>
      </c>
      <c r="AW338" s="6188" cm="1">
        <f t="array" ref="AW338">IF(AK338&lt;&gt;1,0,IF(OR(AU338="",N(AU338)&lt;=0.000000001),"",IF(OR(AO338="",N(AO338)&lt;=0.000000001),0,IF(ISNUMBER(AU338),IFERROR(_xlfn.LET(_xlpm.ai_test,TRIM(AJ338),_xlpm.r,IFERROR(_xlfn.XLOOKUP(_xlpm.ai_test,$BJ$15:$BJ$62,ROW($BJ$15:$BJ$62),0,1),IFERROR(_xlfn.XLOOKUP(_xlpm.ai_test,$BK$15:$BK$62,ROW($BK$15:$BK$62),0,1),_xlfn.XLOOKUP(_xlpm.ai_test,$BL$15:$BL$62,ROW($BL$15:$BL$62),0,1))),_xlpm.p,_xlpm.r-MIN(ROW($BJ$15:$BJ$62))+1,_xlpm.f,INDEX($BM$15:$BM$62,_xlpm.p),_xlpm.u,INDEX($BN$15:$BN$62,_xlpm.p),_xlpm.s,INDEX($BP$15:$BP$62,_xlpm.p),_xlpm.q,N(AU338)/_xlpm.f,IF(_xlpm.q&gt;=_xlpm.s,ROUND(_xlpm.q,1)&amp;" "&amp;_xlpm.ai_test&amp;" = "&amp;ROUND(_xlpm.q*_xlpm.f,1)&amp;" "&amp;_xlpm.u,ROUND(_xlpm.q,1)&amp;" "&amp;_xlpm.ai_test)),""),""))))</f>
        <v>0</v>
      </c>
      <c r="AX338" s="6218"/>
      <c r="AY338" s="6271">
        <f t="shared" si="145"/>
        <v>0</v>
      </c>
      <c r="AZ338" s="6242" t="str">
        <f t="shared" si="146"/>
        <v/>
      </c>
      <c r="BA338" s="6194">
        <f t="shared" si="151"/>
        <v>0</v>
      </c>
      <c r="BB338" s="6192" t="str">
        <f t="shared" si="147"/>
        <v/>
      </c>
      <c r="BC338" s="6219"/>
      <c r="BD338" s="6221">
        <f t="shared" si="152"/>
        <v>0</v>
      </c>
      <c r="BE338" s="6220" t="str">
        <f t="shared" si="148"/>
        <v/>
      </c>
      <c r="BF338" s="4" t="s">
        <v>1</v>
      </c>
      <c r="BG338" s="6196">
        <f t="shared" si="149"/>
        <v>0</v>
      </c>
      <c r="BH338" s="6197">
        <f t="shared" si="150"/>
        <v>0</v>
      </c>
      <c r="BI338"/>
      <c r="BJ338" s="1"/>
      <c r="BK338" s="1"/>
      <c r="BL338" s="1"/>
      <c r="BM338" s="1"/>
      <c r="BN338" s="1"/>
      <c r="BO338" s="1"/>
      <c r="BP338" s="1"/>
      <c r="BQ338" s="1"/>
      <c r="BX338" s="20" t="str">
        <f t="shared" si="155"/>
        <v>►</v>
      </c>
      <c r="BY338" s="2"/>
      <c r="BZ338" s="2"/>
      <c r="CA338" s="2"/>
      <c r="CB338" s="2"/>
      <c r="CC338" s="2"/>
      <c r="DC338" s="5">
        <v>1</v>
      </c>
    </row>
    <row r="339" spans="12:107" ht="21" customHeight="1">
      <c r="L339" s="1021" t="s">
        <v>26</v>
      </c>
      <c r="M339" s="6787"/>
      <c r="N339" s="6787"/>
      <c r="O339" s="6787"/>
      <c r="P339" s="6788"/>
      <c r="Q339" s="6789"/>
      <c r="R339" s="6790"/>
      <c r="S339" s="6786"/>
      <c r="T339" s="6791"/>
      <c r="U339" s="6844"/>
      <c r="V339" s="6791"/>
      <c r="W339" s="6785"/>
      <c r="X339" s="6868"/>
      <c r="Y339" s="6793"/>
      <c r="Z339" s="6794"/>
      <c r="AA339" s="6795"/>
      <c r="AB339" s="6796"/>
      <c r="AC339" s="6797"/>
      <c r="AD339" s="6798"/>
      <c r="AE339" s="4" t="s">
        <v>1</v>
      </c>
      <c r="AF339" s="6202" t="str">
        <f t="shared" si="132"/>
        <v>►</v>
      </c>
      <c r="AG339" s="6234" t="str">
        <f t="shared" si="133"/>
        <v/>
      </c>
      <c r="AH339" s="6732" t="str">
        <f t="shared" si="134"/>
        <v/>
      </c>
      <c r="AI339" s="6234" t="str">
        <f t="shared" si="135"/>
        <v/>
      </c>
      <c r="AJ339" s="6732" t="str">
        <f t="shared" si="136"/>
        <v/>
      </c>
      <c r="AK339" s="6732">
        <f t="shared" si="137"/>
        <v>0</v>
      </c>
      <c r="AL339" s="6230" t="str" cm="1">
        <f t="array" ref="AL339">IF(AF339&lt;&gt;"A","",IFERROR((IFERROR(_xlfn.XLOOKUP(TRIM(SUBSTITUTE(U339,CHAR(160)," ")),$BJ$15:$BJ$62,$BM$15:$BM$62),IFERROR(_xlfn.XLOOKUP(TRIM(SUBSTITUTE(U339,CHAR(160)," ")),$BK$15:$BK$62,$BM$15:$BM$62),_xlfn.XLOOKUP(TRIM(SUBSTITUTE(U339,CHAR(160)," ")),$BL$15:$BL$62,$BM$15:$BM$62))))*T339*IF(ISBLANK(Q339),1,Q339)+IFERROR(_xlfn.XLOOKUP("RECHERCHEX",TRIM(L339:AD339),L339:AD339),0),0))</f>
        <v/>
      </c>
      <c r="AM339" s="6229">
        <f t="shared" si="138"/>
        <v>0</v>
      </c>
      <c r="AN339" s="6857" t="str">
        <f t="shared" si="153"/>
        <v/>
      </c>
      <c r="AO339" s="392">
        <f t="shared" si="139"/>
        <v>0</v>
      </c>
      <c r="AP339" s="392">
        <f t="shared" si="140"/>
        <v>0</v>
      </c>
      <c r="AQ339" s="6191">
        <f t="shared" si="141"/>
        <v>0</v>
      </c>
      <c r="AR339" s="6859" t="str">
        <f t="shared" si="142"/>
        <v/>
      </c>
      <c r="AS339" s="6217"/>
      <c r="AT339" s="6217"/>
      <c r="AU339" s="6272">
        <f t="shared" si="143"/>
        <v>0</v>
      </c>
      <c r="AV339" s="6240">
        <f t="shared" si="144"/>
        <v>0</v>
      </c>
      <c r="AW339" s="6189" cm="1">
        <f t="array" ref="AW339">IF(AK339&lt;&gt;1,0,IF(OR(AU339="",N(AU339)&lt;=0.000000001),"",IF(OR(AO339="",N(AO339)&lt;=0.000000001),0,IF(ISNUMBER(AU339),IFERROR(_xlfn.LET(_xlpm.ai_test,TRIM(AJ339),_xlpm.r,IFERROR(_xlfn.XLOOKUP(_xlpm.ai_test,$BJ$15:$BJ$62,ROW($BJ$15:$BJ$62),0,1),IFERROR(_xlfn.XLOOKUP(_xlpm.ai_test,$BK$15:$BK$62,ROW($BK$15:$BK$62),0,1),_xlfn.XLOOKUP(_xlpm.ai_test,$BL$15:$BL$62,ROW($BL$15:$BL$62),0,1))),_xlpm.p,_xlpm.r-MIN(ROW($BJ$15:$BJ$62))+1,_xlpm.f,INDEX($BM$15:$BM$62,_xlpm.p),_xlpm.u,INDEX($BN$15:$BN$62,_xlpm.p),_xlpm.s,INDEX($BP$15:$BP$62,_xlpm.p),_xlpm.q,N(AU339)/_xlpm.f,IF(_xlpm.q&gt;=_xlpm.s,ROUND(_xlpm.q,1)&amp;" "&amp;_xlpm.ai_test&amp;" = "&amp;ROUND(_xlpm.q*_xlpm.f,1)&amp;" "&amp;_xlpm.u,ROUND(_xlpm.q,1)&amp;" "&amp;_xlpm.ai_test)),""),""))))</f>
        <v>0</v>
      </c>
      <c r="AX339" s="6218"/>
      <c r="AY339" s="6272">
        <f t="shared" si="145"/>
        <v>0</v>
      </c>
      <c r="AZ339" s="6240" t="str">
        <f t="shared" si="146"/>
        <v/>
      </c>
      <c r="BA339" s="6195">
        <f t="shared" si="151"/>
        <v>0</v>
      </c>
      <c r="BB339" s="6193" t="str">
        <f t="shared" si="147"/>
        <v/>
      </c>
      <c r="BC339" s="6219"/>
      <c r="BD339" s="6222">
        <f t="shared" si="152"/>
        <v>0</v>
      </c>
      <c r="BE339" s="6220" t="str">
        <f t="shared" si="148"/>
        <v/>
      </c>
      <c r="BF339" s="4" t="s">
        <v>1</v>
      </c>
      <c r="BG339" s="6196">
        <f t="shared" si="149"/>
        <v>0</v>
      </c>
      <c r="BH339" s="6197">
        <f t="shared" si="150"/>
        <v>0</v>
      </c>
      <c r="BI339"/>
      <c r="BJ339" s="1"/>
      <c r="BK339" s="1"/>
      <c r="BL339" s="1"/>
      <c r="BM339" s="1"/>
      <c r="BN339" s="1"/>
      <c r="BO339" s="1"/>
      <c r="BP339" s="1"/>
      <c r="BQ339" s="1"/>
      <c r="BX339" s="20" t="str">
        <f t="shared" si="155"/>
        <v>►</v>
      </c>
      <c r="BY339" s="2"/>
      <c r="BZ339" s="2"/>
      <c r="CA339" s="2"/>
      <c r="CB339" s="2"/>
      <c r="CC339" s="2"/>
      <c r="DC339" s="5">
        <v>1</v>
      </c>
    </row>
    <row r="340" spans="12:107" ht="21" customHeight="1">
      <c r="L340" s="1021" t="s">
        <v>26</v>
      </c>
      <c r="M340" s="6787"/>
      <c r="N340" s="6787"/>
      <c r="O340" s="6787"/>
      <c r="P340" s="6788"/>
      <c r="Q340" s="6789"/>
      <c r="R340" s="6790"/>
      <c r="S340" s="6786"/>
      <c r="T340" s="6791"/>
      <c r="U340" s="6844"/>
      <c r="V340" s="6791"/>
      <c r="W340" s="6785"/>
      <c r="X340" s="6868"/>
      <c r="Y340" s="6793"/>
      <c r="Z340" s="6794"/>
      <c r="AA340" s="6795"/>
      <c r="AB340" s="6796"/>
      <c r="AC340" s="6797"/>
      <c r="AD340" s="6798"/>
      <c r="AE340" s="4" t="s">
        <v>1</v>
      </c>
      <c r="AF340" s="6202" t="str">
        <f t="shared" si="132"/>
        <v>►</v>
      </c>
      <c r="AG340" s="6234" t="str">
        <f t="shared" si="133"/>
        <v/>
      </c>
      <c r="AH340" s="6732" t="str">
        <f t="shared" si="134"/>
        <v/>
      </c>
      <c r="AI340" s="6234" t="str">
        <f t="shared" si="135"/>
        <v/>
      </c>
      <c r="AJ340" s="6732" t="str">
        <f t="shared" si="136"/>
        <v/>
      </c>
      <c r="AK340" s="6732">
        <f t="shared" si="137"/>
        <v>0</v>
      </c>
      <c r="AL340" s="6230" t="str" cm="1">
        <f t="array" ref="AL340">IF(AF340&lt;&gt;"A","",IFERROR((IFERROR(_xlfn.XLOOKUP(TRIM(SUBSTITUTE(U340,CHAR(160)," ")),$BJ$15:$BJ$62,$BM$15:$BM$62),IFERROR(_xlfn.XLOOKUP(TRIM(SUBSTITUTE(U340,CHAR(160)," ")),$BK$15:$BK$62,$BM$15:$BM$62),_xlfn.XLOOKUP(TRIM(SUBSTITUTE(U340,CHAR(160)," ")),$BL$15:$BL$62,$BM$15:$BM$62))))*T340*IF(ISBLANK(Q340),1,Q340)+IFERROR(_xlfn.XLOOKUP("RECHERCHEX",TRIM(L340:AD340),L340:AD340),0),0))</f>
        <v/>
      </c>
      <c r="AM340" s="6229">
        <f t="shared" si="138"/>
        <v>0</v>
      </c>
      <c r="AN340" s="6857" t="str">
        <f t="shared" si="153"/>
        <v/>
      </c>
      <c r="AO340" s="392">
        <f t="shared" si="139"/>
        <v>0</v>
      </c>
      <c r="AP340" s="392">
        <f t="shared" si="140"/>
        <v>0</v>
      </c>
      <c r="AQ340" s="6190">
        <f t="shared" si="141"/>
        <v>0</v>
      </c>
      <c r="AR340" s="6858" t="str">
        <f t="shared" si="142"/>
        <v/>
      </c>
      <c r="AS340" s="6217"/>
      <c r="AT340" s="6217"/>
      <c r="AU340" s="6271">
        <f t="shared" si="143"/>
        <v>0</v>
      </c>
      <c r="AV340" s="6242">
        <f t="shared" si="144"/>
        <v>0</v>
      </c>
      <c r="AW340" s="6188" cm="1">
        <f t="array" ref="AW340">IF(AK340&lt;&gt;1,0,IF(OR(AU340="",N(AU340)&lt;=0.000000001),"",IF(OR(AO340="",N(AO340)&lt;=0.000000001),0,IF(ISNUMBER(AU340),IFERROR(_xlfn.LET(_xlpm.ai_test,TRIM(AJ340),_xlpm.r,IFERROR(_xlfn.XLOOKUP(_xlpm.ai_test,$BJ$15:$BJ$62,ROW($BJ$15:$BJ$62),0,1),IFERROR(_xlfn.XLOOKUP(_xlpm.ai_test,$BK$15:$BK$62,ROW($BK$15:$BK$62),0,1),_xlfn.XLOOKUP(_xlpm.ai_test,$BL$15:$BL$62,ROW($BL$15:$BL$62),0,1))),_xlpm.p,_xlpm.r-MIN(ROW($BJ$15:$BJ$62))+1,_xlpm.f,INDEX($BM$15:$BM$62,_xlpm.p),_xlpm.u,INDEX($BN$15:$BN$62,_xlpm.p),_xlpm.s,INDEX($BP$15:$BP$62,_xlpm.p),_xlpm.q,N(AU340)/_xlpm.f,IF(_xlpm.q&gt;=_xlpm.s,ROUND(_xlpm.q,1)&amp;" "&amp;_xlpm.ai_test&amp;" = "&amp;ROUND(_xlpm.q*_xlpm.f,1)&amp;" "&amp;_xlpm.u,ROUND(_xlpm.q,1)&amp;" "&amp;_xlpm.ai_test)),""),""))))</f>
        <v>0</v>
      </c>
      <c r="AX340" s="6218"/>
      <c r="AY340" s="6271">
        <f t="shared" si="145"/>
        <v>0</v>
      </c>
      <c r="AZ340" s="6242" t="str">
        <f t="shared" si="146"/>
        <v/>
      </c>
      <c r="BA340" s="6194">
        <f t="shared" si="151"/>
        <v>0</v>
      </c>
      <c r="BB340" s="6192" t="str">
        <f t="shared" si="147"/>
        <v/>
      </c>
      <c r="BC340" s="6219"/>
      <c r="BD340" s="6221">
        <f t="shared" si="152"/>
        <v>0</v>
      </c>
      <c r="BE340" s="6220" t="str">
        <f t="shared" si="148"/>
        <v/>
      </c>
      <c r="BF340" s="4" t="s">
        <v>1</v>
      </c>
      <c r="BG340" s="6196">
        <f t="shared" si="149"/>
        <v>0</v>
      </c>
      <c r="BH340" s="6197">
        <f t="shared" si="150"/>
        <v>0</v>
      </c>
      <c r="BI340"/>
      <c r="BJ340" s="1"/>
      <c r="BK340" s="1"/>
      <c r="BL340" s="1"/>
      <c r="BM340" s="1"/>
      <c r="BN340" s="1"/>
      <c r="BO340" s="1"/>
      <c r="BP340" s="1"/>
      <c r="BQ340" s="1"/>
      <c r="BX340" s="20" t="str">
        <f t="shared" si="155"/>
        <v>►</v>
      </c>
      <c r="BY340" s="2"/>
      <c r="BZ340" s="2"/>
      <c r="CA340" s="2"/>
      <c r="CB340" s="2"/>
      <c r="CC340" s="2"/>
      <c r="DC340" s="5">
        <v>1</v>
      </c>
    </row>
    <row r="341" spans="12:107" ht="21" customHeight="1">
      <c r="L341" s="1021" t="s">
        <v>26</v>
      </c>
      <c r="M341" s="6787"/>
      <c r="N341" s="6787"/>
      <c r="O341" s="6787"/>
      <c r="P341" s="6788"/>
      <c r="Q341" s="6789"/>
      <c r="R341" s="6790"/>
      <c r="S341" s="6786"/>
      <c r="T341" s="6791"/>
      <c r="U341" s="6844"/>
      <c r="V341" s="6791"/>
      <c r="W341" s="6785"/>
      <c r="X341" s="6868"/>
      <c r="Y341" s="6793"/>
      <c r="Z341" s="6794"/>
      <c r="AA341" s="6795"/>
      <c r="AB341" s="6796"/>
      <c r="AC341" s="6797"/>
      <c r="AD341" s="6798"/>
      <c r="AE341" s="4" t="s">
        <v>1</v>
      </c>
      <c r="AF341" s="6202" t="str">
        <f t="shared" si="132"/>
        <v>►</v>
      </c>
      <c r="AG341" s="6234" t="str">
        <f t="shared" si="133"/>
        <v/>
      </c>
      <c r="AH341" s="6732" t="str">
        <f t="shared" si="134"/>
        <v/>
      </c>
      <c r="AI341" s="6234" t="str">
        <f t="shared" si="135"/>
        <v/>
      </c>
      <c r="AJ341" s="6732" t="str">
        <f t="shared" si="136"/>
        <v/>
      </c>
      <c r="AK341" s="6732">
        <f t="shared" si="137"/>
        <v>0</v>
      </c>
      <c r="AL341" s="6230" t="str" cm="1">
        <f t="array" ref="AL341">IF(AF341&lt;&gt;"A","",IFERROR((IFERROR(_xlfn.XLOOKUP(TRIM(SUBSTITUTE(U341,CHAR(160)," ")),$BJ$15:$BJ$62,$BM$15:$BM$62),IFERROR(_xlfn.XLOOKUP(TRIM(SUBSTITUTE(U341,CHAR(160)," ")),$BK$15:$BK$62,$BM$15:$BM$62),_xlfn.XLOOKUP(TRIM(SUBSTITUTE(U341,CHAR(160)," ")),$BL$15:$BL$62,$BM$15:$BM$62))))*T341*IF(ISBLANK(Q341),1,Q341)+IFERROR(_xlfn.XLOOKUP("RECHERCHEX",TRIM(L341:AD341),L341:AD341),0),0))</f>
        <v/>
      </c>
      <c r="AM341" s="6229">
        <f t="shared" si="138"/>
        <v>0</v>
      </c>
      <c r="AN341" s="6857" t="str">
        <f t="shared" si="153"/>
        <v/>
      </c>
      <c r="AO341" s="392">
        <f t="shared" si="139"/>
        <v>0</v>
      </c>
      <c r="AP341" s="392">
        <f t="shared" si="140"/>
        <v>0</v>
      </c>
      <c r="AQ341" s="6191">
        <f t="shared" si="141"/>
        <v>0</v>
      </c>
      <c r="AR341" s="6859" t="str">
        <f t="shared" si="142"/>
        <v/>
      </c>
      <c r="AS341" s="6217"/>
      <c r="AT341" s="6217"/>
      <c r="AU341" s="6272">
        <f t="shared" si="143"/>
        <v>0</v>
      </c>
      <c r="AV341" s="6240">
        <f t="shared" si="144"/>
        <v>0</v>
      </c>
      <c r="AW341" s="6189" cm="1">
        <f t="array" ref="AW341">IF(AK341&lt;&gt;1,0,IF(OR(AU341="",N(AU341)&lt;=0.000000001),"",IF(OR(AO341="",N(AO341)&lt;=0.000000001),0,IF(ISNUMBER(AU341),IFERROR(_xlfn.LET(_xlpm.ai_test,TRIM(AJ341),_xlpm.r,IFERROR(_xlfn.XLOOKUP(_xlpm.ai_test,$BJ$15:$BJ$62,ROW($BJ$15:$BJ$62),0,1),IFERROR(_xlfn.XLOOKUP(_xlpm.ai_test,$BK$15:$BK$62,ROW($BK$15:$BK$62),0,1),_xlfn.XLOOKUP(_xlpm.ai_test,$BL$15:$BL$62,ROW($BL$15:$BL$62),0,1))),_xlpm.p,_xlpm.r-MIN(ROW($BJ$15:$BJ$62))+1,_xlpm.f,INDEX($BM$15:$BM$62,_xlpm.p),_xlpm.u,INDEX($BN$15:$BN$62,_xlpm.p),_xlpm.s,INDEX($BP$15:$BP$62,_xlpm.p),_xlpm.q,N(AU341)/_xlpm.f,IF(_xlpm.q&gt;=_xlpm.s,ROUND(_xlpm.q,1)&amp;" "&amp;_xlpm.ai_test&amp;" = "&amp;ROUND(_xlpm.q*_xlpm.f,1)&amp;" "&amp;_xlpm.u,ROUND(_xlpm.q,1)&amp;" "&amp;_xlpm.ai_test)),""),""))))</f>
        <v>0</v>
      </c>
      <c r="AX341" s="6218"/>
      <c r="AY341" s="6272">
        <f t="shared" si="145"/>
        <v>0</v>
      </c>
      <c r="AZ341" s="6240" t="str">
        <f t="shared" si="146"/>
        <v/>
      </c>
      <c r="BA341" s="6195">
        <f t="shared" si="151"/>
        <v>0</v>
      </c>
      <c r="BB341" s="6193" t="str">
        <f t="shared" si="147"/>
        <v/>
      </c>
      <c r="BC341" s="6219"/>
      <c r="BD341" s="6222">
        <f t="shared" si="152"/>
        <v>0</v>
      </c>
      <c r="BE341" s="6220" t="str">
        <f t="shared" si="148"/>
        <v/>
      </c>
      <c r="BF341" s="4" t="s">
        <v>1</v>
      </c>
      <c r="BG341" s="6196">
        <f t="shared" si="149"/>
        <v>0</v>
      </c>
      <c r="BH341" s="6197">
        <f t="shared" si="150"/>
        <v>0</v>
      </c>
      <c r="BI341"/>
      <c r="BJ341" s="1"/>
      <c r="BK341" s="1"/>
      <c r="BL341" s="1"/>
      <c r="BM341" s="1"/>
      <c r="BN341" s="1"/>
      <c r="BO341" s="1"/>
      <c r="BP341" s="1"/>
      <c r="BQ341" s="1"/>
      <c r="BX341" s="20" t="str">
        <f t="shared" si="155"/>
        <v>►</v>
      </c>
      <c r="BY341" s="2"/>
      <c r="BZ341" s="2"/>
      <c r="CA341" s="2"/>
      <c r="CB341" s="2"/>
      <c r="CC341" s="2"/>
      <c r="DC341" s="5">
        <v>1</v>
      </c>
    </row>
    <row r="342" spans="12:107" ht="21" customHeight="1">
      <c r="L342" s="1021" t="s">
        <v>26</v>
      </c>
      <c r="M342" s="6787"/>
      <c r="N342" s="6787"/>
      <c r="O342" s="6787"/>
      <c r="P342" s="6788"/>
      <c r="Q342" s="6789"/>
      <c r="R342" s="6790"/>
      <c r="S342" s="6786"/>
      <c r="T342" s="6791"/>
      <c r="U342" s="6844"/>
      <c r="V342" s="6791"/>
      <c r="W342" s="6785"/>
      <c r="X342" s="6868"/>
      <c r="Y342" s="6793"/>
      <c r="Z342" s="6794"/>
      <c r="AA342" s="6795"/>
      <c r="AB342" s="6796"/>
      <c r="AC342" s="6797"/>
      <c r="AD342" s="6798"/>
      <c r="AE342" s="4" t="s">
        <v>1</v>
      </c>
      <c r="AF342" s="6202" t="str">
        <f t="shared" ref="AF342:AF405" si="156">IF(OR(AO342&gt;0,TRIM(AG342)="▼ recette suivante"),"A","►")</f>
        <v>►</v>
      </c>
      <c r="AG342" s="6234" t="str">
        <f t="shared" ref="AG342:AG405" si="157">IF(TRIM(Q342)="Adresse PC","▼ recette suivante",IF(AO342&gt;0,M342,""))</f>
        <v/>
      </c>
      <c r="AH342" s="6732" t="str">
        <f t="shared" ref="AH342:AH405" si="158">IF(AF342="A",N342,"")</f>
        <v/>
      </c>
      <c r="AI342" s="6234" t="str">
        <f t="shared" ref="AI342:AI405" si="159">IF(AF342="A",O342,"")</f>
        <v/>
      </c>
      <c r="AJ342" s="6732" t="str">
        <f t="shared" ref="AJ342:AJ405" si="160">IF(AF342="A",U342,"")</f>
        <v/>
      </c>
      <c r="AK342" s="6732">
        <f t="shared" ref="AK342:AK405" si="161">IF(AND(L342="A",COUNTIF($BJ$15:$BL$62,TRIM(U342))&gt;0),1,0)</f>
        <v>0</v>
      </c>
      <c r="AL342" s="6230" t="str" cm="1">
        <f t="array" ref="AL342">IF(AF342&lt;&gt;"A","",IFERROR((IFERROR(_xlfn.XLOOKUP(TRIM(SUBSTITUTE(U342,CHAR(160)," ")),$BJ$15:$BJ$62,$BM$15:$BM$62),IFERROR(_xlfn.XLOOKUP(TRIM(SUBSTITUTE(U342,CHAR(160)," ")),$BK$15:$BK$62,$BM$15:$BM$62),_xlfn.XLOOKUP(TRIM(SUBSTITUTE(U342,CHAR(160)," ")),$BL$15:$BL$62,$BM$15:$BM$62))))*T342*IF(ISBLANK(Q342),1,Q342)+IFERROR(_xlfn.XLOOKUP("RECHERCHEX",TRIM(L342:AD342),L342:AD342),0),0))</f>
        <v/>
      </c>
      <c r="AM342" s="6229">
        <f t="shared" ref="AM342:AM405" si="162">IF(AK342,IF(AL342&gt;0,"Kg",0),0)</f>
        <v>0</v>
      </c>
      <c r="AN342" s="6857" t="str">
        <f t="shared" si="153"/>
        <v/>
      </c>
      <c r="AO342" s="392">
        <f t="shared" ref="AO342:AO405" si="163">IF(AK342,N342,0)</f>
        <v>0</v>
      </c>
      <c r="AP342" s="392">
        <f t="shared" ref="AP342:AP405" si="164">IF(AK342,O342,0)</f>
        <v>0</v>
      </c>
      <c r="AQ342" s="6190">
        <f t="shared" ref="AQ342:AQ405" si="165">IF(AO342&gt;0,AS$9,0)</f>
        <v>0</v>
      </c>
      <c r="AR342" s="6858" t="str">
        <f t="shared" ref="AR342:AR405" si="166">IF(TRIM(AG342)="▼ recette suivante", AG342, IF(AQ342&gt;0, IF(AT$9&lt;&gt;"", AT$9&amp;"-ou.or.o ❾ + or - &gt;", ""), ""))</f>
        <v/>
      </c>
      <c r="AS342" s="6217"/>
      <c r="AT342" s="6217"/>
      <c r="AU342" s="6271">
        <f t="shared" ref="AU342:AU405" si="167">IF(TRIM(AM342)="Kg",N(AL342)*N(BH342),0)</f>
        <v>0</v>
      </c>
      <c r="AV342" s="6242">
        <f t="shared" ref="AV342:AV405" si="168">IF(AK342,IF(OR(AU342="",N(AU342)&lt;=0.000000001),"",_xlfn.XLOOKUP(AJ342,$BJ$15:$BJ$62,$BN$15:$BN$62,_xlfn.XLOOKUP(AJ342,$BK$15:$BK$62,$BN$15:$BN$62,_xlfn.XLOOKUP(AJ342,$BL$15:$BL$62,$BN$15:$BN$62,"")))),0)</f>
        <v>0</v>
      </c>
      <c r="AW342" s="6188" cm="1">
        <f t="array" ref="AW342">IF(AK342&lt;&gt;1,0,IF(OR(AU342="",N(AU342)&lt;=0.000000001),"",IF(OR(AO342="",N(AO342)&lt;=0.000000001),0,IF(ISNUMBER(AU342),IFERROR(_xlfn.LET(_xlpm.ai_test,TRIM(AJ342),_xlpm.r,IFERROR(_xlfn.XLOOKUP(_xlpm.ai_test,$BJ$15:$BJ$62,ROW($BJ$15:$BJ$62),0,1),IFERROR(_xlfn.XLOOKUP(_xlpm.ai_test,$BK$15:$BK$62,ROW($BK$15:$BK$62),0,1),_xlfn.XLOOKUP(_xlpm.ai_test,$BL$15:$BL$62,ROW($BL$15:$BL$62),0,1))),_xlpm.p,_xlpm.r-MIN(ROW($BJ$15:$BJ$62))+1,_xlpm.f,INDEX($BM$15:$BM$62,_xlpm.p),_xlpm.u,INDEX($BN$15:$BN$62,_xlpm.p),_xlpm.s,INDEX($BP$15:$BP$62,_xlpm.p),_xlpm.q,N(AU342)/_xlpm.f,IF(_xlpm.q&gt;=_xlpm.s,ROUND(_xlpm.q,1)&amp;" "&amp;_xlpm.ai_test&amp;" = "&amp;ROUND(_xlpm.q*_xlpm.f,1)&amp;" "&amp;_xlpm.u,ROUND(_xlpm.q,1)&amp;" "&amp;_xlpm.ai_test)),""),""))))</f>
        <v>0</v>
      </c>
      <c r="AX342" s="6218"/>
      <c r="AY342" s="6271">
        <f t="shared" ref="AY342:AY405" si="169">IF(TRIM(AG342)="▼ recette suivante","▼next recipe ",IF(AU342="","",IF(ISBLANK(AX342),AU342,ROUND(AU342*(1-MIN(1,MAX(0,IF(AX342&gt;1,AX342/100,AX342)))),3))))</f>
        <v>0</v>
      </c>
      <c r="AZ342" s="6242" t="str">
        <f t="shared" ref="AZ342:AZ405" si="170">IF(AK342,AV342,"")</f>
        <v/>
      </c>
      <c r="BA342" s="6194">
        <f t="shared" si="151"/>
        <v>0</v>
      </c>
      <c r="BB342" s="6192" t="str">
        <f t="shared" ref="BB342:BB405" si="171">IF(AK342,IF(N(BA342)&gt;0.000000001,R342,""),"")</f>
        <v/>
      </c>
      <c r="BC342" s="6219"/>
      <c r="BD342" s="6221">
        <f t="shared" si="152"/>
        <v>0</v>
      </c>
      <c r="BE342" s="6220" t="str">
        <f t="shared" ref="BE342:BE405" si="172">IF(IFERROR(SEARCH("Adresse PC",TRIM(Q342)),0)&gt;0,"▼ receta siguiente",IF(AY342&gt;0,W342,""))</f>
        <v/>
      </c>
      <c r="BF342" s="4" t="s">
        <v>1</v>
      </c>
      <c r="BG342" s="6196">
        <f t="shared" ref="BG342:BG405" si="173">IFERROR(_xlfn.LET(_xlpm.EPS,0.000000001,_xlpm.b,Q342/AO342,IF(ISNUMBER(AS342),_xlpm.b*AS342,IF(OR(ISBLANK(AS342),AS342=""),_xlpm.b*AQ342,IF(AND(BH342=0,ISNUMBER(Q342)),_xlpm.b/AQ342,0)))),0)</f>
        <v>0</v>
      </c>
      <c r="BH342" s="6197">
        <f t="shared" ref="BH342:BH405" si="174">IF(AL342&gt;0,IFERROR(IF(OR(ISBLANK(AS342),AS342=""),AQ342,AS342)/AO342,0),0)</f>
        <v>0</v>
      </c>
      <c r="BI342"/>
      <c r="BJ342" s="1"/>
      <c r="BK342" s="1"/>
      <c r="BL342" s="1"/>
      <c r="BM342" s="1"/>
      <c r="BN342" s="1"/>
      <c r="BO342" s="1"/>
      <c r="BP342" s="1"/>
      <c r="BQ342" s="1"/>
      <c r="BX342" s="20" t="str">
        <f t="shared" si="155"/>
        <v>►</v>
      </c>
      <c r="BY342" s="2"/>
      <c r="BZ342" s="2"/>
      <c r="CA342" s="2"/>
      <c r="CB342" s="2"/>
      <c r="CC342" s="2"/>
      <c r="DC342" s="5">
        <v>1</v>
      </c>
    </row>
    <row r="343" spans="12:107" ht="21" customHeight="1">
      <c r="L343" s="1021" t="s">
        <v>26</v>
      </c>
      <c r="M343" s="6787"/>
      <c r="N343" s="6787"/>
      <c r="O343" s="6787"/>
      <c r="P343" s="6788"/>
      <c r="Q343" s="6789"/>
      <c r="R343" s="6790"/>
      <c r="S343" s="6786"/>
      <c r="T343" s="6791"/>
      <c r="U343" s="6844"/>
      <c r="V343" s="6791"/>
      <c r="W343" s="6785"/>
      <c r="X343" s="6868"/>
      <c r="Y343" s="6793"/>
      <c r="Z343" s="6794"/>
      <c r="AA343" s="6795"/>
      <c r="AB343" s="6796"/>
      <c r="AC343" s="6797"/>
      <c r="AD343" s="6798"/>
      <c r="AE343" s="4" t="s">
        <v>1</v>
      </c>
      <c r="AF343" s="6202" t="str">
        <f t="shared" si="156"/>
        <v>►</v>
      </c>
      <c r="AG343" s="6234" t="str">
        <f t="shared" si="157"/>
        <v/>
      </c>
      <c r="AH343" s="6732" t="str">
        <f t="shared" si="158"/>
        <v/>
      </c>
      <c r="AI343" s="6234" t="str">
        <f t="shared" si="159"/>
        <v/>
      </c>
      <c r="AJ343" s="6732" t="str">
        <f t="shared" si="160"/>
        <v/>
      </c>
      <c r="AK343" s="6732">
        <f t="shared" si="161"/>
        <v>0</v>
      </c>
      <c r="AL343" s="6230" t="str" cm="1">
        <f t="array" ref="AL343">IF(AF343&lt;&gt;"A","",IFERROR((IFERROR(_xlfn.XLOOKUP(TRIM(SUBSTITUTE(U343,CHAR(160)," ")),$BJ$15:$BJ$62,$BM$15:$BM$62),IFERROR(_xlfn.XLOOKUP(TRIM(SUBSTITUTE(U343,CHAR(160)," ")),$BK$15:$BK$62,$BM$15:$BM$62),_xlfn.XLOOKUP(TRIM(SUBSTITUTE(U343,CHAR(160)," ")),$BL$15:$BL$62,$BM$15:$BM$62))))*T343*IF(ISBLANK(Q343),1,Q343)+IFERROR(_xlfn.XLOOKUP("RECHERCHEX",TRIM(L343:AD343),L343:AD343),0),0))</f>
        <v/>
      </c>
      <c r="AM343" s="6229">
        <f t="shared" si="162"/>
        <v>0</v>
      </c>
      <c r="AN343" s="6857" t="str">
        <f t="shared" si="153"/>
        <v/>
      </c>
      <c r="AO343" s="392">
        <f t="shared" si="163"/>
        <v>0</v>
      </c>
      <c r="AP343" s="392">
        <f t="shared" si="164"/>
        <v>0</v>
      </c>
      <c r="AQ343" s="6191">
        <f t="shared" si="165"/>
        <v>0</v>
      </c>
      <c r="AR343" s="6859" t="str">
        <f t="shared" si="166"/>
        <v/>
      </c>
      <c r="AS343" s="6217"/>
      <c r="AT343" s="6217"/>
      <c r="AU343" s="6272">
        <f t="shared" si="167"/>
        <v>0</v>
      </c>
      <c r="AV343" s="6240">
        <f t="shared" si="168"/>
        <v>0</v>
      </c>
      <c r="AW343" s="6189" cm="1">
        <f t="array" ref="AW343">IF(AK343&lt;&gt;1,0,IF(OR(AU343="",N(AU343)&lt;=0.000000001),"",IF(OR(AO343="",N(AO343)&lt;=0.000000001),0,IF(ISNUMBER(AU343),IFERROR(_xlfn.LET(_xlpm.ai_test,TRIM(AJ343),_xlpm.r,IFERROR(_xlfn.XLOOKUP(_xlpm.ai_test,$BJ$15:$BJ$62,ROW($BJ$15:$BJ$62),0,1),IFERROR(_xlfn.XLOOKUP(_xlpm.ai_test,$BK$15:$BK$62,ROW($BK$15:$BK$62),0,1),_xlfn.XLOOKUP(_xlpm.ai_test,$BL$15:$BL$62,ROW($BL$15:$BL$62),0,1))),_xlpm.p,_xlpm.r-MIN(ROW($BJ$15:$BJ$62))+1,_xlpm.f,INDEX($BM$15:$BM$62,_xlpm.p),_xlpm.u,INDEX($BN$15:$BN$62,_xlpm.p),_xlpm.s,INDEX($BP$15:$BP$62,_xlpm.p),_xlpm.q,N(AU343)/_xlpm.f,IF(_xlpm.q&gt;=_xlpm.s,ROUND(_xlpm.q,1)&amp;" "&amp;_xlpm.ai_test&amp;" = "&amp;ROUND(_xlpm.q*_xlpm.f,1)&amp;" "&amp;_xlpm.u,ROUND(_xlpm.q,1)&amp;" "&amp;_xlpm.ai_test)),""),""))))</f>
        <v>0</v>
      </c>
      <c r="AX343" s="6218"/>
      <c r="AY343" s="6272">
        <f t="shared" si="169"/>
        <v>0</v>
      </c>
      <c r="AZ343" s="6240" t="str">
        <f t="shared" si="170"/>
        <v/>
      </c>
      <c r="BA343" s="6195">
        <f t="shared" ref="BA343:BA406" si="175">IF(ISNUMBER(BG343),IF(ABS(BG343)&lt;=0.000000001,0,BG343),0)</f>
        <v>0</v>
      </c>
      <c r="BB343" s="6193" t="str">
        <f t="shared" si="171"/>
        <v/>
      </c>
      <c r="BC343" s="6219"/>
      <c r="BD343" s="6222">
        <f t="shared" si="152"/>
        <v>0</v>
      </c>
      <c r="BE343" s="6220" t="str">
        <f t="shared" si="172"/>
        <v/>
      </c>
      <c r="BF343" s="4" t="s">
        <v>1</v>
      </c>
      <c r="BG343" s="6196">
        <f t="shared" si="173"/>
        <v>0</v>
      </c>
      <c r="BH343" s="6197">
        <f t="shared" si="174"/>
        <v>0</v>
      </c>
      <c r="BI343"/>
      <c r="BJ343" s="1"/>
      <c r="BK343" s="1"/>
      <c r="BL343" s="1"/>
      <c r="BM343" s="1"/>
      <c r="BN343" s="1"/>
      <c r="BO343" s="1"/>
      <c r="BP343" s="1"/>
      <c r="BQ343" s="1"/>
      <c r="BX343" s="20" t="str">
        <f t="shared" si="155"/>
        <v>►</v>
      </c>
      <c r="BY343" s="2"/>
      <c r="BZ343" s="2"/>
      <c r="CA343" s="2"/>
      <c r="CB343" s="2"/>
      <c r="CC343" s="2"/>
      <c r="DC343" s="5">
        <v>1</v>
      </c>
    </row>
    <row r="344" spans="12:107" ht="21" customHeight="1">
      <c r="L344" s="1021" t="s">
        <v>26</v>
      </c>
      <c r="M344" s="6787"/>
      <c r="N344" s="6787"/>
      <c r="O344" s="6787"/>
      <c r="P344" s="6788"/>
      <c r="Q344" s="6789"/>
      <c r="R344" s="6790"/>
      <c r="S344" s="6786"/>
      <c r="T344" s="6791"/>
      <c r="U344" s="6844"/>
      <c r="V344" s="6791"/>
      <c r="W344" s="6785"/>
      <c r="X344" s="6868"/>
      <c r="Y344" s="6793"/>
      <c r="Z344" s="6794"/>
      <c r="AA344" s="6795"/>
      <c r="AB344" s="6796"/>
      <c r="AC344" s="6797"/>
      <c r="AD344" s="6798"/>
      <c r="AE344" s="4" t="s">
        <v>1</v>
      </c>
      <c r="AF344" s="6202" t="str">
        <f t="shared" si="156"/>
        <v>►</v>
      </c>
      <c r="AG344" s="6234" t="str">
        <f t="shared" si="157"/>
        <v/>
      </c>
      <c r="AH344" s="6732" t="str">
        <f t="shared" si="158"/>
        <v/>
      </c>
      <c r="AI344" s="6234" t="str">
        <f t="shared" si="159"/>
        <v/>
      </c>
      <c r="AJ344" s="6732" t="str">
        <f t="shared" si="160"/>
        <v/>
      </c>
      <c r="AK344" s="6732">
        <f t="shared" si="161"/>
        <v>0</v>
      </c>
      <c r="AL344" s="6230" t="str" cm="1">
        <f t="array" ref="AL344">IF(AF344&lt;&gt;"A","",IFERROR((IFERROR(_xlfn.XLOOKUP(TRIM(SUBSTITUTE(U344,CHAR(160)," ")),$BJ$15:$BJ$62,$BM$15:$BM$62),IFERROR(_xlfn.XLOOKUP(TRIM(SUBSTITUTE(U344,CHAR(160)," ")),$BK$15:$BK$62,$BM$15:$BM$62),_xlfn.XLOOKUP(TRIM(SUBSTITUTE(U344,CHAR(160)," ")),$BL$15:$BL$62,$BM$15:$BM$62))))*T344*IF(ISBLANK(Q344),1,Q344)+IFERROR(_xlfn.XLOOKUP("RECHERCHEX",TRIM(L344:AD344),L344:AD344),0),0))</f>
        <v/>
      </c>
      <c r="AM344" s="6229">
        <f t="shared" si="162"/>
        <v>0</v>
      </c>
      <c r="AN344" s="6857" t="str">
        <f t="shared" si="153"/>
        <v/>
      </c>
      <c r="AO344" s="392">
        <f t="shared" si="163"/>
        <v>0</v>
      </c>
      <c r="AP344" s="392">
        <f t="shared" si="164"/>
        <v>0</v>
      </c>
      <c r="AQ344" s="6190">
        <f t="shared" si="165"/>
        <v>0</v>
      </c>
      <c r="AR344" s="6858" t="str">
        <f t="shared" si="166"/>
        <v/>
      </c>
      <c r="AS344" s="6217"/>
      <c r="AT344" s="6217"/>
      <c r="AU344" s="6271">
        <f t="shared" si="167"/>
        <v>0</v>
      </c>
      <c r="AV344" s="6242">
        <f t="shared" si="168"/>
        <v>0</v>
      </c>
      <c r="AW344" s="6188" cm="1">
        <f t="array" ref="AW344">IF(AK344&lt;&gt;1,0,IF(OR(AU344="",N(AU344)&lt;=0.000000001),"",IF(OR(AO344="",N(AO344)&lt;=0.000000001),0,IF(ISNUMBER(AU344),IFERROR(_xlfn.LET(_xlpm.ai_test,TRIM(AJ344),_xlpm.r,IFERROR(_xlfn.XLOOKUP(_xlpm.ai_test,$BJ$15:$BJ$62,ROW($BJ$15:$BJ$62),0,1),IFERROR(_xlfn.XLOOKUP(_xlpm.ai_test,$BK$15:$BK$62,ROW($BK$15:$BK$62),0,1),_xlfn.XLOOKUP(_xlpm.ai_test,$BL$15:$BL$62,ROW($BL$15:$BL$62),0,1))),_xlpm.p,_xlpm.r-MIN(ROW($BJ$15:$BJ$62))+1,_xlpm.f,INDEX($BM$15:$BM$62,_xlpm.p),_xlpm.u,INDEX($BN$15:$BN$62,_xlpm.p),_xlpm.s,INDEX($BP$15:$BP$62,_xlpm.p),_xlpm.q,N(AU344)/_xlpm.f,IF(_xlpm.q&gt;=_xlpm.s,ROUND(_xlpm.q,1)&amp;" "&amp;_xlpm.ai_test&amp;" = "&amp;ROUND(_xlpm.q*_xlpm.f,1)&amp;" "&amp;_xlpm.u,ROUND(_xlpm.q,1)&amp;" "&amp;_xlpm.ai_test)),""),""))))</f>
        <v>0</v>
      </c>
      <c r="AX344" s="6218"/>
      <c r="AY344" s="6271">
        <f t="shared" si="169"/>
        <v>0</v>
      </c>
      <c r="AZ344" s="6242" t="str">
        <f t="shared" si="170"/>
        <v/>
      </c>
      <c r="BA344" s="6194">
        <f t="shared" si="175"/>
        <v>0</v>
      </c>
      <c r="BB344" s="6192" t="str">
        <f t="shared" si="171"/>
        <v/>
      </c>
      <c r="BC344" s="6219"/>
      <c r="BD344" s="6221">
        <f t="shared" si="152"/>
        <v>0</v>
      </c>
      <c r="BE344" s="6220" t="str">
        <f t="shared" si="172"/>
        <v/>
      </c>
      <c r="BF344" s="4" t="s">
        <v>1</v>
      </c>
      <c r="BG344" s="6196">
        <f t="shared" si="173"/>
        <v>0</v>
      </c>
      <c r="BH344" s="6197">
        <f t="shared" si="174"/>
        <v>0</v>
      </c>
      <c r="BI344"/>
      <c r="BJ344" s="1"/>
      <c r="BK344" s="1"/>
      <c r="BL344" s="1"/>
      <c r="BM344" s="1"/>
      <c r="BN344" s="1"/>
      <c r="BO344" s="1"/>
      <c r="BP344" s="1"/>
      <c r="BQ344" s="1"/>
      <c r="BX344" s="20" t="str">
        <f t="shared" si="155"/>
        <v>►</v>
      </c>
      <c r="BY344" s="2"/>
      <c r="BZ344" s="2"/>
      <c r="CA344" s="2"/>
      <c r="CB344" s="2"/>
      <c r="CC344" s="2"/>
      <c r="DC344" s="5">
        <v>1</v>
      </c>
    </row>
    <row r="345" spans="12:107" ht="21" customHeight="1">
      <c r="L345" s="1021" t="s">
        <v>26</v>
      </c>
      <c r="M345" s="6787"/>
      <c r="N345" s="6787"/>
      <c r="O345" s="6787"/>
      <c r="P345" s="6788"/>
      <c r="Q345" s="6789"/>
      <c r="R345" s="6790"/>
      <c r="S345" s="6786"/>
      <c r="T345" s="6791"/>
      <c r="U345" s="6844"/>
      <c r="V345" s="6791"/>
      <c r="W345" s="6785"/>
      <c r="X345" s="6868"/>
      <c r="Y345" s="6793"/>
      <c r="Z345" s="6794"/>
      <c r="AA345" s="6795"/>
      <c r="AB345" s="6796"/>
      <c r="AC345" s="6797"/>
      <c r="AD345" s="6798"/>
      <c r="AE345" s="4" t="s">
        <v>1</v>
      </c>
      <c r="AF345" s="6202" t="str">
        <f t="shared" si="156"/>
        <v>►</v>
      </c>
      <c r="AG345" s="6234" t="str">
        <f t="shared" si="157"/>
        <v/>
      </c>
      <c r="AH345" s="6732" t="str">
        <f t="shared" si="158"/>
        <v/>
      </c>
      <c r="AI345" s="6234" t="str">
        <f t="shared" si="159"/>
        <v/>
      </c>
      <c r="AJ345" s="6732" t="str">
        <f t="shared" si="160"/>
        <v/>
      </c>
      <c r="AK345" s="6732">
        <f t="shared" si="161"/>
        <v>0</v>
      </c>
      <c r="AL345" s="6230" t="str" cm="1">
        <f t="array" ref="AL345">IF(AF345&lt;&gt;"A","",IFERROR((IFERROR(_xlfn.XLOOKUP(TRIM(SUBSTITUTE(U345,CHAR(160)," ")),$BJ$15:$BJ$62,$BM$15:$BM$62),IFERROR(_xlfn.XLOOKUP(TRIM(SUBSTITUTE(U345,CHAR(160)," ")),$BK$15:$BK$62,$BM$15:$BM$62),_xlfn.XLOOKUP(TRIM(SUBSTITUTE(U345,CHAR(160)," ")),$BL$15:$BL$62,$BM$15:$BM$62))))*T345*IF(ISBLANK(Q345),1,Q345)+IFERROR(_xlfn.XLOOKUP("RECHERCHEX",TRIM(L345:AD345),L345:AD345),0),0))</f>
        <v/>
      </c>
      <c r="AM345" s="6229">
        <f t="shared" si="162"/>
        <v>0</v>
      </c>
      <c r="AN345" s="6857" t="str">
        <f t="shared" si="153"/>
        <v/>
      </c>
      <c r="AO345" s="392">
        <f t="shared" si="163"/>
        <v>0</v>
      </c>
      <c r="AP345" s="392">
        <f t="shared" si="164"/>
        <v>0</v>
      </c>
      <c r="AQ345" s="6191">
        <f t="shared" si="165"/>
        <v>0</v>
      </c>
      <c r="AR345" s="6859" t="str">
        <f t="shared" si="166"/>
        <v/>
      </c>
      <c r="AS345" s="6217"/>
      <c r="AT345" s="6217"/>
      <c r="AU345" s="6272">
        <f t="shared" si="167"/>
        <v>0</v>
      </c>
      <c r="AV345" s="6240">
        <f t="shared" si="168"/>
        <v>0</v>
      </c>
      <c r="AW345" s="6189" cm="1">
        <f t="array" ref="AW345">IF(AK345&lt;&gt;1,0,IF(OR(AU345="",N(AU345)&lt;=0.000000001),"",IF(OR(AO345="",N(AO345)&lt;=0.000000001),0,IF(ISNUMBER(AU345),IFERROR(_xlfn.LET(_xlpm.ai_test,TRIM(AJ345),_xlpm.r,IFERROR(_xlfn.XLOOKUP(_xlpm.ai_test,$BJ$15:$BJ$62,ROW($BJ$15:$BJ$62),0,1),IFERROR(_xlfn.XLOOKUP(_xlpm.ai_test,$BK$15:$BK$62,ROW($BK$15:$BK$62),0,1),_xlfn.XLOOKUP(_xlpm.ai_test,$BL$15:$BL$62,ROW($BL$15:$BL$62),0,1))),_xlpm.p,_xlpm.r-MIN(ROW($BJ$15:$BJ$62))+1,_xlpm.f,INDEX($BM$15:$BM$62,_xlpm.p),_xlpm.u,INDEX($BN$15:$BN$62,_xlpm.p),_xlpm.s,INDEX($BP$15:$BP$62,_xlpm.p),_xlpm.q,N(AU345)/_xlpm.f,IF(_xlpm.q&gt;=_xlpm.s,ROUND(_xlpm.q,1)&amp;" "&amp;_xlpm.ai_test&amp;" = "&amp;ROUND(_xlpm.q*_xlpm.f,1)&amp;" "&amp;_xlpm.u,ROUND(_xlpm.q,1)&amp;" "&amp;_xlpm.ai_test)),""),""))))</f>
        <v>0</v>
      </c>
      <c r="AX345" s="6218"/>
      <c r="AY345" s="6272">
        <f t="shared" si="169"/>
        <v>0</v>
      </c>
      <c r="AZ345" s="6240" t="str">
        <f t="shared" si="170"/>
        <v/>
      </c>
      <c r="BA345" s="6195">
        <f t="shared" si="175"/>
        <v>0</v>
      </c>
      <c r="BB345" s="6193" t="str">
        <f t="shared" si="171"/>
        <v/>
      </c>
      <c r="BC345" s="6219"/>
      <c r="BD345" s="6222">
        <f t="shared" si="152"/>
        <v>0</v>
      </c>
      <c r="BE345" s="6220" t="str">
        <f t="shared" si="172"/>
        <v/>
      </c>
      <c r="BF345" s="4" t="s">
        <v>1</v>
      </c>
      <c r="BG345" s="6196">
        <f t="shared" si="173"/>
        <v>0</v>
      </c>
      <c r="BH345" s="6197">
        <f t="shared" si="174"/>
        <v>0</v>
      </c>
      <c r="BI345"/>
      <c r="BJ345" s="1"/>
      <c r="BK345" s="1"/>
      <c r="BL345" s="1"/>
      <c r="BM345" s="1"/>
      <c r="BN345" s="1"/>
      <c r="BO345" s="1"/>
      <c r="BP345" s="1"/>
      <c r="BQ345" s="1"/>
      <c r="BX345" s="20" t="str">
        <f t="shared" si="155"/>
        <v>►</v>
      </c>
      <c r="BY345" s="2"/>
      <c r="BZ345" s="2"/>
      <c r="CA345" s="2"/>
      <c r="CB345" s="2"/>
      <c r="CC345" s="2"/>
      <c r="DC345" s="5">
        <v>1</v>
      </c>
    </row>
    <row r="346" spans="12:107" ht="21" customHeight="1">
      <c r="L346" s="1021" t="s">
        <v>26</v>
      </c>
      <c r="M346" s="6787"/>
      <c r="N346" s="6787"/>
      <c r="O346" s="6787"/>
      <c r="P346" s="6788"/>
      <c r="Q346" s="6789"/>
      <c r="R346" s="6790"/>
      <c r="S346" s="6786"/>
      <c r="T346" s="6791"/>
      <c r="U346" s="6844"/>
      <c r="V346" s="6791"/>
      <c r="W346" s="6785"/>
      <c r="X346" s="6868"/>
      <c r="Y346" s="6793"/>
      <c r="Z346" s="6794"/>
      <c r="AA346" s="6795"/>
      <c r="AB346" s="6796"/>
      <c r="AC346" s="6797"/>
      <c r="AD346" s="6798"/>
      <c r="AE346" s="4" t="s">
        <v>1</v>
      </c>
      <c r="AF346" s="6202" t="str">
        <f t="shared" si="156"/>
        <v>►</v>
      </c>
      <c r="AG346" s="6234" t="str">
        <f t="shared" si="157"/>
        <v/>
      </c>
      <c r="AH346" s="6732" t="str">
        <f t="shared" si="158"/>
        <v/>
      </c>
      <c r="AI346" s="6234" t="str">
        <f t="shared" si="159"/>
        <v/>
      </c>
      <c r="AJ346" s="6732" t="str">
        <f t="shared" si="160"/>
        <v/>
      </c>
      <c r="AK346" s="6732">
        <f t="shared" si="161"/>
        <v>0</v>
      </c>
      <c r="AL346" s="6230" t="str" cm="1">
        <f t="array" ref="AL346">IF(AF346&lt;&gt;"A","",IFERROR((IFERROR(_xlfn.XLOOKUP(TRIM(SUBSTITUTE(U346,CHAR(160)," ")),$BJ$15:$BJ$62,$BM$15:$BM$62),IFERROR(_xlfn.XLOOKUP(TRIM(SUBSTITUTE(U346,CHAR(160)," ")),$BK$15:$BK$62,$BM$15:$BM$62),_xlfn.XLOOKUP(TRIM(SUBSTITUTE(U346,CHAR(160)," ")),$BL$15:$BL$62,$BM$15:$BM$62))))*T346*IF(ISBLANK(Q346),1,Q346)+IFERROR(_xlfn.XLOOKUP("RECHERCHEX",TRIM(L346:AD346),L346:AD346),0),0))</f>
        <v/>
      </c>
      <c r="AM346" s="6229">
        <f t="shared" si="162"/>
        <v>0</v>
      </c>
      <c r="AN346" s="6857" t="str">
        <f t="shared" si="153"/>
        <v/>
      </c>
      <c r="AO346" s="392">
        <f t="shared" si="163"/>
        <v>0</v>
      </c>
      <c r="AP346" s="392">
        <f t="shared" si="164"/>
        <v>0</v>
      </c>
      <c r="AQ346" s="6190">
        <f t="shared" si="165"/>
        <v>0</v>
      </c>
      <c r="AR346" s="6858" t="str">
        <f t="shared" si="166"/>
        <v/>
      </c>
      <c r="AS346" s="6217"/>
      <c r="AT346" s="6217"/>
      <c r="AU346" s="6271">
        <f t="shared" si="167"/>
        <v>0</v>
      </c>
      <c r="AV346" s="6242">
        <f t="shared" si="168"/>
        <v>0</v>
      </c>
      <c r="AW346" s="6188" cm="1">
        <f t="array" ref="AW346">IF(AK346&lt;&gt;1,0,IF(OR(AU346="",N(AU346)&lt;=0.000000001),"",IF(OR(AO346="",N(AO346)&lt;=0.000000001),0,IF(ISNUMBER(AU346),IFERROR(_xlfn.LET(_xlpm.ai_test,TRIM(AJ346),_xlpm.r,IFERROR(_xlfn.XLOOKUP(_xlpm.ai_test,$BJ$15:$BJ$62,ROW($BJ$15:$BJ$62),0,1),IFERROR(_xlfn.XLOOKUP(_xlpm.ai_test,$BK$15:$BK$62,ROW($BK$15:$BK$62),0,1),_xlfn.XLOOKUP(_xlpm.ai_test,$BL$15:$BL$62,ROW($BL$15:$BL$62),0,1))),_xlpm.p,_xlpm.r-MIN(ROW($BJ$15:$BJ$62))+1,_xlpm.f,INDEX($BM$15:$BM$62,_xlpm.p),_xlpm.u,INDEX($BN$15:$BN$62,_xlpm.p),_xlpm.s,INDEX($BP$15:$BP$62,_xlpm.p),_xlpm.q,N(AU346)/_xlpm.f,IF(_xlpm.q&gt;=_xlpm.s,ROUND(_xlpm.q,1)&amp;" "&amp;_xlpm.ai_test&amp;" = "&amp;ROUND(_xlpm.q*_xlpm.f,1)&amp;" "&amp;_xlpm.u,ROUND(_xlpm.q,1)&amp;" "&amp;_xlpm.ai_test)),""),""))))</f>
        <v>0</v>
      </c>
      <c r="AX346" s="6218"/>
      <c r="AY346" s="6271">
        <f t="shared" si="169"/>
        <v>0</v>
      </c>
      <c r="AZ346" s="6242" t="str">
        <f t="shared" si="170"/>
        <v/>
      </c>
      <c r="BA346" s="6194">
        <f t="shared" si="175"/>
        <v>0</v>
      </c>
      <c r="BB346" s="6192" t="str">
        <f t="shared" si="171"/>
        <v/>
      </c>
      <c r="BC346" s="6219"/>
      <c r="BD346" s="6221">
        <f t="shared" si="152"/>
        <v>0</v>
      </c>
      <c r="BE346" s="6220" t="str">
        <f t="shared" si="172"/>
        <v/>
      </c>
      <c r="BF346" s="4" t="s">
        <v>1</v>
      </c>
      <c r="BG346" s="6196">
        <f t="shared" si="173"/>
        <v>0</v>
      </c>
      <c r="BH346" s="6197">
        <f t="shared" si="174"/>
        <v>0</v>
      </c>
      <c r="BI346"/>
      <c r="BJ346" s="1"/>
      <c r="BK346" s="1"/>
      <c r="BL346" s="1"/>
      <c r="BM346" s="1"/>
      <c r="BN346" s="1"/>
      <c r="BO346" s="1"/>
      <c r="BP346" s="1"/>
      <c r="BQ346" s="1"/>
      <c r="BX346" s="20" t="str">
        <f t="shared" si="155"/>
        <v>►</v>
      </c>
      <c r="BY346" s="2"/>
      <c r="BZ346" s="2"/>
      <c r="CA346" s="2"/>
      <c r="CB346" s="2"/>
      <c r="CC346" s="2"/>
      <c r="DC346" s="5">
        <v>1</v>
      </c>
    </row>
    <row r="347" spans="12:107" ht="21" customHeight="1">
      <c r="L347" s="1021" t="s">
        <v>26</v>
      </c>
      <c r="M347" s="6787"/>
      <c r="N347" s="6787"/>
      <c r="O347" s="6787"/>
      <c r="P347" s="6788"/>
      <c r="Q347" s="6789"/>
      <c r="R347" s="6790"/>
      <c r="S347" s="6786"/>
      <c r="T347" s="6791"/>
      <c r="U347" s="6844"/>
      <c r="V347" s="6791"/>
      <c r="W347" s="6785"/>
      <c r="X347" s="6868"/>
      <c r="Y347" s="6793"/>
      <c r="Z347" s="6794"/>
      <c r="AA347" s="6795"/>
      <c r="AB347" s="6796"/>
      <c r="AC347" s="6797"/>
      <c r="AD347" s="6798"/>
      <c r="AE347" s="4" t="s">
        <v>1</v>
      </c>
      <c r="AF347" s="6202" t="str">
        <f t="shared" si="156"/>
        <v>►</v>
      </c>
      <c r="AG347" s="6234" t="str">
        <f t="shared" si="157"/>
        <v/>
      </c>
      <c r="AH347" s="6732" t="str">
        <f t="shared" si="158"/>
        <v/>
      </c>
      <c r="AI347" s="6234" t="str">
        <f t="shared" si="159"/>
        <v/>
      </c>
      <c r="AJ347" s="6732" t="str">
        <f t="shared" si="160"/>
        <v/>
      </c>
      <c r="AK347" s="6732">
        <f t="shared" si="161"/>
        <v>0</v>
      </c>
      <c r="AL347" s="6230" t="str" cm="1">
        <f t="array" ref="AL347">IF(AF347&lt;&gt;"A","",IFERROR((IFERROR(_xlfn.XLOOKUP(TRIM(SUBSTITUTE(U347,CHAR(160)," ")),$BJ$15:$BJ$62,$BM$15:$BM$62),IFERROR(_xlfn.XLOOKUP(TRIM(SUBSTITUTE(U347,CHAR(160)," ")),$BK$15:$BK$62,$BM$15:$BM$62),_xlfn.XLOOKUP(TRIM(SUBSTITUTE(U347,CHAR(160)," ")),$BL$15:$BL$62,$BM$15:$BM$62))))*T347*IF(ISBLANK(Q347),1,Q347)+IFERROR(_xlfn.XLOOKUP("RECHERCHEX",TRIM(L347:AD347),L347:AD347),0),0))</f>
        <v/>
      </c>
      <c r="AM347" s="6229">
        <f t="shared" si="162"/>
        <v>0</v>
      </c>
      <c r="AN347" s="6857" t="str">
        <f t="shared" si="153"/>
        <v/>
      </c>
      <c r="AO347" s="392">
        <f t="shared" si="163"/>
        <v>0</v>
      </c>
      <c r="AP347" s="392">
        <f t="shared" si="164"/>
        <v>0</v>
      </c>
      <c r="AQ347" s="6191">
        <f t="shared" si="165"/>
        <v>0</v>
      </c>
      <c r="AR347" s="6859" t="str">
        <f t="shared" si="166"/>
        <v/>
      </c>
      <c r="AS347" s="6217"/>
      <c r="AT347" s="6217"/>
      <c r="AU347" s="6272">
        <f t="shared" si="167"/>
        <v>0</v>
      </c>
      <c r="AV347" s="6240">
        <f t="shared" si="168"/>
        <v>0</v>
      </c>
      <c r="AW347" s="6189" cm="1">
        <f t="array" ref="AW347">IF(AK347&lt;&gt;1,0,IF(OR(AU347="",N(AU347)&lt;=0.000000001),"",IF(OR(AO347="",N(AO347)&lt;=0.000000001),0,IF(ISNUMBER(AU347),IFERROR(_xlfn.LET(_xlpm.ai_test,TRIM(AJ347),_xlpm.r,IFERROR(_xlfn.XLOOKUP(_xlpm.ai_test,$BJ$15:$BJ$62,ROW($BJ$15:$BJ$62),0,1),IFERROR(_xlfn.XLOOKUP(_xlpm.ai_test,$BK$15:$BK$62,ROW($BK$15:$BK$62),0,1),_xlfn.XLOOKUP(_xlpm.ai_test,$BL$15:$BL$62,ROW($BL$15:$BL$62),0,1))),_xlpm.p,_xlpm.r-MIN(ROW($BJ$15:$BJ$62))+1,_xlpm.f,INDEX($BM$15:$BM$62,_xlpm.p),_xlpm.u,INDEX($BN$15:$BN$62,_xlpm.p),_xlpm.s,INDEX($BP$15:$BP$62,_xlpm.p),_xlpm.q,N(AU347)/_xlpm.f,IF(_xlpm.q&gt;=_xlpm.s,ROUND(_xlpm.q,1)&amp;" "&amp;_xlpm.ai_test&amp;" = "&amp;ROUND(_xlpm.q*_xlpm.f,1)&amp;" "&amp;_xlpm.u,ROUND(_xlpm.q,1)&amp;" "&amp;_xlpm.ai_test)),""),""))))</f>
        <v>0</v>
      </c>
      <c r="AX347" s="6218"/>
      <c r="AY347" s="6272">
        <f t="shared" si="169"/>
        <v>0</v>
      </c>
      <c r="AZ347" s="6240" t="str">
        <f t="shared" si="170"/>
        <v/>
      </c>
      <c r="BA347" s="6195">
        <f t="shared" si="175"/>
        <v>0</v>
      </c>
      <c r="BB347" s="6193" t="str">
        <f t="shared" si="171"/>
        <v/>
      </c>
      <c r="BC347" s="6219"/>
      <c r="BD347" s="6222">
        <f t="shared" ref="BD347:BD410" si="176">IF(OR(AO347=0,ISBLANK(BC347),ISTEXT(BA347)),0,(IF(AU347=0,BA347,AU347)*BC347))</f>
        <v>0</v>
      </c>
      <c r="BE347" s="6220" t="str">
        <f t="shared" si="172"/>
        <v/>
      </c>
      <c r="BF347" s="4" t="s">
        <v>1</v>
      </c>
      <c r="BG347" s="6196">
        <f t="shared" si="173"/>
        <v>0</v>
      </c>
      <c r="BH347" s="6197">
        <f t="shared" si="174"/>
        <v>0</v>
      </c>
      <c r="BI347"/>
      <c r="BJ347" s="1"/>
      <c r="BK347" s="1"/>
      <c r="BL347" s="1"/>
      <c r="BM347" s="1"/>
      <c r="BN347" s="1"/>
      <c r="BO347" s="1"/>
      <c r="BP347" s="1"/>
      <c r="BQ347" s="1"/>
      <c r="BX347" s="20" t="str">
        <f t="shared" si="155"/>
        <v>►</v>
      </c>
      <c r="BY347" s="2"/>
      <c r="BZ347" s="2"/>
      <c r="CA347" s="2"/>
      <c r="CB347" s="2"/>
      <c r="CC347" s="2"/>
      <c r="DC347" s="5">
        <v>1</v>
      </c>
    </row>
    <row r="348" spans="12:107" ht="21" customHeight="1">
      <c r="L348" s="1021" t="s">
        <v>26</v>
      </c>
      <c r="M348" s="6787"/>
      <c r="N348" s="6787"/>
      <c r="O348" s="6787"/>
      <c r="P348" s="6788"/>
      <c r="Q348" s="6789"/>
      <c r="R348" s="6790"/>
      <c r="S348" s="6786"/>
      <c r="T348" s="6791"/>
      <c r="U348" s="6844"/>
      <c r="V348" s="6791"/>
      <c r="W348" s="6785"/>
      <c r="X348" s="6868"/>
      <c r="Y348" s="6793"/>
      <c r="Z348" s="6794"/>
      <c r="AA348" s="6795"/>
      <c r="AB348" s="6796"/>
      <c r="AC348" s="6797"/>
      <c r="AD348" s="6798"/>
      <c r="AE348" s="4" t="s">
        <v>1</v>
      </c>
      <c r="AF348" s="6202" t="str">
        <f t="shared" si="156"/>
        <v>►</v>
      </c>
      <c r="AG348" s="6234" t="str">
        <f t="shared" si="157"/>
        <v/>
      </c>
      <c r="AH348" s="6732" t="str">
        <f t="shared" si="158"/>
        <v/>
      </c>
      <c r="AI348" s="6234" t="str">
        <f t="shared" si="159"/>
        <v/>
      </c>
      <c r="AJ348" s="6732" t="str">
        <f t="shared" si="160"/>
        <v/>
      </c>
      <c r="AK348" s="6732">
        <f t="shared" si="161"/>
        <v>0</v>
      </c>
      <c r="AL348" s="6230" t="str" cm="1">
        <f t="array" ref="AL348">IF(AF348&lt;&gt;"A","",IFERROR((IFERROR(_xlfn.XLOOKUP(TRIM(SUBSTITUTE(U348,CHAR(160)," ")),$BJ$15:$BJ$62,$BM$15:$BM$62),IFERROR(_xlfn.XLOOKUP(TRIM(SUBSTITUTE(U348,CHAR(160)," ")),$BK$15:$BK$62,$BM$15:$BM$62),_xlfn.XLOOKUP(TRIM(SUBSTITUTE(U348,CHAR(160)," ")),$BL$15:$BL$62,$BM$15:$BM$62))))*T348*IF(ISBLANK(Q348),1,Q348)+IFERROR(_xlfn.XLOOKUP("RECHERCHEX",TRIM(L348:AD348),L348:AD348),0),0))</f>
        <v/>
      </c>
      <c r="AM348" s="6229">
        <f t="shared" si="162"/>
        <v>0</v>
      </c>
      <c r="AN348" s="6857" t="str">
        <f t="shared" si="153"/>
        <v/>
      </c>
      <c r="AO348" s="392">
        <f t="shared" si="163"/>
        <v>0</v>
      </c>
      <c r="AP348" s="392">
        <f t="shared" si="164"/>
        <v>0</v>
      </c>
      <c r="AQ348" s="6190">
        <f t="shared" si="165"/>
        <v>0</v>
      </c>
      <c r="AR348" s="6858" t="str">
        <f t="shared" si="166"/>
        <v/>
      </c>
      <c r="AS348" s="6217"/>
      <c r="AT348" s="6217"/>
      <c r="AU348" s="6271">
        <f t="shared" si="167"/>
        <v>0</v>
      </c>
      <c r="AV348" s="6242">
        <f t="shared" si="168"/>
        <v>0</v>
      </c>
      <c r="AW348" s="6188" cm="1">
        <f t="array" ref="AW348">IF(AK348&lt;&gt;1,0,IF(OR(AU348="",N(AU348)&lt;=0.000000001),"",IF(OR(AO348="",N(AO348)&lt;=0.000000001),0,IF(ISNUMBER(AU348),IFERROR(_xlfn.LET(_xlpm.ai_test,TRIM(AJ348),_xlpm.r,IFERROR(_xlfn.XLOOKUP(_xlpm.ai_test,$BJ$15:$BJ$62,ROW($BJ$15:$BJ$62),0,1),IFERROR(_xlfn.XLOOKUP(_xlpm.ai_test,$BK$15:$BK$62,ROW($BK$15:$BK$62),0,1),_xlfn.XLOOKUP(_xlpm.ai_test,$BL$15:$BL$62,ROW($BL$15:$BL$62),0,1))),_xlpm.p,_xlpm.r-MIN(ROW($BJ$15:$BJ$62))+1,_xlpm.f,INDEX($BM$15:$BM$62,_xlpm.p),_xlpm.u,INDEX($BN$15:$BN$62,_xlpm.p),_xlpm.s,INDEX($BP$15:$BP$62,_xlpm.p),_xlpm.q,N(AU348)/_xlpm.f,IF(_xlpm.q&gt;=_xlpm.s,ROUND(_xlpm.q,1)&amp;" "&amp;_xlpm.ai_test&amp;" = "&amp;ROUND(_xlpm.q*_xlpm.f,1)&amp;" "&amp;_xlpm.u,ROUND(_xlpm.q,1)&amp;" "&amp;_xlpm.ai_test)),""),""))))</f>
        <v>0</v>
      </c>
      <c r="AX348" s="6218"/>
      <c r="AY348" s="6271">
        <f t="shared" si="169"/>
        <v>0</v>
      </c>
      <c r="AZ348" s="6242" t="str">
        <f t="shared" si="170"/>
        <v/>
      </c>
      <c r="BA348" s="6194">
        <f t="shared" si="175"/>
        <v>0</v>
      </c>
      <c r="BB348" s="6192" t="str">
        <f t="shared" si="171"/>
        <v/>
      </c>
      <c r="BC348" s="6219"/>
      <c r="BD348" s="6221">
        <f t="shared" si="176"/>
        <v>0</v>
      </c>
      <c r="BE348" s="6220" t="str">
        <f t="shared" si="172"/>
        <v/>
      </c>
      <c r="BF348" s="4" t="s">
        <v>1</v>
      </c>
      <c r="BG348" s="6196">
        <f t="shared" si="173"/>
        <v>0</v>
      </c>
      <c r="BH348" s="6197">
        <f t="shared" si="174"/>
        <v>0</v>
      </c>
      <c r="BI348"/>
      <c r="BJ348" s="1"/>
      <c r="BK348" s="1"/>
      <c r="BL348" s="1"/>
      <c r="BM348" s="1"/>
      <c r="BN348" s="1"/>
      <c r="BO348" s="1"/>
      <c r="BP348" s="1"/>
      <c r="BQ348" s="1"/>
      <c r="BX348" s="20" t="str">
        <f t="shared" si="155"/>
        <v>►</v>
      </c>
      <c r="BY348" s="2"/>
      <c r="BZ348" s="2"/>
      <c r="CA348" s="2"/>
      <c r="CB348" s="2"/>
      <c r="CC348" s="2"/>
      <c r="DC348" s="5">
        <v>1</v>
      </c>
    </row>
    <row r="349" spans="12:107" ht="21" customHeight="1">
      <c r="L349" s="1021" t="s">
        <v>26</v>
      </c>
      <c r="M349" s="6787"/>
      <c r="N349" s="6787"/>
      <c r="O349" s="6787"/>
      <c r="P349" s="6788"/>
      <c r="Q349" s="6789"/>
      <c r="R349" s="6790"/>
      <c r="S349" s="6786"/>
      <c r="T349" s="6791"/>
      <c r="U349" s="6844"/>
      <c r="V349" s="6791"/>
      <c r="W349" s="6785"/>
      <c r="X349" s="6868"/>
      <c r="Y349" s="6793"/>
      <c r="Z349" s="6794"/>
      <c r="AA349" s="6795"/>
      <c r="AB349" s="6796"/>
      <c r="AC349" s="6797"/>
      <c r="AD349" s="6798"/>
      <c r="AE349" s="4" t="s">
        <v>1</v>
      </c>
      <c r="AF349" s="6202" t="str">
        <f t="shared" si="156"/>
        <v>►</v>
      </c>
      <c r="AG349" s="6234" t="str">
        <f t="shared" si="157"/>
        <v/>
      </c>
      <c r="AH349" s="6732" t="str">
        <f t="shared" si="158"/>
        <v/>
      </c>
      <c r="AI349" s="6234" t="str">
        <f t="shared" si="159"/>
        <v/>
      </c>
      <c r="AJ349" s="6732" t="str">
        <f t="shared" si="160"/>
        <v/>
      </c>
      <c r="AK349" s="6732">
        <f t="shared" si="161"/>
        <v>0</v>
      </c>
      <c r="AL349" s="6230" t="str" cm="1">
        <f t="array" ref="AL349">IF(AF349&lt;&gt;"A","",IFERROR((IFERROR(_xlfn.XLOOKUP(TRIM(SUBSTITUTE(U349,CHAR(160)," ")),$BJ$15:$BJ$62,$BM$15:$BM$62),IFERROR(_xlfn.XLOOKUP(TRIM(SUBSTITUTE(U349,CHAR(160)," ")),$BK$15:$BK$62,$BM$15:$BM$62),_xlfn.XLOOKUP(TRIM(SUBSTITUTE(U349,CHAR(160)," ")),$BL$15:$BL$62,$BM$15:$BM$62))))*T349*IF(ISBLANK(Q349),1,Q349)+IFERROR(_xlfn.XLOOKUP("RECHERCHEX",TRIM(L349:AD349),L349:AD349),0),0))</f>
        <v/>
      </c>
      <c r="AM349" s="6229">
        <f t="shared" si="162"/>
        <v>0</v>
      </c>
      <c r="AN349" s="6857" t="str">
        <f t="shared" si="153"/>
        <v/>
      </c>
      <c r="AO349" s="392">
        <f t="shared" si="163"/>
        <v>0</v>
      </c>
      <c r="AP349" s="392">
        <f t="shared" si="164"/>
        <v>0</v>
      </c>
      <c r="AQ349" s="6191">
        <f t="shared" si="165"/>
        <v>0</v>
      </c>
      <c r="AR349" s="6859" t="str">
        <f t="shared" si="166"/>
        <v/>
      </c>
      <c r="AS349" s="6217"/>
      <c r="AT349" s="6217"/>
      <c r="AU349" s="6272">
        <f t="shared" si="167"/>
        <v>0</v>
      </c>
      <c r="AV349" s="6240">
        <f t="shared" si="168"/>
        <v>0</v>
      </c>
      <c r="AW349" s="6189" cm="1">
        <f t="array" ref="AW349">IF(AK349&lt;&gt;1,0,IF(OR(AU349="",N(AU349)&lt;=0.000000001),"",IF(OR(AO349="",N(AO349)&lt;=0.000000001),0,IF(ISNUMBER(AU349),IFERROR(_xlfn.LET(_xlpm.ai_test,TRIM(AJ349),_xlpm.r,IFERROR(_xlfn.XLOOKUP(_xlpm.ai_test,$BJ$15:$BJ$62,ROW($BJ$15:$BJ$62),0,1),IFERROR(_xlfn.XLOOKUP(_xlpm.ai_test,$BK$15:$BK$62,ROW($BK$15:$BK$62),0,1),_xlfn.XLOOKUP(_xlpm.ai_test,$BL$15:$BL$62,ROW($BL$15:$BL$62),0,1))),_xlpm.p,_xlpm.r-MIN(ROW($BJ$15:$BJ$62))+1,_xlpm.f,INDEX($BM$15:$BM$62,_xlpm.p),_xlpm.u,INDEX($BN$15:$BN$62,_xlpm.p),_xlpm.s,INDEX($BP$15:$BP$62,_xlpm.p),_xlpm.q,N(AU349)/_xlpm.f,IF(_xlpm.q&gt;=_xlpm.s,ROUND(_xlpm.q,1)&amp;" "&amp;_xlpm.ai_test&amp;" = "&amp;ROUND(_xlpm.q*_xlpm.f,1)&amp;" "&amp;_xlpm.u,ROUND(_xlpm.q,1)&amp;" "&amp;_xlpm.ai_test)),""),""))))</f>
        <v>0</v>
      </c>
      <c r="AX349" s="6218"/>
      <c r="AY349" s="6272">
        <f t="shared" si="169"/>
        <v>0</v>
      </c>
      <c r="AZ349" s="6240" t="str">
        <f t="shared" si="170"/>
        <v/>
      </c>
      <c r="BA349" s="6195">
        <f t="shared" si="175"/>
        <v>0</v>
      </c>
      <c r="BB349" s="6193" t="str">
        <f t="shared" si="171"/>
        <v/>
      </c>
      <c r="BC349" s="6219"/>
      <c r="BD349" s="6222">
        <f t="shared" si="176"/>
        <v>0</v>
      </c>
      <c r="BE349" s="6220" t="str">
        <f t="shared" si="172"/>
        <v/>
      </c>
      <c r="BF349" s="4" t="s">
        <v>1</v>
      </c>
      <c r="BG349" s="6196">
        <f t="shared" si="173"/>
        <v>0</v>
      </c>
      <c r="BH349" s="6197">
        <f t="shared" si="174"/>
        <v>0</v>
      </c>
      <c r="BI349"/>
      <c r="BJ349" s="1"/>
      <c r="BK349" s="1"/>
      <c r="BL349" s="1"/>
      <c r="BM349" s="1"/>
      <c r="BN349" s="1"/>
      <c r="BO349" s="1"/>
      <c r="BP349" s="1"/>
      <c r="BQ349" s="1"/>
      <c r="BX349" s="20" t="str">
        <f t="shared" si="155"/>
        <v>►</v>
      </c>
      <c r="BY349" s="2"/>
      <c r="BZ349" s="2"/>
      <c r="CA349" s="2"/>
      <c r="CB349" s="2"/>
      <c r="CC349" s="2"/>
      <c r="DC349" s="5">
        <v>1</v>
      </c>
    </row>
    <row r="350" spans="12:107" ht="21" customHeight="1">
      <c r="L350" s="1021" t="s">
        <v>26</v>
      </c>
      <c r="M350" s="6787"/>
      <c r="N350" s="6787"/>
      <c r="O350" s="6787"/>
      <c r="P350" s="6788"/>
      <c r="Q350" s="6789"/>
      <c r="R350" s="6790"/>
      <c r="S350" s="6786"/>
      <c r="T350" s="6791"/>
      <c r="U350" s="6844"/>
      <c r="V350" s="6791"/>
      <c r="W350" s="6785"/>
      <c r="X350" s="6868"/>
      <c r="Y350" s="6793"/>
      <c r="Z350" s="6794"/>
      <c r="AA350" s="6795"/>
      <c r="AB350" s="6796"/>
      <c r="AC350" s="6797"/>
      <c r="AD350" s="6798"/>
      <c r="AE350" s="4" t="s">
        <v>1</v>
      </c>
      <c r="AF350" s="6202" t="str">
        <f t="shared" si="156"/>
        <v>►</v>
      </c>
      <c r="AG350" s="6234" t="str">
        <f t="shared" si="157"/>
        <v/>
      </c>
      <c r="AH350" s="6732" t="str">
        <f t="shared" si="158"/>
        <v/>
      </c>
      <c r="AI350" s="6234" t="str">
        <f t="shared" si="159"/>
        <v/>
      </c>
      <c r="AJ350" s="6732" t="str">
        <f t="shared" si="160"/>
        <v/>
      </c>
      <c r="AK350" s="6732">
        <f t="shared" si="161"/>
        <v>0</v>
      </c>
      <c r="AL350" s="6230" t="str" cm="1">
        <f t="array" ref="AL350">IF(AF350&lt;&gt;"A","",IFERROR((IFERROR(_xlfn.XLOOKUP(TRIM(SUBSTITUTE(U350,CHAR(160)," ")),$BJ$15:$BJ$62,$BM$15:$BM$62),IFERROR(_xlfn.XLOOKUP(TRIM(SUBSTITUTE(U350,CHAR(160)," ")),$BK$15:$BK$62,$BM$15:$BM$62),_xlfn.XLOOKUP(TRIM(SUBSTITUTE(U350,CHAR(160)," ")),$BL$15:$BL$62,$BM$15:$BM$62))))*T350*IF(ISBLANK(Q350),1,Q350)+IFERROR(_xlfn.XLOOKUP("RECHERCHEX",TRIM(L350:AD350),L350:AD350),0),0))</f>
        <v/>
      </c>
      <c r="AM350" s="6229">
        <f t="shared" si="162"/>
        <v>0</v>
      </c>
      <c r="AN350" s="6857" t="str">
        <f t="shared" ref="AN350:AN413" si="177">IF(AF350="A","❾ Author reference &gt;","")</f>
        <v/>
      </c>
      <c r="AO350" s="392">
        <f t="shared" si="163"/>
        <v>0</v>
      </c>
      <c r="AP350" s="392">
        <f t="shared" si="164"/>
        <v>0</v>
      </c>
      <c r="AQ350" s="6190">
        <f t="shared" si="165"/>
        <v>0</v>
      </c>
      <c r="AR350" s="6858" t="str">
        <f t="shared" si="166"/>
        <v/>
      </c>
      <c r="AS350" s="6217"/>
      <c r="AT350" s="6217"/>
      <c r="AU350" s="6271">
        <f t="shared" si="167"/>
        <v>0</v>
      </c>
      <c r="AV350" s="6242">
        <f t="shared" si="168"/>
        <v>0</v>
      </c>
      <c r="AW350" s="6188" cm="1">
        <f t="array" ref="AW350">IF(AK350&lt;&gt;1,0,IF(OR(AU350="",N(AU350)&lt;=0.000000001),"",IF(OR(AO350="",N(AO350)&lt;=0.000000001),0,IF(ISNUMBER(AU350),IFERROR(_xlfn.LET(_xlpm.ai_test,TRIM(AJ350),_xlpm.r,IFERROR(_xlfn.XLOOKUP(_xlpm.ai_test,$BJ$15:$BJ$62,ROW($BJ$15:$BJ$62),0,1),IFERROR(_xlfn.XLOOKUP(_xlpm.ai_test,$BK$15:$BK$62,ROW($BK$15:$BK$62),0,1),_xlfn.XLOOKUP(_xlpm.ai_test,$BL$15:$BL$62,ROW($BL$15:$BL$62),0,1))),_xlpm.p,_xlpm.r-MIN(ROW($BJ$15:$BJ$62))+1,_xlpm.f,INDEX($BM$15:$BM$62,_xlpm.p),_xlpm.u,INDEX($BN$15:$BN$62,_xlpm.p),_xlpm.s,INDEX($BP$15:$BP$62,_xlpm.p),_xlpm.q,N(AU350)/_xlpm.f,IF(_xlpm.q&gt;=_xlpm.s,ROUND(_xlpm.q,1)&amp;" "&amp;_xlpm.ai_test&amp;" = "&amp;ROUND(_xlpm.q*_xlpm.f,1)&amp;" "&amp;_xlpm.u,ROUND(_xlpm.q,1)&amp;" "&amp;_xlpm.ai_test)),""),""))))</f>
        <v>0</v>
      </c>
      <c r="AX350" s="6218"/>
      <c r="AY350" s="6271">
        <f t="shared" si="169"/>
        <v>0</v>
      </c>
      <c r="AZ350" s="6242" t="str">
        <f t="shared" si="170"/>
        <v/>
      </c>
      <c r="BA350" s="6194">
        <f t="shared" si="175"/>
        <v>0</v>
      </c>
      <c r="BB350" s="6192" t="str">
        <f t="shared" si="171"/>
        <v/>
      </c>
      <c r="BC350" s="6219"/>
      <c r="BD350" s="6221">
        <f t="shared" si="176"/>
        <v>0</v>
      </c>
      <c r="BE350" s="6220" t="str">
        <f t="shared" si="172"/>
        <v/>
      </c>
      <c r="BF350" s="4" t="s">
        <v>1</v>
      </c>
      <c r="BG350" s="6196">
        <f t="shared" si="173"/>
        <v>0</v>
      </c>
      <c r="BH350" s="6197">
        <f t="shared" si="174"/>
        <v>0</v>
      </c>
      <c r="BI350"/>
      <c r="BJ350" s="1"/>
      <c r="BK350" s="1"/>
      <c r="BL350" s="1"/>
      <c r="BM350" s="1"/>
      <c r="BN350" s="1"/>
      <c r="BO350" s="1"/>
      <c r="BP350" s="1"/>
      <c r="BQ350" s="1"/>
      <c r="BX350" s="20" t="str">
        <f t="shared" si="155"/>
        <v>►</v>
      </c>
      <c r="BY350" s="2"/>
      <c r="BZ350" s="2"/>
      <c r="CA350" s="2"/>
      <c r="CB350" s="2"/>
      <c r="CC350" s="2"/>
      <c r="DC350" s="5">
        <v>1</v>
      </c>
    </row>
    <row r="351" spans="12:107" ht="21" customHeight="1">
      <c r="L351" s="1021" t="s">
        <v>26</v>
      </c>
      <c r="M351" s="6787"/>
      <c r="N351" s="6787"/>
      <c r="O351" s="6787"/>
      <c r="P351" s="6788"/>
      <c r="Q351" s="6789"/>
      <c r="R351" s="6790"/>
      <c r="S351" s="6786"/>
      <c r="T351" s="6791"/>
      <c r="U351" s="6844"/>
      <c r="V351" s="6791"/>
      <c r="W351" s="6785"/>
      <c r="X351" s="6868"/>
      <c r="Y351" s="6793"/>
      <c r="Z351" s="6794"/>
      <c r="AA351" s="6795"/>
      <c r="AB351" s="6796"/>
      <c r="AC351" s="6797"/>
      <c r="AD351" s="6798"/>
      <c r="AE351" s="4" t="s">
        <v>1</v>
      </c>
      <c r="AF351" s="6202" t="str">
        <f t="shared" si="156"/>
        <v>►</v>
      </c>
      <c r="AG351" s="6234" t="str">
        <f t="shared" si="157"/>
        <v/>
      </c>
      <c r="AH351" s="6732" t="str">
        <f t="shared" si="158"/>
        <v/>
      </c>
      <c r="AI351" s="6234" t="str">
        <f t="shared" si="159"/>
        <v/>
      </c>
      <c r="AJ351" s="6732" t="str">
        <f t="shared" si="160"/>
        <v/>
      </c>
      <c r="AK351" s="6732">
        <f t="shared" si="161"/>
        <v>0</v>
      </c>
      <c r="AL351" s="6230" t="str" cm="1">
        <f t="array" ref="AL351">IF(AF351&lt;&gt;"A","",IFERROR((IFERROR(_xlfn.XLOOKUP(TRIM(SUBSTITUTE(U351,CHAR(160)," ")),$BJ$15:$BJ$62,$BM$15:$BM$62),IFERROR(_xlfn.XLOOKUP(TRIM(SUBSTITUTE(U351,CHAR(160)," ")),$BK$15:$BK$62,$BM$15:$BM$62),_xlfn.XLOOKUP(TRIM(SUBSTITUTE(U351,CHAR(160)," ")),$BL$15:$BL$62,$BM$15:$BM$62))))*T351*IF(ISBLANK(Q351),1,Q351)+IFERROR(_xlfn.XLOOKUP("RECHERCHEX",TRIM(L351:AD351),L351:AD351),0),0))</f>
        <v/>
      </c>
      <c r="AM351" s="6229">
        <f t="shared" si="162"/>
        <v>0</v>
      </c>
      <c r="AN351" s="6857" t="str">
        <f t="shared" si="177"/>
        <v/>
      </c>
      <c r="AO351" s="392">
        <f t="shared" si="163"/>
        <v>0</v>
      </c>
      <c r="AP351" s="392">
        <f t="shared" si="164"/>
        <v>0</v>
      </c>
      <c r="AQ351" s="6191">
        <f t="shared" si="165"/>
        <v>0</v>
      </c>
      <c r="AR351" s="6859" t="str">
        <f t="shared" si="166"/>
        <v/>
      </c>
      <c r="AS351" s="6217"/>
      <c r="AT351" s="6217"/>
      <c r="AU351" s="6272">
        <f t="shared" si="167"/>
        <v>0</v>
      </c>
      <c r="AV351" s="6240">
        <f t="shared" si="168"/>
        <v>0</v>
      </c>
      <c r="AW351" s="6189" cm="1">
        <f t="array" ref="AW351">IF(AK351&lt;&gt;1,0,IF(OR(AU351="",N(AU351)&lt;=0.000000001),"",IF(OR(AO351="",N(AO351)&lt;=0.000000001),0,IF(ISNUMBER(AU351),IFERROR(_xlfn.LET(_xlpm.ai_test,TRIM(AJ351),_xlpm.r,IFERROR(_xlfn.XLOOKUP(_xlpm.ai_test,$BJ$15:$BJ$62,ROW($BJ$15:$BJ$62),0,1),IFERROR(_xlfn.XLOOKUP(_xlpm.ai_test,$BK$15:$BK$62,ROW($BK$15:$BK$62),0,1),_xlfn.XLOOKUP(_xlpm.ai_test,$BL$15:$BL$62,ROW($BL$15:$BL$62),0,1))),_xlpm.p,_xlpm.r-MIN(ROW($BJ$15:$BJ$62))+1,_xlpm.f,INDEX($BM$15:$BM$62,_xlpm.p),_xlpm.u,INDEX($BN$15:$BN$62,_xlpm.p),_xlpm.s,INDEX($BP$15:$BP$62,_xlpm.p),_xlpm.q,N(AU351)/_xlpm.f,IF(_xlpm.q&gt;=_xlpm.s,ROUND(_xlpm.q,1)&amp;" "&amp;_xlpm.ai_test&amp;" = "&amp;ROUND(_xlpm.q*_xlpm.f,1)&amp;" "&amp;_xlpm.u,ROUND(_xlpm.q,1)&amp;" "&amp;_xlpm.ai_test)),""),""))))</f>
        <v>0</v>
      </c>
      <c r="AX351" s="6218"/>
      <c r="AY351" s="6272">
        <f t="shared" si="169"/>
        <v>0</v>
      </c>
      <c r="AZ351" s="6240" t="str">
        <f t="shared" si="170"/>
        <v/>
      </c>
      <c r="BA351" s="6195">
        <f t="shared" si="175"/>
        <v>0</v>
      </c>
      <c r="BB351" s="6193" t="str">
        <f t="shared" si="171"/>
        <v/>
      </c>
      <c r="BC351" s="6219"/>
      <c r="BD351" s="6222">
        <f t="shared" si="176"/>
        <v>0</v>
      </c>
      <c r="BE351" s="6220" t="str">
        <f t="shared" si="172"/>
        <v/>
      </c>
      <c r="BF351" s="4" t="s">
        <v>1</v>
      </c>
      <c r="BG351" s="6196">
        <f t="shared" si="173"/>
        <v>0</v>
      </c>
      <c r="BH351" s="6197">
        <f t="shared" si="174"/>
        <v>0</v>
      </c>
      <c r="BI351"/>
      <c r="BJ351" s="1"/>
      <c r="BK351" s="1"/>
      <c r="BL351" s="1"/>
      <c r="BM351" s="1"/>
      <c r="BN351" s="1"/>
      <c r="BO351" s="1"/>
      <c r="BP351" s="1"/>
      <c r="BQ351" s="1"/>
      <c r="BX351" s="20" t="str">
        <f t="shared" si="155"/>
        <v>►</v>
      </c>
      <c r="BY351" s="2"/>
      <c r="BZ351" s="2"/>
      <c r="CA351" s="2"/>
      <c r="CB351" s="2"/>
      <c r="CC351" s="2"/>
      <c r="DC351" s="5">
        <v>1</v>
      </c>
    </row>
    <row r="352" spans="12:107" ht="21" customHeight="1">
      <c r="L352" s="1021" t="s">
        <v>26</v>
      </c>
      <c r="M352" s="6787"/>
      <c r="N352" s="6787"/>
      <c r="O352" s="6787"/>
      <c r="P352" s="6788"/>
      <c r="Q352" s="6789"/>
      <c r="R352" s="6790"/>
      <c r="S352" s="6786"/>
      <c r="T352" s="6791"/>
      <c r="U352" s="6844"/>
      <c r="V352" s="6791"/>
      <c r="W352" s="6785"/>
      <c r="X352" s="6868"/>
      <c r="Y352" s="6793"/>
      <c r="Z352" s="6794"/>
      <c r="AA352" s="6795"/>
      <c r="AB352" s="6796"/>
      <c r="AC352" s="6797"/>
      <c r="AD352" s="6798"/>
      <c r="AE352" s="4" t="s">
        <v>1</v>
      </c>
      <c r="AF352" s="6202" t="str">
        <f t="shared" si="156"/>
        <v>►</v>
      </c>
      <c r="AG352" s="6234" t="str">
        <f t="shared" si="157"/>
        <v/>
      </c>
      <c r="AH352" s="6732" t="str">
        <f t="shared" si="158"/>
        <v/>
      </c>
      <c r="AI352" s="6234" t="str">
        <f t="shared" si="159"/>
        <v/>
      </c>
      <c r="AJ352" s="6732" t="str">
        <f t="shared" si="160"/>
        <v/>
      </c>
      <c r="AK352" s="6732">
        <f t="shared" si="161"/>
        <v>0</v>
      </c>
      <c r="AL352" s="6230" t="str" cm="1">
        <f t="array" ref="AL352">IF(AF352&lt;&gt;"A","",IFERROR((IFERROR(_xlfn.XLOOKUP(TRIM(SUBSTITUTE(U352,CHAR(160)," ")),$BJ$15:$BJ$62,$BM$15:$BM$62),IFERROR(_xlfn.XLOOKUP(TRIM(SUBSTITUTE(U352,CHAR(160)," ")),$BK$15:$BK$62,$BM$15:$BM$62),_xlfn.XLOOKUP(TRIM(SUBSTITUTE(U352,CHAR(160)," ")),$BL$15:$BL$62,$BM$15:$BM$62))))*T352*IF(ISBLANK(Q352),1,Q352)+IFERROR(_xlfn.XLOOKUP("RECHERCHEX",TRIM(L352:AD352),L352:AD352),0),0))</f>
        <v/>
      </c>
      <c r="AM352" s="6229">
        <f t="shared" si="162"/>
        <v>0</v>
      </c>
      <c r="AN352" s="6857" t="str">
        <f t="shared" si="177"/>
        <v/>
      </c>
      <c r="AO352" s="392">
        <f t="shared" si="163"/>
        <v>0</v>
      </c>
      <c r="AP352" s="392">
        <f t="shared" si="164"/>
        <v>0</v>
      </c>
      <c r="AQ352" s="6190">
        <f t="shared" si="165"/>
        <v>0</v>
      </c>
      <c r="AR352" s="6858" t="str">
        <f t="shared" si="166"/>
        <v/>
      </c>
      <c r="AS352" s="6217"/>
      <c r="AT352" s="6217"/>
      <c r="AU352" s="6271">
        <f t="shared" si="167"/>
        <v>0</v>
      </c>
      <c r="AV352" s="6242">
        <f t="shared" si="168"/>
        <v>0</v>
      </c>
      <c r="AW352" s="6188" cm="1">
        <f t="array" ref="AW352">IF(AK352&lt;&gt;1,0,IF(OR(AU352="",N(AU352)&lt;=0.000000001),"",IF(OR(AO352="",N(AO352)&lt;=0.000000001),0,IF(ISNUMBER(AU352),IFERROR(_xlfn.LET(_xlpm.ai_test,TRIM(AJ352),_xlpm.r,IFERROR(_xlfn.XLOOKUP(_xlpm.ai_test,$BJ$15:$BJ$62,ROW($BJ$15:$BJ$62),0,1),IFERROR(_xlfn.XLOOKUP(_xlpm.ai_test,$BK$15:$BK$62,ROW($BK$15:$BK$62),0,1),_xlfn.XLOOKUP(_xlpm.ai_test,$BL$15:$BL$62,ROW($BL$15:$BL$62),0,1))),_xlpm.p,_xlpm.r-MIN(ROW($BJ$15:$BJ$62))+1,_xlpm.f,INDEX($BM$15:$BM$62,_xlpm.p),_xlpm.u,INDEX($BN$15:$BN$62,_xlpm.p),_xlpm.s,INDEX($BP$15:$BP$62,_xlpm.p),_xlpm.q,N(AU352)/_xlpm.f,IF(_xlpm.q&gt;=_xlpm.s,ROUND(_xlpm.q,1)&amp;" "&amp;_xlpm.ai_test&amp;" = "&amp;ROUND(_xlpm.q*_xlpm.f,1)&amp;" "&amp;_xlpm.u,ROUND(_xlpm.q,1)&amp;" "&amp;_xlpm.ai_test)),""),""))))</f>
        <v>0</v>
      </c>
      <c r="AX352" s="6218"/>
      <c r="AY352" s="6271">
        <f t="shared" si="169"/>
        <v>0</v>
      </c>
      <c r="AZ352" s="6242" t="str">
        <f t="shared" si="170"/>
        <v/>
      </c>
      <c r="BA352" s="6194">
        <f t="shared" si="175"/>
        <v>0</v>
      </c>
      <c r="BB352" s="6192" t="str">
        <f t="shared" si="171"/>
        <v/>
      </c>
      <c r="BC352" s="6219"/>
      <c r="BD352" s="6221">
        <f t="shared" si="176"/>
        <v>0</v>
      </c>
      <c r="BE352" s="6220" t="str">
        <f t="shared" si="172"/>
        <v/>
      </c>
      <c r="BF352" s="4" t="s">
        <v>1</v>
      </c>
      <c r="BG352" s="6196">
        <f t="shared" si="173"/>
        <v>0</v>
      </c>
      <c r="BH352" s="6197">
        <f t="shared" si="174"/>
        <v>0</v>
      </c>
      <c r="BI352"/>
      <c r="BJ352" s="1"/>
      <c r="BK352" s="1"/>
      <c r="BL352" s="1"/>
      <c r="BM352" s="1"/>
      <c r="BN352" s="1"/>
      <c r="BO352" s="1"/>
      <c r="BP352" s="1"/>
      <c r="BQ352" s="1"/>
      <c r="BX352" s="20" t="str">
        <f t="shared" si="155"/>
        <v>►</v>
      </c>
      <c r="BY352" s="2"/>
      <c r="BZ352" s="2"/>
      <c r="CA352" s="2"/>
      <c r="CB352" s="2"/>
      <c r="CC352" s="2"/>
      <c r="DC352" s="5">
        <v>1</v>
      </c>
    </row>
    <row r="353" spans="12:107" ht="21" customHeight="1">
      <c r="L353" s="1021" t="s">
        <v>26</v>
      </c>
      <c r="M353" s="6787"/>
      <c r="N353" s="6787"/>
      <c r="O353" s="6787"/>
      <c r="P353" s="6788"/>
      <c r="Q353" s="6789"/>
      <c r="R353" s="6790"/>
      <c r="S353" s="6786"/>
      <c r="T353" s="6791"/>
      <c r="U353" s="6844"/>
      <c r="V353" s="6791"/>
      <c r="W353" s="6785"/>
      <c r="X353" s="6868"/>
      <c r="Y353" s="6793"/>
      <c r="Z353" s="6794"/>
      <c r="AA353" s="6795"/>
      <c r="AB353" s="6796"/>
      <c r="AC353" s="6797"/>
      <c r="AD353" s="6798"/>
      <c r="AE353" s="4" t="s">
        <v>1</v>
      </c>
      <c r="AF353" s="6202" t="str">
        <f t="shared" si="156"/>
        <v>►</v>
      </c>
      <c r="AG353" s="6234" t="str">
        <f t="shared" si="157"/>
        <v/>
      </c>
      <c r="AH353" s="6732" t="str">
        <f t="shared" si="158"/>
        <v/>
      </c>
      <c r="AI353" s="6234" t="str">
        <f t="shared" si="159"/>
        <v/>
      </c>
      <c r="AJ353" s="6732" t="str">
        <f t="shared" si="160"/>
        <v/>
      </c>
      <c r="AK353" s="6732">
        <f t="shared" si="161"/>
        <v>0</v>
      </c>
      <c r="AL353" s="6230" t="str" cm="1">
        <f t="array" ref="AL353">IF(AF353&lt;&gt;"A","",IFERROR((IFERROR(_xlfn.XLOOKUP(TRIM(SUBSTITUTE(U353,CHAR(160)," ")),$BJ$15:$BJ$62,$BM$15:$BM$62),IFERROR(_xlfn.XLOOKUP(TRIM(SUBSTITUTE(U353,CHAR(160)," ")),$BK$15:$BK$62,$BM$15:$BM$62),_xlfn.XLOOKUP(TRIM(SUBSTITUTE(U353,CHAR(160)," ")),$BL$15:$BL$62,$BM$15:$BM$62))))*T353*IF(ISBLANK(Q353),1,Q353)+IFERROR(_xlfn.XLOOKUP("RECHERCHEX",TRIM(L353:AD353),L353:AD353),0),0))</f>
        <v/>
      </c>
      <c r="AM353" s="6229">
        <f t="shared" si="162"/>
        <v>0</v>
      </c>
      <c r="AN353" s="6857" t="str">
        <f t="shared" si="177"/>
        <v/>
      </c>
      <c r="AO353" s="392">
        <f t="shared" si="163"/>
        <v>0</v>
      </c>
      <c r="AP353" s="392">
        <f t="shared" si="164"/>
        <v>0</v>
      </c>
      <c r="AQ353" s="6191">
        <f t="shared" si="165"/>
        <v>0</v>
      </c>
      <c r="AR353" s="6859" t="str">
        <f t="shared" si="166"/>
        <v/>
      </c>
      <c r="AS353" s="6217"/>
      <c r="AT353" s="6217"/>
      <c r="AU353" s="6272">
        <f t="shared" si="167"/>
        <v>0</v>
      </c>
      <c r="AV353" s="6240">
        <f t="shared" si="168"/>
        <v>0</v>
      </c>
      <c r="AW353" s="6189" cm="1">
        <f t="array" ref="AW353">IF(AK353&lt;&gt;1,0,IF(OR(AU353="",N(AU353)&lt;=0.000000001),"",IF(OR(AO353="",N(AO353)&lt;=0.000000001),0,IF(ISNUMBER(AU353),IFERROR(_xlfn.LET(_xlpm.ai_test,TRIM(AJ353),_xlpm.r,IFERROR(_xlfn.XLOOKUP(_xlpm.ai_test,$BJ$15:$BJ$62,ROW($BJ$15:$BJ$62),0,1),IFERROR(_xlfn.XLOOKUP(_xlpm.ai_test,$BK$15:$BK$62,ROW($BK$15:$BK$62),0,1),_xlfn.XLOOKUP(_xlpm.ai_test,$BL$15:$BL$62,ROW($BL$15:$BL$62),0,1))),_xlpm.p,_xlpm.r-MIN(ROW($BJ$15:$BJ$62))+1,_xlpm.f,INDEX($BM$15:$BM$62,_xlpm.p),_xlpm.u,INDEX($BN$15:$BN$62,_xlpm.p),_xlpm.s,INDEX($BP$15:$BP$62,_xlpm.p),_xlpm.q,N(AU353)/_xlpm.f,IF(_xlpm.q&gt;=_xlpm.s,ROUND(_xlpm.q,1)&amp;" "&amp;_xlpm.ai_test&amp;" = "&amp;ROUND(_xlpm.q*_xlpm.f,1)&amp;" "&amp;_xlpm.u,ROUND(_xlpm.q,1)&amp;" "&amp;_xlpm.ai_test)),""),""))))</f>
        <v>0</v>
      </c>
      <c r="AX353" s="6218"/>
      <c r="AY353" s="6272">
        <f t="shared" si="169"/>
        <v>0</v>
      </c>
      <c r="AZ353" s="6240" t="str">
        <f t="shared" si="170"/>
        <v/>
      </c>
      <c r="BA353" s="6195">
        <f t="shared" si="175"/>
        <v>0</v>
      </c>
      <c r="BB353" s="6193" t="str">
        <f t="shared" si="171"/>
        <v/>
      </c>
      <c r="BC353" s="6219"/>
      <c r="BD353" s="6222">
        <f t="shared" si="176"/>
        <v>0</v>
      </c>
      <c r="BE353" s="6220" t="str">
        <f t="shared" si="172"/>
        <v/>
      </c>
      <c r="BF353" s="4" t="s">
        <v>1</v>
      </c>
      <c r="BG353" s="6196">
        <f t="shared" si="173"/>
        <v>0</v>
      </c>
      <c r="BH353" s="6197">
        <f t="shared" si="174"/>
        <v>0</v>
      </c>
      <c r="BI353"/>
      <c r="BJ353" s="1"/>
      <c r="BK353" s="1"/>
      <c r="BL353" s="1"/>
      <c r="BM353" s="1"/>
      <c r="BN353" s="1"/>
      <c r="BO353" s="1"/>
      <c r="BP353" s="1"/>
      <c r="BQ353" s="1"/>
      <c r="BX353" s="20" t="str">
        <f t="shared" si="155"/>
        <v>►</v>
      </c>
      <c r="BY353" s="2"/>
      <c r="BZ353" s="2"/>
      <c r="CA353" s="2"/>
      <c r="CB353" s="2"/>
      <c r="CC353" s="2"/>
      <c r="DC353" s="5">
        <v>1</v>
      </c>
    </row>
    <row r="354" spans="12:107" ht="21" customHeight="1">
      <c r="L354" s="1021" t="s">
        <v>26</v>
      </c>
      <c r="M354" s="6787"/>
      <c r="N354" s="6787"/>
      <c r="O354" s="6787"/>
      <c r="P354" s="6788"/>
      <c r="Q354" s="6789"/>
      <c r="R354" s="6790"/>
      <c r="S354" s="6786"/>
      <c r="T354" s="6791"/>
      <c r="U354" s="6844"/>
      <c r="V354" s="6791"/>
      <c r="W354" s="6785"/>
      <c r="X354" s="6868"/>
      <c r="Y354" s="6793"/>
      <c r="Z354" s="6794"/>
      <c r="AA354" s="6795"/>
      <c r="AB354" s="6796"/>
      <c r="AC354" s="6797"/>
      <c r="AD354" s="6798"/>
      <c r="AE354" s="4" t="s">
        <v>1</v>
      </c>
      <c r="AF354" s="6202" t="str">
        <f t="shared" si="156"/>
        <v>►</v>
      </c>
      <c r="AG354" s="6234" t="str">
        <f t="shared" si="157"/>
        <v/>
      </c>
      <c r="AH354" s="6732" t="str">
        <f t="shared" si="158"/>
        <v/>
      </c>
      <c r="AI354" s="6234" t="str">
        <f t="shared" si="159"/>
        <v/>
      </c>
      <c r="AJ354" s="6732" t="str">
        <f t="shared" si="160"/>
        <v/>
      </c>
      <c r="AK354" s="6732">
        <f t="shared" si="161"/>
        <v>0</v>
      </c>
      <c r="AL354" s="6230" t="str" cm="1">
        <f t="array" ref="AL354">IF(AF354&lt;&gt;"A","",IFERROR((IFERROR(_xlfn.XLOOKUP(TRIM(SUBSTITUTE(U354,CHAR(160)," ")),$BJ$15:$BJ$62,$BM$15:$BM$62),IFERROR(_xlfn.XLOOKUP(TRIM(SUBSTITUTE(U354,CHAR(160)," ")),$BK$15:$BK$62,$BM$15:$BM$62),_xlfn.XLOOKUP(TRIM(SUBSTITUTE(U354,CHAR(160)," ")),$BL$15:$BL$62,$BM$15:$BM$62))))*T354*IF(ISBLANK(Q354),1,Q354)+IFERROR(_xlfn.XLOOKUP("RECHERCHEX",TRIM(L354:AD354),L354:AD354),0),0))</f>
        <v/>
      </c>
      <c r="AM354" s="6229">
        <f t="shared" si="162"/>
        <v>0</v>
      </c>
      <c r="AN354" s="6857" t="str">
        <f t="shared" si="177"/>
        <v/>
      </c>
      <c r="AO354" s="392">
        <f t="shared" si="163"/>
        <v>0</v>
      </c>
      <c r="AP354" s="392">
        <f t="shared" si="164"/>
        <v>0</v>
      </c>
      <c r="AQ354" s="6190">
        <f t="shared" si="165"/>
        <v>0</v>
      </c>
      <c r="AR354" s="6858" t="str">
        <f t="shared" si="166"/>
        <v/>
      </c>
      <c r="AS354" s="6217"/>
      <c r="AT354" s="6217"/>
      <c r="AU354" s="6271">
        <f t="shared" si="167"/>
        <v>0</v>
      </c>
      <c r="AV354" s="6242">
        <f t="shared" si="168"/>
        <v>0</v>
      </c>
      <c r="AW354" s="6188" cm="1">
        <f t="array" ref="AW354">IF(AK354&lt;&gt;1,0,IF(OR(AU354="",N(AU354)&lt;=0.000000001),"",IF(OR(AO354="",N(AO354)&lt;=0.000000001),0,IF(ISNUMBER(AU354),IFERROR(_xlfn.LET(_xlpm.ai_test,TRIM(AJ354),_xlpm.r,IFERROR(_xlfn.XLOOKUP(_xlpm.ai_test,$BJ$15:$BJ$62,ROW($BJ$15:$BJ$62),0,1),IFERROR(_xlfn.XLOOKUP(_xlpm.ai_test,$BK$15:$BK$62,ROW($BK$15:$BK$62),0,1),_xlfn.XLOOKUP(_xlpm.ai_test,$BL$15:$BL$62,ROW($BL$15:$BL$62),0,1))),_xlpm.p,_xlpm.r-MIN(ROW($BJ$15:$BJ$62))+1,_xlpm.f,INDEX($BM$15:$BM$62,_xlpm.p),_xlpm.u,INDEX($BN$15:$BN$62,_xlpm.p),_xlpm.s,INDEX($BP$15:$BP$62,_xlpm.p),_xlpm.q,N(AU354)/_xlpm.f,IF(_xlpm.q&gt;=_xlpm.s,ROUND(_xlpm.q,1)&amp;" "&amp;_xlpm.ai_test&amp;" = "&amp;ROUND(_xlpm.q*_xlpm.f,1)&amp;" "&amp;_xlpm.u,ROUND(_xlpm.q,1)&amp;" "&amp;_xlpm.ai_test)),""),""))))</f>
        <v>0</v>
      </c>
      <c r="AX354" s="6218"/>
      <c r="AY354" s="6271">
        <f t="shared" si="169"/>
        <v>0</v>
      </c>
      <c r="AZ354" s="6242" t="str">
        <f t="shared" si="170"/>
        <v/>
      </c>
      <c r="BA354" s="6194">
        <f t="shared" si="175"/>
        <v>0</v>
      </c>
      <c r="BB354" s="6192" t="str">
        <f t="shared" si="171"/>
        <v/>
      </c>
      <c r="BC354" s="6219"/>
      <c r="BD354" s="6221">
        <f t="shared" si="176"/>
        <v>0</v>
      </c>
      <c r="BE354" s="6220" t="str">
        <f t="shared" si="172"/>
        <v/>
      </c>
      <c r="BF354" s="4" t="s">
        <v>1</v>
      </c>
      <c r="BG354" s="6196">
        <f t="shared" si="173"/>
        <v>0</v>
      </c>
      <c r="BH354" s="6197">
        <f t="shared" si="174"/>
        <v>0</v>
      </c>
      <c r="BI354"/>
      <c r="BJ354" s="1"/>
      <c r="BK354" s="1"/>
      <c r="BL354" s="1"/>
      <c r="BM354" s="1"/>
      <c r="BN354" s="1"/>
      <c r="BO354" s="1"/>
      <c r="BP354" s="1"/>
      <c r="BQ354" s="1"/>
      <c r="BX354" s="20" t="str">
        <f t="shared" si="155"/>
        <v>►</v>
      </c>
      <c r="BY354" s="2"/>
      <c r="BZ354" s="2"/>
      <c r="CA354" s="2"/>
      <c r="CB354" s="2"/>
      <c r="CC354" s="2"/>
      <c r="DC354" s="5">
        <v>1</v>
      </c>
    </row>
    <row r="355" spans="12:107" ht="21" customHeight="1">
      <c r="L355" s="1021" t="s">
        <v>26</v>
      </c>
      <c r="M355" s="6787"/>
      <c r="N355" s="6787"/>
      <c r="O355" s="6787"/>
      <c r="P355" s="6788"/>
      <c r="Q355" s="6789"/>
      <c r="R355" s="6790"/>
      <c r="S355" s="6786"/>
      <c r="T355" s="6791"/>
      <c r="U355" s="6844"/>
      <c r="V355" s="6791"/>
      <c r="W355" s="6785"/>
      <c r="X355" s="6868"/>
      <c r="Y355" s="6793"/>
      <c r="Z355" s="6794"/>
      <c r="AA355" s="6795"/>
      <c r="AB355" s="6796"/>
      <c r="AC355" s="6797"/>
      <c r="AD355" s="6798"/>
      <c r="AE355" s="4" t="s">
        <v>1</v>
      </c>
      <c r="AF355" s="6202" t="str">
        <f t="shared" si="156"/>
        <v>►</v>
      </c>
      <c r="AG355" s="6234" t="str">
        <f t="shared" si="157"/>
        <v/>
      </c>
      <c r="AH355" s="6732" t="str">
        <f t="shared" si="158"/>
        <v/>
      </c>
      <c r="AI355" s="6234" t="str">
        <f t="shared" si="159"/>
        <v/>
      </c>
      <c r="AJ355" s="6732" t="str">
        <f t="shared" si="160"/>
        <v/>
      </c>
      <c r="AK355" s="6732">
        <f t="shared" si="161"/>
        <v>0</v>
      </c>
      <c r="AL355" s="6230" t="str" cm="1">
        <f t="array" ref="AL355">IF(AF355&lt;&gt;"A","",IFERROR((IFERROR(_xlfn.XLOOKUP(TRIM(SUBSTITUTE(U355,CHAR(160)," ")),$BJ$15:$BJ$62,$BM$15:$BM$62),IFERROR(_xlfn.XLOOKUP(TRIM(SUBSTITUTE(U355,CHAR(160)," ")),$BK$15:$BK$62,$BM$15:$BM$62),_xlfn.XLOOKUP(TRIM(SUBSTITUTE(U355,CHAR(160)," ")),$BL$15:$BL$62,$BM$15:$BM$62))))*T355*IF(ISBLANK(Q355),1,Q355)+IFERROR(_xlfn.XLOOKUP("RECHERCHEX",TRIM(L355:AD355),L355:AD355),0),0))</f>
        <v/>
      </c>
      <c r="AM355" s="6229">
        <f t="shared" si="162"/>
        <v>0</v>
      </c>
      <c r="AN355" s="6857" t="str">
        <f t="shared" si="177"/>
        <v/>
      </c>
      <c r="AO355" s="392">
        <f t="shared" si="163"/>
        <v>0</v>
      </c>
      <c r="AP355" s="392">
        <f t="shared" si="164"/>
        <v>0</v>
      </c>
      <c r="AQ355" s="6191">
        <f t="shared" si="165"/>
        <v>0</v>
      </c>
      <c r="AR355" s="6859" t="str">
        <f t="shared" si="166"/>
        <v/>
      </c>
      <c r="AS355" s="6217"/>
      <c r="AT355" s="6217"/>
      <c r="AU355" s="6272">
        <f t="shared" si="167"/>
        <v>0</v>
      </c>
      <c r="AV355" s="6240">
        <f t="shared" si="168"/>
        <v>0</v>
      </c>
      <c r="AW355" s="6189" cm="1">
        <f t="array" ref="AW355">IF(AK355&lt;&gt;1,0,IF(OR(AU355="",N(AU355)&lt;=0.000000001),"",IF(OR(AO355="",N(AO355)&lt;=0.000000001),0,IF(ISNUMBER(AU355),IFERROR(_xlfn.LET(_xlpm.ai_test,TRIM(AJ355),_xlpm.r,IFERROR(_xlfn.XLOOKUP(_xlpm.ai_test,$BJ$15:$BJ$62,ROW($BJ$15:$BJ$62),0,1),IFERROR(_xlfn.XLOOKUP(_xlpm.ai_test,$BK$15:$BK$62,ROW($BK$15:$BK$62),0,1),_xlfn.XLOOKUP(_xlpm.ai_test,$BL$15:$BL$62,ROW($BL$15:$BL$62),0,1))),_xlpm.p,_xlpm.r-MIN(ROW($BJ$15:$BJ$62))+1,_xlpm.f,INDEX($BM$15:$BM$62,_xlpm.p),_xlpm.u,INDEX($BN$15:$BN$62,_xlpm.p),_xlpm.s,INDEX($BP$15:$BP$62,_xlpm.p),_xlpm.q,N(AU355)/_xlpm.f,IF(_xlpm.q&gt;=_xlpm.s,ROUND(_xlpm.q,1)&amp;" "&amp;_xlpm.ai_test&amp;" = "&amp;ROUND(_xlpm.q*_xlpm.f,1)&amp;" "&amp;_xlpm.u,ROUND(_xlpm.q,1)&amp;" "&amp;_xlpm.ai_test)),""),""))))</f>
        <v>0</v>
      </c>
      <c r="AX355" s="6218"/>
      <c r="AY355" s="6272">
        <f t="shared" si="169"/>
        <v>0</v>
      </c>
      <c r="AZ355" s="6240" t="str">
        <f t="shared" si="170"/>
        <v/>
      </c>
      <c r="BA355" s="6195">
        <f t="shared" si="175"/>
        <v>0</v>
      </c>
      <c r="BB355" s="6193" t="str">
        <f t="shared" si="171"/>
        <v/>
      </c>
      <c r="BC355" s="6219"/>
      <c r="BD355" s="6222">
        <f t="shared" si="176"/>
        <v>0</v>
      </c>
      <c r="BE355" s="6220" t="str">
        <f t="shared" si="172"/>
        <v/>
      </c>
      <c r="BF355" s="4" t="s">
        <v>1</v>
      </c>
      <c r="BG355" s="6196">
        <f t="shared" si="173"/>
        <v>0</v>
      </c>
      <c r="BH355" s="6197">
        <f t="shared" si="174"/>
        <v>0</v>
      </c>
      <c r="BI355"/>
      <c r="BJ355" s="1"/>
      <c r="BK355" s="1"/>
      <c r="BL355" s="1"/>
      <c r="BM355" s="1"/>
      <c r="BN355" s="1"/>
      <c r="BO355" s="1"/>
      <c r="BP355" s="1"/>
      <c r="BQ355" s="1"/>
      <c r="BX355" s="20" t="str">
        <f t="shared" si="155"/>
        <v>►</v>
      </c>
      <c r="BY355" s="2"/>
      <c r="BZ355" s="2"/>
      <c r="CA355" s="2"/>
      <c r="CB355" s="2"/>
      <c r="CC355" s="2"/>
      <c r="DC355" s="5">
        <v>1</v>
      </c>
    </row>
    <row r="356" spans="12:107" ht="21" customHeight="1">
      <c r="L356" s="1021" t="s">
        <v>26</v>
      </c>
      <c r="M356" s="6787"/>
      <c r="N356" s="6787"/>
      <c r="O356" s="6787"/>
      <c r="P356" s="6788"/>
      <c r="Q356" s="6789"/>
      <c r="R356" s="6790"/>
      <c r="S356" s="6786"/>
      <c r="T356" s="6791"/>
      <c r="U356" s="6844"/>
      <c r="V356" s="6791"/>
      <c r="W356" s="6785"/>
      <c r="X356" s="6868"/>
      <c r="Y356" s="6793"/>
      <c r="Z356" s="6794"/>
      <c r="AA356" s="6795"/>
      <c r="AB356" s="6796"/>
      <c r="AC356" s="6797"/>
      <c r="AD356" s="6798"/>
      <c r="AE356" s="4" t="s">
        <v>1</v>
      </c>
      <c r="AF356" s="6202" t="str">
        <f t="shared" si="156"/>
        <v>►</v>
      </c>
      <c r="AG356" s="6234" t="str">
        <f t="shared" si="157"/>
        <v/>
      </c>
      <c r="AH356" s="6732" t="str">
        <f t="shared" si="158"/>
        <v/>
      </c>
      <c r="AI356" s="6234" t="str">
        <f t="shared" si="159"/>
        <v/>
      </c>
      <c r="AJ356" s="6732" t="str">
        <f t="shared" si="160"/>
        <v/>
      </c>
      <c r="AK356" s="6732">
        <f t="shared" si="161"/>
        <v>0</v>
      </c>
      <c r="AL356" s="6230" t="str" cm="1">
        <f t="array" ref="AL356">IF(AF356&lt;&gt;"A","",IFERROR((IFERROR(_xlfn.XLOOKUP(TRIM(SUBSTITUTE(U356,CHAR(160)," ")),$BJ$15:$BJ$62,$BM$15:$BM$62),IFERROR(_xlfn.XLOOKUP(TRIM(SUBSTITUTE(U356,CHAR(160)," ")),$BK$15:$BK$62,$BM$15:$BM$62),_xlfn.XLOOKUP(TRIM(SUBSTITUTE(U356,CHAR(160)," ")),$BL$15:$BL$62,$BM$15:$BM$62))))*T356*IF(ISBLANK(Q356),1,Q356)+IFERROR(_xlfn.XLOOKUP("RECHERCHEX",TRIM(L356:AD356),L356:AD356),0),0))</f>
        <v/>
      </c>
      <c r="AM356" s="6229">
        <f t="shared" si="162"/>
        <v>0</v>
      </c>
      <c r="AN356" s="6857" t="str">
        <f t="shared" si="177"/>
        <v/>
      </c>
      <c r="AO356" s="392">
        <f t="shared" si="163"/>
        <v>0</v>
      </c>
      <c r="AP356" s="392">
        <f t="shared" si="164"/>
        <v>0</v>
      </c>
      <c r="AQ356" s="6190">
        <f t="shared" si="165"/>
        <v>0</v>
      </c>
      <c r="AR356" s="6858" t="str">
        <f t="shared" si="166"/>
        <v/>
      </c>
      <c r="AS356" s="6217"/>
      <c r="AT356" s="6217"/>
      <c r="AU356" s="6271">
        <f t="shared" si="167"/>
        <v>0</v>
      </c>
      <c r="AV356" s="6242">
        <f t="shared" si="168"/>
        <v>0</v>
      </c>
      <c r="AW356" s="6188" cm="1">
        <f t="array" ref="AW356">IF(AK356&lt;&gt;1,0,IF(OR(AU356="",N(AU356)&lt;=0.000000001),"",IF(OR(AO356="",N(AO356)&lt;=0.000000001),0,IF(ISNUMBER(AU356),IFERROR(_xlfn.LET(_xlpm.ai_test,TRIM(AJ356),_xlpm.r,IFERROR(_xlfn.XLOOKUP(_xlpm.ai_test,$BJ$15:$BJ$62,ROW($BJ$15:$BJ$62),0,1),IFERROR(_xlfn.XLOOKUP(_xlpm.ai_test,$BK$15:$BK$62,ROW($BK$15:$BK$62),0,1),_xlfn.XLOOKUP(_xlpm.ai_test,$BL$15:$BL$62,ROW($BL$15:$BL$62),0,1))),_xlpm.p,_xlpm.r-MIN(ROW($BJ$15:$BJ$62))+1,_xlpm.f,INDEX($BM$15:$BM$62,_xlpm.p),_xlpm.u,INDEX($BN$15:$BN$62,_xlpm.p),_xlpm.s,INDEX($BP$15:$BP$62,_xlpm.p),_xlpm.q,N(AU356)/_xlpm.f,IF(_xlpm.q&gt;=_xlpm.s,ROUND(_xlpm.q,1)&amp;" "&amp;_xlpm.ai_test&amp;" = "&amp;ROUND(_xlpm.q*_xlpm.f,1)&amp;" "&amp;_xlpm.u,ROUND(_xlpm.q,1)&amp;" "&amp;_xlpm.ai_test)),""),""))))</f>
        <v>0</v>
      </c>
      <c r="AX356" s="6218"/>
      <c r="AY356" s="6271">
        <f t="shared" si="169"/>
        <v>0</v>
      </c>
      <c r="AZ356" s="6242" t="str">
        <f t="shared" si="170"/>
        <v/>
      </c>
      <c r="BA356" s="6194">
        <f t="shared" si="175"/>
        <v>0</v>
      </c>
      <c r="BB356" s="6192" t="str">
        <f t="shared" si="171"/>
        <v/>
      </c>
      <c r="BC356" s="6219"/>
      <c r="BD356" s="6221">
        <f t="shared" si="176"/>
        <v>0</v>
      </c>
      <c r="BE356" s="6220" t="str">
        <f t="shared" si="172"/>
        <v/>
      </c>
      <c r="BF356" s="4" t="s">
        <v>1</v>
      </c>
      <c r="BG356" s="6196">
        <f t="shared" si="173"/>
        <v>0</v>
      </c>
      <c r="BH356" s="6197">
        <f t="shared" si="174"/>
        <v>0</v>
      </c>
      <c r="BI356"/>
      <c r="BJ356" s="1"/>
      <c r="BK356" s="1"/>
      <c r="BL356" s="1"/>
      <c r="BM356" s="1"/>
      <c r="BN356" s="1"/>
      <c r="BO356" s="1"/>
      <c r="BP356" s="1"/>
      <c r="BQ356" s="1"/>
      <c r="BX356" s="20" t="str">
        <f t="shared" si="155"/>
        <v>►</v>
      </c>
      <c r="BY356" s="2"/>
      <c r="BZ356" s="2"/>
      <c r="CA356" s="2"/>
      <c r="CB356" s="2"/>
      <c r="CC356" s="2"/>
      <c r="DC356" s="5">
        <v>1</v>
      </c>
    </row>
    <row r="357" spans="12:107" ht="21" customHeight="1">
      <c r="L357" s="1021" t="s">
        <v>26</v>
      </c>
      <c r="M357" s="6787"/>
      <c r="N357" s="6787"/>
      <c r="O357" s="6787"/>
      <c r="P357" s="6788"/>
      <c r="Q357" s="6789"/>
      <c r="R357" s="6790"/>
      <c r="S357" s="6786"/>
      <c r="T357" s="6791"/>
      <c r="U357" s="6844"/>
      <c r="V357" s="6791"/>
      <c r="W357" s="6785"/>
      <c r="X357" s="6868"/>
      <c r="Y357" s="6793"/>
      <c r="Z357" s="6794"/>
      <c r="AA357" s="6795"/>
      <c r="AB357" s="6796"/>
      <c r="AC357" s="6797"/>
      <c r="AD357" s="6798"/>
      <c r="AE357" s="4" t="s">
        <v>1</v>
      </c>
      <c r="AF357" s="6202" t="str">
        <f t="shared" si="156"/>
        <v>►</v>
      </c>
      <c r="AG357" s="6234" t="str">
        <f t="shared" si="157"/>
        <v/>
      </c>
      <c r="AH357" s="6732" t="str">
        <f t="shared" si="158"/>
        <v/>
      </c>
      <c r="AI357" s="6234" t="str">
        <f t="shared" si="159"/>
        <v/>
      </c>
      <c r="AJ357" s="6732" t="str">
        <f t="shared" si="160"/>
        <v/>
      </c>
      <c r="AK357" s="6732">
        <f t="shared" si="161"/>
        <v>0</v>
      </c>
      <c r="AL357" s="6230" t="str" cm="1">
        <f t="array" ref="AL357">IF(AF357&lt;&gt;"A","",IFERROR((IFERROR(_xlfn.XLOOKUP(TRIM(SUBSTITUTE(U357,CHAR(160)," ")),$BJ$15:$BJ$62,$BM$15:$BM$62),IFERROR(_xlfn.XLOOKUP(TRIM(SUBSTITUTE(U357,CHAR(160)," ")),$BK$15:$BK$62,$BM$15:$BM$62),_xlfn.XLOOKUP(TRIM(SUBSTITUTE(U357,CHAR(160)," ")),$BL$15:$BL$62,$BM$15:$BM$62))))*T357*IF(ISBLANK(Q357),1,Q357)+IFERROR(_xlfn.XLOOKUP("RECHERCHEX",TRIM(L357:AD357),L357:AD357),0),0))</f>
        <v/>
      </c>
      <c r="AM357" s="6229">
        <f t="shared" si="162"/>
        <v>0</v>
      </c>
      <c r="AN357" s="6857" t="str">
        <f t="shared" si="177"/>
        <v/>
      </c>
      <c r="AO357" s="392">
        <f t="shared" si="163"/>
        <v>0</v>
      </c>
      <c r="AP357" s="392">
        <f t="shared" si="164"/>
        <v>0</v>
      </c>
      <c r="AQ357" s="6191">
        <f t="shared" si="165"/>
        <v>0</v>
      </c>
      <c r="AR357" s="6859" t="str">
        <f t="shared" si="166"/>
        <v/>
      </c>
      <c r="AS357" s="6217"/>
      <c r="AT357" s="6217"/>
      <c r="AU357" s="6272">
        <f t="shared" si="167"/>
        <v>0</v>
      </c>
      <c r="AV357" s="6240">
        <f t="shared" si="168"/>
        <v>0</v>
      </c>
      <c r="AW357" s="6189" cm="1">
        <f t="array" ref="AW357">IF(AK357&lt;&gt;1,0,IF(OR(AU357="",N(AU357)&lt;=0.000000001),"",IF(OR(AO357="",N(AO357)&lt;=0.000000001),0,IF(ISNUMBER(AU357),IFERROR(_xlfn.LET(_xlpm.ai_test,TRIM(AJ357),_xlpm.r,IFERROR(_xlfn.XLOOKUP(_xlpm.ai_test,$BJ$15:$BJ$62,ROW($BJ$15:$BJ$62),0,1),IFERROR(_xlfn.XLOOKUP(_xlpm.ai_test,$BK$15:$BK$62,ROW($BK$15:$BK$62),0,1),_xlfn.XLOOKUP(_xlpm.ai_test,$BL$15:$BL$62,ROW($BL$15:$BL$62),0,1))),_xlpm.p,_xlpm.r-MIN(ROW($BJ$15:$BJ$62))+1,_xlpm.f,INDEX($BM$15:$BM$62,_xlpm.p),_xlpm.u,INDEX($BN$15:$BN$62,_xlpm.p),_xlpm.s,INDEX($BP$15:$BP$62,_xlpm.p),_xlpm.q,N(AU357)/_xlpm.f,IF(_xlpm.q&gt;=_xlpm.s,ROUND(_xlpm.q,1)&amp;" "&amp;_xlpm.ai_test&amp;" = "&amp;ROUND(_xlpm.q*_xlpm.f,1)&amp;" "&amp;_xlpm.u,ROUND(_xlpm.q,1)&amp;" "&amp;_xlpm.ai_test)),""),""))))</f>
        <v>0</v>
      </c>
      <c r="AX357" s="6218"/>
      <c r="AY357" s="6272">
        <f t="shared" si="169"/>
        <v>0</v>
      </c>
      <c r="AZ357" s="6240" t="str">
        <f t="shared" si="170"/>
        <v/>
      </c>
      <c r="BA357" s="6195">
        <f t="shared" si="175"/>
        <v>0</v>
      </c>
      <c r="BB357" s="6193" t="str">
        <f t="shared" si="171"/>
        <v/>
      </c>
      <c r="BC357" s="6219"/>
      <c r="BD357" s="6222">
        <f t="shared" si="176"/>
        <v>0</v>
      </c>
      <c r="BE357" s="6220" t="str">
        <f t="shared" si="172"/>
        <v/>
      </c>
      <c r="BF357" s="4" t="s">
        <v>1</v>
      </c>
      <c r="BG357" s="6196">
        <f t="shared" si="173"/>
        <v>0</v>
      </c>
      <c r="BH357" s="6197">
        <f t="shared" si="174"/>
        <v>0</v>
      </c>
      <c r="BI357"/>
      <c r="BJ357" s="1"/>
      <c r="BK357" s="1"/>
      <c r="BL357" s="1"/>
      <c r="BM357" s="1"/>
      <c r="BN357" s="1"/>
      <c r="BO357" s="1"/>
      <c r="BP357" s="1"/>
      <c r="BQ357" s="1"/>
      <c r="BX357" s="20" t="str">
        <f t="shared" si="155"/>
        <v>►</v>
      </c>
      <c r="BY357" s="2"/>
      <c r="BZ357" s="2"/>
      <c r="CA357" s="2"/>
      <c r="CB357" s="2"/>
      <c r="CC357" s="2"/>
      <c r="DC357" s="5">
        <v>1</v>
      </c>
    </row>
    <row r="358" spans="12:107" ht="21" customHeight="1">
      <c r="L358" s="1021" t="s">
        <v>26</v>
      </c>
      <c r="M358" s="6787"/>
      <c r="N358" s="6787"/>
      <c r="O358" s="6787"/>
      <c r="P358" s="6788"/>
      <c r="Q358" s="6789"/>
      <c r="R358" s="6790"/>
      <c r="S358" s="6786"/>
      <c r="T358" s="6791"/>
      <c r="U358" s="6844"/>
      <c r="V358" s="6791"/>
      <c r="W358" s="6785"/>
      <c r="X358" s="6868"/>
      <c r="Y358" s="6793"/>
      <c r="Z358" s="6794"/>
      <c r="AA358" s="6795"/>
      <c r="AB358" s="6796"/>
      <c r="AC358" s="6797"/>
      <c r="AD358" s="6798"/>
      <c r="AE358" s="4" t="s">
        <v>1</v>
      </c>
      <c r="AF358" s="6202" t="str">
        <f t="shared" si="156"/>
        <v>►</v>
      </c>
      <c r="AG358" s="6234" t="str">
        <f t="shared" si="157"/>
        <v/>
      </c>
      <c r="AH358" s="6732" t="str">
        <f t="shared" si="158"/>
        <v/>
      </c>
      <c r="AI358" s="6234" t="str">
        <f t="shared" si="159"/>
        <v/>
      </c>
      <c r="AJ358" s="6732" t="str">
        <f t="shared" si="160"/>
        <v/>
      </c>
      <c r="AK358" s="6732">
        <f t="shared" si="161"/>
        <v>0</v>
      </c>
      <c r="AL358" s="6230" t="str" cm="1">
        <f t="array" ref="AL358">IF(AF358&lt;&gt;"A","",IFERROR((IFERROR(_xlfn.XLOOKUP(TRIM(SUBSTITUTE(U358,CHAR(160)," ")),$BJ$15:$BJ$62,$BM$15:$BM$62),IFERROR(_xlfn.XLOOKUP(TRIM(SUBSTITUTE(U358,CHAR(160)," ")),$BK$15:$BK$62,$BM$15:$BM$62),_xlfn.XLOOKUP(TRIM(SUBSTITUTE(U358,CHAR(160)," ")),$BL$15:$BL$62,$BM$15:$BM$62))))*T358*IF(ISBLANK(Q358),1,Q358)+IFERROR(_xlfn.XLOOKUP("RECHERCHEX",TRIM(L358:AD358),L358:AD358),0),0))</f>
        <v/>
      </c>
      <c r="AM358" s="6229">
        <f t="shared" si="162"/>
        <v>0</v>
      </c>
      <c r="AN358" s="6857" t="str">
        <f t="shared" si="177"/>
        <v/>
      </c>
      <c r="AO358" s="392">
        <f t="shared" si="163"/>
        <v>0</v>
      </c>
      <c r="AP358" s="392">
        <f t="shared" si="164"/>
        <v>0</v>
      </c>
      <c r="AQ358" s="6190">
        <f t="shared" si="165"/>
        <v>0</v>
      </c>
      <c r="AR358" s="6858" t="str">
        <f t="shared" si="166"/>
        <v/>
      </c>
      <c r="AS358" s="6217"/>
      <c r="AT358" s="6217"/>
      <c r="AU358" s="6271">
        <f t="shared" si="167"/>
        <v>0</v>
      </c>
      <c r="AV358" s="6242">
        <f t="shared" si="168"/>
        <v>0</v>
      </c>
      <c r="AW358" s="6188" cm="1">
        <f t="array" ref="AW358">IF(AK358&lt;&gt;1,0,IF(OR(AU358="",N(AU358)&lt;=0.000000001),"",IF(OR(AO358="",N(AO358)&lt;=0.000000001),0,IF(ISNUMBER(AU358),IFERROR(_xlfn.LET(_xlpm.ai_test,TRIM(AJ358),_xlpm.r,IFERROR(_xlfn.XLOOKUP(_xlpm.ai_test,$BJ$15:$BJ$62,ROW($BJ$15:$BJ$62),0,1),IFERROR(_xlfn.XLOOKUP(_xlpm.ai_test,$BK$15:$BK$62,ROW($BK$15:$BK$62),0,1),_xlfn.XLOOKUP(_xlpm.ai_test,$BL$15:$BL$62,ROW($BL$15:$BL$62),0,1))),_xlpm.p,_xlpm.r-MIN(ROW($BJ$15:$BJ$62))+1,_xlpm.f,INDEX($BM$15:$BM$62,_xlpm.p),_xlpm.u,INDEX($BN$15:$BN$62,_xlpm.p),_xlpm.s,INDEX($BP$15:$BP$62,_xlpm.p),_xlpm.q,N(AU358)/_xlpm.f,IF(_xlpm.q&gt;=_xlpm.s,ROUND(_xlpm.q,1)&amp;" "&amp;_xlpm.ai_test&amp;" = "&amp;ROUND(_xlpm.q*_xlpm.f,1)&amp;" "&amp;_xlpm.u,ROUND(_xlpm.q,1)&amp;" "&amp;_xlpm.ai_test)),""),""))))</f>
        <v>0</v>
      </c>
      <c r="AX358" s="6218"/>
      <c r="AY358" s="6271">
        <f t="shared" si="169"/>
        <v>0</v>
      </c>
      <c r="AZ358" s="6242" t="str">
        <f t="shared" si="170"/>
        <v/>
      </c>
      <c r="BA358" s="6194">
        <f t="shared" si="175"/>
        <v>0</v>
      </c>
      <c r="BB358" s="6192" t="str">
        <f t="shared" si="171"/>
        <v/>
      </c>
      <c r="BC358" s="6219"/>
      <c r="BD358" s="6221">
        <f t="shared" si="176"/>
        <v>0</v>
      </c>
      <c r="BE358" s="6220" t="str">
        <f t="shared" si="172"/>
        <v/>
      </c>
      <c r="BF358" s="4" t="s">
        <v>1</v>
      </c>
      <c r="BG358" s="6196">
        <f t="shared" si="173"/>
        <v>0</v>
      </c>
      <c r="BH358" s="6197">
        <f t="shared" si="174"/>
        <v>0</v>
      </c>
      <c r="BI358"/>
      <c r="BJ358" s="1"/>
      <c r="BK358" s="1"/>
      <c r="BL358" s="1"/>
      <c r="BM358" s="1"/>
      <c r="BN358" s="1"/>
      <c r="BO358" s="1"/>
      <c r="BP358" s="1"/>
      <c r="BQ358" s="1"/>
      <c r="BX358" s="20" t="str">
        <f t="shared" si="155"/>
        <v>►</v>
      </c>
      <c r="BY358" s="2"/>
      <c r="BZ358" s="2"/>
      <c r="CA358" s="2"/>
      <c r="CB358" s="2"/>
      <c r="CC358" s="2"/>
      <c r="DC358" s="5">
        <v>1</v>
      </c>
    </row>
    <row r="359" spans="12:107" ht="21" customHeight="1">
      <c r="L359" s="1021" t="s">
        <v>26</v>
      </c>
      <c r="M359" s="6787"/>
      <c r="N359" s="6787"/>
      <c r="O359" s="6787"/>
      <c r="P359" s="6788"/>
      <c r="Q359" s="6789"/>
      <c r="R359" s="6790"/>
      <c r="S359" s="6786"/>
      <c r="T359" s="6791"/>
      <c r="U359" s="6844"/>
      <c r="V359" s="6791"/>
      <c r="W359" s="6785"/>
      <c r="X359" s="6868"/>
      <c r="Y359" s="6793"/>
      <c r="Z359" s="6794"/>
      <c r="AA359" s="6795"/>
      <c r="AB359" s="6796"/>
      <c r="AC359" s="6797"/>
      <c r="AD359" s="6798"/>
      <c r="AE359" s="4" t="s">
        <v>1</v>
      </c>
      <c r="AF359" s="6202" t="str">
        <f t="shared" si="156"/>
        <v>►</v>
      </c>
      <c r="AG359" s="6234" t="str">
        <f t="shared" si="157"/>
        <v/>
      </c>
      <c r="AH359" s="6732" t="str">
        <f t="shared" si="158"/>
        <v/>
      </c>
      <c r="AI359" s="6234" t="str">
        <f t="shared" si="159"/>
        <v/>
      </c>
      <c r="AJ359" s="6732" t="str">
        <f t="shared" si="160"/>
        <v/>
      </c>
      <c r="AK359" s="6732">
        <f t="shared" si="161"/>
        <v>0</v>
      </c>
      <c r="AL359" s="6230" t="str" cm="1">
        <f t="array" ref="AL359">IF(AF359&lt;&gt;"A","",IFERROR((IFERROR(_xlfn.XLOOKUP(TRIM(SUBSTITUTE(U359,CHAR(160)," ")),$BJ$15:$BJ$62,$BM$15:$BM$62),IFERROR(_xlfn.XLOOKUP(TRIM(SUBSTITUTE(U359,CHAR(160)," ")),$BK$15:$BK$62,$BM$15:$BM$62),_xlfn.XLOOKUP(TRIM(SUBSTITUTE(U359,CHAR(160)," ")),$BL$15:$BL$62,$BM$15:$BM$62))))*T359*IF(ISBLANK(Q359),1,Q359)+IFERROR(_xlfn.XLOOKUP("RECHERCHEX",TRIM(L359:AD359),L359:AD359),0),0))</f>
        <v/>
      </c>
      <c r="AM359" s="6229">
        <f t="shared" si="162"/>
        <v>0</v>
      </c>
      <c r="AN359" s="6857" t="str">
        <f t="shared" si="177"/>
        <v/>
      </c>
      <c r="AO359" s="392">
        <f t="shared" si="163"/>
        <v>0</v>
      </c>
      <c r="AP359" s="392">
        <f t="shared" si="164"/>
        <v>0</v>
      </c>
      <c r="AQ359" s="6191">
        <f t="shared" si="165"/>
        <v>0</v>
      </c>
      <c r="AR359" s="6859" t="str">
        <f t="shared" si="166"/>
        <v/>
      </c>
      <c r="AS359" s="6217"/>
      <c r="AT359" s="6217"/>
      <c r="AU359" s="6272">
        <f t="shared" si="167"/>
        <v>0</v>
      </c>
      <c r="AV359" s="6240">
        <f t="shared" si="168"/>
        <v>0</v>
      </c>
      <c r="AW359" s="6189" cm="1">
        <f t="array" ref="AW359">IF(AK359&lt;&gt;1,0,IF(OR(AU359="",N(AU359)&lt;=0.000000001),"",IF(OR(AO359="",N(AO359)&lt;=0.000000001),0,IF(ISNUMBER(AU359),IFERROR(_xlfn.LET(_xlpm.ai_test,TRIM(AJ359),_xlpm.r,IFERROR(_xlfn.XLOOKUP(_xlpm.ai_test,$BJ$15:$BJ$62,ROW($BJ$15:$BJ$62),0,1),IFERROR(_xlfn.XLOOKUP(_xlpm.ai_test,$BK$15:$BK$62,ROW($BK$15:$BK$62),0,1),_xlfn.XLOOKUP(_xlpm.ai_test,$BL$15:$BL$62,ROW($BL$15:$BL$62),0,1))),_xlpm.p,_xlpm.r-MIN(ROW($BJ$15:$BJ$62))+1,_xlpm.f,INDEX($BM$15:$BM$62,_xlpm.p),_xlpm.u,INDEX($BN$15:$BN$62,_xlpm.p),_xlpm.s,INDEX($BP$15:$BP$62,_xlpm.p),_xlpm.q,N(AU359)/_xlpm.f,IF(_xlpm.q&gt;=_xlpm.s,ROUND(_xlpm.q,1)&amp;" "&amp;_xlpm.ai_test&amp;" = "&amp;ROUND(_xlpm.q*_xlpm.f,1)&amp;" "&amp;_xlpm.u,ROUND(_xlpm.q,1)&amp;" "&amp;_xlpm.ai_test)),""),""))))</f>
        <v>0</v>
      </c>
      <c r="AX359" s="6218"/>
      <c r="AY359" s="6272">
        <f t="shared" si="169"/>
        <v>0</v>
      </c>
      <c r="AZ359" s="6240" t="str">
        <f t="shared" si="170"/>
        <v/>
      </c>
      <c r="BA359" s="6195">
        <f t="shared" si="175"/>
        <v>0</v>
      </c>
      <c r="BB359" s="6193" t="str">
        <f t="shared" si="171"/>
        <v/>
      </c>
      <c r="BC359" s="6219"/>
      <c r="BD359" s="6222">
        <f t="shared" si="176"/>
        <v>0</v>
      </c>
      <c r="BE359" s="6220" t="str">
        <f t="shared" si="172"/>
        <v/>
      </c>
      <c r="BF359" s="4" t="s">
        <v>1</v>
      </c>
      <c r="BG359" s="6196">
        <f t="shared" si="173"/>
        <v>0</v>
      </c>
      <c r="BH359" s="6197">
        <f t="shared" si="174"/>
        <v>0</v>
      </c>
      <c r="BI359"/>
      <c r="BJ359" s="1"/>
      <c r="BK359" s="1"/>
      <c r="BL359" s="1"/>
      <c r="BM359" s="1"/>
      <c r="BN359" s="1"/>
      <c r="BO359" s="1"/>
      <c r="BP359" s="1"/>
      <c r="BQ359" s="1"/>
      <c r="BX359" s="20" t="str">
        <f t="shared" si="155"/>
        <v>►</v>
      </c>
      <c r="BY359" s="2"/>
      <c r="BZ359" s="2"/>
      <c r="CA359" s="2"/>
      <c r="CB359" s="2"/>
      <c r="CC359" s="2"/>
      <c r="DC359" s="5">
        <v>1</v>
      </c>
    </row>
    <row r="360" spans="12:107" ht="21" customHeight="1">
      <c r="L360" s="1021" t="s">
        <v>26</v>
      </c>
      <c r="M360" s="6787"/>
      <c r="N360" s="6787"/>
      <c r="O360" s="6787"/>
      <c r="P360" s="6788"/>
      <c r="Q360" s="6789"/>
      <c r="R360" s="6790"/>
      <c r="S360" s="6786"/>
      <c r="T360" s="6791"/>
      <c r="U360" s="6844"/>
      <c r="V360" s="6791"/>
      <c r="W360" s="6785"/>
      <c r="X360" s="6868"/>
      <c r="Y360" s="6793"/>
      <c r="Z360" s="6794"/>
      <c r="AA360" s="6795"/>
      <c r="AB360" s="6796"/>
      <c r="AC360" s="6797"/>
      <c r="AD360" s="6798"/>
      <c r="AE360" s="4" t="s">
        <v>1</v>
      </c>
      <c r="AF360" s="6202" t="str">
        <f t="shared" si="156"/>
        <v>►</v>
      </c>
      <c r="AG360" s="6234" t="str">
        <f t="shared" si="157"/>
        <v/>
      </c>
      <c r="AH360" s="6732" t="str">
        <f t="shared" si="158"/>
        <v/>
      </c>
      <c r="AI360" s="6234" t="str">
        <f t="shared" si="159"/>
        <v/>
      </c>
      <c r="AJ360" s="6732" t="str">
        <f t="shared" si="160"/>
        <v/>
      </c>
      <c r="AK360" s="6732">
        <f t="shared" si="161"/>
        <v>0</v>
      </c>
      <c r="AL360" s="6230" t="str" cm="1">
        <f t="array" ref="AL360">IF(AF360&lt;&gt;"A","",IFERROR((IFERROR(_xlfn.XLOOKUP(TRIM(SUBSTITUTE(U360,CHAR(160)," ")),$BJ$15:$BJ$62,$BM$15:$BM$62),IFERROR(_xlfn.XLOOKUP(TRIM(SUBSTITUTE(U360,CHAR(160)," ")),$BK$15:$BK$62,$BM$15:$BM$62),_xlfn.XLOOKUP(TRIM(SUBSTITUTE(U360,CHAR(160)," ")),$BL$15:$BL$62,$BM$15:$BM$62))))*T360*IF(ISBLANK(Q360),1,Q360)+IFERROR(_xlfn.XLOOKUP("RECHERCHEX",TRIM(L360:AD360),L360:AD360),0),0))</f>
        <v/>
      </c>
      <c r="AM360" s="6229">
        <f t="shared" si="162"/>
        <v>0</v>
      </c>
      <c r="AN360" s="6857" t="str">
        <f t="shared" si="177"/>
        <v/>
      </c>
      <c r="AO360" s="392">
        <f t="shared" si="163"/>
        <v>0</v>
      </c>
      <c r="AP360" s="392">
        <f t="shared" si="164"/>
        <v>0</v>
      </c>
      <c r="AQ360" s="6190">
        <f t="shared" si="165"/>
        <v>0</v>
      </c>
      <c r="AR360" s="6858" t="str">
        <f t="shared" si="166"/>
        <v/>
      </c>
      <c r="AS360" s="6217"/>
      <c r="AT360" s="6217"/>
      <c r="AU360" s="6271">
        <f t="shared" si="167"/>
        <v>0</v>
      </c>
      <c r="AV360" s="6242">
        <f t="shared" si="168"/>
        <v>0</v>
      </c>
      <c r="AW360" s="6188" cm="1">
        <f t="array" ref="AW360">IF(AK360&lt;&gt;1,0,IF(OR(AU360="",N(AU360)&lt;=0.000000001),"",IF(OR(AO360="",N(AO360)&lt;=0.000000001),0,IF(ISNUMBER(AU360),IFERROR(_xlfn.LET(_xlpm.ai_test,TRIM(AJ360),_xlpm.r,IFERROR(_xlfn.XLOOKUP(_xlpm.ai_test,$BJ$15:$BJ$62,ROW($BJ$15:$BJ$62),0,1),IFERROR(_xlfn.XLOOKUP(_xlpm.ai_test,$BK$15:$BK$62,ROW($BK$15:$BK$62),0,1),_xlfn.XLOOKUP(_xlpm.ai_test,$BL$15:$BL$62,ROW($BL$15:$BL$62),0,1))),_xlpm.p,_xlpm.r-MIN(ROW($BJ$15:$BJ$62))+1,_xlpm.f,INDEX($BM$15:$BM$62,_xlpm.p),_xlpm.u,INDEX($BN$15:$BN$62,_xlpm.p),_xlpm.s,INDEX($BP$15:$BP$62,_xlpm.p),_xlpm.q,N(AU360)/_xlpm.f,IF(_xlpm.q&gt;=_xlpm.s,ROUND(_xlpm.q,1)&amp;" "&amp;_xlpm.ai_test&amp;" = "&amp;ROUND(_xlpm.q*_xlpm.f,1)&amp;" "&amp;_xlpm.u,ROUND(_xlpm.q,1)&amp;" "&amp;_xlpm.ai_test)),""),""))))</f>
        <v>0</v>
      </c>
      <c r="AX360" s="6218"/>
      <c r="AY360" s="6271">
        <f t="shared" si="169"/>
        <v>0</v>
      </c>
      <c r="AZ360" s="6242" t="str">
        <f t="shared" si="170"/>
        <v/>
      </c>
      <c r="BA360" s="6194">
        <f t="shared" si="175"/>
        <v>0</v>
      </c>
      <c r="BB360" s="6192" t="str">
        <f t="shared" si="171"/>
        <v/>
      </c>
      <c r="BC360" s="6219"/>
      <c r="BD360" s="6221">
        <f t="shared" si="176"/>
        <v>0</v>
      </c>
      <c r="BE360" s="6220" t="str">
        <f t="shared" si="172"/>
        <v/>
      </c>
      <c r="BF360" s="4" t="s">
        <v>1</v>
      </c>
      <c r="BG360" s="6196">
        <f t="shared" si="173"/>
        <v>0</v>
      </c>
      <c r="BH360" s="6197">
        <f t="shared" si="174"/>
        <v>0</v>
      </c>
      <c r="BI360"/>
      <c r="BJ360" s="1"/>
      <c r="BK360" s="1"/>
      <c r="BL360" s="1"/>
      <c r="BM360" s="1"/>
      <c r="BN360" s="1"/>
      <c r="BO360" s="1"/>
      <c r="BP360" s="1"/>
      <c r="BQ360" s="1"/>
      <c r="BX360" s="20" t="str">
        <f t="shared" si="155"/>
        <v>►</v>
      </c>
      <c r="BY360" s="2"/>
      <c r="BZ360" s="2"/>
      <c r="CA360" s="2"/>
      <c r="CB360" s="2"/>
      <c r="CC360" s="2"/>
      <c r="DC360" s="5">
        <v>1</v>
      </c>
    </row>
    <row r="361" spans="12:107" ht="21" customHeight="1">
      <c r="L361" s="1021" t="s">
        <v>26</v>
      </c>
      <c r="M361" s="6787"/>
      <c r="N361" s="6787"/>
      <c r="O361" s="6787"/>
      <c r="P361" s="6788"/>
      <c r="Q361" s="6789"/>
      <c r="R361" s="6790"/>
      <c r="S361" s="6786"/>
      <c r="T361" s="6791"/>
      <c r="U361" s="6844"/>
      <c r="V361" s="6791"/>
      <c r="W361" s="6785"/>
      <c r="X361" s="6868"/>
      <c r="Y361" s="6793"/>
      <c r="Z361" s="6794"/>
      <c r="AA361" s="6795"/>
      <c r="AB361" s="6796"/>
      <c r="AC361" s="6797"/>
      <c r="AD361" s="6798"/>
      <c r="AE361" s="4" t="s">
        <v>1</v>
      </c>
      <c r="AF361" s="6202" t="str">
        <f t="shared" si="156"/>
        <v>►</v>
      </c>
      <c r="AG361" s="6234" t="str">
        <f t="shared" si="157"/>
        <v/>
      </c>
      <c r="AH361" s="6732" t="str">
        <f t="shared" si="158"/>
        <v/>
      </c>
      <c r="AI361" s="6234" t="str">
        <f t="shared" si="159"/>
        <v/>
      </c>
      <c r="AJ361" s="6732" t="str">
        <f t="shared" si="160"/>
        <v/>
      </c>
      <c r="AK361" s="6732">
        <f t="shared" si="161"/>
        <v>0</v>
      </c>
      <c r="AL361" s="6230" t="str" cm="1">
        <f t="array" ref="AL361">IF(AF361&lt;&gt;"A","",IFERROR((IFERROR(_xlfn.XLOOKUP(TRIM(SUBSTITUTE(U361,CHAR(160)," ")),$BJ$15:$BJ$62,$BM$15:$BM$62),IFERROR(_xlfn.XLOOKUP(TRIM(SUBSTITUTE(U361,CHAR(160)," ")),$BK$15:$BK$62,$BM$15:$BM$62),_xlfn.XLOOKUP(TRIM(SUBSTITUTE(U361,CHAR(160)," ")),$BL$15:$BL$62,$BM$15:$BM$62))))*T361*IF(ISBLANK(Q361),1,Q361)+IFERROR(_xlfn.XLOOKUP("RECHERCHEX",TRIM(L361:AD361),L361:AD361),0),0))</f>
        <v/>
      </c>
      <c r="AM361" s="6229">
        <f t="shared" si="162"/>
        <v>0</v>
      </c>
      <c r="AN361" s="6857" t="str">
        <f t="shared" si="177"/>
        <v/>
      </c>
      <c r="AO361" s="392">
        <f t="shared" si="163"/>
        <v>0</v>
      </c>
      <c r="AP361" s="392">
        <f t="shared" si="164"/>
        <v>0</v>
      </c>
      <c r="AQ361" s="6191">
        <f t="shared" si="165"/>
        <v>0</v>
      </c>
      <c r="AR361" s="6859" t="str">
        <f t="shared" si="166"/>
        <v/>
      </c>
      <c r="AS361" s="6217"/>
      <c r="AT361" s="6217"/>
      <c r="AU361" s="6272">
        <f t="shared" si="167"/>
        <v>0</v>
      </c>
      <c r="AV361" s="6240">
        <f t="shared" si="168"/>
        <v>0</v>
      </c>
      <c r="AW361" s="6189" cm="1">
        <f t="array" ref="AW361">IF(AK361&lt;&gt;1,0,IF(OR(AU361="",N(AU361)&lt;=0.000000001),"",IF(OR(AO361="",N(AO361)&lt;=0.000000001),0,IF(ISNUMBER(AU361),IFERROR(_xlfn.LET(_xlpm.ai_test,TRIM(AJ361),_xlpm.r,IFERROR(_xlfn.XLOOKUP(_xlpm.ai_test,$BJ$15:$BJ$62,ROW($BJ$15:$BJ$62),0,1),IFERROR(_xlfn.XLOOKUP(_xlpm.ai_test,$BK$15:$BK$62,ROW($BK$15:$BK$62),0,1),_xlfn.XLOOKUP(_xlpm.ai_test,$BL$15:$BL$62,ROW($BL$15:$BL$62),0,1))),_xlpm.p,_xlpm.r-MIN(ROW($BJ$15:$BJ$62))+1,_xlpm.f,INDEX($BM$15:$BM$62,_xlpm.p),_xlpm.u,INDEX($BN$15:$BN$62,_xlpm.p),_xlpm.s,INDEX($BP$15:$BP$62,_xlpm.p),_xlpm.q,N(AU361)/_xlpm.f,IF(_xlpm.q&gt;=_xlpm.s,ROUND(_xlpm.q,1)&amp;" "&amp;_xlpm.ai_test&amp;" = "&amp;ROUND(_xlpm.q*_xlpm.f,1)&amp;" "&amp;_xlpm.u,ROUND(_xlpm.q,1)&amp;" "&amp;_xlpm.ai_test)),""),""))))</f>
        <v>0</v>
      </c>
      <c r="AX361" s="6218"/>
      <c r="AY361" s="6272">
        <f t="shared" si="169"/>
        <v>0</v>
      </c>
      <c r="AZ361" s="6240" t="str">
        <f t="shared" si="170"/>
        <v/>
      </c>
      <c r="BA361" s="6195">
        <f t="shared" si="175"/>
        <v>0</v>
      </c>
      <c r="BB361" s="6193" t="str">
        <f t="shared" si="171"/>
        <v/>
      </c>
      <c r="BC361" s="6219"/>
      <c r="BD361" s="6222">
        <f t="shared" si="176"/>
        <v>0</v>
      </c>
      <c r="BE361" s="6220" t="str">
        <f t="shared" si="172"/>
        <v/>
      </c>
      <c r="BF361" s="4" t="s">
        <v>1</v>
      </c>
      <c r="BG361" s="6196">
        <f t="shared" si="173"/>
        <v>0</v>
      </c>
      <c r="BH361" s="6197">
        <f t="shared" si="174"/>
        <v>0</v>
      </c>
      <c r="BI361"/>
      <c r="BJ361" s="1"/>
      <c r="BK361" s="1"/>
      <c r="BL361" s="1"/>
      <c r="BM361" s="1"/>
      <c r="BN361" s="1"/>
      <c r="BO361" s="1"/>
      <c r="BP361" s="1"/>
      <c r="BQ361" s="1"/>
      <c r="BX361" s="20" t="str">
        <f t="shared" si="155"/>
        <v>►</v>
      </c>
      <c r="BY361" s="2"/>
      <c r="BZ361" s="2"/>
      <c r="CA361" s="2"/>
      <c r="CB361" s="2"/>
      <c r="CC361" s="2"/>
      <c r="DC361" s="5">
        <v>1</v>
      </c>
    </row>
    <row r="362" spans="12:107" ht="21" customHeight="1">
      <c r="L362" s="1021" t="s">
        <v>26</v>
      </c>
      <c r="M362" s="6787"/>
      <c r="N362" s="6787"/>
      <c r="O362" s="6787"/>
      <c r="P362" s="6788"/>
      <c r="Q362" s="6789"/>
      <c r="R362" s="6790"/>
      <c r="S362" s="6786"/>
      <c r="T362" s="6791"/>
      <c r="U362" s="6844"/>
      <c r="V362" s="6791"/>
      <c r="W362" s="6785"/>
      <c r="X362" s="6868"/>
      <c r="Y362" s="6793"/>
      <c r="Z362" s="6794"/>
      <c r="AA362" s="6795"/>
      <c r="AB362" s="6796"/>
      <c r="AC362" s="6797"/>
      <c r="AD362" s="6798"/>
      <c r="AE362" s="4" t="s">
        <v>1</v>
      </c>
      <c r="AF362" s="6202" t="str">
        <f t="shared" si="156"/>
        <v>►</v>
      </c>
      <c r="AG362" s="6234" t="str">
        <f t="shared" si="157"/>
        <v/>
      </c>
      <c r="AH362" s="6732" t="str">
        <f t="shared" si="158"/>
        <v/>
      </c>
      <c r="AI362" s="6234" t="str">
        <f t="shared" si="159"/>
        <v/>
      </c>
      <c r="AJ362" s="6732" t="str">
        <f t="shared" si="160"/>
        <v/>
      </c>
      <c r="AK362" s="6732">
        <f t="shared" si="161"/>
        <v>0</v>
      </c>
      <c r="AL362" s="6230" t="str" cm="1">
        <f t="array" ref="AL362">IF(AF362&lt;&gt;"A","",IFERROR((IFERROR(_xlfn.XLOOKUP(TRIM(SUBSTITUTE(U362,CHAR(160)," ")),$BJ$15:$BJ$62,$BM$15:$BM$62),IFERROR(_xlfn.XLOOKUP(TRIM(SUBSTITUTE(U362,CHAR(160)," ")),$BK$15:$BK$62,$BM$15:$BM$62),_xlfn.XLOOKUP(TRIM(SUBSTITUTE(U362,CHAR(160)," ")),$BL$15:$BL$62,$BM$15:$BM$62))))*T362*IF(ISBLANK(Q362),1,Q362)+IFERROR(_xlfn.XLOOKUP("RECHERCHEX",TRIM(L362:AD362),L362:AD362),0),0))</f>
        <v/>
      </c>
      <c r="AM362" s="6229">
        <f t="shared" si="162"/>
        <v>0</v>
      </c>
      <c r="AN362" s="6857" t="str">
        <f t="shared" si="177"/>
        <v/>
      </c>
      <c r="AO362" s="392">
        <f t="shared" si="163"/>
        <v>0</v>
      </c>
      <c r="AP362" s="392">
        <f t="shared" si="164"/>
        <v>0</v>
      </c>
      <c r="AQ362" s="6190">
        <f t="shared" si="165"/>
        <v>0</v>
      </c>
      <c r="AR362" s="6858" t="str">
        <f t="shared" si="166"/>
        <v/>
      </c>
      <c r="AS362" s="6217"/>
      <c r="AT362" s="6217"/>
      <c r="AU362" s="6271">
        <f t="shared" si="167"/>
        <v>0</v>
      </c>
      <c r="AV362" s="6242">
        <f t="shared" si="168"/>
        <v>0</v>
      </c>
      <c r="AW362" s="6188" cm="1">
        <f t="array" ref="AW362">IF(AK362&lt;&gt;1,0,IF(OR(AU362="",N(AU362)&lt;=0.000000001),"",IF(OR(AO362="",N(AO362)&lt;=0.000000001),0,IF(ISNUMBER(AU362),IFERROR(_xlfn.LET(_xlpm.ai_test,TRIM(AJ362),_xlpm.r,IFERROR(_xlfn.XLOOKUP(_xlpm.ai_test,$BJ$15:$BJ$62,ROW($BJ$15:$BJ$62),0,1),IFERROR(_xlfn.XLOOKUP(_xlpm.ai_test,$BK$15:$BK$62,ROW($BK$15:$BK$62),0,1),_xlfn.XLOOKUP(_xlpm.ai_test,$BL$15:$BL$62,ROW($BL$15:$BL$62),0,1))),_xlpm.p,_xlpm.r-MIN(ROW($BJ$15:$BJ$62))+1,_xlpm.f,INDEX($BM$15:$BM$62,_xlpm.p),_xlpm.u,INDEX($BN$15:$BN$62,_xlpm.p),_xlpm.s,INDEX($BP$15:$BP$62,_xlpm.p),_xlpm.q,N(AU362)/_xlpm.f,IF(_xlpm.q&gt;=_xlpm.s,ROUND(_xlpm.q,1)&amp;" "&amp;_xlpm.ai_test&amp;" = "&amp;ROUND(_xlpm.q*_xlpm.f,1)&amp;" "&amp;_xlpm.u,ROUND(_xlpm.q,1)&amp;" "&amp;_xlpm.ai_test)),""),""))))</f>
        <v>0</v>
      </c>
      <c r="AX362" s="6218"/>
      <c r="AY362" s="6271">
        <f t="shared" si="169"/>
        <v>0</v>
      </c>
      <c r="AZ362" s="6242" t="str">
        <f t="shared" si="170"/>
        <v/>
      </c>
      <c r="BA362" s="6194">
        <f t="shared" si="175"/>
        <v>0</v>
      </c>
      <c r="BB362" s="6192" t="str">
        <f t="shared" si="171"/>
        <v/>
      </c>
      <c r="BC362" s="6219"/>
      <c r="BD362" s="6221">
        <f t="shared" si="176"/>
        <v>0</v>
      </c>
      <c r="BE362" s="6220" t="str">
        <f t="shared" si="172"/>
        <v/>
      </c>
      <c r="BF362" s="4" t="s">
        <v>1</v>
      </c>
      <c r="BG362" s="6196">
        <f t="shared" si="173"/>
        <v>0</v>
      </c>
      <c r="BH362" s="6197">
        <f t="shared" si="174"/>
        <v>0</v>
      </c>
      <c r="BI362"/>
      <c r="BJ362" s="1"/>
      <c r="BK362" s="1"/>
      <c r="BL362" s="1"/>
      <c r="BM362" s="1"/>
      <c r="BN362" s="1"/>
      <c r="BO362" s="1"/>
      <c r="BP362" s="1"/>
      <c r="BQ362" s="1"/>
      <c r="BX362" s="20" t="str">
        <f t="shared" si="155"/>
        <v>►</v>
      </c>
      <c r="BY362" s="2"/>
      <c r="BZ362" s="2"/>
      <c r="CA362" s="2"/>
      <c r="CB362" s="2"/>
      <c r="CC362" s="2"/>
      <c r="DC362" s="5">
        <v>1</v>
      </c>
    </row>
    <row r="363" spans="12:107" ht="21" customHeight="1">
      <c r="L363" s="1021" t="s">
        <v>26</v>
      </c>
      <c r="M363" s="6787"/>
      <c r="N363" s="6787"/>
      <c r="O363" s="6787"/>
      <c r="P363" s="6788"/>
      <c r="Q363" s="6789"/>
      <c r="R363" s="6790"/>
      <c r="S363" s="6786"/>
      <c r="T363" s="6791"/>
      <c r="U363" s="6844"/>
      <c r="V363" s="6791"/>
      <c r="W363" s="6785"/>
      <c r="X363" s="6868"/>
      <c r="Y363" s="6793"/>
      <c r="Z363" s="6794"/>
      <c r="AA363" s="6795"/>
      <c r="AB363" s="6796"/>
      <c r="AC363" s="6797"/>
      <c r="AD363" s="6798"/>
      <c r="AE363" s="4" t="s">
        <v>1</v>
      </c>
      <c r="AF363" s="6202" t="str">
        <f t="shared" si="156"/>
        <v>►</v>
      </c>
      <c r="AG363" s="6234" t="str">
        <f t="shared" si="157"/>
        <v/>
      </c>
      <c r="AH363" s="6732" t="str">
        <f t="shared" si="158"/>
        <v/>
      </c>
      <c r="AI363" s="6234" t="str">
        <f t="shared" si="159"/>
        <v/>
      </c>
      <c r="AJ363" s="6732" t="str">
        <f t="shared" si="160"/>
        <v/>
      </c>
      <c r="AK363" s="6732">
        <f t="shared" si="161"/>
        <v>0</v>
      </c>
      <c r="AL363" s="6230" t="str" cm="1">
        <f t="array" ref="AL363">IF(AF363&lt;&gt;"A","",IFERROR((IFERROR(_xlfn.XLOOKUP(TRIM(SUBSTITUTE(U363,CHAR(160)," ")),$BJ$15:$BJ$62,$BM$15:$BM$62),IFERROR(_xlfn.XLOOKUP(TRIM(SUBSTITUTE(U363,CHAR(160)," ")),$BK$15:$BK$62,$BM$15:$BM$62),_xlfn.XLOOKUP(TRIM(SUBSTITUTE(U363,CHAR(160)," ")),$BL$15:$BL$62,$BM$15:$BM$62))))*T363*IF(ISBLANK(Q363),1,Q363)+IFERROR(_xlfn.XLOOKUP("RECHERCHEX",TRIM(L363:AD363),L363:AD363),0),0))</f>
        <v/>
      </c>
      <c r="AM363" s="6229">
        <f t="shared" si="162"/>
        <v>0</v>
      </c>
      <c r="AN363" s="6857" t="str">
        <f t="shared" si="177"/>
        <v/>
      </c>
      <c r="AO363" s="392">
        <f t="shared" si="163"/>
        <v>0</v>
      </c>
      <c r="AP363" s="392">
        <f t="shared" si="164"/>
        <v>0</v>
      </c>
      <c r="AQ363" s="6191">
        <f t="shared" si="165"/>
        <v>0</v>
      </c>
      <c r="AR363" s="6859" t="str">
        <f t="shared" si="166"/>
        <v/>
      </c>
      <c r="AS363" s="6217"/>
      <c r="AT363" s="6217"/>
      <c r="AU363" s="6272">
        <f t="shared" si="167"/>
        <v>0</v>
      </c>
      <c r="AV363" s="6240">
        <f t="shared" si="168"/>
        <v>0</v>
      </c>
      <c r="AW363" s="6189" cm="1">
        <f t="array" ref="AW363">IF(AK363&lt;&gt;1,0,IF(OR(AU363="",N(AU363)&lt;=0.000000001),"",IF(OR(AO363="",N(AO363)&lt;=0.000000001),0,IF(ISNUMBER(AU363),IFERROR(_xlfn.LET(_xlpm.ai_test,TRIM(AJ363),_xlpm.r,IFERROR(_xlfn.XLOOKUP(_xlpm.ai_test,$BJ$15:$BJ$62,ROW($BJ$15:$BJ$62),0,1),IFERROR(_xlfn.XLOOKUP(_xlpm.ai_test,$BK$15:$BK$62,ROW($BK$15:$BK$62),0,1),_xlfn.XLOOKUP(_xlpm.ai_test,$BL$15:$BL$62,ROW($BL$15:$BL$62),0,1))),_xlpm.p,_xlpm.r-MIN(ROW($BJ$15:$BJ$62))+1,_xlpm.f,INDEX($BM$15:$BM$62,_xlpm.p),_xlpm.u,INDEX($BN$15:$BN$62,_xlpm.p),_xlpm.s,INDEX($BP$15:$BP$62,_xlpm.p),_xlpm.q,N(AU363)/_xlpm.f,IF(_xlpm.q&gt;=_xlpm.s,ROUND(_xlpm.q,1)&amp;" "&amp;_xlpm.ai_test&amp;" = "&amp;ROUND(_xlpm.q*_xlpm.f,1)&amp;" "&amp;_xlpm.u,ROUND(_xlpm.q,1)&amp;" "&amp;_xlpm.ai_test)),""),""))))</f>
        <v>0</v>
      </c>
      <c r="AX363" s="6218"/>
      <c r="AY363" s="6272">
        <f t="shared" si="169"/>
        <v>0</v>
      </c>
      <c r="AZ363" s="6240" t="str">
        <f t="shared" si="170"/>
        <v/>
      </c>
      <c r="BA363" s="6195">
        <f t="shared" si="175"/>
        <v>0</v>
      </c>
      <c r="BB363" s="6193" t="str">
        <f t="shared" si="171"/>
        <v/>
      </c>
      <c r="BC363" s="6219"/>
      <c r="BD363" s="6222">
        <f t="shared" si="176"/>
        <v>0</v>
      </c>
      <c r="BE363" s="6220" t="str">
        <f t="shared" si="172"/>
        <v/>
      </c>
      <c r="BF363" s="4" t="s">
        <v>1</v>
      </c>
      <c r="BG363" s="6196">
        <f t="shared" si="173"/>
        <v>0</v>
      </c>
      <c r="BH363" s="6197">
        <f t="shared" si="174"/>
        <v>0</v>
      </c>
      <c r="BI363"/>
      <c r="BJ363" s="1"/>
      <c r="BK363" s="1"/>
      <c r="BL363" s="1"/>
      <c r="BM363" s="1"/>
      <c r="BN363" s="1"/>
      <c r="BO363" s="1"/>
      <c r="BP363" s="1"/>
      <c r="BQ363" s="1"/>
      <c r="BX363" s="20" t="str">
        <f t="shared" si="155"/>
        <v>►</v>
      </c>
      <c r="BY363" s="2"/>
      <c r="BZ363" s="2"/>
      <c r="CA363" s="2"/>
      <c r="CB363" s="2"/>
      <c r="CC363" s="2"/>
      <c r="DC363" s="5">
        <v>1</v>
      </c>
    </row>
    <row r="364" spans="12:107" ht="21" customHeight="1">
      <c r="L364" s="1021" t="s">
        <v>26</v>
      </c>
      <c r="M364" s="6787"/>
      <c r="N364" s="6787"/>
      <c r="O364" s="6787"/>
      <c r="P364" s="6788"/>
      <c r="Q364" s="6789"/>
      <c r="R364" s="6790"/>
      <c r="S364" s="6786"/>
      <c r="T364" s="6791"/>
      <c r="U364" s="6844"/>
      <c r="V364" s="6791"/>
      <c r="W364" s="6785"/>
      <c r="X364" s="6868"/>
      <c r="Y364" s="6793"/>
      <c r="Z364" s="6794"/>
      <c r="AA364" s="6795"/>
      <c r="AB364" s="6796"/>
      <c r="AC364" s="6797"/>
      <c r="AD364" s="6798"/>
      <c r="AE364" s="4" t="s">
        <v>1</v>
      </c>
      <c r="AF364" s="6202" t="str">
        <f t="shared" si="156"/>
        <v>►</v>
      </c>
      <c r="AG364" s="6234" t="str">
        <f t="shared" si="157"/>
        <v/>
      </c>
      <c r="AH364" s="6732" t="str">
        <f t="shared" si="158"/>
        <v/>
      </c>
      <c r="AI364" s="6234" t="str">
        <f t="shared" si="159"/>
        <v/>
      </c>
      <c r="AJ364" s="6732" t="str">
        <f t="shared" si="160"/>
        <v/>
      </c>
      <c r="AK364" s="6732">
        <f t="shared" si="161"/>
        <v>0</v>
      </c>
      <c r="AL364" s="6230" t="str" cm="1">
        <f t="array" ref="AL364">IF(AF364&lt;&gt;"A","",IFERROR((IFERROR(_xlfn.XLOOKUP(TRIM(SUBSTITUTE(U364,CHAR(160)," ")),$BJ$15:$BJ$62,$BM$15:$BM$62),IFERROR(_xlfn.XLOOKUP(TRIM(SUBSTITUTE(U364,CHAR(160)," ")),$BK$15:$BK$62,$BM$15:$BM$62),_xlfn.XLOOKUP(TRIM(SUBSTITUTE(U364,CHAR(160)," ")),$BL$15:$BL$62,$BM$15:$BM$62))))*T364*IF(ISBLANK(Q364),1,Q364)+IFERROR(_xlfn.XLOOKUP("RECHERCHEX",TRIM(L364:AD364),L364:AD364),0),0))</f>
        <v/>
      </c>
      <c r="AM364" s="6229">
        <f t="shared" si="162"/>
        <v>0</v>
      </c>
      <c r="AN364" s="6857" t="str">
        <f t="shared" si="177"/>
        <v/>
      </c>
      <c r="AO364" s="392">
        <f t="shared" si="163"/>
        <v>0</v>
      </c>
      <c r="AP364" s="392">
        <f t="shared" si="164"/>
        <v>0</v>
      </c>
      <c r="AQ364" s="6190">
        <f t="shared" si="165"/>
        <v>0</v>
      </c>
      <c r="AR364" s="6858" t="str">
        <f t="shared" si="166"/>
        <v/>
      </c>
      <c r="AS364" s="6217"/>
      <c r="AT364" s="6217"/>
      <c r="AU364" s="6271">
        <f t="shared" si="167"/>
        <v>0</v>
      </c>
      <c r="AV364" s="6242">
        <f t="shared" si="168"/>
        <v>0</v>
      </c>
      <c r="AW364" s="6188" cm="1">
        <f t="array" ref="AW364">IF(AK364&lt;&gt;1,0,IF(OR(AU364="",N(AU364)&lt;=0.000000001),"",IF(OR(AO364="",N(AO364)&lt;=0.000000001),0,IF(ISNUMBER(AU364),IFERROR(_xlfn.LET(_xlpm.ai_test,TRIM(AJ364),_xlpm.r,IFERROR(_xlfn.XLOOKUP(_xlpm.ai_test,$BJ$15:$BJ$62,ROW($BJ$15:$BJ$62),0,1),IFERROR(_xlfn.XLOOKUP(_xlpm.ai_test,$BK$15:$BK$62,ROW($BK$15:$BK$62),0,1),_xlfn.XLOOKUP(_xlpm.ai_test,$BL$15:$BL$62,ROW($BL$15:$BL$62),0,1))),_xlpm.p,_xlpm.r-MIN(ROW($BJ$15:$BJ$62))+1,_xlpm.f,INDEX($BM$15:$BM$62,_xlpm.p),_xlpm.u,INDEX($BN$15:$BN$62,_xlpm.p),_xlpm.s,INDEX($BP$15:$BP$62,_xlpm.p),_xlpm.q,N(AU364)/_xlpm.f,IF(_xlpm.q&gt;=_xlpm.s,ROUND(_xlpm.q,1)&amp;" "&amp;_xlpm.ai_test&amp;" = "&amp;ROUND(_xlpm.q*_xlpm.f,1)&amp;" "&amp;_xlpm.u,ROUND(_xlpm.q,1)&amp;" "&amp;_xlpm.ai_test)),""),""))))</f>
        <v>0</v>
      </c>
      <c r="AX364" s="6218"/>
      <c r="AY364" s="6271">
        <f t="shared" si="169"/>
        <v>0</v>
      </c>
      <c r="AZ364" s="6242" t="str">
        <f t="shared" si="170"/>
        <v/>
      </c>
      <c r="BA364" s="6194">
        <f t="shared" si="175"/>
        <v>0</v>
      </c>
      <c r="BB364" s="6192" t="str">
        <f t="shared" si="171"/>
        <v/>
      </c>
      <c r="BC364" s="6219"/>
      <c r="BD364" s="6221">
        <f t="shared" si="176"/>
        <v>0</v>
      </c>
      <c r="BE364" s="6220" t="str">
        <f t="shared" si="172"/>
        <v/>
      </c>
      <c r="BF364" s="4" t="s">
        <v>1</v>
      </c>
      <c r="BG364" s="6196">
        <f t="shared" si="173"/>
        <v>0</v>
      </c>
      <c r="BH364" s="6197">
        <f t="shared" si="174"/>
        <v>0</v>
      </c>
      <c r="BI364"/>
      <c r="BJ364" s="1"/>
      <c r="BK364" s="1"/>
      <c r="BL364" s="1"/>
      <c r="BM364" s="1"/>
      <c r="BN364" s="1"/>
      <c r="BO364" s="1"/>
      <c r="BP364" s="1"/>
      <c r="BQ364" s="1"/>
      <c r="BX364" s="20" t="str">
        <f t="shared" si="155"/>
        <v>►</v>
      </c>
      <c r="BY364" s="2"/>
      <c r="BZ364" s="2"/>
      <c r="CA364" s="2"/>
      <c r="CB364" s="2"/>
      <c r="CC364" s="2"/>
      <c r="DC364" s="5">
        <v>1</v>
      </c>
    </row>
    <row r="365" spans="12:107" ht="21" customHeight="1">
      <c r="L365" s="1021" t="s">
        <v>26</v>
      </c>
      <c r="M365" s="6787"/>
      <c r="N365" s="6787"/>
      <c r="O365" s="6787"/>
      <c r="P365" s="6788"/>
      <c r="Q365" s="6789"/>
      <c r="R365" s="6790"/>
      <c r="S365" s="6786"/>
      <c r="T365" s="6791"/>
      <c r="U365" s="6844"/>
      <c r="V365" s="6791"/>
      <c r="W365" s="6785"/>
      <c r="X365" s="6868"/>
      <c r="Y365" s="6793"/>
      <c r="Z365" s="6794"/>
      <c r="AA365" s="6795"/>
      <c r="AB365" s="6796"/>
      <c r="AC365" s="6797"/>
      <c r="AD365" s="6798"/>
      <c r="AE365" s="4" t="s">
        <v>1</v>
      </c>
      <c r="AF365" s="6202" t="str">
        <f t="shared" si="156"/>
        <v>►</v>
      </c>
      <c r="AG365" s="6234" t="str">
        <f t="shared" si="157"/>
        <v/>
      </c>
      <c r="AH365" s="6732" t="str">
        <f t="shared" si="158"/>
        <v/>
      </c>
      <c r="AI365" s="6234" t="str">
        <f t="shared" si="159"/>
        <v/>
      </c>
      <c r="AJ365" s="6732" t="str">
        <f t="shared" si="160"/>
        <v/>
      </c>
      <c r="AK365" s="6732">
        <f t="shared" si="161"/>
        <v>0</v>
      </c>
      <c r="AL365" s="6230" t="str" cm="1">
        <f t="array" ref="AL365">IF(AF365&lt;&gt;"A","",IFERROR((IFERROR(_xlfn.XLOOKUP(TRIM(SUBSTITUTE(U365,CHAR(160)," ")),$BJ$15:$BJ$62,$BM$15:$BM$62),IFERROR(_xlfn.XLOOKUP(TRIM(SUBSTITUTE(U365,CHAR(160)," ")),$BK$15:$BK$62,$BM$15:$BM$62),_xlfn.XLOOKUP(TRIM(SUBSTITUTE(U365,CHAR(160)," ")),$BL$15:$BL$62,$BM$15:$BM$62))))*T365*IF(ISBLANK(Q365),1,Q365)+IFERROR(_xlfn.XLOOKUP("RECHERCHEX",TRIM(L365:AD365),L365:AD365),0),0))</f>
        <v/>
      </c>
      <c r="AM365" s="6229">
        <f t="shared" si="162"/>
        <v>0</v>
      </c>
      <c r="AN365" s="6857" t="str">
        <f t="shared" si="177"/>
        <v/>
      </c>
      <c r="AO365" s="392">
        <f t="shared" si="163"/>
        <v>0</v>
      </c>
      <c r="AP365" s="392">
        <f t="shared" si="164"/>
        <v>0</v>
      </c>
      <c r="AQ365" s="6191">
        <f t="shared" si="165"/>
        <v>0</v>
      </c>
      <c r="AR365" s="6859" t="str">
        <f t="shared" si="166"/>
        <v/>
      </c>
      <c r="AS365" s="6217"/>
      <c r="AT365" s="6217"/>
      <c r="AU365" s="6272">
        <f t="shared" si="167"/>
        <v>0</v>
      </c>
      <c r="AV365" s="6240">
        <f t="shared" si="168"/>
        <v>0</v>
      </c>
      <c r="AW365" s="6189" cm="1">
        <f t="array" ref="AW365">IF(AK365&lt;&gt;1,0,IF(OR(AU365="",N(AU365)&lt;=0.000000001),"",IF(OR(AO365="",N(AO365)&lt;=0.000000001),0,IF(ISNUMBER(AU365),IFERROR(_xlfn.LET(_xlpm.ai_test,TRIM(AJ365),_xlpm.r,IFERROR(_xlfn.XLOOKUP(_xlpm.ai_test,$BJ$15:$BJ$62,ROW($BJ$15:$BJ$62),0,1),IFERROR(_xlfn.XLOOKUP(_xlpm.ai_test,$BK$15:$BK$62,ROW($BK$15:$BK$62),0,1),_xlfn.XLOOKUP(_xlpm.ai_test,$BL$15:$BL$62,ROW($BL$15:$BL$62),0,1))),_xlpm.p,_xlpm.r-MIN(ROW($BJ$15:$BJ$62))+1,_xlpm.f,INDEX($BM$15:$BM$62,_xlpm.p),_xlpm.u,INDEX($BN$15:$BN$62,_xlpm.p),_xlpm.s,INDEX($BP$15:$BP$62,_xlpm.p),_xlpm.q,N(AU365)/_xlpm.f,IF(_xlpm.q&gt;=_xlpm.s,ROUND(_xlpm.q,1)&amp;" "&amp;_xlpm.ai_test&amp;" = "&amp;ROUND(_xlpm.q*_xlpm.f,1)&amp;" "&amp;_xlpm.u,ROUND(_xlpm.q,1)&amp;" "&amp;_xlpm.ai_test)),""),""))))</f>
        <v>0</v>
      </c>
      <c r="AX365" s="6218"/>
      <c r="AY365" s="6272">
        <f t="shared" si="169"/>
        <v>0</v>
      </c>
      <c r="AZ365" s="6240" t="str">
        <f t="shared" si="170"/>
        <v/>
      </c>
      <c r="BA365" s="6195">
        <f t="shared" si="175"/>
        <v>0</v>
      </c>
      <c r="BB365" s="6193" t="str">
        <f t="shared" si="171"/>
        <v/>
      </c>
      <c r="BC365" s="6219"/>
      <c r="BD365" s="6222">
        <f t="shared" si="176"/>
        <v>0</v>
      </c>
      <c r="BE365" s="6220" t="str">
        <f t="shared" si="172"/>
        <v/>
      </c>
      <c r="BF365" s="4" t="s">
        <v>1</v>
      </c>
      <c r="BG365" s="6196">
        <f t="shared" si="173"/>
        <v>0</v>
      </c>
      <c r="BH365" s="6197">
        <f t="shared" si="174"/>
        <v>0</v>
      </c>
      <c r="BI365"/>
      <c r="BJ365" s="1"/>
      <c r="BK365" s="1"/>
      <c r="BL365" s="1"/>
      <c r="BM365" s="1"/>
      <c r="BN365" s="1"/>
      <c r="BO365" s="1"/>
      <c r="BP365" s="1"/>
      <c r="BQ365" s="1"/>
      <c r="BX365" s="20" t="str">
        <f t="shared" si="155"/>
        <v>►</v>
      </c>
      <c r="BY365" s="2"/>
      <c r="BZ365" s="2"/>
      <c r="CA365" s="2"/>
      <c r="CB365" s="2"/>
      <c r="CC365" s="2"/>
      <c r="DC365" s="5">
        <v>1</v>
      </c>
    </row>
    <row r="366" spans="12:107" ht="21" customHeight="1">
      <c r="L366" s="1021" t="s">
        <v>26</v>
      </c>
      <c r="M366" s="6787"/>
      <c r="N366" s="6787"/>
      <c r="O366" s="6787"/>
      <c r="P366" s="6788"/>
      <c r="Q366" s="6789"/>
      <c r="R366" s="6790"/>
      <c r="S366" s="6786"/>
      <c r="T366" s="6791"/>
      <c r="U366" s="6844"/>
      <c r="V366" s="6791"/>
      <c r="W366" s="6785"/>
      <c r="X366" s="6868"/>
      <c r="Y366" s="6793"/>
      <c r="Z366" s="6794"/>
      <c r="AA366" s="6795"/>
      <c r="AB366" s="6796"/>
      <c r="AC366" s="6797"/>
      <c r="AD366" s="6798"/>
      <c r="AE366" s="4" t="s">
        <v>1</v>
      </c>
      <c r="AF366" s="6202" t="str">
        <f t="shared" si="156"/>
        <v>►</v>
      </c>
      <c r="AG366" s="6234" t="str">
        <f t="shared" si="157"/>
        <v/>
      </c>
      <c r="AH366" s="6732" t="str">
        <f t="shared" si="158"/>
        <v/>
      </c>
      <c r="AI366" s="6234" t="str">
        <f t="shared" si="159"/>
        <v/>
      </c>
      <c r="AJ366" s="6732" t="str">
        <f t="shared" si="160"/>
        <v/>
      </c>
      <c r="AK366" s="6732">
        <f t="shared" si="161"/>
        <v>0</v>
      </c>
      <c r="AL366" s="6230" t="str" cm="1">
        <f t="array" ref="AL366">IF(AF366&lt;&gt;"A","",IFERROR((IFERROR(_xlfn.XLOOKUP(TRIM(SUBSTITUTE(U366,CHAR(160)," ")),$BJ$15:$BJ$62,$BM$15:$BM$62),IFERROR(_xlfn.XLOOKUP(TRIM(SUBSTITUTE(U366,CHAR(160)," ")),$BK$15:$BK$62,$BM$15:$BM$62),_xlfn.XLOOKUP(TRIM(SUBSTITUTE(U366,CHAR(160)," ")),$BL$15:$BL$62,$BM$15:$BM$62))))*T366*IF(ISBLANK(Q366),1,Q366)+IFERROR(_xlfn.XLOOKUP("RECHERCHEX",TRIM(L366:AD366),L366:AD366),0),0))</f>
        <v/>
      </c>
      <c r="AM366" s="6229">
        <f t="shared" si="162"/>
        <v>0</v>
      </c>
      <c r="AN366" s="6857" t="str">
        <f t="shared" si="177"/>
        <v/>
      </c>
      <c r="AO366" s="392">
        <f t="shared" si="163"/>
        <v>0</v>
      </c>
      <c r="AP366" s="392">
        <f t="shared" si="164"/>
        <v>0</v>
      </c>
      <c r="AQ366" s="6190">
        <f t="shared" si="165"/>
        <v>0</v>
      </c>
      <c r="AR366" s="6858" t="str">
        <f t="shared" si="166"/>
        <v/>
      </c>
      <c r="AS366" s="6217"/>
      <c r="AT366" s="6217"/>
      <c r="AU366" s="6271">
        <f t="shared" si="167"/>
        <v>0</v>
      </c>
      <c r="AV366" s="6242">
        <f t="shared" si="168"/>
        <v>0</v>
      </c>
      <c r="AW366" s="6188" cm="1">
        <f t="array" ref="AW366">IF(AK366&lt;&gt;1,0,IF(OR(AU366="",N(AU366)&lt;=0.000000001),"",IF(OR(AO366="",N(AO366)&lt;=0.000000001),0,IF(ISNUMBER(AU366),IFERROR(_xlfn.LET(_xlpm.ai_test,TRIM(AJ366),_xlpm.r,IFERROR(_xlfn.XLOOKUP(_xlpm.ai_test,$BJ$15:$BJ$62,ROW($BJ$15:$BJ$62),0,1),IFERROR(_xlfn.XLOOKUP(_xlpm.ai_test,$BK$15:$BK$62,ROW($BK$15:$BK$62),0,1),_xlfn.XLOOKUP(_xlpm.ai_test,$BL$15:$BL$62,ROW($BL$15:$BL$62),0,1))),_xlpm.p,_xlpm.r-MIN(ROW($BJ$15:$BJ$62))+1,_xlpm.f,INDEX($BM$15:$BM$62,_xlpm.p),_xlpm.u,INDEX($BN$15:$BN$62,_xlpm.p),_xlpm.s,INDEX($BP$15:$BP$62,_xlpm.p),_xlpm.q,N(AU366)/_xlpm.f,IF(_xlpm.q&gt;=_xlpm.s,ROUND(_xlpm.q,1)&amp;" "&amp;_xlpm.ai_test&amp;" = "&amp;ROUND(_xlpm.q*_xlpm.f,1)&amp;" "&amp;_xlpm.u,ROUND(_xlpm.q,1)&amp;" "&amp;_xlpm.ai_test)),""),""))))</f>
        <v>0</v>
      </c>
      <c r="AX366" s="6218"/>
      <c r="AY366" s="6271">
        <f t="shared" si="169"/>
        <v>0</v>
      </c>
      <c r="AZ366" s="6242" t="str">
        <f t="shared" si="170"/>
        <v/>
      </c>
      <c r="BA366" s="6194">
        <f t="shared" si="175"/>
        <v>0</v>
      </c>
      <c r="BB366" s="6192" t="str">
        <f t="shared" si="171"/>
        <v/>
      </c>
      <c r="BC366" s="6219"/>
      <c r="BD366" s="6221">
        <f t="shared" si="176"/>
        <v>0</v>
      </c>
      <c r="BE366" s="6220" t="str">
        <f t="shared" si="172"/>
        <v/>
      </c>
      <c r="BF366" s="4" t="s">
        <v>1</v>
      </c>
      <c r="BG366" s="6196">
        <f t="shared" si="173"/>
        <v>0</v>
      </c>
      <c r="BH366" s="6197">
        <f t="shared" si="174"/>
        <v>0</v>
      </c>
      <c r="BI366"/>
      <c r="BJ366" s="1"/>
      <c r="BK366" s="1"/>
      <c r="BL366" s="1"/>
      <c r="BM366" s="1"/>
      <c r="BN366" s="1"/>
      <c r="BO366" s="1"/>
      <c r="BP366" s="1"/>
      <c r="BQ366" s="1"/>
      <c r="BX366" s="20" t="str">
        <f t="shared" si="155"/>
        <v>►</v>
      </c>
      <c r="BY366" s="2"/>
      <c r="BZ366" s="2"/>
      <c r="CA366" s="2"/>
      <c r="CB366" s="2"/>
      <c r="CC366" s="2"/>
      <c r="DC366" s="5">
        <v>1</v>
      </c>
    </row>
    <row r="367" spans="12:107" ht="21" customHeight="1">
      <c r="L367" s="1021" t="s">
        <v>26</v>
      </c>
      <c r="M367" s="6787"/>
      <c r="N367" s="6787"/>
      <c r="O367" s="6787"/>
      <c r="P367" s="6788"/>
      <c r="Q367" s="6789"/>
      <c r="R367" s="6790"/>
      <c r="S367" s="6786"/>
      <c r="T367" s="6791"/>
      <c r="U367" s="6844"/>
      <c r="V367" s="6791"/>
      <c r="W367" s="6785"/>
      <c r="X367" s="6868"/>
      <c r="Y367" s="6793"/>
      <c r="Z367" s="6794"/>
      <c r="AA367" s="6795"/>
      <c r="AB367" s="6796"/>
      <c r="AC367" s="6797"/>
      <c r="AD367" s="6798"/>
      <c r="AE367" s="4" t="s">
        <v>1</v>
      </c>
      <c r="AF367" s="6202" t="str">
        <f t="shared" si="156"/>
        <v>►</v>
      </c>
      <c r="AG367" s="6234" t="str">
        <f t="shared" si="157"/>
        <v/>
      </c>
      <c r="AH367" s="6732" t="str">
        <f t="shared" si="158"/>
        <v/>
      </c>
      <c r="AI367" s="6234" t="str">
        <f t="shared" si="159"/>
        <v/>
      </c>
      <c r="AJ367" s="6732" t="str">
        <f t="shared" si="160"/>
        <v/>
      </c>
      <c r="AK367" s="6732">
        <f t="shared" si="161"/>
        <v>0</v>
      </c>
      <c r="AL367" s="6230" t="str" cm="1">
        <f t="array" ref="AL367">IF(AF367&lt;&gt;"A","",IFERROR((IFERROR(_xlfn.XLOOKUP(TRIM(SUBSTITUTE(U367,CHAR(160)," ")),$BJ$15:$BJ$62,$BM$15:$BM$62),IFERROR(_xlfn.XLOOKUP(TRIM(SUBSTITUTE(U367,CHAR(160)," ")),$BK$15:$BK$62,$BM$15:$BM$62),_xlfn.XLOOKUP(TRIM(SUBSTITUTE(U367,CHAR(160)," ")),$BL$15:$BL$62,$BM$15:$BM$62))))*T367*IF(ISBLANK(Q367),1,Q367)+IFERROR(_xlfn.XLOOKUP("RECHERCHEX",TRIM(L367:AD367),L367:AD367),0),0))</f>
        <v/>
      </c>
      <c r="AM367" s="6229">
        <f t="shared" si="162"/>
        <v>0</v>
      </c>
      <c r="AN367" s="6857" t="str">
        <f t="shared" si="177"/>
        <v/>
      </c>
      <c r="AO367" s="392">
        <f t="shared" si="163"/>
        <v>0</v>
      </c>
      <c r="AP367" s="392">
        <f t="shared" si="164"/>
        <v>0</v>
      </c>
      <c r="AQ367" s="6191">
        <f t="shared" si="165"/>
        <v>0</v>
      </c>
      <c r="AR367" s="6859" t="str">
        <f t="shared" si="166"/>
        <v/>
      </c>
      <c r="AS367" s="6217"/>
      <c r="AT367" s="6217"/>
      <c r="AU367" s="6272">
        <f t="shared" si="167"/>
        <v>0</v>
      </c>
      <c r="AV367" s="6240">
        <f t="shared" si="168"/>
        <v>0</v>
      </c>
      <c r="AW367" s="6189" cm="1">
        <f t="array" ref="AW367">IF(AK367&lt;&gt;1,0,IF(OR(AU367="",N(AU367)&lt;=0.000000001),"",IF(OR(AO367="",N(AO367)&lt;=0.000000001),0,IF(ISNUMBER(AU367),IFERROR(_xlfn.LET(_xlpm.ai_test,TRIM(AJ367),_xlpm.r,IFERROR(_xlfn.XLOOKUP(_xlpm.ai_test,$BJ$15:$BJ$62,ROW($BJ$15:$BJ$62),0,1),IFERROR(_xlfn.XLOOKUP(_xlpm.ai_test,$BK$15:$BK$62,ROW($BK$15:$BK$62),0,1),_xlfn.XLOOKUP(_xlpm.ai_test,$BL$15:$BL$62,ROW($BL$15:$BL$62),0,1))),_xlpm.p,_xlpm.r-MIN(ROW($BJ$15:$BJ$62))+1,_xlpm.f,INDEX($BM$15:$BM$62,_xlpm.p),_xlpm.u,INDEX($BN$15:$BN$62,_xlpm.p),_xlpm.s,INDEX($BP$15:$BP$62,_xlpm.p),_xlpm.q,N(AU367)/_xlpm.f,IF(_xlpm.q&gt;=_xlpm.s,ROUND(_xlpm.q,1)&amp;" "&amp;_xlpm.ai_test&amp;" = "&amp;ROUND(_xlpm.q*_xlpm.f,1)&amp;" "&amp;_xlpm.u,ROUND(_xlpm.q,1)&amp;" "&amp;_xlpm.ai_test)),""),""))))</f>
        <v>0</v>
      </c>
      <c r="AX367" s="6218"/>
      <c r="AY367" s="6272">
        <f t="shared" si="169"/>
        <v>0</v>
      </c>
      <c r="AZ367" s="6240" t="str">
        <f t="shared" si="170"/>
        <v/>
      </c>
      <c r="BA367" s="6195">
        <f t="shared" si="175"/>
        <v>0</v>
      </c>
      <c r="BB367" s="6193" t="str">
        <f t="shared" si="171"/>
        <v/>
      </c>
      <c r="BC367" s="6219"/>
      <c r="BD367" s="6222">
        <f t="shared" si="176"/>
        <v>0</v>
      </c>
      <c r="BE367" s="6220" t="str">
        <f t="shared" si="172"/>
        <v/>
      </c>
      <c r="BF367" s="4" t="s">
        <v>1</v>
      </c>
      <c r="BG367" s="6196">
        <f t="shared" si="173"/>
        <v>0</v>
      </c>
      <c r="BH367" s="6197">
        <f t="shared" si="174"/>
        <v>0</v>
      </c>
      <c r="BI367"/>
      <c r="BJ367" s="1"/>
      <c r="BK367" s="1"/>
      <c r="BL367" s="1"/>
      <c r="BM367" s="1"/>
      <c r="BN367" s="1"/>
      <c r="BO367" s="1"/>
      <c r="BP367" s="1"/>
      <c r="BQ367" s="1"/>
      <c r="BX367" s="20" t="str">
        <f t="shared" si="155"/>
        <v>►</v>
      </c>
      <c r="BY367" s="2"/>
      <c r="BZ367" s="2"/>
      <c r="CA367" s="2"/>
      <c r="CB367" s="2"/>
      <c r="CC367" s="2"/>
      <c r="DC367" s="5">
        <v>1</v>
      </c>
    </row>
    <row r="368" spans="12:107" ht="21" customHeight="1">
      <c r="L368" s="1021" t="s">
        <v>26</v>
      </c>
      <c r="M368" s="6787"/>
      <c r="N368" s="6787"/>
      <c r="O368" s="6787"/>
      <c r="P368" s="6788"/>
      <c r="Q368" s="6789"/>
      <c r="R368" s="6790"/>
      <c r="S368" s="6786"/>
      <c r="T368" s="6791"/>
      <c r="U368" s="6844"/>
      <c r="V368" s="6791"/>
      <c r="W368" s="6785"/>
      <c r="X368" s="6868"/>
      <c r="Y368" s="6793"/>
      <c r="Z368" s="6794"/>
      <c r="AA368" s="6795"/>
      <c r="AB368" s="6796"/>
      <c r="AC368" s="6797"/>
      <c r="AD368" s="6798"/>
      <c r="AE368" s="4" t="s">
        <v>1</v>
      </c>
      <c r="AF368" s="6202" t="str">
        <f t="shared" si="156"/>
        <v>►</v>
      </c>
      <c r="AG368" s="6234" t="str">
        <f t="shared" si="157"/>
        <v/>
      </c>
      <c r="AH368" s="6732" t="str">
        <f t="shared" si="158"/>
        <v/>
      </c>
      <c r="AI368" s="6234" t="str">
        <f t="shared" si="159"/>
        <v/>
      </c>
      <c r="AJ368" s="6732" t="str">
        <f t="shared" si="160"/>
        <v/>
      </c>
      <c r="AK368" s="6732">
        <f t="shared" si="161"/>
        <v>0</v>
      </c>
      <c r="AL368" s="6230" t="str" cm="1">
        <f t="array" ref="AL368">IF(AF368&lt;&gt;"A","",IFERROR((IFERROR(_xlfn.XLOOKUP(TRIM(SUBSTITUTE(U368,CHAR(160)," ")),$BJ$15:$BJ$62,$BM$15:$BM$62),IFERROR(_xlfn.XLOOKUP(TRIM(SUBSTITUTE(U368,CHAR(160)," ")),$BK$15:$BK$62,$BM$15:$BM$62),_xlfn.XLOOKUP(TRIM(SUBSTITUTE(U368,CHAR(160)," ")),$BL$15:$BL$62,$BM$15:$BM$62))))*T368*IF(ISBLANK(Q368),1,Q368)+IFERROR(_xlfn.XLOOKUP("RECHERCHEX",TRIM(L368:AD368),L368:AD368),0),0))</f>
        <v/>
      </c>
      <c r="AM368" s="6229">
        <f t="shared" si="162"/>
        <v>0</v>
      </c>
      <c r="AN368" s="6857" t="str">
        <f t="shared" si="177"/>
        <v/>
      </c>
      <c r="AO368" s="392">
        <f t="shared" si="163"/>
        <v>0</v>
      </c>
      <c r="AP368" s="392">
        <f t="shared" si="164"/>
        <v>0</v>
      </c>
      <c r="AQ368" s="6190">
        <f t="shared" si="165"/>
        <v>0</v>
      </c>
      <c r="AR368" s="6858" t="str">
        <f t="shared" si="166"/>
        <v/>
      </c>
      <c r="AS368" s="6217"/>
      <c r="AT368" s="6217"/>
      <c r="AU368" s="6271">
        <f t="shared" si="167"/>
        <v>0</v>
      </c>
      <c r="AV368" s="6242">
        <f t="shared" si="168"/>
        <v>0</v>
      </c>
      <c r="AW368" s="6188" cm="1">
        <f t="array" ref="AW368">IF(AK368&lt;&gt;1,0,IF(OR(AU368="",N(AU368)&lt;=0.000000001),"",IF(OR(AO368="",N(AO368)&lt;=0.000000001),0,IF(ISNUMBER(AU368),IFERROR(_xlfn.LET(_xlpm.ai_test,TRIM(AJ368),_xlpm.r,IFERROR(_xlfn.XLOOKUP(_xlpm.ai_test,$BJ$15:$BJ$62,ROW($BJ$15:$BJ$62),0,1),IFERROR(_xlfn.XLOOKUP(_xlpm.ai_test,$BK$15:$BK$62,ROW($BK$15:$BK$62),0,1),_xlfn.XLOOKUP(_xlpm.ai_test,$BL$15:$BL$62,ROW($BL$15:$BL$62),0,1))),_xlpm.p,_xlpm.r-MIN(ROW($BJ$15:$BJ$62))+1,_xlpm.f,INDEX($BM$15:$BM$62,_xlpm.p),_xlpm.u,INDEX($BN$15:$BN$62,_xlpm.p),_xlpm.s,INDEX($BP$15:$BP$62,_xlpm.p),_xlpm.q,N(AU368)/_xlpm.f,IF(_xlpm.q&gt;=_xlpm.s,ROUND(_xlpm.q,1)&amp;" "&amp;_xlpm.ai_test&amp;" = "&amp;ROUND(_xlpm.q*_xlpm.f,1)&amp;" "&amp;_xlpm.u,ROUND(_xlpm.q,1)&amp;" "&amp;_xlpm.ai_test)),""),""))))</f>
        <v>0</v>
      </c>
      <c r="AX368" s="6218"/>
      <c r="AY368" s="6271">
        <f t="shared" si="169"/>
        <v>0</v>
      </c>
      <c r="AZ368" s="6242" t="str">
        <f t="shared" si="170"/>
        <v/>
      </c>
      <c r="BA368" s="6194">
        <f t="shared" si="175"/>
        <v>0</v>
      </c>
      <c r="BB368" s="6192" t="str">
        <f t="shared" si="171"/>
        <v/>
      </c>
      <c r="BC368" s="6219"/>
      <c r="BD368" s="6221">
        <f t="shared" si="176"/>
        <v>0</v>
      </c>
      <c r="BE368" s="6220" t="str">
        <f t="shared" si="172"/>
        <v/>
      </c>
      <c r="BF368" s="4" t="s">
        <v>1</v>
      </c>
      <c r="BG368" s="6196">
        <f t="shared" si="173"/>
        <v>0</v>
      </c>
      <c r="BH368" s="6197">
        <f t="shared" si="174"/>
        <v>0</v>
      </c>
      <c r="BI368"/>
      <c r="BJ368" s="1"/>
      <c r="BK368" s="1"/>
      <c r="BL368" s="1"/>
      <c r="BM368" s="1"/>
      <c r="BN368" s="1"/>
      <c r="BO368" s="1"/>
      <c r="BP368" s="1"/>
      <c r="BQ368" s="1"/>
      <c r="BX368" s="20" t="str">
        <f t="shared" si="155"/>
        <v>►</v>
      </c>
      <c r="BY368" s="2"/>
      <c r="BZ368" s="2"/>
      <c r="CA368" s="2"/>
      <c r="CB368" s="2"/>
      <c r="CC368" s="2"/>
      <c r="DC368" s="5">
        <v>1</v>
      </c>
    </row>
    <row r="369" spans="12:107" ht="21" customHeight="1">
      <c r="L369" s="1021" t="s">
        <v>26</v>
      </c>
      <c r="M369" s="6787"/>
      <c r="N369" s="6787"/>
      <c r="O369" s="6787"/>
      <c r="P369" s="6788"/>
      <c r="Q369" s="6789"/>
      <c r="R369" s="6790"/>
      <c r="S369" s="6786"/>
      <c r="T369" s="6791"/>
      <c r="U369" s="6844"/>
      <c r="V369" s="6791"/>
      <c r="W369" s="6785"/>
      <c r="X369" s="6868"/>
      <c r="Y369" s="6793"/>
      <c r="Z369" s="6794"/>
      <c r="AA369" s="6795"/>
      <c r="AB369" s="6796"/>
      <c r="AC369" s="6797"/>
      <c r="AD369" s="6798"/>
      <c r="AE369" s="4" t="s">
        <v>1</v>
      </c>
      <c r="AF369" s="6202" t="str">
        <f t="shared" si="156"/>
        <v>►</v>
      </c>
      <c r="AG369" s="6234" t="str">
        <f t="shared" si="157"/>
        <v/>
      </c>
      <c r="AH369" s="6732" t="str">
        <f t="shared" si="158"/>
        <v/>
      </c>
      <c r="AI369" s="6234" t="str">
        <f t="shared" si="159"/>
        <v/>
      </c>
      <c r="AJ369" s="6732" t="str">
        <f t="shared" si="160"/>
        <v/>
      </c>
      <c r="AK369" s="6732">
        <f t="shared" si="161"/>
        <v>0</v>
      </c>
      <c r="AL369" s="6230" t="str" cm="1">
        <f t="array" ref="AL369">IF(AF369&lt;&gt;"A","",IFERROR((IFERROR(_xlfn.XLOOKUP(TRIM(SUBSTITUTE(U369,CHAR(160)," ")),$BJ$15:$BJ$62,$BM$15:$BM$62),IFERROR(_xlfn.XLOOKUP(TRIM(SUBSTITUTE(U369,CHAR(160)," ")),$BK$15:$BK$62,$BM$15:$BM$62),_xlfn.XLOOKUP(TRIM(SUBSTITUTE(U369,CHAR(160)," ")),$BL$15:$BL$62,$BM$15:$BM$62))))*T369*IF(ISBLANK(Q369),1,Q369)+IFERROR(_xlfn.XLOOKUP("RECHERCHEX",TRIM(L369:AD369),L369:AD369),0),0))</f>
        <v/>
      </c>
      <c r="AM369" s="6229">
        <f t="shared" si="162"/>
        <v>0</v>
      </c>
      <c r="AN369" s="6857" t="str">
        <f t="shared" si="177"/>
        <v/>
      </c>
      <c r="AO369" s="392">
        <f t="shared" si="163"/>
        <v>0</v>
      </c>
      <c r="AP369" s="392">
        <f t="shared" si="164"/>
        <v>0</v>
      </c>
      <c r="AQ369" s="6191">
        <f t="shared" si="165"/>
        <v>0</v>
      </c>
      <c r="AR369" s="6859" t="str">
        <f t="shared" si="166"/>
        <v/>
      </c>
      <c r="AS369" s="6217"/>
      <c r="AT369" s="6217"/>
      <c r="AU369" s="6272">
        <f t="shared" si="167"/>
        <v>0</v>
      </c>
      <c r="AV369" s="6240">
        <f t="shared" si="168"/>
        <v>0</v>
      </c>
      <c r="AW369" s="6189" cm="1">
        <f t="array" ref="AW369">IF(AK369&lt;&gt;1,0,IF(OR(AU369="",N(AU369)&lt;=0.000000001),"",IF(OR(AO369="",N(AO369)&lt;=0.000000001),0,IF(ISNUMBER(AU369),IFERROR(_xlfn.LET(_xlpm.ai_test,TRIM(AJ369),_xlpm.r,IFERROR(_xlfn.XLOOKUP(_xlpm.ai_test,$BJ$15:$BJ$62,ROW($BJ$15:$BJ$62),0,1),IFERROR(_xlfn.XLOOKUP(_xlpm.ai_test,$BK$15:$BK$62,ROW($BK$15:$BK$62),0,1),_xlfn.XLOOKUP(_xlpm.ai_test,$BL$15:$BL$62,ROW($BL$15:$BL$62),0,1))),_xlpm.p,_xlpm.r-MIN(ROW($BJ$15:$BJ$62))+1,_xlpm.f,INDEX($BM$15:$BM$62,_xlpm.p),_xlpm.u,INDEX($BN$15:$BN$62,_xlpm.p),_xlpm.s,INDEX($BP$15:$BP$62,_xlpm.p),_xlpm.q,N(AU369)/_xlpm.f,IF(_xlpm.q&gt;=_xlpm.s,ROUND(_xlpm.q,1)&amp;" "&amp;_xlpm.ai_test&amp;" = "&amp;ROUND(_xlpm.q*_xlpm.f,1)&amp;" "&amp;_xlpm.u,ROUND(_xlpm.q,1)&amp;" "&amp;_xlpm.ai_test)),""),""))))</f>
        <v>0</v>
      </c>
      <c r="AX369" s="6218"/>
      <c r="AY369" s="6272">
        <f t="shared" si="169"/>
        <v>0</v>
      </c>
      <c r="AZ369" s="6240" t="str">
        <f t="shared" si="170"/>
        <v/>
      </c>
      <c r="BA369" s="6195">
        <f t="shared" si="175"/>
        <v>0</v>
      </c>
      <c r="BB369" s="6193" t="str">
        <f t="shared" si="171"/>
        <v/>
      </c>
      <c r="BC369" s="6219"/>
      <c r="BD369" s="6222">
        <f t="shared" si="176"/>
        <v>0</v>
      </c>
      <c r="BE369" s="6220" t="str">
        <f t="shared" si="172"/>
        <v/>
      </c>
      <c r="BF369" s="4" t="s">
        <v>1</v>
      </c>
      <c r="BG369" s="6196">
        <f t="shared" si="173"/>
        <v>0</v>
      </c>
      <c r="BH369" s="6197">
        <f t="shared" si="174"/>
        <v>0</v>
      </c>
      <c r="BI369"/>
      <c r="BJ369" s="1"/>
      <c r="BK369" s="1"/>
      <c r="BL369" s="1"/>
      <c r="BM369" s="1"/>
      <c r="BN369" s="1"/>
      <c r="BO369" s="1"/>
      <c r="BP369" s="1"/>
      <c r="BQ369" s="1"/>
      <c r="BX369" s="20" t="str">
        <f t="shared" si="155"/>
        <v>►</v>
      </c>
      <c r="BY369" s="2"/>
      <c r="BZ369" s="2"/>
      <c r="CA369" s="2"/>
      <c r="CB369" s="2"/>
      <c r="CC369" s="2"/>
      <c r="DC369" s="5">
        <v>1</v>
      </c>
    </row>
    <row r="370" spans="12:107" ht="21" customHeight="1">
      <c r="L370" s="1021" t="s">
        <v>26</v>
      </c>
      <c r="M370" s="6787"/>
      <c r="N370" s="6787"/>
      <c r="O370" s="6787"/>
      <c r="P370" s="6788"/>
      <c r="Q370" s="6789"/>
      <c r="R370" s="6790"/>
      <c r="S370" s="6786"/>
      <c r="T370" s="6791"/>
      <c r="U370" s="6844"/>
      <c r="V370" s="6791"/>
      <c r="W370" s="6785"/>
      <c r="X370" s="6868"/>
      <c r="Y370" s="6793"/>
      <c r="Z370" s="6794"/>
      <c r="AA370" s="6795"/>
      <c r="AB370" s="6796"/>
      <c r="AC370" s="6797"/>
      <c r="AD370" s="6798"/>
      <c r="AE370" s="4" t="s">
        <v>1</v>
      </c>
      <c r="AF370" s="6202" t="str">
        <f t="shared" si="156"/>
        <v>►</v>
      </c>
      <c r="AG370" s="6234" t="str">
        <f t="shared" si="157"/>
        <v/>
      </c>
      <c r="AH370" s="6732" t="str">
        <f t="shared" si="158"/>
        <v/>
      </c>
      <c r="AI370" s="6234" t="str">
        <f t="shared" si="159"/>
        <v/>
      </c>
      <c r="AJ370" s="6732" t="str">
        <f t="shared" si="160"/>
        <v/>
      </c>
      <c r="AK370" s="6732">
        <f t="shared" si="161"/>
        <v>0</v>
      </c>
      <c r="AL370" s="6230" t="str" cm="1">
        <f t="array" ref="AL370">IF(AF370&lt;&gt;"A","",IFERROR((IFERROR(_xlfn.XLOOKUP(TRIM(SUBSTITUTE(U370,CHAR(160)," ")),$BJ$15:$BJ$62,$BM$15:$BM$62),IFERROR(_xlfn.XLOOKUP(TRIM(SUBSTITUTE(U370,CHAR(160)," ")),$BK$15:$BK$62,$BM$15:$BM$62),_xlfn.XLOOKUP(TRIM(SUBSTITUTE(U370,CHAR(160)," ")),$BL$15:$BL$62,$BM$15:$BM$62))))*T370*IF(ISBLANK(Q370),1,Q370)+IFERROR(_xlfn.XLOOKUP("RECHERCHEX",TRIM(L370:AD370),L370:AD370),0),0))</f>
        <v/>
      </c>
      <c r="AM370" s="6229">
        <f t="shared" si="162"/>
        <v>0</v>
      </c>
      <c r="AN370" s="6857" t="str">
        <f t="shared" si="177"/>
        <v/>
      </c>
      <c r="AO370" s="392">
        <f t="shared" si="163"/>
        <v>0</v>
      </c>
      <c r="AP370" s="392">
        <f t="shared" si="164"/>
        <v>0</v>
      </c>
      <c r="AQ370" s="6190">
        <f t="shared" si="165"/>
        <v>0</v>
      </c>
      <c r="AR370" s="6858" t="str">
        <f t="shared" si="166"/>
        <v/>
      </c>
      <c r="AS370" s="6217"/>
      <c r="AT370" s="6217"/>
      <c r="AU370" s="6271">
        <f t="shared" si="167"/>
        <v>0</v>
      </c>
      <c r="AV370" s="6242">
        <f t="shared" si="168"/>
        <v>0</v>
      </c>
      <c r="AW370" s="6188" cm="1">
        <f t="array" ref="AW370">IF(AK370&lt;&gt;1,0,IF(OR(AU370="",N(AU370)&lt;=0.000000001),"",IF(OR(AO370="",N(AO370)&lt;=0.000000001),0,IF(ISNUMBER(AU370),IFERROR(_xlfn.LET(_xlpm.ai_test,TRIM(AJ370),_xlpm.r,IFERROR(_xlfn.XLOOKUP(_xlpm.ai_test,$BJ$15:$BJ$62,ROW($BJ$15:$BJ$62),0,1),IFERROR(_xlfn.XLOOKUP(_xlpm.ai_test,$BK$15:$BK$62,ROW($BK$15:$BK$62),0,1),_xlfn.XLOOKUP(_xlpm.ai_test,$BL$15:$BL$62,ROW($BL$15:$BL$62),0,1))),_xlpm.p,_xlpm.r-MIN(ROW($BJ$15:$BJ$62))+1,_xlpm.f,INDEX($BM$15:$BM$62,_xlpm.p),_xlpm.u,INDEX($BN$15:$BN$62,_xlpm.p),_xlpm.s,INDEX($BP$15:$BP$62,_xlpm.p),_xlpm.q,N(AU370)/_xlpm.f,IF(_xlpm.q&gt;=_xlpm.s,ROUND(_xlpm.q,1)&amp;" "&amp;_xlpm.ai_test&amp;" = "&amp;ROUND(_xlpm.q*_xlpm.f,1)&amp;" "&amp;_xlpm.u,ROUND(_xlpm.q,1)&amp;" "&amp;_xlpm.ai_test)),""),""))))</f>
        <v>0</v>
      </c>
      <c r="AX370" s="6218"/>
      <c r="AY370" s="6271">
        <f t="shared" si="169"/>
        <v>0</v>
      </c>
      <c r="AZ370" s="6242" t="str">
        <f t="shared" si="170"/>
        <v/>
      </c>
      <c r="BA370" s="6194">
        <f t="shared" si="175"/>
        <v>0</v>
      </c>
      <c r="BB370" s="6192" t="str">
        <f t="shared" si="171"/>
        <v/>
      </c>
      <c r="BC370" s="6219"/>
      <c r="BD370" s="6221">
        <f t="shared" si="176"/>
        <v>0</v>
      </c>
      <c r="BE370" s="6220" t="str">
        <f t="shared" si="172"/>
        <v/>
      </c>
      <c r="BF370" s="4" t="s">
        <v>1</v>
      </c>
      <c r="BG370" s="6196">
        <f t="shared" si="173"/>
        <v>0</v>
      </c>
      <c r="BH370" s="6197">
        <f t="shared" si="174"/>
        <v>0</v>
      </c>
      <c r="BI370"/>
      <c r="BJ370" s="1"/>
      <c r="BK370" s="1"/>
      <c r="BL370" s="1"/>
      <c r="BM370" s="1"/>
      <c r="BN370" s="1"/>
      <c r="BO370" s="1"/>
      <c r="BP370" s="1"/>
      <c r="BQ370" s="1"/>
      <c r="BX370" s="20" t="str">
        <f t="shared" si="155"/>
        <v>►</v>
      </c>
      <c r="BY370" s="2"/>
      <c r="BZ370" s="2"/>
      <c r="CA370" s="2"/>
      <c r="CB370" s="2"/>
      <c r="CC370" s="2"/>
      <c r="DC370" s="5">
        <v>1</v>
      </c>
    </row>
    <row r="371" spans="12:107" ht="21" customHeight="1">
      <c r="L371" s="1021" t="s">
        <v>26</v>
      </c>
      <c r="M371" s="6787"/>
      <c r="N371" s="6787"/>
      <c r="O371" s="6787"/>
      <c r="P371" s="6788"/>
      <c r="Q371" s="6789"/>
      <c r="R371" s="6790"/>
      <c r="S371" s="6786"/>
      <c r="T371" s="6791"/>
      <c r="U371" s="6844"/>
      <c r="V371" s="6791"/>
      <c r="W371" s="6785"/>
      <c r="X371" s="6868"/>
      <c r="Y371" s="6793"/>
      <c r="Z371" s="6794"/>
      <c r="AA371" s="6795"/>
      <c r="AB371" s="6796"/>
      <c r="AC371" s="6797"/>
      <c r="AD371" s="6798"/>
      <c r="AE371" s="4" t="s">
        <v>1</v>
      </c>
      <c r="AF371" s="6202" t="str">
        <f t="shared" si="156"/>
        <v>►</v>
      </c>
      <c r="AG371" s="6234" t="str">
        <f t="shared" si="157"/>
        <v/>
      </c>
      <c r="AH371" s="6732" t="str">
        <f t="shared" si="158"/>
        <v/>
      </c>
      <c r="AI371" s="6234" t="str">
        <f t="shared" si="159"/>
        <v/>
      </c>
      <c r="AJ371" s="6732" t="str">
        <f t="shared" si="160"/>
        <v/>
      </c>
      <c r="AK371" s="6732">
        <f t="shared" si="161"/>
        <v>0</v>
      </c>
      <c r="AL371" s="6230" t="str" cm="1">
        <f t="array" ref="AL371">IF(AF371&lt;&gt;"A","",IFERROR((IFERROR(_xlfn.XLOOKUP(TRIM(SUBSTITUTE(U371,CHAR(160)," ")),$BJ$15:$BJ$62,$BM$15:$BM$62),IFERROR(_xlfn.XLOOKUP(TRIM(SUBSTITUTE(U371,CHAR(160)," ")),$BK$15:$BK$62,$BM$15:$BM$62),_xlfn.XLOOKUP(TRIM(SUBSTITUTE(U371,CHAR(160)," ")),$BL$15:$BL$62,$BM$15:$BM$62))))*T371*IF(ISBLANK(Q371),1,Q371)+IFERROR(_xlfn.XLOOKUP("RECHERCHEX",TRIM(L371:AD371),L371:AD371),0),0))</f>
        <v/>
      </c>
      <c r="AM371" s="6229">
        <f t="shared" si="162"/>
        <v>0</v>
      </c>
      <c r="AN371" s="6857" t="str">
        <f t="shared" si="177"/>
        <v/>
      </c>
      <c r="AO371" s="392">
        <f t="shared" si="163"/>
        <v>0</v>
      </c>
      <c r="AP371" s="392">
        <f t="shared" si="164"/>
        <v>0</v>
      </c>
      <c r="AQ371" s="6191">
        <f t="shared" si="165"/>
        <v>0</v>
      </c>
      <c r="AR371" s="6859" t="str">
        <f t="shared" si="166"/>
        <v/>
      </c>
      <c r="AS371" s="6217"/>
      <c r="AT371" s="6217"/>
      <c r="AU371" s="6272">
        <f t="shared" si="167"/>
        <v>0</v>
      </c>
      <c r="AV371" s="6240">
        <f t="shared" si="168"/>
        <v>0</v>
      </c>
      <c r="AW371" s="6189" cm="1">
        <f t="array" ref="AW371">IF(AK371&lt;&gt;1,0,IF(OR(AU371="",N(AU371)&lt;=0.000000001),"",IF(OR(AO371="",N(AO371)&lt;=0.000000001),0,IF(ISNUMBER(AU371),IFERROR(_xlfn.LET(_xlpm.ai_test,TRIM(AJ371),_xlpm.r,IFERROR(_xlfn.XLOOKUP(_xlpm.ai_test,$BJ$15:$BJ$62,ROW($BJ$15:$BJ$62),0,1),IFERROR(_xlfn.XLOOKUP(_xlpm.ai_test,$BK$15:$BK$62,ROW($BK$15:$BK$62),0,1),_xlfn.XLOOKUP(_xlpm.ai_test,$BL$15:$BL$62,ROW($BL$15:$BL$62),0,1))),_xlpm.p,_xlpm.r-MIN(ROW($BJ$15:$BJ$62))+1,_xlpm.f,INDEX($BM$15:$BM$62,_xlpm.p),_xlpm.u,INDEX($BN$15:$BN$62,_xlpm.p),_xlpm.s,INDEX($BP$15:$BP$62,_xlpm.p),_xlpm.q,N(AU371)/_xlpm.f,IF(_xlpm.q&gt;=_xlpm.s,ROUND(_xlpm.q,1)&amp;" "&amp;_xlpm.ai_test&amp;" = "&amp;ROUND(_xlpm.q*_xlpm.f,1)&amp;" "&amp;_xlpm.u,ROUND(_xlpm.q,1)&amp;" "&amp;_xlpm.ai_test)),""),""))))</f>
        <v>0</v>
      </c>
      <c r="AX371" s="6218"/>
      <c r="AY371" s="6272">
        <f t="shared" si="169"/>
        <v>0</v>
      </c>
      <c r="AZ371" s="6240" t="str">
        <f t="shared" si="170"/>
        <v/>
      </c>
      <c r="BA371" s="6195">
        <f t="shared" si="175"/>
        <v>0</v>
      </c>
      <c r="BB371" s="6193" t="str">
        <f t="shared" si="171"/>
        <v/>
      </c>
      <c r="BC371" s="6219"/>
      <c r="BD371" s="6222">
        <f t="shared" si="176"/>
        <v>0</v>
      </c>
      <c r="BE371" s="6220" t="str">
        <f t="shared" si="172"/>
        <v/>
      </c>
      <c r="BF371" s="4" t="s">
        <v>1</v>
      </c>
      <c r="BG371" s="6196">
        <f t="shared" si="173"/>
        <v>0</v>
      </c>
      <c r="BH371" s="6197">
        <f t="shared" si="174"/>
        <v>0</v>
      </c>
      <c r="BI371"/>
      <c r="BJ371" s="1"/>
      <c r="BK371" s="1"/>
      <c r="BL371" s="1"/>
      <c r="BM371" s="1"/>
      <c r="BN371" s="1"/>
      <c r="BO371" s="1"/>
      <c r="BP371" s="1"/>
      <c r="BQ371" s="1"/>
      <c r="BX371" s="20" t="str">
        <f t="shared" si="155"/>
        <v>►</v>
      </c>
      <c r="BY371" s="2"/>
      <c r="BZ371" s="2"/>
      <c r="CA371" s="2"/>
      <c r="CB371" s="2"/>
      <c r="CC371" s="2"/>
      <c r="DC371" s="5">
        <v>1</v>
      </c>
    </row>
    <row r="372" spans="12:107" ht="21" customHeight="1">
      <c r="L372" s="1021" t="s">
        <v>26</v>
      </c>
      <c r="M372" s="6787"/>
      <c r="N372" s="6787"/>
      <c r="O372" s="6787"/>
      <c r="P372" s="6788"/>
      <c r="Q372" s="6789"/>
      <c r="R372" s="6790"/>
      <c r="S372" s="6786"/>
      <c r="T372" s="6791"/>
      <c r="U372" s="6844"/>
      <c r="V372" s="6791"/>
      <c r="W372" s="6785"/>
      <c r="X372" s="6868"/>
      <c r="Y372" s="6793"/>
      <c r="Z372" s="6794"/>
      <c r="AA372" s="6795"/>
      <c r="AB372" s="6796"/>
      <c r="AC372" s="6797"/>
      <c r="AD372" s="6798"/>
      <c r="AE372" s="4" t="s">
        <v>1</v>
      </c>
      <c r="AF372" s="6202" t="str">
        <f t="shared" si="156"/>
        <v>►</v>
      </c>
      <c r="AG372" s="6234" t="str">
        <f t="shared" si="157"/>
        <v/>
      </c>
      <c r="AH372" s="6732" t="str">
        <f t="shared" si="158"/>
        <v/>
      </c>
      <c r="AI372" s="6234" t="str">
        <f t="shared" si="159"/>
        <v/>
      </c>
      <c r="AJ372" s="6732" t="str">
        <f t="shared" si="160"/>
        <v/>
      </c>
      <c r="AK372" s="6732">
        <f t="shared" si="161"/>
        <v>0</v>
      </c>
      <c r="AL372" s="6230" t="str" cm="1">
        <f t="array" ref="AL372">IF(AF372&lt;&gt;"A","",IFERROR((IFERROR(_xlfn.XLOOKUP(TRIM(SUBSTITUTE(U372,CHAR(160)," ")),$BJ$15:$BJ$62,$BM$15:$BM$62),IFERROR(_xlfn.XLOOKUP(TRIM(SUBSTITUTE(U372,CHAR(160)," ")),$BK$15:$BK$62,$BM$15:$BM$62),_xlfn.XLOOKUP(TRIM(SUBSTITUTE(U372,CHAR(160)," ")),$BL$15:$BL$62,$BM$15:$BM$62))))*T372*IF(ISBLANK(Q372),1,Q372)+IFERROR(_xlfn.XLOOKUP("RECHERCHEX",TRIM(L372:AD372),L372:AD372),0),0))</f>
        <v/>
      </c>
      <c r="AM372" s="6229">
        <f t="shared" si="162"/>
        <v>0</v>
      </c>
      <c r="AN372" s="6857" t="str">
        <f t="shared" si="177"/>
        <v/>
      </c>
      <c r="AO372" s="392">
        <f t="shared" si="163"/>
        <v>0</v>
      </c>
      <c r="AP372" s="392">
        <f t="shared" si="164"/>
        <v>0</v>
      </c>
      <c r="AQ372" s="6190">
        <f t="shared" si="165"/>
        <v>0</v>
      </c>
      <c r="AR372" s="6858" t="str">
        <f t="shared" si="166"/>
        <v/>
      </c>
      <c r="AS372" s="6217"/>
      <c r="AT372" s="6217"/>
      <c r="AU372" s="6271">
        <f t="shared" si="167"/>
        <v>0</v>
      </c>
      <c r="AV372" s="6242">
        <f t="shared" si="168"/>
        <v>0</v>
      </c>
      <c r="AW372" s="6188" cm="1">
        <f t="array" ref="AW372">IF(AK372&lt;&gt;1,0,IF(OR(AU372="",N(AU372)&lt;=0.000000001),"",IF(OR(AO372="",N(AO372)&lt;=0.000000001),0,IF(ISNUMBER(AU372),IFERROR(_xlfn.LET(_xlpm.ai_test,TRIM(AJ372),_xlpm.r,IFERROR(_xlfn.XLOOKUP(_xlpm.ai_test,$BJ$15:$BJ$62,ROW($BJ$15:$BJ$62),0,1),IFERROR(_xlfn.XLOOKUP(_xlpm.ai_test,$BK$15:$BK$62,ROW($BK$15:$BK$62),0,1),_xlfn.XLOOKUP(_xlpm.ai_test,$BL$15:$BL$62,ROW($BL$15:$BL$62),0,1))),_xlpm.p,_xlpm.r-MIN(ROW($BJ$15:$BJ$62))+1,_xlpm.f,INDEX($BM$15:$BM$62,_xlpm.p),_xlpm.u,INDEX($BN$15:$BN$62,_xlpm.p),_xlpm.s,INDEX($BP$15:$BP$62,_xlpm.p),_xlpm.q,N(AU372)/_xlpm.f,IF(_xlpm.q&gt;=_xlpm.s,ROUND(_xlpm.q,1)&amp;" "&amp;_xlpm.ai_test&amp;" = "&amp;ROUND(_xlpm.q*_xlpm.f,1)&amp;" "&amp;_xlpm.u,ROUND(_xlpm.q,1)&amp;" "&amp;_xlpm.ai_test)),""),""))))</f>
        <v>0</v>
      </c>
      <c r="AX372" s="6218"/>
      <c r="AY372" s="6271">
        <f t="shared" si="169"/>
        <v>0</v>
      </c>
      <c r="AZ372" s="6242" t="str">
        <f t="shared" si="170"/>
        <v/>
      </c>
      <c r="BA372" s="6194">
        <f t="shared" si="175"/>
        <v>0</v>
      </c>
      <c r="BB372" s="6192" t="str">
        <f t="shared" si="171"/>
        <v/>
      </c>
      <c r="BC372" s="6219"/>
      <c r="BD372" s="6221">
        <f t="shared" si="176"/>
        <v>0</v>
      </c>
      <c r="BE372" s="6220" t="str">
        <f t="shared" si="172"/>
        <v/>
      </c>
      <c r="BF372" s="4" t="s">
        <v>1</v>
      </c>
      <c r="BG372" s="6196">
        <f t="shared" si="173"/>
        <v>0</v>
      </c>
      <c r="BH372" s="6197">
        <f t="shared" si="174"/>
        <v>0</v>
      </c>
      <c r="BI372"/>
      <c r="BJ372" s="1"/>
      <c r="BK372" s="1"/>
      <c r="BL372" s="1"/>
      <c r="BM372" s="1"/>
      <c r="BN372" s="1"/>
      <c r="BO372" s="1"/>
      <c r="BP372" s="1"/>
      <c r="BQ372" s="1"/>
      <c r="BX372" s="20" t="str">
        <f t="shared" si="155"/>
        <v>►</v>
      </c>
      <c r="BY372" s="2"/>
      <c r="BZ372" s="2"/>
      <c r="CA372" s="2"/>
      <c r="CB372" s="2"/>
      <c r="CC372" s="2"/>
      <c r="DC372" s="5">
        <v>1</v>
      </c>
    </row>
    <row r="373" spans="12:107" ht="21" customHeight="1">
      <c r="L373" s="1021" t="s">
        <v>26</v>
      </c>
      <c r="M373" s="6787"/>
      <c r="N373" s="6787"/>
      <c r="O373" s="6787"/>
      <c r="P373" s="6788"/>
      <c r="Q373" s="6789"/>
      <c r="R373" s="6790"/>
      <c r="S373" s="6786"/>
      <c r="T373" s="6791"/>
      <c r="U373" s="6844"/>
      <c r="V373" s="6791"/>
      <c r="W373" s="6785"/>
      <c r="X373" s="6868"/>
      <c r="Y373" s="6793"/>
      <c r="Z373" s="6794"/>
      <c r="AA373" s="6795"/>
      <c r="AB373" s="6796"/>
      <c r="AC373" s="6797"/>
      <c r="AD373" s="6798"/>
      <c r="AE373" s="4" t="s">
        <v>1</v>
      </c>
      <c r="AF373" s="6202" t="str">
        <f t="shared" si="156"/>
        <v>►</v>
      </c>
      <c r="AG373" s="6234" t="str">
        <f t="shared" si="157"/>
        <v/>
      </c>
      <c r="AH373" s="6732" t="str">
        <f t="shared" si="158"/>
        <v/>
      </c>
      <c r="AI373" s="6234" t="str">
        <f t="shared" si="159"/>
        <v/>
      </c>
      <c r="AJ373" s="6732" t="str">
        <f t="shared" si="160"/>
        <v/>
      </c>
      <c r="AK373" s="6732">
        <f t="shared" si="161"/>
        <v>0</v>
      </c>
      <c r="AL373" s="6230" t="str" cm="1">
        <f t="array" ref="AL373">IF(AF373&lt;&gt;"A","",IFERROR((IFERROR(_xlfn.XLOOKUP(TRIM(SUBSTITUTE(U373,CHAR(160)," ")),$BJ$15:$BJ$62,$BM$15:$BM$62),IFERROR(_xlfn.XLOOKUP(TRIM(SUBSTITUTE(U373,CHAR(160)," ")),$BK$15:$BK$62,$BM$15:$BM$62),_xlfn.XLOOKUP(TRIM(SUBSTITUTE(U373,CHAR(160)," ")),$BL$15:$BL$62,$BM$15:$BM$62))))*T373*IF(ISBLANK(Q373),1,Q373)+IFERROR(_xlfn.XLOOKUP("RECHERCHEX",TRIM(L373:AD373),L373:AD373),0),0))</f>
        <v/>
      </c>
      <c r="AM373" s="6229">
        <f t="shared" si="162"/>
        <v>0</v>
      </c>
      <c r="AN373" s="6857" t="str">
        <f t="shared" si="177"/>
        <v/>
      </c>
      <c r="AO373" s="392">
        <f t="shared" si="163"/>
        <v>0</v>
      </c>
      <c r="AP373" s="392">
        <f t="shared" si="164"/>
        <v>0</v>
      </c>
      <c r="AQ373" s="6191">
        <f t="shared" si="165"/>
        <v>0</v>
      </c>
      <c r="AR373" s="6859" t="str">
        <f t="shared" si="166"/>
        <v/>
      </c>
      <c r="AS373" s="6217"/>
      <c r="AT373" s="6217"/>
      <c r="AU373" s="6272">
        <f t="shared" si="167"/>
        <v>0</v>
      </c>
      <c r="AV373" s="6240">
        <f t="shared" si="168"/>
        <v>0</v>
      </c>
      <c r="AW373" s="6189" cm="1">
        <f t="array" ref="AW373">IF(AK373&lt;&gt;1,0,IF(OR(AU373="",N(AU373)&lt;=0.000000001),"",IF(OR(AO373="",N(AO373)&lt;=0.000000001),0,IF(ISNUMBER(AU373),IFERROR(_xlfn.LET(_xlpm.ai_test,TRIM(AJ373),_xlpm.r,IFERROR(_xlfn.XLOOKUP(_xlpm.ai_test,$BJ$15:$BJ$62,ROW($BJ$15:$BJ$62),0,1),IFERROR(_xlfn.XLOOKUP(_xlpm.ai_test,$BK$15:$BK$62,ROW($BK$15:$BK$62),0,1),_xlfn.XLOOKUP(_xlpm.ai_test,$BL$15:$BL$62,ROW($BL$15:$BL$62),0,1))),_xlpm.p,_xlpm.r-MIN(ROW($BJ$15:$BJ$62))+1,_xlpm.f,INDEX($BM$15:$BM$62,_xlpm.p),_xlpm.u,INDEX($BN$15:$BN$62,_xlpm.p),_xlpm.s,INDEX($BP$15:$BP$62,_xlpm.p),_xlpm.q,N(AU373)/_xlpm.f,IF(_xlpm.q&gt;=_xlpm.s,ROUND(_xlpm.q,1)&amp;" "&amp;_xlpm.ai_test&amp;" = "&amp;ROUND(_xlpm.q*_xlpm.f,1)&amp;" "&amp;_xlpm.u,ROUND(_xlpm.q,1)&amp;" "&amp;_xlpm.ai_test)),""),""))))</f>
        <v>0</v>
      </c>
      <c r="AX373" s="6218"/>
      <c r="AY373" s="6272">
        <f t="shared" si="169"/>
        <v>0</v>
      </c>
      <c r="AZ373" s="6240" t="str">
        <f t="shared" si="170"/>
        <v/>
      </c>
      <c r="BA373" s="6195">
        <f t="shared" si="175"/>
        <v>0</v>
      </c>
      <c r="BB373" s="6193" t="str">
        <f t="shared" si="171"/>
        <v/>
      </c>
      <c r="BC373" s="6219"/>
      <c r="BD373" s="6222">
        <f t="shared" si="176"/>
        <v>0</v>
      </c>
      <c r="BE373" s="6220" t="str">
        <f t="shared" si="172"/>
        <v/>
      </c>
      <c r="BF373" s="4" t="s">
        <v>1</v>
      </c>
      <c r="BG373" s="6196">
        <f t="shared" si="173"/>
        <v>0</v>
      </c>
      <c r="BH373" s="6197">
        <f t="shared" si="174"/>
        <v>0</v>
      </c>
      <c r="BI373"/>
      <c r="BJ373" s="1"/>
      <c r="BK373" s="1"/>
      <c r="BL373" s="1"/>
      <c r="BM373" s="1"/>
      <c r="BN373" s="1"/>
      <c r="BO373" s="1"/>
      <c r="BP373" s="1"/>
      <c r="BQ373" s="1"/>
      <c r="BX373" s="20" t="str">
        <f t="shared" si="155"/>
        <v>►</v>
      </c>
      <c r="BY373" s="2"/>
      <c r="BZ373" s="2"/>
      <c r="CA373" s="2"/>
      <c r="CB373" s="2"/>
      <c r="CC373" s="2"/>
      <c r="DC373" s="5">
        <v>1</v>
      </c>
    </row>
    <row r="374" spans="12:107" ht="21" customHeight="1">
      <c r="L374" s="1021" t="s">
        <v>26</v>
      </c>
      <c r="M374" s="6787"/>
      <c r="N374" s="6787"/>
      <c r="O374" s="6787"/>
      <c r="P374" s="6788"/>
      <c r="Q374" s="6789"/>
      <c r="R374" s="6790"/>
      <c r="S374" s="6786"/>
      <c r="T374" s="6791"/>
      <c r="U374" s="6844"/>
      <c r="V374" s="6791"/>
      <c r="W374" s="6785"/>
      <c r="X374" s="6868"/>
      <c r="Y374" s="6793"/>
      <c r="Z374" s="6794"/>
      <c r="AA374" s="6795"/>
      <c r="AB374" s="6796"/>
      <c r="AC374" s="6797"/>
      <c r="AD374" s="6798"/>
      <c r="AE374" s="4" t="s">
        <v>1</v>
      </c>
      <c r="AF374" s="6202" t="str">
        <f t="shared" si="156"/>
        <v>►</v>
      </c>
      <c r="AG374" s="6234" t="str">
        <f t="shared" si="157"/>
        <v/>
      </c>
      <c r="AH374" s="6732" t="str">
        <f t="shared" si="158"/>
        <v/>
      </c>
      <c r="AI374" s="6234" t="str">
        <f t="shared" si="159"/>
        <v/>
      </c>
      <c r="AJ374" s="6732" t="str">
        <f t="shared" si="160"/>
        <v/>
      </c>
      <c r="AK374" s="6732">
        <f t="shared" si="161"/>
        <v>0</v>
      </c>
      <c r="AL374" s="6230" t="str" cm="1">
        <f t="array" ref="AL374">IF(AF374&lt;&gt;"A","",IFERROR((IFERROR(_xlfn.XLOOKUP(TRIM(SUBSTITUTE(U374,CHAR(160)," ")),$BJ$15:$BJ$62,$BM$15:$BM$62),IFERROR(_xlfn.XLOOKUP(TRIM(SUBSTITUTE(U374,CHAR(160)," ")),$BK$15:$BK$62,$BM$15:$BM$62),_xlfn.XLOOKUP(TRIM(SUBSTITUTE(U374,CHAR(160)," ")),$BL$15:$BL$62,$BM$15:$BM$62))))*T374*IF(ISBLANK(Q374),1,Q374)+IFERROR(_xlfn.XLOOKUP("RECHERCHEX",TRIM(L374:AD374),L374:AD374),0),0))</f>
        <v/>
      </c>
      <c r="AM374" s="6229">
        <f t="shared" si="162"/>
        <v>0</v>
      </c>
      <c r="AN374" s="6857" t="str">
        <f t="shared" si="177"/>
        <v/>
      </c>
      <c r="AO374" s="392">
        <f t="shared" si="163"/>
        <v>0</v>
      </c>
      <c r="AP374" s="392">
        <f t="shared" si="164"/>
        <v>0</v>
      </c>
      <c r="AQ374" s="6190">
        <f t="shared" si="165"/>
        <v>0</v>
      </c>
      <c r="AR374" s="6858" t="str">
        <f t="shared" si="166"/>
        <v/>
      </c>
      <c r="AS374" s="6217"/>
      <c r="AT374" s="6217"/>
      <c r="AU374" s="6271">
        <f t="shared" si="167"/>
        <v>0</v>
      </c>
      <c r="AV374" s="6242">
        <f t="shared" si="168"/>
        <v>0</v>
      </c>
      <c r="AW374" s="6188" cm="1">
        <f t="array" ref="AW374">IF(AK374&lt;&gt;1,0,IF(OR(AU374="",N(AU374)&lt;=0.000000001),"",IF(OR(AO374="",N(AO374)&lt;=0.000000001),0,IF(ISNUMBER(AU374),IFERROR(_xlfn.LET(_xlpm.ai_test,TRIM(AJ374),_xlpm.r,IFERROR(_xlfn.XLOOKUP(_xlpm.ai_test,$BJ$15:$BJ$62,ROW($BJ$15:$BJ$62),0,1),IFERROR(_xlfn.XLOOKUP(_xlpm.ai_test,$BK$15:$BK$62,ROW($BK$15:$BK$62),0,1),_xlfn.XLOOKUP(_xlpm.ai_test,$BL$15:$BL$62,ROW($BL$15:$BL$62),0,1))),_xlpm.p,_xlpm.r-MIN(ROW($BJ$15:$BJ$62))+1,_xlpm.f,INDEX($BM$15:$BM$62,_xlpm.p),_xlpm.u,INDEX($BN$15:$BN$62,_xlpm.p),_xlpm.s,INDEX($BP$15:$BP$62,_xlpm.p),_xlpm.q,N(AU374)/_xlpm.f,IF(_xlpm.q&gt;=_xlpm.s,ROUND(_xlpm.q,1)&amp;" "&amp;_xlpm.ai_test&amp;" = "&amp;ROUND(_xlpm.q*_xlpm.f,1)&amp;" "&amp;_xlpm.u,ROUND(_xlpm.q,1)&amp;" "&amp;_xlpm.ai_test)),""),""))))</f>
        <v>0</v>
      </c>
      <c r="AX374" s="6218"/>
      <c r="AY374" s="6271">
        <f t="shared" si="169"/>
        <v>0</v>
      </c>
      <c r="AZ374" s="6242" t="str">
        <f t="shared" si="170"/>
        <v/>
      </c>
      <c r="BA374" s="6194">
        <f t="shared" si="175"/>
        <v>0</v>
      </c>
      <c r="BB374" s="6192" t="str">
        <f t="shared" si="171"/>
        <v/>
      </c>
      <c r="BC374" s="6219"/>
      <c r="BD374" s="6221">
        <f t="shared" si="176"/>
        <v>0</v>
      </c>
      <c r="BE374" s="6220" t="str">
        <f t="shared" si="172"/>
        <v/>
      </c>
      <c r="BF374" s="4" t="s">
        <v>1</v>
      </c>
      <c r="BG374" s="6196">
        <f t="shared" si="173"/>
        <v>0</v>
      </c>
      <c r="BH374" s="6197">
        <f t="shared" si="174"/>
        <v>0</v>
      </c>
      <c r="BI374"/>
      <c r="BJ374" s="1"/>
      <c r="BK374" s="1"/>
      <c r="BL374" s="1"/>
      <c r="BM374" s="1"/>
      <c r="BN374" s="1"/>
      <c r="BO374" s="1"/>
      <c r="BP374" s="1"/>
      <c r="BQ374" s="1"/>
      <c r="BX374" s="20" t="str">
        <f t="shared" si="155"/>
        <v>►</v>
      </c>
      <c r="BY374" s="2"/>
      <c r="BZ374" s="2"/>
      <c r="CA374" s="2"/>
      <c r="CB374" s="2"/>
      <c r="CC374" s="2"/>
      <c r="DC374" s="5">
        <v>1</v>
      </c>
    </row>
    <row r="375" spans="12:107" ht="21" customHeight="1">
      <c r="L375" s="1021" t="s">
        <v>26</v>
      </c>
      <c r="M375" s="6787"/>
      <c r="N375" s="6787"/>
      <c r="O375" s="6787"/>
      <c r="P375" s="6788"/>
      <c r="Q375" s="6789"/>
      <c r="R375" s="6790"/>
      <c r="S375" s="6786"/>
      <c r="T375" s="6791"/>
      <c r="U375" s="6844"/>
      <c r="V375" s="6791"/>
      <c r="W375" s="6785"/>
      <c r="X375" s="6868"/>
      <c r="Y375" s="6793"/>
      <c r="Z375" s="6794"/>
      <c r="AA375" s="6795"/>
      <c r="AB375" s="6796"/>
      <c r="AC375" s="6797"/>
      <c r="AD375" s="6798"/>
      <c r="AE375" s="4" t="s">
        <v>1</v>
      </c>
      <c r="AF375" s="6202" t="str">
        <f t="shared" si="156"/>
        <v>►</v>
      </c>
      <c r="AG375" s="6234" t="str">
        <f t="shared" si="157"/>
        <v/>
      </c>
      <c r="AH375" s="6732" t="str">
        <f t="shared" si="158"/>
        <v/>
      </c>
      <c r="AI375" s="6234" t="str">
        <f t="shared" si="159"/>
        <v/>
      </c>
      <c r="AJ375" s="6732" t="str">
        <f t="shared" si="160"/>
        <v/>
      </c>
      <c r="AK375" s="6732">
        <f t="shared" si="161"/>
        <v>0</v>
      </c>
      <c r="AL375" s="6230" t="str" cm="1">
        <f t="array" ref="AL375">IF(AF375&lt;&gt;"A","",IFERROR((IFERROR(_xlfn.XLOOKUP(TRIM(SUBSTITUTE(U375,CHAR(160)," ")),$BJ$15:$BJ$62,$BM$15:$BM$62),IFERROR(_xlfn.XLOOKUP(TRIM(SUBSTITUTE(U375,CHAR(160)," ")),$BK$15:$BK$62,$BM$15:$BM$62),_xlfn.XLOOKUP(TRIM(SUBSTITUTE(U375,CHAR(160)," ")),$BL$15:$BL$62,$BM$15:$BM$62))))*T375*IF(ISBLANK(Q375),1,Q375)+IFERROR(_xlfn.XLOOKUP("RECHERCHEX",TRIM(L375:AD375),L375:AD375),0),0))</f>
        <v/>
      </c>
      <c r="AM375" s="6229">
        <f t="shared" si="162"/>
        <v>0</v>
      </c>
      <c r="AN375" s="6857" t="str">
        <f t="shared" si="177"/>
        <v/>
      </c>
      <c r="AO375" s="392">
        <f t="shared" si="163"/>
        <v>0</v>
      </c>
      <c r="AP375" s="392">
        <f t="shared" si="164"/>
        <v>0</v>
      </c>
      <c r="AQ375" s="6191">
        <f t="shared" si="165"/>
        <v>0</v>
      </c>
      <c r="AR375" s="6859" t="str">
        <f t="shared" si="166"/>
        <v/>
      </c>
      <c r="AS375" s="6217"/>
      <c r="AT375" s="6217"/>
      <c r="AU375" s="6272">
        <f t="shared" si="167"/>
        <v>0</v>
      </c>
      <c r="AV375" s="6240">
        <f t="shared" si="168"/>
        <v>0</v>
      </c>
      <c r="AW375" s="6189" cm="1">
        <f t="array" ref="AW375">IF(AK375&lt;&gt;1,0,IF(OR(AU375="",N(AU375)&lt;=0.000000001),"",IF(OR(AO375="",N(AO375)&lt;=0.000000001),0,IF(ISNUMBER(AU375),IFERROR(_xlfn.LET(_xlpm.ai_test,TRIM(AJ375),_xlpm.r,IFERROR(_xlfn.XLOOKUP(_xlpm.ai_test,$BJ$15:$BJ$62,ROW($BJ$15:$BJ$62),0,1),IFERROR(_xlfn.XLOOKUP(_xlpm.ai_test,$BK$15:$BK$62,ROW($BK$15:$BK$62),0,1),_xlfn.XLOOKUP(_xlpm.ai_test,$BL$15:$BL$62,ROW($BL$15:$BL$62),0,1))),_xlpm.p,_xlpm.r-MIN(ROW($BJ$15:$BJ$62))+1,_xlpm.f,INDEX($BM$15:$BM$62,_xlpm.p),_xlpm.u,INDEX($BN$15:$BN$62,_xlpm.p),_xlpm.s,INDEX($BP$15:$BP$62,_xlpm.p),_xlpm.q,N(AU375)/_xlpm.f,IF(_xlpm.q&gt;=_xlpm.s,ROUND(_xlpm.q,1)&amp;" "&amp;_xlpm.ai_test&amp;" = "&amp;ROUND(_xlpm.q*_xlpm.f,1)&amp;" "&amp;_xlpm.u,ROUND(_xlpm.q,1)&amp;" "&amp;_xlpm.ai_test)),""),""))))</f>
        <v>0</v>
      </c>
      <c r="AX375" s="6218"/>
      <c r="AY375" s="6272">
        <f t="shared" si="169"/>
        <v>0</v>
      </c>
      <c r="AZ375" s="6240" t="str">
        <f t="shared" si="170"/>
        <v/>
      </c>
      <c r="BA375" s="6195">
        <f t="shared" si="175"/>
        <v>0</v>
      </c>
      <c r="BB375" s="6193" t="str">
        <f t="shared" si="171"/>
        <v/>
      </c>
      <c r="BC375" s="6219"/>
      <c r="BD375" s="6222">
        <f t="shared" si="176"/>
        <v>0</v>
      </c>
      <c r="BE375" s="6220" t="str">
        <f t="shared" si="172"/>
        <v/>
      </c>
      <c r="BF375" s="4" t="s">
        <v>1</v>
      </c>
      <c r="BG375" s="6196">
        <f t="shared" si="173"/>
        <v>0</v>
      </c>
      <c r="BH375" s="6197">
        <f t="shared" si="174"/>
        <v>0</v>
      </c>
      <c r="BI375"/>
      <c r="BJ375" s="1"/>
      <c r="BK375" s="1"/>
      <c r="BL375" s="1"/>
      <c r="BM375" s="1"/>
      <c r="BN375" s="1"/>
      <c r="BO375" s="1"/>
      <c r="BP375" s="1"/>
      <c r="BQ375" s="1"/>
      <c r="BX375" s="20" t="str">
        <f t="shared" si="155"/>
        <v>►</v>
      </c>
      <c r="BY375" s="2"/>
      <c r="BZ375" s="2"/>
      <c r="CA375" s="2"/>
      <c r="CB375" s="2"/>
      <c r="CC375" s="2"/>
      <c r="DC375" s="5">
        <v>1</v>
      </c>
    </row>
    <row r="376" spans="12:107" ht="21" customHeight="1">
      <c r="L376" s="1021" t="s">
        <v>26</v>
      </c>
      <c r="M376" s="6787"/>
      <c r="N376" s="6787"/>
      <c r="O376" s="6787"/>
      <c r="P376" s="6788"/>
      <c r="Q376" s="6789"/>
      <c r="R376" s="6790"/>
      <c r="S376" s="6786"/>
      <c r="T376" s="6791"/>
      <c r="U376" s="6844"/>
      <c r="V376" s="6791"/>
      <c r="W376" s="6785"/>
      <c r="X376" s="6868"/>
      <c r="Y376" s="6793"/>
      <c r="Z376" s="6794"/>
      <c r="AA376" s="6795"/>
      <c r="AB376" s="6796"/>
      <c r="AC376" s="6797"/>
      <c r="AD376" s="6798"/>
      <c r="AE376" s="4" t="s">
        <v>1</v>
      </c>
      <c r="AF376" s="6202" t="str">
        <f t="shared" si="156"/>
        <v>►</v>
      </c>
      <c r="AG376" s="6234" t="str">
        <f t="shared" si="157"/>
        <v/>
      </c>
      <c r="AH376" s="6732" t="str">
        <f t="shared" si="158"/>
        <v/>
      </c>
      <c r="AI376" s="6234" t="str">
        <f t="shared" si="159"/>
        <v/>
      </c>
      <c r="AJ376" s="6732" t="str">
        <f t="shared" si="160"/>
        <v/>
      </c>
      <c r="AK376" s="6732">
        <f t="shared" si="161"/>
        <v>0</v>
      </c>
      <c r="AL376" s="6230" t="str" cm="1">
        <f t="array" ref="AL376">IF(AF376&lt;&gt;"A","",IFERROR((IFERROR(_xlfn.XLOOKUP(TRIM(SUBSTITUTE(U376,CHAR(160)," ")),$BJ$15:$BJ$62,$BM$15:$BM$62),IFERROR(_xlfn.XLOOKUP(TRIM(SUBSTITUTE(U376,CHAR(160)," ")),$BK$15:$BK$62,$BM$15:$BM$62),_xlfn.XLOOKUP(TRIM(SUBSTITUTE(U376,CHAR(160)," ")),$BL$15:$BL$62,$BM$15:$BM$62))))*T376*IF(ISBLANK(Q376),1,Q376)+IFERROR(_xlfn.XLOOKUP("RECHERCHEX",TRIM(L376:AD376),L376:AD376),0),0))</f>
        <v/>
      </c>
      <c r="AM376" s="6229">
        <f t="shared" si="162"/>
        <v>0</v>
      </c>
      <c r="AN376" s="6857" t="str">
        <f t="shared" si="177"/>
        <v/>
      </c>
      <c r="AO376" s="392">
        <f t="shared" si="163"/>
        <v>0</v>
      </c>
      <c r="AP376" s="392">
        <f t="shared" si="164"/>
        <v>0</v>
      </c>
      <c r="AQ376" s="6190">
        <f t="shared" si="165"/>
        <v>0</v>
      </c>
      <c r="AR376" s="6858" t="str">
        <f t="shared" si="166"/>
        <v/>
      </c>
      <c r="AS376" s="6217"/>
      <c r="AT376" s="6217"/>
      <c r="AU376" s="6271">
        <f t="shared" si="167"/>
        <v>0</v>
      </c>
      <c r="AV376" s="6242">
        <f t="shared" si="168"/>
        <v>0</v>
      </c>
      <c r="AW376" s="6188" cm="1">
        <f t="array" ref="AW376">IF(AK376&lt;&gt;1,0,IF(OR(AU376="",N(AU376)&lt;=0.000000001),"",IF(OR(AO376="",N(AO376)&lt;=0.000000001),0,IF(ISNUMBER(AU376),IFERROR(_xlfn.LET(_xlpm.ai_test,TRIM(AJ376),_xlpm.r,IFERROR(_xlfn.XLOOKUP(_xlpm.ai_test,$BJ$15:$BJ$62,ROW($BJ$15:$BJ$62),0,1),IFERROR(_xlfn.XLOOKUP(_xlpm.ai_test,$BK$15:$BK$62,ROW($BK$15:$BK$62),0,1),_xlfn.XLOOKUP(_xlpm.ai_test,$BL$15:$BL$62,ROW($BL$15:$BL$62),0,1))),_xlpm.p,_xlpm.r-MIN(ROW($BJ$15:$BJ$62))+1,_xlpm.f,INDEX($BM$15:$BM$62,_xlpm.p),_xlpm.u,INDEX($BN$15:$BN$62,_xlpm.p),_xlpm.s,INDEX($BP$15:$BP$62,_xlpm.p),_xlpm.q,N(AU376)/_xlpm.f,IF(_xlpm.q&gt;=_xlpm.s,ROUND(_xlpm.q,1)&amp;" "&amp;_xlpm.ai_test&amp;" = "&amp;ROUND(_xlpm.q*_xlpm.f,1)&amp;" "&amp;_xlpm.u,ROUND(_xlpm.q,1)&amp;" "&amp;_xlpm.ai_test)),""),""))))</f>
        <v>0</v>
      </c>
      <c r="AX376" s="6218"/>
      <c r="AY376" s="6271">
        <f t="shared" si="169"/>
        <v>0</v>
      </c>
      <c r="AZ376" s="6242" t="str">
        <f t="shared" si="170"/>
        <v/>
      </c>
      <c r="BA376" s="6194">
        <f t="shared" si="175"/>
        <v>0</v>
      </c>
      <c r="BB376" s="6192" t="str">
        <f t="shared" si="171"/>
        <v/>
      </c>
      <c r="BC376" s="6219"/>
      <c r="BD376" s="6221">
        <f t="shared" si="176"/>
        <v>0</v>
      </c>
      <c r="BE376" s="6220" t="str">
        <f t="shared" si="172"/>
        <v/>
      </c>
      <c r="BF376" s="4" t="s">
        <v>1</v>
      </c>
      <c r="BG376" s="6196">
        <f t="shared" si="173"/>
        <v>0</v>
      </c>
      <c r="BH376" s="6197">
        <f t="shared" si="174"/>
        <v>0</v>
      </c>
      <c r="BI376"/>
      <c r="BJ376" s="1"/>
      <c r="BK376" s="1"/>
      <c r="BL376" s="1"/>
      <c r="BM376" s="1"/>
      <c r="BN376" s="1"/>
      <c r="BO376" s="1"/>
      <c r="BP376" s="1"/>
      <c r="BQ376" s="1"/>
      <c r="BX376" s="20" t="str">
        <f t="shared" si="155"/>
        <v>►</v>
      </c>
      <c r="BY376" s="2"/>
      <c r="BZ376" s="2"/>
      <c r="CA376" s="2"/>
      <c r="CB376" s="2"/>
      <c r="CC376" s="2"/>
      <c r="DC376" s="5">
        <v>1</v>
      </c>
    </row>
    <row r="377" spans="12:107" ht="21" customHeight="1">
      <c r="L377" s="1021" t="s">
        <v>26</v>
      </c>
      <c r="M377" s="6787"/>
      <c r="N377" s="6787"/>
      <c r="O377" s="6787"/>
      <c r="P377" s="6788"/>
      <c r="Q377" s="6789"/>
      <c r="R377" s="6790"/>
      <c r="S377" s="6786"/>
      <c r="T377" s="6791"/>
      <c r="U377" s="6844"/>
      <c r="V377" s="6791"/>
      <c r="W377" s="6785"/>
      <c r="X377" s="6868"/>
      <c r="Y377" s="6793"/>
      <c r="Z377" s="6794"/>
      <c r="AA377" s="6795"/>
      <c r="AB377" s="6796"/>
      <c r="AC377" s="6797"/>
      <c r="AD377" s="6798"/>
      <c r="AE377" s="4" t="s">
        <v>1</v>
      </c>
      <c r="AF377" s="6202" t="str">
        <f t="shared" si="156"/>
        <v>►</v>
      </c>
      <c r="AG377" s="6234" t="str">
        <f t="shared" si="157"/>
        <v/>
      </c>
      <c r="AH377" s="6732" t="str">
        <f t="shared" si="158"/>
        <v/>
      </c>
      <c r="AI377" s="6234" t="str">
        <f t="shared" si="159"/>
        <v/>
      </c>
      <c r="AJ377" s="6732" t="str">
        <f t="shared" si="160"/>
        <v/>
      </c>
      <c r="AK377" s="6732">
        <f t="shared" si="161"/>
        <v>0</v>
      </c>
      <c r="AL377" s="6230" t="str" cm="1">
        <f t="array" ref="AL377">IF(AF377&lt;&gt;"A","",IFERROR((IFERROR(_xlfn.XLOOKUP(TRIM(SUBSTITUTE(U377,CHAR(160)," ")),$BJ$15:$BJ$62,$BM$15:$BM$62),IFERROR(_xlfn.XLOOKUP(TRIM(SUBSTITUTE(U377,CHAR(160)," ")),$BK$15:$BK$62,$BM$15:$BM$62),_xlfn.XLOOKUP(TRIM(SUBSTITUTE(U377,CHAR(160)," ")),$BL$15:$BL$62,$BM$15:$BM$62))))*T377*IF(ISBLANK(Q377),1,Q377)+IFERROR(_xlfn.XLOOKUP("RECHERCHEX",TRIM(L377:AD377),L377:AD377),0),0))</f>
        <v/>
      </c>
      <c r="AM377" s="6229">
        <f t="shared" si="162"/>
        <v>0</v>
      </c>
      <c r="AN377" s="6857" t="str">
        <f t="shared" si="177"/>
        <v/>
      </c>
      <c r="AO377" s="392">
        <f t="shared" si="163"/>
        <v>0</v>
      </c>
      <c r="AP377" s="392">
        <f t="shared" si="164"/>
        <v>0</v>
      </c>
      <c r="AQ377" s="6191">
        <f t="shared" si="165"/>
        <v>0</v>
      </c>
      <c r="AR377" s="6859" t="str">
        <f t="shared" si="166"/>
        <v/>
      </c>
      <c r="AS377" s="6217"/>
      <c r="AT377" s="6217"/>
      <c r="AU377" s="6272">
        <f t="shared" si="167"/>
        <v>0</v>
      </c>
      <c r="AV377" s="6240">
        <f t="shared" si="168"/>
        <v>0</v>
      </c>
      <c r="AW377" s="6189" cm="1">
        <f t="array" ref="AW377">IF(AK377&lt;&gt;1,0,IF(OR(AU377="",N(AU377)&lt;=0.000000001),"",IF(OR(AO377="",N(AO377)&lt;=0.000000001),0,IF(ISNUMBER(AU377),IFERROR(_xlfn.LET(_xlpm.ai_test,TRIM(AJ377),_xlpm.r,IFERROR(_xlfn.XLOOKUP(_xlpm.ai_test,$BJ$15:$BJ$62,ROW($BJ$15:$BJ$62),0,1),IFERROR(_xlfn.XLOOKUP(_xlpm.ai_test,$BK$15:$BK$62,ROW($BK$15:$BK$62),0,1),_xlfn.XLOOKUP(_xlpm.ai_test,$BL$15:$BL$62,ROW($BL$15:$BL$62),0,1))),_xlpm.p,_xlpm.r-MIN(ROW($BJ$15:$BJ$62))+1,_xlpm.f,INDEX($BM$15:$BM$62,_xlpm.p),_xlpm.u,INDEX($BN$15:$BN$62,_xlpm.p),_xlpm.s,INDEX($BP$15:$BP$62,_xlpm.p),_xlpm.q,N(AU377)/_xlpm.f,IF(_xlpm.q&gt;=_xlpm.s,ROUND(_xlpm.q,1)&amp;" "&amp;_xlpm.ai_test&amp;" = "&amp;ROUND(_xlpm.q*_xlpm.f,1)&amp;" "&amp;_xlpm.u,ROUND(_xlpm.q,1)&amp;" "&amp;_xlpm.ai_test)),""),""))))</f>
        <v>0</v>
      </c>
      <c r="AX377" s="6218"/>
      <c r="AY377" s="6272">
        <f t="shared" si="169"/>
        <v>0</v>
      </c>
      <c r="AZ377" s="6240" t="str">
        <f t="shared" si="170"/>
        <v/>
      </c>
      <c r="BA377" s="6195">
        <f t="shared" si="175"/>
        <v>0</v>
      </c>
      <c r="BB377" s="6193" t="str">
        <f t="shared" si="171"/>
        <v/>
      </c>
      <c r="BC377" s="6219"/>
      <c r="BD377" s="6222">
        <f t="shared" si="176"/>
        <v>0</v>
      </c>
      <c r="BE377" s="6220" t="str">
        <f t="shared" si="172"/>
        <v/>
      </c>
      <c r="BF377" s="4" t="s">
        <v>1</v>
      </c>
      <c r="BG377" s="6196">
        <f t="shared" si="173"/>
        <v>0</v>
      </c>
      <c r="BH377" s="6197">
        <f t="shared" si="174"/>
        <v>0</v>
      </c>
      <c r="BI377"/>
      <c r="BJ377" s="1"/>
      <c r="BK377" s="1"/>
      <c r="BL377" s="1"/>
      <c r="BM377" s="1"/>
      <c r="BN377" s="1"/>
      <c r="BO377" s="1"/>
      <c r="BP377" s="1"/>
      <c r="BQ377" s="1"/>
      <c r="BX377" s="20" t="str">
        <f t="shared" si="155"/>
        <v>►</v>
      </c>
      <c r="BY377" s="2"/>
      <c r="BZ377" s="2"/>
      <c r="CA377" s="2"/>
      <c r="CB377" s="2"/>
      <c r="CC377" s="2"/>
      <c r="DC377" s="5">
        <v>1</v>
      </c>
    </row>
    <row r="378" spans="12:107" ht="21" customHeight="1">
      <c r="L378" s="1021" t="s">
        <v>26</v>
      </c>
      <c r="M378" s="6787"/>
      <c r="N378" s="6787"/>
      <c r="O378" s="6787"/>
      <c r="P378" s="6788"/>
      <c r="Q378" s="6789"/>
      <c r="R378" s="6790"/>
      <c r="S378" s="6786"/>
      <c r="T378" s="6791"/>
      <c r="U378" s="6844"/>
      <c r="V378" s="6791"/>
      <c r="W378" s="6785"/>
      <c r="X378" s="6868"/>
      <c r="Y378" s="6793"/>
      <c r="Z378" s="6794"/>
      <c r="AA378" s="6795"/>
      <c r="AB378" s="6796"/>
      <c r="AC378" s="6797"/>
      <c r="AD378" s="6798"/>
      <c r="AE378" s="4" t="s">
        <v>1</v>
      </c>
      <c r="AF378" s="6202" t="str">
        <f t="shared" si="156"/>
        <v>►</v>
      </c>
      <c r="AG378" s="6234" t="str">
        <f t="shared" si="157"/>
        <v/>
      </c>
      <c r="AH378" s="6732" t="str">
        <f t="shared" si="158"/>
        <v/>
      </c>
      <c r="AI378" s="6234" t="str">
        <f t="shared" si="159"/>
        <v/>
      </c>
      <c r="AJ378" s="6732" t="str">
        <f t="shared" si="160"/>
        <v/>
      </c>
      <c r="AK378" s="6732">
        <f t="shared" si="161"/>
        <v>0</v>
      </c>
      <c r="AL378" s="6230" t="str" cm="1">
        <f t="array" ref="AL378">IF(AF378&lt;&gt;"A","",IFERROR((IFERROR(_xlfn.XLOOKUP(TRIM(SUBSTITUTE(U378,CHAR(160)," ")),$BJ$15:$BJ$62,$BM$15:$BM$62),IFERROR(_xlfn.XLOOKUP(TRIM(SUBSTITUTE(U378,CHAR(160)," ")),$BK$15:$BK$62,$BM$15:$BM$62),_xlfn.XLOOKUP(TRIM(SUBSTITUTE(U378,CHAR(160)," ")),$BL$15:$BL$62,$BM$15:$BM$62))))*T378*IF(ISBLANK(Q378),1,Q378)+IFERROR(_xlfn.XLOOKUP("RECHERCHEX",TRIM(L378:AD378),L378:AD378),0),0))</f>
        <v/>
      </c>
      <c r="AM378" s="6229">
        <f t="shared" si="162"/>
        <v>0</v>
      </c>
      <c r="AN378" s="6857" t="str">
        <f t="shared" si="177"/>
        <v/>
      </c>
      <c r="AO378" s="392">
        <f t="shared" si="163"/>
        <v>0</v>
      </c>
      <c r="AP378" s="392">
        <f t="shared" si="164"/>
        <v>0</v>
      </c>
      <c r="AQ378" s="6190">
        <f t="shared" si="165"/>
        <v>0</v>
      </c>
      <c r="AR378" s="6858" t="str">
        <f t="shared" si="166"/>
        <v/>
      </c>
      <c r="AS378" s="6217"/>
      <c r="AT378" s="6217"/>
      <c r="AU378" s="6271">
        <f t="shared" si="167"/>
        <v>0</v>
      </c>
      <c r="AV378" s="6242">
        <f t="shared" si="168"/>
        <v>0</v>
      </c>
      <c r="AW378" s="6188" cm="1">
        <f t="array" ref="AW378">IF(AK378&lt;&gt;1,0,IF(OR(AU378="",N(AU378)&lt;=0.000000001),"",IF(OR(AO378="",N(AO378)&lt;=0.000000001),0,IF(ISNUMBER(AU378),IFERROR(_xlfn.LET(_xlpm.ai_test,TRIM(AJ378),_xlpm.r,IFERROR(_xlfn.XLOOKUP(_xlpm.ai_test,$BJ$15:$BJ$62,ROW($BJ$15:$BJ$62),0,1),IFERROR(_xlfn.XLOOKUP(_xlpm.ai_test,$BK$15:$BK$62,ROW($BK$15:$BK$62),0,1),_xlfn.XLOOKUP(_xlpm.ai_test,$BL$15:$BL$62,ROW($BL$15:$BL$62),0,1))),_xlpm.p,_xlpm.r-MIN(ROW($BJ$15:$BJ$62))+1,_xlpm.f,INDEX($BM$15:$BM$62,_xlpm.p),_xlpm.u,INDEX($BN$15:$BN$62,_xlpm.p),_xlpm.s,INDEX($BP$15:$BP$62,_xlpm.p),_xlpm.q,N(AU378)/_xlpm.f,IF(_xlpm.q&gt;=_xlpm.s,ROUND(_xlpm.q,1)&amp;" "&amp;_xlpm.ai_test&amp;" = "&amp;ROUND(_xlpm.q*_xlpm.f,1)&amp;" "&amp;_xlpm.u,ROUND(_xlpm.q,1)&amp;" "&amp;_xlpm.ai_test)),""),""))))</f>
        <v>0</v>
      </c>
      <c r="AX378" s="6218"/>
      <c r="AY378" s="6271">
        <f t="shared" si="169"/>
        <v>0</v>
      </c>
      <c r="AZ378" s="6242" t="str">
        <f t="shared" si="170"/>
        <v/>
      </c>
      <c r="BA378" s="6194">
        <f t="shared" si="175"/>
        <v>0</v>
      </c>
      <c r="BB378" s="6192" t="str">
        <f t="shared" si="171"/>
        <v/>
      </c>
      <c r="BC378" s="6219"/>
      <c r="BD378" s="6221">
        <f t="shared" si="176"/>
        <v>0</v>
      </c>
      <c r="BE378" s="6220" t="str">
        <f t="shared" si="172"/>
        <v/>
      </c>
      <c r="BF378" s="4" t="s">
        <v>1</v>
      </c>
      <c r="BG378" s="6196">
        <f t="shared" si="173"/>
        <v>0</v>
      </c>
      <c r="BH378" s="6197">
        <f t="shared" si="174"/>
        <v>0</v>
      </c>
      <c r="BI378"/>
      <c r="BJ378" s="1"/>
      <c r="BK378" s="1"/>
      <c r="BL378" s="1"/>
      <c r="BM378" s="1"/>
      <c r="BN378" s="1"/>
      <c r="BO378" s="1"/>
      <c r="BP378" s="1"/>
      <c r="BQ378" s="1"/>
      <c r="BX378" s="20" t="str">
        <f t="shared" si="155"/>
        <v>►</v>
      </c>
      <c r="BY378" s="2"/>
      <c r="BZ378" s="2"/>
      <c r="CA378" s="2"/>
      <c r="CB378" s="2"/>
      <c r="CC378" s="2"/>
      <c r="DC378" s="5">
        <v>1</v>
      </c>
    </row>
    <row r="379" spans="12:107" ht="21" customHeight="1">
      <c r="L379" s="1021" t="s">
        <v>26</v>
      </c>
      <c r="M379" s="6787"/>
      <c r="N379" s="6787"/>
      <c r="O379" s="6787"/>
      <c r="P379" s="6788"/>
      <c r="Q379" s="6789"/>
      <c r="R379" s="6790"/>
      <c r="S379" s="6786"/>
      <c r="T379" s="6791"/>
      <c r="U379" s="6844"/>
      <c r="V379" s="6791"/>
      <c r="W379" s="6785"/>
      <c r="X379" s="6868"/>
      <c r="Y379" s="6793"/>
      <c r="Z379" s="6794"/>
      <c r="AA379" s="6795"/>
      <c r="AB379" s="6796"/>
      <c r="AC379" s="6797"/>
      <c r="AD379" s="6798"/>
      <c r="AE379" s="4" t="s">
        <v>1</v>
      </c>
      <c r="AF379" s="6202" t="str">
        <f t="shared" si="156"/>
        <v>►</v>
      </c>
      <c r="AG379" s="6234" t="str">
        <f t="shared" si="157"/>
        <v/>
      </c>
      <c r="AH379" s="6732" t="str">
        <f t="shared" si="158"/>
        <v/>
      </c>
      <c r="AI379" s="6234" t="str">
        <f t="shared" si="159"/>
        <v/>
      </c>
      <c r="AJ379" s="6732" t="str">
        <f t="shared" si="160"/>
        <v/>
      </c>
      <c r="AK379" s="6732">
        <f t="shared" si="161"/>
        <v>0</v>
      </c>
      <c r="AL379" s="6230" t="str" cm="1">
        <f t="array" ref="AL379">IF(AF379&lt;&gt;"A","",IFERROR((IFERROR(_xlfn.XLOOKUP(TRIM(SUBSTITUTE(U379,CHAR(160)," ")),$BJ$15:$BJ$62,$BM$15:$BM$62),IFERROR(_xlfn.XLOOKUP(TRIM(SUBSTITUTE(U379,CHAR(160)," ")),$BK$15:$BK$62,$BM$15:$BM$62),_xlfn.XLOOKUP(TRIM(SUBSTITUTE(U379,CHAR(160)," ")),$BL$15:$BL$62,$BM$15:$BM$62))))*T379*IF(ISBLANK(Q379),1,Q379)+IFERROR(_xlfn.XLOOKUP("RECHERCHEX",TRIM(L379:AD379),L379:AD379),0),0))</f>
        <v/>
      </c>
      <c r="AM379" s="6229">
        <f t="shared" si="162"/>
        <v>0</v>
      </c>
      <c r="AN379" s="6857" t="str">
        <f t="shared" si="177"/>
        <v/>
      </c>
      <c r="AO379" s="392">
        <f t="shared" si="163"/>
        <v>0</v>
      </c>
      <c r="AP379" s="392">
        <f t="shared" si="164"/>
        <v>0</v>
      </c>
      <c r="AQ379" s="6191">
        <f t="shared" si="165"/>
        <v>0</v>
      </c>
      <c r="AR379" s="6859" t="str">
        <f t="shared" si="166"/>
        <v/>
      </c>
      <c r="AS379" s="6217"/>
      <c r="AT379" s="6217"/>
      <c r="AU379" s="6272">
        <f t="shared" si="167"/>
        <v>0</v>
      </c>
      <c r="AV379" s="6240">
        <f t="shared" si="168"/>
        <v>0</v>
      </c>
      <c r="AW379" s="6189" cm="1">
        <f t="array" ref="AW379">IF(AK379&lt;&gt;1,0,IF(OR(AU379="",N(AU379)&lt;=0.000000001),"",IF(OR(AO379="",N(AO379)&lt;=0.000000001),0,IF(ISNUMBER(AU379),IFERROR(_xlfn.LET(_xlpm.ai_test,TRIM(AJ379),_xlpm.r,IFERROR(_xlfn.XLOOKUP(_xlpm.ai_test,$BJ$15:$BJ$62,ROW($BJ$15:$BJ$62),0,1),IFERROR(_xlfn.XLOOKUP(_xlpm.ai_test,$BK$15:$BK$62,ROW($BK$15:$BK$62),0,1),_xlfn.XLOOKUP(_xlpm.ai_test,$BL$15:$BL$62,ROW($BL$15:$BL$62),0,1))),_xlpm.p,_xlpm.r-MIN(ROW($BJ$15:$BJ$62))+1,_xlpm.f,INDEX($BM$15:$BM$62,_xlpm.p),_xlpm.u,INDEX($BN$15:$BN$62,_xlpm.p),_xlpm.s,INDEX($BP$15:$BP$62,_xlpm.p),_xlpm.q,N(AU379)/_xlpm.f,IF(_xlpm.q&gt;=_xlpm.s,ROUND(_xlpm.q,1)&amp;" "&amp;_xlpm.ai_test&amp;" = "&amp;ROUND(_xlpm.q*_xlpm.f,1)&amp;" "&amp;_xlpm.u,ROUND(_xlpm.q,1)&amp;" "&amp;_xlpm.ai_test)),""),""))))</f>
        <v>0</v>
      </c>
      <c r="AX379" s="6218"/>
      <c r="AY379" s="6272">
        <f t="shared" si="169"/>
        <v>0</v>
      </c>
      <c r="AZ379" s="6240" t="str">
        <f t="shared" si="170"/>
        <v/>
      </c>
      <c r="BA379" s="6195">
        <f t="shared" si="175"/>
        <v>0</v>
      </c>
      <c r="BB379" s="6193" t="str">
        <f t="shared" si="171"/>
        <v/>
      </c>
      <c r="BC379" s="6219"/>
      <c r="BD379" s="6222">
        <f t="shared" si="176"/>
        <v>0</v>
      </c>
      <c r="BE379" s="6220" t="str">
        <f t="shared" si="172"/>
        <v/>
      </c>
      <c r="BF379" s="4" t="s">
        <v>1</v>
      </c>
      <c r="BG379" s="6196">
        <f t="shared" si="173"/>
        <v>0</v>
      </c>
      <c r="BH379" s="6197">
        <f t="shared" si="174"/>
        <v>0</v>
      </c>
      <c r="BI379"/>
      <c r="BJ379" s="1"/>
      <c r="BK379" s="1"/>
      <c r="BL379" s="1"/>
      <c r="BM379" s="1"/>
      <c r="BN379" s="1"/>
      <c r="BO379" s="1"/>
      <c r="BP379" s="1"/>
      <c r="BQ379" s="1"/>
      <c r="BX379" s="20" t="str">
        <f t="shared" si="155"/>
        <v>►</v>
      </c>
      <c r="BY379" s="2"/>
      <c r="BZ379" s="2"/>
      <c r="CA379" s="2"/>
      <c r="CB379" s="2"/>
      <c r="CC379" s="2"/>
      <c r="DC379" s="5">
        <v>1</v>
      </c>
    </row>
    <row r="380" spans="12:107" ht="21" customHeight="1">
      <c r="L380" s="1021" t="s">
        <v>26</v>
      </c>
      <c r="M380" s="6787"/>
      <c r="N380" s="6787"/>
      <c r="O380" s="6787"/>
      <c r="P380" s="6788"/>
      <c r="Q380" s="6789"/>
      <c r="R380" s="6790"/>
      <c r="S380" s="6786"/>
      <c r="T380" s="6791"/>
      <c r="U380" s="6844"/>
      <c r="V380" s="6791"/>
      <c r="W380" s="6785"/>
      <c r="X380" s="6868"/>
      <c r="Y380" s="6793"/>
      <c r="Z380" s="6794"/>
      <c r="AA380" s="6795"/>
      <c r="AB380" s="6796"/>
      <c r="AC380" s="6797"/>
      <c r="AD380" s="6798"/>
      <c r="AE380" s="4" t="s">
        <v>1</v>
      </c>
      <c r="AF380" s="6202" t="str">
        <f t="shared" si="156"/>
        <v>►</v>
      </c>
      <c r="AG380" s="6234" t="str">
        <f t="shared" si="157"/>
        <v/>
      </c>
      <c r="AH380" s="6732" t="str">
        <f t="shared" si="158"/>
        <v/>
      </c>
      <c r="AI380" s="6234" t="str">
        <f t="shared" si="159"/>
        <v/>
      </c>
      <c r="AJ380" s="6732" t="str">
        <f t="shared" si="160"/>
        <v/>
      </c>
      <c r="AK380" s="6732">
        <f t="shared" si="161"/>
        <v>0</v>
      </c>
      <c r="AL380" s="6230" t="str" cm="1">
        <f t="array" ref="AL380">IF(AF380&lt;&gt;"A","",IFERROR((IFERROR(_xlfn.XLOOKUP(TRIM(SUBSTITUTE(U380,CHAR(160)," ")),$BJ$15:$BJ$62,$BM$15:$BM$62),IFERROR(_xlfn.XLOOKUP(TRIM(SUBSTITUTE(U380,CHAR(160)," ")),$BK$15:$BK$62,$BM$15:$BM$62),_xlfn.XLOOKUP(TRIM(SUBSTITUTE(U380,CHAR(160)," ")),$BL$15:$BL$62,$BM$15:$BM$62))))*T380*IF(ISBLANK(Q380),1,Q380)+IFERROR(_xlfn.XLOOKUP("RECHERCHEX",TRIM(L380:AD380),L380:AD380),0),0))</f>
        <v/>
      </c>
      <c r="AM380" s="6229">
        <f t="shared" si="162"/>
        <v>0</v>
      </c>
      <c r="AN380" s="6857" t="str">
        <f t="shared" si="177"/>
        <v/>
      </c>
      <c r="AO380" s="392">
        <f t="shared" si="163"/>
        <v>0</v>
      </c>
      <c r="AP380" s="392">
        <f t="shared" si="164"/>
        <v>0</v>
      </c>
      <c r="AQ380" s="6190">
        <f t="shared" si="165"/>
        <v>0</v>
      </c>
      <c r="AR380" s="6858" t="str">
        <f t="shared" si="166"/>
        <v/>
      </c>
      <c r="AS380" s="6217"/>
      <c r="AT380" s="6217"/>
      <c r="AU380" s="6271">
        <f t="shared" si="167"/>
        <v>0</v>
      </c>
      <c r="AV380" s="6242">
        <f t="shared" si="168"/>
        <v>0</v>
      </c>
      <c r="AW380" s="6188" cm="1">
        <f t="array" ref="AW380">IF(AK380&lt;&gt;1,0,IF(OR(AU380="",N(AU380)&lt;=0.000000001),"",IF(OR(AO380="",N(AO380)&lt;=0.000000001),0,IF(ISNUMBER(AU380),IFERROR(_xlfn.LET(_xlpm.ai_test,TRIM(AJ380),_xlpm.r,IFERROR(_xlfn.XLOOKUP(_xlpm.ai_test,$BJ$15:$BJ$62,ROW($BJ$15:$BJ$62),0,1),IFERROR(_xlfn.XLOOKUP(_xlpm.ai_test,$BK$15:$BK$62,ROW($BK$15:$BK$62),0,1),_xlfn.XLOOKUP(_xlpm.ai_test,$BL$15:$BL$62,ROW($BL$15:$BL$62),0,1))),_xlpm.p,_xlpm.r-MIN(ROW($BJ$15:$BJ$62))+1,_xlpm.f,INDEX($BM$15:$BM$62,_xlpm.p),_xlpm.u,INDEX($BN$15:$BN$62,_xlpm.p),_xlpm.s,INDEX($BP$15:$BP$62,_xlpm.p),_xlpm.q,N(AU380)/_xlpm.f,IF(_xlpm.q&gt;=_xlpm.s,ROUND(_xlpm.q,1)&amp;" "&amp;_xlpm.ai_test&amp;" = "&amp;ROUND(_xlpm.q*_xlpm.f,1)&amp;" "&amp;_xlpm.u,ROUND(_xlpm.q,1)&amp;" "&amp;_xlpm.ai_test)),""),""))))</f>
        <v>0</v>
      </c>
      <c r="AX380" s="6218"/>
      <c r="AY380" s="6271">
        <f t="shared" si="169"/>
        <v>0</v>
      </c>
      <c r="AZ380" s="6242" t="str">
        <f t="shared" si="170"/>
        <v/>
      </c>
      <c r="BA380" s="6194">
        <f t="shared" si="175"/>
        <v>0</v>
      </c>
      <c r="BB380" s="6192" t="str">
        <f t="shared" si="171"/>
        <v/>
      </c>
      <c r="BC380" s="6219"/>
      <c r="BD380" s="6221">
        <f t="shared" si="176"/>
        <v>0</v>
      </c>
      <c r="BE380" s="6220" t="str">
        <f t="shared" si="172"/>
        <v/>
      </c>
      <c r="BF380" s="4" t="s">
        <v>1</v>
      </c>
      <c r="BG380" s="6196">
        <f t="shared" si="173"/>
        <v>0</v>
      </c>
      <c r="BH380" s="6197">
        <f t="shared" si="174"/>
        <v>0</v>
      </c>
      <c r="BI380"/>
      <c r="BJ380" s="1"/>
      <c r="BK380" s="1"/>
      <c r="BL380" s="1"/>
      <c r="BM380" s="1"/>
      <c r="BN380" s="1"/>
      <c r="BO380" s="1"/>
      <c r="BP380" s="1"/>
      <c r="BQ380" s="1"/>
      <c r="BX380" s="20" t="str">
        <f t="shared" si="155"/>
        <v>►</v>
      </c>
      <c r="BY380" s="2"/>
      <c r="BZ380" s="2"/>
      <c r="CA380" s="2"/>
      <c r="CB380" s="2"/>
      <c r="CC380" s="2"/>
      <c r="DC380" s="5">
        <v>1</v>
      </c>
    </row>
    <row r="381" spans="12:107" ht="21" customHeight="1">
      <c r="L381" s="1021" t="s">
        <v>26</v>
      </c>
      <c r="M381" s="6787"/>
      <c r="N381" s="6787"/>
      <c r="O381" s="6787"/>
      <c r="P381" s="6788"/>
      <c r="Q381" s="6789"/>
      <c r="R381" s="6790"/>
      <c r="S381" s="6786"/>
      <c r="T381" s="6791"/>
      <c r="U381" s="6844"/>
      <c r="V381" s="6791"/>
      <c r="W381" s="6785"/>
      <c r="X381" s="6868"/>
      <c r="Y381" s="6793"/>
      <c r="Z381" s="6794"/>
      <c r="AA381" s="6795"/>
      <c r="AB381" s="6796"/>
      <c r="AC381" s="6797"/>
      <c r="AD381" s="6798"/>
      <c r="AE381" s="4" t="s">
        <v>1</v>
      </c>
      <c r="AF381" s="6202" t="str">
        <f t="shared" si="156"/>
        <v>►</v>
      </c>
      <c r="AG381" s="6234" t="str">
        <f t="shared" si="157"/>
        <v/>
      </c>
      <c r="AH381" s="6732" t="str">
        <f t="shared" si="158"/>
        <v/>
      </c>
      <c r="AI381" s="6234" t="str">
        <f t="shared" si="159"/>
        <v/>
      </c>
      <c r="AJ381" s="6732" t="str">
        <f t="shared" si="160"/>
        <v/>
      </c>
      <c r="AK381" s="6732">
        <f t="shared" si="161"/>
        <v>0</v>
      </c>
      <c r="AL381" s="6230" t="str" cm="1">
        <f t="array" ref="AL381">IF(AF381&lt;&gt;"A","",IFERROR((IFERROR(_xlfn.XLOOKUP(TRIM(SUBSTITUTE(U381,CHAR(160)," ")),$BJ$15:$BJ$62,$BM$15:$BM$62),IFERROR(_xlfn.XLOOKUP(TRIM(SUBSTITUTE(U381,CHAR(160)," ")),$BK$15:$BK$62,$BM$15:$BM$62),_xlfn.XLOOKUP(TRIM(SUBSTITUTE(U381,CHAR(160)," ")),$BL$15:$BL$62,$BM$15:$BM$62))))*T381*IF(ISBLANK(Q381),1,Q381)+IFERROR(_xlfn.XLOOKUP("RECHERCHEX",TRIM(L381:AD381),L381:AD381),0),0))</f>
        <v/>
      </c>
      <c r="AM381" s="6229">
        <f t="shared" si="162"/>
        <v>0</v>
      </c>
      <c r="AN381" s="6857" t="str">
        <f t="shared" si="177"/>
        <v/>
      </c>
      <c r="AO381" s="392">
        <f t="shared" si="163"/>
        <v>0</v>
      </c>
      <c r="AP381" s="392">
        <f t="shared" si="164"/>
        <v>0</v>
      </c>
      <c r="AQ381" s="6191">
        <f t="shared" si="165"/>
        <v>0</v>
      </c>
      <c r="AR381" s="6859" t="str">
        <f t="shared" si="166"/>
        <v/>
      </c>
      <c r="AS381" s="6217"/>
      <c r="AT381" s="6217"/>
      <c r="AU381" s="6272">
        <f t="shared" si="167"/>
        <v>0</v>
      </c>
      <c r="AV381" s="6240">
        <f t="shared" si="168"/>
        <v>0</v>
      </c>
      <c r="AW381" s="6189" cm="1">
        <f t="array" ref="AW381">IF(AK381&lt;&gt;1,0,IF(OR(AU381="",N(AU381)&lt;=0.000000001),"",IF(OR(AO381="",N(AO381)&lt;=0.000000001),0,IF(ISNUMBER(AU381),IFERROR(_xlfn.LET(_xlpm.ai_test,TRIM(AJ381),_xlpm.r,IFERROR(_xlfn.XLOOKUP(_xlpm.ai_test,$BJ$15:$BJ$62,ROW($BJ$15:$BJ$62),0,1),IFERROR(_xlfn.XLOOKUP(_xlpm.ai_test,$BK$15:$BK$62,ROW($BK$15:$BK$62),0,1),_xlfn.XLOOKUP(_xlpm.ai_test,$BL$15:$BL$62,ROW($BL$15:$BL$62),0,1))),_xlpm.p,_xlpm.r-MIN(ROW($BJ$15:$BJ$62))+1,_xlpm.f,INDEX($BM$15:$BM$62,_xlpm.p),_xlpm.u,INDEX($BN$15:$BN$62,_xlpm.p),_xlpm.s,INDEX($BP$15:$BP$62,_xlpm.p),_xlpm.q,N(AU381)/_xlpm.f,IF(_xlpm.q&gt;=_xlpm.s,ROUND(_xlpm.q,1)&amp;" "&amp;_xlpm.ai_test&amp;" = "&amp;ROUND(_xlpm.q*_xlpm.f,1)&amp;" "&amp;_xlpm.u,ROUND(_xlpm.q,1)&amp;" "&amp;_xlpm.ai_test)),""),""))))</f>
        <v>0</v>
      </c>
      <c r="AX381" s="6218"/>
      <c r="AY381" s="6272">
        <f t="shared" si="169"/>
        <v>0</v>
      </c>
      <c r="AZ381" s="6240" t="str">
        <f t="shared" si="170"/>
        <v/>
      </c>
      <c r="BA381" s="6195">
        <f t="shared" si="175"/>
        <v>0</v>
      </c>
      <c r="BB381" s="6193" t="str">
        <f t="shared" si="171"/>
        <v/>
      </c>
      <c r="BC381" s="6219"/>
      <c r="BD381" s="6222">
        <f t="shared" si="176"/>
        <v>0</v>
      </c>
      <c r="BE381" s="6220" t="str">
        <f t="shared" si="172"/>
        <v/>
      </c>
      <c r="BF381" s="4" t="s">
        <v>1</v>
      </c>
      <c r="BG381" s="6196">
        <f t="shared" si="173"/>
        <v>0</v>
      </c>
      <c r="BH381" s="6197">
        <f t="shared" si="174"/>
        <v>0</v>
      </c>
      <c r="BI381"/>
      <c r="BJ381" s="1"/>
      <c r="BK381" s="1"/>
      <c r="BL381" s="1"/>
      <c r="BM381" s="1"/>
      <c r="BN381" s="1"/>
      <c r="BO381" s="1"/>
      <c r="BP381" s="1"/>
      <c r="BQ381" s="1"/>
      <c r="BX381" s="20" t="str">
        <f t="shared" si="155"/>
        <v>►</v>
      </c>
      <c r="BY381" s="2"/>
      <c r="BZ381" s="2"/>
      <c r="CA381" s="2"/>
      <c r="CB381" s="2"/>
      <c r="CC381" s="2"/>
      <c r="DC381" s="5">
        <v>1</v>
      </c>
    </row>
    <row r="382" spans="12:107" ht="21" customHeight="1">
      <c r="L382" s="1021" t="s">
        <v>26</v>
      </c>
      <c r="M382" s="6787"/>
      <c r="N382" s="6787"/>
      <c r="O382" s="6787"/>
      <c r="P382" s="6788"/>
      <c r="Q382" s="6789"/>
      <c r="R382" s="6790"/>
      <c r="S382" s="6786"/>
      <c r="T382" s="6791"/>
      <c r="U382" s="6844"/>
      <c r="V382" s="6791"/>
      <c r="W382" s="6785"/>
      <c r="X382" s="6868"/>
      <c r="Y382" s="6793"/>
      <c r="Z382" s="6794"/>
      <c r="AA382" s="6795"/>
      <c r="AB382" s="6796"/>
      <c r="AC382" s="6797"/>
      <c r="AD382" s="6798"/>
      <c r="AE382" s="4" t="s">
        <v>1</v>
      </c>
      <c r="AF382" s="6202" t="str">
        <f t="shared" si="156"/>
        <v>►</v>
      </c>
      <c r="AG382" s="6234" t="str">
        <f t="shared" si="157"/>
        <v/>
      </c>
      <c r="AH382" s="6732" t="str">
        <f t="shared" si="158"/>
        <v/>
      </c>
      <c r="AI382" s="6234" t="str">
        <f t="shared" si="159"/>
        <v/>
      </c>
      <c r="AJ382" s="6732" t="str">
        <f t="shared" si="160"/>
        <v/>
      </c>
      <c r="AK382" s="6732">
        <f t="shared" si="161"/>
        <v>0</v>
      </c>
      <c r="AL382" s="6230" t="str" cm="1">
        <f t="array" ref="AL382">IF(AF382&lt;&gt;"A","",IFERROR((IFERROR(_xlfn.XLOOKUP(TRIM(SUBSTITUTE(U382,CHAR(160)," ")),$BJ$15:$BJ$62,$BM$15:$BM$62),IFERROR(_xlfn.XLOOKUP(TRIM(SUBSTITUTE(U382,CHAR(160)," ")),$BK$15:$BK$62,$BM$15:$BM$62),_xlfn.XLOOKUP(TRIM(SUBSTITUTE(U382,CHAR(160)," ")),$BL$15:$BL$62,$BM$15:$BM$62))))*T382*IF(ISBLANK(Q382),1,Q382)+IFERROR(_xlfn.XLOOKUP("RECHERCHEX",TRIM(L382:AD382),L382:AD382),0),0))</f>
        <v/>
      </c>
      <c r="AM382" s="6229">
        <f t="shared" si="162"/>
        <v>0</v>
      </c>
      <c r="AN382" s="6857" t="str">
        <f t="shared" si="177"/>
        <v/>
      </c>
      <c r="AO382" s="392">
        <f t="shared" si="163"/>
        <v>0</v>
      </c>
      <c r="AP382" s="392">
        <f t="shared" si="164"/>
        <v>0</v>
      </c>
      <c r="AQ382" s="6190">
        <f t="shared" si="165"/>
        <v>0</v>
      </c>
      <c r="AR382" s="6858" t="str">
        <f t="shared" si="166"/>
        <v/>
      </c>
      <c r="AS382" s="6217"/>
      <c r="AT382" s="6217"/>
      <c r="AU382" s="6271">
        <f t="shared" si="167"/>
        <v>0</v>
      </c>
      <c r="AV382" s="6242">
        <f t="shared" si="168"/>
        <v>0</v>
      </c>
      <c r="AW382" s="6188" cm="1">
        <f t="array" ref="AW382">IF(AK382&lt;&gt;1,0,IF(OR(AU382="",N(AU382)&lt;=0.000000001),"",IF(OR(AO382="",N(AO382)&lt;=0.000000001),0,IF(ISNUMBER(AU382),IFERROR(_xlfn.LET(_xlpm.ai_test,TRIM(AJ382),_xlpm.r,IFERROR(_xlfn.XLOOKUP(_xlpm.ai_test,$BJ$15:$BJ$62,ROW($BJ$15:$BJ$62),0,1),IFERROR(_xlfn.XLOOKUP(_xlpm.ai_test,$BK$15:$BK$62,ROW($BK$15:$BK$62),0,1),_xlfn.XLOOKUP(_xlpm.ai_test,$BL$15:$BL$62,ROW($BL$15:$BL$62),0,1))),_xlpm.p,_xlpm.r-MIN(ROW($BJ$15:$BJ$62))+1,_xlpm.f,INDEX($BM$15:$BM$62,_xlpm.p),_xlpm.u,INDEX($BN$15:$BN$62,_xlpm.p),_xlpm.s,INDEX($BP$15:$BP$62,_xlpm.p),_xlpm.q,N(AU382)/_xlpm.f,IF(_xlpm.q&gt;=_xlpm.s,ROUND(_xlpm.q,1)&amp;" "&amp;_xlpm.ai_test&amp;" = "&amp;ROUND(_xlpm.q*_xlpm.f,1)&amp;" "&amp;_xlpm.u,ROUND(_xlpm.q,1)&amp;" "&amp;_xlpm.ai_test)),""),""))))</f>
        <v>0</v>
      </c>
      <c r="AX382" s="6218"/>
      <c r="AY382" s="6271">
        <f t="shared" si="169"/>
        <v>0</v>
      </c>
      <c r="AZ382" s="6242" t="str">
        <f t="shared" si="170"/>
        <v/>
      </c>
      <c r="BA382" s="6194">
        <f t="shared" si="175"/>
        <v>0</v>
      </c>
      <c r="BB382" s="6192" t="str">
        <f t="shared" si="171"/>
        <v/>
      </c>
      <c r="BC382" s="6219"/>
      <c r="BD382" s="6221">
        <f t="shared" si="176"/>
        <v>0</v>
      </c>
      <c r="BE382" s="6220" t="str">
        <f t="shared" si="172"/>
        <v/>
      </c>
      <c r="BF382" s="4" t="s">
        <v>1</v>
      </c>
      <c r="BG382" s="6196">
        <f t="shared" si="173"/>
        <v>0</v>
      </c>
      <c r="BH382" s="6197">
        <f t="shared" si="174"/>
        <v>0</v>
      </c>
      <c r="BI382"/>
      <c r="BJ382" s="1"/>
      <c r="BK382" s="1"/>
      <c r="BL382" s="1"/>
      <c r="BM382" s="1"/>
      <c r="BN382" s="1"/>
      <c r="BO382" s="1"/>
      <c r="BP382" s="1"/>
      <c r="BQ382" s="1"/>
      <c r="BX382" s="20" t="str">
        <f t="shared" si="155"/>
        <v>►</v>
      </c>
      <c r="BY382" s="2"/>
      <c r="BZ382" s="2"/>
      <c r="CA382" s="2"/>
      <c r="CB382" s="2"/>
      <c r="CC382" s="2"/>
      <c r="DC382" s="5">
        <v>1</v>
      </c>
    </row>
    <row r="383" spans="12:107" ht="21" customHeight="1">
      <c r="L383" s="1021" t="s">
        <v>26</v>
      </c>
      <c r="M383" s="6787"/>
      <c r="N383" s="6787"/>
      <c r="O383" s="6787"/>
      <c r="P383" s="6788"/>
      <c r="Q383" s="6789"/>
      <c r="R383" s="6790"/>
      <c r="S383" s="6786"/>
      <c r="T383" s="6791"/>
      <c r="U383" s="6844"/>
      <c r="V383" s="6791"/>
      <c r="W383" s="6785"/>
      <c r="X383" s="6868"/>
      <c r="Y383" s="6793"/>
      <c r="Z383" s="6794"/>
      <c r="AA383" s="6795"/>
      <c r="AB383" s="6796"/>
      <c r="AC383" s="6797"/>
      <c r="AD383" s="6798"/>
      <c r="AE383" s="4" t="s">
        <v>1</v>
      </c>
      <c r="AF383" s="6202" t="str">
        <f t="shared" si="156"/>
        <v>►</v>
      </c>
      <c r="AG383" s="6234" t="str">
        <f t="shared" si="157"/>
        <v/>
      </c>
      <c r="AH383" s="6732" t="str">
        <f t="shared" si="158"/>
        <v/>
      </c>
      <c r="AI383" s="6234" t="str">
        <f t="shared" si="159"/>
        <v/>
      </c>
      <c r="AJ383" s="6732" t="str">
        <f t="shared" si="160"/>
        <v/>
      </c>
      <c r="AK383" s="6732">
        <f t="shared" si="161"/>
        <v>0</v>
      </c>
      <c r="AL383" s="6230" t="str" cm="1">
        <f t="array" ref="AL383">IF(AF383&lt;&gt;"A","",IFERROR((IFERROR(_xlfn.XLOOKUP(TRIM(SUBSTITUTE(U383,CHAR(160)," ")),$BJ$15:$BJ$62,$BM$15:$BM$62),IFERROR(_xlfn.XLOOKUP(TRIM(SUBSTITUTE(U383,CHAR(160)," ")),$BK$15:$BK$62,$BM$15:$BM$62),_xlfn.XLOOKUP(TRIM(SUBSTITUTE(U383,CHAR(160)," ")),$BL$15:$BL$62,$BM$15:$BM$62))))*T383*IF(ISBLANK(Q383),1,Q383)+IFERROR(_xlfn.XLOOKUP("RECHERCHEX",TRIM(L383:AD383),L383:AD383),0),0))</f>
        <v/>
      </c>
      <c r="AM383" s="6229">
        <f t="shared" si="162"/>
        <v>0</v>
      </c>
      <c r="AN383" s="6857" t="str">
        <f t="shared" si="177"/>
        <v/>
      </c>
      <c r="AO383" s="392">
        <f t="shared" si="163"/>
        <v>0</v>
      </c>
      <c r="AP383" s="392">
        <f t="shared" si="164"/>
        <v>0</v>
      </c>
      <c r="AQ383" s="6191">
        <f t="shared" si="165"/>
        <v>0</v>
      </c>
      <c r="AR383" s="6859" t="str">
        <f t="shared" si="166"/>
        <v/>
      </c>
      <c r="AS383" s="6217"/>
      <c r="AT383" s="6217"/>
      <c r="AU383" s="6272">
        <f t="shared" si="167"/>
        <v>0</v>
      </c>
      <c r="AV383" s="6240">
        <f t="shared" si="168"/>
        <v>0</v>
      </c>
      <c r="AW383" s="6189" cm="1">
        <f t="array" ref="AW383">IF(AK383&lt;&gt;1,0,IF(OR(AU383="",N(AU383)&lt;=0.000000001),"",IF(OR(AO383="",N(AO383)&lt;=0.000000001),0,IF(ISNUMBER(AU383),IFERROR(_xlfn.LET(_xlpm.ai_test,TRIM(AJ383),_xlpm.r,IFERROR(_xlfn.XLOOKUP(_xlpm.ai_test,$BJ$15:$BJ$62,ROW($BJ$15:$BJ$62),0,1),IFERROR(_xlfn.XLOOKUP(_xlpm.ai_test,$BK$15:$BK$62,ROW($BK$15:$BK$62),0,1),_xlfn.XLOOKUP(_xlpm.ai_test,$BL$15:$BL$62,ROW($BL$15:$BL$62),0,1))),_xlpm.p,_xlpm.r-MIN(ROW($BJ$15:$BJ$62))+1,_xlpm.f,INDEX($BM$15:$BM$62,_xlpm.p),_xlpm.u,INDEX($BN$15:$BN$62,_xlpm.p),_xlpm.s,INDEX($BP$15:$BP$62,_xlpm.p),_xlpm.q,N(AU383)/_xlpm.f,IF(_xlpm.q&gt;=_xlpm.s,ROUND(_xlpm.q,1)&amp;" "&amp;_xlpm.ai_test&amp;" = "&amp;ROUND(_xlpm.q*_xlpm.f,1)&amp;" "&amp;_xlpm.u,ROUND(_xlpm.q,1)&amp;" "&amp;_xlpm.ai_test)),""),""))))</f>
        <v>0</v>
      </c>
      <c r="AX383" s="6218"/>
      <c r="AY383" s="6272">
        <f t="shared" si="169"/>
        <v>0</v>
      </c>
      <c r="AZ383" s="6240" t="str">
        <f t="shared" si="170"/>
        <v/>
      </c>
      <c r="BA383" s="6195">
        <f t="shared" si="175"/>
        <v>0</v>
      </c>
      <c r="BB383" s="6193" t="str">
        <f t="shared" si="171"/>
        <v/>
      </c>
      <c r="BC383" s="6219"/>
      <c r="BD383" s="6222">
        <f t="shared" si="176"/>
        <v>0</v>
      </c>
      <c r="BE383" s="6220" t="str">
        <f t="shared" si="172"/>
        <v/>
      </c>
      <c r="BF383" s="4" t="s">
        <v>1</v>
      </c>
      <c r="BG383" s="6196">
        <f t="shared" si="173"/>
        <v>0</v>
      </c>
      <c r="BH383" s="6197">
        <f t="shared" si="174"/>
        <v>0</v>
      </c>
      <c r="BI383"/>
      <c r="BJ383" s="1"/>
      <c r="BK383" s="1"/>
      <c r="BL383" s="1"/>
      <c r="BM383" s="1"/>
      <c r="BN383" s="1"/>
      <c r="BO383" s="1"/>
      <c r="BP383" s="1"/>
      <c r="BQ383" s="1"/>
      <c r="BX383" s="20" t="str">
        <f t="shared" si="155"/>
        <v>►</v>
      </c>
      <c r="BY383" s="2"/>
      <c r="BZ383" s="2"/>
      <c r="CA383" s="2"/>
      <c r="CB383" s="2"/>
      <c r="CC383" s="2"/>
      <c r="DC383" s="5">
        <v>1</v>
      </c>
    </row>
    <row r="384" spans="12:107" ht="21" customHeight="1">
      <c r="L384" s="1021" t="s">
        <v>26</v>
      </c>
      <c r="M384" s="6787"/>
      <c r="N384" s="6787"/>
      <c r="O384" s="6787"/>
      <c r="P384" s="6788"/>
      <c r="Q384" s="6789"/>
      <c r="R384" s="6790"/>
      <c r="S384" s="6786"/>
      <c r="T384" s="6791"/>
      <c r="U384" s="6844"/>
      <c r="V384" s="6791"/>
      <c r="W384" s="6785"/>
      <c r="X384" s="6868"/>
      <c r="Y384" s="6793"/>
      <c r="Z384" s="6794"/>
      <c r="AA384" s="6795"/>
      <c r="AB384" s="6796"/>
      <c r="AC384" s="6797"/>
      <c r="AD384" s="6798"/>
      <c r="AE384" s="4" t="s">
        <v>1</v>
      </c>
      <c r="AF384" s="6202" t="str">
        <f t="shared" si="156"/>
        <v>►</v>
      </c>
      <c r="AG384" s="6234" t="str">
        <f t="shared" si="157"/>
        <v/>
      </c>
      <c r="AH384" s="6732" t="str">
        <f t="shared" si="158"/>
        <v/>
      </c>
      <c r="AI384" s="6234" t="str">
        <f t="shared" si="159"/>
        <v/>
      </c>
      <c r="AJ384" s="6732" t="str">
        <f t="shared" si="160"/>
        <v/>
      </c>
      <c r="AK384" s="6732">
        <f t="shared" si="161"/>
        <v>0</v>
      </c>
      <c r="AL384" s="6230" t="str" cm="1">
        <f t="array" ref="AL384">IF(AF384&lt;&gt;"A","",IFERROR((IFERROR(_xlfn.XLOOKUP(TRIM(SUBSTITUTE(U384,CHAR(160)," ")),$BJ$15:$BJ$62,$BM$15:$BM$62),IFERROR(_xlfn.XLOOKUP(TRIM(SUBSTITUTE(U384,CHAR(160)," ")),$BK$15:$BK$62,$BM$15:$BM$62),_xlfn.XLOOKUP(TRIM(SUBSTITUTE(U384,CHAR(160)," ")),$BL$15:$BL$62,$BM$15:$BM$62))))*T384*IF(ISBLANK(Q384),1,Q384)+IFERROR(_xlfn.XLOOKUP("RECHERCHEX",TRIM(L384:AD384),L384:AD384),0),0))</f>
        <v/>
      </c>
      <c r="AM384" s="6229">
        <f t="shared" si="162"/>
        <v>0</v>
      </c>
      <c r="AN384" s="6857" t="str">
        <f t="shared" si="177"/>
        <v/>
      </c>
      <c r="AO384" s="392">
        <f t="shared" si="163"/>
        <v>0</v>
      </c>
      <c r="AP384" s="392">
        <f t="shared" si="164"/>
        <v>0</v>
      </c>
      <c r="AQ384" s="6190">
        <f t="shared" si="165"/>
        <v>0</v>
      </c>
      <c r="AR384" s="6858" t="str">
        <f t="shared" si="166"/>
        <v/>
      </c>
      <c r="AS384" s="6217"/>
      <c r="AT384" s="6217"/>
      <c r="AU384" s="6271">
        <f t="shared" si="167"/>
        <v>0</v>
      </c>
      <c r="AV384" s="6242">
        <f t="shared" si="168"/>
        <v>0</v>
      </c>
      <c r="AW384" s="6188" cm="1">
        <f t="array" ref="AW384">IF(AK384&lt;&gt;1,0,IF(OR(AU384="",N(AU384)&lt;=0.000000001),"",IF(OR(AO384="",N(AO384)&lt;=0.000000001),0,IF(ISNUMBER(AU384),IFERROR(_xlfn.LET(_xlpm.ai_test,TRIM(AJ384),_xlpm.r,IFERROR(_xlfn.XLOOKUP(_xlpm.ai_test,$BJ$15:$BJ$62,ROW($BJ$15:$BJ$62),0,1),IFERROR(_xlfn.XLOOKUP(_xlpm.ai_test,$BK$15:$BK$62,ROW($BK$15:$BK$62),0,1),_xlfn.XLOOKUP(_xlpm.ai_test,$BL$15:$BL$62,ROW($BL$15:$BL$62),0,1))),_xlpm.p,_xlpm.r-MIN(ROW($BJ$15:$BJ$62))+1,_xlpm.f,INDEX($BM$15:$BM$62,_xlpm.p),_xlpm.u,INDEX($BN$15:$BN$62,_xlpm.p),_xlpm.s,INDEX($BP$15:$BP$62,_xlpm.p),_xlpm.q,N(AU384)/_xlpm.f,IF(_xlpm.q&gt;=_xlpm.s,ROUND(_xlpm.q,1)&amp;" "&amp;_xlpm.ai_test&amp;" = "&amp;ROUND(_xlpm.q*_xlpm.f,1)&amp;" "&amp;_xlpm.u,ROUND(_xlpm.q,1)&amp;" "&amp;_xlpm.ai_test)),""),""))))</f>
        <v>0</v>
      </c>
      <c r="AX384" s="6218"/>
      <c r="AY384" s="6271">
        <f t="shared" si="169"/>
        <v>0</v>
      </c>
      <c r="AZ384" s="6242" t="str">
        <f t="shared" si="170"/>
        <v/>
      </c>
      <c r="BA384" s="6194">
        <f t="shared" si="175"/>
        <v>0</v>
      </c>
      <c r="BB384" s="6192" t="str">
        <f t="shared" si="171"/>
        <v/>
      </c>
      <c r="BC384" s="6219"/>
      <c r="BD384" s="6221">
        <f t="shared" si="176"/>
        <v>0</v>
      </c>
      <c r="BE384" s="6220" t="str">
        <f t="shared" si="172"/>
        <v/>
      </c>
      <c r="BF384" s="4" t="s">
        <v>1</v>
      </c>
      <c r="BG384" s="6196">
        <f t="shared" si="173"/>
        <v>0</v>
      </c>
      <c r="BH384" s="6197">
        <f t="shared" si="174"/>
        <v>0</v>
      </c>
      <c r="BI384"/>
      <c r="BJ384" s="1"/>
      <c r="BK384" s="1"/>
      <c r="BL384" s="1"/>
      <c r="BM384" s="1"/>
      <c r="BN384" s="1"/>
      <c r="BO384" s="1"/>
      <c r="BP384" s="1"/>
      <c r="BQ384" s="1"/>
      <c r="BX384" s="20" t="str">
        <f t="shared" si="155"/>
        <v>►</v>
      </c>
      <c r="BY384" s="2"/>
      <c r="BZ384" s="2"/>
      <c r="CA384" s="2"/>
      <c r="CB384" s="2"/>
      <c r="CC384" s="2"/>
      <c r="DC384" s="5">
        <v>1</v>
      </c>
    </row>
    <row r="385" spans="12:107" ht="21" customHeight="1">
      <c r="L385" s="1021" t="s">
        <v>26</v>
      </c>
      <c r="M385" s="6787"/>
      <c r="N385" s="6787"/>
      <c r="O385" s="6787"/>
      <c r="P385" s="6788"/>
      <c r="Q385" s="6789"/>
      <c r="R385" s="6790"/>
      <c r="S385" s="6786"/>
      <c r="T385" s="6791"/>
      <c r="U385" s="6844"/>
      <c r="V385" s="6791"/>
      <c r="W385" s="6785"/>
      <c r="X385" s="6868"/>
      <c r="Y385" s="6793"/>
      <c r="Z385" s="6794"/>
      <c r="AA385" s="6795"/>
      <c r="AB385" s="6796"/>
      <c r="AC385" s="6797"/>
      <c r="AD385" s="6798"/>
      <c r="AE385" s="4" t="s">
        <v>1</v>
      </c>
      <c r="AF385" s="6202" t="str">
        <f t="shared" si="156"/>
        <v>►</v>
      </c>
      <c r="AG385" s="6234" t="str">
        <f t="shared" si="157"/>
        <v/>
      </c>
      <c r="AH385" s="6732" t="str">
        <f t="shared" si="158"/>
        <v/>
      </c>
      <c r="AI385" s="6234" t="str">
        <f t="shared" si="159"/>
        <v/>
      </c>
      <c r="AJ385" s="6732" t="str">
        <f t="shared" si="160"/>
        <v/>
      </c>
      <c r="AK385" s="6732">
        <f t="shared" si="161"/>
        <v>0</v>
      </c>
      <c r="AL385" s="6230" t="str" cm="1">
        <f t="array" ref="AL385">IF(AF385&lt;&gt;"A","",IFERROR((IFERROR(_xlfn.XLOOKUP(TRIM(SUBSTITUTE(U385,CHAR(160)," ")),$BJ$15:$BJ$62,$BM$15:$BM$62),IFERROR(_xlfn.XLOOKUP(TRIM(SUBSTITUTE(U385,CHAR(160)," ")),$BK$15:$BK$62,$BM$15:$BM$62),_xlfn.XLOOKUP(TRIM(SUBSTITUTE(U385,CHAR(160)," ")),$BL$15:$BL$62,$BM$15:$BM$62))))*T385*IF(ISBLANK(Q385),1,Q385)+IFERROR(_xlfn.XLOOKUP("RECHERCHEX",TRIM(L385:AD385),L385:AD385),0),0))</f>
        <v/>
      </c>
      <c r="AM385" s="6229">
        <f t="shared" si="162"/>
        <v>0</v>
      </c>
      <c r="AN385" s="6857" t="str">
        <f t="shared" si="177"/>
        <v/>
      </c>
      <c r="AO385" s="392">
        <f t="shared" si="163"/>
        <v>0</v>
      </c>
      <c r="AP385" s="392">
        <f t="shared" si="164"/>
        <v>0</v>
      </c>
      <c r="AQ385" s="6191">
        <f t="shared" si="165"/>
        <v>0</v>
      </c>
      <c r="AR385" s="6859" t="str">
        <f t="shared" si="166"/>
        <v/>
      </c>
      <c r="AS385" s="6217"/>
      <c r="AT385" s="6217"/>
      <c r="AU385" s="6272">
        <f t="shared" si="167"/>
        <v>0</v>
      </c>
      <c r="AV385" s="6240">
        <f t="shared" si="168"/>
        <v>0</v>
      </c>
      <c r="AW385" s="6189" cm="1">
        <f t="array" ref="AW385">IF(AK385&lt;&gt;1,0,IF(OR(AU385="",N(AU385)&lt;=0.000000001),"",IF(OR(AO385="",N(AO385)&lt;=0.000000001),0,IF(ISNUMBER(AU385),IFERROR(_xlfn.LET(_xlpm.ai_test,TRIM(AJ385),_xlpm.r,IFERROR(_xlfn.XLOOKUP(_xlpm.ai_test,$BJ$15:$BJ$62,ROW($BJ$15:$BJ$62),0,1),IFERROR(_xlfn.XLOOKUP(_xlpm.ai_test,$BK$15:$BK$62,ROW($BK$15:$BK$62),0,1),_xlfn.XLOOKUP(_xlpm.ai_test,$BL$15:$BL$62,ROW($BL$15:$BL$62),0,1))),_xlpm.p,_xlpm.r-MIN(ROW($BJ$15:$BJ$62))+1,_xlpm.f,INDEX($BM$15:$BM$62,_xlpm.p),_xlpm.u,INDEX($BN$15:$BN$62,_xlpm.p),_xlpm.s,INDEX($BP$15:$BP$62,_xlpm.p),_xlpm.q,N(AU385)/_xlpm.f,IF(_xlpm.q&gt;=_xlpm.s,ROUND(_xlpm.q,1)&amp;" "&amp;_xlpm.ai_test&amp;" = "&amp;ROUND(_xlpm.q*_xlpm.f,1)&amp;" "&amp;_xlpm.u,ROUND(_xlpm.q,1)&amp;" "&amp;_xlpm.ai_test)),""),""))))</f>
        <v>0</v>
      </c>
      <c r="AX385" s="6218"/>
      <c r="AY385" s="6272">
        <f t="shared" si="169"/>
        <v>0</v>
      </c>
      <c r="AZ385" s="6240" t="str">
        <f t="shared" si="170"/>
        <v/>
      </c>
      <c r="BA385" s="6195">
        <f t="shared" si="175"/>
        <v>0</v>
      </c>
      <c r="BB385" s="6193" t="str">
        <f t="shared" si="171"/>
        <v/>
      </c>
      <c r="BC385" s="6219"/>
      <c r="BD385" s="6222">
        <f t="shared" si="176"/>
        <v>0</v>
      </c>
      <c r="BE385" s="6220" t="str">
        <f t="shared" si="172"/>
        <v/>
      </c>
      <c r="BF385" s="4" t="s">
        <v>1</v>
      </c>
      <c r="BG385" s="6196">
        <f t="shared" si="173"/>
        <v>0</v>
      </c>
      <c r="BH385" s="6197">
        <f t="shared" si="174"/>
        <v>0</v>
      </c>
      <c r="BI385"/>
      <c r="BJ385" s="1"/>
      <c r="BK385" s="1"/>
      <c r="BL385" s="1"/>
      <c r="BM385" s="1"/>
      <c r="BN385" s="1"/>
      <c r="BO385" s="1"/>
      <c r="BP385" s="1"/>
      <c r="BQ385" s="1"/>
      <c r="BX385" s="20" t="str">
        <f t="shared" si="155"/>
        <v>►</v>
      </c>
      <c r="BY385" s="2"/>
      <c r="BZ385" s="2"/>
      <c r="CA385" s="2"/>
      <c r="CB385" s="2"/>
      <c r="CC385" s="2"/>
      <c r="DC385" s="5">
        <v>1</v>
      </c>
    </row>
    <row r="386" spans="12:107" ht="21" customHeight="1">
      <c r="L386" s="1021" t="s">
        <v>26</v>
      </c>
      <c r="M386" s="6787"/>
      <c r="N386" s="6787"/>
      <c r="O386" s="6787"/>
      <c r="P386" s="6788"/>
      <c r="Q386" s="6789"/>
      <c r="R386" s="6790"/>
      <c r="S386" s="6786"/>
      <c r="T386" s="6791"/>
      <c r="U386" s="6844"/>
      <c r="V386" s="6791"/>
      <c r="W386" s="6785"/>
      <c r="X386" s="6868"/>
      <c r="Y386" s="6793"/>
      <c r="Z386" s="6794"/>
      <c r="AA386" s="6795"/>
      <c r="AB386" s="6796"/>
      <c r="AC386" s="6797"/>
      <c r="AD386" s="6798"/>
      <c r="AE386" s="4" t="s">
        <v>1</v>
      </c>
      <c r="AF386" s="6202" t="str">
        <f t="shared" si="156"/>
        <v>►</v>
      </c>
      <c r="AG386" s="6234" t="str">
        <f t="shared" si="157"/>
        <v/>
      </c>
      <c r="AH386" s="6732" t="str">
        <f t="shared" si="158"/>
        <v/>
      </c>
      <c r="AI386" s="6234" t="str">
        <f t="shared" si="159"/>
        <v/>
      </c>
      <c r="AJ386" s="6732" t="str">
        <f t="shared" si="160"/>
        <v/>
      </c>
      <c r="AK386" s="6732">
        <f t="shared" si="161"/>
        <v>0</v>
      </c>
      <c r="AL386" s="6230" t="str" cm="1">
        <f t="array" ref="AL386">IF(AF386&lt;&gt;"A","",IFERROR((IFERROR(_xlfn.XLOOKUP(TRIM(SUBSTITUTE(U386,CHAR(160)," ")),$BJ$15:$BJ$62,$BM$15:$BM$62),IFERROR(_xlfn.XLOOKUP(TRIM(SUBSTITUTE(U386,CHAR(160)," ")),$BK$15:$BK$62,$BM$15:$BM$62),_xlfn.XLOOKUP(TRIM(SUBSTITUTE(U386,CHAR(160)," ")),$BL$15:$BL$62,$BM$15:$BM$62))))*T386*IF(ISBLANK(Q386),1,Q386)+IFERROR(_xlfn.XLOOKUP("RECHERCHEX",TRIM(L386:AD386),L386:AD386),0),0))</f>
        <v/>
      </c>
      <c r="AM386" s="6229">
        <f t="shared" si="162"/>
        <v>0</v>
      </c>
      <c r="AN386" s="6857" t="str">
        <f t="shared" si="177"/>
        <v/>
      </c>
      <c r="AO386" s="392">
        <f t="shared" si="163"/>
        <v>0</v>
      </c>
      <c r="AP386" s="392">
        <f t="shared" si="164"/>
        <v>0</v>
      </c>
      <c r="AQ386" s="6190">
        <f t="shared" si="165"/>
        <v>0</v>
      </c>
      <c r="AR386" s="6858" t="str">
        <f t="shared" si="166"/>
        <v/>
      </c>
      <c r="AS386" s="6217"/>
      <c r="AT386" s="6217"/>
      <c r="AU386" s="6271">
        <f t="shared" si="167"/>
        <v>0</v>
      </c>
      <c r="AV386" s="6242">
        <f t="shared" si="168"/>
        <v>0</v>
      </c>
      <c r="AW386" s="6188" cm="1">
        <f t="array" ref="AW386">IF(AK386&lt;&gt;1,0,IF(OR(AU386="",N(AU386)&lt;=0.000000001),"",IF(OR(AO386="",N(AO386)&lt;=0.000000001),0,IF(ISNUMBER(AU386),IFERROR(_xlfn.LET(_xlpm.ai_test,TRIM(AJ386),_xlpm.r,IFERROR(_xlfn.XLOOKUP(_xlpm.ai_test,$BJ$15:$BJ$62,ROW($BJ$15:$BJ$62),0,1),IFERROR(_xlfn.XLOOKUP(_xlpm.ai_test,$BK$15:$BK$62,ROW($BK$15:$BK$62),0,1),_xlfn.XLOOKUP(_xlpm.ai_test,$BL$15:$BL$62,ROW($BL$15:$BL$62),0,1))),_xlpm.p,_xlpm.r-MIN(ROW($BJ$15:$BJ$62))+1,_xlpm.f,INDEX($BM$15:$BM$62,_xlpm.p),_xlpm.u,INDEX($BN$15:$BN$62,_xlpm.p),_xlpm.s,INDEX($BP$15:$BP$62,_xlpm.p),_xlpm.q,N(AU386)/_xlpm.f,IF(_xlpm.q&gt;=_xlpm.s,ROUND(_xlpm.q,1)&amp;" "&amp;_xlpm.ai_test&amp;" = "&amp;ROUND(_xlpm.q*_xlpm.f,1)&amp;" "&amp;_xlpm.u,ROUND(_xlpm.q,1)&amp;" "&amp;_xlpm.ai_test)),""),""))))</f>
        <v>0</v>
      </c>
      <c r="AX386" s="6218"/>
      <c r="AY386" s="6271">
        <f t="shared" si="169"/>
        <v>0</v>
      </c>
      <c r="AZ386" s="6242" t="str">
        <f t="shared" si="170"/>
        <v/>
      </c>
      <c r="BA386" s="6194">
        <f t="shared" si="175"/>
        <v>0</v>
      </c>
      <c r="BB386" s="6192" t="str">
        <f t="shared" si="171"/>
        <v/>
      </c>
      <c r="BC386" s="6219"/>
      <c r="BD386" s="6221">
        <f t="shared" si="176"/>
        <v>0</v>
      </c>
      <c r="BE386" s="6220" t="str">
        <f t="shared" si="172"/>
        <v/>
      </c>
      <c r="BF386" s="4" t="s">
        <v>1</v>
      </c>
      <c r="BG386" s="6196">
        <f t="shared" si="173"/>
        <v>0</v>
      </c>
      <c r="BH386" s="6197">
        <f t="shared" si="174"/>
        <v>0</v>
      </c>
      <c r="BI386"/>
      <c r="BJ386" s="1"/>
      <c r="BK386" s="1"/>
      <c r="BL386" s="1"/>
      <c r="BM386" s="1"/>
      <c r="BN386" s="1"/>
      <c r="BO386" s="1"/>
      <c r="BP386" s="1"/>
      <c r="BQ386" s="1"/>
      <c r="BX386" s="20" t="str">
        <f t="shared" si="155"/>
        <v>►</v>
      </c>
      <c r="BY386" s="2"/>
      <c r="BZ386" s="2"/>
      <c r="CA386" s="2"/>
      <c r="CB386" s="2"/>
      <c r="CC386" s="2"/>
      <c r="DC386" s="5">
        <v>1</v>
      </c>
    </row>
    <row r="387" spans="12:107" ht="21" customHeight="1">
      <c r="L387" s="1021" t="s">
        <v>26</v>
      </c>
      <c r="M387" s="6787"/>
      <c r="N387" s="6787"/>
      <c r="O387" s="6787"/>
      <c r="P387" s="6788"/>
      <c r="Q387" s="6789"/>
      <c r="R387" s="6790"/>
      <c r="S387" s="6786"/>
      <c r="T387" s="6791"/>
      <c r="U387" s="6844"/>
      <c r="V387" s="6791"/>
      <c r="W387" s="6785"/>
      <c r="X387" s="6868"/>
      <c r="Y387" s="6793"/>
      <c r="Z387" s="6794"/>
      <c r="AA387" s="6795"/>
      <c r="AB387" s="6796"/>
      <c r="AC387" s="6797"/>
      <c r="AD387" s="6798"/>
      <c r="AE387" s="4" t="s">
        <v>1</v>
      </c>
      <c r="AF387" s="6202" t="str">
        <f t="shared" si="156"/>
        <v>►</v>
      </c>
      <c r="AG387" s="6234" t="str">
        <f t="shared" si="157"/>
        <v/>
      </c>
      <c r="AH387" s="6732" t="str">
        <f t="shared" si="158"/>
        <v/>
      </c>
      <c r="AI387" s="6234" t="str">
        <f t="shared" si="159"/>
        <v/>
      </c>
      <c r="AJ387" s="6732" t="str">
        <f t="shared" si="160"/>
        <v/>
      </c>
      <c r="AK387" s="6732">
        <f t="shared" si="161"/>
        <v>0</v>
      </c>
      <c r="AL387" s="6230" t="str" cm="1">
        <f t="array" ref="AL387">IF(AF387&lt;&gt;"A","",IFERROR((IFERROR(_xlfn.XLOOKUP(TRIM(SUBSTITUTE(U387,CHAR(160)," ")),$BJ$15:$BJ$62,$BM$15:$BM$62),IFERROR(_xlfn.XLOOKUP(TRIM(SUBSTITUTE(U387,CHAR(160)," ")),$BK$15:$BK$62,$BM$15:$BM$62),_xlfn.XLOOKUP(TRIM(SUBSTITUTE(U387,CHAR(160)," ")),$BL$15:$BL$62,$BM$15:$BM$62))))*T387*IF(ISBLANK(Q387),1,Q387)+IFERROR(_xlfn.XLOOKUP("RECHERCHEX",TRIM(L387:AD387),L387:AD387),0),0))</f>
        <v/>
      </c>
      <c r="AM387" s="6229">
        <f t="shared" si="162"/>
        <v>0</v>
      </c>
      <c r="AN387" s="6857" t="str">
        <f t="shared" si="177"/>
        <v/>
      </c>
      <c r="AO387" s="392">
        <f t="shared" si="163"/>
        <v>0</v>
      </c>
      <c r="AP387" s="392">
        <f t="shared" si="164"/>
        <v>0</v>
      </c>
      <c r="AQ387" s="6191">
        <f t="shared" si="165"/>
        <v>0</v>
      </c>
      <c r="AR387" s="6859" t="str">
        <f t="shared" si="166"/>
        <v/>
      </c>
      <c r="AS387" s="6217"/>
      <c r="AT387" s="6217"/>
      <c r="AU387" s="6272">
        <f t="shared" si="167"/>
        <v>0</v>
      </c>
      <c r="AV387" s="6240">
        <f t="shared" si="168"/>
        <v>0</v>
      </c>
      <c r="AW387" s="6189" cm="1">
        <f t="array" ref="AW387">IF(AK387&lt;&gt;1,0,IF(OR(AU387="",N(AU387)&lt;=0.000000001),"",IF(OR(AO387="",N(AO387)&lt;=0.000000001),0,IF(ISNUMBER(AU387),IFERROR(_xlfn.LET(_xlpm.ai_test,TRIM(AJ387),_xlpm.r,IFERROR(_xlfn.XLOOKUP(_xlpm.ai_test,$BJ$15:$BJ$62,ROW($BJ$15:$BJ$62),0,1),IFERROR(_xlfn.XLOOKUP(_xlpm.ai_test,$BK$15:$BK$62,ROW($BK$15:$BK$62),0,1),_xlfn.XLOOKUP(_xlpm.ai_test,$BL$15:$BL$62,ROW($BL$15:$BL$62),0,1))),_xlpm.p,_xlpm.r-MIN(ROW($BJ$15:$BJ$62))+1,_xlpm.f,INDEX($BM$15:$BM$62,_xlpm.p),_xlpm.u,INDEX($BN$15:$BN$62,_xlpm.p),_xlpm.s,INDEX($BP$15:$BP$62,_xlpm.p),_xlpm.q,N(AU387)/_xlpm.f,IF(_xlpm.q&gt;=_xlpm.s,ROUND(_xlpm.q,1)&amp;" "&amp;_xlpm.ai_test&amp;" = "&amp;ROUND(_xlpm.q*_xlpm.f,1)&amp;" "&amp;_xlpm.u,ROUND(_xlpm.q,1)&amp;" "&amp;_xlpm.ai_test)),""),""))))</f>
        <v>0</v>
      </c>
      <c r="AX387" s="6218"/>
      <c r="AY387" s="6272">
        <f t="shared" si="169"/>
        <v>0</v>
      </c>
      <c r="AZ387" s="6240" t="str">
        <f t="shared" si="170"/>
        <v/>
      </c>
      <c r="BA387" s="6195">
        <f t="shared" si="175"/>
        <v>0</v>
      </c>
      <c r="BB387" s="6193" t="str">
        <f t="shared" si="171"/>
        <v/>
      </c>
      <c r="BC387" s="6219"/>
      <c r="BD387" s="6222">
        <f t="shared" si="176"/>
        <v>0</v>
      </c>
      <c r="BE387" s="6220" t="str">
        <f t="shared" si="172"/>
        <v/>
      </c>
      <c r="BF387" s="4" t="s">
        <v>1</v>
      </c>
      <c r="BG387" s="6196">
        <f t="shared" si="173"/>
        <v>0</v>
      </c>
      <c r="BH387" s="6197">
        <f t="shared" si="174"/>
        <v>0</v>
      </c>
      <c r="BI387"/>
      <c r="BJ387" s="1"/>
      <c r="BK387" s="1"/>
      <c r="BL387" s="1"/>
      <c r="BM387" s="1"/>
      <c r="BN387" s="1"/>
      <c r="BO387" s="1"/>
      <c r="BP387" s="1"/>
      <c r="BQ387" s="1"/>
      <c r="BX387" s="20" t="str">
        <f t="shared" si="155"/>
        <v>►</v>
      </c>
      <c r="BY387" s="2"/>
      <c r="BZ387" s="2"/>
      <c r="CA387" s="2"/>
      <c r="CB387" s="2"/>
      <c r="CC387" s="2"/>
      <c r="DC387" s="5">
        <v>1</v>
      </c>
    </row>
    <row r="388" spans="12:107" ht="21" customHeight="1">
      <c r="L388" s="1021" t="s">
        <v>26</v>
      </c>
      <c r="M388" s="6787"/>
      <c r="N388" s="6787"/>
      <c r="O388" s="6787"/>
      <c r="P388" s="6788"/>
      <c r="Q388" s="6789"/>
      <c r="R388" s="6790"/>
      <c r="S388" s="6786"/>
      <c r="T388" s="6791"/>
      <c r="U388" s="6844"/>
      <c r="V388" s="6791"/>
      <c r="W388" s="6785"/>
      <c r="X388" s="6868"/>
      <c r="Y388" s="6793"/>
      <c r="Z388" s="6794"/>
      <c r="AA388" s="6795"/>
      <c r="AB388" s="6796"/>
      <c r="AC388" s="6797"/>
      <c r="AD388" s="6798"/>
      <c r="AE388" s="4" t="s">
        <v>1</v>
      </c>
      <c r="AF388" s="6202" t="str">
        <f t="shared" si="156"/>
        <v>►</v>
      </c>
      <c r="AG388" s="6234" t="str">
        <f t="shared" si="157"/>
        <v/>
      </c>
      <c r="AH388" s="6732" t="str">
        <f t="shared" si="158"/>
        <v/>
      </c>
      <c r="AI388" s="6234" t="str">
        <f t="shared" si="159"/>
        <v/>
      </c>
      <c r="AJ388" s="6732" t="str">
        <f t="shared" si="160"/>
        <v/>
      </c>
      <c r="AK388" s="6732">
        <f t="shared" si="161"/>
        <v>0</v>
      </c>
      <c r="AL388" s="6230" t="str" cm="1">
        <f t="array" ref="AL388">IF(AF388&lt;&gt;"A","",IFERROR((IFERROR(_xlfn.XLOOKUP(TRIM(SUBSTITUTE(U388,CHAR(160)," ")),$BJ$15:$BJ$62,$BM$15:$BM$62),IFERROR(_xlfn.XLOOKUP(TRIM(SUBSTITUTE(U388,CHAR(160)," ")),$BK$15:$BK$62,$BM$15:$BM$62),_xlfn.XLOOKUP(TRIM(SUBSTITUTE(U388,CHAR(160)," ")),$BL$15:$BL$62,$BM$15:$BM$62))))*T388*IF(ISBLANK(Q388),1,Q388)+IFERROR(_xlfn.XLOOKUP("RECHERCHEX",TRIM(L388:AD388),L388:AD388),0),0))</f>
        <v/>
      </c>
      <c r="AM388" s="6229">
        <f t="shared" si="162"/>
        <v>0</v>
      </c>
      <c r="AN388" s="6857" t="str">
        <f t="shared" si="177"/>
        <v/>
      </c>
      <c r="AO388" s="392">
        <f t="shared" si="163"/>
        <v>0</v>
      </c>
      <c r="AP388" s="392">
        <f t="shared" si="164"/>
        <v>0</v>
      </c>
      <c r="AQ388" s="6190">
        <f t="shared" si="165"/>
        <v>0</v>
      </c>
      <c r="AR388" s="6858" t="str">
        <f t="shared" si="166"/>
        <v/>
      </c>
      <c r="AS388" s="6217"/>
      <c r="AT388" s="6217"/>
      <c r="AU388" s="6271">
        <f t="shared" si="167"/>
        <v>0</v>
      </c>
      <c r="AV388" s="6242">
        <f t="shared" si="168"/>
        <v>0</v>
      </c>
      <c r="AW388" s="6188" cm="1">
        <f t="array" ref="AW388">IF(AK388&lt;&gt;1,0,IF(OR(AU388="",N(AU388)&lt;=0.000000001),"",IF(OR(AO388="",N(AO388)&lt;=0.000000001),0,IF(ISNUMBER(AU388),IFERROR(_xlfn.LET(_xlpm.ai_test,TRIM(AJ388),_xlpm.r,IFERROR(_xlfn.XLOOKUP(_xlpm.ai_test,$BJ$15:$BJ$62,ROW($BJ$15:$BJ$62),0,1),IFERROR(_xlfn.XLOOKUP(_xlpm.ai_test,$BK$15:$BK$62,ROW($BK$15:$BK$62),0,1),_xlfn.XLOOKUP(_xlpm.ai_test,$BL$15:$BL$62,ROW($BL$15:$BL$62),0,1))),_xlpm.p,_xlpm.r-MIN(ROW($BJ$15:$BJ$62))+1,_xlpm.f,INDEX($BM$15:$BM$62,_xlpm.p),_xlpm.u,INDEX($BN$15:$BN$62,_xlpm.p),_xlpm.s,INDEX($BP$15:$BP$62,_xlpm.p),_xlpm.q,N(AU388)/_xlpm.f,IF(_xlpm.q&gt;=_xlpm.s,ROUND(_xlpm.q,1)&amp;" "&amp;_xlpm.ai_test&amp;" = "&amp;ROUND(_xlpm.q*_xlpm.f,1)&amp;" "&amp;_xlpm.u,ROUND(_xlpm.q,1)&amp;" "&amp;_xlpm.ai_test)),""),""))))</f>
        <v>0</v>
      </c>
      <c r="AX388" s="6218"/>
      <c r="AY388" s="6271">
        <f t="shared" si="169"/>
        <v>0</v>
      </c>
      <c r="AZ388" s="6242" t="str">
        <f t="shared" si="170"/>
        <v/>
      </c>
      <c r="BA388" s="6194">
        <f t="shared" si="175"/>
        <v>0</v>
      </c>
      <c r="BB388" s="6192" t="str">
        <f t="shared" si="171"/>
        <v/>
      </c>
      <c r="BC388" s="6219"/>
      <c r="BD388" s="6221">
        <f t="shared" si="176"/>
        <v>0</v>
      </c>
      <c r="BE388" s="6220" t="str">
        <f t="shared" si="172"/>
        <v/>
      </c>
      <c r="BF388" s="4" t="s">
        <v>1</v>
      </c>
      <c r="BG388" s="6196">
        <f t="shared" si="173"/>
        <v>0</v>
      </c>
      <c r="BH388" s="6197">
        <f t="shared" si="174"/>
        <v>0</v>
      </c>
      <c r="BI388"/>
      <c r="BJ388" s="1"/>
      <c r="BK388" s="1"/>
      <c r="BL388" s="1"/>
      <c r="BM388" s="1"/>
      <c r="BN388" s="1"/>
      <c r="BO388" s="1"/>
      <c r="BP388" s="1"/>
      <c r="BQ388" s="1"/>
      <c r="BX388" s="20" t="str">
        <f t="shared" si="155"/>
        <v>►</v>
      </c>
      <c r="BY388" s="2"/>
      <c r="BZ388" s="2"/>
      <c r="CA388" s="2"/>
      <c r="CB388" s="2"/>
      <c r="CC388" s="2"/>
      <c r="DC388" s="5">
        <v>1</v>
      </c>
    </row>
    <row r="389" spans="12:107" ht="21" customHeight="1">
      <c r="L389" s="1021" t="s">
        <v>26</v>
      </c>
      <c r="M389" s="6787"/>
      <c r="N389" s="6787"/>
      <c r="O389" s="6787"/>
      <c r="P389" s="6788"/>
      <c r="Q389" s="6789"/>
      <c r="R389" s="6790"/>
      <c r="S389" s="6786"/>
      <c r="T389" s="6791"/>
      <c r="U389" s="6844"/>
      <c r="V389" s="6791"/>
      <c r="W389" s="6785"/>
      <c r="X389" s="6868"/>
      <c r="Y389" s="6793"/>
      <c r="Z389" s="6794"/>
      <c r="AA389" s="6795"/>
      <c r="AB389" s="6796"/>
      <c r="AC389" s="6797"/>
      <c r="AD389" s="6798"/>
      <c r="AE389" s="4" t="s">
        <v>1</v>
      </c>
      <c r="AF389" s="6202" t="str">
        <f t="shared" si="156"/>
        <v>►</v>
      </c>
      <c r="AG389" s="6234" t="str">
        <f t="shared" si="157"/>
        <v/>
      </c>
      <c r="AH389" s="6732" t="str">
        <f t="shared" si="158"/>
        <v/>
      </c>
      <c r="AI389" s="6234" t="str">
        <f t="shared" si="159"/>
        <v/>
      </c>
      <c r="AJ389" s="6732" t="str">
        <f t="shared" si="160"/>
        <v/>
      </c>
      <c r="AK389" s="6732">
        <f t="shared" si="161"/>
        <v>0</v>
      </c>
      <c r="AL389" s="6230" t="str" cm="1">
        <f t="array" ref="AL389">IF(AF389&lt;&gt;"A","",IFERROR((IFERROR(_xlfn.XLOOKUP(TRIM(SUBSTITUTE(U389,CHAR(160)," ")),$BJ$15:$BJ$62,$BM$15:$BM$62),IFERROR(_xlfn.XLOOKUP(TRIM(SUBSTITUTE(U389,CHAR(160)," ")),$BK$15:$BK$62,$BM$15:$BM$62),_xlfn.XLOOKUP(TRIM(SUBSTITUTE(U389,CHAR(160)," ")),$BL$15:$BL$62,$BM$15:$BM$62))))*T389*IF(ISBLANK(Q389),1,Q389)+IFERROR(_xlfn.XLOOKUP("RECHERCHEX",TRIM(L389:AD389),L389:AD389),0),0))</f>
        <v/>
      </c>
      <c r="AM389" s="6229">
        <f t="shared" si="162"/>
        <v>0</v>
      </c>
      <c r="AN389" s="6857" t="str">
        <f t="shared" si="177"/>
        <v/>
      </c>
      <c r="AO389" s="392">
        <f t="shared" si="163"/>
        <v>0</v>
      </c>
      <c r="AP389" s="392">
        <f t="shared" si="164"/>
        <v>0</v>
      </c>
      <c r="AQ389" s="6191">
        <f t="shared" si="165"/>
        <v>0</v>
      </c>
      <c r="AR389" s="6859" t="str">
        <f t="shared" si="166"/>
        <v/>
      </c>
      <c r="AS389" s="6217"/>
      <c r="AT389" s="6217"/>
      <c r="AU389" s="6272">
        <f t="shared" si="167"/>
        <v>0</v>
      </c>
      <c r="AV389" s="6240">
        <f t="shared" si="168"/>
        <v>0</v>
      </c>
      <c r="AW389" s="6189" cm="1">
        <f t="array" ref="AW389">IF(AK389&lt;&gt;1,0,IF(OR(AU389="",N(AU389)&lt;=0.000000001),"",IF(OR(AO389="",N(AO389)&lt;=0.000000001),0,IF(ISNUMBER(AU389),IFERROR(_xlfn.LET(_xlpm.ai_test,TRIM(AJ389),_xlpm.r,IFERROR(_xlfn.XLOOKUP(_xlpm.ai_test,$BJ$15:$BJ$62,ROW($BJ$15:$BJ$62),0,1),IFERROR(_xlfn.XLOOKUP(_xlpm.ai_test,$BK$15:$BK$62,ROW($BK$15:$BK$62),0,1),_xlfn.XLOOKUP(_xlpm.ai_test,$BL$15:$BL$62,ROW($BL$15:$BL$62),0,1))),_xlpm.p,_xlpm.r-MIN(ROW($BJ$15:$BJ$62))+1,_xlpm.f,INDEX($BM$15:$BM$62,_xlpm.p),_xlpm.u,INDEX($BN$15:$BN$62,_xlpm.p),_xlpm.s,INDEX($BP$15:$BP$62,_xlpm.p),_xlpm.q,N(AU389)/_xlpm.f,IF(_xlpm.q&gt;=_xlpm.s,ROUND(_xlpm.q,1)&amp;" "&amp;_xlpm.ai_test&amp;" = "&amp;ROUND(_xlpm.q*_xlpm.f,1)&amp;" "&amp;_xlpm.u,ROUND(_xlpm.q,1)&amp;" "&amp;_xlpm.ai_test)),""),""))))</f>
        <v>0</v>
      </c>
      <c r="AX389" s="6218"/>
      <c r="AY389" s="6272">
        <f t="shared" si="169"/>
        <v>0</v>
      </c>
      <c r="AZ389" s="6240" t="str">
        <f t="shared" si="170"/>
        <v/>
      </c>
      <c r="BA389" s="6195">
        <f t="shared" si="175"/>
        <v>0</v>
      </c>
      <c r="BB389" s="6193" t="str">
        <f t="shared" si="171"/>
        <v/>
      </c>
      <c r="BC389" s="6219"/>
      <c r="BD389" s="6222">
        <f t="shared" si="176"/>
        <v>0</v>
      </c>
      <c r="BE389" s="6220" t="str">
        <f t="shared" si="172"/>
        <v/>
      </c>
      <c r="BF389" s="4" t="s">
        <v>1</v>
      </c>
      <c r="BG389" s="6196">
        <f t="shared" si="173"/>
        <v>0</v>
      </c>
      <c r="BH389" s="6197">
        <f t="shared" si="174"/>
        <v>0</v>
      </c>
      <c r="BI389"/>
      <c r="BJ389" s="1"/>
      <c r="BK389" s="1"/>
      <c r="BL389" s="1"/>
      <c r="BM389" s="1"/>
      <c r="BN389" s="1"/>
      <c r="BO389" s="1"/>
      <c r="BP389" s="1"/>
      <c r="BQ389" s="1"/>
      <c r="BX389" s="20" t="str">
        <f t="shared" ref="BX389:BX452" si="178">AF389</f>
        <v>►</v>
      </c>
      <c r="BY389" s="2"/>
      <c r="BZ389" s="2"/>
      <c r="CA389" s="2"/>
      <c r="CB389" s="2"/>
      <c r="CC389" s="2"/>
      <c r="DC389" s="5">
        <v>1</v>
      </c>
    </row>
    <row r="390" spans="12:107" ht="21" customHeight="1">
      <c r="L390" s="1021" t="s">
        <v>26</v>
      </c>
      <c r="M390" s="6787"/>
      <c r="N390" s="6787"/>
      <c r="O390" s="6787"/>
      <c r="P390" s="6788"/>
      <c r="Q390" s="6789"/>
      <c r="R390" s="6790"/>
      <c r="S390" s="6786"/>
      <c r="T390" s="6791"/>
      <c r="U390" s="6844"/>
      <c r="V390" s="6791"/>
      <c r="W390" s="6785"/>
      <c r="X390" s="6868"/>
      <c r="Y390" s="6793"/>
      <c r="Z390" s="6794"/>
      <c r="AA390" s="6795"/>
      <c r="AB390" s="6796"/>
      <c r="AC390" s="6797"/>
      <c r="AD390" s="6798"/>
      <c r="AE390" s="4" t="s">
        <v>1</v>
      </c>
      <c r="AF390" s="6202" t="str">
        <f t="shared" si="156"/>
        <v>►</v>
      </c>
      <c r="AG390" s="6234" t="str">
        <f t="shared" si="157"/>
        <v/>
      </c>
      <c r="AH390" s="6732" t="str">
        <f t="shared" si="158"/>
        <v/>
      </c>
      <c r="AI390" s="6234" t="str">
        <f t="shared" si="159"/>
        <v/>
      </c>
      <c r="AJ390" s="6732" t="str">
        <f t="shared" si="160"/>
        <v/>
      </c>
      <c r="AK390" s="6732">
        <f t="shared" si="161"/>
        <v>0</v>
      </c>
      <c r="AL390" s="6230" t="str" cm="1">
        <f t="array" ref="AL390">IF(AF390&lt;&gt;"A","",IFERROR((IFERROR(_xlfn.XLOOKUP(TRIM(SUBSTITUTE(U390,CHAR(160)," ")),$BJ$15:$BJ$62,$BM$15:$BM$62),IFERROR(_xlfn.XLOOKUP(TRIM(SUBSTITUTE(U390,CHAR(160)," ")),$BK$15:$BK$62,$BM$15:$BM$62),_xlfn.XLOOKUP(TRIM(SUBSTITUTE(U390,CHAR(160)," ")),$BL$15:$BL$62,$BM$15:$BM$62))))*T390*IF(ISBLANK(Q390),1,Q390)+IFERROR(_xlfn.XLOOKUP("RECHERCHEX",TRIM(L390:AD390),L390:AD390),0),0))</f>
        <v/>
      </c>
      <c r="AM390" s="6229">
        <f t="shared" si="162"/>
        <v>0</v>
      </c>
      <c r="AN390" s="6857" t="str">
        <f t="shared" si="177"/>
        <v/>
      </c>
      <c r="AO390" s="392">
        <f t="shared" si="163"/>
        <v>0</v>
      </c>
      <c r="AP390" s="392">
        <f t="shared" si="164"/>
        <v>0</v>
      </c>
      <c r="AQ390" s="6190">
        <f t="shared" si="165"/>
        <v>0</v>
      </c>
      <c r="AR390" s="6858" t="str">
        <f t="shared" si="166"/>
        <v/>
      </c>
      <c r="AS390" s="6217"/>
      <c r="AT390" s="6217"/>
      <c r="AU390" s="6271">
        <f t="shared" si="167"/>
        <v>0</v>
      </c>
      <c r="AV390" s="6242">
        <f t="shared" si="168"/>
        <v>0</v>
      </c>
      <c r="AW390" s="6188" cm="1">
        <f t="array" ref="AW390">IF(AK390&lt;&gt;1,0,IF(OR(AU390="",N(AU390)&lt;=0.000000001),"",IF(OR(AO390="",N(AO390)&lt;=0.000000001),0,IF(ISNUMBER(AU390),IFERROR(_xlfn.LET(_xlpm.ai_test,TRIM(AJ390),_xlpm.r,IFERROR(_xlfn.XLOOKUP(_xlpm.ai_test,$BJ$15:$BJ$62,ROW($BJ$15:$BJ$62),0,1),IFERROR(_xlfn.XLOOKUP(_xlpm.ai_test,$BK$15:$BK$62,ROW($BK$15:$BK$62),0,1),_xlfn.XLOOKUP(_xlpm.ai_test,$BL$15:$BL$62,ROW($BL$15:$BL$62),0,1))),_xlpm.p,_xlpm.r-MIN(ROW($BJ$15:$BJ$62))+1,_xlpm.f,INDEX($BM$15:$BM$62,_xlpm.p),_xlpm.u,INDEX($BN$15:$BN$62,_xlpm.p),_xlpm.s,INDEX($BP$15:$BP$62,_xlpm.p),_xlpm.q,N(AU390)/_xlpm.f,IF(_xlpm.q&gt;=_xlpm.s,ROUND(_xlpm.q,1)&amp;" "&amp;_xlpm.ai_test&amp;" = "&amp;ROUND(_xlpm.q*_xlpm.f,1)&amp;" "&amp;_xlpm.u,ROUND(_xlpm.q,1)&amp;" "&amp;_xlpm.ai_test)),""),""))))</f>
        <v>0</v>
      </c>
      <c r="AX390" s="6218"/>
      <c r="AY390" s="6271">
        <f t="shared" si="169"/>
        <v>0</v>
      </c>
      <c r="AZ390" s="6242" t="str">
        <f t="shared" si="170"/>
        <v/>
      </c>
      <c r="BA390" s="6194">
        <f t="shared" si="175"/>
        <v>0</v>
      </c>
      <c r="BB390" s="6192" t="str">
        <f t="shared" si="171"/>
        <v/>
      </c>
      <c r="BC390" s="6219"/>
      <c r="BD390" s="6221">
        <f t="shared" si="176"/>
        <v>0</v>
      </c>
      <c r="BE390" s="6220" t="str">
        <f t="shared" si="172"/>
        <v/>
      </c>
      <c r="BF390" s="4" t="s">
        <v>1</v>
      </c>
      <c r="BG390" s="6196">
        <f t="shared" si="173"/>
        <v>0</v>
      </c>
      <c r="BH390" s="6197">
        <f t="shared" si="174"/>
        <v>0</v>
      </c>
      <c r="BI390"/>
      <c r="BJ390" s="1"/>
      <c r="BK390" s="1"/>
      <c r="BL390" s="1"/>
      <c r="BM390" s="1"/>
      <c r="BN390" s="1"/>
      <c r="BO390" s="1"/>
      <c r="BP390" s="1"/>
      <c r="BQ390" s="1"/>
      <c r="BX390" s="20" t="str">
        <f t="shared" si="178"/>
        <v>►</v>
      </c>
      <c r="BY390" s="2"/>
      <c r="BZ390" s="2"/>
      <c r="CA390" s="2"/>
      <c r="CB390" s="2"/>
      <c r="CC390" s="2"/>
      <c r="DC390" s="5">
        <v>1</v>
      </c>
    </row>
    <row r="391" spans="12:107" ht="21" customHeight="1">
      <c r="L391" s="1021" t="s">
        <v>26</v>
      </c>
      <c r="M391" s="6787"/>
      <c r="N391" s="6787"/>
      <c r="O391" s="6787"/>
      <c r="P391" s="6788"/>
      <c r="Q391" s="6789"/>
      <c r="R391" s="6790"/>
      <c r="S391" s="6786"/>
      <c r="T391" s="6791"/>
      <c r="U391" s="6844"/>
      <c r="V391" s="6791"/>
      <c r="W391" s="6785"/>
      <c r="X391" s="6868"/>
      <c r="Y391" s="6793"/>
      <c r="Z391" s="6794"/>
      <c r="AA391" s="6795"/>
      <c r="AB391" s="6796"/>
      <c r="AC391" s="6797"/>
      <c r="AD391" s="6798"/>
      <c r="AE391" s="4" t="s">
        <v>1</v>
      </c>
      <c r="AF391" s="6202" t="str">
        <f t="shared" si="156"/>
        <v>►</v>
      </c>
      <c r="AG391" s="6234" t="str">
        <f t="shared" si="157"/>
        <v/>
      </c>
      <c r="AH391" s="6732" t="str">
        <f t="shared" si="158"/>
        <v/>
      </c>
      <c r="AI391" s="6234" t="str">
        <f t="shared" si="159"/>
        <v/>
      </c>
      <c r="AJ391" s="6732" t="str">
        <f t="shared" si="160"/>
        <v/>
      </c>
      <c r="AK391" s="6732">
        <f t="shared" si="161"/>
        <v>0</v>
      </c>
      <c r="AL391" s="6230" t="str" cm="1">
        <f t="array" ref="AL391">IF(AF391&lt;&gt;"A","",IFERROR((IFERROR(_xlfn.XLOOKUP(TRIM(SUBSTITUTE(U391,CHAR(160)," ")),$BJ$15:$BJ$62,$BM$15:$BM$62),IFERROR(_xlfn.XLOOKUP(TRIM(SUBSTITUTE(U391,CHAR(160)," ")),$BK$15:$BK$62,$BM$15:$BM$62),_xlfn.XLOOKUP(TRIM(SUBSTITUTE(U391,CHAR(160)," ")),$BL$15:$BL$62,$BM$15:$BM$62))))*T391*IF(ISBLANK(Q391),1,Q391)+IFERROR(_xlfn.XLOOKUP("RECHERCHEX",TRIM(L391:AD391),L391:AD391),0),0))</f>
        <v/>
      </c>
      <c r="AM391" s="6229">
        <f t="shared" si="162"/>
        <v>0</v>
      </c>
      <c r="AN391" s="6857" t="str">
        <f t="shared" si="177"/>
        <v/>
      </c>
      <c r="AO391" s="392">
        <f t="shared" si="163"/>
        <v>0</v>
      </c>
      <c r="AP391" s="392">
        <f t="shared" si="164"/>
        <v>0</v>
      </c>
      <c r="AQ391" s="6191">
        <f t="shared" si="165"/>
        <v>0</v>
      </c>
      <c r="AR391" s="6859" t="str">
        <f t="shared" si="166"/>
        <v/>
      </c>
      <c r="AS391" s="6217"/>
      <c r="AT391" s="6217"/>
      <c r="AU391" s="6272">
        <f t="shared" si="167"/>
        <v>0</v>
      </c>
      <c r="AV391" s="6240">
        <f t="shared" si="168"/>
        <v>0</v>
      </c>
      <c r="AW391" s="6189" cm="1">
        <f t="array" ref="AW391">IF(AK391&lt;&gt;1,0,IF(OR(AU391="",N(AU391)&lt;=0.000000001),"",IF(OR(AO391="",N(AO391)&lt;=0.000000001),0,IF(ISNUMBER(AU391),IFERROR(_xlfn.LET(_xlpm.ai_test,TRIM(AJ391),_xlpm.r,IFERROR(_xlfn.XLOOKUP(_xlpm.ai_test,$BJ$15:$BJ$62,ROW($BJ$15:$BJ$62),0,1),IFERROR(_xlfn.XLOOKUP(_xlpm.ai_test,$BK$15:$BK$62,ROW($BK$15:$BK$62),0,1),_xlfn.XLOOKUP(_xlpm.ai_test,$BL$15:$BL$62,ROW($BL$15:$BL$62),0,1))),_xlpm.p,_xlpm.r-MIN(ROW($BJ$15:$BJ$62))+1,_xlpm.f,INDEX($BM$15:$BM$62,_xlpm.p),_xlpm.u,INDEX($BN$15:$BN$62,_xlpm.p),_xlpm.s,INDEX($BP$15:$BP$62,_xlpm.p),_xlpm.q,N(AU391)/_xlpm.f,IF(_xlpm.q&gt;=_xlpm.s,ROUND(_xlpm.q,1)&amp;" "&amp;_xlpm.ai_test&amp;" = "&amp;ROUND(_xlpm.q*_xlpm.f,1)&amp;" "&amp;_xlpm.u,ROUND(_xlpm.q,1)&amp;" "&amp;_xlpm.ai_test)),""),""))))</f>
        <v>0</v>
      </c>
      <c r="AX391" s="6218"/>
      <c r="AY391" s="6272">
        <f t="shared" si="169"/>
        <v>0</v>
      </c>
      <c r="AZ391" s="6240" t="str">
        <f t="shared" si="170"/>
        <v/>
      </c>
      <c r="BA391" s="6195">
        <f t="shared" si="175"/>
        <v>0</v>
      </c>
      <c r="BB391" s="6193" t="str">
        <f t="shared" si="171"/>
        <v/>
      </c>
      <c r="BC391" s="6219"/>
      <c r="BD391" s="6222">
        <f t="shared" si="176"/>
        <v>0</v>
      </c>
      <c r="BE391" s="6220" t="str">
        <f t="shared" si="172"/>
        <v/>
      </c>
      <c r="BF391" s="4" t="s">
        <v>1</v>
      </c>
      <c r="BG391" s="6196">
        <f t="shared" si="173"/>
        <v>0</v>
      </c>
      <c r="BH391" s="6197">
        <f t="shared" si="174"/>
        <v>0</v>
      </c>
      <c r="BI391"/>
      <c r="BJ391" s="1"/>
      <c r="BK391" s="1"/>
      <c r="BL391" s="1"/>
      <c r="BM391" s="1"/>
      <c r="BN391" s="1"/>
      <c r="BO391" s="1"/>
      <c r="BP391" s="1"/>
      <c r="BQ391" s="1"/>
      <c r="BX391" s="20" t="str">
        <f t="shared" si="178"/>
        <v>►</v>
      </c>
      <c r="BY391" s="2"/>
      <c r="BZ391" s="2"/>
      <c r="CA391" s="2"/>
      <c r="CB391" s="2"/>
      <c r="CC391" s="2"/>
      <c r="DC391" s="5">
        <v>1</v>
      </c>
    </row>
    <row r="392" spans="12:107" ht="21" customHeight="1">
      <c r="L392" s="1021" t="s">
        <v>26</v>
      </c>
      <c r="M392" s="6787"/>
      <c r="N392" s="6787"/>
      <c r="O392" s="6787"/>
      <c r="P392" s="6788"/>
      <c r="Q392" s="6789"/>
      <c r="R392" s="6790"/>
      <c r="S392" s="6786"/>
      <c r="T392" s="6791"/>
      <c r="U392" s="6844"/>
      <c r="V392" s="6791"/>
      <c r="W392" s="6785"/>
      <c r="X392" s="6868"/>
      <c r="Y392" s="6793"/>
      <c r="Z392" s="6794"/>
      <c r="AA392" s="6795"/>
      <c r="AB392" s="6796"/>
      <c r="AC392" s="6797"/>
      <c r="AD392" s="6798"/>
      <c r="AE392" s="4" t="s">
        <v>1</v>
      </c>
      <c r="AF392" s="6202" t="str">
        <f t="shared" si="156"/>
        <v>►</v>
      </c>
      <c r="AG392" s="6234" t="str">
        <f t="shared" si="157"/>
        <v/>
      </c>
      <c r="AH392" s="6732" t="str">
        <f t="shared" si="158"/>
        <v/>
      </c>
      <c r="AI392" s="6234" t="str">
        <f t="shared" si="159"/>
        <v/>
      </c>
      <c r="AJ392" s="6732" t="str">
        <f t="shared" si="160"/>
        <v/>
      </c>
      <c r="AK392" s="6732">
        <f t="shared" si="161"/>
        <v>0</v>
      </c>
      <c r="AL392" s="6230" t="str" cm="1">
        <f t="array" ref="AL392">IF(AF392&lt;&gt;"A","",IFERROR((IFERROR(_xlfn.XLOOKUP(TRIM(SUBSTITUTE(U392,CHAR(160)," ")),$BJ$15:$BJ$62,$BM$15:$BM$62),IFERROR(_xlfn.XLOOKUP(TRIM(SUBSTITUTE(U392,CHAR(160)," ")),$BK$15:$BK$62,$BM$15:$BM$62),_xlfn.XLOOKUP(TRIM(SUBSTITUTE(U392,CHAR(160)," ")),$BL$15:$BL$62,$BM$15:$BM$62))))*T392*IF(ISBLANK(Q392),1,Q392)+IFERROR(_xlfn.XLOOKUP("RECHERCHEX",TRIM(L392:AD392),L392:AD392),0),0))</f>
        <v/>
      </c>
      <c r="AM392" s="6229">
        <f t="shared" si="162"/>
        <v>0</v>
      </c>
      <c r="AN392" s="6857" t="str">
        <f t="shared" si="177"/>
        <v/>
      </c>
      <c r="AO392" s="392">
        <f t="shared" si="163"/>
        <v>0</v>
      </c>
      <c r="AP392" s="392">
        <f t="shared" si="164"/>
        <v>0</v>
      </c>
      <c r="AQ392" s="6190">
        <f t="shared" si="165"/>
        <v>0</v>
      </c>
      <c r="AR392" s="6858" t="str">
        <f t="shared" si="166"/>
        <v/>
      </c>
      <c r="AS392" s="6217"/>
      <c r="AT392" s="6217"/>
      <c r="AU392" s="6271">
        <f t="shared" si="167"/>
        <v>0</v>
      </c>
      <c r="AV392" s="6242">
        <f t="shared" si="168"/>
        <v>0</v>
      </c>
      <c r="AW392" s="6188" cm="1">
        <f t="array" ref="AW392">IF(AK392&lt;&gt;1,0,IF(OR(AU392="",N(AU392)&lt;=0.000000001),"",IF(OR(AO392="",N(AO392)&lt;=0.000000001),0,IF(ISNUMBER(AU392),IFERROR(_xlfn.LET(_xlpm.ai_test,TRIM(AJ392),_xlpm.r,IFERROR(_xlfn.XLOOKUP(_xlpm.ai_test,$BJ$15:$BJ$62,ROW($BJ$15:$BJ$62),0,1),IFERROR(_xlfn.XLOOKUP(_xlpm.ai_test,$BK$15:$BK$62,ROW($BK$15:$BK$62),0,1),_xlfn.XLOOKUP(_xlpm.ai_test,$BL$15:$BL$62,ROW($BL$15:$BL$62),0,1))),_xlpm.p,_xlpm.r-MIN(ROW($BJ$15:$BJ$62))+1,_xlpm.f,INDEX($BM$15:$BM$62,_xlpm.p),_xlpm.u,INDEX($BN$15:$BN$62,_xlpm.p),_xlpm.s,INDEX($BP$15:$BP$62,_xlpm.p),_xlpm.q,N(AU392)/_xlpm.f,IF(_xlpm.q&gt;=_xlpm.s,ROUND(_xlpm.q,1)&amp;" "&amp;_xlpm.ai_test&amp;" = "&amp;ROUND(_xlpm.q*_xlpm.f,1)&amp;" "&amp;_xlpm.u,ROUND(_xlpm.q,1)&amp;" "&amp;_xlpm.ai_test)),""),""))))</f>
        <v>0</v>
      </c>
      <c r="AX392" s="6218"/>
      <c r="AY392" s="6271">
        <f t="shared" si="169"/>
        <v>0</v>
      </c>
      <c r="AZ392" s="6242" t="str">
        <f t="shared" si="170"/>
        <v/>
      </c>
      <c r="BA392" s="6194">
        <f t="shared" si="175"/>
        <v>0</v>
      </c>
      <c r="BB392" s="6192" t="str">
        <f t="shared" si="171"/>
        <v/>
      </c>
      <c r="BC392" s="6219"/>
      <c r="BD392" s="6221">
        <f t="shared" si="176"/>
        <v>0</v>
      </c>
      <c r="BE392" s="6220" t="str">
        <f t="shared" si="172"/>
        <v/>
      </c>
      <c r="BF392" s="4" t="s">
        <v>1</v>
      </c>
      <c r="BG392" s="6196">
        <f t="shared" si="173"/>
        <v>0</v>
      </c>
      <c r="BH392" s="6197">
        <f t="shared" si="174"/>
        <v>0</v>
      </c>
      <c r="BI392"/>
      <c r="BJ392" s="1"/>
      <c r="BK392" s="1"/>
      <c r="BL392" s="1"/>
      <c r="BM392" s="1"/>
      <c r="BN392" s="1"/>
      <c r="BO392" s="1"/>
      <c r="BP392" s="1"/>
      <c r="BQ392" s="1"/>
      <c r="BX392" s="20" t="str">
        <f t="shared" si="178"/>
        <v>►</v>
      </c>
      <c r="BY392" s="2"/>
      <c r="BZ392" s="2"/>
      <c r="CA392" s="2"/>
      <c r="CB392" s="2"/>
      <c r="CC392" s="2"/>
      <c r="DC392" s="5">
        <v>1</v>
      </c>
    </row>
    <row r="393" spans="12:107" ht="21" customHeight="1">
      <c r="L393" s="1021" t="s">
        <v>26</v>
      </c>
      <c r="M393" s="6787"/>
      <c r="N393" s="6787"/>
      <c r="O393" s="6787"/>
      <c r="P393" s="6788"/>
      <c r="Q393" s="6789"/>
      <c r="R393" s="6790"/>
      <c r="S393" s="6786"/>
      <c r="T393" s="6791"/>
      <c r="U393" s="6844"/>
      <c r="V393" s="6791"/>
      <c r="W393" s="6785"/>
      <c r="X393" s="6868"/>
      <c r="Y393" s="6793"/>
      <c r="Z393" s="6794"/>
      <c r="AA393" s="6795"/>
      <c r="AB393" s="6796"/>
      <c r="AC393" s="6797"/>
      <c r="AD393" s="6798"/>
      <c r="AE393" s="4" t="s">
        <v>1</v>
      </c>
      <c r="AF393" s="6202" t="str">
        <f t="shared" si="156"/>
        <v>►</v>
      </c>
      <c r="AG393" s="6234" t="str">
        <f t="shared" si="157"/>
        <v/>
      </c>
      <c r="AH393" s="6732" t="str">
        <f t="shared" si="158"/>
        <v/>
      </c>
      <c r="AI393" s="6234" t="str">
        <f t="shared" si="159"/>
        <v/>
      </c>
      <c r="AJ393" s="6732" t="str">
        <f t="shared" si="160"/>
        <v/>
      </c>
      <c r="AK393" s="6732">
        <f t="shared" si="161"/>
        <v>0</v>
      </c>
      <c r="AL393" s="6230" t="str" cm="1">
        <f t="array" ref="AL393">IF(AF393&lt;&gt;"A","",IFERROR((IFERROR(_xlfn.XLOOKUP(TRIM(SUBSTITUTE(U393,CHAR(160)," ")),$BJ$15:$BJ$62,$BM$15:$BM$62),IFERROR(_xlfn.XLOOKUP(TRIM(SUBSTITUTE(U393,CHAR(160)," ")),$BK$15:$BK$62,$BM$15:$BM$62),_xlfn.XLOOKUP(TRIM(SUBSTITUTE(U393,CHAR(160)," ")),$BL$15:$BL$62,$BM$15:$BM$62))))*T393*IF(ISBLANK(Q393),1,Q393)+IFERROR(_xlfn.XLOOKUP("RECHERCHEX",TRIM(L393:AD393),L393:AD393),0),0))</f>
        <v/>
      </c>
      <c r="AM393" s="6229">
        <f t="shared" si="162"/>
        <v>0</v>
      </c>
      <c r="AN393" s="6857" t="str">
        <f t="shared" si="177"/>
        <v/>
      </c>
      <c r="AO393" s="392">
        <f t="shared" si="163"/>
        <v>0</v>
      </c>
      <c r="AP393" s="392">
        <f t="shared" si="164"/>
        <v>0</v>
      </c>
      <c r="AQ393" s="6191">
        <f t="shared" si="165"/>
        <v>0</v>
      </c>
      <c r="AR393" s="6859" t="str">
        <f t="shared" si="166"/>
        <v/>
      </c>
      <c r="AS393" s="6217"/>
      <c r="AT393" s="6217"/>
      <c r="AU393" s="6272">
        <f t="shared" si="167"/>
        <v>0</v>
      </c>
      <c r="AV393" s="6240">
        <f t="shared" si="168"/>
        <v>0</v>
      </c>
      <c r="AW393" s="6189" cm="1">
        <f t="array" ref="AW393">IF(AK393&lt;&gt;1,0,IF(OR(AU393="",N(AU393)&lt;=0.000000001),"",IF(OR(AO393="",N(AO393)&lt;=0.000000001),0,IF(ISNUMBER(AU393),IFERROR(_xlfn.LET(_xlpm.ai_test,TRIM(AJ393),_xlpm.r,IFERROR(_xlfn.XLOOKUP(_xlpm.ai_test,$BJ$15:$BJ$62,ROW($BJ$15:$BJ$62),0,1),IFERROR(_xlfn.XLOOKUP(_xlpm.ai_test,$BK$15:$BK$62,ROW($BK$15:$BK$62),0,1),_xlfn.XLOOKUP(_xlpm.ai_test,$BL$15:$BL$62,ROW($BL$15:$BL$62),0,1))),_xlpm.p,_xlpm.r-MIN(ROW($BJ$15:$BJ$62))+1,_xlpm.f,INDEX($BM$15:$BM$62,_xlpm.p),_xlpm.u,INDEX($BN$15:$BN$62,_xlpm.p),_xlpm.s,INDEX($BP$15:$BP$62,_xlpm.p),_xlpm.q,N(AU393)/_xlpm.f,IF(_xlpm.q&gt;=_xlpm.s,ROUND(_xlpm.q,1)&amp;" "&amp;_xlpm.ai_test&amp;" = "&amp;ROUND(_xlpm.q*_xlpm.f,1)&amp;" "&amp;_xlpm.u,ROUND(_xlpm.q,1)&amp;" "&amp;_xlpm.ai_test)),""),""))))</f>
        <v>0</v>
      </c>
      <c r="AX393" s="6218"/>
      <c r="AY393" s="6272">
        <f t="shared" si="169"/>
        <v>0</v>
      </c>
      <c r="AZ393" s="6240" t="str">
        <f t="shared" si="170"/>
        <v/>
      </c>
      <c r="BA393" s="6195">
        <f t="shared" si="175"/>
        <v>0</v>
      </c>
      <c r="BB393" s="6193" t="str">
        <f t="shared" si="171"/>
        <v/>
      </c>
      <c r="BC393" s="6219"/>
      <c r="BD393" s="6222">
        <f t="shared" si="176"/>
        <v>0</v>
      </c>
      <c r="BE393" s="6220" t="str">
        <f t="shared" si="172"/>
        <v/>
      </c>
      <c r="BF393" s="4" t="s">
        <v>1</v>
      </c>
      <c r="BG393" s="6196">
        <f t="shared" si="173"/>
        <v>0</v>
      </c>
      <c r="BH393" s="6197">
        <f t="shared" si="174"/>
        <v>0</v>
      </c>
      <c r="BI393"/>
      <c r="BJ393" s="1"/>
      <c r="BK393" s="1"/>
      <c r="BL393" s="1"/>
      <c r="BM393" s="1"/>
      <c r="BN393" s="1"/>
      <c r="BO393" s="1"/>
      <c r="BP393" s="1"/>
      <c r="BQ393" s="1"/>
      <c r="BX393" s="20" t="str">
        <f t="shared" si="178"/>
        <v>►</v>
      </c>
      <c r="BY393" s="2"/>
      <c r="BZ393" s="2"/>
      <c r="CA393" s="2"/>
      <c r="CB393" s="2"/>
      <c r="CC393" s="2"/>
      <c r="DC393" s="5">
        <v>1</v>
      </c>
    </row>
    <row r="394" spans="12:107" ht="21" customHeight="1">
      <c r="L394" s="1021" t="s">
        <v>26</v>
      </c>
      <c r="M394" s="6787"/>
      <c r="N394" s="6787"/>
      <c r="O394" s="6787"/>
      <c r="P394" s="6788"/>
      <c r="Q394" s="6789"/>
      <c r="R394" s="6790"/>
      <c r="S394" s="6786"/>
      <c r="T394" s="6791"/>
      <c r="U394" s="6844"/>
      <c r="V394" s="6791"/>
      <c r="W394" s="6785"/>
      <c r="X394" s="6868"/>
      <c r="Y394" s="6793"/>
      <c r="Z394" s="6794"/>
      <c r="AA394" s="6795"/>
      <c r="AB394" s="6796"/>
      <c r="AC394" s="6797"/>
      <c r="AD394" s="6798"/>
      <c r="AE394" s="4" t="s">
        <v>1</v>
      </c>
      <c r="AF394" s="6202" t="str">
        <f t="shared" si="156"/>
        <v>►</v>
      </c>
      <c r="AG394" s="6234" t="str">
        <f t="shared" si="157"/>
        <v/>
      </c>
      <c r="AH394" s="6732" t="str">
        <f t="shared" si="158"/>
        <v/>
      </c>
      <c r="AI394" s="6234" t="str">
        <f t="shared" si="159"/>
        <v/>
      </c>
      <c r="AJ394" s="6732" t="str">
        <f t="shared" si="160"/>
        <v/>
      </c>
      <c r="AK394" s="6732">
        <f t="shared" si="161"/>
        <v>0</v>
      </c>
      <c r="AL394" s="6230" t="str" cm="1">
        <f t="array" ref="AL394">IF(AF394&lt;&gt;"A","",IFERROR((IFERROR(_xlfn.XLOOKUP(TRIM(SUBSTITUTE(U394,CHAR(160)," ")),$BJ$15:$BJ$62,$BM$15:$BM$62),IFERROR(_xlfn.XLOOKUP(TRIM(SUBSTITUTE(U394,CHAR(160)," ")),$BK$15:$BK$62,$BM$15:$BM$62),_xlfn.XLOOKUP(TRIM(SUBSTITUTE(U394,CHAR(160)," ")),$BL$15:$BL$62,$BM$15:$BM$62))))*T394*IF(ISBLANK(Q394),1,Q394)+IFERROR(_xlfn.XLOOKUP("RECHERCHEX",TRIM(L394:AD394),L394:AD394),0),0))</f>
        <v/>
      </c>
      <c r="AM394" s="6229">
        <f t="shared" si="162"/>
        <v>0</v>
      </c>
      <c r="AN394" s="6857" t="str">
        <f t="shared" si="177"/>
        <v/>
      </c>
      <c r="AO394" s="392">
        <f t="shared" si="163"/>
        <v>0</v>
      </c>
      <c r="AP394" s="392">
        <f t="shared" si="164"/>
        <v>0</v>
      </c>
      <c r="AQ394" s="6190">
        <f t="shared" si="165"/>
        <v>0</v>
      </c>
      <c r="AR394" s="6858" t="str">
        <f t="shared" si="166"/>
        <v/>
      </c>
      <c r="AS394" s="6217"/>
      <c r="AT394" s="6217"/>
      <c r="AU394" s="6271">
        <f t="shared" si="167"/>
        <v>0</v>
      </c>
      <c r="AV394" s="6242">
        <f t="shared" si="168"/>
        <v>0</v>
      </c>
      <c r="AW394" s="6188" cm="1">
        <f t="array" ref="AW394">IF(AK394&lt;&gt;1,0,IF(OR(AU394="",N(AU394)&lt;=0.000000001),"",IF(OR(AO394="",N(AO394)&lt;=0.000000001),0,IF(ISNUMBER(AU394),IFERROR(_xlfn.LET(_xlpm.ai_test,TRIM(AJ394),_xlpm.r,IFERROR(_xlfn.XLOOKUP(_xlpm.ai_test,$BJ$15:$BJ$62,ROW($BJ$15:$BJ$62),0,1),IFERROR(_xlfn.XLOOKUP(_xlpm.ai_test,$BK$15:$BK$62,ROW($BK$15:$BK$62),0,1),_xlfn.XLOOKUP(_xlpm.ai_test,$BL$15:$BL$62,ROW($BL$15:$BL$62),0,1))),_xlpm.p,_xlpm.r-MIN(ROW($BJ$15:$BJ$62))+1,_xlpm.f,INDEX($BM$15:$BM$62,_xlpm.p),_xlpm.u,INDEX($BN$15:$BN$62,_xlpm.p),_xlpm.s,INDEX($BP$15:$BP$62,_xlpm.p),_xlpm.q,N(AU394)/_xlpm.f,IF(_xlpm.q&gt;=_xlpm.s,ROUND(_xlpm.q,1)&amp;" "&amp;_xlpm.ai_test&amp;" = "&amp;ROUND(_xlpm.q*_xlpm.f,1)&amp;" "&amp;_xlpm.u,ROUND(_xlpm.q,1)&amp;" "&amp;_xlpm.ai_test)),""),""))))</f>
        <v>0</v>
      </c>
      <c r="AX394" s="6218"/>
      <c r="AY394" s="6271">
        <f t="shared" si="169"/>
        <v>0</v>
      </c>
      <c r="AZ394" s="6242" t="str">
        <f t="shared" si="170"/>
        <v/>
      </c>
      <c r="BA394" s="6194">
        <f t="shared" si="175"/>
        <v>0</v>
      </c>
      <c r="BB394" s="6192" t="str">
        <f t="shared" si="171"/>
        <v/>
      </c>
      <c r="BC394" s="6219"/>
      <c r="BD394" s="6221">
        <f t="shared" si="176"/>
        <v>0</v>
      </c>
      <c r="BE394" s="6220" t="str">
        <f t="shared" si="172"/>
        <v/>
      </c>
      <c r="BF394" s="4" t="s">
        <v>1</v>
      </c>
      <c r="BG394" s="6196">
        <f t="shared" si="173"/>
        <v>0</v>
      </c>
      <c r="BH394" s="6197">
        <f t="shared" si="174"/>
        <v>0</v>
      </c>
      <c r="BI394"/>
      <c r="BJ394" s="1"/>
      <c r="BK394" s="1"/>
      <c r="BL394" s="1"/>
      <c r="BM394" s="1"/>
      <c r="BN394" s="1"/>
      <c r="BO394" s="1"/>
      <c r="BP394" s="1"/>
      <c r="BQ394" s="1"/>
      <c r="BX394" s="20" t="str">
        <f t="shared" si="178"/>
        <v>►</v>
      </c>
      <c r="BY394" s="2"/>
      <c r="BZ394" s="2"/>
      <c r="CA394" s="2"/>
      <c r="CB394" s="2"/>
      <c r="CC394" s="2"/>
      <c r="DC394" s="5">
        <v>1</v>
      </c>
    </row>
    <row r="395" spans="12:107" ht="21" customHeight="1">
      <c r="L395" s="1021" t="s">
        <v>26</v>
      </c>
      <c r="M395" s="6787"/>
      <c r="N395" s="6787"/>
      <c r="O395" s="6787"/>
      <c r="P395" s="6788"/>
      <c r="Q395" s="6789"/>
      <c r="R395" s="6790"/>
      <c r="S395" s="6786"/>
      <c r="T395" s="6791"/>
      <c r="U395" s="6844"/>
      <c r="V395" s="6791"/>
      <c r="W395" s="6785"/>
      <c r="X395" s="6868"/>
      <c r="Y395" s="6793"/>
      <c r="Z395" s="6794"/>
      <c r="AA395" s="6795"/>
      <c r="AB395" s="6796"/>
      <c r="AC395" s="6797"/>
      <c r="AD395" s="6798"/>
      <c r="AE395" s="4" t="s">
        <v>1</v>
      </c>
      <c r="AF395" s="6202" t="str">
        <f t="shared" si="156"/>
        <v>►</v>
      </c>
      <c r="AG395" s="6234" t="str">
        <f t="shared" si="157"/>
        <v/>
      </c>
      <c r="AH395" s="6732" t="str">
        <f t="shared" si="158"/>
        <v/>
      </c>
      <c r="AI395" s="6234" t="str">
        <f t="shared" si="159"/>
        <v/>
      </c>
      <c r="AJ395" s="6732" t="str">
        <f t="shared" si="160"/>
        <v/>
      </c>
      <c r="AK395" s="6732">
        <f t="shared" si="161"/>
        <v>0</v>
      </c>
      <c r="AL395" s="6230" t="str" cm="1">
        <f t="array" ref="AL395">IF(AF395&lt;&gt;"A","",IFERROR((IFERROR(_xlfn.XLOOKUP(TRIM(SUBSTITUTE(U395,CHAR(160)," ")),$BJ$15:$BJ$62,$BM$15:$BM$62),IFERROR(_xlfn.XLOOKUP(TRIM(SUBSTITUTE(U395,CHAR(160)," ")),$BK$15:$BK$62,$BM$15:$BM$62),_xlfn.XLOOKUP(TRIM(SUBSTITUTE(U395,CHAR(160)," ")),$BL$15:$BL$62,$BM$15:$BM$62))))*T395*IF(ISBLANK(Q395),1,Q395)+IFERROR(_xlfn.XLOOKUP("RECHERCHEX",TRIM(L395:AD395),L395:AD395),0),0))</f>
        <v/>
      </c>
      <c r="AM395" s="6229">
        <f t="shared" si="162"/>
        <v>0</v>
      </c>
      <c r="AN395" s="6857" t="str">
        <f t="shared" si="177"/>
        <v/>
      </c>
      <c r="AO395" s="392">
        <f t="shared" si="163"/>
        <v>0</v>
      </c>
      <c r="AP395" s="392">
        <f t="shared" si="164"/>
        <v>0</v>
      </c>
      <c r="AQ395" s="6191">
        <f t="shared" si="165"/>
        <v>0</v>
      </c>
      <c r="AR395" s="6859" t="str">
        <f t="shared" si="166"/>
        <v/>
      </c>
      <c r="AS395" s="6217"/>
      <c r="AT395" s="6217"/>
      <c r="AU395" s="6272">
        <f t="shared" si="167"/>
        <v>0</v>
      </c>
      <c r="AV395" s="6240">
        <f t="shared" si="168"/>
        <v>0</v>
      </c>
      <c r="AW395" s="6189" cm="1">
        <f t="array" ref="AW395">IF(AK395&lt;&gt;1,0,IF(OR(AU395="",N(AU395)&lt;=0.000000001),"",IF(OR(AO395="",N(AO395)&lt;=0.000000001),0,IF(ISNUMBER(AU395),IFERROR(_xlfn.LET(_xlpm.ai_test,TRIM(AJ395),_xlpm.r,IFERROR(_xlfn.XLOOKUP(_xlpm.ai_test,$BJ$15:$BJ$62,ROW($BJ$15:$BJ$62),0,1),IFERROR(_xlfn.XLOOKUP(_xlpm.ai_test,$BK$15:$BK$62,ROW($BK$15:$BK$62),0,1),_xlfn.XLOOKUP(_xlpm.ai_test,$BL$15:$BL$62,ROW($BL$15:$BL$62),0,1))),_xlpm.p,_xlpm.r-MIN(ROW($BJ$15:$BJ$62))+1,_xlpm.f,INDEX($BM$15:$BM$62,_xlpm.p),_xlpm.u,INDEX($BN$15:$BN$62,_xlpm.p),_xlpm.s,INDEX($BP$15:$BP$62,_xlpm.p),_xlpm.q,N(AU395)/_xlpm.f,IF(_xlpm.q&gt;=_xlpm.s,ROUND(_xlpm.q,1)&amp;" "&amp;_xlpm.ai_test&amp;" = "&amp;ROUND(_xlpm.q*_xlpm.f,1)&amp;" "&amp;_xlpm.u,ROUND(_xlpm.q,1)&amp;" "&amp;_xlpm.ai_test)),""),""))))</f>
        <v>0</v>
      </c>
      <c r="AX395" s="6218"/>
      <c r="AY395" s="6272">
        <f t="shared" si="169"/>
        <v>0</v>
      </c>
      <c r="AZ395" s="6240" t="str">
        <f t="shared" si="170"/>
        <v/>
      </c>
      <c r="BA395" s="6195">
        <f t="shared" si="175"/>
        <v>0</v>
      </c>
      <c r="BB395" s="6193" t="str">
        <f t="shared" si="171"/>
        <v/>
      </c>
      <c r="BC395" s="6219"/>
      <c r="BD395" s="6222">
        <f t="shared" si="176"/>
        <v>0</v>
      </c>
      <c r="BE395" s="6220" t="str">
        <f t="shared" si="172"/>
        <v/>
      </c>
      <c r="BF395" s="4" t="s">
        <v>1</v>
      </c>
      <c r="BG395" s="6196">
        <f t="shared" si="173"/>
        <v>0</v>
      </c>
      <c r="BH395" s="6197">
        <f t="shared" si="174"/>
        <v>0</v>
      </c>
      <c r="BI395"/>
      <c r="BJ395" s="1"/>
      <c r="BK395" s="1"/>
      <c r="BL395" s="1"/>
      <c r="BM395" s="1"/>
      <c r="BN395" s="1"/>
      <c r="BO395" s="1"/>
      <c r="BP395" s="1"/>
      <c r="BQ395" s="1"/>
      <c r="BX395" s="20" t="str">
        <f t="shared" si="178"/>
        <v>►</v>
      </c>
      <c r="BY395" s="2"/>
      <c r="BZ395" s="2"/>
      <c r="CA395" s="2"/>
      <c r="CB395" s="2"/>
      <c r="CC395" s="2"/>
      <c r="DC395" s="5">
        <v>1</v>
      </c>
    </row>
    <row r="396" spans="12:107" ht="21" customHeight="1">
      <c r="L396" s="1021" t="s">
        <v>26</v>
      </c>
      <c r="M396" s="6787"/>
      <c r="N396" s="6787"/>
      <c r="O396" s="6787"/>
      <c r="P396" s="6788"/>
      <c r="Q396" s="6789"/>
      <c r="R396" s="6790"/>
      <c r="S396" s="6786"/>
      <c r="T396" s="6791"/>
      <c r="U396" s="6844"/>
      <c r="V396" s="6791"/>
      <c r="W396" s="6785"/>
      <c r="X396" s="6868"/>
      <c r="Y396" s="6793"/>
      <c r="Z396" s="6794"/>
      <c r="AA396" s="6795"/>
      <c r="AB396" s="6796"/>
      <c r="AC396" s="6797"/>
      <c r="AD396" s="6798"/>
      <c r="AE396" s="4" t="s">
        <v>1</v>
      </c>
      <c r="AF396" s="6202" t="str">
        <f t="shared" si="156"/>
        <v>►</v>
      </c>
      <c r="AG396" s="6234" t="str">
        <f t="shared" si="157"/>
        <v/>
      </c>
      <c r="AH396" s="6732" t="str">
        <f t="shared" si="158"/>
        <v/>
      </c>
      <c r="AI396" s="6234" t="str">
        <f t="shared" si="159"/>
        <v/>
      </c>
      <c r="AJ396" s="6732" t="str">
        <f t="shared" si="160"/>
        <v/>
      </c>
      <c r="AK396" s="6732">
        <f t="shared" si="161"/>
        <v>0</v>
      </c>
      <c r="AL396" s="6230" t="str" cm="1">
        <f t="array" ref="AL396">IF(AF396&lt;&gt;"A","",IFERROR((IFERROR(_xlfn.XLOOKUP(TRIM(SUBSTITUTE(U396,CHAR(160)," ")),$BJ$15:$BJ$62,$BM$15:$BM$62),IFERROR(_xlfn.XLOOKUP(TRIM(SUBSTITUTE(U396,CHAR(160)," ")),$BK$15:$BK$62,$BM$15:$BM$62),_xlfn.XLOOKUP(TRIM(SUBSTITUTE(U396,CHAR(160)," ")),$BL$15:$BL$62,$BM$15:$BM$62))))*T396*IF(ISBLANK(Q396),1,Q396)+IFERROR(_xlfn.XLOOKUP("RECHERCHEX",TRIM(L396:AD396),L396:AD396),0),0))</f>
        <v/>
      </c>
      <c r="AM396" s="6229">
        <f t="shared" si="162"/>
        <v>0</v>
      </c>
      <c r="AN396" s="6857" t="str">
        <f t="shared" si="177"/>
        <v/>
      </c>
      <c r="AO396" s="392">
        <f t="shared" si="163"/>
        <v>0</v>
      </c>
      <c r="AP396" s="392">
        <f t="shared" si="164"/>
        <v>0</v>
      </c>
      <c r="AQ396" s="6190">
        <f t="shared" si="165"/>
        <v>0</v>
      </c>
      <c r="AR396" s="6858" t="str">
        <f t="shared" si="166"/>
        <v/>
      </c>
      <c r="AS396" s="6217"/>
      <c r="AT396" s="6217"/>
      <c r="AU396" s="6271">
        <f t="shared" si="167"/>
        <v>0</v>
      </c>
      <c r="AV396" s="6242">
        <f t="shared" si="168"/>
        <v>0</v>
      </c>
      <c r="AW396" s="6188" cm="1">
        <f t="array" ref="AW396">IF(AK396&lt;&gt;1,0,IF(OR(AU396="",N(AU396)&lt;=0.000000001),"",IF(OR(AO396="",N(AO396)&lt;=0.000000001),0,IF(ISNUMBER(AU396),IFERROR(_xlfn.LET(_xlpm.ai_test,TRIM(AJ396),_xlpm.r,IFERROR(_xlfn.XLOOKUP(_xlpm.ai_test,$BJ$15:$BJ$62,ROW($BJ$15:$BJ$62),0,1),IFERROR(_xlfn.XLOOKUP(_xlpm.ai_test,$BK$15:$BK$62,ROW($BK$15:$BK$62),0,1),_xlfn.XLOOKUP(_xlpm.ai_test,$BL$15:$BL$62,ROW($BL$15:$BL$62),0,1))),_xlpm.p,_xlpm.r-MIN(ROW($BJ$15:$BJ$62))+1,_xlpm.f,INDEX($BM$15:$BM$62,_xlpm.p),_xlpm.u,INDEX($BN$15:$BN$62,_xlpm.p),_xlpm.s,INDEX($BP$15:$BP$62,_xlpm.p),_xlpm.q,N(AU396)/_xlpm.f,IF(_xlpm.q&gt;=_xlpm.s,ROUND(_xlpm.q,1)&amp;" "&amp;_xlpm.ai_test&amp;" = "&amp;ROUND(_xlpm.q*_xlpm.f,1)&amp;" "&amp;_xlpm.u,ROUND(_xlpm.q,1)&amp;" "&amp;_xlpm.ai_test)),""),""))))</f>
        <v>0</v>
      </c>
      <c r="AX396" s="6218"/>
      <c r="AY396" s="6271">
        <f t="shared" si="169"/>
        <v>0</v>
      </c>
      <c r="AZ396" s="6242" t="str">
        <f t="shared" si="170"/>
        <v/>
      </c>
      <c r="BA396" s="6194">
        <f t="shared" si="175"/>
        <v>0</v>
      </c>
      <c r="BB396" s="6192" t="str">
        <f t="shared" si="171"/>
        <v/>
      </c>
      <c r="BC396" s="6219"/>
      <c r="BD396" s="6221">
        <f t="shared" si="176"/>
        <v>0</v>
      </c>
      <c r="BE396" s="6220" t="str">
        <f t="shared" si="172"/>
        <v/>
      </c>
      <c r="BF396" s="4" t="s">
        <v>1</v>
      </c>
      <c r="BG396" s="6196">
        <f t="shared" si="173"/>
        <v>0</v>
      </c>
      <c r="BH396" s="6197">
        <f t="shared" si="174"/>
        <v>0</v>
      </c>
      <c r="BI396"/>
      <c r="BJ396" s="1"/>
      <c r="BK396" s="1"/>
      <c r="BL396" s="1"/>
      <c r="BM396" s="1"/>
      <c r="BN396" s="1"/>
      <c r="BO396" s="1"/>
      <c r="BP396" s="1"/>
      <c r="BQ396" s="1"/>
      <c r="BX396" s="20" t="str">
        <f t="shared" si="178"/>
        <v>►</v>
      </c>
      <c r="BY396" s="2"/>
      <c r="BZ396" s="2"/>
      <c r="CA396" s="2"/>
      <c r="CB396" s="2"/>
      <c r="CC396" s="2"/>
      <c r="DC396" s="5">
        <v>1</v>
      </c>
    </row>
    <row r="397" spans="12:107" ht="21" customHeight="1">
      <c r="L397" s="1021" t="s">
        <v>26</v>
      </c>
      <c r="M397" s="6787"/>
      <c r="N397" s="6787"/>
      <c r="O397" s="6787"/>
      <c r="P397" s="6788"/>
      <c r="Q397" s="6789"/>
      <c r="R397" s="6790"/>
      <c r="S397" s="6786"/>
      <c r="T397" s="6791"/>
      <c r="U397" s="6844"/>
      <c r="V397" s="6791"/>
      <c r="W397" s="6785"/>
      <c r="X397" s="6868"/>
      <c r="Y397" s="6793"/>
      <c r="Z397" s="6794"/>
      <c r="AA397" s="6795"/>
      <c r="AB397" s="6796"/>
      <c r="AC397" s="6797"/>
      <c r="AD397" s="6798"/>
      <c r="AE397" s="4" t="s">
        <v>1</v>
      </c>
      <c r="AF397" s="6202" t="str">
        <f t="shared" si="156"/>
        <v>►</v>
      </c>
      <c r="AG397" s="6234" t="str">
        <f t="shared" si="157"/>
        <v/>
      </c>
      <c r="AH397" s="6732" t="str">
        <f t="shared" si="158"/>
        <v/>
      </c>
      <c r="AI397" s="6234" t="str">
        <f t="shared" si="159"/>
        <v/>
      </c>
      <c r="AJ397" s="6732" t="str">
        <f t="shared" si="160"/>
        <v/>
      </c>
      <c r="AK397" s="6732">
        <f t="shared" si="161"/>
        <v>0</v>
      </c>
      <c r="AL397" s="6230" t="str" cm="1">
        <f t="array" ref="AL397">IF(AF397&lt;&gt;"A","",IFERROR((IFERROR(_xlfn.XLOOKUP(TRIM(SUBSTITUTE(U397,CHAR(160)," ")),$BJ$15:$BJ$62,$BM$15:$BM$62),IFERROR(_xlfn.XLOOKUP(TRIM(SUBSTITUTE(U397,CHAR(160)," ")),$BK$15:$BK$62,$BM$15:$BM$62),_xlfn.XLOOKUP(TRIM(SUBSTITUTE(U397,CHAR(160)," ")),$BL$15:$BL$62,$BM$15:$BM$62))))*T397*IF(ISBLANK(Q397),1,Q397)+IFERROR(_xlfn.XLOOKUP("RECHERCHEX",TRIM(L397:AD397),L397:AD397),0),0))</f>
        <v/>
      </c>
      <c r="AM397" s="6229">
        <f t="shared" si="162"/>
        <v>0</v>
      </c>
      <c r="AN397" s="6857" t="str">
        <f t="shared" si="177"/>
        <v/>
      </c>
      <c r="AO397" s="392">
        <f t="shared" si="163"/>
        <v>0</v>
      </c>
      <c r="AP397" s="392">
        <f t="shared" si="164"/>
        <v>0</v>
      </c>
      <c r="AQ397" s="6191">
        <f t="shared" si="165"/>
        <v>0</v>
      </c>
      <c r="AR397" s="6859" t="str">
        <f t="shared" si="166"/>
        <v/>
      </c>
      <c r="AS397" s="6217"/>
      <c r="AT397" s="6217"/>
      <c r="AU397" s="6272">
        <f t="shared" si="167"/>
        <v>0</v>
      </c>
      <c r="AV397" s="6240">
        <f t="shared" si="168"/>
        <v>0</v>
      </c>
      <c r="AW397" s="6189" cm="1">
        <f t="array" ref="AW397">IF(AK397&lt;&gt;1,0,IF(OR(AU397="",N(AU397)&lt;=0.000000001),"",IF(OR(AO397="",N(AO397)&lt;=0.000000001),0,IF(ISNUMBER(AU397),IFERROR(_xlfn.LET(_xlpm.ai_test,TRIM(AJ397),_xlpm.r,IFERROR(_xlfn.XLOOKUP(_xlpm.ai_test,$BJ$15:$BJ$62,ROW($BJ$15:$BJ$62),0,1),IFERROR(_xlfn.XLOOKUP(_xlpm.ai_test,$BK$15:$BK$62,ROW($BK$15:$BK$62),0,1),_xlfn.XLOOKUP(_xlpm.ai_test,$BL$15:$BL$62,ROW($BL$15:$BL$62),0,1))),_xlpm.p,_xlpm.r-MIN(ROW($BJ$15:$BJ$62))+1,_xlpm.f,INDEX($BM$15:$BM$62,_xlpm.p),_xlpm.u,INDEX($BN$15:$BN$62,_xlpm.p),_xlpm.s,INDEX($BP$15:$BP$62,_xlpm.p),_xlpm.q,N(AU397)/_xlpm.f,IF(_xlpm.q&gt;=_xlpm.s,ROUND(_xlpm.q,1)&amp;" "&amp;_xlpm.ai_test&amp;" = "&amp;ROUND(_xlpm.q*_xlpm.f,1)&amp;" "&amp;_xlpm.u,ROUND(_xlpm.q,1)&amp;" "&amp;_xlpm.ai_test)),""),""))))</f>
        <v>0</v>
      </c>
      <c r="AX397" s="6218"/>
      <c r="AY397" s="6272">
        <f t="shared" si="169"/>
        <v>0</v>
      </c>
      <c r="AZ397" s="6240" t="str">
        <f t="shared" si="170"/>
        <v/>
      </c>
      <c r="BA397" s="6195">
        <f t="shared" si="175"/>
        <v>0</v>
      </c>
      <c r="BB397" s="6193" t="str">
        <f t="shared" si="171"/>
        <v/>
      </c>
      <c r="BC397" s="6219"/>
      <c r="BD397" s="6222">
        <f t="shared" si="176"/>
        <v>0</v>
      </c>
      <c r="BE397" s="6220" t="str">
        <f t="shared" si="172"/>
        <v/>
      </c>
      <c r="BF397" s="4" t="s">
        <v>1</v>
      </c>
      <c r="BG397" s="6196">
        <f t="shared" si="173"/>
        <v>0</v>
      </c>
      <c r="BH397" s="6197">
        <f t="shared" si="174"/>
        <v>0</v>
      </c>
      <c r="BI397"/>
      <c r="BJ397" s="1"/>
      <c r="BK397" s="1"/>
      <c r="BL397" s="1"/>
      <c r="BM397" s="1"/>
      <c r="BN397" s="1"/>
      <c r="BO397" s="1"/>
      <c r="BP397" s="1"/>
      <c r="BQ397" s="1"/>
      <c r="BX397" s="20" t="str">
        <f t="shared" si="178"/>
        <v>►</v>
      </c>
      <c r="BY397" s="2"/>
      <c r="BZ397" s="2"/>
      <c r="CA397" s="2"/>
      <c r="CB397" s="2"/>
      <c r="CC397" s="2"/>
      <c r="DC397" s="5">
        <v>1</v>
      </c>
    </row>
    <row r="398" spans="12:107" ht="21" customHeight="1">
      <c r="L398" s="1021" t="s">
        <v>26</v>
      </c>
      <c r="M398" s="6787"/>
      <c r="N398" s="6787"/>
      <c r="O398" s="6787"/>
      <c r="P398" s="6788"/>
      <c r="Q398" s="6789"/>
      <c r="R398" s="6790"/>
      <c r="S398" s="6786"/>
      <c r="T398" s="6791"/>
      <c r="U398" s="6844"/>
      <c r="V398" s="6791"/>
      <c r="W398" s="6785"/>
      <c r="X398" s="6868"/>
      <c r="Y398" s="6793"/>
      <c r="Z398" s="6794"/>
      <c r="AA398" s="6795"/>
      <c r="AB398" s="6796"/>
      <c r="AC398" s="6797"/>
      <c r="AD398" s="6798"/>
      <c r="AE398" s="4" t="s">
        <v>1</v>
      </c>
      <c r="AF398" s="6202" t="str">
        <f t="shared" si="156"/>
        <v>►</v>
      </c>
      <c r="AG398" s="6234" t="str">
        <f t="shared" si="157"/>
        <v/>
      </c>
      <c r="AH398" s="6732" t="str">
        <f t="shared" si="158"/>
        <v/>
      </c>
      <c r="AI398" s="6234" t="str">
        <f t="shared" si="159"/>
        <v/>
      </c>
      <c r="AJ398" s="6732" t="str">
        <f t="shared" si="160"/>
        <v/>
      </c>
      <c r="AK398" s="6732">
        <f t="shared" si="161"/>
        <v>0</v>
      </c>
      <c r="AL398" s="6230" t="str" cm="1">
        <f t="array" ref="AL398">IF(AF398&lt;&gt;"A","",IFERROR((IFERROR(_xlfn.XLOOKUP(TRIM(SUBSTITUTE(U398,CHAR(160)," ")),$BJ$15:$BJ$62,$BM$15:$BM$62),IFERROR(_xlfn.XLOOKUP(TRIM(SUBSTITUTE(U398,CHAR(160)," ")),$BK$15:$BK$62,$BM$15:$BM$62),_xlfn.XLOOKUP(TRIM(SUBSTITUTE(U398,CHAR(160)," ")),$BL$15:$BL$62,$BM$15:$BM$62))))*T398*IF(ISBLANK(Q398),1,Q398)+IFERROR(_xlfn.XLOOKUP("RECHERCHEX",TRIM(L398:AD398),L398:AD398),0),0))</f>
        <v/>
      </c>
      <c r="AM398" s="6229">
        <f t="shared" si="162"/>
        <v>0</v>
      </c>
      <c r="AN398" s="6857" t="str">
        <f t="shared" si="177"/>
        <v/>
      </c>
      <c r="AO398" s="392">
        <f t="shared" si="163"/>
        <v>0</v>
      </c>
      <c r="AP398" s="392">
        <f t="shared" si="164"/>
        <v>0</v>
      </c>
      <c r="AQ398" s="6190">
        <f t="shared" si="165"/>
        <v>0</v>
      </c>
      <c r="AR398" s="6858" t="str">
        <f t="shared" si="166"/>
        <v/>
      </c>
      <c r="AS398" s="6217"/>
      <c r="AT398" s="6217"/>
      <c r="AU398" s="6271">
        <f t="shared" si="167"/>
        <v>0</v>
      </c>
      <c r="AV398" s="6242">
        <f t="shared" si="168"/>
        <v>0</v>
      </c>
      <c r="AW398" s="6188" cm="1">
        <f t="array" ref="AW398">IF(AK398&lt;&gt;1,0,IF(OR(AU398="",N(AU398)&lt;=0.000000001),"",IF(OR(AO398="",N(AO398)&lt;=0.000000001),0,IF(ISNUMBER(AU398),IFERROR(_xlfn.LET(_xlpm.ai_test,TRIM(AJ398),_xlpm.r,IFERROR(_xlfn.XLOOKUP(_xlpm.ai_test,$BJ$15:$BJ$62,ROW($BJ$15:$BJ$62),0,1),IFERROR(_xlfn.XLOOKUP(_xlpm.ai_test,$BK$15:$BK$62,ROW($BK$15:$BK$62),0,1),_xlfn.XLOOKUP(_xlpm.ai_test,$BL$15:$BL$62,ROW($BL$15:$BL$62),0,1))),_xlpm.p,_xlpm.r-MIN(ROW($BJ$15:$BJ$62))+1,_xlpm.f,INDEX($BM$15:$BM$62,_xlpm.p),_xlpm.u,INDEX($BN$15:$BN$62,_xlpm.p),_xlpm.s,INDEX($BP$15:$BP$62,_xlpm.p),_xlpm.q,N(AU398)/_xlpm.f,IF(_xlpm.q&gt;=_xlpm.s,ROUND(_xlpm.q,1)&amp;" "&amp;_xlpm.ai_test&amp;" = "&amp;ROUND(_xlpm.q*_xlpm.f,1)&amp;" "&amp;_xlpm.u,ROUND(_xlpm.q,1)&amp;" "&amp;_xlpm.ai_test)),""),""))))</f>
        <v>0</v>
      </c>
      <c r="AX398" s="6218"/>
      <c r="AY398" s="6271">
        <f t="shared" si="169"/>
        <v>0</v>
      </c>
      <c r="AZ398" s="6242" t="str">
        <f t="shared" si="170"/>
        <v/>
      </c>
      <c r="BA398" s="6194">
        <f t="shared" si="175"/>
        <v>0</v>
      </c>
      <c r="BB398" s="6192" t="str">
        <f t="shared" si="171"/>
        <v/>
      </c>
      <c r="BC398" s="6219"/>
      <c r="BD398" s="6221">
        <f t="shared" si="176"/>
        <v>0</v>
      </c>
      <c r="BE398" s="6220" t="str">
        <f t="shared" si="172"/>
        <v/>
      </c>
      <c r="BF398" s="4" t="s">
        <v>1</v>
      </c>
      <c r="BG398" s="6196">
        <f t="shared" si="173"/>
        <v>0</v>
      </c>
      <c r="BH398" s="6197">
        <f t="shared" si="174"/>
        <v>0</v>
      </c>
      <c r="BI398"/>
      <c r="BJ398" s="1"/>
      <c r="BK398" s="1"/>
      <c r="BL398" s="1"/>
      <c r="BM398" s="1"/>
      <c r="BN398" s="1"/>
      <c r="BO398" s="1"/>
      <c r="BP398" s="1"/>
      <c r="BQ398" s="1"/>
      <c r="BX398" s="20" t="str">
        <f t="shared" si="178"/>
        <v>►</v>
      </c>
      <c r="BY398" s="2"/>
      <c r="BZ398" s="2"/>
      <c r="CA398" s="2"/>
      <c r="CB398" s="2"/>
      <c r="CC398" s="2"/>
      <c r="DC398" s="5">
        <v>1</v>
      </c>
    </row>
    <row r="399" spans="12:107" ht="21" customHeight="1">
      <c r="L399" s="1021" t="s">
        <v>26</v>
      </c>
      <c r="M399" s="6787"/>
      <c r="N399" s="6787"/>
      <c r="O399" s="6787"/>
      <c r="P399" s="6788"/>
      <c r="Q399" s="6789"/>
      <c r="R399" s="6790"/>
      <c r="S399" s="6786"/>
      <c r="T399" s="6791"/>
      <c r="U399" s="6844"/>
      <c r="V399" s="6791"/>
      <c r="W399" s="6785"/>
      <c r="X399" s="6868"/>
      <c r="Y399" s="6793"/>
      <c r="Z399" s="6794"/>
      <c r="AA399" s="6795"/>
      <c r="AB399" s="6796"/>
      <c r="AC399" s="6797"/>
      <c r="AD399" s="6798"/>
      <c r="AE399" s="4" t="s">
        <v>1</v>
      </c>
      <c r="AF399" s="6202" t="str">
        <f t="shared" si="156"/>
        <v>►</v>
      </c>
      <c r="AG399" s="6234" t="str">
        <f t="shared" si="157"/>
        <v/>
      </c>
      <c r="AH399" s="6732" t="str">
        <f t="shared" si="158"/>
        <v/>
      </c>
      <c r="AI399" s="6234" t="str">
        <f t="shared" si="159"/>
        <v/>
      </c>
      <c r="AJ399" s="6732" t="str">
        <f t="shared" si="160"/>
        <v/>
      </c>
      <c r="AK399" s="6732">
        <f t="shared" si="161"/>
        <v>0</v>
      </c>
      <c r="AL399" s="6230" t="str" cm="1">
        <f t="array" ref="AL399">IF(AF399&lt;&gt;"A","",IFERROR((IFERROR(_xlfn.XLOOKUP(TRIM(SUBSTITUTE(U399,CHAR(160)," ")),$BJ$15:$BJ$62,$BM$15:$BM$62),IFERROR(_xlfn.XLOOKUP(TRIM(SUBSTITUTE(U399,CHAR(160)," ")),$BK$15:$BK$62,$BM$15:$BM$62),_xlfn.XLOOKUP(TRIM(SUBSTITUTE(U399,CHAR(160)," ")),$BL$15:$BL$62,$BM$15:$BM$62))))*T399*IF(ISBLANK(Q399),1,Q399)+IFERROR(_xlfn.XLOOKUP("RECHERCHEX",TRIM(L399:AD399),L399:AD399),0),0))</f>
        <v/>
      </c>
      <c r="AM399" s="6229">
        <f t="shared" si="162"/>
        <v>0</v>
      </c>
      <c r="AN399" s="6857" t="str">
        <f t="shared" si="177"/>
        <v/>
      </c>
      <c r="AO399" s="392">
        <f t="shared" si="163"/>
        <v>0</v>
      </c>
      <c r="AP399" s="392">
        <f t="shared" si="164"/>
        <v>0</v>
      </c>
      <c r="AQ399" s="6191">
        <f t="shared" si="165"/>
        <v>0</v>
      </c>
      <c r="AR399" s="6859" t="str">
        <f t="shared" si="166"/>
        <v/>
      </c>
      <c r="AS399" s="6217"/>
      <c r="AT399" s="6217"/>
      <c r="AU399" s="6272">
        <f t="shared" si="167"/>
        <v>0</v>
      </c>
      <c r="AV399" s="6240">
        <f t="shared" si="168"/>
        <v>0</v>
      </c>
      <c r="AW399" s="6189" cm="1">
        <f t="array" ref="AW399">IF(AK399&lt;&gt;1,0,IF(OR(AU399="",N(AU399)&lt;=0.000000001),"",IF(OR(AO399="",N(AO399)&lt;=0.000000001),0,IF(ISNUMBER(AU399),IFERROR(_xlfn.LET(_xlpm.ai_test,TRIM(AJ399),_xlpm.r,IFERROR(_xlfn.XLOOKUP(_xlpm.ai_test,$BJ$15:$BJ$62,ROW($BJ$15:$BJ$62),0,1),IFERROR(_xlfn.XLOOKUP(_xlpm.ai_test,$BK$15:$BK$62,ROW($BK$15:$BK$62),0,1),_xlfn.XLOOKUP(_xlpm.ai_test,$BL$15:$BL$62,ROW($BL$15:$BL$62),0,1))),_xlpm.p,_xlpm.r-MIN(ROW($BJ$15:$BJ$62))+1,_xlpm.f,INDEX($BM$15:$BM$62,_xlpm.p),_xlpm.u,INDEX($BN$15:$BN$62,_xlpm.p),_xlpm.s,INDEX($BP$15:$BP$62,_xlpm.p),_xlpm.q,N(AU399)/_xlpm.f,IF(_xlpm.q&gt;=_xlpm.s,ROUND(_xlpm.q,1)&amp;" "&amp;_xlpm.ai_test&amp;" = "&amp;ROUND(_xlpm.q*_xlpm.f,1)&amp;" "&amp;_xlpm.u,ROUND(_xlpm.q,1)&amp;" "&amp;_xlpm.ai_test)),""),""))))</f>
        <v>0</v>
      </c>
      <c r="AX399" s="6218"/>
      <c r="AY399" s="6272">
        <f t="shared" si="169"/>
        <v>0</v>
      </c>
      <c r="AZ399" s="6240" t="str">
        <f t="shared" si="170"/>
        <v/>
      </c>
      <c r="BA399" s="6195">
        <f t="shared" si="175"/>
        <v>0</v>
      </c>
      <c r="BB399" s="6193" t="str">
        <f t="shared" si="171"/>
        <v/>
      </c>
      <c r="BC399" s="6219"/>
      <c r="BD399" s="6222">
        <f t="shared" si="176"/>
        <v>0</v>
      </c>
      <c r="BE399" s="6220" t="str">
        <f t="shared" si="172"/>
        <v/>
      </c>
      <c r="BF399" s="4" t="s">
        <v>1</v>
      </c>
      <c r="BG399" s="6196">
        <f t="shared" si="173"/>
        <v>0</v>
      </c>
      <c r="BH399" s="6197">
        <f t="shared" si="174"/>
        <v>0</v>
      </c>
      <c r="BI399"/>
      <c r="BJ399" s="1"/>
      <c r="BK399" s="1"/>
      <c r="BL399" s="1"/>
      <c r="BM399" s="1"/>
      <c r="BN399" s="1"/>
      <c r="BO399" s="1"/>
      <c r="BP399" s="1"/>
      <c r="BQ399" s="1"/>
      <c r="BX399" s="20" t="str">
        <f t="shared" si="178"/>
        <v>►</v>
      </c>
      <c r="BY399" s="2"/>
      <c r="BZ399" s="2"/>
      <c r="CA399" s="2"/>
      <c r="CB399" s="2"/>
      <c r="CC399" s="2"/>
      <c r="DC399" s="5">
        <v>1</v>
      </c>
    </row>
    <row r="400" spans="12:107" ht="21" customHeight="1">
      <c r="L400" s="1021" t="s">
        <v>26</v>
      </c>
      <c r="M400" s="6787"/>
      <c r="N400" s="6787"/>
      <c r="O400" s="6787"/>
      <c r="P400" s="6788"/>
      <c r="Q400" s="6789"/>
      <c r="R400" s="6790"/>
      <c r="S400" s="6786"/>
      <c r="T400" s="6791"/>
      <c r="U400" s="6844"/>
      <c r="V400" s="6791"/>
      <c r="W400" s="6785"/>
      <c r="X400" s="6868"/>
      <c r="Y400" s="6793"/>
      <c r="Z400" s="6794"/>
      <c r="AA400" s="6795"/>
      <c r="AB400" s="6796"/>
      <c r="AC400" s="6797"/>
      <c r="AD400" s="6798"/>
      <c r="AE400" s="4" t="s">
        <v>1</v>
      </c>
      <c r="AF400" s="6202" t="str">
        <f t="shared" si="156"/>
        <v>►</v>
      </c>
      <c r="AG400" s="6234" t="str">
        <f t="shared" si="157"/>
        <v/>
      </c>
      <c r="AH400" s="6732" t="str">
        <f t="shared" si="158"/>
        <v/>
      </c>
      <c r="AI400" s="6234" t="str">
        <f t="shared" si="159"/>
        <v/>
      </c>
      <c r="AJ400" s="6732" t="str">
        <f t="shared" si="160"/>
        <v/>
      </c>
      <c r="AK400" s="6732">
        <f t="shared" si="161"/>
        <v>0</v>
      </c>
      <c r="AL400" s="6230" t="str" cm="1">
        <f t="array" ref="AL400">IF(AF400&lt;&gt;"A","",IFERROR((IFERROR(_xlfn.XLOOKUP(TRIM(SUBSTITUTE(U400,CHAR(160)," ")),$BJ$15:$BJ$62,$BM$15:$BM$62),IFERROR(_xlfn.XLOOKUP(TRIM(SUBSTITUTE(U400,CHAR(160)," ")),$BK$15:$BK$62,$BM$15:$BM$62),_xlfn.XLOOKUP(TRIM(SUBSTITUTE(U400,CHAR(160)," ")),$BL$15:$BL$62,$BM$15:$BM$62))))*T400*IF(ISBLANK(Q400),1,Q400)+IFERROR(_xlfn.XLOOKUP("RECHERCHEX",TRIM(L400:AD400),L400:AD400),0),0))</f>
        <v/>
      </c>
      <c r="AM400" s="6229">
        <f t="shared" si="162"/>
        <v>0</v>
      </c>
      <c r="AN400" s="6857" t="str">
        <f t="shared" si="177"/>
        <v/>
      </c>
      <c r="AO400" s="392">
        <f t="shared" si="163"/>
        <v>0</v>
      </c>
      <c r="AP400" s="392">
        <f t="shared" si="164"/>
        <v>0</v>
      </c>
      <c r="AQ400" s="6190">
        <f t="shared" si="165"/>
        <v>0</v>
      </c>
      <c r="AR400" s="6858" t="str">
        <f t="shared" si="166"/>
        <v/>
      </c>
      <c r="AS400" s="6217"/>
      <c r="AT400" s="6217"/>
      <c r="AU400" s="6271">
        <f t="shared" si="167"/>
        <v>0</v>
      </c>
      <c r="AV400" s="6242">
        <f t="shared" si="168"/>
        <v>0</v>
      </c>
      <c r="AW400" s="6188" cm="1">
        <f t="array" ref="AW400">IF(AK400&lt;&gt;1,0,IF(OR(AU400="",N(AU400)&lt;=0.000000001),"",IF(OR(AO400="",N(AO400)&lt;=0.000000001),0,IF(ISNUMBER(AU400),IFERROR(_xlfn.LET(_xlpm.ai_test,TRIM(AJ400),_xlpm.r,IFERROR(_xlfn.XLOOKUP(_xlpm.ai_test,$BJ$15:$BJ$62,ROW($BJ$15:$BJ$62),0,1),IFERROR(_xlfn.XLOOKUP(_xlpm.ai_test,$BK$15:$BK$62,ROW($BK$15:$BK$62),0,1),_xlfn.XLOOKUP(_xlpm.ai_test,$BL$15:$BL$62,ROW($BL$15:$BL$62),0,1))),_xlpm.p,_xlpm.r-MIN(ROW($BJ$15:$BJ$62))+1,_xlpm.f,INDEX($BM$15:$BM$62,_xlpm.p),_xlpm.u,INDEX($BN$15:$BN$62,_xlpm.p),_xlpm.s,INDEX($BP$15:$BP$62,_xlpm.p),_xlpm.q,N(AU400)/_xlpm.f,IF(_xlpm.q&gt;=_xlpm.s,ROUND(_xlpm.q,1)&amp;" "&amp;_xlpm.ai_test&amp;" = "&amp;ROUND(_xlpm.q*_xlpm.f,1)&amp;" "&amp;_xlpm.u,ROUND(_xlpm.q,1)&amp;" "&amp;_xlpm.ai_test)),""),""))))</f>
        <v>0</v>
      </c>
      <c r="AX400" s="6218"/>
      <c r="AY400" s="6271">
        <f t="shared" si="169"/>
        <v>0</v>
      </c>
      <c r="AZ400" s="6242" t="str">
        <f t="shared" si="170"/>
        <v/>
      </c>
      <c r="BA400" s="6194">
        <f t="shared" si="175"/>
        <v>0</v>
      </c>
      <c r="BB400" s="6192" t="str">
        <f t="shared" si="171"/>
        <v/>
      </c>
      <c r="BC400" s="6219"/>
      <c r="BD400" s="6221">
        <f t="shared" si="176"/>
        <v>0</v>
      </c>
      <c r="BE400" s="6220" t="str">
        <f t="shared" si="172"/>
        <v/>
      </c>
      <c r="BF400" s="4" t="s">
        <v>1</v>
      </c>
      <c r="BG400" s="6196">
        <f t="shared" si="173"/>
        <v>0</v>
      </c>
      <c r="BH400" s="6197">
        <f t="shared" si="174"/>
        <v>0</v>
      </c>
      <c r="BI400"/>
      <c r="BJ400" s="1"/>
      <c r="BK400" s="1"/>
      <c r="BL400" s="1"/>
      <c r="BM400" s="1"/>
      <c r="BN400" s="1"/>
      <c r="BO400" s="1"/>
      <c r="BP400" s="1"/>
      <c r="BQ400" s="1"/>
      <c r="BX400" s="20" t="str">
        <f t="shared" si="178"/>
        <v>►</v>
      </c>
      <c r="BY400" s="2"/>
      <c r="BZ400" s="2"/>
      <c r="CA400" s="2"/>
      <c r="CB400" s="2"/>
      <c r="CC400" s="2"/>
      <c r="DC400" s="5">
        <v>1</v>
      </c>
    </row>
    <row r="401" spans="12:107" ht="21" customHeight="1">
      <c r="L401" s="1021" t="s">
        <v>26</v>
      </c>
      <c r="M401" s="6787"/>
      <c r="N401" s="6787"/>
      <c r="O401" s="6787"/>
      <c r="P401" s="6788"/>
      <c r="Q401" s="6789"/>
      <c r="R401" s="6790"/>
      <c r="S401" s="6786"/>
      <c r="T401" s="6791"/>
      <c r="U401" s="6844"/>
      <c r="V401" s="6791"/>
      <c r="W401" s="6785"/>
      <c r="X401" s="6868"/>
      <c r="Y401" s="6793"/>
      <c r="Z401" s="6794"/>
      <c r="AA401" s="6795"/>
      <c r="AB401" s="6796"/>
      <c r="AC401" s="6797"/>
      <c r="AD401" s="6798"/>
      <c r="AE401" s="4" t="s">
        <v>1</v>
      </c>
      <c r="AF401" s="6202" t="str">
        <f t="shared" si="156"/>
        <v>►</v>
      </c>
      <c r="AG401" s="6234" t="str">
        <f t="shared" si="157"/>
        <v/>
      </c>
      <c r="AH401" s="6732" t="str">
        <f t="shared" si="158"/>
        <v/>
      </c>
      <c r="AI401" s="6234" t="str">
        <f t="shared" si="159"/>
        <v/>
      </c>
      <c r="AJ401" s="6732" t="str">
        <f t="shared" si="160"/>
        <v/>
      </c>
      <c r="AK401" s="6732">
        <f t="shared" si="161"/>
        <v>0</v>
      </c>
      <c r="AL401" s="6230" t="str" cm="1">
        <f t="array" ref="AL401">IF(AF401&lt;&gt;"A","",IFERROR((IFERROR(_xlfn.XLOOKUP(TRIM(SUBSTITUTE(U401,CHAR(160)," ")),$BJ$15:$BJ$62,$BM$15:$BM$62),IFERROR(_xlfn.XLOOKUP(TRIM(SUBSTITUTE(U401,CHAR(160)," ")),$BK$15:$BK$62,$BM$15:$BM$62),_xlfn.XLOOKUP(TRIM(SUBSTITUTE(U401,CHAR(160)," ")),$BL$15:$BL$62,$BM$15:$BM$62))))*T401*IF(ISBLANK(Q401),1,Q401)+IFERROR(_xlfn.XLOOKUP("RECHERCHEX",TRIM(L401:AD401),L401:AD401),0),0))</f>
        <v/>
      </c>
      <c r="AM401" s="6229">
        <f t="shared" si="162"/>
        <v>0</v>
      </c>
      <c r="AN401" s="6857" t="str">
        <f t="shared" si="177"/>
        <v/>
      </c>
      <c r="AO401" s="392">
        <f t="shared" si="163"/>
        <v>0</v>
      </c>
      <c r="AP401" s="392">
        <f t="shared" si="164"/>
        <v>0</v>
      </c>
      <c r="AQ401" s="6191">
        <f t="shared" si="165"/>
        <v>0</v>
      </c>
      <c r="AR401" s="6859" t="str">
        <f t="shared" si="166"/>
        <v/>
      </c>
      <c r="AS401" s="6217"/>
      <c r="AT401" s="6217"/>
      <c r="AU401" s="6272">
        <f t="shared" si="167"/>
        <v>0</v>
      </c>
      <c r="AV401" s="6240">
        <f t="shared" si="168"/>
        <v>0</v>
      </c>
      <c r="AW401" s="6189" cm="1">
        <f t="array" ref="AW401">IF(AK401&lt;&gt;1,0,IF(OR(AU401="",N(AU401)&lt;=0.000000001),"",IF(OR(AO401="",N(AO401)&lt;=0.000000001),0,IF(ISNUMBER(AU401),IFERROR(_xlfn.LET(_xlpm.ai_test,TRIM(AJ401),_xlpm.r,IFERROR(_xlfn.XLOOKUP(_xlpm.ai_test,$BJ$15:$BJ$62,ROW($BJ$15:$BJ$62),0,1),IFERROR(_xlfn.XLOOKUP(_xlpm.ai_test,$BK$15:$BK$62,ROW($BK$15:$BK$62),0,1),_xlfn.XLOOKUP(_xlpm.ai_test,$BL$15:$BL$62,ROW($BL$15:$BL$62),0,1))),_xlpm.p,_xlpm.r-MIN(ROW($BJ$15:$BJ$62))+1,_xlpm.f,INDEX($BM$15:$BM$62,_xlpm.p),_xlpm.u,INDEX($BN$15:$BN$62,_xlpm.p),_xlpm.s,INDEX($BP$15:$BP$62,_xlpm.p),_xlpm.q,N(AU401)/_xlpm.f,IF(_xlpm.q&gt;=_xlpm.s,ROUND(_xlpm.q,1)&amp;" "&amp;_xlpm.ai_test&amp;" = "&amp;ROUND(_xlpm.q*_xlpm.f,1)&amp;" "&amp;_xlpm.u,ROUND(_xlpm.q,1)&amp;" "&amp;_xlpm.ai_test)),""),""))))</f>
        <v>0</v>
      </c>
      <c r="AX401" s="6218"/>
      <c r="AY401" s="6272">
        <f t="shared" si="169"/>
        <v>0</v>
      </c>
      <c r="AZ401" s="6240" t="str">
        <f t="shared" si="170"/>
        <v/>
      </c>
      <c r="BA401" s="6195">
        <f t="shared" si="175"/>
        <v>0</v>
      </c>
      <c r="BB401" s="6193" t="str">
        <f t="shared" si="171"/>
        <v/>
      </c>
      <c r="BC401" s="6219"/>
      <c r="BD401" s="6222">
        <f t="shared" si="176"/>
        <v>0</v>
      </c>
      <c r="BE401" s="6220" t="str">
        <f t="shared" si="172"/>
        <v/>
      </c>
      <c r="BF401" s="4" t="s">
        <v>1</v>
      </c>
      <c r="BG401" s="6196">
        <f t="shared" si="173"/>
        <v>0</v>
      </c>
      <c r="BH401" s="6197">
        <f t="shared" si="174"/>
        <v>0</v>
      </c>
      <c r="BI401"/>
      <c r="BJ401" s="1"/>
      <c r="BK401" s="1"/>
      <c r="BL401" s="1"/>
      <c r="BM401" s="1"/>
      <c r="BN401" s="1"/>
      <c r="BO401" s="1"/>
      <c r="BP401" s="1"/>
      <c r="BQ401" s="1"/>
      <c r="BX401" s="20" t="str">
        <f t="shared" si="178"/>
        <v>►</v>
      </c>
      <c r="BY401" s="2"/>
      <c r="BZ401" s="2"/>
      <c r="CA401" s="2"/>
      <c r="CB401" s="2"/>
      <c r="CC401" s="2"/>
      <c r="DC401" s="5">
        <v>1</v>
      </c>
    </row>
    <row r="402" spans="12:107" ht="21" customHeight="1">
      <c r="L402" s="1021" t="s">
        <v>26</v>
      </c>
      <c r="M402" s="6787"/>
      <c r="N402" s="6787"/>
      <c r="O402" s="6787"/>
      <c r="P402" s="6788"/>
      <c r="Q402" s="6789"/>
      <c r="R402" s="6790"/>
      <c r="S402" s="6786"/>
      <c r="T402" s="6791"/>
      <c r="U402" s="6844"/>
      <c r="V402" s="6791"/>
      <c r="W402" s="6785"/>
      <c r="X402" s="6868"/>
      <c r="Y402" s="6793"/>
      <c r="Z402" s="6794"/>
      <c r="AA402" s="6795"/>
      <c r="AB402" s="6796"/>
      <c r="AC402" s="6797"/>
      <c r="AD402" s="6798"/>
      <c r="AE402" s="4" t="s">
        <v>1</v>
      </c>
      <c r="AF402" s="6202" t="str">
        <f t="shared" si="156"/>
        <v>►</v>
      </c>
      <c r="AG402" s="6234" t="str">
        <f t="shared" si="157"/>
        <v/>
      </c>
      <c r="AH402" s="6732" t="str">
        <f t="shared" si="158"/>
        <v/>
      </c>
      <c r="AI402" s="6234" t="str">
        <f t="shared" si="159"/>
        <v/>
      </c>
      <c r="AJ402" s="6732" t="str">
        <f t="shared" si="160"/>
        <v/>
      </c>
      <c r="AK402" s="6732">
        <f t="shared" si="161"/>
        <v>0</v>
      </c>
      <c r="AL402" s="6230" t="str" cm="1">
        <f t="array" ref="AL402">IF(AF402&lt;&gt;"A","",IFERROR((IFERROR(_xlfn.XLOOKUP(TRIM(SUBSTITUTE(U402,CHAR(160)," ")),$BJ$15:$BJ$62,$BM$15:$BM$62),IFERROR(_xlfn.XLOOKUP(TRIM(SUBSTITUTE(U402,CHAR(160)," ")),$BK$15:$BK$62,$BM$15:$BM$62),_xlfn.XLOOKUP(TRIM(SUBSTITUTE(U402,CHAR(160)," ")),$BL$15:$BL$62,$BM$15:$BM$62))))*T402*IF(ISBLANK(Q402),1,Q402)+IFERROR(_xlfn.XLOOKUP("RECHERCHEX",TRIM(L402:AD402),L402:AD402),0),0))</f>
        <v/>
      </c>
      <c r="AM402" s="6229">
        <f t="shared" si="162"/>
        <v>0</v>
      </c>
      <c r="AN402" s="6857" t="str">
        <f t="shared" si="177"/>
        <v/>
      </c>
      <c r="AO402" s="392">
        <f t="shared" si="163"/>
        <v>0</v>
      </c>
      <c r="AP402" s="392">
        <f t="shared" si="164"/>
        <v>0</v>
      </c>
      <c r="AQ402" s="6190">
        <f t="shared" si="165"/>
        <v>0</v>
      </c>
      <c r="AR402" s="6858" t="str">
        <f t="shared" si="166"/>
        <v/>
      </c>
      <c r="AS402" s="6217"/>
      <c r="AT402" s="6217"/>
      <c r="AU402" s="6271">
        <f t="shared" si="167"/>
        <v>0</v>
      </c>
      <c r="AV402" s="6242">
        <f t="shared" si="168"/>
        <v>0</v>
      </c>
      <c r="AW402" s="6188" cm="1">
        <f t="array" ref="AW402">IF(AK402&lt;&gt;1,0,IF(OR(AU402="",N(AU402)&lt;=0.000000001),"",IF(OR(AO402="",N(AO402)&lt;=0.000000001),0,IF(ISNUMBER(AU402),IFERROR(_xlfn.LET(_xlpm.ai_test,TRIM(AJ402),_xlpm.r,IFERROR(_xlfn.XLOOKUP(_xlpm.ai_test,$BJ$15:$BJ$62,ROW($BJ$15:$BJ$62),0,1),IFERROR(_xlfn.XLOOKUP(_xlpm.ai_test,$BK$15:$BK$62,ROW($BK$15:$BK$62),0,1),_xlfn.XLOOKUP(_xlpm.ai_test,$BL$15:$BL$62,ROW($BL$15:$BL$62),0,1))),_xlpm.p,_xlpm.r-MIN(ROW($BJ$15:$BJ$62))+1,_xlpm.f,INDEX($BM$15:$BM$62,_xlpm.p),_xlpm.u,INDEX($BN$15:$BN$62,_xlpm.p),_xlpm.s,INDEX($BP$15:$BP$62,_xlpm.p),_xlpm.q,N(AU402)/_xlpm.f,IF(_xlpm.q&gt;=_xlpm.s,ROUND(_xlpm.q,1)&amp;" "&amp;_xlpm.ai_test&amp;" = "&amp;ROUND(_xlpm.q*_xlpm.f,1)&amp;" "&amp;_xlpm.u,ROUND(_xlpm.q,1)&amp;" "&amp;_xlpm.ai_test)),""),""))))</f>
        <v>0</v>
      </c>
      <c r="AX402" s="6218"/>
      <c r="AY402" s="6271">
        <f t="shared" si="169"/>
        <v>0</v>
      </c>
      <c r="AZ402" s="6242" t="str">
        <f t="shared" si="170"/>
        <v/>
      </c>
      <c r="BA402" s="6194">
        <f t="shared" si="175"/>
        <v>0</v>
      </c>
      <c r="BB402" s="6192" t="str">
        <f t="shared" si="171"/>
        <v/>
      </c>
      <c r="BC402" s="6219"/>
      <c r="BD402" s="6221">
        <f t="shared" si="176"/>
        <v>0</v>
      </c>
      <c r="BE402" s="6220" t="str">
        <f t="shared" si="172"/>
        <v/>
      </c>
      <c r="BF402" s="4" t="s">
        <v>1</v>
      </c>
      <c r="BG402" s="6196">
        <f t="shared" si="173"/>
        <v>0</v>
      </c>
      <c r="BH402" s="6197">
        <f t="shared" si="174"/>
        <v>0</v>
      </c>
      <c r="BI402"/>
      <c r="BJ402" s="1"/>
      <c r="BK402" s="1"/>
      <c r="BL402" s="1"/>
      <c r="BM402" s="1"/>
      <c r="BN402" s="1"/>
      <c r="BO402" s="1"/>
      <c r="BP402" s="1"/>
      <c r="BQ402" s="1"/>
      <c r="BX402" s="20" t="str">
        <f t="shared" si="178"/>
        <v>►</v>
      </c>
      <c r="BY402" s="2"/>
      <c r="BZ402" s="2"/>
      <c r="CA402" s="2"/>
      <c r="CB402" s="2"/>
      <c r="CC402" s="2"/>
      <c r="DC402" s="5">
        <v>1</v>
      </c>
    </row>
    <row r="403" spans="12:107" ht="21" customHeight="1">
      <c r="L403" s="1021" t="s">
        <v>26</v>
      </c>
      <c r="M403" s="6787"/>
      <c r="N403" s="6787"/>
      <c r="O403" s="6787"/>
      <c r="P403" s="6788"/>
      <c r="Q403" s="6789"/>
      <c r="R403" s="6790"/>
      <c r="S403" s="6786"/>
      <c r="T403" s="6791"/>
      <c r="U403" s="6844"/>
      <c r="V403" s="6791"/>
      <c r="W403" s="6785"/>
      <c r="X403" s="6868"/>
      <c r="Y403" s="6793"/>
      <c r="Z403" s="6794"/>
      <c r="AA403" s="6795"/>
      <c r="AB403" s="6796"/>
      <c r="AC403" s="6797"/>
      <c r="AD403" s="6798"/>
      <c r="AE403" s="4" t="s">
        <v>1</v>
      </c>
      <c r="AF403" s="6202" t="str">
        <f t="shared" si="156"/>
        <v>►</v>
      </c>
      <c r="AG403" s="6234" t="str">
        <f t="shared" si="157"/>
        <v/>
      </c>
      <c r="AH403" s="6732" t="str">
        <f t="shared" si="158"/>
        <v/>
      </c>
      <c r="AI403" s="6234" t="str">
        <f t="shared" si="159"/>
        <v/>
      </c>
      <c r="AJ403" s="6732" t="str">
        <f t="shared" si="160"/>
        <v/>
      </c>
      <c r="AK403" s="6732">
        <f t="shared" si="161"/>
        <v>0</v>
      </c>
      <c r="AL403" s="6230" t="str" cm="1">
        <f t="array" ref="AL403">IF(AF403&lt;&gt;"A","",IFERROR((IFERROR(_xlfn.XLOOKUP(TRIM(SUBSTITUTE(U403,CHAR(160)," ")),$BJ$15:$BJ$62,$BM$15:$BM$62),IFERROR(_xlfn.XLOOKUP(TRIM(SUBSTITUTE(U403,CHAR(160)," ")),$BK$15:$BK$62,$BM$15:$BM$62),_xlfn.XLOOKUP(TRIM(SUBSTITUTE(U403,CHAR(160)," ")),$BL$15:$BL$62,$BM$15:$BM$62))))*T403*IF(ISBLANK(Q403),1,Q403)+IFERROR(_xlfn.XLOOKUP("RECHERCHEX",TRIM(L403:AD403),L403:AD403),0),0))</f>
        <v/>
      </c>
      <c r="AM403" s="6229">
        <f t="shared" si="162"/>
        <v>0</v>
      </c>
      <c r="AN403" s="6857" t="str">
        <f t="shared" si="177"/>
        <v/>
      </c>
      <c r="AO403" s="392">
        <f t="shared" si="163"/>
        <v>0</v>
      </c>
      <c r="AP403" s="392">
        <f t="shared" si="164"/>
        <v>0</v>
      </c>
      <c r="AQ403" s="6191">
        <f t="shared" si="165"/>
        <v>0</v>
      </c>
      <c r="AR403" s="6859" t="str">
        <f t="shared" si="166"/>
        <v/>
      </c>
      <c r="AS403" s="6217"/>
      <c r="AT403" s="6217"/>
      <c r="AU403" s="6272">
        <f t="shared" si="167"/>
        <v>0</v>
      </c>
      <c r="AV403" s="6240">
        <f t="shared" si="168"/>
        <v>0</v>
      </c>
      <c r="AW403" s="6189" cm="1">
        <f t="array" ref="AW403">IF(AK403&lt;&gt;1,0,IF(OR(AU403="",N(AU403)&lt;=0.000000001),"",IF(OR(AO403="",N(AO403)&lt;=0.000000001),0,IF(ISNUMBER(AU403),IFERROR(_xlfn.LET(_xlpm.ai_test,TRIM(AJ403),_xlpm.r,IFERROR(_xlfn.XLOOKUP(_xlpm.ai_test,$BJ$15:$BJ$62,ROW($BJ$15:$BJ$62),0,1),IFERROR(_xlfn.XLOOKUP(_xlpm.ai_test,$BK$15:$BK$62,ROW($BK$15:$BK$62),0,1),_xlfn.XLOOKUP(_xlpm.ai_test,$BL$15:$BL$62,ROW($BL$15:$BL$62),0,1))),_xlpm.p,_xlpm.r-MIN(ROW($BJ$15:$BJ$62))+1,_xlpm.f,INDEX($BM$15:$BM$62,_xlpm.p),_xlpm.u,INDEX($BN$15:$BN$62,_xlpm.p),_xlpm.s,INDEX($BP$15:$BP$62,_xlpm.p),_xlpm.q,N(AU403)/_xlpm.f,IF(_xlpm.q&gt;=_xlpm.s,ROUND(_xlpm.q,1)&amp;" "&amp;_xlpm.ai_test&amp;" = "&amp;ROUND(_xlpm.q*_xlpm.f,1)&amp;" "&amp;_xlpm.u,ROUND(_xlpm.q,1)&amp;" "&amp;_xlpm.ai_test)),""),""))))</f>
        <v>0</v>
      </c>
      <c r="AX403" s="6218"/>
      <c r="AY403" s="6272">
        <f t="shared" si="169"/>
        <v>0</v>
      </c>
      <c r="AZ403" s="6240" t="str">
        <f t="shared" si="170"/>
        <v/>
      </c>
      <c r="BA403" s="6195">
        <f t="shared" si="175"/>
        <v>0</v>
      </c>
      <c r="BB403" s="6193" t="str">
        <f t="shared" si="171"/>
        <v/>
      </c>
      <c r="BC403" s="6219"/>
      <c r="BD403" s="6222">
        <f t="shared" si="176"/>
        <v>0</v>
      </c>
      <c r="BE403" s="6220" t="str">
        <f t="shared" si="172"/>
        <v/>
      </c>
      <c r="BF403" s="4" t="s">
        <v>1</v>
      </c>
      <c r="BG403" s="6196">
        <f t="shared" si="173"/>
        <v>0</v>
      </c>
      <c r="BH403" s="6197">
        <f t="shared" si="174"/>
        <v>0</v>
      </c>
      <c r="BI403"/>
      <c r="BJ403" s="1"/>
      <c r="BK403" s="1"/>
      <c r="BL403" s="1"/>
      <c r="BM403" s="1"/>
      <c r="BN403" s="1"/>
      <c r="BO403" s="1"/>
      <c r="BP403" s="1"/>
      <c r="BQ403" s="1"/>
      <c r="BX403" s="20" t="str">
        <f t="shared" si="178"/>
        <v>►</v>
      </c>
      <c r="BY403" s="2"/>
      <c r="BZ403" s="2"/>
      <c r="CA403" s="2"/>
      <c r="CB403" s="2"/>
      <c r="CC403" s="2"/>
      <c r="DC403" s="5">
        <v>1</v>
      </c>
    </row>
    <row r="404" spans="12:107" ht="21" customHeight="1">
      <c r="L404" s="1021" t="s">
        <v>26</v>
      </c>
      <c r="M404" s="6787"/>
      <c r="N404" s="6787"/>
      <c r="O404" s="6787"/>
      <c r="P404" s="6788"/>
      <c r="Q404" s="6789"/>
      <c r="R404" s="6790"/>
      <c r="S404" s="6786"/>
      <c r="T404" s="6791"/>
      <c r="U404" s="6844"/>
      <c r="V404" s="6791"/>
      <c r="W404" s="6785"/>
      <c r="X404" s="6868"/>
      <c r="Y404" s="6793"/>
      <c r="Z404" s="6794"/>
      <c r="AA404" s="6795"/>
      <c r="AB404" s="6796"/>
      <c r="AC404" s="6797"/>
      <c r="AD404" s="6798"/>
      <c r="AE404" s="4" t="s">
        <v>1</v>
      </c>
      <c r="AF404" s="6202" t="str">
        <f t="shared" si="156"/>
        <v>►</v>
      </c>
      <c r="AG404" s="6234" t="str">
        <f t="shared" si="157"/>
        <v/>
      </c>
      <c r="AH404" s="6732" t="str">
        <f t="shared" si="158"/>
        <v/>
      </c>
      <c r="AI404" s="6234" t="str">
        <f t="shared" si="159"/>
        <v/>
      </c>
      <c r="AJ404" s="6732" t="str">
        <f t="shared" si="160"/>
        <v/>
      </c>
      <c r="AK404" s="6732">
        <f t="shared" si="161"/>
        <v>0</v>
      </c>
      <c r="AL404" s="6230" t="str" cm="1">
        <f t="array" ref="AL404">IF(AF404&lt;&gt;"A","",IFERROR((IFERROR(_xlfn.XLOOKUP(TRIM(SUBSTITUTE(U404,CHAR(160)," ")),$BJ$15:$BJ$62,$BM$15:$BM$62),IFERROR(_xlfn.XLOOKUP(TRIM(SUBSTITUTE(U404,CHAR(160)," ")),$BK$15:$BK$62,$BM$15:$BM$62),_xlfn.XLOOKUP(TRIM(SUBSTITUTE(U404,CHAR(160)," ")),$BL$15:$BL$62,$BM$15:$BM$62))))*T404*IF(ISBLANK(Q404),1,Q404)+IFERROR(_xlfn.XLOOKUP("RECHERCHEX",TRIM(L404:AD404),L404:AD404),0),0))</f>
        <v/>
      </c>
      <c r="AM404" s="6229">
        <f t="shared" si="162"/>
        <v>0</v>
      </c>
      <c r="AN404" s="6857" t="str">
        <f t="shared" si="177"/>
        <v/>
      </c>
      <c r="AO404" s="392">
        <f t="shared" si="163"/>
        <v>0</v>
      </c>
      <c r="AP404" s="392">
        <f t="shared" si="164"/>
        <v>0</v>
      </c>
      <c r="AQ404" s="6190">
        <f t="shared" si="165"/>
        <v>0</v>
      </c>
      <c r="AR404" s="6858" t="str">
        <f t="shared" si="166"/>
        <v/>
      </c>
      <c r="AS404" s="6217"/>
      <c r="AT404" s="6217"/>
      <c r="AU404" s="6271">
        <f t="shared" si="167"/>
        <v>0</v>
      </c>
      <c r="AV404" s="6242">
        <f t="shared" si="168"/>
        <v>0</v>
      </c>
      <c r="AW404" s="6188" cm="1">
        <f t="array" ref="AW404">IF(AK404&lt;&gt;1,0,IF(OR(AU404="",N(AU404)&lt;=0.000000001),"",IF(OR(AO404="",N(AO404)&lt;=0.000000001),0,IF(ISNUMBER(AU404),IFERROR(_xlfn.LET(_xlpm.ai_test,TRIM(AJ404),_xlpm.r,IFERROR(_xlfn.XLOOKUP(_xlpm.ai_test,$BJ$15:$BJ$62,ROW($BJ$15:$BJ$62),0,1),IFERROR(_xlfn.XLOOKUP(_xlpm.ai_test,$BK$15:$BK$62,ROW($BK$15:$BK$62),0,1),_xlfn.XLOOKUP(_xlpm.ai_test,$BL$15:$BL$62,ROW($BL$15:$BL$62),0,1))),_xlpm.p,_xlpm.r-MIN(ROW($BJ$15:$BJ$62))+1,_xlpm.f,INDEX($BM$15:$BM$62,_xlpm.p),_xlpm.u,INDEX($BN$15:$BN$62,_xlpm.p),_xlpm.s,INDEX($BP$15:$BP$62,_xlpm.p),_xlpm.q,N(AU404)/_xlpm.f,IF(_xlpm.q&gt;=_xlpm.s,ROUND(_xlpm.q,1)&amp;" "&amp;_xlpm.ai_test&amp;" = "&amp;ROUND(_xlpm.q*_xlpm.f,1)&amp;" "&amp;_xlpm.u,ROUND(_xlpm.q,1)&amp;" "&amp;_xlpm.ai_test)),""),""))))</f>
        <v>0</v>
      </c>
      <c r="AX404" s="6218"/>
      <c r="AY404" s="6271">
        <f t="shared" si="169"/>
        <v>0</v>
      </c>
      <c r="AZ404" s="6242" t="str">
        <f t="shared" si="170"/>
        <v/>
      </c>
      <c r="BA404" s="6194">
        <f t="shared" si="175"/>
        <v>0</v>
      </c>
      <c r="BB404" s="6192" t="str">
        <f t="shared" si="171"/>
        <v/>
      </c>
      <c r="BC404" s="6219"/>
      <c r="BD404" s="6221">
        <f t="shared" si="176"/>
        <v>0</v>
      </c>
      <c r="BE404" s="6220" t="str">
        <f t="shared" si="172"/>
        <v/>
      </c>
      <c r="BF404" s="4" t="s">
        <v>1</v>
      </c>
      <c r="BG404" s="6196">
        <f t="shared" si="173"/>
        <v>0</v>
      </c>
      <c r="BH404" s="6197">
        <f t="shared" si="174"/>
        <v>0</v>
      </c>
      <c r="BI404"/>
      <c r="BJ404" s="1"/>
      <c r="BK404" s="1"/>
      <c r="BL404" s="1"/>
      <c r="BM404" s="1"/>
      <c r="BN404" s="1"/>
      <c r="BO404" s="1"/>
      <c r="BP404" s="1"/>
      <c r="BQ404" s="1"/>
      <c r="BX404" s="20" t="str">
        <f t="shared" si="178"/>
        <v>►</v>
      </c>
      <c r="BY404" s="2"/>
      <c r="BZ404" s="2"/>
      <c r="CA404" s="2"/>
      <c r="CB404" s="2"/>
      <c r="CC404" s="2"/>
      <c r="DC404" s="5">
        <v>1</v>
      </c>
    </row>
    <row r="405" spans="12:107" ht="21" customHeight="1">
      <c r="L405" s="1021" t="s">
        <v>26</v>
      </c>
      <c r="M405" s="6787"/>
      <c r="N405" s="6787"/>
      <c r="O405" s="6787"/>
      <c r="P405" s="6788"/>
      <c r="Q405" s="6789"/>
      <c r="R405" s="6790"/>
      <c r="S405" s="6786"/>
      <c r="T405" s="6791"/>
      <c r="U405" s="6844"/>
      <c r="V405" s="6791"/>
      <c r="W405" s="6785"/>
      <c r="X405" s="6868"/>
      <c r="Y405" s="6793"/>
      <c r="Z405" s="6794"/>
      <c r="AA405" s="6795"/>
      <c r="AB405" s="6796"/>
      <c r="AC405" s="6797"/>
      <c r="AD405" s="6798"/>
      <c r="AE405" s="4" t="s">
        <v>1</v>
      </c>
      <c r="AF405" s="6202" t="str">
        <f t="shared" si="156"/>
        <v>►</v>
      </c>
      <c r="AG405" s="6234" t="str">
        <f t="shared" si="157"/>
        <v/>
      </c>
      <c r="AH405" s="6732" t="str">
        <f t="shared" si="158"/>
        <v/>
      </c>
      <c r="AI405" s="6234" t="str">
        <f t="shared" si="159"/>
        <v/>
      </c>
      <c r="AJ405" s="6732" t="str">
        <f t="shared" si="160"/>
        <v/>
      </c>
      <c r="AK405" s="6732">
        <f t="shared" si="161"/>
        <v>0</v>
      </c>
      <c r="AL405" s="6230" t="str" cm="1">
        <f t="array" ref="AL405">IF(AF405&lt;&gt;"A","",IFERROR((IFERROR(_xlfn.XLOOKUP(TRIM(SUBSTITUTE(U405,CHAR(160)," ")),$BJ$15:$BJ$62,$BM$15:$BM$62),IFERROR(_xlfn.XLOOKUP(TRIM(SUBSTITUTE(U405,CHAR(160)," ")),$BK$15:$BK$62,$BM$15:$BM$62),_xlfn.XLOOKUP(TRIM(SUBSTITUTE(U405,CHAR(160)," ")),$BL$15:$BL$62,$BM$15:$BM$62))))*T405*IF(ISBLANK(Q405),1,Q405)+IFERROR(_xlfn.XLOOKUP("RECHERCHEX",TRIM(L405:AD405),L405:AD405),0),0))</f>
        <v/>
      </c>
      <c r="AM405" s="6229">
        <f t="shared" si="162"/>
        <v>0</v>
      </c>
      <c r="AN405" s="6857" t="str">
        <f t="shared" si="177"/>
        <v/>
      </c>
      <c r="AO405" s="392">
        <f t="shared" si="163"/>
        <v>0</v>
      </c>
      <c r="AP405" s="392">
        <f t="shared" si="164"/>
        <v>0</v>
      </c>
      <c r="AQ405" s="6191">
        <f t="shared" si="165"/>
        <v>0</v>
      </c>
      <c r="AR405" s="6859" t="str">
        <f t="shared" si="166"/>
        <v/>
      </c>
      <c r="AS405" s="6217"/>
      <c r="AT405" s="6217"/>
      <c r="AU405" s="6272">
        <f t="shared" si="167"/>
        <v>0</v>
      </c>
      <c r="AV405" s="6240">
        <f t="shared" si="168"/>
        <v>0</v>
      </c>
      <c r="AW405" s="6189" cm="1">
        <f t="array" ref="AW405">IF(AK405&lt;&gt;1,0,IF(OR(AU405="",N(AU405)&lt;=0.000000001),"",IF(OR(AO405="",N(AO405)&lt;=0.000000001),0,IF(ISNUMBER(AU405),IFERROR(_xlfn.LET(_xlpm.ai_test,TRIM(AJ405),_xlpm.r,IFERROR(_xlfn.XLOOKUP(_xlpm.ai_test,$BJ$15:$BJ$62,ROW($BJ$15:$BJ$62),0,1),IFERROR(_xlfn.XLOOKUP(_xlpm.ai_test,$BK$15:$BK$62,ROW($BK$15:$BK$62),0,1),_xlfn.XLOOKUP(_xlpm.ai_test,$BL$15:$BL$62,ROW($BL$15:$BL$62),0,1))),_xlpm.p,_xlpm.r-MIN(ROW($BJ$15:$BJ$62))+1,_xlpm.f,INDEX($BM$15:$BM$62,_xlpm.p),_xlpm.u,INDEX($BN$15:$BN$62,_xlpm.p),_xlpm.s,INDEX($BP$15:$BP$62,_xlpm.p),_xlpm.q,N(AU405)/_xlpm.f,IF(_xlpm.q&gt;=_xlpm.s,ROUND(_xlpm.q,1)&amp;" "&amp;_xlpm.ai_test&amp;" = "&amp;ROUND(_xlpm.q*_xlpm.f,1)&amp;" "&amp;_xlpm.u,ROUND(_xlpm.q,1)&amp;" "&amp;_xlpm.ai_test)),""),""))))</f>
        <v>0</v>
      </c>
      <c r="AX405" s="6218"/>
      <c r="AY405" s="6272">
        <f t="shared" si="169"/>
        <v>0</v>
      </c>
      <c r="AZ405" s="6240" t="str">
        <f t="shared" si="170"/>
        <v/>
      </c>
      <c r="BA405" s="6195">
        <f t="shared" si="175"/>
        <v>0</v>
      </c>
      <c r="BB405" s="6193" t="str">
        <f t="shared" si="171"/>
        <v/>
      </c>
      <c r="BC405" s="6219"/>
      <c r="BD405" s="6222">
        <f t="shared" si="176"/>
        <v>0</v>
      </c>
      <c r="BE405" s="6220" t="str">
        <f t="shared" si="172"/>
        <v/>
      </c>
      <c r="BF405" s="4" t="s">
        <v>1</v>
      </c>
      <c r="BG405" s="6196">
        <f t="shared" si="173"/>
        <v>0</v>
      </c>
      <c r="BH405" s="6197">
        <f t="shared" si="174"/>
        <v>0</v>
      </c>
      <c r="BI405"/>
      <c r="BJ405" s="1"/>
      <c r="BK405" s="1"/>
      <c r="BL405" s="1"/>
      <c r="BM405" s="1"/>
      <c r="BN405" s="1"/>
      <c r="BO405" s="1"/>
      <c r="BP405" s="1"/>
      <c r="BQ405" s="1"/>
      <c r="BX405" s="20" t="str">
        <f t="shared" si="178"/>
        <v>►</v>
      </c>
      <c r="BY405" s="2"/>
      <c r="BZ405" s="2"/>
      <c r="CA405" s="2"/>
      <c r="CB405" s="2"/>
      <c r="CC405" s="2"/>
      <c r="DC405" s="5">
        <v>1</v>
      </c>
    </row>
    <row r="406" spans="12:107" ht="21" customHeight="1">
      <c r="L406" s="1021" t="s">
        <v>26</v>
      </c>
      <c r="M406" s="6787"/>
      <c r="N406" s="6787"/>
      <c r="O406" s="6787"/>
      <c r="P406" s="6788"/>
      <c r="Q406" s="6789"/>
      <c r="R406" s="6790"/>
      <c r="S406" s="6786"/>
      <c r="T406" s="6791"/>
      <c r="U406" s="6844"/>
      <c r="V406" s="6791"/>
      <c r="W406" s="6785"/>
      <c r="X406" s="6868"/>
      <c r="Y406" s="6793"/>
      <c r="Z406" s="6794"/>
      <c r="AA406" s="6795"/>
      <c r="AB406" s="6796"/>
      <c r="AC406" s="6797"/>
      <c r="AD406" s="6798"/>
      <c r="AE406" s="4" t="s">
        <v>1</v>
      </c>
      <c r="AF406" s="6202" t="str">
        <f t="shared" ref="AF406:AF469" si="179">IF(OR(AO406&gt;0,TRIM(AG406)="▼ recette suivante"),"A","►")</f>
        <v>►</v>
      </c>
      <c r="AG406" s="6234" t="str">
        <f t="shared" ref="AG406:AG469" si="180">IF(TRIM(Q406)="Adresse PC","▼ recette suivante",IF(AO406&gt;0,M406,""))</f>
        <v/>
      </c>
      <c r="AH406" s="6732" t="str">
        <f t="shared" ref="AH406:AH469" si="181">IF(AF406="A",N406,"")</f>
        <v/>
      </c>
      <c r="AI406" s="6234" t="str">
        <f t="shared" ref="AI406:AI469" si="182">IF(AF406="A",O406,"")</f>
        <v/>
      </c>
      <c r="AJ406" s="6732" t="str">
        <f t="shared" ref="AJ406:AJ469" si="183">IF(AF406="A",U406,"")</f>
        <v/>
      </c>
      <c r="AK406" s="6732">
        <f t="shared" ref="AK406:AK469" si="184">IF(AND(L406="A",COUNTIF($BJ$15:$BL$62,TRIM(U406))&gt;0),1,0)</f>
        <v>0</v>
      </c>
      <c r="AL406" s="6230" t="str" cm="1">
        <f t="array" ref="AL406">IF(AF406&lt;&gt;"A","",IFERROR((IFERROR(_xlfn.XLOOKUP(TRIM(SUBSTITUTE(U406,CHAR(160)," ")),$BJ$15:$BJ$62,$BM$15:$BM$62),IFERROR(_xlfn.XLOOKUP(TRIM(SUBSTITUTE(U406,CHAR(160)," ")),$BK$15:$BK$62,$BM$15:$BM$62),_xlfn.XLOOKUP(TRIM(SUBSTITUTE(U406,CHAR(160)," ")),$BL$15:$BL$62,$BM$15:$BM$62))))*T406*IF(ISBLANK(Q406),1,Q406)+IFERROR(_xlfn.XLOOKUP("RECHERCHEX",TRIM(L406:AD406),L406:AD406),0),0))</f>
        <v/>
      </c>
      <c r="AM406" s="6229">
        <f t="shared" ref="AM406:AM469" si="185">IF(AK406,IF(AL406&gt;0,"Kg",0),0)</f>
        <v>0</v>
      </c>
      <c r="AN406" s="6857" t="str">
        <f t="shared" si="177"/>
        <v/>
      </c>
      <c r="AO406" s="392">
        <f t="shared" ref="AO406:AO469" si="186">IF(AK406,N406,0)</f>
        <v>0</v>
      </c>
      <c r="AP406" s="392">
        <f t="shared" ref="AP406:AP469" si="187">IF(AK406,O406,0)</f>
        <v>0</v>
      </c>
      <c r="AQ406" s="6190">
        <f t="shared" ref="AQ406:AQ469" si="188">IF(AO406&gt;0,AS$9,0)</f>
        <v>0</v>
      </c>
      <c r="AR406" s="6858" t="str">
        <f t="shared" ref="AR406:AR469" si="189">IF(TRIM(AG406)="▼ recette suivante", AG406, IF(AQ406&gt;0, IF(AT$9&lt;&gt;"", AT$9&amp;"-ou.or.o ❾ + or - &gt;", ""), ""))</f>
        <v/>
      </c>
      <c r="AS406" s="6217"/>
      <c r="AT406" s="6217"/>
      <c r="AU406" s="6271">
        <f t="shared" ref="AU406:AU469" si="190">IF(TRIM(AM406)="Kg",N(AL406)*N(BH406),0)</f>
        <v>0</v>
      </c>
      <c r="AV406" s="6242">
        <f t="shared" ref="AV406:AV469" si="191">IF(AK406,IF(OR(AU406="",N(AU406)&lt;=0.000000001),"",_xlfn.XLOOKUP(AJ406,$BJ$15:$BJ$62,$BN$15:$BN$62,_xlfn.XLOOKUP(AJ406,$BK$15:$BK$62,$BN$15:$BN$62,_xlfn.XLOOKUP(AJ406,$BL$15:$BL$62,$BN$15:$BN$62,"")))),0)</f>
        <v>0</v>
      </c>
      <c r="AW406" s="6188" cm="1">
        <f t="array" ref="AW406">IF(AK406&lt;&gt;1,0,IF(OR(AU406="",N(AU406)&lt;=0.000000001),"",IF(OR(AO406="",N(AO406)&lt;=0.000000001),0,IF(ISNUMBER(AU406),IFERROR(_xlfn.LET(_xlpm.ai_test,TRIM(AJ406),_xlpm.r,IFERROR(_xlfn.XLOOKUP(_xlpm.ai_test,$BJ$15:$BJ$62,ROW($BJ$15:$BJ$62),0,1),IFERROR(_xlfn.XLOOKUP(_xlpm.ai_test,$BK$15:$BK$62,ROW($BK$15:$BK$62),0,1),_xlfn.XLOOKUP(_xlpm.ai_test,$BL$15:$BL$62,ROW($BL$15:$BL$62),0,1))),_xlpm.p,_xlpm.r-MIN(ROW($BJ$15:$BJ$62))+1,_xlpm.f,INDEX($BM$15:$BM$62,_xlpm.p),_xlpm.u,INDEX($BN$15:$BN$62,_xlpm.p),_xlpm.s,INDEX($BP$15:$BP$62,_xlpm.p),_xlpm.q,N(AU406)/_xlpm.f,IF(_xlpm.q&gt;=_xlpm.s,ROUND(_xlpm.q,1)&amp;" "&amp;_xlpm.ai_test&amp;" = "&amp;ROUND(_xlpm.q*_xlpm.f,1)&amp;" "&amp;_xlpm.u,ROUND(_xlpm.q,1)&amp;" "&amp;_xlpm.ai_test)),""),""))))</f>
        <v>0</v>
      </c>
      <c r="AX406" s="6218"/>
      <c r="AY406" s="6271">
        <f t="shared" ref="AY406:AY469" si="192">IF(TRIM(AG406)="▼ recette suivante","▼next recipe ",IF(AU406="","",IF(ISBLANK(AX406),AU406,ROUND(AU406*(1-MIN(1,MAX(0,IF(AX406&gt;1,AX406/100,AX406)))),3))))</f>
        <v>0</v>
      </c>
      <c r="AZ406" s="6242" t="str">
        <f t="shared" ref="AZ406:AZ469" si="193">IF(AK406,AV406,"")</f>
        <v/>
      </c>
      <c r="BA406" s="6194">
        <f t="shared" si="175"/>
        <v>0</v>
      </c>
      <c r="BB406" s="6192" t="str">
        <f t="shared" ref="BB406:BB469" si="194">IF(AK406,IF(N(BA406)&gt;0.000000001,R406,""),"")</f>
        <v/>
      </c>
      <c r="BC406" s="6219"/>
      <c r="BD406" s="6221">
        <f t="shared" si="176"/>
        <v>0</v>
      </c>
      <c r="BE406" s="6220" t="str">
        <f t="shared" ref="BE406:BE469" si="195">IF(IFERROR(SEARCH("Adresse PC",TRIM(Q406)),0)&gt;0,"▼ receta siguiente",IF(AY406&gt;0,W406,""))</f>
        <v/>
      </c>
      <c r="BF406" s="4" t="s">
        <v>1</v>
      </c>
      <c r="BG406" s="6196">
        <f t="shared" ref="BG406:BG469" si="196">IFERROR(_xlfn.LET(_xlpm.EPS,0.000000001,_xlpm.b,Q406/AO406,IF(ISNUMBER(AS406),_xlpm.b*AS406,IF(OR(ISBLANK(AS406),AS406=""),_xlpm.b*AQ406,IF(AND(BH406=0,ISNUMBER(Q406)),_xlpm.b/AQ406,0)))),0)</f>
        <v>0</v>
      </c>
      <c r="BH406" s="6197">
        <f t="shared" ref="BH406:BH469" si="197">IF(AL406&gt;0,IFERROR(IF(OR(ISBLANK(AS406),AS406=""),AQ406,AS406)/AO406,0),0)</f>
        <v>0</v>
      </c>
      <c r="BI406"/>
      <c r="BJ406" s="1"/>
      <c r="BK406" s="1"/>
      <c r="BL406" s="1"/>
      <c r="BM406" s="1"/>
      <c r="BN406" s="1"/>
      <c r="BO406" s="1"/>
      <c r="BP406" s="1"/>
      <c r="BQ406" s="1"/>
      <c r="BX406" s="20" t="str">
        <f t="shared" si="178"/>
        <v>►</v>
      </c>
      <c r="BY406" s="2"/>
      <c r="BZ406" s="2"/>
      <c r="CA406" s="2"/>
      <c r="CB406" s="2"/>
      <c r="CC406" s="2"/>
      <c r="DC406" s="5">
        <v>1</v>
      </c>
    </row>
    <row r="407" spans="12:107" ht="21" customHeight="1">
      <c r="L407" s="1021" t="s">
        <v>26</v>
      </c>
      <c r="M407" s="6787"/>
      <c r="N407" s="6787"/>
      <c r="O407" s="6787"/>
      <c r="P407" s="6788"/>
      <c r="Q407" s="6789"/>
      <c r="R407" s="6790"/>
      <c r="S407" s="6786"/>
      <c r="T407" s="6791"/>
      <c r="U407" s="6844"/>
      <c r="V407" s="6791"/>
      <c r="W407" s="6785"/>
      <c r="X407" s="6868"/>
      <c r="Y407" s="6793"/>
      <c r="Z407" s="6794"/>
      <c r="AA407" s="6795"/>
      <c r="AB407" s="6796"/>
      <c r="AC407" s="6797"/>
      <c r="AD407" s="6798"/>
      <c r="AE407" s="4" t="s">
        <v>1</v>
      </c>
      <c r="AF407" s="6202" t="str">
        <f t="shared" si="179"/>
        <v>►</v>
      </c>
      <c r="AG407" s="6234" t="str">
        <f t="shared" si="180"/>
        <v/>
      </c>
      <c r="AH407" s="6732" t="str">
        <f t="shared" si="181"/>
        <v/>
      </c>
      <c r="AI407" s="6234" t="str">
        <f t="shared" si="182"/>
        <v/>
      </c>
      <c r="AJ407" s="6732" t="str">
        <f t="shared" si="183"/>
        <v/>
      </c>
      <c r="AK407" s="6732">
        <f t="shared" si="184"/>
        <v>0</v>
      </c>
      <c r="AL407" s="6230" t="str" cm="1">
        <f t="array" ref="AL407">IF(AF407&lt;&gt;"A","",IFERROR((IFERROR(_xlfn.XLOOKUP(TRIM(SUBSTITUTE(U407,CHAR(160)," ")),$BJ$15:$BJ$62,$BM$15:$BM$62),IFERROR(_xlfn.XLOOKUP(TRIM(SUBSTITUTE(U407,CHAR(160)," ")),$BK$15:$BK$62,$BM$15:$BM$62),_xlfn.XLOOKUP(TRIM(SUBSTITUTE(U407,CHAR(160)," ")),$BL$15:$BL$62,$BM$15:$BM$62))))*T407*IF(ISBLANK(Q407),1,Q407)+IFERROR(_xlfn.XLOOKUP("RECHERCHEX",TRIM(L407:AD407),L407:AD407),0),0))</f>
        <v/>
      </c>
      <c r="AM407" s="6229">
        <f t="shared" si="185"/>
        <v>0</v>
      </c>
      <c r="AN407" s="6857" t="str">
        <f t="shared" si="177"/>
        <v/>
      </c>
      <c r="AO407" s="392">
        <f t="shared" si="186"/>
        <v>0</v>
      </c>
      <c r="AP407" s="392">
        <f t="shared" si="187"/>
        <v>0</v>
      </c>
      <c r="AQ407" s="6191">
        <f t="shared" si="188"/>
        <v>0</v>
      </c>
      <c r="AR407" s="6859" t="str">
        <f t="shared" si="189"/>
        <v/>
      </c>
      <c r="AS407" s="6217"/>
      <c r="AT407" s="6217"/>
      <c r="AU407" s="6272">
        <f t="shared" si="190"/>
        <v>0</v>
      </c>
      <c r="AV407" s="6240">
        <f t="shared" si="191"/>
        <v>0</v>
      </c>
      <c r="AW407" s="6189" cm="1">
        <f t="array" ref="AW407">IF(AK407&lt;&gt;1,0,IF(OR(AU407="",N(AU407)&lt;=0.000000001),"",IF(OR(AO407="",N(AO407)&lt;=0.000000001),0,IF(ISNUMBER(AU407),IFERROR(_xlfn.LET(_xlpm.ai_test,TRIM(AJ407),_xlpm.r,IFERROR(_xlfn.XLOOKUP(_xlpm.ai_test,$BJ$15:$BJ$62,ROW($BJ$15:$BJ$62),0,1),IFERROR(_xlfn.XLOOKUP(_xlpm.ai_test,$BK$15:$BK$62,ROW($BK$15:$BK$62),0,1),_xlfn.XLOOKUP(_xlpm.ai_test,$BL$15:$BL$62,ROW($BL$15:$BL$62),0,1))),_xlpm.p,_xlpm.r-MIN(ROW($BJ$15:$BJ$62))+1,_xlpm.f,INDEX($BM$15:$BM$62,_xlpm.p),_xlpm.u,INDEX($BN$15:$BN$62,_xlpm.p),_xlpm.s,INDEX($BP$15:$BP$62,_xlpm.p),_xlpm.q,N(AU407)/_xlpm.f,IF(_xlpm.q&gt;=_xlpm.s,ROUND(_xlpm.q,1)&amp;" "&amp;_xlpm.ai_test&amp;" = "&amp;ROUND(_xlpm.q*_xlpm.f,1)&amp;" "&amp;_xlpm.u,ROUND(_xlpm.q,1)&amp;" "&amp;_xlpm.ai_test)),""),""))))</f>
        <v>0</v>
      </c>
      <c r="AX407" s="6218"/>
      <c r="AY407" s="6272">
        <f t="shared" si="192"/>
        <v>0</v>
      </c>
      <c r="AZ407" s="6240" t="str">
        <f t="shared" si="193"/>
        <v/>
      </c>
      <c r="BA407" s="6195">
        <f t="shared" ref="BA407:BA470" si="198">IF(ISNUMBER(BG407),IF(ABS(BG407)&lt;=0.000000001,0,BG407),0)</f>
        <v>0</v>
      </c>
      <c r="BB407" s="6193" t="str">
        <f t="shared" si="194"/>
        <v/>
      </c>
      <c r="BC407" s="6219"/>
      <c r="BD407" s="6222">
        <f t="shared" si="176"/>
        <v>0</v>
      </c>
      <c r="BE407" s="6220" t="str">
        <f t="shared" si="195"/>
        <v/>
      </c>
      <c r="BF407" s="4" t="s">
        <v>1</v>
      </c>
      <c r="BG407" s="6196">
        <f t="shared" si="196"/>
        <v>0</v>
      </c>
      <c r="BH407" s="6197">
        <f t="shared" si="197"/>
        <v>0</v>
      </c>
      <c r="BI407"/>
      <c r="BJ407" s="1"/>
      <c r="BK407" s="1"/>
      <c r="BL407" s="1"/>
      <c r="BM407" s="1"/>
      <c r="BN407" s="1"/>
      <c r="BO407" s="1"/>
      <c r="BP407" s="1"/>
      <c r="BQ407" s="1"/>
      <c r="BX407" s="20" t="str">
        <f t="shared" si="178"/>
        <v>►</v>
      </c>
      <c r="BY407" s="2"/>
      <c r="BZ407" s="2"/>
      <c r="CA407" s="2"/>
      <c r="CB407" s="2"/>
      <c r="CC407" s="2"/>
      <c r="DC407" s="5">
        <v>1</v>
      </c>
    </row>
    <row r="408" spans="12:107" ht="21" customHeight="1">
      <c r="L408" s="1021" t="s">
        <v>26</v>
      </c>
      <c r="M408" s="6787"/>
      <c r="N408" s="6787"/>
      <c r="O408" s="6787"/>
      <c r="P408" s="6788"/>
      <c r="Q408" s="6789"/>
      <c r="R408" s="6790"/>
      <c r="S408" s="6786"/>
      <c r="T408" s="6791"/>
      <c r="U408" s="6844"/>
      <c r="V408" s="6791"/>
      <c r="W408" s="6785"/>
      <c r="X408" s="6868"/>
      <c r="Y408" s="6793"/>
      <c r="Z408" s="6794"/>
      <c r="AA408" s="6795"/>
      <c r="AB408" s="6796"/>
      <c r="AC408" s="6797"/>
      <c r="AD408" s="6798"/>
      <c r="AE408" s="4" t="s">
        <v>1</v>
      </c>
      <c r="AF408" s="6202" t="str">
        <f t="shared" si="179"/>
        <v>►</v>
      </c>
      <c r="AG408" s="6234" t="str">
        <f t="shared" si="180"/>
        <v/>
      </c>
      <c r="AH408" s="6732" t="str">
        <f t="shared" si="181"/>
        <v/>
      </c>
      <c r="AI408" s="6234" t="str">
        <f t="shared" si="182"/>
        <v/>
      </c>
      <c r="AJ408" s="6732" t="str">
        <f t="shared" si="183"/>
        <v/>
      </c>
      <c r="AK408" s="6732">
        <f t="shared" si="184"/>
        <v>0</v>
      </c>
      <c r="AL408" s="6230" t="str" cm="1">
        <f t="array" ref="AL408">IF(AF408&lt;&gt;"A","",IFERROR((IFERROR(_xlfn.XLOOKUP(TRIM(SUBSTITUTE(U408,CHAR(160)," ")),$BJ$15:$BJ$62,$BM$15:$BM$62),IFERROR(_xlfn.XLOOKUP(TRIM(SUBSTITUTE(U408,CHAR(160)," ")),$BK$15:$BK$62,$BM$15:$BM$62),_xlfn.XLOOKUP(TRIM(SUBSTITUTE(U408,CHAR(160)," ")),$BL$15:$BL$62,$BM$15:$BM$62))))*T408*IF(ISBLANK(Q408),1,Q408)+IFERROR(_xlfn.XLOOKUP("RECHERCHEX",TRIM(L408:AD408),L408:AD408),0),0))</f>
        <v/>
      </c>
      <c r="AM408" s="6229">
        <f t="shared" si="185"/>
        <v>0</v>
      </c>
      <c r="AN408" s="6857" t="str">
        <f t="shared" si="177"/>
        <v/>
      </c>
      <c r="AO408" s="392">
        <f t="shared" si="186"/>
        <v>0</v>
      </c>
      <c r="AP408" s="392">
        <f t="shared" si="187"/>
        <v>0</v>
      </c>
      <c r="AQ408" s="6190">
        <f t="shared" si="188"/>
        <v>0</v>
      </c>
      <c r="AR408" s="6858" t="str">
        <f t="shared" si="189"/>
        <v/>
      </c>
      <c r="AS408" s="6217"/>
      <c r="AT408" s="6217"/>
      <c r="AU408" s="6271">
        <f t="shared" si="190"/>
        <v>0</v>
      </c>
      <c r="AV408" s="6242">
        <f t="shared" si="191"/>
        <v>0</v>
      </c>
      <c r="AW408" s="6188" cm="1">
        <f t="array" ref="AW408">IF(AK408&lt;&gt;1,0,IF(OR(AU408="",N(AU408)&lt;=0.000000001),"",IF(OR(AO408="",N(AO408)&lt;=0.000000001),0,IF(ISNUMBER(AU408),IFERROR(_xlfn.LET(_xlpm.ai_test,TRIM(AJ408),_xlpm.r,IFERROR(_xlfn.XLOOKUP(_xlpm.ai_test,$BJ$15:$BJ$62,ROW($BJ$15:$BJ$62),0,1),IFERROR(_xlfn.XLOOKUP(_xlpm.ai_test,$BK$15:$BK$62,ROW($BK$15:$BK$62),0,1),_xlfn.XLOOKUP(_xlpm.ai_test,$BL$15:$BL$62,ROW($BL$15:$BL$62),0,1))),_xlpm.p,_xlpm.r-MIN(ROW($BJ$15:$BJ$62))+1,_xlpm.f,INDEX($BM$15:$BM$62,_xlpm.p),_xlpm.u,INDEX($BN$15:$BN$62,_xlpm.p),_xlpm.s,INDEX($BP$15:$BP$62,_xlpm.p),_xlpm.q,N(AU408)/_xlpm.f,IF(_xlpm.q&gt;=_xlpm.s,ROUND(_xlpm.q,1)&amp;" "&amp;_xlpm.ai_test&amp;" = "&amp;ROUND(_xlpm.q*_xlpm.f,1)&amp;" "&amp;_xlpm.u,ROUND(_xlpm.q,1)&amp;" "&amp;_xlpm.ai_test)),""),""))))</f>
        <v>0</v>
      </c>
      <c r="AX408" s="6218"/>
      <c r="AY408" s="6271">
        <f t="shared" si="192"/>
        <v>0</v>
      </c>
      <c r="AZ408" s="6242" t="str">
        <f t="shared" si="193"/>
        <v/>
      </c>
      <c r="BA408" s="6194">
        <f t="shared" si="198"/>
        <v>0</v>
      </c>
      <c r="BB408" s="6192" t="str">
        <f t="shared" si="194"/>
        <v/>
      </c>
      <c r="BC408" s="6219"/>
      <c r="BD408" s="6221">
        <f t="shared" si="176"/>
        <v>0</v>
      </c>
      <c r="BE408" s="6220" t="str">
        <f t="shared" si="195"/>
        <v/>
      </c>
      <c r="BF408" s="4" t="s">
        <v>1</v>
      </c>
      <c r="BG408" s="6196">
        <f t="shared" si="196"/>
        <v>0</v>
      </c>
      <c r="BH408" s="6197">
        <f t="shared" si="197"/>
        <v>0</v>
      </c>
      <c r="BI408"/>
      <c r="BJ408" s="1"/>
      <c r="BK408" s="1"/>
      <c r="BL408" s="1"/>
      <c r="BM408" s="1"/>
      <c r="BN408" s="1"/>
      <c r="BO408" s="1"/>
      <c r="BP408" s="1"/>
      <c r="BQ408" s="1"/>
      <c r="BX408" s="20" t="str">
        <f t="shared" si="178"/>
        <v>►</v>
      </c>
      <c r="BY408" s="2"/>
      <c r="BZ408" s="2"/>
      <c r="CA408" s="2"/>
      <c r="CB408" s="2"/>
      <c r="CC408" s="2"/>
      <c r="DC408" s="5">
        <v>1</v>
      </c>
    </row>
    <row r="409" spans="12:107" ht="21" customHeight="1">
      <c r="L409" s="1021" t="s">
        <v>26</v>
      </c>
      <c r="M409" s="6787"/>
      <c r="N409" s="6787"/>
      <c r="O409" s="6787"/>
      <c r="P409" s="6788"/>
      <c r="Q409" s="6789"/>
      <c r="R409" s="6790"/>
      <c r="S409" s="6786"/>
      <c r="T409" s="6791"/>
      <c r="U409" s="6844"/>
      <c r="V409" s="6791"/>
      <c r="W409" s="6785"/>
      <c r="X409" s="6868"/>
      <c r="Y409" s="6793"/>
      <c r="Z409" s="6794"/>
      <c r="AA409" s="6795"/>
      <c r="AB409" s="6796"/>
      <c r="AC409" s="6797"/>
      <c r="AD409" s="6798"/>
      <c r="AE409" s="4" t="s">
        <v>1</v>
      </c>
      <c r="AF409" s="6202" t="str">
        <f t="shared" si="179"/>
        <v>►</v>
      </c>
      <c r="AG409" s="6234" t="str">
        <f t="shared" si="180"/>
        <v/>
      </c>
      <c r="AH409" s="6732" t="str">
        <f t="shared" si="181"/>
        <v/>
      </c>
      <c r="AI409" s="6234" t="str">
        <f t="shared" si="182"/>
        <v/>
      </c>
      <c r="AJ409" s="6732" t="str">
        <f t="shared" si="183"/>
        <v/>
      </c>
      <c r="AK409" s="6732">
        <f t="shared" si="184"/>
        <v>0</v>
      </c>
      <c r="AL409" s="6230" t="str" cm="1">
        <f t="array" ref="AL409">IF(AF409&lt;&gt;"A","",IFERROR((IFERROR(_xlfn.XLOOKUP(TRIM(SUBSTITUTE(U409,CHAR(160)," ")),$BJ$15:$BJ$62,$BM$15:$BM$62),IFERROR(_xlfn.XLOOKUP(TRIM(SUBSTITUTE(U409,CHAR(160)," ")),$BK$15:$BK$62,$BM$15:$BM$62),_xlfn.XLOOKUP(TRIM(SUBSTITUTE(U409,CHAR(160)," ")),$BL$15:$BL$62,$BM$15:$BM$62))))*T409*IF(ISBLANK(Q409),1,Q409)+IFERROR(_xlfn.XLOOKUP("RECHERCHEX",TRIM(L409:AD409),L409:AD409),0),0))</f>
        <v/>
      </c>
      <c r="AM409" s="6229">
        <f t="shared" si="185"/>
        <v>0</v>
      </c>
      <c r="AN409" s="6857" t="str">
        <f t="shared" si="177"/>
        <v/>
      </c>
      <c r="AO409" s="392">
        <f t="shared" si="186"/>
        <v>0</v>
      </c>
      <c r="AP409" s="392">
        <f t="shared" si="187"/>
        <v>0</v>
      </c>
      <c r="AQ409" s="6191">
        <f t="shared" si="188"/>
        <v>0</v>
      </c>
      <c r="AR409" s="6859" t="str">
        <f t="shared" si="189"/>
        <v/>
      </c>
      <c r="AS409" s="6217"/>
      <c r="AT409" s="6217"/>
      <c r="AU409" s="6272">
        <f t="shared" si="190"/>
        <v>0</v>
      </c>
      <c r="AV409" s="6240">
        <f t="shared" si="191"/>
        <v>0</v>
      </c>
      <c r="AW409" s="6189" cm="1">
        <f t="array" ref="AW409">IF(AK409&lt;&gt;1,0,IF(OR(AU409="",N(AU409)&lt;=0.000000001),"",IF(OR(AO409="",N(AO409)&lt;=0.000000001),0,IF(ISNUMBER(AU409),IFERROR(_xlfn.LET(_xlpm.ai_test,TRIM(AJ409),_xlpm.r,IFERROR(_xlfn.XLOOKUP(_xlpm.ai_test,$BJ$15:$BJ$62,ROW($BJ$15:$BJ$62),0,1),IFERROR(_xlfn.XLOOKUP(_xlpm.ai_test,$BK$15:$BK$62,ROW($BK$15:$BK$62),0,1),_xlfn.XLOOKUP(_xlpm.ai_test,$BL$15:$BL$62,ROW($BL$15:$BL$62),0,1))),_xlpm.p,_xlpm.r-MIN(ROW($BJ$15:$BJ$62))+1,_xlpm.f,INDEX($BM$15:$BM$62,_xlpm.p),_xlpm.u,INDEX($BN$15:$BN$62,_xlpm.p),_xlpm.s,INDEX($BP$15:$BP$62,_xlpm.p),_xlpm.q,N(AU409)/_xlpm.f,IF(_xlpm.q&gt;=_xlpm.s,ROUND(_xlpm.q,1)&amp;" "&amp;_xlpm.ai_test&amp;" = "&amp;ROUND(_xlpm.q*_xlpm.f,1)&amp;" "&amp;_xlpm.u,ROUND(_xlpm.q,1)&amp;" "&amp;_xlpm.ai_test)),""),""))))</f>
        <v>0</v>
      </c>
      <c r="AX409" s="6218"/>
      <c r="AY409" s="6272">
        <f t="shared" si="192"/>
        <v>0</v>
      </c>
      <c r="AZ409" s="6240" t="str">
        <f t="shared" si="193"/>
        <v/>
      </c>
      <c r="BA409" s="6195">
        <f t="shared" si="198"/>
        <v>0</v>
      </c>
      <c r="BB409" s="6193" t="str">
        <f t="shared" si="194"/>
        <v/>
      </c>
      <c r="BC409" s="6219"/>
      <c r="BD409" s="6222">
        <f t="shared" si="176"/>
        <v>0</v>
      </c>
      <c r="BE409" s="6220" t="str">
        <f t="shared" si="195"/>
        <v/>
      </c>
      <c r="BF409" s="4" t="s">
        <v>1</v>
      </c>
      <c r="BG409" s="6196">
        <f t="shared" si="196"/>
        <v>0</v>
      </c>
      <c r="BH409" s="6197">
        <f t="shared" si="197"/>
        <v>0</v>
      </c>
      <c r="BI409"/>
      <c r="BJ409" s="1"/>
      <c r="BK409" s="1"/>
      <c r="BL409" s="1"/>
      <c r="BM409" s="1"/>
      <c r="BN409" s="1"/>
      <c r="BO409" s="1"/>
      <c r="BP409" s="1"/>
      <c r="BQ409" s="1"/>
      <c r="BX409" s="20" t="str">
        <f t="shared" si="178"/>
        <v>►</v>
      </c>
      <c r="BY409" s="2"/>
      <c r="BZ409" s="2"/>
      <c r="CA409" s="2"/>
      <c r="CB409" s="2"/>
      <c r="CC409" s="2"/>
      <c r="DC409" s="5">
        <v>1</v>
      </c>
    </row>
    <row r="410" spans="12:107" ht="21" customHeight="1">
      <c r="L410" s="1021" t="s">
        <v>26</v>
      </c>
      <c r="M410" s="6787"/>
      <c r="N410" s="6787"/>
      <c r="O410" s="6787"/>
      <c r="P410" s="6788"/>
      <c r="Q410" s="6789"/>
      <c r="R410" s="6790"/>
      <c r="S410" s="6786"/>
      <c r="T410" s="6791"/>
      <c r="U410" s="6844"/>
      <c r="V410" s="6791"/>
      <c r="W410" s="6785"/>
      <c r="X410" s="6868"/>
      <c r="Y410" s="6793"/>
      <c r="Z410" s="6794"/>
      <c r="AA410" s="6795"/>
      <c r="AB410" s="6796"/>
      <c r="AC410" s="6797"/>
      <c r="AD410" s="6798"/>
      <c r="AE410" s="4" t="s">
        <v>1</v>
      </c>
      <c r="AF410" s="6202" t="str">
        <f t="shared" si="179"/>
        <v>►</v>
      </c>
      <c r="AG410" s="6234" t="str">
        <f t="shared" si="180"/>
        <v/>
      </c>
      <c r="AH410" s="6732" t="str">
        <f t="shared" si="181"/>
        <v/>
      </c>
      <c r="AI410" s="6234" t="str">
        <f t="shared" si="182"/>
        <v/>
      </c>
      <c r="AJ410" s="6732" t="str">
        <f t="shared" si="183"/>
        <v/>
      </c>
      <c r="AK410" s="6732">
        <f t="shared" si="184"/>
        <v>0</v>
      </c>
      <c r="AL410" s="6230" t="str" cm="1">
        <f t="array" ref="AL410">IF(AF410&lt;&gt;"A","",IFERROR((IFERROR(_xlfn.XLOOKUP(TRIM(SUBSTITUTE(U410,CHAR(160)," ")),$BJ$15:$BJ$62,$BM$15:$BM$62),IFERROR(_xlfn.XLOOKUP(TRIM(SUBSTITUTE(U410,CHAR(160)," ")),$BK$15:$BK$62,$BM$15:$BM$62),_xlfn.XLOOKUP(TRIM(SUBSTITUTE(U410,CHAR(160)," ")),$BL$15:$BL$62,$BM$15:$BM$62))))*T410*IF(ISBLANK(Q410),1,Q410)+IFERROR(_xlfn.XLOOKUP("RECHERCHEX",TRIM(L410:AD410),L410:AD410),0),0))</f>
        <v/>
      </c>
      <c r="AM410" s="6229">
        <f t="shared" si="185"/>
        <v>0</v>
      </c>
      <c r="AN410" s="6857" t="str">
        <f t="shared" si="177"/>
        <v/>
      </c>
      <c r="AO410" s="392">
        <f t="shared" si="186"/>
        <v>0</v>
      </c>
      <c r="AP410" s="392">
        <f t="shared" si="187"/>
        <v>0</v>
      </c>
      <c r="AQ410" s="6190">
        <f t="shared" si="188"/>
        <v>0</v>
      </c>
      <c r="AR410" s="6858" t="str">
        <f t="shared" si="189"/>
        <v/>
      </c>
      <c r="AS410" s="6217"/>
      <c r="AT410" s="6217"/>
      <c r="AU410" s="6271">
        <f t="shared" si="190"/>
        <v>0</v>
      </c>
      <c r="AV410" s="6242">
        <f t="shared" si="191"/>
        <v>0</v>
      </c>
      <c r="AW410" s="6188" cm="1">
        <f t="array" ref="AW410">IF(AK410&lt;&gt;1,0,IF(OR(AU410="",N(AU410)&lt;=0.000000001),"",IF(OR(AO410="",N(AO410)&lt;=0.000000001),0,IF(ISNUMBER(AU410),IFERROR(_xlfn.LET(_xlpm.ai_test,TRIM(AJ410),_xlpm.r,IFERROR(_xlfn.XLOOKUP(_xlpm.ai_test,$BJ$15:$BJ$62,ROW($BJ$15:$BJ$62),0,1),IFERROR(_xlfn.XLOOKUP(_xlpm.ai_test,$BK$15:$BK$62,ROW($BK$15:$BK$62),0,1),_xlfn.XLOOKUP(_xlpm.ai_test,$BL$15:$BL$62,ROW($BL$15:$BL$62),0,1))),_xlpm.p,_xlpm.r-MIN(ROW($BJ$15:$BJ$62))+1,_xlpm.f,INDEX($BM$15:$BM$62,_xlpm.p),_xlpm.u,INDEX($BN$15:$BN$62,_xlpm.p),_xlpm.s,INDEX($BP$15:$BP$62,_xlpm.p),_xlpm.q,N(AU410)/_xlpm.f,IF(_xlpm.q&gt;=_xlpm.s,ROUND(_xlpm.q,1)&amp;" "&amp;_xlpm.ai_test&amp;" = "&amp;ROUND(_xlpm.q*_xlpm.f,1)&amp;" "&amp;_xlpm.u,ROUND(_xlpm.q,1)&amp;" "&amp;_xlpm.ai_test)),""),""))))</f>
        <v>0</v>
      </c>
      <c r="AX410" s="6218"/>
      <c r="AY410" s="6271">
        <f t="shared" si="192"/>
        <v>0</v>
      </c>
      <c r="AZ410" s="6242" t="str">
        <f t="shared" si="193"/>
        <v/>
      </c>
      <c r="BA410" s="6194">
        <f t="shared" si="198"/>
        <v>0</v>
      </c>
      <c r="BB410" s="6192" t="str">
        <f t="shared" si="194"/>
        <v/>
      </c>
      <c r="BC410" s="6219"/>
      <c r="BD410" s="6221">
        <f t="shared" si="176"/>
        <v>0</v>
      </c>
      <c r="BE410" s="6220" t="str">
        <f t="shared" si="195"/>
        <v/>
      </c>
      <c r="BF410" s="4" t="s">
        <v>1</v>
      </c>
      <c r="BG410" s="6196">
        <f t="shared" si="196"/>
        <v>0</v>
      </c>
      <c r="BH410" s="6197">
        <f t="shared" si="197"/>
        <v>0</v>
      </c>
      <c r="BI410"/>
      <c r="BJ410" s="1"/>
      <c r="BK410" s="1"/>
      <c r="BL410" s="1"/>
      <c r="BM410" s="1"/>
      <c r="BN410" s="1"/>
      <c r="BO410" s="1"/>
      <c r="BP410" s="1"/>
      <c r="BQ410" s="1"/>
      <c r="BX410" s="20" t="str">
        <f t="shared" si="178"/>
        <v>►</v>
      </c>
      <c r="BY410" s="2"/>
      <c r="BZ410" s="2"/>
      <c r="CA410" s="2"/>
      <c r="CB410" s="2"/>
      <c r="CC410" s="2"/>
      <c r="DC410" s="5">
        <v>1</v>
      </c>
    </row>
    <row r="411" spans="12:107" ht="21" customHeight="1">
      <c r="L411" s="1021" t="s">
        <v>26</v>
      </c>
      <c r="M411" s="6787"/>
      <c r="N411" s="6787"/>
      <c r="O411" s="6787"/>
      <c r="P411" s="6788"/>
      <c r="Q411" s="6789"/>
      <c r="R411" s="6790"/>
      <c r="S411" s="6786"/>
      <c r="T411" s="6791"/>
      <c r="U411" s="6844"/>
      <c r="V411" s="6791"/>
      <c r="W411" s="6785"/>
      <c r="X411" s="6868"/>
      <c r="Y411" s="6793"/>
      <c r="Z411" s="6794"/>
      <c r="AA411" s="6795"/>
      <c r="AB411" s="6796"/>
      <c r="AC411" s="6797"/>
      <c r="AD411" s="6798"/>
      <c r="AE411" s="4" t="s">
        <v>1</v>
      </c>
      <c r="AF411" s="6202" t="str">
        <f t="shared" si="179"/>
        <v>►</v>
      </c>
      <c r="AG411" s="6234" t="str">
        <f t="shared" si="180"/>
        <v/>
      </c>
      <c r="AH411" s="6732" t="str">
        <f t="shared" si="181"/>
        <v/>
      </c>
      <c r="AI411" s="6234" t="str">
        <f t="shared" si="182"/>
        <v/>
      </c>
      <c r="AJ411" s="6732" t="str">
        <f t="shared" si="183"/>
        <v/>
      </c>
      <c r="AK411" s="6732">
        <f t="shared" si="184"/>
        <v>0</v>
      </c>
      <c r="AL411" s="6230" t="str" cm="1">
        <f t="array" ref="AL411">IF(AF411&lt;&gt;"A","",IFERROR((IFERROR(_xlfn.XLOOKUP(TRIM(SUBSTITUTE(U411,CHAR(160)," ")),$BJ$15:$BJ$62,$BM$15:$BM$62),IFERROR(_xlfn.XLOOKUP(TRIM(SUBSTITUTE(U411,CHAR(160)," ")),$BK$15:$BK$62,$BM$15:$BM$62),_xlfn.XLOOKUP(TRIM(SUBSTITUTE(U411,CHAR(160)," ")),$BL$15:$BL$62,$BM$15:$BM$62))))*T411*IF(ISBLANK(Q411),1,Q411)+IFERROR(_xlfn.XLOOKUP("RECHERCHEX",TRIM(L411:AD411),L411:AD411),0),0))</f>
        <v/>
      </c>
      <c r="AM411" s="6229">
        <f t="shared" si="185"/>
        <v>0</v>
      </c>
      <c r="AN411" s="6857" t="str">
        <f t="shared" si="177"/>
        <v/>
      </c>
      <c r="AO411" s="392">
        <f t="shared" si="186"/>
        <v>0</v>
      </c>
      <c r="AP411" s="392">
        <f t="shared" si="187"/>
        <v>0</v>
      </c>
      <c r="AQ411" s="6191">
        <f t="shared" si="188"/>
        <v>0</v>
      </c>
      <c r="AR411" s="6859" t="str">
        <f t="shared" si="189"/>
        <v/>
      </c>
      <c r="AS411" s="6217"/>
      <c r="AT411" s="6217"/>
      <c r="AU411" s="6272">
        <f t="shared" si="190"/>
        <v>0</v>
      </c>
      <c r="AV411" s="6240">
        <f t="shared" si="191"/>
        <v>0</v>
      </c>
      <c r="AW411" s="6189" cm="1">
        <f t="array" ref="AW411">IF(AK411&lt;&gt;1,0,IF(OR(AU411="",N(AU411)&lt;=0.000000001),"",IF(OR(AO411="",N(AO411)&lt;=0.000000001),0,IF(ISNUMBER(AU411),IFERROR(_xlfn.LET(_xlpm.ai_test,TRIM(AJ411),_xlpm.r,IFERROR(_xlfn.XLOOKUP(_xlpm.ai_test,$BJ$15:$BJ$62,ROW($BJ$15:$BJ$62),0,1),IFERROR(_xlfn.XLOOKUP(_xlpm.ai_test,$BK$15:$BK$62,ROW($BK$15:$BK$62),0,1),_xlfn.XLOOKUP(_xlpm.ai_test,$BL$15:$BL$62,ROW($BL$15:$BL$62),0,1))),_xlpm.p,_xlpm.r-MIN(ROW($BJ$15:$BJ$62))+1,_xlpm.f,INDEX($BM$15:$BM$62,_xlpm.p),_xlpm.u,INDEX($BN$15:$BN$62,_xlpm.p),_xlpm.s,INDEX($BP$15:$BP$62,_xlpm.p),_xlpm.q,N(AU411)/_xlpm.f,IF(_xlpm.q&gt;=_xlpm.s,ROUND(_xlpm.q,1)&amp;" "&amp;_xlpm.ai_test&amp;" = "&amp;ROUND(_xlpm.q*_xlpm.f,1)&amp;" "&amp;_xlpm.u,ROUND(_xlpm.q,1)&amp;" "&amp;_xlpm.ai_test)),""),""))))</f>
        <v>0</v>
      </c>
      <c r="AX411" s="6218"/>
      <c r="AY411" s="6272">
        <f t="shared" si="192"/>
        <v>0</v>
      </c>
      <c r="AZ411" s="6240" t="str">
        <f t="shared" si="193"/>
        <v/>
      </c>
      <c r="BA411" s="6195">
        <f t="shared" si="198"/>
        <v>0</v>
      </c>
      <c r="BB411" s="6193" t="str">
        <f t="shared" si="194"/>
        <v/>
      </c>
      <c r="BC411" s="6219"/>
      <c r="BD411" s="6222">
        <f t="shared" ref="BD411:BD474" si="199">IF(OR(AO411=0,ISBLANK(BC411),ISTEXT(BA411)),0,(IF(AU411=0,BA411,AU411)*BC411))</f>
        <v>0</v>
      </c>
      <c r="BE411" s="6220" t="str">
        <f t="shared" si="195"/>
        <v/>
      </c>
      <c r="BF411" s="4" t="s">
        <v>1</v>
      </c>
      <c r="BG411" s="6196">
        <f t="shared" si="196"/>
        <v>0</v>
      </c>
      <c r="BH411" s="6197">
        <f t="shared" si="197"/>
        <v>0</v>
      </c>
      <c r="BI411"/>
      <c r="BJ411" s="1"/>
      <c r="BK411" s="1"/>
      <c r="BL411" s="1"/>
      <c r="BM411" s="1"/>
      <c r="BN411" s="1"/>
      <c r="BO411" s="1"/>
      <c r="BP411" s="1"/>
      <c r="BQ411" s="1"/>
      <c r="BX411" s="20" t="str">
        <f t="shared" si="178"/>
        <v>►</v>
      </c>
      <c r="BY411" s="2"/>
      <c r="BZ411" s="2"/>
      <c r="CA411" s="2"/>
      <c r="CB411" s="2"/>
      <c r="CC411" s="2"/>
      <c r="DC411" s="5">
        <v>1</v>
      </c>
    </row>
    <row r="412" spans="12:107" ht="21" customHeight="1">
      <c r="L412" s="1021" t="s">
        <v>26</v>
      </c>
      <c r="M412" s="6787"/>
      <c r="N412" s="6787"/>
      <c r="O412" s="6787"/>
      <c r="P412" s="6788"/>
      <c r="Q412" s="6789"/>
      <c r="R412" s="6790"/>
      <c r="S412" s="6786"/>
      <c r="T412" s="6791"/>
      <c r="U412" s="6844"/>
      <c r="V412" s="6791"/>
      <c r="W412" s="6785"/>
      <c r="X412" s="6868"/>
      <c r="Y412" s="6793"/>
      <c r="Z412" s="6794"/>
      <c r="AA412" s="6795"/>
      <c r="AB412" s="6796"/>
      <c r="AC412" s="6797"/>
      <c r="AD412" s="6798"/>
      <c r="AE412" s="4" t="s">
        <v>1</v>
      </c>
      <c r="AF412" s="6202" t="str">
        <f t="shared" si="179"/>
        <v>►</v>
      </c>
      <c r="AG412" s="6234" t="str">
        <f t="shared" si="180"/>
        <v/>
      </c>
      <c r="AH412" s="6732" t="str">
        <f t="shared" si="181"/>
        <v/>
      </c>
      <c r="AI412" s="6234" t="str">
        <f t="shared" si="182"/>
        <v/>
      </c>
      <c r="AJ412" s="6732" t="str">
        <f t="shared" si="183"/>
        <v/>
      </c>
      <c r="AK412" s="6732">
        <f t="shared" si="184"/>
        <v>0</v>
      </c>
      <c r="AL412" s="6230" t="str" cm="1">
        <f t="array" ref="AL412">IF(AF412&lt;&gt;"A","",IFERROR((IFERROR(_xlfn.XLOOKUP(TRIM(SUBSTITUTE(U412,CHAR(160)," ")),$BJ$15:$BJ$62,$BM$15:$BM$62),IFERROR(_xlfn.XLOOKUP(TRIM(SUBSTITUTE(U412,CHAR(160)," ")),$BK$15:$BK$62,$BM$15:$BM$62),_xlfn.XLOOKUP(TRIM(SUBSTITUTE(U412,CHAR(160)," ")),$BL$15:$BL$62,$BM$15:$BM$62))))*T412*IF(ISBLANK(Q412),1,Q412)+IFERROR(_xlfn.XLOOKUP("RECHERCHEX",TRIM(L412:AD412),L412:AD412),0),0))</f>
        <v/>
      </c>
      <c r="AM412" s="6229">
        <f t="shared" si="185"/>
        <v>0</v>
      </c>
      <c r="AN412" s="6857" t="str">
        <f t="shared" si="177"/>
        <v/>
      </c>
      <c r="AO412" s="392">
        <f t="shared" si="186"/>
        <v>0</v>
      </c>
      <c r="AP412" s="392">
        <f t="shared" si="187"/>
        <v>0</v>
      </c>
      <c r="AQ412" s="6190">
        <f t="shared" si="188"/>
        <v>0</v>
      </c>
      <c r="AR412" s="6858" t="str">
        <f t="shared" si="189"/>
        <v/>
      </c>
      <c r="AS412" s="6217"/>
      <c r="AT412" s="6217"/>
      <c r="AU412" s="6271">
        <f t="shared" si="190"/>
        <v>0</v>
      </c>
      <c r="AV412" s="6242">
        <f t="shared" si="191"/>
        <v>0</v>
      </c>
      <c r="AW412" s="6188" cm="1">
        <f t="array" ref="AW412">IF(AK412&lt;&gt;1,0,IF(OR(AU412="",N(AU412)&lt;=0.000000001),"",IF(OR(AO412="",N(AO412)&lt;=0.000000001),0,IF(ISNUMBER(AU412),IFERROR(_xlfn.LET(_xlpm.ai_test,TRIM(AJ412),_xlpm.r,IFERROR(_xlfn.XLOOKUP(_xlpm.ai_test,$BJ$15:$BJ$62,ROW($BJ$15:$BJ$62),0,1),IFERROR(_xlfn.XLOOKUP(_xlpm.ai_test,$BK$15:$BK$62,ROW($BK$15:$BK$62),0,1),_xlfn.XLOOKUP(_xlpm.ai_test,$BL$15:$BL$62,ROW($BL$15:$BL$62),0,1))),_xlpm.p,_xlpm.r-MIN(ROW($BJ$15:$BJ$62))+1,_xlpm.f,INDEX($BM$15:$BM$62,_xlpm.p),_xlpm.u,INDEX($BN$15:$BN$62,_xlpm.p),_xlpm.s,INDEX($BP$15:$BP$62,_xlpm.p),_xlpm.q,N(AU412)/_xlpm.f,IF(_xlpm.q&gt;=_xlpm.s,ROUND(_xlpm.q,1)&amp;" "&amp;_xlpm.ai_test&amp;" = "&amp;ROUND(_xlpm.q*_xlpm.f,1)&amp;" "&amp;_xlpm.u,ROUND(_xlpm.q,1)&amp;" "&amp;_xlpm.ai_test)),""),""))))</f>
        <v>0</v>
      </c>
      <c r="AX412" s="6218"/>
      <c r="AY412" s="6271">
        <f t="shared" si="192"/>
        <v>0</v>
      </c>
      <c r="AZ412" s="6242" t="str">
        <f t="shared" si="193"/>
        <v/>
      </c>
      <c r="BA412" s="6194">
        <f t="shared" si="198"/>
        <v>0</v>
      </c>
      <c r="BB412" s="6192" t="str">
        <f t="shared" si="194"/>
        <v/>
      </c>
      <c r="BC412" s="6219"/>
      <c r="BD412" s="6221">
        <f t="shared" si="199"/>
        <v>0</v>
      </c>
      <c r="BE412" s="6220" t="str">
        <f t="shared" si="195"/>
        <v/>
      </c>
      <c r="BF412" s="4" t="s">
        <v>1</v>
      </c>
      <c r="BG412" s="6196">
        <f t="shared" si="196"/>
        <v>0</v>
      </c>
      <c r="BH412" s="6197">
        <f t="shared" si="197"/>
        <v>0</v>
      </c>
      <c r="BI412"/>
      <c r="BJ412" s="1"/>
      <c r="BK412" s="1"/>
      <c r="BL412" s="1"/>
      <c r="BM412" s="1"/>
      <c r="BN412" s="1"/>
      <c r="BO412" s="1"/>
      <c r="BP412" s="1"/>
      <c r="BQ412" s="1"/>
      <c r="BX412" s="20" t="str">
        <f t="shared" si="178"/>
        <v>►</v>
      </c>
      <c r="BY412" s="2"/>
      <c r="BZ412" s="2"/>
      <c r="CA412" s="2"/>
      <c r="CB412" s="2"/>
      <c r="CC412" s="2"/>
      <c r="DC412" s="5">
        <v>1</v>
      </c>
    </row>
    <row r="413" spans="12:107" ht="21" customHeight="1">
      <c r="L413" s="1021" t="s">
        <v>26</v>
      </c>
      <c r="M413" s="6787"/>
      <c r="N413" s="6787"/>
      <c r="O413" s="6787"/>
      <c r="P413" s="6788"/>
      <c r="Q413" s="6789"/>
      <c r="R413" s="6790"/>
      <c r="S413" s="6786"/>
      <c r="T413" s="6791"/>
      <c r="U413" s="6844"/>
      <c r="V413" s="6791"/>
      <c r="W413" s="6785"/>
      <c r="X413" s="6868"/>
      <c r="Y413" s="6793"/>
      <c r="Z413" s="6794"/>
      <c r="AA413" s="6795"/>
      <c r="AB413" s="6796"/>
      <c r="AC413" s="6797"/>
      <c r="AD413" s="6798"/>
      <c r="AE413" s="4" t="s">
        <v>1</v>
      </c>
      <c r="AF413" s="6202" t="str">
        <f t="shared" si="179"/>
        <v>►</v>
      </c>
      <c r="AG413" s="6234" t="str">
        <f t="shared" si="180"/>
        <v/>
      </c>
      <c r="AH413" s="6732" t="str">
        <f t="shared" si="181"/>
        <v/>
      </c>
      <c r="AI413" s="6234" t="str">
        <f t="shared" si="182"/>
        <v/>
      </c>
      <c r="AJ413" s="6732" t="str">
        <f t="shared" si="183"/>
        <v/>
      </c>
      <c r="AK413" s="6732">
        <f t="shared" si="184"/>
        <v>0</v>
      </c>
      <c r="AL413" s="6230" t="str" cm="1">
        <f t="array" ref="AL413">IF(AF413&lt;&gt;"A","",IFERROR((IFERROR(_xlfn.XLOOKUP(TRIM(SUBSTITUTE(U413,CHAR(160)," ")),$BJ$15:$BJ$62,$BM$15:$BM$62),IFERROR(_xlfn.XLOOKUP(TRIM(SUBSTITUTE(U413,CHAR(160)," ")),$BK$15:$BK$62,$BM$15:$BM$62),_xlfn.XLOOKUP(TRIM(SUBSTITUTE(U413,CHAR(160)," ")),$BL$15:$BL$62,$BM$15:$BM$62))))*T413*IF(ISBLANK(Q413),1,Q413)+IFERROR(_xlfn.XLOOKUP("RECHERCHEX",TRIM(L413:AD413),L413:AD413),0),0))</f>
        <v/>
      </c>
      <c r="AM413" s="6229">
        <f t="shared" si="185"/>
        <v>0</v>
      </c>
      <c r="AN413" s="6857" t="str">
        <f t="shared" si="177"/>
        <v/>
      </c>
      <c r="AO413" s="392">
        <f t="shared" si="186"/>
        <v>0</v>
      </c>
      <c r="AP413" s="392">
        <f t="shared" si="187"/>
        <v>0</v>
      </c>
      <c r="AQ413" s="6191">
        <f t="shared" si="188"/>
        <v>0</v>
      </c>
      <c r="AR413" s="6859" t="str">
        <f t="shared" si="189"/>
        <v/>
      </c>
      <c r="AS413" s="6217"/>
      <c r="AT413" s="6217"/>
      <c r="AU413" s="6272">
        <f t="shared" si="190"/>
        <v>0</v>
      </c>
      <c r="AV413" s="6240">
        <f t="shared" si="191"/>
        <v>0</v>
      </c>
      <c r="AW413" s="6189" cm="1">
        <f t="array" ref="AW413">IF(AK413&lt;&gt;1,0,IF(OR(AU413="",N(AU413)&lt;=0.000000001),"",IF(OR(AO413="",N(AO413)&lt;=0.000000001),0,IF(ISNUMBER(AU413),IFERROR(_xlfn.LET(_xlpm.ai_test,TRIM(AJ413),_xlpm.r,IFERROR(_xlfn.XLOOKUP(_xlpm.ai_test,$BJ$15:$BJ$62,ROW($BJ$15:$BJ$62),0,1),IFERROR(_xlfn.XLOOKUP(_xlpm.ai_test,$BK$15:$BK$62,ROW($BK$15:$BK$62),0,1),_xlfn.XLOOKUP(_xlpm.ai_test,$BL$15:$BL$62,ROW($BL$15:$BL$62),0,1))),_xlpm.p,_xlpm.r-MIN(ROW($BJ$15:$BJ$62))+1,_xlpm.f,INDEX($BM$15:$BM$62,_xlpm.p),_xlpm.u,INDEX($BN$15:$BN$62,_xlpm.p),_xlpm.s,INDEX($BP$15:$BP$62,_xlpm.p),_xlpm.q,N(AU413)/_xlpm.f,IF(_xlpm.q&gt;=_xlpm.s,ROUND(_xlpm.q,1)&amp;" "&amp;_xlpm.ai_test&amp;" = "&amp;ROUND(_xlpm.q*_xlpm.f,1)&amp;" "&amp;_xlpm.u,ROUND(_xlpm.q,1)&amp;" "&amp;_xlpm.ai_test)),""),""))))</f>
        <v>0</v>
      </c>
      <c r="AX413" s="6218"/>
      <c r="AY413" s="6272">
        <f t="shared" si="192"/>
        <v>0</v>
      </c>
      <c r="AZ413" s="6240" t="str">
        <f t="shared" si="193"/>
        <v/>
      </c>
      <c r="BA413" s="6195">
        <f t="shared" si="198"/>
        <v>0</v>
      </c>
      <c r="BB413" s="6193" t="str">
        <f t="shared" si="194"/>
        <v/>
      </c>
      <c r="BC413" s="6219"/>
      <c r="BD413" s="6222">
        <f t="shared" si="199"/>
        <v>0</v>
      </c>
      <c r="BE413" s="6220" t="str">
        <f t="shared" si="195"/>
        <v/>
      </c>
      <c r="BF413" s="4" t="s">
        <v>1</v>
      </c>
      <c r="BG413" s="6196">
        <f t="shared" si="196"/>
        <v>0</v>
      </c>
      <c r="BH413" s="6197">
        <f t="shared" si="197"/>
        <v>0</v>
      </c>
      <c r="BI413"/>
      <c r="BJ413" s="1"/>
      <c r="BK413" s="1"/>
      <c r="BL413" s="1"/>
      <c r="BM413" s="1"/>
      <c r="BN413" s="1"/>
      <c r="BO413" s="1"/>
      <c r="BP413" s="1"/>
      <c r="BQ413" s="1"/>
      <c r="BX413" s="20" t="str">
        <f t="shared" si="178"/>
        <v>►</v>
      </c>
      <c r="BY413" s="2"/>
      <c r="BZ413" s="2"/>
      <c r="CA413" s="2"/>
      <c r="CB413" s="2"/>
      <c r="CC413" s="2"/>
      <c r="DC413" s="5">
        <v>1</v>
      </c>
    </row>
    <row r="414" spans="12:107" ht="21" customHeight="1">
      <c r="L414" s="1021" t="s">
        <v>26</v>
      </c>
      <c r="M414" s="6787"/>
      <c r="N414" s="6787"/>
      <c r="O414" s="6787"/>
      <c r="P414" s="6788"/>
      <c r="Q414" s="6789"/>
      <c r="R414" s="6790"/>
      <c r="S414" s="6786"/>
      <c r="T414" s="6791"/>
      <c r="U414" s="6844"/>
      <c r="V414" s="6791"/>
      <c r="W414" s="6785"/>
      <c r="X414" s="6868"/>
      <c r="Y414" s="6793"/>
      <c r="Z414" s="6794"/>
      <c r="AA414" s="6795"/>
      <c r="AB414" s="6796"/>
      <c r="AC414" s="6797"/>
      <c r="AD414" s="6798"/>
      <c r="AE414" s="4" t="s">
        <v>1</v>
      </c>
      <c r="AF414" s="6202" t="str">
        <f t="shared" si="179"/>
        <v>►</v>
      </c>
      <c r="AG414" s="6234" t="str">
        <f t="shared" si="180"/>
        <v/>
      </c>
      <c r="AH414" s="6732" t="str">
        <f t="shared" si="181"/>
        <v/>
      </c>
      <c r="AI414" s="6234" t="str">
        <f t="shared" si="182"/>
        <v/>
      </c>
      <c r="AJ414" s="6732" t="str">
        <f t="shared" si="183"/>
        <v/>
      </c>
      <c r="AK414" s="6732">
        <f t="shared" si="184"/>
        <v>0</v>
      </c>
      <c r="AL414" s="6230" t="str" cm="1">
        <f t="array" ref="AL414">IF(AF414&lt;&gt;"A","",IFERROR((IFERROR(_xlfn.XLOOKUP(TRIM(SUBSTITUTE(U414,CHAR(160)," ")),$BJ$15:$BJ$62,$BM$15:$BM$62),IFERROR(_xlfn.XLOOKUP(TRIM(SUBSTITUTE(U414,CHAR(160)," ")),$BK$15:$BK$62,$BM$15:$BM$62),_xlfn.XLOOKUP(TRIM(SUBSTITUTE(U414,CHAR(160)," ")),$BL$15:$BL$62,$BM$15:$BM$62))))*T414*IF(ISBLANK(Q414),1,Q414)+IFERROR(_xlfn.XLOOKUP("RECHERCHEX",TRIM(L414:AD414),L414:AD414),0),0))</f>
        <v/>
      </c>
      <c r="AM414" s="6229">
        <f t="shared" si="185"/>
        <v>0</v>
      </c>
      <c r="AN414" s="6857" t="str">
        <f t="shared" ref="AN414:AN477" si="200">IF(AF414="A","❾ Author reference &gt;","")</f>
        <v/>
      </c>
      <c r="AO414" s="392">
        <f t="shared" si="186"/>
        <v>0</v>
      </c>
      <c r="AP414" s="392">
        <f t="shared" si="187"/>
        <v>0</v>
      </c>
      <c r="AQ414" s="6190">
        <f t="shared" si="188"/>
        <v>0</v>
      </c>
      <c r="AR414" s="6858" t="str">
        <f t="shared" si="189"/>
        <v/>
      </c>
      <c r="AS414" s="6217"/>
      <c r="AT414" s="6217"/>
      <c r="AU414" s="6271">
        <f t="shared" si="190"/>
        <v>0</v>
      </c>
      <c r="AV414" s="6242">
        <f t="shared" si="191"/>
        <v>0</v>
      </c>
      <c r="AW414" s="6188" cm="1">
        <f t="array" ref="AW414">IF(AK414&lt;&gt;1,0,IF(OR(AU414="",N(AU414)&lt;=0.000000001),"",IF(OR(AO414="",N(AO414)&lt;=0.000000001),0,IF(ISNUMBER(AU414),IFERROR(_xlfn.LET(_xlpm.ai_test,TRIM(AJ414),_xlpm.r,IFERROR(_xlfn.XLOOKUP(_xlpm.ai_test,$BJ$15:$BJ$62,ROW($BJ$15:$BJ$62),0,1),IFERROR(_xlfn.XLOOKUP(_xlpm.ai_test,$BK$15:$BK$62,ROW($BK$15:$BK$62),0,1),_xlfn.XLOOKUP(_xlpm.ai_test,$BL$15:$BL$62,ROW($BL$15:$BL$62),0,1))),_xlpm.p,_xlpm.r-MIN(ROW($BJ$15:$BJ$62))+1,_xlpm.f,INDEX($BM$15:$BM$62,_xlpm.p),_xlpm.u,INDEX($BN$15:$BN$62,_xlpm.p),_xlpm.s,INDEX($BP$15:$BP$62,_xlpm.p),_xlpm.q,N(AU414)/_xlpm.f,IF(_xlpm.q&gt;=_xlpm.s,ROUND(_xlpm.q,1)&amp;" "&amp;_xlpm.ai_test&amp;" = "&amp;ROUND(_xlpm.q*_xlpm.f,1)&amp;" "&amp;_xlpm.u,ROUND(_xlpm.q,1)&amp;" "&amp;_xlpm.ai_test)),""),""))))</f>
        <v>0</v>
      </c>
      <c r="AX414" s="6218"/>
      <c r="AY414" s="6271">
        <f t="shared" si="192"/>
        <v>0</v>
      </c>
      <c r="AZ414" s="6242" t="str">
        <f t="shared" si="193"/>
        <v/>
      </c>
      <c r="BA414" s="6194">
        <f t="shared" si="198"/>
        <v>0</v>
      </c>
      <c r="BB414" s="6192" t="str">
        <f t="shared" si="194"/>
        <v/>
      </c>
      <c r="BC414" s="6219"/>
      <c r="BD414" s="6221">
        <f t="shared" si="199"/>
        <v>0</v>
      </c>
      <c r="BE414" s="6220" t="str">
        <f t="shared" si="195"/>
        <v/>
      </c>
      <c r="BF414" s="4" t="s">
        <v>1</v>
      </c>
      <c r="BG414" s="6196">
        <f t="shared" si="196"/>
        <v>0</v>
      </c>
      <c r="BH414" s="6197">
        <f t="shared" si="197"/>
        <v>0</v>
      </c>
      <c r="BI414"/>
      <c r="BJ414" s="1"/>
      <c r="BK414" s="1"/>
      <c r="BL414" s="1"/>
      <c r="BM414" s="1"/>
      <c r="BN414" s="1"/>
      <c r="BO414" s="1"/>
      <c r="BP414" s="1"/>
      <c r="BQ414" s="1"/>
      <c r="BX414" s="20" t="str">
        <f t="shared" si="178"/>
        <v>►</v>
      </c>
      <c r="BY414" s="2"/>
      <c r="BZ414" s="2"/>
      <c r="CA414" s="2"/>
      <c r="CB414" s="2"/>
      <c r="CC414" s="2"/>
      <c r="DC414" s="5">
        <v>1</v>
      </c>
    </row>
    <row r="415" spans="12:107" ht="21" customHeight="1">
      <c r="L415" s="1021" t="s">
        <v>26</v>
      </c>
      <c r="M415" s="6787"/>
      <c r="N415" s="6787"/>
      <c r="O415" s="6787"/>
      <c r="P415" s="6788"/>
      <c r="Q415" s="6789"/>
      <c r="R415" s="6790"/>
      <c r="S415" s="6786"/>
      <c r="T415" s="6791"/>
      <c r="U415" s="6844"/>
      <c r="V415" s="6791"/>
      <c r="W415" s="6785"/>
      <c r="X415" s="6868"/>
      <c r="Y415" s="6793"/>
      <c r="Z415" s="6794"/>
      <c r="AA415" s="6795"/>
      <c r="AB415" s="6796"/>
      <c r="AC415" s="6797"/>
      <c r="AD415" s="6798"/>
      <c r="AE415" s="4" t="s">
        <v>1</v>
      </c>
      <c r="AF415" s="6202" t="str">
        <f t="shared" si="179"/>
        <v>►</v>
      </c>
      <c r="AG415" s="6234" t="str">
        <f t="shared" si="180"/>
        <v/>
      </c>
      <c r="AH415" s="6732" t="str">
        <f t="shared" si="181"/>
        <v/>
      </c>
      <c r="AI415" s="6234" t="str">
        <f t="shared" si="182"/>
        <v/>
      </c>
      <c r="AJ415" s="6732" t="str">
        <f t="shared" si="183"/>
        <v/>
      </c>
      <c r="AK415" s="6732">
        <f t="shared" si="184"/>
        <v>0</v>
      </c>
      <c r="AL415" s="6230" t="str" cm="1">
        <f t="array" ref="AL415">IF(AF415&lt;&gt;"A","",IFERROR((IFERROR(_xlfn.XLOOKUP(TRIM(SUBSTITUTE(U415,CHAR(160)," ")),$BJ$15:$BJ$62,$BM$15:$BM$62),IFERROR(_xlfn.XLOOKUP(TRIM(SUBSTITUTE(U415,CHAR(160)," ")),$BK$15:$BK$62,$BM$15:$BM$62),_xlfn.XLOOKUP(TRIM(SUBSTITUTE(U415,CHAR(160)," ")),$BL$15:$BL$62,$BM$15:$BM$62))))*T415*IF(ISBLANK(Q415),1,Q415)+IFERROR(_xlfn.XLOOKUP("RECHERCHEX",TRIM(L415:AD415),L415:AD415),0),0))</f>
        <v/>
      </c>
      <c r="AM415" s="6229">
        <f t="shared" si="185"/>
        <v>0</v>
      </c>
      <c r="AN415" s="6857" t="str">
        <f t="shared" si="200"/>
        <v/>
      </c>
      <c r="AO415" s="392">
        <f t="shared" si="186"/>
        <v>0</v>
      </c>
      <c r="AP415" s="392">
        <f t="shared" si="187"/>
        <v>0</v>
      </c>
      <c r="AQ415" s="6191">
        <f t="shared" si="188"/>
        <v>0</v>
      </c>
      <c r="AR415" s="6859" t="str">
        <f t="shared" si="189"/>
        <v/>
      </c>
      <c r="AS415" s="6217"/>
      <c r="AT415" s="6217"/>
      <c r="AU415" s="6272">
        <f t="shared" si="190"/>
        <v>0</v>
      </c>
      <c r="AV415" s="6240">
        <f t="shared" si="191"/>
        <v>0</v>
      </c>
      <c r="AW415" s="6189" cm="1">
        <f t="array" ref="AW415">IF(AK415&lt;&gt;1,0,IF(OR(AU415="",N(AU415)&lt;=0.000000001),"",IF(OR(AO415="",N(AO415)&lt;=0.000000001),0,IF(ISNUMBER(AU415),IFERROR(_xlfn.LET(_xlpm.ai_test,TRIM(AJ415),_xlpm.r,IFERROR(_xlfn.XLOOKUP(_xlpm.ai_test,$BJ$15:$BJ$62,ROW($BJ$15:$BJ$62),0,1),IFERROR(_xlfn.XLOOKUP(_xlpm.ai_test,$BK$15:$BK$62,ROW($BK$15:$BK$62),0,1),_xlfn.XLOOKUP(_xlpm.ai_test,$BL$15:$BL$62,ROW($BL$15:$BL$62),0,1))),_xlpm.p,_xlpm.r-MIN(ROW($BJ$15:$BJ$62))+1,_xlpm.f,INDEX($BM$15:$BM$62,_xlpm.p),_xlpm.u,INDEX($BN$15:$BN$62,_xlpm.p),_xlpm.s,INDEX($BP$15:$BP$62,_xlpm.p),_xlpm.q,N(AU415)/_xlpm.f,IF(_xlpm.q&gt;=_xlpm.s,ROUND(_xlpm.q,1)&amp;" "&amp;_xlpm.ai_test&amp;" = "&amp;ROUND(_xlpm.q*_xlpm.f,1)&amp;" "&amp;_xlpm.u,ROUND(_xlpm.q,1)&amp;" "&amp;_xlpm.ai_test)),""),""))))</f>
        <v>0</v>
      </c>
      <c r="AX415" s="6218"/>
      <c r="AY415" s="6272">
        <f t="shared" si="192"/>
        <v>0</v>
      </c>
      <c r="AZ415" s="6240" t="str">
        <f t="shared" si="193"/>
        <v/>
      </c>
      <c r="BA415" s="6195">
        <f t="shared" si="198"/>
        <v>0</v>
      </c>
      <c r="BB415" s="6193" t="str">
        <f t="shared" si="194"/>
        <v/>
      </c>
      <c r="BC415" s="6219"/>
      <c r="BD415" s="6222">
        <f t="shared" si="199"/>
        <v>0</v>
      </c>
      <c r="BE415" s="6220" t="str">
        <f t="shared" si="195"/>
        <v/>
      </c>
      <c r="BF415" s="4" t="s">
        <v>1</v>
      </c>
      <c r="BG415" s="6196">
        <f t="shared" si="196"/>
        <v>0</v>
      </c>
      <c r="BH415" s="6197">
        <f t="shared" si="197"/>
        <v>0</v>
      </c>
      <c r="BI415"/>
      <c r="BJ415" s="1"/>
      <c r="BK415" s="1"/>
      <c r="BL415" s="1"/>
      <c r="BM415" s="1"/>
      <c r="BN415" s="1"/>
      <c r="BO415" s="1"/>
      <c r="BP415" s="1"/>
      <c r="BQ415" s="1"/>
      <c r="BX415" s="20" t="str">
        <f t="shared" si="178"/>
        <v>►</v>
      </c>
      <c r="BY415" s="2"/>
      <c r="BZ415" s="2"/>
      <c r="CA415" s="2"/>
      <c r="CB415" s="2"/>
      <c r="CC415" s="2"/>
      <c r="DC415" s="5">
        <v>1</v>
      </c>
    </row>
    <row r="416" spans="12:107" ht="21" customHeight="1">
      <c r="L416" s="1021" t="s">
        <v>26</v>
      </c>
      <c r="M416" s="6787"/>
      <c r="N416" s="6787"/>
      <c r="O416" s="6787"/>
      <c r="P416" s="6788"/>
      <c r="Q416" s="6789"/>
      <c r="R416" s="6790"/>
      <c r="S416" s="6786"/>
      <c r="T416" s="6791"/>
      <c r="U416" s="6844"/>
      <c r="V416" s="6791"/>
      <c r="W416" s="6785"/>
      <c r="X416" s="6868"/>
      <c r="Y416" s="6793"/>
      <c r="Z416" s="6794"/>
      <c r="AA416" s="6795"/>
      <c r="AB416" s="6796"/>
      <c r="AC416" s="6797"/>
      <c r="AD416" s="6798"/>
      <c r="AE416" s="4" t="s">
        <v>1</v>
      </c>
      <c r="AF416" s="6202" t="str">
        <f t="shared" si="179"/>
        <v>►</v>
      </c>
      <c r="AG416" s="6234" t="str">
        <f t="shared" si="180"/>
        <v/>
      </c>
      <c r="AH416" s="6732" t="str">
        <f t="shared" si="181"/>
        <v/>
      </c>
      <c r="AI416" s="6234" t="str">
        <f t="shared" si="182"/>
        <v/>
      </c>
      <c r="AJ416" s="6732" t="str">
        <f t="shared" si="183"/>
        <v/>
      </c>
      <c r="AK416" s="6732">
        <f t="shared" si="184"/>
        <v>0</v>
      </c>
      <c r="AL416" s="6230" t="str" cm="1">
        <f t="array" ref="AL416">IF(AF416&lt;&gt;"A","",IFERROR((IFERROR(_xlfn.XLOOKUP(TRIM(SUBSTITUTE(U416,CHAR(160)," ")),$BJ$15:$BJ$62,$BM$15:$BM$62),IFERROR(_xlfn.XLOOKUP(TRIM(SUBSTITUTE(U416,CHAR(160)," ")),$BK$15:$BK$62,$BM$15:$BM$62),_xlfn.XLOOKUP(TRIM(SUBSTITUTE(U416,CHAR(160)," ")),$BL$15:$BL$62,$BM$15:$BM$62))))*T416*IF(ISBLANK(Q416),1,Q416)+IFERROR(_xlfn.XLOOKUP("RECHERCHEX",TRIM(L416:AD416),L416:AD416),0),0))</f>
        <v/>
      </c>
      <c r="AM416" s="6229">
        <f t="shared" si="185"/>
        <v>0</v>
      </c>
      <c r="AN416" s="6857" t="str">
        <f t="shared" si="200"/>
        <v/>
      </c>
      <c r="AO416" s="392">
        <f t="shared" si="186"/>
        <v>0</v>
      </c>
      <c r="AP416" s="392">
        <f t="shared" si="187"/>
        <v>0</v>
      </c>
      <c r="AQ416" s="6190">
        <f t="shared" si="188"/>
        <v>0</v>
      </c>
      <c r="AR416" s="6858" t="str">
        <f t="shared" si="189"/>
        <v/>
      </c>
      <c r="AS416" s="6217"/>
      <c r="AT416" s="6217"/>
      <c r="AU416" s="6271">
        <f t="shared" si="190"/>
        <v>0</v>
      </c>
      <c r="AV416" s="6242">
        <f t="shared" si="191"/>
        <v>0</v>
      </c>
      <c r="AW416" s="6188" cm="1">
        <f t="array" ref="AW416">IF(AK416&lt;&gt;1,0,IF(OR(AU416="",N(AU416)&lt;=0.000000001),"",IF(OR(AO416="",N(AO416)&lt;=0.000000001),0,IF(ISNUMBER(AU416),IFERROR(_xlfn.LET(_xlpm.ai_test,TRIM(AJ416),_xlpm.r,IFERROR(_xlfn.XLOOKUP(_xlpm.ai_test,$BJ$15:$BJ$62,ROW($BJ$15:$BJ$62),0,1),IFERROR(_xlfn.XLOOKUP(_xlpm.ai_test,$BK$15:$BK$62,ROW($BK$15:$BK$62),0,1),_xlfn.XLOOKUP(_xlpm.ai_test,$BL$15:$BL$62,ROW($BL$15:$BL$62),0,1))),_xlpm.p,_xlpm.r-MIN(ROW($BJ$15:$BJ$62))+1,_xlpm.f,INDEX($BM$15:$BM$62,_xlpm.p),_xlpm.u,INDEX($BN$15:$BN$62,_xlpm.p),_xlpm.s,INDEX($BP$15:$BP$62,_xlpm.p),_xlpm.q,N(AU416)/_xlpm.f,IF(_xlpm.q&gt;=_xlpm.s,ROUND(_xlpm.q,1)&amp;" "&amp;_xlpm.ai_test&amp;" = "&amp;ROUND(_xlpm.q*_xlpm.f,1)&amp;" "&amp;_xlpm.u,ROUND(_xlpm.q,1)&amp;" "&amp;_xlpm.ai_test)),""),""))))</f>
        <v>0</v>
      </c>
      <c r="AX416" s="6218"/>
      <c r="AY416" s="6271">
        <f t="shared" si="192"/>
        <v>0</v>
      </c>
      <c r="AZ416" s="6242" t="str">
        <f t="shared" si="193"/>
        <v/>
      </c>
      <c r="BA416" s="6194">
        <f t="shared" si="198"/>
        <v>0</v>
      </c>
      <c r="BB416" s="6192" t="str">
        <f t="shared" si="194"/>
        <v/>
      </c>
      <c r="BC416" s="6219"/>
      <c r="BD416" s="6221">
        <f t="shared" si="199"/>
        <v>0</v>
      </c>
      <c r="BE416" s="6220" t="str">
        <f t="shared" si="195"/>
        <v/>
      </c>
      <c r="BF416" s="4" t="s">
        <v>1</v>
      </c>
      <c r="BG416" s="6196">
        <f t="shared" si="196"/>
        <v>0</v>
      </c>
      <c r="BH416" s="6197">
        <f t="shared" si="197"/>
        <v>0</v>
      </c>
      <c r="BI416"/>
      <c r="BJ416" s="1"/>
      <c r="BK416" s="1"/>
      <c r="BL416" s="1"/>
      <c r="BM416" s="1"/>
      <c r="BN416" s="1"/>
      <c r="BO416" s="1"/>
      <c r="BP416" s="1"/>
      <c r="BQ416" s="1"/>
      <c r="BX416" s="20" t="str">
        <f t="shared" si="178"/>
        <v>►</v>
      </c>
      <c r="BY416" s="2"/>
      <c r="BZ416" s="2"/>
      <c r="CA416" s="2"/>
      <c r="CB416" s="2"/>
      <c r="CC416" s="2"/>
      <c r="DC416" s="5">
        <v>1</v>
      </c>
    </row>
    <row r="417" spans="12:107" ht="21" customHeight="1">
      <c r="L417" s="1021" t="s">
        <v>26</v>
      </c>
      <c r="M417" s="6787"/>
      <c r="N417" s="6787"/>
      <c r="O417" s="6787"/>
      <c r="P417" s="6788"/>
      <c r="Q417" s="6789"/>
      <c r="R417" s="6790"/>
      <c r="S417" s="6786"/>
      <c r="T417" s="6791"/>
      <c r="U417" s="6844"/>
      <c r="V417" s="6791"/>
      <c r="W417" s="6785"/>
      <c r="X417" s="6868"/>
      <c r="Y417" s="6793"/>
      <c r="Z417" s="6794"/>
      <c r="AA417" s="6795"/>
      <c r="AB417" s="6796"/>
      <c r="AC417" s="6797"/>
      <c r="AD417" s="6798"/>
      <c r="AE417" s="4" t="s">
        <v>1</v>
      </c>
      <c r="AF417" s="6202" t="str">
        <f t="shared" si="179"/>
        <v>►</v>
      </c>
      <c r="AG417" s="6234" t="str">
        <f t="shared" si="180"/>
        <v/>
      </c>
      <c r="AH417" s="6732" t="str">
        <f t="shared" si="181"/>
        <v/>
      </c>
      <c r="AI417" s="6234" t="str">
        <f t="shared" si="182"/>
        <v/>
      </c>
      <c r="AJ417" s="6732" t="str">
        <f t="shared" si="183"/>
        <v/>
      </c>
      <c r="AK417" s="6732">
        <f t="shared" si="184"/>
        <v>0</v>
      </c>
      <c r="AL417" s="6230" t="str" cm="1">
        <f t="array" ref="AL417">IF(AF417&lt;&gt;"A","",IFERROR((IFERROR(_xlfn.XLOOKUP(TRIM(SUBSTITUTE(U417,CHAR(160)," ")),$BJ$15:$BJ$62,$BM$15:$BM$62),IFERROR(_xlfn.XLOOKUP(TRIM(SUBSTITUTE(U417,CHAR(160)," ")),$BK$15:$BK$62,$BM$15:$BM$62),_xlfn.XLOOKUP(TRIM(SUBSTITUTE(U417,CHAR(160)," ")),$BL$15:$BL$62,$BM$15:$BM$62))))*T417*IF(ISBLANK(Q417),1,Q417)+IFERROR(_xlfn.XLOOKUP("RECHERCHEX",TRIM(L417:AD417),L417:AD417),0),0))</f>
        <v/>
      </c>
      <c r="AM417" s="6229">
        <f t="shared" si="185"/>
        <v>0</v>
      </c>
      <c r="AN417" s="6857" t="str">
        <f t="shared" si="200"/>
        <v/>
      </c>
      <c r="AO417" s="392">
        <f t="shared" si="186"/>
        <v>0</v>
      </c>
      <c r="AP417" s="392">
        <f t="shared" si="187"/>
        <v>0</v>
      </c>
      <c r="AQ417" s="6191">
        <f t="shared" si="188"/>
        <v>0</v>
      </c>
      <c r="AR417" s="6859" t="str">
        <f t="shared" si="189"/>
        <v/>
      </c>
      <c r="AS417" s="6217"/>
      <c r="AT417" s="6217"/>
      <c r="AU417" s="6272">
        <f t="shared" si="190"/>
        <v>0</v>
      </c>
      <c r="AV417" s="6240">
        <f t="shared" si="191"/>
        <v>0</v>
      </c>
      <c r="AW417" s="6189" cm="1">
        <f t="array" ref="AW417">IF(AK417&lt;&gt;1,0,IF(OR(AU417="",N(AU417)&lt;=0.000000001),"",IF(OR(AO417="",N(AO417)&lt;=0.000000001),0,IF(ISNUMBER(AU417),IFERROR(_xlfn.LET(_xlpm.ai_test,TRIM(AJ417),_xlpm.r,IFERROR(_xlfn.XLOOKUP(_xlpm.ai_test,$BJ$15:$BJ$62,ROW($BJ$15:$BJ$62),0,1),IFERROR(_xlfn.XLOOKUP(_xlpm.ai_test,$BK$15:$BK$62,ROW($BK$15:$BK$62),0,1),_xlfn.XLOOKUP(_xlpm.ai_test,$BL$15:$BL$62,ROW($BL$15:$BL$62),0,1))),_xlpm.p,_xlpm.r-MIN(ROW($BJ$15:$BJ$62))+1,_xlpm.f,INDEX($BM$15:$BM$62,_xlpm.p),_xlpm.u,INDEX($BN$15:$BN$62,_xlpm.p),_xlpm.s,INDEX($BP$15:$BP$62,_xlpm.p),_xlpm.q,N(AU417)/_xlpm.f,IF(_xlpm.q&gt;=_xlpm.s,ROUND(_xlpm.q,1)&amp;" "&amp;_xlpm.ai_test&amp;" = "&amp;ROUND(_xlpm.q*_xlpm.f,1)&amp;" "&amp;_xlpm.u,ROUND(_xlpm.q,1)&amp;" "&amp;_xlpm.ai_test)),""),""))))</f>
        <v>0</v>
      </c>
      <c r="AX417" s="6218"/>
      <c r="AY417" s="6272">
        <f t="shared" si="192"/>
        <v>0</v>
      </c>
      <c r="AZ417" s="6240" t="str">
        <f t="shared" si="193"/>
        <v/>
      </c>
      <c r="BA417" s="6195">
        <f t="shared" si="198"/>
        <v>0</v>
      </c>
      <c r="BB417" s="6193" t="str">
        <f t="shared" si="194"/>
        <v/>
      </c>
      <c r="BC417" s="6219"/>
      <c r="BD417" s="6222">
        <f t="shared" si="199"/>
        <v>0</v>
      </c>
      <c r="BE417" s="6220" t="str">
        <f t="shared" si="195"/>
        <v/>
      </c>
      <c r="BF417" s="4" t="s">
        <v>1</v>
      </c>
      <c r="BG417" s="6196">
        <f t="shared" si="196"/>
        <v>0</v>
      </c>
      <c r="BH417" s="6197">
        <f t="shared" si="197"/>
        <v>0</v>
      </c>
      <c r="BI417"/>
      <c r="BJ417" s="1"/>
      <c r="BK417" s="1"/>
      <c r="BL417" s="1"/>
      <c r="BM417" s="1"/>
      <c r="BN417" s="1"/>
      <c r="BO417" s="1"/>
      <c r="BP417" s="1"/>
      <c r="BQ417" s="1"/>
      <c r="BX417" s="20" t="str">
        <f t="shared" si="178"/>
        <v>►</v>
      </c>
      <c r="BY417" s="2"/>
      <c r="BZ417" s="2"/>
      <c r="CA417" s="2"/>
      <c r="CB417" s="2"/>
      <c r="CC417" s="2"/>
      <c r="DC417" s="5">
        <v>1</v>
      </c>
    </row>
    <row r="418" spans="12:107" ht="21" customHeight="1">
      <c r="L418" s="1021" t="s">
        <v>26</v>
      </c>
      <c r="M418" s="6787"/>
      <c r="N418" s="6787"/>
      <c r="O418" s="6787"/>
      <c r="P418" s="6788"/>
      <c r="Q418" s="6789"/>
      <c r="R418" s="6790"/>
      <c r="S418" s="6786"/>
      <c r="T418" s="6791"/>
      <c r="U418" s="6844"/>
      <c r="V418" s="6791"/>
      <c r="W418" s="6785"/>
      <c r="X418" s="6868"/>
      <c r="Y418" s="6793"/>
      <c r="Z418" s="6794"/>
      <c r="AA418" s="6795"/>
      <c r="AB418" s="6796"/>
      <c r="AC418" s="6797"/>
      <c r="AD418" s="6798"/>
      <c r="AE418" s="4" t="s">
        <v>1</v>
      </c>
      <c r="AF418" s="6202" t="str">
        <f t="shared" si="179"/>
        <v>►</v>
      </c>
      <c r="AG418" s="6234" t="str">
        <f t="shared" si="180"/>
        <v/>
      </c>
      <c r="AH418" s="6732" t="str">
        <f t="shared" si="181"/>
        <v/>
      </c>
      <c r="AI418" s="6234" t="str">
        <f t="shared" si="182"/>
        <v/>
      </c>
      <c r="AJ418" s="6732" t="str">
        <f t="shared" si="183"/>
        <v/>
      </c>
      <c r="AK418" s="6732">
        <f t="shared" si="184"/>
        <v>0</v>
      </c>
      <c r="AL418" s="6230" t="str" cm="1">
        <f t="array" ref="AL418">IF(AF418&lt;&gt;"A","",IFERROR((IFERROR(_xlfn.XLOOKUP(TRIM(SUBSTITUTE(U418,CHAR(160)," ")),$BJ$15:$BJ$62,$BM$15:$BM$62),IFERROR(_xlfn.XLOOKUP(TRIM(SUBSTITUTE(U418,CHAR(160)," ")),$BK$15:$BK$62,$BM$15:$BM$62),_xlfn.XLOOKUP(TRIM(SUBSTITUTE(U418,CHAR(160)," ")),$BL$15:$BL$62,$BM$15:$BM$62))))*T418*IF(ISBLANK(Q418),1,Q418)+IFERROR(_xlfn.XLOOKUP("RECHERCHEX",TRIM(L418:AD418),L418:AD418),0),0))</f>
        <v/>
      </c>
      <c r="AM418" s="6229">
        <f t="shared" si="185"/>
        <v>0</v>
      </c>
      <c r="AN418" s="6857" t="str">
        <f t="shared" si="200"/>
        <v/>
      </c>
      <c r="AO418" s="392">
        <f t="shared" si="186"/>
        <v>0</v>
      </c>
      <c r="AP418" s="392">
        <f t="shared" si="187"/>
        <v>0</v>
      </c>
      <c r="AQ418" s="6190">
        <f t="shared" si="188"/>
        <v>0</v>
      </c>
      <c r="AR418" s="6858" t="str">
        <f t="shared" si="189"/>
        <v/>
      </c>
      <c r="AS418" s="6217"/>
      <c r="AT418" s="6217"/>
      <c r="AU418" s="6271">
        <f t="shared" si="190"/>
        <v>0</v>
      </c>
      <c r="AV418" s="6242">
        <f t="shared" si="191"/>
        <v>0</v>
      </c>
      <c r="AW418" s="6188" cm="1">
        <f t="array" ref="AW418">IF(AK418&lt;&gt;1,0,IF(OR(AU418="",N(AU418)&lt;=0.000000001),"",IF(OR(AO418="",N(AO418)&lt;=0.000000001),0,IF(ISNUMBER(AU418),IFERROR(_xlfn.LET(_xlpm.ai_test,TRIM(AJ418),_xlpm.r,IFERROR(_xlfn.XLOOKUP(_xlpm.ai_test,$BJ$15:$BJ$62,ROW($BJ$15:$BJ$62),0,1),IFERROR(_xlfn.XLOOKUP(_xlpm.ai_test,$BK$15:$BK$62,ROW($BK$15:$BK$62),0,1),_xlfn.XLOOKUP(_xlpm.ai_test,$BL$15:$BL$62,ROW($BL$15:$BL$62),0,1))),_xlpm.p,_xlpm.r-MIN(ROW($BJ$15:$BJ$62))+1,_xlpm.f,INDEX($BM$15:$BM$62,_xlpm.p),_xlpm.u,INDEX($BN$15:$BN$62,_xlpm.p),_xlpm.s,INDEX($BP$15:$BP$62,_xlpm.p),_xlpm.q,N(AU418)/_xlpm.f,IF(_xlpm.q&gt;=_xlpm.s,ROUND(_xlpm.q,1)&amp;" "&amp;_xlpm.ai_test&amp;" = "&amp;ROUND(_xlpm.q*_xlpm.f,1)&amp;" "&amp;_xlpm.u,ROUND(_xlpm.q,1)&amp;" "&amp;_xlpm.ai_test)),""),""))))</f>
        <v>0</v>
      </c>
      <c r="AX418" s="6218"/>
      <c r="AY418" s="6271">
        <f t="shared" si="192"/>
        <v>0</v>
      </c>
      <c r="AZ418" s="6242" t="str">
        <f t="shared" si="193"/>
        <v/>
      </c>
      <c r="BA418" s="6194">
        <f t="shared" si="198"/>
        <v>0</v>
      </c>
      <c r="BB418" s="6192" t="str">
        <f t="shared" si="194"/>
        <v/>
      </c>
      <c r="BC418" s="6219"/>
      <c r="BD418" s="6221">
        <f t="shared" si="199"/>
        <v>0</v>
      </c>
      <c r="BE418" s="6220" t="str">
        <f t="shared" si="195"/>
        <v/>
      </c>
      <c r="BF418" s="4" t="s">
        <v>1</v>
      </c>
      <c r="BG418" s="6196">
        <f t="shared" si="196"/>
        <v>0</v>
      </c>
      <c r="BH418" s="6197">
        <f t="shared" si="197"/>
        <v>0</v>
      </c>
      <c r="BI418"/>
      <c r="BJ418" s="1"/>
      <c r="BK418" s="1"/>
      <c r="BL418" s="1"/>
      <c r="BM418" s="1"/>
      <c r="BN418" s="1"/>
      <c r="BO418" s="1"/>
      <c r="BP418" s="1"/>
      <c r="BQ418" s="1"/>
      <c r="BX418" s="20" t="str">
        <f t="shared" si="178"/>
        <v>►</v>
      </c>
      <c r="BY418" s="2"/>
      <c r="BZ418" s="2"/>
      <c r="CA418" s="2"/>
      <c r="CB418" s="2"/>
      <c r="CC418" s="2"/>
      <c r="DC418" s="5">
        <v>1</v>
      </c>
    </row>
    <row r="419" spans="12:107" ht="21" customHeight="1">
      <c r="L419" s="1021" t="s">
        <v>26</v>
      </c>
      <c r="M419" s="6787"/>
      <c r="N419" s="6787"/>
      <c r="O419" s="6787"/>
      <c r="P419" s="6788"/>
      <c r="Q419" s="6789"/>
      <c r="R419" s="6790"/>
      <c r="S419" s="6786"/>
      <c r="T419" s="6791"/>
      <c r="U419" s="6844"/>
      <c r="V419" s="6791"/>
      <c r="W419" s="6785"/>
      <c r="X419" s="6868"/>
      <c r="Y419" s="6793"/>
      <c r="Z419" s="6794"/>
      <c r="AA419" s="6795"/>
      <c r="AB419" s="6796"/>
      <c r="AC419" s="6797"/>
      <c r="AD419" s="6798"/>
      <c r="AE419" s="4" t="s">
        <v>1</v>
      </c>
      <c r="AF419" s="6202" t="str">
        <f t="shared" si="179"/>
        <v>►</v>
      </c>
      <c r="AG419" s="6234" t="str">
        <f t="shared" si="180"/>
        <v/>
      </c>
      <c r="AH419" s="6732" t="str">
        <f t="shared" si="181"/>
        <v/>
      </c>
      <c r="AI419" s="6234" t="str">
        <f t="shared" si="182"/>
        <v/>
      </c>
      <c r="AJ419" s="6732" t="str">
        <f t="shared" si="183"/>
        <v/>
      </c>
      <c r="AK419" s="6732">
        <f t="shared" si="184"/>
        <v>0</v>
      </c>
      <c r="AL419" s="6230" t="str" cm="1">
        <f t="array" ref="AL419">IF(AF419&lt;&gt;"A","",IFERROR((IFERROR(_xlfn.XLOOKUP(TRIM(SUBSTITUTE(U419,CHAR(160)," ")),$BJ$15:$BJ$62,$BM$15:$BM$62),IFERROR(_xlfn.XLOOKUP(TRIM(SUBSTITUTE(U419,CHAR(160)," ")),$BK$15:$BK$62,$BM$15:$BM$62),_xlfn.XLOOKUP(TRIM(SUBSTITUTE(U419,CHAR(160)," ")),$BL$15:$BL$62,$BM$15:$BM$62))))*T419*IF(ISBLANK(Q419),1,Q419)+IFERROR(_xlfn.XLOOKUP("RECHERCHEX",TRIM(L419:AD419),L419:AD419),0),0))</f>
        <v/>
      </c>
      <c r="AM419" s="6229">
        <f t="shared" si="185"/>
        <v>0</v>
      </c>
      <c r="AN419" s="6857" t="str">
        <f t="shared" si="200"/>
        <v/>
      </c>
      <c r="AO419" s="392">
        <f t="shared" si="186"/>
        <v>0</v>
      </c>
      <c r="AP419" s="392">
        <f t="shared" si="187"/>
        <v>0</v>
      </c>
      <c r="AQ419" s="6191">
        <f t="shared" si="188"/>
        <v>0</v>
      </c>
      <c r="AR419" s="6859" t="str">
        <f t="shared" si="189"/>
        <v/>
      </c>
      <c r="AS419" s="6217"/>
      <c r="AT419" s="6217"/>
      <c r="AU419" s="6272">
        <f t="shared" si="190"/>
        <v>0</v>
      </c>
      <c r="AV419" s="6240">
        <f t="shared" si="191"/>
        <v>0</v>
      </c>
      <c r="AW419" s="6189" cm="1">
        <f t="array" ref="AW419">IF(AK419&lt;&gt;1,0,IF(OR(AU419="",N(AU419)&lt;=0.000000001),"",IF(OR(AO419="",N(AO419)&lt;=0.000000001),0,IF(ISNUMBER(AU419),IFERROR(_xlfn.LET(_xlpm.ai_test,TRIM(AJ419),_xlpm.r,IFERROR(_xlfn.XLOOKUP(_xlpm.ai_test,$BJ$15:$BJ$62,ROW($BJ$15:$BJ$62),0,1),IFERROR(_xlfn.XLOOKUP(_xlpm.ai_test,$BK$15:$BK$62,ROW($BK$15:$BK$62),0,1),_xlfn.XLOOKUP(_xlpm.ai_test,$BL$15:$BL$62,ROW($BL$15:$BL$62),0,1))),_xlpm.p,_xlpm.r-MIN(ROW($BJ$15:$BJ$62))+1,_xlpm.f,INDEX($BM$15:$BM$62,_xlpm.p),_xlpm.u,INDEX($BN$15:$BN$62,_xlpm.p),_xlpm.s,INDEX($BP$15:$BP$62,_xlpm.p),_xlpm.q,N(AU419)/_xlpm.f,IF(_xlpm.q&gt;=_xlpm.s,ROUND(_xlpm.q,1)&amp;" "&amp;_xlpm.ai_test&amp;" = "&amp;ROUND(_xlpm.q*_xlpm.f,1)&amp;" "&amp;_xlpm.u,ROUND(_xlpm.q,1)&amp;" "&amp;_xlpm.ai_test)),""),""))))</f>
        <v>0</v>
      </c>
      <c r="AX419" s="6218"/>
      <c r="AY419" s="6272">
        <f t="shared" si="192"/>
        <v>0</v>
      </c>
      <c r="AZ419" s="6240" t="str">
        <f t="shared" si="193"/>
        <v/>
      </c>
      <c r="BA419" s="6195">
        <f t="shared" si="198"/>
        <v>0</v>
      </c>
      <c r="BB419" s="6193" t="str">
        <f t="shared" si="194"/>
        <v/>
      </c>
      <c r="BC419" s="6219"/>
      <c r="BD419" s="6222">
        <f t="shared" si="199"/>
        <v>0</v>
      </c>
      <c r="BE419" s="6220" t="str">
        <f t="shared" si="195"/>
        <v/>
      </c>
      <c r="BF419" s="4" t="s">
        <v>1</v>
      </c>
      <c r="BG419" s="6196">
        <f t="shared" si="196"/>
        <v>0</v>
      </c>
      <c r="BH419" s="6197">
        <f t="shared" si="197"/>
        <v>0</v>
      </c>
      <c r="BI419"/>
      <c r="BJ419" s="1"/>
      <c r="BK419" s="1"/>
      <c r="BL419" s="1"/>
      <c r="BM419" s="1"/>
      <c r="BN419" s="1"/>
      <c r="BO419" s="1"/>
      <c r="BP419" s="1"/>
      <c r="BQ419" s="1"/>
      <c r="BX419" s="20" t="str">
        <f t="shared" si="178"/>
        <v>►</v>
      </c>
      <c r="BY419" s="2"/>
      <c r="BZ419" s="2"/>
      <c r="CA419" s="2"/>
      <c r="CB419" s="2"/>
      <c r="CC419" s="2"/>
      <c r="DC419" s="5">
        <v>1</v>
      </c>
    </row>
    <row r="420" spans="12:107" ht="21" customHeight="1">
      <c r="L420" s="1021" t="s">
        <v>26</v>
      </c>
      <c r="M420" s="6787"/>
      <c r="N420" s="6787"/>
      <c r="O420" s="6787"/>
      <c r="P420" s="6788"/>
      <c r="Q420" s="6789"/>
      <c r="R420" s="6790"/>
      <c r="S420" s="6786"/>
      <c r="T420" s="6791"/>
      <c r="U420" s="6844"/>
      <c r="V420" s="6791"/>
      <c r="W420" s="6785"/>
      <c r="X420" s="6868"/>
      <c r="Y420" s="6793"/>
      <c r="Z420" s="6794"/>
      <c r="AA420" s="6795"/>
      <c r="AB420" s="6796"/>
      <c r="AC420" s="6797"/>
      <c r="AD420" s="6798"/>
      <c r="AE420" s="4" t="s">
        <v>1</v>
      </c>
      <c r="AF420" s="6202" t="str">
        <f t="shared" si="179"/>
        <v>►</v>
      </c>
      <c r="AG420" s="6234" t="str">
        <f t="shared" si="180"/>
        <v/>
      </c>
      <c r="AH420" s="6732" t="str">
        <f t="shared" si="181"/>
        <v/>
      </c>
      <c r="AI420" s="6234" t="str">
        <f t="shared" si="182"/>
        <v/>
      </c>
      <c r="AJ420" s="6732" t="str">
        <f t="shared" si="183"/>
        <v/>
      </c>
      <c r="AK420" s="6732">
        <f t="shared" si="184"/>
        <v>0</v>
      </c>
      <c r="AL420" s="6230" t="str" cm="1">
        <f t="array" ref="AL420">IF(AF420&lt;&gt;"A","",IFERROR((IFERROR(_xlfn.XLOOKUP(TRIM(SUBSTITUTE(U420,CHAR(160)," ")),$BJ$15:$BJ$62,$BM$15:$BM$62),IFERROR(_xlfn.XLOOKUP(TRIM(SUBSTITUTE(U420,CHAR(160)," ")),$BK$15:$BK$62,$BM$15:$BM$62),_xlfn.XLOOKUP(TRIM(SUBSTITUTE(U420,CHAR(160)," ")),$BL$15:$BL$62,$BM$15:$BM$62))))*T420*IF(ISBLANK(Q420),1,Q420)+IFERROR(_xlfn.XLOOKUP("RECHERCHEX",TRIM(L420:AD420),L420:AD420),0),0))</f>
        <v/>
      </c>
      <c r="AM420" s="6229">
        <f t="shared" si="185"/>
        <v>0</v>
      </c>
      <c r="AN420" s="6857" t="str">
        <f t="shared" si="200"/>
        <v/>
      </c>
      <c r="AO420" s="392">
        <f t="shared" si="186"/>
        <v>0</v>
      </c>
      <c r="AP420" s="392">
        <f t="shared" si="187"/>
        <v>0</v>
      </c>
      <c r="AQ420" s="6190">
        <f t="shared" si="188"/>
        <v>0</v>
      </c>
      <c r="AR420" s="6858" t="str">
        <f t="shared" si="189"/>
        <v/>
      </c>
      <c r="AS420" s="6217"/>
      <c r="AT420" s="6217"/>
      <c r="AU420" s="6271">
        <f t="shared" si="190"/>
        <v>0</v>
      </c>
      <c r="AV420" s="6242">
        <f t="shared" si="191"/>
        <v>0</v>
      </c>
      <c r="AW420" s="6188" cm="1">
        <f t="array" ref="AW420">IF(AK420&lt;&gt;1,0,IF(OR(AU420="",N(AU420)&lt;=0.000000001),"",IF(OR(AO420="",N(AO420)&lt;=0.000000001),0,IF(ISNUMBER(AU420),IFERROR(_xlfn.LET(_xlpm.ai_test,TRIM(AJ420),_xlpm.r,IFERROR(_xlfn.XLOOKUP(_xlpm.ai_test,$BJ$15:$BJ$62,ROW($BJ$15:$BJ$62),0,1),IFERROR(_xlfn.XLOOKUP(_xlpm.ai_test,$BK$15:$BK$62,ROW($BK$15:$BK$62),0,1),_xlfn.XLOOKUP(_xlpm.ai_test,$BL$15:$BL$62,ROW($BL$15:$BL$62),0,1))),_xlpm.p,_xlpm.r-MIN(ROW($BJ$15:$BJ$62))+1,_xlpm.f,INDEX($BM$15:$BM$62,_xlpm.p),_xlpm.u,INDEX($BN$15:$BN$62,_xlpm.p),_xlpm.s,INDEX($BP$15:$BP$62,_xlpm.p),_xlpm.q,N(AU420)/_xlpm.f,IF(_xlpm.q&gt;=_xlpm.s,ROUND(_xlpm.q,1)&amp;" "&amp;_xlpm.ai_test&amp;" = "&amp;ROUND(_xlpm.q*_xlpm.f,1)&amp;" "&amp;_xlpm.u,ROUND(_xlpm.q,1)&amp;" "&amp;_xlpm.ai_test)),""),""))))</f>
        <v>0</v>
      </c>
      <c r="AX420" s="6218"/>
      <c r="AY420" s="6271">
        <f t="shared" si="192"/>
        <v>0</v>
      </c>
      <c r="AZ420" s="6242" t="str">
        <f t="shared" si="193"/>
        <v/>
      </c>
      <c r="BA420" s="6194">
        <f t="shared" si="198"/>
        <v>0</v>
      </c>
      <c r="BB420" s="6192" t="str">
        <f t="shared" si="194"/>
        <v/>
      </c>
      <c r="BC420" s="6219"/>
      <c r="BD420" s="6221">
        <f t="shared" si="199"/>
        <v>0</v>
      </c>
      <c r="BE420" s="6220" t="str">
        <f t="shared" si="195"/>
        <v/>
      </c>
      <c r="BF420" s="4" t="s">
        <v>1</v>
      </c>
      <c r="BG420" s="6196">
        <f t="shared" si="196"/>
        <v>0</v>
      </c>
      <c r="BH420" s="6197">
        <f t="shared" si="197"/>
        <v>0</v>
      </c>
      <c r="BI420"/>
      <c r="BJ420" s="1"/>
      <c r="BK420" s="1"/>
      <c r="BL420" s="1"/>
      <c r="BM420" s="1"/>
      <c r="BN420" s="1"/>
      <c r="BO420" s="1"/>
      <c r="BP420" s="1"/>
      <c r="BQ420" s="1"/>
      <c r="BX420" s="20" t="str">
        <f t="shared" si="178"/>
        <v>►</v>
      </c>
      <c r="BY420" s="2"/>
      <c r="BZ420" s="2"/>
      <c r="CA420" s="2"/>
      <c r="CB420" s="2"/>
      <c r="CC420" s="2"/>
      <c r="DC420" s="5">
        <v>1</v>
      </c>
    </row>
    <row r="421" spans="12:107" ht="21" customHeight="1">
      <c r="L421" s="1021" t="s">
        <v>26</v>
      </c>
      <c r="M421" s="6787"/>
      <c r="N421" s="6787"/>
      <c r="O421" s="6787"/>
      <c r="P421" s="6788"/>
      <c r="Q421" s="6789"/>
      <c r="R421" s="6790"/>
      <c r="S421" s="6786"/>
      <c r="T421" s="6791"/>
      <c r="U421" s="6844"/>
      <c r="V421" s="6791"/>
      <c r="W421" s="6785"/>
      <c r="X421" s="6868"/>
      <c r="Y421" s="6793"/>
      <c r="Z421" s="6794"/>
      <c r="AA421" s="6795"/>
      <c r="AB421" s="6796"/>
      <c r="AC421" s="6797"/>
      <c r="AD421" s="6798"/>
      <c r="AE421" s="4" t="s">
        <v>1</v>
      </c>
      <c r="AF421" s="6202" t="str">
        <f t="shared" si="179"/>
        <v>►</v>
      </c>
      <c r="AG421" s="6234" t="str">
        <f t="shared" si="180"/>
        <v/>
      </c>
      <c r="AH421" s="6732" t="str">
        <f t="shared" si="181"/>
        <v/>
      </c>
      <c r="AI421" s="6234" t="str">
        <f t="shared" si="182"/>
        <v/>
      </c>
      <c r="AJ421" s="6732" t="str">
        <f t="shared" si="183"/>
        <v/>
      </c>
      <c r="AK421" s="6732">
        <f t="shared" si="184"/>
        <v>0</v>
      </c>
      <c r="AL421" s="6230" t="str" cm="1">
        <f t="array" ref="AL421">IF(AF421&lt;&gt;"A","",IFERROR((IFERROR(_xlfn.XLOOKUP(TRIM(SUBSTITUTE(U421,CHAR(160)," ")),$BJ$15:$BJ$62,$BM$15:$BM$62),IFERROR(_xlfn.XLOOKUP(TRIM(SUBSTITUTE(U421,CHAR(160)," ")),$BK$15:$BK$62,$BM$15:$BM$62),_xlfn.XLOOKUP(TRIM(SUBSTITUTE(U421,CHAR(160)," ")),$BL$15:$BL$62,$BM$15:$BM$62))))*T421*IF(ISBLANK(Q421),1,Q421)+IFERROR(_xlfn.XLOOKUP("RECHERCHEX",TRIM(L421:AD421),L421:AD421),0),0))</f>
        <v/>
      </c>
      <c r="AM421" s="6229">
        <f t="shared" si="185"/>
        <v>0</v>
      </c>
      <c r="AN421" s="6857" t="str">
        <f t="shared" si="200"/>
        <v/>
      </c>
      <c r="AO421" s="392">
        <f t="shared" si="186"/>
        <v>0</v>
      </c>
      <c r="AP421" s="392">
        <f t="shared" si="187"/>
        <v>0</v>
      </c>
      <c r="AQ421" s="6191">
        <f t="shared" si="188"/>
        <v>0</v>
      </c>
      <c r="AR421" s="6859" t="str">
        <f t="shared" si="189"/>
        <v/>
      </c>
      <c r="AS421" s="6217"/>
      <c r="AT421" s="6217"/>
      <c r="AU421" s="6272">
        <f t="shared" si="190"/>
        <v>0</v>
      </c>
      <c r="AV421" s="6240">
        <f t="shared" si="191"/>
        <v>0</v>
      </c>
      <c r="AW421" s="6189" cm="1">
        <f t="array" ref="AW421">IF(AK421&lt;&gt;1,0,IF(OR(AU421="",N(AU421)&lt;=0.000000001),"",IF(OR(AO421="",N(AO421)&lt;=0.000000001),0,IF(ISNUMBER(AU421),IFERROR(_xlfn.LET(_xlpm.ai_test,TRIM(AJ421),_xlpm.r,IFERROR(_xlfn.XLOOKUP(_xlpm.ai_test,$BJ$15:$BJ$62,ROW($BJ$15:$BJ$62),0,1),IFERROR(_xlfn.XLOOKUP(_xlpm.ai_test,$BK$15:$BK$62,ROW($BK$15:$BK$62),0,1),_xlfn.XLOOKUP(_xlpm.ai_test,$BL$15:$BL$62,ROW($BL$15:$BL$62),0,1))),_xlpm.p,_xlpm.r-MIN(ROW($BJ$15:$BJ$62))+1,_xlpm.f,INDEX($BM$15:$BM$62,_xlpm.p),_xlpm.u,INDEX($BN$15:$BN$62,_xlpm.p),_xlpm.s,INDEX($BP$15:$BP$62,_xlpm.p),_xlpm.q,N(AU421)/_xlpm.f,IF(_xlpm.q&gt;=_xlpm.s,ROUND(_xlpm.q,1)&amp;" "&amp;_xlpm.ai_test&amp;" = "&amp;ROUND(_xlpm.q*_xlpm.f,1)&amp;" "&amp;_xlpm.u,ROUND(_xlpm.q,1)&amp;" "&amp;_xlpm.ai_test)),""),""))))</f>
        <v>0</v>
      </c>
      <c r="AX421" s="6218"/>
      <c r="AY421" s="6272">
        <f t="shared" si="192"/>
        <v>0</v>
      </c>
      <c r="AZ421" s="6240" t="str">
        <f t="shared" si="193"/>
        <v/>
      </c>
      <c r="BA421" s="6195">
        <f t="shared" si="198"/>
        <v>0</v>
      </c>
      <c r="BB421" s="6193" t="str">
        <f t="shared" si="194"/>
        <v/>
      </c>
      <c r="BC421" s="6219"/>
      <c r="BD421" s="6222">
        <f t="shared" si="199"/>
        <v>0</v>
      </c>
      <c r="BE421" s="6220" t="str">
        <f t="shared" si="195"/>
        <v/>
      </c>
      <c r="BF421" s="4" t="s">
        <v>1</v>
      </c>
      <c r="BG421" s="6196">
        <f t="shared" si="196"/>
        <v>0</v>
      </c>
      <c r="BH421" s="6197">
        <f t="shared" si="197"/>
        <v>0</v>
      </c>
      <c r="BI421"/>
      <c r="BJ421" s="1"/>
      <c r="BK421" s="1"/>
      <c r="BL421" s="1"/>
      <c r="BM421" s="1"/>
      <c r="BN421" s="1"/>
      <c r="BO421" s="1"/>
      <c r="BP421" s="1"/>
      <c r="BQ421" s="1"/>
      <c r="BX421" s="20" t="str">
        <f t="shared" si="178"/>
        <v>►</v>
      </c>
      <c r="BY421" s="2"/>
      <c r="BZ421" s="2"/>
      <c r="CA421" s="2"/>
      <c r="CB421" s="2"/>
      <c r="CC421" s="2"/>
      <c r="DC421" s="5">
        <v>1</v>
      </c>
    </row>
    <row r="422" spans="12:107" ht="21" customHeight="1">
      <c r="L422" s="1021" t="s">
        <v>26</v>
      </c>
      <c r="M422" s="6787"/>
      <c r="N422" s="6787"/>
      <c r="O422" s="6787"/>
      <c r="P422" s="6788"/>
      <c r="Q422" s="6789"/>
      <c r="R422" s="6790"/>
      <c r="S422" s="6786"/>
      <c r="T422" s="6791"/>
      <c r="U422" s="6844"/>
      <c r="V422" s="6791"/>
      <c r="W422" s="6785"/>
      <c r="X422" s="6868"/>
      <c r="Y422" s="6793"/>
      <c r="Z422" s="6794"/>
      <c r="AA422" s="6795"/>
      <c r="AB422" s="6796"/>
      <c r="AC422" s="6797"/>
      <c r="AD422" s="6798"/>
      <c r="AE422" s="4" t="s">
        <v>1</v>
      </c>
      <c r="AF422" s="6202" t="str">
        <f t="shared" si="179"/>
        <v>►</v>
      </c>
      <c r="AG422" s="6234" t="str">
        <f t="shared" si="180"/>
        <v/>
      </c>
      <c r="AH422" s="6732" t="str">
        <f t="shared" si="181"/>
        <v/>
      </c>
      <c r="AI422" s="6234" t="str">
        <f t="shared" si="182"/>
        <v/>
      </c>
      <c r="AJ422" s="6732" t="str">
        <f t="shared" si="183"/>
        <v/>
      </c>
      <c r="AK422" s="6732">
        <f t="shared" si="184"/>
        <v>0</v>
      </c>
      <c r="AL422" s="6230" t="str" cm="1">
        <f t="array" ref="AL422">IF(AF422&lt;&gt;"A","",IFERROR((IFERROR(_xlfn.XLOOKUP(TRIM(SUBSTITUTE(U422,CHAR(160)," ")),$BJ$15:$BJ$62,$BM$15:$BM$62),IFERROR(_xlfn.XLOOKUP(TRIM(SUBSTITUTE(U422,CHAR(160)," ")),$BK$15:$BK$62,$BM$15:$BM$62),_xlfn.XLOOKUP(TRIM(SUBSTITUTE(U422,CHAR(160)," ")),$BL$15:$BL$62,$BM$15:$BM$62))))*T422*IF(ISBLANK(Q422),1,Q422)+IFERROR(_xlfn.XLOOKUP("RECHERCHEX",TRIM(L422:AD422),L422:AD422),0),0))</f>
        <v/>
      </c>
      <c r="AM422" s="6229">
        <f t="shared" si="185"/>
        <v>0</v>
      </c>
      <c r="AN422" s="6857" t="str">
        <f t="shared" si="200"/>
        <v/>
      </c>
      <c r="AO422" s="392">
        <f t="shared" si="186"/>
        <v>0</v>
      </c>
      <c r="AP422" s="392">
        <f t="shared" si="187"/>
        <v>0</v>
      </c>
      <c r="AQ422" s="6190">
        <f t="shared" si="188"/>
        <v>0</v>
      </c>
      <c r="AR422" s="6858" t="str">
        <f t="shared" si="189"/>
        <v/>
      </c>
      <c r="AS422" s="6217"/>
      <c r="AT422" s="6217"/>
      <c r="AU422" s="6271">
        <f t="shared" si="190"/>
        <v>0</v>
      </c>
      <c r="AV422" s="6242">
        <f t="shared" si="191"/>
        <v>0</v>
      </c>
      <c r="AW422" s="6188" cm="1">
        <f t="array" ref="AW422">IF(AK422&lt;&gt;1,0,IF(OR(AU422="",N(AU422)&lt;=0.000000001),"",IF(OR(AO422="",N(AO422)&lt;=0.000000001),0,IF(ISNUMBER(AU422),IFERROR(_xlfn.LET(_xlpm.ai_test,TRIM(AJ422),_xlpm.r,IFERROR(_xlfn.XLOOKUP(_xlpm.ai_test,$BJ$15:$BJ$62,ROW($BJ$15:$BJ$62),0,1),IFERROR(_xlfn.XLOOKUP(_xlpm.ai_test,$BK$15:$BK$62,ROW($BK$15:$BK$62),0,1),_xlfn.XLOOKUP(_xlpm.ai_test,$BL$15:$BL$62,ROW($BL$15:$BL$62),0,1))),_xlpm.p,_xlpm.r-MIN(ROW($BJ$15:$BJ$62))+1,_xlpm.f,INDEX($BM$15:$BM$62,_xlpm.p),_xlpm.u,INDEX($BN$15:$BN$62,_xlpm.p),_xlpm.s,INDEX($BP$15:$BP$62,_xlpm.p),_xlpm.q,N(AU422)/_xlpm.f,IF(_xlpm.q&gt;=_xlpm.s,ROUND(_xlpm.q,1)&amp;" "&amp;_xlpm.ai_test&amp;" = "&amp;ROUND(_xlpm.q*_xlpm.f,1)&amp;" "&amp;_xlpm.u,ROUND(_xlpm.q,1)&amp;" "&amp;_xlpm.ai_test)),""),""))))</f>
        <v>0</v>
      </c>
      <c r="AX422" s="6218"/>
      <c r="AY422" s="6271">
        <f t="shared" si="192"/>
        <v>0</v>
      </c>
      <c r="AZ422" s="6242" t="str">
        <f t="shared" si="193"/>
        <v/>
      </c>
      <c r="BA422" s="6194">
        <f t="shared" si="198"/>
        <v>0</v>
      </c>
      <c r="BB422" s="6192" t="str">
        <f t="shared" si="194"/>
        <v/>
      </c>
      <c r="BC422" s="6219"/>
      <c r="BD422" s="6221">
        <f t="shared" si="199"/>
        <v>0</v>
      </c>
      <c r="BE422" s="6220" t="str">
        <f t="shared" si="195"/>
        <v/>
      </c>
      <c r="BF422" s="4" t="s">
        <v>1</v>
      </c>
      <c r="BG422" s="6196">
        <f t="shared" si="196"/>
        <v>0</v>
      </c>
      <c r="BH422" s="6197">
        <f t="shared" si="197"/>
        <v>0</v>
      </c>
      <c r="BI422"/>
      <c r="BJ422" s="1"/>
      <c r="BK422" s="1"/>
      <c r="BL422" s="1"/>
      <c r="BM422" s="1"/>
      <c r="BN422" s="1"/>
      <c r="BO422" s="1"/>
      <c r="BP422" s="1"/>
      <c r="BQ422" s="1"/>
      <c r="BX422" s="20" t="str">
        <f t="shared" si="178"/>
        <v>►</v>
      </c>
      <c r="BY422" s="2"/>
      <c r="BZ422" s="2"/>
      <c r="CA422" s="2"/>
      <c r="CB422" s="2"/>
      <c r="CC422" s="2"/>
      <c r="DC422" s="5">
        <v>1</v>
      </c>
    </row>
    <row r="423" spans="12:107" ht="21" customHeight="1">
      <c r="L423" s="1021" t="s">
        <v>26</v>
      </c>
      <c r="M423" s="6787"/>
      <c r="N423" s="6787"/>
      <c r="O423" s="6787"/>
      <c r="P423" s="6788"/>
      <c r="Q423" s="6789"/>
      <c r="R423" s="6790"/>
      <c r="S423" s="6786"/>
      <c r="T423" s="6791"/>
      <c r="U423" s="6844"/>
      <c r="V423" s="6791"/>
      <c r="W423" s="6785"/>
      <c r="X423" s="6868"/>
      <c r="Y423" s="6793"/>
      <c r="Z423" s="6794"/>
      <c r="AA423" s="6795"/>
      <c r="AB423" s="6796"/>
      <c r="AC423" s="6797"/>
      <c r="AD423" s="6798"/>
      <c r="AE423" s="4" t="s">
        <v>1</v>
      </c>
      <c r="AF423" s="6202" t="str">
        <f t="shared" si="179"/>
        <v>►</v>
      </c>
      <c r="AG423" s="6234" t="str">
        <f t="shared" si="180"/>
        <v/>
      </c>
      <c r="AH423" s="6732" t="str">
        <f t="shared" si="181"/>
        <v/>
      </c>
      <c r="AI423" s="6234" t="str">
        <f t="shared" si="182"/>
        <v/>
      </c>
      <c r="AJ423" s="6732" t="str">
        <f t="shared" si="183"/>
        <v/>
      </c>
      <c r="AK423" s="6732">
        <f t="shared" si="184"/>
        <v>0</v>
      </c>
      <c r="AL423" s="6230" t="str" cm="1">
        <f t="array" ref="AL423">IF(AF423&lt;&gt;"A","",IFERROR((IFERROR(_xlfn.XLOOKUP(TRIM(SUBSTITUTE(U423,CHAR(160)," ")),$BJ$15:$BJ$62,$BM$15:$BM$62),IFERROR(_xlfn.XLOOKUP(TRIM(SUBSTITUTE(U423,CHAR(160)," ")),$BK$15:$BK$62,$BM$15:$BM$62),_xlfn.XLOOKUP(TRIM(SUBSTITUTE(U423,CHAR(160)," ")),$BL$15:$BL$62,$BM$15:$BM$62))))*T423*IF(ISBLANK(Q423),1,Q423)+IFERROR(_xlfn.XLOOKUP("RECHERCHEX",TRIM(L423:AD423),L423:AD423),0),0))</f>
        <v/>
      </c>
      <c r="AM423" s="6229">
        <f t="shared" si="185"/>
        <v>0</v>
      </c>
      <c r="AN423" s="6857" t="str">
        <f t="shared" si="200"/>
        <v/>
      </c>
      <c r="AO423" s="392">
        <f t="shared" si="186"/>
        <v>0</v>
      </c>
      <c r="AP423" s="392">
        <f t="shared" si="187"/>
        <v>0</v>
      </c>
      <c r="AQ423" s="6191">
        <f t="shared" si="188"/>
        <v>0</v>
      </c>
      <c r="AR423" s="6859" t="str">
        <f t="shared" si="189"/>
        <v/>
      </c>
      <c r="AS423" s="6217"/>
      <c r="AT423" s="6217"/>
      <c r="AU423" s="6272">
        <f t="shared" si="190"/>
        <v>0</v>
      </c>
      <c r="AV423" s="6240">
        <f t="shared" si="191"/>
        <v>0</v>
      </c>
      <c r="AW423" s="6189" cm="1">
        <f t="array" ref="AW423">IF(AK423&lt;&gt;1,0,IF(OR(AU423="",N(AU423)&lt;=0.000000001),"",IF(OR(AO423="",N(AO423)&lt;=0.000000001),0,IF(ISNUMBER(AU423),IFERROR(_xlfn.LET(_xlpm.ai_test,TRIM(AJ423),_xlpm.r,IFERROR(_xlfn.XLOOKUP(_xlpm.ai_test,$BJ$15:$BJ$62,ROW($BJ$15:$BJ$62),0,1),IFERROR(_xlfn.XLOOKUP(_xlpm.ai_test,$BK$15:$BK$62,ROW($BK$15:$BK$62),0,1),_xlfn.XLOOKUP(_xlpm.ai_test,$BL$15:$BL$62,ROW($BL$15:$BL$62),0,1))),_xlpm.p,_xlpm.r-MIN(ROW($BJ$15:$BJ$62))+1,_xlpm.f,INDEX($BM$15:$BM$62,_xlpm.p),_xlpm.u,INDEX($BN$15:$BN$62,_xlpm.p),_xlpm.s,INDEX($BP$15:$BP$62,_xlpm.p),_xlpm.q,N(AU423)/_xlpm.f,IF(_xlpm.q&gt;=_xlpm.s,ROUND(_xlpm.q,1)&amp;" "&amp;_xlpm.ai_test&amp;" = "&amp;ROUND(_xlpm.q*_xlpm.f,1)&amp;" "&amp;_xlpm.u,ROUND(_xlpm.q,1)&amp;" "&amp;_xlpm.ai_test)),""),""))))</f>
        <v>0</v>
      </c>
      <c r="AX423" s="6218"/>
      <c r="AY423" s="6272">
        <f t="shared" si="192"/>
        <v>0</v>
      </c>
      <c r="AZ423" s="6240" t="str">
        <f t="shared" si="193"/>
        <v/>
      </c>
      <c r="BA423" s="6195">
        <f t="shared" si="198"/>
        <v>0</v>
      </c>
      <c r="BB423" s="6193" t="str">
        <f t="shared" si="194"/>
        <v/>
      </c>
      <c r="BC423" s="6219"/>
      <c r="BD423" s="6222">
        <f t="shared" si="199"/>
        <v>0</v>
      </c>
      <c r="BE423" s="6220" t="str">
        <f t="shared" si="195"/>
        <v/>
      </c>
      <c r="BF423" s="4" t="s">
        <v>1</v>
      </c>
      <c r="BG423" s="6196">
        <f t="shared" si="196"/>
        <v>0</v>
      </c>
      <c r="BH423" s="6197">
        <f t="shared" si="197"/>
        <v>0</v>
      </c>
      <c r="BI423"/>
      <c r="BJ423" s="1"/>
      <c r="BK423" s="1"/>
      <c r="BL423" s="1"/>
      <c r="BM423" s="1"/>
      <c r="BN423" s="1"/>
      <c r="BO423" s="1"/>
      <c r="BP423" s="1"/>
      <c r="BQ423" s="1"/>
      <c r="BX423" s="20" t="str">
        <f t="shared" si="178"/>
        <v>►</v>
      </c>
      <c r="BY423" s="2"/>
      <c r="BZ423" s="2"/>
      <c r="CA423" s="2"/>
      <c r="CB423" s="2"/>
      <c r="CC423" s="2"/>
      <c r="DC423" s="5">
        <v>1</v>
      </c>
    </row>
    <row r="424" spans="12:107" ht="21" customHeight="1">
      <c r="L424" s="1021" t="s">
        <v>26</v>
      </c>
      <c r="M424" s="6787"/>
      <c r="N424" s="6787"/>
      <c r="O424" s="6787"/>
      <c r="P424" s="6788"/>
      <c r="Q424" s="6789"/>
      <c r="R424" s="6790"/>
      <c r="S424" s="6786"/>
      <c r="T424" s="6791"/>
      <c r="U424" s="6844"/>
      <c r="V424" s="6791"/>
      <c r="W424" s="6785"/>
      <c r="X424" s="6868"/>
      <c r="Y424" s="6793"/>
      <c r="Z424" s="6794"/>
      <c r="AA424" s="6795"/>
      <c r="AB424" s="6796"/>
      <c r="AC424" s="6797"/>
      <c r="AD424" s="6798"/>
      <c r="AE424" s="4" t="s">
        <v>1</v>
      </c>
      <c r="AF424" s="6202" t="str">
        <f t="shared" si="179"/>
        <v>►</v>
      </c>
      <c r="AG424" s="6234" t="str">
        <f t="shared" si="180"/>
        <v/>
      </c>
      <c r="AH424" s="6732" t="str">
        <f t="shared" si="181"/>
        <v/>
      </c>
      <c r="AI424" s="6234" t="str">
        <f t="shared" si="182"/>
        <v/>
      </c>
      <c r="AJ424" s="6732" t="str">
        <f t="shared" si="183"/>
        <v/>
      </c>
      <c r="AK424" s="6732">
        <f t="shared" si="184"/>
        <v>0</v>
      </c>
      <c r="AL424" s="6230" t="str" cm="1">
        <f t="array" ref="AL424">IF(AF424&lt;&gt;"A","",IFERROR((IFERROR(_xlfn.XLOOKUP(TRIM(SUBSTITUTE(U424,CHAR(160)," ")),$BJ$15:$BJ$62,$BM$15:$BM$62),IFERROR(_xlfn.XLOOKUP(TRIM(SUBSTITUTE(U424,CHAR(160)," ")),$BK$15:$BK$62,$BM$15:$BM$62),_xlfn.XLOOKUP(TRIM(SUBSTITUTE(U424,CHAR(160)," ")),$BL$15:$BL$62,$BM$15:$BM$62))))*T424*IF(ISBLANK(Q424),1,Q424)+IFERROR(_xlfn.XLOOKUP("RECHERCHEX",TRIM(L424:AD424),L424:AD424),0),0))</f>
        <v/>
      </c>
      <c r="AM424" s="6229">
        <f t="shared" si="185"/>
        <v>0</v>
      </c>
      <c r="AN424" s="6857" t="str">
        <f t="shared" si="200"/>
        <v/>
      </c>
      <c r="AO424" s="392">
        <f t="shared" si="186"/>
        <v>0</v>
      </c>
      <c r="AP424" s="392">
        <f t="shared" si="187"/>
        <v>0</v>
      </c>
      <c r="AQ424" s="6190">
        <f t="shared" si="188"/>
        <v>0</v>
      </c>
      <c r="AR424" s="6858" t="str">
        <f t="shared" si="189"/>
        <v/>
      </c>
      <c r="AS424" s="6217"/>
      <c r="AT424" s="6217"/>
      <c r="AU424" s="6271">
        <f t="shared" si="190"/>
        <v>0</v>
      </c>
      <c r="AV424" s="6242">
        <f t="shared" si="191"/>
        <v>0</v>
      </c>
      <c r="AW424" s="6188" cm="1">
        <f t="array" ref="AW424">IF(AK424&lt;&gt;1,0,IF(OR(AU424="",N(AU424)&lt;=0.000000001),"",IF(OR(AO424="",N(AO424)&lt;=0.000000001),0,IF(ISNUMBER(AU424),IFERROR(_xlfn.LET(_xlpm.ai_test,TRIM(AJ424),_xlpm.r,IFERROR(_xlfn.XLOOKUP(_xlpm.ai_test,$BJ$15:$BJ$62,ROW($BJ$15:$BJ$62),0,1),IFERROR(_xlfn.XLOOKUP(_xlpm.ai_test,$BK$15:$BK$62,ROW($BK$15:$BK$62),0,1),_xlfn.XLOOKUP(_xlpm.ai_test,$BL$15:$BL$62,ROW($BL$15:$BL$62),0,1))),_xlpm.p,_xlpm.r-MIN(ROW($BJ$15:$BJ$62))+1,_xlpm.f,INDEX($BM$15:$BM$62,_xlpm.p),_xlpm.u,INDEX($BN$15:$BN$62,_xlpm.p),_xlpm.s,INDEX($BP$15:$BP$62,_xlpm.p),_xlpm.q,N(AU424)/_xlpm.f,IF(_xlpm.q&gt;=_xlpm.s,ROUND(_xlpm.q,1)&amp;" "&amp;_xlpm.ai_test&amp;" = "&amp;ROUND(_xlpm.q*_xlpm.f,1)&amp;" "&amp;_xlpm.u,ROUND(_xlpm.q,1)&amp;" "&amp;_xlpm.ai_test)),""),""))))</f>
        <v>0</v>
      </c>
      <c r="AX424" s="6218"/>
      <c r="AY424" s="6271">
        <f t="shared" si="192"/>
        <v>0</v>
      </c>
      <c r="AZ424" s="6242" t="str">
        <f t="shared" si="193"/>
        <v/>
      </c>
      <c r="BA424" s="6194">
        <f t="shared" si="198"/>
        <v>0</v>
      </c>
      <c r="BB424" s="6192" t="str">
        <f t="shared" si="194"/>
        <v/>
      </c>
      <c r="BC424" s="6219"/>
      <c r="BD424" s="6221">
        <f t="shared" si="199"/>
        <v>0</v>
      </c>
      <c r="BE424" s="6220" t="str">
        <f t="shared" si="195"/>
        <v/>
      </c>
      <c r="BF424" s="4" t="s">
        <v>1</v>
      </c>
      <c r="BG424" s="6196">
        <f t="shared" si="196"/>
        <v>0</v>
      </c>
      <c r="BH424" s="6197">
        <f t="shared" si="197"/>
        <v>0</v>
      </c>
      <c r="BI424"/>
      <c r="BJ424" s="1"/>
      <c r="BK424" s="1"/>
      <c r="BL424" s="1"/>
      <c r="BM424" s="1"/>
      <c r="BN424" s="1"/>
      <c r="BO424" s="1"/>
      <c r="BP424" s="1"/>
      <c r="BQ424" s="1"/>
      <c r="BX424" s="20" t="str">
        <f t="shared" si="178"/>
        <v>►</v>
      </c>
      <c r="BY424" s="2"/>
      <c r="BZ424" s="2"/>
      <c r="CA424" s="2"/>
      <c r="CB424" s="2"/>
      <c r="CC424" s="2"/>
      <c r="DC424" s="5">
        <v>1</v>
      </c>
    </row>
    <row r="425" spans="12:107" ht="21" customHeight="1">
      <c r="L425" s="1021" t="s">
        <v>26</v>
      </c>
      <c r="M425" s="6787"/>
      <c r="N425" s="6787"/>
      <c r="O425" s="6787"/>
      <c r="P425" s="6788"/>
      <c r="Q425" s="6789"/>
      <c r="R425" s="6790"/>
      <c r="S425" s="6786"/>
      <c r="T425" s="6791"/>
      <c r="U425" s="6844"/>
      <c r="V425" s="6791"/>
      <c r="W425" s="6785"/>
      <c r="X425" s="6868"/>
      <c r="Y425" s="6793"/>
      <c r="Z425" s="6794"/>
      <c r="AA425" s="6795"/>
      <c r="AB425" s="6796"/>
      <c r="AC425" s="6797"/>
      <c r="AD425" s="6798"/>
      <c r="AE425" s="4" t="s">
        <v>1</v>
      </c>
      <c r="AF425" s="6202" t="str">
        <f t="shared" si="179"/>
        <v>►</v>
      </c>
      <c r="AG425" s="6234" t="str">
        <f t="shared" si="180"/>
        <v/>
      </c>
      <c r="AH425" s="6732" t="str">
        <f t="shared" si="181"/>
        <v/>
      </c>
      <c r="AI425" s="6234" t="str">
        <f t="shared" si="182"/>
        <v/>
      </c>
      <c r="AJ425" s="6732" t="str">
        <f t="shared" si="183"/>
        <v/>
      </c>
      <c r="AK425" s="6732">
        <f t="shared" si="184"/>
        <v>0</v>
      </c>
      <c r="AL425" s="6230" t="str" cm="1">
        <f t="array" ref="AL425">IF(AF425&lt;&gt;"A","",IFERROR((IFERROR(_xlfn.XLOOKUP(TRIM(SUBSTITUTE(U425,CHAR(160)," ")),$BJ$15:$BJ$62,$BM$15:$BM$62),IFERROR(_xlfn.XLOOKUP(TRIM(SUBSTITUTE(U425,CHAR(160)," ")),$BK$15:$BK$62,$BM$15:$BM$62),_xlfn.XLOOKUP(TRIM(SUBSTITUTE(U425,CHAR(160)," ")),$BL$15:$BL$62,$BM$15:$BM$62))))*T425*IF(ISBLANK(Q425),1,Q425)+IFERROR(_xlfn.XLOOKUP("RECHERCHEX",TRIM(L425:AD425),L425:AD425),0),0))</f>
        <v/>
      </c>
      <c r="AM425" s="6229">
        <f t="shared" si="185"/>
        <v>0</v>
      </c>
      <c r="AN425" s="6857" t="str">
        <f t="shared" si="200"/>
        <v/>
      </c>
      <c r="AO425" s="392">
        <f t="shared" si="186"/>
        <v>0</v>
      </c>
      <c r="AP425" s="392">
        <f t="shared" si="187"/>
        <v>0</v>
      </c>
      <c r="AQ425" s="6191">
        <f t="shared" si="188"/>
        <v>0</v>
      </c>
      <c r="AR425" s="6859" t="str">
        <f t="shared" si="189"/>
        <v/>
      </c>
      <c r="AS425" s="6217"/>
      <c r="AT425" s="6217"/>
      <c r="AU425" s="6272">
        <f t="shared" si="190"/>
        <v>0</v>
      </c>
      <c r="AV425" s="6240">
        <f t="shared" si="191"/>
        <v>0</v>
      </c>
      <c r="AW425" s="6189" cm="1">
        <f t="array" ref="AW425">IF(AK425&lt;&gt;1,0,IF(OR(AU425="",N(AU425)&lt;=0.000000001),"",IF(OR(AO425="",N(AO425)&lt;=0.000000001),0,IF(ISNUMBER(AU425),IFERROR(_xlfn.LET(_xlpm.ai_test,TRIM(AJ425),_xlpm.r,IFERROR(_xlfn.XLOOKUP(_xlpm.ai_test,$BJ$15:$BJ$62,ROW($BJ$15:$BJ$62),0,1),IFERROR(_xlfn.XLOOKUP(_xlpm.ai_test,$BK$15:$BK$62,ROW($BK$15:$BK$62),0,1),_xlfn.XLOOKUP(_xlpm.ai_test,$BL$15:$BL$62,ROW($BL$15:$BL$62),0,1))),_xlpm.p,_xlpm.r-MIN(ROW($BJ$15:$BJ$62))+1,_xlpm.f,INDEX($BM$15:$BM$62,_xlpm.p),_xlpm.u,INDEX($BN$15:$BN$62,_xlpm.p),_xlpm.s,INDEX($BP$15:$BP$62,_xlpm.p),_xlpm.q,N(AU425)/_xlpm.f,IF(_xlpm.q&gt;=_xlpm.s,ROUND(_xlpm.q,1)&amp;" "&amp;_xlpm.ai_test&amp;" = "&amp;ROUND(_xlpm.q*_xlpm.f,1)&amp;" "&amp;_xlpm.u,ROUND(_xlpm.q,1)&amp;" "&amp;_xlpm.ai_test)),""),""))))</f>
        <v>0</v>
      </c>
      <c r="AX425" s="6218"/>
      <c r="AY425" s="6272">
        <f t="shared" si="192"/>
        <v>0</v>
      </c>
      <c r="AZ425" s="6240" t="str">
        <f t="shared" si="193"/>
        <v/>
      </c>
      <c r="BA425" s="6195">
        <f t="shared" si="198"/>
        <v>0</v>
      </c>
      <c r="BB425" s="6193" t="str">
        <f t="shared" si="194"/>
        <v/>
      </c>
      <c r="BC425" s="6219"/>
      <c r="BD425" s="6222">
        <f t="shared" si="199"/>
        <v>0</v>
      </c>
      <c r="BE425" s="6220" t="str">
        <f t="shared" si="195"/>
        <v/>
      </c>
      <c r="BF425" s="4" t="s">
        <v>1</v>
      </c>
      <c r="BG425" s="6196">
        <f t="shared" si="196"/>
        <v>0</v>
      </c>
      <c r="BH425" s="6197">
        <f t="shared" si="197"/>
        <v>0</v>
      </c>
      <c r="BI425"/>
      <c r="BJ425" s="1"/>
      <c r="BK425" s="1"/>
      <c r="BL425" s="1"/>
      <c r="BM425" s="1"/>
      <c r="BN425" s="1"/>
      <c r="BO425" s="1"/>
      <c r="BP425" s="1"/>
      <c r="BQ425" s="1"/>
      <c r="BX425" s="20" t="str">
        <f t="shared" si="178"/>
        <v>►</v>
      </c>
      <c r="BY425" s="2"/>
      <c r="BZ425" s="2"/>
      <c r="CA425" s="2"/>
      <c r="CB425" s="2"/>
      <c r="CC425" s="2"/>
      <c r="DC425" s="5">
        <v>1</v>
      </c>
    </row>
    <row r="426" spans="12:107" ht="21" customHeight="1">
      <c r="L426" s="1021" t="s">
        <v>26</v>
      </c>
      <c r="M426" s="6787"/>
      <c r="N426" s="6787"/>
      <c r="O426" s="6787"/>
      <c r="P426" s="6788"/>
      <c r="Q426" s="6789"/>
      <c r="R426" s="6790"/>
      <c r="S426" s="6786"/>
      <c r="T426" s="6791"/>
      <c r="U426" s="6844"/>
      <c r="V426" s="6791"/>
      <c r="W426" s="6785"/>
      <c r="X426" s="6868"/>
      <c r="Y426" s="6793"/>
      <c r="Z426" s="6794"/>
      <c r="AA426" s="6795"/>
      <c r="AB426" s="6796"/>
      <c r="AC426" s="6797"/>
      <c r="AD426" s="6798"/>
      <c r="AE426" s="4" t="s">
        <v>1</v>
      </c>
      <c r="AF426" s="6202" t="str">
        <f t="shared" si="179"/>
        <v>►</v>
      </c>
      <c r="AG426" s="6234" t="str">
        <f t="shared" si="180"/>
        <v/>
      </c>
      <c r="AH426" s="6732" t="str">
        <f t="shared" si="181"/>
        <v/>
      </c>
      <c r="AI426" s="6234" t="str">
        <f t="shared" si="182"/>
        <v/>
      </c>
      <c r="AJ426" s="6732" t="str">
        <f t="shared" si="183"/>
        <v/>
      </c>
      <c r="AK426" s="6732">
        <f t="shared" si="184"/>
        <v>0</v>
      </c>
      <c r="AL426" s="6230" t="str" cm="1">
        <f t="array" ref="AL426">IF(AF426&lt;&gt;"A","",IFERROR((IFERROR(_xlfn.XLOOKUP(TRIM(SUBSTITUTE(U426,CHAR(160)," ")),$BJ$15:$BJ$62,$BM$15:$BM$62),IFERROR(_xlfn.XLOOKUP(TRIM(SUBSTITUTE(U426,CHAR(160)," ")),$BK$15:$BK$62,$BM$15:$BM$62),_xlfn.XLOOKUP(TRIM(SUBSTITUTE(U426,CHAR(160)," ")),$BL$15:$BL$62,$BM$15:$BM$62))))*T426*IF(ISBLANK(Q426),1,Q426)+IFERROR(_xlfn.XLOOKUP("RECHERCHEX",TRIM(L426:AD426),L426:AD426),0),0))</f>
        <v/>
      </c>
      <c r="AM426" s="6229">
        <f t="shared" si="185"/>
        <v>0</v>
      </c>
      <c r="AN426" s="6857" t="str">
        <f t="shared" si="200"/>
        <v/>
      </c>
      <c r="AO426" s="392">
        <f t="shared" si="186"/>
        <v>0</v>
      </c>
      <c r="AP426" s="392">
        <f t="shared" si="187"/>
        <v>0</v>
      </c>
      <c r="AQ426" s="6190">
        <f t="shared" si="188"/>
        <v>0</v>
      </c>
      <c r="AR426" s="6858" t="str">
        <f t="shared" si="189"/>
        <v/>
      </c>
      <c r="AS426" s="6217"/>
      <c r="AT426" s="6217"/>
      <c r="AU426" s="6271">
        <f t="shared" si="190"/>
        <v>0</v>
      </c>
      <c r="AV426" s="6242">
        <f t="shared" si="191"/>
        <v>0</v>
      </c>
      <c r="AW426" s="6188" cm="1">
        <f t="array" ref="AW426">IF(AK426&lt;&gt;1,0,IF(OR(AU426="",N(AU426)&lt;=0.000000001),"",IF(OR(AO426="",N(AO426)&lt;=0.000000001),0,IF(ISNUMBER(AU426),IFERROR(_xlfn.LET(_xlpm.ai_test,TRIM(AJ426),_xlpm.r,IFERROR(_xlfn.XLOOKUP(_xlpm.ai_test,$BJ$15:$BJ$62,ROW($BJ$15:$BJ$62),0,1),IFERROR(_xlfn.XLOOKUP(_xlpm.ai_test,$BK$15:$BK$62,ROW($BK$15:$BK$62),0,1),_xlfn.XLOOKUP(_xlpm.ai_test,$BL$15:$BL$62,ROW($BL$15:$BL$62),0,1))),_xlpm.p,_xlpm.r-MIN(ROW($BJ$15:$BJ$62))+1,_xlpm.f,INDEX($BM$15:$BM$62,_xlpm.p),_xlpm.u,INDEX($BN$15:$BN$62,_xlpm.p),_xlpm.s,INDEX($BP$15:$BP$62,_xlpm.p),_xlpm.q,N(AU426)/_xlpm.f,IF(_xlpm.q&gt;=_xlpm.s,ROUND(_xlpm.q,1)&amp;" "&amp;_xlpm.ai_test&amp;" = "&amp;ROUND(_xlpm.q*_xlpm.f,1)&amp;" "&amp;_xlpm.u,ROUND(_xlpm.q,1)&amp;" "&amp;_xlpm.ai_test)),""),""))))</f>
        <v>0</v>
      </c>
      <c r="AX426" s="6218"/>
      <c r="AY426" s="6271">
        <f t="shared" si="192"/>
        <v>0</v>
      </c>
      <c r="AZ426" s="6242" t="str">
        <f t="shared" si="193"/>
        <v/>
      </c>
      <c r="BA426" s="6194">
        <f t="shared" si="198"/>
        <v>0</v>
      </c>
      <c r="BB426" s="6192" t="str">
        <f t="shared" si="194"/>
        <v/>
      </c>
      <c r="BC426" s="6219"/>
      <c r="BD426" s="6221">
        <f t="shared" si="199"/>
        <v>0</v>
      </c>
      <c r="BE426" s="6220" t="str">
        <f t="shared" si="195"/>
        <v/>
      </c>
      <c r="BF426" s="4" t="s">
        <v>1</v>
      </c>
      <c r="BG426" s="6196">
        <f t="shared" si="196"/>
        <v>0</v>
      </c>
      <c r="BH426" s="6197">
        <f t="shared" si="197"/>
        <v>0</v>
      </c>
      <c r="BI426"/>
      <c r="BJ426" s="1"/>
      <c r="BK426" s="1"/>
      <c r="BL426" s="1"/>
      <c r="BM426" s="1"/>
      <c r="BN426" s="1"/>
      <c r="BO426" s="1"/>
      <c r="BP426" s="1"/>
      <c r="BQ426" s="1"/>
      <c r="BX426" s="20" t="str">
        <f t="shared" si="178"/>
        <v>►</v>
      </c>
      <c r="BY426" s="2"/>
      <c r="BZ426" s="2"/>
      <c r="CA426" s="2"/>
      <c r="CB426" s="2"/>
      <c r="CC426" s="2"/>
      <c r="DC426" s="5">
        <v>1</v>
      </c>
    </row>
    <row r="427" spans="12:107" ht="21" customHeight="1">
      <c r="L427" s="1021" t="s">
        <v>26</v>
      </c>
      <c r="M427" s="6787"/>
      <c r="N427" s="6787"/>
      <c r="O427" s="6787"/>
      <c r="P427" s="6788"/>
      <c r="Q427" s="6789"/>
      <c r="R427" s="6790"/>
      <c r="S427" s="6786"/>
      <c r="T427" s="6791"/>
      <c r="U427" s="6844"/>
      <c r="V427" s="6791"/>
      <c r="W427" s="6785"/>
      <c r="X427" s="6868"/>
      <c r="Y427" s="6793"/>
      <c r="Z427" s="6794"/>
      <c r="AA427" s="6795"/>
      <c r="AB427" s="6796"/>
      <c r="AC427" s="6797"/>
      <c r="AD427" s="6798"/>
      <c r="AE427" s="4" t="s">
        <v>1</v>
      </c>
      <c r="AF427" s="6202" t="str">
        <f t="shared" si="179"/>
        <v>►</v>
      </c>
      <c r="AG427" s="6234" t="str">
        <f t="shared" si="180"/>
        <v/>
      </c>
      <c r="AH427" s="6732" t="str">
        <f t="shared" si="181"/>
        <v/>
      </c>
      <c r="AI427" s="6234" t="str">
        <f t="shared" si="182"/>
        <v/>
      </c>
      <c r="AJ427" s="6732" t="str">
        <f t="shared" si="183"/>
        <v/>
      </c>
      <c r="AK427" s="6732">
        <f t="shared" si="184"/>
        <v>0</v>
      </c>
      <c r="AL427" s="6230" t="str" cm="1">
        <f t="array" ref="AL427">IF(AF427&lt;&gt;"A","",IFERROR((IFERROR(_xlfn.XLOOKUP(TRIM(SUBSTITUTE(U427,CHAR(160)," ")),$BJ$15:$BJ$62,$BM$15:$BM$62),IFERROR(_xlfn.XLOOKUP(TRIM(SUBSTITUTE(U427,CHAR(160)," ")),$BK$15:$BK$62,$BM$15:$BM$62),_xlfn.XLOOKUP(TRIM(SUBSTITUTE(U427,CHAR(160)," ")),$BL$15:$BL$62,$BM$15:$BM$62))))*T427*IF(ISBLANK(Q427),1,Q427)+IFERROR(_xlfn.XLOOKUP("RECHERCHEX",TRIM(L427:AD427),L427:AD427),0),0))</f>
        <v/>
      </c>
      <c r="AM427" s="6229">
        <f t="shared" si="185"/>
        <v>0</v>
      </c>
      <c r="AN427" s="6857" t="str">
        <f t="shared" si="200"/>
        <v/>
      </c>
      <c r="AO427" s="392">
        <f t="shared" si="186"/>
        <v>0</v>
      </c>
      <c r="AP427" s="392">
        <f t="shared" si="187"/>
        <v>0</v>
      </c>
      <c r="AQ427" s="6191">
        <f t="shared" si="188"/>
        <v>0</v>
      </c>
      <c r="AR427" s="6859" t="str">
        <f t="shared" si="189"/>
        <v/>
      </c>
      <c r="AS427" s="6217"/>
      <c r="AT427" s="6217"/>
      <c r="AU427" s="6272">
        <f t="shared" si="190"/>
        <v>0</v>
      </c>
      <c r="AV427" s="6240">
        <f t="shared" si="191"/>
        <v>0</v>
      </c>
      <c r="AW427" s="6189" cm="1">
        <f t="array" ref="AW427">IF(AK427&lt;&gt;1,0,IF(OR(AU427="",N(AU427)&lt;=0.000000001),"",IF(OR(AO427="",N(AO427)&lt;=0.000000001),0,IF(ISNUMBER(AU427),IFERROR(_xlfn.LET(_xlpm.ai_test,TRIM(AJ427),_xlpm.r,IFERROR(_xlfn.XLOOKUP(_xlpm.ai_test,$BJ$15:$BJ$62,ROW($BJ$15:$BJ$62),0,1),IFERROR(_xlfn.XLOOKUP(_xlpm.ai_test,$BK$15:$BK$62,ROW($BK$15:$BK$62),0,1),_xlfn.XLOOKUP(_xlpm.ai_test,$BL$15:$BL$62,ROW($BL$15:$BL$62),0,1))),_xlpm.p,_xlpm.r-MIN(ROW($BJ$15:$BJ$62))+1,_xlpm.f,INDEX($BM$15:$BM$62,_xlpm.p),_xlpm.u,INDEX($BN$15:$BN$62,_xlpm.p),_xlpm.s,INDEX($BP$15:$BP$62,_xlpm.p),_xlpm.q,N(AU427)/_xlpm.f,IF(_xlpm.q&gt;=_xlpm.s,ROUND(_xlpm.q,1)&amp;" "&amp;_xlpm.ai_test&amp;" = "&amp;ROUND(_xlpm.q*_xlpm.f,1)&amp;" "&amp;_xlpm.u,ROUND(_xlpm.q,1)&amp;" "&amp;_xlpm.ai_test)),""),""))))</f>
        <v>0</v>
      </c>
      <c r="AX427" s="6218"/>
      <c r="AY427" s="6272">
        <f t="shared" si="192"/>
        <v>0</v>
      </c>
      <c r="AZ427" s="6240" t="str">
        <f t="shared" si="193"/>
        <v/>
      </c>
      <c r="BA427" s="6195">
        <f t="shared" si="198"/>
        <v>0</v>
      </c>
      <c r="BB427" s="6193" t="str">
        <f t="shared" si="194"/>
        <v/>
      </c>
      <c r="BC427" s="6219"/>
      <c r="BD427" s="6222">
        <f t="shared" si="199"/>
        <v>0</v>
      </c>
      <c r="BE427" s="6220" t="str">
        <f t="shared" si="195"/>
        <v/>
      </c>
      <c r="BF427" s="4" t="s">
        <v>1</v>
      </c>
      <c r="BG427" s="6196">
        <f t="shared" si="196"/>
        <v>0</v>
      </c>
      <c r="BH427" s="6197">
        <f t="shared" si="197"/>
        <v>0</v>
      </c>
      <c r="BI427"/>
      <c r="BJ427" s="1"/>
      <c r="BK427" s="1"/>
      <c r="BL427" s="1"/>
      <c r="BM427" s="1"/>
      <c r="BN427" s="1"/>
      <c r="BO427" s="1"/>
      <c r="BP427" s="1"/>
      <c r="BQ427" s="1"/>
      <c r="BX427" s="20" t="str">
        <f t="shared" si="178"/>
        <v>►</v>
      </c>
      <c r="BY427" s="2"/>
      <c r="BZ427" s="2"/>
      <c r="CA427" s="2"/>
      <c r="CB427" s="2"/>
      <c r="CC427" s="2"/>
      <c r="DC427" s="5">
        <v>1</v>
      </c>
    </row>
    <row r="428" spans="12:107" ht="21" customHeight="1">
      <c r="L428" s="1021" t="s">
        <v>26</v>
      </c>
      <c r="M428" s="6787"/>
      <c r="N428" s="6787"/>
      <c r="O428" s="6787"/>
      <c r="P428" s="6788"/>
      <c r="Q428" s="6789"/>
      <c r="R428" s="6790"/>
      <c r="S428" s="6786"/>
      <c r="T428" s="6791"/>
      <c r="U428" s="6844"/>
      <c r="V428" s="6791"/>
      <c r="W428" s="6785"/>
      <c r="X428" s="6868"/>
      <c r="Y428" s="6793"/>
      <c r="Z428" s="6794"/>
      <c r="AA428" s="6795"/>
      <c r="AB428" s="6796"/>
      <c r="AC428" s="6797"/>
      <c r="AD428" s="6798"/>
      <c r="AE428" s="4" t="s">
        <v>1</v>
      </c>
      <c r="AF428" s="6202" t="str">
        <f t="shared" si="179"/>
        <v>►</v>
      </c>
      <c r="AG428" s="6234" t="str">
        <f t="shared" si="180"/>
        <v/>
      </c>
      <c r="AH428" s="6732" t="str">
        <f t="shared" si="181"/>
        <v/>
      </c>
      <c r="AI428" s="6234" t="str">
        <f t="shared" si="182"/>
        <v/>
      </c>
      <c r="AJ428" s="6732" t="str">
        <f t="shared" si="183"/>
        <v/>
      </c>
      <c r="AK428" s="6732">
        <f t="shared" si="184"/>
        <v>0</v>
      </c>
      <c r="AL428" s="6230" t="str" cm="1">
        <f t="array" ref="AL428">IF(AF428&lt;&gt;"A","",IFERROR((IFERROR(_xlfn.XLOOKUP(TRIM(SUBSTITUTE(U428,CHAR(160)," ")),$BJ$15:$BJ$62,$BM$15:$BM$62),IFERROR(_xlfn.XLOOKUP(TRIM(SUBSTITUTE(U428,CHAR(160)," ")),$BK$15:$BK$62,$BM$15:$BM$62),_xlfn.XLOOKUP(TRIM(SUBSTITUTE(U428,CHAR(160)," ")),$BL$15:$BL$62,$BM$15:$BM$62))))*T428*IF(ISBLANK(Q428),1,Q428)+IFERROR(_xlfn.XLOOKUP("RECHERCHEX",TRIM(L428:AD428),L428:AD428),0),0))</f>
        <v/>
      </c>
      <c r="AM428" s="6229">
        <f t="shared" si="185"/>
        <v>0</v>
      </c>
      <c r="AN428" s="6857" t="str">
        <f t="shared" si="200"/>
        <v/>
      </c>
      <c r="AO428" s="392">
        <f t="shared" si="186"/>
        <v>0</v>
      </c>
      <c r="AP428" s="392">
        <f t="shared" si="187"/>
        <v>0</v>
      </c>
      <c r="AQ428" s="6190">
        <f t="shared" si="188"/>
        <v>0</v>
      </c>
      <c r="AR428" s="6858" t="str">
        <f t="shared" si="189"/>
        <v/>
      </c>
      <c r="AS428" s="6217"/>
      <c r="AT428" s="6217"/>
      <c r="AU428" s="6271">
        <f t="shared" si="190"/>
        <v>0</v>
      </c>
      <c r="AV428" s="6242">
        <f t="shared" si="191"/>
        <v>0</v>
      </c>
      <c r="AW428" s="6188" cm="1">
        <f t="array" ref="AW428">IF(AK428&lt;&gt;1,0,IF(OR(AU428="",N(AU428)&lt;=0.000000001),"",IF(OR(AO428="",N(AO428)&lt;=0.000000001),0,IF(ISNUMBER(AU428),IFERROR(_xlfn.LET(_xlpm.ai_test,TRIM(AJ428),_xlpm.r,IFERROR(_xlfn.XLOOKUP(_xlpm.ai_test,$BJ$15:$BJ$62,ROW($BJ$15:$BJ$62),0,1),IFERROR(_xlfn.XLOOKUP(_xlpm.ai_test,$BK$15:$BK$62,ROW($BK$15:$BK$62),0,1),_xlfn.XLOOKUP(_xlpm.ai_test,$BL$15:$BL$62,ROW($BL$15:$BL$62),0,1))),_xlpm.p,_xlpm.r-MIN(ROW($BJ$15:$BJ$62))+1,_xlpm.f,INDEX($BM$15:$BM$62,_xlpm.p),_xlpm.u,INDEX($BN$15:$BN$62,_xlpm.p),_xlpm.s,INDEX($BP$15:$BP$62,_xlpm.p),_xlpm.q,N(AU428)/_xlpm.f,IF(_xlpm.q&gt;=_xlpm.s,ROUND(_xlpm.q,1)&amp;" "&amp;_xlpm.ai_test&amp;" = "&amp;ROUND(_xlpm.q*_xlpm.f,1)&amp;" "&amp;_xlpm.u,ROUND(_xlpm.q,1)&amp;" "&amp;_xlpm.ai_test)),""),""))))</f>
        <v>0</v>
      </c>
      <c r="AX428" s="6218"/>
      <c r="AY428" s="6271">
        <f t="shared" si="192"/>
        <v>0</v>
      </c>
      <c r="AZ428" s="6242" t="str">
        <f t="shared" si="193"/>
        <v/>
      </c>
      <c r="BA428" s="6194">
        <f t="shared" si="198"/>
        <v>0</v>
      </c>
      <c r="BB428" s="6192" t="str">
        <f t="shared" si="194"/>
        <v/>
      </c>
      <c r="BC428" s="6219"/>
      <c r="BD428" s="6221">
        <f t="shared" si="199"/>
        <v>0</v>
      </c>
      <c r="BE428" s="6220" t="str">
        <f t="shared" si="195"/>
        <v/>
      </c>
      <c r="BF428" s="4" t="s">
        <v>1</v>
      </c>
      <c r="BG428" s="6196">
        <f t="shared" si="196"/>
        <v>0</v>
      </c>
      <c r="BH428" s="6197">
        <f t="shared" si="197"/>
        <v>0</v>
      </c>
      <c r="BI428"/>
      <c r="BJ428" s="1"/>
      <c r="BK428" s="1"/>
      <c r="BL428" s="1"/>
      <c r="BM428" s="1"/>
      <c r="BN428" s="1"/>
      <c r="BO428" s="1"/>
      <c r="BP428" s="1"/>
      <c r="BQ428" s="1"/>
      <c r="BX428" s="20" t="str">
        <f t="shared" si="178"/>
        <v>►</v>
      </c>
      <c r="BY428" s="2"/>
      <c r="BZ428" s="2"/>
      <c r="CA428" s="2"/>
      <c r="CB428" s="2"/>
      <c r="CC428" s="2"/>
      <c r="DC428" s="5">
        <v>1</v>
      </c>
    </row>
    <row r="429" spans="12:107" ht="21" customHeight="1">
      <c r="L429" s="1021" t="s">
        <v>26</v>
      </c>
      <c r="M429" s="6787"/>
      <c r="N429" s="6787"/>
      <c r="O429" s="6787"/>
      <c r="P429" s="6788"/>
      <c r="Q429" s="6789"/>
      <c r="R429" s="6790"/>
      <c r="S429" s="6786"/>
      <c r="T429" s="6791"/>
      <c r="U429" s="6844"/>
      <c r="V429" s="6791"/>
      <c r="W429" s="6785"/>
      <c r="X429" s="6868"/>
      <c r="Y429" s="6793"/>
      <c r="Z429" s="6794"/>
      <c r="AA429" s="6795"/>
      <c r="AB429" s="6796"/>
      <c r="AC429" s="6797"/>
      <c r="AD429" s="6798"/>
      <c r="AE429" s="4" t="s">
        <v>1</v>
      </c>
      <c r="AF429" s="6202" t="str">
        <f t="shared" si="179"/>
        <v>►</v>
      </c>
      <c r="AG429" s="6234" t="str">
        <f t="shared" si="180"/>
        <v/>
      </c>
      <c r="AH429" s="6732" t="str">
        <f t="shared" si="181"/>
        <v/>
      </c>
      <c r="AI429" s="6234" t="str">
        <f t="shared" si="182"/>
        <v/>
      </c>
      <c r="AJ429" s="6732" t="str">
        <f t="shared" si="183"/>
        <v/>
      </c>
      <c r="AK429" s="6732">
        <f t="shared" si="184"/>
        <v>0</v>
      </c>
      <c r="AL429" s="6230" t="str" cm="1">
        <f t="array" ref="AL429">IF(AF429&lt;&gt;"A","",IFERROR((IFERROR(_xlfn.XLOOKUP(TRIM(SUBSTITUTE(U429,CHAR(160)," ")),$BJ$15:$BJ$62,$BM$15:$BM$62),IFERROR(_xlfn.XLOOKUP(TRIM(SUBSTITUTE(U429,CHAR(160)," ")),$BK$15:$BK$62,$BM$15:$BM$62),_xlfn.XLOOKUP(TRIM(SUBSTITUTE(U429,CHAR(160)," ")),$BL$15:$BL$62,$BM$15:$BM$62))))*T429*IF(ISBLANK(Q429),1,Q429)+IFERROR(_xlfn.XLOOKUP("RECHERCHEX",TRIM(L429:AD429),L429:AD429),0),0))</f>
        <v/>
      </c>
      <c r="AM429" s="6229">
        <f t="shared" si="185"/>
        <v>0</v>
      </c>
      <c r="AN429" s="6857" t="str">
        <f t="shared" si="200"/>
        <v/>
      </c>
      <c r="AO429" s="392">
        <f t="shared" si="186"/>
        <v>0</v>
      </c>
      <c r="AP429" s="392">
        <f t="shared" si="187"/>
        <v>0</v>
      </c>
      <c r="AQ429" s="6191">
        <f t="shared" si="188"/>
        <v>0</v>
      </c>
      <c r="AR429" s="6859" t="str">
        <f t="shared" si="189"/>
        <v/>
      </c>
      <c r="AS429" s="6217"/>
      <c r="AT429" s="6217"/>
      <c r="AU429" s="6272">
        <f t="shared" si="190"/>
        <v>0</v>
      </c>
      <c r="AV429" s="6240">
        <f t="shared" si="191"/>
        <v>0</v>
      </c>
      <c r="AW429" s="6189" cm="1">
        <f t="array" ref="AW429">IF(AK429&lt;&gt;1,0,IF(OR(AU429="",N(AU429)&lt;=0.000000001),"",IF(OR(AO429="",N(AO429)&lt;=0.000000001),0,IF(ISNUMBER(AU429),IFERROR(_xlfn.LET(_xlpm.ai_test,TRIM(AJ429),_xlpm.r,IFERROR(_xlfn.XLOOKUP(_xlpm.ai_test,$BJ$15:$BJ$62,ROW($BJ$15:$BJ$62),0,1),IFERROR(_xlfn.XLOOKUP(_xlpm.ai_test,$BK$15:$BK$62,ROW($BK$15:$BK$62),0,1),_xlfn.XLOOKUP(_xlpm.ai_test,$BL$15:$BL$62,ROW($BL$15:$BL$62),0,1))),_xlpm.p,_xlpm.r-MIN(ROW($BJ$15:$BJ$62))+1,_xlpm.f,INDEX($BM$15:$BM$62,_xlpm.p),_xlpm.u,INDEX($BN$15:$BN$62,_xlpm.p),_xlpm.s,INDEX($BP$15:$BP$62,_xlpm.p),_xlpm.q,N(AU429)/_xlpm.f,IF(_xlpm.q&gt;=_xlpm.s,ROUND(_xlpm.q,1)&amp;" "&amp;_xlpm.ai_test&amp;" = "&amp;ROUND(_xlpm.q*_xlpm.f,1)&amp;" "&amp;_xlpm.u,ROUND(_xlpm.q,1)&amp;" "&amp;_xlpm.ai_test)),""),""))))</f>
        <v>0</v>
      </c>
      <c r="AX429" s="6218"/>
      <c r="AY429" s="6272">
        <f t="shared" si="192"/>
        <v>0</v>
      </c>
      <c r="AZ429" s="6240" t="str">
        <f t="shared" si="193"/>
        <v/>
      </c>
      <c r="BA429" s="6195">
        <f t="shared" si="198"/>
        <v>0</v>
      </c>
      <c r="BB429" s="6193" t="str">
        <f t="shared" si="194"/>
        <v/>
      </c>
      <c r="BC429" s="6219"/>
      <c r="BD429" s="6222">
        <f t="shared" si="199"/>
        <v>0</v>
      </c>
      <c r="BE429" s="6220" t="str">
        <f t="shared" si="195"/>
        <v/>
      </c>
      <c r="BF429" s="4" t="s">
        <v>1</v>
      </c>
      <c r="BG429" s="6196">
        <f t="shared" si="196"/>
        <v>0</v>
      </c>
      <c r="BH429" s="6197">
        <f t="shared" si="197"/>
        <v>0</v>
      </c>
      <c r="BI429"/>
      <c r="BJ429" s="1"/>
      <c r="BK429" s="1"/>
      <c r="BL429" s="1"/>
      <c r="BM429" s="1"/>
      <c r="BN429" s="1"/>
      <c r="BO429" s="1"/>
      <c r="BP429" s="1"/>
      <c r="BQ429" s="1"/>
      <c r="BX429" s="20" t="str">
        <f t="shared" si="178"/>
        <v>►</v>
      </c>
      <c r="BY429" s="2"/>
      <c r="BZ429" s="2"/>
      <c r="CA429" s="2"/>
      <c r="CB429" s="2"/>
      <c r="CC429" s="2"/>
      <c r="DC429" s="5">
        <v>1</v>
      </c>
    </row>
    <row r="430" spans="12:107" ht="21" customHeight="1">
      <c r="L430" s="1021" t="s">
        <v>26</v>
      </c>
      <c r="M430" s="6787"/>
      <c r="N430" s="6787"/>
      <c r="O430" s="6787"/>
      <c r="P430" s="6788"/>
      <c r="Q430" s="6789"/>
      <c r="R430" s="6790"/>
      <c r="S430" s="6786"/>
      <c r="T430" s="6791"/>
      <c r="U430" s="6844"/>
      <c r="V430" s="6791"/>
      <c r="W430" s="6785"/>
      <c r="X430" s="6868"/>
      <c r="Y430" s="6793"/>
      <c r="Z430" s="6794"/>
      <c r="AA430" s="6795"/>
      <c r="AB430" s="6796"/>
      <c r="AC430" s="6797"/>
      <c r="AD430" s="6798"/>
      <c r="AE430" s="4" t="s">
        <v>1</v>
      </c>
      <c r="AF430" s="6202" t="str">
        <f t="shared" si="179"/>
        <v>►</v>
      </c>
      <c r="AG430" s="6234" t="str">
        <f t="shared" si="180"/>
        <v/>
      </c>
      <c r="AH430" s="6732" t="str">
        <f t="shared" si="181"/>
        <v/>
      </c>
      <c r="AI430" s="6234" t="str">
        <f t="shared" si="182"/>
        <v/>
      </c>
      <c r="AJ430" s="6732" t="str">
        <f t="shared" si="183"/>
        <v/>
      </c>
      <c r="AK430" s="6732">
        <f t="shared" si="184"/>
        <v>0</v>
      </c>
      <c r="AL430" s="6230" t="str" cm="1">
        <f t="array" ref="AL430">IF(AF430&lt;&gt;"A","",IFERROR((IFERROR(_xlfn.XLOOKUP(TRIM(SUBSTITUTE(U430,CHAR(160)," ")),$BJ$15:$BJ$62,$BM$15:$BM$62),IFERROR(_xlfn.XLOOKUP(TRIM(SUBSTITUTE(U430,CHAR(160)," ")),$BK$15:$BK$62,$BM$15:$BM$62),_xlfn.XLOOKUP(TRIM(SUBSTITUTE(U430,CHAR(160)," ")),$BL$15:$BL$62,$BM$15:$BM$62))))*T430*IF(ISBLANK(Q430),1,Q430)+IFERROR(_xlfn.XLOOKUP("RECHERCHEX",TRIM(L430:AD430),L430:AD430),0),0))</f>
        <v/>
      </c>
      <c r="AM430" s="6229">
        <f t="shared" si="185"/>
        <v>0</v>
      </c>
      <c r="AN430" s="6857" t="str">
        <f t="shared" si="200"/>
        <v/>
      </c>
      <c r="AO430" s="392">
        <f t="shared" si="186"/>
        <v>0</v>
      </c>
      <c r="AP430" s="392">
        <f t="shared" si="187"/>
        <v>0</v>
      </c>
      <c r="AQ430" s="6190">
        <f t="shared" si="188"/>
        <v>0</v>
      </c>
      <c r="AR430" s="6858" t="str">
        <f t="shared" si="189"/>
        <v/>
      </c>
      <c r="AS430" s="6217"/>
      <c r="AT430" s="6217"/>
      <c r="AU430" s="6271">
        <f t="shared" si="190"/>
        <v>0</v>
      </c>
      <c r="AV430" s="6242">
        <f t="shared" si="191"/>
        <v>0</v>
      </c>
      <c r="AW430" s="6188" cm="1">
        <f t="array" ref="AW430">IF(AK430&lt;&gt;1,0,IF(OR(AU430="",N(AU430)&lt;=0.000000001),"",IF(OR(AO430="",N(AO430)&lt;=0.000000001),0,IF(ISNUMBER(AU430),IFERROR(_xlfn.LET(_xlpm.ai_test,TRIM(AJ430),_xlpm.r,IFERROR(_xlfn.XLOOKUP(_xlpm.ai_test,$BJ$15:$BJ$62,ROW($BJ$15:$BJ$62),0,1),IFERROR(_xlfn.XLOOKUP(_xlpm.ai_test,$BK$15:$BK$62,ROW($BK$15:$BK$62),0,1),_xlfn.XLOOKUP(_xlpm.ai_test,$BL$15:$BL$62,ROW($BL$15:$BL$62),0,1))),_xlpm.p,_xlpm.r-MIN(ROW($BJ$15:$BJ$62))+1,_xlpm.f,INDEX($BM$15:$BM$62,_xlpm.p),_xlpm.u,INDEX($BN$15:$BN$62,_xlpm.p),_xlpm.s,INDEX($BP$15:$BP$62,_xlpm.p),_xlpm.q,N(AU430)/_xlpm.f,IF(_xlpm.q&gt;=_xlpm.s,ROUND(_xlpm.q,1)&amp;" "&amp;_xlpm.ai_test&amp;" = "&amp;ROUND(_xlpm.q*_xlpm.f,1)&amp;" "&amp;_xlpm.u,ROUND(_xlpm.q,1)&amp;" "&amp;_xlpm.ai_test)),""),""))))</f>
        <v>0</v>
      </c>
      <c r="AX430" s="6218"/>
      <c r="AY430" s="6271">
        <f t="shared" si="192"/>
        <v>0</v>
      </c>
      <c r="AZ430" s="6242" t="str">
        <f t="shared" si="193"/>
        <v/>
      </c>
      <c r="BA430" s="6194">
        <f t="shared" si="198"/>
        <v>0</v>
      </c>
      <c r="BB430" s="6192" t="str">
        <f t="shared" si="194"/>
        <v/>
      </c>
      <c r="BC430" s="6219"/>
      <c r="BD430" s="6221">
        <f t="shared" si="199"/>
        <v>0</v>
      </c>
      <c r="BE430" s="6220" t="str">
        <f t="shared" si="195"/>
        <v/>
      </c>
      <c r="BF430" s="4" t="s">
        <v>1</v>
      </c>
      <c r="BG430" s="6196">
        <f t="shared" si="196"/>
        <v>0</v>
      </c>
      <c r="BH430" s="6197">
        <f t="shared" si="197"/>
        <v>0</v>
      </c>
      <c r="BI430"/>
      <c r="BJ430" s="1"/>
      <c r="BK430" s="1"/>
      <c r="BL430" s="1"/>
      <c r="BM430" s="1"/>
      <c r="BN430" s="1"/>
      <c r="BO430" s="1"/>
      <c r="BP430" s="1"/>
      <c r="BQ430" s="1"/>
      <c r="BX430" s="20" t="str">
        <f t="shared" si="178"/>
        <v>►</v>
      </c>
      <c r="BY430" s="2"/>
      <c r="BZ430" s="2"/>
      <c r="CA430" s="2"/>
      <c r="CB430" s="2"/>
      <c r="CC430" s="2"/>
      <c r="DC430" s="5">
        <v>1</v>
      </c>
    </row>
    <row r="431" spans="12:107" ht="21" customHeight="1">
      <c r="L431" s="1021" t="s">
        <v>26</v>
      </c>
      <c r="M431" s="6787"/>
      <c r="N431" s="6787"/>
      <c r="O431" s="6787"/>
      <c r="P431" s="6788"/>
      <c r="Q431" s="6789"/>
      <c r="R431" s="6790"/>
      <c r="S431" s="6786"/>
      <c r="T431" s="6791"/>
      <c r="U431" s="6844"/>
      <c r="V431" s="6791"/>
      <c r="W431" s="6785"/>
      <c r="X431" s="6868"/>
      <c r="Y431" s="6793"/>
      <c r="Z431" s="6794"/>
      <c r="AA431" s="6795"/>
      <c r="AB431" s="6796"/>
      <c r="AC431" s="6797"/>
      <c r="AD431" s="6798"/>
      <c r="AE431" s="4" t="s">
        <v>1</v>
      </c>
      <c r="AF431" s="6202" t="str">
        <f t="shared" si="179"/>
        <v>►</v>
      </c>
      <c r="AG431" s="6234" t="str">
        <f t="shared" si="180"/>
        <v/>
      </c>
      <c r="AH431" s="6732" t="str">
        <f t="shared" si="181"/>
        <v/>
      </c>
      <c r="AI431" s="6234" t="str">
        <f t="shared" si="182"/>
        <v/>
      </c>
      <c r="AJ431" s="6732" t="str">
        <f t="shared" si="183"/>
        <v/>
      </c>
      <c r="AK431" s="6732">
        <f t="shared" si="184"/>
        <v>0</v>
      </c>
      <c r="AL431" s="6230" t="str" cm="1">
        <f t="array" ref="AL431">IF(AF431&lt;&gt;"A","",IFERROR((IFERROR(_xlfn.XLOOKUP(TRIM(SUBSTITUTE(U431,CHAR(160)," ")),$BJ$15:$BJ$62,$BM$15:$BM$62),IFERROR(_xlfn.XLOOKUP(TRIM(SUBSTITUTE(U431,CHAR(160)," ")),$BK$15:$BK$62,$BM$15:$BM$62),_xlfn.XLOOKUP(TRIM(SUBSTITUTE(U431,CHAR(160)," ")),$BL$15:$BL$62,$BM$15:$BM$62))))*T431*IF(ISBLANK(Q431),1,Q431)+IFERROR(_xlfn.XLOOKUP("RECHERCHEX",TRIM(L431:AD431),L431:AD431),0),0))</f>
        <v/>
      </c>
      <c r="AM431" s="6229">
        <f t="shared" si="185"/>
        <v>0</v>
      </c>
      <c r="AN431" s="6857" t="str">
        <f t="shared" si="200"/>
        <v/>
      </c>
      <c r="AO431" s="392">
        <f t="shared" si="186"/>
        <v>0</v>
      </c>
      <c r="AP431" s="392">
        <f t="shared" si="187"/>
        <v>0</v>
      </c>
      <c r="AQ431" s="6191">
        <f t="shared" si="188"/>
        <v>0</v>
      </c>
      <c r="AR431" s="6859" t="str">
        <f t="shared" si="189"/>
        <v/>
      </c>
      <c r="AS431" s="6217"/>
      <c r="AT431" s="6217"/>
      <c r="AU431" s="6272">
        <f t="shared" si="190"/>
        <v>0</v>
      </c>
      <c r="AV431" s="6240">
        <f t="shared" si="191"/>
        <v>0</v>
      </c>
      <c r="AW431" s="6189" cm="1">
        <f t="array" ref="AW431">IF(AK431&lt;&gt;1,0,IF(OR(AU431="",N(AU431)&lt;=0.000000001),"",IF(OR(AO431="",N(AO431)&lt;=0.000000001),0,IF(ISNUMBER(AU431),IFERROR(_xlfn.LET(_xlpm.ai_test,TRIM(AJ431),_xlpm.r,IFERROR(_xlfn.XLOOKUP(_xlpm.ai_test,$BJ$15:$BJ$62,ROW($BJ$15:$BJ$62),0,1),IFERROR(_xlfn.XLOOKUP(_xlpm.ai_test,$BK$15:$BK$62,ROW($BK$15:$BK$62),0,1),_xlfn.XLOOKUP(_xlpm.ai_test,$BL$15:$BL$62,ROW($BL$15:$BL$62),0,1))),_xlpm.p,_xlpm.r-MIN(ROW($BJ$15:$BJ$62))+1,_xlpm.f,INDEX($BM$15:$BM$62,_xlpm.p),_xlpm.u,INDEX($BN$15:$BN$62,_xlpm.p),_xlpm.s,INDEX($BP$15:$BP$62,_xlpm.p),_xlpm.q,N(AU431)/_xlpm.f,IF(_xlpm.q&gt;=_xlpm.s,ROUND(_xlpm.q,1)&amp;" "&amp;_xlpm.ai_test&amp;" = "&amp;ROUND(_xlpm.q*_xlpm.f,1)&amp;" "&amp;_xlpm.u,ROUND(_xlpm.q,1)&amp;" "&amp;_xlpm.ai_test)),""),""))))</f>
        <v>0</v>
      </c>
      <c r="AX431" s="6218"/>
      <c r="AY431" s="6272">
        <f t="shared" si="192"/>
        <v>0</v>
      </c>
      <c r="AZ431" s="6240" t="str">
        <f t="shared" si="193"/>
        <v/>
      </c>
      <c r="BA431" s="6195">
        <f t="shared" si="198"/>
        <v>0</v>
      </c>
      <c r="BB431" s="6193" t="str">
        <f t="shared" si="194"/>
        <v/>
      </c>
      <c r="BC431" s="6219"/>
      <c r="BD431" s="6222">
        <f t="shared" si="199"/>
        <v>0</v>
      </c>
      <c r="BE431" s="6220" t="str">
        <f t="shared" si="195"/>
        <v/>
      </c>
      <c r="BF431" s="4" t="s">
        <v>1</v>
      </c>
      <c r="BG431" s="6196">
        <f t="shared" si="196"/>
        <v>0</v>
      </c>
      <c r="BH431" s="6197">
        <f t="shared" si="197"/>
        <v>0</v>
      </c>
      <c r="BI431"/>
      <c r="BJ431" s="1"/>
      <c r="BK431" s="1"/>
      <c r="BL431" s="1"/>
      <c r="BM431" s="1"/>
      <c r="BN431" s="1"/>
      <c r="BO431" s="1"/>
      <c r="BP431" s="1"/>
      <c r="BQ431" s="1"/>
      <c r="BX431" s="20" t="str">
        <f t="shared" si="178"/>
        <v>►</v>
      </c>
      <c r="BY431" s="2"/>
      <c r="BZ431" s="2"/>
      <c r="CA431" s="2"/>
      <c r="CB431" s="2"/>
      <c r="CC431" s="2"/>
      <c r="DC431" s="5">
        <v>1</v>
      </c>
    </row>
    <row r="432" spans="12:107" ht="21" customHeight="1">
      <c r="L432" s="1021" t="s">
        <v>26</v>
      </c>
      <c r="M432" s="6787"/>
      <c r="N432" s="6787"/>
      <c r="O432" s="6787"/>
      <c r="P432" s="6788"/>
      <c r="Q432" s="6789"/>
      <c r="R432" s="6790"/>
      <c r="S432" s="6786"/>
      <c r="T432" s="6791"/>
      <c r="U432" s="6844"/>
      <c r="V432" s="6791"/>
      <c r="W432" s="6785"/>
      <c r="X432" s="6868"/>
      <c r="Y432" s="6793"/>
      <c r="Z432" s="6794"/>
      <c r="AA432" s="6795"/>
      <c r="AB432" s="6796"/>
      <c r="AC432" s="6797"/>
      <c r="AD432" s="6798"/>
      <c r="AE432" s="4" t="s">
        <v>1</v>
      </c>
      <c r="AF432" s="6202" t="str">
        <f t="shared" si="179"/>
        <v>►</v>
      </c>
      <c r="AG432" s="6234" t="str">
        <f t="shared" si="180"/>
        <v/>
      </c>
      <c r="AH432" s="6732" t="str">
        <f t="shared" si="181"/>
        <v/>
      </c>
      <c r="AI432" s="6234" t="str">
        <f t="shared" si="182"/>
        <v/>
      </c>
      <c r="AJ432" s="6732" t="str">
        <f t="shared" si="183"/>
        <v/>
      </c>
      <c r="AK432" s="6732">
        <f t="shared" si="184"/>
        <v>0</v>
      </c>
      <c r="AL432" s="6230" t="str" cm="1">
        <f t="array" ref="AL432">IF(AF432&lt;&gt;"A","",IFERROR((IFERROR(_xlfn.XLOOKUP(TRIM(SUBSTITUTE(U432,CHAR(160)," ")),$BJ$15:$BJ$62,$BM$15:$BM$62),IFERROR(_xlfn.XLOOKUP(TRIM(SUBSTITUTE(U432,CHAR(160)," ")),$BK$15:$BK$62,$BM$15:$BM$62),_xlfn.XLOOKUP(TRIM(SUBSTITUTE(U432,CHAR(160)," ")),$BL$15:$BL$62,$BM$15:$BM$62))))*T432*IF(ISBLANK(Q432),1,Q432)+IFERROR(_xlfn.XLOOKUP("RECHERCHEX",TRIM(L432:AD432),L432:AD432),0),0))</f>
        <v/>
      </c>
      <c r="AM432" s="6229">
        <f t="shared" si="185"/>
        <v>0</v>
      </c>
      <c r="AN432" s="6857" t="str">
        <f t="shared" si="200"/>
        <v/>
      </c>
      <c r="AO432" s="392">
        <f t="shared" si="186"/>
        <v>0</v>
      </c>
      <c r="AP432" s="392">
        <f t="shared" si="187"/>
        <v>0</v>
      </c>
      <c r="AQ432" s="6190">
        <f t="shared" si="188"/>
        <v>0</v>
      </c>
      <c r="AR432" s="6858" t="str">
        <f t="shared" si="189"/>
        <v/>
      </c>
      <c r="AS432" s="6217"/>
      <c r="AT432" s="6217"/>
      <c r="AU432" s="6271">
        <f t="shared" si="190"/>
        <v>0</v>
      </c>
      <c r="AV432" s="6242">
        <f t="shared" si="191"/>
        <v>0</v>
      </c>
      <c r="AW432" s="6188" cm="1">
        <f t="array" ref="AW432">IF(AK432&lt;&gt;1,0,IF(OR(AU432="",N(AU432)&lt;=0.000000001),"",IF(OR(AO432="",N(AO432)&lt;=0.000000001),0,IF(ISNUMBER(AU432),IFERROR(_xlfn.LET(_xlpm.ai_test,TRIM(AJ432),_xlpm.r,IFERROR(_xlfn.XLOOKUP(_xlpm.ai_test,$BJ$15:$BJ$62,ROW($BJ$15:$BJ$62),0,1),IFERROR(_xlfn.XLOOKUP(_xlpm.ai_test,$BK$15:$BK$62,ROW($BK$15:$BK$62),0,1),_xlfn.XLOOKUP(_xlpm.ai_test,$BL$15:$BL$62,ROW($BL$15:$BL$62),0,1))),_xlpm.p,_xlpm.r-MIN(ROW($BJ$15:$BJ$62))+1,_xlpm.f,INDEX($BM$15:$BM$62,_xlpm.p),_xlpm.u,INDEX($BN$15:$BN$62,_xlpm.p),_xlpm.s,INDEX($BP$15:$BP$62,_xlpm.p),_xlpm.q,N(AU432)/_xlpm.f,IF(_xlpm.q&gt;=_xlpm.s,ROUND(_xlpm.q,1)&amp;" "&amp;_xlpm.ai_test&amp;" = "&amp;ROUND(_xlpm.q*_xlpm.f,1)&amp;" "&amp;_xlpm.u,ROUND(_xlpm.q,1)&amp;" "&amp;_xlpm.ai_test)),""),""))))</f>
        <v>0</v>
      </c>
      <c r="AX432" s="6218"/>
      <c r="AY432" s="6271">
        <f t="shared" si="192"/>
        <v>0</v>
      </c>
      <c r="AZ432" s="6242" t="str">
        <f t="shared" si="193"/>
        <v/>
      </c>
      <c r="BA432" s="6194">
        <f t="shared" si="198"/>
        <v>0</v>
      </c>
      <c r="BB432" s="6192" t="str">
        <f t="shared" si="194"/>
        <v/>
      </c>
      <c r="BC432" s="6219"/>
      <c r="BD432" s="6221">
        <f t="shared" si="199"/>
        <v>0</v>
      </c>
      <c r="BE432" s="6220" t="str">
        <f t="shared" si="195"/>
        <v/>
      </c>
      <c r="BF432" s="4" t="s">
        <v>1</v>
      </c>
      <c r="BG432" s="6196">
        <f t="shared" si="196"/>
        <v>0</v>
      </c>
      <c r="BH432" s="6197">
        <f t="shared" si="197"/>
        <v>0</v>
      </c>
      <c r="BI432"/>
      <c r="BJ432" s="1"/>
      <c r="BK432" s="1"/>
      <c r="BL432" s="1"/>
      <c r="BM432" s="1"/>
      <c r="BN432" s="1"/>
      <c r="BO432" s="1"/>
      <c r="BP432" s="1"/>
      <c r="BQ432" s="1"/>
      <c r="BX432" s="20" t="str">
        <f t="shared" si="178"/>
        <v>►</v>
      </c>
      <c r="BY432" s="2"/>
      <c r="BZ432" s="2"/>
      <c r="CA432" s="2"/>
      <c r="CB432" s="2"/>
      <c r="CC432" s="2"/>
      <c r="DC432" s="5">
        <v>1</v>
      </c>
    </row>
    <row r="433" spans="12:107" ht="21" customHeight="1">
      <c r="L433" s="1021" t="s">
        <v>26</v>
      </c>
      <c r="M433" s="6787"/>
      <c r="N433" s="6787"/>
      <c r="O433" s="6787"/>
      <c r="P433" s="6788"/>
      <c r="Q433" s="6789"/>
      <c r="R433" s="6790"/>
      <c r="S433" s="6786"/>
      <c r="T433" s="6791"/>
      <c r="U433" s="6844"/>
      <c r="V433" s="6791"/>
      <c r="W433" s="6785"/>
      <c r="X433" s="6868"/>
      <c r="Y433" s="6793"/>
      <c r="Z433" s="6794"/>
      <c r="AA433" s="6795"/>
      <c r="AB433" s="6796"/>
      <c r="AC433" s="6797"/>
      <c r="AD433" s="6798"/>
      <c r="AE433" s="4" t="s">
        <v>1</v>
      </c>
      <c r="AF433" s="6202" t="str">
        <f t="shared" si="179"/>
        <v>►</v>
      </c>
      <c r="AG433" s="6234" t="str">
        <f t="shared" si="180"/>
        <v/>
      </c>
      <c r="AH433" s="6732" t="str">
        <f t="shared" si="181"/>
        <v/>
      </c>
      <c r="AI433" s="6234" t="str">
        <f t="shared" si="182"/>
        <v/>
      </c>
      <c r="AJ433" s="6732" t="str">
        <f t="shared" si="183"/>
        <v/>
      </c>
      <c r="AK433" s="6732">
        <f t="shared" si="184"/>
        <v>0</v>
      </c>
      <c r="AL433" s="6230" t="str" cm="1">
        <f t="array" ref="AL433">IF(AF433&lt;&gt;"A","",IFERROR((IFERROR(_xlfn.XLOOKUP(TRIM(SUBSTITUTE(U433,CHAR(160)," ")),$BJ$15:$BJ$62,$BM$15:$BM$62),IFERROR(_xlfn.XLOOKUP(TRIM(SUBSTITUTE(U433,CHAR(160)," ")),$BK$15:$BK$62,$BM$15:$BM$62),_xlfn.XLOOKUP(TRIM(SUBSTITUTE(U433,CHAR(160)," ")),$BL$15:$BL$62,$BM$15:$BM$62))))*T433*IF(ISBLANK(Q433),1,Q433)+IFERROR(_xlfn.XLOOKUP("RECHERCHEX",TRIM(L433:AD433),L433:AD433),0),0))</f>
        <v/>
      </c>
      <c r="AM433" s="6229">
        <f t="shared" si="185"/>
        <v>0</v>
      </c>
      <c r="AN433" s="6857" t="str">
        <f t="shared" si="200"/>
        <v/>
      </c>
      <c r="AO433" s="392">
        <f t="shared" si="186"/>
        <v>0</v>
      </c>
      <c r="AP433" s="392">
        <f t="shared" si="187"/>
        <v>0</v>
      </c>
      <c r="AQ433" s="6191">
        <f t="shared" si="188"/>
        <v>0</v>
      </c>
      <c r="AR433" s="6859" t="str">
        <f t="shared" si="189"/>
        <v/>
      </c>
      <c r="AS433" s="6217"/>
      <c r="AT433" s="6217"/>
      <c r="AU433" s="6272">
        <f t="shared" si="190"/>
        <v>0</v>
      </c>
      <c r="AV433" s="6240">
        <f t="shared" si="191"/>
        <v>0</v>
      </c>
      <c r="AW433" s="6189" cm="1">
        <f t="array" ref="AW433">IF(AK433&lt;&gt;1,0,IF(OR(AU433="",N(AU433)&lt;=0.000000001),"",IF(OR(AO433="",N(AO433)&lt;=0.000000001),0,IF(ISNUMBER(AU433),IFERROR(_xlfn.LET(_xlpm.ai_test,TRIM(AJ433),_xlpm.r,IFERROR(_xlfn.XLOOKUP(_xlpm.ai_test,$BJ$15:$BJ$62,ROW($BJ$15:$BJ$62),0,1),IFERROR(_xlfn.XLOOKUP(_xlpm.ai_test,$BK$15:$BK$62,ROW($BK$15:$BK$62),0,1),_xlfn.XLOOKUP(_xlpm.ai_test,$BL$15:$BL$62,ROW($BL$15:$BL$62),0,1))),_xlpm.p,_xlpm.r-MIN(ROW($BJ$15:$BJ$62))+1,_xlpm.f,INDEX($BM$15:$BM$62,_xlpm.p),_xlpm.u,INDEX($BN$15:$BN$62,_xlpm.p),_xlpm.s,INDEX($BP$15:$BP$62,_xlpm.p),_xlpm.q,N(AU433)/_xlpm.f,IF(_xlpm.q&gt;=_xlpm.s,ROUND(_xlpm.q,1)&amp;" "&amp;_xlpm.ai_test&amp;" = "&amp;ROUND(_xlpm.q*_xlpm.f,1)&amp;" "&amp;_xlpm.u,ROUND(_xlpm.q,1)&amp;" "&amp;_xlpm.ai_test)),""),""))))</f>
        <v>0</v>
      </c>
      <c r="AX433" s="6218"/>
      <c r="AY433" s="6272">
        <f t="shared" si="192"/>
        <v>0</v>
      </c>
      <c r="AZ433" s="6240" t="str">
        <f t="shared" si="193"/>
        <v/>
      </c>
      <c r="BA433" s="6195">
        <f t="shared" si="198"/>
        <v>0</v>
      </c>
      <c r="BB433" s="6193" t="str">
        <f t="shared" si="194"/>
        <v/>
      </c>
      <c r="BC433" s="6219"/>
      <c r="BD433" s="6222">
        <f t="shared" si="199"/>
        <v>0</v>
      </c>
      <c r="BE433" s="6220" t="str">
        <f t="shared" si="195"/>
        <v/>
      </c>
      <c r="BF433" s="4" t="s">
        <v>1</v>
      </c>
      <c r="BG433" s="6196">
        <f t="shared" si="196"/>
        <v>0</v>
      </c>
      <c r="BH433" s="6197">
        <f t="shared" si="197"/>
        <v>0</v>
      </c>
      <c r="BI433"/>
      <c r="BJ433" s="1"/>
      <c r="BK433" s="1"/>
      <c r="BL433" s="1"/>
      <c r="BM433" s="1"/>
      <c r="BN433" s="1"/>
      <c r="BO433" s="1"/>
      <c r="BP433" s="1"/>
      <c r="BQ433" s="1"/>
      <c r="BX433" s="20" t="str">
        <f t="shared" si="178"/>
        <v>►</v>
      </c>
      <c r="BY433" s="2"/>
      <c r="BZ433" s="2"/>
      <c r="CA433" s="2"/>
      <c r="CB433" s="2"/>
      <c r="CC433" s="2"/>
      <c r="DC433" s="5">
        <v>1</v>
      </c>
    </row>
    <row r="434" spans="12:107" ht="21" customHeight="1">
      <c r="L434" s="1021" t="s">
        <v>26</v>
      </c>
      <c r="M434" s="6787"/>
      <c r="N434" s="6787"/>
      <c r="O434" s="6787"/>
      <c r="P434" s="6788"/>
      <c r="Q434" s="6789"/>
      <c r="R434" s="6790"/>
      <c r="S434" s="6786"/>
      <c r="T434" s="6791"/>
      <c r="U434" s="6844"/>
      <c r="V434" s="6791"/>
      <c r="W434" s="6785"/>
      <c r="X434" s="6868"/>
      <c r="Y434" s="6793"/>
      <c r="Z434" s="6794"/>
      <c r="AA434" s="6795"/>
      <c r="AB434" s="6796"/>
      <c r="AC434" s="6797"/>
      <c r="AD434" s="6798"/>
      <c r="AE434" s="4" t="s">
        <v>1</v>
      </c>
      <c r="AF434" s="6202" t="str">
        <f t="shared" si="179"/>
        <v>►</v>
      </c>
      <c r="AG434" s="6234" t="str">
        <f t="shared" si="180"/>
        <v/>
      </c>
      <c r="AH434" s="6732" t="str">
        <f t="shared" si="181"/>
        <v/>
      </c>
      <c r="AI434" s="6234" t="str">
        <f t="shared" si="182"/>
        <v/>
      </c>
      <c r="AJ434" s="6732" t="str">
        <f t="shared" si="183"/>
        <v/>
      </c>
      <c r="AK434" s="6732">
        <f t="shared" si="184"/>
        <v>0</v>
      </c>
      <c r="AL434" s="6230" t="str" cm="1">
        <f t="array" ref="AL434">IF(AF434&lt;&gt;"A","",IFERROR((IFERROR(_xlfn.XLOOKUP(TRIM(SUBSTITUTE(U434,CHAR(160)," ")),$BJ$15:$BJ$62,$BM$15:$BM$62),IFERROR(_xlfn.XLOOKUP(TRIM(SUBSTITUTE(U434,CHAR(160)," ")),$BK$15:$BK$62,$BM$15:$BM$62),_xlfn.XLOOKUP(TRIM(SUBSTITUTE(U434,CHAR(160)," ")),$BL$15:$BL$62,$BM$15:$BM$62))))*T434*IF(ISBLANK(Q434),1,Q434)+IFERROR(_xlfn.XLOOKUP("RECHERCHEX",TRIM(L434:AD434),L434:AD434),0),0))</f>
        <v/>
      </c>
      <c r="AM434" s="6229">
        <f t="shared" si="185"/>
        <v>0</v>
      </c>
      <c r="AN434" s="6857" t="str">
        <f t="shared" si="200"/>
        <v/>
      </c>
      <c r="AO434" s="392">
        <f t="shared" si="186"/>
        <v>0</v>
      </c>
      <c r="AP434" s="392">
        <f t="shared" si="187"/>
        <v>0</v>
      </c>
      <c r="AQ434" s="6190">
        <f t="shared" si="188"/>
        <v>0</v>
      </c>
      <c r="AR434" s="6858" t="str">
        <f t="shared" si="189"/>
        <v/>
      </c>
      <c r="AS434" s="6217"/>
      <c r="AT434" s="6217"/>
      <c r="AU434" s="6271">
        <f t="shared" si="190"/>
        <v>0</v>
      </c>
      <c r="AV434" s="6242">
        <f t="shared" si="191"/>
        <v>0</v>
      </c>
      <c r="AW434" s="6188" cm="1">
        <f t="array" ref="AW434">IF(AK434&lt;&gt;1,0,IF(OR(AU434="",N(AU434)&lt;=0.000000001),"",IF(OR(AO434="",N(AO434)&lt;=0.000000001),0,IF(ISNUMBER(AU434),IFERROR(_xlfn.LET(_xlpm.ai_test,TRIM(AJ434),_xlpm.r,IFERROR(_xlfn.XLOOKUP(_xlpm.ai_test,$BJ$15:$BJ$62,ROW($BJ$15:$BJ$62),0,1),IFERROR(_xlfn.XLOOKUP(_xlpm.ai_test,$BK$15:$BK$62,ROW($BK$15:$BK$62),0,1),_xlfn.XLOOKUP(_xlpm.ai_test,$BL$15:$BL$62,ROW($BL$15:$BL$62),0,1))),_xlpm.p,_xlpm.r-MIN(ROW($BJ$15:$BJ$62))+1,_xlpm.f,INDEX($BM$15:$BM$62,_xlpm.p),_xlpm.u,INDEX($BN$15:$BN$62,_xlpm.p),_xlpm.s,INDEX($BP$15:$BP$62,_xlpm.p),_xlpm.q,N(AU434)/_xlpm.f,IF(_xlpm.q&gt;=_xlpm.s,ROUND(_xlpm.q,1)&amp;" "&amp;_xlpm.ai_test&amp;" = "&amp;ROUND(_xlpm.q*_xlpm.f,1)&amp;" "&amp;_xlpm.u,ROUND(_xlpm.q,1)&amp;" "&amp;_xlpm.ai_test)),""),""))))</f>
        <v>0</v>
      </c>
      <c r="AX434" s="6218"/>
      <c r="AY434" s="6271">
        <f t="shared" si="192"/>
        <v>0</v>
      </c>
      <c r="AZ434" s="6242" t="str">
        <f t="shared" si="193"/>
        <v/>
      </c>
      <c r="BA434" s="6194">
        <f t="shared" si="198"/>
        <v>0</v>
      </c>
      <c r="BB434" s="6192" t="str">
        <f t="shared" si="194"/>
        <v/>
      </c>
      <c r="BC434" s="6219"/>
      <c r="BD434" s="6221">
        <f t="shared" si="199"/>
        <v>0</v>
      </c>
      <c r="BE434" s="6220" t="str">
        <f t="shared" si="195"/>
        <v/>
      </c>
      <c r="BF434" s="4" t="s">
        <v>1</v>
      </c>
      <c r="BG434" s="6196">
        <f t="shared" si="196"/>
        <v>0</v>
      </c>
      <c r="BH434" s="6197">
        <f t="shared" si="197"/>
        <v>0</v>
      </c>
      <c r="BI434"/>
      <c r="BJ434" s="1"/>
      <c r="BK434" s="1"/>
      <c r="BL434" s="1"/>
      <c r="BM434" s="1"/>
      <c r="BN434" s="1"/>
      <c r="BO434" s="1"/>
      <c r="BP434" s="1"/>
      <c r="BQ434" s="1"/>
      <c r="BX434" s="20" t="str">
        <f t="shared" si="178"/>
        <v>►</v>
      </c>
      <c r="BY434" s="2"/>
      <c r="BZ434" s="2"/>
      <c r="CA434" s="2"/>
      <c r="CB434" s="2"/>
      <c r="CC434" s="2"/>
      <c r="DC434" s="5">
        <v>1</v>
      </c>
    </row>
    <row r="435" spans="12:107" ht="21" customHeight="1">
      <c r="L435" s="1021" t="s">
        <v>26</v>
      </c>
      <c r="M435" s="6787"/>
      <c r="N435" s="6787"/>
      <c r="O435" s="6787"/>
      <c r="P435" s="6788"/>
      <c r="Q435" s="6789"/>
      <c r="R435" s="6790"/>
      <c r="S435" s="6786"/>
      <c r="T435" s="6791"/>
      <c r="U435" s="6844"/>
      <c r="V435" s="6791"/>
      <c r="W435" s="6785"/>
      <c r="X435" s="6868"/>
      <c r="Y435" s="6793"/>
      <c r="Z435" s="6794"/>
      <c r="AA435" s="6795"/>
      <c r="AB435" s="6796"/>
      <c r="AC435" s="6797"/>
      <c r="AD435" s="6798"/>
      <c r="AE435" s="4" t="s">
        <v>1</v>
      </c>
      <c r="AF435" s="6202" t="str">
        <f t="shared" si="179"/>
        <v>►</v>
      </c>
      <c r="AG435" s="6234" t="str">
        <f t="shared" si="180"/>
        <v/>
      </c>
      <c r="AH435" s="6732" t="str">
        <f t="shared" si="181"/>
        <v/>
      </c>
      <c r="AI435" s="6234" t="str">
        <f t="shared" si="182"/>
        <v/>
      </c>
      <c r="AJ435" s="6732" t="str">
        <f t="shared" si="183"/>
        <v/>
      </c>
      <c r="AK435" s="6732">
        <f t="shared" si="184"/>
        <v>0</v>
      </c>
      <c r="AL435" s="6230" t="str" cm="1">
        <f t="array" ref="AL435">IF(AF435&lt;&gt;"A","",IFERROR((IFERROR(_xlfn.XLOOKUP(TRIM(SUBSTITUTE(U435,CHAR(160)," ")),$BJ$15:$BJ$62,$BM$15:$BM$62),IFERROR(_xlfn.XLOOKUP(TRIM(SUBSTITUTE(U435,CHAR(160)," ")),$BK$15:$BK$62,$BM$15:$BM$62),_xlfn.XLOOKUP(TRIM(SUBSTITUTE(U435,CHAR(160)," ")),$BL$15:$BL$62,$BM$15:$BM$62))))*T435*IF(ISBLANK(Q435),1,Q435)+IFERROR(_xlfn.XLOOKUP("RECHERCHEX",TRIM(L435:AD435),L435:AD435),0),0))</f>
        <v/>
      </c>
      <c r="AM435" s="6229">
        <f t="shared" si="185"/>
        <v>0</v>
      </c>
      <c r="AN435" s="6857" t="str">
        <f t="shared" si="200"/>
        <v/>
      </c>
      <c r="AO435" s="392">
        <f t="shared" si="186"/>
        <v>0</v>
      </c>
      <c r="AP435" s="392">
        <f t="shared" si="187"/>
        <v>0</v>
      </c>
      <c r="AQ435" s="6191">
        <f t="shared" si="188"/>
        <v>0</v>
      </c>
      <c r="AR435" s="6859" t="str">
        <f t="shared" si="189"/>
        <v/>
      </c>
      <c r="AS435" s="6217"/>
      <c r="AT435" s="6217"/>
      <c r="AU435" s="6272">
        <f t="shared" si="190"/>
        <v>0</v>
      </c>
      <c r="AV435" s="6240">
        <f t="shared" si="191"/>
        <v>0</v>
      </c>
      <c r="AW435" s="6189" cm="1">
        <f t="array" ref="AW435">IF(AK435&lt;&gt;1,0,IF(OR(AU435="",N(AU435)&lt;=0.000000001),"",IF(OR(AO435="",N(AO435)&lt;=0.000000001),0,IF(ISNUMBER(AU435),IFERROR(_xlfn.LET(_xlpm.ai_test,TRIM(AJ435),_xlpm.r,IFERROR(_xlfn.XLOOKUP(_xlpm.ai_test,$BJ$15:$BJ$62,ROW($BJ$15:$BJ$62),0,1),IFERROR(_xlfn.XLOOKUP(_xlpm.ai_test,$BK$15:$BK$62,ROW($BK$15:$BK$62),0,1),_xlfn.XLOOKUP(_xlpm.ai_test,$BL$15:$BL$62,ROW($BL$15:$BL$62),0,1))),_xlpm.p,_xlpm.r-MIN(ROW($BJ$15:$BJ$62))+1,_xlpm.f,INDEX($BM$15:$BM$62,_xlpm.p),_xlpm.u,INDEX($BN$15:$BN$62,_xlpm.p),_xlpm.s,INDEX($BP$15:$BP$62,_xlpm.p),_xlpm.q,N(AU435)/_xlpm.f,IF(_xlpm.q&gt;=_xlpm.s,ROUND(_xlpm.q,1)&amp;" "&amp;_xlpm.ai_test&amp;" = "&amp;ROUND(_xlpm.q*_xlpm.f,1)&amp;" "&amp;_xlpm.u,ROUND(_xlpm.q,1)&amp;" "&amp;_xlpm.ai_test)),""),""))))</f>
        <v>0</v>
      </c>
      <c r="AX435" s="6218"/>
      <c r="AY435" s="6272">
        <f t="shared" si="192"/>
        <v>0</v>
      </c>
      <c r="AZ435" s="6240" t="str">
        <f t="shared" si="193"/>
        <v/>
      </c>
      <c r="BA435" s="6195">
        <f t="shared" si="198"/>
        <v>0</v>
      </c>
      <c r="BB435" s="6193" t="str">
        <f t="shared" si="194"/>
        <v/>
      </c>
      <c r="BC435" s="6219"/>
      <c r="BD435" s="6222">
        <f t="shared" si="199"/>
        <v>0</v>
      </c>
      <c r="BE435" s="6220" t="str">
        <f t="shared" si="195"/>
        <v/>
      </c>
      <c r="BF435" s="4" t="s">
        <v>1</v>
      </c>
      <c r="BG435" s="6196">
        <f t="shared" si="196"/>
        <v>0</v>
      </c>
      <c r="BH435" s="6197">
        <f t="shared" si="197"/>
        <v>0</v>
      </c>
      <c r="BI435"/>
      <c r="BJ435" s="1"/>
      <c r="BK435" s="1"/>
      <c r="BL435" s="1"/>
      <c r="BM435" s="1"/>
      <c r="BN435" s="1"/>
      <c r="BO435" s="1"/>
      <c r="BP435" s="1"/>
      <c r="BQ435" s="1"/>
      <c r="BX435" s="20" t="str">
        <f t="shared" si="178"/>
        <v>►</v>
      </c>
      <c r="BY435" s="2"/>
      <c r="BZ435" s="2"/>
      <c r="CA435" s="2"/>
      <c r="CB435" s="2"/>
      <c r="CC435" s="2"/>
      <c r="CL435"/>
      <c r="CT435"/>
      <c r="DB435"/>
      <c r="DC435" s="5">
        <v>1</v>
      </c>
    </row>
    <row r="436" spans="12:107" ht="21" customHeight="1">
      <c r="L436" s="1021" t="s">
        <v>26</v>
      </c>
      <c r="M436" s="6787"/>
      <c r="N436" s="6787"/>
      <c r="O436" s="6787"/>
      <c r="P436" s="6788"/>
      <c r="Q436" s="6789"/>
      <c r="R436" s="6790"/>
      <c r="S436" s="6786"/>
      <c r="T436" s="6791"/>
      <c r="U436" s="6844"/>
      <c r="V436" s="6791"/>
      <c r="W436" s="6785"/>
      <c r="X436" s="6868"/>
      <c r="Y436" s="6793"/>
      <c r="Z436" s="6794"/>
      <c r="AA436" s="6795"/>
      <c r="AB436" s="6796"/>
      <c r="AC436" s="6797"/>
      <c r="AD436" s="6798"/>
      <c r="AE436" s="4" t="s">
        <v>1</v>
      </c>
      <c r="AF436" s="6202" t="str">
        <f t="shared" si="179"/>
        <v>►</v>
      </c>
      <c r="AG436" s="6234" t="str">
        <f t="shared" si="180"/>
        <v/>
      </c>
      <c r="AH436" s="6732" t="str">
        <f t="shared" si="181"/>
        <v/>
      </c>
      <c r="AI436" s="6234" t="str">
        <f t="shared" si="182"/>
        <v/>
      </c>
      <c r="AJ436" s="6732" t="str">
        <f t="shared" si="183"/>
        <v/>
      </c>
      <c r="AK436" s="6732">
        <f t="shared" si="184"/>
        <v>0</v>
      </c>
      <c r="AL436" s="6230" t="str" cm="1">
        <f t="array" ref="AL436">IF(AF436&lt;&gt;"A","",IFERROR((IFERROR(_xlfn.XLOOKUP(TRIM(SUBSTITUTE(U436,CHAR(160)," ")),$BJ$15:$BJ$62,$BM$15:$BM$62),IFERROR(_xlfn.XLOOKUP(TRIM(SUBSTITUTE(U436,CHAR(160)," ")),$BK$15:$BK$62,$BM$15:$BM$62),_xlfn.XLOOKUP(TRIM(SUBSTITUTE(U436,CHAR(160)," ")),$BL$15:$BL$62,$BM$15:$BM$62))))*T436*IF(ISBLANK(Q436),1,Q436)+IFERROR(_xlfn.XLOOKUP("RECHERCHEX",TRIM(L436:AD436),L436:AD436),0),0))</f>
        <v/>
      </c>
      <c r="AM436" s="6229">
        <f t="shared" si="185"/>
        <v>0</v>
      </c>
      <c r="AN436" s="6857" t="str">
        <f t="shared" si="200"/>
        <v/>
      </c>
      <c r="AO436" s="392">
        <f t="shared" si="186"/>
        <v>0</v>
      </c>
      <c r="AP436" s="392">
        <f t="shared" si="187"/>
        <v>0</v>
      </c>
      <c r="AQ436" s="6190">
        <f t="shared" si="188"/>
        <v>0</v>
      </c>
      <c r="AR436" s="6858" t="str">
        <f t="shared" si="189"/>
        <v/>
      </c>
      <c r="AS436" s="6217"/>
      <c r="AT436" s="6217"/>
      <c r="AU436" s="6271">
        <f t="shared" si="190"/>
        <v>0</v>
      </c>
      <c r="AV436" s="6242">
        <f t="shared" si="191"/>
        <v>0</v>
      </c>
      <c r="AW436" s="6188" cm="1">
        <f t="array" ref="AW436">IF(AK436&lt;&gt;1,0,IF(OR(AU436="",N(AU436)&lt;=0.000000001),"",IF(OR(AO436="",N(AO436)&lt;=0.000000001),0,IF(ISNUMBER(AU436),IFERROR(_xlfn.LET(_xlpm.ai_test,TRIM(AJ436),_xlpm.r,IFERROR(_xlfn.XLOOKUP(_xlpm.ai_test,$BJ$15:$BJ$62,ROW($BJ$15:$BJ$62),0,1),IFERROR(_xlfn.XLOOKUP(_xlpm.ai_test,$BK$15:$BK$62,ROW($BK$15:$BK$62),0,1),_xlfn.XLOOKUP(_xlpm.ai_test,$BL$15:$BL$62,ROW($BL$15:$BL$62),0,1))),_xlpm.p,_xlpm.r-MIN(ROW($BJ$15:$BJ$62))+1,_xlpm.f,INDEX($BM$15:$BM$62,_xlpm.p),_xlpm.u,INDEX($BN$15:$BN$62,_xlpm.p),_xlpm.s,INDEX($BP$15:$BP$62,_xlpm.p),_xlpm.q,N(AU436)/_xlpm.f,IF(_xlpm.q&gt;=_xlpm.s,ROUND(_xlpm.q,1)&amp;" "&amp;_xlpm.ai_test&amp;" = "&amp;ROUND(_xlpm.q*_xlpm.f,1)&amp;" "&amp;_xlpm.u,ROUND(_xlpm.q,1)&amp;" "&amp;_xlpm.ai_test)),""),""))))</f>
        <v>0</v>
      </c>
      <c r="AX436" s="6218"/>
      <c r="AY436" s="6271">
        <f t="shared" si="192"/>
        <v>0</v>
      </c>
      <c r="AZ436" s="6242" t="str">
        <f t="shared" si="193"/>
        <v/>
      </c>
      <c r="BA436" s="6194">
        <f t="shared" si="198"/>
        <v>0</v>
      </c>
      <c r="BB436" s="6192" t="str">
        <f t="shared" si="194"/>
        <v/>
      </c>
      <c r="BC436" s="6219"/>
      <c r="BD436" s="6221">
        <f t="shared" si="199"/>
        <v>0</v>
      </c>
      <c r="BE436" s="6220" t="str">
        <f t="shared" si="195"/>
        <v/>
      </c>
      <c r="BF436" s="4" t="s">
        <v>1</v>
      </c>
      <c r="BG436" s="6196">
        <f t="shared" si="196"/>
        <v>0</v>
      </c>
      <c r="BH436" s="6197">
        <f t="shared" si="197"/>
        <v>0</v>
      </c>
      <c r="BI436"/>
      <c r="BJ436" s="1"/>
      <c r="BK436" s="1"/>
      <c r="BL436" s="1"/>
      <c r="BM436" s="1"/>
      <c r="BN436" s="1"/>
      <c r="BO436" s="1"/>
      <c r="BP436" s="1"/>
      <c r="BQ436" s="1"/>
      <c r="BX436" s="20" t="str">
        <f t="shared" si="178"/>
        <v>►</v>
      </c>
      <c r="BY436" s="2"/>
      <c r="BZ436" s="2"/>
      <c r="CA436" s="2"/>
      <c r="CB436" s="2"/>
      <c r="CC436" s="2"/>
      <c r="DC436" s="5">
        <v>1</v>
      </c>
    </row>
    <row r="437" spans="12:107" ht="21" customHeight="1">
      <c r="L437" s="1021" t="s">
        <v>26</v>
      </c>
      <c r="M437" s="6787"/>
      <c r="N437" s="6787"/>
      <c r="O437" s="6787"/>
      <c r="P437" s="6788"/>
      <c r="Q437" s="6789"/>
      <c r="R437" s="6790"/>
      <c r="S437" s="6786"/>
      <c r="T437" s="6791"/>
      <c r="U437" s="6844"/>
      <c r="V437" s="6791"/>
      <c r="W437" s="6785"/>
      <c r="X437" s="6868"/>
      <c r="Y437" s="6793"/>
      <c r="Z437" s="6794"/>
      <c r="AA437" s="6795"/>
      <c r="AB437" s="6796"/>
      <c r="AC437" s="6797"/>
      <c r="AD437" s="6798"/>
      <c r="AE437" s="4" t="s">
        <v>1</v>
      </c>
      <c r="AF437" s="6202" t="str">
        <f t="shared" si="179"/>
        <v>►</v>
      </c>
      <c r="AG437" s="6234" t="str">
        <f t="shared" si="180"/>
        <v/>
      </c>
      <c r="AH437" s="6732" t="str">
        <f t="shared" si="181"/>
        <v/>
      </c>
      <c r="AI437" s="6234" t="str">
        <f t="shared" si="182"/>
        <v/>
      </c>
      <c r="AJ437" s="6732" t="str">
        <f t="shared" si="183"/>
        <v/>
      </c>
      <c r="AK437" s="6732">
        <f t="shared" si="184"/>
        <v>0</v>
      </c>
      <c r="AL437" s="6230" t="str" cm="1">
        <f t="array" ref="AL437">IF(AF437&lt;&gt;"A","",IFERROR((IFERROR(_xlfn.XLOOKUP(TRIM(SUBSTITUTE(U437,CHAR(160)," ")),$BJ$15:$BJ$62,$BM$15:$BM$62),IFERROR(_xlfn.XLOOKUP(TRIM(SUBSTITUTE(U437,CHAR(160)," ")),$BK$15:$BK$62,$BM$15:$BM$62),_xlfn.XLOOKUP(TRIM(SUBSTITUTE(U437,CHAR(160)," ")),$BL$15:$BL$62,$BM$15:$BM$62))))*T437*IF(ISBLANK(Q437),1,Q437)+IFERROR(_xlfn.XLOOKUP("RECHERCHEX",TRIM(L437:AD437),L437:AD437),0),0))</f>
        <v/>
      </c>
      <c r="AM437" s="6229">
        <f t="shared" si="185"/>
        <v>0</v>
      </c>
      <c r="AN437" s="6857" t="str">
        <f t="shared" si="200"/>
        <v/>
      </c>
      <c r="AO437" s="392">
        <f t="shared" si="186"/>
        <v>0</v>
      </c>
      <c r="AP437" s="392">
        <f t="shared" si="187"/>
        <v>0</v>
      </c>
      <c r="AQ437" s="6191">
        <f t="shared" si="188"/>
        <v>0</v>
      </c>
      <c r="AR437" s="6859" t="str">
        <f t="shared" si="189"/>
        <v/>
      </c>
      <c r="AS437" s="6217"/>
      <c r="AT437" s="6217"/>
      <c r="AU437" s="6272">
        <f t="shared" si="190"/>
        <v>0</v>
      </c>
      <c r="AV437" s="6240">
        <f t="shared" si="191"/>
        <v>0</v>
      </c>
      <c r="AW437" s="6189" cm="1">
        <f t="array" ref="AW437">IF(AK437&lt;&gt;1,0,IF(OR(AU437="",N(AU437)&lt;=0.000000001),"",IF(OR(AO437="",N(AO437)&lt;=0.000000001),0,IF(ISNUMBER(AU437),IFERROR(_xlfn.LET(_xlpm.ai_test,TRIM(AJ437),_xlpm.r,IFERROR(_xlfn.XLOOKUP(_xlpm.ai_test,$BJ$15:$BJ$62,ROW($BJ$15:$BJ$62),0,1),IFERROR(_xlfn.XLOOKUP(_xlpm.ai_test,$BK$15:$BK$62,ROW($BK$15:$BK$62),0,1),_xlfn.XLOOKUP(_xlpm.ai_test,$BL$15:$BL$62,ROW($BL$15:$BL$62),0,1))),_xlpm.p,_xlpm.r-MIN(ROW($BJ$15:$BJ$62))+1,_xlpm.f,INDEX($BM$15:$BM$62,_xlpm.p),_xlpm.u,INDEX($BN$15:$BN$62,_xlpm.p),_xlpm.s,INDEX($BP$15:$BP$62,_xlpm.p),_xlpm.q,N(AU437)/_xlpm.f,IF(_xlpm.q&gt;=_xlpm.s,ROUND(_xlpm.q,1)&amp;" "&amp;_xlpm.ai_test&amp;" = "&amp;ROUND(_xlpm.q*_xlpm.f,1)&amp;" "&amp;_xlpm.u,ROUND(_xlpm.q,1)&amp;" "&amp;_xlpm.ai_test)),""),""))))</f>
        <v>0</v>
      </c>
      <c r="AX437" s="6218"/>
      <c r="AY437" s="6272">
        <f t="shared" si="192"/>
        <v>0</v>
      </c>
      <c r="AZ437" s="6240" t="str">
        <f t="shared" si="193"/>
        <v/>
      </c>
      <c r="BA437" s="6195">
        <f t="shared" si="198"/>
        <v>0</v>
      </c>
      <c r="BB437" s="6193" t="str">
        <f t="shared" si="194"/>
        <v/>
      </c>
      <c r="BC437" s="6219"/>
      <c r="BD437" s="6222">
        <f t="shared" si="199"/>
        <v>0</v>
      </c>
      <c r="BE437" s="6220" t="str">
        <f t="shared" si="195"/>
        <v/>
      </c>
      <c r="BF437" s="4" t="s">
        <v>1</v>
      </c>
      <c r="BG437" s="6196">
        <f t="shared" si="196"/>
        <v>0</v>
      </c>
      <c r="BH437" s="6197">
        <f t="shared" si="197"/>
        <v>0</v>
      </c>
      <c r="BI437"/>
      <c r="BJ437" s="1"/>
      <c r="BK437" s="1"/>
      <c r="BL437" s="1"/>
      <c r="BM437" s="1"/>
      <c r="BN437" s="1"/>
      <c r="BO437" s="1"/>
      <c r="BP437" s="1"/>
      <c r="BQ437" s="1"/>
      <c r="BX437" s="20" t="str">
        <f t="shared" si="178"/>
        <v>►</v>
      </c>
      <c r="BY437" s="2"/>
      <c r="BZ437" s="2"/>
      <c r="CA437" s="2"/>
      <c r="CB437" s="2"/>
      <c r="CC437" s="2"/>
      <c r="DC437" s="5">
        <v>1</v>
      </c>
    </row>
    <row r="438" spans="12:107" ht="21" customHeight="1">
      <c r="L438" s="1021" t="s">
        <v>26</v>
      </c>
      <c r="M438" s="6787"/>
      <c r="N438" s="6787"/>
      <c r="O438" s="6787"/>
      <c r="P438" s="6788"/>
      <c r="Q438" s="6789"/>
      <c r="R438" s="6790"/>
      <c r="S438" s="6786"/>
      <c r="T438" s="6791"/>
      <c r="U438" s="6844"/>
      <c r="V438" s="6791"/>
      <c r="W438" s="6785"/>
      <c r="X438" s="6868"/>
      <c r="Y438" s="6793"/>
      <c r="Z438" s="6794"/>
      <c r="AA438" s="6795"/>
      <c r="AB438" s="6796"/>
      <c r="AC438" s="6797"/>
      <c r="AD438" s="6798"/>
      <c r="AE438" s="4" t="s">
        <v>1</v>
      </c>
      <c r="AF438" s="6202" t="str">
        <f t="shared" si="179"/>
        <v>►</v>
      </c>
      <c r="AG438" s="6234" t="str">
        <f t="shared" si="180"/>
        <v/>
      </c>
      <c r="AH438" s="6732" t="str">
        <f t="shared" si="181"/>
        <v/>
      </c>
      <c r="AI438" s="6234" t="str">
        <f t="shared" si="182"/>
        <v/>
      </c>
      <c r="AJ438" s="6732" t="str">
        <f t="shared" si="183"/>
        <v/>
      </c>
      <c r="AK438" s="6732">
        <f t="shared" si="184"/>
        <v>0</v>
      </c>
      <c r="AL438" s="6230" t="str" cm="1">
        <f t="array" ref="AL438">IF(AF438&lt;&gt;"A","",IFERROR((IFERROR(_xlfn.XLOOKUP(TRIM(SUBSTITUTE(U438,CHAR(160)," ")),$BJ$15:$BJ$62,$BM$15:$BM$62),IFERROR(_xlfn.XLOOKUP(TRIM(SUBSTITUTE(U438,CHAR(160)," ")),$BK$15:$BK$62,$BM$15:$BM$62),_xlfn.XLOOKUP(TRIM(SUBSTITUTE(U438,CHAR(160)," ")),$BL$15:$BL$62,$BM$15:$BM$62))))*T438*IF(ISBLANK(Q438),1,Q438)+IFERROR(_xlfn.XLOOKUP("RECHERCHEX",TRIM(L438:AD438),L438:AD438),0),0))</f>
        <v/>
      </c>
      <c r="AM438" s="6229">
        <f t="shared" si="185"/>
        <v>0</v>
      </c>
      <c r="AN438" s="6857" t="str">
        <f t="shared" si="200"/>
        <v/>
      </c>
      <c r="AO438" s="392">
        <f t="shared" si="186"/>
        <v>0</v>
      </c>
      <c r="AP438" s="392">
        <f t="shared" si="187"/>
        <v>0</v>
      </c>
      <c r="AQ438" s="6190">
        <f t="shared" si="188"/>
        <v>0</v>
      </c>
      <c r="AR438" s="6858" t="str">
        <f t="shared" si="189"/>
        <v/>
      </c>
      <c r="AS438" s="6217"/>
      <c r="AT438" s="6217"/>
      <c r="AU438" s="6271">
        <f t="shared" si="190"/>
        <v>0</v>
      </c>
      <c r="AV438" s="6242">
        <f t="shared" si="191"/>
        <v>0</v>
      </c>
      <c r="AW438" s="6188" cm="1">
        <f t="array" ref="AW438">IF(AK438&lt;&gt;1,0,IF(OR(AU438="",N(AU438)&lt;=0.000000001),"",IF(OR(AO438="",N(AO438)&lt;=0.000000001),0,IF(ISNUMBER(AU438),IFERROR(_xlfn.LET(_xlpm.ai_test,TRIM(AJ438),_xlpm.r,IFERROR(_xlfn.XLOOKUP(_xlpm.ai_test,$BJ$15:$BJ$62,ROW($BJ$15:$BJ$62),0,1),IFERROR(_xlfn.XLOOKUP(_xlpm.ai_test,$BK$15:$BK$62,ROW($BK$15:$BK$62),0,1),_xlfn.XLOOKUP(_xlpm.ai_test,$BL$15:$BL$62,ROW($BL$15:$BL$62),0,1))),_xlpm.p,_xlpm.r-MIN(ROW($BJ$15:$BJ$62))+1,_xlpm.f,INDEX($BM$15:$BM$62,_xlpm.p),_xlpm.u,INDEX($BN$15:$BN$62,_xlpm.p),_xlpm.s,INDEX($BP$15:$BP$62,_xlpm.p),_xlpm.q,N(AU438)/_xlpm.f,IF(_xlpm.q&gt;=_xlpm.s,ROUND(_xlpm.q,1)&amp;" "&amp;_xlpm.ai_test&amp;" = "&amp;ROUND(_xlpm.q*_xlpm.f,1)&amp;" "&amp;_xlpm.u,ROUND(_xlpm.q,1)&amp;" "&amp;_xlpm.ai_test)),""),""))))</f>
        <v>0</v>
      </c>
      <c r="AX438" s="6218"/>
      <c r="AY438" s="6271">
        <f t="shared" si="192"/>
        <v>0</v>
      </c>
      <c r="AZ438" s="6242" t="str">
        <f t="shared" si="193"/>
        <v/>
      </c>
      <c r="BA438" s="6194">
        <f t="shared" si="198"/>
        <v>0</v>
      </c>
      <c r="BB438" s="6192" t="str">
        <f t="shared" si="194"/>
        <v/>
      </c>
      <c r="BC438" s="6219"/>
      <c r="BD438" s="6221">
        <f t="shared" si="199"/>
        <v>0</v>
      </c>
      <c r="BE438" s="6220" t="str">
        <f t="shared" si="195"/>
        <v/>
      </c>
      <c r="BF438" s="4" t="s">
        <v>1</v>
      </c>
      <c r="BG438" s="6196">
        <f t="shared" si="196"/>
        <v>0</v>
      </c>
      <c r="BH438" s="6197">
        <f t="shared" si="197"/>
        <v>0</v>
      </c>
      <c r="BI438"/>
      <c r="BJ438" s="1"/>
      <c r="BK438" s="1"/>
      <c r="BL438" s="1"/>
      <c r="BM438" s="1"/>
      <c r="BN438" s="1"/>
      <c r="BO438" s="1"/>
      <c r="BP438" s="1"/>
      <c r="BQ438" s="1"/>
      <c r="BX438" s="20" t="str">
        <f t="shared" si="178"/>
        <v>►</v>
      </c>
      <c r="BY438" s="2"/>
      <c r="BZ438" s="2"/>
      <c r="CA438" s="2"/>
      <c r="CB438" s="2"/>
      <c r="CC438" s="2"/>
      <c r="DC438" s="5">
        <v>1</v>
      </c>
    </row>
    <row r="439" spans="12:107" ht="21" customHeight="1">
      <c r="L439" s="1021" t="s">
        <v>26</v>
      </c>
      <c r="M439" s="6787"/>
      <c r="N439" s="6787"/>
      <c r="O439" s="6787"/>
      <c r="P439" s="6788"/>
      <c r="Q439" s="6789"/>
      <c r="R439" s="6790"/>
      <c r="S439" s="6786"/>
      <c r="T439" s="6791"/>
      <c r="U439" s="6844"/>
      <c r="V439" s="6791"/>
      <c r="W439" s="6785"/>
      <c r="X439" s="6868"/>
      <c r="Y439" s="6793"/>
      <c r="Z439" s="6794"/>
      <c r="AA439" s="6795"/>
      <c r="AB439" s="6796"/>
      <c r="AC439" s="6797"/>
      <c r="AD439" s="6798"/>
      <c r="AE439" s="4" t="s">
        <v>1</v>
      </c>
      <c r="AF439" s="6202" t="str">
        <f t="shared" si="179"/>
        <v>►</v>
      </c>
      <c r="AG439" s="6234" t="str">
        <f t="shared" si="180"/>
        <v/>
      </c>
      <c r="AH439" s="6732" t="str">
        <f t="shared" si="181"/>
        <v/>
      </c>
      <c r="AI439" s="6234" t="str">
        <f t="shared" si="182"/>
        <v/>
      </c>
      <c r="AJ439" s="6732" t="str">
        <f t="shared" si="183"/>
        <v/>
      </c>
      <c r="AK439" s="6732">
        <f t="shared" si="184"/>
        <v>0</v>
      </c>
      <c r="AL439" s="6230" t="str" cm="1">
        <f t="array" ref="AL439">IF(AF439&lt;&gt;"A","",IFERROR((IFERROR(_xlfn.XLOOKUP(TRIM(SUBSTITUTE(U439,CHAR(160)," ")),$BJ$15:$BJ$62,$BM$15:$BM$62),IFERROR(_xlfn.XLOOKUP(TRIM(SUBSTITUTE(U439,CHAR(160)," ")),$BK$15:$BK$62,$BM$15:$BM$62),_xlfn.XLOOKUP(TRIM(SUBSTITUTE(U439,CHAR(160)," ")),$BL$15:$BL$62,$BM$15:$BM$62))))*T439*IF(ISBLANK(Q439),1,Q439)+IFERROR(_xlfn.XLOOKUP("RECHERCHEX",TRIM(L439:AD439),L439:AD439),0),0))</f>
        <v/>
      </c>
      <c r="AM439" s="6229">
        <f t="shared" si="185"/>
        <v>0</v>
      </c>
      <c r="AN439" s="6857" t="str">
        <f t="shared" si="200"/>
        <v/>
      </c>
      <c r="AO439" s="392">
        <f t="shared" si="186"/>
        <v>0</v>
      </c>
      <c r="AP439" s="392">
        <f t="shared" si="187"/>
        <v>0</v>
      </c>
      <c r="AQ439" s="6191">
        <f t="shared" si="188"/>
        <v>0</v>
      </c>
      <c r="AR439" s="6859" t="str">
        <f t="shared" si="189"/>
        <v/>
      </c>
      <c r="AS439" s="6217"/>
      <c r="AT439" s="6217"/>
      <c r="AU439" s="6272">
        <f t="shared" si="190"/>
        <v>0</v>
      </c>
      <c r="AV439" s="6240">
        <f t="shared" si="191"/>
        <v>0</v>
      </c>
      <c r="AW439" s="6189" cm="1">
        <f t="array" ref="AW439">IF(AK439&lt;&gt;1,0,IF(OR(AU439="",N(AU439)&lt;=0.000000001),"",IF(OR(AO439="",N(AO439)&lt;=0.000000001),0,IF(ISNUMBER(AU439),IFERROR(_xlfn.LET(_xlpm.ai_test,TRIM(AJ439),_xlpm.r,IFERROR(_xlfn.XLOOKUP(_xlpm.ai_test,$BJ$15:$BJ$62,ROW($BJ$15:$BJ$62),0,1),IFERROR(_xlfn.XLOOKUP(_xlpm.ai_test,$BK$15:$BK$62,ROW($BK$15:$BK$62),0,1),_xlfn.XLOOKUP(_xlpm.ai_test,$BL$15:$BL$62,ROW($BL$15:$BL$62),0,1))),_xlpm.p,_xlpm.r-MIN(ROW($BJ$15:$BJ$62))+1,_xlpm.f,INDEX($BM$15:$BM$62,_xlpm.p),_xlpm.u,INDEX($BN$15:$BN$62,_xlpm.p),_xlpm.s,INDEX($BP$15:$BP$62,_xlpm.p),_xlpm.q,N(AU439)/_xlpm.f,IF(_xlpm.q&gt;=_xlpm.s,ROUND(_xlpm.q,1)&amp;" "&amp;_xlpm.ai_test&amp;" = "&amp;ROUND(_xlpm.q*_xlpm.f,1)&amp;" "&amp;_xlpm.u,ROUND(_xlpm.q,1)&amp;" "&amp;_xlpm.ai_test)),""),""))))</f>
        <v>0</v>
      </c>
      <c r="AX439" s="6218"/>
      <c r="AY439" s="6272">
        <f t="shared" si="192"/>
        <v>0</v>
      </c>
      <c r="AZ439" s="6240" t="str">
        <f t="shared" si="193"/>
        <v/>
      </c>
      <c r="BA439" s="6195">
        <f t="shared" si="198"/>
        <v>0</v>
      </c>
      <c r="BB439" s="6193" t="str">
        <f t="shared" si="194"/>
        <v/>
      </c>
      <c r="BC439" s="6219"/>
      <c r="BD439" s="6222">
        <f t="shared" si="199"/>
        <v>0</v>
      </c>
      <c r="BE439" s="6220" t="str">
        <f t="shared" si="195"/>
        <v/>
      </c>
      <c r="BF439" s="4" t="s">
        <v>1</v>
      </c>
      <c r="BG439" s="6196">
        <f t="shared" si="196"/>
        <v>0</v>
      </c>
      <c r="BH439" s="6197">
        <f t="shared" si="197"/>
        <v>0</v>
      </c>
      <c r="BI439"/>
      <c r="BJ439" s="1"/>
      <c r="BK439" s="1"/>
      <c r="BL439" s="1"/>
      <c r="BM439" s="1"/>
      <c r="BN439" s="1"/>
      <c r="BO439" s="1"/>
      <c r="BP439" s="1"/>
      <c r="BQ439" s="1"/>
      <c r="BX439" s="20" t="str">
        <f t="shared" si="178"/>
        <v>►</v>
      </c>
      <c r="BY439" s="2"/>
      <c r="BZ439" s="2"/>
      <c r="CA439" s="2"/>
      <c r="CB439" s="2"/>
      <c r="CC439" s="2"/>
      <c r="DC439" s="5">
        <v>1</v>
      </c>
    </row>
    <row r="440" spans="12:107" ht="21" customHeight="1">
      <c r="L440" s="1021" t="s">
        <v>26</v>
      </c>
      <c r="M440" s="6787"/>
      <c r="N440" s="6787"/>
      <c r="O440" s="6787"/>
      <c r="P440" s="6788"/>
      <c r="Q440" s="6789"/>
      <c r="R440" s="6790"/>
      <c r="S440" s="6786"/>
      <c r="T440" s="6791"/>
      <c r="U440" s="6844"/>
      <c r="V440" s="6791"/>
      <c r="W440" s="6785"/>
      <c r="X440" s="6868"/>
      <c r="Y440" s="6793"/>
      <c r="Z440" s="6794"/>
      <c r="AA440" s="6795"/>
      <c r="AB440" s="6796"/>
      <c r="AC440" s="6797"/>
      <c r="AD440" s="6798"/>
      <c r="AE440" s="4" t="s">
        <v>1</v>
      </c>
      <c r="AF440" s="6202" t="str">
        <f t="shared" si="179"/>
        <v>►</v>
      </c>
      <c r="AG440" s="6234" t="str">
        <f t="shared" si="180"/>
        <v/>
      </c>
      <c r="AH440" s="6732" t="str">
        <f t="shared" si="181"/>
        <v/>
      </c>
      <c r="AI440" s="6234" t="str">
        <f t="shared" si="182"/>
        <v/>
      </c>
      <c r="AJ440" s="6732" t="str">
        <f t="shared" si="183"/>
        <v/>
      </c>
      <c r="AK440" s="6732">
        <f t="shared" si="184"/>
        <v>0</v>
      </c>
      <c r="AL440" s="6230" t="str" cm="1">
        <f t="array" ref="AL440">IF(AF440&lt;&gt;"A","",IFERROR((IFERROR(_xlfn.XLOOKUP(TRIM(SUBSTITUTE(U440,CHAR(160)," ")),$BJ$15:$BJ$62,$BM$15:$BM$62),IFERROR(_xlfn.XLOOKUP(TRIM(SUBSTITUTE(U440,CHAR(160)," ")),$BK$15:$BK$62,$BM$15:$BM$62),_xlfn.XLOOKUP(TRIM(SUBSTITUTE(U440,CHAR(160)," ")),$BL$15:$BL$62,$BM$15:$BM$62))))*T440*IF(ISBLANK(Q440),1,Q440)+IFERROR(_xlfn.XLOOKUP("RECHERCHEX",TRIM(L440:AD440),L440:AD440),0),0))</f>
        <v/>
      </c>
      <c r="AM440" s="6229">
        <f t="shared" si="185"/>
        <v>0</v>
      </c>
      <c r="AN440" s="6857" t="str">
        <f t="shared" si="200"/>
        <v/>
      </c>
      <c r="AO440" s="392">
        <f t="shared" si="186"/>
        <v>0</v>
      </c>
      <c r="AP440" s="392">
        <f t="shared" si="187"/>
        <v>0</v>
      </c>
      <c r="AQ440" s="6190">
        <f t="shared" si="188"/>
        <v>0</v>
      </c>
      <c r="AR440" s="6858" t="str">
        <f t="shared" si="189"/>
        <v/>
      </c>
      <c r="AS440" s="6217"/>
      <c r="AT440" s="6217"/>
      <c r="AU440" s="6271">
        <f t="shared" si="190"/>
        <v>0</v>
      </c>
      <c r="AV440" s="6242">
        <f t="shared" si="191"/>
        <v>0</v>
      </c>
      <c r="AW440" s="6188" cm="1">
        <f t="array" ref="AW440">IF(AK440&lt;&gt;1,0,IF(OR(AU440="",N(AU440)&lt;=0.000000001),"",IF(OR(AO440="",N(AO440)&lt;=0.000000001),0,IF(ISNUMBER(AU440),IFERROR(_xlfn.LET(_xlpm.ai_test,TRIM(AJ440),_xlpm.r,IFERROR(_xlfn.XLOOKUP(_xlpm.ai_test,$BJ$15:$BJ$62,ROW($BJ$15:$BJ$62),0,1),IFERROR(_xlfn.XLOOKUP(_xlpm.ai_test,$BK$15:$BK$62,ROW($BK$15:$BK$62),0,1),_xlfn.XLOOKUP(_xlpm.ai_test,$BL$15:$BL$62,ROW($BL$15:$BL$62),0,1))),_xlpm.p,_xlpm.r-MIN(ROW($BJ$15:$BJ$62))+1,_xlpm.f,INDEX($BM$15:$BM$62,_xlpm.p),_xlpm.u,INDEX($BN$15:$BN$62,_xlpm.p),_xlpm.s,INDEX($BP$15:$BP$62,_xlpm.p),_xlpm.q,N(AU440)/_xlpm.f,IF(_xlpm.q&gt;=_xlpm.s,ROUND(_xlpm.q,1)&amp;" "&amp;_xlpm.ai_test&amp;" = "&amp;ROUND(_xlpm.q*_xlpm.f,1)&amp;" "&amp;_xlpm.u,ROUND(_xlpm.q,1)&amp;" "&amp;_xlpm.ai_test)),""),""))))</f>
        <v>0</v>
      </c>
      <c r="AX440" s="6218"/>
      <c r="AY440" s="6271">
        <f t="shared" si="192"/>
        <v>0</v>
      </c>
      <c r="AZ440" s="6242" t="str">
        <f t="shared" si="193"/>
        <v/>
      </c>
      <c r="BA440" s="6194">
        <f t="shared" si="198"/>
        <v>0</v>
      </c>
      <c r="BB440" s="6192" t="str">
        <f t="shared" si="194"/>
        <v/>
      </c>
      <c r="BC440" s="6219"/>
      <c r="BD440" s="6221">
        <f t="shared" si="199"/>
        <v>0</v>
      </c>
      <c r="BE440" s="6220" t="str">
        <f t="shared" si="195"/>
        <v/>
      </c>
      <c r="BF440" s="4" t="s">
        <v>1</v>
      </c>
      <c r="BG440" s="6196">
        <f t="shared" si="196"/>
        <v>0</v>
      </c>
      <c r="BH440" s="6197">
        <f t="shared" si="197"/>
        <v>0</v>
      </c>
      <c r="BI440"/>
      <c r="BJ440" s="1"/>
      <c r="BK440" s="1"/>
      <c r="BL440" s="1"/>
      <c r="BM440" s="1"/>
      <c r="BN440" s="1"/>
      <c r="BO440" s="1"/>
      <c r="BP440" s="1"/>
      <c r="BQ440" s="1"/>
      <c r="BX440" s="20" t="str">
        <f t="shared" si="178"/>
        <v>►</v>
      </c>
      <c r="BY440" s="2"/>
      <c r="BZ440" s="2"/>
      <c r="CA440" s="2"/>
      <c r="CB440" s="2"/>
      <c r="CC440" s="2"/>
      <c r="DC440" s="5">
        <v>1</v>
      </c>
    </row>
    <row r="441" spans="12:107" ht="21" customHeight="1">
      <c r="L441" s="1021" t="s">
        <v>26</v>
      </c>
      <c r="M441" s="6787"/>
      <c r="N441" s="6787"/>
      <c r="O441" s="6787"/>
      <c r="P441" s="6788"/>
      <c r="Q441" s="6789"/>
      <c r="R441" s="6790"/>
      <c r="S441" s="6786"/>
      <c r="T441" s="6791"/>
      <c r="U441" s="6844"/>
      <c r="V441" s="6791"/>
      <c r="W441" s="6785"/>
      <c r="X441" s="6868"/>
      <c r="Y441" s="6793"/>
      <c r="Z441" s="6794"/>
      <c r="AA441" s="6795"/>
      <c r="AB441" s="6796"/>
      <c r="AC441" s="6797"/>
      <c r="AD441" s="6798"/>
      <c r="AE441" s="4" t="s">
        <v>1</v>
      </c>
      <c r="AF441" s="6202" t="str">
        <f t="shared" si="179"/>
        <v>►</v>
      </c>
      <c r="AG441" s="6234" t="str">
        <f t="shared" si="180"/>
        <v/>
      </c>
      <c r="AH441" s="6732" t="str">
        <f t="shared" si="181"/>
        <v/>
      </c>
      <c r="AI441" s="6234" t="str">
        <f t="shared" si="182"/>
        <v/>
      </c>
      <c r="AJ441" s="6732" t="str">
        <f t="shared" si="183"/>
        <v/>
      </c>
      <c r="AK441" s="6732">
        <f t="shared" si="184"/>
        <v>0</v>
      </c>
      <c r="AL441" s="6230" t="str" cm="1">
        <f t="array" ref="AL441">IF(AF441&lt;&gt;"A","",IFERROR((IFERROR(_xlfn.XLOOKUP(TRIM(SUBSTITUTE(U441,CHAR(160)," ")),$BJ$15:$BJ$62,$BM$15:$BM$62),IFERROR(_xlfn.XLOOKUP(TRIM(SUBSTITUTE(U441,CHAR(160)," ")),$BK$15:$BK$62,$BM$15:$BM$62),_xlfn.XLOOKUP(TRIM(SUBSTITUTE(U441,CHAR(160)," ")),$BL$15:$BL$62,$BM$15:$BM$62))))*T441*IF(ISBLANK(Q441),1,Q441)+IFERROR(_xlfn.XLOOKUP("RECHERCHEX",TRIM(L441:AD441),L441:AD441),0),0))</f>
        <v/>
      </c>
      <c r="AM441" s="6229">
        <f t="shared" si="185"/>
        <v>0</v>
      </c>
      <c r="AN441" s="6857" t="str">
        <f t="shared" si="200"/>
        <v/>
      </c>
      <c r="AO441" s="392">
        <f t="shared" si="186"/>
        <v>0</v>
      </c>
      <c r="AP441" s="392">
        <f t="shared" si="187"/>
        <v>0</v>
      </c>
      <c r="AQ441" s="6191">
        <f t="shared" si="188"/>
        <v>0</v>
      </c>
      <c r="AR441" s="6859" t="str">
        <f t="shared" si="189"/>
        <v/>
      </c>
      <c r="AS441" s="6217"/>
      <c r="AT441" s="6217"/>
      <c r="AU441" s="6272">
        <f t="shared" si="190"/>
        <v>0</v>
      </c>
      <c r="AV441" s="6240">
        <f t="shared" si="191"/>
        <v>0</v>
      </c>
      <c r="AW441" s="6189" cm="1">
        <f t="array" ref="AW441">IF(AK441&lt;&gt;1,0,IF(OR(AU441="",N(AU441)&lt;=0.000000001),"",IF(OR(AO441="",N(AO441)&lt;=0.000000001),0,IF(ISNUMBER(AU441),IFERROR(_xlfn.LET(_xlpm.ai_test,TRIM(AJ441),_xlpm.r,IFERROR(_xlfn.XLOOKUP(_xlpm.ai_test,$BJ$15:$BJ$62,ROW($BJ$15:$BJ$62),0,1),IFERROR(_xlfn.XLOOKUP(_xlpm.ai_test,$BK$15:$BK$62,ROW($BK$15:$BK$62),0,1),_xlfn.XLOOKUP(_xlpm.ai_test,$BL$15:$BL$62,ROW($BL$15:$BL$62),0,1))),_xlpm.p,_xlpm.r-MIN(ROW($BJ$15:$BJ$62))+1,_xlpm.f,INDEX($BM$15:$BM$62,_xlpm.p),_xlpm.u,INDEX($BN$15:$BN$62,_xlpm.p),_xlpm.s,INDEX($BP$15:$BP$62,_xlpm.p),_xlpm.q,N(AU441)/_xlpm.f,IF(_xlpm.q&gt;=_xlpm.s,ROUND(_xlpm.q,1)&amp;" "&amp;_xlpm.ai_test&amp;" = "&amp;ROUND(_xlpm.q*_xlpm.f,1)&amp;" "&amp;_xlpm.u,ROUND(_xlpm.q,1)&amp;" "&amp;_xlpm.ai_test)),""),""))))</f>
        <v>0</v>
      </c>
      <c r="AX441" s="6218"/>
      <c r="AY441" s="6272">
        <f t="shared" si="192"/>
        <v>0</v>
      </c>
      <c r="AZ441" s="6240" t="str">
        <f t="shared" si="193"/>
        <v/>
      </c>
      <c r="BA441" s="6195">
        <f t="shared" si="198"/>
        <v>0</v>
      </c>
      <c r="BB441" s="6193" t="str">
        <f t="shared" si="194"/>
        <v/>
      </c>
      <c r="BC441" s="6219"/>
      <c r="BD441" s="6222">
        <f t="shared" si="199"/>
        <v>0</v>
      </c>
      <c r="BE441" s="6220" t="str">
        <f t="shared" si="195"/>
        <v/>
      </c>
      <c r="BF441" s="4" t="s">
        <v>1</v>
      </c>
      <c r="BG441" s="6196">
        <f t="shared" si="196"/>
        <v>0</v>
      </c>
      <c r="BH441" s="6197">
        <f t="shared" si="197"/>
        <v>0</v>
      </c>
      <c r="BI441"/>
      <c r="BJ441" s="1"/>
      <c r="BK441" s="1"/>
      <c r="BL441" s="1"/>
      <c r="BM441" s="1"/>
      <c r="BN441" s="1"/>
      <c r="BO441" s="1"/>
      <c r="BP441" s="1"/>
      <c r="BQ441" s="1"/>
      <c r="BX441" s="20" t="str">
        <f t="shared" si="178"/>
        <v>►</v>
      </c>
      <c r="BY441" s="2"/>
      <c r="BZ441" s="2"/>
      <c r="CA441" s="2"/>
      <c r="CB441" s="2"/>
      <c r="CC441" s="2"/>
      <c r="DC441" s="5">
        <v>1</v>
      </c>
    </row>
    <row r="442" spans="12:107" ht="21" customHeight="1">
      <c r="L442" s="1021" t="s">
        <v>26</v>
      </c>
      <c r="M442" s="6787"/>
      <c r="N442" s="6787"/>
      <c r="O442" s="6787"/>
      <c r="P442" s="6788"/>
      <c r="Q442" s="6789"/>
      <c r="R442" s="6790"/>
      <c r="S442" s="6786"/>
      <c r="T442" s="6791"/>
      <c r="U442" s="6844"/>
      <c r="V442" s="6791"/>
      <c r="W442" s="6785"/>
      <c r="X442" s="6868"/>
      <c r="Y442" s="6793"/>
      <c r="Z442" s="6794"/>
      <c r="AA442" s="6795"/>
      <c r="AB442" s="6796"/>
      <c r="AC442" s="6797"/>
      <c r="AD442" s="6798"/>
      <c r="AE442" s="4" t="s">
        <v>1</v>
      </c>
      <c r="AF442" s="6202" t="str">
        <f t="shared" si="179"/>
        <v>►</v>
      </c>
      <c r="AG442" s="6234" t="str">
        <f t="shared" si="180"/>
        <v/>
      </c>
      <c r="AH442" s="6732" t="str">
        <f t="shared" si="181"/>
        <v/>
      </c>
      <c r="AI442" s="6234" t="str">
        <f t="shared" si="182"/>
        <v/>
      </c>
      <c r="AJ442" s="6732" t="str">
        <f t="shared" si="183"/>
        <v/>
      </c>
      <c r="AK442" s="6732">
        <f t="shared" si="184"/>
        <v>0</v>
      </c>
      <c r="AL442" s="6230" t="str" cm="1">
        <f t="array" ref="AL442">IF(AF442&lt;&gt;"A","",IFERROR((IFERROR(_xlfn.XLOOKUP(TRIM(SUBSTITUTE(U442,CHAR(160)," ")),$BJ$15:$BJ$62,$BM$15:$BM$62),IFERROR(_xlfn.XLOOKUP(TRIM(SUBSTITUTE(U442,CHAR(160)," ")),$BK$15:$BK$62,$BM$15:$BM$62),_xlfn.XLOOKUP(TRIM(SUBSTITUTE(U442,CHAR(160)," ")),$BL$15:$BL$62,$BM$15:$BM$62))))*T442*IF(ISBLANK(Q442),1,Q442)+IFERROR(_xlfn.XLOOKUP("RECHERCHEX",TRIM(L442:AD442),L442:AD442),0),0))</f>
        <v/>
      </c>
      <c r="AM442" s="6229">
        <f t="shared" si="185"/>
        <v>0</v>
      </c>
      <c r="AN442" s="6857" t="str">
        <f t="shared" si="200"/>
        <v/>
      </c>
      <c r="AO442" s="392">
        <f t="shared" si="186"/>
        <v>0</v>
      </c>
      <c r="AP442" s="392">
        <f t="shared" si="187"/>
        <v>0</v>
      </c>
      <c r="AQ442" s="6190">
        <f t="shared" si="188"/>
        <v>0</v>
      </c>
      <c r="AR442" s="6858" t="str">
        <f t="shared" si="189"/>
        <v/>
      </c>
      <c r="AS442" s="6217"/>
      <c r="AT442" s="6217"/>
      <c r="AU442" s="6271">
        <f t="shared" si="190"/>
        <v>0</v>
      </c>
      <c r="AV442" s="6242">
        <f t="shared" si="191"/>
        <v>0</v>
      </c>
      <c r="AW442" s="6188" cm="1">
        <f t="array" ref="AW442">IF(AK442&lt;&gt;1,0,IF(OR(AU442="",N(AU442)&lt;=0.000000001),"",IF(OR(AO442="",N(AO442)&lt;=0.000000001),0,IF(ISNUMBER(AU442),IFERROR(_xlfn.LET(_xlpm.ai_test,TRIM(AJ442),_xlpm.r,IFERROR(_xlfn.XLOOKUP(_xlpm.ai_test,$BJ$15:$BJ$62,ROW($BJ$15:$BJ$62),0,1),IFERROR(_xlfn.XLOOKUP(_xlpm.ai_test,$BK$15:$BK$62,ROW($BK$15:$BK$62),0,1),_xlfn.XLOOKUP(_xlpm.ai_test,$BL$15:$BL$62,ROW($BL$15:$BL$62),0,1))),_xlpm.p,_xlpm.r-MIN(ROW($BJ$15:$BJ$62))+1,_xlpm.f,INDEX($BM$15:$BM$62,_xlpm.p),_xlpm.u,INDEX($BN$15:$BN$62,_xlpm.p),_xlpm.s,INDEX($BP$15:$BP$62,_xlpm.p),_xlpm.q,N(AU442)/_xlpm.f,IF(_xlpm.q&gt;=_xlpm.s,ROUND(_xlpm.q,1)&amp;" "&amp;_xlpm.ai_test&amp;" = "&amp;ROUND(_xlpm.q*_xlpm.f,1)&amp;" "&amp;_xlpm.u,ROUND(_xlpm.q,1)&amp;" "&amp;_xlpm.ai_test)),""),""))))</f>
        <v>0</v>
      </c>
      <c r="AX442" s="6218"/>
      <c r="AY442" s="6271">
        <f t="shared" si="192"/>
        <v>0</v>
      </c>
      <c r="AZ442" s="6242" t="str">
        <f t="shared" si="193"/>
        <v/>
      </c>
      <c r="BA442" s="6194">
        <f t="shared" si="198"/>
        <v>0</v>
      </c>
      <c r="BB442" s="6192" t="str">
        <f t="shared" si="194"/>
        <v/>
      </c>
      <c r="BC442" s="6219"/>
      <c r="BD442" s="6221">
        <f t="shared" si="199"/>
        <v>0</v>
      </c>
      <c r="BE442" s="6220" t="str">
        <f t="shared" si="195"/>
        <v/>
      </c>
      <c r="BF442" s="4" t="s">
        <v>1</v>
      </c>
      <c r="BG442" s="6196">
        <f t="shared" si="196"/>
        <v>0</v>
      </c>
      <c r="BH442" s="6197">
        <f t="shared" si="197"/>
        <v>0</v>
      </c>
      <c r="BI442"/>
      <c r="BJ442" s="1"/>
      <c r="BK442" s="1"/>
      <c r="BL442" s="1"/>
      <c r="BM442" s="1"/>
      <c r="BN442" s="1"/>
      <c r="BO442" s="1"/>
      <c r="BP442" s="1"/>
      <c r="BQ442" s="1"/>
      <c r="BX442" s="20" t="str">
        <f t="shared" si="178"/>
        <v>►</v>
      </c>
      <c r="BY442" s="2"/>
      <c r="BZ442" s="2"/>
      <c r="CA442" s="2"/>
      <c r="CB442" s="2"/>
      <c r="CC442" s="2"/>
      <c r="DC442" s="5">
        <v>1</v>
      </c>
    </row>
    <row r="443" spans="12:107" ht="21" customHeight="1">
      <c r="L443" s="1021" t="s">
        <v>26</v>
      </c>
      <c r="M443" s="6787"/>
      <c r="N443" s="6787"/>
      <c r="O443" s="6787"/>
      <c r="P443" s="6788"/>
      <c r="Q443" s="6789"/>
      <c r="R443" s="6790"/>
      <c r="S443" s="6786"/>
      <c r="T443" s="6791"/>
      <c r="U443" s="6844"/>
      <c r="V443" s="6791"/>
      <c r="W443" s="6785"/>
      <c r="X443" s="6868"/>
      <c r="Y443" s="6793"/>
      <c r="Z443" s="6794"/>
      <c r="AA443" s="6795"/>
      <c r="AB443" s="6796"/>
      <c r="AC443" s="6797"/>
      <c r="AD443" s="6798"/>
      <c r="AE443" s="4" t="s">
        <v>1</v>
      </c>
      <c r="AF443" s="6202" t="str">
        <f t="shared" si="179"/>
        <v>►</v>
      </c>
      <c r="AG443" s="6234" t="str">
        <f t="shared" si="180"/>
        <v/>
      </c>
      <c r="AH443" s="6732" t="str">
        <f t="shared" si="181"/>
        <v/>
      </c>
      <c r="AI443" s="6234" t="str">
        <f t="shared" si="182"/>
        <v/>
      </c>
      <c r="AJ443" s="6732" t="str">
        <f t="shared" si="183"/>
        <v/>
      </c>
      <c r="AK443" s="6732">
        <f t="shared" si="184"/>
        <v>0</v>
      </c>
      <c r="AL443" s="6230" t="str" cm="1">
        <f t="array" ref="AL443">IF(AF443&lt;&gt;"A","",IFERROR((IFERROR(_xlfn.XLOOKUP(TRIM(SUBSTITUTE(U443,CHAR(160)," ")),$BJ$15:$BJ$62,$BM$15:$BM$62),IFERROR(_xlfn.XLOOKUP(TRIM(SUBSTITUTE(U443,CHAR(160)," ")),$BK$15:$BK$62,$BM$15:$BM$62),_xlfn.XLOOKUP(TRIM(SUBSTITUTE(U443,CHAR(160)," ")),$BL$15:$BL$62,$BM$15:$BM$62))))*T443*IF(ISBLANK(Q443),1,Q443)+IFERROR(_xlfn.XLOOKUP("RECHERCHEX",TRIM(L443:AD443),L443:AD443),0),0))</f>
        <v/>
      </c>
      <c r="AM443" s="6229">
        <f t="shared" si="185"/>
        <v>0</v>
      </c>
      <c r="AN443" s="6857" t="str">
        <f t="shared" si="200"/>
        <v/>
      </c>
      <c r="AO443" s="392">
        <f t="shared" si="186"/>
        <v>0</v>
      </c>
      <c r="AP443" s="392">
        <f t="shared" si="187"/>
        <v>0</v>
      </c>
      <c r="AQ443" s="6191">
        <f t="shared" si="188"/>
        <v>0</v>
      </c>
      <c r="AR443" s="6859" t="str">
        <f t="shared" si="189"/>
        <v/>
      </c>
      <c r="AS443" s="6217"/>
      <c r="AT443" s="6217"/>
      <c r="AU443" s="6272">
        <f t="shared" si="190"/>
        <v>0</v>
      </c>
      <c r="AV443" s="6240">
        <f t="shared" si="191"/>
        <v>0</v>
      </c>
      <c r="AW443" s="6189" cm="1">
        <f t="array" ref="AW443">IF(AK443&lt;&gt;1,0,IF(OR(AU443="",N(AU443)&lt;=0.000000001),"",IF(OR(AO443="",N(AO443)&lt;=0.000000001),0,IF(ISNUMBER(AU443),IFERROR(_xlfn.LET(_xlpm.ai_test,TRIM(AJ443),_xlpm.r,IFERROR(_xlfn.XLOOKUP(_xlpm.ai_test,$BJ$15:$BJ$62,ROW($BJ$15:$BJ$62),0,1),IFERROR(_xlfn.XLOOKUP(_xlpm.ai_test,$BK$15:$BK$62,ROW($BK$15:$BK$62),0,1),_xlfn.XLOOKUP(_xlpm.ai_test,$BL$15:$BL$62,ROW($BL$15:$BL$62),0,1))),_xlpm.p,_xlpm.r-MIN(ROW($BJ$15:$BJ$62))+1,_xlpm.f,INDEX($BM$15:$BM$62,_xlpm.p),_xlpm.u,INDEX($BN$15:$BN$62,_xlpm.p),_xlpm.s,INDEX($BP$15:$BP$62,_xlpm.p),_xlpm.q,N(AU443)/_xlpm.f,IF(_xlpm.q&gt;=_xlpm.s,ROUND(_xlpm.q,1)&amp;" "&amp;_xlpm.ai_test&amp;" = "&amp;ROUND(_xlpm.q*_xlpm.f,1)&amp;" "&amp;_xlpm.u,ROUND(_xlpm.q,1)&amp;" "&amp;_xlpm.ai_test)),""),""))))</f>
        <v>0</v>
      </c>
      <c r="AX443" s="6218"/>
      <c r="AY443" s="6272">
        <f t="shared" si="192"/>
        <v>0</v>
      </c>
      <c r="AZ443" s="6240" t="str">
        <f t="shared" si="193"/>
        <v/>
      </c>
      <c r="BA443" s="6195">
        <f t="shared" si="198"/>
        <v>0</v>
      </c>
      <c r="BB443" s="6193" t="str">
        <f t="shared" si="194"/>
        <v/>
      </c>
      <c r="BC443" s="6219"/>
      <c r="BD443" s="6222">
        <f t="shared" si="199"/>
        <v>0</v>
      </c>
      <c r="BE443" s="6220" t="str">
        <f t="shared" si="195"/>
        <v/>
      </c>
      <c r="BF443" s="4" t="s">
        <v>1</v>
      </c>
      <c r="BG443" s="6196">
        <f t="shared" si="196"/>
        <v>0</v>
      </c>
      <c r="BH443" s="6197">
        <f t="shared" si="197"/>
        <v>0</v>
      </c>
      <c r="BI443"/>
      <c r="BJ443" s="1"/>
      <c r="BK443" s="1"/>
      <c r="BL443" s="1"/>
      <c r="BM443" s="1"/>
      <c r="BN443" s="1"/>
      <c r="BO443" s="1"/>
      <c r="BP443" s="1"/>
      <c r="BQ443" s="1"/>
      <c r="BX443" s="20" t="str">
        <f t="shared" si="178"/>
        <v>►</v>
      </c>
      <c r="BY443" s="2"/>
      <c r="BZ443" s="2"/>
      <c r="CA443" s="2"/>
      <c r="CB443" s="2"/>
      <c r="CC443" s="2"/>
      <c r="DC443" s="5">
        <v>1</v>
      </c>
    </row>
    <row r="444" spans="12:107" ht="21" customHeight="1">
      <c r="L444" s="1021" t="s">
        <v>26</v>
      </c>
      <c r="M444" s="6787"/>
      <c r="N444" s="6787"/>
      <c r="O444" s="6787"/>
      <c r="P444" s="6788"/>
      <c r="Q444" s="6789"/>
      <c r="R444" s="6790"/>
      <c r="S444" s="6786"/>
      <c r="T444" s="6791"/>
      <c r="U444" s="6844"/>
      <c r="V444" s="6791"/>
      <c r="W444" s="6785"/>
      <c r="X444" s="6868"/>
      <c r="Y444" s="6793"/>
      <c r="Z444" s="6794"/>
      <c r="AA444" s="6795"/>
      <c r="AB444" s="6796"/>
      <c r="AC444" s="6797"/>
      <c r="AD444" s="6798"/>
      <c r="AE444" s="4" t="s">
        <v>1</v>
      </c>
      <c r="AF444" s="6202" t="str">
        <f t="shared" si="179"/>
        <v>►</v>
      </c>
      <c r="AG444" s="6234" t="str">
        <f t="shared" si="180"/>
        <v/>
      </c>
      <c r="AH444" s="6732" t="str">
        <f t="shared" si="181"/>
        <v/>
      </c>
      <c r="AI444" s="6234" t="str">
        <f t="shared" si="182"/>
        <v/>
      </c>
      <c r="AJ444" s="6732" t="str">
        <f t="shared" si="183"/>
        <v/>
      </c>
      <c r="AK444" s="6732">
        <f t="shared" si="184"/>
        <v>0</v>
      </c>
      <c r="AL444" s="6230" t="str" cm="1">
        <f t="array" ref="AL444">IF(AF444&lt;&gt;"A","",IFERROR((IFERROR(_xlfn.XLOOKUP(TRIM(SUBSTITUTE(U444,CHAR(160)," ")),$BJ$15:$BJ$62,$BM$15:$BM$62),IFERROR(_xlfn.XLOOKUP(TRIM(SUBSTITUTE(U444,CHAR(160)," ")),$BK$15:$BK$62,$BM$15:$BM$62),_xlfn.XLOOKUP(TRIM(SUBSTITUTE(U444,CHAR(160)," ")),$BL$15:$BL$62,$BM$15:$BM$62))))*T444*IF(ISBLANK(Q444),1,Q444)+IFERROR(_xlfn.XLOOKUP("RECHERCHEX",TRIM(L444:AD444),L444:AD444),0),0))</f>
        <v/>
      </c>
      <c r="AM444" s="6229">
        <f t="shared" si="185"/>
        <v>0</v>
      </c>
      <c r="AN444" s="6857" t="str">
        <f t="shared" si="200"/>
        <v/>
      </c>
      <c r="AO444" s="392">
        <f t="shared" si="186"/>
        <v>0</v>
      </c>
      <c r="AP444" s="392">
        <f t="shared" si="187"/>
        <v>0</v>
      </c>
      <c r="AQ444" s="6190">
        <f t="shared" si="188"/>
        <v>0</v>
      </c>
      <c r="AR444" s="6858" t="str">
        <f t="shared" si="189"/>
        <v/>
      </c>
      <c r="AS444" s="6217"/>
      <c r="AT444" s="6217"/>
      <c r="AU444" s="6271">
        <f t="shared" si="190"/>
        <v>0</v>
      </c>
      <c r="AV444" s="6242">
        <f t="shared" si="191"/>
        <v>0</v>
      </c>
      <c r="AW444" s="6188" cm="1">
        <f t="array" ref="AW444">IF(AK444&lt;&gt;1,0,IF(OR(AU444="",N(AU444)&lt;=0.000000001),"",IF(OR(AO444="",N(AO444)&lt;=0.000000001),0,IF(ISNUMBER(AU444),IFERROR(_xlfn.LET(_xlpm.ai_test,TRIM(AJ444),_xlpm.r,IFERROR(_xlfn.XLOOKUP(_xlpm.ai_test,$BJ$15:$BJ$62,ROW($BJ$15:$BJ$62),0,1),IFERROR(_xlfn.XLOOKUP(_xlpm.ai_test,$BK$15:$BK$62,ROW($BK$15:$BK$62),0,1),_xlfn.XLOOKUP(_xlpm.ai_test,$BL$15:$BL$62,ROW($BL$15:$BL$62),0,1))),_xlpm.p,_xlpm.r-MIN(ROW($BJ$15:$BJ$62))+1,_xlpm.f,INDEX($BM$15:$BM$62,_xlpm.p),_xlpm.u,INDEX($BN$15:$BN$62,_xlpm.p),_xlpm.s,INDEX($BP$15:$BP$62,_xlpm.p),_xlpm.q,N(AU444)/_xlpm.f,IF(_xlpm.q&gt;=_xlpm.s,ROUND(_xlpm.q,1)&amp;" "&amp;_xlpm.ai_test&amp;" = "&amp;ROUND(_xlpm.q*_xlpm.f,1)&amp;" "&amp;_xlpm.u,ROUND(_xlpm.q,1)&amp;" "&amp;_xlpm.ai_test)),""),""))))</f>
        <v>0</v>
      </c>
      <c r="AX444" s="6218"/>
      <c r="AY444" s="6271">
        <f t="shared" si="192"/>
        <v>0</v>
      </c>
      <c r="AZ444" s="6242" t="str">
        <f t="shared" si="193"/>
        <v/>
      </c>
      <c r="BA444" s="6194">
        <f t="shared" si="198"/>
        <v>0</v>
      </c>
      <c r="BB444" s="6192" t="str">
        <f t="shared" si="194"/>
        <v/>
      </c>
      <c r="BC444" s="6219"/>
      <c r="BD444" s="6221">
        <f t="shared" si="199"/>
        <v>0</v>
      </c>
      <c r="BE444" s="6220" t="str">
        <f t="shared" si="195"/>
        <v/>
      </c>
      <c r="BF444" s="4" t="s">
        <v>1</v>
      </c>
      <c r="BG444" s="6196">
        <f t="shared" si="196"/>
        <v>0</v>
      </c>
      <c r="BH444" s="6197">
        <f t="shared" si="197"/>
        <v>0</v>
      </c>
      <c r="BI444"/>
      <c r="BJ444" s="1"/>
      <c r="BK444" s="1"/>
      <c r="BL444" s="1"/>
      <c r="BM444" s="1"/>
      <c r="BN444" s="1"/>
      <c r="BO444" s="1"/>
      <c r="BP444" s="1"/>
      <c r="BQ444" s="1"/>
      <c r="BX444" s="20" t="str">
        <f t="shared" si="178"/>
        <v>►</v>
      </c>
      <c r="BY444" s="2"/>
      <c r="BZ444" s="2"/>
      <c r="CA444" s="2"/>
      <c r="CB444" s="2"/>
      <c r="CC444" s="2"/>
      <c r="DC444" s="5">
        <v>1</v>
      </c>
    </row>
    <row r="445" spans="12:107" ht="21" customHeight="1">
      <c r="L445" s="1021" t="s">
        <v>26</v>
      </c>
      <c r="M445" s="6787"/>
      <c r="N445" s="6787"/>
      <c r="O445" s="6787"/>
      <c r="P445" s="6788"/>
      <c r="Q445" s="6789"/>
      <c r="R445" s="6790"/>
      <c r="S445" s="6786"/>
      <c r="T445" s="6791"/>
      <c r="U445" s="6844"/>
      <c r="V445" s="6791"/>
      <c r="W445" s="6785"/>
      <c r="X445" s="6868"/>
      <c r="Y445" s="6793"/>
      <c r="Z445" s="6794"/>
      <c r="AA445" s="6795"/>
      <c r="AB445" s="6796"/>
      <c r="AC445" s="6797"/>
      <c r="AD445" s="6798"/>
      <c r="AE445" s="4" t="s">
        <v>1</v>
      </c>
      <c r="AF445" s="6202" t="str">
        <f t="shared" si="179"/>
        <v>►</v>
      </c>
      <c r="AG445" s="6234" t="str">
        <f t="shared" si="180"/>
        <v/>
      </c>
      <c r="AH445" s="6732" t="str">
        <f t="shared" si="181"/>
        <v/>
      </c>
      <c r="AI445" s="6234" t="str">
        <f t="shared" si="182"/>
        <v/>
      </c>
      <c r="AJ445" s="6732" t="str">
        <f t="shared" si="183"/>
        <v/>
      </c>
      <c r="AK445" s="6732">
        <f t="shared" si="184"/>
        <v>0</v>
      </c>
      <c r="AL445" s="6230" t="str" cm="1">
        <f t="array" ref="AL445">IF(AF445&lt;&gt;"A","",IFERROR((IFERROR(_xlfn.XLOOKUP(TRIM(SUBSTITUTE(U445,CHAR(160)," ")),$BJ$15:$BJ$62,$BM$15:$BM$62),IFERROR(_xlfn.XLOOKUP(TRIM(SUBSTITUTE(U445,CHAR(160)," ")),$BK$15:$BK$62,$BM$15:$BM$62),_xlfn.XLOOKUP(TRIM(SUBSTITUTE(U445,CHAR(160)," ")),$BL$15:$BL$62,$BM$15:$BM$62))))*T445*IF(ISBLANK(Q445),1,Q445)+IFERROR(_xlfn.XLOOKUP("RECHERCHEX",TRIM(L445:AD445),L445:AD445),0),0))</f>
        <v/>
      </c>
      <c r="AM445" s="6229">
        <f t="shared" si="185"/>
        <v>0</v>
      </c>
      <c r="AN445" s="6857" t="str">
        <f t="shared" si="200"/>
        <v/>
      </c>
      <c r="AO445" s="392">
        <f t="shared" si="186"/>
        <v>0</v>
      </c>
      <c r="AP445" s="392">
        <f t="shared" si="187"/>
        <v>0</v>
      </c>
      <c r="AQ445" s="6191">
        <f t="shared" si="188"/>
        <v>0</v>
      </c>
      <c r="AR445" s="6859" t="str">
        <f t="shared" si="189"/>
        <v/>
      </c>
      <c r="AS445" s="6217"/>
      <c r="AT445" s="6217"/>
      <c r="AU445" s="6272">
        <f t="shared" si="190"/>
        <v>0</v>
      </c>
      <c r="AV445" s="6240">
        <f t="shared" si="191"/>
        <v>0</v>
      </c>
      <c r="AW445" s="6189" cm="1">
        <f t="array" ref="AW445">IF(AK445&lt;&gt;1,0,IF(OR(AU445="",N(AU445)&lt;=0.000000001),"",IF(OR(AO445="",N(AO445)&lt;=0.000000001),0,IF(ISNUMBER(AU445),IFERROR(_xlfn.LET(_xlpm.ai_test,TRIM(AJ445),_xlpm.r,IFERROR(_xlfn.XLOOKUP(_xlpm.ai_test,$BJ$15:$BJ$62,ROW($BJ$15:$BJ$62),0,1),IFERROR(_xlfn.XLOOKUP(_xlpm.ai_test,$BK$15:$BK$62,ROW($BK$15:$BK$62),0,1),_xlfn.XLOOKUP(_xlpm.ai_test,$BL$15:$BL$62,ROW($BL$15:$BL$62),0,1))),_xlpm.p,_xlpm.r-MIN(ROW($BJ$15:$BJ$62))+1,_xlpm.f,INDEX($BM$15:$BM$62,_xlpm.p),_xlpm.u,INDEX($BN$15:$BN$62,_xlpm.p),_xlpm.s,INDEX($BP$15:$BP$62,_xlpm.p),_xlpm.q,N(AU445)/_xlpm.f,IF(_xlpm.q&gt;=_xlpm.s,ROUND(_xlpm.q,1)&amp;" "&amp;_xlpm.ai_test&amp;" = "&amp;ROUND(_xlpm.q*_xlpm.f,1)&amp;" "&amp;_xlpm.u,ROUND(_xlpm.q,1)&amp;" "&amp;_xlpm.ai_test)),""),""))))</f>
        <v>0</v>
      </c>
      <c r="AX445" s="6218"/>
      <c r="AY445" s="6272">
        <f t="shared" si="192"/>
        <v>0</v>
      </c>
      <c r="AZ445" s="6240" t="str">
        <f t="shared" si="193"/>
        <v/>
      </c>
      <c r="BA445" s="6195">
        <f t="shared" si="198"/>
        <v>0</v>
      </c>
      <c r="BB445" s="6193" t="str">
        <f t="shared" si="194"/>
        <v/>
      </c>
      <c r="BC445" s="6219"/>
      <c r="BD445" s="6222">
        <f t="shared" si="199"/>
        <v>0</v>
      </c>
      <c r="BE445" s="6220" t="str">
        <f t="shared" si="195"/>
        <v/>
      </c>
      <c r="BF445" s="4" t="s">
        <v>1</v>
      </c>
      <c r="BG445" s="6196">
        <f t="shared" si="196"/>
        <v>0</v>
      </c>
      <c r="BH445" s="6197">
        <f t="shared" si="197"/>
        <v>0</v>
      </c>
      <c r="BI445"/>
      <c r="BJ445" s="1"/>
      <c r="BK445" s="1"/>
      <c r="BL445" s="1"/>
      <c r="BM445" s="1"/>
      <c r="BN445" s="1"/>
      <c r="BO445" s="1"/>
      <c r="BP445" s="1"/>
      <c r="BQ445" s="1"/>
      <c r="BX445" s="20" t="str">
        <f t="shared" si="178"/>
        <v>►</v>
      </c>
      <c r="BY445" s="2"/>
      <c r="BZ445" s="2"/>
      <c r="CA445" s="2"/>
      <c r="CB445" s="2"/>
      <c r="CC445" s="2"/>
      <c r="DC445" s="5">
        <v>1</v>
      </c>
    </row>
    <row r="446" spans="12:107" ht="21" customHeight="1">
      <c r="L446" s="1021" t="s">
        <v>26</v>
      </c>
      <c r="M446" s="6787"/>
      <c r="N446" s="6787"/>
      <c r="O446" s="6787"/>
      <c r="P446" s="6788"/>
      <c r="Q446" s="6789"/>
      <c r="R446" s="6790"/>
      <c r="S446" s="6786"/>
      <c r="T446" s="6791"/>
      <c r="U446" s="6844"/>
      <c r="V446" s="6791"/>
      <c r="W446" s="6785"/>
      <c r="X446" s="6868"/>
      <c r="Y446" s="6793"/>
      <c r="Z446" s="6794"/>
      <c r="AA446" s="6795"/>
      <c r="AB446" s="6796"/>
      <c r="AC446" s="6797"/>
      <c r="AD446" s="6798"/>
      <c r="AE446" s="4" t="s">
        <v>1</v>
      </c>
      <c r="AF446" s="6202" t="str">
        <f t="shared" si="179"/>
        <v>►</v>
      </c>
      <c r="AG446" s="6234" t="str">
        <f t="shared" si="180"/>
        <v/>
      </c>
      <c r="AH446" s="6732" t="str">
        <f t="shared" si="181"/>
        <v/>
      </c>
      <c r="AI446" s="6234" t="str">
        <f t="shared" si="182"/>
        <v/>
      </c>
      <c r="AJ446" s="6732" t="str">
        <f t="shared" si="183"/>
        <v/>
      </c>
      <c r="AK446" s="6732">
        <f t="shared" si="184"/>
        <v>0</v>
      </c>
      <c r="AL446" s="6230" t="str" cm="1">
        <f t="array" ref="AL446">IF(AF446&lt;&gt;"A","",IFERROR((IFERROR(_xlfn.XLOOKUP(TRIM(SUBSTITUTE(U446,CHAR(160)," ")),$BJ$15:$BJ$62,$BM$15:$BM$62),IFERROR(_xlfn.XLOOKUP(TRIM(SUBSTITUTE(U446,CHAR(160)," ")),$BK$15:$BK$62,$BM$15:$BM$62),_xlfn.XLOOKUP(TRIM(SUBSTITUTE(U446,CHAR(160)," ")),$BL$15:$BL$62,$BM$15:$BM$62))))*T446*IF(ISBLANK(Q446),1,Q446)+IFERROR(_xlfn.XLOOKUP("RECHERCHEX",TRIM(L446:AD446),L446:AD446),0),0))</f>
        <v/>
      </c>
      <c r="AM446" s="6229">
        <f t="shared" si="185"/>
        <v>0</v>
      </c>
      <c r="AN446" s="6857" t="str">
        <f t="shared" si="200"/>
        <v/>
      </c>
      <c r="AO446" s="392">
        <f t="shared" si="186"/>
        <v>0</v>
      </c>
      <c r="AP446" s="392">
        <f t="shared" si="187"/>
        <v>0</v>
      </c>
      <c r="AQ446" s="6190">
        <f t="shared" si="188"/>
        <v>0</v>
      </c>
      <c r="AR446" s="6858" t="str">
        <f t="shared" si="189"/>
        <v/>
      </c>
      <c r="AS446" s="6217"/>
      <c r="AT446" s="6217"/>
      <c r="AU446" s="6271">
        <f t="shared" si="190"/>
        <v>0</v>
      </c>
      <c r="AV446" s="6242">
        <f t="shared" si="191"/>
        <v>0</v>
      </c>
      <c r="AW446" s="6188" cm="1">
        <f t="array" ref="AW446">IF(AK446&lt;&gt;1,0,IF(OR(AU446="",N(AU446)&lt;=0.000000001),"",IF(OR(AO446="",N(AO446)&lt;=0.000000001),0,IF(ISNUMBER(AU446),IFERROR(_xlfn.LET(_xlpm.ai_test,TRIM(AJ446),_xlpm.r,IFERROR(_xlfn.XLOOKUP(_xlpm.ai_test,$BJ$15:$BJ$62,ROW($BJ$15:$BJ$62),0,1),IFERROR(_xlfn.XLOOKUP(_xlpm.ai_test,$BK$15:$BK$62,ROW($BK$15:$BK$62),0,1),_xlfn.XLOOKUP(_xlpm.ai_test,$BL$15:$BL$62,ROW($BL$15:$BL$62),0,1))),_xlpm.p,_xlpm.r-MIN(ROW($BJ$15:$BJ$62))+1,_xlpm.f,INDEX($BM$15:$BM$62,_xlpm.p),_xlpm.u,INDEX($BN$15:$BN$62,_xlpm.p),_xlpm.s,INDEX($BP$15:$BP$62,_xlpm.p),_xlpm.q,N(AU446)/_xlpm.f,IF(_xlpm.q&gt;=_xlpm.s,ROUND(_xlpm.q,1)&amp;" "&amp;_xlpm.ai_test&amp;" = "&amp;ROUND(_xlpm.q*_xlpm.f,1)&amp;" "&amp;_xlpm.u,ROUND(_xlpm.q,1)&amp;" "&amp;_xlpm.ai_test)),""),""))))</f>
        <v>0</v>
      </c>
      <c r="AX446" s="6218"/>
      <c r="AY446" s="6271">
        <f t="shared" si="192"/>
        <v>0</v>
      </c>
      <c r="AZ446" s="6242" t="str">
        <f t="shared" si="193"/>
        <v/>
      </c>
      <c r="BA446" s="6194">
        <f t="shared" si="198"/>
        <v>0</v>
      </c>
      <c r="BB446" s="6192" t="str">
        <f t="shared" si="194"/>
        <v/>
      </c>
      <c r="BC446" s="6219"/>
      <c r="BD446" s="6221">
        <f t="shared" si="199"/>
        <v>0</v>
      </c>
      <c r="BE446" s="6220" t="str">
        <f t="shared" si="195"/>
        <v/>
      </c>
      <c r="BF446" s="4" t="s">
        <v>1</v>
      </c>
      <c r="BG446" s="6196">
        <f t="shared" si="196"/>
        <v>0</v>
      </c>
      <c r="BH446" s="6197">
        <f t="shared" si="197"/>
        <v>0</v>
      </c>
      <c r="BI446"/>
      <c r="BJ446" s="1"/>
      <c r="BK446" s="1"/>
      <c r="BL446" s="1"/>
      <c r="BM446" s="1"/>
      <c r="BN446" s="1"/>
      <c r="BO446" s="1"/>
      <c r="BP446" s="1"/>
      <c r="BQ446" s="1"/>
      <c r="BX446" s="20" t="str">
        <f t="shared" si="178"/>
        <v>►</v>
      </c>
      <c r="BY446" s="2"/>
      <c r="BZ446" s="2"/>
      <c r="CA446" s="2"/>
      <c r="CB446" s="2"/>
      <c r="CC446" s="2"/>
      <c r="DC446" s="5">
        <v>1</v>
      </c>
    </row>
    <row r="447" spans="12:107" ht="21" customHeight="1">
      <c r="L447" s="1021" t="s">
        <v>26</v>
      </c>
      <c r="M447" s="6787"/>
      <c r="N447" s="6787"/>
      <c r="O447" s="6787"/>
      <c r="P447" s="6788"/>
      <c r="Q447" s="6789"/>
      <c r="R447" s="6790"/>
      <c r="S447" s="6786"/>
      <c r="T447" s="6791"/>
      <c r="U447" s="6844"/>
      <c r="V447" s="6791"/>
      <c r="W447" s="6785"/>
      <c r="X447" s="6868"/>
      <c r="Y447" s="6793"/>
      <c r="Z447" s="6794"/>
      <c r="AA447" s="6795"/>
      <c r="AB447" s="6796"/>
      <c r="AC447" s="6797"/>
      <c r="AD447" s="6798"/>
      <c r="AE447" s="4" t="s">
        <v>1</v>
      </c>
      <c r="AF447" s="6202" t="str">
        <f t="shared" si="179"/>
        <v>►</v>
      </c>
      <c r="AG447" s="6234" t="str">
        <f t="shared" si="180"/>
        <v/>
      </c>
      <c r="AH447" s="6732" t="str">
        <f t="shared" si="181"/>
        <v/>
      </c>
      <c r="AI447" s="6234" t="str">
        <f t="shared" si="182"/>
        <v/>
      </c>
      <c r="AJ447" s="6732" t="str">
        <f t="shared" si="183"/>
        <v/>
      </c>
      <c r="AK447" s="6732">
        <f t="shared" si="184"/>
        <v>0</v>
      </c>
      <c r="AL447" s="6230" t="str" cm="1">
        <f t="array" ref="AL447">IF(AF447&lt;&gt;"A","",IFERROR((IFERROR(_xlfn.XLOOKUP(TRIM(SUBSTITUTE(U447,CHAR(160)," ")),$BJ$15:$BJ$62,$BM$15:$BM$62),IFERROR(_xlfn.XLOOKUP(TRIM(SUBSTITUTE(U447,CHAR(160)," ")),$BK$15:$BK$62,$BM$15:$BM$62),_xlfn.XLOOKUP(TRIM(SUBSTITUTE(U447,CHAR(160)," ")),$BL$15:$BL$62,$BM$15:$BM$62))))*T447*IF(ISBLANK(Q447),1,Q447)+IFERROR(_xlfn.XLOOKUP("RECHERCHEX",TRIM(L447:AD447),L447:AD447),0),0))</f>
        <v/>
      </c>
      <c r="AM447" s="6229">
        <f t="shared" si="185"/>
        <v>0</v>
      </c>
      <c r="AN447" s="6857" t="str">
        <f t="shared" si="200"/>
        <v/>
      </c>
      <c r="AO447" s="392">
        <f t="shared" si="186"/>
        <v>0</v>
      </c>
      <c r="AP447" s="392">
        <f t="shared" si="187"/>
        <v>0</v>
      </c>
      <c r="AQ447" s="6191">
        <f t="shared" si="188"/>
        <v>0</v>
      </c>
      <c r="AR447" s="6859" t="str">
        <f t="shared" si="189"/>
        <v/>
      </c>
      <c r="AS447" s="6217"/>
      <c r="AT447" s="6217"/>
      <c r="AU447" s="6272">
        <f t="shared" si="190"/>
        <v>0</v>
      </c>
      <c r="AV447" s="6240">
        <f t="shared" si="191"/>
        <v>0</v>
      </c>
      <c r="AW447" s="6189" cm="1">
        <f t="array" ref="AW447">IF(AK447&lt;&gt;1,0,IF(OR(AU447="",N(AU447)&lt;=0.000000001),"",IF(OR(AO447="",N(AO447)&lt;=0.000000001),0,IF(ISNUMBER(AU447),IFERROR(_xlfn.LET(_xlpm.ai_test,TRIM(AJ447),_xlpm.r,IFERROR(_xlfn.XLOOKUP(_xlpm.ai_test,$BJ$15:$BJ$62,ROW($BJ$15:$BJ$62),0,1),IFERROR(_xlfn.XLOOKUP(_xlpm.ai_test,$BK$15:$BK$62,ROW($BK$15:$BK$62),0,1),_xlfn.XLOOKUP(_xlpm.ai_test,$BL$15:$BL$62,ROW($BL$15:$BL$62),0,1))),_xlpm.p,_xlpm.r-MIN(ROW($BJ$15:$BJ$62))+1,_xlpm.f,INDEX($BM$15:$BM$62,_xlpm.p),_xlpm.u,INDEX($BN$15:$BN$62,_xlpm.p),_xlpm.s,INDEX($BP$15:$BP$62,_xlpm.p),_xlpm.q,N(AU447)/_xlpm.f,IF(_xlpm.q&gt;=_xlpm.s,ROUND(_xlpm.q,1)&amp;" "&amp;_xlpm.ai_test&amp;" = "&amp;ROUND(_xlpm.q*_xlpm.f,1)&amp;" "&amp;_xlpm.u,ROUND(_xlpm.q,1)&amp;" "&amp;_xlpm.ai_test)),""),""))))</f>
        <v>0</v>
      </c>
      <c r="AX447" s="6218"/>
      <c r="AY447" s="6272">
        <f t="shared" si="192"/>
        <v>0</v>
      </c>
      <c r="AZ447" s="6240" t="str">
        <f t="shared" si="193"/>
        <v/>
      </c>
      <c r="BA447" s="6195">
        <f t="shared" si="198"/>
        <v>0</v>
      </c>
      <c r="BB447" s="6193" t="str">
        <f t="shared" si="194"/>
        <v/>
      </c>
      <c r="BC447" s="6219"/>
      <c r="BD447" s="6222">
        <f t="shared" si="199"/>
        <v>0</v>
      </c>
      <c r="BE447" s="6220" t="str">
        <f t="shared" si="195"/>
        <v/>
      </c>
      <c r="BF447" s="4" t="s">
        <v>1</v>
      </c>
      <c r="BG447" s="6196">
        <f t="shared" si="196"/>
        <v>0</v>
      </c>
      <c r="BH447" s="6197">
        <f t="shared" si="197"/>
        <v>0</v>
      </c>
      <c r="BI447"/>
      <c r="BJ447" s="1"/>
      <c r="BK447" s="1"/>
      <c r="BL447" s="1"/>
      <c r="BM447" s="1"/>
      <c r="BN447" s="1"/>
      <c r="BO447" s="1"/>
      <c r="BP447" s="1"/>
      <c r="BQ447" s="1"/>
      <c r="BX447" s="20" t="str">
        <f t="shared" si="178"/>
        <v>►</v>
      </c>
      <c r="BY447" s="2"/>
      <c r="BZ447" s="2"/>
      <c r="CA447" s="2"/>
      <c r="CB447" s="2"/>
      <c r="CC447" s="2"/>
      <c r="DC447" s="5">
        <v>1</v>
      </c>
    </row>
    <row r="448" spans="12:107" ht="21" customHeight="1">
      <c r="L448" s="1021" t="s">
        <v>26</v>
      </c>
      <c r="M448" s="6787"/>
      <c r="N448" s="6787"/>
      <c r="O448" s="6787"/>
      <c r="P448" s="6788"/>
      <c r="Q448" s="6789"/>
      <c r="R448" s="6790"/>
      <c r="S448" s="6786"/>
      <c r="T448" s="6791"/>
      <c r="U448" s="6844"/>
      <c r="V448" s="6791"/>
      <c r="W448" s="6785"/>
      <c r="X448" s="6868"/>
      <c r="Y448" s="6793"/>
      <c r="Z448" s="6794"/>
      <c r="AA448" s="6795"/>
      <c r="AB448" s="6796"/>
      <c r="AC448" s="6797"/>
      <c r="AD448" s="6798"/>
      <c r="AE448" s="4" t="s">
        <v>1</v>
      </c>
      <c r="AF448" s="6202" t="str">
        <f t="shared" si="179"/>
        <v>►</v>
      </c>
      <c r="AG448" s="6234" t="str">
        <f t="shared" si="180"/>
        <v/>
      </c>
      <c r="AH448" s="6732" t="str">
        <f t="shared" si="181"/>
        <v/>
      </c>
      <c r="AI448" s="6234" t="str">
        <f t="shared" si="182"/>
        <v/>
      </c>
      <c r="AJ448" s="6732" t="str">
        <f t="shared" si="183"/>
        <v/>
      </c>
      <c r="AK448" s="6732">
        <f t="shared" si="184"/>
        <v>0</v>
      </c>
      <c r="AL448" s="6230" t="str" cm="1">
        <f t="array" ref="AL448">IF(AF448&lt;&gt;"A","",IFERROR((IFERROR(_xlfn.XLOOKUP(TRIM(SUBSTITUTE(U448,CHAR(160)," ")),$BJ$15:$BJ$62,$BM$15:$BM$62),IFERROR(_xlfn.XLOOKUP(TRIM(SUBSTITUTE(U448,CHAR(160)," ")),$BK$15:$BK$62,$BM$15:$BM$62),_xlfn.XLOOKUP(TRIM(SUBSTITUTE(U448,CHAR(160)," ")),$BL$15:$BL$62,$BM$15:$BM$62))))*T448*IF(ISBLANK(Q448),1,Q448)+IFERROR(_xlfn.XLOOKUP("RECHERCHEX",TRIM(L448:AD448),L448:AD448),0),0))</f>
        <v/>
      </c>
      <c r="AM448" s="6229">
        <f t="shared" si="185"/>
        <v>0</v>
      </c>
      <c r="AN448" s="6857" t="str">
        <f t="shared" si="200"/>
        <v/>
      </c>
      <c r="AO448" s="392">
        <f t="shared" si="186"/>
        <v>0</v>
      </c>
      <c r="AP448" s="392">
        <f t="shared" si="187"/>
        <v>0</v>
      </c>
      <c r="AQ448" s="6190">
        <f t="shared" si="188"/>
        <v>0</v>
      </c>
      <c r="AR448" s="6858" t="str">
        <f t="shared" si="189"/>
        <v/>
      </c>
      <c r="AS448" s="6217"/>
      <c r="AT448" s="6217"/>
      <c r="AU448" s="6271">
        <f t="shared" si="190"/>
        <v>0</v>
      </c>
      <c r="AV448" s="6242">
        <f t="shared" si="191"/>
        <v>0</v>
      </c>
      <c r="AW448" s="6188" cm="1">
        <f t="array" ref="AW448">IF(AK448&lt;&gt;1,0,IF(OR(AU448="",N(AU448)&lt;=0.000000001),"",IF(OR(AO448="",N(AO448)&lt;=0.000000001),0,IF(ISNUMBER(AU448),IFERROR(_xlfn.LET(_xlpm.ai_test,TRIM(AJ448),_xlpm.r,IFERROR(_xlfn.XLOOKUP(_xlpm.ai_test,$BJ$15:$BJ$62,ROW($BJ$15:$BJ$62),0,1),IFERROR(_xlfn.XLOOKUP(_xlpm.ai_test,$BK$15:$BK$62,ROW($BK$15:$BK$62),0,1),_xlfn.XLOOKUP(_xlpm.ai_test,$BL$15:$BL$62,ROW($BL$15:$BL$62),0,1))),_xlpm.p,_xlpm.r-MIN(ROW($BJ$15:$BJ$62))+1,_xlpm.f,INDEX($BM$15:$BM$62,_xlpm.p),_xlpm.u,INDEX($BN$15:$BN$62,_xlpm.p),_xlpm.s,INDEX($BP$15:$BP$62,_xlpm.p),_xlpm.q,N(AU448)/_xlpm.f,IF(_xlpm.q&gt;=_xlpm.s,ROUND(_xlpm.q,1)&amp;" "&amp;_xlpm.ai_test&amp;" = "&amp;ROUND(_xlpm.q*_xlpm.f,1)&amp;" "&amp;_xlpm.u,ROUND(_xlpm.q,1)&amp;" "&amp;_xlpm.ai_test)),""),""))))</f>
        <v>0</v>
      </c>
      <c r="AX448" s="6218"/>
      <c r="AY448" s="6271">
        <f t="shared" si="192"/>
        <v>0</v>
      </c>
      <c r="AZ448" s="6242" t="str">
        <f t="shared" si="193"/>
        <v/>
      </c>
      <c r="BA448" s="6194">
        <f t="shared" si="198"/>
        <v>0</v>
      </c>
      <c r="BB448" s="6192" t="str">
        <f t="shared" si="194"/>
        <v/>
      </c>
      <c r="BC448" s="6219"/>
      <c r="BD448" s="6221">
        <f t="shared" si="199"/>
        <v>0</v>
      </c>
      <c r="BE448" s="6220" t="str">
        <f t="shared" si="195"/>
        <v/>
      </c>
      <c r="BF448" s="4" t="s">
        <v>1</v>
      </c>
      <c r="BG448" s="6196">
        <f t="shared" si="196"/>
        <v>0</v>
      </c>
      <c r="BH448" s="6197">
        <f t="shared" si="197"/>
        <v>0</v>
      </c>
      <c r="BI448"/>
      <c r="BJ448" s="1"/>
      <c r="BK448" s="1"/>
      <c r="BL448" s="1"/>
      <c r="BM448" s="1"/>
      <c r="BN448" s="1"/>
      <c r="BO448" s="1"/>
      <c r="BP448" s="1"/>
      <c r="BQ448" s="1"/>
      <c r="BX448" s="20" t="str">
        <f t="shared" si="178"/>
        <v>►</v>
      </c>
      <c r="BY448" s="2"/>
      <c r="BZ448" s="2"/>
      <c r="CA448" s="2"/>
      <c r="CB448" s="2"/>
      <c r="CC448" s="2"/>
      <c r="DC448" s="5">
        <v>1</v>
      </c>
    </row>
    <row r="449" spans="12:107" ht="21" customHeight="1">
      <c r="L449" s="1021" t="s">
        <v>26</v>
      </c>
      <c r="M449" s="6787"/>
      <c r="N449" s="6787"/>
      <c r="O449" s="6787"/>
      <c r="P449" s="6788"/>
      <c r="Q449" s="6789"/>
      <c r="R449" s="6790"/>
      <c r="S449" s="6786"/>
      <c r="T449" s="6791"/>
      <c r="U449" s="6844"/>
      <c r="V449" s="6791"/>
      <c r="W449" s="6785"/>
      <c r="X449" s="6868"/>
      <c r="Y449" s="6793"/>
      <c r="Z449" s="6794"/>
      <c r="AA449" s="6795"/>
      <c r="AB449" s="6796"/>
      <c r="AC449" s="6797"/>
      <c r="AD449" s="6798"/>
      <c r="AE449" s="4" t="s">
        <v>1</v>
      </c>
      <c r="AF449" s="6202" t="str">
        <f t="shared" si="179"/>
        <v>►</v>
      </c>
      <c r="AG449" s="6234" t="str">
        <f t="shared" si="180"/>
        <v/>
      </c>
      <c r="AH449" s="6732" t="str">
        <f t="shared" si="181"/>
        <v/>
      </c>
      <c r="AI449" s="6234" t="str">
        <f t="shared" si="182"/>
        <v/>
      </c>
      <c r="AJ449" s="6732" t="str">
        <f t="shared" si="183"/>
        <v/>
      </c>
      <c r="AK449" s="6732">
        <f t="shared" si="184"/>
        <v>0</v>
      </c>
      <c r="AL449" s="6230" t="str" cm="1">
        <f t="array" ref="AL449">IF(AF449&lt;&gt;"A","",IFERROR((IFERROR(_xlfn.XLOOKUP(TRIM(SUBSTITUTE(U449,CHAR(160)," ")),$BJ$15:$BJ$62,$BM$15:$BM$62),IFERROR(_xlfn.XLOOKUP(TRIM(SUBSTITUTE(U449,CHAR(160)," ")),$BK$15:$BK$62,$BM$15:$BM$62),_xlfn.XLOOKUP(TRIM(SUBSTITUTE(U449,CHAR(160)," ")),$BL$15:$BL$62,$BM$15:$BM$62))))*T449*IF(ISBLANK(Q449),1,Q449)+IFERROR(_xlfn.XLOOKUP("RECHERCHEX",TRIM(L449:AD449),L449:AD449),0),0))</f>
        <v/>
      </c>
      <c r="AM449" s="6229">
        <f t="shared" si="185"/>
        <v>0</v>
      </c>
      <c r="AN449" s="6857" t="str">
        <f t="shared" si="200"/>
        <v/>
      </c>
      <c r="AO449" s="392">
        <f t="shared" si="186"/>
        <v>0</v>
      </c>
      <c r="AP449" s="392">
        <f t="shared" si="187"/>
        <v>0</v>
      </c>
      <c r="AQ449" s="6191">
        <f t="shared" si="188"/>
        <v>0</v>
      </c>
      <c r="AR449" s="6859" t="str">
        <f t="shared" si="189"/>
        <v/>
      </c>
      <c r="AS449" s="6217"/>
      <c r="AT449" s="6217"/>
      <c r="AU449" s="6272">
        <f t="shared" si="190"/>
        <v>0</v>
      </c>
      <c r="AV449" s="6240">
        <f t="shared" si="191"/>
        <v>0</v>
      </c>
      <c r="AW449" s="6189" cm="1">
        <f t="array" ref="AW449">IF(AK449&lt;&gt;1,0,IF(OR(AU449="",N(AU449)&lt;=0.000000001),"",IF(OR(AO449="",N(AO449)&lt;=0.000000001),0,IF(ISNUMBER(AU449),IFERROR(_xlfn.LET(_xlpm.ai_test,TRIM(AJ449),_xlpm.r,IFERROR(_xlfn.XLOOKUP(_xlpm.ai_test,$BJ$15:$BJ$62,ROW($BJ$15:$BJ$62),0,1),IFERROR(_xlfn.XLOOKUP(_xlpm.ai_test,$BK$15:$BK$62,ROW($BK$15:$BK$62),0,1),_xlfn.XLOOKUP(_xlpm.ai_test,$BL$15:$BL$62,ROW($BL$15:$BL$62),0,1))),_xlpm.p,_xlpm.r-MIN(ROW($BJ$15:$BJ$62))+1,_xlpm.f,INDEX($BM$15:$BM$62,_xlpm.p),_xlpm.u,INDEX($BN$15:$BN$62,_xlpm.p),_xlpm.s,INDEX($BP$15:$BP$62,_xlpm.p),_xlpm.q,N(AU449)/_xlpm.f,IF(_xlpm.q&gt;=_xlpm.s,ROUND(_xlpm.q,1)&amp;" "&amp;_xlpm.ai_test&amp;" = "&amp;ROUND(_xlpm.q*_xlpm.f,1)&amp;" "&amp;_xlpm.u,ROUND(_xlpm.q,1)&amp;" "&amp;_xlpm.ai_test)),""),""))))</f>
        <v>0</v>
      </c>
      <c r="AX449" s="6218"/>
      <c r="AY449" s="6272">
        <f t="shared" si="192"/>
        <v>0</v>
      </c>
      <c r="AZ449" s="6240" t="str">
        <f t="shared" si="193"/>
        <v/>
      </c>
      <c r="BA449" s="6195">
        <f t="shared" si="198"/>
        <v>0</v>
      </c>
      <c r="BB449" s="6193" t="str">
        <f t="shared" si="194"/>
        <v/>
      </c>
      <c r="BC449" s="6219"/>
      <c r="BD449" s="6222">
        <f t="shared" si="199"/>
        <v>0</v>
      </c>
      <c r="BE449" s="6220" t="str">
        <f t="shared" si="195"/>
        <v/>
      </c>
      <c r="BF449" s="4" t="s">
        <v>1</v>
      </c>
      <c r="BG449" s="6196">
        <f t="shared" si="196"/>
        <v>0</v>
      </c>
      <c r="BH449" s="6197">
        <f t="shared" si="197"/>
        <v>0</v>
      </c>
      <c r="BI449"/>
      <c r="BJ449" s="1"/>
      <c r="BK449" s="1"/>
      <c r="BL449" s="1"/>
      <c r="BM449" s="1"/>
      <c r="BN449" s="1"/>
      <c r="BO449" s="1"/>
      <c r="BP449" s="1"/>
      <c r="BQ449" s="1"/>
      <c r="BX449" s="20" t="str">
        <f t="shared" si="178"/>
        <v>►</v>
      </c>
      <c r="BY449" s="2"/>
      <c r="BZ449" s="2"/>
      <c r="CA449" s="2"/>
      <c r="CB449" s="2"/>
      <c r="CC449" s="2"/>
      <c r="DC449" s="5">
        <v>1</v>
      </c>
    </row>
    <row r="450" spans="12:107" ht="21" customHeight="1">
      <c r="L450" s="1021" t="s">
        <v>26</v>
      </c>
      <c r="M450" s="6787"/>
      <c r="N450" s="6787"/>
      <c r="O450" s="6787"/>
      <c r="P450" s="6788"/>
      <c r="Q450" s="6789"/>
      <c r="R450" s="6790"/>
      <c r="S450" s="6786"/>
      <c r="T450" s="6791"/>
      <c r="U450" s="6844"/>
      <c r="V450" s="6791"/>
      <c r="W450" s="6785"/>
      <c r="X450" s="6868"/>
      <c r="Y450" s="6793"/>
      <c r="Z450" s="6794"/>
      <c r="AA450" s="6795"/>
      <c r="AB450" s="6796"/>
      <c r="AC450" s="6797"/>
      <c r="AD450" s="6798"/>
      <c r="AE450" s="4" t="s">
        <v>1</v>
      </c>
      <c r="AF450" s="6202" t="str">
        <f t="shared" si="179"/>
        <v>►</v>
      </c>
      <c r="AG450" s="6234" t="str">
        <f t="shared" si="180"/>
        <v/>
      </c>
      <c r="AH450" s="6732" t="str">
        <f t="shared" si="181"/>
        <v/>
      </c>
      <c r="AI450" s="6234" t="str">
        <f t="shared" si="182"/>
        <v/>
      </c>
      <c r="AJ450" s="6732" t="str">
        <f t="shared" si="183"/>
        <v/>
      </c>
      <c r="AK450" s="6732">
        <f t="shared" si="184"/>
        <v>0</v>
      </c>
      <c r="AL450" s="6230" t="str" cm="1">
        <f t="array" ref="AL450">IF(AF450&lt;&gt;"A","",IFERROR((IFERROR(_xlfn.XLOOKUP(TRIM(SUBSTITUTE(U450,CHAR(160)," ")),$BJ$15:$BJ$62,$BM$15:$BM$62),IFERROR(_xlfn.XLOOKUP(TRIM(SUBSTITUTE(U450,CHAR(160)," ")),$BK$15:$BK$62,$BM$15:$BM$62),_xlfn.XLOOKUP(TRIM(SUBSTITUTE(U450,CHAR(160)," ")),$BL$15:$BL$62,$BM$15:$BM$62))))*T450*IF(ISBLANK(Q450),1,Q450)+IFERROR(_xlfn.XLOOKUP("RECHERCHEX",TRIM(L450:AD450),L450:AD450),0),0))</f>
        <v/>
      </c>
      <c r="AM450" s="6229">
        <f t="shared" si="185"/>
        <v>0</v>
      </c>
      <c r="AN450" s="6857" t="str">
        <f t="shared" si="200"/>
        <v/>
      </c>
      <c r="AO450" s="392">
        <f t="shared" si="186"/>
        <v>0</v>
      </c>
      <c r="AP450" s="392">
        <f t="shared" si="187"/>
        <v>0</v>
      </c>
      <c r="AQ450" s="6190">
        <f t="shared" si="188"/>
        <v>0</v>
      </c>
      <c r="AR450" s="6858" t="str">
        <f t="shared" si="189"/>
        <v/>
      </c>
      <c r="AS450" s="6217"/>
      <c r="AT450" s="6217"/>
      <c r="AU450" s="6271">
        <f t="shared" si="190"/>
        <v>0</v>
      </c>
      <c r="AV450" s="6242">
        <f t="shared" si="191"/>
        <v>0</v>
      </c>
      <c r="AW450" s="6188" cm="1">
        <f t="array" ref="AW450">IF(AK450&lt;&gt;1,0,IF(OR(AU450="",N(AU450)&lt;=0.000000001),"",IF(OR(AO450="",N(AO450)&lt;=0.000000001),0,IF(ISNUMBER(AU450),IFERROR(_xlfn.LET(_xlpm.ai_test,TRIM(AJ450),_xlpm.r,IFERROR(_xlfn.XLOOKUP(_xlpm.ai_test,$BJ$15:$BJ$62,ROW($BJ$15:$BJ$62),0,1),IFERROR(_xlfn.XLOOKUP(_xlpm.ai_test,$BK$15:$BK$62,ROW($BK$15:$BK$62),0,1),_xlfn.XLOOKUP(_xlpm.ai_test,$BL$15:$BL$62,ROW($BL$15:$BL$62),0,1))),_xlpm.p,_xlpm.r-MIN(ROW($BJ$15:$BJ$62))+1,_xlpm.f,INDEX($BM$15:$BM$62,_xlpm.p),_xlpm.u,INDEX($BN$15:$BN$62,_xlpm.p),_xlpm.s,INDEX($BP$15:$BP$62,_xlpm.p),_xlpm.q,N(AU450)/_xlpm.f,IF(_xlpm.q&gt;=_xlpm.s,ROUND(_xlpm.q,1)&amp;" "&amp;_xlpm.ai_test&amp;" = "&amp;ROUND(_xlpm.q*_xlpm.f,1)&amp;" "&amp;_xlpm.u,ROUND(_xlpm.q,1)&amp;" "&amp;_xlpm.ai_test)),""),""))))</f>
        <v>0</v>
      </c>
      <c r="AX450" s="6218"/>
      <c r="AY450" s="6271">
        <f t="shared" si="192"/>
        <v>0</v>
      </c>
      <c r="AZ450" s="6242" t="str">
        <f t="shared" si="193"/>
        <v/>
      </c>
      <c r="BA450" s="6194">
        <f t="shared" si="198"/>
        <v>0</v>
      </c>
      <c r="BB450" s="6192" t="str">
        <f t="shared" si="194"/>
        <v/>
      </c>
      <c r="BC450" s="6219"/>
      <c r="BD450" s="6221">
        <f t="shared" si="199"/>
        <v>0</v>
      </c>
      <c r="BE450" s="6220" t="str">
        <f t="shared" si="195"/>
        <v/>
      </c>
      <c r="BF450" s="4" t="s">
        <v>1</v>
      </c>
      <c r="BG450" s="6196">
        <f t="shared" si="196"/>
        <v>0</v>
      </c>
      <c r="BH450" s="6197">
        <f t="shared" si="197"/>
        <v>0</v>
      </c>
      <c r="BI450"/>
      <c r="BJ450" s="1"/>
      <c r="BK450" s="1"/>
      <c r="BL450" s="1"/>
      <c r="BM450" s="1"/>
      <c r="BN450" s="1"/>
      <c r="BO450" s="1"/>
      <c r="BP450" s="1"/>
      <c r="BQ450" s="1"/>
      <c r="BX450" s="20" t="str">
        <f t="shared" si="178"/>
        <v>►</v>
      </c>
      <c r="BY450" s="2"/>
      <c r="BZ450" s="2"/>
      <c r="CA450" s="2"/>
      <c r="CB450" s="2"/>
      <c r="CC450" s="2"/>
      <c r="DC450" s="5">
        <v>1</v>
      </c>
    </row>
    <row r="451" spans="12:107" ht="21" customHeight="1">
      <c r="L451" s="1021" t="s">
        <v>26</v>
      </c>
      <c r="M451" s="6787"/>
      <c r="N451" s="6787"/>
      <c r="O451" s="6787"/>
      <c r="P451" s="6788"/>
      <c r="Q451" s="6789"/>
      <c r="R451" s="6790"/>
      <c r="S451" s="6786"/>
      <c r="T451" s="6791"/>
      <c r="U451" s="6844"/>
      <c r="V451" s="6791"/>
      <c r="W451" s="6785"/>
      <c r="X451" s="6868"/>
      <c r="Y451" s="6793"/>
      <c r="Z451" s="6794"/>
      <c r="AA451" s="6795"/>
      <c r="AB451" s="6796"/>
      <c r="AC451" s="6797"/>
      <c r="AD451" s="6798"/>
      <c r="AE451" s="4" t="s">
        <v>1</v>
      </c>
      <c r="AF451" s="6202" t="str">
        <f t="shared" si="179"/>
        <v>►</v>
      </c>
      <c r="AG451" s="6234" t="str">
        <f t="shared" si="180"/>
        <v/>
      </c>
      <c r="AH451" s="6732" t="str">
        <f t="shared" si="181"/>
        <v/>
      </c>
      <c r="AI451" s="6234" t="str">
        <f t="shared" si="182"/>
        <v/>
      </c>
      <c r="AJ451" s="6732" t="str">
        <f t="shared" si="183"/>
        <v/>
      </c>
      <c r="AK451" s="6732">
        <f t="shared" si="184"/>
        <v>0</v>
      </c>
      <c r="AL451" s="6230" t="str" cm="1">
        <f t="array" ref="AL451">IF(AF451&lt;&gt;"A","",IFERROR((IFERROR(_xlfn.XLOOKUP(TRIM(SUBSTITUTE(U451,CHAR(160)," ")),$BJ$15:$BJ$62,$BM$15:$BM$62),IFERROR(_xlfn.XLOOKUP(TRIM(SUBSTITUTE(U451,CHAR(160)," ")),$BK$15:$BK$62,$BM$15:$BM$62),_xlfn.XLOOKUP(TRIM(SUBSTITUTE(U451,CHAR(160)," ")),$BL$15:$BL$62,$BM$15:$BM$62))))*T451*IF(ISBLANK(Q451),1,Q451)+IFERROR(_xlfn.XLOOKUP("RECHERCHEX",TRIM(L451:AD451),L451:AD451),0),0))</f>
        <v/>
      </c>
      <c r="AM451" s="6229">
        <f t="shared" si="185"/>
        <v>0</v>
      </c>
      <c r="AN451" s="6857" t="str">
        <f t="shared" si="200"/>
        <v/>
      </c>
      <c r="AO451" s="392">
        <f t="shared" si="186"/>
        <v>0</v>
      </c>
      <c r="AP451" s="392">
        <f t="shared" si="187"/>
        <v>0</v>
      </c>
      <c r="AQ451" s="6191">
        <f t="shared" si="188"/>
        <v>0</v>
      </c>
      <c r="AR451" s="6859" t="str">
        <f t="shared" si="189"/>
        <v/>
      </c>
      <c r="AS451" s="6217"/>
      <c r="AT451" s="6217"/>
      <c r="AU451" s="6272">
        <f t="shared" si="190"/>
        <v>0</v>
      </c>
      <c r="AV451" s="6240">
        <f t="shared" si="191"/>
        <v>0</v>
      </c>
      <c r="AW451" s="6189" cm="1">
        <f t="array" ref="AW451">IF(AK451&lt;&gt;1,0,IF(OR(AU451="",N(AU451)&lt;=0.000000001),"",IF(OR(AO451="",N(AO451)&lt;=0.000000001),0,IF(ISNUMBER(AU451),IFERROR(_xlfn.LET(_xlpm.ai_test,TRIM(AJ451),_xlpm.r,IFERROR(_xlfn.XLOOKUP(_xlpm.ai_test,$BJ$15:$BJ$62,ROW($BJ$15:$BJ$62),0,1),IFERROR(_xlfn.XLOOKUP(_xlpm.ai_test,$BK$15:$BK$62,ROW($BK$15:$BK$62),0,1),_xlfn.XLOOKUP(_xlpm.ai_test,$BL$15:$BL$62,ROW($BL$15:$BL$62),0,1))),_xlpm.p,_xlpm.r-MIN(ROW($BJ$15:$BJ$62))+1,_xlpm.f,INDEX($BM$15:$BM$62,_xlpm.p),_xlpm.u,INDEX($BN$15:$BN$62,_xlpm.p),_xlpm.s,INDEX($BP$15:$BP$62,_xlpm.p),_xlpm.q,N(AU451)/_xlpm.f,IF(_xlpm.q&gt;=_xlpm.s,ROUND(_xlpm.q,1)&amp;" "&amp;_xlpm.ai_test&amp;" = "&amp;ROUND(_xlpm.q*_xlpm.f,1)&amp;" "&amp;_xlpm.u,ROUND(_xlpm.q,1)&amp;" "&amp;_xlpm.ai_test)),""),""))))</f>
        <v>0</v>
      </c>
      <c r="AX451" s="6218"/>
      <c r="AY451" s="6272">
        <f t="shared" si="192"/>
        <v>0</v>
      </c>
      <c r="AZ451" s="6240" t="str">
        <f t="shared" si="193"/>
        <v/>
      </c>
      <c r="BA451" s="6195">
        <f t="shared" si="198"/>
        <v>0</v>
      </c>
      <c r="BB451" s="6193" t="str">
        <f t="shared" si="194"/>
        <v/>
      </c>
      <c r="BC451" s="6219"/>
      <c r="BD451" s="6222">
        <f t="shared" si="199"/>
        <v>0</v>
      </c>
      <c r="BE451" s="6220" t="str">
        <f t="shared" si="195"/>
        <v/>
      </c>
      <c r="BF451" s="4" t="s">
        <v>1</v>
      </c>
      <c r="BG451" s="6196">
        <f t="shared" si="196"/>
        <v>0</v>
      </c>
      <c r="BH451" s="6197">
        <f t="shared" si="197"/>
        <v>0</v>
      </c>
      <c r="BI451"/>
      <c r="BJ451" s="1"/>
      <c r="BK451" s="1"/>
      <c r="BL451" s="1"/>
      <c r="BM451" s="1"/>
      <c r="BN451" s="1"/>
      <c r="BO451" s="1"/>
      <c r="BP451" s="1"/>
      <c r="BQ451" s="1"/>
      <c r="BX451" s="20" t="str">
        <f t="shared" si="178"/>
        <v>►</v>
      </c>
      <c r="BY451" s="2"/>
      <c r="BZ451" s="2"/>
      <c r="CA451" s="2"/>
      <c r="CB451" s="2"/>
      <c r="CC451" s="2"/>
      <c r="DC451" s="5">
        <v>1</v>
      </c>
    </row>
    <row r="452" spans="12:107" ht="21" customHeight="1">
      <c r="L452" s="1021" t="s">
        <v>26</v>
      </c>
      <c r="M452" s="6787"/>
      <c r="N452" s="6787"/>
      <c r="O452" s="6787"/>
      <c r="P452" s="6788"/>
      <c r="Q452" s="6789"/>
      <c r="R452" s="6790"/>
      <c r="S452" s="6786"/>
      <c r="T452" s="6791"/>
      <c r="U452" s="6844"/>
      <c r="V452" s="6791"/>
      <c r="W452" s="6785"/>
      <c r="X452" s="6868"/>
      <c r="Y452" s="6793"/>
      <c r="Z452" s="6794"/>
      <c r="AA452" s="6795"/>
      <c r="AB452" s="6796"/>
      <c r="AC452" s="6797"/>
      <c r="AD452" s="6798"/>
      <c r="AE452" s="4" t="s">
        <v>1</v>
      </c>
      <c r="AF452" s="6202" t="str">
        <f t="shared" si="179"/>
        <v>►</v>
      </c>
      <c r="AG452" s="6234" t="str">
        <f t="shared" si="180"/>
        <v/>
      </c>
      <c r="AH452" s="6732" t="str">
        <f t="shared" si="181"/>
        <v/>
      </c>
      <c r="AI452" s="6234" t="str">
        <f t="shared" si="182"/>
        <v/>
      </c>
      <c r="AJ452" s="6732" t="str">
        <f t="shared" si="183"/>
        <v/>
      </c>
      <c r="AK452" s="6732">
        <f t="shared" si="184"/>
        <v>0</v>
      </c>
      <c r="AL452" s="6230" t="str" cm="1">
        <f t="array" ref="AL452">IF(AF452&lt;&gt;"A","",IFERROR((IFERROR(_xlfn.XLOOKUP(TRIM(SUBSTITUTE(U452,CHAR(160)," ")),$BJ$15:$BJ$62,$BM$15:$BM$62),IFERROR(_xlfn.XLOOKUP(TRIM(SUBSTITUTE(U452,CHAR(160)," ")),$BK$15:$BK$62,$BM$15:$BM$62),_xlfn.XLOOKUP(TRIM(SUBSTITUTE(U452,CHAR(160)," ")),$BL$15:$BL$62,$BM$15:$BM$62))))*T452*IF(ISBLANK(Q452),1,Q452)+IFERROR(_xlfn.XLOOKUP("RECHERCHEX",TRIM(L452:AD452),L452:AD452),0),0))</f>
        <v/>
      </c>
      <c r="AM452" s="6229">
        <f t="shared" si="185"/>
        <v>0</v>
      </c>
      <c r="AN452" s="6857" t="str">
        <f t="shared" si="200"/>
        <v/>
      </c>
      <c r="AO452" s="392">
        <f t="shared" si="186"/>
        <v>0</v>
      </c>
      <c r="AP452" s="392">
        <f t="shared" si="187"/>
        <v>0</v>
      </c>
      <c r="AQ452" s="6190">
        <f t="shared" si="188"/>
        <v>0</v>
      </c>
      <c r="AR452" s="6858" t="str">
        <f t="shared" si="189"/>
        <v/>
      </c>
      <c r="AS452" s="6217"/>
      <c r="AT452" s="6217"/>
      <c r="AU452" s="6271">
        <f t="shared" si="190"/>
        <v>0</v>
      </c>
      <c r="AV452" s="6242">
        <f t="shared" si="191"/>
        <v>0</v>
      </c>
      <c r="AW452" s="6188" cm="1">
        <f t="array" ref="AW452">IF(AK452&lt;&gt;1,0,IF(OR(AU452="",N(AU452)&lt;=0.000000001),"",IF(OR(AO452="",N(AO452)&lt;=0.000000001),0,IF(ISNUMBER(AU452),IFERROR(_xlfn.LET(_xlpm.ai_test,TRIM(AJ452),_xlpm.r,IFERROR(_xlfn.XLOOKUP(_xlpm.ai_test,$BJ$15:$BJ$62,ROW($BJ$15:$BJ$62),0,1),IFERROR(_xlfn.XLOOKUP(_xlpm.ai_test,$BK$15:$BK$62,ROW($BK$15:$BK$62),0,1),_xlfn.XLOOKUP(_xlpm.ai_test,$BL$15:$BL$62,ROW($BL$15:$BL$62),0,1))),_xlpm.p,_xlpm.r-MIN(ROW($BJ$15:$BJ$62))+1,_xlpm.f,INDEX($BM$15:$BM$62,_xlpm.p),_xlpm.u,INDEX($BN$15:$BN$62,_xlpm.p),_xlpm.s,INDEX($BP$15:$BP$62,_xlpm.p),_xlpm.q,N(AU452)/_xlpm.f,IF(_xlpm.q&gt;=_xlpm.s,ROUND(_xlpm.q,1)&amp;" "&amp;_xlpm.ai_test&amp;" = "&amp;ROUND(_xlpm.q*_xlpm.f,1)&amp;" "&amp;_xlpm.u,ROUND(_xlpm.q,1)&amp;" "&amp;_xlpm.ai_test)),""),""))))</f>
        <v>0</v>
      </c>
      <c r="AX452" s="6218"/>
      <c r="AY452" s="6271">
        <f t="shared" si="192"/>
        <v>0</v>
      </c>
      <c r="AZ452" s="6242" t="str">
        <f t="shared" si="193"/>
        <v/>
      </c>
      <c r="BA452" s="6194">
        <f t="shared" si="198"/>
        <v>0</v>
      </c>
      <c r="BB452" s="6192" t="str">
        <f t="shared" si="194"/>
        <v/>
      </c>
      <c r="BC452" s="6219"/>
      <c r="BD452" s="6221">
        <f t="shared" si="199"/>
        <v>0</v>
      </c>
      <c r="BE452" s="6220" t="str">
        <f t="shared" si="195"/>
        <v/>
      </c>
      <c r="BF452" s="4" t="s">
        <v>1</v>
      </c>
      <c r="BG452" s="6196">
        <f t="shared" si="196"/>
        <v>0</v>
      </c>
      <c r="BH452" s="6197">
        <f t="shared" si="197"/>
        <v>0</v>
      </c>
      <c r="BI452"/>
      <c r="BJ452" s="1"/>
      <c r="BK452" s="1"/>
      <c r="BL452" s="1"/>
      <c r="BM452" s="1"/>
      <c r="BN452" s="1"/>
      <c r="BO452" s="1"/>
      <c r="BP452" s="1"/>
      <c r="BQ452" s="1"/>
      <c r="BX452" s="20" t="str">
        <f t="shared" si="178"/>
        <v>►</v>
      </c>
      <c r="BY452" s="2"/>
      <c r="BZ452" s="2"/>
      <c r="CA452" s="2"/>
      <c r="CB452" s="2"/>
      <c r="CC452" s="2"/>
      <c r="DC452" s="5">
        <v>1</v>
      </c>
    </row>
    <row r="453" spans="12:107" ht="21" customHeight="1">
      <c r="L453" s="1021" t="s">
        <v>26</v>
      </c>
      <c r="M453" s="6787"/>
      <c r="N453" s="6787"/>
      <c r="O453" s="6787"/>
      <c r="P453" s="6788"/>
      <c r="Q453" s="6789"/>
      <c r="R453" s="6790"/>
      <c r="S453" s="6786"/>
      <c r="T453" s="6791"/>
      <c r="U453" s="6844"/>
      <c r="V453" s="6791"/>
      <c r="W453" s="6785"/>
      <c r="X453" s="6868"/>
      <c r="Y453" s="6793"/>
      <c r="Z453" s="6794"/>
      <c r="AA453" s="6795"/>
      <c r="AB453" s="6796"/>
      <c r="AC453" s="6797"/>
      <c r="AD453" s="6798"/>
      <c r="AE453" s="4" t="s">
        <v>1</v>
      </c>
      <c r="AF453" s="6202" t="str">
        <f t="shared" si="179"/>
        <v>►</v>
      </c>
      <c r="AG453" s="6234" t="str">
        <f t="shared" si="180"/>
        <v/>
      </c>
      <c r="AH453" s="6732" t="str">
        <f t="shared" si="181"/>
        <v/>
      </c>
      <c r="AI453" s="6234" t="str">
        <f t="shared" si="182"/>
        <v/>
      </c>
      <c r="AJ453" s="6732" t="str">
        <f t="shared" si="183"/>
        <v/>
      </c>
      <c r="AK453" s="6732">
        <f t="shared" si="184"/>
        <v>0</v>
      </c>
      <c r="AL453" s="6230" t="str" cm="1">
        <f t="array" ref="AL453">IF(AF453&lt;&gt;"A","",IFERROR((IFERROR(_xlfn.XLOOKUP(TRIM(SUBSTITUTE(U453,CHAR(160)," ")),$BJ$15:$BJ$62,$BM$15:$BM$62),IFERROR(_xlfn.XLOOKUP(TRIM(SUBSTITUTE(U453,CHAR(160)," ")),$BK$15:$BK$62,$BM$15:$BM$62),_xlfn.XLOOKUP(TRIM(SUBSTITUTE(U453,CHAR(160)," ")),$BL$15:$BL$62,$BM$15:$BM$62))))*T453*IF(ISBLANK(Q453),1,Q453)+IFERROR(_xlfn.XLOOKUP("RECHERCHEX",TRIM(L453:AD453),L453:AD453),0),0))</f>
        <v/>
      </c>
      <c r="AM453" s="6229">
        <f t="shared" si="185"/>
        <v>0</v>
      </c>
      <c r="AN453" s="6857" t="str">
        <f t="shared" si="200"/>
        <v/>
      </c>
      <c r="AO453" s="392">
        <f t="shared" si="186"/>
        <v>0</v>
      </c>
      <c r="AP453" s="392">
        <f t="shared" si="187"/>
        <v>0</v>
      </c>
      <c r="AQ453" s="6191">
        <f t="shared" si="188"/>
        <v>0</v>
      </c>
      <c r="AR453" s="6859" t="str">
        <f t="shared" si="189"/>
        <v/>
      </c>
      <c r="AS453" s="6217"/>
      <c r="AT453" s="6217"/>
      <c r="AU453" s="6272">
        <f t="shared" si="190"/>
        <v>0</v>
      </c>
      <c r="AV453" s="6240">
        <f t="shared" si="191"/>
        <v>0</v>
      </c>
      <c r="AW453" s="6189" cm="1">
        <f t="array" ref="AW453">IF(AK453&lt;&gt;1,0,IF(OR(AU453="",N(AU453)&lt;=0.000000001),"",IF(OR(AO453="",N(AO453)&lt;=0.000000001),0,IF(ISNUMBER(AU453),IFERROR(_xlfn.LET(_xlpm.ai_test,TRIM(AJ453),_xlpm.r,IFERROR(_xlfn.XLOOKUP(_xlpm.ai_test,$BJ$15:$BJ$62,ROW($BJ$15:$BJ$62),0,1),IFERROR(_xlfn.XLOOKUP(_xlpm.ai_test,$BK$15:$BK$62,ROW($BK$15:$BK$62),0,1),_xlfn.XLOOKUP(_xlpm.ai_test,$BL$15:$BL$62,ROW($BL$15:$BL$62),0,1))),_xlpm.p,_xlpm.r-MIN(ROW($BJ$15:$BJ$62))+1,_xlpm.f,INDEX($BM$15:$BM$62,_xlpm.p),_xlpm.u,INDEX($BN$15:$BN$62,_xlpm.p),_xlpm.s,INDEX($BP$15:$BP$62,_xlpm.p),_xlpm.q,N(AU453)/_xlpm.f,IF(_xlpm.q&gt;=_xlpm.s,ROUND(_xlpm.q,1)&amp;" "&amp;_xlpm.ai_test&amp;" = "&amp;ROUND(_xlpm.q*_xlpm.f,1)&amp;" "&amp;_xlpm.u,ROUND(_xlpm.q,1)&amp;" "&amp;_xlpm.ai_test)),""),""))))</f>
        <v>0</v>
      </c>
      <c r="AX453" s="6218"/>
      <c r="AY453" s="6272">
        <f t="shared" si="192"/>
        <v>0</v>
      </c>
      <c r="AZ453" s="6240" t="str">
        <f t="shared" si="193"/>
        <v/>
      </c>
      <c r="BA453" s="6195">
        <f t="shared" si="198"/>
        <v>0</v>
      </c>
      <c r="BB453" s="6193" t="str">
        <f t="shared" si="194"/>
        <v/>
      </c>
      <c r="BC453" s="6219"/>
      <c r="BD453" s="6222">
        <f t="shared" si="199"/>
        <v>0</v>
      </c>
      <c r="BE453" s="6220" t="str">
        <f t="shared" si="195"/>
        <v/>
      </c>
      <c r="BF453" s="4" t="s">
        <v>1</v>
      </c>
      <c r="BG453" s="6196">
        <f t="shared" si="196"/>
        <v>0</v>
      </c>
      <c r="BH453" s="6197">
        <f t="shared" si="197"/>
        <v>0</v>
      </c>
      <c r="BI453"/>
      <c r="BJ453" s="1"/>
      <c r="BK453" s="1"/>
      <c r="BL453" s="1"/>
      <c r="BM453" s="1"/>
      <c r="BN453" s="1"/>
      <c r="BO453" s="1"/>
      <c r="BP453" s="1"/>
      <c r="BQ453" s="1"/>
      <c r="BX453" s="20" t="str">
        <f t="shared" ref="BX453:BX516" si="201">AF453</f>
        <v>►</v>
      </c>
      <c r="BY453" s="2"/>
      <c r="BZ453" s="2"/>
      <c r="CA453" s="2"/>
      <c r="CB453" s="2"/>
      <c r="CC453" s="2"/>
      <c r="DC453" s="5">
        <v>1</v>
      </c>
    </row>
    <row r="454" spans="12:107" ht="21" customHeight="1">
      <c r="L454" s="1021" t="s">
        <v>26</v>
      </c>
      <c r="M454" s="6787"/>
      <c r="N454" s="6787"/>
      <c r="O454" s="6787"/>
      <c r="P454" s="6788"/>
      <c r="Q454" s="6789"/>
      <c r="R454" s="6790"/>
      <c r="S454" s="6786"/>
      <c r="T454" s="6791"/>
      <c r="U454" s="6844"/>
      <c r="V454" s="6791"/>
      <c r="W454" s="6785"/>
      <c r="X454" s="6868"/>
      <c r="Y454" s="6793"/>
      <c r="Z454" s="6794"/>
      <c r="AA454" s="6795"/>
      <c r="AB454" s="6796"/>
      <c r="AC454" s="6797"/>
      <c r="AD454" s="6798"/>
      <c r="AE454" s="4" t="s">
        <v>1</v>
      </c>
      <c r="AF454" s="6202" t="str">
        <f t="shared" si="179"/>
        <v>►</v>
      </c>
      <c r="AG454" s="6234" t="str">
        <f t="shared" si="180"/>
        <v/>
      </c>
      <c r="AH454" s="6732" t="str">
        <f t="shared" si="181"/>
        <v/>
      </c>
      <c r="AI454" s="6234" t="str">
        <f t="shared" si="182"/>
        <v/>
      </c>
      <c r="AJ454" s="6732" t="str">
        <f t="shared" si="183"/>
        <v/>
      </c>
      <c r="AK454" s="6732">
        <f t="shared" si="184"/>
        <v>0</v>
      </c>
      <c r="AL454" s="6230" t="str" cm="1">
        <f t="array" ref="AL454">IF(AF454&lt;&gt;"A","",IFERROR((IFERROR(_xlfn.XLOOKUP(TRIM(SUBSTITUTE(U454,CHAR(160)," ")),$BJ$15:$BJ$62,$BM$15:$BM$62),IFERROR(_xlfn.XLOOKUP(TRIM(SUBSTITUTE(U454,CHAR(160)," ")),$BK$15:$BK$62,$BM$15:$BM$62),_xlfn.XLOOKUP(TRIM(SUBSTITUTE(U454,CHAR(160)," ")),$BL$15:$BL$62,$BM$15:$BM$62))))*T454*IF(ISBLANK(Q454),1,Q454)+IFERROR(_xlfn.XLOOKUP("RECHERCHEX",TRIM(L454:AD454),L454:AD454),0),0))</f>
        <v/>
      </c>
      <c r="AM454" s="6229">
        <f t="shared" si="185"/>
        <v>0</v>
      </c>
      <c r="AN454" s="6857" t="str">
        <f t="shared" si="200"/>
        <v/>
      </c>
      <c r="AO454" s="392">
        <f t="shared" si="186"/>
        <v>0</v>
      </c>
      <c r="AP454" s="392">
        <f t="shared" si="187"/>
        <v>0</v>
      </c>
      <c r="AQ454" s="6190">
        <f t="shared" si="188"/>
        <v>0</v>
      </c>
      <c r="AR454" s="6858" t="str">
        <f t="shared" si="189"/>
        <v/>
      </c>
      <c r="AS454" s="6217"/>
      <c r="AT454" s="6217"/>
      <c r="AU454" s="6271">
        <f t="shared" si="190"/>
        <v>0</v>
      </c>
      <c r="AV454" s="6242">
        <f t="shared" si="191"/>
        <v>0</v>
      </c>
      <c r="AW454" s="6188" cm="1">
        <f t="array" ref="AW454">IF(AK454&lt;&gt;1,0,IF(OR(AU454="",N(AU454)&lt;=0.000000001),"",IF(OR(AO454="",N(AO454)&lt;=0.000000001),0,IF(ISNUMBER(AU454),IFERROR(_xlfn.LET(_xlpm.ai_test,TRIM(AJ454),_xlpm.r,IFERROR(_xlfn.XLOOKUP(_xlpm.ai_test,$BJ$15:$BJ$62,ROW($BJ$15:$BJ$62),0,1),IFERROR(_xlfn.XLOOKUP(_xlpm.ai_test,$BK$15:$BK$62,ROW($BK$15:$BK$62),0,1),_xlfn.XLOOKUP(_xlpm.ai_test,$BL$15:$BL$62,ROW($BL$15:$BL$62),0,1))),_xlpm.p,_xlpm.r-MIN(ROW($BJ$15:$BJ$62))+1,_xlpm.f,INDEX($BM$15:$BM$62,_xlpm.p),_xlpm.u,INDEX($BN$15:$BN$62,_xlpm.p),_xlpm.s,INDEX($BP$15:$BP$62,_xlpm.p),_xlpm.q,N(AU454)/_xlpm.f,IF(_xlpm.q&gt;=_xlpm.s,ROUND(_xlpm.q,1)&amp;" "&amp;_xlpm.ai_test&amp;" = "&amp;ROUND(_xlpm.q*_xlpm.f,1)&amp;" "&amp;_xlpm.u,ROUND(_xlpm.q,1)&amp;" "&amp;_xlpm.ai_test)),""),""))))</f>
        <v>0</v>
      </c>
      <c r="AX454" s="6218"/>
      <c r="AY454" s="6271">
        <f t="shared" si="192"/>
        <v>0</v>
      </c>
      <c r="AZ454" s="6242" t="str">
        <f t="shared" si="193"/>
        <v/>
      </c>
      <c r="BA454" s="6194">
        <f t="shared" si="198"/>
        <v>0</v>
      </c>
      <c r="BB454" s="6192" t="str">
        <f t="shared" si="194"/>
        <v/>
      </c>
      <c r="BC454" s="6219"/>
      <c r="BD454" s="6221">
        <f t="shared" si="199"/>
        <v>0</v>
      </c>
      <c r="BE454" s="6220" t="str">
        <f t="shared" si="195"/>
        <v/>
      </c>
      <c r="BF454" s="4" t="s">
        <v>1</v>
      </c>
      <c r="BG454" s="6196">
        <f t="shared" si="196"/>
        <v>0</v>
      </c>
      <c r="BH454" s="6197">
        <f t="shared" si="197"/>
        <v>0</v>
      </c>
      <c r="BI454"/>
      <c r="BJ454" s="1"/>
      <c r="BK454" s="1"/>
      <c r="BL454" s="1"/>
      <c r="BM454" s="1"/>
      <c r="BN454" s="1"/>
      <c r="BO454" s="1"/>
      <c r="BP454" s="1"/>
      <c r="BQ454" s="1"/>
      <c r="BX454" s="20" t="str">
        <f t="shared" si="201"/>
        <v>►</v>
      </c>
      <c r="BY454" s="2"/>
      <c r="BZ454" s="2"/>
      <c r="CA454" s="2"/>
      <c r="CB454" s="2"/>
      <c r="CC454" s="2"/>
      <c r="DC454" s="5">
        <v>1</v>
      </c>
    </row>
    <row r="455" spans="12:107" ht="21" customHeight="1">
      <c r="L455" s="1021" t="s">
        <v>26</v>
      </c>
      <c r="M455" s="6787"/>
      <c r="N455" s="6787"/>
      <c r="O455" s="6787"/>
      <c r="P455" s="6788"/>
      <c r="Q455" s="6789"/>
      <c r="R455" s="6790"/>
      <c r="S455" s="6786"/>
      <c r="T455" s="6791"/>
      <c r="U455" s="6844"/>
      <c r="V455" s="6791"/>
      <c r="W455" s="6785"/>
      <c r="X455" s="6868"/>
      <c r="Y455" s="6793"/>
      <c r="Z455" s="6794"/>
      <c r="AA455" s="6795"/>
      <c r="AB455" s="6796"/>
      <c r="AC455" s="6797"/>
      <c r="AD455" s="6798"/>
      <c r="AE455" s="4" t="s">
        <v>1</v>
      </c>
      <c r="AF455" s="6202" t="str">
        <f t="shared" si="179"/>
        <v>►</v>
      </c>
      <c r="AG455" s="6234" t="str">
        <f t="shared" si="180"/>
        <v/>
      </c>
      <c r="AH455" s="6732" t="str">
        <f t="shared" si="181"/>
        <v/>
      </c>
      <c r="AI455" s="6234" t="str">
        <f t="shared" si="182"/>
        <v/>
      </c>
      <c r="AJ455" s="6732" t="str">
        <f t="shared" si="183"/>
        <v/>
      </c>
      <c r="AK455" s="6732">
        <f t="shared" si="184"/>
        <v>0</v>
      </c>
      <c r="AL455" s="6230" t="str" cm="1">
        <f t="array" ref="AL455">IF(AF455&lt;&gt;"A","",IFERROR((IFERROR(_xlfn.XLOOKUP(TRIM(SUBSTITUTE(U455,CHAR(160)," ")),$BJ$15:$BJ$62,$BM$15:$BM$62),IFERROR(_xlfn.XLOOKUP(TRIM(SUBSTITUTE(U455,CHAR(160)," ")),$BK$15:$BK$62,$BM$15:$BM$62),_xlfn.XLOOKUP(TRIM(SUBSTITUTE(U455,CHAR(160)," ")),$BL$15:$BL$62,$BM$15:$BM$62))))*T455*IF(ISBLANK(Q455),1,Q455)+IFERROR(_xlfn.XLOOKUP("RECHERCHEX",TRIM(L455:AD455),L455:AD455),0),0))</f>
        <v/>
      </c>
      <c r="AM455" s="6229">
        <f t="shared" si="185"/>
        <v>0</v>
      </c>
      <c r="AN455" s="6857" t="str">
        <f t="shared" si="200"/>
        <v/>
      </c>
      <c r="AO455" s="392">
        <f t="shared" si="186"/>
        <v>0</v>
      </c>
      <c r="AP455" s="392">
        <f t="shared" si="187"/>
        <v>0</v>
      </c>
      <c r="AQ455" s="6191">
        <f t="shared" si="188"/>
        <v>0</v>
      </c>
      <c r="AR455" s="6859" t="str">
        <f t="shared" si="189"/>
        <v/>
      </c>
      <c r="AS455" s="6217"/>
      <c r="AT455" s="6217"/>
      <c r="AU455" s="6272">
        <f t="shared" si="190"/>
        <v>0</v>
      </c>
      <c r="AV455" s="6240">
        <f t="shared" si="191"/>
        <v>0</v>
      </c>
      <c r="AW455" s="6189" cm="1">
        <f t="array" ref="AW455">IF(AK455&lt;&gt;1,0,IF(OR(AU455="",N(AU455)&lt;=0.000000001),"",IF(OR(AO455="",N(AO455)&lt;=0.000000001),0,IF(ISNUMBER(AU455),IFERROR(_xlfn.LET(_xlpm.ai_test,TRIM(AJ455),_xlpm.r,IFERROR(_xlfn.XLOOKUP(_xlpm.ai_test,$BJ$15:$BJ$62,ROW($BJ$15:$BJ$62),0,1),IFERROR(_xlfn.XLOOKUP(_xlpm.ai_test,$BK$15:$BK$62,ROW($BK$15:$BK$62),0,1),_xlfn.XLOOKUP(_xlpm.ai_test,$BL$15:$BL$62,ROW($BL$15:$BL$62),0,1))),_xlpm.p,_xlpm.r-MIN(ROW($BJ$15:$BJ$62))+1,_xlpm.f,INDEX($BM$15:$BM$62,_xlpm.p),_xlpm.u,INDEX($BN$15:$BN$62,_xlpm.p),_xlpm.s,INDEX($BP$15:$BP$62,_xlpm.p),_xlpm.q,N(AU455)/_xlpm.f,IF(_xlpm.q&gt;=_xlpm.s,ROUND(_xlpm.q,1)&amp;" "&amp;_xlpm.ai_test&amp;" = "&amp;ROUND(_xlpm.q*_xlpm.f,1)&amp;" "&amp;_xlpm.u,ROUND(_xlpm.q,1)&amp;" "&amp;_xlpm.ai_test)),""),""))))</f>
        <v>0</v>
      </c>
      <c r="AX455" s="6218"/>
      <c r="AY455" s="6272">
        <f t="shared" si="192"/>
        <v>0</v>
      </c>
      <c r="AZ455" s="6240" t="str">
        <f t="shared" si="193"/>
        <v/>
      </c>
      <c r="BA455" s="6195">
        <f t="shared" si="198"/>
        <v>0</v>
      </c>
      <c r="BB455" s="6193" t="str">
        <f t="shared" si="194"/>
        <v/>
      </c>
      <c r="BC455" s="6219"/>
      <c r="BD455" s="6222">
        <f t="shared" si="199"/>
        <v>0</v>
      </c>
      <c r="BE455" s="6220" t="str">
        <f t="shared" si="195"/>
        <v/>
      </c>
      <c r="BF455" s="4" t="s">
        <v>1</v>
      </c>
      <c r="BG455" s="6196">
        <f t="shared" si="196"/>
        <v>0</v>
      </c>
      <c r="BH455" s="6197">
        <f t="shared" si="197"/>
        <v>0</v>
      </c>
      <c r="BI455"/>
      <c r="BJ455" s="1"/>
      <c r="BK455" s="1"/>
      <c r="BL455" s="1"/>
      <c r="BM455" s="1"/>
      <c r="BN455" s="1"/>
      <c r="BO455" s="1"/>
      <c r="BP455" s="1"/>
      <c r="BQ455" s="1"/>
      <c r="BX455" s="20" t="str">
        <f t="shared" si="201"/>
        <v>►</v>
      </c>
      <c r="BY455" s="2"/>
      <c r="BZ455" s="2"/>
      <c r="CA455" s="2"/>
      <c r="CB455" s="2"/>
      <c r="CC455" s="2"/>
      <c r="DC455" s="5">
        <v>1</v>
      </c>
    </row>
    <row r="456" spans="12:107" ht="21" customHeight="1">
      <c r="L456" s="1021" t="s">
        <v>26</v>
      </c>
      <c r="M456" s="6787"/>
      <c r="N456" s="6787"/>
      <c r="O456" s="6787"/>
      <c r="P456" s="6788"/>
      <c r="Q456" s="6789"/>
      <c r="R456" s="6790"/>
      <c r="S456" s="6786"/>
      <c r="T456" s="6791"/>
      <c r="U456" s="6844"/>
      <c r="V456" s="6791"/>
      <c r="W456" s="6785"/>
      <c r="X456" s="6868"/>
      <c r="Y456" s="6793"/>
      <c r="Z456" s="6794"/>
      <c r="AA456" s="6795"/>
      <c r="AB456" s="6796"/>
      <c r="AC456" s="6797"/>
      <c r="AD456" s="6798"/>
      <c r="AE456" s="4" t="s">
        <v>1</v>
      </c>
      <c r="AF456" s="6202" t="str">
        <f t="shared" si="179"/>
        <v>►</v>
      </c>
      <c r="AG456" s="6234" t="str">
        <f t="shared" si="180"/>
        <v/>
      </c>
      <c r="AH456" s="6732" t="str">
        <f t="shared" si="181"/>
        <v/>
      </c>
      <c r="AI456" s="6234" t="str">
        <f t="shared" si="182"/>
        <v/>
      </c>
      <c r="AJ456" s="6732" t="str">
        <f t="shared" si="183"/>
        <v/>
      </c>
      <c r="AK456" s="6732">
        <f t="shared" si="184"/>
        <v>0</v>
      </c>
      <c r="AL456" s="6230" t="str" cm="1">
        <f t="array" ref="AL456">IF(AF456&lt;&gt;"A","",IFERROR((IFERROR(_xlfn.XLOOKUP(TRIM(SUBSTITUTE(U456,CHAR(160)," ")),$BJ$15:$BJ$62,$BM$15:$BM$62),IFERROR(_xlfn.XLOOKUP(TRIM(SUBSTITUTE(U456,CHAR(160)," ")),$BK$15:$BK$62,$BM$15:$BM$62),_xlfn.XLOOKUP(TRIM(SUBSTITUTE(U456,CHAR(160)," ")),$BL$15:$BL$62,$BM$15:$BM$62))))*T456*IF(ISBLANK(Q456),1,Q456)+IFERROR(_xlfn.XLOOKUP("RECHERCHEX",TRIM(L456:AD456),L456:AD456),0),0))</f>
        <v/>
      </c>
      <c r="AM456" s="6229">
        <f t="shared" si="185"/>
        <v>0</v>
      </c>
      <c r="AN456" s="6857" t="str">
        <f t="shared" si="200"/>
        <v/>
      </c>
      <c r="AO456" s="392">
        <f t="shared" si="186"/>
        <v>0</v>
      </c>
      <c r="AP456" s="392">
        <f t="shared" si="187"/>
        <v>0</v>
      </c>
      <c r="AQ456" s="6190">
        <f t="shared" si="188"/>
        <v>0</v>
      </c>
      <c r="AR456" s="6858" t="str">
        <f t="shared" si="189"/>
        <v/>
      </c>
      <c r="AS456" s="6217"/>
      <c r="AT456" s="6217"/>
      <c r="AU456" s="6271">
        <f t="shared" si="190"/>
        <v>0</v>
      </c>
      <c r="AV456" s="6242">
        <f t="shared" si="191"/>
        <v>0</v>
      </c>
      <c r="AW456" s="6188" cm="1">
        <f t="array" ref="AW456">IF(AK456&lt;&gt;1,0,IF(OR(AU456="",N(AU456)&lt;=0.000000001),"",IF(OR(AO456="",N(AO456)&lt;=0.000000001),0,IF(ISNUMBER(AU456),IFERROR(_xlfn.LET(_xlpm.ai_test,TRIM(AJ456),_xlpm.r,IFERROR(_xlfn.XLOOKUP(_xlpm.ai_test,$BJ$15:$BJ$62,ROW($BJ$15:$BJ$62),0,1),IFERROR(_xlfn.XLOOKUP(_xlpm.ai_test,$BK$15:$BK$62,ROW($BK$15:$BK$62),0,1),_xlfn.XLOOKUP(_xlpm.ai_test,$BL$15:$BL$62,ROW($BL$15:$BL$62),0,1))),_xlpm.p,_xlpm.r-MIN(ROW($BJ$15:$BJ$62))+1,_xlpm.f,INDEX($BM$15:$BM$62,_xlpm.p),_xlpm.u,INDEX($BN$15:$BN$62,_xlpm.p),_xlpm.s,INDEX($BP$15:$BP$62,_xlpm.p),_xlpm.q,N(AU456)/_xlpm.f,IF(_xlpm.q&gt;=_xlpm.s,ROUND(_xlpm.q,1)&amp;" "&amp;_xlpm.ai_test&amp;" = "&amp;ROUND(_xlpm.q*_xlpm.f,1)&amp;" "&amp;_xlpm.u,ROUND(_xlpm.q,1)&amp;" "&amp;_xlpm.ai_test)),""),""))))</f>
        <v>0</v>
      </c>
      <c r="AX456" s="6218"/>
      <c r="AY456" s="6271">
        <f t="shared" si="192"/>
        <v>0</v>
      </c>
      <c r="AZ456" s="6242" t="str">
        <f t="shared" si="193"/>
        <v/>
      </c>
      <c r="BA456" s="6194">
        <f t="shared" si="198"/>
        <v>0</v>
      </c>
      <c r="BB456" s="6192" t="str">
        <f t="shared" si="194"/>
        <v/>
      </c>
      <c r="BC456" s="6219"/>
      <c r="BD456" s="6221">
        <f t="shared" si="199"/>
        <v>0</v>
      </c>
      <c r="BE456" s="6220" t="str">
        <f t="shared" si="195"/>
        <v/>
      </c>
      <c r="BF456" s="4" t="s">
        <v>1</v>
      </c>
      <c r="BG456" s="6196">
        <f t="shared" si="196"/>
        <v>0</v>
      </c>
      <c r="BH456" s="6197">
        <f t="shared" si="197"/>
        <v>0</v>
      </c>
      <c r="BI456"/>
      <c r="BJ456" s="1"/>
      <c r="BK456" s="1"/>
      <c r="BL456" s="1"/>
      <c r="BM456" s="1"/>
      <c r="BN456" s="1"/>
      <c r="BO456" s="1"/>
      <c r="BP456" s="1"/>
      <c r="BQ456" s="1"/>
      <c r="BX456" s="20" t="str">
        <f t="shared" si="201"/>
        <v>►</v>
      </c>
      <c r="BY456" s="2"/>
      <c r="BZ456" s="2"/>
      <c r="CA456" s="2"/>
      <c r="CB456" s="2"/>
      <c r="CC456" s="2"/>
      <c r="DC456" s="5">
        <v>1</v>
      </c>
    </row>
    <row r="457" spans="12:107" ht="21" customHeight="1">
      <c r="L457" s="1021" t="s">
        <v>26</v>
      </c>
      <c r="M457" s="6787"/>
      <c r="N457" s="6787"/>
      <c r="O457" s="6787"/>
      <c r="P457" s="6788"/>
      <c r="Q457" s="6789"/>
      <c r="R457" s="6790"/>
      <c r="S457" s="6786"/>
      <c r="T457" s="6791"/>
      <c r="U457" s="6844"/>
      <c r="V457" s="6791"/>
      <c r="W457" s="6785"/>
      <c r="X457" s="6868"/>
      <c r="Y457" s="6793"/>
      <c r="Z457" s="6794"/>
      <c r="AA457" s="6795"/>
      <c r="AB457" s="6796"/>
      <c r="AC457" s="6797"/>
      <c r="AD457" s="6798"/>
      <c r="AE457" s="4" t="s">
        <v>1</v>
      </c>
      <c r="AF457" s="6202" t="str">
        <f t="shared" si="179"/>
        <v>►</v>
      </c>
      <c r="AG457" s="6234" t="str">
        <f t="shared" si="180"/>
        <v/>
      </c>
      <c r="AH457" s="6732" t="str">
        <f t="shared" si="181"/>
        <v/>
      </c>
      <c r="AI457" s="6234" t="str">
        <f t="shared" si="182"/>
        <v/>
      </c>
      <c r="AJ457" s="6732" t="str">
        <f t="shared" si="183"/>
        <v/>
      </c>
      <c r="AK457" s="6732">
        <f t="shared" si="184"/>
        <v>0</v>
      </c>
      <c r="AL457" s="6230" t="str" cm="1">
        <f t="array" ref="AL457">IF(AF457&lt;&gt;"A","",IFERROR((IFERROR(_xlfn.XLOOKUP(TRIM(SUBSTITUTE(U457,CHAR(160)," ")),$BJ$15:$BJ$62,$BM$15:$BM$62),IFERROR(_xlfn.XLOOKUP(TRIM(SUBSTITUTE(U457,CHAR(160)," ")),$BK$15:$BK$62,$BM$15:$BM$62),_xlfn.XLOOKUP(TRIM(SUBSTITUTE(U457,CHAR(160)," ")),$BL$15:$BL$62,$BM$15:$BM$62))))*T457*IF(ISBLANK(Q457),1,Q457)+IFERROR(_xlfn.XLOOKUP("RECHERCHEX",TRIM(L457:AD457),L457:AD457),0),0))</f>
        <v/>
      </c>
      <c r="AM457" s="6229">
        <f t="shared" si="185"/>
        <v>0</v>
      </c>
      <c r="AN457" s="6857" t="str">
        <f t="shared" si="200"/>
        <v/>
      </c>
      <c r="AO457" s="392">
        <f t="shared" si="186"/>
        <v>0</v>
      </c>
      <c r="AP457" s="392">
        <f t="shared" si="187"/>
        <v>0</v>
      </c>
      <c r="AQ457" s="6191">
        <f t="shared" si="188"/>
        <v>0</v>
      </c>
      <c r="AR457" s="6859" t="str">
        <f t="shared" si="189"/>
        <v/>
      </c>
      <c r="AS457" s="6217"/>
      <c r="AT457" s="6217"/>
      <c r="AU457" s="6272">
        <f t="shared" si="190"/>
        <v>0</v>
      </c>
      <c r="AV457" s="6240">
        <f t="shared" si="191"/>
        <v>0</v>
      </c>
      <c r="AW457" s="6189" cm="1">
        <f t="array" ref="AW457">IF(AK457&lt;&gt;1,0,IF(OR(AU457="",N(AU457)&lt;=0.000000001),"",IF(OR(AO457="",N(AO457)&lt;=0.000000001),0,IF(ISNUMBER(AU457),IFERROR(_xlfn.LET(_xlpm.ai_test,TRIM(AJ457),_xlpm.r,IFERROR(_xlfn.XLOOKUP(_xlpm.ai_test,$BJ$15:$BJ$62,ROW($BJ$15:$BJ$62),0,1),IFERROR(_xlfn.XLOOKUP(_xlpm.ai_test,$BK$15:$BK$62,ROW($BK$15:$BK$62),0,1),_xlfn.XLOOKUP(_xlpm.ai_test,$BL$15:$BL$62,ROW($BL$15:$BL$62),0,1))),_xlpm.p,_xlpm.r-MIN(ROW($BJ$15:$BJ$62))+1,_xlpm.f,INDEX($BM$15:$BM$62,_xlpm.p),_xlpm.u,INDEX($BN$15:$BN$62,_xlpm.p),_xlpm.s,INDEX($BP$15:$BP$62,_xlpm.p),_xlpm.q,N(AU457)/_xlpm.f,IF(_xlpm.q&gt;=_xlpm.s,ROUND(_xlpm.q,1)&amp;" "&amp;_xlpm.ai_test&amp;" = "&amp;ROUND(_xlpm.q*_xlpm.f,1)&amp;" "&amp;_xlpm.u,ROUND(_xlpm.q,1)&amp;" "&amp;_xlpm.ai_test)),""),""))))</f>
        <v>0</v>
      </c>
      <c r="AX457" s="6218"/>
      <c r="AY457" s="6272">
        <f t="shared" si="192"/>
        <v>0</v>
      </c>
      <c r="AZ457" s="6240" t="str">
        <f t="shared" si="193"/>
        <v/>
      </c>
      <c r="BA457" s="6195">
        <f t="shared" si="198"/>
        <v>0</v>
      </c>
      <c r="BB457" s="6193" t="str">
        <f t="shared" si="194"/>
        <v/>
      </c>
      <c r="BC457" s="6219"/>
      <c r="BD457" s="6222">
        <f t="shared" si="199"/>
        <v>0</v>
      </c>
      <c r="BE457" s="6220" t="str">
        <f t="shared" si="195"/>
        <v/>
      </c>
      <c r="BF457" s="4" t="s">
        <v>1</v>
      </c>
      <c r="BG457" s="6196">
        <f t="shared" si="196"/>
        <v>0</v>
      </c>
      <c r="BH457" s="6197">
        <f t="shared" si="197"/>
        <v>0</v>
      </c>
      <c r="BI457"/>
      <c r="BJ457" s="1"/>
      <c r="BK457" s="1"/>
      <c r="BL457" s="1"/>
      <c r="BM457" s="1"/>
      <c r="BN457" s="1"/>
      <c r="BO457" s="1"/>
      <c r="BP457" s="1"/>
      <c r="BQ457" s="1"/>
      <c r="BX457" s="20" t="str">
        <f t="shared" si="201"/>
        <v>►</v>
      </c>
      <c r="BY457" s="2"/>
      <c r="BZ457" s="2"/>
      <c r="CA457" s="2"/>
      <c r="CB457" s="2"/>
      <c r="CC457" s="2"/>
      <c r="DC457" s="5">
        <v>1</v>
      </c>
    </row>
    <row r="458" spans="12:107" ht="21" customHeight="1">
      <c r="L458" s="1021" t="s">
        <v>26</v>
      </c>
      <c r="M458" s="6787"/>
      <c r="N458" s="6787"/>
      <c r="O458" s="6787"/>
      <c r="P458" s="6788"/>
      <c r="Q458" s="6789"/>
      <c r="R458" s="6790"/>
      <c r="S458" s="6786"/>
      <c r="T458" s="6791"/>
      <c r="U458" s="6844"/>
      <c r="V458" s="6791"/>
      <c r="W458" s="6785"/>
      <c r="X458" s="6868"/>
      <c r="Y458" s="6793"/>
      <c r="Z458" s="6794"/>
      <c r="AA458" s="6795"/>
      <c r="AB458" s="6796"/>
      <c r="AC458" s="6797"/>
      <c r="AD458" s="6798"/>
      <c r="AE458" s="4" t="s">
        <v>1</v>
      </c>
      <c r="AF458" s="6202" t="str">
        <f t="shared" si="179"/>
        <v>►</v>
      </c>
      <c r="AG458" s="6234" t="str">
        <f t="shared" si="180"/>
        <v/>
      </c>
      <c r="AH458" s="6732" t="str">
        <f t="shared" si="181"/>
        <v/>
      </c>
      <c r="AI458" s="6234" t="str">
        <f t="shared" si="182"/>
        <v/>
      </c>
      <c r="AJ458" s="6732" t="str">
        <f t="shared" si="183"/>
        <v/>
      </c>
      <c r="AK458" s="6732">
        <f t="shared" si="184"/>
        <v>0</v>
      </c>
      <c r="AL458" s="6230" t="str" cm="1">
        <f t="array" ref="AL458">IF(AF458&lt;&gt;"A","",IFERROR((IFERROR(_xlfn.XLOOKUP(TRIM(SUBSTITUTE(U458,CHAR(160)," ")),$BJ$15:$BJ$62,$BM$15:$BM$62),IFERROR(_xlfn.XLOOKUP(TRIM(SUBSTITUTE(U458,CHAR(160)," ")),$BK$15:$BK$62,$BM$15:$BM$62),_xlfn.XLOOKUP(TRIM(SUBSTITUTE(U458,CHAR(160)," ")),$BL$15:$BL$62,$BM$15:$BM$62))))*T458*IF(ISBLANK(Q458),1,Q458)+IFERROR(_xlfn.XLOOKUP("RECHERCHEX",TRIM(L458:AD458),L458:AD458),0),0))</f>
        <v/>
      </c>
      <c r="AM458" s="6229">
        <f t="shared" si="185"/>
        <v>0</v>
      </c>
      <c r="AN458" s="6857" t="str">
        <f t="shared" si="200"/>
        <v/>
      </c>
      <c r="AO458" s="392">
        <f t="shared" si="186"/>
        <v>0</v>
      </c>
      <c r="AP458" s="392">
        <f t="shared" si="187"/>
        <v>0</v>
      </c>
      <c r="AQ458" s="6190">
        <f t="shared" si="188"/>
        <v>0</v>
      </c>
      <c r="AR458" s="6858" t="str">
        <f t="shared" si="189"/>
        <v/>
      </c>
      <c r="AS458" s="6217"/>
      <c r="AT458" s="6217"/>
      <c r="AU458" s="6271">
        <f t="shared" si="190"/>
        <v>0</v>
      </c>
      <c r="AV458" s="6242">
        <f t="shared" si="191"/>
        <v>0</v>
      </c>
      <c r="AW458" s="6188" cm="1">
        <f t="array" ref="AW458">IF(AK458&lt;&gt;1,0,IF(OR(AU458="",N(AU458)&lt;=0.000000001),"",IF(OR(AO458="",N(AO458)&lt;=0.000000001),0,IF(ISNUMBER(AU458),IFERROR(_xlfn.LET(_xlpm.ai_test,TRIM(AJ458),_xlpm.r,IFERROR(_xlfn.XLOOKUP(_xlpm.ai_test,$BJ$15:$BJ$62,ROW($BJ$15:$BJ$62),0,1),IFERROR(_xlfn.XLOOKUP(_xlpm.ai_test,$BK$15:$BK$62,ROW($BK$15:$BK$62),0,1),_xlfn.XLOOKUP(_xlpm.ai_test,$BL$15:$BL$62,ROW($BL$15:$BL$62),0,1))),_xlpm.p,_xlpm.r-MIN(ROW($BJ$15:$BJ$62))+1,_xlpm.f,INDEX($BM$15:$BM$62,_xlpm.p),_xlpm.u,INDEX($BN$15:$BN$62,_xlpm.p),_xlpm.s,INDEX($BP$15:$BP$62,_xlpm.p),_xlpm.q,N(AU458)/_xlpm.f,IF(_xlpm.q&gt;=_xlpm.s,ROUND(_xlpm.q,1)&amp;" "&amp;_xlpm.ai_test&amp;" = "&amp;ROUND(_xlpm.q*_xlpm.f,1)&amp;" "&amp;_xlpm.u,ROUND(_xlpm.q,1)&amp;" "&amp;_xlpm.ai_test)),""),""))))</f>
        <v>0</v>
      </c>
      <c r="AX458" s="6218"/>
      <c r="AY458" s="6271">
        <f t="shared" si="192"/>
        <v>0</v>
      </c>
      <c r="AZ458" s="6242" t="str">
        <f t="shared" si="193"/>
        <v/>
      </c>
      <c r="BA458" s="6194">
        <f t="shared" si="198"/>
        <v>0</v>
      </c>
      <c r="BB458" s="6192" t="str">
        <f t="shared" si="194"/>
        <v/>
      </c>
      <c r="BC458" s="6219"/>
      <c r="BD458" s="6221">
        <f t="shared" si="199"/>
        <v>0</v>
      </c>
      <c r="BE458" s="6220" t="str">
        <f t="shared" si="195"/>
        <v/>
      </c>
      <c r="BF458" s="4" t="s">
        <v>1</v>
      </c>
      <c r="BG458" s="6196">
        <f t="shared" si="196"/>
        <v>0</v>
      </c>
      <c r="BH458" s="6197">
        <f t="shared" si="197"/>
        <v>0</v>
      </c>
      <c r="BI458"/>
      <c r="BJ458" s="1"/>
      <c r="BK458" s="1"/>
      <c r="BL458" s="1"/>
      <c r="BM458" s="1"/>
      <c r="BN458" s="1"/>
      <c r="BO458" s="1"/>
      <c r="BP458" s="1"/>
      <c r="BQ458" s="1"/>
      <c r="BX458" s="20" t="str">
        <f t="shared" si="201"/>
        <v>►</v>
      </c>
      <c r="BY458" s="2"/>
      <c r="BZ458" s="2"/>
      <c r="CA458" s="2"/>
      <c r="CB458" s="2"/>
      <c r="CC458" s="2"/>
      <c r="DC458" s="5">
        <v>1</v>
      </c>
    </row>
    <row r="459" spans="12:107" ht="21" customHeight="1">
      <c r="L459" s="1021" t="s">
        <v>26</v>
      </c>
      <c r="M459" s="6787"/>
      <c r="N459" s="6787"/>
      <c r="O459" s="6787"/>
      <c r="P459" s="6788"/>
      <c r="Q459" s="6789"/>
      <c r="R459" s="6790"/>
      <c r="S459" s="6786"/>
      <c r="T459" s="6791"/>
      <c r="U459" s="6844"/>
      <c r="V459" s="6791"/>
      <c r="W459" s="6785"/>
      <c r="X459" s="6868"/>
      <c r="Y459" s="6793"/>
      <c r="Z459" s="6794"/>
      <c r="AA459" s="6795"/>
      <c r="AB459" s="6796"/>
      <c r="AC459" s="6797"/>
      <c r="AD459" s="6798"/>
      <c r="AE459" s="4" t="s">
        <v>1</v>
      </c>
      <c r="AF459" s="6202" t="str">
        <f t="shared" si="179"/>
        <v>►</v>
      </c>
      <c r="AG459" s="6234" t="str">
        <f t="shared" si="180"/>
        <v/>
      </c>
      <c r="AH459" s="6732" t="str">
        <f t="shared" si="181"/>
        <v/>
      </c>
      <c r="AI459" s="6234" t="str">
        <f t="shared" si="182"/>
        <v/>
      </c>
      <c r="AJ459" s="6732" t="str">
        <f t="shared" si="183"/>
        <v/>
      </c>
      <c r="AK459" s="6732">
        <f t="shared" si="184"/>
        <v>0</v>
      </c>
      <c r="AL459" s="6230" t="str" cm="1">
        <f t="array" ref="AL459">IF(AF459&lt;&gt;"A","",IFERROR((IFERROR(_xlfn.XLOOKUP(TRIM(SUBSTITUTE(U459,CHAR(160)," ")),$BJ$15:$BJ$62,$BM$15:$BM$62),IFERROR(_xlfn.XLOOKUP(TRIM(SUBSTITUTE(U459,CHAR(160)," ")),$BK$15:$BK$62,$BM$15:$BM$62),_xlfn.XLOOKUP(TRIM(SUBSTITUTE(U459,CHAR(160)," ")),$BL$15:$BL$62,$BM$15:$BM$62))))*T459*IF(ISBLANK(Q459),1,Q459)+IFERROR(_xlfn.XLOOKUP("RECHERCHEX",TRIM(L459:AD459),L459:AD459),0),0))</f>
        <v/>
      </c>
      <c r="AM459" s="6229">
        <f t="shared" si="185"/>
        <v>0</v>
      </c>
      <c r="AN459" s="6857" t="str">
        <f t="shared" si="200"/>
        <v/>
      </c>
      <c r="AO459" s="392">
        <f t="shared" si="186"/>
        <v>0</v>
      </c>
      <c r="AP459" s="392">
        <f t="shared" si="187"/>
        <v>0</v>
      </c>
      <c r="AQ459" s="6191">
        <f t="shared" si="188"/>
        <v>0</v>
      </c>
      <c r="AR459" s="6859" t="str">
        <f t="shared" si="189"/>
        <v/>
      </c>
      <c r="AS459" s="6217"/>
      <c r="AT459" s="6217"/>
      <c r="AU459" s="6272">
        <f t="shared" si="190"/>
        <v>0</v>
      </c>
      <c r="AV459" s="6240">
        <f t="shared" si="191"/>
        <v>0</v>
      </c>
      <c r="AW459" s="6189" cm="1">
        <f t="array" ref="AW459">IF(AK459&lt;&gt;1,0,IF(OR(AU459="",N(AU459)&lt;=0.000000001),"",IF(OR(AO459="",N(AO459)&lt;=0.000000001),0,IF(ISNUMBER(AU459),IFERROR(_xlfn.LET(_xlpm.ai_test,TRIM(AJ459),_xlpm.r,IFERROR(_xlfn.XLOOKUP(_xlpm.ai_test,$BJ$15:$BJ$62,ROW($BJ$15:$BJ$62),0,1),IFERROR(_xlfn.XLOOKUP(_xlpm.ai_test,$BK$15:$BK$62,ROW($BK$15:$BK$62),0,1),_xlfn.XLOOKUP(_xlpm.ai_test,$BL$15:$BL$62,ROW($BL$15:$BL$62),0,1))),_xlpm.p,_xlpm.r-MIN(ROW($BJ$15:$BJ$62))+1,_xlpm.f,INDEX($BM$15:$BM$62,_xlpm.p),_xlpm.u,INDEX($BN$15:$BN$62,_xlpm.p),_xlpm.s,INDEX($BP$15:$BP$62,_xlpm.p),_xlpm.q,N(AU459)/_xlpm.f,IF(_xlpm.q&gt;=_xlpm.s,ROUND(_xlpm.q,1)&amp;" "&amp;_xlpm.ai_test&amp;" = "&amp;ROUND(_xlpm.q*_xlpm.f,1)&amp;" "&amp;_xlpm.u,ROUND(_xlpm.q,1)&amp;" "&amp;_xlpm.ai_test)),""),""))))</f>
        <v>0</v>
      </c>
      <c r="AX459" s="6218"/>
      <c r="AY459" s="6272">
        <f t="shared" si="192"/>
        <v>0</v>
      </c>
      <c r="AZ459" s="6240" t="str">
        <f t="shared" si="193"/>
        <v/>
      </c>
      <c r="BA459" s="6195">
        <f t="shared" si="198"/>
        <v>0</v>
      </c>
      <c r="BB459" s="6193" t="str">
        <f t="shared" si="194"/>
        <v/>
      </c>
      <c r="BC459" s="6219"/>
      <c r="BD459" s="6222">
        <f t="shared" si="199"/>
        <v>0</v>
      </c>
      <c r="BE459" s="6220" t="str">
        <f t="shared" si="195"/>
        <v/>
      </c>
      <c r="BF459" s="4" t="s">
        <v>1</v>
      </c>
      <c r="BG459" s="6196">
        <f t="shared" si="196"/>
        <v>0</v>
      </c>
      <c r="BH459" s="6197">
        <f t="shared" si="197"/>
        <v>0</v>
      </c>
      <c r="BI459"/>
      <c r="BJ459" s="1"/>
      <c r="BK459" s="1"/>
      <c r="BL459" s="1"/>
      <c r="BM459" s="1"/>
      <c r="BN459" s="1"/>
      <c r="BO459" s="1"/>
      <c r="BP459" s="1"/>
      <c r="BQ459" s="1"/>
      <c r="BX459" s="20" t="str">
        <f t="shared" si="201"/>
        <v>►</v>
      </c>
      <c r="BY459" s="2"/>
      <c r="BZ459" s="2"/>
      <c r="CA459" s="2"/>
      <c r="CB459" s="2"/>
      <c r="CC459" s="2"/>
      <c r="DC459" s="5">
        <v>1</v>
      </c>
    </row>
    <row r="460" spans="12:107" ht="21" customHeight="1">
      <c r="L460" s="1021" t="s">
        <v>26</v>
      </c>
      <c r="M460" s="6787"/>
      <c r="N460" s="6787"/>
      <c r="O460" s="6787"/>
      <c r="P460" s="6788"/>
      <c r="Q460" s="6789"/>
      <c r="R460" s="6790"/>
      <c r="S460" s="6786"/>
      <c r="T460" s="6791"/>
      <c r="U460" s="6844"/>
      <c r="V460" s="6791"/>
      <c r="W460" s="6785"/>
      <c r="X460" s="6868"/>
      <c r="Y460" s="6793"/>
      <c r="Z460" s="6794"/>
      <c r="AA460" s="6795"/>
      <c r="AB460" s="6796"/>
      <c r="AC460" s="6797"/>
      <c r="AD460" s="6798"/>
      <c r="AE460" s="4" t="s">
        <v>1</v>
      </c>
      <c r="AF460" s="6202" t="str">
        <f t="shared" si="179"/>
        <v>►</v>
      </c>
      <c r="AG460" s="6234" t="str">
        <f t="shared" si="180"/>
        <v/>
      </c>
      <c r="AH460" s="6732" t="str">
        <f t="shared" si="181"/>
        <v/>
      </c>
      <c r="AI460" s="6234" t="str">
        <f t="shared" si="182"/>
        <v/>
      </c>
      <c r="AJ460" s="6732" t="str">
        <f t="shared" si="183"/>
        <v/>
      </c>
      <c r="AK460" s="6732">
        <f t="shared" si="184"/>
        <v>0</v>
      </c>
      <c r="AL460" s="6230" t="str" cm="1">
        <f t="array" ref="AL460">IF(AF460&lt;&gt;"A","",IFERROR((IFERROR(_xlfn.XLOOKUP(TRIM(SUBSTITUTE(U460,CHAR(160)," ")),$BJ$15:$BJ$62,$BM$15:$BM$62),IFERROR(_xlfn.XLOOKUP(TRIM(SUBSTITUTE(U460,CHAR(160)," ")),$BK$15:$BK$62,$BM$15:$BM$62),_xlfn.XLOOKUP(TRIM(SUBSTITUTE(U460,CHAR(160)," ")),$BL$15:$BL$62,$BM$15:$BM$62))))*T460*IF(ISBLANK(Q460),1,Q460)+IFERROR(_xlfn.XLOOKUP("RECHERCHEX",TRIM(L460:AD460),L460:AD460),0),0))</f>
        <v/>
      </c>
      <c r="AM460" s="6229">
        <f t="shared" si="185"/>
        <v>0</v>
      </c>
      <c r="AN460" s="6857" t="str">
        <f t="shared" si="200"/>
        <v/>
      </c>
      <c r="AO460" s="392">
        <f t="shared" si="186"/>
        <v>0</v>
      </c>
      <c r="AP460" s="392">
        <f t="shared" si="187"/>
        <v>0</v>
      </c>
      <c r="AQ460" s="6190">
        <f t="shared" si="188"/>
        <v>0</v>
      </c>
      <c r="AR460" s="6858" t="str">
        <f t="shared" si="189"/>
        <v/>
      </c>
      <c r="AS460" s="6217"/>
      <c r="AT460" s="6217"/>
      <c r="AU460" s="6271">
        <f t="shared" si="190"/>
        <v>0</v>
      </c>
      <c r="AV460" s="6242">
        <f t="shared" si="191"/>
        <v>0</v>
      </c>
      <c r="AW460" s="6188" cm="1">
        <f t="array" ref="AW460">IF(AK460&lt;&gt;1,0,IF(OR(AU460="",N(AU460)&lt;=0.000000001),"",IF(OR(AO460="",N(AO460)&lt;=0.000000001),0,IF(ISNUMBER(AU460),IFERROR(_xlfn.LET(_xlpm.ai_test,TRIM(AJ460),_xlpm.r,IFERROR(_xlfn.XLOOKUP(_xlpm.ai_test,$BJ$15:$BJ$62,ROW($BJ$15:$BJ$62),0,1),IFERROR(_xlfn.XLOOKUP(_xlpm.ai_test,$BK$15:$BK$62,ROW($BK$15:$BK$62),0,1),_xlfn.XLOOKUP(_xlpm.ai_test,$BL$15:$BL$62,ROW($BL$15:$BL$62),0,1))),_xlpm.p,_xlpm.r-MIN(ROW($BJ$15:$BJ$62))+1,_xlpm.f,INDEX($BM$15:$BM$62,_xlpm.p),_xlpm.u,INDEX($BN$15:$BN$62,_xlpm.p),_xlpm.s,INDEX($BP$15:$BP$62,_xlpm.p),_xlpm.q,N(AU460)/_xlpm.f,IF(_xlpm.q&gt;=_xlpm.s,ROUND(_xlpm.q,1)&amp;" "&amp;_xlpm.ai_test&amp;" = "&amp;ROUND(_xlpm.q*_xlpm.f,1)&amp;" "&amp;_xlpm.u,ROUND(_xlpm.q,1)&amp;" "&amp;_xlpm.ai_test)),""),""))))</f>
        <v>0</v>
      </c>
      <c r="AX460" s="6218"/>
      <c r="AY460" s="6271">
        <f t="shared" si="192"/>
        <v>0</v>
      </c>
      <c r="AZ460" s="6242" t="str">
        <f t="shared" si="193"/>
        <v/>
      </c>
      <c r="BA460" s="6194">
        <f t="shared" si="198"/>
        <v>0</v>
      </c>
      <c r="BB460" s="6192" t="str">
        <f t="shared" si="194"/>
        <v/>
      </c>
      <c r="BC460" s="6219"/>
      <c r="BD460" s="6221">
        <f t="shared" si="199"/>
        <v>0</v>
      </c>
      <c r="BE460" s="6220" t="str">
        <f t="shared" si="195"/>
        <v/>
      </c>
      <c r="BF460" s="4" t="s">
        <v>1</v>
      </c>
      <c r="BG460" s="6196">
        <f t="shared" si="196"/>
        <v>0</v>
      </c>
      <c r="BH460" s="6197">
        <f t="shared" si="197"/>
        <v>0</v>
      </c>
      <c r="BI460"/>
      <c r="BJ460" s="1"/>
      <c r="BK460" s="1"/>
      <c r="BL460" s="1"/>
      <c r="BM460" s="1"/>
      <c r="BN460" s="1"/>
      <c r="BO460" s="1"/>
      <c r="BP460" s="1"/>
      <c r="BQ460" s="1"/>
      <c r="BX460" s="20" t="str">
        <f t="shared" si="201"/>
        <v>►</v>
      </c>
      <c r="BY460" s="2"/>
      <c r="BZ460" s="2"/>
      <c r="CA460" s="2"/>
      <c r="CB460" s="2"/>
      <c r="CC460" s="2"/>
      <c r="DC460" s="5">
        <v>1</v>
      </c>
    </row>
    <row r="461" spans="12:107" ht="21" customHeight="1">
      <c r="L461" s="1021" t="s">
        <v>26</v>
      </c>
      <c r="M461" s="6787"/>
      <c r="N461" s="6787"/>
      <c r="O461" s="6787"/>
      <c r="P461" s="6788"/>
      <c r="Q461" s="6789"/>
      <c r="R461" s="6790"/>
      <c r="S461" s="6786"/>
      <c r="T461" s="6791"/>
      <c r="U461" s="6844"/>
      <c r="V461" s="6791"/>
      <c r="W461" s="6785"/>
      <c r="X461" s="6868"/>
      <c r="Y461" s="6793"/>
      <c r="Z461" s="6794"/>
      <c r="AA461" s="6795"/>
      <c r="AB461" s="6796"/>
      <c r="AC461" s="6797"/>
      <c r="AD461" s="6798"/>
      <c r="AE461" s="4" t="s">
        <v>1</v>
      </c>
      <c r="AF461" s="6202" t="str">
        <f t="shared" si="179"/>
        <v>►</v>
      </c>
      <c r="AG461" s="6234" t="str">
        <f t="shared" si="180"/>
        <v/>
      </c>
      <c r="AH461" s="6732" t="str">
        <f t="shared" si="181"/>
        <v/>
      </c>
      <c r="AI461" s="6234" t="str">
        <f t="shared" si="182"/>
        <v/>
      </c>
      <c r="AJ461" s="6732" t="str">
        <f t="shared" si="183"/>
        <v/>
      </c>
      <c r="AK461" s="6732">
        <f t="shared" si="184"/>
        <v>0</v>
      </c>
      <c r="AL461" s="6230" t="str" cm="1">
        <f t="array" ref="AL461">IF(AF461&lt;&gt;"A","",IFERROR((IFERROR(_xlfn.XLOOKUP(TRIM(SUBSTITUTE(U461,CHAR(160)," ")),$BJ$15:$BJ$62,$BM$15:$BM$62),IFERROR(_xlfn.XLOOKUP(TRIM(SUBSTITUTE(U461,CHAR(160)," ")),$BK$15:$BK$62,$BM$15:$BM$62),_xlfn.XLOOKUP(TRIM(SUBSTITUTE(U461,CHAR(160)," ")),$BL$15:$BL$62,$BM$15:$BM$62))))*T461*IF(ISBLANK(Q461),1,Q461)+IFERROR(_xlfn.XLOOKUP("RECHERCHEX",TRIM(L461:AD461),L461:AD461),0),0))</f>
        <v/>
      </c>
      <c r="AM461" s="6229">
        <f t="shared" si="185"/>
        <v>0</v>
      </c>
      <c r="AN461" s="6857" t="str">
        <f t="shared" si="200"/>
        <v/>
      </c>
      <c r="AO461" s="392">
        <f t="shared" si="186"/>
        <v>0</v>
      </c>
      <c r="AP461" s="392">
        <f t="shared" si="187"/>
        <v>0</v>
      </c>
      <c r="AQ461" s="6191">
        <f t="shared" si="188"/>
        <v>0</v>
      </c>
      <c r="AR461" s="6859" t="str">
        <f t="shared" si="189"/>
        <v/>
      </c>
      <c r="AS461" s="6217"/>
      <c r="AT461" s="6217"/>
      <c r="AU461" s="6272">
        <f t="shared" si="190"/>
        <v>0</v>
      </c>
      <c r="AV461" s="6240">
        <f t="shared" si="191"/>
        <v>0</v>
      </c>
      <c r="AW461" s="6189" cm="1">
        <f t="array" ref="AW461">IF(AK461&lt;&gt;1,0,IF(OR(AU461="",N(AU461)&lt;=0.000000001),"",IF(OR(AO461="",N(AO461)&lt;=0.000000001),0,IF(ISNUMBER(AU461),IFERROR(_xlfn.LET(_xlpm.ai_test,TRIM(AJ461),_xlpm.r,IFERROR(_xlfn.XLOOKUP(_xlpm.ai_test,$BJ$15:$BJ$62,ROW($BJ$15:$BJ$62),0,1),IFERROR(_xlfn.XLOOKUP(_xlpm.ai_test,$BK$15:$BK$62,ROW($BK$15:$BK$62),0,1),_xlfn.XLOOKUP(_xlpm.ai_test,$BL$15:$BL$62,ROW($BL$15:$BL$62),0,1))),_xlpm.p,_xlpm.r-MIN(ROW($BJ$15:$BJ$62))+1,_xlpm.f,INDEX($BM$15:$BM$62,_xlpm.p),_xlpm.u,INDEX($BN$15:$BN$62,_xlpm.p),_xlpm.s,INDEX($BP$15:$BP$62,_xlpm.p),_xlpm.q,N(AU461)/_xlpm.f,IF(_xlpm.q&gt;=_xlpm.s,ROUND(_xlpm.q,1)&amp;" "&amp;_xlpm.ai_test&amp;" = "&amp;ROUND(_xlpm.q*_xlpm.f,1)&amp;" "&amp;_xlpm.u,ROUND(_xlpm.q,1)&amp;" "&amp;_xlpm.ai_test)),""),""))))</f>
        <v>0</v>
      </c>
      <c r="AX461" s="6218"/>
      <c r="AY461" s="6272">
        <f t="shared" si="192"/>
        <v>0</v>
      </c>
      <c r="AZ461" s="6240" t="str">
        <f t="shared" si="193"/>
        <v/>
      </c>
      <c r="BA461" s="6195">
        <f t="shared" si="198"/>
        <v>0</v>
      </c>
      <c r="BB461" s="6193" t="str">
        <f t="shared" si="194"/>
        <v/>
      </c>
      <c r="BC461" s="6219"/>
      <c r="BD461" s="6222">
        <f t="shared" si="199"/>
        <v>0</v>
      </c>
      <c r="BE461" s="6220" t="str">
        <f t="shared" si="195"/>
        <v/>
      </c>
      <c r="BF461" s="4" t="s">
        <v>1</v>
      </c>
      <c r="BG461" s="6196">
        <f t="shared" si="196"/>
        <v>0</v>
      </c>
      <c r="BH461" s="6197">
        <f t="shared" si="197"/>
        <v>0</v>
      </c>
      <c r="BI461"/>
      <c r="BJ461" s="1"/>
      <c r="BK461" s="1"/>
      <c r="BL461" s="1"/>
      <c r="BM461" s="1"/>
      <c r="BN461" s="1"/>
      <c r="BO461" s="1"/>
      <c r="BP461" s="1"/>
      <c r="BQ461" s="1"/>
      <c r="BX461" s="20" t="str">
        <f t="shared" si="201"/>
        <v>►</v>
      </c>
      <c r="BY461" s="2"/>
      <c r="BZ461" s="2"/>
      <c r="CA461" s="2"/>
      <c r="CB461" s="2"/>
      <c r="CC461" s="2"/>
      <c r="DC461" s="5">
        <v>1</v>
      </c>
    </row>
    <row r="462" spans="12:107" ht="21" customHeight="1">
      <c r="L462" s="1021" t="s">
        <v>26</v>
      </c>
      <c r="M462" s="6787"/>
      <c r="N462" s="6787"/>
      <c r="O462" s="6787"/>
      <c r="P462" s="6788"/>
      <c r="Q462" s="6789"/>
      <c r="R462" s="6790"/>
      <c r="S462" s="6786"/>
      <c r="T462" s="6791"/>
      <c r="U462" s="6844"/>
      <c r="V462" s="6791"/>
      <c r="W462" s="6785"/>
      <c r="X462" s="6868"/>
      <c r="Y462" s="6793"/>
      <c r="Z462" s="6794"/>
      <c r="AA462" s="6795"/>
      <c r="AB462" s="6796"/>
      <c r="AC462" s="6797"/>
      <c r="AD462" s="6798"/>
      <c r="AE462" s="4" t="s">
        <v>1</v>
      </c>
      <c r="AF462" s="6202" t="str">
        <f t="shared" si="179"/>
        <v>►</v>
      </c>
      <c r="AG462" s="6234" t="str">
        <f t="shared" si="180"/>
        <v/>
      </c>
      <c r="AH462" s="6732" t="str">
        <f t="shared" si="181"/>
        <v/>
      </c>
      <c r="AI462" s="6234" t="str">
        <f t="shared" si="182"/>
        <v/>
      </c>
      <c r="AJ462" s="6732" t="str">
        <f t="shared" si="183"/>
        <v/>
      </c>
      <c r="AK462" s="6732">
        <f t="shared" si="184"/>
        <v>0</v>
      </c>
      <c r="AL462" s="6230" t="str" cm="1">
        <f t="array" ref="AL462">IF(AF462&lt;&gt;"A","",IFERROR((IFERROR(_xlfn.XLOOKUP(TRIM(SUBSTITUTE(U462,CHAR(160)," ")),$BJ$15:$BJ$62,$BM$15:$BM$62),IFERROR(_xlfn.XLOOKUP(TRIM(SUBSTITUTE(U462,CHAR(160)," ")),$BK$15:$BK$62,$BM$15:$BM$62),_xlfn.XLOOKUP(TRIM(SUBSTITUTE(U462,CHAR(160)," ")),$BL$15:$BL$62,$BM$15:$BM$62))))*T462*IF(ISBLANK(Q462),1,Q462)+IFERROR(_xlfn.XLOOKUP("RECHERCHEX",TRIM(L462:AD462),L462:AD462),0),0))</f>
        <v/>
      </c>
      <c r="AM462" s="6229">
        <f t="shared" si="185"/>
        <v>0</v>
      </c>
      <c r="AN462" s="6857" t="str">
        <f t="shared" si="200"/>
        <v/>
      </c>
      <c r="AO462" s="392">
        <f t="shared" si="186"/>
        <v>0</v>
      </c>
      <c r="AP462" s="392">
        <f t="shared" si="187"/>
        <v>0</v>
      </c>
      <c r="AQ462" s="6190">
        <f t="shared" si="188"/>
        <v>0</v>
      </c>
      <c r="AR462" s="6858" t="str">
        <f t="shared" si="189"/>
        <v/>
      </c>
      <c r="AS462" s="6217"/>
      <c r="AT462" s="6217"/>
      <c r="AU462" s="6271">
        <f t="shared" si="190"/>
        <v>0</v>
      </c>
      <c r="AV462" s="6242">
        <f t="shared" si="191"/>
        <v>0</v>
      </c>
      <c r="AW462" s="6188" cm="1">
        <f t="array" ref="AW462">IF(AK462&lt;&gt;1,0,IF(OR(AU462="",N(AU462)&lt;=0.000000001),"",IF(OR(AO462="",N(AO462)&lt;=0.000000001),0,IF(ISNUMBER(AU462),IFERROR(_xlfn.LET(_xlpm.ai_test,TRIM(AJ462),_xlpm.r,IFERROR(_xlfn.XLOOKUP(_xlpm.ai_test,$BJ$15:$BJ$62,ROW($BJ$15:$BJ$62),0,1),IFERROR(_xlfn.XLOOKUP(_xlpm.ai_test,$BK$15:$BK$62,ROW($BK$15:$BK$62),0,1),_xlfn.XLOOKUP(_xlpm.ai_test,$BL$15:$BL$62,ROW($BL$15:$BL$62),0,1))),_xlpm.p,_xlpm.r-MIN(ROW($BJ$15:$BJ$62))+1,_xlpm.f,INDEX($BM$15:$BM$62,_xlpm.p),_xlpm.u,INDEX($BN$15:$BN$62,_xlpm.p),_xlpm.s,INDEX($BP$15:$BP$62,_xlpm.p),_xlpm.q,N(AU462)/_xlpm.f,IF(_xlpm.q&gt;=_xlpm.s,ROUND(_xlpm.q,1)&amp;" "&amp;_xlpm.ai_test&amp;" = "&amp;ROUND(_xlpm.q*_xlpm.f,1)&amp;" "&amp;_xlpm.u,ROUND(_xlpm.q,1)&amp;" "&amp;_xlpm.ai_test)),""),""))))</f>
        <v>0</v>
      </c>
      <c r="AX462" s="6218"/>
      <c r="AY462" s="6271">
        <f t="shared" si="192"/>
        <v>0</v>
      </c>
      <c r="AZ462" s="6242" t="str">
        <f t="shared" si="193"/>
        <v/>
      </c>
      <c r="BA462" s="6194">
        <f t="shared" si="198"/>
        <v>0</v>
      </c>
      <c r="BB462" s="6192" t="str">
        <f t="shared" si="194"/>
        <v/>
      </c>
      <c r="BC462" s="6219"/>
      <c r="BD462" s="6221">
        <f t="shared" si="199"/>
        <v>0</v>
      </c>
      <c r="BE462" s="6220" t="str">
        <f t="shared" si="195"/>
        <v/>
      </c>
      <c r="BF462" s="4" t="s">
        <v>1</v>
      </c>
      <c r="BG462" s="6196">
        <f t="shared" si="196"/>
        <v>0</v>
      </c>
      <c r="BH462" s="6197">
        <f t="shared" si="197"/>
        <v>0</v>
      </c>
      <c r="BI462"/>
      <c r="BJ462" s="1"/>
      <c r="BK462" s="1"/>
      <c r="BL462" s="1"/>
      <c r="BM462" s="1"/>
      <c r="BN462" s="1"/>
      <c r="BO462" s="1"/>
      <c r="BP462" s="1"/>
      <c r="BQ462" s="1"/>
      <c r="BX462" s="20" t="str">
        <f t="shared" si="201"/>
        <v>►</v>
      </c>
      <c r="BY462" s="2"/>
      <c r="BZ462" s="2"/>
      <c r="CA462" s="2"/>
      <c r="CB462" s="2"/>
      <c r="CC462" s="2"/>
      <c r="DC462" s="5">
        <v>1</v>
      </c>
    </row>
    <row r="463" spans="12:107" ht="21" customHeight="1">
      <c r="L463" s="1021" t="s">
        <v>26</v>
      </c>
      <c r="M463" s="6787"/>
      <c r="N463" s="6787"/>
      <c r="O463" s="6787"/>
      <c r="P463" s="6788"/>
      <c r="Q463" s="6789"/>
      <c r="R463" s="6790"/>
      <c r="S463" s="6786"/>
      <c r="T463" s="6791"/>
      <c r="U463" s="6844"/>
      <c r="V463" s="6791"/>
      <c r="W463" s="6785"/>
      <c r="X463" s="6868"/>
      <c r="Y463" s="6793"/>
      <c r="Z463" s="6794"/>
      <c r="AA463" s="6795"/>
      <c r="AB463" s="6796"/>
      <c r="AC463" s="6797"/>
      <c r="AD463" s="6798"/>
      <c r="AE463" s="4" t="s">
        <v>1</v>
      </c>
      <c r="AF463" s="6202" t="str">
        <f t="shared" si="179"/>
        <v>►</v>
      </c>
      <c r="AG463" s="6234" t="str">
        <f t="shared" si="180"/>
        <v/>
      </c>
      <c r="AH463" s="6732" t="str">
        <f t="shared" si="181"/>
        <v/>
      </c>
      <c r="AI463" s="6234" t="str">
        <f t="shared" si="182"/>
        <v/>
      </c>
      <c r="AJ463" s="6732" t="str">
        <f t="shared" si="183"/>
        <v/>
      </c>
      <c r="AK463" s="6732">
        <f t="shared" si="184"/>
        <v>0</v>
      </c>
      <c r="AL463" s="6230" t="str" cm="1">
        <f t="array" ref="AL463">IF(AF463&lt;&gt;"A","",IFERROR((IFERROR(_xlfn.XLOOKUP(TRIM(SUBSTITUTE(U463,CHAR(160)," ")),$BJ$15:$BJ$62,$BM$15:$BM$62),IFERROR(_xlfn.XLOOKUP(TRIM(SUBSTITUTE(U463,CHAR(160)," ")),$BK$15:$BK$62,$BM$15:$BM$62),_xlfn.XLOOKUP(TRIM(SUBSTITUTE(U463,CHAR(160)," ")),$BL$15:$BL$62,$BM$15:$BM$62))))*T463*IF(ISBLANK(Q463),1,Q463)+IFERROR(_xlfn.XLOOKUP("RECHERCHEX",TRIM(L463:AD463),L463:AD463),0),0))</f>
        <v/>
      </c>
      <c r="AM463" s="6229">
        <f t="shared" si="185"/>
        <v>0</v>
      </c>
      <c r="AN463" s="6857" t="str">
        <f t="shared" si="200"/>
        <v/>
      </c>
      <c r="AO463" s="392">
        <f t="shared" si="186"/>
        <v>0</v>
      </c>
      <c r="AP463" s="392">
        <f t="shared" si="187"/>
        <v>0</v>
      </c>
      <c r="AQ463" s="6191">
        <f t="shared" si="188"/>
        <v>0</v>
      </c>
      <c r="AR463" s="6859" t="str">
        <f t="shared" si="189"/>
        <v/>
      </c>
      <c r="AS463" s="6217"/>
      <c r="AT463" s="6217"/>
      <c r="AU463" s="6272">
        <f t="shared" si="190"/>
        <v>0</v>
      </c>
      <c r="AV463" s="6240">
        <f t="shared" si="191"/>
        <v>0</v>
      </c>
      <c r="AW463" s="6189" cm="1">
        <f t="array" ref="AW463">IF(AK463&lt;&gt;1,0,IF(OR(AU463="",N(AU463)&lt;=0.000000001),"",IF(OR(AO463="",N(AO463)&lt;=0.000000001),0,IF(ISNUMBER(AU463),IFERROR(_xlfn.LET(_xlpm.ai_test,TRIM(AJ463),_xlpm.r,IFERROR(_xlfn.XLOOKUP(_xlpm.ai_test,$BJ$15:$BJ$62,ROW($BJ$15:$BJ$62),0,1),IFERROR(_xlfn.XLOOKUP(_xlpm.ai_test,$BK$15:$BK$62,ROW($BK$15:$BK$62),0,1),_xlfn.XLOOKUP(_xlpm.ai_test,$BL$15:$BL$62,ROW($BL$15:$BL$62),0,1))),_xlpm.p,_xlpm.r-MIN(ROW($BJ$15:$BJ$62))+1,_xlpm.f,INDEX($BM$15:$BM$62,_xlpm.p),_xlpm.u,INDEX($BN$15:$BN$62,_xlpm.p),_xlpm.s,INDEX($BP$15:$BP$62,_xlpm.p),_xlpm.q,N(AU463)/_xlpm.f,IF(_xlpm.q&gt;=_xlpm.s,ROUND(_xlpm.q,1)&amp;" "&amp;_xlpm.ai_test&amp;" = "&amp;ROUND(_xlpm.q*_xlpm.f,1)&amp;" "&amp;_xlpm.u,ROUND(_xlpm.q,1)&amp;" "&amp;_xlpm.ai_test)),""),""))))</f>
        <v>0</v>
      </c>
      <c r="AX463" s="6218"/>
      <c r="AY463" s="6272">
        <f t="shared" si="192"/>
        <v>0</v>
      </c>
      <c r="AZ463" s="6240" t="str">
        <f t="shared" si="193"/>
        <v/>
      </c>
      <c r="BA463" s="6195">
        <f t="shared" si="198"/>
        <v>0</v>
      </c>
      <c r="BB463" s="6193" t="str">
        <f t="shared" si="194"/>
        <v/>
      </c>
      <c r="BC463" s="6219"/>
      <c r="BD463" s="6222">
        <f t="shared" si="199"/>
        <v>0</v>
      </c>
      <c r="BE463" s="6220" t="str">
        <f t="shared" si="195"/>
        <v/>
      </c>
      <c r="BF463" s="4" t="s">
        <v>1</v>
      </c>
      <c r="BG463" s="6196">
        <f t="shared" si="196"/>
        <v>0</v>
      </c>
      <c r="BH463" s="6197">
        <f t="shared" si="197"/>
        <v>0</v>
      </c>
      <c r="BI463"/>
      <c r="BJ463" s="1"/>
      <c r="BK463" s="1"/>
      <c r="BL463" s="1"/>
      <c r="BM463" s="1"/>
      <c r="BN463" s="1"/>
      <c r="BO463" s="1"/>
      <c r="BP463" s="1"/>
      <c r="BQ463" s="1"/>
      <c r="BX463" s="20" t="str">
        <f t="shared" si="201"/>
        <v>►</v>
      </c>
      <c r="BY463" s="2"/>
      <c r="BZ463" s="2"/>
      <c r="CA463" s="2"/>
      <c r="CB463" s="2"/>
      <c r="CC463" s="2"/>
      <c r="DC463" s="5">
        <v>1</v>
      </c>
    </row>
    <row r="464" spans="12:107" ht="21" customHeight="1">
      <c r="L464" s="1021" t="s">
        <v>26</v>
      </c>
      <c r="M464" s="6787"/>
      <c r="N464" s="6787"/>
      <c r="O464" s="6787"/>
      <c r="P464" s="6788"/>
      <c r="Q464" s="6789"/>
      <c r="R464" s="6790"/>
      <c r="S464" s="6786"/>
      <c r="T464" s="6791"/>
      <c r="U464" s="6844"/>
      <c r="V464" s="6791"/>
      <c r="W464" s="6785"/>
      <c r="X464" s="6868"/>
      <c r="Y464" s="6793"/>
      <c r="Z464" s="6794"/>
      <c r="AA464" s="6795"/>
      <c r="AB464" s="6796"/>
      <c r="AC464" s="6797"/>
      <c r="AD464" s="6798"/>
      <c r="AE464" s="4" t="s">
        <v>1</v>
      </c>
      <c r="AF464" s="6202" t="str">
        <f t="shared" si="179"/>
        <v>►</v>
      </c>
      <c r="AG464" s="6234" t="str">
        <f t="shared" si="180"/>
        <v/>
      </c>
      <c r="AH464" s="6732" t="str">
        <f t="shared" si="181"/>
        <v/>
      </c>
      <c r="AI464" s="6234" t="str">
        <f t="shared" si="182"/>
        <v/>
      </c>
      <c r="AJ464" s="6732" t="str">
        <f t="shared" si="183"/>
        <v/>
      </c>
      <c r="AK464" s="6732">
        <f t="shared" si="184"/>
        <v>0</v>
      </c>
      <c r="AL464" s="6230" t="str" cm="1">
        <f t="array" ref="AL464">IF(AF464&lt;&gt;"A","",IFERROR((IFERROR(_xlfn.XLOOKUP(TRIM(SUBSTITUTE(U464,CHAR(160)," ")),$BJ$15:$BJ$62,$BM$15:$BM$62),IFERROR(_xlfn.XLOOKUP(TRIM(SUBSTITUTE(U464,CHAR(160)," ")),$BK$15:$BK$62,$BM$15:$BM$62),_xlfn.XLOOKUP(TRIM(SUBSTITUTE(U464,CHAR(160)," ")),$BL$15:$BL$62,$BM$15:$BM$62))))*T464*IF(ISBLANK(Q464),1,Q464)+IFERROR(_xlfn.XLOOKUP("RECHERCHEX",TRIM(L464:AD464),L464:AD464),0),0))</f>
        <v/>
      </c>
      <c r="AM464" s="6229">
        <f t="shared" si="185"/>
        <v>0</v>
      </c>
      <c r="AN464" s="6857" t="str">
        <f t="shared" si="200"/>
        <v/>
      </c>
      <c r="AO464" s="392">
        <f t="shared" si="186"/>
        <v>0</v>
      </c>
      <c r="AP464" s="392">
        <f t="shared" si="187"/>
        <v>0</v>
      </c>
      <c r="AQ464" s="6190">
        <f t="shared" si="188"/>
        <v>0</v>
      </c>
      <c r="AR464" s="6858" t="str">
        <f t="shared" si="189"/>
        <v/>
      </c>
      <c r="AS464" s="6217"/>
      <c r="AT464" s="6217"/>
      <c r="AU464" s="6271">
        <f t="shared" si="190"/>
        <v>0</v>
      </c>
      <c r="AV464" s="6242">
        <f t="shared" si="191"/>
        <v>0</v>
      </c>
      <c r="AW464" s="6188" cm="1">
        <f t="array" ref="AW464">IF(AK464&lt;&gt;1,0,IF(OR(AU464="",N(AU464)&lt;=0.000000001),"",IF(OR(AO464="",N(AO464)&lt;=0.000000001),0,IF(ISNUMBER(AU464),IFERROR(_xlfn.LET(_xlpm.ai_test,TRIM(AJ464),_xlpm.r,IFERROR(_xlfn.XLOOKUP(_xlpm.ai_test,$BJ$15:$BJ$62,ROW($BJ$15:$BJ$62),0,1),IFERROR(_xlfn.XLOOKUP(_xlpm.ai_test,$BK$15:$BK$62,ROW($BK$15:$BK$62),0,1),_xlfn.XLOOKUP(_xlpm.ai_test,$BL$15:$BL$62,ROW($BL$15:$BL$62),0,1))),_xlpm.p,_xlpm.r-MIN(ROW($BJ$15:$BJ$62))+1,_xlpm.f,INDEX($BM$15:$BM$62,_xlpm.p),_xlpm.u,INDEX($BN$15:$BN$62,_xlpm.p),_xlpm.s,INDEX($BP$15:$BP$62,_xlpm.p),_xlpm.q,N(AU464)/_xlpm.f,IF(_xlpm.q&gt;=_xlpm.s,ROUND(_xlpm.q,1)&amp;" "&amp;_xlpm.ai_test&amp;" = "&amp;ROUND(_xlpm.q*_xlpm.f,1)&amp;" "&amp;_xlpm.u,ROUND(_xlpm.q,1)&amp;" "&amp;_xlpm.ai_test)),""),""))))</f>
        <v>0</v>
      </c>
      <c r="AX464" s="6218"/>
      <c r="AY464" s="6271">
        <f t="shared" si="192"/>
        <v>0</v>
      </c>
      <c r="AZ464" s="6242" t="str">
        <f t="shared" si="193"/>
        <v/>
      </c>
      <c r="BA464" s="6194">
        <f t="shared" si="198"/>
        <v>0</v>
      </c>
      <c r="BB464" s="6192" t="str">
        <f t="shared" si="194"/>
        <v/>
      </c>
      <c r="BC464" s="6219"/>
      <c r="BD464" s="6221">
        <f t="shared" si="199"/>
        <v>0</v>
      </c>
      <c r="BE464" s="6220" t="str">
        <f t="shared" si="195"/>
        <v/>
      </c>
      <c r="BF464" s="4" t="s">
        <v>1</v>
      </c>
      <c r="BG464" s="6196">
        <f t="shared" si="196"/>
        <v>0</v>
      </c>
      <c r="BH464" s="6197">
        <f t="shared" si="197"/>
        <v>0</v>
      </c>
      <c r="BI464"/>
      <c r="BJ464" s="1"/>
      <c r="BK464" s="1"/>
      <c r="BL464" s="1"/>
      <c r="BM464" s="1"/>
      <c r="BN464" s="1"/>
      <c r="BO464" s="1"/>
      <c r="BP464" s="1"/>
      <c r="BQ464" s="1"/>
      <c r="BX464" s="20" t="str">
        <f t="shared" si="201"/>
        <v>►</v>
      </c>
      <c r="BY464" s="2"/>
      <c r="BZ464" s="2"/>
      <c r="CA464" s="2"/>
      <c r="CB464" s="2"/>
      <c r="CC464" s="2"/>
      <c r="DC464" s="5">
        <v>1</v>
      </c>
    </row>
    <row r="465" spans="12:107" ht="21" customHeight="1">
      <c r="L465" s="1021" t="s">
        <v>26</v>
      </c>
      <c r="M465" s="6787"/>
      <c r="N465" s="6787"/>
      <c r="O465" s="6787"/>
      <c r="P465" s="6788"/>
      <c r="Q465" s="6789"/>
      <c r="R465" s="6790"/>
      <c r="S465" s="6786"/>
      <c r="T465" s="6791"/>
      <c r="U465" s="6844"/>
      <c r="V465" s="6791"/>
      <c r="W465" s="6785"/>
      <c r="X465" s="6868"/>
      <c r="Y465" s="6793"/>
      <c r="Z465" s="6794"/>
      <c r="AA465" s="6795"/>
      <c r="AB465" s="6796"/>
      <c r="AC465" s="6797"/>
      <c r="AD465" s="6798"/>
      <c r="AE465" s="4" t="s">
        <v>1</v>
      </c>
      <c r="AF465" s="6202" t="str">
        <f t="shared" si="179"/>
        <v>►</v>
      </c>
      <c r="AG465" s="6234" t="str">
        <f t="shared" si="180"/>
        <v/>
      </c>
      <c r="AH465" s="6732" t="str">
        <f t="shared" si="181"/>
        <v/>
      </c>
      <c r="AI465" s="6234" t="str">
        <f t="shared" si="182"/>
        <v/>
      </c>
      <c r="AJ465" s="6732" t="str">
        <f t="shared" si="183"/>
        <v/>
      </c>
      <c r="AK465" s="6732">
        <f t="shared" si="184"/>
        <v>0</v>
      </c>
      <c r="AL465" s="6230" t="str" cm="1">
        <f t="array" ref="AL465">IF(AF465&lt;&gt;"A","",IFERROR((IFERROR(_xlfn.XLOOKUP(TRIM(SUBSTITUTE(U465,CHAR(160)," ")),$BJ$15:$BJ$62,$BM$15:$BM$62),IFERROR(_xlfn.XLOOKUP(TRIM(SUBSTITUTE(U465,CHAR(160)," ")),$BK$15:$BK$62,$BM$15:$BM$62),_xlfn.XLOOKUP(TRIM(SUBSTITUTE(U465,CHAR(160)," ")),$BL$15:$BL$62,$BM$15:$BM$62))))*T465*IF(ISBLANK(Q465),1,Q465)+IFERROR(_xlfn.XLOOKUP("RECHERCHEX",TRIM(L465:AD465),L465:AD465),0),0))</f>
        <v/>
      </c>
      <c r="AM465" s="6229">
        <f t="shared" si="185"/>
        <v>0</v>
      </c>
      <c r="AN465" s="6857" t="str">
        <f t="shared" si="200"/>
        <v/>
      </c>
      <c r="AO465" s="392">
        <f t="shared" si="186"/>
        <v>0</v>
      </c>
      <c r="AP465" s="392">
        <f t="shared" si="187"/>
        <v>0</v>
      </c>
      <c r="AQ465" s="6191">
        <f t="shared" si="188"/>
        <v>0</v>
      </c>
      <c r="AR465" s="6859" t="str">
        <f t="shared" si="189"/>
        <v/>
      </c>
      <c r="AS465" s="6217"/>
      <c r="AT465" s="6217"/>
      <c r="AU465" s="6272">
        <f t="shared" si="190"/>
        <v>0</v>
      </c>
      <c r="AV465" s="6240">
        <f t="shared" si="191"/>
        <v>0</v>
      </c>
      <c r="AW465" s="6189" cm="1">
        <f t="array" ref="AW465">IF(AK465&lt;&gt;1,0,IF(OR(AU465="",N(AU465)&lt;=0.000000001),"",IF(OR(AO465="",N(AO465)&lt;=0.000000001),0,IF(ISNUMBER(AU465),IFERROR(_xlfn.LET(_xlpm.ai_test,TRIM(AJ465),_xlpm.r,IFERROR(_xlfn.XLOOKUP(_xlpm.ai_test,$BJ$15:$BJ$62,ROW($BJ$15:$BJ$62),0,1),IFERROR(_xlfn.XLOOKUP(_xlpm.ai_test,$BK$15:$BK$62,ROW($BK$15:$BK$62),0,1),_xlfn.XLOOKUP(_xlpm.ai_test,$BL$15:$BL$62,ROW($BL$15:$BL$62),0,1))),_xlpm.p,_xlpm.r-MIN(ROW($BJ$15:$BJ$62))+1,_xlpm.f,INDEX($BM$15:$BM$62,_xlpm.p),_xlpm.u,INDEX($BN$15:$BN$62,_xlpm.p),_xlpm.s,INDEX($BP$15:$BP$62,_xlpm.p),_xlpm.q,N(AU465)/_xlpm.f,IF(_xlpm.q&gt;=_xlpm.s,ROUND(_xlpm.q,1)&amp;" "&amp;_xlpm.ai_test&amp;" = "&amp;ROUND(_xlpm.q*_xlpm.f,1)&amp;" "&amp;_xlpm.u,ROUND(_xlpm.q,1)&amp;" "&amp;_xlpm.ai_test)),""),""))))</f>
        <v>0</v>
      </c>
      <c r="AX465" s="6218"/>
      <c r="AY465" s="6272">
        <f t="shared" si="192"/>
        <v>0</v>
      </c>
      <c r="AZ465" s="6240" t="str">
        <f t="shared" si="193"/>
        <v/>
      </c>
      <c r="BA465" s="6195">
        <f t="shared" si="198"/>
        <v>0</v>
      </c>
      <c r="BB465" s="6193" t="str">
        <f t="shared" si="194"/>
        <v/>
      </c>
      <c r="BC465" s="6219"/>
      <c r="BD465" s="6222">
        <f t="shared" si="199"/>
        <v>0</v>
      </c>
      <c r="BE465" s="6220" t="str">
        <f t="shared" si="195"/>
        <v/>
      </c>
      <c r="BF465" s="4" t="s">
        <v>1</v>
      </c>
      <c r="BG465" s="6196">
        <f t="shared" si="196"/>
        <v>0</v>
      </c>
      <c r="BH465" s="6197">
        <f t="shared" si="197"/>
        <v>0</v>
      </c>
      <c r="BI465"/>
      <c r="BJ465" s="1"/>
      <c r="BK465" s="1"/>
      <c r="BL465" s="1"/>
      <c r="BM465" s="1"/>
      <c r="BN465" s="1"/>
      <c r="BO465" s="1"/>
      <c r="BP465" s="1"/>
      <c r="BQ465" s="1"/>
      <c r="BX465" s="20" t="str">
        <f t="shared" si="201"/>
        <v>►</v>
      </c>
      <c r="BY465" s="2"/>
      <c r="BZ465" s="2"/>
      <c r="CA465" s="2"/>
      <c r="CB465" s="2"/>
      <c r="CC465" s="2"/>
      <c r="DC465" s="5">
        <v>1</v>
      </c>
    </row>
    <row r="466" spans="12:107" ht="21" customHeight="1">
      <c r="L466" s="1021" t="s">
        <v>26</v>
      </c>
      <c r="M466" s="6787"/>
      <c r="N466" s="6787"/>
      <c r="O466" s="6787"/>
      <c r="P466" s="6788"/>
      <c r="Q466" s="6789"/>
      <c r="R466" s="6790"/>
      <c r="S466" s="6786"/>
      <c r="T466" s="6791"/>
      <c r="U466" s="6844"/>
      <c r="V466" s="6791"/>
      <c r="W466" s="6785"/>
      <c r="X466" s="6868"/>
      <c r="Y466" s="6793"/>
      <c r="Z466" s="6794"/>
      <c r="AA466" s="6795"/>
      <c r="AB466" s="6796"/>
      <c r="AC466" s="6797"/>
      <c r="AD466" s="6798"/>
      <c r="AE466" s="4" t="s">
        <v>1</v>
      </c>
      <c r="AF466" s="6202" t="str">
        <f t="shared" si="179"/>
        <v>►</v>
      </c>
      <c r="AG466" s="6234" t="str">
        <f t="shared" si="180"/>
        <v/>
      </c>
      <c r="AH466" s="6732" t="str">
        <f t="shared" si="181"/>
        <v/>
      </c>
      <c r="AI466" s="6234" t="str">
        <f t="shared" si="182"/>
        <v/>
      </c>
      <c r="AJ466" s="6732" t="str">
        <f t="shared" si="183"/>
        <v/>
      </c>
      <c r="AK466" s="6732">
        <f t="shared" si="184"/>
        <v>0</v>
      </c>
      <c r="AL466" s="6230" t="str" cm="1">
        <f t="array" ref="AL466">IF(AF466&lt;&gt;"A","",IFERROR((IFERROR(_xlfn.XLOOKUP(TRIM(SUBSTITUTE(U466,CHAR(160)," ")),$BJ$15:$BJ$62,$BM$15:$BM$62),IFERROR(_xlfn.XLOOKUP(TRIM(SUBSTITUTE(U466,CHAR(160)," ")),$BK$15:$BK$62,$BM$15:$BM$62),_xlfn.XLOOKUP(TRIM(SUBSTITUTE(U466,CHAR(160)," ")),$BL$15:$BL$62,$BM$15:$BM$62))))*T466*IF(ISBLANK(Q466),1,Q466)+IFERROR(_xlfn.XLOOKUP("RECHERCHEX",TRIM(L466:AD466),L466:AD466),0),0))</f>
        <v/>
      </c>
      <c r="AM466" s="6229">
        <f t="shared" si="185"/>
        <v>0</v>
      </c>
      <c r="AN466" s="6857" t="str">
        <f t="shared" si="200"/>
        <v/>
      </c>
      <c r="AO466" s="392">
        <f t="shared" si="186"/>
        <v>0</v>
      </c>
      <c r="AP466" s="392">
        <f t="shared" si="187"/>
        <v>0</v>
      </c>
      <c r="AQ466" s="6190">
        <f t="shared" si="188"/>
        <v>0</v>
      </c>
      <c r="AR466" s="6858" t="str">
        <f t="shared" si="189"/>
        <v/>
      </c>
      <c r="AS466" s="6217"/>
      <c r="AT466" s="6217"/>
      <c r="AU466" s="6271">
        <f t="shared" si="190"/>
        <v>0</v>
      </c>
      <c r="AV466" s="6242">
        <f t="shared" si="191"/>
        <v>0</v>
      </c>
      <c r="AW466" s="6188" cm="1">
        <f t="array" ref="AW466">IF(AK466&lt;&gt;1,0,IF(OR(AU466="",N(AU466)&lt;=0.000000001),"",IF(OR(AO466="",N(AO466)&lt;=0.000000001),0,IF(ISNUMBER(AU466),IFERROR(_xlfn.LET(_xlpm.ai_test,TRIM(AJ466),_xlpm.r,IFERROR(_xlfn.XLOOKUP(_xlpm.ai_test,$BJ$15:$BJ$62,ROW($BJ$15:$BJ$62),0,1),IFERROR(_xlfn.XLOOKUP(_xlpm.ai_test,$BK$15:$BK$62,ROW($BK$15:$BK$62),0,1),_xlfn.XLOOKUP(_xlpm.ai_test,$BL$15:$BL$62,ROW($BL$15:$BL$62),0,1))),_xlpm.p,_xlpm.r-MIN(ROW($BJ$15:$BJ$62))+1,_xlpm.f,INDEX($BM$15:$BM$62,_xlpm.p),_xlpm.u,INDEX($BN$15:$BN$62,_xlpm.p),_xlpm.s,INDEX($BP$15:$BP$62,_xlpm.p),_xlpm.q,N(AU466)/_xlpm.f,IF(_xlpm.q&gt;=_xlpm.s,ROUND(_xlpm.q,1)&amp;" "&amp;_xlpm.ai_test&amp;" = "&amp;ROUND(_xlpm.q*_xlpm.f,1)&amp;" "&amp;_xlpm.u,ROUND(_xlpm.q,1)&amp;" "&amp;_xlpm.ai_test)),""),""))))</f>
        <v>0</v>
      </c>
      <c r="AX466" s="6218"/>
      <c r="AY466" s="6271">
        <f t="shared" si="192"/>
        <v>0</v>
      </c>
      <c r="AZ466" s="6242" t="str">
        <f t="shared" si="193"/>
        <v/>
      </c>
      <c r="BA466" s="6194">
        <f t="shared" si="198"/>
        <v>0</v>
      </c>
      <c r="BB466" s="6192" t="str">
        <f t="shared" si="194"/>
        <v/>
      </c>
      <c r="BC466" s="6219"/>
      <c r="BD466" s="6221">
        <f t="shared" si="199"/>
        <v>0</v>
      </c>
      <c r="BE466" s="6220" t="str">
        <f t="shared" si="195"/>
        <v/>
      </c>
      <c r="BF466" s="4" t="s">
        <v>1</v>
      </c>
      <c r="BG466" s="6196">
        <f t="shared" si="196"/>
        <v>0</v>
      </c>
      <c r="BH466" s="6197">
        <f t="shared" si="197"/>
        <v>0</v>
      </c>
      <c r="BI466"/>
      <c r="BJ466" s="1"/>
      <c r="BK466" s="1"/>
      <c r="BL466" s="1"/>
      <c r="BM466" s="1"/>
      <c r="BN466" s="1"/>
      <c r="BO466" s="1"/>
      <c r="BP466" s="1"/>
      <c r="BQ466" s="1"/>
      <c r="BX466" s="20" t="str">
        <f t="shared" si="201"/>
        <v>►</v>
      </c>
      <c r="BY466" s="2"/>
      <c r="BZ466" s="2"/>
      <c r="CA466" s="2"/>
      <c r="CB466" s="2"/>
      <c r="CC466" s="2"/>
      <c r="DC466" s="5">
        <v>1</v>
      </c>
    </row>
    <row r="467" spans="12:107" ht="21" customHeight="1">
      <c r="L467" s="1021" t="s">
        <v>26</v>
      </c>
      <c r="M467" s="6787"/>
      <c r="N467" s="6787"/>
      <c r="O467" s="6787"/>
      <c r="P467" s="6788"/>
      <c r="Q467" s="6789"/>
      <c r="R467" s="6790"/>
      <c r="S467" s="6786"/>
      <c r="T467" s="6791"/>
      <c r="U467" s="6844"/>
      <c r="V467" s="6791"/>
      <c r="W467" s="6785"/>
      <c r="X467" s="6868"/>
      <c r="Y467" s="6793"/>
      <c r="Z467" s="6794"/>
      <c r="AA467" s="6795"/>
      <c r="AB467" s="6796"/>
      <c r="AC467" s="6797"/>
      <c r="AD467" s="6798"/>
      <c r="AE467" s="4" t="s">
        <v>1</v>
      </c>
      <c r="AF467" s="6202" t="str">
        <f t="shared" si="179"/>
        <v>►</v>
      </c>
      <c r="AG467" s="6234" t="str">
        <f t="shared" si="180"/>
        <v/>
      </c>
      <c r="AH467" s="6732" t="str">
        <f t="shared" si="181"/>
        <v/>
      </c>
      <c r="AI467" s="6234" t="str">
        <f t="shared" si="182"/>
        <v/>
      </c>
      <c r="AJ467" s="6732" t="str">
        <f t="shared" si="183"/>
        <v/>
      </c>
      <c r="AK467" s="6732">
        <f t="shared" si="184"/>
        <v>0</v>
      </c>
      <c r="AL467" s="6230" t="str" cm="1">
        <f t="array" ref="AL467">IF(AF467&lt;&gt;"A","",IFERROR((IFERROR(_xlfn.XLOOKUP(TRIM(SUBSTITUTE(U467,CHAR(160)," ")),$BJ$15:$BJ$62,$BM$15:$BM$62),IFERROR(_xlfn.XLOOKUP(TRIM(SUBSTITUTE(U467,CHAR(160)," ")),$BK$15:$BK$62,$BM$15:$BM$62),_xlfn.XLOOKUP(TRIM(SUBSTITUTE(U467,CHAR(160)," ")),$BL$15:$BL$62,$BM$15:$BM$62))))*T467*IF(ISBLANK(Q467),1,Q467)+IFERROR(_xlfn.XLOOKUP("RECHERCHEX",TRIM(L467:AD467),L467:AD467),0),0))</f>
        <v/>
      </c>
      <c r="AM467" s="6229">
        <f t="shared" si="185"/>
        <v>0</v>
      </c>
      <c r="AN467" s="6857" t="str">
        <f t="shared" si="200"/>
        <v/>
      </c>
      <c r="AO467" s="392">
        <f t="shared" si="186"/>
        <v>0</v>
      </c>
      <c r="AP467" s="392">
        <f t="shared" si="187"/>
        <v>0</v>
      </c>
      <c r="AQ467" s="6191">
        <f t="shared" si="188"/>
        <v>0</v>
      </c>
      <c r="AR467" s="6859" t="str">
        <f t="shared" si="189"/>
        <v/>
      </c>
      <c r="AS467" s="6217"/>
      <c r="AT467" s="6217"/>
      <c r="AU467" s="6272">
        <f t="shared" si="190"/>
        <v>0</v>
      </c>
      <c r="AV467" s="6240">
        <f t="shared" si="191"/>
        <v>0</v>
      </c>
      <c r="AW467" s="6189" cm="1">
        <f t="array" ref="AW467">IF(AK467&lt;&gt;1,0,IF(OR(AU467="",N(AU467)&lt;=0.000000001),"",IF(OR(AO467="",N(AO467)&lt;=0.000000001),0,IF(ISNUMBER(AU467),IFERROR(_xlfn.LET(_xlpm.ai_test,TRIM(AJ467),_xlpm.r,IFERROR(_xlfn.XLOOKUP(_xlpm.ai_test,$BJ$15:$BJ$62,ROW($BJ$15:$BJ$62),0,1),IFERROR(_xlfn.XLOOKUP(_xlpm.ai_test,$BK$15:$BK$62,ROW($BK$15:$BK$62),0,1),_xlfn.XLOOKUP(_xlpm.ai_test,$BL$15:$BL$62,ROW($BL$15:$BL$62),0,1))),_xlpm.p,_xlpm.r-MIN(ROW($BJ$15:$BJ$62))+1,_xlpm.f,INDEX($BM$15:$BM$62,_xlpm.p),_xlpm.u,INDEX($BN$15:$BN$62,_xlpm.p),_xlpm.s,INDEX($BP$15:$BP$62,_xlpm.p),_xlpm.q,N(AU467)/_xlpm.f,IF(_xlpm.q&gt;=_xlpm.s,ROUND(_xlpm.q,1)&amp;" "&amp;_xlpm.ai_test&amp;" = "&amp;ROUND(_xlpm.q*_xlpm.f,1)&amp;" "&amp;_xlpm.u,ROUND(_xlpm.q,1)&amp;" "&amp;_xlpm.ai_test)),""),""))))</f>
        <v>0</v>
      </c>
      <c r="AX467" s="6218"/>
      <c r="AY467" s="6272">
        <f t="shared" si="192"/>
        <v>0</v>
      </c>
      <c r="AZ467" s="6240" t="str">
        <f t="shared" si="193"/>
        <v/>
      </c>
      <c r="BA467" s="6195">
        <f t="shared" si="198"/>
        <v>0</v>
      </c>
      <c r="BB467" s="6193" t="str">
        <f t="shared" si="194"/>
        <v/>
      </c>
      <c r="BC467" s="6219"/>
      <c r="BD467" s="6222">
        <f t="shared" si="199"/>
        <v>0</v>
      </c>
      <c r="BE467" s="6220" t="str">
        <f t="shared" si="195"/>
        <v/>
      </c>
      <c r="BF467" s="4" t="s">
        <v>1</v>
      </c>
      <c r="BG467" s="6196">
        <f t="shared" si="196"/>
        <v>0</v>
      </c>
      <c r="BH467" s="6197">
        <f t="shared" si="197"/>
        <v>0</v>
      </c>
      <c r="BI467"/>
      <c r="BJ467" s="1"/>
      <c r="BK467" s="1"/>
      <c r="BL467" s="1"/>
      <c r="BM467" s="1"/>
      <c r="BN467" s="1"/>
      <c r="BO467" s="1"/>
      <c r="BP467" s="1"/>
      <c r="BQ467" s="1"/>
      <c r="BX467" s="20" t="str">
        <f t="shared" si="201"/>
        <v>►</v>
      </c>
      <c r="BY467" s="2"/>
      <c r="BZ467" s="2"/>
      <c r="CA467" s="2"/>
      <c r="CB467" s="2"/>
      <c r="CC467" s="2"/>
      <c r="DC467" s="5">
        <v>1</v>
      </c>
    </row>
    <row r="468" spans="12:107" ht="21" customHeight="1">
      <c r="L468" s="1021" t="s">
        <v>26</v>
      </c>
      <c r="M468" s="6787"/>
      <c r="N468" s="6787"/>
      <c r="O468" s="6787"/>
      <c r="P468" s="6788"/>
      <c r="Q468" s="6789"/>
      <c r="R468" s="6790"/>
      <c r="S468" s="6786"/>
      <c r="T468" s="6791"/>
      <c r="U468" s="6844"/>
      <c r="V468" s="6791"/>
      <c r="W468" s="6785"/>
      <c r="X468" s="6868"/>
      <c r="Y468" s="6793"/>
      <c r="Z468" s="6794"/>
      <c r="AA468" s="6795"/>
      <c r="AB468" s="6796"/>
      <c r="AC468" s="6797"/>
      <c r="AD468" s="6798"/>
      <c r="AE468" s="4" t="s">
        <v>1</v>
      </c>
      <c r="AF468" s="6202" t="str">
        <f t="shared" si="179"/>
        <v>►</v>
      </c>
      <c r="AG468" s="6234" t="str">
        <f t="shared" si="180"/>
        <v/>
      </c>
      <c r="AH468" s="6732" t="str">
        <f t="shared" si="181"/>
        <v/>
      </c>
      <c r="AI468" s="6234" t="str">
        <f t="shared" si="182"/>
        <v/>
      </c>
      <c r="AJ468" s="6732" t="str">
        <f t="shared" si="183"/>
        <v/>
      </c>
      <c r="AK468" s="6732">
        <f t="shared" si="184"/>
        <v>0</v>
      </c>
      <c r="AL468" s="6230" t="str" cm="1">
        <f t="array" ref="AL468">IF(AF468&lt;&gt;"A","",IFERROR((IFERROR(_xlfn.XLOOKUP(TRIM(SUBSTITUTE(U468,CHAR(160)," ")),$BJ$15:$BJ$62,$BM$15:$BM$62),IFERROR(_xlfn.XLOOKUP(TRIM(SUBSTITUTE(U468,CHAR(160)," ")),$BK$15:$BK$62,$BM$15:$BM$62),_xlfn.XLOOKUP(TRIM(SUBSTITUTE(U468,CHAR(160)," ")),$BL$15:$BL$62,$BM$15:$BM$62))))*T468*IF(ISBLANK(Q468),1,Q468)+IFERROR(_xlfn.XLOOKUP("RECHERCHEX",TRIM(L468:AD468),L468:AD468),0),0))</f>
        <v/>
      </c>
      <c r="AM468" s="6229">
        <f t="shared" si="185"/>
        <v>0</v>
      </c>
      <c r="AN468" s="6857" t="str">
        <f t="shared" si="200"/>
        <v/>
      </c>
      <c r="AO468" s="392">
        <f t="shared" si="186"/>
        <v>0</v>
      </c>
      <c r="AP468" s="392">
        <f t="shared" si="187"/>
        <v>0</v>
      </c>
      <c r="AQ468" s="6190">
        <f t="shared" si="188"/>
        <v>0</v>
      </c>
      <c r="AR468" s="6858" t="str">
        <f t="shared" si="189"/>
        <v/>
      </c>
      <c r="AS468" s="6217"/>
      <c r="AT468" s="6217"/>
      <c r="AU468" s="6271">
        <f t="shared" si="190"/>
        <v>0</v>
      </c>
      <c r="AV468" s="6242">
        <f t="shared" si="191"/>
        <v>0</v>
      </c>
      <c r="AW468" s="6188" cm="1">
        <f t="array" ref="AW468">IF(AK468&lt;&gt;1,0,IF(OR(AU468="",N(AU468)&lt;=0.000000001),"",IF(OR(AO468="",N(AO468)&lt;=0.000000001),0,IF(ISNUMBER(AU468),IFERROR(_xlfn.LET(_xlpm.ai_test,TRIM(AJ468),_xlpm.r,IFERROR(_xlfn.XLOOKUP(_xlpm.ai_test,$BJ$15:$BJ$62,ROW($BJ$15:$BJ$62),0,1),IFERROR(_xlfn.XLOOKUP(_xlpm.ai_test,$BK$15:$BK$62,ROW($BK$15:$BK$62),0,1),_xlfn.XLOOKUP(_xlpm.ai_test,$BL$15:$BL$62,ROW($BL$15:$BL$62),0,1))),_xlpm.p,_xlpm.r-MIN(ROW($BJ$15:$BJ$62))+1,_xlpm.f,INDEX($BM$15:$BM$62,_xlpm.p),_xlpm.u,INDEX($BN$15:$BN$62,_xlpm.p),_xlpm.s,INDEX($BP$15:$BP$62,_xlpm.p),_xlpm.q,N(AU468)/_xlpm.f,IF(_xlpm.q&gt;=_xlpm.s,ROUND(_xlpm.q,1)&amp;" "&amp;_xlpm.ai_test&amp;" = "&amp;ROUND(_xlpm.q*_xlpm.f,1)&amp;" "&amp;_xlpm.u,ROUND(_xlpm.q,1)&amp;" "&amp;_xlpm.ai_test)),""),""))))</f>
        <v>0</v>
      </c>
      <c r="AX468" s="6218"/>
      <c r="AY468" s="6271">
        <f t="shared" si="192"/>
        <v>0</v>
      </c>
      <c r="AZ468" s="6242" t="str">
        <f t="shared" si="193"/>
        <v/>
      </c>
      <c r="BA468" s="6194">
        <f t="shared" si="198"/>
        <v>0</v>
      </c>
      <c r="BB468" s="6192" t="str">
        <f t="shared" si="194"/>
        <v/>
      </c>
      <c r="BC468" s="6219"/>
      <c r="BD468" s="6221">
        <f t="shared" si="199"/>
        <v>0</v>
      </c>
      <c r="BE468" s="6220" t="str">
        <f t="shared" si="195"/>
        <v/>
      </c>
      <c r="BF468" s="4" t="s">
        <v>1</v>
      </c>
      <c r="BG468" s="6196">
        <f t="shared" si="196"/>
        <v>0</v>
      </c>
      <c r="BH468" s="6197">
        <f t="shared" si="197"/>
        <v>0</v>
      </c>
      <c r="BI468"/>
      <c r="BJ468" s="1"/>
      <c r="BK468" s="1"/>
      <c r="BL468" s="1"/>
      <c r="BM468" s="1"/>
      <c r="BN468" s="1"/>
      <c r="BO468" s="1"/>
      <c r="BP468" s="1"/>
      <c r="BQ468" s="1"/>
      <c r="BX468" s="20" t="str">
        <f t="shared" si="201"/>
        <v>►</v>
      </c>
      <c r="BY468" s="2"/>
      <c r="BZ468" s="2"/>
      <c r="CA468" s="2"/>
      <c r="CB468" s="2"/>
      <c r="CC468" s="2"/>
      <c r="DC468" s="5">
        <v>1</v>
      </c>
    </row>
    <row r="469" spans="12:107" ht="21" customHeight="1">
      <c r="L469" s="1021" t="s">
        <v>26</v>
      </c>
      <c r="M469" s="6787"/>
      <c r="N469" s="6787"/>
      <c r="O469" s="6787"/>
      <c r="P469" s="6788"/>
      <c r="Q469" s="6789"/>
      <c r="R469" s="6790"/>
      <c r="S469" s="6786"/>
      <c r="T469" s="6791"/>
      <c r="U469" s="6844"/>
      <c r="V469" s="6791"/>
      <c r="W469" s="6785"/>
      <c r="X469" s="6868"/>
      <c r="Y469" s="6793"/>
      <c r="Z469" s="6794"/>
      <c r="AA469" s="6795"/>
      <c r="AB469" s="6796"/>
      <c r="AC469" s="6797"/>
      <c r="AD469" s="6798"/>
      <c r="AE469" s="4" t="s">
        <v>1</v>
      </c>
      <c r="AF469" s="6202" t="str">
        <f t="shared" si="179"/>
        <v>►</v>
      </c>
      <c r="AG469" s="6234" t="str">
        <f t="shared" si="180"/>
        <v/>
      </c>
      <c r="AH469" s="6732" t="str">
        <f t="shared" si="181"/>
        <v/>
      </c>
      <c r="AI469" s="6234" t="str">
        <f t="shared" si="182"/>
        <v/>
      </c>
      <c r="AJ469" s="6732" t="str">
        <f t="shared" si="183"/>
        <v/>
      </c>
      <c r="AK469" s="6732">
        <f t="shared" si="184"/>
        <v>0</v>
      </c>
      <c r="AL469" s="6230" t="str" cm="1">
        <f t="array" ref="AL469">IF(AF469&lt;&gt;"A","",IFERROR((IFERROR(_xlfn.XLOOKUP(TRIM(SUBSTITUTE(U469,CHAR(160)," ")),$BJ$15:$BJ$62,$BM$15:$BM$62),IFERROR(_xlfn.XLOOKUP(TRIM(SUBSTITUTE(U469,CHAR(160)," ")),$BK$15:$BK$62,$BM$15:$BM$62),_xlfn.XLOOKUP(TRIM(SUBSTITUTE(U469,CHAR(160)," ")),$BL$15:$BL$62,$BM$15:$BM$62))))*T469*IF(ISBLANK(Q469),1,Q469)+IFERROR(_xlfn.XLOOKUP("RECHERCHEX",TRIM(L469:AD469),L469:AD469),0),0))</f>
        <v/>
      </c>
      <c r="AM469" s="6229">
        <f t="shared" si="185"/>
        <v>0</v>
      </c>
      <c r="AN469" s="6857" t="str">
        <f t="shared" si="200"/>
        <v/>
      </c>
      <c r="AO469" s="392">
        <f t="shared" si="186"/>
        <v>0</v>
      </c>
      <c r="AP469" s="392">
        <f t="shared" si="187"/>
        <v>0</v>
      </c>
      <c r="AQ469" s="6191">
        <f t="shared" si="188"/>
        <v>0</v>
      </c>
      <c r="AR469" s="6859" t="str">
        <f t="shared" si="189"/>
        <v/>
      </c>
      <c r="AS469" s="6217"/>
      <c r="AT469" s="6217"/>
      <c r="AU469" s="6272">
        <f t="shared" si="190"/>
        <v>0</v>
      </c>
      <c r="AV469" s="6240">
        <f t="shared" si="191"/>
        <v>0</v>
      </c>
      <c r="AW469" s="6189" cm="1">
        <f t="array" ref="AW469">IF(AK469&lt;&gt;1,0,IF(OR(AU469="",N(AU469)&lt;=0.000000001),"",IF(OR(AO469="",N(AO469)&lt;=0.000000001),0,IF(ISNUMBER(AU469),IFERROR(_xlfn.LET(_xlpm.ai_test,TRIM(AJ469),_xlpm.r,IFERROR(_xlfn.XLOOKUP(_xlpm.ai_test,$BJ$15:$BJ$62,ROW($BJ$15:$BJ$62),0,1),IFERROR(_xlfn.XLOOKUP(_xlpm.ai_test,$BK$15:$BK$62,ROW($BK$15:$BK$62),0,1),_xlfn.XLOOKUP(_xlpm.ai_test,$BL$15:$BL$62,ROW($BL$15:$BL$62),0,1))),_xlpm.p,_xlpm.r-MIN(ROW($BJ$15:$BJ$62))+1,_xlpm.f,INDEX($BM$15:$BM$62,_xlpm.p),_xlpm.u,INDEX($BN$15:$BN$62,_xlpm.p),_xlpm.s,INDEX($BP$15:$BP$62,_xlpm.p),_xlpm.q,N(AU469)/_xlpm.f,IF(_xlpm.q&gt;=_xlpm.s,ROUND(_xlpm.q,1)&amp;" "&amp;_xlpm.ai_test&amp;" = "&amp;ROUND(_xlpm.q*_xlpm.f,1)&amp;" "&amp;_xlpm.u,ROUND(_xlpm.q,1)&amp;" "&amp;_xlpm.ai_test)),""),""))))</f>
        <v>0</v>
      </c>
      <c r="AX469" s="6218"/>
      <c r="AY469" s="6272">
        <f t="shared" si="192"/>
        <v>0</v>
      </c>
      <c r="AZ469" s="6240" t="str">
        <f t="shared" si="193"/>
        <v/>
      </c>
      <c r="BA469" s="6195">
        <f t="shared" si="198"/>
        <v>0</v>
      </c>
      <c r="BB469" s="6193" t="str">
        <f t="shared" si="194"/>
        <v/>
      </c>
      <c r="BC469" s="6219"/>
      <c r="BD469" s="6222">
        <f t="shared" si="199"/>
        <v>0</v>
      </c>
      <c r="BE469" s="6220" t="str">
        <f t="shared" si="195"/>
        <v/>
      </c>
      <c r="BF469" s="4" t="s">
        <v>1</v>
      </c>
      <c r="BG469" s="6196">
        <f t="shared" si="196"/>
        <v>0</v>
      </c>
      <c r="BH469" s="6197">
        <f t="shared" si="197"/>
        <v>0</v>
      </c>
      <c r="BI469"/>
      <c r="BJ469" s="1"/>
      <c r="BK469" s="1"/>
      <c r="BL469" s="1"/>
      <c r="BM469" s="1"/>
      <c r="BN469" s="1"/>
      <c r="BO469" s="1"/>
      <c r="BP469" s="1"/>
      <c r="BQ469" s="1"/>
      <c r="BX469" s="20" t="str">
        <f t="shared" si="201"/>
        <v>►</v>
      </c>
      <c r="BY469" s="2"/>
      <c r="BZ469" s="2"/>
      <c r="CA469" s="2"/>
      <c r="CB469" s="2"/>
      <c r="CC469" s="2"/>
      <c r="DC469" s="5">
        <v>1</v>
      </c>
    </row>
    <row r="470" spans="12:107" ht="21" customHeight="1">
      <c r="L470" s="1021" t="s">
        <v>26</v>
      </c>
      <c r="M470" s="6787"/>
      <c r="N470" s="6787"/>
      <c r="O470" s="6787"/>
      <c r="P470" s="6788"/>
      <c r="Q470" s="6789"/>
      <c r="R470" s="6790"/>
      <c r="S470" s="6786"/>
      <c r="T470" s="6791"/>
      <c r="U470" s="6844"/>
      <c r="V470" s="6791"/>
      <c r="W470" s="6785"/>
      <c r="X470" s="6868"/>
      <c r="Y470" s="6793"/>
      <c r="Z470" s="6794"/>
      <c r="AA470" s="6795"/>
      <c r="AB470" s="6796"/>
      <c r="AC470" s="6797"/>
      <c r="AD470" s="6798"/>
      <c r="AE470" s="4" t="s">
        <v>1</v>
      </c>
      <c r="AF470" s="6202" t="str">
        <f t="shared" ref="AF470:AF533" si="202">IF(OR(AO470&gt;0,TRIM(AG470)="▼ recette suivante"),"A","►")</f>
        <v>►</v>
      </c>
      <c r="AG470" s="6234" t="str">
        <f t="shared" ref="AG470:AG533" si="203">IF(TRIM(Q470)="Adresse PC","▼ recette suivante",IF(AO470&gt;0,M470,""))</f>
        <v/>
      </c>
      <c r="AH470" s="6732" t="str">
        <f t="shared" ref="AH470:AH533" si="204">IF(AF470="A",N470,"")</f>
        <v/>
      </c>
      <c r="AI470" s="6234" t="str">
        <f t="shared" ref="AI470:AI533" si="205">IF(AF470="A",O470,"")</f>
        <v/>
      </c>
      <c r="AJ470" s="6732" t="str">
        <f t="shared" ref="AJ470:AJ533" si="206">IF(AF470="A",U470,"")</f>
        <v/>
      </c>
      <c r="AK470" s="6732">
        <f t="shared" ref="AK470:AK533" si="207">IF(AND(L470="A",COUNTIF($BJ$15:$BL$62,TRIM(U470))&gt;0),1,0)</f>
        <v>0</v>
      </c>
      <c r="AL470" s="6230" t="str" cm="1">
        <f t="array" ref="AL470">IF(AF470&lt;&gt;"A","",IFERROR((IFERROR(_xlfn.XLOOKUP(TRIM(SUBSTITUTE(U470,CHAR(160)," ")),$BJ$15:$BJ$62,$BM$15:$BM$62),IFERROR(_xlfn.XLOOKUP(TRIM(SUBSTITUTE(U470,CHAR(160)," ")),$BK$15:$BK$62,$BM$15:$BM$62),_xlfn.XLOOKUP(TRIM(SUBSTITUTE(U470,CHAR(160)," ")),$BL$15:$BL$62,$BM$15:$BM$62))))*T470*IF(ISBLANK(Q470),1,Q470)+IFERROR(_xlfn.XLOOKUP("RECHERCHEX",TRIM(L470:AD470),L470:AD470),0),0))</f>
        <v/>
      </c>
      <c r="AM470" s="6229">
        <f t="shared" ref="AM470:AM533" si="208">IF(AK470,IF(AL470&gt;0,"Kg",0),0)</f>
        <v>0</v>
      </c>
      <c r="AN470" s="6857" t="str">
        <f t="shared" si="200"/>
        <v/>
      </c>
      <c r="AO470" s="392">
        <f t="shared" ref="AO470:AO533" si="209">IF(AK470,N470,0)</f>
        <v>0</v>
      </c>
      <c r="AP470" s="392">
        <f t="shared" ref="AP470:AP533" si="210">IF(AK470,O470,0)</f>
        <v>0</v>
      </c>
      <c r="AQ470" s="6190">
        <f t="shared" ref="AQ470:AQ533" si="211">IF(AO470&gt;0,AS$9,0)</f>
        <v>0</v>
      </c>
      <c r="AR470" s="6858" t="str">
        <f t="shared" ref="AR470:AR533" si="212">IF(TRIM(AG470)="▼ recette suivante", AG470, IF(AQ470&gt;0, IF(AT$9&lt;&gt;"", AT$9&amp;"-ou.or.o ❾ + or - &gt;", ""), ""))</f>
        <v/>
      </c>
      <c r="AS470" s="6217"/>
      <c r="AT470" s="6217"/>
      <c r="AU470" s="6271">
        <f t="shared" ref="AU470:AU533" si="213">IF(TRIM(AM470)="Kg",N(AL470)*N(BH470),0)</f>
        <v>0</v>
      </c>
      <c r="AV470" s="6242">
        <f t="shared" ref="AV470:AV533" si="214">IF(AK470,IF(OR(AU470="",N(AU470)&lt;=0.000000001),"",_xlfn.XLOOKUP(AJ470,$BJ$15:$BJ$62,$BN$15:$BN$62,_xlfn.XLOOKUP(AJ470,$BK$15:$BK$62,$BN$15:$BN$62,_xlfn.XLOOKUP(AJ470,$BL$15:$BL$62,$BN$15:$BN$62,"")))),0)</f>
        <v>0</v>
      </c>
      <c r="AW470" s="6188" cm="1">
        <f t="array" ref="AW470">IF(AK470&lt;&gt;1,0,IF(OR(AU470="",N(AU470)&lt;=0.000000001),"",IF(OR(AO470="",N(AO470)&lt;=0.000000001),0,IF(ISNUMBER(AU470),IFERROR(_xlfn.LET(_xlpm.ai_test,TRIM(AJ470),_xlpm.r,IFERROR(_xlfn.XLOOKUP(_xlpm.ai_test,$BJ$15:$BJ$62,ROW($BJ$15:$BJ$62),0,1),IFERROR(_xlfn.XLOOKUP(_xlpm.ai_test,$BK$15:$BK$62,ROW($BK$15:$BK$62),0,1),_xlfn.XLOOKUP(_xlpm.ai_test,$BL$15:$BL$62,ROW($BL$15:$BL$62),0,1))),_xlpm.p,_xlpm.r-MIN(ROW($BJ$15:$BJ$62))+1,_xlpm.f,INDEX($BM$15:$BM$62,_xlpm.p),_xlpm.u,INDEX($BN$15:$BN$62,_xlpm.p),_xlpm.s,INDEX($BP$15:$BP$62,_xlpm.p),_xlpm.q,N(AU470)/_xlpm.f,IF(_xlpm.q&gt;=_xlpm.s,ROUND(_xlpm.q,1)&amp;" "&amp;_xlpm.ai_test&amp;" = "&amp;ROUND(_xlpm.q*_xlpm.f,1)&amp;" "&amp;_xlpm.u,ROUND(_xlpm.q,1)&amp;" "&amp;_xlpm.ai_test)),""),""))))</f>
        <v>0</v>
      </c>
      <c r="AX470" s="6218"/>
      <c r="AY470" s="6271">
        <f t="shared" ref="AY470:AY533" si="215">IF(TRIM(AG470)="▼ recette suivante","▼next recipe ",IF(AU470="","",IF(ISBLANK(AX470),AU470,ROUND(AU470*(1-MIN(1,MAX(0,IF(AX470&gt;1,AX470/100,AX470)))),3))))</f>
        <v>0</v>
      </c>
      <c r="AZ470" s="6242" t="str">
        <f t="shared" ref="AZ470:AZ533" si="216">IF(AK470,AV470,"")</f>
        <v/>
      </c>
      <c r="BA470" s="6194">
        <f t="shared" si="198"/>
        <v>0</v>
      </c>
      <c r="BB470" s="6192" t="str">
        <f t="shared" ref="BB470:BB533" si="217">IF(AK470,IF(N(BA470)&gt;0.000000001,R470,""),"")</f>
        <v/>
      </c>
      <c r="BC470" s="6219"/>
      <c r="BD470" s="6221">
        <f t="shared" si="199"/>
        <v>0</v>
      </c>
      <c r="BE470" s="6220" t="str">
        <f t="shared" ref="BE470:BE533" si="218">IF(IFERROR(SEARCH("Adresse PC",TRIM(Q470)),0)&gt;0,"▼ receta siguiente",IF(AY470&gt;0,W470,""))</f>
        <v/>
      </c>
      <c r="BF470" s="4" t="s">
        <v>1</v>
      </c>
      <c r="BG470" s="6196">
        <f t="shared" ref="BG470:BG533" si="219">IFERROR(_xlfn.LET(_xlpm.EPS,0.000000001,_xlpm.b,Q470/AO470,IF(ISNUMBER(AS470),_xlpm.b*AS470,IF(OR(ISBLANK(AS470),AS470=""),_xlpm.b*AQ470,IF(AND(BH470=0,ISNUMBER(Q470)),_xlpm.b/AQ470,0)))),0)</f>
        <v>0</v>
      </c>
      <c r="BH470" s="6197">
        <f t="shared" ref="BH470:BH533" si="220">IF(AL470&gt;0,IFERROR(IF(OR(ISBLANK(AS470),AS470=""),AQ470,AS470)/AO470,0),0)</f>
        <v>0</v>
      </c>
      <c r="BI470"/>
      <c r="BJ470" s="1"/>
      <c r="BK470" s="1"/>
      <c r="BL470" s="1"/>
      <c r="BM470" s="1"/>
      <c r="BN470" s="1"/>
      <c r="BO470" s="1"/>
      <c r="BP470" s="1"/>
      <c r="BQ470" s="1"/>
      <c r="BX470" s="20" t="str">
        <f t="shared" si="201"/>
        <v>►</v>
      </c>
      <c r="BY470" s="2"/>
      <c r="BZ470" s="2"/>
      <c r="CA470" s="2"/>
      <c r="CB470" s="2"/>
      <c r="CC470" s="2"/>
      <c r="DC470" s="5">
        <v>1</v>
      </c>
    </row>
    <row r="471" spans="12:107" ht="21" customHeight="1">
      <c r="L471" s="1021" t="s">
        <v>26</v>
      </c>
      <c r="M471" s="6787"/>
      <c r="N471" s="6787"/>
      <c r="O471" s="6787"/>
      <c r="P471" s="6788"/>
      <c r="Q471" s="6789"/>
      <c r="R471" s="6790"/>
      <c r="S471" s="6786"/>
      <c r="T471" s="6791"/>
      <c r="U471" s="6844"/>
      <c r="V471" s="6791"/>
      <c r="W471" s="6785"/>
      <c r="X471" s="6868"/>
      <c r="Y471" s="6793"/>
      <c r="Z471" s="6794"/>
      <c r="AA471" s="6795"/>
      <c r="AB471" s="6796"/>
      <c r="AC471" s="6797"/>
      <c r="AD471" s="6798"/>
      <c r="AE471" s="4" t="s">
        <v>1</v>
      </c>
      <c r="AF471" s="6202" t="str">
        <f t="shared" si="202"/>
        <v>►</v>
      </c>
      <c r="AG471" s="6234" t="str">
        <f t="shared" si="203"/>
        <v/>
      </c>
      <c r="AH471" s="6732" t="str">
        <f t="shared" si="204"/>
        <v/>
      </c>
      <c r="AI471" s="6234" t="str">
        <f t="shared" si="205"/>
        <v/>
      </c>
      <c r="AJ471" s="6732" t="str">
        <f t="shared" si="206"/>
        <v/>
      </c>
      <c r="AK471" s="6732">
        <f t="shared" si="207"/>
        <v>0</v>
      </c>
      <c r="AL471" s="6230" t="str" cm="1">
        <f t="array" ref="AL471">IF(AF471&lt;&gt;"A","",IFERROR((IFERROR(_xlfn.XLOOKUP(TRIM(SUBSTITUTE(U471,CHAR(160)," ")),$BJ$15:$BJ$62,$BM$15:$BM$62),IFERROR(_xlfn.XLOOKUP(TRIM(SUBSTITUTE(U471,CHAR(160)," ")),$BK$15:$BK$62,$BM$15:$BM$62),_xlfn.XLOOKUP(TRIM(SUBSTITUTE(U471,CHAR(160)," ")),$BL$15:$BL$62,$BM$15:$BM$62))))*T471*IF(ISBLANK(Q471),1,Q471)+IFERROR(_xlfn.XLOOKUP("RECHERCHEX",TRIM(L471:AD471),L471:AD471),0),0))</f>
        <v/>
      </c>
      <c r="AM471" s="6229">
        <f t="shared" si="208"/>
        <v>0</v>
      </c>
      <c r="AN471" s="6857" t="str">
        <f t="shared" si="200"/>
        <v/>
      </c>
      <c r="AO471" s="392">
        <f t="shared" si="209"/>
        <v>0</v>
      </c>
      <c r="AP471" s="392">
        <f t="shared" si="210"/>
        <v>0</v>
      </c>
      <c r="AQ471" s="6191">
        <f t="shared" si="211"/>
        <v>0</v>
      </c>
      <c r="AR471" s="6859" t="str">
        <f t="shared" si="212"/>
        <v/>
      </c>
      <c r="AS471" s="6217"/>
      <c r="AT471" s="6217"/>
      <c r="AU471" s="6272">
        <f t="shared" si="213"/>
        <v>0</v>
      </c>
      <c r="AV471" s="6240">
        <f t="shared" si="214"/>
        <v>0</v>
      </c>
      <c r="AW471" s="6189" cm="1">
        <f t="array" ref="AW471">IF(AK471&lt;&gt;1,0,IF(OR(AU471="",N(AU471)&lt;=0.000000001),"",IF(OR(AO471="",N(AO471)&lt;=0.000000001),0,IF(ISNUMBER(AU471),IFERROR(_xlfn.LET(_xlpm.ai_test,TRIM(AJ471),_xlpm.r,IFERROR(_xlfn.XLOOKUP(_xlpm.ai_test,$BJ$15:$BJ$62,ROW($BJ$15:$BJ$62),0,1),IFERROR(_xlfn.XLOOKUP(_xlpm.ai_test,$BK$15:$BK$62,ROW($BK$15:$BK$62),0,1),_xlfn.XLOOKUP(_xlpm.ai_test,$BL$15:$BL$62,ROW($BL$15:$BL$62),0,1))),_xlpm.p,_xlpm.r-MIN(ROW($BJ$15:$BJ$62))+1,_xlpm.f,INDEX($BM$15:$BM$62,_xlpm.p),_xlpm.u,INDEX($BN$15:$BN$62,_xlpm.p),_xlpm.s,INDEX($BP$15:$BP$62,_xlpm.p),_xlpm.q,N(AU471)/_xlpm.f,IF(_xlpm.q&gt;=_xlpm.s,ROUND(_xlpm.q,1)&amp;" "&amp;_xlpm.ai_test&amp;" = "&amp;ROUND(_xlpm.q*_xlpm.f,1)&amp;" "&amp;_xlpm.u,ROUND(_xlpm.q,1)&amp;" "&amp;_xlpm.ai_test)),""),""))))</f>
        <v>0</v>
      </c>
      <c r="AX471" s="6218"/>
      <c r="AY471" s="6272">
        <f t="shared" si="215"/>
        <v>0</v>
      </c>
      <c r="AZ471" s="6240" t="str">
        <f t="shared" si="216"/>
        <v/>
      </c>
      <c r="BA471" s="6195">
        <f t="shared" ref="BA471:BA534" si="221">IF(ISNUMBER(BG471),IF(ABS(BG471)&lt;=0.000000001,0,BG471),0)</f>
        <v>0</v>
      </c>
      <c r="BB471" s="6193" t="str">
        <f t="shared" si="217"/>
        <v/>
      </c>
      <c r="BC471" s="6219"/>
      <c r="BD471" s="6222">
        <f t="shared" si="199"/>
        <v>0</v>
      </c>
      <c r="BE471" s="6220" t="str">
        <f t="shared" si="218"/>
        <v/>
      </c>
      <c r="BF471" s="4" t="s">
        <v>1</v>
      </c>
      <c r="BG471" s="6196">
        <f t="shared" si="219"/>
        <v>0</v>
      </c>
      <c r="BH471" s="6197">
        <f t="shared" si="220"/>
        <v>0</v>
      </c>
      <c r="BI471"/>
      <c r="BJ471" s="1"/>
      <c r="BK471" s="1"/>
      <c r="BL471" s="1"/>
      <c r="BM471" s="1"/>
      <c r="BN471" s="1"/>
      <c r="BO471" s="1"/>
      <c r="BP471" s="1"/>
      <c r="BQ471" s="1"/>
      <c r="BX471" s="20" t="str">
        <f t="shared" si="201"/>
        <v>►</v>
      </c>
      <c r="BY471" s="2"/>
      <c r="BZ471" s="2"/>
      <c r="CA471" s="2"/>
      <c r="CB471" s="2"/>
      <c r="CC471" s="2"/>
      <c r="DC471" s="5">
        <v>1</v>
      </c>
    </row>
    <row r="472" spans="12:107" ht="21" customHeight="1">
      <c r="L472" s="1021" t="s">
        <v>26</v>
      </c>
      <c r="M472" s="6787"/>
      <c r="N472" s="6787"/>
      <c r="O472" s="6787"/>
      <c r="P472" s="6788"/>
      <c r="Q472" s="6789"/>
      <c r="R472" s="6790"/>
      <c r="S472" s="6786"/>
      <c r="T472" s="6791"/>
      <c r="U472" s="6844"/>
      <c r="V472" s="6791"/>
      <c r="W472" s="6785"/>
      <c r="X472" s="6868"/>
      <c r="Y472" s="6793"/>
      <c r="Z472" s="6794"/>
      <c r="AA472" s="6795"/>
      <c r="AB472" s="6796"/>
      <c r="AC472" s="6797"/>
      <c r="AD472" s="6798"/>
      <c r="AE472" s="4" t="s">
        <v>1</v>
      </c>
      <c r="AF472" s="6202" t="str">
        <f t="shared" si="202"/>
        <v>►</v>
      </c>
      <c r="AG472" s="6234" t="str">
        <f t="shared" si="203"/>
        <v/>
      </c>
      <c r="AH472" s="6732" t="str">
        <f t="shared" si="204"/>
        <v/>
      </c>
      <c r="AI472" s="6234" t="str">
        <f t="shared" si="205"/>
        <v/>
      </c>
      <c r="AJ472" s="6732" t="str">
        <f t="shared" si="206"/>
        <v/>
      </c>
      <c r="AK472" s="6732">
        <f t="shared" si="207"/>
        <v>0</v>
      </c>
      <c r="AL472" s="6230" t="str" cm="1">
        <f t="array" ref="AL472">IF(AF472&lt;&gt;"A","",IFERROR((IFERROR(_xlfn.XLOOKUP(TRIM(SUBSTITUTE(U472,CHAR(160)," ")),$BJ$15:$BJ$62,$BM$15:$BM$62),IFERROR(_xlfn.XLOOKUP(TRIM(SUBSTITUTE(U472,CHAR(160)," ")),$BK$15:$BK$62,$BM$15:$BM$62),_xlfn.XLOOKUP(TRIM(SUBSTITUTE(U472,CHAR(160)," ")),$BL$15:$BL$62,$BM$15:$BM$62))))*T472*IF(ISBLANK(Q472),1,Q472)+IFERROR(_xlfn.XLOOKUP("RECHERCHEX",TRIM(L472:AD472),L472:AD472),0),0))</f>
        <v/>
      </c>
      <c r="AM472" s="6229">
        <f t="shared" si="208"/>
        <v>0</v>
      </c>
      <c r="AN472" s="6857" t="str">
        <f t="shared" si="200"/>
        <v/>
      </c>
      <c r="AO472" s="392">
        <f t="shared" si="209"/>
        <v>0</v>
      </c>
      <c r="AP472" s="392">
        <f t="shared" si="210"/>
        <v>0</v>
      </c>
      <c r="AQ472" s="6190">
        <f t="shared" si="211"/>
        <v>0</v>
      </c>
      <c r="AR472" s="6858" t="str">
        <f t="shared" si="212"/>
        <v/>
      </c>
      <c r="AS472" s="6217"/>
      <c r="AT472" s="6217"/>
      <c r="AU472" s="6271">
        <f t="shared" si="213"/>
        <v>0</v>
      </c>
      <c r="AV472" s="6242">
        <f t="shared" si="214"/>
        <v>0</v>
      </c>
      <c r="AW472" s="6188" cm="1">
        <f t="array" ref="AW472">IF(AK472&lt;&gt;1,0,IF(OR(AU472="",N(AU472)&lt;=0.000000001),"",IF(OR(AO472="",N(AO472)&lt;=0.000000001),0,IF(ISNUMBER(AU472),IFERROR(_xlfn.LET(_xlpm.ai_test,TRIM(AJ472),_xlpm.r,IFERROR(_xlfn.XLOOKUP(_xlpm.ai_test,$BJ$15:$BJ$62,ROW($BJ$15:$BJ$62),0,1),IFERROR(_xlfn.XLOOKUP(_xlpm.ai_test,$BK$15:$BK$62,ROW($BK$15:$BK$62),0,1),_xlfn.XLOOKUP(_xlpm.ai_test,$BL$15:$BL$62,ROW($BL$15:$BL$62),0,1))),_xlpm.p,_xlpm.r-MIN(ROW($BJ$15:$BJ$62))+1,_xlpm.f,INDEX($BM$15:$BM$62,_xlpm.p),_xlpm.u,INDEX($BN$15:$BN$62,_xlpm.p),_xlpm.s,INDEX($BP$15:$BP$62,_xlpm.p),_xlpm.q,N(AU472)/_xlpm.f,IF(_xlpm.q&gt;=_xlpm.s,ROUND(_xlpm.q,1)&amp;" "&amp;_xlpm.ai_test&amp;" = "&amp;ROUND(_xlpm.q*_xlpm.f,1)&amp;" "&amp;_xlpm.u,ROUND(_xlpm.q,1)&amp;" "&amp;_xlpm.ai_test)),""),""))))</f>
        <v>0</v>
      </c>
      <c r="AX472" s="6218"/>
      <c r="AY472" s="6271">
        <f t="shared" si="215"/>
        <v>0</v>
      </c>
      <c r="AZ472" s="6242" t="str">
        <f t="shared" si="216"/>
        <v/>
      </c>
      <c r="BA472" s="6194">
        <f t="shared" si="221"/>
        <v>0</v>
      </c>
      <c r="BB472" s="6192" t="str">
        <f t="shared" si="217"/>
        <v/>
      </c>
      <c r="BC472" s="6219"/>
      <c r="BD472" s="6221">
        <f t="shared" si="199"/>
        <v>0</v>
      </c>
      <c r="BE472" s="6220" t="str">
        <f t="shared" si="218"/>
        <v/>
      </c>
      <c r="BF472" s="4" t="s">
        <v>1</v>
      </c>
      <c r="BG472" s="6196">
        <f t="shared" si="219"/>
        <v>0</v>
      </c>
      <c r="BH472" s="6197">
        <f t="shared" si="220"/>
        <v>0</v>
      </c>
      <c r="BI472"/>
      <c r="BJ472" s="1"/>
      <c r="BK472" s="1"/>
      <c r="BL472" s="1"/>
      <c r="BM472" s="1"/>
      <c r="BN472" s="1"/>
      <c r="BO472" s="1"/>
      <c r="BP472" s="1"/>
      <c r="BQ472" s="1"/>
      <c r="BX472" s="20" t="str">
        <f t="shared" si="201"/>
        <v>►</v>
      </c>
      <c r="BY472" s="2"/>
      <c r="BZ472" s="2"/>
      <c r="CA472" s="2"/>
      <c r="CB472" s="2"/>
      <c r="CC472" s="2"/>
      <c r="DC472" s="5">
        <v>1</v>
      </c>
    </row>
    <row r="473" spans="12:107" ht="21" customHeight="1">
      <c r="L473" s="1021" t="s">
        <v>26</v>
      </c>
      <c r="M473" s="6787"/>
      <c r="N473" s="6787"/>
      <c r="O473" s="6787"/>
      <c r="P473" s="6788"/>
      <c r="Q473" s="6789"/>
      <c r="R473" s="6790"/>
      <c r="S473" s="6786"/>
      <c r="T473" s="6791"/>
      <c r="U473" s="6844"/>
      <c r="V473" s="6791"/>
      <c r="W473" s="6785"/>
      <c r="X473" s="6868"/>
      <c r="Y473" s="6793"/>
      <c r="Z473" s="6794"/>
      <c r="AA473" s="6795"/>
      <c r="AB473" s="6796"/>
      <c r="AC473" s="6797"/>
      <c r="AD473" s="6798"/>
      <c r="AE473" s="4" t="s">
        <v>1</v>
      </c>
      <c r="AF473" s="6202" t="str">
        <f t="shared" si="202"/>
        <v>►</v>
      </c>
      <c r="AG473" s="6234" t="str">
        <f t="shared" si="203"/>
        <v/>
      </c>
      <c r="AH473" s="6732" t="str">
        <f t="shared" si="204"/>
        <v/>
      </c>
      <c r="AI473" s="6234" t="str">
        <f t="shared" si="205"/>
        <v/>
      </c>
      <c r="AJ473" s="6732" t="str">
        <f t="shared" si="206"/>
        <v/>
      </c>
      <c r="AK473" s="6732">
        <f t="shared" si="207"/>
        <v>0</v>
      </c>
      <c r="AL473" s="6230" t="str" cm="1">
        <f t="array" ref="AL473">IF(AF473&lt;&gt;"A","",IFERROR((IFERROR(_xlfn.XLOOKUP(TRIM(SUBSTITUTE(U473,CHAR(160)," ")),$BJ$15:$BJ$62,$BM$15:$BM$62),IFERROR(_xlfn.XLOOKUP(TRIM(SUBSTITUTE(U473,CHAR(160)," ")),$BK$15:$BK$62,$BM$15:$BM$62),_xlfn.XLOOKUP(TRIM(SUBSTITUTE(U473,CHAR(160)," ")),$BL$15:$BL$62,$BM$15:$BM$62))))*T473*IF(ISBLANK(Q473),1,Q473)+IFERROR(_xlfn.XLOOKUP("RECHERCHEX",TRIM(L473:AD473),L473:AD473),0),0))</f>
        <v/>
      </c>
      <c r="AM473" s="6229">
        <f t="shared" si="208"/>
        <v>0</v>
      </c>
      <c r="AN473" s="6857" t="str">
        <f t="shared" si="200"/>
        <v/>
      </c>
      <c r="AO473" s="392">
        <f t="shared" si="209"/>
        <v>0</v>
      </c>
      <c r="AP473" s="392">
        <f t="shared" si="210"/>
        <v>0</v>
      </c>
      <c r="AQ473" s="6191">
        <f t="shared" si="211"/>
        <v>0</v>
      </c>
      <c r="AR473" s="6859" t="str">
        <f t="shared" si="212"/>
        <v/>
      </c>
      <c r="AS473" s="6217"/>
      <c r="AT473" s="6217"/>
      <c r="AU473" s="6272">
        <f t="shared" si="213"/>
        <v>0</v>
      </c>
      <c r="AV473" s="6240">
        <f t="shared" si="214"/>
        <v>0</v>
      </c>
      <c r="AW473" s="6189" cm="1">
        <f t="array" ref="AW473">IF(AK473&lt;&gt;1,0,IF(OR(AU473="",N(AU473)&lt;=0.000000001),"",IF(OR(AO473="",N(AO473)&lt;=0.000000001),0,IF(ISNUMBER(AU473),IFERROR(_xlfn.LET(_xlpm.ai_test,TRIM(AJ473),_xlpm.r,IFERROR(_xlfn.XLOOKUP(_xlpm.ai_test,$BJ$15:$BJ$62,ROW($BJ$15:$BJ$62),0,1),IFERROR(_xlfn.XLOOKUP(_xlpm.ai_test,$BK$15:$BK$62,ROW($BK$15:$BK$62),0,1),_xlfn.XLOOKUP(_xlpm.ai_test,$BL$15:$BL$62,ROW($BL$15:$BL$62),0,1))),_xlpm.p,_xlpm.r-MIN(ROW($BJ$15:$BJ$62))+1,_xlpm.f,INDEX($BM$15:$BM$62,_xlpm.p),_xlpm.u,INDEX($BN$15:$BN$62,_xlpm.p),_xlpm.s,INDEX($BP$15:$BP$62,_xlpm.p),_xlpm.q,N(AU473)/_xlpm.f,IF(_xlpm.q&gt;=_xlpm.s,ROUND(_xlpm.q,1)&amp;" "&amp;_xlpm.ai_test&amp;" = "&amp;ROUND(_xlpm.q*_xlpm.f,1)&amp;" "&amp;_xlpm.u,ROUND(_xlpm.q,1)&amp;" "&amp;_xlpm.ai_test)),""),""))))</f>
        <v>0</v>
      </c>
      <c r="AX473" s="6218"/>
      <c r="AY473" s="6272">
        <f t="shared" si="215"/>
        <v>0</v>
      </c>
      <c r="AZ473" s="6240" t="str">
        <f t="shared" si="216"/>
        <v/>
      </c>
      <c r="BA473" s="6195">
        <f t="shared" si="221"/>
        <v>0</v>
      </c>
      <c r="BB473" s="6193" t="str">
        <f t="shared" si="217"/>
        <v/>
      </c>
      <c r="BC473" s="6219"/>
      <c r="BD473" s="6222">
        <f t="shared" si="199"/>
        <v>0</v>
      </c>
      <c r="BE473" s="6220" t="str">
        <f t="shared" si="218"/>
        <v/>
      </c>
      <c r="BF473" s="4" t="s">
        <v>1</v>
      </c>
      <c r="BG473" s="6196">
        <f t="shared" si="219"/>
        <v>0</v>
      </c>
      <c r="BH473" s="6197">
        <f t="shared" si="220"/>
        <v>0</v>
      </c>
      <c r="BI473"/>
      <c r="BJ473" s="1"/>
      <c r="BK473" s="1"/>
      <c r="BL473" s="1"/>
      <c r="BM473" s="1"/>
      <c r="BN473" s="1"/>
      <c r="BO473" s="1"/>
      <c r="BP473" s="1"/>
      <c r="BQ473" s="1"/>
      <c r="BX473" s="20" t="str">
        <f t="shared" si="201"/>
        <v>►</v>
      </c>
      <c r="BY473" s="2"/>
      <c r="BZ473" s="2"/>
      <c r="CA473" s="2"/>
      <c r="CB473" s="2"/>
      <c r="CC473" s="2"/>
      <c r="DC473" s="5">
        <v>1</v>
      </c>
    </row>
    <row r="474" spans="12:107" ht="21" customHeight="1">
      <c r="L474" s="1021" t="s">
        <v>26</v>
      </c>
      <c r="M474" s="6787"/>
      <c r="N474" s="6787"/>
      <c r="O474" s="6787"/>
      <c r="P474" s="6788"/>
      <c r="Q474" s="6789"/>
      <c r="R474" s="6790"/>
      <c r="S474" s="6786"/>
      <c r="T474" s="6791"/>
      <c r="U474" s="6844"/>
      <c r="V474" s="6791"/>
      <c r="W474" s="6785"/>
      <c r="X474" s="6868"/>
      <c r="Y474" s="6793"/>
      <c r="Z474" s="6794"/>
      <c r="AA474" s="6795"/>
      <c r="AB474" s="6796"/>
      <c r="AC474" s="6797"/>
      <c r="AD474" s="6798"/>
      <c r="AE474" s="4" t="s">
        <v>1</v>
      </c>
      <c r="AF474" s="6202" t="str">
        <f t="shared" si="202"/>
        <v>►</v>
      </c>
      <c r="AG474" s="6234" t="str">
        <f t="shared" si="203"/>
        <v/>
      </c>
      <c r="AH474" s="6732" t="str">
        <f t="shared" si="204"/>
        <v/>
      </c>
      <c r="AI474" s="6234" t="str">
        <f t="shared" si="205"/>
        <v/>
      </c>
      <c r="AJ474" s="6732" t="str">
        <f t="shared" si="206"/>
        <v/>
      </c>
      <c r="AK474" s="6732">
        <f t="shared" si="207"/>
        <v>0</v>
      </c>
      <c r="AL474" s="6230" t="str" cm="1">
        <f t="array" ref="AL474">IF(AF474&lt;&gt;"A","",IFERROR((IFERROR(_xlfn.XLOOKUP(TRIM(SUBSTITUTE(U474,CHAR(160)," ")),$BJ$15:$BJ$62,$BM$15:$BM$62),IFERROR(_xlfn.XLOOKUP(TRIM(SUBSTITUTE(U474,CHAR(160)," ")),$BK$15:$BK$62,$BM$15:$BM$62),_xlfn.XLOOKUP(TRIM(SUBSTITUTE(U474,CHAR(160)," ")),$BL$15:$BL$62,$BM$15:$BM$62))))*T474*IF(ISBLANK(Q474),1,Q474)+IFERROR(_xlfn.XLOOKUP("RECHERCHEX",TRIM(L474:AD474),L474:AD474),0),0))</f>
        <v/>
      </c>
      <c r="AM474" s="6229">
        <f t="shared" si="208"/>
        <v>0</v>
      </c>
      <c r="AN474" s="6857" t="str">
        <f t="shared" si="200"/>
        <v/>
      </c>
      <c r="AO474" s="392">
        <f t="shared" si="209"/>
        <v>0</v>
      </c>
      <c r="AP474" s="392">
        <f t="shared" si="210"/>
        <v>0</v>
      </c>
      <c r="AQ474" s="6190">
        <f t="shared" si="211"/>
        <v>0</v>
      </c>
      <c r="AR474" s="6858" t="str">
        <f t="shared" si="212"/>
        <v/>
      </c>
      <c r="AS474" s="6217"/>
      <c r="AT474" s="6217"/>
      <c r="AU474" s="6271">
        <f t="shared" si="213"/>
        <v>0</v>
      </c>
      <c r="AV474" s="6242">
        <f t="shared" si="214"/>
        <v>0</v>
      </c>
      <c r="AW474" s="6188" cm="1">
        <f t="array" ref="AW474">IF(AK474&lt;&gt;1,0,IF(OR(AU474="",N(AU474)&lt;=0.000000001),"",IF(OR(AO474="",N(AO474)&lt;=0.000000001),0,IF(ISNUMBER(AU474),IFERROR(_xlfn.LET(_xlpm.ai_test,TRIM(AJ474),_xlpm.r,IFERROR(_xlfn.XLOOKUP(_xlpm.ai_test,$BJ$15:$BJ$62,ROW($BJ$15:$BJ$62),0,1),IFERROR(_xlfn.XLOOKUP(_xlpm.ai_test,$BK$15:$BK$62,ROW($BK$15:$BK$62),0,1),_xlfn.XLOOKUP(_xlpm.ai_test,$BL$15:$BL$62,ROW($BL$15:$BL$62),0,1))),_xlpm.p,_xlpm.r-MIN(ROW($BJ$15:$BJ$62))+1,_xlpm.f,INDEX($BM$15:$BM$62,_xlpm.p),_xlpm.u,INDEX($BN$15:$BN$62,_xlpm.p),_xlpm.s,INDEX($BP$15:$BP$62,_xlpm.p),_xlpm.q,N(AU474)/_xlpm.f,IF(_xlpm.q&gt;=_xlpm.s,ROUND(_xlpm.q,1)&amp;" "&amp;_xlpm.ai_test&amp;" = "&amp;ROUND(_xlpm.q*_xlpm.f,1)&amp;" "&amp;_xlpm.u,ROUND(_xlpm.q,1)&amp;" "&amp;_xlpm.ai_test)),""),""))))</f>
        <v>0</v>
      </c>
      <c r="AX474" s="6218"/>
      <c r="AY474" s="6271">
        <f t="shared" si="215"/>
        <v>0</v>
      </c>
      <c r="AZ474" s="6242" t="str">
        <f t="shared" si="216"/>
        <v/>
      </c>
      <c r="BA474" s="6194">
        <f t="shared" si="221"/>
        <v>0</v>
      </c>
      <c r="BB474" s="6192" t="str">
        <f t="shared" si="217"/>
        <v/>
      </c>
      <c r="BC474" s="6219"/>
      <c r="BD474" s="6221">
        <f t="shared" si="199"/>
        <v>0</v>
      </c>
      <c r="BE474" s="6220" t="str">
        <f t="shared" si="218"/>
        <v/>
      </c>
      <c r="BF474" s="4" t="s">
        <v>1</v>
      </c>
      <c r="BG474" s="6196">
        <f t="shared" si="219"/>
        <v>0</v>
      </c>
      <c r="BH474" s="6197">
        <f t="shared" si="220"/>
        <v>0</v>
      </c>
      <c r="BI474"/>
      <c r="BJ474" s="1"/>
      <c r="BK474" s="1"/>
      <c r="BL474" s="1"/>
      <c r="BM474" s="1"/>
      <c r="BN474" s="1"/>
      <c r="BO474" s="1"/>
      <c r="BP474" s="1"/>
      <c r="BQ474" s="1"/>
      <c r="BX474" s="20" t="str">
        <f t="shared" si="201"/>
        <v>►</v>
      </c>
      <c r="BY474" s="2"/>
      <c r="BZ474" s="2"/>
      <c r="CA474" s="2"/>
      <c r="CB474" s="2"/>
      <c r="CC474" s="2"/>
      <c r="DC474" s="5">
        <v>1</v>
      </c>
    </row>
    <row r="475" spans="12:107" ht="21" customHeight="1">
      <c r="L475" s="1021" t="s">
        <v>26</v>
      </c>
      <c r="M475" s="6787"/>
      <c r="N475" s="6787"/>
      <c r="O475" s="6787"/>
      <c r="P475" s="6788"/>
      <c r="Q475" s="6789"/>
      <c r="R475" s="6790"/>
      <c r="S475" s="6786"/>
      <c r="T475" s="6791"/>
      <c r="U475" s="6844"/>
      <c r="V475" s="6791"/>
      <c r="W475" s="6785"/>
      <c r="X475" s="6868"/>
      <c r="Y475" s="6793"/>
      <c r="Z475" s="6794"/>
      <c r="AA475" s="6795"/>
      <c r="AB475" s="6796"/>
      <c r="AC475" s="6797"/>
      <c r="AD475" s="6798"/>
      <c r="AE475" s="4" t="s">
        <v>1</v>
      </c>
      <c r="AF475" s="6202" t="str">
        <f t="shared" si="202"/>
        <v>►</v>
      </c>
      <c r="AG475" s="6234" t="str">
        <f t="shared" si="203"/>
        <v/>
      </c>
      <c r="AH475" s="6732" t="str">
        <f t="shared" si="204"/>
        <v/>
      </c>
      <c r="AI475" s="6234" t="str">
        <f t="shared" si="205"/>
        <v/>
      </c>
      <c r="AJ475" s="6732" t="str">
        <f t="shared" si="206"/>
        <v/>
      </c>
      <c r="AK475" s="6732">
        <f t="shared" si="207"/>
        <v>0</v>
      </c>
      <c r="AL475" s="6230" t="str" cm="1">
        <f t="array" ref="AL475">IF(AF475&lt;&gt;"A","",IFERROR((IFERROR(_xlfn.XLOOKUP(TRIM(SUBSTITUTE(U475,CHAR(160)," ")),$BJ$15:$BJ$62,$BM$15:$BM$62),IFERROR(_xlfn.XLOOKUP(TRIM(SUBSTITUTE(U475,CHAR(160)," ")),$BK$15:$BK$62,$BM$15:$BM$62),_xlfn.XLOOKUP(TRIM(SUBSTITUTE(U475,CHAR(160)," ")),$BL$15:$BL$62,$BM$15:$BM$62))))*T475*IF(ISBLANK(Q475),1,Q475)+IFERROR(_xlfn.XLOOKUP("RECHERCHEX",TRIM(L475:AD475),L475:AD475),0),0))</f>
        <v/>
      </c>
      <c r="AM475" s="6229">
        <f t="shared" si="208"/>
        <v>0</v>
      </c>
      <c r="AN475" s="6857" t="str">
        <f t="shared" si="200"/>
        <v/>
      </c>
      <c r="AO475" s="392">
        <f t="shared" si="209"/>
        <v>0</v>
      </c>
      <c r="AP475" s="392">
        <f t="shared" si="210"/>
        <v>0</v>
      </c>
      <c r="AQ475" s="6191">
        <f t="shared" si="211"/>
        <v>0</v>
      </c>
      <c r="AR475" s="6859" t="str">
        <f t="shared" si="212"/>
        <v/>
      </c>
      <c r="AS475" s="6217"/>
      <c r="AT475" s="6217"/>
      <c r="AU475" s="6272">
        <f t="shared" si="213"/>
        <v>0</v>
      </c>
      <c r="AV475" s="6240">
        <f t="shared" si="214"/>
        <v>0</v>
      </c>
      <c r="AW475" s="6189" cm="1">
        <f t="array" ref="AW475">IF(AK475&lt;&gt;1,0,IF(OR(AU475="",N(AU475)&lt;=0.000000001),"",IF(OR(AO475="",N(AO475)&lt;=0.000000001),0,IF(ISNUMBER(AU475),IFERROR(_xlfn.LET(_xlpm.ai_test,TRIM(AJ475),_xlpm.r,IFERROR(_xlfn.XLOOKUP(_xlpm.ai_test,$BJ$15:$BJ$62,ROW($BJ$15:$BJ$62),0,1),IFERROR(_xlfn.XLOOKUP(_xlpm.ai_test,$BK$15:$BK$62,ROW($BK$15:$BK$62),0,1),_xlfn.XLOOKUP(_xlpm.ai_test,$BL$15:$BL$62,ROW($BL$15:$BL$62),0,1))),_xlpm.p,_xlpm.r-MIN(ROW($BJ$15:$BJ$62))+1,_xlpm.f,INDEX($BM$15:$BM$62,_xlpm.p),_xlpm.u,INDEX($BN$15:$BN$62,_xlpm.p),_xlpm.s,INDEX($BP$15:$BP$62,_xlpm.p),_xlpm.q,N(AU475)/_xlpm.f,IF(_xlpm.q&gt;=_xlpm.s,ROUND(_xlpm.q,1)&amp;" "&amp;_xlpm.ai_test&amp;" = "&amp;ROUND(_xlpm.q*_xlpm.f,1)&amp;" "&amp;_xlpm.u,ROUND(_xlpm.q,1)&amp;" "&amp;_xlpm.ai_test)),""),""))))</f>
        <v>0</v>
      </c>
      <c r="AX475" s="6218"/>
      <c r="AY475" s="6272">
        <f t="shared" si="215"/>
        <v>0</v>
      </c>
      <c r="AZ475" s="6240" t="str">
        <f t="shared" si="216"/>
        <v/>
      </c>
      <c r="BA475" s="6195">
        <f t="shared" si="221"/>
        <v>0</v>
      </c>
      <c r="BB475" s="6193" t="str">
        <f t="shared" si="217"/>
        <v/>
      </c>
      <c r="BC475" s="6219"/>
      <c r="BD475" s="6222">
        <f t="shared" ref="BD475:BD538" si="222">IF(OR(AO475=0,ISBLANK(BC475),ISTEXT(BA475)),0,(IF(AU475=0,BA475,AU475)*BC475))</f>
        <v>0</v>
      </c>
      <c r="BE475" s="6220" t="str">
        <f t="shared" si="218"/>
        <v/>
      </c>
      <c r="BF475" s="4" t="s">
        <v>1</v>
      </c>
      <c r="BG475" s="6196">
        <f t="shared" si="219"/>
        <v>0</v>
      </c>
      <c r="BH475" s="6197">
        <f t="shared" si="220"/>
        <v>0</v>
      </c>
      <c r="BI475"/>
      <c r="BJ475" s="1"/>
      <c r="BK475" s="1"/>
      <c r="BL475" s="1"/>
      <c r="BM475" s="1"/>
      <c r="BN475" s="1"/>
      <c r="BO475" s="1"/>
      <c r="BP475" s="1"/>
      <c r="BQ475" s="1"/>
      <c r="BX475" s="20" t="str">
        <f t="shared" si="201"/>
        <v>►</v>
      </c>
      <c r="BY475" s="2"/>
      <c r="BZ475" s="2"/>
      <c r="CA475" s="2"/>
      <c r="CB475" s="2"/>
      <c r="CC475" s="2"/>
      <c r="DC475" s="5">
        <v>1</v>
      </c>
    </row>
    <row r="476" spans="12:107" ht="21" customHeight="1">
      <c r="L476" s="1021" t="s">
        <v>26</v>
      </c>
      <c r="M476" s="6787"/>
      <c r="N476" s="6787"/>
      <c r="O476" s="6787"/>
      <c r="P476" s="6788"/>
      <c r="Q476" s="6789"/>
      <c r="R476" s="6790"/>
      <c r="S476" s="6786"/>
      <c r="T476" s="6791"/>
      <c r="U476" s="6844"/>
      <c r="V476" s="6791"/>
      <c r="W476" s="6785"/>
      <c r="X476" s="6868"/>
      <c r="Y476" s="6793"/>
      <c r="Z476" s="6794"/>
      <c r="AA476" s="6795"/>
      <c r="AB476" s="6796"/>
      <c r="AC476" s="6797"/>
      <c r="AD476" s="6798"/>
      <c r="AE476" s="4" t="s">
        <v>1</v>
      </c>
      <c r="AF476" s="6202" t="str">
        <f t="shared" si="202"/>
        <v>►</v>
      </c>
      <c r="AG476" s="6234" t="str">
        <f t="shared" si="203"/>
        <v/>
      </c>
      <c r="AH476" s="6732" t="str">
        <f t="shared" si="204"/>
        <v/>
      </c>
      <c r="AI476" s="6234" t="str">
        <f t="shared" si="205"/>
        <v/>
      </c>
      <c r="AJ476" s="6732" t="str">
        <f t="shared" si="206"/>
        <v/>
      </c>
      <c r="AK476" s="6732">
        <f t="shared" si="207"/>
        <v>0</v>
      </c>
      <c r="AL476" s="6230" t="str" cm="1">
        <f t="array" ref="AL476">IF(AF476&lt;&gt;"A","",IFERROR((IFERROR(_xlfn.XLOOKUP(TRIM(SUBSTITUTE(U476,CHAR(160)," ")),$BJ$15:$BJ$62,$BM$15:$BM$62),IFERROR(_xlfn.XLOOKUP(TRIM(SUBSTITUTE(U476,CHAR(160)," ")),$BK$15:$BK$62,$BM$15:$BM$62),_xlfn.XLOOKUP(TRIM(SUBSTITUTE(U476,CHAR(160)," ")),$BL$15:$BL$62,$BM$15:$BM$62))))*T476*IF(ISBLANK(Q476),1,Q476)+IFERROR(_xlfn.XLOOKUP("RECHERCHEX",TRIM(L476:AD476),L476:AD476),0),0))</f>
        <v/>
      </c>
      <c r="AM476" s="6229">
        <f t="shared" si="208"/>
        <v>0</v>
      </c>
      <c r="AN476" s="6857" t="str">
        <f t="shared" si="200"/>
        <v/>
      </c>
      <c r="AO476" s="392">
        <f t="shared" si="209"/>
        <v>0</v>
      </c>
      <c r="AP476" s="392">
        <f t="shared" si="210"/>
        <v>0</v>
      </c>
      <c r="AQ476" s="6190">
        <f t="shared" si="211"/>
        <v>0</v>
      </c>
      <c r="AR476" s="6858" t="str">
        <f t="shared" si="212"/>
        <v/>
      </c>
      <c r="AS476" s="6217"/>
      <c r="AT476" s="6217"/>
      <c r="AU476" s="6271">
        <f t="shared" si="213"/>
        <v>0</v>
      </c>
      <c r="AV476" s="6242">
        <f t="shared" si="214"/>
        <v>0</v>
      </c>
      <c r="AW476" s="6188" cm="1">
        <f t="array" ref="AW476">IF(AK476&lt;&gt;1,0,IF(OR(AU476="",N(AU476)&lt;=0.000000001),"",IF(OR(AO476="",N(AO476)&lt;=0.000000001),0,IF(ISNUMBER(AU476),IFERROR(_xlfn.LET(_xlpm.ai_test,TRIM(AJ476),_xlpm.r,IFERROR(_xlfn.XLOOKUP(_xlpm.ai_test,$BJ$15:$BJ$62,ROW($BJ$15:$BJ$62),0,1),IFERROR(_xlfn.XLOOKUP(_xlpm.ai_test,$BK$15:$BK$62,ROW($BK$15:$BK$62),0,1),_xlfn.XLOOKUP(_xlpm.ai_test,$BL$15:$BL$62,ROW($BL$15:$BL$62),0,1))),_xlpm.p,_xlpm.r-MIN(ROW($BJ$15:$BJ$62))+1,_xlpm.f,INDEX($BM$15:$BM$62,_xlpm.p),_xlpm.u,INDEX($BN$15:$BN$62,_xlpm.p),_xlpm.s,INDEX($BP$15:$BP$62,_xlpm.p),_xlpm.q,N(AU476)/_xlpm.f,IF(_xlpm.q&gt;=_xlpm.s,ROUND(_xlpm.q,1)&amp;" "&amp;_xlpm.ai_test&amp;" = "&amp;ROUND(_xlpm.q*_xlpm.f,1)&amp;" "&amp;_xlpm.u,ROUND(_xlpm.q,1)&amp;" "&amp;_xlpm.ai_test)),""),""))))</f>
        <v>0</v>
      </c>
      <c r="AX476" s="6218"/>
      <c r="AY476" s="6271">
        <f t="shared" si="215"/>
        <v>0</v>
      </c>
      <c r="AZ476" s="6242" t="str">
        <f t="shared" si="216"/>
        <v/>
      </c>
      <c r="BA476" s="6194">
        <f t="shared" si="221"/>
        <v>0</v>
      </c>
      <c r="BB476" s="6192" t="str">
        <f t="shared" si="217"/>
        <v/>
      </c>
      <c r="BC476" s="6219"/>
      <c r="BD476" s="6221">
        <f t="shared" si="222"/>
        <v>0</v>
      </c>
      <c r="BE476" s="6220" t="str">
        <f t="shared" si="218"/>
        <v/>
      </c>
      <c r="BF476" s="4" t="s">
        <v>1</v>
      </c>
      <c r="BG476" s="6196">
        <f t="shared" si="219"/>
        <v>0</v>
      </c>
      <c r="BH476" s="6197">
        <f t="shared" si="220"/>
        <v>0</v>
      </c>
      <c r="BI476"/>
      <c r="BJ476" s="1"/>
      <c r="BK476" s="1"/>
      <c r="BL476" s="1"/>
      <c r="BM476" s="1"/>
      <c r="BN476" s="1"/>
      <c r="BO476" s="1"/>
      <c r="BP476" s="1"/>
      <c r="BQ476" s="1"/>
      <c r="BX476" s="20" t="str">
        <f t="shared" si="201"/>
        <v>►</v>
      </c>
      <c r="BY476" s="2"/>
      <c r="BZ476" s="2"/>
      <c r="CA476" s="2"/>
      <c r="CB476" s="2"/>
      <c r="CC476" s="2"/>
      <c r="DC476" s="5">
        <v>1</v>
      </c>
    </row>
    <row r="477" spans="12:107" ht="21" customHeight="1">
      <c r="L477" s="1021" t="s">
        <v>26</v>
      </c>
      <c r="M477" s="6787"/>
      <c r="N477" s="6787"/>
      <c r="O477" s="6787"/>
      <c r="P477" s="6788"/>
      <c r="Q477" s="6789"/>
      <c r="R477" s="6790"/>
      <c r="S477" s="6786"/>
      <c r="T477" s="6791"/>
      <c r="U477" s="6844"/>
      <c r="V477" s="6791"/>
      <c r="W477" s="6785"/>
      <c r="X477" s="6868"/>
      <c r="Y477" s="6793"/>
      <c r="Z477" s="6794"/>
      <c r="AA477" s="6795"/>
      <c r="AB477" s="6796"/>
      <c r="AC477" s="6797"/>
      <c r="AD477" s="6798"/>
      <c r="AE477" s="4" t="s">
        <v>1</v>
      </c>
      <c r="AF477" s="6202" t="str">
        <f t="shared" si="202"/>
        <v>►</v>
      </c>
      <c r="AG477" s="6234" t="str">
        <f t="shared" si="203"/>
        <v/>
      </c>
      <c r="AH477" s="6732" t="str">
        <f t="shared" si="204"/>
        <v/>
      </c>
      <c r="AI477" s="6234" t="str">
        <f t="shared" si="205"/>
        <v/>
      </c>
      <c r="AJ477" s="6732" t="str">
        <f t="shared" si="206"/>
        <v/>
      </c>
      <c r="AK477" s="6732">
        <f t="shared" si="207"/>
        <v>0</v>
      </c>
      <c r="AL477" s="6230" t="str" cm="1">
        <f t="array" ref="AL477">IF(AF477&lt;&gt;"A","",IFERROR((IFERROR(_xlfn.XLOOKUP(TRIM(SUBSTITUTE(U477,CHAR(160)," ")),$BJ$15:$BJ$62,$BM$15:$BM$62),IFERROR(_xlfn.XLOOKUP(TRIM(SUBSTITUTE(U477,CHAR(160)," ")),$BK$15:$BK$62,$BM$15:$BM$62),_xlfn.XLOOKUP(TRIM(SUBSTITUTE(U477,CHAR(160)," ")),$BL$15:$BL$62,$BM$15:$BM$62))))*T477*IF(ISBLANK(Q477),1,Q477)+IFERROR(_xlfn.XLOOKUP("RECHERCHEX",TRIM(L477:AD477),L477:AD477),0),0))</f>
        <v/>
      </c>
      <c r="AM477" s="6229">
        <f t="shared" si="208"/>
        <v>0</v>
      </c>
      <c r="AN477" s="6857" t="str">
        <f t="shared" si="200"/>
        <v/>
      </c>
      <c r="AO477" s="392">
        <f t="shared" si="209"/>
        <v>0</v>
      </c>
      <c r="AP477" s="392">
        <f t="shared" si="210"/>
        <v>0</v>
      </c>
      <c r="AQ477" s="6191">
        <f t="shared" si="211"/>
        <v>0</v>
      </c>
      <c r="AR477" s="6859" t="str">
        <f t="shared" si="212"/>
        <v/>
      </c>
      <c r="AS477" s="6217"/>
      <c r="AT477" s="6217"/>
      <c r="AU477" s="6272">
        <f t="shared" si="213"/>
        <v>0</v>
      </c>
      <c r="AV477" s="6240">
        <f t="shared" si="214"/>
        <v>0</v>
      </c>
      <c r="AW477" s="6189" cm="1">
        <f t="array" ref="AW477">IF(AK477&lt;&gt;1,0,IF(OR(AU477="",N(AU477)&lt;=0.000000001),"",IF(OR(AO477="",N(AO477)&lt;=0.000000001),0,IF(ISNUMBER(AU477),IFERROR(_xlfn.LET(_xlpm.ai_test,TRIM(AJ477),_xlpm.r,IFERROR(_xlfn.XLOOKUP(_xlpm.ai_test,$BJ$15:$BJ$62,ROW($BJ$15:$BJ$62),0,1),IFERROR(_xlfn.XLOOKUP(_xlpm.ai_test,$BK$15:$BK$62,ROW($BK$15:$BK$62),0,1),_xlfn.XLOOKUP(_xlpm.ai_test,$BL$15:$BL$62,ROW($BL$15:$BL$62),0,1))),_xlpm.p,_xlpm.r-MIN(ROW($BJ$15:$BJ$62))+1,_xlpm.f,INDEX($BM$15:$BM$62,_xlpm.p),_xlpm.u,INDEX($BN$15:$BN$62,_xlpm.p),_xlpm.s,INDEX($BP$15:$BP$62,_xlpm.p),_xlpm.q,N(AU477)/_xlpm.f,IF(_xlpm.q&gt;=_xlpm.s,ROUND(_xlpm.q,1)&amp;" "&amp;_xlpm.ai_test&amp;" = "&amp;ROUND(_xlpm.q*_xlpm.f,1)&amp;" "&amp;_xlpm.u,ROUND(_xlpm.q,1)&amp;" "&amp;_xlpm.ai_test)),""),""))))</f>
        <v>0</v>
      </c>
      <c r="AX477" s="6218"/>
      <c r="AY477" s="6272">
        <f t="shared" si="215"/>
        <v>0</v>
      </c>
      <c r="AZ477" s="6240" t="str">
        <f t="shared" si="216"/>
        <v/>
      </c>
      <c r="BA477" s="6195">
        <f t="shared" si="221"/>
        <v>0</v>
      </c>
      <c r="BB477" s="6193" t="str">
        <f t="shared" si="217"/>
        <v/>
      </c>
      <c r="BC477" s="6219"/>
      <c r="BD477" s="6222">
        <f t="shared" si="222"/>
        <v>0</v>
      </c>
      <c r="BE477" s="6220" t="str">
        <f t="shared" si="218"/>
        <v/>
      </c>
      <c r="BF477" s="4" t="s">
        <v>1</v>
      </c>
      <c r="BG477" s="6196">
        <f t="shared" si="219"/>
        <v>0</v>
      </c>
      <c r="BH477" s="6197">
        <f t="shared" si="220"/>
        <v>0</v>
      </c>
      <c r="BI477"/>
      <c r="BJ477" s="1"/>
      <c r="BK477" s="1"/>
      <c r="BL477" s="1"/>
      <c r="BM477" s="1"/>
      <c r="BN477" s="1"/>
      <c r="BO477" s="1"/>
      <c r="BP477" s="1"/>
      <c r="BQ477" s="1"/>
      <c r="BX477" s="20" t="str">
        <f t="shared" si="201"/>
        <v>►</v>
      </c>
      <c r="BY477" s="2"/>
      <c r="BZ477" s="2"/>
      <c r="CA477" s="2"/>
      <c r="CB477" s="2"/>
      <c r="CC477" s="2"/>
      <c r="DC477" s="5">
        <v>1</v>
      </c>
    </row>
    <row r="478" spans="12:107" ht="21" customHeight="1">
      <c r="L478" s="1021" t="s">
        <v>26</v>
      </c>
      <c r="M478" s="6787"/>
      <c r="N478" s="6787"/>
      <c r="O478" s="6787"/>
      <c r="P478" s="6788"/>
      <c r="Q478" s="6789"/>
      <c r="R478" s="6790"/>
      <c r="S478" s="6786"/>
      <c r="T478" s="6791"/>
      <c r="U478" s="6844"/>
      <c r="V478" s="6791"/>
      <c r="W478" s="6785"/>
      <c r="X478" s="6868"/>
      <c r="Y478" s="6793"/>
      <c r="Z478" s="6794"/>
      <c r="AA478" s="6795"/>
      <c r="AB478" s="6796"/>
      <c r="AC478" s="6797"/>
      <c r="AD478" s="6798"/>
      <c r="AE478" s="4" t="s">
        <v>1</v>
      </c>
      <c r="AF478" s="6202" t="str">
        <f t="shared" si="202"/>
        <v>►</v>
      </c>
      <c r="AG478" s="6234" t="str">
        <f t="shared" si="203"/>
        <v/>
      </c>
      <c r="AH478" s="6732" t="str">
        <f t="shared" si="204"/>
        <v/>
      </c>
      <c r="AI478" s="6234" t="str">
        <f t="shared" si="205"/>
        <v/>
      </c>
      <c r="AJ478" s="6732" t="str">
        <f t="shared" si="206"/>
        <v/>
      </c>
      <c r="AK478" s="6732">
        <f t="shared" si="207"/>
        <v>0</v>
      </c>
      <c r="AL478" s="6230" t="str" cm="1">
        <f t="array" ref="AL478">IF(AF478&lt;&gt;"A","",IFERROR((IFERROR(_xlfn.XLOOKUP(TRIM(SUBSTITUTE(U478,CHAR(160)," ")),$BJ$15:$BJ$62,$BM$15:$BM$62),IFERROR(_xlfn.XLOOKUP(TRIM(SUBSTITUTE(U478,CHAR(160)," ")),$BK$15:$BK$62,$BM$15:$BM$62),_xlfn.XLOOKUP(TRIM(SUBSTITUTE(U478,CHAR(160)," ")),$BL$15:$BL$62,$BM$15:$BM$62))))*T478*IF(ISBLANK(Q478),1,Q478)+IFERROR(_xlfn.XLOOKUP("RECHERCHEX",TRIM(L478:AD478),L478:AD478),0),0))</f>
        <v/>
      </c>
      <c r="AM478" s="6229">
        <f t="shared" si="208"/>
        <v>0</v>
      </c>
      <c r="AN478" s="6857" t="str">
        <f t="shared" ref="AN478:AN541" si="223">IF(AF478="A","❾ Author reference &gt;","")</f>
        <v/>
      </c>
      <c r="AO478" s="392">
        <f t="shared" si="209"/>
        <v>0</v>
      </c>
      <c r="AP478" s="392">
        <f t="shared" si="210"/>
        <v>0</v>
      </c>
      <c r="AQ478" s="6190">
        <f t="shared" si="211"/>
        <v>0</v>
      </c>
      <c r="AR478" s="6858" t="str">
        <f t="shared" si="212"/>
        <v/>
      </c>
      <c r="AS478" s="6217"/>
      <c r="AT478" s="6217"/>
      <c r="AU478" s="6271">
        <f t="shared" si="213"/>
        <v>0</v>
      </c>
      <c r="AV478" s="6242">
        <f t="shared" si="214"/>
        <v>0</v>
      </c>
      <c r="AW478" s="6188" cm="1">
        <f t="array" ref="AW478">IF(AK478&lt;&gt;1,0,IF(OR(AU478="",N(AU478)&lt;=0.000000001),"",IF(OR(AO478="",N(AO478)&lt;=0.000000001),0,IF(ISNUMBER(AU478),IFERROR(_xlfn.LET(_xlpm.ai_test,TRIM(AJ478),_xlpm.r,IFERROR(_xlfn.XLOOKUP(_xlpm.ai_test,$BJ$15:$BJ$62,ROW($BJ$15:$BJ$62),0,1),IFERROR(_xlfn.XLOOKUP(_xlpm.ai_test,$BK$15:$BK$62,ROW($BK$15:$BK$62),0,1),_xlfn.XLOOKUP(_xlpm.ai_test,$BL$15:$BL$62,ROW($BL$15:$BL$62),0,1))),_xlpm.p,_xlpm.r-MIN(ROW($BJ$15:$BJ$62))+1,_xlpm.f,INDEX($BM$15:$BM$62,_xlpm.p),_xlpm.u,INDEX($BN$15:$BN$62,_xlpm.p),_xlpm.s,INDEX($BP$15:$BP$62,_xlpm.p),_xlpm.q,N(AU478)/_xlpm.f,IF(_xlpm.q&gt;=_xlpm.s,ROUND(_xlpm.q,1)&amp;" "&amp;_xlpm.ai_test&amp;" = "&amp;ROUND(_xlpm.q*_xlpm.f,1)&amp;" "&amp;_xlpm.u,ROUND(_xlpm.q,1)&amp;" "&amp;_xlpm.ai_test)),""),""))))</f>
        <v>0</v>
      </c>
      <c r="AX478" s="6218"/>
      <c r="AY478" s="6271">
        <f t="shared" si="215"/>
        <v>0</v>
      </c>
      <c r="AZ478" s="6242" t="str">
        <f t="shared" si="216"/>
        <v/>
      </c>
      <c r="BA478" s="6194">
        <f t="shared" si="221"/>
        <v>0</v>
      </c>
      <c r="BB478" s="6192" t="str">
        <f t="shared" si="217"/>
        <v/>
      </c>
      <c r="BC478" s="6219"/>
      <c r="BD478" s="6221">
        <f t="shared" si="222"/>
        <v>0</v>
      </c>
      <c r="BE478" s="6220" t="str">
        <f t="shared" si="218"/>
        <v/>
      </c>
      <c r="BF478" s="4" t="s">
        <v>1</v>
      </c>
      <c r="BG478" s="6196">
        <f t="shared" si="219"/>
        <v>0</v>
      </c>
      <c r="BH478" s="6197">
        <f t="shared" si="220"/>
        <v>0</v>
      </c>
      <c r="BI478"/>
      <c r="BJ478" s="1"/>
      <c r="BK478" s="1"/>
      <c r="BL478" s="1"/>
      <c r="BM478" s="1"/>
      <c r="BN478" s="1"/>
      <c r="BO478" s="1"/>
      <c r="BP478" s="1"/>
      <c r="BQ478" s="1"/>
      <c r="BX478" s="20" t="str">
        <f t="shared" si="201"/>
        <v>►</v>
      </c>
      <c r="BY478" s="2"/>
      <c r="BZ478" s="2"/>
      <c r="CA478" s="2"/>
      <c r="CB478" s="2"/>
      <c r="CC478" s="2"/>
      <c r="DC478" s="5">
        <v>1</v>
      </c>
    </row>
    <row r="479" spans="12:107" ht="21" customHeight="1">
      <c r="L479" s="1021" t="s">
        <v>26</v>
      </c>
      <c r="M479" s="6787"/>
      <c r="N479" s="6787"/>
      <c r="O479" s="6787"/>
      <c r="P479" s="6788"/>
      <c r="Q479" s="6789"/>
      <c r="R479" s="6790"/>
      <c r="S479" s="6786"/>
      <c r="T479" s="6791"/>
      <c r="U479" s="6844"/>
      <c r="V479" s="6791"/>
      <c r="W479" s="6785"/>
      <c r="X479" s="6868"/>
      <c r="Y479" s="6793"/>
      <c r="Z479" s="6794"/>
      <c r="AA479" s="6795"/>
      <c r="AB479" s="6796"/>
      <c r="AC479" s="6797"/>
      <c r="AD479" s="6798"/>
      <c r="AE479" s="4" t="s">
        <v>1</v>
      </c>
      <c r="AF479" s="6202" t="str">
        <f t="shared" si="202"/>
        <v>►</v>
      </c>
      <c r="AG479" s="6234" t="str">
        <f t="shared" si="203"/>
        <v/>
      </c>
      <c r="AH479" s="6732" t="str">
        <f t="shared" si="204"/>
        <v/>
      </c>
      <c r="AI479" s="6234" t="str">
        <f t="shared" si="205"/>
        <v/>
      </c>
      <c r="AJ479" s="6732" t="str">
        <f t="shared" si="206"/>
        <v/>
      </c>
      <c r="AK479" s="6732">
        <f t="shared" si="207"/>
        <v>0</v>
      </c>
      <c r="AL479" s="6230" t="str" cm="1">
        <f t="array" ref="AL479">IF(AF479&lt;&gt;"A","",IFERROR((IFERROR(_xlfn.XLOOKUP(TRIM(SUBSTITUTE(U479,CHAR(160)," ")),$BJ$15:$BJ$62,$BM$15:$BM$62),IFERROR(_xlfn.XLOOKUP(TRIM(SUBSTITUTE(U479,CHAR(160)," ")),$BK$15:$BK$62,$BM$15:$BM$62),_xlfn.XLOOKUP(TRIM(SUBSTITUTE(U479,CHAR(160)," ")),$BL$15:$BL$62,$BM$15:$BM$62))))*T479*IF(ISBLANK(Q479),1,Q479)+IFERROR(_xlfn.XLOOKUP("RECHERCHEX",TRIM(L479:AD479),L479:AD479),0),0))</f>
        <v/>
      </c>
      <c r="AM479" s="6229">
        <f t="shared" si="208"/>
        <v>0</v>
      </c>
      <c r="AN479" s="6857" t="str">
        <f t="shared" si="223"/>
        <v/>
      </c>
      <c r="AO479" s="392">
        <f t="shared" si="209"/>
        <v>0</v>
      </c>
      <c r="AP479" s="392">
        <f t="shared" si="210"/>
        <v>0</v>
      </c>
      <c r="AQ479" s="6191">
        <f t="shared" si="211"/>
        <v>0</v>
      </c>
      <c r="AR479" s="6859" t="str">
        <f t="shared" si="212"/>
        <v/>
      </c>
      <c r="AS479" s="6217"/>
      <c r="AT479" s="6217"/>
      <c r="AU479" s="6272">
        <f t="shared" si="213"/>
        <v>0</v>
      </c>
      <c r="AV479" s="6240">
        <f t="shared" si="214"/>
        <v>0</v>
      </c>
      <c r="AW479" s="6189" cm="1">
        <f t="array" ref="AW479">IF(AK479&lt;&gt;1,0,IF(OR(AU479="",N(AU479)&lt;=0.000000001),"",IF(OR(AO479="",N(AO479)&lt;=0.000000001),0,IF(ISNUMBER(AU479),IFERROR(_xlfn.LET(_xlpm.ai_test,TRIM(AJ479),_xlpm.r,IFERROR(_xlfn.XLOOKUP(_xlpm.ai_test,$BJ$15:$BJ$62,ROW($BJ$15:$BJ$62),0,1),IFERROR(_xlfn.XLOOKUP(_xlpm.ai_test,$BK$15:$BK$62,ROW($BK$15:$BK$62),0,1),_xlfn.XLOOKUP(_xlpm.ai_test,$BL$15:$BL$62,ROW($BL$15:$BL$62),0,1))),_xlpm.p,_xlpm.r-MIN(ROW($BJ$15:$BJ$62))+1,_xlpm.f,INDEX($BM$15:$BM$62,_xlpm.p),_xlpm.u,INDEX($BN$15:$BN$62,_xlpm.p),_xlpm.s,INDEX($BP$15:$BP$62,_xlpm.p),_xlpm.q,N(AU479)/_xlpm.f,IF(_xlpm.q&gt;=_xlpm.s,ROUND(_xlpm.q,1)&amp;" "&amp;_xlpm.ai_test&amp;" = "&amp;ROUND(_xlpm.q*_xlpm.f,1)&amp;" "&amp;_xlpm.u,ROUND(_xlpm.q,1)&amp;" "&amp;_xlpm.ai_test)),""),""))))</f>
        <v>0</v>
      </c>
      <c r="AX479" s="6218"/>
      <c r="AY479" s="6272">
        <f t="shared" si="215"/>
        <v>0</v>
      </c>
      <c r="AZ479" s="6240" t="str">
        <f t="shared" si="216"/>
        <v/>
      </c>
      <c r="BA479" s="6195">
        <f t="shared" si="221"/>
        <v>0</v>
      </c>
      <c r="BB479" s="6193" t="str">
        <f t="shared" si="217"/>
        <v/>
      </c>
      <c r="BC479" s="6219"/>
      <c r="BD479" s="6222">
        <f t="shared" si="222"/>
        <v>0</v>
      </c>
      <c r="BE479" s="6220" t="str">
        <f t="shared" si="218"/>
        <v/>
      </c>
      <c r="BF479" s="4" t="s">
        <v>1</v>
      </c>
      <c r="BG479" s="6196">
        <f t="shared" si="219"/>
        <v>0</v>
      </c>
      <c r="BH479" s="6197">
        <f t="shared" si="220"/>
        <v>0</v>
      </c>
      <c r="BI479"/>
      <c r="BJ479" s="1"/>
      <c r="BK479" s="1"/>
      <c r="BL479" s="1"/>
      <c r="BM479" s="1"/>
      <c r="BN479" s="1"/>
      <c r="BO479" s="1"/>
      <c r="BP479" s="1"/>
      <c r="BQ479" s="1"/>
      <c r="BX479" s="20" t="str">
        <f t="shared" si="201"/>
        <v>►</v>
      </c>
      <c r="BY479" s="2"/>
      <c r="BZ479" s="2"/>
      <c r="CA479" s="2"/>
      <c r="CB479" s="2"/>
      <c r="CC479" s="2"/>
      <c r="DC479" s="5">
        <v>1</v>
      </c>
    </row>
    <row r="480" spans="12:107" ht="21" customHeight="1">
      <c r="L480" s="1021" t="s">
        <v>26</v>
      </c>
      <c r="M480" s="6787"/>
      <c r="N480" s="6787"/>
      <c r="O480" s="6787"/>
      <c r="P480" s="6788"/>
      <c r="Q480" s="6789"/>
      <c r="R480" s="6790"/>
      <c r="S480" s="6786"/>
      <c r="T480" s="6791"/>
      <c r="U480" s="6844"/>
      <c r="V480" s="6791"/>
      <c r="W480" s="6785"/>
      <c r="X480" s="6868"/>
      <c r="Y480" s="6793"/>
      <c r="Z480" s="6794"/>
      <c r="AA480" s="6795"/>
      <c r="AB480" s="6796"/>
      <c r="AC480" s="6797"/>
      <c r="AD480" s="6798"/>
      <c r="AE480" s="4" t="s">
        <v>1</v>
      </c>
      <c r="AF480" s="6202" t="str">
        <f t="shared" si="202"/>
        <v>►</v>
      </c>
      <c r="AG480" s="6234" t="str">
        <f t="shared" si="203"/>
        <v/>
      </c>
      <c r="AH480" s="6732" t="str">
        <f t="shared" si="204"/>
        <v/>
      </c>
      <c r="AI480" s="6234" t="str">
        <f t="shared" si="205"/>
        <v/>
      </c>
      <c r="AJ480" s="6732" t="str">
        <f t="shared" si="206"/>
        <v/>
      </c>
      <c r="AK480" s="6732">
        <f t="shared" si="207"/>
        <v>0</v>
      </c>
      <c r="AL480" s="6230" t="str" cm="1">
        <f t="array" ref="AL480">IF(AF480&lt;&gt;"A","",IFERROR((IFERROR(_xlfn.XLOOKUP(TRIM(SUBSTITUTE(U480,CHAR(160)," ")),$BJ$15:$BJ$62,$BM$15:$BM$62),IFERROR(_xlfn.XLOOKUP(TRIM(SUBSTITUTE(U480,CHAR(160)," ")),$BK$15:$BK$62,$BM$15:$BM$62),_xlfn.XLOOKUP(TRIM(SUBSTITUTE(U480,CHAR(160)," ")),$BL$15:$BL$62,$BM$15:$BM$62))))*T480*IF(ISBLANK(Q480),1,Q480)+IFERROR(_xlfn.XLOOKUP("RECHERCHEX",TRIM(L480:AD480),L480:AD480),0),0))</f>
        <v/>
      </c>
      <c r="AM480" s="6229">
        <f t="shared" si="208"/>
        <v>0</v>
      </c>
      <c r="AN480" s="6857" t="str">
        <f t="shared" si="223"/>
        <v/>
      </c>
      <c r="AO480" s="392">
        <f t="shared" si="209"/>
        <v>0</v>
      </c>
      <c r="AP480" s="392">
        <f t="shared" si="210"/>
        <v>0</v>
      </c>
      <c r="AQ480" s="6190">
        <f t="shared" si="211"/>
        <v>0</v>
      </c>
      <c r="AR480" s="6858" t="str">
        <f t="shared" si="212"/>
        <v/>
      </c>
      <c r="AS480" s="6217"/>
      <c r="AT480" s="6217"/>
      <c r="AU480" s="6271">
        <f t="shared" si="213"/>
        <v>0</v>
      </c>
      <c r="AV480" s="6242">
        <f t="shared" si="214"/>
        <v>0</v>
      </c>
      <c r="AW480" s="6188" cm="1">
        <f t="array" ref="AW480">IF(AK480&lt;&gt;1,0,IF(OR(AU480="",N(AU480)&lt;=0.000000001),"",IF(OR(AO480="",N(AO480)&lt;=0.000000001),0,IF(ISNUMBER(AU480),IFERROR(_xlfn.LET(_xlpm.ai_test,TRIM(AJ480),_xlpm.r,IFERROR(_xlfn.XLOOKUP(_xlpm.ai_test,$BJ$15:$BJ$62,ROW($BJ$15:$BJ$62),0,1),IFERROR(_xlfn.XLOOKUP(_xlpm.ai_test,$BK$15:$BK$62,ROW($BK$15:$BK$62),0,1),_xlfn.XLOOKUP(_xlpm.ai_test,$BL$15:$BL$62,ROW($BL$15:$BL$62),0,1))),_xlpm.p,_xlpm.r-MIN(ROW($BJ$15:$BJ$62))+1,_xlpm.f,INDEX($BM$15:$BM$62,_xlpm.p),_xlpm.u,INDEX($BN$15:$BN$62,_xlpm.p),_xlpm.s,INDEX($BP$15:$BP$62,_xlpm.p),_xlpm.q,N(AU480)/_xlpm.f,IF(_xlpm.q&gt;=_xlpm.s,ROUND(_xlpm.q,1)&amp;" "&amp;_xlpm.ai_test&amp;" = "&amp;ROUND(_xlpm.q*_xlpm.f,1)&amp;" "&amp;_xlpm.u,ROUND(_xlpm.q,1)&amp;" "&amp;_xlpm.ai_test)),""),""))))</f>
        <v>0</v>
      </c>
      <c r="AX480" s="6218"/>
      <c r="AY480" s="6271">
        <f t="shared" si="215"/>
        <v>0</v>
      </c>
      <c r="AZ480" s="6242" t="str">
        <f t="shared" si="216"/>
        <v/>
      </c>
      <c r="BA480" s="6194">
        <f t="shared" si="221"/>
        <v>0</v>
      </c>
      <c r="BB480" s="6192" t="str">
        <f t="shared" si="217"/>
        <v/>
      </c>
      <c r="BC480" s="6219"/>
      <c r="BD480" s="6221">
        <f t="shared" si="222"/>
        <v>0</v>
      </c>
      <c r="BE480" s="6220" t="str">
        <f t="shared" si="218"/>
        <v/>
      </c>
      <c r="BF480" s="4" t="s">
        <v>1</v>
      </c>
      <c r="BG480" s="6196">
        <f t="shared" si="219"/>
        <v>0</v>
      </c>
      <c r="BH480" s="6197">
        <f t="shared" si="220"/>
        <v>0</v>
      </c>
      <c r="BI480"/>
      <c r="BJ480" s="1"/>
      <c r="BK480" s="1"/>
      <c r="BL480" s="1"/>
      <c r="BM480" s="1"/>
      <c r="BN480" s="1"/>
      <c r="BO480" s="1"/>
      <c r="BP480" s="1"/>
      <c r="BQ480" s="1"/>
      <c r="BX480" s="20" t="str">
        <f t="shared" si="201"/>
        <v>►</v>
      </c>
      <c r="BY480" s="2"/>
      <c r="BZ480" s="2"/>
      <c r="CA480" s="2"/>
      <c r="CB480" s="2"/>
      <c r="CC480" s="2"/>
      <c r="DC480" s="5">
        <v>1</v>
      </c>
    </row>
    <row r="481" spans="12:107" ht="21" customHeight="1">
      <c r="L481" s="1021" t="s">
        <v>26</v>
      </c>
      <c r="M481" s="6787"/>
      <c r="N481" s="6787"/>
      <c r="O481" s="6787"/>
      <c r="P481" s="6788"/>
      <c r="Q481" s="6789"/>
      <c r="R481" s="6790"/>
      <c r="S481" s="6786"/>
      <c r="T481" s="6791"/>
      <c r="U481" s="6844"/>
      <c r="V481" s="6791"/>
      <c r="W481" s="6785"/>
      <c r="X481" s="6868"/>
      <c r="Y481" s="6793"/>
      <c r="Z481" s="6794"/>
      <c r="AA481" s="6795"/>
      <c r="AB481" s="6796"/>
      <c r="AC481" s="6797"/>
      <c r="AD481" s="6798"/>
      <c r="AE481" s="4" t="s">
        <v>1</v>
      </c>
      <c r="AF481" s="6202" t="str">
        <f t="shared" si="202"/>
        <v>►</v>
      </c>
      <c r="AG481" s="6234" t="str">
        <f t="shared" si="203"/>
        <v/>
      </c>
      <c r="AH481" s="6732" t="str">
        <f t="shared" si="204"/>
        <v/>
      </c>
      <c r="AI481" s="6234" t="str">
        <f t="shared" si="205"/>
        <v/>
      </c>
      <c r="AJ481" s="6732" t="str">
        <f t="shared" si="206"/>
        <v/>
      </c>
      <c r="AK481" s="6732">
        <f t="shared" si="207"/>
        <v>0</v>
      </c>
      <c r="AL481" s="6230" t="str" cm="1">
        <f t="array" ref="AL481">IF(AF481&lt;&gt;"A","",IFERROR((IFERROR(_xlfn.XLOOKUP(TRIM(SUBSTITUTE(U481,CHAR(160)," ")),$BJ$15:$BJ$62,$BM$15:$BM$62),IFERROR(_xlfn.XLOOKUP(TRIM(SUBSTITUTE(U481,CHAR(160)," ")),$BK$15:$BK$62,$BM$15:$BM$62),_xlfn.XLOOKUP(TRIM(SUBSTITUTE(U481,CHAR(160)," ")),$BL$15:$BL$62,$BM$15:$BM$62))))*T481*IF(ISBLANK(Q481),1,Q481)+IFERROR(_xlfn.XLOOKUP("RECHERCHEX",TRIM(L481:AD481),L481:AD481),0),0))</f>
        <v/>
      </c>
      <c r="AM481" s="6229">
        <f t="shared" si="208"/>
        <v>0</v>
      </c>
      <c r="AN481" s="6857" t="str">
        <f t="shared" si="223"/>
        <v/>
      </c>
      <c r="AO481" s="392">
        <f t="shared" si="209"/>
        <v>0</v>
      </c>
      <c r="AP481" s="392">
        <f t="shared" si="210"/>
        <v>0</v>
      </c>
      <c r="AQ481" s="6191">
        <f t="shared" si="211"/>
        <v>0</v>
      </c>
      <c r="AR481" s="6859" t="str">
        <f t="shared" si="212"/>
        <v/>
      </c>
      <c r="AS481" s="6217"/>
      <c r="AT481" s="6217"/>
      <c r="AU481" s="6272">
        <f t="shared" si="213"/>
        <v>0</v>
      </c>
      <c r="AV481" s="6240">
        <f t="shared" si="214"/>
        <v>0</v>
      </c>
      <c r="AW481" s="6189" cm="1">
        <f t="array" ref="AW481">IF(AK481&lt;&gt;1,0,IF(OR(AU481="",N(AU481)&lt;=0.000000001),"",IF(OR(AO481="",N(AO481)&lt;=0.000000001),0,IF(ISNUMBER(AU481),IFERROR(_xlfn.LET(_xlpm.ai_test,TRIM(AJ481),_xlpm.r,IFERROR(_xlfn.XLOOKUP(_xlpm.ai_test,$BJ$15:$BJ$62,ROW($BJ$15:$BJ$62),0,1),IFERROR(_xlfn.XLOOKUP(_xlpm.ai_test,$BK$15:$BK$62,ROW($BK$15:$BK$62),0,1),_xlfn.XLOOKUP(_xlpm.ai_test,$BL$15:$BL$62,ROW($BL$15:$BL$62),0,1))),_xlpm.p,_xlpm.r-MIN(ROW($BJ$15:$BJ$62))+1,_xlpm.f,INDEX($BM$15:$BM$62,_xlpm.p),_xlpm.u,INDEX($BN$15:$BN$62,_xlpm.p),_xlpm.s,INDEX($BP$15:$BP$62,_xlpm.p),_xlpm.q,N(AU481)/_xlpm.f,IF(_xlpm.q&gt;=_xlpm.s,ROUND(_xlpm.q,1)&amp;" "&amp;_xlpm.ai_test&amp;" = "&amp;ROUND(_xlpm.q*_xlpm.f,1)&amp;" "&amp;_xlpm.u,ROUND(_xlpm.q,1)&amp;" "&amp;_xlpm.ai_test)),""),""))))</f>
        <v>0</v>
      </c>
      <c r="AX481" s="6218"/>
      <c r="AY481" s="6272">
        <f t="shared" si="215"/>
        <v>0</v>
      </c>
      <c r="AZ481" s="6240" t="str">
        <f t="shared" si="216"/>
        <v/>
      </c>
      <c r="BA481" s="6195">
        <f t="shared" si="221"/>
        <v>0</v>
      </c>
      <c r="BB481" s="6193" t="str">
        <f t="shared" si="217"/>
        <v/>
      </c>
      <c r="BC481" s="6219"/>
      <c r="BD481" s="6222">
        <f t="shared" si="222"/>
        <v>0</v>
      </c>
      <c r="BE481" s="6220" t="str">
        <f t="shared" si="218"/>
        <v/>
      </c>
      <c r="BF481" s="4" t="s">
        <v>1</v>
      </c>
      <c r="BG481" s="6196">
        <f t="shared" si="219"/>
        <v>0</v>
      </c>
      <c r="BH481" s="6197">
        <f t="shared" si="220"/>
        <v>0</v>
      </c>
      <c r="BI481"/>
      <c r="BJ481" s="1"/>
      <c r="BK481" s="1"/>
      <c r="BL481" s="1"/>
      <c r="BM481" s="1"/>
      <c r="BN481" s="1"/>
      <c r="BO481" s="1"/>
      <c r="BP481" s="1"/>
      <c r="BQ481" s="1"/>
      <c r="BX481" s="20" t="str">
        <f t="shared" si="201"/>
        <v>►</v>
      </c>
      <c r="BY481" s="2"/>
      <c r="BZ481" s="2"/>
      <c r="CA481" s="2"/>
      <c r="CB481" s="2"/>
      <c r="CC481" s="2"/>
      <c r="DC481" s="5">
        <v>1</v>
      </c>
    </row>
    <row r="482" spans="12:107" ht="21" customHeight="1">
      <c r="L482" s="1021" t="s">
        <v>26</v>
      </c>
      <c r="M482" s="6787"/>
      <c r="N482" s="6787"/>
      <c r="O482" s="6787"/>
      <c r="P482" s="6788"/>
      <c r="Q482" s="6789"/>
      <c r="R482" s="6790"/>
      <c r="S482" s="6786"/>
      <c r="T482" s="6791"/>
      <c r="U482" s="6844"/>
      <c r="V482" s="6791"/>
      <c r="W482" s="6785"/>
      <c r="X482" s="6868"/>
      <c r="Y482" s="6793"/>
      <c r="Z482" s="6794"/>
      <c r="AA482" s="6795"/>
      <c r="AB482" s="6796"/>
      <c r="AC482" s="6797"/>
      <c r="AD482" s="6798"/>
      <c r="AE482" s="4" t="s">
        <v>1</v>
      </c>
      <c r="AF482" s="6202" t="str">
        <f t="shared" si="202"/>
        <v>►</v>
      </c>
      <c r="AG482" s="6234" t="str">
        <f t="shared" si="203"/>
        <v/>
      </c>
      <c r="AH482" s="6732" t="str">
        <f t="shared" si="204"/>
        <v/>
      </c>
      <c r="AI482" s="6234" t="str">
        <f t="shared" si="205"/>
        <v/>
      </c>
      <c r="AJ482" s="6732" t="str">
        <f t="shared" si="206"/>
        <v/>
      </c>
      <c r="AK482" s="6732">
        <f t="shared" si="207"/>
        <v>0</v>
      </c>
      <c r="AL482" s="6230" t="str" cm="1">
        <f t="array" ref="AL482">IF(AF482&lt;&gt;"A","",IFERROR((IFERROR(_xlfn.XLOOKUP(TRIM(SUBSTITUTE(U482,CHAR(160)," ")),$BJ$15:$BJ$62,$BM$15:$BM$62),IFERROR(_xlfn.XLOOKUP(TRIM(SUBSTITUTE(U482,CHAR(160)," ")),$BK$15:$BK$62,$BM$15:$BM$62),_xlfn.XLOOKUP(TRIM(SUBSTITUTE(U482,CHAR(160)," ")),$BL$15:$BL$62,$BM$15:$BM$62))))*T482*IF(ISBLANK(Q482),1,Q482)+IFERROR(_xlfn.XLOOKUP("RECHERCHEX",TRIM(L482:AD482),L482:AD482),0),0))</f>
        <v/>
      </c>
      <c r="AM482" s="6229">
        <f t="shared" si="208"/>
        <v>0</v>
      </c>
      <c r="AN482" s="6857" t="str">
        <f t="shared" si="223"/>
        <v/>
      </c>
      <c r="AO482" s="392">
        <f t="shared" si="209"/>
        <v>0</v>
      </c>
      <c r="AP482" s="392">
        <f t="shared" si="210"/>
        <v>0</v>
      </c>
      <c r="AQ482" s="6190">
        <f t="shared" si="211"/>
        <v>0</v>
      </c>
      <c r="AR482" s="6858" t="str">
        <f t="shared" si="212"/>
        <v/>
      </c>
      <c r="AS482" s="6217"/>
      <c r="AT482" s="6217"/>
      <c r="AU482" s="6271">
        <f t="shared" si="213"/>
        <v>0</v>
      </c>
      <c r="AV482" s="6242">
        <f t="shared" si="214"/>
        <v>0</v>
      </c>
      <c r="AW482" s="6188" cm="1">
        <f t="array" ref="AW482">IF(AK482&lt;&gt;1,0,IF(OR(AU482="",N(AU482)&lt;=0.000000001),"",IF(OR(AO482="",N(AO482)&lt;=0.000000001),0,IF(ISNUMBER(AU482),IFERROR(_xlfn.LET(_xlpm.ai_test,TRIM(AJ482),_xlpm.r,IFERROR(_xlfn.XLOOKUP(_xlpm.ai_test,$BJ$15:$BJ$62,ROW($BJ$15:$BJ$62),0,1),IFERROR(_xlfn.XLOOKUP(_xlpm.ai_test,$BK$15:$BK$62,ROW($BK$15:$BK$62),0,1),_xlfn.XLOOKUP(_xlpm.ai_test,$BL$15:$BL$62,ROW($BL$15:$BL$62),0,1))),_xlpm.p,_xlpm.r-MIN(ROW($BJ$15:$BJ$62))+1,_xlpm.f,INDEX($BM$15:$BM$62,_xlpm.p),_xlpm.u,INDEX($BN$15:$BN$62,_xlpm.p),_xlpm.s,INDEX($BP$15:$BP$62,_xlpm.p),_xlpm.q,N(AU482)/_xlpm.f,IF(_xlpm.q&gt;=_xlpm.s,ROUND(_xlpm.q,1)&amp;" "&amp;_xlpm.ai_test&amp;" = "&amp;ROUND(_xlpm.q*_xlpm.f,1)&amp;" "&amp;_xlpm.u,ROUND(_xlpm.q,1)&amp;" "&amp;_xlpm.ai_test)),""),""))))</f>
        <v>0</v>
      </c>
      <c r="AX482" s="6218"/>
      <c r="AY482" s="6271">
        <f t="shared" si="215"/>
        <v>0</v>
      </c>
      <c r="AZ482" s="6242" t="str">
        <f t="shared" si="216"/>
        <v/>
      </c>
      <c r="BA482" s="6194">
        <f t="shared" si="221"/>
        <v>0</v>
      </c>
      <c r="BB482" s="6192" t="str">
        <f t="shared" si="217"/>
        <v/>
      </c>
      <c r="BC482" s="6219"/>
      <c r="BD482" s="6221">
        <f t="shared" si="222"/>
        <v>0</v>
      </c>
      <c r="BE482" s="6220" t="str">
        <f t="shared" si="218"/>
        <v/>
      </c>
      <c r="BF482" s="4" t="s">
        <v>1</v>
      </c>
      <c r="BG482" s="6196">
        <f t="shared" si="219"/>
        <v>0</v>
      </c>
      <c r="BH482" s="6197">
        <f t="shared" si="220"/>
        <v>0</v>
      </c>
      <c r="BI482"/>
      <c r="BJ482" s="1"/>
      <c r="BK482" s="1"/>
      <c r="BL482" s="1"/>
      <c r="BM482" s="1"/>
      <c r="BN482" s="1"/>
      <c r="BO482" s="1"/>
      <c r="BP482" s="1"/>
      <c r="BQ482" s="1"/>
      <c r="BX482" s="20" t="str">
        <f t="shared" si="201"/>
        <v>►</v>
      </c>
      <c r="BY482" s="2"/>
      <c r="BZ482" s="2"/>
      <c r="CA482" s="2"/>
      <c r="CB482" s="2"/>
      <c r="CC482" s="2"/>
      <c r="DC482" s="5">
        <v>1</v>
      </c>
    </row>
    <row r="483" spans="12:107" ht="21" customHeight="1">
      <c r="L483" s="1021" t="s">
        <v>26</v>
      </c>
      <c r="M483" s="6787"/>
      <c r="N483" s="6787"/>
      <c r="O483" s="6787"/>
      <c r="P483" s="6788"/>
      <c r="Q483" s="6789"/>
      <c r="R483" s="6790"/>
      <c r="S483" s="6786"/>
      <c r="T483" s="6791"/>
      <c r="U483" s="6844"/>
      <c r="V483" s="6791"/>
      <c r="W483" s="6785"/>
      <c r="X483" s="6868"/>
      <c r="Y483" s="6793"/>
      <c r="Z483" s="6794"/>
      <c r="AA483" s="6795"/>
      <c r="AB483" s="6796"/>
      <c r="AC483" s="6797"/>
      <c r="AD483" s="6798"/>
      <c r="AE483" s="4" t="s">
        <v>1</v>
      </c>
      <c r="AF483" s="6202" t="str">
        <f t="shared" si="202"/>
        <v>►</v>
      </c>
      <c r="AG483" s="6234" t="str">
        <f t="shared" si="203"/>
        <v/>
      </c>
      <c r="AH483" s="6732" t="str">
        <f t="shared" si="204"/>
        <v/>
      </c>
      <c r="AI483" s="6234" t="str">
        <f t="shared" si="205"/>
        <v/>
      </c>
      <c r="AJ483" s="6732" t="str">
        <f t="shared" si="206"/>
        <v/>
      </c>
      <c r="AK483" s="6732">
        <f t="shared" si="207"/>
        <v>0</v>
      </c>
      <c r="AL483" s="6230" t="str" cm="1">
        <f t="array" ref="AL483">IF(AF483&lt;&gt;"A","",IFERROR((IFERROR(_xlfn.XLOOKUP(TRIM(SUBSTITUTE(U483,CHAR(160)," ")),$BJ$15:$BJ$62,$BM$15:$BM$62),IFERROR(_xlfn.XLOOKUP(TRIM(SUBSTITUTE(U483,CHAR(160)," ")),$BK$15:$BK$62,$BM$15:$BM$62),_xlfn.XLOOKUP(TRIM(SUBSTITUTE(U483,CHAR(160)," ")),$BL$15:$BL$62,$BM$15:$BM$62))))*T483*IF(ISBLANK(Q483),1,Q483)+IFERROR(_xlfn.XLOOKUP("RECHERCHEX",TRIM(L483:AD483),L483:AD483),0),0))</f>
        <v/>
      </c>
      <c r="AM483" s="6229">
        <f t="shared" si="208"/>
        <v>0</v>
      </c>
      <c r="AN483" s="6857" t="str">
        <f t="shared" si="223"/>
        <v/>
      </c>
      <c r="AO483" s="392">
        <f t="shared" si="209"/>
        <v>0</v>
      </c>
      <c r="AP483" s="392">
        <f t="shared" si="210"/>
        <v>0</v>
      </c>
      <c r="AQ483" s="6191">
        <f t="shared" si="211"/>
        <v>0</v>
      </c>
      <c r="AR483" s="6859" t="str">
        <f t="shared" si="212"/>
        <v/>
      </c>
      <c r="AS483" s="6217"/>
      <c r="AT483" s="6217"/>
      <c r="AU483" s="6272">
        <f t="shared" si="213"/>
        <v>0</v>
      </c>
      <c r="AV483" s="6240">
        <f t="shared" si="214"/>
        <v>0</v>
      </c>
      <c r="AW483" s="6189" cm="1">
        <f t="array" ref="AW483">IF(AK483&lt;&gt;1,0,IF(OR(AU483="",N(AU483)&lt;=0.000000001),"",IF(OR(AO483="",N(AO483)&lt;=0.000000001),0,IF(ISNUMBER(AU483),IFERROR(_xlfn.LET(_xlpm.ai_test,TRIM(AJ483),_xlpm.r,IFERROR(_xlfn.XLOOKUP(_xlpm.ai_test,$BJ$15:$BJ$62,ROW($BJ$15:$BJ$62),0,1),IFERROR(_xlfn.XLOOKUP(_xlpm.ai_test,$BK$15:$BK$62,ROW($BK$15:$BK$62),0,1),_xlfn.XLOOKUP(_xlpm.ai_test,$BL$15:$BL$62,ROW($BL$15:$BL$62),0,1))),_xlpm.p,_xlpm.r-MIN(ROW($BJ$15:$BJ$62))+1,_xlpm.f,INDEX($BM$15:$BM$62,_xlpm.p),_xlpm.u,INDEX($BN$15:$BN$62,_xlpm.p),_xlpm.s,INDEX($BP$15:$BP$62,_xlpm.p),_xlpm.q,N(AU483)/_xlpm.f,IF(_xlpm.q&gt;=_xlpm.s,ROUND(_xlpm.q,1)&amp;" "&amp;_xlpm.ai_test&amp;" = "&amp;ROUND(_xlpm.q*_xlpm.f,1)&amp;" "&amp;_xlpm.u,ROUND(_xlpm.q,1)&amp;" "&amp;_xlpm.ai_test)),""),""))))</f>
        <v>0</v>
      </c>
      <c r="AX483" s="6218"/>
      <c r="AY483" s="6272">
        <f t="shared" si="215"/>
        <v>0</v>
      </c>
      <c r="AZ483" s="6240" t="str">
        <f t="shared" si="216"/>
        <v/>
      </c>
      <c r="BA483" s="6195">
        <f t="shared" si="221"/>
        <v>0</v>
      </c>
      <c r="BB483" s="6193" t="str">
        <f t="shared" si="217"/>
        <v/>
      </c>
      <c r="BC483" s="6219"/>
      <c r="BD483" s="6222">
        <f t="shared" si="222"/>
        <v>0</v>
      </c>
      <c r="BE483" s="6220" t="str">
        <f t="shared" si="218"/>
        <v/>
      </c>
      <c r="BF483" s="4" t="s">
        <v>1</v>
      </c>
      <c r="BG483" s="6196">
        <f t="shared" si="219"/>
        <v>0</v>
      </c>
      <c r="BH483" s="6197">
        <f t="shared" si="220"/>
        <v>0</v>
      </c>
      <c r="BI483"/>
      <c r="BJ483" s="1"/>
      <c r="BK483" s="1"/>
      <c r="BL483" s="1"/>
      <c r="BM483" s="1"/>
      <c r="BN483" s="1"/>
      <c r="BO483" s="1"/>
      <c r="BP483" s="1"/>
      <c r="BQ483" s="1"/>
      <c r="BX483" s="20" t="str">
        <f t="shared" si="201"/>
        <v>►</v>
      </c>
      <c r="BY483" s="2"/>
      <c r="BZ483" s="2"/>
      <c r="CA483" s="2"/>
      <c r="CB483" s="2"/>
      <c r="CC483" s="2"/>
      <c r="DC483" s="5">
        <v>1</v>
      </c>
    </row>
    <row r="484" spans="12:107" ht="21" customHeight="1">
      <c r="L484" s="1021" t="s">
        <v>26</v>
      </c>
      <c r="M484" s="6787"/>
      <c r="N484" s="6787"/>
      <c r="O484" s="6787"/>
      <c r="P484" s="6788"/>
      <c r="Q484" s="6789"/>
      <c r="R484" s="6790"/>
      <c r="S484" s="6786"/>
      <c r="T484" s="6791"/>
      <c r="U484" s="6844"/>
      <c r="V484" s="6791"/>
      <c r="W484" s="6785"/>
      <c r="X484" s="6868"/>
      <c r="Y484" s="6793"/>
      <c r="Z484" s="6794"/>
      <c r="AA484" s="6795"/>
      <c r="AB484" s="6796"/>
      <c r="AC484" s="6797"/>
      <c r="AD484" s="6798"/>
      <c r="AE484" s="4" t="s">
        <v>1</v>
      </c>
      <c r="AF484" s="6202" t="str">
        <f t="shared" si="202"/>
        <v>►</v>
      </c>
      <c r="AG484" s="6234" t="str">
        <f t="shared" si="203"/>
        <v/>
      </c>
      <c r="AH484" s="6732" t="str">
        <f t="shared" si="204"/>
        <v/>
      </c>
      <c r="AI484" s="6234" t="str">
        <f t="shared" si="205"/>
        <v/>
      </c>
      <c r="AJ484" s="6732" t="str">
        <f t="shared" si="206"/>
        <v/>
      </c>
      <c r="AK484" s="6732">
        <f t="shared" si="207"/>
        <v>0</v>
      </c>
      <c r="AL484" s="6230" t="str" cm="1">
        <f t="array" ref="AL484">IF(AF484&lt;&gt;"A","",IFERROR((IFERROR(_xlfn.XLOOKUP(TRIM(SUBSTITUTE(U484,CHAR(160)," ")),$BJ$15:$BJ$62,$BM$15:$BM$62),IFERROR(_xlfn.XLOOKUP(TRIM(SUBSTITUTE(U484,CHAR(160)," ")),$BK$15:$BK$62,$BM$15:$BM$62),_xlfn.XLOOKUP(TRIM(SUBSTITUTE(U484,CHAR(160)," ")),$BL$15:$BL$62,$BM$15:$BM$62))))*T484*IF(ISBLANK(Q484),1,Q484)+IFERROR(_xlfn.XLOOKUP("RECHERCHEX",TRIM(L484:AD484),L484:AD484),0),0))</f>
        <v/>
      </c>
      <c r="AM484" s="6229">
        <f t="shared" si="208"/>
        <v>0</v>
      </c>
      <c r="AN484" s="6857" t="str">
        <f t="shared" si="223"/>
        <v/>
      </c>
      <c r="AO484" s="392">
        <f t="shared" si="209"/>
        <v>0</v>
      </c>
      <c r="AP484" s="392">
        <f t="shared" si="210"/>
        <v>0</v>
      </c>
      <c r="AQ484" s="6190">
        <f t="shared" si="211"/>
        <v>0</v>
      </c>
      <c r="AR484" s="6858" t="str">
        <f t="shared" si="212"/>
        <v/>
      </c>
      <c r="AS484" s="6217"/>
      <c r="AT484" s="6217"/>
      <c r="AU484" s="6271">
        <f t="shared" si="213"/>
        <v>0</v>
      </c>
      <c r="AV484" s="6242">
        <f t="shared" si="214"/>
        <v>0</v>
      </c>
      <c r="AW484" s="6188" cm="1">
        <f t="array" ref="AW484">IF(AK484&lt;&gt;1,0,IF(OR(AU484="",N(AU484)&lt;=0.000000001),"",IF(OR(AO484="",N(AO484)&lt;=0.000000001),0,IF(ISNUMBER(AU484),IFERROR(_xlfn.LET(_xlpm.ai_test,TRIM(AJ484),_xlpm.r,IFERROR(_xlfn.XLOOKUP(_xlpm.ai_test,$BJ$15:$BJ$62,ROW($BJ$15:$BJ$62),0,1),IFERROR(_xlfn.XLOOKUP(_xlpm.ai_test,$BK$15:$BK$62,ROW($BK$15:$BK$62),0,1),_xlfn.XLOOKUP(_xlpm.ai_test,$BL$15:$BL$62,ROW($BL$15:$BL$62),0,1))),_xlpm.p,_xlpm.r-MIN(ROW($BJ$15:$BJ$62))+1,_xlpm.f,INDEX($BM$15:$BM$62,_xlpm.p),_xlpm.u,INDEX($BN$15:$BN$62,_xlpm.p),_xlpm.s,INDEX($BP$15:$BP$62,_xlpm.p),_xlpm.q,N(AU484)/_xlpm.f,IF(_xlpm.q&gt;=_xlpm.s,ROUND(_xlpm.q,1)&amp;" "&amp;_xlpm.ai_test&amp;" = "&amp;ROUND(_xlpm.q*_xlpm.f,1)&amp;" "&amp;_xlpm.u,ROUND(_xlpm.q,1)&amp;" "&amp;_xlpm.ai_test)),""),""))))</f>
        <v>0</v>
      </c>
      <c r="AX484" s="6218"/>
      <c r="AY484" s="6271">
        <f t="shared" si="215"/>
        <v>0</v>
      </c>
      <c r="AZ484" s="6242" t="str">
        <f t="shared" si="216"/>
        <v/>
      </c>
      <c r="BA484" s="6194">
        <f t="shared" si="221"/>
        <v>0</v>
      </c>
      <c r="BB484" s="6192" t="str">
        <f t="shared" si="217"/>
        <v/>
      </c>
      <c r="BC484" s="6219"/>
      <c r="BD484" s="6221">
        <f t="shared" si="222"/>
        <v>0</v>
      </c>
      <c r="BE484" s="6220" t="str">
        <f t="shared" si="218"/>
        <v/>
      </c>
      <c r="BF484" s="4" t="s">
        <v>1</v>
      </c>
      <c r="BG484" s="6196">
        <f t="shared" si="219"/>
        <v>0</v>
      </c>
      <c r="BH484" s="6197">
        <f t="shared" si="220"/>
        <v>0</v>
      </c>
      <c r="BI484"/>
      <c r="BJ484" s="1"/>
      <c r="BK484" s="1"/>
      <c r="BL484" s="1"/>
      <c r="BM484" s="1"/>
      <c r="BN484" s="1"/>
      <c r="BO484" s="1"/>
      <c r="BP484" s="1"/>
      <c r="BQ484" s="1"/>
      <c r="BX484" s="20" t="str">
        <f t="shared" si="201"/>
        <v>►</v>
      </c>
      <c r="BY484" s="2"/>
      <c r="BZ484" s="2"/>
      <c r="CA484" s="2"/>
      <c r="CB484" s="2"/>
      <c r="CC484" s="2"/>
      <c r="DC484" s="5">
        <v>1</v>
      </c>
    </row>
    <row r="485" spans="12:107" ht="21" customHeight="1">
      <c r="L485" s="1021" t="s">
        <v>26</v>
      </c>
      <c r="M485" s="6787"/>
      <c r="N485" s="6787"/>
      <c r="O485" s="6787"/>
      <c r="P485" s="6788"/>
      <c r="Q485" s="6789"/>
      <c r="R485" s="6790"/>
      <c r="S485" s="6786"/>
      <c r="T485" s="6791"/>
      <c r="U485" s="6844"/>
      <c r="V485" s="6791"/>
      <c r="W485" s="6785"/>
      <c r="X485" s="6868"/>
      <c r="Y485" s="6793"/>
      <c r="Z485" s="6794"/>
      <c r="AA485" s="6795"/>
      <c r="AB485" s="6796"/>
      <c r="AC485" s="6797"/>
      <c r="AD485" s="6798"/>
      <c r="AE485" s="4" t="s">
        <v>1</v>
      </c>
      <c r="AF485" s="6202" t="str">
        <f t="shared" si="202"/>
        <v>►</v>
      </c>
      <c r="AG485" s="6234" t="str">
        <f t="shared" si="203"/>
        <v/>
      </c>
      <c r="AH485" s="6732" t="str">
        <f t="shared" si="204"/>
        <v/>
      </c>
      <c r="AI485" s="6234" t="str">
        <f t="shared" si="205"/>
        <v/>
      </c>
      <c r="AJ485" s="6732" t="str">
        <f t="shared" si="206"/>
        <v/>
      </c>
      <c r="AK485" s="6732">
        <f t="shared" si="207"/>
        <v>0</v>
      </c>
      <c r="AL485" s="6230" t="str" cm="1">
        <f t="array" ref="AL485">IF(AF485&lt;&gt;"A","",IFERROR((IFERROR(_xlfn.XLOOKUP(TRIM(SUBSTITUTE(U485,CHAR(160)," ")),$BJ$15:$BJ$62,$BM$15:$BM$62),IFERROR(_xlfn.XLOOKUP(TRIM(SUBSTITUTE(U485,CHAR(160)," ")),$BK$15:$BK$62,$BM$15:$BM$62),_xlfn.XLOOKUP(TRIM(SUBSTITUTE(U485,CHAR(160)," ")),$BL$15:$BL$62,$BM$15:$BM$62))))*T485*IF(ISBLANK(Q485),1,Q485)+IFERROR(_xlfn.XLOOKUP("RECHERCHEX",TRIM(L485:AD485),L485:AD485),0),0))</f>
        <v/>
      </c>
      <c r="AM485" s="6229">
        <f t="shared" si="208"/>
        <v>0</v>
      </c>
      <c r="AN485" s="6857" t="str">
        <f t="shared" si="223"/>
        <v/>
      </c>
      <c r="AO485" s="392">
        <f t="shared" si="209"/>
        <v>0</v>
      </c>
      <c r="AP485" s="392">
        <f t="shared" si="210"/>
        <v>0</v>
      </c>
      <c r="AQ485" s="6191">
        <f t="shared" si="211"/>
        <v>0</v>
      </c>
      <c r="AR485" s="6859" t="str">
        <f t="shared" si="212"/>
        <v/>
      </c>
      <c r="AS485" s="6217"/>
      <c r="AT485" s="6217"/>
      <c r="AU485" s="6272">
        <f t="shared" si="213"/>
        <v>0</v>
      </c>
      <c r="AV485" s="6240">
        <f t="shared" si="214"/>
        <v>0</v>
      </c>
      <c r="AW485" s="6189" cm="1">
        <f t="array" ref="AW485">IF(AK485&lt;&gt;1,0,IF(OR(AU485="",N(AU485)&lt;=0.000000001),"",IF(OR(AO485="",N(AO485)&lt;=0.000000001),0,IF(ISNUMBER(AU485),IFERROR(_xlfn.LET(_xlpm.ai_test,TRIM(AJ485),_xlpm.r,IFERROR(_xlfn.XLOOKUP(_xlpm.ai_test,$BJ$15:$BJ$62,ROW($BJ$15:$BJ$62),0,1),IFERROR(_xlfn.XLOOKUP(_xlpm.ai_test,$BK$15:$BK$62,ROW($BK$15:$BK$62),0,1),_xlfn.XLOOKUP(_xlpm.ai_test,$BL$15:$BL$62,ROW($BL$15:$BL$62),0,1))),_xlpm.p,_xlpm.r-MIN(ROW($BJ$15:$BJ$62))+1,_xlpm.f,INDEX($BM$15:$BM$62,_xlpm.p),_xlpm.u,INDEX($BN$15:$BN$62,_xlpm.p),_xlpm.s,INDEX($BP$15:$BP$62,_xlpm.p),_xlpm.q,N(AU485)/_xlpm.f,IF(_xlpm.q&gt;=_xlpm.s,ROUND(_xlpm.q,1)&amp;" "&amp;_xlpm.ai_test&amp;" = "&amp;ROUND(_xlpm.q*_xlpm.f,1)&amp;" "&amp;_xlpm.u,ROUND(_xlpm.q,1)&amp;" "&amp;_xlpm.ai_test)),""),""))))</f>
        <v>0</v>
      </c>
      <c r="AX485" s="6218"/>
      <c r="AY485" s="6272">
        <f t="shared" si="215"/>
        <v>0</v>
      </c>
      <c r="AZ485" s="6240" t="str">
        <f t="shared" si="216"/>
        <v/>
      </c>
      <c r="BA485" s="6195">
        <f t="shared" si="221"/>
        <v>0</v>
      </c>
      <c r="BB485" s="6193" t="str">
        <f t="shared" si="217"/>
        <v/>
      </c>
      <c r="BC485" s="6219"/>
      <c r="BD485" s="6222">
        <f t="shared" si="222"/>
        <v>0</v>
      </c>
      <c r="BE485" s="6220" t="str">
        <f t="shared" si="218"/>
        <v/>
      </c>
      <c r="BF485" s="4" t="s">
        <v>1</v>
      </c>
      <c r="BG485" s="6196">
        <f t="shared" si="219"/>
        <v>0</v>
      </c>
      <c r="BH485" s="6197">
        <f t="shared" si="220"/>
        <v>0</v>
      </c>
      <c r="BI485"/>
      <c r="BJ485" s="1"/>
      <c r="BK485" s="1"/>
      <c r="BL485" s="1"/>
      <c r="BM485" s="1"/>
      <c r="BN485" s="1"/>
      <c r="BO485" s="1"/>
      <c r="BP485" s="1"/>
      <c r="BQ485" s="1"/>
      <c r="BX485" s="20" t="str">
        <f t="shared" si="201"/>
        <v>►</v>
      </c>
      <c r="BY485" s="2"/>
      <c r="BZ485" s="2"/>
      <c r="CA485" s="2"/>
      <c r="CB485" s="2"/>
      <c r="CC485" s="2"/>
      <c r="DC485" s="5">
        <v>1</v>
      </c>
    </row>
    <row r="486" spans="12:107" ht="21" customHeight="1">
      <c r="L486" s="1021" t="s">
        <v>26</v>
      </c>
      <c r="M486" s="6787"/>
      <c r="N486" s="6787"/>
      <c r="O486" s="6787"/>
      <c r="P486" s="6788"/>
      <c r="Q486" s="6789"/>
      <c r="R486" s="6790"/>
      <c r="S486" s="6786"/>
      <c r="T486" s="6791"/>
      <c r="U486" s="6844"/>
      <c r="V486" s="6791"/>
      <c r="W486" s="6785"/>
      <c r="X486" s="6868"/>
      <c r="Y486" s="6793"/>
      <c r="Z486" s="6794"/>
      <c r="AA486" s="6795"/>
      <c r="AB486" s="6796"/>
      <c r="AC486" s="6797"/>
      <c r="AD486" s="6798"/>
      <c r="AE486" s="4" t="s">
        <v>1</v>
      </c>
      <c r="AF486" s="6202" t="str">
        <f t="shared" si="202"/>
        <v>►</v>
      </c>
      <c r="AG486" s="6234" t="str">
        <f t="shared" si="203"/>
        <v/>
      </c>
      <c r="AH486" s="6732" t="str">
        <f t="shared" si="204"/>
        <v/>
      </c>
      <c r="AI486" s="6234" t="str">
        <f t="shared" si="205"/>
        <v/>
      </c>
      <c r="AJ486" s="6732" t="str">
        <f t="shared" si="206"/>
        <v/>
      </c>
      <c r="AK486" s="6732">
        <f t="shared" si="207"/>
        <v>0</v>
      </c>
      <c r="AL486" s="6230" t="str" cm="1">
        <f t="array" ref="AL486">IF(AF486&lt;&gt;"A","",IFERROR((IFERROR(_xlfn.XLOOKUP(TRIM(SUBSTITUTE(U486,CHAR(160)," ")),$BJ$15:$BJ$62,$BM$15:$BM$62),IFERROR(_xlfn.XLOOKUP(TRIM(SUBSTITUTE(U486,CHAR(160)," ")),$BK$15:$BK$62,$BM$15:$BM$62),_xlfn.XLOOKUP(TRIM(SUBSTITUTE(U486,CHAR(160)," ")),$BL$15:$BL$62,$BM$15:$BM$62))))*T486*IF(ISBLANK(Q486),1,Q486)+IFERROR(_xlfn.XLOOKUP("RECHERCHEX",TRIM(L486:AD486),L486:AD486),0),0))</f>
        <v/>
      </c>
      <c r="AM486" s="6229">
        <f t="shared" si="208"/>
        <v>0</v>
      </c>
      <c r="AN486" s="6857" t="str">
        <f t="shared" si="223"/>
        <v/>
      </c>
      <c r="AO486" s="392">
        <f t="shared" si="209"/>
        <v>0</v>
      </c>
      <c r="AP486" s="392">
        <f t="shared" si="210"/>
        <v>0</v>
      </c>
      <c r="AQ486" s="6190">
        <f t="shared" si="211"/>
        <v>0</v>
      </c>
      <c r="AR486" s="6858" t="str">
        <f t="shared" si="212"/>
        <v/>
      </c>
      <c r="AS486" s="6217"/>
      <c r="AT486" s="6217"/>
      <c r="AU486" s="6271">
        <f t="shared" si="213"/>
        <v>0</v>
      </c>
      <c r="AV486" s="6242">
        <f t="shared" si="214"/>
        <v>0</v>
      </c>
      <c r="AW486" s="6188" cm="1">
        <f t="array" ref="AW486">IF(AK486&lt;&gt;1,0,IF(OR(AU486="",N(AU486)&lt;=0.000000001),"",IF(OR(AO486="",N(AO486)&lt;=0.000000001),0,IF(ISNUMBER(AU486),IFERROR(_xlfn.LET(_xlpm.ai_test,TRIM(AJ486),_xlpm.r,IFERROR(_xlfn.XLOOKUP(_xlpm.ai_test,$BJ$15:$BJ$62,ROW($BJ$15:$BJ$62),0,1),IFERROR(_xlfn.XLOOKUP(_xlpm.ai_test,$BK$15:$BK$62,ROW($BK$15:$BK$62),0,1),_xlfn.XLOOKUP(_xlpm.ai_test,$BL$15:$BL$62,ROW($BL$15:$BL$62),0,1))),_xlpm.p,_xlpm.r-MIN(ROW($BJ$15:$BJ$62))+1,_xlpm.f,INDEX($BM$15:$BM$62,_xlpm.p),_xlpm.u,INDEX($BN$15:$BN$62,_xlpm.p),_xlpm.s,INDEX($BP$15:$BP$62,_xlpm.p),_xlpm.q,N(AU486)/_xlpm.f,IF(_xlpm.q&gt;=_xlpm.s,ROUND(_xlpm.q,1)&amp;" "&amp;_xlpm.ai_test&amp;" = "&amp;ROUND(_xlpm.q*_xlpm.f,1)&amp;" "&amp;_xlpm.u,ROUND(_xlpm.q,1)&amp;" "&amp;_xlpm.ai_test)),""),""))))</f>
        <v>0</v>
      </c>
      <c r="AX486" s="6218"/>
      <c r="AY486" s="6271">
        <f t="shared" si="215"/>
        <v>0</v>
      </c>
      <c r="AZ486" s="6242" t="str">
        <f t="shared" si="216"/>
        <v/>
      </c>
      <c r="BA486" s="6194">
        <f t="shared" si="221"/>
        <v>0</v>
      </c>
      <c r="BB486" s="6192" t="str">
        <f t="shared" si="217"/>
        <v/>
      </c>
      <c r="BC486" s="6219"/>
      <c r="BD486" s="6221">
        <f t="shared" si="222"/>
        <v>0</v>
      </c>
      <c r="BE486" s="6220" t="str">
        <f t="shared" si="218"/>
        <v/>
      </c>
      <c r="BF486" s="4" t="s">
        <v>1</v>
      </c>
      <c r="BG486" s="6196">
        <f t="shared" si="219"/>
        <v>0</v>
      </c>
      <c r="BH486" s="6197">
        <f t="shared" si="220"/>
        <v>0</v>
      </c>
      <c r="BI486"/>
      <c r="BJ486" s="1"/>
      <c r="BK486" s="1"/>
      <c r="BL486" s="1"/>
      <c r="BM486" s="1"/>
      <c r="BN486" s="1"/>
      <c r="BO486" s="1"/>
      <c r="BP486" s="1"/>
      <c r="BQ486" s="1"/>
      <c r="BX486" s="20" t="str">
        <f t="shared" si="201"/>
        <v>►</v>
      </c>
      <c r="BY486" s="2"/>
      <c r="BZ486" s="2"/>
      <c r="CA486" s="2"/>
      <c r="CB486" s="2"/>
      <c r="CC486" s="2"/>
      <c r="DC486" s="5">
        <v>1</v>
      </c>
    </row>
    <row r="487" spans="12:107" ht="21" customHeight="1">
      <c r="L487" s="1021" t="s">
        <v>26</v>
      </c>
      <c r="M487" s="6787"/>
      <c r="N487" s="6787"/>
      <c r="O487" s="6787"/>
      <c r="P487" s="6788"/>
      <c r="Q487" s="6789"/>
      <c r="R487" s="6790"/>
      <c r="S487" s="6786"/>
      <c r="T487" s="6791"/>
      <c r="U487" s="6844"/>
      <c r="V487" s="6791"/>
      <c r="W487" s="6785"/>
      <c r="X487" s="6868"/>
      <c r="Y487" s="6793"/>
      <c r="Z487" s="6794"/>
      <c r="AA487" s="6795"/>
      <c r="AB487" s="6796"/>
      <c r="AC487" s="6797"/>
      <c r="AD487" s="6798"/>
      <c r="AE487" s="4" t="s">
        <v>1</v>
      </c>
      <c r="AF487" s="6202" t="str">
        <f t="shared" si="202"/>
        <v>►</v>
      </c>
      <c r="AG487" s="6234" t="str">
        <f t="shared" si="203"/>
        <v/>
      </c>
      <c r="AH487" s="6732" t="str">
        <f t="shared" si="204"/>
        <v/>
      </c>
      <c r="AI487" s="6234" t="str">
        <f t="shared" si="205"/>
        <v/>
      </c>
      <c r="AJ487" s="6732" t="str">
        <f t="shared" si="206"/>
        <v/>
      </c>
      <c r="AK487" s="6732">
        <f t="shared" si="207"/>
        <v>0</v>
      </c>
      <c r="AL487" s="6230" t="str" cm="1">
        <f t="array" ref="AL487">IF(AF487&lt;&gt;"A","",IFERROR((IFERROR(_xlfn.XLOOKUP(TRIM(SUBSTITUTE(U487,CHAR(160)," ")),$BJ$15:$BJ$62,$BM$15:$BM$62),IFERROR(_xlfn.XLOOKUP(TRIM(SUBSTITUTE(U487,CHAR(160)," ")),$BK$15:$BK$62,$BM$15:$BM$62),_xlfn.XLOOKUP(TRIM(SUBSTITUTE(U487,CHAR(160)," ")),$BL$15:$BL$62,$BM$15:$BM$62))))*T487*IF(ISBLANK(Q487),1,Q487)+IFERROR(_xlfn.XLOOKUP("RECHERCHEX",TRIM(L487:AD487),L487:AD487),0),0))</f>
        <v/>
      </c>
      <c r="AM487" s="6229">
        <f t="shared" si="208"/>
        <v>0</v>
      </c>
      <c r="AN487" s="6857" t="str">
        <f t="shared" si="223"/>
        <v/>
      </c>
      <c r="AO487" s="392">
        <f t="shared" si="209"/>
        <v>0</v>
      </c>
      <c r="AP487" s="392">
        <f t="shared" si="210"/>
        <v>0</v>
      </c>
      <c r="AQ487" s="6191">
        <f t="shared" si="211"/>
        <v>0</v>
      </c>
      <c r="AR487" s="6859" t="str">
        <f t="shared" si="212"/>
        <v/>
      </c>
      <c r="AS487" s="6217"/>
      <c r="AT487" s="6217"/>
      <c r="AU487" s="6272">
        <f t="shared" si="213"/>
        <v>0</v>
      </c>
      <c r="AV487" s="6240">
        <f t="shared" si="214"/>
        <v>0</v>
      </c>
      <c r="AW487" s="6189" cm="1">
        <f t="array" ref="AW487">IF(AK487&lt;&gt;1,0,IF(OR(AU487="",N(AU487)&lt;=0.000000001),"",IF(OR(AO487="",N(AO487)&lt;=0.000000001),0,IF(ISNUMBER(AU487),IFERROR(_xlfn.LET(_xlpm.ai_test,TRIM(AJ487),_xlpm.r,IFERROR(_xlfn.XLOOKUP(_xlpm.ai_test,$BJ$15:$BJ$62,ROW($BJ$15:$BJ$62),0,1),IFERROR(_xlfn.XLOOKUP(_xlpm.ai_test,$BK$15:$BK$62,ROW($BK$15:$BK$62),0,1),_xlfn.XLOOKUP(_xlpm.ai_test,$BL$15:$BL$62,ROW($BL$15:$BL$62),0,1))),_xlpm.p,_xlpm.r-MIN(ROW($BJ$15:$BJ$62))+1,_xlpm.f,INDEX($BM$15:$BM$62,_xlpm.p),_xlpm.u,INDEX($BN$15:$BN$62,_xlpm.p),_xlpm.s,INDEX($BP$15:$BP$62,_xlpm.p),_xlpm.q,N(AU487)/_xlpm.f,IF(_xlpm.q&gt;=_xlpm.s,ROUND(_xlpm.q,1)&amp;" "&amp;_xlpm.ai_test&amp;" = "&amp;ROUND(_xlpm.q*_xlpm.f,1)&amp;" "&amp;_xlpm.u,ROUND(_xlpm.q,1)&amp;" "&amp;_xlpm.ai_test)),""),""))))</f>
        <v>0</v>
      </c>
      <c r="AX487" s="6218"/>
      <c r="AY487" s="6272">
        <f t="shared" si="215"/>
        <v>0</v>
      </c>
      <c r="AZ487" s="6240" t="str">
        <f t="shared" si="216"/>
        <v/>
      </c>
      <c r="BA487" s="6195">
        <f t="shared" si="221"/>
        <v>0</v>
      </c>
      <c r="BB487" s="6193" t="str">
        <f t="shared" si="217"/>
        <v/>
      </c>
      <c r="BC487" s="6219"/>
      <c r="BD487" s="6222">
        <f t="shared" si="222"/>
        <v>0</v>
      </c>
      <c r="BE487" s="6220" t="str">
        <f t="shared" si="218"/>
        <v/>
      </c>
      <c r="BF487" s="4" t="s">
        <v>1</v>
      </c>
      <c r="BG487" s="6196">
        <f t="shared" si="219"/>
        <v>0</v>
      </c>
      <c r="BH487" s="6197">
        <f t="shared" si="220"/>
        <v>0</v>
      </c>
      <c r="BI487"/>
      <c r="BJ487" s="1"/>
      <c r="BK487" s="1"/>
      <c r="BL487" s="1"/>
      <c r="BM487" s="1"/>
      <c r="BN487" s="1"/>
      <c r="BO487" s="1"/>
      <c r="BP487" s="1"/>
      <c r="BQ487" s="1"/>
      <c r="BX487" s="20" t="str">
        <f t="shared" si="201"/>
        <v>►</v>
      </c>
      <c r="BY487" s="2"/>
      <c r="BZ487" s="2"/>
      <c r="CA487" s="2"/>
      <c r="CB487" s="2"/>
      <c r="CC487" s="2"/>
      <c r="DC487" s="5">
        <v>1</v>
      </c>
    </row>
    <row r="488" spans="12:107" ht="21" customHeight="1">
      <c r="L488" s="1021" t="s">
        <v>26</v>
      </c>
      <c r="M488" s="6787"/>
      <c r="N488" s="6787"/>
      <c r="O488" s="6787"/>
      <c r="P488" s="6788"/>
      <c r="Q488" s="6789"/>
      <c r="R488" s="6790"/>
      <c r="S488" s="6786"/>
      <c r="T488" s="6791"/>
      <c r="U488" s="6844"/>
      <c r="V488" s="6791"/>
      <c r="W488" s="6785"/>
      <c r="X488" s="6868"/>
      <c r="Y488" s="6793"/>
      <c r="Z488" s="6794"/>
      <c r="AA488" s="6795"/>
      <c r="AB488" s="6796"/>
      <c r="AC488" s="6797"/>
      <c r="AD488" s="6798"/>
      <c r="AE488" s="4" t="s">
        <v>1</v>
      </c>
      <c r="AF488" s="6202" t="str">
        <f t="shared" si="202"/>
        <v>►</v>
      </c>
      <c r="AG488" s="6234" t="str">
        <f t="shared" si="203"/>
        <v/>
      </c>
      <c r="AH488" s="6732" t="str">
        <f t="shared" si="204"/>
        <v/>
      </c>
      <c r="AI488" s="6234" t="str">
        <f t="shared" si="205"/>
        <v/>
      </c>
      <c r="AJ488" s="6732" t="str">
        <f t="shared" si="206"/>
        <v/>
      </c>
      <c r="AK488" s="6732">
        <f t="shared" si="207"/>
        <v>0</v>
      </c>
      <c r="AL488" s="6230" t="str" cm="1">
        <f t="array" ref="AL488">IF(AF488&lt;&gt;"A","",IFERROR((IFERROR(_xlfn.XLOOKUP(TRIM(SUBSTITUTE(U488,CHAR(160)," ")),$BJ$15:$BJ$62,$BM$15:$BM$62),IFERROR(_xlfn.XLOOKUP(TRIM(SUBSTITUTE(U488,CHAR(160)," ")),$BK$15:$BK$62,$BM$15:$BM$62),_xlfn.XLOOKUP(TRIM(SUBSTITUTE(U488,CHAR(160)," ")),$BL$15:$BL$62,$BM$15:$BM$62))))*T488*IF(ISBLANK(Q488),1,Q488)+IFERROR(_xlfn.XLOOKUP("RECHERCHEX",TRIM(L488:AD488),L488:AD488),0),0))</f>
        <v/>
      </c>
      <c r="AM488" s="6229">
        <f t="shared" si="208"/>
        <v>0</v>
      </c>
      <c r="AN488" s="6857" t="str">
        <f t="shared" si="223"/>
        <v/>
      </c>
      <c r="AO488" s="392">
        <f t="shared" si="209"/>
        <v>0</v>
      </c>
      <c r="AP488" s="392">
        <f t="shared" si="210"/>
        <v>0</v>
      </c>
      <c r="AQ488" s="6190">
        <f t="shared" si="211"/>
        <v>0</v>
      </c>
      <c r="AR488" s="6858" t="str">
        <f t="shared" si="212"/>
        <v/>
      </c>
      <c r="AS488" s="6217"/>
      <c r="AT488" s="6217"/>
      <c r="AU488" s="6271">
        <f t="shared" si="213"/>
        <v>0</v>
      </c>
      <c r="AV488" s="6242">
        <f t="shared" si="214"/>
        <v>0</v>
      </c>
      <c r="AW488" s="6188" cm="1">
        <f t="array" ref="AW488">IF(AK488&lt;&gt;1,0,IF(OR(AU488="",N(AU488)&lt;=0.000000001),"",IF(OR(AO488="",N(AO488)&lt;=0.000000001),0,IF(ISNUMBER(AU488),IFERROR(_xlfn.LET(_xlpm.ai_test,TRIM(AJ488),_xlpm.r,IFERROR(_xlfn.XLOOKUP(_xlpm.ai_test,$BJ$15:$BJ$62,ROW($BJ$15:$BJ$62),0,1),IFERROR(_xlfn.XLOOKUP(_xlpm.ai_test,$BK$15:$BK$62,ROW($BK$15:$BK$62),0,1),_xlfn.XLOOKUP(_xlpm.ai_test,$BL$15:$BL$62,ROW($BL$15:$BL$62),0,1))),_xlpm.p,_xlpm.r-MIN(ROW($BJ$15:$BJ$62))+1,_xlpm.f,INDEX($BM$15:$BM$62,_xlpm.p),_xlpm.u,INDEX($BN$15:$BN$62,_xlpm.p),_xlpm.s,INDEX($BP$15:$BP$62,_xlpm.p),_xlpm.q,N(AU488)/_xlpm.f,IF(_xlpm.q&gt;=_xlpm.s,ROUND(_xlpm.q,1)&amp;" "&amp;_xlpm.ai_test&amp;" = "&amp;ROUND(_xlpm.q*_xlpm.f,1)&amp;" "&amp;_xlpm.u,ROUND(_xlpm.q,1)&amp;" "&amp;_xlpm.ai_test)),""),""))))</f>
        <v>0</v>
      </c>
      <c r="AX488" s="6218"/>
      <c r="AY488" s="6271">
        <f t="shared" si="215"/>
        <v>0</v>
      </c>
      <c r="AZ488" s="6242" t="str">
        <f t="shared" si="216"/>
        <v/>
      </c>
      <c r="BA488" s="6194">
        <f t="shared" si="221"/>
        <v>0</v>
      </c>
      <c r="BB488" s="6192" t="str">
        <f t="shared" si="217"/>
        <v/>
      </c>
      <c r="BC488" s="6219"/>
      <c r="BD488" s="6221">
        <f t="shared" si="222"/>
        <v>0</v>
      </c>
      <c r="BE488" s="6220" t="str">
        <f t="shared" si="218"/>
        <v/>
      </c>
      <c r="BF488" s="4" t="s">
        <v>1</v>
      </c>
      <c r="BG488" s="6196">
        <f t="shared" si="219"/>
        <v>0</v>
      </c>
      <c r="BH488" s="6197">
        <f t="shared" si="220"/>
        <v>0</v>
      </c>
      <c r="BI488"/>
      <c r="BJ488" s="1"/>
      <c r="BK488" s="1"/>
      <c r="BL488" s="1"/>
      <c r="BM488" s="1"/>
      <c r="BN488" s="1"/>
      <c r="BO488" s="1"/>
      <c r="BP488" s="1"/>
      <c r="BQ488" s="1"/>
      <c r="BX488" s="20" t="str">
        <f t="shared" si="201"/>
        <v>►</v>
      </c>
      <c r="BY488" s="2"/>
      <c r="BZ488" s="2"/>
      <c r="CA488" s="2"/>
      <c r="CB488" s="2"/>
      <c r="CC488" s="2"/>
      <c r="DC488" s="5">
        <v>1</v>
      </c>
    </row>
    <row r="489" spans="12:107" ht="21" customHeight="1">
      <c r="L489" s="1021" t="s">
        <v>26</v>
      </c>
      <c r="M489" s="6787"/>
      <c r="N489" s="6787"/>
      <c r="O489" s="6787"/>
      <c r="P489" s="6788"/>
      <c r="Q489" s="6789"/>
      <c r="R489" s="6790"/>
      <c r="S489" s="6786"/>
      <c r="T489" s="6791"/>
      <c r="U489" s="6844"/>
      <c r="V489" s="6791"/>
      <c r="W489" s="6785"/>
      <c r="X489" s="6868"/>
      <c r="Y489" s="6793"/>
      <c r="Z489" s="6794"/>
      <c r="AA489" s="6795"/>
      <c r="AB489" s="6796"/>
      <c r="AC489" s="6797"/>
      <c r="AD489" s="6798"/>
      <c r="AE489" s="4" t="s">
        <v>1</v>
      </c>
      <c r="AF489" s="6202" t="str">
        <f t="shared" si="202"/>
        <v>►</v>
      </c>
      <c r="AG489" s="6234" t="str">
        <f t="shared" si="203"/>
        <v/>
      </c>
      <c r="AH489" s="6732" t="str">
        <f t="shared" si="204"/>
        <v/>
      </c>
      <c r="AI489" s="6234" t="str">
        <f t="shared" si="205"/>
        <v/>
      </c>
      <c r="AJ489" s="6732" t="str">
        <f t="shared" si="206"/>
        <v/>
      </c>
      <c r="AK489" s="6732">
        <f t="shared" si="207"/>
        <v>0</v>
      </c>
      <c r="AL489" s="6230" t="str" cm="1">
        <f t="array" ref="AL489">IF(AF489&lt;&gt;"A","",IFERROR((IFERROR(_xlfn.XLOOKUP(TRIM(SUBSTITUTE(U489,CHAR(160)," ")),$BJ$15:$BJ$62,$BM$15:$BM$62),IFERROR(_xlfn.XLOOKUP(TRIM(SUBSTITUTE(U489,CHAR(160)," ")),$BK$15:$BK$62,$BM$15:$BM$62),_xlfn.XLOOKUP(TRIM(SUBSTITUTE(U489,CHAR(160)," ")),$BL$15:$BL$62,$BM$15:$BM$62))))*T489*IF(ISBLANK(Q489),1,Q489)+IFERROR(_xlfn.XLOOKUP("RECHERCHEX",TRIM(L489:AD489),L489:AD489),0),0))</f>
        <v/>
      </c>
      <c r="AM489" s="6229">
        <f t="shared" si="208"/>
        <v>0</v>
      </c>
      <c r="AN489" s="6857" t="str">
        <f t="shared" si="223"/>
        <v/>
      </c>
      <c r="AO489" s="392">
        <f t="shared" si="209"/>
        <v>0</v>
      </c>
      <c r="AP489" s="392">
        <f t="shared" si="210"/>
        <v>0</v>
      </c>
      <c r="AQ489" s="6191">
        <f t="shared" si="211"/>
        <v>0</v>
      </c>
      <c r="AR489" s="6859" t="str">
        <f t="shared" si="212"/>
        <v/>
      </c>
      <c r="AS489" s="6217"/>
      <c r="AT489" s="6217"/>
      <c r="AU489" s="6272">
        <f t="shared" si="213"/>
        <v>0</v>
      </c>
      <c r="AV489" s="6240">
        <f t="shared" si="214"/>
        <v>0</v>
      </c>
      <c r="AW489" s="6189" cm="1">
        <f t="array" ref="AW489">IF(AK489&lt;&gt;1,0,IF(OR(AU489="",N(AU489)&lt;=0.000000001),"",IF(OR(AO489="",N(AO489)&lt;=0.000000001),0,IF(ISNUMBER(AU489),IFERROR(_xlfn.LET(_xlpm.ai_test,TRIM(AJ489),_xlpm.r,IFERROR(_xlfn.XLOOKUP(_xlpm.ai_test,$BJ$15:$BJ$62,ROW($BJ$15:$BJ$62),0,1),IFERROR(_xlfn.XLOOKUP(_xlpm.ai_test,$BK$15:$BK$62,ROW($BK$15:$BK$62),0,1),_xlfn.XLOOKUP(_xlpm.ai_test,$BL$15:$BL$62,ROW($BL$15:$BL$62),0,1))),_xlpm.p,_xlpm.r-MIN(ROW($BJ$15:$BJ$62))+1,_xlpm.f,INDEX($BM$15:$BM$62,_xlpm.p),_xlpm.u,INDEX($BN$15:$BN$62,_xlpm.p),_xlpm.s,INDEX($BP$15:$BP$62,_xlpm.p),_xlpm.q,N(AU489)/_xlpm.f,IF(_xlpm.q&gt;=_xlpm.s,ROUND(_xlpm.q,1)&amp;" "&amp;_xlpm.ai_test&amp;" = "&amp;ROUND(_xlpm.q*_xlpm.f,1)&amp;" "&amp;_xlpm.u,ROUND(_xlpm.q,1)&amp;" "&amp;_xlpm.ai_test)),""),""))))</f>
        <v>0</v>
      </c>
      <c r="AX489" s="6218"/>
      <c r="AY489" s="6272">
        <f t="shared" si="215"/>
        <v>0</v>
      </c>
      <c r="AZ489" s="6240" t="str">
        <f t="shared" si="216"/>
        <v/>
      </c>
      <c r="BA489" s="6195">
        <f t="shared" si="221"/>
        <v>0</v>
      </c>
      <c r="BB489" s="6193" t="str">
        <f t="shared" si="217"/>
        <v/>
      </c>
      <c r="BC489" s="6219"/>
      <c r="BD489" s="6222">
        <f t="shared" si="222"/>
        <v>0</v>
      </c>
      <c r="BE489" s="6220" t="str">
        <f t="shared" si="218"/>
        <v/>
      </c>
      <c r="BF489" s="4" t="s">
        <v>1</v>
      </c>
      <c r="BG489" s="6196">
        <f t="shared" si="219"/>
        <v>0</v>
      </c>
      <c r="BH489" s="6197">
        <f t="shared" si="220"/>
        <v>0</v>
      </c>
      <c r="BI489"/>
      <c r="BJ489" s="1"/>
      <c r="BK489" s="1"/>
      <c r="BL489" s="1"/>
      <c r="BM489" s="1"/>
      <c r="BN489" s="1"/>
      <c r="BO489" s="1"/>
      <c r="BP489" s="1"/>
      <c r="BQ489" s="1"/>
      <c r="BX489" s="20" t="str">
        <f t="shared" si="201"/>
        <v>►</v>
      </c>
      <c r="BY489" s="2"/>
      <c r="BZ489" s="2"/>
      <c r="CA489" s="2"/>
      <c r="CB489" s="2"/>
      <c r="CC489" s="2"/>
      <c r="DC489" s="5">
        <v>1</v>
      </c>
    </row>
    <row r="490" spans="12:107" ht="21" customHeight="1">
      <c r="L490" s="1021" t="s">
        <v>26</v>
      </c>
      <c r="M490" s="6787"/>
      <c r="N490" s="6787"/>
      <c r="O490" s="6787"/>
      <c r="P490" s="6788"/>
      <c r="Q490" s="6789"/>
      <c r="R490" s="6790"/>
      <c r="S490" s="6786"/>
      <c r="T490" s="6791"/>
      <c r="U490" s="6844"/>
      <c r="V490" s="6791"/>
      <c r="W490" s="6785"/>
      <c r="X490" s="6868"/>
      <c r="Y490" s="6793"/>
      <c r="Z490" s="6794"/>
      <c r="AA490" s="6795"/>
      <c r="AB490" s="6796"/>
      <c r="AC490" s="6797"/>
      <c r="AD490" s="6798"/>
      <c r="AE490" s="4" t="s">
        <v>1</v>
      </c>
      <c r="AF490" s="6202" t="str">
        <f t="shared" si="202"/>
        <v>►</v>
      </c>
      <c r="AG490" s="6234" t="str">
        <f t="shared" si="203"/>
        <v/>
      </c>
      <c r="AH490" s="6732" t="str">
        <f t="shared" si="204"/>
        <v/>
      </c>
      <c r="AI490" s="6234" t="str">
        <f t="shared" si="205"/>
        <v/>
      </c>
      <c r="AJ490" s="6732" t="str">
        <f t="shared" si="206"/>
        <v/>
      </c>
      <c r="AK490" s="6732">
        <f t="shared" si="207"/>
        <v>0</v>
      </c>
      <c r="AL490" s="6230" t="str" cm="1">
        <f t="array" ref="AL490">IF(AF490&lt;&gt;"A","",IFERROR((IFERROR(_xlfn.XLOOKUP(TRIM(SUBSTITUTE(U490,CHAR(160)," ")),$BJ$15:$BJ$62,$BM$15:$BM$62),IFERROR(_xlfn.XLOOKUP(TRIM(SUBSTITUTE(U490,CHAR(160)," ")),$BK$15:$BK$62,$BM$15:$BM$62),_xlfn.XLOOKUP(TRIM(SUBSTITUTE(U490,CHAR(160)," ")),$BL$15:$BL$62,$BM$15:$BM$62))))*T490*IF(ISBLANK(Q490),1,Q490)+IFERROR(_xlfn.XLOOKUP("RECHERCHEX",TRIM(L490:AD490),L490:AD490),0),0))</f>
        <v/>
      </c>
      <c r="AM490" s="6229">
        <f t="shared" si="208"/>
        <v>0</v>
      </c>
      <c r="AN490" s="6857" t="str">
        <f t="shared" si="223"/>
        <v/>
      </c>
      <c r="AO490" s="392">
        <f t="shared" si="209"/>
        <v>0</v>
      </c>
      <c r="AP490" s="392">
        <f t="shared" si="210"/>
        <v>0</v>
      </c>
      <c r="AQ490" s="6190">
        <f t="shared" si="211"/>
        <v>0</v>
      </c>
      <c r="AR490" s="6858" t="str">
        <f t="shared" si="212"/>
        <v/>
      </c>
      <c r="AS490" s="6217"/>
      <c r="AT490" s="6217"/>
      <c r="AU490" s="6271">
        <f t="shared" si="213"/>
        <v>0</v>
      </c>
      <c r="AV490" s="6242">
        <f t="shared" si="214"/>
        <v>0</v>
      </c>
      <c r="AW490" s="6188" cm="1">
        <f t="array" ref="AW490">IF(AK490&lt;&gt;1,0,IF(OR(AU490="",N(AU490)&lt;=0.000000001),"",IF(OR(AO490="",N(AO490)&lt;=0.000000001),0,IF(ISNUMBER(AU490),IFERROR(_xlfn.LET(_xlpm.ai_test,TRIM(AJ490),_xlpm.r,IFERROR(_xlfn.XLOOKUP(_xlpm.ai_test,$BJ$15:$BJ$62,ROW($BJ$15:$BJ$62),0,1),IFERROR(_xlfn.XLOOKUP(_xlpm.ai_test,$BK$15:$BK$62,ROW($BK$15:$BK$62),0,1),_xlfn.XLOOKUP(_xlpm.ai_test,$BL$15:$BL$62,ROW($BL$15:$BL$62),0,1))),_xlpm.p,_xlpm.r-MIN(ROW($BJ$15:$BJ$62))+1,_xlpm.f,INDEX($BM$15:$BM$62,_xlpm.p),_xlpm.u,INDEX($BN$15:$BN$62,_xlpm.p),_xlpm.s,INDEX($BP$15:$BP$62,_xlpm.p),_xlpm.q,N(AU490)/_xlpm.f,IF(_xlpm.q&gt;=_xlpm.s,ROUND(_xlpm.q,1)&amp;" "&amp;_xlpm.ai_test&amp;" = "&amp;ROUND(_xlpm.q*_xlpm.f,1)&amp;" "&amp;_xlpm.u,ROUND(_xlpm.q,1)&amp;" "&amp;_xlpm.ai_test)),""),""))))</f>
        <v>0</v>
      </c>
      <c r="AX490" s="6218"/>
      <c r="AY490" s="6271">
        <f t="shared" si="215"/>
        <v>0</v>
      </c>
      <c r="AZ490" s="6242" t="str">
        <f t="shared" si="216"/>
        <v/>
      </c>
      <c r="BA490" s="6194">
        <f t="shared" si="221"/>
        <v>0</v>
      </c>
      <c r="BB490" s="6192" t="str">
        <f t="shared" si="217"/>
        <v/>
      </c>
      <c r="BC490" s="6219"/>
      <c r="BD490" s="6221">
        <f t="shared" si="222"/>
        <v>0</v>
      </c>
      <c r="BE490" s="6220" t="str">
        <f t="shared" si="218"/>
        <v/>
      </c>
      <c r="BF490" s="4" t="s">
        <v>1</v>
      </c>
      <c r="BG490" s="6196">
        <f t="shared" si="219"/>
        <v>0</v>
      </c>
      <c r="BH490" s="6197">
        <f t="shared" si="220"/>
        <v>0</v>
      </c>
      <c r="BI490"/>
      <c r="BJ490" s="1"/>
      <c r="BK490" s="1"/>
      <c r="BL490" s="1"/>
      <c r="BM490" s="1"/>
      <c r="BN490" s="1"/>
      <c r="BO490" s="1"/>
      <c r="BP490" s="1"/>
      <c r="BQ490" s="1"/>
      <c r="BX490" s="20" t="str">
        <f t="shared" si="201"/>
        <v>►</v>
      </c>
      <c r="BY490" s="2"/>
      <c r="BZ490" s="2"/>
      <c r="CA490" s="2"/>
      <c r="CB490" s="2"/>
      <c r="CC490" s="2"/>
      <c r="DC490" s="5">
        <v>1</v>
      </c>
    </row>
    <row r="491" spans="12:107" ht="21" customHeight="1">
      <c r="L491" s="1021" t="s">
        <v>26</v>
      </c>
      <c r="M491" s="6787"/>
      <c r="N491" s="6787"/>
      <c r="O491" s="6787"/>
      <c r="P491" s="6788"/>
      <c r="Q491" s="6789"/>
      <c r="R491" s="6790"/>
      <c r="S491" s="6786"/>
      <c r="T491" s="6791"/>
      <c r="U491" s="6844"/>
      <c r="V491" s="6791"/>
      <c r="W491" s="6785"/>
      <c r="X491" s="6868"/>
      <c r="Y491" s="6793"/>
      <c r="Z491" s="6794"/>
      <c r="AA491" s="6795"/>
      <c r="AB491" s="6796"/>
      <c r="AC491" s="6797"/>
      <c r="AD491" s="6798"/>
      <c r="AE491" s="4" t="s">
        <v>1</v>
      </c>
      <c r="AF491" s="6202" t="str">
        <f t="shared" si="202"/>
        <v>►</v>
      </c>
      <c r="AG491" s="6234" t="str">
        <f t="shared" si="203"/>
        <v/>
      </c>
      <c r="AH491" s="6732" t="str">
        <f t="shared" si="204"/>
        <v/>
      </c>
      <c r="AI491" s="6234" t="str">
        <f t="shared" si="205"/>
        <v/>
      </c>
      <c r="AJ491" s="6732" t="str">
        <f t="shared" si="206"/>
        <v/>
      </c>
      <c r="AK491" s="6732">
        <f t="shared" si="207"/>
        <v>0</v>
      </c>
      <c r="AL491" s="6230" t="str" cm="1">
        <f t="array" ref="AL491">IF(AF491&lt;&gt;"A","",IFERROR((IFERROR(_xlfn.XLOOKUP(TRIM(SUBSTITUTE(U491,CHAR(160)," ")),$BJ$15:$BJ$62,$BM$15:$BM$62),IFERROR(_xlfn.XLOOKUP(TRIM(SUBSTITUTE(U491,CHAR(160)," ")),$BK$15:$BK$62,$BM$15:$BM$62),_xlfn.XLOOKUP(TRIM(SUBSTITUTE(U491,CHAR(160)," ")),$BL$15:$BL$62,$BM$15:$BM$62))))*T491*IF(ISBLANK(Q491),1,Q491)+IFERROR(_xlfn.XLOOKUP("RECHERCHEX",TRIM(L491:AD491),L491:AD491),0),0))</f>
        <v/>
      </c>
      <c r="AM491" s="6229">
        <f t="shared" si="208"/>
        <v>0</v>
      </c>
      <c r="AN491" s="6857" t="str">
        <f t="shared" si="223"/>
        <v/>
      </c>
      <c r="AO491" s="392">
        <f t="shared" si="209"/>
        <v>0</v>
      </c>
      <c r="AP491" s="392">
        <f t="shared" si="210"/>
        <v>0</v>
      </c>
      <c r="AQ491" s="6191">
        <f t="shared" si="211"/>
        <v>0</v>
      </c>
      <c r="AR491" s="6859" t="str">
        <f t="shared" si="212"/>
        <v/>
      </c>
      <c r="AS491" s="6217"/>
      <c r="AT491" s="6217"/>
      <c r="AU491" s="6272">
        <f t="shared" si="213"/>
        <v>0</v>
      </c>
      <c r="AV491" s="6240">
        <f t="shared" si="214"/>
        <v>0</v>
      </c>
      <c r="AW491" s="6189" cm="1">
        <f t="array" ref="AW491">IF(AK491&lt;&gt;1,0,IF(OR(AU491="",N(AU491)&lt;=0.000000001),"",IF(OR(AO491="",N(AO491)&lt;=0.000000001),0,IF(ISNUMBER(AU491),IFERROR(_xlfn.LET(_xlpm.ai_test,TRIM(AJ491),_xlpm.r,IFERROR(_xlfn.XLOOKUP(_xlpm.ai_test,$BJ$15:$BJ$62,ROW($BJ$15:$BJ$62),0,1),IFERROR(_xlfn.XLOOKUP(_xlpm.ai_test,$BK$15:$BK$62,ROW($BK$15:$BK$62),0,1),_xlfn.XLOOKUP(_xlpm.ai_test,$BL$15:$BL$62,ROW($BL$15:$BL$62),0,1))),_xlpm.p,_xlpm.r-MIN(ROW($BJ$15:$BJ$62))+1,_xlpm.f,INDEX($BM$15:$BM$62,_xlpm.p),_xlpm.u,INDEX($BN$15:$BN$62,_xlpm.p),_xlpm.s,INDEX($BP$15:$BP$62,_xlpm.p),_xlpm.q,N(AU491)/_xlpm.f,IF(_xlpm.q&gt;=_xlpm.s,ROUND(_xlpm.q,1)&amp;" "&amp;_xlpm.ai_test&amp;" = "&amp;ROUND(_xlpm.q*_xlpm.f,1)&amp;" "&amp;_xlpm.u,ROUND(_xlpm.q,1)&amp;" "&amp;_xlpm.ai_test)),""),""))))</f>
        <v>0</v>
      </c>
      <c r="AX491" s="6218"/>
      <c r="AY491" s="6272">
        <f t="shared" si="215"/>
        <v>0</v>
      </c>
      <c r="AZ491" s="6240" t="str">
        <f t="shared" si="216"/>
        <v/>
      </c>
      <c r="BA491" s="6195">
        <f t="shared" si="221"/>
        <v>0</v>
      </c>
      <c r="BB491" s="6193" t="str">
        <f t="shared" si="217"/>
        <v/>
      </c>
      <c r="BC491" s="6219"/>
      <c r="BD491" s="6222">
        <f t="shared" si="222"/>
        <v>0</v>
      </c>
      <c r="BE491" s="6220" t="str">
        <f t="shared" si="218"/>
        <v/>
      </c>
      <c r="BF491" s="4" t="s">
        <v>1</v>
      </c>
      <c r="BG491" s="6196">
        <f t="shared" si="219"/>
        <v>0</v>
      </c>
      <c r="BH491" s="6197">
        <f t="shared" si="220"/>
        <v>0</v>
      </c>
      <c r="BI491"/>
      <c r="BJ491" s="1"/>
      <c r="BK491" s="1"/>
      <c r="BL491" s="1"/>
      <c r="BM491" s="1"/>
      <c r="BN491" s="1"/>
      <c r="BO491" s="1"/>
      <c r="BP491" s="1"/>
      <c r="BQ491" s="1"/>
      <c r="BX491" s="20" t="str">
        <f t="shared" si="201"/>
        <v>►</v>
      </c>
      <c r="BY491" s="2"/>
      <c r="BZ491" s="2"/>
      <c r="CA491" s="2"/>
      <c r="CB491" s="2"/>
      <c r="CC491" s="2"/>
      <c r="DC491" s="5">
        <v>1</v>
      </c>
    </row>
    <row r="492" spans="12:107" ht="21" customHeight="1">
      <c r="L492" s="1021" t="s">
        <v>26</v>
      </c>
      <c r="M492" s="6787"/>
      <c r="N492" s="6787"/>
      <c r="O492" s="6787"/>
      <c r="P492" s="6788"/>
      <c r="Q492" s="6789"/>
      <c r="R492" s="6790"/>
      <c r="S492" s="6786"/>
      <c r="T492" s="6791"/>
      <c r="U492" s="6844"/>
      <c r="V492" s="6791"/>
      <c r="W492" s="6785"/>
      <c r="X492" s="6868"/>
      <c r="Y492" s="6793"/>
      <c r="Z492" s="6794"/>
      <c r="AA492" s="6795"/>
      <c r="AB492" s="6796"/>
      <c r="AC492" s="6797"/>
      <c r="AD492" s="6798"/>
      <c r="AE492" s="4" t="s">
        <v>1</v>
      </c>
      <c r="AF492" s="6202" t="str">
        <f t="shared" si="202"/>
        <v>►</v>
      </c>
      <c r="AG492" s="6234" t="str">
        <f t="shared" si="203"/>
        <v/>
      </c>
      <c r="AH492" s="6732" t="str">
        <f t="shared" si="204"/>
        <v/>
      </c>
      <c r="AI492" s="6234" t="str">
        <f t="shared" si="205"/>
        <v/>
      </c>
      <c r="AJ492" s="6732" t="str">
        <f t="shared" si="206"/>
        <v/>
      </c>
      <c r="AK492" s="6732">
        <f t="shared" si="207"/>
        <v>0</v>
      </c>
      <c r="AL492" s="6230" t="str" cm="1">
        <f t="array" ref="AL492">IF(AF492&lt;&gt;"A","",IFERROR((IFERROR(_xlfn.XLOOKUP(TRIM(SUBSTITUTE(U492,CHAR(160)," ")),$BJ$15:$BJ$62,$BM$15:$BM$62),IFERROR(_xlfn.XLOOKUP(TRIM(SUBSTITUTE(U492,CHAR(160)," ")),$BK$15:$BK$62,$BM$15:$BM$62),_xlfn.XLOOKUP(TRIM(SUBSTITUTE(U492,CHAR(160)," ")),$BL$15:$BL$62,$BM$15:$BM$62))))*T492*IF(ISBLANK(Q492),1,Q492)+IFERROR(_xlfn.XLOOKUP("RECHERCHEX",TRIM(L492:AD492),L492:AD492),0),0))</f>
        <v/>
      </c>
      <c r="AM492" s="6229">
        <f t="shared" si="208"/>
        <v>0</v>
      </c>
      <c r="AN492" s="6857" t="str">
        <f t="shared" si="223"/>
        <v/>
      </c>
      <c r="AO492" s="392">
        <f t="shared" si="209"/>
        <v>0</v>
      </c>
      <c r="AP492" s="392">
        <f t="shared" si="210"/>
        <v>0</v>
      </c>
      <c r="AQ492" s="6190">
        <f t="shared" si="211"/>
        <v>0</v>
      </c>
      <c r="AR492" s="6858" t="str">
        <f t="shared" si="212"/>
        <v/>
      </c>
      <c r="AS492" s="6217"/>
      <c r="AT492" s="6217"/>
      <c r="AU492" s="6271">
        <f t="shared" si="213"/>
        <v>0</v>
      </c>
      <c r="AV492" s="6242">
        <f t="shared" si="214"/>
        <v>0</v>
      </c>
      <c r="AW492" s="6188" cm="1">
        <f t="array" ref="AW492">IF(AK492&lt;&gt;1,0,IF(OR(AU492="",N(AU492)&lt;=0.000000001),"",IF(OR(AO492="",N(AO492)&lt;=0.000000001),0,IF(ISNUMBER(AU492),IFERROR(_xlfn.LET(_xlpm.ai_test,TRIM(AJ492),_xlpm.r,IFERROR(_xlfn.XLOOKUP(_xlpm.ai_test,$BJ$15:$BJ$62,ROW($BJ$15:$BJ$62),0,1),IFERROR(_xlfn.XLOOKUP(_xlpm.ai_test,$BK$15:$BK$62,ROW($BK$15:$BK$62),0,1),_xlfn.XLOOKUP(_xlpm.ai_test,$BL$15:$BL$62,ROW($BL$15:$BL$62),0,1))),_xlpm.p,_xlpm.r-MIN(ROW($BJ$15:$BJ$62))+1,_xlpm.f,INDEX($BM$15:$BM$62,_xlpm.p),_xlpm.u,INDEX($BN$15:$BN$62,_xlpm.p),_xlpm.s,INDEX($BP$15:$BP$62,_xlpm.p),_xlpm.q,N(AU492)/_xlpm.f,IF(_xlpm.q&gt;=_xlpm.s,ROUND(_xlpm.q,1)&amp;" "&amp;_xlpm.ai_test&amp;" = "&amp;ROUND(_xlpm.q*_xlpm.f,1)&amp;" "&amp;_xlpm.u,ROUND(_xlpm.q,1)&amp;" "&amp;_xlpm.ai_test)),""),""))))</f>
        <v>0</v>
      </c>
      <c r="AX492" s="6218"/>
      <c r="AY492" s="6271">
        <f t="shared" si="215"/>
        <v>0</v>
      </c>
      <c r="AZ492" s="6242" t="str">
        <f t="shared" si="216"/>
        <v/>
      </c>
      <c r="BA492" s="6194">
        <f t="shared" si="221"/>
        <v>0</v>
      </c>
      <c r="BB492" s="6192" t="str">
        <f t="shared" si="217"/>
        <v/>
      </c>
      <c r="BC492" s="6219"/>
      <c r="BD492" s="6221">
        <f t="shared" si="222"/>
        <v>0</v>
      </c>
      <c r="BE492" s="6220" t="str">
        <f t="shared" si="218"/>
        <v/>
      </c>
      <c r="BF492" s="4" t="s">
        <v>1</v>
      </c>
      <c r="BG492" s="6196">
        <f t="shared" si="219"/>
        <v>0</v>
      </c>
      <c r="BH492" s="6197">
        <f t="shared" si="220"/>
        <v>0</v>
      </c>
      <c r="BI492"/>
      <c r="BJ492" s="1"/>
      <c r="BK492" s="1"/>
      <c r="BL492" s="1"/>
      <c r="BM492" s="1"/>
      <c r="BN492" s="1"/>
      <c r="BO492" s="1"/>
      <c r="BP492" s="1"/>
      <c r="BQ492" s="1"/>
      <c r="BX492" s="20" t="str">
        <f t="shared" si="201"/>
        <v>►</v>
      </c>
      <c r="BY492" s="2"/>
      <c r="BZ492" s="2"/>
      <c r="CA492" s="2"/>
      <c r="CB492" s="2"/>
      <c r="CC492" s="2"/>
      <c r="DC492" s="5">
        <v>1</v>
      </c>
    </row>
    <row r="493" spans="12:107" ht="21" customHeight="1">
      <c r="L493" s="1021" t="s">
        <v>26</v>
      </c>
      <c r="M493" s="6787"/>
      <c r="N493" s="6787"/>
      <c r="O493" s="6787"/>
      <c r="P493" s="6788"/>
      <c r="Q493" s="6789"/>
      <c r="R493" s="6790"/>
      <c r="S493" s="6786"/>
      <c r="T493" s="6791"/>
      <c r="U493" s="6844"/>
      <c r="V493" s="6791"/>
      <c r="W493" s="6785"/>
      <c r="X493" s="6868"/>
      <c r="Y493" s="6793"/>
      <c r="Z493" s="6794"/>
      <c r="AA493" s="6795"/>
      <c r="AB493" s="6796"/>
      <c r="AC493" s="6797"/>
      <c r="AD493" s="6798"/>
      <c r="AE493" s="4" t="s">
        <v>1</v>
      </c>
      <c r="AF493" s="6202" t="str">
        <f t="shared" si="202"/>
        <v>►</v>
      </c>
      <c r="AG493" s="6234" t="str">
        <f t="shared" si="203"/>
        <v/>
      </c>
      <c r="AH493" s="6732" t="str">
        <f t="shared" si="204"/>
        <v/>
      </c>
      <c r="AI493" s="6234" t="str">
        <f t="shared" si="205"/>
        <v/>
      </c>
      <c r="AJ493" s="6732" t="str">
        <f t="shared" si="206"/>
        <v/>
      </c>
      <c r="AK493" s="6732">
        <f t="shared" si="207"/>
        <v>0</v>
      </c>
      <c r="AL493" s="6230" t="str" cm="1">
        <f t="array" ref="AL493">IF(AF493&lt;&gt;"A","",IFERROR((IFERROR(_xlfn.XLOOKUP(TRIM(SUBSTITUTE(U493,CHAR(160)," ")),$BJ$15:$BJ$62,$BM$15:$BM$62),IFERROR(_xlfn.XLOOKUP(TRIM(SUBSTITUTE(U493,CHAR(160)," ")),$BK$15:$BK$62,$BM$15:$BM$62),_xlfn.XLOOKUP(TRIM(SUBSTITUTE(U493,CHAR(160)," ")),$BL$15:$BL$62,$BM$15:$BM$62))))*T493*IF(ISBLANK(Q493),1,Q493)+IFERROR(_xlfn.XLOOKUP("RECHERCHEX",TRIM(L493:AD493),L493:AD493),0),0))</f>
        <v/>
      </c>
      <c r="AM493" s="6229">
        <f t="shared" si="208"/>
        <v>0</v>
      </c>
      <c r="AN493" s="6857" t="str">
        <f t="shared" si="223"/>
        <v/>
      </c>
      <c r="AO493" s="392">
        <f t="shared" si="209"/>
        <v>0</v>
      </c>
      <c r="AP493" s="392">
        <f t="shared" si="210"/>
        <v>0</v>
      </c>
      <c r="AQ493" s="6191">
        <f t="shared" si="211"/>
        <v>0</v>
      </c>
      <c r="AR493" s="6859" t="str">
        <f t="shared" si="212"/>
        <v/>
      </c>
      <c r="AS493" s="6217"/>
      <c r="AT493" s="6217"/>
      <c r="AU493" s="6272">
        <f t="shared" si="213"/>
        <v>0</v>
      </c>
      <c r="AV493" s="6240">
        <f t="shared" si="214"/>
        <v>0</v>
      </c>
      <c r="AW493" s="6189" cm="1">
        <f t="array" ref="AW493">IF(AK493&lt;&gt;1,0,IF(OR(AU493="",N(AU493)&lt;=0.000000001),"",IF(OR(AO493="",N(AO493)&lt;=0.000000001),0,IF(ISNUMBER(AU493),IFERROR(_xlfn.LET(_xlpm.ai_test,TRIM(AJ493),_xlpm.r,IFERROR(_xlfn.XLOOKUP(_xlpm.ai_test,$BJ$15:$BJ$62,ROW($BJ$15:$BJ$62),0,1),IFERROR(_xlfn.XLOOKUP(_xlpm.ai_test,$BK$15:$BK$62,ROW($BK$15:$BK$62),0,1),_xlfn.XLOOKUP(_xlpm.ai_test,$BL$15:$BL$62,ROW($BL$15:$BL$62),0,1))),_xlpm.p,_xlpm.r-MIN(ROW($BJ$15:$BJ$62))+1,_xlpm.f,INDEX($BM$15:$BM$62,_xlpm.p),_xlpm.u,INDEX($BN$15:$BN$62,_xlpm.p),_xlpm.s,INDEX($BP$15:$BP$62,_xlpm.p),_xlpm.q,N(AU493)/_xlpm.f,IF(_xlpm.q&gt;=_xlpm.s,ROUND(_xlpm.q,1)&amp;" "&amp;_xlpm.ai_test&amp;" = "&amp;ROUND(_xlpm.q*_xlpm.f,1)&amp;" "&amp;_xlpm.u,ROUND(_xlpm.q,1)&amp;" "&amp;_xlpm.ai_test)),""),""))))</f>
        <v>0</v>
      </c>
      <c r="AX493" s="6218"/>
      <c r="AY493" s="6272">
        <f t="shared" si="215"/>
        <v>0</v>
      </c>
      <c r="AZ493" s="6240" t="str">
        <f t="shared" si="216"/>
        <v/>
      </c>
      <c r="BA493" s="6195">
        <f t="shared" si="221"/>
        <v>0</v>
      </c>
      <c r="BB493" s="6193" t="str">
        <f t="shared" si="217"/>
        <v/>
      </c>
      <c r="BC493" s="6219"/>
      <c r="BD493" s="6222">
        <f t="shared" si="222"/>
        <v>0</v>
      </c>
      <c r="BE493" s="6220" t="str">
        <f t="shared" si="218"/>
        <v/>
      </c>
      <c r="BF493" s="4" t="s">
        <v>1</v>
      </c>
      <c r="BG493" s="6196">
        <f t="shared" si="219"/>
        <v>0</v>
      </c>
      <c r="BH493" s="6197">
        <f t="shared" si="220"/>
        <v>0</v>
      </c>
      <c r="BI493"/>
      <c r="BJ493" s="1"/>
      <c r="BK493" s="1"/>
      <c r="BL493" s="1"/>
      <c r="BM493" s="1"/>
      <c r="BN493" s="1"/>
      <c r="BO493" s="1"/>
      <c r="BP493" s="1"/>
      <c r="BQ493" s="1"/>
      <c r="BX493" s="20" t="str">
        <f t="shared" si="201"/>
        <v>►</v>
      </c>
      <c r="BY493" s="2"/>
      <c r="BZ493" s="2"/>
      <c r="CA493" s="2"/>
      <c r="CB493" s="2"/>
      <c r="CC493" s="2"/>
      <c r="DC493" s="5">
        <v>1</v>
      </c>
    </row>
    <row r="494" spans="12:107" ht="21" customHeight="1">
      <c r="L494" s="1021" t="s">
        <v>26</v>
      </c>
      <c r="M494" s="6787"/>
      <c r="N494" s="6787"/>
      <c r="O494" s="6787"/>
      <c r="P494" s="6788"/>
      <c r="Q494" s="6789"/>
      <c r="R494" s="6790"/>
      <c r="S494" s="6786"/>
      <c r="T494" s="6791"/>
      <c r="U494" s="6844"/>
      <c r="V494" s="6791"/>
      <c r="W494" s="6785"/>
      <c r="X494" s="6868"/>
      <c r="Y494" s="6793"/>
      <c r="Z494" s="6794"/>
      <c r="AA494" s="6795"/>
      <c r="AB494" s="6796"/>
      <c r="AC494" s="6797"/>
      <c r="AD494" s="6798"/>
      <c r="AE494" s="4" t="s">
        <v>1</v>
      </c>
      <c r="AF494" s="6202" t="str">
        <f t="shared" si="202"/>
        <v>►</v>
      </c>
      <c r="AG494" s="6234" t="str">
        <f t="shared" si="203"/>
        <v/>
      </c>
      <c r="AH494" s="6732" t="str">
        <f t="shared" si="204"/>
        <v/>
      </c>
      <c r="AI494" s="6234" t="str">
        <f t="shared" si="205"/>
        <v/>
      </c>
      <c r="AJ494" s="6732" t="str">
        <f t="shared" si="206"/>
        <v/>
      </c>
      <c r="AK494" s="6732">
        <f t="shared" si="207"/>
        <v>0</v>
      </c>
      <c r="AL494" s="6230" t="str" cm="1">
        <f t="array" ref="AL494">IF(AF494&lt;&gt;"A","",IFERROR((IFERROR(_xlfn.XLOOKUP(TRIM(SUBSTITUTE(U494,CHAR(160)," ")),$BJ$15:$BJ$62,$BM$15:$BM$62),IFERROR(_xlfn.XLOOKUP(TRIM(SUBSTITUTE(U494,CHAR(160)," ")),$BK$15:$BK$62,$BM$15:$BM$62),_xlfn.XLOOKUP(TRIM(SUBSTITUTE(U494,CHAR(160)," ")),$BL$15:$BL$62,$BM$15:$BM$62))))*T494*IF(ISBLANK(Q494),1,Q494)+IFERROR(_xlfn.XLOOKUP("RECHERCHEX",TRIM(L494:AD494),L494:AD494),0),0))</f>
        <v/>
      </c>
      <c r="AM494" s="6229">
        <f t="shared" si="208"/>
        <v>0</v>
      </c>
      <c r="AN494" s="6857" t="str">
        <f t="shared" si="223"/>
        <v/>
      </c>
      <c r="AO494" s="392">
        <f t="shared" si="209"/>
        <v>0</v>
      </c>
      <c r="AP494" s="392">
        <f t="shared" si="210"/>
        <v>0</v>
      </c>
      <c r="AQ494" s="6190">
        <f t="shared" si="211"/>
        <v>0</v>
      </c>
      <c r="AR494" s="6858" t="str">
        <f t="shared" si="212"/>
        <v/>
      </c>
      <c r="AS494" s="6217"/>
      <c r="AT494" s="6217"/>
      <c r="AU494" s="6271">
        <f t="shared" si="213"/>
        <v>0</v>
      </c>
      <c r="AV494" s="6242">
        <f t="shared" si="214"/>
        <v>0</v>
      </c>
      <c r="AW494" s="6188" cm="1">
        <f t="array" ref="AW494">IF(AK494&lt;&gt;1,0,IF(OR(AU494="",N(AU494)&lt;=0.000000001),"",IF(OR(AO494="",N(AO494)&lt;=0.000000001),0,IF(ISNUMBER(AU494),IFERROR(_xlfn.LET(_xlpm.ai_test,TRIM(AJ494),_xlpm.r,IFERROR(_xlfn.XLOOKUP(_xlpm.ai_test,$BJ$15:$BJ$62,ROW($BJ$15:$BJ$62),0,1),IFERROR(_xlfn.XLOOKUP(_xlpm.ai_test,$BK$15:$BK$62,ROW($BK$15:$BK$62),0,1),_xlfn.XLOOKUP(_xlpm.ai_test,$BL$15:$BL$62,ROW($BL$15:$BL$62),0,1))),_xlpm.p,_xlpm.r-MIN(ROW($BJ$15:$BJ$62))+1,_xlpm.f,INDEX($BM$15:$BM$62,_xlpm.p),_xlpm.u,INDEX($BN$15:$BN$62,_xlpm.p),_xlpm.s,INDEX($BP$15:$BP$62,_xlpm.p),_xlpm.q,N(AU494)/_xlpm.f,IF(_xlpm.q&gt;=_xlpm.s,ROUND(_xlpm.q,1)&amp;" "&amp;_xlpm.ai_test&amp;" = "&amp;ROUND(_xlpm.q*_xlpm.f,1)&amp;" "&amp;_xlpm.u,ROUND(_xlpm.q,1)&amp;" "&amp;_xlpm.ai_test)),""),""))))</f>
        <v>0</v>
      </c>
      <c r="AX494" s="6218"/>
      <c r="AY494" s="6271">
        <f t="shared" si="215"/>
        <v>0</v>
      </c>
      <c r="AZ494" s="6242" t="str">
        <f t="shared" si="216"/>
        <v/>
      </c>
      <c r="BA494" s="6194">
        <f t="shared" si="221"/>
        <v>0</v>
      </c>
      <c r="BB494" s="6192" t="str">
        <f t="shared" si="217"/>
        <v/>
      </c>
      <c r="BC494" s="6219"/>
      <c r="BD494" s="6221">
        <f t="shared" si="222"/>
        <v>0</v>
      </c>
      <c r="BE494" s="6220" t="str">
        <f t="shared" si="218"/>
        <v/>
      </c>
      <c r="BF494" s="4" t="s">
        <v>1</v>
      </c>
      <c r="BG494" s="6196">
        <f t="shared" si="219"/>
        <v>0</v>
      </c>
      <c r="BH494" s="6197">
        <f t="shared" si="220"/>
        <v>0</v>
      </c>
      <c r="BI494"/>
      <c r="BJ494" s="1"/>
      <c r="BK494" s="1"/>
      <c r="BL494" s="1"/>
      <c r="BM494" s="1"/>
      <c r="BN494" s="1"/>
      <c r="BO494" s="1"/>
      <c r="BP494" s="1"/>
      <c r="BQ494" s="1"/>
      <c r="BX494" s="20" t="str">
        <f t="shared" si="201"/>
        <v>►</v>
      </c>
      <c r="BY494" s="2"/>
      <c r="BZ494" s="2"/>
      <c r="CA494" s="2"/>
      <c r="CB494" s="2"/>
      <c r="CC494" s="2"/>
      <c r="DC494" s="5">
        <v>1</v>
      </c>
    </row>
    <row r="495" spans="12:107" ht="21" customHeight="1">
      <c r="L495" s="1021" t="s">
        <v>26</v>
      </c>
      <c r="M495" s="6787"/>
      <c r="N495" s="6787"/>
      <c r="O495" s="6787"/>
      <c r="P495" s="6788"/>
      <c r="Q495" s="6789"/>
      <c r="R495" s="6790"/>
      <c r="S495" s="6786"/>
      <c r="T495" s="6791"/>
      <c r="U495" s="6844"/>
      <c r="V495" s="6791"/>
      <c r="W495" s="6785"/>
      <c r="X495" s="6868"/>
      <c r="Y495" s="6793"/>
      <c r="Z495" s="6794"/>
      <c r="AA495" s="6795"/>
      <c r="AB495" s="6796"/>
      <c r="AC495" s="6797"/>
      <c r="AD495" s="6798"/>
      <c r="AE495" s="4" t="s">
        <v>1</v>
      </c>
      <c r="AF495" s="6202" t="str">
        <f t="shared" si="202"/>
        <v>►</v>
      </c>
      <c r="AG495" s="6234" t="str">
        <f t="shared" si="203"/>
        <v/>
      </c>
      <c r="AH495" s="6732" t="str">
        <f t="shared" si="204"/>
        <v/>
      </c>
      <c r="AI495" s="6234" t="str">
        <f t="shared" si="205"/>
        <v/>
      </c>
      <c r="AJ495" s="6732" t="str">
        <f t="shared" si="206"/>
        <v/>
      </c>
      <c r="AK495" s="6732">
        <f t="shared" si="207"/>
        <v>0</v>
      </c>
      <c r="AL495" s="6230" t="str" cm="1">
        <f t="array" ref="AL495">IF(AF495&lt;&gt;"A","",IFERROR((IFERROR(_xlfn.XLOOKUP(TRIM(SUBSTITUTE(U495,CHAR(160)," ")),$BJ$15:$BJ$62,$BM$15:$BM$62),IFERROR(_xlfn.XLOOKUP(TRIM(SUBSTITUTE(U495,CHAR(160)," ")),$BK$15:$BK$62,$BM$15:$BM$62),_xlfn.XLOOKUP(TRIM(SUBSTITUTE(U495,CHAR(160)," ")),$BL$15:$BL$62,$BM$15:$BM$62))))*T495*IF(ISBLANK(Q495),1,Q495)+IFERROR(_xlfn.XLOOKUP("RECHERCHEX",TRIM(L495:AD495),L495:AD495),0),0))</f>
        <v/>
      </c>
      <c r="AM495" s="6229">
        <f t="shared" si="208"/>
        <v>0</v>
      </c>
      <c r="AN495" s="6857" t="str">
        <f t="shared" si="223"/>
        <v/>
      </c>
      <c r="AO495" s="392">
        <f t="shared" si="209"/>
        <v>0</v>
      </c>
      <c r="AP495" s="392">
        <f t="shared" si="210"/>
        <v>0</v>
      </c>
      <c r="AQ495" s="6191">
        <f t="shared" si="211"/>
        <v>0</v>
      </c>
      <c r="AR495" s="6859" t="str">
        <f t="shared" si="212"/>
        <v/>
      </c>
      <c r="AS495" s="6217"/>
      <c r="AT495" s="6217"/>
      <c r="AU495" s="6272">
        <f t="shared" si="213"/>
        <v>0</v>
      </c>
      <c r="AV495" s="6240">
        <f t="shared" si="214"/>
        <v>0</v>
      </c>
      <c r="AW495" s="6189" cm="1">
        <f t="array" ref="AW495">IF(AK495&lt;&gt;1,0,IF(OR(AU495="",N(AU495)&lt;=0.000000001),"",IF(OR(AO495="",N(AO495)&lt;=0.000000001),0,IF(ISNUMBER(AU495),IFERROR(_xlfn.LET(_xlpm.ai_test,TRIM(AJ495),_xlpm.r,IFERROR(_xlfn.XLOOKUP(_xlpm.ai_test,$BJ$15:$BJ$62,ROW($BJ$15:$BJ$62),0,1),IFERROR(_xlfn.XLOOKUP(_xlpm.ai_test,$BK$15:$BK$62,ROW($BK$15:$BK$62),0,1),_xlfn.XLOOKUP(_xlpm.ai_test,$BL$15:$BL$62,ROW($BL$15:$BL$62),0,1))),_xlpm.p,_xlpm.r-MIN(ROW($BJ$15:$BJ$62))+1,_xlpm.f,INDEX($BM$15:$BM$62,_xlpm.p),_xlpm.u,INDEX($BN$15:$BN$62,_xlpm.p),_xlpm.s,INDEX($BP$15:$BP$62,_xlpm.p),_xlpm.q,N(AU495)/_xlpm.f,IF(_xlpm.q&gt;=_xlpm.s,ROUND(_xlpm.q,1)&amp;" "&amp;_xlpm.ai_test&amp;" = "&amp;ROUND(_xlpm.q*_xlpm.f,1)&amp;" "&amp;_xlpm.u,ROUND(_xlpm.q,1)&amp;" "&amp;_xlpm.ai_test)),""),""))))</f>
        <v>0</v>
      </c>
      <c r="AX495" s="6218"/>
      <c r="AY495" s="6272">
        <f t="shared" si="215"/>
        <v>0</v>
      </c>
      <c r="AZ495" s="6240" t="str">
        <f t="shared" si="216"/>
        <v/>
      </c>
      <c r="BA495" s="6195">
        <f t="shared" si="221"/>
        <v>0</v>
      </c>
      <c r="BB495" s="6193" t="str">
        <f t="shared" si="217"/>
        <v/>
      </c>
      <c r="BC495" s="6219"/>
      <c r="BD495" s="6222">
        <f t="shared" si="222"/>
        <v>0</v>
      </c>
      <c r="BE495" s="6220" t="str">
        <f t="shared" si="218"/>
        <v/>
      </c>
      <c r="BF495" s="4" t="s">
        <v>1</v>
      </c>
      <c r="BG495" s="6196">
        <f t="shared" si="219"/>
        <v>0</v>
      </c>
      <c r="BH495" s="6197">
        <f t="shared" si="220"/>
        <v>0</v>
      </c>
      <c r="BI495"/>
      <c r="BJ495" s="1"/>
      <c r="BK495" s="1"/>
      <c r="BL495" s="1"/>
      <c r="BM495" s="1"/>
      <c r="BN495" s="1"/>
      <c r="BO495" s="1"/>
      <c r="BP495" s="1"/>
      <c r="BQ495" s="1"/>
      <c r="BX495" s="20" t="str">
        <f t="shared" si="201"/>
        <v>►</v>
      </c>
      <c r="BY495" s="2"/>
      <c r="BZ495" s="2"/>
      <c r="CA495" s="2"/>
      <c r="CB495" s="2"/>
      <c r="CC495" s="2"/>
      <c r="DC495" s="5">
        <v>1</v>
      </c>
    </row>
    <row r="496" spans="12:107" ht="21" customHeight="1">
      <c r="L496" s="1021" t="s">
        <v>26</v>
      </c>
      <c r="M496" s="6787"/>
      <c r="N496" s="6787"/>
      <c r="O496" s="6787"/>
      <c r="P496" s="6788"/>
      <c r="Q496" s="6789"/>
      <c r="R496" s="6790"/>
      <c r="S496" s="6786"/>
      <c r="T496" s="6791"/>
      <c r="U496" s="6844"/>
      <c r="V496" s="6791"/>
      <c r="W496" s="6785"/>
      <c r="X496" s="6868"/>
      <c r="Y496" s="6793"/>
      <c r="Z496" s="6794"/>
      <c r="AA496" s="6795"/>
      <c r="AB496" s="6796"/>
      <c r="AC496" s="6797"/>
      <c r="AD496" s="6798"/>
      <c r="AE496" s="4" t="s">
        <v>1</v>
      </c>
      <c r="AF496" s="6202" t="str">
        <f t="shared" si="202"/>
        <v>►</v>
      </c>
      <c r="AG496" s="6234" t="str">
        <f t="shared" si="203"/>
        <v/>
      </c>
      <c r="AH496" s="6732" t="str">
        <f t="shared" si="204"/>
        <v/>
      </c>
      <c r="AI496" s="6234" t="str">
        <f t="shared" si="205"/>
        <v/>
      </c>
      <c r="AJ496" s="6732" t="str">
        <f t="shared" si="206"/>
        <v/>
      </c>
      <c r="AK496" s="6732">
        <f t="shared" si="207"/>
        <v>0</v>
      </c>
      <c r="AL496" s="6230" t="str" cm="1">
        <f t="array" ref="AL496">IF(AF496&lt;&gt;"A","",IFERROR((IFERROR(_xlfn.XLOOKUP(TRIM(SUBSTITUTE(U496,CHAR(160)," ")),$BJ$15:$BJ$62,$BM$15:$BM$62),IFERROR(_xlfn.XLOOKUP(TRIM(SUBSTITUTE(U496,CHAR(160)," ")),$BK$15:$BK$62,$BM$15:$BM$62),_xlfn.XLOOKUP(TRIM(SUBSTITUTE(U496,CHAR(160)," ")),$BL$15:$BL$62,$BM$15:$BM$62))))*T496*IF(ISBLANK(Q496),1,Q496)+IFERROR(_xlfn.XLOOKUP("RECHERCHEX",TRIM(L496:AD496),L496:AD496),0),0))</f>
        <v/>
      </c>
      <c r="AM496" s="6229">
        <f t="shared" si="208"/>
        <v>0</v>
      </c>
      <c r="AN496" s="6857" t="str">
        <f t="shared" si="223"/>
        <v/>
      </c>
      <c r="AO496" s="392">
        <f t="shared" si="209"/>
        <v>0</v>
      </c>
      <c r="AP496" s="392">
        <f t="shared" si="210"/>
        <v>0</v>
      </c>
      <c r="AQ496" s="6190">
        <f t="shared" si="211"/>
        <v>0</v>
      </c>
      <c r="AR496" s="6858" t="str">
        <f t="shared" si="212"/>
        <v/>
      </c>
      <c r="AS496" s="6217"/>
      <c r="AT496" s="6217"/>
      <c r="AU496" s="6271">
        <f t="shared" si="213"/>
        <v>0</v>
      </c>
      <c r="AV496" s="6242">
        <f t="shared" si="214"/>
        <v>0</v>
      </c>
      <c r="AW496" s="6188" cm="1">
        <f t="array" ref="AW496">IF(AK496&lt;&gt;1,0,IF(OR(AU496="",N(AU496)&lt;=0.000000001),"",IF(OR(AO496="",N(AO496)&lt;=0.000000001),0,IF(ISNUMBER(AU496),IFERROR(_xlfn.LET(_xlpm.ai_test,TRIM(AJ496),_xlpm.r,IFERROR(_xlfn.XLOOKUP(_xlpm.ai_test,$BJ$15:$BJ$62,ROW($BJ$15:$BJ$62),0,1),IFERROR(_xlfn.XLOOKUP(_xlpm.ai_test,$BK$15:$BK$62,ROW($BK$15:$BK$62),0,1),_xlfn.XLOOKUP(_xlpm.ai_test,$BL$15:$BL$62,ROW($BL$15:$BL$62),0,1))),_xlpm.p,_xlpm.r-MIN(ROW($BJ$15:$BJ$62))+1,_xlpm.f,INDEX($BM$15:$BM$62,_xlpm.p),_xlpm.u,INDEX($BN$15:$BN$62,_xlpm.p),_xlpm.s,INDEX($BP$15:$BP$62,_xlpm.p),_xlpm.q,N(AU496)/_xlpm.f,IF(_xlpm.q&gt;=_xlpm.s,ROUND(_xlpm.q,1)&amp;" "&amp;_xlpm.ai_test&amp;" = "&amp;ROUND(_xlpm.q*_xlpm.f,1)&amp;" "&amp;_xlpm.u,ROUND(_xlpm.q,1)&amp;" "&amp;_xlpm.ai_test)),""),""))))</f>
        <v>0</v>
      </c>
      <c r="AX496" s="6218"/>
      <c r="AY496" s="6271">
        <f t="shared" si="215"/>
        <v>0</v>
      </c>
      <c r="AZ496" s="6242" t="str">
        <f t="shared" si="216"/>
        <v/>
      </c>
      <c r="BA496" s="6194">
        <f t="shared" si="221"/>
        <v>0</v>
      </c>
      <c r="BB496" s="6192" t="str">
        <f t="shared" si="217"/>
        <v/>
      </c>
      <c r="BC496" s="6219"/>
      <c r="BD496" s="6221">
        <f t="shared" si="222"/>
        <v>0</v>
      </c>
      <c r="BE496" s="6220" t="str">
        <f t="shared" si="218"/>
        <v/>
      </c>
      <c r="BF496" s="4" t="s">
        <v>1</v>
      </c>
      <c r="BG496" s="6196">
        <f t="shared" si="219"/>
        <v>0</v>
      </c>
      <c r="BH496" s="6197">
        <f t="shared" si="220"/>
        <v>0</v>
      </c>
      <c r="BI496"/>
      <c r="BJ496" s="1"/>
      <c r="BK496" s="1"/>
      <c r="BL496" s="1"/>
      <c r="BM496" s="1"/>
      <c r="BN496" s="1"/>
      <c r="BO496" s="1"/>
      <c r="BP496" s="1"/>
      <c r="BQ496" s="1"/>
      <c r="BX496" s="20" t="str">
        <f t="shared" si="201"/>
        <v>►</v>
      </c>
      <c r="BY496" s="2"/>
      <c r="BZ496" s="2"/>
      <c r="CA496" s="2"/>
      <c r="CB496" s="2"/>
      <c r="CC496" s="2"/>
      <c r="DC496" s="5">
        <v>1</v>
      </c>
    </row>
    <row r="497" spans="12:107" ht="21" customHeight="1">
      <c r="L497" s="1021" t="s">
        <v>26</v>
      </c>
      <c r="M497" s="6787"/>
      <c r="N497" s="6787"/>
      <c r="O497" s="6787"/>
      <c r="P497" s="6788"/>
      <c r="Q497" s="6789"/>
      <c r="R497" s="6790"/>
      <c r="S497" s="6786"/>
      <c r="T497" s="6791"/>
      <c r="U497" s="6844"/>
      <c r="V497" s="6791"/>
      <c r="W497" s="6785"/>
      <c r="X497" s="6868"/>
      <c r="Y497" s="6793"/>
      <c r="Z497" s="6794"/>
      <c r="AA497" s="6795"/>
      <c r="AB497" s="6796"/>
      <c r="AC497" s="6797"/>
      <c r="AD497" s="6798"/>
      <c r="AE497" s="4" t="s">
        <v>1</v>
      </c>
      <c r="AF497" s="6202" t="str">
        <f t="shared" si="202"/>
        <v>►</v>
      </c>
      <c r="AG497" s="6234" t="str">
        <f t="shared" si="203"/>
        <v/>
      </c>
      <c r="AH497" s="6732" t="str">
        <f t="shared" si="204"/>
        <v/>
      </c>
      <c r="AI497" s="6234" t="str">
        <f t="shared" si="205"/>
        <v/>
      </c>
      <c r="AJ497" s="6732" t="str">
        <f t="shared" si="206"/>
        <v/>
      </c>
      <c r="AK497" s="6732">
        <f t="shared" si="207"/>
        <v>0</v>
      </c>
      <c r="AL497" s="6230" t="str" cm="1">
        <f t="array" ref="AL497">IF(AF497&lt;&gt;"A","",IFERROR((IFERROR(_xlfn.XLOOKUP(TRIM(SUBSTITUTE(U497,CHAR(160)," ")),$BJ$15:$BJ$62,$BM$15:$BM$62),IFERROR(_xlfn.XLOOKUP(TRIM(SUBSTITUTE(U497,CHAR(160)," ")),$BK$15:$BK$62,$BM$15:$BM$62),_xlfn.XLOOKUP(TRIM(SUBSTITUTE(U497,CHAR(160)," ")),$BL$15:$BL$62,$BM$15:$BM$62))))*T497*IF(ISBLANK(Q497),1,Q497)+IFERROR(_xlfn.XLOOKUP("RECHERCHEX",TRIM(L497:AD497),L497:AD497),0),0))</f>
        <v/>
      </c>
      <c r="AM497" s="6229">
        <f t="shared" si="208"/>
        <v>0</v>
      </c>
      <c r="AN497" s="6857" t="str">
        <f t="shared" si="223"/>
        <v/>
      </c>
      <c r="AO497" s="392">
        <f t="shared" si="209"/>
        <v>0</v>
      </c>
      <c r="AP497" s="392">
        <f t="shared" si="210"/>
        <v>0</v>
      </c>
      <c r="AQ497" s="6191">
        <f t="shared" si="211"/>
        <v>0</v>
      </c>
      <c r="AR497" s="6859" t="str">
        <f t="shared" si="212"/>
        <v/>
      </c>
      <c r="AS497" s="6217"/>
      <c r="AT497" s="6217"/>
      <c r="AU497" s="6272">
        <f t="shared" si="213"/>
        <v>0</v>
      </c>
      <c r="AV497" s="6240">
        <f t="shared" si="214"/>
        <v>0</v>
      </c>
      <c r="AW497" s="6189" cm="1">
        <f t="array" ref="AW497">IF(AK497&lt;&gt;1,0,IF(OR(AU497="",N(AU497)&lt;=0.000000001),"",IF(OR(AO497="",N(AO497)&lt;=0.000000001),0,IF(ISNUMBER(AU497),IFERROR(_xlfn.LET(_xlpm.ai_test,TRIM(AJ497),_xlpm.r,IFERROR(_xlfn.XLOOKUP(_xlpm.ai_test,$BJ$15:$BJ$62,ROW($BJ$15:$BJ$62),0,1),IFERROR(_xlfn.XLOOKUP(_xlpm.ai_test,$BK$15:$BK$62,ROW($BK$15:$BK$62),0,1),_xlfn.XLOOKUP(_xlpm.ai_test,$BL$15:$BL$62,ROW($BL$15:$BL$62),0,1))),_xlpm.p,_xlpm.r-MIN(ROW($BJ$15:$BJ$62))+1,_xlpm.f,INDEX($BM$15:$BM$62,_xlpm.p),_xlpm.u,INDEX($BN$15:$BN$62,_xlpm.p),_xlpm.s,INDEX($BP$15:$BP$62,_xlpm.p),_xlpm.q,N(AU497)/_xlpm.f,IF(_xlpm.q&gt;=_xlpm.s,ROUND(_xlpm.q,1)&amp;" "&amp;_xlpm.ai_test&amp;" = "&amp;ROUND(_xlpm.q*_xlpm.f,1)&amp;" "&amp;_xlpm.u,ROUND(_xlpm.q,1)&amp;" "&amp;_xlpm.ai_test)),""),""))))</f>
        <v>0</v>
      </c>
      <c r="AX497" s="6218"/>
      <c r="AY497" s="6272">
        <f t="shared" si="215"/>
        <v>0</v>
      </c>
      <c r="AZ497" s="6240" t="str">
        <f t="shared" si="216"/>
        <v/>
      </c>
      <c r="BA497" s="6195">
        <f t="shared" si="221"/>
        <v>0</v>
      </c>
      <c r="BB497" s="6193" t="str">
        <f t="shared" si="217"/>
        <v/>
      </c>
      <c r="BC497" s="6219"/>
      <c r="BD497" s="6222">
        <f t="shared" si="222"/>
        <v>0</v>
      </c>
      <c r="BE497" s="6220" t="str">
        <f t="shared" si="218"/>
        <v/>
      </c>
      <c r="BF497" s="4" t="s">
        <v>1</v>
      </c>
      <c r="BG497" s="6196">
        <f t="shared" si="219"/>
        <v>0</v>
      </c>
      <c r="BH497" s="6197">
        <f t="shared" si="220"/>
        <v>0</v>
      </c>
      <c r="BI497"/>
      <c r="BJ497" s="1"/>
      <c r="BK497" s="1"/>
      <c r="BL497" s="1"/>
      <c r="BM497" s="1"/>
      <c r="BN497" s="1"/>
      <c r="BO497" s="1"/>
      <c r="BP497" s="1"/>
      <c r="BQ497" s="1"/>
      <c r="BX497" s="20" t="str">
        <f t="shared" si="201"/>
        <v>►</v>
      </c>
      <c r="BY497" s="2"/>
      <c r="BZ497" s="2"/>
      <c r="CA497" s="2"/>
      <c r="CB497" s="2"/>
      <c r="CC497" s="2"/>
      <c r="DC497" s="5">
        <v>1</v>
      </c>
    </row>
    <row r="498" spans="12:107" ht="21" customHeight="1">
      <c r="L498" s="1021" t="s">
        <v>26</v>
      </c>
      <c r="M498" s="6787"/>
      <c r="N498" s="6787"/>
      <c r="O498" s="6787"/>
      <c r="P498" s="6788"/>
      <c r="Q498" s="6789"/>
      <c r="R498" s="6790"/>
      <c r="S498" s="6786"/>
      <c r="T498" s="6791"/>
      <c r="U498" s="6844"/>
      <c r="V498" s="6791"/>
      <c r="W498" s="6785"/>
      <c r="X498" s="6868"/>
      <c r="Y498" s="6793"/>
      <c r="Z498" s="6794"/>
      <c r="AA498" s="6795"/>
      <c r="AB498" s="6796"/>
      <c r="AC498" s="6797"/>
      <c r="AD498" s="6798"/>
      <c r="AE498" s="4" t="s">
        <v>1</v>
      </c>
      <c r="AF498" s="6202" t="str">
        <f t="shared" si="202"/>
        <v>►</v>
      </c>
      <c r="AG498" s="6234" t="str">
        <f t="shared" si="203"/>
        <v/>
      </c>
      <c r="AH498" s="6732" t="str">
        <f t="shared" si="204"/>
        <v/>
      </c>
      <c r="AI498" s="6234" t="str">
        <f t="shared" si="205"/>
        <v/>
      </c>
      <c r="AJ498" s="6732" t="str">
        <f t="shared" si="206"/>
        <v/>
      </c>
      <c r="AK498" s="6732">
        <f t="shared" si="207"/>
        <v>0</v>
      </c>
      <c r="AL498" s="6230" t="str" cm="1">
        <f t="array" ref="AL498">IF(AF498&lt;&gt;"A","",IFERROR((IFERROR(_xlfn.XLOOKUP(TRIM(SUBSTITUTE(U498,CHAR(160)," ")),$BJ$15:$BJ$62,$BM$15:$BM$62),IFERROR(_xlfn.XLOOKUP(TRIM(SUBSTITUTE(U498,CHAR(160)," ")),$BK$15:$BK$62,$BM$15:$BM$62),_xlfn.XLOOKUP(TRIM(SUBSTITUTE(U498,CHAR(160)," ")),$BL$15:$BL$62,$BM$15:$BM$62))))*T498*IF(ISBLANK(Q498),1,Q498)+IFERROR(_xlfn.XLOOKUP("RECHERCHEX",TRIM(L498:AD498),L498:AD498),0),0))</f>
        <v/>
      </c>
      <c r="AM498" s="6229">
        <f t="shared" si="208"/>
        <v>0</v>
      </c>
      <c r="AN498" s="6857" t="str">
        <f t="shared" si="223"/>
        <v/>
      </c>
      <c r="AO498" s="392">
        <f t="shared" si="209"/>
        <v>0</v>
      </c>
      <c r="AP498" s="392">
        <f t="shared" si="210"/>
        <v>0</v>
      </c>
      <c r="AQ498" s="6190">
        <f t="shared" si="211"/>
        <v>0</v>
      </c>
      <c r="AR498" s="6858" t="str">
        <f t="shared" si="212"/>
        <v/>
      </c>
      <c r="AS498" s="6217"/>
      <c r="AT498" s="6217"/>
      <c r="AU498" s="6271">
        <f t="shared" si="213"/>
        <v>0</v>
      </c>
      <c r="AV498" s="6242">
        <f t="shared" si="214"/>
        <v>0</v>
      </c>
      <c r="AW498" s="6188" cm="1">
        <f t="array" ref="AW498">IF(AK498&lt;&gt;1,0,IF(OR(AU498="",N(AU498)&lt;=0.000000001),"",IF(OR(AO498="",N(AO498)&lt;=0.000000001),0,IF(ISNUMBER(AU498),IFERROR(_xlfn.LET(_xlpm.ai_test,TRIM(AJ498),_xlpm.r,IFERROR(_xlfn.XLOOKUP(_xlpm.ai_test,$BJ$15:$BJ$62,ROW($BJ$15:$BJ$62),0,1),IFERROR(_xlfn.XLOOKUP(_xlpm.ai_test,$BK$15:$BK$62,ROW($BK$15:$BK$62),0,1),_xlfn.XLOOKUP(_xlpm.ai_test,$BL$15:$BL$62,ROW($BL$15:$BL$62),0,1))),_xlpm.p,_xlpm.r-MIN(ROW($BJ$15:$BJ$62))+1,_xlpm.f,INDEX($BM$15:$BM$62,_xlpm.p),_xlpm.u,INDEX($BN$15:$BN$62,_xlpm.p),_xlpm.s,INDEX($BP$15:$BP$62,_xlpm.p),_xlpm.q,N(AU498)/_xlpm.f,IF(_xlpm.q&gt;=_xlpm.s,ROUND(_xlpm.q,1)&amp;" "&amp;_xlpm.ai_test&amp;" = "&amp;ROUND(_xlpm.q*_xlpm.f,1)&amp;" "&amp;_xlpm.u,ROUND(_xlpm.q,1)&amp;" "&amp;_xlpm.ai_test)),""),""))))</f>
        <v>0</v>
      </c>
      <c r="AX498" s="6218"/>
      <c r="AY498" s="6271">
        <f t="shared" si="215"/>
        <v>0</v>
      </c>
      <c r="AZ498" s="6242" t="str">
        <f t="shared" si="216"/>
        <v/>
      </c>
      <c r="BA498" s="6194">
        <f t="shared" si="221"/>
        <v>0</v>
      </c>
      <c r="BB498" s="6192" t="str">
        <f t="shared" si="217"/>
        <v/>
      </c>
      <c r="BC498" s="6219"/>
      <c r="BD498" s="6221">
        <f t="shared" si="222"/>
        <v>0</v>
      </c>
      <c r="BE498" s="6220" t="str">
        <f t="shared" si="218"/>
        <v/>
      </c>
      <c r="BF498" s="4" t="s">
        <v>1</v>
      </c>
      <c r="BG498" s="6196">
        <f t="shared" si="219"/>
        <v>0</v>
      </c>
      <c r="BH498" s="6197">
        <f t="shared" si="220"/>
        <v>0</v>
      </c>
      <c r="BI498"/>
      <c r="BJ498" s="1"/>
      <c r="BK498" s="1"/>
      <c r="BL498" s="1"/>
      <c r="BM498" s="1"/>
      <c r="BN498" s="1"/>
      <c r="BO498" s="1"/>
      <c r="BP498" s="1"/>
      <c r="BQ498" s="1"/>
      <c r="BX498" s="20" t="str">
        <f t="shared" si="201"/>
        <v>►</v>
      </c>
      <c r="BY498" s="2"/>
      <c r="BZ498" s="2"/>
      <c r="CA498" s="2"/>
      <c r="CB498" s="2"/>
      <c r="CC498" s="2"/>
      <c r="DC498" s="5">
        <v>1</v>
      </c>
    </row>
    <row r="499" spans="12:107" ht="21" customHeight="1">
      <c r="L499" s="1021" t="s">
        <v>26</v>
      </c>
      <c r="M499" s="6787"/>
      <c r="N499" s="6787"/>
      <c r="O499" s="6787"/>
      <c r="P499" s="6788"/>
      <c r="Q499" s="6789"/>
      <c r="R499" s="6790"/>
      <c r="S499" s="6786"/>
      <c r="T499" s="6791"/>
      <c r="U499" s="6844"/>
      <c r="V499" s="6791"/>
      <c r="W499" s="6785"/>
      <c r="X499" s="6868"/>
      <c r="Y499" s="6793"/>
      <c r="Z499" s="6794"/>
      <c r="AA499" s="6795"/>
      <c r="AB499" s="6796"/>
      <c r="AC499" s="6797"/>
      <c r="AD499" s="6798"/>
      <c r="AE499" s="4" t="s">
        <v>1</v>
      </c>
      <c r="AF499" s="6202" t="str">
        <f t="shared" si="202"/>
        <v>►</v>
      </c>
      <c r="AG499" s="6234" t="str">
        <f t="shared" si="203"/>
        <v/>
      </c>
      <c r="AH499" s="6732" t="str">
        <f t="shared" si="204"/>
        <v/>
      </c>
      <c r="AI499" s="6234" t="str">
        <f t="shared" si="205"/>
        <v/>
      </c>
      <c r="AJ499" s="6732" t="str">
        <f t="shared" si="206"/>
        <v/>
      </c>
      <c r="AK499" s="6732">
        <f t="shared" si="207"/>
        <v>0</v>
      </c>
      <c r="AL499" s="6230" t="str" cm="1">
        <f t="array" ref="AL499">IF(AF499&lt;&gt;"A","",IFERROR((IFERROR(_xlfn.XLOOKUP(TRIM(SUBSTITUTE(U499,CHAR(160)," ")),$BJ$15:$BJ$62,$BM$15:$BM$62),IFERROR(_xlfn.XLOOKUP(TRIM(SUBSTITUTE(U499,CHAR(160)," ")),$BK$15:$BK$62,$BM$15:$BM$62),_xlfn.XLOOKUP(TRIM(SUBSTITUTE(U499,CHAR(160)," ")),$BL$15:$BL$62,$BM$15:$BM$62))))*T499*IF(ISBLANK(Q499),1,Q499)+IFERROR(_xlfn.XLOOKUP("RECHERCHEX",TRIM(L499:AD499),L499:AD499),0),0))</f>
        <v/>
      </c>
      <c r="AM499" s="6229">
        <f t="shared" si="208"/>
        <v>0</v>
      </c>
      <c r="AN499" s="6857" t="str">
        <f t="shared" si="223"/>
        <v/>
      </c>
      <c r="AO499" s="392">
        <f t="shared" si="209"/>
        <v>0</v>
      </c>
      <c r="AP499" s="392">
        <f t="shared" si="210"/>
        <v>0</v>
      </c>
      <c r="AQ499" s="6191">
        <f t="shared" si="211"/>
        <v>0</v>
      </c>
      <c r="AR499" s="6859" t="str">
        <f t="shared" si="212"/>
        <v/>
      </c>
      <c r="AS499" s="6217"/>
      <c r="AT499" s="6217"/>
      <c r="AU499" s="6272">
        <f t="shared" si="213"/>
        <v>0</v>
      </c>
      <c r="AV499" s="6240">
        <f t="shared" si="214"/>
        <v>0</v>
      </c>
      <c r="AW499" s="6189" cm="1">
        <f t="array" ref="AW499">IF(AK499&lt;&gt;1,0,IF(OR(AU499="",N(AU499)&lt;=0.000000001),"",IF(OR(AO499="",N(AO499)&lt;=0.000000001),0,IF(ISNUMBER(AU499),IFERROR(_xlfn.LET(_xlpm.ai_test,TRIM(AJ499),_xlpm.r,IFERROR(_xlfn.XLOOKUP(_xlpm.ai_test,$BJ$15:$BJ$62,ROW($BJ$15:$BJ$62),0,1),IFERROR(_xlfn.XLOOKUP(_xlpm.ai_test,$BK$15:$BK$62,ROW($BK$15:$BK$62),0,1),_xlfn.XLOOKUP(_xlpm.ai_test,$BL$15:$BL$62,ROW($BL$15:$BL$62),0,1))),_xlpm.p,_xlpm.r-MIN(ROW($BJ$15:$BJ$62))+1,_xlpm.f,INDEX($BM$15:$BM$62,_xlpm.p),_xlpm.u,INDEX($BN$15:$BN$62,_xlpm.p),_xlpm.s,INDEX($BP$15:$BP$62,_xlpm.p),_xlpm.q,N(AU499)/_xlpm.f,IF(_xlpm.q&gt;=_xlpm.s,ROUND(_xlpm.q,1)&amp;" "&amp;_xlpm.ai_test&amp;" = "&amp;ROUND(_xlpm.q*_xlpm.f,1)&amp;" "&amp;_xlpm.u,ROUND(_xlpm.q,1)&amp;" "&amp;_xlpm.ai_test)),""),""))))</f>
        <v>0</v>
      </c>
      <c r="AX499" s="6218"/>
      <c r="AY499" s="6272">
        <f t="shared" si="215"/>
        <v>0</v>
      </c>
      <c r="AZ499" s="6240" t="str">
        <f t="shared" si="216"/>
        <v/>
      </c>
      <c r="BA499" s="6195">
        <f t="shared" si="221"/>
        <v>0</v>
      </c>
      <c r="BB499" s="6193" t="str">
        <f t="shared" si="217"/>
        <v/>
      </c>
      <c r="BC499" s="6219"/>
      <c r="BD499" s="6222">
        <f t="shared" si="222"/>
        <v>0</v>
      </c>
      <c r="BE499" s="6220" t="str">
        <f t="shared" si="218"/>
        <v/>
      </c>
      <c r="BF499" s="4" t="s">
        <v>1</v>
      </c>
      <c r="BG499" s="6196">
        <f t="shared" si="219"/>
        <v>0</v>
      </c>
      <c r="BH499" s="6197">
        <f t="shared" si="220"/>
        <v>0</v>
      </c>
      <c r="BI499"/>
      <c r="BJ499" s="1"/>
      <c r="BK499" s="1"/>
      <c r="BL499" s="1"/>
      <c r="BM499" s="1"/>
      <c r="BN499" s="1"/>
      <c r="BO499" s="1"/>
      <c r="BP499" s="1"/>
      <c r="BQ499" s="1"/>
      <c r="BX499" s="20" t="str">
        <f t="shared" si="201"/>
        <v>►</v>
      </c>
      <c r="BY499" s="2"/>
      <c r="BZ499" s="2"/>
      <c r="CA499" s="2"/>
      <c r="CB499" s="2"/>
      <c r="CC499" s="2"/>
      <c r="DC499" s="5">
        <v>1</v>
      </c>
    </row>
    <row r="500" spans="12:107" ht="21" customHeight="1">
      <c r="L500" s="1021" t="s">
        <v>26</v>
      </c>
      <c r="M500" s="6787"/>
      <c r="N500" s="6787"/>
      <c r="O500" s="6787"/>
      <c r="P500" s="6788"/>
      <c r="Q500" s="6789"/>
      <c r="R500" s="6790"/>
      <c r="S500" s="6786"/>
      <c r="T500" s="6791"/>
      <c r="U500" s="6844"/>
      <c r="V500" s="6791"/>
      <c r="W500" s="6785"/>
      <c r="X500" s="6868"/>
      <c r="Y500" s="6793"/>
      <c r="Z500" s="6794"/>
      <c r="AA500" s="6795"/>
      <c r="AB500" s="6796"/>
      <c r="AC500" s="6797"/>
      <c r="AD500" s="6798"/>
      <c r="AE500" s="4" t="s">
        <v>1</v>
      </c>
      <c r="AF500" s="6202" t="str">
        <f t="shared" si="202"/>
        <v>►</v>
      </c>
      <c r="AG500" s="6234" t="str">
        <f t="shared" si="203"/>
        <v/>
      </c>
      <c r="AH500" s="6732" t="str">
        <f t="shared" si="204"/>
        <v/>
      </c>
      <c r="AI500" s="6234" t="str">
        <f t="shared" si="205"/>
        <v/>
      </c>
      <c r="AJ500" s="6732" t="str">
        <f t="shared" si="206"/>
        <v/>
      </c>
      <c r="AK500" s="6732">
        <f t="shared" si="207"/>
        <v>0</v>
      </c>
      <c r="AL500" s="6230" t="str" cm="1">
        <f t="array" ref="AL500">IF(AF500&lt;&gt;"A","",IFERROR((IFERROR(_xlfn.XLOOKUP(TRIM(SUBSTITUTE(U500,CHAR(160)," ")),$BJ$15:$BJ$62,$BM$15:$BM$62),IFERROR(_xlfn.XLOOKUP(TRIM(SUBSTITUTE(U500,CHAR(160)," ")),$BK$15:$BK$62,$BM$15:$BM$62),_xlfn.XLOOKUP(TRIM(SUBSTITUTE(U500,CHAR(160)," ")),$BL$15:$BL$62,$BM$15:$BM$62))))*T500*IF(ISBLANK(Q500),1,Q500)+IFERROR(_xlfn.XLOOKUP("RECHERCHEX",TRIM(L500:AD500),L500:AD500),0),0))</f>
        <v/>
      </c>
      <c r="AM500" s="6229">
        <f t="shared" si="208"/>
        <v>0</v>
      </c>
      <c r="AN500" s="6857" t="str">
        <f t="shared" si="223"/>
        <v/>
      </c>
      <c r="AO500" s="392">
        <f t="shared" si="209"/>
        <v>0</v>
      </c>
      <c r="AP500" s="392">
        <f t="shared" si="210"/>
        <v>0</v>
      </c>
      <c r="AQ500" s="6190">
        <f t="shared" si="211"/>
        <v>0</v>
      </c>
      <c r="AR500" s="6858" t="str">
        <f t="shared" si="212"/>
        <v/>
      </c>
      <c r="AS500" s="6217"/>
      <c r="AT500" s="6217"/>
      <c r="AU500" s="6271">
        <f t="shared" si="213"/>
        <v>0</v>
      </c>
      <c r="AV500" s="6242">
        <f t="shared" si="214"/>
        <v>0</v>
      </c>
      <c r="AW500" s="6188" cm="1">
        <f t="array" ref="AW500">IF(AK500&lt;&gt;1,0,IF(OR(AU500="",N(AU500)&lt;=0.000000001),"",IF(OR(AO500="",N(AO500)&lt;=0.000000001),0,IF(ISNUMBER(AU500),IFERROR(_xlfn.LET(_xlpm.ai_test,TRIM(AJ500),_xlpm.r,IFERROR(_xlfn.XLOOKUP(_xlpm.ai_test,$BJ$15:$BJ$62,ROW($BJ$15:$BJ$62),0,1),IFERROR(_xlfn.XLOOKUP(_xlpm.ai_test,$BK$15:$BK$62,ROW($BK$15:$BK$62),0,1),_xlfn.XLOOKUP(_xlpm.ai_test,$BL$15:$BL$62,ROW($BL$15:$BL$62),0,1))),_xlpm.p,_xlpm.r-MIN(ROW($BJ$15:$BJ$62))+1,_xlpm.f,INDEX($BM$15:$BM$62,_xlpm.p),_xlpm.u,INDEX($BN$15:$BN$62,_xlpm.p),_xlpm.s,INDEX($BP$15:$BP$62,_xlpm.p),_xlpm.q,N(AU500)/_xlpm.f,IF(_xlpm.q&gt;=_xlpm.s,ROUND(_xlpm.q,1)&amp;" "&amp;_xlpm.ai_test&amp;" = "&amp;ROUND(_xlpm.q*_xlpm.f,1)&amp;" "&amp;_xlpm.u,ROUND(_xlpm.q,1)&amp;" "&amp;_xlpm.ai_test)),""),""))))</f>
        <v>0</v>
      </c>
      <c r="AX500" s="6218"/>
      <c r="AY500" s="6271">
        <f t="shared" si="215"/>
        <v>0</v>
      </c>
      <c r="AZ500" s="6242" t="str">
        <f t="shared" si="216"/>
        <v/>
      </c>
      <c r="BA500" s="6194">
        <f t="shared" si="221"/>
        <v>0</v>
      </c>
      <c r="BB500" s="6192" t="str">
        <f t="shared" si="217"/>
        <v/>
      </c>
      <c r="BC500" s="6219"/>
      <c r="BD500" s="6221">
        <f t="shared" si="222"/>
        <v>0</v>
      </c>
      <c r="BE500" s="6220" t="str">
        <f t="shared" si="218"/>
        <v/>
      </c>
      <c r="BF500" s="4" t="s">
        <v>1</v>
      </c>
      <c r="BG500" s="6196">
        <f t="shared" si="219"/>
        <v>0</v>
      </c>
      <c r="BH500" s="6197">
        <f t="shared" si="220"/>
        <v>0</v>
      </c>
      <c r="BI500"/>
      <c r="BJ500" s="1"/>
      <c r="BK500" s="1"/>
      <c r="BL500" s="1"/>
      <c r="BM500" s="1"/>
      <c r="BN500" s="1"/>
      <c r="BO500" s="1"/>
      <c r="BP500" s="1"/>
      <c r="BQ500" s="1"/>
      <c r="BX500" s="20" t="str">
        <f t="shared" si="201"/>
        <v>►</v>
      </c>
      <c r="BY500" s="2"/>
      <c r="BZ500" s="2"/>
      <c r="CA500" s="2"/>
      <c r="CB500" s="2"/>
      <c r="CC500" s="2"/>
      <c r="DC500" s="5">
        <v>1</v>
      </c>
    </row>
    <row r="501" spans="12:107" ht="21" customHeight="1">
      <c r="L501" s="1021" t="s">
        <v>26</v>
      </c>
      <c r="M501" s="6787"/>
      <c r="N501" s="6787"/>
      <c r="O501" s="6787"/>
      <c r="P501" s="6788"/>
      <c r="Q501" s="6789"/>
      <c r="R501" s="6790"/>
      <c r="S501" s="6786"/>
      <c r="T501" s="6791"/>
      <c r="U501" s="6844"/>
      <c r="V501" s="6791"/>
      <c r="W501" s="6785"/>
      <c r="X501" s="6868"/>
      <c r="Y501" s="6793"/>
      <c r="Z501" s="6794"/>
      <c r="AA501" s="6795"/>
      <c r="AB501" s="6796"/>
      <c r="AC501" s="6797"/>
      <c r="AD501" s="6798"/>
      <c r="AE501" s="4" t="s">
        <v>1</v>
      </c>
      <c r="AF501" s="6202" t="str">
        <f t="shared" si="202"/>
        <v>►</v>
      </c>
      <c r="AG501" s="6234" t="str">
        <f t="shared" si="203"/>
        <v/>
      </c>
      <c r="AH501" s="6732" t="str">
        <f t="shared" si="204"/>
        <v/>
      </c>
      <c r="AI501" s="6234" t="str">
        <f t="shared" si="205"/>
        <v/>
      </c>
      <c r="AJ501" s="6732" t="str">
        <f t="shared" si="206"/>
        <v/>
      </c>
      <c r="AK501" s="6732">
        <f t="shared" si="207"/>
        <v>0</v>
      </c>
      <c r="AL501" s="6230" t="str" cm="1">
        <f t="array" ref="AL501">IF(AF501&lt;&gt;"A","",IFERROR((IFERROR(_xlfn.XLOOKUP(TRIM(SUBSTITUTE(U501,CHAR(160)," ")),$BJ$15:$BJ$62,$BM$15:$BM$62),IFERROR(_xlfn.XLOOKUP(TRIM(SUBSTITUTE(U501,CHAR(160)," ")),$BK$15:$BK$62,$BM$15:$BM$62),_xlfn.XLOOKUP(TRIM(SUBSTITUTE(U501,CHAR(160)," ")),$BL$15:$BL$62,$BM$15:$BM$62))))*T501*IF(ISBLANK(Q501),1,Q501)+IFERROR(_xlfn.XLOOKUP("RECHERCHEX",TRIM(L501:AD501),L501:AD501),0),0))</f>
        <v/>
      </c>
      <c r="AM501" s="6229">
        <f t="shared" si="208"/>
        <v>0</v>
      </c>
      <c r="AN501" s="6857" t="str">
        <f t="shared" si="223"/>
        <v/>
      </c>
      <c r="AO501" s="392">
        <f t="shared" si="209"/>
        <v>0</v>
      </c>
      <c r="AP501" s="392">
        <f t="shared" si="210"/>
        <v>0</v>
      </c>
      <c r="AQ501" s="6191">
        <f t="shared" si="211"/>
        <v>0</v>
      </c>
      <c r="AR501" s="6859" t="str">
        <f t="shared" si="212"/>
        <v/>
      </c>
      <c r="AS501" s="6217"/>
      <c r="AT501" s="6217"/>
      <c r="AU501" s="6272">
        <f t="shared" si="213"/>
        <v>0</v>
      </c>
      <c r="AV501" s="6240">
        <f t="shared" si="214"/>
        <v>0</v>
      </c>
      <c r="AW501" s="6189" cm="1">
        <f t="array" ref="AW501">IF(AK501&lt;&gt;1,0,IF(OR(AU501="",N(AU501)&lt;=0.000000001),"",IF(OR(AO501="",N(AO501)&lt;=0.000000001),0,IF(ISNUMBER(AU501),IFERROR(_xlfn.LET(_xlpm.ai_test,TRIM(AJ501),_xlpm.r,IFERROR(_xlfn.XLOOKUP(_xlpm.ai_test,$BJ$15:$BJ$62,ROW($BJ$15:$BJ$62),0,1),IFERROR(_xlfn.XLOOKUP(_xlpm.ai_test,$BK$15:$BK$62,ROW($BK$15:$BK$62),0,1),_xlfn.XLOOKUP(_xlpm.ai_test,$BL$15:$BL$62,ROW($BL$15:$BL$62),0,1))),_xlpm.p,_xlpm.r-MIN(ROW($BJ$15:$BJ$62))+1,_xlpm.f,INDEX($BM$15:$BM$62,_xlpm.p),_xlpm.u,INDEX($BN$15:$BN$62,_xlpm.p),_xlpm.s,INDEX($BP$15:$BP$62,_xlpm.p),_xlpm.q,N(AU501)/_xlpm.f,IF(_xlpm.q&gt;=_xlpm.s,ROUND(_xlpm.q,1)&amp;" "&amp;_xlpm.ai_test&amp;" = "&amp;ROUND(_xlpm.q*_xlpm.f,1)&amp;" "&amp;_xlpm.u,ROUND(_xlpm.q,1)&amp;" "&amp;_xlpm.ai_test)),""),""))))</f>
        <v>0</v>
      </c>
      <c r="AX501" s="6218"/>
      <c r="AY501" s="6272">
        <f t="shared" si="215"/>
        <v>0</v>
      </c>
      <c r="AZ501" s="6240" t="str">
        <f t="shared" si="216"/>
        <v/>
      </c>
      <c r="BA501" s="6195">
        <f t="shared" si="221"/>
        <v>0</v>
      </c>
      <c r="BB501" s="6193" t="str">
        <f t="shared" si="217"/>
        <v/>
      </c>
      <c r="BC501" s="6219"/>
      <c r="BD501" s="6222">
        <f t="shared" si="222"/>
        <v>0</v>
      </c>
      <c r="BE501" s="6220" t="str">
        <f t="shared" si="218"/>
        <v/>
      </c>
      <c r="BF501" s="4" t="s">
        <v>1</v>
      </c>
      <c r="BG501" s="6196">
        <f t="shared" si="219"/>
        <v>0</v>
      </c>
      <c r="BH501" s="6197">
        <f t="shared" si="220"/>
        <v>0</v>
      </c>
      <c r="BI501"/>
      <c r="BJ501" s="1"/>
      <c r="BK501" s="1"/>
      <c r="BL501" s="1"/>
      <c r="BM501" s="1"/>
      <c r="BN501" s="1"/>
      <c r="BO501" s="1"/>
      <c r="BP501" s="1"/>
      <c r="BQ501" s="1"/>
      <c r="BX501" s="20" t="str">
        <f t="shared" si="201"/>
        <v>►</v>
      </c>
      <c r="BY501" s="2"/>
      <c r="BZ501" s="2"/>
      <c r="CA501" s="2"/>
      <c r="CB501" s="2"/>
      <c r="CC501" s="2"/>
      <c r="DC501" s="5">
        <v>1</v>
      </c>
    </row>
    <row r="502" spans="12:107" ht="21" customHeight="1">
      <c r="L502" s="1021" t="s">
        <v>26</v>
      </c>
      <c r="M502" s="6787"/>
      <c r="N502" s="6787"/>
      <c r="O502" s="6787"/>
      <c r="P502" s="6788"/>
      <c r="Q502" s="6789"/>
      <c r="R502" s="6790"/>
      <c r="S502" s="6786"/>
      <c r="T502" s="6791"/>
      <c r="U502" s="6844"/>
      <c r="V502" s="6791"/>
      <c r="W502" s="6785"/>
      <c r="X502" s="6868"/>
      <c r="Y502" s="6793"/>
      <c r="Z502" s="6794"/>
      <c r="AA502" s="6795"/>
      <c r="AB502" s="6796"/>
      <c r="AC502" s="6797"/>
      <c r="AD502" s="6798"/>
      <c r="AE502" s="4" t="s">
        <v>1</v>
      </c>
      <c r="AF502" s="6202" t="str">
        <f t="shared" si="202"/>
        <v>►</v>
      </c>
      <c r="AG502" s="6234" t="str">
        <f t="shared" si="203"/>
        <v/>
      </c>
      <c r="AH502" s="6732" t="str">
        <f t="shared" si="204"/>
        <v/>
      </c>
      <c r="AI502" s="6234" t="str">
        <f t="shared" si="205"/>
        <v/>
      </c>
      <c r="AJ502" s="6732" t="str">
        <f t="shared" si="206"/>
        <v/>
      </c>
      <c r="AK502" s="6732">
        <f t="shared" si="207"/>
        <v>0</v>
      </c>
      <c r="AL502" s="6230" t="str" cm="1">
        <f t="array" ref="AL502">IF(AF502&lt;&gt;"A","",IFERROR((IFERROR(_xlfn.XLOOKUP(TRIM(SUBSTITUTE(U502,CHAR(160)," ")),$BJ$15:$BJ$62,$BM$15:$BM$62),IFERROR(_xlfn.XLOOKUP(TRIM(SUBSTITUTE(U502,CHAR(160)," ")),$BK$15:$BK$62,$BM$15:$BM$62),_xlfn.XLOOKUP(TRIM(SUBSTITUTE(U502,CHAR(160)," ")),$BL$15:$BL$62,$BM$15:$BM$62))))*T502*IF(ISBLANK(Q502),1,Q502)+IFERROR(_xlfn.XLOOKUP("RECHERCHEX",TRIM(L502:AD502),L502:AD502),0),0))</f>
        <v/>
      </c>
      <c r="AM502" s="6229">
        <f t="shared" si="208"/>
        <v>0</v>
      </c>
      <c r="AN502" s="6857" t="str">
        <f t="shared" si="223"/>
        <v/>
      </c>
      <c r="AO502" s="392">
        <f t="shared" si="209"/>
        <v>0</v>
      </c>
      <c r="AP502" s="392">
        <f t="shared" si="210"/>
        <v>0</v>
      </c>
      <c r="AQ502" s="6190">
        <f t="shared" si="211"/>
        <v>0</v>
      </c>
      <c r="AR502" s="6858" t="str">
        <f t="shared" si="212"/>
        <v/>
      </c>
      <c r="AS502" s="6217"/>
      <c r="AT502" s="6217"/>
      <c r="AU502" s="6271">
        <f t="shared" si="213"/>
        <v>0</v>
      </c>
      <c r="AV502" s="6242">
        <f t="shared" si="214"/>
        <v>0</v>
      </c>
      <c r="AW502" s="6188" cm="1">
        <f t="array" ref="AW502">IF(AK502&lt;&gt;1,0,IF(OR(AU502="",N(AU502)&lt;=0.000000001),"",IF(OR(AO502="",N(AO502)&lt;=0.000000001),0,IF(ISNUMBER(AU502),IFERROR(_xlfn.LET(_xlpm.ai_test,TRIM(AJ502),_xlpm.r,IFERROR(_xlfn.XLOOKUP(_xlpm.ai_test,$BJ$15:$BJ$62,ROW($BJ$15:$BJ$62),0,1),IFERROR(_xlfn.XLOOKUP(_xlpm.ai_test,$BK$15:$BK$62,ROW($BK$15:$BK$62),0,1),_xlfn.XLOOKUP(_xlpm.ai_test,$BL$15:$BL$62,ROW($BL$15:$BL$62),0,1))),_xlpm.p,_xlpm.r-MIN(ROW($BJ$15:$BJ$62))+1,_xlpm.f,INDEX($BM$15:$BM$62,_xlpm.p),_xlpm.u,INDEX($BN$15:$BN$62,_xlpm.p),_xlpm.s,INDEX($BP$15:$BP$62,_xlpm.p),_xlpm.q,N(AU502)/_xlpm.f,IF(_xlpm.q&gt;=_xlpm.s,ROUND(_xlpm.q,1)&amp;" "&amp;_xlpm.ai_test&amp;" = "&amp;ROUND(_xlpm.q*_xlpm.f,1)&amp;" "&amp;_xlpm.u,ROUND(_xlpm.q,1)&amp;" "&amp;_xlpm.ai_test)),""),""))))</f>
        <v>0</v>
      </c>
      <c r="AX502" s="6218"/>
      <c r="AY502" s="6271">
        <f t="shared" si="215"/>
        <v>0</v>
      </c>
      <c r="AZ502" s="6242" t="str">
        <f t="shared" si="216"/>
        <v/>
      </c>
      <c r="BA502" s="6194">
        <f t="shared" si="221"/>
        <v>0</v>
      </c>
      <c r="BB502" s="6192" t="str">
        <f t="shared" si="217"/>
        <v/>
      </c>
      <c r="BC502" s="6219"/>
      <c r="BD502" s="6221">
        <f t="shared" si="222"/>
        <v>0</v>
      </c>
      <c r="BE502" s="6220" t="str">
        <f t="shared" si="218"/>
        <v/>
      </c>
      <c r="BF502" s="4" t="s">
        <v>1</v>
      </c>
      <c r="BG502" s="6196">
        <f t="shared" si="219"/>
        <v>0</v>
      </c>
      <c r="BH502" s="6197">
        <f t="shared" si="220"/>
        <v>0</v>
      </c>
      <c r="BI502"/>
      <c r="BJ502" s="1"/>
      <c r="BK502" s="1"/>
      <c r="BL502" s="1"/>
      <c r="BM502" s="1"/>
      <c r="BN502" s="1"/>
      <c r="BO502" s="1"/>
      <c r="BP502" s="1"/>
      <c r="BQ502" s="1"/>
      <c r="BX502" s="20" t="str">
        <f t="shared" si="201"/>
        <v>►</v>
      </c>
      <c r="BY502" s="2"/>
      <c r="BZ502" s="2"/>
      <c r="CA502" s="2"/>
      <c r="CB502" s="2"/>
      <c r="CC502" s="2"/>
      <c r="DC502" s="5">
        <v>1</v>
      </c>
    </row>
    <row r="503" spans="12:107" ht="21" customHeight="1">
      <c r="L503" s="1021" t="s">
        <v>26</v>
      </c>
      <c r="M503" s="6787"/>
      <c r="N503" s="6787"/>
      <c r="O503" s="6787"/>
      <c r="P503" s="6788"/>
      <c r="Q503" s="6789"/>
      <c r="R503" s="6790"/>
      <c r="S503" s="6786"/>
      <c r="T503" s="6791"/>
      <c r="U503" s="6844"/>
      <c r="V503" s="6791"/>
      <c r="W503" s="6785"/>
      <c r="X503" s="6868"/>
      <c r="Y503" s="6793"/>
      <c r="Z503" s="6794"/>
      <c r="AA503" s="6795"/>
      <c r="AB503" s="6796"/>
      <c r="AC503" s="6797"/>
      <c r="AD503" s="6798"/>
      <c r="AE503" s="4" t="s">
        <v>1</v>
      </c>
      <c r="AF503" s="6202" t="str">
        <f t="shared" si="202"/>
        <v>►</v>
      </c>
      <c r="AG503" s="6234" t="str">
        <f t="shared" si="203"/>
        <v/>
      </c>
      <c r="AH503" s="6732" t="str">
        <f t="shared" si="204"/>
        <v/>
      </c>
      <c r="AI503" s="6234" t="str">
        <f t="shared" si="205"/>
        <v/>
      </c>
      <c r="AJ503" s="6732" t="str">
        <f t="shared" si="206"/>
        <v/>
      </c>
      <c r="AK503" s="6732">
        <f t="shared" si="207"/>
        <v>0</v>
      </c>
      <c r="AL503" s="6230" t="str" cm="1">
        <f t="array" ref="AL503">IF(AF503&lt;&gt;"A","",IFERROR((IFERROR(_xlfn.XLOOKUP(TRIM(SUBSTITUTE(U503,CHAR(160)," ")),$BJ$15:$BJ$62,$BM$15:$BM$62),IFERROR(_xlfn.XLOOKUP(TRIM(SUBSTITUTE(U503,CHAR(160)," ")),$BK$15:$BK$62,$BM$15:$BM$62),_xlfn.XLOOKUP(TRIM(SUBSTITUTE(U503,CHAR(160)," ")),$BL$15:$BL$62,$BM$15:$BM$62))))*T503*IF(ISBLANK(Q503),1,Q503)+IFERROR(_xlfn.XLOOKUP("RECHERCHEX",TRIM(L503:AD503),L503:AD503),0),0))</f>
        <v/>
      </c>
      <c r="AM503" s="6229">
        <f t="shared" si="208"/>
        <v>0</v>
      </c>
      <c r="AN503" s="6857" t="str">
        <f t="shared" si="223"/>
        <v/>
      </c>
      <c r="AO503" s="392">
        <f t="shared" si="209"/>
        <v>0</v>
      </c>
      <c r="AP503" s="392">
        <f t="shared" si="210"/>
        <v>0</v>
      </c>
      <c r="AQ503" s="6191">
        <f t="shared" si="211"/>
        <v>0</v>
      </c>
      <c r="AR503" s="6859" t="str">
        <f t="shared" si="212"/>
        <v/>
      </c>
      <c r="AS503" s="6217"/>
      <c r="AT503" s="6217"/>
      <c r="AU503" s="6272">
        <f t="shared" si="213"/>
        <v>0</v>
      </c>
      <c r="AV503" s="6240">
        <f t="shared" si="214"/>
        <v>0</v>
      </c>
      <c r="AW503" s="6189" cm="1">
        <f t="array" ref="AW503">IF(AK503&lt;&gt;1,0,IF(OR(AU503="",N(AU503)&lt;=0.000000001),"",IF(OR(AO503="",N(AO503)&lt;=0.000000001),0,IF(ISNUMBER(AU503),IFERROR(_xlfn.LET(_xlpm.ai_test,TRIM(AJ503),_xlpm.r,IFERROR(_xlfn.XLOOKUP(_xlpm.ai_test,$BJ$15:$BJ$62,ROW($BJ$15:$BJ$62),0,1),IFERROR(_xlfn.XLOOKUP(_xlpm.ai_test,$BK$15:$BK$62,ROW($BK$15:$BK$62),0,1),_xlfn.XLOOKUP(_xlpm.ai_test,$BL$15:$BL$62,ROW($BL$15:$BL$62),0,1))),_xlpm.p,_xlpm.r-MIN(ROW($BJ$15:$BJ$62))+1,_xlpm.f,INDEX($BM$15:$BM$62,_xlpm.p),_xlpm.u,INDEX($BN$15:$BN$62,_xlpm.p),_xlpm.s,INDEX($BP$15:$BP$62,_xlpm.p),_xlpm.q,N(AU503)/_xlpm.f,IF(_xlpm.q&gt;=_xlpm.s,ROUND(_xlpm.q,1)&amp;" "&amp;_xlpm.ai_test&amp;" = "&amp;ROUND(_xlpm.q*_xlpm.f,1)&amp;" "&amp;_xlpm.u,ROUND(_xlpm.q,1)&amp;" "&amp;_xlpm.ai_test)),""),""))))</f>
        <v>0</v>
      </c>
      <c r="AX503" s="6218"/>
      <c r="AY503" s="6272">
        <f t="shared" si="215"/>
        <v>0</v>
      </c>
      <c r="AZ503" s="6240" t="str">
        <f t="shared" si="216"/>
        <v/>
      </c>
      <c r="BA503" s="6195">
        <f t="shared" si="221"/>
        <v>0</v>
      </c>
      <c r="BB503" s="6193" t="str">
        <f t="shared" si="217"/>
        <v/>
      </c>
      <c r="BC503" s="6219"/>
      <c r="BD503" s="6222">
        <f t="shared" si="222"/>
        <v>0</v>
      </c>
      <c r="BE503" s="6220" t="str">
        <f t="shared" si="218"/>
        <v/>
      </c>
      <c r="BF503" s="4" t="s">
        <v>1</v>
      </c>
      <c r="BG503" s="6196">
        <f t="shared" si="219"/>
        <v>0</v>
      </c>
      <c r="BH503" s="6197">
        <f t="shared" si="220"/>
        <v>0</v>
      </c>
      <c r="BI503"/>
      <c r="BJ503" s="1"/>
      <c r="BK503" s="1"/>
      <c r="BL503" s="1"/>
      <c r="BM503" s="1"/>
      <c r="BN503" s="1"/>
      <c r="BO503" s="1"/>
      <c r="BP503" s="1"/>
      <c r="BQ503" s="1"/>
      <c r="BX503" s="20" t="str">
        <f t="shared" si="201"/>
        <v>►</v>
      </c>
      <c r="BY503" s="2"/>
      <c r="BZ503" s="2"/>
      <c r="CA503" s="2"/>
      <c r="CB503" s="2"/>
      <c r="CC503" s="2"/>
      <c r="DC503" s="5">
        <v>1</v>
      </c>
    </row>
    <row r="504" spans="12:107" ht="21" customHeight="1">
      <c r="L504" s="1021" t="s">
        <v>26</v>
      </c>
      <c r="M504" s="6787"/>
      <c r="N504" s="6787"/>
      <c r="O504" s="6787"/>
      <c r="P504" s="6788"/>
      <c r="Q504" s="6789"/>
      <c r="R504" s="6790"/>
      <c r="S504" s="6786"/>
      <c r="T504" s="6791"/>
      <c r="U504" s="6844"/>
      <c r="V504" s="6791"/>
      <c r="W504" s="6785"/>
      <c r="X504" s="6868"/>
      <c r="Y504" s="6793"/>
      <c r="Z504" s="6794"/>
      <c r="AA504" s="6795"/>
      <c r="AB504" s="6796"/>
      <c r="AC504" s="6797"/>
      <c r="AD504" s="6798"/>
      <c r="AE504" s="4" t="s">
        <v>1</v>
      </c>
      <c r="AF504" s="6202" t="str">
        <f t="shared" si="202"/>
        <v>►</v>
      </c>
      <c r="AG504" s="6234" t="str">
        <f t="shared" si="203"/>
        <v/>
      </c>
      <c r="AH504" s="6732" t="str">
        <f t="shared" si="204"/>
        <v/>
      </c>
      <c r="AI504" s="6234" t="str">
        <f t="shared" si="205"/>
        <v/>
      </c>
      <c r="AJ504" s="6732" t="str">
        <f t="shared" si="206"/>
        <v/>
      </c>
      <c r="AK504" s="6732">
        <f t="shared" si="207"/>
        <v>0</v>
      </c>
      <c r="AL504" s="6230" t="str" cm="1">
        <f t="array" ref="AL504">IF(AF504&lt;&gt;"A","",IFERROR((IFERROR(_xlfn.XLOOKUP(TRIM(SUBSTITUTE(U504,CHAR(160)," ")),$BJ$15:$BJ$62,$BM$15:$BM$62),IFERROR(_xlfn.XLOOKUP(TRIM(SUBSTITUTE(U504,CHAR(160)," ")),$BK$15:$BK$62,$BM$15:$BM$62),_xlfn.XLOOKUP(TRIM(SUBSTITUTE(U504,CHAR(160)," ")),$BL$15:$BL$62,$BM$15:$BM$62))))*T504*IF(ISBLANK(Q504),1,Q504)+IFERROR(_xlfn.XLOOKUP("RECHERCHEX",TRIM(L504:AD504),L504:AD504),0),0))</f>
        <v/>
      </c>
      <c r="AM504" s="6229">
        <f t="shared" si="208"/>
        <v>0</v>
      </c>
      <c r="AN504" s="6857" t="str">
        <f t="shared" si="223"/>
        <v/>
      </c>
      <c r="AO504" s="392">
        <f t="shared" si="209"/>
        <v>0</v>
      </c>
      <c r="AP504" s="392">
        <f t="shared" si="210"/>
        <v>0</v>
      </c>
      <c r="AQ504" s="6190">
        <f t="shared" si="211"/>
        <v>0</v>
      </c>
      <c r="AR504" s="6858" t="str">
        <f t="shared" si="212"/>
        <v/>
      </c>
      <c r="AS504" s="6217"/>
      <c r="AT504" s="6217"/>
      <c r="AU504" s="6271">
        <f t="shared" si="213"/>
        <v>0</v>
      </c>
      <c r="AV504" s="6242">
        <f t="shared" si="214"/>
        <v>0</v>
      </c>
      <c r="AW504" s="6188" cm="1">
        <f t="array" ref="AW504">IF(AK504&lt;&gt;1,0,IF(OR(AU504="",N(AU504)&lt;=0.000000001),"",IF(OR(AO504="",N(AO504)&lt;=0.000000001),0,IF(ISNUMBER(AU504),IFERROR(_xlfn.LET(_xlpm.ai_test,TRIM(AJ504),_xlpm.r,IFERROR(_xlfn.XLOOKUP(_xlpm.ai_test,$BJ$15:$BJ$62,ROW($BJ$15:$BJ$62),0,1),IFERROR(_xlfn.XLOOKUP(_xlpm.ai_test,$BK$15:$BK$62,ROW($BK$15:$BK$62),0,1),_xlfn.XLOOKUP(_xlpm.ai_test,$BL$15:$BL$62,ROW($BL$15:$BL$62),0,1))),_xlpm.p,_xlpm.r-MIN(ROW($BJ$15:$BJ$62))+1,_xlpm.f,INDEX($BM$15:$BM$62,_xlpm.p),_xlpm.u,INDEX($BN$15:$BN$62,_xlpm.p),_xlpm.s,INDEX($BP$15:$BP$62,_xlpm.p),_xlpm.q,N(AU504)/_xlpm.f,IF(_xlpm.q&gt;=_xlpm.s,ROUND(_xlpm.q,1)&amp;" "&amp;_xlpm.ai_test&amp;" = "&amp;ROUND(_xlpm.q*_xlpm.f,1)&amp;" "&amp;_xlpm.u,ROUND(_xlpm.q,1)&amp;" "&amp;_xlpm.ai_test)),""),""))))</f>
        <v>0</v>
      </c>
      <c r="AX504" s="6218"/>
      <c r="AY504" s="6271">
        <f t="shared" si="215"/>
        <v>0</v>
      </c>
      <c r="AZ504" s="6242" t="str">
        <f t="shared" si="216"/>
        <v/>
      </c>
      <c r="BA504" s="6194">
        <f t="shared" si="221"/>
        <v>0</v>
      </c>
      <c r="BB504" s="6192" t="str">
        <f t="shared" si="217"/>
        <v/>
      </c>
      <c r="BC504" s="6219"/>
      <c r="BD504" s="6221">
        <f t="shared" si="222"/>
        <v>0</v>
      </c>
      <c r="BE504" s="6220" t="str">
        <f t="shared" si="218"/>
        <v/>
      </c>
      <c r="BF504" s="4" t="s">
        <v>1</v>
      </c>
      <c r="BG504" s="6196">
        <f t="shared" si="219"/>
        <v>0</v>
      </c>
      <c r="BH504" s="6197">
        <f t="shared" si="220"/>
        <v>0</v>
      </c>
      <c r="BI504"/>
      <c r="BJ504" s="1"/>
      <c r="BK504" s="1"/>
      <c r="BL504" s="1"/>
      <c r="BM504" s="1"/>
      <c r="BN504" s="1"/>
      <c r="BO504" s="1"/>
      <c r="BP504" s="1"/>
      <c r="BQ504" s="1"/>
      <c r="BX504" s="20" t="str">
        <f t="shared" si="201"/>
        <v>►</v>
      </c>
      <c r="BY504" s="2"/>
      <c r="BZ504" s="2"/>
      <c r="CA504" s="2"/>
      <c r="CB504" s="2"/>
      <c r="CC504" s="2"/>
      <c r="DC504" s="5">
        <v>1</v>
      </c>
    </row>
    <row r="505" spans="12:107" ht="21" customHeight="1">
      <c r="L505" s="1021" t="s">
        <v>26</v>
      </c>
      <c r="M505" s="6787"/>
      <c r="N505" s="6787"/>
      <c r="O505" s="6787"/>
      <c r="P505" s="6788"/>
      <c r="Q505" s="6789"/>
      <c r="R505" s="6790"/>
      <c r="S505" s="6786"/>
      <c r="T505" s="6791"/>
      <c r="U505" s="6844"/>
      <c r="V505" s="6791"/>
      <c r="W505" s="6785"/>
      <c r="X505" s="6868"/>
      <c r="Y505" s="6793"/>
      <c r="Z505" s="6794"/>
      <c r="AA505" s="6795"/>
      <c r="AB505" s="6796"/>
      <c r="AC505" s="6797"/>
      <c r="AD505" s="6798"/>
      <c r="AE505" s="4" t="s">
        <v>1</v>
      </c>
      <c r="AF505" s="6202" t="str">
        <f t="shared" si="202"/>
        <v>►</v>
      </c>
      <c r="AG505" s="6234" t="str">
        <f t="shared" si="203"/>
        <v/>
      </c>
      <c r="AH505" s="6732" t="str">
        <f t="shared" si="204"/>
        <v/>
      </c>
      <c r="AI505" s="6234" t="str">
        <f t="shared" si="205"/>
        <v/>
      </c>
      <c r="AJ505" s="6732" t="str">
        <f t="shared" si="206"/>
        <v/>
      </c>
      <c r="AK505" s="6732">
        <f t="shared" si="207"/>
        <v>0</v>
      </c>
      <c r="AL505" s="6230" t="str" cm="1">
        <f t="array" ref="AL505">IF(AF505&lt;&gt;"A","",IFERROR((IFERROR(_xlfn.XLOOKUP(TRIM(SUBSTITUTE(U505,CHAR(160)," ")),$BJ$15:$BJ$62,$BM$15:$BM$62),IFERROR(_xlfn.XLOOKUP(TRIM(SUBSTITUTE(U505,CHAR(160)," ")),$BK$15:$BK$62,$BM$15:$BM$62),_xlfn.XLOOKUP(TRIM(SUBSTITUTE(U505,CHAR(160)," ")),$BL$15:$BL$62,$BM$15:$BM$62))))*T505*IF(ISBLANK(Q505),1,Q505)+IFERROR(_xlfn.XLOOKUP("RECHERCHEX",TRIM(L505:AD505),L505:AD505),0),0))</f>
        <v/>
      </c>
      <c r="AM505" s="6229">
        <f t="shared" si="208"/>
        <v>0</v>
      </c>
      <c r="AN505" s="6857" t="str">
        <f t="shared" si="223"/>
        <v/>
      </c>
      <c r="AO505" s="392">
        <f t="shared" si="209"/>
        <v>0</v>
      </c>
      <c r="AP505" s="392">
        <f t="shared" si="210"/>
        <v>0</v>
      </c>
      <c r="AQ505" s="6191">
        <f t="shared" si="211"/>
        <v>0</v>
      </c>
      <c r="AR505" s="6859" t="str">
        <f t="shared" si="212"/>
        <v/>
      </c>
      <c r="AS505" s="6217"/>
      <c r="AT505" s="6217"/>
      <c r="AU505" s="6272">
        <f t="shared" si="213"/>
        <v>0</v>
      </c>
      <c r="AV505" s="6240">
        <f t="shared" si="214"/>
        <v>0</v>
      </c>
      <c r="AW505" s="6189" cm="1">
        <f t="array" ref="AW505">IF(AK505&lt;&gt;1,0,IF(OR(AU505="",N(AU505)&lt;=0.000000001),"",IF(OR(AO505="",N(AO505)&lt;=0.000000001),0,IF(ISNUMBER(AU505),IFERROR(_xlfn.LET(_xlpm.ai_test,TRIM(AJ505),_xlpm.r,IFERROR(_xlfn.XLOOKUP(_xlpm.ai_test,$BJ$15:$BJ$62,ROW($BJ$15:$BJ$62),0,1),IFERROR(_xlfn.XLOOKUP(_xlpm.ai_test,$BK$15:$BK$62,ROW($BK$15:$BK$62),0,1),_xlfn.XLOOKUP(_xlpm.ai_test,$BL$15:$BL$62,ROW($BL$15:$BL$62),0,1))),_xlpm.p,_xlpm.r-MIN(ROW($BJ$15:$BJ$62))+1,_xlpm.f,INDEX($BM$15:$BM$62,_xlpm.p),_xlpm.u,INDEX($BN$15:$BN$62,_xlpm.p),_xlpm.s,INDEX($BP$15:$BP$62,_xlpm.p),_xlpm.q,N(AU505)/_xlpm.f,IF(_xlpm.q&gt;=_xlpm.s,ROUND(_xlpm.q,1)&amp;" "&amp;_xlpm.ai_test&amp;" = "&amp;ROUND(_xlpm.q*_xlpm.f,1)&amp;" "&amp;_xlpm.u,ROUND(_xlpm.q,1)&amp;" "&amp;_xlpm.ai_test)),""),""))))</f>
        <v>0</v>
      </c>
      <c r="AX505" s="6218"/>
      <c r="AY505" s="6272">
        <f t="shared" si="215"/>
        <v>0</v>
      </c>
      <c r="AZ505" s="6240" t="str">
        <f t="shared" si="216"/>
        <v/>
      </c>
      <c r="BA505" s="6195">
        <f t="shared" si="221"/>
        <v>0</v>
      </c>
      <c r="BB505" s="6193" t="str">
        <f t="shared" si="217"/>
        <v/>
      </c>
      <c r="BC505" s="6219"/>
      <c r="BD505" s="6222">
        <f t="shared" si="222"/>
        <v>0</v>
      </c>
      <c r="BE505" s="6220" t="str">
        <f t="shared" si="218"/>
        <v/>
      </c>
      <c r="BF505" s="4" t="s">
        <v>1</v>
      </c>
      <c r="BG505" s="6196">
        <f t="shared" si="219"/>
        <v>0</v>
      </c>
      <c r="BH505" s="6197">
        <f t="shared" si="220"/>
        <v>0</v>
      </c>
      <c r="BI505"/>
      <c r="BJ505" s="1"/>
      <c r="BK505" s="1"/>
      <c r="BL505" s="1"/>
      <c r="BM505" s="1"/>
      <c r="BN505" s="1"/>
      <c r="BO505" s="1"/>
      <c r="BP505" s="1"/>
      <c r="BQ505" s="1"/>
      <c r="BX505" s="20" t="str">
        <f t="shared" si="201"/>
        <v>►</v>
      </c>
      <c r="BY505" s="2"/>
      <c r="BZ505" s="2"/>
      <c r="CA505" s="2"/>
      <c r="CB505" s="2"/>
      <c r="CC505" s="2"/>
      <c r="DC505" s="5">
        <v>1</v>
      </c>
    </row>
    <row r="506" spans="12:107" ht="21" customHeight="1">
      <c r="L506" s="1021" t="s">
        <v>26</v>
      </c>
      <c r="M506" s="6787"/>
      <c r="N506" s="6787"/>
      <c r="O506" s="6787"/>
      <c r="P506" s="6788"/>
      <c r="Q506" s="6789"/>
      <c r="R506" s="6790"/>
      <c r="S506" s="6786"/>
      <c r="T506" s="6791"/>
      <c r="U506" s="6844"/>
      <c r="V506" s="6791"/>
      <c r="W506" s="6785"/>
      <c r="X506" s="6868"/>
      <c r="Y506" s="6793"/>
      <c r="Z506" s="6794"/>
      <c r="AA506" s="6795"/>
      <c r="AB506" s="6796"/>
      <c r="AC506" s="6797"/>
      <c r="AD506" s="6798"/>
      <c r="AE506" s="4" t="s">
        <v>1</v>
      </c>
      <c r="AF506" s="6202" t="str">
        <f t="shared" si="202"/>
        <v>►</v>
      </c>
      <c r="AG506" s="6234" t="str">
        <f t="shared" si="203"/>
        <v/>
      </c>
      <c r="AH506" s="6732" t="str">
        <f t="shared" si="204"/>
        <v/>
      </c>
      <c r="AI506" s="6234" t="str">
        <f t="shared" si="205"/>
        <v/>
      </c>
      <c r="AJ506" s="6732" t="str">
        <f t="shared" si="206"/>
        <v/>
      </c>
      <c r="AK506" s="6732">
        <f t="shared" si="207"/>
        <v>0</v>
      </c>
      <c r="AL506" s="6230" t="str" cm="1">
        <f t="array" ref="AL506">IF(AF506&lt;&gt;"A","",IFERROR((IFERROR(_xlfn.XLOOKUP(TRIM(SUBSTITUTE(U506,CHAR(160)," ")),$BJ$15:$BJ$62,$BM$15:$BM$62),IFERROR(_xlfn.XLOOKUP(TRIM(SUBSTITUTE(U506,CHAR(160)," ")),$BK$15:$BK$62,$BM$15:$BM$62),_xlfn.XLOOKUP(TRIM(SUBSTITUTE(U506,CHAR(160)," ")),$BL$15:$BL$62,$BM$15:$BM$62))))*T506*IF(ISBLANK(Q506),1,Q506)+IFERROR(_xlfn.XLOOKUP("RECHERCHEX",TRIM(L506:AD506),L506:AD506),0),0))</f>
        <v/>
      </c>
      <c r="AM506" s="6229">
        <f t="shared" si="208"/>
        <v>0</v>
      </c>
      <c r="AN506" s="6857" t="str">
        <f t="shared" si="223"/>
        <v/>
      </c>
      <c r="AO506" s="392">
        <f t="shared" si="209"/>
        <v>0</v>
      </c>
      <c r="AP506" s="392">
        <f t="shared" si="210"/>
        <v>0</v>
      </c>
      <c r="AQ506" s="6190">
        <f t="shared" si="211"/>
        <v>0</v>
      </c>
      <c r="AR506" s="6858" t="str">
        <f t="shared" si="212"/>
        <v/>
      </c>
      <c r="AS506" s="6217"/>
      <c r="AT506" s="6217"/>
      <c r="AU506" s="6271">
        <f t="shared" si="213"/>
        <v>0</v>
      </c>
      <c r="AV506" s="6242">
        <f t="shared" si="214"/>
        <v>0</v>
      </c>
      <c r="AW506" s="6188" cm="1">
        <f t="array" ref="AW506">IF(AK506&lt;&gt;1,0,IF(OR(AU506="",N(AU506)&lt;=0.000000001),"",IF(OR(AO506="",N(AO506)&lt;=0.000000001),0,IF(ISNUMBER(AU506),IFERROR(_xlfn.LET(_xlpm.ai_test,TRIM(AJ506),_xlpm.r,IFERROR(_xlfn.XLOOKUP(_xlpm.ai_test,$BJ$15:$BJ$62,ROW($BJ$15:$BJ$62),0,1),IFERROR(_xlfn.XLOOKUP(_xlpm.ai_test,$BK$15:$BK$62,ROW($BK$15:$BK$62),0,1),_xlfn.XLOOKUP(_xlpm.ai_test,$BL$15:$BL$62,ROW($BL$15:$BL$62),0,1))),_xlpm.p,_xlpm.r-MIN(ROW($BJ$15:$BJ$62))+1,_xlpm.f,INDEX($BM$15:$BM$62,_xlpm.p),_xlpm.u,INDEX($BN$15:$BN$62,_xlpm.p),_xlpm.s,INDEX($BP$15:$BP$62,_xlpm.p),_xlpm.q,N(AU506)/_xlpm.f,IF(_xlpm.q&gt;=_xlpm.s,ROUND(_xlpm.q,1)&amp;" "&amp;_xlpm.ai_test&amp;" = "&amp;ROUND(_xlpm.q*_xlpm.f,1)&amp;" "&amp;_xlpm.u,ROUND(_xlpm.q,1)&amp;" "&amp;_xlpm.ai_test)),""),""))))</f>
        <v>0</v>
      </c>
      <c r="AX506" s="6218"/>
      <c r="AY506" s="6271">
        <f t="shared" si="215"/>
        <v>0</v>
      </c>
      <c r="AZ506" s="6242" t="str">
        <f t="shared" si="216"/>
        <v/>
      </c>
      <c r="BA506" s="6194">
        <f t="shared" si="221"/>
        <v>0</v>
      </c>
      <c r="BB506" s="6192" t="str">
        <f t="shared" si="217"/>
        <v/>
      </c>
      <c r="BC506" s="6219"/>
      <c r="BD506" s="6221">
        <f t="shared" si="222"/>
        <v>0</v>
      </c>
      <c r="BE506" s="6220" t="str">
        <f t="shared" si="218"/>
        <v/>
      </c>
      <c r="BF506" s="4" t="s">
        <v>1</v>
      </c>
      <c r="BG506" s="6196">
        <f t="shared" si="219"/>
        <v>0</v>
      </c>
      <c r="BH506" s="6197">
        <f t="shared" si="220"/>
        <v>0</v>
      </c>
      <c r="BI506"/>
      <c r="BJ506" s="1"/>
      <c r="BK506" s="1"/>
      <c r="BL506" s="1"/>
      <c r="BM506" s="1"/>
      <c r="BN506" s="1"/>
      <c r="BO506" s="1"/>
      <c r="BP506" s="1"/>
      <c r="BQ506" s="1"/>
      <c r="BX506" s="20" t="str">
        <f t="shared" si="201"/>
        <v>►</v>
      </c>
      <c r="BY506" s="2"/>
      <c r="BZ506" s="2"/>
      <c r="CA506" s="2"/>
      <c r="CB506" s="2"/>
      <c r="CC506" s="2"/>
      <c r="DC506" s="5">
        <v>1</v>
      </c>
    </row>
    <row r="507" spans="12:107" ht="21" customHeight="1">
      <c r="L507" s="1021" t="s">
        <v>26</v>
      </c>
      <c r="M507" s="6787"/>
      <c r="N507" s="6787"/>
      <c r="O507" s="6787"/>
      <c r="P507" s="6788"/>
      <c r="Q507" s="6789"/>
      <c r="R507" s="6790"/>
      <c r="S507" s="6786"/>
      <c r="T507" s="6791"/>
      <c r="U507" s="6844"/>
      <c r="V507" s="6791"/>
      <c r="W507" s="6785"/>
      <c r="X507" s="6868"/>
      <c r="Y507" s="6793"/>
      <c r="Z507" s="6794"/>
      <c r="AA507" s="6795"/>
      <c r="AB507" s="6796"/>
      <c r="AC507" s="6797"/>
      <c r="AD507" s="6798"/>
      <c r="AE507" s="4" t="s">
        <v>1</v>
      </c>
      <c r="AF507" s="6202" t="str">
        <f t="shared" si="202"/>
        <v>►</v>
      </c>
      <c r="AG507" s="6234" t="str">
        <f t="shared" si="203"/>
        <v/>
      </c>
      <c r="AH507" s="6732" t="str">
        <f t="shared" si="204"/>
        <v/>
      </c>
      <c r="AI507" s="6234" t="str">
        <f t="shared" si="205"/>
        <v/>
      </c>
      <c r="AJ507" s="6732" t="str">
        <f t="shared" si="206"/>
        <v/>
      </c>
      <c r="AK507" s="6732">
        <f t="shared" si="207"/>
        <v>0</v>
      </c>
      <c r="AL507" s="6230" t="str" cm="1">
        <f t="array" ref="AL507">IF(AF507&lt;&gt;"A","",IFERROR((IFERROR(_xlfn.XLOOKUP(TRIM(SUBSTITUTE(U507,CHAR(160)," ")),$BJ$15:$BJ$62,$BM$15:$BM$62),IFERROR(_xlfn.XLOOKUP(TRIM(SUBSTITUTE(U507,CHAR(160)," ")),$BK$15:$BK$62,$BM$15:$BM$62),_xlfn.XLOOKUP(TRIM(SUBSTITUTE(U507,CHAR(160)," ")),$BL$15:$BL$62,$BM$15:$BM$62))))*T507*IF(ISBLANK(Q507),1,Q507)+IFERROR(_xlfn.XLOOKUP("RECHERCHEX",TRIM(L507:AD507),L507:AD507),0),0))</f>
        <v/>
      </c>
      <c r="AM507" s="6229">
        <f t="shared" si="208"/>
        <v>0</v>
      </c>
      <c r="AN507" s="6857" t="str">
        <f t="shared" si="223"/>
        <v/>
      </c>
      <c r="AO507" s="392">
        <f t="shared" si="209"/>
        <v>0</v>
      </c>
      <c r="AP507" s="392">
        <f t="shared" si="210"/>
        <v>0</v>
      </c>
      <c r="AQ507" s="6191">
        <f t="shared" si="211"/>
        <v>0</v>
      </c>
      <c r="AR507" s="6859" t="str">
        <f t="shared" si="212"/>
        <v/>
      </c>
      <c r="AS507" s="6217"/>
      <c r="AT507" s="6217"/>
      <c r="AU507" s="6272">
        <f t="shared" si="213"/>
        <v>0</v>
      </c>
      <c r="AV507" s="6240">
        <f t="shared" si="214"/>
        <v>0</v>
      </c>
      <c r="AW507" s="6189" cm="1">
        <f t="array" ref="AW507">IF(AK507&lt;&gt;1,0,IF(OR(AU507="",N(AU507)&lt;=0.000000001),"",IF(OR(AO507="",N(AO507)&lt;=0.000000001),0,IF(ISNUMBER(AU507),IFERROR(_xlfn.LET(_xlpm.ai_test,TRIM(AJ507),_xlpm.r,IFERROR(_xlfn.XLOOKUP(_xlpm.ai_test,$BJ$15:$BJ$62,ROW($BJ$15:$BJ$62),0,1),IFERROR(_xlfn.XLOOKUP(_xlpm.ai_test,$BK$15:$BK$62,ROW($BK$15:$BK$62),0,1),_xlfn.XLOOKUP(_xlpm.ai_test,$BL$15:$BL$62,ROW($BL$15:$BL$62),0,1))),_xlpm.p,_xlpm.r-MIN(ROW($BJ$15:$BJ$62))+1,_xlpm.f,INDEX($BM$15:$BM$62,_xlpm.p),_xlpm.u,INDEX($BN$15:$BN$62,_xlpm.p),_xlpm.s,INDEX($BP$15:$BP$62,_xlpm.p),_xlpm.q,N(AU507)/_xlpm.f,IF(_xlpm.q&gt;=_xlpm.s,ROUND(_xlpm.q,1)&amp;" "&amp;_xlpm.ai_test&amp;" = "&amp;ROUND(_xlpm.q*_xlpm.f,1)&amp;" "&amp;_xlpm.u,ROUND(_xlpm.q,1)&amp;" "&amp;_xlpm.ai_test)),""),""))))</f>
        <v>0</v>
      </c>
      <c r="AX507" s="6218"/>
      <c r="AY507" s="6272">
        <f t="shared" si="215"/>
        <v>0</v>
      </c>
      <c r="AZ507" s="6240" t="str">
        <f t="shared" si="216"/>
        <v/>
      </c>
      <c r="BA507" s="6195">
        <f t="shared" si="221"/>
        <v>0</v>
      </c>
      <c r="BB507" s="6193" t="str">
        <f t="shared" si="217"/>
        <v/>
      </c>
      <c r="BC507" s="6219"/>
      <c r="BD507" s="6222">
        <f t="shared" si="222"/>
        <v>0</v>
      </c>
      <c r="BE507" s="6220" t="str">
        <f t="shared" si="218"/>
        <v/>
      </c>
      <c r="BF507" s="4" t="s">
        <v>1</v>
      </c>
      <c r="BG507" s="6196">
        <f t="shared" si="219"/>
        <v>0</v>
      </c>
      <c r="BH507" s="6197">
        <f t="shared" si="220"/>
        <v>0</v>
      </c>
      <c r="BI507"/>
      <c r="BJ507" s="1"/>
      <c r="BK507" s="1"/>
      <c r="BL507" s="1"/>
      <c r="BM507" s="1"/>
      <c r="BN507" s="1"/>
      <c r="BO507" s="1"/>
      <c r="BP507" s="1"/>
      <c r="BQ507" s="1"/>
      <c r="BX507" s="20" t="str">
        <f t="shared" si="201"/>
        <v>►</v>
      </c>
      <c r="BY507" s="2"/>
      <c r="BZ507" s="2"/>
      <c r="CA507" s="2"/>
      <c r="CB507" s="2"/>
      <c r="CC507" s="2"/>
      <c r="DC507" s="5">
        <v>1</v>
      </c>
    </row>
    <row r="508" spans="12:107" ht="21" customHeight="1">
      <c r="L508" s="1021" t="s">
        <v>26</v>
      </c>
      <c r="M508" s="6787"/>
      <c r="N508" s="6787"/>
      <c r="O508" s="6787"/>
      <c r="P508" s="6788"/>
      <c r="Q508" s="6789"/>
      <c r="R508" s="6790"/>
      <c r="S508" s="6786"/>
      <c r="T508" s="6791"/>
      <c r="U508" s="6844"/>
      <c r="V508" s="6791"/>
      <c r="W508" s="6785"/>
      <c r="X508" s="6868"/>
      <c r="Y508" s="6793"/>
      <c r="Z508" s="6794"/>
      <c r="AA508" s="6795"/>
      <c r="AB508" s="6796"/>
      <c r="AC508" s="6797"/>
      <c r="AD508" s="6798"/>
      <c r="AE508" s="4" t="s">
        <v>1</v>
      </c>
      <c r="AF508" s="6202" t="str">
        <f t="shared" si="202"/>
        <v>►</v>
      </c>
      <c r="AG508" s="6234" t="str">
        <f t="shared" si="203"/>
        <v/>
      </c>
      <c r="AH508" s="6732" t="str">
        <f t="shared" si="204"/>
        <v/>
      </c>
      <c r="AI508" s="6234" t="str">
        <f t="shared" si="205"/>
        <v/>
      </c>
      <c r="AJ508" s="6732" t="str">
        <f t="shared" si="206"/>
        <v/>
      </c>
      <c r="AK508" s="6732">
        <f t="shared" si="207"/>
        <v>0</v>
      </c>
      <c r="AL508" s="6230" t="str" cm="1">
        <f t="array" ref="AL508">IF(AF508&lt;&gt;"A","",IFERROR((IFERROR(_xlfn.XLOOKUP(TRIM(SUBSTITUTE(U508,CHAR(160)," ")),$BJ$15:$BJ$62,$BM$15:$BM$62),IFERROR(_xlfn.XLOOKUP(TRIM(SUBSTITUTE(U508,CHAR(160)," ")),$BK$15:$BK$62,$BM$15:$BM$62),_xlfn.XLOOKUP(TRIM(SUBSTITUTE(U508,CHAR(160)," ")),$BL$15:$BL$62,$BM$15:$BM$62))))*T508*IF(ISBLANK(Q508),1,Q508)+IFERROR(_xlfn.XLOOKUP("RECHERCHEX",TRIM(L508:AD508),L508:AD508),0),0))</f>
        <v/>
      </c>
      <c r="AM508" s="6229">
        <f t="shared" si="208"/>
        <v>0</v>
      </c>
      <c r="AN508" s="6857" t="str">
        <f t="shared" si="223"/>
        <v/>
      </c>
      <c r="AO508" s="392">
        <f t="shared" si="209"/>
        <v>0</v>
      </c>
      <c r="AP508" s="392">
        <f t="shared" si="210"/>
        <v>0</v>
      </c>
      <c r="AQ508" s="6190">
        <f t="shared" si="211"/>
        <v>0</v>
      </c>
      <c r="AR508" s="6858" t="str">
        <f t="shared" si="212"/>
        <v/>
      </c>
      <c r="AS508" s="6217"/>
      <c r="AT508" s="6217"/>
      <c r="AU508" s="6271">
        <f t="shared" si="213"/>
        <v>0</v>
      </c>
      <c r="AV508" s="6242">
        <f t="shared" si="214"/>
        <v>0</v>
      </c>
      <c r="AW508" s="6188" cm="1">
        <f t="array" ref="AW508">IF(AK508&lt;&gt;1,0,IF(OR(AU508="",N(AU508)&lt;=0.000000001),"",IF(OR(AO508="",N(AO508)&lt;=0.000000001),0,IF(ISNUMBER(AU508),IFERROR(_xlfn.LET(_xlpm.ai_test,TRIM(AJ508),_xlpm.r,IFERROR(_xlfn.XLOOKUP(_xlpm.ai_test,$BJ$15:$BJ$62,ROW($BJ$15:$BJ$62),0,1),IFERROR(_xlfn.XLOOKUP(_xlpm.ai_test,$BK$15:$BK$62,ROW($BK$15:$BK$62),0,1),_xlfn.XLOOKUP(_xlpm.ai_test,$BL$15:$BL$62,ROW($BL$15:$BL$62),0,1))),_xlpm.p,_xlpm.r-MIN(ROW($BJ$15:$BJ$62))+1,_xlpm.f,INDEX($BM$15:$BM$62,_xlpm.p),_xlpm.u,INDEX($BN$15:$BN$62,_xlpm.p),_xlpm.s,INDEX($BP$15:$BP$62,_xlpm.p),_xlpm.q,N(AU508)/_xlpm.f,IF(_xlpm.q&gt;=_xlpm.s,ROUND(_xlpm.q,1)&amp;" "&amp;_xlpm.ai_test&amp;" = "&amp;ROUND(_xlpm.q*_xlpm.f,1)&amp;" "&amp;_xlpm.u,ROUND(_xlpm.q,1)&amp;" "&amp;_xlpm.ai_test)),""),""))))</f>
        <v>0</v>
      </c>
      <c r="AX508" s="6218"/>
      <c r="AY508" s="6271">
        <f t="shared" si="215"/>
        <v>0</v>
      </c>
      <c r="AZ508" s="6242" t="str">
        <f t="shared" si="216"/>
        <v/>
      </c>
      <c r="BA508" s="6194">
        <f t="shared" si="221"/>
        <v>0</v>
      </c>
      <c r="BB508" s="6192" t="str">
        <f t="shared" si="217"/>
        <v/>
      </c>
      <c r="BC508" s="6219"/>
      <c r="BD508" s="6221">
        <f t="shared" si="222"/>
        <v>0</v>
      </c>
      <c r="BE508" s="6220" t="str">
        <f t="shared" si="218"/>
        <v/>
      </c>
      <c r="BF508" s="4" t="s">
        <v>1</v>
      </c>
      <c r="BG508" s="6196">
        <f t="shared" si="219"/>
        <v>0</v>
      </c>
      <c r="BH508" s="6197">
        <f t="shared" si="220"/>
        <v>0</v>
      </c>
      <c r="BI508"/>
      <c r="BJ508" s="1"/>
      <c r="BK508" s="1"/>
      <c r="BL508" s="1"/>
      <c r="BM508" s="1"/>
      <c r="BN508" s="1"/>
      <c r="BO508" s="1"/>
      <c r="BP508" s="1"/>
      <c r="BQ508" s="1"/>
      <c r="BX508" s="20" t="str">
        <f t="shared" si="201"/>
        <v>►</v>
      </c>
      <c r="BY508" s="2"/>
      <c r="BZ508" s="2"/>
      <c r="CA508" s="2"/>
      <c r="CB508" s="2"/>
      <c r="CC508" s="2"/>
      <c r="DC508" s="5">
        <v>1</v>
      </c>
    </row>
    <row r="509" spans="12:107" ht="21" customHeight="1">
      <c r="L509" s="1021" t="s">
        <v>26</v>
      </c>
      <c r="M509" s="6787"/>
      <c r="N509" s="6787"/>
      <c r="O509" s="6787"/>
      <c r="P509" s="6788"/>
      <c r="Q509" s="6789"/>
      <c r="R509" s="6790"/>
      <c r="S509" s="6786"/>
      <c r="T509" s="6791"/>
      <c r="U509" s="6844"/>
      <c r="V509" s="6791"/>
      <c r="W509" s="6785"/>
      <c r="X509" s="6868"/>
      <c r="Y509" s="6793"/>
      <c r="Z509" s="6794"/>
      <c r="AA509" s="6795"/>
      <c r="AB509" s="6796"/>
      <c r="AC509" s="6797"/>
      <c r="AD509" s="6798"/>
      <c r="AE509" s="4" t="s">
        <v>1</v>
      </c>
      <c r="AF509" s="6202" t="str">
        <f t="shared" si="202"/>
        <v>►</v>
      </c>
      <c r="AG509" s="6234" t="str">
        <f t="shared" si="203"/>
        <v/>
      </c>
      <c r="AH509" s="6732" t="str">
        <f t="shared" si="204"/>
        <v/>
      </c>
      <c r="AI509" s="6234" t="str">
        <f t="shared" si="205"/>
        <v/>
      </c>
      <c r="AJ509" s="6732" t="str">
        <f t="shared" si="206"/>
        <v/>
      </c>
      <c r="AK509" s="6732">
        <f t="shared" si="207"/>
        <v>0</v>
      </c>
      <c r="AL509" s="6230" t="str" cm="1">
        <f t="array" ref="AL509">IF(AF509&lt;&gt;"A","",IFERROR((IFERROR(_xlfn.XLOOKUP(TRIM(SUBSTITUTE(U509,CHAR(160)," ")),$BJ$15:$BJ$62,$BM$15:$BM$62),IFERROR(_xlfn.XLOOKUP(TRIM(SUBSTITUTE(U509,CHAR(160)," ")),$BK$15:$BK$62,$BM$15:$BM$62),_xlfn.XLOOKUP(TRIM(SUBSTITUTE(U509,CHAR(160)," ")),$BL$15:$BL$62,$BM$15:$BM$62))))*T509*IF(ISBLANK(Q509),1,Q509)+IFERROR(_xlfn.XLOOKUP("RECHERCHEX",TRIM(L509:AD509),L509:AD509),0),0))</f>
        <v/>
      </c>
      <c r="AM509" s="6229">
        <f t="shared" si="208"/>
        <v>0</v>
      </c>
      <c r="AN509" s="6857" t="str">
        <f t="shared" si="223"/>
        <v/>
      </c>
      <c r="AO509" s="392">
        <f t="shared" si="209"/>
        <v>0</v>
      </c>
      <c r="AP509" s="392">
        <f t="shared" si="210"/>
        <v>0</v>
      </c>
      <c r="AQ509" s="6191">
        <f t="shared" si="211"/>
        <v>0</v>
      </c>
      <c r="AR509" s="6859" t="str">
        <f t="shared" si="212"/>
        <v/>
      </c>
      <c r="AS509" s="6217"/>
      <c r="AT509" s="6217"/>
      <c r="AU509" s="6272">
        <f t="shared" si="213"/>
        <v>0</v>
      </c>
      <c r="AV509" s="6240">
        <f t="shared" si="214"/>
        <v>0</v>
      </c>
      <c r="AW509" s="6189" cm="1">
        <f t="array" ref="AW509">IF(AK509&lt;&gt;1,0,IF(OR(AU509="",N(AU509)&lt;=0.000000001),"",IF(OR(AO509="",N(AO509)&lt;=0.000000001),0,IF(ISNUMBER(AU509),IFERROR(_xlfn.LET(_xlpm.ai_test,TRIM(AJ509),_xlpm.r,IFERROR(_xlfn.XLOOKUP(_xlpm.ai_test,$BJ$15:$BJ$62,ROW($BJ$15:$BJ$62),0,1),IFERROR(_xlfn.XLOOKUP(_xlpm.ai_test,$BK$15:$BK$62,ROW($BK$15:$BK$62),0,1),_xlfn.XLOOKUP(_xlpm.ai_test,$BL$15:$BL$62,ROW($BL$15:$BL$62),0,1))),_xlpm.p,_xlpm.r-MIN(ROW($BJ$15:$BJ$62))+1,_xlpm.f,INDEX($BM$15:$BM$62,_xlpm.p),_xlpm.u,INDEX($BN$15:$BN$62,_xlpm.p),_xlpm.s,INDEX($BP$15:$BP$62,_xlpm.p),_xlpm.q,N(AU509)/_xlpm.f,IF(_xlpm.q&gt;=_xlpm.s,ROUND(_xlpm.q,1)&amp;" "&amp;_xlpm.ai_test&amp;" = "&amp;ROUND(_xlpm.q*_xlpm.f,1)&amp;" "&amp;_xlpm.u,ROUND(_xlpm.q,1)&amp;" "&amp;_xlpm.ai_test)),""),""))))</f>
        <v>0</v>
      </c>
      <c r="AX509" s="6218"/>
      <c r="AY509" s="6272">
        <f t="shared" si="215"/>
        <v>0</v>
      </c>
      <c r="AZ509" s="6240" t="str">
        <f t="shared" si="216"/>
        <v/>
      </c>
      <c r="BA509" s="6195">
        <f t="shared" si="221"/>
        <v>0</v>
      </c>
      <c r="BB509" s="6193" t="str">
        <f t="shared" si="217"/>
        <v/>
      </c>
      <c r="BC509" s="6219"/>
      <c r="BD509" s="6222">
        <f t="shared" si="222"/>
        <v>0</v>
      </c>
      <c r="BE509" s="6220" t="str">
        <f t="shared" si="218"/>
        <v/>
      </c>
      <c r="BF509" s="4" t="s">
        <v>1</v>
      </c>
      <c r="BG509" s="6196">
        <f t="shared" si="219"/>
        <v>0</v>
      </c>
      <c r="BH509" s="6197">
        <f t="shared" si="220"/>
        <v>0</v>
      </c>
      <c r="BI509"/>
      <c r="BJ509" s="1"/>
      <c r="BK509" s="1"/>
      <c r="BL509" s="1"/>
      <c r="BM509" s="1"/>
      <c r="BN509" s="1"/>
      <c r="BO509" s="1"/>
      <c r="BP509" s="1"/>
      <c r="BQ509" s="1"/>
      <c r="BX509" s="20" t="str">
        <f t="shared" si="201"/>
        <v>►</v>
      </c>
      <c r="BY509" s="2"/>
      <c r="BZ509" s="2"/>
      <c r="CA509" s="2"/>
      <c r="CB509" s="2"/>
      <c r="CC509" s="2"/>
      <c r="DC509" s="5">
        <v>1</v>
      </c>
    </row>
    <row r="510" spans="12:107" ht="21" customHeight="1">
      <c r="L510" s="1021" t="s">
        <v>26</v>
      </c>
      <c r="M510" s="6787"/>
      <c r="N510" s="6787"/>
      <c r="O510" s="6787"/>
      <c r="P510" s="6788"/>
      <c r="Q510" s="6789"/>
      <c r="R510" s="6790"/>
      <c r="S510" s="6786"/>
      <c r="T510" s="6791"/>
      <c r="U510" s="6844"/>
      <c r="V510" s="6791"/>
      <c r="W510" s="6785"/>
      <c r="X510" s="6868"/>
      <c r="Y510" s="6793"/>
      <c r="Z510" s="6794"/>
      <c r="AA510" s="6795"/>
      <c r="AB510" s="6796"/>
      <c r="AC510" s="6797"/>
      <c r="AD510" s="6798"/>
      <c r="AE510" s="4" t="s">
        <v>1</v>
      </c>
      <c r="AF510" s="6202" t="str">
        <f t="shared" si="202"/>
        <v>►</v>
      </c>
      <c r="AG510" s="6234" t="str">
        <f t="shared" si="203"/>
        <v/>
      </c>
      <c r="AH510" s="6732" t="str">
        <f t="shared" si="204"/>
        <v/>
      </c>
      <c r="AI510" s="6234" t="str">
        <f t="shared" si="205"/>
        <v/>
      </c>
      <c r="AJ510" s="6732" t="str">
        <f t="shared" si="206"/>
        <v/>
      </c>
      <c r="AK510" s="6732">
        <f t="shared" si="207"/>
        <v>0</v>
      </c>
      <c r="AL510" s="6230" t="str" cm="1">
        <f t="array" ref="AL510">IF(AF510&lt;&gt;"A","",IFERROR((IFERROR(_xlfn.XLOOKUP(TRIM(SUBSTITUTE(U510,CHAR(160)," ")),$BJ$15:$BJ$62,$BM$15:$BM$62),IFERROR(_xlfn.XLOOKUP(TRIM(SUBSTITUTE(U510,CHAR(160)," ")),$BK$15:$BK$62,$BM$15:$BM$62),_xlfn.XLOOKUP(TRIM(SUBSTITUTE(U510,CHAR(160)," ")),$BL$15:$BL$62,$BM$15:$BM$62))))*T510*IF(ISBLANK(Q510),1,Q510)+IFERROR(_xlfn.XLOOKUP("RECHERCHEX",TRIM(L510:AD510),L510:AD510),0),0))</f>
        <v/>
      </c>
      <c r="AM510" s="6229">
        <f t="shared" si="208"/>
        <v>0</v>
      </c>
      <c r="AN510" s="6857" t="str">
        <f t="shared" si="223"/>
        <v/>
      </c>
      <c r="AO510" s="392">
        <f t="shared" si="209"/>
        <v>0</v>
      </c>
      <c r="AP510" s="392">
        <f t="shared" si="210"/>
        <v>0</v>
      </c>
      <c r="AQ510" s="6190">
        <f t="shared" si="211"/>
        <v>0</v>
      </c>
      <c r="AR510" s="6858" t="str">
        <f t="shared" si="212"/>
        <v/>
      </c>
      <c r="AS510" s="6217"/>
      <c r="AT510" s="6217"/>
      <c r="AU510" s="6271">
        <f t="shared" si="213"/>
        <v>0</v>
      </c>
      <c r="AV510" s="6242">
        <f t="shared" si="214"/>
        <v>0</v>
      </c>
      <c r="AW510" s="6188" cm="1">
        <f t="array" ref="AW510">IF(AK510&lt;&gt;1,0,IF(OR(AU510="",N(AU510)&lt;=0.000000001),"",IF(OR(AO510="",N(AO510)&lt;=0.000000001),0,IF(ISNUMBER(AU510),IFERROR(_xlfn.LET(_xlpm.ai_test,TRIM(AJ510),_xlpm.r,IFERROR(_xlfn.XLOOKUP(_xlpm.ai_test,$BJ$15:$BJ$62,ROW($BJ$15:$BJ$62),0,1),IFERROR(_xlfn.XLOOKUP(_xlpm.ai_test,$BK$15:$BK$62,ROW($BK$15:$BK$62),0,1),_xlfn.XLOOKUP(_xlpm.ai_test,$BL$15:$BL$62,ROW($BL$15:$BL$62),0,1))),_xlpm.p,_xlpm.r-MIN(ROW($BJ$15:$BJ$62))+1,_xlpm.f,INDEX($BM$15:$BM$62,_xlpm.p),_xlpm.u,INDEX($BN$15:$BN$62,_xlpm.p),_xlpm.s,INDEX($BP$15:$BP$62,_xlpm.p),_xlpm.q,N(AU510)/_xlpm.f,IF(_xlpm.q&gt;=_xlpm.s,ROUND(_xlpm.q,1)&amp;" "&amp;_xlpm.ai_test&amp;" = "&amp;ROUND(_xlpm.q*_xlpm.f,1)&amp;" "&amp;_xlpm.u,ROUND(_xlpm.q,1)&amp;" "&amp;_xlpm.ai_test)),""),""))))</f>
        <v>0</v>
      </c>
      <c r="AX510" s="6218"/>
      <c r="AY510" s="6271">
        <f t="shared" si="215"/>
        <v>0</v>
      </c>
      <c r="AZ510" s="6242" t="str">
        <f t="shared" si="216"/>
        <v/>
      </c>
      <c r="BA510" s="6194">
        <f t="shared" si="221"/>
        <v>0</v>
      </c>
      <c r="BB510" s="6192" t="str">
        <f t="shared" si="217"/>
        <v/>
      </c>
      <c r="BC510" s="6219"/>
      <c r="BD510" s="6221">
        <f t="shared" si="222"/>
        <v>0</v>
      </c>
      <c r="BE510" s="6220" t="str">
        <f t="shared" si="218"/>
        <v/>
      </c>
      <c r="BF510" s="4" t="s">
        <v>1</v>
      </c>
      <c r="BG510" s="6196">
        <f t="shared" si="219"/>
        <v>0</v>
      </c>
      <c r="BH510" s="6197">
        <f t="shared" si="220"/>
        <v>0</v>
      </c>
      <c r="BI510"/>
      <c r="BJ510" s="1"/>
      <c r="BK510" s="1"/>
      <c r="BL510" s="1"/>
      <c r="BM510" s="1"/>
      <c r="BN510" s="1"/>
      <c r="BO510" s="1"/>
      <c r="BP510" s="1"/>
      <c r="BQ510" s="1"/>
      <c r="BX510" s="20" t="str">
        <f t="shared" si="201"/>
        <v>►</v>
      </c>
      <c r="BY510" s="2"/>
      <c r="BZ510" s="2"/>
      <c r="CA510" s="2"/>
      <c r="CB510" s="2"/>
      <c r="CC510" s="2"/>
      <c r="DC510" s="5">
        <v>1</v>
      </c>
    </row>
    <row r="511" spans="12:107" ht="21" customHeight="1">
      <c r="L511" s="1021" t="s">
        <v>26</v>
      </c>
      <c r="M511" s="6787"/>
      <c r="N511" s="6787"/>
      <c r="O511" s="6787"/>
      <c r="P511" s="6788"/>
      <c r="Q511" s="6789"/>
      <c r="R511" s="6790"/>
      <c r="S511" s="6786"/>
      <c r="T511" s="6791"/>
      <c r="U511" s="6844"/>
      <c r="V511" s="6791"/>
      <c r="W511" s="6785"/>
      <c r="X511" s="6868"/>
      <c r="Y511" s="6793"/>
      <c r="Z511" s="6794"/>
      <c r="AA511" s="6795"/>
      <c r="AB511" s="6796"/>
      <c r="AC511" s="6797"/>
      <c r="AD511" s="6798"/>
      <c r="AE511" s="4" t="s">
        <v>1</v>
      </c>
      <c r="AF511" s="6202" t="str">
        <f t="shared" si="202"/>
        <v>►</v>
      </c>
      <c r="AG511" s="6234" t="str">
        <f t="shared" si="203"/>
        <v/>
      </c>
      <c r="AH511" s="6732" t="str">
        <f t="shared" si="204"/>
        <v/>
      </c>
      <c r="AI511" s="6234" t="str">
        <f t="shared" si="205"/>
        <v/>
      </c>
      <c r="AJ511" s="6732" t="str">
        <f t="shared" si="206"/>
        <v/>
      </c>
      <c r="AK511" s="6732">
        <f t="shared" si="207"/>
        <v>0</v>
      </c>
      <c r="AL511" s="6230" t="str" cm="1">
        <f t="array" ref="AL511">IF(AF511&lt;&gt;"A","",IFERROR((IFERROR(_xlfn.XLOOKUP(TRIM(SUBSTITUTE(U511,CHAR(160)," ")),$BJ$15:$BJ$62,$BM$15:$BM$62),IFERROR(_xlfn.XLOOKUP(TRIM(SUBSTITUTE(U511,CHAR(160)," ")),$BK$15:$BK$62,$BM$15:$BM$62),_xlfn.XLOOKUP(TRIM(SUBSTITUTE(U511,CHAR(160)," ")),$BL$15:$BL$62,$BM$15:$BM$62))))*T511*IF(ISBLANK(Q511),1,Q511)+IFERROR(_xlfn.XLOOKUP("RECHERCHEX",TRIM(L511:AD511),L511:AD511),0),0))</f>
        <v/>
      </c>
      <c r="AM511" s="6229">
        <f t="shared" si="208"/>
        <v>0</v>
      </c>
      <c r="AN511" s="6857" t="str">
        <f t="shared" si="223"/>
        <v/>
      </c>
      <c r="AO511" s="392">
        <f t="shared" si="209"/>
        <v>0</v>
      </c>
      <c r="AP511" s="392">
        <f t="shared" si="210"/>
        <v>0</v>
      </c>
      <c r="AQ511" s="6191">
        <f t="shared" si="211"/>
        <v>0</v>
      </c>
      <c r="AR511" s="6859" t="str">
        <f t="shared" si="212"/>
        <v/>
      </c>
      <c r="AS511" s="6217"/>
      <c r="AT511" s="6217"/>
      <c r="AU511" s="6272">
        <f t="shared" si="213"/>
        <v>0</v>
      </c>
      <c r="AV511" s="6240">
        <f t="shared" si="214"/>
        <v>0</v>
      </c>
      <c r="AW511" s="6189" cm="1">
        <f t="array" ref="AW511">IF(AK511&lt;&gt;1,0,IF(OR(AU511="",N(AU511)&lt;=0.000000001),"",IF(OR(AO511="",N(AO511)&lt;=0.000000001),0,IF(ISNUMBER(AU511),IFERROR(_xlfn.LET(_xlpm.ai_test,TRIM(AJ511),_xlpm.r,IFERROR(_xlfn.XLOOKUP(_xlpm.ai_test,$BJ$15:$BJ$62,ROW($BJ$15:$BJ$62),0,1),IFERROR(_xlfn.XLOOKUP(_xlpm.ai_test,$BK$15:$BK$62,ROW($BK$15:$BK$62),0,1),_xlfn.XLOOKUP(_xlpm.ai_test,$BL$15:$BL$62,ROW($BL$15:$BL$62),0,1))),_xlpm.p,_xlpm.r-MIN(ROW($BJ$15:$BJ$62))+1,_xlpm.f,INDEX($BM$15:$BM$62,_xlpm.p),_xlpm.u,INDEX($BN$15:$BN$62,_xlpm.p),_xlpm.s,INDEX($BP$15:$BP$62,_xlpm.p),_xlpm.q,N(AU511)/_xlpm.f,IF(_xlpm.q&gt;=_xlpm.s,ROUND(_xlpm.q,1)&amp;" "&amp;_xlpm.ai_test&amp;" = "&amp;ROUND(_xlpm.q*_xlpm.f,1)&amp;" "&amp;_xlpm.u,ROUND(_xlpm.q,1)&amp;" "&amp;_xlpm.ai_test)),""),""))))</f>
        <v>0</v>
      </c>
      <c r="AX511" s="6218"/>
      <c r="AY511" s="6272">
        <f t="shared" si="215"/>
        <v>0</v>
      </c>
      <c r="AZ511" s="6240" t="str">
        <f t="shared" si="216"/>
        <v/>
      </c>
      <c r="BA511" s="6195">
        <f t="shared" si="221"/>
        <v>0</v>
      </c>
      <c r="BB511" s="6193" t="str">
        <f t="shared" si="217"/>
        <v/>
      </c>
      <c r="BC511" s="6219"/>
      <c r="BD511" s="6222">
        <f t="shared" si="222"/>
        <v>0</v>
      </c>
      <c r="BE511" s="6220" t="str">
        <f t="shared" si="218"/>
        <v/>
      </c>
      <c r="BF511" s="4" t="s">
        <v>1</v>
      </c>
      <c r="BG511" s="6196">
        <f t="shared" si="219"/>
        <v>0</v>
      </c>
      <c r="BH511" s="6197">
        <f t="shared" si="220"/>
        <v>0</v>
      </c>
      <c r="BI511"/>
      <c r="BJ511" s="1"/>
      <c r="BK511" s="1"/>
      <c r="BL511" s="1"/>
      <c r="BM511" s="1"/>
      <c r="BN511" s="1"/>
      <c r="BO511" s="1"/>
      <c r="BP511" s="1"/>
      <c r="BQ511" s="1"/>
      <c r="BX511" s="20" t="str">
        <f t="shared" si="201"/>
        <v>►</v>
      </c>
      <c r="BY511" s="2"/>
      <c r="BZ511" s="2"/>
      <c r="CA511" s="2"/>
      <c r="CB511" s="2"/>
      <c r="CC511" s="2"/>
      <c r="DC511" s="5">
        <v>1</v>
      </c>
    </row>
    <row r="512" spans="12:107" ht="21" customHeight="1">
      <c r="L512" s="1021" t="s">
        <v>26</v>
      </c>
      <c r="M512" s="6787"/>
      <c r="N512" s="6787"/>
      <c r="O512" s="6787"/>
      <c r="P512" s="6788"/>
      <c r="Q512" s="6789"/>
      <c r="R512" s="6790"/>
      <c r="S512" s="6786"/>
      <c r="T512" s="6791"/>
      <c r="U512" s="6844"/>
      <c r="V512" s="6791"/>
      <c r="W512" s="6785"/>
      <c r="X512" s="6868"/>
      <c r="Y512" s="6793"/>
      <c r="Z512" s="6794"/>
      <c r="AA512" s="6795"/>
      <c r="AB512" s="6796"/>
      <c r="AC512" s="6797"/>
      <c r="AD512" s="6798"/>
      <c r="AE512" s="4" t="s">
        <v>1</v>
      </c>
      <c r="AF512" s="6202" t="str">
        <f t="shared" si="202"/>
        <v>►</v>
      </c>
      <c r="AG512" s="6234" t="str">
        <f t="shared" si="203"/>
        <v/>
      </c>
      <c r="AH512" s="6732" t="str">
        <f t="shared" si="204"/>
        <v/>
      </c>
      <c r="AI512" s="6234" t="str">
        <f t="shared" si="205"/>
        <v/>
      </c>
      <c r="AJ512" s="6732" t="str">
        <f t="shared" si="206"/>
        <v/>
      </c>
      <c r="AK512" s="6732">
        <f t="shared" si="207"/>
        <v>0</v>
      </c>
      <c r="AL512" s="6230" t="str" cm="1">
        <f t="array" ref="AL512">IF(AF512&lt;&gt;"A","",IFERROR((IFERROR(_xlfn.XLOOKUP(TRIM(SUBSTITUTE(U512,CHAR(160)," ")),$BJ$15:$BJ$62,$BM$15:$BM$62),IFERROR(_xlfn.XLOOKUP(TRIM(SUBSTITUTE(U512,CHAR(160)," ")),$BK$15:$BK$62,$BM$15:$BM$62),_xlfn.XLOOKUP(TRIM(SUBSTITUTE(U512,CHAR(160)," ")),$BL$15:$BL$62,$BM$15:$BM$62))))*T512*IF(ISBLANK(Q512),1,Q512)+IFERROR(_xlfn.XLOOKUP("RECHERCHEX",TRIM(L512:AD512),L512:AD512),0),0))</f>
        <v/>
      </c>
      <c r="AM512" s="6229">
        <f t="shared" si="208"/>
        <v>0</v>
      </c>
      <c r="AN512" s="6857" t="str">
        <f t="shared" si="223"/>
        <v/>
      </c>
      <c r="AO512" s="392">
        <f t="shared" si="209"/>
        <v>0</v>
      </c>
      <c r="AP512" s="392">
        <f t="shared" si="210"/>
        <v>0</v>
      </c>
      <c r="AQ512" s="6190">
        <f t="shared" si="211"/>
        <v>0</v>
      </c>
      <c r="AR512" s="6858" t="str">
        <f t="shared" si="212"/>
        <v/>
      </c>
      <c r="AS512" s="6217"/>
      <c r="AT512" s="6217"/>
      <c r="AU512" s="6271">
        <f t="shared" si="213"/>
        <v>0</v>
      </c>
      <c r="AV512" s="6242">
        <f t="shared" si="214"/>
        <v>0</v>
      </c>
      <c r="AW512" s="6188" cm="1">
        <f t="array" ref="AW512">IF(AK512&lt;&gt;1,0,IF(OR(AU512="",N(AU512)&lt;=0.000000001),"",IF(OR(AO512="",N(AO512)&lt;=0.000000001),0,IF(ISNUMBER(AU512),IFERROR(_xlfn.LET(_xlpm.ai_test,TRIM(AJ512),_xlpm.r,IFERROR(_xlfn.XLOOKUP(_xlpm.ai_test,$BJ$15:$BJ$62,ROW($BJ$15:$BJ$62),0,1),IFERROR(_xlfn.XLOOKUP(_xlpm.ai_test,$BK$15:$BK$62,ROW($BK$15:$BK$62),0,1),_xlfn.XLOOKUP(_xlpm.ai_test,$BL$15:$BL$62,ROW($BL$15:$BL$62),0,1))),_xlpm.p,_xlpm.r-MIN(ROW($BJ$15:$BJ$62))+1,_xlpm.f,INDEX($BM$15:$BM$62,_xlpm.p),_xlpm.u,INDEX($BN$15:$BN$62,_xlpm.p),_xlpm.s,INDEX($BP$15:$BP$62,_xlpm.p),_xlpm.q,N(AU512)/_xlpm.f,IF(_xlpm.q&gt;=_xlpm.s,ROUND(_xlpm.q,1)&amp;" "&amp;_xlpm.ai_test&amp;" = "&amp;ROUND(_xlpm.q*_xlpm.f,1)&amp;" "&amp;_xlpm.u,ROUND(_xlpm.q,1)&amp;" "&amp;_xlpm.ai_test)),""),""))))</f>
        <v>0</v>
      </c>
      <c r="AX512" s="6218"/>
      <c r="AY512" s="6271">
        <f t="shared" si="215"/>
        <v>0</v>
      </c>
      <c r="AZ512" s="6242" t="str">
        <f t="shared" si="216"/>
        <v/>
      </c>
      <c r="BA512" s="6194">
        <f t="shared" si="221"/>
        <v>0</v>
      </c>
      <c r="BB512" s="6192" t="str">
        <f t="shared" si="217"/>
        <v/>
      </c>
      <c r="BC512" s="6219"/>
      <c r="BD512" s="6221">
        <f t="shared" si="222"/>
        <v>0</v>
      </c>
      <c r="BE512" s="6220" t="str">
        <f t="shared" si="218"/>
        <v/>
      </c>
      <c r="BF512" s="4" t="s">
        <v>1</v>
      </c>
      <c r="BG512" s="6196">
        <f t="shared" si="219"/>
        <v>0</v>
      </c>
      <c r="BH512" s="6197">
        <f t="shared" si="220"/>
        <v>0</v>
      </c>
      <c r="BI512"/>
      <c r="BJ512" s="1"/>
      <c r="BK512" s="1"/>
      <c r="BL512" s="1"/>
      <c r="BM512" s="1"/>
      <c r="BN512" s="1"/>
      <c r="BO512" s="1"/>
      <c r="BP512" s="1"/>
      <c r="BQ512" s="1"/>
      <c r="BX512" s="20" t="str">
        <f t="shared" si="201"/>
        <v>►</v>
      </c>
      <c r="BY512" s="2"/>
      <c r="BZ512" s="2"/>
      <c r="CA512" s="2"/>
      <c r="CB512" s="2"/>
      <c r="CC512" s="2"/>
      <c r="DC512" s="5">
        <v>1</v>
      </c>
    </row>
    <row r="513" spans="12:107" ht="21" customHeight="1">
      <c r="L513" s="1021" t="s">
        <v>26</v>
      </c>
      <c r="M513" s="6787"/>
      <c r="N513" s="6787"/>
      <c r="O513" s="6787"/>
      <c r="P513" s="6788"/>
      <c r="Q513" s="6789"/>
      <c r="R513" s="6790"/>
      <c r="S513" s="6786"/>
      <c r="T513" s="6791"/>
      <c r="U513" s="6844"/>
      <c r="V513" s="6791"/>
      <c r="W513" s="6785"/>
      <c r="X513" s="6868"/>
      <c r="Y513" s="6793"/>
      <c r="Z513" s="6794"/>
      <c r="AA513" s="6795"/>
      <c r="AB513" s="6796"/>
      <c r="AC513" s="6797"/>
      <c r="AD513" s="6798"/>
      <c r="AE513" s="4" t="s">
        <v>1</v>
      </c>
      <c r="AF513" s="6202" t="str">
        <f t="shared" si="202"/>
        <v>►</v>
      </c>
      <c r="AG513" s="6234" t="str">
        <f t="shared" si="203"/>
        <v/>
      </c>
      <c r="AH513" s="6732" t="str">
        <f t="shared" si="204"/>
        <v/>
      </c>
      <c r="AI513" s="6234" t="str">
        <f t="shared" si="205"/>
        <v/>
      </c>
      <c r="AJ513" s="6732" t="str">
        <f t="shared" si="206"/>
        <v/>
      </c>
      <c r="AK513" s="6732">
        <f t="shared" si="207"/>
        <v>0</v>
      </c>
      <c r="AL513" s="6230" t="str" cm="1">
        <f t="array" ref="AL513">IF(AF513&lt;&gt;"A","",IFERROR((IFERROR(_xlfn.XLOOKUP(TRIM(SUBSTITUTE(U513,CHAR(160)," ")),$BJ$15:$BJ$62,$BM$15:$BM$62),IFERROR(_xlfn.XLOOKUP(TRIM(SUBSTITUTE(U513,CHAR(160)," ")),$BK$15:$BK$62,$BM$15:$BM$62),_xlfn.XLOOKUP(TRIM(SUBSTITUTE(U513,CHAR(160)," ")),$BL$15:$BL$62,$BM$15:$BM$62))))*T513*IF(ISBLANK(Q513),1,Q513)+IFERROR(_xlfn.XLOOKUP("RECHERCHEX",TRIM(L513:AD513),L513:AD513),0),0))</f>
        <v/>
      </c>
      <c r="AM513" s="6229">
        <f t="shared" si="208"/>
        <v>0</v>
      </c>
      <c r="AN513" s="6857" t="str">
        <f t="shared" si="223"/>
        <v/>
      </c>
      <c r="AO513" s="392">
        <f t="shared" si="209"/>
        <v>0</v>
      </c>
      <c r="AP513" s="392">
        <f t="shared" si="210"/>
        <v>0</v>
      </c>
      <c r="AQ513" s="6191">
        <f t="shared" si="211"/>
        <v>0</v>
      </c>
      <c r="AR513" s="6859" t="str">
        <f t="shared" si="212"/>
        <v/>
      </c>
      <c r="AS513" s="6217"/>
      <c r="AT513" s="6217"/>
      <c r="AU513" s="6272">
        <f t="shared" si="213"/>
        <v>0</v>
      </c>
      <c r="AV513" s="6240">
        <f t="shared" si="214"/>
        <v>0</v>
      </c>
      <c r="AW513" s="6189" cm="1">
        <f t="array" ref="AW513">IF(AK513&lt;&gt;1,0,IF(OR(AU513="",N(AU513)&lt;=0.000000001),"",IF(OR(AO513="",N(AO513)&lt;=0.000000001),0,IF(ISNUMBER(AU513),IFERROR(_xlfn.LET(_xlpm.ai_test,TRIM(AJ513),_xlpm.r,IFERROR(_xlfn.XLOOKUP(_xlpm.ai_test,$BJ$15:$BJ$62,ROW($BJ$15:$BJ$62),0,1),IFERROR(_xlfn.XLOOKUP(_xlpm.ai_test,$BK$15:$BK$62,ROW($BK$15:$BK$62),0,1),_xlfn.XLOOKUP(_xlpm.ai_test,$BL$15:$BL$62,ROW($BL$15:$BL$62),0,1))),_xlpm.p,_xlpm.r-MIN(ROW($BJ$15:$BJ$62))+1,_xlpm.f,INDEX($BM$15:$BM$62,_xlpm.p),_xlpm.u,INDEX($BN$15:$BN$62,_xlpm.p),_xlpm.s,INDEX($BP$15:$BP$62,_xlpm.p),_xlpm.q,N(AU513)/_xlpm.f,IF(_xlpm.q&gt;=_xlpm.s,ROUND(_xlpm.q,1)&amp;" "&amp;_xlpm.ai_test&amp;" = "&amp;ROUND(_xlpm.q*_xlpm.f,1)&amp;" "&amp;_xlpm.u,ROUND(_xlpm.q,1)&amp;" "&amp;_xlpm.ai_test)),""),""))))</f>
        <v>0</v>
      </c>
      <c r="AX513" s="6218"/>
      <c r="AY513" s="6272">
        <f t="shared" si="215"/>
        <v>0</v>
      </c>
      <c r="AZ513" s="6240" t="str">
        <f t="shared" si="216"/>
        <v/>
      </c>
      <c r="BA513" s="6195">
        <f t="shared" si="221"/>
        <v>0</v>
      </c>
      <c r="BB513" s="6193" t="str">
        <f t="shared" si="217"/>
        <v/>
      </c>
      <c r="BC513" s="6219"/>
      <c r="BD513" s="6222">
        <f t="shared" si="222"/>
        <v>0</v>
      </c>
      <c r="BE513" s="6220" t="str">
        <f t="shared" si="218"/>
        <v/>
      </c>
      <c r="BF513" s="4" t="s">
        <v>1</v>
      </c>
      <c r="BG513" s="6196">
        <f t="shared" si="219"/>
        <v>0</v>
      </c>
      <c r="BH513" s="6197">
        <f t="shared" si="220"/>
        <v>0</v>
      </c>
      <c r="BI513"/>
      <c r="BJ513" s="1"/>
      <c r="BK513" s="1"/>
      <c r="BL513" s="1"/>
      <c r="BM513" s="1"/>
      <c r="BN513" s="1"/>
      <c r="BO513" s="1"/>
      <c r="BP513" s="1"/>
      <c r="BQ513" s="1"/>
      <c r="BX513" s="20" t="str">
        <f t="shared" si="201"/>
        <v>►</v>
      </c>
      <c r="BY513" s="2"/>
      <c r="BZ513" s="2"/>
      <c r="CA513" s="2"/>
      <c r="CB513" s="2"/>
      <c r="CC513" s="2"/>
      <c r="DC513" s="5">
        <v>1</v>
      </c>
    </row>
    <row r="514" spans="12:107" ht="21" customHeight="1">
      <c r="L514" s="1021" t="s">
        <v>26</v>
      </c>
      <c r="M514" s="6787"/>
      <c r="N514" s="6787"/>
      <c r="O514" s="6787"/>
      <c r="P514" s="6788"/>
      <c r="Q514" s="6789"/>
      <c r="R514" s="6790"/>
      <c r="S514" s="6786"/>
      <c r="T514" s="6791"/>
      <c r="U514" s="6844"/>
      <c r="V514" s="6791"/>
      <c r="W514" s="6785"/>
      <c r="X514" s="6868"/>
      <c r="Y514" s="6793"/>
      <c r="Z514" s="6794"/>
      <c r="AA514" s="6795"/>
      <c r="AB514" s="6796"/>
      <c r="AC514" s="6797"/>
      <c r="AD514" s="6798"/>
      <c r="AE514" s="4" t="s">
        <v>1</v>
      </c>
      <c r="AF514" s="6202" t="str">
        <f t="shared" si="202"/>
        <v>►</v>
      </c>
      <c r="AG514" s="6234" t="str">
        <f t="shared" si="203"/>
        <v/>
      </c>
      <c r="AH514" s="6732" t="str">
        <f t="shared" si="204"/>
        <v/>
      </c>
      <c r="AI514" s="6234" t="str">
        <f t="shared" si="205"/>
        <v/>
      </c>
      <c r="AJ514" s="6732" t="str">
        <f t="shared" si="206"/>
        <v/>
      </c>
      <c r="AK514" s="6732">
        <f t="shared" si="207"/>
        <v>0</v>
      </c>
      <c r="AL514" s="6230" t="str" cm="1">
        <f t="array" ref="AL514">IF(AF514&lt;&gt;"A","",IFERROR((IFERROR(_xlfn.XLOOKUP(TRIM(SUBSTITUTE(U514,CHAR(160)," ")),$BJ$15:$BJ$62,$BM$15:$BM$62),IFERROR(_xlfn.XLOOKUP(TRIM(SUBSTITUTE(U514,CHAR(160)," ")),$BK$15:$BK$62,$BM$15:$BM$62),_xlfn.XLOOKUP(TRIM(SUBSTITUTE(U514,CHAR(160)," ")),$BL$15:$BL$62,$BM$15:$BM$62))))*T514*IF(ISBLANK(Q514),1,Q514)+IFERROR(_xlfn.XLOOKUP("RECHERCHEX",TRIM(L514:AD514),L514:AD514),0),0))</f>
        <v/>
      </c>
      <c r="AM514" s="6229">
        <f t="shared" si="208"/>
        <v>0</v>
      </c>
      <c r="AN514" s="6857" t="str">
        <f t="shared" si="223"/>
        <v/>
      </c>
      <c r="AO514" s="392">
        <f t="shared" si="209"/>
        <v>0</v>
      </c>
      <c r="AP514" s="392">
        <f t="shared" si="210"/>
        <v>0</v>
      </c>
      <c r="AQ514" s="6190">
        <f t="shared" si="211"/>
        <v>0</v>
      </c>
      <c r="AR514" s="6858" t="str">
        <f t="shared" si="212"/>
        <v/>
      </c>
      <c r="AS514" s="6217"/>
      <c r="AT514" s="6217"/>
      <c r="AU514" s="6271">
        <f t="shared" si="213"/>
        <v>0</v>
      </c>
      <c r="AV514" s="6242">
        <f t="shared" si="214"/>
        <v>0</v>
      </c>
      <c r="AW514" s="6188" cm="1">
        <f t="array" ref="AW514">IF(AK514&lt;&gt;1,0,IF(OR(AU514="",N(AU514)&lt;=0.000000001),"",IF(OR(AO514="",N(AO514)&lt;=0.000000001),0,IF(ISNUMBER(AU514),IFERROR(_xlfn.LET(_xlpm.ai_test,TRIM(AJ514),_xlpm.r,IFERROR(_xlfn.XLOOKUP(_xlpm.ai_test,$BJ$15:$BJ$62,ROW($BJ$15:$BJ$62),0,1),IFERROR(_xlfn.XLOOKUP(_xlpm.ai_test,$BK$15:$BK$62,ROW($BK$15:$BK$62),0,1),_xlfn.XLOOKUP(_xlpm.ai_test,$BL$15:$BL$62,ROW($BL$15:$BL$62),0,1))),_xlpm.p,_xlpm.r-MIN(ROW($BJ$15:$BJ$62))+1,_xlpm.f,INDEX($BM$15:$BM$62,_xlpm.p),_xlpm.u,INDEX($BN$15:$BN$62,_xlpm.p),_xlpm.s,INDEX($BP$15:$BP$62,_xlpm.p),_xlpm.q,N(AU514)/_xlpm.f,IF(_xlpm.q&gt;=_xlpm.s,ROUND(_xlpm.q,1)&amp;" "&amp;_xlpm.ai_test&amp;" = "&amp;ROUND(_xlpm.q*_xlpm.f,1)&amp;" "&amp;_xlpm.u,ROUND(_xlpm.q,1)&amp;" "&amp;_xlpm.ai_test)),""),""))))</f>
        <v>0</v>
      </c>
      <c r="AX514" s="6218"/>
      <c r="AY514" s="6271">
        <f t="shared" si="215"/>
        <v>0</v>
      </c>
      <c r="AZ514" s="6242" t="str">
        <f t="shared" si="216"/>
        <v/>
      </c>
      <c r="BA514" s="6194">
        <f t="shared" si="221"/>
        <v>0</v>
      </c>
      <c r="BB514" s="6192" t="str">
        <f t="shared" si="217"/>
        <v/>
      </c>
      <c r="BC514" s="6219"/>
      <c r="BD514" s="6221">
        <f t="shared" si="222"/>
        <v>0</v>
      </c>
      <c r="BE514" s="6220" t="str">
        <f t="shared" si="218"/>
        <v/>
      </c>
      <c r="BF514" s="4" t="s">
        <v>1</v>
      </c>
      <c r="BG514" s="6196">
        <f t="shared" si="219"/>
        <v>0</v>
      </c>
      <c r="BH514" s="6197">
        <f t="shared" si="220"/>
        <v>0</v>
      </c>
      <c r="BI514"/>
      <c r="BJ514" s="1"/>
      <c r="BK514" s="1"/>
      <c r="BL514" s="1"/>
      <c r="BM514" s="1"/>
      <c r="BN514" s="1"/>
      <c r="BO514" s="1"/>
      <c r="BP514" s="1"/>
      <c r="BQ514" s="1"/>
      <c r="BX514" s="20" t="str">
        <f t="shared" si="201"/>
        <v>►</v>
      </c>
      <c r="BY514" s="2"/>
      <c r="BZ514" s="2"/>
      <c r="CA514" s="2"/>
      <c r="CB514" s="2"/>
      <c r="CC514" s="2"/>
      <c r="DC514" s="5">
        <v>1</v>
      </c>
    </row>
    <row r="515" spans="12:107" ht="21" customHeight="1">
      <c r="L515" s="1021" t="s">
        <v>26</v>
      </c>
      <c r="M515" s="6787"/>
      <c r="N515" s="6787"/>
      <c r="O515" s="6787"/>
      <c r="P515" s="6788"/>
      <c r="Q515" s="6789"/>
      <c r="R515" s="6790"/>
      <c r="S515" s="6786"/>
      <c r="T515" s="6791"/>
      <c r="U515" s="6844"/>
      <c r="V515" s="6791"/>
      <c r="W515" s="6785"/>
      <c r="X515" s="6868"/>
      <c r="Y515" s="6793"/>
      <c r="Z515" s="6794"/>
      <c r="AA515" s="6795"/>
      <c r="AB515" s="6796"/>
      <c r="AC515" s="6797"/>
      <c r="AD515" s="6798"/>
      <c r="AE515" s="4" t="s">
        <v>1</v>
      </c>
      <c r="AF515" s="6202" t="str">
        <f t="shared" si="202"/>
        <v>►</v>
      </c>
      <c r="AG515" s="6234" t="str">
        <f t="shared" si="203"/>
        <v/>
      </c>
      <c r="AH515" s="6732" t="str">
        <f t="shared" si="204"/>
        <v/>
      </c>
      <c r="AI515" s="6234" t="str">
        <f t="shared" si="205"/>
        <v/>
      </c>
      <c r="AJ515" s="6732" t="str">
        <f t="shared" si="206"/>
        <v/>
      </c>
      <c r="AK515" s="6732">
        <f t="shared" si="207"/>
        <v>0</v>
      </c>
      <c r="AL515" s="6230" t="str" cm="1">
        <f t="array" ref="AL515">IF(AF515&lt;&gt;"A","",IFERROR((IFERROR(_xlfn.XLOOKUP(TRIM(SUBSTITUTE(U515,CHAR(160)," ")),$BJ$15:$BJ$62,$BM$15:$BM$62),IFERROR(_xlfn.XLOOKUP(TRIM(SUBSTITUTE(U515,CHAR(160)," ")),$BK$15:$BK$62,$BM$15:$BM$62),_xlfn.XLOOKUP(TRIM(SUBSTITUTE(U515,CHAR(160)," ")),$BL$15:$BL$62,$BM$15:$BM$62))))*T515*IF(ISBLANK(Q515),1,Q515)+IFERROR(_xlfn.XLOOKUP("RECHERCHEX",TRIM(L515:AD515),L515:AD515),0),0))</f>
        <v/>
      </c>
      <c r="AM515" s="6229">
        <f t="shared" si="208"/>
        <v>0</v>
      </c>
      <c r="AN515" s="6857" t="str">
        <f t="shared" si="223"/>
        <v/>
      </c>
      <c r="AO515" s="392">
        <f t="shared" si="209"/>
        <v>0</v>
      </c>
      <c r="AP515" s="392">
        <f t="shared" si="210"/>
        <v>0</v>
      </c>
      <c r="AQ515" s="6191">
        <f t="shared" si="211"/>
        <v>0</v>
      </c>
      <c r="AR515" s="6859" t="str">
        <f t="shared" si="212"/>
        <v/>
      </c>
      <c r="AS515" s="6217"/>
      <c r="AT515" s="6217"/>
      <c r="AU515" s="6272">
        <f t="shared" si="213"/>
        <v>0</v>
      </c>
      <c r="AV515" s="6240">
        <f t="shared" si="214"/>
        <v>0</v>
      </c>
      <c r="AW515" s="6189" cm="1">
        <f t="array" ref="AW515">IF(AK515&lt;&gt;1,0,IF(OR(AU515="",N(AU515)&lt;=0.000000001),"",IF(OR(AO515="",N(AO515)&lt;=0.000000001),0,IF(ISNUMBER(AU515),IFERROR(_xlfn.LET(_xlpm.ai_test,TRIM(AJ515),_xlpm.r,IFERROR(_xlfn.XLOOKUP(_xlpm.ai_test,$BJ$15:$BJ$62,ROW($BJ$15:$BJ$62),0,1),IFERROR(_xlfn.XLOOKUP(_xlpm.ai_test,$BK$15:$BK$62,ROW($BK$15:$BK$62),0,1),_xlfn.XLOOKUP(_xlpm.ai_test,$BL$15:$BL$62,ROW($BL$15:$BL$62),0,1))),_xlpm.p,_xlpm.r-MIN(ROW($BJ$15:$BJ$62))+1,_xlpm.f,INDEX($BM$15:$BM$62,_xlpm.p),_xlpm.u,INDEX($BN$15:$BN$62,_xlpm.p),_xlpm.s,INDEX($BP$15:$BP$62,_xlpm.p),_xlpm.q,N(AU515)/_xlpm.f,IF(_xlpm.q&gt;=_xlpm.s,ROUND(_xlpm.q,1)&amp;" "&amp;_xlpm.ai_test&amp;" = "&amp;ROUND(_xlpm.q*_xlpm.f,1)&amp;" "&amp;_xlpm.u,ROUND(_xlpm.q,1)&amp;" "&amp;_xlpm.ai_test)),""),""))))</f>
        <v>0</v>
      </c>
      <c r="AX515" s="6218"/>
      <c r="AY515" s="6272">
        <f t="shared" si="215"/>
        <v>0</v>
      </c>
      <c r="AZ515" s="6240" t="str">
        <f t="shared" si="216"/>
        <v/>
      </c>
      <c r="BA515" s="6195">
        <f t="shared" si="221"/>
        <v>0</v>
      </c>
      <c r="BB515" s="6193" t="str">
        <f t="shared" si="217"/>
        <v/>
      </c>
      <c r="BC515" s="6219"/>
      <c r="BD515" s="6222">
        <f t="shared" si="222"/>
        <v>0</v>
      </c>
      <c r="BE515" s="6220" t="str">
        <f t="shared" si="218"/>
        <v/>
      </c>
      <c r="BF515" s="4" t="s">
        <v>1</v>
      </c>
      <c r="BG515" s="6196">
        <f t="shared" si="219"/>
        <v>0</v>
      </c>
      <c r="BH515" s="6197">
        <f t="shared" si="220"/>
        <v>0</v>
      </c>
      <c r="BI515"/>
      <c r="BJ515" s="1"/>
      <c r="BK515" s="1"/>
      <c r="BL515" s="1"/>
      <c r="BM515" s="1"/>
      <c r="BN515" s="1"/>
      <c r="BO515" s="1"/>
      <c r="BP515" s="1"/>
      <c r="BQ515" s="1"/>
      <c r="BX515" s="20" t="str">
        <f t="shared" si="201"/>
        <v>►</v>
      </c>
      <c r="BY515" s="2"/>
      <c r="BZ515" s="2"/>
      <c r="CA515" s="2"/>
      <c r="CB515" s="2"/>
      <c r="CC515" s="2"/>
      <c r="DC515" s="5">
        <v>1</v>
      </c>
    </row>
    <row r="516" spans="12:107" ht="21" customHeight="1">
      <c r="L516" s="1021" t="s">
        <v>26</v>
      </c>
      <c r="M516" s="6787"/>
      <c r="N516" s="6787"/>
      <c r="O516" s="6787"/>
      <c r="P516" s="6788"/>
      <c r="Q516" s="6789"/>
      <c r="R516" s="6790"/>
      <c r="S516" s="6786"/>
      <c r="T516" s="6791"/>
      <c r="U516" s="6844"/>
      <c r="V516" s="6791"/>
      <c r="W516" s="6785"/>
      <c r="X516" s="6868"/>
      <c r="Y516" s="6793"/>
      <c r="Z516" s="6794"/>
      <c r="AA516" s="6795"/>
      <c r="AB516" s="6796"/>
      <c r="AC516" s="6797"/>
      <c r="AD516" s="6798"/>
      <c r="AE516" s="4" t="s">
        <v>1</v>
      </c>
      <c r="AF516" s="6202" t="str">
        <f t="shared" si="202"/>
        <v>►</v>
      </c>
      <c r="AG516" s="6234" t="str">
        <f t="shared" si="203"/>
        <v/>
      </c>
      <c r="AH516" s="6732" t="str">
        <f t="shared" si="204"/>
        <v/>
      </c>
      <c r="AI516" s="6234" t="str">
        <f t="shared" si="205"/>
        <v/>
      </c>
      <c r="AJ516" s="6732" t="str">
        <f t="shared" si="206"/>
        <v/>
      </c>
      <c r="AK516" s="6732">
        <f t="shared" si="207"/>
        <v>0</v>
      </c>
      <c r="AL516" s="6230" t="str" cm="1">
        <f t="array" ref="AL516">IF(AF516&lt;&gt;"A","",IFERROR((IFERROR(_xlfn.XLOOKUP(TRIM(SUBSTITUTE(U516,CHAR(160)," ")),$BJ$15:$BJ$62,$BM$15:$BM$62),IFERROR(_xlfn.XLOOKUP(TRIM(SUBSTITUTE(U516,CHAR(160)," ")),$BK$15:$BK$62,$BM$15:$BM$62),_xlfn.XLOOKUP(TRIM(SUBSTITUTE(U516,CHAR(160)," ")),$BL$15:$BL$62,$BM$15:$BM$62))))*T516*IF(ISBLANK(Q516),1,Q516)+IFERROR(_xlfn.XLOOKUP("RECHERCHEX",TRIM(L516:AD516),L516:AD516),0),0))</f>
        <v/>
      </c>
      <c r="AM516" s="6229">
        <f t="shared" si="208"/>
        <v>0</v>
      </c>
      <c r="AN516" s="6857" t="str">
        <f t="shared" si="223"/>
        <v/>
      </c>
      <c r="AO516" s="392">
        <f t="shared" si="209"/>
        <v>0</v>
      </c>
      <c r="AP516" s="392">
        <f t="shared" si="210"/>
        <v>0</v>
      </c>
      <c r="AQ516" s="6190">
        <f t="shared" si="211"/>
        <v>0</v>
      </c>
      <c r="AR516" s="6858" t="str">
        <f t="shared" si="212"/>
        <v/>
      </c>
      <c r="AS516" s="6217"/>
      <c r="AT516" s="6217"/>
      <c r="AU516" s="6271">
        <f t="shared" si="213"/>
        <v>0</v>
      </c>
      <c r="AV516" s="6242">
        <f t="shared" si="214"/>
        <v>0</v>
      </c>
      <c r="AW516" s="6188" cm="1">
        <f t="array" ref="AW516">IF(AK516&lt;&gt;1,0,IF(OR(AU516="",N(AU516)&lt;=0.000000001),"",IF(OR(AO516="",N(AO516)&lt;=0.000000001),0,IF(ISNUMBER(AU516),IFERROR(_xlfn.LET(_xlpm.ai_test,TRIM(AJ516),_xlpm.r,IFERROR(_xlfn.XLOOKUP(_xlpm.ai_test,$BJ$15:$BJ$62,ROW($BJ$15:$BJ$62),0,1),IFERROR(_xlfn.XLOOKUP(_xlpm.ai_test,$BK$15:$BK$62,ROW($BK$15:$BK$62),0,1),_xlfn.XLOOKUP(_xlpm.ai_test,$BL$15:$BL$62,ROW($BL$15:$BL$62),0,1))),_xlpm.p,_xlpm.r-MIN(ROW($BJ$15:$BJ$62))+1,_xlpm.f,INDEX($BM$15:$BM$62,_xlpm.p),_xlpm.u,INDEX($BN$15:$BN$62,_xlpm.p),_xlpm.s,INDEX($BP$15:$BP$62,_xlpm.p),_xlpm.q,N(AU516)/_xlpm.f,IF(_xlpm.q&gt;=_xlpm.s,ROUND(_xlpm.q,1)&amp;" "&amp;_xlpm.ai_test&amp;" = "&amp;ROUND(_xlpm.q*_xlpm.f,1)&amp;" "&amp;_xlpm.u,ROUND(_xlpm.q,1)&amp;" "&amp;_xlpm.ai_test)),""),""))))</f>
        <v>0</v>
      </c>
      <c r="AX516" s="6218"/>
      <c r="AY516" s="6271">
        <f t="shared" si="215"/>
        <v>0</v>
      </c>
      <c r="AZ516" s="6242" t="str">
        <f t="shared" si="216"/>
        <v/>
      </c>
      <c r="BA516" s="6194">
        <f t="shared" si="221"/>
        <v>0</v>
      </c>
      <c r="BB516" s="6192" t="str">
        <f t="shared" si="217"/>
        <v/>
      </c>
      <c r="BC516" s="6219"/>
      <c r="BD516" s="6221">
        <f t="shared" si="222"/>
        <v>0</v>
      </c>
      <c r="BE516" s="6220" t="str">
        <f t="shared" si="218"/>
        <v/>
      </c>
      <c r="BF516" s="4" t="s">
        <v>1</v>
      </c>
      <c r="BG516" s="6196">
        <f t="shared" si="219"/>
        <v>0</v>
      </c>
      <c r="BH516" s="6197">
        <f t="shared" si="220"/>
        <v>0</v>
      </c>
      <c r="BI516"/>
      <c r="BJ516" s="1"/>
      <c r="BK516" s="1"/>
      <c r="BL516" s="1"/>
      <c r="BM516" s="1"/>
      <c r="BN516" s="1"/>
      <c r="BO516" s="1"/>
      <c r="BP516" s="1"/>
      <c r="BQ516" s="1"/>
      <c r="BX516" s="20" t="str">
        <f t="shared" si="201"/>
        <v>►</v>
      </c>
      <c r="BY516" s="2"/>
      <c r="BZ516" s="2"/>
      <c r="CA516" s="2"/>
      <c r="CB516" s="2"/>
      <c r="CC516" s="2"/>
      <c r="DC516" s="5">
        <v>1</v>
      </c>
    </row>
    <row r="517" spans="12:107" ht="21" customHeight="1">
      <c r="L517" s="1021" t="s">
        <v>26</v>
      </c>
      <c r="M517" s="6787"/>
      <c r="N517" s="6787"/>
      <c r="O517" s="6787"/>
      <c r="P517" s="6788"/>
      <c r="Q517" s="6789"/>
      <c r="R517" s="6790"/>
      <c r="S517" s="6786"/>
      <c r="T517" s="6791"/>
      <c r="U517" s="6844"/>
      <c r="V517" s="6791"/>
      <c r="W517" s="6785"/>
      <c r="X517" s="6868"/>
      <c r="Y517" s="6793"/>
      <c r="Z517" s="6794"/>
      <c r="AA517" s="6795"/>
      <c r="AB517" s="6796"/>
      <c r="AC517" s="6797"/>
      <c r="AD517" s="6798"/>
      <c r="AE517" s="4" t="s">
        <v>1</v>
      </c>
      <c r="AF517" s="6202" t="str">
        <f t="shared" si="202"/>
        <v>►</v>
      </c>
      <c r="AG517" s="6234" t="str">
        <f t="shared" si="203"/>
        <v/>
      </c>
      <c r="AH517" s="6732" t="str">
        <f t="shared" si="204"/>
        <v/>
      </c>
      <c r="AI517" s="6234" t="str">
        <f t="shared" si="205"/>
        <v/>
      </c>
      <c r="AJ517" s="6732" t="str">
        <f t="shared" si="206"/>
        <v/>
      </c>
      <c r="AK517" s="6732">
        <f t="shared" si="207"/>
        <v>0</v>
      </c>
      <c r="AL517" s="6230" t="str" cm="1">
        <f t="array" ref="AL517">IF(AF517&lt;&gt;"A","",IFERROR((IFERROR(_xlfn.XLOOKUP(TRIM(SUBSTITUTE(U517,CHAR(160)," ")),$BJ$15:$BJ$62,$BM$15:$BM$62),IFERROR(_xlfn.XLOOKUP(TRIM(SUBSTITUTE(U517,CHAR(160)," ")),$BK$15:$BK$62,$BM$15:$BM$62),_xlfn.XLOOKUP(TRIM(SUBSTITUTE(U517,CHAR(160)," ")),$BL$15:$BL$62,$BM$15:$BM$62))))*T517*IF(ISBLANK(Q517),1,Q517)+IFERROR(_xlfn.XLOOKUP("RECHERCHEX",TRIM(L517:AD517),L517:AD517),0),0))</f>
        <v/>
      </c>
      <c r="AM517" s="6229">
        <f t="shared" si="208"/>
        <v>0</v>
      </c>
      <c r="AN517" s="6857" t="str">
        <f t="shared" si="223"/>
        <v/>
      </c>
      <c r="AO517" s="392">
        <f t="shared" si="209"/>
        <v>0</v>
      </c>
      <c r="AP517" s="392">
        <f t="shared" si="210"/>
        <v>0</v>
      </c>
      <c r="AQ517" s="6191">
        <f t="shared" si="211"/>
        <v>0</v>
      </c>
      <c r="AR517" s="6859" t="str">
        <f t="shared" si="212"/>
        <v/>
      </c>
      <c r="AS517" s="6217"/>
      <c r="AT517" s="6217"/>
      <c r="AU517" s="6272">
        <f t="shared" si="213"/>
        <v>0</v>
      </c>
      <c r="AV517" s="6240">
        <f t="shared" si="214"/>
        <v>0</v>
      </c>
      <c r="AW517" s="6189" cm="1">
        <f t="array" ref="AW517">IF(AK517&lt;&gt;1,0,IF(OR(AU517="",N(AU517)&lt;=0.000000001),"",IF(OR(AO517="",N(AO517)&lt;=0.000000001),0,IF(ISNUMBER(AU517),IFERROR(_xlfn.LET(_xlpm.ai_test,TRIM(AJ517),_xlpm.r,IFERROR(_xlfn.XLOOKUP(_xlpm.ai_test,$BJ$15:$BJ$62,ROW($BJ$15:$BJ$62),0,1),IFERROR(_xlfn.XLOOKUP(_xlpm.ai_test,$BK$15:$BK$62,ROW($BK$15:$BK$62),0,1),_xlfn.XLOOKUP(_xlpm.ai_test,$BL$15:$BL$62,ROW($BL$15:$BL$62),0,1))),_xlpm.p,_xlpm.r-MIN(ROW($BJ$15:$BJ$62))+1,_xlpm.f,INDEX($BM$15:$BM$62,_xlpm.p),_xlpm.u,INDEX($BN$15:$BN$62,_xlpm.p),_xlpm.s,INDEX($BP$15:$BP$62,_xlpm.p),_xlpm.q,N(AU517)/_xlpm.f,IF(_xlpm.q&gt;=_xlpm.s,ROUND(_xlpm.q,1)&amp;" "&amp;_xlpm.ai_test&amp;" = "&amp;ROUND(_xlpm.q*_xlpm.f,1)&amp;" "&amp;_xlpm.u,ROUND(_xlpm.q,1)&amp;" "&amp;_xlpm.ai_test)),""),""))))</f>
        <v>0</v>
      </c>
      <c r="AX517" s="6218"/>
      <c r="AY517" s="6272">
        <f t="shared" si="215"/>
        <v>0</v>
      </c>
      <c r="AZ517" s="6240" t="str">
        <f t="shared" si="216"/>
        <v/>
      </c>
      <c r="BA517" s="6195">
        <f t="shared" si="221"/>
        <v>0</v>
      </c>
      <c r="BB517" s="6193" t="str">
        <f t="shared" si="217"/>
        <v/>
      </c>
      <c r="BC517" s="6219"/>
      <c r="BD517" s="6222">
        <f t="shared" si="222"/>
        <v>0</v>
      </c>
      <c r="BE517" s="6220" t="str">
        <f t="shared" si="218"/>
        <v/>
      </c>
      <c r="BF517" s="4" t="s">
        <v>1</v>
      </c>
      <c r="BG517" s="6196">
        <f t="shared" si="219"/>
        <v>0</v>
      </c>
      <c r="BH517" s="6197">
        <f t="shared" si="220"/>
        <v>0</v>
      </c>
      <c r="BI517"/>
      <c r="BJ517" s="1"/>
      <c r="BK517" s="1"/>
      <c r="BL517" s="1"/>
      <c r="BM517" s="1"/>
      <c r="BN517" s="1"/>
      <c r="BO517" s="1"/>
      <c r="BP517" s="1"/>
      <c r="BQ517" s="1"/>
      <c r="BX517" s="20" t="str">
        <f t="shared" ref="BX517:BX549" si="224">AF517</f>
        <v>►</v>
      </c>
      <c r="BY517" s="2"/>
      <c r="BZ517" s="2"/>
      <c r="CA517" s="2"/>
      <c r="CB517" s="2"/>
      <c r="CC517" s="2"/>
      <c r="DC517" s="5">
        <v>1</v>
      </c>
    </row>
    <row r="518" spans="12:107" ht="21" customHeight="1">
      <c r="L518" s="1021" t="s">
        <v>26</v>
      </c>
      <c r="M518" s="6787"/>
      <c r="N518" s="6787"/>
      <c r="O518" s="6787"/>
      <c r="P518" s="6788"/>
      <c r="Q518" s="6789"/>
      <c r="R518" s="6790"/>
      <c r="S518" s="6786"/>
      <c r="T518" s="6791"/>
      <c r="U518" s="6844"/>
      <c r="V518" s="6791"/>
      <c r="W518" s="6785"/>
      <c r="X518" s="6868"/>
      <c r="Y518" s="6793"/>
      <c r="Z518" s="6794"/>
      <c r="AA518" s="6795"/>
      <c r="AB518" s="6796"/>
      <c r="AC518" s="6797"/>
      <c r="AD518" s="6798"/>
      <c r="AE518" s="4" t="s">
        <v>1</v>
      </c>
      <c r="AF518" s="6202" t="str">
        <f t="shared" si="202"/>
        <v>►</v>
      </c>
      <c r="AG518" s="6234" t="str">
        <f t="shared" si="203"/>
        <v/>
      </c>
      <c r="AH518" s="6732" t="str">
        <f t="shared" si="204"/>
        <v/>
      </c>
      <c r="AI518" s="6234" t="str">
        <f t="shared" si="205"/>
        <v/>
      </c>
      <c r="AJ518" s="6732" t="str">
        <f t="shared" si="206"/>
        <v/>
      </c>
      <c r="AK518" s="6732">
        <f t="shared" si="207"/>
        <v>0</v>
      </c>
      <c r="AL518" s="6230" t="str" cm="1">
        <f t="array" ref="AL518">IF(AF518&lt;&gt;"A","",IFERROR((IFERROR(_xlfn.XLOOKUP(TRIM(SUBSTITUTE(U518,CHAR(160)," ")),$BJ$15:$BJ$62,$BM$15:$BM$62),IFERROR(_xlfn.XLOOKUP(TRIM(SUBSTITUTE(U518,CHAR(160)," ")),$BK$15:$BK$62,$BM$15:$BM$62),_xlfn.XLOOKUP(TRIM(SUBSTITUTE(U518,CHAR(160)," ")),$BL$15:$BL$62,$BM$15:$BM$62))))*T518*IF(ISBLANK(Q518),1,Q518)+IFERROR(_xlfn.XLOOKUP("RECHERCHEX",TRIM(L518:AD518),L518:AD518),0),0))</f>
        <v/>
      </c>
      <c r="AM518" s="6229">
        <f t="shared" si="208"/>
        <v>0</v>
      </c>
      <c r="AN518" s="6857" t="str">
        <f t="shared" si="223"/>
        <v/>
      </c>
      <c r="AO518" s="392">
        <f t="shared" si="209"/>
        <v>0</v>
      </c>
      <c r="AP518" s="392">
        <f t="shared" si="210"/>
        <v>0</v>
      </c>
      <c r="AQ518" s="6190">
        <f t="shared" si="211"/>
        <v>0</v>
      </c>
      <c r="AR518" s="6858" t="str">
        <f t="shared" si="212"/>
        <v/>
      </c>
      <c r="AS518" s="6217"/>
      <c r="AT518" s="6217"/>
      <c r="AU518" s="6271">
        <f t="shared" si="213"/>
        <v>0</v>
      </c>
      <c r="AV518" s="6242">
        <f t="shared" si="214"/>
        <v>0</v>
      </c>
      <c r="AW518" s="6188" cm="1">
        <f t="array" ref="AW518">IF(AK518&lt;&gt;1,0,IF(OR(AU518="",N(AU518)&lt;=0.000000001),"",IF(OR(AO518="",N(AO518)&lt;=0.000000001),0,IF(ISNUMBER(AU518),IFERROR(_xlfn.LET(_xlpm.ai_test,TRIM(AJ518),_xlpm.r,IFERROR(_xlfn.XLOOKUP(_xlpm.ai_test,$BJ$15:$BJ$62,ROW($BJ$15:$BJ$62),0,1),IFERROR(_xlfn.XLOOKUP(_xlpm.ai_test,$BK$15:$BK$62,ROW($BK$15:$BK$62),0,1),_xlfn.XLOOKUP(_xlpm.ai_test,$BL$15:$BL$62,ROW($BL$15:$BL$62),0,1))),_xlpm.p,_xlpm.r-MIN(ROW($BJ$15:$BJ$62))+1,_xlpm.f,INDEX($BM$15:$BM$62,_xlpm.p),_xlpm.u,INDEX($BN$15:$BN$62,_xlpm.p),_xlpm.s,INDEX($BP$15:$BP$62,_xlpm.p),_xlpm.q,N(AU518)/_xlpm.f,IF(_xlpm.q&gt;=_xlpm.s,ROUND(_xlpm.q,1)&amp;" "&amp;_xlpm.ai_test&amp;" = "&amp;ROUND(_xlpm.q*_xlpm.f,1)&amp;" "&amp;_xlpm.u,ROUND(_xlpm.q,1)&amp;" "&amp;_xlpm.ai_test)),""),""))))</f>
        <v>0</v>
      </c>
      <c r="AX518" s="6218"/>
      <c r="AY518" s="6271">
        <f t="shared" si="215"/>
        <v>0</v>
      </c>
      <c r="AZ518" s="6242" t="str">
        <f t="shared" si="216"/>
        <v/>
      </c>
      <c r="BA518" s="6194">
        <f t="shared" si="221"/>
        <v>0</v>
      </c>
      <c r="BB518" s="6192" t="str">
        <f t="shared" si="217"/>
        <v/>
      </c>
      <c r="BC518" s="6219"/>
      <c r="BD518" s="6221">
        <f t="shared" si="222"/>
        <v>0</v>
      </c>
      <c r="BE518" s="6220" t="str">
        <f t="shared" si="218"/>
        <v/>
      </c>
      <c r="BF518" s="4" t="s">
        <v>1</v>
      </c>
      <c r="BG518" s="6196">
        <f t="shared" si="219"/>
        <v>0</v>
      </c>
      <c r="BH518" s="6197">
        <f t="shared" si="220"/>
        <v>0</v>
      </c>
      <c r="BI518"/>
      <c r="BJ518" s="1"/>
      <c r="BK518" s="1"/>
      <c r="BL518" s="1"/>
      <c r="BM518" s="1"/>
      <c r="BN518" s="1"/>
      <c r="BO518" s="1"/>
      <c r="BP518" s="1"/>
      <c r="BQ518" s="1"/>
      <c r="BX518" s="20" t="str">
        <f t="shared" si="224"/>
        <v>►</v>
      </c>
      <c r="BY518" s="2"/>
      <c r="BZ518" s="2"/>
      <c r="CA518" s="2"/>
      <c r="CB518" s="2"/>
      <c r="CC518" s="2"/>
      <c r="DC518" s="5">
        <v>1</v>
      </c>
    </row>
    <row r="519" spans="12:107" ht="21" customHeight="1">
      <c r="L519" s="1021" t="s">
        <v>26</v>
      </c>
      <c r="M519" s="6787"/>
      <c r="N519" s="6787"/>
      <c r="O519" s="6787"/>
      <c r="P519" s="6788"/>
      <c r="Q519" s="6789"/>
      <c r="R519" s="6790"/>
      <c r="S519" s="6786"/>
      <c r="T519" s="6791"/>
      <c r="U519" s="6844"/>
      <c r="V519" s="6791"/>
      <c r="W519" s="6785"/>
      <c r="X519" s="6868"/>
      <c r="Y519" s="6793"/>
      <c r="Z519" s="6794"/>
      <c r="AA519" s="6795"/>
      <c r="AB519" s="6796"/>
      <c r="AC519" s="6797"/>
      <c r="AD519" s="6798"/>
      <c r="AE519" s="4" t="s">
        <v>1</v>
      </c>
      <c r="AF519" s="6202" t="str">
        <f t="shared" si="202"/>
        <v>►</v>
      </c>
      <c r="AG519" s="6234" t="str">
        <f t="shared" si="203"/>
        <v/>
      </c>
      <c r="AH519" s="6732" t="str">
        <f t="shared" si="204"/>
        <v/>
      </c>
      <c r="AI519" s="6234" t="str">
        <f t="shared" si="205"/>
        <v/>
      </c>
      <c r="AJ519" s="6732" t="str">
        <f t="shared" si="206"/>
        <v/>
      </c>
      <c r="AK519" s="6732">
        <f t="shared" si="207"/>
        <v>0</v>
      </c>
      <c r="AL519" s="6230" t="str" cm="1">
        <f t="array" ref="AL519">IF(AF519&lt;&gt;"A","",IFERROR((IFERROR(_xlfn.XLOOKUP(TRIM(SUBSTITUTE(U519,CHAR(160)," ")),$BJ$15:$BJ$62,$BM$15:$BM$62),IFERROR(_xlfn.XLOOKUP(TRIM(SUBSTITUTE(U519,CHAR(160)," ")),$BK$15:$BK$62,$BM$15:$BM$62),_xlfn.XLOOKUP(TRIM(SUBSTITUTE(U519,CHAR(160)," ")),$BL$15:$BL$62,$BM$15:$BM$62))))*T519*IF(ISBLANK(Q519),1,Q519)+IFERROR(_xlfn.XLOOKUP("RECHERCHEX",TRIM(L519:AD519),L519:AD519),0),0))</f>
        <v/>
      </c>
      <c r="AM519" s="6229">
        <f t="shared" si="208"/>
        <v>0</v>
      </c>
      <c r="AN519" s="6857" t="str">
        <f t="shared" si="223"/>
        <v/>
      </c>
      <c r="AO519" s="392">
        <f t="shared" si="209"/>
        <v>0</v>
      </c>
      <c r="AP519" s="392">
        <f t="shared" si="210"/>
        <v>0</v>
      </c>
      <c r="AQ519" s="6191">
        <f t="shared" si="211"/>
        <v>0</v>
      </c>
      <c r="AR519" s="6859" t="str">
        <f t="shared" si="212"/>
        <v/>
      </c>
      <c r="AS519" s="6217"/>
      <c r="AT519" s="6217"/>
      <c r="AU519" s="6272">
        <f t="shared" si="213"/>
        <v>0</v>
      </c>
      <c r="AV519" s="6240">
        <f t="shared" si="214"/>
        <v>0</v>
      </c>
      <c r="AW519" s="6189" cm="1">
        <f t="array" ref="AW519">IF(AK519&lt;&gt;1,0,IF(OR(AU519="",N(AU519)&lt;=0.000000001),"",IF(OR(AO519="",N(AO519)&lt;=0.000000001),0,IF(ISNUMBER(AU519),IFERROR(_xlfn.LET(_xlpm.ai_test,TRIM(AJ519),_xlpm.r,IFERROR(_xlfn.XLOOKUP(_xlpm.ai_test,$BJ$15:$BJ$62,ROW($BJ$15:$BJ$62),0,1),IFERROR(_xlfn.XLOOKUP(_xlpm.ai_test,$BK$15:$BK$62,ROW($BK$15:$BK$62),0,1),_xlfn.XLOOKUP(_xlpm.ai_test,$BL$15:$BL$62,ROW($BL$15:$BL$62),0,1))),_xlpm.p,_xlpm.r-MIN(ROW($BJ$15:$BJ$62))+1,_xlpm.f,INDEX($BM$15:$BM$62,_xlpm.p),_xlpm.u,INDEX($BN$15:$BN$62,_xlpm.p),_xlpm.s,INDEX($BP$15:$BP$62,_xlpm.p),_xlpm.q,N(AU519)/_xlpm.f,IF(_xlpm.q&gt;=_xlpm.s,ROUND(_xlpm.q,1)&amp;" "&amp;_xlpm.ai_test&amp;" = "&amp;ROUND(_xlpm.q*_xlpm.f,1)&amp;" "&amp;_xlpm.u,ROUND(_xlpm.q,1)&amp;" "&amp;_xlpm.ai_test)),""),""))))</f>
        <v>0</v>
      </c>
      <c r="AX519" s="6218"/>
      <c r="AY519" s="6272">
        <f t="shared" si="215"/>
        <v>0</v>
      </c>
      <c r="AZ519" s="6240" t="str">
        <f t="shared" si="216"/>
        <v/>
      </c>
      <c r="BA519" s="6195">
        <f t="shared" si="221"/>
        <v>0</v>
      </c>
      <c r="BB519" s="6193" t="str">
        <f t="shared" si="217"/>
        <v/>
      </c>
      <c r="BC519" s="6219"/>
      <c r="BD519" s="6222">
        <f t="shared" si="222"/>
        <v>0</v>
      </c>
      <c r="BE519" s="6220" t="str">
        <f t="shared" si="218"/>
        <v/>
      </c>
      <c r="BF519" s="4" t="s">
        <v>1</v>
      </c>
      <c r="BG519" s="6196">
        <f t="shared" si="219"/>
        <v>0</v>
      </c>
      <c r="BH519" s="6197">
        <f t="shared" si="220"/>
        <v>0</v>
      </c>
      <c r="BI519"/>
      <c r="BJ519" s="1"/>
      <c r="BK519" s="1"/>
      <c r="BL519" s="1"/>
      <c r="BM519" s="1"/>
      <c r="BN519" s="1"/>
      <c r="BO519" s="1"/>
      <c r="BP519" s="1"/>
      <c r="BQ519" s="1"/>
      <c r="BX519" s="20" t="str">
        <f t="shared" si="224"/>
        <v>►</v>
      </c>
      <c r="BY519" s="2"/>
      <c r="BZ519" s="2"/>
      <c r="CA519" s="2"/>
      <c r="CB519" s="2"/>
      <c r="CC519" s="2"/>
      <c r="DC519" s="5">
        <v>1</v>
      </c>
    </row>
    <row r="520" spans="12:107" ht="21" customHeight="1">
      <c r="L520" s="1021" t="s">
        <v>26</v>
      </c>
      <c r="M520" s="6787"/>
      <c r="N520" s="6787"/>
      <c r="O520" s="6787"/>
      <c r="P520" s="6788"/>
      <c r="Q520" s="6789"/>
      <c r="R520" s="6790"/>
      <c r="S520" s="6786"/>
      <c r="T520" s="6791"/>
      <c r="U520" s="6844"/>
      <c r="V520" s="6791"/>
      <c r="W520" s="6785"/>
      <c r="X520" s="6868"/>
      <c r="Y520" s="6793"/>
      <c r="Z520" s="6794"/>
      <c r="AA520" s="6795"/>
      <c r="AB520" s="6796"/>
      <c r="AC520" s="6797"/>
      <c r="AD520" s="6798"/>
      <c r="AE520" s="4" t="s">
        <v>1</v>
      </c>
      <c r="AF520" s="6202" t="str">
        <f t="shared" si="202"/>
        <v>►</v>
      </c>
      <c r="AG520" s="6234" t="str">
        <f t="shared" si="203"/>
        <v/>
      </c>
      <c r="AH520" s="6732" t="str">
        <f t="shared" si="204"/>
        <v/>
      </c>
      <c r="AI520" s="6234" t="str">
        <f t="shared" si="205"/>
        <v/>
      </c>
      <c r="AJ520" s="6732" t="str">
        <f t="shared" si="206"/>
        <v/>
      </c>
      <c r="AK520" s="6732">
        <f t="shared" si="207"/>
        <v>0</v>
      </c>
      <c r="AL520" s="6230" t="str" cm="1">
        <f t="array" ref="AL520">IF(AF520&lt;&gt;"A","",IFERROR((IFERROR(_xlfn.XLOOKUP(TRIM(SUBSTITUTE(U520,CHAR(160)," ")),$BJ$15:$BJ$62,$BM$15:$BM$62),IFERROR(_xlfn.XLOOKUP(TRIM(SUBSTITUTE(U520,CHAR(160)," ")),$BK$15:$BK$62,$BM$15:$BM$62),_xlfn.XLOOKUP(TRIM(SUBSTITUTE(U520,CHAR(160)," ")),$BL$15:$BL$62,$BM$15:$BM$62))))*T520*IF(ISBLANK(Q520),1,Q520)+IFERROR(_xlfn.XLOOKUP("RECHERCHEX",TRIM(L520:AD520),L520:AD520),0),0))</f>
        <v/>
      </c>
      <c r="AM520" s="6229">
        <f t="shared" si="208"/>
        <v>0</v>
      </c>
      <c r="AN520" s="6857" t="str">
        <f t="shared" si="223"/>
        <v/>
      </c>
      <c r="AO520" s="392">
        <f t="shared" si="209"/>
        <v>0</v>
      </c>
      <c r="AP520" s="392">
        <f t="shared" si="210"/>
        <v>0</v>
      </c>
      <c r="AQ520" s="6190">
        <f t="shared" si="211"/>
        <v>0</v>
      </c>
      <c r="AR520" s="6858" t="str">
        <f t="shared" si="212"/>
        <v/>
      </c>
      <c r="AS520" s="6217"/>
      <c r="AT520" s="6217"/>
      <c r="AU520" s="6271">
        <f t="shared" si="213"/>
        <v>0</v>
      </c>
      <c r="AV520" s="6242">
        <f t="shared" si="214"/>
        <v>0</v>
      </c>
      <c r="AW520" s="6188" cm="1">
        <f t="array" ref="AW520">IF(AK520&lt;&gt;1,0,IF(OR(AU520="",N(AU520)&lt;=0.000000001),"",IF(OR(AO520="",N(AO520)&lt;=0.000000001),0,IF(ISNUMBER(AU520),IFERROR(_xlfn.LET(_xlpm.ai_test,TRIM(AJ520),_xlpm.r,IFERROR(_xlfn.XLOOKUP(_xlpm.ai_test,$BJ$15:$BJ$62,ROW($BJ$15:$BJ$62),0,1),IFERROR(_xlfn.XLOOKUP(_xlpm.ai_test,$BK$15:$BK$62,ROW($BK$15:$BK$62),0,1),_xlfn.XLOOKUP(_xlpm.ai_test,$BL$15:$BL$62,ROW($BL$15:$BL$62),0,1))),_xlpm.p,_xlpm.r-MIN(ROW($BJ$15:$BJ$62))+1,_xlpm.f,INDEX($BM$15:$BM$62,_xlpm.p),_xlpm.u,INDEX($BN$15:$BN$62,_xlpm.p),_xlpm.s,INDEX($BP$15:$BP$62,_xlpm.p),_xlpm.q,N(AU520)/_xlpm.f,IF(_xlpm.q&gt;=_xlpm.s,ROUND(_xlpm.q,1)&amp;" "&amp;_xlpm.ai_test&amp;" = "&amp;ROUND(_xlpm.q*_xlpm.f,1)&amp;" "&amp;_xlpm.u,ROUND(_xlpm.q,1)&amp;" "&amp;_xlpm.ai_test)),""),""))))</f>
        <v>0</v>
      </c>
      <c r="AX520" s="6218"/>
      <c r="AY520" s="6271">
        <f t="shared" si="215"/>
        <v>0</v>
      </c>
      <c r="AZ520" s="6242" t="str">
        <f t="shared" si="216"/>
        <v/>
      </c>
      <c r="BA520" s="6194">
        <f t="shared" si="221"/>
        <v>0</v>
      </c>
      <c r="BB520" s="6192" t="str">
        <f t="shared" si="217"/>
        <v/>
      </c>
      <c r="BC520" s="6219"/>
      <c r="BD520" s="6221">
        <f t="shared" si="222"/>
        <v>0</v>
      </c>
      <c r="BE520" s="6220" t="str">
        <f t="shared" si="218"/>
        <v/>
      </c>
      <c r="BF520" s="4" t="s">
        <v>1</v>
      </c>
      <c r="BG520" s="6196">
        <f t="shared" si="219"/>
        <v>0</v>
      </c>
      <c r="BH520" s="6197">
        <f t="shared" si="220"/>
        <v>0</v>
      </c>
      <c r="BI520"/>
      <c r="BJ520" s="1"/>
      <c r="BK520" s="1"/>
      <c r="BL520" s="1"/>
      <c r="BM520" s="1"/>
      <c r="BN520" s="1"/>
      <c r="BO520" s="1"/>
      <c r="BP520" s="1"/>
      <c r="BQ520" s="1"/>
      <c r="BX520" s="20" t="str">
        <f t="shared" si="224"/>
        <v>►</v>
      </c>
      <c r="BY520" s="2"/>
      <c r="BZ520" s="2"/>
      <c r="CA520" s="2"/>
      <c r="CB520" s="2"/>
      <c r="CC520" s="2"/>
      <c r="DC520" s="5">
        <v>1</v>
      </c>
    </row>
    <row r="521" spans="12:107" ht="21" customHeight="1">
      <c r="L521" s="1021" t="s">
        <v>26</v>
      </c>
      <c r="M521" s="6787"/>
      <c r="N521" s="6787"/>
      <c r="O521" s="6787"/>
      <c r="P521" s="6788"/>
      <c r="Q521" s="6789"/>
      <c r="R521" s="6790"/>
      <c r="S521" s="6786"/>
      <c r="T521" s="6791"/>
      <c r="U521" s="6844"/>
      <c r="V521" s="6791"/>
      <c r="W521" s="6785"/>
      <c r="X521" s="6868"/>
      <c r="Y521" s="6793"/>
      <c r="Z521" s="6794"/>
      <c r="AA521" s="6795"/>
      <c r="AB521" s="6796"/>
      <c r="AC521" s="6797"/>
      <c r="AD521" s="6798"/>
      <c r="AE521" s="4" t="s">
        <v>1</v>
      </c>
      <c r="AF521" s="6202" t="str">
        <f t="shared" si="202"/>
        <v>►</v>
      </c>
      <c r="AG521" s="6234" t="str">
        <f t="shared" si="203"/>
        <v/>
      </c>
      <c r="AH521" s="6732" t="str">
        <f t="shared" si="204"/>
        <v/>
      </c>
      <c r="AI521" s="6234" t="str">
        <f t="shared" si="205"/>
        <v/>
      </c>
      <c r="AJ521" s="6732" t="str">
        <f t="shared" si="206"/>
        <v/>
      </c>
      <c r="AK521" s="6732">
        <f t="shared" si="207"/>
        <v>0</v>
      </c>
      <c r="AL521" s="6230" t="str" cm="1">
        <f t="array" ref="AL521">IF(AF521&lt;&gt;"A","",IFERROR((IFERROR(_xlfn.XLOOKUP(TRIM(SUBSTITUTE(U521,CHAR(160)," ")),$BJ$15:$BJ$62,$BM$15:$BM$62),IFERROR(_xlfn.XLOOKUP(TRIM(SUBSTITUTE(U521,CHAR(160)," ")),$BK$15:$BK$62,$BM$15:$BM$62),_xlfn.XLOOKUP(TRIM(SUBSTITUTE(U521,CHAR(160)," ")),$BL$15:$BL$62,$BM$15:$BM$62))))*T521*IF(ISBLANK(Q521),1,Q521)+IFERROR(_xlfn.XLOOKUP("RECHERCHEX",TRIM(L521:AD521),L521:AD521),0),0))</f>
        <v/>
      </c>
      <c r="AM521" s="6229">
        <f t="shared" si="208"/>
        <v>0</v>
      </c>
      <c r="AN521" s="6857" t="str">
        <f t="shared" si="223"/>
        <v/>
      </c>
      <c r="AO521" s="392">
        <f t="shared" si="209"/>
        <v>0</v>
      </c>
      <c r="AP521" s="392">
        <f t="shared" si="210"/>
        <v>0</v>
      </c>
      <c r="AQ521" s="6191">
        <f t="shared" si="211"/>
        <v>0</v>
      </c>
      <c r="AR521" s="6859" t="str">
        <f t="shared" si="212"/>
        <v/>
      </c>
      <c r="AS521" s="6217"/>
      <c r="AT521" s="6217"/>
      <c r="AU521" s="6272">
        <f t="shared" si="213"/>
        <v>0</v>
      </c>
      <c r="AV521" s="6240">
        <f t="shared" si="214"/>
        <v>0</v>
      </c>
      <c r="AW521" s="6189" cm="1">
        <f t="array" ref="AW521">IF(AK521&lt;&gt;1,0,IF(OR(AU521="",N(AU521)&lt;=0.000000001),"",IF(OR(AO521="",N(AO521)&lt;=0.000000001),0,IF(ISNUMBER(AU521),IFERROR(_xlfn.LET(_xlpm.ai_test,TRIM(AJ521),_xlpm.r,IFERROR(_xlfn.XLOOKUP(_xlpm.ai_test,$BJ$15:$BJ$62,ROW($BJ$15:$BJ$62),0,1),IFERROR(_xlfn.XLOOKUP(_xlpm.ai_test,$BK$15:$BK$62,ROW($BK$15:$BK$62),0,1),_xlfn.XLOOKUP(_xlpm.ai_test,$BL$15:$BL$62,ROW($BL$15:$BL$62),0,1))),_xlpm.p,_xlpm.r-MIN(ROW($BJ$15:$BJ$62))+1,_xlpm.f,INDEX($BM$15:$BM$62,_xlpm.p),_xlpm.u,INDEX($BN$15:$BN$62,_xlpm.p),_xlpm.s,INDEX($BP$15:$BP$62,_xlpm.p),_xlpm.q,N(AU521)/_xlpm.f,IF(_xlpm.q&gt;=_xlpm.s,ROUND(_xlpm.q,1)&amp;" "&amp;_xlpm.ai_test&amp;" = "&amp;ROUND(_xlpm.q*_xlpm.f,1)&amp;" "&amp;_xlpm.u,ROUND(_xlpm.q,1)&amp;" "&amp;_xlpm.ai_test)),""),""))))</f>
        <v>0</v>
      </c>
      <c r="AX521" s="6218"/>
      <c r="AY521" s="6272">
        <f t="shared" si="215"/>
        <v>0</v>
      </c>
      <c r="AZ521" s="6240" t="str">
        <f t="shared" si="216"/>
        <v/>
      </c>
      <c r="BA521" s="6195">
        <f t="shared" si="221"/>
        <v>0</v>
      </c>
      <c r="BB521" s="6193" t="str">
        <f t="shared" si="217"/>
        <v/>
      </c>
      <c r="BC521" s="6219"/>
      <c r="BD521" s="6222">
        <f t="shared" si="222"/>
        <v>0</v>
      </c>
      <c r="BE521" s="6220" t="str">
        <f t="shared" si="218"/>
        <v/>
      </c>
      <c r="BF521" s="4" t="s">
        <v>1</v>
      </c>
      <c r="BG521" s="6196">
        <f t="shared" si="219"/>
        <v>0</v>
      </c>
      <c r="BH521" s="6197">
        <f t="shared" si="220"/>
        <v>0</v>
      </c>
      <c r="BI521"/>
      <c r="BJ521" s="1"/>
      <c r="BK521" s="1"/>
      <c r="BL521" s="1"/>
      <c r="BM521" s="1"/>
      <c r="BN521" s="1"/>
      <c r="BO521" s="1"/>
      <c r="BP521" s="1"/>
      <c r="BQ521" s="1"/>
      <c r="BX521" s="20" t="str">
        <f t="shared" si="224"/>
        <v>►</v>
      </c>
      <c r="BY521" s="2"/>
      <c r="BZ521" s="2"/>
      <c r="CA521" s="2"/>
      <c r="CB521" s="2"/>
      <c r="CC521" s="2"/>
      <c r="DC521" s="5">
        <v>1</v>
      </c>
    </row>
    <row r="522" spans="12:107" ht="21" customHeight="1">
      <c r="L522" s="1021" t="s">
        <v>26</v>
      </c>
      <c r="M522" s="6787"/>
      <c r="N522" s="6787"/>
      <c r="O522" s="6787"/>
      <c r="P522" s="6788"/>
      <c r="Q522" s="6789"/>
      <c r="R522" s="6790"/>
      <c r="S522" s="6786"/>
      <c r="T522" s="6791"/>
      <c r="U522" s="6844"/>
      <c r="V522" s="6791"/>
      <c r="W522" s="6785"/>
      <c r="X522" s="6868"/>
      <c r="Y522" s="6793"/>
      <c r="Z522" s="6794"/>
      <c r="AA522" s="6795"/>
      <c r="AB522" s="6796"/>
      <c r="AC522" s="6797"/>
      <c r="AD522" s="6798"/>
      <c r="AE522" s="4" t="s">
        <v>1</v>
      </c>
      <c r="AF522" s="6202" t="str">
        <f t="shared" si="202"/>
        <v>►</v>
      </c>
      <c r="AG522" s="6234" t="str">
        <f t="shared" si="203"/>
        <v/>
      </c>
      <c r="AH522" s="6732" t="str">
        <f t="shared" si="204"/>
        <v/>
      </c>
      <c r="AI522" s="6234" t="str">
        <f t="shared" si="205"/>
        <v/>
      </c>
      <c r="AJ522" s="6732" t="str">
        <f t="shared" si="206"/>
        <v/>
      </c>
      <c r="AK522" s="6732">
        <f t="shared" si="207"/>
        <v>0</v>
      </c>
      <c r="AL522" s="6230" t="str" cm="1">
        <f t="array" ref="AL522">IF(AF522&lt;&gt;"A","",IFERROR((IFERROR(_xlfn.XLOOKUP(TRIM(SUBSTITUTE(U522,CHAR(160)," ")),$BJ$15:$BJ$62,$BM$15:$BM$62),IFERROR(_xlfn.XLOOKUP(TRIM(SUBSTITUTE(U522,CHAR(160)," ")),$BK$15:$BK$62,$BM$15:$BM$62),_xlfn.XLOOKUP(TRIM(SUBSTITUTE(U522,CHAR(160)," ")),$BL$15:$BL$62,$BM$15:$BM$62))))*T522*IF(ISBLANK(Q522),1,Q522)+IFERROR(_xlfn.XLOOKUP("RECHERCHEX",TRIM(L522:AD522),L522:AD522),0),0))</f>
        <v/>
      </c>
      <c r="AM522" s="6229">
        <f t="shared" si="208"/>
        <v>0</v>
      </c>
      <c r="AN522" s="6857" t="str">
        <f t="shared" si="223"/>
        <v/>
      </c>
      <c r="AO522" s="392">
        <f t="shared" si="209"/>
        <v>0</v>
      </c>
      <c r="AP522" s="392">
        <f t="shared" si="210"/>
        <v>0</v>
      </c>
      <c r="AQ522" s="6190">
        <f t="shared" si="211"/>
        <v>0</v>
      </c>
      <c r="AR522" s="6858" t="str">
        <f t="shared" si="212"/>
        <v/>
      </c>
      <c r="AS522" s="6217"/>
      <c r="AT522" s="6217"/>
      <c r="AU522" s="6271">
        <f t="shared" si="213"/>
        <v>0</v>
      </c>
      <c r="AV522" s="6242">
        <f t="shared" si="214"/>
        <v>0</v>
      </c>
      <c r="AW522" s="6188" cm="1">
        <f t="array" ref="AW522">IF(AK522&lt;&gt;1,0,IF(OR(AU522="",N(AU522)&lt;=0.000000001),"",IF(OR(AO522="",N(AO522)&lt;=0.000000001),0,IF(ISNUMBER(AU522),IFERROR(_xlfn.LET(_xlpm.ai_test,TRIM(AJ522),_xlpm.r,IFERROR(_xlfn.XLOOKUP(_xlpm.ai_test,$BJ$15:$BJ$62,ROW($BJ$15:$BJ$62),0,1),IFERROR(_xlfn.XLOOKUP(_xlpm.ai_test,$BK$15:$BK$62,ROW($BK$15:$BK$62),0,1),_xlfn.XLOOKUP(_xlpm.ai_test,$BL$15:$BL$62,ROW($BL$15:$BL$62),0,1))),_xlpm.p,_xlpm.r-MIN(ROW($BJ$15:$BJ$62))+1,_xlpm.f,INDEX($BM$15:$BM$62,_xlpm.p),_xlpm.u,INDEX($BN$15:$BN$62,_xlpm.p),_xlpm.s,INDEX($BP$15:$BP$62,_xlpm.p),_xlpm.q,N(AU522)/_xlpm.f,IF(_xlpm.q&gt;=_xlpm.s,ROUND(_xlpm.q,1)&amp;" "&amp;_xlpm.ai_test&amp;" = "&amp;ROUND(_xlpm.q*_xlpm.f,1)&amp;" "&amp;_xlpm.u,ROUND(_xlpm.q,1)&amp;" "&amp;_xlpm.ai_test)),""),""))))</f>
        <v>0</v>
      </c>
      <c r="AX522" s="6218"/>
      <c r="AY522" s="6271">
        <f t="shared" si="215"/>
        <v>0</v>
      </c>
      <c r="AZ522" s="6242" t="str">
        <f t="shared" si="216"/>
        <v/>
      </c>
      <c r="BA522" s="6194">
        <f t="shared" si="221"/>
        <v>0</v>
      </c>
      <c r="BB522" s="6192" t="str">
        <f t="shared" si="217"/>
        <v/>
      </c>
      <c r="BC522" s="6219"/>
      <c r="BD522" s="6221">
        <f t="shared" si="222"/>
        <v>0</v>
      </c>
      <c r="BE522" s="6220" t="str">
        <f t="shared" si="218"/>
        <v/>
      </c>
      <c r="BF522" s="4" t="s">
        <v>1</v>
      </c>
      <c r="BG522" s="6196">
        <f t="shared" si="219"/>
        <v>0</v>
      </c>
      <c r="BH522" s="6197">
        <f t="shared" si="220"/>
        <v>0</v>
      </c>
      <c r="BI522"/>
      <c r="BJ522" s="1"/>
      <c r="BK522" s="1"/>
      <c r="BL522" s="1"/>
      <c r="BM522" s="1"/>
      <c r="BN522" s="1"/>
      <c r="BO522" s="1"/>
      <c r="BP522" s="1"/>
      <c r="BQ522" s="1"/>
      <c r="BX522" s="20" t="str">
        <f t="shared" si="224"/>
        <v>►</v>
      </c>
      <c r="BY522" s="2"/>
      <c r="BZ522" s="2"/>
      <c r="CA522" s="2"/>
      <c r="CB522" s="2"/>
      <c r="CC522" s="2"/>
      <c r="DC522" s="5">
        <v>1</v>
      </c>
    </row>
    <row r="523" spans="12:107" ht="21" customHeight="1">
      <c r="L523" s="1021" t="s">
        <v>26</v>
      </c>
      <c r="M523" s="6787"/>
      <c r="N523" s="6787"/>
      <c r="O523" s="6787"/>
      <c r="P523" s="6788"/>
      <c r="Q523" s="6789"/>
      <c r="R523" s="6790"/>
      <c r="S523" s="6786"/>
      <c r="T523" s="6791"/>
      <c r="U523" s="6844"/>
      <c r="V523" s="6791"/>
      <c r="W523" s="6785"/>
      <c r="X523" s="6868"/>
      <c r="Y523" s="6793"/>
      <c r="Z523" s="6794"/>
      <c r="AA523" s="6795"/>
      <c r="AB523" s="6796"/>
      <c r="AC523" s="6797"/>
      <c r="AD523" s="6798"/>
      <c r="AE523" s="4" t="s">
        <v>1</v>
      </c>
      <c r="AF523" s="6202" t="str">
        <f t="shared" si="202"/>
        <v>►</v>
      </c>
      <c r="AG523" s="6234" t="str">
        <f t="shared" si="203"/>
        <v/>
      </c>
      <c r="AH523" s="6732" t="str">
        <f t="shared" si="204"/>
        <v/>
      </c>
      <c r="AI523" s="6234" t="str">
        <f t="shared" si="205"/>
        <v/>
      </c>
      <c r="AJ523" s="6732" t="str">
        <f t="shared" si="206"/>
        <v/>
      </c>
      <c r="AK523" s="6732">
        <f t="shared" si="207"/>
        <v>0</v>
      </c>
      <c r="AL523" s="6230" t="str" cm="1">
        <f t="array" ref="AL523">IF(AF523&lt;&gt;"A","",IFERROR((IFERROR(_xlfn.XLOOKUP(TRIM(SUBSTITUTE(U523,CHAR(160)," ")),$BJ$15:$BJ$62,$BM$15:$BM$62),IFERROR(_xlfn.XLOOKUP(TRIM(SUBSTITUTE(U523,CHAR(160)," ")),$BK$15:$BK$62,$BM$15:$BM$62),_xlfn.XLOOKUP(TRIM(SUBSTITUTE(U523,CHAR(160)," ")),$BL$15:$BL$62,$BM$15:$BM$62))))*T523*IF(ISBLANK(Q523),1,Q523)+IFERROR(_xlfn.XLOOKUP("RECHERCHEX",TRIM(L523:AD523),L523:AD523),0),0))</f>
        <v/>
      </c>
      <c r="AM523" s="6229">
        <f t="shared" si="208"/>
        <v>0</v>
      </c>
      <c r="AN523" s="6857" t="str">
        <f t="shared" si="223"/>
        <v/>
      </c>
      <c r="AO523" s="392">
        <f t="shared" si="209"/>
        <v>0</v>
      </c>
      <c r="AP523" s="392">
        <f t="shared" si="210"/>
        <v>0</v>
      </c>
      <c r="AQ523" s="6191">
        <f t="shared" si="211"/>
        <v>0</v>
      </c>
      <c r="AR523" s="6859" t="str">
        <f t="shared" si="212"/>
        <v/>
      </c>
      <c r="AS523" s="6217"/>
      <c r="AT523" s="6217"/>
      <c r="AU523" s="6272">
        <f t="shared" si="213"/>
        <v>0</v>
      </c>
      <c r="AV523" s="6240">
        <f t="shared" si="214"/>
        <v>0</v>
      </c>
      <c r="AW523" s="6189" cm="1">
        <f t="array" ref="AW523">IF(AK523&lt;&gt;1,0,IF(OR(AU523="",N(AU523)&lt;=0.000000001),"",IF(OR(AO523="",N(AO523)&lt;=0.000000001),0,IF(ISNUMBER(AU523),IFERROR(_xlfn.LET(_xlpm.ai_test,TRIM(AJ523),_xlpm.r,IFERROR(_xlfn.XLOOKUP(_xlpm.ai_test,$BJ$15:$BJ$62,ROW($BJ$15:$BJ$62),0,1),IFERROR(_xlfn.XLOOKUP(_xlpm.ai_test,$BK$15:$BK$62,ROW($BK$15:$BK$62),0,1),_xlfn.XLOOKUP(_xlpm.ai_test,$BL$15:$BL$62,ROW($BL$15:$BL$62),0,1))),_xlpm.p,_xlpm.r-MIN(ROW($BJ$15:$BJ$62))+1,_xlpm.f,INDEX($BM$15:$BM$62,_xlpm.p),_xlpm.u,INDEX($BN$15:$BN$62,_xlpm.p),_xlpm.s,INDEX($BP$15:$BP$62,_xlpm.p),_xlpm.q,N(AU523)/_xlpm.f,IF(_xlpm.q&gt;=_xlpm.s,ROUND(_xlpm.q,1)&amp;" "&amp;_xlpm.ai_test&amp;" = "&amp;ROUND(_xlpm.q*_xlpm.f,1)&amp;" "&amp;_xlpm.u,ROUND(_xlpm.q,1)&amp;" "&amp;_xlpm.ai_test)),""),""))))</f>
        <v>0</v>
      </c>
      <c r="AX523" s="6218"/>
      <c r="AY523" s="6272">
        <f t="shared" si="215"/>
        <v>0</v>
      </c>
      <c r="AZ523" s="6240" t="str">
        <f t="shared" si="216"/>
        <v/>
      </c>
      <c r="BA523" s="6195">
        <f t="shared" si="221"/>
        <v>0</v>
      </c>
      <c r="BB523" s="6193" t="str">
        <f t="shared" si="217"/>
        <v/>
      </c>
      <c r="BC523" s="6219"/>
      <c r="BD523" s="6222">
        <f t="shared" si="222"/>
        <v>0</v>
      </c>
      <c r="BE523" s="6220" t="str">
        <f t="shared" si="218"/>
        <v/>
      </c>
      <c r="BF523" s="4" t="s">
        <v>1</v>
      </c>
      <c r="BG523" s="6196">
        <f t="shared" si="219"/>
        <v>0</v>
      </c>
      <c r="BH523" s="6197">
        <f t="shared" si="220"/>
        <v>0</v>
      </c>
      <c r="BI523"/>
      <c r="BJ523" s="1"/>
      <c r="BK523" s="1"/>
      <c r="BL523" s="1"/>
      <c r="BM523" s="1"/>
      <c r="BN523" s="1"/>
      <c r="BO523" s="1"/>
      <c r="BP523" s="1"/>
      <c r="BQ523" s="1"/>
      <c r="BX523" s="20" t="str">
        <f t="shared" si="224"/>
        <v>►</v>
      </c>
      <c r="BY523" s="2"/>
      <c r="BZ523" s="2"/>
      <c r="CA523" s="2"/>
      <c r="CB523" s="2"/>
      <c r="CC523" s="2"/>
      <c r="DC523" s="5">
        <v>1</v>
      </c>
    </row>
    <row r="524" spans="12:107" ht="21" customHeight="1">
      <c r="L524" s="1021" t="s">
        <v>26</v>
      </c>
      <c r="M524" s="6787"/>
      <c r="N524" s="6787"/>
      <c r="O524" s="6787"/>
      <c r="P524" s="6788"/>
      <c r="Q524" s="6789"/>
      <c r="R524" s="6790"/>
      <c r="S524" s="6786"/>
      <c r="T524" s="6791"/>
      <c r="U524" s="6844"/>
      <c r="V524" s="6791"/>
      <c r="W524" s="6785"/>
      <c r="X524" s="6868"/>
      <c r="Y524" s="6793"/>
      <c r="Z524" s="6794"/>
      <c r="AA524" s="6795"/>
      <c r="AB524" s="6796"/>
      <c r="AC524" s="6797"/>
      <c r="AD524" s="6798"/>
      <c r="AE524" s="4" t="s">
        <v>1</v>
      </c>
      <c r="AF524" s="6202" t="str">
        <f t="shared" si="202"/>
        <v>►</v>
      </c>
      <c r="AG524" s="6234" t="str">
        <f t="shared" si="203"/>
        <v/>
      </c>
      <c r="AH524" s="6732" t="str">
        <f t="shared" si="204"/>
        <v/>
      </c>
      <c r="AI524" s="6234" t="str">
        <f t="shared" si="205"/>
        <v/>
      </c>
      <c r="AJ524" s="6732" t="str">
        <f t="shared" si="206"/>
        <v/>
      </c>
      <c r="AK524" s="6732">
        <f t="shared" si="207"/>
        <v>0</v>
      </c>
      <c r="AL524" s="6230" t="str" cm="1">
        <f t="array" ref="AL524">IF(AF524&lt;&gt;"A","",IFERROR((IFERROR(_xlfn.XLOOKUP(TRIM(SUBSTITUTE(U524,CHAR(160)," ")),$BJ$15:$BJ$62,$BM$15:$BM$62),IFERROR(_xlfn.XLOOKUP(TRIM(SUBSTITUTE(U524,CHAR(160)," ")),$BK$15:$BK$62,$BM$15:$BM$62),_xlfn.XLOOKUP(TRIM(SUBSTITUTE(U524,CHAR(160)," ")),$BL$15:$BL$62,$BM$15:$BM$62))))*T524*IF(ISBLANK(Q524),1,Q524)+IFERROR(_xlfn.XLOOKUP("RECHERCHEX",TRIM(L524:AD524),L524:AD524),0),0))</f>
        <v/>
      </c>
      <c r="AM524" s="6229">
        <f t="shared" si="208"/>
        <v>0</v>
      </c>
      <c r="AN524" s="6857" t="str">
        <f t="shared" si="223"/>
        <v/>
      </c>
      <c r="AO524" s="392">
        <f t="shared" si="209"/>
        <v>0</v>
      </c>
      <c r="AP524" s="392">
        <f t="shared" si="210"/>
        <v>0</v>
      </c>
      <c r="AQ524" s="6190">
        <f t="shared" si="211"/>
        <v>0</v>
      </c>
      <c r="AR524" s="6858" t="str">
        <f t="shared" si="212"/>
        <v/>
      </c>
      <c r="AS524" s="6217"/>
      <c r="AT524" s="6217"/>
      <c r="AU524" s="6271">
        <f t="shared" si="213"/>
        <v>0</v>
      </c>
      <c r="AV524" s="6242">
        <f t="shared" si="214"/>
        <v>0</v>
      </c>
      <c r="AW524" s="6188" cm="1">
        <f t="array" ref="AW524">IF(AK524&lt;&gt;1,0,IF(OR(AU524="",N(AU524)&lt;=0.000000001),"",IF(OR(AO524="",N(AO524)&lt;=0.000000001),0,IF(ISNUMBER(AU524),IFERROR(_xlfn.LET(_xlpm.ai_test,TRIM(AJ524),_xlpm.r,IFERROR(_xlfn.XLOOKUP(_xlpm.ai_test,$BJ$15:$BJ$62,ROW($BJ$15:$BJ$62),0,1),IFERROR(_xlfn.XLOOKUP(_xlpm.ai_test,$BK$15:$BK$62,ROW($BK$15:$BK$62),0,1),_xlfn.XLOOKUP(_xlpm.ai_test,$BL$15:$BL$62,ROW($BL$15:$BL$62),0,1))),_xlpm.p,_xlpm.r-MIN(ROW($BJ$15:$BJ$62))+1,_xlpm.f,INDEX($BM$15:$BM$62,_xlpm.p),_xlpm.u,INDEX($BN$15:$BN$62,_xlpm.p),_xlpm.s,INDEX($BP$15:$BP$62,_xlpm.p),_xlpm.q,N(AU524)/_xlpm.f,IF(_xlpm.q&gt;=_xlpm.s,ROUND(_xlpm.q,1)&amp;" "&amp;_xlpm.ai_test&amp;" = "&amp;ROUND(_xlpm.q*_xlpm.f,1)&amp;" "&amp;_xlpm.u,ROUND(_xlpm.q,1)&amp;" "&amp;_xlpm.ai_test)),""),""))))</f>
        <v>0</v>
      </c>
      <c r="AX524" s="6218"/>
      <c r="AY524" s="6271">
        <f t="shared" si="215"/>
        <v>0</v>
      </c>
      <c r="AZ524" s="6242" t="str">
        <f t="shared" si="216"/>
        <v/>
      </c>
      <c r="BA524" s="6194">
        <f t="shared" si="221"/>
        <v>0</v>
      </c>
      <c r="BB524" s="6192" t="str">
        <f t="shared" si="217"/>
        <v/>
      </c>
      <c r="BC524" s="6219"/>
      <c r="BD524" s="6221">
        <f t="shared" si="222"/>
        <v>0</v>
      </c>
      <c r="BE524" s="6220" t="str">
        <f t="shared" si="218"/>
        <v/>
      </c>
      <c r="BF524" s="4" t="s">
        <v>1</v>
      </c>
      <c r="BG524" s="6196">
        <f t="shared" si="219"/>
        <v>0</v>
      </c>
      <c r="BH524" s="6197">
        <f t="shared" si="220"/>
        <v>0</v>
      </c>
      <c r="BI524"/>
      <c r="BJ524" s="1"/>
      <c r="BK524" s="1"/>
      <c r="BL524" s="1"/>
      <c r="BM524" s="1"/>
      <c r="BN524" s="1"/>
      <c r="BO524" s="1"/>
      <c r="BP524" s="1"/>
      <c r="BQ524" s="1"/>
      <c r="BX524" s="20" t="str">
        <f t="shared" si="224"/>
        <v>►</v>
      </c>
      <c r="BY524" s="2"/>
      <c r="BZ524" s="2"/>
      <c r="CA524" s="2"/>
      <c r="CB524" s="2"/>
      <c r="CC524" s="2"/>
      <c r="DC524" s="5">
        <v>1</v>
      </c>
    </row>
    <row r="525" spans="12:107" ht="21" customHeight="1">
      <c r="L525" s="1021" t="s">
        <v>26</v>
      </c>
      <c r="M525" s="6787"/>
      <c r="N525" s="6787"/>
      <c r="O525" s="6787"/>
      <c r="P525" s="6788"/>
      <c r="Q525" s="6789"/>
      <c r="R525" s="6790"/>
      <c r="S525" s="6786"/>
      <c r="T525" s="6791"/>
      <c r="U525" s="6844"/>
      <c r="V525" s="6791"/>
      <c r="W525" s="6785"/>
      <c r="X525" s="6868"/>
      <c r="Y525" s="6793"/>
      <c r="Z525" s="6794"/>
      <c r="AA525" s="6795"/>
      <c r="AB525" s="6796"/>
      <c r="AC525" s="6797"/>
      <c r="AD525" s="6798"/>
      <c r="AE525" s="4" t="s">
        <v>1</v>
      </c>
      <c r="AF525" s="6202" t="str">
        <f t="shared" si="202"/>
        <v>►</v>
      </c>
      <c r="AG525" s="6234" t="str">
        <f t="shared" si="203"/>
        <v/>
      </c>
      <c r="AH525" s="6732" t="str">
        <f t="shared" si="204"/>
        <v/>
      </c>
      <c r="AI525" s="6234" t="str">
        <f t="shared" si="205"/>
        <v/>
      </c>
      <c r="AJ525" s="6732" t="str">
        <f t="shared" si="206"/>
        <v/>
      </c>
      <c r="AK525" s="6732">
        <f t="shared" si="207"/>
        <v>0</v>
      </c>
      <c r="AL525" s="6230" t="str" cm="1">
        <f t="array" ref="AL525">IF(AF525&lt;&gt;"A","",IFERROR((IFERROR(_xlfn.XLOOKUP(TRIM(SUBSTITUTE(U525,CHAR(160)," ")),$BJ$15:$BJ$62,$BM$15:$BM$62),IFERROR(_xlfn.XLOOKUP(TRIM(SUBSTITUTE(U525,CHAR(160)," ")),$BK$15:$BK$62,$BM$15:$BM$62),_xlfn.XLOOKUP(TRIM(SUBSTITUTE(U525,CHAR(160)," ")),$BL$15:$BL$62,$BM$15:$BM$62))))*T525*IF(ISBLANK(Q525),1,Q525)+IFERROR(_xlfn.XLOOKUP("RECHERCHEX",TRIM(L525:AD525),L525:AD525),0),0))</f>
        <v/>
      </c>
      <c r="AM525" s="6229">
        <f t="shared" si="208"/>
        <v>0</v>
      </c>
      <c r="AN525" s="6857" t="str">
        <f t="shared" si="223"/>
        <v/>
      </c>
      <c r="AO525" s="392">
        <f t="shared" si="209"/>
        <v>0</v>
      </c>
      <c r="AP525" s="392">
        <f t="shared" si="210"/>
        <v>0</v>
      </c>
      <c r="AQ525" s="6191">
        <f t="shared" si="211"/>
        <v>0</v>
      </c>
      <c r="AR525" s="6859" t="str">
        <f t="shared" si="212"/>
        <v/>
      </c>
      <c r="AS525" s="6217"/>
      <c r="AT525" s="6217"/>
      <c r="AU525" s="6272">
        <f t="shared" si="213"/>
        <v>0</v>
      </c>
      <c r="AV525" s="6240">
        <f t="shared" si="214"/>
        <v>0</v>
      </c>
      <c r="AW525" s="6189" cm="1">
        <f t="array" ref="AW525">IF(AK525&lt;&gt;1,0,IF(OR(AU525="",N(AU525)&lt;=0.000000001),"",IF(OR(AO525="",N(AO525)&lt;=0.000000001),0,IF(ISNUMBER(AU525),IFERROR(_xlfn.LET(_xlpm.ai_test,TRIM(AJ525),_xlpm.r,IFERROR(_xlfn.XLOOKUP(_xlpm.ai_test,$BJ$15:$BJ$62,ROW($BJ$15:$BJ$62),0,1),IFERROR(_xlfn.XLOOKUP(_xlpm.ai_test,$BK$15:$BK$62,ROW($BK$15:$BK$62),0,1),_xlfn.XLOOKUP(_xlpm.ai_test,$BL$15:$BL$62,ROW($BL$15:$BL$62),0,1))),_xlpm.p,_xlpm.r-MIN(ROW($BJ$15:$BJ$62))+1,_xlpm.f,INDEX($BM$15:$BM$62,_xlpm.p),_xlpm.u,INDEX($BN$15:$BN$62,_xlpm.p),_xlpm.s,INDEX($BP$15:$BP$62,_xlpm.p),_xlpm.q,N(AU525)/_xlpm.f,IF(_xlpm.q&gt;=_xlpm.s,ROUND(_xlpm.q,1)&amp;" "&amp;_xlpm.ai_test&amp;" = "&amp;ROUND(_xlpm.q*_xlpm.f,1)&amp;" "&amp;_xlpm.u,ROUND(_xlpm.q,1)&amp;" "&amp;_xlpm.ai_test)),""),""))))</f>
        <v>0</v>
      </c>
      <c r="AX525" s="6218"/>
      <c r="AY525" s="6272">
        <f t="shared" si="215"/>
        <v>0</v>
      </c>
      <c r="AZ525" s="6240" t="str">
        <f t="shared" si="216"/>
        <v/>
      </c>
      <c r="BA525" s="6195">
        <f t="shared" si="221"/>
        <v>0</v>
      </c>
      <c r="BB525" s="6193" t="str">
        <f t="shared" si="217"/>
        <v/>
      </c>
      <c r="BC525" s="6219"/>
      <c r="BD525" s="6222">
        <f t="shared" si="222"/>
        <v>0</v>
      </c>
      <c r="BE525" s="6220" t="str">
        <f t="shared" si="218"/>
        <v/>
      </c>
      <c r="BF525" s="4" t="s">
        <v>1</v>
      </c>
      <c r="BG525" s="6196">
        <f t="shared" si="219"/>
        <v>0</v>
      </c>
      <c r="BH525" s="6197">
        <f t="shared" si="220"/>
        <v>0</v>
      </c>
      <c r="BI525"/>
      <c r="BJ525" s="1"/>
      <c r="BK525" s="1"/>
      <c r="BL525" s="1"/>
      <c r="BM525" s="1"/>
      <c r="BN525" s="1"/>
      <c r="BO525" s="1"/>
      <c r="BP525" s="1"/>
      <c r="BQ525" s="1"/>
      <c r="BX525" s="20" t="str">
        <f t="shared" si="224"/>
        <v>►</v>
      </c>
      <c r="BY525" s="2"/>
      <c r="BZ525" s="2"/>
      <c r="CA525" s="2"/>
      <c r="CB525" s="2"/>
      <c r="CC525" s="2"/>
      <c r="DC525" s="5">
        <v>1</v>
      </c>
    </row>
    <row r="526" spans="12:107" ht="21" customHeight="1">
      <c r="L526" s="1021" t="s">
        <v>26</v>
      </c>
      <c r="M526" s="6787"/>
      <c r="N526" s="6787"/>
      <c r="O526" s="6787"/>
      <c r="P526" s="6788"/>
      <c r="Q526" s="6789"/>
      <c r="R526" s="6790"/>
      <c r="S526" s="6786"/>
      <c r="T526" s="6791"/>
      <c r="U526" s="6844"/>
      <c r="V526" s="6791"/>
      <c r="W526" s="6785"/>
      <c r="X526" s="6868"/>
      <c r="Y526" s="6793"/>
      <c r="Z526" s="6794"/>
      <c r="AA526" s="6795"/>
      <c r="AB526" s="6796"/>
      <c r="AC526" s="6797"/>
      <c r="AD526" s="6798"/>
      <c r="AE526" s="4" t="s">
        <v>1</v>
      </c>
      <c r="AF526" s="6202" t="str">
        <f t="shared" si="202"/>
        <v>►</v>
      </c>
      <c r="AG526" s="6234" t="str">
        <f t="shared" si="203"/>
        <v/>
      </c>
      <c r="AH526" s="6732" t="str">
        <f t="shared" si="204"/>
        <v/>
      </c>
      <c r="AI526" s="6234" t="str">
        <f t="shared" si="205"/>
        <v/>
      </c>
      <c r="AJ526" s="6732" t="str">
        <f t="shared" si="206"/>
        <v/>
      </c>
      <c r="AK526" s="6732">
        <f t="shared" si="207"/>
        <v>0</v>
      </c>
      <c r="AL526" s="6230" t="str" cm="1">
        <f t="array" ref="AL526">IF(AF526&lt;&gt;"A","",IFERROR((IFERROR(_xlfn.XLOOKUP(TRIM(SUBSTITUTE(U526,CHAR(160)," ")),$BJ$15:$BJ$62,$BM$15:$BM$62),IFERROR(_xlfn.XLOOKUP(TRIM(SUBSTITUTE(U526,CHAR(160)," ")),$BK$15:$BK$62,$BM$15:$BM$62),_xlfn.XLOOKUP(TRIM(SUBSTITUTE(U526,CHAR(160)," ")),$BL$15:$BL$62,$BM$15:$BM$62))))*T526*IF(ISBLANK(Q526),1,Q526)+IFERROR(_xlfn.XLOOKUP("RECHERCHEX",TRIM(L526:AD526),L526:AD526),0),0))</f>
        <v/>
      </c>
      <c r="AM526" s="6229">
        <f t="shared" si="208"/>
        <v>0</v>
      </c>
      <c r="AN526" s="6857" t="str">
        <f t="shared" si="223"/>
        <v/>
      </c>
      <c r="AO526" s="392">
        <f t="shared" si="209"/>
        <v>0</v>
      </c>
      <c r="AP526" s="392">
        <f t="shared" si="210"/>
        <v>0</v>
      </c>
      <c r="AQ526" s="6190">
        <f t="shared" si="211"/>
        <v>0</v>
      </c>
      <c r="AR526" s="6858" t="str">
        <f t="shared" si="212"/>
        <v/>
      </c>
      <c r="AS526" s="6217"/>
      <c r="AT526" s="6217"/>
      <c r="AU526" s="6271">
        <f t="shared" si="213"/>
        <v>0</v>
      </c>
      <c r="AV526" s="6242">
        <f t="shared" si="214"/>
        <v>0</v>
      </c>
      <c r="AW526" s="6188" cm="1">
        <f t="array" ref="AW526">IF(AK526&lt;&gt;1,0,IF(OR(AU526="",N(AU526)&lt;=0.000000001),"",IF(OR(AO526="",N(AO526)&lt;=0.000000001),0,IF(ISNUMBER(AU526),IFERROR(_xlfn.LET(_xlpm.ai_test,TRIM(AJ526),_xlpm.r,IFERROR(_xlfn.XLOOKUP(_xlpm.ai_test,$BJ$15:$BJ$62,ROW($BJ$15:$BJ$62),0,1),IFERROR(_xlfn.XLOOKUP(_xlpm.ai_test,$BK$15:$BK$62,ROW($BK$15:$BK$62),0,1),_xlfn.XLOOKUP(_xlpm.ai_test,$BL$15:$BL$62,ROW($BL$15:$BL$62),0,1))),_xlpm.p,_xlpm.r-MIN(ROW($BJ$15:$BJ$62))+1,_xlpm.f,INDEX($BM$15:$BM$62,_xlpm.p),_xlpm.u,INDEX($BN$15:$BN$62,_xlpm.p),_xlpm.s,INDEX($BP$15:$BP$62,_xlpm.p),_xlpm.q,N(AU526)/_xlpm.f,IF(_xlpm.q&gt;=_xlpm.s,ROUND(_xlpm.q,1)&amp;" "&amp;_xlpm.ai_test&amp;" = "&amp;ROUND(_xlpm.q*_xlpm.f,1)&amp;" "&amp;_xlpm.u,ROUND(_xlpm.q,1)&amp;" "&amp;_xlpm.ai_test)),""),""))))</f>
        <v>0</v>
      </c>
      <c r="AX526" s="6218"/>
      <c r="AY526" s="6271">
        <f t="shared" si="215"/>
        <v>0</v>
      </c>
      <c r="AZ526" s="6242" t="str">
        <f t="shared" si="216"/>
        <v/>
      </c>
      <c r="BA526" s="6194">
        <f t="shared" si="221"/>
        <v>0</v>
      </c>
      <c r="BB526" s="6192" t="str">
        <f t="shared" si="217"/>
        <v/>
      </c>
      <c r="BC526" s="6219"/>
      <c r="BD526" s="6221">
        <f t="shared" si="222"/>
        <v>0</v>
      </c>
      <c r="BE526" s="6220" t="str">
        <f t="shared" si="218"/>
        <v/>
      </c>
      <c r="BF526" s="4" t="s">
        <v>1</v>
      </c>
      <c r="BG526" s="6196">
        <f t="shared" si="219"/>
        <v>0</v>
      </c>
      <c r="BH526" s="6197">
        <f t="shared" si="220"/>
        <v>0</v>
      </c>
      <c r="BI526"/>
      <c r="BJ526" s="1"/>
      <c r="BK526" s="1"/>
      <c r="BL526" s="1"/>
      <c r="BM526" s="1"/>
      <c r="BN526" s="1"/>
      <c r="BO526" s="1"/>
      <c r="BP526" s="1"/>
      <c r="BQ526" s="1"/>
      <c r="BX526" s="20" t="str">
        <f t="shared" si="224"/>
        <v>►</v>
      </c>
      <c r="BY526" s="2"/>
      <c r="BZ526" s="2"/>
      <c r="CA526" s="2"/>
      <c r="CB526" s="2"/>
      <c r="CC526" s="2"/>
      <c r="DC526" s="5">
        <v>1</v>
      </c>
    </row>
    <row r="527" spans="12:107" ht="21" customHeight="1">
      <c r="L527" s="1021" t="s">
        <v>26</v>
      </c>
      <c r="M527" s="6787"/>
      <c r="N527" s="6787"/>
      <c r="O527" s="6787"/>
      <c r="P527" s="6788"/>
      <c r="Q527" s="6789"/>
      <c r="R527" s="6790"/>
      <c r="S527" s="6786"/>
      <c r="T527" s="6791"/>
      <c r="U527" s="6844"/>
      <c r="V527" s="6791"/>
      <c r="W527" s="6785"/>
      <c r="X527" s="6868"/>
      <c r="Y527" s="6793"/>
      <c r="Z527" s="6794"/>
      <c r="AA527" s="6795"/>
      <c r="AB527" s="6796"/>
      <c r="AC527" s="6797"/>
      <c r="AD527" s="6798"/>
      <c r="AE527" s="4" t="s">
        <v>1</v>
      </c>
      <c r="AF527" s="6202" t="str">
        <f t="shared" si="202"/>
        <v>►</v>
      </c>
      <c r="AG527" s="6234" t="str">
        <f t="shared" si="203"/>
        <v/>
      </c>
      <c r="AH527" s="6732" t="str">
        <f t="shared" si="204"/>
        <v/>
      </c>
      <c r="AI527" s="6234" t="str">
        <f t="shared" si="205"/>
        <v/>
      </c>
      <c r="AJ527" s="6732" t="str">
        <f t="shared" si="206"/>
        <v/>
      </c>
      <c r="AK527" s="6732">
        <f t="shared" si="207"/>
        <v>0</v>
      </c>
      <c r="AL527" s="6230" t="str" cm="1">
        <f t="array" ref="AL527">IF(AF527&lt;&gt;"A","",IFERROR((IFERROR(_xlfn.XLOOKUP(TRIM(SUBSTITUTE(U527,CHAR(160)," ")),$BJ$15:$BJ$62,$BM$15:$BM$62),IFERROR(_xlfn.XLOOKUP(TRIM(SUBSTITUTE(U527,CHAR(160)," ")),$BK$15:$BK$62,$BM$15:$BM$62),_xlfn.XLOOKUP(TRIM(SUBSTITUTE(U527,CHAR(160)," ")),$BL$15:$BL$62,$BM$15:$BM$62))))*T527*IF(ISBLANK(Q527),1,Q527)+IFERROR(_xlfn.XLOOKUP("RECHERCHEX",TRIM(L527:AD527),L527:AD527),0),0))</f>
        <v/>
      </c>
      <c r="AM527" s="6229">
        <f t="shared" si="208"/>
        <v>0</v>
      </c>
      <c r="AN527" s="6857" t="str">
        <f t="shared" si="223"/>
        <v/>
      </c>
      <c r="AO527" s="392">
        <f t="shared" si="209"/>
        <v>0</v>
      </c>
      <c r="AP527" s="392">
        <f t="shared" si="210"/>
        <v>0</v>
      </c>
      <c r="AQ527" s="6191">
        <f t="shared" si="211"/>
        <v>0</v>
      </c>
      <c r="AR527" s="6859" t="str">
        <f t="shared" si="212"/>
        <v/>
      </c>
      <c r="AS527" s="6217"/>
      <c r="AT527" s="6217"/>
      <c r="AU527" s="6272">
        <f t="shared" si="213"/>
        <v>0</v>
      </c>
      <c r="AV527" s="6240">
        <f t="shared" si="214"/>
        <v>0</v>
      </c>
      <c r="AW527" s="6189" cm="1">
        <f t="array" ref="AW527">IF(AK527&lt;&gt;1,0,IF(OR(AU527="",N(AU527)&lt;=0.000000001),"",IF(OR(AO527="",N(AO527)&lt;=0.000000001),0,IF(ISNUMBER(AU527),IFERROR(_xlfn.LET(_xlpm.ai_test,TRIM(AJ527),_xlpm.r,IFERROR(_xlfn.XLOOKUP(_xlpm.ai_test,$BJ$15:$BJ$62,ROW($BJ$15:$BJ$62),0,1),IFERROR(_xlfn.XLOOKUP(_xlpm.ai_test,$BK$15:$BK$62,ROW($BK$15:$BK$62),0,1),_xlfn.XLOOKUP(_xlpm.ai_test,$BL$15:$BL$62,ROW($BL$15:$BL$62),0,1))),_xlpm.p,_xlpm.r-MIN(ROW($BJ$15:$BJ$62))+1,_xlpm.f,INDEX($BM$15:$BM$62,_xlpm.p),_xlpm.u,INDEX($BN$15:$BN$62,_xlpm.p),_xlpm.s,INDEX($BP$15:$BP$62,_xlpm.p),_xlpm.q,N(AU527)/_xlpm.f,IF(_xlpm.q&gt;=_xlpm.s,ROUND(_xlpm.q,1)&amp;" "&amp;_xlpm.ai_test&amp;" = "&amp;ROUND(_xlpm.q*_xlpm.f,1)&amp;" "&amp;_xlpm.u,ROUND(_xlpm.q,1)&amp;" "&amp;_xlpm.ai_test)),""),""))))</f>
        <v>0</v>
      </c>
      <c r="AX527" s="6218"/>
      <c r="AY527" s="6272">
        <f t="shared" si="215"/>
        <v>0</v>
      </c>
      <c r="AZ527" s="6240" t="str">
        <f t="shared" si="216"/>
        <v/>
      </c>
      <c r="BA527" s="6195">
        <f t="shared" si="221"/>
        <v>0</v>
      </c>
      <c r="BB527" s="6193" t="str">
        <f t="shared" si="217"/>
        <v/>
      </c>
      <c r="BC527" s="6219"/>
      <c r="BD527" s="6222">
        <f t="shared" si="222"/>
        <v>0</v>
      </c>
      <c r="BE527" s="6220" t="str">
        <f t="shared" si="218"/>
        <v/>
      </c>
      <c r="BF527" s="4" t="s">
        <v>1</v>
      </c>
      <c r="BG527" s="6196">
        <f t="shared" si="219"/>
        <v>0</v>
      </c>
      <c r="BH527" s="6197">
        <f t="shared" si="220"/>
        <v>0</v>
      </c>
      <c r="BI527"/>
      <c r="BJ527" s="1"/>
      <c r="BK527" s="1"/>
      <c r="BL527" s="1"/>
      <c r="BM527" s="1"/>
      <c r="BN527" s="1"/>
      <c r="BO527" s="1"/>
      <c r="BP527" s="1"/>
      <c r="BQ527" s="1"/>
      <c r="BX527" s="20" t="str">
        <f t="shared" si="224"/>
        <v>►</v>
      </c>
      <c r="BY527" s="2"/>
      <c r="BZ527" s="2"/>
      <c r="CA527" s="2"/>
      <c r="CB527" s="2"/>
      <c r="CC527" s="2"/>
      <c r="DC527" s="5">
        <v>1</v>
      </c>
    </row>
    <row r="528" spans="12:107" ht="21" customHeight="1">
      <c r="L528" s="1021" t="s">
        <v>26</v>
      </c>
      <c r="M528" s="6787"/>
      <c r="N528" s="6787"/>
      <c r="O528" s="6787"/>
      <c r="P528" s="6788"/>
      <c r="Q528" s="6789"/>
      <c r="R528" s="6790"/>
      <c r="S528" s="6786"/>
      <c r="T528" s="6791"/>
      <c r="U528" s="6844"/>
      <c r="V528" s="6791"/>
      <c r="W528" s="6785"/>
      <c r="X528" s="6868"/>
      <c r="Y528" s="6793"/>
      <c r="Z528" s="6794"/>
      <c r="AA528" s="6795"/>
      <c r="AB528" s="6796"/>
      <c r="AC528" s="6797"/>
      <c r="AD528" s="6798"/>
      <c r="AE528" s="4" t="s">
        <v>1</v>
      </c>
      <c r="AF528" s="6202" t="str">
        <f t="shared" si="202"/>
        <v>►</v>
      </c>
      <c r="AG528" s="6234" t="str">
        <f t="shared" si="203"/>
        <v/>
      </c>
      <c r="AH528" s="6732" t="str">
        <f t="shared" si="204"/>
        <v/>
      </c>
      <c r="AI528" s="6234" t="str">
        <f t="shared" si="205"/>
        <v/>
      </c>
      <c r="AJ528" s="6732" t="str">
        <f t="shared" si="206"/>
        <v/>
      </c>
      <c r="AK528" s="6732">
        <f t="shared" si="207"/>
        <v>0</v>
      </c>
      <c r="AL528" s="6230" t="str" cm="1">
        <f t="array" ref="AL528">IF(AF528&lt;&gt;"A","",IFERROR((IFERROR(_xlfn.XLOOKUP(TRIM(SUBSTITUTE(U528,CHAR(160)," ")),$BJ$15:$BJ$62,$BM$15:$BM$62),IFERROR(_xlfn.XLOOKUP(TRIM(SUBSTITUTE(U528,CHAR(160)," ")),$BK$15:$BK$62,$BM$15:$BM$62),_xlfn.XLOOKUP(TRIM(SUBSTITUTE(U528,CHAR(160)," ")),$BL$15:$BL$62,$BM$15:$BM$62))))*T528*IF(ISBLANK(Q528),1,Q528)+IFERROR(_xlfn.XLOOKUP("RECHERCHEX",TRIM(L528:AD528),L528:AD528),0),0))</f>
        <v/>
      </c>
      <c r="AM528" s="6229">
        <f t="shared" si="208"/>
        <v>0</v>
      </c>
      <c r="AN528" s="6857" t="str">
        <f t="shared" si="223"/>
        <v/>
      </c>
      <c r="AO528" s="392">
        <f t="shared" si="209"/>
        <v>0</v>
      </c>
      <c r="AP528" s="392">
        <f t="shared" si="210"/>
        <v>0</v>
      </c>
      <c r="AQ528" s="6190">
        <f t="shared" si="211"/>
        <v>0</v>
      </c>
      <c r="AR528" s="6858" t="str">
        <f t="shared" si="212"/>
        <v/>
      </c>
      <c r="AS528" s="6217"/>
      <c r="AT528" s="6217"/>
      <c r="AU528" s="6271">
        <f t="shared" si="213"/>
        <v>0</v>
      </c>
      <c r="AV528" s="6242">
        <f t="shared" si="214"/>
        <v>0</v>
      </c>
      <c r="AW528" s="6188" cm="1">
        <f t="array" ref="AW528">IF(AK528&lt;&gt;1,0,IF(OR(AU528="",N(AU528)&lt;=0.000000001),"",IF(OR(AO528="",N(AO528)&lt;=0.000000001),0,IF(ISNUMBER(AU528),IFERROR(_xlfn.LET(_xlpm.ai_test,TRIM(AJ528),_xlpm.r,IFERROR(_xlfn.XLOOKUP(_xlpm.ai_test,$BJ$15:$BJ$62,ROW($BJ$15:$BJ$62),0,1),IFERROR(_xlfn.XLOOKUP(_xlpm.ai_test,$BK$15:$BK$62,ROW($BK$15:$BK$62),0,1),_xlfn.XLOOKUP(_xlpm.ai_test,$BL$15:$BL$62,ROW($BL$15:$BL$62),0,1))),_xlpm.p,_xlpm.r-MIN(ROW($BJ$15:$BJ$62))+1,_xlpm.f,INDEX($BM$15:$BM$62,_xlpm.p),_xlpm.u,INDEX($BN$15:$BN$62,_xlpm.p),_xlpm.s,INDEX($BP$15:$BP$62,_xlpm.p),_xlpm.q,N(AU528)/_xlpm.f,IF(_xlpm.q&gt;=_xlpm.s,ROUND(_xlpm.q,1)&amp;" "&amp;_xlpm.ai_test&amp;" = "&amp;ROUND(_xlpm.q*_xlpm.f,1)&amp;" "&amp;_xlpm.u,ROUND(_xlpm.q,1)&amp;" "&amp;_xlpm.ai_test)),""),""))))</f>
        <v>0</v>
      </c>
      <c r="AX528" s="6218"/>
      <c r="AY528" s="6271">
        <f t="shared" si="215"/>
        <v>0</v>
      </c>
      <c r="AZ528" s="6242" t="str">
        <f t="shared" si="216"/>
        <v/>
      </c>
      <c r="BA528" s="6194">
        <f t="shared" si="221"/>
        <v>0</v>
      </c>
      <c r="BB528" s="6192" t="str">
        <f t="shared" si="217"/>
        <v/>
      </c>
      <c r="BC528" s="6219"/>
      <c r="BD528" s="6221">
        <f t="shared" si="222"/>
        <v>0</v>
      </c>
      <c r="BE528" s="6220" t="str">
        <f t="shared" si="218"/>
        <v/>
      </c>
      <c r="BF528" s="4" t="s">
        <v>1</v>
      </c>
      <c r="BG528" s="6196">
        <f t="shared" si="219"/>
        <v>0</v>
      </c>
      <c r="BH528" s="6197">
        <f t="shared" si="220"/>
        <v>0</v>
      </c>
      <c r="BI528"/>
      <c r="BJ528" s="1"/>
      <c r="BK528" s="1"/>
      <c r="BL528" s="1"/>
      <c r="BM528" s="1"/>
      <c r="BN528" s="1"/>
      <c r="BO528" s="1"/>
      <c r="BP528" s="1"/>
      <c r="BQ528" s="1"/>
      <c r="BX528" s="20" t="str">
        <f t="shared" si="224"/>
        <v>►</v>
      </c>
      <c r="BY528" s="2"/>
      <c r="BZ528" s="2"/>
      <c r="CA528" s="2"/>
      <c r="CB528" s="2"/>
      <c r="CC528" s="2"/>
      <c r="DC528" s="5">
        <v>1</v>
      </c>
    </row>
    <row r="529" spans="12:107" ht="21" customHeight="1">
      <c r="L529" s="1021" t="s">
        <v>26</v>
      </c>
      <c r="M529" s="6787"/>
      <c r="N529" s="6787"/>
      <c r="O529" s="6787"/>
      <c r="P529" s="6788"/>
      <c r="Q529" s="6789"/>
      <c r="R529" s="6790"/>
      <c r="S529" s="6786"/>
      <c r="T529" s="6791"/>
      <c r="U529" s="6844"/>
      <c r="V529" s="6791"/>
      <c r="W529" s="6785"/>
      <c r="X529" s="6868"/>
      <c r="Y529" s="6793"/>
      <c r="Z529" s="6794"/>
      <c r="AA529" s="6795"/>
      <c r="AB529" s="6796"/>
      <c r="AC529" s="6797"/>
      <c r="AD529" s="6798"/>
      <c r="AE529" s="4" t="s">
        <v>1</v>
      </c>
      <c r="AF529" s="6202" t="str">
        <f t="shared" si="202"/>
        <v>►</v>
      </c>
      <c r="AG529" s="6234" t="str">
        <f t="shared" si="203"/>
        <v/>
      </c>
      <c r="AH529" s="6732" t="str">
        <f t="shared" si="204"/>
        <v/>
      </c>
      <c r="AI529" s="6234" t="str">
        <f t="shared" si="205"/>
        <v/>
      </c>
      <c r="AJ529" s="6732" t="str">
        <f t="shared" si="206"/>
        <v/>
      </c>
      <c r="AK529" s="6732">
        <f t="shared" si="207"/>
        <v>0</v>
      </c>
      <c r="AL529" s="6230" t="str" cm="1">
        <f t="array" ref="AL529">IF(AF529&lt;&gt;"A","",IFERROR((IFERROR(_xlfn.XLOOKUP(TRIM(SUBSTITUTE(U529,CHAR(160)," ")),$BJ$15:$BJ$62,$BM$15:$BM$62),IFERROR(_xlfn.XLOOKUP(TRIM(SUBSTITUTE(U529,CHAR(160)," ")),$BK$15:$BK$62,$BM$15:$BM$62),_xlfn.XLOOKUP(TRIM(SUBSTITUTE(U529,CHAR(160)," ")),$BL$15:$BL$62,$BM$15:$BM$62))))*T529*IF(ISBLANK(Q529),1,Q529)+IFERROR(_xlfn.XLOOKUP("RECHERCHEX",TRIM(L529:AD529),L529:AD529),0),0))</f>
        <v/>
      </c>
      <c r="AM529" s="6229">
        <f t="shared" si="208"/>
        <v>0</v>
      </c>
      <c r="AN529" s="6857" t="str">
        <f t="shared" si="223"/>
        <v/>
      </c>
      <c r="AO529" s="392">
        <f t="shared" si="209"/>
        <v>0</v>
      </c>
      <c r="AP529" s="392">
        <f t="shared" si="210"/>
        <v>0</v>
      </c>
      <c r="AQ529" s="6191">
        <f t="shared" si="211"/>
        <v>0</v>
      </c>
      <c r="AR529" s="6859" t="str">
        <f t="shared" si="212"/>
        <v/>
      </c>
      <c r="AS529" s="6217"/>
      <c r="AT529" s="6217"/>
      <c r="AU529" s="6272">
        <f t="shared" si="213"/>
        <v>0</v>
      </c>
      <c r="AV529" s="6240">
        <f t="shared" si="214"/>
        <v>0</v>
      </c>
      <c r="AW529" s="6189" cm="1">
        <f t="array" ref="AW529">IF(AK529&lt;&gt;1,0,IF(OR(AU529="",N(AU529)&lt;=0.000000001),"",IF(OR(AO529="",N(AO529)&lt;=0.000000001),0,IF(ISNUMBER(AU529),IFERROR(_xlfn.LET(_xlpm.ai_test,TRIM(AJ529),_xlpm.r,IFERROR(_xlfn.XLOOKUP(_xlpm.ai_test,$BJ$15:$BJ$62,ROW($BJ$15:$BJ$62),0,1),IFERROR(_xlfn.XLOOKUP(_xlpm.ai_test,$BK$15:$BK$62,ROW($BK$15:$BK$62),0,1),_xlfn.XLOOKUP(_xlpm.ai_test,$BL$15:$BL$62,ROW($BL$15:$BL$62),0,1))),_xlpm.p,_xlpm.r-MIN(ROW($BJ$15:$BJ$62))+1,_xlpm.f,INDEX($BM$15:$BM$62,_xlpm.p),_xlpm.u,INDEX($BN$15:$BN$62,_xlpm.p),_xlpm.s,INDEX($BP$15:$BP$62,_xlpm.p),_xlpm.q,N(AU529)/_xlpm.f,IF(_xlpm.q&gt;=_xlpm.s,ROUND(_xlpm.q,1)&amp;" "&amp;_xlpm.ai_test&amp;" = "&amp;ROUND(_xlpm.q*_xlpm.f,1)&amp;" "&amp;_xlpm.u,ROUND(_xlpm.q,1)&amp;" "&amp;_xlpm.ai_test)),""),""))))</f>
        <v>0</v>
      </c>
      <c r="AX529" s="6218"/>
      <c r="AY529" s="6272">
        <f t="shared" si="215"/>
        <v>0</v>
      </c>
      <c r="AZ529" s="6240" t="str">
        <f t="shared" si="216"/>
        <v/>
      </c>
      <c r="BA529" s="6195">
        <f t="shared" si="221"/>
        <v>0</v>
      </c>
      <c r="BB529" s="6193" t="str">
        <f t="shared" si="217"/>
        <v/>
      </c>
      <c r="BC529" s="6219"/>
      <c r="BD529" s="6222">
        <f t="shared" si="222"/>
        <v>0</v>
      </c>
      <c r="BE529" s="6220" t="str">
        <f t="shared" si="218"/>
        <v/>
      </c>
      <c r="BF529" s="4" t="s">
        <v>1</v>
      </c>
      <c r="BG529" s="6196">
        <f t="shared" si="219"/>
        <v>0</v>
      </c>
      <c r="BH529" s="6197">
        <f t="shared" si="220"/>
        <v>0</v>
      </c>
      <c r="BI529"/>
      <c r="BJ529" s="1"/>
      <c r="BK529" s="1"/>
      <c r="BL529" s="1"/>
      <c r="BM529" s="1"/>
      <c r="BN529" s="1"/>
      <c r="BO529" s="1"/>
      <c r="BP529" s="1"/>
      <c r="BQ529" s="1"/>
      <c r="BX529" s="20" t="str">
        <f t="shared" si="224"/>
        <v>►</v>
      </c>
      <c r="BY529" s="2"/>
      <c r="BZ529" s="2"/>
      <c r="CA529" s="2"/>
      <c r="CB529" s="2"/>
      <c r="CC529" s="2"/>
      <c r="DC529" s="5">
        <v>1</v>
      </c>
    </row>
    <row r="530" spans="12:107" ht="21" customHeight="1">
      <c r="L530" s="1021" t="s">
        <v>26</v>
      </c>
      <c r="M530" s="6787"/>
      <c r="N530" s="6787"/>
      <c r="O530" s="6787"/>
      <c r="P530" s="6788"/>
      <c r="Q530" s="6789"/>
      <c r="R530" s="6790"/>
      <c r="S530" s="6786"/>
      <c r="T530" s="6791"/>
      <c r="U530" s="6844"/>
      <c r="V530" s="6791"/>
      <c r="W530" s="6785"/>
      <c r="X530" s="6868"/>
      <c r="Y530" s="6793"/>
      <c r="Z530" s="6794"/>
      <c r="AA530" s="6795"/>
      <c r="AB530" s="6796"/>
      <c r="AC530" s="6797"/>
      <c r="AD530" s="6798"/>
      <c r="AE530" s="4" t="s">
        <v>1</v>
      </c>
      <c r="AF530" s="6202" t="str">
        <f t="shared" si="202"/>
        <v>►</v>
      </c>
      <c r="AG530" s="6234" t="str">
        <f t="shared" si="203"/>
        <v/>
      </c>
      <c r="AH530" s="6732" t="str">
        <f t="shared" si="204"/>
        <v/>
      </c>
      <c r="AI530" s="6234" t="str">
        <f t="shared" si="205"/>
        <v/>
      </c>
      <c r="AJ530" s="6732" t="str">
        <f t="shared" si="206"/>
        <v/>
      </c>
      <c r="AK530" s="6732">
        <f t="shared" si="207"/>
        <v>0</v>
      </c>
      <c r="AL530" s="6230" t="str" cm="1">
        <f t="array" ref="AL530">IF(AF530&lt;&gt;"A","",IFERROR((IFERROR(_xlfn.XLOOKUP(TRIM(SUBSTITUTE(U530,CHAR(160)," ")),$BJ$15:$BJ$62,$BM$15:$BM$62),IFERROR(_xlfn.XLOOKUP(TRIM(SUBSTITUTE(U530,CHAR(160)," ")),$BK$15:$BK$62,$BM$15:$BM$62),_xlfn.XLOOKUP(TRIM(SUBSTITUTE(U530,CHAR(160)," ")),$BL$15:$BL$62,$BM$15:$BM$62))))*T530*IF(ISBLANK(Q530),1,Q530)+IFERROR(_xlfn.XLOOKUP("RECHERCHEX",TRIM(L530:AD530),L530:AD530),0),0))</f>
        <v/>
      </c>
      <c r="AM530" s="6229">
        <f t="shared" si="208"/>
        <v>0</v>
      </c>
      <c r="AN530" s="6857" t="str">
        <f t="shared" si="223"/>
        <v/>
      </c>
      <c r="AO530" s="392">
        <f t="shared" si="209"/>
        <v>0</v>
      </c>
      <c r="AP530" s="392">
        <f t="shared" si="210"/>
        <v>0</v>
      </c>
      <c r="AQ530" s="6190">
        <f t="shared" si="211"/>
        <v>0</v>
      </c>
      <c r="AR530" s="6858" t="str">
        <f t="shared" si="212"/>
        <v/>
      </c>
      <c r="AS530" s="6217"/>
      <c r="AT530" s="6217"/>
      <c r="AU530" s="6271">
        <f t="shared" si="213"/>
        <v>0</v>
      </c>
      <c r="AV530" s="6242">
        <f t="shared" si="214"/>
        <v>0</v>
      </c>
      <c r="AW530" s="6188" cm="1">
        <f t="array" ref="AW530">IF(AK530&lt;&gt;1,0,IF(OR(AU530="",N(AU530)&lt;=0.000000001),"",IF(OR(AO530="",N(AO530)&lt;=0.000000001),0,IF(ISNUMBER(AU530),IFERROR(_xlfn.LET(_xlpm.ai_test,TRIM(AJ530),_xlpm.r,IFERROR(_xlfn.XLOOKUP(_xlpm.ai_test,$BJ$15:$BJ$62,ROW($BJ$15:$BJ$62),0,1),IFERROR(_xlfn.XLOOKUP(_xlpm.ai_test,$BK$15:$BK$62,ROW($BK$15:$BK$62),0,1),_xlfn.XLOOKUP(_xlpm.ai_test,$BL$15:$BL$62,ROW($BL$15:$BL$62),0,1))),_xlpm.p,_xlpm.r-MIN(ROW($BJ$15:$BJ$62))+1,_xlpm.f,INDEX($BM$15:$BM$62,_xlpm.p),_xlpm.u,INDEX($BN$15:$BN$62,_xlpm.p),_xlpm.s,INDEX($BP$15:$BP$62,_xlpm.p),_xlpm.q,N(AU530)/_xlpm.f,IF(_xlpm.q&gt;=_xlpm.s,ROUND(_xlpm.q,1)&amp;" "&amp;_xlpm.ai_test&amp;" = "&amp;ROUND(_xlpm.q*_xlpm.f,1)&amp;" "&amp;_xlpm.u,ROUND(_xlpm.q,1)&amp;" "&amp;_xlpm.ai_test)),""),""))))</f>
        <v>0</v>
      </c>
      <c r="AX530" s="6218"/>
      <c r="AY530" s="6271">
        <f t="shared" si="215"/>
        <v>0</v>
      </c>
      <c r="AZ530" s="6242" t="str">
        <f t="shared" si="216"/>
        <v/>
      </c>
      <c r="BA530" s="6194">
        <f t="shared" si="221"/>
        <v>0</v>
      </c>
      <c r="BB530" s="6192" t="str">
        <f t="shared" si="217"/>
        <v/>
      </c>
      <c r="BC530" s="6219"/>
      <c r="BD530" s="6221">
        <f t="shared" si="222"/>
        <v>0</v>
      </c>
      <c r="BE530" s="6220" t="str">
        <f t="shared" si="218"/>
        <v/>
      </c>
      <c r="BF530" s="4" t="s">
        <v>1</v>
      </c>
      <c r="BG530" s="6196">
        <f t="shared" si="219"/>
        <v>0</v>
      </c>
      <c r="BH530" s="6197">
        <f t="shared" si="220"/>
        <v>0</v>
      </c>
      <c r="BI530"/>
      <c r="BJ530" s="1"/>
      <c r="BK530" s="1"/>
      <c r="BL530" s="1"/>
      <c r="BM530" s="1"/>
      <c r="BN530" s="1"/>
      <c r="BO530" s="1"/>
      <c r="BP530" s="1"/>
      <c r="BQ530" s="1"/>
      <c r="BX530" s="20" t="str">
        <f t="shared" si="224"/>
        <v>►</v>
      </c>
      <c r="BY530" s="2"/>
      <c r="BZ530" s="2"/>
      <c r="CA530" s="2"/>
      <c r="CB530" s="2"/>
      <c r="CC530" s="2"/>
      <c r="DC530" s="5">
        <v>1</v>
      </c>
    </row>
    <row r="531" spans="12:107" ht="21" customHeight="1">
      <c r="L531" s="1021" t="s">
        <v>26</v>
      </c>
      <c r="M531" s="6787"/>
      <c r="N531" s="6787"/>
      <c r="O531" s="6787"/>
      <c r="P531" s="6788"/>
      <c r="Q531" s="6789"/>
      <c r="R531" s="6790"/>
      <c r="S531" s="6786"/>
      <c r="T531" s="6791"/>
      <c r="U531" s="6844"/>
      <c r="V531" s="6791"/>
      <c r="W531" s="6785"/>
      <c r="X531" s="6868"/>
      <c r="Y531" s="6793"/>
      <c r="Z531" s="6794"/>
      <c r="AA531" s="6795"/>
      <c r="AB531" s="6796"/>
      <c r="AC531" s="6797"/>
      <c r="AD531" s="6798"/>
      <c r="AE531" s="4" t="s">
        <v>1</v>
      </c>
      <c r="AF531" s="6202" t="str">
        <f t="shared" si="202"/>
        <v>►</v>
      </c>
      <c r="AG531" s="6234" t="str">
        <f t="shared" si="203"/>
        <v/>
      </c>
      <c r="AH531" s="6732" t="str">
        <f t="shared" si="204"/>
        <v/>
      </c>
      <c r="AI531" s="6234" t="str">
        <f t="shared" si="205"/>
        <v/>
      </c>
      <c r="AJ531" s="6732" t="str">
        <f t="shared" si="206"/>
        <v/>
      </c>
      <c r="AK531" s="6732">
        <f t="shared" si="207"/>
        <v>0</v>
      </c>
      <c r="AL531" s="6230" t="str" cm="1">
        <f t="array" ref="AL531">IF(AF531&lt;&gt;"A","",IFERROR((IFERROR(_xlfn.XLOOKUP(TRIM(SUBSTITUTE(U531,CHAR(160)," ")),$BJ$15:$BJ$62,$BM$15:$BM$62),IFERROR(_xlfn.XLOOKUP(TRIM(SUBSTITUTE(U531,CHAR(160)," ")),$BK$15:$BK$62,$BM$15:$BM$62),_xlfn.XLOOKUP(TRIM(SUBSTITUTE(U531,CHAR(160)," ")),$BL$15:$BL$62,$BM$15:$BM$62))))*T531*IF(ISBLANK(Q531),1,Q531)+IFERROR(_xlfn.XLOOKUP("RECHERCHEX",TRIM(L531:AD531),L531:AD531),0),0))</f>
        <v/>
      </c>
      <c r="AM531" s="6229">
        <f t="shared" si="208"/>
        <v>0</v>
      </c>
      <c r="AN531" s="6857" t="str">
        <f t="shared" si="223"/>
        <v/>
      </c>
      <c r="AO531" s="392">
        <f t="shared" si="209"/>
        <v>0</v>
      </c>
      <c r="AP531" s="392">
        <f t="shared" si="210"/>
        <v>0</v>
      </c>
      <c r="AQ531" s="6191">
        <f t="shared" si="211"/>
        <v>0</v>
      </c>
      <c r="AR531" s="6859" t="str">
        <f t="shared" si="212"/>
        <v/>
      </c>
      <c r="AS531" s="6217"/>
      <c r="AT531" s="6217"/>
      <c r="AU531" s="6272">
        <f t="shared" si="213"/>
        <v>0</v>
      </c>
      <c r="AV531" s="6240">
        <f t="shared" si="214"/>
        <v>0</v>
      </c>
      <c r="AW531" s="6189" cm="1">
        <f t="array" ref="AW531">IF(AK531&lt;&gt;1,0,IF(OR(AU531="",N(AU531)&lt;=0.000000001),"",IF(OR(AO531="",N(AO531)&lt;=0.000000001),0,IF(ISNUMBER(AU531),IFERROR(_xlfn.LET(_xlpm.ai_test,TRIM(AJ531),_xlpm.r,IFERROR(_xlfn.XLOOKUP(_xlpm.ai_test,$BJ$15:$BJ$62,ROW($BJ$15:$BJ$62),0,1),IFERROR(_xlfn.XLOOKUP(_xlpm.ai_test,$BK$15:$BK$62,ROW($BK$15:$BK$62),0,1),_xlfn.XLOOKUP(_xlpm.ai_test,$BL$15:$BL$62,ROW($BL$15:$BL$62),0,1))),_xlpm.p,_xlpm.r-MIN(ROW($BJ$15:$BJ$62))+1,_xlpm.f,INDEX($BM$15:$BM$62,_xlpm.p),_xlpm.u,INDEX($BN$15:$BN$62,_xlpm.p),_xlpm.s,INDEX($BP$15:$BP$62,_xlpm.p),_xlpm.q,N(AU531)/_xlpm.f,IF(_xlpm.q&gt;=_xlpm.s,ROUND(_xlpm.q,1)&amp;" "&amp;_xlpm.ai_test&amp;" = "&amp;ROUND(_xlpm.q*_xlpm.f,1)&amp;" "&amp;_xlpm.u,ROUND(_xlpm.q,1)&amp;" "&amp;_xlpm.ai_test)),""),""))))</f>
        <v>0</v>
      </c>
      <c r="AX531" s="6218"/>
      <c r="AY531" s="6272">
        <f t="shared" si="215"/>
        <v>0</v>
      </c>
      <c r="AZ531" s="6240" t="str">
        <f t="shared" si="216"/>
        <v/>
      </c>
      <c r="BA531" s="6195">
        <f t="shared" si="221"/>
        <v>0</v>
      </c>
      <c r="BB531" s="6193" t="str">
        <f t="shared" si="217"/>
        <v/>
      </c>
      <c r="BC531" s="6219"/>
      <c r="BD531" s="6222">
        <f t="shared" si="222"/>
        <v>0</v>
      </c>
      <c r="BE531" s="6220" t="str">
        <f t="shared" si="218"/>
        <v/>
      </c>
      <c r="BF531" s="4" t="s">
        <v>1</v>
      </c>
      <c r="BG531" s="6196">
        <f t="shared" si="219"/>
        <v>0</v>
      </c>
      <c r="BH531" s="6197">
        <f t="shared" si="220"/>
        <v>0</v>
      </c>
      <c r="BI531"/>
      <c r="BJ531" s="1"/>
      <c r="BK531" s="1"/>
      <c r="BL531" s="1"/>
      <c r="BM531" s="1"/>
      <c r="BN531" s="1"/>
      <c r="BO531" s="1"/>
      <c r="BP531" s="1"/>
      <c r="BQ531" s="1"/>
      <c r="BX531" s="20" t="str">
        <f t="shared" si="224"/>
        <v>►</v>
      </c>
      <c r="BY531" s="2"/>
      <c r="BZ531" s="2"/>
      <c r="CA531" s="2"/>
      <c r="CB531" s="2"/>
      <c r="CC531" s="2"/>
      <c r="DC531" s="5">
        <v>1</v>
      </c>
    </row>
    <row r="532" spans="12:107" ht="21" customHeight="1">
      <c r="L532" s="1021" t="s">
        <v>26</v>
      </c>
      <c r="M532" s="6787"/>
      <c r="N532" s="6787"/>
      <c r="O532" s="6787"/>
      <c r="P532" s="6788"/>
      <c r="Q532" s="6789"/>
      <c r="R532" s="6790"/>
      <c r="S532" s="6786"/>
      <c r="T532" s="6791"/>
      <c r="U532" s="6844"/>
      <c r="V532" s="6791"/>
      <c r="W532" s="6785"/>
      <c r="X532" s="6868"/>
      <c r="Y532" s="6793"/>
      <c r="Z532" s="6794"/>
      <c r="AA532" s="6795"/>
      <c r="AB532" s="6796"/>
      <c r="AC532" s="6797"/>
      <c r="AD532" s="6798"/>
      <c r="AE532" s="4" t="s">
        <v>1</v>
      </c>
      <c r="AF532" s="6202" t="str">
        <f t="shared" si="202"/>
        <v>►</v>
      </c>
      <c r="AG532" s="6234" t="str">
        <f t="shared" si="203"/>
        <v/>
      </c>
      <c r="AH532" s="6732" t="str">
        <f t="shared" si="204"/>
        <v/>
      </c>
      <c r="AI532" s="6234" t="str">
        <f t="shared" si="205"/>
        <v/>
      </c>
      <c r="AJ532" s="6732" t="str">
        <f t="shared" si="206"/>
        <v/>
      </c>
      <c r="AK532" s="6732">
        <f t="shared" si="207"/>
        <v>0</v>
      </c>
      <c r="AL532" s="6230" t="str" cm="1">
        <f t="array" ref="AL532">IF(AF532&lt;&gt;"A","",IFERROR((IFERROR(_xlfn.XLOOKUP(TRIM(SUBSTITUTE(U532,CHAR(160)," ")),$BJ$15:$BJ$62,$BM$15:$BM$62),IFERROR(_xlfn.XLOOKUP(TRIM(SUBSTITUTE(U532,CHAR(160)," ")),$BK$15:$BK$62,$BM$15:$BM$62),_xlfn.XLOOKUP(TRIM(SUBSTITUTE(U532,CHAR(160)," ")),$BL$15:$BL$62,$BM$15:$BM$62))))*T532*IF(ISBLANK(Q532),1,Q532)+IFERROR(_xlfn.XLOOKUP("RECHERCHEX",TRIM(L532:AD532),L532:AD532),0),0))</f>
        <v/>
      </c>
      <c r="AM532" s="6229">
        <f t="shared" si="208"/>
        <v>0</v>
      </c>
      <c r="AN532" s="6857" t="str">
        <f t="shared" si="223"/>
        <v/>
      </c>
      <c r="AO532" s="392">
        <f t="shared" si="209"/>
        <v>0</v>
      </c>
      <c r="AP532" s="392">
        <f t="shared" si="210"/>
        <v>0</v>
      </c>
      <c r="AQ532" s="6190">
        <f t="shared" si="211"/>
        <v>0</v>
      </c>
      <c r="AR532" s="6858" t="str">
        <f t="shared" si="212"/>
        <v/>
      </c>
      <c r="AS532" s="6217"/>
      <c r="AT532" s="6217"/>
      <c r="AU532" s="6271">
        <f t="shared" si="213"/>
        <v>0</v>
      </c>
      <c r="AV532" s="6242">
        <f t="shared" si="214"/>
        <v>0</v>
      </c>
      <c r="AW532" s="6188" cm="1">
        <f t="array" ref="AW532">IF(AK532&lt;&gt;1,0,IF(OR(AU532="",N(AU532)&lt;=0.000000001),"",IF(OR(AO532="",N(AO532)&lt;=0.000000001),0,IF(ISNUMBER(AU532),IFERROR(_xlfn.LET(_xlpm.ai_test,TRIM(AJ532),_xlpm.r,IFERROR(_xlfn.XLOOKUP(_xlpm.ai_test,$BJ$15:$BJ$62,ROW($BJ$15:$BJ$62),0,1),IFERROR(_xlfn.XLOOKUP(_xlpm.ai_test,$BK$15:$BK$62,ROW($BK$15:$BK$62),0,1),_xlfn.XLOOKUP(_xlpm.ai_test,$BL$15:$BL$62,ROW($BL$15:$BL$62),0,1))),_xlpm.p,_xlpm.r-MIN(ROW($BJ$15:$BJ$62))+1,_xlpm.f,INDEX($BM$15:$BM$62,_xlpm.p),_xlpm.u,INDEX($BN$15:$BN$62,_xlpm.p),_xlpm.s,INDEX($BP$15:$BP$62,_xlpm.p),_xlpm.q,N(AU532)/_xlpm.f,IF(_xlpm.q&gt;=_xlpm.s,ROUND(_xlpm.q,1)&amp;" "&amp;_xlpm.ai_test&amp;" = "&amp;ROUND(_xlpm.q*_xlpm.f,1)&amp;" "&amp;_xlpm.u,ROUND(_xlpm.q,1)&amp;" "&amp;_xlpm.ai_test)),""),""))))</f>
        <v>0</v>
      </c>
      <c r="AX532" s="6218"/>
      <c r="AY532" s="6271">
        <f t="shared" si="215"/>
        <v>0</v>
      </c>
      <c r="AZ532" s="6242" t="str">
        <f t="shared" si="216"/>
        <v/>
      </c>
      <c r="BA532" s="6194">
        <f t="shared" si="221"/>
        <v>0</v>
      </c>
      <c r="BB532" s="6192" t="str">
        <f t="shared" si="217"/>
        <v/>
      </c>
      <c r="BC532" s="6219"/>
      <c r="BD532" s="6221">
        <f t="shared" si="222"/>
        <v>0</v>
      </c>
      <c r="BE532" s="6220" t="str">
        <f t="shared" si="218"/>
        <v/>
      </c>
      <c r="BF532" s="4" t="s">
        <v>1</v>
      </c>
      <c r="BG532" s="6196">
        <f t="shared" si="219"/>
        <v>0</v>
      </c>
      <c r="BH532" s="6197">
        <f t="shared" si="220"/>
        <v>0</v>
      </c>
      <c r="BI532"/>
      <c r="BJ532" s="1"/>
      <c r="BK532" s="1"/>
      <c r="BL532" s="1"/>
      <c r="BM532" s="1"/>
      <c r="BN532" s="1"/>
      <c r="BO532" s="1"/>
      <c r="BP532" s="1"/>
      <c r="BQ532" s="1"/>
      <c r="BX532" s="20" t="str">
        <f t="shared" si="224"/>
        <v>►</v>
      </c>
      <c r="BY532" s="2"/>
      <c r="BZ532" s="2"/>
      <c r="CA532" s="2"/>
      <c r="CB532" s="2"/>
      <c r="CC532" s="2"/>
      <c r="DC532" s="5">
        <v>1</v>
      </c>
    </row>
    <row r="533" spans="12:107" ht="21" customHeight="1">
      <c r="L533" s="1021" t="s">
        <v>26</v>
      </c>
      <c r="M533" s="6787"/>
      <c r="N533" s="6787"/>
      <c r="O533" s="6787"/>
      <c r="P533" s="6788"/>
      <c r="Q533" s="6789"/>
      <c r="R533" s="6790"/>
      <c r="S533" s="6786"/>
      <c r="T533" s="6791"/>
      <c r="U533" s="6844"/>
      <c r="V533" s="6791"/>
      <c r="W533" s="6785"/>
      <c r="X533" s="6868"/>
      <c r="Y533" s="6793"/>
      <c r="Z533" s="6794"/>
      <c r="AA533" s="6795"/>
      <c r="AB533" s="6796"/>
      <c r="AC533" s="6797"/>
      <c r="AD533" s="6798"/>
      <c r="AE533" s="4" t="s">
        <v>1</v>
      </c>
      <c r="AF533" s="6202" t="str">
        <f t="shared" si="202"/>
        <v>►</v>
      </c>
      <c r="AG533" s="6234" t="str">
        <f t="shared" si="203"/>
        <v/>
      </c>
      <c r="AH533" s="6732" t="str">
        <f t="shared" si="204"/>
        <v/>
      </c>
      <c r="AI533" s="6234" t="str">
        <f t="shared" si="205"/>
        <v/>
      </c>
      <c r="AJ533" s="6732" t="str">
        <f t="shared" si="206"/>
        <v/>
      </c>
      <c r="AK533" s="6732">
        <f t="shared" si="207"/>
        <v>0</v>
      </c>
      <c r="AL533" s="6230" t="str" cm="1">
        <f t="array" ref="AL533">IF(AF533&lt;&gt;"A","",IFERROR((IFERROR(_xlfn.XLOOKUP(TRIM(SUBSTITUTE(U533,CHAR(160)," ")),$BJ$15:$BJ$62,$BM$15:$BM$62),IFERROR(_xlfn.XLOOKUP(TRIM(SUBSTITUTE(U533,CHAR(160)," ")),$BK$15:$BK$62,$BM$15:$BM$62),_xlfn.XLOOKUP(TRIM(SUBSTITUTE(U533,CHAR(160)," ")),$BL$15:$BL$62,$BM$15:$BM$62))))*T533*IF(ISBLANK(Q533),1,Q533)+IFERROR(_xlfn.XLOOKUP("RECHERCHEX",TRIM(L533:AD533),L533:AD533),0),0))</f>
        <v/>
      </c>
      <c r="AM533" s="6229">
        <f t="shared" si="208"/>
        <v>0</v>
      </c>
      <c r="AN533" s="6857" t="str">
        <f t="shared" si="223"/>
        <v/>
      </c>
      <c r="AO533" s="392">
        <f t="shared" si="209"/>
        <v>0</v>
      </c>
      <c r="AP533" s="392">
        <f t="shared" si="210"/>
        <v>0</v>
      </c>
      <c r="AQ533" s="6191">
        <f t="shared" si="211"/>
        <v>0</v>
      </c>
      <c r="AR533" s="6859" t="str">
        <f t="shared" si="212"/>
        <v/>
      </c>
      <c r="AS533" s="6217"/>
      <c r="AT533" s="6217"/>
      <c r="AU533" s="6272">
        <f t="shared" si="213"/>
        <v>0</v>
      </c>
      <c r="AV533" s="6240">
        <f t="shared" si="214"/>
        <v>0</v>
      </c>
      <c r="AW533" s="6189" cm="1">
        <f t="array" ref="AW533">IF(AK533&lt;&gt;1,0,IF(OR(AU533="",N(AU533)&lt;=0.000000001),"",IF(OR(AO533="",N(AO533)&lt;=0.000000001),0,IF(ISNUMBER(AU533),IFERROR(_xlfn.LET(_xlpm.ai_test,TRIM(AJ533),_xlpm.r,IFERROR(_xlfn.XLOOKUP(_xlpm.ai_test,$BJ$15:$BJ$62,ROW($BJ$15:$BJ$62),0,1),IFERROR(_xlfn.XLOOKUP(_xlpm.ai_test,$BK$15:$BK$62,ROW($BK$15:$BK$62),0,1),_xlfn.XLOOKUP(_xlpm.ai_test,$BL$15:$BL$62,ROW($BL$15:$BL$62),0,1))),_xlpm.p,_xlpm.r-MIN(ROW($BJ$15:$BJ$62))+1,_xlpm.f,INDEX($BM$15:$BM$62,_xlpm.p),_xlpm.u,INDEX($BN$15:$BN$62,_xlpm.p),_xlpm.s,INDEX($BP$15:$BP$62,_xlpm.p),_xlpm.q,N(AU533)/_xlpm.f,IF(_xlpm.q&gt;=_xlpm.s,ROUND(_xlpm.q,1)&amp;" "&amp;_xlpm.ai_test&amp;" = "&amp;ROUND(_xlpm.q*_xlpm.f,1)&amp;" "&amp;_xlpm.u,ROUND(_xlpm.q,1)&amp;" "&amp;_xlpm.ai_test)),""),""))))</f>
        <v>0</v>
      </c>
      <c r="AX533" s="6218"/>
      <c r="AY533" s="6272">
        <f t="shared" si="215"/>
        <v>0</v>
      </c>
      <c r="AZ533" s="6240" t="str">
        <f t="shared" si="216"/>
        <v/>
      </c>
      <c r="BA533" s="6195">
        <f t="shared" si="221"/>
        <v>0</v>
      </c>
      <c r="BB533" s="6193" t="str">
        <f t="shared" si="217"/>
        <v/>
      </c>
      <c r="BC533" s="6219"/>
      <c r="BD533" s="6222">
        <f t="shared" si="222"/>
        <v>0</v>
      </c>
      <c r="BE533" s="6220" t="str">
        <f t="shared" si="218"/>
        <v/>
      </c>
      <c r="BF533" s="4" t="s">
        <v>1</v>
      </c>
      <c r="BG533" s="6196">
        <f t="shared" si="219"/>
        <v>0</v>
      </c>
      <c r="BH533" s="6197">
        <f t="shared" si="220"/>
        <v>0</v>
      </c>
      <c r="BI533"/>
      <c r="BJ533" s="1"/>
      <c r="BK533" s="1"/>
      <c r="BL533" s="1"/>
      <c r="BM533" s="1"/>
      <c r="BN533" s="1"/>
      <c r="BO533" s="1"/>
      <c r="BP533" s="1"/>
      <c r="BQ533" s="1"/>
      <c r="BX533" s="20" t="str">
        <f t="shared" si="224"/>
        <v>►</v>
      </c>
      <c r="BY533" s="2"/>
      <c r="BZ533" s="2"/>
      <c r="CA533" s="2"/>
      <c r="CB533" s="2"/>
      <c r="CC533" s="2"/>
      <c r="DC533" s="5">
        <v>1</v>
      </c>
    </row>
    <row r="534" spans="12:107" ht="21" customHeight="1">
      <c r="L534" s="1021" t="s">
        <v>26</v>
      </c>
      <c r="M534" s="6787"/>
      <c r="N534" s="6787"/>
      <c r="O534" s="6787"/>
      <c r="P534" s="6788"/>
      <c r="Q534" s="6789"/>
      <c r="R534" s="6790"/>
      <c r="S534" s="6786"/>
      <c r="T534" s="6791"/>
      <c r="U534" s="6844"/>
      <c r="V534" s="6791"/>
      <c r="W534" s="6785"/>
      <c r="X534" s="6868"/>
      <c r="Y534" s="6793"/>
      <c r="Z534" s="6794"/>
      <c r="AA534" s="6795"/>
      <c r="AB534" s="6796"/>
      <c r="AC534" s="6797"/>
      <c r="AD534" s="6798"/>
      <c r="AE534" s="4" t="s">
        <v>1</v>
      </c>
      <c r="AF534" s="6202" t="str">
        <f t="shared" ref="AF534:AF549" si="225">IF(OR(AO534&gt;0,TRIM(AG534)="▼ recette suivante"),"A","►")</f>
        <v>►</v>
      </c>
      <c r="AG534" s="6234" t="str">
        <f t="shared" ref="AG534:AG549" si="226">IF(TRIM(Q534)="Adresse PC","▼ recette suivante",IF(AO534&gt;0,M534,""))</f>
        <v/>
      </c>
      <c r="AH534" s="6732" t="str">
        <f t="shared" ref="AH534:AH549" si="227">IF(AF534="A",N534,"")</f>
        <v/>
      </c>
      <c r="AI534" s="6234" t="str">
        <f t="shared" ref="AI534:AI549" si="228">IF(AF534="A",O534,"")</f>
        <v/>
      </c>
      <c r="AJ534" s="6732" t="str">
        <f t="shared" ref="AJ534:AJ549" si="229">IF(AF534="A",U534,"")</f>
        <v/>
      </c>
      <c r="AK534" s="6732">
        <f t="shared" ref="AK534:AK549" si="230">IF(AND(L534="A",COUNTIF($BJ$15:$BL$62,TRIM(U534))&gt;0),1,0)</f>
        <v>0</v>
      </c>
      <c r="AL534" s="6230" t="str" cm="1">
        <f t="array" ref="AL534">IF(AF534&lt;&gt;"A","",IFERROR((IFERROR(_xlfn.XLOOKUP(TRIM(SUBSTITUTE(U534,CHAR(160)," ")),$BJ$15:$BJ$62,$BM$15:$BM$62),IFERROR(_xlfn.XLOOKUP(TRIM(SUBSTITUTE(U534,CHAR(160)," ")),$BK$15:$BK$62,$BM$15:$BM$62),_xlfn.XLOOKUP(TRIM(SUBSTITUTE(U534,CHAR(160)," ")),$BL$15:$BL$62,$BM$15:$BM$62))))*T534*IF(ISBLANK(Q534),1,Q534)+IFERROR(_xlfn.XLOOKUP("RECHERCHEX",TRIM(L534:AD534),L534:AD534),0),0))</f>
        <v/>
      </c>
      <c r="AM534" s="6229">
        <f t="shared" ref="AM534:AM549" si="231">IF(AK534,IF(AL534&gt;0,"Kg",0),0)</f>
        <v>0</v>
      </c>
      <c r="AN534" s="6857" t="str">
        <f t="shared" si="223"/>
        <v/>
      </c>
      <c r="AO534" s="392">
        <f t="shared" ref="AO534:AO549" si="232">IF(AK534,N534,0)</f>
        <v>0</v>
      </c>
      <c r="AP534" s="392">
        <f t="shared" ref="AP534:AP549" si="233">IF(AK534,O534,0)</f>
        <v>0</v>
      </c>
      <c r="AQ534" s="6190">
        <f t="shared" ref="AQ534:AQ549" si="234">IF(AO534&gt;0,AS$9,0)</f>
        <v>0</v>
      </c>
      <c r="AR534" s="6858" t="str">
        <f t="shared" ref="AR534:AR549" si="235">IF(TRIM(AG534)="▼ recette suivante", AG534, IF(AQ534&gt;0, IF(AT$9&lt;&gt;"", AT$9&amp;"-ou.or.o ❾ + or - &gt;", ""), ""))</f>
        <v/>
      </c>
      <c r="AS534" s="6217"/>
      <c r="AT534" s="6217"/>
      <c r="AU534" s="6271">
        <f t="shared" ref="AU534:AU549" si="236">IF(TRIM(AM534)="Kg",N(AL534)*N(BH534),0)</f>
        <v>0</v>
      </c>
      <c r="AV534" s="6242">
        <f t="shared" ref="AV534:AV549" si="237">IF(AK534,IF(OR(AU534="",N(AU534)&lt;=0.000000001),"",_xlfn.XLOOKUP(AJ534,$BJ$15:$BJ$62,$BN$15:$BN$62,_xlfn.XLOOKUP(AJ534,$BK$15:$BK$62,$BN$15:$BN$62,_xlfn.XLOOKUP(AJ534,$BL$15:$BL$62,$BN$15:$BN$62,"")))),0)</f>
        <v>0</v>
      </c>
      <c r="AW534" s="6188" cm="1">
        <f t="array" ref="AW534">IF(AK534&lt;&gt;1,0,IF(OR(AU534="",N(AU534)&lt;=0.000000001),"",IF(OR(AO534="",N(AO534)&lt;=0.000000001),0,IF(ISNUMBER(AU534),IFERROR(_xlfn.LET(_xlpm.ai_test,TRIM(AJ534),_xlpm.r,IFERROR(_xlfn.XLOOKUP(_xlpm.ai_test,$BJ$15:$BJ$62,ROW($BJ$15:$BJ$62),0,1),IFERROR(_xlfn.XLOOKUP(_xlpm.ai_test,$BK$15:$BK$62,ROW($BK$15:$BK$62),0,1),_xlfn.XLOOKUP(_xlpm.ai_test,$BL$15:$BL$62,ROW($BL$15:$BL$62),0,1))),_xlpm.p,_xlpm.r-MIN(ROW($BJ$15:$BJ$62))+1,_xlpm.f,INDEX($BM$15:$BM$62,_xlpm.p),_xlpm.u,INDEX($BN$15:$BN$62,_xlpm.p),_xlpm.s,INDEX($BP$15:$BP$62,_xlpm.p),_xlpm.q,N(AU534)/_xlpm.f,IF(_xlpm.q&gt;=_xlpm.s,ROUND(_xlpm.q,1)&amp;" "&amp;_xlpm.ai_test&amp;" = "&amp;ROUND(_xlpm.q*_xlpm.f,1)&amp;" "&amp;_xlpm.u,ROUND(_xlpm.q,1)&amp;" "&amp;_xlpm.ai_test)),""),""))))</f>
        <v>0</v>
      </c>
      <c r="AX534" s="6218"/>
      <c r="AY534" s="6271">
        <f t="shared" ref="AY534:AY549" si="238">IF(TRIM(AG534)="▼ recette suivante","▼next recipe ",IF(AU534="","",IF(ISBLANK(AX534),AU534,ROUND(AU534*(1-MIN(1,MAX(0,IF(AX534&gt;1,AX534/100,AX534)))),3))))</f>
        <v>0</v>
      </c>
      <c r="AZ534" s="6242" t="str">
        <f t="shared" ref="AZ534:AZ549" si="239">IF(AK534,AV534,"")</f>
        <v/>
      </c>
      <c r="BA534" s="6194">
        <f t="shared" si="221"/>
        <v>0</v>
      </c>
      <c r="BB534" s="6192" t="str">
        <f t="shared" ref="BB534:BB549" si="240">IF(AK534,IF(N(BA534)&gt;0.000000001,R534,""),"")</f>
        <v/>
      </c>
      <c r="BC534" s="6219"/>
      <c r="BD534" s="6221">
        <f t="shared" si="222"/>
        <v>0</v>
      </c>
      <c r="BE534" s="6220" t="str">
        <f t="shared" ref="BE534:BE549" si="241">IF(IFERROR(SEARCH("Adresse PC",TRIM(Q534)),0)&gt;0,"▼ receta siguiente",IF(AY534&gt;0,W534,""))</f>
        <v/>
      </c>
      <c r="BF534" s="4" t="s">
        <v>1</v>
      </c>
      <c r="BG534" s="6196">
        <f t="shared" ref="BG534:BG549" si="242">IFERROR(_xlfn.LET(_xlpm.EPS,0.000000001,_xlpm.b,Q534/AO534,IF(ISNUMBER(AS534),_xlpm.b*AS534,IF(OR(ISBLANK(AS534),AS534=""),_xlpm.b*AQ534,IF(AND(BH534=0,ISNUMBER(Q534)),_xlpm.b/AQ534,0)))),0)</f>
        <v>0</v>
      </c>
      <c r="BH534" s="6197">
        <f t="shared" ref="BH534:BH549" si="243">IF(AL534&gt;0,IFERROR(IF(OR(ISBLANK(AS534),AS534=""),AQ534,AS534)/AO534,0),0)</f>
        <v>0</v>
      </c>
      <c r="BI534"/>
      <c r="BJ534" s="1"/>
      <c r="BK534" s="1"/>
      <c r="BL534" s="1"/>
      <c r="BM534" s="1"/>
      <c r="BN534" s="1"/>
      <c r="BO534" s="1"/>
      <c r="BP534" s="1"/>
      <c r="BQ534" s="1"/>
      <c r="BX534" s="20" t="str">
        <f t="shared" si="224"/>
        <v>►</v>
      </c>
      <c r="BY534" s="2"/>
      <c r="BZ534" s="2"/>
      <c r="CA534" s="2"/>
      <c r="CB534" s="2"/>
      <c r="CC534" s="2"/>
      <c r="DC534" s="5">
        <v>1</v>
      </c>
    </row>
    <row r="535" spans="12:107" ht="21" customHeight="1">
      <c r="L535" s="1021" t="s">
        <v>26</v>
      </c>
      <c r="M535" s="6787"/>
      <c r="N535" s="6787"/>
      <c r="O535" s="6787"/>
      <c r="P535" s="6788"/>
      <c r="Q535" s="6789"/>
      <c r="R535" s="6790"/>
      <c r="S535" s="6786"/>
      <c r="T535" s="6791"/>
      <c r="U535" s="6844"/>
      <c r="V535" s="6791"/>
      <c r="W535" s="6785"/>
      <c r="X535" s="6868"/>
      <c r="Y535" s="6793"/>
      <c r="Z535" s="6794"/>
      <c r="AA535" s="6795"/>
      <c r="AB535" s="6796"/>
      <c r="AC535" s="6797"/>
      <c r="AD535" s="6798"/>
      <c r="AE535" s="4" t="s">
        <v>1</v>
      </c>
      <c r="AF535" s="6202" t="str">
        <f t="shared" si="225"/>
        <v>►</v>
      </c>
      <c r="AG535" s="6234" t="str">
        <f t="shared" si="226"/>
        <v/>
      </c>
      <c r="AH535" s="6732" t="str">
        <f t="shared" si="227"/>
        <v/>
      </c>
      <c r="AI535" s="6234" t="str">
        <f t="shared" si="228"/>
        <v/>
      </c>
      <c r="AJ535" s="6732" t="str">
        <f t="shared" si="229"/>
        <v/>
      </c>
      <c r="AK535" s="6732">
        <f t="shared" si="230"/>
        <v>0</v>
      </c>
      <c r="AL535" s="6230" t="str" cm="1">
        <f t="array" ref="AL535">IF(AF535&lt;&gt;"A","",IFERROR((IFERROR(_xlfn.XLOOKUP(TRIM(SUBSTITUTE(U535,CHAR(160)," ")),$BJ$15:$BJ$62,$BM$15:$BM$62),IFERROR(_xlfn.XLOOKUP(TRIM(SUBSTITUTE(U535,CHAR(160)," ")),$BK$15:$BK$62,$BM$15:$BM$62),_xlfn.XLOOKUP(TRIM(SUBSTITUTE(U535,CHAR(160)," ")),$BL$15:$BL$62,$BM$15:$BM$62))))*T535*IF(ISBLANK(Q535),1,Q535)+IFERROR(_xlfn.XLOOKUP("RECHERCHEX",TRIM(L535:AD535),L535:AD535),0),0))</f>
        <v/>
      </c>
      <c r="AM535" s="6229">
        <f t="shared" si="231"/>
        <v>0</v>
      </c>
      <c r="AN535" s="6857" t="str">
        <f t="shared" si="223"/>
        <v/>
      </c>
      <c r="AO535" s="392">
        <f t="shared" si="232"/>
        <v>0</v>
      </c>
      <c r="AP535" s="392">
        <f t="shared" si="233"/>
        <v>0</v>
      </c>
      <c r="AQ535" s="6191">
        <f t="shared" si="234"/>
        <v>0</v>
      </c>
      <c r="AR535" s="6859" t="str">
        <f t="shared" si="235"/>
        <v/>
      </c>
      <c r="AS535" s="6217"/>
      <c r="AT535" s="6217"/>
      <c r="AU535" s="6272">
        <f t="shared" si="236"/>
        <v>0</v>
      </c>
      <c r="AV535" s="6240">
        <f t="shared" si="237"/>
        <v>0</v>
      </c>
      <c r="AW535" s="6189" cm="1">
        <f t="array" ref="AW535">IF(AK535&lt;&gt;1,0,IF(OR(AU535="",N(AU535)&lt;=0.000000001),"",IF(OR(AO535="",N(AO535)&lt;=0.000000001),0,IF(ISNUMBER(AU535),IFERROR(_xlfn.LET(_xlpm.ai_test,TRIM(AJ535),_xlpm.r,IFERROR(_xlfn.XLOOKUP(_xlpm.ai_test,$BJ$15:$BJ$62,ROW($BJ$15:$BJ$62),0,1),IFERROR(_xlfn.XLOOKUP(_xlpm.ai_test,$BK$15:$BK$62,ROW($BK$15:$BK$62),0,1),_xlfn.XLOOKUP(_xlpm.ai_test,$BL$15:$BL$62,ROW($BL$15:$BL$62),0,1))),_xlpm.p,_xlpm.r-MIN(ROW($BJ$15:$BJ$62))+1,_xlpm.f,INDEX($BM$15:$BM$62,_xlpm.p),_xlpm.u,INDEX($BN$15:$BN$62,_xlpm.p),_xlpm.s,INDEX($BP$15:$BP$62,_xlpm.p),_xlpm.q,N(AU535)/_xlpm.f,IF(_xlpm.q&gt;=_xlpm.s,ROUND(_xlpm.q,1)&amp;" "&amp;_xlpm.ai_test&amp;" = "&amp;ROUND(_xlpm.q*_xlpm.f,1)&amp;" "&amp;_xlpm.u,ROUND(_xlpm.q,1)&amp;" "&amp;_xlpm.ai_test)),""),""))))</f>
        <v>0</v>
      </c>
      <c r="AX535" s="6218"/>
      <c r="AY535" s="6272">
        <f t="shared" si="238"/>
        <v>0</v>
      </c>
      <c r="AZ535" s="6240" t="str">
        <f t="shared" si="239"/>
        <v/>
      </c>
      <c r="BA535" s="6195">
        <f t="shared" ref="BA535:BA549" si="244">IF(ISNUMBER(BG535),IF(ABS(BG535)&lt;=0.000000001,0,BG535),0)</f>
        <v>0</v>
      </c>
      <c r="BB535" s="6193" t="str">
        <f t="shared" si="240"/>
        <v/>
      </c>
      <c r="BC535" s="6219"/>
      <c r="BD535" s="6222">
        <f t="shared" si="222"/>
        <v>0</v>
      </c>
      <c r="BE535" s="6220" t="str">
        <f t="shared" si="241"/>
        <v/>
      </c>
      <c r="BF535" s="4" t="s">
        <v>1</v>
      </c>
      <c r="BG535" s="6196">
        <f t="shared" si="242"/>
        <v>0</v>
      </c>
      <c r="BH535" s="6197">
        <f t="shared" si="243"/>
        <v>0</v>
      </c>
      <c r="BI535"/>
      <c r="BJ535" s="1"/>
      <c r="BK535" s="1"/>
      <c r="BL535" s="1"/>
      <c r="BM535" s="1"/>
      <c r="BN535" s="1"/>
      <c r="BO535" s="1"/>
      <c r="BP535" s="1"/>
      <c r="BQ535" s="1"/>
      <c r="BX535" s="20" t="str">
        <f t="shared" si="224"/>
        <v>►</v>
      </c>
      <c r="BY535" s="2"/>
      <c r="BZ535" s="2"/>
      <c r="CA535" s="2"/>
      <c r="CB535" s="2"/>
      <c r="CC535" s="2"/>
      <c r="DC535" s="5">
        <v>1</v>
      </c>
    </row>
    <row r="536" spans="12:107" ht="21" customHeight="1">
      <c r="L536" s="1021" t="s">
        <v>26</v>
      </c>
      <c r="M536" s="6787"/>
      <c r="N536" s="6787"/>
      <c r="O536" s="6787"/>
      <c r="P536" s="6788"/>
      <c r="Q536" s="6789"/>
      <c r="R536" s="6790"/>
      <c r="S536" s="6786"/>
      <c r="T536" s="6791"/>
      <c r="U536" s="6844"/>
      <c r="V536" s="6791"/>
      <c r="W536" s="6785"/>
      <c r="X536" s="6868"/>
      <c r="Y536" s="6793"/>
      <c r="Z536" s="6794"/>
      <c r="AA536" s="6795"/>
      <c r="AB536" s="6796"/>
      <c r="AC536" s="6797"/>
      <c r="AD536" s="6798"/>
      <c r="AE536" s="4" t="s">
        <v>1</v>
      </c>
      <c r="AF536" s="6202" t="str">
        <f t="shared" si="225"/>
        <v>►</v>
      </c>
      <c r="AG536" s="6234" t="str">
        <f t="shared" si="226"/>
        <v/>
      </c>
      <c r="AH536" s="6732" t="str">
        <f t="shared" si="227"/>
        <v/>
      </c>
      <c r="AI536" s="6234" t="str">
        <f t="shared" si="228"/>
        <v/>
      </c>
      <c r="AJ536" s="6732" t="str">
        <f t="shared" si="229"/>
        <v/>
      </c>
      <c r="AK536" s="6732">
        <f t="shared" si="230"/>
        <v>0</v>
      </c>
      <c r="AL536" s="6230" t="str" cm="1">
        <f t="array" ref="AL536">IF(AF536&lt;&gt;"A","",IFERROR((IFERROR(_xlfn.XLOOKUP(TRIM(SUBSTITUTE(U536,CHAR(160)," ")),$BJ$15:$BJ$62,$BM$15:$BM$62),IFERROR(_xlfn.XLOOKUP(TRIM(SUBSTITUTE(U536,CHAR(160)," ")),$BK$15:$BK$62,$BM$15:$BM$62),_xlfn.XLOOKUP(TRIM(SUBSTITUTE(U536,CHAR(160)," ")),$BL$15:$BL$62,$BM$15:$BM$62))))*T536*IF(ISBLANK(Q536),1,Q536)+IFERROR(_xlfn.XLOOKUP("RECHERCHEX",TRIM(L536:AD536),L536:AD536),0),0))</f>
        <v/>
      </c>
      <c r="AM536" s="6229">
        <f t="shared" si="231"/>
        <v>0</v>
      </c>
      <c r="AN536" s="6857" t="str">
        <f t="shared" si="223"/>
        <v/>
      </c>
      <c r="AO536" s="392">
        <f t="shared" si="232"/>
        <v>0</v>
      </c>
      <c r="AP536" s="392">
        <f t="shared" si="233"/>
        <v>0</v>
      </c>
      <c r="AQ536" s="6190">
        <f t="shared" si="234"/>
        <v>0</v>
      </c>
      <c r="AR536" s="6858" t="str">
        <f t="shared" si="235"/>
        <v/>
      </c>
      <c r="AS536" s="6217"/>
      <c r="AT536" s="6217"/>
      <c r="AU536" s="6271">
        <f t="shared" si="236"/>
        <v>0</v>
      </c>
      <c r="AV536" s="6242">
        <f t="shared" si="237"/>
        <v>0</v>
      </c>
      <c r="AW536" s="6188" cm="1">
        <f t="array" ref="AW536">IF(AK536&lt;&gt;1,0,IF(OR(AU536="",N(AU536)&lt;=0.000000001),"",IF(OR(AO536="",N(AO536)&lt;=0.000000001),0,IF(ISNUMBER(AU536),IFERROR(_xlfn.LET(_xlpm.ai_test,TRIM(AJ536),_xlpm.r,IFERROR(_xlfn.XLOOKUP(_xlpm.ai_test,$BJ$15:$BJ$62,ROW($BJ$15:$BJ$62),0,1),IFERROR(_xlfn.XLOOKUP(_xlpm.ai_test,$BK$15:$BK$62,ROW($BK$15:$BK$62),0,1),_xlfn.XLOOKUP(_xlpm.ai_test,$BL$15:$BL$62,ROW($BL$15:$BL$62),0,1))),_xlpm.p,_xlpm.r-MIN(ROW($BJ$15:$BJ$62))+1,_xlpm.f,INDEX($BM$15:$BM$62,_xlpm.p),_xlpm.u,INDEX($BN$15:$BN$62,_xlpm.p),_xlpm.s,INDEX($BP$15:$BP$62,_xlpm.p),_xlpm.q,N(AU536)/_xlpm.f,IF(_xlpm.q&gt;=_xlpm.s,ROUND(_xlpm.q,1)&amp;" "&amp;_xlpm.ai_test&amp;" = "&amp;ROUND(_xlpm.q*_xlpm.f,1)&amp;" "&amp;_xlpm.u,ROUND(_xlpm.q,1)&amp;" "&amp;_xlpm.ai_test)),""),""))))</f>
        <v>0</v>
      </c>
      <c r="AX536" s="6218"/>
      <c r="AY536" s="6271">
        <f t="shared" si="238"/>
        <v>0</v>
      </c>
      <c r="AZ536" s="6242" t="str">
        <f t="shared" si="239"/>
        <v/>
      </c>
      <c r="BA536" s="6194">
        <f t="shared" si="244"/>
        <v>0</v>
      </c>
      <c r="BB536" s="6192" t="str">
        <f t="shared" si="240"/>
        <v/>
      </c>
      <c r="BC536" s="6219"/>
      <c r="BD536" s="6221">
        <f t="shared" si="222"/>
        <v>0</v>
      </c>
      <c r="BE536" s="6220" t="str">
        <f t="shared" si="241"/>
        <v/>
      </c>
      <c r="BF536" s="4" t="s">
        <v>1</v>
      </c>
      <c r="BG536" s="6196">
        <f t="shared" si="242"/>
        <v>0</v>
      </c>
      <c r="BH536" s="6197">
        <f t="shared" si="243"/>
        <v>0</v>
      </c>
      <c r="BI536"/>
      <c r="BJ536" s="1"/>
      <c r="BK536" s="1"/>
      <c r="BL536" s="1"/>
      <c r="BM536" s="1"/>
      <c r="BN536" s="1"/>
      <c r="BO536" s="1"/>
      <c r="BP536" s="1"/>
      <c r="BQ536" s="1"/>
      <c r="BX536" s="20" t="str">
        <f t="shared" si="224"/>
        <v>►</v>
      </c>
      <c r="BY536" s="2"/>
      <c r="BZ536" s="2"/>
      <c r="CA536" s="2"/>
      <c r="CB536" s="2"/>
      <c r="CC536" s="2"/>
      <c r="DC536" s="5">
        <v>1</v>
      </c>
    </row>
    <row r="537" spans="12:107" ht="21" customHeight="1">
      <c r="L537" s="1021" t="s">
        <v>26</v>
      </c>
      <c r="M537" s="6787"/>
      <c r="N537" s="6787"/>
      <c r="O537" s="6787"/>
      <c r="P537" s="6788"/>
      <c r="Q537" s="6789"/>
      <c r="R537" s="6790"/>
      <c r="S537" s="6786"/>
      <c r="T537" s="6791"/>
      <c r="U537" s="6844"/>
      <c r="V537" s="6791"/>
      <c r="W537" s="6785"/>
      <c r="X537" s="6868"/>
      <c r="Y537" s="6793"/>
      <c r="Z537" s="6794"/>
      <c r="AA537" s="6795"/>
      <c r="AB537" s="6796"/>
      <c r="AC537" s="6797"/>
      <c r="AD537" s="6798"/>
      <c r="AE537" s="4" t="s">
        <v>1</v>
      </c>
      <c r="AF537" s="6202" t="str">
        <f t="shared" si="225"/>
        <v>►</v>
      </c>
      <c r="AG537" s="6234" t="str">
        <f t="shared" si="226"/>
        <v/>
      </c>
      <c r="AH537" s="6732" t="str">
        <f t="shared" si="227"/>
        <v/>
      </c>
      <c r="AI537" s="6234" t="str">
        <f t="shared" si="228"/>
        <v/>
      </c>
      <c r="AJ537" s="6732" t="str">
        <f t="shared" si="229"/>
        <v/>
      </c>
      <c r="AK537" s="6732">
        <f t="shared" si="230"/>
        <v>0</v>
      </c>
      <c r="AL537" s="6230" t="str" cm="1">
        <f t="array" ref="AL537">IF(AF537&lt;&gt;"A","",IFERROR((IFERROR(_xlfn.XLOOKUP(TRIM(SUBSTITUTE(U537,CHAR(160)," ")),$BJ$15:$BJ$62,$BM$15:$BM$62),IFERROR(_xlfn.XLOOKUP(TRIM(SUBSTITUTE(U537,CHAR(160)," ")),$BK$15:$BK$62,$BM$15:$BM$62),_xlfn.XLOOKUP(TRIM(SUBSTITUTE(U537,CHAR(160)," ")),$BL$15:$BL$62,$BM$15:$BM$62))))*T537*IF(ISBLANK(Q537),1,Q537)+IFERROR(_xlfn.XLOOKUP("RECHERCHEX",TRIM(L537:AD537),L537:AD537),0),0))</f>
        <v/>
      </c>
      <c r="AM537" s="6229">
        <f t="shared" si="231"/>
        <v>0</v>
      </c>
      <c r="AN537" s="6857" t="str">
        <f t="shared" si="223"/>
        <v/>
      </c>
      <c r="AO537" s="392">
        <f t="shared" si="232"/>
        <v>0</v>
      </c>
      <c r="AP537" s="392">
        <f t="shared" si="233"/>
        <v>0</v>
      </c>
      <c r="AQ537" s="6191">
        <f t="shared" si="234"/>
        <v>0</v>
      </c>
      <c r="AR537" s="6859" t="str">
        <f t="shared" si="235"/>
        <v/>
      </c>
      <c r="AS537" s="6217"/>
      <c r="AT537" s="6217"/>
      <c r="AU537" s="6272">
        <f t="shared" si="236"/>
        <v>0</v>
      </c>
      <c r="AV537" s="6240">
        <f t="shared" si="237"/>
        <v>0</v>
      </c>
      <c r="AW537" s="6189" cm="1">
        <f t="array" ref="AW537">IF(AK537&lt;&gt;1,0,IF(OR(AU537="",N(AU537)&lt;=0.000000001),"",IF(OR(AO537="",N(AO537)&lt;=0.000000001),0,IF(ISNUMBER(AU537),IFERROR(_xlfn.LET(_xlpm.ai_test,TRIM(AJ537),_xlpm.r,IFERROR(_xlfn.XLOOKUP(_xlpm.ai_test,$BJ$15:$BJ$62,ROW($BJ$15:$BJ$62),0,1),IFERROR(_xlfn.XLOOKUP(_xlpm.ai_test,$BK$15:$BK$62,ROW($BK$15:$BK$62),0,1),_xlfn.XLOOKUP(_xlpm.ai_test,$BL$15:$BL$62,ROW($BL$15:$BL$62),0,1))),_xlpm.p,_xlpm.r-MIN(ROW($BJ$15:$BJ$62))+1,_xlpm.f,INDEX($BM$15:$BM$62,_xlpm.p),_xlpm.u,INDEX($BN$15:$BN$62,_xlpm.p),_xlpm.s,INDEX($BP$15:$BP$62,_xlpm.p),_xlpm.q,N(AU537)/_xlpm.f,IF(_xlpm.q&gt;=_xlpm.s,ROUND(_xlpm.q,1)&amp;" "&amp;_xlpm.ai_test&amp;" = "&amp;ROUND(_xlpm.q*_xlpm.f,1)&amp;" "&amp;_xlpm.u,ROUND(_xlpm.q,1)&amp;" "&amp;_xlpm.ai_test)),""),""))))</f>
        <v>0</v>
      </c>
      <c r="AX537" s="6218"/>
      <c r="AY537" s="6272">
        <f t="shared" si="238"/>
        <v>0</v>
      </c>
      <c r="AZ537" s="6240" t="str">
        <f t="shared" si="239"/>
        <v/>
      </c>
      <c r="BA537" s="6195">
        <f t="shared" si="244"/>
        <v>0</v>
      </c>
      <c r="BB537" s="6193" t="str">
        <f t="shared" si="240"/>
        <v/>
      </c>
      <c r="BC537" s="6219"/>
      <c r="BD537" s="6222">
        <f t="shared" si="222"/>
        <v>0</v>
      </c>
      <c r="BE537" s="6220" t="str">
        <f t="shared" si="241"/>
        <v/>
      </c>
      <c r="BF537" s="4" t="s">
        <v>1</v>
      </c>
      <c r="BG537" s="6196">
        <f t="shared" si="242"/>
        <v>0</v>
      </c>
      <c r="BH537" s="6197">
        <f t="shared" si="243"/>
        <v>0</v>
      </c>
      <c r="BI537"/>
      <c r="BJ537" s="1"/>
      <c r="BK537" s="1"/>
      <c r="BL537" s="1"/>
      <c r="BM537" s="1"/>
      <c r="BN537" s="1"/>
      <c r="BO537" s="1"/>
      <c r="BP537" s="1"/>
      <c r="BQ537" s="1"/>
      <c r="BX537" s="20" t="str">
        <f t="shared" si="224"/>
        <v>►</v>
      </c>
      <c r="BY537" s="2"/>
      <c r="BZ537" s="2"/>
      <c r="CA537" s="2"/>
      <c r="CB537" s="2"/>
      <c r="CC537" s="2"/>
      <c r="DC537" s="5">
        <v>1</v>
      </c>
    </row>
    <row r="538" spans="12:107" ht="21" customHeight="1">
      <c r="L538" s="1021" t="s">
        <v>26</v>
      </c>
      <c r="M538" s="6787"/>
      <c r="N538" s="6787"/>
      <c r="O538" s="6787"/>
      <c r="P538" s="6788"/>
      <c r="Q538" s="6789"/>
      <c r="R538" s="6790"/>
      <c r="S538" s="6786"/>
      <c r="T538" s="6791"/>
      <c r="U538" s="6844"/>
      <c r="V538" s="6791"/>
      <c r="W538" s="6785"/>
      <c r="X538" s="6868"/>
      <c r="Y538" s="6793"/>
      <c r="Z538" s="6794"/>
      <c r="AA538" s="6795"/>
      <c r="AB538" s="6796"/>
      <c r="AC538" s="6797"/>
      <c r="AD538" s="6798"/>
      <c r="AE538" s="4" t="s">
        <v>1</v>
      </c>
      <c r="AF538" s="6202" t="str">
        <f t="shared" si="225"/>
        <v>►</v>
      </c>
      <c r="AG538" s="6234" t="str">
        <f t="shared" si="226"/>
        <v/>
      </c>
      <c r="AH538" s="6732" t="str">
        <f t="shared" si="227"/>
        <v/>
      </c>
      <c r="AI538" s="6234" t="str">
        <f t="shared" si="228"/>
        <v/>
      </c>
      <c r="AJ538" s="6732" t="str">
        <f t="shared" si="229"/>
        <v/>
      </c>
      <c r="AK538" s="6732">
        <f t="shared" si="230"/>
        <v>0</v>
      </c>
      <c r="AL538" s="6230" t="str" cm="1">
        <f t="array" ref="AL538">IF(AF538&lt;&gt;"A","",IFERROR((IFERROR(_xlfn.XLOOKUP(TRIM(SUBSTITUTE(U538,CHAR(160)," ")),$BJ$15:$BJ$62,$BM$15:$BM$62),IFERROR(_xlfn.XLOOKUP(TRIM(SUBSTITUTE(U538,CHAR(160)," ")),$BK$15:$BK$62,$BM$15:$BM$62),_xlfn.XLOOKUP(TRIM(SUBSTITUTE(U538,CHAR(160)," ")),$BL$15:$BL$62,$BM$15:$BM$62))))*T538*IF(ISBLANK(Q538),1,Q538)+IFERROR(_xlfn.XLOOKUP("RECHERCHEX",TRIM(L538:AD538),L538:AD538),0),0))</f>
        <v/>
      </c>
      <c r="AM538" s="6229">
        <f t="shared" si="231"/>
        <v>0</v>
      </c>
      <c r="AN538" s="6857" t="str">
        <f t="shared" si="223"/>
        <v/>
      </c>
      <c r="AO538" s="392">
        <f t="shared" si="232"/>
        <v>0</v>
      </c>
      <c r="AP538" s="392">
        <f t="shared" si="233"/>
        <v>0</v>
      </c>
      <c r="AQ538" s="6190">
        <f t="shared" si="234"/>
        <v>0</v>
      </c>
      <c r="AR538" s="6858" t="str">
        <f t="shared" si="235"/>
        <v/>
      </c>
      <c r="AS538" s="6217"/>
      <c r="AT538" s="6217"/>
      <c r="AU538" s="6271">
        <f t="shared" si="236"/>
        <v>0</v>
      </c>
      <c r="AV538" s="6242">
        <f t="shared" si="237"/>
        <v>0</v>
      </c>
      <c r="AW538" s="6188" cm="1">
        <f t="array" ref="AW538">IF(AK538&lt;&gt;1,0,IF(OR(AU538="",N(AU538)&lt;=0.000000001),"",IF(OR(AO538="",N(AO538)&lt;=0.000000001),0,IF(ISNUMBER(AU538),IFERROR(_xlfn.LET(_xlpm.ai_test,TRIM(AJ538),_xlpm.r,IFERROR(_xlfn.XLOOKUP(_xlpm.ai_test,$BJ$15:$BJ$62,ROW($BJ$15:$BJ$62),0,1),IFERROR(_xlfn.XLOOKUP(_xlpm.ai_test,$BK$15:$BK$62,ROW($BK$15:$BK$62),0,1),_xlfn.XLOOKUP(_xlpm.ai_test,$BL$15:$BL$62,ROW($BL$15:$BL$62),0,1))),_xlpm.p,_xlpm.r-MIN(ROW($BJ$15:$BJ$62))+1,_xlpm.f,INDEX($BM$15:$BM$62,_xlpm.p),_xlpm.u,INDEX($BN$15:$BN$62,_xlpm.p),_xlpm.s,INDEX($BP$15:$BP$62,_xlpm.p),_xlpm.q,N(AU538)/_xlpm.f,IF(_xlpm.q&gt;=_xlpm.s,ROUND(_xlpm.q,1)&amp;" "&amp;_xlpm.ai_test&amp;" = "&amp;ROUND(_xlpm.q*_xlpm.f,1)&amp;" "&amp;_xlpm.u,ROUND(_xlpm.q,1)&amp;" "&amp;_xlpm.ai_test)),""),""))))</f>
        <v>0</v>
      </c>
      <c r="AX538" s="6218"/>
      <c r="AY538" s="6271">
        <f t="shared" si="238"/>
        <v>0</v>
      </c>
      <c r="AZ538" s="6242" t="str">
        <f t="shared" si="239"/>
        <v/>
      </c>
      <c r="BA538" s="6194">
        <f t="shared" si="244"/>
        <v>0</v>
      </c>
      <c r="BB538" s="6192" t="str">
        <f t="shared" si="240"/>
        <v/>
      </c>
      <c r="BC538" s="6219"/>
      <c r="BD538" s="6221">
        <f t="shared" si="222"/>
        <v>0</v>
      </c>
      <c r="BE538" s="6220" t="str">
        <f t="shared" si="241"/>
        <v/>
      </c>
      <c r="BF538" s="4" t="s">
        <v>1</v>
      </c>
      <c r="BG538" s="6196">
        <f t="shared" si="242"/>
        <v>0</v>
      </c>
      <c r="BH538" s="6197">
        <f t="shared" si="243"/>
        <v>0</v>
      </c>
      <c r="BI538"/>
      <c r="BJ538" s="1"/>
      <c r="BK538" s="1"/>
      <c r="BL538" s="1"/>
      <c r="BM538" s="1"/>
      <c r="BN538" s="1"/>
      <c r="BO538" s="1"/>
      <c r="BP538" s="1"/>
      <c r="BQ538" s="1"/>
      <c r="BX538" s="20" t="str">
        <f t="shared" si="224"/>
        <v>►</v>
      </c>
      <c r="BY538" s="2"/>
      <c r="BZ538" s="2"/>
      <c r="CA538" s="2"/>
      <c r="CB538" s="2"/>
      <c r="CC538" s="2"/>
      <c r="DC538" s="5">
        <v>1</v>
      </c>
    </row>
    <row r="539" spans="12:107" ht="21" customHeight="1">
      <c r="L539" s="1021" t="s">
        <v>26</v>
      </c>
      <c r="M539" s="6787"/>
      <c r="N539" s="6787"/>
      <c r="O539" s="6787"/>
      <c r="P539" s="6788"/>
      <c r="Q539" s="6789"/>
      <c r="R539" s="6790"/>
      <c r="S539" s="6786"/>
      <c r="T539" s="6791"/>
      <c r="U539" s="6844"/>
      <c r="V539" s="6791"/>
      <c r="W539" s="6785"/>
      <c r="X539" s="6868"/>
      <c r="Y539" s="6793"/>
      <c r="Z539" s="6794"/>
      <c r="AA539" s="6795"/>
      <c r="AB539" s="6796"/>
      <c r="AC539" s="6797"/>
      <c r="AD539" s="6798"/>
      <c r="AE539" s="4" t="s">
        <v>1</v>
      </c>
      <c r="AF539" s="6202" t="str">
        <f t="shared" si="225"/>
        <v>►</v>
      </c>
      <c r="AG539" s="6234" t="str">
        <f t="shared" si="226"/>
        <v/>
      </c>
      <c r="AH539" s="6732" t="str">
        <f t="shared" si="227"/>
        <v/>
      </c>
      <c r="AI539" s="6234" t="str">
        <f t="shared" si="228"/>
        <v/>
      </c>
      <c r="AJ539" s="6732" t="str">
        <f t="shared" si="229"/>
        <v/>
      </c>
      <c r="AK539" s="6732">
        <f t="shared" si="230"/>
        <v>0</v>
      </c>
      <c r="AL539" s="6230" t="str" cm="1">
        <f t="array" ref="AL539">IF(AF539&lt;&gt;"A","",IFERROR((IFERROR(_xlfn.XLOOKUP(TRIM(SUBSTITUTE(U539,CHAR(160)," ")),$BJ$15:$BJ$62,$BM$15:$BM$62),IFERROR(_xlfn.XLOOKUP(TRIM(SUBSTITUTE(U539,CHAR(160)," ")),$BK$15:$BK$62,$BM$15:$BM$62),_xlfn.XLOOKUP(TRIM(SUBSTITUTE(U539,CHAR(160)," ")),$BL$15:$BL$62,$BM$15:$BM$62))))*T539*IF(ISBLANK(Q539),1,Q539)+IFERROR(_xlfn.XLOOKUP("RECHERCHEX",TRIM(L539:AD539),L539:AD539),0),0))</f>
        <v/>
      </c>
      <c r="AM539" s="6229">
        <f t="shared" si="231"/>
        <v>0</v>
      </c>
      <c r="AN539" s="6857" t="str">
        <f t="shared" si="223"/>
        <v/>
      </c>
      <c r="AO539" s="392">
        <f t="shared" si="232"/>
        <v>0</v>
      </c>
      <c r="AP539" s="392">
        <f t="shared" si="233"/>
        <v>0</v>
      </c>
      <c r="AQ539" s="6191">
        <f t="shared" si="234"/>
        <v>0</v>
      </c>
      <c r="AR539" s="6859" t="str">
        <f t="shared" si="235"/>
        <v/>
      </c>
      <c r="AS539" s="6217"/>
      <c r="AT539" s="6217"/>
      <c r="AU539" s="6272">
        <f t="shared" si="236"/>
        <v>0</v>
      </c>
      <c r="AV539" s="6240">
        <f t="shared" si="237"/>
        <v>0</v>
      </c>
      <c r="AW539" s="6189" cm="1">
        <f t="array" ref="AW539">IF(AK539&lt;&gt;1,0,IF(OR(AU539="",N(AU539)&lt;=0.000000001),"",IF(OR(AO539="",N(AO539)&lt;=0.000000001),0,IF(ISNUMBER(AU539),IFERROR(_xlfn.LET(_xlpm.ai_test,TRIM(AJ539),_xlpm.r,IFERROR(_xlfn.XLOOKUP(_xlpm.ai_test,$BJ$15:$BJ$62,ROW($BJ$15:$BJ$62),0,1),IFERROR(_xlfn.XLOOKUP(_xlpm.ai_test,$BK$15:$BK$62,ROW($BK$15:$BK$62),0,1),_xlfn.XLOOKUP(_xlpm.ai_test,$BL$15:$BL$62,ROW($BL$15:$BL$62),0,1))),_xlpm.p,_xlpm.r-MIN(ROW($BJ$15:$BJ$62))+1,_xlpm.f,INDEX($BM$15:$BM$62,_xlpm.p),_xlpm.u,INDEX($BN$15:$BN$62,_xlpm.p),_xlpm.s,INDEX($BP$15:$BP$62,_xlpm.p),_xlpm.q,N(AU539)/_xlpm.f,IF(_xlpm.q&gt;=_xlpm.s,ROUND(_xlpm.q,1)&amp;" "&amp;_xlpm.ai_test&amp;" = "&amp;ROUND(_xlpm.q*_xlpm.f,1)&amp;" "&amp;_xlpm.u,ROUND(_xlpm.q,1)&amp;" "&amp;_xlpm.ai_test)),""),""))))</f>
        <v>0</v>
      </c>
      <c r="AX539" s="6218"/>
      <c r="AY539" s="6272">
        <f t="shared" si="238"/>
        <v>0</v>
      </c>
      <c r="AZ539" s="6240" t="str">
        <f t="shared" si="239"/>
        <v/>
      </c>
      <c r="BA539" s="6195">
        <f t="shared" si="244"/>
        <v>0</v>
      </c>
      <c r="BB539" s="6193" t="str">
        <f t="shared" si="240"/>
        <v/>
      </c>
      <c r="BC539" s="6219"/>
      <c r="BD539" s="6222">
        <f t="shared" ref="BD539:BD549" si="245">IF(OR(AO539=0,ISBLANK(BC539),ISTEXT(BA539)),0,(IF(AU539=0,BA539,AU539)*BC539))</f>
        <v>0</v>
      </c>
      <c r="BE539" s="6220" t="str">
        <f t="shared" si="241"/>
        <v/>
      </c>
      <c r="BF539" s="4" t="s">
        <v>1</v>
      </c>
      <c r="BG539" s="6196">
        <f t="shared" si="242"/>
        <v>0</v>
      </c>
      <c r="BH539" s="6197">
        <f t="shared" si="243"/>
        <v>0</v>
      </c>
      <c r="BI539"/>
      <c r="BJ539" s="1"/>
      <c r="BK539" s="1"/>
      <c r="BL539" s="1"/>
      <c r="BM539" s="1"/>
      <c r="BN539" s="1"/>
      <c r="BO539" s="1"/>
      <c r="BP539" s="1"/>
      <c r="BQ539" s="1"/>
      <c r="BX539" s="20" t="str">
        <f t="shared" si="224"/>
        <v>►</v>
      </c>
      <c r="BY539" s="2"/>
      <c r="BZ539" s="2"/>
      <c r="CA539" s="2"/>
      <c r="CB539" s="2"/>
      <c r="CC539" s="2"/>
      <c r="DC539" s="5">
        <v>1</v>
      </c>
    </row>
    <row r="540" spans="12:107" ht="21" customHeight="1">
      <c r="L540" s="1021" t="s">
        <v>26</v>
      </c>
      <c r="M540" s="6787"/>
      <c r="N540" s="6787"/>
      <c r="O540" s="6787"/>
      <c r="P540" s="6788"/>
      <c r="Q540" s="6789"/>
      <c r="R540" s="6790"/>
      <c r="S540" s="6786"/>
      <c r="T540" s="6791"/>
      <c r="U540" s="6844"/>
      <c r="V540" s="6791"/>
      <c r="W540" s="6785"/>
      <c r="X540" s="6868"/>
      <c r="Y540" s="6793"/>
      <c r="Z540" s="6794"/>
      <c r="AA540" s="6795"/>
      <c r="AB540" s="6796"/>
      <c r="AC540" s="6797"/>
      <c r="AD540" s="6798"/>
      <c r="AE540" s="4" t="s">
        <v>1</v>
      </c>
      <c r="AF540" s="6202" t="str">
        <f t="shared" si="225"/>
        <v>►</v>
      </c>
      <c r="AG540" s="6234" t="str">
        <f t="shared" si="226"/>
        <v/>
      </c>
      <c r="AH540" s="6732" t="str">
        <f t="shared" si="227"/>
        <v/>
      </c>
      <c r="AI540" s="6234" t="str">
        <f t="shared" si="228"/>
        <v/>
      </c>
      <c r="AJ540" s="6732" t="str">
        <f t="shared" si="229"/>
        <v/>
      </c>
      <c r="AK540" s="6732">
        <f t="shared" si="230"/>
        <v>0</v>
      </c>
      <c r="AL540" s="6230" t="str" cm="1">
        <f t="array" ref="AL540">IF(AF540&lt;&gt;"A","",IFERROR((IFERROR(_xlfn.XLOOKUP(TRIM(SUBSTITUTE(U540,CHAR(160)," ")),$BJ$15:$BJ$62,$BM$15:$BM$62),IFERROR(_xlfn.XLOOKUP(TRIM(SUBSTITUTE(U540,CHAR(160)," ")),$BK$15:$BK$62,$BM$15:$BM$62),_xlfn.XLOOKUP(TRIM(SUBSTITUTE(U540,CHAR(160)," ")),$BL$15:$BL$62,$BM$15:$BM$62))))*T540*IF(ISBLANK(Q540),1,Q540)+IFERROR(_xlfn.XLOOKUP("RECHERCHEX",TRIM(L540:AD540),L540:AD540),0),0))</f>
        <v/>
      </c>
      <c r="AM540" s="6229">
        <f t="shared" si="231"/>
        <v>0</v>
      </c>
      <c r="AN540" s="6857" t="str">
        <f t="shared" si="223"/>
        <v/>
      </c>
      <c r="AO540" s="392">
        <f t="shared" si="232"/>
        <v>0</v>
      </c>
      <c r="AP540" s="392">
        <f t="shared" si="233"/>
        <v>0</v>
      </c>
      <c r="AQ540" s="6190">
        <f t="shared" si="234"/>
        <v>0</v>
      </c>
      <c r="AR540" s="6858" t="str">
        <f t="shared" si="235"/>
        <v/>
      </c>
      <c r="AS540" s="6217"/>
      <c r="AT540" s="6217"/>
      <c r="AU540" s="6271">
        <f t="shared" si="236"/>
        <v>0</v>
      </c>
      <c r="AV540" s="6242">
        <f t="shared" si="237"/>
        <v>0</v>
      </c>
      <c r="AW540" s="6188" cm="1">
        <f t="array" ref="AW540">IF(AK540&lt;&gt;1,0,IF(OR(AU540="",N(AU540)&lt;=0.000000001),"",IF(OR(AO540="",N(AO540)&lt;=0.000000001),0,IF(ISNUMBER(AU540),IFERROR(_xlfn.LET(_xlpm.ai_test,TRIM(AJ540),_xlpm.r,IFERROR(_xlfn.XLOOKUP(_xlpm.ai_test,$BJ$15:$BJ$62,ROW($BJ$15:$BJ$62),0,1),IFERROR(_xlfn.XLOOKUP(_xlpm.ai_test,$BK$15:$BK$62,ROW($BK$15:$BK$62),0,1),_xlfn.XLOOKUP(_xlpm.ai_test,$BL$15:$BL$62,ROW($BL$15:$BL$62),0,1))),_xlpm.p,_xlpm.r-MIN(ROW($BJ$15:$BJ$62))+1,_xlpm.f,INDEX($BM$15:$BM$62,_xlpm.p),_xlpm.u,INDEX($BN$15:$BN$62,_xlpm.p),_xlpm.s,INDEX($BP$15:$BP$62,_xlpm.p),_xlpm.q,N(AU540)/_xlpm.f,IF(_xlpm.q&gt;=_xlpm.s,ROUND(_xlpm.q,1)&amp;" "&amp;_xlpm.ai_test&amp;" = "&amp;ROUND(_xlpm.q*_xlpm.f,1)&amp;" "&amp;_xlpm.u,ROUND(_xlpm.q,1)&amp;" "&amp;_xlpm.ai_test)),""),""))))</f>
        <v>0</v>
      </c>
      <c r="AX540" s="6218"/>
      <c r="AY540" s="6271">
        <f t="shared" si="238"/>
        <v>0</v>
      </c>
      <c r="AZ540" s="6242" t="str">
        <f t="shared" si="239"/>
        <v/>
      </c>
      <c r="BA540" s="6194">
        <f t="shared" si="244"/>
        <v>0</v>
      </c>
      <c r="BB540" s="6192" t="str">
        <f t="shared" si="240"/>
        <v/>
      </c>
      <c r="BC540" s="6219"/>
      <c r="BD540" s="6221">
        <f t="shared" si="245"/>
        <v>0</v>
      </c>
      <c r="BE540" s="6220" t="str">
        <f t="shared" si="241"/>
        <v/>
      </c>
      <c r="BF540" s="4" t="s">
        <v>1</v>
      </c>
      <c r="BG540" s="6196">
        <f t="shared" si="242"/>
        <v>0</v>
      </c>
      <c r="BH540" s="6197">
        <f t="shared" si="243"/>
        <v>0</v>
      </c>
      <c r="BI540"/>
      <c r="BJ540" s="1"/>
      <c r="BK540" s="1"/>
      <c r="BL540" s="1"/>
      <c r="BM540" s="1"/>
      <c r="BN540" s="1"/>
      <c r="BO540" s="1"/>
      <c r="BP540" s="1"/>
      <c r="BQ540" s="1"/>
      <c r="BX540" s="20" t="str">
        <f t="shared" si="224"/>
        <v>►</v>
      </c>
      <c r="BY540" s="2"/>
      <c r="BZ540" s="2"/>
      <c r="CA540" s="2"/>
      <c r="CB540" s="2"/>
      <c r="CC540" s="2"/>
      <c r="DC540" s="5">
        <v>1</v>
      </c>
    </row>
    <row r="541" spans="12:107" ht="21" customHeight="1">
      <c r="L541" s="1021" t="s">
        <v>26</v>
      </c>
      <c r="M541" s="6787"/>
      <c r="N541" s="6787"/>
      <c r="O541" s="6787"/>
      <c r="P541" s="6788"/>
      <c r="Q541" s="6789"/>
      <c r="R541" s="6790"/>
      <c r="S541" s="6786"/>
      <c r="T541" s="6791"/>
      <c r="U541" s="6844"/>
      <c r="V541" s="6791"/>
      <c r="W541" s="6785"/>
      <c r="X541" s="6868"/>
      <c r="Y541" s="6793"/>
      <c r="Z541" s="6794"/>
      <c r="AA541" s="6795"/>
      <c r="AB541" s="6796"/>
      <c r="AC541" s="6797"/>
      <c r="AD541" s="6798"/>
      <c r="AE541" s="4" t="s">
        <v>1</v>
      </c>
      <c r="AF541" s="6202" t="str">
        <f t="shared" si="225"/>
        <v>►</v>
      </c>
      <c r="AG541" s="6234" t="str">
        <f t="shared" si="226"/>
        <v/>
      </c>
      <c r="AH541" s="6732" t="str">
        <f t="shared" si="227"/>
        <v/>
      </c>
      <c r="AI541" s="6234" t="str">
        <f t="shared" si="228"/>
        <v/>
      </c>
      <c r="AJ541" s="6732" t="str">
        <f t="shared" si="229"/>
        <v/>
      </c>
      <c r="AK541" s="6732">
        <f t="shared" si="230"/>
        <v>0</v>
      </c>
      <c r="AL541" s="6230" t="str" cm="1">
        <f t="array" ref="AL541">IF(AF541&lt;&gt;"A","",IFERROR((IFERROR(_xlfn.XLOOKUP(TRIM(SUBSTITUTE(U541,CHAR(160)," ")),$BJ$15:$BJ$62,$BM$15:$BM$62),IFERROR(_xlfn.XLOOKUP(TRIM(SUBSTITUTE(U541,CHAR(160)," ")),$BK$15:$BK$62,$BM$15:$BM$62),_xlfn.XLOOKUP(TRIM(SUBSTITUTE(U541,CHAR(160)," ")),$BL$15:$BL$62,$BM$15:$BM$62))))*T541*IF(ISBLANK(Q541),1,Q541)+IFERROR(_xlfn.XLOOKUP("RECHERCHEX",TRIM(L541:AD541),L541:AD541),0),0))</f>
        <v/>
      </c>
      <c r="AM541" s="6229">
        <f t="shared" si="231"/>
        <v>0</v>
      </c>
      <c r="AN541" s="6857" t="str">
        <f t="shared" si="223"/>
        <v/>
      </c>
      <c r="AO541" s="392">
        <f t="shared" si="232"/>
        <v>0</v>
      </c>
      <c r="AP541" s="392">
        <f t="shared" si="233"/>
        <v>0</v>
      </c>
      <c r="AQ541" s="6191">
        <f t="shared" si="234"/>
        <v>0</v>
      </c>
      <c r="AR541" s="6859" t="str">
        <f t="shared" si="235"/>
        <v/>
      </c>
      <c r="AS541" s="6217"/>
      <c r="AT541" s="6217"/>
      <c r="AU541" s="6272">
        <f t="shared" si="236"/>
        <v>0</v>
      </c>
      <c r="AV541" s="6240">
        <f t="shared" si="237"/>
        <v>0</v>
      </c>
      <c r="AW541" s="6189" cm="1">
        <f t="array" ref="AW541">IF(AK541&lt;&gt;1,0,IF(OR(AU541="",N(AU541)&lt;=0.000000001),"",IF(OR(AO541="",N(AO541)&lt;=0.000000001),0,IF(ISNUMBER(AU541),IFERROR(_xlfn.LET(_xlpm.ai_test,TRIM(AJ541),_xlpm.r,IFERROR(_xlfn.XLOOKUP(_xlpm.ai_test,$BJ$15:$BJ$62,ROW($BJ$15:$BJ$62),0,1),IFERROR(_xlfn.XLOOKUP(_xlpm.ai_test,$BK$15:$BK$62,ROW($BK$15:$BK$62),0,1),_xlfn.XLOOKUP(_xlpm.ai_test,$BL$15:$BL$62,ROW($BL$15:$BL$62),0,1))),_xlpm.p,_xlpm.r-MIN(ROW($BJ$15:$BJ$62))+1,_xlpm.f,INDEX($BM$15:$BM$62,_xlpm.p),_xlpm.u,INDEX($BN$15:$BN$62,_xlpm.p),_xlpm.s,INDEX($BP$15:$BP$62,_xlpm.p),_xlpm.q,N(AU541)/_xlpm.f,IF(_xlpm.q&gt;=_xlpm.s,ROUND(_xlpm.q,1)&amp;" "&amp;_xlpm.ai_test&amp;" = "&amp;ROUND(_xlpm.q*_xlpm.f,1)&amp;" "&amp;_xlpm.u,ROUND(_xlpm.q,1)&amp;" "&amp;_xlpm.ai_test)),""),""))))</f>
        <v>0</v>
      </c>
      <c r="AX541" s="6218"/>
      <c r="AY541" s="6272">
        <f t="shared" si="238"/>
        <v>0</v>
      </c>
      <c r="AZ541" s="6240" t="str">
        <f t="shared" si="239"/>
        <v/>
      </c>
      <c r="BA541" s="6195">
        <f t="shared" si="244"/>
        <v>0</v>
      </c>
      <c r="BB541" s="6193" t="str">
        <f t="shared" si="240"/>
        <v/>
      </c>
      <c r="BC541" s="6219"/>
      <c r="BD541" s="6222">
        <f t="shared" si="245"/>
        <v>0</v>
      </c>
      <c r="BE541" s="6220" t="str">
        <f t="shared" si="241"/>
        <v/>
      </c>
      <c r="BF541" s="4" t="s">
        <v>1</v>
      </c>
      <c r="BG541" s="6196">
        <f t="shared" si="242"/>
        <v>0</v>
      </c>
      <c r="BH541" s="6197">
        <f t="shared" si="243"/>
        <v>0</v>
      </c>
      <c r="BI541"/>
      <c r="BJ541" s="1"/>
      <c r="BK541" s="1"/>
      <c r="BL541" s="1"/>
      <c r="BM541" s="1"/>
      <c r="BN541" s="1"/>
      <c r="BO541" s="1"/>
      <c r="BP541" s="1"/>
      <c r="BQ541" s="1"/>
      <c r="BX541" s="20" t="str">
        <f t="shared" si="224"/>
        <v>►</v>
      </c>
      <c r="BY541" s="2"/>
      <c r="BZ541" s="2"/>
      <c r="CA541" s="2"/>
      <c r="CB541" s="2"/>
      <c r="CC541" s="2"/>
      <c r="DC541" s="5">
        <v>1</v>
      </c>
    </row>
    <row r="542" spans="12:107" ht="21" customHeight="1">
      <c r="L542" s="1021" t="s">
        <v>26</v>
      </c>
      <c r="M542" s="6787"/>
      <c r="N542" s="6787"/>
      <c r="O542" s="6787"/>
      <c r="P542" s="6788"/>
      <c r="Q542" s="6789"/>
      <c r="R542" s="6790"/>
      <c r="S542" s="6786"/>
      <c r="T542" s="6791"/>
      <c r="U542" s="6844"/>
      <c r="V542" s="6791"/>
      <c r="W542" s="6785"/>
      <c r="X542" s="6868"/>
      <c r="Y542" s="6793"/>
      <c r="Z542" s="6794"/>
      <c r="AA542" s="6795"/>
      <c r="AB542" s="6796"/>
      <c r="AC542" s="6797"/>
      <c r="AD542" s="6798"/>
      <c r="AE542" s="4" t="s">
        <v>1</v>
      </c>
      <c r="AF542" s="6202" t="str">
        <f t="shared" si="225"/>
        <v>►</v>
      </c>
      <c r="AG542" s="6234" t="str">
        <f t="shared" si="226"/>
        <v/>
      </c>
      <c r="AH542" s="6732" t="str">
        <f t="shared" si="227"/>
        <v/>
      </c>
      <c r="AI542" s="6234" t="str">
        <f t="shared" si="228"/>
        <v/>
      </c>
      <c r="AJ542" s="6732" t="str">
        <f t="shared" si="229"/>
        <v/>
      </c>
      <c r="AK542" s="6732">
        <f t="shared" si="230"/>
        <v>0</v>
      </c>
      <c r="AL542" s="6230" t="str" cm="1">
        <f t="array" ref="AL542">IF(AF542&lt;&gt;"A","",IFERROR((IFERROR(_xlfn.XLOOKUP(TRIM(SUBSTITUTE(U542,CHAR(160)," ")),$BJ$15:$BJ$62,$BM$15:$BM$62),IFERROR(_xlfn.XLOOKUP(TRIM(SUBSTITUTE(U542,CHAR(160)," ")),$BK$15:$BK$62,$BM$15:$BM$62),_xlfn.XLOOKUP(TRIM(SUBSTITUTE(U542,CHAR(160)," ")),$BL$15:$BL$62,$BM$15:$BM$62))))*T542*IF(ISBLANK(Q542),1,Q542)+IFERROR(_xlfn.XLOOKUP("RECHERCHEX",TRIM(L542:AD542),L542:AD542),0),0))</f>
        <v/>
      </c>
      <c r="AM542" s="6229">
        <f t="shared" si="231"/>
        <v>0</v>
      </c>
      <c r="AN542" s="6857" t="str">
        <f t="shared" ref="AN542:AN549" si="246">IF(AF542="A","❾ Author reference &gt;","")</f>
        <v/>
      </c>
      <c r="AO542" s="392">
        <f t="shared" si="232"/>
        <v>0</v>
      </c>
      <c r="AP542" s="392">
        <f t="shared" si="233"/>
        <v>0</v>
      </c>
      <c r="AQ542" s="6190">
        <f t="shared" si="234"/>
        <v>0</v>
      </c>
      <c r="AR542" s="6858" t="str">
        <f t="shared" si="235"/>
        <v/>
      </c>
      <c r="AS542" s="6217"/>
      <c r="AT542" s="6217"/>
      <c r="AU542" s="6271">
        <f t="shared" si="236"/>
        <v>0</v>
      </c>
      <c r="AV542" s="6242">
        <f t="shared" si="237"/>
        <v>0</v>
      </c>
      <c r="AW542" s="6188" cm="1">
        <f t="array" ref="AW542">IF(AK542&lt;&gt;1,0,IF(OR(AU542="",N(AU542)&lt;=0.000000001),"",IF(OR(AO542="",N(AO542)&lt;=0.000000001),0,IF(ISNUMBER(AU542),IFERROR(_xlfn.LET(_xlpm.ai_test,TRIM(AJ542),_xlpm.r,IFERROR(_xlfn.XLOOKUP(_xlpm.ai_test,$BJ$15:$BJ$62,ROW($BJ$15:$BJ$62),0,1),IFERROR(_xlfn.XLOOKUP(_xlpm.ai_test,$BK$15:$BK$62,ROW($BK$15:$BK$62),0,1),_xlfn.XLOOKUP(_xlpm.ai_test,$BL$15:$BL$62,ROW($BL$15:$BL$62),0,1))),_xlpm.p,_xlpm.r-MIN(ROW($BJ$15:$BJ$62))+1,_xlpm.f,INDEX($BM$15:$BM$62,_xlpm.p),_xlpm.u,INDEX($BN$15:$BN$62,_xlpm.p),_xlpm.s,INDEX($BP$15:$BP$62,_xlpm.p),_xlpm.q,N(AU542)/_xlpm.f,IF(_xlpm.q&gt;=_xlpm.s,ROUND(_xlpm.q,1)&amp;" "&amp;_xlpm.ai_test&amp;" = "&amp;ROUND(_xlpm.q*_xlpm.f,1)&amp;" "&amp;_xlpm.u,ROUND(_xlpm.q,1)&amp;" "&amp;_xlpm.ai_test)),""),""))))</f>
        <v>0</v>
      </c>
      <c r="AX542" s="6218"/>
      <c r="AY542" s="6271">
        <f t="shared" si="238"/>
        <v>0</v>
      </c>
      <c r="AZ542" s="6242" t="str">
        <f t="shared" si="239"/>
        <v/>
      </c>
      <c r="BA542" s="6194">
        <f t="shared" si="244"/>
        <v>0</v>
      </c>
      <c r="BB542" s="6192" t="str">
        <f t="shared" si="240"/>
        <v/>
      </c>
      <c r="BC542" s="6219"/>
      <c r="BD542" s="6221">
        <f t="shared" si="245"/>
        <v>0</v>
      </c>
      <c r="BE542" s="6220" t="str">
        <f t="shared" si="241"/>
        <v/>
      </c>
      <c r="BF542" s="4" t="s">
        <v>1</v>
      </c>
      <c r="BG542" s="6196">
        <f t="shared" si="242"/>
        <v>0</v>
      </c>
      <c r="BH542" s="6197">
        <f t="shared" si="243"/>
        <v>0</v>
      </c>
      <c r="BI542"/>
      <c r="BJ542" s="1"/>
      <c r="BK542" s="1"/>
      <c r="BL542" s="1"/>
      <c r="BM542" s="1"/>
      <c r="BN542" s="1"/>
      <c r="BO542" s="1"/>
      <c r="BP542" s="1"/>
      <c r="BQ542" s="1"/>
      <c r="BX542" s="20" t="str">
        <f t="shared" si="224"/>
        <v>►</v>
      </c>
      <c r="BY542" s="2"/>
      <c r="BZ542" s="2"/>
      <c r="CA542" s="2"/>
      <c r="CB542" s="2"/>
      <c r="CC542" s="2"/>
      <c r="DC542" s="5">
        <v>1</v>
      </c>
    </row>
    <row r="543" spans="12:107" ht="21" customHeight="1">
      <c r="L543" s="1021" t="s">
        <v>26</v>
      </c>
      <c r="M543" s="6787"/>
      <c r="N543" s="6787"/>
      <c r="O543" s="6787"/>
      <c r="P543" s="6788"/>
      <c r="Q543" s="6789"/>
      <c r="R543" s="6790"/>
      <c r="S543" s="6786"/>
      <c r="T543" s="6791"/>
      <c r="U543" s="6844"/>
      <c r="V543" s="6791"/>
      <c r="W543" s="6785"/>
      <c r="X543" s="6868"/>
      <c r="Y543" s="6793"/>
      <c r="Z543" s="6794"/>
      <c r="AA543" s="6795"/>
      <c r="AB543" s="6796"/>
      <c r="AC543" s="6797"/>
      <c r="AD543" s="6798"/>
      <c r="AE543" s="4" t="s">
        <v>1</v>
      </c>
      <c r="AF543" s="6202" t="str">
        <f t="shared" si="225"/>
        <v>►</v>
      </c>
      <c r="AG543" s="6234" t="str">
        <f t="shared" si="226"/>
        <v/>
      </c>
      <c r="AH543" s="6732" t="str">
        <f t="shared" si="227"/>
        <v/>
      </c>
      <c r="AI543" s="6234" t="str">
        <f t="shared" si="228"/>
        <v/>
      </c>
      <c r="AJ543" s="6732" t="str">
        <f t="shared" si="229"/>
        <v/>
      </c>
      <c r="AK543" s="6732">
        <f t="shared" si="230"/>
        <v>0</v>
      </c>
      <c r="AL543" s="6230" t="str" cm="1">
        <f t="array" ref="AL543">IF(AF543&lt;&gt;"A","",IFERROR((IFERROR(_xlfn.XLOOKUP(TRIM(SUBSTITUTE(U543,CHAR(160)," ")),$BJ$15:$BJ$62,$BM$15:$BM$62),IFERROR(_xlfn.XLOOKUP(TRIM(SUBSTITUTE(U543,CHAR(160)," ")),$BK$15:$BK$62,$BM$15:$BM$62),_xlfn.XLOOKUP(TRIM(SUBSTITUTE(U543,CHAR(160)," ")),$BL$15:$BL$62,$BM$15:$BM$62))))*T543*IF(ISBLANK(Q543),1,Q543)+IFERROR(_xlfn.XLOOKUP("RECHERCHEX",TRIM(L543:AD543),L543:AD543),0),0))</f>
        <v/>
      </c>
      <c r="AM543" s="6229">
        <f t="shared" si="231"/>
        <v>0</v>
      </c>
      <c r="AN543" s="6857" t="str">
        <f t="shared" si="246"/>
        <v/>
      </c>
      <c r="AO543" s="392">
        <f t="shared" si="232"/>
        <v>0</v>
      </c>
      <c r="AP543" s="392">
        <f t="shared" si="233"/>
        <v>0</v>
      </c>
      <c r="AQ543" s="6191">
        <f t="shared" si="234"/>
        <v>0</v>
      </c>
      <c r="AR543" s="6859" t="str">
        <f t="shared" si="235"/>
        <v/>
      </c>
      <c r="AS543" s="6217"/>
      <c r="AT543" s="6217"/>
      <c r="AU543" s="6272">
        <f t="shared" si="236"/>
        <v>0</v>
      </c>
      <c r="AV543" s="6240">
        <f t="shared" si="237"/>
        <v>0</v>
      </c>
      <c r="AW543" s="6189" cm="1">
        <f t="array" ref="AW543">IF(AK543&lt;&gt;1,0,IF(OR(AU543="",N(AU543)&lt;=0.000000001),"",IF(OR(AO543="",N(AO543)&lt;=0.000000001),0,IF(ISNUMBER(AU543),IFERROR(_xlfn.LET(_xlpm.ai_test,TRIM(AJ543),_xlpm.r,IFERROR(_xlfn.XLOOKUP(_xlpm.ai_test,$BJ$15:$BJ$62,ROW($BJ$15:$BJ$62),0,1),IFERROR(_xlfn.XLOOKUP(_xlpm.ai_test,$BK$15:$BK$62,ROW($BK$15:$BK$62),0,1),_xlfn.XLOOKUP(_xlpm.ai_test,$BL$15:$BL$62,ROW($BL$15:$BL$62),0,1))),_xlpm.p,_xlpm.r-MIN(ROW($BJ$15:$BJ$62))+1,_xlpm.f,INDEX($BM$15:$BM$62,_xlpm.p),_xlpm.u,INDEX($BN$15:$BN$62,_xlpm.p),_xlpm.s,INDEX($BP$15:$BP$62,_xlpm.p),_xlpm.q,N(AU543)/_xlpm.f,IF(_xlpm.q&gt;=_xlpm.s,ROUND(_xlpm.q,1)&amp;" "&amp;_xlpm.ai_test&amp;" = "&amp;ROUND(_xlpm.q*_xlpm.f,1)&amp;" "&amp;_xlpm.u,ROUND(_xlpm.q,1)&amp;" "&amp;_xlpm.ai_test)),""),""))))</f>
        <v>0</v>
      </c>
      <c r="AX543" s="6218"/>
      <c r="AY543" s="6272">
        <f t="shared" si="238"/>
        <v>0</v>
      </c>
      <c r="AZ543" s="6240" t="str">
        <f t="shared" si="239"/>
        <v/>
      </c>
      <c r="BA543" s="6195">
        <f t="shared" si="244"/>
        <v>0</v>
      </c>
      <c r="BB543" s="6193" t="str">
        <f t="shared" si="240"/>
        <v/>
      </c>
      <c r="BC543" s="6219"/>
      <c r="BD543" s="6222">
        <f t="shared" si="245"/>
        <v>0</v>
      </c>
      <c r="BE543" s="6220" t="str">
        <f t="shared" si="241"/>
        <v/>
      </c>
      <c r="BF543" s="4" t="s">
        <v>1</v>
      </c>
      <c r="BG543" s="6196">
        <f t="shared" si="242"/>
        <v>0</v>
      </c>
      <c r="BH543" s="6197">
        <f t="shared" si="243"/>
        <v>0</v>
      </c>
      <c r="BI543"/>
      <c r="BJ543" s="1"/>
      <c r="BK543" s="1"/>
      <c r="BL543" s="1"/>
      <c r="BM543" s="1"/>
      <c r="BN543" s="1"/>
      <c r="BO543" s="1"/>
      <c r="BP543" s="1"/>
      <c r="BQ543" s="1"/>
      <c r="BX543" s="20" t="str">
        <f t="shared" si="224"/>
        <v>►</v>
      </c>
      <c r="BY543" s="2"/>
      <c r="BZ543" s="2"/>
      <c r="CA543" s="2"/>
      <c r="CB543" s="2"/>
      <c r="CC543" s="2"/>
      <c r="DC543" s="5">
        <v>1</v>
      </c>
    </row>
    <row r="544" spans="12:107" ht="21" customHeight="1">
      <c r="L544" s="1021" t="s">
        <v>26</v>
      </c>
      <c r="M544" s="6787"/>
      <c r="N544" s="6787"/>
      <c r="O544" s="6787"/>
      <c r="P544" s="6788"/>
      <c r="Q544" s="6789"/>
      <c r="R544" s="6790"/>
      <c r="S544" s="6786"/>
      <c r="T544" s="6791"/>
      <c r="U544" s="6844"/>
      <c r="V544" s="6791"/>
      <c r="W544" s="6785"/>
      <c r="X544" s="6868"/>
      <c r="Y544" s="6793"/>
      <c r="Z544" s="6794"/>
      <c r="AA544" s="6795"/>
      <c r="AB544" s="6796"/>
      <c r="AC544" s="6797"/>
      <c r="AD544" s="6798"/>
      <c r="AE544" s="4" t="s">
        <v>1</v>
      </c>
      <c r="AF544" s="6202" t="str">
        <f t="shared" si="225"/>
        <v>►</v>
      </c>
      <c r="AG544" s="6234" t="str">
        <f t="shared" si="226"/>
        <v/>
      </c>
      <c r="AH544" s="6732" t="str">
        <f t="shared" si="227"/>
        <v/>
      </c>
      <c r="AI544" s="6234" t="str">
        <f t="shared" si="228"/>
        <v/>
      </c>
      <c r="AJ544" s="6732" t="str">
        <f t="shared" si="229"/>
        <v/>
      </c>
      <c r="AK544" s="6732">
        <f t="shared" si="230"/>
        <v>0</v>
      </c>
      <c r="AL544" s="6230" t="str" cm="1">
        <f t="array" ref="AL544">IF(AF544&lt;&gt;"A","",IFERROR((IFERROR(_xlfn.XLOOKUP(TRIM(SUBSTITUTE(U544,CHAR(160)," ")),$BJ$15:$BJ$62,$BM$15:$BM$62),IFERROR(_xlfn.XLOOKUP(TRIM(SUBSTITUTE(U544,CHAR(160)," ")),$BK$15:$BK$62,$BM$15:$BM$62),_xlfn.XLOOKUP(TRIM(SUBSTITUTE(U544,CHAR(160)," ")),$BL$15:$BL$62,$BM$15:$BM$62))))*T544*IF(ISBLANK(Q544),1,Q544)+IFERROR(_xlfn.XLOOKUP("RECHERCHEX",TRIM(L544:AD544),L544:AD544),0),0))</f>
        <v/>
      </c>
      <c r="AM544" s="6229">
        <f t="shared" si="231"/>
        <v>0</v>
      </c>
      <c r="AN544" s="6857" t="str">
        <f t="shared" si="246"/>
        <v/>
      </c>
      <c r="AO544" s="392">
        <f t="shared" si="232"/>
        <v>0</v>
      </c>
      <c r="AP544" s="392">
        <f t="shared" si="233"/>
        <v>0</v>
      </c>
      <c r="AQ544" s="6190">
        <f t="shared" si="234"/>
        <v>0</v>
      </c>
      <c r="AR544" s="6858" t="str">
        <f t="shared" si="235"/>
        <v/>
      </c>
      <c r="AS544" s="6217"/>
      <c r="AT544" s="6217"/>
      <c r="AU544" s="6271">
        <f t="shared" si="236"/>
        <v>0</v>
      </c>
      <c r="AV544" s="6242">
        <f t="shared" si="237"/>
        <v>0</v>
      </c>
      <c r="AW544" s="6188" cm="1">
        <f t="array" ref="AW544">IF(AK544&lt;&gt;1,0,IF(OR(AU544="",N(AU544)&lt;=0.000000001),"",IF(OR(AO544="",N(AO544)&lt;=0.000000001),0,IF(ISNUMBER(AU544),IFERROR(_xlfn.LET(_xlpm.ai_test,TRIM(AJ544),_xlpm.r,IFERROR(_xlfn.XLOOKUP(_xlpm.ai_test,$BJ$15:$BJ$62,ROW($BJ$15:$BJ$62),0,1),IFERROR(_xlfn.XLOOKUP(_xlpm.ai_test,$BK$15:$BK$62,ROW($BK$15:$BK$62),0,1),_xlfn.XLOOKUP(_xlpm.ai_test,$BL$15:$BL$62,ROW($BL$15:$BL$62),0,1))),_xlpm.p,_xlpm.r-MIN(ROW($BJ$15:$BJ$62))+1,_xlpm.f,INDEX($BM$15:$BM$62,_xlpm.p),_xlpm.u,INDEX($BN$15:$BN$62,_xlpm.p),_xlpm.s,INDEX($BP$15:$BP$62,_xlpm.p),_xlpm.q,N(AU544)/_xlpm.f,IF(_xlpm.q&gt;=_xlpm.s,ROUND(_xlpm.q,1)&amp;" "&amp;_xlpm.ai_test&amp;" = "&amp;ROUND(_xlpm.q*_xlpm.f,1)&amp;" "&amp;_xlpm.u,ROUND(_xlpm.q,1)&amp;" "&amp;_xlpm.ai_test)),""),""))))</f>
        <v>0</v>
      </c>
      <c r="AX544" s="6218"/>
      <c r="AY544" s="6271">
        <f t="shared" si="238"/>
        <v>0</v>
      </c>
      <c r="AZ544" s="6242" t="str">
        <f t="shared" si="239"/>
        <v/>
      </c>
      <c r="BA544" s="6194">
        <f t="shared" si="244"/>
        <v>0</v>
      </c>
      <c r="BB544" s="6192" t="str">
        <f t="shared" si="240"/>
        <v/>
      </c>
      <c r="BC544" s="6219"/>
      <c r="BD544" s="6221">
        <f t="shared" si="245"/>
        <v>0</v>
      </c>
      <c r="BE544" s="6220" t="str">
        <f t="shared" si="241"/>
        <v/>
      </c>
      <c r="BF544" s="4" t="s">
        <v>1</v>
      </c>
      <c r="BG544" s="6196">
        <f t="shared" si="242"/>
        <v>0</v>
      </c>
      <c r="BH544" s="6197">
        <f t="shared" si="243"/>
        <v>0</v>
      </c>
      <c r="BI544"/>
      <c r="BJ544" s="1"/>
      <c r="BK544" s="1"/>
      <c r="BL544" s="1"/>
      <c r="BM544" s="1"/>
      <c r="BN544" s="1"/>
      <c r="BO544" s="1"/>
      <c r="BP544" s="1"/>
      <c r="BQ544" s="1"/>
      <c r="BX544" s="20" t="str">
        <f t="shared" si="224"/>
        <v>►</v>
      </c>
      <c r="BY544" s="2"/>
      <c r="BZ544" s="2"/>
      <c r="CA544" s="2"/>
      <c r="CB544" s="2"/>
      <c r="CC544" s="2"/>
      <c r="DC544" s="5">
        <v>1</v>
      </c>
    </row>
    <row r="545" spans="1:109" ht="21" customHeight="1">
      <c r="L545" s="1021" t="s">
        <v>26</v>
      </c>
      <c r="M545" s="6787"/>
      <c r="N545" s="6787"/>
      <c r="O545" s="6787"/>
      <c r="P545" s="6788"/>
      <c r="Q545" s="6789"/>
      <c r="R545" s="6790"/>
      <c r="S545" s="6786"/>
      <c r="T545" s="6791"/>
      <c r="U545" s="6844"/>
      <c r="V545" s="6791"/>
      <c r="W545" s="6785"/>
      <c r="X545" s="6868"/>
      <c r="Y545" s="6793"/>
      <c r="Z545" s="6794"/>
      <c r="AA545" s="6795"/>
      <c r="AB545" s="6796"/>
      <c r="AC545" s="6797"/>
      <c r="AD545" s="6798"/>
      <c r="AE545" s="4" t="s">
        <v>1</v>
      </c>
      <c r="AF545" s="6202" t="str">
        <f t="shared" si="225"/>
        <v>►</v>
      </c>
      <c r="AG545" s="6234" t="str">
        <f t="shared" si="226"/>
        <v/>
      </c>
      <c r="AH545" s="6732" t="str">
        <f t="shared" si="227"/>
        <v/>
      </c>
      <c r="AI545" s="6234" t="str">
        <f t="shared" si="228"/>
        <v/>
      </c>
      <c r="AJ545" s="6732" t="str">
        <f t="shared" si="229"/>
        <v/>
      </c>
      <c r="AK545" s="6732">
        <f t="shared" si="230"/>
        <v>0</v>
      </c>
      <c r="AL545" s="6230" t="str" cm="1">
        <f t="array" ref="AL545">IF(AF545&lt;&gt;"A","",IFERROR((IFERROR(_xlfn.XLOOKUP(TRIM(SUBSTITUTE(U545,CHAR(160)," ")),$BJ$15:$BJ$62,$BM$15:$BM$62),IFERROR(_xlfn.XLOOKUP(TRIM(SUBSTITUTE(U545,CHAR(160)," ")),$BK$15:$BK$62,$BM$15:$BM$62),_xlfn.XLOOKUP(TRIM(SUBSTITUTE(U545,CHAR(160)," ")),$BL$15:$BL$62,$BM$15:$BM$62))))*T545*IF(ISBLANK(Q545),1,Q545)+IFERROR(_xlfn.XLOOKUP("RECHERCHEX",TRIM(L545:AD545),L545:AD545),0),0))</f>
        <v/>
      </c>
      <c r="AM545" s="6229">
        <f t="shared" si="231"/>
        <v>0</v>
      </c>
      <c r="AN545" s="6857" t="str">
        <f t="shared" si="246"/>
        <v/>
      </c>
      <c r="AO545" s="392">
        <f t="shared" si="232"/>
        <v>0</v>
      </c>
      <c r="AP545" s="392">
        <f t="shared" si="233"/>
        <v>0</v>
      </c>
      <c r="AQ545" s="6191">
        <f t="shared" si="234"/>
        <v>0</v>
      </c>
      <c r="AR545" s="6859" t="str">
        <f t="shared" si="235"/>
        <v/>
      </c>
      <c r="AS545" s="6217"/>
      <c r="AT545" s="6217"/>
      <c r="AU545" s="6272">
        <f t="shared" si="236"/>
        <v>0</v>
      </c>
      <c r="AV545" s="6240">
        <f t="shared" si="237"/>
        <v>0</v>
      </c>
      <c r="AW545" s="6189" cm="1">
        <f t="array" ref="AW545">IF(AK545&lt;&gt;1,0,IF(OR(AU545="",N(AU545)&lt;=0.000000001),"",IF(OR(AO545="",N(AO545)&lt;=0.000000001),0,IF(ISNUMBER(AU545),IFERROR(_xlfn.LET(_xlpm.ai_test,TRIM(AJ545),_xlpm.r,IFERROR(_xlfn.XLOOKUP(_xlpm.ai_test,$BJ$15:$BJ$62,ROW($BJ$15:$BJ$62),0,1),IFERROR(_xlfn.XLOOKUP(_xlpm.ai_test,$BK$15:$BK$62,ROW($BK$15:$BK$62),0,1),_xlfn.XLOOKUP(_xlpm.ai_test,$BL$15:$BL$62,ROW($BL$15:$BL$62),0,1))),_xlpm.p,_xlpm.r-MIN(ROW($BJ$15:$BJ$62))+1,_xlpm.f,INDEX($BM$15:$BM$62,_xlpm.p),_xlpm.u,INDEX($BN$15:$BN$62,_xlpm.p),_xlpm.s,INDEX($BP$15:$BP$62,_xlpm.p),_xlpm.q,N(AU545)/_xlpm.f,IF(_xlpm.q&gt;=_xlpm.s,ROUND(_xlpm.q,1)&amp;" "&amp;_xlpm.ai_test&amp;" = "&amp;ROUND(_xlpm.q*_xlpm.f,1)&amp;" "&amp;_xlpm.u,ROUND(_xlpm.q,1)&amp;" "&amp;_xlpm.ai_test)),""),""))))</f>
        <v>0</v>
      </c>
      <c r="AX545" s="6218"/>
      <c r="AY545" s="6272">
        <f t="shared" si="238"/>
        <v>0</v>
      </c>
      <c r="AZ545" s="6240" t="str">
        <f t="shared" si="239"/>
        <v/>
      </c>
      <c r="BA545" s="6195">
        <f t="shared" si="244"/>
        <v>0</v>
      </c>
      <c r="BB545" s="6193" t="str">
        <f t="shared" si="240"/>
        <v/>
      </c>
      <c r="BC545" s="6219"/>
      <c r="BD545" s="6222">
        <f t="shared" si="245"/>
        <v>0</v>
      </c>
      <c r="BE545" s="6220" t="str">
        <f t="shared" si="241"/>
        <v/>
      </c>
      <c r="BF545" s="4" t="s">
        <v>1</v>
      </c>
      <c r="BG545" s="6196">
        <f t="shared" si="242"/>
        <v>0</v>
      </c>
      <c r="BH545" s="6197">
        <f t="shared" si="243"/>
        <v>0</v>
      </c>
      <c r="BI545"/>
      <c r="BJ545" s="1"/>
      <c r="BK545" s="1"/>
      <c r="BL545" s="1"/>
      <c r="BM545" s="1"/>
      <c r="BN545" s="1"/>
      <c r="BO545" s="1"/>
      <c r="BP545" s="1"/>
      <c r="BQ545" s="1"/>
      <c r="BX545" s="20" t="str">
        <f t="shared" si="224"/>
        <v>►</v>
      </c>
      <c r="BY545" s="2"/>
      <c r="BZ545" s="2"/>
      <c r="CA545" s="2"/>
      <c r="CB545" s="2"/>
      <c r="CC545" s="2"/>
      <c r="DC545" s="5">
        <v>1</v>
      </c>
    </row>
    <row r="546" spans="1:109" ht="21" customHeight="1">
      <c r="L546" s="1021" t="s">
        <v>26</v>
      </c>
      <c r="M546" s="6787"/>
      <c r="N546" s="6787"/>
      <c r="O546" s="6787"/>
      <c r="P546" s="6788"/>
      <c r="Q546" s="6789"/>
      <c r="R546" s="6790"/>
      <c r="S546" s="6786"/>
      <c r="T546" s="6791"/>
      <c r="U546" s="6844"/>
      <c r="V546" s="6791"/>
      <c r="W546" s="6785"/>
      <c r="X546" s="6868"/>
      <c r="Y546" s="6793"/>
      <c r="Z546" s="6794"/>
      <c r="AA546" s="6795"/>
      <c r="AB546" s="6796"/>
      <c r="AC546" s="6797"/>
      <c r="AD546" s="6798"/>
      <c r="AE546" s="4" t="s">
        <v>1</v>
      </c>
      <c r="AF546" s="6202" t="str">
        <f t="shared" si="225"/>
        <v>►</v>
      </c>
      <c r="AG546" s="6234" t="str">
        <f t="shared" si="226"/>
        <v/>
      </c>
      <c r="AH546" s="6732" t="str">
        <f t="shared" si="227"/>
        <v/>
      </c>
      <c r="AI546" s="6234" t="str">
        <f t="shared" si="228"/>
        <v/>
      </c>
      <c r="AJ546" s="6732" t="str">
        <f t="shared" si="229"/>
        <v/>
      </c>
      <c r="AK546" s="6732">
        <f t="shared" si="230"/>
        <v>0</v>
      </c>
      <c r="AL546" s="6230" t="str" cm="1">
        <f t="array" ref="AL546">IF(AF546&lt;&gt;"A","",IFERROR((IFERROR(_xlfn.XLOOKUP(TRIM(SUBSTITUTE(U546,CHAR(160)," ")),$BJ$15:$BJ$62,$BM$15:$BM$62),IFERROR(_xlfn.XLOOKUP(TRIM(SUBSTITUTE(U546,CHAR(160)," ")),$BK$15:$BK$62,$BM$15:$BM$62),_xlfn.XLOOKUP(TRIM(SUBSTITUTE(U546,CHAR(160)," ")),$BL$15:$BL$62,$BM$15:$BM$62))))*T546*IF(ISBLANK(Q546),1,Q546)+IFERROR(_xlfn.XLOOKUP("RECHERCHEX",TRIM(L546:AD546),L546:AD546),0),0))</f>
        <v/>
      </c>
      <c r="AM546" s="6229">
        <f t="shared" si="231"/>
        <v>0</v>
      </c>
      <c r="AN546" s="6857" t="str">
        <f t="shared" si="246"/>
        <v/>
      </c>
      <c r="AO546" s="392">
        <f t="shared" si="232"/>
        <v>0</v>
      </c>
      <c r="AP546" s="392">
        <f t="shared" si="233"/>
        <v>0</v>
      </c>
      <c r="AQ546" s="6190">
        <f t="shared" si="234"/>
        <v>0</v>
      </c>
      <c r="AR546" s="6858" t="str">
        <f t="shared" si="235"/>
        <v/>
      </c>
      <c r="AS546" s="6217"/>
      <c r="AT546" s="6217"/>
      <c r="AU546" s="6271">
        <f t="shared" si="236"/>
        <v>0</v>
      </c>
      <c r="AV546" s="6242">
        <f t="shared" si="237"/>
        <v>0</v>
      </c>
      <c r="AW546" s="6188" cm="1">
        <f t="array" ref="AW546">IF(AK546&lt;&gt;1,0,IF(OR(AU546="",N(AU546)&lt;=0.000000001),"",IF(OR(AO546="",N(AO546)&lt;=0.000000001),0,IF(ISNUMBER(AU546),IFERROR(_xlfn.LET(_xlpm.ai_test,TRIM(AJ546),_xlpm.r,IFERROR(_xlfn.XLOOKUP(_xlpm.ai_test,$BJ$15:$BJ$62,ROW($BJ$15:$BJ$62),0,1),IFERROR(_xlfn.XLOOKUP(_xlpm.ai_test,$BK$15:$BK$62,ROW($BK$15:$BK$62),0,1),_xlfn.XLOOKUP(_xlpm.ai_test,$BL$15:$BL$62,ROW($BL$15:$BL$62),0,1))),_xlpm.p,_xlpm.r-MIN(ROW($BJ$15:$BJ$62))+1,_xlpm.f,INDEX($BM$15:$BM$62,_xlpm.p),_xlpm.u,INDEX($BN$15:$BN$62,_xlpm.p),_xlpm.s,INDEX($BP$15:$BP$62,_xlpm.p),_xlpm.q,N(AU546)/_xlpm.f,IF(_xlpm.q&gt;=_xlpm.s,ROUND(_xlpm.q,1)&amp;" "&amp;_xlpm.ai_test&amp;" = "&amp;ROUND(_xlpm.q*_xlpm.f,1)&amp;" "&amp;_xlpm.u,ROUND(_xlpm.q,1)&amp;" "&amp;_xlpm.ai_test)),""),""))))</f>
        <v>0</v>
      </c>
      <c r="AX546" s="6218"/>
      <c r="AY546" s="6271">
        <f t="shared" si="238"/>
        <v>0</v>
      </c>
      <c r="AZ546" s="6242" t="str">
        <f t="shared" si="239"/>
        <v/>
      </c>
      <c r="BA546" s="6194">
        <f t="shared" si="244"/>
        <v>0</v>
      </c>
      <c r="BB546" s="6192" t="str">
        <f t="shared" si="240"/>
        <v/>
      </c>
      <c r="BC546" s="6219"/>
      <c r="BD546" s="6221">
        <f t="shared" si="245"/>
        <v>0</v>
      </c>
      <c r="BE546" s="6220" t="str">
        <f t="shared" si="241"/>
        <v/>
      </c>
      <c r="BF546" s="4" t="s">
        <v>1</v>
      </c>
      <c r="BG546" s="6196">
        <f t="shared" si="242"/>
        <v>0</v>
      </c>
      <c r="BH546" s="6197">
        <f t="shared" si="243"/>
        <v>0</v>
      </c>
      <c r="BI546"/>
      <c r="BJ546" s="1"/>
      <c r="BK546" s="1"/>
      <c r="BL546" s="1"/>
      <c r="BM546" s="1"/>
      <c r="BN546" s="1"/>
      <c r="BO546" s="1"/>
      <c r="BP546" s="1"/>
      <c r="BQ546" s="1"/>
      <c r="BX546" s="20" t="str">
        <f t="shared" si="224"/>
        <v>►</v>
      </c>
      <c r="BY546" s="2"/>
      <c r="BZ546" s="2"/>
      <c r="CA546" s="2"/>
      <c r="CB546" s="2"/>
      <c r="CC546" s="2"/>
      <c r="DC546" s="5">
        <v>1</v>
      </c>
    </row>
    <row r="547" spans="1:109" ht="21" customHeight="1">
      <c r="L547" s="1021" t="s">
        <v>26</v>
      </c>
      <c r="M547" s="6787"/>
      <c r="N547" s="6787"/>
      <c r="O547" s="6787"/>
      <c r="P547" s="6788"/>
      <c r="Q547" s="6789"/>
      <c r="R547" s="6790"/>
      <c r="S547" s="6786"/>
      <c r="T547" s="6791"/>
      <c r="U547" s="6844"/>
      <c r="V547" s="6791"/>
      <c r="W547" s="6785"/>
      <c r="X547" s="6868"/>
      <c r="Y547" s="6793"/>
      <c r="Z547" s="6794"/>
      <c r="AA547" s="6795"/>
      <c r="AB547" s="6796"/>
      <c r="AC547" s="6797"/>
      <c r="AD547" s="6798"/>
      <c r="AE547" s="4" t="s">
        <v>1</v>
      </c>
      <c r="AF547" s="6202" t="str">
        <f t="shared" si="225"/>
        <v>►</v>
      </c>
      <c r="AG547" s="6234" t="str">
        <f t="shared" si="226"/>
        <v/>
      </c>
      <c r="AH547" s="6732" t="str">
        <f t="shared" si="227"/>
        <v/>
      </c>
      <c r="AI547" s="6234" t="str">
        <f t="shared" si="228"/>
        <v/>
      </c>
      <c r="AJ547" s="6732" t="str">
        <f t="shared" si="229"/>
        <v/>
      </c>
      <c r="AK547" s="6732">
        <f t="shared" si="230"/>
        <v>0</v>
      </c>
      <c r="AL547" s="6230" t="str" cm="1">
        <f t="array" ref="AL547">IF(AF547&lt;&gt;"A","",IFERROR((IFERROR(_xlfn.XLOOKUP(TRIM(SUBSTITUTE(U547,CHAR(160)," ")),$BJ$15:$BJ$62,$BM$15:$BM$62),IFERROR(_xlfn.XLOOKUP(TRIM(SUBSTITUTE(U547,CHAR(160)," ")),$BK$15:$BK$62,$BM$15:$BM$62),_xlfn.XLOOKUP(TRIM(SUBSTITUTE(U547,CHAR(160)," ")),$BL$15:$BL$62,$BM$15:$BM$62))))*T547*IF(ISBLANK(Q547),1,Q547)+IFERROR(_xlfn.XLOOKUP("RECHERCHEX",TRIM(L547:AD547),L547:AD547),0),0))</f>
        <v/>
      </c>
      <c r="AM547" s="6229">
        <f t="shared" si="231"/>
        <v>0</v>
      </c>
      <c r="AN547" s="6857" t="str">
        <f t="shared" si="246"/>
        <v/>
      </c>
      <c r="AO547" s="392">
        <f t="shared" si="232"/>
        <v>0</v>
      </c>
      <c r="AP547" s="392">
        <f t="shared" si="233"/>
        <v>0</v>
      </c>
      <c r="AQ547" s="6191">
        <f t="shared" si="234"/>
        <v>0</v>
      </c>
      <c r="AR547" s="6859" t="str">
        <f t="shared" si="235"/>
        <v/>
      </c>
      <c r="AS547" s="6217"/>
      <c r="AT547" s="6217"/>
      <c r="AU547" s="6272">
        <f t="shared" si="236"/>
        <v>0</v>
      </c>
      <c r="AV547" s="6240">
        <f t="shared" si="237"/>
        <v>0</v>
      </c>
      <c r="AW547" s="6189" cm="1">
        <f t="array" ref="AW547">IF(AK547&lt;&gt;1,0,IF(OR(AU547="",N(AU547)&lt;=0.000000001),"",IF(OR(AO547="",N(AO547)&lt;=0.000000001),0,IF(ISNUMBER(AU547),IFERROR(_xlfn.LET(_xlpm.ai_test,TRIM(AJ547),_xlpm.r,IFERROR(_xlfn.XLOOKUP(_xlpm.ai_test,$BJ$15:$BJ$62,ROW($BJ$15:$BJ$62),0,1),IFERROR(_xlfn.XLOOKUP(_xlpm.ai_test,$BK$15:$BK$62,ROW($BK$15:$BK$62),0,1),_xlfn.XLOOKUP(_xlpm.ai_test,$BL$15:$BL$62,ROW($BL$15:$BL$62),0,1))),_xlpm.p,_xlpm.r-MIN(ROW($BJ$15:$BJ$62))+1,_xlpm.f,INDEX($BM$15:$BM$62,_xlpm.p),_xlpm.u,INDEX($BN$15:$BN$62,_xlpm.p),_xlpm.s,INDEX($BP$15:$BP$62,_xlpm.p),_xlpm.q,N(AU547)/_xlpm.f,IF(_xlpm.q&gt;=_xlpm.s,ROUND(_xlpm.q,1)&amp;" "&amp;_xlpm.ai_test&amp;" = "&amp;ROUND(_xlpm.q*_xlpm.f,1)&amp;" "&amp;_xlpm.u,ROUND(_xlpm.q,1)&amp;" "&amp;_xlpm.ai_test)),""),""))))</f>
        <v>0</v>
      </c>
      <c r="AX547" s="6218"/>
      <c r="AY547" s="6272">
        <f t="shared" si="238"/>
        <v>0</v>
      </c>
      <c r="AZ547" s="6240" t="str">
        <f t="shared" si="239"/>
        <v/>
      </c>
      <c r="BA547" s="6195">
        <f t="shared" si="244"/>
        <v>0</v>
      </c>
      <c r="BB547" s="6193" t="str">
        <f t="shared" si="240"/>
        <v/>
      </c>
      <c r="BC547" s="6219"/>
      <c r="BD547" s="6222">
        <f t="shared" si="245"/>
        <v>0</v>
      </c>
      <c r="BE547" s="6220" t="str">
        <f t="shared" si="241"/>
        <v/>
      </c>
      <c r="BF547" s="4" t="s">
        <v>1</v>
      </c>
      <c r="BG547" s="6196">
        <f t="shared" si="242"/>
        <v>0</v>
      </c>
      <c r="BH547" s="6197">
        <f t="shared" si="243"/>
        <v>0</v>
      </c>
      <c r="BI547"/>
      <c r="BJ547" s="1"/>
      <c r="BK547" s="1"/>
      <c r="BL547" s="1"/>
      <c r="BM547" s="1"/>
      <c r="BN547" s="1"/>
      <c r="BO547" s="1"/>
      <c r="BP547" s="1"/>
      <c r="BQ547" s="1"/>
      <c r="BX547" s="20" t="str">
        <f t="shared" si="224"/>
        <v>►</v>
      </c>
      <c r="BY547" s="2"/>
      <c r="BZ547" s="2"/>
      <c r="CA547" s="2"/>
      <c r="CB547" s="2"/>
      <c r="CC547" s="2"/>
      <c r="DC547" s="5">
        <v>1</v>
      </c>
    </row>
    <row r="548" spans="1:109" ht="21" customHeight="1">
      <c r="L548" s="1021" t="s">
        <v>26</v>
      </c>
      <c r="M548" s="6787"/>
      <c r="N548" s="6787"/>
      <c r="O548" s="6787"/>
      <c r="P548" s="6788"/>
      <c r="Q548" s="6789"/>
      <c r="R548" s="6790"/>
      <c r="S548" s="6786"/>
      <c r="T548" s="6791"/>
      <c r="U548" s="6844"/>
      <c r="V548" s="6791"/>
      <c r="W548" s="6785"/>
      <c r="X548" s="6868"/>
      <c r="Y548" s="6793"/>
      <c r="Z548" s="6794"/>
      <c r="AA548" s="6795"/>
      <c r="AB548" s="6796"/>
      <c r="AC548" s="6797"/>
      <c r="AD548" s="6798"/>
      <c r="AE548" s="4" t="s">
        <v>1</v>
      </c>
      <c r="AF548" s="6202" t="str">
        <f t="shared" si="225"/>
        <v>►</v>
      </c>
      <c r="AG548" s="6234" t="str">
        <f t="shared" si="226"/>
        <v/>
      </c>
      <c r="AH548" s="6732" t="str">
        <f t="shared" si="227"/>
        <v/>
      </c>
      <c r="AI548" s="6234" t="str">
        <f t="shared" si="228"/>
        <v/>
      </c>
      <c r="AJ548" s="6732" t="str">
        <f t="shared" si="229"/>
        <v/>
      </c>
      <c r="AK548" s="6732">
        <f t="shared" si="230"/>
        <v>0</v>
      </c>
      <c r="AL548" s="6230" t="str" cm="1">
        <f t="array" ref="AL548">IF(AF548&lt;&gt;"A","",IFERROR((IFERROR(_xlfn.XLOOKUP(TRIM(SUBSTITUTE(U548,CHAR(160)," ")),$BJ$15:$BJ$62,$BM$15:$BM$62),IFERROR(_xlfn.XLOOKUP(TRIM(SUBSTITUTE(U548,CHAR(160)," ")),$BK$15:$BK$62,$BM$15:$BM$62),_xlfn.XLOOKUP(TRIM(SUBSTITUTE(U548,CHAR(160)," ")),$BL$15:$BL$62,$BM$15:$BM$62))))*T548*IF(ISBLANK(Q548),1,Q548)+IFERROR(_xlfn.XLOOKUP("RECHERCHEX",TRIM(L548:AD548),L548:AD548),0),0))</f>
        <v/>
      </c>
      <c r="AM548" s="6229">
        <f t="shared" si="231"/>
        <v>0</v>
      </c>
      <c r="AN548" s="6857" t="str">
        <f t="shared" si="246"/>
        <v/>
      </c>
      <c r="AO548" s="392">
        <f t="shared" si="232"/>
        <v>0</v>
      </c>
      <c r="AP548" s="392">
        <f t="shared" si="233"/>
        <v>0</v>
      </c>
      <c r="AQ548" s="6190">
        <f t="shared" si="234"/>
        <v>0</v>
      </c>
      <c r="AR548" s="6858" t="str">
        <f t="shared" si="235"/>
        <v/>
      </c>
      <c r="AS548" s="6217"/>
      <c r="AT548" s="6217"/>
      <c r="AU548" s="6271">
        <f t="shared" si="236"/>
        <v>0</v>
      </c>
      <c r="AV548" s="6242">
        <f t="shared" si="237"/>
        <v>0</v>
      </c>
      <c r="AW548" s="6188" cm="1">
        <f t="array" ref="AW548">IF(AK548&lt;&gt;1,0,IF(OR(AU548="",N(AU548)&lt;=0.000000001),"",IF(OR(AO548="",N(AO548)&lt;=0.000000001),0,IF(ISNUMBER(AU548),IFERROR(_xlfn.LET(_xlpm.ai_test,TRIM(AJ548),_xlpm.r,IFERROR(_xlfn.XLOOKUP(_xlpm.ai_test,$BJ$15:$BJ$62,ROW($BJ$15:$BJ$62),0,1),IFERROR(_xlfn.XLOOKUP(_xlpm.ai_test,$BK$15:$BK$62,ROW($BK$15:$BK$62),0,1),_xlfn.XLOOKUP(_xlpm.ai_test,$BL$15:$BL$62,ROW($BL$15:$BL$62),0,1))),_xlpm.p,_xlpm.r-MIN(ROW($BJ$15:$BJ$62))+1,_xlpm.f,INDEX($BM$15:$BM$62,_xlpm.p),_xlpm.u,INDEX($BN$15:$BN$62,_xlpm.p),_xlpm.s,INDEX($BP$15:$BP$62,_xlpm.p),_xlpm.q,N(AU548)/_xlpm.f,IF(_xlpm.q&gt;=_xlpm.s,ROUND(_xlpm.q,1)&amp;" "&amp;_xlpm.ai_test&amp;" = "&amp;ROUND(_xlpm.q*_xlpm.f,1)&amp;" "&amp;_xlpm.u,ROUND(_xlpm.q,1)&amp;" "&amp;_xlpm.ai_test)),""),""))))</f>
        <v>0</v>
      </c>
      <c r="AX548" s="6218"/>
      <c r="AY548" s="6271">
        <f t="shared" si="238"/>
        <v>0</v>
      </c>
      <c r="AZ548" s="6242" t="str">
        <f t="shared" si="239"/>
        <v/>
      </c>
      <c r="BA548" s="6194">
        <f t="shared" si="244"/>
        <v>0</v>
      </c>
      <c r="BB548" s="6192" t="str">
        <f t="shared" si="240"/>
        <v/>
      </c>
      <c r="BC548" s="6219"/>
      <c r="BD548" s="6221">
        <f t="shared" si="245"/>
        <v>0</v>
      </c>
      <c r="BE548" s="6220" t="str">
        <f t="shared" si="241"/>
        <v/>
      </c>
      <c r="BF548" s="4" t="s">
        <v>1</v>
      </c>
      <c r="BG548" s="6196">
        <f t="shared" si="242"/>
        <v>0</v>
      </c>
      <c r="BH548" s="6197">
        <f t="shared" si="243"/>
        <v>0</v>
      </c>
      <c r="BI548"/>
      <c r="BJ548" s="1"/>
      <c r="BK548" s="1"/>
      <c r="BL548" s="1"/>
      <c r="BM548" s="1"/>
      <c r="BN548" s="1"/>
      <c r="BO548" s="1"/>
      <c r="BP548" s="1"/>
      <c r="BQ548" s="1"/>
      <c r="BX548" s="20" t="str">
        <f t="shared" si="224"/>
        <v>►</v>
      </c>
      <c r="BY548" s="2"/>
      <c r="BZ548" s="2"/>
      <c r="CA548" s="2"/>
      <c r="CB548" s="2"/>
      <c r="CC548" s="2"/>
      <c r="DC548" s="5">
        <v>1</v>
      </c>
    </row>
    <row r="549" spans="1:109" ht="21" customHeight="1">
      <c r="L549" s="1021" t="s">
        <v>26</v>
      </c>
      <c r="M549" s="6787"/>
      <c r="N549" s="6787"/>
      <c r="O549" s="6787"/>
      <c r="P549" s="6788"/>
      <c r="Q549" s="6789"/>
      <c r="R549" s="6790"/>
      <c r="S549" s="6786"/>
      <c r="T549" s="6791"/>
      <c r="U549" s="6844"/>
      <c r="V549" s="6791"/>
      <c r="W549" s="6785"/>
      <c r="X549" s="6868"/>
      <c r="Y549" s="6793"/>
      <c r="Z549" s="6794"/>
      <c r="AA549" s="6795"/>
      <c r="AB549" s="6796"/>
      <c r="AC549" s="6797"/>
      <c r="AD549" s="6798"/>
      <c r="AE549" s="4" t="s">
        <v>1</v>
      </c>
      <c r="AF549" s="6202" t="str">
        <f t="shared" si="225"/>
        <v>►</v>
      </c>
      <c r="AG549" s="6234" t="str">
        <f t="shared" si="226"/>
        <v/>
      </c>
      <c r="AH549" s="6732" t="str">
        <f t="shared" si="227"/>
        <v/>
      </c>
      <c r="AI549" s="6234" t="str">
        <f t="shared" si="228"/>
        <v/>
      </c>
      <c r="AJ549" s="6732" t="str">
        <f t="shared" si="229"/>
        <v/>
      </c>
      <c r="AK549" s="6732">
        <f t="shared" si="230"/>
        <v>0</v>
      </c>
      <c r="AL549" s="6230" t="str" cm="1">
        <f t="array" ref="AL549">IF(AF549&lt;&gt;"A","",IFERROR((IFERROR(_xlfn.XLOOKUP(TRIM(SUBSTITUTE(U549,CHAR(160)," ")),$BJ$15:$BJ$62,$BM$15:$BM$62),IFERROR(_xlfn.XLOOKUP(TRIM(SUBSTITUTE(U549,CHAR(160)," ")),$BK$15:$BK$62,$BM$15:$BM$62),_xlfn.XLOOKUP(TRIM(SUBSTITUTE(U549,CHAR(160)," ")),$BL$15:$BL$62,$BM$15:$BM$62))))*T549*IF(ISBLANK(Q549),1,Q549)+IFERROR(_xlfn.XLOOKUP("RECHERCHEX",TRIM(L549:AD549),L549:AD549),0),0))</f>
        <v/>
      </c>
      <c r="AM549" s="6229">
        <f t="shared" si="231"/>
        <v>0</v>
      </c>
      <c r="AN549" s="6857" t="str">
        <f t="shared" si="246"/>
        <v/>
      </c>
      <c r="AO549" s="392">
        <f t="shared" si="232"/>
        <v>0</v>
      </c>
      <c r="AP549" s="392">
        <f t="shared" si="233"/>
        <v>0</v>
      </c>
      <c r="AQ549" s="6191">
        <f t="shared" si="234"/>
        <v>0</v>
      </c>
      <c r="AR549" s="6859" t="str">
        <f t="shared" si="235"/>
        <v/>
      </c>
      <c r="AS549" s="6217"/>
      <c r="AT549" s="6217"/>
      <c r="AU549" s="6272">
        <f t="shared" si="236"/>
        <v>0</v>
      </c>
      <c r="AV549" s="6240">
        <f t="shared" si="237"/>
        <v>0</v>
      </c>
      <c r="AW549" s="6189" cm="1">
        <f t="array" ref="AW549">IF(AK549&lt;&gt;1,0,IF(OR(AU549="",N(AU549)&lt;=0.000000001),"",IF(OR(AO549="",N(AO549)&lt;=0.000000001),0,IF(ISNUMBER(AU549),IFERROR(_xlfn.LET(_xlpm.ai_test,TRIM(AJ549),_xlpm.r,IFERROR(_xlfn.XLOOKUP(_xlpm.ai_test,$BJ$15:$BJ$62,ROW($BJ$15:$BJ$62),0,1),IFERROR(_xlfn.XLOOKUP(_xlpm.ai_test,$BK$15:$BK$62,ROW($BK$15:$BK$62),0,1),_xlfn.XLOOKUP(_xlpm.ai_test,$BL$15:$BL$62,ROW($BL$15:$BL$62),0,1))),_xlpm.p,_xlpm.r-MIN(ROW($BJ$15:$BJ$62))+1,_xlpm.f,INDEX($BM$15:$BM$62,_xlpm.p),_xlpm.u,INDEX($BN$15:$BN$62,_xlpm.p),_xlpm.s,INDEX($BP$15:$BP$62,_xlpm.p),_xlpm.q,N(AU549)/_xlpm.f,IF(_xlpm.q&gt;=_xlpm.s,ROUND(_xlpm.q,1)&amp;" "&amp;_xlpm.ai_test&amp;" = "&amp;ROUND(_xlpm.q*_xlpm.f,1)&amp;" "&amp;_xlpm.u,ROUND(_xlpm.q,1)&amp;" "&amp;_xlpm.ai_test)),""),""))))</f>
        <v>0</v>
      </c>
      <c r="AX549" s="6218"/>
      <c r="AY549" s="6272">
        <f t="shared" si="238"/>
        <v>0</v>
      </c>
      <c r="AZ549" s="6240" t="str">
        <f t="shared" si="239"/>
        <v/>
      </c>
      <c r="BA549" s="6195">
        <f t="shared" si="244"/>
        <v>0</v>
      </c>
      <c r="BB549" s="6193" t="str">
        <f t="shared" si="240"/>
        <v/>
      </c>
      <c r="BC549" s="6219"/>
      <c r="BD549" s="6222">
        <f t="shared" si="245"/>
        <v>0</v>
      </c>
      <c r="BE549" s="6220" t="str">
        <f t="shared" si="241"/>
        <v/>
      </c>
      <c r="BF549" s="4" t="s">
        <v>1</v>
      </c>
      <c r="BG549" s="6196">
        <f t="shared" si="242"/>
        <v>0</v>
      </c>
      <c r="BH549" s="6197">
        <f t="shared" si="243"/>
        <v>0</v>
      </c>
      <c r="BI549"/>
      <c r="BJ549"/>
      <c r="BK549"/>
      <c r="BL549"/>
      <c r="BM549"/>
      <c r="BN549"/>
      <c r="BO549"/>
      <c r="BP549"/>
      <c r="BQ549"/>
      <c r="BX549" s="20" t="str">
        <f t="shared" si="224"/>
        <v>►</v>
      </c>
      <c r="BY549" s="2"/>
      <c r="BZ549" s="2"/>
      <c r="CA549" s="2"/>
      <c r="CB549" s="2"/>
      <c r="CC549" s="2"/>
      <c r="DC549" s="5">
        <v>1</v>
      </c>
    </row>
    <row r="550" spans="1:109" ht="21" customHeight="1">
      <c r="A550" s="6215"/>
      <c r="B550" s="6215"/>
      <c r="C550" s="5261"/>
      <c r="D550" s="6215"/>
      <c r="E550" s="6215"/>
      <c r="F550" s="6215"/>
      <c r="G550" s="6215"/>
      <c r="H550" s="6215"/>
      <c r="I550" s="6215"/>
      <c r="J550" s="6215"/>
      <c r="K550" s="6215"/>
      <c r="L550" s="6009" t="s">
        <v>21</v>
      </c>
      <c r="M550" s="6215"/>
      <c r="N550" s="6215"/>
      <c r="O550" s="6215"/>
      <c r="P550" s="6215"/>
      <c r="Q550" s="6215"/>
      <c r="R550" s="6215"/>
      <c r="S550" s="6215"/>
      <c r="T550" s="6215"/>
      <c r="U550" s="6215"/>
      <c r="V550" s="6215"/>
      <c r="W550" s="6215"/>
      <c r="X550" s="6215"/>
      <c r="Y550" s="6215"/>
      <c r="Z550" s="6215"/>
      <c r="AA550" s="6215"/>
      <c r="AB550" s="6215"/>
      <c r="AC550" s="6215"/>
      <c r="AD550" s="6215"/>
      <c r="AE550" s="6215"/>
      <c r="AF550" s="6215"/>
      <c r="AG550" s="6215"/>
      <c r="AH550" s="6215"/>
      <c r="AI550" s="6215"/>
      <c r="AJ550" s="6215"/>
      <c r="AK550" s="6215"/>
      <c r="AL550" s="6215"/>
      <c r="AM550" s="6215"/>
      <c r="AN550" s="6215"/>
      <c r="AO550" s="6215"/>
      <c r="AP550" s="6215"/>
      <c r="AQ550" s="6215"/>
      <c r="AR550" s="6215"/>
      <c r="AS550" s="6215"/>
      <c r="AT550" s="6215"/>
      <c r="AU550" s="6215"/>
      <c r="AV550" s="6215"/>
      <c r="AW550" s="6215"/>
      <c r="AX550" s="6215"/>
      <c r="AY550" s="6215"/>
      <c r="AZ550" s="6215"/>
      <c r="BA550" s="6215"/>
      <c r="BB550" s="6215"/>
      <c r="BC550" s="6215"/>
      <c r="BD550" s="6215"/>
      <c r="BE550" s="6215"/>
      <c r="BF550" s="6215"/>
      <c r="BG550" s="6215"/>
      <c r="BH550" s="6215"/>
      <c r="BI550" s="6215"/>
      <c r="BJ550" s="6215"/>
      <c r="BK550" s="6215"/>
      <c r="BL550" s="6215"/>
      <c r="BM550" s="6215"/>
      <c r="BN550" s="6215"/>
      <c r="BO550" s="6215"/>
      <c r="BP550" s="6215"/>
      <c r="BQ550" s="6215"/>
      <c r="BR550" s="6215"/>
      <c r="BS550" s="6215"/>
      <c r="BT550" s="6215"/>
      <c r="BU550" s="6215"/>
      <c r="BV550" s="6215"/>
      <c r="BW550" s="6215"/>
      <c r="BX550" s="6215"/>
      <c r="BY550" s="6216"/>
      <c r="BZ550" s="6216"/>
      <c r="CA550" s="6216"/>
      <c r="CB550" s="6216"/>
      <c r="CC550" s="6216"/>
      <c r="CD550" s="6216"/>
      <c r="CE550" s="6216"/>
      <c r="CF550" s="6216"/>
      <c r="CG550" s="6216"/>
      <c r="CH550" s="6216"/>
      <c r="CI550" s="6216"/>
      <c r="CJ550" s="6216"/>
      <c r="CK550" s="6216"/>
      <c r="CL550" s="6216"/>
      <c r="CM550" s="6216"/>
      <c r="CN550" s="6216"/>
      <c r="CO550" s="6216"/>
      <c r="CP550" s="6216"/>
      <c r="CQ550" s="6216"/>
      <c r="CR550" s="6216"/>
      <c r="CS550" s="6216"/>
      <c r="CT550" s="6216"/>
      <c r="CU550" s="6216"/>
      <c r="CV550" s="6216"/>
      <c r="CW550" s="6216"/>
      <c r="CX550" s="6216"/>
      <c r="CY550" s="6216"/>
      <c r="CZ550" s="6216"/>
      <c r="DA550" s="6216"/>
      <c r="DB550" s="6216"/>
      <c r="DC550" s="5">
        <v>1</v>
      </c>
    </row>
    <row r="551" spans="1:109">
      <c r="A551" s="5">
        <v>1</v>
      </c>
      <c r="B551" s="5">
        <v>1</v>
      </c>
      <c r="C551" s="5">
        <v>1</v>
      </c>
      <c r="D551" s="5">
        <v>1</v>
      </c>
      <c r="E551" s="5">
        <v>1</v>
      </c>
      <c r="F551" s="5">
        <v>1</v>
      </c>
      <c r="G551" s="5">
        <v>1</v>
      </c>
      <c r="H551" s="5">
        <v>1</v>
      </c>
      <c r="I551" s="5">
        <v>1</v>
      </c>
      <c r="J551" s="5">
        <v>1</v>
      </c>
      <c r="K551" s="5">
        <v>1</v>
      </c>
      <c r="L551" s="5">
        <v>1</v>
      </c>
      <c r="M551" s="5">
        <v>1</v>
      </c>
      <c r="N551" s="5">
        <v>1</v>
      </c>
      <c r="O551" s="5">
        <v>1</v>
      </c>
      <c r="P551" s="5">
        <v>1</v>
      </c>
      <c r="Q551" s="5">
        <v>1</v>
      </c>
      <c r="R551" s="5">
        <v>1</v>
      </c>
      <c r="S551" s="5">
        <v>1</v>
      </c>
      <c r="T551" s="5">
        <v>1</v>
      </c>
      <c r="U551" s="5">
        <v>1</v>
      </c>
      <c r="V551" s="5">
        <v>1</v>
      </c>
      <c r="W551" s="5">
        <v>1</v>
      </c>
      <c r="X551" s="5"/>
      <c r="Y551" s="5">
        <v>1</v>
      </c>
      <c r="Z551" s="5">
        <v>1</v>
      </c>
      <c r="AA551" s="5">
        <v>1</v>
      </c>
      <c r="AB551" s="5">
        <v>1</v>
      </c>
      <c r="AC551" s="5">
        <v>1</v>
      </c>
      <c r="AD551" s="5">
        <v>1</v>
      </c>
      <c r="AE551" s="5">
        <v>1</v>
      </c>
      <c r="AF551" s="5">
        <v>1</v>
      </c>
      <c r="AG551" s="5">
        <v>1</v>
      </c>
      <c r="AH551" s="5">
        <v>1</v>
      </c>
      <c r="AI551" s="5">
        <v>1</v>
      </c>
      <c r="AJ551" s="5">
        <v>1</v>
      </c>
      <c r="AK551" s="5">
        <v>1</v>
      </c>
      <c r="AL551" s="5">
        <v>1</v>
      </c>
      <c r="AM551" s="5">
        <v>1</v>
      </c>
      <c r="AN551" s="5">
        <v>1</v>
      </c>
      <c r="AO551" s="5">
        <v>1</v>
      </c>
      <c r="AP551" s="5">
        <v>1</v>
      </c>
      <c r="AQ551" s="5">
        <v>1</v>
      </c>
      <c r="AR551" s="5">
        <v>1</v>
      </c>
      <c r="AS551" s="5">
        <v>1</v>
      </c>
      <c r="AT551" s="5">
        <v>1</v>
      </c>
      <c r="AU551" s="5">
        <v>1</v>
      </c>
      <c r="AV551" s="5">
        <v>1</v>
      </c>
      <c r="AW551" s="5">
        <v>1</v>
      </c>
      <c r="AX551" s="5">
        <v>1</v>
      </c>
      <c r="AY551" s="5">
        <v>1</v>
      </c>
      <c r="AZ551" s="5">
        <v>1</v>
      </c>
      <c r="BA551" s="5">
        <v>1</v>
      </c>
      <c r="BB551" s="5">
        <v>1</v>
      </c>
      <c r="BC551" s="5">
        <v>1</v>
      </c>
      <c r="BD551" s="5">
        <v>1</v>
      </c>
      <c r="BE551" s="5">
        <v>1</v>
      </c>
      <c r="BF551" s="5">
        <v>1</v>
      </c>
      <c r="BG551" s="5">
        <v>1</v>
      </c>
      <c r="BH551" s="5">
        <v>1</v>
      </c>
      <c r="BI551" s="5">
        <v>1</v>
      </c>
      <c r="BJ551" s="5">
        <v>1</v>
      </c>
      <c r="BK551" s="5">
        <v>1</v>
      </c>
      <c r="BL551" s="5">
        <v>1</v>
      </c>
      <c r="BM551" s="5">
        <v>1</v>
      </c>
      <c r="BN551" s="5">
        <v>1</v>
      </c>
      <c r="BO551" s="5">
        <v>1</v>
      </c>
      <c r="BP551" s="5">
        <v>1</v>
      </c>
      <c r="BQ551" s="5">
        <v>1</v>
      </c>
      <c r="BR551" s="5">
        <v>1</v>
      </c>
      <c r="BS551" s="5">
        <v>1</v>
      </c>
      <c r="BT551" s="5">
        <v>1</v>
      </c>
      <c r="BU551" s="5">
        <v>1</v>
      </c>
      <c r="BV551" s="5">
        <v>1</v>
      </c>
      <c r="BW551" s="5">
        <v>1</v>
      </c>
      <c r="BX551" s="5">
        <v>1</v>
      </c>
      <c r="BY551" s="5">
        <v>1</v>
      </c>
      <c r="BZ551" s="5">
        <v>1</v>
      </c>
      <c r="CA551" s="5">
        <v>1</v>
      </c>
      <c r="CB551" s="5">
        <v>1</v>
      </c>
      <c r="CC551" s="5">
        <v>1</v>
      </c>
      <c r="CD551" s="5">
        <v>1</v>
      </c>
      <c r="CE551" s="5">
        <v>1</v>
      </c>
      <c r="CF551" s="5">
        <v>1</v>
      </c>
      <c r="CG551" s="5">
        <v>1</v>
      </c>
      <c r="CH551" s="5">
        <v>1</v>
      </c>
      <c r="CI551" s="5">
        <v>1</v>
      </c>
      <c r="CJ551" s="5">
        <v>1</v>
      </c>
      <c r="CK551" s="5">
        <v>1</v>
      </c>
      <c r="CL551" s="5">
        <v>1</v>
      </c>
      <c r="CM551" s="5">
        <v>1</v>
      </c>
      <c r="CN551" s="5">
        <v>1</v>
      </c>
      <c r="CO551" s="5">
        <v>1</v>
      </c>
      <c r="CP551" s="5">
        <v>1</v>
      </c>
      <c r="CQ551" s="5">
        <v>1</v>
      </c>
      <c r="CR551" s="5">
        <v>1</v>
      </c>
      <c r="CS551" s="5">
        <v>1</v>
      </c>
      <c r="CT551" s="5">
        <v>1</v>
      </c>
      <c r="CU551" s="5">
        <v>1</v>
      </c>
      <c r="CV551" s="5">
        <v>1</v>
      </c>
      <c r="CW551" s="5">
        <v>1</v>
      </c>
      <c r="CX551" s="5">
        <v>1</v>
      </c>
      <c r="CY551" s="5">
        <v>1</v>
      </c>
      <c r="CZ551" s="5">
        <v>1</v>
      </c>
      <c r="DA551" s="5">
        <v>1</v>
      </c>
      <c r="DB551" s="5">
        <v>1</v>
      </c>
      <c r="DC551" s="9" t="str">
        <f>ADDRESS(ROW(),COLUMN(),4)</f>
        <v>DC551</v>
      </c>
      <c r="DD551" s="8"/>
      <c r="DE551" s="7" t="str">
        <f>ADDRESS(ROW(),COLUMN(),4)</f>
        <v>DE551</v>
      </c>
    </row>
  </sheetData>
  <mergeCells count="150">
    <mergeCell ref="AZ3:BE4"/>
    <mergeCell ref="C5:J6"/>
    <mergeCell ref="AL5:AL6"/>
    <mergeCell ref="AM5:BA6"/>
    <mergeCell ref="BB5:BC6"/>
    <mergeCell ref="BD5:BD6"/>
    <mergeCell ref="BE5:BE8"/>
    <mergeCell ref="CE5:CK7"/>
    <mergeCell ref="CM5:CS7"/>
    <mergeCell ref="CU5:DA7"/>
    <mergeCell ref="BY6:CC7"/>
    <mergeCell ref="C7:J7"/>
    <mergeCell ref="AL7:AL8"/>
    <mergeCell ref="AM7:BA8"/>
    <mergeCell ref="BB7:BC8"/>
    <mergeCell ref="BD7:BD8"/>
    <mergeCell ref="D8:J8"/>
    <mergeCell ref="AW14:AW15"/>
    <mergeCell ref="CE11:CK11"/>
    <mergeCell ref="CM11:CS11"/>
    <mergeCell ref="CU11:DA11"/>
    <mergeCell ref="C12:C13"/>
    <mergeCell ref="T12:AA13"/>
    <mergeCell ref="AB12:AC13"/>
    <mergeCell ref="AD12:AD13"/>
    <mergeCell ref="CE8:CK8"/>
    <mergeCell ref="CM8:CS8"/>
    <mergeCell ref="CU8:DA8"/>
    <mergeCell ref="AP9:AR10"/>
    <mergeCell ref="AS9:AS10"/>
    <mergeCell ref="AT9:AU10"/>
    <mergeCell ref="CE9:CK10"/>
    <mergeCell ref="CM9:CS10"/>
    <mergeCell ref="CU9:DA10"/>
    <mergeCell ref="BD16:BD17"/>
    <mergeCell ref="BE16:BE17"/>
    <mergeCell ref="S17:T17"/>
    <mergeCell ref="BE14:BE15"/>
    <mergeCell ref="U15:W16"/>
    <mergeCell ref="AG16:AG17"/>
    <mergeCell ref="AL16:AP17"/>
    <mergeCell ref="AQ16:AR17"/>
    <mergeCell ref="AS16:AT17"/>
    <mergeCell ref="AU16:AV17"/>
    <mergeCell ref="AW16:AW17"/>
    <mergeCell ref="AX16:AX17"/>
    <mergeCell ref="AY16:AZ17"/>
    <mergeCell ref="AX14:AX15"/>
    <mergeCell ref="AY14:AZ15"/>
    <mergeCell ref="BA14:BA15"/>
    <mergeCell ref="BB14:BB15"/>
    <mergeCell ref="BC14:BC15"/>
    <mergeCell ref="BD14:BD15"/>
    <mergeCell ref="AG14:AG15"/>
    <mergeCell ref="AL14:AP15"/>
    <mergeCell ref="AQ14:AR15"/>
    <mergeCell ref="AS14:AT15"/>
    <mergeCell ref="AU14:AV15"/>
    <mergeCell ref="S18:U18"/>
    <mergeCell ref="T20:T21"/>
    <mergeCell ref="U20:U21"/>
    <mergeCell ref="V20:V21"/>
    <mergeCell ref="AA20:AA21"/>
    <mergeCell ref="AB20:AB21"/>
    <mergeCell ref="BA16:BA17"/>
    <mergeCell ref="BB16:BB17"/>
    <mergeCell ref="BC16:BC17"/>
    <mergeCell ref="AU20:AV21"/>
    <mergeCell ref="AW20:AW21"/>
    <mergeCell ref="AX20:AX21"/>
    <mergeCell ref="AY20:AZ21"/>
    <mergeCell ref="BA20:BA21"/>
    <mergeCell ref="BB20:BB21"/>
    <mergeCell ref="AC20:AC21"/>
    <mergeCell ref="AD20:AD21"/>
    <mergeCell ref="AG20:AK21"/>
    <mergeCell ref="AL20:AP21"/>
    <mergeCell ref="AQ20:AR21"/>
    <mergeCell ref="AS20:AT20"/>
    <mergeCell ref="CE38:CK39"/>
    <mergeCell ref="CM38:CS39"/>
    <mergeCell ref="CU38:DA39"/>
    <mergeCell ref="BC20:BC21"/>
    <mergeCell ref="BD20:BD21"/>
    <mergeCell ref="BE20:BE21"/>
    <mergeCell ref="CE26:CK28"/>
    <mergeCell ref="CM26:CS28"/>
    <mergeCell ref="CU26:DA28"/>
    <mergeCell ref="BY45:CC46"/>
    <mergeCell ref="AA47:AD47"/>
    <mergeCell ref="BY48:CC49"/>
    <mergeCell ref="AC49:AD49"/>
    <mergeCell ref="AA50:AB50"/>
    <mergeCell ref="AA53:AD54"/>
    <mergeCell ref="BY30:CC31"/>
    <mergeCell ref="BY33:CC34"/>
    <mergeCell ref="BY36:CC37"/>
    <mergeCell ref="AA57:AD58"/>
    <mergeCell ref="BY58:CC59"/>
    <mergeCell ref="CE59:CK60"/>
    <mergeCell ref="CM59:CS60"/>
    <mergeCell ref="CU59:DA60"/>
    <mergeCell ref="T61:AA62"/>
    <mergeCell ref="AB61:AC62"/>
    <mergeCell ref="AD61:AD62"/>
    <mergeCell ref="BY61:CC62"/>
    <mergeCell ref="BJ63:BQ64"/>
    <mergeCell ref="U64:W65"/>
    <mergeCell ref="BY64:CC65"/>
    <mergeCell ref="CU64:DA65"/>
    <mergeCell ref="S66:T66"/>
    <mergeCell ref="S67:U67"/>
    <mergeCell ref="BJ67:BQ68"/>
    <mergeCell ref="BY67:CC69"/>
    <mergeCell ref="T69:T70"/>
    <mergeCell ref="U69:U70"/>
    <mergeCell ref="BJ74:BV75"/>
    <mergeCell ref="BJ82:BV83"/>
    <mergeCell ref="BJ90:BV91"/>
    <mergeCell ref="AA96:AD96"/>
    <mergeCell ref="AC98:AD98"/>
    <mergeCell ref="AA99:AB99"/>
    <mergeCell ref="BJ99:BV100"/>
    <mergeCell ref="V69:V70"/>
    <mergeCell ref="AA69:AA70"/>
    <mergeCell ref="AB69:AB70"/>
    <mergeCell ref="AC69:AC70"/>
    <mergeCell ref="AD69:AD70"/>
    <mergeCell ref="BJ69:BQ70"/>
    <mergeCell ref="U113:W114"/>
    <mergeCell ref="S115:T115"/>
    <mergeCell ref="S116:U116"/>
    <mergeCell ref="T118:T119"/>
    <mergeCell ref="U118:U119"/>
    <mergeCell ref="V118:V119"/>
    <mergeCell ref="AA102:AD103"/>
    <mergeCell ref="AA106:AD107"/>
    <mergeCell ref="BJ107:BV108"/>
    <mergeCell ref="T110:AA111"/>
    <mergeCell ref="AB110:AC111"/>
    <mergeCell ref="AD110:AD111"/>
    <mergeCell ref="AA148:AB148"/>
    <mergeCell ref="AA151:AD152"/>
    <mergeCell ref="AA155:AD156"/>
    <mergeCell ref="AA118:AA119"/>
    <mergeCell ref="AB118:AB119"/>
    <mergeCell ref="AC118:AC119"/>
    <mergeCell ref="AD118:AD119"/>
    <mergeCell ref="AA145:AD145"/>
    <mergeCell ref="AC147:AD147"/>
  </mergeCells>
  <phoneticPr fontId="121" type="noConversion"/>
  <conditionalFormatting sqref="V22:V35">
    <cfRule type="cellIs" dxfId="396" priority="59" operator="notEqual">
      <formula>1</formula>
    </cfRule>
  </conditionalFormatting>
  <conditionalFormatting sqref="V71:V84">
    <cfRule type="cellIs" dxfId="395" priority="61" operator="notEqual">
      <formula>1</formula>
    </cfRule>
  </conditionalFormatting>
  <conditionalFormatting sqref="V120:V133">
    <cfRule type="cellIs" dxfId="394" priority="60" operator="notEqual">
      <formula>1</formula>
    </cfRule>
  </conditionalFormatting>
  <conditionalFormatting sqref="X22 X24:X26">
    <cfRule type="expression" dxfId="393" priority="56">
      <formula>LEFT(X22,4)="info"</formula>
    </cfRule>
  </conditionalFormatting>
  <conditionalFormatting sqref="X22 X25:X26">
    <cfRule type="expression" dxfId="392" priority="57">
      <formula>LEFT(X22,1)="⚠"</formula>
    </cfRule>
    <cfRule type="expression" dxfId="391" priority="58">
      <formula>LEFT(X22,4)="info"</formula>
    </cfRule>
  </conditionalFormatting>
  <conditionalFormatting sqref="X22:X35">
    <cfRule type="expression" dxfId="390" priority="49">
      <formula>LEFT(X22,1)="⚠"</formula>
    </cfRule>
    <cfRule type="expression" dxfId="389" priority="50">
      <formula>LEFT(X22,4)="info"</formula>
    </cfRule>
    <cfRule type="expression" dxfId="388" priority="51">
      <formula>LEFT(X22,1)="⚠"</formula>
    </cfRule>
    <cfRule type="expression" dxfId="387" priority="52">
      <formula>LEFT(X22,4)="info"</formula>
    </cfRule>
  </conditionalFormatting>
  <conditionalFormatting sqref="X24">
    <cfRule type="expression" dxfId="386" priority="53">
      <formula>LEFT(X24,1)="⚠"</formula>
    </cfRule>
    <cfRule type="expression" dxfId="385" priority="54">
      <formula>LEFT(X24,4)="info"</formula>
    </cfRule>
  </conditionalFormatting>
  <conditionalFormatting sqref="X24:X26 X22">
    <cfRule type="expression" dxfId="384" priority="55">
      <formula>LEFT(X22,1)="⚠"</formula>
    </cfRule>
  </conditionalFormatting>
  <conditionalFormatting sqref="AE22:AE40">
    <cfRule type="expression" dxfId="375" priority="41">
      <formula>LEFT(AE22,1)="⚠"</formula>
    </cfRule>
    <cfRule type="expression" dxfId="374" priority="42">
      <formula>LEFT(AE22,4)="info"</formula>
    </cfRule>
    <cfRule type="expression" dxfId="373" priority="43">
      <formula>LEFT(AE22,1)="⚠"</formula>
    </cfRule>
    <cfRule type="expression" dxfId="372" priority="44">
      <formula>LEFT(AE22,4)="info"</formula>
    </cfRule>
  </conditionalFormatting>
  <conditionalFormatting sqref="X71:X84">
    <cfRule type="expression" dxfId="347" priority="30">
      <formula>LEFT(X71,4)="info"</formula>
    </cfRule>
  </conditionalFormatting>
  <conditionalFormatting sqref="X71:X84">
    <cfRule type="expression" dxfId="346" priority="31">
      <formula>LEFT(X71,1)="⚠"</formula>
    </cfRule>
    <cfRule type="expression" dxfId="345" priority="32">
      <formula>LEFT(X71,4)="info"</formula>
    </cfRule>
  </conditionalFormatting>
  <conditionalFormatting sqref="X71:X84">
    <cfRule type="expression" dxfId="344" priority="25">
      <formula>LEFT(X71,1)="⚠"</formula>
    </cfRule>
    <cfRule type="expression" dxfId="343" priority="26">
      <formula>LEFT(X71,4)="info"</formula>
    </cfRule>
    <cfRule type="expression" dxfId="342" priority="27">
      <formula>LEFT(X71,1)="⚠"</formula>
    </cfRule>
    <cfRule type="expression" dxfId="341" priority="28">
      <formula>LEFT(X71,4)="info"</formula>
    </cfRule>
  </conditionalFormatting>
  <conditionalFormatting sqref="X71:X84">
    <cfRule type="expression" dxfId="340" priority="29">
      <formula>LEFT(X71,1)="⚠"</formula>
    </cfRule>
  </conditionalFormatting>
  <conditionalFormatting sqref="X120:X133">
    <cfRule type="expression" dxfId="331" priority="14">
      <formula>LEFT(X120,4)="info"</formula>
    </cfRule>
  </conditionalFormatting>
  <conditionalFormatting sqref="X120:X133">
    <cfRule type="expression" dxfId="330" priority="15">
      <formula>LEFT(X120,1)="⚠"</formula>
    </cfRule>
    <cfRule type="expression" dxfId="329" priority="16">
      <formula>LEFT(X120,4)="info"</formula>
    </cfRule>
  </conditionalFormatting>
  <conditionalFormatting sqref="X120:X133">
    <cfRule type="expression" dxfId="328" priority="9">
      <formula>LEFT(X120,1)="⚠"</formula>
    </cfRule>
    <cfRule type="expression" dxfId="327" priority="10">
      <formula>LEFT(X120,4)="info"</formula>
    </cfRule>
    <cfRule type="expression" dxfId="326" priority="11">
      <formula>LEFT(X120,1)="⚠"</formula>
    </cfRule>
    <cfRule type="expression" dxfId="325" priority="12">
      <formula>LEFT(X120,4)="info"</formula>
    </cfRule>
  </conditionalFormatting>
  <conditionalFormatting sqref="X120:X133">
    <cfRule type="expression" dxfId="324" priority="13">
      <formula>LEFT(X120,1)="⚠"</formula>
    </cfRule>
  </conditionalFormatting>
  <conditionalFormatting sqref="AE71:AE89">
    <cfRule type="expression" dxfId="319" priority="5">
      <formula>LEFT(AE71,1)="⚠"</formula>
    </cfRule>
    <cfRule type="expression" dxfId="318" priority="6">
      <formula>LEFT(AE71,4)="info"</formula>
    </cfRule>
    <cfRule type="expression" dxfId="317" priority="7">
      <formula>LEFT(AE71,1)="⚠"</formula>
    </cfRule>
    <cfRule type="expression" dxfId="316" priority="8">
      <formula>LEFT(AE71,4)="info"</formula>
    </cfRule>
  </conditionalFormatting>
  <conditionalFormatting sqref="AE119:AE137">
    <cfRule type="expression" dxfId="311" priority="1">
      <formula>LEFT(AE119,1)="⚠"</formula>
    </cfRule>
    <cfRule type="expression" dxfId="310" priority="2">
      <formula>LEFT(AE119,4)="info"</formula>
    </cfRule>
    <cfRule type="expression" dxfId="309" priority="3">
      <formula>LEFT(AE119,1)="⚠"</formula>
    </cfRule>
    <cfRule type="expression" dxfId="308" priority="4">
      <formula>LEFT(AE119,4)="info"</formula>
    </cfRule>
  </conditionalFormatting>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4DBA-47F6-4347-BE91-EF66F0363981}">
  <dimension ref="A1:DE551"/>
  <sheetViews>
    <sheetView zoomScaleNormal="100" workbookViewId="0">
      <selection activeCell="J18" sqref="J18"/>
    </sheetView>
  </sheetViews>
  <sheetFormatPr baseColWidth="10" defaultColWidth="11.42578125" defaultRowHeight="15"/>
  <cols>
    <col min="1" max="1" width="6.85546875" style="4" customWidth="1"/>
    <col min="2" max="2" width="3.7109375" style="4" customWidth="1"/>
    <col min="3" max="3" width="9.7109375" customWidth="1"/>
    <col min="4" max="5" width="12.7109375" style="4" customWidth="1"/>
    <col min="6" max="6" width="4" style="4" customWidth="1"/>
    <col min="7" max="7" width="9.7109375" style="4" customWidth="1"/>
    <col min="8" max="8" width="13" style="4" customWidth="1"/>
    <col min="9" max="9" width="13.5703125" style="4" customWidth="1"/>
    <col min="10" max="10" width="40.7109375" style="4" customWidth="1"/>
    <col min="11" max="11" width="3.140625" style="4" customWidth="1"/>
    <col min="12" max="12" width="3.7109375" style="4" customWidth="1"/>
    <col min="13" max="16" width="5.7109375" style="4" customWidth="1"/>
    <col min="17" max="18" width="12.7109375" style="4" customWidth="1"/>
    <col min="19" max="19" width="4" style="4" customWidth="1"/>
    <col min="20" max="20" width="9.7109375" style="4" customWidth="1"/>
    <col min="21" max="21" width="12.85546875" style="4" customWidth="1"/>
    <col min="22" max="22" width="13.42578125" style="4" customWidth="1"/>
    <col min="23" max="23" width="40.7109375" style="4" customWidth="1"/>
    <col min="24" max="24" width="14.7109375" style="4" customWidth="1"/>
    <col min="25" max="25" width="10.5703125" style="4" customWidth="1"/>
    <col min="26" max="26" width="9.28515625" style="4" customWidth="1"/>
    <col min="27" max="27" width="12.28515625" style="4" customWidth="1"/>
    <col min="28" max="28" width="9.7109375" style="5657" customWidth="1"/>
    <col min="29" max="29" width="12.7109375" style="5657" customWidth="1"/>
    <col min="30" max="30" width="13.7109375" style="5657" customWidth="1"/>
    <col min="31" max="31" width="17.85546875" style="5657" customWidth="1"/>
    <col min="32" max="32" width="10.7109375" style="4" customWidth="1"/>
    <col min="33" max="33" width="21.28515625" style="4" customWidth="1"/>
    <col min="34" max="37" width="5.7109375" style="4" customWidth="1"/>
    <col min="38" max="38" width="11.7109375" style="4" customWidth="1"/>
    <col min="39" max="39" width="7.140625" style="4" customWidth="1"/>
    <col min="40" max="40" width="15.28515625" style="4" customWidth="1"/>
    <col min="41" max="41" width="12.7109375" style="4" customWidth="1"/>
    <col min="42" max="42" width="14.140625" style="5657" customWidth="1"/>
    <col min="43" max="43" width="11.7109375" style="5657" customWidth="1"/>
    <col min="44" max="44" width="24.5703125" style="5657" customWidth="1"/>
    <col min="45" max="45" width="10.140625" style="5657" customWidth="1"/>
    <col min="46" max="46" width="9.7109375" style="5657" customWidth="1"/>
    <col min="47" max="47" width="11.7109375" style="5657" customWidth="1"/>
    <col min="48" max="48" width="12.85546875" style="5657" customWidth="1"/>
    <col min="49" max="49" width="33" style="5657" customWidth="1"/>
    <col min="50" max="50" width="12.7109375" style="5657" customWidth="1"/>
    <col min="51" max="51" width="10.28515625" style="5657" customWidth="1"/>
    <col min="52" max="52" width="9" style="5657" customWidth="1"/>
    <col min="53" max="53" width="11.7109375" customWidth="1"/>
    <col min="54" max="55" width="17.7109375" style="4" customWidth="1"/>
    <col min="56" max="56" width="14.140625" style="4" customWidth="1"/>
    <col min="57" max="57" width="45" style="5657" customWidth="1"/>
    <col min="58" max="58" width="4.5703125" style="5657" customWidth="1"/>
    <col min="59" max="59" width="6.85546875" style="4" customWidth="1"/>
    <col min="60" max="60" width="15.7109375" style="2" customWidth="1"/>
    <col min="61" max="61" width="11.7109375" style="2" customWidth="1"/>
    <col min="62" max="64" width="14.7109375" style="2" customWidth="1"/>
    <col min="65" max="67" width="11.7109375" style="2" customWidth="1"/>
    <col min="68" max="68" width="20.42578125" style="2" customWidth="1"/>
    <col min="69" max="69" width="17.7109375" style="4" customWidth="1"/>
    <col min="70" max="74" width="14.7109375" customWidth="1"/>
    <col min="75" max="75" width="5.5703125" customWidth="1"/>
    <col min="76" max="76" width="11.5703125" customWidth="1"/>
    <col min="77" max="77" width="16.7109375" customWidth="1"/>
    <col min="78" max="78" width="17" bestFit="1" customWidth="1"/>
    <col min="79" max="79" width="11.7109375" customWidth="1"/>
    <col min="80" max="80" width="41" customWidth="1"/>
    <col min="81" max="81" width="11.42578125" style="4"/>
    <col min="82" max="82" width="3.7109375" style="4" customWidth="1"/>
    <col min="83" max="83" width="19.7109375" customWidth="1"/>
    <col min="84" max="84" width="18.7109375" customWidth="1"/>
    <col min="85" max="85" width="10.7109375" customWidth="1"/>
    <col min="86" max="86" width="16.7109375" customWidth="1"/>
    <col min="87" max="87" width="17" bestFit="1" customWidth="1"/>
    <col min="88" max="88" width="11.7109375" customWidth="1"/>
    <col min="89" max="89" width="41" customWidth="1"/>
    <col min="90" max="90" width="4.85546875" style="4" customWidth="1"/>
    <col min="91" max="91" width="19.7109375" customWidth="1"/>
    <col min="92" max="92" width="18.7109375" customWidth="1"/>
    <col min="93" max="93" width="10.7109375" customWidth="1"/>
    <col min="94" max="94" width="16.7109375" customWidth="1"/>
    <col min="95" max="95" width="17" bestFit="1" customWidth="1"/>
    <col min="96" max="96" width="11.7109375" customWidth="1"/>
    <col min="97" max="97" width="41" customWidth="1"/>
    <col min="98" max="98" width="4.85546875" style="4" customWidth="1"/>
    <col min="99" max="99" width="19.7109375" customWidth="1"/>
    <col min="100" max="100" width="18.7109375" customWidth="1"/>
    <col min="101" max="101" width="10.7109375" customWidth="1"/>
    <col min="102" max="102" width="16.7109375" customWidth="1"/>
    <col min="103" max="103" width="17" bestFit="1" customWidth="1"/>
    <col min="104" max="104" width="11.7109375" customWidth="1"/>
    <col min="105" max="105" width="41" customWidth="1"/>
    <col min="106" max="106" width="4.85546875" style="4" customWidth="1"/>
    <col min="107" max="107" width="7.28515625" style="4" customWidth="1"/>
    <col min="108" max="108" width="11.42578125" style="1"/>
    <col min="109" max="109" width="43.5703125" style="1" customWidth="1"/>
    <col min="110" max="16384" width="11.42578125" style="4"/>
  </cols>
  <sheetData>
    <row r="1" spans="1:109" ht="15" customHeight="1" thickTop="1">
      <c r="A1" s="9" t="str">
        <f>ADDRESS(ROW(),COLUMN(),4)</f>
        <v>A1</v>
      </c>
      <c r="B1" s="443" t="str">
        <f t="shared" ref="B1:BE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t="str">
        <f t="shared" si="0"/>
        <v>N</v>
      </c>
      <c r="O1" s="443" t="str">
        <f t="shared" si="0"/>
        <v>O</v>
      </c>
      <c r="P1" s="443" t="str">
        <f t="shared" si="0"/>
        <v>P</v>
      </c>
      <c r="Q1" s="443" t="str">
        <f t="shared" si="0"/>
        <v>Q</v>
      </c>
      <c r="R1" s="443" t="str">
        <f t="shared" si="0"/>
        <v>R</v>
      </c>
      <c r="S1" s="443" t="str">
        <f t="shared" si="0"/>
        <v>S</v>
      </c>
      <c r="T1" s="443" t="str">
        <f t="shared" si="0"/>
        <v>T</v>
      </c>
      <c r="U1" s="443" t="str">
        <f t="shared" si="0"/>
        <v>U</v>
      </c>
      <c r="V1" s="443" t="str">
        <f t="shared" si="0"/>
        <v>V</v>
      </c>
      <c r="W1" s="443" t="str">
        <f t="shared" si="0"/>
        <v>W</v>
      </c>
      <c r="X1" s="443"/>
      <c r="Y1" s="443" t="str">
        <f t="shared" si="0"/>
        <v>Y</v>
      </c>
      <c r="Z1" s="443" t="str">
        <f t="shared" si="0"/>
        <v>Z</v>
      </c>
      <c r="AA1" s="443" t="str">
        <f t="shared" si="0"/>
        <v>AA</v>
      </c>
      <c r="AB1" s="443" t="str">
        <f t="shared" si="0"/>
        <v>AB</v>
      </c>
      <c r="AC1" s="443" t="str">
        <f t="shared" si="0"/>
        <v>AC</v>
      </c>
      <c r="AD1" s="443" t="str">
        <f t="shared" si="0"/>
        <v>AD</v>
      </c>
      <c r="AE1" s="1715"/>
      <c r="AF1" s="443" t="str">
        <f t="shared" si="0"/>
        <v>AF</v>
      </c>
      <c r="AG1" s="443" t="str">
        <f t="shared" si="0"/>
        <v>AG</v>
      </c>
      <c r="AH1" s="443" t="str">
        <f t="shared" si="0"/>
        <v>AH</v>
      </c>
      <c r="AI1" s="443" t="str">
        <f t="shared" si="0"/>
        <v>AI</v>
      </c>
      <c r="AJ1" s="443" t="str">
        <f t="shared" si="0"/>
        <v>AJ</v>
      </c>
      <c r="AK1" s="443" t="str">
        <f t="shared" si="0"/>
        <v>AK</v>
      </c>
      <c r="AL1" s="443" t="str">
        <f t="shared" si="0"/>
        <v>AL</v>
      </c>
      <c r="AM1" s="443" t="str">
        <f t="shared" si="0"/>
        <v>AM</v>
      </c>
      <c r="AN1" s="443" t="str">
        <f t="shared" si="0"/>
        <v>AN</v>
      </c>
      <c r="AO1" s="443" t="str">
        <f t="shared" si="0"/>
        <v>AO</v>
      </c>
      <c r="AP1" s="443" t="str">
        <f t="shared" si="0"/>
        <v>AP</v>
      </c>
      <c r="AQ1" s="443" t="str">
        <f t="shared" si="0"/>
        <v>AQ</v>
      </c>
      <c r="AR1" s="443" t="str">
        <f t="shared" si="0"/>
        <v>AR</v>
      </c>
      <c r="AS1" s="443" t="str">
        <f t="shared" si="0"/>
        <v>AS</v>
      </c>
      <c r="AT1" s="443" t="str">
        <f t="shared" si="0"/>
        <v>AT</v>
      </c>
      <c r="AU1" s="443" t="str">
        <f t="shared" si="0"/>
        <v>AU</v>
      </c>
      <c r="AV1" s="443" t="str">
        <f t="shared" si="0"/>
        <v>AV</v>
      </c>
      <c r="AW1" s="443" t="str">
        <f t="shared" si="0"/>
        <v>AW</v>
      </c>
      <c r="AX1" s="443" t="str">
        <f t="shared" si="0"/>
        <v>AX</v>
      </c>
      <c r="AY1" s="443" t="str">
        <f t="shared" si="0"/>
        <v>AY</v>
      </c>
      <c r="AZ1" s="443" t="str">
        <f t="shared" si="0"/>
        <v>AZ</v>
      </c>
      <c r="BA1" s="443" t="str">
        <f t="shared" si="0"/>
        <v>BA</v>
      </c>
      <c r="BB1" s="443" t="str">
        <f t="shared" si="0"/>
        <v>BB</v>
      </c>
      <c r="BC1" s="443" t="str">
        <f t="shared" si="0"/>
        <v>BC</v>
      </c>
      <c r="BD1" s="443" t="str">
        <f t="shared" si="0"/>
        <v>BD</v>
      </c>
      <c r="BE1" s="443" t="str">
        <f t="shared" si="0"/>
        <v>BE</v>
      </c>
      <c r="BF1" s="1715"/>
      <c r="BG1" s="1301"/>
      <c r="BH1" s="442" t="str">
        <f t="shared" ref="BH1:BQ1" si="1">SUBSTITUTE(ADDRESS(1,COLUMN(),4),"1","")</f>
        <v>BH</v>
      </c>
      <c r="BI1" s="442" t="str">
        <f t="shared" si="1"/>
        <v>BI</v>
      </c>
      <c r="BJ1" s="442" t="str">
        <f t="shared" si="1"/>
        <v>BJ</v>
      </c>
      <c r="BK1" s="442"/>
      <c r="BL1" s="442"/>
      <c r="BM1" s="442" t="str">
        <f t="shared" si="1"/>
        <v>BM</v>
      </c>
      <c r="BN1" s="442" t="str">
        <f t="shared" si="1"/>
        <v>BN</v>
      </c>
      <c r="BO1" s="442" t="str">
        <f t="shared" si="1"/>
        <v>BO</v>
      </c>
      <c r="BP1" s="442" t="str">
        <f t="shared" si="1"/>
        <v>BP</v>
      </c>
      <c r="BQ1" s="442" t="str">
        <f t="shared" si="1"/>
        <v>BQ</v>
      </c>
      <c r="BX1" s="442" t="str">
        <f t="shared" ref="BX1:CC1" si="2">SUBSTITUTE(ADDRESS(1,COLUMN(),4),"1","")</f>
        <v>BX</v>
      </c>
      <c r="BY1" s="442" t="str">
        <f t="shared" si="2"/>
        <v>BY</v>
      </c>
      <c r="BZ1" s="442" t="str">
        <f t="shared" si="2"/>
        <v>BZ</v>
      </c>
      <c r="CA1" s="442" t="str">
        <f t="shared" si="2"/>
        <v>CA</v>
      </c>
      <c r="CB1" s="442" t="str">
        <f t="shared" si="2"/>
        <v>CB</v>
      </c>
      <c r="CC1" s="442" t="str">
        <f t="shared" si="2"/>
        <v>CC</v>
      </c>
      <c r="CE1" s="442" t="str">
        <f t="shared" ref="CE1:DA1" si="3">SUBSTITUTE(ADDRESS(1,COLUMN(),4),"1","")</f>
        <v>CE</v>
      </c>
      <c r="CF1" s="442" t="str">
        <f t="shared" si="3"/>
        <v>CF</v>
      </c>
      <c r="CG1" s="442" t="str">
        <f t="shared" si="3"/>
        <v>CG</v>
      </c>
      <c r="CH1" s="442" t="str">
        <f t="shared" si="3"/>
        <v>CH</v>
      </c>
      <c r="CI1" s="442" t="str">
        <f t="shared" si="3"/>
        <v>CI</v>
      </c>
      <c r="CJ1" s="442" t="str">
        <f t="shared" si="3"/>
        <v>CJ</v>
      </c>
      <c r="CK1" s="442" t="str">
        <f t="shared" si="3"/>
        <v>CK</v>
      </c>
      <c r="CM1" s="442" t="str">
        <f t="shared" si="3"/>
        <v>CM</v>
      </c>
      <c r="CN1" s="442" t="str">
        <f t="shared" si="3"/>
        <v>CN</v>
      </c>
      <c r="CO1" s="442" t="str">
        <f t="shared" si="3"/>
        <v>CO</v>
      </c>
      <c r="CP1" s="442" t="str">
        <f t="shared" si="3"/>
        <v>CP</v>
      </c>
      <c r="CQ1" s="442" t="str">
        <f t="shared" si="3"/>
        <v>CQ</v>
      </c>
      <c r="CR1" s="442" t="str">
        <f t="shared" si="3"/>
        <v>CR</v>
      </c>
      <c r="CS1" s="442" t="str">
        <f t="shared" si="3"/>
        <v>CS</v>
      </c>
      <c r="CU1" s="442" t="str">
        <f t="shared" si="3"/>
        <v>CU</v>
      </c>
      <c r="CV1" s="442" t="str">
        <f t="shared" si="3"/>
        <v>CV</v>
      </c>
      <c r="CW1" s="442" t="str">
        <f t="shared" si="3"/>
        <v>CW</v>
      </c>
      <c r="CX1" s="442" t="str">
        <f t="shared" si="3"/>
        <v>CX</v>
      </c>
      <c r="CY1" s="442" t="str">
        <f t="shared" si="3"/>
        <v>CY</v>
      </c>
      <c r="CZ1" s="442" t="str">
        <f t="shared" si="3"/>
        <v>CZ</v>
      </c>
      <c r="DA1" s="442" t="str">
        <f t="shared" si="3"/>
        <v>DA</v>
      </c>
      <c r="DC1" s="5">
        <v>1</v>
      </c>
      <c r="DD1" s="442" t="str">
        <f>SUBSTITUTE(ADDRESS(1,COLUMN(),4),"1","")</f>
        <v>DD</v>
      </c>
      <c r="DE1" s="5497" t="str">
        <f>SUBSTITUTE(ADDRESS(1,COLUMN(),4),"1","")</f>
        <v>DE</v>
      </c>
    </row>
    <row r="2" spans="1:109" ht="23.25" customHeight="1" thickBot="1">
      <c r="B2" s="1288">
        <f t="shared" ref="B2:BE2" ca="1" si="4">CELL("largeur",B2)</f>
        <v>3</v>
      </c>
      <c r="C2" s="1288">
        <f t="shared" ca="1" si="4"/>
        <v>9</v>
      </c>
      <c r="D2" s="1288">
        <f t="shared" ca="1" si="4"/>
        <v>12</v>
      </c>
      <c r="E2" s="1288">
        <f t="shared" ca="1" si="4"/>
        <v>12</v>
      </c>
      <c r="F2" s="1288">
        <f t="shared" ca="1" si="4"/>
        <v>3</v>
      </c>
      <c r="G2" s="1288">
        <f t="shared" ca="1" si="4"/>
        <v>9</v>
      </c>
      <c r="H2" s="1288">
        <f t="shared" ca="1" si="4"/>
        <v>12</v>
      </c>
      <c r="I2" s="1288">
        <f t="shared" ca="1" si="4"/>
        <v>13</v>
      </c>
      <c r="J2" s="1288">
        <f t="shared" ca="1" si="4"/>
        <v>40</v>
      </c>
      <c r="K2" s="1288">
        <f t="shared" ca="1" si="4"/>
        <v>2</v>
      </c>
      <c r="L2" s="6186">
        <f t="shared" ref="L2:AD2" ca="1" si="5">INDEX(CELL("largeur",L2),1,1)</f>
        <v>3</v>
      </c>
      <c r="M2" s="6186">
        <f t="shared" ca="1" si="5"/>
        <v>5</v>
      </c>
      <c r="N2" s="6186">
        <f t="shared" ca="1" si="5"/>
        <v>5</v>
      </c>
      <c r="O2" s="6186">
        <f t="shared" ca="1" si="5"/>
        <v>5</v>
      </c>
      <c r="P2" s="6186">
        <f t="shared" ca="1" si="5"/>
        <v>5</v>
      </c>
      <c r="Q2" s="6186">
        <f t="shared" ca="1" si="5"/>
        <v>12</v>
      </c>
      <c r="R2" s="6186">
        <f t="shared" ca="1" si="5"/>
        <v>12</v>
      </c>
      <c r="S2" s="6186">
        <f t="shared" ca="1" si="5"/>
        <v>3</v>
      </c>
      <c r="T2" s="6186">
        <f t="shared" ca="1" si="5"/>
        <v>9</v>
      </c>
      <c r="U2" s="6186">
        <f t="shared" ca="1" si="5"/>
        <v>12</v>
      </c>
      <c r="V2" s="6186">
        <f t="shared" ca="1" si="5"/>
        <v>13</v>
      </c>
      <c r="W2" s="6186">
        <f t="shared" ca="1" si="5"/>
        <v>40</v>
      </c>
      <c r="X2" s="6186">
        <f t="shared" ca="1" si="5"/>
        <v>14</v>
      </c>
      <c r="Y2" s="6186">
        <f t="shared" ca="1" si="5"/>
        <v>10</v>
      </c>
      <c r="Z2" s="6186">
        <f t="shared" ca="1" si="5"/>
        <v>9</v>
      </c>
      <c r="AA2" s="6186">
        <f t="shared" ca="1" si="5"/>
        <v>12</v>
      </c>
      <c r="AB2" s="6186">
        <f t="shared" ca="1" si="5"/>
        <v>9</v>
      </c>
      <c r="AC2" s="6186">
        <f t="shared" ca="1" si="5"/>
        <v>12</v>
      </c>
      <c r="AD2" s="6186">
        <f t="shared" ca="1" si="5"/>
        <v>13</v>
      </c>
      <c r="AE2" s="1715"/>
      <c r="AF2" s="1288">
        <f t="shared" ca="1" si="4"/>
        <v>10</v>
      </c>
      <c r="AG2" s="1288">
        <f t="shared" ca="1" si="4"/>
        <v>21</v>
      </c>
      <c r="AH2" s="1288">
        <f t="shared" ca="1" si="4"/>
        <v>5</v>
      </c>
      <c r="AI2" s="1288">
        <f t="shared" ca="1" si="4"/>
        <v>5</v>
      </c>
      <c r="AJ2" s="1288">
        <f t="shared" ca="1" si="4"/>
        <v>5</v>
      </c>
      <c r="AK2" s="1288">
        <f t="shared" ca="1" si="4"/>
        <v>5</v>
      </c>
      <c r="AL2" s="1288">
        <f t="shared" ca="1" si="4"/>
        <v>11</v>
      </c>
      <c r="AM2" s="1288">
        <f t="shared" ca="1" si="4"/>
        <v>6</v>
      </c>
      <c r="AN2" s="1288">
        <f t="shared" ca="1" si="4"/>
        <v>15</v>
      </c>
      <c r="AO2" s="1288">
        <f t="shared" ca="1" si="4"/>
        <v>12</v>
      </c>
      <c r="AP2" s="1288">
        <f t="shared" ca="1" si="4"/>
        <v>13</v>
      </c>
      <c r="AQ2" s="1288">
        <f t="shared" ca="1" si="4"/>
        <v>11</v>
      </c>
      <c r="AR2" s="1288">
        <f t="shared" ca="1" si="4"/>
        <v>24</v>
      </c>
      <c r="AS2" s="1288">
        <f t="shared" ca="1" si="4"/>
        <v>9</v>
      </c>
      <c r="AT2" s="1288">
        <f t="shared" ca="1" si="4"/>
        <v>9</v>
      </c>
      <c r="AU2" s="1288">
        <f t="shared" ca="1" si="4"/>
        <v>11</v>
      </c>
      <c r="AV2" s="1288">
        <f t="shared" ca="1" si="4"/>
        <v>12</v>
      </c>
      <c r="AW2" s="1288">
        <f t="shared" ca="1" si="4"/>
        <v>32</v>
      </c>
      <c r="AX2" s="1288">
        <f t="shared" ca="1" si="4"/>
        <v>12</v>
      </c>
      <c r="AY2" s="1288">
        <f t="shared" ca="1" si="4"/>
        <v>10</v>
      </c>
      <c r="AZ2" s="1288">
        <f t="shared" ca="1" si="4"/>
        <v>8</v>
      </c>
      <c r="BA2" s="1288">
        <f t="shared" ca="1" si="4"/>
        <v>11</v>
      </c>
      <c r="BB2" s="1288">
        <f t="shared" ca="1" si="4"/>
        <v>17</v>
      </c>
      <c r="BC2" s="1288">
        <f t="shared" ca="1" si="4"/>
        <v>17</v>
      </c>
      <c r="BD2" s="1288">
        <f t="shared" ca="1" si="4"/>
        <v>13</v>
      </c>
      <c r="BE2" s="1288">
        <f t="shared" ca="1" si="4"/>
        <v>44</v>
      </c>
      <c r="BF2" s="1715"/>
      <c r="BG2" s="1301"/>
      <c r="BH2" s="91">
        <f ca="1">CELL("largeur",BH2)</f>
        <v>15</v>
      </c>
      <c r="BI2" s="91">
        <f ca="1">CELL("largeur",BI2)</f>
        <v>11</v>
      </c>
      <c r="BJ2" s="91">
        <f ca="1">CELL("largeur",BJ2)</f>
        <v>14</v>
      </c>
      <c r="BK2" s="91"/>
      <c r="BL2" s="91"/>
      <c r="BM2" s="91">
        <f ca="1">CELL("largeur",BM2)</f>
        <v>11</v>
      </c>
      <c r="BN2" s="91">
        <f ca="1">CELL("largeur",BN2)</f>
        <v>11</v>
      </c>
      <c r="BO2" s="91">
        <f ca="1">CELL("largeur",BO2)</f>
        <v>11</v>
      </c>
      <c r="BP2" s="91">
        <f ca="1">CELL("largeur",BP2)</f>
        <v>20</v>
      </c>
      <c r="BQ2" s="91">
        <f ca="1">CELL("largeur",BQ2)</f>
        <v>17</v>
      </c>
      <c r="BX2" s="91">
        <f t="shared" ref="BX2:CC2" ca="1" si="6">CELL("largeur",BX2)</f>
        <v>11</v>
      </c>
      <c r="BY2" s="91">
        <f t="shared" ca="1" si="6"/>
        <v>16</v>
      </c>
      <c r="BZ2" s="91">
        <f t="shared" ca="1" si="6"/>
        <v>16</v>
      </c>
      <c r="CA2" s="91">
        <f t="shared" ca="1" si="6"/>
        <v>11</v>
      </c>
      <c r="CB2" s="91">
        <f t="shared" ca="1" si="6"/>
        <v>40</v>
      </c>
      <c r="CC2" s="91">
        <f t="shared" ca="1" si="6"/>
        <v>11</v>
      </c>
      <c r="CE2" s="91">
        <f t="shared" ref="CE2:CK2" ca="1" si="7">CELL("largeur",CE2)</f>
        <v>19</v>
      </c>
      <c r="CF2" s="91">
        <f t="shared" ca="1" si="7"/>
        <v>18</v>
      </c>
      <c r="CG2" s="91">
        <f t="shared" ca="1" si="7"/>
        <v>10</v>
      </c>
      <c r="CH2" s="91">
        <f t="shared" ca="1" si="7"/>
        <v>16</v>
      </c>
      <c r="CI2" s="91">
        <f t="shared" ca="1" si="7"/>
        <v>16</v>
      </c>
      <c r="CJ2" s="91">
        <f t="shared" ca="1" si="7"/>
        <v>11</v>
      </c>
      <c r="CK2" s="91">
        <f t="shared" ca="1" si="7"/>
        <v>40</v>
      </c>
      <c r="CM2" s="91">
        <f t="shared" ref="CM2:CS2" ca="1" si="8">CELL("largeur",CM2)</f>
        <v>19</v>
      </c>
      <c r="CN2" s="91">
        <f t="shared" ca="1" si="8"/>
        <v>18</v>
      </c>
      <c r="CO2" s="91">
        <f t="shared" ca="1" si="8"/>
        <v>10</v>
      </c>
      <c r="CP2" s="91">
        <f t="shared" ca="1" si="8"/>
        <v>16</v>
      </c>
      <c r="CQ2" s="91">
        <f t="shared" ca="1" si="8"/>
        <v>16</v>
      </c>
      <c r="CR2" s="91">
        <f t="shared" ca="1" si="8"/>
        <v>11</v>
      </c>
      <c r="CS2" s="91">
        <f t="shared" ca="1" si="8"/>
        <v>40</v>
      </c>
      <c r="CU2" s="91">
        <f t="shared" ref="CU2:DA2" ca="1" si="9">CELL("largeur",CU2)</f>
        <v>19</v>
      </c>
      <c r="CV2" s="91">
        <f t="shared" ca="1" si="9"/>
        <v>18</v>
      </c>
      <c r="CW2" s="91">
        <f t="shared" ca="1" si="9"/>
        <v>10</v>
      </c>
      <c r="CX2" s="91">
        <f t="shared" ca="1" si="9"/>
        <v>16</v>
      </c>
      <c r="CY2" s="91">
        <f t="shared" ca="1" si="9"/>
        <v>16</v>
      </c>
      <c r="CZ2" s="91">
        <f t="shared" ca="1" si="9"/>
        <v>11</v>
      </c>
      <c r="DA2" s="91">
        <f t="shared" ca="1" si="9"/>
        <v>40</v>
      </c>
      <c r="DC2" s="5">
        <v>1</v>
      </c>
      <c r="DD2" s="6323" t="s">
        <v>8850</v>
      </c>
      <c r="DE2" s="440"/>
    </row>
    <row r="3" spans="1:109" s="1301" customFormat="1" ht="23.25" customHeight="1">
      <c r="A3" s="5641" t="s">
        <v>1</v>
      </c>
      <c r="B3" s="6228"/>
      <c r="C3" s="6228" t="s">
        <v>8838</v>
      </c>
      <c r="D3" s="6228"/>
      <c r="E3" s="6228"/>
      <c r="F3" s="6228"/>
      <c r="G3" s="6228"/>
      <c r="H3" s="6228"/>
      <c r="I3" s="6228"/>
      <c r="J3" s="6228"/>
      <c r="K3" s="6228"/>
      <c r="L3" s="5651" t="s">
        <v>255</v>
      </c>
      <c r="M3" s="5651" t="s">
        <v>10688</v>
      </c>
      <c r="N3" s="5651"/>
      <c r="O3" s="372"/>
      <c r="P3" s="372"/>
      <c r="Q3" s="372"/>
      <c r="R3" s="372"/>
      <c r="S3" s="372"/>
      <c r="T3" s="372"/>
      <c r="U3" s="372"/>
      <c r="V3" s="372"/>
      <c r="W3" s="372"/>
      <c r="X3" s="372"/>
      <c r="Y3" s="372"/>
      <c r="Z3" s="372"/>
      <c r="AA3" s="372"/>
      <c r="AB3" s="372"/>
      <c r="AC3" s="372"/>
      <c r="AD3" s="5651" t="s">
        <v>255</v>
      </c>
      <c r="AE3" s="1715"/>
      <c r="AG3" s="6861" t="s">
        <v>11018</v>
      </c>
      <c r="AH3" s="6246" t="s">
        <v>11019</v>
      </c>
      <c r="AI3" s="6246"/>
      <c r="AJ3" s="6246"/>
      <c r="AK3" s="6246"/>
      <c r="AL3" s="5651"/>
      <c r="AM3" s="5651"/>
      <c r="AN3" s="5651"/>
      <c r="AO3" s="5651"/>
      <c r="AP3" s="5651" t="s">
        <v>255</v>
      </c>
      <c r="AQ3" s="6320" t="s">
        <v>8848</v>
      </c>
      <c r="AR3" s="1715"/>
      <c r="AS3" s="1715"/>
      <c r="AT3" s="1715"/>
      <c r="AU3" s="1715"/>
      <c r="AV3" s="1715"/>
      <c r="AW3" s="1715"/>
      <c r="AX3" s="1715"/>
      <c r="AY3" s="1715"/>
      <c r="AZ3" s="7032" t="s">
        <v>10689</v>
      </c>
      <c r="BA3" s="7032"/>
      <c r="BB3" s="7032"/>
      <c r="BC3" s="7032"/>
      <c r="BD3" s="7032"/>
      <c r="BE3" s="7032"/>
      <c r="BF3" s="1715"/>
      <c r="BH3"/>
      <c r="BM3" s="2"/>
      <c r="BN3" s="2"/>
      <c r="BO3" s="2"/>
      <c r="BP3" s="2"/>
      <c r="BQ3" s="4"/>
      <c r="BR3"/>
      <c r="BS3"/>
      <c r="BT3"/>
      <c r="BU3"/>
      <c r="BV3"/>
      <c r="BW3"/>
      <c r="BX3" s="4"/>
      <c r="BY3" s="4"/>
      <c r="BZ3" s="4"/>
      <c r="CA3" s="4"/>
      <c r="CB3" s="4"/>
      <c r="CC3" s="4"/>
      <c r="CD3" s="4"/>
      <c r="CE3"/>
      <c r="CF3"/>
      <c r="CG3"/>
      <c r="CH3"/>
      <c r="CI3"/>
      <c r="CJ3"/>
      <c r="CK3"/>
      <c r="CL3"/>
      <c r="CN3"/>
      <c r="CO3"/>
      <c r="CP3"/>
      <c r="CQ3"/>
      <c r="CR3"/>
      <c r="CS3"/>
      <c r="CT3" s="4"/>
      <c r="CU3"/>
      <c r="CV3"/>
      <c r="CW3"/>
      <c r="CX3" s="5648" t="s">
        <v>3064</v>
      </c>
      <c r="CY3" s="5649" t="str">
        <f>$DC$551</f>
        <v>DC551</v>
      </c>
      <c r="CZ3"/>
      <c r="DA3" s="5650" t="str">
        <f ca="1">"Page "&amp;_xlfn.SHEET()&amp;" sur "&amp;_xlfn.SHEETS()</f>
        <v>Page 5 sur 28</v>
      </c>
      <c r="DB3" s="4"/>
      <c r="DC3" s="5">
        <v>1</v>
      </c>
      <c r="DD3" s="430">
        <f ca="1">COUNTA(A1:DC551) + COUNTBLANK(A1:DC551)</f>
        <v>64242</v>
      </c>
      <c r="DE3" s="6324" t="str">
        <f>"cellules entre -cells -celdas  "&amp;" " &amp;A1&amp;" et  "&amp;DC551</f>
        <v>cellules entre -cells -celdas   A1 et  DC551</v>
      </c>
    </row>
    <row r="4" spans="1:109" ht="24.75" customHeight="1" thickBot="1">
      <c r="A4" s="5641" t="s">
        <v>1</v>
      </c>
      <c r="B4" s="5654" t="str">
        <f>SUBSTITUTE(ADDRESS(1,COLUMN(),4),"1","")</f>
        <v>B</v>
      </c>
      <c r="C4" s="6318" t="s">
        <v>8839</v>
      </c>
      <c r="D4" s="5655"/>
      <c r="E4" s="5655"/>
      <c r="F4" s="5655"/>
      <c r="G4" s="5655"/>
      <c r="H4" s="5655"/>
      <c r="I4" s="5655"/>
      <c r="J4" s="5655"/>
      <c r="K4" s="5655"/>
      <c r="L4" s="5655"/>
      <c r="M4" s="5655"/>
      <c r="N4" s="5655"/>
      <c r="O4" s="5655"/>
      <c r="P4" s="5655"/>
      <c r="Q4" s="5655"/>
      <c r="R4" s="5655"/>
      <c r="S4" s="5655"/>
      <c r="T4" s="6318" t="s">
        <v>10690</v>
      </c>
      <c r="U4" s="5655"/>
      <c r="V4" s="5655"/>
      <c r="W4" s="5655"/>
      <c r="X4" s="5655"/>
      <c r="Y4" s="5655"/>
      <c r="Z4" s="5655"/>
      <c r="AA4" s="5655"/>
      <c r="AB4" s="5655"/>
      <c r="AC4" s="5655"/>
      <c r="AD4" s="5655"/>
      <c r="AE4" s="106"/>
      <c r="AF4" s="5646"/>
      <c r="AG4" s="5646"/>
      <c r="AH4" s="5646"/>
      <c r="AI4" s="5646"/>
      <c r="AJ4" s="5646"/>
      <c r="AK4" s="5646"/>
      <c r="AL4" s="5656"/>
      <c r="AM4" s="5656"/>
      <c r="AN4" s="5656"/>
      <c r="AP4" s="6321" t="s">
        <v>11017</v>
      </c>
      <c r="AQ4" s="5656" t="s">
        <v>8445</v>
      </c>
      <c r="AR4" s="106"/>
      <c r="AS4" s="106"/>
      <c r="AT4" s="106"/>
      <c r="AU4" s="106"/>
      <c r="AV4" s="106"/>
      <c r="AW4" s="106"/>
      <c r="AX4" s="106"/>
      <c r="AY4" s="106"/>
      <c r="AZ4" s="7033"/>
      <c r="BA4" s="7033"/>
      <c r="BB4" s="7033"/>
      <c r="BC4" s="7033"/>
      <c r="BD4" s="7033"/>
      <c r="BE4" s="7033"/>
      <c r="BF4" s="106"/>
      <c r="BH4"/>
      <c r="BI4" s="4"/>
      <c r="BP4" s="4"/>
      <c r="BX4" s="4"/>
      <c r="BY4" s="4"/>
      <c r="BZ4" s="4"/>
      <c r="CA4" s="6224" t="s">
        <v>8682</v>
      </c>
      <c r="CB4" s="4"/>
      <c r="CL4" s="1301"/>
      <c r="CT4" s="1301"/>
      <c r="CX4" s="1738" t="s">
        <v>8855</v>
      </c>
      <c r="DB4" s="1301"/>
      <c r="DC4" s="5">
        <v>1</v>
      </c>
      <c r="DD4" s="430">
        <f ca="1">COUNTA(A1:DC551)</f>
        <v>17863</v>
      </c>
      <c r="DE4" s="6324" t="s">
        <v>8851</v>
      </c>
    </row>
    <row r="5" spans="1:109" ht="21" customHeight="1">
      <c r="A5" s="5641" t="s">
        <v>1</v>
      </c>
      <c r="B5" s="5662" t="str">
        <f t="shared" ref="B5:B68" si="10">L5</f>
        <v>A</v>
      </c>
      <c r="C5" s="7034" t="s">
        <v>10678</v>
      </c>
      <c r="D5" s="7035"/>
      <c r="E5" s="7035"/>
      <c r="F5" s="7035"/>
      <c r="G5" s="7035"/>
      <c r="H5" s="7035"/>
      <c r="I5" s="7035"/>
      <c r="J5" s="7035"/>
      <c r="K5" s="106" t="s">
        <v>1</v>
      </c>
      <c r="L5" s="5666" t="s">
        <v>21</v>
      </c>
      <c r="M5" s="5682" t="s">
        <v>8344</v>
      </c>
      <c r="N5" s="5676"/>
      <c r="O5" s="5676"/>
      <c r="P5" s="5676"/>
      <c r="Q5" s="5677"/>
      <c r="R5" s="5677"/>
      <c r="S5" s="5677"/>
      <c r="T5" s="5677"/>
      <c r="U5" s="5677"/>
      <c r="V5" s="5677"/>
      <c r="W5" s="5677"/>
      <c r="X5" s="5677"/>
      <c r="Y5" s="5677"/>
      <c r="Z5" s="5677"/>
      <c r="AA5" s="5677"/>
      <c r="AB5" s="5677"/>
      <c r="AC5" s="6822"/>
      <c r="AD5" s="6823" t="s">
        <v>10691</v>
      </c>
      <c r="AE5" s="4" t="s">
        <v>1</v>
      </c>
      <c r="AF5" s="6238" t="s">
        <v>21</v>
      </c>
      <c r="AG5" s="6239" t="s">
        <v>8446</v>
      </c>
      <c r="AH5" s="6239"/>
      <c r="AI5" s="6239"/>
      <c r="AJ5" s="6239"/>
      <c r="AK5" s="6239"/>
      <c r="AL5" s="7038" t="s">
        <v>8689</v>
      </c>
      <c r="AM5" s="7040" t="s">
        <v>11036</v>
      </c>
      <c r="AN5" s="7040"/>
      <c r="AO5" s="7040"/>
      <c r="AP5" s="7040"/>
      <c r="AQ5" s="7040"/>
      <c r="AR5" s="7040"/>
      <c r="AS5" s="7040"/>
      <c r="AT5" s="7040"/>
      <c r="AU5" s="7040"/>
      <c r="AV5" s="7040"/>
      <c r="AW5" s="7040"/>
      <c r="AX5" s="7040"/>
      <c r="AY5" s="7040"/>
      <c r="AZ5" s="7041"/>
      <c r="BA5" s="7041"/>
      <c r="BB5" s="7042" t="s">
        <v>10010</v>
      </c>
      <c r="BC5" s="7042"/>
      <c r="BD5" s="7043" t="str">
        <f>LEFT(AM5,1)</f>
        <v>S</v>
      </c>
      <c r="BE5" s="7044">
        <v>8</v>
      </c>
      <c r="BF5" s="4"/>
      <c r="BH5"/>
      <c r="BI5" s="4"/>
      <c r="BP5" s="4"/>
      <c r="BX5" s="6238" t="str">
        <f t="shared" ref="BX5:BX68" si="11">AF5</f>
        <v>A</v>
      </c>
      <c r="BY5" s="6239" t="s">
        <v>8446</v>
      </c>
      <c r="BZ5" s="5659"/>
      <c r="CA5" s="5659">
        <f>BE6</f>
        <v>0</v>
      </c>
      <c r="CB5" s="5660"/>
      <c r="CC5" s="5660"/>
      <c r="CD5" s="5661"/>
      <c r="CE5" s="7015" t="s">
        <v>8830</v>
      </c>
      <c r="CF5" s="7016"/>
      <c r="CG5" s="7016"/>
      <c r="CH5" s="7016"/>
      <c r="CI5" s="7016"/>
      <c r="CJ5" s="7016"/>
      <c r="CK5" s="7017"/>
      <c r="CM5" s="7015" t="s">
        <v>8829</v>
      </c>
      <c r="CN5" s="7016"/>
      <c r="CO5" s="7016"/>
      <c r="CP5" s="7016"/>
      <c r="CQ5" s="7016"/>
      <c r="CR5" s="7016"/>
      <c r="CS5" s="7017"/>
      <c r="CU5" s="7015" t="s">
        <v>8828</v>
      </c>
      <c r="CV5" s="7016"/>
      <c r="CW5" s="7016"/>
      <c r="CX5" s="7016"/>
      <c r="CY5" s="7016"/>
      <c r="CZ5" s="7016"/>
      <c r="DA5" s="7017"/>
      <c r="DC5" s="5">
        <v>1</v>
      </c>
      <c r="DD5" s="430">
        <f ca="1">COUNTBLANK(A1:DC551)</f>
        <v>46379</v>
      </c>
      <c r="DE5" s="6324" t="s">
        <v>8852</v>
      </c>
    </row>
    <row r="6" spans="1:109" ht="21" customHeight="1">
      <c r="A6" s="5641" t="s">
        <v>1</v>
      </c>
      <c r="B6" s="5662" t="str">
        <f t="shared" si="10"/>
        <v>A</v>
      </c>
      <c r="C6" s="7036"/>
      <c r="D6" s="7037"/>
      <c r="E6" s="7037"/>
      <c r="F6" s="7037"/>
      <c r="G6" s="7037"/>
      <c r="H6" s="7037"/>
      <c r="I6" s="7037"/>
      <c r="J6" s="7037"/>
      <c r="K6" s="106" t="s">
        <v>1</v>
      </c>
      <c r="L6" s="5666" t="s">
        <v>21</v>
      </c>
      <c r="M6" s="5682" t="s">
        <v>8468</v>
      </c>
      <c r="N6" s="5676"/>
      <c r="O6" s="5676"/>
      <c r="P6" s="5676"/>
      <c r="Q6" s="5181"/>
      <c r="R6" s="5181"/>
      <c r="S6" s="5181"/>
      <c r="T6" s="5181"/>
      <c r="U6" s="5181"/>
      <c r="V6" s="5181"/>
      <c r="W6" s="5181"/>
      <c r="X6" s="5181"/>
      <c r="Y6" s="5181"/>
      <c r="Z6" s="5181"/>
      <c r="AA6" s="5181"/>
      <c r="AB6" s="5181"/>
      <c r="AC6" s="5181"/>
      <c r="AD6" s="6824" t="s">
        <v>10692</v>
      </c>
      <c r="AE6" s="4" t="s">
        <v>1</v>
      </c>
      <c r="AF6" s="6232" t="s">
        <v>21</v>
      </c>
      <c r="AG6" s="6322" t="s">
        <v>8849</v>
      </c>
      <c r="AH6" s="6322"/>
      <c r="AI6" s="6322"/>
      <c r="AJ6" s="6322"/>
      <c r="AK6" s="6322"/>
      <c r="AL6" s="7039"/>
      <c r="AM6" s="7041"/>
      <c r="AN6" s="7041"/>
      <c r="AO6" s="7041"/>
      <c r="AP6" s="7041"/>
      <c r="AQ6" s="7041"/>
      <c r="AR6" s="7041"/>
      <c r="AS6" s="7041"/>
      <c r="AT6" s="7041"/>
      <c r="AU6" s="7041"/>
      <c r="AV6" s="7041"/>
      <c r="AW6" s="7041"/>
      <c r="AX6" s="7041"/>
      <c r="AY6" s="7041"/>
      <c r="AZ6" s="7041"/>
      <c r="BA6" s="7041"/>
      <c r="BB6" s="7042"/>
      <c r="BC6" s="7042"/>
      <c r="BD6" s="7043"/>
      <c r="BE6" s="7044"/>
      <c r="BF6" s="4"/>
      <c r="BH6"/>
      <c r="BI6" s="4"/>
      <c r="BJ6" s="4"/>
      <c r="BK6" s="4"/>
      <c r="BL6" s="4"/>
      <c r="BM6" s="4"/>
      <c r="BN6" s="4"/>
      <c r="BO6" s="4"/>
      <c r="BP6" s="4"/>
      <c r="BR6" s="4"/>
      <c r="BS6" s="4"/>
      <c r="BT6" s="4"/>
      <c r="BU6" s="4"/>
      <c r="BV6" s="4"/>
      <c r="BW6" s="4"/>
      <c r="BX6" s="20" t="str">
        <f t="shared" si="11"/>
        <v>A</v>
      </c>
      <c r="BY6" s="7024" t="s">
        <v>8666</v>
      </c>
      <c r="BZ6" s="7024"/>
      <c r="CA6" s="7024"/>
      <c r="CB6" s="7024"/>
      <c r="CC6" s="7024"/>
      <c r="CD6" s="5661"/>
      <c r="CE6" s="7018"/>
      <c r="CF6" s="7019"/>
      <c r="CG6" s="7019"/>
      <c r="CH6" s="7019"/>
      <c r="CI6" s="7019"/>
      <c r="CJ6" s="7019"/>
      <c r="CK6" s="7020"/>
      <c r="CM6" s="7018"/>
      <c r="CN6" s="7019"/>
      <c r="CO6" s="7019"/>
      <c r="CP6" s="7019"/>
      <c r="CQ6" s="7019"/>
      <c r="CR6" s="7019"/>
      <c r="CS6" s="7020"/>
      <c r="CU6" s="7018"/>
      <c r="CV6" s="7019"/>
      <c r="CW6" s="7019"/>
      <c r="CX6" s="7019"/>
      <c r="CY6" s="7019"/>
      <c r="CZ6" s="7019"/>
      <c r="DA6" s="7020"/>
      <c r="DC6" s="5">
        <v>1</v>
      </c>
      <c r="DD6" s="430">
        <f>SUM(A551:DC551)+2</f>
        <v>107</v>
      </c>
      <c r="DE6" s="6324" t="s">
        <v>8853</v>
      </c>
    </row>
    <row r="7" spans="1:109" ht="21" customHeight="1" thickBot="1">
      <c r="A7" s="5641" t="s">
        <v>1</v>
      </c>
      <c r="B7" s="5662" t="str">
        <f t="shared" si="10"/>
        <v>A</v>
      </c>
      <c r="C7" s="7025" t="s">
        <v>10679</v>
      </c>
      <c r="D7" s="7026"/>
      <c r="E7" s="7026"/>
      <c r="F7" s="7026"/>
      <c r="G7" s="7026"/>
      <c r="H7" s="7026"/>
      <c r="I7" s="7026"/>
      <c r="J7" s="7026"/>
      <c r="K7" s="106" t="s">
        <v>1</v>
      </c>
      <c r="L7" s="5666" t="s">
        <v>21</v>
      </c>
      <c r="M7" s="6319" t="s">
        <v>8840</v>
      </c>
      <c r="N7" s="5700"/>
      <c r="O7" s="5700"/>
      <c r="P7" s="5700"/>
      <c r="Q7" s="5700"/>
      <c r="R7" s="5700"/>
      <c r="S7" s="5700"/>
      <c r="T7" s="5700"/>
      <c r="U7" s="5700"/>
      <c r="V7" s="5700"/>
      <c r="W7" s="5700"/>
      <c r="X7" s="5700"/>
      <c r="Y7" s="5700"/>
      <c r="Z7" s="5700"/>
      <c r="AA7" s="5700"/>
      <c r="AB7" s="5700"/>
      <c r="AC7" s="5700"/>
      <c r="AD7" s="6825"/>
      <c r="AE7" s="4" t="s">
        <v>1</v>
      </c>
      <c r="AF7" s="6232" t="s">
        <v>21</v>
      </c>
      <c r="AG7" s="6233"/>
      <c r="AH7" s="6233"/>
      <c r="AI7" s="6233"/>
      <c r="AJ7" s="6233"/>
      <c r="AK7" s="6233"/>
      <c r="AL7" s="7027" t="s">
        <v>8690</v>
      </c>
      <c r="AM7" s="7028" t="s">
        <v>10033</v>
      </c>
      <c r="AN7" s="7028"/>
      <c r="AO7" s="7028"/>
      <c r="AP7" s="7028"/>
      <c r="AQ7" s="7028"/>
      <c r="AR7" s="7028"/>
      <c r="AS7" s="7028"/>
      <c r="AT7" s="7028"/>
      <c r="AU7" s="7028"/>
      <c r="AV7" s="7028"/>
      <c r="AW7" s="7028"/>
      <c r="AX7" s="7028"/>
      <c r="AY7" s="7028"/>
      <c r="AZ7" s="7028"/>
      <c r="BA7" s="7028"/>
      <c r="BB7" s="7029" t="s">
        <v>8452</v>
      </c>
      <c r="BC7" s="7029"/>
      <c r="BD7" s="7030" t="s">
        <v>8453</v>
      </c>
      <c r="BE7" s="7044"/>
      <c r="BF7" s="4"/>
      <c r="BH7"/>
      <c r="BI7" s="4"/>
      <c r="BJ7" s="4"/>
      <c r="BK7" s="4"/>
      <c r="BL7" s="4"/>
      <c r="BM7" s="4"/>
      <c r="BN7" s="4"/>
      <c r="BO7" s="4"/>
      <c r="BP7" s="4"/>
      <c r="BR7" s="4"/>
      <c r="BS7" s="4"/>
      <c r="BT7" s="4"/>
      <c r="BU7" s="4"/>
      <c r="BV7" s="4"/>
      <c r="BW7" s="4"/>
      <c r="BX7" s="20" t="str">
        <f t="shared" si="11"/>
        <v>A</v>
      </c>
      <c r="BY7" s="7024"/>
      <c r="BZ7" s="7024"/>
      <c r="CA7" s="7024"/>
      <c r="CB7" s="7024"/>
      <c r="CC7" s="7024"/>
      <c r="CD7" s="5661"/>
      <c r="CE7" s="7021"/>
      <c r="CF7" s="7022"/>
      <c r="CG7" s="7022"/>
      <c r="CH7" s="7022"/>
      <c r="CI7" s="7022"/>
      <c r="CJ7" s="7022"/>
      <c r="CK7" s="7023"/>
      <c r="CM7" s="7021"/>
      <c r="CN7" s="7022"/>
      <c r="CO7" s="7022"/>
      <c r="CP7" s="7022"/>
      <c r="CQ7" s="7022"/>
      <c r="CR7" s="7022"/>
      <c r="CS7" s="7023"/>
      <c r="CU7" s="7021"/>
      <c r="CV7" s="7022"/>
      <c r="CW7" s="7022"/>
      <c r="CX7" s="7022"/>
      <c r="CY7" s="7022"/>
      <c r="CZ7" s="7022"/>
      <c r="DA7" s="7023"/>
      <c r="DC7" s="5">
        <v>1</v>
      </c>
      <c r="DD7" s="430">
        <f>SUM(A551:DC551)+1</f>
        <v>106</v>
      </c>
      <c r="DE7" s="6324" t="s">
        <v>8854</v>
      </c>
    </row>
    <row r="8" spans="1:109" ht="21" customHeight="1" thickTop="1">
      <c r="A8" s="5641" t="s">
        <v>1</v>
      </c>
      <c r="B8" s="5662" t="str">
        <f t="shared" si="10"/>
        <v>A</v>
      </c>
      <c r="C8" s="6695"/>
      <c r="D8" s="7031" t="s">
        <v>8455</v>
      </c>
      <c r="E8" s="7031"/>
      <c r="F8" s="7031"/>
      <c r="G8" s="7031"/>
      <c r="H8" s="7031"/>
      <c r="I8" s="7031"/>
      <c r="J8" s="7031"/>
      <c r="K8" s="106" t="s">
        <v>1</v>
      </c>
      <c r="L8" s="5666" t="s">
        <v>21</v>
      </c>
      <c r="M8" s="6319" t="s">
        <v>8841</v>
      </c>
      <c r="N8" s="5700"/>
      <c r="O8" s="5700"/>
      <c r="P8" s="5700"/>
      <c r="Q8" s="5700"/>
      <c r="R8" s="5700"/>
      <c r="S8" s="5700"/>
      <c r="T8" s="5700"/>
      <c r="U8" s="5700"/>
      <c r="V8" s="5700"/>
      <c r="W8" s="5700"/>
      <c r="X8" s="5700"/>
      <c r="Y8" s="5700"/>
      <c r="Z8" s="5700"/>
      <c r="AA8" s="5700"/>
      <c r="AB8" s="5700"/>
      <c r="AC8" s="5700"/>
      <c r="AD8" s="6825"/>
      <c r="AE8" s="4" t="s">
        <v>1</v>
      </c>
      <c r="AF8" s="6232" t="s">
        <v>21</v>
      </c>
      <c r="AG8" s="6233"/>
      <c r="AH8" s="6233"/>
      <c r="AI8" s="6233"/>
      <c r="AJ8" s="6233"/>
      <c r="AK8" s="6233"/>
      <c r="AL8" s="7027"/>
      <c r="AM8" s="7028"/>
      <c r="AN8" s="7028"/>
      <c r="AO8" s="7028"/>
      <c r="AP8" s="7028"/>
      <c r="AQ8" s="7028"/>
      <c r="AR8" s="7028"/>
      <c r="AS8" s="7028"/>
      <c r="AT8" s="7028"/>
      <c r="AU8" s="7028"/>
      <c r="AV8" s="7028"/>
      <c r="AW8" s="7028"/>
      <c r="AX8" s="7028"/>
      <c r="AY8" s="7028"/>
      <c r="AZ8" s="7028"/>
      <c r="BA8" s="7028"/>
      <c r="BB8" s="7029"/>
      <c r="BC8" s="7029"/>
      <c r="BD8" s="7030"/>
      <c r="BE8" s="7045"/>
      <c r="BF8" s="4"/>
      <c r="BH8"/>
      <c r="BI8" s="4"/>
      <c r="BJ8" s="4"/>
      <c r="BK8" s="4"/>
      <c r="BL8" s="4"/>
      <c r="BM8" s="4"/>
      <c r="BN8" s="4"/>
      <c r="BO8" s="4"/>
      <c r="BP8" s="4"/>
      <c r="BR8" s="4"/>
      <c r="BS8" s="4"/>
      <c r="BT8" s="4"/>
      <c r="BU8" s="4"/>
      <c r="BV8" s="4"/>
      <c r="BW8" s="4"/>
      <c r="BX8" s="20" t="str">
        <f t="shared" si="11"/>
        <v>A</v>
      </c>
      <c r="BY8" s="5671" t="s">
        <v>8667</v>
      </c>
      <c r="BZ8" s="5671"/>
      <c r="CA8" s="228"/>
      <c r="CB8" s="227"/>
      <c r="CC8" s="227"/>
      <c r="CD8" s="5661"/>
      <c r="CE8" s="7003"/>
      <c r="CF8" s="7004"/>
      <c r="CG8" s="7004"/>
      <c r="CH8" s="7004"/>
      <c r="CI8" s="7004"/>
      <c r="CJ8" s="7004"/>
      <c r="CK8" s="7005"/>
      <c r="CM8" s="7003"/>
      <c r="CN8" s="7004"/>
      <c r="CO8" s="7004"/>
      <c r="CP8" s="7004"/>
      <c r="CQ8" s="7004"/>
      <c r="CR8" s="7004"/>
      <c r="CS8" s="7005"/>
      <c r="CU8" s="7003"/>
      <c r="CV8" s="7004"/>
      <c r="CW8" s="7004"/>
      <c r="CX8" s="7004"/>
      <c r="CY8" s="7004"/>
      <c r="CZ8" s="7004"/>
      <c r="DA8" s="7005"/>
      <c r="DC8" s="5">
        <v>1</v>
      </c>
    </row>
    <row r="9" spans="1:109" s="1" customFormat="1" ht="21" customHeight="1">
      <c r="A9" s="5641" t="s">
        <v>1</v>
      </c>
      <c r="B9" s="5662" t="str">
        <f t="shared" si="10"/>
        <v>►</v>
      </c>
      <c r="C9" s="6696"/>
      <c r="D9" s="5181"/>
      <c r="E9" s="5181"/>
      <c r="F9" s="5181"/>
      <c r="G9" s="5181"/>
      <c r="H9" s="5181"/>
      <c r="I9" s="5181"/>
      <c r="J9" s="5181"/>
      <c r="K9" s="106" t="s">
        <v>1</v>
      </c>
      <c r="L9" s="5666" t="s">
        <v>26</v>
      </c>
      <c r="M9" s="5801"/>
      <c r="N9" s="5802" t="s">
        <v>10693</v>
      </c>
      <c r="O9" s="5801"/>
      <c r="P9" s="5801"/>
      <c r="Q9" s="5802"/>
      <c r="R9" s="5803"/>
      <c r="S9" s="5803"/>
      <c r="T9" s="5803"/>
      <c r="U9" s="5803"/>
      <c r="V9" s="5803"/>
      <c r="W9" s="5803" t="s">
        <v>10694</v>
      </c>
      <c r="X9" s="5803"/>
      <c r="Y9" s="5803"/>
      <c r="Z9" s="5803"/>
      <c r="AA9" s="5803"/>
      <c r="AB9" s="5803"/>
      <c r="AC9" s="5803"/>
      <c r="AD9" s="6826"/>
      <c r="AE9" s="4" t="s">
        <v>1</v>
      </c>
      <c r="AF9" s="6232" t="s">
        <v>21</v>
      </c>
      <c r="AG9" s="6235"/>
      <c r="AH9" s="6235"/>
      <c r="AI9" s="6235"/>
      <c r="AJ9" s="6235"/>
      <c r="AK9" s="6235"/>
      <c r="AL9" s="6235"/>
      <c r="AM9" s="5803"/>
      <c r="AN9" s="5803"/>
      <c r="AO9" s="5803"/>
      <c r="AP9" s="7006" t="s">
        <v>8692</v>
      </c>
      <c r="AQ9" s="7006"/>
      <c r="AR9" s="7006"/>
      <c r="AS9" s="7007">
        <v>20</v>
      </c>
      <c r="AT9" s="7008" t="s">
        <v>3367</v>
      </c>
      <c r="AU9" s="7008"/>
      <c r="AV9" s="6276" t="s">
        <v>897</v>
      </c>
      <c r="AW9" s="5801"/>
      <c r="AX9" s="5801"/>
      <c r="AY9" s="5801"/>
      <c r="AZ9" s="5712"/>
      <c r="BA9" s="5712"/>
      <c r="BB9" s="5712"/>
      <c r="BC9" s="6276" t="s">
        <v>10003</v>
      </c>
      <c r="BD9" s="6276"/>
      <c r="BE9" s="6298"/>
      <c r="BF9" s="4"/>
      <c r="BG9" s="4"/>
      <c r="BH9"/>
      <c r="BI9" s="4"/>
      <c r="BJ9" s="4"/>
      <c r="BK9" s="4"/>
      <c r="BL9" s="4"/>
      <c r="BM9" s="4"/>
      <c r="BN9" s="4"/>
      <c r="BO9" s="4"/>
      <c r="BP9" s="4"/>
      <c r="BQ9" s="4"/>
      <c r="BR9" s="4"/>
      <c r="BS9" s="4"/>
      <c r="BT9" s="4"/>
      <c r="BU9" s="4"/>
      <c r="BV9" s="4"/>
      <c r="BW9" s="4"/>
      <c r="BX9" s="20" t="str">
        <f t="shared" si="11"/>
        <v>A</v>
      </c>
      <c r="BY9" s="5671" t="s">
        <v>8668</v>
      </c>
      <c r="BZ9" s="228"/>
      <c r="CA9" s="228"/>
      <c r="CB9" s="227"/>
      <c r="CC9" s="227"/>
      <c r="CD9" s="5661"/>
      <c r="CE9" s="7009" t="s">
        <v>8694</v>
      </c>
      <c r="CF9" s="7010"/>
      <c r="CG9" s="7010"/>
      <c r="CH9" s="7010"/>
      <c r="CI9" s="7010"/>
      <c r="CJ9" s="7010"/>
      <c r="CK9" s="7011"/>
      <c r="CL9" s="4"/>
      <c r="CM9" s="7009" t="s">
        <v>8803</v>
      </c>
      <c r="CN9" s="7010"/>
      <c r="CO9" s="7010"/>
      <c r="CP9" s="7010"/>
      <c r="CQ9" s="7010"/>
      <c r="CR9" s="7010"/>
      <c r="CS9" s="7011"/>
      <c r="CT9" s="4"/>
      <c r="CU9" s="7009" t="s">
        <v>8814</v>
      </c>
      <c r="CV9" s="7010"/>
      <c r="CW9" s="7010"/>
      <c r="CX9" s="7010"/>
      <c r="CY9" s="7010"/>
      <c r="CZ9" s="7010"/>
      <c r="DA9" s="7011"/>
      <c r="DB9" s="4"/>
      <c r="DC9" s="5">
        <v>1</v>
      </c>
    </row>
    <row r="10" spans="1:109" s="1" customFormat="1" ht="21" customHeight="1" thickBot="1">
      <c r="A10" s="5641" t="s">
        <v>1</v>
      </c>
      <c r="B10" s="5662" t="str">
        <f t="shared" si="10"/>
        <v>►</v>
      </c>
      <c r="C10" s="5809">
        <f t="shared" ref="C10:J10" ca="1" si="12">CELL("largeur",C10)</f>
        <v>9</v>
      </c>
      <c r="D10" s="1288">
        <f t="shared" ca="1" si="12"/>
        <v>12</v>
      </c>
      <c r="E10" s="1288">
        <f t="shared" ca="1" si="12"/>
        <v>12</v>
      </c>
      <c r="F10" s="1288">
        <f t="shared" ca="1" si="12"/>
        <v>3</v>
      </c>
      <c r="G10" s="1288">
        <f t="shared" ca="1" si="12"/>
        <v>9</v>
      </c>
      <c r="H10" s="1288">
        <f t="shared" ca="1" si="12"/>
        <v>12</v>
      </c>
      <c r="I10" s="1288">
        <f t="shared" ca="1" si="12"/>
        <v>13</v>
      </c>
      <c r="J10" s="1288">
        <f t="shared" ca="1" si="12"/>
        <v>40</v>
      </c>
      <c r="K10" s="106" t="s">
        <v>1</v>
      </c>
      <c r="L10" s="5666" t="s">
        <v>26</v>
      </c>
      <c r="M10" s="5801"/>
      <c r="N10" s="5802" t="s">
        <v>8831</v>
      </c>
      <c r="O10" s="5801"/>
      <c r="P10" s="5801"/>
      <c r="Q10" s="5802"/>
      <c r="R10" s="5801"/>
      <c r="S10" s="5801"/>
      <c r="T10" s="5801"/>
      <c r="U10" s="5801"/>
      <c r="V10" s="5801"/>
      <c r="W10" s="6276" t="s">
        <v>10695</v>
      </c>
      <c r="X10" s="6276"/>
      <c r="Y10" s="6276"/>
      <c r="Z10" s="5801"/>
      <c r="AA10" s="5801"/>
      <c r="AB10" s="5801"/>
      <c r="AC10" s="5801"/>
      <c r="AD10" s="6827"/>
      <c r="AE10" s="4" t="s">
        <v>1</v>
      </c>
      <c r="AF10" s="6232" t="s">
        <v>21</v>
      </c>
      <c r="AG10" s="6235"/>
      <c r="AH10" s="6235"/>
      <c r="AI10" s="6235"/>
      <c r="AJ10" s="6235"/>
      <c r="AK10" s="6235"/>
      <c r="AL10" s="6235"/>
      <c r="AM10" s="5801"/>
      <c r="AN10" s="5801"/>
      <c r="AO10" s="5801"/>
      <c r="AP10" s="7006"/>
      <c r="AQ10" s="7006"/>
      <c r="AR10" s="7006"/>
      <c r="AS10" s="7007"/>
      <c r="AT10" s="7008"/>
      <c r="AU10" s="7008"/>
      <c r="AV10" s="6276" t="s">
        <v>8794</v>
      </c>
      <c r="AW10" s="5801"/>
      <c r="AX10" s="5801"/>
      <c r="AY10" s="5801"/>
      <c r="AZ10" s="5801"/>
      <c r="BA10" s="5712"/>
      <c r="BB10" s="5712"/>
      <c r="BC10" s="6276" t="s">
        <v>10004</v>
      </c>
      <c r="BD10" s="6276"/>
      <c r="BE10" s="6299"/>
      <c r="BF10" s="4"/>
      <c r="BG10" s="4"/>
      <c r="BH10" s="4"/>
      <c r="BI10" s="4"/>
      <c r="BJ10" s="6309" t="s">
        <v>8683</v>
      </c>
      <c r="BK10" s="6309"/>
      <c r="BL10" s="6309"/>
      <c r="BM10" s="6309"/>
      <c r="BN10" s="6309"/>
      <c r="BO10" s="6309"/>
      <c r="BP10" s="6309"/>
      <c r="BQ10" s="6309"/>
      <c r="BR10" s="4"/>
      <c r="BS10" s="4"/>
      <c r="BT10" s="4"/>
      <c r="BU10" s="4"/>
      <c r="BV10" s="4"/>
      <c r="BW10" s="4"/>
      <c r="BX10" s="20" t="str">
        <f t="shared" si="11"/>
        <v>A</v>
      </c>
      <c r="BY10" s="255"/>
      <c r="BZ10" s="228"/>
      <c r="CA10" s="228"/>
      <c r="CB10" s="227"/>
      <c r="CC10" s="227"/>
      <c r="CD10" s="5661"/>
      <c r="CE10" s="7012"/>
      <c r="CF10" s="7013"/>
      <c r="CG10" s="7013"/>
      <c r="CH10" s="7013"/>
      <c r="CI10" s="7013"/>
      <c r="CJ10" s="7013"/>
      <c r="CK10" s="7014"/>
      <c r="CL10" s="4"/>
      <c r="CM10" s="7012"/>
      <c r="CN10" s="7013"/>
      <c r="CO10" s="7013"/>
      <c r="CP10" s="7013"/>
      <c r="CQ10" s="7013"/>
      <c r="CR10" s="7013"/>
      <c r="CS10" s="7014"/>
      <c r="CT10" s="4"/>
      <c r="CU10" s="7012"/>
      <c r="CV10" s="7013"/>
      <c r="CW10" s="7013"/>
      <c r="CX10" s="7013"/>
      <c r="CY10" s="7013"/>
      <c r="CZ10" s="7013"/>
      <c r="DA10" s="7014"/>
      <c r="DB10" s="4"/>
      <c r="DC10" s="5">
        <v>1</v>
      </c>
    </row>
    <row r="11" spans="1:109" s="1" customFormat="1" ht="21" customHeight="1" thickBot="1">
      <c r="A11" s="5641" t="s">
        <v>1</v>
      </c>
      <c r="B11" s="5662" t="str">
        <f t="shared" si="10"/>
        <v>►</v>
      </c>
      <c r="C11" s="4720"/>
      <c r="D11" s="5812"/>
      <c r="E11" s="5812"/>
      <c r="F11" s="5812"/>
      <c r="G11" s="5812"/>
      <c r="H11" s="5812"/>
      <c r="I11" s="5812"/>
      <c r="J11" s="5812"/>
      <c r="K11" s="106" t="s">
        <v>1</v>
      </c>
      <c r="L11" s="5666" t="s">
        <v>26</v>
      </c>
      <c r="M11" s="5813" t="s">
        <v>1901</v>
      </c>
      <c r="N11" s="6276" t="s">
        <v>8842</v>
      </c>
      <c r="O11" s="5801"/>
      <c r="P11" s="5801"/>
      <c r="Q11" s="5802"/>
      <c r="R11" s="5801"/>
      <c r="S11" s="5801"/>
      <c r="T11" s="5801"/>
      <c r="U11" s="5801"/>
      <c r="V11" s="5801"/>
      <c r="W11" s="5801"/>
      <c r="X11" s="5801"/>
      <c r="Y11" s="5801"/>
      <c r="Z11" s="5801"/>
      <c r="AA11" s="5801"/>
      <c r="AB11" s="5801"/>
      <c r="AC11" s="5801"/>
      <c r="AD11" s="6827"/>
      <c r="AE11" s="4" t="s">
        <v>1</v>
      </c>
      <c r="AF11" s="6232" t="s">
        <v>21</v>
      </c>
      <c r="AG11" s="6235"/>
      <c r="AH11" s="6235"/>
      <c r="AI11" s="6235"/>
      <c r="AJ11" s="6235"/>
      <c r="AK11" s="6235"/>
      <c r="AL11" s="6235"/>
      <c r="AM11" s="5801"/>
      <c r="AN11" s="5801"/>
      <c r="AO11" s="5801"/>
      <c r="AP11" s="5801"/>
      <c r="AQ11" s="5801"/>
      <c r="AR11" s="6310" t="s">
        <v>8834</v>
      </c>
      <c r="AS11" s="5801"/>
      <c r="AT11" s="6247" t="s">
        <v>8693</v>
      </c>
      <c r="AU11" s="5801"/>
      <c r="AV11" s="6276"/>
      <c r="AW11" s="5801"/>
      <c r="AX11" s="5801"/>
      <c r="AY11" s="5801"/>
      <c r="AZ11" s="5801"/>
      <c r="BA11" s="5801"/>
      <c r="BB11" s="5801"/>
      <c r="BC11" s="6276" t="s">
        <v>10005</v>
      </c>
      <c r="BD11" s="6276"/>
      <c r="BE11" s="6299"/>
      <c r="BF11" s="4"/>
      <c r="BG11" s="4"/>
      <c r="BH11" s="4"/>
      <c r="BI11" s="4"/>
      <c r="BJ11" s="141" t="s">
        <v>8658</v>
      </c>
      <c r="BK11" s="141" t="s">
        <v>8658</v>
      </c>
      <c r="BL11" s="141" t="s">
        <v>8658</v>
      </c>
      <c r="BM11" s="141" t="s">
        <v>8658</v>
      </c>
      <c r="BN11" s="141" t="s">
        <v>8659</v>
      </c>
      <c r="BO11" s="141"/>
      <c r="BP11" s="141" t="s">
        <v>8660</v>
      </c>
      <c r="BQ11" s="141" t="s">
        <v>8661</v>
      </c>
      <c r="BR11" s="4"/>
      <c r="BS11" s="4"/>
      <c r="BT11" s="4"/>
      <c r="BU11" s="4"/>
      <c r="BV11" s="4"/>
      <c r="BW11" s="4"/>
      <c r="BX11" s="20" t="str">
        <f t="shared" si="11"/>
        <v>A</v>
      </c>
      <c r="BY11" s="320" t="s">
        <v>8669</v>
      </c>
      <c r="BZ11" s="228"/>
      <c r="CA11" s="228"/>
      <c r="CB11" s="227"/>
      <c r="CC11" s="227"/>
      <c r="CD11" s="5661"/>
      <c r="CE11" s="6998" t="s">
        <v>8695</v>
      </c>
      <c r="CF11" s="6999"/>
      <c r="CG11" s="6999"/>
      <c r="CH11" s="6999"/>
      <c r="CI11" s="6999"/>
      <c r="CJ11" s="6999"/>
      <c r="CK11" s="7000"/>
      <c r="CL11" s="4"/>
      <c r="CM11" s="6998" t="s">
        <v>8804</v>
      </c>
      <c r="CN11" s="6999"/>
      <c r="CO11" s="6999"/>
      <c r="CP11" s="6999"/>
      <c r="CQ11" s="6999"/>
      <c r="CR11" s="6999"/>
      <c r="CS11" s="7000"/>
      <c r="CT11" s="4"/>
      <c r="CU11" s="6998" t="s">
        <v>8815</v>
      </c>
      <c r="CV11" s="6999"/>
      <c r="CW11" s="6999"/>
      <c r="CX11" s="6999"/>
      <c r="CY11" s="6999"/>
      <c r="CZ11" s="6999"/>
      <c r="DA11" s="7000"/>
      <c r="DB11" s="4"/>
      <c r="DC11" s="5">
        <v>1</v>
      </c>
    </row>
    <row r="12" spans="1:109" s="1" customFormat="1" ht="21" customHeight="1" thickBot="1">
      <c r="A12" s="5641" t="s">
        <v>1</v>
      </c>
      <c r="B12" s="5662" t="str">
        <f t="shared" si="10"/>
        <v>A</v>
      </c>
      <c r="C12" s="7001" t="s">
        <v>33</v>
      </c>
      <c r="D12" s="5815" t="s">
        <v>252</v>
      </c>
      <c r="E12" s="5816"/>
      <c r="F12" s="1321"/>
      <c r="G12" s="1321"/>
      <c r="H12" s="1321"/>
      <c r="I12" s="1321"/>
      <c r="J12" s="1322"/>
      <c r="K12" s="106" t="s">
        <v>1</v>
      </c>
      <c r="L12" s="6834" t="s">
        <v>21</v>
      </c>
      <c r="M12" s="6835" t="s">
        <v>21</v>
      </c>
      <c r="N12" s="6835" t="s">
        <v>21</v>
      </c>
      <c r="O12" s="6835" t="s">
        <v>21</v>
      </c>
      <c r="P12" s="6835" t="s">
        <v>21</v>
      </c>
      <c r="Q12" s="6836" t="s">
        <v>10677</v>
      </c>
      <c r="R12" s="6837"/>
      <c r="S12" s="6838"/>
      <c r="T12" s="6839"/>
      <c r="U12" s="6840"/>
      <c r="V12" s="6841"/>
      <c r="W12" s="6839"/>
      <c r="X12" s="6839"/>
      <c r="Y12" s="6839"/>
      <c r="Z12" s="6837"/>
      <c r="AA12" s="6837"/>
      <c r="AB12" s="6837"/>
      <c r="AC12" s="6837"/>
      <c r="AD12" s="6842" t="s">
        <v>262</v>
      </c>
      <c r="AE12" s="4" t="s">
        <v>1</v>
      </c>
      <c r="AF12" s="6232" t="s">
        <v>21</v>
      </c>
      <c r="AG12" s="6231"/>
      <c r="AH12" s="6231"/>
      <c r="AI12" s="6231"/>
      <c r="AJ12" s="6231"/>
      <c r="AK12" s="6231"/>
      <c r="AL12" s="6226"/>
      <c r="AM12" s="6226"/>
      <c r="AN12" s="6226"/>
      <c r="AO12" s="6226"/>
      <c r="AP12" s="6226"/>
      <c r="AQ12" s="6226"/>
      <c r="AR12" s="6311"/>
      <c r="AS12" s="6226"/>
      <c r="AT12" s="6226" t="s">
        <v>8835</v>
      </c>
      <c r="AU12" s="6226"/>
      <c r="AV12" s="6226"/>
      <c r="AW12" s="6226"/>
      <c r="AX12" s="6226"/>
      <c r="AY12" s="6226"/>
      <c r="AZ12" s="6226"/>
      <c r="BA12" s="6226"/>
      <c r="BB12" s="6226"/>
      <c r="BC12" s="6226"/>
      <c r="BD12" s="6226"/>
      <c r="BE12" s="6227" t="str">
        <f ca="1">IF(COUNTIF(L2:BE2,"&lt;0.5")=0,"Aucune colonne masquée",COUNTIF(L2:BE2,"&lt;0.5")&amp;" colonnes masquées : "&amp;(BB13&amp;BC13&amp;BD13))</f>
        <v>Aucune colonne masquée</v>
      </c>
      <c r="BF12" s="4"/>
      <c r="BG12" s="6307" t="s">
        <v>8843</v>
      </c>
      <c r="BH12" s="6308"/>
      <c r="BI12" s="4"/>
      <c r="BJ12" s="102" t="s">
        <v>8662</v>
      </c>
      <c r="BK12" s="102" t="s">
        <v>8662</v>
      </c>
      <c r="BL12" s="102" t="s">
        <v>8662</v>
      </c>
      <c r="BM12" s="102" t="s">
        <v>8658</v>
      </c>
      <c r="BN12" s="102" t="s">
        <v>8665</v>
      </c>
      <c r="BO12" s="102"/>
      <c r="BP12" s="102" t="s">
        <v>8663</v>
      </c>
      <c r="BQ12" s="102" t="s">
        <v>8664</v>
      </c>
      <c r="BR12" s="4"/>
      <c r="BS12" s="4"/>
      <c r="BT12" s="4"/>
      <c r="BU12" s="4"/>
      <c r="BV12" s="4"/>
      <c r="BW12" s="4"/>
      <c r="BX12" s="20" t="str">
        <f t="shared" si="11"/>
        <v>A</v>
      </c>
      <c r="BY12" s="234"/>
      <c r="BZ12" s="228"/>
      <c r="CA12" s="228"/>
      <c r="CB12" s="227"/>
      <c r="CC12" s="227"/>
      <c r="CD12" s="5661"/>
      <c r="CE12" s="5687" t="s">
        <v>8466</v>
      </c>
      <c r="CF12" s="5688"/>
      <c r="CG12" s="5688"/>
      <c r="CH12" s="5688"/>
      <c r="CI12" s="5688"/>
      <c r="CJ12" s="5688"/>
      <c r="CK12" s="5689"/>
      <c r="CL12" s="4"/>
      <c r="CM12" s="5687" t="s">
        <v>8805</v>
      </c>
      <c r="CN12" s="5688"/>
      <c r="CO12" s="5688"/>
      <c r="CP12" s="5688"/>
      <c r="CQ12" s="5688"/>
      <c r="CR12" s="5688"/>
      <c r="CS12" s="5689"/>
      <c r="CT12" s="4"/>
      <c r="CU12" s="5687" t="s">
        <v>8816</v>
      </c>
      <c r="CV12" s="5688"/>
      <c r="CW12" s="5688"/>
      <c r="CX12" s="5688"/>
      <c r="CY12" s="5688"/>
      <c r="CZ12" s="5688"/>
      <c r="DA12" s="5689"/>
      <c r="DB12" s="4"/>
      <c r="DC12" s="5">
        <v>1</v>
      </c>
    </row>
    <row r="13" spans="1:109" s="1" customFormat="1" ht="21" customHeight="1" thickBot="1">
      <c r="A13" s="5641" t="s">
        <v>1</v>
      </c>
      <c r="B13" s="5662">
        <f t="shared" si="10"/>
        <v>0</v>
      </c>
      <c r="C13" s="7002"/>
      <c r="D13" s="5271" t="s">
        <v>10680</v>
      </c>
      <c r="E13" s="1320"/>
      <c r="F13" s="1320"/>
      <c r="G13" s="1320"/>
      <c r="H13" s="1320"/>
      <c r="I13" s="1320"/>
      <c r="J13" s="1324"/>
      <c r="K13" s="106" t="s">
        <v>1</v>
      </c>
      <c r="L13" s="5636"/>
      <c r="M13" s="6787"/>
      <c r="N13" s="6787"/>
      <c r="O13" s="6787"/>
      <c r="P13" s="6788"/>
      <c r="Q13" s="6789"/>
      <c r="R13" s="6790"/>
      <c r="S13" s="6786"/>
      <c r="T13" s="6791"/>
      <c r="U13" s="6844"/>
      <c r="V13" s="6791"/>
      <c r="W13" s="8487"/>
      <c r="X13" s="6871"/>
      <c r="Y13" s="6793"/>
      <c r="Z13" s="6794"/>
      <c r="AA13" s="6795"/>
      <c r="AB13" s="6796"/>
      <c r="AC13" s="6797"/>
      <c r="AD13" s="6798"/>
      <c r="AE13" s="4" t="s">
        <v>1</v>
      </c>
      <c r="AF13" s="6232" t="s">
        <v>21</v>
      </c>
      <c r="AG13" s="6231"/>
      <c r="AH13" s="6231"/>
      <c r="AI13" s="6231"/>
      <c r="AJ13" s="6231"/>
      <c r="AK13" s="6231"/>
      <c r="AL13" s="6236"/>
      <c r="AM13" s="6226"/>
      <c r="AN13" s="6226"/>
      <c r="AO13" s="6226"/>
      <c r="AP13" s="6226"/>
      <c r="AQ13" s="6226"/>
      <c r="AR13" s="6226"/>
      <c r="AS13" s="6226"/>
      <c r="AT13" s="6226"/>
      <c r="AU13" s="6226"/>
      <c r="AV13" s="6226"/>
      <c r="AW13" s="6226"/>
      <c r="AX13" s="6226"/>
      <c r="AY13" s="6226"/>
      <c r="AZ13" s="6226"/>
      <c r="BA13" s="389"/>
      <c r="BB13" s="389" t="str">
        <f ca="1">IF(M2&lt;0.5,M1&amp;".","")&amp;IF(N2&lt;0.5,N1&amp;".","")&amp;IF(O2&lt;0.5,O1&amp;".","")&amp;IF(P2&lt;0.5,P1&amp;".","")&amp;IF(Q2&lt;0.5,Q1&amp;".","")&amp;IF(R2&lt;0.5,R1&amp;".","")&amp;IF(S2&lt;0.5,S1&amp;".","")&amp;IF(T2&lt;0.5,T1&amp;".","")&amp;IF(U2&lt;0.5,U1&amp;".","")&amp;IF(V2&lt;0.5,V1&amp;".","")&amp;IF(W2&lt;0.5,W1&amp;".","")&amp;IF(Y2&lt;0.5,Y1&amp;".","")&amp;IF(Z2&lt;0.5,Z1&amp;".","")&amp;IF(AA2&lt;0.5,AA1&amp;".","")&amp;IF(AB2&lt;0.5,AB1&amp;".","")&amp;IF(AC2&lt;0.5,AC1&amp;".","")&amp;IF(AD2&lt;0.5,AD1&amp;".","")</f>
        <v/>
      </c>
      <c r="BC13" s="389" t="str">
        <f ca="1">IF(AT2&lt;0.5,AT1&amp;".","")&amp;IF(AU2&lt;0.5,AU1&amp;".","")&amp;IF(AV2&lt;0.5,AV1&amp;".","")&amp;IF(AW2&lt;0.5,AW1&amp;".","")&amp;IF(AF2&lt;0.5,AF1&amp;".","")&amp;IF(AG2&lt;0.5,AG1&amp;".","")&amp;IF(AH2&lt;0.5,AH1&amp;".","")&amp;IF(AI2&lt;0.5,AI1&amp;".","")&amp;IF(AJ2&lt;0.5,AJ1&amp;".","")&amp;IF(AK2&lt;0.5,AK1&amp;".","")&amp;IF(AL2&lt;0.5,AL1&amp;".","")&amp;IF(AM2&lt;0.5,AM1&amp;".","")&amp;IF(AN2&lt;0.5,AN1&amp;".","")&amp;IF(AO2&lt;0.5,AO1&amp;".","")&amp;IF(AP2&lt;0.5,AP1&amp;".","")&amp;IF(AQ2&lt;0.5,AQ1&amp;".","")&amp;IF(AR2&lt;0.5,AR1&amp;".","")</f>
        <v/>
      </c>
      <c r="BD13" s="389" t="str">
        <f ca="1">IF(AS2&lt;0.5,AS1&amp;".","")&amp;IF(AT2&lt;0.5,AT1&amp;".","")&amp;IF(AU2&lt;0.5,AU1&amp;".","")&amp;IF(AV2&lt;0.5,AV1&amp;".","")&amp;IF(AW2&lt;0.5,AW1&amp;".","")&amp;IF(AX2&lt;0.5,AX1&amp;".","")&amp;IF(AY2&lt;0.5,AY1&amp;".","")&amp;IF(AZ2&lt;0.5,AZ1&amp;".","")&amp;IF(BA2&lt;0.5,BA1&amp;".","")&amp;IF(BB2&lt;0.5,BB1&amp;".","")&amp;IF(BC2&lt;0.5,BC1&amp;".","")&amp;IF(BD2&lt;0.5,BD1&amp;".","")&amp;IF(BE2&lt;0.5,BE1&amp;".","")</f>
        <v/>
      </c>
      <c r="BE13" s="6227" t="str">
        <f>ROWS(L5:L550)-SUBTOTAL(103,L5:L550)&amp;" "&amp;"Lignes masquées"</f>
        <v>1 Lignes masquées</v>
      </c>
      <c r="BF13" s="4"/>
      <c r="BG13" s="6307" t="s">
        <v>8833</v>
      </c>
      <c r="BH13" s="6308"/>
      <c r="BI13" s="4"/>
      <c r="BJ13" s="358" t="s">
        <v>9682</v>
      </c>
      <c r="BK13" s="358" t="s">
        <v>9683</v>
      </c>
      <c r="BL13" s="358" t="s">
        <v>9684</v>
      </c>
      <c r="BM13" s="358" t="s">
        <v>242</v>
      </c>
      <c r="BN13" s="359" t="s">
        <v>241</v>
      </c>
      <c r="BO13" s="359"/>
      <c r="BP13" s="358" t="s">
        <v>240</v>
      </c>
      <c r="BQ13" s="358" t="s">
        <v>8657</v>
      </c>
      <c r="BR13" s="4"/>
      <c r="BS13" s="4"/>
      <c r="BT13" s="4"/>
      <c r="BU13" s="4"/>
      <c r="BV13" s="4"/>
      <c r="BW13" s="4"/>
      <c r="BX13" s="20" t="str">
        <f t="shared" si="11"/>
        <v>A</v>
      </c>
      <c r="BY13" s="320" t="s">
        <v>8670</v>
      </c>
      <c r="BZ13" s="228"/>
      <c r="CA13" s="228"/>
      <c r="CB13" s="227"/>
      <c r="CC13" s="227"/>
      <c r="CD13" s="5661"/>
      <c r="CE13" s="5694" t="s">
        <v>8469</v>
      </c>
      <c r="CF13" s="5695"/>
      <c r="CG13" s="5695"/>
      <c r="CH13" s="5695"/>
      <c r="CI13" s="5695"/>
      <c r="CJ13" s="5695"/>
      <c r="CK13" s="5696"/>
      <c r="CL13" s="4"/>
      <c r="CM13" s="5694" t="s">
        <v>8806</v>
      </c>
      <c r="CN13" s="5695"/>
      <c r="CO13" s="5695"/>
      <c r="CP13" s="5695"/>
      <c r="CQ13" s="5695"/>
      <c r="CR13" s="5695"/>
      <c r="CS13" s="5696"/>
      <c r="CT13" s="4"/>
      <c r="CU13" s="5694" t="s">
        <v>8817</v>
      </c>
      <c r="CV13" s="5695"/>
      <c r="CW13" s="5695"/>
      <c r="CX13" s="5695"/>
      <c r="CY13" s="5695"/>
      <c r="CZ13" s="5695"/>
      <c r="DA13" s="5696"/>
      <c r="DB13" s="4"/>
      <c r="DC13" s="5">
        <v>1</v>
      </c>
    </row>
    <row r="14" spans="1:109" s="1" customFormat="1" ht="21" customHeight="1" thickTop="1" thickBot="1">
      <c r="A14" s="5641" t="s">
        <v>1</v>
      </c>
      <c r="B14" s="5662" t="str">
        <f t="shared" si="10"/>
        <v>►</v>
      </c>
      <c r="C14" s="5825" cm="1">
        <f t="array" ref="C14">SUMPRODUCT(LEN(D14:J14))</f>
        <v>0</v>
      </c>
      <c r="D14" s="5275"/>
      <c r="E14" s="1361"/>
      <c r="F14" s="1361"/>
      <c r="G14" s="1361"/>
      <c r="H14" s="1361"/>
      <c r="I14" s="1361"/>
      <c r="J14" s="5276"/>
      <c r="K14" s="106" t="s">
        <v>1</v>
      </c>
      <c r="L14" s="1021" t="s">
        <v>26</v>
      </c>
      <c r="M14" s="6787"/>
      <c r="N14" s="6787"/>
      <c r="O14" s="6787"/>
      <c r="P14" s="6788"/>
      <c r="Q14" s="6789"/>
      <c r="R14" s="6790"/>
      <c r="S14" s="6786"/>
      <c r="T14" s="6791"/>
      <c r="U14" s="6844"/>
      <c r="V14" s="6791"/>
      <c r="W14" s="8487"/>
      <c r="X14" s="6871"/>
      <c r="Y14" s="6793"/>
      <c r="Z14" s="6794"/>
      <c r="AA14" s="6795"/>
      <c r="AB14" s="6796"/>
      <c r="AC14" s="6797"/>
      <c r="AD14" s="6798"/>
      <c r="AE14" s="4" t="s">
        <v>1</v>
      </c>
      <c r="AF14" s="6232" t="s">
        <v>21</v>
      </c>
      <c r="AG14" s="6969" t="s">
        <v>8396</v>
      </c>
      <c r="AH14" s="6828"/>
      <c r="AI14" s="6828"/>
      <c r="AJ14" s="6828"/>
      <c r="AK14" s="6730"/>
      <c r="AL14" s="6975" t="s">
        <v>8646</v>
      </c>
      <c r="AM14" s="6976"/>
      <c r="AN14" s="6976"/>
      <c r="AO14" s="6976"/>
      <c r="AP14" s="6976"/>
      <c r="AQ14" s="6982" t="s">
        <v>8688</v>
      </c>
      <c r="AR14" s="6982"/>
      <c r="AS14" s="6993" t="s">
        <v>11010</v>
      </c>
      <c r="AT14" s="6993"/>
      <c r="AU14" s="6953" t="s">
        <v>8647</v>
      </c>
      <c r="AV14" s="6953"/>
      <c r="AW14" s="6995" t="s">
        <v>8648</v>
      </c>
      <c r="AX14" s="6957" t="s">
        <v>8696</v>
      </c>
      <c r="AY14" s="6959" t="s">
        <v>182</v>
      </c>
      <c r="AZ14" s="6960"/>
      <c r="BA14" s="6963" t="s">
        <v>8382</v>
      </c>
      <c r="BB14" s="6965" t="s">
        <v>8649</v>
      </c>
      <c r="BC14" s="6944" t="s">
        <v>8700</v>
      </c>
      <c r="BD14" s="6946" t="s">
        <v>8650</v>
      </c>
      <c r="BE14" s="6948" t="s">
        <v>8396</v>
      </c>
      <c r="BF14" s="4"/>
      <c r="BG14" s="6307" t="s">
        <v>8844</v>
      </c>
      <c r="BH14" s="6308"/>
      <c r="BI14" s="4"/>
      <c r="BJ14" s="6213" t="str">
        <f t="shared" ref="BJ14:BQ14" si="13">SUBSTITUTE(ADDRESS(1,COLUMN(),4),"1","")</f>
        <v>BJ</v>
      </c>
      <c r="BK14" s="6213" t="str">
        <f t="shared" si="13"/>
        <v>BK</v>
      </c>
      <c r="BL14" s="6213" t="str">
        <f t="shared" si="13"/>
        <v>BL</v>
      </c>
      <c r="BM14" s="6213" t="str">
        <f t="shared" si="13"/>
        <v>BM</v>
      </c>
      <c r="BN14" s="6213" t="str">
        <f t="shared" si="13"/>
        <v>BN</v>
      </c>
      <c r="BO14" s="6213" t="str">
        <f t="shared" si="13"/>
        <v>BO</v>
      </c>
      <c r="BP14" s="6213" t="str">
        <f t="shared" si="13"/>
        <v>BP</v>
      </c>
      <c r="BQ14" s="6213" t="str">
        <f t="shared" si="13"/>
        <v>BQ</v>
      </c>
      <c r="BR14" s="4" t="s">
        <v>11009</v>
      </c>
      <c r="BS14" s="4"/>
      <c r="BT14" s="4"/>
      <c r="BU14" s="4"/>
      <c r="BV14" s="4"/>
      <c r="BW14" s="4"/>
      <c r="BX14" s="20" t="str">
        <f t="shared" si="11"/>
        <v>A</v>
      </c>
      <c r="BY14" s="234"/>
      <c r="BZ14" s="234"/>
      <c r="CA14" s="228"/>
      <c r="CB14" s="227"/>
      <c r="CC14" s="227"/>
      <c r="CD14" s="5661"/>
      <c r="CE14" s="1065"/>
      <c r="CF14" s="234"/>
      <c r="CG14" s="234"/>
      <c r="CH14" s="234"/>
      <c r="CI14" s="234"/>
      <c r="CJ14" s="234"/>
      <c r="CK14" s="5704"/>
      <c r="CL14" s="4"/>
      <c r="CM14" s="1065"/>
      <c r="CN14" s="234"/>
      <c r="CO14" s="234"/>
      <c r="CP14" s="234"/>
      <c r="CQ14" s="234"/>
      <c r="CR14" s="234"/>
      <c r="CS14" s="5704"/>
      <c r="CT14" s="4"/>
      <c r="CU14" s="1065"/>
      <c r="CV14" s="234"/>
      <c r="CW14" s="234"/>
      <c r="CX14" s="234"/>
      <c r="CY14" s="234"/>
      <c r="CZ14" s="234"/>
      <c r="DA14" s="5704"/>
      <c r="DB14" s="4"/>
      <c r="DC14" s="5">
        <v>1</v>
      </c>
    </row>
    <row r="15" spans="1:109" s="1" customFormat="1" ht="21" customHeight="1" thickBot="1">
      <c r="A15" s="5641" t="s">
        <v>1</v>
      </c>
      <c r="B15" s="5662" t="str">
        <f t="shared" si="10"/>
        <v>►</v>
      </c>
      <c r="C15" s="5825" cm="1">
        <f t="array" ref="C15">SUMPRODUCT(LEN(D15:J15))</f>
        <v>0</v>
      </c>
      <c r="D15" s="5275"/>
      <c r="E15" s="1361"/>
      <c r="F15" s="1361"/>
      <c r="G15" s="1361"/>
      <c r="H15" s="1361"/>
      <c r="I15" s="1361"/>
      <c r="J15" s="5276"/>
      <c r="K15" s="106" t="s">
        <v>1</v>
      </c>
      <c r="L15" s="1021" t="s">
        <v>26</v>
      </c>
      <c r="M15" s="6787"/>
      <c r="N15" s="6787"/>
      <c r="O15" s="6787"/>
      <c r="P15" s="6788"/>
      <c r="Q15" s="6789"/>
      <c r="R15" s="6790"/>
      <c r="S15" s="6786"/>
      <c r="T15" s="6791"/>
      <c r="U15" s="6844"/>
      <c r="V15" s="6791"/>
      <c r="W15" s="8487"/>
      <c r="X15" s="6871"/>
      <c r="Y15" s="6793"/>
      <c r="Z15" s="6794"/>
      <c r="AA15" s="6795"/>
      <c r="AB15" s="6796"/>
      <c r="AC15" s="6797"/>
      <c r="AD15" s="6798"/>
      <c r="AE15" s="4" t="s">
        <v>1</v>
      </c>
      <c r="AF15" s="6232" t="s">
        <v>21</v>
      </c>
      <c r="AG15" s="6997"/>
      <c r="AH15" s="6829"/>
      <c r="AI15" s="6829"/>
      <c r="AJ15" s="6829"/>
      <c r="AK15" s="6754"/>
      <c r="AL15" s="6978"/>
      <c r="AM15" s="6979"/>
      <c r="AN15" s="6979"/>
      <c r="AO15" s="6979"/>
      <c r="AP15" s="6979"/>
      <c r="AQ15" s="6984"/>
      <c r="AR15" s="6984"/>
      <c r="AS15" s="6994"/>
      <c r="AT15" s="6994"/>
      <c r="AU15" s="6954"/>
      <c r="AV15" s="6954"/>
      <c r="AW15" s="6996"/>
      <c r="AX15" s="6958"/>
      <c r="AY15" s="6961"/>
      <c r="AZ15" s="6962"/>
      <c r="BA15" s="6964"/>
      <c r="BB15" s="6966"/>
      <c r="BC15" s="6945"/>
      <c r="BD15" s="6947"/>
      <c r="BE15" s="6949"/>
      <c r="BF15" s="4"/>
      <c r="BG15" s="6307" t="s">
        <v>8832</v>
      </c>
      <c r="BH15" s="6308"/>
      <c r="BJ15" s="6697" t="s">
        <v>10696</v>
      </c>
      <c r="BK15" s="6697" t="s">
        <v>10697</v>
      </c>
      <c r="BL15" s="6697" t="s">
        <v>10698</v>
      </c>
      <c r="BM15" s="337">
        <v>1</v>
      </c>
      <c r="BN15" s="336" t="s">
        <v>175</v>
      </c>
      <c r="BO15" s="336"/>
      <c r="BP15" s="335">
        <f t="shared" ref="BP15:BP23" si="14">ROUND(1/BM15,0)</f>
        <v>1</v>
      </c>
      <c r="BQ15" s="334"/>
      <c r="BR15" s="6697" t="s">
        <v>226</v>
      </c>
      <c r="BS15" s="6697" t="s">
        <v>9597</v>
      </c>
      <c r="BT15" s="6697" t="s">
        <v>9598</v>
      </c>
      <c r="BU15" s="6830">
        <v>0.5</v>
      </c>
      <c r="BV15" s="4"/>
      <c r="BW15" s="4"/>
      <c r="BX15" s="20" t="str">
        <f t="shared" si="11"/>
        <v>A</v>
      </c>
      <c r="BY15" s="320" t="s">
        <v>8671</v>
      </c>
      <c r="BZ15" s="228"/>
      <c r="CA15" s="228"/>
      <c r="CB15" s="227"/>
      <c r="CC15" s="227"/>
      <c r="CD15" s="5661"/>
      <c r="CE15" s="1065" t="s">
        <v>8470</v>
      </c>
      <c r="CF15" s="5705"/>
      <c r="CG15" s="5705"/>
      <c r="CH15" s="5705"/>
      <c r="CI15" s="5705"/>
      <c r="CJ15" s="5705"/>
      <c r="CK15" s="5706"/>
      <c r="CL15" s="4"/>
      <c r="CM15" s="1065" t="s">
        <v>8778</v>
      </c>
      <c r="CN15" s="5705"/>
      <c r="CO15" s="5705"/>
      <c r="CP15" s="5705"/>
      <c r="CQ15" s="5705"/>
      <c r="CR15" s="5705"/>
      <c r="CS15" s="5706"/>
      <c r="CT15" s="4"/>
      <c r="CU15" s="1065" t="s">
        <v>8791</v>
      </c>
      <c r="CV15" s="5705"/>
      <c r="CW15" s="5705"/>
      <c r="CX15" s="5705"/>
      <c r="CY15" s="5705"/>
      <c r="CZ15" s="5705"/>
      <c r="DA15" s="5706"/>
      <c r="DB15" s="4"/>
      <c r="DC15" s="5">
        <v>1</v>
      </c>
    </row>
    <row r="16" spans="1:109" s="1" customFormat="1" ht="21" customHeight="1" thickTop="1">
      <c r="A16" s="5641" t="s">
        <v>1</v>
      </c>
      <c r="B16" s="5662" t="str">
        <f t="shared" si="10"/>
        <v>►</v>
      </c>
      <c r="C16" s="5825" cm="1">
        <f t="array" ref="C16">SUMPRODUCT(LEN(D16:J16))</f>
        <v>0</v>
      </c>
      <c r="D16" s="5275"/>
      <c r="E16" s="1361"/>
      <c r="F16" s="1361"/>
      <c r="G16" s="1361"/>
      <c r="H16" s="1361"/>
      <c r="I16" s="1361"/>
      <c r="J16" s="5276"/>
      <c r="K16" s="106" t="s">
        <v>1</v>
      </c>
      <c r="L16" s="1021" t="s">
        <v>26</v>
      </c>
      <c r="M16" s="6787"/>
      <c r="N16" s="6787"/>
      <c r="O16" s="6787"/>
      <c r="P16" s="6788"/>
      <c r="Q16" s="6789"/>
      <c r="R16" s="6790"/>
      <c r="S16" s="6786"/>
      <c r="T16" s="6791"/>
      <c r="U16" s="6844"/>
      <c r="V16" s="6791"/>
      <c r="W16" s="8487"/>
      <c r="X16" s="6871"/>
      <c r="Y16" s="6793"/>
      <c r="Z16" s="6794"/>
      <c r="AA16" s="6795"/>
      <c r="AB16" s="6796"/>
      <c r="AC16" s="6797"/>
      <c r="AD16" s="6798"/>
      <c r="AE16" s="4" t="s">
        <v>1</v>
      </c>
      <c r="AF16" s="6232" t="s">
        <v>21</v>
      </c>
      <c r="AG16" s="6969" t="s">
        <v>8427</v>
      </c>
      <c r="AH16" s="6828"/>
      <c r="AI16" s="6828"/>
      <c r="AJ16" s="6828"/>
      <c r="AK16" s="6730"/>
      <c r="AL16" s="6975" t="s">
        <v>8651</v>
      </c>
      <c r="AM16" s="6976"/>
      <c r="AN16" s="6976"/>
      <c r="AO16" s="6976"/>
      <c r="AP16" s="6976"/>
      <c r="AQ16" s="6982" t="s">
        <v>8687</v>
      </c>
      <c r="AR16" s="6982"/>
      <c r="AS16" s="6993" t="s">
        <v>11011</v>
      </c>
      <c r="AT16" s="6993"/>
      <c r="AU16" s="6953" t="s">
        <v>8652</v>
      </c>
      <c r="AV16" s="6953"/>
      <c r="AW16" s="6995" t="s">
        <v>8653</v>
      </c>
      <c r="AX16" s="6957" t="s">
        <v>8697</v>
      </c>
      <c r="AY16" s="6959" t="s">
        <v>8654</v>
      </c>
      <c r="AZ16" s="6960"/>
      <c r="BA16" s="6963" t="s">
        <v>8419</v>
      </c>
      <c r="BB16" s="6965" t="s">
        <v>8655</v>
      </c>
      <c r="BC16" s="6944" t="s">
        <v>8701</v>
      </c>
      <c r="BD16" s="6946" t="s">
        <v>8656</v>
      </c>
      <c r="BE16" s="6948" t="s">
        <v>8427</v>
      </c>
      <c r="BF16" s="4"/>
      <c r="BG16" s="4"/>
      <c r="BH16" s="4"/>
      <c r="BJ16" s="6697" t="s">
        <v>225</v>
      </c>
      <c r="BK16" s="6697" t="s">
        <v>9599</v>
      </c>
      <c r="BL16" s="6697" t="s">
        <v>9600</v>
      </c>
      <c r="BM16" s="6698">
        <v>0.25</v>
      </c>
      <c r="BN16" s="273" t="s">
        <v>175</v>
      </c>
      <c r="BO16" s="273"/>
      <c r="BP16" s="223">
        <f t="shared" si="14"/>
        <v>4</v>
      </c>
      <c r="BQ16" s="321"/>
      <c r="BS16" s="187"/>
      <c r="BT16" s="187"/>
      <c r="BU16" s="187"/>
      <c r="BV16" s="187"/>
      <c r="BW16" s="187"/>
      <c r="BX16" s="20" t="str">
        <f t="shared" si="11"/>
        <v>A</v>
      </c>
      <c r="BY16" s="5715"/>
      <c r="BZ16" s="5715"/>
      <c r="CA16" s="5715"/>
      <c r="CB16" s="5715"/>
      <c r="CC16" s="5715"/>
      <c r="CD16" s="5661"/>
      <c r="CE16" s="1065"/>
      <c r="CF16" s="5705"/>
      <c r="CG16" s="5705"/>
      <c r="CH16" s="5705"/>
      <c r="CI16" s="5705"/>
      <c r="CJ16" s="5705"/>
      <c r="CK16" s="5706"/>
      <c r="CL16" s="4"/>
      <c r="CM16" s="1065"/>
      <c r="CN16" s="5705"/>
      <c r="CO16" s="5705"/>
      <c r="CP16" s="5705"/>
      <c r="CQ16" s="5705"/>
      <c r="CR16" s="5705"/>
      <c r="CS16" s="5706"/>
      <c r="CT16" s="4"/>
      <c r="CU16" s="1065"/>
      <c r="CV16" s="5705"/>
      <c r="CW16" s="5705"/>
      <c r="CX16" s="5705"/>
      <c r="CY16" s="5705"/>
      <c r="CZ16" s="5705"/>
      <c r="DA16" s="5706"/>
      <c r="DB16" s="4"/>
      <c r="DC16" s="5">
        <v>1</v>
      </c>
    </row>
    <row r="17" spans="1:107" s="1" customFormat="1" ht="21" customHeight="1" thickBot="1">
      <c r="A17" s="5641" t="s">
        <v>1</v>
      </c>
      <c r="B17" s="5662" t="str">
        <f t="shared" si="10"/>
        <v>►</v>
      </c>
      <c r="C17" s="5825" cm="1">
        <f t="array" ref="C17">SUMPRODUCT(LEN(D17:J17))</f>
        <v>0</v>
      </c>
      <c r="D17" s="5275"/>
      <c r="E17" s="1361"/>
      <c r="F17" s="1361"/>
      <c r="G17" s="1361"/>
      <c r="H17" s="1361"/>
      <c r="I17" s="1361"/>
      <c r="J17" s="5276"/>
      <c r="K17" s="106" t="s">
        <v>1</v>
      </c>
      <c r="L17" s="1021" t="s">
        <v>26</v>
      </c>
      <c r="M17" s="6787"/>
      <c r="N17" s="6787"/>
      <c r="O17" s="6787"/>
      <c r="P17" s="6788"/>
      <c r="Q17" s="6789"/>
      <c r="R17" s="6790"/>
      <c r="S17" s="6786"/>
      <c r="T17" s="6791"/>
      <c r="U17" s="6844"/>
      <c r="V17" s="6791"/>
      <c r="W17" s="8487"/>
      <c r="X17" s="6871"/>
      <c r="Y17" s="6793"/>
      <c r="Z17" s="6794"/>
      <c r="AA17" s="6795"/>
      <c r="AB17" s="6796"/>
      <c r="AC17" s="6797"/>
      <c r="AD17" s="6798"/>
      <c r="AE17" s="4" t="s">
        <v>1</v>
      </c>
      <c r="AF17" s="6232" t="s">
        <v>21</v>
      </c>
      <c r="AG17" s="6992"/>
      <c r="AH17" s="6231"/>
      <c r="AI17" s="6231"/>
      <c r="AJ17" s="6231"/>
      <c r="AK17" s="6731"/>
      <c r="AL17" s="6978"/>
      <c r="AM17" s="6979"/>
      <c r="AN17" s="6979"/>
      <c r="AO17" s="6979"/>
      <c r="AP17" s="6979"/>
      <c r="AQ17" s="6984"/>
      <c r="AR17" s="6984"/>
      <c r="AS17" s="6994"/>
      <c r="AT17" s="6994"/>
      <c r="AU17" s="6954"/>
      <c r="AV17" s="6954"/>
      <c r="AW17" s="6996"/>
      <c r="AX17" s="6958"/>
      <c r="AY17" s="6961"/>
      <c r="AZ17" s="6962"/>
      <c r="BA17" s="6964"/>
      <c r="BB17" s="6966"/>
      <c r="BC17" s="6945"/>
      <c r="BD17" s="6947"/>
      <c r="BE17" s="6949"/>
      <c r="BF17" s="4"/>
      <c r="BG17" s="4"/>
      <c r="BH17" s="4"/>
      <c r="BJ17" s="6697" t="s">
        <v>224</v>
      </c>
      <c r="BK17" s="6697" t="s">
        <v>9601</v>
      </c>
      <c r="BL17" s="6697" t="s">
        <v>9602</v>
      </c>
      <c r="BM17" s="6698">
        <v>0.33</v>
      </c>
      <c r="BN17" s="273" t="s">
        <v>175</v>
      </c>
      <c r="BO17" s="273"/>
      <c r="BP17" s="223">
        <f t="shared" si="14"/>
        <v>3</v>
      </c>
      <c r="BQ17" s="321"/>
      <c r="BS17" s="187"/>
      <c r="BT17" s="187"/>
      <c r="BU17" s="187"/>
      <c r="BV17" s="187"/>
      <c r="BW17" s="187"/>
      <c r="BX17" s="20" t="str">
        <f t="shared" si="11"/>
        <v>A</v>
      </c>
      <c r="BY17" s="5720" t="s">
        <v>8672</v>
      </c>
      <c r="BZ17" s="234"/>
      <c r="CA17" s="234"/>
      <c r="CB17" s="234"/>
      <c r="CC17" s="234"/>
      <c r="CD17" s="5661"/>
      <c r="CE17" s="5716" t="s">
        <v>8777</v>
      </c>
      <c r="CF17" s="5717"/>
      <c r="CG17" s="5705"/>
      <c r="CH17" s="5705"/>
      <c r="CI17" s="5705"/>
      <c r="CJ17" s="5705"/>
      <c r="CK17" s="5706"/>
      <c r="CL17" s="4"/>
      <c r="CM17" s="5716" t="s">
        <v>8779</v>
      </c>
      <c r="CN17" s="5717"/>
      <c r="CO17" s="5705"/>
      <c r="CP17" s="5705"/>
      <c r="CQ17" s="5705"/>
      <c r="CR17" s="5705"/>
      <c r="CS17" s="5706"/>
      <c r="CT17" s="4"/>
      <c r="CU17" s="5716" t="s">
        <v>8792</v>
      </c>
      <c r="CV17" s="5717"/>
      <c r="CW17" s="5705"/>
      <c r="CX17" s="5705"/>
      <c r="CY17" s="5705"/>
      <c r="CZ17" s="5705"/>
      <c r="DA17" s="5706"/>
      <c r="DB17" s="4"/>
      <c r="DC17" s="5">
        <v>1</v>
      </c>
    </row>
    <row r="18" spans="1:107" s="1" customFormat="1" ht="21" customHeight="1" thickTop="1" thickBot="1">
      <c r="A18" s="5641" t="s">
        <v>1</v>
      </c>
      <c r="B18" s="5662" t="str">
        <f t="shared" si="10"/>
        <v>►</v>
      </c>
      <c r="C18" s="5825" cm="1">
        <f t="array" ref="C18">SUMPRODUCT(LEN(D18:J18))</f>
        <v>0</v>
      </c>
      <c r="D18" s="5275"/>
      <c r="E18" s="1361"/>
      <c r="F18" s="1361"/>
      <c r="G18" s="1361"/>
      <c r="H18" s="1361"/>
      <c r="I18" s="1361"/>
      <c r="J18" s="5276"/>
      <c r="K18" s="106" t="s">
        <v>1</v>
      </c>
      <c r="L18" s="1021" t="s">
        <v>26</v>
      </c>
      <c r="M18" s="6787"/>
      <c r="N18" s="6787"/>
      <c r="O18" s="6787"/>
      <c r="P18" s="6788"/>
      <c r="Q18" s="6789"/>
      <c r="R18" s="6790"/>
      <c r="S18" s="6786"/>
      <c r="T18" s="6791"/>
      <c r="U18" s="6844"/>
      <c r="V18" s="6791"/>
      <c r="W18" s="8487"/>
      <c r="X18" s="6871"/>
      <c r="Y18" s="6793"/>
      <c r="Z18" s="6794"/>
      <c r="AA18" s="6795"/>
      <c r="AB18" s="6796"/>
      <c r="AC18" s="6797"/>
      <c r="AD18" s="6798"/>
      <c r="AE18" s="4" t="s">
        <v>1</v>
      </c>
      <c r="AF18" s="6232" t="s">
        <v>21</v>
      </c>
      <c r="AG18" s="6237" t="str">
        <f t="shared" ref="AG18:BH18" si="15">SUBSTITUTE(ADDRESS(1,COLUMN(),4),"1","")</f>
        <v>AG</v>
      </c>
      <c r="AH18" s="6237" t="str">
        <f t="shared" si="15"/>
        <v>AH</v>
      </c>
      <c r="AI18" s="6237" t="str">
        <f t="shared" si="15"/>
        <v>AI</v>
      </c>
      <c r="AJ18" s="6237" t="str">
        <f t="shared" si="15"/>
        <v>AJ</v>
      </c>
      <c r="AK18" s="6237" t="str">
        <f t="shared" si="15"/>
        <v>AK</v>
      </c>
      <c r="AL18" s="6237" t="str">
        <f t="shared" si="15"/>
        <v>AL</v>
      </c>
      <c r="AM18" s="6237" t="str">
        <f t="shared" si="15"/>
        <v>AM</v>
      </c>
      <c r="AN18" s="6237" t="str">
        <f t="shared" si="15"/>
        <v>AN</v>
      </c>
      <c r="AO18" s="6185" t="str">
        <f t="shared" si="15"/>
        <v>AO</v>
      </c>
      <c r="AP18" s="6185" t="str">
        <f t="shared" si="15"/>
        <v>AP</v>
      </c>
      <c r="AQ18" s="6185" t="str">
        <f t="shared" si="15"/>
        <v>AQ</v>
      </c>
      <c r="AR18" s="6185" t="str">
        <f t="shared" si="15"/>
        <v>AR</v>
      </c>
      <c r="AS18" s="6185" t="str">
        <f t="shared" si="15"/>
        <v>AS</v>
      </c>
      <c r="AT18" s="6185" t="str">
        <f t="shared" si="15"/>
        <v>AT</v>
      </c>
      <c r="AU18" s="6185" t="str">
        <f t="shared" si="15"/>
        <v>AU</v>
      </c>
      <c r="AV18" s="6185" t="str">
        <f t="shared" si="15"/>
        <v>AV</v>
      </c>
      <c r="AW18" s="6185" t="str">
        <f t="shared" si="15"/>
        <v>AW</v>
      </c>
      <c r="AX18" s="6185" t="str">
        <f t="shared" si="15"/>
        <v>AX</v>
      </c>
      <c r="AY18" s="6185" t="str">
        <f t="shared" si="15"/>
        <v>AY</v>
      </c>
      <c r="AZ18" s="6185" t="str">
        <f t="shared" si="15"/>
        <v>AZ</v>
      </c>
      <c r="BA18" s="6185" t="str">
        <f t="shared" si="15"/>
        <v>BA</v>
      </c>
      <c r="BB18" s="6185" t="str">
        <f t="shared" si="15"/>
        <v>BB</v>
      </c>
      <c r="BC18" s="6185" t="str">
        <f t="shared" si="15"/>
        <v>BC</v>
      </c>
      <c r="BD18" s="6185" t="str">
        <f t="shared" si="15"/>
        <v>BD</v>
      </c>
      <c r="BE18" s="6185" t="str">
        <f t="shared" si="15"/>
        <v>BE</v>
      </c>
      <c r="BF18" s="4"/>
      <c r="BG18" s="6187" t="str">
        <f t="shared" si="15"/>
        <v>BG</v>
      </c>
      <c r="BH18" s="6187" t="str">
        <f t="shared" si="15"/>
        <v>BH</v>
      </c>
      <c r="BJ18" s="6699" t="s">
        <v>219</v>
      </c>
      <c r="BK18" s="6699" t="s">
        <v>219</v>
      </c>
      <c r="BL18" s="6699" t="s">
        <v>219</v>
      </c>
      <c r="BM18" s="6304">
        <f>BQ18 / 1000</f>
        <v>1</v>
      </c>
      <c r="BN18" s="240" t="s">
        <v>111</v>
      </c>
      <c r="BO18" s="240" t="s">
        <v>8773</v>
      </c>
      <c r="BP18" s="223">
        <f t="shared" si="14"/>
        <v>1</v>
      </c>
      <c r="BQ18" s="239">
        <v>1000</v>
      </c>
      <c r="BS18" s="187"/>
      <c r="BT18" s="187"/>
      <c r="BU18" s="187"/>
      <c r="BV18" s="187"/>
      <c r="BW18" s="187"/>
      <c r="BX18" s="20" t="str">
        <f t="shared" si="11"/>
        <v>A</v>
      </c>
      <c r="BY18" s="5720"/>
      <c r="BZ18" s="228"/>
      <c r="CA18" s="234"/>
      <c r="CB18" s="234"/>
      <c r="CC18" s="234"/>
      <c r="CD18" s="5661"/>
      <c r="CE18" s="5716"/>
      <c r="CF18" s="5717"/>
      <c r="CG18" s="5705"/>
      <c r="CH18" s="5705"/>
      <c r="CI18" s="5705"/>
      <c r="CJ18" s="5705"/>
      <c r="CK18" s="5706"/>
      <c r="CM18" s="5716"/>
      <c r="CN18" s="5717"/>
      <c r="CO18" s="5705"/>
      <c r="CP18" s="5705"/>
      <c r="CQ18" s="5705"/>
      <c r="CR18" s="5705"/>
      <c r="CS18" s="5706"/>
      <c r="CU18" s="5716"/>
      <c r="CV18" s="5717"/>
      <c r="CW18" s="5705"/>
      <c r="CX18" s="5705"/>
      <c r="CY18" s="5705"/>
      <c r="CZ18" s="5705"/>
      <c r="DA18" s="5706"/>
      <c r="DC18" s="5">
        <v>1</v>
      </c>
    </row>
    <row r="19" spans="1:107" s="1" customFormat="1" ht="21" customHeight="1" thickTop="1" thickBot="1">
      <c r="A19" s="5641" t="s">
        <v>1</v>
      </c>
      <c r="B19" s="5662" t="str">
        <f t="shared" si="10"/>
        <v>►</v>
      </c>
      <c r="C19" s="5825" cm="1">
        <f t="array" ref="C19">SUMPRODUCT(LEN(D19:J19))</f>
        <v>0</v>
      </c>
      <c r="D19" s="5275"/>
      <c r="E19" s="1361"/>
      <c r="F19" s="1361"/>
      <c r="G19" s="1361"/>
      <c r="H19" s="1361"/>
      <c r="I19" s="1361"/>
      <c r="J19" s="5276"/>
      <c r="K19" s="106" t="s">
        <v>1</v>
      </c>
      <c r="L19" s="1021" t="s">
        <v>26</v>
      </c>
      <c r="M19" s="6787"/>
      <c r="N19" s="6787"/>
      <c r="O19" s="6787"/>
      <c r="P19" s="6788"/>
      <c r="Q19" s="6789"/>
      <c r="R19" s="6790"/>
      <c r="S19" s="6786"/>
      <c r="T19" s="6791"/>
      <c r="U19" s="6844"/>
      <c r="V19" s="6791"/>
      <c r="W19" s="8487"/>
      <c r="X19" s="6871"/>
      <c r="Y19" s="6793"/>
      <c r="Z19" s="6794"/>
      <c r="AA19" s="6795"/>
      <c r="AB19" s="6796"/>
      <c r="AC19" s="6797"/>
      <c r="AD19" s="6798"/>
      <c r="AE19" s="4" t="s">
        <v>1</v>
      </c>
      <c r="AF19" s="6232" t="s">
        <v>21</v>
      </c>
      <c r="AG19" s="6760" t="s">
        <v>203</v>
      </c>
      <c r="AH19" s="6760" t="s">
        <v>202</v>
      </c>
      <c r="AI19" s="6760" t="s">
        <v>201</v>
      </c>
      <c r="AJ19" s="6760" t="s">
        <v>200</v>
      </c>
      <c r="AK19" s="6760" t="s">
        <v>8345</v>
      </c>
      <c r="AL19" s="6760" t="s">
        <v>8346</v>
      </c>
      <c r="AM19" s="6760" t="s">
        <v>8347</v>
      </c>
      <c r="AN19" s="6760" t="s">
        <v>8348</v>
      </c>
      <c r="AO19" s="6760" t="s">
        <v>8349</v>
      </c>
      <c r="AP19" s="6760" t="s">
        <v>8350</v>
      </c>
      <c r="AQ19" s="304" t="s">
        <v>8351</v>
      </c>
      <c r="AR19" s="6760" t="s">
        <v>8352</v>
      </c>
      <c r="AS19" s="304" t="s">
        <v>8355</v>
      </c>
      <c r="AT19" s="304" t="s">
        <v>8685</v>
      </c>
      <c r="AU19" s="304" t="s">
        <v>8767</v>
      </c>
      <c r="AV19" s="304" t="s">
        <v>8768</v>
      </c>
      <c r="AW19" s="304" t="s">
        <v>8769</v>
      </c>
      <c r="AX19" s="304" t="s">
        <v>8770</v>
      </c>
      <c r="AY19" s="6761" t="s">
        <v>8771</v>
      </c>
      <c r="AZ19" s="304" t="s">
        <v>10002</v>
      </c>
      <c r="BA19" s="304" t="s">
        <v>10700</v>
      </c>
      <c r="BB19" s="304" t="s">
        <v>10701</v>
      </c>
      <c r="BC19" s="304" t="s">
        <v>10702</v>
      </c>
      <c r="BD19" s="304" t="s">
        <v>10703</v>
      </c>
      <c r="BE19" s="6223" t="s">
        <v>11008</v>
      </c>
      <c r="BF19" s="4"/>
      <c r="BG19" s="6196" t="s">
        <v>191</v>
      </c>
      <c r="BH19" s="6197" t="s">
        <v>8644</v>
      </c>
      <c r="BI19" s="187"/>
      <c r="BJ19" s="6283" t="s">
        <v>130</v>
      </c>
      <c r="BK19" s="6283" t="s">
        <v>130</v>
      </c>
      <c r="BL19" s="6283" t="s">
        <v>130</v>
      </c>
      <c r="BM19" s="6304">
        <f>BQ19 / 1000</f>
        <v>1E-3</v>
      </c>
      <c r="BN19" s="240" t="s">
        <v>111</v>
      </c>
      <c r="BO19" s="240" t="s">
        <v>8773</v>
      </c>
      <c r="BP19" s="223">
        <f t="shared" si="14"/>
        <v>1000</v>
      </c>
      <c r="BQ19" s="239">
        <v>1</v>
      </c>
      <c r="BR19" s="187"/>
      <c r="BS19" s="187"/>
      <c r="BT19" s="187"/>
      <c r="BU19" s="187"/>
      <c r="BV19" s="187"/>
      <c r="BW19" s="187"/>
      <c r="BX19" s="20" t="str">
        <f t="shared" si="11"/>
        <v>A</v>
      </c>
      <c r="BY19" s="5720" t="s">
        <v>8673</v>
      </c>
      <c r="BZ19" s="234"/>
      <c r="CA19" s="234"/>
      <c r="CB19" s="234"/>
      <c r="CC19" s="234"/>
      <c r="CD19" s="5661"/>
      <c r="CE19" s="5721" t="s">
        <v>8691</v>
      </c>
      <c r="CF19" s="5717"/>
      <c r="CG19" s="5705"/>
      <c r="CH19" s="5705"/>
      <c r="CI19" s="5705"/>
      <c r="CJ19" s="5705"/>
      <c r="CK19" s="5706"/>
      <c r="CM19" s="5721" t="s">
        <v>8780</v>
      </c>
      <c r="CN19" s="5717"/>
      <c r="CO19" s="5705"/>
      <c r="CP19" s="5705"/>
      <c r="CQ19" s="5705"/>
      <c r="CR19" s="5705"/>
      <c r="CS19" s="5706"/>
      <c r="CU19" s="5721" t="s">
        <v>8793</v>
      </c>
      <c r="CV19" s="5717"/>
      <c r="CW19" s="5705"/>
      <c r="CX19" s="5705"/>
      <c r="CY19" s="5705"/>
      <c r="CZ19" s="5705"/>
      <c r="DA19" s="5706"/>
      <c r="DC19" s="5">
        <v>1</v>
      </c>
    </row>
    <row r="20" spans="1:107" s="1" customFormat="1" ht="21" customHeight="1" thickTop="1">
      <c r="A20" s="5641" t="s">
        <v>1</v>
      </c>
      <c r="B20" s="5662" t="str">
        <f t="shared" si="10"/>
        <v>►</v>
      </c>
      <c r="C20" s="5825" cm="1">
        <f t="array" ref="C20">SUMPRODUCT(LEN(D20:J20))</f>
        <v>34</v>
      </c>
      <c r="D20" s="5275"/>
      <c r="E20" s="1361" t="s">
        <v>8519</v>
      </c>
      <c r="F20" s="1361"/>
      <c r="G20" s="1361"/>
      <c r="H20" s="1361"/>
      <c r="I20" s="1361"/>
      <c r="J20" s="5276"/>
      <c r="K20" s="106" t="s">
        <v>1</v>
      </c>
      <c r="L20" s="1021" t="s">
        <v>26</v>
      </c>
      <c r="M20" s="6787"/>
      <c r="N20" s="6787"/>
      <c r="O20" s="6787"/>
      <c r="P20" s="6788"/>
      <c r="Q20" s="6789"/>
      <c r="R20" s="6790"/>
      <c r="S20" s="6786"/>
      <c r="T20" s="6791"/>
      <c r="U20" s="6844"/>
      <c r="V20" s="6791"/>
      <c r="W20" s="8487"/>
      <c r="X20" s="6871"/>
      <c r="Y20" s="6793"/>
      <c r="Z20" s="6794"/>
      <c r="AA20" s="6795"/>
      <c r="AB20" s="6796"/>
      <c r="AC20" s="6797"/>
      <c r="AD20" s="6798"/>
      <c r="AE20" s="4" t="s">
        <v>1</v>
      </c>
      <c r="AF20" s="6232" t="s">
        <v>21</v>
      </c>
      <c r="AG20" s="6969" t="s">
        <v>8684</v>
      </c>
      <c r="AH20" s="6970"/>
      <c r="AI20" s="6970"/>
      <c r="AJ20" s="6970"/>
      <c r="AK20" s="6971"/>
      <c r="AL20" s="6975" t="s">
        <v>228</v>
      </c>
      <c r="AM20" s="6976"/>
      <c r="AN20" s="6976"/>
      <c r="AO20" s="6976"/>
      <c r="AP20" s="6977"/>
      <c r="AQ20" s="6981" t="s">
        <v>8686</v>
      </c>
      <c r="AR20" s="6982"/>
      <c r="AS20" s="6985" t="s">
        <v>11015</v>
      </c>
      <c r="AT20" s="6985"/>
      <c r="AU20" s="6953" t="s">
        <v>192</v>
      </c>
      <c r="AV20" s="6953"/>
      <c r="AW20" s="6955" t="s">
        <v>8645</v>
      </c>
      <c r="AX20" s="6957" t="s">
        <v>8698</v>
      </c>
      <c r="AY20" s="6959" t="s">
        <v>182</v>
      </c>
      <c r="AZ20" s="6960"/>
      <c r="BA20" s="6963" t="s">
        <v>191</v>
      </c>
      <c r="BB20" s="6965" t="s">
        <v>190</v>
      </c>
      <c r="BC20" s="6944" t="s">
        <v>8702</v>
      </c>
      <c r="BD20" s="6946" t="s">
        <v>180</v>
      </c>
      <c r="BE20" s="6948" t="s">
        <v>185</v>
      </c>
      <c r="BF20" s="4" t="s">
        <v>1</v>
      </c>
      <c r="BG20" s="6196">
        <f>IFERROR(_xlfn.LET(_xlpm.b,(Q20*#REF!)/AO14,IF(ISNUMBER(AS14),_xlpm.b*AS14,IF(OR(ISBLANK(AS14),AS14=""),_xlpm.b*AQ14,IF(AND(BH20=0,ISNUMBER(Q20)),_xlpm.b/AQ14,0)))),0)</f>
        <v>0</v>
      </c>
      <c r="BH20" s="6197">
        <f>IF(AL14&lt;=0,0,IF(ISBLANK(AS14),IFERROR(AQ14/AO14,0),IFERROR(AS14/AO14,0)))</f>
        <v>0</v>
      </c>
      <c r="BI20" s="187"/>
      <c r="BJ20" s="6287" t="s">
        <v>188</v>
      </c>
      <c r="BK20" s="6287" t="s">
        <v>9603</v>
      </c>
      <c r="BL20" s="6287" t="s">
        <v>9604</v>
      </c>
      <c r="BM20" s="6304">
        <f>BQ20 / 1000</f>
        <v>0.25</v>
      </c>
      <c r="BN20" s="240" t="s">
        <v>111</v>
      </c>
      <c r="BO20" s="240" t="s">
        <v>8773</v>
      </c>
      <c r="BP20" s="223">
        <f t="shared" si="14"/>
        <v>4</v>
      </c>
      <c r="BQ20" s="276">
        <v>250</v>
      </c>
      <c r="BR20" s="187"/>
      <c r="BS20" s="187"/>
      <c r="BT20" s="187"/>
      <c r="BU20" s="187"/>
      <c r="BV20" s="187"/>
      <c r="BW20" s="187"/>
      <c r="BX20" s="20" t="str">
        <f t="shared" si="11"/>
        <v>A</v>
      </c>
      <c r="BY20" s="5720"/>
      <c r="BZ20" s="228"/>
      <c r="CA20" s="228"/>
      <c r="CB20" s="227"/>
      <c r="CC20" s="227"/>
      <c r="CD20" s="5661"/>
      <c r="CE20" s="5721"/>
      <c r="CF20" s="5717"/>
      <c r="CG20" s="5705"/>
      <c r="CH20" s="5705"/>
      <c r="CI20" s="5705"/>
      <c r="CJ20" s="5705"/>
      <c r="CK20" s="5706"/>
      <c r="CM20" s="5721"/>
      <c r="CN20" s="5717"/>
      <c r="CO20" s="5705"/>
      <c r="CP20" s="5705"/>
      <c r="CQ20" s="5705"/>
      <c r="CR20" s="5705"/>
      <c r="CS20" s="5706"/>
      <c r="CU20" s="5721"/>
      <c r="CV20" s="5717"/>
      <c r="CW20" s="5705"/>
      <c r="CX20" s="5705"/>
      <c r="CY20" s="5705"/>
      <c r="CZ20" s="5705"/>
      <c r="DA20" s="5706"/>
      <c r="DC20" s="5">
        <v>1</v>
      </c>
    </row>
    <row r="21" spans="1:107" s="1" customFormat="1" ht="21" customHeight="1" thickBot="1">
      <c r="A21" s="5641" t="s">
        <v>1</v>
      </c>
      <c r="B21" s="5662" t="str">
        <f t="shared" si="10"/>
        <v>►</v>
      </c>
      <c r="C21" s="5825" cm="1">
        <f t="array" ref="C21">SUMPRODUCT(LEN(D21:J21))</f>
        <v>71</v>
      </c>
      <c r="D21" s="5275"/>
      <c r="E21" s="1361" t="s">
        <v>10681</v>
      </c>
      <c r="F21" s="1361"/>
      <c r="G21" s="1361"/>
      <c r="H21" s="1361"/>
      <c r="I21" s="1361"/>
      <c r="J21" s="5276"/>
      <c r="K21" s="106" t="s">
        <v>1</v>
      </c>
      <c r="L21" s="1021" t="s">
        <v>26</v>
      </c>
      <c r="M21" s="6787"/>
      <c r="N21" s="6787"/>
      <c r="O21" s="6787"/>
      <c r="P21" s="6788"/>
      <c r="Q21" s="6789"/>
      <c r="R21" s="6790"/>
      <c r="S21" s="6786"/>
      <c r="T21" s="6791"/>
      <c r="U21" s="6844"/>
      <c r="V21" s="6791"/>
      <c r="W21" s="8487"/>
      <c r="X21" s="6871"/>
      <c r="Y21" s="6793"/>
      <c r="Z21" s="6794"/>
      <c r="AA21" s="6795"/>
      <c r="AB21" s="6796"/>
      <c r="AC21" s="6797"/>
      <c r="AD21" s="6798"/>
      <c r="AE21" s="4" t="s">
        <v>1</v>
      </c>
      <c r="AF21" s="6232" t="s">
        <v>21</v>
      </c>
      <c r="AG21" s="6972"/>
      <c r="AH21" s="6973"/>
      <c r="AI21" s="6973"/>
      <c r="AJ21" s="6973"/>
      <c r="AK21" s="6974"/>
      <c r="AL21" s="6978"/>
      <c r="AM21" s="6979"/>
      <c r="AN21" s="6979"/>
      <c r="AO21" s="6979"/>
      <c r="AP21" s="6980"/>
      <c r="AQ21" s="6983"/>
      <c r="AR21" s="6984"/>
      <c r="AS21" s="6862" t="s">
        <v>11016</v>
      </c>
      <c r="AT21" s="6863" t="s">
        <v>11014</v>
      </c>
      <c r="AU21" s="6954"/>
      <c r="AV21" s="6954"/>
      <c r="AW21" s="6956"/>
      <c r="AX21" s="6958"/>
      <c r="AY21" s="6961"/>
      <c r="AZ21" s="6962"/>
      <c r="BA21" s="6964"/>
      <c r="BB21" s="6966"/>
      <c r="BC21" s="6945"/>
      <c r="BD21" s="6947"/>
      <c r="BE21" s="6949"/>
      <c r="BF21" s="4" t="s">
        <v>1</v>
      </c>
      <c r="BG21" s="6196">
        <f>IFERROR(_xlfn.LET(_xlpm.b,(Q21*#REF!)/AO15,IF(ISNUMBER(AS15),_xlpm.b*AS15,IF(OR(ISBLANK(AS15),AS15=""),_xlpm.b*AQ15,IF(AND(BH21=0,ISNUMBER(Q21)),_xlpm.b/AQ15,0)))),0)</f>
        <v>0</v>
      </c>
      <c r="BH21" s="6197">
        <f>IF(AL15&lt;=0,0,IF(ISBLANK(AS15),IFERROR(AQ15/AO15,0),IFERROR(AS15/AO15,0)))</f>
        <v>0</v>
      </c>
      <c r="BI21" s="187"/>
      <c r="BJ21" s="6287" t="s">
        <v>179</v>
      </c>
      <c r="BK21" s="6287" t="s">
        <v>9605</v>
      </c>
      <c r="BL21" s="6287" t="s">
        <v>9606</v>
      </c>
      <c r="BM21" s="6304">
        <f>BQ21 / 1000</f>
        <v>0.5</v>
      </c>
      <c r="BN21" s="240" t="s">
        <v>111</v>
      </c>
      <c r="BO21" s="240" t="s">
        <v>8773</v>
      </c>
      <c r="BP21" s="223">
        <f t="shared" si="14"/>
        <v>2</v>
      </c>
      <c r="BQ21" s="276">
        <v>500</v>
      </c>
      <c r="BR21" s="187"/>
      <c r="BS21" s="187"/>
      <c r="BT21" s="187"/>
      <c r="BU21" s="187"/>
      <c r="BV21" s="187"/>
      <c r="BW21" s="187"/>
      <c r="BX21" s="20" t="str">
        <f t="shared" si="11"/>
        <v>A</v>
      </c>
      <c r="BY21" s="5720" t="s">
        <v>8674</v>
      </c>
      <c r="BZ21" s="228"/>
      <c r="CA21" s="228"/>
      <c r="CB21" s="227"/>
      <c r="CC21" s="227"/>
      <c r="CD21" s="5661"/>
      <c r="CE21" s="6249" t="s">
        <v>8692</v>
      </c>
      <c r="CF21" s="5705"/>
      <c r="CG21" s="5705"/>
      <c r="CH21" s="5750">
        <v>45</v>
      </c>
      <c r="CI21" s="5751" t="s">
        <v>157</v>
      </c>
      <c r="CJ21" s="5950"/>
      <c r="CK21" s="6250"/>
      <c r="CM21" s="6249" t="s">
        <v>8807</v>
      </c>
      <c r="CN21" s="5705"/>
      <c r="CO21" s="5705"/>
      <c r="CP21" s="5750">
        <v>45</v>
      </c>
      <c r="CQ21" s="5751" t="s">
        <v>897</v>
      </c>
      <c r="CR21" s="5950"/>
      <c r="CS21" s="6250"/>
      <c r="CU21" s="6249" t="s">
        <v>8818</v>
      </c>
      <c r="CV21" s="5705"/>
      <c r="CW21" s="5705"/>
      <c r="CX21" s="5750">
        <v>45</v>
      </c>
      <c r="CY21" s="5751" t="s">
        <v>8794</v>
      </c>
      <c r="CZ21" s="5950"/>
      <c r="DA21" s="6250"/>
      <c r="DC21" s="5">
        <v>1</v>
      </c>
    </row>
    <row r="22" spans="1:107" s="1" customFormat="1" ht="21" customHeight="1" thickTop="1">
      <c r="A22" s="5641" t="s">
        <v>1</v>
      </c>
      <c r="B22" s="5662" t="str">
        <f t="shared" si="10"/>
        <v>►</v>
      </c>
      <c r="C22" s="5825" cm="1">
        <f t="array" ref="C22">SUMPRODUCT(LEN(D22:J22))</f>
        <v>78</v>
      </c>
      <c r="D22" s="5275"/>
      <c r="E22" s="1361" t="s">
        <v>10682</v>
      </c>
      <c r="F22" s="1361"/>
      <c r="G22" s="1361"/>
      <c r="H22" s="1361"/>
      <c r="I22" s="1361"/>
      <c r="J22" s="5276"/>
      <c r="K22" s="106" t="s">
        <v>1</v>
      </c>
      <c r="L22" s="1021" t="s">
        <v>26</v>
      </c>
      <c r="M22" s="6787"/>
      <c r="N22" s="6787"/>
      <c r="O22" s="6787"/>
      <c r="P22" s="6788"/>
      <c r="Q22" s="6789"/>
      <c r="R22" s="6790"/>
      <c r="S22" s="6786"/>
      <c r="T22" s="6791"/>
      <c r="U22" s="6844"/>
      <c r="V22" s="6791"/>
      <c r="W22" s="8487"/>
      <c r="X22" s="6871"/>
      <c r="Y22" s="6793"/>
      <c r="Z22" s="6794"/>
      <c r="AA22" s="6795"/>
      <c r="AB22" s="6796"/>
      <c r="AC22" s="6797"/>
      <c r="AD22" s="6798"/>
      <c r="AE22" s="4" t="s">
        <v>1</v>
      </c>
      <c r="AF22" s="6202" t="str">
        <f t="shared" ref="AF22:AF85" si="16">IF(OR(AO22&gt;0,TRIM(AG22)="▼ recette suivante"),"A","►")</f>
        <v>►</v>
      </c>
      <c r="AG22" s="6234" t="str">
        <f t="shared" ref="AG22:AG85" si="17">IF(TRIM(Q22)="Adresse PC","▼ recette suivante",IF(AO22&gt;0,M22,""))</f>
        <v/>
      </c>
      <c r="AH22" s="6732" t="str">
        <f t="shared" ref="AH22:AH85" si="18">IF(AF22="A",N22,"")</f>
        <v/>
      </c>
      <c r="AI22" s="6234" t="str">
        <f t="shared" ref="AI22:AI85" si="19">IF(AF22="A",O22,"")</f>
        <v/>
      </c>
      <c r="AJ22" s="6732" t="str">
        <f t="shared" ref="AJ22:AJ85" si="20">IF(AF22="A",U22,"")</f>
        <v/>
      </c>
      <c r="AK22" s="6732">
        <f t="shared" ref="AK22:AK85" si="21">IF(AND(L22="A",COUNTIF($BJ$15:$BL$62,TRIM(U22))&gt;0),1,0)</f>
        <v>0</v>
      </c>
      <c r="AL22" s="6230" t="str" cm="1">
        <f t="array" ref="AL22">IF(AF22&lt;&gt;"A","",IFERROR((IFERROR(_xlfn.XLOOKUP(TRIM(SUBSTITUTE(U22,CHAR(160)," ")),$BJ$15:$BJ$62,$BM$15:$BM$62),IFERROR(_xlfn.XLOOKUP(TRIM(SUBSTITUTE(U22,CHAR(160)," ")),$BK$15:$BK$62,$BM$15:$BM$62),_xlfn.XLOOKUP(TRIM(SUBSTITUTE(U22,CHAR(160)," ")),$BL$15:$BL$62,$BM$15:$BM$62))))*T22*IF(ISBLANK(Q22),1,Q22)+IFERROR(_xlfn.XLOOKUP("RECHERCHEX",TRIM(L22:AD22),L22:AD22),0),0))</f>
        <v/>
      </c>
      <c r="AM22" s="6229">
        <f t="shared" ref="AM22:AM85" si="22">IF(AK22,IF(AL22&gt;0,"Kg",0),0)</f>
        <v>0</v>
      </c>
      <c r="AN22" s="6857" t="str">
        <f t="shared" ref="AN22:AN28" si="23">IF(AF22="A","❾ Author reference &gt;","")</f>
        <v/>
      </c>
      <c r="AO22" s="392">
        <f t="shared" ref="AO22:AO85" si="24">IF(AK22,N22,0)</f>
        <v>0</v>
      </c>
      <c r="AP22" s="392">
        <f t="shared" ref="AP22:AP85" si="25">IF(AK22,O22,0)</f>
        <v>0</v>
      </c>
      <c r="AQ22" s="6190">
        <f t="shared" ref="AQ22:AQ85" si="26">IF(AO22&gt;0,AS$9,0)</f>
        <v>0</v>
      </c>
      <c r="AR22" s="6858" t="str">
        <f t="shared" ref="AR22:AR85" si="27">IF(TRIM(AG22)="▼ recette suivante", AG22, IF(AQ22&gt;0, IF(AT$9&lt;&gt;"", AT$9&amp;"-ou.or.o ❾ + or - &gt;", ""), ""))</f>
        <v/>
      </c>
      <c r="AS22" s="6860"/>
      <c r="AT22" s="6860"/>
      <c r="AU22" s="6271">
        <f t="shared" ref="AU22:AU85" si="28">IF(TRIM(AM22)="Kg",N(AL22)*N(BH22),0)</f>
        <v>0</v>
      </c>
      <c r="AV22" s="6242">
        <f t="shared" ref="AV22:AV85" si="29">IF(AK22,IF(OR(AU22="",N(AU22)&lt;=0.000000001),"",_xlfn.XLOOKUP(AJ22,$BJ$15:$BJ$62,$BN$15:$BN$62,_xlfn.XLOOKUP(AJ22,$BK$15:$BK$62,$BN$15:$BN$62,_xlfn.XLOOKUP(AJ22,$BL$15:$BL$62,$BN$15:$BN$62,"")))),0)</f>
        <v>0</v>
      </c>
      <c r="AW22" s="6188" cm="1">
        <f t="array" ref="AW22">IF(AK22&lt;&gt;1,0,IF(OR(AU22="",N(AU22)&lt;=0.000000001),"",IF(OR(AO22="",N(AO22)&lt;=0.000000001),0,IF(ISNUMBER(AU22),IFERROR(_xlfn.LET(_xlpm.ai_test,TRIM(AJ22),_xlpm.r,IFERROR(_xlfn.XLOOKUP(_xlpm.ai_test,$BJ$15:$BJ$62,ROW($BJ$15:$BJ$62),0,1),IFERROR(_xlfn.XLOOKUP(_xlpm.ai_test,$BK$15:$BK$62,ROW($BK$15:$BK$62),0,1),_xlfn.XLOOKUP(_xlpm.ai_test,$BL$15:$BL$62,ROW($BL$15:$BL$62),0,1))),_xlpm.p,_xlpm.r-MIN(ROW($BJ$15:$BJ$62))+1,_xlpm.f,INDEX($BM$15:$BM$62,_xlpm.p),_xlpm.u,INDEX($BN$15:$BN$62,_xlpm.p),_xlpm.s,INDEX($BP$15:$BP$62,_xlpm.p),_xlpm.q,N(AU22)/_xlpm.f,IF(_xlpm.q&gt;=_xlpm.s,ROUND(_xlpm.q,1)&amp;" "&amp;_xlpm.ai_test&amp;" = "&amp;ROUND(_xlpm.q*_xlpm.f,1)&amp;" "&amp;_xlpm.u,ROUND(_xlpm.q,1)&amp;" "&amp;_xlpm.ai_test)),""),""))))</f>
        <v>0</v>
      </c>
      <c r="AX22" s="6218"/>
      <c r="AY22" s="6271">
        <f t="shared" ref="AY22:AY85" si="30">IF(TRIM(AG22)="▼ recette suivante","▼next recipe ",IF(AU22="","",IF(ISBLANK(AX22),AU22,ROUND(AU22*(1-MIN(1,MAX(0,IF(AX22&gt;1,AX22/100,AX22)))),3))))</f>
        <v>0</v>
      </c>
      <c r="AZ22" s="6242" t="str">
        <f t="shared" ref="AZ22:AZ85" si="31">IF(AK22,AV22,"")</f>
        <v/>
      </c>
      <c r="BA22" s="6194">
        <f>IF(ISNUMBER(BG22),IF(ABS(BG22)&lt;=0.000000001,0,BG22),0)</f>
        <v>0</v>
      </c>
      <c r="BB22" s="6192" t="str">
        <f t="shared" ref="BB22:BB85" si="32">IF(AK22,IF(N(BA22)&gt;0.000000001,R22,""),"")</f>
        <v/>
      </c>
      <c r="BC22" s="6219">
        <v>1</v>
      </c>
      <c r="BD22" s="6221">
        <f t="shared" ref="BD22:BD25" si="33">IF(OR(AO22=0,ISBLANK(BC22),ISTEXT(BA22)),0,(IF(AU22=0,BA22,AU22)*BC22))</f>
        <v>0</v>
      </c>
      <c r="BE22" s="6220" t="str">
        <f t="shared" ref="BE22:BE85" si="34">IF(IFERROR(SEARCH("Adresse PC",TRIM(Q22)),0)&gt;0,"▼ receta siguiente",IF(AY22&gt;0,W22,""))</f>
        <v/>
      </c>
      <c r="BF22" s="4" t="s">
        <v>1</v>
      </c>
      <c r="BG22" s="6196">
        <f t="shared" ref="BG22:BG85" si="35">IFERROR(_xlfn.LET(_xlpm.EPS,0.000000001,_xlpm.b,Q22/AO22,IF(ISNUMBER(AS22),_xlpm.b*AS22,IF(OR(ISBLANK(AS22),AS22=""),_xlpm.b*AQ22,IF(AND(BH22=0,ISNUMBER(Q22)),_xlpm.b/AQ22,0)))),0)</f>
        <v>0</v>
      </c>
      <c r="BH22" s="6197">
        <f t="shared" ref="BH22:BH85" si="36">IF(AL22&gt;0,IFERROR(IF(OR(ISBLANK(AS22),AS22=""),AQ22,AS22)/AO22,0),0)</f>
        <v>0</v>
      </c>
      <c r="BI22" s="187"/>
      <c r="BJ22" s="6287" t="s">
        <v>176</v>
      </c>
      <c r="BK22" s="6287" t="s">
        <v>9607</v>
      </c>
      <c r="BL22" s="6287" t="s">
        <v>9608</v>
      </c>
      <c r="BM22" s="6304">
        <f>BQ22 / 1000</f>
        <v>0.33300000000000002</v>
      </c>
      <c r="BN22" s="240" t="s">
        <v>111</v>
      </c>
      <c r="BO22" s="240" t="s">
        <v>8773</v>
      </c>
      <c r="BP22" s="223">
        <f t="shared" si="14"/>
        <v>3</v>
      </c>
      <c r="BQ22" s="276">
        <v>333</v>
      </c>
      <c r="BR22" s="187"/>
      <c r="BS22" s="187"/>
      <c r="BT22" s="187"/>
      <c r="BU22" s="187"/>
      <c r="BV22" s="187"/>
      <c r="BW22" s="187"/>
      <c r="BX22" s="20" t="str">
        <f t="shared" si="11"/>
        <v>►</v>
      </c>
      <c r="BY22" s="255"/>
      <c r="BZ22" s="228"/>
      <c r="CA22" s="228"/>
      <c r="CB22" s="227"/>
      <c r="CC22" s="227"/>
      <c r="CD22" s="5661"/>
      <c r="CE22" s="6251"/>
      <c r="CF22" s="5950"/>
      <c r="CG22" s="5950"/>
      <c r="CH22" s="5950"/>
      <c r="CI22" s="6248" t="s">
        <v>8776</v>
      </c>
      <c r="CJ22" s="5950"/>
      <c r="CK22" s="6250"/>
      <c r="CM22" s="6251"/>
      <c r="CN22" s="5950"/>
      <c r="CO22" s="5950"/>
      <c r="CP22" s="5950"/>
      <c r="CQ22" s="6248" t="s">
        <v>9609</v>
      </c>
      <c r="CR22" s="5950"/>
      <c r="CS22" s="6250"/>
      <c r="CU22" s="6251"/>
      <c r="CV22" s="5950"/>
      <c r="CW22" s="5950"/>
      <c r="CX22" s="5950"/>
      <c r="CY22" s="6248" t="s">
        <v>9610</v>
      </c>
      <c r="CZ22" s="5950"/>
      <c r="DA22" s="6250"/>
      <c r="DC22" s="5">
        <v>1</v>
      </c>
    </row>
    <row r="23" spans="1:107" s="1" customFormat="1" ht="21" customHeight="1">
      <c r="A23" s="5641" t="s">
        <v>1</v>
      </c>
      <c r="B23" s="5662" t="str">
        <f t="shared" si="10"/>
        <v>►</v>
      </c>
      <c r="C23" s="5825" cm="1">
        <f t="array" ref="C23">SUMPRODUCT(LEN(D23:J23))</f>
        <v>0</v>
      </c>
      <c r="D23" s="5275"/>
      <c r="E23" s="1361"/>
      <c r="F23" s="1361"/>
      <c r="G23" s="1361"/>
      <c r="H23" s="1361"/>
      <c r="I23" s="1361"/>
      <c r="J23" s="5276"/>
      <c r="K23" s="106" t="s">
        <v>1</v>
      </c>
      <c r="L23" s="1021" t="s">
        <v>26</v>
      </c>
      <c r="M23" s="6787"/>
      <c r="N23" s="6787"/>
      <c r="O23" s="6787"/>
      <c r="P23" s="6788"/>
      <c r="Q23" s="6789"/>
      <c r="R23" s="6790"/>
      <c r="S23" s="6786"/>
      <c r="T23" s="6791"/>
      <c r="U23" s="6844"/>
      <c r="V23" s="6791"/>
      <c r="W23" s="8487"/>
      <c r="X23" s="6871"/>
      <c r="Y23" s="6793"/>
      <c r="Z23" s="6794"/>
      <c r="AA23" s="6795"/>
      <c r="AB23" s="6796"/>
      <c r="AC23" s="6797"/>
      <c r="AD23" s="6798"/>
      <c r="AE23" s="4" t="s">
        <v>1</v>
      </c>
      <c r="AF23" s="6202" t="str">
        <f t="shared" si="16"/>
        <v>►</v>
      </c>
      <c r="AG23" s="6234" t="str">
        <f t="shared" si="17"/>
        <v/>
      </c>
      <c r="AH23" s="6732" t="str">
        <f t="shared" si="18"/>
        <v/>
      </c>
      <c r="AI23" s="6234" t="str">
        <f t="shared" si="19"/>
        <v/>
      </c>
      <c r="AJ23" s="6732" t="str">
        <f t="shared" si="20"/>
        <v/>
      </c>
      <c r="AK23" s="6732">
        <f t="shared" si="21"/>
        <v>0</v>
      </c>
      <c r="AL23" s="6230" t="str" cm="1">
        <f t="array" ref="AL23">IF(AF23&lt;&gt;"A","",IFERROR((IFERROR(_xlfn.XLOOKUP(TRIM(SUBSTITUTE(U23,CHAR(160)," ")),$BJ$15:$BJ$62,$BM$15:$BM$62),IFERROR(_xlfn.XLOOKUP(TRIM(SUBSTITUTE(U23,CHAR(160)," ")),$BK$15:$BK$62,$BM$15:$BM$62),_xlfn.XLOOKUP(TRIM(SUBSTITUTE(U23,CHAR(160)," ")),$BL$15:$BL$62,$BM$15:$BM$62))))*T23*IF(ISBLANK(Q23),1,Q23)+IFERROR(_xlfn.XLOOKUP("RECHERCHEX",TRIM(L23:AD23),L23:AD23),0),0))</f>
        <v/>
      </c>
      <c r="AM23" s="6229">
        <f t="shared" si="22"/>
        <v>0</v>
      </c>
      <c r="AN23" s="6857" t="str">
        <f t="shared" si="23"/>
        <v/>
      </c>
      <c r="AO23" s="392">
        <f t="shared" si="24"/>
        <v>0</v>
      </c>
      <c r="AP23" s="392">
        <f t="shared" si="25"/>
        <v>0</v>
      </c>
      <c r="AQ23" s="6191">
        <f t="shared" si="26"/>
        <v>0</v>
      </c>
      <c r="AR23" s="6859" t="str">
        <f t="shared" si="27"/>
        <v/>
      </c>
      <c r="AS23" s="6275"/>
      <c r="AT23" s="6275"/>
      <c r="AU23" s="6272">
        <f t="shared" si="28"/>
        <v>0</v>
      </c>
      <c r="AV23" s="6240">
        <f t="shared" si="29"/>
        <v>0</v>
      </c>
      <c r="AW23" s="6189" cm="1">
        <f t="array" ref="AW23">IF(AK23&lt;&gt;1,0,IF(OR(AU23="",N(AU23)&lt;=0.000000001),"",IF(OR(AO23="",N(AO23)&lt;=0.000000001),0,IF(ISNUMBER(AU23),IFERROR(_xlfn.LET(_xlpm.ai_test,TRIM(AJ23),_xlpm.r,IFERROR(_xlfn.XLOOKUP(_xlpm.ai_test,$BJ$15:$BJ$62,ROW($BJ$15:$BJ$62),0,1),IFERROR(_xlfn.XLOOKUP(_xlpm.ai_test,$BK$15:$BK$62,ROW($BK$15:$BK$62),0,1),_xlfn.XLOOKUP(_xlpm.ai_test,$BL$15:$BL$62,ROW($BL$15:$BL$62),0,1))),_xlpm.p,_xlpm.r-MIN(ROW($BJ$15:$BJ$62))+1,_xlpm.f,INDEX($BM$15:$BM$62,_xlpm.p),_xlpm.u,INDEX($BN$15:$BN$62,_xlpm.p),_xlpm.s,INDEX($BP$15:$BP$62,_xlpm.p),_xlpm.q,N(AU23)/_xlpm.f,IF(_xlpm.q&gt;=_xlpm.s,ROUND(_xlpm.q,1)&amp;" "&amp;_xlpm.ai_test&amp;" = "&amp;ROUND(_xlpm.q*_xlpm.f,1)&amp;" "&amp;_xlpm.u,ROUND(_xlpm.q,1)&amp;" "&amp;_xlpm.ai_test)),""),""))))</f>
        <v>0</v>
      </c>
      <c r="AX23" s="6218"/>
      <c r="AY23" s="6272">
        <f t="shared" si="30"/>
        <v>0</v>
      </c>
      <c r="AZ23" s="6240" t="str">
        <f t="shared" si="31"/>
        <v/>
      </c>
      <c r="BA23" s="6195">
        <f t="shared" ref="BA23:BA86" si="37">IF(ISNUMBER(BG23),IF(ABS(BG23)&lt;=0.000000001,0,BG23),0)</f>
        <v>0</v>
      </c>
      <c r="BB23" s="6193" t="str">
        <f t="shared" si="32"/>
        <v/>
      </c>
      <c r="BC23" s="6219">
        <v>1</v>
      </c>
      <c r="BD23" s="6222">
        <f t="shared" si="33"/>
        <v>0</v>
      </c>
      <c r="BE23" s="6220" t="str">
        <f t="shared" si="34"/>
        <v/>
      </c>
      <c r="BF23" s="4" t="s">
        <v>1</v>
      </c>
      <c r="BG23" s="6196">
        <f t="shared" si="35"/>
        <v>0</v>
      </c>
      <c r="BH23" s="6197">
        <f t="shared" si="36"/>
        <v>0</v>
      </c>
      <c r="BI23" s="187"/>
      <c r="BJ23" s="6702" t="s">
        <v>88</v>
      </c>
      <c r="BK23" s="6702" t="s">
        <v>88</v>
      </c>
      <c r="BL23" s="6702" t="s">
        <v>88</v>
      </c>
      <c r="BM23" s="6304">
        <v>1</v>
      </c>
      <c r="BN23" s="6274" t="s">
        <v>8766</v>
      </c>
      <c r="BO23" s="6274" t="s">
        <v>8774</v>
      </c>
      <c r="BP23" s="223">
        <f t="shared" si="14"/>
        <v>1</v>
      </c>
      <c r="BQ23" s="222">
        <v>1000</v>
      </c>
      <c r="BR23" s="187"/>
      <c r="BS23" s="187"/>
      <c r="BT23" s="187"/>
      <c r="BU23" s="187"/>
      <c r="BV23" s="187"/>
      <c r="BW23" s="187"/>
      <c r="BX23" s="20" t="str">
        <f t="shared" si="11"/>
        <v>►</v>
      </c>
      <c r="BY23" s="234"/>
      <c r="BZ23" s="234"/>
      <c r="CA23" s="234"/>
      <c r="CB23" s="234"/>
      <c r="CC23" s="234"/>
      <c r="CD23" s="5661"/>
      <c r="CE23" s="6251"/>
      <c r="CF23" s="5950"/>
      <c r="CG23" s="5950"/>
      <c r="CH23" s="5950"/>
      <c r="CI23" s="6300" t="s">
        <v>8491</v>
      </c>
      <c r="CJ23" s="5950"/>
      <c r="CK23" s="6250"/>
      <c r="CM23" s="6251"/>
      <c r="CN23" s="5950"/>
      <c r="CO23" s="5950"/>
      <c r="CP23" s="5950"/>
      <c r="CQ23" s="6248" t="s">
        <v>9611</v>
      </c>
      <c r="CR23" s="5950"/>
      <c r="CS23" s="6250"/>
      <c r="CU23" s="6251"/>
      <c r="CV23" s="5950"/>
      <c r="CW23" s="5950"/>
      <c r="CX23" s="5950"/>
      <c r="CY23" s="6300" t="s">
        <v>9612</v>
      </c>
      <c r="CZ23" s="5950"/>
      <c r="DA23" s="6250"/>
      <c r="DC23" s="5">
        <v>1</v>
      </c>
    </row>
    <row r="24" spans="1:107" s="1" customFormat="1" ht="21" customHeight="1">
      <c r="A24" s="5641" t="s">
        <v>1</v>
      </c>
      <c r="B24" s="5662" t="str">
        <f t="shared" si="10"/>
        <v>►</v>
      </c>
      <c r="C24" s="5825" cm="1">
        <f t="array" ref="C24">SUMPRODUCT(LEN(D24:J24))</f>
        <v>0</v>
      </c>
      <c r="D24" s="5275"/>
      <c r="E24" s="1361"/>
      <c r="F24" s="1361"/>
      <c r="G24" s="1361"/>
      <c r="H24" s="1361"/>
      <c r="I24" s="1361"/>
      <c r="J24" s="5276"/>
      <c r="K24" s="106" t="s">
        <v>1</v>
      </c>
      <c r="L24" s="1021" t="s">
        <v>26</v>
      </c>
      <c r="M24" s="6787"/>
      <c r="N24" s="6787"/>
      <c r="O24" s="6787"/>
      <c r="P24" s="6788"/>
      <c r="Q24" s="6789"/>
      <c r="R24" s="6790"/>
      <c r="S24" s="6786"/>
      <c r="T24" s="6791"/>
      <c r="U24" s="6844"/>
      <c r="V24" s="6791"/>
      <c r="W24" s="8487"/>
      <c r="X24" s="6871"/>
      <c r="Y24" s="6793"/>
      <c r="Z24" s="6794"/>
      <c r="AA24" s="6795"/>
      <c r="AB24" s="6796"/>
      <c r="AC24" s="6797"/>
      <c r="AD24" s="6798"/>
      <c r="AE24" s="4" t="s">
        <v>1</v>
      </c>
      <c r="AF24" s="6202" t="str">
        <f t="shared" si="16"/>
        <v>►</v>
      </c>
      <c r="AG24" s="6234" t="str">
        <f t="shared" si="17"/>
        <v/>
      </c>
      <c r="AH24" s="6732" t="str">
        <f t="shared" si="18"/>
        <v/>
      </c>
      <c r="AI24" s="6234" t="str">
        <f t="shared" si="19"/>
        <v/>
      </c>
      <c r="AJ24" s="6732" t="str">
        <f t="shared" si="20"/>
        <v/>
      </c>
      <c r="AK24" s="6732">
        <f t="shared" si="21"/>
        <v>0</v>
      </c>
      <c r="AL24" s="6230" t="str" cm="1">
        <f t="array" ref="AL24">IF(AF24&lt;&gt;"A","",IFERROR((IFERROR(_xlfn.XLOOKUP(TRIM(SUBSTITUTE(U24,CHAR(160)," ")),$BJ$15:$BJ$62,$BM$15:$BM$62),IFERROR(_xlfn.XLOOKUP(TRIM(SUBSTITUTE(U24,CHAR(160)," ")),$BK$15:$BK$62,$BM$15:$BM$62),_xlfn.XLOOKUP(TRIM(SUBSTITUTE(U24,CHAR(160)," ")),$BL$15:$BL$62,$BM$15:$BM$62))))*T24*IF(ISBLANK(Q24),1,Q24)+IFERROR(_xlfn.XLOOKUP("RECHERCHEX",TRIM(L24:AD24),L24:AD24),0),0))</f>
        <v/>
      </c>
      <c r="AM24" s="6229">
        <f t="shared" si="22"/>
        <v>0</v>
      </c>
      <c r="AN24" s="6857" t="str">
        <f t="shared" si="23"/>
        <v/>
      </c>
      <c r="AO24" s="392">
        <f t="shared" si="24"/>
        <v>0</v>
      </c>
      <c r="AP24" s="392">
        <f t="shared" si="25"/>
        <v>0</v>
      </c>
      <c r="AQ24" s="6190">
        <f t="shared" si="26"/>
        <v>0</v>
      </c>
      <c r="AR24" s="6858" t="str">
        <f t="shared" si="27"/>
        <v/>
      </c>
      <c r="AS24" s="6275"/>
      <c r="AT24" s="6275"/>
      <c r="AU24" s="6271">
        <f t="shared" si="28"/>
        <v>0</v>
      </c>
      <c r="AV24" s="6242">
        <f t="shared" si="29"/>
        <v>0</v>
      </c>
      <c r="AW24" s="6188" cm="1">
        <f t="array" ref="AW24">IF(AK24&lt;&gt;1,0,IF(OR(AU24="",N(AU24)&lt;=0.000000001),"",IF(OR(AO24="",N(AO24)&lt;=0.000000001),0,IF(ISNUMBER(AU24),IFERROR(_xlfn.LET(_xlpm.ai_test,TRIM(AJ24),_xlpm.r,IFERROR(_xlfn.XLOOKUP(_xlpm.ai_test,$BJ$15:$BJ$62,ROW($BJ$15:$BJ$62),0,1),IFERROR(_xlfn.XLOOKUP(_xlpm.ai_test,$BK$15:$BK$62,ROW($BK$15:$BK$62),0,1),_xlfn.XLOOKUP(_xlpm.ai_test,$BL$15:$BL$62,ROW($BL$15:$BL$62),0,1))),_xlpm.p,_xlpm.r-MIN(ROW($BJ$15:$BJ$62))+1,_xlpm.f,INDEX($BM$15:$BM$62,_xlpm.p),_xlpm.u,INDEX($BN$15:$BN$62,_xlpm.p),_xlpm.s,INDEX($BP$15:$BP$62,_xlpm.p),_xlpm.q,N(AU24)/_xlpm.f,IF(_xlpm.q&gt;=_xlpm.s,ROUND(_xlpm.q,1)&amp;" "&amp;_xlpm.ai_test&amp;" = "&amp;ROUND(_xlpm.q*_xlpm.f,1)&amp;" "&amp;_xlpm.u,ROUND(_xlpm.q,1)&amp;" "&amp;_xlpm.ai_test)),""),""))))</f>
        <v>0</v>
      </c>
      <c r="AX24" s="6218"/>
      <c r="AY24" s="6271">
        <f t="shared" si="30"/>
        <v>0</v>
      </c>
      <c r="AZ24" s="6242" t="str">
        <f t="shared" si="31"/>
        <v/>
      </c>
      <c r="BA24" s="6194">
        <f t="shared" si="37"/>
        <v>0</v>
      </c>
      <c r="BB24" s="6192" t="str">
        <f t="shared" si="32"/>
        <v/>
      </c>
      <c r="BC24" s="6219"/>
      <c r="BD24" s="6221">
        <f t="shared" si="33"/>
        <v>0</v>
      </c>
      <c r="BE24" s="6220" t="str">
        <f t="shared" si="34"/>
        <v/>
      </c>
      <c r="BF24" s="4" t="s">
        <v>1</v>
      </c>
      <c r="BG24" s="6196">
        <f t="shared" si="35"/>
        <v>0</v>
      </c>
      <c r="BH24" s="6197">
        <f t="shared" si="36"/>
        <v>0</v>
      </c>
      <c r="BI24" s="187"/>
      <c r="BJ24" s="6285" t="s">
        <v>172</v>
      </c>
      <c r="BK24" s="6285" t="s">
        <v>172</v>
      </c>
      <c r="BL24" s="6285" t="s">
        <v>172</v>
      </c>
      <c r="BM24" s="6304">
        <v>0.1</v>
      </c>
      <c r="BN24" s="6274" t="s">
        <v>8766</v>
      </c>
      <c r="BO24" s="6274" t="s">
        <v>8774</v>
      </c>
      <c r="BP24" s="223">
        <f>ROUND(1/BM24,0)</f>
        <v>10</v>
      </c>
      <c r="BQ24" s="222">
        <v>100</v>
      </c>
      <c r="BR24" s="187"/>
      <c r="BS24" s="187"/>
      <c r="BT24" s="187"/>
      <c r="BU24" s="187"/>
      <c r="BV24" s="187"/>
      <c r="BW24" s="187"/>
      <c r="BX24" s="20" t="str">
        <f t="shared" si="11"/>
        <v>►</v>
      </c>
      <c r="BY24" s="234"/>
      <c r="BZ24" s="234"/>
      <c r="CA24" s="234"/>
      <c r="CB24" s="234"/>
      <c r="CC24" s="234"/>
      <c r="CD24" s="5661"/>
      <c r="CE24" s="5716"/>
      <c r="CF24" s="5738"/>
      <c r="CG24" s="5705"/>
      <c r="CH24" s="5755" t="s">
        <v>11020</v>
      </c>
      <c r="CI24" s="5705"/>
      <c r="CJ24" s="5705"/>
      <c r="CK24" s="5706"/>
      <c r="CM24" s="5716"/>
      <c r="CN24" s="5738"/>
      <c r="CO24" s="5705"/>
      <c r="CP24" s="5755" t="s">
        <v>11021</v>
      </c>
      <c r="CQ24" s="5705"/>
      <c r="CR24" s="5705"/>
      <c r="CS24" s="5706"/>
      <c r="CU24" s="5716"/>
      <c r="CV24" s="5738"/>
      <c r="CW24" s="5705"/>
      <c r="CX24" s="5755" t="s">
        <v>11022</v>
      </c>
      <c r="CY24" s="5705"/>
      <c r="CZ24" s="5705"/>
      <c r="DA24" s="5706"/>
      <c r="DC24" s="5">
        <v>1</v>
      </c>
    </row>
    <row r="25" spans="1:107" s="1" customFormat="1" ht="21" customHeight="1">
      <c r="A25" s="5641" t="s">
        <v>1</v>
      </c>
      <c r="B25" s="5662" t="str">
        <f t="shared" si="10"/>
        <v>►</v>
      </c>
      <c r="C25" s="5825" cm="1">
        <f t="array" ref="C25">SUMPRODUCT(LEN(D25:J25))</f>
        <v>0</v>
      </c>
      <c r="D25" s="5275"/>
      <c r="E25" s="1361"/>
      <c r="F25" s="1361"/>
      <c r="G25" s="1361"/>
      <c r="H25" s="1361"/>
      <c r="I25" s="1361"/>
      <c r="J25" s="5276"/>
      <c r="K25" s="106" t="s">
        <v>1</v>
      </c>
      <c r="L25" s="1021" t="s">
        <v>26</v>
      </c>
      <c r="M25" s="6787"/>
      <c r="N25" s="6787"/>
      <c r="O25" s="6787"/>
      <c r="P25" s="6788"/>
      <c r="Q25" s="6789"/>
      <c r="R25" s="6790"/>
      <c r="S25" s="6786"/>
      <c r="T25" s="6791"/>
      <c r="U25" s="6844"/>
      <c r="V25" s="6791"/>
      <c r="W25" s="8487"/>
      <c r="X25" s="6871"/>
      <c r="Y25" s="6793"/>
      <c r="Z25" s="6794"/>
      <c r="AA25" s="6795"/>
      <c r="AB25" s="6796"/>
      <c r="AC25" s="6797"/>
      <c r="AD25" s="6798"/>
      <c r="AE25" s="4" t="s">
        <v>1</v>
      </c>
      <c r="AF25" s="6202" t="str">
        <f t="shared" si="16"/>
        <v>►</v>
      </c>
      <c r="AG25" s="6234" t="str">
        <f t="shared" si="17"/>
        <v/>
      </c>
      <c r="AH25" s="6732" t="str">
        <f t="shared" si="18"/>
        <v/>
      </c>
      <c r="AI25" s="6234" t="str">
        <f t="shared" si="19"/>
        <v/>
      </c>
      <c r="AJ25" s="6732" t="str">
        <f t="shared" si="20"/>
        <v/>
      </c>
      <c r="AK25" s="6732">
        <f t="shared" si="21"/>
        <v>0</v>
      </c>
      <c r="AL25" s="6230" t="str" cm="1">
        <f t="array" ref="AL25">IF(AF25&lt;&gt;"A","",IFERROR((IFERROR(_xlfn.XLOOKUP(TRIM(SUBSTITUTE(U25,CHAR(160)," ")),$BJ$15:$BJ$62,$BM$15:$BM$62),IFERROR(_xlfn.XLOOKUP(TRIM(SUBSTITUTE(U25,CHAR(160)," ")),$BK$15:$BK$62,$BM$15:$BM$62),_xlfn.XLOOKUP(TRIM(SUBSTITUTE(U25,CHAR(160)," ")),$BL$15:$BL$62,$BM$15:$BM$62))))*T25*IF(ISBLANK(Q25),1,Q25)+IFERROR(_xlfn.XLOOKUP("RECHERCHEX",TRIM(L25:AD25),L25:AD25),0),0))</f>
        <v/>
      </c>
      <c r="AM25" s="6229">
        <f t="shared" si="22"/>
        <v>0</v>
      </c>
      <c r="AN25" s="6857" t="str">
        <f t="shared" si="23"/>
        <v/>
      </c>
      <c r="AO25" s="392">
        <f t="shared" si="24"/>
        <v>0</v>
      </c>
      <c r="AP25" s="392">
        <f t="shared" si="25"/>
        <v>0</v>
      </c>
      <c r="AQ25" s="6191">
        <f t="shared" si="26"/>
        <v>0</v>
      </c>
      <c r="AR25" s="6859" t="str">
        <f t="shared" si="27"/>
        <v/>
      </c>
      <c r="AS25" s="6275"/>
      <c r="AT25" s="6275"/>
      <c r="AU25" s="6272">
        <f t="shared" si="28"/>
        <v>0</v>
      </c>
      <c r="AV25" s="6240">
        <f t="shared" si="29"/>
        <v>0</v>
      </c>
      <c r="AW25" s="6189" cm="1">
        <f t="array" ref="AW25">IF(AK25&lt;&gt;1,0,IF(OR(AU25="",N(AU25)&lt;=0.000000001),"",IF(OR(AO25="",N(AO25)&lt;=0.000000001),0,IF(ISNUMBER(AU25),IFERROR(_xlfn.LET(_xlpm.ai_test,TRIM(AJ25),_xlpm.r,IFERROR(_xlfn.XLOOKUP(_xlpm.ai_test,$BJ$15:$BJ$62,ROW($BJ$15:$BJ$62),0,1),IFERROR(_xlfn.XLOOKUP(_xlpm.ai_test,$BK$15:$BK$62,ROW($BK$15:$BK$62),0,1),_xlfn.XLOOKUP(_xlpm.ai_test,$BL$15:$BL$62,ROW($BL$15:$BL$62),0,1))),_xlpm.p,_xlpm.r-MIN(ROW($BJ$15:$BJ$62))+1,_xlpm.f,INDEX($BM$15:$BM$62,_xlpm.p),_xlpm.u,INDEX($BN$15:$BN$62,_xlpm.p),_xlpm.s,INDEX($BP$15:$BP$62,_xlpm.p),_xlpm.q,N(AU25)/_xlpm.f,IF(_xlpm.q&gt;=_xlpm.s,ROUND(_xlpm.q,1)&amp;" "&amp;_xlpm.ai_test&amp;" = "&amp;ROUND(_xlpm.q*_xlpm.f,1)&amp;" "&amp;_xlpm.u,ROUND(_xlpm.q,1)&amp;" "&amp;_xlpm.ai_test)),""),""))))</f>
        <v>0</v>
      </c>
      <c r="AX25" s="6218"/>
      <c r="AY25" s="6272">
        <f t="shared" si="30"/>
        <v>0</v>
      </c>
      <c r="AZ25" s="6240" t="str">
        <f t="shared" si="31"/>
        <v/>
      </c>
      <c r="BA25" s="6195">
        <f t="shared" si="37"/>
        <v>0</v>
      </c>
      <c r="BB25" s="6193" t="str">
        <f t="shared" si="32"/>
        <v/>
      </c>
      <c r="BC25" s="6219"/>
      <c r="BD25" s="6222">
        <f t="shared" si="33"/>
        <v>0</v>
      </c>
      <c r="BE25" s="6220" t="str">
        <f t="shared" si="34"/>
        <v/>
      </c>
      <c r="BF25" s="4" t="s">
        <v>1</v>
      </c>
      <c r="BG25" s="6196">
        <f t="shared" si="35"/>
        <v>0</v>
      </c>
      <c r="BH25" s="6197">
        <f t="shared" si="36"/>
        <v>0</v>
      </c>
      <c r="BI25" s="187"/>
      <c r="BJ25" s="6285" t="s">
        <v>170</v>
      </c>
      <c r="BK25" s="6285" t="s">
        <v>170</v>
      </c>
      <c r="BL25" s="6285" t="s">
        <v>170</v>
      </c>
      <c r="BM25" s="6304">
        <v>0.01</v>
      </c>
      <c r="BN25" s="6274" t="s">
        <v>8766</v>
      </c>
      <c r="BO25" s="6274" t="s">
        <v>8774</v>
      </c>
      <c r="BP25" s="273">
        <v>100</v>
      </c>
      <c r="BQ25" s="222">
        <v>10</v>
      </c>
      <c r="BR25" s="187"/>
      <c r="BT25" s="187"/>
      <c r="BU25" s="187"/>
      <c r="BV25" s="187"/>
      <c r="BW25" s="187"/>
      <c r="BX25" s="20" t="str">
        <f t="shared" si="11"/>
        <v>►</v>
      </c>
      <c r="BY25" s="234"/>
      <c r="BZ25" s="234"/>
      <c r="CA25" s="234"/>
      <c r="CB25" s="234"/>
      <c r="CC25" s="234"/>
      <c r="CD25" s="5661"/>
      <c r="CE25" s="5721"/>
      <c r="CF25" s="5717"/>
      <c r="CG25" s="5705"/>
      <c r="CH25" s="5705"/>
      <c r="CI25" s="5705"/>
      <c r="CJ25" s="5705"/>
      <c r="CK25" s="5706"/>
      <c r="CM25" s="5721"/>
      <c r="CN25" s="5717"/>
      <c r="CO25" s="5705"/>
      <c r="CP25" s="5705"/>
      <c r="CQ25" s="5705"/>
      <c r="CR25" s="5705"/>
      <c r="CS25" s="5706"/>
      <c r="CU25" s="5721"/>
      <c r="CV25" s="5717"/>
      <c r="CW25" s="5705"/>
      <c r="CX25" s="5705"/>
      <c r="CY25" s="5705"/>
      <c r="CZ25" s="5705"/>
      <c r="DA25" s="5706"/>
      <c r="DC25" s="5">
        <v>1</v>
      </c>
    </row>
    <row r="26" spans="1:107" s="1" customFormat="1" ht="21" customHeight="1">
      <c r="A26" s="5641" t="s">
        <v>1</v>
      </c>
      <c r="B26" s="5662" t="str">
        <f t="shared" si="10"/>
        <v>►</v>
      </c>
      <c r="C26" s="5825" cm="1">
        <f t="array" ref="C26">SUMPRODUCT(LEN(D26:J26))</f>
        <v>0</v>
      </c>
      <c r="D26" s="5275"/>
      <c r="E26" s="1361"/>
      <c r="F26" s="1361"/>
      <c r="G26" s="1361"/>
      <c r="H26" s="1361"/>
      <c r="I26" s="1361"/>
      <c r="J26" s="5276"/>
      <c r="K26" s="106" t="s">
        <v>1</v>
      </c>
      <c r="L26" s="1021" t="s">
        <v>26</v>
      </c>
      <c r="M26" s="6787"/>
      <c r="N26" s="6787"/>
      <c r="O26" s="6787"/>
      <c r="P26" s="6788"/>
      <c r="Q26" s="6789"/>
      <c r="R26" s="6790"/>
      <c r="S26" s="6786"/>
      <c r="T26" s="6791"/>
      <c r="U26" s="6844"/>
      <c r="V26" s="6791"/>
      <c r="W26" s="8487"/>
      <c r="X26" s="6871"/>
      <c r="Y26" s="6793"/>
      <c r="Z26" s="6794"/>
      <c r="AA26" s="6795"/>
      <c r="AB26" s="6796"/>
      <c r="AC26" s="6797"/>
      <c r="AD26" s="6798"/>
      <c r="AE26" s="4" t="s">
        <v>1</v>
      </c>
      <c r="AF26" s="6202" t="str">
        <f t="shared" si="16"/>
        <v>►</v>
      </c>
      <c r="AG26" s="6234" t="str">
        <f t="shared" si="17"/>
        <v/>
      </c>
      <c r="AH26" s="6732" t="str">
        <f t="shared" si="18"/>
        <v/>
      </c>
      <c r="AI26" s="6234" t="str">
        <f t="shared" si="19"/>
        <v/>
      </c>
      <c r="AJ26" s="6732" t="str">
        <f t="shared" si="20"/>
        <v/>
      </c>
      <c r="AK26" s="6732">
        <f t="shared" si="21"/>
        <v>0</v>
      </c>
      <c r="AL26" s="6230" t="str" cm="1">
        <f t="array" ref="AL26">IF(AF26&lt;&gt;"A","",IFERROR((IFERROR(_xlfn.XLOOKUP(TRIM(SUBSTITUTE(U26,CHAR(160)," ")),$BJ$15:$BJ$62,$BM$15:$BM$62),IFERROR(_xlfn.XLOOKUP(TRIM(SUBSTITUTE(U26,CHAR(160)," ")),$BK$15:$BK$62,$BM$15:$BM$62),_xlfn.XLOOKUP(TRIM(SUBSTITUTE(U26,CHAR(160)," ")),$BL$15:$BL$62,$BM$15:$BM$62))))*T26*IF(ISBLANK(Q26),1,Q26)+IFERROR(_xlfn.XLOOKUP("RECHERCHEX",TRIM(L26:AD26),L26:AD26),0),0))</f>
        <v/>
      </c>
      <c r="AM26" s="6229">
        <f t="shared" si="22"/>
        <v>0</v>
      </c>
      <c r="AN26" s="6857" t="str">
        <f t="shared" si="23"/>
        <v/>
      </c>
      <c r="AO26" s="392">
        <f t="shared" si="24"/>
        <v>0</v>
      </c>
      <c r="AP26" s="392">
        <f t="shared" si="25"/>
        <v>0</v>
      </c>
      <c r="AQ26" s="6190">
        <f t="shared" si="26"/>
        <v>0</v>
      </c>
      <c r="AR26" s="6858" t="str">
        <f t="shared" si="27"/>
        <v/>
      </c>
      <c r="AS26" s="6275"/>
      <c r="AT26" s="6275"/>
      <c r="AU26" s="6271">
        <f t="shared" si="28"/>
        <v>0</v>
      </c>
      <c r="AV26" s="6242">
        <f t="shared" si="29"/>
        <v>0</v>
      </c>
      <c r="AW26" s="6188" cm="1">
        <f t="array" ref="AW26">IF(AK26&lt;&gt;1,0,IF(OR(AU26="",N(AU26)&lt;=0.000000001),"",IF(OR(AO26="",N(AO26)&lt;=0.000000001),0,IF(ISNUMBER(AU26),IFERROR(_xlfn.LET(_xlpm.ai_test,TRIM(AJ26),_xlpm.r,IFERROR(_xlfn.XLOOKUP(_xlpm.ai_test,$BJ$15:$BJ$62,ROW($BJ$15:$BJ$62),0,1),IFERROR(_xlfn.XLOOKUP(_xlpm.ai_test,$BK$15:$BK$62,ROW($BK$15:$BK$62),0,1),_xlfn.XLOOKUP(_xlpm.ai_test,$BL$15:$BL$62,ROW($BL$15:$BL$62),0,1))),_xlpm.p,_xlpm.r-MIN(ROW($BJ$15:$BJ$62))+1,_xlpm.f,INDEX($BM$15:$BM$62,_xlpm.p),_xlpm.u,INDEX($BN$15:$BN$62,_xlpm.p),_xlpm.s,INDEX($BP$15:$BP$62,_xlpm.p),_xlpm.q,N(AU26)/_xlpm.f,IF(_xlpm.q&gt;=_xlpm.s,ROUND(_xlpm.q,1)&amp;" "&amp;_xlpm.ai_test&amp;" = "&amp;ROUND(_xlpm.q*_xlpm.f,1)&amp;" "&amp;_xlpm.u,ROUND(_xlpm.q,1)&amp;" "&amp;_xlpm.ai_test)),""),""))))</f>
        <v>0</v>
      </c>
      <c r="AX26" s="6218"/>
      <c r="AY26" s="6271">
        <f t="shared" si="30"/>
        <v>0</v>
      </c>
      <c r="AZ26" s="6242" t="str">
        <f t="shared" si="31"/>
        <v/>
      </c>
      <c r="BA26" s="6194">
        <f t="shared" si="37"/>
        <v>0</v>
      </c>
      <c r="BB26" s="6192" t="str">
        <f t="shared" si="32"/>
        <v/>
      </c>
      <c r="BC26" s="6219"/>
      <c r="BD26" s="6221">
        <f>IF(OR(AO26=0,ISBLANK(BC26),ISTEXT(BA26)),0,(IF(AU26=0,BA26,AU26)*BC26))</f>
        <v>0</v>
      </c>
      <c r="BE26" s="6220" t="str">
        <f t="shared" si="34"/>
        <v/>
      </c>
      <c r="BF26" s="4" t="s">
        <v>1</v>
      </c>
      <c r="BG26" s="6196">
        <f t="shared" si="35"/>
        <v>0</v>
      </c>
      <c r="BH26" s="6197">
        <f t="shared" si="36"/>
        <v>0</v>
      </c>
      <c r="BI26" s="187"/>
      <c r="BJ26" s="6702" t="s">
        <v>166</v>
      </c>
      <c r="BK26" s="6702" t="s">
        <v>166</v>
      </c>
      <c r="BL26" s="6702" t="s">
        <v>166</v>
      </c>
      <c r="BM26" s="6304">
        <v>1E-3</v>
      </c>
      <c r="BN26" s="6274" t="s">
        <v>8766</v>
      </c>
      <c r="BO26" s="6274" t="s">
        <v>8774</v>
      </c>
      <c r="BP26" s="223">
        <f t="shared" ref="BP26:BP62" si="38">ROUND(1/BM26,0)</f>
        <v>1000</v>
      </c>
      <c r="BQ26" s="222">
        <v>1</v>
      </c>
      <c r="BR26" s="187"/>
      <c r="BT26" s="187"/>
      <c r="BU26" s="187"/>
      <c r="BV26" s="187"/>
      <c r="BW26" s="187"/>
      <c r="BX26" s="20" t="str">
        <f t="shared" si="11"/>
        <v>►</v>
      </c>
      <c r="BY26" s="234"/>
      <c r="BZ26" s="234"/>
      <c r="CA26" s="234"/>
      <c r="CB26" s="234"/>
      <c r="CC26" s="234"/>
      <c r="CD26" s="5661"/>
      <c r="CE26" s="6950" t="s">
        <v>11023</v>
      </c>
      <c r="CF26" s="6951"/>
      <c r="CG26" s="6951"/>
      <c r="CH26" s="6951"/>
      <c r="CI26" s="6951"/>
      <c r="CJ26" s="6951"/>
      <c r="CK26" s="6952"/>
      <c r="CM26" s="6950" t="s">
        <v>11024</v>
      </c>
      <c r="CN26" s="6951"/>
      <c r="CO26" s="6951"/>
      <c r="CP26" s="6951"/>
      <c r="CQ26" s="6951"/>
      <c r="CR26" s="6951"/>
      <c r="CS26" s="6952"/>
      <c r="CU26" s="6950" t="s">
        <v>11025</v>
      </c>
      <c r="CV26" s="6951"/>
      <c r="CW26" s="6951"/>
      <c r="CX26" s="6951"/>
      <c r="CY26" s="6951"/>
      <c r="CZ26" s="6951"/>
      <c r="DA26" s="6952"/>
      <c r="DC26" s="5">
        <v>1</v>
      </c>
    </row>
    <row r="27" spans="1:107" s="1" customFormat="1" ht="21" customHeight="1">
      <c r="A27" s="5641" t="s">
        <v>1</v>
      </c>
      <c r="B27" s="5662" t="str">
        <f t="shared" si="10"/>
        <v>►</v>
      </c>
      <c r="C27" s="5825" cm="1">
        <f t="array" ref="C27">SUMPRODUCT(LEN(D27:J27))</f>
        <v>0</v>
      </c>
      <c r="D27" s="5275"/>
      <c r="E27" s="1361"/>
      <c r="F27" s="1361"/>
      <c r="G27" s="1361"/>
      <c r="H27" s="1361"/>
      <c r="I27" s="1361"/>
      <c r="J27" s="5276"/>
      <c r="K27" s="106" t="s">
        <v>1</v>
      </c>
      <c r="L27" s="1021" t="s">
        <v>26</v>
      </c>
      <c r="M27" s="6787"/>
      <c r="N27" s="6787"/>
      <c r="O27" s="6787"/>
      <c r="P27" s="6788"/>
      <c r="Q27" s="6789"/>
      <c r="R27" s="6790"/>
      <c r="S27" s="6786"/>
      <c r="T27" s="6791"/>
      <c r="U27" s="6844"/>
      <c r="V27" s="6791"/>
      <c r="W27" s="8487"/>
      <c r="X27" s="6871"/>
      <c r="Y27" s="6793"/>
      <c r="Z27" s="6794"/>
      <c r="AA27" s="6795"/>
      <c r="AB27" s="6796"/>
      <c r="AC27" s="6797"/>
      <c r="AD27" s="6798"/>
      <c r="AE27" s="4" t="s">
        <v>1</v>
      </c>
      <c r="AF27" s="6202" t="str">
        <f t="shared" si="16"/>
        <v>►</v>
      </c>
      <c r="AG27" s="6234" t="str">
        <f t="shared" si="17"/>
        <v/>
      </c>
      <c r="AH27" s="6732" t="str">
        <f t="shared" si="18"/>
        <v/>
      </c>
      <c r="AI27" s="6234" t="str">
        <f t="shared" si="19"/>
        <v/>
      </c>
      <c r="AJ27" s="6732" t="str">
        <f t="shared" si="20"/>
        <v/>
      </c>
      <c r="AK27" s="6732">
        <f t="shared" si="21"/>
        <v>0</v>
      </c>
      <c r="AL27" s="6230" t="str" cm="1">
        <f t="array" ref="AL27">IF(AF27&lt;&gt;"A","",IFERROR((IFERROR(_xlfn.XLOOKUP(TRIM(SUBSTITUTE(U27,CHAR(160)," ")),$BJ$15:$BJ$62,$BM$15:$BM$62),IFERROR(_xlfn.XLOOKUP(TRIM(SUBSTITUTE(U27,CHAR(160)," ")),$BK$15:$BK$62,$BM$15:$BM$62),_xlfn.XLOOKUP(TRIM(SUBSTITUTE(U27,CHAR(160)," ")),$BL$15:$BL$62,$BM$15:$BM$62))))*T27*IF(ISBLANK(Q27),1,Q27)+IFERROR(_xlfn.XLOOKUP("RECHERCHEX",TRIM(L27:AD27),L27:AD27),0),0))</f>
        <v/>
      </c>
      <c r="AM27" s="6229">
        <f t="shared" si="22"/>
        <v>0</v>
      </c>
      <c r="AN27" s="6857" t="str">
        <f t="shared" si="23"/>
        <v/>
      </c>
      <c r="AO27" s="392">
        <f t="shared" si="24"/>
        <v>0</v>
      </c>
      <c r="AP27" s="392">
        <f t="shared" si="25"/>
        <v>0</v>
      </c>
      <c r="AQ27" s="6191">
        <f t="shared" si="26"/>
        <v>0</v>
      </c>
      <c r="AR27" s="6859" t="str">
        <f t="shared" si="27"/>
        <v/>
      </c>
      <c r="AS27" s="6275"/>
      <c r="AT27" s="6275"/>
      <c r="AU27" s="6272">
        <f t="shared" si="28"/>
        <v>0</v>
      </c>
      <c r="AV27" s="6240">
        <f t="shared" si="29"/>
        <v>0</v>
      </c>
      <c r="AW27" s="6189" cm="1">
        <f t="array" ref="AW27">IF(AK27&lt;&gt;1,0,IF(OR(AU27="",N(AU27)&lt;=0.000000001),"",IF(OR(AO27="",N(AO27)&lt;=0.000000001),0,IF(ISNUMBER(AU27),IFERROR(_xlfn.LET(_xlpm.ai_test,TRIM(AJ27),_xlpm.r,IFERROR(_xlfn.XLOOKUP(_xlpm.ai_test,$BJ$15:$BJ$62,ROW($BJ$15:$BJ$62),0,1),IFERROR(_xlfn.XLOOKUP(_xlpm.ai_test,$BK$15:$BK$62,ROW($BK$15:$BK$62),0,1),_xlfn.XLOOKUP(_xlpm.ai_test,$BL$15:$BL$62,ROW($BL$15:$BL$62),0,1))),_xlpm.p,_xlpm.r-MIN(ROW($BJ$15:$BJ$62))+1,_xlpm.f,INDEX($BM$15:$BM$62,_xlpm.p),_xlpm.u,INDEX($BN$15:$BN$62,_xlpm.p),_xlpm.s,INDEX($BP$15:$BP$62,_xlpm.p),_xlpm.q,N(AU27)/_xlpm.f,IF(_xlpm.q&gt;=_xlpm.s,ROUND(_xlpm.q,1)&amp;" "&amp;_xlpm.ai_test&amp;" = "&amp;ROUND(_xlpm.q*_xlpm.f,1)&amp;" "&amp;_xlpm.u,ROUND(_xlpm.q,1)&amp;" "&amp;_xlpm.ai_test)),""),""))))</f>
        <v>0</v>
      </c>
      <c r="AX27" s="6218"/>
      <c r="AY27" s="6272">
        <f t="shared" si="30"/>
        <v>0</v>
      </c>
      <c r="AZ27" s="6240" t="str">
        <f t="shared" si="31"/>
        <v/>
      </c>
      <c r="BA27" s="6195">
        <f t="shared" si="37"/>
        <v>0</v>
      </c>
      <c r="BB27" s="6193" t="str">
        <f t="shared" si="32"/>
        <v/>
      </c>
      <c r="BC27" s="6219"/>
      <c r="BD27" s="6222">
        <f t="shared" ref="BD27:BD90" si="39">IF(OR(AO27=0,ISBLANK(BC27),ISTEXT(BA27)),0,(IF(AU27=0,BA27,AU27)*BC27))</f>
        <v>0</v>
      </c>
      <c r="BE27" s="6220" t="str">
        <f t="shared" si="34"/>
        <v/>
      </c>
      <c r="BF27" s="4" t="s">
        <v>1</v>
      </c>
      <c r="BG27" s="6196">
        <f t="shared" si="35"/>
        <v>0</v>
      </c>
      <c r="BH27" s="6197">
        <f t="shared" si="36"/>
        <v>0</v>
      </c>
      <c r="BI27" s="187"/>
      <c r="BJ27" s="6286" t="s">
        <v>164</v>
      </c>
      <c r="BK27" s="6286" t="s">
        <v>9613</v>
      </c>
      <c r="BL27" s="6286" t="s">
        <v>9614</v>
      </c>
      <c r="BM27" s="6304">
        <f t="shared" ref="BM27:BM62" si="40">BQ27 / 1000</f>
        <v>0.25</v>
      </c>
      <c r="BN27" s="6274" t="s">
        <v>8766</v>
      </c>
      <c r="BO27" s="6274" t="s">
        <v>8774</v>
      </c>
      <c r="BP27" s="223">
        <f t="shared" si="38"/>
        <v>4</v>
      </c>
      <c r="BQ27" s="222">
        <v>250</v>
      </c>
      <c r="BR27" s="187"/>
      <c r="BT27" s="187"/>
      <c r="BU27" s="187"/>
      <c r="BV27" s="187"/>
      <c r="BW27" s="187"/>
      <c r="BX27" s="20" t="str">
        <f t="shared" si="11"/>
        <v>►</v>
      </c>
      <c r="BY27" s="234"/>
      <c r="BZ27" s="234"/>
      <c r="CA27" s="234"/>
      <c r="CB27" s="234"/>
      <c r="CC27" s="234"/>
      <c r="CD27" s="5661"/>
      <c r="CE27" s="6950"/>
      <c r="CF27" s="6951"/>
      <c r="CG27" s="6951"/>
      <c r="CH27" s="6951"/>
      <c r="CI27" s="6951"/>
      <c r="CJ27" s="6951"/>
      <c r="CK27" s="6952"/>
      <c r="CM27" s="6950"/>
      <c r="CN27" s="6951"/>
      <c r="CO27" s="6951"/>
      <c r="CP27" s="6951"/>
      <c r="CQ27" s="6951"/>
      <c r="CR27" s="6951"/>
      <c r="CS27" s="6952"/>
      <c r="CU27" s="6950"/>
      <c r="CV27" s="6951"/>
      <c r="CW27" s="6951"/>
      <c r="CX27" s="6951"/>
      <c r="CY27" s="6951"/>
      <c r="CZ27" s="6951"/>
      <c r="DA27" s="6952"/>
      <c r="DC27" s="5">
        <v>1</v>
      </c>
    </row>
    <row r="28" spans="1:107" s="1" customFormat="1" ht="21" customHeight="1">
      <c r="A28" s="5641" t="s">
        <v>1</v>
      </c>
      <c r="B28" s="5662" t="str">
        <f t="shared" si="10"/>
        <v>►</v>
      </c>
      <c r="C28" s="5825" cm="1">
        <f t="array" ref="C28">SUMPRODUCT(LEN(D28:J28))</f>
        <v>0</v>
      </c>
      <c r="D28" s="5275"/>
      <c r="E28" s="1361"/>
      <c r="F28" s="1361"/>
      <c r="G28" s="1361"/>
      <c r="H28" s="1361"/>
      <c r="I28" s="1361"/>
      <c r="J28" s="5276"/>
      <c r="K28" s="106" t="s">
        <v>1</v>
      </c>
      <c r="L28" s="1021" t="s">
        <v>26</v>
      </c>
      <c r="M28" s="6787"/>
      <c r="N28" s="6787"/>
      <c r="O28" s="6787"/>
      <c r="P28" s="6788"/>
      <c r="Q28" s="6789"/>
      <c r="R28" s="6790"/>
      <c r="S28" s="6786"/>
      <c r="T28" s="6791"/>
      <c r="U28" s="6844"/>
      <c r="V28" s="6791"/>
      <c r="W28" s="8487"/>
      <c r="X28" s="6871"/>
      <c r="Y28" s="6793"/>
      <c r="Z28" s="6794"/>
      <c r="AA28" s="6795"/>
      <c r="AB28" s="6796"/>
      <c r="AC28" s="6797"/>
      <c r="AD28" s="6798"/>
      <c r="AE28" s="4" t="s">
        <v>1</v>
      </c>
      <c r="AF28" s="6202" t="str">
        <f t="shared" si="16"/>
        <v>►</v>
      </c>
      <c r="AG28" s="6234" t="str">
        <f t="shared" si="17"/>
        <v/>
      </c>
      <c r="AH28" s="6732" t="str">
        <f t="shared" si="18"/>
        <v/>
      </c>
      <c r="AI28" s="6234" t="str">
        <f t="shared" si="19"/>
        <v/>
      </c>
      <c r="AJ28" s="6732" t="str">
        <f t="shared" si="20"/>
        <v/>
      </c>
      <c r="AK28" s="6732">
        <f t="shared" si="21"/>
        <v>0</v>
      </c>
      <c r="AL28" s="6230" t="str" cm="1">
        <f t="array" ref="AL28">IF(AF28&lt;&gt;"A","",IFERROR((IFERROR(_xlfn.XLOOKUP(TRIM(SUBSTITUTE(U28,CHAR(160)," ")),$BJ$15:$BJ$62,$BM$15:$BM$62),IFERROR(_xlfn.XLOOKUP(TRIM(SUBSTITUTE(U28,CHAR(160)," ")),$BK$15:$BK$62,$BM$15:$BM$62),_xlfn.XLOOKUP(TRIM(SUBSTITUTE(U28,CHAR(160)," ")),$BL$15:$BL$62,$BM$15:$BM$62))))*T28*IF(ISBLANK(Q28),1,Q28)+IFERROR(_xlfn.XLOOKUP("RECHERCHEX",TRIM(L28:AD28),L28:AD28),0),0))</f>
        <v/>
      </c>
      <c r="AM28" s="6229">
        <f t="shared" si="22"/>
        <v>0</v>
      </c>
      <c r="AN28" s="6857" t="str">
        <f t="shared" si="23"/>
        <v/>
      </c>
      <c r="AO28" s="392">
        <f t="shared" si="24"/>
        <v>0</v>
      </c>
      <c r="AP28" s="392">
        <f t="shared" si="25"/>
        <v>0</v>
      </c>
      <c r="AQ28" s="6190">
        <f t="shared" si="26"/>
        <v>0</v>
      </c>
      <c r="AR28" s="6858" t="str">
        <f t="shared" si="27"/>
        <v/>
      </c>
      <c r="AS28" s="6275"/>
      <c r="AT28" s="6275"/>
      <c r="AU28" s="6271">
        <f t="shared" si="28"/>
        <v>0</v>
      </c>
      <c r="AV28" s="6242">
        <f t="shared" si="29"/>
        <v>0</v>
      </c>
      <c r="AW28" s="6188" cm="1">
        <f t="array" ref="AW28">IF(AK28&lt;&gt;1,0,IF(OR(AU28="",N(AU28)&lt;=0.000000001),"",IF(OR(AO28="",N(AO28)&lt;=0.000000001),0,IF(ISNUMBER(AU28),IFERROR(_xlfn.LET(_xlpm.ai_test,TRIM(AJ28),_xlpm.r,IFERROR(_xlfn.XLOOKUP(_xlpm.ai_test,$BJ$15:$BJ$62,ROW($BJ$15:$BJ$62),0,1),IFERROR(_xlfn.XLOOKUP(_xlpm.ai_test,$BK$15:$BK$62,ROW($BK$15:$BK$62),0,1),_xlfn.XLOOKUP(_xlpm.ai_test,$BL$15:$BL$62,ROW($BL$15:$BL$62),0,1))),_xlpm.p,_xlpm.r-MIN(ROW($BJ$15:$BJ$62))+1,_xlpm.f,INDEX($BM$15:$BM$62,_xlpm.p),_xlpm.u,INDEX($BN$15:$BN$62,_xlpm.p),_xlpm.s,INDEX($BP$15:$BP$62,_xlpm.p),_xlpm.q,N(AU28)/_xlpm.f,IF(_xlpm.q&gt;=_xlpm.s,ROUND(_xlpm.q,1)&amp;" "&amp;_xlpm.ai_test&amp;" = "&amp;ROUND(_xlpm.q*_xlpm.f,1)&amp;" "&amp;_xlpm.u,ROUND(_xlpm.q,1)&amp;" "&amp;_xlpm.ai_test)),""),""))))</f>
        <v>0</v>
      </c>
      <c r="AX28" s="6218"/>
      <c r="AY28" s="6271">
        <f t="shared" si="30"/>
        <v>0</v>
      </c>
      <c r="AZ28" s="6242" t="str">
        <f t="shared" si="31"/>
        <v/>
      </c>
      <c r="BA28" s="6194">
        <f t="shared" si="37"/>
        <v>0</v>
      </c>
      <c r="BB28" s="6192" t="str">
        <f t="shared" si="32"/>
        <v/>
      </c>
      <c r="BC28" s="6219"/>
      <c r="BD28" s="6221">
        <f t="shared" si="39"/>
        <v>0</v>
      </c>
      <c r="BE28" s="6220" t="str">
        <f t="shared" si="34"/>
        <v/>
      </c>
      <c r="BF28" s="4" t="s">
        <v>1</v>
      </c>
      <c r="BG28" s="6196">
        <f t="shared" si="35"/>
        <v>0</v>
      </c>
      <c r="BH28" s="6197">
        <f t="shared" si="36"/>
        <v>0</v>
      </c>
      <c r="BI28" s="187"/>
      <c r="BJ28" s="6286" t="s">
        <v>159</v>
      </c>
      <c r="BK28" s="6286" t="s">
        <v>9615</v>
      </c>
      <c r="BL28" s="6286" t="s">
        <v>9616</v>
      </c>
      <c r="BM28" s="6304">
        <f t="shared" si="40"/>
        <v>0.5</v>
      </c>
      <c r="BN28" s="6274" t="s">
        <v>8766</v>
      </c>
      <c r="BO28" s="6274" t="s">
        <v>8774</v>
      </c>
      <c r="BP28" s="223">
        <f t="shared" si="38"/>
        <v>2</v>
      </c>
      <c r="BQ28" s="222">
        <v>500</v>
      </c>
      <c r="BR28" s="187"/>
      <c r="BS28" s="187"/>
      <c r="BT28" s="187"/>
      <c r="BU28" s="187"/>
      <c r="BV28" s="187"/>
      <c r="BW28" s="187"/>
      <c r="BX28" s="20" t="str">
        <f t="shared" si="11"/>
        <v>►</v>
      </c>
      <c r="BY28" s="5720"/>
      <c r="BZ28" s="228"/>
      <c r="CA28" s="228"/>
      <c r="CB28" s="227"/>
      <c r="CC28" s="227"/>
      <c r="CD28" s="5661"/>
      <c r="CE28" s="6950"/>
      <c r="CF28" s="6951"/>
      <c r="CG28" s="6951"/>
      <c r="CH28" s="6951"/>
      <c r="CI28" s="6951"/>
      <c r="CJ28" s="6951"/>
      <c r="CK28" s="6952"/>
      <c r="CM28" s="6950"/>
      <c r="CN28" s="6951"/>
      <c r="CO28" s="6951"/>
      <c r="CP28" s="6951"/>
      <c r="CQ28" s="6951"/>
      <c r="CR28" s="6951"/>
      <c r="CS28" s="6952"/>
      <c r="CU28" s="6950"/>
      <c r="CV28" s="6951"/>
      <c r="CW28" s="6951"/>
      <c r="CX28" s="6951"/>
      <c r="CY28" s="6951"/>
      <c r="CZ28" s="6951"/>
      <c r="DA28" s="6952"/>
      <c r="DC28" s="5">
        <v>1</v>
      </c>
    </row>
    <row r="29" spans="1:107" s="1" customFormat="1" ht="21" customHeight="1">
      <c r="A29" s="5641" t="s">
        <v>1</v>
      </c>
      <c r="B29" s="5662" t="str">
        <f t="shared" si="10"/>
        <v>►</v>
      </c>
      <c r="C29" s="5825" cm="1">
        <f t="array" ref="C29">SUMPRODUCT(LEN(D29:J29))</f>
        <v>0</v>
      </c>
      <c r="D29" s="5275"/>
      <c r="E29" s="1361"/>
      <c r="F29" s="1361"/>
      <c r="G29" s="1361"/>
      <c r="H29" s="1361"/>
      <c r="I29" s="1361"/>
      <c r="J29" s="5276"/>
      <c r="K29" s="106" t="s">
        <v>1</v>
      </c>
      <c r="L29" s="1021" t="s">
        <v>26</v>
      </c>
      <c r="M29" s="6787"/>
      <c r="N29" s="6787"/>
      <c r="O29" s="6787"/>
      <c r="P29" s="6788"/>
      <c r="Q29" s="6789"/>
      <c r="R29" s="6790"/>
      <c r="S29" s="6786"/>
      <c r="T29" s="6791"/>
      <c r="U29" s="6844"/>
      <c r="V29" s="6791"/>
      <c r="W29" s="8487"/>
      <c r="X29" s="6871"/>
      <c r="Y29" s="6793"/>
      <c r="Z29" s="6794"/>
      <c r="AA29" s="6795"/>
      <c r="AB29" s="6796"/>
      <c r="AC29" s="6797"/>
      <c r="AD29" s="6798"/>
      <c r="AE29" s="4" t="s">
        <v>1</v>
      </c>
      <c r="AF29" s="6202" t="str">
        <f t="shared" si="16"/>
        <v>►</v>
      </c>
      <c r="AG29" s="6234" t="str">
        <f t="shared" si="17"/>
        <v/>
      </c>
      <c r="AH29" s="6732" t="str">
        <f t="shared" si="18"/>
        <v/>
      </c>
      <c r="AI29" s="6234" t="str">
        <f t="shared" si="19"/>
        <v/>
      </c>
      <c r="AJ29" s="6732" t="str">
        <f t="shared" si="20"/>
        <v/>
      </c>
      <c r="AK29" s="6732">
        <f t="shared" si="21"/>
        <v>0</v>
      </c>
      <c r="AL29" s="6230" t="str" cm="1">
        <f t="array" ref="AL29">IF(AF29&lt;&gt;"A","",IFERROR((IFERROR(_xlfn.XLOOKUP(TRIM(SUBSTITUTE(U29,CHAR(160)," ")),$BJ$15:$BJ$62,$BM$15:$BM$62),IFERROR(_xlfn.XLOOKUP(TRIM(SUBSTITUTE(U29,CHAR(160)," ")),$BK$15:$BK$62,$BM$15:$BM$62),_xlfn.XLOOKUP(TRIM(SUBSTITUTE(U29,CHAR(160)," ")),$BL$15:$BL$62,$BM$15:$BM$62))))*T29*IF(ISBLANK(Q29),1,Q29)+IFERROR(_xlfn.XLOOKUP("RECHERCHEX",TRIM(L29:AD29),L29:AD29),0),0))</f>
        <v/>
      </c>
      <c r="AM29" s="6229">
        <f t="shared" si="22"/>
        <v>0</v>
      </c>
      <c r="AN29" s="6857" t="str">
        <f>IF(AF29="A","❾ Author reference &gt;","")</f>
        <v/>
      </c>
      <c r="AO29" s="392">
        <f t="shared" si="24"/>
        <v>0</v>
      </c>
      <c r="AP29" s="392">
        <f t="shared" si="25"/>
        <v>0</v>
      </c>
      <c r="AQ29" s="6191">
        <f t="shared" si="26"/>
        <v>0</v>
      </c>
      <c r="AR29" s="6859" t="str">
        <f t="shared" si="27"/>
        <v/>
      </c>
      <c r="AS29" s="6275"/>
      <c r="AT29" s="6275"/>
      <c r="AU29" s="6272">
        <f t="shared" si="28"/>
        <v>0</v>
      </c>
      <c r="AV29" s="6240">
        <f t="shared" si="29"/>
        <v>0</v>
      </c>
      <c r="AW29" s="6189" cm="1">
        <f t="array" ref="AW29">IF(AK29&lt;&gt;1,0,IF(OR(AU29="",N(AU29)&lt;=0.000000001),"",IF(OR(AO29="",N(AO29)&lt;=0.000000001),0,IF(ISNUMBER(AU29),IFERROR(_xlfn.LET(_xlpm.ai_test,TRIM(AJ29),_xlpm.r,IFERROR(_xlfn.XLOOKUP(_xlpm.ai_test,$BJ$15:$BJ$62,ROW($BJ$15:$BJ$62),0,1),IFERROR(_xlfn.XLOOKUP(_xlpm.ai_test,$BK$15:$BK$62,ROW($BK$15:$BK$62),0,1),_xlfn.XLOOKUP(_xlpm.ai_test,$BL$15:$BL$62,ROW($BL$15:$BL$62),0,1))),_xlpm.p,_xlpm.r-MIN(ROW($BJ$15:$BJ$62))+1,_xlpm.f,INDEX($BM$15:$BM$62,_xlpm.p),_xlpm.u,INDEX($BN$15:$BN$62,_xlpm.p),_xlpm.s,INDEX($BP$15:$BP$62,_xlpm.p),_xlpm.q,N(AU29)/_xlpm.f,IF(_xlpm.q&gt;=_xlpm.s,ROUND(_xlpm.q,1)&amp;" "&amp;_xlpm.ai_test&amp;" = "&amp;ROUND(_xlpm.q*_xlpm.f,1)&amp;" "&amp;_xlpm.u,ROUND(_xlpm.q,1)&amp;" "&amp;_xlpm.ai_test)),""),""))))</f>
        <v>0</v>
      </c>
      <c r="AX29" s="6218"/>
      <c r="AY29" s="6272">
        <f t="shared" si="30"/>
        <v>0</v>
      </c>
      <c r="AZ29" s="6240" t="str">
        <f t="shared" si="31"/>
        <v/>
      </c>
      <c r="BA29" s="6195">
        <f t="shared" si="37"/>
        <v>0</v>
      </c>
      <c r="BB29" s="6193" t="str">
        <f t="shared" si="32"/>
        <v/>
      </c>
      <c r="BC29" s="6219"/>
      <c r="BD29" s="6222">
        <f t="shared" si="39"/>
        <v>0</v>
      </c>
      <c r="BE29" s="6220" t="str">
        <f t="shared" si="34"/>
        <v/>
      </c>
      <c r="BF29" s="4" t="s">
        <v>1</v>
      </c>
      <c r="BG29" s="6196">
        <f t="shared" si="35"/>
        <v>0</v>
      </c>
      <c r="BH29" s="6197">
        <f t="shared" si="36"/>
        <v>0</v>
      </c>
      <c r="BI29" s="187"/>
      <c r="BJ29" s="6286" t="s">
        <v>8765</v>
      </c>
      <c r="BK29" s="6286" t="s">
        <v>9617</v>
      </c>
      <c r="BL29" s="6286" t="s">
        <v>9618</v>
      </c>
      <c r="BM29" s="6304">
        <f t="shared" si="40"/>
        <v>0.1</v>
      </c>
      <c r="BN29" s="6274" t="s">
        <v>8766</v>
      </c>
      <c r="BO29" s="6274" t="s">
        <v>8774</v>
      </c>
      <c r="BP29" s="223">
        <f t="shared" si="38"/>
        <v>10</v>
      </c>
      <c r="BQ29" s="222">
        <v>100</v>
      </c>
      <c r="BR29" s="187"/>
      <c r="BS29" s="187"/>
      <c r="BT29" s="187"/>
      <c r="BU29" s="187"/>
      <c r="BV29" s="187"/>
      <c r="BW29" s="187"/>
      <c r="BX29" s="20" t="str">
        <f t="shared" si="11"/>
        <v>►</v>
      </c>
      <c r="BY29" s="5720" t="s">
        <v>8675</v>
      </c>
      <c r="BZ29" s="228"/>
      <c r="CA29" s="228"/>
      <c r="CB29" s="227"/>
      <c r="CC29" s="227"/>
      <c r="CD29" s="5661"/>
      <c r="CE29" s="5716"/>
      <c r="CF29" s="5738" t="s">
        <v>11026</v>
      </c>
      <c r="CG29" s="5705"/>
      <c r="CH29" s="5705"/>
      <c r="CI29" s="5705"/>
      <c r="CJ29" s="5705"/>
      <c r="CK29" s="5706"/>
      <c r="CM29" s="5716"/>
      <c r="CN29" s="5738" t="s">
        <v>11028</v>
      </c>
      <c r="CO29" s="5705"/>
      <c r="CP29" s="5705"/>
      <c r="CQ29" s="5705"/>
      <c r="CR29" s="5705"/>
      <c r="CS29" s="5706"/>
      <c r="CU29" s="5716"/>
      <c r="CV29" s="5738" t="s">
        <v>11030</v>
      </c>
      <c r="CW29" s="5705"/>
      <c r="CX29" s="5705"/>
      <c r="CY29" s="5705"/>
      <c r="CZ29" s="5705"/>
      <c r="DA29" s="5706"/>
      <c r="DC29" s="5">
        <v>1</v>
      </c>
    </row>
    <row r="30" spans="1:107" s="1" customFormat="1" ht="21" customHeight="1">
      <c r="A30" s="5641" t="s">
        <v>1</v>
      </c>
      <c r="B30" s="5662" t="str">
        <f t="shared" si="10"/>
        <v>►</v>
      </c>
      <c r="C30" s="5825" cm="1">
        <f t="array" ref="C30">SUMPRODUCT(LEN(D30:J30))</f>
        <v>0</v>
      </c>
      <c r="D30" s="5275"/>
      <c r="E30" s="1361"/>
      <c r="F30" s="1361"/>
      <c r="G30" s="1361"/>
      <c r="H30" s="1361"/>
      <c r="I30" s="1361"/>
      <c r="J30" s="5276"/>
      <c r="K30" s="106" t="s">
        <v>1</v>
      </c>
      <c r="L30" s="1021" t="s">
        <v>26</v>
      </c>
      <c r="M30" s="6787"/>
      <c r="N30" s="6787"/>
      <c r="O30" s="6787"/>
      <c r="P30" s="6788"/>
      <c r="Q30" s="6789"/>
      <c r="R30" s="6790"/>
      <c r="S30" s="6786"/>
      <c r="T30" s="6791"/>
      <c r="U30" s="6844"/>
      <c r="V30" s="6791"/>
      <c r="W30" s="8487"/>
      <c r="X30" s="6871"/>
      <c r="Y30" s="6793"/>
      <c r="Z30" s="6794"/>
      <c r="AA30" s="6795"/>
      <c r="AB30" s="6796"/>
      <c r="AC30" s="6797"/>
      <c r="AD30" s="6798"/>
      <c r="AE30" s="4" t="s">
        <v>1</v>
      </c>
      <c r="AF30" s="6202" t="str">
        <f t="shared" si="16"/>
        <v>►</v>
      </c>
      <c r="AG30" s="6234" t="str">
        <f t="shared" si="17"/>
        <v/>
      </c>
      <c r="AH30" s="6732" t="str">
        <f t="shared" si="18"/>
        <v/>
      </c>
      <c r="AI30" s="6234" t="str">
        <f t="shared" si="19"/>
        <v/>
      </c>
      <c r="AJ30" s="6732" t="str">
        <f t="shared" si="20"/>
        <v/>
      </c>
      <c r="AK30" s="6732">
        <f t="shared" si="21"/>
        <v>0</v>
      </c>
      <c r="AL30" s="6230" t="str" cm="1">
        <f t="array" ref="AL30">IF(AF30&lt;&gt;"A","",IFERROR((IFERROR(_xlfn.XLOOKUP(TRIM(SUBSTITUTE(U30,CHAR(160)," ")),$BJ$15:$BJ$62,$BM$15:$BM$62),IFERROR(_xlfn.XLOOKUP(TRIM(SUBSTITUTE(U30,CHAR(160)," ")),$BK$15:$BK$62,$BM$15:$BM$62),_xlfn.XLOOKUP(TRIM(SUBSTITUTE(U30,CHAR(160)," ")),$BL$15:$BL$62,$BM$15:$BM$62))))*T30*IF(ISBLANK(Q30),1,Q30)+IFERROR(_xlfn.XLOOKUP("RECHERCHEX",TRIM(L30:AD30),L30:AD30),0),0))</f>
        <v/>
      </c>
      <c r="AM30" s="6229">
        <f t="shared" si="22"/>
        <v>0</v>
      </c>
      <c r="AN30" s="6857" t="str">
        <f t="shared" ref="AN30:AN93" si="41">IF(AF30="A","❾ Author reference &gt;","")</f>
        <v/>
      </c>
      <c r="AO30" s="392">
        <f t="shared" si="24"/>
        <v>0</v>
      </c>
      <c r="AP30" s="392">
        <f t="shared" si="25"/>
        <v>0</v>
      </c>
      <c r="AQ30" s="6190">
        <f t="shared" si="26"/>
        <v>0</v>
      </c>
      <c r="AR30" s="6858" t="str">
        <f t="shared" si="27"/>
        <v/>
      </c>
      <c r="AS30" s="6217"/>
      <c r="AT30" s="6217"/>
      <c r="AU30" s="6271">
        <f t="shared" si="28"/>
        <v>0</v>
      </c>
      <c r="AV30" s="6242">
        <f t="shared" si="29"/>
        <v>0</v>
      </c>
      <c r="AW30" s="6188" cm="1">
        <f t="array" ref="AW30">IF(AK30&lt;&gt;1,0,IF(OR(AU30="",N(AU30)&lt;=0.000000001),"",IF(OR(AO30="",N(AO30)&lt;=0.000000001),0,IF(ISNUMBER(AU30),IFERROR(_xlfn.LET(_xlpm.ai_test,TRIM(AJ30),_xlpm.r,IFERROR(_xlfn.XLOOKUP(_xlpm.ai_test,$BJ$15:$BJ$62,ROW($BJ$15:$BJ$62),0,1),IFERROR(_xlfn.XLOOKUP(_xlpm.ai_test,$BK$15:$BK$62,ROW($BK$15:$BK$62),0,1),_xlfn.XLOOKUP(_xlpm.ai_test,$BL$15:$BL$62,ROW($BL$15:$BL$62),0,1))),_xlpm.p,_xlpm.r-MIN(ROW($BJ$15:$BJ$62))+1,_xlpm.f,INDEX($BM$15:$BM$62,_xlpm.p),_xlpm.u,INDEX($BN$15:$BN$62,_xlpm.p),_xlpm.s,INDEX($BP$15:$BP$62,_xlpm.p),_xlpm.q,N(AU30)/_xlpm.f,IF(_xlpm.q&gt;=_xlpm.s,ROUND(_xlpm.q,1)&amp;" "&amp;_xlpm.ai_test&amp;" = "&amp;ROUND(_xlpm.q*_xlpm.f,1)&amp;" "&amp;_xlpm.u,ROUND(_xlpm.q,1)&amp;" "&amp;_xlpm.ai_test)),""),""))))</f>
        <v>0</v>
      </c>
      <c r="AX30" s="6218"/>
      <c r="AY30" s="6271">
        <f t="shared" si="30"/>
        <v>0</v>
      </c>
      <c r="AZ30" s="6242" t="str">
        <f t="shared" si="31"/>
        <v/>
      </c>
      <c r="BA30" s="6194">
        <f t="shared" si="37"/>
        <v>0</v>
      </c>
      <c r="BB30" s="6192" t="str">
        <f t="shared" si="32"/>
        <v/>
      </c>
      <c r="BC30" s="6219"/>
      <c r="BD30" s="6221">
        <f t="shared" si="39"/>
        <v>0</v>
      </c>
      <c r="BE30" s="6220" t="str">
        <f t="shared" si="34"/>
        <v/>
      </c>
      <c r="BF30" s="4" t="s">
        <v>1</v>
      </c>
      <c r="BG30" s="6196">
        <f t="shared" si="35"/>
        <v>0</v>
      </c>
      <c r="BH30" s="6197">
        <f t="shared" si="36"/>
        <v>0</v>
      </c>
      <c r="BI30" s="187"/>
      <c r="BJ30" s="6286" t="s">
        <v>8012</v>
      </c>
      <c r="BK30" s="6286" t="s">
        <v>9619</v>
      </c>
      <c r="BL30" s="6286" t="s">
        <v>9620</v>
      </c>
      <c r="BM30" s="6304">
        <f t="shared" si="40"/>
        <v>0.33300000000000002</v>
      </c>
      <c r="BN30" s="6274" t="s">
        <v>8766</v>
      </c>
      <c r="BO30" s="6274" t="s">
        <v>8774</v>
      </c>
      <c r="BP30" s="223">
        <f t="shared" si="38"/>
        <v>3</v>
      </c>
      <c r="BQ30" s="236">
        <v>333</v>
      </c>
      <c r="BR30" s="187"/>
      <c r="BS30" s="187"/>
      <c r="BT30" s="187"/>
      <c r="BU30" s="187"/>
      <c r="BV30" s="187"/>
      <c r="BW30" s="187"/>
      <c r="BX30" s="20" t="str">
        <f t="shared" si="11"/>
        <v>►</v>
      </c>
      <c r="BY30" s="6938" t="s">
        <v>8676</v>
      </c>
      <c r="BZ30" s="6938"/>
      <c r="CA30" s="6938"/>
      <c r="CB30" s="6938"/>
      <c r="CC30" s="6938"/>
      <c r="CD30" s="5661"/>
      <c r="CE30" s="5716"/>
      <c r="CF30" s="5738" t="s">
        <v>11027</v>
      </c>
      <c r="CG30" s="5705"/>
      <c r="CH30" s="5705"/>
      <c r="CI30" s="5705"/>
      <c r="CJ30" s="5705"/>
      <c r="CK30" s="5706"/>
      <c r="CM30" s="5716"/>
      <c r="CN30" s="5738" t="s">
        <v>8781</v>
      </c>
      <c r="CO30" s="5705"/>
      <c r="CP30" s="5705"/>
      <c r="CQ30" s="5705"/>
      <c r="CR30" s="5705"/>
      <c r="CS30" s="5706"/>
      <c r="CU30" s="5716"/>
      <c r="CV30" s="5738" t="s">
        <v>11032</v>
      </c>
      <c r="CW30" s="5705"/>
      <c r="CX30" s="5705"/>
      <c r="CY30" s="5705"/>
      <c r="CZ30" s="5705"/>
      <c r="DA30" s="5706"/>
      <c r="DC30" s="5">
        <v>1</v>
      </c>
    </row>
    <row r="31" spans="1:107" s="1" customFormat="1" ht="21" customHeight="1">
      <c r="A31" s="5641" t="s">
        <v>1</v>
      </c>
      <c r="B31" s="5662" t="str">
        <f t="shared" si="10"/>
        <v>►</v>
      </c>
      <c r="C31" s="5825" cm="1">
        <f t="array" ref="C31">SUMPRODUCT(LEN(D31:J31))</f>
        <v>0</v>
      </c>
      <c r="D31" s="5275"/>
      <c r="E31" s="1361"/>
      <c r="F31" s="1361"/>
      <c r="G31" s="1361"/>
      <c r="H31" s="1361"/>
      <c r="I31" s="1361"/>
      <c r="J31" s="5276"/>
      <c r="K31" s="106" t="s">
        <v>1</v>
      </c>
      <c r="L31" s="1021" t="s">
        <v>26</v>
      </c>
      <c r="M31" s="6787"/>
      <c r="N31" s="6787"/>
      <c r="O31" s="6787"/>
      <c r="P31" s="6788"/>
      <c r="Q31" s="6789"/>
      <c r="R31" s="6790"/>
      <c r="S31" s="6786"/>
      <c r="T31" s="6791"/>
      <c r="U31" s="6844"/>
      <c r="V31" s="6791"/>
      <c r="W31" s="8487"/>
      <c r="X31" s="6871"/>
      <c r="Y31" s="6793"/>
      <c r="Z31" s="6794"/>
      <c r="AA31" s="6795"/>
      <c r="AB31" s="6796"/>
      <c r="AC31" s="6797"/>
      <c r="AD31" s="6798"/>
      <c r="AE31" s="4" t="s">
        <v>1</v>
      </c>
      <c r="AF31" s="6202" t="str">
        <f t="shared" si="16"/>
        <v>►</v>
      </c>
      <c r="AG31" s="6234" t="str">
        <f t="shared" si="17"/>
        <v/>
      </c>
      <c r="AH31" s="6732" t="str">
        <f t="shared" si="18"/>
        <v/>
      </c>
      <c r="AI31" s="6234" t="str">
        <f t="shared" si="19"/>
        <v/>
      </c>
      <c r="AJ31" s="6732" t="str">
        <f t="shared" si="20"/>
        <v/>
      </c>
      <c r="AK31" s="6732">
        <f t="shared" si="21"/>
        <v>0</v>
      </c>
      <c r="AL31" s="6230" t="str" cm="1">
        <f t="array" ref="AL31">IF(AF31&lt;&gt;"A","",IFERROR((IFERROR(_xlfn.XLOOKUP(TRIM(SUBSTITUTE(U31,CHAR(160)," ")),$BJ$15:$BJ$62,$BM$15:$BM$62),IFERROR(_xlfn.XLOOKUP(TRIM(SUBSTITUTE(U31,CHAR(160)," ")),$BK$15:$BK$62,$BM$15:$BM$62),_xlfn.XLOOKUP(TRIM(SUBSTITUTE(U31,CHAR(160)," ")),$BL$15:$BL$62,$BM$15:$BM$62))))*T31*IF(ISBLANK(Q31),1,Q31)+IFERROR(_xlfn.XLOOKUP("RECHERCHEX",TRIM(L31:AD31),L31:AD31),0),0))</f>
        <v/>
      </c>
      <c r="AM31" s="6229">
        <f t="shared" si="22"/>
        <v>0</v>
      </c>
      <c r="AN31" s="6857" t="str">
        <f t="shared" si="41"/>
        <v/>
      </c>
      <c r="AO31" s="392">
        <f t="shared" si="24"/>
        <v>0</v>
      </c>
      <c r="AP31" s="392">
        <f t="shared" si="25"/>
        <v>0</v>
      </c>
      <c r="AQ31" s="6191">
        <f t="shared" si="26"/>
        <v>0</v>
      </c>
      <c r="AR31" s="6859" t="str">
        <f t="shared" si="27"/>
        <v/>
      </c>
      <c r="AS31" s="6217"/>
      <c r="AT31" s="6217"/>
      <c r="AU31" s="6272">
        <f t="shared" si="28"/>
        <v>0</v>
      </c>
      <c r="AV31" s="6240">
        <f t="shared" si="29"/>
        <v>0</v>
      </c>
      <c r="AW31" s="6189" cm="1">
        <f t="array" ref="AW31">IF(AK31&lt;&gt;1,0,IF(OR(AU31="",N(AU31)&lt;=0.000000001),"",IF(OR(AO31="",N(AO31)&lt;=0.000000001),0,IF(ISNUMBER(AU31),IFERROR(_xlfn.LET(_xlpm.ai_test,TRIM(AJ31),_xlpm.r,IFERROR(_xlfn.XLOOKUP(_xlpm.ai_test,$BJ$15:$BJ$62,ROW($BJ$15:$BJ$62),0,1),IFERROR(_xlfn.XLOOKUP(_xlpm.ai_test,$BK$15:$BK$62,ROW($BK$15:$BK$62),0,1),_xlfn.XLOOKUP(_xlpm.ai_test,$BL$15:$BL$62,ROW($BL$15:$BL$62),0,1))),_xlpm.p,_xlpm.r-MIN(ROW($BJ$15:$BJ$62))+1,_xlpm.f,INDEX($BM$15:$BM$62,_xlpm.p),_xlpm.u,INDEX($BN$15:$BN$62,_xlpm.p),_xlpm.s,INDEX($BP$15:$BP$62,_xlpm.p),_xlpm.q,N(AU31)/_xlpm.f,IF(_xlpm.q&gt;=_xlpm.s,ROUND(_xlpm.q,1)&amp;" "&amp;_xlpm.ai_test&amp;" = "&amp;ROUND(_xlpm.q*_xlpm.f,1)&amp;" "&amp;_xlpm.u,ROUND(_xlpm.q,1)&amp;" "&amp;_xlpm.ai_test)),""),""))))</f>
        <v>0</v>
      </c>
      <c r="AX31" s="6218"/>
      <c r="AY31" s="6272">
        <f t="shared" si="30"/>
        <v>0</v>
      </c>
      <c r="AZ31" s="6240" t="str">
        <f t="shared" si="31"/>
        <v/>
      </c>
      <c r="BA31" s="6195">
        <f t="shared" si="37"/>
        <v>0</v>
      </c>
      <c r="BB31" s="6193" t="str">
        <f t="shared" si="32"/>
        <v/>
      </c>
      <c r="BC31" s="6219"/>
      <c r="BD31" s="6222">
        <f t="shared" si="39"/>
        <v>0</v>
      </c>
      <c r="BE31" s="6220" t="str">
        <f t="shared" si="34"/>
        <v/>
      </c>
      <c r="BF31" s="4" t="s">
        <v>1</v>
      </c>
      <c r="BG31" s="6196">
        <f t="shared" si="35"/>
        <v>0</v>
      </c>
      <c r="BH31" s="6197">
        <f t="shared" si="36"/>
        <v>0</v>
      </c>
      <c r="BI31" s="187"/>
      <c r="BJ31" s="6286" t="s">
        <v>946</v>
      </c>
      <c r="BK31" s="6286" t="s">
        <v>9690</v>
      </c>
      <c r="BL31" s="6286" t="s">
        <v>9699</v>
      </c>
      <c r="BM31" s="6304">
        <f t="shared" si="40"/>
        <v>1.4999999999999999E-2</v>
      </c>
      <c r="BN31" s="6274" t="s">
        <v>8766</v>
      </c>
      <c r="BO31" s="6274" t="s">
        <v>8774</v>
      </c>
      <c r="BP31" s="223">
        <f t="shared" si="38"/>
        <v>67</v>
      </c>
      <c r="BQ31" s="222">
        <v>15</v>
      </c>
      <c r="BR31" s="187"/>
      <c r="BS31" s="187"/>
      <c r="BT31" s="187"/>
      <c r="BU31" s="187"/>
      <c r="BV31" s="187"/>
      <c r="BW31" s="187"/>
      <c r="BX31" s="20" t="str">
        <f t="shared" si="11"/>
        <v>►</v>
      </c>
      <c r="BY31" s="6938"/>
      <c r="BZ31" s="6938"/>
      <c r="CA31" s="6938"/>
      <c r="CB31" s="6938"/>
      <c r="CC31" s="6938"/>
      <c r="CD31" s="5661"/>
      <c r="CE31" s="5716"/>
      <c r="CF31" s="5738" t="s">
        <v>11037</v>
      </c>
      <c r="CG31" s="5705"/>
      <c r="CH31" s="5705"/>
      <c r="CI31" s="5705"/>
      <c r="CJ31" s="5705"/>
      <c r="CK31" s="5706"/>
      <c r="CM31" s="5716"/>
      <c r="CN31" s="5738" t="s">
        <v>11029</v>
      </c>
      <c r="CO31" s="5705"/>
      <c r="CP31" s="5705"/>
      <c r="CQ31" s="5705"/>
      <c r="CR31" s="5705"/>
      <c r="CS31" s="5706"/>
      <c r="CU31" s="5716"/>
      <c r="CV31" s="5738" t="s">
        <v>11031</v>
      </c>
      <c r="CW31" s="5705"/>
      <c r="CX31" s="5705"/>
      <c r="CY31" s="5705"/>
      <c r="CZ31" s="5705"/>
      <c r="DA31" s="5706"/>
      <c r="DC31" s="5">
        <v>1</v>
      </c>
    </row>
    <row r="32" spans="1:107" s="1" customFormat="1" ht="21" customHeight="1">
      <c r="A32" s="5641" t="s">
        <v>1</v>
      </c>
      <c r="B32" s="5662" t="str">
        <f t="shared" si="10"/>
        <v>►</v>
      </c>
      <c r="C32" s="5825" cm="1">
        <f t="array" ref="C32">SUMPRODUCT(LEN(D32:J32))</f>
        <v>0</v>
      </c>
      <c r="D32" s="5275"/>
      <c r="E32" s="1361"/>
      <c r="F32" s="1361"/>
      <c r="G32" s="1361"/>
      <c r="H32" s="1361"/>
      <c r="I32" s="1361"/>
      <c r="J32" s="5276"/>
      <c r="K32" s="106" t="s">
        <v>1</v>
      </c>
      <c r="L32" s="1021" t="s">
        <v>26</v>
      </c>
      <c r="M32" s="6787"/>
      <c r="N32" s="6787"/>
      <c r="O32" s="6787"/>
      <c r="P32" s="6788"/>
      <c r="Q32" s="6789"/>
      <c r="R32" s="6790"/>
      <c r="S32" s="6786"/>
      <c r="T32" s="6791"/>
      <c r="U32" s="6844"/>
      <c r="V32" s="6791"/>
      <c r="W32" s="8487"/>
      <c r="X32" s="6871"/>
      <c r="Y32" s="6793"/>
      <c r="Z32" s="6794"/>
      <c r="AA32" s="6795"/>
      <c r="AB32" s="6796"/>
      <c r="AC32" s="6797"/>
      <c r="AD32" s="6798"/>
      <c r="AE32" s="4" t="s">
        <v>1</v>
      </c>
      <c r="AF32" s="6202" t="str">
        <f t="shared" si="16"/>
        <v>►</v>
      </c>
      <c r="AG32" s="6234" t="str">
        <f t="shared" si="17"/>
        <v/>
      </c>
      <c r="AH32" s="6732" t="str">
        <f t="shared" si="18"/>
        <v/>
      </c>
      <c r="AI32" s="6234" t="str">
        <f t="shared" si="19"/>
        <v/>
      </c>
      <c r="AJ32" s="6732" t="str">
        <f t="shared" si="20"/>
        <v/>
      </c>
      <c r="AK32" s="6732">
        <f t="shared" si="21"/>
        <v>0</v>
      </c>
      <c r="AL32" s="6230" t="str" cm="1">
        <f t="array" ref="AL32">IF(AF32&lt;&gt;"A","",IFERROR((IFERROR(_xlfn.XLOOKUP(TRIM(SUBSTITUTE(U32,CHAR(160)," ")),$BJ$15:$BJ$62,$BM$15:$BM$62),IFERROR(_xlfn.XLOOKUP(TRIM(SUBSTITUTE(U32,CHAR(160)," ")),$BK$15:$BK$62,$BM$15:$BM$62),_xlfn.XLOOKUP(TRIM(SUBSTITUTE(U32,CHAR(160)," ")),$BL$15:$BL$62,$BM$15:$BM$62))))*T32*IF(ISBLANK(Q32),1,Q32)+IFERROR(_xlfn.XLOOKUP("RECHERCHEX",TRIM(L32:AD32),L32:AD32),0),0))</f>
        <v/>
      </c>
      <c r="AM32" s="6229">
        <f t="shared" si="22"/>
        <v>0</v>
      </c>
      <c r="AN32" s="6857" t="str">
        <f t="shared" si="41"/>
        <v/>
      </c>
      <c r="AO32" s="392">
        <f t="shared" si="24"/>
        <v>0</v>
      </c>
      <c r="AP32" s="392">
        <f t="shared" si="25"/>
        <v>0</v>
      </c>
      <c r="AQ32" s="6190">
        <f t="shared" si="26"/>
        <v>0</v>
      </c>
      <c r="AR32" s="6858" t="str">
        <f t="shared" si="27"/>
        <v/>
      </c>
      <c r="AS32" s="6217"/>
      <c r="AT32" s="6217"/>
      <c r="AU32" s="6271">
        <f t="shared" si="28"/>
        <v>0</v>
      </c>
      <c r="AV32" s="6242">
        <f t="shared" si="29"/>
        <v>0</v>
      </c>
      <c r="AW32" s="6188" cm="1">
        <f t="array" ref="AW32">IF(AK32&lt;&gt;1,0,IF(OR(AU32="",N(AU32)&lt;=0.000000001),"",IF(OR(AO32="",N(AO32)&lt;=0.000000001),0,IF(ISNUMBER(AU32),IFERROR(_xlfn.LET(_xlpm.ai_test,TRIM(AJ32),_xlpm.r,IFERROR(_xlfn.XLOOKUP(_xlpm.ai_test,$BJ$15:$BJ$62,ROW($BJ$15:$BJ$62),0,1),IFERROR(_xlfn.XLOOKUP(_xlpm.ai_test,$BK$15:$BK$62,ROW($BK$15:$BK$62),0,1),_xlfn.XLOOKUP(_xlpm.ai_test,$BL$15:$BL$62,ROW($BL$15:$BL$62),0,1))),_xlpm.p,_xlpm.r-MIN(ROW($BJ$15:$BJ$62))+1,_xlpm.f,INDEX($BM$15:$BM$62,_xlpm.p),_xlpm.u,INDEX($BN$15:$BN$62,_xlpm.p),_xlpm.s,INDEX($BP$15:$BP$62,_xlpm.p),_xlpm.q,N(AU32)/_xlpm.f,IF(_xlpm.q&gt;=_xlpm.s,ROUND(_xlpm.q,1)&amp;" "&amp;_xlpm.ai_test&amp;" = "&amp;ROUND(_xlpm.q*_xlpm.f,1)&amp;" "&amp;_xlpm.u,ROUND(_xlpm.q,1)&amp;" "&amp;_xlpm.ai_test)),""),""))))</f>
        <v>0</v>
      </c>
      <c r="AX32" s="6218"/>
      <c r="AY32" s="6271">
        <f t="shared" si="30"/>
        <v>0</v>
      </c>
      <c r="AZ32" s="6242" t="str">
        <f t="shared" si="31"/>
        <v/>
      </c>
      <c r="BA32" s="6194">
        <f t="shared" si="37"/>
        <v>0</v>
      </c>
      <c r="BB32" s="6192" t="str">
        <f t="shared" si="32"/>
        <v/>
      </c>
      <c r="BC32" s="6219"/>
      <c r="BD32" s="6221">
        <f t="shared" si="39"/>
        <v>0</v>
      </c>
      <c r="BE32" s="6220" t="str">
        <f t="shared" si="34"/>
        <v/>
      </c>
      <c r="BF32" s="4" t="s">
        <v>1</v>
      </c>
      <c r="BG32" s="6196">
        <f t="shared" si="35"/>
        <v>0</v>
      </c>
      <c r="BH32" s="6197">
        <f t="shared" si="36"/>
        <v>0</v>
      </c>
      <c r="BI32" s="187"/>
      <c r="BJ32" s="6286" t="s">
        <v>8764</v>
      </c>
      <c r="BK32" s="6286" t="s">
        <v>9621</v>
      </c>
      <c r="BL32" s="6282" t="s">
        <v>9622</v>
      </c>
      <c r="BM32" s="6304">
        <f t="shared" si="40"/>
        <v>0.2</v>
      </c>
      <c r="BN32" s="6274" t="s">
        <v>8766</v>
      </c>
      <c r="BO32" s="6274" t="s">
        <v>8774</v>
      </c>
      <c r="BP32" s="223">
        <f t="shared" si="38"/>
        <v>5</v>
      </c>
      <c r="BQ32" s="222">
        <v>200</v>
      </c>
      <c r="BR32" s="187"/>
      <c r="BS32" s="187"/>
      <c r="BT32" s="187"/>
      <c r="BU32" s="187"/>
      <c r="BV32" s="187"/>
      <c r="BW32" s="187"/>
      <c r="BX32" s="20" t="str">
        <f t="shared" si="11"/>
        <v>►</v>
      </c>
      <c r="BY32" s="6214"/>
      <c r="BZ32" s="6214"/>
      <c r="CA32" s="6214"/>
      <c r="CB32" s="6214"/>
      <c r="CC32" s="6214"/>
      <c r="CD32" s="5661"/>
      <c r="CE32" s="5716"/>
      <c r="CF32" s="5738" t="s">
        <v>11038</v>
      </c>
      <c r="CG32" s="5705"/>
      <c r="CH32" s="5705"/>
      <c r="CI32" s="5705"/>
      <c r="CJ32" s="5705"/>
      <c r="CK32" s="5706"/>
      <c r="CM32" s="5716"/>
      <c r="CN32" s="5738" t="s">
        <v>11039</v>
      </c>
      <c r="CO32" s="5705"/>
      <c r="CP32" s="5705"/>
      <c r="CQ32" s="5705"/>
      <c r="CR32" s="5705"/>
      <c r="CS32" s="5706"/>
      <c r="CU32" s="5716"/>
      <c r="CV32" s="5705" t="s">
        <v>11040</v>
      </c>
      <c r="CW32" s="5705"/>
      <c r="CX32" s="5705"/>
      <c r="CY32" s="5705"/>
      <c r="CZ32" s="5705"/>
      <c r="DA32" s="5706"/>
      <c r="DC32" s="5">
        <v>1</v>
      </c>
    </row>
    <row r="33" spans="1:107" s="1" customFormat="1" ht="21" customHeight="1">
      <c r="A33" s="5641" t="s">
        <v>1</v>
      </c>
      <c r="B33" s="5662" t="str">
        <f t="shared" si="10"/>
        <v>►</v>
      </c>
      <c r="C33" s="5825" cm="1">
        <f t="array" ref="C33">SUMPRODUCT(LEN(D33:J33))</f>
        <v>0</v>
      </c>
      <c r="D33" s="5275"/>
      <c r="E33" s="1361"/>
      <c r="F33" s="1361"/>
      <c r="G33" s="1361"/>
      <c r="H33" s="1361"/>
      <c r="I33" s="1361"/>
      <c r="J33" s="5276"/>
      <c r="K33" s="106" t="s">
        <v>1</v>
      </c>
      <c r="L33" s="1021" t="s">
        <v>26</v>
      </c>
      <c r="M33" s="6787"/>
      <c r="N33" s="6787"/>
      <c r="O33" s="6787"/>
      <c r="P33" s="6788"/>
      <c r="Q33" s="6789"/>
      <c r="R33" s="6790"/>
      <c r="S33" s="6786"/>
      <c r="T33" s="6791"/>
      <c r="U33" s="6844"/>
      <c r="V33" s="6791"/>
      <c r="W33" s="8487"/>
      <c r="X33" s="6871"/>
      <c r="Y33" s="6793"/>
      <c r="Z33" s="6794"/>
      <c r="AA33" s="6795"/>
      <c r="AB33" s="6796"/>
      <c r="AC33" s="6797"/>
      <c r="AD33" s="6798"/>
      <c r="AE33" s="4" t="s">
        <v>1</v>
      </c>
      <c r="AF33" s="6202" t="str">
        <f t="shared" si="16"/>
        <v>►</v>
      </c>
      <c r="AG33" s="6234" t="str">
        <f t="shared" si="17"/>
        <v/>
      </c>
      <c r="AH33" s="6732" t="str">
        <f t="shared" si="18"/>
        <v/>
      </c>
      <c r="AI33" s="6234" t="str">
        <f t="shared" si="19"/>
        <v/>
      </c>
      <c r="AJ33" s="6732" t="str">
        <f t="shared" si="20"/>
        <v/>
      </c>
      <c r="AK33" s="6732">
        <f t="shared" si="21"/>
        <v>0</v>
      </c>
      <c r="AL33" s="6230" t="str" cm="1">
        <f t="array" ref="AL33">IF(AF33&lt;&gt;"A","",IFERROR((IFERROR(_xlfn.XLOOKUP(TRIM(SUBSTITUTE(U33,CHAR(160)," ")),$BJ$15:$BJ$62,$BM$15:$BM$62),IFERROR(_xlfn.XLOOKUP(TRIM(SUBSTITUTE(U33,CHAR(160)," ")),$BK$15:$BK$62,$BM$15:$BM$62),_xlfn.XLOOKUP(TRIM(SUBSTITUTE(U33,CHAR(160)," ")),$BL$15:$BL$62,$BM$15:$BM$62))))*T33*IF(ISBLANK(Q33),1,Q33)+IFERROR(_xlfn.XLOOKUP("RECHERCHEX",TRIM(L33:AD33),L33:AD33),0),0))</f>
        <v/>
      </c>
      <c r="AM33" s="6229">
        <f t="shared" si="22"/>
        <v>0</v>
      </c>
      <c r="AN33" s="6857" t="str">
        <f t="shared" si="41"/>
        <v/>
      </c>
      <c r="AO33" s="392">
        <f t="shared" si="24"/>
        <v>0</v>
      </c>
      <c r="AP33" s="392">
        <f t="shared" si="25"/>
        <v>0</v>
      </c>
      <c r="AQ33" s="6191">
        <f t="shared" si="26"/>
        <v>0</v>
      </c>
      <c r="AR33" s="6859" t="str">
        <f t="shared" si="27"/>
        <v/>
      </c>
      <c r="AS33" s="6217"/>
      <c r="AT33" s="6217"/>
      <c r="AU33" s="6272">
        <f t="shared" si="28"/>
        <v>0</v>
      </c>
      <c r="AV33" s="6240">
        <f t="shared" si="29"/>
        <v>0</v>
      </c>
      <c r="AW33" s="6189" cm="1">
        <f t="array" ref="AW33">IF(AK33&lt;&gt;1,0,IF(OR(AU33="",N(AU33)&lt;=0.000000001),"",IF(OR(AO33="",N(AO33)&lt;=0.000000001),0,IF(ISNUMBER(AU33),IFERROR(_xlfn.LET(_xlpm.ai_test,TRIM(AJ33),_xlpm.r,IFERROR(_xlfn.XLOOKUP(_xlpm.ai_test,$BJ$15:$BJ$62,ROW($BJ$15:$BJ$62),0,1),IFERROR(_xlfn.XLOOKUP(_xlpm.ai_test,$BK$15:$BK$62,ROW($BK$15:$BK$62),0,1),_xlfn.XLOOKUP(_xlpm.ai_test,$BL$15:$BL$62,ROW($BL$15:$BL$62),0,1))),_xlpm.p,_xlpm.r-MIN(ROW($BJ$15:$BJ$62))+1,_xlpm.f,INDEX($BM$15:$BM$62,_xlpm.p),_xlpm.u,INDEX($BN$15:$BN$62,_xlpm.p),_xlpm.s,INDEX($BP$15:$BP$62,_xlpm.p),_xlpm.q,N(AU33)/_xlpm.f,IF(_xlpm.q&gt;=_xlpm.s,ROUND(_xlpm.q,1)&amp;" "&amp;_xlpm.ai_test&amp;" = "&amp;ROUND(_xlpm.q*_xlpm.f,1)&amp;" "&amp;_xlpm.u,ROUND(_xlpm.q,1)&amp;" "&amp;_xlpm.ai_test)),""),""))))</f>
        <v>0</v>
      </c>
      <c r="AX33" s="6218"/>
      <c r="AY33" s="6272">
        <f t="shared" si="30"/>
        <v>0</v>
      </c>
      <c r="AZ33" s="6240" t="str">
        <f t="shared" si="31"/>
        <v/>
      </c>
      <c r="BA33" s="6195">
        <f t="shared" si="37"/>
        <v>0</v>
      </c>
      <c r="BB33" s="6193" t="str">
        <f t="shared" si="32"/>
        <v/>
      </c>
      <c r="BC33" s="6219"/>
      <c r="BD33" s="6222">
        <f t="shared" si="39"/>
        <v>0</v>
      </c>
      <c r="BE33" s="6220" t="str">
        <f t="shared" si="34"/>
        <v/>
      </c>
      <c r="BF33" s="4" t="s">
        <v>1</v>
      </c>
      <c r="BG33" s="6196">
        <f t="shared" si="35"/>
        <v>0</v>
      </c>
      <c r="BH33" s="6197">
        <f t="shared" si="36"/>
        <v>0</v>
      </c>
      <c r="BI33" s="187"/>
      <c r="BJ33" s="6286" t="s">
        <v>124</v>
      </c>
      <c r="BK33" s="6286" t="s">
        <v>9623</v>
      </c>
      <c r="BL33" s="6286" t="s">
        <v>9624</v>
      </c>
      <c r="BM33" s="6304">
        <f t="shared" si="40"/>
        <v>0.22500000000000001</v>
      </c>
      <c r="BN33" s="6274" t="s">
        <v>8766</v>
      </c>
      <c r="BO33" s="6274" t="s">
        <v>8774</v>
      </c>
      <c r="BP33" s="223">
        <f t="shared" si="38"/>
        <v>4</v>
      </c>
      <c r="BQ33" s="222">
        <v>225</v>
      </c>
      <c r="BR33" s="187"/>
      <c r="BS33" s="187"/>
      <c r="BT33" s="187"/>
      <c r="BU33" s="187"/>
      <c r="BV33" s="187"/>
      <c r="BW33" s="187"/>
      <c r="BX33" s="20" t="str">
        <f t="shared" si="11"/>
        <v>►</v>
      </c>
      <c r="BY33" s="6939" t="s">
        <v>8677</v>
      </c>
      <c r="BZ33" s="6939"/>
      <c r="CA33" s="6939"/>
      <c r="CB33" s="6939"/>
      <c r="CC33" s="6939"/>
      <c r="CD33" s="5661"/>
      <c r="CE33" s="5716" t="s">
        <v>8698</v>
      </c>
      <c r="CF33" s="5738" t="s">
        <v>8699</v>
      </c>
      <c r="CG33" s="5705"/>
      <c r="CH33" s="5705"/>
      <c r="CI33" s="5705"/>
      <c r="CJ33" s="5705"/>
      <c r="CK33" s="5706"/>
      <c r="CM33" s="5716" t="s">
        <v>8808</v>
      </c>
      <c r="CN33" s="5738" t="s">
        <v>8782</v>
      </c>
      <c r="CO33" s="5705"/>
      <c r="CP33" s="5705"/>
      <c r="CQ33" s="5705"/>
      <c r="CR33" s="5705"/>
      <c r="CS33" s="5706"/>
      <c r="CU33" s="5716" t="s">
        <v>8819</v>
      </c>
      <c r="CV33" s="5738" t="s">
        <v>8795</v>
      </c>
      <c r="CW33" s="5705"/>
      <c r="CX33" s="5705"/>
      <c r="CY33" s="5705"/>
      <c r="CZ33" s="5705"/>
      <c r="DA33" s="5706"/>
      <c r="DC33" s="5">
        <v>1</v>
      </c>
    </row>
    <row r="34" spans="1:107" s="1" customFormat="1" ht="21" customHeight="1">
      <c r="A34" s="5641" t="s">
        <v>1</v>
      </c>
      <c r="B34" s="5662" t="str">
        <f t="shared" si="10"/>
        <v>►</v>
      </c>
      <c r="C34" s="5825" cm="1">
        <f t="array" ref="C34">SUMPRODUCT(LEN(D34:J34))</f>
        <v>0</v>
      </c>
      <c r="D34" s="5275"/>
      <c r="E34" s="1361"/>
      <c r="F34" s="1361"/>
      <c r="G34" s="1361"/>
      <c r="H34" s="1361"/>
      <c r="I34" s="1361"/>
      <c r="J34" s="5276"/>
      <c r="K34" s="106" t="s">
        <v>1</v>
      </c>
      <c r="L34" s="1021" t="s">
        <v>26</v>
      </c>
      <c r="M34" s="6787"/>
      <c r="N34" s="6787"/>
      <c r="O34" s="6787"/>
      <c r="P34" s="6788"/>
      <c r="Q34" s="6789"/>
      <c r="R34" s="6790"/>
      <c r="S34" s="6786"/>
      <c r="T34" s="6791"/>
      <c r="U34" s="6844"/>
      <c r="V34" s="6791"/>
      <c r="W34" s="8487"/>
      <c r="X34" s="6871"/>
      <c r="Y34" s="6793"/>
      <c r="Z34" s="6794"/>
      <c r="AA34" s="6795"/>
      <c r="AB34" s="6796"/>
      <c r="AC34" s="6797"/>
      <c r="AD34" s="6798"/>
      <c r="AE34" s="4" t="s">
        <v>1</v>
      </c>
      <c r="AF34" s="6202" t="str">
        <f t="shared" si="16"/>
        <v>►</v>
      </c>
      <c r="AG34" s="6234" t="str">
        <f t="shared" si="17"/>
        <v/>
      </c>
      <c r="AH34" s="6732" t="str">
        <f t="shared" si="18"/>
        <v/>
      </c>
      <c r="AI34" s="6234" t="str">
        <f t="shared" si="19"/>
        <v/>
      </c>
      <c r="AJ34" s="6732" t="str">
        <f t="shared" si="20"/>
        <v/>
      </c>
      <c r="AK34" s="6732">
        <f t="shared" si="21"/>
        <v>0</v>
      </c>
      <c r="AL34" s="6230" t="str" cm="1">
        <f t="array" ref="AL34">IF(AF34&lt;&gt;"A","",IFERROR((IFERROR(_xlfn.XLOOKUP(TRIM(SUBSTITUTE(U34,CHAR(160)," ")),$BJ$15:$BJ$62,$BM$15:$BM$62),IFERROR(_xlfn.XLOOKUP(TRIM(SUBSTITUTE(U34,CHAR(160)," ")),$BK$15:$BK$62,$BM$15:$BM$62),_xlfn.XLOOKUP(TRIM(SUBSTITUTE(U34,CHAR(160)," ")),$BL$15:$BL$62,$BM$15:$BM$62))))*T34*IF(ISBLANK(Q34),1,Q34)+IFERROR(_xlfn.XLOOKUP("RECHERCHEX",TRIM(L34:AD34),L34:AD34),0),0))</f>
        <v/>
      </c>
      <c r="AM34" s="6229">
        <f t="shared" si="22"/>
        <v>0</v>
      </c>
      <c r="AN34" s="6857" t="str">
        <f t="shared" si="41"/>
        <v/>
      </c>
      <c r="AO34" s="392">
        <f t="shared" si="24"/>
        <v>0</v>
      </c>
      <c r="AP34" s="392">
        <f t="shared" si="25"/>
        <v>0</v>
      </c>
      <c r="AQ34" s="6190">
        <f t="shared" si="26"/>
        <v>0</v>
      </c>
      <c r="AR34" s="6858" t="str">
        <f t="shared" si="27"/>
        <v/>
      </c>
      <c r="AS34" s="6217"/>
      <c r="AT34" s="6217"/>
      <c r="AU34" s="6271">
        <f t="shared" si="28"/>
        <v>0</v>
      </c>
      <c r="AV34" s="6242">
        <f t="shared" si="29"/>
        <v>0</v>
      </c>
      <c r="AW34" s="6188" cm="1">
        <f t="array" ref="AW34">IF(AK34&lt;&gt;1,0,IF(OR(AU34="",N(AU34)&lt;=0.000000001),"",IF(OR(AO34="",N(AO34)&lt;=0.000000001),0,IF(ISNUMBER(AU34),IFERROR(_xlfn.LET(_xlpm.ai_test,TRIM(AJ34),_xlpm.r,IFERROR(_xlfn.XLOOKUP(_xlpm.ai_test,$BJ$15:$BJ$62,ROW($BJ$15:$BJ$62),0,1),IFERROR(_xlfn.XLOOKUP(_xlpm.ai_test,$BK$15:$BK$62,ROW($BK$15:$BK$62),0,1),_xlfn.XLOOKUP(_xlpm.ai_test,$BL$15:$BL$62,ROW($BL$15:$BL$62),0,1))),_xlpm.p,_xlpm.r-MIN(ROW($BJ$15:$BJ$62))+1,_xlpm.f,INDEX($BM$15:$BM$62,_xlpm.p),_xlpm.u,INDEX($BN$15:$BN$62,_xlpm.p),_xlpm.s,INDEX($BP$15:$BP$62,_xlpm.p),_xlpm.q,N(AU34)/_xlpm.f,IF(_xlpm.q&gt;=_xlpm.s,ROUND(_xlpm.q,1)&amp;" "&amp;_xlpm.ai_test&amp;" = "&amp;ROUND(_xlpm.q*_xlpm.f,1)&amp;" "&amp;_xlpm.u,ROUND(_xlpm.q,1)&amp;" "&amp;_xlpm.ai_test)),""),""))))</f>
        <v>0</v>
      </c>
      <c r="AX34" s="6218"/>
      <c r="AY34" s="6271">
        <f t="shared" si="30"/>
        <v>0</v>
      </c>
      <c r="AZ34" s="6242" t="str">
        <f t="shared" si="31"/>
        <v/>
      </c>
      <c r="BA34" s="6194">
        <f t="shared" si="37"/>
        <v>0</v>
      </c>
      <c r="BB34" s="6192" t="str">
        <f t="shared" si="32"/>
        <v/>
      </c>
      <c r="BC34" s="6219"/>
      <c r="BD34" s="6221">
        <f t="shared" si="39"/>
        <v>0</v>
      </c>
      <c r="BE34" s="6220" t="str">
        <f t="shared" si="34"/>
        <v/>
      </c>
      <c r="BF34" s="4" t="s">
        <v>1</v>
      </c>
      <c r="BG34" s="6196">
        <f t="shared" si="35"/>
        <v>0</v>
      </c>
      <c r="BH34" s="6197">
        <f t="shared" si="36"/>
        <v>0</v>
      </c>
      <c r="BI34" s="187"/>
      <c r="BJ34" s="6703" t="s">
        <v>137</v>
      </c>
      <c r="BK34" s="6703" t="s">
        <v>9625</v>
      </c>
      <c r="BL34" s="6703" t="s">
        <v>9626</v>
      </c>
      <c r="BM34" s="6304">
        <f t="shared" si="40"/>
        <v>0.11799999999999999</v>
      </c>
      <c r="BN34" s="6274" t="s">
        <v>8766</v>
      </c>
      <c r="BO34" s="6274" t="s">
        <v>8774</v>
      </c>
      <c r="BP34" s="223">
        <f t="shared" si="38"/>
        <v>8</v>
      </c>
      <c r="BQ34" s="222">
        <v>118</v>
      </c>
      <c r="BR34" s="187"/>
      <c r="BS34" s="187"/>
      <c r="BT34" s="187"/>
      <c r="BU34" s="187"/>
      <c r="BV34" s="187"/>
      <c r="BW34" s="187"/>
      <c r="BX34" s="20" t="str">
        <f t="shared" si="11"/>
        <v>►</v>
      </c>
      <c r="BY34" s="6939"/>
      <c r="BZ34" s="6939"/>
      <c r="CA34" s="6939"/>
      <c r="CB34" s="6939"/>
      <c r="CC34" s="6939"/>
      <c r="CD34" s="5661"/>
      <c r="CE34" s="5716"/>
      <c r="CF34" s="5738"/>
      <c r="CG34" s="5705"/>
      <c r="CH34" s="5705"/>
      <c r="CI34" s="5705"/>
      <c r="CJ34" s="5705"/>
      <c r="CK34" s="5706"/>
      <c r="CM34" s="5716"/>
      <c r="CN34" s="5738"/>
      <c r="CO34" s="5705"/>
      <c r="CP34" s="5705"/>
      <c r="CQ34" s="5705"/>
      <c r="CR34" s="5705"/>
      <c r="CS34" s="5706"/>
      <c r="CU34" s="5716"/>
      <c r="CV34" s="5738"/>
      <c r="CW34" s="5705"/>
      <c r="CX34" s="5705"/>
      <c r="CY34" s="5705"/>
      <c r="CZ34" s="5705"/>
      <c r="DA34" s="5706"/>
      <c r="DC34" s="5">
        <v>1</v>
      </c>
    </row>
    <row r="35" spans="1:107" s="1" customFormat="1" ht="21" customHeight="1">
      <c r="A35" s="5641" t="s">
        <v>1</v>
      </c>
      <c r="B35" s="5662" t="str">
        <f t="shared" si="10"/>
        <v>►</v>
      </c>
      <c r="C35" s="5825" cm="1">
        <f t="array" ref="C35">SUMPRODUCT(LEN(D35:J35))</f>
        <v>0</v>
      </c>
      <c r="D35" s="5275"/>
      <c r="E35" s="1361"/>
      <c r="F35" s="1361"/>
      <c r="G35" s="1361"/>
      <c r="H35" s="1361"/>
      <c r="I35" s="1361"/>
      <c r="J35" s="5276"/>
      <c r="K35" s="106" t="s">
        <v>1</v>
      </c>
      <c r="L35" s="1021" t="s">
        <v>26</v>
      </c>
      <c r="M35" s="6787"/>
      <c r="N35" s="6787"/>
      <c r="O35" s="6787"/>
      <c r="P35" s="6788"/>
      <c r="Q35" s="6789"/>
      <c r="R35" s="6790"/>
      <c r="S35" s="6786"/>
      <c r="T35" s="6791"/>
      <c r="U35" s="6844"/>
      <c r="V35" s="6791"/>
      <c r="W35" s="8487"/>
      <c r="X35" s="6871"/>
      <c r="Y35" s="6793"/>
      <c r="Z35" s="6794"/>
      <c r="AA35" s="6795"/>
      <c r="AB35" s="6796"/>
      <c r="AC35" s="6797"/>
      <c r="AD35" s="6798"/>
      <c r="AE35" s="4" t="s">
        <v>1</v>
      </c>
      <c r="AF35" s="6202" t="str">
        <f t="shared" si="16"/>
        <v>►</v>
      </c>
      <c r="AG35" s="6234" t="str">
        <f t="shared" si="17"/>
        <v/>
      </c>
      <c r="AH35" s="6732" t="str">
        <f t="shared" si="18"/>
        <v/>
      </c>
      <c r="AI35" s="6234" t="str">
        <f t="shared" si="19"/>
        <v/>
      </c>
      <c r="AJ35" s="6732" t="str">
        <f t="shared" si="20"/>
        <v/>
      </c>
      <c r="AK35" s="6732">
        <f t="shared" si="21"/>
        <v>0</v>
      </c>
      <c r="AL35" s="6230" t="str" cm="1">
        <f t="array" ref="AL35">IF(AF35&lt;&gt;"A","",IFERROR((IFERROR(_xlfn.XLOOKUP(TRIM(SUBSTITUTE(U35,CHAR(160)," ")),$BJ$15:$BJ$62,$BM$15:$BM$62),IFERROR(_xlfn.XLOOKUP(TRIM(SUBSTITUTE(U35,CHAR(160)," ")),$BK$15:$BK$62,$BM$15:$BM$62),_xlfn.XLOOKUP(TRIM(SUBSTITUTE(U35,CHAR(160)," ")),$BL$15:$BL$62,$BM$15:$BM$62))))*T35*IF(ISBLANK(Q35),1,Q35)+IFERROR(_xlfn.XLOOKUP("RECHERCHEX",TRIM(L35:AD35),L35:AD35),0),0))</f>
        <v/>
      </c>
      <c r="AM35" s="6229">
        <f t="shared" si="22"/>
        <v>0</v>
      </c>
      <c r="AN35" s="6857" t="str">
        <f t="shared" si="41"/>
        <v/>
      </c>
      <c r="AO35" s="392">
        <f t="shared" si="24"/>
        <v>0</v>
      </c>
      <c r="AP35" s="392">
        <f t="shared" si="25"/>
        <v>0</v>
      </c>
      <c r="AQ35" s="6191">
        <f t="shared" si="26"/>
        <v>0</v>
      </c>
      <c r="AR35" s="6859" t="str">
        <f t="shared" si="27"/>
        <v/>
      </c>
      <c r="AS35" s="6217"/>
      <c r="AT35" s="6217"/>
      <c r="AU35" s="6272">
        <f t="shared" si="28"/>
        <v>0</v>
      </c>
      <c r="AV35" s="6240">
        <f t="shared" si="29"/>
        <v>0</v>
      </c>
      <c r="AW35" s="6189" cm="1">
        <f t="array" ref="AW35">IF(AK35&lt;&gt;1,0,IF(OR(AU35="",N(AU35)&lt;=0.000000001),"",IF(OR(AO35="",N(AO35)&lt;=0.000000001),0,IF(ISNUMBER(AU35),IFERROR(_xlfn.LET(_xlpm.ai_test,TRIM(AJ35),_xlpm.r,IFERROR(_xlfn.XLOOKUP(_xlpm.ai_test,$BJ$15:$BJ$62,ROW($BJ$15:$BJ$62),0,1),IFERROR(_xlfn.XLOOKUP(_xlpm.ai_test,$BK$15:$BK$62,ROW($BK$15:$BK$62),0,1),_xlfn.XLOOKUP(_xlpm.ai_test,$BL$15:$BL$62,ROW($BL$15:$BL$62),0,1))),_xlpm.p,_xlpm.r-MIN(ROW($BJ$15:$BJ$62))+1,_xlpm.f,INDEX($BM$15:$BM$62,_xlpm.p),_xlpm.u,INDEX($BN$15:$BN$62,_xlpm.p),_xlpm.s,INDEX($BP$15:$BP$62,_xlpm.p),_xlpm.q,N(AU35)/_xlpm.f,IF(_xlpm.q&gt;=_xlpm.s,ROUND(_xlpm.q,1)&amp;" "&amp;_xlpm.ai_test&amp;" = "&amp;ROUND(_xlpm.q*_xlpm.f,1)&amp;" "&amp;_xlpm.u,ROUND(_xlpm.q,1)&amp;" "&amp;_xlpm.ai_test)),""),""))))</f>
        <v>0</v>
      </c>
      <c r="AX35" s="6218"/>
      <c r="AY35" s="6272">
        <f t="shared" si="30"/>
        <v>0</v>
      </c>
      <c r="AZ35" s="6240" t="str">
        <f t="shared" si="31"/>
        <v/>
      </c>
      <c r="BA35" s="6195">
        <f t="shared" si="37"/>
        <v>0</v>
      </c>
      <c r="BB35" s="6193" t="str">
        <f t="shared" si="32"/>
        <v/>
      </c>
      <c r="BC35" s="6219"/>
      <c r="BD35" s="6222">
        <f t="shared" si="39"/>
        <v>0</v>
      </c>
      <c r="BE35" s="6220" t="str">
        <f t="shared" si="34"/>
        <v/>
      </c>
      <c r="BF35" s="4" t="s">
        <v>1</v>
      </c>
      <c r="BG35" s="6196">
        <f t="shared" si="35"/>
        <v>0</v>
      </c>
      <c r="BH35" s="6197">
        <f t="shared" si="36"/>
        <v>0</v>
      </c>
      <c r="BI35" s="187"/>
      <c r="BJ35" s="6703" t="s">
        <v>133</v>
      </c>
      <c r="BK35" s="6703" t="s">
        <v>121</v>
      </c>
      <c r="BL35" s="6703" t="s">
        <v>9627</v>
      </c>
      <c r="BM35" s="6304">
        <f t="shared" si="40"/>
        <v>0.25</v>
      </c>
      <c r="BN35" s="6274" t="s">
        <v>8766</v>
      </c>
      <c r="BO35" s="6274" t="s">
        <v>8774</v>
      </c>
      <c r="BP35" s="223">
        <f t="shared" si="38"/>
        <v>4</v>
      </c>
      <c r="BQ35" s="222">
        <v>250</v>
      </c>
      <c r="BR35" s="187"/>
      <c r="BS35" s="187"/>
      <c r="BT35" s="187"/>
      <c r="BU35" s="187"/>
      <c r="BV35" s="187"/>
      <c r="BW35" s="187"/>
      <c r="BX35" s="20" t="str">
        <f t="shared" si="11"/>
        <v>►</v>
      </c>
      <c r="BY35" s="5720"/>
      <c r="BZ35" s="228"/>
      <c r="CA35" s="228"/>
      <c r="CB35" s="227"/>
      <c r="CC35" s="227"/>
      <c r="CD35" s="5661"/>
      <c r="CE35" s="6249" t="s">
        <v>8702</v>
      </c>
      <c r="CF35" s="5738" t="s">
        <v>8703</v>
      </c>
      <c r="CG35" s="5705"/>
      <c r="CH35" s="5705"/>
      <c r="CI35" s="5705"/>
      <c r="CJ35" s="5705"/>
      <c r="CK35" s="5706"/>
      <c r="CM35" s="6249" t="s">
        <v>8700</v>
      </c>
      <c r="CN35" s="5738" t="s">
        <v>9628</v>
      </c>
      <c r="CO35" s="5705"/>
      <c r="CP35" s="5705"/>
      <c r="CQ35" s="5705"/>
      <c r="CR35" s="5705"/>
      <c r="CS35" s="5706"/>
      <c r="CU35" s="6249" t="s">
        <v>8701</v>
      </c>
      <c r="CV35" s="5738" t="s">
        <v>8820</v>
      </c>
      <c r="CW35" s="5705"/>
      <c r="CX35" s="5705"/>
      <c r="CY35" s="5705"/>
      <c r="CZ35" s="5705"/>
      <c r="DA35" s="5706"/>
      <c r="DC35" s="5">
        <v>1</v>
      </c>
    </row>
    <row r="36" spans="1:107" s="1" customFormat="1" ht="21" customHeight="1">
      <c r="A36" s="5641" t="s">
        <v>1</v>
      </c>
      <c r="B36" s="5662" t="str">
        <f t="shared" si="10"/>
        <v>►</v>
      </c>
      <c r="C36" s="5825" cm="1">
        <f t="array" ref="C36">SUMPRODUCT(LEN(D36:J36))</f>
        <v>0</v>
      </c>
      <c r="D36" s="5275"/>
      <c r="E36" s="1361"/>
      <c r="F36" s="1361"/>
      <c r="G36" s="1361"/>
      <c r="H36" s="1361"/>
      <c r="I36" s="1361"/>
      <c r="J36" s="5276"/>
      <c r="K36" s="106" t="s">
        <v>1</v>
      </c>
      <c r="L36" s="1021" t="s">
        <v>26</v>
      </c>
      <c r="M36" s="6787"/>
      <c r="N36" s="6787"/>
      <c r="O36" s="6787"/>
      <c r="P36" s="6788"/>
      <c r="Q36" s="6789"/>
      <c r="R36" s="6790"/>
      <c r="S36" s="6786"/>
      <c r="T36" s="6791"/>
      <c r="U36" s="6844"/>
      <c r="V36" s="6791"/>
      <c r="W36" s="8487"/>
      <c r="X36" s="6871"/>
      <c r="Y36" s="6793"/>
      <c r="Z36" s="6794"/>
      <c r="AA36" s="6795"/>
      <c r="AB36" s="6796"/>
      <c r="AC36" s="6797"/>
      <c r="AD36" s="6798"/>
      <c r="AE36" s="4" t="s">
        <v>1</v>
      </c>
      <c r="AF36" s="6202" t="str">
        <f t="shared" si="16"/>
        <v>►</v>
      </c>
      <c r="AG36" s="6234" t="str">
        <f t="shared" si="17"/>
        <v/>
      </c>
      <c r="AH36" s="6732" t="str">
        <f t="shared" si="18"/>
        <v/>
      </c>
      <c r="AI36" s="6234" t="str">
        <f t="shared" si="19"/>
        <v/>
      </c>
      <c r="AJ36" s="6732" t="str">
        <f t="shared" si="20"/>
        <v/>
      </c>
      <c r="AK36" s="6732">
        <f t="shared" si="21"/>
        <v>0</v>
      </c>
      <c r="AL36" s="6230" t="str" cm="1">
        <f t="array" ref="AL36">IF(AF36&lt;&gt;"A","",IFERROR((IFERROR(_xlfn.XLOOKUP(TRIM(SUBSTITUTE(U36,CHAR(160)," ")),$BJ$15:$BJ$62,$BM$15:$BM$62),IFERROR(_xlfn.XLOOKUP(TRIM(SUBSTITUTE(U36,CHAR(160)," ")),$BK$15:$BK$62,$BM$15:$BM$62),_xlfn.XLOOKUP(TRIM(SUBSTITUTE(U36,CHAR(160)," ")),$BL$15:$BL$62,$BM$15:$BM$62))))*T36*IF(ISBLANK(Q36),1,Q36)+IFERROR(_xlfn.XLOOKUP("RECHERCHEX",TRIM(L36:AD36),L36:AD36),0),0))</f>
        <v/>
      </c>
      <c r="AM36" s="6229">
        <f t="shared" si="22"/>
        <v>0</v>
      </c>
      <c r="AN36" s="6857" t="str">
        <f t="shared" si="41"/>
        <v/>
      </c>
      <c r="AO36" s="392">
        <f t="shared" si="24"/>
        <v>0</v>
      </c>
      <c r="AP36" s="392">
        <f t="shared" si="25"/>
        <v>0</v>
      </c>
      <c r="AQ36" s="6190">
        <f t="shared" si="26"/>
        <v>0</v>
      </c>
      <c r="AR36" s="6858" t="str">
        <f t="shared" si="27"/>
        <v/>
      </c>
      <c r="AS36" s="6217"/>
      <c r="AT36" s="6217"/>
      <c r="AU36" s="6271">
        <f t="shared" si="28"/>
        <v>0</v>
      </c>
      <c r="AV36" s="6242">
        <f t="shared" si="29"/>
        <v>0</v>
      </c>
      <c r="AW36" s="6188" cm="1">
        <f t="array" ref="AW36">IF(AK36&lt;&gt;1,0,IF(OR(AU36="",N(AU36)&lt;=0.000000001),"",IF(OR(AO36="",N(AO36)&lt;=0.000000001),0,IF(ISNUMBER(AU36),IFERROR(_xlfn.LET(_xlpm.ai_test,TRIM(AJ36),_xlpm.r,IFERROR(_xlfn.XLOOKUP(_xlpm.ai_test,$BJ$15:$BJ$62,ROW($BJ$15:$BJ$62),0,1),IFERROR(_xlfn.XLOOKUP(_xlpm.ai_test,$BK$15:$BK$62,ROW($BK$15:$BK$62),0,1),_xlfn.XLOOKUP(_xlpm.ai_test,$BL$15:$BL$62,ROW($BL$15:$BL$62),0,1))),_xlpm.p,_xlpm.r-MIN(ROW($BJ$15:$BJ$62))+1,_xlpm.f,INDEX($BM$15:$BM$62,_xlpm.p),_xlpm.u,INDEX($BN$15:$BN$62,_xlpm.p),_xlpm.s,INDEX($BP$15:$BP$62,_xlpm.p),_xlpm.q,N(AU36)/_xlpm.f,IF(_xlpm.q&gt;=_xlpm.s,ROUND(_xlpm.q,1)&amp;" "&amp;_xlpm.ai_test&amp;" = "&amp;ROUND(_xlpm.q*_xlpm.f,1)&amp;" "&amp;_xlpm.u,ROUND(_xlpm.q,1)&amp;" "&amp;_xlpm.ai_test)),""),""))))</f>
        <v>0</v>
      </c>
      <c r="AX36" s="6218"/>
      <c r="AY36" s="6271">
        <f t="shared" si="30"/>
        <v>0</v>
      </c>
      <c r="AZ36" s="6242" t="str">
        <f t="shared" si="31"/>
        <v/>
      </c>
      <c r="BA36" s="6194">
        <f t="shared" si="37"/>
        <v>0</v>
      </c>
      <c r="BB36" s="6192" t="str">
        <f t="shared" si="32"/>
        <v/>
      </c>
      <c r="BC36" s="6219"/>
      <c r="BD36" s="6221">
        <f t="shared" si="39"/>
        <v>0</v>
      </c>
      <c r="BE36" s="6220" t="str">
        <f t="shared" si="34"/>
        <v/>
      </c>
      <c r="BF36" s="4" t="s">
        <v>1</v>
      </c>
      <c r="BG36" s="6196">
        <f t="shared" si="35"/>
        <v>0</v>
      </c>
      <c r="BH36" s="6197">
        <f t="shared" si="36"/>
        <v>0</v>
      </c>
      <c r="BI36" s="187"/>
      <c r="BJ36" s="6703" t="s">
        <v>128</v>
      </c>
      <c r="BK36" s="6703" t="s">
        <v>9629</v>
      </c>
      <c r="BL36" s="6703" t="s">
        <v>9630</v>
      </c>
      <c r="BM36" s="6304">
        <f t="shared" si="40"/>
        <v>0.15</v>
      </c>
      <c r="BN36" s="6274" t="s">
        <v>8766</v>
      </c>
      <c r="BO36" s="6274" t="s">
        <v>8774</v>
      </c>
      <c r="BP36" s="223">
        <f t="shared" si="38"/>
        <v>7</v>
      </c>
      <c r="BQ36" s="222">
        <v>150</v>
      </c>
      <c r="BR36" s="187"/>
      <c r="BS36" s="187"/>
      <c r="BT36" s="187"/>
      <c r="BU36" s="187"/>
      <c r="BV36" s="187"/>
      <c r="BW36" s="187"/>
      <c r="BX36" s="20" t="str">
        <f t="shared" si="11"/>
        <v>►</v>
      </c>
      <c r="BY36" s="6940" t="s">
        <v>8678</v>
      </c>
      <c r="BZ36" s="6940"/>
      <c r="CA36" s="6940"/>
      <c r="CB36" s="6940"/>
      <c r="CC36" s="6940"/>
      <c r="CD36" s="5661"/>
      <c r="CE36" s="5716"/>
      <c r="CF36" s="5738"/>
      <c r="CG36" s="5705"/>
      <c r="CH36" s="5705"/>
      <c r="CI36" s="5705"/>
      <c r="CJ36" s="5705"/>
      <c r="CK36" s="5706"/>
      <c r="CM36" s="5716"/>
      <c r="CN36" s="5738"/>
      <c r="CO36" s="5705"/>
      <c r="CP36" s="5705"/>
      <c r="CQ36" s="5705"/>
      <c r="CR36" s="5705"/>
      <c r="CS36" s="5706"/>
      <c r="CU36" s="5716"/>
      <c r="CV36" s="5738"/>
      <c r="CW36" s="5705"/>
      <c r="CX36" s="5705"/>
      <c r="CY36" s="5705"/>
      <c r="CZ36" s="5705"/>
      <c r="DA36" s="5706"/>
      <c r="DC36" s="5">
        <v>1</v>
      </c>
    </row>
    <row r="37" spans="1:107" s="1" customFormat="1" ht="21" customHeight="1">
      <c r="A37" s="5641" t="s">
        <v>1</v>
      </c>
      <c r="B37" s="5662" t="str">
        <f t="shared" si="10"/>
        <v>►</v>
      </c>
      <c r="C37" s="5825" cm="1">
        <f t="array" ref="C37">SUMPRODUCT(LEN(D37:J37))</f>
        <v>0</v>
      </c>
      <c r="D37" s="5275"/>
      <c r="E37" s="1361"/>
      <c r="F37" s="1361"/>
      <c r="G37" s="1361"/>
      <c r="H37" s="1361"/>
      <c r="I37" s="1361"/>
      <c r="J37" s="5276"/>
      <c r="K37" s="106" t="s">
        <v>1</v>
      </c>
      <c r="L37" s="1021" t="s">
        <v>26</v>
      </c>
      <c r="M37" s="6787"/>
      <c r="N37" s="6787"/>
      <c r="O37" s="6787"/>
      <c r="P37" s="6788"/>
      <c r="Q37" s="6789"/>
      <c r="R37" s="6790"/>
      <c r="S37" s="6786"/>
      <c r="T37" s="6791"/>
      <c r="U37" s="6844"/>
      <c r="V37" s="6791"/>
      <c r="W37" s="8487"/>
      <c r="X37" s="6871"/>
      <c r="Y37" s="6793"/>
      <c r="Z37" s="6794"/>
      <c r="AA37" s="6795"/>
      <c r="AB37" s="6796"/>
      <c r="AC37" s="6797"/>
      <c r="AD37" s="6798"/>
      <c r="AE37" s="4" t="s">
        <v>1</v>
      </c>
      <c r="AF37" s="6202" t="str">
        <f t="shared" si="16"/>
        <v>►</v>
      </c>
      <c r="AG37" s="6234" t="str">
        <f t="shared" si="17"/>
        <v/>
      </c>
      <c r="AH37" s="6732" t="str">
        <f t="shared" si="18"/>
        <v/>
      </c>
      <c r="AI37" s="6234" t="str">
        <f t="shared" si="19"/>
        <v/>
      </c>
      <c r="AJ37" s="6732" t="str">
        <f t="shared" si="20"/>
        <v/>
      </c>
      <c r="AK37" s="6732">
        <f t="shared" si="21"/>
        <v>0</v>
      </c>
      <c r="AL37" s="6230" t="str" cm="1">
        <f t="array" ref="AL37">IF(AF37&lt;&gt;"A","",IFERROR((IFERROR(_xlfn.XLOOKUP(TRIM(SUBSTITUTE(U37,CHAR(160)," ")),$BJ$15:$BJ$62,$BM$15:$BM$62),IFERROR(_xlfn.XLOOKUP(TRIM(SUBSTITUTE(U37,CHAR(160)," ")),$BK$15:$BK$62,$BM$15:$BM$62),_xlfn.XLOOKUP(TRIM(SUBSTITUTE(U37,CHAR(160)," ")),$BL$15:$BL$62,$BM$15:$BM$62))))*T37*IF(ISBLANK(Q37),1,Q37)+IFERROR(_xlfn.XLOOKUP("RECHERCHEX",TRIM(L37:AD37),L37:AD37),0),0))</f>
        <v/>
      </c>
      <c r="AM37" s="6229">
        <f t="shared" si="22"/>
        <v>0</v>
      </c>
      <c r="AN37" s="6857" t="str">
        <f t="shared" si="41"/>
        <v/>
      </c>
      <c r="AO37" s="392">
        <f t="shared" si="24"/>
        <v>0</v>
      </c>
      <c r="AP37" s="392">
        <f t="shared" si="25"/>
        <v>0</v>
      </c>
      <c r="AQ37" s="6191">
        <f t="shared" si="26"/>
        <v>0</v>
      </c>
      <c r="AR37" s="6859" t="str">
        <f t="shared" si="27"/>
        <v/>
      </c>
      <c r="AS37" s="6217"/>
      <c r="AT37" s="6217"/>
      <c r="AU37" s="6272">
        <f t="shared" si="28"/>
        <v>0</v>
      </c>
      <c r="AV37" s="6240">
        <f t="shared" si="29"/>
        <v>0</v>
      </c>
      <c r="AW37" s="6189" cm="1">
        <f t="array" ref="AW37">IF(AK37&lt;&gt;1,0,IF(OR(AU37="",N(AU37)&lt;=0.000000001),"",IF(OR(AO37="",N(AO37)&lt;=0.000000001),0,IF(ISNUMBER(AU37),IFERROR(_xlfn.LET(_xlpm.ai_test,TRIM(AJ37),_xlpm.r,IFERROR(_xlfn.XLOOKUP(_xlpm.ai_test,$BJ$15:$BJ$62,ROW($BJ$15:$BJ$62),0,1),IFERROR(_xlfn.XLOOKUP(_xlpm.ai_test,$BK$15:$BK$62,ROW($BK$15:$BK$62),0,1),_xlfn.XLOOKUP(_xlpm.ai_test,$BL$15:$BL$62,ROW($BL$15:$BL$62),0,1))),_xlpm.p,_xlpm.r-MIN(ROW($BJ$15:$BJ$62))+1,_xlpm.f,INDEX($BM$15:$BM$62,_xlpm.p),_xlpm.u,INDEX($BN$15:$BN$62,_xlpm.p),_xlpm.s,INDEX($BP$15:$BP$62,_xlpm.p),_xlpm.q,N(AU37)/_xlpm.f,IF(_xlpm.q&gt;=_xlpm.s,ROUND(_xlpm.q,1)&amp;" "&amp;_xlpm.ai_test&amp;" = "&amp;ROUND(_xlpm.q*_xlpm.f,1)&amp;" "&amp;_xlpm.u,ROUND(_xlpm.q,1)&amp;" "&amp;_xlpm.ai_test)),""),""))))</f>
        <v>0</v>
      </c>
      <c r="AX37" s="6218"/>
      <c r="AY37" s="6272">
        <f t="shared" si="30"/>
        <v>0</v>
      </c>
      <c r="AZ37" s="6240" t="str">
        <f t="shared" si="31"/>
        <v/>
      </c>
      <c r="BA37" s="6195">
        <f t="shared" si="37"/>
        <v>0</v>
      </c>
      <c r="BB37" s="6193" t="str">
        <f t="shared" si="32"/>
        <v/>
      </c>
      <c r="BC37" s="6219"/>
      <c r="BD37" s="6222">
        <f t="shared" si="39"/>
        <v>0</v>
      </c>
      <c r="BE37" s="6220" t="str">
        <f t="shared" si="34"/>
        <v/>
      </c>
      <c r="BF37" s="4" t="s">
        <v>1</v>
      </c>
      <c r="BG37" s="6196">
        <f t="shared" si="35"/>
        <v>0</v>
      </c>
      <c r="BH37" s="6197">
        <f t="shared" si="36"/>
        <v>0</v>
      </c>
      <c r="BI37" s="187"/>
      <c r="BJ37" s="6703" t="s">
        <v>126</v>
      </c>
      <c r="BK37" s="6281" t="s">
        <v>9631</v>
      </c>
      <c r="BL37" s="6294" t="s">
        <v>9632</v>
      </c>
      <c r="BM37" s="6304">
        <f t="shared" si="40"/>
        <v>0.35</v>
      </c>
      <c r="BN37" s="6274" t="s">
        <v>8766</v>
      </c>
      <c r="BO37" s="6274" t="s">
        <v>8774</v>
      </c>
      <c r="BP37" s="223">
        <f t="shared" si="38"/>
        <v>3</v>
      </c>
      <c r="BQ37" s="222">
        <v>350</v>
      </c>
      <c r="BR37" s="187"/>
      <c r="BS37" s="187"/>
      <c r="BT37" s="187"/>
      <c r="BU37" s="187"/>
      <c r="BV37" s="187"/>
      <c r="BW37" s="187"/>
      <c r="BX37" s="20" t="str">
        <f t="shared" si="11"/>
        <v>►</v>
      </c>
      <c r="BY37" s="6940"/>
      <c r="BZ37" s="6940"/>
      <c r="CA37" s="6940"/>
      <c r="CB37" s="6940"/>
      <c r="CC37" s="6940"/>
      <c r="CD37" s="5661"/>
      <c r="CE37" s="5879" t="s">
        <v>8523</v>
      </c>
      <c r="CF37" s="5880"/>
      <c r="CG37" s="5880"/>
      <c r="CH37" s="955"/>
      <c r="CI37" s="955"/>
      <c r="CJ37" s="955"/>
      <c r="CK37" s="956"/>
      <c r="CM37" s="5879" t="s">
        <v>8783</v>
      </c>
      <c r="CN37" s="5880"/>
      <c r="CO37" s="5880"/>
      <c r="CP37" s="955"/>
      <c r="CQ37" s="955"/>
      <c r="CR37" s="955"/>
      <c r="CS37" s="956"/>
      <c r="CU37" s="5879" t="s">
        <v>8796</v>
      </c>
      <c r="CV37" s="5880"/>
      <c r="CW37" s="5880"/>
      <c r="CX37" s="955"/>
      <c r="CY37" s="955"/>
      <c r="CZ37" s="955"/>
      <c r="DA37" s="956"/>
      <c r="DC37" s="5">
        <v>1</v>
      </c>
    </row>
    <row r="38" spans="1:107" s="1" customFormat="1" ht="21" customHeight="1">
      <c r="A38" s="5641" t="s">
        <v>1</v>
      </c>
      <c r="B38" s="5662" t="str">
        <f t="shared" si="10"/>
        <v>►</v>
      </c>
      <c r="C38" s="5825" cm="1">
        <f t="array" ref="C38">SUMPRODUCT(LEN(D38:J38))</f>
        <v>0</v>
      </c>
      <c r="D38" s="5275"/>
      <c r="E38" s="1361"/>
      <c r="F38" s="1361"/>
      <c r="G38" s="1361"/>
      <c r="H38" s="1361"/>
      <c r="I38" s="1361"/>
      <c r="J38" s="5276"/>
      <c r="K38" s="106" t="s">
        <v>1</v>
      </c>
      <c r="L38" s="1021" t="s">
        <v>26</v>
      </c>
      <c r="M38" s="6787"/>
      <c r="N38" s="6787"/>
      <c r="O38" s="6787"/>
      <c r="P38" s="6788"/>
      <c r="Q38" s="6789"/>
      <c r="R38" s="6790"/>
      <c r="S38" s="6786"/>
      <c r="T38" s="6791"/>
      <c r="U38" s="6844"/>
      <c r="V38" s="6791"/>
      <c r="W38" s="8487"/>
      <c r="X38" s="6871"/>
      <c r="Y38" s="6793"/>
      <c r="Z38" s="6794"/>
      <c r="AA38" s="6795"/>
      <c r="AB38" s="6796"/>
      <c r="AC38" s="6797"/>
      <c r="AD38" s="6798"/>
      <c r="AE38" s="4" t="s">
        <v>1</v>
      </c>
      <c r="AF38" s="6202" t="str">
        <f t="shared" si="16"/>
        <v>►</v>
      </c>
      <c r="AG38" s="6234" t="str">
        <f t="shared" si="17"/>
        <v/>
      </c>
      <c r="AH38" s="6732" t="str">
        <f t="shared" si="18"/>
        <v/>
      </c>
      <c r="AI38" s="6234" t="str">
        <f t="shared" si="19"/>
        <v/>
      </c>
      <c r="AJ38" s="6732" t="str">
        <f t="shared" si="20"/>
        <v/>
      </c>
      <c r="AK38" s="6732">
        <f t="shared" si="21"/>
        <v>0</v>
      </c>
      <c r="AL38" s="6230" t="str" cm="1">
        <f t="array" ref="AL38">IF(AF38&lt;&gt;"A","",IFERROR((IFERROR(_xlfn.XLOOKUP(TRIM(SUBSTITUTE(U38,CHAR(160)," ")),$BJ$15:$BJ$62,$BM$15:$BM$62),IFERROR(_xlfn.XLOOKUP(TRIM(SUBSTITUTE(U38,CHAR(160)," ")),$BK$15:$BK$62,$BM$15:$BM$62),_xlfn.XLOOKUP(TRIM(SUBSTITUTE(U38,CHAR(160)," ")),$BL$15:$BL$62,$BM$15:$BM$62))))*T38*IF(ISBLANK(Q38),1,Q38)+IFERROR(_xlfn.XLOOKUP("RECHERCHEX",TRIM(L38:AD38),L38:AD38),0),0))</f>
        <v/>
      </c>
      <c r="AM38" s="6229">
        <f t="shared" si="22"/>
        <v>0</v>
      </c>
      <c r="AN38" s="6857" t="str">
        <f t="shared" si="41"/>
        <v/>
      </c>
      <c r="AO38" s="392">
        <f t="shared" si="24"/>
        <v>0</v>
      </c>
      <c r="AP38" s="392">
        <f t="shared" si="25"/>
        <v>0</v>
      </c>
      <c r="AQ38" s="6190">
        <f t="shared" si="26"/>
        <v>0</v>
      </c>
      <c r="AR38" s="6858" t="str">
        <f t="shared" si="27"/>
        <v/>
      </c>
      <c r="AS38" s="6217"/>
      <c r="AT38" s="6217"/>
      <c r="AU38" s="6271">
        <f t="shared" si="28"/>
        <v>0</v>
      </c>
      <c r="AV38" s="6242">
        <f t="shared" si="29"/>
        <v>0</v>
      </c>
      <c r="AW38" s="6188" cm="1">
        <f t="array" ref="AW38">IF(AK38&lt;&gt;1,0,IF(OR(AU38="",N(AU38)&lt;=0.000000001),"",IF(OR(AO38="",N(AO38)&lt;=0.000000001),0,IF(ISNUMBER(AU38),IFERROR(_xlfn.LET(_xlpm.ai_test,TRIM(AJ38),_xlpm.r,IFERROR(_xlfn.XLOOKUP(_xlpm.ai_test,$BJ$15:$BJ$62,ROW($BJ$15:$BJ$62),0,1),IFERROR(_xlfn.XLOOKUP(_xlpm.ai_test,$BK$15:$BK$62,ROW($BK$15:$BK$62),0,1),_xlfn.XLOOKUP(_xlpm.ai_test,$BL$15:$BL$62,ROW($BL$15:$BL$62),0,1))),_xlpm.p,_xlpm.r-MIN(ROW($BJ$15:$BJ$62))+1,_xlpm.f,INDEX($BM$15:$BM$62,_xlpm.p),_xlpm.u,INDEX($BN$15:$BN$62,_xlpm.p),_xlpm.s,INDEX($BP$15:$BP$62,_xlpm.p),_xlpm.q,N(AU38)/_xlpm.f,IF(_xlpm.q&gt;=_xlpm.s,ROUND(_xlpm.q,1)&amp;" "&amp;_xlpm.ai_test&amp;" = "&amp;ROUND(_xlpm.q*_xlpm.f,1)&amp;" "&amp;_xlpm.u,ROUND(_xlpm.q,1)&amp;" "&amp;_xlpm.ai_test)),""),""))))</f>
        <v>0</v>
      </c>
      <c r="AX38" s="6218"/>
      <c r="AY38" s="6271">
        <f t="shared" si="30"/>
        <v>0</v>
      </c>
      <c r="AZ38" s="6242" t="str">
        <f t="shared" si="31"/>
        <v/>
      </c>
      <c r="BA38" s="6194">
        <f t="shared" si="37"/>
        <v>0</v>
      </c>
      <c r="BB38" s="6192" t="str">
        <f t="shared" si="32"/>
        <v/>
      </c>
      <c r="BC38" s="6219"/>
      <c r="BD38" s="6221">
        <f t="shared" si="39"/>
        <v>0</v>
      </c>
      <c r="BE38" s="6220" t="str">
        <f t="shared" si="34"/>
        <v/>
      </c>
      <c r="BF38" s="4" t="s">
        <v>1</v>
      </c>
      <c r="BG38" s="6196">
        <f t="shared" si="35"/>
        <v>0</v>
      </c>
      <c r="BH38" s="6197">
        <f t="shared" si="36"/>
        <v>0</v>
      </c>
      <c r="BI38" s="187"/>
      <c r="BJ38" s="6703" t="s">
        <v>152</v>
      </c>
      <c r="BK38" s="6281" t="s">
        <v>9688</v>
      </c>
      <c r="BL38" s="6281" t="s">
        <v>9697</v>
      </c>
      <c r="BM38" s="6304">
        <f t="shared" si="40"/>
        <v>4.9299999999999995E-3</v>
      </c>
      <c r="BN38" s="6274" t="s">
        <v>8766</v>
      </c>
      <c r="BO38" s="6274" t="s">
        <v>8774</v>
      </c>
      <c r="BP38" s="223">
        <f t="shared" si="38"/>
        <v>203</v>
      </c>
      <c r="BQ38" s="236">
        <v>4.93</v>
      </c>
      <c r="BR38" s="187"/>
      <c r="BS38" s="187"/>
      <c r="BT38" s="187"/>
      <c r="BU38" s="187"/>
      <c r="BV38" s="187"/>
      <c r="BW38" s="187"/>
      <c r="BX38" s="20" t="str">
        <f t="shared" si="11"/>
        <v>►</v>
      </c>
      <c r="BY38" s="5819"/>
      <c r="BZ38" s="228"/>
      <c r="CA38" s="228"/>
      <c r="CB38" s="227"/>
      <c r="CC38" s="227"/>
      <c r="CD38" s="5661"/>
      <c r="CE38" s="6941" t="s">
        <v>10704</v>
      </c>
      <c r="CF38" s="6942"/>
      <c r="CG38" s="6942"/>
      <c r="CH38" s="6942"/>
      <c r="CI38" s="6942"/>
      <c r="CJ38" s="6942"/>
      <c r="CK38" s="6943"/>
      <c r="CM38" s="6941" t="s">
        <v>10705</v>
      </c>
      <c r="CN38" s="6942"/>
      <c r="CO38" s="6942"/>
      <c r="CP38" s="6942"/>
      <c r="CQ38" s="6942"/>
      <c r="CR38" s="6942"/>
      <c r="CS38" s="6943"/>
      <c r="CU38" s="6941" t="s">
        <v>10706</v>
      </c>
      <c r="CV38" s="6942"/>
      <c r="CW38" s="6942"/>
      <c r="CX38" s="6942"/>
      <c r="CY38" s="6942"/>
      <c r="CZ38" s="6942"/>
      <c r="DA38" s="6943"/>
      <c r="DC38" s="5">
        <v>1</v>
      </c>
    </row>
    <row r="39" spans="1:107" s="1" customFormat="1" ht="21" customHeight="1">
      <c r="A39" s="5641" t="s">
        <v>1</v>
      </c>
      <c r="B39" s="5662" t="str">
        <f t="shared" si="10"/>
        <v>►</v>
      </c>
      <c r="C39" s="5825" cm="1">
        <f t="array" ref="C39">SUMPRODUCT(LEN(D39:J39))</f>
        <v>0</v>
      </c>
      <c r="D39" s="5275"/>
      <c r="E39" s="1361"/>
      <c r="F39" s="1361"/>
      <c r="G39" s="1361"/>
      <c r="H39" s="1361"/>
      <c r="I39" s="1361"/>
      <c r="J39" s="5276"/>
      <c r="K39" s="106"/>
      <c r="L39" s="1021" t="s">
        <v>26</v>
      </c>
      <c r="M39" s="6787"/>
      <c r="N39" s="6787"/>
      <c r="O39" s="6787"/>
      <c r="P39" s="6788"/>
      <c r="Q39" s="6789"/>
      <c r="R39" s="6790"/>
      <c r="S39" s="6786"/>
      <c r="T39" s="6791"/>
      <c r="U39" s="6844"/>
      <c r="V39" s="6791"/>
      <c r="W39" s="8487"/>
      <c r="X39" s="6871"/>
      <c r="Y39" s="6793"/>
      <c r="Z39" s="6794"/>
      <c r="AA39" s="6795"/>
      <c r="AB39" s="6796"/>
      <c r="AC39" s="6797"/>
      <c r="AD39" s="6798"/>
      <c r="AE39" s="4" t="s">
        <v>1</v>
      </c>
      <c r="AF39" s="6202" t="str">
        <f t="shared" si="16"/>
        <v>►</v>
      </c>
      <c r="AG39" s="6234" t="str">
        <f t="shared" si="17"/>
        <v/>
      </c>
      <c r="AH39" s="6732" t="str">
        <f t="shared" si="18"/>
        <v/>
      </c>
      <c r="AI39" s="6234" t="str">
        <f t="shared" si="19"/>
        <v/>
      </c>
      <c r="AJ39" s="6732" t="str">
        <f t="shared" si="20"/>
        <v/>
      </c>
      <c r="AK39" s="6732">
        <f t="shared" si="21"/>
        <v>0</v>
      </c>
      <c r="AL39" s="6230" t="str" cm="1">
        <f t="array" ref="AL39">IF(AF39&lt;&gt;"A","",IFERROR((IFERROR(_xlfn.XLOOKUP(TRIM(SUBSTITUTE(U39,CHAR(160)," ")),$BJ$15:$BJ$62,$BM$15:$BM$62),IFERROR(_xlfn.XLOOKUP(TRIM(SUBSTITUTE(U39,CHAR(160)," ")),$BK$15:$BK$62,$BM$15:$BM$62),_xlfn.XLOOKUP(TRIM(SUBSTITUTE(U39,CHAR(160)," ")),$BL$15:$BL$62,$BM$15:$BM$62))))*T39*IF(ISBLANK(Q39),1,Q39)+IFERROR(_xlfn.XLOOKUP("RECHERCHEX",TRIM(L39:AD39),L39:AD39),0),0))</f>
        <v/>
      </c>
      <c r="AM39" s="6229">
        <f t="shared" si="22"/>
        <v>0</v>
      </c>
      <c r="AN39" s="6857" t="str">
        <f t="shared" si="41"/>
        <v/>
      </c>
      <c r="AO39" s="392">
        <f t="shared" si="24"/>
        <v>0</v>
      </c>
      <c r="AP39" s="392">
        <f t="shared" si="25"/>
        <v>0</v>
      </c>
      <c r="AQ39" s="6191">
        <f t="shared" si="26"/>
        <v>0</v>
      </c>
      <c r="AR39" s="6859" t="str">
        <f t="shared" si="27"/>
        <v/>
      </c>
      <c r="AS39" s="6217"/>
      <c r="AT39" s="6217"/>
      <c r="AU39" s="6272">
        <f t="shared" si="28"/>
        <v>0</v>
      </c>
      <c r="AV39" s="6240">
        <f t="shared" si="29"/>
        <v>0</v>
      </c>
      <c r="AW39" s="6189" cm="1">
        <f t="array" ref="AW39">IF(AK39&lt;&gt;1,0,IF(OR(AU39="",N(AU39)&lt;=0.000000001),"",IF(OR(AO39="",N(AO39)&lt;=0.000000001),0,IF(ISNUMBER(AU39),IFERROR(_xlfn.LET(_xlpm.ai_test,TRIM(AJ39),_xlpm.r,IFERROR(_xlfn.XLOOKUP(_xlpm.ai_test,$BJ$15:$BJ$62,ROW($BJ$15:$BJ$62),0,1),IFERROR(_xlfn.XLOOKUP(_xlpm.ai_test,$BK$15:$BK$62,ROW($BK$15:$BK$62),0,1),_xlfn.XLOOKUP(_xlpm.ai_test,$BL$15:$BL$62,ROW($BL$15:$BL$62),0,1))),_xlpm.p,_xlpm.r-MIN(ROW($BJ$15:$BJ$62))+1,_xlpm.f,INDEX($BM$15:$BM$62,_xlpm.p),_xlpm.u,INDEX($BN$15:$BN$62,_xlpm.p),_xlpm.s,INDEX($BP$15:$BP$62,_xlpm.p),_xlpm.q,N(AU39)/_xlpm.f,IF(_xlpm.q&gt;=_xlpm.s,ROUND(_xlpm.q,1)&amp;" "&amp;_xlpm.ai_test&amp;" = "&amp;ROUND(_xlpm.q*_xlpm.f,1)&amp;" "&amp;_xlpm.u,ROUND(_xlpm.q,1)&amp;" "&amp;_xlpm.ai_test)),""),""))))</f>
        <v>0</v>
      </c>
      <c r="AX39" s="6218"/>
      <c r="AY39" s="6272">
        <f t="shared" si="30"/>
        <v>0</v>
      </c>
      <c r="AZ39" s="6240" t="str">
        <f t="shared" si="31"/>
        <v/>
      </c>
      <c r="BA39" s="6195">
        <f t="shared" si="37"/>
        <v>0</v>
      </c>
      <c r="BB39" s="6193" t="str">
        <f t="shared" si="32"/>
        <v/>
      </c>
      <c r="BC39" s="6219"/>
      <c r="BD39" s="6222">
        <f t="shared" si="39"/>
        <v>0</v>
      </c>
      <c r="BE39" s="6220" t="str">
        <f t="shared" si="34"/>
        <v/>
      </c>
      <c r="BF39" s="4" t="s">
        <v>1</v>
      </c>
      <c r="BG39" s="6196">
        <f t="shared" si="35"/>
        <v>0</v>
      </c>
      <c r="BH39" s="6197">
        <f t="shared" si="36"/>
        <v>0</v>
      </c>
      <c r="BI39" s="187"/>
      <c r="BJ39" s="6703" t="s">
        <v>143</v>
      </c>
      <c r="BK39" s="6281" t="s">
        <v>9689</v>
      </c>
      <c r="BL39" s="6281" t="s">
        <v>9698</v>
      </c>
      <c r="BM39" s="6304">
        <f t="shared" si="40"/>
        <v>5.0000000000000001E-3</v>
      </c>
      <c r="BN39" s="6274" t="s">
        <v>8766</v>
      </c>
      <c r="BO39" s="6274" t="s">
        <v>8774</v>
      </c>
      <c r="BP39" s="223">
        <f t="shared" si="38"/>
        <v>200</v>
      </c>
      <c r="BQ39" s="222">
        <v>5</v>
      </c>
      <c r="BR39" s="187"/>
      <c r="BS39" s="187"/>
      <c r="BT39" s="187"/>
      <c r="BU39" s="187"/>
      <c r="BV39" s="187"/>
      <c r="BW39" s="187"/>
      <c r="BX39" s="20" t="str">
        <f t="shared" si="11"/>
        <v>►</v>
      </c>
      <c r="BY39" s="5819"/>
      <c r="BZ39" s="228"/>
      <c r="CA39" s="228"/>
      <c r="CB39" s="227"/>
      <c r="CC39" s="227"/>
      <c r="CD39" s="5661"/>
      <c r="CE39" s="6941"/>
      <c r="CF39" s="6942"/>
      <c r="CG39" s="6942"/>
      <c r="CH39" s="6942"/>
      <c r="CI39" s="6942"/>
      <c r="CJ39" s="6942"/>
      <c r="CK39" s="6943"/>
      <c r="CM39" s="6941"/>
      <c r="CN39" s="6942"/>
      <c r="CO39" s="6942"/>
      <c r="CP39" s="6942"/>
      <c r="CQ39" s="6942"/>
      <c r="CR39" s="6942"/>
      <c r="CS39" s="6943"/>
      <c r="CU39" s="6941"/>
      <c r="CV39" s="6942"/>
      <c r="CW39" s="6942"/>
      <c r="CX39" s="6942"/>
      <c r="CY39" s="6942"/>
      <c r="CZ39" s="6942"/>
      <c r="DA39" s="6943"/>
      <c r="DC39" s="5">
        <v>1</v>
      </c>
    </row>
    <row r="40" spans="1:107" s="1" customFormat="1" ht="21" customHeight="1">
      <c r="A40" s="5641" t="s">
        <v>1</v>
      </c>
      <c r="B40" s="5662" t="str">
        <f t="shared" si="10"/>
        <v>►</v>
      </c>
      <c r="C40" s="5825" cm="1">
        <f t="array" ref="C40">SUMPRODUCT(LEN(D40:J40))</f>
        <v>0</v>
      </c>
      <c r="D40" s="5275"/>
      <c r="E40" s="1361"/>
      <c r="F40" s="1361"/>
      <c r="G40" s="1361"/>
      <c r="H40" s="1361"/>
      <c r="I40" s="1361"/>
      <c r="J40" s="5276"/>
      <c r="K40" s="106"/>
      <c r="L40" s="1021" t="s">
        <v>26</v>
      </c>
      <c r="M40" s="6787"/>
      <c r="N40" s="6787"/>
      <c r="O40" s="6787"/>
      <c r="P40" s="6788"/>
      <c r="Q40" s="6789"/>
      <c r="R40" s="6790"/>
      <c r="S40" s="6786"/>
      <c r="T40" s="6791"/>
      <c r="U40" s="6844"/>
      <c r="V40" s="6791"/>
      <c r="W40" s="8487"/>
      <c r="X40" s="6871"/>
      <c r="Y40" s="6793"/>
      <c r="Z40" s="6794"/>
      <c r="AA40" s="6795"/>
      <c r="AB40" s="6796"/>
      <c r="AC40" s="6797"/>
      <c r="AD40" s="6798"/>
      <c r="AE40" s="4" t="s">
        <v>1</v>
      </c>
      <c r="AF40" s="6202" t="str">
        <f t="shared" si="16"/>
        <v>►</v>
      </c>
      <c r="AG40" s="6234" t="str">
        <f t="shared" si="17"/>
        <v/>
      </c>
      <c r="AH40" s="6732" t="str">
        <f t="shared" si="18"/>
        <v/>
      </c>
      <c r="AI40" s="6234" t="str">
        <f t="shared" si="19"/>
        <v/>
      </c>
      <c r="AJ40" s="6732" t="str">
        <f t="shared" si="20"/>
        <v/>
      </c>
      <c r="AK40" s="6732">
        <f t="shared" si="21"/>
        <v>0</v>
      </c>
      <c r="AL40" s="6230" t="str" cm="1">
        <f t="array" ref="AL40">IF(AF40&lt;&gt;"A","",IFERROR((IFERROR(_xlfn.XLOOKUP(TRIM(SUBSTITUTE(U40,CHAR(160)," ")),$BJ$15:$BJ$62,$BM$15:$BM$62),IFERROR(_xlfn.XLOOKUP(TRIM(SUBSTITUTE(U40,CHAR(160)," ")),$BK$15:$BK$62,$BM$15:$BM$62),_xlfn.XLOOKUP(TRIM(SUBSTITUTE(U40,CHAR(160)," ")),$BL$15:$BL$62,$BM$15:$BM$62))))*T40*IF(ISBLANK(Q40),1,Q40)+IFERROR(_xlfn.XLOOKUP("RECHERCHEX",TRIM(L40:AD40),L40:AD40),0),0))</f>
        <v/>
      </c>
      <c r="AM40" s="6229">
        <f t="shared" si="22"/>
        <v>0</v>
      </c>
      <c r="AN40" s="6857" t="str">
        <f t="shared" si="41"/>
        <v/>
      </c>
      <c r="AO40" s="392">
        <f t="shared" si="24"/>
        <v>0</v>
      </c>
      <c r="AP40" s="392">
        <f t="shared" si="25"/>
        <v>0</v>
      </c>
      <c r="AQ40" s="6190">
        <f t="shared" si="26"/>
        <v>0</v>
      </c>
      <c r="AR40" s="6858" t="str">
        <f t="shared" si="27"/>
        <v/>
      </c>
      <c r="AS40" s="6217"/>
      <c r="AT40" s="6217"/>
      <c r="AU40" s="6271">
        <f t="shared" si="28"/>
        <v>0</v>
      </c>
      <c r="AV40" s="6242">
        <f t="shared" si="29"/>
        <v>0</v>
      </c>
      <c r="AW40" s="6188" cm="1">
        <f t="array" ref="AW40">IF(AK40&lt;&gt;1,0,IF(OR(AU40="",N(AU40)&lt;=0.000000001),"",IF(OR(AO40="",N(AO40)&lt;=0.000000001),0,IF(ISNUMBER(AU40),IFERROR(_xlfn.LET(_xlpm.ai_test,TRIM(AJ40),_xlpm.r,IFERROR(_xlfn.XLOOKUP(_xlpm.ai_test,$BJ$15:$BJ$62,ROW($BJ$15:$BJ$62),0,1),IFERROR(_xlfn.XLOOKUP(_xlpm.ai_test,$BK$15:$BK$62,ROW($BK$15:$BK$62),0,1),_xlfn.XLOOKUP(_xlpm.ai_test,$BL$15:$BL$62,ROW($BL$15:$BL$62),0,1))),_xlpm.p,_xlpm.r-MIN(ROW($BJ$15:$BJ$62))+1,_xlpm.f,INDEX($BM$15:$BM$62,_xlpm.p),_xlpm.u,INDEX($BN$15:$BN$62,_xlpm.p),_xlpm.s,INDEX($BP$15:$BP$62,_xlpm.p),_xlpm.q,N(AU40)/_xlpm.f,IF(_xlpm.q&gt;=_xlpm.s,ROUND(_xlpm.q,1)&amp;" "&amp;_xlpm.ai_test&amp;" = "&amp;ROUND(_xlpm.q*_xlpm.f,1)&amp;" "&amp;_xlpm.u,ROUND(_xlpm.q,1)&amp;" "&amp;_xlpm.ai_test)),""),""))))</f>
        <v>0</v>
      </c>
      <c r="AX40" s="6218"/>
      <c r="AY40" s="6271">
        <f t="shared" si="30"/>
        <v>0</v>
      </c>
      <c r="AZ40" s="6242" t="str">
        <f t="shared" si="31"/>
        <v/>
      </c>
      <c r="BA40" s="6194">
        <f t="shared" si="37"/>
        <v>0</v>
      </c>
      <c r="BB40" s="6192" t="str">
        <f t="shared" si="32"/>
        <v/>
      </c>
      <c r="BC40" s="6219"/>
      <c r="BD40" s="6221">
        <f t="shared" si="39"/>
        <v>0</v>
      </c>
      <c r="BE40" s="6220" t="str">
        <f t="shared" si="34"/>
        <v/>
      </c>
      <c r="BF40" s="4" t="s">
        <v>1</v>
      </c>
      <c r="BG40" s="6196">
        <f t="shared" si="35"/>
        <v>0</v>
      </c>
      <c r="BH40" s="6197">
        <f t="shared" si="36"/>
        <v>0</v>
      </c>
      <c r="BI40" s="187"/>
      <c r="BJ40" s="6289" t="s">
        <v>122</v>
      </c>
      <c r="BK40" s="6289" t="s">
        <v>122</v>
      </c>
      <c r="BL40" s="6289" t="s">
        <v>9633</v>
      </c>
      <c r="BM40" s="6304">
        <f t="shared" si="40"/>
        <v>2.835E-2</v>
      </c>
      <c r="BN40" s="240" t="s">
        <v>111</v>
      </c>
      <c r="BO40" s="240" t="s">
        <v>8773</v>
      </c>
      <c r="BP40" s="223">
        <f t="shared" si="38"/>
        <v>35</v>
      </c>
      <c r="BQ40" s="245">
        <v>28.35</v>
      </c>
      <c r="BR40" s="187"/>
      <c r="BS40" s="187"/>
      <c r="BT40" s="187"/>
      <c r="BU40" s="187"/>
      <c r="BV40" s="187"/>
      <c r="BW40" s="187"/>
      <c r="BX40" s="20" t="str">
        <f t="shared" si="11"/>
        <v>►</v>
      </c>
      <c r="BY40" s="5819"/>
      <c r="BZ40" s="228"/>
      <c r="CA40" s="228"/>
      <c r="CB40" s="227"/>
      <c r="CC40" s="227"/>
      <c r="CD40" s="5661"/>
      <c r="CE40" s="1160"/>
      <c r="CF40" s="141"/>
      <c r="CG40" s="141"/>
      <c r="CH40" s="141"/>
      <c r="CI40" s="141"/>
      <c r="CJ40" s="141"/>
      <c r="CK40" s="409"/>
      <c r="CM40" s="1160"/>
      <c r="CN40" s="141"/>
      <c r="CO40" s="141"/>
      <c r="CP40" s="141"/>
      <c r="CQ40" s="141"/>
      <c r="CR40" s="141"/>
      <c r="CS40" s="409"/>
      <c r="CU40" s="1160"/>
      <c r="CV40" s="141"/>
      <c r="CW40" s="141"/>
      <c r="CX40" s="141"/>
      <c r="CY40" s="141"/>
      <c r="CZ40" s="141"/>
      <c r="DA40" s="409"/>
      <c r="DC40" s="5">
        <v>1</v>
      </c>
    </row>
    <row r="41" spans="1:107" s="1" customFormat="1" ht="21" customHeight="1">
      <c r="A41" s="5641" t="s">
        <v>1</v>
      </c>
      <c r="B41" s="5662" t="str">
        <f t="shared" si="10"/>
        <v>►</v>
      </c>
      <c r="C41" s="5825" cm="1">
        <f t="array" ref="C41">SUMPRODUCT(LEN(D41:J41))</f>
        <v>0</v>
      </c>
      <c r="D41" s="5275"/>
      <c r="E41" s="1361"/>
      <c r="F41" s="1361"/>
      <c r="G41" s="1361"/>
      <c r="H41" s="1361"/>
      <c r="I41" s="1361"/>
      <c r="J41" s="5276"/>
      <c r="K41" s="106" t="s">
        <v>1</v>
      </c>
      <c r="L41" s="1021" t="s">
        <v>26</v>
      </c>
      <c r="M41" s="6787"/>
      <c r="N41" s="6787"/>
      <c r="O41" s="6787"/>
      <c r="P41" s="6788"/>
      <c r="Q41" s="6789"/>
      <c r="R41" s="6790"/>
      <c r="S41" s="6786"/>
      <c r="T41" s="6791"/>
      <c r="U41" s="6844"/>
      <c r="V41" s="6791"/>
      <c r="W41" s="8487"/>
      <c r="X41" s="6871"/>
      <c r="Y41" s="6793"/>
      <c r="Z41" s="6794"/>
      <c r="AA41" s="6795"/>
      <c r="AB41" s="6796"/>
      <c r="AC41" s="6797"/>
      <c r="AD41" s="6798"/>
      <c r="AE41" s="4" t="s">
        <v>1</v>
      </c>
      <c r="AF41" s="6202" t="str">
        <f t="shared" si="16"/>
        <v>►</v>
      </c>
      <c r="AG41" s="6234" t="str">
        <f t="shared" si="17"/>
        <v/>
      </c>
      <c r="AH41" s="6732" t="str">
        <f t="shared" si="18"/>
        <v/>
      </c>
      <c r="AI41" s="6234" t="str">
        <f t="shared" si="19"/>
        <v/>
      </c>
      <c r="AJ41" s="6732" t="str">
        <f t="shared" si="20"/>
        <v/>
      </c>
      <c r="AK41" s="6732">
        <f t="shared" si="21"/>
        <v>0</v>
      </c>
      <c r="AL41" s="6230" t="str" cm="1">
        <f t="array" ref="AL41">IF(AF41&lt;&gt;"A","",IFERROR((IFERROR(_xlfn.XLOOKUP(TRIM(SUBSTITUTE(U41,CHAR(160)," ")),$BJ$15:$BJ$62,$BM$15:$BM$62),IFERROR(_xlfn.XLOOKUP(TRIM(SUBSTITUTE(U41,CHAR(160)," ")),$BK$15:$BK$62,$BM$15:$BM$62),_xlfn.XLOOKUP(TRIM(SUBSTITUTE(U41,CHAR(160)," ")),$BL$15:$BL$62,$BM$15:$BM$62))))*T41*IF(ISBLANK(Q41),1,Q41)+IFERROR(_xlfn.XLOOKUP("RECHERCHEX",TRIM(L41:AD41),L41:AD41),0),0))</f>
        <v/>
      </c>
      <c r="AM41" s="6229">
        <f t="shared" si="22"/>
        <v>0</v>
      </c>
      <c r="AN41" s="6857" t="str">
        <f t="shared" si="41"/>
        <v/>
      </c>
      <c r="AO41" s="392">
        <f t="shared" si="24"/>
        <v>0</v>
      </c>
      <c r="AP41" s="392">
        <f t="shared" si="25"/>
        <v>0</v>
      </c>
      <c r="AQ41" s="6191">
        <f t="shared" si="26"/>
        <v>0</v>
      </c>
      <c r="AR41" s="6859" t="str">
        <f t="shared" si="27"/>
        <v/>
      </c>
      <c r="AS41" s="6217"/>
      <c r="AT41" s="6217"/>
      <c r="AU41" s="6272">
        <f t="shared" si="28"/>
        <v>0</v>
      </c>
      <c r="AV41" s="6240">
        <f t="shared" si="29"/>
        <v>0</v>
      </c>
      <c r="AW41" s="6189" cm="1">
        <f t="array" ref="AW41">IF(AK41&lt;&gt;1,0,IF(OR(AU41="",N(AU41)&lt;=0.000000001),"",IF(OR(AO41="",N(AO41)&lt;=0.000000001),0,IF(ISNUMBER(AU41),IFERROR(_xlfn.LET(_xlpm.ai_test,TRIM(AJ41),_xlpm.r,IFERROR(_xlfn.XLOOKUP(_xlpm.ai_test,$BJ$15:$BJ$62,ROW($BJ$15:$BJ$62),0,1),IFERROR(_xlfn.XLOOKUP(_xlpm.ai_test,$BK$15:$BK$62,ROW($BK$15:$BK$62),0,1),_xlfn.XLOOKUP(_xlpm.ai_test,$BL$15:$BL$62,ROW($BL$15:$BL$62),0,1))),_xlpm.p,_xlpm.r-MIN(ROW($BJ$15:$BJ$62))+1,_xlpm.f,INDEX($BM$15:$BM$62,_xlpm.p),_xlpm.u,INDEX($BN$15:$BN$62,_xlpm.p),_xlpm.s,INDEX($BP$15:$BP$62,_xlpm.p),_xlpm.q,N(AU41)/_xlpm.f,IF(_xlpm.q&gt;=_xlpm.s,ROUND(_xlpm.q,1)&amp;" "&amp;_xlpm.ai_test&amp;" = "&amp;ROUND(_xlpm.q*_xlpm.f,1)&amp;" "&amp;_xlpm.u,ROUND(_xlpm.q,1)&amp;" "&amp;_xlpm.ai_test)),""),""))))</f>
        <v>0</v>
      </c>
      <c r="AX41" s="6218"/>
      <c r="AY41" s="6272">
        <f t="shared" si="30"/>
        <v>0</v>
      </c>
      <c r="AZ41" s="6240" t="str">
        <f t="shared" si="31"/>
        <v/>
      </c>
      <c r="BA41" s="6195">
        <f t="shared" si="37"/>
        <v>0</v>
      </c>
      <c r="BB41" s="6193" t="str">
        <f t="shared" si="32"/>
        <v/>
      </c>
      <c r="BC41" s="6219"/>
      <c r="BD41" s="6222">
        <f t="shared" si="39"/>
        <v>0</v>
      </c>
      <c r="BE41" s="6220" t="str">
        <f t="shared" si="34"/>
        <v/>
      </c>
      <c r="BF41" s="4" t="s">
        <v>1</v>
      </c>
      <c r="BG41" s="6196">
        <f t="shared" si="35"/>
        <v>0</v>
      </c>
      <c r="BH41" s="6197">
        <f t="shared" si="36"/>
        <v>0</v>
      </c>
      <c r="BI41" s="187"/>
      <c r="BJ41" s="6704" t="s">
        <v>123</v>
      </c>
      <c r="BK41" s="6704" t="s">
        <v>9634</v>
      </c>
      <c r="BL41" s="6704" t="s">
        <v>9635</v>
      </c>
      <c r="BM41" s="6304">
        <f t="shared" si="40"/>
        <v>1.4E-2</v>
      </c>
      <c r="BN41" s="6274" t="s">
        <v>8766</v>
      </c>
      <c r="BO41" s="6274" t="s">
        <v>8774</v>
      </c>
      <c r="BP41" s="223">
        <f t="shared" si="38"/>
        <v>71</v>
      </c>
      <c r="BQ41" s="222">
        <v>14</v>
      </c>
      <c r="BR41" s="187"/>
      <c r="BS41" s="187"/>
      <c r="BT41" s="187"/>
      <c r="BU41" s="187"/>
      <c r="BV41" s="187"/>
      <c r="BW41" s="187"/>
      <c r="BX41" s="20" t="str">
        <f t="shared" si="11"/>
        <v>►</v>
      </c>
      <c r="BY41" s="5819"/>
      <c r="BZ41" s="228"/>
      <c r="CA41" s="228"/>
      <c r="CB41" s="227"/>
      <c r="CC41" s="227"/>
      <c r="CD41" s="5661"/>
      <c r="CE41" s="5903" t="s">
        <v>8525</v>
      </c>
      <c r="CF41" s="141"/>
      <c r="CG41" s="141"/>
      <c r="CH41" s="141"/>
      <c r="CI41" s="141"/>
      <c r="CJ41" s="141"/>
      <c r="CK41" s="409"/>
      <c r="CM41" s="5903" t="s">
        <v>8809</v>
      </c>
      <c r="CN41" s="141"/>
      <c r="CO41" s="141"/>
      <c r="CP41" s="141"/>
      <c r="CQ41" s="141"/>
      <c r="CR41" s="141"/>
      <c r="CS41" s="409"/>
      <c r="CU41" s="5903" t="s">
        <v>8821</v>
      </c>
      <c r="CV41" s="141"/>
      <c r="CW41" s="141"/>
      <c r="CX41" s="141"/>
      <c r="CY41" s="141"/>
      <c r="CZ41" s="141"/>
      <c r="DA41" s="409"/>
      <c r="DC41" s="5">
        <v>1</v>
      </c>
    </row>
    <row r="42" spans="1:107" s="1" customFormat="1" ht="21" customHeight="1">
      <c r="A42" s="5641" t="s">
        <v>1</v>
      </c>
      <c r="B42" s="5662" t="str">
        <f t="shared" si="10"/>
        <v>►</v>
      </c>
      <c r="C42" s="5825" cm="1">
        <f t="array" ref="C42">SUMPRODUCT(LEN(D42:J42))</f>
        <v>0</v>
      </c>
      <c r="D42" s="5275"/>
      <c r="E42" s="1361"/>
      <c r="F42" s="1361"/>
      <c r="G42" s="1361"/>
      <c r="H42" s="1361"/>
      <c r="I42" s="1361"/>
      <c r="J42" s="5276"/>
      <c r="K42" s="106" t="s">
        <v>1</v>
      </c>
      <c r="L42" s="1021" t="s">
        <v>26</v>
      </c>
      <c r="M42" s="6787"/>
      <c r="N42" s="6787"/>
      <c r="O42" s="6787"/>
      <c r="P42" s="6788"/>
      <c r="Q42" s="6789"/>
      <c r="R42" s="6790"/>
      <c r="S42" s="6786"/>
      <c r="T42" s="6791"/>
      <c r="U42" s="6844"/>
      <c r="V42" s="6791"/>
      <c r="W42" s="8487"/>
      <c r="X42" s="6871"/>
      <c r="Y42" s="6793"/>
      <c r="Z42" s="6794"/>
      <c r="AA42" s="6795"/>
      <c r="AB42" s="6796"/>
      <c r="AC42" s="6797"/>
      <c r="AD42" s="6798"/>
      <c r="AE42" s="4" t="s">
        <v>1</v>
      </c>
      <c r="AF42" s="6202" t="str">
        <f t="shared" si="16"/>
        <v>►</v>
      </c>
      <c r="AG42" s="6234" t="str">
        <f t="shared" si="17"/>
        <v/>
      </c>
      <c r="AH42" s="6732" t="str">
        <f t="shared" si="18"/>
        <v/>
      </c>
      <c r="AI42" s="6234" t="str">
        <f t="shared" si="19"/>
        <v/>
      </c>
      <c r="AJ42" s="6732" t="str">
        <f t="shared" si="20"/>
        <v/>
      </c>
      <c r="AK42" s="6732">
        <f t="shared" si="21"/>
        <v>0</v>
      </c>
      <c r="AL42" s="6230" t="str" cm="1">
        <f t="array" ref="AL42">IF(AF42&lt;&gt;"A","",IFERROR((IFERROR(_xlfn.XLOOKUP(TRIM(SUBSTITUTE(U42,CHAR(160)," ")),$BJ$15:$BJ$62,$BM$15:$BM$62),IFERROR(_xlfn.XLOOKUP(TRIM(SUBSTITUTE(U42,CHAR(160)," ")),$BK$15:$BK$62,$BM$15:$BM$62),_xlfn.XLOOKUP(TRIM(SUBSTITUTE(U42,CHAR(160)," ")),$BL$15:$BL$62,$BM$15:$BM$62))))*T42*IF(ISBLANK(Q42),1,Q42)+IFERROR(_xlfn.XLOOKUP("RECHERCHEX",TRIM(L42:AD42),L42:AD42),0),0))</f>
        <v/>
      </c>
      <c r="AM42" s="6229">
        <f t="shared" si="22"/>
        <v>0</v>
      </c>
      <c r="AN42" s="6857" t="str">
        <f t="shared" si="41"/>
        <v/>
      </c>
      <c r="AO42" s="392">
        <f t="shared" si="24"/>
        <v>0</v>
      </c>
      <c r="AP42" s="392">
        <f t="shared" si="25"/>
        <v>0</v>
      </c>
      <c r="AQ42" s="6190">
        <f t="shared" si="26"/>
        <v>0</v>
      </c>
      <c r="AR42" s="6858" t="str">
        <f t="shared" si="27"/>
        <v/>
      </c>
      <c r="AS42" s="6217"/>
      <c r="AT42" s="6217"/>
      <c r="AU42" s="6271">
        <f t="shared" si="28"/>
        <v>0</v>
      </c>
      <c r="AV42" s="6242">
        <f t="shared" si="29"/>
        <v>0</v>
      </c>
      <c r="AW42" s="6188" cm="1">
        <f t="array" ref="AW42">IF(AK42&lt;&gt;1,0,IF(OR(AU42="",N(AU42)&lt;=0.000000001),"",IF(OR(AO42="",N(AO42)&lt;=0.000000001),0,IF(ISNUMBER(AU42),IFERROR(_xlfn.LET(_xlpm.ai_test,TRIM(AJ42),_xlpm.r,IFERROR(_xlfn.XLOOKUP(_xlpm.ai_test,$BJ$15:$BJ$62,ROW($BJ$15:$BJ$62),0,1),IFERROR(_xlfn.XLOOKUP(_xlpm.ai_test,$BK$15:$BK$62,ROW($BK$15:$BK$62),0,1),_xlfn.XLOOKUP(_xlpm.ai_test,$BL$15:$BL$62,ROW($BL$15:$BL$62),0,1))),_xlpm.p,_xlpm.r-MIN(ROW($BJ$15:$BJ$62))+1,_xlpm.f,INDEX($BM$15:$BM$62,_xlpm.p),_xlpm.u,INDEX($BN$15:$BN$62,_xlpm.p),_xlpm.s,INDEX($BP$15:$BP$62,_xlpm.p),_xlpm.q,N(AU42)/_xlpm.f,IF(_xlpm.q&gt;=_xlpm.s,ROUND(_xlpm.q,1)&amp;" "&amp;_xlpm.ai_test&amp;" = "&amp;ROUND(_xlpm.q*_xlpm.f,1)&amp;" "&amp;_xlpm.u,ROUND(_xlpm.q,1)&amp;" "&amp;_xlpm.ai_test)),""),""))))</f>
        <v>0</v>
      </c>
      <c r="AX42" s="6218"/>
      <c r="AY42" s="6271">
        <f t="shared" si="30"/>
        <v>0</v>
      </c>
      <c r="AZ42" s="6242" t="str">
        <f t="shared" si="31"/>
        <v/>
      </c>
      <c r="BA42" s="6194">
        <f t="shared" si="37"/>
        <v>0</v>
      </c>
      <c r="BB42" s="6192" t="str">
        <f t="shared" si="32"/>
        <v/>
      </c>
      <c r="BC42" s="6219"/>
      <c r="BD42" s="6221">
        <f t="shared" si="39"/>
        <v>0</v>
      </c>
      <c r="BE42" s="6220" t="str">
        <f t="shared" si="34"/>
        <v/>
      </c>
      <c r="BF42" s="4" t="s">
        <v>1</v>
      </c>
      <c r="BG42" s="6196">
        <f t="shared" si="35"/>
        <v>0</v>
      </c>
      <c r="BH42" s="6197">
        <f t="shared" si="36"/>
        <v>0</v>
      </c>
      <c r="BI42" s="187"/>
      <c r="BJ42" s="6704" t="s">
        <v>8016</v>
      </c>
      <c r="BK42" s="6289" t="s">
        <v>9636</v>
      </c>
      <c r="BL42" s="6289" t="s">
        <v>9696</v>
      </c>
      <c r="BM42" s="6304">
        <f t="shared" si="40"/>
        <v>0.22500000000000001</v>
      </c>
      <c r="BN42" s="6274" t="s">
        <v>8766</v>
      </c>
      <c r="BO42" s="6274" t="s">
        <v>8774</v>
      </c>
      <c r="BP42" s="223">
        <f t="shared" si="38"/>
        <v>4</v>
      </c>
      <c r="BQ42" s="222">
        <v>225</v>
      </c>
      <c r="BR42" s="187"/>
      <c r="BS42" s="187"/>
      <c r="BT42" s="187"/>
      <c r="BU42" s="187"/>
      <c r="BV42" s="187"/>
      <c r="BW42" s="187"/>
      <c r="BX42" s="20" t="str">
        <f t="shared" si="11"/>
        <v>►</v>
      </c>
      <c r="BY42" s="5819"/>
      <c r="BZ42" s="228"/>
      <c r="CA42" s="228"/>
      <c r="CB42" s="227"/>
      <c r="CC42" s="227"/>
      <c r="CD42" s="5661"/>
      <c r="CE42" s="5906" t="s">
        <v>8445</v>
      </c>
      <c r="CF42" s="141"/>
      <c r="CG42" s="141"/>
      <c r="CH42" s="141"/>
      <c r="CI42" s="141"/>
      <c r="CJ42" s="141"/>
      <c r="CK42" s="409"/>
      <c r="CM42" s="5906" t="s">
        <v>8810</v>
      </c>
      <c r="CN42" s="141"/>
      <c r="CO42" s="141"/>
      <c r="CP42" s="141"/>
      <c r="CQ42" s="141"/>
      <c r="CR42" s="141"/>
      <c r="CS42" s="409"/>
      <c r="CU42" s="5906" t="s">
        <v>8822</v>
      </c>
      <c r="CV42" s="141"/>
      <c r="CW42" s="141"/>
      <c r="CX42" s="141"/>
      <c r="CY42" s="141"/>
      <c r="CZ42" s="141"/>
      <c r="DA42" s="409"/>
      <c r="DC42" s="5">
        <v>1</v>
      </c>
    </row>
    <row r="43" spans="1:107" s="1" customFormat="1" ht="21" customHeight="1">
      <c r="A43" s="5641" t="s">
        <v>1</v>
      </c>
      <c r="B43" s="5662" t="str">
        <f t="shared" si="10"/>
        <v>►</v>
      </c>
      <c r="C43" s="5825" cm="1">
        <f t="array" ref="C43">SUMPRODUCT(LEN(D43:J43))</f>
        <v>0</v>
      </c>
      <c r="D43" s="5275"/>
      <c r="E43" s="1361"/>
      <c r="F43" s="1361"/>
      <c r="G43" s="1361"/>
      <c r="H43" s="1361"/>
      <c r="I43" s="1361"/>
      <c r="J43" s="5276"/>
      <c r="K43" s="106" t="s">
        <v>1</v>
      </c>
      <c r="L43" s="1021" t="s">
        <v>26</v>
      </c>
      <c r="M43" s="6787"/>
      <c r="N43" s="6787"/>
      <c r="O43" s="6787"/>
      <c r="P43" s="6788"/>
      <c r="Q43" s="6789"/>
      <c r="R43" s="6790"/>
      <c r="S43" s="6786"/>
      <c r="T43" s="6791"/>
      <c r="U43" s="6844"/>
      <c r="V43" s="6791"/>
      <c r="W43" s="8487"/>
      <c r="X43" s="6871"/>
      <c r="Y43" s="6793"/>
      <c r="Z43" s="6794"/>
      <c r="AA43" s="6795"/>
      <c r="AB43" s="6796"/>
      <c r="AC43" s="6797"/>
      <c r="AD43" s="6798"/>
      <c r="AE43" s="4" t="s">
        <v>1</v>
      </c>
      <c r="AF43" s="6202" t="str">
        <f t="shared" si="16"/>
        <v>►</v>
      </c>
      <c r="AG43" s="6234" t="str">
        <f t="shared" si="17"/>
        <v/>
      </c>
      <c r="AH43" s="6732" t="str">
        <f t="shared" si="18"/>
        <v/>
      </c>
      <c r="AI43" s="6234" t="str">
        <f t="shared" si="19"/>
        <v/>
      </c>
      <c r="AJ43" s="6732" t="str">
        <f t="shared" si="20"/>
        <v/>
      </c>
      <c r="AK43" s="6732">
        <f t="shared" si="21"/>
        <v>0</v>
      </c>
      <c r="AL43" s="6230" t="str" cm="1">
        <f t="array" ref="AL43">IF(AF43&lt;&gt;"A","",IFERROR((IFERROR(_xlfn.XLOOKUP(TRIM(SUBSTITUTE(U43,CHAR(160)," ")),$BJ$15:$BJ$62,$BM$15:$BM$62),IFERROR(_xlfn.XLOOKUP(TRIM(SUBSTITUTE(U43,CHAR(160)," ")),$BK$15:$BK$62,$BM$15:$BM$62),_xlfn.XLOOKUP(TRIM(SUBSTITUTE(U43,CHAR(160)," ")),$BL$15:$BL$62,$BM$15:$BM$62))))*T43*IF(ISBLANK(Q43),1,Q43)+IFERROR(_xlfn.XLOOKUP("RECHERCHEX",TRIM(L43:AD43),L43:AD43),0),0))</f>
        <v/>
      </c>
      <c r="AM43" s="6229">
        <f t="shared" si="22"/>
        <v>0</v>
      </c>
      <c r="AN43" s="6857" t="str">
        <f t="shared" si="41"/>
        <v/>
      </c>
      <c r="AO43" s="392">
        <f t="shared" si="24"/>
        <v>0</v>
      </c>
      <c r="AP43" s="392">
        <f t="shared" si="25"/>
        <v>0</v>
      </c>
      <c r="AQ43" s="6191">
        <f t="shared" si="26"/>
        <v>0</v>
      </c>
      <c r="AR43" s="6859" t="str">
        <f t="shared" si="27"/>
        <v/>
      </c>
      <c r="AS43" s="6217"/>
      <c r="AT43" s="6217"/>
      <c r="AU43" s="6272">
        <f t="shared" si="28"/>
        <v>0</v>
      </c>
      <c r="AV43" s="6240">
        <f t="shared" si="29"/>
        <v>0</v>
      </c>
      <c r="AW43" s="6189" cm="1">
        <f t="array" ref="AW43">IF(AK43&lt;&gt;1,0,IF(OR(AU43="",N(AU43)&lt;=0.000000001),"",IF(OR(AO43="",N(AO43)&lt;=0.000000001),0,IF(ISNUMBER(AU43),IFERROR(_xlfn.LET(_xlpm.ai_test,TRIM(AJ43),_xlpm.r,IFERROR(_xlfn.XLOOKUP(_xlpm.ai_test,$BJ$15:$BJ$62,ROW($BJ$15:$BJ$62),0,1),IFERROR(_xlfn.XLOOKUP(_xlpm.ai_test,$BK$15:$BK$62,ROW($BK$15:$BK$62),0,1),_xlfn.XLOOKUP(_xlpm.ai_test,$BL$15:$BL$62,ROW($BL$15:$BL$62),0,1))),_xlpm.p,_xlpm.r-MIN(ROW($BJ$15:$BJ$62))+1,_xlpm.f,INDEX($BM$15:$BM$62,_xlpm.p),_xlpm.u,INDEX($BN$15:$BN$62,_xlpm.p),_xlpm.s,INDEX($BP$15:$BP$62,_xlpm.p),_xlpm.q,N(AU43)/_xlpm.f,IF(_xlpm.q&gt;=_xlpm.s,ROUND(_xlpm.q,1)&amp;" "&amp;_xlpm.ai_test&amp;" = "&amp;ROUND(_xlpm.q*_xlpm.f,1)&amp;" "&amp;_xlpm.u,ROUND(_xlpm.q,1)&amp;" "&amp;_xlpm.ai_test)),""),""))))</f>
        <v>0</v>
      </c>
      <c r="AX43" s="6218"/>
      <c r="AY43" s="6272">
        <f t="shared" si="30"/>
        <v>0</v>
      </c>
      <c r="AZ43" s="6240" t="str">
        <f t="shared" si="31"/>
        <v/>
      </c>
      <c r="BA43" s="6195">
        <f t="shared" si="37"/>
        <v>0</v>
      </c>
      <c r="BB43" s="6193" t="str">
        <f t="shared" si="32"/>
        <v/>
      </c>
      <c r="BC43" s="6219"/>
      <c r="BD43" s="6222">
        <f t="shared" si="39"/>
        <v>0</v>
      </c>
      <c r="BE43" s="6220" t="str">
        <f t="shared" si="34"/>
        <v/>
      </c>
      <c r="BF43" s="4" t="s">
        <v>1</v>
      </c>
      <c r="BG43" s="6196">
        <f t="shared" si="35"/>
        <v>0</v>
      </c>
      <c r="BH43" s="6197">
        <f t="shared" si="36"/>
        <v>0</v>
      </c>
      <c r="BI43" s="187"/>
      <c r="BJ43" s="6704" t="s">
        <v>120</v>
      </c>
      <c r="BK43" s="6704" t="s">
        <v>120</v>
      </c>
      <c r="BL43" s="6704" t="s">
        <v>9637</v>
      </c>
      <c r="BM43" s="6304">
        <f t="shared" si="40"/>
        <v>0.11799999999999999</v>
      </c>
      <c r="BN43" s="6274" t="s">
        <v>8766</v>
      </c>
      <c r="BO43" s="6274" t="s">
        <v>8774</v>
      </c>
      <c r="BP43" s="223">
        <f t="shared" si="38"/>
        <v>8</v>
      </c>
      <c r="BQ43" s="222">
        <v>118</v>
      </c>
      <c r="BR43" s="187"/>
      <c r="BS43" s="187"/>
      <c r="BT43" s="187"/>
      <c r="BU43" s="187"/>
      <c r="BV43" s="187"/>
      <c r="BW43" s="187"/>
      <c r="BX43" s="20" t="str">
        <f t="shared" si="11"/>
        <v>►</v>
      </c>
      <c r="BY43" s="5819"/>
      <c r="BZ43" s="228"/>
      <c r="CA43" s="228"/>
      <c r="CB43" s="227"/>
      <c r="CC43" s="227"/>
      <c r="CD43" s="5661"/>
      <c r="CE43" s="1160"/>
      <c r="CF43" s="141"/>
      <c r="CG43" s="141"/>
      <c r="CH43" s="141"/>
      <c r="CI43" s="141"/>
      <c r="CJ43" s="141"/>
      <c r="CK43" s="409"/>
      <c r="CM43" s="1160"/>
      <c r="CN43" s="141"/>
      <c r="CO43" s="141"/>
      <c r="CP43" s="141"/>
      <c r="CQ43" s="141"/>
      <c r="CR43" s="141"/>
      <c r="CS43" s="409"/>
      <c r="CU43" s="1160"/>
      <c r="CV43" s="141"/>
      <c r="CW43" s="141"/>
      <c r="CX43" s="141"/>
      <c r="CY43" s="141"/>
      <c r="CZ43" s="141"/>
      <c r="DA43" s="409"/>
      <c r="DC43" s="5">
        <v>1</v>
      </c>
    </row>
    <row r="44" spans="1:107" s="1" customFormat="1" ht="21" customHeight="1">
      <c r="A44" s="5641" t="s">
        <v>1</v>
      </c>
      <c r="B44" s="5662" t="str">
        <f t="shared" si="10"/>
        <v>►</v>
      </c>
      <c r="C44" s="5825" cm="1">
        <f t="array" ref="C44">SUMPRODUCT(LEN(D44:J44))</f>
        <v>0</v>
      </c>
      <c r="D44" s="5275"/>
      <c r="E44" s="1361"/>
      <c r="F44" s="1361"/>
      <c r="G44" s="1361"/>
      <c r="H44" s="1361"/>
      <c r="I44" s="1361"/>
      <c r="J44" s="5276"/>
      <c r="K44" s="106"/>
      <c r="L44" s="1021" t="s">
        <v>26</v>
      </c>
      <c r="M44" s="6787"/>
      <c r="N44" s="6787"/>
      <c r="O44" s="6787"/>
      <c r="P44" s="6788"/>
      <c r="Q44" s="6789"/>
      <c r="R44" s="6790"/>
      <c r="S44" s="6786"/>
      <c r="T44" s="6791"/>
      <c r="U44" s="6844"/>
      <c r="V44" s="6791"/>
      <c r="W44" s="8487"/>
      <c r="X44" s="6871"/>
      <c r="Y44" s="6793"/>
      <c r="Z44" s="6794"/>
      <c r="AA44" s="6795"/>
      <c r="AB44" s="6796"/>
      <c r="AC44" s="6797"/>
      <c r="AD44" s="6798"/>
      <c r="AE44" s="4" t="s">
        <v>1</v>
      </c>
      <c r="AF44" s="6202" t="str">
        <f t="shared" si="16"/>
        <v>►</v>
      </c>
      <c r="AG44" s="6234" t="str">
        <f t="shared" si="17"/>
        <v/>
      </c>
      <c r="AH44" s="6732" t="str">
        <f t="shared" si="18"/>
        <v/>
      </c>
      <c r="AI44" s="6234" t="str">
        <f t="shared" si="19"/>
        <v/>
      </c>
      <c r="AJ44" s="6732" t="str">
        <f t="shared" si="20"/>
        <v/>
      </c>
      <c r="AK44" s="6732">
        <f t="shared" si="21"/>
        <v>0</v>
      </c>
      <c r="AL44" s="6230" t="str" cm="1">
        <f t="array" ref="AL44">IF(AF44&lt;&gt;"A","",IFERROR((IFERROR(_xlfn.XLOOKUP(TRIM(SUBSTITUTE(U44,CHAR(160)," ")),$BJ$15:$BJ$62,$BM$15:$BM$62),IFERROR(_xlfn.XLOOKUP(TRIM(SUBSTITUTE(U44,CHAR(160)," ")),$BK$15:$BK$62,$BM$15:$BM$62),_xlfn.XLOOKUP(TRIM(SUBSTITUTE(U44,CHAR(160)," ")),$BL$15:$BL$62,$BM$15:$BM$62))))*T44*IF(ISBLANK(Q44),1,Q44)+IFERROR(_xlfn.XLOOKUP("RECHERCHEX",TRIM(L44:AD44),L44:AD44),0),0))</f>
        <v/>
      </c>
      <c r="AM44" s="6229">
        <f t="shared" si="22"/>
        <v>0</v>
      </c>
      <c r="AN44" s="6857" t="str">
        <f t="shared" si="41"/>
        <v/>
      </c>
      <c r="AO44" s="392">
        <f t="shared" si="24"/>
        <v>0</v>
      </c>
      <c r="AP44" s="392">
        <f t="shared" si="25"/>
        <v>0</v>
      </c>
      <c r="AQ44" s="6190">
        <f t="shared" si="26"/>
        <v>0</v>
      </c>
      <c r="AR44" s="6858" t="str">
        <f t="shared" si="27"/>
        <v/>
      </c>
      <c r="AS44" s="6217"/>
      <c r="AT44" s="6217"/>
      <c r="AU44" s="6271">
        <f t="shared" si="28"/>
        <v>0</v>
      </c>
      <c r="AV44" s="6242">
        <f t="shared" si="29"/>
        <v>0</v>
      </c>
      <c r="AW44" s="6188" cm="1">
        <f t="array" ref="AW44">IF(AK44&lt;&gt;1,0,IF(OR(AU44="",N(AU44)&lt;=0.000000001),"",IF(OR(AO44="",N(AO44)&lt;=0.000000001),0,IF(ISNUMBER(AU44),IFERROR(_xlfn.LET(_xlpm.ai_test,TRIM(AJ44),_xlpm.r,IFERROR(_xlfn.XLOOKUP(_xlpm.ai_test,$BJ$15:$BJ$62,ROW($BJ$15:$BJ$62),0,1),IFERROR(_xlfn.XLOOKUP(_xlpm.ai_test,$BK$15:$BK$62,ROW($BK$15:$BK$62),0,1),_xlfn.XLOOKUP(_xlpm.ai_test,$BL$15:$BL$62,ROW($BL$15:$BL$62),0,1))),_xlpm.p,_xlpm.r-MIN(ROW($BJ$15:$BJ$62))+1,_xlpm.f,INDEX($BM$15:$BM$62,_xlpm.p),_xlpm.u,INDEX($BN$15:$BN$62,_xlpm.p),_xlpm.s,INDEX($BP$15:$BP$62,_xlpm.p),_xlpm.q,N(AU44)/_xlpm.f,IF(_xlpm.q&gt;=_xlpm.s,ROUND(_xlpm.q,1)&amp;" "&amp;_xlpm.ai_test&amp;" = "&amp;ROUND(_xlpm.q*_xlpm.f,1)&amp;" "&amp;_xlpm.u,ROUND(_xlpm.q,1)&amp;" "&amp;_xlpm.ai_test)),""),""))))</f>
        <v>0</v>
      </c>
      <c r="AX44" s="6218"/>
      <c r="AY44" s="6271">
        <f t="shared" si="30"/>
        <v>0</v>
      </c>
      <c r="AZ44" s="6242" t="str">
        <f t="shared" si="31"/>
        <v/>
      </c>
      <c r="BA44" s="6194">
        <f t="shared" si="37"/>
        <v>0</v>
      </c>
      <c r="BB44" s="6192" t="str">
        <f t="shared" si="32"/>
        <v/>
      </c>
      <c r="BC44" s="6219"/>
      <c r="BD44" s="6221">
        <f t="shared" si="39"/>
        <v>0</v>
      </c>
      <c r="BE44" s="6220" t="str">
        <f t="shared" si="34"/>
        <v/>
      </c>
      <c r="BF44" s="4" t="s">
        <v>1</v>
      </c>
      <c r="BG44" s="6196">
        <f t="shared" si="35"/>
        <v>0</v>
      </c>
      <c r="BH44" s="6197">
        <f t="shared" si="36"/>
        <v>0</v>
      </c>
      <c r="BI44" s="187"/>
      <c r="BJ44" s="6704" t="s">
        <v>118</v>
      </c>
      <c r="BK44" s="6704" t="s">
        <v>118</v>
      </c>
      <c r="BL44" s="6704" t="s">
        <v>9638</v>
      </c>
      <c r="BM44" s="6304">
        <f t="shared" si="40"/>
        <v>5.8999999999999997E-2</v>
      </c>
      <c r="BN44" s="6274" t="s">
        <v>8766</v>
      </c>
      <c r="BO44" s="6274" t="s">
        <v>8774</v>
      </c>
      <c r="BP44" s="223">
        <f t="shared" si="38"/>
        <v>17</v>
      </c>
      <c r="BQ44" s="222">
        <v>59</v>
      </c>
      <c r="BR44" s="187"/>
      <c r="BS44" s="187"/>
      <c r="BT44" s="187"/>
      <c r="BU44" s="187"/>
      <c r="BV44" s="187"/>
      <c r="BW44" s="187"/>
      <c r="BX44" s="20" t="str">
        <f t="shared" si="11"/>
        <v>►</v>
      </c>
      <c r="BY44" s="5819"/>
      <c r="BZ44" s="228"/>
      <c r="CA44" s="228"/>
      <c r="CB44" s="227"/>
      <c r="CC44" s="227"/>
      <c r="CD44" s="5661"/>
      <c r="CE44" s="5908" t="s">
        <v>8527</v>
      </c>
      <c r="CF44" s="141"/>
      <c r="CG44" s="141"/>
      <c r="CH44" s="141"/>
      <c r="CI44" s="141"/>
      <c r="CJ44" s="141"/>
      <c r="CK44" s="409"/>
      <c r="CM44" s="5908" t="s">
        <v>8784</v>
      </c>
      <c r="CN44" s="141"/>
      <c r="CO44" s="141"/>
      <c r="CP44" s="141"/>
      <c r="CQ44" s="141"/>
      <c r="CR44" s="141"/>
      <c r="CS44" s="409"/>
      <c r="CU44" s="5908" t="s">
        <v>8797</v>
      </c>
      <c r="CV44" s="141"/>
      <c r="CW44" s="141"/>
      <c r="CX44" s="141"/>
      <c r="CY44" s="141"/>
      <c r="CZ44" s="141"/>
      <c r="DA44" s="409"/>
      <c r="DC44" s="5">
        <v>1</v>
      </c>
    </row>
    <row r="45" spans="1:107" s="1" customFormat="1" ht="21" customHeight="1">
      <c r="A45" s="5641" t="s">
        <v>1</v>
      </c>
      <c r="B45" s="5662" t="str">
        <f t="shared" si="10"/>
        <v>►</v>
      </c>
      <c r="C45" s="5825" cm="1">
        <f t="array" ref="C45">SUMPRODUCT(LEN(D45:J45))</f>
        <v>0</v>
      </c>
      <c r="D45" s="5275"/>
      <c r="E45" s="1361"/>
      <c r="F45" s="1361"/>
      <c r="G45" s="1361"/>
      <c r="H45" s="1361"/>
      <c r="I45" s="1361"/>
      <c r="J45" s="5276"/>
      <c r="K45" s="106"/>
      <c r="L45" s="1021" t="s">
        <v>26</v>
      </c>
      <c r="M45" s="6787"/>
      <c r="N45" s="6787"/>
      <c r="O45" s="6787"/>
      <c r="P45" s="6788"/>
      <c r="Q45" s="6789"/>
      <c r="R45" s="6790"/>
      <c r="S45" s="6786"/>
      <c r="T45" s="6791"/>
      <c r="U45" s="6844"/>
      <c r="V45" s="6791"/>
      <c r="W45" s="8487"/>
      <c r="X45" s="6871"/>
      <c r="Y45" s="6793"/>
      <c r="Z45" s="6794"/>
      <c r="AA45" s="6795"/>
      <c r="AB45" s="6796"/>
      <c r="AC45" s="6797"/>
      <c r="AD45" s="6798"/>
      <c r="AE45" s="4" t="s">
        <v>1</v>
      </c>
      <c r="AF45" s="6202" t="str">
        <f t="shared" si="16"/>
        <v>►</v>
      </c>
      <c r="AG45" s="6234" t="str">
        <f t="shared" si="17"/>
        <v/>
      </c>
      <c r="AH45" s="6732" t="str">
        <f t="shared" si="18"/>
        <v/>
      </c>
      <c r="AI45" s="6234" t="str">
        <f t="shared" si="19"/>
        <v/>
      </c>
      <c r="AJ45" s="6732" t="str">
        <f t="shared" si="20"/>
        <v/>
      </c>
      <c r="AK45" s="6732">
        <f t="shared" si="21"/>
        <v>0</v>
      </c>
      <c r="AL45" s="6230" t="str" cm="1">
        <f t="array" ref="AL45">IF(AF45&lt;&gt;"A","",IFERROR((IFERROR(_xlfn.XLOOKUP(TRIM(SUBSTITUTE(U45,CHAR(160)," ")),$BJ$15:$BJ$62,$BM$15:$BM$62),IFERROR(_xlfn.XLOOKUP(TRIM(SUBSTITUTE(U45,CHAR(160)," ")),$BK$15:$BK$62,$BM$15:$BM$62),_xlfn.XLOOKUP(TRIM(SUBSTITUTE(U45,CHAR(160)," ")),$BL$15:$BL$62,$BM$15:$BM$62))))*T45*IF(ISBLANK(Q45),1,Q45)+IFERROR(_xlfn.XLOOKUP("RECHERCHEX",TRIM(L45:AD45),L45:AD45),0),0))</f>
        <v/>
      </c>
      <c r="AM45" s="6229">
        <f t="shared" si="22"/>
        <v>0</v>
      </c>
      <c r="AN45" s="6857" t="str">
        <f t="shared" si="41"/>
        <v/>
      </c>
      <c r="AO45" s="392">
        <f t="shared" si="24"/>
        <v>0</v>
      </c>
      <c r="AP45" s="392">
        <f t="shared" si="25"/>
        <v>0</v>
      </c>
      <c r="AQ45" s="6191">
        <f t="shared" si="26"/>
        <v>0</v>
      </c>
      <c r="AR45" s="6859" t="str">
        <f t="shared" si="27"/>
        <v/>
      </c>
      <c r="AS45" s="6217"/>
      <c r="AT45" s="6217"/>
      <c r="AU45" s="6272">
        <f t="shared" si="28"/>
        <v>0</v>
      </c>
      <c r="AV45" s="6240">
        <f t="shared" si="29"/>
        <v>0</v>
      </c>
      <c r="AW45" s="6189" cm="1">
        <f t="array" ref="AW45">IF(AK45&lt;&gt;1,0,IF(OR(AU45="",N(AU45)&lt;=0.000000001),"",IF(OR(AO45="",N(AO45)&lt;=0.000000001),0,IF(ISNUMBER(AU45),IFERROR(_xlfn.LET(_xlpm.ai_test,TRIM(AJ45),_xlpm.r,IFERROR(_xlfn.XLOOKUP(_xlpm.ai_test,$BJ$15:$BJ$62,ROW($BJ$15:$BJ$62),0,1),IFERROR(_xlfn.XLOOKUP(_xlpm.ai_test,$BK$15:$BK$62,ROW($BK$15:$BK$62),0,1),_xlfn.XLOOKUP(_xlpm.ai_test,$BL$15:$BL$62,ROW($BL$15:$BL$62),0,1))),_xlpm.p,_xlpm.r-MIN(ROW($BJ$15:$BJ$62))+1,_xlpm.f,INDEX($BM$15:$BM$62,_xlpm.p),_xlpm.u,INDEX($BN$15:$BN$62,_xlpm.p),_xlpm.s,INDEX($BP$15:$BP$62,_xlpm.p),_xlpm.q,N(AU45)/_xlpm.f,IF(_xlpm.q&gt;=_xlpm.s,ROUND(_xlpm.q,1)&amp;" "&amp;_xlpm.ai_test&amp;" = "&amp;ROUND(_xlpm.q*_xlpm.f,1)&amp;" "&amp;_xlpm.u,ROUND(_xlpm.q,1)&amp;" "&amp;_xlpm.ai_test)),""),""))))</f>
        <v>0</v>
      </c>
      <c r="AX45" s="6218"/>
      <c r="AY45" s="6272">
        <f t="shared" si="30"/>
        <v>0</v>
      </c>
      <c r="AZ45" s="6240" t="str">
        <f t="shared" si="31"/>
        <v/>
      </c>
      <c r="BA45" s="6195">
        <f t="shared" si="37"/>
        <v>0</v>
      </c>
      <c r="BB45" s="6193" t="str">
        <f t="shared" si="32"/>
        <v/>
      </c>
      <c r="BC45" s="6219"/>
      <c r="BD45" s="6222">
        <f t="shared" si="39"/>
        <v>0</v>
      </c>
      <c r="BE45" s="6220" t="str">
        <f t="shared" si="34"/>
        <v/>
      </c>
      <c r="BF45" s="4" t="s">
        <v>1</v>
      </c>
      <c r="BG45" s="6196">
        <f t="shared" si="35"/>
        <v>0</v>
      </c>
      <c r="BH45" s="6197">
        <f t="shared" si="36"/>
        <v>0</v>
      </c>
      <c r="BI45" s="187"/>
      <c r="BJ45" s="6289" t="s">
        <v>8015</v>
      </c>
      <c r="BK45" s="6289" t="s">
        <v>9639</v>
      </c>
      <c r="BL45" s="6289" t="s">
        <v>9640</v>
      </c>
      <c r="BM45" s="6304">
        <f t="shared" si="40"/>
        <v>0.23</v>
      </c>
      <c r="BN45" s="240" t="s">
        <v>111</v>
      </c>
      <c r="BO45" s="240" t="s">
        <v>8773</v>
      </c>
      <c r="BP45" s="223">
        <f t="shared" si="38"/>
        <v>4</v>
      </c>
      <c r="BQ45" s="276">
        <v>230</v>
      </c>
      <c r="BR45" s="187"/>
      <c r="BS45" s="187"/>
      <c r="BT45" s="187"/>
      <c r="BU45" s="187"/>
      <c r="BV45" s="187"/>
      <c r="BW45" s="187"/>
      <c r="BX45" s="20" t="str">
        <f t="shared" si="11"/>
        <v>►</v>
      </c>
      <c r="BY45" s="6938" t="s">
        <v>8679</v>
      </c>
      <c r="BZ45" s="6938"/>
      <c r="CA45" s="6938"/>
      <c r="CB45" s="6938"/>
      <c r="CC45" s="6938"/>
      <c r="CD45" s="5661"/>
      <c r="CE45" s="5910" t="s">
        <v>9641</v>
      </c>
      <c r="CF45" s="141"/>
      <c r="CG45" s="141"/>
      <c r="CH45" s="141"/>
      <c r="CI45" s="141"/>
      <c r="CJ45" s="141"/>
      <c r="CK45" s="409"/>
      <c r="CM45" s="5910" t="s">
        <v>8785</v>
      </c>
      <c r="CN45" s="141"/>
      <c r="CO45" s="141"/>
      <c r="CP45" s="141"/>
      <c r="CQ45" s="141"/>
      <c r="CR45" s="141"/>
      <c r="CS45" s="409"/>
      <c r="CU45" s="5910" t="s">
        <v>8798</v>
      </c>
      <c r="CV45" s="141"/>
      <c r="CW45" s="141"/>
      <c r="CX45" s="141"/>
      <c r="CY45" s="141"/>
      <c r="CZ45" s="141"/>
      <c r="DA45" s="409"/>
      <c r="DC45" s="5">
        <v>1</v>
      </c>
    </row>
    <row r="46" spans="1:107" s="1" customFormat="1" ht="21" customHeight="1">
      <c r="A46" s="5641" t="s">
        <v>1</v>
      </c>
      <c r="B46" s="5662" t="str">
        <f t="shared" si="10"/>
        <v>►</v>
      </c>
      <c r="C46" s="5825" cm="1">
        <f t="array" ref="C46">SUMPRODUCT(LEN(D46:J46))</f>
        <v>0</v>
      </c>
      <c r="D46" s="5275"/>
      <c r="E46" s="1361"/>
      <c r="F46" s="1361"/>
      <c r="G46" s="1361"/>
      <c r="H46" s="1361"/>
      <c r="I46" s="1361"/>
      <c r="J46" s="5276"/>
      <c r="K46" s="106"/>
      <c r="L46" s="1021" t="s">
        <v>26</v>
      </c>
      <c r="M46" s="6787"/>
      <c r="N46" s="6787"/>
      <c r="O46" s="6787"/>
      <c r="P46" s="6788"/>
      <c r="Q46" s="6789"/>
      <c r="R46" s="6790"/>
      <c r="S46" s="6786"/>
      <c r="T46" s="6791"/>
      <c r="U46" s="6844"/>
      <c r="V46" s="6791"/>
      <c r="W46" s="8487"/>
      <c r="X46" s="6871"/>
      <c r="Y46" s="6793"/>
      <c r="Z46" s="6794"/>
      <c r="AA46" s="6795"/>
      <c r="AB46" s="6796"/>
      <c r="AC46" s="6797"/>
      <c r="AD46" s="6798"/>
      <c r="AE46" s="4" t="s">
        <v>1</v>
      </c>
      <c r="AF46" s="6202" t="str">
        <f t="shared" si="16"/>
        <v>►</v>
      </c>
      <c r="AG46" s="6234" t="str">
        <f t="shared" si="17"/>
        <v/>
      </c>
      <c r="AH46" s="6732" t="str">
        <f t="shared" si="18"/>
        <v/>
      </c>
      <c r="AI46" s="6234" t="str">
        <f t="shared" si="19"/>
        <v/>
      </c>
      <c r="AJ46" s="6732" t="str">
        <f t="shared" si="20"/>
        <v/>
      </c>
      <c r="AK46" s="6732">
        <f t="shared" si="21"/>
        <v>0</v>
      </c>
      <c r="AL46" s="6230" t="str" cm="1">
        <f t="array" ref="AL46">IF(AF46&lt;&gt;"A","",IFERROR((IFERROR(_xlfn.XLOOKUP(TRIM(SUBSTITUTE(U46,CHAR(160)," ")),$BJ$15:$BJ$62,$BM$15:$BM$62),IFERROR(_xlfn.XLOOKUP(TRIM(SUBSTITUTE(U46,CHAR(160)," ")),$BK$15:$BK$62,$BM$15:$BM$62),_xlfn.XLOOKUP(TRIM(SUBSTITUTE(U46,CHAR(160)," ")),$BL$15:$BL$62,$BM$15:$BM$62))))*T46*IF(ISBLANK(Q46),1,Q46)+IFERROR(_xlfn.XLOOKUP("RECHERCHEX",TRIM(L46:AD46),L46:AD46),0),0))</f>
        <v/>
      </c>
      <c r="AM46" s="6229">
        <f t="shared" si="22"/>
        <v>0</v>
      </c>
      <c r="AN46" s="6857" t="str">
        <f t="shared" si="41"/>
        <v/>
      </c>
      <c r="AO46" s="392">
        <f t="shared" si="24"/>
        <v>0</v>
      </c>
      <c r="AP46" s="392">
        <f t="shared" si="25"/>
        <v>0</v>
      </c>
      <c r="AQ46" s="6190">
        <f t="shared" si="26"/>
        <v>0</v>
      </c>
      <c r="AR46" s="6858" t="str">
        <f t="shared" si="27"/>
        <v/>
      </c>
      <c r="AS46" s="6217"/>
      <c r="AT46" s="6217"/>
      <c r="AU46" s="6271">
        <f t="shared" si="28"/>
        <v>0</v>
      </c>
      <c r="AV46" s="6242">
        <f t="shared" si="29"/>
        <v>0</v>
      </c>
      <c r="AW46" s="6188" cm="1">
        <f t="array" ref="AW46">IF(AK46&lt;&gt;1,0,IF(OR(AU46="",N(AU46)&lt;=0.000000001),"",IF(OR(AO46="",N(AO46)&lt;=0.000000001),0,IF(ISNUMBER(AU46),IFERROR(_xlfn.LET(_xlpm.ai_test,TRIM(AJ46),_xlpm.r,IFERROR(_xlfn.XLOOKUP(_xlpm.ai_test,$BJ$15:$BJ$62,ROW($BJ$15:$BJ$62),0,1),IFERROR(_xlfn.XLOOKUP(_xlpm.ai_test,$BK$15:$BK$62,ROW($BK$15:$BK$62),0,1),_xlfn.XLOOKUP(_xlpm.ai_test,$BL$15:$BL$62,ROW($BL$15:$BL$62),0,1))),_xlpm.p,_xlpm.r-MIN(ROW($BJ$15:$BJ$62))+1,_xlpm.f,INDEX($BM$15:$BM$62,_xlpm.p),_xlpm.u,INDEX($BN$15:$BN$62,_xlpm.p),_xlpm.s,INDEX($BP$15:$BP$62,_xlpm.p),_xlpm.q,N(AU46)/_xlpm.f,IF(_xlpm.q&gt;=_xlpm.s,ROUND(_xlpm.q,1)&amp;" "&amp;_xlpm.ai_test&amp;" = "&amp;ROUND(_xlpm.q*_xlpm.f,1)&amp;" "&amp;_xlpm.u,ROUND(_xlpm.q,1)&amp;" "&amp;_xlpm.ai_test)),""),""))))</f>
        <v>0</v>
      </c>
      <c r="AX46" s="6218"/>
      <c r="AY46" s="6271">
        <f t="shared" si="30"/>
        <v>0</v>
      </c>
      <c r="AZ46" s="6242" t="str">
        <f t="shared" si="31"/>
        <v/>
      </c>
      <c r="BA46" s="6194">
        <f t="shared" si="37"/>
        <v>0</v>
      </c>
      <c r="BB46" s="6192" t="str">
        <f t="shared" si="32"/>
        <v/>
      </c>
      <c r="BC46" s="6219"/>
      <c r="BD46" s="6221">
        <f t="shared" si="39"/>
        <v>0</v>
      </c>
      <c r="BE46" s="6220" t="str">
        <f t="shared" si="34"/>
        <v/>
      </c>
      <c r="BF46" s="4" t="s">
        <v>1</v>
      </c>
      <c r="BG46" s="6196">
        <f t="shared" si="35"/>
        <v>0</v>
      </c>
      <c r="BH46" s="6197">
        <f t="shared" si="36"/>
        <v>0</v>
      </c>
      <c r="BI46" s="187"/>
      <c r="BJ46" s="6289" t="s">
        <v>113</v>
      </c>
      <c r="BK46" s="6289" t="s">
        <v>9642</v>
      </c>
      <c r="BL46" s="6289" t="s">
        <v>9643</v>
      </c>
      <c r="BM46" s="6304">
        <f t="shared" si="40"/>
        <v>0.13</v>
      </c>
      <c r="BN46" s="240" t="s">
        <v>111</v>
      </c>
      <c r="BO46" s="240" t="s">
        <v>8773</v>
      </c>
      <c r="BP46" s="223">
        <f t="shared" si="38"/>
        <v>8</v>
      </c>
      <c r="BQ46" s="239">
        <v>130</v>
      </c>
      <c r="BR46" s="187"/>
      <c r="BS46" s="187"/>
      <c r="BT46" s="187"/>
      <c r="BU46" s="187"/>
      <c r="BV46" s="187"/>
      <c r="BW46" s="187"/>
      <c r="BX46" s="20" t="str">
        <f t="shared" si="11"/>
        <v>►</v>
      </c>
      <c r="BY46" s="6938"/>
      <c r="BZ46" s="6938"/>
      <c r="CA46" s="6938"/>
      <c r="CB46" s="6938"/>
      <c r="CC46" s="6938"/>
      <c r="CD46" s="5661"/>
      <c r="CE46" s="5910" t="s">
        <v>9644</v>
      </c>
      <c r="CF46" s="141"/>
      <c r="CG46" s="141"/>
      <c r="CH46" s="141"/>
      <c r="CI46" s="141"/>
      <c r="CJ46" s="141"/>
      <c r="CK46" s="409"/>
      <c r="CM46" s="5910" t="s">
        <v>8786</v>
      </c>
      <c r="CN46" s="141"/>
      <c r="CO46" s="141"/>
      <c r="CP46" s="141"/>
      <c r="CQ46" s="141"/>
      <c r="CR46" s="141"/>
      <c r="CS46" s="409"/>
      <c r="CU46" s="5910" t="s">
        <v>8799</v>
      </c>
      <c r="CV46" s="141"/>
      <c r="CW46" s="141"/>
      <c r="CX46" s="141"/>
      <c r="CY46" s="141"/>
      <c r="CZ46" s="141"/>
      <c r="DA46" s="409"/>
      <c r="DC46" s="5">
        <v>1</v>
      </c>
    </row>
    <row r="47" spans="1:107" s="1" customFormat="1" ht="21" customHeight="1">
      <c r="A47" s="5641" t="s">
        <v>1</v>
      </c>
      <c r="B47" s="5662" t="str">
        <f t="shared" si="10"/>
        <v>►</v>
      </c>
      <c r="C47" s="5825" cm="1">
        <f t="array" ref="C47">SUMPRODUCT(LEN(D47:J47))</f>
        <v>0</v>
      </c>
      <c r="D47" s="5275"/>
      <c r="E47" s="1361"/>
      <c r="F47" s="1361"/>
      <c r="G47" s="1361"/>
      <c r="H47" s="1361"/>
      <c r="I47" s="1361"/>
      <c r="J47" s="5276"/>
      <c r="K47" s="106"/>
      <c r="L47" s="1021" t="s">
        <v>26</v>
      </c>
      <c r="M47" s="6787"/>
      <c r="N47" s="6787"/>
      <c r="O47" s="6787"/>
      <c r="P47" s="6788"/>
      <c r="Q47" s="6789"/>
      <c r="R47" s="6790"/>
      <c r="S47" s="6786"/>
      <c r="T47" s="6791"/>
      <c r="U47" s="6844"/>
      <c r="V47" s="6791"/>
      <c r="W47" s="8487"/>
      <c r="X47" s="6871"/>
      <c r="Y47" s="6793"/>
      <c r="Z47" s="6794"/>
      <c r="AA47" s="6795"/>
      <c r="AB47" s="6796"/>
      <c r="AC47" s="6797"/>
      <c r="AD47" s="6798"/>
      <c r="AE47" s="4" t="s">
        <v>1</v>
      </c>
      <c r="AF47" s="6202" t="str">
        <f t="shared" si="16"/>
        <v>►</v>
      </c>
      <c r="AG47" s="6234" t="str">
        <f t="shared" si="17"/>
        <v/>
      </c>
      <c r="AH47" s="6732" t="str">
        <f t="shared" si="18"/>
        <v/>
      </c>
      <c r="AI47" s="6234" t="str">
        <f t="shared" si="19"/>
        <v/>
      </c>
      <c r="AJ47" s="6732" t="str">
        <f t="shared" si="20"/>
        <v/>
      </c>
      <c r="AK47" s="6732">
        <f t="shared" si="21"/>
        <v>0</v>
      </c>
      <c r="AL47" s="6230" t="str" cm="1">
        <f t="array" ref="AL47">IF(AF47&lt;&gt;"A","",IFERROR((IFERROR(_xlfn.XLOOKUP(TRIM(SUBSTITUTE(U47,CHAR(160)," ")),$BJ$15:$BJ$62,$BM$15:$BM$62),IFERROR(_xlfn.XLOOKUP(TRIM(SUBSTITUTE(U47,CHAR(160)," ")),$BK$15:$BK$62,$BM$15:$BM$62),_xlfn.XLOOKUP(TRIM(SUBSTITUTE(U47,CHAR(160)," ")),$BL$15:$BL$62,$BM$15:$BM$62))))*T47*IF(ISBLANK(Q47),1,Q47)+IFERROR(_xlfn.XLOOKUP("RECHERCHEX",TRIM(L47:AD47),L47:AD47),0),0))</f>
        <v/>
      </c>
      <c r="AM47" s="6229">
        <f t="shared" si="22"/>
        <v>0</v>
      </c>
      <c r="AN47" s="6857" t="str">
        <f t="shared" si="41"/>
        <v/>
      </c>
      <c r="AO47" s="392">
        <f t="shared" si="24"/>
        <v>0</v>
      </c>
      <c r="AP47" s="392">
        <f t="shared" si="25"/>
        <v>0</v>
      </c>
      <c r="AQ47" s="6191">
        <f t="shared" si="26"/>
        <v>0</v>
      </c>
      <c r="AR47" s="6859" t="str">
        <f t="shared" si="27"/>
        <v/>
      </c>
      <c r="AS47" s="6217"/>
      <c r="AT47" s="6217"/>
      <c r="AU47" s="6272">
        <f t="shared" si="28"/>
        <v>0</v>
      </c>
      <c r="AV47" s="6240">
        <f t="shared" si="29"/>
        <v>0</v>
      </c>
      <c r="AW47" s="6189" cm="1">
        <f t="array" ref="AW47">IF(AK47&lt;&gt;1,0,IF(OR(AU47="",N(AU47)&lt;=0.000000001),"",IF(OR(AO47="",N(AO47)&lt;=0.000000001),0,IF(ISNUMBER(AU47),IFERROR(_xlfn.LET(_xlpm.ai_test,TRIM(AJ47),_xlpm.r,IFERROR(_xlfn.XLOOKUP(_xlpm.ai_test,$BJ$15:$BJ$62,ROW($BJ$15:$BJ$62),0,1),IFERROR(_xlfn.XLOOKUP(_xlpm.ai_test,$BK$15:$BK$62,ROW($BK$15:$BK$62),0,1),_xlfn.XLOOKUP(_xlpm.ai_test,$BL$15:$BL$62,ROW($BL$15:$BL$62),0,1))),_xlpm.p,_xlpm.r-MIN(ROW($BJ$15:$BJ$62))+1,_xlpm.f,INDEX($BM$15:$BM$62,_xlpm.p),_xlpm.u,INDEX($BN$15:$BN$62,_xlpm.p),_xlpm.s,INDEX($BP$15:$BP$62,_xlpm.p),_xlpm.q,N(AU47)/_xlpm.f,IF(_xlpm.q&gt;=_xlpm.s,ROUND(_xlpm.q,1)&amp;" "&amp;_xlpm.ai_test&amp;" = "&amp;ROUND(_xlpm.q*_xlpm.f,1)&amp;" "&amp;_xlpm.u,ROUND(_xlpm.q,1)&amp;" "&amp;_xlpm.ai_test)),""),""))))</f>
        <v>0</v>
      </c>
      <c r="AX47" s="6218"/>
      <c r="AY47" s="6272">
        <f t="shared" si="30"/>
        <v>0</v>
      </c>
      <c r="AZ47" s="6240" t="str">
        <f t="shared" si="31"/>
        <v/>
      </c>
      <c r="BA47" s="6195">
        <f t="shared" si="37"/>
        <v>0</v>
      </c>
      <c r="BB47" s="6193" t="str">
        <f t="shared" si="32"/>
        <v/>
      </c>
      <c r="BC47" s="6219"/>
      <c r="BD47" s="6222">
        <f t="shared" si="39"/>
        <v>0</v>
      </c>
      <c r="BE47" s="6220" t="str">
        <f t="shared" si="34"/>
        <v/>
      </c>
      <c r="BF47" s="4" t="s">
        <v>1</v>
      </c>
      <c r="BG47" s="6196">
        <f t="shared" si="35"/>
        <v>0</v>
      </c>
      <c r="BH47" s="6197">
        <f t="shared" si="36"/>
        <v>0</v>
      </c>
      <c r="BI47" s="187"/>
      <c r="BJ47" s="6289" t="s">
        <v>112</v>
      </c>
      <c r="BK47" s="6289" t="s">
        <v>9645</v>
      </c>
      <c r="BL47" s="6289" t="s">
        <v>9646</v>
      </c>
      <c r="BM47" s="6304">
        <f t="shared" si="40"/>
        <v>0.2</v>
      </c>
      <c r="BN47" s="240" t="s">
        <v>111</v>
      </c>
      <c r="BO47" s="240" t="s">
        <v>8773</v>
      </c>
      <c r="BP47" s="223">
        <f t="shared" si="38"/>
        <v>5</v>
      </c>
      <c r="BQ47" s="239">
        <v>200</v>
      </c>
      <c r="BR47" s="187"/>
      <c r="BS47" s="187"/>
      <c r="BT47" s="187"/>
      <c r="BU47" s="187"/>
      <c r="BV47" s="187"/>
      <c r="BW47" s="187"/>
      <c r="BX47" s="20" t="str">
        <f t="shared" si="11"/>
        <v>►</v>
      </c>
      <c r="BY47" s="5819"/>
      <c r="BZ47" s="228"/>
      <c r="CA47" s="228"/>
      <c r="CB47" s="227"/>
      <c r="CC47" s="227"/>
      <c r="CD47" s="5661"/>
      <c r="CE47" s="5912" t="s">
        <v>9647</v>
      </c>
      <c r="CF47" s="141"/>
      <c r="CG47" s="141"/>
      <c r="CH47" s="141"/>
      <c r="CI47" s="141"/>
      <c r="CJ47" s="141"/>
      <c r="CK47" s="409"/>
      <c r="CM47" s="5912" t="s">
        <v>8811</v>
      </c>
      <c r="CN47" s="141"/>
      <c r="CO47" s="141"/>
      <c r="CP47" s="141"/>
      <c r="CQ47" s="141"/>
      <c r="CR47" s="141"/>
      <c r="CS47" s="409"/>
      <c r="CU47" s="5912" t="s">
        <v>8823</v>
      </c>
      <c r="CV47" s="141"/>
      <c r="CW47" s="141"/>
      <c r="CX47" s="141"/>
      <c r="CY47" s="141"/>
      <c r="CZ47" s="141"/>
      <c r="DA47" s="409"/>
      <c r="DC47" s="5">
        <v>1</v>
      </c>
    </row>
    <row r="48" spans="1:107" s="1" customFormat="1" ht="21" customHeight="1">
      <c r="A48" s="5641" t="s">
        <v>1</v>
      </c>
      <c r="B48" s="5662" t="str">
        <f t="shared" si="10"/>
        <v>►</v>
      </c>
      <c r="C48" s="5825" cm="1">
        <f t="array" ref="C48">SUMPRODUCT(LEN(D48:J48))</f>
        <v>0</v>
      </c>
      <c r="D48" s="5275"/>
      <c r="E48" s="1361"/>
      <c r="F48" s="1361"/>
      <c r="G48" s="1361"/>
      <c r="H48" s="1361"/>
      <c r="I48" s="1361"/>
      <c r="J48" s="5276"/>
      <c r="K48" s="106"/>
      <c r="L48" s="1021" t="s">
        <v>26</v>
      </c>
      <c r="M48" s="6787"/>
      <c r="N48" s="6787"/>
      <c r="O48" s="6787"/>
      <c r="P48" s="6788"/>
      <c r="Q48" s="6789"/>
      <c r="R48" s="6790"/>
      <c r="S48" s="6786"/>
      <c r="T48" s="6791"/>
      <c r="U48" s="6844"/>
      <c r="V48" s="6791"/>
      <c r="W48" s="8487"/>
      <c r="X48" s="6871"/>
      <c r="Y48" s="6793"/>
      <c r="Z48" s="6794"/>
      <c r="AA48" s="6795"/>
      <c r="AB48" s="6796"/>
      <c r="AC48" s="6797"/>
      <c r="AD48" s="6798"/>
      <c r="AE48" s="4" t="s">
        <v>1</v>
      </c>
      <c r="AF48" s="6202" t="str">
        <f t="shared" si="16"/>
        <v>►</v>
      </c>
      <c r="AG48" s="6234" t="str">
        <f t="shared" si="17"/>
        <v/>
      </c>
      <c r="AH48" s="6732" t="str">
        <f t="shared" si="18"/>
        <v/>
      </c>
      <c r="AI48" s="6234" t="str">
        <f t="shared" si="19"/>
        <v/>
      </c>
      <c r="AJ48" s="6732" t="str">
        <f t="shared" si="20"/>
        <v/>
      </c>
      <c r="AK48" s="6732">
        <f t="shared" si="21"/>
        <v>0</v>
      </c>
      <c r="AL48" s="6230" t="str" cm="1">
        <f t="array" ref="AL48">IF(AF48&lt;&gt;"A","",IFERROR((IFERROR(_xlfn.XLOOKUP(TRIM(SUBSTITUTE(U48,CHAR(160)," ")),$BJ$15:$BJ$62,$BM$15:$BM$62),IFERROR(_xlfn.XLOOKUP(TRIM(SUBSTITUTE(U48,CHAR(160)," ")),$BK$15:$BK$62,$BM$15:$BM$62),_xlfn.XLOOKUP(TRIM(SUBSTITUTE(U48,CHAR(160)," ")),$BL$15:$BL$62,$BM$15:$BM$62))))*T48*IF(ISBLANK(Q48),1,Q48)+IFERROR(_xlfn.XLOOKUP("RECHERCHEX",TRIM(L48:AD48),L48:AD48),0),0))</f>
        <v/>
      </c>
      <c r="AM48" s="6229">
        <f t="shared" si="22"/>
        <v>0</v>
      </c>
      <c r="AN48" s="6857" t="str">
        <f t="shared" si="41"/>
        <v/>
      </c>
      <c r="AO48" s="392">
        <f t="shared" si="24"/>
        <v>0</v>
      </c>
      <c r="AP48" s="392">
        <f t="shared" si="25"/>
        <v>0</v>
      </c>
      <c r="AQ48" s="6190">
        <f t="shared" si="26"/>
        <v>0</v>
      </c>
      <c r="AR48" s="6858" t="str">
        <f t="shared" si="27"/>
        <v/>
      </c>
      <c r="AS48" s="6217"/>
      <c r="AT48" s="6217"/>
      <c r="AU48" s="6271">
        <f t="shared" si="28"/>
        <v>0</v>
      </c>
      <c r="AV48" s="6242">
        <f t="shared" si="29"/>
        <v>0</v>
      </c>
      <c r="AW48" s="6188" cm="1">
        <f t="array" ref="AW48">IF(AK48&lt;&gt;1,0,IF(OR(AU48="",N(AU48)&lt;=0.000000001),"",IF(OR(AO48="",N(AO48)&lt;=0.000000001),0,IF(ISNUMBER(AU48),IFERROR(_xlfn.LET(_xlpm.ai_test,TRIM(AJ48),_xlpm.r,IFERROR(_xlfn.XLOOKUP(_xlpm.ai_test,$BJ$15:$BJ$62,ROW($BJ$15:$BJ$62),0,1),IFERROR(_xlfn.XLOOKUP(_xlpm.ai_test,$BK$15:$BK$62,ROW($BK$15:$BK$62),0,1),_xlfn.XLOOKUP(_xlpm.ai_test,$BL$15:$BL$62,ROW($BL$15:$BL$62),0,1))),_xlpm.p,_xlpm.r-MIN(ROW($BJ$15:$BJ$62))+1,_xlpm.f,INDEX($BM$15:$BM$62,_xlpm.p),_xlpm.u,INDEX($BN$15:$BN$62,_xlpm.p),_xlpm.s,INDEX($BP$15:$BP$62,_xlpm.p),_xlpm.q,N(AU48)/_xlpm.f,IF(_xlpm.q&gt;=_xlpm.s,ROUND(_xlpm.q,1)&amp;" "&amp;_xlpm.ai_test&amp;" = "&amp;ROUND(_xlpm.q*_xlpm.f,1)&amp;" "&amp;_xlpm.u,ROUND(_xlpm.q,1)&amp;" "&amp;_xlpm.ai_test)),""),""))))</f>
        <v>0</v>
      </c>
      <c r="AX48" s="6218"/>
      <c r="AY48" s="6271">
        <f t="shared" si="30"/>
        <v>0</v>
      </c>
      <c r="AZ48" s="6242" t="str">
        <f t="shared" si="31"/>
        <v/>
      </c>
      <c r="BA48" s="6194">
        <f t="shared" si="37"/>
        <v>0</v>
      </c>
      <c r="BB48" s="6192" t="str">
        <f t="shared" si="32"/>
        <v/>
      </c>
      <c r="BC48" s="6219"/>
      <c r="BD48" s="6221">
        <f t="shared" si="39"/>
        <v>0</v>
      </c>
      <c r="BE48" s="6220" t="str">
        <f t="shared" si="34"/>
        <v/>
      </c>
      <c r="BF48" s="4" t="s">
        <v>1</v>
      </c>
      <c r="BG48" s="6196">
        <f t="shared" si="35"/>
        <v>0</v>
      </c>
      <c r="BH48" s="6197">
        <f t="shared" si="36"/>
        <v>0</v>
      </c>
      <c r="BI48" s="187"/>
      <c r="BJ48" s="6705" t="s">
        <v>110</v>
      </c>
      <c r="BK48" s="6755" t="s">
        <v>9691</v>
      </c>
      <c r="BL48" s="6755" t="s">
        <v>9648</v>
      </c>
      <c r="BM48" s="6304">
        <f t="shared" si="40"/>
        <v>1E-3</v>
      </c>
      <c r="BN48" s="6274" t="s">
        <v>8766</v>
      </c>
      <c r="BO48" s="6274" t="s">
        <v>8774</v>
      </c>
      <c r="BP48" s="223">
        <f t="shared" si="38"/>
        <v>1000</v>
      </c>
      <c r="BQ48" s="222">
        <v>1</v>
      </c>
      <c r="BR48" s="187"/>
      <c r="BS48" s="187"/>
      <c r="BT48" s="187"/>
      <c r="BU48" s="187"/>
      <c r="BV48" s="187"/>
      <c r="BW48" s="187"/>
      <c r="BX48" s="20" t="str">
        <f t="shared" si="11"/>
        <v>►</v>
      </c>
      <c r="BY48" s="6938" t="s">
        <v>8680</v>
      </c>
      <c r="BZ48" s="6938"/>
      <c r="CA48" s="6938"/>
      <c r="CB48" s="6938"/>
      <c r="CC48" s="6938"/>
      <c r="CD48" s="5661"/>
      <c r="CE48" s="5912" t="s">
        <v>9649</v>
      </c>
      <c r="CF48" s="141"/>
      <c r="CG48" s="141"/>
      <c r="CH48" s="141"/>
      <c r="CI48" s="141"/>
      <c r="CJ48" s="141"/>
      <c r="CK48" s="409"/>
      <c r="CM48" s="5912" t="s">
        <v>8812</v>
      </c>
      <c r="CN48" s="141"/>
      <c r="CO48" s="141"/>
      <c r="CP48" s="141"/>
      <c r="CQ48" s="141"/>
      <c r="CR48" s="141"/>
      <c r="CS48" s="409"/>
      <c r="CU48" s="5912" t="s">
        <v>8824</v>
      </c>
      <c r="CV48" s="141"/>
      <c r="CW48" s="141"/>
      <c r="CX48" s="141"/>
      <c r="CY48" s="141"/>
      <c r="CZ48" s="141"/>
      <c r="DA48" s="409"/>
      <c r="DC48" s="5">
        <v>1</v>
      </c>
    </row>
    <row r="49" spans="1:107" s="1" customFormat="1" ht="21" customHeight="1">
      <c r="A49" s="5641" t="s">
        <v>1</v>
      </c>
      <c r="B49" s="5662" t="str">
        <f t="shared" si="10"/>
        <v>►</v>
      </c>
      <c r="C49" s="5825" cm="1">
        <f t="array" ref="C49">SUMPRODUCT(LEN(D49:J49))</f>
        <v>0</v>
      </c>
      <c r="D49" s="5275"/>
      <c r="E49" s="1361"/>
      <c r="F49" s="1361"/>
      <c r="G49" s="1361"/>
      <c r="H49" s="1361"/>
      <c r="I49" s="1361"/>
      <c r="J49" s="5276"/>
      <c r="K49" s="106"/>
      <c r="L49" s="1021" t="s">
        <v>26</v>
      </c>
      <c r="M49" s="6787"/>
      <c r="N49" s="6787"/>
      <c r="O49" s="6787"/>
      <c r="P49" s="6788"/>
      <c r="Q49" s="6789"/>
      <c r="R49" s="6790"/>
      <c r="S49" s="6786"/>
      <c r="T49" s="6791"/>
      <c r="U49" s="6844"/>
      <c r="V49" s="6791"/>
      <c r="W49" s="8487"/>
      <c r="X49" s="6871"/>
      <c r="Y49" s="6793"/>
      <c r="Z49" s="6794"/>
      <c r="AA49" s="6795"/>
      <c r="AB49" s="6796"/>
      <c r="AC49" s="6797"/>
      <c r="AD49" s="6798"/>
      <c r="AE49" s="4" t="s">
        <v>1</v>
      </c>
      <c r="AF49" s="6202" t="str">
        <f t="shared" si="16"/>
        <v>►</v>
      </c>
      <c r="AG49" s="6234" t="str">
        <f t="shared" si="17"/>
        <v/>
      </c>
      <c r="AH49" s="6732" t="str">
        <f t="shared" si="18"/>
        <v/>
      </c>
      <c r="AI49" s="6234" t="str">
        <f t="shared" si="19"/>
        <v/>
      </c>
      <c r="AJ49" s="6732" t="str">
        <f t="shared" si="20"/>
        <v/>
      </c>
      <c r="AK49" s="6732">
        <f t="shared" si="21"/>
        <v>0</v>
      </c>
      <c r="AL49" s="6230" t="str" cm="1">
        <f t="array" ref="AL49">IF(AF49&lt;&gt;"A","",IFERROR((IFERROR(_xlfn.XLOOKUP(TRIM(SUBSTITUTE(U49,CHAR(160)," ")),$BJ$15:$BJ$62,$BM$15:$BM$62),IFERROR(_xlfn.XLOOKUP(TRIM(SUBSTITUTE(U49,CHAR(160)," ")),$BK$15:$BK$62,$BM$15:$BM$62),_xlfn.XLOOKUP(TRIM(SUBSTITUTE(U49,CHAR(160)," ")),$BL$15:$BL$62,$BM$15:$BM$62))))*T49*IF(ISBLANK(Q49),1,Q49)+IFERROR(_xlfn.XLOOKUP("RECHERCHEX",TRIM(L49:AD49),L49:AD49),0),0))</f>
        <v/>
      </c>
      <c r="AM49" s="6229">
        <f t="shared" si="22"/>
        <v>0</v>
      </c>
      <c r="AN49" s="6857" t="str">
        <f t="shared" si="41"/>
        <v/>
      </c>
      <c r="AO49" s="392">
        <f t="shared" si="24"/>
        <v>0</v>
      </c>
      <c r="AP49" s="392">
        <f t="shared" si="25"/>
        <v>0</v>
      </c>
      <c r="AQ49" s="6191">
        <f t="shared" si="26"/>
        <v>0</v>
      </c>
      <c r="AR49" s="6859" t="str">
        <f t="shared" si="27"/>
        <v/>
      </c>
      <c r="AS49" s="6217"/>
      <c r="AT49" s="6217"/>
      <c r="AU49" s="6272">
        <f t="shared" si="28"/>
        <v>0</v>
      </c>
      <c r="AV49" s="6240">
        <f t="shared" si="29"/>
        <v>0</v>
      </c>
      <c r="AW49" s="6189" cm="1">
        <f t="array" ref="AW49">IF(AK49&lt;&gt;1,0,IF(OR(AU49="",N(AU49)&lt;=0.000000001),"",IF(OR(AO49="",N(AO49)&lt;=0.000000001),0,IF(ISNUMBER(AU49),IFERROR(_xlfn.LET(_xlpm.ai_test,TRIM(AJ49),_xlpm.r,IFERROR(_xlfn.XLOOKUP(_xlpm.ai_test,$BJ$15:$BJ$62,ROW($BJ$15:$BJ$62),0,1),IFERROR(_xlfn.XLOOKUP(_xlpm.ai_test,$BK$15:$BK$62,ROW($BK$15:$BK$62),0,1),_xlfn.XLOOKUP(_xlpm.ai_test,$BL$15:$BL$62,ROW($BL$15:$BL$62),0,1))),_xlpm.p,_xlpm.r-MIN(ROW($BJ$15:$BJ$62))+1,_xlpm.f,INDEX($BM$15:$BM$62,_xlpm.p),_xlpm.u,INDEX($BN$15:$BN$62,_xlpm.p),_xlpm.s,INDEX($BP$15:$BP$62,_xlpm.p),_xlpm.q,N(AU49)/_xlpm.f,IF(_xlpm.q&gt;=_xlpm.s,ROUND(_xlpm.q,1)&amp;" "&amp;_xlpm.ai_test&amp;" = "&amp;ROUND(_xlpm.q*_xlpm.f,1)&amp;" "&amp;_xlpm.u,ROUND(_xlpm.q,1)&amp;" "&amp;_xlpm.ai_test)),""),""))))</f>
        <v>0</v>
      </c>
      <c r="AX49" s="6218"/>
      <c r="AY49" s="6272">
        <f t="shared" si="30"/>
        <v>0</v>
      </c>
      <c r="AZ49" s="6240" t="str">
        <f t="shared" si="31"/>
        <v/>
      </c>
      <c r="BA49" s="6195">
        <f t="shared" si="37"/>
        <v>0</v>
      </c>
      <c r="BB49" s="6193" t="str">
        <f t="shared" si="32"/>
        <v/>
      </c>
      <c r="BC49" s="6219"/>
      <c r="BD49" s="6222">
        <f t="shared" si="39"/>
        <v>0</v>
      </c>
      <c r="BE49" s="6220" t="str">
        <f t="shared" si="34"/>
        <v/>
      </c>
      <c r="BF49" s="4" t="s">
        <v>1</v>
      </c>
      <c r="BG49" s="6196">
        <f t="shared" si="35"/>
        <v>0</v>
      </c>
      <c r="BH49" s="6197">
        <f t="shared" si="36"/>
        <v>0</v>
      </c>
      <c r="BI49" s="187"/>
      <c r="BJ49" s="6705" t="s">
        <v>109</v>
      </c>
      <c r="BK49" s="6755" t="s">
        <v>9691</v>
      </c>
      <c r="BL49" s="6755" t="s">
        <v>9648</v>
      </c>
      <c r="BM49" s="6304">
        <f t="shared" si="40"/>
        <v>2.5000000000000001E-3</v>
      </c>
      <c r="BN49" s="6274" t="s">
        <v>8766</v>
      </c>
      <c r="BO49" s="6274" t="s">
        <v>8774</v>
      </c>
      <c r="BP49" s="223">
        <f t="shared" si="38"/>
        <v>400</v>
      </c>
      <c r="BQ49" s="236">
        <v>2.5</v>
      </c>
      <c r="BR49" s="187"/>
      <c r="BS49" s="187"/>
      <c r="BT49" s="187"/>
      <c r="BU49" s="187"/>
      <c r="BV49" s="187"/>
      <c r="BW49" s="187"/>
      <c r="BX49" s="20" t="str">
        <f t="shared" si="11"/>
        <v>►</v>
      </c>
      <c r="BY49" s="6938"/>
      <c r="BZ49" s="6938"/>
      <c r="CA49" s="6938"/>
      <c r="CB49" s="6938"/>
      <c r="CC49" s="6938"/>
      <c r="CD49" s="5661"/>
      <c r="CE49" s="5915"/>
      <c r="CF49" s="141"/>
      <c r="CG49" s="141"/>
      <c r="CH49" s="141"/>
      <c r="CI49" s="141"/>
      <c r="CJ49" s="141"/>
      <c r="CK49" s="409"/>
      <c r="CM49" s="5915"/>
      <c r="CN49" s="141"/>
      <c r="CO49" s="141"/>
      <c r="CP49" s="141"/>
      <c r="CQ49" s="141"/>
      <c r="CR49" s="141"/>
      <c r="CS49" s="409"/>
      <c r="CU49" s="5915"/>
      <c r="CV49" s="141"/>
      <c r="CW49" s="141"/>
      <c r="CX49" s="141"/>
      <c r="CY49" s="141"/>
      <c r="CZ49" s="141"/>
      <c r="DA49" s="409"/>
      <c r="DC49" s="5">
        <v>1</v>
      </c>
    </row>
    <row r="50" spans="1:107" s="1" customFormat="1" ht="21" customHeight="1">
      <c r="A50" s="5641" t="s">
        <v>1</v>
      </c>
      <c r="B50" s="5662" t="str">
        <f t="shared" si="10"/>
        <v>►</v>
      </c>
      <c r="C50" s="5825" cm="1">
        <f t="array" ref="C50">SUMPRODUCT(LEN(D50:J50))</f>
        <v>0</v>
      </c>
      <c r="D50" s="5275"/>
      <c r="E50" s="1361"/>
      <c r="F50" s="1361"/>
      <c r="G50" s="1361"/>
      <c r="H50" s="1361"/>
      <c r="I50" s="1361"/>
      <c r="J50" s="5276"/>
      <c r="K50" s="106"/>
      <c r="L50" s="1021" t="s">
        <v>26</v>
      </c>
      <c r="M50" s="6787"/>
      <c r="N50" s="6787"/>
      <c r="O50" s="6787"/>
      <c r="P50" s="6788"/>
      <c r="Q50" s="6789"/>
      <c r="R50" s="6790"/>
      <c r="S50" s="6786"/>
      <c r="T50" s="6791"/>
      <c r="U50" s="6844"/>
      <c r="V50" s="6791"/>
      <c r="W50" s="8487"/>
      <c r="X50" s="6871"/>
      <c r="Y50" s="6793"/>
      <c r="Z50" s="6794"/>
      <c r="AA50" s="6795"/>
      <c r="AB50" s="6796"/>
      <c r="AC50" s="6797"/>
      <c r="AD50" s="6798"/>
      <c r="AE50" s="4" t="s">
        <v>1</v>
      </c>
      <c r="AF50" s="6202" t="str">
        <f t="shared" si="16"/>
        <v>►</v>
      </c>
      <c r="AG50" s="6234" t="str">
        <f t="shared" si="17"/>
        <v/>
      </c>
      <c r="AH50" s="6732" t="str">
        <f t="shared" si="18"/>
        <v/>
      </c>
      <c r="AI50" s="6234" t="str">
        <f t="shared" si="19"/>
        <v/>
      </c>
      <c r="AJ50" s="6732" t="str">
        <f t="shared" si="20"/>
        <v/>
      </c>
      <c r="AK50" s="6732">
        <f t="shared" si="21"/>
        <v>0</v>
      </c>
      <c r="AL50" s="6230" t="str" cm="1">
        <f t="array" ref="AL50">IF(AF50&lt;&gt;"A","",IFERROR((IFERROR(_xlfn.XLOOKUP(TRIM(SUBSTITUTE(U50,CHAR(160)," ")),$BJ$15:$BJ$62,$BM$15:$BM$62),IFERROR(_xlfn.XLOOKUP(TRIM(SUBSTITUTE(U50,CHAR(160)," ")),$BK$15:$BK$62,$BM$15:$BM$62),_xlfn.XLOOKUP(TRIM(SUBSTITUTE(U50,CHAR(160)," ")),$BL$15:$BL$62,$BM$15:$BM$62))))*T50*IF(ISBLANK(Q50),1,Q50)+IFERROR(_xlfn.XLOOKUP("RECHERCHEX",TRIM(L50:AD50),L50:AD50),0),0))</f>
        <v/>
      </c>
      <c r="AM50" s="6229">
        <f t="shared" si="22"/>
        <v>0</v>
      </c>
      <c r="AN50" s="6857" t="str">
        <f t="shared" si="41"/>
        <v/>
      </c>
      <c r="AO50" s="392">
        <f t="shared" si="24"/>
        <v>0</v>
      </c>
      <c r="AP50" s="392">
        <f t="shared" si="25"/>
        <v>0</v>
      </c>
      <c r="AQ50" s="6190">
        <f t="shared" si="26"/>
        <v>0</v>
      </c>
      <c r="AR50" s="6858" t="str">
        <f t="shared" si="27"/>
        <v/>
      </c>
      <c r="AS50" s="6217"/>
      <c r="AT50" s="6217"/>
      <c r="AU50" s="6271">
        <f t="shared" si="28"/>
        <v>0</v>
      </c>
      <c r="AV50" s="6242">
        <f t="shared" si="29"/>
        <v>0</v>
      </c>
      <c r="AW50" s="6188" cm="1">
        <f t="array" ref="AW50">IF(AK50&lt;&gt;1,0,IF(OR(AU50="",N(AU50)&lt;=0.000000001),"",IF(OR(AO50="",N(AO50)&lt;=0.000000001),0,IF(ISNUMBER(AU50),IFERROR(_xlfn.LET(_xlpm.ai_test,TRIM(AJ50),_xlpm.r,IFERROR(_xlfn.XLOOKUP(_xlpm.ai_test,$BJ$15:$BJ$62,ROW($BJ$15:$BJ$62),0,1),IFERROR(_xlfn.XLOOKUP(_xlpm.ai_test,$BK$15:$BK$62,ROW($BK$15:$BK$62),0,1),_xlfn.XLOOKUP(_xlpm.ai_test,$BL$15:$BL$62,ROW($BL$15:$BL$62),0,1))),_xlpm.p,_xlpm.r-MIN(ROW($BJ$15:$BJ$62))+1,_xlpm.f,INDEX($BM$15:$BM$62,_xlpm.p),_xlpm.u,INDEX($BN$15:$BN$62,_xlpm.p),_xlpm.s,INDEX($BP$15:$BP$62,_xlpm.p),_xlpm.q,N(AU50)/_xlpm.f,IF(_xlpm.q&gt;=_xlpm.s,ROUND(_xlpm.q,1)&amp;" "&amp;_xlpm.ai_test&amp;" = "&amp;ROUND(_xlpm.q*_xlpm.f,1)&amp;" "&amp;_xlpm.u,ROUND(_xlpm.q,1)&amp;" "&amp;_xlpm.ai_test)),""),""))))</f>
        <v>0</v>
      </c>
      <c r="AX50" s="6218"/>
      <c r="AY50" s="6271">
        <f t="shared" si="30"/>
        <v>0</v>
      </c>
      <c r="AZ50" s="6242" t="str">
        <f t="shared" si="31"/>
        <v/>
      </c>
      <c r="BA50" s="6194">
        <f t="shared" si="37"/>
        <v>0</v>
      </c>
      <c r="BB50" s="6192" t="str">
        <f t="shared" si="32"/>
        <v/>
      </c>
      <c r="BC50" s="6219"/>
      <c r="BD50" s="6221">
        <f t="shared" si="39"/>
        <v>0</v>
      </c>
      <c r="BE50" s="6220" t="str">
        <f t="shared" si="34"/>
        <v/>
      </c>
      <c r="BF50" s="4" t="s">
        <v>1</v>
      </c>
      <c r="BG50" s="6196">
        <f t="shared" si="35"/>
        <v>0</v>
      </c>
      <c r="BH50" s="6197">
        <f t="shared" si="36"/>
        <v>0</v>
      </c>
      <c r="BI50" s="187"/>
      <c r="BJ50" s="6705" t="s">
        <v>108</v>
      </c>
      <c r="BK50" s="6705" t="s">
        <v>9650</v>
      </c>
      <c r="BL50" s="6705" t="s">
        <v>9651</v>
      </c>
      <c r="BM50" s="6304">
        <f t="shared" si="40"/>
        <v>4.4999999999999997E-3</v>
      </c>
      <c r="BN50" s="6274" t="s">
        <v>8766</v>
      </c>
      <c r="BO50" s="6274" t="s">
        <v>8774</v>
      </c>
      <c r="BP50" s="223">
        <f t="shared" si="38"/>
        <v>222</v>
      </c>
      <c r="BQ50" s="237">
        <v>4.5</v>
      </c>
      <c r="BR50" s="187"/>
      <c r="BS50" s="187"/>
      <c r="BT50" s="187"/>
      <c r="BU50" s="187"/>
      <c r="BV50" s="187"/>
      <c r="BW50" s="187"/>
      <c r="BX50" s="20" t="str">
        <f t="shared" si="11"/>
        <v>►</v>
      </c>
      <c r="BY50" s="5819"/>
      <c r="BZ50" s="228"/>
      <c r="CA50" s="228"/>
      <c r="CB50" s="227"/>
      <c r="CC50" s="227"/>
      <c r="CD50" s="5661"/>
      <c r="CE50" s="5908" t="s">
        <v>8533</v>
      </c>
      <c r="CF50" s="141"/>
      <c r="CG50" s="141"/>
      <c r="CH50" s="141"/>
      <c r="CI50" s="141"/>
      <c r="CJ50" s="141"/>
      <c r="CK50" s="409"/>
      <c r="CM50" s="5908" t="s">
        <v>8787</v>
      </c>
      <c r="CN50" s="141"/>
      <c r="CO50" s="141"/>
      <c r="CP50" s="141"/>
      <c r="CQ50" s="141"/>
      <c r="CR50" s="141"/>
      <c r="CS50" s="409"/>
      <c r="CU50" s="5908" t="s">
        <v>8800</v>
      </c>
      <c r="CV50" s="141"/>
      <c r="CW50" s="141"/>
      <c r="CX50" s="141"/>
      <c r="CY50" s="141"/>
      <c r="CZ50" s="141"/>
      <c r="DA50" s="409"/>
      <c r="DC50" s="5">
        <v>1</v>
      </c>
    </row>
    <row r="51" spans="1:107" s="1" customFormat="1" ht="21" customHeight="1">
      <c r="A51" s="5641" t="s">
        <v>1</v>
      </c>
      <c r="B51" s="5662" t="str">
        <f t="shared" si="10"/>
        <v>►</v>
      </c>
      <c r="C51" s="5825" cm="1">
        <f t="array" ref="C51">SUMPRODUCT(LEN(D51:J51))</f>
        <v>0</v>
      </c>
      <c r="D51" s="5275"/>
      <c r="E51" s="1361"/>
      <c r="F51" s="1361"/>
      <c r="G51" s="1361"/>
      <c r="H51" s="1361"/>
      <c r="I51" s="1361"/>
      <c r="J51" s="5276"/>
      <c r="K51" s="106"/>
      <c r="L51" s="1021" t="s">
        <v>26</v>
      </c>
      <c r="M51" s="6787"/>
      <c r="N51" s="6787"/>
      <c r="O51" s="6787"/>
      <c r="P51" s="6788"/>
      <c r="Q51" s="6789"/>
      <c r="R51" s="6790"/>
      <c r="S51" s="6786"/>
      <c r="T51" s="6791"/>
      <c r="U51" s="6844"/>
      <c r="V51" s="6791"/>
      <c r="W51" s="8487"/>
      <c r="X51" s="6871"/>
      <c r="Y51" s="6793"/>
      <c r="Z51" s="6794"/>
      <c r="AA51" s="6795"/>
      <c r="AB51" s="6796"/>
      <c r="AC51" s="6797"/>
      <c r="AD51" s="6798"/>
      <c r="AE51" s="4" t="s">
        <v>1</v>
      </c>
      <c r="AF51" s="6202" t="str">
        <f t="shared" si="16"/>
        <v>►</v>
      </c>
      <c r="AG51" s="6234" t="str">
        <f t="shared" si="17"/>
        <v/>
      </c>
      <c r="AH51" s="6732" t="str">
        <f t="shared" si="18"/>
        <v/>
      </c>
      <c r="AI51" s="6234" t="str">
        <f t="shared" si="19"/>
        <v/>
      </c>
      <c r="AJ51" s="6732" t="str">
        <f t="shared" si="20"/>
        <v/>
      </c>
      <c r="AK51" s="6732">
        <f t="shared" si="21"/>
        <v>0</v>
      </c>
      <c r="AL51" s="6230" t="str" cm="1">
        <f t="array" ref="AL51">IF(AF51&lt;&gt;"A","",IFERROR((IFERROR(_xlfn.XLOOKUP(TRIM(SUBSTITUTE(U51,CHAR(160)," ")),$BJ$15:$BJ$62,$BM$15:$BM$62),IFERROR(_xlfn.XLOOKUP(TRIM(SUBSTITUTE(U51,CHAR(160)," ")),$BK$15:$BK$62,$BM$15:$BM$62),_xlfn.XLOOKUP(TRIM(SUBSTITUTE(U51,CHAR(160)," ")),$BL$15:$BL$62,$BM$15:$BM$62))))*T51*IF(ISBLANK(Q51),1,Q51)+IFERROR(_xlfn.XLOOKUP("RECHERCHEX",TRIM(L51:AD51),L51:AD51),0),0))</f>
        <v/>
      </c>
      <c r="AM51" s="6229">
        <f t="shared" si="22"/>
        <v>0</v>
      </c>
      <c r="AN51" s="6857" t="str">
        <f t="shared" si="41"/>
        <v/>
      </c>
      <c r="AO51" s="392">
        <f t="shared" si="24"/>
        <v>0</v>
      </c>
      <c r="AP51" s="392">
        <f t="shared" si="25"/>
        <v>0</v>
      </c>
      <c r="AQ51" s="6191">
        <f t="shared" si="26"/>
        <v>0</v>
      </c>
      <c r="AR51" s="6859" t="str">
        <f t="shared" si="27"/>
        <v/>
      </c>
      <c r="AS51" s="6217"/>
      <c r="AT51" s="6217"/>
      <c r="AU51" s="6272">
        <f t="shared" si="28"/>
        <v>0</v>
      </c>
      <c r="AV51" s="6240">
        <f t="shared" si="29"/>
        <v>0</v>
      </c>
      <c r="AW51" s="6189" cm="1">
        <f t="array" ref="AW51">IF(AK51&lt;&gt;1,0,IF(OR(AU51="",N(AU51)&lt;=0.000000001),"",IF(OR(AO51="",N(AO51)&lt;=0.000000001),0,IF(ISNUMBER(AU51),IFERROR(_xlfn.LET(_xlpm.ai_test,TRIM(AJ51),_xlpm.r,IFERROR(_xlfn.XLOOKUP(_xlpm.ai_test,$BJ$15:$BJ$62,ROW($BJ$15:$BJ$62),0,1),IFERROR(_xlfn.XLOOKUP(_xlpm.ai_test,$BK$15:$BK$62,ROW($BK$15:$BK$62),0,1),_xlfn.XLOOKUP(_xlpm.ai_test,$BL$15:$BL$62,ROW($BL$15:$BL$62),0,1))),_xlpm.p,_xlpm.r-MIN(ROW($BJ$15:$BJ$62))+1,_xlpm.f,INDEX($BM$15:$BM$62,_xlpm.p),_xlpm.u,INDEX($BN$15:$BN$62,_xlpm.p),_xlpm.s,INDEX($BP$15:$BP$62,_xlpm.p),_xlpm.q,N(AU51)/_xlpm.f,IF(_xlpm.q&gt;=_xlpm.s,ROUND(_xlpm.q,1)&amp;" "&amp;_xlpm.ai_test&amp;" = "&amp;ROUND(_xlpm.q*_xlpm.f,1)&amp;" "&amp;_xlpm.u,ROUND(_xlpm.q,1)&amp;" "&amp;_xlpm.ai_test)),""),""))))</f>
        <v>0</v>
      </c>
      <c r="AX51" s="6218"/>
      <c r="AY51" s="6272">
        <f t="shared" si="30"/>
        <v>0</v>
      </c>
      <c r="AZ51" s="6240" t="str">
        <f t="shared" si="31"/>
        <v/>
      </c>
      <c r="BA51" s="6195">
        <f t="shared" si="37"/>
        <v>0</v>
      </c>
      <c r="BB51" s="6193" t="str">
        <f t="shared" si="32"/>
        <v/>
      </c>
      <c r="BC51" s="6219"/>
      <c r="BD51" s="6222">
        <f t="shared" si="39"/>
        <v>0</v>
      </c>
      <c r="BE51" s="6220" t="str">
        <f t="shared" si="34"/>
        <v/>
      </c>
      <c r="BF51" s="4" t="s">
        <v>1</v>
      </c>
      <c r="BG51" s="6196">
        <f t="shared" si="35"/>
        <v>0</v>
      </c>
      <c r="BH51" s="6197">
        <f t="shared" si="36"/>
        <v>0</v>
      </c>
      <c r="BI51" s="187"/>
      <c r="BJ51" s="6705" t="s">
        <v>107</v>
      </c>
      <c r="BK51" s="6705" t="s">
        <v>9652</v>
      </c>
      <c r="BL51" s="6705" t="s">
        <v>9653</v>
      </c>
      <c r="BM51" s="6304">
        <f t="shared" si="40"/>
        <v>5.9000000000000007E-3</v>
      </c>
      <c r="BN51" s="6274" t="s">
        <v>8766</v>
      </c>
      <c r="BO51" s="6274" t="s">
        <v>8774</v>
      </c>
      <c r="BP51" s="223">
        <f t="shared" si="38"/>
        <v>169</v>
      </c>
      <c r="BQ51" s="236">
        <v>5.9</v>
      </c>
      <c r="BR51" s="187"/>
      <c r="BS51" s="187"/>
      <c r="BT51" s="187"/>
      <c r="BU51" s="187"/>
      <c r="BV51" s="187"/>
      <c r="BW51" s="187"/>
      <c r="BX51" s="20" t="str">
        <f t="shared" si="11"/>
        <v>►</v>
      </c>
      <c r="BY51" s="5720" t="s">
        <v>8681</v>
      </c>
      <c r="BZ51" s="228"/>
      <c r="CA51" s="228"/>
      <c r="CB51" s="227"/>
      <c r="CC51" s="227"/>
      <c r="CD51" s="5661"/>
      <c r="CE51" s="5918" t="s">
        <v>627</v>
      </c>
      <c r="CF51" s="5919" t="s">
        <v>8534</v>
      </c>
      <c r="CG51" s="5920"/>
      <c r="CH51" s="5920"/>
      <c r="CI51" s="5920"/>
      <c r="CJ51"/>
      <c r="CK51" s="762"/>
      <c r="CM51" s="5918" t="s">
        <v>8788</v>
      </c>
      <c r="CN51" s="5919" t="s">
        <v>8534</v>
      </c>
      <c r="CO51" s="5920"/>
      <c r="CP51" s="5920"/>
      <c r="CQ51" s="5920"/>
      <c r="CR51"/>
      <c r="CS51" s="762"/>
      <c r="CU51" s="5918" t="s">
        <v>8801</v>
      </c>
      <c r="CV51" s="5919" t="s">
        <v>8534</v>
      </c>
      <c r="CW51" s="5920"/>
      <c r="CX51" s="5920"/>
      <c r="CY51" s="5920"/>
      <c r="CZ51"/>
      <c r="DA51" s="762"/>
      <c r="DC51" s="5">
        <v>1</v>
      </c>
    </row>
    <row r="52" spans="1:107" s="1" customFormat="1" ht="21" customHeight="1">
      <c r="A52" s="5641" t="s">
        <v>1</v>
      </c>
      <c r="B52" s="5662" t="str">
        <f t="shared" si="10"/>
        <v>►</v>
      </c>
      <c r="C52" s="5825" cm="1">
        <f t="array" ref="C52">SUMPRODUCT(LEN(D52:J52))</f>
        <v>0</v>
      </c>
      <c r="D52" s="5275"/>
      <c r="E52" s="1361"/>
      <c r="F52" s="1361"/>
      <c r="G52" s="1361"/>
      <c r="H52" s="1361"/>
      <c r="I52" s="1361"/>
      <c r="J52" s="5276"/>
      <c r="K52" s="106"/>
      <c r="L52" s="1021" t="s">
        <v>26</v>
      </c>
      <c r="M52" s="6787"/>
      <c r="N52" s="6787"/>
      <c r="O52" s="6787"/>
      <c r="P52" s="6788"/>
      <c r="Q52" s="6789"/>
      <c r="R52" s="6790"/>
      <c r="S52" s="6786"/>
      <c r="T52" s="6791"/>
      <c r="U52" s="6844"/>
      <c r="V52" s="6791"/>
      <c r="W52" s="8487"/>
      <c r="X52" s="6871"/>
      <c r="Y52" s="6793"/>
      <c r="Z52" s="6794"/>
      <c r="AA52" s="6795"/>
      <c r="AB52" s="6796"/>
      <c r="AC52" s="6797"/>
      <c r="AD52" s="6798"/>
      <c r="AE52" s="4" t="s">
        <v>1</v>
      </c>
      <c r="AF52" s="6202" t="str">
        <f t="shared" si="16"/>
        <v>►</v>
      </c>
      <c r="AG52" s="6234" t="str">
        <f t="shared" si="17"/>
        <v/>
      </c>
      <c r="AH52" s="6732" t="str">
        <f t="shared" si="18"/>
        <v/>
      </c>
      <c r="AI52" s="6234" t="str">
        <f t="shared" si="19"/>
        <v/>
      </c>
      <c r="AJ52" s="6732" t="str">
        <f t="shared" si="20"/>
        <v/>
      </c>
      <c r="AK52" s="6732">
        <f t="shared" si="21"/>
        <v>0</v>
      </c>
      <c r="AL52" s="6230" t="str" cm="1">
        <f t="array" ref="AL52">IF(AF52&lt;&gt;"A","",IFERROR((IFERROR(_xlfn.XLOOKUP(TRIM(SUBSTITUTE(U52,CHAR(160)," ")),$BJ$15:$BJ$62,$BM$15:$BM$62),IFERROR(_xlfn.XLOOKUP(TRIM(SUBSTITUTE(U52,CHAR(160)," ")),$BK$15:$BK$62,$BM$15:$BM$62),_xlfn.XLOOKUP(TRIM(SUBSTITUTE(U52,CHAR(160)," ")),$BL$15:$BL$62,$BM$15:$BM$62))))*T52*IF(ISBLANK(Q52),1,Q52)+IFERROR(_xlfn.XLOOKUP("RECHERCHEX",TRIM(L52:AD52),L52:AD52),0),0))</f>
        <v/>
      </c>
      <c r="AM52" s="6229">
        <f t="shared" si="22"/>
        <v>0</v>
      </c>
      <c r="AN52" s="6857" t="str">
        <f t="shared" si="41"/>
        <v/>
      </c>
      <c r="AO52" s="392">
        <f t="shared" si="24"/>
        <v>0</v>
      </c>
      <c r="AP52" s="392">
        <f t="shared" si="25"/>
        <v>0</v>
      </c>
      <c r="AQ52" s="6190">
        <f t="shared" si="26"/>
        <v>0</v>
      </c>
      <c r="AR52" s="6858" t="str">
        <f t="shared" si="27"/>
        <v/>
      </c>
      <c r="AS52" s="6217"/>
      <c r="AT52" s="6217"/>
      <c r="AU52" s="6271">
        <f t="shared" si="28"/>
        <v>0</v>
      </c>
      <c r="AV52" s="6242">
        <f t="shared" si="29"/>
        <v>0</v>
      </c>
      <c r="AW52" s="6188" cm="1">
        <f t="array" ref="AW52">IF(AK52&lt;&gt;1,0,IF(OR(AU52="",N(AU52)&lt;=0.000000001),"",IF(OR(AO52="",N(AO52)&lt;=0.000000001),0,IF(ISNUMBER(AU52),IFERROR(_xlfn.LET(_xlpm.ai_test,TRIM(AJ52),_xlpm.r,IFERROR(_xlfn.XLOOKUP(_xlpm.ai_test,$BJ$15:$BJ$62,ROW($BJ$15:$BJ$62),0,1),IFERROR(_xlfn.XLOOKUP(_xlpm.ai_test,$BK$15:$BK$62,ROW($BK$15:$BK$62),0,1),_xlfn.XLOOKUP(_xlpm.ai_test,$BL$15:$BL$62,ROW($BL$15:$BL$62),0,1))),_xlpm.p,_xlpm.r-MIN(ROW($BJ$15:$BJ$62))+1,_xlpm.f,INDEX($BM$15:$BM$62,_xlpm.p),_xlpm.u,INDEX($BN$15:$BN$62,_xlpm.p),_xlpm.s,INDEX($BP$15:$BP$62,_xlpm.p),_xlpm.q,N(AU52)/_xlpm.f,IF(_xlpm.q&gt;=_xlpm.s,ROUND(_xlpm.q,1)&amp;" "&amp;_xlpm.ai_test&amp;" = "&amp;ROUND(_xlpm.q*_xlpm.f,1)&amp;" "&amp;_xlpm.u,ROUND(_xlpm.q,1)&amp;" "&amp;_xlpm.ai_test)),""),""))))</f>
        <v>0</v>
      </c>
      <c r="AX52" s="6218"/>
      <c r="AY52" s="6271">
        <f t="shared" si="30"/>
        <v>0</v>
      </c>
      <c r="AZ52" s="6242" t="str">
        <f t="shared" si="31"/>
        <v/>
      </c>
      <c r="BA52" s="6194">
        <f t="shared" si="37"/>
        <v>0</v>
      </c>
      <c r="BB52" s="6192" t="str">
        <f t="shared" si="32"/>
        <v/>
      </c>
      <c r="BC52" s="6219"/>
      <c r="BD52" s="6221">
        <f t="shared" si="39"/>
        <v>0</v>
      </c>
      <c r="BE52" s="6220" t="str">
        <f t="shared" si="34"/>
        <v/>
      </c>
      <c r="BF52" s="4" t="s">
        <v>1</v>
      </c>
      <c r="BG52" s="6196">
        <f t="shared" si="35"/>
        <v>0</v>
      </c>
      <c r="BH52" s="6197">
        <f t="shared" si="36"/>
        <v>0</v>
      </c>
      <c r="BI52" s="187"/>
      <c r="BJ52" s="6705" t="s">
        <v>106</v>
      </c>
      <c r="BK52" s="6705" t="s">
        <v>106</v>
      </c>
      <c r="BL52" s="6705" t="s">
        <v>9654</v>
      </c>
      <c r="BM52" s="6304">
        <f t="shared" si="40"/>
        <v>0.04</v>
      </c>
      <c r="BN52" s="6274" t="s">
        <v>8766</v>
      </c>
      <c r="BO52" s="6274" t="s">
        <v>8774</v>
      </c>
      <c r="BP52" s="223">
        <f t="shared" si="38"/>
        <v>25</v>
      </c>
      <c r="BQ52" s="222">
        <v>40</v>
      </c>
      <c r="BR52" s="187"/>
      <c r="BS52" s="187"/>
      <c r="BT52" s="187"/>
      <c r="BU52" s="187"/>
      <c r="BV52" s="187"/>
      <c r="BW52" s="187"/>
      <c r="BX52" s="20" t="str">
        <f t="shared" si="11"/>
        <v>►</v>
      </c>
      <c r="BY52" s="5819"/>
      <c r="BZ52" s="228"/>
      <c r="CA52" s="228"/>
      <c r="CB52" s="227"/>
      <c r="CC52" s="227"/>
      <c r="CD52" s="5661"/>
      <c r="CE52" s="954"/>
      <c r="CF52" s="955"/>
      <c r="CG52" s="955"/>
      <c r="CH52" s="955"/>
      <c r="CI52" s="955"/>
      <c r="CJ52" s="955"/>
      <c r="CK52" s="956"/>
      <c r="CM52" s="954"/>
      <c r="CN52" s="955"/>
      <c r="CO52" s="955"/>
      <c r="CP52" s="955"/>
      <c r="CQ52" s="955"/>
      <c r="CR52" s="955"/>
      <c r="CS52" s="956"/>
      <c r="CU52" s="954"/>
      <c r="CV52" s="955"/>
      <c r="CW52" s="955"/>
      <c r="CX52" s="955"/>
      <c r="CY52" s="955"/>
      <c r="CZ52" s="955"/>
      <c r="DA52" s="956"/>
      <c r="DC52" s="5">
        <v>1</v>
      </c>
    </row>
    <row r="53" spans="1:107" s="1" customFormat="1" ht="21" customHeight="1">
      <c r="A53" s="5641" t="s">
        <v>1</v>
      </c>
      <c r="B53" s="5662" t="str">
        <f t="shared" si="10"/>
        <v>►</v>
      </c>
      <c r="C53" s="5825" cm="1">
        <f t="array" ref="C53">SUMPRODUCT(LEN(D53:J53))</f>
        <v>0</v>
      </c>
      <c r="D53" s="5275"/>
      <c r="E53" s="1361"/>
      <c r="F53" s="1361"/>
      <c r="G53" s="1361"/>
      <c r="H53" s="1361"/>
      <c r="I53" s="1361"/>
      <c r="J53" s="5276"/>
      <c r="K53" s="106"/>
      <c r="L53" s="1021" t="s">
        <v>26</v>
      </c>
      <c r="M53" s="6787"/>
      <c r="N53" s="6787"/>
      <c r="O53" s="6787"/>
      <c r="P53" s="6788"/>
      <c r="Q53" s="6789"/>
      <c r="R53" s="6790"/>
      <c r="S53" s="6786"/>
      <c r="T53" s="6791"/>
      <c r="U53" s="6844"/>
      <c r="V53" s="6791"/>
      <c r="W53" s="8487"/>
      <c r="X53" s="6871"/>
      <c r="Y53" s="6793"/>
      <c r="Z53" s="6794"/>
      <c r="AA53" s="6795"/>
      <c r="AB53" s="6796"/>
      <c r="AC53" s="6797"/>
      <c r="AD53" s="6798"/>
      <c r="AE53" s="4" t="s">
        <v>1</v>
      </c>
      <c r="AF53" s="6202" t="str">
        <f t="shared" si="16"/>
        <v>►</v>
      </c>
      <c r="AG53" s="6234" t="str">
        <f t="shared" si="17"/>
        <v/>
      </c>
      <c r="AH53" s="6732" t="str">
        <f t="shared" si="18"/>
        <v/>
      </c>
      <c r="AI53" s="6234" t="str">
        <f t="shared" si="19"/>
        <v/>
      </c>
      <c r="AJ53" s="6732" t="str">
        <f t="shared" si="20"/>
        <v/>
      </c>
      <c r="AK53" s="6732">
        <f t="shared" si="21"/>
        <v>0</v>
      </c>
      <c r="AL53" s="6230" t="str" cm="1">
        <f t="array" ref="AL53">IF(AF53&lt;&gt;"A","",IFERROR((IFERROR(_xlfn.XLOOKUP(TRIM(SUBSTITUTE(U53,CHAR(160)," ")),$BJ$15:$BJ$62,$BM$15:$BM$62),IFERROR(_xlfn.XLOOKUP(TRIM(SUBSTITUTE(U53,CHAR(160)," ")),$BK$15:$BK$62,$BM$15:$BM$62),_xlfn.XLOOKUP(TRIM(SUBSTITUTE(U53,CHAR(160)," ")),$BL$15:$BL$62,$BM$15:$BM$62))))*T53*IF(ISBLANK(Q53),1,Q53)+IFERROR(_xlfn.XLOOKUP("RECHERCHEX",TRIM(L53:AD53),L53:AD53),0),0))</f>
        <v/>
      </c>
      <c r="AM53" s="6229">
        <f t="shared" si="22"/>
        <v>0</v>
      </c>
      <c r="AN53" s="6857" t="str">
        <f t="shared" si="41"/>
        <v/>
      </c>
      <c r="AO53" s="392">
        <f t="shared" si="24"/>
        <v>0</v>
      </c>
      <c r="AP53" s="392">
        <f t="shared" si="25"/>
        <v>0</v>
      </c>
      <c r="AQ53" s="6191">
        <f t="shared" si="26"/>
        <v>0</v>
      </c>
      <c r="AR53" s="6859" t="str">
        <f t="shared" si="27"/>
        <v/>
      </c>
      <c r="AS53" s="6217"/>
      <c r="AT53" s="6217"/>
      <c r="AU53" s="6272">
        <f t="shared" si="28"/>
        <v>0</v>
      </c>
      <c r="AV53" s="6240">
        <f t="shared" si="29"/>
        <v>0</v>
      </c>
      <c r="AW53" s="6189" cm="1">
        <f t="array" ref="AW53">IF(AK53&lt;&gt;1,0,IF(OR(AU53="",N(AU53)&lt;=0.000000001),"",IF(OR(AO53="",N(AO53)&lt;=0.000000001),0,IF(ISNUMBER(AU53),IFERROR(_xlfn.LET(_xlpm.ai_test,TRIM(AJ53),_xlpm.r,IFERROR(_xlfn.XLOOKUP(_xlpm.ai_test,$BJ$15:$BJ$62,ROW($BJ$15:$BJ$62),0,1),IFERROR(_xlfn.XLOOKUP(_xlpm.ai_test,$BK$15:$BK$62,ROW($BK$15:$BK$62),0,1),_xlfn.XLOOKUP(_xlpm.ai_test,$BL$15:$BL$62,ROW($BL$15:$BL$62),0,1))),_xlpm.p,_xlpm.r-MIN(ROW($BJ$15:$BJ$62))+1,_xlpm.f,INDEX($BM$15:$BM$62,_xlpm.p),_xlpm.u,INDEX($BN$15:$BN$62,_xlpm.p),_xlpm.s,INDEX($BP$15:$BP$62,_xlpm.p),_xlpm.q,N(AU53)/_xlpm.f,IF(_xlpm.q&gt;=_xlpm.s,ROUND(_xlpm.q,1)&amp;" "&amp;_xlpm.ai_test&amp;" = "&amp;ROUND(_xlpm.q*_xlpm.f,1)&amp;" "&amp;_xlpm.u,ROUND(_xlpm.q,1)&amp;" "&amp;_xlpm.ai_test)),""),""))))</f>
        <v>0</v>
      </c>
      <c r="AX53" s="6218"/>
      <c r="AY53" s="6272">
        <f t="shared" si="30"/>
        <v>0</v>
      </c>
      <c r="AZ53" s="6240" t="str">
        <f t="shared" si="31"/>
        <v/>
      </c>
      <c r="BA53" s="6195">
        <f t="shared" si="37"/>
        <v>0</v>
      </c>
      <c r="BB53" s="6193" t="str">
        <f t="shared" si="32"/>
        <v/>
      </c>
      <c r="BC53" s="6219"/>
      <c r="BD53" s="6222">
        <f t="shared" si="39"/>
        <v>0</v>
      </c>
      <c r="BE53" s="6220" t="str">
        <f t="shared" si="34"/>
        <v/>
      </c>
      <c r="BF53" s="4" t="s">
        <v>1</v>
      </c>
      <c r="BG53" s="6196">
        <f t="shared" si="35"/>
        <v>0</v>
      </c>
      <c r="BH53" s="6197">
        <f t="shared" si="36"/>
        <v>0</v>
      </c>
      <c r="BI53" s="187"/>
      <c r="BJ53" s="6705" t="s">
        <v>104</v>
      </c>
      <c r="BK53" s="6705" t="s">
        <v>104</v>
      </c>
      <c r="BL53" s="6705" t="s">
        <v>104</v>
      </c>
      <c r="BM53" s="6304">
        <f t="shared" si="40"/>
        <v>4.4999999999999998E-2</v>
      </c>
      <c r="BN53" s="6274" t="s">
        <v>8766</v>
      </c>
      <c r="BO53" s="6274" t="s">
        <v>8774</v>
      </c>
      <c r="BP53" s="223">
        <f t="shared" si="38"/>
        <v>22</v>
      </c>
      <c r="BQ53" s="222">
        <v>45</v>
      </c>
      <c r="BR53" s="187"/>
      <c r="BS53" s="187"/>
      <c r="BT53" s="187"/>
      <c r="BU53" s="187"/>
      <c r="BV53" s="187"/>
      <c r="BW53" s="187"/>
      <c r="BX53" s="20" t="str">
        <f t="shared" si="11"/>
        <v>►</v>
      </c>
      <c r="BY53" s="5819"/>
      <c r="BZ53" s="228"/>
      <c r="CA53" s="228"/>
      <c r="CB53" s="227"/>
      <c r="CC53" s="227"/>
      <c r="CD53" s="5661"/>
      <c r="CE53" s="5939" t="s">
        <v>8538</v>
      </c>
      <c r="CF53" s="5940"/>
      <c r="CG53" s="5940"/>
      <c r="CH53" s="5940"/>
      <c r="CI53" s="5940"/>
      <c r="CJ53" s="5940"/>
      <c r="CK53" s="5941"/>
      <c r="CM53" s="5939" t="s">
        <v>8789</v>
      </c>
      <c r="CN53" s="5940"/>
      <c r="CO53" s="5940"/>
      <c r="CP53" s="5940"/>
      <c r="CQ53" s="5940"/>
      <c r="CR53" s="5940"/>
      <c r="CS53" s="5941"/>
      <c r="CU53" s="5939" t="s">
        <v>8825</v>
      </c>
      <c r="CV53" s="5940"/>
      <c r="CW53" s="5940"/>
      <c r="CX53" s="5940"/>
      <c r="CY53" s="5940"/>
      <c r="CZ53" s="5940"/>
      <c r="DA53" s="5941"/>
      <c r="DC53" s="5">
        <v>1</v>
      </c>
    </row>
    <row r="54" spans="1:107" s="1" customFormat="1" ht="21" customHeight="1">
      <c r="A54" s="5641" t="s">
        <v>1</v>
      </c>
      <c r="B54" s="5662" t="str">
        <f t="shared" si="10"/>
        <v>►</v>
      </c>
      <c r="C54" s="5825" cm="1">
        <f t="array" ref="C54">SUMPRODUCT(LEN(D54:J54))</f>
        <v>0</v>
      </c>
      <c r="D54" s="5275"/>
      <c r="E54" s="1361"/>
      <c r="F54" s="1361"/>
      <c r="G54" s="1361"/>
      <c r="H54" s="1361"/>
      <c r="I54" s="1361"/>
      <c r="J54" s="5276"/>
      <c r="K54" s="106"/>
      <c r="L54" s="1021" t="s">
        <v>26</v>
      </c>
      <c r="M54" s="6787"/>
      <c r="N54" s="6787"/>
      <c r="O54" s="6787"/>
      <c r="P54" s="6788"/>
      <c r="Q54" s="6789"/>
      <c r="R54" s="6790"/>
      <c r="S54" s="6786"/>
      <c r="T54" s="6791"/>
      <c r="U54" s="6844"/>
      <c r="V54" s="6791"/>
      <c r="W54" s="8487"/>
      <c r="X54" s="6871"/>
      <c r="Y54" s="6793"/>
      <c r="Z54" s="6794"/>
      <c r="AA54" s="6795"/>
      <c r="AB54" s="6796"/>
      <c r="AC54" s="6797"/>
      <c r="AD54" s="6798"/>
      <c r="AE54" s="4" t="s">
        <v>1</v>
      </c>
      <c r="AF54" s="6202" t="str">
        <f t="shared" si="16"/>
        <v>►</v>
      </c>
      <c r="AG54" s="6234" t="str">
        <f t="shared" si="17"/>
        <v/>
      </c>
      <c r="AH54" s="6732" t="str">
        <f t="shared" si="18"/>
        <v/>
      </c>
      <c r="AI54" s="6234" t="str">
        <f t="shared" si="19"/>
        <v/>
      </c>
      <c r="AJ54" s="6732" t="str">
        <f t="shared" si="20"/>
        <v/>
      </c>
      <c r="AK54" s="6732">
        <f t="shared" si="21"/>
        <v>0</v>
      </c>
      <c r="AL54" s="6230" t="str" cm="1">
        <f t="array" ref="AL54">IF(AF54&lt;&gt;"A","",IFERROR((IFERROR(_xlfn.XLOOKUP(TRIM(SUBSTITUTE(U54,CHAR(160)," ")),$BJ$15:$BJ$62,$BM$15:$BM$62),IFERROR(_xlfn.XLOOKUP(TRIM(SUBSTITUTE(U54,CHAR(160)," ")),$BK$15:$BK$62,$BM$15:$BM$62),_xlfn.XLOOKUP(TRIM(SUBSTITUTE(U54,CHAR(160)," ")),$BL$15:$BL$62,$BM$15:$BM$62))))*T54*IF(ISBLANK(Q54),1,Q54)+IFERROR(_xlfn.XLOOKUP("RECHERCHEX",TRIM(L54:AD54),L54:AD54),0),0))</f>
        <v/>
      </c>
      <c r="AM54" s="6229">
        <f t="shared" si="22"/>
        <v>0</v>
      </c>
      <c r="AN54" s="6857" t="str">
        <f t="shared" si="41"/>
        <v/>
      </c>
      <c r="AO54" s="392">
        <f t="shared" si="24"/>
        <v>0</v>
      </c>
      <c r="AP54" s="392">
        <f t="shared" si="25"/>
        <v>0</v>
      </c>
      <c r="AQ54" s="6190">
        <f t="shared" si="26"/>
        <v>0</v>
      </c>
      <c r="AR54" s="6858" t="str">
        <f t="shared" si="27"/>
        <v/>
      </c>
      <c r="AS54" s="6217"/>
      <c r="AT54" s="6217"/>
      <c r="AU54" s="6271">
        <f t="shared" si="28"/>
        <v>0</v>
      </c>
      <c r="AV54" s="6242">
        <f t="shared" si="29"/>
        <v>0</v>
      </c>
      <c r="AW54" s="6188" cm="1">
        <f t="array" ref="AW54">IF(AK54&lt;&gt;1,0,IF(OR(AU54="",N(AU54)&lt;=0.000000001),"",IF(OR(AO54="",N(AO54)&lt;=0.000000001),0,IF(ISNUMBER(AU54),IFERROR(_xlfn.LET(_xlpm.ai_test,TRIM(AJ54),_xlpm.r,IFERROR(_xlfn.XLOOKUP(_xlpm.ai_test,$BJ$15:$BJ$62,ROW($BJ$15:$BJ$62),0,1),IFERROR(_xlfn.XLOOKUP(_xlpm.ai_test,$BK$15:$BK$62,ROW($BK$15:$BK$62),0,1),_xlfn.XLOOKUP(_xlpm.ai_test,$BL$15:$BL$62,ROW($BL$15:$BL$62),0,1))),_xlpm.p,_xlpm.r-MIN(ROW($BJ$15:$BJ$62))+1,_xlpm.f,INDEX($BM$15:$BM$62,_xlpm.p),_xlpm.u,INDEX($BN$15:$BN$62,_xlpm.p),_xlpm.s,INDEX($BP$15:$BP$62,_xlpm.p),_xlpm.q,N(AU54)/_xlpm.f,IF(_xlpm.q&gt;=_xlpm.s,ROUND(_xlpm.q,1)&amp;" "&amp;_xlpm.ai_test&amp;" = "&amp;ROUND(_xlpm.q*_xlpm.f,1)&amp;" "&amp;_xlpm.u,ROUND(_xlpm.q,1)&amp;" "&amp;_xlpm.ai_test)),""),""))))</f>
        <v>0</v>
      </c>
      <c r="AX54" s="6218"/>
      <c r="AY54" s="6271">
        <f t="shared" si="30"/>
        <v>0</v>
      </c>
      <c r="AZ54" s="6242" t="str">
        <f t="shared" si="31"/>
        <v/>
      </c>
      <c r="BA54" s="6194">
        <f t="shared" si="37"/>
        <v>0</v>
      </c>
      <c r="BB54" s="6192" t="str">
        <f t="shared" si="32"/>
        <v/>
      </c>
      <c r="BC54" s="6219"/>
      <c r="BD54" s="6221">
        <f t="shared" si="39"/>
        <v>0</v>
      </c>
      <c r="BE54" s="6220" t="str">
        <f t="shared" si="34"/>
        <v/>
      </c>
      <c r="BF54" s="4" t="s">
        <v>1</v>
      </c>
      <c r="BG54" s="6196">
        <f t="shared" si="35"/>
        <v>0</v>
      </c>
      <c r="BH54" s="6197">
        <f t="shared" si="36"/>
        <v>0</v>
      </c>
      <c r="BI54" s="187"/>
      <c r="BJ54" s="6705" t="s">
        <v>102</v>
      </c>
      <c r="BK54" s="6705" t="s">
        <v>102</v>
      </c>
      <c r="BL54" s="6705" t="s">
        <v>102</v>
      </c>
      <c r="BM54" s="6304">
        <f t="shared" si="40"/>
        <v>0.15</v>
      </c>
      <c r="BN54" s="6274" t="s">
        <v>8766</v>
      </c>
      <c r="BO54" s="6274" t="s">
        <v>8774</v>
      </c>
      <c r="BP54" s="223">
        <f t="shared" si="38"/>
        <v>7</v>
      </c>
      <c r="BQ54" s="222">
        <v>150</v>
      </c>
      <c r="BR54" s="187"/>
      <c r="BS54" s="187"/>
      <c r="BT54" s="187"/>
      <c r="BU54" s="187"/>
      <c r="BV54" s="187"/>
      <c r="BW54" s="187"/>
      <c r="BX54" s="20" t="str">
        <f t="shared" si="11"/>
        <v>►</v>
      </c>
      <c r="BY54" s="5819"/>
      <c r="BZ54" s="228"/>
      <c r="CA54" s="228"/>
      <c r="CB54" s="227"/>
      <c r="CC54" s="227"/>
      <c r="CD54" s="5661"/>
      <c r="CE54" s="5947" t="s">
        <v>8541</v>
      </c>
      <c r="CF54" s="5940"/>
      <c r="CG54" s="5940"/>
      <c r="CH54" s="5940"/>
      <c r="CI54" s="5940"/>
      <c r="CJ54" s="5940"/>
      <c r="CK54" s="5948" t="s">
        <v>8542</v>
      </c>
      <c r="CM54" s="5947" t="s">
        <v>9655</v>
      </c>
      <c r="CN54" s="5940"/>
      <c r="CO54" s="5940"/>
      <c r="CP54" s="5940"/>
      <c r="CQ54" s="5940"/>
      <c r="CR54" s="5940"/>
      <c r="CS54" s="5948" t="s">
        <v>9656</v>
      </c>
      <c r="CU54" s="5947" t="s">
        <v>9657</v>
      </c>
      <c r="CV54" s="5940"/>
      <c r="CW54" s="5940"/>
      <c r="CX54" s="5940"/>
      <c r="CY54" s="5940"/>
      <c r="CZ54" s="5940"/>
      <c r="DA54" s="5948" t="s">
        <v>9658</v>
      </c>
      <c r="DC54" s="5">
        <v>1</v>
      </c>
    </row>
    <row r="55" spans="1:107" s="1" customFormat="1" ht="21" customHeight="1">
      <c r="A55" s="5641" t="s">
        <v>1</v>
      </c>
      <c r="B55" s="5662" t="str">
        <f t="shared" si="10"/>
        <v>►</v>
      </c>
      <c r="C55" s="5825" cm="1">
        <f t="array" ref="C55">SUMPRODUCT(LEN(D55:J55))</f>
        <v>0</v>
      </c>
      <c r="D55" s="5275"/>
      <c r="E55" s="1361"/>
      <c r="F55" s="1361"/>
      <c r="G55" s="1361"/>
      <c r="H55" s="1361"/>
      <c r="I55" s="1361"/>
      <c r="J55" s="5276"/>
      <c r="K55" s="106"/>
      <c r="L55" s="1021" t="s">
        <v>26</v>
      </c>
      <c r="M55" s="6787"/>
      <c r="N55" s="6787"/>
      <c r="O55" s="6787"/>
      <c r="P55" s="6788"/>
      <c r="Q55" s="6789"/>
      <c r="R55" s="6790"/>
      <c r="S55" s="6786"/>
      <c r="T55" s="6791"/>
      <c r="U55" s="6844"/>
      <c r="V55" s="6791"/>
      <c r="W55" s="8487"/>
      <c r="X55" s="6871"/>
      <c r="Y55" s="6793"/>
      <c r="Z55" s="6794"/>
      <c r="AA55" s="6795"/>
      <c r="AB55" s="6796"/>
      <c r="AC55" s="6797"/>
      <c r="AD55" s="6798"/>
      <c r="AE55" s="4" t="s">
        <v>1</v>
      </c>
      <c r="AF55" s="6202" t="str">
        <f t="shared" si="16"/>
        <v>►</v>
      </c>
      <c r="AG55" s="6234" t="str">
        <f t="shared" si="17"/>
        <v/>
      </c>
      <c r="AH55" s="6732" t="str">
        <f t="shared" si="18"/>
        <v/>
      </c>
      <c r="AI55" s="6234" t="str">
        <f t="shared" si="19"/>
        <v/>
      </c>
      <c r="AJ55" s="6732" t="str">
        <f t="shared" si="20"/>
        <v/>
      </c>
      <c r="AK55" s="6732">
        <f t="shared" si="21"/>
        <v>0</v>
      </c>
      <c r="AL55" s="6230" t="str" cm="1">
        <f t="array" ref="AL55">IF(AF55&lt;&gt;"A","",IFERROR((IFERROR(_xlfn.XLOOKUP(TRIM(SUBSTITUTE(U55,CHAR(160)," ")),$BJ$15:$BJ$62,$BM$15:$BM$62),IFERROR(_xlfn.XLOOKUP(TRIM(SUBSTITUTE(U55,CHAR(160)," ")),$BK$15:$BK$62,$BM$15:$BM$62),_xlfn.XLOOKUP(TRIM(SUBSTITUTE(U55,CHAR(160)," ")),$BL$15:$BL$62,$BM$15:$BM$62))))*T55*IF(ISBLANK(Q55),1,Q55)+IFERROR(_xlfn.XLOOKUP("RECHERCHEX",TRIM(L55:AD55),L55:AD55),0),0))</f>
        <v/>
      </c>
      <c r="AM55" s="6229">
        <f t="shared" si="22"/>
        <v>0</v>
      </c>
      <c r="AN55" s="6857" t="str">
        <f t="shared" si="41"/>
        <v/>
      </c>
      <c r="AO55" s="392">
        <f t="shared" si="24"/>
        <v>0</v>
      </c>
      <c r="AP55" s="392">
        <f t="shared" si="25"/>
        <v>0</v>
      </c>
      <c r="AQ55" s="6191">
        <f t="shared" si="26"/>
        <v>0</v>
      </c>
      <c r="AR55" s="6859" t="str">
        <f t="shared" si="27"/>
        <v/>
      </c>
      <c r="AS55" s="6217"/>
      <c r="AT55" s="6217"/>
      <c r="AU55" s="6272">
        <f t="shared" si="28"/>
        <v>0</v>
      </c>
      <c r="AV55" s="6240">
        <f t="shared" si="29"/>
        <v>0</v>
      </c>
      <c r="AW55" s="6189" cm="1">
        <f t="array" ref="AW55">IF(AK55&lt;&gt;1,0,IF(OR(AU55="",N(AU55)&lt;=0.000000001),"",IF(OR(AO55="",N(AO55)&lt;=0.000000001),0,IF(ISNUMBER(AU55),IFERROR(_xlfn.LET(_xlpm.ai_test,TRIM(AJ55),_xlpm.r,IFERROR(_xlfn.XLOOKUP(_xlpm.ai_test,$BJ$15:$BJ$62,ROW($BJ$15:$BJ$62),0,1),IFERROR(_xlfn.XLOOKUP(_xlpm.ai_test,$BK$15:$BK$62,ROW($BK$15:$BK$62),0,1),_xlfn.XLOOKUP(_xlpm.ai_test,$BL$15:$BL$62,ROW($BL$15:$BL$62),0,1))),_xlpm.p,_xlpm.r-MIN(ROW($BJ$15:$BJ$62))+1,_xlpm.f,INDEX($BM$15:$BM$62,_xlpm.p),_xlpm.u,INDEX($BN$15:$BN$62,_xlpm.p),_xlpm.s,INDEX($BP$15:$BP$62,_xlpm.p),_xlpm.q,N(AU55)/_xlpm.f,IF(_xlpm.q&gt;=_xlpm.s,ROUND(_xlpm.q,1)&amp;" "&amp;_xlpm.ai_test&amp;" = "&amp;ROUND(_xlpm.q*_xlpm.f,1)&amp;" "&amp;_xlpm.u,ROUND(_xlpm.q,1)&amp;" "&amp;_xlpm.ai_test)),""),""))))</f>
        <v>0</v>
      </c>
      <c r="AX55" s="6218"/>
      <c r="AY55" s="6272">
        <f t="shared" si="30"/>
        <v>0</v>
      </c>
      <c r="AZ55" s="6240" t="str">
        <f t="shared" si="31"/>
        <v/>
      </c>
      <c r="BA55" s="6195">
        <f t="shared" si="37"/>
        <v>0</v>
      </c>
      <c r="BB55" s="6193" t="str">
        <f t="shared" si="32"/>
        <v/>
      </c>
      <c r="BC55" s="6219"/>
      <c r="BD55" s="6222">
        <f t="shared" si="39"/>
        <v>0</v>
      </c>
      <c r="BE55" s="6220" t="str">
        <f t="shared" si="34"/>
        <v/>
      </c>
      <c r="BF55" s="4" t="s">
        <v>1</v>
      </c>
      <c r="BG55" s="6196">
        <f t="shared" si="35"/>
        <v>0</v>
      </c>
      <c r="BH55" s="6197">
        <f t="shared" si="36"/>
        <v>0</v>
      </c>
      <c r="BI55" s="187"/>
      <c r="BJ55" s="6705" t="s">
        <v>100</v>
      </c>
      <c r="BK55" s="6705" t="s">
        <v>100</v>
      </c>
      <c r="BL55" s="6705" t="s">
        <v>9659</v>
      </c>
      <c r="BM55" s="6304">
        <f t="shared" si="40"/>
        <v>0.25</v>
      </c>
      <c r="BN55" s="6274" t="s">
        <v>8766</v>
      </c>
      <c r="BO55" s="6274" t="s">
        <v>8774</v>
      </c>
      <c r="BP55" s="223">
        <f t="shared" si="38"/>
        <v>4</v>
      </c>
      <c r="BQ55" s="222">
        <v>250</v>
      </c>
      <c r="BR55" s="187"/>
      <c r="BS55" s="187"/>
      <c r="BT55" s="187"/>
      <c r="BU55" s="187"/>
      <c r="BV55" s="187"/>
      <c r="BW55" s="187"/>
      <c r="BX55" s="20" t="str">
        <f t="shared" si="11"/>
        <v>►</v>
      </c>
      <c r="BY55" s="5819"/>
      <c r="BZ55" s="228"/>
      <c r="CA55" s="228"/>
      <c r="CB55" s="227"/>
      <c r="CC55" s="227"/>
      <c r="CD55" s="5661"/>
      <c r="CE55" s="5947" t="s">
        <v>8547</v>
      </c>
      <c r="CF55" s="5940"/>
      <c r="CG55" s="5940"/>
      <c r="CH55" s="5940"/>
      <c r="CI55" s="5940"/>
      <c r="CJ55" s="5940"/>
      <c r="CK55" s="5948" t="s">
        <v>8548</v>
      </c>
      <c r="CM55" s="5947" t="s">
        <v>9660</v>
      </c>
      <c r="CN55" s="5940"/>
      <c r="CO55" s="5940"/>
      <c r="CP55" s="5940"/>
      <c r="CQ55" s="5940"/>
      <c r="CR55" s="5940"/>
      <c r="CS55" s="5948" t="s">
        <v>9661</v>
      </c>
      <c r="CU55" s="5947" t="s">
        <v>9662</v>
      </c>
      <c r="CV55" s="5940"/>
      <c r="CW55" s="5940"/>
      <c r="CX55" s="5940"/>
      <c r="CY55" s="5940"/>
      <c r="CZ55" s="5940"/>
      <c r="DA55" s="5948" t="s">
        <v>9663</v>
      </c>
      <c r="DC55" s="5">
        <v>1</v>
      </c>
    </row>
    <row r="56" spans="1:107" s="1" customFormat="1" ht="21" customHeight="1">
      <c r="A56" s="5641" t="s">
        <v>1</v>
      </c>
      <c r="B56" s="5662" t="str">
        <f t="shared" si="10"/>
        <v>►</v>
      </c>
      <c r="C56" s="5825" cm="1">
        <f t="array" ref="C56">SUMPRODUCT(LEN(D56:J56))</f>
        <v>0</v>
      </c>
      <c r="D56" s="5275"/>
      <c r="E56" s="1361"/>
      <c r="F56" s="1361"/>
      <c r="G56" s="1361"/>
      <c r="H56" s="1361"/>
      <c r="I56" s="1361"/>
      <c r="J56" s="5276"/>
      <c r="K56" s="106"/>
      <c r="L56" s="1021" t="s">
        <v>26</v>
      </c>
      <c r="M56" s="6787"/>
      <c r="N56" s="6787"/>
      <c r="O56" s="6787"/>
      <c r="P56" s="6788"/>
      <c r="Q56" s="6789"/>
      <c r="R56" s="6790"/>
      <c r="S56" s="6786"/>
      <c r="T56" s="6791"/>
      <c r="U56" s="6844"/>
      <c r="V56" s="6791"/>
      <c r="W56" s="8487"/>
      <c r="X56" s="6871"/>
      <c r="Y56" s="6793"/>
      <c r="Z56" s="6794"/>
      <c r="AA56" s="6795"/>
      <c r="AB56" s="6796"/>
      <c r="AC56" s="6797"/>
      <c r="AD56" s="6798"/>
      <c r="AE56" s="4" t="s">
        <v>1</v>
      </c>
      <c r="AF56" s="6202" t="str">
        <f t="shared" si="16"/>
        <v>►</v>
      </c>
      <c r="AG56" s="6234" t="str">
        <f t="shared" si="17"/>
        <v/>
      </c>
      <c r="AH56" s="6732" t="str">
        <f t="shared" si="18"/>
        <v/>
      </c>
      <c r="AI56" s="6234" t="str">
        <f t="shared" si="19"/>
        <v/>
      </c>
      <c r="AJ56" s="6732" t="str">
        <f t="shared" si="20"/>
        <v/>
      </c>
      <c r="AK56" s="6732">
        <f t="shared" si="21"/>
        <v>0</v>
      </c>
      <c r="AL56" s="6230" t="str" cm="1">
        <f t="array" ref="AL56">IF(AF56&lt;&gt;"A","",IFERROR((IFERROR(_xlfn.XLOOKUP(TRIM(SUBSTITUTE(U56,CHAR(160)," ")),$BJ$15:$BJ$62,$BM$15:$BM$62),IFERROR(_xlfn.XLOOKUP(TRIM(SUBSTITUTE(U56,CHAR(160)," ")),$BK$15:$BK$62,$BM$15:$BM$62),_xlfn.XLOOKUP(TRIM(SUBSTITUTE(U56,CHAR(160)," ")),$BL$15:$BL$62,$BM$15:$BM$62))))*T56*IF(ISBLANK(Q56),1,Q56)+IFERROR(_xlfn.XLOOKUP("RECHERCHEX",TRIM(L56:AD56),L56:AD56),0),0))</f>
        <v/>
      </c>
      <c r="AM56" s="6229">
        <f t="shared" si="22"/>
        <v>0</v>
      </c>
      <c r="AN56" s="6857" t="str">
        <f t="shared" si="41"/>
        <v/>
      </c>
      <c r="AO56" s="392">
        <f t="shared" si="24"/>
        <v>0</v>
      </c>
      <c r="AP56" s="392">
        <f t="shared" si="25"/>
        <v>0</v>
      </c>
      <c r="AQ56" s="6190">
        <f t="shared" si="26"/>
        <v>0</v>
      </c>
      <c r="AR56" s="6858" t="str">
        <f t="shared" si="27"/>
        <v/>
      </c>
      <c r="AS56" s="6217"/>
      <c r="AT56" s="6217"/>
      <c r="AU56" s="6271">
        <f t="shared" si="28"/>
        <v>0</v>
      </c>
      <c r="AV56" s="6242">
        <f t="shared" si="29"/>
        <v>0</v>
      </c>
      <c r="AW56" s="6188" cm="1">
        <f t="array" ref="AW56">IF(AK56&lt;&gt;1,0,IF(OR(AU56="",N(AU56)&lt;=0.000000001),"",IF(OR(AO56="",N(AO56)&lt;=0.000000001),0,IF(ISNUMBER(AU56),IFERROR(_xlfn.LET(_xlpm.ai_test,TRIM(AJ56),_xlpm.r,IFERROR(_xlfn.XLOOKUP(_xlpm.ai_test,$BJ$15:$BJ$62,ROW($BJ$15:$BJ$62),0,1),IFERROR(_xlfn.XLOOKUP(_xlpm.ai_test,$BK$15:$BK$62,ROW($BK$15:$BK$62),0,1),_xlfn.XLOOKUP(_xlpm.ai_test,$BL$15:$BL$62,ROW($BL$15:$BL$62),0,1))),_xlpm.p,_xlpm.r-MIN(ROW($BJ$15:$BJ$62))+1,_xlpm.f,INDEX($BM$15:$BM$62,_xlpm.p),_xlpm.u,INDEX($BN$15:$BN$62,_xlpm.p),_xlpm.s,INDEX($BP$15:$BP$62,_xlpm.p),_xlpm.q,N(AU56)/_xlpm.f,IF(_xlpm.q&gt;=_xlpm.s,ROUND(_xlpm.q,1)&amp;" "&amp;_xlpm.ai_test&amp;" = "&amp;ROUND(_xlpm.q*_xlpm.f,1)&amp;" "&amp;_xlpm.u,ROUND(_xlpm.q,1)&amp;" "&amp;_xlpm.ai_test)),""),""))))</f>
        <v>0</v>
      </c>
      <c r="AX56" s="6218"/>
      <c r="AY56" s="6271">
        <f t="shared" si="30"/>
        <v>0</v>
      </c>
      <c r="AZ56" s="6242" t="str">
        <f t="shared" si="31"/>
        <v/>
      </c>
      <c r="BA56" s="6194">
        <f t="shared" si="37"/>
        <v>0</v>
      </c>
      <c r="BB56" s="6192" t="str">
        <f t="shared" si="32"/>
        <v/>
      </c>
      <c r="BC56" s="6219"/>
      <c r="BD56" s="6221">
        <f t="shared" si="39"/>
        <v>0</v>
      </c>
      <c r="BE56" s="6220" t="str">
        <f t="shared" si="34"/>
        <v/>
      </c>
      <c r="BF56" s="4" t="s">
        <v>1</v>
      </c>
      <c r="BG56" s="6196">
        <f t="shared" si="35"/>
        <v>0</v>
      </c>
      <c r="BH56" s="6197">
        <f t="shared" si="36"/>
        <v>0</v>
      </c>
      <c r="BI56" s="187"/>
      <c r="BJ56" s="6705" t="s">
        <v>97</v>
      </c>
      <c r="BK56" s="6705" t="s">
        <v>9664</v>
      </c>
      <c r="BL56" s="6705" t="s">
        <v>9665</v>
      </c>
      <c r="BM56" s="6304">
        <f t="shared" si="40"/>
        <v>0.23699999999999999</v>
      </c>
      <c r="BN56" s="6274" t="s">
        <v>8766</v>
      </c>
      <c r="BO56" s="6274" t="s">
        <v>8774</v>
      </c>
      <c r="BP56" s="223">
        <f t="shared" si="38"/>
        <v>4</v>
      </c>
      <c r="BQ56" s="222">
        <v>237</v>
      </c>
      <c r="BR56" s="187"/>
      <c r="BS56" s="187"/>
      <c r="BT56" s="187"/>
      <c r="BU56" s="187"/>
      <c r="BV56" s="187"/>
      <c r="BW56" s="187"/>
      <c r="BX56" s="20" t="str">
        <f t="shared" si="11"/>
        <v>►</v>
      </c>
      <c r="BY56" s="5819"/>
      <c r="BZ56" s="228"/>
      <c r="CA56" s="228"/>
      <c r="CB56" s="227"/>
      <c r="CC56" s="227"/>
      <c r="CD56" s="5661"/>
      <c r="CE56" s="5947" t="s">
        <v>8550</v>
      </c>
      <c r="CF56" s="5940"/>
      <c r="CG56" s="5940"/>
      <c r="CH56" s="5940"/>
      <c r="CI56" s="5940"/>
      <c r="CJ56" s="5940"/>
      <c r="CK56" s="5941"/>
      <c r="CM56" s="5947" t="s">
        <v>9666</v>
      </c>
      <c r="CN56" s="5940"/>
      <c r="CO56" s="5940"/>
      <c r="CP56" s="5940"/>
      <c r="CQ56" s="5940"/>
      <c r="CR56" s="5940"/>
      <c r="CS56" s="5948" t="s">
        <v>8813</v>
      </c>
      <c r="CU56" s="5947" t="s">
        <v>9667</v>
      </c>
      <c r="CV56" s="5940"/>
      <c r="CW56" s="5940"/>
      <c r="CX56" s="5940"/>
      <c r="CY56" s="5940"/>
      <c r="CZ56" s="5940"/>
      <c r="DA56" s="5948"/>
      <c r="DC56" s="5">
        <v>1</v>
      </c>
    </row>
    <row r="57" spans="1:107" s="1" customFormat="1" ht="21" customHeight="1">
      <c r="A57" s="5641" t="s">
        <v>1</v>
      </c>
      <c r="B57" s="5662" t="str">
        <f t="shared" si="10"/>
        <v>►</v>
      </c>
      <c r="C57" s="5825" cm="1">
        <f t="array" ref="C57">SUMPRODUCT(LEN(D57:J57))</f>
        <v>0</v>
      </c>
      <c r="D57" s="5275"/>
      <c r="E57" s="1361"/>
      <c r="F57" s="1361"/>
      <c r="G57" s="1361"/>
      <c r="H57" s="1361"/>
      <c r="I57" s="1361"/>
      <c r="J57" s="5276"/>
      <c r="K57" s="106"/>
      <c r="L57" s="1021" t="s">
        <v>26</v>
      </c>
      <c r="M57" s="6787"/>
      <c r="N57" s="6787"/>
      <c r="O57" s="6787"/>
      <c r="P57" s="6788"/>
      <c r="Q57" s="6789"/>
      <c r="R57" s="6790"/>
      <c r="S57" s="6786"/>
      <c r="T57" s="6791"/>
      <c r="U57" s="6844"/>
      <c r="V57" s="6791"/>
      <c r="W57" s="8487"/>
      <c r="X57" s="6871"/>
      <c r="Y57" s="6793"/>
      <c r="Z57" s="6794"/>
      <c r="AA57" s="6795"/>
      <c r="AB57" s="6796"/>
      <c r="AC57" s="6797"/>
      <c r="AD57" s="6798"/>
      <c r="AE57" s="4" t="s">
        <v>1</v>
      </c>
      <c r="AF57" s="6202" t="str">
        <f t="shared" si="16"/>
        <v>►</v>
      </c>
      <c r="AG57" s="6234" t="str">
        <f t="shared" si="17"/>
        <v/>
      </c>
      <c r="AH57" s="6732" t="str">
        <f t="shared" si="18"/>
        <v/>
      </c>
      <c r="AI57" s="6234" t="str">
        <f t="shared" si="19"/>
        <v/>
      </c>
      <c r="AJ57" s="6732" t="str">
        <f t="shared" si="20"/>
        <v/>
      </c>
      <c r="AK57" s="6732">
        <f t="shared" si="21"/>
        <v>0</v>
      </c>
      <c r="AL57" s="6230" t="str" cm="1">
        <f t="array" ref="AL57">IF(AF57&lt;&gt;"A","",IFERROR((IFERROR(_xlfn.XLOOKUP(TRIM(SUBSTITUTE(U57,CHAR(160)," ")),$BJ$15:$BJ$62,$BM$15:$BM$62),IFERROR(_xlfn.XLOOKUP(TRIM(SUBSTITUTE(U57,CHAR(160)," ")),$BK$15:$BK$62,$BM$15:$BM$62),_xlfn.XLOOKUP(TRIM(SUBSTITUTE(U57,CHAR(160)," ")),$BL$15:$BL$62,$BM$15:$BM$62))))*T57*IF(ISBLANK(Q57),1,Q57)+IFERROR(_xlfn.XLOOKUP("RECHERCHEX",TRIM(L57:AD57),L57:AD57),0),0))</f>
        <v/>
      </c>
      <c r="AM57" s="6229">
        <f t="shared" si="22"/>
        <v>0</v>
      </c>
      <c r="AN57" s="6857" t="str">
        <f t="shared" si="41"/>
        <v/>
      </c>
      <c r="AO57" s="392">
        <f t="shared" si="24"/>
        <v>0</v>
      </c>
      <c r="AP57" s="392">
        <f t="shared" si="25"/>
        <v>0</v>
      </c>
      <c r="AQ57" s="6191">
        <f t="shared" si="26"/>
        <v>0</v>
      </c>
      <c r="AR57" s="6859" t="str">
        <f t="shared" si="27"/>
        <v/>
      </c>
      <c r="AS57" s="6217"/>
      <c r="AT57" s="6217"/>
      <c r="AU57" s="6272">
        <f t="shared" si="28"/>
        <v>0</v>
      </c>
      <c r="AV57" s="6240">
        <f t="shared" si="29"/>
        <v>0</v>
      </c>
      <c r="AW57" s="6189" cm="1">
        <f t="array" ref="AW57">IF(AK57&lt;&gt;1,0,IF(OR(AU57="",N(AU57)&lt;=0.000000001),"",IF(OR(AO57="",N(AO57)&lt;=0.000000001),0,IF(ISNUMBER(AU57),IFERROR(_xlfn.LET(_xlpm.ai_test,TRIM(AJ57),_xlpm.r,IFERROR(_xlfn.XLOOKUP(_xlpm.ai_test,$BJ$15:$BJ$62,ROW($BJ$15:$BJ$62),0,1),IFERROR(_xlfn.XLOOKUP(_xlpm.ai_test,$BK$15:$BK$62,ROW($BK$15:$BK$62),0,1),_xlfn.XLOOKUP(_xlpm.ai_test,$BL$15:$BL$62,ROW($BL$15:$BL$62),0,1))),_xlpm.p,_xlpm.r-MIN(ROW($BJ$15:$BJ$62))+1,_xlpm.f,INDEX($BM$15:$BM$62,_xlpm.p),_xlpm.u,INDEX($BN$15:$BN$62,_xlpm.p),_xlpm.s,INDEX($BP$15:$BP$62,_xlpm.p),_xlpm.q,N(AU57)/_xlpm.f,IF(_xlpm.q&gt;=_xlpm.s,ROUND(_xlpm.q,1)&amp;" "&amp;_xlpm.ai_test&amp;" = "&amp;ROUND(_xlpm.q*_xlpm.f,1)&amp;" "&amp;_xlpm.u,ROUND(_xlpm.q,1)&amp;" "&amp;_xlpm.ai_test)),""),""))))</f>
        <v>0</v>
      </c>
      <c r="AX57" s="6218"/>
      <c r="AY57" s="6272">
        <f t="shared" si="30"/>
        <v>0</v>
      </c>
      <c r="AZ57" s="6240" t="str">
        <f t="shared" si="31"/>
        <v/>
      </c>
      <c r="BA57" s="6195">
        <f t="shared" si="37"/>
        <v>0</v>
      </c>
      <c r="BB57" s="6193" t="str">
        <f t="shared" si="32"/>
        <v/>
      </c>
      <c r="BC57" s="6219"/>
      <c r="BD57" s="6222">
        <f t="shared" si="39"/>
        <v>0</v>
      </c>
      <c r="BE57" s="6220" t="str">
        <f t="shared" si="34"/>
        <v/>
      </c>
      <c r="BF57" s="4" t="s">
        <v>1</v>
      </c>
      <c r="BG57" s="6196">
        <f t="shared" si="35"/>
        <v>0</v>
      </c>
      <c r="BH57" s="6197">
        <f t="shared" si="36"/>
        <v>0</v>
      </c>
      <c r="BI57" s="187"/>
      <c r="BJ57" s="6705" t="s">
        <v>95</v>
      </c>
      <c r="BK57" s="6705" t="s">
        <v>95</v>
      </c>
      <c r="BL57" s="6705" t="s">
        <v>9668</v>
      </c>
      <c r="BM57" s="6304">
        <f t="shared" si="40"/>
        <v>0.47299999999999998</v>
      </c>
      <c r="BN57" s="6274" t="s">
        <v>8766</v>
      </c>
      <c r="BO57" s="6274" t="s">
        <v>8774</v>
      </c>
      <c r="BP57" s="223">
        <f t="shared" si="38"/>
        <v>2</v>
      </c>
      <c r="BQ57" s="222">
        <v>473</v>
      </c>
      <c r="BR57"/>
      <c r="BS57"/>
      <c r="BT57"/>
      <c r="BU57"/>
      <c r="BV57"/>
      <c r="BW57"/>
      <c r="BX57" s="20" t="str">
        <f t="shared" si="11"/>
        <v>►</v>
      </c>
      <c r="BY57" s="5819"/>
      <c r="BZ57" s="228"/>
      <c r="CA57" s="228"/>
      <c r="CB57" s="227"/>
      <c r="CC57" s="227"/>
      <c r="CD57" s="5661"/>
      <c r="CE57" s="954"/>
      <c r="CF57" s="955"/>
      <c r="CG57" s="955"/>
      <c r="CH57" s="955"/>
      <c r="CI57" s="955"/>
      <c r="CJ57" s="955"/>
      <c r="CK57" s="956"/>
      <c r="CM57" s="954"/>
      <c r="CN57" s="955"/>
      <c r="CO57" s="955"/>
      <c r="CP57" s="955"/>
      <c r="CQ57" s="955"/>
      <c r="CR57" s="955"/>
      <c r="CS57" s="956"/>
      <c r="CU57" s="954"/>
      <c r="CV57" s="955"/>
      <c r="CW57" s="955"/>
      <c r="CX57" s="955"/>
      <c r="CY57" s="955"/>
      <c r="CZ57" s="955"/>
      <c r="DA57" s="6301" t="s">
        <v>8826</v>
      </c>
      <c r="DC57" s="5">
        <v>1</v>
      </c>
    </row>
    <row r="58" spans="1:107" s="1" customFormat="1" ht="21" customHeight="1">
      <c r="A58" s="5641" t="s">
        <v>1</v>
      </c>
      <c r="B58" s="5662" t="str">
        <f t="shared" si="10"/>
        <v>►</v>
      </c>
      <c r="C58" s="5825" cm="1">
        <f t="array" ref="C58">SUMPRODUCT(LEN(D58:J58))</f>
        <v>0</v>
      </c>
      <c r="D58" s="5275"/>
      <c r="E58" s="1361"/>
      <c r="F58" s="1361"/>
      <c r="G58" s="1361"/>
      <c r="H58" s="1361"/>
      <c r="I58" s="1361"/>
      <c r="J58" s="5276"/>
      <c r="K58" s="106"/>
      <c r="L58" s="1021" t="s">
        <v>26</v>
      </c>
      <c r="M58" s="6787"/>
      <c r="N58" s="6787"/>
      <c r="O58" s="6787"/>
      <c r="P58" s="6788"/>
      <c r="Q58" s="6789"/>
      <c r="R58" s="6790"/>
      <c r="S58" s="6786"/>
      <c r="T58" s="6791"/>
      <c r="U58" s="6844"/>
      <c r="V58" s="6791"/>
      <c r="W58" s="8487"/>
      <c r="X58" s="6871"/>
      <c r="Y58" s="6793"/>
      <c r="Z58" s="6794"/>
      <c r="AA58" s="6795"/>
      <c r="AB58" s="6796"/>
      <c r="AC58" s="6797"/>
      <c r="AD58" s="6798"/>
      <c r="AE58" s="4" t="s">
        <v>1</v>
      </c>
      <c r="AF58" s="6202" t="str">
        <f t="shared" si="16"/>
        <v>►</v>
      </c>
      <c r="AG58" s="6234" t="str">
        <f t="shared" si="17"/>
        <v/>
      </c>
      <c r="AH58" s="6732" t="str">
        <f t="shared" si="18"/>
        <v/>
      </c>
      <c r="AI58" s="6234" t="str">
        <f t="shared" si="19"/>
        <v/>
      </c>
      <c r="AJ58" s="6732" t="str">
        <f t="shared" si="20"/>
        <v/>
      </c>
      <c r="AK58" s="6732">
        <f t="shared" si="21"/>
        <v>0</v>
      </c>
      <c r="AL58" s="6230" t="str" cm="1">
        <f t="array" ref="AL58">IF(AF58&lt;&gt;"A","",IFERROR((IFERROR(_xlfn.XLOOKUP(TRIM(SUBSTITUTE(U58,CHAR(160)," ")),$BJ$15:$BJ$62,$BM$15:$BM$62),IFERROR(_xlfn.XLOOKUP(TRIM(SUBSTITUTE(U58,CHAR(160)," ")),$BK$15:$BK$62,$BM$15:$BM$62),_xlfn.XLOOKUP(TRIM(SUBSTITUTE(U58,CHAR(160)," ")),$BL$15:$BL$62,$BM$15:$BM$62))))*T58*IF(ISBLANK(Q58),1,Q58)+IFERROR(_xlfn.XLOOKUP("RECHERCHEX",TRIM(L58:AD58),L58:AD58),0),0))</f>
        <v/>
      </c>
      <c r="AM58" s="6229">
        <f t="shared" si="22"/>
        <v>0</v>
      </c>
      <c r="AN58" s="6857" t="str">
        <f t="shared" si="41"/>
        <v/>
      </c>
      <c r="AO58" s="392">
        <f t="shared" si="24"/>
        <v>0</v>
      </c>
      <c r="AP58" s="392">
        <f t="shared" si="25"/>
        <v>0</v>
      </c>
      <c r="AQ58" s="6190">
        <f t="shared" si="26"/>
        <v>0</v>
      </c>
      <c r="AR58" s="6858" t="str">
        <f t="shared" si="27"/>
        <v/>
      </c>
      <c r="AS58" s="6217"/>
      <c r="AT58" s="6217"/>
      <c r="AU58" s="6271">
        <f t="shared" si="28"/>
        <v>0</v>
      </c>
      <c r="AV58" s="6242">
        <f t="shared" si="29"/>
        <v>0</v>
      </c>
      <c r="AW58" s="6188" cm="1">
        <f t="array" ref="AW58">IF(AK58&lt;&gt;1,0,IF(OR(AU58="",N(AU58)&lt;=0.000000001),"",IF(OR(AO58="",N(AO58)&lt;=0.000000001),0,IF(ISNUMBER(AU58),IFERROR(_xlfn.LET(_xlpm.ai_test,TRIM(AJ58),_xlpm.r,IFERROR(_xlfn.XLOOKUP(_xlpm.ai_test,$BJ$15:$BJ$62,ROW($BJ$15:$BJ$62),0,1),IFERROR(_xlfn.XLOOKUP(_xlpm.ai_test,$BK$15:$BK$62,ROW($BK$15:$BK$62),0,1),_xlfn.XLOOKUP(_xlpm.ai_test,$BL$15:$BL$62,ROW($BL$15:$BL$62),0,1))),_xlpm.p,_xlpm.r-MIN(ROW($BJ$15:$BJ$62))+1,_xlpm.f,INDEX($BM$15:$BM$62,_xlpm.p),_xlpm.u,INDEX($BN$15:$BN$62,_xlpm.p),_xlpm.s,INDEX($BP$15:$BP$62,_xlpm.p),_xlpm.q,N(AU58)/_xlpm.f,IF(_xlpm.q&gt;=_xlpm.s,ROUND(_xlpm.q,1)&amp;" "&amp;_xlpm.ai_test&amp;" = "&amp;ROUND(_xlpm.q*_xlpm.f,1)&amp;" "&amp;_xlpm.u,ROUND(_xlpm.q,1)&amp;" "&amp;_xlpm.ai_test)),""),""))))</f>
        <v>0</v>
      </c>
      <c r="AX58" s="6218"/>
      <c r="AY58" s="6271">
        <f t="shared" si="30"/>
        <v>0</v>
      </c>
      <c r="AZ58" s="6242" t="str">
        <f t="shared" si="31"/>
        <v/>
      </c>
      <c r="BA58" s="6194">
        <f t="shared" si="37"/>
        <v>0</v>
      </c>
      <c r="BB58" s="6192" t="str">
        <f t="shared" si="32"/>
        <v/>
      </c>
      <c r="BC58" s="6219"/>
      <c r="BD58" s="6221">
        <f t="shared" si="39"/>
        <v>0</v>
      </c>
      <c r="BE58" s="6220" t="str">
        <f t="shared" si="34"/>
        <v/>
      </c>
      <c r="BF58" s="4" t="s">
        <v>1</v>
      </c>
      <c r="BG58" s="6196">
        <f t="shared" si="35"/>
        <v>0</v>
      </c>
      <c r="BH58" s="6197">
        <f t="shared" si="36"/>
        <v>0</v>
      </c>
      <c r="BI58" s="187"/>
      <c r="BJ58" s="6705" t="s">
        <v>93</v>
      </c>
      <c r="BK58" s="6705" t="s">
        <v>9669</v>
      </c>
      <c r="BL58" s="6705" t="s">
        <v>9670</v>
      </c>
      <c r="BM58" s="6304">
        <f t="shared" si="40"/>
        <v>0.47299999999999998</v>
      </c>
      <c r="BN58" s="6274" t="s">
        <v>8766</v>
      </c>
      <c r="BO58" s="6274" t="s">
        <v>8774</v>
      </c>
      <c r="BP58" s="223">
        <f t="shared" si="38"/>
        <v>2</v>
      </c>
      <c r="BQ58" s="222">
        <v>473</v>
      </c>
      <c r="BR58"/>
      <c r="BS58"/>
      <c r="BT58"/>
      <c r="BU58"/>
      <c r="BV58"/>
      <c r="BW58"/>
      <c r="BX58" s="20" t="str">
        <f t="shared" si="11"/>
        <v>►</v>
      </c>
      <c r="BY58" s="6931" t="s">
        <v>8772</v>
      </c>
      <c r="BZ58" s="6931"/>
      <c r="CA58" s="6931"/>
      <c r="CB58" s="6931"/>
      <c r="CC58" s="6931"/>
      <c r="CD58" s="5661"/>
      <c r="CE58" s="5965" t="s">
        <v>367</v>
      </c>
      <c r="CF58" s="5966"/>
      <c r="CG58" s="5966"/>
      <c r="CH58" s="5966"/>
      <c r="CI58" s="5966"/>
      <c r="CJ58" s="5966"/>
      <c r="CK58" s="5967"/>
      <c r="CM58" s="5965" t="s">
        <v>367</v>
      </c>
      <c r="CN58" s="5966"/>
      <c r="CO58" s="5966"/>
      <c r="CP58" s="5966"/>
      <c r="CQ58" s="5966"/>
      <c r="CR58" s="5966"/>
      <c r="CS58" s="5967"/>
      <c r="CU58" s="5965" t="s">
        <v>367</v>
      </c>
      <c r="CV58" s="5966"/>
      <c r="CW58" s="5966"/>
      <c r="CX58" s="5966"/>
      <c r="CY58" s="5966"/>
      <c r="CZ58" s="5966"/>
      <c r="DA58" s="5967"/>
      <c r="DC58" s="5">
        <v>1</v>
      </c>
    </row>
    <row r="59" spans="1:107" s="1" customFormat="1" ht="21" customHeight="1">
      <c r="A59" s="5641" t="s">
        <v>1</v>
      </c>
      <c r="B59" s="5662" t="str">
        <f t="shared" si="10"/>
        <v>►</v>
      </c>
      <c r="C59" s="5825" cm="1">
        <f t="array" ref="C59">SUMPRODUCT(LEN(D59:J59))</f>
        <v>0</v>
      </c>
      <c r="D59" s="5275"/>
      <c r="E59" s="1361"/>
      <c r="F59" s="1361"/>
      <c r="G59" s="1361"/>
      <c r="H59" s="1361"/>
      <c r="I59" s="1361"/>
      <c r="J59" s="5276"/>
      <c r="K59" s="106" t="s">
        <v>1</v>
      </c>
      <c r="L59" s="1021" t="s">
        <v>26</v>
      </c>
      <c r="M59" s="6787"/>
      <c r="N59" s="6787"/>
      <c r="O59" s="6787"/>
      <c r="P59" s="6788"/>
      <c r="Q59" s="6789"/>
      <c r="R59" s="6790"/>
      <c r="S59" s="6786"/>
      <c r="T59" s="6791"/>
      <c r="U59" s="6844"/>
      <c r="V59" s="6791"/>
      <c r="W59" s="8487"/>
      <c r="X59" s="6871"/>
      <c r="Y59" s="6793"/>
      <c r="Z59" s="6794"/>
      <c r="AA59" s="6795"/>
      <c r="AB59" s="6796"/>
      <c r="AC59" s="6797"/>
      <c r="AD59" s="6798"/>
      <c r="AE59" s="4" t="s">
        <v>1</v>
      </c>
      <c r="AF59" s="6202" t="str">
        <f t="shared" si="16"/>
        <v>►</v>
      </c>
      <c r="AG59" s="6234" t="str">
        <f t="shared" si="17"/>
        <v/>
      </c>
      <c r="AH59" s="6732" t="str">
        <f t="shared" si="18"/>
        <v/>
      </c>
      <c r="AI59" s="6234" t="str">
        <f t="shared" si="19"/>
        <v/>
      </c>
      <c r="AJ59" s="6732" t="str">
        <f t="shared" si="20"/>
        <v/>
      </c>
      <c r="AK59" s="6732">
        <f t="shared" si="21"/>
        <v>0</v>
      </c>
      <c r="AL59" s="6230" t="str" cm="1">
        <f t="array" ref="AL59">IF(AF59&lt;&gt;"A","",IFERROR((IFERROR(_xlfn.XLOOKUP(TRIM(SUBSTITUTE(U59,CHAR(160)," ")),$BJ$15:$BJ$62,$BM$15:$BM$62),IFERROR(_xlfn.XLOOKUP(TRIM(SUBSTITUTE(U59,CHAR(160)," ")),$BK$15:$BK$62,$BM$15:$BM$62),_xlfn.XLOOKUP(TRIM(SUBSTITUTE(U59,CHAR(160)," ")),$BL$15:$BL$62,$BM$15:$BM$62))))*T59*IF(ISBLANK(Q59),1,Q59)+IFERROR(_xlfn.XLOOKUP("RECHERCHEX",TRIM(L59:AD59),L59:AD59),0),0))</f>
        <v/>
      </c>
      <c r="AM59" s="6229">
        <f t="shared" si="22"/>
        <v>0</v>
      </c>
      <c r="AN59" s="6857" t="str">
        <f t="shared" si="41"/>
        <v/>
      </c>
      <c r="AO59" s="392">
        <f t="shared" si="24"/>
        <v>0</v>
      </c>
      <c r="AP59" s="392">
        <f t="shared" si="25"/>
        <v>0</v>
      </c>
      <c r="AQ59" s="6191">
        <f t="shared" si="26"/>
        <v>0</v>
      </c>
      <c r="AR59" s="6859" t="str">
        <f t="shared" si="27"/>
        <v/>
      </c>
      <c r="AS59" s="6217"/>
      <c r="AT59" s="6217"/>
      <c r="AU59" s="6272">
        <f t="shared" si="28"/>
        <v>0</v>
      </c>
      <c r="AV59" s="6240">
        <f t="shared" si="29"/>
        <v>0</v>
      </c>
      <c r="AW59" s="6189" cm="1">
        <f t="array" ref="AW59">IF(AK59&lt;&gt;1,0,IF(OR(AU59="",N(AU59)&lt;=0.000000001),"",IF(OR(AO59="",N(AO59)&lt;=0.000000001),0,IF(ISNUMBER(AU59),IFERROR(_xlfn.LET(_xlpm.ai_test,TRIM(AJ59),_xlpm.r,IFERROR(_xlfn.XLOOKUP(_xlpm.ai_test,$BJ$15:$BJ$62,ROW($BJ$15:$BJ$62),0,1),IFERROR(_xlfn.XLOOKUP(_xlpm.ai_test,$BK$15:$BK$62,ROW($BK$15:$BK$62),0,1),_xlfn.XLOOKUP(_xlpm.ai_test,$BL$15:$BL$62,ROW($BL$15:$BL$62),0,1))),_xlpm.p,_xlpm.r-MIN(ROW($BJ$15:$BJ$62))+1,_xlpm.f,INDEX($BM$15:$BM$62,_xlpm.p),_xlpm.u,INDEX($BN$15:$BN$62,_xlpm.p),_xlpm.s,INDEX($BP$15:$BP$62,_xlpm.p),_xlpm.q,N(AU59)/_xlpm.f,IF(_xlpm.q&gt;=_xlpm.s,ROUND(_xlpm.q,1)&amp;" "&amp;_xlpm.ai_test&amp;" = "&amp;ROUND(_xlpm.q*_xlpm.f,1)&amp;" "&amp;_xlpm.u,ROUND(_xlpm.q,1)&amp;" "&amp;_xlpm.ai_test)),""),""))))</f>
        <v>0</v>
      </c>
      <c r="AX59" s="6218"/>
      <c r="AY59" s="6272">
        <f t="shared" si="30"/>
        <v>0</v>
      </c>
      <c r="AZ59" s="6240" t="str">
        <f t="shared" si="31"/>
        <v/>
      </c>
      <c r="BA59" s="6195">
        <f t="shared" si="37"/>
        <v>0</v>
      </c>
      <c r="BB59" s="6193" t="str">
        <f t="shared" si="32"/>
        <v/>
      </c>
      <c r="BC59" s="6219"/>
      <c r="BD59" s="6222">
        <f t="shared" si="39"/>
        <v>0</v>
      </c>
      <c r="BE59" s="6220" t="str">
        <f t="shared" si="34"/>
        <v/>
      </c>
      <c r="BF59" s="4" t="s">
        <v>1</v>
      </c>
      <c r="BG59" s="6196">
        <f t="shared" si="35"/>
        <v>0</v>
      </c>
      <c r="BH59" s="6197">
        <f t="shared" si="36"/>
        <v>0</v>
      </c>
      <c r="BI59" s="187"/>
      <c r="BJ59" s="6705" t="s">
        <v>92</v>
      </c>
      <c r="BK59" s="6705" t="s">
        <v>9671</v>
      </c>
      <c r="BL59" s="6705" t="s">
        <v>9672</v>
      </c>
      <c r="BM59" s="6304">
        <f t="shared" si="40"/>
        <v>0.56799999999999995</v>
      </c>
      <c r="BN59" s="6274" t="s">
        <v>8766</v>
      </c>
      <c r="BO59" s="6274" t="s">
        <v>8774</v>
      </c>
      <c r="BP59" s="223">
        <f t="shared" si="38"/>
        <v>2</v>
      </c>
      <c r="BQ59" s="222">
        <v>568</v>
      </c>
      <c r="BR59"/>
      <c r="BS59"/>
      <c r="BT59"/>
      <c r="BU59"/>
      <c r="BV59"/>
      <c r="BW59"/>
      <c r="BX59" s="20" t="str">
        <f t="shared" si="11"/>
        <v>►</v>
      </c>
      <c r="BY59" s="6931"/>
      <c r="BZ59" s="6931"/>
      <c r="CA59" s="6931"/>
      <c r="CB59" s="6931"/>
      <c r="CC59" s="6931"/>
      <c r="CD59" s="5661"/>
      <c r="CE59" s="6932" t="s">
        <v>8563</v>
      </c>
      <c r="CF59" s="6933"/>
      <c r="CG59" s="6933"/>
      <c r="CH59" s="6933"/>
      <c r="CI59" s="6933"/>
      <c r="CJ59" s="6933"/>
      <c r="CK59" s="6934"/>
      <c r="CM59" s="6932" t="s">
        <v>8790</v>
      </c>
      <c r="CN59" s="6933"/>
      <c r="CO59" s="6933"/>
      <c r="CP59" s="6933"/>
      <c r="CQ59" s="6933"/>
      <c r="CR59" s="6933"/>
      <c r="CS59" s="6934"/>
      <c r="CU59" s="6932" t="s">
        <v>8802</v>
      </c>
      <c r="CV59" s="6933"/>
      <c r="CW59" s="6933"/>
      <c r="CX59" s="6933"/>
      <c r="CY59" s="6933"/>
      <c r="CZ59" s="6933"/>
      <c r="DA59" s="6934"/>
      <c r="DC59" s="5">
        <v>1</v>
      </c>
    </row>
    <row r="60" spans="1:107" s="1" customFormat="1" ht="21" customHeight="1">
      <c r="A60" s="5641" t="s">
        <v>1</v>
      </c>
      <c r="B60" s="5662" t="str">
        <f t="shared" si="10"/>
        <v>►</v>
      </c>
      <c r="C60" s="5825" cm="1">
        <f t="array" ref="C60">SUMPRODUCT(LEN(D60:J60))</f>
        <v>0</v>
      </c>
      <c r="D60" s="5275"/>
      <c r="E60" s="1361"/>
      <c r="F60" s="1361"/>
      <c r="G60" s="1361"/>
      <c r="H60" s="1361"/>
      <c r="I60" s="1361"/>
      <c r="J60" s="5276"/>
      <c r="K60" s="106" t="s">
        <v>1</v>
      </c>
      <c r="L60" s="1021" t="s">
        <v>26</v>
      </c>
      <c r="M60" s="6787"/>
      <c r="N60" s="6787"/>
      <c r="O60" s="6787"/>
      <c r="P60" s="6788"/>
      <c r="Q60" s="6789"/>
      <c r="R60" s="6790"/>
      <c r="S60" s="6786"/>
      <c r="T60" s="6791"/>
      <c r="U60" s="6844"/>
      <c r="V60" s="6791"/>
      <c r="W60" s="8487"/>
      <c r="X60" s="6871"/>
      <c r="Y60" s="6793"/>
      <c r="Z60" s="6794"/>
      <c r="AA60" s="6795"/>
      <c r="AB60" s="6796"/>
      <c r="AC60" s="6797"/>
      <c r="AD60" s="6798"/>
      <c r="AE60" s="4" t="s">
        <v>1</v>
      </c>
      <c r="AF60" s="6202" t="str">
        <f t="shared" si="16"/>
        <v>►</v>
      </c>
      <c r="AG60" s="6234" t="str">
        <f t="shared" si="17"/>
        <v/>
      </c>
      <c r="AH60" s="6732" t="str">
        <f t="shared" si="18"/>
        <v/>
      </c>
      <c r="AI60" s="6234" t="str">
        <f t="shared" si="19"/>
        <v/>
      </c>
      <c r="AJ60" s="6732" t="str">
        <f t="shared" si="20"/>
        <v/>
      </c>
      <c r="AK60" s="6732">
        <f t="shared" si="21"/>
        <v>0</v>
      </c>
      <c r="AL60" s="6230" t="str" cm="1">
        <f t="array" ref="AL60">IF(AF60&lt;&gt;"A","",IFERROR((IFERROR(_xlfn.XLOOKUP(TRIM(SUBSTITUTE(U60,CHAR(160)," ")),$BJ$15:$BJ$62,$BM$15:$BM$62),IFERROR(_xlfn.XLOOKUP(TRIM(SUBSTITUTE(U60,CHAR(160)," ")),$BK$15:$BK$62,$BM$15:$BM$62),_xlfn.XLOOKUP(TRIM(SUBSTITUTE(U60,CHAR(160)," ")),$BL$15:$BL$62,$BM$15:$BM$62))))*T60*IF(ISBLANK(Q60),1,Q60)+IFERROR(_xlfn.XLOOKUP("RECHERCHEX",TRIM(L60:AD60),L60:AD60),0),0))</f>
        <v/>
      </c>
      <c r="AM60" s="6229">
        <f t="shared" si="22"/>
        <v>0</v>
      </c>
      <c r="AN60" s="6857" t="str">
        <f t="shared" si="41"/>
        <v/>
      </c>
      <c r="AO60" s="392">
        <f t="shared" si="24"/>
        <v>0</v>
      </c>
      <c r="AP60" s="392">
        <f t="shared" si="25"/>
        <v>0</v>
      </c>
      <c r="AQ60" s="6190">
        <f t="shared" si="26"/>
        <v>0</v>
      </c>
      <c r="AR60" s="6858" t="str">
        <f t="shared" si="27"/>
        <v/>
      </c>
      <c r="AS60" s="6217"/>
      <c r="AT60" s="6217"/>
      <c r="AU60" s="6271">
        <f t="shared" si="28"/>
        <v>0</v>
      </c>
      <c r="AV60" s="6242">
        <f t="shared" si="29"/>
        <v>0</v>
      </c>
      <c r="AW60" s="6188" cm="1">
        <f t="array" ref="AW60">IF(AK60&lt;&gt;1,0,IF(OR(AU60="",N(AU60)&lt;=0.000000001),"",IF(OR(AO60="",N(AO60)&lt;=0.000000001),0,IF(ISNUMBER(AU60),IFERROR(_xlfn.LET(_xlpm.ai_test,TRIM(AJ60),_xlpm.r,IFERROR(_xlfn.XLOOKUP(_xlpm.ai_test,$BJ$15:$BJ$62,ROW($BJ$15:$BJ$62),0,1),IFERROR(_xlfn.XLOOKUP(_xlpm.ai_test,$BK$15:$BK$62,ROW($BK$15:$BK$62),0,1),_xlfn.XLOOKUP(_xlpm.ai_test,$BL$15:$BL$62,ROW($BL$15:$BL$62),0,1))),_xlpm.p,_xlpm.r-MIN(ROW($BJ$15:$BJ$62))+1,_xlpm.f,INDEX($BM$15:$BM$62,_xlpm.p),_xlpm.u,INDEX($BN$15:$BN$62,_xlpm.p),_xlpm.s,INDEX($BP$15:$BP$62,_xlpm.p),_xlpm.q,N(AU60)/_xlpm.f,IF(_xlpm.q&gt;=_xlpm.s,ROUND(_xlpm.q,1)&amp;" "&amp;_xlpm.ai_test&amp;" = "&amp;ROUND(_xlpm.q*_xlpm.f,1)&amp;" "&amp;_xlpm.u,ROUND(_xlpm.q,1)&amp;" "&amp;_xlpm.ai_test)),""),""))))</f>
        <v>0</v>
      </c>
      <c r="AX60" s="6218"/>
      <c r="AY60" s="6271">
        <f t="shared" si="30"/>
        <v>0</v>
      </c>
      <c r="AZ60" s="6242" t="str">
        <f t="shared" si="31"/>
        <v/>
      </c>
      <c r="BA60" s="6194">
        <f t="shared" si="37"/>
        <v>0</v>
      </c>
      <c r="BB60" s="6192" t="str">
        <f t="shared" si="32"/>
        <v/>
      </c>
      <c r="BC60" s="6219"/>
      <c r="BD60" s="6221">
        <f t="shared" si="39"/>
        <v>0</v>
      </c>
      <c r="BE60" s="6220" t="str">
        <f t="shared" si="34"/>
        <v/>
      </c>
      <c r="BF60" s="4" t="s">
        <v>1</v>
      </c>
      <c r="BG60" s="6196">
        <f t="shared" si="35"/>
        <v>0</v>
      </c>
      <c r="BH60" s="6197">
        <f t="shared" si="36"/>
        <v>0</v>
      </c>
      <c r="BI60" s="187"/>
      <c r="BJ60" s="6705" t="s">
        <v>91</v>
      </c>
      <c r="BK60" s="6705" t="s">
        <v>91</v>
      </c>
      <c r="BL60" s="6705" t="s">
        <v>9673</v>
      </c>
      <c r="BM60" s="6304">
        <f t="shared" si="40"/>
        <v>0.94599999999999995</v>
      </c>
      <c r="BN60" s="6274" t="s">
        <v>8766</v>
      </c>
      <c r="BO60" s="6274" t="s">
        <v>8774</v>
      </c>
      <c r="BP60" s="223">
        <f t="shared" si="38"/>
        <v>1</v>
      </c>
      <c r="BQ60" s="222">
        <v>946</v>
      </c>
      <c r="BR60"/>
      <c r="BS60"/>
      <c r="BT60"/>
      <c r="BU60"/>
      <c r="BV60"/>
      <c r="BW60"/>
      <c r="BX60" s="20" t="str">
        <f t="shared" si="11"/>
        <v>►</v>
      </c>
      <c r="BY60" s="5819"/>
      <c r="BZ60" s="228"/>
      <c r="CA60" s="228"/>
      <c r="CB60" s="227"/>
      <c r="CC60" s="227"/>
      <c r="CD60" s="5661"/>
      <c r="CE60" s="6932"/>
      <c r="CF60" s="6933"/>
      <c r="CG60" s="6933"/>
      <c r="CH60" s="6933"/>
      <c r="CI60" s="6933"/>
      <c r="CJ60" s="6933"/>
      <c r="CK60" s="6934"/>
      <c r="CM60" s="6932"/>
      <c r="CN60" s="6933"/>
      <c r="CO60" s="6933"/>
      <c r="CP60" s="6933"/>
      <c r="CQ60" s="6933"/>
      <c r="CR60" s="6933"/>
      <c r="CS60" s="6934"/>
      <c r="CU60" s="6932"/>
      <c r="CV60" s="6933"/>
      <c r="CW60" s="6933"/>
      <c r="CX60" s="6933"/>
      <c r="CY60" s="6933"/>
      <c r="CZ60" s="6933"/>
      <c r="DA60" s="6934"/>
      <c r="DC60" s="5">
        <v>1</v>
      </c>
    </row>
    <row r="61" spans="1:107" s="1" customFormat="1" ht="21" customHeight="1">
      <c r="A61" s="5641" t="s">
        <v>1</v>
      </c>
      <c r="B61" s="5662" t="str">
        <f t="shared" si="10"/>
        <v>►</v>
      </c>
      <c r="C61" s="5825" cm="1">
        <f t="array" ref="C61">SUMPRODUCT(LEN(D61:J61))</f>
        <v>0</v>
      </c>
      <c r="D61" s="5275"/>
      <c r="E61" s="1361"/>
      <c r="F61" s="1361"/>
      <c r="G61" s="1361"/>
      <c r="H61" s="1361"/>
      <c r="I61" s="1361"/>
      <c r="J61" s="5276"/>
      <c r="K61" s="106" t="s">
        <v>1</v>
      </c>
      <c r="L61" s="1021" t="s">
        <v>26</v>
      </c>
      <c r="M61" s="6787"/>
      <c r="N61" s="6787"/>
      <c r="O61" s="6787"/>
      <c r="P61" s="6788"/>
      <c r="Q61" s="6789"/>
      <c r="R61" s="6790"/>
      <c r="S61" s="6786"/>
      <c r="T61" s="6791"/>
      <c r="U61" s="6844"/>
      <c r="V61" s="6791"/>
      <c r="W61" s="8487"/>
      <c r="X61" s="6871"/>
      <c r="Y61" s="6793"/>
      <c r="Z61" s="6794"/>
      <c r="AA61" s="6795"/>
      <c r="AB61" s="6796"/>
      <c r="AC61" s="6797"/>
      <c r="AD61" s="6798"/>
      <c r="AE61" s="4" t="s">
        <v>1</v>
      </c>
      <c r="AF61" s="6202" t="str">
        <f t="shared" si="16"/>
        <v>►</v>
      </c>
      <c r="AG61" s="6234" t="str">
        <f t="shared" si="17"/>
        <v/>
      </c>
      <c r="AH61" s="6732" t="str">
        <f t="shared" si="18"/>
        <v/>
      </c>
      <c r="AI61" s="6234" t="str">
        <f t="shared" si="19"/>
        <v/>
      </c>
      <c r="AJ61" s="6732" t="str">
        <f t="shared" si="20"/>
        <v/>
      </c>
      <c r="AK61" s="6732">
        <f t="shared" si="21"/>
        <v>0</v>
      </c>
      <c r="AL61" s="6230" t="str" cm="1">
        <f t="array" ref="AL61">IF(AF61&lt;&gt;"A","",IFERROR((IFERROR(_xlfn.XLOOKUP(TRIM(SUBSTITUTE(U61,CHAR(160)," ")),$BJ$15:$BJ$62,$BM$15:$BM$62),IFERROR(_xlfn.XLOOKUP(TRIM(SUBSTITUTE(U61,CHAR(160)," ")),$BK$15:$BK$62,$BM$15:$BM$62),_xlfn.XLOOKUP(TRIM(SUBSTITUTE(U61,CHAR(160)," ")),$BL$15:$BL$62,$BM$15:$BM$62))))*T61*IF(ISBLANK(Q61),1,Q61)+IFERROR(_xlfn.XLOOKUP("RECHERCHEX",TRIM(L61:AD61),L61:AD61),0),0))</f>
        <v/>
      </c>
      <c r="AM61" s="6229">
        <f t="shared" si="22"/>
        <v>0</v>
      </c>
      <c r="AN61" s="6857" t="str">
        <f t="shared" si="41"/>
        <v/>
      </c>
      <c r="AO61" s="392">
        <f t="shared" si="24"/>
        <v>0</v>
      </c>
      <c r="AP61" s="392">
        <f t="shared" si="25"/>
        <v>0</v>
      </c>
      <c r="AQ61" s="6191">
        <f t="shared" si="26"/>
        <v>0</v>
      </c>
      <c r="AR61" s="6859" t="str">
        <f t="shared" si="27"/>
        <v/>
      </c>
      <c r="AS61" s="6217"/>
      <c r="AT61" s="6217"/>
      <c r="AU61" s="6272">
        <f t="shared" si="28"/>
        <v>0</v>
      </c>
      <c r="AV61" s="6240">
        <f t="shared" si="29"/>
        <v>0</v>
      </c>
      <c r="AW61" s="6189" cm="1">
        <f t="array" ref="AW61">IF(AK61&lt;&gt;1,0,IF(OR(AU61="",N(AU61)&lt;=0.000000001),"",IF(OR(AO61="",N(AO61)&lt;=0.000000001),0,IF(ISNUMBER(AU61),IFERROR(_xlfn.LET(_xlpm.ai_test,TRIM(AJ61),_xlpm.r,IFERROR(_xlfn.XLOOKUP(_xlpm.ai_test,$BJ$15:$BJ$62,ROW($BJ$15:$BJ$62),0,1),IFERROR(_xlfn.XLOOKUP(_xlpm.ai_test,$BK$15:$BK$62,ROW($BK$15:$BK$62),0,1),_xlfn.XLOOKUP(_xlpm.ai_test,$BL$15:$BL$62,ROW($BL$15:$BL$62),0,1))),_xlpm.p,_xlpm.r-MIN(ROW($BJ$15:$BJ$62))+1,_xlpm.f,INDEX($BM$15:$BM$62,_xlpm.p),_xlpm.u,INDEX($BN$15:$BN$62,_xlpm.p),_xlpm.s,INDEX($BP$15:$BP$62,_xlpm.p),_xlpm.q,N(AU61)/_xlpm.f,IF(_xlpm.q&gt;=_xlpm.s,ROUND(_xlpm.q,1)&amp;" "&amp;_xlpm.ai_test&amp;" = "&amp;ROUND(_xlpm.q*_xlpm.f,1)&amp;" "&amp;_xlpm.u,ROUND(_xlpm.q,1)&amp;" "&amp;_xlpm.ai_test)),""),""))))</f>
        <v>0</v>
      </c>
      <c r="AX61" s="6218"/>
      <c r="AY61" s="6272">
        <f t="shared" si="30"/>
        <v>0</v>
      </c>
      <c r="AZ61" s="6240" t="str">
        <f t="shared" si="31"/>
        <v/>
      </c>
      <c r="BA61" s="6195">
        <f t="shared" si="37"/>
        <v>0</v>
      </c>
      <c r="BB61" s="6193" t="str">
        <f t="shared" si="32"/>
        <v/>
      </c>
      <c r="BC61" s="6219"/>
      <c r="BD61" s="6222">
        <f t="shared" si="39"/>
        <v>0</v>
      </c>
      <c r="BE61" s="6220" t="str">
        <f t="shared" si="34"/>
        <v/>
      </c>
      <c r="BF61" s="4" t="s">
        <v>1</v>
      </c>
      <c r="BG61" s="6196">
        <f t="shared" si="35"/>
        <v>0</v>
      </c>
      <c r="BH61" s="6197">
        <f t="shared" si="36"/>
        <v>0</v>
      </c>
      <c r="BI61" s="187"/>
      <c r="BJ61" s="6705" t="s">
        <v>90</v>
      </c>
      <c r="BK61" s="6705" t="s">
        <v>90</v>
      </c>
      <c r="BL61" s="6705" t="s">
        <v>9674</v>
      </c>
      <c r="BM61" s="6304">
        <f t="shared" si="40"/>
        <v>3.7850000000000001</v>
      </c>
      <c r="BN61" s="6274" t="s">
        <v>8766</v>
      </c>
      <c r="BO61" s="6274" t="s">
        <v>8774</v>
      </c>
      <c r="BP61" s="223">
        <f t="shared" si="38"/>
        <v>0</v>
      </c>
      <c r="BQ61" s="222">
        <v>3785</v>
      </c>
      <c r="BR61"/>
      <c r="BS61"/>
      <c r="BT61"/>
      <c r="BU61"/>
      <c r="BV61"/>
      <c r="BW61"/>
      <c r="BX61" s="20" t="str">
        <f t="shared" si="11"/>
        <v>►</v>
      </c>
      <c r="BY61" s="6937" t="s">
        <v>11035</v>
      </c>
      <c r="BZ61" s="6937"/>
      <c r="CA61" s="6937"/>
      <c r="CB61" s="6937"/>
      <c r="CC61" s="6937"/>
      <c r="CD61" s="5661"/>
      <c r="CE61" s="5972" t="s">
        <v>376</v>
      </c>
      <c r="CF61" s="5973"/>
      <c r="CG61" s="5973"/>
      <c r="CH61" s="5973"/>
      <c r="CI61" s="5973"/>
      <c r="CJ61" s="5973"/>
      <c r="CK61" s="5974"/>
      <c r="CM61" s="5972" t="s">
        <v>376</v>
      </c>
      <c r="CN61" s="5973"/>
      <c r="CO61" s="5973"/>
      <c r="CP61" s="5973"/>
      <c r="CQ61" s="5973"/>
      <c r="CR61" s="5973"/>
      <c r="CS61" s="5974"/>
      <c r="CU61" s="5972" t="s">
        <v>376</v>
      </c>
      <c r="CV61" s="5973"/>
      <c r="CW61" s="5973"/>
      <c r="CX61" s="5973"/>
      <c r="CY61" s="5973"/>
      <c r="CZ61" s="5973"/>
      <c r="DA61" s="6843" t="s">
        <v>10686</v>
      </c>
      <c r="DC61" s="5">
        <v>1</v>
      </c>
    </row>
    <row r="62" spans="1:107" s="1" customFormat="1" ht="21" customHeight="1" thickBot="1">
      <c r="A62" s="5641" t="s">
        <v>1</v>
      </c>
      <c r="B62" s="5662" t="str">
        <f t="shared" si="10"/>
        <v>►</v>
      </c>
      <c r="C62" s="5825" cm="1">
        <f t="array" ref="C62">SUMPRODUCT(LEN(D62:J62))</f>
        <v>0</v>
      </c>
      <c r="D62" s="5275"/>
      <c r="E62" s="1361"/>
      <c r="F62" s="1361"/>
      <c r="G62" s="1361"/>
      <c r="H62" s="1361"/>
      <c r="I62" s="1361"/>
      <c r="J62" s="5276"/>
      <c r="K62" s="106" t="s">
        <v>1</v>
      </c>
      <c r="L62" s="1021" t="s">
        <v>26</v>
      </c>
      <c r="M62" s="6787"/>
      <c r="N62" s="6787"/>
      <c r="O62" s="6787"/>
      <c r="P62" s="6788"/>
      <c r="Q62" s="6789"/>
      <c r="R62" s="6790"/>
      <c r="S62" s="6786"/>
      <c r="T62" s="6791"/>
      <c r="U62" s="6844"/>
      <c r="V62" s="6791"/>
      <c r="W62" s="8487"/>
      <c r="X62" s="6871"/>
      <c r="Y62" s="6793"/>
      <c r="Z62" s="6794"/>
      <c r="AA62" s="6795"/>
      <c r="AB62" s="6796"/>
      <c r="AC62" s="6797"/>
      <c r="AD62" s="6798"/>
      <c r="AE62" s="4" t="s">
        <v>1</v>
      </c>
      <c r="AF62" s="6202" t="str">
        <f t="shared" si="16"/>
        <v>►</v>
      </c>
      <c r="AG62" s="6234" t="str">
        <f t="shared" si="17"/>
        <v/>
      </c>
      <c r="AH62" s="6732" t="str">
        <f t="shared" si="18"/>
        <v/>
      </c>
      <c r="AI62" s="6234" t="str">
        <f t="shared" si="19"/>
        <v/>
      </c>
      <c r="AJ62" s="6732" t="str">
        <f t="shared" si="20"/>
        <v/>
      </c>
      <c r="AK62" s="6732">
        <f t="shared" si="21"/>
        <v>0</v>
      </c>
      <c r="AL62" s="6230" t="str" cm="1">
        <f t="array" ref="AL62">IF(AF62&lt;&gt;"A","",IFERROR((IFERROR(_xlfn.XLOOKUP(TRIM(SUBSTITUTE(U62,CHAR(160)," ")),$BJ$15:$BJ$62,$BM$15:$BM$62),IFERROR(_xlfn.XLOOKUP(TRIM(SUBSTITUTE(U62,CHAR(160)," ")),$BK$15:$BK$62,$BM$15:$BM$62),_xlfn.XLOOKUP(TRIM(SUBSTITUTE(U62,CHAR(160)," ")),$BL$15:$BL$62,$BM$15:$BM$62))))*T62*IF(ISBLANK(Q62),1,Q62)+IFERROR(_xlfn.XLOOKUP("RECHERCHEX",TRIM(L62:AD62),L62:AD62),0),0))</f>
        <v/>
      </c>
      <c r="AM62" s="6229">
        <f t="shared" si="22"/>
        <v>0</v>
      </c>
      <c r="AN62" s="6857" t="str">
        <f t="shared" si="41"/>
        <v/>
      </c>
      <c r="AO62" s="392">
        <f t="shared" si="24"/>
        <v>0</v>
      </c>
      <c r="AP62" s="392">
        <f t="shared" si="25"/>
        <v>0</v>
      </c>
      <c r="AQ62" s="6190">
        <f t="shared" si="26"/>
        <v>0</v>
      </c>
      <c r="AR62" s="6858" t="str">
        <f t="shared" si="27"/>
        <v/>
      </c>
      <c r="AS62" s="6217"/>
      <c r="AT62" s="6217"/>
      <c r="AU62" s="6271">
        <f t="shared" si="28"/>
        <v>0</v>
      </c>
      <c r="AV62" s="6242">
        <f t="shared" si="29"/>
        <v>0</v>
      </c>
      <c r="AW62" s="6188" cm="1">
        <f t="array" ref="AW62">IF(AK62&lt;&gt;1,0,IF(OR(AU62="",N(AU62)&lt;=0.000000001),"",IF(OR(AO62="",N(AO62)&lt;=0.000000001),0,IF(ISNUMBER(AU62),IFERROR(_xlfn.LET(_xlpm.ai_test,TRIM(AJ62),_xlpm.r,IFERROR(_xlfn.XLOOKUP(_xlpm.ai_test,$BJ$15:$BJ$62,ROW($BJ$15:$BJ$62),0,1),IFERROR(_xlfn.XLOOKUP(_xlpm.ai_test,$BK$15:$BK$62,ROW($BK$15:$BK$62),0,1),_xlfn.XLOOKUP(_xlpm.ai_test,$BL$15:$BL$62,ROW($BL$15:$BL$62),0,1))),_xlpm.p,_xlpm.r-MIN(ROW($BJ$15:$BJ$62))+1,_xlpm.f,INDEX($BM$15:$BM$62,_xlpm.p),_xlpm.u,INDEX($BN$15:$BN$62,_xlpm.p),_xlpm.s,INDEX($BP$15:$BP$62,_xlpm.p),_xlpm.q,N(AU62)/_xlpm.f,IF(_xlpm.q&gt;=_xlpm.s,ROUND(_xlpm.q,1)&amp;" "&amp;_xlpm.ai_test&amp;" = "&amp;ROUND(_xlpm.q*_xlpm.f,1)&amp;" "&amp;_xlpm.u,ROUND(_xlpm.q,1)&amp;" "&amp;_xlpm.ai_test)),""),""))))</f>
        <v>0</v>
      </c>
      <c r="AX62" s="6218"/>
      <c r="AY62" s="6271">
        <f t="shared" si="30"/>
        <v>0</v>
      </c>
      <c r="AZ62" s="6242" t="str">
        <f t="shared" si="31"/>
        <v/>
      </c>
      <c r="BA62" s="6194">
        <f t="shared" si="37"/>
        <v>0</v>
      </c>
      <c r="BB62" s="6192" t="str">
        <f t="shared" si="32"/>
        <v/>
      </c>
      <c r="BC62" s="6219"/>
      <c r="BD62" s="6221">
        <f t="shared" si="39"/>
        <v>0</v>
      </c>
      <c r="BE62" s="6220" t="str">
        <f t="shared" si="34"/>
        <v/>
      </c>
      <c r="BF62" s="4" t="s">
        <v>1</v>
      </c>
      <c r="BG62" s="6196">
        <f t="shared" si="35"/>
        <v>0</v>
      </c>
      <c r="BH62" s="6197">
        <f t="shared" si="36"/>
        <v>0</v>
      </c>
      <c r="BI62" s="187"/>
      <c r="BJ62" s="6705" t="s">
        <v>89</v>
      </c>
      <c r="BK62" s="6705" t="s">
        <v>89</v>
      </c>
      <c r="BL62" s="6705" t="s">
        <v>9675</v>
      </c>
      <c r="BM62" s="6273">
        <f t="shared" si="40"/>
        <v>2.9569999999999999E-2</v>
      </c>
      <c r="BN62" s="6305" t="s">
        <v>8766</v>
      </c>
      <c r="BO62" s="6305" t="s">
        <v>8774</v>
      </c>
      <c r="BP62" s="216">
        <f t="shared" si="38"/>
        <v>34</v>
      </c>
      <c r="BQ62" s="215">
        <v>29.57</v>
      </c>
      <c r="BR62"/>
      <c r="BS62"/>
      <c r="BT62"/>
      <c r="BU62"/>
      <c r="BV62"/>
      <c r="BW62"/>
      <c r="BX62" s="20" t="str">
        <f t="shared" si="11"/>
        <v>►</v>
      </c>
      <c r="BY62" s="6937"/>
      <c r="BZ62" s="6937"/>
      <c r="CA62" s="6937"/>
      <c r="CB62" s="6937"/>
      <c r="CC62" s="6937"/>
      <c r="CD62" s="5661"/>
      <c r="CE62" s="5975" t="s">
        <v>7745</v>
      </c>
      <c r="CF62" s="5976" t="s">
        <v>7746</v>
      </c>
      <c r="CG62" s="5977" t="s">
        <v>3380</v>
      </c>
      <c r="CH62" s="5976" t="s">
        <v>7747</v>
      </c>
      <c r="CI62" s="5976" t="s">
        <v>7748</v>
      </c>
      <c r="CJ62" s="5976" t="s">
        <v>7749</v>
      </c>
      <c r="CK62" s="5978" t="s">
        <v>7755</v>
      </c>
      <c r="CM62" s="5975" t="s">
        <v>7745</v>
      </c>
      <c r="CN62" s="5976" t="s">
        <v>7746</v>
      </c>
      <c r="CO62" s="5977" t="s">
        <v>3380</v>
      </c>
      <c r="CP62" s="5976" t="s">
        <v>7747</v>
      </c>
      <c r="CQ62" s="5976" t="s">
        <v>7748</v>
      </c>
      <c r="CR62" s="5976" t="s">
        <v>7749</v>
      </c>
      <c r="CS62" s="5978" t="s">
        <v>7755</v>
      </c>
      <c r="CU62" s="5975" t="s">
        <v>7745</v>
      </c>
      <c r="CV62" s="5976" t="s">
        <v>7746</v>
      </c>
      <c r="CW62" s="5977" t="s">
        <v>3380</v>
      </c>
      <c r="CX62" s="5976" t="s">
        <v>7747</v>
      </c>
      <c r="CY62" s="5976" t="s">
        <v>7748</v>
      </c>
      <c r="CZ62" s="5976" t="s">
        <v>7749</v>
      </c>
      <c r="DA62" s="5978" t="s">
        <v>7755</v>
      </c>
      <c r="DC62" s="5">
        <v>1</v>
      </c>
    </row>
    <row r="63" spans="1:107" s="1" customFormat="1" ht="21" customHeight="1">
      <c r="A63" s="5641" t="s">
        <v>1</v>
      </c>
      <c r="B63" s="5662" t="str">
        <f t="shared" si="10"/>
        <v>►</v>
      </c>
      <c r="C63" s="5825" cm="1">
        <f t="array" ref="C63">SUMPRODUCT(LEN(D63:J63))</f>
        <v>0</v>
      </c>
      <c r="D63" s="5275"/>
      <c r="E63" s="1361"/>
      <c r="F63" s="1361"/>
      <c r="G63" s="1361"/>
      <c r="H63" s="1361"/>
      <c r="I63" s="1361"/>
      <c r="J63" s="5276"/>
      <c r="K63" s="106" t="s">
        <v>1</v>
      </c>
      <c r="L63" s="1021" t="s">
        <v>26</v>
      </c>
      <c r="M63" s="6787"/>
      <c r="N63" s="6787"/>
      <c r="O63" s="6787"/>
      <c r="P63" s="6788"/>
      <c r="Q63" s="6789"/>
      <c r="R63" s="6790"/>
      <c r="S63" s="6786"/>
      <c r="T63" s="6791"/>
      <c r="U63" s="6844"/>
      <c r="V63" s="6791"/>
      <c r="W63" s="8487"/>
      <c r="X63" s="6871"/>
      <c r="Y63" s="6793"/>
      <c r="Z63" s="6794"/>
      <c r="AA63" s="6795"/>
      <c r="AB63" s="6796"/>
      <c r="AC63" s="6797"/>
      <c r="AD63" s="6798"/>
      <c r="AE63" s="4" t="s">
        <v>1</v>
      </c>
      <c r="AF63" s="6202" t="str">
        <f t="shared" si="16"/>
        <v>►</v>
      </c>
      <c r="AG63" s="6234" t="str">
        <f t="shared" si="17"/>
        <v/>
      </c>
      <c r="AH63" s="6732" t="str">
        <f t="shared" si="18"/>
        <v/>
      </c>
      <c r="AI63" s="6234" t="str">
        <f t="shared" si="19"/>
        <v/>
      </c>
      <c r="AJ63" s="6732" t="str">
        <f t="shared" si="20"/>
        <v/>
      </c>
      <c r="AK63" s="6732">
        <f t="shared" si="21"/>
        <v>0</v>
      </c>
      <c r="AL63" s="6230" t="str" cm="1">
        <f t="array" ref="AL63">IF(AF63&lt;&gt;"A","",IFERROR((IFERROR(_xlfn.XLOOKUP(TRIM(SUBSTITUTE(U63,CHAR(160)," ")),$BJ$15:$BJ$62,$BM$15:$BM$62),IFERROR(_xlfn.XLOOKUP(TRIM(SUBSTITUTE(U63,CHAR(160)," ")),$BK$15:$BK$62,$BM$15:$BM$62),_xlfn.XLOOKUP(TRIM(SUBSTITUTE(U63,CHAR(160)," ")),$BL$15:$BL$62,$BM$15:$BM$62))))*T63*IF(ISBLANK(Q63),1,Q63)+IFERROR(_xlfn.XLOOKUP("RECHERCHEX",TRIM(L63:AD63),L63:AD63),0),0))</f>
        <v/>
      </c>
      <c r="AM63" s="6229">
        <f t="shared" si="22"/>
        <v>0</v>
      </c>
      <c r="AN63" s="6857" t="str">
        <f t="shared" si="41"/>
        <v/>
      </c>
      <c r="AO63" s="392">
        <f t="shared" si="24"/>
        <v>0</v>
      </c>
      <c r="AP63" s="392">
        <f t="shared" si="25"/>
        <v>0</v>
      </c>
      <c r="AQ63" s="6191">
        <f t="shared" si="26"/>
        <v>0</v>
      </c>
      <c r="AR63" s="6859" t="str">
        <f t="shared" si="27"/>
        <v/>
      </c>
      <c r="AS63" s="6217"/>
      <c r="AT63" s="6217"/>
      <c r="AU63" s="6272">
        <f t="shared" si="28"/>
        <v>0</v>
      </c>
      <c r="AV63" s="6240">
        <f t="shared" si="29"/>
        <v>0</v>
      </c>
      <c r="AW63" s="6189" cm="1">
        <f t="array" ref="AW63">IF(AK63&lt;&gt;1,0,IF(OR(AU63="",N(AU63)&lt;=0.000000001),"",IF(OR(AO63="",N(AO63)&lt;=0.000000001),0,IF(ISNUMBER(AU63),IFERROR(_xlfn.LET(_xlpm.ai_test,TRIM(AJ63),_xlpm.r,IFERROR(_xlfn.XLOOKUP(_xlpm.ai_test,$BJ$15:$BJ$62,ROW($BJ$15:$BJ$62),0,1),IFERROR(_xlfn.XLOOKUP(_xlpm.ai_test,$BK$15:$BK$62,ROW($BK$15:$BK$62),0,1),_xlfn.XLOOKUP(_xlpm.ai_test,$BL$15:$BL$62,ROW($BL$15:$BL$62),0,1))),_xlpm.p,_xlpm.r-MIN(ROW($BJ$15:$BJ$62))+1,_xlpm.f,INDEX($BM$15:$BM$62,_xlpm.p),_xlpm.u,INDEX($BN$15:$BN$62,_xlpm.p),_xlpm.s,INDEX($BP$15:$BP$62,_xlpm.p),_xlpm.q,N(AU63)/_xlpm.f,IF(_xlpm.q&gt;=_xlpm.s,ROUND(_xlpm.q,1)&amp;" "&amp;_xlpm.ai_test&amp;" = "&amp;ROUND(_xlpm.q*_xlpm.f,1)&amp;" "&amp;_xlpm.u,ROUND(_xlpm.q,1)&amp;" "&amp;_xlpm.ai_test)),""),""))))</f>
        <v>0</v>
      </c>
      <c r="AX63" s="6218"/>
      <c r="AY63" s="6272">
        <f t="shared" si="30"/>
        <v>0</v>
      </c>
      <c r="AZ63" s="6240" t="str">
        <f t="shared" si="31"/>
        <v/>
      </c>
      <c r="BA63" s="6195">
        <f t="shared" si="37"/>
        <v>0</v>
      </c>
      <c r="BB63" s="6193" t="str">
        <f t="shared" si="32"/>
        <v/>
      </c>
      <c r="BC63" s="6219"/>
      <c r="BD63" s="6222">
        <f t="shared" si="39"/>
        <v>0</v>
      </c>
      <c r="BE63" s="6220" t="str">
        <f t="shared" si="34"/>
        <v/>
      </c>
      <c r="BF63" s="4" t="s">
        <v>1</v>
      </c>
      <c r="BG63" s="6196">
        <f t="shared" si="35"/>
        <v>0</v>
      </c>
      <c r="BH63" s="6197">
        <f t="shared" si="36"/>
        <v>0</v>
      </c>
      <c r="BI63" s="187"/>
      <c r="BJ63" s="6925" t="s">
        <v>8847</v>
      </c>
      <c r="BK63" s="6925"/>
      <c r="BL63" s="6925"/>
      <c r="BM63" s="6925"/>
      <c r="BN63" s="6925"/>
      <c r="BO63" s="6925"/>
      <c r="BP63" s="6925"/>
      <c r="BQ63" s="6925"/>
      <c r="BR63"/>
      <c r="BS63"/>
      <c r="BT63"/>
      <c r="BU63"/>
      <c r="BV63"/>
      <c r="BW63"/>
      <c r="BX63" s="20" t="str">
        <f t="shared" si="11"/>
        <v>►</v>
      </c>
      <c r="BY63" s="5819"/>
      <c r="BZ63" s="228"/>
      <c r="CA63" s="228"/>
      <c r="CB63" s="227"/>
      <c r="CC63" s="227"/>
      <c r="CD63" s="5661"/>
      <c r="CE63" s="5975" t="s">
        <v>7751</v>
      </c>
      <c r="CF63" s="5976" t="s">
        <v>2995</v>
      </c>
      <c r="CG63" s="5976" t="s">
        <v>7752</v>
      </c>
      <c r="CH63" s="5976" t="s">
        <v>26</v>
      </c>
      <c r="CI63" s="5976" t="s">
        <v>262</v>
      </c>
      <c r="CJ63" s="5976" t="s">
        <v>255</v>
      </c>
      <c r="CK63" s="5978" t="s">
        <v>7754</v>
      </c>
      <c r="CM63" s="5975" t="s">
        <v>7751</v>
      </c>
      <c r="CN63" s="5976" t="s">
        <v>2995</v>
      </c>
      <c r="CO63" s="5976" t="s">
        <v>7752</v>
      </c>
      <c r="CP63" s="5976" t="s">
        <v>26</v>
      </c>
      <c r="CQ63" s="5976" t="s">
        <v>262</v>
      </c>
      <c r="CR63" s="5976" t="s">
        <v>255</v>
      </c>
      <c r="CS63" s="5978" t="s">
        <v>7754</v>
      </c>
      <c r="CU63" s="5975" t="s">
        <v>7751</v>
      </c>
      <c r="CV63" s="5976" t="s">
        <v>2995</v>
      </c>
      <c r="CW63" s="5976" t="s">
        <v>7752</v>
      </c>
      <c r="CX63" s="5976" t="s">
        <v>26</v>
      </c>
      <c r="CY63" s="5976" t="s">
        <v>262</v>
      </c>
      <c r="CZ63" s="5976" t="s">
        <v>255</v>
      </c>
      <c r="DA63" s="5978" t="s">
        <v>7754</v>
      </c>
      <c r="DC63" s="5">
        <v>1</v>
      </c>
    </row>
    <row r="64" spans="1:107" s="1" customFormat="1" ht="21" customHeight="1">
      <c r="A64" s="5641" t="s">
        <v>1</v>
      </c>
      <c r="B64" s="5662" t="str">
        <f t="shared" si="10"/>
        <v>►</v>
      </c>
      <c r="C64" s="5825" cm="1">
        <f t="array" ref="C64">SUMPRODUCT(LEN(D64:J64))</f>
        <v>0</v>
      </c>
      <c r="D64" s="5275"/>
      <c r="E64" s="1361"/>
      <c r="F64" s="1361"/>
      <c r="G64" s="1361"/>
      <c r="H64" s="1361"/>
      <c r="I64" s="1361"/>
      <c r="J64" s="5276"/>
      <c r="K64" s="106" t="s">
        <v>1</v>
      </c>
      <c r="L64" s="1021" t="s">
        <v>26</v>
      </c>
      <c r="M64" s="6787"/>
      <c r="N64" s="6787"/>
      <c r="O64" s="6787"/>
      <c r="P64" s="6788"/>
      <c r="Q64" s="6789"/>
      <c r="R64" s="6790"/>
      <c r="S64" s="6786"/>
      <c r="T64" s="6791"/>
      <c r="U64" s="6844"/>
      <c r="V64" s="6791"/>
      <c r="W64" s="8487"/>
      <c r="X64" s="6871"/>
      <c r="Y64" s="6793"/>
      <c r="Z64" s="6794"/>
      <c r="AA64" s="6795"/>
      <c r="AB64" s="6796"/>
      <c r="AC64" s="6797"/>
      <c r="AD64" s="6798"/>
      <c r="AE64" s="4" t="s">
        <v>1</v>
      </c>
      <c r="AF64" s="6202" t="str">
        <f t="shared" si="16"/>
        <v>►</v>
      </c>
      <c r="AG64" s="6234" t="str">
        <f t="shared" si="17"/>
        <v/>
      </c>
      <c r="AH64" s="6732" t="str">
        <f t="shared" si="18"/>
        <v/>
      </c>
      <c r="AI64" s="6234" t="str">
        <f t="shared" si="19"/>
        <v/>
      </c>
      <c r="AJ64" s="6732" t="str">
        <f t="shared" si="20"/>
        <v/>
      </c>
      <c r="AK64" s="6732">
        <f t="shared" si="21"/>
        <v>0</v>
      </c>
      <c r="AL64" s="6230" t="str" cm="1">
        <f t="array" ref="AL64">IF(AF64&lt;&gt;"A","",IFERROR((IFERROR(_xlfn.XLOOKUP(TRIM(SUBSTITUTE(U64,CHAR(160)," ")),$BJ$15:$BJ$62,$BM$15:$BM$62),IFERROR(_xlfn.XLOOKUP(TRIM(SUBSTITUTE(U64,CHAR(160)," ")),$BK$15:$BK$62,$BM$15:$BM$62),_xlfn.XLOOKUP(TRIM(SUBSTITUTE(U64,CHAR(160)," ")),$BL$15:$BL$62,$BM$15:$BM$62))))*T64*IF(ISBLANK(Q64),1,Q64)+IFERROR(_xlfn.XLOOKUP("RECHERCHEX",TRIM(L64:AD64),L64:AD64),0),0))</f>
        <v/>
      </c>
      <c r="AM64" s="6229">
        <f t="shared" si="22"/>
        <v>0</v>
      </c>
      <c r="AN64" s="6857" t="str">
        <f t="shared" si="41"/>
        <v/>
      </c>
      <c r="AO64" s="392">
        <f t="shared" si="24"/>
        <v>0</v>
      </c>
      <c r="AP64" s="392">
        <f t="shared" si="25"/>
        <v>0</v>
      </c>
      <c r="AQ64" s="6190">
        <f t="shared" si="26"/>
        <v>0</v>
      </c>
      <c r="AR64" s="6858" t="str">
        <f t="shared" si="27"/>
        <v/>
      </c>
      <c r="AS64" s="6217"/>
      <c r="AT64" s="6217"/>
      <c r="AU64" s="6271">
        <f t="shared" si="28"/>
        <v>0</v>
      </c>
      <c r="AV64" s="6242">
        <f t="shared" si="29"/>
        <v>0</v>
      </c>
      <c r="AW64" s="6188" cm="1">
        <f t="array" ref="AW64">IF(AK64&lt;&gt;1,0,IF(OR(AU64="",N(AU64)&lt;=0.000000001),"",IF(OR(AO64="",N(AO64)&lt;=0.000000001),0,IF(ISNUMBER(AU64),IFERROR(_xlfn.LET(_xlpm.ai_test,TRIM(AJ64),_xlpm.r,IFERROR(_xlfn.XLOOKUP(_xlpm.ai_test,$BJ$15:$BJ$62,ROW($BJ$15:$BJ$62),0,1),IFERROR(_xlfn.XLOOKUP(_xlpm.ai_test,$BK$15:$BK$62,ROW($BK$15:$BK$62),0,1),_xlfn.XLOOKUP(_xlpm.ai_test,$BL$15:$BL$62,ROW($BL$15:$BL$62),0,1))),_xlpm.p,_xlpm.r-MIN(ROW($BJ$15:$BJ$62))+1,_xlpm.f,INDEX($BM$15:$BM$62,_xlpm.p),_xlpm.u,INDEX($BN$15:$BN$62,_xlpm.p),_xlpm.s,INDEX($BP$15:$BP$62,_xlpm.p),_xlpm.q,N(AU64)/_xlpm.f,IF(_xlpm.q&gt;=_xlpm.s,ROUND(_xlpm.q,1)&amp;" "&amp;_xlpm.ai_test&amp;" = "&amp;ROUND(_xlpm.q*_xlpm.f,1)&amp;" "&amp;_xlpm.u,ROUND(_xlpm.q,1)&amp;" "&amp;_xlpm.ai_test)),""),""))))</f>
        <v>0</v>
      </c>
      <c r="AX64" s="6218"/>
      <c r="AY64" s="6271">
        <f t="shared" si="30"/>
        <v>0</v>
      </c>
      <c r="AZ64" s="6242" t="str">
        <f t="shared" si="31"/>
        <v/>
      </c>
      <c r="BA64" s="6194">
        <f t="shared" si="37"/>
        <v>0</v>
      </c>
      <c r="BB64" s="6192" t="str">
        <f t="shared" si="32"/>
        <v/>
      </c>
      <c r="BC64" s="6219"/>
      <c r="BD64" s="6221">
        <f t="shared" si="39"/>
        <v>0</v>
      </c>
      <c r="BE64" s="6220" t="str">
        <f t="shared" si="34"/>
        <v/>
      </c>
      <c r="BF64" s="4" t="s">
        <v>1</v>
      </c>
      <c r="BG64" s="6196">
        <f t="shared" si="35"/>
        <v>0</v>
      </c>
      <c r="BH64" s="6197">
        <f t="shared" si="36"/>
        <v>0</v>
      </c>
      <c r="BI64" s="187"/>
      <c r="BJ64" s="6925"/>
      <c r="BK64" s="6925"/>
      <c r="BL64" s="6925"/>
      <c r="BM64" s="6925"/>
      <c r="BN64" s="6925"/>
      <c r="BO64" s="6925"/>
      <c r="BP64" s="6925"/>
      <c r="BQ64" s="6925"/>
      <c r="BR64"/>
      <c r="BS64"/>
      <c r="BT64"/>
      <c r="BU64"/>
      <c r="BV64"/>
      <c r="BW64"/>
      <c r="BX64" s="20" t="str">
        <f t="shared" si="11"/>
        <v>►</v>
      </c>
      <c r="BY64" s="6926" t="s">
        <v>11034</v>
      </c>
      <c r="BZ64" s="6926"/>
      <c r="CA64" s="6926"/>
      <c r="CB64" s="6926"/>
      <c r="CC64" s="6926"/>
      <c r="CD64" s="5661"/>
      <c r="CE64" s="954"/>
      <c r="CF64" s="955"/>
      <c r="CG64" s="955"/>
      <c r="CH64" s="955"/>
      <c r="CI64" s="955"/>
      <c r="CJ64" s="955"/>
      <c r="CK64" s="6301" t="s">
        <v>10686</v>
      </c>
      <c r="CM64" s="954"/>
      <c r="CN64" s="955"/>
      <c r="CO64" s="955"/>
      <c r="CP64" s="955"/>
      <c r="CQ64" s="955"/>
      <c r="CR64" s="955"/>
      <c r="CS64" s="6301" t="s">
        <v>10686</v>
      </c>
      <c r="CU64" s="6927" t="s">
        <v>8827</v>
      </c>
      <c r="CV64" s="6928"/>
      <c r="CW64" s="6928"/>
      <c r="CX64" s="6928"/>
      <c r="CY64" s="6928"/>
      <c r="CZ64" s="6928"/>
      <c r="DA64" s="6929"/>
      <c r="DC64" s="5">
        <v>1</v>
      </c>
    </row>
    <row r="65" spans="1:107" s="1" customFormat="1" ht="21" customHeight="1">
      <c r="A65" s="5641" t="s">
        <v>1</v>
      </c>
      <c r="B65" s="5662" t="str">
        <f t="shared" si="10"/>
        <v>►</v>
      </c>
      <c r="C65" s="5825" cm="1">
        <f t="array" ref="C65">SUMPRODUCT(LEN(D65:J65))</f>
        <v>0</v>
      </c>
      <c r="D65" s="5275"/>
      <c r="E65" s="1361"/>
      <c r="F65" s="1361"/>
      <c r="G65" s="1361"/>
      <c r="H65" s="1361"/>
      <c r="I65" s="1361"/>
      <c r="J65" s="5276"/>
      <c r="K65" s="106" t="s">
        <v>1</v>
      </c>
      <c r="L65" s="1021" t="s">
        <v>26</v>
      </c>
      <c r="M65" s="6787"/>
      <c r="N65" s="6787"/>
      <c r="O65" s="6787"/>
      <c r="P65" s="6788"/>
      <c r="Q65" s="6789"/>
      <c r="R65" s="6790"/>
      <c r="S65" s="6786"/>
      <c r="T65" s="6791"/>
      <c r="U65" s="6844"/>
      <c r="V65" s="6791"/>
      <c r="W65" s="8487"/>
      <c r="X65" s="6871"/>
      <c r="Y65" s="6793"/>
      <c r="Z65" s="6794"/>
      <c r="AA65" s="6795"/>
      <c r="AB65" s="6796"/>
      <c r="AC65" s="6797"/>
      <c r="AD65" s="6798"/>
      <c r="AE65" s="4" t="s">
        <v>1</v>
      </c>
      <c r="AF65" s="6202" t="str">
        <f t="shared" si="16"/>
        <v>►</v>
      </c>
      <c r="AG65" s="6234" t="str">
        <f t="shared" si="17"/>
        <v/>
      </c>
      <c r="AH65" s="6732" t="str">
        <f t="shared" si="18"/>
        <v/>
      </c>
      <c r="AI65" s="6234" t="str">
        <f t="shared" si="19"/>
        <v/>
      </c>
      <c r="AJ65" s="6732" t="str">
        <f t="shared" si="20"/>
        <v/>
      </c>
      <c r="AK65" s="6732">
        <f t="shared" si="21"/>
        <v>0</v>
      </c>
      <c r="AL65" s="6230" t="str" cm="1">
        <f t="array" ref="AL65">IF(AF65&lt;&gt;"A","",IFERROR((IFERROR(_xlfn.XLOOKUP(TRIM(SUBSTITUTE(U65,CHAR(160)," ")),$BJ$15:$BJ$62,$BM$15:$BM$62),IFERROR(_xlfn.XLOOKUP(TRIM(SUBSTITUTE(U65,CHAR(160)," ")),$BK$15:$BK$62,$BM$15:$BM$62),_xlfn.XLOOKUP(TRIM(SUBSTITUTE(U65,CHAR(160)," ")),$BL$15:$BL$62,$BM$15:$BM$62))))*T65*IF(ISBLANK(Q65),1,Q65)+IFERROR(_xlfn.XLOOKUP("RECHERCHEX",TRIM(L65:AD65),L65:AD65),0),0))</f>
        <v/>
      </c>
      <c r="AM65" s="6229">
        <f t="shared" si="22"/>
        <v>0</v>
      </c>
      <c r="AN65" s="6857" t="str">
        <f t="shared" si="41"/>
        <v/>
      </c>
      <c r="AO65" s="392">
        <f t="shared" si="24"/>
        <v>0</v>
      </c>
      <c r="AP65" s="392">
        <f t="shared" si="25"/>
        <v>0</v>
      </c>
      <c r="AQ65" s="6191">
        <f t="shared" si="26"/>
        <v>0</v>
      </c>
      <c r="AR65" s="6859" t="str">
        <f t="shared" si="27"/>
        <v/>
      </c>
      <c r="AS65" s="6217"/>
      <c r="AT65" s="6217"/>
      <c r="AU65" s="6272">
        <f t="shared" si="28"/>
        <v>0</v>
      </c>
      <c r="AV65" s="6240">
        <f t="shared" si="29"/>
        <v>0</v>
      </c>
      <c r="AW65" s="6189" cm="1">
        <f t="array" ref="AW65">IF(AK65&lt;&gt;1,0,IF(OR(AU65="",N(AU65)&lt;=0.000000001),"",IF(OR(AO65="",N(AO65)&lt;=0.000000001),0,IF(ISNUMBER(AU65),IFERROR(_xlfn.LET(_xlpm.ai_test,TRIM(AJ65),_xlpm.r,IFERROR(_xlfn.XLOOKUP(_xlpm.ai_test,$BJ$15:$BJ$62,ROW($BJ$15:$BJ$62),0,1),IFERROR(_xlfn.XLOOKUP(_xlpm.ai_test,$BK$15:$BK$62,ROW($BK$15:$BK$62),0,1),_xlfn.XLOOKUP(_xlpm.ai_test,$BL$15:$BL$62,ROW($BL$15:$BL$62),0,1))),_xlpm.p,_xlpm.r-MIN(ROW($BJ$15:$BJ$62))+1,_xlpm.f,INDEX($BM$15:$BM$62,_xlpm.p),_xlpm.u,INDEX($BN$15:$BN$62,_xlpm.p),_xlpm.s,INDEX($BP$15:$BP$62,_xlpm.p),_xlpm.q,N(AU65)/_xlpm.f,IF(_xlpm.q&gt;=_xlpm.s,ROUND(_xlpm.q,1)&amp;" "&amp;_xlpm.ai_test&amp;" = "&amp;ROUND(_xlpm.q*_xlpm.f,1)&amp;" "&amp;_xlpm.u,ROUND(_xlpm.q,1)&amp;" "&amp;_xlpm.ai_test)),""),""))))</f>
        <v>0</v>
      </c>
      <c r="AX65" s="6218"/>
      <c r="AY65" s="6272">
        <f t="shared" si="30"/>
        <v>0</v>
      </c>
      <c r="AZ65" s="6240" t="str">
        <f t="shared" si="31"/>
        <v/>
      </c>
      <c r="BA65" s="6195">
        <f t="shared" si="37"/>
        <v>0</v>
      </c>
      <c r="BB65" s="6193" t="str">
        <f t="shared" si="32"/>
        <v/>
      </c>
      <c r="BC65" s="6219"/>
      <c r="BD65" s="6222">
        <f t="shared" si="39"/>
        <v>0</v>
      </c>
      <c r="BE65" s="6220" t="str">
        <f t="shared" si="34"/>
        <v/>
      </c>
      <c r="BF65" s="4" t="s">
        <v>1</v>
      </c>
      <c r="BG65" s="6196">
        <f t="shared" si="35"/>
        <v>0</v>
      </c>
      <c r="BH65" s="6197">
        <f t="shared" si="36"/>
        <v>0</v>
      </c>
      <c r="BI65" s="190"/>
      <c r="BJ65" s="6302" t="s">
        <v>87</v>
      </c>
      <c r="BK65" s="6302"/>
      <c r="BL65" s="6302"/>
      <c r="BM65" s="6303"/>
      <c r="BN65" s="206"/>
      <c r="BO65" s="206"/>
      <c r="BP65" s="206"/>
      <c r="BR65"/>
      <c r="BS65"/>
      <c r="BT65"/>
      <c r="BU65"/>
      <c r="BV65"/>
      <c r="BW65"/>
      <c r="BX65" s="20" t="str">
        <f t="shared" si="11"/>
        <v>►</v>
      </c>
      <c r="BY65" s="6926"/>
      <c r="BZ65" s="6926"/>
      <c r="CA65" s="6926"/>
      <c r="CB65" s="6926"/>
      <c r="CC65" s="6926"/>
      <c r="CD65" s="5661"/>
      <c r="CE65" s="5981">
        <v>19</v>
      </c>
      <c r="CF65" s="5982">
        <v>18</v>
      </c>
      <c r="CG65" s="5982">
        <v>10</v>
      </c>
      <c r="CH65" s="5982">
        <v>16</v>
      </c>
      <c r="CI65" s="5982">
        <v>16</v>
      </c>
      <c r="CJ65" s="5982">
        <v>11</v>
      </c>
      <c r="CK65" s="5983">
        <v>40</v>
      </c>
      <c r="CM65" s="5981">
        <v>19</v>
      </c>
      <c r="CN65" s="5982">
        <v>18</v>
      </c>
      <c r="CO65" s="5982">
        <v>10</v>
      </c>
      <c r="CP65" s="5982">
        <v>16</v>
      </c>
      <c r="CQ65" s="5982">
        <v>16</v>
      </c>
      <c r="CR65" s="5982">
        <v>11</v>
      </c>
      <c r="CS65" s="5983">
        <v>40</v>
      </c>
      <c r="CU65" s="6927"/>
      <c r="CV65" s="6928"/>
      <c r="CW65" s="6928"/>
      <c r="CX65" s="6928"/>
      <c r="CY65" s="6928"/>
      <c r="CZ65" s="6928"/>
      <c r="DA65" s="6929"/>
      <c r="DC65" s="5">
        <v>1</v>
      </c>
    </row>
    <row r="66" spans="1:107" s="1" customFormat="1" ht="21" customHeight="1" thickBot="1">
      <c r="A66" s="5641" t="s">
        <v>1</v>
      </c>
      <c r="B66" s="5662" t="str">
        <f t="shared" si="10"/>
        <v>►</v>
      </c>
      <c r="C66" s="5825" cm="1">
        <f t="array" ref="C66">SUMPRODUCT(LEN(D66:J66))</f>
        <v>0</v>
      </c>
      <c r="D66" s="5275"/>
      <c r="E66" s="1361"/>
      <c r="F66" s="1361"/>
      <c r="G66" s="1361"/>
      <c r="H66" s="1361"/>
      <c r="I66" s="1361"/>
      <c r="J66" s="5276"/>
      <c r="K66" s="106" t="s">
        <v>1</v>
      </c>
      <c r="L66" s="1021" t="s">
        <v>26</v>
      </c>
      <c r="M66" s="6787"/>
      <c r="N66" s="6787"/>
      <c r="O66" s="6787"/>
      <c r="P66" s="6788"/>
      <c r="Q66" s="6789"/>
      <c r="R66" s="6790"/>
      <c r="S66" s="6786"/>
      <c r="T66" s="6791"/>
      <c r="U66" s="6844"/>
      <c r="V66" s="6791"/>
      <c r="W66" s="8487"/>
      <c r="X66" s="6871"/>
      <c r="Y66" s="6793"/>
      <c r="Z66" s="6794"/>
      <c r="AA66" s="6795"/>
      <c r="AB66" s="6796"/>
      <c r="AC66" s="6797"/>
      <c r="AD66" s="6798"/>
      <c r="AE66" s="4" t="s">
        <v>1</v>
      </c>
      <c r="AF66" s="6202" t="str">
        <f t="shared" si="16"/>
        <v>►</v>
      </c>
      <c r="AG66" s="6234" t="str">
        <f t="shared" si="17"/>
        <v/>
      </c>
      <c r="AH66" s="6732" t="str">
        <f t="shared" si="18"/>
        <v/>
      </c>
      <c r="AI66" s="6234" t="str">
        <f t="shared" si="19"/>
        <v/>
      </c>
      <c r="AJ66" s="6732" t="str">
        <f t="shared" si="20"/>
        <v/>
      </c>
      <c r="AK66" s="6732">
        <f t="shared" si="21"/>
        <v>0</v>
      </c>
      <c r="AL66" s="6230" t="str" cm="1">
        <f t="array" ref="AL66">IF(AF66&lt;&gt;"A","",IFERROR((IFERROR(_xlfn.XLOOKUP(TRIM(SUBSTITUTE(U66,CHAR(160)," ")),$BJ$15:$BJ$62,$BM$15:$BM$62),IFERROR(_xlfn.XLOOKUP(TRIM(SUBSTITUTE(U66,CHAR(160)," ")),$BK$15:$BK$62,$BM$15:$BM$62),_xlfn.XLOOKUP(TRIM(SUBSTITUTE(U66,CHAR(160)," ")),$BL$15:$BL$62,$BM$15:$BM$62))))*T66*IF(ISBLANK(Q66),1,Q66)+IFERROR(_xlfn.XLOOKUP("RECHERCHEX",TRIM(L66:AD66),L66:AD66),0),0))</f>
        <v/>
      </c>
      <c r="AM66" s="6229">
        <f t="shared" si="22"/>
        <v>0</v>
      </c>
      <c r="AN66" s="6857" t="str">
        <f t="shared" si="41"/>
        <v/>
      </c>
      <c r="AO66" s="392">
        <f t="shared" si="24"/>
        <v>0</v>
      </c>
      <c r="AP66" s="392">
        <f t="shared" si="25"/>
        <v>0</v>
      </c>
      <c r="AQ66" s="6190">
        <f t="shared" si="26"/>
        <v>0</v>
      </c>
      <c r="AR66" s="6858" t="str">
        <f t="shared" si="27"/>
        <v/>
      </c>
      <c r="AS66" s="6217"/>
      <c r="AT66" s="6217"/>
      <c r="AU66" s="6271">
        <f t="shared" si="28"/>
        <v>0</v>
      </c>
      <c r="AV66" s="6242">
        <f t="shared" si="29"/>
        <v>0</v>
      </c>
      <c r="AW66" s="6188" cm="1">
        <f t="array" ref="AW66">IF(AK66&lt;&gt;1,0,IF(OR(AU66="",N(AU66)&lt;=0.000000001),"",IF(OR(AO66="",N(AO66)&lt;=0.000000001),0,IF(ISNUMBER(AU66),IFERROR(_xlfn.LET(_xlpm.ai_test,TRIM(AJ66),_xlpm.r,IFERROR(_xlfn.XLOOKUP(_xlpm.ai_test,$BJ$15:$BJ$62,ROW($BJ$15:$BJ$62),0,1),IFERROR(_xlfn.XLOOKUP(_xlpm.ai_test,$BK$15:$BK$62,ROW($BK$15:$BK$62),0,1),_xlfn.XLOOKUP(_xlpm.ai_test,$BL$15:$BL$62,ROW($BL$15:$BL$62),0,1))),_xlpm.p,_xlpm.r-MIN(ROW($BJ$15:$BJ$62))+1,_xlpm.f,INDEX($BM$15:$BM$62,_xlpm.p),_xlpm.u,INDEX($BN$15:$BN$62,_xlpm.p),_xlpm.s,INDEX($BP$15:$BP$62,_xlpm.p),_xlpm.q,N(AU66)/_xlpm.f,IF(_xlpm.q&gt;=_xlpm.s,ROUND(_xlpm.q,1)&amp;" "&amp;_xlpm.ai_test&amp;" = "&amp;ROUND(_xlpm.q*_xlpm.f,1)&amp;" "&amp;_xlpm.u,ROUND(_xlpm.q,1)&amp;" "&amp;_xlpm.ai_test)),""),""))))</f>
        <v>0</v>
      </c>
      <c r="AX66" s="6218"/>
      <c r="AY66" s="6271">
        <f t="shared" si="30"/>
        <v>0</v>
      </c>
      <c r="AZ66" s="6242" t="str">
        <f t="shared" si="31"/>
        <v/>
      </c>
      <c r="BA66" s="6194">
        <f t="shared" si="37"/>
        <v>0</v>
      </c>
      <c r="BB66" s="6192" t="str">
        <f t="shared" si="32"/>
        <v/>
      </c>
      <c r="BC66" s="6219"/>
      <c r="BD66" s="6221">
        <f t="shared" si="39"/>
        <v>0</v>
      </c>
      <c r="BE66" s="6220" t="str">
        <f t="shared" si="34"/>
        <v/>
      </c>
      <c r="BF66" s="4" t="s">
        <v>1</v>
      </c>
      <c r="BG66" s="6196">
        <f t="shared" si="35"/>
        <v>0</v>
      </c>
      <c r="BH66" s="6197">
        <f t="shared" si="36"/>
        <v>0</v>
      </c>
      <c r="BI66" s="190"/>
      <c r="BJ66" s="102"/>
      <c r="BK66" s="102"/>
      <c r="BL66" s="102"/>
      <c r="BM66" s="102"/>
      <c r="BN66" s="102"/>
      <c r="BO66" s="102"/>
      <c r="BP66" s="102"/>
      <c r="BQ66" s="102"/>
      <c r="BR66"/>
      <c r="BS66"/>
      <c r="BT66"/>
      <c r="BU66"/>
      <c r="BV66"/>
      <c r="BW66"/>
      <c r="BX66" s="20" t="str">
        <f t="shared" si="11"/>
        <v>►</v>
      </c>
      <c r="BY66" s="5819"/>
      <c r="BZ66" s="228"/>
      <c r="CA66" s="228"/>
      <c r="CB66" s="227"/>
      <c r="CC66" s="227"/>
      <c r="CD66" s="5661"/>
      <c r="CE66" s="586">
        <f t="shared" ref="CE66:CK66" ca="1" si="42">CELL("largeur",CE66)</f>
        <v>19</v>
      </c>
      <c r="CF66" s="587">
        <f t="shared" ca="1" si="42"/>
        <v>18</v>
      </c>
      <c r="CG66" s="587">
        <f t="shared" ca="1" si="42"/>
        <v>10</v>
      </c>
      <c r="CH66" s="587">
        <f t="shared" ca="1" si="42"/>
        <v>16</v>
      </c>
      <c r="CI66" s="587">
        <f t="shared" ca="1" si="42"/>
        <v>16</v>
      </c>
      <c r="CJ66" s="587">
        <f t="shared" ca="1" si="42"/>
        <v>11</v>
      </c>
      <c r="CK66" s="588">
        <f t="shared" ca="1" si="42"/>
        <v>40</v>
      </c>
      <c r="CM66" s="586">
        <f t="shared" ref="CM66:CS66" ca="1" si="43">CELL("largeur",CM66)</f>
        <v>19</v>
      </c>
      <c r="CN66" s="587">
        <f t="shared" ca="1" si="43"/>
        <v>18</v>
      </c>
      <c r="CO66" s="587">
        <f t="shared" ca="1" si="43"/>
        <v>10</v>
      </c>
      <c r="CP66" s="587">
        <f t="shared" ca="1" si="43"/>
        <v>16</v>
      </c>
      <c r="CQ66" s="587">
        <f t="shared" ca="1" si="43"/>
        <v>16</v>
      </c>
      <c r="CR66" s="587">
        <f t="shared" ca="1" si="43"/>
        <v>11</v>
      </c>
      <c r="CS66" s="588">
        <f t="shared" ca="1" si="43"/>
        <v>40</v>
      </c>
      <c r="CU66" s="5981">
        <v>19</v>
      </c>
      <c r="CV66" s="5982">
        <v>18</v>
      </c>
      <c r="CW66" s="5982">
        <v>10</v>
      </c>
      <c r="CX66" s="5982">
        <v>16</v>
      </c>
      <c r="CY66" s="5982">
        <v>16</v>
      </c>
      <c r="CZ66" s="5982">
        <v>11</v>
      </c>
      <c r="DA66" s="5983">
        <v>40</v>
      </c>
      <c r="DC66" s="5">
        <v>1</v>
      </c>
    </row>
    <row r="67" spans="1:107" s="1" customFormat="1" ht="21" customHeight="1" thickBot="1">
      <c r="A67" s="5641" t="s">
        <v>1</v>
      </c>
      <c r="B67" s="5662" t="str">
        <f t="shared" si="10"/>
        <v>►</v>
      </c>
      <c r="C67" s="5825" cm="1">
        <f t="array" ref="C67">SUMPRODUCT(LEN(D67:J67))</f>
        <v>0</v>
      </c>
      <c r="D67" s="5275"/>
      <c r="E67" s="1361"/>
      <c r="F67" s="1361"/>
      <c r="G67" s="1361"/>
      <c r="H67" s="1361"/>
      <c r="I67" s="1361"/>
      <c r="J67" s="5276"/>
      <c r="K67" s="106" t="s">
        <v>1</v>
      </c>
      <c r="L67" s="1021" t="s">
        <v>26</v>
      </c>
      <c r="M67" s="6787"/>
      <c r="N67" s="6787"/>
      <c r="O67" s="6787"/>
      <c r="P67" s="6788"/>
      <c r="Q67" s="6789"/>
      <c r="R67" s="6790"/>
      <c r="S67" s="6786"/>
      <c r="T67" s="6791"/>
      <c r="U67" s="6844"/>
      <c r="V67" s="6791"/>
      <c r="W67" s="8487"/>
      <c r="X67" s="6871"/>
      <c r="Y67" s="6793"/>
      <c r="Z67" s="6794"/>
      <c r="AA67" s="6795"/>
      <c r="AB67" s="6796"/>
      <c r="AC67" s="6797"/>
      <c r="AD67" s="6798"/>
      <c r="AE67" s="4" t="s">
        <v>1</v>
      </c>
      <c r="AF67" s="6202" t="str">
        <f t="shared" si="16"/>
        <v>►</v>
      </c>
      <c r="AG67" s="6234" t="str">
        <f t="shared" si="17"/>
        <v/>
      </c>
      <c r="AH67" s="6732" t="str">
        <f t="shared" si="18"/>
        <v/>
      </c>
      <c r="AI67" s="6234" t="str">
        <f t="shared" si="19"/>
        <v/>
      </c>
      <c r="AJ67" s="6732" t="str">
        <f t="shared" si="20"/>
        <v/>
      </c>
      <c r="AK67" s="6732">
        <f t="shared" si="21"/>
        <v>0</v>
      </c>
      <c r="AL67" s="6230" t="str" cm="1">
        <f t="array" ref="AL67">IF(AF67&lt;&gt;"A","",IFERROR((IFERROR(_xlfn.XLOOKUP(TRIM(SUBSTITUTE(U67,CHAR(160)," ")),$BJ$15:$BJ$62,$BM$15:$BM$62),IFERROR(_xlfn.XLOOKUP(TRIM(SUBSTITUTE(U67,CHAR(160)," ")),$BK$15:$BK$62,$BM$15:$BM$62),_xlfn.XLOOKUP(TRIM(SUBSTITUTE(U67,CHAR(160)," ")),$BL$15:$BL$62,$BM$15:$BM$62))))*T67*IF(ISBLANK(Q67),1,Q67)+IFERROR(_xlfn.XLOOKUP("RECHERCHEX",TRIM(L67:AD67),L67:AD67),0),0))</f>
        <v/>
      </c>
      <c r="AM67" s="6229">
        <f t="shared" si="22"/>
        <v>0</v>
      </c>
      <c r="AN67" s="6857" t="str">
        <f t="shared" si="41"/>
        <v/>
      </c>
      <c r="AO67" s="392">
        <f t="shared" si="24"/>
        <v>0</v>
      </c>
      <c r="AP67" s="392">
        <f t="shared" si="25"/>
        <v>0</v>
      </c>
      <c r="AQ67" s="6191">
        <f t="shared" si="26"/>
        <v>0</v>
      </c>
      <c r="AR67" s="6859" t="str">
        <f t="shared" si="27"/>
        <v/>
      </c>
      <c r="AS67" s="6217"/>
      <c r="AT67" s="6217"/>
      <c r="AU67" s="6272">
        <f t="shared" si="28"/>
        <v>0</v>
      </c>
      <c r="AV67" s="6240">
        <f t="shared" si="29"/>
        <v>0</v>
      </c>
      <c r="AW67" s="6189" cm="1">
        <f t="array" ref="AW67">IF(AK67&lt;&gt;1,0,IF(OR(AU67="",N(AU67)&lt;=0.000000001),"",IF(OR(AO67="",N(AO67)&lt;=0.000000001),0,IF(ISNUMBER(AU67),IFERROR(_xlfn.LET(_xlpm.ai_test,TRIM(AJ67),_xlpm.r,IFERROR(_xlfn.XLOOKUP(_xlpm.ai_test,$BJ$15:$BJ$62,ROW($BJ$15:$BJ$62),0,1),IFERROR(_xlfn.XLOOKUP(_xlpm.ai_test,$BK$15:$BK$62,ROW($BK$15:$BK$62),0,1),_xlfn.XLOOKUP(_xlpm.ai_test,$BL$15:$BL$62,ROW($BL$15:$BL$62),0,1))),_xlpm.p,_xlpm.r-MIN(ROW($BJ$15:$BJ$62))+1,_xlpm.f,INDEX($BM$15:$BM$62,_xlpm.p),_xlpm.u,INDEX($BN$15:$BN$62,_xlpm.p),_xlpm.s,INDEX($BP$15:$BP$62,_xlpm.p),_xlpm.q,N(AU67)/_xlpm.f,IF(_xlpm.q&gt;=_xlpm.s,ROUND(_xlpm.q,1)&amp;" "&amp;_xlpm.ai_test&amp;" = "&amp;ROUND(_xlpm.q*_xlpm.f,1)&amp;" "&amp;_xlpm.u,ROUND(_xlpm.q,1)&amp;" "&amp;_xlpm.ai_test)),""),""))))</f>
        <v>0</v>
      </c>
      <c r="AX67" s="6218"/>
      <c r="AY67" s="6272">
        <f t="shared" si="30"/>
        <v>0</v>
      </c>
      <c r="AZ67" s="6240" t="str">
        <f t="shared" si="31"/>
        <v/>
      </c>
      <c r="BA67" s="6195">
        <f t="shared" si="37"/>
        <v>0</v>
      </c>
      <c r="BB67" s="6193" t="str">
        <f t="shared" si="32"/>
        <v/>
      </c>
      <c r="BC67" s="6219"/>
      <c r="BD67" s="6222">
        <f t="shared" si="39"/>
        <v>0</v>
      </c>
      <c r="BE67" s="6220" t="str">
        <f t="shared" si="34"/>
        <v/>
      </c>
      <c r="BF67" s="4" t="s">
        <v>1</v>
      </c>
      <c r="BG67" s="6196">
        <f t="shared" si="35"/>
        <v>0</v>
      </c>
      <c r="BH67" s="6197">
        <f t="shared" si="36"/>
        <v>0</v>
      </c>
      <c r="BI67"/>
      <c r="BJ67" s="6924" t="s">
        <v>8845</v>
      </c>
      <c r="BK67" s="6924"/>
      <c r="BL67" s="6924"/>
      <c r="BM67" s="6924"/>
      <c r="BN67" s="6924"/>
      <c r="BO67" s="6924"/>
      <c r="BP67" s="6924"/>
      <c r="BQ67" s="6924"/>
      <c r="BR67"/>
      <c r="BS67"/>
      <c r="BT67"/>
      <c r="BU67"/>
      <c r="BV67"/>
      <c r="BW67"/>
      <c r="BX67" s="20" t="str">
        <f t="shared" si="11"/>
        <v>►</v>
      </c>
      <c r="BY67" s="6930" t="s">
        <v>11033</v>
      </c>
      <c r="BZ67" s="6930"/>
      <c r="CA67" s="6930"/>
      <c r="CB67" s="6930"/>
      <c r="CC67" s="6930"/>
      <c r="CD67" s="5661"/>
      <c r="CU67" s="586">
        <f t="shared" ref="CU67:DA67" ca="1" si="44">CELL("largeur",CU67)</f>
        <v>19</v>
      </c>
      <c r="CV67" s="587">
        <f t="shared" ca="1" si="44"/>
        <v>18</v>
      </c>
      <c r="CW67" s="587">
        <f t="shared" ca="1" si="44"/>
        <v>10</v>
      </c>
      <c r="CX67" s="587">
        <f t="shared" ca="1" si="44"/>
        <v>16</v>
      </c>
      <c r="CY67" s="587">
        <f t="shared" ca="1" si="44"/>
        <v>16</v>
      </c>
      <c r="CZ67" s="587">
        <f t="shared" ca="1" si="44"/>
        <v>11</v>
      </c>
      <c r="DA67" s="588">
        <f t="shared" ca="1" si="44"/>
        <v>40</v>
      </c>
      <c r="DC67" s="5">
        <v>1</v>
      </c>
    </row>
    <row r="68" spans="1:107" s="1" customFormat="1" ht="21" customHeight="1">
      <c r="A68" s="5641" t="s">
        <v>1</v>
      </c>
      <c r="B68" s="5662" t="str">
        <f t="shared" si="10"/>
        <v>►</v>
      </c>
      <c r="C68" s="5825" cm="1">
        <f t="array" ref="C68">SUMPRODUCT(LEN(D68:J68))</f>
        <v>0</v>
      </c>
      <c r="D68" s="5275"/>
      <c r="E68" s="1361"/>
      <c r="F68" s="1361"/>
      <c r="G68" s="1361"/>
      <c r="H68" s="1361"/>
      <c r="I68" s="1361"/>
      <c r="J68" s="5276"/>
      <c r="K68" s="106" t="s">
        <v>1</v>
      </c>
      <c r="L68" s="1021" t="s">
        <v>26</v>
      </c>
      <c r="M68" s="6787"/>
      <c r="N68" s="6787"/>
      <c r="O68" s="6787"/>
      <c r="P68" s="6788"/>
      <c r="Q68" s="6789"/>
      <c r="R68" s="6790"/>
      <c r="S68" s="6786"/>
      <c r="T68" s="6791"/>
      <c r="U68" s="6844"/>
      <c r="V68" s="6791"/>
      <c r="W68" s="8487"/>
      <c r="X68" s="6871"/>
      <c r="Y68" s="6793"/>
      <c r="Z68" s="6794"/>
      <c r="AA68" s="6795"/>
      <c r="AB68" s="6796"/>
      <c r="AC68" s="6797"/>
      <c r="AD68" s="6798"/>
      <c r="AE68" s="4" t="s">
        <v>1</v>
      </c>
      <c r="AF68" s="6202" t="str">
        <f t="shared" si="16"/>
        <v>►</v>
      </c>
      <c r="AG68" s="6234" t="str">
        <f t="shared" si="17"/>
        <v/>
      </c>
      <c r="AH68" s="6732" t="str">
        <f t="shared" si="18"/>
        <v/>
      </c>
      <c r="AI68" s="6234" t="str">
        <f t="shared" si="19"/>
        <v/>
      </c>
      <c r="AJ68" s="6732" t="str">
        <f t="shared" si="20"/>
        <v/>
      </c>
      <c r="AK68" s="6732">
        <f t="shared" si="21"/>
        <v>0</v>
      </c>
      <c r="AL68" s="6230" t="str" cm="1">
        <f t="array" ref="AL68">IF(AF68&lt;&gt;"A","",IFERROR((IFERROR(_xlfn.XLOOKUP(TRIM(SUBSTITUTE(U68,CHAR(160)," ")),$BJ$15:$BJ$62,$BM$15:$BM$62),IFERROR(_xlfn.XLOOKUP(TRIM(SUBSTITUTE(U68,CHAR(160)," ")),$BK$15:$BK$62,$BM$15:$BM$62),_xlfn.XLOOKUP(TRIM(SUBSTITUTE(U68,CHAR(160)," ")),$BL$15:$BL$62,$BM$15:$BM$62))))*T68*IF(ISBLANK(Q68),1,Q68)+IFERROR(_xlfn.XLOOKUP("RECHERCHEX",TRIM(L68:AD68),L68:AD68),0),0))</f>
        <v/>
      </c>
      <c r="AM68" s="6229">
        <f t="shared" si="22"/>
        <v>0</v>
      </c>
      <c r="AN68" s="6857" t="str">
        <f t="shared" si="41"/>
        <v/>
      </c>
      <c r="AO68" s="392">
        <f t="shared" si="24"/>
        <v>0</v>
      </c>
      <c r="AP68" s="392">
        <f t="shared" si="25"/>
        <v>0</v>
      </c>
      <c r="AQ68" s="6190">
        <f t="shared" si="26"/>
        <v>0</v>
      </c>
      <c r="AR68" s="6858" t="str">
        <f t="shared" si="27"/>
        <v/>
      </c>
      <c r="AS68" s="6217"/>
      <c r="AT68" s="6217"/>
      <c r="AU68" s="6271">
        <f t="shared" si="28"/>
        <v>0</v>
      </c>
      <c r="AV68" s="6242">
        <f t="shared" si="29"/>
        <v>0</v>
      </c>
      <c r="AW68" s="6188" cm="1">
        <f t="array" ref="AW68">IF(AK68&lt;&gt;1,0,IF(OR(AU68="",N(AU68)&lt;=0.000000001),"",IF(OR(AO68="",N(AO68)&lt;=0.000000001),0,IF(ISNUMBER(AU68),IFERROR(_xlfn.LET(_xlpm.ai_test,TRIM(AJ68),_xlpm.r,IFERROR(_xlfn.XLOOKUP(_xlpm.ai_test,$BJ$15:$BJ$62,ROW($BJ$15:$BJ$62),0,1),IFERROR(_xlfn.XLOOKUP(_xlpm.ai_test,$BK$15:$BK$62,ROW($BK$15:$BK$62),0,1),_xlfn.XLOOKUP(_xlpm.ai_test,$BL$15:$BL$62,ROW($BL$15:$BL$62),0,1))),_xlpm.p,_xlpm.r-MIN(ROW($BJ$15:$BJ$62))+1,_xlpm.f,INDEX($BM$15:$BM$62,_xlpm.p),_xlpm.u,INDEX($BN$15:$BN$62,_xlpm.p),_xlpm.s,INDEX($BP$15:$BP$62,_xlpm.p),_xlpm.q,N(AU68)/_xlpm.f,IF(_xlpm.q&gt;=_xlpm.s,ROUND(_xlpm.q,1)&amp;" "&amp;_xlpm.ai_test&amp;" = "&amp;ROUND(_xlpm.q*_xlpm.f,1)&amp;" "&amp;_xlpm.u,ROUND(_xlpm.q,1)&amp;" "&amp;_xlpm.ai_test)),""),""))))</f>
        <v>0</v>
      </c>
      <c r="AX68" s="6218"/>
      <c r="AY68" s="6271">
        <f t="shared" si="30"/>
        <v>0</v>
      </c>
      <c r="AZ68" s="6242" t="str">
        <f t="shared" si="31"/>
        <v/>
      </c>
      <c r="BA68" s="6194">
        <f t="shared" si="37"/>
        <v>0</v>
      </c>
      <c r="BB68" s="6192" t="str">
        <f t="shared" si="32"/>
        <v/>
      </c>
      <c r="BC68" s="6219"/>
      <c r="BD68" s="6221">
        <f t="shared" si="39"/>
        <v>0</v>
      </c>
      <c r="BE68" s="6220" t="str">
        <f t="shared" si="34"/>
        <v/>
      </c>
      <c r="BF68" s="4" t="s">
        <v>1</v>
      </c>
      <c r="BG68" s="6196">
        <f t="shared" si="35"/>
        <v>0</v>
      </c>
      <c r="BH68" s="6197">
        <f t="shared" si="36"/>
        <v>0</v>
      </c>
      <c r="BI68"/>
      <c r="BJ68" s="6924"/>
      <c r="BK68" s="6924"/>
      <c r="BL68" s="6924"/>
      <c r="BM68" s="6924"/>
      <c r="BN68" s="6924"/>
      <c r="BO68" s="6924"/>
      <c r="BP68" s="6924"/>
      <c r="BQ68" s="6924"/>
      <c r="BR68"/>
      <c r="BS68"/>
      <c r="BT68"/>
      <c r="BU68"/>
      <c r="BV68"/>
      <c r="BW68"/>
      <c r="BX68" s="20" t="str">
        <f t="shared" si="11"/>
        <v>►</v>
      </c>
      <c r="BY68" s="6930"/>
      <c r="BZ68" s="6930"/>
      <c r="CA68" s="6930"/>
      <c r="CB68" s="6930"/>
      <c r="CC68" s="6930"/>
      <c r="CD68" s="5661"/>
      <c r="DC68" s="5">
        <v>1</v>
      </c>
    </row>
    <row r="69" spans="1:107" s="1" customFormat="1" ht="21" customHeight="1">
      <c r="A69" s="5641" t="s">
        <v>1</v>
      </c>
      <c r="B69" s="5662" t="str">
        <f t="shared" ref="B69:B132" si="45">L69</f>
        <v>►</v>
      </c>
      <c r="C69" s="5825" cm="1">
        <f t="array" ref="C69">SUMPRODUCT(LEN(D69:J69))</f>
        <v>0</v>
      </c>
      <c r="D69" s="5275"/>
      <c r="E69" s="1361"/>
      <c r="F69" s="1361"/>
      <c r="G69" s="1361"/>
      <c r="H69" s="1361"/>
      <c r="I69" s="1361"/>
      <c r="J69" s="5276"/>
      <c r="K69" s="106" t="s">
        <v>1</v>
      </c>
      <c r="L69" s="1021" t="s">
        <v>26</v>
      </c>
      <c r="M69" s="6787"/>
      <c r="N69" s="6787"/>
      <c r="O69" s="6787"/>
      <c r="P69" s="6788"/>
      <c r="Q69" s="6789"/>
      <c r="R69" s="6790"/>
      <c r="S69" s="6786"/>
      <c r="T69" s="6791"/>
      <c r="U69" s="6844"/>
      <c r="V69" s="6791"/>
      <c r="W69" s="8487"/>
      <c r="X69" s="6871"/>
      <c r="Y69" s="6793"/>
      <c r="Z69" s="6794"/>
      <c r="AA69" s="6795"/>
      <c r="AB69" s="6796"/>
      <c r="AC69" s="6797"/>
      <c r="AD69" s="6798"/>
      <c r="AE69" s="4" t="s">
        <v>1</v>
      </c>
      <c r="AF69" s="6202" t="str">
        <f t="shared" si="16"/>
        <v>►</v>
      </c>
      <c r="AG69" s="6234" t="str">
        <f t="shared" si="17"/>
        <v/>
      </c>
      <c r="AH69" s="6732" t="str">
        <f t="shared" si="18"/>
        <v/>
      </c>
      <c r="AI69" s="6234" t="str">
        <f t="shared" si="19"/>
        <v/>
      </c>
      <c r="AJ69" s="6732" t="str">
        <f t="shared" si="20"/>
        <v/>
      </c>
      <c r="AK69" s="6732">
        <f t="shared" si="21"/>
        <v>0</v>
      </c>
      <c r="AL69" s="6230" t="str" cm="1">
        <f t="array" ref="AL69">IF(AF69&lt;&gt;"A","",IFERROR((IFERROR(_xlfn.XLOOKUP(TRIM(SUBSTITUTE(U69,CHAR(160)," ")),$BJ$15:$BJ$62,$BM$15:$BM$62),IFERROR(_xlfn.XLOOKUP(TRIM(SUBSTITUTE(U69,CHAR(160)," ")),$BK$15:$BK$62,$BM$15:$BM$62),_xlfn.XLOOKUP(TRIM(SUBSTITUTE(U69,CHAR(160)," ")),$BL$15:$BL$62,$BM$15:$BM$62))))*T69*IF(ISBLANK(Q69),1,Q69)+IFERROR(_xlfn.XLOOKUP("RECHERCHEX",TRIM(L69:AD69),L69:AD69),0),0))</f>
        <v/>
      </c>
      <c r="AM69" s="6229">
        <f t="shared" si="22"/>
        <v>0</v>
      </c>
      <c r="AN69" s="6857" t="str">
        <f t="shared" si="41"/>
        <v/>
      </c>
      <c r="AO69" s="392">
        <f t="shared" si="24"/>
        <v>0</v>
      </c>
      <c r="AP69" s="392">
        <f t="shared" si="25"/>
        <v>0</v>
      </c>
      <c r="AQ69" s="6191">
        <f t="shared" si="26"/>
        <v>0</v>
      </c>
      <c r="AR69" s="6859" t="str">
        <f t="shared" si="27"/>
        <v/>
      </c>
      <c r="AS69" s="6217"/>
      <c r="AT69" s="6217"/>
      <c r="AU69" s="6272">
        <f t="shared" si="28"/>
        <v>0</v>
      </c>
      <c r="AV69" s="6240">
        <f t="shared" si="29"/>
        <v>0</v>
      </c>
      <c r="AW69" s="6189" cm="1">
        <f t="array" ref="AW69">IF(AK69&lt;&gt;1,0,IF(OR(AU69="",N(AU69)&lt;=0.000000001),"",IF(OR(AO69="",N(AO69)&lt;=0.000000001),0,IF(ISNUMBER(AU69),IFERROR(_xlfn.LET(_xlpm.ai_test,TRIM(AJ69),_xlpm.r,IFERROR(_xlfn.XLOOKUP(_xlpm.ai_test,$BJ$15:$BJ$62,ROW($BJ$15:$BJ$62),0,1),IFERROR(_xlfn.XLOOKUP(_xlpm.ai_test,$BK$15:$BK$62,ROW($BK$15:$BK$62),0,1),_xlfn.XLOOKUP(_xlpm.ai_test,$BL$15:$BL$62,ROW($BL$15:$BL$62),0,1))),_xlpm.p,_xlpm.r-MIN(ROW($BJ$15:$BJ$62))+1,_xlpm.f,INDEX($BM$15:$BM$62,_xlpm.p),_xlpm.u,INDEX($BN$15:$BN$62,_xlpm.p),_xlpm.s,INDEX($BP$15:$BP$62,_xlpm.p),_xlpm.q,N(AU69)/_xlpm.f,IF(_xlpm.q&gt;=_xlpm.s,ROUND(_xlpm.q,1)&amp;" "&amp;_xlpm.ai_test&amp;" = "&amp;ROUND(_xlpm.q*_xlpm.f,1)&amp;" "&amp;_xlpm.u,ROUND(_xlpm.q,1)&amp;" "&amp;_xlpm.ai_test)),""),""))))</f>
        <v>0</v>
      </c>
      <c r="AX69" s="6218"/>
      <c r="AY69" s="6272">
        <f t="shared" si="30"/>
        <v>0</v>
      </c>
      <c r="AZ69" s="6240" t="str">
        <f t="shared" si="31"/>
        <v/>
      </c>
      <c r="BA69" s="6195">
        <f t="shared" si="37"/>
        <v>0</v>
      </c>
      <c r="BB69" s="6193" t="str">
        <f t="shared" si="32"/>
        <v/>
      </c>
      <c r="BC69" s="6219"/>
      <c r="BD69" s="6222">
        <f t="shared" si="39"/>
        <v>0</v>
      </c>
      <c r="BE69" s="6220" t="str">
        <f t="shared" si="34"/>
        <v/>
      </c>
      <c r="BF69" s="4" t="s">
        <v>1</v>
      </c>
      <c r="BG69" s="6196">
        <f t="shared" si="35"/>
        <v>0</v>
      </c>
      <c r="BH69" s="6197">
        <f t="shared" si="36"/>
        <v>0</v>
      </c>
      <c r="BJ69" s="6924" t="s">
        <v>8846</v>
      </c>
      <c r="BK69" s="6924"/>
      <c r="BL69" s="6924"/>
      <c r="BM69" s="6924"/>
      <c r="BN69" s="6924"/>
      <c r="BO69" s="6924"/>
      <c r="BP69" s="6924"/>
      <c r="BQ69" s="6924"/>
      <c r="BR69"/>
      <c r="BS69"/>
      <c r="BT69"/>
      <c r="BU69"/>
      <c r="BV69"/>
      <c r="BW69"/>
      <c r="BX69" s="20" t="str">
        <f t="shared" ref="BX69:BX132" si="46">AF69</f>
        <v>►</v>
      </c>
      <c r="BY69" s="6930"/>
      <c r="BZ69" s="6930"/>
      <c r="CA69" s="6930"/>
      <c r="CB69" s="6930"/>
      <c r="CC69" s="6930"/>
      <c r="CD69" s="5661"/>
      <c r="DC69" s="5">
        <v>1</v>
      </c>
    </row>
    <row r="70" spans="1:107" s="1" customFormat="1" ht="21" customHeight="1">
      <c r="A70" s="5641" t="s">
        <v>1</v>
      </c>
      <c r="B70" s="5662" t="str">
        <f t="shared" si="45"/>
        <v>►</v>
      </c>
      <c r="C70" s="5825" cm="1">
        <f t="array" ref="C70">SUMPRODUCT(LEN(D70:J70))</f>
        <v>0</v>
      </c>
      <c r="D70" s="5275"/>
      <c r="E70" s="1361"/>
      <c r="F70" s="1361"/>
      <c r="G70" s="1361"/>
      <c r="H70" s="1361"/>
      <c r="I70" s="1361"/>
      <c r="J70" s="5276"/>
      <c r="K70" s="106" t="s">
        <v>1</v>
      </c>
      <c r="L70" s="1021" t="s">
        <v>26</v>
      </c>
      <c r="M70" s="6787"/>
      <c r="N70" s="6787"/>
      <c r="O70" s="6787"/>
      <c r="P70" s="6788"/>
      <c r="Q70" s="6789"/>
      <c r="R70" s="6790"/>
      <c r="S70" s="6786"/>
      <c r="T70" s="6791"/>
      <c r="U70" s="6844"/>
      <c r="V70" s="6791"/>
      <c r="W70" s="8487"/>
      <c r="X70" s="6871"/>
      <c r="Y70" s="6793"/>
      <c r="Z70" s="6794"/>
      <c r="AA70" s="6795"/>
      <c r="AB70" s="6796"/>
      <c r="AC70" s="6797"/>
      <c r="AD70" s="6798"/>
      <c r="AE70" s="4" t="s">
        <v>1</v>
      </c>
      <c r="AF70" s="6202" t="str">
        <f t="shared" si="16"/>
        <v>►</v>
      </c>
      <c r="AG70" s="6234" t="str">
        <f t="shared" si="17"/>
        <v/>
      </c>
      <c r="AH70" s="6732" t="str">
        <f t="shared" si="18"/>
        <v/>
      </c>
      <c r="AI70" s="6234" t="str">
        <f t="shared" si="19"/>
        <v/>
      </c>
      <c r="AJ70" s="6732" t="str">
        <f t="shared" si="20"/>
        <v/>
      </c>
      <c r="AK70" s="6732">
        <f t="shared" si="21"/>
        <v>0</v>
      </c>
      <c r="AL70" s="6230" t="str" cm="1">
        <f t="array" ref="AL70">IF(AF70&lt;&gt;"A","",IFERROR((IFERROR(_xlfn.XLOOKUP(TRIM(SUBSTITUTE(U70,CHAR(160)," ")),$BJ$15:$BJ$62,$BM$15:$BM$62),IFERROR(_xlfn.XLOOKUP(TRIM(SUBSTITUTE(U70,CHAR(160)," ")),$BK$15:$BK$62,$BM$15:$BM$62),_xlfn.XLOOKUP(TRIM(SUBSTITUTE(U70,CHAR(160)," ")),$BL$15:$BL$62,$BM$15:$BM$62))))*T70*IF(ISBLANK(Q70),1,Q70)+IFERROR(_xlfn.XLOOKUP("RECHERCHEX",TRIM(L70:AD70),L70:AD70),0),0))</f>
        <v/>
      </c>
      <c r="AM70" s="6229">
        <f t="shared" si="22"/>
        <v>0</v>
      </c>
      <c r="AN70" s="6857" t="str">
        <f t="shared" si="41"/>
        <v/>
      </c>
      <c r="AO70" s="392">
        <f t="shared" si="24"/>
        <v>0</v>
      </c>
      <c r="AP70" s="392">
        <f t="shared" si="25"/>
        <v>0</v>
      </c>
      <c r="AQ70" s="6190">
        <f t="shared" si="26"/>
        <v>0</v>
      </c>
      <c r="AR70" s="6858" t="str">
        <f t="shared" si="27"/>
        <v/>
      </c>
      <c r="AS70" s="6217"/>
      <c r="AT70" s="6217"/>
      <c r="AU70" s="6271">
        <f t="shared" si="28"/>
        <v>0</v>
      </c>
      <c r="AV70" s="6242">
        <f t="shared" si="29"/>
        <v>0</v>
      </c>
      <c r="AW70" s="6188" cm="1">
        <f t="array" ref="AW70">IF(AK70&lt;&gt;1,0,IF(OR(AU70="",N(AU70)&lt;=0.000000001),"",IF(OR(AO70="",N(AO70)&lt;=0.000000001),0,IF(ISNUMBER(AU70),IFERROR(_xlfn.LET(_xlpm.ai_test,TRIM(AJ70),_xlpm.r,IFERROR(_xlfn.XLOOKUP(_xlpm.ai_test,$BJ$15:$BJ$62,ROW($BJ$15:$BJ$62),0,1),IFERROR(_xlfn.XLOOKUP(_xlpm.ai_test,$BK$15:$BK$62,ROW($BK$15:$BK$62),0,1),_xlfn.XLOOKUP(_xlpm.ai_test,$BL$15:$BL$62,ROW($BL$15:$BL$62),0,1))),_xlpm.p,_xlpm.r-MIN(ROW($BJ$15:$BJ$62))+1,_xlpm.f,INDEX($BM$15:$BM$62,_xlpm.p),_xlpm.u,INDEX($BN$15:$BN$62,_xlpm.p),_xlpm.s,INDEX($BP$15:$BP$62,_xlpm.p),_xlpm.q,N(AU70)/_xlpm.f,IF(_xlpm.q&gt;=_xlpm.s,ROUND(_xlpm.q,1)&amp;" "&amp;_xlpm.ai_test&amp;" = "&amp;ROUND(_xlpm.q*_xlpm.f,1)&amp;" "&amp;_xlpm.u,ROUND(_xlpm.q,1)&amp;" "&amp;_xlpm.ai_test)),""),""))))</f>
        <v>0</v>
      </c>
      <c r="AX70" s="6218"/>
      <c r="AY70" s="6271">
        <f t="shared" si="30"/>
        <v>0</v>
      </c>
      <c r="AZ70" s="6242" t="str">
        <f t="shared" si="31"/>
        <v/>
      </c>
      <c r="BA70" s="6194">
        <f t="shared" si="37"/>
        <v>0</v>
      </c>
      <c r="BB70" s="6192" t="str">
        <f t="shared" si="32"/>
        <v/>
      </c>
      <c r="BC70" s="6219"/>
      <c r="BD70" s="6221">
        <f t="shared" si="39"/>
        <v>0</v>
      </c>
      <c r="BE70" s="6220" t="str">
        <f t="shared" si="34"/>
        <v/>
      </c>
      <c r="BF70" s="4" t="s">
        <v>1</v>
      </c>
      <c r="BG70" s="6196">
        <f t="shared" si="35"/>
        <v>0</v>
      </c>
      <c r="BH70" s="6197">
        <f t="shared" si="36"/>
        <v>0</v>
      </c>
      <c r="BJ70" s="6924"/>
      <c r="BK70" s="6924"/>
      <c r="BL70" s="6924"/>
      <c r="BM70" s="6924"/>
      <c r="BN70" s="6924"/>
      <c r="BO70" s="6924"/>
      <c r="BP70" s="6924"/>
      <c r="BQ70" s="6924"/>
      <c r="BR70"/>
      <c r="BS70"/>
      <c r="BT70"/>
      <c r="BU70"/>
      <c r="BV70"/>
      <c r="BW70"/>
      <c r="BX70" s="20" t="str">
        <f t="shared" si="46"/>
        <v>►</v>
      </c>
      <c r="BY70" s="5819"/>
      <c r="BZ70" s="228"/>
      <c r="CA70" s="228"/>
      <c r="CB70" s="227"/>
      <c r="CC70" s="227"/>
      <c r="CD70" s="5661"/>
      <c r="DC70" s="5">
        <v>1</v>
      </c>
    </row>
    <row r="71" spans="1:107" s="1" customFormat="1" ht="21" customHeight="1">
      <c r="A71" s="5641" t="s">
        <v>1</v>
      </c>
      <c r="B71" s="5662" t="str">
        <f t="shared" si="45"/>
        <v>►</v>
      </c>
      <c r="C71" s="5825" cm="1">
        <f t="array" ref="C71">SUMPRODUCT(LEN(D71:J71))</f>
        <v>0</v>
      </c>
      <c r="D71" s="5275"/>
      <c r="E71" s="1361"/>
      <c r="F71" s="1361"/>
      <c r="G71" s="1361"/>
      <c r="H71" s="1361"/>
      <c r="I71" s="1361"/>
      <c r="J71" s="5276"/>
      <c r="K71" s="106" t="s">
        <v>1</v>
      </c>
      <c r="L71" s="1021" t="s">
        <v>26</v>
      </c>
      <c r="M71" s="6787"/>
      <c r="N71" s="6787"/>
      <c r="O71" s="6787"/>
      <c r="P71" s="6788"/>
      <c r="Q71" s="6789"/>
      <c r="R71" s="6790"/>
      <c r="S71" s="6786"/>
      <c r="T71" s="6791"/>
      <c r="U71" s="6844"/>
      <c r="V71" s="6791"/>
      <c r="W71" s="8487"/>
      <c r="X71" s="6871"/>
      <c r="Y71" s="6793"/>
      <c r="Z71" s="6794"/>
      <c r="AA71" s="6795"/>
      <c r="AB71" s="6796"/>
      <c r="AC71" s="6797"/>
      <c r="AD71" s="6798"/>
      <c r="AE71" s="4" t="s">
        <v>1</v>
      </c>
      <c r="AF71" s="6202" t="str">
        <f t="shared" si="16"/>
        <v>►</v>
      </c>
      <c r="AG71" s="6234" t="str">
        <f t="shared" si="17"/>
        <v/>
      </c>
      <c r="AH71" s="6732" t="str">
        <f t="shared" si="18"/>
        <v/>
      </c>
      <c r="AI71" s="6234" t="str">
        <f t="shared" si="19"/>
        <v/>
      </c>
      <c r="AJ71" s="6732" t="str">
        <f t="shared" si="20"/>
        <v/>
      </c>
      <c r="AK71" s="6732">
        <f t="shared" si="21"/>
        <v>0</v>
      </c>
      <c r="AL71" s="6854" t="str" cm="1">
        <f t="array" ref="AL71">IF(AF71&lt;&gt;"A","",IFERROR((IFERROR(_xlfn.XLOOKUP(TRIM(SUBSTITUTE(U71,CHAR(160)," ")),$BJ$15:$BJ$62,$BM$15:$BM$62),IFERROR(_xlfn.XLOOKUP(TRIM(SUBSTITUTE(U71,CHAR(160)," ")),$BK$15:$BK$62,$BM$15:$BM$62),_xlfn.XLOOKUP(TRIM(SUBSTITUTE(U71,CHAR(160)," ")),$BL$15:$BL$62,$BM$15:$BM$62))))*T71*IF(ISBLANK(Q71),1,Q71)+IFERROR(_xlfn.XLOOKUP("RECHERCHEX",TRIM(L71:AD71),L71:AD71),0),0))</f>
        <v/>
      </c>
      <c r="AM71" s="6229">
        <f t="shared" si="22"/>
        <v>0</v>
      </c>
      <c r="AN71" s="6857" t="str">
        <f t="shared" si="41"/>
        <v/>
      </c>
      <c r="AO71" s="392">
        <f t="shared" si="24"/>
        <v>0</v>
      </c>
      <c r="AP71" s="392">
        <f t="shared" si="25"/>
        <v>0</v>
      </c>
      <c r="AQ71" s="6191">
        <f t="shared" si="26"/>
        <v>0</v>
      </c>
      <c r="AR71" s="6859" t="str">
        <f t="shared" si="27"/>
        <v/>
      </c>
      <c r="AS71" s="6856"/>
      <c r="AT71" s="6275"/>
      <c r="AU71" s="6272">
        <f t="shared" si="28"/>
        <v>0</v>
      </c>
      <c r="AV71" s="6240">
        <f t="shared" si="29"/>
        <v>0</v>
      </c>
      <c r="AW71" s="6189" cm="1">
        <f t="array" ref="AW71">IF(AK71&lt;&gt;1,0,IF(OR(AU71="",N(AU71)&lt;=0.000000001),"",IF(OR(AO71="",N(AO71)&lt;=0.000000001),0,IF(ISNUMBER(AU71),IFERROR(_xlfn.LET(_xlpm.ai_test,TRIM(AJ71),_xlpm.r,IFERROR(_xlfn.XLOOKUP(_xlpm.ai_test,$BJ$15:$BJ$62,ROW($BJ$15:$BJ$62),0,1),IFERROR(_xlfn.XLOOKUP(_xlpm.ai_test,$BK$15:$BK$62,ROW($BK$15:$BK$62),0,1),_xlfn.XLOOKUP(_xlpm.ai_test,$BL$15:$BL$62,ROW($BL$15:$BL$62),0,1))),_xlpm.p,_xlpm.r-MIN(ROW($BJ$15:$BJ$62))+1,_xlpm.f,INDEX($BM$15:$BM$62,_xlpm.p),_xlpm.u,INDEX($BN$15:$BN$62,_xlpm.p),_xlpm.s,INDEX($BP$15:$BP$62,_xlpm.p),_xlpm.q,N(AU71)/_xlpm.f,IF(_xlpm.q&gt;=_xlpm.s,ROUND(_xlpm.q,1)&amp;" "&amp;_xlpm.ai_test&amp;" = "&amp;ROUND(_xlpm.q*_xlpm.f,1)&amp;" "&amp;_xlpm.u,ROUND(_xlpm.q,1)&amp;" "&amp;_xlpm.ai_test)),""),""))))</f>
        <v>0</v>
      </c>
      <c r="AX71" s="6218"/>
      <c r="AY71" s="6272">
        <f t="shared" si="30"/>
        <v>0</v>
      </c>
      <c r="AZ71" s="6240" t="str">
        <f t="shared" si="31"/>
        <v/>
      </c>
      <c r="BA71" s="6195">
        <f t="shared" si="37"/>
        <v>0</v>
      </c>
      <c r="BB71" s="6193" t="str">
        <f t="shared" si="32"/>
        <v/>
      </c>
      <c r="BC71" s="6219"/>
      <c r="BD71" s="6222">
        <f t="shared" si="39"/>
        <v>0</v>
      </c>
      <c r="BE71" s="6220" t="str">
        <f t="shared" si="34"/>
        <v/>
      </c>
      <c r="BF71" s="4" t="s">
        <v>1</v>
      </c>
      <c r="BG71" s="6196">
        <f t="shared" si="35"/>
        <v>0</v>
      </c>
      <c r="BH71" s="6855">
        <f t="shared" si="36"/>
        <v>0</v>
      </c>
      <c r="BJ71" s="102" t="s">
        <v>8836</v>
      </c>
      <c r="BK71" s="102"/>
      <c r="BL71" s="102"/>
      <c r="BM71" s="102"/>
      <c r="BN71" s="102"/>
      <c r="BO71" s="102"/>
      <c r="BP71" s="102"/>
      <c r="BQ71" s="102"/>
      <c r="BR71"/>
      <c r="BS71"/>
      <c r="BT71"/>
      <c r="BU71"/>
      <c r="BV71"/>
      <c r="BW71"/>
      <c r="BX71" s="20" t="str">
        <f t="shared" si="46"/>
        <v>►</v>
      </c>
      <c r="BY71" s="188" t="s">
        <v>105</v>
      </c>
      <c r="BZ71" s="228"/>
      <c r="CA71" s="234"/>
      <c r="CB71" s="234"/>
      <c r="CC71" s="234"/>
      <c r="CD71" s="5661"/>
      <c r="DC71" s="5">
        <v>1</v>
      </c>
    </row>
    <row r="72" spans="1:107" s="1" customFormat="1" ht="21" customHeight="1">
      <c r="A72" s="5641" t="s">
        <v>1</v>
      </c>
      <c r="B72" s="5662" t="str">
        <f t="shared" si="45"/>
        <v>►</v>
      </c>
      <c r="C72" s="5825" cm="1">
        <f t="array" ref="C72">SUMPRODUCT(LEN(D72:J72))</f>
        <v>0</v>
      </c>
      <c r="D72" s="5275"/>
      <c r="E72" s="1361"/>
      <c r="F72" s="1361"/>
      <c r="G72" s="1361"/>
      <c r="H72" s="1361"/>
      <c r="I72" s="1361"/>
      <c r="J72" s="5276"/>
      <c r="K72" s="106" t="s">
        <v>1</v>
      </c>
      <c r="L72" s="1021" t="s">
        <v>26</v>
      </c>
      <c r="M72" s="6787"/>
      <c r="N72" s="6787"/>
      <c r="O72" s="6787"/>
      <c r="P72" s="6788"/>
      <c r="Q72" s="6789"/>
      <c r="R72" s="6790"/>
      <c r="S72" s="6786"/>
      <c r="T72" s="6791"/>
      <c r="U72" s="6844"/>
      <c r="V72" s="6791"/>
      <c r="W72" s="8487"/>
      <c r="X72" s="6871"/>
      <c r="Y72" s="6793"/>
      <c r="Z72" s="6794"/>
      <c r="AA72" s="6795"/>
      <c r="AB72" s="6796"/>
      <c r="AC72" s="6797"/>
      <c r="AD72" s="6798"/>
      <c r="AE72" s="4" t="s">
        <v>1</v>
      </c>
      <c r="AF72" s="6202" t="str">
        <f t="shared" si="16"/>
        <v>►</v>
      </c>
      <c r="AG72" s="6234" t="str">
        <f t="shared" si="17"/>
        <v/>
      </c>
      <c r="AH72" s="6732" t="str">
        <f t="shared" si="18"/>
        <v/>
      </c>
      <c r="AI72" s="6234" t="str">
        <f t="shared" si="19"/>
        <v/>
      </c>
      <c r="AJ72" s="6732" t="str">
        <f t="shared" si="20"/>
        <v/>
      </c>
      <c r="AK72" s="6732">
        <f t="shared" si="21"/>
        <v>0</v>
      </c>
      <c r="AL72" s="6854" t="str" cm="1">
        <f t="array" ref="AL72">IF(AF72&lt;&gt;"A","",IFERROR((IFERROR(_xlfn.XLOOKUP(TRIM(SUBSTITUTE(U72,CHAR(160)," ")),$BJ$15:$BJ$62,$BM$15:$BM$62),IFERROR(_xlfn.XLOOKUP(TRIM(SUBSTITUTE(U72,CHAR(160)," ")),$BK$15:$BK$62,$BM$15:$BM$62),_xlfn.XLOOKUP(TRIM(SUBSTITUTE(U72,CHAR(160)," ")),$BL$15:$BL$62,$BM$15:$BM$62))))*T72*IF(ISBLANK(Q72),1,Q72)+IFERROR(_xlfn.XLOOKUP("RECHERCHEX",TRIM(L72:AD72),L72:AD72),0),0))</f>
        <v/>
      </c>
      <c r="AM72" s="6229">
        <f t="shared" si="22"/>
        <v>0</v>
      </c>
      <c r="AN72" s="6857" t="str">
        <f t="shared" si="41"/>
        <v/>
      </c>
      <c r="AO72" s="392">
        <f t="shared" si="24"/>
        <v>0</v>
      </c>
      <c r="AP72" s="392">
        <f t="shared" si="25"/>
        <v>0</v>
      </c>
      <c r="AQ72" s="6190">
        <f t="shared" si="26"/>
        <v>0</v>
      </c>
      <c r="AR72" s="6858" t="str">
        <f t="shared" si="27"/>
        <v/>
      </c>
      <c r="AS72" s="6856"/>
      <c r="AT72" s="6275"/>
      <c r="AU72" s="6271">
        <f t="shared" si="28"/>
        <v>0</v>
      </c>
      <c r="AV72" s="6242">
        <f t="shared" si="29"/>
        <v>0</v>
      </c>
      <c r="AW72" s="6188" cm="1">
        <f t="array" ref="AW72">IF(AK72&lt;&gt;1,0,IF(OR(AU72="",N(AU72)&lt;=0.000000001),"",IF(OR(AO72="",N(AO72)&lt;=0.000000001),0,IF(ISNUMBER(AU72),IFERROR(_xlfn.LET(_xlpm.ai_test,TRIM(AJ72),_xlpm.r,IFERROR(_xlfn.XLOOKUP(_xlpm.ai_test,$BJ$15:$BJ$62,ROW($BJ$15:$BJ$62),0,1),IFERROR(_xlfn.XLOOKUP(_xlpm.ai_test,$BK$15:$BK$62,ROW($BK$15:$BK$62),0,1),_xlfn.XLOOKUP(_xlpm.ai_test,$BL$15:$BL$62,ROW($BL$15:$BL$62),0,1))),_xlpm.p,_xlpm.r-MIN(ROW($BJ$15:$BJ$62))+1,_xlpm.f,INDEX($BM$15:$BM$62,_xlpm.p),_xlpm.u,INDEX($BN$15:$BN$62,_xlpm.p),_xlpm.s,INDEX($BP$15:$BP$62,_xlpm.p),_xlpm.q,N(AU72)/_xlpm.f,IF(_xlpm.q&gt;=_xlpm.s,ROUND(_xlpm.q,1)&amp;" "&amp;_xlpm.ai_test&amp;" = "&amp;ROUND(_xlpm.q*_xlpm.f,1)&amp;" "&amp;_xlpm.u,ROUND(_xlpm.q,1)&amp;" "&amp;_xlpm.ai_test)),""),""))))</f>
        <v>0</v>
      </c>
      <c r="AX72" s="6218"/>
      <c r="AY72" s="6271">
        <f t="shared" si="30"/>
        <v>0</v>
      </c>
      <c r="AZ72" s="6242" t="str">
        <f t="shared" si="31"/>
        <v/>
      </c>
      <c r="BA72" s="6194">
        <f t="shared" si="37"/>
        <v>0</v>
      </c>
      <c r="BB72" s="6192" t="str">
        <f t="shared" si="32"/>
        <v/>
      </c>
      <c r="BC72" s="6219">
        <v>1.5</v>
      </c>
      <c r="BD72" s="6221">
        <f t="shared" si="39"/>
        <v>0</v>
      </c>
      <c r="BE72" s="6220" t="str">
        <f t="shared" si="34"/>
        <v/>
      </c>
      <c r="BF72" s="4" t="s">
        <v>1</v>
      </c>
      <c r="BG72" s="6196">
        <f t="shared" si="35"/>
        <v>0</v>
      </c>
      <c r="BH72" s="6197">
        <f t="shared" si="36"/>
        <v>0</v>
      </c>
      <c r="BJ72" s="102" t="s">
        <v>8837</v>
      </c>
      <c r="BK72" s="102"/>
      <c r="BL72" s="102"/>
      <c r="BM72" s="102"/>
      <c r="BN72" s="102"/>
      <c r="BO72" s="102"/>
      <c r="BP72" s="102"/>
      <c r="BQ72" s="102"/>
      <c r="BR72"/>
      <c r="BS72"/>
      <c r="BT72"/>
      <c r="BU72"/>
      <c r="BV72"/>
      <c r="BW72"/>
      <c r="BX72" s="20" t="str">
        <f t="shared" si="46"/>
        <v>►</v>
      </c>
      <c r="BY72" s="188"/>
      <c r="BZ72" s="228"/>
      <c r="CA72" s="234"/>
      <c r="CB72" s="234"/>
      <c r="CC72" s="234"/>
      <c r="CD72" s="5661"/>
      <c r="DC72" s="5">
        <v>1</v>
      </c>
    </row>
    <row r="73" spans="1:107" s="1" customFormat="1" ht="21" customHeight="1" thickBot="1">
      <c r="A73" s="5641" t="s">
        <v>1</v>
      </c>
      <c r="B73" s="5662" t="str">
        <f t="shared" si="45"/>
        <v>►</v>
      </c>
      <c r="C73" s="5825" cm="1">
        <f t="array" ref="C73">SUMPRODUCT(LEN(D73:J73))</f>
        <v>0</v>
      </c>
      <c r="D73" s="5275"/>
      <c r="E73" s="1361"/>
      <c r="F73" s="1361"/>
      <c r="G73" s="1361"/>
      <c r="H73" s="1361"/>
      <c r="I73" s="1361"/>
      <c r="J73" s="5276"/>
      <c r="K73" s="106" t="s">
        <v>1</v>
      </c>
      <c r="L73" s="1021" t="s">
        <v>26</v>
      </c>
      <c r="M73" s="6787"/>
      <c r="N73" s="6787"/>
      <c r="O73" s="6787"/>
      <c r="P73" s="6788"/>
      <c r="Q73" s="6789"/>
      <c r="R73" s="6790"/>
      <c r="S73" s="6786"/>
      <c r="T73" s="6791"/>
      <c r="U73" s="6844"/>
      <c r="V73" s="6791"/>
      <c r="W73" s="8487"/>
      <c r="X73" s="6871"/>
      <c r="Y73" s="6793"/>
      <c r="Z73" s="6794"/>
      <c r="AA73" s="6795"/>
      <c r="AB73" s="6796"/>
      <c r="AC73" s="6797"/>
      <c r="AD73" s="6798"/>
      <c r="AE73" s="4" t="s">
        <v>1</v>
      </c>
      <c r="AF73" s="6202" t="str">
        <f t="shared" si="16"/>
        <v>►</v>
      </c>
      <c r="AG73" s="6234" t="str">
        <f t="shared" si="17"/>
        <v/>
      </c>
      <c r="AH73" s="6732" t="str">
        <f t="shared" si="18"/>
        <v/>
      </c>
      <c r="AI73" s="6234" t="str">
        <f t="shared" si="19"/>
        <v/>
      </c>
      <c r="AJ73" s="6732" t="str">
        <f t="shared" si="20"/>
        <v/>
      </c>
      <c r="AK73" s="6732">
        <f t="shared" si="21"/>
        <v>0</v>
      </c>
      <c r="AL73" s="6854" t="str" cm="1">
        <f t="array" ref="AL73">IF(AF73&lt;&gt;"A","",IFERROR((IFERROR(_xlfn.XLOOKUP(TRIM(SUBSTITUTE(U73,CHAR(160)," ")),$BJ$15:$BJ$62,$BM$15:$BM$62),IFERROR(_xlfn.XLOOKUP(TRIM(SUBSTITUTE(U73,CHAR(160)," ")),$BK$15:$BK$62,$BM$15:$BM$62),_xlfn.XLOOKUP(TRIM(SUBSTITUTE(U73,CHAR(160)," ")),$BL$15:$BL$62,$BM$15:$BM$62))))*T73*IF(ISBLANK(Q73),1,Q73)+IFERROR(_xlfn.XLOOKUP("RECHERCHEX",TRIM(L73:AD73),L73:AD73),0),0))</f>
        <v/>
      </c>
      <c r="AM73" s="6229">
        <f t="shared" si="22"/>
        <v>0</v>
      </c>
      <c r="AN73" s="6857" t="str">
        <f t="shared" si="41"/>
        <v/>
      </c>
      <c r="AO73" s="392">
        <f t="shared" si="24"/>
        <v>0</v>
      </c>
      <c r="AP73" s="392">
        <f t="shared" si="25"/>
        <v>0</v>
      </c>
      <c r="AQ73" s="6191">
        <f t="shared" si="26"/>
        <v>0</v>
      </c>
      <c r="AR73" s="6859" t="str">
        <f t="shared" si="27"/>
        <v/>
      </c>
      <c r="AS73" s="6856"/>
      <c r="AT73" s="6275"/>
      <c r="AU73" s="6272">
        <f t="shared" si="28"/>
        <v>0</v>
      </c>
      <c r="AV73" s="6240">
        <f t="shared" si="29"/>
        <v>0</v>
      </c>
      <c r="AW73" s="6189" cm="1">
        <f t="array" ref="AW73">IF(AK73&lt;&gt;1,0,IF(OR(AU73="",N(AU73)&lt;=0.000000001),"",IF(OR(AO73="",N(AO73)&lt;=0.000000001),0,IF(ISNUMBER(AU73),IFERROR(_xlfn.LET(_xlpm.ai_test,TRIM(AJ73),_xlpm.r,IFERROR(_xlfn.XLOOKUP(_xlpm.ai_test,$BJ$15:$BJ$62,ROW($BJ$15:$BJ$62),0,1),IFERROR(_xlfn.XLOOKUP(_xlpm.ai_test,$BK$15:$BK$62,ROW($BK$15:$BK$62),0,1),_xlfn.XLOOKUP(_xlpm.ai_test,$BL$15:$BL$62,ROW($BL$15:$BL$62),0,1))),_xlpm.p,_xlpm.r-MIN(ROW($BJ$15:$BJ$62))+1,_xlpm.f,INDEX($BM$15:$BM$62,_xlpm.p),_xlpm.u,INDEX($BN$15:$BN$62,_xlpm.p),_xlpm.s,INDEX($BP$15:$BP$62,_xlpm.p),_xlpm.q,N(AU73)/_xlpm.f,IF(_xlpm.q&gt;=_xlpm.s,ROUND(_xlpm.q,1)&amp;" "&amp;_xlpm.ai_test&amp;" = "&amp;ROUND(_xlpm.q*_xlpm.f,1)&amp;" "&amp;_xlpm.u,ROUND(_xlpm.q,1)&amp;" "&amp;_xlpm.ai_test)),""),""))))</f>
        <v>0</v>
      </c>
      <c r="AX73" s="6218"/>
      <c r="AY73" s="6272">
        <f t="shared" si="30"/>
        <v>0</v>
      </c>
      <c r="AZ73" s="6240" t="str">
        <f t="shared" si="31"/>
        <v/>
      </c>
      <c r="BA73" s="6195">
        <f t="shared" si="37"/>
        <v>0</v>
      </c>
      <c r="BB73" s="6193" t="str">
        <f t="shared" si="32"/>
        <v/>
      </c>
      <c r="BC73" s="6219">
        <v>1.5</v>
      </c>
      <c r="BD73" s="6222">
        <f t="shared" si="39"/>
        <v>0</v>
      </c>
      <c r="BE73" s="6220" t="str">
        <f t="shared" si="34"/>
        <v/>
      </c>
      <c r="BF73" s="4" t="s">
        <v>1</v>
      </c>
      <c r="BG73" s="6196">
        <f t="shared" si="35"/>
        <v>0</v>
      </c>
      <c r="BH73" s="6197">
        <f t="shared" si="36"/>
        <v>0</v>
      </c>
      <c r="BR73"/>
      <c r="BS73"/>
      <c r="BT73"/>
      <c r="BU73"/>
      <c r="BV73"/>
      <c r="BW73"/>
      <c r="BX73" s="20" t="str">
        <f t="shared" si="46"/>
        <v>►</v>
      </c>
      <c r="BY73" s="5913" t="s">
        <v>103</v>
      </c>
      <c r="BZ73" s="234"/>
      <c r="CA73" s="234"/>
      <c r="CB73" s="234"/>
      <c r="CC73" s="234"/>
      <c r="CD73" s="5661"/>
      <c r="DC73" s="5">
        <v>1</v>
      </c>
    </row>
    <row r="74" spans="1:107" s="1" customFormat="1" ht="21" customHeight="1">
      <c r="A74" s="5641" t="s">
        <v>1</v>
      </c>
      <c r="B74" s="5662" t="str">
        <f t="shared" si="45"/>
        <v>►</v>
      </c>
      <c r="C74" s="5825" cm="1">
        <f t="array" ref="C74">SUMPRODUCT(LEN(D74:J74))</f>
        <v>0</v>
      </c>
      <c r="D74" s="5275"/>
      <c r="E74" s="1361"/>
      <c r="F74" s="1361"/>
      <c r="G74" s="1361"/>
      <c r="H74" s="1361"/>
      <c r="I74" s="1361"/>
      <c r="J74" s="5276"/>
      <c r="K74" s="106" t="s">
        <v>1</v>
      </c>
      <c r="L74" s="1021" t="s">
        <v>26</v>
      </c>
      <c r="M74" s="6787"/>
      <c r="N74" s="6787"/>
      <c r="O74" s="6787"/>
      <c r="P74" s="6788"/>
      <c r="Q74" s="6789"/>
      <c r="R74" s="6790"/>
      <c r="S74" s="6786"/>
      <c r="T74" s="6791"/>
      <c r="U74" s="6844"/>
      <c r="V74" s="6791"/>
      <c r="W74" s="8487"/>
      <c r="X74" s="6871"/>
      <c r="Y74" s="6793"/>
      <c r="Z74" s="6794"/>
      <c r="AA74" s="6795"/>
      <c r="AB74" s="6796"/>
      <c r="AC74" s="6797"/>
      <c r="AD74" s="6798"/>
      <c r="AE74" s="4" t="s">
        <v>1</v>
      </c>
      <c r="AF74" s="6202" t="str">
        <f t="shared" si="16"/>
        <v>►</v>
      </c>
      <c r="AG74" s="6234" t="str">
        <f t="shared" si="17"/>
        <v/>
      </c>
      <c r="AH74" s="6732" t="str">
        <f t="shared" si="18"/>
        <v/>
      </c>
      <c r="AI74" s="6234" t="str">
        <f t="shared" si="19"/>
        <v/>
      </c>
      <c r="AJ74" s="6732" t="str">
        <f t="shared" si="20"/>
        <v/>
      </c>
      <c r="AK74" s="6732">
        <f t="shared" si="21"/>
        <v>0</v>
      </c>
      <c r="AL74" s="6854" t="str" cm="1">
        <f t="array" ref="AL74">IF(AF74&lt;&gt;"A","",IFERROR((IFERROR(_xlfn.XLOOKUP(TRIM(SUBSTITUTE(U74,CHAR(160)," ")),$BJ$15:$BJ$62,$BM$15:$BM$62),IFERROR(_xlfn.XLOOKUP(TRIM(SUBSTITUTE(U74,CHAR(160)," ")),$BK$15:$BK$62,$BM$15:$BM$62),_xlfn.XLOOKUP(TRIM(SUBSTITUTE(U74,CHAR(160)," ")),$BL$15:$BL$62,$BM$15:$BM$62))))*T74*IF(ISBLANK(Q74),1,Q74)+IFERROR(_xlfn.XLOOKUP("RECHERCHEX",TRIM(L74:AD74),L74:AD74),0),0))</f>
        <v/>
      </c>
      <c r="AM74" s="6229">
        <f t="shared" si="22"/>
        <v>0</v>
      </c>
      <c r="AN74" s="6857" t="str">
        <f t="shared" si="41"/>
        <v/>
      </c>
      <c r="AO74" s="392">
        <f t="shared" si="24"/>
        <v>0</v>
      </c>
      <c r="AP74" s="392">
        <f t="shared" si="25"/>
        <v>0</v>
      </c>
      <c r="AQ74" s="6190">
        <f t="shared" si="26"/>
        <v>0</v>
      </c>
      <c r="AR74" s="6858" t="str">
        <f t="shared" si="27"/>
        <v/>
      </c>
      <c r="AS74" s="6856"/>
      <c r="AT74" s="6275"/>
      <c r="AU74" s="6271">
        <f t="shared" si="28"/>
        <v>0</v>
      </c>
      <c r="AV74" s="6242">
        <f t="shared" si="29"/>
        <v>0</v>
      </c>
      <c r="AW74" s="6188" cm="1">
        <f t="array" ref="AW74">IF(AK74&lt;&gt;1,0,IF(OR(AU74="",N(AU74)&lt;=0.000000001),"",IF(OR(AO74="",N(AO74)&lt;=0.000000001),0,IF(ISNUMBER(AU74),IFERROR(_xlfn.LET(_xlpm.ai_test,TRIM(AJ74),_xlpm.r,IFERROR(_xlfn.XLOOKUP(_xlpm.ai_test,$BJ$15:$BJ$62,ROW($BJ$15:$BJ$62),0,1),IFERROR(_xlfn.XLOOKUP(_xlpm.ai_test,$BK$15:$BK$62,ROW($BK$15:$BK$62),0,1),_xlfn.XLOOKUP(_xlpm.ai_test,$BL$15:$BL$62,ROW($BL$15:$BL$62),0,1))),_xlpm.p,_xlpm.r-MIN(ROW($BJ$15:$BJ$62))+1,_xlpm.f,INDEX($BM$15:$BM$62,_xlpm.p),_xlpm.u,INDEX($BN$15:$BN$62,_xlpm.p),_xlpm.s,INDEX($BP$15:$BP$62,_xlpm.p),_xlpm.q,N(AU74)/_xlpm.f,IF(_xlpm.q&gt;=_xlpm.s,ROUND(_xlpm.q,1)&amp;" "&amp;_xlpm.ai_test&amp;" = "&amp;ROUND(_xlpm.q*_xlpm.f,1)&amp;" "&amp;_xlpm.u,ROUND(_xlpm.q,1)&amp;" "&amp;_xlpm.ai_test)),""),""))))</f>
        <v>0</v>
      </c>
      <c r="AX74" s="6218"/>
      <c r="AY74" s="6271">
        <f t="shared" si="30"/>
        <v>0</v>
      </c>
      <c r="AZ74" s="6242" t="str">
        <f t="shared" si="31"/>
        <v/>
      </c>
      <c r="BA74" s="6194">
        <f t="shared" si="37"/>
        <v>0</v>
      </c>
      <c r="BB74" s="6192" t="str">
        <f t="shared" si="32"/>
        <v/>
      </c>
      <c r="BC74" s="6219">
        <v>1.5</v>
      </c>
      <c r="BD74" s="6221">
        <f t="shared" si="39"/>
        <v>0</v>
      </c>
      <c r="BE74" s="6220" t="str">
        <f t="shared" si="34"/>
        <v/>
      </c>
      <c r="BF74" s="4" t="s">
        <v>1</v>
      </c>
      <c r="BG74" s="6196">
        <f t="shared" si="35"/>
        <v>0</v>
      </c>
      <c r="BH74" s="6197">
        <f t="shared" si="36"/>
        <v>0</v>
      </c>
      <c r="BJ74" s="6917" t="s">
        <v>10007</v>
      </c>
      <c r="BK74" s="6918"/>
      <c r="BL74" s="6918"/>
      <c r="BM74" s="6918"/>
      <c r="BN74" s="6918"/>
      <c r="BO74" s="6918"/>
      <c r="BP74" s="6918"/>
      <c r="BQ74" s="6918"/>
      <c r="BR74" s="6918"/>
      <c r="BS74" s="6918"/>
      <c r="BT74" s="6918"/>
      <c r="BU74" s="6918"/>
      <c r="BV74" s="6919"/>
      <c r="BW74"/>
      <c r="BX74" s="20" t="str">
        <f t="shared" si="46"/>
        <v>►</v>
      </c>
      <c r="BY74" s="5914">
        <v>1</v>
      </c>
      <c r="BZ74" s="234"/>
      <c r="CA74" s="234"/>
      <c r="CB74" s="234"/>
      <c r="CC74" s="234"/>
      <c r="CD74" s="5661"/>
      <c r="DC74" s="5">
        <v>1</v>
      </c>
    </row>
    <row r="75" spans="1:107" s="1" customFormat="1" ht="21" customHeight="1">
      <c r="A75" s="5641" t="s">
        <v>1</v>
      </c>
      <c r="B75" s="5662" t="str">
        <f t="shared" si="45"/>
        <v>►</v>
      </c>
      <c r="C75" s="5825" cm="1">
        <f t="array" ref="C75">SUMPRODUCT(LEN(D75:J75))</f>
        <v>0</v>
      </c>
      <c r="D75" s="5275"/>
      <c r="E75" s="1361"/>
      <c r="F75" s="1361"/>
      <c r="G75" s="1361"/>
      <c r="H75" s="1361"/>
      <c r="I75" s="1361"/>
      <c r="J75" s="5276"/>
      <c r="K75" s="106" t="s">
        <v>1</v>
      </c>
      <c r="L75" s="1021" t="s">
        <v>26</v>
      </c>
      <c r="M75" s="6787"/>
      <c r="N75" s="6787"/>
      <c r="O75" s="6787"/>
      <c r="P75" s="6788"/>
      <c r="Q75" s="6789"/>
      <c r="R75" s="6790"/>
      <c r="S75" s="6786"/>
      <c r="T75" s="6791"/>
      <c r="U75" s="6844"/>
      <c r="V75" s="6791"/>
      <c r="W75" s="8487"/>
      <c r="X75" s="6871"/>
      <c r="Y75" s="6793"/>
      <c r="Z75" s="6794"/>
      <c r="AA75" s="6795"/>
      <c r="AB75" s="6796"/>
      <c r="AC75" s="6797"/>
      <c r="AD75" s="6798"/>
      <c r="AE75" s="4" t="s">
        <v>1</v>
      </c>
      <c r="AF75" s="6202" t="str">
        <f t="shared" si="16"/>
        <v>►</v>
      </c>
      <c r="AG75" s="6234" t="str">
        <f t="shared" si="17"/>
        <v/>
      </c>
      <c r="AH75" s="6732" t="str">
        <f t="shared" si="18"/>
        <v/>
      </c>
      <c r="AI75" s="6234" t="str">
        <f t="shared" si="19"/>
        <v/>
      </c>
      <c r="AJ75" s="6732" t="str">
        <f t="shared" si="20"/>
        <v/>
      </c>
      <c r="AK75" s="6732">
        <f t="shared" si="21"/>
        <v>0</v>
      </c>
      <c r="AL75" s="6854" t="str" cm="1">
        <f t="array" ref="AL75">IF(AF75&lt;&gt;"A","",IFERROR((IFERROR(_xlfn.XLOOKUP(TRIM(SUBSTITUTE(U75,CHAR(160)," ")),$BJ$15:$BJ$62,$BM$15:$BM$62),IFERROR(_xlfn.XLOOKUP(TRIM(SUBSTITUTE(U75,CHAR(160)," ")),$BK$15:$BK$62,$BM$15:$BM$62),_xlfn.XLOOKUP(TRIM(SUBSTITUTE(U75,CHAR(160)," ")),$BL$15:$BL$62,$BM$15:$BM$62))))*T75*IF(ISBLANK(Q75),1,Q75)+IFERROR(_xlfn.XLOOKUP("RECHERCHEX",TRIM(L75:AD75),L75:AD75),0),0))</f>
        <v/>
      </c>
      <c r="AM75" s="6229">
        <f t="shared" si="22"/>
        <v>0</v>
      </c>
      <c r="AN75" s="6857" t="str">
        <f t="shared" si="41"/>
        <v/>
      </c>
      <c r="AO75" s="392">
        <f t="shared" si="24"/>
        <v>0</v>
      </c>
      <c r="AP75" s="392">
        <f t="shared" si="25"/>
        <v>0</v>
      </c>
      <c r="AQ75" s="6191">
        <f t="shared" si="26"/>
        <v>0</v>
      </c>
      <c r="AR75" s="6859" t="str">
        <f t="shared" si="27"/>
        <v/>
      </c>
      <c r="AS75" s="6856"/>
      <c r="AT75" s="6275"/>
      <c r="AU75" s="6272">
        <f t="shared" si="28"/>
        <v>0</v>
      </c>
      <c r="AV75" s="6240">
        <f t="shared" si="29"/>
        <v>0</v>
      </c>
      <c r="AW75" s="6189" cm="1">
        <f t="array" ref="AW75">IF(AK75&lt;&gt;1,0,IF(OR(AU75="",N(AU75)&lt;=0.000000001),"",IF(OR(AO75="",N(AO75)&lt;=0.000000001),0,IF(ISNUMBER(AU75),IFERROR(_xlfn.LET(_xlpm.ai_test,TRIM(AJ75),_xlpm.r,IFERROR(_xlfn.XLOOKUP(_xlpm.ai_test,$BJ$15:$BJ$62,ROW($BJ$15:$BJ$62),0,1),IFERROR(_xlfn.XLOOKUP(_xlpm.ai_test,$BK$15:$BK$62,ROW($BK$15:$BK$62),0,1),_xlfn.XLOOKUP(_xlpm.ai_test,$BL$15:$BL$62,ROW($BL$15:$BL$62),0,1))),_xlpm.p,_xlpm.r-MIN(ROW($BJ$15:$BJ$62))+1,_xlpm.f,INDEX($BM$15:$BM$62,_xlpm.p),_xlpm.u,INDEX($BN$15:$BN$62,_xlpm.p),_xlpm.s,INDEX($BP$15:$BP$62,_xlpm.p),_xlpm.q,N(AU75)/_xlpm.f,IF(_xlpm.q&gt;=_xlpm.s,ROUND(_xlpm.q,1)&amp;" "&amp;_xlpm.ai_test&amp;" = "&amp;ROUND(_xlpm.q*_xlpm.f,1)&amp;" "&amp;_xlpm.u,ROUND(_xlpm.q,1)&amp;" "&amp;_xlpm.ai_test)),""),""))))</f>
        <v>0</v>
      </c>
      <c r="AX75" s="6218"/>
      <c r="AY75" s="6272">
        <f t="shared" si="30"/>
        <v>0</v>
      </c>
      <c r="AZ75" s="6240" t="str">
        <f t="shared" si="31"/>
        <v/>
      </c>
      <c r="BA75" s="6195">
        <f t="shared" si="37"/>
        <v>0</v>
      </c>
      <c r="BB75" s="6193" t="str">
        <f t="shared" si="32"/>
        <v/>
      </c>
      <c r="BC75" s="6219">
        <v>1.5</v>
      </c>
      <c r="BD75" s="6222">
        <f t="shared" si="39"/>
        <v>0</v>
      </c>
      <c r="BE75" s="6220" t="str">
        <f t="shared" si="34"/>
        <v/>
      </c>
      <c r="BF75" s="4" t="s">
        <v>1</v>
      </c>
      <c r="BG75" s="6196">
        <f t="shared" si="35"/>
        <v>0</v>
      </c>
      <c r="BH75" s="6197">
        <f t="shared" si="36"/>
        <v>0</v>
      </c>
      <c r="BJ75" s="6920"/>
      <c r="BK75" s="6921"/>
      <c r="BL75" s="6921"/>
      <c r="BM75" s="6921"/>
      <c r="BN75" s="6921"/>
      <c r="BO75" s="6921"/>
      <c r="BP75" s="6921"/>
      <c r="BQ75" s="6921"/>
      <c r="BR75" s="6921"/>
      <c r="BS75" s="6921"/>
      <c r="BT75" s="6921"/>
      <c r="BU75" s="6921"/>
      <c r="BV75" s="6922"/>
      <c r="BW75"/>
      <c r="BX75" s="20" t="str">
        <f t="shared" si="46"/>
        <v>►</v>
      </c>
      <c r="BY75" s="188" t="s">
        <v>101</v>
      </c>
      <c r="BZ75" s="234"/>
      <c r="CA75" s="234"/>
      <c r="CB75" s="234"/>
      <c r="CC75" s="234"/>
      <c r="CD75" s="5661"/>
      <c r="DC75" s="5">
        <v>1</v>
      </c>
    </row>
    <row r="76" spans="1:107" s="1" customFormat="1" ht="21" customHeight="1">
      <c r="A76" s="5641" t="s">
        <v>1</v>
      </c>
      <c r="B76" s="5662" t="str">
        <f t="shared" si="45"/>
        <v>►</v>
      </c>
      <c r="C76" s="5825" cm="1">
        <f t="array" ref="C76">SUMPRODUCT(LEN(D76:J76))</f>
        <v>0</v>
      </c>
      <c r="D76" s="5275"/>
      <c r="E76" s="1361"/>
      <c r="F76" s="1361"/>
      <c r="G76" s="1361"/>
      <c r="H76" s="1361"/>
      <c r="I76" s="1361"/>
      <c r="J76" s="5276"/>
      <c r="K76" s="106" t="s">
        <v>1</v>
      </c>
      <c r="L76" s="1021" t="s">
        <v>26</v>
      </c>
      <c r="M76" s="6787"/>
      <c r="N76" s="6787"/>
      <c r="O76" s="6787"/>
      <c r="P76" s="6788"/>
      <c r="Q76" s="6789"/>
      <c r="R76" s="6790"/>
      <c r="S76" s="6786"/>
      <c r="T76" s="6791"/>
      <c r="U76" s="6844"/>
      <c r="V76" s="6791"/>
      <c r="W76" s="8487"/>
      <c r="X76" s="6871"/>
      <c r="Y76" s="6793"/>
      <c r="Z76" s="6794"/>
      <c r="AA76" s="6795"/>
      <c r="AB76" s="6796"/>
      <c r="AC76" s="6797"/>
      <c r="AD76" s="6798"/>
      <c r="AE76" s="4" t="s">
        <v>1</v>
      </c>
      <c r="AF76" s="6202" t="str">
        <f t="shared" si="16"/>
        <v>►</v>
      </c>
      <c r="AG76" s="6234" t="str">
        <f t="shared" si="17"/>
        <v/>
      </c>
      <c r="AH76" s="6732" t="str">
        <f t="shared" si="18"/>
        <v/>
      </c>
      <c r="AI76" s="6234" t="str">
        <f t="shared" si="19"/>
        <v/>
      </c>
      <c r="AJ76" s="6732" t="str">
        <f t="shared" si="20"/>
        <v/>
      </c>
      <c r="AK76" s="6732">
        <f t="shared" si="21"/>
        <v>0</v>
      </c>
      <c r="AL76" s="6854" t="str" cm="1">
        <f t="array" ref="AL76">IF(AF76&lt;&gt;"A","",IFERROR((IFERROR(_xlfn.XLOOKUP(TRIM(SUBSTITUTE(U76,CHAR(160)," ")),$BJ$15:$BJ$62,$BM$15:$BM$62),IFERROR(_xlfn.XLOOKUP(TRIM(SUBSTITUTE(U76,CHAR(160)," ")),$BK$15:$BK$62,$BM$15:$BM$62),_xlfn.XLOOKUP(TRIM(SUBSTITUTE(U76,CHAR(160)," ")),$BL$15:$BL$62,$BM$15:$BM$62))))*T76*IF(ISBLANK(Q76),1,Q76)+IFERROR(_xlfn.XLOOKUP("RECHERCHEX",TRIM(L76:AD76),L76:AD76),0),0))</f>
        <v/>
      </c>
      <c r="AM76" s="6229">
        <f t="shared" si="22"/>
        <v>0</v>
      </c>
      <c r="AN76" s="6857" t="str">
        <f t="shared" si="41"/>
        <v/>
      </c>
      <c r="AO76" s="392">
        <f t="shared" si="24"/>
        <v>0</v>
      </c>
      <c r="AP76" s="392">
        <f t="shared" si="25"/>
        <v>0</v>
      </c>
      <c r="AQ76" s="6190">
        <f t="shared" si="26"/>
        <v>0</v>
      </c>
      <c r="AR76" s="6858" t="str">
        <f t="shared" si="27"/>
        <v/>
      </c>
      <c r="AS76" s="6856"/>
      <c r="AT76" s="6275"/>
      <c r="AU76" s="6271">
        <f t="shared" si="28"/>
        <v>0</v>
      </c>
      <c r="AV76" s="6242">
        <f t="shared" si="29"/>
        <v>0</v>
      </c>
      <c r="AW76" s="6188" cm="1">
        <f t="array" ref="AW76">IF(AK76&lt;&gt;1,0,IF(OR(AU76="",N(AU76)&lt;=0.000000001),"",IF(OR(AO76="",N(AO76)&lt;=0.000000001),0,IF(ISNUMBER(AU76),IFERROR(_xlfn.LET(_xlpm.ai_test,TRIM(AJ76),_xlpm.r,IFERROR(_xlfn.XLOOKUP(_xlpm.ai_test,$BJ$15:$BJ$62,ROW($BJ$15:$BJ$62),0,1),IFERROR(_xlfn.XLOOKUP(_xlpm.ai_test,$BK$15:$BK$62,ROW($BK$15:$BK$62),0,1),_xlfn.XLOOKUP(_xlpm.ai_test,$BL$15:$BL$62,ROW($BL$15:$BL$62),0,1))),_xlpm.p,_xlpm.r-MIN(ROW($BJ$15:$BJ$62))+1,_xlpm.f,INDEX($BM$15:$BM$62,_xlpm.p),_xlpm.u,INDEX($BN$15:$BN$62,_xlpm.p),_xlpm.s,INDEX($BP$15:$BP$62,_xlpm.p),_xlpm.q,N(AU76)/_xlpm.f,IF(_xlpm.q&gt;=_xlpm.s,ROUND(_xlpm.q,1)&amp;" "&amp;_xlpm.ai_test&amp;" = "&amp;ROUND(_xlpm.q*_xlpm.f,1)&amp;" "&amp;_xlpm.u,ROUND(_xlpm.q,1)&amp;" "&amp;_xlpm.ai_test)),""),""))))</f>
        <v>0</v>
      </c>
      <c r="AX76" s="6218"/>
      <c r="AY76" s="6271">
        <f t="shared" si="30"/>
        <v>0</v>
      </c>
      <c r="AZ76" s="6242" t="str">
        <f t="shared" si="31"/>
        <v/>
      </c>
      <c r="BA76" s="6194">
        <f t="shared" si="37"/>
        <v>0</v>
      </c>
      <c r="BB76" s="6192" t="str">
        <f t="shared" si="32"/>
        <v/>
      </c>
      <c r="BC76" s="6219">
        <v>1.5</v>
      </c>
      <c r="BD76" s="6221">
        <f t="shared" si="39"/>
        <v>0</v>
      </c>
      <c r="BE76" s="6220" t="str">
        <f t="shared" si="34"/>
        <v/>
      </c>
      <c r="BF76" s="4" t="s">
        <v>1</v>
      </c>
      <c r="BG76" s="6196">
        <f t="shared" si="35"/>
        <v>0</v>
      </c>
      <c r="BH76" s="6197">
        <f t="shared" si="36"/>
        <v>0</v>
      </c>
      <c r="BJ76" s="1" t="s">
        <v>10683</v>
      </c>
      <c r="BW76"/>
      <c r="BX76" s="20" t="str">
        <f t="shared" si="46"/>
        <v>►</v>
      </c>
      <c r="BY76" s="1022" t="s">
        <v>99</v>
      </c>
      <c r="BZ76" s="234"/>
      <c r="CA76" s="234"/>
      <c r="CB76" s="234"/>
      <c r="CC76" s="234"/>
      <c r="CD76" s="5661"/>
      <c r="DC76" s="5">
        <v>1</v>
      </c>
    </row>
    <row r="77" spans="1:107" s="1" customFormat="1" ht="21" customHeight="1">
      <c r="A77" s="5641" t="s">
        <v>1</v>
      </c>
      <c r="B77" s="5662" t="str">
        <f t="shared" si="45"/>
        <v>►</v>
      </c>
      <c r="C77" s="5825" cm="1">
        <f t="array" ref="C77">SUMPRODUCT(LEN(D77:J77))</f>
        <v>0</v>
      </c>
      <c r="D77" s="5275"/>
      <c r="E77" s="1361"/>
      <c r="F77" s="1361"/>
      <c r="G77" s="1361"/>
      <c r="H77" s="1361"/>
      <c r="I77" s="1361"/>
      <c r="J77" s="5276"/>
      <c r="K77" s="106" t="s">
        <v>1</v>
      </c>
      <c r="L77" s="1021" t="s">
        <v>26</v>
      </c>
      <c r="M77" s="6787"/>
      <c r="N77" s="6787"/>
      <c r="O77" s="6787"/>
      <c r="P77" s="6788"/>
      <c r="Q77" s="6789"/>
      <c r="R77" s="6790"/>
      <c r="S77" s="6786"/>
      <c r="T77" s="6791"/>
      <c r="U77" s="6844"/>
      <c r="V77" s="6791"/>
      <c r="W77" s="8487"/>
      <c r="X77" s="6871"/>
      <c r="Y77" s="6793"/>
      <c r="Z77" s="6794"/>
      <c r="AA77" s="6795"/>
      <c r="AB77" s="6796"/>
      <c r="AC77" s="6797"/>
      <c r="AD77" s="6798"/>
      <c r="AE77" s="4" t="s">
        <v>1</v>
      </c>
      <c r="AF77" s="6202" t="str">
        <f t="shared" si="16"/>
        <v>►</v>
      </c>
      <c r="AG77" s="6234" t="str">
        <f t="shared" si="17"/>
        <v/>
      </c>
      <c r="AH77" s="6732" t="str">
        <f t="shared" si="18"/>
        <v/>
      </c>
      <c r="AI77" s="6234" t="str">
        <f t="shared" si="19"/>
        <v/>
      </c>
      <c r="AJ77" s="6732" t="str">
        <f t="shared" si="20"/>
        <v/>
      </c>
      <c r="AK77" s="6732">
        <f t="shared" si="21"/>
        <v>0</v>
      </c>
      <c r="AL77" s="6854" t="str" cm="1">
        <f t="array" ref="AL77">IF(AF77&lt;&gt;"A","",IFERROR((IFERROR(_xlfn.XLOOKUP(TRIM(SUBSTITUTE(U77,CHAR(160)," ")),$BJ$15:$BJ$62,$BM$15:$BM$62),IFERROR(_xlfn.XLOOKUP(TRIM(SUBSTITUTE(U77,CHAR(160)," ")),$BK$15:$BK$62,$BM$15:$BM$62),_xlfn.XLOOKUP(TRIM(SUBSTITUTE(U77,CHAR(160)," ")),$BL$15:$BL$62,$BM$15:$BM$62))))*T77*IF(ISBLANK(Q77),1,Q77)+IFERROR(_xlfn.XLOOKUP("RECHERCHEX",TRIM(L77:AD77),L77:AD77),0),0))</f>
        <v/>
      </c>
      <c r="AM77" s="6229">
        <f t="shared" si="22"/>
        <v>0</v>
      </c>
      <c r="AN77" s="6857" t="str">
        <f t="shared" si="41"/>
        <v/>
      </c>
      <c r="AO77" s="392">
        <f t="shared" si="24"/>
        <v>0</v>
      </c>
      <c r="AP77" s="392">
        <f t="shared" si="25"/>
        <v>0</v>
      </c>
      <c r="AQ77" s="6191">
        <f t="shared" si="26"/>
        <v>0</v>
      </c>
      <c r="AR77" s="6859" t="str">
        <f t="shared" si="27"/>
        <v/>
      </c>
      <c r="AS77" s="6856"/>
      <c r="AT77" s="6275"/>
      <c r="AU77" s="6272">
        <f t="shared" si="28"/>
        <v>0</v>
      </c>
      <c r="AV77" s="6240">
        <f t="shared" si="29"/>
        <v>0</v>
      </c>
      <c r="AW77" s="6189" cm="1">
        <f t="array" ref="AW77">IF(AK77&lt;&gt;1,0,IF(OR(AU77="",N(AU77)&lt;=0.000000001),"",IF(OR(AO77="",N(AO77)&lt;=0.000000001),0,IF(ISNUMBER(AU77),IFERROR(_xlfn.LET(_xlpm.ai_test,TRIM(AJ77),_xlpm.r,IFERROR(_xlfn.XLOOKUP(_xlpm.ai_test,$BJ$15:$BJ$62,ROW($BJ$15:$BJ$62),0,1),IFERROR(_xlfn.XLOOKUP(_xlpm.ai_test,$BK$15:$BK$62,ROW($BK$15:$BK$62),0,1),_xlfn.XLOOKUP(_xlpm.ai_test,$BL$15:$BL$62,ROW($BL$15:$BL$62),0,1))),_xlpm.p,_xlpm.r-MIN(ROW($BJ$15:$BJ$62))+1,_xlpm.f,INDEX($BM$15:$BM$62,_xlpm.p),_xlpm.u,INDEX($BN$15:$BN$62,_xlpm.p),_xlpm.s,INDEX($BP$15:$BP$62,_xlpm.p),_xlpm.q,N(AU77)/_xlpm.f,IF(_xlpm.q&gt;=_xlpm.s,ROUND(_xlpm.q,1)&amp;" "&amp;_xlpm.ai_test&amp;" = "&amp;ROUND(_xlpm.q*_xlpm.f,1)&amp;" "&amp;_xlpm.u,ROUND(_xlpm.q,1)&amp;" "&amp;_xlpm.ai_test)),""),""))))</f>
        <v>0</v>
      </c>
      <c r="AX77" s="6218"/>
      <c r="AY77" s="6272">
        <f t="shared" si="30"/>
        <v>0</v>
      </c>
      <c r="AZ77" s="6240" t="str">
        <f t="shared" si="31"/>
        <v/>
      </c>
      <c r="BA77" s="6195">
        <f t="shared" si="37"/>
        <v>0</v>
      </c>
      <c r="BB77" s="6193" t="str">
        <f t="shared" si="32"/>
        <v/>
      </c>
      <c r="BC77" s="6219">
        <v>1.5</v>
      </c>
      <c r="BD77" s="6222">
        <f t="shared" si="39"/>
        <v>0</v>
      </c>
      <c r="BE77" s="6220" t="str">
        <f t="shared" si="34"/>
        <v/>
      </c>
      <c r="BF77" s="4" t="s">
        <v>1</v>
      </c>
      <c r="BG77" s="6196">
        <f t="shared" si="35"/>
        <v>0</v>
      </c>
      <c r="BH77" s="6197">
        <f t="shared" si="36"/>
        <v>0</v>
      </c>
      <c r="BJ77" s="6284" t="s">
        <v>219</v>
      </c>
      <c r="BK77" s="6283" t="s">
        <v>130</v>
      </c>
      <c r="BL77" s="6291" t="s">
        <v>8014</v>
      </c>
      <c r="BM77" s="6288" t="s">
        <v>188</v>
      </c>
      <c r="BN77" s="6287" t="s">
        <v>176</v>
      </c>
      <c r="BO77" s="6287" t="s">
        <v>179</v>
      </c>
      <c r="BP77" s="6285" t="s">
        <v>88</v>
      </c>
      <c r="BQ77" s="6285" t="s">
        <v>172</v>
      </c>
      <c r="BR77" s="6285" t="s">
        <v>170</v>
      </c>
      <c r="BS77" s="6285" t="s">
        <v>166</v>
      </c>
      <c r="BT77" s="6286" t="s">
        <v>159</v>
      </c>
      <c r="BU77" s="6286" t="s">
        <v>8012</v>
      </c>
      <c r="BV77" s="6282" t="s">
        <v>8764</v>
      </c>
      <c r="BW77"/>
      <c r="BX77" s="20" t="str">
        <f t="shared" si="46"/>
        <v>►</v>
      </c>
      <c r="BY77" s="5914">
        <v>1</v>
      </c>
      <c r="BZ77" s="234"/>
      <c r="CA77" s="234"/>
      <c r="CB77" s="234"/>
      <c r="CC77" s="234"/>
      <c r="CD77" s="5661"/>
      <c r="DC77" s="5">
        <v>1</v>
      </c>
    </row>
    <row r="78" spans="1:107" s="1" customFormat="1" ht="21" customHeight="1">
      <c r="A78" s="5641" t="s">
        <v>1</v>
      </c>
      <c r="B78" s="5662" t="str">
        <f t="shared" si="45"/>
        <v>►</v>
      </c>
      <c r="C78" s="5825" cm="1">
        <f t="array" ref="C78">SUMPRODUCT(LEN(D78:J78))</f>
        <v>0</v>
      </c>
      <c r="D78" s="5275"/>
      <c r="E78" s="1361"/>
      <c r="F78" s="1361"/>
      <c r="G78" s="1361"/>
      <c r="H78" s="1361"/>
      <c r="I78" s="1361"/>
      <c r="J78" s="5276"/>
      <c r="K78" s="106" t="s">
        <v>1</v>
      </c>
      <c r="L78" s="1021" t="s">
        <v>26</v>
      </c>
      <c r="M78" s="6787"/>
      <c r="N78" s="6787"/>
      <c r="O78" s="6787"/>
      <c r="P78" s="6788"/>
      <c r="Q78" s="6789"/>
      <c r="R78" s="6790"/>
      <c r="S78" s="6786"/>
      <c r="T78" s="6791"/>
      <c r="U78" s="6844"/>
      <c r="V78" s="6791"/>
      <c r="W78" s="8487"/>
      <c r="X78" s="6871"/>
      <c r="Y78" s="6793"/>
      <c r="Z78" s="6794"/>
      <c r="AA78" s="6795"/>
      <c r="AB78" s="6796"/>
      <c r="AC78" s="6797"/>
      <c r="AD78" s="6798"/>
      <c r="AE78" s="4" t="s">
        <v>1</v>
      </c>
      <c r="AF78" s="6202" t="str">
        <f t="shared" si="16"/>
        <v>►</v>
      </c>
      <c r="AG78" s="6234" t="str">
        <f t="shared" si="17"/>
        <v/>
      </c>
      <c r="AH78" s="6732" t="str">
        <f t="shared" si="18"/>
        <v/>
      </c>
      <c r="AI78" s="6234" t="str">
        <f t="shared" si="19"/>
        <v/>
      </c>
      <c r="AJ78" s="6732" t="str">
        <f t="shared" si="20"/>
        <v/>
      </c>
      <c r="AK78" s="6732">
        <f t="shared" si="21"/>
        <v>0</v>
      </c>
      <c r="AL78" s="6854" t="str" cm="1">
        <f t="array" ref="AL78">IF(AF78&lt;&gt;"A","",IFERROR((IFERROR(_xlfn.XLOOKUP(TRIM(SUBSTITUTE(U78,CHAR(160)," ")),$BJ$15:$BJ$62,$BM$15:$BM$62),IFERROR(_xlfn.XLOOKUP(TRIM(SUBSTITUTE(U78,CHAR(160)," ")),$BK$15:$BK$62,$BM$15:$BM$62),_xlfn.XLOOKUP(TRIM(SUBSTITUTE(U78,CHAR(160)," ")),$BL$15:$BL$62,$BM$15:$BM$62))))*T78*IF(ISBLANK(Q78),1,Q78)+IFERROR(_xlfn.XLOOKUP("RECHERCHEX",TRIM(L78:AD78),L78:AD78),0),0))</f>
        <v/>
      </c>
      <c r="AM78" s="6229">
        <f t="shared" si="22"/>
        <v>0</v>
      </c>
      <c r="AN78" s="6857" t="str">
        <f t="shared" si="41"/>
        <v/>
      </c>
      <c r="AO78" s="392">
        <f t="shared" si="24"/>
        <v>0</v>
      </c>
      <c r="AP78" s="392">
        <f t="shared" si="25"/>
        <v>0</v>
      </c>
      <c r="AQ78" s="6190">
        <f t="shared" si="26"/>
        <v>0</v>
      </c>
      <c r="AR78" s="6858" t="str">
        <f t="shared" si="27"/>
        <v/>
      </c>
      <c r="AS78" s="6856"/>
      <c r="AT78" s="6275"/>
      <c r="AU78" s="6271">
        <f t="shared" si="28"/>
        <v>0</v>
      </c>
      <c r="AV78" s="6242">
        <f t="shared" si="29"/>
        <v>0</v>
      </c>
      <c r="AW78" s="6188" cm="1">
        <f t="array" ref="AW78">IF(AK78&lt;&gt;1,0,IF(OR(AU78="",N(AU78)&lt;=0.000000001),"",IF(OR(AO78="",N(AO78)&lt;=0.000000001),0,IF(ISNUMBER(AU78),IFERROR(_xlfn.LET(_xlpm.ai_test,TRIM(AJ78),_xlpm.r,IFERROR(_xlfn.XLOOKUP(_xlpm.ai_test,$BJ$15:$BJ$62,ROW($BJ$15:$BJ$62),0,1),IFERROR(_xlfn.XLOOKUP(_xlpm.ai_test,$BK$15:$BK$62,ROW($BK$15:$BK$62),0,1),_xlfn.XLOOKUP(_xlpm.ai_test,$BL$15:$BL$62,ROW($BL$15:$BL$62),0,1))),_xlpm.p,_xlpm.r-MIN(ROW($BJ$15:$BJ$62))+1,_xlpm.f,INDEX($BM$15:$BM$62,_xlpm.p),_xlpm.u,INDEX($BN$15:$BN$62,_xlpm.p),_xlpm.s,INDEX($BP$15:$BP$62,_xlpm.p),_xlpm.q,N(AU78)/_xlpm.f,IF(_xlpm.q&gt;=_xlpm.s,ROUND(_xlpm.q,1)&amp;" "&amp;_xlpm.ai_test&amp;" = "&amp;ROUND(_xlpm.q*_xlpm.f,1)&amp;" "&amp;_xlpm.u,ROUND(_xlpm.q,1)&amp;" "&amp;_xlpm.ai_test)),""),""))))</f>
        <v>0</v>
      </c>
      <c r="AX78" s="6218"/>
      <c r="AY78" s="6271">
        <f t="shared" si="30"/>
        <v>0</v>
      </c>
      <c r="AZ78" s="6242" t="str">
        <f t="shared" si="31"/>
        <v/>
      </c>
      <c r="BA78" s="6194">
        <f t="shared" si="37"/>
        <v>0</v>
      </c>
      <c r="BB78" s="6192" t="str">
        <f t="shared" si="32"/>
        <v/>
      </c>
      <c r="BC78" s="6219">
        <v>1.5</v>
      </c>
      <c r="BD78" s="6221">
        <f t="shared" si="39"/>
        <v>0</v>
      </c>
      <c r="BE78" s="6220" t="str">
        <f t="shared" si="34"/>
        <v/>
      </c>
      <c r="BF78" s="4" t="s">
        <v>1</v>
      </c>
      <c r="BG78" s="6196">
        <f t="shared" si="35"/>
        <v>0</v>
      </c>
      <c r="BH78" s="6197">
        <f t="shared" si="36"/>
        <v>0</v>
      </c>
      <c r="BJ78" s="6706">
        <v>1</v>
      </c>
      <c r="BK78" s="6707">
        <v>1E-3</v>
      </c>
      <c r="BL78" s="6708">
        <v>0</v>
      </c>
      <c r="BM78" s="6707">
        <v>0.25</v>
      </c>
      <c r="BN78" s="6707">
        <v>0.33332999999999996</v>
      </c>
      <c r="BO78" s="6707">
        <v>0.5</v>
      </c>
      <c r="BP78" s="6709">
        <v>1</v>
      </c>
      <c r="BQ78" s="6709">
        <v>0.1</v>
      </c>
      <c r="BR78" s="6709">
        <v>0.01</v>
      </c>
      <c r="BS78" s="6709">
        <v>1E-3</v>
      </c>
      <c r="BT78" s="6709">
        <v>0.5</v>
      </c>
      <c r="BU78" s="6709">
        <v>0.33300000000000002</v>
      </c>
      <c r="BV78" s="6710">
        <v>0.2</v>
      </c>
      <c r="BW78"/>
      <c r="BX78" s="20" t="str">
        <f t="shared" si="46"/>
        <v>►</v>
      </c>
      <c r="BY78" s="188" t="s">
        <v>96</v>
      </c>
      <c r="BZ78" s="234"/>
      <c r="CA78" s="234"/>
      <c r="CB78" s="234"/>
      <c r="CC78" s="234"/>
      <c r="CD78" s="5661"/>
      <c r="DC78" s="5">
        <v>1</v>
      </c>
    </row>
    <row r="79" spans="1:107" s="1" customFormat="1" ht="21" customHeight="1">
      <c r="A79" s="5641" t="s">
        <v>1</v>
      </c>
      <c r="B79" s="5662" t="str">
        <f t="shared" si="45"/>
        <v>►</v>
      </c>
      <c r="C79" s="5825" cm="1">
        <f t="array" ref="C79">SUMPRODUCT(LEN(D79:J79))</f>
        <v>0</v>
      </c>
      <c r="D79" s="5275"/>
      <c r="E79" s="1361"/>
      <c r="F79" s="1361"/>
      <c r="G79" s="1361"/>
      <c r="H79" s="1361"/>
      <c r="I79" s="1361"/>
      <c r="J79" s="5276"/>
      <c r="K79" s="106" t="s">
        <v>1</v>
      </c>
      <c r="L79" s="1021" t="s">
        <v>26</v>
      </c>
      <c r="M79" s="6787"/>
      <c r="N79" s="6787"/>
      <c r="O79" s="6787"/>
      <c r="P79" s="6788"/>
      <c r="Q79" s="6789"/>
      <c r="R79" s="6790"/>
      <c r="S79" s="6786"/>
      <c r="T79" s="6791"/>
      <c r="U79" s="6844"/>
      <c r="V79" s="6791"/>
      <c r="W79" s="8487"/>
      <c r="X79" s="6871"/>
      <c r="Y79" s="6793"/>
      <c r="Z79" s="6794"/>
      <c r="AA79" s="6795"/>
      <c r="AB79" s="6796"/>
      <c r="AC79" s="6797"/>
      <c r="AD79" s="6798"/>
      <c r="AE79" s="4" t="s">
        <v>1</v>
      </c>
      <c r="AF79" s="6202" t="str">
        <f t="shared" si="16"/>
        <v>►</v>
      </c>
      <c r="AG79" s="6234" t="str">
        <f t="shared" si="17"/>
        <v/>
      </c>
      <c r="AH79" s="6732" t="str">
        <f t="shared" si="18"/>
        <v/>
      </c>
      <c r="AI79" s="6234" t="str">
        <f t="shared" si="19"/>
        <v/>
      </c>
      <c r="AJ79" s="6732" t="str">
        <f t="shared" si="20"/>
        <v/>
      </c>
      <c r="AK79" s="6732">
        <f t="shared" si="21"/>
        <v>0</v>
      </c>
      <c r="AL79" s="6854" t="str" cm="1">
        <f t="array" ref="AL79">IF(AF79&lt;&gt;"A","",IFERROR((IFERROR(_xlfn.XLOOKUP(TRIM(SUBSTITUTE(U79,CHAR(160)," ")),$BJ$15:$BJ$62,$BM$15:$BM$62),IFERROR(_xlfn.XLOOKUP(TRIM(SUBSTITUTE(U79,CHAR(160)," ")),$BK$15:$BK$62,$BM$15:$BM$62),_xlfn.XLOOKUP(TRIM(SUBSTITUTE(U79,CHAR(160)," ")),$BL$15:$BL$62,$BM$15:$BM$62))))*T79*IF(ISBLANK(Q79),1,Q79)+IFERROR(_xlfn.XLOOKUP("RECHERCHEX",TRIM(L79:AD79),L79:AD79),0),0))</f>
        <v/>
      </c>
      <c r="AM79" s="6229">
        <f t="shared" si="22"/>
        <v>0</v>
      </c>
      <c r="AN79" s="6857" t="str">
        <f t="shared" si="41"/>
        <v/>
      </c>
      <c r="AO79" s="392">
        <f t="shared" si="24"/>
        <v>0</v>
      </c>
      <c r="AP79" s="392">
        <f t="shared" si="25"/>
        <v>0</v>
      </c>
      <c r="AQ79" s="6191">
        <f t="shared" si="26"/>
        <v>0</v>
      </c>
      <c r="AR79" s="6859" t="str">
        <f t="shared" si="27"/>
        <v/>
      </c>
      <c r="AS79" s="6856"/>
      <c r="AT79" s="6275"/>
      <c r="AU79" s="6272">
        <f t="shared" si="28"/>
        <v>0</v>
      </c>
      <c r="AV79" s="6240">
        <f t="shared" si="29"/>
        <v>0</v>
      </c>
      <c r="AW79" s="6189" cm="1">
        <f t="array" ref="AW79">IF(AK79&lt;&gt;1,0,IF(OR(AU79="",N(AU79)&lt;=0.000000001),"",IF(OR(AO79="",N(AO79)&lt;=0.000000001),0,IF(ISNUMBER(AU79),IFERROR(_xlfn.LET(_xlpm.ai_test,TRIM(AJ79),_xlpm.r,IFERROR(_xlfn.XLOOKUP(_xlpm.ai_test,$BJ$15:$BJ$62,ROW($BJ$15:$BJ$62),0,1),IFERROR(_xlfn.XLOOKUP(_xlpm.ai_test,$BK$15:$BK$62,ROW($BK$15:$BK$62),0,1),_xlfn.XLOOKUP(_xlpm.ai_test,$BL$15:$BL$62,ROW($BL$15:$BL$62),0,1))),_xlpm.p,_xlpm.r-MIN(ROW($BJ$15:$BJ$62))+1,_xlpm.f,INDEX($BM$15:$BM$62,_xlpm.p),_xlpm.u,INDEX($BN$15:$BN$62,_xlpm.p),_xlpm.s,INDEX($BP$15:$BP$62,_xlpm.p),_xlpm.q,N(AU79)/_xlpm.f,IF(_xlpm.q&gt;=_xlpm.s,ROUND(_xlpm.q,1)&amp;" "&amp;_xlpm.ai_test&amp;" = "&amp;ROUND(_xlpm.q*_xlpm.f,1)&amp;" "&amp;_xlpm.u,ROUND(_xlpm.q,1)&amp;" "&amp;_xlpm.ai_test)),""),""))))</f>
        <v>0</v>
      </c>
      <c r="AX79" s="6218"/>
      <c r="AY79" s="6272">
        <f t="shared" si="30"/>
        <v>0</v>
      </c>
      <c r="AZ79" s="6240" t="str">
        <f t="shared" si="31"/>
        <v/>
      </c>
      <c r="BA79" s="6195">
        <f t="shared" si="37"/>
        <v>0</v>
      </c>
      <c r="BB79" s="6193" t="str">
        <f t="shared" si="32"/>
        <v/>
      </c>
      <c r="BC79" s="6219">
        <v>1.5</v>
      </c>
      <c r="BD79" s="6222">
        <f t="shared" si="39"/>
        <v>0</v>
      </c>
      <c r="BE79" s="6220" t="str">
        <f t="shared" si="34"/>
        <v/>
      </c>
      <c r="BF79" s="4" t="s">
        <v>1</v>
      </c>
      <c r="BG79" s="6196">
        <f t="shared" si="35"/>
        <v>0</v>
      </c>
      <c r="BH79" s="6197">
        <f t="shared" si="36"/>
        <v>0</v>
      </c>
      <c r="BJ79" s="6289" t="s">
        <v>122</v>
      </c>
      <c r="BK79" s="6289" t="s">
        <v>113</v>
      </c>
      <c r="BL79" s="6291" t="s">
        <v>8014</v>
      </c>
      <c r="BM79" s="6289" t="s">
        <v>112</v>
      </c>
      <c r="BN79" s="6289" t="s">
        <v>8015</v>
      </c>
      <c r="BO79" s="6289" t="s">
        <v>8016</v>
      </c>
      <c r="BP79" s="6294" t="s">
        <v>126</v>
      </c>
      <c r="BQ79" s="6281" t="s">
        <v>152</v>
      </c>
      <c r="BR79" s="6281" t="s">
        <v>143</v>
      </c>
      <c r="BS79" s="6286" t="s">
        <v>946</v>
      </c>
      <c r="BT79" s="6286" t="s">
        <v>8765</v>
      </c>
      <c r="BU79" s="6286" t="s">
        <v>124</v>
      </c>
      <c r="BV79" s="6290" t="s">
        <v>110</v>
      </c>
      <c r="BW79"/>
      <c r="BX79" s="20" t="str">
        <f t="shared" si="46"/>
        <v>►</v>
      </c>
      <c r="BY79" s="1022" t="s">
        <v>94</v>
      </c>
      <c r="BZ79" s="234"/>
      <c r="CA79" s="234"/>
      <c r="CB79" s="234"/>
      <c r="CC79" s="234"/>
      <c r="CD79" s="5661"/>
      <c r="CE79"/>
      <c r="CF79"/>
      <c r="CG79"/>
      <c r="CH79"/>
      <c r="CI79"/>
      <c r="CJ79"/>
      <c r="CK79"/>
      <c r="CM79"/>
      <c r="CN79"/>
      <c r="CO79"/>
      <c r="CP79"/>
      <c r="CQ79"/>
      <c r="CR79"/>
      <c r="CS79"/>
      <c r="CU79"/>
      <c r="CV79"/>
      <c r="CW79"/>
      <c r="CX79"/>
      <c r="CY79"/>
      <c r="CZ79"/>
      <c r="DA79"/>
      <c r="DC79" s="5">
        <v>1</v>
      </c>
    </row>
    <row r="80" spans="1:107" s="1" customFormat="1" ht="21" customHeight="1">
      <c r="A80" s="5641" t="s">
        <v>1</v>
      </c>
      <c r="B80" s="5662" t="str">
        <f t="shared" si="45"/>
        <v>►</v>
      </c>
      <c r="C80" s="5825" cm="1">
        <f t="array" ref="C80">SUMPRODUCT(LEN(D80:J80))</f>
        <v>0</v>
      </c>
      <c r="D80" s="5275"/>
      <c r="E80" s="1361"/>
      <c r="F80" s="1361"/>
      <c r="G80" s="1361"/>
      <c r="H80" s="1361"/>
      <c r="I80" s="1361"/>
      <c r="J80" s="5276"/>
      <c r="K80" s="106" t="s">
        <v>1</v>
      </c>
      <c r="L80" s="1021" t="s">
        <v>26</v>
      </c>
      <c r="M80" s="6787"/>
      <c r="N80" s="6787"/>
      <c r="O80" s="6787"/>
      <c r="P80" s="6788"/>
      <c r="Q80" s="6789"/>
      <c r="R80" s="6790"/>
      <c r="S80" s="6786"/>
      <c r="T80" s="6791"/>
      <c r="U80" s="6844"/>
      <c r="V80" s="6791"/>
      <c r="W80" s="8487"/>
      <c r="X80" s="6871"/>
      <c r="Y80" s="6793"/>
      <c r="Z80" s="6794"/>
      <c r="AA80" s="6795"/>
      <c r="AB80" s="6796"/>
      <c r="AC80" s="6797"/>
      <c r="AD80" s="6798"/>
      <c r="AE80" s="4" t="s">
        <v>1</v>
      </c>
      <c r="AF80" s="6202" t="str">
        <f t="shared" si="16"/>
        <v>►</v>
      </c>
      <c r="AG80" s="6234" t="str">
        <f t="shared" si="17"/>
        <v/>
      </c>
      <c r="AH80" s="6732" t="str">
        <f t="shared" si="18"/>
        <v/>
      </c>
      <c r="AI80" s="6234" t="str">
        <f t="shared" si="19"/>
        <v/>
      </c>
      <c r="AJ80" s="6732" t="str">
        <f t="shared" si="20"/>
        <v/>
      </c>
      <c r="AK80" s="6732">
        <f t="shared" si="21"/>
        <v>0</v>
      </c>
      <c r="AL80" s="6854" t="str" cm="1">
        <f t="array" ref="AL80">IF(AF80&lt;&gt;"A","",IFERROR((IFERROR(_xlfn.XLOOKUP(TRIM(SUBSTITUTE(U80,CHAR(160)," ")),$BJ$15:$BJ$62,$BM$15:$BM$62),IFERROR(_xlfn.XLOOKUP(TRIM(SUBSTITUTE(U80,CHAR(160)," ")),$BK$15:$BK$62,$BM$15:$BM$62),_xlfn.XLOOKUP(TRIM(SUBSTITUTE(U80,CHAR(160)," ")),$BL$15:$BL$62,$BM$15:$BM$62))))*T80*IF(ISBLANK(Q80),1,Q80)+IFERROR(_xlfn.XLOOKUP("RECHERCHEX",TRIM(L80:AD80),L80:AD80),0),0))</f>
        <v/>
      </c>
      <c r="AM80" s="6229">
        <f t="shared" si="22"/>
        <v>0</v>
      </c>
      <c r="AN80" s="6857" t="str">
        <f t="shared" si="41"/>
        <v/>
      </c>
      <c r="AO80" s="392">
        <f t="shared" si="24"/>
        <v>0</v>
      </c>
      <c r="AP80" s="392">
        <f t="shared" si="25"/>
        <v>0</v>
      </c>
      <c r="AQ80" s="6190">
        <f t="shared" si="26"/>
        <v>0</v>
      </c>
      <c r="AR80" s="6858" t="str">
        <f t="shared" si="27"/>
        <v/>
      </c>
      <c r="AS80" s="6856"/>
      <c r="AT80" s="6275"/>
      <c r="AU80" s="6271">
        <f t="shared" si="28"/>
        <v>0</v>
      </c>
      <c r="AV80" s="6242">
        <f t="shared" si="29"/>
        <v>0</v>
      </c>
      <c r="AW80" s="6188" cm="1">
        <f t="array" ref="AW80">IF(AK80&lt;&gt;1,0,IF(OR(AU80="",N(AU80)&lt;=0.000000001),"",IF(OR(AO80="",N(AO80)&lt;=0.000000001),0,IF(ISNUMBER(AU80),IFERROR(_xlfn.LET(_xlpm.ai_test,TRIM(AJ80),_xlpm.r,IFERROR(_xlfn.XLOOKUP(_xlpm.ai_test,$BJ$15:$BJ$62,ROW($BJ$15:$BJ$62),0,1),IFERROR(_xlfn.XLOOKUP(_xlpm.ai_test,$BK$15:$BK$62,ROW($BK$15:$BK$62),0,1),_xlfn.XLOOKUP(_xlpm.ai_test,$BL$15:$BL$62,ROW($BL$15:$BL$62),0,1))),_xlpm.p,_xlpm.r-MIN(ROW($BJ$15:$BJ$62))+1,_xlpm.f,INDEX($BM$15:$BM$62,_xlpm.p),_xlpm.u,INDEX($BN$15:$BN$62,_xlpm.p),_xlpm.s,INDEX($BP$15:$BP$62,_xlpm.p),_xlpm.q,N(AU80)/_xlpm.f,IF(_xlpm.q&gt;=_xlpm.s,ROUND(_xlpm.q,1)&amp;" "&amp;_xlpm.ai_test&amp;" = "&amp;ROUND(_xlpm.q*_xlpm.f,1)&amp;" "&amp;_xlpm.u,ROUND(_xlpm.q,1)&amp;" "&amp;_xlpm.ai_test)),""),""))))</f>
        <v>0</v>
      </c>
      <c r="AX80" s="6218"/>
      <c r="AY80" s="6271">
        <f t="shared" si="30"/>
        <v>0</v>
      </c>
      <c r="AZ80" s="6242" t="str">
        <f t="shared" si="31"/>
        <v/>
      </c>
      <c r="BA80" s="6194">
        <f t="shared" si="37"/>
        <v>0</v>
      </c>
      <c r="BB80" s="6192" t="str">
        <f t="shared" si="32"/>
        <v/>
      </c>
      <c r="BC80" s="6219">
        <v>1.5</v>
      </c>
      <c r="BD80" s="6221">
        <f t="shared" si="39"/>
        <v>0</v>
      </c>
      <c r="BE80" s="6220" t="str">
        <f t="shared" si="34"/>
        <v/>
      </c>
      <c r="BF80" s="4" t="s">
        <v>1</v>
      </c>
      <c r="BG80" s="6196">
        <f t="shared" si="35"/>
        <v>0</v>
      </c>
      <c r="BH80" s="6197">
        <f t="shared" si="36"/>
        <v>0</v>
      </c>
      <c r="BJ80" s="6706">
        <v>2.835E-2</v>
      </c>
      <c r="BK80" s="6707">
        <v>0.13</v>
      </c>
      <c r="BL80" s="6708">
        <v>0</v>
      </c>
      <c r="BM80" s="6707">
        <v>0.2</v>
      </c>
      <c r="BN80" s="6707">
        <v>0.23</v>
      </c>
      <c r="BO80" s="6707">
        <v>0.22500000000000001</v>
      </c>
      <c r="BP80" s="6709">
        <v>0.35</v>
      </c>
      <c r="BQ80" s="6709">
        <v>5.0000000000000001E-3</v>
      </c>
      <c r="BR80" s="6709">
        <v>5.0000000000000001E-3</v>
      </c>
      <c r="BS80" s="6709">
        <v>1.4999999999999999E-2</v>
      </c>
      <c r="BT80" s="6709">
        <v>0.1</v>
      </c>
      <c r="BU80" s="6709">
        <v>0.22500000000000001</v>
      </c>
      <c r="BV80" s="6710">
        <v>1E-3</v>
      </c>
      <c r="BW80"/>
      <c r="BX80" s="20" t="str">
        <f t="shared" si="46"/>
        <v>►</v>
      </c>
      <c r="BY80" s="5950"/>
      <c r="BZ80" s="5950"/>
      <c r="CA80" s="5950"/>
      <c r="CB80" s="5950"/>
      <c r="CC80" s="5950"/>
      <c r="CD80" s="5661"/>
      <c r="CE80"/>
      <c r="CF80"/>
      <c r="CG80"/>
      <c r="CH80"/>
      <c r="CI80"/>
      <c r="CJ80"/>
      <c r="CK80"/>
      <c r="CM80"/>
      <c r="CN80"/>
      <c r="CO80"/>
      <c r="CP80"/>
      <c r="CQ80"/>
      <c r="CR80"/>
      <c r="CS80"/>
      <c r="CU80"/>
      <c r="CV80"/>
      <c r="CW80"/>
      <c r="CX80"/>
      <c r="CY80"/>
      <c r="CZ80"/>
      <c r="DA80"/>
      <c r="DC80" s="5">
        <v>1</v>
      </c>
    </row>
    <row r="81" spans="1:107" s="1" customFormat="1" ht="21" customHeight="1" thickBot="1">
      <c r="A81" s="5641" t="s">
        <v>1</v>
      </c>
      <c r="B81" s="5662" t="str">
        <f t="shared" si="45"/>
        <v>►</v>
      </c>
      <c r="C81" s="5825" cm="1">
        <f t="array" ref="C81">SUMPRODUCT(LEN(D81:J81))</f>
        <v>0</v>
      </c>
      <c r="D81" s="5275"/>
      <c r="E81" s="1361"/>
      <c r="F81" s="1361"/>
      <c r="G81" s="1361"/>
      <c r="H81" s="1361"/>
      <c r="I81" s="1361"/>
      <c r="J81" s="5276"/>
      <c r="K81" s="106" t="s">
        <v>1</v>
      </c>
      <c r="L81" s="1021" t="s">
        <v>26</v>
      </c>
      <c r="M81" s="6787"/>
      <c r="N81" s="6787"/>
      <c r="O81" s="6787"/>
      <c r="P81" s="6788"/>
      <c r="Q81" s="6789"/>
      <c r="R81" s="6790"/>
      <c r="S81" s="6786"/>
      <c r="T81" s="6791"/>
      <c r="U81" s="6844"/>
      <c r="V81" s="6791"/>
      <c r="W81" s="8487"/>
      <c r="X81" s="6871"/>
      <c r="Y81" s="6793"/>
      <c r="Z81" s="6794"/>
      <c r="AA81" s="6795"/>
      <c r="AB81" s="6796"/>
      <c r="AC81" s="6797"/>
      <c r="AD81" s="6798"/>
      <c r="AE81" s="4" t="s">
        <v>1</v>
      </c>
      <c r="AF81" s="6202" t="str">
        <f t="shared" si="16"/>
        <v>►</v>
      </c>
      <c r="AG81" s="6234" t="str">
        <f t="shared" si="17"/>
        <v/>
      </c>
      <c r="AH81" s="6732" t="str">
        <f t="shared" si="18"/>
        <v/>
      </c>
      <c r="AI81" s="6234" t="str">
        <f t="shared" si="19"/>
        <v/>
      </c>
      <c r="AJ81" s="6732" t="str">
        <f t="shared" si="20"/>
        <v/>
      </c>
      <c r="AK81" s="6732">
        <f t="shared" si="21"/>
        <v>0</v>
      </c>
      <c r="AL81" s="6854" t="str" cm="1">
        <f t="array" ref="AL81">IF(AF81&lt;&gt;"A","",IFERROR((IFERROR(_xlfn.XLOOKUP(TRIM(SUBSTITUTE(U81,CHAR(160)," ")),$BJ$15:$BJ$62,$BM$15:$BM$62),IFERROR(_xlfn.XLOOKUP(TRIM(SUBSTITUTE(U81,CHAR(160)," ")),$BK$15:$BK$62,$BM$15:$BM$62),_xlfn.XLOOKUP(TRIM(SUBSTITUTE(U81,CHAR(160)," ")),$BL$15:$BL$62,$BM$15:$BM$62))))*T81*IF(ISBLANK(Q81),1,Q81)+IFERROR(_xlfn.XLOOKUP("RECHERCHEX",TRIM(L81:AD81),L81:AD81),0),0))</f>
        <v/>
      </c>
      <c r="AM81" s="6229">
        <f t="shared" si="22"/>
        <v>0</v>
      </c>
      <c r="AN81" s="6857" t="str">
        <f t="shared" si="41"/>
        <v/>
      </c>
      <c r="AO81" s="392">
        <f t="shared" si="24"/>
        <v>0</v>
      </c>
      <c r="AP81" s="392">
        <f t="shared" si="25"/>
        <v>0</v>
      </c>
      <c r="AQ81" s="6191">
        <f t="shared" si="26"/>
        <v>0</v>
      </c>
      <c r="AR81" s="6859" t="str">
        <f t="shared" si="27"/>
        <v/>
      </c>
      <c r="AS81" s="6856"/>
      <c r="AT81" s="6275"/>
      <c r="AU81" s="6272">
        <f t="shared" si="28"/>
        <v>0</v>
      </c>
      <c r="AV81" s="6240">
        <f t="shared" si="29"/>
        <v>0</v>
      </c>
      <c r="AW81" s="6189" cm="1">
        <f t="array" ref="AW81">IF(AK81&lt;&gt;1,0,IF(OR(AU81="",N(AU81)&lt;=0.000000001),"",IF(OR(AO81="",N(AO81)&lt;=0.000000001),0,IF(ISNUMBER(AU81),IFERROR(_xlfn.LET(_xlpm.ai_test,TRIM(AJ81),_xlpm.r,IFERROR(_xlfn.XLOOKUP(_xlpm.ai_test,$BJ$15:$BJ$62,ROW($BJ$15:$BJ$62),0,1),IFERROR(_xlfn.XLOOKUP(_xlpm.ai_test,$BK$15:$BK$62,ROW($BK$15:$BK$62),0,1),_xlfn.XLOOKUP(_xlpm.ai_test,$BL$15:$BL$62,ROW($BL$15:$BL$62),0,1))),_xlpm.p,_xlpm.r-MIN(ROW($BJ$15:$BJ$62))+1,_xlpm.f,INDEX($BM$15:$BM$62,_xlpm.p),_xlpm.u,INDEX($BN$15:$BN$62,_xlpm.p),_xlpm.s,INDEX($BP$15:$BP$62,_xlpm.p),_xlpm.q,N(AU81)/_xlpm.f,IF(_xlpm.q&gt;=_xlpm.s,ROUND(_xlpm.q,1)&amp;" "&amp;_xlpm.ai_test&amp;" = "&amp;ROUND(_xlpm.q*_xlpm.f,1)&amp;" "&amp;_xlpm.u,ROUND(_xlpm.q,1)&amp;" "&amp;_xlpm.ai_test)),""),""))))</f>
        <v>0</v>
      </c>
      <c r="AX81" s="6218"/>
      <c r="AY81" s="6272">
        <f t="shared" si="30"/>
        <v>0</v>
      </c>
      <c r="AZ81" s="6240" t="str">
        <f t="shared" si="31"/>
        <v/>
      </c>
      <c r="BA81" s="6195">
        <f t="shared" si="37"/>
        <v>0</v>
      </c>
      <c r="BB81" s="6193" t="str">
        <f t="shared" si="32"/>
        <v/>
      </c>
      <c r="BC81" s="6219">
        <v>1.5</v>
      </c>
      <c r="BD81" s="6222">
        <f t="shared" si="39"/>
        <v>0</v>
      </c>
      <c r="BE81" s="6220" t="str">
        <f t="shared" si="34"/>
        <v/>
      </c>
      <c r="BF81" s="4" t="s">
        <v>1</v>
      </c>
      <c r="BG81" s="6196">
        <f t="shared" si="35"/>
        <v>0</v>
      </c>
      <c r="BH81" s="6197">
        <f t="shared" si="36"/>
        <v>0</v>
      </c>
      <c r="BJ81"/>
      <c r="BK81"/>
      <c r="BL81"/>
      <c r="BM81"/>
      <c r="BN81"/>
      <c r="BO81"/>
      <c r="BP81"/>
      <c r="BQ81"/>
      <c r="BR81"/>
      <c r="BS81"/>
      <c r="BT81"/>
      <c r="BU81"/>
      <c r="BV81"/>
      <c r="BW81"/>
      <c r="BX81" s="20" t="str">
        <f t="shared" si="46"/>
        <v>►</v>
      </c>
      <c r="BY81" s="5950"/>
      <c r="BZ81" s="5950"/>
      <c r="CA81" s="5950"/>
      <c r="CB81" s="5950"/>
      <c r="CC81" s="5950"/>
      <c r="CD81" s="5661"/>
      <c r="CE81"/>
      <c r="CF81"/>
      <c r="CG81"/>
      <c r="CH81"/>
      <c r="CI81"/>
      <c r="CJ81"/>
      <c r="CK81"/>
      <c r="CM81"/>
      <c r="CN81"/>
      <c r="CO81"/>
      <c r="CP81"/>
      <c r="CQ81"/>
      <c r="CR81"/>
      <c r="CS81"/>
      <c r="CU81"/>
      <c r="CV81"/>
      <c r="CW81"/>
      <c r="CX81"/>
      <c r="CY81"/>
      <c r="CZ81"/>
      <c r="DA81"/>
      <c r="DC81" s="5">
        <v>1</v>
      </c>
    </row>
    <row r="82" spans="1:107" s="1" customFormat="1" ht="21" customHeight="1">
      <c r="A82" s="5641" t="s">
        <v>1</v>
      </c>
      <c r="B82" s="5662" t="str">
        <f t="shared" si="45"/>
        <v>►</v>
      </c>
      <c r="C82" s="5825" cm="1">
        <f t="array" ref="C82">SUMPRODUCT(LEN(D82:J82))</f>
        <v>0</v>
      </c>
      <c r="D82" s="5275"/>
      <c r="E82" s="1361"/>
      <c r="F82" s="1361"/>
      <c r="G82" s="1361"/>
      <c r="H82" s="1361"/>
      <c r="I82" s="1361"/>
      <c r="J82" s="5276"/>
      <c r="K82" s="106" t="s">
        <v>1</v>
      </c>
      <c r="L82" s="1021" t="s">
        <v>26</v>
      </c>
      <c r="M82" s="6787"/>
      <c r="N82" s="6787"/>
      <c r="O82" s="6787"/>
      <c r="P82" s="6788"/>
      <c r="Q82" s="6789"/>
      <c r="R82" s="6790"/>
      <c r="S82" s="6786"/>
      <c r="T82" s="6791"/>
      <c r="U82" s="6844"/>
      <c r="V82" s="6791"/>
      <c r="W82" s="8487"/>
      <c r="X82" s="6871"/>
      <c r="Y82" s="6793"/>
      <c r="Z82" s="6794"/>
      <c r="AA82" s="6795"/>
      <c r="AB82" s="6796"/>
      <c r="AC82" s="6797"/>
      <c r="AD82" s="6798"/>
      <c r="AE82" s="4" t="s">
        <v>1</v>
      </c>
      <c r="AF82" s="6202" t="str">
        <f t="shared" si="16"/>
        <v>►</v>
      </c>
      <c r="AG82" s="6234" t="str">
        <f t="shared" si="17"/>
        <v/>
      </c>
      <c r="AH82" s="6732" t="str">
        <f t="shared" si="18"/>
        <v/>
      </c>
      <c r="AI82" s="6234" t="str">
        <f t="shared" si="19"/>
        <v/>
      </c>
      <c r="AJ82" s="6732" t="str">
        <f t="shared" si="20"/>
        <v/>
      </c>
      <c r="AK82" s="6732">
        <f t="shared" si="21"/>
        <v>0</v>
      </c>
      <c r="AL82" s="6854" t="str" cm="1">
        <f t="array" ref="AL82">IF(AF82&lt;&gt;"A","",IFERROR((IFERROR(_xlfn.XLOOKUP(TRIM(SUBSTITUTE(U82,CHAR(160)," ")),$BJ$15:$BJ$62,$BM$15:$BM$62),IFERROR(_xlfn.XLOOKUP(TRIM(SUBSTITUTE(U82,CHAR(160)," ")),$BK$15:$BK$62,$BM$15:$BM$62),_xlfn.XLOOKUP(TRIM(SUBSTITUTE(U82,CHAR(160)," ")),$BL$15:$BL$62,$BM$15:$BM$62))))*T82*IF(ISBLANK(Q82),1,Q82)+IFERROR(_xlfn.XLOOKUP("RECHERCHEX",TRIM(L82:AD82),L82:AD82),0),0))</f>
        <v/>
      </c>
      <c r="AM82" s="6229">
        <f t="shared" si="22"/>
        <v>0</v>
      </c>
      <c r="AN82" s="6857" t="str">
        <f t="shared" si="41"/>
        <v/>
      </c>
      <c r="AO82" s="392">
        <f t="shared" si="24"/>
        <v>0</v>
      </c>
      <c r="AP82" s="392">
        <f t="shared" si="25"/>
        <v>0</v>
      </c>
      <c r="AQ82" s="6190">
        <f t="shared" si="26"/>
        <v>0</v>
      </c>
      <c r="AR82" s="6858" t="str">
        <f t="shared" si="27"/>
        <v/>
      </c>
      <c r="AS82" s="6856"/>
      <c r="AT82" s="6275"/>
      <c r="AU82" s="6271">
        <f t="shared" si="28"/>
        <v>0</v>
      </c>
      <c r="AV82" s="6242">
        <f t="shared" si="29"/>
        <v>0</v>
      </c>
      <c r="AW82" s="6188" cm="1">
        <f t="array" ref="AW82">IF(AK82&lt;&gt;1,0,IF(OR(AU82="",N(AU82)&lt;=0.000000001),"",IF(OR(AO82="",N(AO82)&lt;=0.000000001),0,IF(ISNUMBER(AU82),IFERROR(_xlfn.LET(_xlpm.ai_test,TRIM(AJ82),_xlpm.r,IFERROR(_xlfn.XLOOKUP(_xlpm.ai_test,$BJ$15:$BJ$62,ROW($BJ$15:$BJ$62),0,1),IFERROR(_xlfn.XLOOKUP(_xlpm.ai_test,$BK$15:$BK$62,ROW($BK$15:$BK$62),0,1),_xlfn.XLOOKUP(_xlpm.ai_test,$BL$15:$BL$62,ROW($BL$15:$BL$62),0,1))),_xlpm.p,_xlpm.r-MIN(ROW($BJ$15:$BJ$62))+1,_xlpm.f,INDEX($BM$15:$BM$62,_xlpm.p),_xlpm.u,INDEX($BN$15:$BN$62,_xlpm.p),_xlpm.s,INDEX($BP$15:$BP$62,_xlpm.p),_xlpm.q,N(AU82)/_xlpm.f,IF(_xlpm.q&gt;=_xlpm.s,ROUND(_xlpm.q,1)&amp;" "&amp;_xlpm.ai_test&amp;" = "&amp;ROUND(_xlpm.q*_xlpm.f,1)&amp;" "&amp;_xlpm.u,ROUND(_xlpm.q,1)&amp;" "&amp;_xlpm.ai_test)),""),""))))</f>
        <v>0</v>
      </c>
      <c r="AX82" s="6218"/>
      <c r="AY82" s="6271">
        <f t="shared" si="30"/>
        <v>0</v>
      </c>
      <c r="AZ82" s="6242" t="str">
        <f t="shared" si="31"/>
        <v/>
      </c>
      <c r="BA82" s="6194">
        <f t="shared" si="37"/>
        <v>0</v>
      </c>
      <c r="BB82" s="6192" t="str">
        <f t="shared" si="32"/>
        <v/>
      </c>
      <c r="BC82" s="6219">
        <v>1.5</v>
      </c>
      <c r="BD82" s="6221">
        <f t="shared" si="39"/>
        <v>0</v>
      </c>
      <c r="BE82" s="6220" t="str">
        <f t="shared" si="34"/>
        <v/>
      </c>
      <c r="BF82" s="4" t="s">
        <v>1</v>
      </c>
      <c r="BG82" s="6196">
        <f t="shared" si="35"/>
        <v>0</v>
      </c>
      <c r="BH82" s="6197">
        <f t="shared" si="36"/>
        <v>0</v>
      </c>
      <c r="BJ82" s="6917" t="s">
        <v>10008</v>
      </c>
      <c r="BK82" s="6918"/>
      <c r="BL82" s="6918"/>
      <c r="BM82" s="6918"/>
      <c r="BN82" s="6918"/>
      <c r="BO82" s="6918"/>
      <c r="BP82" s="6918"/>
      <c r="BQ82" s="6918"/>
      <c r="BR82" s="6918"/>
      <c r="BS82" s="6918"/>
      <c r="BT82" s="6918"/>
      <c r="BU82" s="6918"/>
      <c r="BV82" s="6919"/>
      <c r="BW82"/>
      <c r="BX82" s="20" t="str">
        <f t="shared" si="46"/>
        <v>►</v>
      </c>
      <c r="BY82" s="5950"/>
      <c r="BZ82" s="5950"/>
      <c r="CA82" s="5950"/>
      <c r="CB82" s="5950"/>
      <c r="CC82" s="5950"/>
      <c r="CD82" s="5661"/>
      <c r="CE82"/>
      <c r="CF82"/>
      <c r="CG82"/>
      <c r="CH82"/>
      <c r="CI82"/>
      <c r="CJ82"/>
      <c r="CK82"/>
      <c r="CM82"/>
      <c r="CN82"/>
      <c r="CO82"/>
      <c r="CP82"/>
      <c r="CQ82"/>
      <c r="CR82"/>
      <c r="CS82"/>
      <c r="CU82"/>
      <c r="CV82"/>
      <c r="CW82"/>
      <c r="CX82"/>
      <c r="CY82"/>
      <c r="CZ82"/>
      <c r="DA82"/>
      <c r="DC82" s="5">
        <v>1</v>
      </c>
    </row>
    <row r="83" spans="1:107" s="1" customFormat="1" ht="21" customHeight="1">
      <c r="A83" s="5641" t="s">
        <v>1</v>
      </c>
      <c r="B83" s="5662" t="str">
        <f t="shared" si="45"/>
        <v>►</v>
      </c>
      <c r="C83" s="5825" cm="1">
        <f t="array" ref="C83">SUMPRODUCT(LEN(D83:J83))</f>
        <v>0</v>
      </c>
      <c r="D83" s="5275"/>
      <c r="E83" s="1361"/>
      <c r="F83" s="1361"/>
      <c r="G83" s="1361"/>
      <c r="H83" s="1361"/>
      <c r="I83" s="1361"/>
      <c r="J83" s="5276"/>
      <c r="K83" s="106" t="s">
        <v>1</v>
      </c>
      <c r="L83" s="1021" t="s">
        <v>26</v>
      </c>
      <c r="M83" s="6787"/>
      <c r="N83" s="6787"/>
      <c r="O83" s="6787"/>
      <c r="P83" s="6788"/>
      <c r="Q83" s="6789"/>
      <c r="R83" s="6790"/>
      <c r="S83" s="6786"/>
      <c r="T83" s="6791"/>
      <c r="U83" s="6844"/>
      <c r="V83" s="6791"/>
      <c r="W83" s="8487"/>
      <c r="X83" s="6871"/>
      <c r="Y83" s="6793"/>
      <c r="Z83" s="6794"/>
      <c r="AA83" s="6795"/>
      <c r="AB83" s="6796"/>
      <c r="AC83" s="6797"/>
      <c r="AD83" s="6798"/>
      <c r="AE83" s="4" t="s">
        <v>1</v>
      </c>
      <c r="AF83" s="6202" t="str">
        <f t="shared" si="16"/>
        <v>►</v>
      </c>
      <c r="AG83" s="6234" t="str">
        <f t="shared" si="17"/>
        <v/>
      </c>
      <c r="AH83" s="6732" t="str">
        <f t="shared" si="18"/>
        <v/>
      </c>
      <c r="AI83" s="6234" t="str">
        <f t="shared" si="19"/>
        <v/>
      </c>
      <c r="AJ83" s="6732" t="str">
        <f t="shared" si="20"/>
        <v/>
      </c>
      <c r="AK83" s="6732">
        <f t="shared" si="21"/>
        <v>0</v>
      </c>
      <c r="AL83" s="6854" t="str" cm="1">
        <f t="array" ref="AL83">IF(AF83&lt;&gt;"A","",IFERROR((IFERROR(_xlfn.XLOOKUP(TRIM(SUBSTITUTE(U83,CHAR(160)," ")),$BJ$15:$BJ$62,$BM$15:$BM$62),IFERROR(_xlfn.XLOOKUP(TRIM(SUBSTITUTE(U83,CHAR(160)," ")),$BK$15:$BK$62,$BM$15:$BM$62),_xlfn.XLOOKUP(TRIM(SUBSTITUTE(U83,CHAR(160)," ")),$BL$15:$BL$62,$BM$15:$BM$62))))*T83*IF(ISBLANK(Q83),1,Q83)+IFERROR(_xlfn.XLOOKUP("RECHERCHEX",TRIM(L83:AD83),L83:AD83),0),0))</f>
        <v/>
      </c>
      <c r="AM83" s="6229">
        <f t="shared" si="22"/>
        <v>0</v>
      </c>
      <c r="AN83" s="6857" t="str">
        <f t="shared" si="41"/>
        <v/>
      </c>
      <c r="AO83" s="392">
        <f t="shared" si="24"/>
        <v>0</v>
      </c>
      <c r="AP83" s="392">
        <f t="shared" si="25"/>
        <v>0</v>
      </c>
      <c r="AQ83" s="6191">
        <f t="shared" si="26"/>
        <v>0</v>
      </c>
      <c r="AR83" s="6859" t="str">
        <f t="shared" si="27"/>
        <v/>
      </c>
      <c r="AS83" s="6856"/>
      <c r="AT83" s="6275"/>
      <c r="AU83" s="6272">
        <f t="shared" si="28"/>
        <v>0</v>
      </c>
      <c r="AV83" s="6240">
        <f t="shared" si="29"/>
        <v>0</v>
      </c>
      <c r="AW83" s="6189" cm="1">
        <f t="array" ref="AW83">IF(AK83&lt;&gt;1,0,IF(OR(AU83="",N(AU83)&lt;=0.000000001),"",IF(OR(AO83="",N(AO83)&lt;=0.000000001),0,IF(ISNUMBER(AU83),IFERROR(_xlfn.LET(_xlpm.ai_test,TRIM(AJ83),_xlpm.r,IFERROR(_xlfn.XLOOKUP(_xlpm.ai_test,$BJ$15:$BJ$62,ROW($BJ$15:$BJ$62),0,1),IFERROR(_xlfn.XLOOKUP(_xlpm.ai_test,$BK$15:$BK$62,ROW($BK$15:$BK$62),0,1),_xlfn.XLOOKUP(_xlpm.ai_test,$BL$15:$BL$62,ROW($BL$15:$BL$62),0,1))),_xlpm.p,_xlpm.r-MIN(ROW($BJ$15:$BJ$62))+1,_xlpm.f,INDEX($BM$15:$BM$62,_xlpm.p),_xlpm.u,INDEX($BN$15:$BN$62,_xlpm.p),_xlpm.s,INDEX($BP$15:$BP$62,_xlpm.p),_xlpm.q,N(AU83)/_xlpm.f,IF(_xlpm.q&gt;=_xlpm.s,ROUND(_xlpm.q,1)&amp;" "&amp;_xlpm.ai_test&amp;" = "&amp;ROUND(_xlpm.q*_xlpm.f,1)&amp;" "&amp;_xlpm.u,ROUND(_xlpm.q,1)&amp;" "&amp;_xlpm.ai_test)),""),""))))</f>
        <v>0</v>
      </c>
      <c r="AX83" s="6218"/>
      <c r="AY83" s="6272">
        <f t="shared" si="30"/>
        <v>0</v>
      </c>
      <c r="AZ83" s="6240" t="str">
        <f t="shared" si="31"/>
        <v/>
      </c>
      <c r="BA83" s="6195">
        <f t="shared" si="37"/>
        <v>0</v>
      </c>
      <c r="BB83" s="6193" t="str">
        <f t="shared" si="32"/>
        <v/>
      </c>
      <c r="BC83" s="6219">
        <v>1.5</v>
      </c>
      <c r="BD83" s="6222">
        <f t="shared" si="39"/>
        <v>0</v>
      </c>
      <c r="BE83" s="6220" t="str">
        <f t="shared" si="34"/>
        <v/>
      </c>
      <c r="BF83" s="4" t="s">
        <v>1</v>
      </c>
      <c r="BG83" s="6196">
        <f t="shared" si="35"/>
        <v>0</v>
      </c>
      <c r="BH83" s="6197">
        <f t="shared" si="36"/>
        <v>0</v>
      </c>
      <c r="BJ83" s="6920"/>
      <c r="BK83" s="6921"/>
      <c r="BL83" s="6921"/>
      <c r="BM83" s="6921"/>
      <c r="BN83" s="6921"/>
      <c r="BO83" s="6921"/>
      <c r="BP83" s="6921"/>
      <c r="BQ83" s="6921"/>
      <c r="BR83" s="6921"/>
      <c r="BS83" s="6921"/>
      <c r="BT83" s="6921"/>
      <c r="BU83" s="6921"/>
      <c r="BV83" s="6922"/>
      <c r="BW83"/>
      <c r="BX83" s="20" t="str">
        <f t="shared" si="46"/>
        <v>►</v>
      </c>
      <c r="BY83" s="5950"/>
      <c r="BZ83" s="5950"/>
      <c r="CA83" s="5950"/>
      <c r="CB83" s="5950"/>
      <c r="CC83" s="5950"/>
      <c r="CD83" s="5661"/>
      <c r="CE83"/>
      <c r="CF83"/>
      <c r="CG83"/>
      <c r="CH83"/>
      <c r="CI83"/>
      <c r="CJ83"/>
      <c r="CK83"/>
      <c r="CM83"/>
      <c r="CN83"/>
      <c r="CO83"/>
      <c r="CP83"/>
      <c r="CQ83"/>
      <c r="CR83"/>
      <c r="CS83"/>
      <c r="CU83"/>
      <c r="CV83"/>
      <c r="CW83"/>
      <c r="CX83"/>
      <c r="CY83"/>
      <c r="CZ83"/>
      <c r="DA83"/>
      <c r="DC83" s="5">
        <v>1</v>
      </c>
    </row>
    <row r="84" spans="1:107" s="1" customFormat="1" ht="21" customHeight="1">
      <c r="A84" s="5641" t="s">
        <v>1</v>
      </c>
      <c r="B84" s="5662" t="str">
        <f t="shared" si="45"/>
        <v>►</v>
      </c>
      <c r="C84" s="5825" cm="1">
        <f t="array" ref="C84">SUMPRODUCT(LEN(D84:J84))</f>
        <v>0</v>
      </c>
      <c r="D84" s="5275"/>
      <c r="E84" s="1361"/>
      <c r="F84" s="1361"/>
      <c r="G84" s="1361"/>
      <c r="H84" s="1361"/>
      <c r="I84" s="1361"/>
      <c r="J84" s="5276"/>
      <c r="K84" s="106" t="s">
        <v>1</v>
      </c>
      <c r="L84" s="1021" t="s">
        <v>26</v>
      </c>
      <c r="M84" s="6787"/>
      <c r="N84" s="6787"/>
      <c r="O84" s="6787"/>
      <c r="P84" s="6788"/>
      <c r="Q84" s="6789"/>
      <c r="R84" s="6790"/>
      <c r="S84" s="6786"/>
      <c r="T84" s="6791"/>
      <c r="U84" s="6844"/>
      <c r="V84" s="6791"/>
      <c r="W84" s="8487"/>
      <c r="X84" s="6871"/>
      <c r="Y84" s="6793"/>
      <c r="Z84" s="6794"/>
      <c r="AA84" s="6795"/>
      <c r="AB84" s="6796"/>
      <c r="AC84" s="6797"/>
      <c r="AD84" s="6798"/>
      <c r="AE84" s="4" t="s">
        <v>1</v>
      </c>
      <c r="AF84" s="6202" t="str">
        <f t="shared" si="16"/>
        <v>►</v>
      </c>
      <c r="AG84" s="6234" t="str">
        <f t="shared" si="17"/>
        <v/>
      </c>
      <c r="AH84" s="6732" t="str">
        <f t="shared" si="18"/>
        <v/>
      </c>
      <c r="AI84" s="6234" t="str">
        <f t="shared" si="19"/>
        <v/>
      </c>
      <c r="AJ84" s="6732" t="str">
        <f t="shared" si="20"/>
        <v/>
      </c>
      <c r="AK84" s="6732">
        <f t="shared" si="21"/>
        <v>0</v>
      </c>
      <c r="AL84" s="6854" t="str" cm="1">
        <f t="array" ref="AL84">IF(AF84&lt;&gt;"A","",IFERROR((IFERROR(_xlfn.XLOOKUP(TRIM(SUBSTITUTE(U84,CHAR(160)," ")),$BJ$15:$BJ$62,$BM$15:$BM$62),IFERROR(_xlfn.XLOOKUP(TRIM(SUBSTITUTE(U84,CHAR(160)," ")),$BK$15:$BK$62,$BM$15:$BM$62),_xlfn.XLOOKUP(TRIM(SUBSTITUTE(U84,CHAR(160)," ")),$BL$15:$BL$62,$BM$15:$BM$62))))*T84*IF(ISBLANK(Q84),1,Q84)+IFERROR(_xlfn.XLOOKUP("RECHERCHEX",TRIM(L84:AD84),L84:AD84),0),0))</f>
        <v/>
      </c>
      <c r="AM84" s="6229">
        <f t="shared" si="22"/>
        <v>0</v>
      </c>
      <c r="AN84" s="6857" t="str">
        <f t="shared" si="41"/>
        <v/>
      </c>
      <c r="AO84" s="392">
        <f t="shared" si="24"/>
        <v>0</v>
      </c>
      <c r="AP84" s="392">
        <f t="shared" si="25"/>
        <v>0</v>
      </c>
      <c r="AQ84" s="6190">
        <f t="shared" si="26"/>
        <v>0</v>
      </c>
      <c r="AR84" s="6858" t="str">
        <f t="shared" si="27"/>
        <v/>
      </c>
      <c r="AS84" s="6856"/>
      <c r="AT84" s="6275"/>
      <c r="AU84" s="6271">
        <f t="shared" si="28"/>
        <v>0</v>
      </c>
      <c r="AV84" s="6242">
        <f t="shared" si="29"/>
        <v>0</v>
      </c>
      <c r="AW84" s="6188" cm="1">
        <f t="array" ref="AW84">IF(AK84&lt;&gt;1,0,IF(OR(AU84="",N(AU84)&lt;=0.000000001),"",IF(OR(AO84="",N(AO84)&lt;=0.000000001),0,IF(ISNUMBER(AU84),IFERROR(_xlfn.LET(_xlpm.ai_test,TRIM(AJ84),_xlpm.r,IFERROR(_xlfn.XLOOKUP(_xlpm.ai_test,$BJ$15:$BJ$62,ROW($BJ$15:$BJ$62),0,1),IFERROR(_xlfn.XLOOKUP(_xlpm.ai_test,$BK$15:$BK$62,ROW($BK$15:$BK$62),0,1),_xlfn.XLOOKUP(_xlpm.ai_test,$BL$15:$BL$62,ROW($BL$15:$BL$62),0,1))),_xlpm.p,_xlpm.r-MIN(ROW($BJ$15:$BJ$62))+1,_xlpm.f,INDEX($BM$15:$BM$62,_xlpm.p),_xlpm.u,INDEX($BN$15:$BN$62,_xlpm.p),_xlpm.s,INDEX($BP$15:$BP$62,_xlpm.p),_xlpm.q,N(AU84)/_xlpm.f,IF(_xlpm.q&gt;=_xlpm.s,ROUND(_xlpm.q,1)&amp;" "&amp;_xlpm.ai_test&amp;" = "&amp;ROUND(_xlpm.q*_xlpm.f,1)&amp;" "&amp;_xlpm.u,ROUND(_xlpm.q,1)&amp;" "&amp;_xlpm.ai_test)),""),""))))</f>
        <v>0</v>
      </c>
      <c r="AX84" s="6218"/>
      <c r="AY84" s="6271">
        <f t="shared" si="30"/>
        <v>0</v>
      </c>
      <c r="AZ84" s="6242" t="str">
        <f t="shared" si="31"/>
        <v/>
      </c>
      <c r="BA84" s="6194">
        <f t="shared" si="37"/>
        <v>0</v>
      </c>
      <c r="BB84" s="6192" t="str">
        <f t="shared" si="32"/>
        <v/>
      </c>
      <c r="BC84" s="6219">
        <v>1.5</v>
      </c>
      <c r="BD84" s="6221">
        <f t="shared" si="39"/>
        <v>0</v>
      </c>
      <c r="BE84" s="6220" t="str">
        <f t="shared" si="34"/>
        <v/>
      </c>
      <c r="BF84" s="4" t="s">
        <v>1</v>
      </c>
      <c r="BG84" s="6196">
        <f t="shared" si="35"/>
        <v>0</v>
      </c>
      <c r="BH84" s="6197">
        <f t="shared" si="36"/>
        <v>0</v>
      </c>
      <c r="BJ84" s="1" t="s">
        <v>10684</v>
      </c>
      <c r="BW84"/>
      <c r="BX84" s="20" t="str">
        <f t="shared" si="46"/>
        <v>►</v>
      </c>
      <c r="BY84" s="6245" t="s">
        <v>65</v>
      </c>
      <c r="BZ84" s="6244"/>
      <c r="CA84" s="6244"/>
      <c r="CB84" s="6244"/>
      <c r="CC84" s="6244"/>
      <c r="CD84" s="5661"/>
      <c r="CE84"/>
      <c r="CF84"/>
      <c r="CG84"/>
      <c r="CH84"/>
      <c r="CI84"/>
      <c r="CJ84"/>
      <c r="CK84"/>
      <c r="CM84"/>
      <c r="CN84"/>
      <c r="CO84"/>
      <c r="CP84"/>
      <c r="CQ84"/>
      <c r="CR84"/>
      <c r="CS84"/>
      <c r="CU84"/>
      <c r="CV84"/>
      <c r="CW84"/>
      <c r="CX84"/>
      <c r="CY84"/>
      <c r="CZ84"/>
      <c r="DA84"/>
      <c r="DC84" s="5">
        <v>1</v>
      </c>
    </row>
    <row r="85" spans="1:107" s="1" customFormat="1" ht="21" customHeight="1">
      <c r="A85" s="5641" t="s">
        <v>1</v>
      </c>
      <c r="B85" s="5662" t="str">
        <f t="shared" si="45"/>
        <v>►</v>
      </c>
      <c r="C85" s="5825" cm="1">
        <f t="array" ref="C85">SUMPRODUCT(LEN(D85:J85))</f>
        <v>0</v>
      </c>
      <c r="D85" s="5275"/>
      <c r="E85" s="1361"/>
      <c r="F85" s="1361"/>
      <c r="G85" s="1361"/>
      <c r="H85" s="1361"/>
      <c r="I85" s="1361"/>
      <c r="J85" s="5276"/>
      <c r="K85" s="106" t="s">
        <v>1</v>
      </c>
      <c r="L85" s="1021" t="s">
        <v>26</v>
      </c>
      <c r="M85" s="6787"/>
      <c r="N85" s="6787"/>
      <c r="O85" s="6787"/>
      <c r="P85" s="6788"/>
      <c r="Q85" s="6789"/>
      <c r="R85" s="6790"/>
      <c r="S85" s="6786"/>
      <c r="T85" s="6791"/>
      <c r="U85" s="6844"/>
      <c r="V85" s="6791"/>
      <c r="W85" s="8487"/>
      <c r="X85" s="6871"/>
      <c r="Y85" s="6793"/>
      <c r="Z85" s="6794"/>
      <c r="AA85" s="6795"/>
      <c r="AB85" s="6796"/>
      <c r="AC85" s="6797"/>
      <c r="AD85" s="6798"/>
      <c r="AE85" s="4" t="s">
        <v>1</v>
      </c>
      <c r="AF85" s="6202" t="str">
        <f t="shared" si="16"/>
        <v>►</v>
      </c>
      <c r="AG85" s="6234" t="str">
        <f t="shared" si="17"/>
        <v/>
      </c>
      <c r="AH85" s="6732" t="str">
        <f t="shared" si="18"/>
        <v/>
      </c>
      <c r="AI85" s="6234" t="str">
        <f t="shared" si="19"/>
        <v/>
      </c>
      <c r="AJ85" s="6732" t="str">
        <f t="shared" si="20"/>
        <v/>
      </c>
      <c r="AK85" s="6732">
        <f t="shared" si="21"/>
        <v>0</v>
      </c>
      <c r="AL85" s="6230" t="str" cm="1">
        <f t="array" ref="AL85">IF(AF85&lt;&gt;"A","",IFERROR((IFERROR(_xlfn.XLOOKUP(TRIM(SUBSTITUTE(U85,CHAR(160)," ")),$BJ$15:$BJ$62,$BM$15:$BM$62),IFERROR(_xlfn.XLOOKUP(TRIM(SUBSTITUTE(U85,CHAR(160)," ")),$BK$15:$BK$62,$BM$15:$BM$62),_xlfn.XLOOKUP(TRIM(SUBSTITUTE(U85,CHAR(160)," ")),$BL$15:$BL$62,$BM$15:$BM$62))))*T85*IF(ISBLANK(Q85),1,Q85)+IFERROR(_xlfn.XLOOKUP("RECHERCHEX",TRIM(L85:AD85),L85:AD85),0),0))</f>
        <v/>
      </c>
      <c r="AM85" s="6229">
        <f t="shared" si="22"/>
        <v>0</v>
      </c>
      <c r="AN85" s="6857" t="str">
        <f t="shared" si="41"/>
        <v/>
      </c>
      <c r="AO85" s="392">
        <f t="shared" si="24"/>
        <v>0</v>
      </c>
      <c r="AP85" s="392">
        <f t="shared" si="25"/>
        <v>0</v>
      </c>
      <c r="AQ85" s="6191">
        <f t="shared" si="26"/>
        <v>0</v>
      </c>
      <c r="AR85" s="6859" t="str">
        <f t="shared" si="27"/>
        <v/>
      </c>
      <c r="AS85" s="6217"/>
      <c r="AT85" s="6217"/>
      <c r="AU85" s="6272">
        <f t="shared" si="28"/>
        <v>0</v>
      </c>
      <c r="AV85" s="6240">
        <f t="shared" si="29"/>
        <v>0</v>
      </c>
      <c r="AW85" s="6189" cm="1">
        <f t="array" ref="AW85">IF(AK85&lt;&gt;1,0,IF(OR(AU85="",N(AU85)&lt;=0.000000001),"",IF(OR(AO85="",N(AO85)&lt;=0.000000001),0,IF(ISNUMBER(AU85),IFERROR(_xlfn.LET(_xlpm.ai_test,TRIM(AJ85),_xlpm.r,IFERROR(_xlfn.XLOOKUP(_xlpm.ai_test,$BJ$15:$BJ$62,ROW($BJ$15:$BJ$62),0,1),IFERROR(_xlfn.XLOOKUP(_xlpm.ai_test,$BK$15:$BK$62,ROW($BK$15:$BK$62),0,1),_xlfn.XLOOKUP(_xlpm.ai_test,$BL$15:$BL$62,ROW($BL$15:$BL$62),0,1))),_xlpm.p,_xlpm.r-MIN(ROW($BJ$15:$BJ$62))+1,_xlpm.f,INDEX($BM$15:$BM$62,_xlpm.p),_xlpm.u,INDEX($BN$15:$BN$62,_xlpm.p),_xlpm.s,INDEX($BP$15:$BP$62,_xlpm.p),_xlpm.q,N(AU85)/_xlpm.f,IF(_xlpm.q&gt;=_xlpm.s,ROUND(_xlpm.q,1)&amp;" "&amp;_xlpm.ai_test&amp;" = "&amp;ROUND(_xlpm.q*_xlpm.f,1)&amp;" "&amp;_xlpm.u,ROUND(_xlpm.q,1)&amp;" "&amp;_xlpm.ai_test)),""),""))))</f>
        <v>0</v>
      </c>
      <c r="AX85" s="6218"/>
      <c r="AY85" s="6272">
        <f t="shared" si="30"/>
        <v>0</v>
      </c>
      <c r="AZ85" s="6240" t="str">
        <f t="shared" si="31"/>
        <v/>
      </c>
      <c r="BA85" s="6195">
        <f t="shared" si="37"/>
        <v>0</v>
      </c>
      <c r="BB85" s="6193" t="str">
        <f t="shared" si="32"/>
        <v/>
      </c>
      <c r="BC85" s="6219">
        <v>1.5</v>
      </c>
      <c r="BD85" s="6222">
        <f t="shared" si="39"/>
        <v>0</v>
      </c>
      <c r="BE85" s="6220" t="str">
        <f t="shared" si="34"/>
        <v/>
      </c>
      <c r="BF85" s="4" t="s">
        <v>1</v>
      </c>
      <c r="BG85" s="6196">
        <f t="shared" si="35"/>
        <v>0</v>
      </c>
      <c r="BH85" s="6197">
        <f t="shared" si="36"/>
        <v>0</v>
      </c>
      <c r="BJ85" s="6699" t="s">
        <v>219</v>
      </c>
      <c r="BK85" s="6283" t="s">
        <v>130</v>
      </c>
      <c r="BL85" s="6291" t="s">
        <v>9687</v>
      </c>
      <c r="BM85" s="6287" t="s">
        <v>9603</v>
      </c>
      <c r="BN85" s="6287" t="s">
        <v>9607</v>
      </c>
      <c r="BO85" s="6287" t="s">
        <v>9605</v>
      </c>
      <c r="BP85" s="6702" t="s">
        <v>88</v>
      </c>
      <c r="BQ85" s="6285" t="s">
        <v>172</v>
      </c>
      <c r="BR85" s="6285" t="s">
        <v>170</v>
      </c>
      <c r="BS85" s="6702" t="s">
        <v>166</v>
      </c>
      <c r="BT85" s="6286" t="s">
        <v>9615</v>
      </c>
      <c r="BU85" s="6286" t="s">
        <v>9619</v>
      </c>
      <c r="BV85" s="6286" t="s">
        <v>9621</v>
      </c>
      <c r="BW85"/>
      <c r="BX85" s="20" t="str">
        <f t="shared" si="46"/>
        <v>►</v>
      </c>
      <c r="BY85" s="6312" t="s">
        <v>63</v>
      </c>
      <c r="BZ85" s="6244"/>
      <c r="CA85" s="6244"/>
      <c r="CB85" s="6244"/>
      <c r="CC85" s="6244"/>
      <c r="CD85" s="5661"/>
      <c r="CE85"/>
      <c r="CF85"/>
      <c r="CG85"/>
      <c r="CH85"/>
      <c r="CI85"/>
      <c r="CJ85"/>
      <c r="CK85"/>
      <c r="CM85"/>
      <c r="CN85"/>
      <c r="CO85"/>
      <c r="CP85"/>
      <c r="CQ85"/>
      <c r="CR85"/>
      <c r="CS85"/>
      <c r="CU85"/>
      <c r="CV85"/>
      <c r="CW85"/>
      <c r="CX85"/>
      <c r="CY85"/>
      <c r="CZ85"/>
      <c r="DA85"/>
      <c r="DC85" s="5">
        <v>1</v>
      </c>
    </row>
    <row r="86" spans="1:107" s="1" customFormat="1" ht="21" customHeight="1">
      <c r="A86" s="5641" t="s">
        <v>1</v>
      </c>
      <c r="B86" s="5662" t="str">
        <f t="shared" si="45"/>
        <v>►</v>
      </c>
      <c r="C86" s="5825" cm="1">
        <f t="array" ref="C86">SUMPRODUCT(LEN(D86:J86))</f>
        <v>0</v>
      </c>
      <c r="D86" s="5275"/>
      <c r="E86" s="1361"/>
      <c r="F86" s="1361"/>
      <c r="G86" s="1361"/>
      <c r="H86" s="1361"/>
      <c r="I86" s="1361"/>
      <c r="J86" s="5276"/>
      <c r="K86" s="106" t="s">
        <v>1</v>
      </c>
      <c r="L86" s="1021" t="s">
        <v>26</v>
      </c>
      <c r="M86" s="6787"/>
      <c r="N86" s="6787"/>
      <c r="O86" s="6787"/>
      <c r="P86" s="6788"/>
      <c r="Q86" s="6789"/>
      <c r="R86" s="6790"/>
      <c r="S86" s="6786"/>
      <c r="T86" s="6791"/>
      <c r="U86" s="6844"/>
      <c r="V86" s="6791"/>
      <c r="W86" s="8487"/>
      <c r="X86" s="6871"/>
      <c r="Y86" s="6793"/>
      <c r="Z86" s="6794"/>
      <c r="AA86" s="6795"/>
      <c r="AB86" s="6796"/>
      <c r="AC86" s="6797"/>
      <c r="AD86" s="6798"/>
      <c r="AE86" s="4" t="s">
        <v>1</v>
      </c>
      <c r="AF86" s="6202" t="str">
        <f t="shared" ref="AF86:AF149" si="47">IF(OR(AO86&gt;0,TRIM(AG86)="▼ recette suivante"),"A","►")</f>
        <v>►</v>
      </c>
      <c r="AG86" s="6234" t="str">
        <f t="shared" ref="AG86:AG149" si="48">IF(TRIM(Q86)="Adresse PC","▼ recette suivante",IF(AO86&gt;0,M86,""))</f>
        <v/>
      </c>
      <c r="AH86" s="6732" t="str">
        <f t="shared" ref="AH86:AH149" si="49">IF(AF86="A",N86,"")</f>
        <v/>
      </c>
      <c r="AI86" s="6234" t="str">
        <f t="shared" ref="AI86:AI149" si="50">IF(AF86="A",O86,"")</f>
        <v/>
      </c>
      <c r="AJ86" s="6732" t="str">
        <f t="shared" ref="AJ86:AJ149" si="51">IF(AF86="A",U86,"")</f>
        <v/>
      </c>
      <c r="AK86" s="6732">
        <f t="shared" ref="AK86:AK149" si="52">IF(AND(L86="A",COUNTIF($BJ$15:$BL$62,TRIM(U86))&gt;0),1,0)</f>
        <v>0</v>
      </c>
      <c r="AL86" s="6230" t="str" cm="1">
        <f t="array" ref="AL86">IF(AF86&lt;&gt;"A","",IFERROR((IFERROR(_xlfn.XLOOKUP(TRIM(SUBSTITUTE(U86,CHAR(160)," ")),$BJ$15:$BJ$62,$BM$15:$BM$62),IFERROR(_xlfn.XLOOKUP(TRIM(SUBSTITUTE(U86,CHAR(160)," ")),$BK$15:$BK$62,$BM$15:$BM$62),_xlfn.XLOOKUP(TRIM(SUBSTITUTE(U86,CHAR(160)," ")),$BL$15:$BL$62,$BM$15:$BM$62))))*T86*IF(ISBLANK(Q86),1,Q86)+IFERROR(_xlfn.XLOOKUP("RECHERCHEX",TRIM(L86:AD86),L86:AD86),0),0))</f>
        <v/>
      </c>
      <c r="AM86" s="6229">
        <f t="shared" ref="AM86:AM149" si="53">IF(AK86,IF(AL86&gt;0,"Kg",0),0)</f>
        <v>0</v>
      </c>
      <c r="AN86" s="6857" t="str">
        <f t="shared" si="41"/>
        <v/>
      </c>
      <c r="AO86" s="392">
        <f t="shared" ref="AO86:AO149" si="54">IF(AK86,N86,0)</f>
        <v>0</v>
      </c>
      <c r="AP86" s="392">
        <f t="shared" ref="AP86:AP149" si="55">IF(AK86,O86,0)</f>
        <v>0</v>
      </c>
      <c r="AQ86" s="6190">
        <f t="shared" ref="AQ86:AQ149" si="56">IF(AO86&gt;0,AS$9,0)</f>
        <v>0</v>
      </c>
      <c r="AR86" s="6858" t="str">
        <f t="shared" ref="AR86:AR149" si="57">IF(TRIM(AG86)="▼ recette suivante", AG86, IF(AQ86&gt;0, IF(AT$9&lt;&gt;"", AT$9&amp;"-ou.or.o ❾ + or - &gt;", ""), ""))</f>
        <v/>
      </c>
      <c r="AS86" s="6217"/>
      <c r="AT86" s="6217"/>
      <c r="AU86" s="6271">
        <f t="shared" ref="AU86:AU149" si="58">IF(TRIM(AM86)="Kg",N(AL86)*N(BH86),0)</f>
        <v>0</v>
      </c>
      <c r="AV86" s="6242">
        <f t="shared" ref="AV86:AV149" si="59">IF(AK86,IF(OR(AU86="",N(AU86)&lt;=0.000000001),"",_xlfn.XLOOKUP(AJ86,$BJ$15:$BJ$62,$BN$15:$BN$62,_xlfn.XLOOKUP(AJ86,$BK$15:$BK$62,$BN$15:$BN$62,_xlfn.XLOOKUP(AJ86,$BL$15:$BL$62,$BN$15:$BN$62,"")))),0)</f>
        <v>0</v>
      </c>
      <c r="AW86" s="6188" cm="1">
        <f t="array" ref="AW86">IF(AK86&lt;&gt;1,0,IF(OR(AU86="",N(AU86)&lt;=0.000000001),"",IF(OR(AO86="",N(AO86)&lt;=0.000000001),0,IF(ISNUMBER(AU86),IFERROR(_xlfn.LET(_xlpm.ai_test,TRIM(AJ86),_xlpm.r,IFERROR(_xlfn.XLOOKUP(_xlpm.ai_test,$BJ$15:$BJ$62,ROW($BJ$15:$BJ$62),0,1),IFERROR(_xlfn.XLOOKUP(_xlpm.ai_test,$BK$15:$BK$62,ROW($BK$15:$BK$62),0,1),_xlfn.XLOOKUP(_xlpm.ai_test,$BL$15:$BL$62,ROW($BL$15:$BL$62),0,1))),_xlpm.p,_xlpm.r-MIN(ROW($BJ$15:$BJ$62))+1,_xlpm.f,INDEX($BM$15:$BM$62,_xlpm.p),_xlpm.u,INDEX($BN$15:$BN$62,_xlpm.p),_xlpm.s,INDEX($BP$15:$BP$62,_xlpm.p),_xlpm.q,N(AU86)/_xlpm.f,IF(_xlpm.q&gt;=_xlpm.s,ROUND(_xlpm.q,1)&amp;" "&amp;_xlpm.ai_test&amp;" = "&amp;ROUND(_xlpm.q*_xlpm.f,1)&amp;" "&amp;_xlpm.u,ROUND(_xlpm.q,1)&amp;" "&amp;_xlpm.ai_test)),""),""))))</f>
        <v>0</v>
      </c>
      <c r="AX86" s="6218"/>
      <c r="AY86" s="6271">
        <f t="shared" ref="AY86:AY149" si="60">IF(TRIM(AG86)="▼ recette suivante","▼next recipe ",IF(AU86="","",IF(ISBLANK(AX86),AU86,ROUND(AU86*(1-MIN(1,MAX(0,IF(AX86&gt;1,AX86/100,AX86)))),3))))</f>
        <v>0</v>
      </c>
      <c r="AZ86" s="6242" t="str">
        <f t="shared" ref="AZ86:AZ149" si="61">IF(AK86,AV86,"")</f>
        <v/>
      </c>
      <c r="BA86" s="6194">
        <f t="shared" si="37"/>
        <v>0</v>
      </c>
      <c r="BB86" s="6192" t="str">
        <f t="shared" ref="BB86:BB149" si="62">IF(AK86,IF(N(BA86)&gt;0.000000001,R86,""),"")</f>
        <v/>
      </c>
      <c r="BC86" s="6219"/>
      <c r="BD86" s="6221">
        <f t="shared" si="39"/>
        <v>0</v>
      </c>
      <c r="BE86" s="6220" t="str">
        <f t="shared" ref="BE86:BE149" si="63">IF(IFERROR(SEARCH("Adresse PC",TRIM(Q86)),0)&gt;0,"▼ receta siguiente",IF(AY86&gt;0,W86,""))</f>
        <v/>
      </c>
      <c r="BF86" s="4" t="s">
        <v>1</v>
      </c>
      <c r="BG86" s="6196">
        <f t="shared" ref="BG86:BG149" si="64">IFERROR(_xlfn.LET(_xlpm.EPS,0.000000001,_xlpm.b,Q86/AO86,IF(ISNUMBER(AS86),_xlpm.b*AS86,IF(OR(ISBLANK(AS86),AS86=""),_xlpm.b*AQ86,IF(AND(BH86=0,ISNUMBER(Q86)),_xlpm.b/AQ86,0)))),0)</f>
        <v>0</v>
      </c>
      <c r="BH86" s="6197">
        <f t="shared" ref="BH86:BH149" si="65">IF(AL86&gt;0,IFERROR(IF(OR(ISBLANK(AS86),AS86=""),AQ86,AS86)/AO86,0),0)</f>
        <v>0</v>
      </c>
      <c r="BJ86" s="6706">
        <v>1</v>
      </c>
      <c r="BK86" s="6707">
        <v>1E-3</v>
      </c>
      <c r="BL86" s="6708">
        <v>0</v>
      </c>
      <c r="BM86" s="6707">
        <v>0.25</v>
      </c>
      <c r="BN86" s="6707">
        <v>0.33332999999999996</v>
      </c>
      <c r="BO86" s="6707">
        <v>0.5</v>
      </c>
      <c r="BP86" s="6709">
        <v>1</v>
      </c>
      <c r="BQ86" s="6709">
        <v>0.1</v>
      </c>
      <c r="BR86" s="6709">
        <v>0.01</v>
      </c>
      <c r="BS86" s="6709">
        <v>1E-3</v>
      </c>
      <c r="BT86" s="6709">
        <v>0.5</v>
      </c>
      <c r="BU86" s="6709">
        <v>0.33300000000000002</v>
      </c>
      <c r="BV86" s="6710">
        <v>0.2</v>
      </c>
      <c r="BW86"/>
      <c r="BX86" s="20" t="str">
        <f t="shared" si="46"/>
        <v>►</v>
      </c>
      <c r="BY86" s="6313" t="s">
        <v>9676</v>
      </c>
      <c r="BZ86" s="6244"/>
      <c r="CA86" s="6244"/>
      <c r="CB86" s="6244"/>
      <c r="CC86" s="6244"/>
      <c r="CD86" s="5661"/>
      <c r="CE86"/>
      <c r="CF86"/>
      <c r="CG86"/>
      <c r="CH86"/>
      <c r="CI86"/>
      <c r="CJ86"/>
      <c r="CK86"/>
      <c r="CM86"/>
      <c r="CN86"/>
      <c r="CO86"/>
      <c r="CP86"/>
      <c r="CQ86"/>
      <c r="CR86"/>
      <c r="CS86"/>
      <c r="CU86"/>
      <c r="CV86"/>
      <c r="CW86"/>
      <c r="CX86"/>
      <c r="CY86"/>
      <c r="CZ86"/>
      <c r="DA86"/>
      <c r="DC86" s="5">
        <v>1</v>
      </c>
    </row>
    <row r="87" spans="1:107" s="1" customFormat="1" ht="21" customHeight="1">
      <c r="A87" s="5641" t="s">
        <v>1</v>
      </c>
      <c r="B87" s="5662" t="str">
        <f t="shared" si="45"/>
        <v>►</v>
      </c>
      <c r="C87" s="5825" cm="1">
        <f t="array" ref="C87">SUMPRODUCT(LEN(D87:J87))</f>
        <v>0</v>
      </c>
      <c r="D87" s="5275"/>
      <c r="E87" s="1361"/>
      <c r="F87" s="1361"/>
      <c r="G87" s="1361"/>
      <c r="H87" s="1361"/>
      <c r="I87" s="1361"/>
      <c r="J87" s="5276"/>
      <c r="K87" s="106" t="s">
        <v>1</v>
      </c>
      <c r="L87" s="1021" t="s">
        <v>26</v>
      </c>
      <c r="M87" s="6787"/>
      <c r="N87" s="6787"/>
      <c r="O87" s="6787"/>
      <c r="P87" s="6788"/>
      <c r="Q87" s="6789"/>
      <c r="R87" s="6790"/>
      <c r="S87" s="6786"/>
      <c r="T87" s="6791"/>
      <c r="U87" s="6844"/>
      <c r="V87" s="6791"/>
      <c r="W87" s="8487"/>
      <c r="X87" s="6871"/>
      <c r="Y87" s="6793"/>
      <c r="Z87" s="6794"/>
      <c r="AA87" s="6795"/>
      <c r="AB87" s="6796"/>
      <c r="AC87" s="6797"/>
      <c r="AD87" s="6798"/>
      <c r="AE87" s="4" t="s">
        <v>1</v>
      </c>
      <c r="AF87" s="6202" t="str">
        <f t="shared" si="47"/>
        <v>►</v>
      </c>
      <c r="AG87" s="6234" t="str">
        <f t="shared" si="48"/>
        <v/>
      </c>
      <c r="AH87" s="6732" t="str">
        <f t="shared" si="49"/>
        <v/>
      </c>
      <c r="AI87" s="6234" t="str">
        <f t="shared" si="50"/>
        <v/>
      </c>
      <c r="AJ87" s="6732" t="str">
        <f t="shared" si="51"/>
        <v/>
      </c>
      <c r="AK87" s="6732">
        <f t="shared" si="52"/>
        <v>0</v>
      </c>
      <c r="AL87" s="6230" t="str" cm="1">
        <f t="array" ref="AL87">IF(AF87&lt;&gt;"A","",IFERROR((IFERROR(_xlfn.XLOOKUP(TRIM(SUBSTITUTE(U87,CHAR(160)," ")),$BJ$15:$BJ$62,$BM$15:$BM$62),IFERROR(_xlfn.XLOOKUP(TRIM(SUBSTITUTE(U87,CHAR(160)," ")),$BK$15:$BK$62,$BM$15:$BM$62),_xlfn.XLOOKUP(TRIM(SUBSTITUTE(U87,CHAR(160)," ")),$BL$15:$BL$62,$BM$15:$BM$62))))*T87*IF(ISBLANK(Q87),1,Q87)+IFERROR(_xlfn.XLOOKUP("RECHERCHEX",TRIM(L87:AD87),L87:AD87),0),0))</f>
        <v/>
      </c>
      <c r="AM87" s="6229">
        <f t="shared" si="53"/>
        <v>0</v>
      </c>
      <c r="AN87" s="6857" t="str">
        <f t="shared" si="41"/>
        <v/>
      </c>
      <c r="AO87" s="392">
        <f t="shared" si="54"/>
        <v>0</v>
      </c>
      <c r="AP87" s="392">
        <f t="shared" si="55"/>
        <v>0</v>
      </c>
      <c r="AQ87" s="6191">
        <f t="shared" si="56"/>
        <v>0</v>
      </c>
      <c r="AR87" s="6859" t="str">
        <f t="shared" si="57"/>
        <v/>
      </c>
      <c r="AS87" s="6217"/>
      <c r="AT87" s="6217"/>
      <c r="AU87" s="6272">
        <f t="shared" si="58"/>
        <v>0</v>
      </c>
      <c r="AV87" s="6240">
        <f t="shared" si="59"/>
        <v>0</v>
      </c>
      <c r="AW87" s="6189" cm="1">
        <f t="array" ref="AW87">IF(AK87&lt;&gt;1,0,IF(OR(AU87="",N(AU87)&lt;=0.000000001),"",IF(OR(AO87="",N(AO87)&lt;=0.000000001),0,IF(ISNUMBER(AU87),IFERROR(_xlfn.LET(_xlpm.ai_test,TRIM(AJ87),_xlpm.r,IFERROR(_xlfn.XLOOKUP(_xlpm.ai_test,$BJ$15:$BJ$62,ROW($BJ$15:$BJ$62),0,1),IFERROR(_xlfn.XLOOKUP(_xlpm.ai_test,$BK$15:$BK$62,ROW($BK$15:$BK$62),0,1),_xlfn.XLOOKUP(_xlpm.ai_test,$BL$15:$BL$62,ROW($BL$15:$BL$62),0,1))),_xlpm.p,_xlpm.r-MIN(ROW($BJ$15:$BJ$62))+1,_xlpm.f,INDEX($BM$15:$BM$62,_xlpm.p),_xlpm.u,INDEX($BN$15:$BN$62,_xlpm.p),_xlpm.s,INDEX($BP$15:$BP$62,_xlpm.p),_xlpm.q,N(AU87)/_xlpm.f,IF(_xlpm.q&gt;=_xlpm.s,ROUND(_xlpm.q,1)&amp;" "&amp;_xlpm.ai_test&amp;" = "&amp;ROUND(_xlpm.q*_xlpm.f,1)&amp;" "&amp;_xlpm.u,ROUND(_xlpm.q,1)&amp;" "&amp;_xlpm.ai_test)),""),""))))</f>
        <v>0</v>
      </c>
      <c r="AX87" s="6218"/>
      <c r="AY87" s="6272">
        <f t="shared" si="60"/>
        <v>0</v>
      </c>
      <c r="AZ87" s="6240" t="str">
        <f t="shared" si="61"/>
        <v/>
      </c>
      <c r="BA87" s="6195">
        <f t="shared" ref="BA87:BA150" si="66">IF(ISNUMBER(BG87),IF(ABS(BG87)&lt;=0.000000001,0,BG87),0)</f>
        <v>0</v>
      </c>
      <c r="BB87" s="6193" t="str">
        <f t="shared" si="62"/>
        <v/>
      </c>
      <c r="BC87" s="6219"/>
      <c r="BD87" s="6222">
        <f t="shared" si="39"/>
        <v>0</v>
      </c>
      <c r="BE87" s="6220" t="str">
        <f t="shared" si="63"/>
        <v/>
      </c>
      <c r="BF87" s="4" t="s">
        <v>1</v>
      </c>
      <c r="BG87" s="6196">
        <f t="shared" si="64"/>
        <v>0</v>
      </c>
      <c r="BH87" s="6197">
        <f t="shared" si="65"/>
        <v>0</v>
      </c>
      <c r="BJ87" s="6289" t="s">
        <v>122</v>
      </c>
      <c r="BK87" s="6289" t="s">
        <v>9642</v>
      </c>
      <c r="BL87" s="6291" t="s">
        <v>9687</v>
      </c>
      <c r="BM87" s="6289" t="s">
        <v>9645</v>
      </c>
      <c r="BN87" s="6289" t="s">
        <v>9639</v>
      </c>
      <c r="BO87" s="6289" t="s">
        <v>9636</v>
      </c>
      <c r="BP87" s="6281" t="s">
        <v>9631</v>
      </c>
      <c r="BQ87" s="6281" t="s">
        <v>9688</v>
      </c>
      <c r="BR87" s="6281" t="s">
        <v>9689</v>
      </c>
      <c r="BS87" s="6286" t="s">
        <v>9690</v>
      </c>
      <c r="BT87" s="6286" t="s">
        <v>9617</v>
      </c>
      <c r="BU87" s="6286" t="s">
        <v>9623</v>
      </c>
      <c r="BV87" s="6755" t="s">
        <v>9691</v>
      </c>
      <c r="BW87"/>
      <c r="BX87" s="20" t="str">
        <f t="shared" si="46"/>
        <v>►</v>
      </c>
      <c r="BY87" s="6312" t="s">
        <v>58</v>
      </c>
      <c r="BZ87" s="6244"/>
      <c r="CA87" s="6244"/>
      <c r="CB87" s="6244"/>
      <c r="CC87" s="6244"/>
      <c r="CD87" s="5661"/>
      <c r="CE87"/>
      <c r="CF87"/>
      <c r="CG87"/>
      <c r="CH87"/>
      <c r="CI87"/>
      <c r="CJ87"/>
      <c r="CK87"/>
      <c r="CM87"/>
      <c r="CN87"/>
      <c r="CO87"/>
      <c r="CP87"/>
      <c r="CQ87"/>
      <c r="CR87"/>
      <c r="CS87"/>
      <c r="CU87"/>
      <c r="CV87"/>
      <c r="CW87"/>
      <c r="CX87"/>
      <c r="CY87"/>
      <c r="CZ87"/>
      <c r="DA87"/>
      <c r="DC87" s="5">
        <v>1</v>
      </c>
    </row>
    <row r="88" spans="1:107" s="1" customFormat="1" ht="21" customHeight="1">
      <c r="A88" s="5641" t="s">
        <v>1</v>
      </c>
      <c r="B88" s="5662" t="str">
        <f t="shared" si="45"/>
        <v>►</v>
      </c>
      <c r="C88" s="5825" cm="1">
        <f t="array" ref="C88">SUMPRODUCT(LEN(D88:J88))</f>
        <v>0</v>
      </c>
      <c r="D88" s="5275"/>
      <c r="E88" s="1361"/>
      <c r="F88" s="1361"/>
      <c r="G88" s="1361"/>
      <c r="H88" s="1361"/>
      <c r="I88" s="1361"/>
      <c r="J88" s="5276"/>
      <c r="K88" s="106" t="s">
        <v>1</v>
      </c>
      <c r="L88" s="1021" t="s">
        <v>26</v>
      </c>
      <c r="M88" s="6787"/>
      <c r="N88" s="6787"/>
      <c r="O88" s="6787"/>
      <c r="P88" s="6788"/>
      <c r="Q88" s="6789"/>
      <c r="R88" s="6790"/>
      <c r="S88" s="6786"/>
      <c r="T88" s="6791"/>
      <c r="U88" s="6844"/>
      <c r="V88" s="6791"/>
      <c r="W88" s="8487"/>
      <c r="X88" s="6871"/>
      <c r="Y88" s="6793"/>
      <c r="Z88" s="6794"/>
      <c r="AA88" s="6795"/>
      <c r="AB88" s="6796"/>
      <c r="AC88" s="6797"/>
      <c r="AD88" s="6798"/>
      <c r="AE88" s="4" t="s">
        <v>1</v>
      </c>
      <c r="AF88" s="6202" t="str">
        <f t="shared" si="47"/>
        <v>►</v>
      </c>
      <c r="AG88" s="6234" t="str">
        <f t="shared" si="48"/>
        <v/>
      </c>
      <c r="AH88" s="6732" t="str">
        <f t="shared" si="49"/>
        <v/>
      </c>
      <c r="AI88" s="6234" t="str">
        <f t="shared" si="50"/>
        <v/>
      </c>
      <c r="AJ88" s="6732" t="str">
        <f t="shared" si="51"/>
        <v/>
      </c>
      <c r="AK88" s="6732">
        <f t="shared" si="52"/>
        <v>0</v>
      </c>
      <c r="AL88" s="6230" t="str" cm="1">
        <f t="array" ref="AL88">IF(AF88&lt;&gt;"A","",IFERROR((IFERROR(_xlfn.XLOOKUP(TRIM(SUBSTITUTE(U88,CHAR(160)," ")),$BJ$15:$BJ$62,$BM$15:$BM$62),IFERROR(_xlfn.XLOOKUP(TRIM(SUBSTITUTE(U88,CHAR(160)," ")),$BK$15:$BK$62,$BM$15:$BM$62),_xlfn.XLOOKUP(TRIM(SUBSTITUTE(U88,CHAR(160)," ")),$BL$15:$BL$62,$BM$15:$BM$62))))*T88*IF(ISBLANK(Q88),1,Q88)+IFERROR(_xlfn.XLOOKUP("RECHERCHEX",TRIM(L88:AD88),L88:AD88),0),0))</f>
        <v/>
      </c>
      <c r="AM88" s="6229">
        <f t="shared" si="53"/>
        <v>0</v>
      </c>
      <c r="AN88" s="6857" t="str">
        <f t="shared" si="41"/>
        <v/>
      </c>
      <c r="AO88" s="392">
        <f t="shared" si="54"/>
        <v>0</v>
      </c>
      <c r="AP88" s="392">
        <f t="shared" si="55"/>
        <v>0</v>
      </c>
      <c r="AQ88" s="6190">
        <f t="shared" si="56"/>
        <v>0</v>
      </c>
      <c r="AR88" s="6858" t="str">
        <f t="shared" si="57"/>
        <v/>
      </c>
      <c r="AS88" s="6217"/>
      <c r="AT88" s="6217"/>
      <c r="AU88" s="6271">
        <f t="shared" si="58"/>
        <v>0</v>
      </c>
      <c r="AV88" s="6242">
        <f t="shared" si="59"/>
        <v>0</v>
      </c>
      <c r="AW88" s="6188" cm="1">
        <f t="array" ref="AW88">IF(AK88&lt;&gt;1,0,IF(OR(AU88="",N(AU88)&lt;=0.000000001),"",IF(OR(AO88="",N(AO88)&lt;=0.000000001),0,IF(ISNUMBER(AU88),IFERROR(_xlfn.LET(_xlpm.ai_test,TRIM(AJ88),_xlpm.r,IFERROR(_xlfn.XLOOKUP(_xlpm.ai_test,$BJ$15:$BJ$62,ROW($BJ$15:$BJ$62),0,1),IFERROR(_xlfn.XLOOKUP(_xlpm.ai_test,$BK$15:$BK$62,ROW($BK$15:$BK$62),0,1),_xlfn.XLOOKUP(_xlpm.ai_test,$BL$15:$BL$62,ROW($BL$15:$BL$62),0,1))),_xlpm.p,_xlpm.r-MIN(ROW($BJ$15:$BJ$62))+1,_xlpm.f,INDEX($BM$15:$BM$62,_xlpm.p),_xlpm.u,INDEX($BN$15:$BN$62,_xlpm.p),_xlpm.s,INDEX($BP$15:$BP$62,_xlpm.p),_xlpm.q,N(AU88)/_xlpm.f,IF(_xlpm.q&gt;=_xlpm.s,ROUND(_xlpm.q,1)&amp;" "&amp;_xlpm.ai_test&amp;" = "&amp;ROUND(_xlpm.q*_xlpm.f,1)&amp;" "&amp;_xlpm.u,ROUND(_xlpm.q,1)&amp;" "&amp;_xlpm.ai_test)),""),""))))</f>
        <v>0</v>
      </c>
      <c r="AX88" s="6218"/>
      <c r="AY88" s="6271">
        <f t="shared" si="60"/>
        <v>0</v>
      </c>
      <c r="AZ88" s="6242" t="str">
        <f t="shared" si="61"/>
        <v/>
      </c>
      <c r="BA88" s="6194">
        <f t="shared" si="66"/>
        <v>0</v>
      </c>
      <c r="BB88" s="6192" t="str">
        <f t="shared" si="62"/>
        <v/>
      </c>
      <c r="BC88" s="6219"/>
      <c r="BD88" s="6221">
        <f t="shared" si="39"/>
        <v>0</v>
      </c>
      <c r="BE88" s="6220" t="str">
        <f t="shared" si="63"/>
        <v/>
      </c>
      <c r="BF88" s="4" t="s">
        <v>1</v>
      </c>
      <c r="BG88" s="6196">
        <f t="shared" si="64"/>
        <v>0</v>
      </c>
      <c r="BH88" s="6197">
        <f t="shared" si="65"/>
        <v>0</v>
      </c>
      <c r="BJ88" s="6711">
        <v>2.835E-2</v>
      </c>
      <c r="BK88" s="6712">
        <v>0.13</v>
      </c>
      <c r="BL88" s="6713">
        <v>0</v>
      </c>
      <c r="BM88" s="6712">
        <v>0.2</v>
      </c>
      <c r="BN88" s="6712">
        <v>0.23</v>
      </c>
      <c r="BO88" s="6712">
        <v>0.22500000000000001</v>
      </c>
      <c r="BP88" s="6709">
        <v>0.35</v>
      </c>
      <c r="BQ88" s="6709">
        <v>5.0000000000000001E-3</v>
      </c>
      <c r="BR88" s="6709">
        <v>5.0000000000000001E-3</v>
      </c>
      <c r="BS88" s="6709">
        <v>1.4999999999999999E-2</v>
      </c>
      <c r="BT88" s="6709">
        <v>0.1</v>
      </c>
      <c r="BU88" s="6709">
        <v>0.22500000000000001</v>
      </c>
      <c r="BV88" s="6710">
        <v>1E-3</v>
      </c>
      <c r="BW88"/>
      <c r="BX88" s="20" t="str">
        <f t="shared" si="46"/>
        <v>►</v>
      </c>
      <c r="BY88" s="6316" t="s">
        <v>42</v>
      </c>
      <c r="BZ88" s="6244"/>
      <c r="CA88" s="6244"/>
      <c r="CB88" s="6244"/>
      <c r="CC88" s="6244"/>
      <c r="CD88" s="5661"/>
      <c r="CE88"/>
      <c r="CF88"/>
      <c r="CG88"/>
      <c r="CH88"/>
      <c r="CI88"/>
      <c r="CJ88"/>
      <c r="CK88"/>
      <c r="CM88"/>
      <c r="CN88"/>
      <c r="CO88"/>
      <c r="CP88"/>
      <c r="CQ88"/>
      <c r="CR88"/>
      <c r="CS88"/>
      <c r="CU88"/>
      <c r="CV88"/>
      <c r="CW88"/>
      <c r="CX88"/>
      <c r="CY88"/>
      <c r="CZ88"/>
      <c r="DA88"/>
      <c r="DC88" s="5">
        <v>1</v>
      </c>
    </row>
    <row r="89" spans="1:107" s="1" customFormat="1" ht="21" customHeight="1" thickBot="1">
      <c r="A89" s="5641" t="s">
        <v>1</v>
      </c>
      <c r="B89" s="5662" t="str">
        <f t="shared" si="45"/>
        <v>►</v>
      </c>
      <c r="C89" s="5825" cm="1">
        <f t="array" ref="C89">SUMPRODUCT(LEN(D89:J89))</f>
        <v>0</v>
      </c>
      <c r="D89" s="5275"/>
      <c r="E89" s="1361"/>
      <c r="F89" s="1361"/>
      <c r="G89" s="1361"/>
      <c r="H89" s="1361"/>
      <c r="I89" s="1361"/>
      <c r="J89" s="5276"/>
      <c r="K89" s="106" t="s">
        <v>1</v>
      </c>
      <c r="L89" s="1021" t="s">
        <v>26</v>
      </c>
      <c r="M89" s="6787"/>
      <c r="N89" s="6787"/>
      <c r="O89" s="6787"/>
      <c r="P89" s="6788"/>
      <c r="Q89" s="6789"/>
      <c r="R89" s="6790"/>
      <c r="S89" s="6786"/>
      <c r="T89" s="6791"/>
      <c r="U89" s="6844"/>
      <c r="V89" s="6791"/>
      <c r="W89" s="8487"/>
      <c r="X89" s="6871"/>
      <c r="Y89" s="6793"/>
      <c r="Z89" s="6794"/>
      <c r="AA89" s="6795"/>
      <c r="AB89" s="6796"/>
      <c r="AC89" s="6797"/>
      <c r="AD89" s="6798"/>
      <c r="AE89" s="4" t="s">
        <v>1</v>
      </c>
      <c r="AF89" s="6202" t="str">
        <f t="shared" si="47"/>
        <v>►</v>
      </c>
      <c r="AG89" s="6234" t="str">
        <f t="shared" si="48"/>
        <v/>
      </c>
      <c r="AH89" s="6732" t="str">
        <f t="shared" si="49"/>
        <v/>
      </c>
      <c r="AI89" s="6234" t="str">
        <f t="shared" si="50"/>
        <v/>
      </c>
      <c r="AJ89" s="6732" t="str">
        <f t="shared" si="51"/>
        <v/>
      </c>
      <c r="AK89" s="6732">
        <f t="shared" si="52"/>
        <v>0</v>
      </c>
      <c r="AL89" s="6230" t="str" cm="1">
        <f t="array" ref="AL89">IF(AF89&lt;&gt;"A","",IFERROR((IFERROR(_xlfn.XLOOKUP(TRIM(SUBSTITUTE(U89,CHAR(160)," ")),$BJ$15:$BJ$62,$BM$15:$BM$62),IFERROR(_xlfn.XLOOKUP(TRIM(SUBSTITUTE(U89,CHAR(160)," ")),$BK$15:$BK$62,$BM$15:$BM$62),_xlfn.XLOOKUP(TRIM(SUBSTITUTE(U89,CHAR(160)," ")),$BL$15:$BL$62,$BM$15:$BM$62))))*T89*IF(ISBLANK(Q89),1,Q89)+IFERROR(_xlfn.XLOOKUP("RECHERCHEX",TRIM(L89:AD89),L89:AD89),0),0))</f>
        <v/>
      </c>
      <c r="AM89" s="6229">
        <f t="shared" si="53"/>
        <v>0</v>
      </c>
      <c r="AN89" s="6857" t="str">
        <f t="shared" si="41"/>
        <v/>
      </c>
      <c r="AO89" s="392">
        <f t="shared" si="54"/>
        <v>0</v>
      </c>
      <c r="AP89" s="392">
        <f t="shared" si="55"/>
        <v>0</v>
      </c>
      <c r="AQ89" s="6191">
        <f t="shared" si="56"/>
        <v>0</v>
      </c>
      <c r="AR89" s="6859" t="str">
        <f t="shared" si="57"/>
        <v/>
      </c>
      <c r="AS89" s="6217"/>
      <c r="AT89" s="6217"/>
      <c r="AU89" s="6272">
        <f t="shared" si="58"/>
        <v>0</v>
      </c>
      <c r="AV89" s="6240">
        <f t="shared" si="59"/>
        <v>0</v>
      </c>
      <c r="AW89" s="6189" cm="1">
        <f t="array" ref="AW89">IF(AK89&lt;&gt;1,0,IF(OR(AU89="",N(AU89)&lt;=0.000000001),"",IF(OR(AO89="",N(AO89)&lt;=0.000000001),0,IF(ISNUMBER(AU89),IFERROR(_xlfn.LET(_xlpm.ai_test,TRIM(AJ89),_xlpm.r,IFERROR(_xlfn.XLOOKUP(_xlpm.ai_test,$BJ$15:$BJ$62,ROW($BJ$15:$BJ$62),0,1),IFERROR(_xlfn.XLOOKUP(_xlpm.ai_test,$BK$15:$BK$62,ROW($BK$15:$BK$62),0,1),_xlfn.XLOOKUP(_xlpm.ai_test,$BL$15:$BL$62,ROW($BL$15:$BL$62),0,1))),_xlpm.p,_xlpm.r-MIN(ROW($BJ$15:$BJ$62))+1,_xlpm.f,INDEX($BM$15:$BM$62,_xlpm.p),_xlpm.u,INDEX($BN$15:$BN$62,_xlpm.p),_xlpm.s,INDEX($BP$15:$BP$62,_xlpm.p),_xlpm.q,N(AU89)/_xlpm.f,IF(_xlpm.q&gt;=_xlpm.s,ROUND(_xlpm.q,1)&amp;" "&amp;_xlpm.ai_test&amp;" = "&amp;ROUND(_xlpm.q*_xlpm.f,1)&amp;" "&amp;_xlpm.u,ROUND(_xlpm.q,1)&amp;" "&amp;_xlpm.ai_test)),""),""))))</f>
        <v>0</v>
      </c>
      <c r="AX89" s="6218"/>
      <c r="AY89" s="6272">
        <f t="shared" si="60"/>
        <v>0</v>
      </c>
      <c r="AZ89" s="6240" t="str">
        <f t="shared" si="61"/>
        <v/>
      </c>
      <c r="BA89" s="6195">
        <f t="shared" si="66"/>
        <v>0</v>
      </c>
      <c r="BB89" s="6193" t="str">
        <f t="shared" si="62"/>
        <v/>
      </c>
      <c r="BC89" s="6219"/>
      <c r="BD89" s="6222">
        <f t="shared" si="39"/>
        <v>0</v>
      </c>
      <c r="BE89" s="6220" t="str">
        <f t="shared" si="63"/>
        <v/>
      </c>
      <c r="BF89" s="4" t="s">
        <v>1</v>
      </c>
      <c r="BG89" s="6196">
        <f t="shared" si="64"/>
        <v>0</v>
      </c>
      <c r="BH89" s="6197">
        <f t="shared" si="65"/>
        <v>0</v>
      </c>
      <c r="BW89"/>
      <c r="BX89" s="20" t="str">
        <f t="shared" si="46"/>
        <v>►</v>
      </c>
      <c r="BY89" s="6315"/>
      <c r="BZ89" s="6244"/>
      <c r="CA89" s="6244"/>
      <c r="CB89" s="6244"/>
      <c r="CC89" s="6244"/>
      <c r="CD89" s="5661"/>
      <c r="CE89"/>
      <c r="CF89"/>
      <c r="CG89"/>
      <c r="CH89"/>
      <c r="CI89"/>
      <c r="CJ89"/>
      <c r="CK89"/>
      <c r="CM89"/>
      <c r="CN89"/>
      <c r="CO89"/>
      <c r="CP89"/>
      <c r="CQ89"/>
      <c r="CR89"/>
      <c r="CS89"/>
      <c r="CU89"/>
      <c r="CV89"/>
      <c r="CW89"/>
      <c r="CX89"/>
      <c r="CY89"/>
      <c r="CZ89"/>
      <c r="DA89"/>
      <c r="DC89" s="5">
        <v>1</v>
      </c>
    </row>
    <row r="90" spans="1:107" s="1" customFormat="1" ht="21" customHeight="1">
      <c r="A90" s="5641" t="s">
        <v>1</v>
      </c>
      <c r="B90" s="5662" t="str">
        <f t="shared" si="45"/>
        <v>►</v>
      </c>
      <c r="C90" s="5825" cm="1">
        <f t="array" ref="C90">SUMPRODUCT(LEN(D90:J90))</f>
        <v>0</v>
      </c>
      <c r="D90" s="5275"/>
      <c r="E90" s="1361"/>
      <c r="F90" s="1361"/>
      <c r="G90" s="1361"/>
      <c r="H90" s="1361"/>
      <c r="I90" s="1361"/>
      <c r="J90" s="5276"/>
      <c r="K90" s="106" t="s">
        <v>1</v>
      </c>
      <c r="L90" s="1021" t="s">
        <v>26</v>
      </c>
      <c r="M90" s="6787"/>
      <c r="N90" s="6787"/>
      <c r="O90" s="6787"/>
      <c r="P90" s="6788"/>
      <c r="Q90" s="6789"/>
      <c r="R90" s="6790"/>
      <c r="S90" s="6786"/>
      <c r="T90" s="6791"/>
      <c r="U90" s="6844"/>
      <c r="V90" s="6791"/>
      <c r="W90" s="8487"/>
      <c r="X90" s="6871"/>
      <c r="Y90" s="6793"/>
      <c r="Z90" s="6794"/>
      <c r="AA90" s="6795"/>
      <c r="AB90" s="6796"/>
      <c r="AC90" s="6797"/>
      <c r="AD90" s="6798"/>
      <c r="AE90" s="4" t="s">
        <v>1</v>
      </c>
      <c r="AF90" s="6202" t="str">
        <f t="shared" si="47"/>
        <v>►</v>
      </c>
      <c r="AG90" s="6234" t="str">
        <f t="shared" si="48"/>
        <v/>
      </c>
      <c r="AH90" s="6732" t="str">
        <f t="shared" si="49"/>
        <v/>
      </c>
      <c r="AI90" s="6234" t="str">
        <f t="shared" si="50"/>
        <v/>
      </c>
      <c r="AJ90" s="6732" t="str">
        <f t="shared" si="51"/>
        <v/>
      </c>
      <c r="AK90" s="6732">
        <f t="shared" si="52"/>
        <v>0</v>
      </c>
      <c r="AL90" s="6230" t="str" cm="1">
        <f t="array" ref="AL90">IF(AF90&lt;&gt;"A","",IFERROR((IFERROR(_xlfn.XLOOKUP(TRIM(SUBSTITUTE(U90,CHAR(160)," ")),$BJ$15:$BJ$62,$BM$15:$BM$62),IFERROR(_xlfn.XLOOKUP(TRIM(SUBSTITUTE(U90,CHAR(160)," ")),$BK$15:$BK$62,$BM$15:$BM$62),_xlfn.XLOOKUP(TRIM(SUBSTITUTE(U90,CHAR(160)," ")),$BL$15:$BL$62,$BM$15:$BM$62))))*T90*IF(ISBLANK(Q90),1,Q90)+IFERROR(_xlfn.XLOOKUP("RECHERCHEX",TRIM(L90:AD90),L90:AD90),0),0))</f>
        <v/>
      </c>
      <c r="AM90" s="6229">
        <f t="shared" si="53"/>
        <v>0</v>
      </c>
      <c r="AN90" s="6857" t="str">
        <f t="shared" si="41"/>
        <v/>
      </c>
      <c r="AO90" s="392">
        <f t="shared" si="54"/>
        <v>0</v>
      </c>
      <c r="AP90" s="392">
        <f t="shared" si="55"/>
        <v>0</v>
      </c>
      <c r="AQ90" s="6190">
        <f t="shared" si="56"/>
        <v>0</v>
      </c>
      <c r="AR90" s="6858" t="str">
        <f t="shared" si="57"/>
        <v/>
      </c>
      <c r="AS90" s="6217"/>
      <c r="AT90" s="6217"/>
      <c r="AU90" s="6271">
        <f t="shared" si="58"/>
        <v>0</v>
      </c>
      <c r="AV90" s="6242">
        <f t="shared" si="59"/>
        <v>0</v>
      </c>
      <c r="AW90" s="6188" cm="1">
        <f t="array" ref="AW90">IF(AK90&lt;&gt;1,0,IF(OR(AU90="",N(AU90)&lt;=0.000000001),"",IF(OR(AO90="",N(AO90)&lt;=0.000000001),0,IF(ISNUMBER(AU90),IFERROR(_xlfn.LET(_xlpm.ai_test,TRIM(AJ90),_xlpm.r,IFERROR(_xlfn.XLOOKUP(_xlpm.ai_test,$BJ$15:$BJ$62,ROW($BJ$15:$BJ$62),0,1),IFERROR(_xlfn.XLOOKUP(_xlpm.ai_test,$BK$15:$BK$62,ROW($BK$15:$BK$62),0,1),_xlfn.XLOOKUP(_xlpm.ai_test,$BL$15:$BL$62,ROW($BL$15:$BL$62),0,1))),_xlpm.p,_xlpm.r-MIN(ROW($BJ$15:$BJ$62))+1,_xlpm.f,INDEX($BM$15:$BM$62,_xlpm.p),_xlpm.u,INDEX($BN$15:$BN$62,_xlpm.p),_xlpm.s,INDEX($BP$15:$BP$62,_xlpm.p),_xlpm.q,N(AU90)/_xlpm.f,IF(_xlpm.q&gt;=_xlpm.s,ROUND(_xlpm.q,1)&amp;" "&amp;_xlpm.ai_test&amp;" = "&amp;ROUND(_xlpm.q*_xlpm.f,1)&amp;" "&amp;_xlpm.u,ROUND(_xlpm.q,1)&amp;" "&amp;_xlpm.ai_test)),""),""))))</f>
        <v>0</v>
      </c>
      <c r="AX90" s="6218"/>
      <c r="AY90" s="6271">
        <f t="shared" si="60"/>
        <v>0</v>
      </c>
      <c r="AZ90" s="6242" t="str">
        <f t="shared" si="61"/>
        <v/>
      </c>
      <c r="BA90" s="6194">
        <f t="shared" si="66"/>
        <v>0</v>
      </c>
      <c r="BB90" s="6192" t="str">
        <f t="shared" si="62"/>
        <v/>
      </c>
      <c r="BC90" s="6219"/>
      <c r="BD90" s="6221">
        <f t="shared" si="39"/>
        <v>0</v>
      </c>
      <c r="BE90" s="6220" t="str">
        <f t="shared" si="63"/>
        <v/>
      </c>
      <c r="BF90" s="4" t="s">
        <v>1</v>
      </c>
      <c r="BG90" s="6196">
        <f t="shared" si="64"/>
        <v>0</v>
      </c>
      <c r="BH90" s="6197">
        <f t="shared" si="65"/>
        <v>0</v>
      </c>
      <c r="BJ90" s="6917" t="s">
        <v>10009</v>
      </c>
      <c r="BK90" s="6918"/>
      <c r="BL90" s="6918"/>
      <c r="BM90" s="6918"/>
      <c r="BN90" s="6918"/>
      <c r="BO90" s="6918"/>
      <c r="BP90" s="6918"/>
      <c r="BQ90" s="6918"/>
      <c r="BR90" s="6918"/>
      <c r="BS90" s="6918"/>
      <c r="BT90" s="6918"/>
      <c r="BU90" s="6918"/>
      <c r="BV90" s="6919"/>
      <c r="BW90"/>
      <c r="BX90" s="20" t="str">
        <f t="shared" si="46"/>
        <v>►</v>
      </c>
      <c r="BY90" s="6245" t="s">
        <v>53</v>
      </c>
      <c r="BZ90" s="6244"/>
      <c r="CA90" s="6244"/>
      <c r="CB90" s="6244"/>
      <c r="CC90" s="6244"/>
      <c r="CD90" s="5661"/>
      <c r="CE90"/>
      <c r="CF90"/>
      <c r="CG90"/>
      <c r="CH90"/>
      <c r="CI90"/>
      <c r="CJ90"/>
      <c r="CK90"/>
      <c r="CM90"/>
      <c r="CN90"/>
      <c r="CO90"/>
      <c r="CP90"/>
      <c r="CQ90"/>
      <c r="CR90"/>
      <c r="CS90"/>
      <c r="CU90"/>
      <c r="CV90"/>
      <c r="CW90"/>
      <c r="CX90"/>
      <c r="CY90"/>
      <c r="CZ90"/>
      <c r="DA90"/>
      <c r="DC90" s="5">
        <v>1</v>
      </c>
    </row>
    <row r="91" spans="1:107" s="1" customFormat="1" ht="21" customHeight="1">
      <c r="A91" s="5641" t="s">
        <v>1</v>
      </c>
      <c r="B91" s="5662" t="str">
        <f t="shared" si="45"/>
        <v>►</v>
      </c>
      <c r="C91" s="5825" cm="1">
        <f t="array" ref="C91">SUMPRODUCT(LEN(D91:J91))</f>
        <v>0</v>
      </c>
      <c r="D91" s="5275"/>
      <c r="E91" s="1361"/>
      <c r="F91" s="1361"/>
      <c r="G91" s="1361"/>
      <c r="H91" s="1361"/>
      <c r="I91" s="1361"/>
      <c r="J91" s="5276"/>
      <c r="K91" s="106" t="s">
        <v>1</v>
      </c>
      <c r="L91" s="1021" t="s">
        <v>26</v>
      </c>
      <c r="M91" s="6787"/>
      <c r="N91" s="6787"/>
      <c r="O91" s="6787"/>
      <c r="P91" s="6788"/>
      <c r="Q91" s="6789"/>
      <c r="R91" s="6790"/>
      <c r="S91" s="6786"/>
      <c r="T91" s="6791"/>
      <c r="U91" s="6844"/>
      <c r="V91" s="6791"/>
      <c r="W91" s="8487"/>
      <c r="X91" s="6871"/>
      <c r="Y91" s="6793"/>
      <c r="Z91" s="6794"/>
      <c r="AA91" s="6795"/>
      <c r="AB91" s="6796"/>
      <c r="AC91" s="6797"/>
      <c r="AD91" s="6798"/>
      <c r="AE91" s="4" t="s">
        <v>1</v>
      </c>
      <c r="AF91" s="6202" t="str">
        <f t="shared" si="47"/>
        <v>►</v>
      </c>
      <c r="AG91" s="6234" t="str">
        <f t="shared" si="48"/>
        <v/>
      </c>
      <c r="AH91" s="6732" t="str">
        <f t="shared" si="49"/>
        <v/>
      </c>
      <c r="AI91" s="6234" t="str">
        <f t="shared" si="50"/>
        <v/>
      </c>
      <c r="AJ91" s="6732" t="str">
        <f t="shared" si="51"/>
        <v/>
      </c>
      <c r="AK91" s="6732">
        <f t="shared" si="52"/>
        <v>0</v>
      </c>
      <c r="AL91" s="6230" t="str" cm="1">
        <f t="array" ref="AL91">IF(AF91&lt;&gt;"A","",IFERROR((IFERROR(_xlfn.XLOOKUP(TRIM(SUBSTITUTE(U91,CHAR(160)," ")),$BJ$15:$BJ$62,$BM$15:$BM$62),IFERROR(_xlfn.XLOOKUP(TRIM(SUBSTITUTE(U91,CHAR(160)," ")),$BK$15:$BK$62,$BM$15:$BM$62),_xlfn.XLOOKUP(TRIM(SUBSTITUTE(U91,CHAR(160)," ")),$BL$15:$BL$62,$BM$15:$BM$62))))*T91*IF(ISBLANK(Q91),1,Q91)+IFERROR(_xlfn.XLOOKUP("RECHERCHEX",TRIM(L91:AD91),L91:AD91),0),0))</f>
        <v/>
      </c>
      <c r="AM91" s="6229">
        <f t="shared" si="53"/>
        <v>0</v>
      </c>
      <c r="AN91" s="6857" t="str">
        <f t="shared" si="41"/>
        <v/>
      </c>
      <c r="AO91" s="392">
        <f t="shared" si="54"/>
        <v>0</v>
      </c>
      <c r="AP91" s="392">
        <f t="shared" si="55"/>
        <v>0</v>
      </c>
      <c r="AQ91" s="6191">
        <f t="shared" si="56"/>
        <v>0</v>
      </c>
      <c r="AR91" s="6859" t="str">
        <f t="shared" si="57"/>
        <v/>
      </c>
      <c r="AS91" s="6217"/>
      <c r="AT91" s="6217"/>
      <c r="AU91" s="6272">
        <f t="shared" si="58"/>
        <v>0</v>
      </c>
      <c r="AV91" s="6240">
        <f t="shared" si="59"/>
        <v>0</v>
      </c>
      <c r="AW91" s="6189" cm="1">
        <f t="array" ref="AW91">IF(AK91&lt;&gt;1,0,IF(OR(AU91="",N(AU91)&lt;=0.000000001),"",IF(OR(AO91="",N(AO91)&lt;=0.000000001),0,IF(ISNUMBER(AU91),IFERROR(_xlfn.LET(_xlpm.ai_test,TRIM(AJ91),_xlpm.r,IFERROR(_xlfn.XLOOKUP(_xlpm.ai_test,$BJ$15:$BJ$62,ROW($BJ$15:$BJ$62),0,1),IFERROR(_xlfn.XLOOKUP(_xlpm.ai_test,$BK$15:$BK$62,ROW($BK$15:$BK$62),0,1),_xlfn.XLOOKUP(_xlpm.ai_test,$BL$15:$BL$62,ROW($BL$15:$BL$62),0,1))),_xlpm.p,_xlpm.r-MIN(ROW($BJ$15:$BJ$62))+1,_xlpm.f,INDEX($BM$15:$BM$62,_xlpm.p),_xlpm.u,INDEX($BN$15:$BN$62,_xlpm.p),_xlpm.s,INDEX($BP$15:$BP$62,_xlpm.p),_xlpm.q,N(AU91)/_xlpm.f,IF(_xlpm.q&gt;=_xlpm.s,ROUND(_xlpm.q,1)&amp;" "&amp;_xlpm.ai_test&amp;" = "&amp;ROUND(_xlpm.q*_xlpm.f,1)&amp;" "&amp;_xlpm.u,ROUND(_xlpm.q,1)&amp;" "&amp;_xlpm.ai_test)),""),""))))</f>
        <v>0</v>
      </c>
      <c r="AX91" s="6218"/>
      <c r="AY91" s="6272">
        <f t="shared" si="60"/>
        <v>0</v>
      </c>
      <c r="AZ91" s="6240" t="str">
        <f t="shared" si="61"/>
        <v/>
      </c>
      <c r="BA91" s="6195">
        <f t="shared" si="66"/>
        <v>0</v>
      </c>
      <c r="BB91" s="6193" t="str">
        <f t="shared" si="62"/>
        <v/>
      </c>
      <c r="BC91" s="6219"/>
      <c r="BD91" s="6222">
        <f t="shared" ref="BD91:BD154" si="67">IF(OR(AO91=0,ISBLANK(BC91),ISTEXT(BA91)),0,(IF(AU91=0,BA91,AU91)*BC91))</f>
        <v>0</v>
      </c>
      <c r="BE91" s="6220" t="str">
        <f t="shared" si="63"/>
        <v/>
      </c>
      <c r="BF91" s="4" t="s">
        <v>1</v>
      </c>
      <c r="BG91" s="6196">
        <f t="shared" si="64"/>
        <v>0</v>
      </c>
      <c r="BH91" s="6197">
        <f t="shared" si="65"/>
        <v>0</v>
      </c>
      <c r="BJ91" s="6920"/>
      <c r="BK91" s="6921"/>
      <c r="BL91" s="6921"/>
      <c r="BM91" s="6921"/>
      <c r="BN91" s="6921"/>
      <c r="BO91" s="6921"/>
      <c r="BP91" s="6921"/>
      <c r="BQ91" s="6921"/>
      <c r="BR91" s="6921"/>
      <c r="BS91" s="6921"/>
      <c r="BT91" s="6921"/>
      <c r="BU91" s="6921"/>
      <c r="BV91" s="6922"/>
      <c r="BW91"/>
      <c r="BX91" s="20" t="str">
        <f t="shared" si="46"/>
        <v>►</v>
      </c>
      <c r="BY91" s="6312" t="s">
        <v>52</v>
      </c>
      <c r="BZ91" s="6244"/>
      <c r="CA91" s="6244"/>
      <c r="CB91" s="6244"/>
      <c r="CC91" s="6244"/>
      <c r="CD91" s="5661"/>
      <c r="CE91"/>
      <c r="CF91"/>
      <c r="CG91"/>
      <c r="CH91"/>
      <c r="CI91"/>
      <c r="CJ91"/>
      <c r="CK91"/>
      <c r="CM91"/>
      <c r="CN91"/>
      <c r="CO91"/>
      <c r="CP91"/>
      <c r="CQ91"/>
      <c r="CR91"/>
      <c r="CS91"/>
      <c r="CU91"/>
      <c r="CV91"/>
      <c r="CW91"/>
      <c r="CX91"/>
      <c r="CY91"/>
      <c r="CZ91"/>
      <c r="DA91"/>
      <c r="DC91" s="5">
        <v>1</v>
      </c>
    </row>
    <row r="92" spans="1:107" s="1" customFormat="1" ht="21" customHeight="1">
      <c r="A92" s="5641" t="s">
        <v>1</v>
      </c>
      <c r="B92" s="5662" t="str">
        <f t="shared" si="45"/>
        <v>►</v>
      </c>
      <c r="C92" s="5825" cm="1">
        <f t="array" ref="C92">SUMPRODUCT(LEN(D92:J92))</f>
        <v>0</v>
      </c>
      <c r="D92" s="5275"/>
      <c r="E92" s="1361"/>
      <c r="F92" s="1361"/>
      <c r="G92" s="1361"/>
      <c r="H92" s="1361"/>
      <c r="I92" s="1361"/>
      <c r="J92" s="5276"/>
      <c r="K92" s="106"/>
      <c r="L92" s="1021" t="s">
        <v>26</v>
      </c>
      <c r="M92" s="6787"/>
      <c r="N92" s="6787"/>
      <c r="O92" s="6787"/>
      <c r="P92" s="6788"/>
      <c r="Q92" s="6789"/>
      <c r="R92" s="6790"/>
      <c r="S92" s="6786"/>
      <c r="T92" s="6791"/>
      <c r="U92" s="6844"/>
      <c r="V92" s="6791"/>
      <c r="W92" s="8487"/>
      <c r="X92" s="6871"/>
      <c r="Y92" s="6793"/>
      <c r="Z92" s="6794"/>
      <c r="AA92" s="6795"/>
      <c r="AB92" s="6796"/>
      <c r="AC92" s="6797"/>
      <c r="AD92" s="6798"/>
      <c r="AE92" s="4" t="s">
        <v>1</v>
      </c>
      <c r="AF92" s="6202" t="str">
        <f t="shared" si="47"/>
        <v>►</v>
      </c>
      <c r="AG92" s="6234" t="str">
        <f t="shared" si="48"/>
        <v/>
      </c>
      <c r="AH92" s="6732" t="str">
        <f t="shared" si="49"/>
        <v/>
      </c>
      <c r="AI92" s="6234" t="str">
        <f t="shared" si="50"/>
        <v/>
      </c>
      <c r="AJ92" s="6732" t="str">
        <f t="shared" si="51"/>
        <v/>
      </c>
      <c r="AK92" s="6732">
        <f t="shared" si="52"/>
        <v>0</v>
      </c>
      <c r="AL92" s="6230" t="str" cm="1">
        <f t="array" ref="AL92">IF(AF92&lt;&gt;"A","",IFERROR((IFERROR(_xlfn.XLOOKUP(TRIM(SUBSTITUTE(U92,CHAR(160)," ")),$BJ$15:$BJ$62,$BM$15:$BM$62),IFERROR(_xlfn.XLOOKUP(TRIM(SUBSTITUTE(U92,CHAR(160)," ")),$BK$15:$BK$62,$BM$15:$BM$62),_xlfn.XLOOKUP(TRIM(SUBSTITUTE(U92,CHAR(160)," ")),$BL$15:$BL$62,$BM$15:$BM$62))))*T92*IF(ISBLANK(Q92),1,Q92)+IFERROR(_xlfn.XLOOKUP("RECHERCHEX",TRIM(L92:AD92),L92:AD92),0),0))</f>
        <v/>
      </c>
      <c r="AM92" s="6229">
        <f t="shared" si="53"/>
        <v>0</v>
      </c>
      <c r="AN92" s="6857" t="str">
        <f t="shared" si="41"/>
        <v/>
      </c>
      <c r="AO92" s="392">
        <f t="shared" si="54"/>
        <v>0</v>
      </c>
      <c r="AP92" s="392">
        <f t="shared" si="55"/>
        <v>0</v>
      </c>
      <c r="AQ92" s="6190">
        <f t="shared" si="56"/>
        <v>0</v>
      </c>
      <c r="AR92" s="6858" t="str">
        <f t="shared" si="57"/>
        <v/>
      </c>
      <c r="AS92" s="6217"/>
      <c r="AT92" s="6217"/>
      <c r="AU92" s="6271">
        <f t="shared" si="58"/>
        <v>0</v>
      </c>
      <c r="AV92" s="6242">
        <f t="shared" si="59"/>
        <v>0</v>
      </c>
      <c r="AW92" s="6188" cm="1">
        <f t="array" ref="AW92">IF(AK92&lt;&gt;1,0,IF(OR(AU92="",N(AU92)&lt;=0.000000001),"",IF(OR(AO92="",N(AO92)&lt;=0.000000001),0,IF(ISNUMBER(AU92),IFERROR(_xlfn.LET(_xlpm.ai_test,TRIM(AJ92),_xlpm.r,IFERROR(_xlfn.XLOOKUP(_xlpm.ai_test,$BJ$15:$BJ$62,ROW($BJ$15:$BJ$62),0,1),IFERROR(_xlfn.XLOOKUP(_xlpm.ai_test,$BK$15:$BK$62,ROW($BK$15:$BK$62),0,1),_xlfn.XLOOKUP(_xlpm.ai_test,$BL$15:$BL$62,ROW($BL$15:$BL$62),0,1))),_xlpm.p,_xlpm.r-MIN(ROW($BJ$15:$BJ$62))+1,_xlpm.f,INDEX($BM$15:$BM$62,_xlpm.p),_xlpm.u,INDEX($BN$15:$BN$62,_xlpm.p),_xlpm.s,INDEX($BP$15:$BP$62,_xlpm.p),_xlpm.q,N(AU92)/_xlpm.f,IF(_xlpm.q&gt;=_xlpm.s,ROUND(_xlpm.q,1)&amp;" "&amp;_xlpm.ai_test&amp;" = "&amp;ROUND(_xlpm.q*_xlpm.f,1)&amp;" "&amp;_xlpm.u,ROUND(_xlpm.q,1)&amp;" "&amp;_xlpm.ai_test)),""),""))))</f>
        <v>0</v>
      </c>
      <c r="AX92" s="6218"/>
      <c r="AY92" s="6271">
        <f t="shared" si="60"/>
        <v>0</v>
      </c>
      <c r="AZ92" s="6242" t="str">
        <f t="shared" si="61"/>
        <v/>
      </c>
      <c r="BA92" s="6194">
        <f t="shared" si="66"/>
        <v>0</v>
      </c>
      <c r="BB92" s="6192" t="str">
        <f t="shared" si="62"/>
        <v/>
      </c>
      <c r="BC92" s="6219"/>
      <c r="BD92" s="6221">
        <f t="shared" si="67"/>
        <v>0</v>
      </c>
      <c r="BE92" s="6220" t="str">
        <f t="shared" si="63"/>
        <v/>
      </c>
      <c r="BF92" s="4" t="s">
        <v>1</v>
      </c>
      <c r="BG92" s="6196">
        <f t="shared" si="64"/>
        <v>0</v>
      </c>
      <c r="BH92" s="6197">
        <f t="shared" si="65"/>
        <v>0</v>
      </c>
      <c r="BJ92" s="1" t="s">
        <v>10685</v>
      </c>
      <c r="BW92"/>
      <c r="BX92" s="20" t="str">
        <f t="shared" si="46"/>
        <v>►</v>
      </c>
      <c r="BY92" s="6313" t="s">
        <v>48</v>
      </c>
      <c r="BZ92" s="6244"/>
      <c r="CA92" s="6244"/>
      <c r="CB92" s="6244"/>
      <c r="CC92" s="6244"/>
      <c r="CD92" s="5661"/>
      <c r="CE92"/>
      <c r="CF92"/>
      <c r="CG92"/>
      <c r="CH92"/>
      <c r="CI92"/>
      <c r="CJ92"/>
      <c r="CK92"/>
      <c r="CM92"/>
      <c r="CN92"/>
      <c r="CO92"/>
      <c r="CP92"/>
      <c r="CQ92"/>
      <c r="CR92"/>
      <c r="CS92"/>
      <c r="CU92"/>
      <c r="CV92"/>
      <c r="CW92"/>
      <c r="CX92"/>
      <c r="CY92"/>
      <c r="CZ92"/>
      <c r="DA92"/>
      <c r="DC92" s="5">
        <v>1</v>
      </c>
    </row>
    <row r="93" spans="1:107" s="1" customFormat="1" ht="21" customHeight="1">
      <c r="A93" s="5641" t="s">
        <v>1</v>
      </c>
      <c r="B93" s="5662" t="str">
        <f t="shared" si="45"/>
        <v>►</v>
      </c>
      <c r="C93" s="5825" cm="1">
        <f t="array" ref="C93">SUMPRODUCT(LEN(D93:J93))</f>
        <v>0</v>
      </c>
      <c r="D93" s="5275"/>
      <c r="E93" s="1361"/>
      <c r="F93" s="1361"/>
      <c r="G93" s="1361"/>
      <c r="H93" s="1361"/>
      <c r="I93" s="1361"/>
      <c r="J93" s="5276"/>
      <c r="K93" s="106"/>
      <c r="L93" s="1021" t="s">
        <v>26</v>
      </c>
      <c r="M93" s="6787"/>
      <c r="N93" s="6787"/>
      <c r="O93" s="6787"/>
      <c r="P93" s="6788"/>
      <c r="Q93" s="6789"/>
      <c r="R93" s="6790"/>
      <c r="S93" s="6786"/>
      <c r="T93" s="6791"/>
      <c r="U93" s="6844"/>
      <c r="V93" s="6791"/>
      <c r="W93" s="8487"/>
      <c r="X93" s="6871"/>
      <c r="Y93" s="6793"/>
      <c r="Z93" s="6794"/>
      <c r="AA93" s="6795"/>
      <c r="AB93" s="6796"/>
      <c r="AC93" s="6797"/>
      <c r="AD93" s="6798"/>
      <c r="AE93" s="4" t="s">
        <v>1</v>
      </c>
      <c r="AF93" s="6202" t="str">
        <f t="shared" si="47"/>
        <v>►</v>
      </c>
      <c r="AG93" s="6234" t="str">
        <f t="shared" si="48"/>
        <v/>
      </c>
      <c r="AH93" s="6732" t="str">
        <f t="shared" si="49"/>
        <v/>
      </c>
      <c r="AI93" s="6234" t="str">
        <f t="shared" si="50"/>
        <v/>
      </c>
      <c r="AJ93" s="6732" t="str">
        <f t="shared" si="51"/>
        <v/>
      </c>
      <c r="AK93" s="6732">
        <f t="shared" si="52"/>
        <v>0</v>
      </c>
      <c r="AL93" s="6230" t="str" cm="1">
        <f t="array" ref="AL93">IF(AF93&lt;&gt;"A","",IFERROR((IFERROR(_xlfn.XLOOKUP(TRIM(SUBSTITUTE(U93,CHAR(160)," ")),$BJ$15:$BJ$62,$BM$15:$BM$62),IFERROR(_xlfn.XLOOKUP(TRIM(SUBSTITUTE(U93,CHAR(160)," ")),$BK$15:$BK$62,$BM$15:$BM$62),_xlfn.XLOOKUP(TRIM(SUBSTITUTE(U93,CHAR(160)," ")),$BL$15:$BL$62,$BM$15:$BM$62))))*T93*IF(ISBLANK(Q93),1,Q93)+IFERROR(_xlfn.XLOOKUP("RECHERCHEX",TRIM(L93:AD93),L93:AD93),0),0))</f>
        <v/>
      </c>
      <c r="AM93" s="6229">
        <f t="shared" si="53"/>
        <v>0</v>
      </c>
      <c r="AN93" s="6857" t="str">
        <f t="shared" si="41"/>
        <v/>
      </c>
      <c r="AO93" s="392">
        <f t="shared" si="54"/>
        <v>0</v>
      </c>
      <c r="AP93" s="392">
        <f t="shared" si="55"/>
        <v>0</v>
      </c>
      <c r="AQ93" s="6191">
        <f t="shared" si="56"/>
        <v>0</v>
      </c>
      <c r="AR93" s="6859" t="str">
        <f t="shared" si="57"/>
        <v/>
      </c>
      <c r="AS93" s="6217"/>
      <c r="AT93" s="6217"/>
      <c r="AU93" s="6272">
        <f t="shared" si="58"/>
        <v>0</v>
      </c>
      <c r="AV93" s="6240">
        <f t="shared" si="59"/>
        <v>0</v>
      </c>
      <c r="AW93" s="6189" cm="1">
        <f t="array" ref="AW93">IF(AK93&lt;&gt;1,0,IF(OR(AU93="",N(AU93)&lt;=0.000000001),"",IF(OR(AO93="",N(AO93)&lt;=0.000000001),0,IF(ISNUMBER(AU93),IFERROR(_xlfn.LET(_xlpm.ai_test,TRIM(AJ93),_xlpm.r,IFERROR(_xlfn.XLOOKUP(_xlpm.ai_test,$BJ$15:$BJ$62,ROW($BJ$15:$BJ$62),0,1),IFERROR(_xlfn.XLOOKUP(_xlpm.ai_test,$BK$15:$BK$62,ROW($BK$15:$BK$62),0,1),_xlfn.XLOOKUP(_xlpm.ai_test,$BL$15:$BL$62,ROW($BL$15:$BL$62),0,1))),_xlpm.p,_xlpm.r-MIN(ROW($BJ$15:$BJ$62))+1,_xlpm.f,INDEX($BM$15:$BM$62,_xlpm.p),_xlpm.u,INDEX($BN$15:$BN$62,_xlpm.p),_xlpm.s,INDEX($BP$15:$BP$62,_xlpm.p),_xlpm.q,N(AU93)/_xlpm.f,IF(_xlpm.q&gt;=_xlpm.s,ROUND(_xlpm.q,1)&amp;" "&amp;_xlpm.ai_test&amp;" = "&amp;ROUND(_xlpm.q*_xlpm.f,1)&amp;" "&amp;_xlpm.u,ROUND(_xlpm.q,1)&amp;" "&amp;_xlpm.ai_test)),""),""))))</f>
        <v>0</v>
      </c>
      <c r="AX93" s="6218"/>
      <c r="AY93" s="6272">
        <f t="shared" si="60"/>
        <v>0</v>
      </c>
      <c r="AZ93" s="6240" t="str">
        <f t="shared" si="61"/>
        <v/>
      </c>
      <c r="BA93" s="6195">
        <f t="shared" si="66"/>
        <v>0</v>
      </c>
      <c r="BB93" s="6193" t="str">
        <f t="shared" si="62"/>
        <v/>
      </c>
      <c r="BC93" s="6219"/>
      <c r="BD93" s="6222">
        <f t="shared" si="67"/>
        <v>0</v>
      </c>
      <c r="BE93" s="6220" t="str">
        <f t="shared" si="63"/>
        <v/>
      </c>
      <c r="BF93" s="4" t="s">
        <v>1</v>
      </c>
      <c r="BG93" s="6196">
        <f t="shared" si="64"/>
        <v>0</v>
      </c>
      <c r="BH93" s="6197">
        <f t="shared" si="65"/>
        <v>0</v>
      </c>
      <c r="BJ93" s="6699" t="s">
        <v>219</v>
      </c>
      <c r="BK93" s="6283" t="s">
        <v>130</v>
      </c>
      <c r="BL93" s="6291" t="s">
        <v>9695</v>
      </c>
      <c r="BM93" s="6287" t="s">
        <v>9604</v>
      </c>
      <c r="BN93" s="6287" t="s">
        <v>9608</v>
      </c>
      <c r="BO93" s="6287" t="s">
        <v>9606</v>
      </c>
      <c r="BP93" s="6702" t="s">
        <v>88</v>
      </c>
      <c r="BQ93" s="6285" t="s">
        <v>172</v>
      </c>
      <c r="BR93" s="6285" t="s">
        <v>170</v>
      </c>
      <c r="BS93" s="6702" t="s">
        <v>166</v>
      </c>
      <c r="BT93" s="6286" t="s">
        <v>9616</v>
      </c>
      <c r="BU93" s="6286" t="s">
        <v>9620</v>
      </c>
      <c r="BV93" s="6282" t="s">
        <v>9622</v>
      </c>
      <c r="BW93"/>
      <c r="BX93" s="20" t="str">
        <f t="shared" si="46"/>
        <v>►</v>
      </c>
      <c r="BY93" s="6312" t="s">
        <v>9677</v>
      </c>
      <c r="BZ93" s="6244"/>
      <c r="CA93" s="6244"/>
      <c r="CB93" s="6244"/>
      <c r="CC93" s="6244"/>
      <c r="CD93" s="5661"/>
      <c r="CE93"/>
      <c r="CF93"/>
      <c r="CG93"/>
      <c r="CH93"/>
      <c r="CI93"/>
      <c r="CJ93"/>
      <c r="CK93"/>
      <c r="CM93"/>
      <c r="CN93"/>
      <c r="CO93"/>
      <c r="CP93"/>
      <c r="CQ93"/>
      <c r="CR93"/>
      <c r="CS93"/>
      <c r="CU93"/>
      <c r="CV93"/>
      <c r="CW93"/>
      <c r="CX93"/>
      <c r="CY93"/>
      <c r="CZ93"/>
      <c r="DA93"/>
      <c r="DC93" s="5">
        <v>1</v>
      </c>
    </row>
    <row r="94" spans="1:107" s="1" customFormat="1" ht="21" customHeight="1">
      <c r="A94" s="5641" t="s">
        <v>1</v>
      </c>
      <c r="B94" s="5662" t="str">
        <f t="shared" si="45"/>
        <v>►</v>
      </c>
      <c r="C94" s="5825" cm="1">
        <f t="array" ref="C94">SUMPRODUCT(LEN(D94:J94))</f>
        <v>0</v>
      </c>
      <c r="D94" s="5275"/>
      <c r="E94" s="1361"/>
      <c r="F94" s="1361"/>
      <c r="G94" s="1361"/>
      <c r="H94" s="1361"/>
      <c r="I94" s="1361"/>
      <c r="J94" s="5276"/>
      <c r="K94" s="106"/>
      <c r="L94" s="1021" t="s">
        <v>26</v>
      </c>
      <c r="M94" s="6787"/>
      <c r="N94" s="6787"/>
      <c r="O94" s="6787"/>
      <c r="P94" s="6788"/>
      <c r="Q94" s="6789"/>
      <c r="R94" s="6790"/>
      <c r="S94" s="6786"/>
      <c r="T94" s="6791"/>
      <c r="U94" s="6844"/>
      <c r="V94" s="6791"/>
      <c r="W94" s="8487"/>
      <c r="X94" s="6871"/>
      <c r="Y94" s="6793"/>
      <c r="Z94" s="6794"/>
      <c r="AA94" s="6795"/>
      <c r="AB94" s="6796"/>
      <c r="AC94" s="6797"/>
      <c r="AD94" s="6798"/>
      <c r="AE94" s="4" t="s">
        <v>1</v>
      </c>
      <c r="AF94" s="6202" t="str">
        <f t="shared" si="47"/>
        <v>►</v>
      </c>
      <c r="AG94" s="6234" t="str">
        <f t="shared" si="48"/>
        <v/>
      </c>
      <c r="AH94" s="6732" t="str">
        <f t="shared" si="49"/>
        <v/>
      </c>
      <c r="AI94" s="6234" t="str">
        <f t="shared" si="50"/>
        <v/>
      </c>
      <c r="AJ94" s="6732" t="str">
        <f t="shared" si="51"/>
        <v/>
      </c>
      <c r="AK94" s="6732">
        <f t="shared" si="52"/>
        <v>0</v>
      </c>
      <c r="AL94" s="6230" t="str" cm="1">
        <f t="array" ref="AL94">IF(AF94&lt;&gt;"A","",IFERROR((IFERROR(_xlfn.XLOOKUP(TRIM(SUBSTITUTE(U94,CHAR(160)," ")),$BJ$15:$BJ$62,$BM$15:$BM$62),IFERROR(_xlfn.XLOOKUP(TRIM(SUBSTITUTE(U94,CHAR(160)," ")),$BK$15:$BK$62,$BM$15:$BM$62),_xlfn.XLOOKUP(TRIM(SUBSTITUTE(U94,CHAR(160)," ")),$BL$15:$BL$62,$BM$15:$BM$62))))*T94*IF(ISBLANK(Q94),1,Q94)+IFERROR(_xlfn.XLOOKUP("RECHERCHEX",TRIM(L94:AD94),L94:AD94),0),0))</f>
        <v/>
      </c>
      <c r="AM94" s="6229">
        <f t="shared" si="53"/>
        <v>0</v>
      </c>
      <c r="AN94" s="6857" t="str">
        <f t="shared" ref="AN94:AN157" si="68">IF(AF94="A","❾ Author reference &gt;","")</f>
        <v/>
      </c>
      <c r="AO94" s="392">
        <f t="shared" si="54"/>
        <v>0</v>
      </c>
      <c r="AP94" s="392">
        <f t="shared" si="55"/>
        <v>0</v>
      </c>
      <c r="AQ94" s="6190">
        <f t="shared" si="56"/>
        <v>0</v>
      </c>
      <c r="AR94" s="6858" t="str">
        <f t="shared" si="57"/>
        <v/>
      </c>
      <c r="AS94" s="6217"/>
      <c r="AT94" s="6217"/>
      <c r="AU94" s="6271">
        <f t="shared" si="58"/>
        <v>0</v>
      </c>
      <c r="AV94" s="6242">
        <f t="shared" si="59"/>
        <v>0</v>
      </c>
      <c r="AW94" s="6188" cm="1">
        <f t="array" ref="AW94">IF(AK94&lt;&gt;1,0,IF(OR(AU94="",N(AU94)&lt;=0.000000001),"",IF(OR(AO94="",N(AO94)&lt;=0.000000001),0,IF(ISNUMBER(AU94),IFERROR(_xlfn.LET(_xlpm.ai_test,TRIM(AJ94),_xlpm.r,IFERROR(_xlfn.XLOOKUP(_xlpm.ai_test,$BJ$15:$BJ$62,ROW($BJ$15:$BJ$62),0,1),IFERROR(_xlfn.XLOOKUP(_xlpm.ai_test,$BK$15:$BK$62,ROW($BK$15:$BK$62),0,1),_xlfn.XLOOKUP(_xlpm.ai_test,$BL$15:$BL$62,ROW($BL$15:$BL$62),0,1))),_xlpm.p,_xlpm.r-MIN(ROW($BJ$15:$BJ$62))+1,_xlpm.f,INDEX($BM$15:$BM$62,_xlpm.p),_xlpm.u,INDEX($BN$15:$BN$62,_xlpm.p),_xlpm.s,INDEX($BP$15:$BP$62,_xlpm.p),_xlpm.q,N(AU94)/_xlpm.f,IF(_xlpm.q&gt;=_xlpm.s,ROUND(_xlpm.q,1)&amp;" "&amp;_xlpm.ai_test&amp;" = "&amp;ROUND(_xlpm.q*_xlpm.f,1)&amp;" "&amp;_xlpm.u,ROUND(_xlpm.q,1)&amp;" "&amp;_xlpm.ai_test)),""),""))))</f>
        <v>0</v>
      </c>
      <c r="AX94" s="6218"/>
      <c r="AY94" s="6271">
        <f t="shared" si="60"/>
        <v>0</v>
      </c>
      <c r="AZ94" s="6242" t="str">
        <f t="shared" si="61"/>
        <v/>
      </c>
      <c r="BA94" s="6194">
        <f t="shared" si="66"/>
        <v>0</v>
      </c>
      <c r="BB94" s="6192" t="str">
        <f t="shared" si="62"/>
        <v/>
      </c>
      <c r="BC94" s="6219"/>
      <c r="BD94" s="6221">
        <f t="shared" si="67"/>
        <v>0</v>
      </c>
      <c r="BE94" s="6220" t="str">
        <f t="shared" si="63"/>
        <v/>
      </c>
      <c r="BF94" s="4" t="s">
        <v>1</v>
      </c>
      <c r="BG94" s="6196">
        <f t="shared" si="64"/>
        <v>0</v>
      </c>
      <c r="BH94" s="6197">
        <f t="shared" si="65"/>
        <v>0</v>
      </c>
      <c r="BJ94" s="6706">
        <v>1</v>
      </c>
      <c r="BK94" s="6707">
        <v>1E-3</v>
      </c>
      <c r="BL94" s="6708">
        <v>0</v>
      </c>
      <c r="BM94" s="6707">
        <v>0.25</v>
      </c>
      <c r="BN94" s="6707">
        <v>0.33332999999999996</v>
      </c>
      <c r="BO94" s="6707">
        <v>0.5</v>
      </c>
      <c r="BP94" s="6709">
        <v>1</v>
      </c>
      <c r="BQ94" s="6709">
        <v>0.1</v>
      </c>
      <c r="BR94" s="6709">
        <v>0.01</v>
      </c>
      <c r="BS94" s="6709">
        <v>1E-3</v>
      </c>
      <c r="BT94" s="6709">
        <v>0.5</v>
      </c>
      <c r="BU94" s="6709">
        <v>0.33300000000000002</v>
      </c>
      <c r="BV94" s="6710">
        <v>0.2</v>
      </c>
      <c r="BW94"/>
      <c r="BX94" s="20" t="str">
        <f t="shared" si="46"/>
        <v>►</v>
      </c>
      <c r="BY94" s="6314" t="s">
        <v>45</v>
      </c>
      <c r="BZ94" s="5783"/>
      <c r="CA94" s="5783"/>
      <c r="CB94" s="5783"/>
      <c r="CC94" s="5783"/>
      <c r="CD94" s="5661"/>
      <c r="CE94"/>
      <c r="CF94"/>
      <c r="CG94"/>
      <c r="CH94"/>
      <c r="CI94"/>
      <c r="CJ94"/>
      <c r="CK94"/>
      <c r="CL94"/>
      <c r="CM94"/>
      <c r="CN94"/>
      <c r="CO94"/>
      <c r="CP94"/>
      <c r="CQ94"/>
      <c r="CR94"/>
      <c r="CS94"/>
      <c r="CT94"/>
      <c r="CU94"/>
      <c r="CV94"/>
      <c r="CW94"/>
      <c r="CX94"/>
      <c r="CY94"/>
      <c r="CZ94"/>
      <c r="DA94"/>
      <c r="DC94" s="5">
        <v>1</v>
      </c>
    </row>
    <row r="95" spans="1:107" s="1" customFormat="1" ht="21" customHeight="1">
      <c r="A95" s="5641" t="s">
        <v>1</v>
      </c>
      <c r="B95" s="5662" t="str">
        <f t="shared" si="45"/>
        <v>►</v>
      </c>
      <c r="C95" s="5825" cm="1">
        <f t="array" ref="C95">SUMPRODUCT(LEN(D95:J95))</f>
        <v>0</v>
      </c>
      <c r="D95" s="5275"/>
      <c r="E95" s="1361"/>
      <c r="F95" s="1361"/>
      <c r="G95" s="1361"/>
      <c r="H95" s="1361"/>
      <c r="I95" s="1361"/>
      <c r="J95" s="5276"/>
      <c r="K95" s="106"/>
      <c r="L95" s="1021" t="s">
        <v>26</v>
      </c>
      <c r="M95" s="6787"/>
      <c r="N95" s="6787"/>
      <c r="O95" s="6787"/>
      <c r="P95" s="6788"/>
      <c r="Q95" s="6789"/>
      <c r="R95" s="6790"/>
      <c r="S95" s="6786"/>
      <c r="T95" s="6791"/>
      <c r="U95" s="6844"/>
      <c r="V95" s="6791"/>
      <c r="W95" s="8487"/>
      <c r="X95" s="6871"/>
      <c r="Y95" s="6793"/>
      <c r="Z95" s="6794"/>
      <c r="AA95" s="6795"/>
      <c r="AB95" s="6796"/>
      <c r="AC95" s="6797"/>
      <c r="AD95" s="6798"/>
      <c r="AE95" s="4" t="s">
        <v>1</v>
      </c>
      <c r="AF95" s="6202" t="str">
        <f t="shared" si="47"/>
        <v>►</v>
      </c>
      <c r="AG95" s="6234" t="str">
        <f t="shared" si="48"/>
        <v/>
      </c>
      <c r="AH95" s="6732" t="str">
        <f t="shared" si="49"/>
        <v/>
      </c>
      <c r="AI95" s="6234" t="str">
        <f t="shared" si="50"/>
        <v/>
      </c>
      <c r="AJ95" s="6732" t="str">
        <f t="shared" si="51"/>
        <v/>
      </c>
      <c r="AK95" s="6732">
        <f t="shared" si="52"/>
        <v>0</v>
      </c>
      <c r="AL95" s="6230" t="str" cm="1">
        <f t="array" ref="AL95">IF(AF95&lt;&gt;"A","",IFERROR((IFERROR(_xlfn.XLOOKUP(TRIM(SUBSTITUTE(U95,CHAR(160)," ")),$BJ$15:$BJ$62,$BM$15:$BM$62),IFERROR(_xlfn.XLOOKUP(TRIM(SUBSTITUTE(U95,CHAR(160)," ")),$BK$15:$BK$62,$BM$15:$BM$62),_xlfn.XLOOKUP(TRIM(SUBSTITUTE(U95,CHAR(160)," ")),$BL$15:$BL$62,$BM$15:$BM$62))))*T95*IF(ISBLANK(Q95),1,Q95)+IFERROR(_xlfn.XLOOKUP("RECHERCHEX",TRIM(L95:AD95),L95:AD95),0),0))</f>
        <v/>
      </c>
      <c r="AM95" s="6229">
        <f t="shared" si="53"/>
        <v>0</v>
      </c>
      <c r="AN95" s="6857" t="str">
        <f t="shared" si="68"/>
        <v/>
      </c>
      <c r="AO95" s="392">
        <f t="shared" si="54"/>
        <v>0</v>
      </c>
      <c r="AP95" s="392">
        <f t="shared" si="55"/>
        <v>0</v>
      </c>
      <c r="AQ95" s="6191">
        <f t="shared" si="56"/>
        <v>0</v>
      </c>
      <c r="AR95" s="6859" t="str">
        <f t="shared" si="57"/>
        <v/>
      </c>
      <c r="AS95" s="6217"/>
      <c r="AT95" s="6217"/>
      <c r="AU95" s="6272">
        <f t="shared" si="58"/>
        <v>0</v>
      </c>
      <c r="AV95" s="6240">
        <f t="shared" si="59"/>
        <v>0</v>
      </c>
      <c r="AW95" s="6189" cm="1">
        <f t="array" ref="AW95">IF(AK95&lt;&gt;1,0,IF(OR(AU95="",N(AU95)&lt;=0.000000001),"",IF(OR(AO95="",N(AO95)&lt;=0.000000001),0,IF(ISNUMBER(AU95),IFERROR(_xlfn.LET(_xlpm.ai_test,TRIM(AJ95),_xlpm.r,IFERROR(_xlfn.XLOOKUP(_xlpm.ai_test,$BJ$15:$BJ$62,ROW($BJ$15:$BJ$62),0,1),IFERROR(_xlfn.XLOOKUP(_xlpm.ai_test,$BK$15:$BK$62,ROW($BK$15:$BK$62),0,1),_xlfn.XLOOKUP(_xlpm.ai_test,$BL$15:$BL$62,ROW($BL$15:$BL$62),0,1))),_xlpm.p,_xlpm.r-MIN(ROW($BJ$15:$BJ$62))+1,_xlpm.f,INDEX($BM$15:$BM$62,_xlpm.p),_xlpm.u,INDEX($BN$15:$BN$62,_xlpm.p),_xlpm.s,INDEX($BP$15:$BP$62,_xlpm.p),_xlpm.q,N(AU95)/_xlpm.f,IF(_xlpm.q&gt;=_xlpm.s,ROUND(_xlpm.q,1)&amp;" "&amp;_xlpm.ai_test&amp;" = "&amp;ROUND(_xlpm.q*_xlpm.f,1)&amp;" "&amp;_xlpm.u,ROUND(_xlpm.q,1)&amp;" "&amp;_xlpm.ai_test)),""),""))))</f>
        <v>0</v>
      </c>
      <c r="AX95" s="6218"/>
      <c r="AY95" s="6272">
        <f t="shared" si="60"/>
        <v>0</v>
      </c>
      <c r="AZ95" s="6240" t="str">
        <f t="shared" si="61"/>
        <v/>
      </c>
      <c r="BA95" s="6195">
        <f t="shared" si="66"/>
        <v>0</v>
      </c>
      <c r="BB95" s="6193" t="str">
        <f t="shared" si="62"/>
        <v/>
      </c>
      <c r="BC95" s="6219"/>
      <c r="BD95" s="6222">
        <f t="shared" si="67"/>
        <v>0</v>
      </c>
      <c r="BE95" s="6220" t="str">
        <f t="shared" si="63"/>
        <v/>
      </c>
      <c r="BF95" s="4" t="s">
        <v>1</v>
      </c>
      <c r="BG95" s="6196">
        <f t="shared" si="64"/>
        <v>0</v>
      </c>
      <c r="BH95" s="6197">
        <f t="shared" si="65"/>
        <v>0</v>
      </c>
      <c r="BJ95" s="6289" t="s">
        <v>9633</v>
      </c>
      <c r="BK95" s="6289" t="s">
        <v>9643</v>
      </c>
      <c r="BL95" s="6291" t="s">
        <v>9695</v>
      </c>
      <c r="BM95" s="6289" t="s">
        <v>9646</v>
      </c>
      <c r="BN95" s="6289" t="s">
        <v>9640</v>
      </c>
      <c r="BO95" s="6289" t="s">
        <v>9696</v>
      </c>
      <c r="BP95" s="6294" t="s">
        <v>9632</v>
      </c>
      <c r="BQ95" s="6281" t="s">
        <v>9697</v>
      </c>
      <c r="BR95" s="6281" t="s">
        <v>9698</v>
      </c>
      <c r="BS95" s="6286" t="s">
        <v>9699</v>
      </c>
      <c r="BT95" s="6286" t="s">
        <v>9618</v>
      </c>
      <c r="BU95" s="6286" t="s">
        <v>9624</v>
      </c>
      <c r="BV95" s="6755" t="s">
        <v>9648</v>
      </c>
      <c r="BW95"/>
      <c r="BX95" s="20" t="str">
        <f t="shared" si="46"/>
        <v>►</v>
      </c>
      <c r="BY95" s="6317" t="s">
        <v>42</v>
      </c>
      <c r="BZ95" s="6244"/>
      <c r="CA95" s="6244"/>
      <c r="CB95" s="5783"/>
      <c r="CC95" s="5783"/>
      <c r="CD95" s="5661"/>
      <c r="CE95"/>
      <c r="CF95"/>
      <c r="CG95"/>
      <c r="CH95"/>
      <c r="CI95"/>
      <c r="CJ95"/>
      <c r="CK95"/>
      <c r="CL95"/>
      <c r="CM95"/>
      <c r="CN95"/>
      <c r="CO95"/>
      <c r="CP95"/>
      <c r="CQ95"/>
      <c r="CR95"/>
      <c r="CS95"/>
      <c r="CT95"/>
      <c r="CU95"/>
      <c r="CV95"/>
      <c r="CW95"/>
      <c r="CX95"/>
      <c r="CY95"/>
      <c r="CZ95"/>
      <c r="DA95"/>
      <c r="DC95" s="5">
        <v>1</v>
      </c>
    </row>
    <row r="96" spans="1:107" s="1" customFormat="1" ht="21" customHeight="1">
      <c r="A96" s="5641" t="s">
        <v>1</v>
      </c>
      <c r="B96" s="5662" t="str">
        <f t="shared" si="45"/>
        <v>►</v>
      </c>
      <c r="C96" s="5825" cm="1">
        <f t="array" ref="C96">SUMPRODUCT(LEN(D96:J96))</f>
        <v>0</v>
      </c>
      <c r="D96" s="5275"/>
      <c r="E96" s="1361"/>
      <c r="F96" s="1361"/>
      <c r="G96" s="1361"/>
      <c r="H96" s="1361"/>
      <c r="I96" s="1361"/>
      <c r="J96" s="5276"/>
      <c r="K96" s="106"/>
      <c r="L96" s="1021" t="s">
        <v>26</v>
      </c>
      <c r="M96" s="6787"/>
      <c r="N96" s="6787"/>
      <c r="O96" s="6787"/>
      <c r="P96" s="6788"/>
      <c r="Q96" s="6789"/>
      <c r="R96" s="6790"/>
      <c r="S96" s="6786"/>
      <c r="T96" s="6791"/>
      <c r="U96" s="6844"/>
      <c r="V96" s="6791"/>
      <c r="W96" s="8487"/>
      <c r="X96" s="6871"/>
      <c r="Y96" s="6793"/>
      <c r="Z96" s="6794"/>
      <c r="AA96" s="6795"/>
      <c r="AB96" s="6796"/>
      <c r="AC96" s="6797"/>
      <c r="AD96" s="6798"/>
      <c r="AE96" s="4" t="s">
        <v>1</v>
      </c>
      <c r="AF96" s="6202" t="str">
        <f t="shared" si="47"/>
        <v>►</v>
      </c>
      <c r="AG96" s="6234" t="str">
        <f t="shared" si="48"/>
        <v/>
      </c>
      <c r="AH96" s="6732" t="str">
        <f t="shared" si="49"/>
        <v/>
      </c>
      <c r="AI96" s="6234" t="str">
        <f t="shared" si="50"/>
        <v/>
      </c>
      <c r="AJ96" s="6732" t="str">
        <f t="shared" si="51"/>
        <v/>
      </c>
      <c r="AK96" s="6732">
        <f t="shared" si="52"/>
        <v>0</v>
      </c>
      <c r="AL96" s="6230" t="str" cm="1">
        <f t="array" ref="AL96">IF(AF96&lt;&gt;"A","",IFERROR((IFERROR(_xlfn.XLOOKUP(TRIM(SUBSTITUTE(U96,CHAR(160)," ")),$BJ$15:$BJ$62,$BM$15:$BM$62),IFERROR(_xlfn.XLOOKUP(TRIM(SUBSTITUTE(U96,CHAR(160)," ")),$BK$15:$BK$62,$BM$15:$BM$62),_xlfn.XLOOKUP(TRIM(SUBSTITUTE(U96,CHAR(160)," ")),$BL$15:$BL$62,$BM$15:$BM$62))))*T96*IF(ISBLANK(Q96),1,Q96)+IFERROR(_xlfn.XLOOKUP("RECHERCHEX",TRIM(L96:AD96),L96:AD96),0),0))</f>
        <v/>
      </c>
      <c r="AM96" s="6229">
        <f t="shared" si="53"/>
        <v>0</v>
      </c>
      <c r="AN96" s="6857" t="str">
        <f t="shared" si="68"/>
        <v/>
      </c>
      <c r="AO96" s="392">
        <f t="shared" si="54"/>
        <v>0</v>
      </c>
      <c r="AP96" s="392">
        <f t="shared" si="55"/>
        <v>0</v>
      </c>
      <c r="AQ96" s="6190">
        <f t="shared" si="56"/>
        <v>0</v>
      </c>
      <c r="AR96" s="6858" t="str">
        <f t="shared" si="57"/>
        <v/>
      </c>
      <c r="AS96" s="6217"/>
      <c r="AT96" s="6217"/>
      <c r="AU96" s="6271">
        <f t="shared" si="58"/>
        <v>0</v>
      </c>
      <c r="AV96" s="6242">
        <f t="shared" si="59"/>
        <v>0</v>
      </c>
      <c r="AW96" s="6188" cm="1">
        <f t="array" ref="AW96">IF(AK96&lt;&gt;1,0,IF(OR(AU96="",N(AU96)&lt;=0.000000001),"",IF(OR(AO96="",N(AO96)&lt;=0.000000001),0,IF(ISNUMBER(AU96),IFERROR(_xlfn.LET(_xlpm.ai_test,TRIM(AJ96),_xlpm.r,IFERROR(_xlfn.XLOOKUP(_xlpm.ai_test,$BJ$15:$BJ$62,ROW($BJ$15:$BJ$62),0,1),IFERROR(_xlfn.XLOOKUP(_xlpm.ai_test,$BK$15:$BK$62,ROW($BK$15:$BK$62),0,1),_xlfn.XLOOKUP(_xlpm.ai_test,$BL$15:$BL$62,ROW($BL$15:$BL$62),0,1))),_xlpm.p,_xlpm.r-MIN(ROW($BJ$15:$BJ$62))+1,_xlpm.f,INDEX($BM$15:$BM$62,_xlpm.p),_xlpm.u,INDEX($BN$15:$BN$62,_xlpm.p),_xlpm.s,INDEX($BP$15:$BP$62,_xlpm.p),_xlpm.q,N(AU96)/_xlpm.f,IF(_xlpm.q&gt;=_xlpm.s,ROUND(_xlpm.q,1)&amp;" "&amp;_xlpm.ai_test&amp;" = "&amp;ROUND(_xlpm.q*_xlpm.f,1)&amp;" "&amp;_xlpm.u,ROUND(_xlpm.q,1)&amp;" "&amp;_xlpm.ai_test)),""),""))))</f>
        <v>0</v>
      </c>
      <c r="AX96" s="6218"/>
      <c r="AY96" s="6271">
        <f t="shared" si="60"/>
        <v>0</v>
      </c>
      <c r="AZ96" s="6242" t="str">
        <f t="shared" si="61"/>
        <v/>
      </c>
      <c r="BA96" s="6194">
        <f t="shared" si="66"/>
        <v>0</v>
      </c>
      <c r="BB96" s="6192" t="str">
        <f t="shared" si="62"/>
        <v/>
      </c>
      <c r="BC96" s="6219"/>
      <c r="BD96" s="6221">
        <f t="shared" si="67"/>
        <v>0</v>
      </c>
      <c r="BE96" s="6220" t="str">
        <f t="shared" si="63"/>
        <v/>
      </c>
      <c r="BF96" s="4" t="s">
        <v>1</v>
      </c>
      <c r="BG96" s="6196">
        <f t="shared" si="64"/>
        <v>0</v>
      </c>
      <c r="BH96" s="6197">
        <f t="shared" si="65"/>
        <v>0</v>
      </c>
      <c r="BJ96" s="6706">
        <v>2.835E-2</v>
      </c>
      <c r="BK96" s="6707">
        <v>0.13</v>
      </c>
      <c r="BL96" s="6708">
        <v>0</v>
      </c>
      <c r="BM96" s="6707">
        <v>0.2</v>
      </c>
      <c r="BN96" s="6707">
        <v>0.23</v>
      </c>
      <c r="BO96" s="6707">
        <v>0.22500000000000001</v>
      </c>
      <c r="BP96" s="6709">
        <v>0.35</v>
      </c>
      <c r="BQ96" s="6709">
        <v>5.0000000000000001E-3</v>
      </c>
      <c r="BR96" s="6709">
        <v>5.0000000000000001E-3</v>
      </c>
      <c r="BS96" s="6709">
        <v>1.4999999999999999E-2</v>
      </c>
      <c r="BT96" s="6709">
        <v>0.1</v>
      </c>
      <c r="BU96" s="6709">
        <v>0.22500000000000001</v>
      </c>
      <c r="BV96" s="6710">
        <v>1E-3</v>
      </c>
      <c r="BW96"/>
      <c r="BX96" s="20" t="str">
        <f t="shared" si="46"/>
        <v>►</v>
      </c>
      <c r="BY96" s="5783"/>
      <c r="BZ96" s="5783"/>
      <c r="CA96" s="5783"/>
      <c r="CB96" s="5783"/>
      <c r="CC96" s="5783"/>
      <c r="CD96" s="5661"/>
      <c r="CE96"/>
      <c r="CF96"/>
      <c r="CG96"/>
      <c r="CH96"/>
      <c r="CI96"/>
      <c r="CJ96"/>
      <c r="CK96"/>
      <c r="CL96"/>
      <c r="CM96"/>
      <c r="CN96"/>
      <c r="CO96"/>
      <c r="CP96"/>
      <c r="CQ96"/>
      <c r="CR96"/>
      <c r="CS96"/>
      <c r="CT96"/>
      <c r="CU96"/>
      <c r="CV96"/>
      <c r="CW96"/>
      <c r="CX96"/>
      <c r="CY96"/>
      <c r="CZ96"/>
      <c r="DA96"/>
      <c r="DC96" s="5">
        <v>1</v>
      </c>
    </row>
    <row r="97" spans="1:107" s="1" customFormat="1" ht="21" customHeight="1">
      <c r="A97" s="5641" t="s">
        <v>1</v>
      </c>
      <c r="B97" s="5662" t="str">
        <f t="shared" si="45"/>
        <v>►</v>
      </c>
      <c r="C97" s="5825" cm="1">
        <f t="array" ref="C97">SUMPRODUCT(LEN(D97:J97))</f>
        <v>0</v>
      </c>
      <c r="D97" s="5275"/>
      <c r="E97" s="1361"/>
      <c r="F97" s="1361"/>
      <c r="G97" s="1361"/>
      <c r="H97" s="1361"/>
      <c r="I97" s="1361"/>
      <c r="J97" s="5276"/>
      <c r="K97" s="106"/>
      <c r="L97" s="1021" t="s">
        <v>26</v>
      </c>
      <c r="M97" s="6787"/>
      <c r="N97" s="6787"/>
      <c r="O97" s="6787"/>
      <c r="P97" s="6788"/>
      <c r="Q97" s="6789"/>
      <c r="R97" s="6790"/>
      <c r="S97" s="6786"/>
      <c r="T97" s="6791"/>
      <c r="U97" s="6844"/>
      <c r="V97" s="6791"/>
      <c r="W97" s="8487"/>
      <c r="X97" s="6871"/>
      <c r="Y97" s="6793"/>
      <c r="Z97" s="6794"/>
      <c r="AA97" s="6795"/>
      <c r="AB97" s="6796"/>
      <c r="AC97" s="6797"/>
      <c r="AD97" s="6798"/>
      <c r="AE97" s="4" t="s">
        <v>1</v>
      </c>
      <c r="AF97" s="6202" t="str">
        <f t="shared" si="47"/>
        <v>►</v>
      </c>
      <c r="AG97" s="6234" t="str">
        <f t="shared" si="48"/>
        <v/>
      </c>
      <c r="AH97" s="6732" t="str">
        <f t="shared" si="49"/>
        <v/>
      </c>
      <c r="AI97" s="6234" t="str">
        <f t="shared" si="50"/>
        <v/>
      </c>
      <c r="AJ97" s="6732" t="str">
        <f t="shared" si="51"/>
        <v/>
      </c>
      <c r="AK97" s="6732">
        <f t="shared" si="52"/>
        <v>0</v>
      </c>
      <c r="AL97" s="6230" t="str" cm="1">
        <f t="array" ref="AL97">IF(AF97&lt;&gt;"A","",IFERROR((IFERROR(_xlfn.XLOOKUP(TRIM(SUBSTITUTE(U97,CHAR(160)," ")),$BJ$15:$BJ$62,$BM$15:$BM$62),IFERROR(_xlfn.XLOOKUP(TRIM(SUBSTITUTE(U97,CHAR(160)," ")),$BK$15:$BK$62,$BM$15:$BM$62),_xlfn.XLOOKUP(TRIM(SUBSTITUTE(U97,CHAR(160)," ")),$BL$15:$BL$62,$BM$15:$BM$62))))*T97*IF(ISBLANK(Q97),1,Q97)+IFERROR(_xlfn.XLOOKUP("RECHERCHEX",TRIM(L97:AD97),L97:AD97),0),0))</f>
        <v/>
      </c>
      <c r="AM97" s="6229">
        <f t="shared" si="53"/>
        <v>0</v>
      </c>
      <c r="AN97" s="6857" t="str">
        <f t="shared" si="68"/>
        <v/>
      </c>
      <c r="AO97" s="392">
        <f t="shared" si="54"/>
        <v>0</v>
      </c>
      <c r="AP97" s="392">
        <f t="shared" si="55"/>
        <v>0</v>
      </c>
      <c r="AQ97" s="6191">
        <f t="shared" si="56"/>
        <v>0</v>
      </c>
      <c r="AR97" s="6859" t="str">
        <f t="shared" si="57"/>
        <v/>
      </c>
      <c r="AS97" s="6217"/>
      <c r="AT97" s="6217"/>
      <c r="AU97" s="6272">
        <f t="shared" si="58"/>
        <v>0</v>
      </c>
      <c r="AV97" s="6240">
        <f t="shared" si="59"/>
        <v>0</v>
      </c>
      <c r="AW97" s="6189" cm="1">
        <f t="array" ref="AW97">IF(AK97&lt;&gt;1,0,IF(OR(AU97="",N(AU97)&lt;=0.000000001),"",IF(OR(AO97="",N(AO97)&lt;=0.000000001),0,IF(ISNUMBER(AU97),IFERROR(_xlfn.LET(_xlpm.ai_test,TRIM(AJ97),_xlpm.r,IFERROR(_xlfn.XLOOKUP(_xlpm.ai_test,$BJ$15:$BJ$62,ROW($BJ$15:$BJ$62),0,1),IFERROR(_xlfn.XLOOKUP(_xlpm.ai_test,$BK$15:$BK$62,ROW($BK$15:$BK$62),0,1),_xlfn.XLOOKUP(_xlpm.ai_test,$BL$15:$BL$62,ROW($BL$15:$BL$62),0,1))),_xlpm.p,_xlpm.r-MIN(ROW($BJ$15:$BJ$62))+1,_xlpm.f,INDEX($BM$15:$BM$62,_xlpm.p),_xlpm.u,INDEX($BN$15:$BN$62,_xlpm.p),_xlpm.s,INDEX($BP$15:$BP$62,_xlpm.p),_xlpm.q,N(AU97)/_xlpm.f,IF(_xlpm.q&gt;=_xlpm.s,ROUND(_xlpm.q,1)&amp;" "&amp;_xlpm.ai_test&amp;" = "&amp;ROUND(_xlpm.q*_xlpm.f,1)&amp;" "&amp;_xlpm.u,ROUND(_xlpm.q,1)&amp;" "&amp;_xlpm.ai_test)),""),""))))</f>
        <v>0</v>
      </c>
      <c r="AX97" s="6218"/>
      <c r="AY97" s="6272">
        <f t="shared" si="60"/>
        <v>0</v>
      </c>
      <c r="AZ97" s="6240" t="str">
        <f t="shared" si="61"/>
        <v/>
      </c>
      <c r="BA97" s="6195">
        <f t="shared" si="66"/>
        <v>0</v>
      </c>
      <c r="BB97" s="6193" t="str">
        <f t="shared" si="62"/>
        <v/>
      </c>
      <c r="BC97" s="6219"/>
      <c r="BD97" s="6222">
        <f t="shared" si="67"/>
        <v>0</v>
      </c>
      <c r="BE97" s="6220" t="str">
        <f t="shared" si="63"/>
        <v/>
      </c>
      <c r="BF97" s="4" t="s">
        <v>1</v>
      </c>
      <c r="BG97" s="6196">
        <f t="shared" si="64"/>
        <v>0</v>
      </c>
      <c r="BH97" s="6197">
        <f t="shared" si="65"/>
        <v>0</v>
      </c>
      <c r="BJ97" s="6757" t="s">
        <v>8915</v>
      </c>
      <c r="BK97" s="5405"/>
      <c r="BL97" s="5405"/>
      <c r="BM97" s="5405"/>
      <c r="BN97" s="5405"/>
      <c r="BO97" s="5405"/>
      <c r="BP97" s="5405"/>
      <c r="BQ97" s="5405"/>
      <c r="BR97" s="5405"/>
      <c r="BS97" s="5405"/>
      <c r="BT97" s="5405"/>
      <c r="BU97" s="5405"/>
      <c r="BV97" s="5405"/>
      <c r="BW97"/>
      <c r="BX97" s="20" t="str">
        <f t="shared" si="46"/>
        <v>►</v>
      </c>
      <c r="BY97" s="6306"/>
      <c r="BZ97" s="6243"/>
      <c r="CA97" s="6243"/>
      <c r="CB97" s="6243"/>
      <c r="CC97" s="5783"/>
      <c r="CD97" s="5661"/>
      <c r="CE97"/>
      <c r="CF97"/>
      <c r="CG97"/>
      <c r="CH97"/>
      <c r="CI97"/>
      <c r="CJ97"/>
      <c r="CK97"/>
      <c r="CL97"/>
      <c r="CM97"/>
      <c r="CN97"/>
      <c r="CO97"/>
      <c r="CP97"/>
      <c r="CQ97"/>
      <c r="CR97"/>
      <c r="CS97"/>
      <c r="CT97"/>
      <c r="CU97"/>
      <c r="CV97"/>
      <c r="CW97"/>
      <c r="CX97"/>
      <c r="CY97"/>
      <c r="CZ97"/>
      <c r="DA97"/>
      <c r="DC97" s="5">
        <v>1</v>
      </c>
    </row>
    <row r="98" spans="1:107" s="1" customFormat="1" ht="21" customHeight="1">
      <c r="A98" s="5641" t="s">
        <v>1</v>
      </c>
      <c r="B98" s="5662" t="str">
        <f t="shared" si="45"/>
        <v>►</v>
      </c>
      <c r="C98" s="5825" cm="1">
        <f t="array" ref="C98">SUMPRODUCT(LEN(D98:J98))</f>
        <v>0</v>
      </c>
      <c r="D98" s="5275"/>
      <c r="E98" s="1361"/>
      <c r="F98" s="1361"/>
      <c r="G98" s="1361"/>
      <c r="H98" s="1361"/>
      <c r="I98" s="1361"/>
      <c r="J98" s="5276"/>
      <c r="K98" s="106"/>
      <c r="L98" s="1021" t="s">
        <v>26</v>
      </c>
      <c r="M98" s="6787"/>
      <c r="N98" s="6787"/>
      <c r="O98" s="6787"/>
      <c r="P98" s="6788"/>
      <c r="Q98" s="6789"/>
      <c r="R98" s="6790"/>
      <c r="S98" s="6786"/>
      <c r="T98" s="6791"/>
      <c r="U98" s="6844"/>
      <c r="V98" s="6791"/>
      <c r="W98" s="8487"/>
      <c r="X98" s="6871"/>
      <c r="Y98" s="6793"/>
      <c r="Z98" s="6794"/>
      <c r="AA98" s="6795"/>
      <c r="AB98" s="6796"/>
      <c r="AC98" s="6797"/>
      <c r="AD98" s="6798"/>
      <c r="AE98" s="4" t="s">
        <v>1</v>
      </c>
      <c r="AF98" s="6202" t="str">
        <f t="shared" si="47"/>
        <v>►</v>
      </c>
      <c r="AG98" s="6234" t="str">
        <f t="shared" si="48"/>
        <v/>
      </c>
      <c r="AH98" s="6732" t="str">
        <f t="shared" si="49"/>
        <v/>
      </c>
      <c r="AI98" s="6234" t="str">
        <f t="shared" si="50"/>
        <v/>
      </c>
      <c r="AJ98" s="6732" t="str">
        <f t="shared" si="51"/>
        <v/>
      </c>
      <c r="AK98" s="6732">
        <f t="shared" si="52"/>
        <v>0</v>
      </c>
      <c r="AL98" s="6230" t="str" cm="1">
        <f t="array" ref="AL98">IF(AF98&lt;&gt;"A","",IFERROR((IFERROR(_xlfn.XLOOKUP(TRIM(SUBSTITUTE(U98,CHAR(160)," ")),$BJ$15:$BJ$62,$BM$15:$BM$62),IFERROR(_xlfn.XLOOKUP(TRIM(SUBSTITUTE(U98,CHAR(160)," ")),$BK$15:$BK$62,$BM$15:$BM$62),_xlfn.XLOOKUP(TRIM(SUBSTITUTE(U98,CHAR(160)," ")),$BL$15:$BL$62,$BM$15:$BM$62))))*T98*IF(ISBLANK(Q98),1,Q98)+IFERROR(_xlfn.XLOOKUP("RECHERCHEX",TRIM(L98:AD98),L98:AD98),0),0))</f>
        <v/>
      </c>
      <c r="AM98" s="6229">
        <f t="shared" si="53"/>
        <v>0</v>
      </c>
      <c r="AN98" s="6857" t="str">
        <f t="shared" si="68"/>
        <v/>
      </c>
      <c r="AO98" s="392">
        <f t="shared" si="54"/>
        <v>0</v>
      </c>
      <c r="AP98" s="392">
        <f t="shared" si="55"/>
        <v>0</v>
      </c>
      <c r="AQ98" s="6190">
        <f t="shared" si="56"/>
        <v>0</v>
      </c>
      <c r="AR98" s="6858" t="str">
        <f t="shared" si="57"/>
        <v/>
      </c>
      <c r="AS98" s="6217"/>
      <c r="AT98" s="6217"/>
      <c r="AU98" s="6271">
        <f t="shared" si="58"/>
        <v>0</v>
      </c>
      <c r="AV98" s="6242">
        <f t="shared" si="59"/>
        <v>0</v>
      </c>
      <c r="AW98" s="6188" cm="1">
        <f t="array" ref="AW98">IF(AK98&lt;&gt;1,0,IF(OR(AU98="",N(AU98)&lt;=0.000000001),"",IF(OR(AO98="",N(AO98)&lt;=0.000000001),0,IF(ISNUMBER(AU98),IFERROR(_xlfn.LET(_xlpm.ai_test,TRIM(AJ98),_xlpm.r,IFERROR(_xlfn.XLOOKUP(_xlpm.ai_test,$BJ$15:$BJ$62,ROW($BJ$15:$BJ$62),0,1),IFERROR(_xlfn.XLOOKUP(_xlpm.ai_test,$BK$15:$BK$62,ROW($BK$15:$BK$62),0,1),_xlfn.XLOOKUP(_xlpm.ai_test,$BL$15:$BL$62,ROW($BL$15:$BL$62),0,1))),_xlpm.p,_xlpm.r-MIN(ROW($BJ$15:$BJ$62))+1,_xlpm.f,INDEX($BM$15:$BM$62,_xlpm.p),_xlpm.u,INDEX($BN$15:$BN$62,_xlpm.p),_xlpm.s,INDEX($BP$15:$BP$62,_xlpm.p),_xlpm.q,N(AU98)/_xlpm.f,IF(_xlpm.q&gt;=_xlpm.s,ROUND(_xlpm.q,1)&amp;" "&amp;_xlpm.ai_test&amp;" = "&amp;ROUND(_xlpm.q*_xlpm.f,1)&amp;" "&amp;_xlpm.u,ROUND(_xlpm.q,1)&amp;" "&amp;_xlpm.ai_test)),""),""))))</f>
        <v>0</v>
      </c>
      <c r="AX98" s="6218"/>
      <c r="AY98" s="6271">
        <f t="shared" si="60"/>
        <v>0</v>
      </c>
      <c r="AZ98" s="6242" t="str">
        <f t="shared" si="61"/>
        <v/>
      </c>
      <c r="BA98" s="6194">
        <f t="shared" si="66"/>
        <v>0</v>
      </c>
      <c r="BB98" s="6192" t="str">
        <f t="shared" si="62"/>
        <v/>
      </c>
      <c r="BC98" s="6219"/>
      <c r="BD98" s="6221">
        <f t="shared" si="67"/>
        <v>0</v>
      </c>
      <c r="BE98" s="6220" t="str">
        <f t="shared" si="63"/>
        <v/>
      </c>
      <c r="BF98" s="4" t="s">
        <v>1</v>
      </c>
      <c r="BG98" s="6196">
        <f t="shared" si="64"/>
        <v>0</v>
      </c>
      <c r="BH98" s="6197">
        <f t="shared" si="65"/>
        <v>0</v>
      </c>
      <c r="BJ98" s="6758" t="s">
        <v>10013</v>
      </c>
      <c r="BK98" s="6756"/>
      <c r="BL98" s="6756"/>
      <c r="BM98" s="6756"/>
      <c r="BN98" s="6756"/>
      <c r="BO98" s="6756"/>
      <c r="BP98" s="6756"/>
      <c r="BQ98" s="6756"/>
      <c r="BR98" s="6756"/>
      <c r="BS98" s="6756"/>
      <c r="BT98" s="6756"/>
      <c r="BU98" s="6756"/>
      <c r="BV98" s="6756"/>
      <c r="BW98"/>
      <c r="BX98" s="20" t="str">
        <f t="shared" si="46"/>
        <v>►</v>
      </c>
      <c r="BY98" s="6306"/>
      <c r="BZ98" s="6243"/>
      <c r="CA98" s="6243"/>
      <c r="CB98" s="6243"/>
      <c r="CC98" s="5783"/>
      <c r="CD98" s="5661"/>
      <c r="CE98"/>
      <c r="CF98"/>
      <c r="CG98"/>
      <c r="CH98"/>
      <c r="CI98"/>
      <c r="CJ98"/>
      <c r="CK98"/>
      <c r="CL98"/>
      <c r="CM98"/>
      <c r="CN98"/>
      <c r="CO98"/>
      <c r="CP98"/>
      <c r="CQ98"/>
      <c r="CR98"/>
      <c r="CS98"/>
      <c r="CT98"/>
      <c r="CU98"/>
      <c r="CV98"/>
      <c r="CW98"/>
      <c r="CX98"/>
      <c r="CY98"/>
      <c r="CZ98"/>
      <c r="DA98"/>
      <c r="DC98" s="5">
        <v>1</v>
      </c>
    </row>
    <row r="99" spans="1:107" s="1" customFormat="1" ht="21" customHeight="1">
      <c r="A99" s="5641" t="s">
        <v>1</v>
      </c>
      <c r="B99" s="5662" t="str">
        <f t="shared" si="45"/>
        <v>►</v>
      </c>
      <c r="C99" s="5825" cm="1">
        <f t="array" ref="C99">SUMPRODUCT(LEN(D99:J99))</f>
        <v>0</v>
      </c>
      <c r="D99" s="5275"/>
      <c r="E99" s="1361"/>
      <c r="F99" s="1361"/>
      <c r="G99" s="1361"/>
      <c r="H99" s="1361"/>
      <c r="I99" s="1361"/>
      <c r="J99" s="5276"/>
      <c r="K99" s="106"/>
      <c r="L99" s="1021" t="s">
        <v>26</v>
      </c>
      <c r="M99" s="6787"/>
      <c r="N99" s="6787"/>
      <c r="O99" s="6787"/>
      <c r="P99" s="6788"/>
      <c r="Q99" s="6789"/>
      <c r="R99" s="6790"/>
      <c r="S99" s="6786"/>
      <c r="T99" s="6791"/>
      <c r="U99" s="6844"/>
      <c r="V99" s="6791"/>
      <c r="W99" s="8487"/>
      <c r="X99" s="6871"/>
      <c r="Y99" s="6793"/>
      <c r="Z99" s="6794"/>
      <c r="AA99" s="6795"/>
      <c r="AB99" s="6796"/>
      <c r="AC99" s="6797"/>
      <c r="AD99" s="6798"/>
      <c r="AE99" s="4" t="s">
        <v>1</v>
      </c>
      <c r="AF99" s="6202" t="str">
        <f t="shared" si="47"/>
        <v>►</v>
      </c>
      <c r="AG99" s="6234" t="str">
        <f t="shared" si="48"/>
        <v/>
      </c>
      <c r="AH99" s="6732" t="str">
        <f t="shared" si="49"/>
        <v/>
      </c>
      <c r="AI99" s="6234" t="str">
        <f t="shared" si="50"/>
        <v/>
      </c>
      <c r="AJ99" s="6732" t="str">
        <f t="shared" si="51"/>
        <v/>
      </c>
      <c r="AK99" s="6732">
        <f t="shared" si="52"/>
        <v>0</v>
      </c>
      <c r="AL99" s="6230" t="str" cm="1">
        <f t="array" ref="AL99">IF(AF99&lt;&gt;"A","",IFERROR((IFERROR(_xlfn.XLOOKUP(TRIM(SUBSTITUTE(U99,CHAR(160)," ")),$BJ$15:$BJ$62,$BM$15:$BM$62),IFERROR(_xlfn.XLOOKUP(TRIM(SUBSTITUTE(U99,CHAR(160)," ")),$BK$15:$BK$62,$BM$15:$BM$62),_xlfn.XLOOKUP(TRIM(SUBSTITUTE(U99,CHAR(160)," ")),$BL$15:$BL$62,$BM$15:$BM$62))))*T99*IF(ISBLANK(Q99),1,Q99)+IFERROR(_xlfn.XLOOKUP("RECHERCHEX",TRIM(L99:AD99),L99:AD99),0),0))</f>
        <v/>
      </c>
      <c r="AM99" s="6229">
        <f t="shared" si="53"/>
        <v>0</v>
      </c>
      <c r="AN99" s="6857" t="str">
        <f t="shared" si="68"/>
        <v/>
      </c>
      <c r="AO99" s="392">
        <f t="shared" si="54"/>
        <v>0</v>
      </c>
      <c r="AP99" s="392">
        <f t="shared" si="55"/>
        <v>0</v>
      </c>
      <c r="AQ99" s="6191">
        <f t="shared" si="56"/>
        <v>0</v>
      </c>
      <c r="AR99" s="6859" t="str">
        <f t="shared" si="57"/>
        <v/>
      </c>
      <c r="AS99" s="6217"/>
      <c r="AT99" s="6217"/>
      <c r="AU99" s="6272">
        <f t="shared" si="58"/>
        <v>0</v>
      </c>
      <c r="AV99" s="6240">
        <f t="shared" si="59"/>
        <v>0</v>
      </c>
      <c r="AW99" s="6189" cm="1">
        <f t="array" ref="AW99">IF(AK99&lt;&gt;1,0,IF(OR(AU99="",N(AU99)&lt;=0.000000001),"",IF(OR(AO99="",N(AO99)&lt;=0.000000001),0,IF(ISNUMBER(AU99),IFERROR(_xlfn.LET(_xlpm.ai_test,TRIM(AJ99),_xlpm.r,IFERROR(_xlfn.XLOOKUP(_xlpm.ai_test,$BJ$15:$BJ$62,ROW($BJ$15:$BJ$62),0,1),IFERROR(_xlfn.XLOOKUP(_xlpm.ai_test,$BK$15:$BK$62,ROW($BK$15:$BK$62),0,1),_xlfn.XLOOKUP(_xlpm.ai_test,$BL$15:$BL$62,ROW($BL$15:$BL$62),0,1))),_xlpm.p,_xlpm.r-MIN(ROW($BJ$15:$BJ$62))+1,_xlpm.f,INDEX($BM$15:$BM$62,_xlpm.p),_xlpm.u,INDEX($BN$15:$BN$62,_xlpm.p),_xlpm.s,INDEX($BP$15:$BP$62,_xlpm.p),_xlpm.q,N(AU99)/_xlpm.f,IF(_xlpm.q&gt;=_xlpm.s,ROUND(_xlpm.q,1)&amp;" "&amp;_xlpm.ai_test&amp;" = "&amp;ROUND(_xlpm.q*_xlpm.f,1)&amp;" "&amp;_xlpm.u,ROUND(_xlpm.q,1)&amp;" "&amp;_xlpm.ai_test)),""),""))))</f>
        <v>0</v>
      </c>
      <c r="AX99" s="6218"/>
      <c r="AY99" s="6272">
        <f t="shared" si="60"/>
        <v>0</v>
      </c>
      <c r="AZ99" s="6240" t="str">
        <f t="shared" si="61"/>
        <v/>
      </c>
      <c r="BA99" s="6195">
        <f t="shared" si="66"/>
        <v>0</v>
      </c>
      <c r="BB99" s="6193" t="str">
        <f t="shared" si="62"/>
        <v/>
      </c>
      <c r="BC99" s="6219"/>
      <c r="BD99" s="6222">
        <f t="shared" si="67"/>
        <v>0</v>
      </c>
      <c r="BE99" s="6220" t="str">
        <f t="shared" si="63"/>
        <v/>
      </c>
      <c r="BF99" s="4" t="s">
        <v>1</v>
      </c>
      <c r="BG99" s="6196">
        <f t="shared" si="64"/>
        <v>0</v>
      </c>
      <c r="BH99" s="6197">
        <f t="shared" si="65"/>
        <v>0</v>
      </c>
      <c r="BJ99" s="6910" t="s">
        <v>10022</v>
      </c>
      <c r="BK99" s="6910"/>
      <c r="BL99" s="6910"/>
      <c r="BM99" s="6910"/>
      <c r="BN99" s="6910"/>
      <c r="BO99" s="6910"/>
      <c r="BP99" s="6910"/>
      <c r="BQ99" s="6910"/>
      <c r="BR99" s="6910"/>
      <c r="BS99" s="6910"/>
      <c r="BT99" s="6910"/>
      <c r="BU99" s="6910"/>
      <c r="BV99" s="6910"/>
      <c r="BW99"/>
      <c r="BX99" s="20" t="str">
        <f t="shared" si="46"/>
        <v>►</v>
      </c>
      <c r="BY99" s="6306" t="s">
        <v>10686</v>
      </c>
      <c r="BZ99" s="6243"/>
      <c r="CA99" s="6243"/>
      <c r="CB99" s="6243"/>
      <c r="CC99" s="5783"/>
      <c r="CD99" s="5661"/>
      <c r="CE99"/>
      <c r="CF99"/>
      <c r="CG99"/>
      <c r="CH99"/>
      <c r="CI99"/>
      <c r="CJ99"/>
      <c r="CK99"/>
      <c r="CL99"/>
      <c r="CM99"/>
      <c r="CN99"/>
      <c r="CO99"/>
      <c r="CP99"/>
      <c r="CQ99"/>
      <c r="CR99"/>
      <c r="CS99"/>
      <c r="CT99"/>
      <c r="CU99"/>
      <c r="CV99"/>
      <c r="CW99"/>
      <c r="CX99"/>
      <c r="CY99"/>
      <c r="CZ99"/>
      <c r="DA99"/>
      <c r="DC99" s="5">
        <v>1</v>
      </c>
    </row>
    <row r="100" spans="1:107" s="1" customFormat="1" ht="21" customHeight="1">
      <c r="A100" s="5641" t="s">
        <v>1</v>
      </c>
      <c r="B100" s="5662" t="str">
        <f t="shared" si="45"/>
        <v>►</v>
      </c>
      <c r="C100" s="5825" cm="1">
        <f t="array" ref="C100">SUMPRODUCT(LEN(D100:J100))</f>
        <v>0</v>
      </c>
      <c r="D100" s="5275"/>
      <c r="E100" s="1361"/>
      <c r="F100" s="1361"/>
      <c r="G100" s="1361"/>
      <c r="H100" s="1361"/>
      <c r="I100" s="1361"/>
      <c r="J100" s="5276"/>
      <c r="K100" s="106"/>
      <c r="L100" s="1021" t="s">
        <v>26</v>
      </c>
      <c r="M100" s="6787"/>
      <c r="N100" s="6787"/>
      <c r="O100" s="6787"/>
      <c r="P100" s="6788"/>
      <c r="Q100" s="6789"/>
      <c r="R100" s="6790"/>
      <c r="S100" s="6786"/>
      <c r="T100" s="6791"/>
      <c r="U100" s="6844"/>
      <c r="V100" s="6791"/>
      <c r="W100" s="8487"/>
      <c r="X100" s="6871"/>
      <c r="Y100" s="6793"/>
      <c r="Z100" s="6794"/>
      <c r="AA100" s="6795"/>
      <c r="AB100" s="6796"/>
      <c r="AC100" s="6797"/>
      <c r="AD100" s="6798"/>
      <c r="AE100" s="4" t="s">
        <v>1</v>
      </c>
      <c r="AF100" s="6202" t="str">
        <f t="shared" si="47"/>
        <v>►</v>
      </c>
      <c r="AG100" s="6234" t="str">
        <f t="shared" si="48"/>
        <v/>
      </c>
      <c r="AH100" s="6732" t="str">
        <f t="shared" si="49"/>
        <v/>
      </c>
      <c r="AI100" s="6234" t="str">
        <f t="shared" si="50"/>
        <v/>
      </c>
      <c r="AJ100" s="6732" t="str">
        <f t="shared" si="51"/>
        <v/>
      </c>
      <c r="AK100" s="6732">
        <f t="shared" si="52"/>
        <v>0</v>
      </c>
      <c r="AL100" s="6230" t="str" cm="1">
        <f t="array" ref="AL100">IF(AF100&lt;&gt;"A","",IFERROR((IFERROR(_xlfn.XLOOKUP(TRIM(SUBSTITUTE(U100,CHAR(160)," ")),$BJ$15:$BJ$62,$BM$15:$BM$62),IFERROR(_xlfn.XLOOKUP(TRIM(SUBSTITUTE(U100,CHAR(160)," ")),$BK$15:$BK$62,$BM$15:$BM$62),_xlfn.XLOOKUP(TRIM(SUBSTITUTE(U100,CHAR(160)," ")),$BL$15:$BL$62,$BM$15:$BM$62))))*T100*IF(ISBLANK(Q100),1,Q100)+IFERROR(_xlfn.XLOOKUP("RECHERCHEX",TRIM(L100:AD100),L100:AD100),0),0))</f>
        <v/>
      </c>
      <c r="AM100" s="6229">
        <f t="shared" si="53"/>
        <v>0</v>
      </c>
      <c r="AN100" s="6857" t="str">
        <f t="shared" si="68"/>
        <v/>
      </c>
      <c r="AO100" s="392">
        <f t="shared" si="54"/>
        <v>0</v>
      </c>
      <c r="AP100" s="392">
        <f t="shared" si="55"/>
        <v>0</v>
      </c>
      <c r="AQ100" s="6190">
        <f t="shared" si="56"/>
        <v>0</v>
      </c>
      <c r="AR100" s="6858" t="str">
        <f t="shared" si="57"/>
        <v/>
      </c>
      <c r="AS100" s="6217"/>
      <c r="AT100" s="6217"/>
      <c r="AU100" s="6271">
        <f t="shared" si="58"/>
        <v>0</v>
      </c>
      <c r="AV100" s="6242">
        <f t="shared" si="59"/>
        <v>0</v>
      </c>
      <c r="AW100" s="6188" cm="1">
        <f t="array" ref="AW100">IF(AK100&lt;&gt;1,0,IF(OR(AU100="",N(AU100)&lt;=0.000000001),"",IF(OR(AO100="",N(AO100)&lt;=0.000000001),0,IF(ISNUMBER(AU100),IFERROR(_xlfn.LET(_xlpm.ai_test,TRIM(AJ100),_xlpm.r,IFERROR(_xlfn.XLOOKUP(_xlpm.ai_test,$BJ$15:$BJ$62,ROW($BJ$15:$BJ$62),0,1),IFERROR(_xlfn.XLOOKUP(_xlpm.ai_test,$BK$15:$BK$62,ROW($BK$15:$BK$62),0,1),_xlfn.XLOOKUP(_xlpm.ai_test,$BL$15:$BL$62,ROW($BL$15:$BL$62),0,1))),_xlpm.p,_xlpm.r-MIN(ROW($BJ$15:$BJ$62))+1,_xlpm.f,INDEX($BM$15:$BM$62,_xlpm.p),_xlpm.u,INDEX($BN$15:$BN$62,_xlpm.p),_xlpm.s,INDEX($BP$15:$BP$62,_xlpm.p),_xlpm.q,N(AU100)/_xlpm.f,IF(_xlpm.q&gt;=_xlpm.s,ROUND(_xlpm.q,1)&amp;" "&amp;_xlpm.ai_test&amp;" = "&amp;ROUND(_xlpm.q*_xlpm.f,1)&amp;" "&amp;_xlpm.u,ROUND(_xlpm.q,1)&amp;" "&amp;_xlpm.ai_test)),""),""))))</f>
        <v>0</v>
      </c>
      <c r="AX100" s="6218"/>
      <c r="AY100" s="6271">
        <f t="shared" si="60"/>
        <v>0</v>
      </c>
      <c r="AZ100" s="6242" t="str">
        <f t="shared" si="61"/>
        <v/>
      </c>
      <c r="BA100" s="6194">
        <f t="shared" si="66"/>
        <v>0</v>
      </c>
      <c r="BB100" s="6192" t="str">
        <f t="shared" si="62"/>
        <v/>
      </c>
      <c r="BC100" s="6219"/>
      <c r="BD100" s="6221">
        <f t="shared" si="67"/>
        <v>0</v>
      </c>
      <c r="BE100" s="6220" t="str">
        <f t="shared" si="63"/>
        <v/>
      </c>
      <c r="BF100" s="4" t="s">
        <v>1</v>
      </c>
      <c r="BG100" s="6196">
        <f t="shared" si="64"/>
        <v>0</v>
      </c>
      <c r="BH100" s="6197">
        <f t="shared" si="65"/>
        <v>0</v>
      </c>
      <c r="BJ100" s="6910"/>
      <c r="BK100" s="6910"/>
      <c r="BL100" s="6910"/>
      <c r="BM100" s="6910"/>
      <c r="BN100" s="6910"/>
      <c r="BO100" s="6910"/>
      <c r="BP100" s="6910"/>
      <c r="BQ100" s="6910"/>
      <c r="BR100" s="6910"/>
      <c r="BS100" s="6910"/>
      <c r="BT100" s="6910"/>
      <c r="BU100" s="6910"/>
      <c r="BV100" s="6910"/>
      <c r="BW100"/>
      <c r="BX100" s="20" t="str">
        <f t="shared" si="46"/>
        <v>►</v>
      </c>
      <c r="BY100" s="6306"/>
      <c r="BZ100" s="6243"/>
      <c r="CA100" s="6243"/>
      <c r="CB100" s="6243"/>
      <c r="CC100" s="5783"/>
      <c r="CD100" s="5661"/>
      <c r="CE100"/>
      <c r="CF100"/>
      <c r="CG100"/>
      <c r="CH100"/>
      <c r="CI100"/>
      <c r="CJ100"/>
      <c r="CK100"/>
      <c r="CL100"/>
      <c r="CM100"/>
      <c r="CN100"/>
      <c r="CO100"/>
      <c r="CP100"/>
      <c r="CQ100"/>
      <c r="CR100"/>
      <c r="CS100"/>
      <c r="CT100"/>
      <c r="CU100"/>
      <c r="CV100"/>
      <c r="CW100"/>
      <c r="CX100"/>
      <c r="CY100"/>
      <c r="CZ100"/>
      <c r="DA100"/>
      <c r="DC100" s="5">
        <v>1</v>
      </c>
    </row>
    <row r="101" spans="1:107" s="1" customFormat="1" ht="21" customHeight="1">
      <c r="A101" s="5641" t="s">
        <v>1</v>
      </c>
      <c r="B101" s="5662" t="str">
        <f t="shared" si="45"/>
        <v>►</v>
      </c>
      <c r="C101" s="5825" cm="1">
        <f t="array" ref="C101">SUMPRODUCT(LEN(D101:J101))</f>
        <v>0</v>
      </c>
      <c r="D101" s="5275"/>
      <c r="E101" s="1361"/>
      <c r="F101" s="1361"/>
      <c r="G101" s="1361"/>
      <c r="H101" s="1361"/>
      <c r="I101" s="1361"/>
      <c r="J101" s="5276"/>
      <c r="K101" s="106"/>
      <c r="L101" s="1021" t="s">
        <v>26</v>
      </c>
      <c r="M101" s="6787"/>
      <c r="N101" s="6787"/>
      <c r="O101" s="6787"/>
      <c r="P101" s="6788"/>
      <c r="Q101" s="6789"/>
      <c r="R101" s="6790"/>
      <c r="S101" s="6786"/>
      <c r="T101" s="6791"/>
      <c r="U101" s="6844"/>
      <c r="V101" s="6791"/>
      <c r="W101" s="8487"/>
      <c r="X101" s="6871"/>
      <c r="Y101" s="6793"/>
      <c r="Z101" s="6794"/>
      <c r="AA101" s="6795"/>
      <c r="AB101" s="6796"/>
      <c r="AC101" s="6797"/>
      <c r="AD101" s="6798"/>
      <c r="AE101" s="4" t="s">
        <v>1</v>
      </c>
      <c r="AF101" s="6202" t="str">
        <f t="shared" si="47"/>
        <v>►</v>
      </c>
      <c r="AG101" s="6234" t="str">
        <f t="shared" si="48"/>
        <v/>
      </c>
      <c r="AH101" s="6732" t="str">
        <f t="shared" si="49"/>
        <v/>
      </c>
      <c r="AI101" s="6234" t="str">
        <f t="shared" si="50"/>
        <v/>
      </c>
      <c r="AJ101" s="6732" t="str">
        <f t="shared" si="51"/>
        <v/>
      </c>
      <c r="AK101" s="6732">
        <f t="shared" si="52"/>
        <v>0</v>
      </c>
      <c r="AL101" s="6230" t="str" cm="1">
        <f t="array" ref="AL101">IF(AF101&lt;&gt;"A","",IFERROR((IFERROR(_xlfn.XLOOKUP(TRIM(SUBSTITUTE(U101,CHAR(160)," ")),$BJ$15:$BJ$62,$BM$15:$BM$62),IFERROR(_xlfn.XLOOKUP(TRIM(SUBSTITUTE(U101,CHAR(160)," ")),$BK$15:$BK$62,$BM$15:$BM$62),_xlfn.XLOOKUP(TRIM(SUBSTITUTE(U101,CHAR(160)," ")),$BL$15:$BL$62,$BM$15:$BM$62))))*T101*IF(ISBLANK(Q101),1,Q101)+IFERROR(_xlfn.XLOOKUP("RECHERCHEX",TRIM(L101:AD101),L101:AD101),0),0))</f>
        <v/>
      </c>
      <c r="AM101" s="6229">
        <f t="shared" si="53"/>
        <v>0</v>
      </c>
      <c r="AN101" s="6857" t="str">
        <f t="shared" si="68"/>
        <v/>
      </c>
      <c r="AO101" s="392">
        <f t="shared" si="54"/>
        <v>0</v>
      </c>
      <c r="AP101" s="392">
        <f t="shared" si="55"/>
        <v>0</v>
      </c>
      <c r="AQ101" s="6191">
        <f t="shared" si="56"/>
        <v>0</v>
      </c>
      <c r="AR101" s="6859" t="str">
        <f t="shared" si="57"/>
        <v/>
      </c>
      <c r="AS101" s="6217"/>
      <c r="AT101" s="6217"/>
      <c r="AU101" s="6272">
        <f t="shared" si="58"/>
        <v>0</v>
      </c>
      <c r="AV101" s="6240">
        <f t="shared" si="59"/>
        <v>0</v>
      </c>
      <c r="AW101" s="6189" cm="1">
        <f t="array" ref="AW101">IF(AK101&lt;&gt;1,0,IF(OR(AU101="",N(AU101)&lt;=0.000000001),"",IF(OR(AO101="",N(AO101)&lt;=0.000000001),0,IF(ISNUMBER(AU101),IFERROR(_xlfn.LET(_xlpm.ai_test,TRIM(AJ101),_xlpm.r,IFERROR(_xlfn.XLOOKUP(_xlpm.ai_test,$BJ$15:$BJ$62,ROW($BJ$15:$BJ$62),0,1),IFERROR(_xlfn.XLOOKUP(_xlpm.ai_test,$BK$15:$BK$62,ROW($BK$15:$BK$62),0,1),_xlfn.XLOOKUP(_xlpm.ai_test,$BL$15:$BL$62,ROW($BL$15:$BL$62),0,1))),_xlpm.p,_xlpm.r-MIN(ROW($BJ$15:$BJ$62))+1,_xlpm.f,INDEX($BM$15:$BM$62,_xlpm.p),_xlpm.u,INDEX($BN$15:$BN$62,_xlpm.p),_xlpm.s,INDEX($BP$15:$BP$62,_xlpm.p),_xlpm.q,N(AU101)/_xlpm.f,IF(_xlpm.q&gt;=_xlpm.s,ROUND(_xlpm.q,1)&amp;" "&amp;_xlpm.ai_test&amp;" = "&amp;ROUND(_xlpm.q*_xlpm.f,1)&amp;" "&amp;_xlpm.u,ROUND(_xlpm.q,1)&amp;" "&amp;_xlpm.ai_test)),""),""))))</f>
        <v>0</v>
      </c>
      <c r="AX101" s="6218"/>
      <c r="AY101" s="6272">
        <f t="shared" si="60"/>
        <v>0</v>
      </c>
      <c r="AZ101" s="6240" t="str">
        <f t="shared" si="61"/>
        <v/>
      </c>
      <c r="BA101" s="6195">
        <f t="shared" si="66"/>
        <v>0</v>
      </c>
      <c r="BB101" s="6193" t="str">
        <f t="shared" si="62"/>
        <v/>
      </c>
      <c r="BC101" s="6219"/>
      <c r="BD101" s="6222">
        <f t="shared" si="67"/>
        <v>0</v>
      </c>
      <c r="BE101" s="6220" t="str">
        <f t="shared" si="63"/>
        <v/>
      </c>
      <c r="BF101" s="4" t="s">
        <v>1</v>
      </c>
      <c r="BG101" s="6196">
        <f t="shared" si="64"/>
        <v>0</v>
      </c>
      <c r="BH101" s="6197">
        <f t="shared" si="65"/>
        <v>0</v>
      </c>
      <c r="BJ101" s="6757" t="s">
        <v>8916</v>
      </c>
      <c r="BK101" s="5405"/>
      <c r="BL101" s="5405"/>
      <c r="BM101" s="5405"/>
      <c r="BN101" s="5405"/>
      <c r="BO101" s="5405"/>
      <c r="BP101" s="5405"/>
      <c r="BQ101" s="5405"/>
      <c r="BR101" s="5405"/>
      <c r="BS101" s="5405"/>
      <c r="BT101" s="5405"/>
      <c r="BU101" s="5405"/>
      <c r="BV101" s="5405"/>
      <c r="BW101"/>
      <c r="BX101" s="20" t="str">
        <f t="shared" si="46"/>
        <v>►</v>
      </c>
      <c r="BY101"/>
      <c r="BZ101"/>
      <c r="CA101"/>
      <c r="CB101"/>
      <c r="CC101"/>
      <c r="CD101" s="5661"/>
      <c r="CE101"/>
      <c r="CF101"/>
      <c r="CG101"/>
      <c r="CH101"/>
      <c r="CI101"/>
      <c r="CJ101"/>
      <c r="CK101"/>
      <c r="CL101"/>
      <c r="CM101"/>
      <c r="CN101"/>
      <c r="CO101"/>
      <c r="CP101"/>
      <c r="CQ101"/>
      <c r="CR101"/>
      <c r="CS101"/>
      <c r="CT101"/>
      <c r="CU101"/>
      <c r="CV101"/>
      <c r="CW101"/>
      <c r="CX101"/>
      <c r="CY101"/>
      <c r="CZ101"/>
      <c r="DA101"/>
      <c r="DC101" s="5">
        <v>1</v>
      </c>
    </row>
    <row r="102" spans="1:107" s="1" customFormat="1" ht="21" customHeight="1">
      <c r="A102" s="5641" t="s">
        <v>1</v>
      </c>
      <c r="B102" s="5662" t="str">
        <f t="shared" si="45"/>
        <v>►</v>
      </c>
      <c r="C102" s="5825" cm="1">
        <f t="array" ref="C102">SUMPRODUCT(LEN(D102:J102))</f>
        <v>0</v>
      </c>
      <c r="D102" s="5275"/>
      <c r="E102" s="1361"/>
      <c r="F102" s="1361"/>
      <c r="G102" s="1361"/>
      <c r="H102" s="1361"/>
      <c r="I102" s="1361"/>
      <c r="J102" s="5276"/>
      <c r="K102" s="106"/>
      <c r="L102" s="1021" t="s">
        <v>26</v>
      </c>
      <c r="M102" s="6787"/>
      <c r="N102" s="6787"/>
      <c r="O102" s="6787"/>
      <c r="P102" s="6788"/>
      <c r="Q102" s="6789"/>
      <c r="R102" s="6790"/>
      <c r="S102" s="6786"/>
      <c r="T102" s="6791"/>
      <c r="U102" s="6844"/>
      <c r="V102" s="6791"/>
      <c r="W102" s="8487"/>
      <c r="X102" s="6871"/>
      <c r="Y102" s="6793"/>
      <c r="Z102" s="6794"/>
      <c r="AA102" s="6795"/>
      <c r="AB102" s="6796"/>
      <c r="AC102" s="6797"/>
      <c r="AD102" s="6798"/>
      <c r="AE102" s="4" t="s">
        <v>1</v>
      </c>
      <c r="AF102" s="6202" t="str">
        <f t="shared" si="47"/>
        <v>►</v>
      </c>
      <c r="AG102" s="6234" t="str">
        <f t="shared" si="48"/>
        <v/>
      </c>
      <c r="AH102" s="6732" t="str">
        <f t="shared" si="49"/>
        <v/>
      </c>
      <c r="AI102" s="6234" t="str">
        <f t="shared" si="50"/>
        <v/>
      </c>
      <c r="AJ102" s="6732" t="str">
        <f t="shared" si="51"/>
        <v/>
      </c>
      <c r="AK102" s="6732">
        <f t="shared" si="52"/>
        <v>0</v>
      </c>
      <c r="AL102" s="6230" t="str" cm="1">
        <f t="array" ref="AL102">IF(AF102&lt;&gt;"A","",IFERROR((IFERROR(_xlfn.XLOOKUP(TRIM(SUBSTITUTE(U102,CHAR(160)," ")),$BJ$15:$BJ$62,$BM$15:$BM$62),IFERROR(_xlfn.XLOOKUP(TRIM(SUBSTITUTE(U102,CHAR(160)," ")),$BK$15:$BK$62,$BM$15:$BM$62),_xlfn.XLOOKUP(TRIM(SUBSTITUTE(U102,CHAR(160)," ")),$BL$15:$BL$62,$BM$15:$BM$62))))*T102*IF(ISBLANK(Q102),1,Q102)+IFERROR(_xlfn.XLOOKUP("RECHERCHEX",TRIM(L102:AD102),L102:AD102),0),0))</f>
        <v/>
      </c>
      <c r="AM102" s="6229">
        <f t="shared" si="53"/>
        <v>0</v>
      </c>
      <c r="AN102" s="6857" t="str">
        <f t="shared" si="68"/>
        <v/>
      </c>
      <c r="AO102" s="392">
        <f t="shared" si="54"/>
        <v>0</v>
      </c>
      <c r="AP102" s="392">
        <f t="shared" si="55"/>
        <v>0</v>
      </c>
      <c r="AQ102" s="6190">
        <f t="shared" si="56"/>
        <v>0</v>
      </c>
      <c r="AR102" s="6858" t="str">
        <f t="shared" si="57"/>
        <v/>
      </c>
      <c r="AS102" s="6217"/>
      <c r="AT102" s="6217"/>
      <c r="AU102" s="6271">
        <f t="shared" si="58"/>
        <v>0</v>
      </c>
      <c r="AV102" s="6242">
        <f t="shared" si="59"/>
        <v>0</v>
      </c>
      <c r="AW102" s="6188" cm="1">
        <f t="array" ref="AW102">IF(AK102&lt;&gt;1,0,IF(OR(AU102="",N(AU102)&lt;=0.000000001),"",IF(OR(AO102="",N(AO102)&lt;=0.000000001),0,IF(ISNUMBER(AU102),IFERROR(_xlfn.LET(_xlpm.ai_test,TRIM(AJ102),_xlpm.r,IFERROR(_xlfn.XLOOKUP(_xlpm.ai_test,$BJ$15:$BJ$62,ROW($BJ$15:$BJ$62),0,1),IFERROR(_xlfn.XLOOKUP(_xlpm.ai_test,$BK$15:$BK$62,ROW($BK$15:$BK$62),0,1),_xlfn.XLOOKUP(_xlpm.ai_test,$BL$15:$BL$62,ROW($BL$15:$BL$62),0,1))),_xlpm.p,_xlpm.r-MIN(ROW($BJ$15:$BJ$62))+1,_xlpm.f,INDEX($BM$15:$BM$62,_xlpm.p),_xlpm.u,INDEX($BN$15:$BN$62,_xlpm.p),_xlpm.s,INDEX($BP$15:$BP$62,_xlpm.p),_xlpm.q,N(AU102)/_xlpm.f,IF(_xlpm.q&gt;=_xlpm.s,ROUND(_xlpm.q,1)&amp;" "&amp;_xlpm.ai_test&amp;" = "&amp;ROUND(_xlpm.q*_xlpm.f,1)&amp;" "&amp;_xlpm.u,ROUND(_xlpm.q,1)&amp;" "&amp;_xlpm.ai_test)),""),""))))</f>
        <v>0</v>
      </c>
      <c r="AX102" s="6218"/>
      <c r="AY102" s="6271">
        <f t="shared" si="60"/>
        <v>0</v>
      </c>
      <c r="AZ102" s="6242" t="str">
        <f t="shared" si="61"/>
        <v/>
      </c>
      <c r="BA102" s="6194">
        <f t="shared" si="66"/>
        <v>0</v>
      </c>
      <c r="BB102" s="6192" t="str">
        <f t="shared" si="62"/>
        <v/>
      </c>
      <c r="BC102" s="6219"/>
      <c r="BD102" s="6221">
        <f t="shared" si="67"/>
        <v>0</v>
      </c>
      <c r="BE102" s="6220" t="str">
        <f t="shared" si="63"/>
        <v/>
      </c>
      <c r="BF102" s="4" t="s">
        <v>1</v>
      </c>
      <c r="BG102" s="6196">
        <f t="shared" si="64"/>
        <v>0</v>
      </c>
      <c r="BH102" s="6197">
        <f t="shared" si="65"/>
        <v>0</v>
      </c>
      <c r="BJ102" s="6759" t="s">
        <v>10014</v>
      </c>
      <c r="BK102" s="5405"/>
      <c r="BL102" s="5405"/>
      <c r="BM102" s="5405"/>
      <c r="BN102" s="5405"/>
      <c r="BO102" s="5405"/>
      <c r="BP102" s="5405"/>
      <c r="BQ102" s="5405"/>
      <c r="BR102" s="5405"/>
      <c r="BS102" s="5405"/>
      <c r="BT102" s="5405"/>
      <c r="BU102" s="5405"/>
      <c r="BV102" s="5405"/>
      <c r="BW102"/>
      <c r="BX102" s="20" t="str">
        <f t="shared" si="46"/>
        <v>►</v>
      </c>
      <c r="BY102"/>
      <c r="BZ102"/>
      <c r="CA102"/>
      <c r="CB102"/>
      <c r="CC102"/>
      <c r="CD102" s="5661"/>
      <c r="CE102"/>
      <c r="CF102"/>
      <c r="CG102"/>
      <c r="CH102"/>
      <c r="CI102"/>
      <c r="CJ102"/>
      <c r="CK102"/>
      <c r="CL102"/>
      <c r="CM102"/>
      <c r="CN102"/>
      <c r="CO102"/>
      <c r="CP102"/>
      <c r="CQ102"/>
      <c r="CR102"/>
      <c r="CS102"/>
      <c r="CT102"/>
      <c r="CU102"/>
      <c r="CV102"/>
      <c r="CW102"/>
      <c r="CX102"/>
      <c r="CY102"/>
      <c r="CZ102"/>
      <c r="DA102"/>
      <c r="DC102" s="5">
        <v>1</v>
      </c>
    </row>
    <row r="103" spans="1:107" s="1" customFormat="1" ht="21" customHeight="1">
      <c r="A103" s="5641" t="s">
        <v>1</v>
      </c>
      <c r="B103" s="5662" t="str">
        <f t="shared" si="45"/>
        <v>►</v>
      </c>
      <c r="C103" s="5825" cm="1">
        <f t="array" ref="C103">SUMPRODUCT(LEN(D103:J103))</f>
        <v>0</v>
      </c>
      <c r="D103" s="5275"/>
      <c r="E103" s="1361"/>
      <c r="F103" s="1361"/>
      <c r="G103" s="1361"/>
      <c r="H103" s="1361"/>
      <c r="I103" s="1361"/>
      <c r="J103" s="5276"/>
      <c r="K103" s="106"/>
      <c r="L103" s="1021" t="s">
        <v>26</v>
      </c>
      <c r="M103" s="6787"/>
      <c r="N103" s="6787"/>
      <c r="O103" s="6787"/>
      <c r="P103" s="6788"/>
      <c r="Q103" s="6789"/>
      <c r="R103" s="6790"/>
      <c r="S103" s="6786"/>
      <c r="T103" s="6791"/>
      <c r="U103" s="6844"/>
      <c r="V103" s="6791"/>
      <c r="W103" s="8487"/>
      <c r="X103" s="6871"/>
      <c r="Y103" s="6793"/>
      <c r="Z103" s="6794"/>
      <c r="AA103" s="6795"/>
      <c r="AB103" s="6796"/>
      <c r="AC103" s="6797"/>
      <c r="AD103" s="6798"/>
      <c r="AE103" s="4" t="s">
        <v>1</v>
      </c>
      <c r="AF103" s="6202" t="str">
        <f t="shared" si="47"/>
        <v>►</v>
      </c>
      <c r="AG103" s="6234" t="str">
        <f t="shared" si="48"/>
        <v/>
      </c>
      <c r="AH103" s="6732" t="str">
        <f t="shared" si="49"/>
        <v/>
      </c>
      <c r="AI103" s="6234" t="str">
        <f t="shared" si="50"/>
        <v/>
      </c>
      <c r="AJ103" s="6732" t="str">
        <f t="shared" si="51"/>
        <v/>
      </c>
      <c r="AK103" s="6732">
        <f t="shared" si="52"/>
        <v>0</v>
      </c>
      <c r="AL103" s="6230" t="str" cm="1">
        <f t="array" ref="AL103">IF(AF103&lt;&gt;"A","",IFERROR((IFERROR(_xlfn.XLOOKUP(TRIM(SUBSTITUTE(U103,CHAR(160)," ")),$BJ$15:$BJ$62,$BM$15:$BM$62),IFERROR(_xlfn.XLOOKUP(TRIM(SUBSTITUTE(U103,CHAR(160)," ")),$BK$15:$BK$62,$BM$15:$BM$62),_xlfn.XLOOKUP(TRIM(SUBSTITUTE(U103,CHAR(160)," ")),$BL$15:$BL$62,$BM$15:$BM$62))))*T103*IF(ISBLANK(Q103),1,Q103)+IFERROR(_xlfn.XLOOKUP("RECHERCHEX",TRIM(L103:AD103),L103:AD103),0),0))</f>
        <v/>
      </c>
      <c r="AM103" s="6229">
        <f t="shared" si="53"/>
        <v>0</v>
      </c>
      <c r="AN103" s="6857" t="str">
        <f t="shared" si="68"/>
        <v/>
      </c>
      <c r="AO103" s="392">
        <f t="shared" si="54"/>
        <v>0</v>
      </c>
      <c r="AP103" s="392">
        <f t="shared" si="55"/>
        <v>0</v>
      </c>
      <c r="AQ103" s="6191">
        <f t="shared" si="56"/>
        <v>0</v>
      </c>
      <c r="AR103" s="6859" t="str">
        <f t="shared" si="57"/>
        <v/>
      </c>
      <c r="AS103" s="6217"/>
      <c r="AT103" s="6217"/>
      <c r="AU103" s="6272">
        <f t="shared" si="58"/>
        <v>0</v>
      </c>
      <c r="AV103" s="6240">
        <f t="shared" si="59"/>
        <v>0</v>
      </c>
      <c r="AW103" s="6189" cm="1">
        <f t="array" ref="AW103">IF(AK103&lt;&gt;1,0,IF(OR(AU103="",N(AU103)&lt;=0.000000001),"",IF(OR(AO103="",N(AO103)&lt;=0.000000001),0,IF(ISNUMBER(AU103),IFERROR(_xlfn.LET(_xlpm.ai_test,TRIM(AJ103),_xlpm.r,IFERROR(_xlfn.XLOOKUP(_xlpm.ai_test,$BJ$15:$BJ$62,ROW($BJ$15:$BJ$62),0,1),IFERROR(_xlfn.XLOOKUP(_xlpm.ai_test,$BK$15:$BK$62,ROW($BK$15:$BK$62),0,1),_xlfn.XLOOKUP(_xlpm.ai_test,$BL$15:$BL$62,ROW($BL$15:$BL$62),0,1))),_xlpm.p,_xlpm.r-MIN(ROW($BJ$15:$BJ$62))+1,_xlpm.f,INDEX($BM$15:$BM$62,_xlpm.p),_xlpm.u,INDEX($BN$15:$BN$62,_xlpm.p),_xlpm.s,INDEX($BP$15:$BP$62,_xlpm.p),_xlpm.q,N(AU103)/_xlpm.f,IF(_xlpm.q&gt;=_xlpm.s,ROUND(_xlpm.q,1)&amp;" "&amp;_xlpm.ai_test&amp;" = "&amp;ROUND(_xlpm.q*_xlpm.f,1)&amp;" "&amp;_xlpm.u,ROUND(_xlpm.q,1)&amp;" "&amp;_xlpm.ai_test)),""),""))))</f>
        <v>0</v>
      </c>
      <c r="AX103" s="6218"/>
      <c r="AY103" s="6272">
        <f t="shared" si="60"/>
        <v>0</v>
      </c>
      <c r="AZ103" s="6240" t="str">
        <f t="shared" si="61"/>
        <v/>
      </c>
      <c r="BA103" s="6195">
        <f t="shared" si="66"/>
        <v>0</v>
      </c>
      <c r="BB103" s="6193" t="str">
        <f t="shared" si="62"/>
        <v/>
      </c>
      <c r="BC103" s="6219"/>
      <c r="BD103" s="6222">
        <f t="shared" si="67"/>
        <v>0</v>
      </c>
      <c r="BE103" s="6220" t="str">
        <f t="shared" si="63"/>
        <v/>
      </c>
      <c r="BF103" s="4" t="s">
        <v>1</v>
      </c>
      <c r="BG103" s="6196">
        <f t="shared" si="64"/>
        <v>0</v>
      </c>
      <c r="BH103" s="6197">
        <f t="shared" si="65"/>
        <v>0</v>
      </c>
      <c r="BJ103" s="6759" t="s">
        <v>10020</v>
      </c>
      <c r="BK103" s="5405"/>
      <c r="BL103" s="5405"/>
      <c r="BM103" s="5405"/>
      <c r="BN103" s="5405"/>
      <c r="BO103" s="5405"/>
      <c r="BP103" s="5405"/>
      <c r="BQ103" s="5405"/>
      <c r="BR103" s="5405"/>
      <c r="BS103" s="5405"/>
      <c r="BT103" s="5405"/>
      <c r="BU103" s="5405"/>
      <c r="BV103" s="5405"/>
      <c r="BW103"/>
      <c r="BX103" s="20" t="str">
        <f t="shared" si="46"/>
        <v>►</v>
      </c>
      <c r="BY103"/>
      <c r="BZ103"/>
      <c r="CA103"/>
      <c r="CB103"/>
      <c r="CC103"/>
      <c r="CD103" s="5661"/>
      <c r="CE103"/>
      <c r="CF103"/>
      <c r="CG103"/>
      <c r="CH103"/>
      <c r="CI103"/>
      <c r="CJ103"/>
      <c r="CK103"/>
      <c r="CL103"/>
      <c r="CM103"/>
      <c r="CN103"/>
      <c r="CO103"/>
      <c r="CP103"/>
      <c r="CQ103"/>
      <c r="CR103"/>
      <c r="CS103"/>
      <c r="CT103"/>
      <c r="CU103"/>
      <c r="CV103"/>
      <c r="CW103"/>
      <c r="CX103"/>
      <c r="CY103"/>
      <c r="CZ103"/>
      <c r="DA103"/>
      <c r="DC103" s="5">
        <v>1</v>
      </c>
    </row>
    <row r="104" spans="1:107" s="1" customFormat="1" ht="21" customHeight="1">
      <c r="A104" s="5641" t="s">
        <v>1</v>
      </c>
      <c r="B104" s="5662" t="str">
        <f t="shared" si="45"/>
        <v>►</v>
      </c>
      <c r="C104" s="5825" cm="1">
        <f t="array" ref="C104">SUMPRODUCT(LEN(D104:J104))</f>
        <v>0</v>
      </c>
      <c r="D104" s="5275"/>
      <c r="E104" s="1361"/>
      <c r="F104" s="1361"/>
      <c r="G104" s="1361"/>
      <c r="H104" s="1361"/>
      <c r="I104" s="1361"/>
      <c r="J104" s="5276"/>
      <c r="K104" s="106"/>
      <c r="L104" s="1021" t="s">
        <v>26</v>
      </c>
      <c r="M104" s="6787"/>
      <c r="N104" s="6787"/>
      <c r="O104" s="6787"/>
      <c r="P104" s="6788"/>
      <c r="Q104" s="6789"/>
      <c r="R104" s="6790"/>
      <c r="S104" s="6786"/>
      <c r="T104" s="6791"/>
      <c r="U104" s="6844"/>
      <c r="V104" s="6791"/>
      <c r="W104" s="8487"/>
      <c r="X104" s="6871"/>
      <c r="Y104" s="6793"/>
      <c r="Z104" s="6794"/>
      <c r="AA104" s="6795"/>
      <c r="AB104" s="6796"/>
      <c r="AC104" s="6797"/>
      <c r="AD104" s="6798"/>
      <c r="AE104" s="4" t="s">
        <v>1</v>
      </c>
      <c r="AF104" s="6202" t="str">
        <f t="shared" si="47"/>
        <v>►</v>
      </c>
      <c r="AG104" s="6234" t="str">
        <f t="shared" si="48"/>
        <v/>
      </c>
      <c r="AH104" s="6732" t="str">
        <f t="shared" si="49"/>
        <v/>
      </c>
      <c r="AI104" s="6234" t="str">
        <f t="shared" si="50"/>
        <v/>
      </c>
      <c r="AJ104" s="6732" t="str">
        <f t="shared" si="51"/>
        <v/>
      </c>
      <c r="AK104" s="6732">
        <f t="shared" si="52"/>
        <v>0</v>
      </c>
      <c r="AL104" s="6230" t="str" cm="1">
        <f t="array" ref="AL104">IF(AF104&lt;&gt;"A","",IFERROR((IFERROR(_xlfn.XLOOKUP(TRIM(SUBSTITUTE(U104,CHAR(160)," ")),$BJ$15:$BJ$62,$BM$15:$BM$62),IFERROR(_xlfn.XLOOKUP(TRIM(SUBSTITUTE(U104,CHAR(160)," ")),$BK$15:$BK$62,$BM$15:$BM$62),_xlfn.XLOOKUP(TRIM(SUBSTITUTE(U104,CHAR(160)," ")),$BL$15:$BL$62,$BM$15:$BM$62))))*T104*IF(ISBLANK(Q104),1,Q104)+IFERROR(_xlfn.XLOOKUP("RECHERCHEX",TRIM(L104:AD104),L104:AD104),0),0))</f>
        <v/>
      </c>
      <c r="AM104" s="6229">
        <f t="shared" si="53"/>
        <v>0</v>
      </c>
      <c r="AN104" s="6857" t="str">
        <f t="shared" si="68"/>
        <v/>
      </c>
      <c r="AO104" s="392">
        <f t="shared" si="54"/>
        <v>0</v>
      </c>
      <c r="AP104" s="392">
        <f t="shared" si="55"/>
        <v>0</v>
      </c>
      <c r="AQ104" s="6190">
        <f t="shared" si="56"/>
        <v>0</v>
      </c>
      <c r="AR104" s="6858" t="str">
        <f t="shared" si="57"/>
        <v/>
      </c>
      <c r="AS104" s="6217"/>
      <c r="AT104" s="6217"/>
      <c r="AU104" s="6271">
        <f t="shared" si="58"/>
        <v>0</v>
      </c>
      <c r="AV104" s="6242">
        <f t="shared" si="59"/>
        <v>0</v>
      </c>
      <c r="AW104" s="6188" cm="1">
        <f t="array" ref="AW104">IF(AK104&lt;&gt;1,0,IF(OR(AU104="",N(AU104)&lt;=0.000000001),"",IF(OR(AO104="",N(AO104)&lt;=0.000000001),0,IF(ISNUMBER(AU104),IFERROR(_xlfn.LET(_xlpm.ai_test,TRIM(AJ104),_xlpm.r,IFERROR(_xlfn.XLOOKUP(_xlpm.ai_test,$BJ$15:$BJ$62,ROW($BJ$15:$BJ$62),0,1),IFERROR(_xlfn.XLOOKUP(_xlpm.ai_test,$BK$15:$BK$62,ROW($BK$15:$BK$62),0,1),_xlfn.XLOOKUP(_xlpm.ai_test,$BL$15:$BL$62,ROW($BL$15:$BL$62),0,1))),_xlpm.p,_xlpm.r-MIN(ROW($BJ$15:$BJ$62))+1,_xlpm.f,INDEX($BM$15:$BM$62,_xlpm.p),_xlpm.u,INDEX($BN$15:$BN$62,_xlpm.p),_xlpm.s,INDEX($BP$15:$BP$62,_xlpm.p),_xlpm.q,N(AU104)/_xlpm.f,IF(_xlpm.q&gt;=_xlpm.s,ROUND(_xlpm.q,1)&amp;" "&amp;_xlpm.ai_test&amp;" = "&amp;ROUND(_xlpm.q*_xlpm.f,1)&amp;" "&amp;_xlpm.u,ROUND(_xlpm.q,1)&amp;" "&amp;_xlpm.ai_test)),""),""))))</f>
        <v>0</v>
      </c>
      <c r="AX104" s="6218"/>
      <c r="AY104" s="6271">
        <f t="shared" si="60"/>
        <v>0</v>
      </c>
      <c r="AZ104" s="6242" t="str">
        <f t="shared" si="61"/>
        <v/>
      </c>
      <c r="BA104" s="6194">
        <f t="shared" si="66"/>
        <v>0</v>
      </c>
      <c r="BB104" s="6192" t="str">
        <f t="shared" si="62"/>
        <v/>
      </c>
      <c r="BC104" s="6219"/>
      <c r="BD104" s="6221">
        <f t="shared" si="67"/>
        <v>0</v>
      </c>
      <c r="BE104" s="6220" t="str">
        <f t="shared" si="63"/>
        <v/>
      </c>
      <c r="BF104" s="4" t="s">
        <v>1</v>
      </c>
      <c r="BG104" s="6196">
        <f t="shared" si="64"/>
        <v>0</v>
      </c>
      <c r="BH104" s="6197">
        <f t="shared" si="65"/>
        <v>0</v>
      </c>
      <c r="BJ104" s="102"/>
      <c r="BK104" s="102"/>
      <c r="BL104" s="102"/>
      <c r="BM104" s="102"/>
      <c r="BN104" s="102"/>
      <c r="BO104" s="102"/>
      <c r="BP104" s="102"/>
      <c r="BQ104" s="102"/>
      <c r="BR104" s="102"/>
      <c r="BS104" s="102"/>
      <c r="BT104" s="102"/>
      <c r="BU104" s="102"/>
      <c r="BV104" s="102"/>
      <c r="BW104"/>
      <c r="BX104" s="20" t="str">
        <f t="shared" si="46"/>
        <v>►</v>
      </c>
      <c r="BY104"/>
      <c r="BZ104"/>
      <c r="CA104"/>
      <c r="CB104"/>
      <c r="CC104"/>
      <c r="CD104" s="5661"/>
      <c r="CE104"/>
      <c r="CF104"/>
      <c r="CG104"/>
      <c r="CH104"/>
      <c r="CI104"/>
      <c r="CJ104"/>
      <c r="CK104"/>
      <c r="CL104"/>
      <c r="CM104"/>
      <c r="CN104"/>
      <c r="CO104"/>
      <c r="CP104"/>
      <c r="CQ104"/>
      <c r="CR104"/>
      <c r="CS104"/>
      <c r="CT104"/>
      <c r="CU104"/>
      <c r="CV104"/>
      <c r="CW104"/>
      <c r="CX104"/>
      <c r="CY104"/>
      <c r="CZ104"/>
      <c r="DA104"/>
      <c r="DC104" s="5">
        <v>1</v>
      </c>
    </row>
    <row r="105" spans="1:107" s="1" customFormat="1" ht="21" customHeight="1">
      <c r="A105" s="5641" t="s">
        <v>1</v>
      </c>
      <c r="B105" s="5662" t="str">
        <f t="shared" si="45"/>
        <v>►</v>
      </c>
      <c r="C105" s="5825" cm="1">
        <f t="array" ref="C105">SUMPRODUCT(LEN(D105:J105))</f>
        <v>0</v>
      </c>
      <c r="D105" s="5275"/>
      <c r="E105" s="1361"/>
      <c r="F105" s="1361"/>
      <c r="G105" s="1361"/>
      <c r="H105" s="1361"/>
      <c r="I105" s="1361"/>
      <c r="J105" s="5276"/>
      <c r="K105" s="106"/>
      <c r="L105" s="1021" t="s">
        <v>26</v>
      </c>
      <c r="M105" s="6787"/>
      <c r="N105" s="6787"/>
      <c r="O105" s="6787"/>
      <c r="P105" s="6788"/>
      <c r="Q105" s="6789"/>
      <c r="R105" s="6790"/>
      <c r="S105" s="6786"/>
      <c r="T105" s="6791"/>
      <c r="U105" s="6844"/>
      <c r="V105" s="6791"/>
      <c r="W105" s="8487"/>
      <c r="X105" s="6871"/>
      <c r="Y105" s="6793"/>
      <c r="Z105" s="6794"/>
      <c r="AA105" s="6795"/>
      <c r="AB105" s="6796"/>
      <c r="AC105" s="6797"/>
      <c r="AD105" s="6798"/>
      <c r="AE105" s="4" t="s">
        <v>1</v>
      </c>
      <c r="AF105" s="6202" t="str">
        <f t="shared" si="47"/>
        <v>►</v>
      </c>
      <c r="AG105" s="6234" t="str">
        <f t="shared" si="48"/>
        <v/>
      </c>
      <c r="AH105" s="6732" t="str">
        <f t="shared" si="49"/>
        <v/>
      </c>
      <c r="AI105" s="6234" t="str">
        <f t="shared" si="50"/>
        <v/>
      </c>
      <c r="AJ105" s="6732" t="str">
        <f t="shared" si="51"/>
        <v/>
      </c>
      <c r="AK105" s="6732">
        <f t="shared" si="52"/>
        <v>0</v>
      </c>
      <c r="AL105" s="6230" t="str" cm="1">
        <f t="array" ref="AL105">IF(AF105&lt;&gt;"A","",IFERROR((IFERROR(_xlfn.XLOOKUP(TRIM(SUBSTITUTE(U105,CHAR(160)," ")),$BJ$15:$BJ$62,$BM$15:$BM$62),IFERROR(_xlfn.XLOOKUP(TRIM(SUBSTITUTE(U105,CHAR(160)," ")),$BK$15:$BK$62,$BM$15:$BM$62),_xlfn.XLOOKUP(TRIM(SUBSTITUTE(U105,CHAR(160)," ")),$BL$15:$BL$62,$BM$15:$BM$62))))*T105*IF(ISBLANK(Q105),1,Q105)+IFERROR(_xlfn.XLOOKUP("RECHERCHEX",TRIM(L105:AD105),L105:AD105),0),0))</f>
        <v/>
      </c>
      <c r="AM105" s="6229">
        <f t="shared" si="53"/>
        <v>0</v>
      </c>
      <c r="AN105" s="6857" t="str">
        <f t="shared" si="68"/>
        <v/>
      </c>
      <c r="AO105" s="392">
        <f t="shared" si="54"/>
        <v>0</v>
      </c>
      <c r="AP105" s="392">
        <f t="shared" si="55"/>
        <v>0</v>
      </c>
      <c r="AQ105" s="6191">
        <f t="shared" si="56"/>
        <v>0</v>
      </c>
      <c r="AR105" s="6859" t="str">
        <f t="shared" si="57"/>
        <v/>
      </c>
      <c r="AS105" s="6217"/>
      <c r="AT105" s="6217"/>
      <c r="AU105" s="6272">
        <f t="shared" si="58"/>
        <v>0</v>
      </c>
      <c r="AV105" s="6240">
        <f t="shared" si="59"/>
        <v>0</v>
      </c>
      <c r="AW105" s="6189" cm="1">
        <f t="array" ref="AW105">IF(AK105&lt;&gt;1,0,IF(OR(AU105="",N(AU105)&lt;=0.000000001),"",IF(OR(AO105="",N(AO105)&lt;=0.000000001),0,IF(ISNUMBER(AU105),IFERROR(_xlfn.LET(_xlpm.ai_test,TRIM(AJ105),_xlpm.r,IFERROR(_xlfn.XLOOKUP(_xlpm.ai_test,$BJ$15:$BJ$62,ROW($BJ$15:$BJ$62),0,1),IFERROR(_xlfn.XLOOKUP(_xlpm.ai_test,$BK$15:$BK$62,ROW($BK$15:$BK$62),0,1),_xlfn.XLOOKUP(_xlpm.ai_test,$BL$15:$BL$62,ROW($BL$15:$BL$62),0,1))),_xlpm.p,_xlpm.r-MIN(ROW($BJ$15:$BJ$62))+1,_xlpm.f,INDEX($BM$15:$BM$62,_xlpm.p),_xlpm.u,INDEX($BN$15:$BN$62,_xlpm.p),_xlpm.s,INDEX($BP$15:$BP$62,_xlpm.p),_xlpm.q,N(AU105)/_xlpm.f,IF(_xlpm.q&gt;=_xlpm.s,ROUND(_xlpm.q,1)&amp;" "&amp;_xlpm.ai_test&amp;" = "&amp;ROUND(_xlpm.q*_xlpm.f,1)&amp;" "&amp;_xlpm.u,ROUND(_xlpm.q,1)&amp;" "&amp;_xlpm.ai_test)),""),""))))</f>
        <v>0</v>
      </c>
      <c r="AX105" s="6218"/>
      <c r="AY105" s="6272">
        <f t="shared" si="60"/>
        <v>0</v>
      </c>
      <c r="AZ105" s="6240" t="str">
        <f t="shared" si="61"/>
        <v/>
      </c>
      <c r="BA105" s="6195">
        <f t="shared" si="66"/>
        <v>0</v>
      </c>
      <c r="BB105" s="6193" t="str">
        <f t="shared" si="62"/>
        <v/>
      </c>
      <c r="BC105" s="6219"/>
      <c r="BD105" s="6222">
        <f t="shared" si="67"/>
        <v>0</v>
      </c>
      <c r="BE105" s="6220" t="str">
        <f t="shared" si="63"/>
        <v/>
      </c>
      <c r="BF105" s="4" t="s">
        <v>1</v>
      </c>
      <c r="BG105" s="6196">
        <f t="shared" si="64"/>
        <v>0</v>
      </c>
      <c r="BH105" s="6197">
        <f t="shared" si="65"/>
        <v>0</v>
      </c>
      <c r="BJ105" s="6757" t="s">
        <v>8917</v>
      </c>
      <c r="BK105" s="102"/>
      <c r="BL105" s="102"/>
      <c r="BM105" s="102"/>
      <c r="BN105" s="102"/>
      <c r="BO105" s="102"/>
      <c r="BP105" s="102"/>
      <c r="BQ105" s="102"/>
      <c r="BR105" s="102"/>
      <c r="BS105" s="102"/>
      <c r="BT105" s="102"/>
      <c r="BU105" s="102"/>
      <c r="BV105" s="102"/>
      <c r="BW105"/>
      <c r="BX105" s="20" t="str">
        <f t="shared" si="46"/>
        <v>►</v>
      </c>
      <c r="BY105"/>
      <c r="BZ105"/>
      <c r="CA105"/>
      <c r="CB105"/>
      <c r="CC105"/>
      <c r="CD105" s="5661"/>
      <c r="CE105"/>
      <c r="CF105"/>
      <c r="CG105"/>
      <c r="CH105"/>
      <c r="CI105"/>
      <c r="CJ105"/>
      <c r="CK105"/>
      <c r="CL105"/>
      <c r="CM105"/>
      <c r="CN105"/>
      <c r="CO105"/>
      <c r="CP105"/>
      <c r="CQ105"/>
      <c r="CR105"/>
      <c r="CS105"/>
      <c r="CT105"/>
      <c r="CU105"/>
      <c r="CV105"/>
      <c r="CW105"/>
      <c r="CX105"/>
      <c r="CY105"/>
      <c r="CZ105"/>
      <c r="DA105"/>
      <c r="DC105" s="5">
        <v>1</v>
      </c>
    </row>
    <row r="106" spans="1:107" s="1" customFormat="1" ht="21" customHeight="1">
      <c r="A106" s="5641" t="s">
        <v>1</v>
      </c>
      <c r="B106" s="5662" t="str">
        <f t="shared" si="45"/>
        <v>►</v>
      </c>
      <c r="C106" s="5825" cm="1">
        <f t="array" ref="C106">SUMPRODUCT(LEN(D106:J106))</f>
        <v>0</v>
      </c>
      <c r="D106" s="5275"/>
      <c r="E106" s="1361"/>
      <c r="F106" s="1361"/>
      <c r="G106" s="1361"/>
      <c r="H106" s="1361"/>
      <c r="I106" s="1361"/>
      <c r="J106" s="5276"/>
      <c r="K106" s="106"/>
      <c r="L106" s="1021" t="s">
        <v>26</v>
      </c>
      <c r="M106" s="6787"/>
      <c r="N106" s="6787"/>
      <c r="O106" s="6787"/>
      <c r="P106" s="6788"/>
      <c r="Q106" s="6789"/>
      <c r="R106" s="6790"/>
      <c r="S106" s="6786"/>
      <c r="T106" s="6791"/>
      <c r="U106" s="6844"/>
      <c r="V106" s="6791"/>
      <c r="W106" s="8487"/>
      <c r="X106" s="6871"/>
      <c r="Y106" s="6793"/>
      <c r="Z106" s="6794"/>
      <c r="AA106" s="6795"/>
      <c r="AB106" s="6796"/>
      <c r="AC106" s="6797"/>
      <c r="AD106" s="6798"/>
      <c r="AE106" s="4" t="s">
        <v>1</v>
      </c>
      <c r="AF106" s="6202" t="str">
        <f t="shared" si="47"/>
        <v>►</v>
      </c>
      <c r="AG106" s="6234" t="str">
        <f t="shared" si="48"/>
        <v/>
      </c>
      <c r="AH106" s="6732" t="str">
        <f t="shared" si="49"/>
        <v/>
      </c>
      <c r="AI106" s="6234" t="str">
        <f t="shared" si="50"/>
        <v/>
      </c>
      <c r="AJ106" s="6732" t="str">
        <f t="shared" si="51"/>
        <v/>
      </c>
      <c r="AK106" s="6732">
        <f t="shared" si="52"/>
        <v>0</v>
      </c>
      <c r="AL106" s="6230" t="str" cm="1">
        <f t="array" ref="AL106">IF(AF106&lt;&gt;"A","",IFERROR((IFERROR(_xlfn.XLOOKUP(TRIM(SUBSTITUTE(U106,CHAR(160)," ")),$BJ$15:$BJ$62,$BM$15:$BM$62),IFERROR(_xlfn.XLOOKUP(TRIM(SUBSTITUTE(U106,CHAR(160)," ")),$BK$15:$BK$62,$BM$15:$BM$62),_xlfn.XLOOKUP(TRIM(SUBSTITUTE(U106,CHAR(160)," ")),$BL$15:$BL$62,$BM$15:$BM$62))))*T106*IF(ISBLANK(Q106),1,Q106)+IFERROR(_xlfn.XLOOKUP("RECHERCHEX",TRIM(L106:AD106),L106:AD106),0),0))</f>
        <v/>
      </c>
      <c r="AM106" s="6229">
        <f t="shared" si="53"/>
        <v>0</v>
      </c>
      <c r="AN106" s="6857" t="str">
        <f t="shared" si="68"/>
        <v/>
      </c>
      <c r="AO106" s="392">
        <f t="shared" si="54"/>
        <v>0</v>
      </c>
      <c r="AP106" s="392">
        <f t="shared" si="55"/>
        <v>0</v>
      </c>
      <c r="AQ106" s="6190">
        <f t="shared" si="56"/>
        <v>0</v>
      </c>
      <c r="AR106" s="6858" t="str">
        <f t="shared" si="57"/>
        <v/>
      </c>
      <c r="AS106" s="6217"/>
      <c r="AT106" s="6217"/>
      <c r="AU106" s="6271">
        <f t="shared" si="58"/>
        <v>0</v>
      </c>
      <c r="AV106" s="6242">
        <f t="shared" si="59"/>
        <v>0</v>
      </c>
      <c r="AW106" s="6188" cm="1">
        <f t="array" ref="AW106">IF(AK106&lt;&gt;1,0,IF(OR(AU106="",N(AU106)&lt;=0.000000001),"",IF(OR(AO106="",N(AO106)&lt;=0.000000001),0,IF(ISNUMBER(AU106),IFERROR(_xlfn.LET(_xlpm.ai_test,TRIM(AJ106),_xlpm.r,IFERROR(_xlfn.XLOOKUP(_xlpm.ai_test,$BJ$15:$BJ$62,ROW($BJ$15:$BJ$62),0,1),IFERROR(_xlfn.XLOOKUP(_xlpm.ai_test,$BK$15:$BK$62,ROW($BK$15:$BK$62),0,1),_xlfn.XLOOKUP(_xlpm.ai_test,$BL$15:$BL$62,ROW($BL$15:$BL$62),0,1))),_xlpm.p,_xlpm.r-MIN(ROW($BJ$15:$BJ$62))+1,_xlpm.f,INDEX($BM$15:$BM$62,_xlpm.p),_xlpm.u,INDEX($BN$15:$BN$62,_xlpm.p),_xlpm.s,INDEX($BP$15:$BP$62,_xlpm.p),_xlpm.q,N(AU106)/_xlpm.f,IF(_xlpm.q&gt;=_xlpm.s,ROUND(_xlpm.q,1)&amp;" "&amp;_xlpm.ai_test&amp;" = "&amp;ROUND(_xlpm.q*_xlpm.f,1)&amp;" "&amp;_xlpm.u,ROUND(_xlpm.q,1)&amp;" "&amp;_xlpm.ai_test)),""),""))))</f>
        <v>0</v>
      </c>
      <c r="AX106" s="6218"/>
      <c r="AY106" s="6271">
        <f t="shared" si="60"/>
        <v>0</v>
      </c>
      <c r="AZ106" s="6242" t="str">
        <f t="shared" si="61"/>
        <v/>
      </c>
      <c r="BA106" s="6194">
        <f t="shared" si="66"/>
        <v>0</v>
      </c>
      <c r="BB106" s="6192" t="str">
        <f t="shared" si="62"/>
        <v/>
      </c>
      <c r="BC106" s="6219"/>
      <c r="BD106" s="6221">
        <f t="shared" si="67"/>
        <v>0</v>
      </c>
      <c r="BE106" s="6220" t="str">
        <f t="shared" si="63"/>
        <v/>
      </c>
      <c r="BF106" s="4" t="s">
        <v>1</v>
      </c>
      <c r="BG106" s="6196">
        <f t="shared" si="64"/>
        <v>0</v>
      </c>
      <c r="BH106" s="6197">
        <f t="shared" si="65"/>
        <v>0</v>
      </c>
      <c r="BJ106" s="6759" t="s">
        <v>10015</v>
      </c>
      <c r="BK106" s="102"/>
      <c r="BL106" s="102"/>
      <c r="BM106" s="102"/>
      <c r="BN106" s="102"/>
      <c r="BO106" s="102"/>
      <c r="BP106" s="102"/>
      <c r="BQ106" s="102"/>
      <c r="BR106" s="102"/>
      <c r="BS106" s="102"/>
      <c r="BT106" s="102"/>
      <c r="BU106" s="102"/>
      <c r="BV106" s="102"/>
      <c r="BW106"/>
      <c r="BX106" s="20" t="str">
        <f t="shared" si="46"/>
        <v>►</v>
      </c>
      <c r="BY106"/>
      <c r="BZ106"/>
      <c r="CA106"/>
      <c r="CB106"/>
      <c r="CC106"/>
      <c r="CD106" s="5661"/>
      <c r="CE106"/>
      <c r="CF106"/>
      <c r="CG106"/>
      <c r="CH106"/>
      <c r="CI106"/>
      <c r="CJ106"/>
      <c r="CK106"/>
      <c r="CL106"/>
      <c r="CM106"/>
      <c r="CN106"/>
      <c r="CO106"/>
      <c r="CP106"/>
      <c r="CQ106"/>
      <c r="CR106"/>
      <c r="CS106"/>
      <c r="CT106"/>
      <c r="CU106"/>
      <c r="CV106"/>
      <c r="CW106"/>
      <c r="CX106"/>
      <c r="CY106"/>
      <c r="CZ106"/>
      <c r="DA106"/>
      <c r="DC106" s="5">
        <v>1</v>
      </c>
    </row>
    <row r="107" spans="1:107" s="1" customFormat="1" ht="21" customHeight="1">
      <c r="A107" s="5641" t="s">
        <v>1</v>
      </c>
      <c r="B107" s="5662" t="str">
        <f t="shared" si="45"/>
        <v>►</v>
      </c>
      <c r="C107" s="5825" cm="1">
        <f t="array" ref="C107">SUMPRODUCT(LEN(D107:J107))</f>
        <v>0</v>
      </c>
      <c r="D107" s="5275"/>
      <c r="E107" s="1361"/>
      <c r="F107" s="1361"/>
      <c r="G107" s="1361"/>
      <c r="H107" s="1361"/>
      <c r="I107" s="1361"/>
      <c r="J107" s="5276"/>
      <c r="K107" s="106"/>
      <c r="L107" s="1021" t="s">
        <v>26</v>
      </c>
      <c r="M107" s="6787"/>
      <c r="N107" s="6787"/>
      <c r="O107" s="6787"/>
      <c r="P107" s="6788"/>
      <c r="Q107" s="6789"/>
      <c r="R107" s="6790"/>
      <c r="S107" s="6786"/>
      <c r="T107" s="6791"/>
      <c r="U107" s="6844"/>
      <c r="V107" s="6791"/>
      <c r="W107" s="8487"/>
      <c r="X107" s="6871"/>
      <c r="Y107" s="6793"/>
      <c r="Z107" s="6794"/>
      <c r="AA107" s="6795"/>
      <c r="AB107" s="6796"/>
      <c r="AC107" s="6797"/>
      <c r="AD107" s="6798"/>
      <c r="AE107" s="4" t="s">
        <v>1</v>
      </c>
      <c r="AF107" s="6202" t="str">
        <f t="shared" si="47"/>
        <v>►</v>
      </c>
      <c r="AG107" s="6234" t="str">
        <f t="shared" si="48"/>
        <v/>
      </c>
      <c r="AH107" s="6732" t="str">
        <f t="shared" si="49"/>
        <v/>
      </c>
      <c r="AI107" s="6234" t="str">
        <f t="shared" si="50"/>
        <v/>
      </c>
      <c r="AJ107" s="6732" t="str">
        <f t="shared" si="51"/>
        <v/>
      </c>
      <c r="AK107" s="6732">
        <f t="shared" si="52"/>
        <v>0</v>
      </c>
      <c r="AL107" s="6230" t="str" cm="1">
        <f t="array" ref="AL107">IF(AF107&lt;&gt;"A","",IFERROR((IFERROR(_xlfn.XLOOKUP(TRIM(SUBSTITUTE(U107,CHAR(160)," ")),$BJ$15:$BJ$62,$BM$15:$BM$62),IFERROR(_xlfn.XLOOKUP(TRIM(SUBSTITUTE(U107,CHAR(160)," ")),$BK$15:$BK$62,$BM$15:$BM$62),_xlfn.XLOOKUP(TRIM(SUBSTITUTE(U107,CHAR(160)," ")),$BL$15:$BL$62,$BM$15:$BM$62))))*T107*IF(ISBLANK(Q107),1,Q107)+IFERROR(_xlfn.XLOOKUP("RECHERCHEX",TRIM(L107:AD107),L107:AD107),0),0))</f>
        <v/>
      </c>
      <c r="AM107" s="6229">
        <f t="shared" si="53"/>
        <v>0</v>
      </c>
      <c r="AN107" s="6857" t="str">
        <f t="shared" si="68"/>
        <v/>
      </c>
      <c r="AO107" s="392">
        <f t="shared" si="54"/>
        <v>0</v>
      </c>
      <c r="AP107" s="392">
        <f t="shared" si="55"/>
        <v>0</v>
      </c>
      <c r="AQ107" s="6191">
        <f t="shared" si="56"/>
        <v>0</v>
      </c>
      <c r="AR107" s="6859" t="str">
        <f t="shared" si="57"/>
        <v/>
      </c>
      <c r="AS107" s="6217"/>
      <c r="AT107" s="6217"/>
      <c r="AU107" s="6272">
        <f t="shared" si="58"/>
        <v>0</v>
      </c>
      <c r="AV107" s="6240">
        <f t="shared" si="59"/>
        <v>0</v>
      </c>
      <c r="AW107" s="6189" cm="1">
        <f t="array" ref="AW107">IF(AK107&lt;&gt;1,0,IF(OR(AU107="",N(AU107)&lt;=0.000000001),"",IF(OR(AO107="",N(AO107)&lt;=0.000000001),0,IF(ISNUMBER(AU107),IFERROR(_xlfn.LET(_xlpm.ai_test,TRIM(AJ107),_xlpm.r,IFERROR(_xlfn.XLOOKUP(_xlpm.ai_test,$BJ$15:$BJ$62,ROW($BJ$15:$BJ$62),0,1),IFERROR(_xlfn.XLOOKUP(_xlpm.ai_test,$BK$15:$BK$62,ROW($BK$15:$BK$62),0,1),_xlfn.XLOOKUP(_xlpm.ai_test,$BL$15:$BL$62,ROW($BL$15:$BL$62),0,1))),_xlpm.p,_xlpm.r-MIN(ROW($BJ$15:$BJ$62))+1,_xlpm.f,INDEX($BM$15:$BM$62,_xlpm.p),_xlpm.u,INDEX($BN$15:$BN$62,_xlpm.p),_xlpm.s,INDEX($BP$15:$BP$62,_xlpm.p),_xlpm.q,N(AU107)/_xlpm.f,IF(_xlpm.q&gt;=_xlpm.s,ROUND(_xlpm.q,1)&amp;" "&amp;_xlpm.ai_test&amp;" = "&amp;ROUND(_xlpm.q*_xlpm.f,1)&amp;" "&amp;_xlpm.u,ROUND(_xlpm.q,1)&amp;" "&amp;_xlpm.ai_test)),""),""))))</f>
        <v>0</v>
      </c>
      <c r="AX107" s="6218"/>
      <c r="AY107" s="6272">
        <f t="shared" si="60"/>
        <v>0</v>
      </c>
      <c r="AZ107" s="6240" t="str">
        <f t="shared" si="61"/>
        <v/>
      </c>
      <c r="BA107" s="6195">
        <f t="shared" si="66"/>
        <v>0</v>
      </c>
      <c r="BB107" s="6193" t="str">
        <f t="shared" si="62"/>
        <v/>
      </c>
      <c r="BC107" s="6219"/>
      <c r="BD107" s="6222">
        <f t="shared" si="67"/>
        <v>0</v>
      </c>
      <c r="BE107" s="6220" t="str">
        <f t="shared" si="63"/>
        <v/>
      </c>
      <c r="BF107" s="4" t="s">
        <v>1</v>
      </c>
      <c r="BG107" s="6196">
        <f t="shared" si="64"/>
        <v>0</v>
      </c>
      <c r="BH107" s="6197">
        <f t="shared" si="65"/>
        <v>0</v>
      </c>
      <c r="BJ107" s="6910" t="s">
        <v>10021</v>
      </c>
      <c r="BK107" s="6910"/>
      <c r="BL107" s="6910"/>
      <c r="BM107" s="6910"/>
      <c r="BN107" s="6910"/>
      <c r="BO107" s="6910"/>
      <c r="BP107" s="6910"/>
      <c r="BQ107" s="6910"/>
      <c r="BR107" s="6910"/>
      <c r="BS107" s="6910"/>
      <c r="BT107" s="6910"/>
      <c r="BU107" s="6910"/>
      <c r="BV107" s="6910"/>
      <c r="BW107"/>
      <c r="BX107" s="20" t="str">
        <f t="shared" si="46"/>
        <v>►</v>
      </c>
      <c r="BY107"/>
      <c r="BZ107"/>
      <c r="CA107"/>
      <c r="CB107"/>
      <c r="CC107"/>
      <c r="CD107" s="5661"/>
      <c r="CE107"/>
      <c r="CF107"/>
      <c r="CG107"/>
      <c r="CH107"/>
      <c r="CI107"/>
      <c r="CJ107"/>
      <c r="CK107"/>
      <c r="CL107"/>
      <c r="CM107"/>
      <c r="CN107"/>
      <c r="CO107"/>
      <c r="CP107"/>
      <c r="CQ107"/>
      <c r="CR107"/>
      <c r="CS107"/>
      <c r="CT107"/>
      <c r="CU107"/>
      <c r="CV107"/>
      <c r="CW107"/>
      <c r="CX107"/>
      <c r="CY107"/>
      <c r="CZ107"/>
      <c r="DA107"/>
      <c r="DC107" s="5">
        <v>1</v>
      </c>
    </row>
    <row r="108" spans="1:107" s="1" customFormat="1" ht="21" customHeight="1">
      <c r="A108" s="5641" t="s">
        <v>1</v>
      </c>
      <c r="B108" s="5662" t="str">
        <f t="shared" si="45"/>
        <v>►</v>
      </c>
      <c r="C108" s="5825" cm="1">
        <f t="array" ref="C108">SUMPRODUCT(LEN(D108:J108))</f>
        <v>0</v>
      </c>
      <c r="D108" s="5275"/>
      <c r="E108" s="1361"/>
      <c r="F108" s="1361"/>
      <c r="G108" s="1361"/>
      <c r="H108" s="1361"/>
      <c r="I108" s="1361"/>
      <c r="J108" s="5276"/>
      <c r="K108" s="106"/>
      <c r="L108" s="1021" t="s">
        <v>26</v>
      </c>
      <c r="M108" s="6787"/>
      <c r="N108" s="6787"/>
      <c r="O108" s="6787"/>
      <c r="P108" s="6788"/>
      <c r="Q108" s="6789"/>
      <c r="R108" s="6790"/>
      <c r="S108" s="6786"/>
      <c r="T108" s="6791"/>
      <c r="U108" s="6844"/>
      <c r="V108" s="6791"/>
      <c r="W108" s="8487"/>
      <c r="X108" s="6871"/>
      <c r="Y108" s="6793"/>
      <c r="Z108" s="6794"/>
      <c r="AA108" s="6795"/>
      <c r="AB108" s="6796"/>
      <c r="AC108" s="6797"/>
      <c r="AD108" s="6798"/>
      <c r="AE108" s="4" t="s">
        <v>1</v>
      </c>
      <c r="AF108" s="6202" t="str">
        <f t="shared" si="47"/>
        <v>►</v>
      </c>
      <c r="AG108" s="6234" t="str">
        <f t="shared" si="48"/>
        <v/>
      </c>
      <c r="AH108" s="6732" t="str">
        <f t="shared" si="49"/>
        <v/>
      </c>
      <c r="AI108" s="6234" t="str">
        <f t="shared" si="50"/>
        <v/>
      </c>
      <c r="AJ108" s="6732" t="str">
        <f t="shared" si="51"/>
        <v/>
      </c>
      <c r="AK108" s="6732">
        <f t="shared" si="52"/>
        <v>0</v>
      </c>
      <c r="AL108" s="6230" t="str" cm="1">
        <f t="array" ref="AL108">IF(AF108&lt;&gt;"A","",IFERROR((IFERROR(_xlfn.XLOOKUP(TRIM(SUBSTITUTE(U108,CHAR(160)," ")),$BJ$15:$BJ$62,$BM$15:$BM$62),IFERROR(_xlfn.XLOOKUP(TRIM(SUBSTITUTE(U108,CHAR(160)," ")),$BK$15:$BK$62,$BM$15:$BM$62),_xlfn.XLOOKUP(TRIM(SUBSTITUTE(U108,CHAR(160)," ")),$BL$15:$BL$62,$BM$15:$BM$62))))*T108*IF(ISBLANK(Q108),1,Q108)+IFERROR(_xlfn.XLOOKUP("RECHERCHEX",TRIM(L108:AD108),L108:AD108),0),0))</f>
        <v/>
      </c>
      <c r="AM108" s="6229">
        <f t="shared" si="53"/>
        <v>0</v>
      </c>
      <c r="AN108" s="6857" t="str">
        <f t="shared" si="68"/>
        <v/>
      </c>
      <c r="AO108" s="392">
        <f t="shared" si="54"/>
        <v>0</v>
      </c>
      <c r="AP108" s="392">
        <f t="shared" si="55"/>
        <v>0</v>
      </c>
      <c r="AQ108" s="6190">
        <f t="shared" si="56"/>
        <v>0</v>
      </c>
      <c r="AR108" s="6858" t="str">
        <f t="shared" si="57"/>
        <v/>
      </c>
      <c r="AS108" s="6217"/>
      <c r="AT108" s="6217"/>
      <c r="AU108" s="6271">
        <f t="shared" si="58"/>
        <v>0</v>
      </c>
      <c r="AV108" s="6242">
        <f t="shared" si="59"/>
        <v>0</v>
      </c>
      <c r="AW108" s="6188" cm="1">
        <f t="array" ref="AW108">IF(AK108&lt;&gt;1,0,IF(OR(AU108="",N(AU108)&lt;=0.000000001),"",IF(OR(AO108="",N(AO108)&lt;=0.000000001),0,IF(ISNUMBER(AU108),IFERROR(_xlfn.LET(_xlpm.ai_test,TRIM(AJ108),_xlpm.r,IFERROR(_xlfn.XLOOKUP(_xlpm.ai_test,$BJ$15:$BJ$62,ROW($BJ$15:$BJ$62),0,1),IFERROR(_xlfn.XLOOKUP(_xlpm.ai_test,$BK$15:$BK$62,ROW($BK$15:$BK$62),0,1),_xlfn.XLOOKUP(_xlpm.ai_test,$BL$15:$BL$62,ROW($BL$15:$BL$62),0,1))),_xlpm.p,_xlpm.r-MIN(ROW($BJ$15:$BJ$62))+1,_xlpm.f,INDEX($BM$15:$BM$62,_xlpm.p),_xlpm.u,INDEX($BN$15:$BN$62,_xlpm.p),_xlpm.s,INDEX($BP$15:$BP$62,_xlpm.p),_xlpm.q,N(AU108)/_xlpm.f,IF(_xlpm.q&gt;=_xlpm.s,ROUND(_xlpm.q,1)&amp;" "&amp;_xlpm.ai_test&amp;" = "&amp;ROUND(_xlpm.q*_xlpm.f,1)&amp;" "&amp;_xlpm.u,ROUND(_xlpm.q,1)&amp;" "&amp;_xlpm.ai_test)),""),""))))</f>
        <v>0</v>
      </c>
      <c r="AX108" s="6218"/>
      <c r="AY108" s="6271">
        <f t="shared" si="60"/>
        <v>0</v>
      </c>
      <c r="AZ108" s="6242" t="str">
        <f t="shared" si="61"/>
        <v/>
      </c>
      <c r="BA108" s="6194">
        <f t="shared" si="66"/>
        <v>0</v>
      </c>
      <c r="BB108" s="6192" t="str">
        <f t="shared" si="62"/>
        <v/>
      </c>
      <c r="BC108" s="6219"/>
      <c r="BD108" s="6221">
        <f t="shared" si="67"/>
        <v>0</v>
      </c>
      <c r="BE108" s="6220" t="str">
        <f t="shared" si="63"/>
        <v/>
      </c>
      <c r="BF108" s="4" t="s">
        <v>1</v>
      </c>
      <c r="BG108" s="6196">
        <f t="shared" si="64"/>
        <v>0</v>
      </c>
      <c r="BH108" s="6197">
        <f t="shared" si="65"/>
        <v>0</v>
      </c>
      <c r="BJ108" s="6910"/>
      <c r="BK108" s="6910"/>
      <c r="BL108" s="6910"/>
      <c r="BM108" s="6910"/>
      <c r="BN108" s="6910"/>
      <c r="BO108" s="6910"/>
      <c r="BP108" s="6910"/>
      <c r="BQ108" s="6910"/>
      <c r="BR108" s="6910"/>
      <c r="BS108" s="6910"/>
      <c r="BT108" s="6910"/>
      <c r="BU108" s="6910"/>
      <c r="BV108" s="6910"/>
      <c r="BW108"/>
      <c r="BX108" s="20" t="str">
        <f t="shared" si="46"/>
        <v>►</v>
      </c>
      <c r="BY108"/>
      <c r="BZ108"/>
      <c r="CA108"/>
      <c r="CB108"/>
      <c r="CC108"/>
      <c r="CD108" s="5661"/>
      <c r="CE108"/>
      <c r="CF108"/>
      <c r="CG108"/>
      <c r="CH108"/>
      <c r="CI108"/>
      <c r="CJ108"/>
      <c r="CK108"/>
      <c r="CL108"/>
      <c r="CM108"/>
      <c r="CN108"/>
      <c r="CO108"/>
      <c r="CP108"/>
      <c r="CQ108"/>
      <c r="CR108"/>
      <c r="CS108"/>
      <c r="CT108"/>
      <c r="CU108"/>
      <c r="CV108"/>
      <c r="CW108"/>
      <c r="CX108"/>
      <c r="CY108"/>
      <c r="CZ108"/>
      <c r="DA108"/>
      <c r="DC108" s="5">
        <v>1</v>
      </c>
    </row>
    <row r="109" spans="1:107" s="1" customFormat="1" ht="21" customHeight="1">
      <c r="A109" s="5641" t="s">
        <v>1</v>
      </c>
      <c r="B109" s="5662" t="str">
        <f t="shared" si="45"/>
        <v>►</v>
      </c>
      <c r="C109" s="5825" cm="1">
        <f t="array" ref="C109">SUMPRODUCT(LEN(D109:J109))</f>
        <v>0</v>
      </c>
      <c r="D109" s="5275"/>
      <c r="E109" s="1361"/>
      <c r="F109" s="1361"/>
      <c r="G109" s="1361"/>
      <c r="H109" s="1361"/>
      <c r="I109" s="1361"/>
      <c r="J109" s="5276"/>
      <c r="K109" s="106" t="s">
        <v>1</v>
      </c>
      <c r="L109" s="1021" t="s">
        <v>26</v>
      </c>
      <c r="M109" s="6787"/>
      <c r="N109" s="6787"/>
      <c r="O109" s="6787"/>
      <c r="P109" s="6788"/>
      <c r="Q109" s="6789"/>
      <c r="R109" s="6790"/>
      <c r="S109" s="6786"/>
      <c r="T109" s="6791"/>
      <c r="U109" s="6844"/>
      <c r="V109" s="6791"/>
      <c r="W109" s="8487"/>
      <c r="X109" s="6871"/>
      <c r="Y109" s="6793"/>
      <c r="Z109" s="6794"/>
      <c r="AA109" s="6795"/>
      <c r="AB109" s="6796"/>
      <c r="AC109" s="6797"/>
      <c r="AD109" s="6798"/>
      <c r="AE109" s="4" t="s">
        <v>1</v>
      </c>
      <c r="AF109" s="6202" t="str">
        <f t="shared" si="47"/>
        <v>►</v>
      </c>
      <c r="AG109" s="6234" t="str">
        <f t="shared" si="48"/>
        <v/>
      </c>
      <c r="AH109" s="6732" t="str">
        <f t="shared" si="49"/>
        <v/>
      </c>
      <c r="AI109" s="6234" t="str">
        <f t="shared" si="50"/>
        <v/>
      </c>
      <c r="AJ109" s="6732" t="str">
        <f t="shared" si="51"/>
        <v/>
      </c>
      <c r="AK109" s="6732">
        <f t="shared" si="52"/>
        <v>0</v>
      </c>
      <c r="AL109" s="6230" t="str" cm="1">
        <f t="array" ref="AL109">IF(AF109&lt;&gt;"A","",IFERROR((IFERROR(_xlfn.XLOOKUP(TRIM(SUBSTITUTE(U109,CHAR(160)," ")),$BJ$15:$BJ$62,$BM$15:$BM$62),IFERROR(_xlfn.XLOOKUP(TRIM(SUBSTITUTE(U109,CHAR(160)," ")),$BK$15:$BK$62,$BM$15:$BM$62),_xlfn.XLOOKUP(TRIM(SUBSTITUTE(U109,CHAR(160)," ")),$BL$15:$BL$62,$BM$15:$BM$62))))*T109*IF(ISBLANK(Q109),1,Q109)+IFERROR(_xlfn.XLOOKUP("RECHERCHEX",TRIM(L109:AD109),L109:AD109),0),0))</f>
        <v/>
      </c>
      <c r="AM109" s="6229">
        <f t="shared" si="53"/>
        <v>0</v>
      </c>
      <c r="AN109" s="6857" t="str">
        <f t="shared" si="68"/>
        <v/>
      </c>
      <c r="AO109" s="392">
        <f t="shared" si="54"/>
        <v>0</v>
      </c>
      <c r="AP109" s="392">
        <f t="shared" si="55"/>
        <v>0</v>
      </c>
      <c r="AQ109" s="6191">
        <f t="shared" si="56"/>
        <v>0</v>
      </c>
      <c r="AR109" s="6859" t="str">
        <f t="shared" si="57"/>
        <v/>
      </c>
      <c r="AS109" s="6217"/>
      <c r="AT109" s="6217"/>
      <c r="AU109" s="6272">
        <f t="shared" si="58"/>
        <v>0</v>
      </c>
      <c r="AV109" s="6240">
        <f t="shared" si="59"/>
        <v>0</v>
      </c>
      <c r="AW109" s="6189" cm="1">
        <f t="array" ref="AW109">IF(AK109&lt;&gt;1,0,IF(OR(AU109="",N(AU109)&lt;=0.000000001),"",IF(OR(AO109="",N(AO109)&lt;=0.000000001),0,IF(ISNUMBER(AU109),IFERROR(_xlfn.LET(_xlpm.ai_test,TRIM(AJ109),_xlpm.r,IFERROR(_xlfn.XLOOKUP(_xlpm.ai_test,$BJ$15:$BJ$62,ROW($BJ$15:$BJ$62),0,1),IFERROR(_xlfn.XLOOKUP(_xlpm.ai_test,$BK$15:$BK$62,ROW($BK$15:$BK$62),0,1),_xlfn.XLOOKUP(_xlpm.ai_test,$BL$15:$BL$62,ROW($BL$15:$BL$62),0,1))),_xlpm.p,_xlpm.r-MIN(ROW($BJ$15:$BJ$62))+1,_xlpm.f,INDEX($BM$15:$BM$62,_xlpm.p),_xlpm.u,INDEX($BN$15:$BN$62,_xlpm.p),_xlpm.s,INDEX($BP$15:$BP$62,_xlpm.p),_xlpm.q,N(AU109)/_xlpm.f,IF(_xlpm.q&gt;=_xlpm.s,ROUND(_xlpm.q,1)&amp;" "&amp;_xlpm.ai_test&amp;" = "&amp;ROUND(_xlpm.q*_xlpm.f,1)&amp;" "&amp;_xlpm.u,ROUND(_xlpm.q,1)&amp;" "&amp;_xlpm.ai_test)),""),""))))</f>
        <v>0</v>
      </c>
      <c r="AX109" s="6218"/>
      <c r="AY109" s="6272">
        <f t="shared" si="60"/>
        <v>0</v>
      </c>
      <c r="AZ109" s="6240" t="str">
        <f t="shared" si="61"/>
        <v/>
      </c>
      <c r="BA109" s="6195">
        <f t="shared" si="66"/>
        <v>0</v>
      </c>
      <c r="BB109" s="6193" t="str">
        <f t="shared" si="62"/>
        <v/>
      </c>
      <c r="BC109" s="6219"/>
      <c r="BD109" s="6222">
        <f t="shared" si="67"/>
        <v>0</v>
      </c>
      <c r="BE109" s="6220" t="str">
        <f t="shared" si="63"/>
        <v/>
      </c>
      <c r="BF109" s="4" t="s">
        <v>1</v>
      </c>
      <c r="BG109" s="6196">
        <f t="shared" si="64"/>
        <v>0</v>
      </c>
      <c r="BH109" s="6197">
        <f t="shared" si="65"/>
        <v>0</v>
      </c>
      <c r="BW109"/>
      <c r="BX109" s="20" t="str">
        <f t="shared" si="46"/>
        <v>►</v>
      </c>
      <c r="BY109"/>
      <c r="BZ109"/>
      <c r="CA109"/>
      <c r="CB109"/>
      <c r="CC109"/>
      <c r="CD109" s="5661"/>
      <c r="CE109"/>
      <c r="CF109"/>
      <c r="CG109"/>
      <c r="CH109"/>
      <c r="CI109"/>
      <c r="CJ109"/>
      <c r="CK109"/>
      <c r="CL109"/>
      <c r="CM109"/>
      <c r="CN109"/>
      <c r="CO109"/>
      <c r="CP109"/>
      <c r="CQ109"/>
      <c r="CR109"/>
      <c r="CS109"/>
      <c r="CT109"/>
      <c r="CU109"/>
      <c r="CV109"/>
      <c r="CW109"/>
      <c r="CX109"/>
      <c r="CY109"/>
      <c r="CZ109"/>
      <c r="DA109"/>
      <c r="DC109" s="5">
        <v>1</v>
      </c>
    </row>
    <row r="110" spans="1:107" s="1" customFormat="1" ht="21" customHeight="1">
      <c r="A110" s="5641" t="s">
        <v>1</v>
      </c>
      <c r="B110" s="5662" t="str">
        <f t="shared" si="45"/>
        <v>►</v>
      </c>
      <c r="C110" s="5825" cm="1">
        <f t="array" ref="C110">SUMPRODUCT(LEN(D110:J110))</f>
        <v>0</v>
      </c>
      <c r="D110" s="5275"/>
      <c r="E110" s="1361"/>
      <c r="F110" s="1361"/>
      <c r="G110" s="1361"/>
      <c r="H110" s="1361"/>
      <c r="I110" s="1361"/>
      <c r="J110" s="5276"/>
      <c r="K110" s="106" t="s">
        <v>1</v>
      </c>
      <c r="L110" s="1021" t="s">
        <v>26</v>
      </c>
      <c r="M110" s="6787"/>
      <c r="N110" s="6787"/>
      <c r="O110" s="6787"/>
      <c r="P110" s="6788"/>
      <c r="Q110" s="6789"/>
      <c r="R110" s="6790"/>
      <c r="S110" s="6786"/>
      <c r="T110" s="6791"/>
      <c r="U110" s="6844"/>
      <c r="V110" s="6791"/>
      <c r="W110" s="8487"/>
      <c r="X110" s="6871"/>
      <c r="Y110" s="6793"/>
      <c r="Z110" s="6794"/>
      <c r="AA110" s="6795"/>
      <c r="AB110" s="6796"/>
      <c r="AC110" s="6797"/>
      <c r="AD110" s="6798"/>
      <c r="AE110" s="4" t="s">
        <v>1</v>
      </c>
      <c r="AF110" s="6202" t="str">
        <f t="shared" si="47"/>
        <v>►</v>
      </c>
      <c r="AG110" s="6234" t="str">
        <f t="shared" si="48"/>
        <v/>
      </c>
      <c r="AH110" s="6732" t="str">
        <f t="shared" si="49"/>
        <v/>
      </c>
      <c r="AI110" s="6234" t="str">
        <f t="shared" si="50"/>
        <v/>
      </c>
      <c r="AJ110" s="6732" t="str">
        <f t="shared" si="51"/>
        <v/>
      </c>
      <c r="AK110" s="6732">
        <f t="shared" si="52"/>
        <v>0</v>
      </c>
      <c r="AL110" s="6230" t="str" cm="1">
        <f t="array" ref="AL110">IF(AF110&lt;&gt;"A","",IFERROR((IFERROR(_xlfn.XLOOKUP(TRIM(SUBSTITUTE(U110,CHAR(160)," ")),$BJ$15:$BJ$62,$BM$15:$BM$62),IFERROR(_xlfn.XLOOKUP(TRIM(SUBSTITUTE(U110,CHAR(160)," ")),$BK$15:$BK$62,$BM$15:$BM$62),_xlfn.XLOOKUP(TRIM(SUBSTITUTE(U110,CHAR(160)," ")),$BL$15:$BL$62,$BM$15:$BM$62))))*T110*IF(ISBLANK(Q110),1,Q110)+IFERROR(_xlfn.XLOOKUP("RECHERCHEX",TRIM(L110:AD110),L110:AD110),0),0))</f>
        <v/>
      </c>
      <c r="AM110" s="6229">
        <f t="shared" si="53"/>
        <v>0</v>
      </c>
      <c r="AN110" s="6857" t="str">
        <f t="shared" si="68"/>
        <v/>
      </c>
      <c r="AO110" s="392">
        <f t="shared" si="54"/>
        <v>0</v>
      </c>
      <c r="AP110" s="392">
        <f t="shared" si="55"/>
        <v>0</v>
      </c>
      <c r="AQ110" s="6190">
        <f t="shared" si="56"/>
        <v>0</v>
      </c>
      <c r="AR110" s="6858" t="str">
        <f t="shared" si="57"/>
        <v/>
      </c>
      <c r="AS110" s="6217"/>
      <c r="AT110" s="6217"/>
      <c r="AU110" s="6271">
        <f t="shared" si="58"/>
        <v>0</v>
      </c>
      <c r="AV110" s="6242">
        <f t="shared" si="59"/>
        <v>0</v>
      </c>
      <c r="AW110" s="6188" cm="1">
        <f t="array" ref="AW110">IF(AK110&lt;&gt;1,0,IF(OR(AU110="",N(AU110)&lt;=0.000000001),"",IF(OR(AO110="",N(AO110)&lt;=0.000000001),0,IF(ISNUMBER(AU110),IFERROR(_xlfn.LET(_xlpm.ai_test,TRIM(AJ110),_xlpm.r,IFERROR(_xlfn.XLOOKUP(_xlpm.ai_test,$BJ$15:$BJ$62,ROW($BJ$15:$BJ$62),0,1),IFERROR(_xlfn.XLOOKUP(_xlpm.ai_test,$BK$15:$BK$62,ROW($BK$15:$BK$62),0,1),_xlfn.XLOOKUP(_xlpm.ai_test,$BL$15:$BL$62,ROW($BL$15:$BL$62),0,1))),_xlpm.p,_xlpm.r-MIN(ROW($BJ$15:$BJ$62))+1,_xlpm.f,INDEX($BM$15:$BM$62,_xlpm.p),_xlpm.u,INDEX($BN$15:$BN$62,_xlpm.p),_xlpm.s,INDEX($BP$15:$BP$62,_xlpm.p),_xlpm.q,N(AU110)/_xlpm.f,IF(_xlpm.q&gt;=_xlpm.s,ROUND(_xlpm.q,1)&amp;" "&amp;_xlpm.ai_test&amp;" = "&amp;ROUND(_xlpm.q*_xlpm.f,1)&amp;" "&amp;_xlpm.u,ROUND(_xlpm.q,1)&amp;" "&amp;_xlpm.ai_test)),""),""))))</f>
        <v>0</v>
      </c>
      <c r="AX110" s="6218"/>
      <c r="AY110" s="6271">
        <f t="shared" si="60"/>
        <v>0</v>
      </c>
      <c r="AZ110" s="6242" t="str">
        <f t="shared" si="61"/>
        <v/>
      </c>
      <c r="BA110" s="6194">
        <f t="shared" si="66"/>
        <v>0</v>
      </c>
      <c r="BB110" s="6192" t="str">
        <f t="shared" si="62"/>
        <v/>
      </c>
      <c r="BC110" s="6219"/>
      <c r="BD110" s="6221">
        <f t="shared" si="67"/>
        <v>0</v>
      </c>
      <c r="BE110" s="6220" t="str">
        <f t="shared" si="63"/>
        <v/>
      </c>
      <c r="BF110" s="4" t="s">
        <v>1</v>
      </c>
      <c r="BG110" s="6196">
        <f t="shared" si="64"/>
        <v>0</v>
      </c>
      <c r="BH110" s="6197">
        <f t="shared" si="65"/>
        <v>0</v>
      </c>
      <c r="BW110"/>
      <c r="BX110" s="20" t="str">
        <f t="shared" si="46"/>
        <v>►</v>
      </c>
      <c r="BY110"/>
      <c r="BZ110"/>
      <c r="CA110"/>
      <c r="CB110"/>
      <c r="CC110"/>
      <c r="CD110" s="5661"/>
      <c r="CE110"/>
      <c r="CF110"/>
      <c r="CG110"/>
      <c r="CH110"/>
      <c r="CI110"/>
      <c r="CJ110"/>
      <c r="CK110"/>
      <c r="CL110"/>
      <c r="CM110"/>
      <c r="CN110"/>
      <c r="CO110"/>
      <c r="CP110"/>
      <c r="CQ110"/>
      <c r="CR110"/>
      <c r="CS110"/>
      <c r="CT110"/>
      <c r="CU110"/>
      <c r="CV110"/>
      <c r="CW110"/>
      <c r="CX110"/>
      <c r="CY110"/>
      <c r="CZ110"/>
      <c r="DA110"/>
      <c r="DC110" s="5">
        <v>1</v>
      </c>
    </row>
    <row r="111" spans="1:107" s="1" customFormat="1" ht="21" customHeight="1">
      <c r="A111" s="5641" t="s">
        <v>1</v>
      </c>
      <c r="B111" s="5662" t="str">
        <f t="shared" si="45"/>
        <v>►</v>
      </c>
      <c r="C111" s="5825" cm="1">
        <f t="array" ref="C111">SUMPRODUCT(LEN(D111:J111))</f>
        <v>0</v>
      </c>
      <c r="D111" s="5275"/>
      <c r="E111" s="1361"/>
      <c r="F111" s="1361"/>
      <c r="G111" s="1361"/>
      <c r="H111" s="1361"/>
      <c r="I111" s="1361"/>
      <c r="J111" s="5276"/>
      <c r="K111" s="106" t="s">
        <v>1</v>
      </c>
      <c r="L111" s="1021" t="s">
        <v>26</v>
      </c>
      <c r="M111" s="6787"/>
      <c r="N111" s="6787"/>
      <c r="O111" s="6787"/>
      <c r="P111" s="6788"/>
      <c r="Q111" s="6789"/>
      <c r="R111" s="6790"/>
      <c r="S111" s="6786"/>
      <c r="T111" s="6791"/>
      <c r="U111" s="6844"/>
      <c r="V111" s="6791"/>
      <c r="W111" s="8487"/>
      <c r="X111" s="6871"/>
      <c r="Y111" s="6793"/>
      <c r="Z111" s="6794"/>
      <c r="AA111" s="6795"/>
      <c r="AB111" s="6796"/>
      <c r="AC111" s="6797"/>
      <c r="AD111" s="6798"/>
      <c r="AE111" s="4" t="s">
        <v>1</v>
      </c>
      <c r="AF111" s="6202" t="str">
        <f t="shared" si="47"/>
        <v>►</v>
      </c>
      <c r="AG111" s="6234" t="str">
        <f t="shared" si="48"/>
        <v/>
      </c>
      <c r="AH111" s="6732" t="str">
        <f t="shared" si="49"/>
        <v/>
      </c>
      <c r="AI111" s="6234" t="str">
        <f t="shared" si="50"/>
        <v/>
      </c>
      <c r="AJ111" s="6732" t="str">
        <f t="shared" si="51"/>
        <v/>
      </c>
      <c r="AK111" s="6732">
        <f t="shared" si="52"/>
        <v>0</v>
      </c>
      <c r="AL111" s="6230" t="str" cm="1">
        <f t="array" ref="AL111">IF(AF111&lt;&gt;"A","",IFERROR((IFERROR(_xlfn.XLOOKUP(TRIM(SUBSTITUTE(U111,CHAR(160)," ")),$BJ$15:$BJ$62,$BM$15:$BM$62),IFERROR(_xlfn.XLOOKUP(TRIM(SUBSTITUTE(U111,CHAR(160)," ")),$BK$15:$BK$62,$BM$15:$BM$62),_xlfn.XLOOKUP(TRIM(SUBSTITUTE(U111,CHAR(160)," ")),$BL$15:$BL$62,$BM$15:$BM$62))))*T111*IF(ISBLANK(Q111),1,Q111)+IFERROR(_xlfn.XLOOKUP("RECHERCHEX",TRIM(L111:AD111),L111:AD111),0),0))</f>
        <v/>
      </c>
      <c r="AM111" s="6229">
        <f t="shared" si="53"/>
        <v>0</v>
      </c>
      <c r="AN111" s="6857" t="str">
        <f t="shared" si="68"/>
        <v/>
      </c>
      <c r="AO111" s="392">
        <f t="shared" si="54"/>
        <v>0</v>
      </c>
      <c r="AP111" s="392">
        <f t="shared" si="55"/>
        <v>0</v>
      </c>
      <c r="AQ111" s="6191">
        <f t="shared" si="56"/>
        <v>0</v>
      </c>
      <c r="AR111" s="6859" t="str">
        <f t="shared" si="57"/>
        <v/>
      </c>
      <c r="AS111" s="6217"/>
      <c r="AT111" s="6217"/>
      <c r="AU111" s="6272">
        <f t="shared" si="58"/>
        <v>0</v>
      </c>
      <c r="AV111" s="6240">
        <f t="shared" si="59"/>
        <v>0</v>
      </c>
      <c r="AW111" s="6189" cm="1">
        <f t="array" ref="AW111">IF(AK111&lt;&gt;1,0,IF(OR(AU111="",N(AU111)&lt;=0.000000001),"",IF(OR(AO111="",N(AO111)&lt;=0.000000001),0,IF(ISNUMBER(AU111),IFERROR(_xlfn.LET(_xlpm.ai_test,TRIM(AJ111),_xlpm.r,IFERROR(_xlfn.XLOOKUP(_xlpm.ai_test,$BJ$15:$BJ$62,ROW($BJ$15:$BJ$62),0,1),IFERROR(_xlfn.XLOOKUP(_xlpm.ai_test,$BK$15:$BK$62,ROW($BK$15:$BK$62),0,1),_xlfn.XLOOKUP(_xlpm.ai_test,$BL$15:$BL$62,ROW($BL$15:$BL$62),0,1))),_xlpm.p,_xlpm.r-MIN(ROW($BJ$15:$BJ$62))+1,_xlpm.f,INDEX($BM$15:$BM$62,_xlpm.p),_xlpm.u,INDEX($BN$15:$BN$62,_xlpm.p),_xlpm.s,INDEX($BP$15:$BP$62,_xlpm.p),_xlpm.q,N(AU111)/_xlpm.f,IF(_xlpm.q&gt;=_xlpm.s,ROUND(_xlpm.q,1)&amp;" "&amp;_xlpm.ai_test&amp;" = "&amp;ROUND(_xlpm.q*_xlpm.f,1)&amp;" "&amp;_xlpm.u,ROUND(_xlpm.q,1)&amp;" "&amp;_xlpm.ai_test)),""),""))))</f>
        <v>0</v>
      </c>
      <c r="AX111" s="6218"/>
      <c r="AY111" s="6272">
        <f t="shared" si="60"/>
        <v>0</v>
      </c>
      <c r="AZ111" s="6240" t="str">
        <f t="shared" si="61"/>
        <v/>
      </c>
      <c r="BA111" s="6195">
        <f t="shared" si="66"/>
        <v>0</v>
      </c>
      <c r="BB111" s="6193" t="str">
        <f t="shared" si="62"/>
        <v/>
      </c>
      <c r="BC111" s="6219"/>
      <c r="BD111" s="6222">
        <f t="shared" si="67"/>
        <v>0</v>
      </c>
      <c r="BE111" s="6220" t="str">
        <f t="shared" si="63"/>
        <v/>
      </c>
      <c r="BF111" s="4" t="s">
        <v>1</v>
      </c>
      <c r="BG111" s="6196">
        <f t="shared" si="64"/>
        <v>0</v>
      </c>
      <c r="BH111" s="6197">
        <f t="shared" si="65"/>
        <v>0</v>
      </c>
      <c r="BW111"/>
      <c r="BX111" s="20" t="str">
        <f t="shared" si="46"/>
        <v>►</v>
      </c>
      <c r="BY111"/>
      <c r="BZ111"/>
      <c r="CA111"/>
      <c r="CB111"/>
      <c r="CC111"/>
      <c r="CD111" s="5661"/>
      <c r="CE111"/>
      <c r="CF111"/>
      <c r="CG111"/>
      <c r="CH111"/>
      <c r="CI111"/>
      <c r="CJ111"/>
      <c r="CK111"/>
      <c r="CL111"/>
      <c r="CM111"/>
      <c r="CN111"/>
      <c r="CO111"/>
      <c r="CP111"/>
      <c r="CQ111"/>
      <c r="CR111"/>
      <c r="CS111"/>
      <c r="CT111"/>
      <c r="CU111"/>
      <c r="CV111"/>
      <c r="CW111"/>
      <c r="CX111"/>
      <c r="CY111"/>
      <c r="CZ111"/>
      <c r="DA111"/>
      <c r="DC111" s="5">
        <v>1</v>
      </c>
    </row>
    <row r="112" spans="1:107" s="1" customFormat="1" ht="21" customHeight="1">
      <c r="A112" s="5641" t="s">
        <v>1</v>
      </c>
      <c r="B112" s="5662" t="str">
        <f t="shared" si="45"/>
        <v>►</v>
      </c>
      <c r="C112" s="5825" cm="1">
        <f t="array" ref="C112">SUMPRODUCT(LEN(D112:J112))</f>
        <v>0</v>
      </c>
      <c r="D112" s="5275"/>
      <c r="E112" s="1361"/>
      <c r="F112" s="1361"/>
      <c r="G112" s="1361"/>
      <c r="H112" s="1361"/>
      <c r="I112" s="1361"/>
      <c r="J112" s="5276"/>
      <c r="K112" s="106" t="s">
        <v>1</v>
      </c>
      <c r="L112" s="1021" t="s">
        <v>26</v>
      </c>
      <c r="M112" s="6787"/>
      <c r="N112" s="6787"/>
      <c r="O112" s="6787"/>
      <c r="P112" s="6788"/>
      <c r="Q112" s="6789"/>
      <c r="R112" s="6790"/>
      <c r="S112" s="6786"/>
      <c r="T112" s="6791"/>
      <c r="U112" s="6844"/>
      <c r="V112" s="6791"/>
      <c r="W112" s="8487"/>
      <c r="X112" s="6871"/>
      <c r="Y112" s="6793"/>
      <c r="Z112" s="6794"/>
      <c r="AA112" s="6795"/>
      <c r="AB112" s="6796"/>
      <c r="AC112" s="6797"/>
      <c r="AD112" s="6798"/>
      <c r="AE112" s="4" t="s">
        <v>1</v>
      </c>
      <c r="AF112" s="6202" t="str">
        <f t="shared" si="47"/>
        <v>►</v>
      </c>
      <c r="AG112" s="6234" t="str">
        <f t="shared" si="48"/>
        <v/>
      </c>
      <c r="AH112" s="6732" t="str">
        <f t="shared" si="49"/>
        <v/>
      </c>
      <c r="AI112" s="6234" t="str">
        <f t="shared" si="50"/>
        <v/>
      </c>
      <c r="AJ112" s="6732" t="str">
        <f t="shared" si="51"/>
        <v/>
      </c>
      <c r="AK112" s="6732">
        <f t="shared" si="52"/>
        <v>0</v>
      </c>
      <c r="AL112" s="6230" t="str" cm="1">
        <f t="array" ref="AL112">IF(AF112&lt;&gt;"A","",IFERROR((IFERROR(_xlfn.XLOOKUP(TRIM(SUBSTITUTE(U112,CHAR(160)," ")),$BJ$15:$BJ$62,$BM$15:$BM$62),IFERROR(_xlfn.XLOOKUP(TRIM(SUBSTITUTE(U112,CHAR(160)," ")),$BK$15:$BK$62,$BM$15:$BM$62),_xlfn.XLOOKUP(TRIM(SUBSTITUTE(U112,CHAR(160)," ")),$BL$15:$BL$62,$BM$15:$BM$62))))*T112*IF(ISBLANK(Q112),1,Q112)+IFERROR(_xlfn.XLOOKUP("RECHERCHEX",TRIM(L112:AD112),L112:AD112),0),0))</f>
        <v/>
      </c>
      <c r="AM112" s="6229">
        <f t="shared" si="53"/>
        <v>0</v>
      </c>
      <c r="AN112" s="6857" t="str">
        <f t="shared" si="68"/>
        <v/>
      </c>
      <c r="AO112" s="392">
        <f t="shared" si="54"/>
        <v>0</v>
      </c>
      <c r="AP112" s="392">
        <f t="shared" si="55"/>
        <v>0</v>
      </c>
      <c r="AQ112" s="6190">
        <f t="shared" si="56"/>
        <v>0</v>
      </c>
      <c r="AR112" s="6858" t="str">
        <f t="shared" si="57"/>
        <v/>
      </c>
      <c r="AS112" s="6217"/>
      <c r="AT112" s="6217"/>
      <c r="AU112" s="6271">
        <f t="shared" si="58"/>
        <v>0</v>
      </c>
      <c r="AV112" s="6242">
        <f t="shared" si="59"/>
        <v>0</v>
      </c>
      <c r="AW112" s="6188" cm="1">
        <f t="array" ref="AW112">IF(AK112&lt;&gt;1,0,IF(OR(AU112="",N(AU112)&lt;=0.000000001),"",IF(OR(AO112="",N(AO112)&lt;=0.000000001),0,IF(ISNUMBER(AU112),IFERROR(_xlfn.LET(_xlpm.ai_test,TRIM(AJ112),_xlpm.r,IFERROR(_xlfn.XLOOKUP(_xlpm.ai_test,$BJ$15:$BJ$62,ROW($BJ$15:$BJ$62),0,1),IFERROR(_xlfn.XLOOKUP(_xlpm.ai_test,$BK$15:$BK$62,ROW($BK$15:$BK$62),0,1),_xlfn.XLOOKUP(_xlpm.ai_test,$BL$15:$BL$62,ROW($BL$15:$BL$62),0,1))),_xlpm.p,_xlpm.r-MIN(ROW($BJ$15:$BJ$62))+1,_xlpm.f,INDEX($BM$15:$BM$62,_xlpm.p),_xlpm.u,INDEX($BN$15:$BN$62,_xlpm.p),_xlpm.s,INDEX($BP$15:$BP$62,_xlpm.p),_xlpm.q,N(AU112)/_xlpm.f,IF(_xlpm.q&gt;=_xlpm.s,ROUND(_xlpm.q,1)&amp;" "&amp;_xlpm.ai_test&amp;" = "&amp;ROUND(_xlpm.q*_xlpm.f,1)&amp;" "&amp;_xlpm.u,ROUND(_xlpm.q,1)&amp;" "&amp;_xlpm.ai_test)),""),""))))</f>
        <v>0</v>
      </c>
      <c r="AX112" s="6218"/>
      <c r="AY112" s="6271">
        <f t="shared" si="60"/>
        <v>0</v>
      </c>
      <c r="AZ112" s="6242" t="str">
        <f t="shared" si="61"/>
        <v/>
      </c>
      <c r="BA112" s="6194">
        <f t="shared" si="66"/>
        <v>0</v>
      </c>
      <c r="BB112" s="6192" t="str">
        <f t="shared" si="62"/>
        <v/>
      </c>
      <c r="BC112" s="6219"/>
      <c r="BD112" s="6221">
        <f t="shared" si="67"/>
        <v>0</v>
      </c>
      <c r="BE112" s="6220" t="str">
        <f t="shared" si="63"/>
        <v/>
      </c>
      <c r="BF112" s="4" t="s">
        <v>1</v>
      </c>
      <c r="BG112" s="6196">
        <f t="shared" si="64"/>
        <v>0</v>
      </c>
      <c r="BH112" s="6197">
        <f t="shared" si="65"/>
        <v>0</v>
      </c>
      <c r="BW112"/>
      <c r="BX112" s="20" t="str">
        <f t="shared" si="46"/>
        <v>►</v>
      </c>
      <c r="BY112"/>
      <c r="BZ112"/>
      <c r="CA112"/>
      <c r="CB112"/>
      <c r="CC112"/>
      <c r="CD112" s="5661"/>
      <c r="CE112"/>
      <c r="CF112"/>
      <c r="CG112"/>
      <c r="CH112"/>
      <c r="CI112"/>
      <c r="CJ112"/>
      <c r="CK112"/>
      <c r="CL112"/>
      <c r="CM112"/>
      <c r="CN112"/>
      <c r="CO112"/>
      <c r="CP112"/>
      <c r="CQ112"/>
      <c r="CR112"/>
      <c r="CS112"/>
      <c r="CT112"/>
      <c r="CU112"/>
      <c r="CV112"/>
      <c r="CW112"/>
      <c r="CX112"/>
      <c r="CY112"/>
      <c r="CZ112"/>
      <c r="DA112"/>
      <c r="DC112" s="5">
        <v>1</v>
      </c>
    </row>
    <row r="113" spans="1:107" s="1" customFormat="1" ht="21" customHeight="1">
      <c r="A113" s="5641" t="s">
        <v>1</v>
      </c>
      <c r="B113" s="5662" t="str">
        <f t="shared" si="45"/>
        <v>►</v>
      </c>
      <c r="C113" s="5825" cm="1">
        <f t="array" ref="C113">SUMPRODUCT(LEN(D113:J113))</f>
        <v>0</v>
      </c>
      <c r="D113" s="5275"/>
      <c r="E113" s="1361"/>
      <c r="F113" s="1361"/>
      <c r="G113" s="1361"/>
      <c r="H113" s="1361"/>
      <c r="I113" s="1361"/>
      <c r="J113" s="5276"/>
      <c r="K113" s="106" t="s">
        <v>1</v>
      </c>
      <c r="L113" s="1021" t="s">
        <v>26</v>
      </c>
      <c r="M113" s="6787"/>
      <c r="N113" s="6787"/>
      <c r="O113" s="6787"/>
      <c r="P113" s="6788"/>
      <c r="Q113" s="6789"/>
      <c r="R113" s="6790"/>
      <c r="S113" s="6786"/>
      <c r="T113" s="6791"/>
      <c r="U113" s="6844"/>
      <c r="V113" s="6791"/>
      <c r="W113" s="8487"/>
      <c r="X113" s="6871"/>
      <c r="Y113" s="6793"/>
      <c r="Z113" s="6794"/>
      <c r="AA113" s="6795"/>
      <c r="AB113" s="6796"/>
      <c r="AC113" s="6797"/>
      <c r="AD113" s="6798"/>
      <c r="AE113" s="4" t="s">
        <v>1</v>
      </c>
      <c r="AF113" s="6202" t="str">
        <f t="shared" si="47"/>
        <v>►</v>
      </c>
      <c r="AG113" s="6234" t="str">
        <f t="shared" si="48"/>
        <v/>
      </c>
      <c r="AH113" s="6732" t="str">
        <f t="shared" si="49"/>
        <v/>
      </c>
      <c r="AI113" s="6234" t="str">
        <f t="shared" si="50"/>
        <v/>
      </c>
      <c r="AJ113" s="6732" t="str">
        <f t="shared" si="51"/>
        <v/>
      </c>
      <c r="AK113" s="6732">
        <f t="shared" si="52"/>
        <v>0</v>
      </c>
      <c r="AL113" s="6230" t="str" cm="1">
        <f t="array" ref="AL113">IF(AF113&lt;&gt;"A","",IFERROR((IFERROR(_xlfn.XLOOKUP(TRIM(SUBSTITUTE(U113,CHAR(160)," ")),$BJ$15:$BJ$62,$BM$15:$BM$62),IFERROR(_xlfn.XLOOKUP(TRIM(SUBSTITUTE(U113,CHAR(160)," ")),$BK$15:$BK$62,$BM$15:$BM$62),_xlfn.XLOOKUP(TRIM(SUBSTITUTE(U113,CHAR(160)," ")),$BL$15:$BL$62,$BM$15:$BM$62))))*T113*IF(ISBLANK(Q113),1,Q113)+IFERROR(_xlfn.XLOOKUP("RECHERCHEX",TRIM(L113:AD113),L113:AD113),0),0))</f>
        <v/>
      </c>
      <c r="AM113" s="6229">
        <f t="shared" si="53"/>
        <v>0</v>
      </c>
      <c r="AN113" s="6857" t="str">
        <f t="shared" si="68"/>
        <v/>
      </c>
      <c r="AO113" s="392">
        <f t="shared" si="54"/>
        <v>0</v>
      </c>
      <c r="AP113" s="392">
        <f t="shared" si="55"/>
        <v>0</v>
      </c>
      <c r="AQ113" s="6191">
        <f t="shared" si="56"/>
        <v>0</v>
      </c>
      <c r="AR113" s="6859" t="str">
        <f t="shared" si="57"/>
        <v/>
      </c>
      <c r="AS113" s="6217"/>
      <c r="AT113" s="6217"/>
      <c r="AU113" s="6272">
        <f t="shared" si="58"/>
        <v>0</v>
      </c>
      <c r="AV113" s="6240">
        <f t="shared" si="59"/>
        <v>0</v>
      </c>
      <c r="AW113" s="6189" cm="1">
        <f t="array" ref="AW113">IF(AK113&lt;&gt;1,0,IF(OR(AU113="",N(AU113)&lt;=0.000000001),"",IF(OR(AO113="",N(AO113)&lt;=0.000000001),0,IF(ISNUMBER(AU113),IFERROR(_xlfn.LET(_xlpm.ai_test,TRIM(AJ113),_xlpm.r,IFERROR(_xlfn.XLOOKUP(_xlpm.ai_test,$BJ$15:$BJ$62,ROW($BJ$15:$BJ$62),0,1),IFERROR(_xlfn.XLOOKUP(_xlpm.ai_test,$BK$15:$BK$62,ROW($BK$15:$BK$62),0,1),_xlfn.XLOOKUP(_xlpm.ai_test,$BL$15:$BL$62,ROW($BL$15:$BL$62),0,1))),_xlpm.p,_xlpm.r-MIN(ROW($BJ$15:$BJ$62))+1,_xlpm.f,INDEX($BM$15:$BM$62,_xlpm.p),_xlpm.u,INDEX($BN$15:$BN$62,_xlpm.p),_xlpm.s,INDEX($BP$15:$BP$62,_xlpm.p),_xlpm.q,N(AU113)/_xlpm.f,IF(_xlpm.q&gt;=_xlpm.s,ROUND(_xlpm.q,1)&amp;" "&amp;_xlpm.ai_test&amp;" = "&amp;ROUND(_xlpm.q*_xlpm.f,1)&amp;" "&amp;_xlpm.u,ROUND(_xlpm.q,1)&amp;" "&amp;_xlpm.ai_test)),""),""))))</f>
        <v>0</v>
      </c>
      <c r="AX113" s="6218"/>
      <c r="AY113" s="6272">
        <f t="shared" si="60"/>
        <v>0</v>
      </c>
      <c r="AZ113" s="6240" t="str">
        <f t="shared" si="61"/>
        <v/>
      </c>
      <c r="BA113" s="6195">
        <f t="shared" si="66"/>
        <v>0</v>
      </c>
      <c r="BB113" s="6193" t="str">
        <f t="shared" si="62"/>
        <v/>
      </c>
      <c r="BC113" s="6219"/>
      <c r="BD113" s="6222">
        <f t="shared" si="67"/>
        <v>0</v>
      </c>
      <c r="BE113" s="6220" t="str">
        <f t="shared" si="63"/>
        <v/>
      </c>
      <c r="BF113" s="4" t="s">
        <v>1</v>
      </c>
      <c r="BG113" s="6196">
        <f t="shared" si="64"/>
        <v>0</v>
      </c>
      <c r="BH113" s="6197">
        <f t="shared" si="65"/>
        <v>0</v>
      </c>
      <c r="BW113"/>
      <c r="BX113" s="20" t="str">
        <f t="shared" si="46"/>
        <v>►</v>
      </c>
      <c r="BY113"/>
      <c r="BZ113"/>
      <c r="CA113"/>
      <c r="CB113"/>
      <c r="CC113"/>
      <c r="CD113" s="5661"/>
      <c r="CE113"/>
      <c r="CF113"/>
      <c r="CG113"/>
      <c r="CH113"/>
      <c r="CI113"/>
      <c r="CJ113"/>
      <c r="CK113"/>
      <c r="CL113"/>
      <c r="CM113"/>
      <c r="CN113"/>
      <c r="CO113"/>
      <c r="CP113"/>
      <c r="CQ113"/>
      <c r="CR113"/>
      <c r="CS113"/>
      <c r="CT113"/>
      <c r="CU113"/>
      <c r="CV113"/>
      <c r="CW113"/>
      <c r="CX113"/>
      <c r="CY113"/>
      <c r="CZ113"/>
      <c r="DA113"/>
      <c r="DC113" s="5">
        <v>1</v>
      </c>
    </row>
    <row r="114" spans="1:107" s="1" customFormat="1" ht="21" customHeight="1">
      <c r="A114" s="5641" t="s">
        <v>1</v>
      </c>
      <c r="B114" s="5662" t="str">
        <f t="shared" si="45"/>
        <v>►</v>
      </c>
      <c r="C114" s="5825" cm="1">
        <f t="array" ref="C114">SUMPRODUCT(LEN(D114:J114))</f>
        <v>0</v>
      </c>
      <c r="D114" s="5275"/>
      <c r="E114" s="1361"/>
      <c r="F114" s="1361"/>
      <c r="G114" s="1361"/>
      <c r="H114" s="1361"/>
      <c r="I114" s="1361"/>
      <c r="J114" s="5276"/>
      <c r="K114" s="106" t="s">
        <v>1</v>
      </c>
      <c r="L114" s="1021" t="s">
        <v>26</v>
      </c>
      <c r="M114" s="6787"/>
      <c r="N114" s="6787"/>
      <c r="O114" s="6787"/>
      <c r="P114" s="6788"/>
      <c r="Q114" s="6789"/>
      <c r="R114" s="6790"/>
      <c r="S114" s="6786"/>
      <c r="T114" s="6791"/>
      <c r="U114" s="6844"/>
      <c r="V114" s="6791"/>
      <c r="W114" s="8487"/>
      <c r="X114" s="6871"/>
      <c r="Y114" s="6793"/>
      <c r="Z114" s="6794"/>
      <c r="AA114" s="6795"/>
      <c r="AB114" s="6796"/>
      <c r="AC114" s="6797"/>
      <c r="AD114" s="6798"/>
      <c r="AE114" s="4" t="s">
        <v>1</v>
      </c>
      <c r="AF114" s="6202" t="str">
        <f t="shared" si="47"/>
        <v>►</v>
      </c>
      <c r="AG114" s="6234" t="str">
        <f t="shared" si="48"/>
        <v/>
      </c>
      <c r="AH114" s="6732" t="str">
        <f t="shared" si="49"/>
        <v/>
      </c>
      <c r="AI114" s="6234" t="str">
        <f t="shared" si="50"/>
        <v/>
      </c>
      <c r="AJ114" s="6732" t="str">
        <f t="shared" si="51"/>
        <v/>
      </c>
      <c r="AK114" s="6732">
        <f t="shared" si="52"/>
        <v>0</v>
      </c>
      <c r="AL114" s="6230" t="str" cm="1">
        <f t="array" ref="AL114">IF(AF114&lt;&gt;"A","",IFERROR((IFERROR(_xlfn.XLOOKUP(TRIM(SUBSTITUTE(U114,CHAR(160)," ")),$BJ$15:$BJ$62,$BM$15:$BM$62),IFERROR(_xlfn.XLOOKUP(TRIM(SUBSTITUTE(U114,CHAR(160)," ")),$BK$15:$BK$62,$BM$15:$BM$62),_xlfn.XLOOKUP(TRIM(SUBSTITUTE(U114,CHAR(160)," ")),$BL$15:$BL$62,$BM$15:$BM$62))))*T114*IF(ISBLANK(Q114),1,Q114)+IFERROR(_xlfn.XLOOKUP("RECHERCHEX",TRIM(L114:AD114),L114:AD114),0),0))</f>
        <v/>
      </c>
      <c r="AM114" s="6229">
        <f t="shared" si="53"/>
        <v>0</v>
      </c>
      <c r="AN114" s="6857" t="str">
        <f t="shared" si="68"/>
        <v/>
      </c>
      <c r="AO114" s="392">
        <f t="shared" si="54"/>
        <v>0</v>
      </c>
      <c r="AP114" s="392">
        <f t="shared" si="55"/>
        <v>0</v>
      </c>
      <c r="AQ114" s="6190">
        <f t="shared" si="56"/>
        <v>0</v>
      </c>
      <c r="AR114" s="6858" t="str">
        <f t="shared" si="57"/>
        <v/>
      </c>
      <c r="AS114" s="6217"/>
      <c r="AT114" s="6217"/>
      <c r="AU114" s="6271">
        <f t="shared" si="58"/>
        <v>0</v>
      </c>
      <c r="AV114" s="6242">
        <f t="shared" si="59"/>
        <v>0</v>
      </c>
      <c r="AW114" s="6188" cm="1">
        <f t="array" ref="AW114">IF(AK114&lt;&gt;1,0,IF(OR(AU114="",N(AU114)&lt;=0.000000001),"",IF(OR(AO114="",N(AO114)&lt;=0.000000001),0,IF(ISNUMBER(AU114),IFERROR(_xlfn.LET(_xlpm.ai_test,TRIM(AJ114),_xlpm.r,IFERROR(_xlfn.XLOOKUP(_xlpm.ai_test,$BJ$15:$BJ$62,ROW($BJ$15:$BJ$62),0,1),IFERROR(_xlfn.XLOOKUP(_xlpm.ai_test,$BK$15:$BK$62,ROW($BK$15:$BK$62),0,1),_xlfn.XLOOKUP(_xlpm.ai_test,$BL$15:$BL$62,ROW($BL$15:$BL$62),0,1))),_xlpm.p,_xlpm.r-MIN(ROW($BJ$15:$BJ$62))+1,_xlpm.f,INDEX($BM$15:$BM$62,_xlpm.p),_xlpm.u,INDEX($BN$15:$BN$62,_xlpm.p),_xlpm.s,INDEX($BP$15:$BP$62,_xlpm.p),_xlpm.q,N(AU114)/_xlpm.f,IF(_xlpm.q&gt;=_xlpm.s,ROUND(_xlpm.q,1)&amp;" "&amp;_xlpm.ai_test&amp;" = "&amp;ROUND(_xlpm.q*_xlpm.f,1)&amp;" "&amp;_xlpm.u,ROUND(_xlpm.q,1)&amp;" "&amp;_xlpm.ai_test)),""),""))))</f>
        <v>0</v>
      </c>
      <c r="AX114" s="6218"/>
      <c r="AY114" s="6271">
        <f t="shared" si="60"/>
        <v>0</v>
      </c>
      <c r="AZ114" s="6242" t="str">
        <f t="shared" si="61"/>
        <v/>
      </c>
      <c r="BA114" s="6194">
        <f t="shared" si="66"/>
        <v>0</v>
      </c>
      <c r="BB114" s="6192" t="str">
        <f t="shared" si="62"/>
        <v/>
      </c>
      <c r="BC114" s="6219"/>
      <c r="BD114" s="6221">
        <f t="shared" si="67"/>
        <v>0</v>
      </c>
      <c r="BE114" s="6220" t="str">
        <f t="shared" si="63"/>
        <v/>
      </c>
      <c r="BF114" s="4" t="s">
        <v>1</v>
      </c>
      <c r="BG114" s="6196">
        <f t="shared" si="64"/>
        <v>0</v>
      </c>
      <c r="BH114" s="6197">
        <f t="shared" si="65"/>
        <v>0</v>
      </c>
      <c r="BW114"/>
      <c r="BX114" s="20" t="str">
        <f t="shared" si="46"/>
        <v>►</v>
      </c>
      <c r="BY114"/>
      <c r="BZ114"/>
      <c r="CA114"/>
      <c r="CB114"/>
      <c r="CC114"/>
      <c r="CD114" s="5661"/>
      <c r="CE114"/>
      <c r="CF114"/>
      <c r="CG114"/>
      <c r="CH114"/>
      <c r="CI114"/>
      <c r="CJ114"/>
      <c r="CK114"/>
      <c r="CL114"/>
      <c r="CM114"/>
      <c r="CN114"/>
      <c r="CO114"/>
      <c r="CP114"/>
      <c r="CQ114"/>
      <c r="CR114"/>
      <c r="CS114"/>
      <c r="CT114"/>
      <c r="CU114"/>
      <c r="CV114"/>
      <c r="CW114"/>
      <c r="CX114"/>
      <c r="CY114"/>
      <c r="CZ114"/>
      <c r="DA114"/>
      <c r="DC114" s="5">
        <v>1</v>
      </c>
    </row>
    <row r="115" spans="1:107" s="1" customFormat="1" ht="21" customHeight="1">
      <c r="A115" s="5641" t="s">
        <v>1</v>
      </c>
      <c r="B115" s="5662" t="str">
        <f t="shared" si="45"/>
        <v>►</v>
      </c>
      <c r="C115" s="5825" cm="1">
        <f t="array" ref="C115">SUMPRODUCT(LEN(D115:J115))</f>
        <v>0</v>
      </c>
      <c r="D115" s="5275"/>
      <c r="E115" s="1361"/>
      <c r="F115" s="1361"/>
      <c r="G115" s="1361"/>
      <c r="H115" s="1361"/>
      <c r="I115" s="1361"/>
      <c r="J115" s="5276"/>
      <c r="K115" s="106" t="s">
        <v>1</v>
      </c>
      <c r="L115" s="1021" t="s">
        <v>26</v>
      </c>
      <c r="M115" s="6787"/>
      <c r="N115" s="6787"/>
      <c r="O115" s="6787"/>
      <c r="P115" s="6788"/>
      <c r="Q115" s="6789"/>
      <c r="R115" s="6790"/>
      <c r="S115" s="6786"/>
      <c r="T115" s="6791"/>
      <c r="U115" s="6844"/>
      <c r="V115" s="6791"/>
      <c r="W115" s="8487"/>
      <c r="X115" s="6871"/>
      <c r="Y115" s="6793"/>
      <c r="Z115" s="6794"/>
      <c r="AA115" s="6795"/>
      <c r="AB115" s="6796"/>
      <c r="AC115" s="6797"/>
      <c r="AD115" s="6798"/>
      <c r="AE115" s="4" t="s">
        <v>1</v>
      </c>
      <c r="AF115" s="6202" t="str">
        <f t="shared" si="47"/>
        <v>►</v>
      </c>
      <c r="AG115" s="6234" t="str">
        <f t="shared" si="48"/>
        <v/>
      </c>
      <c r="AH115" s="6732" t="str">
        <f t="shared" si="49"/>
        <v/>
      </c>
      <c r="AI115" s="6234" t="str">
        <f t="shared" si="50"/>
        <v/>
      </c>
      <c r="AJ115" s="6732" t="str">
        <f t="shared" si="51"/>
        <v/>
      </c>
      <c r="AK115" s="6732">
        <f t="shared" si="52"/>
        <v>0</v>
      </c>
      <c r="AL115" s="6230" t="str" cm="1">
        <f t="array" ref="AL115">IF(AF115&lt;&gt;"A","",IFERROR((IFERROR(_xlfn.XLOOKUP(TRIM(SUBSTITUTE(U115,CHAR(160)," ")),$BJ$15:$BJ$62,$BM$15:$BM$62),IFERROR(_xlfn.XLOOKUP(TRIM(SUBSTITUTE(U115,CHAR(160)," ")),$BK$15:$BK$62,$BM$15:$BM$62),_xlfn.XLOOKUP(TRIM(SUBSTITUTE(U115,CHAR(160)," ")),$BL$15:$BL$62,$BM$15:$BM$62))))*T115*IF(ISBLANK(Q115),1,Q115)+IFERROR(_xlfn.XLOOKUP("RECHERCHEX",TRIM(L115:AD115),L115:AD115),0),0))</f>
        <v/>
      </c>
      <c r="AM115" s="6229">
        <f t="shared" si="53"/>
        <v>0</v>
      </c>
      <c r="AN115" s="6857" t="str">
        <f t="shared" si="68"/>
        <v/>
      </c>
      <c r="AO115" s="392">
        <f t="shared" si="54"/>
        <v>0</v>
      </c>
      <c r="AP115" s="392">
        <f t="shared" si="55"/>
        <v>0</v>
      </c>
      <c r="AQ115" s="6191">
        <f t="shared" si="56"/>
        <v>0</v>
      </c>
      <c r="AR115" s="6859" t="str">
        <f t="shared" si="57"/>
        <v/>
      </c>
      <c r="AS115" s="6217"/>
      <c r="AT115" s="6217"/>
      <c r="AU115" s="6272">
        <f t="shared" si="58"/>
        <v>0</v>
      </c>
      <c r="AV115" s="6240">
        <f t="shared" si="59"/>
        <v>0</v>
      </c>
      <c r="AW115" s="6189" cm="1">
        <f t="array" ref="AW115">IF(AK115&lt;&gt;1,0,IF(OR(AU115="",N(AU115)&lt;=0.000000001),"",IF(OR(AO115="",N(AO115)&lt;=0.000000001),0,IF(ISNUMBER(AU115),IFERROR(_xlfn.LET(_xlpm.ai_test,TRIM(AJ115),_xlpm.r,IFERROR(_xlfn.XLOOKUP(_xlpm.ai_test,$BJ$15:$BJ$62,ROW($BJ$15:$BJ$62),0,1),IFERROR(_xlfn.XLOOKUP(_xlpm.ai_test,$BK$15:$BK$62,ROW($BK$15:$BK$62),0,1),_xlfn.XLOOKUP(_xlpm.ai_test,$BL$15:$BL$62,ROW($BL$15:$BL$62),0,1))),_xlpm.p,_xlpm.r-MIN(ROW($BJ$15:$BJ$62))+1,_xlpm.f,INDEX($BM$15:$BM$62,_xlpm.p),_xlpm.u,INDEX($BN$15:$BN$62,_xlpm.p),_xlpm.s,INDEX($BP$15:$BP$62,_xlpm.p),_xlpm.q,N(AU115)/_xlpm.f,IF(_xlpm.q&gt;=_xlpm.s,ROUND(_xlpm.q,1)&amp;" "&amp;_xlpm.ai_test&amp;" = "&amp;ROUND(_xlpm.q*_xlpm.f,1)&amp;" "&amp;_xlpm.u,ROUND(_xlpm.q,1)&amp;" "&amp;_xlpm.ai_test)),""),""))))</f>
        <v>0</v>
      </c>
      <c r="AX115" s="6218"/>
      <c r="AY115" s="6272">
        <f t="shared" si="60"/>
        <v>0</v>
      </c>
      <c r="AZ115" s="6240" t="str">
        <f t="shared" si="61"/>
        <v/>
      </c>
      <c r="BA115" s="6195">
        <f t="shared" si="66"/>
        <v>0</v>
      </c>
      <c r="BB115" s="6193" t="str">
        <f t="shared" si="62"/>
        <v/>
      </c>
      <c r="BC115" s="6219"/>
      <c r="BD115" s="6222">
        <f t="shared" si="67"/>
        <v>0</v>
      </c>
      <c r="BE115" s="6220" t="str">
        <f t="shared" si="63"/>
        <v/>
      </c>
      <c r="BF115" s="4" t="s">
        <v>1</v>
      </c>
      <c r="BG115" s="6196">
        <f t="shared" si="64"/>
        <v>0</v>
      </c>
      <c r="BH115" s="6197">
        <f t="shared" si="65"/>
        <v>0</v>
      </c>
      <c r="BW115"/>
      <c r="BX115" s="20" t="str">
        <f t="shared" si="46"/>
        <v>►</v>
      </c>
      <c r="BY115"/>
      <c r="BZ115"/>
      <c r="CA115"/>
      <c r="CB115"/>
      <c r="CC115"/>
      <c r="CD115" s="5661"/>
      <c r="CE115"/>
      <c r="CF115"/>
      <c r="CG115"/>
      <c r="CH115"/>
      <c r="CI115"/>
      <c r="CJ115"/>
      <c r="CK115"/>
      <c r="CL115"/>
      <c r="CM115"/>
      <c r="CN115"/>
      <c r="CO115"/>
      <c r="CP115"/>
      <c r="CQ115"/>
      <c r="CR115"/>
      <c r="CS115"/>
      <c r="CT115"/>
      <c r="CU115"/>
      <c r="CV115"/>
      <c r="CW115"/>
      <c r="CX115"/>
      <c r="CY115"/>
      <c r="CZ115"/>
      <c r="DA115"/>
      <c r="DC115" s="5">
        <v>1</v>
      </c>
    </row>
    <row r="116" spans="1:107" s="1" customFormat="1" ht="21" customHeight="1">
      <c r="A116" s="5641" t="s">
        <v>1</v>
      </c>
      <c r="B116" s="5662" t="str">
        <f t="shared" si="45"/>
        <v>►</v>
      </c>
      <c r="C116" s="5825" cm="1">
        <f t="array" ref="C116">SUMPRODUCT(LEN(D116:J116))</f>
        <v>0</v>
      </c>
      <c r="D116" s="5275"/>
      <c r="E116" s="1361"/>
      <c r="F116" s="1361"/>
      <c r="G116" s="1361"/>
      <c r="H116" s="1361"/>
      <c r="I116" s="1361"/>
      <c r="J116" s="5276"/>
      <c r="K116" s="106" t="s">
        <v>1</v>
      </c>
      <c r="L116" s="1021" t="s">
        <v>26</v>
      </c>
      <c r="M116" s="6787"/>
      <c r="N116" s="6787"/>
      <c r="O116" s="6787"/>
      <c r="P116" s="6788"/>
      <c r="Q116" s="6789"/>
      <c r="R116" s="6790"/>
      <c r="S116" s="6786"/>
      <c r="T116" s="6791"/>
      <c r="U116" s="6844"/>
      <c r="V116" s="6791"/>
      <c r="W116" s="8487"/>
      <c r="X116" s="6871"/>
      <c r="Y116" s="6793"/>
      <c r="Z116" s="6794"/>
      <c r="AA116" s="6795"/>
      <c r="AB116" s="6796"/>
      <c r="AC116" s="6797"/>
      <c r="AD116" s="6798"/>
      <c r="AE116" s="4" t="s">
        <v>1</v>
      </c>
      <c r="AF116" s="6202" t="str">
        <f t="shared" si="47"/>
        <v>►</v>
      </c>
      <c r="AG116" s="6234" t="str">
        <f t="shared" si="48"/>
        <v/>
      </c>
      <c r="AH116" s="6732" t="str">
        <f t="shared" si="49"/>
        <v/>
      </c>
      <c r="AI116" s="6234" t="str">
        <f t="shared" si="50"/>
        <v/>
      </c>
      <c r="AJ116" s="6732" t="str">
        <f t="shared" si="51"/>
        <v/>
      </c>
      <c r="AK116" s="6732">
        <f t="shared" si="52"/>
        <v>0</v>
      </c>
      <c r="AL116" s="6230" t="str" cm="1">
        <f t="array" ref="AL116">IF(AF116&lt;&gt;"A","",IFERROR((IFERROR(_xlfn.XLOOKUP(TRIM(SUBSTITUTE(U116,CHAR(160)," ")),$BJ$15:$BJ$62,$BM$15:$BM$62),IFERROR(_xlfn.XLOOKUP(TRIM(SUBSTITUTE(U116,CHAR(160)," ")),$BK$15:$BK$62,$BM$15:$BM$62),_xlfn.XLOOKUP(TRIM(SUBSTITUTE(U116,CHAR(160)," ")),$BL$15:$BL$62,$BM$15:$BM$62))))*T116*IF(ISBLANK(Q116),1,Q116)+IFERROR(_xlfn.XLOOKUP("RECHERCHEX",TRIM(L116:AD116),L116:AD116),0),0))</f>
        <v/>
      </c>
      <c r="AM116" s="6229">
        <f t="shared" si="53"/>
        <v>0</v>
      </c>
      <c r="AN116" s="6857" t="str">
        <f t="shared" si="68"/>
        <v/>
      </c>
      <c r="AO116" s="392">
        <f t="shared" si="54"/>
        <v>0</v>
      </c>
      <c r="AP116" s="392">
        <f t="shared" si="55"/>
        <v>0</v>
      </c>
      <c r="AQ116" s="6190">
        <f t="shared" si="56"/>
        <v>0</v>
      </c>
      <c r="AR116" s="6858" t="str">
        <f t="shared" si="57"/>
        <v/>
      </c>
      <c r="AS116" s="6217"/>
      <c r="AT116" s="6217"/>
      <c r="AU116" s="6271">
        <f t="shared" si="58"/>
        <v>0</v>
      </c>
      <c r="AV116" s="6242">
        <f t="shared" si="59"/>
        <v>0</v>
      </c>
      <c r="AW116" s="6188" cm="1">
        <f t="array" ref="AW116">IF(AK116&lt;&gt;1,0,IF(OR(AU116="",N(AU116)&lt;=0.000000001),"",IF(OR(AO116="",N(AO116)&lt;=0.000000001),0,IF(ISNUMBER(AU116),IFERROR(_xlfn.LET(_xlpm.ai_test,TRIM(AJ116),_xlpm.r,IFERROR(_xlfn.XLOOKUP(_xlpm.ai_test,$BJ$15:$BJ$62,ROW($BJ$15:$BJ$62),0,1),IFERROR(_xlfn.XLOOKUP(_xlpm.ai_test,$BK$15:$BK$62,ROW($BK$15:$BK$62),0,1),_xlfn.XLOOKUP(_xlpm.ai_test,$BL$15:$BL$62,ROW($BL$15:$BL$62),0,1))),_xlpm.p,_xlpm.r-MIN(ROW($BJ$15:$BJ$62))+1,_xlpm.f,INDEX($BM$15:$BM$62,_xlpm.p),_xlpm.u,INDEX($BN$15:$BN$62,_xlpm.p),_xlpm.s,INDEX($BP$15:$BP$62,_xlpm.p),_xlpm.q,N(AU116)/_xlpm.f,IF(_xlpm.q&gt;=_xlpm.s,ROUND(_xlpm.q,1)&amp;" "&amp;_xlpm.ai_test&amp;" = "&amp;ROUND(_xlpm.q*_xlpm.f,1)&amp;" "&amp;_xlpm.u,ROUND(_xlpm.q,1)&amp;" "&amp;_xlpm.ai_test)),""),""))))</f>
        <v>0</v>
      </c>
      <c r="AX116" s="6218"/>
      <c r="AY116" s="6271">
        <f t="shared" si="60"/>
        <v>0</v>
      </c>
      <c r="AZ116" s="6242" t="str">
        <f t="shared" si="61"/>
        <v/>
      </c>
      <c r="BA116" s="6194">
        <f t="shared" si="66"/>
        <v>0</v>
      </c>
      <c r="BB116" s="6192" t="str">
        <f t="shared" si="62"/>
        <v/>
      </c>
      <c r="BC116" s="6219"/>
      <c r="BD116" s="6221">
        <f t="shared" si="67"/>
        <v>0</v>
      </c>
      <c r="BE116" s="6220" t="str">
        <f t="shared" si="63"/>
        <v/>
      </c>
      <c r="BF116" s="4" t="s">
        <v>1</v>
      </c>
      <c r="BG116" s="6196">
        <f t="shared" si="64"/>
        <v>0</v>
      </c>
      <c r="BH116" s="6197">
        <f t="shared" si="65"/>
        <v>0</v>
      </c>
      <c r="BW116"/>
      <c r="BX116" s="20" t="str">
        <f t="shared" si="46"/>
        <v>►</v>
      </c>
      <c r="CD116" s="5661"/>
      <c r="CE116"/>
      <c r="CF116"/>
      <c r="CG116"/>
      <c r="CH116"/>
      <c r="CI116"/>
      <c r="CJ116"/>
      <c r="CK116"/>
      <c r="CL116"/>
      <c r="CM116"/>
      <c r="CN116"/>
      <c r="CO116"/>
      <c r="CP116"/>
      <c r="CQ116"/>
      <c r="CR116"/>
      <c r="CS116"/>
      <c r="CT116"/>
      <c r="CU116"/>
      <c r="CV116"/>
      <c r="CW116"/>
      <c r="CX116"/>
      <c r="CY116"/>
      <c r="CZ116"/>
      <c r="DA116"/>
      <c r="DC116" s="5">
        <v>1</v>
      </c>
    </row>
    <row r="117" spans="1:107" s="1" customFormat="1" ht="21" customHeight="1">
      <c r="A117" s="5641" t="s">
        <v>1</v>
      </c>
      <c r="B117" s="5662" t="str">
        <f t="shared" si="45"/>
        <v>►</v>
      </c>
      <c r="C117" s="5825" cm="1">
        <f t="array" ref="C117">SUMPRODUCT(LEN(D117:J117))</f>
        <v>0</v>
      </c>
      <c r="D117" s="5275"/>
      <c r="E117" s="1361"/>
      <c r="F117" s="1361"/>
      <c r="G117" s="1361"/>
      <c r="H117" s="1361"/>
      <c r="I117" s="1361"/>
      <c r="J117" s="5276"/>
      <c r="K117" s="106" t="s">
        <v>1</v>
      </c>
      <c r="L117" s="1021" t="s">
        <v>26</v>
      </c>
      <c r="M117" s="6787"/>
      <c r="N117" s="6787"/>
      <c r="O117" s="6787"/>
      <c r="P117" s="6788"/>
      <c r="Q117" s="6789"/>
      <c r="R117" s="6790"/>
      <c r="S117" s="6786"/>
      <c r="T117" s="6791"/>
      <c r="U117" s="6844"/>
      <c r="V117" s="6791"/>
      <c r="W117" s="8487"/>
      <c r="X117" s="6871"/>
      <c r="Y117" s="6793"/>
      <c r="Z117" s="6794"/>
      <c r="AA117" s="6795"/>
      <c r="AB117" s="6796"/>
      <c r="AC117" s="6797"/>
      <c r="AD117" s="6798"/>
      <c r="AE117" s="4" t="s">
        <v>1</v>
      </c>
      <c r="AF117" s="6202" t="str">
        <f t="shared" si="47"/>
        <v>►</v>
      </c>
      <c r="AG117" s="6234" t="str">
        <f t="shared" si="48"/>
        <v/>
      </c>
      <c r="AH117" s="6732" t="str">
        <f t="shared" si="49"/>
        <v/>
      </c>
      <c r="AI117" s="6234" t="str">
        <f t="shared" si="50"/>
        <v/>
      </c>
      <c r="AJ117" s="6732" t="str">
        <f t="shared" si="51"/>
        <v/>
      </c>
      <c r="AK117" s="6732">
        <f t="shared" si="52"/>
        <v>0</v>
      </c>
      <c r="AL117" s="6230" t="str" cm="1">
        <f t="array" ref="AL117">IF(AF117&lt;&gt;"A","",IFERROR((IFERROR(_xlfn.XLOOKUP(TRIM(SUBSTITUTE(U117,CHAR(160)," ")),$BJ$15:$BJ$62,$BM$15:$BM$62),IFERROR(_xlfn.XLOOKUP(TRIM(SUBSTITUTE(U117,CHAR(160)," ")),$BK$15:$BK$62,$BM$15:$BM$62),_xlfn.XLOOKUP(TRIM(SUBSTITUTE(U117,CHAR(160)," ")),$BL$15:$BL$62,$BM$15:$BM$62))))*T117*IF(ISBLANK(Q117),1,Q117)+IFERROR(_xlfn.XLOOKUP("RECHERCHEX",TRIM(L117:AD117),L117:AD117),0),0))</f>
        <v/>
      </c>
      <c r="AM117" s="6229">
        <f t="shared" si="53"/>
        <v>0</v>
      </c>
      <c r="AN117" s="6857" t="str">
        <f t="shared" si="68"/>
        <v/>
      </c>
      <c r="AO117" s="392">
        <f t="shared" si="54"/>
        <v>0</v>
      </c>
      <c r="AP117" s="392">
        <f t="shared" si="55"/>
        <v>0</v>
      </c>
      <c r="AQ117" s="6191">
        <f t="shared" si="56"/>
        <v>0</v>
      </c>
      <c r="AR117" s="6859" t="str">
        <f t="shared" si="57"/>
        <v/>
      </c>
      <c r="AS117" s="6217"/>
      <c r="AT117" s="6217"/>
      <c r="AU117" s="6272">
        <f t="shared" si="58"/>
        <v>0</v>
      </c>
      <c r="AV117" s="6240">
        <f t="shared" si="59"/>
        <v>0</v>
      </c>
      <c r="AW117" s="6189" cm="1">
        <f t="array" ref="AW117">IF(AK117&lt;&gt;1,0,IF(OR(AU117="",N(AU117)&lt;=0.000000001),"",IF(OR(AO117="",N(AO117)&lt;=0.000000001),0,IF(ISNUMBER(AU117),IFERROR(_xlfn.LET(_xlpm.ai_test,TRIM(AJ117),_xlpm.r,IFERROR(_xlfn.XLOOKUP(_xlpm.ai_test,$BJ$15:$BJ$62,ROW($BJ$15:$BJ$62),0,1),IFERROR(_xlfn.XLOOKUP(_xlpm.ai_test,$BK$15:$BK$62,ROW($BK$15:$BK$62),0,1),_xlfn.XLOOKUP(_xlpm.ai_test,$BL$15:$BL$62,ROW($BL$15:$BL$62),0,1))),_xlpm.p,_xlpm.r-MIN(ROW($BJ$15:$BJ$62))+1,_xlpm.f,INDEX($BM$15:$BM$62,_xlpm.p),_xlpm.u,INDEX($BN$15:$BN$62,_xlpm.p),_xlpm.s,INDEX($BP$15:$BP$62,_xlpm.p),_xlpm.q,N(AU117)/_xlpm.f,IF(_xlpm.q&gt;=_xlpm.s,ROUND(_xlpm.q,1)&amp;" "&amp;_xlpm.ai_test&amp;" = "&amp;ROUND(_xlpm.q*_xlpm.f,1)&amp;" "&amp;_xlpm.u,ROUND(_xlpm.q,1)&amp;" "&amp;_xlpm.ai_test)),""),""))))</f>
        <v>0</v>
      </c>
      <c r="AX117" s="6218"/>
      <c r="AY117" s="6272">
        <f t="shared" si="60"/>
        <v>0</v>
      </c>
      <c r="AZ117" s="6240" t="str">
        <f t="shared" si="61"/>
        <v/>
      </c>
      <c r="BA117" s="6195">
        <f t="shared" si="66"/>
        <v>0</v>
      </c>
      <c r="BB117" s="6193" t="str">
        <f t="shared" si="62"/>
        <v/>
      </c>
      <c r="BC117" s="6219"/>
      <c r="BD117" s="6222">
        <f t="shared" si="67"/>
        <v>0</v>
      </c>
      <c r="BE117" s="6220" t="str">
        <f t="shared" si="63"/>
        <v/>
      </c>
      <c r="BF117" s="4" t="s">
        <v>1</v>
      </c>
      <c r="BG117" s="6196">
        <f t="shared" si="64"/>
        <v>0</v>
      </c>
      <c r="BH117" s="6197">
        <f t="shared" si="65"/>
        <v>0</v>
      </c>
      <c r="BW117"/>
      <c r="BX117" s="20" t="str">
        <f t="shared" si="46"/>
        <v>►</v>
      </c>
      <c r="CD117" s="5661"/>
      <c r="CE117"/>
      <c r="CF117"/>
      <c r="CG117"/>
      <c r="CH117"/>
      <c r="CI117"/>
      <c r="CJ117"/>
      <c r="CK117"/>
      <c r="CL117"/>
      <c r="CM117"/>
      <c r="CN117"/>
      <c r="CO117"/>
      <c r="CP117"/>
      <c r="CQ117"/>
      <c r="CR117"/>
      <c r="CS117"/>
      <c r="CT117"/>
      <c r="CU117"/>
      <c r="CV117"/>
      <c r="CW117"/>
      <c r="CX117"/>
      <c r="CY117"/>
      <c r="CZ117"/>
      <c r="DA117"/>
      <c r="DC117" s="5">
        <v>1</v>
      </c>
    </row>
    <row r="118" spans="1:107" s="1" customFormat="1" ht="21" customHeight="1">
      <c r="A118" s="5641" t="s">
        <v>1</v>
      </c>
      <c r="B118" s="5662" t="str">
        <f t="shared" si="45"/>
        <v>►</v>
      </c>
      <c r="C118" s="5825" cm="1">
        <f t="array" ref="C118">SUMPRODUCT(LEN(D118:J118))</f>
        <v>0</v>
      </c>
      <c r="D118" s="5275"/>
      <c r="E118" s="1361"/>
      <c r="F118" s="1361"/>
      <c r="G118" s="1361"/>
      <c r="H118" s="1361"/>
      <c r="I118" s="1361"/>
      <c r="J118" s="5276"/>
      <c r="K118" s="106" t="s">
        <v>1</v>
      </c>
      <c r="L118" s="1021" t="s">
        <v>26</v>
      </c>
      <c r="M118" s="6787"/>
      <c r="N118" s="6787"/>
      <c r="O118" s="6787"/>
      <c r="P118" s="6788"/>
      <c r="Q118" s="6789"/>
      <c r="R118" s="6790"/>
      <c r="S118" s="6786"/>
      <c r="T118" s="6791"/>
      <c r="U118" s="6844"/>
      <c r="V118" s="6791"/>
      <c r="W118" s="8487"/>
      <c r="X118" s="6871"/>
      <c r="Y118" s="6793"/>
      <c r="Z118" s="6794"/>
      <c r="AA118" s="6795"/>
      <c r="AB118" s="6796"/>
      <c r="AC118" s="6797"/>
      <c r="AD118" s="6798"/>
      <c r="AE118" s="4" t="s">
        <v>1</v>
      </c>
      <c r="AF118" s="6202" t="str">
        <f t="shared" si="47"/>
        <v>►</v>
      </c>
      <c r="AG118" s="6234" t="str">
        <f t="shared" si="48"/>
        <v/>
      </c>
      <c r="AH118" s="6732" t="str">
        <f t="shared" si="49"/>
        <v/>
      </c>
      <c r="AI118" s="6234" t="str">
        <f t="shared" si="50"/>
        <v/>
      </c>
      <c r="AJ118" s="6732" t="str">
        <f t="shared" si="51"/>
        <v/>
      </c>
      <c r="AK118" s="6732">
        <f t="shared" si="52"/>
        <v>0</v>
      </c>
      <c r="AL118" s="6230" t="str" cm="1">
        <f t="array" ref="AL118">IF(AF118&lt;&gt;"A","",IFERROR((IFERROR(_xlfn.XLOOKUP(TRIM(SUBSTITUTE(U118,CHAR(160)," ")),$BJ$15:$BJ$62,$BM$15:$BM$62),IFERROR(_xlfn.XLOOKUP(TRIM(SUBSTITUTE(U118,CHAR(160)," ")),$BK$15:$BK$62,$BM$15:$BM$62),_xlfn.XLOOKUP(TRIM(SUBSTITUTE(U118,CHAR(160)," ")),$BL$15:$BL$62,$BM$15:$BM$62))))*T118*IF(ISBLANK(Q118),1,Q118)+IFERROR(_xlfn.XLOOKUP("RECHERCHEX",TRIM(L118:AD118),L118:AD118),0),0))</f>
        <v/>
      </c>
      <c r="AM118" s="6229">
        <f t="shared" si="53"/>
        <v>0</v>
      </c>
      <c r="AN118" s="6857" t="str">
        <f t="shared" si="68"/>
        <v/>
      </c>
      <c r="AO118" s="392">
        <f t="shared" si="54"/>
        <v>0</v>
      </c>
      <c r="AP118" s="392">
        <f t="shared" si="55"/>
        <v>0</v>
      </c>
      <c r="AQ118" s="6190">
        <f t="shared" si="56"/>
        <v>0</v>
      </c>
      <c r="AR118" s="6858" t="str">
        <f t="shared" si="57"/>
        <v/>
      </c>
      <c r="AS118" s="6217"/>
      <c r="AT118" s="6217"/>
      <c r="AU118" s="6271">
        <f t="shared" si="58"/>
        <v>0</v>
      </c>
      <c r="AV118" s="6242">
        <f t="shared" si="59"/>
        <v>0</v>
      </c>
      <c r="AW118" s="6188" cm="1">
        <f t="array" ref="AW118">IF(AK118&lt;&gt;1,0,IF(OR(AU118="",N(AU118)&lt;=0.000000001),"",IF(OR(AO118="",N(AO118)&lt;=0.000000001),0,IF(ISNUMBER(AU118),IFERROR(_xlfn.LET(_xlpm.ai_test,TRIM(AJ118),_xlpm.r,IFERROR(_xlfn.XLOOKUP(_xlpm.ai_test,$BJ$15:$BJ$62,ROW($BJ$15:$BJ$62),0,1),IFERROR(_xlfn.XLOOKUP(_xlpm.ai_test,$BK$15:$BK$62,ROW($BK$15:$BK$62),0,1),_xlfn.XLOOKUP(_xlpm.ai_test,$BL$15:$BL$62,ROW($BL$15:$BL$62),0,1))),_xlpm.p,_xlpm.r-MIN(ROW($BJ$15:$BJ$62))+1,_xlpm.f,INDEX($BM$15:$BM$62,_xlpm.p),_xlpm.u,INDEX($BN$15:$BN$62,_xlpm.p),_xlpm.s,INDEX($BP$15:$BP$62,_xlpm.p),_xlpm.q,N(AU118)/_xlpm.f,IF(_xlpm.q&gt;=_xlpm.s,ROUND(_xlpm.q,1)&amp;" "&amp;_xlpm.ai_test&amp;" = "&amp;ROUND(_xlpm.q*_xlpm.f,1)&amp;" "&amp;_xlpm.u,ROUND(_xlpm.q,1)&amp;" "&amp;_xlpm.ai_test)),""),""))))</f>
        <v>0</v>
      </c>
      <c r="AX118" s="6218"/>
      <c r="AY118" s="6271">
        <f t="shared" si="60"/>
        <v>0</v>
      </c>
      <c r="AZ118" s="6242" t="str">
        <f t="shared" si="61"/>
        <v/>
      </c>
      <c r="BA118" s="6194">
        <f t="shared" si="66"/>
        <v>0</v>
      </c>
      <c r="BB118" s="6192" t="str">
        <f t="shared" si="62"/>
        <v/>
      </c>
      <c r="BC118" s="6219"/>
      <c r="BD118" s="6221">
        <f t="shared" si="67"/>
        <v>0</v>
      </c>
      <c r="BE118" s="6220" t="str">
        <f t="shared" si="63"/>
        <v/>
      </c>
      <c r="BF118" s="4" t="s">
        <v>1</v>
      </c>
      <c r="BG118" s="6196">
        <f t="shared" si="64"/>
        <v>0</v>
      </c>
      <c r="BH118" s="6197">
        <f t="shared" si="65"/>
        <v>0</v>
      </c>
      <c r="BW118"/>
      <c r="BX118" s="20" t="str">
        <f t="shared" si="46"/>
        <v>►</v>
      </c>
      <c r="CD118" s="5661"/>
      <c r="CE118"/>
      <c r="CF118"/>
      <c r="CG118"/>
      <c r="CH118"/>
      <c r="CI118"/>
      <c r="CJ118"/>
      <c r="CK118"/>
      <c r="CL118"/>
      <c r="CM118"/>
      <c r="CN118"/>
      <c r="CO118"/>
      <c r="CP118"/>
      <c r="CQ118"/>
      <c r="CR118"/>
      <c r="CS118"/>
      <c r="CT118"/>
      <c r="CU118"/>
      <c r="CV118"/>
      <c r="CW118"/>
      <c r="CX118"/>
      <c r="CY118"/>
      <c r="CZ118"/>
      <c r="DA118"/>
      <c r="DC118" s="5">
        <v>1</v>
      </c>
    </row>
    <row r="119" spans="1:107" s="1" customFormat="1" ht="21" customHeight="1">
      <c r="A119" s="5641" t="s">
        <v>1</v>
      </c>
      <c r="B119" s="5662" t="str">
        <f t="shared" si="45"/>
        <v>►</v>
      </c>
      <c r="C119" s="5825" cm="1">
        <f t="array" ref="C119">SUMPRODUCT(LEN(D119:J119))</f>
        <v>0</v>
      </c>
      <c r="D119" s="5275"/>
      <c r="E119" s="1361"/>
      <c r="F119" s="1361"/>
      <c r="G119" s="1361"/>
      <c r="H119" s="1361"/>
      <c r="I119" s="1361"/>
      <c r="J119" s="5276"/>
      <c r="K119" s="106" t="s">
        <v>1</v>
      </c>
      <c r="L119" s="1021" t="s">
        <v>26</v>
      </c>
      <c r="M119" s="6787"/>
      <c r="N119" s="6787"/>
      <c r="O119" s="6787"/>
      <c r="P119" s="6788"/>
      <c r="Q119" s="6789"/>
      <c r="R119" s="6790"/>
      <c r="S119" s="6786"/>
      <c r="T119" s="6791"/>
      <c r="U119" s="6844"/>
      <c r="V119" s="6791"/>
      <c r="W119" s="8487"/>
      <c r="X119" s="6871"/>
      <c r="Y119" s="6793"/>
      <c r="Z119" s="6794"/>
      <c r="AA119" s="6795"/>
      <c r="AB119" s="6796"/>
      <c r="AC119" s="6797"/>
      <c r="AD119" s="6798"/>
      <c r="AE119" s="4" t="s">
        <v>1</v>
      </c>
      <c r="AF119" s="6202" t="str">
        <f t="shared" si="47"/>
        <v>►</v>
      </c>
      <c r="AG119" s="6234" t="str">
        <f t="shared" si="48"/>
        <v/>
      </c>
      <c r="AH119" s="6732" t="str">
        <f t="shared" si="49"/>
        <v/>
      </c>
      <c r="AI119" s="6234" t="str">
        <f t="shared" si="50"/>
        <v/>
      </c>
      <c r="AJ119" s="6732" t="str">
        <f t="shared" si="51"/>
        <v/>
      </c>
      <c r="AK119" s="6732">
        <f t="shared" si="52"/>
        <v>0</v>
      </c>
      <c r="AL119" s="6230" t="str" cm="1">
        <f t="array" ref="AL119">IF(AF119&lt;&gt;"A","",IFERROR((IFERROR(_xlfn.XLOOKUP(TRIM(SUBSTITUTE(U119,CHAR(160)," ")),$BJ$15:$BJ$62,$BM$15:$BM$62),IFERROR(_xlfn.XLOOKUP(TRIM(SUBSTITUTE(U119,CHAR(160)," ")),$BK$15:$BK$62,$BM$15:$BM$62),_xlfn.XLOOKUP(TRIM(SUBSTITUTE(U119,CHAR(160)," ")),$BL$15:$BL$62,$BM$15:$BM$62))))*T119*IF(ISBLANK(Q119),1,Q119)+IFERROR(_xlfn.XLOOKUP("RECHERCHEX",TRIM(L119:AD119),L119:AD119),0),0))</f>
        <v/>
      </c>
      <c r="AM119" s="6229">
        <f t="shared" si="53"/>
        <v>0</v>
      </c>
      <c r="AN119" s="6857" t="str">
        <f t="shared" si="68"/>
        <v/>
      </c>
      <c r="AO119" s="392">
        <f t="shared" si="54"/>
        <v>0</v>
      </c>
      <c r="AP119" s="392">
        <f t="shared" si="55"/>
        <v>0</v>
      </c>
      <c r="AQ119" s="6191">
        <f t="shared" si="56"/>
        <v>0</v>
      </c>
      <c r="AR119" s="6859" t="str">
        <f t="shared" si="57"/>
        <v/>
      </c>
      <c r="AS119" s="6217"/>
      <c r="AT119" s="6217"/>
      <c r="AU119" s="6272">
        <f t="shared" si="58"/>
        <v>0</v>
      </c>
      <c r="AV119" s="6240">
        <f t="shared" si="59"/>
        <v>0</v>
      </c>
      <c r="AW119" s="6189" cm="1">
        <f t="array" ref="AW119">IF(AK119&lt;&gt;1,0,IF(OR(AU119="",N(AU119)&lt;=0.000000001),"",IF(OR(AO119="",N(AO119)&lt;=0.000000001),0,IF(ISNUMBER(AU119),IFERROR(_xlfn.LET(_xlpm.ai_test,TRIM(AJ119),_xlpm.r,IFERROR(_xlfn.XLOOKUP(_xlpm.ai_test,$BJ$15:$BJ$62,ROW($BJ$15:$BJ$62),0,1),IFERROR(_xlfn.XLOOKUP(_xlpm.ai_test,$BK$15:$BK$62,ROW($BK$15:$BK$62),0,1),_xlfn.XLOOKUP(_xlpm.ai_test,$BL$15:$BL$62,ROW($BL$15:$BL$62),0,1))),_xlpm.p,_xlpm.r-MIN(ROW($BJ$15:$BJ$62))+1,_xlpm.f,INDEX($BM$15:$BM$62,_xlpm.p),_xlpm.u,INDEX($BN$15:$BN$62,_xlpm.p),_xlpm.s,INDEX($BP$15:$BP$62,_xlpm.p),_xlpm.q,N(AU119)/_xlpm.f,IF(_xlpm.q&gt;=_xlpm.s,ROUND(_xlpm.q,1)&amp;" "&amp;_xlpm.ai_test&amp;" = "&amp;ROUND(_xlpm.q*_xlpm.f,1)&amp;" "&amp;_xlpm.u,ROUND(_xlpm.q,1)&amp;" "&amp;_xlpm.ai_test)),""),""))))</f>
        <v>0</v>
      </c>
      <c r="AX119" s="6218"/>
      <c r="AY119" s="6272">
        <f t="shared" si="60"/>
        <v>0</v>
      </c>
      <c r="AZ119" s="6240" t="str">
        <f t="shared" si="61"/>
        <v/>
      </c>
      <c r="BA119" s="6195">
        <f t="shared" si="66"/>
        <v>0</v>
      </c>
      <c r="BB119" s="6193" t="str">
        <f t="shared" si="62"/>
        <v/>
      </c>
      <c r="BC119" s="6219"/>
      <c r="BD119" s="6222">
        <f t="shared" si="67"/>
        <v>0</v>
      </c>
      <c r="BE119" s="6220" t="str">
        <f t="shared" si="63"/>
        <v/>
      </c>
      <c r="BF119" s="4" t="s">
        <v>1</v>
      </c>
      <c r="BG119" s="6196">
        <f t="shared" si="64"/>
        <v>0</v>
      </c>
      <c r="BH119" s="6197">
        <f t="shared" si="65"/>
        <v>0</v>
      </c>
      <c r="BW119"/>
      <c r="BX119" s="20" t="str">
        <f t="shared" si="46"/>
        <v>►</v>
      </c>
      <c r="CD119" s="5661"/>
      <c r="CE119"/>
      <c r="CF119"/>
      <c r="CG119"/>
      <c r="CH119"/>
      <c r="CI119"/>
      <c r="CJ119"/>
      <c r="CK119"/>
      <c r="CL119"/>
      <c r="CM119"/>
      <c r="CN119"/>
      <c r="CO119"/>
      <c r="CP119"/>
      <c r="CQ119"/>
      <c r="CR119"/>
      <c r="CS119"/>
      <c r="CT119"/>
      <c r="CU119"/>
      <c r="CV119"/>
      <c r="CW119"/>
      <c r="CX119"/>
      <c r="CY119"/>
      <c r="CZ119"/>
      <c r="DA119"/>
      <c r="DC119" s="5">
        <v>1</v>
      </c>
    </row>
    <row r="120" spans="1:107" s="1" customFormat="1" ht="21" customHeight="1">
      <c r="A120" s="5641" t="s">
        <v>1</v>
      </c>
      <c r="B120" s="5662" t="str">
        <f t="shared" si="45"/>
        <v>►</v>
      </c>
      <c r="C120" s="5825" cm="1">
        <f t="array" ref="C120">SUMPRODUCT(LEN(D120:J120))</f>
        <v>0</v>
      </c>
      <c r="D120" s="5275"/>
      <c r="E120" s="1361"/>
      <c r="F120" s="1361"/>
      <c r="G120" s="1361"/>
      <c r="H120" s="1361"/>
      <c r="I120" s="1361"/>
      <c r="J120" s="5276"/>
      <c r="K120" s="106" t="s">
        <v>1</v>
      </c>
      <c r="L120" s="1021" t="s">
        <v>26</v>
      </c>
      <c r="M120" s="6787"/>
      <c r="N120" s="6787"/>
      <c r="O120" s="6787"/>
      <c r="P120" s="6788"/>
      <c r="Q120" s="6789"/>
      <c r="R120" s="6790"/>
      <c r="S120" s="6786"/>
      <c r="T120" s="6791"/>
      <c r="U120" s="6844"/>
      <c r="V120" s="6791"/>
      <c r="W120" s="8487"/>
      <c r="X120" s="6871"/>
      <c r="Y120" s="6793"/>
      <c r="Z120" s="6794"/>
      <c r="AA120" s="6795"/>
      <c r="AB120" s="6796"/>
      <c r="AC120" s="6797"/>
      <c r="AD120" s="6798"/>
      <c r="AE120" s="4" t="s">
        <v>1</v>
      </c>
      <c r="AF120" s="6202" t="str">
        <f t="shared" si="47"/>
        <v>►</v>
      </c>
      <c r="AG120" s="6234" t="str">
        <f t="shared" si="48"/>
        <v/>
      </c>
      <c r="AH120" s="6732" t="str">
        <f t="shared" si="49"/>
        <v/>
      </c>
      <c r="AI120" s="6234" t="str">
        <f t="shared" si="50"/>
        <v/>
      </c>
      <c r="AJ120" s="6732" t="str">
        <f t="shared" si="51"/>
        <v/>
      </c>
      <c r="AK120" s="6732">
        <f t="shared" si="52"/>
        <v>0</v>
      </c>
      <c r="AL120" s="6230" t="str" cm="1">
        <f t="array" ref="AL120">IF(AF120&lt;&gt;"A","",IFERROR((IFERROR(_xlfn.XLOOKUP(TRIM(SUBSTITUTE(U120,CHAR(160)," ")),$BJ$15:$BJ$62,$BM$15:$BM$62),IFERROR(_xlfn.XLOOKUP(TRIM(SUBSTITUTE(U120,CHAR(160)," ")),$BK$15:$BK$62,$BM$15:$BM$62),_xlfn.XLOOKUP(TRIM(SUBSTITUTE(U120,CHAR(160)," ")),$BL$15:$BL$62,$BM$15:$BM$62))))*T120*IF(ISBLANK(Q120),1,Q120)+IFERROR(_xlfn.XLOOKUP("RECHERCHEX",TRIM(L120:AD120),L120:AD120),0),0))</f>
        <v/>
      </c>
      <c r="AM120" s="6229">
        <f t="shared" si="53"/>
        <v>0</v>
      </c>
      <c r="AN120" s="6857" t="str">
        <f t="shared" si="68"/>
        <v/>
      </c>
      <c r="AO120" s="392">
        <f t="shared" si="54"/>
        <v>0</v>
      </c>
      <c r="AP120" s="392">
        <f t="shared" si="55"/>
        <v>0</v>
      </c>
      <c r="AQ120" s="6190">
        <f t="shared" si="56"/>
        <v>0</v>
      </c>
      <c r="AR120" s="6858" t="str">
        <f t="shared" si="57"/>
        <v/>
      </c>
      <c r="AS120" s="6856"/>
      <c r="AT120" s="6275"/>
      <c r="AU120" s="6271">
        <f t="shared" si="58"/>
        <v>0</v>
      </c>
      <c r="AV120" s="6242">
        <f t="shared" si="59"/>
        <v>0</v>
      </c>
      <c r="AW120" s="6188" cm="1">
        <f t="array" ref="AW120">IF(AK120&lt;&gt;1,0,IF(OR(AU120="",N(AU120)&lt;=0.000000001),"",IF(OR(AO120="",N(AO120)&lt;=0.000000001),0,IF(ISNUMBER(AU120),IFERROR(_xlfn.LET(_xlpm.ai_test,TRIM(AJ120),_xlpm.r,IFERROR(_xlfn.XLOOKUP(_xlpm.ai_test,$BJ$15:$BJ$62,ROW($BJ$15:$BJ$62),0,1),IFERROR(_xlfn.XLOOKUP(_xlpm.ai_test,$BK$15:$BK$62,ROW($BK$15:$BK$62),0,1),_xlfn.XLOOKUP(_xlpm.ai_test,$BL$15:$BL$62,ROW($BL$15:$BL$62),0,1))),_xlpm.p,_xlpm.r-MIN(ROW($BJ$15:$BJ$62))+1,_xlpm.f,INDEX($BM$15:$BM$62,_xlpm.p),_xlpm.u,INDEX($BN$15:$BN$62,_xlpm.p),_xlpm.s,INDEX($BP$15:$BP$62,_xlpm.p),_xlpm.q,N(AU120)/_xlpm.f,IF(_xlpm.q&gt;=_xlpm.s,ROUND(_xlpm.q,1)&amp;" "&amp;_xlpm.ai_test&amp;" = "&amp;ROUND(_xlpm.q*_xlpm.f,1)&amp;" "&amp;_xlpm.u,ROUND(_xlpm.q,1)&amp;" "&amp;_xlpm.ai_test)),""),""))))</f>
        <v>0</v>
      </c>
      <c r="AX120" s="6218"/>
      <c r="AY120" s="6271">
        <f t="shared" si="60"/>
        <v>0</v>
      </c>
      <c r="AZ120" s="6242" t="str">
        <f t="shared" si="61"/>
        <v/>
      </c>
      <c r="BA120" s="6194">
        <f t="shared" si="66"/>
        <v>0</v>
      </c>
      <c r="BB120" s="6192" t="str">
        <f t="shared" si="62"/>
        <v/>
      </c>
      <c r="BC120" s="6219"/>
      <c r="BD120" s="6221">
        <f t="shared" si="67"/>
        <v>0</v>
      </c>
      <c r="BE120" s="6220" t="str">
        <f t="shared" si="63"/>
        <v/>
      </c>
      <c r="BF120" s="4" t="s">
        <v>1</v>
      </c>
      <c r="BG120" s="6196">
        <f t="shared" si="64"/>
        <v>0</v>
      </c>
      <c r="BH120" s="6197">
        <f t="shared" si="65"/>
        <v>0</v>
      </c>
      <c r="BW120"/>
      <c r="BX120" s="20" t="str">
        <f t="shared" si="46"/>
        <v>►</v>
      </c>
      <c r="CD120" s="5661"/>
      <c r="CE120"/>
      <c r="CF120"/>
      <c r="CG120"/>
      <c r="CH120"/>
      <c r="CI120"/>
      <c r="CJ120"/>
      <c r="CK120"/>
      <c r="CL120"/>
      <c r="CM120"/>
      <c r="CN120"/>
      <c r="CO120"/>
      <c r="CP120"/>
      <c r="CQ120"/>
      <c r="CR120"/>
      <c r="CS120"/>
      <c r="CT120"/>
      <c r="CU120"/>
      <c r="CV120"/>
      <c r="CW120"/>
      <c r="CX120"/>
      <c r="CY120"/>
      <c r="CZ120"/>
      <c r="DA120"/>
      <c r="DC120" s="5">
        <v>1</v>
      </c>
    </row>
    <row r="121" spans="1:107" s="1" customFormat="1" ht="21" customHeight="1">
      <c r="A121" s="5641" t="s">
        <v>1</v>
      </c>
      <c r="B121" s="5662" t="str">
        <f t="shared" si="45"/>
        <v>►</v>
      </c>
      <c r="C121" s="5825" cm="1">
        <f t="array" ref="C121">SUMPRODUCT(LEN(D121:J121))</f>
        <v>0</v>
      </c>
      <c r="D121" s="5275"/>
      <c r="E121" s="1361"/>
      <c r="F121" s="1361"/>
      <c r="G121" s="1361"/>
      <c r="H121" s="1361"/>
      <c r="I121" s="1361"/>
      <c r="J121" s="5276"/>
      <c r="K121" s="106" t="s">
        <v>1</v>
      </c>
      <c r="L121" s="1021" t="s">
        <v>26</v>
      </c>
      <c r="M121" s="6787"/>
      <c r="N121" s="6787"/>
      <c r="O121" s="6787"/>
      <c r="P121" s="6788"/>
      <c r="Q121" s="6789"/>
      <c r="R121" s="6790"/>
      <c r="S121" s="6786"/>
      <c r="T121" s="6791"/>
      <c r="U121" s="6844"/>
      <c r="V121" s="6791"/>
      <c r="W121" s="8487"/>
      <c r="X121" s="6871"/>
      <c r="Y121" s="6793"/>
      <c r="Z121" s="6794"/>
      <c r="AA121" s="6795"/>
      <c r="AB121" s="6796"/>
      <c r="AC121" s="6797"/>
      <c r="AD121" s="6798"/>
      <c r="AE121" s="4" t="s">
        <v>1</v>
      </c>
      <c r="AF121" s="6202" t="str">
        <f t="shared" si="47"/>
        <v>►</v>
      </c>
      <c r="AG121" s="6234" t="str">
        <f t="shared" si="48"/>
        <v/>
      </c>
      <c r="AH121" s="6732" t="str">
        <f t="shared" si="49"/>
        <v/>
      </c>
      <c r="AI121" s="6234" t="str">
        <f t="shared" si="50"/>
        <v/>
      </c>
      <c r="AJ121" s="6732" t="str">
        <f t="shared" si="51"/>
        <v/>
      </c>
      <c r="AK121" s="6732">
        <f t="shared" si="52"/>
        <v>0</v>
      </c>
      <c r="AL121" s="6230" t="str" cm="1">
        <f t="array" ref="AL121">IF(AF121&lt;&gt;"A","",IFERROR((IFERROR(_xlfn.XLOOKUP(TRIM(SUBSTITUTE(U121,CHAR(160)," ")),$BJ$15:$BJ$62,$BM$15:$BM$62),IFERROR(_xlfn.XLOOKUP(TRIM(SUBSTITUTE(U121,CHAR(160)," ")),$BK$15:$BK$62,$BM$15:$BM$62),_xlfn.XLOOKUP(TRIM(SUBSTITUTE(U121,CHAR(160)," ")),$BL$15:$BL$62,$BM$15:$BM$62))))*T121*IF(ISBLANK(Q121),1,Q121)+IFERROR(_xlfn.XLOOKUP("RECHERCHEX",TRIM(L121:AD121),L121:AD121),0),0))</f>
        <v/>
      </c>
      <c r="AM121" s="6229">
        <f t="shared" si="53"/>
        <v>0</v>
      </c>
      <c r="AN121" s="6857" t="str">
        <f t="shared" si="68"/>
        <v/>
      </c>
      <c r="AO121" s="392">
        <f t="shared" si="54"/>
        <v>0</v>
      </c>
      <c r="AP121" s="392">
        <f t="shared" si="55"/>
        <v>0</v>
      </c>
      <c r="AQ121" s="6191">
        <f t="shared" si="56"/>
        <v>0</v>
      </c>
      <c r="AR121" s="6859" t="str">
        <f t="shared" si="57"/>
        <v/>
      </c>
      <c r="AS121" s="6856"/>
      <c r="AT121" s="6275"/>
      <c r="AU121" s="6272">
        <f t="shared" si="58"/>
        <v>0</v>
      </c>
      <c r="AV121" s="6240">
        <f t="shared" si="59"/>
        <v>0</v>
      </c>
      <c r="AW121" s="6189" cm="1">
        <f t="array" ref="AW121">IF(AK121&lt;&gt;1,0,IF(OR(AU121="",N(AU121)&lt;=0.000000001),"",IF(OR(AO121="",N(AO121)&lt;=0.000000001),0,IF(ISNUMBER(AU121),IFERROR(_xlfn.LET(_xlpm.ai_test,TRIM(AJ121),_xlpm.r,IFERROR(_xlfn.XLOOKUP(_xlpm.ai_test,$BJ$15:$BJ$62,ROW($BJ$15:$BJ$62),0,1),IFERROR(_xlfn.XLOOKUP(_xlpm.ai_test,$BK$15:$BK$62,ROW($BK$15:$BK$62),0,1),_xlfn.XLOOKUP(_xlpm.ai_test,$BL$15:$BL$62,ROW($BL$15:$BL$62),0,1))),_xlpm.p,_xlpm.r-MIN(ROW($BJ$15:$BJ$62))+1,_xlpm.f,INDEX($BM$15:$BM$62,_xlpm.p),_xlpm.u,INDEX($BN$15:$BN$62,_xlpm.p),_xlpm.s,INDEX($BP$15:$BP$62,_xlpm.p),_xlpm.q,N(AU121)/_xlpm.f,IF(_xlpm.q&gt;=_xlpm.s,ROUND(_xlpm.q,1)&amp;" "&amp;_xlpm.ai_test&amp;" = "&amp;ROUND(_xlpm.q*_xlpm.f,1)&amp;" "&amp;_xlpm.u,ROUND(_xlpm.q,1)&amp;" "&amp;_xlpm.ai_test)),""),""))))</f>
        <v>0</v>
      </c>
      <c r="AX121" s="6218"/>
      <c r="AY121" s="6272">
        <f t="shared" si="60"/>
        <v>0</v>
      </c>
      <c r="AZ121" s="6240" t="str">
        <f t="shared" si="61"/>
        <v/>
      </c>
      <c r="BA121" s="6195">
        <f t="shared" si="66"/>
        <v>0</v>
      </c>
      <c r="BB121" s="6193" t="str">
        <f t="shared" si="62"/>
        <v/>
      </c>
      <c r="BC121" s="6219"/>
      <c r="BD121" s="6222">
        <f t="shared" si="67"/>
        <v>0</v>
      </c>
      <c r="BE121" s="6220" t="str">
        <f t="shared" si="63"/>
        <v/>
      </c>
      <c r="BF121" s="4" t="s">
        <v>1</v>
      </c>
      <c r="BG121" s="6196">
        <f t="shared" si="64"/>
        <v>0</v>
      </c>
      <c r="BH121" s="6197">
        <f t="shared" si="65"/>
        <v>0</v>
      </c>
      <c r="BW121"/>
      <c r="BX121" s="20" t="str">
        <f t="shared" si="46"/>
        <v>►</v>
      </c>
      <c r="CD121" s="5661"/>
      <c r="CE121"/>
      <c r="CF121"/>
      <c r="CG121"/>
      <c r="CH121"/>
      <c r="CI121"/>
      <c r="CJ121"/>
      <c r="CK121"/>
      <c r="CL121"/>
      <c r="CM121"/>
      <c r="CN121"/>
      <c r="CO121"/>
      <c r="CP121"/>
      <c r="CQ121"/>
      <c r="CR121"/>
      <c r="CS121"/>
      <c r="CT121"/>
      <c r="CU121"/>
      <c r="CV121"/>
      <c r="CW121"/>
      <c r="CX121"/>
      <c r="CY121"/>
      <c r="CZ121"/>
      <c r="DA121"/>
      <c r="DC121" s="5">
        <v>1</v>
      </c>
    </row>
    <row r="122" spans="1:107" s="1" customFormat="1" ht="21" customHeight="1">
      <c r="A122" s="5641" t="s">
        <v>1</v>
      </c>
      <c r="B122" s="5662" t="str">
        <f t="shared" si="45"/>
        <v>►</v>
      </c>
      <c r="C122" s="5825" cm="1">
        <f t="array" ref="C122">SUMPRODUCT(LEN(D122:J122))</f>
        <v>0</v>
      </c>
      <c r="D122" s="5275"/>
      <c r="E122" s="1361"/>
      <c r="F122" s="1361"/>
      <c r="G122" s="1361"/>
      <c r="H122" s="1361"/>
      <c r="I122" s="1361"/>
      <c r="J122" s="5276"/>
      <c r="K122" s="106" t="s">
        <v>1</v>
      </c>
      <c r="L122" s="1021" t="s">
        <v>26</v>
      </c>
      <c r="M122" s="6787"/>
      <c r="N122" s="6787"/>
      <c r="O122" s="6787"/>
      <c r="P122" s="6788"/>
      <c r="Q122" s="6789"/>
      <c r="R122" s="6790"/>
      <c r="S122" s="6786"/>
      <c r="T122" s="6791"/>
      <c r="U122" s="6844"/>
      <c r="V122" s="6791"/>
      <c r="W122" s="8487"/>
      <c r="X122" s="6871"/>
      <c r="Y122" s="6793"/>
      <c r="Z122" s="6794"/>
      <c r="AA122" s="6795"/>
      <c r="AB122" s="6796"/>
      <c r="AC122" s="6797"/>
      <c r="AD122" s="6798"/>
      <c r="AE122" s="4" t="s">
        <v>1</v>
      </c>
      <c r="AF122" s="6202" t="str">
        <f t="shared" si="47"/>
        <v>►</v>
      </c>
      <c r="AG122" s="6234" t="str">
        <f t="shared" si="48"/>
        <v/>
      </c>
      <c r="AH122" s="6732" t="str">
        <f t="shared" si="49"/>
        <v/>
      </c>
      <c r="AI122" s="6234" t="str">
        <f t="shared" si="50"/>
        <v/>
      </c>
      <c r="AJ122" s="6732" t="str">
        <f t="shared" si="51"/>
        <v/>
      </c>
      <c r="AK122" s="6732">
        <f t="shared" si="52"/>
        <v>0</v>
      </c>
      <c r="AL122" s="6230" t="str" cm="1">
        <f t="array" ref="AL122">IF(AF122&lt;&gt;"A","",IFERROR((IFERROR(_xlfn.XLOOKUP(TRIM(SUBSTITUTE(U122,CHAR(160)," ")),$BJ$15:$BJ$62,$BM$15:$BM$62),IFERROR(_xlfn.XLOOKUP(TRIM(SUBSTITUTE(U122,CHAR(160)," ")),$BK$15:$BK$62,$BM$15:$BM$62),_xlfn.XLOOKUP(TRIM(SUBSTITUTE(U122,CHAR(160)," ")),$BL$15:$BL$62,$BM$15:$BM$62))))*T122*IF(ISBLANK(Q122),1,Q122)+IFERROR(_xlfn.XLOOKUP("RECHERCHEX",TRIM(L122:AD122),L122:AD122),0),0))</f>
        <v/>
      </c>
      <c r="AM122" s="6229">
        <f t="shared" si="53"/>
        <v>0</v>
      </c>
      <c r="AN122" s="6857" t="str">
        <f t="shared" si="68"/>
        <v/>
      </c>
      <c r="AO122" s="392">
        <f t="shared" si="54"/>
        <v>0</v>
      </c>
      <c r="AP122" s="392">
        <f t="shared" si="55"/>
        <v>0</v>
      </c>
      <c r="AQ122" s="6190">
        <f t="shared" si="56"/>
        <v>0</v>
      </c>
      <c r="AR122" s="6858" t="str">
        <f t="shared" si="57"/>
        <v/>
      </c>
      <c r="AS122" s="6856"/>
      <c r="AT122" s="6275"/>
      <c r="AU122" s="6271">
        <f t="shared" si="58"/>
        <v>0</v>
      </c>
      <c r="AV122" s="6242">
        <f t="shared" si="59"/>
        <v>0</v>
      </c>
      <c r="AW122" s="6188" cm="1">
        <f t="array" ref="AW122">IF(AK122&lt;&gt;1,0,IF(OR(AU122="",N(AU122)&lt;=0.000000001),"",IF(OR(AO122="",N(AO122)&lt;=0.000000001),0,IF(ISNUMBER(AU122),IFERROR(_xlfn.LET(_xlpm.ai_test,TRIM(AJ122),_xlpm.r,IFERROR(_xlfn.XLOOKUP(_xlpm.ai_test,$BJ$15:$BJ$62,ROW($BJ$15:$BJ$62),0,1),IFERROR(_xlfn.XLOOKUP(_xlpm.ai_test,$BK$15:$BK$62,ROW($BK$15:$BK$62),0,1),_xlfn.XLOOKUP(_xlpm.ai_test,$BL$15:$BL$62,ROW($BL$15:$BL$62),0,1))),_xlpm.p,_xlpm.r-MIN(ROW($BJ$15:$BJ$62))+1,_xlpm.f,INDEX($BM$15:$BM$62,_xlpm.p),_xlpm.u,INDEX($BN$15:$BN$62,_xlpm.p),_xlpm.s,INDEX($BP$15:$BP$62,_xlpm.p),_xlpm.q,N(AU122)/_xlpm.f,IF(_xlpm.q&gt;=_xlpm.s,ROUND(_xlpm.q,1)&amp;" "&amp;_xlpm.ai_test&amp;" = "&amp;ROUND(_xlpm.q*_xlpm.f,1)&amp;" "&amp;_xlpm.u,ROUND(_xlpm.q,1)&amp;" "&amp;_xlpm.ai_test)),""),""))))</f>
        <v>0</v>
      </c>
      <c r="AX122" s="6218"/>
      <c r="AY122" s="6271">
        <f t="shared" si="60"/>
        <v>0</v>
      </c>
      <c r="AZ122" s="6242" t="str">
        <f t="shared" si="61"/>
        <v/>
      </c>
      <c r="BA122" s="6194">
        <f t="shared" si="66"/>
        <v>0</v>
      </c>
      <c r="BB122" s="6192" t="str">
        <f t="shared" si="62"/>
        <v/>
      </c>
      <c r="BC122" s="6219"/>
      <c r="BD122" s="6221">
        <f t="shared" si="67"/>
        <v>0</v>
      </c>
      <c r="BE122" s="6220" t="str">
        <f t="shared" si="63"/>
        <v/>
      </c>
      <c r="BF122" s="4" t="s">
        <v>1</v>
      </c>
      <c r="BG122" s="6196">
        <f t="shared" si="64"/>
        <v>0</v>
      </c>
      <c r="BH122" s="6197">
        <f t="shared" si="65"/>
        <v>0</v>
      </c>
      <c r="BW122"/>
      <c r="BX122" s="20" t="str">
        <f t="shared" si="46"/>
        <v>►</v>
      </c>
      <c r="CD122" s="5661"/>
      <c r="CE122"/>
      <c r="CF122"/>
      <c r="CG122"/>
      <c r="CH122"/>
      <c r="CI122"/>
      <c r="CJ122"/>
      <c r="CK122"/>
      <c r="CL122"/>
      <c r="CM122"/>
      <c r="CN122"/>
      <c r="CO122"/>
      <c r="CP122"/>
      <c r="CQ122"/>
      <c r="CR122"/>
      <c r="CS122"/>
      <c r="CT122"/>
      <c r="CU122"/>
      <c r="CV122"/>
      <c r="CW122"/>
      <c r="CX122"/>
      <c r="CY122"/>
      <c r="CZ122"/>
      <c r="DA122"/>
      <c r="DC122" s="5">
        <v>1</v>
      </c>
    </row>
    <row r="123" spans="1:107" s="1" customFormat="1" ht="21" customHeight="1">
      <c r="A123" s="5641" t="s">
        <v>1</v>
      </c>
      <c r="B123" s="5662" t="str">
        <f t="shared" si="45"/>
        <v>►</v>
      </c>
      <c r="C123" s="5825" cm="1">
        <f t="array" ref="C123">SUMPRODUCT(LEN(D123:J123))</f>
        <v>0</v>
      </c>
      <c r="D123" s="5275"/>
      <c r="E123" s="1361"/>
      <c r="F123" s="1361"/>
      <c r="G123" s="1361"/>
      <c r="H123" s="1361"/>
      <c r="I123" s="1361"/>
      <c r="J123" s="5276"/>
      <c r="K123" s="106" t="s">
        <v>1</v>
      </c>
      <c r="L123" s="1021" t="s">
        <v>26</v>
      </c>
      <c r="M123" s="6787"/>
      <c r="N123" s="6787"/>
      <c r="O123" s="6787"/>
      <c r="P123" s="6788"/>
      <c r="Q123" s="6789"/>
      <c r="R123" s="6790"/>
      <c r="S123" s="6786"/>
      <c r="T123" s="6791"/>
      <c r="U123" s="6844"/>
      <c r="V123" s="6791"/>
      <c r="W123" s="8487"/>
      <c r="X123" s="6871"/>
      <c r="Y123" s="6793"/>
      <c r="Z123" s="6794"/>
      <c r="AA123" s="6795"/>
      <c r="AB123" s="6796"/>
      <c r="AC123" s="6797"/>
      <c r="AD123" s="6798"/>
      <c r="AE123" s="4" t="s">
        <v>1</v>
      </c>
      <c r="AF123" s="6202" t="str">
        <f t="shared" si="47"/>
        <v>►</v>
      </c>
      <c r="AG123" s="6234" t="str">
        <f t="shared" si="48"/>
        <v/>
      </c>
      <c r="AH123" s="6732" t="str">
        <f t="shared" si="49"/>
        <v/>
      </c>
      <c r="AI123" s="6234" t="str">
        <f t="shared" si="50"/>
        <v/>
      </c>
      <c r="AJ123" s="6732" t="str">
        <f t="shared" si="51"/>
        <v/>
      </c>
      <c r="AK123" s="6732">
        <f t="shared" si="52"/>
        <v>0</v>
      </c>
      <c r="AL123" s="6230" t="str" cm="1">
        <f t="array" ref="AL123">IF(AF123&lt;&gt;"A","",IFERROR((IFERROR(_xlfn.XLOOKUP(TRIM(SUBSTITUTE(U123,CHAR(160)," ")),$BJ$15:$BJ$62,$BM$15:$BM$62),IFERROR(_xlfn.XLOOKUP(TRIM(SUBSTITUTE(U123,CHAR(160)," ")),$BK$15:$BK$62,$BM$15:$BM$62),_xlfn.XLOOKUP(TRIM(SUBSTITUTE(U123,CHAR(160)," ")),$BL$15:$BL$62,$BM$15:$BM$62))))*T123*IF(ISBLANK(Q123),1,Q123)+IFERROR(_xlfn.XLOOKUP("RECHERCHEX",TRIM(L123:AD123),L123:AD123),0),0))</f>
        <v/>
      </c>
      <c r="AM123" s="6229">
        <f t="shared" si="53"/>
        <v>0</v>
      </c>
      <c r="AN123" s="6857" t="str">
        <f t="shared" si="68"/>
        <v/>
      </c>
      <c r="AO123" s="392">
        <f t="shared" si="54"/>
        <v>0</v>
      </c>
      <c r="AP123" s="392">
        <f t="shared" si="55"/>
        <v>0</v>
      </c>
      <c r="AQ123" s="6191">
        <f t="shared" si="56"/>
        <v>0</v>
      </c>
      <c r="AR123" s="6859" t="str">
        <f t="shared" si="57"/>
        <v/>
      </c>
      <c r="AS123" s="6856"/>
      <c r="AT123" s="6275"/>
      <c r="AU123" s="6272">
        <f t="shared" si="58"/>
        <v>0</v>
      </c>
      <c r="AV123" s="6240">
        <f t="shared" si="59"/>
        <v>0</v>
      </c>
      <c r="AW123" s="6189" cm="1">
        <f t="array" ref="AW123">IF(AK123&lt;&gt;1,0,IF(OR(AU123="",N(AU123)&lt;=0.000000001),"",IF(OR(AO123="",N(AO123)&lt;=0.000000001),0,IF(ISNUMBER(AU123),IFERROR(_xlfn.LET(_xlpm.ai_test,TRIM(AJ123),_xlpm.r,IFERROR(_xlfn.XLOOKUP(_xlpm.ai_test,$BJ$15:$BJ$62,ROW($BJ$15:$BJ$62),0,1),IFERROR(_xlfn.XLOOKUP(_xlpm.ai_test,$BK$15:$BK$62,ROW($BK$15:$BK$62),0,1),_xlfn.XLOOKUP(_xlpm.ai_test,$BL$15:$BL$62,ROW($BL$15:$BL$62),0,1))),_xlpm.p,_xlpm.r-MIN(ROW($BJ$15:$BJ$62))+1,_xlpm.f,INDEX($BM$15:$BM$62,_xlpm.p),_xlpm.u,INDEX($BN$15:$BN$62,_xlpm.p),_xlpm.s,INDEX($BP$15:$BP$62,_xlpm.p),_xlpm.q,N(AU123)/_xlpm.f,IF(_xlpm.q&gt;=_xlpm.s,ROUND(_xlpm.q,1)&amp;" "&amp;_xlpm.ai_test&amp;" = "&amp;ROUND(_xlpm.q*_xlpm.f,1)&amp;" "&amp;_xlpm.u,ROUND(_xlpm.q,1)&amp;" "&amp;_xlpm.ai_test)),""),""))))</f>
        <v>0</v>
      </c>
      <c r="AX123" s="6218"/>
      <c r="AY123" s="6272">
        <f t="shared" si="60"/>
        <v>0</v>
      </c>
      <c r="AZ123" s="6240" t="str">
        <f t="shared" si="61"/>
        <v/>
      </c>
      <c r="BA123" s="6195">
        <f t="shared" si="66"/>
        <v>0</v>
      </c>
      <c r="BB123" s="6193" t="str">
        <f t="shared" si="62"/>
        <v/>
      </c>
      <c r="BC123" s="6219"/>
      <c r="BD123" s="6222">
        <f t="shared" si="67"/>
        <v>0</v>
      </c>
      <c r="BE123" s="6220" t="str">
        <f t="shared" si="63"/>
        <v/>
      </c>
      <c r="BF123" s="4" t="s">
        <v>1</v>
      </c>
      <c r="BG123" s="6196">
        <f t="shared" si="64"/>
        <v>0</v>
      </c>
      <c r="BH123" s="6197">
        <f t="shared" si="65"/>
        <v>0</v>
      </c>
      <c r="BW123"/>
      <c r="BX123" s="20" t="str">
        <f t="shared" si="46"/>
        <v>►</v>
      </c>
      <c r="CD123" s="5661"/>
      <c r="CE123"/>
      <c r="CF123"/>
      <c r="CG123"/>
      <c r="CH123"/>
      <c r="CI123"/>
      <c r="CJ123"/>
      <c r="CK123"/>
      <c r="CL123"/>
      <c r="CM123"/>
      <c r="CN123"/>
      <c r="CO123"/>
      <c r="CP123"/>
      <c r="CQ123"/>
      <c r="CR123"/>
      <c r="CS123"/>
      <c r="CT123"/>
      <c r="CU123"/>
      <c r="CV123"/>
      <c r="CW123"/>
      <c r="CX123"/>
      <c r="CY123"/>
      <c r="CZ123"/>
      <c r="DA123"/>
      <c r="DC123" s="5">
        <v>1</v>
      </c>
    </row>
    <row r="124" spans="1:107" s="1" customFormat="1" ht="21" customHeight="1">
      <c r="A124" s="5641" t="s">
        <v>1</v>
      </c>
      <c r="B124" s="5662" t="str">
        <f t="shared" si="45"/>
        <v>►</v>
      </c>
      <c r="C124" s="5825" cm="1">
        <f t="array" ref="C124">SUMPRODUCT(LEN(D124:J124))</f>
        <v>0</v>
      </c>
      <c r="D124" s="5275"/>
      <c r="E124" s="1361"/>
      <c r="F124" s="1361"/>
      <c r="G124" s="1361"/>
      <c r="H124" s="1361"/>
      <c r="I124" s="1361"/>
      <c r="J124" s="5276"/>
      <c r="K124" s="106" t="s">
        <v>1</v>
      </c>
      <c r="L124" s="1021" t="s">
        <v>26</v>
      </c>
      <c r="M124" s="6787"/>
      <c r="N124" s="6787"/>
      <c r="O124" s="6787"/>
      <c r="P124" s="6788"/>
      <c r="Q124" s="6789"/>
      <c r="R124" s="6790"/>
      <c r="S124" s="6786"/>
      <c r="T124" s="6791"/>
      <c r="U124" s="6844"/>
      <c r="V124" s="6791"/>
      <c r="W124" s="8487"/>
      <c r="X124" s="6871"/>
      <c r="Y124" s="6793"/>
      <c r="Z124" s="6794"/>
      <c r="AA124" s="6795"/>
      <c r="AB124" s="6796"/>
      <c r="AC124" s="6797"/>
      <c r="AD124" s="6798"/>
      <c r="AE124" s="4" t="s">
        <v>1</v>
      </c>
      <c r="AF124" s="6202" t="str">
        <f t="shared" si="47"/>
        <v>►</v>
      </c>
      <c r="AG124" s="6234" t="str">
        <f t="shared" si="48"/>
        <v/>
      </c>
      <c r="AH124" s="6732" t="str">
        <f t="shared" si="49"/>
        <v/>
      </c>
      <c r="AI124" s="6234" t="str">
        <f t="shared" si="50"/>
        <v/>
      </c>
      <c r="AJ124" s="6732" t="str">
        <f t="shared" si="51"/>
        <v/>
      </c>
      <c r="AK124" s="6732">
        <f t="shared" si="52"/>
        <v>0</v>
      </c>
      <c r="AL124" s="6230" t="str" cm="1">
        <f t="array" ref="AL124">IF(AF124&lt;&gt;"A","",IFERROR((IFERROR(_xlfn.XLOOKUP(TRIM(SUBSTITUTE(U124,CHAR(160)," ")),$BJ$15:$BJ$62,$BM$15:$BM$62),IFERROR(_xlfn.XLOOKUP(TRIM(SUBSTITUTE(U124,CHAR(160)," ")),$BK$15:$BK$62,$BM$15:$BM$62),_xlfn.XLOOKUP(TRIM(SUBSTITUTE(U124,CHAR(160)," ")),$BL$15:$BL$62,$BM$15:$BM$62))))*T124*IF(ISBLANK(Q124),1,Q124)+IFERROR(_xlfn.XLOOKUP("RECHERCHEX",TRIM(L124:AD124),L124:AD124),0),0))</f>
        <v/>
      </c>
      <c r="AM124" s="6229">
        <f t="shared" si="53"/>
        <v>0</v>
      </c>
      <c r="AN124" s="6857" t="str">
        <f t="shared" si="68"/>
        <v/>
      </c>
      <c r="AO124" s="392">
        <f t="shared" si="54"/>
        <v>0</v>
      </c>
      <c r="AP124" s="392">
        <f t="shared" si="55"/>
        <v>0</v>
      </c>
      <c r="AQ124" s="6190">
        <f t="shared" si="56"/>
        <v>0</v>
      </c>
      <c r="AR124" s="6858" t="str">
        <f t="shared" si="57"/>
        <v/>
      </c>
      <c r="AS124" s="6856"/>
      <c r="AT124" s="6275"/>
      <c r="AU124" s="6271">
        <f t="shared" si="58"/>
        <v>0</v>
      </c>
      <c r="AV124" s="6242">
        <f t="shared" si="59"/>
        <v>0</v>
      </c>
      <c r="AW124" s="6188" cm="1">
        <f t="array" ref="AW124">IF(AK124&lt;&gt;1,0,IF(OR(AU124="",N(AU124)&lt;=0.000000001),"",IF(OR(AO124="",N(AO124)&lt;=0.000000001),0,IF(ISNUMBER(AU124),IFERROR(_xlfn.LET(_xlpm.ai_test,TRIM(AJ124),_xlpm.r,IFERROR(_xlfn.XLOOKUP(_xlpm.ai_test,$BJ$15:$BJ$62,ROW($BJ$15:$BJ$62),0,1),IFERROR(_xlfn.XLOOKUP(_xlpm.ai_test,$BK$15:$BK$62,ROW($BK$15:$BK$62),0,1),_xlfn.XLOOKUP(_xlpm.ai_test,$BL$15:$BL$62,ROW($BL$15:$BL$62),0,1))),_xlpm.p,_xlpm.r-MIN(ROW($BJ$15:$BJ$62))+1,_xlpm.f,INDEX($BM$15:$BM$62,_xlpm.p),_xlpm.u,INDEX($BN$15:$BN$62,_xlpm.p),_xlpm.s,INDEX($BP$15:$BP$62,_xlpm.p),_xlpm.q,N(AU124)/_xlpm.f,IF(_xlpm.q&gt;=_xlpm.s,ROUND(_xlpm.q,1)&amp;" "&amp;_xlpm.ai_test&amp;" = "&amp;ROUND(_xlpm.q*_xlpm.f,1)&amp;" "&amp;_xlpm.u,ROUND(_xlpm.q,1)&amp;" "&amp;_xlpm.ai_test)),""),""))))</f>
        <v>0</v>
      </c>
      <c r="AX124" s="6218"/>
      <c r="AY124" s="6271">
        <f t="shared" si="60"/>
        <v>0</v>
      </c>
      <c r="AZ124" s="6242" t="str">
        <f t="shared" si="61"/>
        <v/>
      </c>
      <c r="BA124" s="6194">
        <f t="shared" si="66"/>
        <v>0</v>
      </c>
      <c r="BB124" s="6192" t="str">
        <f t="shared" si="62"/>
        <v/>
      </c>
      <c r="BC124" s="6219"/>
      <c r="BD124" s="6221">
        <f t="shared" si="67"/>
        <v>0</v>
      </c>
      <c r="BE124" s="6220" t="str">
        <f t="shared" si="63"/>
        <v/>
      </c>
      <c r="BF124" s="4" t="s">
        <v>1</v>
      </c>
      <c r="BG124" s="6196">
        <f t="shared" si="64"/>
        <v>0</v>
      </c>
      <c r="BH124" s="6197">
        <f t="shared" si="65"/>
        <v>0</v>
      </c>
      <c r="BW124"/>
      <c r="BX124" s="20" t="str">
        <f t="shared" si="46"/>
        <v>►</v>
      </c>
      <c r="CD124" s="5661"/>
      <c r="CE124"/>
      <c r="CF124"/>
      <c r="CG124"/>
      <c r="CH124"/>
      <c r="CI124"/>
      <c r="CJ124"/>
      <c r="CK124"/>
      <c r="CL124"/>
      <c r="CM124"/>
      <c r="CN124"/>
      <c r="CO124"/>
      <c r="CP124"/>
      <c r="CQ124"/>
      <c r="CR124"/>
      <c r="CS124"/>
      <c r="CT124"/>
      <c r="CU124"/>
      <c r="CV124"/>
      <c r="CW124"/>
      <c r="CX124"/>
      <c r="CY124"/>
      <c r="CZ124"/>
      <c r="DA124"/>
      <c r="DC124" s="5">
        <v>1</v>
      </c>
    </row>
    <row r="125" spans="1:107" s="1" customFormat="1" ht="21" customHeight="1">
      <c r="A125" s="5641" t="s">
        <v>1</v>
      </c>
      <c r="B125" s="5662" t="str">
        <f t="shared" si="45"/>
        <v>►</v>
      </c>
      <c r="C125" s="5825" cm="1">
        <f t="array" ref="C125">SUMPRODUCT(LEN(D125:J125))</f>
        <v>0</v>
      </c>
      <c r="D125" s="5275"/>
      <c r="E125" s="1361"/>
      <c r="F125" s="1361"/>
      <c r="G125" s="1361"/>
      <c r="H125" s="1361"/>
      <c r="I125" s="1361"/>
      <c r="J125" s="5276"/>
      <c r="K125" s="106" t="s">
        <v>1</v>
      </c>
      <c r="L125" s="1021" t="s">
        <v>26</v>
      </c>
      <c r="M125" s="6787"/>
      <c r="N125" s="6787"/>
      <c r="O125" s="6787"/>
      <c r="P125" s="6788"/>
      <c r="Q125" s="6789"/>
      <c r="R125" s="6790"/>
      <c r="S125" s="6786"/>
      <c r="T125" s="6791"/>
      <c r="U125" s="6844"/>
      <c r="V125" s="6791"/>
      <c r="W125" s="8487"/>
      <c r="X125" s="6871"/>
      <c r="Y125" s="6793"/>
      <c r="Z125" s="6794"/>
      <c r="AA125" s="6795"/>
      <c r="AB125" s="6796"/>
      <c r="AC125" s="6797"/>
      <c r="AD125" s="6798"/>
      <c r="AE125" s="4" t="s">
        <v>1</v>
      </c>
      <c r="AF125" s="6202" t="str">
        <f t="shared" si="47"/>
        <v>►</v>
      </c>
      <c r="AG125" s="6234" t="str">
        <f t="shared" si="48"/>
        <v/>
      </c>
      <c r="AH125" s="6732" t="str">
        <f t="shared" si="49"/>
        <v/>
      </c>
      <c r="AI125" s="6234" t="str">
        <f t="shared" si="50"/>
        <v/>
      </c>
      <c r="AJ125" s="6732" t="str">
        <f t="shared" si="51"/>
        <v/>
      </c>
      <c r="AK125" s="6732">
        <f t="shared" si="52"/>
        <v>0</v>
      </c>
      <c r="AL125" s="6230" t="str" cm="1">
        <f t="array" ref="AL125">IF(AF125&lt;&gt;"A","",IFERROR((IFERROR(_xlfn.XLOOKUP(TRIM(SUBSTITUTE(U125,CHAR(160)," ")),$BJ$15:$BJ$62,$BM$15:$BM$62),IFERROR(_xlfn.XLOOKUP(TRIM(SUBSTITUTE(U125,CHAR(160)," ")),$BK$15:$BK$62,$BM$15:$BM$62),_xlfn.XLOOKUP(TRIM(SUBSTITUTE(U125,CHAR(160)," ")),$BL$15:$BL$62,$BM$15:$BM$62))))*T125*IF(ISBLANK(Q125),1,Q125)+IFERROR(_xlfn.XLOOKUP("RECHERCHEX",TRIM(L125:AD125),L125:AD125),0),0))</f>
        <v/>
      </c>
      <c r="AM125" s="6229">
        <f t="shared" si="53"/>
        <v>0</v>
      </c>
      <c r="AN125" s="6857" t="str">
        <f t="shared" si="68"/>
        <v/>
      </c>
      <c r="AO125" s="392">
        <f t="shared" si="54"/>
        <v>0</v>
      </c>
      <c r="AP125" s="392">
        <f t="shared" si="55"/>
        <v>0</v>
      </c>
      <c r="AQ125" s="6191">
        <f t="shared" si="56"/>
        <v>0</v>
      </c>
      <c r="AR125" s="6859" t="str">
        <f t="shared" si="57"/>
        <v/>
      </c>
      <c r="AS125" s="6856"/>
      <c r="AT125" s="6275"/>
      <c r="AU125" s="6272">
        <f t="shared" si="58"/>
        <v>0</v>
      </c>
      <c r="AV125" s="6240">
        <f t="shared" si="59"/>
        <v>0</v>
      </c>
      <c r="AW125" s="6189" cm="1">
        <f t="array" ref="AW125">IF(AK125&lt;&gt;1,0,IF(OR(AU125="",N(AU125)&lt;=0.000000001),"",IF(OR(AO125="",N(AO125)&lt;=0.000000001),0,IF(ISNUMBER(AU125),IFERROR(_xlfn.LET(_xlpm.ai_test,TRIM(AJ125),_xlpm.r,IFERROR(_xlfn.XLOOKUP(_xlpm.ai_test,$BJ$15:$BJ$62,ROW($BJ$15:$BJ$62),0,1),IFERROR(_xlfn.XLOOKUP(_xlpm.ai_test,$BK$15:$BK$62,ROW($BK$15:$BK$62),0,1),_xlfn.XLOOKUP(_xlpm.ai_test,$BL$15:$BL$62,ROW($BL$15:$BL$62),0,1))),_xlpm.p,_xlpm.r-MIN(ROW($BJ$15:$BJ$62))+1,_xlpm.f,INDEX($BM$15:$BM$62,_xlpm.p),_xlpm.u,INDEX($BN$15:$BN$62,_xlpm.p),_xlpm.s,INDEX($BP$15:$BP$62,_xlpm.p),_xlpm.q,N(AU125)/_xlpm.f,IF(_xlpm.q&gt;=_xlpm.s,ROUND(_xlpm.q,1)&amp;" "&amp;_xlpm.ai_test&amp;" = "&amp;ROUND(_xlpm.q*_xlpm.f,1)&amp;" "&amp;_xlpm.u,ROUND(_xlpm.q,1)&amp;" "&amp;_xlpm.ai_test)),""),""))))</f>
        <v>0</v>
      </c>
      <c r="AX125" s="6218"/>
      <c r="AY125" s="6272">
        <f t="shared" si="60"/>
        <v>0</v>
      </c>
      <c r="AZ125" s="6240" t="str">
        <f t="shared" si="61"/>
        <v/>
      </c>
      <c r="BA125" s="6195">
        <f t="shared" si="66"/>
        <v>0</v>
      </c>
      <c r="BB125" s="6193" t="str">
        <f t="shared" si="62"/>
        <v/>
      </c>
      <c r="BC125" s="6219"/>
      <c r="BD125" s="6222">
        <f t="shared" si="67"/>
        <v>0</v>
      </c>
      <c r="BE125" s="6220" t="str">
        <f t="shared" si="63"/>
        <v/>
      </c>
      <c r="BF125" s="4" t="s">
        <v>1</v>
      </c>
      <c r="BG125" s="6196">
        <f t="shared" si="64"/>
        <v>0</v>
      </c>
      <c r="BH125" s="6197">
        <f t="shared" si="65"/>
        <v>0</v>
      </c>
      <c r="BW125"/>
      <c r="BX125" s="20" t="str">
        <f t="shared" si="46"/>
        <v>►</v>
      </c>
      <c r="CD125" s="5661"/>
      <c r="CE125"/>
      <c r="CF125"/>
      <c r="CG125"/>
      <c r="CH125"/>
      <c r="CI125"/>
      <c r="CJ125"/>
      <c r="CK125"/>
      <c r="CL125"/>
      <c r="CM125"/>
      <c r="CN125"/>
      <c r="CO125"/>
      <c r="CP125"/>
      <c r="CQ125"/>
      <c r="CR125"/>
      <c r="CS125"/>
      <c r="CT125"/>
      <c r="CU125"/>
      <c r="CV125"/>
      <c r="CW125"/>
      <c r="CX125"/>
      <c r="CY125"/>
      <c r="CZ125"/>
      <c r="DA125"/>
      <c r="DC125" s="5">
        <v>1</v>
      </c>
    </row>
    <row r="126" spans="1:107" s="1" customFormat="1" ht="21" customHeight="1">
      <c r="A126" s="5641" t="s">
        <v>1</v>
      </c>
      <c r="B126" s="5662" t="str">
        <f t="shared" si="45"/>
        <v>►</v>
      </c>
      <c r="C126" s="5825" cm="1">
        <f t="array" ref="C126">SUMPRODUCT(LEN(D126:J126))</f>
        <v>0</v>
      </c>
      <c r="D126" s="5275"/>
      <c r="E126" s="1361"/>
      <c r="F126" s="1361"/>
      <c r="G126" s="1361"/>
      <c r="H126" s="1361"/>
      <c r="I126" s="1361"/>
      <c r="J126" s="5276"/>
      <c r="K126" s="106" t="s">
        <v>1</v>
      </c>
      <c r="L126" s="1021" t="s">
        <v>26</v>
      </c>
      <c r="M126" s="6787"/>
      <c r="N126" s="6787"/>
      <c r="O126" s="6787"/>
      <c r="P126" s="6788"/>
      <c r="Q126" s="6789"/>
      <c r="R126" s="6790"/>
      <c r="S126" s="6786"/>
      <c r="T126" s="6791"/>
      <c r="U126" s="6844"/>
      <c r="V126" s="6791"/>
      <c r="W126" s="8487"/>
      <c r="X126" s="6871"/>
      <c r="Y126" s="6793"/>
      <c r="Z126" s="6794"/>
      <c r="AA126" s="6795"/>
      <c r="AB126" s="6796"/>
      <c r="AC126" s="6797"/>
      <c r="AD126" s="6798"/>
      <c r="AE126" s="4" t="s">
        <v>1</v>
      </c>
      <c r="AF126" s="6202" t="str">
        <f t="shared" si="47"/>
        <v>►</v>
      </c>
      <c r="AG126" s="6234" t="str">
        <f t="shared" si="48"/>
        <v/>
      </c>
      <c r="AH126" s="6732" t="str">
        <f t="shared" si="49"/>
        <v/>
      </c>
      <c r="AI126" s="6234" t="str">
        <f t="shared" si="50"/>
        <v/>
      </c>
      <c r="AJ126" s="6732" t="str">
        <f t="shared" si="51"/>
        <v/>
      </c>
      <c r="AK126" s="6732">
        <f t="shared" si="52"/>
        <v>0</v>
      </c>
      <c r="AL126" s="6230" t="str" cm="1">
        <f t="array" ref="AL126">IF(AF126&lt;&gt;"A","",IFERROR((IFERROR(_xlfn.XLOOKUP(TRIM(SUBSTITUTE(U126,CHAR(160)," ")),$BJ$15:$BJ$62,$BM$15:$BM$62),IFERROR(_xlfn.XLOOKUP(TRIM(SUBSTITUTE(U126,CHAR(160)," ")),$BK$15:$BK$62,$BM$15:$BM$62),_xlfn.XLOOKUP(TRIM(SUBSTITUTE(U126,CHAR(160)," ")),$BL$15:$BL$62,$BM$15:$BM$62))))*T126*IF(ISBLANK(Q126),1,Q126)+IFERROR(_xlfn.XLOOKUP("RECHERCHEX",TRIM(L126:AD126),L126:AD126),0),0))</f>
        <v/>
      </c>
      <c r="AM126" s="6229">
        <f t="shared" si="53"/>
        <v>0</v>
      </c>
      <c r="AN126" s="6857" t="str">
        <f t="shared" si="68"/>
        <v/>
      </c>
      <c r="AO126" s="392">
        <f t="shared" si="54"/>
        <v>0</v>
      </c>
      <c r="AP126" s="392">
        <f t="shared" si="55"/>
        <v>0</v>
      </c>
      <c r="AQ126" s="6190">
        <f t="shared" si="56"/>
        <v>0</v>
      </c>
      <c r="AR126" s="6858" t="str">
        <f t="shared" si="57"/>
        <v/>
      </c>
      <c r="AS126" s="6856"/>
      <c r="AT126" s="6275"/>
      <c r="AU126" s="6271">
        <f t="shared" si="58"/>
        <v>0</v>
      </c>
      <c r="AV126" s="6242">
        <f t="shared" si="59"/>
        <v>0</v>
      </c>
      <c r="AW126" s="6188" cm="1">
        <f t="array" ref="AW126">IF(AK126&lt;&gt;1,0,IF(OR(AU126="",N(AU126)&lt;=0.000000001),"",IF(OR(AO126="",N(AO126)&lt;=0.000000001),0,IF(ISNUMBER(AU126),IFERROR(_xlfn.LET(_xlpm.ai_test,TRIM(AJ126),_xlpm.r,IFERROR(_xlfn.XLOOKUP(_xlpm.ai_test,$BJ$15:$BJ$62,ROW($BJ$15:$BJ$62),0,1),IFERROR(_xlfn.XLOOKUP(_xlpm.ai_test,$BK$15:$BK$62,ROW($BK$15:$BK$62),0,1),_xlfn.XLOOKUP(_xlpm.ai_test,$BL$15:$BL$62,ROW($BL$15:$BL$62),0,1))),_xlpm.p,_xlpm.r-MIN(ROW($BJ$15:$BJ$62))+1,_xlpm.f,INDEX($BM$15:$BM$62,_xlpm.p),_xlpm.u,INDEX($BN$15:$BN$62,_xlpm.p),_xlpm.s,INDEX($BP$15:$BP$62,_xlpm.p),_xlpm.q,N(AU126)/_xlpm.f,IF(_xlpm.q&gt;=_xlpm.s,ROUND(_xlpm.q,1)&amp;" "&amp;_xlpm.ai_test&amp;" = "&amp;ROUND(_xlpm.q*_xlpm.f,1)&amp;" "&amp;_xlpm.u,ROUND(_xlpm.q,1)&amp;" "&amp;_xlpm.ai_test)),""),""))))</f>
        <v>0</v>
      </c>
      <c r="AX126" s="6218"/>
      <c r="AY126" s="6271">
        <f t="shared" si="60"/>
        <v>0</v>
      </c>
      <c r="AZ126" s="6242" t="str">
        <f t="shared" si="61"/>
        <v/>
      </c>
      <c r="BA126" s="6194">
        <f t="shared" si="66"/>
        <v>0</v>
      </c>
      <c r="BB126" s="6192" t="str">
        <f t="shared" si="62"/>
        <v/>
      </c>
      <c r="BC126" s="6219"/>
      <c r="BD126" s="6221">
        <f t="shared" si="67"/>
        <v>0</v>
      </c>
      <c r="BE126" s="6220" t="str">
        <f t="shared" si="63"/>
        <v/>
      </c>
      <c r="BF126" s="4" t="s">
        <v>1</v>
      </c>
      <c r="BG126" s="6196">
        <f t="shared" si="64"/>
        <v>0</v>
      </c>
      <c r="BH126" s="6197">
        <f t="shared" si="65"/>
        <v>0</v>
      </c>
      <c r="BW126"/>
      <c r="BX126" s="20" t="str">
        <f t="shared" si="46"/>
        <v>►</v>
      </c>
      <c r="CD126" s="5661"/>
      <c r="CE126"/>
      <c r="CF126"/>
      <c r="CG126"/>
      <c r="CH126"/>
      <c r="CI126"/>
      <c r="CJ126"/>
      <c r="CK126"/>
      <c r="CL126"/>
      <c r="CM126"/>
      <c r="CN126"/>
      <c r="CO126"/>
      <c r="CP126"/>
      <c r="CQ126"/>
      <c r="CR126"/>
      <c r="CS126"/>
      <c r="CT126"/>
      <c r="CU126"/>
      <c r="CV126"/>
      <c r="CW126"/>
      <c r="CX126"/>
      <c r="CY126"/>
      <c r="CZ126"/>
      <c r="DA126"/>
      <c r="DC126" s="5">
        <v>1</v>
      </c>
    </row>
    <row r="127" spans="1:107" s="1" customFormat="1" ht="21" customHeight="1">
      <c r="A127" s="5641" t="s">
        <v>1</v>
      </c>
      <c r="B127" s="5662" t="str">
        <f t="shared" si="45"/>
        <v>►</v>
      </c>
      <c r="C127" s="5825" cm="1">
        <f t="array" ref="C127">SUMPRODUCT(LEN(D127:J127))</f>
        <v>0</v>
      </c>
      <c r="D127" s="5275"/>
      <c r="E127" s="1361"/>
      <c r="F127" s="1361"/>
      <c r="G127" s="1361"/>
      <c r="H127" s="1361"/>
      <c r="I127" s="1361"/>
      <c r="J127" s="5276"/>
      <c r="K127" s="106" t="s">
        <v>1</v>
      </c>
      <c r="L127" s="1021" t="s">
        <v>26</v>
      </c>
      <c r="M127" s="6787"/>
      <c r="N127" s="6787"/>
      <c r="O127" s="6787"/>
      <c r="P127" s="6788"/>
      <c r="Q127" s="6789"/>
      <c r="R127" s="6790"/>
      <c r="S127" s="6786"/>
      <c r="T127" s="6791"/>
      <c r="U127" s="6844"/>
      <c r="V127" s="6791"/>
      <c r="W127" s="8487"/>
      <c r="X127" s="6871"/>
      <c r="Y127" s="6793"/>
      <c r="Z127" s="6794"/>
      <c r="AA127" s="6795"/>
      <c r="AB127" s="6796"/>
      <c r="AC127" s="6797"/>
      <c r="AD127" s="6798"/>
      <c r="AE127" s="4" t="s">
        <v>1</v>
      </c>
      <c r="AF127" s="6202" t="str">
        <f t="shared" si="47"/>
        <v>►</v>
      </c>
      <c r="AG127" s="6234" t="str">
        <f t="shared" si="48"/>
        <v/>
      </c>
      <c r="AH127" s="6732" t="str">
        <f t="shared" si="49"/>
        <v/>
      </c>
      <c r="AI127" s="6234" t="str">
        <f t="shared" si="50"/>
        <v/>
      </c>
      <c r="AJ127" s="6732" t="str">
        <f t="shared" si="51"/>
        <v/>
      </c>
      <c r="AK127" s="6732">
        <f t="shared" si="52"/>
        <v>0</v>
      </c>
      <c r="AL127" s="6230" t="str" cm="1">
        <f t="array" ref="AL127">IF(AF127&lt;&gt;"A","",IFERROR((IFERROR(_xlfn.XLOOKUP(TRIM(SUBSTITUTE(U127,CHAR(160)," ")),$BJ$15:$BJ$62,$BM$15:$BM$62),IFERROR(_xlfn.XLOOKUP(TRIM(SUBSTITUTE(U127,CHAR(160)," ")),$BK$15:$BK$62,$BM$15:$BM$62),_xlfn.XLOOKUP(TRIM(SUBSTITUTE(U127,CHAR(160)," ")),$BL$15:$BL$62,$BM$15:$BM$62))))*T127*IF(ISBLANK(Q127),1,Q127)+IFERROR(_xlfn.XLOOKUP("RECHERCHEX",TRIM(L127:AD127),L127:AD127),0),0))</f>
        <v/>
      </c>
      <c r="AM127" s="6229">
        <f t="shared" si="53"/>
        <v>0</v>
      </c>
      <c r="AN127" s="6857" t="str">
        <f t="shared" si="68"/>
        <v/>
      </c>
      <c r="AO127" s="392">
        <f t="shared" si="54"/>
        <v>0</v>
      </c>
      <c r="AP127" s="392">
        <f t="shared" si="55"/>
        <v>0</v>
      </c>
      <c r="AQ127" s="6191">
        <f t="shared" si="56"/>
        <v>0</v>
      </c>
      <c r="AR127" s="6859" t="str">
        <f t="shared" si="57"/>
        <v/>
      </c>
      <c r="AS127" s="6856"/>
      <c r="AT127" s="6275"/>
      <c r="AU127" s="6272">
        <f t="shared" si="58"/>
        <v>0</v>
      </c>
      <c r="AV127" s="6240">
        <f t="shared" si="59"/>
        <v>0</v>
      </c>
      <c r="AW127" s="6189" cm="1">
        <f t="array" ref="AW127">IF(AK127&lt;&gt;1,0,IF(OR(AU127="",N(AU127)&lt;=0.000000001),"",IF(OR(AO127="",N(AO127)&lt;=0.000000001),0,IF(ISNUMBER(AU127),IFERROR(_xlfn.LET(_xlpm.ai_test,TRIM(AJ127),_xlpm.r,IFERROR(_xlfn.XLOOKUP(_xlpm.ai_test,$BJ$15:$BJ$62,ROW($BJ$15:$BJ$62),0,1),IFERROR(_xlfn.XLOOKUP(_xlpm.ai_test,$BK$15:$BK$62,ROW($BK$15:$BK$62),0,1),_xlfn.XLOOKUP(_xlpm.ai_test,$BL$15:$BL$62,ROW($BL$15:$BL$62),0,1))),_xlpm.p,_xlpm.r-MIN(ROW($BJ$15:$BJ$62))+1,_xlpm.f,INDEX($BM$15:$BM$62,_xlpm.p),_xlpm.u,INDEX($BN$15:$BN$62,_xlpm.p),_xlpm.s,INDEX($BP$15:$BP$62,_xlpm.p),_xlpm.q,N(AU127)/_xlpm.f,IF(_xlpm.q&gt;=_xlpm.s,ROUND(_xlpm.q,1)&amp;" "&amp;_xlpm.ai_test&amp;" = "&amp;ROUND(_xlpm.q*_xlpm.f,1)&amp;" "&amp;_xlpm.u,ROUND(_xlpm.q,1)&amp;" "&amp;_xlpm.ai_test)),""),""))))</f>
        <v>0</v>
      </c>
      <c r="AX127" s="6218"/>
      <c r="AY127" s="6272">
        <f t="shared" si="60"/>
        <v>0</v>
      </c>
      <c r="AZ127" s="6240" t="str">
        <f t="shared" si="61"/>
        <v/>
      </c>
      <c r="BA127" s="6195">
        <f t="shared" si="66"/>
        <v>0</v>
      </c>
      <c r="BB127" s="6193" t="str">
        <f t="shared" si="62"/>
        <v/>
      </c>
      <c r="BC127" s="6219"/>
      <c r="BD127" s="6222">
        <f t="shared" si="67"/>
        <v>0</v>
      </c>
      <c r="BE127" s="6220" t="str">
        <f t="shared" si="63"/>
        <v/>
      </c>
      <c r="BF127" s="4" t="s">
        <v>1</v>
      </c>
      <c r="BG127" s="6196">
        <f t="shared" si="64"/>
        <v>0</v>
      </c>
      <c r="BH127" s="6197">
        <f t="shared" si="65"/>
        <v>0</v>
      </c>
      <c r="BR127"/>
      <c r="BS127"/>
      <c r="BT127"/>
      <c r="BU127"/>
      <c r="BV127"/>
      <c r="BW127"/>
      <c r="BX127" s="20" t="str">
        <f t="shared" si="46"/>
        <v>►</v>
      </c>
      <c r="CD127" s="5661"/>
      <c r="DC127" s="5">
        <v>1</v>
      </c>
    </row>
    <row r="128" spans="1:107" s="1" customFormat="1" ht="21" customHeight="1">
      <c r="A128" s="5641" t="s">
        <v>1</v>
      </c>
      <c r="B128" s="5662" t="str">
        <f t="shared" si="45"/>
        <v>►</v>
      </c>
      <c r="C128" s="5825" cm="1">
        <f t="array" ref="C128">SUMPRODUCT(LEN(D128:J128))</f>
        <v>0</v>
      </c>
      <c r="D128" s="5275"/>
      <c r="E128" s="1361"/>
      <c r="F128" s="1361"/>
      <c r="G128" s="1361"/>
      <c r="H128" s="1361"/>
      <c r="I128" s="1361"/>
      <c r="J128" s="5276"/>
      <c r="K128" s="106" t="s">
        <v>1</v>
      </c>
      <c r="L128" s="1021" t="s">
        <v>26</v>
      </c>
      <c r="M128" s="6787"/>
      <c r="N128" s="6787"/>
      <c r="O128" s="6787"/>
      <c r="P128" s="6788"/>
      <c r="Q128" s="6789"/>
      <c r="R128" s="6790"/>
      <c r="S128" s="6786"/>
      <c r="T128" s="6791"/>
      <c r="U128" s="6844"/>
      <c r="V128" s="6791"/>
      <c r="W128" s="8487"/>
      <c r="X128" s="6871"/>
      <c r="Y128" s="6793"/>
      <c r="Z128" s="6794"/>
      <c r="AA128" s="6795"/>
      <c r="AB128" s="6796"/>
      <c r="AC128" s="6797"/>
      <c r="AD128" s="6798"/>
      <c r="AE128" s="4" t="s">
        <v>1</v>
      </c>
      <c r="AF128" s="6202" t="str">
        <f t="shared" si="47"/>
        <v>►</v>
      </c>
      <c r="AG128" s="6234" t="str">
        <f t="shared" si="48"/>
        <v/>
      </c>
      <c r="AH128" s="6732" t="str">
        <f t="shared" si="49"/>
        <v/>
      </c>
      <c r="AI128" s="6234" t="str">
        <f t="shared" si="50"/>
        <v/>
      </c>
      <c r="AJ128" s="6732" t="str">
        <f t="shared" si="51"/>
        <v/>
      </c>
      <c r="AK128" s="6732">
        <f t="shared" si="52"/>
        <v>0</v>
      </c>
      <c r="AL128" s="6230" t="str" cm="1">
        <f t="array" ref="AL128">IF(AF128&lt;&gt;"A","",IFERROR((IFERROR(_xlfn.XLOOKUP(TRIM(SUBSTITUTE(U128,CHAR(160)," ")),$BJ$15:$BJ$62,$BM$15:$BM$62),IFERROR(_xlfn.XLOOKUP(TRIM(SUBSTITUTE(U128,CHAR(160)," ")),$BK$15:$BK$62,$BM$15:$BM$62),_xlfn.XLOOKUP(TRIM(SUBSTITUTE(U128,CHAR(160)," ")),$BL$15:$BL$62,$BM$15:$BM$62))))*T128*IF(ISBLANK(Q128),1,Q128)+IFERROR(_xlfn.XLOOKUP("RECHERCHEX",TRIM(L128:AD128),L128:AD128),0),0))</f>
        <v/>
      </c>
      <c r="AM128" s="6229">
        <f t="shared" si="53"/>
        <v>0</v>
      </c>
      <c r="AN128" s="6857" t="str">
        <f t="shared" si="68"/>
        <v/>
      </c>
      <c r="AO128" s="392">
        <f t="shared" si="54"/>
        <v>0</v>
      </c>
      <c r="AP128" s="392">
        <f t="shared" si="55"/>
        <v>0</v>
      </c>
      <c r="AQ128" s="6190">
        <f t="shared" si="56"/>
        <v>0</v>
      </c>
      <c r="AR128" s="6858" t="str">
        <f t="shared" si="57"/>
        <v/>
      </c>
      <c r="AS128" s="6856"/>
      <c r="AT128" s="6275"/>
      <c r="AU128" s="6271">
        <f t="shared" si="58"/>
        <v>0</v>
      </c>
      <c r="AV128" s="6242">
        <f t="shared" si="59"/>
        <v>0</v>
      </c>
      <c r="AW128" s="6188" cm="1">
        <f t="array" ref="AW128">IF(AK128&lt;&gt;1,0,IF(OR(AU128="",N(AU128)&lt;=0.000000001),"",IF(OR(AO128="",N(AO128)&lt;=0.000000001),0,IF(ISNUMBER(AU128),IFERROR(_xlfn.LET(_xlpm.ai_test,TRIM(AJ128),_xlpm.r,IFERROR(_xlfn.XLOOKUP(_xlpm.ai_test,$BJ$15:$BJ$62,ROW($BJ$15:$BJ$62),0,1),IFERROR(_xlfn.XLOOKUP(_xlpm.ai_test,$BK$15:$BK$62,ROW($BK$15:$BK$62),0,1),_xlfn.XLOOKUP(_xlpm.ai_test,$BL$15:$BL$62,ROW($BL$15:$BL$62),0,1))),_xlpm.p,_xlpm.r-MIN(ROW($BJ$15:$BJ$62))+1,_xlpm.f,INDEX($BM$15:$BM$62,_xlpm.p),_xlpm.u,INDEX($BN$15:$BN$62,_xlpm.p),_xlpm.s,INDEX($BP$15:$BP$62,_xlpm.p),_xlpm.q,N(AU128)/_xlpm.f,IF(_xlpm.q&gt;=_xlpm.s,ROUND(_xlpm.q,1)&amp;" "&amp;_xlpm.ai_test&amp;" = "&amp;ROUND(_xlpm.q*_xlpm.f,1)&amp;" "&amp;_xlpm.u,ROUND(_xlpm.q,1)&amp;" "&amp;_xlpm.ai_test)),""),""))))</f>
        <v>0</v>
      </c>
      <c r="AX128" s="6218"/>
      <c r="AY128" s="6271">
        <f t="shared" si="60"/>
        <v>0</v>
      </c>
      <c r="AZ128" s="6242" t="str">
        <f t="shared" si="61"/>
        <v/>
      </c>
      <c r="BA128" s="6194">
        <f t="shared" si="66"/>
        <v>0</v>
      </c>
      <c r="BB128" s="6192" t="str">
        <f t="shared" si="62"/>
        <v/>
      </c>
      <c r="BC128" s="6219"/>
      <c r="BD128" s="6221">
        <f t="shared" si="67"/>
        <v>0</v>
      </c>
      <c r="BE128" s="6220" t="str">
        <f t="shared" si="63"/>
        <v/>
      </c>
      <c r="BF128" s="4" t="s">
        <v>1</v>
      </c>
      <c r="BG128" s="6196">
        <f t="shared" si="64"/>
        <v>0</v>
      </c>
      <c r="BH128" s="6197">
        <f t="shared" si="65"/>
        <v>0</v>
      </c>
      <c r="BI128"/>
      <c r="BR128"/>
      <c r="BS128"/>
      <c r="BT128"/>
      <c r="BU128"/>
      <c r="BV128"/>
      <c r="BW128"/>
      <c r="BX128" s="20" t="str">
        <f t="shared" si="46"/>
        <v>►</v>
      </c>
      <c r="CD128" s="5661"/>
      <c r="DC128" s="5">
        <v>1</v>
      </c>
    </row>
    <row r="129" spans="1:107" s="1" customFormat="1" ht="21" customHeight="1">
      <c r="A129" s="5641" t="s">
        <v>1</v>
      </c>
      <c r="B129" s="5662" t="str">
        <f t="shared" si="45"/>
        <v>►</v>
      </c>
      <c r="C129" s="5825" cm="1">
        <f t="array" ref="C129">SUMPRODUCT(LEN(D129:J129))</f>
        <v>0</v>
      </c>
      <c r="D129" s="5275"/>
      <c r="E129" s="1361"/>
      <c r="F129" s="1361"/>
      <c r="G129" s="1361"/>
      <c r="H129" s="1361"/>
      <c r="I129" s="1361"/>
      <c r="J129" s="5276"/>
      <c r="K129" s="106" t="s">
        <v>1</v>
      </c>
      <c r="L129" s="1021" t="s">
        <v>26</v>
      </c>
      <c r="M129" s="6787"/>
      <c r="N129" s="6787"/>
      <c r="O129" s="6787"/>
      <c r="P129" s="6788"/>
      <c r="Q129" s="6789"/>
      <c r="R129" s="6790"/>
      <c r="S129" s="6786"/>
      <c r="T129" s="6791"/>
      <c r="U129" s="6844"/>
      <c r="V129" s="6791"/>
      <c r="W129" s="8487"/>
      <c r="X129" s="6871"/>
      <c r="Y129" s="6793"/>
      <c r="Z129" s="6794"/>
      <c r="AA129" s="6795"/>
      <c r="AB129" s="6796"/>
      <c r="AC129" s="6797"/>
      <c r="AD129" s="6798"/>
      <c r="AE129" s="4" t="s">
        <v>1</v>
      </c>
      <c r="AF129" s="6202" t="str">
        <f t="shared" si="47"/>
        <v>►</v>
      </c>
      <c r="AG129" s="6234" t="str">
        <f t="shared" si="48"/>
        <v/>
      </c>
      <c r="AH129" s="6732" t="str">
        <f t="shared" si="49"/>
        <v/>
      </c>
      <c r="AI129" s="6234" t="str">
        <f t="shared" si="50"/>
        <v/>
      </c>
      <c r="AJ129" s="6732" t="str">
        <f t="shared" si="51"/>
        <v/>
      </c>
      <c r="AK129" s="6732">
        <f t="shared" si="52"/>
        <v>0</v>
      </c>
      <c r="AL129" s="6230" t="str" cm="1">
        <f t="array" ref="AL129">IF(AF129&lt;&gt;"A","",IFERROR((IFERROR(_xlfn.XLOOKUP(TRIM(SUBSTITUTE(U129,CHAR(160)," ")),$BJ$15:$BJ$62,$BM$15:$BM$62),IFERROR(_xlfn.XLOOKUP(TRIM(SUBSTITUTE(U129,CHAR(160)," ")),$BK$15:$BK$62,$BM$15:$BM$62),_xlfn.XLOOKUP(TRIM(SUBSTITUTE(U129,CHAR(160)," ")),$BL$15:$BL$62,$BM$15:$BM$62))))*T129*IF(ISBLANK(Q129),1,Q129)+IFERROR(_xlfn.XLOOKUP("RECHERCHEX",TRIM(L129:AD129),L129:AD129),0),0))</f>
        <v/>
      </c>
      <c r="AM129" s="6229">
        <f t="shared" si="53"/>
        <v>0</v>
      </c>
      <c r="AN129" s="6857" t="str">
        <f t="shared" si="68"/>
        <v/>
      </c>
      <c r="AO129" s="392">
        <f t="shared" si="54"/>
        <v>0</v>
      </c>
      <c r="AP129" s="392">
        <f t="shared" si="55"/>
        <v>0</v>
      </c>
      <c r="AQ129" s="6191">
        <f t="shared" si="56"/>
        <v>0</v>
      </c>
      <c r="AR129" s="6859" t="str">
        <f t="shared" si="57"/>
        <v/>
      </c>
      <c r="AS129" s="6856"/>
      <c r="AT129" s="6275"/>
      <c r="AU129" s="6272">
        <f t="shared" si="58"/>
        <v>0</v>
      </c>
      <c r="AV129" s="6240">
        <f t="shared" si="59"/>
        <v>0</v>
      </c>
      <c r="AW129" s="6189" cm="1">
        <f t="array" ref="AW129">IF(AK129&lt;&gt;1,0,IF(OR(AU129="",N(AU129)&lt;=0.000000001),"",IF(OR(AO129="",N(AO129)&lt;=0.000000001),0,IF(ISNUMBER(AU129),IFERROR(_xlfn.LET(_xlpm.ai_test,TRIM(AJ129),_xlpm.r,IFERROR(_xlfn.XLOOKUP(_xlpm.ai_test,$BJ$15:$BJ$62,ROW($BJ$15:$BJ$62),0,1),IFERROR(_xlfn.XLOOKUP(_xlpm.ai_test,$BK$15:$BK$62,ROW($BK$15:$BK$62),0,1),_xlfn.XLOOKUP(_xlpm.ai_test,$BL$15:$BL$62,ROW($BL$15:$BL$62),0,1))),_xlpm.p,_xlpm.r-MIN(ROW($BJ$15:$BJ$62))+1,_xlpm.f,INDEX($BM$15:$BM$62,_xlpm.p),_xlpm.u,INDEX($BN$15:$BN$62,_xlpm.p),_xlpm.s,INDEX($BP$15:$BP$62,_xlpm.p),_xlpm.q,N(AU129)/_xlpm.f,IF(_xlpm.q&gt;=_xlpm.s,ROUND(_xlpm.q,1)&amp;" "&amp;_xlpm.ai_test&amp;" = "&amp;ROUND(_xlpm.q*_xlpm.f,1)&amp;" "&amp;_xlpm.u,ROUND(_xlpm.q,1)&amp;" "&amp;_xlpm.ai_test)),""),""))))</f>
        <v>0</v>
      </c>
      <c r="AX129" s="6218"/>
      <c r="AY129" s="6272">
        <f t="shared" si="60"/>
        <v>0</v>
      </c>
      <c r="AZ129" s="6240" t="str">
        <f t="shared" si="61"/>
        <v/>
      </c>
      <c r="BA129" s="6195">
        <f t="shared" si="66"/>
        <v>0</v>
      </c>
      <c r="BB129" s="6193" t="str">
        <f t="shared" si="62"/>
        <v/>
      </c>
      <c r="BC129" s="6219"/>
      <c r="BD129" s="6222">
        <f t="shared" si="67"/>
        <v>0</v>
      </c>
      <c r="BE129" s="6220" t="str">
        <f t="shared" si="63"/>
        <v/>
      </c>
      <c r="BF129" s="4" t="s">
        <v>1</v>
      </c>
      <c r="BG129" s="6196">
        <f t="shared" si="64"/>
        <v>0</v>
      </c>
      <c r="BH129" s="6197">
        <f t="shared" si="65"/>
        <v>0</v>
      </c>
      <c r="BI129"/>
      <c r="BR129"/>
      <c r="BS129"/>
      <c r="BT129"/>
      <c r="BU129"/>
      <c r="BV129"/>
      <c r="BW129"/>
      <c r="BX129" s="20" t="str">
        <f t="shared" si="46"/>
        <v>►</v>
      </c>
      <c r="CD129" s="5661"/>
      <c r="DC129" s="5">
        <v>1</v>
      </c>
    </row>
    <row r="130" spans="1:107" s="1" customFormat="1" ht="21" customHeight="1">
      <c r="A130" s="5641" t="s">
        <v>1</v>
      </c>
      <c r="B130" s="5662" t="str">
        <f t="shared" si="45"/>
        <v>►</v>
      </c>
      <c r="C130" s="5825" cm="1">
        <f t="array" ref="C130">SUMPRODUCT(LEN(D130:J130))</f>
        <v>0</v>
      </c>
      <c r="D130" s="5275"/>
      <c r="E130" s="1361"/>
      <c r="F130" s="1361"/>
      <c r="G130" s="1361"/>
      <c r="H130" s="1361"/>
      <c r="I130" s="1361"/>
      <c r="J130" s="5276"/>
      <c r="K130" s="106" t="s">
        <v>1</v>
      </c>
      <c r="L130" s="1021" t="s">
        <v>26</v>
      </c>
      <c r="M130" s="6787"/>
      <c r="N130" s="6787"/>
      <c r="O130" s="6787"/>
      <c r="P130" s="6788"/>
      <c r="Q130" s="6789"/>
      <c r="R130" s="6790"/>
      <c r="S130" s="6786"/>
      <c r="T130" s="6791"/>
      <c r="U130" s="6844"/>
      <c r="V130" s="6791"/>
      <c r="W130" s="8487"/>
      <c r="X130" s="6871"/>
      <c r="Y130" s="6793"/>
      <c r="Z130" s="6794"/>
      <c r="AA130" s="6795"/>
      <c r="AB130" s="6796"/>
      <c r="AC130" s="6797"/>
      <c r="AD130" s="6798"/>
      <c r="AE130" s="4" t="s">
        <v>1</v>
      </c>
      <c r="AF130" s="6202" t="str">
        <f t="shared" si="47"/>
        <v>►</v>
      </c>
      <c r="AG130" s="6234" t="str">
        <f t="shared" si="48"/>
        <v/>
      </c>
      <c r="AH130" s="6732" t="str">
        <f t="shared" si="49"/>
        <v/>
      </c>
      <c r="AI130" s="6234" t="str">
        <f t="shared" si="50"/>
        <v/>
      </c>
      <c r="AJ130" s="6732" t="str">
        <f t="shared" si="51"/>
        <v/>
      </c>
      <c r="AK130" s="6732">
        <f t="shared" si="52"/>
        <v>0</v>
      </c>
      <c r="AL130" s="6230" t="str" cm="1">
        <f t="array" ref="AL130">IF(AF130&lt;&gt;"A","",IFERROR((IFERROR(_xlfn.XLOOKUP(TRIM(SUBSTITUTE(U130,CHAR(160)," ")),$BJ$15:$BJ$62,$BM$15:$BM$62),IFERROR(_xlfn.XLOOKUP(TRIM(SUBSTITUTE(U130,CHAR(160)," ")),$BK$15:$BK$62,$BM$15:$BM$62),_xlfn.XLOOKUP(TRIM(SUBSTITUTE(U130,CHAR(160)," ")),$BL$15:$BL$62,$BM$15:$BM$62))))*T130*IF(ISBLANK(Q130),1,Q130)+IFERROR(_xlfn.XLOOKUP("RECHERCHEX",TRIM(L130:AD130),L130:AD130),0),0))</f>
        <v/>
      </c>
      <c r="AM130" s="6229">
        <f t="shared" si="53"/>
        <v>0</v>
      </c>
      <c r="AN130" s="6857" t="str">
        <f t="shared" si="68"/>
        <v/>
      </c>
      <c r="AO130" s="392">
        <f t="shared" si="54"/>
        <v>0</v>
      </c>
      <c r="AP130" s="392">
        <f t="shared" si="55"/>
        <v>0</v>
      </c>
      <c r="AQ130" s="6190">
        <f t="shared" si="56"/>
        <v>0</v>
      </c>
      <c r="AR130" s="6858" t="str">
        <f t="shared" si="57"/>
        <v/>
      </c>
      <c r="AS130" s="6856"/>
      <c r="AT130" s="6275"/>
      <c r="AU130" s="6271">
        <f t="shared" si="58"/>
        <v>0</v>
      </c>
      <c r="AV130" s="6242">
        <f t="shared" si="59"/>
        <v>0</v>
      </c>
      <c r="AW130" s="6188" cm="1">
        <f t="array" ref="AW130">IF(AK130&lt;&gt;1,0,IF(OR(AU130="",N(AU130)&lt;=0.000000001),"",IF(OR(AO130="",N(AO130)&lt;=0.000000001),0,IF(ISNUMBER(AU130),IFERROR(_xlfn.LET(_xlpm.ai_test,TRIM(AJ130),_xlpm.r,IFERROR(_xlfn.XLOOKUP(_xlpm.ai_test,$BJ$15:$BJ$62,ROW($BJ$15:$BJ$62),0,1),IFERROR(_xlfn.XLOOKUP(_xlpm.ai_test,$BK$15:$BK$62,ROW($BK$15:$BK$62),0,1),_xlfn.XLOOKUP(_xlpm.ai_test,$BL$15:$BL$62,ROW($BL$15:$BL$62),0,1))),_xlpm.p,_xlpm.r-MIN(ROW($BJ$15:$BJ$62))+1,_xlpm.f,INDEX($BM$15:$BM$62,_xlpm.p),_xlpm.u,INDEX($BN$15:$BN$62,_xlpm.p),_xlpm.s,INDEX($BP$15:$BP$62,_xlpm.p),_xlpm.q,N(AU130)/_xlpm.f,IF(_xlpm.q&gt;=_xlpm.s,ROUND(_xlpm.q,1)&amp;" "&amp;_xlpm.ai_test&amp;" = "&amp;ROUND(_xlpm.q*_xlpm.f,1)&amp;" "&amp;_xlpm.u,ROUND(_xlpm.q,1)&amp;" "&amp;_xlpm.ai_test)),""),""))))</f>
        <v>0</v>
      </c>
      <c r="AX130" s="6218"/>
      <c r="AY130" s="6271">
        <f t="shared" si="60"/>
        <v>0</v>
      </c>
      <c r="AZ130" s="6242" t="str">
        <f t="shared" si="61"/>
        <v/>
      </c>
      <c r="BA130" s="6194">
        <f t="shared" si="66"/>
        <v>0</v>
      </c>
      <c r="BB130" s="6192" t="str">
        <f t="shared" si="62"/>
        <v/>
      </c>
      <c r="BC130" s="6219"/>
      <c r="BD130" s="6221">
        <f t="shared" si="67"/>
        <v>0</v>
      </c>
      <c r="BE130" s="6220" t="str">
        <f t="shared" si="63"/>
        <v/>
      </c>
      <c r="BF130" s="4" t="s">
        <v>1</v>
      </c>
      <c r="BG130" s="6196">
        <f t="shared" si="64"/>
        <v>0</v>
      </c>
      <c r="BH130" s="6197">
        <f t="shared" si="65"/>
        <v>0</v>
      </c>
      <c r="BI130"/>
      <c r="BR130"/>
      <c r="BS130"/>
      <c r="BT130"/>
      <c r="BU130"/>
      <c r="BV130"/>
      <c r="BW130"/>
      <c r="BX130" s="20" t="str">
        <f t="shared" si="46"/>
        <v>►</v>
      </c>
      <c r="CD130" s="5661"/>
      <c r="DC130" s="5">
        <v>1</v>
      </c>
    </row>
    <row r="131" spans="1:107" s="1" customFormat="1" ht="21" customHeight="1">
      <c r="A131" s="5641" t="s">
        <v>1</v>
      </c>
      <c r="B131" s="5662" t="str">
        <f t="shared" si="45"/>
        <v>►</v>
      </c>
      <c r="C131" s="5825" cm="1">
        <f t="array" ref="C131">SUMPRODUCT(LEN(D131:J131))</f>
        <v>0</v>
      </c>
      <c r="D131" s="5275"/>
      <c r="E131" s="1361"/>
      <c r="F131" s="1361"/>
      <c r="G131" s="1361"/>
      <c r="H131" s="1361"/>
      <c r="I131" s="1361"/>
      <c r="J131" s="5276"/>
      <c r="K131" s="106" t="s">
        <v>1</v>
      </c>
      <c r="L131" s="1021" t="s">
        <v>26</v>
      </c>
      <c r="M131" s="6787"/>
      <c r="N131" s="6787"/>
      <c r="O131" s="6787"/>
      <c r="P131" s="6788"/>
      <c r="Q131" s="6789"/>
      <c r="R131" s="6790"/>
      <c r="S131" s="6786"/>
      <c r="T131" s="6791"/>
      <c r="U131" s="6844"/>
      <c r="V131" s="6791"/>
      <c r="W131" s="8487"/>
      <c r="X131" s="6871"/>
      <c r="Y131" s="6793"/>
      <c r="Z131" s="6794"/>
      <c r="AA131" s="6795"/>
      <c r="AB131" s="6796"/>
      <c r="AC131" s="6797"/>
      <c r="AD131" s="6798"/>
      <c r="AE131" s="4" t="s">
        <v>1</v>
      </c>
      <c r="AF131" s="6202" t="str">
        <f t="shared" si="47"/>
        <v>►</v>
      </c>
      <c r="AG131" s="6234" t="str">
        <f t="shared" si="48"/>
        <v/>
      </c>
      <c r="AH131" s="6732" t="str">
        <f t="shared" si="49"/>
        <v/>
      </c>
      <c r="AI131" s="6234" t="str">
        <f t="shared" si="50"/>
        <v/>
      </c>
      <c r="AJ131" s="6732" t="str">
        <f t="shared" si="51"/>
        <v/>
      </c>
      <c r="AK131" s="6732">
        <f t="shared" si="52"/>
        <v>0</v>
      </c>
      <c r="AL131" s="6230" t="str" cm="1">
        <f t="array" ref="AL131">IF(AF131&lt;&gt;"A","",IFERROR((IFERROR(_xlfn.XLOOKUP(TRIM(SUBSTITUTE(U131,CHAR(160)," ")),$BJ$15:$BJ$62,$BM$15:$BM$62),IFERROR(_xlfn.XLOOKUP(TRIM(SUBSTITUTE(U131,CHAR(160)," ")),$BK$15:$BK$62,$BM$15:$BM$62),_xlfn.XLOOKUP(TRIM(SUBSTITUTE(U131,CHAR(160)," ")),$BL$15:$BL$62,$BM$15:$BM$62))))*T131*IF(ISBLANK(Q131),1,Q131)+IFERROR(_xlfn.XLOOKUP("RECHERCHEX",TRIM(L131:AD131),L131:AD131),0),0))</f>
        <v/>
      </c>
      <c r="AM131" s="6229">
        <f t="shared" si="53"/>
        <v>0</v>
      </c>
      <c r="AN131" s="6857" t="str">
        <f t="shared" si="68"/>
        <v/>
      </c>
      <c r="AO131" s="392">
        <f t="shared" si="54"/>
        <v>0</v>
      </c>
      <c r="AP131" s="392">
        <f t="shared" si="55"/>
        <v>0</v>
      </c>
      <c r="AQ131" s="6191">
        <f t="shared" si="56"/>
        <v>0</v>
      </c>
      <c r="AR131" s="6859" t="str">
        <f t="shared" si="57"/>
        <v/>
      </c>
      <c r="AS131" s="6856"/>
      <c r="AT131" s="6275"/>
      <c r="AU131" s="6272">
        <f t="shared" si="58"/>
        <v>0</v>
      </c>
      <c r="AV131" s="6240">
        <f t="shared" si="59"/>
        <v>0</v>
      </c>
      <c r="AW131" s="6189" cm="1">
        <f t="array" ref="AW131">IF(AK131&lt;&gt;1,0,IF(OR(AU131="",N(AU131)&lt;=0.000000001),"",IF(OR(AO131="",N(AO131)&lt;=0.000000001),0,IF(ISNUMBER(AU131),IFERROR(_xlfn.LET(_xlpm.ai_test,TRIM(AJ131),_xlpm.r,IFERROR(_xlfn.XLOOKUP(_xlpm.ai_test,$BJ$15:$BJ$62,ROW($BJ$15:$BJ$62),0,1),IFERROR(_xlfn.XLOOKUP(_xlpm.ai_test,$BK$15:$BK$62,ROW($BK$15:$BK$62),0,1),_xlfn.XLOOKUP(_xlpm.ai_test,$BL$15:$BL$62,ROW($BL$15:$BL$62),0,1))),_xlpm.p,_xlpm.r-MIN(ROW($BJ$15:$BJ$62))+1,_xlpm.f,INDEX($BM$15:$BM$62,_xlpm.p),_xlpm.u,INDEX($BN$15:$BN$62,_xlpm.p),_xlpm.s,INDEX($BP$15:$BP$62,_xlpm.p),_xlpm.q,N(AU131)/_xlpm.f,IF(_xlpm.q&gt;=_xlpm.s,ROUND(_xlpm.q,1)&amp;" "&amp;_xlpm.ai_test&amp;" = "&amp;ROUND(_xlpm.q*_xlpm.f,1)&amp;" "&amp;_xlpm.u,ROUND(_xlpm.q,1)&amp;" "&amp;_xlpm.ai_test)),""),""))))</f>
        <v>0</v>
      </c>
      <c r="AX131" s="6218"/>
      <c r="AY131" s="6272">
        <f t="shared" si="60"/>
        <v>0</v>
      </c>
      <c r="AZ131" s="6240" t="str">
        <f t="shared" si="61"/>
        <v/>
      </c>
      <c r="BA131" s="6195">
        <f t="shared" si="66"/>
        <v>0</v>
      </c>
      <c r="BB131" s="6193" t="str">
        <f t="shared" si="62"/>
        <v/>
      </c>
      <c r="BC131" s="6219"/>
      <c r="BD131" s="6222">
        <f t="shared" si="67"/>
        <v>0</v>
      </c>
      <c r="BE131" s="6220" t="str">
        <f t="shared" si="63"/>
        <v/>
      </c>
      <c r="BF131" s="4" t="s">
        <v>1</v>
      </c>
      <c r="BG131" s="6196">
        <f t="shared" si="64"/>
        <v>0</v>
      </c>
      <c r="BH131" s="6197">
        <f t="shared" si="65"/>
        <v>0</v>
      </c>
      <c r="BI131"/>
      <c r="BR131"/>
      <c r="BS131"/>
      <c r="BT131"/>
      <c r="BU131"/>
      <c r="BV131"/>
      <c r="BW131"/>
      <c r="BX131" s="20" t="str">
        <f t="shared" si="46"/>
        <v>►</v>
      </c>
      <c r="CD131" s="5661"/>
      <c r="DC131" s="5">
        <v>1</v>
      </c>
    </row>
    <row r="132" spans="1:107" s="1" customFormat="1" ht="21" customHeight="1">
      <c r="A132" s="5641" t="s">
        <v>1</v>
      </c>
      <c r="B132" s="5662" t="str">
        <f t="shared" si="45"/>
        <v>►</v>
      </c>
      <c r="C132" s="5825" cm="1">
        <f t="array" ref="C132">SUMPRODUCT(LEN(D132:J132))</f>
        <v>0</v>
      </c>
      <c r="D132" s="5275"/>
      <c r="E132" s="1361"/>
      <c r="F132" s="1361"/>
      <c r="G132" s="1361"/>
      <c r="H132" s="1361"/>
      <c r="I132" s="1361"/>
      <c r="J132" s="5276"/>
      <c r="K132" s="106" t="s">
        <v>1</v>
      </c>
      <c r="L132" s="1021" t="s">
        <v>26</v>
      </c>
      <c r="M132" s="6787"/>
      <c r="N132" s="6787"/>
      <c r="O132" s="6787"/>
      <c r="P132" s="6788"/>
      <c r="Q132" s="6789"/>
      <c r="R132" s="6790"/>
      <c r="S132" s="6786"/>
      <c r="T132" s="6791"/>
      <c r="U132" s="6844"/>
      <c r="V132" s="6791"/>
      <c r="W132" s="8487"/>
      <c r="X132" s="6871"/>
      <c r="Y132" s="6793"/>
      <c r="Z132" s="6794"/>
      <c r="AA132" s="6795"/>
      <c r="AB132" s="6796"/>
      <c r="AC132" s="6797"/>
      <c r="AD132" s="6798"/>
      <c r="AE132" s="4" t="s">
        <v>1</v>
      </c>
      <c r="AF132" s="6202" t="str">
        <f t="shared" si="47"/>
        <v>►</v>
      </c>
      <c r="AG132" s="6234" t="str">
        <f t="shared" si="48"/>
        <v/>
      </c>
      <c r="AH132" s="6732" t="str">
        <f t="shared" si="49"/>
        <v/>
      </c>
      <c r="AI132" s="6234" t="str">
        <f t="shared" si="50"/>
        <v/>
      </c>
      <c r="AJ132" s="6732" t="str">
        <f t="shared" si="51"/>
        <v/>
      </c>
      <c r="AK132" s="6732">
        <f t="shared" si="52"/>
        <v>0</v>
      </c>
      <c r="AL132" s="6230" t="str" cm="1">
        <f t="array" ref="AL132">IF(AF132&lt;&gt;"A","",IFERROR((IFERROR(_xlfn.XLOOKUP(TRIM(SUBSTITUTE(U132,CHAR(160)," ")),$BJ$15:$BJ$62,$BM$15:$BM$62),IFERROR(_xlfn.XLOOKUP(TRIM(SUBSTITUTE(U132,CHAR(160)," ")),$BK$15:$BK$62,$BM$15:$BM$62),_xlfn.XLOOKUP(TRIM(SUBSTITUTE(U132,CHAR(160)," ")),$BL$15:$BL$62,$BM$15:$BM$62))))*T132*IF(ISBLANK(Q132),1,Q132)+IFERROR(_xlfn.XLOOKUP("RECHERCHEX",TRIM(L132:AD132),L132:AD132),0),0))</f>
        <v/>
      </c>
      <c r="AM132" s="6229">
        <f t="shared" si="53"/>
        <v>0</v>
      </c>
      <c r="AN132" s="6857" t="str">
        <f t="shared" si="68"/>
        <v/>
      </c>
      <c r="AO132" s="392">
        <f t="shared" si="54"/>
        <v>0</v>
      </c>
      <c r="AP132" s="392">
        <f t="shared" si="55"/>
        <v>0</v>
      </c>
      <c r="AQ132" s="6190">
        <f t="shared" si="56"/>
        <v>0</v>
      </c>
      <c r="AR132" s="6858" t="str">
        <f t="shared" si="57"/>
        <v/>
      </c>
      <c r="AS132" s="6856"/>
      <c r="AT132" s="6275"/>
      <c r="AU132" s="6271">
        <f t="shared" si="58"/>
        <v>0</v>
      </c>
      <c r="AV132" s="6242">
        <f t="shared" si="59"/>
        <v>0</v>
      </c>
      <c r="AW132" s="6188" cm="1">
        <f t="array" ref="AW132">IF(AK132&lt;&gt;1,0,IF(OR(AU132="",N(AU132)&lt;=0.000000001),"",IF(OR(AO132="",N(AO132)&lt;=0.000000001),0,IF(ISNUMBER(AU132),IFERROR(_xlfn.LET(_xlpm.ai_test,TRIM(AJ132),_xlpm.r,IFERROR(_xlfn.XLOOKUP(_xlpm.ai_test,$BJ$15:$BJ$62,ROW($BJ$15:$BJ$62),0,1),IFERROR(_xlfn.XLOOKUP(_xlpm.ai_test,$BK$15:$BK$62,ROW($BK$15:$BK$62),0,1),_xlfn.XLOOKUP(_xlpm.ai_test,$BL$15:$BL$62,ROW($BL$15:$BL$62),0,1))),_xlpm.p,_xlpm.r-MIN(ROW($BJ$15:$BJ$62))+1,_xlpm.f,INDEX($BM$15:$BM$62,_xlpm.p),_xlpm.u,INDEX($BN$15:$BN$62,_xlpm.p),_xlpm.s,INDEX($BP$15:$BP$62,_xlpm.p),_xlpm.q,N(AU132)/_xlpm.f,IF(_xlpm.q&gt;=_xlpm.s,ROUND(_xlpm.q,1)&amp;" "&amp;_xlpm.ai_test&amp;" = "&amp;ROUND(_xlpm.q*_xlpm.f,1)&amp;" "&amp;_xlpm.u,ROUND(_xlpm.q,1)&amp;" "&amp;_xlpm.ai_test)),""),""))))</f>
        <v>0</v>
      </c>
      <c r="AX132" s="6218"/>
      <c r="AY132" s="6271">
        <f t="shared" si="60"/>
        <v>0</v>
      </c>
      <c r="AZ132" s="6242" t="str">
        <f t="shared" si="61"/>
        <v/>
      </c>
      <c r="BA132" s="6194">
        <f t="shared" si="66"/>
        <v>0</v>
      </c>
      <c r="BB132" s="6192" t="str">
        <f t="shared" si="62"/>
        <v/>
      </c>
      <c r="BC132" s="6219"/>
      <c r="BD132" s="6221">
        <f t="shared" si="67"/>
        <v>0</v>
      </c>
      <c r="BE132" s="6220" t="str">
        <f t="shared" si="63"/>
        <v/>
      </c>
      <c r="BF132" s="4" t="s">
        <v>1</v>
      </c>
      <c r="BG132" s="6196">
        <f t="shared" si="64"/>
        <v>0</v>
      </c>
      <c r="BH132" s="6197">
        <f t="shared" si="65"/>
        <v>0</v>
      </c>
      <c r="BI132"/>
      <c r="BR132"/>
      <c r="BS132"/>
      <c r="BT132"/>
      <c r="BU132"/>
      <c r="BV132"/>
      <c r="BW132"/>
      <c r="BX132" s="20" t="str">
        <f t="shared" si="46"/>
        <v>►</v>
      </c>
      <c r="CD132" s="5661"/>
      <c r="DC132" s="5">
        <v>1</v>
      </c>
    </row>
    <row r="133" spans="1:107" s="1" customFormat="1" ht="21" customHeight="1">
      <c r="A133" s="5641" t="s">
        <v>1</v>
      </c>
      <c r="B133" s="5662" t="str">
        <f t="shared" ref="B133:B196" si="69">L133</f>
        <v>►</v>
      </c>
      <c r="C133" s="5825" cm="1">
        <f t="array" ref="C133">SUMPRODUCT(LEN(D133:J133))</f>
        <v>0</v>
      </c>
      <c r="D133" s="5275"/>
      <c r="E133" s="1361"/>
      <c r="F133" s="1361"/>
      <c r="G133" s="1361"/>
      <c r="H133" s="1361"/>
      <c r="I133" s="1361"/>
      <c r="J133" s="5276"/>
      <c r="K133" s="106" t="s">
        <v>1</v>
      </c>
      <c r="L133" s="1021" t="s">
        <v>26</v>
      </c>
      <c r="M133" s="6787"/>
      <c r="N133" s="6787"/>
      <c r="O133" s="6787"/>
      <c r="P133" s="6788"/>
      <c r="Q133" s="6789"/>
      <c r="R133" s="6790"/>
      <c r="S133" s="6786"/>
      <c r="T133" s="6791"/>
      <c r="U133" s="6844"/>
      <c r="V133" s="6791"/>
      <c r="W133" s="8487"/>
      <c r="X133" s="6871"/>
      <c r="Y133" s="6793"/>
      <c r="Z133" s="6794"/>
      <c r="AA133" s="6795"/>
      <c r="AB133" s="6796"/>
      <c r="AC133" s="6797"/>
      <c r="AD133" s="6798"/>
      <c r="AE133" s="4" t="s">
        <v>1</v>
      </c>
      <c r="AF133" s="6202" t="str">
        <f t="shared" si="47"/>
        <v>►</v>
      </c>
      <c r="AG133" s="6234" t="str">
        <f t="shared" si="48"/>
        <v/>
      </c>
      <c r="AH133" s="6732" t="str">
        <f t="shared" si="49"/>
        <v/>
      </c>
      <c r="AI133" s="6234" t="str">
        <f t="shared" si="50"/>
        <v/>
      </c>
      <c r="AJ133" s="6732" t="str">
        <f t="shared" si="51"/>
        <v/>
      </c>
      <c r="AK133" s="6732">
        <f t="shared" si="52"/>
        <v>0</v>
      </c>
      <c r="AL133" s="6230" t="str" cm="1">
        <f t="array" ref="AL133">IF(AF133&lt;&gt;"A","",IFERROR((IFERROR(_xlfn.XLOOKUP(TRIM(SUBSTITUTE(U133,CHAR(160)," ")),$BJ$15:$BJ$62,$BM$15:$BM$62),IFERROR(_xlfn.XLOOKUP(TRIM(SUBSTITUTE(U133,CHAR(160)," ")),$BK$15:$BK$62,$BM$15:$BM$62),_xlfn.XLOOKUP(TRIM(SUBSTITUTE(U133,CHAR(160)," ")),$BL$15:$BL$62,$BM$15:$BM$62))))*T133*IF(ISBLANK(Q133),1,Q133)+IFERROR(_xlfn.XLOOKUP("RECHERCHEX",TRIM(L133:AD133),L133:AD133),0),0))</f>
        <v/>
      </c>
      <c r="AM133" s="6229">
        <f t="shared" si="53"/>
        <v>0</v>
      </c>
      <c r="AN133" s="6857" t="str">
        <f t="shared" si="68"/>
        <v/>
      </c>
      <c r="AO133" s="392">
        <f t="shared" si="54"/>
        <v>0</v>
      </c>
      <c r="AP133" s="392">
        <f t="shared" si="55"/>
        <v>0</v>
      </c>
      <c r="AQ133" s="6191">
        <f t="shared" si="56"/>
        <v>0</v>
      </c>
      <c r="AR133" s="6859" t="str">
        <f t="shared" si="57"/>
        <v/>
      </c>
      <c r="AS133" s="6856"/>
      <c r="AT133" s="6275"/>
      <c r="AU133" s="6272">
        <f t="shared" si="58"/>
        <v>0</v>
      </c>
      <c r="AV133" s="6240">
        <f t="shared" si="59"/>
        <v>0</v>
      </c>
      <c r="AW133" s="6189" cm="1">
        <f t="array" ref="AW133">IF(AK133&lt;&gt;1,0,IF(OR(AU133="",N(AU133)&lt;=0.000000001),"",IF(OR(AO133="",N(AO133)&lt;=0.000000001),0,IF(ISNUMBER(AU133),IFERROR(_xlfn.LET(_xlpm.ai_test,TRIM(AJ133),_xlpm.r,IFERROR(_xlfn.XLOOKUP(_xlpm.ai_test,$BJ$15:$BJ$62,ROW($BJ$15:$BJ$62),0,1),IFERROR(_xlfn.XLOOKUP(_xlpm.ai_test,$BK$15:$BK$62,ROW($BK$15:$BK$62),0,1),_xlfn.XLOOKUP(_xlpm.ai_test,$BL$15:$BL$62,ROW($BL$15:$BL$62),0,1))),_xlpm.p,_xlpm.r-MIN(ROW($BJ$15:$BJ$62))+1,_xlpm.f,INDEX($BM$15:$BM$62,_xlpm.p),_xlpm.u,INDEX($BN$15:$BN$62,_xlpm.p),_xlpm.s,INDEX($BP$15:$BP$62,_xlpm.p),_xlpm.q,N(AU133)/_xlpm.f,IF(_xlpm.q&gt;=_xlpm.s,ROUND(_xlpm.q,1)&amp;" "&amp;_xlpm.ai_test&amp;" = "&amp;ROUND(_xlpm.q*_xlpm.f,1)&amp;" "&amp;_xlpm.u,ROUND(_xlpm.q,1)&amp;" "&amp;_xlpm.ai_test)),""),""))))</f>
        <v>0</v>
      </c>
      <c r="AX133" s="6218"/>
      <c r="AY133" s="6272">
        <f t="shared" si="60"/>
        <v>0</v>
      </c>
      <c r="AZ133" s="6240" t="str">
        <f t="shared" si="61"/>
        <v/>
      </c>
      <c r="BA133" s="6195">
        <f t="shared" si="66"/>
        <v>0</v>
      </c>
      <c r="BB133" s="6193" t="str">
        <f t="shared" si="62"/>
        <v/>
      </c>
      <c r="BC133" s="6219"/>
      <c r="BD133" s="6222">
        <f t="shared" si="67"/>
        <v>0</v>
      </c>
      <c r="BE133" s="6220" t="str">
        <f t="shared" si="63"/>
        <v/>
      </c>
      <c r="BF133" s="4" t="s">
        <v>1</v>
      </c>
      <c r="BG133" s="6196">
        <f t="shared" si="64"/>
        <v>0</v>
      </c>
      <c r="BH133" s="6197">
        <f t="shared" si="65"/>
        <v>0</v>
      </c>
      <c r="BI133"/>
      <c r="BR133"/>
      <c r="BS133"/>
      <c r="BT133"/>
      <c r="BU133"/>
      <c r="BV133"/>
      <c r="BW133"/>
      <c r="BX133" s="20" t="str">
        <f t="shared" ref="BX133:BX196" si="70">AF133</f>
        <v>►</v>
      </c>
      <c r="CD133" s="5661"/>
      <c r="DC133" s="5">
        <v>1</v>
      </c>
    </row>
    <row r="134" spans="1:107" s="1" customFormat="1" ht="21" customHeight="1">
      <c r="A134" s="5641" t="s">
        <v>1</v>
      </c>
      <c r="B134" s="5662" t="str">
        <f t="shared" si="69"/>
        <v>►</v>
      </c>
      <c r="C134" s="5825" cm="1">
        <f t="array" ref="C134">SUMPRODUCT(LEN(D134:J134))</f>
        <v>0</v>
      </c>
      <c r="D134" s="5275"/>
      <c r="E134" s="1361"/>
      <c r="F134" s="1361"/>
      <c r="G134" s="1361"/>
      <c r="H134" s="1361"/>
      <c r="I134" s="1361"/>
      <c r="J134" s="5276"/>
      <c r="K134" s="106" t="s">
        <v>1</v>
      </c>
      <c r="L134" s="1021" t="s">
        <v>26</v>
      </c>
      <c r="M134" s="6787"/>
      <c r="N134" s="6787"/>
      <c r="O134" s="6787"/>
      <c r="P134" s="6788"/>
      <c r="Q134" s="6789"/>
      <c r="R134" s="6790"/>
      <c r="S134" s="6786"/>
      <c r="T134" s="6791"/>
      <c r="U134" s="6844"/>
      <c r="V134" s="6791"/>
      <c r="W134" s="8487"/>
      <c r="X134" s="6871"/>
      <c r="Y134" s="6793"/>
      <c r="Z134" s="6794"/>
      <c r="AA134" s="6795"/>
      <c r="AB134" s="6796"/>
      <c r="AC134" s="6797"/>
      <c r="AD134" s="6798"/>
      <c r="AE134" s="4" t="s">
        <v>1</v>
      </c>
      <c r="AF134" s="6202" t="str">
        <f t="shared" si="47"/>
        <v>►</v>
      </c>
      <c r="AG134" s="6234" t="str">
        <f t="shared" si="48"/>
        <v/>
      </c>
      <c r="AH134" s="6732" t="str">
        <f t="shared" si="49"/>
        <v/>
      </c>
      <c r="AI134" s="6234" t="str">
        <f t="shared" si="50"/>
        <v/>
      </c>
      <c r="AJ134" s="6732" t="str">
        <f t="shared" si="51"/>
        <v/>
      </c>
      <c r="AK134" s="6732">
        <f t="shared" si="52"/>
        <v>0</v>
      </c>
      <c r="AL134" s="6230" t="str" cm="1">
        <f t="array" ref="AL134">IF(AF134&lt;&gt;"A","",IFERROR((IFERROR(_xlfn.XLOOKUP(TRIM(SUBSTITUTE(U134,CHAR(160)," ")),$BJ$15:$BJ$62,$BM$15:$BM$62),IFERROR(_xlfn.XLOOKUP(TRIM(SUBSTITUTE(U134,CHAR(160)," ")),$BK$15:$BK$62,$BM$15:$BM$62),_xlfn.XLOOKUP(TRIM(SUBSTITUTE(U134,CHAR(160)," ")),$BL$15:$BL$62,$BM$15:$BM$62))))*T134*IF(ISBLANK(Q134),1,Q134)+IFERROR(_xlfn.XLOOKUP("RECHERCHEX",TRIM(L134:AD134),L134:AD134),0),0))</f>
        <v/>
      </c>
      <c r="AM134" s="6229">
        <f t="shared" si="53"/>
        <v>0</v>
      </c>
      <c r="AN134" s="6857" t="str">
        <f t="shared" si="68"/>
        <v/>
      </c>
      <c r="AO134" s="392">
        <f t="shared" si="54"/>
        <v>0</v>
      </c>
      <c r="AP134" s="392">
        <f t="shared" si="55"/>
        <v>0</v>
      </c>
      <c r="AQ134" s="6190">
        <f t="shared" si="56"/>
        <v>0</v>
      </c>
      <c r="AR134" s="6858" t="str">
        <f t="shared" si="57"/>
        <v/>
      </c>
      <c r="AS134" s="6217"/>
      <c r="AT134" s="6217"/>
      <c r="AU134" s="6271">
        <f t="shared" si="58"/>
        <v>0</v>
      </c>
      <c r="AV134" s="6242">
        <f t="shared" si="59"/>
        <v>0</v>
      </c>
      <c r="AW134" s="6188" cm="1">
        <f t="array" ref="AW134">IF(AK134&lt;&gt;1,0,IF(OR(AU134="",N(AU134)&lt;=0.000000001),"",IF(OR(AO134="",N(AO134)&lt;=0.000000001),0,IF(ISNUMBER(AU134),IFERROR(_xlfn.LET(_xlpm.ai_test,TRIM(AJ134),_xlpm.r,IFERROR(_xlfn.XLOOKUP(_xlpm.ai_test,$BJ$15:$BJ$62,ROW($BJ$15:$BJ$62),0,1),IFERROR(_xlfn.XLOOKUP(_xlpm.ai_test,$BK$15:$BK$62,ROW($BK$15:$BK$62),0,1),_xlfn.XLOOKUP(_xlpm.ai_test,$BL$15:$BL$62,ROW($BL$15:$BL$62),0,1))),_xlpm.p,_xlpm.r-MIN(ROW($BJ$15:$BJ$62))+1,_xlpm.f,INDEX($BM$15:$BM$62,_xlpm.p),_xlpm.u,INDEX($BN$15:$BN$62,_xlpm.p),_xlpm.s,INDEX($BP$15:$BP$62,_xlpm.p),_xlpm.q,N(AU134)/_xlpm.f,IF(_xlpm.q&gt;=_xlpm.s,ROUND(_xlpm.q,1)&amp;" "&amp;_xlpm.ai_test&amp;" = "&amp;ROUND(_xlpm.q*_xlpm.f,1)&amp;" "&amp;_xlpm.u,ROUND(_xlpm.q,1)&amp;" "&amp;_xlpm.ai_test)),""),""))))</f>
        <v>0</v>
      </c>
      <c r="AX134" s="6218"/>
      <c r="AY134" s="6271">
        <f t="shared" si="60"/>
        <v>0</v>
      </c>
      <c r="AZ134" s="6242" t="str">
        <f t="shared" si="61"/>
        <v/>
      </c>
      <c r="BA134" s="6194">
        <f t="shared" si="66"/>
        <v>0</v>
      </c>
      <c r="BB134" s="6192" t="str">
        <f t="shared" si="62"/>
        <v/>
      </c>
      <c r="BC134" s="6219"/>
      <c r="BD134" s="6221">
        <f t="shared" si="67"/>
        <v>0</v>
      </c>
      <c r="BE134" s="6220" t="str">
        <f t="shared" si="63"/>
        <v/>
      </c>
      <c r="BF134" s="4" t="s">
        <v>1</v>
      </c>
      <c r="BG134" s="6196">
        <f t="shared" si="64"/>
        <v>0</v>
      </c>
      <c r="BH134" s="6197">
        <f t="shared" si="65"/>
        <v>0</v>
      </c>
      <c r="BI134"/>
      <c r="BR134"/>
      <c r="BS134"/>
      <c r="BT134"/>
      <c r="BU134"/>
      <c r="BV134"/>
      <c r="BW134"/>
      <c r="BX134" s="20" t="str">
        <f t="shared" si="70"/>
        <v>►</v>
      </c>
      <c r="CD134" s="5661"/>
      <c r="DC134" s="5">
        <v>1</v>
      </c>
    </row>
    <row r="135" spans="1:107" s="1" customFormat="1" ht="21" customHeight="1">
      <c r="A135" s="5641" t="s">
        <v>1</v>
      </c>
      <c r="B135" s="5662" t="str">
        <f t="shared" si="69"/>
        <v>►</v>
      </c>
      <c r="C135" s="5825" cm="1">
        <f t="array" ref="C135">SUMPRODUCT(LEN(D135:J135))</f>
        <v>0</v>
      </c>
      <c r="D135" s="5275"/>
      <c r="E135" s="1361"/>
      <c r="F135" s="1361"/>
      <c r="G135" s="1361"/>
      <c r="H135" s="1361"/>
      <c r="I135" s="1361"/>
      <c r="J135" s="5276"/>
      <c r="K135" s="106" t="s">
        <v>1</v>
      </c>
      <c r="L135" s="1021" t="s">
        <v>26</v>
      </c>
      <c r="M135" s="6787"/>
      <c r="N135" s="6787"/>
      <c r="O135" s="6787"/>
      <c r="P135" s="6788"/>
      <c r="Q135" s="6789"/>
      <c r="R135" s="6790"/>
      <c r="S135" s="6786"/>
      <c r="T135" s="6791"/>
      <c r="U135" s="6844"/>
      <c r="V135" s="6791"/>
      <c r="W135" s="8487"/>
      <c r="X135" s="6871"/>
      <c r="Y135" s="6793"/>
      <c r="Z135" s="6794"/>
      <c r="AA135" s="6795"/>
      <c r="AB135" s="6796"/>
      <c r="AC135" s="6797"/>
      <c r="AD135" s="6798"/>
      <c r="AE135" s="4" t="s">
        <v>1</v>
      </c>
      <c r="AF135" s="6202" t="str">
        <f t="shared" si="47"/>
        <v>►</v>
      </c>
      <c r="AG135" s="6234" t="str">
        <f t="shared" si="48"/>
        <v/>
      </c>
      <c r="AH135" s="6732" t="str">
        <f t="shared" si="49"/>
        <v/>
      </c>
      <c r="AI135" s="6234" t="str">
        <f t="shared" si="50"/>
        <v/>
      </c>
      <c r="AJ135" s="6732" t="str">
        <f t="shared" si="51"/>
        <v/>
      </c>
      <c r="AK135" s="6732">
        <f t="shared" si="52"/>
        <v>0</v>
      </c>
      <c r="AL135" s="6230" t="str" cm="1">
        <f t="array" ref="AL135">IF(AF135&lt;&gt;"A","",IFERROR((IFERROR(_xlfn.XLOOKUP(TRIM(SUBSTITUTE(U135,CHAR(160)," ")),$BJ$15:$BJ$62,$BM$15:$BM$62),IFERROR(_xlfn.XLOOKUP(TRIM(SUBSTITUTE(U135,CHAR(160)," ")),$BK$15:$BK$62,$BM$15:$BM$62),_xlfn.XLOOKUP(TRIM(SUBSTITUTE(U135,CHAR(160)," ")),$BL$15:$BL$62,$BM$15:$BM$62))))*T135*IF(ISBLANK(Q135),1,Q135)+IFERROR(_xlfn.XLOOKUP("RECHERCHEX",TRIM(L135:AD135),L135:AD135),0),0))</f>
        <v/>
      </c>
      <c r="AM135" s="6229">
        <f t="shared" si="53"/>
        <v>0</v>
      </c>
      <c r="AN135" s="6857" t="str">
        <f t="shared" si="68"/>
        <v/>
      </c>
      <c r="AO135" s="392">
        <f t="shared" si="54"/>
        <v>0</v>
      </c>
      <c r="AP135" s="392">
        <f t="shared" si="55"/>
        <v>0</v>
      </c>
      <c r="AQ135" s="6191">
        <f t="shared" si="56"/>
        <v>0</v>
      </c>
      <c r="AR135" s="6859" t="str">
        <f t="shared" si="57"/>
        <v/>
      </c>
      <c r="AS135" s="6217"/>
      <c r="AT135" s="6217"/>
      <c r="AU135" s="6272">
        <f t="shared" si="58"/>
        <v>0</v>
      </c>
      <c r="AV135" s="6240">
        <f t="shared" si="59"/>
        <v>0</v>
      </c>
      <c r="AW135" s="6189" cm="1">
        <f t="array" ref="AW135">IF(AK135&lt;&gt;1,0,IF(OR(AU135="",N(AU135)&lt;=0.000000001),"",IF(OR(AO135="",N(AO135)&lt;=0.000000001),0,IF(ISNUMBER(AU135),IFERROR(_xlfn.LET(_xlpm.ai_test,TRIM(AJ135),_xlpm.r,IFERROR(_xlfn.XLOOKUP(_xlpm.ai_test,$BJ$15:$BJ$62,ROW($BJ$15:$BJ$62),0,1),IFERROR(_xlfn.XLOOKUP(_xlpm.ai_test,$BK$15:$BK$62,ROW($BK$15:$BK$62),0,1),_xlfn.XLOOKUP(_xlpm.ai_test,$BL$15:$BL$62,ROW($BL$15:$BL$62),0,1))),_xlpm.p,_xlpm.r-MIN(ROW($BJ$15:$BJ$62))+1,_xlpm.f,INDEX($BM$15:$BM$62,_xlpm.p),_xlpm.u,INDEX($BN$15:$BN$62,_xlpm.p),_xlpm.s,INDEX($BP$15:$BP$62,_xlpm.p),_xlpm.q,N(AU135)/_xlpm.f,IF(_xlpm.q&gt;=_xlpm.s,ROUND(_xlpm.q,1)&amp;" "&amp;_xlpm.ai_test&amp;" = "&amp;ROUND(_xlpm.q*_xlpm.f,1)&amp;" "&amp;_xlpm.u,ROUND(_xlpm.q,1)&amp;" "&amp;_xlpm.ai_test)),""),""))))</f>
        <v>0</v>
      </c>
      <c r="AX135" s="6218"/>
      <c r="AY135" s="6272">
        <f t="shared" si="60"/>
        <v>0</v>
      </c>
      <c r="AZ135" s="6240" t="str">
        <f t="shared" si="61"/>
        <v/>
      </c>
      <c r="BA135" s="6195">
        <f t="shared" si="66"/>
        <v>0</v>
      </c>
      <c r="BB135" s="6193" t="str">
        <f t="shared" si="62"/>
        <v/>
      </c>
      <c r="BC135" s="6219"/>
      <c r="BD135" s="6222">
        <f t="shared" si="67"/>
        <v>0</v>
      </c>
      <c r="BE135" s="6220" t="str">
        <f t="shared" si="63"/>
        <v/>
      </c>
      <c r="BF135" s="4" t="s">
        <v>1</v>
      </c>
      <c r="BG135" s="6196">
        <f t="shared" si="64"/>
        <v>0</v>
      </c>
      <c r="BH135" s="6197">
        <f t="shared" si="65"/>
        <v>0</v>
      </c>
      <c r="BI135"/>
      <c r="BR135"/>
      <c r="BS135"/>
      <c r="BT135"/>
      <c r="BU135"/>
      <c r="BV135"/>
      <c r="BW135"/>
      <c r="BX135" s="20" t="str">
        <f t="shared" si="70"/>
        <v>►</v>
      </c>
      <c r="CD135" s="5661"/>
      <c r="DC135" s="5">
        <v>1</v>
      </c>
    </row>
    <row r="136" spans="1:107" s="1" customFormat="1" ht="21" customHeight="1">
      <c r="A136" s="5641" t="s">
        <v>1</v>
      </c>
      <c r="B136" s="5662" t="str">
        <f t="shared" si="69"/>
        <v>►</v>
      </c>
      <c r="C136" s="5825" cm="1">
        <f t="array" ref="C136">SUMPRODUCT(LEN(D136:J136))</f>
        <v>0</v>
      </c>
      <c r="D136" s="5275"/>
      <c r="E136" s="1361"/>
      <c r="F136" s="1361"/>
      <c r="G136" s="1361"/>
      <c r="H136" s="1361"/>
      <c r="I136" s="1361"/>
      <c r="J136" s="5276"/>
      <c r="K136" s="106" t="s">
        <v>1</v>
      </c>
      <c r="L136" s="1021" t="s">
        <v>26</v>
      </c>
      <c r="M136" s="6787"/>
      <c r="N136" s="6787"/>
      <c r="O136" s="6787"/>
      <c r="P136" s="6788"/>
      <c r="Q136" s="6789"/>
      <c r="R136" s="6790"/>
      <c r="S136" s="6786"/>
      <c r="T136" s="6791"/>
      <c r="U136" s="6844"/>
      <c r="V136" s="6791"/>
      <c r="W136" s="8487"/>
      <c r="X136" s="6871"/>
      <c r="Y136" s="6793"/>
      <c r="Z136" s="6794"/>
      <c r="AA136" s="6795"/>
      <c r="AB136" s="6796"/>
      <c r="AC136" s="6797"/>
      <c r="AD136" s="6798"/>
      <c r="AE136" s="4" t="s">
        <v>1</v>
      </c>
      <c r="AF136" s="6202" t="str">
        <f t="shared" si="47"/>
        <v>►</v>
      </c>
      <c r="AG136" s="6234" t="str">
        <f t="shared" si="48"/>
        <v/>
      </c>
      <c r="AH136" s="6732" t="str">
        <f t="shared" si="49"/>
        <v/>
      </c>
      <c r="AI136" s="6234" t="str">
        <f t="shared" si="50"/>
        <v/>
      </c>
      <c r="AJ136" s="6732" t="str">
        <f t="shared" si="51"/>
        <v/>
      </c>
      <c r="AK136" s="6732">
        <f t="shared" si="52"/>
        <v>0</v>
      </c>
      <c r="AL136" s="6230" t="str" cm="1">
        <f t="array" ref="AL136">IF(AF136&lt;&gt;"A","",IFERROR((IFERROR(_xlfn.XLOOKUP(TRIM(SUBSTITUTE(U136,CHAR(160)," ")),$BJ$15:$BJ$62,$BM$15:$BM$62),IFERROR(_xlfn.XLOOKUP(TRIM(SUBSTITUTE(U136,CHAR(160)," ")),$BK$15:$BK$62,$BM$15:$BM$62),_xlfn.XLOOKUP(TRIM(SUBSTITUTE(U136,CHAR(160)," ")),$BL$15:$BL$62,$BM$15:$BM$62))))*T136*IF(ISBLANK(Q136),1,Q136)+IFERROR(_xlfn.XLOOKUP("RECHERCHEX",TRIM(L136:AD136),L136:AD136),0),0))</f>
        <v/>
      </c>
      <c r="AM136" s="6229">
        <f t="shared" si="53"/>
        <v>0</v>
      </c>
      <c r="AN136" s="6857" t="str">
        <f t="shared" si="68"/>
        <v/>
      </c>
      <c r="AO136" s="392">
        <f t="shared" si="54"/>
        <v>0</v>
      </c>
      <c r="AP136" s="392">
        <f t="shared" si="55"/>
        <v>0</v>
      </c>
      <c r="AQ136" s="6190">
        <f t="shared" si="56"/>
        <v>0</v>
      </c>
      <c r="AR136" s="6858" t="str">
        <f t="shared" si="57"/>
        <v/>
      </c>
      <c r="AS136" s="6217"/>
      <c r="AT136" s="6217"/>
      <c r="AU136" s="6271">
        <f t="shared" si="58"/>
        <v>0</v>
      </c>
      <c r="AV136" s="6242">
        <f t="shared" si="59"/>
        <v>0</v>
      </c>
      <c r="AW136" s="6188" cm="1">
        <f t="array" ref="AW136">IF(AK136&lt;&gt;1,0,IF(OR(AU136="",N(AU136)&lt;=0.000000001),"",IF(OR(AO136="",N(AO136)&lt;=0.000000001),0,IF(ISNUMBER(AU136),IFERROR(_xlfn.LET(_xlpm.ai_test,TRIM(AJ136),_xlpm.r,IFERROR(_xlfn.XLOOKUP(_xlpm.ai_test,$BJ$15:$BJ$62,ROW($BJ$15:$BJ$62),0,1),IFERROR(_xlfn.XLOOKUP(_xlpm.ai_test,$BK$15:$BK$62,ROW($BK$15:$BK$62),0,1),_xlfn.XLOOKUP(_xlpm.ai_test,$BL$15:$BL$62,ROW($BL$15:$BL$62),0,1))),_xlpm.p,_xlpm.r-MIN(ROW($BJ$15:$BJ$62))+1,_xlpm.f,INDEX($BM$15:$BM$62,_xlpm.p),_xlpm.u,INDEX($BN$15:$BN$62,_xlpm.p),_xlpm.s,INDEX($BP$15:$BP$62,_xlpm.p),_xlpm.q,N(AU136)/_xlpm.f,IF(_xlpm.q&gt;=_xlpm.s,ROUND(_xlpm.q,1)&amp;" "&amp;_xlpm.ai_test&amp;" = "&amp;ROUND(_xlpm.q*_xlpm.f,1)&amp;" "&amp;_xlpm.u,ROUND(_xlpm.q,1)&amp;" "&amp;_xlpm.ai_test)),""),""))))</f>
        <v>0</v>
      </c>
      <c r="AX136" s="6218"/>
      <c r="AY136" s="6271">
        <f t="shared" si="60"/>
        <v>0</v>
      </c>
      <c r="AZ136" s="6242" t="str">
        <f t="shared" si="61"/>
        <v/>
      </c>
      <c r="BA136" s="6194">
        <f t="shared" si="66"/>
        <v>0</v>
      </c>
      <c r="BB136" s="6192" t="str">
        <f t="shared" si="62"/>
        <v/>
      </c>
      <c r="BC136" s="6219"/>
      <c r="BD136" s="6221">
        <f t="shared" si="67"/>
        <v>0</v>
      </c>
      <c r="BE136" s="6220" t="str">
        <f t="shared" si="63"/>
        <v/>
      </c>
      <c r="BF136" s="4" t="s">
        <v>1</v>
      </c>
      <c r="BG136" s="6196">
        <f t="shared" si="64"/>
        <v>0</v>
      </c>
      <c r="BH136" s="6197">
        <f t="shared" si="65"/>
        <v>0</v>
      </c>
      <c r="BI136"/>
      <c r="BR136"/>
      <c r="BS136"/>
      <c r="BT136"/>
      <c r="BU136"/>
      <c r="BV136"/>
      <c r="BW136"/>
      <c r="BX136" s="20" t="str">
        <f t="shared" si="70"/>
        <v>►</v>
      </c>
      <c r="CD136" s="5661"/>
      <c r="DC136" s="5">
        <v>1</v>
      </c>
    </row>
    <row r="137" spans="1:107" s="1" customFormat="1" ht="21" customHeight="1">
      <c r="A137" s="5641" t="s">
        <v>1</v>
      </c>
      <c r="B137" s="5662" t="str">
        <f t="shared" si="69"/>
        <v>►</v>
      </c>
      <c r="C137" s="5825" cm="1">
        <f t="array" ref="C137">SUMPRODUCT(LEN(D137:J137))</f>
        <v>0</v>
      </c>
      <c r="D137" s="5275"/>
      <c r="E137" s="1361"/>
      <c r="F137" s="1361"/>
      <c r="G137" s="1361"/>
      <c r="H137" s="1361"/>
      <c r="I137" s="1361"/>
      <c r="J137" s="5276"/>
      <c r="K137" s="106" t="s">
        <v>1</v>
      </c>
      <c r="L137" s="1021" t="s">
        <v>26</v>
      </c>
      <c r="M137" s="6787"/>
      <c r="N137" s="6787"/>
      <c r="O137" s="6787"/>
      <c r="P137" s="6788"/>
      <c r="Q137" s="6789"/>
      <c r="R137" s="6790"/>
      <c r="S137" s="6786"/>
      <c r="T137" s="6791"/>
      <c r="U137" s="6844"/>
      <c r="V137" s="6791"/>
      <c r="W137" s="8487"/>
      <c r="X137" s="6871"/>
      <c r="Y137" s="6793"/>
      <c r="Z137" s="6794"/>
      <c r="AA137" s="6795"/>
      <c r="AB137" s="6796"/>
      <c r="AC137" s="6797"/>
      <c r="AD137" s="6798"/>
      <c r="AE137" s="4" t="s">
        <v>1</v>
      </c>
      <c r="AF137" s="6202" t="str">
        <f t="shared" si="47"/>
        <v>►</v>
      </c>
      <c r="AG137" s="6234" t="str">
        <f t="shared" si="48"/>
        <v/>
      </c>
      <c r="AH137" s="6732" t="str">
        <f t="shared" si="49"/>
        <v/>
      </c>
      <c r="AI137" s="6234" t="str">
        <f t="shared" si="50"/>
        <v/>
      </c>
      <c r="AJ137" s="6732" t="str">
        <f t="shared" si="51"/>
        <v/>
      </c>
      <c r="AK137" s="6732">
        <f t="shared" si="52"/>
        <v>0</v>
      </c>
      <c r="AL137" s="6230" t="str" cm="1">
        <f t="array" ref="AL137">IF(AF137&lt;&gt;"A","",IFERROR((IFERROR(_xlfn.XLOOKUP(TRIM(SUBSTITUTE(U137,CHAR(160)," ")),$BJ$15:$BJ$62,$BM$15:$BM$62),IFERROR(_xlfn.XLOOKUP(TRIM(SUBSTITUTE(U137,CHAR(160)," ")),$BK$15:$BK$62,$BM$15:$BM$62),_xlfn.XLOOKUP(TRIM(SUBSTITUTE(U137,CHAR(160)," ")),$BL$15:$BL$62,$BM$15:$BM$62))))*T137*IF(ISBLANK(Q137),1,Q137)+IFERROR(_xlfn.XLOOKUP("RECHERCHEX",TRIM(L137:AD137),L137:AD137),0),0))</f>
        <v/>
      </c>
      <c r="AM137" s="6229">
        <f t="shared" si="53"/>
        <v>0</v>
      </c>
      <c r="AN137" s="6857" t="str">
        <f t="shared" si="68"/>
        <v/>
      </c>
      <c r="AO137" s="392">
        <f t="shared" si="54"/>
        <v>0</v>
      </c>
      <c r="AP137" s="392">
        <f t="shared" si="55"/>
        <v>0</v>
      </c>
      <c r="AQ137" s="6191">
        <f t="shared" si="56"/>
        <v>0</v>
      </c>
      <c r="AR137" s="6859" t="str">
        <f t="shared" si="57"/>
        <v/>
      </c>
      <c r="AS137" s="6217"/>
      <c r="AT137" s="6217"/>
      <c r="AU137" s="6272">
        <f t="shared" si="58"/>
        <v>0</v>
      </c>
      <c r="AV137" s="6240">
        <f t="shared" si="59"/>
        <v>0</v>
      </c>
      <c r="AW137" s="6189" cm="1">
        <f t="array" ref="AW137">IF(AK137&lt;&gt;1,0,IF(OR(AU137="",N(AU137)&lt;=0.000000001),"",IF(OR(AO137="",N(AO137)&lt;=0.000000001),0,IF(ISNUMBER(AU137),IFERROR(_xlfn.LET(_xlpm.ai_test,TRIM(AJ137),_xlpm.r,IFERROR(_xlfn.XLOOKUP(_xlpm.ai_test,$BJ$15:$BJ$62,ROW($BJ$15:$BJ$62),0,1),IFERROR(_xlfn.XLOOKUP(_xlpm.ai_test,$BK$15:$BK$62,ROW($BK$15:$BK$62),0,1),_xlfn.XLOOKUP(_xlpm.ai_test,$BL$15:$BL$62,ROW($BL$15:$BL$62),0,1))),_xlpm.p,_xlpm.r-MIN(ROW($BJ$15:$BJ$62))+1,_xlpm.f,INDEX($BM$15:$BM$62,_xlpm.p),_xlpm.u,INDEX($BN$15:$BN$62,_xlpm.p),_xlpm.s,INDEX($BP$15:$BP$62,_xlpm.p),_xlpm.q,N(AU137)/_xlpm.f,IF(_xlpm.q&gt;=_xlpm.s,ROUND(_xlpm.q,1)&amp;" "&amp;_xlpm.ai_test&amp;" = "&amp;ROUND(_xlpm.q*_xlpm.f,1)&amp;" "&amp;_xlpm.u,ROUND(_xlpm.q,1)&amp;" "&amp;_xlpm.ai_test)),""),""))))</f>
        <v>0</v>
      </c>
      <c r="AX137" s="6218"/>
      <c r="AY137" s="6272">
        <f t="shared" si="60"/>
        <v>0</v>
      </c>
      <c r="AZ137" s="6240" t="str">
        <f t="shared" si="61"/>
        <v/>
      </c>
      <c r="BA137" s="6195">
        <f t="shared" si="66"/>
        <v>0</v>
      </c>
      <c r="BB137" s="6193" t="str">
        <f t="shared" si="62"/>
        <v/>
      </c>
      <c r="BC137" s="6219"/>
      <c r="BD137" s="6222">
        <f t="shared" si="67"/>
        <v>0</v>
      </c>
      <c r="BE137" s="6220" t="str">
        <f t="shared" si="63"/>
        <v/>
      </c>
      <c r="BF137" s="4" t="s">
        <v>1</v>
      </c>
      <c r="BG137" s="6196">
        <f t="shared" si="64"/>
        <v>0</v>
      </c>
      <c r="BH137" s="6197">
        <f t="shared" si="65"/>
        <v>0</v>
      </c>
      <c r="BI137"/>
      <c r="BR137"/>
      <c r="BS137"/>
      <c r="BT137"/>
      <c r="BU137"/>
      <c r="BV137"/>
      <c r="BW137"/>
      <c r="BX137" s="20" t="str">
        <f t="shared" si="70"/>
        <v>►</v>
      </c>
      <c r="CD137" s="5661"/>
      <c r="DC137" s="5">
        <v>1</v>
      </c>
    </row>
    <row r="138" spans="1:107" s="1" customFormat="1" ht="21" customHeight="1">
      <c r="A138" s="5641" t="s">
        <v>1</v>
      </c>
      <c r="B138" s="5662" t="str">
        <f t="shared" si="69"/>
        <v>►</v>
      </c>
      <c r="C138" s="5825" cm="1">
        <f t="array" ref="C138">SUMPRODUCT(LEN(D138:J138))</f>
        <v>0</v>
      </c>
      <c r="D138" s="5275"/>
      <c r="E138" s="1361"/>
      <c r="F138" s="1361"/>
      <c r="G138" s="1361"/>
      <c r="H138" s="1361"/>
      <c r="I138" s="1361"/>
      <c r="J138" s="5276"/>
      <c r="K138" s="106" t="s">
        <v>1</v>
      </c>
      <c r="L138" s="1021" t="s">
        <v>26</v>
      </c>
      <c r="M138" s="6787"/>
      <c r="N138" s="6787"/>
      <c r="O138" s="6787"/>
      <c r="P138" s="6788"/>
      <c r="Q138" s="6789"/>
      <c r="R138" s="6790"/>
      <c r="S138" s="6786"/>
      <c r="T138" s="6791"/>
      <c r="U138" s="6844"/>
      <c r="V138" s="6791"/>
      <c r="W138" s="8487"/>
      <c r="X138" s="6871"/>
      <c r="Y138" s="6793"/>
      <c r="Z138" s="6794"/>
      <c r="AA138" s="6795"/>
      <c r="AB138" s="6796"/>
      <c r="AC138" s="6797"/>
      <c r="AD138" s="6798"/>
      <c r="AE138" s="4" t="s">
        <v>1</v>
      </c>
      <c r="AF138" s="6202" t="str">
        <f t="shared" si="47"/>
        <v>►</v>
      </c>
      <c r="AG138" s="6234" t="str">
        <f t="shared" si="48"/>
        <v/>
      </c>
      <c r="AH138" s="6732" t="str">
        <f t="shared" si="49"/>
        <v/>
      </c>
      <c r="AI138" s="6234" t="str">
        <f t="shared" si="50"/>
        <v/>
      </c>
      <c r="AJ138" s="6732" t="str">
        <f t="shared" si="51"/>
        <v/>
      </c>
      <c r="AK138" s="6732">
        <f t="shared" si="52"/>
        <v>0</v>
      </c>
      <c r="AL138" s="6230" t="str" cm="1">
        <f t="array" ref="AL138">IF(AF138&lt;&gt;"A","",IFERROR((IFERROR(_xlfn.XLOOKUP(TRIM(SUBSTITUTE(U138,CHAR(160)," ")),$BJ$15:$BJ$62,$BM$15:$BM$62),IFERROR(_xlfn.XLOOKUP(TRIM(SUBSTITUTE(U138,CHAR(160)," ")),$BK$15:$BK$62,$BM$15:$BM$62),_xlfn.XLOOKUP(TRIM(SUBSTITUTE(U138,CHAR(160)," ")),$BL$15:$BL$62,$BM$15:$BM$62))))*T138*IF(ISBLANK(Q138),1,Q138)+IFERROR(_xlfn.XLOOKUP("RECHERCHEX",TRIM(L138:AD138),L138:AD138),0),0))</f>
        <v/>
      </c>
      <c r="AM138" s="6229">
        <f t="shared" si="53"/>
        <v>0</v>
      </c>
      <c r="AN138" s="6857" t="str">
        <f t="shared" si="68"/>
        <v/>
      </c>
      <c r="AO138" s="392">
        <f t="shared" si="54"/>
        <v>0</v>
      </c>
      <c r="AP138" s="392">
        <f t="shared" si="55"/>
        <v>0</v>
      </c>
      <c r="AQ138" s="6190">
        <f t="shared" si="56"/>
        <v>0</v>
      </c>
      <c r="AR138" s="6858" t="str">
        <f t="shared" si="57"/>
        <v/>
      </c>
      <c r="AS138" s="6217"/>
      <c r="AT138" s="6217"/>
      <c r="AU138" s="6271">
        <f t="shared" si="58"/>
        <v>0</v>
      </c>
      <c r="AV138" s="6242">
        <f t="shared" si="59"/>
        <v>0</v>
      </c>
      <c r="AW138" s="6188" cm="1">
        <f t="array" ref="AW138">IF(AK138&lt;&gt;1,0,IF(OR(AU138="",N(AU138)&lt;=0.000000001),"",IF(OR(AO138="",N(AO138)&lt;=0.000000001),0,IF(ISNUMBER(AU138),IFERROR(_xlfn.LET(_xlpm.ai_test,TRIM(AJ138),_xlpm.r,IFERROR(_xlfn.XLOOKUP(_xlpm.ai_test,$BJ$15:$BJ$62,ROW($BJ$15:$BJ$62),0,1),IFERROR(_xlfn.XLOOKUP(_xlpm.ai_test,$BK$15:$BK$62,ROW($BK$15:$BK$62),0,1),_xlfn.XLOOKUP(_xlpm.ai_test,$BL$15:$BL$62,ROW($BL$15:$BL$62),0,1))),_xlpm.p,_xlpm.r-MIN(ROW($BJ$15:$BJ$62))+1,_xlpm.f,INDEX($BM$15:$BM$62,_xlpm.p),_xlpm.u,INDEX($BN$15:$BN$62,_xlpm.p),_xlpm.s,INDEX($BP$15:$BP$62,_xlpm.p),_xlpm.q,N(AU138)/_xlpm.f,IF(_xlpm.q&gt;=_xlpm.s,ROUND(_xlpm.q,1)&amp;" "&amp;_xlpm.ai_test&amp;" = "&amp;ROUND(_xlpm.q*_xlpm.f,1)&amp;" "&amp;_xlpm.u,ROUND(_xlpm.q,1)&amp;" "&amp;_xlpm.ai_test)),""),""))))</f>
        <v>0</v>
      </c>
      <c r="AX138" s="6218"/>
      <c r="AY138" s="6271">
        <f t="shared" si="60"/>
        <v>0</v>
      </c>
      <c r="AZ138" s="6242" t="str">
        <f t="shared" si="61"/>
        <v/>
      </c>
      <c r="BA138" s="6194">
        <f t="shared" si="66"/>
        <v>0</v>
      </c>
      <c r="BB138" s="6192" t="str">
        <f t="shared" si="62"/>
        <v/>
      </c>
      <c r="BC138" s="6219"/>
      <c r="BD138" s="6221">
        <f t="shared" si="67"/>
        <v>0</v>
      </c>
      <c r="BE138" s="6220" t="str">
        <f t="shared" si="63"/>
        <v/>
      </c>
      <c r="BF138" s="4" t="s">
        <v>1</v>
      </c>
      <c r="BG138" s="6196">
        <f t="shared" si="64"/>
        <v>0</v>
      </c>
      <c r="BH138" s="6197">
        <f t="shared" si="65"/>
        <v>0</v>
      </c>
      <c r="BI138"/>
      <c r="BR138"/>
      <c r="BS138"/>
      <c r="BT138"/>
      <c r="BU138"/>
      <c r="BV138"/>
      <c r="BW138"/>
      <c r="BX138" s="20" t="str">
        <f t="shared" si="70"/>
        <v>►</v>
      </c>
      <c r="CD138" s="5661"/>
      <c r="DC138" s="5">
        <v>1</v>
      </c>
    </row>
    <row r="139" spans="1:107" s="1" customFormat="1" ht="21" customHeight="1">
      <c r="A139" s="5641" t="s">
        <v>1</v>
      </c>
      <c r="B139" s="5662" t="str">
        <f t="shared" si="69"/>
        <v>►</v>
      </c>
      <c r="C139" s="5825" cm="1">
        <f t="array" ref="C139">SUMPRODUCT(LEN(D139:J139))</f>
        <v>0</v>
      </c>
      <c r="D139" s="5275"/>
      <c r="E139" s="1361"/>
      <c r="F139" s="1361"/>
      <c r="G139" s="1361"/>
      <c r="H139" s="1361"/>
      <c r="I139" s="1361"/>
      <c r="J139" s="5276"/>
      <c r="K139" s="106" t="s">
        <v>1</v>
      </c>
      <c r="L139" s="1021" t="s">
        <v>26</v>
      </c>
      <c r="M139" s="6787"/>
      <c r="N139" s="6787"/>
      <c r="O139" s="6787"/>
      <c r="P139" s="6788"/>
      <c r="Q139" s="6789"/>
      <c r="R139" s="6790"/>
      <c r="S139" s="6786"/>
      <c r="T139" s="6791"/>
      <c r="U139" s="6844"/>
      <c r="V139" s="6791"/>
      <c r="W139" s="8487"/>
      <c r="X139" s="6871"/>
      <c r="Y139" s="6793"/>
      <c r="Z139" s="6794"/>
      <c r="AA139" s="6795"/>
      <c r="AB139" s="6796"/>
      <c r="AC139" s="6797"/>
      <c r="AD139" s="6798"/>
      <c r="AE139" s="4" t="s">
        <v>1</v>
      </c>
      <c r="AF139" s="6202" t="str">
        <f t="shared" si="47"/>
        <v>►</v>
      </c>
      <c r="AG139" s="6234" t="str">
        <f t="shared" si="48"/>
        <v/>
      </c>
      <c r="AH139" s="6732" t="str">
        <f t="shared" si="49"/>
        <v/>
      </c>
      <c r="AI139" s="6234" t="str">
        <f t="shared" si="50"/>
        <v/>
      </c>
      <c r="AJ139" s="6732" t="str">
        <f t="shared" si="51"/>
        <v/>
      </c>
      <c r="AK139" s="6732">
        <f t="shared" si="52"/>
        <v>0</v>
      </c>
      <c r="AL139" s="6230" t="str" cm="1">
        <f t="array" ref="AL139">IF(AF139&lt;&gt;"A","",IFERROR((IFERROR(_xlfn.XLOOKUP(TRIM(SUBSTITUTE(U139,CHAR(160)," ")),$BJ$15:$BJ$62,$BM$15:$BM$62),IFERROR(_xlfn.XLOOKUP(TRIM(SUBSTITUTE(U139,CHAR(160)," ")),$BK$15:$BK$62,$BM$15:$BM$62),_xlfn.XLOOKUP(TRIM(SUBSTITUTE(U139,CHAR(160)," ")),$BL$15:$BL$62,$BM$15:$BM$62))))*T139*IF(ISBLANK(Q139),1,Q139)+IFERROR(_xlfn.XLOOKUP("RECHERCHEX",TRIM(L139:AD139),L139:AD139),0),0))</f>
        <v/>
      </c>
      <c r="AM139" s="6229">
        <f t="shared" si="53"/>
        <v>0</v>
      </c>
      <c r="AN139" s="6857" t="str">
        <f t="shared" si="68"/>
        <v/>
      </c>
      <c r="AO139" s="392">
        <f t="shared" si="54"/>
        <v>0</v>
      </c>
      <c r="AP139" s="392">
        <f t="shared" si="55"/>
        <v>0</v>
      </c>
      <c r="AQ139" s="6191">
        <f t="shared" si="56"/>
        <v>0</v>
      </c>
      <c r="AR139" s="6859" t="str">
        <f t="shared" si="57"/>
        <v/>
      </c>
      <c r="AS139" s="6217"/>
      <c r="AT139" s="6217"/>
      <c r="AU139" s="6272">
        <f t="shared" si="58"/>
        <v>0</v>
      </c>
      <c r="AV139" s="6240">
        <f t="shared" si="59"/>
        <v>0</v>
      </c>
      <c r="AW139" s="6189" cm="1">
        <f t="array" ref="AW139">IF(AK139&lt;&gt;1,0,IF(OR(AU139="",N(AU139)&lt;=0.000000001),"",IF(OR(AO139="",N(AO139)&lt;=0.000000001),0,IF(ISNUMBER(AU139),IFERROR(_xlfn.LET(_xlpm.ai_test,TRIM(AJ139),_xlpm.r,IFERROR(_xlfn.XLOOKUP(_xlpm.ai_test,$BJ$15:$BJ$62,ROW($BJ$15:$BJ$62),0,1),IFERROR(_xlfn.XLOOKUP(_xlpm.ai_test,$BK$15:$BK$62,ROW($BK$15:$BK$62),0,1),_xlfn.XLOOKUP(_xlpm.ai_test,$BL$15:$BL$62,ROW($BL$15:$BL$62),0,1))),_xlpm.p,_xlpm.r-MIN(ROW($BJ$15:$BJ$62))+1,_xlpm.f,INDEX($BM$15:$BM$62,_xlpm.p),_xlpm.u,INDEX($BN$15:$BN$62,_xlpm.p),_xlpm.s,INDEX($BP$15:$BP$62,_xlpm.p),_xlpm.q,N(AU139)/_xlpm.f,IF(_xlpm.q&gt;=_xlpm.s,ROUND(_xlpm.q,1)&amp;" "&amp;_xlpm.ai_test&amp;" = "&amp;ROUND(_xlpm.q*_xlpm.f,1)&amp;" "&amp;_xlpm.u,ROUND(_xlpm.q,1)&amp;" "&amp;_xlpm.ai_test)),""),""))))</f>
        <v>0</v>
      </c>
      <c r="AX139" s="6218"/>
      <c r="AY139" s="6272">
        <f t="shared" si="60"/>
        <v>0</v>
      </c>
      <c r="AZ139" s="6240" t="str">
        <f t="shared" si="61"/>
        <v/>
      </c>
      <c r="BA139" s="6195">
        <f t="shared" si="66"/>
        <v>0</v>
      </c>
      <c r="BB139" s="6193" t="str">
        <f t="shared" si="62"/>
        <v/>
      </c>
      <c r="BC139" s="6219"/>
      <c r="BD139" s="6222">
        <f t="shared" si="67"/>
        <v>0</v>
      </c>
      <c r="BE139" s="6220" t="str">
        <f t="shared" si="63"/>
        <v/>
      </c>
      <c r="BF139" s="4" t="s">
        <v>1</v>
      </c>
      <c r="BG139" s="6196">
        <f t="shared" si="64"/>
        <v>0</v>
      </c>
      <c r="BH139" s="6197">
        <f t="shared" si="65"/>
        <v>0</v>
      </c>
      <c r="BI139"/>
      <c r="BR139"/>
      <c r="BS139"/>
      <c r="BT139"/>
      <c r="BU139"/>
      <c r="BV139"/>
      <c r="BW139"/>
      <c r="BX139" s="20" t="str">
        <f t="shared" si="70"/>
        <v>►</v>
      </c>
      <c r="CD139" s="2"/>
      <c r="DC139" s="5">
        <v>1</v>
      </c>
    </row>
    <row r="140" spans="1:107" s="1" customFormat="1" ht="21" customHeight="1">
      <c r="A140" s="5641" t="s">
        <v>1</v>
      </c>
      <c r="B140" s="5662" t="str">
        <f t="shared" si="69"/>
        <v>►</v>
      </c>
      <c r="C140" s="5825" cm="1">
        <f t="array" ref="C140">SUMPRODUCT(LEN(D140:J140))</f>
        <v>0</v>
      </c>
      <c r="D140" s="5275"/>
      <c r="E140" s="1361"/>
      <c r="F140" s="1361"/>
      <c r="G140" s="1361"/>
      <c r="H140" s="1361"/>
      <c r="I140" s="1361"/>
      <c r="J140" s="5276"/>
      <c r="K140" s="106" t="s">
        <v>1</v>
      </c>
      <c r="L140" s="1021" t="s">
        <v>26</v>
      </c>
      <c r="M140" s="6787"/>
      <c r="N140" s="6787"/>
      <c r="O140" s="6787"/>
      <c r="P140" s="6788"/>
      <c r="Q140" s="6789"/>
      <c r="R140" s="6790"/>
      <c r="S140" s="6786"/>
      <c r="T140" s="6791"/>
      <c r="U140" s="6844"/>
      <c r="V140" s="6791"/>
      <c r="W140" s="8487"/>
      <c r="X140" s="6871"/>
      <c r="Y140" s="6793"/>
      <c r="Z140" s="6794"/>
      <c r="AA140" s="6795"/>
      <c r="AB140" s="6796"/>
      <c r="AC140" s="6797"/>
      <c r="AD140" s="6798"/>
      <c r="AE140" s="4" t="s">
        <v>1</v>
      </c>
      <c r="AF140" s="6202" t="str">
        <f t="shared" si="47"/>
        <v>►</v>
      </c>
      <c r="AG140" s="6234" t="str">
        <f t="shared" si="48"/>
        <v/>
      </c>
      <c r="AH140" s="6732" t="str">
        <f t="shared" si="49"/>
        <v/>
      </c>
      <c r="AI140" s="6234" t="str">
        <f t="shared" si="50"/>
        <v/>
      </c>
      <c r="AJ140" s="6732" t="str">
        <f t="shared" si="51"/>
        <v/>
      </c>
      <c r="AK140" s="6732">
        <f t="shared" si="52"/>
        <v>0</v>
      </c>
      <c r="AL140" s="6230" t="str" cm="1">
        <f t="array" ref="AL140">IF(AF140&lt;&gt;"A","",IFERROR((IFERROR(_xlfn.XLOOKUP(TRIM(SUBSTITUTE(U140,CHAR(160)," ")),$BJ$15:$BJ$62,$BM$15:$BM$62),IFERROR(_xlfn.XLOOKUP(TRIM(SUBSTITUTE(U140,CHAR(160)," ")),$BK$15:$BK$62,$BM$15:$BM$62),_xlfn.XLOOKUP(TRIM(SUBSTITUTE(U140,CHAR(160)," ")),$BL$15:$BL$62,$BM$15:$BM$62))))*T140*IF(ISBLANK(Q140),1,Q140)+IFERROR(_xlfn.XLOOKUP("RECHERCHEX",TRIM(L140:AD140),L140:AD140),0),0))</f>
        <v/>
      </c>
      <c r="AM140" s="6229">
        <f t="shared" si="53"/>
        <v>0</v>
      </c>
      <c r="AN140" s="6857" t="str">
        <f t="shared" si="68"/>
        <v/>
      </c>
      <c r="AO140" s="392">
        <f t="shared" si="54"/>
        <v>0</v>
      </c>
      <c r="AP140" s="392">
        <f t="shared" si="55"/>
        <v>0</v>
      </c>
      <c r="AQ140" s="6190">
        <f t="shared" si="56"/>
        <v>0</v>
      </c>
      <c r="AR140" s="6858" t="str">
        <f t="shared" si="57"/>
        <v/>
      </c>
      <c r="AS140" s="6217"/>
      <c r="AT140" s="6217"/>
      <c r="AU140" s="6271">
        <f t="shared" si="58"/>
        <v>0</v>
      </c>
      <c r="AV140" s="6242">
        <f t="shared" si="59"/>
        <v>0</v>
      </c>
      <c r="AW140" s="6188" cm="1">
        <f t="array" ref="AW140">IF(AK140&lt;&gt;1,0,IF(OR(AU140="",N(AU140)&lt;=0.000000001),"",IF(OR(AO140="",N(AO140)&lt;=0.000000001),0,IF(ISNUMBER(AU140),IFERROR(_xlfn.LET(_xlpm.ai_test,TRIM(AJ140),_xlpm.r,IFERROR(_xlfn.XLOOKUP(_xlpm.ai_test,$BJ$15:$BJ$62,ROW($BJ$15:$BJ$62),0,1),IFERROR(_xlfn.XLOOKUP(_xlpm.ai_test,$BK$15:$BK$62,ROW($BK$15:$BK$62),0,1),_xlfn.XLOOKUP(_xlpm.ai_test,$BL$15:$BL$62,ROW($BL$15:$BL$62),0,1))),_xlpm.p,_xlpm.r-MIN(ROW($BJ$15:$BJ$62))+1,_xlpm.f,INDEX($BM$15:$BM$62,_xlpm.p),_xlpm.u,INDEX($BN$15:$BN$62,_xlpm.p),_xlpm.s,INDEX($BP$15:$BP$62,_xlpm.p),_xlpm.q,N(AU140)/_xlpm.f,IF(_xlpm.q&gt;=_xlpm.s,ROUND(_xlpm.q,1)&amp;" "&amp;_xlpm.ai_test&amp;" = "&amp;ROUND(_xlpm.q*_xlpm.f,1)&amp;" "&amp;_xlpm.u,ROUND(_xlpm.q,1)&amp;" "&amp;_xlpm.ai_test)),""),""))))</f>
        <v>0</v>
      </c>
      <c r="AX140" s="6218"/>
      <c r="AY140" s="6271">
        <f t="shared" si="60"/>
        <v>0</v>
      </c>
      <c r="AZ140" s="6242" t="str">
        <f t="shared" si="61"/>
        <v/>
      </c>
      <c r="BA140" s="6194">
        <f t="shared" si="66"/>
        <v>0</v>
      </c>
      <c r="BB140" s="6192" t="str">
        <f t="shared" si="62"/>
        <v/>
      </c>
      <c r="BC140" s="6219"/>
      <c r="BD140" s="6221">
        <f t="shared" si="67"/>
        <v>0</v>
      </c>
      <c r="BE140" s="6220" t="str">
        <f t="shared" si="63"/>
        <v/>
      </c>
      <c r="BF140" s="4" t="s">
        <v>1</v>
      </c>
      <c r="BG140" s="6196">
        <f t="shared" si="64"/>
        <v>0</v>
      </c>
      <c r="BH140" s="6197">
        <f t="shared" si="65"/>
        <v>0</v>
      </c>
      <c r="BI140"/>
      <c r="BR140"/>
      <c r="BS140"/>
      <c r="BT140"/>
      <c r="BU140"/>
      <c r="BV140"/>
      <c r="BW140"/>
      <c r="BX140" s="20" t="str">
        <f t="shared" si="70"/>
        <v>►</v>
      </c>
      <c r="CD140" s="2"/>
      <c r="DC140" s="5">
        <v>1</v>
      </c>
    </row>
    <row r="141" spans="1:107" s="1" customFormat="1" ht="21" customHeight="1">
      <c r="A141" s="5641" t="s">
        <v>1</v>
      </c>
      <c r="B141" s="5662" t="str">
        <f t="shared" si="69"/>
        <v>►</v>
      </c>
      <c r="C141" s="5825" cm="1">
        <f t="array" ref="C141">SUMPRODUCT(LEN(D141:J141))</f>
        <v>0</v>
      </c>
      <c r="D141" s="5275"/>
      <c r="E141" s="1361"/>
      <c r="F141" s="1361"/>
      <c r="G141" s="1361"/>
      <c r="H141" s="1361"/>
      <c r="I141" s="1361"/>
      <c r="J141" s="5276"/>
      <c r="K141" s="106"/>
      <c r="L141" s="1021" t="s">
        <v>26</v>
      </c>
      <c r="M141" s="6787"/>
      <c r="N141" s="6787"/>
      <c r="O141" s="6787"/>
      <c r="P141" s="6788"/>
      <c r="Q141" s="6789"/>
      <c r="R141" s="6790"/>
      <c r="S141" s="6786"/>
      <c r="T141" s="6791"/>
      <c r="U141" s="6844"/>
      <c r="V141" s="6791"/>
      <c r="W141" s="8487"/>
      <c r="X141" s="6871"/>
      <c r="Y141" s="6793"/>
      <c r="Z141" s="6794"/>
      <c r="AA141" s="6795"/>
      <c r="AB141" s="6796"/>
      <c r="AC141" s="6797"/>
      <c r="AD141" s="6798"/>
      <c r="AE141" s="4" t="s">
        <v>1</v>
      </c>
      <c r="AF141" s="6202" t="str">
        <f t="shared" si="47"/>
        <v>►</v>
      </c>
      <c r="AG141" s="6234" t="str">
        <f t="shared" si="48"/>
        <v/>
      </c>
      <c r="AH141" s="6732" t="str">
        <f t="shared" si="49"/>
        <v/>
      </c>
      <c r="AI141" s="6234" t="str">
        <f t="shared" si="50"/>
        <v/>
      </c>
      <c r="AJ141" s="6732" t="str">
        <f t="shared" si="51"/>
        <v/>
      </c>
      <c r="AK141" s="6732">
        <f t="shared" si="52"/>
        <v>0</v>
      </c>
      <c r="AL141" s="6230" t="str" cm="1">
        <f t="array" ref="AL141">IF(AF141&lt;&gt;"A","",IFERROR((IFERROR(_xlfn.XLOOKUP(TRIM(SUBSTITUTE(U141,CHAR(160)," ")),$BJ$15:$BJ$62,$BM$15:$BM$62),IFERROR(_xlfn.XLOOKUP(TRIM(SUBSTITUTE(U141,CHAR(160)," ")),$BK$15:$BK$62,$BM$15:$BM$62),_xlfn.XLOOKUP(TRIM(SUBSTITUTE(U141,CHAR(160)," ")),$BL$15:$BL$62,$BM$15:$BM$62))))*T141*IF(ISBLANK(Q141),1,Q141)+IFERROR(_xlfn.XLOOKUP("RECHERCHEX",TRIM(L141:AD141),L141:AD141),0),0))</f>
        <v/>
      </c>
      <c r="AM141" s="6229">
        <f t="shared" si="53"/>
        <v>0</v>
      </c>
      <c r="AN141" s="6857" t="str">
        <f t="shared" si="68"/>
        <v/>
      </c>
      <c r="AO141" s="392">
        <f t="shared" si="54"/>
        <v>0</v>
      </c>
      <c r="AP141" s="392">
        <f t="shared" si="55"/>
        <v>0</v>
      </c>
      <c r="AQ141" s="6191">
        <f t="shared" si="56"/>
        <v>0</v>
      </c>
      <c r="AR141" s="6859" t="str">
        <f t="shared" si="57"/>
        <v/>
      </c>
      <c r="AS141" s="6217"/>
      <c r="AT141" s="6217"/>
      <c r="AU141" s="6272">
        <f t="shared" si="58"/>
        <v>0</v>
      </c>
      <c r="AV141" s="6240">
        <f t="shared" si="59"/>
        <v>0</v>
      </c>
      <c r="AW141" s="6189" cm="1">
        <f t="array" ref="AW141">IF(AK141&lt;&gt;1,0,IF(OR(AU141="",N(AU141)&lt;=0.000000001),"",IF(OR(AO141="",N(AO141)&lt;=0.000000001),0,IF(ISNUMBER(AU141),IFERROR(_xlfn.LET(_xlpm.ai_test,TRIM(AJ141),_xlpm.r,IFERROR(_xlfn.XLOOKUP(_xlpm.ai_test,$BJ$15:$BJ$62,ROW($BJ$15:$BJ$62),0,1),IFERROR(_xlfn.XLOOKUP(_xlpm.ai_test,$BK$15:$BK$62,ROW($BK$15:$BK$62),0,1),_xlfn.XLOOKUP(_xlpm.ai_test,$BL$15:$BL$62,ROW($BL$15:$BL$62),0,1))),_xlpm.p,_xlpm.r-MIN(ROW($BJ$15:$BJ$62))+1,_xlpm.f,INDEX($BM$15:$BM$62,_xlpm.p),_xlpm.u,INDEX($BN$15:$BN$62,_xlpm.p),_xlpm.s,INDEX($BP$15:$BP$62,_xlpm.p),_xlpm.q,N(AU141)/_xlpm.f,IF(_xlpm.q&gt;=_xlpm.s,ROUND(_xlpm.q,1)&amp;" "&amp;_xlpm.ai_test&amp;" = "&amp;ROUND(_xlpm.q*_xlpm.f,1)&amp;" "&amp;_xlpm.u,ROUND(_xlpm.q,1)&amp;" "&amp;_xlpm.ai_test)),""),""))))</f>
        <v>0</v>
      </c>
      <c r="AX141" s="6218"/>
      <c r="AY141" s="6272">
        <f t="shared" si="60"/>
        <v>0</v>
      </c>
      <c r="AZ141" s="6240" t="str">
        <f t="shared" si="61"/>
        <v/>
      </c>
      <c r="BA141" s="6195">
        <f t="shared" si="66"/>
        <v>0</v>
      </c>
      <c r="BB141" s="6193" t="str">
        <f t="shared" si="62"/>
        <v/>
      </c>
      <c r="BC141" s="6219"/>
      <c r="BD141" s="6222">
        <f t="shared" si="67"/>
        <v>0</v>
      </c>
      <c r="BE141" s="6220" t="str">
        <f t="shared" si="63"/>
        <v/>
      </c>
      <c r="BF141" s="4" t="s">
        <v>1</v>
      </c>
      <c r="BG141" s="6196">
        <f t="shared" si="64"/>
        <v>0</v>
      </c>
      <c r="BH141" s="6197">
        <f t="shared" si="65"/>
        <v>0</v>
      </c>
      <c r="BI141"/>
      <c r="BR141"/>
      <c r="BS141"/>
      <c r="BT141"/>
      <c r="BU141"/>
      <c r="BV141"/>
      <c r="BW141"/>
      <c r="BX141" s="20" t="str">
        <f t="shared" si="70"/>
        <v>►</v>
      </c>
      <c r="CD141" s="2"/>
      <c r="DC141" s="5">
        <v>1</v>
      </c>
    </row>
    <row r="142" spans="1:107" s="1" customFormat="1" ht="21" customHeight="1">
      <c r="A142" s="5641" t="s">
        <v>1</v>
      </c>
      <c r="B142" s="5662" t="str">
        <f t="shared" si="69"/>
        <v>►</v>
      </c>
      <c r="C142" s="5825" cm="1">
        <f t="array" ref="C142">SUMPRODUCT(LEN(D142:J142))</f>
        <v>0</v>
      </c>
      <c r="D142" s="5275"/>
      <c r="E142" s="1361"/>
      <c r="F142" s="1361"/>
      <c r="G142" s="1361"/>
      <c r="H142" s="1361"/>
      <c r="I142" s="1361"/>
      <c r="J142" s="5276"/>
      <c r="K142" s="106"/>
      <c r="L142" s="1021" t="s">
        <v>26</v>
      </c>
      <c r="M142" s="6787"/>
      <c r="N142" s="6787"/>
      <c r="O142" s="6787"/>
      <c r="P142" s="6788"/>
      <c r="Q142" s="6789"/>
      <c r="R142" s="6790"/>
      <c r="S142" s="6786"/>
      <c r="T142" s="6791"/>
      <c r="U142" s="6844"/>
      <c r="V142" s="6791"/>
      <c r="W142" s="8487"/>
      <c r="X142" s="6871"/>
      <c r="Y142" s="6793"/>
      <c r="Z142" s="6794"/>
      <c r="AA142" s="6795"/>
      <c r="AB142" s="6796"/>
      <c r="AC142" s="6797"/>
      <c r="AD142" s="6798"/>
      <c r="AE142" s="4" t="s">
        <v>1</v>
      </c>
      <c r="AF142" s="6202" t="str">
        <f t="shared" si="47"/>
        <v>►</v>
      </c>
      <c r="AG142" s="6234" t="str">
        <f t="shared" si="48"/>
        <v/>
      </c>
      <c r="AH142" s="6732" t="str">
        <f t="shared" si="49"/>
        <v/>
      </c>
      <c r="AI142" s="6234" t="str">
        <f t="shared" si="50"/>
        <v/>
      </c>
      <c r="AJ142" s="6732" t="str">
        <f t="shared" si="51"/>
        <v/>
      </c>
      <c r="AK142" s="6732">
        <f t="shared" si="52"/>
        <v>0</v>
      </c>
      <c r="AL142" s="6230" t="str" cm="1">
        <f t="array" ref="AL142">IF(AF142&lt;&gt;"A","",IFERROR((IFERROR(_xlfn.XLOOKUP(TRIM(SUBSTITUTE(U142,CHAR(160)," ")),$BJ$15:$BJ$62,$BM$15:$BM$62),IFERROR(_xlfn.XLOOKUP(TRIM(SUBSTITUTE(U142,CHAR(160)," ")),$BK$15:$BK$62,$BM$15:$BM$62),_xlfn.XLOOKUP(TRIM(SUBSTITUTE(U142,CHAR(160)," ")),$BL$15:$BL$62,$BM$15:$BM$62))))*T142*IF(ISBLANK(Q142),1,Q142)+IFERROR(_xlfn.XLOOKUP("RECHERCHEX",TRIM(L142:AD142),L142:AD142),0),0))</f>
        <v/>
      </c>
      <c r="AM142" s="6229">
        <f t="shared" si="53"/>
        <v>0</v>
      </c>
      <c r="AN142" s="6857" t="str">
        <f t="shared" si="68"/>
        <v/>
      </c>
      <c r="AO142" s="392">
        <f t="shared" si="54"/>
        <v>0</v>
      </c>
      <c r="AP142" s="392">
        <f t="shared" si="55"/>
        <v>0</v>
      </c>
      <c r="AQ142" s="6190">
        <f t="shared" si="56"/>
        <v>0</v>
      </c>
      <c r="AR142" s="6858" t="str">
        <f t="shared" si="57"/>
        <v/>
      </c>
      <c r="AS142" s="6217"/>
      <c r="AT142" s="6217"/>
      <c r="AU142" s="6271">
        <f t="shared" si="58"/>
        <v>0</v>
      </c>
      <c r="AV142" s="6242">
        <f t="shared" si="59"/>
        <v>0</v>
      </c>
      <c r="AW142" s="6188" cm="1">
        <f t="array" ref="AW142">IF(AK142&lt;&gt;1,0,IF(OR(AU142="",N(AU142)&lt;=0.000000001),"",IF(OR(AO142="",N(AO142)&lt;=0.000000001),0,IF(ISNUMBER(AU142),IFERROR(_xlfn.LET(_xlpm.ai_test,TRIM(AJ142),_xlpm.r,IFERROR(_xlfn.XLOOKUP(_xlpm.ai_test,$BJ$15:$BJ$62,ROW($BJ$15:$BJ$62),0,1),IFERROR(_xlfn.XLOOKUP(_xlpm.ai_test,$BK$15:$BK$62,ROW($BK$15:$BK$62),0,1),_xlfn.XLOOKUP(_xlpm.ai_test,$BL$15:$BL$62,ROW($BL$15:$BL$62),0,1))),_xlpm.p,_xlpm.r-MIN(ROW($BJ$15:$BJ$62))+1,_xlpm.f,INDEX($BM$15:$BM$62,_xlpm.p),_xlpm.u,INDEX($BN$15:$BN$62,_xlpm.p),_xlpm.s,INDEX($BP$15:$BP$62,_xlpm.p),_xlpm.q,N(AU142)/_xlpm.f,IF(_xlpm.q&gt;=_xlpm.s,ROUND(_xlpm.q,1)&amp;" "&amp;_xlpm.ai_test&amp;" = "&amp;ROUND(_xlpm.q*_xlpm.f,1)&amp;" "&amp;_xlpm.u,ROUND(_xlpm.q,1)&amp;" "&amp;_xlpm.ai_test)),""),""))))</f>
        <v>0</v>
      </c>
      <c r="AX142" s="6218"/>
      <c r="AY142" s="6271">
        <f t="shared" si="60"/>
        <v>0</v>
      </c>
      <c r="AZ142" s="6242" t="str">
        <f t="shared" si="61"/>
        <v/>
      </c>
      <c r="BA142" s="6194">
        <f t="shared" si="66"/>
        <v>0</v>
      </c>
      <c r="BB142" s="6192" t="str">
        <f t="shared" si="62"/>
        <v/>
      </c>
      <c r="BC142" s="6219"/>
      <c r="BD142" s="6221">
        <f t="shared" si="67"/>
        <v>0</v>
      </c>
      <c r="BE142" s="6220" t="str">
        <f t="shared" si="63"/>
        <v/>
      </c>
      <c r="BF142" s="4" t="s">
        <v>1</v>
      </c>
      <c r="BG142" s="6196">
        <f t="shared" si="64"/>
        <v>0</v>
      </c>
      <c r="BH142" s="6197">
        <f t="shared" si="65"/>
        <v>0</v>
      </c>
      <c r="BI142"/>
      <c r="BR142"/>
      <c r="BS142"/>
      <c r="BT142"/>
      <c r="BU142"/>
      <c r="BV142"/>
      <c r="BW142"/>
      <c r="BX142" s="20" t="str">
        <f t="shared" si="70"/>
        <v>►</v>
      </c>
      <c r="CD142" s="2"/>
      <c r="DC142" s="5">
        <v>1</v>
      </c>
    </row>
    <row r="143" spans="1:107" s="1" customFormat="1" ht="21" customHeight="1">
      <c r="A143" s="5641" t="s">
        <v>1</v>
      </c>
      <c r="B143" s="5662" t="str">
        <f t="shared" si="69"/>
        <v>►</v>
      </c>
      <c r="C143" s="5825" cm="1">
        <f t="array" ref="C143">SUMPRODUCT(LEN(D143:J143))</f>
        <v>0</v>
      </c>
      <c r="D143" s="5275"/>
      <c r="E143" s="1361"/>
      <c r="F143" s="1361"/>
      <c r="G143" s="1361"/>
      <c r="H143" s="1361"/>
      <c r="I143" s="1361"/>
      <c r="J143" s="5276"/>
      <c r="K143" s="106"/>
      <c r="L143" s="1021" t="s">
        <v>26</v>
      </c>
      <c r="M143" s="6787"/>
      <c r="N143" s="6787"/>
      <c r="O143" s="6787"/>
      <c r="P143" s="6788"/>
      <c r="Q143" s="6789"/>
      <c r="R143" s="6790"/>
      <c r="S143" s="6786"/>
      <c r="T143" s="6791"/>
      <c r="U143" s="6844"/>
      <c r="V143" s="6791"/>
      <c r="W143" s="8487"/>
      <c r="X143" s="6871"/>
      <c r="Y143" s="6793"/>
      <c r="Z143" s="6794"/>
      <c r="AA143" s="6795"/>
      <c r="AB143" s="6796"/>
      <c r="AC143" s="6797"/>
      <c r="AD143" s="6798"/>
      <c r="AE143" s="4" t="s">
        <v>1</v>
      </c>
      <c r="AF143" s="6202" t="str">
        <f t="shared" si="47"/>
        <v>►</v>
      </c>
      <c r="AG143" s="6234" t="str">
        <f t="shared" si="48"/>
        <v/>
      </c>
      <c r="AH143" s="6732" t="str">
        <f t="shared" si="49"/>
        <v/>
      </c>
      <c r="AI143" s="6234" t="str">
        <f t="shared" si="50"/>
        <v/>
      </c>
      <c r="AJ143" s="6732" t="str">
        <f t="shared" si="51"/>
        <v/>
      </c>
      <c r="AK143" s="6732">
        <f t="shared" si="52"/>
        <v>0</v>
      </c>
      <c r="AL143" s="6230" t="str" cm="1">
        <f t="array" ref="AL143">IF(AF143&lt;&gt;"A","",IFERROR((IFERROR(_xlfn.XLOOKUP(TRIM(SUBSTITUTE(U143,CHAR(160)," ")),$BJ$15:$BJ$62,$BM$15:$BM$62),IFERROR(_xlfn.XLOOKUP(TRIM(SUBSTITUTE(U143,CHAR(160)," ")),$BK$15:$BK$62,$BM$15:$BM$62),_xlfn.XLOOKUP(TRIM(SUBSTITUTE(U143,CHAR(160)," ")),$BL$15:$BL$62,$BM$15:$BM$62))))*T143*IF(ISBLANK(Q143),1,Q143)+IFERROR(_xlfn.XLOOKUP("RECHERCHEX",TRIM(L143:AD143),L143:AD143),0),0))</f>
        <v/>
      </c>
      <c r="AM143" s="6229">
        <f t="shared" si="53"/>
        <v>0</v>
      </c>
      <c r="AN143" s="6857" t="str">
        <f t="shared" si="68"/>
        <v/>
      </c>
      <c r="AO143" s="392">
        <f t="shared" si="54"/>
        <v>0</v>
      </c>
      <c r="AP143" s="392">
        <f t="shared" si="55"/>
        <v>0</v>
      </c>
      <c r="AQ143" s="6191">
        <f t="shared" si="56"/>
        <v>0</v>
      </c>
      <c r="AR143" s="6859" t="str">
        <f t="shared" si="57"/>
        <v/>
      </c>
      <c r="AS143" s="6217"/>
      <c r="AT143" s="6217"/>
      <c r="AU143" s="6272">
        <f t="shared" si="58"/>
        <v>0</v>
      </c>
      <c r="AV143" s="6240">
        <f t="shared" si="59"/>
        <v>0</v>
      </c>
      <c r="AW143" s="6189" cm="1">
        <f t="array" ref="AW143">IF(AK143&lt;&gt;1,0,IF(OR(AU143="",N(AU143)&lt;=0.000000001),"",IF(OR(AO143="",N(AO143)&lt;=0.000000001),0,IF(ISNUMBER(AU143),IFERROR(_xlfn.LET(_xlpm.ai_test,TRIM(AJ143),_xlpm.r,IFERROR(_xlfn.XLOOKUP(_xlpm.ai_test,$BJ$15:$BJ$62,ROW($BJ$15:$BJ$62),0,1),IFERROR(_xlfn.XLOOKUP(_xlpm.ai_test,$BK$15:$BK$62,ROW($BK$15:$BK$62),0,1),_xlfn.XLOOKUP(_xlpm.ai_test,$BL$15:$BL$62,ROW($BL$15:$BL$62),0,1))),_xlpm.p,_xlpm.r-MIN(ROW($BJ$15:$BJ$62))+1,_xlpm.f,INDEX($BM$15:$BM$62,_xlpm.p),_xlpm.u,INDEX($BN$15:$BN$62,_xlpm.p),_xlpm.s,INDEX($BP$15:$BP$62,_xlpm.p),_xlpm.q,N(AU143)/_xlpm.f,IF(_xlpm.q&gt;=_xlpm.s,ROUND(_xlpm.q,1)&amp;" "&amp;_xlpm.ai_test&amp;" = "&amp;ROUND(_xlpm.q*_xlpm.f,1)&amp;" "&amp;_xlpm.u,ROUND(_xlpm.q,1)&amp;" "&amp;_xlpm.ai_test)),""),""))))</f>
        <v>0</v>
      </c>
      <c r="AX143" s="6218"/>
      <c r="AY143" s="6272">
        <f t="shared" si="60"/>
        <v>0</v>
      </c>
      <c r="AZ143" s="6240" t="str">
        <f t="shared" si="61"/>
        <v/>
      </c>
      <c r="BA143" s="6195">
        <f t="shared" si="66"/>
        <v>0</v>
      </c>
      <c r="BB143" s="6193" t="str">
        <f t="shared" si="62"/>
        <v/>
      </c>
      <c r="BC143" s="6219"/>
      <c r="BD143" s="6222">
        <f t="shared" si="67"/>
        <v>0</v>
      </c>
      <c r="BE143" s="6220" t="str">
        <f t="shared" si="63"/>
        <v/>
      </c>
      <c r="BF143" s="4" t="s">
        <v>1</v>
      </c>
      <c r="BG143" s="6196">
        <f t="shared" si="64"/>
        <v>0</v>
      </c>
      <c r="BH143" s="6197">
        <f t="shared" si="65"/>
        <v>0</v>
      </c>
      <c r="BI143"/>
      <c r="BR143"/>
      <c r="BS143"/>
      <c r="BT143"/>
      <c r="BU143"/>
      <c r="BV143"/>
      <c r="BW143"/>
      <c r="BX143" s="20" t="str">
        <f t="shared" si="70"/>
        <v>►</v>
      </c>
      <c r="CD143" s="2"/>
      <c r="DC143" s="5">
        <v>1</v>
      </c>
    </row>
    <row r="144" spans="1:107" s="1" customFormat="1" ht="21" customHeight="1">
      <c r="A144" s="5641" t="s">
        <v>1</v>
      </c>
      <c r="B144" s="5662" t="str">
        <f t="shared" si="69"/>
        <v>►</v>
      </c>
      <c r="C144" s="5825" cm="1">
        <f t="array" ref="C144">SUMPRODUCT(LEN(D144:J144))</f>
        <v>0</v>
      </c>
      <c r="D144" s="5275"/>
      <c r="E144" s="1361"/>
      <c r="F144" s="1361"/>
      <c r="G144" s="1361"/>
      <c r="H144" s="1361"/>
      <c r="I144" s="1361"/>
      <c r="J144" s="5276"/>
      <c r="K144" s="106"/>
      <c r="L144" s="1021" t="s">
        <v>26</v>
      </c>
      <c r="M144" s="6787"/>
      <c r="N144" s="6787"/>
      <c r="O144" s="6787"/>
      <c r="P144" s="6788"/>
      <c r="Q144" s="6789"/>
      <c r="R144" s="6790"/>
      <c r="S144" s="6786"/>
      <c r="T144" s="6791"/>
      <c r="U144" s="6844"/>
      <c r="V144" s="6791"/>
      <c r="W144" s="8487"/>
      <c r="X144" s="6871"/>
      <c r="Y144" s="6793"/>
      <c r="Z144" s="6794"/>
      <c r="AA144" s="6795"/>
      <c r="AB144" s="6796"/>
      <c r="AC144" s="6797"/>
      <c r="AD144" s="6798"/>
      <c r="AE144" s="4" t="s">
        <v>1</v>
      </c>
      <c r="AF144" s="6202" t="str">
        <f t="shared" si="47"/>
        <v>►</v>
      </c>
      <c r="AG144" s="6234" t="str">
        <f t="shared" si="48"/>
        <v/>
      </c>
      <c r="AH144" s="6732" t="str">
        <f t="shared" si="49"/>
        <v/>
      </c>
      <c r="AI144" s="6234" t="str">
        <f t="shared" si="50"/>
        <v/>
      </c>
      <c r="AJ144" s="6732" t="str">
        <f t="shared" si="51"/>
        <v/>
      </c>
      <c r="AK144" s="6732">
        <f t="shared" si="52"/>
        <v>0</v>
      </c>
      <c r="AL144" s="6230" t="str" cm="1">
        <f t="array" ref="AL144">IF(AF144&lt;&gt;"A","",IFERROR((IFERROR(_xlfn.XLOOKUP(TRIM(SUBSTITUTE(U144,CHAR(160)," ")),$BJ$15:$BJ$62,$BM$15:$BM$62),IFERROR(_xlfn.XLOOKUP(TRIM(SUBSTITUTE(U144,CHAR(160)," ")),$BK$15:$BK$62,$BM$15:$BM$62),_xlfn.XLOOKUP(TRIM(SUBSTITUTE(U144,CHAR(160)," ")),$BL$15:$BL$62,$BM$15:$BM$62))))*T144*IF(ISBLANK(Q144),1,Q144)+IFERROR(_xlfn.XLOOKUP("RECHERCHEX",TRIM(L144:AD144),L144:AD144),0),0))</f>
        <v/>
      </c>
      <c r="AM144" s="6229">
        <f t="shared" si="53"/>
        <v>0</v>
      </c>
      <c r="AN144" s="6857" t="str">
        <f t="shared" si="68"/>
        <v/>
      </c>
      <c r="AO144" s="392">
        <f t="shared" si="54"/>
        <v>0</v>
      </c>
      <c r="AP144" s="392">
        <f t="shared" si="55"/>
        <v>0</v>
      </c>
      <c r="AQ144" s="6190">
        <f t="shared" si="56"/>
        <v>0</v>
      </c>
      <c r="AR144" s="6858" t="str">
        <f t="shared" si="57"/>
        <v/>
      </c>
      <c r="AS144" s="6217"/>
      <c r="AT144" s="6217"/>
      <c r="AU144" s="6271">
        <f t="shared" si="58"/>
        <v>0</v>
      </c>
      <c r="AV144" s="6242">
        <f t="shared" si="59"/>
        <v>0</v>
      </c>
      <c r="AW144" s="6188" cm="1">
        <f t="array" ref="AW144">IF(AK144&lt;&gt;1,0,IF(OR(AU144="",N(AU144)&lt;=0.000000001),"",IF(OR(AO144="",N(AO144)&lt;=0.000000001),0,IF(ISNUMBER(AU144),IFERROR(_xlfn.LET(_xlpm.ai_test,TRIM(AJ144),_xlpm.r,IFERROR(_xlfn.XLOOKUP(_xlpm.ai_test,$BJ$15:$BJ$62,ROW($BJ$15:$BJ$62),0,1),IFERROR(_xlfn.XLOOKUP(_xlpm.ai_test,$BK$15:$BK$62,ROW($BK$15:$BK$62),0,1),_xlfn.XLOOKUP(_xlpm.ai_test,$BL$15:$BL$62,ROW($BL$15:$BL$62),0,1))),_xlpm.p,_xlpm.r-MIN(ROW($BJ$15:$BJ$62))+1,_xlpm.f,INDEX($BM$15:$BM$62,_xlpm.p),_xlpm.u,INDEX($BN$15:$BN$62,_xlpm.p),_xlpm.s,INDEX($BP$15:$BP$62,_xlpm.p),_xlpm.q,N(AU144)/_xlpm.f,IF(_xlpm.q&gt;=_xlpm.s,ROUND(_xlpm.q,1)&amp;" "&amp;_xlpm.ai_test&amp;" = "&amp;ROUND(_xlpm.q*_xlpm.f,1)&amp;" "&amp;_xlpm.u,ROUND(_xlpm.q,1)&amp;" "&amp;_xlpm.ai_test)),""),""))))</f>
        <v>0</v>
      </c>
      <c r="AX144" s="6218"/>
      <c r="AY144" s="6271">
        <f t="shared" si="60"/>
        <v>0</v>
      </c>
      <c r="AZ144" s="6242" t="str">
        <f t="shared" si="61"/>
        <v/>
      </c>
      <c r="BA144" s="6194">
        <f t="shared" si="66"/>
        <v>0</v>
      </c>
      <c r="BB144" s="6192" t="str">
        <f t="shared" si="62"/>
        <v/>
      </c>
      <c r="BC144" s="6219"/>
      <c r="BD144" s="6221">
        <f t="shared" si="67"/>
        <v>0</v>
      </c>
      <c r="BE144" s="6220" t="str">
        <f t="shared" si="63"/>
        <v/>
      </c>
      <c r="BF144" s="4" t="s">
        <v>1</v>
      </c>
      <c r="BG144" s="6196">
        <f t="shared" si="64"/>
        <v>0</v>
      </c>
      <c r="BH144" s="6197">
        <f t="shared" si="65"/>
        <v>0</v>
      </c>
      <c r="BI144"/>
      <c r="BR144"/>
      <c r="BS144"/>
      <c r="BT144"/>
      <c r="BU144"/>
      <c r="BV144"/>
      <c r="BW144"/>
      <c r="BX144" s="20" t="str">
        <f t="shared" si="70"/>
        <v>►</v>
      </c>
      <c r="CD144" s="2"/>
      <c r="DC144" s="5">
        <v>1</v>
      </c>
    </row>
    <row r="145" spans="1:107" s="1" customFormat="1" ht="21" customHeight="1">
      <c r="A145" s="5641" t="s">
        <v>1</v>
      </c>
      <c r="B145" s="5662" t="str">
        <f t="shared" si="69"/>
        <v>►</v>
      </c>
      <c r="C145" s="5825" cm="1">
        <f t="array" ref="C145">SUMPRODUCT(LEN(D145:J145))</f>
        <v>0</v>
      </c>
      <c r="D145" s="5275"/>
      <c r="E145" s="1361"/>
      <c r="F145" s="1361"/>
      <c r="G145" s="1361"/>
      <c r="H145" s="1361"/>
      <c r="I145" s="1361"/>
      <c r="J145" s="5276"/>
      <c r="K145" s="106"/>
      <c r="L145" s="1021" t="s">
        <v>26</v>
      </c>
      <c r="M145" s="6787"/>
      <c r="N145" s="6787"/>
      <c r="O145" s="6787"/>
      <c r="P145" s="6788"/>
      <c r="Q145" s="6789"/>
      <c r="R145" s="6790"/>
      <c r="S145" s="6786"/>
      <c r="T145" s="6791"/>
      <c r="U145" s="6844"/>
      <c r="V145" s="6791"/>
      <c r="W145" s="8487"/>
      <c r="X145" s="6871"/>
      <c r="Y145" s="6793"/>
      <c r="Z145" s="6794"/>
      <c r="AA145" s="6795"/>
      <c r="AB145" s="6796"/>
      <c r="AC145" s="6797"/>
      <c r="AD145" s="6798"/>
      <c r="AE145" s="4" t="s">
        <v>1</v>
      </c>
      <c r="AF145" s="6202" t="str">
        <f t="shared" si="47"/>
        <v>►</v>
      </c>
      <c r="AG145" s="6234" t="str">
        <f t="shared" si="48"/>
        <v/>
      </c>
      <c r="AH145" s="6732" t="str">
        <f t="shared" si="49"/>
        <v/>
      </c>
      <c r="AI145" s="6234" t="str">
        <f t="shared" si="50"/>
        <v/>
      </c>
      <c r="AJ145" s="6732" t="str">
        <f t="shared" si="51"/>
        <v/>
      </c>
      <c r="AK145" s="6732">
        <f t="shared" si="52"/>
        <v>0</v>
      </c>
      <c r="AL145" s="6230" t="str" cm="1">
        <f t="array" ref="AL145">IF(AF145&lt;&gt;"A","",IFERROR((IFERROR(_xlfn.XLOOKUP(TRIM(SUBSTITUTE(U145,CHAR(160)," ")),$BJ$15:$BJ$62,$BM$15:$BM$62),IFERROR(_xlfn.XLOOKUP(TRIM(SUBSTITUTE(U145,CHAR(160)," ")),$BK$15:$BK$62,$BM$15:$BM$62),_xlfn.XLOOKUP(TRIM(SUBSTITUTE(U145,CHAR(160)," ")),$BL$15:$BL$62,$BM$15:$BM$62))))*T145*IF(ISBLANK(Q145),1,Q145)+IFERROR(_xlfn.XLOOKUP("RECHERCHEX",TRIM(L145:AD145),L145:AD145),0),0))</f>
        <v/>
      </c>
      <c r="AM145" s="6229">
        <f t="shared" si="53"/>
        <v>0</v>
      </c>
      <c r="AN145" s="6857" t="str">
        <f t="shared" si="68"/>
        <v/>
      </c>
      <c r="AO145" s="392">
        <f t="shared" si="54"/>
        <v>0</v>
      </c>
      <c r="AP145" s="392">
        <f t="shared" si="55"/>
        <v>0</v>
      </c>
      <c r="AQ145" s="6191">
        <f t="shared" si="56"/>
        <v>0</v>
      </c>
      <c r="AR145" s="6859" t="str">
        <f t="shared" si="57"/>
        <v/>
      </c>
      <c r="AS145" s="6217"/>
      <c r="AT145" s="6217"/>
      <c r="AU145" s="6272">
        <f t="shared" si="58"/>
        <v>0</v>
      </c>
      <c r="AV145" s="6240">
        <f t="shared" si="59"/>
        <v>0</v>
      </c>
      <c r="AW145" s="6189" cm="1">
        <f t="array" ref="AW145">IF(AK145&lt;&gt;1,0,IF(OR(AU145="",N(AU145)&lt;=0.000000001),"",IF(OR(AO145="",N(AO145)&lt;=0.000000001),0,IF(ISNUMBER(AU145),IFERROR(_xlfn.LET(_xlpm.ai_test,TRIM(AJ145),_xlpm.r,IFERROR(_xlfn.XLOOKUP(_xlpm.ai_test,$BJ$15:$BJ$62,ROW($BJ$15:$BJ$62),0,1),IFERROR(_xlfn.XLOOKUP(_xlpm.ai_test,$BK$15:$BK$62,ROW($BK$15:$BK$62),0,1),_xlfn.XLOOKUP(_xlpm.ai_test,$BL$15:$BL$62,ROW($BL$15:$BL$62),0,1))),_xlpm.p,_xlpm.r-MIN(ROW($BJ$15:$BJ$62))+1,_xlpm.f,INDEX($BM$15:$BM$62,_xlpm.p),_xlpm.u,INDEX($BN$15:$BN$62,_xlpm.p),_xlpm.s,INDEX($BP$15:$BP$62,_xlpm.p),_xlpm.q,N(AU145)/_xlpm.f,IF(_xlpm.q&gt;=_xlpm.s,ROUND(_xlpm.q,1)&amp;" "&amp;_xlpm.ai_test&amp;" = "&amp;ROUND(_xlpm.q*_xlpm.f,1)&amp;" "&amp;_xlpm.u,ROUND(_xlpm.q,1)&amp;" "&amp;_xlpm.ai_test)),""),""))))</f>
        <v>0</v>
      </c>
      <c r="AX145" s="6218"/>
      <c r="AY145" s="6272">
        <f t="shared" si="60"/>
        <v>0</v>
      </c>
      <c r="AZ145" s="6240" t="str">
        <f t="shared" si="61"/>
        <v/>
      </c>
      <c r="BA145" s="6195">
        <f t="shared" si="66"/>
        <v>0</v>
      </c>
      <c r="BB145" s="6193" t="str">
        <f t="shared" si="62"/>
        <v/>
      </c>
      <c r="BC145" s="6219"/>
      <c r="BD145" s="6222">
        <f t="shared" si="67"/>
        <v>0</v>
      </c>
      <c r="BE145" s="6220" t="str">
        <f t="shared" si="63"/>
        <v/>
      </c>
      <c r="BF145" s="4" t="s">
        <v>1</v>
      </c>
      <c r="BG145" s="6196">
        <f t="shared" si="64"/>
        <v>0</v>
      </c>
      <c r="BH145" s="6197">
        <f t="shared" si="65"/>
        <v>0</v>
      </c>
      <c r="BI145"/>
      <c r="BR145"/>
      <c r="BS145"/>
      <c r="BT145"/>
      <c r="BU145"/>
      <c r="BV145"/>
      <c r="BW145"/>
      <c r="BX145" s="20" t="str">
        <f t="shared" si="70"/>
        <v>►</v>
      </c>
      <c r="CD145" s="2"/>
      <c r="DC145" s="5">
        <v>1</v>
      </c>
    </row>
    <row r="146" spans="1:107" s="1" customFormat="1" ht="21" customHeight="1">
      <c r="A146" s="5641" t="s">
        <v>1</v>
      </c>
      <c r="B146" s="5662" t="str">
        <f t="shared" si="69"/>
        <v>►</v>
      </c>
      <c r="C146" s="5825" cm="1">
        <f t="array" ref="C146">SUMPRODUCT(LEN(D146:J146))</f>
        <v>0</v>
      </c>
      <c r="D146" s="5275"/>
      <c r="E146" s="1361"/>
      <c r="F146" s="1361"/>
      <c r="G146" s="1361"/>
      <c r="H146" s="1361"/>
      <c r="I146" s="1361"/>
      <c r="J146" s="5276"/>
      <c r="K146" s="106"/>
      <c r="L146" s="1021" t="s">
        <v>26</v>
      </c>
      <c r="M146" s="6787"/>
      <c r="N146" s="6787"/>
      <c r="O146" s="6787"/>
      <c r="P146" s="6788"/>
      <c r="Q146" s="6789"/>
      <c r="R146" s="6790"/>
      <c r="S146" s="6786"/>
      <c r="T146" s="6791"/>
      <c r="U146" s="6844"/>
      <c r="V146" s="6791"/>
      <c r="W146" s="8487"/>
      <c r="X146" s="6871"/>
      <c r="Y146" s="6793"/>
      <c r="Z146" s="6794"/>
      <c r="AA146" s="6795"/>
      <c r="AB146" s="6796"/>
      <c r="AC146" s="6797"/>
      <c r="AD146" s="6798"/>
      <c r="AE146" s="4" t="s">
        <v>1</v>
      </c>
      <c r="AF146" s="6202" t="str">
        <f t="shared" si="47"/>
        <v>►</v>
      </c>
      <c r="AG146" s="6234" t="str">
        <f t="shared" si="48"/>
        <v/>
      </c>
      <c r="AH146" s="6732" t="str">
        <f t="shared" si="49"/>
        <v/>
      </c>
      <c r="AI146" s="6234" t="str">
        <f t="shared" si="50"/>
        <v/>
      </c>
      <c r="AJ146" s="6732" t="str">
        <f t="shared" si="51"/>
        <v/>
      </c>
      <c r="AK146" s="6732">
        <f t="shared" si="52"/>
        <v>0</v>
      </c>
      <c r="AL146" s="6230" t="str" cm="1">
        <f t="array" ref="AL146">IF(AF146&lt;&gt;"A","",IFERROR((IFERROR(_xlfn.XLOOKUP(TRIM(SUBSTITUTE(U146,CHAR(160)," ")),$BJ$15:$BJ$62,$BM$15:$BM$62),IFERROR(_xlfn.XLOOKUP(TRIM(SUBSTITUTE(U146,CHAR(160)," ")),$BK$15:$BK$62,$BM$15:$BM$62),_xlfn.XLOOKUP(TRIM(SUBSTITUTE(U146,CHAR(160)," ")),$BL$15:$BL$62,$BM$15:$BM$62))))*T146*IF(ISBLANK(Q146),1,Q146)+IFERROR(_xlfn.XLOOKUP("RECHERCHEX",TRIM(L146:AD146),L146:AD146),0),0))</f>
        <v/>
      </c>
      <c r="AM146" s="6229">
        <f t="shared" si="53"/>
        <v>0</v>
      </c>
      <c r="AN146" s="6857" t="str">
        <f t="shared" si="68"/>
        <v/>
      </c>
      <c r="AO146" s="392">
        <f t="shared" si="54"/>
        <v>0</v>
      </c>
      <c r="AP146" s="392">
        <f t="shared" si="55"/>
        <v>0</v>
      </c>
      <c r="AQ146" s="6190">
        <f t="shared" si="56"/>
        <v>0</v>
      </c>
      <c r="AR146" s="6858" t="str">
        <f t="shared" si="57"/>
        <v/>
      </c>
      <c r="AS146" s="6217"/>
      <c r="AT146" s="6217"/>
      <c r="AU146" s="6271">
        <f t="shared" si="58"/>
        <v>0</v>
      </c>
      <c r="AV146" s="6242">
        <f t="shared" si="59"/>
        <v>0</v>
      </c>
      <c r="AW146" s="6188" cm="1">
        <f t="array" ref="AW146">IF(AK146&lt;&gt;1,0,IF(OR(AU146="",N(AU146)&lt;=0.000000001),"",IF(OR(AO146="",N(AO146)&lt;=0.000000001),0,IF(ISNUMBER(AU146),IFERROR(_xlfn.LET(_xlpm.ai_test,TRIM(AJ146),_xlpm.r,IFERROR(_xlfn.XLOOKUP(_xlpm.ai_test,$BJ$15:$BJ$62,ROW($BJ$15:$BJ$62),0,1),IFERROR(_xlfn.XLOOKUP(_xlpm.ai_test,$BK$15:$BK$62,ROW($BK$15:$BK$62),0,1),_xlfn.XLOOKUP(_xlpm.ai_test,$BL$15:$BL$62,ROW($BL$15:$BL$62),0,1))),_xlpm.p,_xlpm.r-MIN(ROW($BJ$15:$BJ$62))+1,_xlpm.f,INDEX($BM$15:$BM$62,_xlpm.p),_xlpm.u,INDEX($BN$15:$BN$62,_xlpm.p),_xlpm.s,INDEX($BP$15:$BP$62,_xlpm.p),_xlpm.q,N(AU146)/_xlpm.f,IF(_xlpm.q&gt;=_xlpm.s,ROUND(_xlpm.q,1)&amp;" "&amp;_xlpm.ai_test&amp;" = "&amp;ROUND(_xlpm.q*_xlpm.f,1)&amp;" "&amp;_xlpm.u,ROUND(_xlpm.q,1)&amp;" "&amp;_xlpm.ai_test)),""),""))))</f>
        <v>0</v>
      </c>
      <c r="AX146" s="6218"/>
      <c r="AY146" s="6271">
        <f t="shared" si="60"/>
        <v>0</v>
      </c>
      <c r="AZ146" s="6242" t="str">
        <f t="shared" si="61"/>
        <v/>
      </c>
      <c r="BA146" s="6194">
        <f t="shared" si="66"/>
        <v>0</v>
      </c>
      <c r="BB146" s="6192" t="str">
        <f t="shared" si="62"/>
        <v/>
      </c>
      <c r="BC146" s="6219"/>
      <c r="BD146" s="6221">
        <f t="shared" si="67"/>
        <v>0</v>
      </c>
      <c r="BE146" s="6220" t="str">
        <f t="shared" si="63"/>
        <v/>
      </c>
      <c r="BF146" s="4" t="s">
        <v>1</v>
      </c>
      <c r="BG146" s="6196">
        <f t="shared" si="64"/>
        <v>0</v>
      </c>
      <c r="BH146" s="6197">
        <f t="shared" si="65"/>
        <v>0</v>
      </c>
      <c r="BI146"/>
      <c r="BR146"/>
      <c r="BS146"/>
      <c r="BT146"/>
      <c r="BU146"/>
      <c r="BV146"/>
      <c r="BW146"/>
      <c r="BX146" s="20" t="str">
        <f t="shared" si="70"/>
        <v>►</v>
      </c>
      <c r="BY146"/>
      <c r="BZ146"/>
      <c r="CA146"/>
      <c r="CB146"/>
      <c r="CC146"/>
      <c r="CD146" s="2"/>
      <c r="DC146" s="5">
        <v>1</v>
      </c>
    </row>
    <row r="147" spans="1:107" s="1" customFormat="1" ht="21" customHeight="1">
      <c r="A147" s="5641" t="s">
        <v>1</v>
      </c>
      <c r="B147" s="5662" t="str">
        <f t="shared" si="69"/>
        <v>►</v>
      </c>
      <c r="C147" s="5825" cm="1">
        <f t="array" ref="C147">SUMPRODUCT(LEN(D147:J147))</f>
        <v>0</v>
      </c>
      <c r="D147" s="5275"/>
      <c r="E147" s="1361"/>
      <c r="F147" s="1361"/>
      <c r="G147" s="1361"/>
      <c r="H147" s="1361"/>
      <c r="I147" s="1361"/>
      <c r="J147" s="5276"/>
      <c r="K147" s="106"/>
      <c r="L147" s="1021" t="s">
        <v>26</v>
      </c>
      <c r="M147" s="6787"/>
      <c r="N147" s="6787"/>
      <c r="O147" s="6787"/>
      <c r="P147" s="6788"/>
      <c r="Q147" s="6789"/>
      <c r="R147" s="6790"/>
      <c r="S147" s="6786"/>
      <c r="T147" s="6791"/>
      <c r="U147" s="6844"/>
      <c r="V147" s="6791"/>
      <c r="W147" s="8487"/>
      <c r="X147" s="6871"/>
      <c r="Y147" s="6793"/>
      <c r="Z147" s="6794"/>
      <c r="AA147" s="6795"/>
      <c r="AB147" s="6796"/>
      <c r="AC147" s="6797"/>
      <c r="AD147" s="6798"/>
      <c r="AE147" s="4" t="s">
        <v>1</v>
      </c>
      <c r="AF147" s="6202" t="str">
        <f t="shared" si="47"/>
        <v>►</v>
      </c>
      <c r="AG147" s="6234" t="str">
        <f t="shared" si="48"/>
        <v/>
      </c>
      <c r="AH147" s="6732" t="str">
        <f t="shared" si="49"/>
        <v/>
      </c>
      <c r="AI147" s="6234" t="str">
        <f t="shared" si="50"/>
        <v/>
      </c>
      <c r="AJ147" s="6732" t="str">
        <f t="shared" si="51"/>
        <v/>
      </c>
      <c r="AK147" s="6732">
        <f t="shared" si="52"/>
        <v>0</v>
      </c>
      <c r="AL147" s="6230" t="str" cm="1">
        <f t="array" ref="AL147">IF(AF147&lt;&gt;"A","",IFERROR((IFERROR(_xlfn.XLOOKUP(TRIM(SUBSTITUTE(U147,CHAR(160)," ")),$BJ$15:$BJ$62,$BM$15:$BM$62),IFERROR(_xlfn.XLOOKUP(TRIM(SUBSTITUTE(U147,CHAR(160)," ")),$BK$15:$BK$62,$BM$15:$BM$62),_xlfn.XLOOKUP(TRIM(SUBSTITUTE(U147,CHAR(160)," ")),$BL$15:$BL$62,$BM$15:$BM$62))))*T147*IF(ISBLANK(Q147),1,Q147)+IFERROR(_xlfn.XLOOKUP("RECHERCHEX",TRIM(L147:AD147),L147:AD147),0),0))</f>
        <v/>
      </c>
      <c r="AM147" s="6229">
        <f t="shared" si="53"/>
        <v>0</v>
      </c>
      <c r="AN147" s="6857" t="str">
        <f t="shared" si="68"/>
        <v/>
      </c>
      <c r="AO147" s="392">
        <f t="shared" si="54"/>
        <v>0</v>
      </c>
      <c r="AP147" s="392">
        <f t="shared" si="55"/>
        <v>0</v>
      </c>
      <c r="AQ147" s="6191">
        <f t="shared" si="56"/>
        <v>0</v>
      </c>
      <c r="AR147" s="6859" t="str">
        <f t="shared" si="57"/>
        <v/>
      </c>
      <c r="AS147" s="6217"/>
      <c r="AT147" s="6217"/>
      <c r="AU147" s="6272">
        <f t="shared" si="58"/>
        <v>0</v>
      </c>
      <c r="AV147" s="6240">
        <f t="shared" si="59"/>
        <v>0</v>
      </c>
      <c r="AW147" s="6189" cm="1">
        <f t="array" ref="AW147">IF(AK147&lt;&gt;1,0,IF(OR(AU147="",N(AU147)&lt;=0.000000001),"",IF(OR(AO147="",N(AO147)&lt;=0.000000001),0,IF(ISNUMBER(AU147),IFERROR(_xlfn.LET(_xlpm.ai_test,TRIM(AJ147),_xlpm.r,IFERROR(_xlfn.XLOOKUP(_xlpm.ai_test,$BJ$15:$BJ$62,ROW($BJ$15:$BJ$62),0,1),IFERROR(_xlfn.XLOOKUP(_xlpm.ai_test,$BK$15:$BK$62,ROW($BK$15:$BK$62),0,1),_xlfn.XLOOKUP(_xlpm.ai_test,$BL$15:$BL$62,ROW($BL$15:$BL$62),0,1))),_xlpm.p,_xlpm.r-MIN(ROW($BJ$15:$BJ$62))+1,_xlpm.f,INDEX($BM$15:$BM$62,_xlpm.p),_xlpm.u,INDEX($BN$15:$BN$62,_xlpm.p),_xlpm.s,INDEX($BP$15:$BP$62,_xlpm.p),_xlpm.q,N(AU147)/_xlpm.f,IF(_xlpm.q&gt;=_xlpm.s,ROUND(_xlpm.q,1)&amp;" "&amp;_xlpm.ai_test&amp;" = "&amp;ROUND(_xlpm.q*_xlpm.f,1)&amp;" "&amp;_xlpm.u,ROUND(_xlpm.q,1)&amp;" "&amp;_xlpm.ai_test)),""),""))))</f>
        <v>0</v>
      </c>
      <c r="AX147" s="6218"/>
      <c r="AY147" s="6272">
        <f t="shared" si="60"/>
        <v>0</v>
      </c>
      <c r="AZ147" s="6240" t="str">
        <f t="shared" si="61"/>
        <v/>
      </c>
      <c r="BA147" s="6195">
        <f t="shared" si="66"/>
        <v>0</v>
      </c>
      <c r="BB147" s="6193" t="str">
        <f t="shared" si="62"/>
        <v/>
      </c>
      <c r="BC147" s="6219"/>
      <c r="BD147" s="6222">
        <f t="shared" si="67"/>
        <v>0</v>
      </c>
      <c r="BE147" s="6220" t="str">
        <f t="shared" si="63"/>
        <v/>
      </c>
      <c r="BF147" s="4" t="s">
        <v>1</v>
      </c>
      <c r="BG147" s="6196">
        <f t="shared" si="64"/>
        <v>0</v>
      </c>
      <c r="BH147" s="6197">
        <f t="shared" si="65"/>
        <v>0</v>
      </c>
      <c r="BI147"/>
      <c r="BR147"/>
      <c r="BS147"/>
      <c r="BT147"/>
      <c r="BU147"/>
      <c r="BV147"/>
      <c r="BW147"/>
      <c r="BX147" s="20" t="str">
        <f t="shared" si="70"/>
        <v>►</v>
      </c>
      <c r="BY147"/>
      <c r="BZ147"/>
      <c r="CA147"/>
      <c r="CB147"/>
      <c r="CC147"/>
      <c r="CD147" s="2"/>
      <c r="DC147" s="5">
        <v>1</v>
      </c>
    </row>
    <row r="148" spans="1:107" s="1" customFormat="1" ht="21" customHeight="1">
      <c r="A148" s="5641" t="s">
        <v>1</v>
      </c>
      <c r="B148" s="5662" t="str">
        <f t="shared" si="69"/>
        <v>►</v>
      </c>
      <c r="C148" s="5825" cm="1">
        <f t="array" ref="C148">SUMPRODUCT(LEN(D148:J148))</f>
        <v>0</v>
      </c>
      <c r="D148" s="5275"/>
      <c r="E148" s="1361"/>
      <c r="F148" s="1361"/>
      <c r="G148" s="1361"/>
      <c r="H148" s="1361"/>
      <c r="I148" s="1361"/>
      <c r="J148" s="5276"/>
      <c r="K148" s="106"/>
      <c r="L148" s="1021" t="s">
        <v>26</v>
      </c>
      <c r="M148" s="6787"/>
      <c r="N148" s="6787"/>
      <c r="O148" s="6787"/>
      <c r="P148" s="6788"/>
      <c r="Q148" s="6789"/>
      <c r="R148" s="6790"/>
      <c r="S148" s="6786"/>
      <c r="T148" s="6791"/>
      <c r="U148" s="6844"/>
      <c r="V148" s="6791"/>
      <c r="W148" s="8487"/>
      <c r="X148" s="6871"/>
      <c r="Y148" s="6793"/>
      <c r="Z148" s="6794"/>
      <c r="AA148" s="6795"/>
      <c r="AB148" s="6796"/>
      <c r="AC148" s="6797"/>
      <c r="AD148" s="6798"/>
      <c r="AE148" s="4" t="s">
        <v>1</v>
      </c>
      <c r="AF148" s="6202" t="str">
        <f t="shared" si="47"/>
        <v>►</v>
      </c>
      <c r="AG148" s="6234" t="str">
        <f t="shared" si="48"/>
        <v/>
      </c>
      <c r="AH148" s="6732" t="str">
        <f t="shared" si="49"/>
        <v/>
      </c>
      <c r="AI148" s="6234" t="str">
        <f t="shared" si="50"/>
        <v/>
      </c>
      <c r="AJ148" s="6732" t="str">
        <f t="shared" si="51"/>
        <v/>
      </c>
      <c r="AK148" s="6732">
        <f t="shared" si="52"/>
        <v>0</v>
      </c>
      <c r="AL148" s="6230" t="str" cm="1">
        <f t="array" ref="AL148">IF(AF148&lt;&gt;"A","",IFERROR((IFERROR(_xlfn.XLOOKUP(TRIM(SUBSTITUTE(U148,CHAR(160)," ")),$BJ$15:$BJ$62,$BM$15:$BM$62),IFERROR(_xlfn.XLOOKUP(TRIM(SUBSTITUTE(U148,CHAR(160)," ")),$BK$15:$BK$62,$BM$15:$BM$62),_xlfn.XLOOKUP(TRIM(SUBSTITUTE(U148,CHAR(160)," ")),$BL$15:$BL$62,$BM$15:$BM$62))))*T148*IF(ISBLANK(Q148),1,Q148)+IFERROR(_xlfn.XLOOKUP("RECHERCHEX",TRIM(L148:AD148),L148:AD148),0),0))</f>
        <v/>
      </c>
      <c r="AM148" s="6229">
        <f t="shared" si="53"/>
        <v>0</v>
      </c>
      <c r="AN148" s="6857" t="str">
        <f t="shared" si="68"/>
        <v/>
      </c>
      <c r="AO148" s="392">
        <f t="shared" si="54"/>
        <v>0</v>
      </c>
      <c r="AP148" s="392">
        <f t="shared" si="55"/>
        <v>0</v>
      </c>
      <c r="AQ148" s="6190">
        <f t="shared" si="56"/>
        <v>0</v>
      </c>
      <c r="AR148" s="6858" t="str">
        <f t="shared" si="57"/>
        <v/>
      </c>
      <c r="AS148" s="6217"/>
      <c r="AT148" s="6217"/>
      <c r="AU148" s="6271">
        <f t="shared" si="58"/>
        <v>0</v>
      </c>
      <c r="AV148" s="6242">
        <f t="shared" si="59"/>
        <v>0</v>
      </c>
      <c r="AW148" s="6188" cm="1">
        <f t="array" ref="AW148">IF(AK148&lt;&gt;1,0,IF(OR(AU148="",N(AU148)&lt;=0.000000001),"",IF(OR(AO148="",N(AO148)&lt;=0.000000001),0,IF(ISNUMBER(AU148),IFERROR(_xlfn.LET(_xlpm.ai_test,TRIM(AJ148),_xlpm.r,IFERROR(_xlfn.XLOOKUP(_xlpm.ai_test,$BJ$15:$BJ$62,ROW($BJ$15:$BJ$62),0,1),IFERROR(_xlfn.XLOOKUP(_xlpm.ai_test,$BK$15:$BK$62,ROW($BK$15:$BK$62),0,1),_xlfn.XLOOKUP(_xlpm.ai_test,$BL$15:$BL$62,ROW($BL$15:$BL$62),0,1))),_xlpm.p,_xlpm.r-MIN(ROW($BJ$15:$BJ$62))+1,_xlpm.f,INDEX($BM$15:$BM$62,_xlpm.p),_xlpm.u,INDEX($BN$15:$BN$62,_xlpm.p),_xlpm.s,INDEX($BP$15:$BP$62,_xlpm.p),_xlpm.q,N(AU148)/_xlpm.f,IF(_xlpm.q&gt;=_xlpm.s,ROUND(_xlpm.q,1)&amp;" "&amp;_xlpm.ai_test&amp;" = "&amp;ROUND(_xlpm.q*_xlpm.f,1)&amp;" "&amp;_xlpm.u,ROUND(_xlpm.q,1)&amp;" "&amp;_xlpm.ai_test)),""),""))))</f>
        <v>0</v>
      </c>
      <c r="AX148" s="6218"/>
      <c r="AY148" s="6271">
        <f t="shared" si="60"/>
        <v>0</v>
      </c>
      <c r="AZ148" s="6242" t="str">
        <f t="shared" si="61"/>
        <v/>
      </c>
      <c r="BA148" s="6194">
        <f t="shared" si="66"/>
        <v>0</v>
      </c>
      <c r="BB148" s="6192" t="str">
        <f t="shared" si="62"/>
        <v/>
      </c>
      <c r="BC148" s="6219"/>
      <c r="BD148" s="6221">
        <f t="shared" si="67"/>
        <v>0</v>
      </c>
      <c r="BE148" s="6220" t="str">
        <f t="shared" si="63"/>
        <v/>
      </c>
      <c r="BF148" s="4" t="s">
        <v>1</v>
      </c>
      <c r="BG148" s="6196">
        <f t="shared" si="64"/>
        <v>0</v>
      </c>
      <c r="BH148" s="6197">
        <f t="shared" si="65"/>
        <v>0</v>
      </c>
      <c r="BI148"/>
      <c r="BR148"/>
      <c r="BS148"/>
      <c r="BT148"/>
      <c r="BU148"/>
      <c r="BV148"/>
      <c r="BW148"/>
      <c r="BX148" s="20" t="str">
        <f t="shared" si="70"/>
        <v>►</v>
      </c>
      <c r="BY148"/>
      <c r="BZ148"/>
      <c r="CA148"/>
      <c r="CB148"/>
      <c r="CC148"/>
      <c r="CD148" s="2"/>
      <c r="DC148" s="5">
        <v>1</v>
      </c>
    </row>
    <row r="149" spans="1:107" s="1" customFormat="1" ht="21" customHeight="1">
      <c r="A149" s="5641" t="s">
        <v>1</v>
      </c>
      <c r="B149" s="5662" t="str">
        <f t="shared" si="69"/>
        <v>►</v>
      </c>
      <c r="C149" s="5825" cm="1">
        <f t="array" ref="C149">SUMPRODUCT(LEN(D149:J149))</f>
        <v>0</v>
      </c>
      <c r="D149" s="5275"/>
      <c r="E149" s="1361"/>
      <c r="F149" s="1361"/>
      <c r="G149" s="1361"/>
      <c r="H149" s="1361"/>
      <c r="I149" s="1361"/>
      <c r="J149" s="5276"/>
      <c r="K149" s="106"/>
      <c r="L149" s="1021" t="s">
        <v>26</v>
      </c>
      <c r="M149" s="6787"/>
      <c r="N149" s="6787"/>
      <c r="O149" s="6787"/>
      <c r="P149" s="6788"/>
      <c r="Q149" s="6789"/>
      <c r="R149" s="6790"/>
      <c r="S149" s="6786"/>
      <c r="T149" s="6791"/>
      <c r="U149" s="6844"/>
      <c r="V149" s="6791"/>
      <c r="W149" s="8487"/>
      <c r="X149" s="6871"/>
      <c r="Y149" s="6793"/>
      <c r="Z149" s="6794"/>
      <c r="AA149" s="6795"/>
      <c r="AB149" s="6796"/>
      <c r="AC149" s="6797"/>
      <c r="AD149" s="6798"/>
      <c r="AE149" s="4" t="s">
        <v>1</v>
      </c>
      <c r="AF149" s="6202" t="str">
        <f t="shared" si="47"/>
        <v>►</v>
      </c>
      <c r="AG149" s="6234" t="str">
        <f t="shared" si="48"/>
        <v/>
      </c>
      <c r="AH149" s="6732" t="str">
        <f t="shared" si="49"/>
        <v/>
      </c>
      <c r="AI149" s="6234" t="str">
        <f t="shared" si="50"/>
        <v/>
      </c>
      <c r="AJ149" s="6732" t="str">
        <f t="shared" si="51"/>
        <v/>
      </c>
      <c r="AK149" s="6732">
        <f t="shared" si="52"/>
        <v>0</v>
      </c>
      <c r="AL149" s="6230" t="str" cm="1">
        <f t="array" ref="AL149">IF(AF149&lt;&gt;"A","",IFERROR((IFERROR(_xlfn.XLOOKUP(TRIM(SUBSTITUTE(U149,CHAR(160)," ")),$BJ$15:$BJ$62,$BM$15:$BM$62),IFERROR(_xlfn.XLOOKUP(TRIM(SUBSTITUTE(U149,CHAR(160)," ")),$BK$15:$BK$62,$BM$15:$BM$62),_xlfn.XLOOKUP(TRIM(SUBSTITUTE(U149,CHAR(160)," ")),$BL$15:$BL$62,$BM$15:$BM$62))))*T149*IF(ISBLANK(Q149),1,Q149)+IFERROR(_xlfn.XLOOKUP("RECHERCHEX",TRIM(L149:AD149),L149:AD149),0),0))</f>
        <v/>
      </c>
      <c r="AM149" s="6229">
        <f t="shared" si="53"/>
        <v>0</v>
      </c>
      <c r="AN149" s="6857" t="str">
        <f t="shared" si="68"/>
        <v/>
      </c>
      <c r="AO149" s="392">
        <f t="shared" si="54"/>
        <v>0</v>
      </c>
      <c r="AP149" s="392">
        <f t="shared" si="55"/>
        <v>0</v>
      </c>
      <c r="AQ149" s="6191">
        <f t="shared" si="56"/>
        <v>0</v>
      </c>
      <c r="AR149" s="6859" t="str">
        <f t="shared" si="57"/>
        <v/>
      </c>
      <c r="AS149" s="6217"/>
      <c r="AT149" s="6217"/>
      <c r="AU149" s="6272">
        <f t="shared" si="58"/>
        <v>0</v>
      </c>
      <c r="AV149" s="6240">
        <f t="shared" si="59"/>
        <v>0</v>
      </c>
      <c r="AW149" s="6189" cm="1">
        <f t="array" ref="AW149">IF(AK149&lt;&gt;1,0,IF(OR(AU149="",N(AU149)&lt;=0.000000001),"",IF(OR(AO149="",N(AO149)&lt;=0.000000001),0,IF(ISNUMBER(AU149),IFERROR(_xlfn.LET(_xlpm.ai_test,TRIM(AJ149),_xlpm.r,IFERROR(_xlfn.XLOOKUP(_xlpm.ai_test,$BJ$15:$BJ$62,ROW($BJ$15:$BJ$62),0,1),IFERROR(_xlfn.XLOOKUP(_xlpm.ai_test,$BK$15:$BK$62,ROW($BK$15:$BK$62),0,1),_xlfn.XLOOKUP(_xlpm.ai_test,$BL$15:$BL$62,ROW($BL$15:$BL$62),0,1))),_xlpm.p,_xlpm.r-MIN(ROW($BJ$15:$BJ$62))+1,_xlpm.f,INDEX($BM$15:$BM$62,_xlpm.p),_xlpm.u,INDEX($BN$15:$BN$62,_xlpm.p),_xlpm.s,INDEX($BP$15:$BP$62,_xlpm.p),_xlpm.q,N(AU149)/_xlpm.f,IF(_xlpm.q&gt;=_xlpm.s,ROUND(_xlpm.q,1)&amp;" "&amp;_xlpm.ai_test&amp;" = "&amp;ROUND(_xlpm.q*_xlpm.f,1)&amp;" "&amp;_xlpm.u,ROUND(_xlpm.q,1)&amp;" "&amp;_xlpm.ai_test)),""),""))))</f>
        <v>0</v>
      </c>
      <c r="AX149" s="6218"/>
      <c r="AY149" s="6272">
        <f t="shared" si="60"/>
        <v>0</v>
      </c>
      <c r="AZ149" s="6240" t="str">
        <f t="shared" si="61"/>
        <v/>
      </c>
      <c r="BA149" s="6195">
        <f t="shared" si="66"/>
        <v>0</v>
      </c>
      <c r="BB149" s="6193" t="str">
        <f t="shared" si="62"/>
        <v/>
      </c>
      <c r="BC149" s="6219"/>
      <c r="BD149" s="6222">
        <f t="shared" si="67"/>
        <v>0</v>
      </c>
      <c r="BE149" s="6220" t="str">
        <f t="shared" si="63"/>
        <v/>
      </c>
      <c r="BF149" s="4" t="s">
        <v>1</v>
      </c>
      <c r="BG149" s="6196">
        <f t="shared" si="64"/>
        <v>0</v>
      </c>
      <c r="BH149" s="6197">
        <f t="shared" si="65"/>
        <v>0</v>
      </c>
      <c r="BI149"/>
      <c r="BR149"/>
      <c r="BS149"/>
      <c r="BT149"/>
      <c r="BU149"/>
      <c r="BV149"/>
      <c r="BW149"/>
      <c r="BX149" s="20" t="str">
        <f t="shared" si="70"/>
        <v>►</v>
      </c>
      <c r="BY149"/>
      <c r="BZ149"/>
      <c r="CA149"/>
      <c r="CB149"/>
      <c r="CC149"/>
      <c r="CD149" s="2"/>
      <c r="DC149" s="5">
        <v>1</v>
      </c>
    </row>
    <row r="150" spans="1:107" s="1" customFormat="1" ht="21" customHeight="1">
      <c r="A150" s="5641" t="s">
        <v>1</v>
      </c>
      <c r="B150" s="5662" t="str">
        <f t="shared" si="69"/>
        <v>►</v>
      </c>
      <c r="C150" s="5825" cm="1">
        <f t="array" ref="C150">SUMPRODUCT(LEN(D150:J150))</f>
        <v>0</v>
      </c>
      <c r="D150" s="5275"/>
      <c r="E150" s="1361"/>
      <c r="F150" s="1361"/>
      <c r="G150" s="1361"/>
      <c r="H150" s="1361"/>
      <c r="I150" s="1361"/>
      <c r="J150" s="5276"/>
      <c r="K150" s="106"/>
      <c r="L150" s="1021" t="s">
        <v>26</v>
      </c>
      <c r="M150" s="6787"/>
      <c r="N150" s="6787"/>
      <c r="O150" s="6787"/>
      <c r="P150" s="6788"/>
      <c r="Q150" s="6789"/>
      <c r="R150" s="6790"/>
      <c r="S150" s="6786"/>
      <c r="T150" s="6791"/>
      <c r="U150" s="6844"/>
      <c r="V150" s="6791"/>
      <c r="W150" s="8487"/>
      <c r="X150" s="6871"/>
      <c r="Y150" s="6793"/>
      <c r="Z150" s="6794"/>
      <c r="AA150" s="6795"/>
      <c r="AB150" s="6796"/>
      <c r="AC150" s="6797"/>
      <c r="AD150" s="6798"/>
      <c r="AE150" s="4" t="s">
        <v>1</v>
      </c>
      <c r="AF150" s="6202" t="str">
        <f t="shared" ref="AF150:AF213" si="71">IF(OR(AO150&gt;0,TRIM(AG150)="▼ recette suivante"),"A","►")</f>
        <v>►</v>
      </c>
      <c r="AG150" s="6234" t="str">
        <f t="shared" ref="AG150:AG213" si="72">IF(TRIM(Q150)="Adresse PC","▼ recette suivante",IF(AO150&gt;0,M150,""))</f>
        <v/>
      </c>
      <c r="AH150" s="6732" t="str">
        <f t="shared" ref="AH150:AH213" si="73">IF(AF150="A",N150,"")</f>
        <v/>
      </c>
      <c r="AI150" s="6234" t="str">
        <f t="shared" ref="AI150:AI213" si="74">IF(AF150="A",O150,"")</f>
        <v/>
      </c>
      <c r="AJ150" s="6732" t="str">
        <f t="shared" ref="AJ150:AJ213" si="75">IF(AF150="A",U150,"")</f>
        <v/>
      </c>
      <c r="AK150" s="6732">
        <f t="shared" ref="AK150:AK213" si="76">IF(AND(L150="A",COUNTIF($BJ$15:$BL$62,TRIM(U150))&gt;0),1,0)</f>
        <v>0</v>
      </c>
      <c r="AL150" s="6230" t="str" cm="1">
        <f t="array" ref="AL150">IF(AF150&lt;&gt;"A","",IFERROR((IFERROR(_xlfn.XLOOKUP(TRIM(SUBSTITUTE(U150,CHAR(160)," ")),$BJ$15:$BJ$62,$BM$15:$BM$62),IFERROR(_xlfn.XLOOKUP(TRIM(SUBSTITUTE(U150,CHAR(160)," ")),$BK$15:$BK$62,$BM$15:$BM$62),_xlfn.XLOOKUP(TRIM(SUBSTITUTE(U150,CHAR(160)," ")),$BL$15:$BL$62,$BM$15:$BM$62))))*T150*IF(ISBLANK(Q150),1,Q150)+IFERROR(_xlfn.XLOOKUP("RECHERCHEX",TRIM(L150:AD150),L150:AD150),0),0))</f>
        <v/>
      </c>
      <c r="AM150" s="6229">
        <f t="shared" ref="AM150:AM213" si="77">IF(AK150,IF(AL150&gt;0,"Kg",0),0)</f>
        <v>0</v>
      </c>
      <c r="AN150" s="6857" t="str">
        <f t="shared" si="68"/>
        <v/>
      </c>
      <c r="AO150" s="392">
        <f t="shared" ref="AO150:AO213" si="78">IF(AK150,N150,0)</f>
        <v>0</v>
      </c>
      <c r="AP150" s="392">
        <f t="shared" ref="AP150:AP213" si="79">IF(AK150,O150,0)</f>
        <v>0</v>
      </c>
      <c r="AQ150" s="6190">
        <f t="shared" ref="AQ150:AQ213" si="80">IF(AO150&gt;0,AS$9,0)</f>
        <v>0</v>
      </c>
      <c r="AR150" s="6858" t="str">
        <f t="shared" ref="AR150:AR213" si="81">IF(TRIM(AG150)="▼ recette suivante", AG150, IF(AQ150&gt;0, IF(AT$9&lt;&gt;"", AT$9&amp;"-ou.or.o ❾ + or - &gt;", ""), ""))</f>
        <v/>
      </c>
      <c r="AS150" s="6217"/>
      <c r="AT150" s="6217"/>
      <c r="AU150" s="6271">
        <f t="shared" ref="AU150:AU213" si="82">IF(TRIM(AM150)="Kg",N(AL150)*N(BH150),0)</f>
        <v>0</v>
      </c>
      <c r="AV150" s="6242">
        <f t="shared" ref="AV150:AV213" si="83">IF(AK150,IF(OR(AU150="",N(AU150)&lt;=0.000000001),"",_xlfn.XLOOKUP(AJ150,$BJ$15:$BJ$62,$BN$15:$BN$62,_xlfn.XLOOKUP(AJ150,$BK$15:$BK$62,$BN$15:$BN$62,_xlfn.XLOOKUP(AJ150,$BL$15:$BL$62,$BN$15:$BN$62,"")))),0)</f>
        <v>0</v>
      </c>
      <c r="AW150" s="6188" cm="1">
        <f t="array" ref="AW150">IF(AK150&lt;&gt;1,0,IF(OR(AU150="",N(AU150)&lt;=0.000000001),"",IF(OR(AO150="",N(AO150)&lt;=0.000000001),0,IF(ISNUMBER(AU150),IFERROR(_xlfn.LET(_xlpm.ai_test,TRIM(AJ150),_xlpm.r,IFERROR(_xlfn.XLOOKUP(_xlpm.ai_test,$BJ$15:$BJ$62,ROW($BJ$15:$BJ$62),0,1),IFERROR(_xlfn.XLOOKUP(_xlpm.ai_test,$BK$15:$BK$62,ROW($BK$15:$BK$62),0,1),_xlfn.XLOOKUP(_xlpm.ai_test,$BL$15:$BL$62,ROW($BL$15:$BL$62),0,1))),_xlpm.p,_xlpm.r-MIN(ROW($BJ$15:$BJ$62))+1,_xlpm.f,INDEX($BM$15:$BM$62,_xlpm.p),_xlpm.u,INDEX($BN$15:$BN$62,_xlpm.p),_xlpm.s,INDEX($BP$15:$BP$62,_xlpm.p),_xlpm.q,N(AU150)/_xlpm.f,IF(_xlpm.q&gt;=_xlpm.s,ROUND(_xlpm.q,1)&amp;" "&amp;_xlpm.ai_test&amp;" = "&amp;ROUND(_xlpm.q*_xlpm.f,1)&amp;" "&amp;_xlpm.u,ROUND(_xlpm.q,1)&amp;" "&amp;_xlpm.ai_test)),""),""))))</f>
        <v>0</v>
      </c>
      <c r="AX150" s="6218"/>
      <c r="AY150" s="6271">
        <f t="shared" ref="AY150:AY213" si="84">IF(TRIM(AG150)="▼ recette suivante","▼next recipe ",IF(AU150="","",IF(ISBLANK(AX150),AU150,ROUND(AU150*(1-MIN(1,MAX(0,IF(AX150&gt;1,AX150/100,AX150)))),3))))</f>
        <v>0</v>
      </c>
      <c r="AZ150" s="6242" t="str">
        <f t="shared" ref="AZ150:AZ213" si="85">IF(AK150,AV150,"")</f>
        <v/>
      </c>
      <c r="BA150" s="6194">
        <f t="shared" si="66"/>
        <v>0</v>
      </c>
      <c r="BB150" s="6192" t="str">
        <f t="shared" ref="BB150:BB213" si="86">IF(AK150,IF(N(BA150)&gt;0.000000001,R150,""),"")</f>
        <v/>
      </c>
      <c r="BC150" s="6219"/>
      <c r="BD150" s="6221">
        <f t="shared" si="67"/>
        <v>0</v>
      </c>
      <c r="BE150" s="6220" t="str">
        <f t="shared" ref="BE150:BE213" si="87">IF(IFERROR(SEARCH("Adresse PC",TRIM(Q150)),0)&gt;0,"▼ receta siguiente",IF(AY150&gt;0,W150,""))</f>
        <v/>
      </c>
      <c r="BF150" s="4" t="s">
        <v>1</v>
      </c>
      <c r="BG150" s="6196">
        <f t="shared" ref="BG150:BG213" si="88">IFERROR(_xlfn.LET(_xlpm.EPS,0.000000001,_xlpm.b,Q150/AO150,IF(ISNUMBER(AS150),_xlpm.b*AS150,IF(OR(ISBLANK(AS150),AS150=""),_xlpm.b*AQ150,IF(AND(BH150=0,ISNUMBER(Q150)),_xlpm.b/AQ150,0)))),0)</f>
        <v>0</v>
      </c>
      <c r="BH150" s="6197">
        <f t="shared" ref="BH150:BH213" si="89">IF(AL150&gt;0,IFERROR(IF(OR(ISBLANK(AS150),AS150=""),AQ150,AS150)/AO150,0),0)</f>
        <v>0</v>
      </c>
      <c r="BI150"/>
      <c r="BR150"/>
      <c r="BS150"/>
      <c r="BT150"/>
      <c r="BU150"/>
      <c r="BV150"/>
      <c r="BW150"/>
      <c r="BX150" s="20" t="str">
        <f t="shared" si="70"/>
        <v>►</v>
      </c>
      <c r="BY150"/>
      <c r="BZ150"/>
      <c r="CA150"/>
      <c r="CB150"/>
      <c r="CC150"/>
      <c r="CD150" s="2"/>
      <c r="DC150" s="5">
        <v>1</v>
      </c>
    </row>
    <row r="151" spans="1:107" s="1" customFormat="1" ht="21" customHeight="1">
      <c r="A151" s="5641" t="s">
        <v>1</v>
      </c>
      <c r="B151" s="5662" t="str">
        <f t="shared" si="69"/>
        <v>►</v>
      </c>
      <c r="C151" s="5825" cm="1">
        <f t="array" ref="C151">SUMPRODUCT(LEN(D151:J151))</f>
        <v>0</v>
      </c>
      <c r="D151" s="5275"/>
      <c r="E151" s="1361"/>
      <c r="F151" s="1361"/>
      <c r="G151" s="1361"/>
      <c r="H151" s="1361"/>
      <c r="I151" s="1361"/>
      <c r="J151" s="5276"/>
      <c r="K151" s="106"/>
      <c r="L151" s="1021" t="s">
        <v>26</v>
      </c>
      <c r="M151" s="6787"/>
      <c r="N151" s="6787"/>
      <c r="O151" s="6787"/>
      <c r="P151" s="6788"/>
      <c r="Q151" s="6789"/>
      <c r="R151" s="6790"/>
      <c r="S151" s="6786"/>
      <c r="T151" s="6791"/>
      <c r="U151" s="6844"/>
      <c r="V151" s="6791"/>
      <c r="W151" s="8487"/>
      <c r="X151" s="6871"/>
      <c r="Y151" s="6793"/>
      <c r="Z151" s="6794"/>
      <c r="AA151" s="6795"/>
      <c r="AB151" s="6796"/>
      <c r="AC151" s="6797"/>
      <c r="AD151" s="6798"/>
      <c r="AE151" s="4" t="s">
        <v>1</v>
      </c>
      <c r="AF151" s="6202" t="str">
        <f t="shared" si="71"/>
        <v>►</v>
      </c>
      <c r="AG151" s="6234" t="str">
        <f t="shared" si="72"/>
        <v/>
      </c>
      <c r="AH151" s="6732" t="str">
        <f t="shared" si="73"/>
        <v/>
      </c>
      <c r="AI151" s="6234" t="str">
        <f t="shared" si="74"/>
        <v/>
      </c>
      <c r="AJ151" s="6732" t="str">
        <f t="shared" si="75"/>
        <v/>
      </c>
      <c r="AK151" s="6732">
        <f t="shared" si="76"/>
        <v>0</v>
      </c>
      <c r="AL151" s="6230" t="str" cm="1">
        <f t="array" ref="AL151">IF(AF151&lt;&gt;"A","",IFERROR((IFERROR(_xlfn.XLOOKUP(TRIM(SUBSTITUTE(U151,CHAR(160)," ")),$BJ$15:$BJ$62,$BM$15:$BM$62),IFERROR(_xlfn.XLOOKUP(TRIM(SUBSTITUTE(U151,CHAR(160)," ")),$BK$15:$BK$62,$BM$15:$BM$62),_xlfn.XLOOKUP(TRIM(SUBSTITUTE(U151,CHAR(160)," ")),$BL$15:$BL$62,$BM$15:$BM$62))))*T151*IF(ISBLANK(Q151),1,Q151)+IFERROR(_xlfn.XLOOKUP("RECHERCHEX",TRIM(L151:AD151),L151:AD151),0),0))</f>
        <v/>
      </c>
      <c r="AM151" s="6229">
        <f t="shared" si="77"/>
        <v>0</v>
      </c>
      <c r="AN151" s="6857" t="str">
        <f t="shared" si="68"/>
        <v/>
      </c>
      <c r="AO151" s="392">
        <f t="shared" si="78"/>
        <v>0</v>
      </c>
      <c r="AP151" s="392">
        <f t="shared" si="79"/>
        <v>0</v>
      </c>
      <c r="AQ151" s="6191">
        <f t="shared" si="80"/>
        <v>0</v>
      </c>
      <c r="AR151" s="6859" t="str">
        <f t="shared" si="81"/>
        <v/>
      </c>
      <c r="AS151" s="6217"/>
      <c r="AT151" s="6217"/>
      <c r="AU151" s="6272">
        <f t="shared" si="82"/>
        <v>0</v>
      </c>
      <c r="AV151" s="6240">
        <f t="shared" si="83"/>
        <v>0</v>
      </c>
      <c r="AW151" s="6189" cm="1">
        <f t="array" ref="AW151">IF(AK151&lt;&gt;1,0,IF(OR(AU151="",N(AU151)&lt;=0.000000001),"",IF(OR(AO151="",N(AO151)&lt;=0.000000001),0,IF(ISNUMBER(AU151),IFERROR(_xlfn.LET(_xlpm.ai_test,TRIM(AJ151),_xlpm.r,IFERROR(_xlfn.XLOOKUP(_xlpm.ai_test,$BJ$15:$BJ$62,ROW($BJ$15:$BJ$62),0,1),IFERROR(_xlfn.XLOOKUP(_xlpm.ai_test,$BK$15:$BK$62,ROW($BK$15:$BK$62),0,1),_xlfn.XLOOKUP(_xlpm.ai_test,$BL$15:$BL$62,ROW($BL$15:$BL$62),0,1))),_xlpm.p,_xlpm.r-MIN(ROW($BJ$15:$BJ$62))+1,_xlpm.f,INDEX($BM$15:$BM$62,_xlpm.p),_xlpm.u,INDEX($BN$15:$BN$62,_xlpm.p),_xlpm.s,INDEX($BP$15:$BP$62,_xlpm.p),_xlpm.q,N(AU151)/_xlpm.f,IF(_xlpm.q&gt;=_xlpm.s,ROUND(_xlpm.q,1)&amp;" "&amp;_xlpm.ai_test&amp;" = "&amp;ROUND(_xlpm.q*_xlpm.f,1)&amp;" "&amp;_xlpm.u,ROUND(_xlpm.q,1)&amp;" "&amp;_xlpm.ai_test)),""),""))))</f>
        <v>0</v>
      </c>
      <c r="AX151" s="6218"/>
      <c r="AY151" s="6272">
        <f t="shared" si="84"/>
        <v>0</v>
      </c>
      <c r="AZ151" s="6240" t="str">
        <f t="shared" si="85"/>
        <v/>
      </c>
      <c r="BA151" s="6195">
        <f t="shared" ref="BA151:BA214" si="90">IF(ISNUMBER(BG151),IF(ABS(BG151)&lt;=0.000000001,0,BG151),0)</f>
        <v>0</v>
      </c>
      <c r="BB151" s="6193" t="str">
        <f t="shared" si="86"/>
        <v/>
      </c>
      <c r="BC151" s="6219"/>
      <c r="BD151" s="6222">
        <f t="shared" si="67"/>
        <v>0</v>
      </c>
      <c r="BE151" s="6220" t="str">
        <f t="shared" si="87"/>
        <v/>
      </c>
      <c r="BF151" s="4" t="s">
        <v>1</v>
      </c>
      <c r="BG151" s="6196">
        <f t="shared" si="88"/>
        <v>0</v>
      </c>
      <c r="BH151" s="6197">
        <f t="shared" si="89"/>
        <v>0</v>
      </c>
      <c r="BI151"/>
      <c r="BR151"/>
      <c r="BS151"/>
      <c r="BT151"/>
      <c r="BU151"/>
      <c r="BV151"/>
      <c r="BW151"/>
      <c r="BX151" s="20" t="str">
        <f t="shared" si="70"/>
        <v>►</v>
      </c>
      <c r="BY151"/>
      <c r="BZ151"/>
      <c r="CA151"/>
      <c r="CB151"/>
      <c r="CC151"/>
      <c r="CD151" s="2"/>
      <c r="DC151" s="5">
        <v>1</v>
      </c>
    </row>
    <row r="152" spans="1:107" s="1" customFormat="1" ht="21" customHeight="1">
      <c r="A152" s="5641" t="s">
        <v>1</v>
      </c>
      <c r="B152" s="5662" t="str">
        <f t="shared" si="69"/>
        <v>►</v>
      </c>
      <c r="C152" s="5825" cm="1">
        <f t="array" ref="C152">SUMPRODUCT(LEN(D152:J152))</f>
        <v>0</v>
      </c>
      <c r="D152" s="5275"/>
      <c r="E152" s="1361"/>
      <c r="F152" s="1361"/>
      <c r="G152" s="1361"/>
      <c r="H152" s="1361"/>
      <c r="I152" s="1361"/>
      <c r="J152" s="5276"/>
      <c r="K152" s="106"/>
      <c r="L152" s="1021" t="s">
        <v>26</v>
      </c>
      <c r="M152" s="6787"/>
      <c r="N152" s="6787"/>
      <c r="O152" s="6787"/>
      <c r="P152" s="6788"/>
      <c r="Q152" s="6789"/>
      <c r="R152" s="6790"/>
      <c r="S152" s="6786"/>
      <c r="T152" s="6791"/>
      <c r="U152" s="6844"/>
      <c r="V152" s="6791"/>
      <c r="W152" s="8487"/>
      <c r="X152" s="6871"/>
      <c r="Y152" s="6793"/>
      <c r="Z152" s="6794"/>
      <c r="AA152" s="6795"/>
      <c r="AB152" s="6796"/>
      <c r="AC152" s="6797"/>
      <c r="AD152" s="6798"/>
      <c r="AE152" s="4" t="s">
        <v>1</v>
      </c>
      <c r="AF152" s="6202" t="str">
        <f t="shared" si="71"/>
        <v>►</v>
      </c>
      <c r="AG152" s="6234" t="str">
        <f t="shared" si="72"/>
        <v/>
      </c>
      <c r="AH152" s="6732" t="str">
        <f t="shared" si="73"/>
        <v/>
      </c>
      <c r="AI152" s="6234" t="str">
        <f t="shared" si="74"/>
        <v/>
      </c>
      <c r="AJ152" s="6732" t="str">
        <f t="shared" si="75"/>
        <v/>
      </c>
      <c r="AK152" s="6732">
        <f t="shared" si="76"/>
        <v>0</v>
      </c>
      <c r="AL152" s="6230" t="str" cm="1">
        <f t="array" ref="AL152">IF(AF152&lt;&gt;"A","",IFERROR((IFERROR(_xlfn.XLOOKUP(TRIM(SUBSTITUTE(U152,CHAR(160)," ")),$BJ$15:$BJ$62,$BM$15:$BM$62),IFERROR(_xlfn.XLOOKUP(TRIM(SUBSTITUTE(U152,CHAR(160)," ")),$BK$15:$BK$62,$BM$15:$BM$62),_xlfn.XLOOKUP(TRIM(SUBSTITUTE(U152,CHAR(160)," ")),$BL$15:$BL$62,$BM$15:$BM$62))))*T152*IF(ISBLANK(Q152),1,Q152)+IFERROR(_xlfn.XLOOKUP("RECHERCHEX",TRIM(L152:AD152),L152:AD152),0),0))</f>
        <v/>
      </c>
      <c r="AM152" s="6229">
        <f t="shared" si="77"/>
        <v>0</v>
      </c>
      <c r="AN152" s="6857" t="str">
        <f t="shared" si="68"/>
        <v/>
      </c>
      <c r="AO152" s="392">
        <f t="shared" si="78"/>
        <v>0</v>
      </c>
      <c r="AP152" s="392">
        <f t="shared" si="79"/>
        <v>0</v>
      </c>
      <c r="AQ152" s="6190">
        <f t="shared" si="80"/>
        <v>0</v>
      </c>
      <c r="AR152" s="6858" t="str">
        <f t="shared" si="81"/>
        <v/>
      </c>
      <c r="AS152" s="6217"/>
      <c r="AT152" s="6217"/>
      <c r="AU152" s="6271">
        <f t="shared" si="82"/>
        <v>0</v>
      </c>
      <c r="AV152" s="6242">
        <f t="shared" si="83"/>
        <v>0</v>
      </c>
      <c r="AW152" s="6188" cm="1">
        <f t="array" ref="AW152">IF(AK152&lt;&gt;1,0,IF(OR(AU152="",N(AU152)&lt;=0.000000001),"",IF(OR(AO152="",N(AO152)&lt;=0.000000001),0,IF(ISNUMBER(AU152),IFERROR(_xlfn.LET(_xlpm.ai_test,TRIM(AJ152),_xlpm.r,IFERROR(_xlfn.XLOOKUP(_xlpm.ai_test,$BJ$15:$BJ$62,ROW($BJ$15:$BJ$62),0,1),IFERROR(_xlfn.XLOOKUP(_xlpm.ai_test,$BK$15:$BK$62,ROW($BK$15:$BK$62),0,1),_xlfn.XLOOKUP(_xlpm.ai_test,$BL$15:$BL$62,ROW($BL$15:$BL$62),0,1))),_xlpm.p,_xlpm.r-MIN(ROW($BJ$15:$BJ$62))+1,_xlpm.f,INDEX($BM$15:$BM$62,_xlpm.p),_xlpm.u,INDEX($BN$15:$BN$62,_xlpm.p),_xlpm.s,INDEX($BP$15:$BP$62,_xlpm.p),_xlpm.q,N(AU152)/_xlpm.f,IF(_xlpm.q&gt;=_xlpm.s,ROUND(_xlpm.q,1)&amp;" "&amp;_xlpm.ai_test&amp;" = "&amp;ROUND(_xlpm.q*_xlpm.f,1)&amp;" "&amp;_xlpm.u,ROUND(_xlpm.q,1)&amp;" "&amp;_xlpm.ai_test)),""),""))))</f>
        <v>0</v>
      </c>
      <c r="AX152" s="6218"/>
      <c r="AY152" s="6271">
        <f t="shared" si="84"/>
        <v>0</v>
      </c>
      <c r="AZ152" s="6242" t="str">
        <f t="shared" si="85"/>
        <v/>
      </c>
      <c r="BA152" s="6194">
        <f t="shared" si="90"/>
        <v>0</v>
      </c>
      <c r="BB152" s="6192" t="str">
        <f t="shared" si="86"/>
        <v/>
      </c>
      <c r="BC152" s="6219"/>
      <c r="BD152" s="6221">
        <f t="shared" si="67"/>
        <v>0</v>
      </c>
      <c r="BE152" s="6220" t="str">
        <f t="shared" si="87"/>
        <v/>
      </c>
      <c r="BF152" s="4" t="s">
        <v>1</v>
      </c>
      <c r="BG152" s="6196">
        <f t="shared" si="88"/>
        <v>0</v>
      </c>
      <c r="BH152" s="6197">
        <f t="shared" si="89"/>
        <v>0</v>
      </c>
      <c r="BI152"/>
      <c r="BR152"/>
      <c r="BS152"/>
      <c r="BT152"/>
      <c r="BU152"/>
      <c r="BV152"/>
      <c r="BW152"/>
      <c r="BX152" s="20" t="str">
        <f t="shared" si="70"/>
        <v>►</v>
      </c>
      <c r="BY152"/>
      <c r="BZ152"/>
      <c r="CA152"/>
      <c r="CB152"/>
      <c r="CC152"/>
      <c r="CD152" s="2"/>
      <c r="DC152" s="5">
        <v>1</v>
      </c>
    </row>
    <row r="153" spans="1:107" s="1" customFormat="1" ht="21" customHeight="1">
      <c r="A153" s="5641" t="s">
        <v>1</v>
      </c>
      <c r="B153" s="5662" t="str">
        <f t="shared" si="69"/>
        <v>►</v>
      </c>
      <c r="C153" s="5825" cm="1">
        <f t="array" ref="C153">SUMPRODUCT(LEN(D153:J153))</f>
        <v>0</v>
      </c>
      <c r="D153" s="5275"/>
      <c r="E153" s="1361"/>
      <c r="F153" s="1361"/>
      <c r="G153" s="1361"/>
      <c r="H153" s="1361"/>
      <c r="I153" s="1361"/>
      <c r="J153" s="5276"/>
      <c r="K153" s="106"/>
      <c r="L153" s="1021" t="s">
        <v>26</v>
      </c>
      <c r="M153" s="6787"/>
      <c r="N153" s="6787"/>
      <c r="O153" s="6787"/>
      <c r="P153" s="6788"/>
      <c r="Q153" s="6789"/>
      <c r="R153" s="6790"/>
      <c r="S153" s="6786"/>
      <c r="T153" s="6791"/>
      <c r="U153" s="6844"/>
      <c r="V153" s="6791"/>
      <c r="W153" s="8487"/>
      <c r="X153" s="6871"/>
      <c r="Y153" s="6793"/>
      <c r="Z153" s="6794"/>
      <c r="AA153" s="6795"/>
      <c r="AB153" s="6796"/>
      <c r="AC153" s="6797"/>
      <c r="AD153" s="6798"/>
      <c r="AE153" s="4" t="s">
        <v>1</v>
      </c>
      <c r="AF153" s="6202" t="str">
        <f t="shared" si="71"/>
        <v>►</v>
      </c>
      <c r="AG153" s="6234" t="str">
        <f t="shared" si="72"/>
        <v/>
      </c>
      <c r="AH153" s="6732" t="str">
        <f t="shared" si="73"/>
        <v/>
      </c>
      <c r="AI153" s="6234" t="str">
        <f t="shared" si="74"/>
        <v/>
      </c>
      <c r="AJ153" s="6732" t="str">
        <f t="shared" si="75"/>
        <v/>
      </c>
      <c r="AK153" s="6732">
        <f t="shared" si="76"/>
        <v>0</v>
      </c>
      <c r="AL153" s="6230" t="str" cm="1">
        <f t="array" ref="AL153">IF(AF153&lt;&gt;"A","",IFERROR((IFERROR(_xlfn.XLOOKUP(TRIM(SUBSTITUTE(U153,CHAR(160)," ")),$BJ$15:$BJ$62,$BM$15:$BM$62),IFERROR(_xlfn.XLOOKUP(TRIM(SUBSTITUTE(U153,CHAR(160)," ")),$BK$15:$BK$62,$BM$15:$BM$62),_xlfn.XLOOKUP(TRIM(SUBSTITUTE(U153,CHAR(160)," ")),$BL$15:$BL$62,$BM$15:$BM$62))))*T153*IF(ISBLANK(Q153),1,Q153)+IFERROR(_xlfn.XLOOKUP("RECHERCHEX",TRIM(L153:AD153),L153:AD153),0),0))</f>
        <v/>
      </c>
      <c r="AM153" s="6229">
        <f t="shared" si="77"/>
        <v>0</v>
      </c>
      <c r="AN153" s="6857" t="str">
        <f t="shared" si="68"/>
        <v/>
      </c>
      <c r="AO153" s="392">
        <f t="shared" si="78"/>
        <v>0</v>
      </c>
      <c r="AP153" s="392">
        <f t="shared" si="79"/>
        <v>0</v>
      </c>
      <c r="AQ153" s="6191">
        <f t="shared" si="80"/>
        <v>0</v>
      </c>
      <c r="AR153" s="6859" t="str">
        <f t="shared" si="81"/>
        <v/>
      </c>
      <c r="AS153" s="6217"/>
      <c r="AT153" s="6217"/>
      <c r="AU153" s="6272">
        <f t="shared" si="82"/>
        <v>0</v>
      </c>
      <c r="AV153" s="6240">
        <f t="shared" si="83"/>
        <v>0</v>
      </c>
      <c r="AW153" s="6189" cm="1">
        <f t="array" ref="AW153">IF(AK153&lt;&gt;1,0,IF(OR(AU153="",N(AU153)&lt;=0.000000001),"",IF(OR(AO153="",N(AO153)&lt;=0.000000001),0,IF(ISNUMBER(AU153),IFERROR(_xlfn.LET(_xlpm.ai_test,TRIM(AJ153),_xlpm.r,IFERROR(_xlfn.XLOOKUP(_xlpm.ai_test,$BJ$15:$BJ$62,ROW($BJ$15:$BJ$62),0,1),IFERROR(_xlfn.XLOOKUP(_xlpm.ai_test,$BK$15:$BK$62,ROW($BK$15:$BK$62),0,1),_xlfn.XLOOKUP(_xlpm.ai_test,$BL$15:$BL$62,ROW($BL$15:$BL$62),0,1))),_xlpm.p,_xlpm.r-MIN(ROW($BJ$15:$BJ$62))+1,_xlpm.f,INDEX($BM$15:$BM$62,_xlpm.p),_xlpm.u,INDEX($BN$15:$BN$62,_xlpm.p),_xlpm.s,INDEX($BP$15:$BP$62,_xlpm.p),_xlpm.q,N(AU153)/_xlpm.f,IF(_xlpm.q&gt;=_xlpm.s,ROUND(_xlpm.q,1)&amp;" "&amp;_xlpm.ai_test&amp;" = "&amp;ROUND(_xlpm.q*_xlpm.f,1)&amp;" "&amp;_xlpm.u,ROUND(_xlpm.q,1)&amp;" "&amp;_xlpm.ai_test)),""),""))))</f>
        <v>0</v>
      </c>
      <c r="AX153" s="6218"/>
      <c r="AY153" s="6272">
        <f t="shared" si="84"/>
        <v>0</v>
      </c>
      <c r="AZ153" s="6240" t="str">
        <f t="shared" si="85"/>
        <v/>
      </c>
      <c r="BA153" s="6195">
        <f t="shared" si="90"/>
        <v>0</v>
      </c>
      <c r="BB153" s="6193" t="str">
        <f t="shared" si="86"/>
        <v/>
      </c>
      <c r="BC153" s="6219"/>
      <c r="BD153" s="6222">
        <f t="shared" si="67"/>
        <v>0</v>
      </c>
      <c r="BE153" s="6220" t="str">
        <f t="shared" si="87"/>
        <v/>
      </c>
      <c r="BF153" s="4" t="s">
        <v>1</v>
      </c>
      <c r="BG153" s="6196">
        <f t="shared" si="88"/>
        <v>0</v>
      </c>
      <c r="BH153" s="6197">
        <f t="shared" si="89"/>
        <v>0</v>
      </c>
      <c r="BI153"/>
      <c r="BR153"/>
      <c r="BS153"/>
      <c r="BT153"/>
      <c r="BU153"/>
      <c r="BV153"/>
      <c r="BW153"/>
      <c r="BX153" s="20" t="str">
        <f t="shared" si="70"/>
        <v>►</v>
      </c>
      <c r="BY153"/>
      <c r="BZ153"/>
      <c r="CA153"/>
      <c r="CB153"/>
      <c r="CC153"/>
      <c r="CD153" s="2"/>
      <c r="DC153" s="5">
        <v>1</v>
      </c>
    </row>
    <row r="154" spans="1:107" s="1" customFormat="1" ht="21" customHeight="1">
      <c r="A154" s="5641" t="s">
        <v>1</v>
      </c>
      <c r="B154" s="5662" t="str">
        <f t="shared" si="69"/>
        <v>►</v>
      </c>
      <c r="C154" s="5825" cm="1">
        <f t="array" ref="C154">SUMPRODUCT(LEN(D154:J154))</f>
        <v>0</v>
      </c>
      <c r="D154" s="5275"/>
      <c r="E154" s="1361"/>
      <c r="F154" s="1361"/>
      <c r="G154" s="1361"/>
      <c r="H154" s="1361"/>
      <c r="I154" s="1361"/>
      <c r="J154" s="5276"/>
      <c r="K154" s="106"/>
      <c r="L154" s="1021" t="s">
        <v>26</v>
      </c>
      <c r="M154" s="6787"/>
      <c r="N154" s="6787"/>
      <c r="O154" s="6787"/>
      <c r="P154" s="6788"/>
      <c r="Q154" s="6789"/>
      <c r="R154" s="6790"/>
      <c r="S154" s="6786"/>
      <c r="T154" s="6791"/>
      <c r="U154" s="6844"/>
      <c r="V154" s="6791"/>
      <c r="W154" s="8487"/>
      <c r="X154" s="6871"/>
      <c r="Y154" s="6793"/>
      <c r="Z154" s="6794"/>
      <c r="AA154" s="6795"/>
      <c r="AB154" s="6796"/>
      <c r="AC154" s="6797"/>
      <c r="AD154" s="6798"/>
      <c r="AE154" s="4" t="s">
        <v>1</v>
      </c>
      <c r="AF154" s="6202" t="str">
        <f t="shared" si="71"/>
        <v>►</v>
      </c>
      <c r="AG154" s="6234" t="str">
        <f t="shared" si="72"/>
        <v/>
      </c>
      <c r="AH154" s="6732" t="str">
        <f t="shared" si="73"/>
        <v/>
      </c>
      <c r="AI154" s="6234" t="str">
        <f t="shared" si="74"/>
        <v/>
      </c>
      <c r="AJ154" s="6732" t="str">
        <f t="shared" si="75"/>
        <v/>
      </c>
      <c r="AK154" s="6732">
        <f t="shared" si="76"/>
        <v>0</v>
      </c>
      <c r="AL154" s="6230" t="str" cm="1">
        <f t="array" ref="AL154">IF(AF154&lt;&gt;"A","",IFERROR((IFERROR(_xlfn.XLOOKUP(TRIM(SUBSTITUTE(U154,CHAR(160)," ")),$BJ$15:$BJ$62,$BM$15:$BM$62),IFERROR(_xlfn.XLOOKUP(TRIM(SUBSTITUTE(U154,CHAR(160)," ")),$BK$15:$BK$62,$BM$15:$BM$62),_xlfn.XLOOKUP(TRIM(SUBSTITUTE(U154,CHAR(160)," ")),$BL$15:$BL$62,$BM$15:$BM$62))))*T154*IF(ISBLANK(Q154),1,Q154)+IFERROR(_xlfn.XLOOKUP("RECHERCHEX",TRIM(L154:AD154),L154:AD154),0),0))</f>
        <v/>
      </c>
      <c r="AM154" s="6229">
        <f t="shared" si="77"/>
        <v>0</v>
      </c>
      <c r="AN154" s="6857" t="str">
        <f t="shared" si="68"/>
        <v/>
      </c>
      <c r="AO154" s="392">
        <f t="shared" si="78"/>
        <v>0</v>
      </c>
      <c r="AP154" s="392">
        <f t="shared" si="79"/>
        <v>0</v>
      </c>
      <c r="AQ154" s="6190">
        <f t="shared" si="80"/>
        <v>0</v>
      </c>
      <c r="AR154" s="6858" t="str">
        <f t="shared" si="81"/>
        <v/>
      </c>
      <c r="AS154" s="6217"/>
      <c r="AT154" s="6217"/>
      <c r="AU154" s="6271">
        <f t="shared" si="82"/>
        <v>0</v>
      </c>
      <c r="AV154" s="6242">
        <f t="shared" si="83"/>
        <v>0</v>
      </c>
      <c r="AW154" s="6188" cm="1">
        <f t="array" ref="AW154">IF(AK154&lt;&gt;1,0,IF(OR(AU154="",N(AU154)&lt;=0.000000001),"",IF(OR(AO154="",N(AO154)&lt;=0.000000001),0,IF(ISNUMBER(AU154),IFERROR(_xlfn.LET(_xlpm.ai_test,TRIM(AJ154),_xlpm.r,IFERROR(_xlfn.XLOOKUP(_xlpm.ai_test,$BJ$15:$BJ$62,ROW($BJ$15:$BJ$62),0,1),IFERROR(_xlfn.XLOOKUP(_xlpm.ai_test,$BK$15:$BK$62,ROW($BK$15:$BK$62),0,1),_xlfn.XLOOKUP(_xlpm.ai_test,$BL$15:$BL$62,ROW($BL$15:$BL$62),0,1))),_xlpm.p,_xlpm.r-MIN(ROW($BJ$15:$BJ$62))+1,_xlpm.f,INDEX($BM$15:$BM$62,_xlpm.p),_xlpm.u,INDEX($BN$15:$BN$62,_xlpm.p),_xlpm.s,INDEX($BP$15:$BP$62,_xlpm.p),_xlpm.q,N(AU154)/_xlpm.f,IF(_xlpm.q&gt;=_xlpm.s,ROUND(_xlpm.q,1)&amp;" "&amp;_xlpm.ai_test&amp;" = "&amp;ROUND(_xlpm.q*_xlpm.f,1)&amp;" "&amp;_xlpm.u,ROUND(_xlpm.q,1)&amp;" "&amp;_xlpm.ai_test)),""),""))))</f>
        <v>0</v>
      </c>
      <c r="AX154" s="6218"/>
      <c r="AY154" s="6271">
        <f t="shared" si="84"/>
        <v>0</v>
      </c>
      <c r="AZ154" s="6242" t="str">
        <f t="shared" si="85"/>
        <v/>
      </c>
      <c r="BA154" s="6194">
        <f t="shared" si="90"/>
        <v>0</v>
      </c>
      <c r="BB154" s="6192" t="str">
        <f t="shared" si="86"/>
        <v/>
      </c>
      <c r="BC154" s="6219"/>
      <c r="BD154" s="6221">
        <f t="shared" si="67"/>
        <v>0</v>
      </c>
      <c r="BE154" s="6220" t="str">
        <f t="shared" si="87"/>
        <v/>
      </c>
      <c r="BF154" s="4" t="s">
        <v>1</v>
      </c>
      <c r="BG154" s="6196">
        <f t="shared" si="88"/>
        <v>0</v>
      </c>
      <c r="BH154" s="6197">
        <f t="shared" si="89"/>
        <v>0</v>
      </c>
      <c r="BI154"/>
      <c r="BR154"/>
      <c r="BS154"/>
      <c r="BT154"/>
      <c r="BU154"/>
      <c r="BV154"/>
      <c r="BW154"/>
      <c r="BX154" s="20" t="str">
        <f t="shared" si="70"/>
        <v>►</v>
      </c>
      <c r="BY154"/>
      <c r="BZ154"/>
      <c r="CA154"/>
      <c r="CB154"/>
      <c r="CC154"/>
      <c r="CD154" s="2"/>
      <c r="CE154"/>
      <c r="CF154"/>
      <c r="CG154"/>
      <c r="CH154"/>
      <c r="CI154"/>
      <c r="CJ154"/>
      <c r="CK154"/>
      <c r="CM154"/>
      <c r="CN154"/>
      <c r="CO154"/>
      <c r="CP154"/>
      <c r="CQ154"/>
      <c r="CR154"/>
      <c r="CS154"/>
      <c r="CU154"/>
      <c r="CV154"/>
      <c r="CW154"/>
      <c r="CX154"/>
      <c r="CY154"/>
      <c r="CZ154"/>
      <c r="DA154"/>
      <c r="DC154" s="5">
        <v>1</v>
      </c>
    </row>
    <row r="155" spans="1:107" s="1" customFormat="1" ht="21" customHeight="1">
      <c r="A155" s="5641" t="s">
        <v>1</v>
      </c>
      <c r="B155" s="5662" t="str">
        <f t="shared" si="69"/>
        <v>►</v>
      </c>
      <c r="C155" s="5825" cm="1">
        <f t="array" ref="C155">SUMPRODUCT(LEN(D155:J155))</f>
        <v>0</v>
      </c>
      <c r="D155" s="5275"/>
      <c r="E155" s="1361"/>
      <c r="F155" s="1361"/>
      <c r="G155" s="1361"/>
      <c r="H155" s="1361"/>
      <c r="I155" s="1361"/>
      <c r="J155" s="5276"/>
      <c r="K155" s="106"/>
      <c r="L155" s="1021" t="s">
        <v>26</v>
      </c>
      <c r="M155" s="6787"/>
      <c r="N155" s="6787"/>
      <c r="O155" s="6787"/>
      <c r="P155" s="6788"/>
      <c r="Q155" s="6789"/>
      <c r="R155" s="6790"/>
      <c r="S155" s="6786"/>
      <c r="T155" s="6791"/>
      <c r="U155" s="6844"/>
      <c r="V155" s="6791"/>
      <c r="W155" s="8487"/>
      <c r="X155" s="6871"/>
      <c r="Y155" s="6793"/>
      <c r="Z155" s="6794"/>
      <c r="AA155" s="6795"/>
      <c r="AB155" s="6796"/>
      <c r="AC155" s="6797"/>
      <c r="AD155" s="6798"/>
      <c r="AE155" s="4" t="s">
        <v>1</v>
      </c>
      <c r="AF155" s="6202" t="str">
        <f t="shared" si="71"/>
        <v>►</v>
      </c>
      <c r="AG155" s="6234" t="str">
        <f t="shared" si="72"/>
        <v/>
      </c>
      <c r="AH155" s="6732" t="str">
        <f t="shared" si="73"/>
        <v/>
      </c>
      <c r="AI155" s="6234" t="str">
        <f t="shared" si="74"/>
        <v/>
      </c>
      <c r="AJ155" s="6732" t="str">
        <f t="shared" si="75"/>
        <v/>
      </c>
      <c r="AK155" s="6732">
        <f t="shared" si="76"/>
        <v>0</v>
      </c>
      <c r="AL155" s="6230" t="str" cm="1">
        <f t="array" ref="AL155">IF(AF155&lt;&gt;"A","",IFERROR((IFERROR(_xlfn.XLOOKUP(TRIM(SUBSTITUTE(U155,CHAR(160)," ")),$BJ$15:$BJ$62,$BM$15:$BM$62),IFERROR(_xlfn.XLOOKUP(TRIM(SUBSTITUTE(U155,CHAR(160)," ")),$BK$15:$BK$62,$BM$15:$BM$62),_xlfn.XLOOKUP(TRIM(SUBSTITUTE(U155,CHAR(160)," ")),$BL$15:$BL$62,$BM$15:$BM$62))))*T155*IF(ISBLANK(Q155),1,Q155)+IFERROR(_xlfn.XLOOKUP("RECHERCHEX",TRIM(L155:AD155),L155:AD155),0),0))</f>
        <v/>
      </c>
      <c r="AM155" s="6229">
        <f t="shared" si="77"/>
        <v>0</v>
      </c>
      <c r="AN155" s="6857" t="str">
        <f t="shared" si="68"/>
        <v/>
      </c>
      <c r="AO155" s="392">
        <f t="shared" si="78"/>
        <v>0</v>
      </c>
      <c r="AP155" s="392">
        <f t="shared" si="79"/>
        <v>0</v>
      </c>
      <c r="AQ155" s="6191">
        <f t="shared" si="80"/>
        <v>0</v>
      </c>
      <c r="AR155" s="6859" t="str">
        <f t="shared" si="81"/>
        <v/>
      </c>
      <c r="AS155" s="6217"/>
      <c r="AT155" s="6217"/>
      <c r="AU155" s="6272">
        <f t="shared" si="82"/>
        <v>0</v>
      </c>
      <c r="AV155" s="6240">
        <f t="shared" si="83"/>
        <v>0</v>
      </c>
      <c r="AW155" s="6189" cm="1">
        <f t="array" ref="AW155">IF(AK155&lt;&gt;1,0,IF(OR(AU155="",N(AU155)&lt;=0.000000001),"",IF(OR(AO155="",N(AO155)&lt;=0.000000001),0,IF(ISNUMBER(AU155),IFERROR(_xlfn.LET(_xlpm.ai_test,TRIM(AJ155),_xlpm.r,IFERROR(_xlfn.XLOOKUP(_xlpm.ai_test,$BJ$15:$BJ$62,ROW($BJ$15:$BJ$62),0,1),IFERROR(_xlfn.XLOOKUP(_xlpm.ai_test,$BK$15:$BK$62,ROW($BK$15:$BK$62),0,1),_xlfn.XLOOKUP(_xlpm.ai_test,$BL$15:$BL$62,ROW($BL$15:$BL$62),0,1))),_xlpm.p,_xlpm.r-MIN(ROW($BJ$15:$BJ$62))+1,_xlpm.f,INDEX($BM$15:$BM$62,_xlpm.p),_xlpm.u,INDEX($BN$15:$BN$62,_xlpm.p),_xlpm.s,INDEX($BP$15:$BP$62,_xlpm.p),_xlpm.q,N(AU155)/_xlpm.f,IF(_xlpm.q&gt;=_xlpm.s,ROUND(_xlpm.q,1)&amp;" "&amp;_xlpm.ai_test&amp;" = "&amp;ROUND(_xlpm.q*_xlpm.f,1)&amp;" "&amp;_xlpm.u,ROUND(_xlpm.q,1)&amp;" "&amp;_xlpm.ai_test)),""),""))))</f>
        <v>0</v>
      </c>
      <c r="AX155" s="6218"/>
      <c r="AY155" s="6272">
        <f t="shared" si="84"/>
        <v>0</v>
      </c>
      <c r="AZ155" s="6240" t="str">
        <f t="shared" si="85"/>
        <v/>
      </c>
      <c r="BA155" s="6195">
        <f t="shared" si="90"/>
        <v>0</v>
      </c>
      <c r="BB155" s="6193" t="str">
        <f t="shared" si="86"/>
        <v/>
      </c>
      <c r="BC155" s="6219"/>
      <c r="BD155" s="6222">
        <f t="shared" ref="BD155:BD218" si="91">IF(OR(AO155=0,ISBLANK(BC155),ISTEXT(BA155)),0,(IF(AU155=0,BA155,AU155)*BC155))</f>
        <v>0</v>
      </c>
      <c r="BE155" s="6220" t="str">
        <f t="shared" si="87"/>
        <v/>
      </c>
      <c r="BF155" s="4" t="s">
        <v>1</v>
      </c>
      <c r="BG155" s="6196">
        <f t="shared" si="88"/>
        <v>0</v>
      </c>
      <c r="BH155" s="6197">
        <f t="shared" si="89"/>
        <v>0</v>
      </c>
      <c r="BI155"/>
      <c r="BR155"/>
      <c r="BS155"/>
      <c r="BT155"/>
      <c r="BU155"/>
      <c r="BV155"/>
      <c r="BW155"/>
      <c r="BX155" s="20" t="str">
        <f t="shared" si="70"/>
        <v>►</v>
      </c>
      <c r="BY155"/>
      <c r="BZ155"/>
      <c r="CA155"/>
      <c r="CB155"/>
      <c r="CC155"/>
      <c r="CD155" s="2"/>
      <c r="CE155"/>
      <c r="CF155"/>
      <c r="CG155"/>
      <c r="CH155"/>
      <c r="CI155"/>
      <c r="CJ155"/>
      <c r="CK155"/>
      <c r="CM155"/>
      <c r="CN155"/>
      <c r="CO155"/>
      <c r="CP155"/>
      <c r="CQ155"/>
      <c r="CR155"/>
      <c r="CS155"/>
      <c r="CU155"/>
      <c r="CV155"/>
      <c r="CW155"/>
      <c r="CX155"/>
      <c r="CY155"/>
      <c r="CZ155"/>
      <c r="DA155"/>
      <c r="DC155" s="5">
        <v>1</v>
      </c>
    </row>
    <row r="156" spans="1:107" s="1" customFormat="1" ht="21" customHeight="1">
      <c r="A156" s="5641" t="s">
        <v>1</v>
      </c>
      <c r="B156" s="5662" t="str">
        <f t="shared" si="69"/>
        <v>►</v>
      </c>
      <c r="C156" s="5825" cm="1">
        <f t="array" ref="C156">SUMPRODUCT(LEN(D156:J156))</f>
        <v>0</v>
      </c>
      <c r="D156" s="5275"/>
      <c r="E156" s="1361"/>
      <c r="F156" s="1361"/>
      <c r="G156" s="1361"/>
      <c r="H156" s="1361"/>
      <c r="I156" s="1361"/>
      <c r="J156" s="5276"/>
      <c r="K156" s="106"/>
      <c r="L156" s="1021" t="s">
        <v>26</v>
      </c>
      <c r="M156" s="6787"/>
      <c r="N156" s="6787"/>
      <c r="O156" s="6787"/>
      <c r="P156" s="6788"/>
      <c r="Q156" s="6789"/>
      <c r="R156" s="6790"/>
      <c r="S156" s="6786"/>
      <c r="T156" s="6791"/>
      <c r="U156" s="6844"/>
      <c r="V156" s="6791"/>
      <c r="W156" s="8487"/>
      <c r="X156" s="6871"/>
      <c r="Y156" s="6793"/>
      <c r="Z156" s="6794"/>
      <c r="AA156" s="6795"/>
      <c r="AB156" s="6796"/>
      <c r="AC156" s="6797"/>
      <c r="AD156" s="6798"/>
      <c r="AE156" s="4" t="s">
        <v>1</v>
      </c>
      <c r="AF156" s="6202" t="str">
        <f t="shared" si="71"/>
        <v>►</v>
      </c>
      <c r="AG156" s="6234" t="str">
        <f t="shared" si="72"/>
        <v/>
      </c>
      <c r="AH156" s="6732" t="str">
        <f t="shared" si="73"/>
        <v/>
      </c>
      <c r="AI156" s="6234" t="str">
        <f t="shared" si="74"/>
        <v/>
      </c>
      <c r="AJ156" s="6732" t="str">
        <f t="shared" si="75"/>
        <v/>
      </c>
      <c r="AK156" s="6732">
        <f t="shared" si="76"/>
        <v>0</v>
      </c>
      <c r="AL156" s="6230" t="str" cm="1">
        <f t="array" ref="AL156">IF(AF156&lt;&gt;"A","",IFERROR((IFERROR(_xlfn.XLOOKUP(TRIM(SUBSTITUTE(U156,CHAR(160)," ")),$BJ$15:$BJ$62,$BM$15:$BM$62),IFERROR(_xlfn.XLOOKUP(TRIM(SUBSTITUTE(U156,CHAR(160)," ")),$BK$15:$BK$62,$BM$15:$BM$62),_xlfn.XLOOKUP(TRIM(SUBSTITUTE(U156,CHAR(160)," ")),$BL$15:$BL$62,$BM$15:$BM$62))))*T156*IF(ISBLANK(Q156),1,Q156)+IFERROR(_xlfn.XLOOKUP("RECHERCHEX",TRIM(L156:AD156),L156:AD156),0),0))</f>
        <v/>
      </c>
      <c r="AM156" s="6229">
        <f t="shared" si="77"/>
        <v>0</v>
      </c>
      <c r="AN156" s="6857" t="str">
        <f t="shared" si="68"/>
        <v/>
      </c>
      <c r="AO156" s="392">
        <f t="shared" si="78"/>
        <v>0</v>
      </c>
      <c r="AP156" s="392">
        <f t="shared" si="79"/>
        <v>0</v>
      </c>
      <c r="AQ156" s="6190">
        <f t="shared" si="80"/>
        <v>0</v>
      </c>
      <c r="AR156" s="6858" t="str">
        <f t="shared" si="81"/>
        <v/>
      </c>
      <c r="AS156" s="6217"/>
      <c r="AT156" s="6217"/>
      <c r="AU156" s="6271">
        <f t="shared" si="82"/>
        <v>0</v>
      </c>
      <c r="AV156" s="6242">
        <f t="shared" si="83"/>
        <v>0</v>
      </c>
      <c r="AW156" s="6188" cm="1">
        <f t="array" ref="AW156">IF(AK156&lt;&gt;1,0,IF(OR(AU156="",N(AU156)&lt;=0.000000001),"",IF(OR(AO156="",N(AO156)&lt;=0.000000001),0,IF(ISNUMBER(AU156),IFERROR(_xlfn.LET(_xlpm.ai_test,TRIM(AJ156),_xlpm.r,IFERROR(_xlfn.XLOOKUP(_xlpm.ai_test,$BJ$15:$BJ$62,ROW($BJ$15:$BJ$62),0,1),IFERROR(_xlfn.XLOOKUP(_xlpm.ai_test,$BK$15:$BK$62,ROW($BK$15:$BK$62),0,1),_xlfn.XLOOKUP(_xlpm.ai_test,$BL$15:$BL$62,ROW($BL$15:$BL$62),0,1))),_xlpm.p,_xlpm.r-MIN(ROW($BJ$15:$BJ$62))+1,_xlpm.f,INDEX($BM$15:$BM$62,_xlpm.p),_xlpm.u,INDEX($BN$15:$BN$62,_xlpm.p),_xlpm.s,INDEX($BP$15:$BP$62,_xlpm.p),_xlpm.q,N(AU156)/_xlpm.f,IF(_xlpm.q&gt;=_xlpm.s,ROUND(_xlpm.q,1)&amp;" "&amp;_xlpm.ai_test&amp;" = "&amp;ROUND(_xlpm.q*_xlpm.f,1)&amp;" "&amp;_xlpm.u,ROUND(_xlpm.q,1)&amp;" "&amp;_xlpm.ai_test)),""),""))))</f>
        <v>0</v>
      </c>
      <c r="AX156" s="6218"/>
      <c r="AY156" s="6271">
        <f t="shared" si="84"/>
        <v>0</v>
      </c>
      <c r="AZ156" s="6242" t="str">
        <f t="shared" si="85"/>
        <v/>
      </c>
      <c r="BA156" s="6194">
        <f t="shared" si="90"/>
        <v>0</v>
      </c>
      <c r="BB156" s="6192" t="str">
        <f t="shared" si="86"/>
        <v/>
      </c>
      <c r="BC156" s="6219"/>
      <c r="BD156" s="6221">
        <f t="shared" si="91"/>
        <v>0</v>
      </c>
      <c r="BE156" s="6220" t="str">
        <f t="shared" si="87"/>
        <v/>
      </c>
      <c r="BF156" s="4" t="s">
        <v>1</v>
      </c>
      <c r="BG156" s="6196">
        <f t="shared" si="88"/>
        <v>0</v>
      </c>
      <c r="BH156" s="6197">
        <f t="shared" si="89"/>
        <v>0</v>
      </c>
      <c r="BI156"/>
      <c r="BR156"/>
      <c r="BS156"/>
      <c r="BT156"/>
      <c r="BU156"/>
      <c r="BV156"/>
      <c r="BW156"/>
      <c r="BX156" s="20" t="str">
        <f t="shared" si="70"/>
        <v>►</v>
      </c>
      <c r="BY156"/>
      <c r="BZ156"/>
      <c r="CA156"/>
      <c r="CB156"/>
      <c r="CC156"/>
      <c r="CD156" s="2"/>
      <c r="CE156"/>
      <c r="CF156"/>
      <c r="CG156"/>
      <c r="CH156"/>
      <c r="CI156"/>
      <c r="CJ156"/>
      <c r="CK156"/>
      <c r="CM156"/>
      <c r="CN156"/>
      <c r="CO156"/>
      <c r="CP156"/>
      <c r="CQ156"/>
      <c r="CR156"/>
      <c r="CS156"/>
      <c r="CU156"/>
      <c r="CV156"/>
      <c r="CW156"/>
      <c r="CX156"/>
      <c r="CY156"/>
      <c r="CZ156"/>
      <c r="DA156"/>
      <c r="DC156" s="5">
        <v>1</v>
      </c>
    </row>
    <row r="157" spans="1:107" s="1" customFormat="1" ht="21" customHeight="1">
      <c r="A157" s="5641" t="s">
        <v>1</v>
      </c>
      <c r="B157" s="5662" t="str">
        <f t="shared" si="69"/>
        <v>►</v>
      </c>
      <c r="C157" s="5825" cm="1">
        <f t="array" ref="C157">SUMPRODUCT(LEN(D157:J157))</f>
        <v>0</v>
      </c>
      <c r="D157" s="5275"/>
      <c r="E157" s="1361"/>
      <c r="F157" s="1361"/>
      <c r="G157" s="1361"/>
      <c r="H157" s="1361"/>
      <c r="I157" s="1361"/>
      <c r="J157" s="5276"/>
      <c r="K157" s="106"/>
      <c r="L157" s="1021" t="s">
        <v>26</v>
      </c>
      <c r="M157" s="6787"/>
      <c r="N157" s="6787"/>
      <c r="O157" s="6787"/>
      <c r="P157" s="6788"/>
      <c r="Q157" s="6789"/>
      <c r="R157" s="6790"/>
      <c r="S157" s="6786"/>
      <c r="T157" s="6791"/>
      <c r="U157" s="6844"/>
      <c r="V157" s="6791"/>
      <c r="W157" s="8487"/>
      <c r="X157" s="6871"/>
      <c r="Y157" s="6793"/>
      <c r="Z157" s="6794"/>
      <c r="AA157" s="6795"/>
      <c r="AB157" s="6796"/>
      <c r="AC157" s="6797"/>
      <c r="AD157" s="6798"/>
      <c r="AE157" s="4" t="s">
        <v>1</v>
      </c>
      <c r="AF157" s="6202" t="str">
        <f t="shared" si="71"/>
        <v>►</v>
      </c>
      <c r="AG157" s="6234" t="str">
        <f t="shared" si="72"/>
        <v/>
      </c>
      <c r="AH157" s="6732" t="str">
        <f t="shared" si="73"/>
        <v/>
      </c>
      <c r="AI157" s="6234" t="str">
        <f t="shared" si="74"/>
        <v/>
      </c>
      <c r="AJ157" s="6732" t="str">
        <f t="shared" si="75"/>
        <v/>
      </c>
      <c r="AK157" s="6732">
        <f t="shared" si="76"/>
        <v>0</v>
      </c>
      <c r="AL157" s="6230" t="str" cm="1">
        <f t="array" ref="AL157">IF(AF157&lt;&gt;"A","",IFERROR((IFERROR(_xlfn.XLOOKUP(TRIM(SUBSTITUTE(U157,CHAR(160)," ")),$BJ$15:$BJ$62,$BM$15:$BM$62),IFERROR(_xlfn.XLOOKUP(TRIM(SUBSTITUTE(U157,CHAR(160)," ")),$BK$15:$BK$62,$BM$15:$BM$62),_xlfn.XLOOKUP(TRIM(SUBSTITUTE(U157,CHAR(160)," ")),$BL$15:$BL$62,$BM$15:$BM$62))))*T157*IF(ISBLANK(Q157),1,Q157)+IFERROR(_xlfn.XLOOKUP("RECHERCHEX",TRIM(L157:AD157),L157:AD157),0),0))</f>
        <v/>
      </c>
      <c r="AM157" s="6229">
        <f t="shared" si="77"/>
        <v>0</v>
      </c>
      <c r="AN157" s="6857" t="str">
        <f t="shared" si="68"/>
        <v/>
      </c>
      <c r="AO157" s="392">
        <f t="shared" si="78"/>
        <v>0</v>
      </c>
      <c r="AP157" s="392">
        <f t="shared" si="79"/>
        <v>0</v>
      </c>
      <c r="AQ157" s="6191">
        <f t="shared" si="80"/>
        <v>0</v>
      </c>
      <c r="AR157" s="6859" t="str">
        <f t="shared" si="81"/>
        <v/>
      </c>
      <c r="AS157" s="6217"/>
      <c r="AT157" s="6217"/>
      <c r="AU157" s="6272">
        <f t="shared" si="82"/>
        <v>0</v>
      </c>
      <c r="AV157" s="6240">
        <f t="shared" si="83"/>
        <v>0</v>
      </c>
      <c r="AW157" s="6189" cm="1">
        <f t="array" ref="AW157">IF(AK157&lt;&gt;1,0,IF(OR(AU157="",N(AU157)&lt;=0.000000001),"",IF(OR(AO157="",N(AO157)&lt;=0.000000001),0,IF(ISNUMBER(AU157),IFERROR(_xlfn.LET(_xlpm.ai_test,TRIM(AJ157),_xlpm.r,IFERROR(_xlfn.XLOOKUP(_xlpm.ai_test,$BJ$15:$BJ$62,ROW($BJ$15:$BJ$62),0,1),IFERROR(_xlfn.XLOOKUP(_xlpm.ai_test,$BK$15:$BK$62,ROW($BK$15:$BK$62),0,1),_xlfn.XLOOKUP(_xlpm.ai_test,$BL$15:$BL$62,ROW($BL$15:$BL$62),0,1))),_xlpm.p,_xlpm.r-MIN(ROW($BJ$15:$BJ$62))+1,_xlpm.f,INDEX($BM$15:$BM$62,_xlpm.p),_xlpm.u,INDEX($BN$15:$BN$62,_xlpm.p),_xlpm.s,INDEX($BP$15:$BP$62,_xlpm.p),_xlpm.q,N(AU157)/_xlpm.f,IF(_xlpm.q&gt;=_xlpm.s,ROUND(_xlpm.q,1)&amp;" "&amp;_xlpm.ai_test&amp;" = "&amp;ROUND(_xlpm.q*_xlpm.f,1)&amp;" "&amp;_xlpm.u,ROUND(_xlpm.q,1)&amp;" "&amp;_xlpm.ai_test)),""),""))))</f>
        <v>0</v>
      </c>
      <c r="AX157" s="6218"/>
      <c r="AY157" s="6272">
        <f t="shared" si="84"/>
        <v>0</v>
      </c>
      <c r="AZ157" s="6240" t="str">
        <f t="shared" si="85"/>
        <v/>
      </c>
      <c r="BA157" s="6195">
        <f t="shared" si="90"/>
        <v>0</v>
      </c>
      <c r="BB157" s="6193" t="str">
        <f t="shared" si="86"/>
        <v/>
      </c>
      <c r="BC157" s="6219"/>
      <c r="BD157" s="6222">
        <f t="shared" si="91"/>
        <v>0</v>
      </c>
      <c r="BE157" s="6220" t="str">
        <f t="shared" si="87"/>
        <v/>
      </c>
      <c r="BF157" s="4" t="s">
        <v>1</v>
      </c>
      <c r="BG157" s="6196">
        <f t="shared" si="88"/>
        <v>0</v>
      </c>
      <c r="BH157" s="6197">
        <f t="shared" si="89"/>
        <v>0</v>
      </c>
      <c r="BI157"/>
      <c r="BR157"/>
      <c r="BS157"/>
      <c r="BT157"/>
      <c r="BU157"/>
      <c r="BV157"/>
      <c r="BW157"/>
      <c r="BX157" s="20" t="str">
        <f t="shared" si="70"/>
        <v>►</v>
      </c>
      <c r="BY157"/>
      <c r="BZ157"/>
      <c r="CA157"/>
      <c r="CB157"/>
      <c r="CC157"/>
      <c r="CD157" s="2"/>
      <c r="CE157"/>
      <c r="CF157"/>
      <c r="CG157"/>
      <c r="CH157"/>
      <c r="CI157"/>
      <c r="CJ157"/>
      <c r="CK157"/>
      <c r="CM157"/>
      <c r="CN157"/>
      <c r="CO157"/>
      <c r="CP157"/>
      <c r="CQ157"/>
      <c r="CR157"/>
      <c r="CS157"/>
      <c r="CU157"/>
      <c r="CV157"/>
      <c r="CW157"/>
      <c r="CX157"/>
      <c r="CY157"/>
      <c r="CZ157"/>
      <c r="DA157"/>
      <c r="DC157" s="5">
        <v>1</v>
      </c>
    </row>
    <row r="158" spans="1:107" s="1" customFormat="1" ht="21" customHeight="1">
      <c r="A158" s="5641" t="s">
        <v>1</v>
      </c>
      <c r="B158" s="5662" t="str">
        <f t="shared" si="69"/>
        <v>►</v>
      </c>
      <c r="C158" s="5825" cm="1">
        <f t="array" ref="C158">SUMPRODUCT(LEN(D158:J158))</f>
        <v>0</v>
      </c>
      <c r="D158" s="5275"/>
      <c r="E158" s="1361"/>
      <c r="F158" s="1361"/>
      <c r="G158" s="1361"/>
      <c r="H158" s="1361"/>
      <c r="I158" s="1361"/>
      <c r="J158" s="5276"/>
      <c r="K158" s="106" t="s">
        <v>1</v>
      </c>
      <c r="L158" s="1021" t="s">
        <v>26</v>
      </c>
      <c r="M158" s="6787"/>
      <c r="N158" s="6787"/>
      <c r="O158" s="6787"/>
      <c r="P158" s="6788"/>
      <c r="Q158" s="6789"/>
      <c r="R158" s="6790"/>
      <c r="S158" s="6786"/>
      <c r="T158" s="6791"/>
      <c r="U158" s="6844"/>
      <c r="V158" s="6791"/>
      <c r="W158" s="8487"/>
      <c r="X158" s="6871"/>
      <c r="Y158" s="6793"/>
      <c r="Z158" s="6794"/>
      <c r="AA158" s="6795"/>
      <c r="AB158" s="6796"/>
      <c r="AC158" s="6797"/>
      <c r="AD158" s="6798"/>
      <c r="AE158" s="4" t="s">
        <v>1</v>
      </c>
      <c r="AF158" s="6202" t="str">
        <f t="shared" si="71"/>
        <v>►</v>
      </c>
      <c r="AG158" s="6234" t="str">
        <f t="shared" si="72"/>
        <v/>
      </c>
      <c r="AH158" s="6732" t="str">
        <f t="shared" si="73"/>
        <v/>
      </c>
      <c r="AI158" s="6234" t="str">
        <f t="shared" si="74"/>
        <v/>
      </c>
      <c r="AJ158" s="6732" t="str">
        <f t="shared" si="75"/>
        <v/>
      </c>
      <c r="AK158" s="6732">
        <f t="shared" si="76"/>
        <v>0</v>
      </c>
      <c r="AL158" s="6230" t="str" cm="1">
        <f t="array" ref="AL158">IF(AF158&lt;&gt;"A","",IFERROR((IFERROR(_xlfn.XLOOKUP(TRIM(SUBSTITUTE(U158,CHAR(160)," ")),$BJ$15:$BJ$62,$BM$15:$BM$62),IFERROR(_xlfn.XLOOKUP(TRIM(SUBSTITUTE(U158,CHAR(160)," ")),$BK$15:$BK$62,$BM$15:$BM$62),_xlfn.XLOOKUP(TRIM(SUBSTITUTE(U158,CHAR(160)," ")),$BL$15:$BL$62,$BM$15:$BM$62))))*T158*IF(ISBLANK(Q158),1,Q158)+IFERROR(_xlfn.XLOOKUP("RECHERCHEX",TRIM(L158:AD158),L158:AD158),0),0))</f>
        <v/>
      </c>
      <c r="AM158" s="6229">
        <f t="shared" si="77"/>
        <v>0</v>
      </c>
      <c r="AN158" s="6857" t="str">
        <f t="shared" ref="AN158:AN221" si="92">IF(AF158="A","❾ Author reference &gt;","")</f>
        <v/>
      </c>
      <c r="AO158" s="392">
        <f t="shared" si="78"/>
        <v>0</v>
      </c>
      <c r="AP158" s="392">
        <f t="shared" si="79"/>
        <v>0</v>
      </c>
      <c r="AQ158" s="6190">
        <f t="shared" si="80"/>
        <v>0</v>
      </c>
      <c r="AR158" s="6858" t="str">
        <f t="shared" si="81"/>
        <v/>
      </c>
      <c r="AS158" s="6217"/>
      <c r="AT158" s="6217"/>
      <c r="AU158" s="6271">
        <f t="shared" si="82"/>
        <v>0</v>
      </c>
      <c r="AV158" s="6242">
        <f t="shared" si="83"/>
        <v>0</v>
      </c>
      <c r="AW158" s="6188" cm="1">
        <f t="array" ref="AW158">IF(AK158&lt;&gt;1,0,IF(OR(AU158="",N(AU158)&lt;=0.000000001),"",IF(OR(AO158="",N(AO158)&lt;=0.000000001),0,IF(ISNUMBER(AU158),IFERROR(_xlfn.LET(_xlpm.ai_test,TRIM(AJ158),_xlpm.r,IFERROR(_xlfn.XLOOKUP(_xlpm.ai_test,$BJ$15:$BJ$62,ROW($BJ$15:$BJ$62),0,1),IFERROR(_xlfn.XLOOKUP(_xlpm.ai_test,$BK$15:$BK$62,ROW($BK$15:$BK$62),0,1),_xlfn.XLOOKUP(_xlpm.ai_test,$BL$15:$BL$62,ROW($BL$15:$BL$62),0,1))),_xlpm.p,_xlpm.r-MIN(ROW($BJ$15:$BJ$62))+1,_xlpm.f,INDEX($BM$15:$BM$62,_xlpm.p),_xlpm.u,INDEX($BN$15:$BN$62,_xlpm.p),_xlpm.s,INDEX($BP$15:$BP$62,_xlpm.p),_xlpm.q,N(AU158)/_xlpm.f,IF(_xlpm.q&gt;=_xlpm.s,ROUND(_xlpm.q,1)&amp;" "&amp;_xlpm.ai_test&amp;" = "&amp;ROUND(_xlpm.q*_xlpm.f,1)&amp;" "&amp;_xlpm.u,ROUND(_xlpm.q,1)&amp;" "&amp;_xlpm.ai_test)),""),""))))</f>
        <v>0</v>
      </c>
      <c r="AX158" s="6218"/>
      <c r="AY158" s="6271">
        <f t="shared" si="84"/>
        <v>0</v>
      </c>
      <c r="AZ158" s="6242" t="str">
        <f t="shared" si="85"/>
        <v/>
      </c>
      <c r="BA158" s="6194">
        <f t="shared" si="90"/>
        <v>0</v>
      </c>
      <c r="BB158" s="6192" t="str">
        <f t="shared" si="86"/>
        <v/>
      </c>
      <c r="BC158" s="6219"/>
      <c r="BD158" s="6221">
        <f t="shared" si="91"/>
        <v>0</v>
      </c>
      <c r="BE158" s="6220" t="str">
        <f t="shared" si="87"/>
        <v/>
      </c>
      <c r="BF158" s="4" t="s">
        <v>1</v>
      </c>
      <c r="BG158" s="6196">
        <f t="shared" si="88"/>
        <v>0</v>
      </c>
      <c r="BH158" s="6197">
        <f t="shared" si="89"/>
        <v>0</v>
      </c>
      <c r="BI158"/>
      <c r="BR158"/>
      <c r="BS158"/>
      <c r="BT158"/>
      <c r="BU158"/>
      <c r="BV158"/>
      <c r="BW158"/>
      <c r="BX158" s="20" t="str">
        <f t="shared" si="70"/>
        <v>►</v>
      </c>
      <c r="BY158"/>
      <c r="BZ158"/>
      <c r="CA158"/>
      <c r="CB158"/>
      <c r="CC158"/>
      <c r="CD158" s="2"/>
      <c r="CE158"/>
      <c r="CF158"/>
      <c r="CG158"/>
      <c r="CH158"/>
      <c r="CI158"/>
      <c r="CJ158"/>
      <c r="CK158"/>
      <c r="CM158"/>
      <c r="CN158"/>
      <c r="CO158"/>
      <c r="CP158"/>
      <c r="CQ158"/>
      <c r="CR158"/>
      <c r="CS158"/>
      <c r="CU158"/>
      <c r="CV158"/>
      <c r="CW158"/>
      <c r="CX158"/>
      <c r="CY158"/>
      <c r="CZ158"/>
      <c r="DA158"/>
      <c r="DC158" s="5">
        <v>1</v>
      </c>
    </row>
    <row r="159" spans="1:107" s="1" customFormat="1" ht="21" customHeight="1">
      <c r="A159" s="5641" t="s">
        <v>1</v>
      </c>
      <c r="B159" s="5662" t="str">
        <f t="shared" si="69"/>
        <v>►</v>
      </c>
      <c r="C159" s="5825" cm="1">
        <f t="array" ref="C159">SUMPRODUCT(LEN(D159:J159))</f>
        <v>0</v>
      </c>
      <c r="D159" s="5275"/>
      <c r="E159" s="1361"/>
      <c r="F159" s="1361"/>
      <c r="G159" s="1361"/>
      <c r="H159" s="1361"/>
      <c r="I159" s="1361"/>
      <c r="J159" s="5276"/>
      <c r="K159" s="106" t="s">
        <v>1</v>
      </c>
      <c r="L159" s="1021" t="s">
        <v>26</v>
      </c>
      <c r="M159" s="6787"/>
      <c r="N159" s="6787"/>
      <c r="O159" s="6787"/>
      <c r="P159" s="6788"/>
      <c r="Q159" s="6789"/>
      <c r="R159" s="6790"/>
      <c r="S159" s="6786"/>
      <c r="T159" s="6791"/>
      <c r="U159" s="6844"/>
      <c r="V159" s="6791"/>
      <c r="W159" s="8487"/>
      <c r="X159" s="6871"/>
      <c r="Y159" s="6793"/>
      <c r="Z159" s="6794"/>
      <c r="AA159" s="6795"/>
      <c r="AB159" s="6796"/>
      <c r="AC159" s="6797"/>
      <c r="AD159" s="6798"/>
      <c r="AE159" s="4" t="s">
        <v>1</v>
      </c>
      <c r="AF159" s="6202" t="str">
        <f t="shared" si="71"/>
        <v>►</v>
      </c>
      <c r="AG159" s="6234" t="str">
        <f t="shared" si="72"/>
        <v/>
      </c>
      <c r="AH159" s="6732" t="str">
        <f t="shared" si="73"/>
        <v/>
      </c>
      <c r="AI159" s="6234" t="str">
        <f t="shared" si="74"/>
        <v/>
      </c>
      <c r="AJ159" s="6732" t="str">
        <f t="shared" si="75"/>
        <v/>
      </c>
      <c r="AK159" s="6732">
        <f t="shared" si="76"/>
        <v>0</v>
      </c>
      <c r="AL159" s="6230" t="str" cm="1">
        <f t="array" ref="AL159">IF(AF159&lt;&gt;"A","",IFERROR((IFERROR(_xlfn.XLOOKUP(TRIM(SUBSTITUTE(U159,CHAR(160)," ")),$BJ$15:$BJ$62,$BM$15:$BM$62),IFERROR(_xlfn.XLOOKUP(TRIM(SUBSTITUTE(U159,CHAR(160)," ")),$BK$15:$BK$62,$BM$15:$BM$62),_xlfn.XLOOKUP(TRIM(SUBSTITUTE(U159,CHAR(160)," ")),$BL$15:$BL$62,$BM$15:$BM$62))))*T159*IF(ISBLANK(Q159),1,Q159)+IFERROR(_xlfn.XLOOKUP("RECHERCHEX",TRIM(L159:AD159),L159:AD159),0),0))</f>
        <v/>
      </c>
      <c r="AM159" s="6229">
        <f t="shared" si="77"/>
        <v>0</v>
      </c>
      <c r="AN159" s="6857" t="str">
        <f t="shared" si="92"/>
        <v/>
      </c>
      <c r="AO159" s="392">
        <f t="shared" si="78"/>
        <v>0</v>
      </c>
      <c r="AP159" s="392">
        <f t="shared" si="79"/>
        <v>0</v>
      </c>
      <c r="AQ159" s="6191">
        <f t="shared" si="80"/>
        <v>0</v>
      </c>
      <c r="AR159" s="6859" t="str">
        <f t="shared" si="81"/>
        <v/>
      </c>
      <c r="AS159" s="6217"/>
      <c r="AT159" s="6217"/>
      <c r="AU159" s="6272">
        <f t="shared" si="82"/>
        <v>0</v>
      </c>
      <c r="AV159" s="6240">
        <f t="shared" si="83"/>
        <v>0</v>
      </c>
      <c r="AW159" s="6189" cm="1">
        <f t="array" ref="AW159">IF(AK159&lt;&gt;1,0,IF(OR(AU159="",N(AU159)&lt;=0.000000001),"",IF(OR(AO159="",N(AO159)&lt;=0.000000001),0,IF(ISNUMBER(AU159),IFERROR(_xlfn.LET(_xlpm.ai_test,TRIM(AJ159),_xlpm.r,IFERROR(_xlfn.XLOOKUP(_xlpm.ai_test,$BJ$15:$BJ$62,ROW($BJ$15:$BJ$62),0,1),IFERROR(_xlfn.XLOOKUP(_xlpm.ai_test,$BK$15:$BK$62,ROW($BK$15:$BK$62),0,1),_xlfn.XLOOKUP(_xlpm.ai_test,$BL$15:$BL$62,ROW($BL$15:$BL$62),0,1))),_xlpm.p,_xlpm.r-MIN(ROW($BJ$15:$BJ$62))+1,_xlpm.f,INDEX($BM$15:$BM$62,_xlpm.p),_xlpm.u,INDEX($BN$15:$BN$62,_xlpm.p),_xlpm.s,INDEX($BP$15:$BP$62,_xlpm.p),_xlpm.q,N(AU159)/_xlpm.f,IF(_xlpm.q&gt;=_xlpm.s,ROUND(_xlpm.q,1)&amp;" "&amp;_xlpm.ai_test&amp;" = "&amp;ROUND(_xlpm.q*_xlpm.f,1)&amp;" "&amp;_xlpm.u,ROUND(_xlpm.q,1)&amp;" "&amp;_xlpm.ai_test)),""),""))))</f>
        <v>0</v>
      </c>
      <c r="AX159" s="6218"/>
      <c r="AY159" s="6272">
        <f t="shared" si="84"/>
        <v>0</v>
      </c>
      <c r="AZ159" s="6240" t="str">
        <f t="shared" si="85"/>
        <v/>
      </c>
      <c r="BA159" s="6195">
        <f t="shared" si="90"/>
        <v>0</v>
      </c>
      <c r="BB159" s="6193" t="str">
        <f t="shared" si="86"/>
        <v/>
      </c>
      <c r="BC159" s="6219"/>
      <c r="BD159" s="6222">
        <f t="shared" si="91"/>
        <v>0</v>
      </c>
      <c r="BE159" s="6220" t="str">
        <f t="shared" si="87"/>
        <v/>
      </c>
      <c r="BF159" s="4" t="s">
        <v>1</v>
      </c>
      <c r="BG159" s="6196">
        <f t="shared" si="88"/>
        <v>0</v>
      </c>
      <c r="BH159" s="6197">
        <f t="shared" si="89"/>
        <v>0</v>
      </c>
      <c r="BI159"/>
      <c r="BR159"/>
      <c r="BS159"/>
      <c r="BT159"/>
      <c r="BU159"/>
      <c r="BV159"/>
      <c r="BW159"/>
      <c r="BX159" s="20" t="str">
        <f t="shared" si="70"/>
        <v>►</v>
      </c>
      <c r="BY159"/>
      <c r="BZ159"/>
      <c r="CA159"/>
      <c r="CB159"/>
      <c r="CC159"/>
      <c r="CD159" s="2"/>
      <c r="CE159"/>
      <c r="CF159"/>
      <c r="CG159"/>
      <c r="CH159"/>
      <c r="CI159"/>
      <c r="CJ159"/>
      <c r="CK159"/>
      <c r="CM159"/>
      <c r="CN159"/>
      <c r="CO159"/>
      <c r="CP159"/>
      <c r="CQ159"/>
      <c r="CR159"/>
      <c r="CS159"/>
      <c r="CU159"/>
      <c r="CV159"/>
      <c r="CW159"/>
      <c r="CX159"/>
      <c r="CY159"/>
      <c r="CZ159"/>
      <c r="DA159"/>
      <c r="DC159" s="5">
        <v>1</v>
      </c>
    </row>
    <row r="160" spans="1:107" s="1" customFormat="1" ht="21" customHeight="1">
      <c r="A160" s="5641" t="s">
        <v>1</v>
      </c>
      <c r="B160" s="5662" t="str">
        <f t="shared" si="69"/>
        <v>►</v>
      </c>
      <c r="C160" s="5825" cm="1">
        <f t="array" ref="C160">SUMPRODUCT(LEN(D160:J160))</f>
        <v>0</v>
      </c>
      <c r="D160" s="5275"/>
      <c r="E160" s="1361"/>
      <c r="F160" s="1361"/>
      <c r="G160" s="1361"/>
      <c r="H160" s="1361"/>
      <c r="I160" s="1361"/>
      <c r="J160" s="5276"/>
      <c r="K160" s="106" t="s">
        <v>1</v>
      </c>
      <c r="L160" s="1021" t="s">
        <v>26</v>
      </c>
      <c r="M160" s="6787"/>
      <c r="N160" s="6787"/>
      <c r="O160" s="6787"/>
      <c r="P160" s="6788"/>
      <c r="Q160" s="6789"/>
      <c r="R160" s="6790"/>
      <c r="S160" s="6786"/>
      <c r="T160" s="6791"/>
      <c r="U160" s="6844"/>
      <c r="V160" s="6791"/>
      <c r="W160" s="8487"/>
      <c r="X160" s="6871"/>
      <c r="Y160" s="6793"/>
      <c r="Z160" s="6794"/>
      <c r="AA160" s="6795"/>
      <c r="AB160" s="6796"/>
      <c r="AC160" s="6797"/>
      <c r="AD160" s="6798"/>
      <c r="AE160" s="4" t="s">
        <v>1</v>
      </c>
      <c r="AF160" s="6202" t="str">
        <f t="shared" si="71"/>
        <v>►</v>
      </c>
      <c r="AG160" s="6234" t="str">
        <f t="shared" si="72"/>
        <v/>
      </c>
      <c r="AH160" s="6732" t="str">
        <f t="shared" si="73"/>
        <v/>
      </c>
      <c r="AI160" s="6234" t="str">
        <f t="shared" si="74"/>
        <v/>
      </c>
      <c r="AJ160" s="6732" t="str">
        <f t="shared" si="75"/>
        <v/>
      </c>
      <c r="AK160" s="6732">
        <f t="shared" si="76"/>
        <v>0</v>
      </c>
      <c r="AL160" s="6230" t="str" cm="1">
        <f t="array" ref="AL160">IF(AF160&lt;&gt;"A","",IFERROR((IFERROR(_xlfn.XLOOKUP(TRIM(SUBSTITUTE(U160,CHAR(160)," ")),$BJ$15:$BJ$62,$BM$15:$BM$62),IFERROR(_xlfn.XLOOKUP(TRIM(SUBSTITUTE(U160,CHAR(160)," ")),$BK$15:$BK$62,$BM$15:$BM$62),_xlfn.XLOOKUP(TRIM(SUBSTITUTE(U160,CHAR(160)," ")),$BL$15:$BL$62,$BM$15:$BM$62))))*T160*IF(ISBLANK(Q160),1,Q160)+IFERROR(_xlfn.XLOOKUP("RECHERCHEX",TRIM(L160:AD160),L160:AD160),0),0))</f>
        <v/>
      </c>
      <c r="AM160" s="6229">
        <f t="shared" si="77"/>
        <v>0</v>
      </c>
      <c r="AN160" s="6857" t="str">
        <f t="shared" si="92"/>
        <v/>
      </c>
      <c r="AO160" s="392">
        <f t="shared" si="78"/>
        <v>0</v>
      </c>
      <c r="AP160" s="392">
        <f t="shared" si="79"/>
        <v>0</v>
      </c>
      <c r="AQ160" s="6190">
        <f t="shared" si="80"/>
        <v>0</v>
      </c>
      <c r="AR160" s="6858" t="str">
        <f t="shared" si="81"/>
        <v/>
      </c>
      <c r="AS160" s="6217"/>
      <c r="AT160" s="6217"/>
      <c r="AU160" s="6271">
        <f t="shared" si="82"/>
        <v>0</v>
      </c>
      <c r="AV160" s="6242">
        <f t="shared" si="83"/>
        <v>0</v>
      </c>
      <c r="AW160" s="6188" cm="1">
        <f t="array" ref="AW160">IF(AK160&lt;&gt;1,0,IF(OR(AU160="",N(AU160)&lt;=0.000000001),"",IF(OR(AO160="",N(AO160)&lt;=0.000000001),0,IF(ISNUMBER(AU160),IFERROR(_xlfn.LET(_xlpm.ai_test,TRIM(AJ160),_xlpm.r,IFERROR(_xlfn.XLOOKUP(_xlpm.ai_test,$BJ$15:$BJ$62,ROW($BJ$15:$BJ$62),0,1),IFERROR(_xlfn.XLOOKUP(_xlpm.ai_test,$BK$15:$BK$62,ROW($BK$15:$BK$62),0,1),_xlfn.XLOOKUP(_xlpm.ai_test,$BL$15:$BL$62,ROW($BL$15:$BL$62),0,1))),_xlpm.p,_xlpm.r-MIN(ROW($BJ$15:$BJ$62))+1,_xlpm.f,INDEX($BM$15:$BM$62,_xlpm.p),_xlpm.u,INDEX($BN$15:$BN$62,_xlpm.p),_xlpm.s,INDEX($BP$15:$BP$62,_xlpm.p),_xlpm.q,N(AU160)/_xlpm.f,IF(_xlpm.q&gt;=_xlpm.s,ROUND(_xlpm.q,1)&amp;" "&amp;_xlpm.ai_test&amp;" = "&amp;ROUND(_xlpm.q*_xlpm.f,1)&amp;" "&amp;_xlpm.u,ROUND(_xlpm.q,1)&amp;" "&amp;_xlpm.ai_test)),""),""))))</f>
        <v>0</v>
      </c>
      <c r="AX160" s="6218"/>
      <c r="AY160" s="6271">
        <f t="shared" si="84"/>
        <v>0</v>
      </c>
      <c r="AZ160" s="6242" t="str">
        <f t="shared" si="85"/>
        <v/>
      </c>
      <c r="BA160" s="6194">
        <f t="shared" si="90"/>
        <v>0</v>
      </c>
      <c r="BB160" s="6192" t="str">
        <f t="shared" si="86"/>
        <v/>
      </c>
      <c r="BC160" s="6219"/>
      <c r="BD160" s="6221">
        <f t="shared" si="91"/>
        <v>0</v>
      </c>
      <c r="BE160" s="6220" t="str">
        <f t="shared" si="87"/>
        <v/>
      </c>
      <c r="BF160" s="4" t="s">
        <v>1</v>
      </c>
      <c r="BG160" s="6196">
        <f t="shared" si="88"/>
        <v>0</v>
      </c>
      <c r="BH160" s="6197">
        <f t="shared" si="89"/>
        <v>0</v>
      </c>
      <c r="BI160"/>
      <c r="BR160"/>
      <c r="BS160"/>
      <c r="BT160"/>
      <c r="BU160"/>
      <c r="BV160"/>
      <c r="BW160"/>
      <c r="BX160" s="20" t="str">
        <f t="shared" si="70"/>
        <v>►</v>
      </c>
      <c r="BY160"/>
      <c r="BZ160"/>
      <c r="CA160"/>
      <c r="CB160"/>
      <c r="CC160"/>
      <c r="CD160" s="2"/>
      <c r="CE160"/>
      <c r="CF160"/>
      <c r="CG160"/>
      <c r="CH160"/>
      <c r="CI160"/>
      <c r="CJ160"/>
      <c r="CK160"/>
      <c r="CM160"/>
      <c r="CN160"/>
      <c r="CO160"/>
      <c r="CP160"/>
      <c r="CQ160"/>
      <c r="CR160"/>
      <c r="CS160"/>
      <c r="CU160"/>
      <c r="CV160"/>
      <c r="CW160"/>
      <c r="CX160"/>
      <c r="CY160"/>
      <c r="CZ160"/>
      <c r="DA160"/>
      <c r="DC160" s="5">
        <v>1</v>
      </c>
    </row>
    <row r="161" spans="1:107" s="1" customFormat="1" ht="21" customHeight="1">
      <c r="A161" s="5641" t="s">
        <v>1</v>
      </c>
      <c r="B161" s="5662" t="str">
        <f t="shared" si="69"/>
        <v>►</v>
      </c>
      <c r="C161" s="5825" cm="1">
        <f t="array" ref="C161">SUMPRODUCT(LEN(D161:J161))</f>
        <v>0</v>
      </c>
      <c r="D161" s="5275"/>
      <c r="E161" s="1361"/>
      <c r="F161" s="1361"/>
      <c r="G161" s="1361"/>
      <c r="H161" s="1361"/>
      <c r="I161" s="1361"/>
      <c r="J161" s="5276"/>
      <c r="K161" s="106" t="s">
        <v>1</v>
      </c>
      <c r="L161" s="1021" t="s">
        <v>26</v>
      </c>
      <c r="M161" s="6787"/>
      <c r="N161" s="6787"/>
      <c r="O161" s="6787"/>
      <c r="P161" s="6788"/>
      <c r="Q161" s="6789"/>
      <c r="R161" s="6790"/>
      <c r="S161" s="6786"/>
      <c r="T161" s="6791"/>
      <c r="U161" s="6844"/>
      <c r="V161" s="6791"/>
      <c r="W161" s="8487"/>
      <c r="X161" s="6871"/>
      <c r="Y161" s="6793"/>
      <c r="Z161" s="6794"/>
      <c r="AA161" s="6795"/>
      <c r="AB161" s="6796"/>
      <c r="AC161" s="6797"/>
      <c r="AD161" s="6798"/>
      <c r="AE161" s="4" t="s">
        <v>1</v>
      </c>
      <c r="AF161" s="6202" t="str">
        <f t="shared" si="71"/>
        <v>►</v>
      </c>
      <c r="AG161" s="6234" t="str">
        <f t="shared" si="72"/>
        <v/>
      </c>
      <c r="AH161" s="6732" t="str">
        <f t="shared" si="73"/>
        <v/>
      </c>
      <c r="AI161" s="6234" t="str">
        <f t="shared" si="74"/>
        <v/>
      </c>
      <c r="AJ161" s="6732" t="str">
        <f t="shared" si="75"/>
        <v/>
      </c>
      <c r="AK161" s="6732">
        <f t="shared" si="76"/>
        <v>0</v>
      </c>
      <c r="AL161" s="6230" t="str" cm="1">
        <f t="array" ref="AL161">IF(AF161&lt;&gt;"A","",IFERROR((IFERROR(_xlfn.XLOOKUP(TRIM(SUBSTITUTE(U161,CHAR(160)," ")),$BJ$15:$BJ$62,$BM$15:$BM$62),IFERROR(_xlfn.XLOOKUP(TRIM(SUBSTITUTE(U161,CHAR(160)," ")),$BK$15:$BK$62,$BM$15:$BM$62),_xlfn.XLOOKUP(TRIM(SUBSTITUTE(U161,CHAR(160)," ")),$BL$15:$BL$62,$BM$15:$BM$62))))*T161*IF(ISBLANK(Q161),1,Q161)+IFERROR(_xlfn.XLOOKUP("RECHERCHEX",TRIM(L161:AD161),L161:AD161),0),0))</f>
        <v/>
      </c>
      <c r="AM161" s="6229">
        <f t="shared" si="77"/>
        <v>0</v>
      </c>
      <c r="AN161" s="6857" t="str">
        <f t="shared" si="92"/>
        <v/>
      </c>
      <c r="AO161" s="392">
        <f t="shared" si="78"/>
        <v>0</v>
      </c>
      <c r="AP161" s="392">
        <f t="shared" si="79"/>
        <v>0</v>
      </c>
      <c r="AQ161" s="6191">
        <f t="shared" si="80"/>
        <v>0</v>
      </c>
      <c r="AR161" s="6859" t="str">
        <f t="shared" si="81"/>
        <v/>
      </c>
      <c r="AS161" s="6217"/>
      <c r="AT161" s="6217"/>
      <c r="AU161" s="6272">
        <f t="shared" si="82"/>
        <v>0</v>
      </c>
      <c r="AV161" s="6240">
        <f t="shared" si="83"/>
        <v>0</v>
      </c>
      <c r="AW161" s="6189" cm="1">
        <f t="array" ref="AW161">IF(AK161&lt;&gt;1,0,IF(OR(AU161="",N(AU161)&lt;=0.000000001),"",IF(OR(AO161="",N(AO161)&lt;=0.000000001),0,IF(ISNUMBER(AU161),IFERROR(_xlfn.LET(_xlpm.ai_test,TRIM(AJ161),_xlpm.r,IFERROR(_xlfn.XLOOKUP(_xlpm.ai_test,$BJ$15:$BJ$62,ROW($BJ$15:$BJ$62),0,1),IFERROR(_xlfn.XLOOKUP(_xlpm.ai_test,$BK$15:$BK$62,ROW($BK$15:$BK$62),0,1),_xlfn.XLOOKUP(_xlpm.ai_test,$BL$15:$BL$62,ROW($BL$15:$BL$62),0,1))),_xlpm.p,_xlpm.r-MIN(ROW($BJ$15:$BJ$62))+1,_xlpm.f,INDEX($BM$15:$BM$62,_xlpm.p),_xlpm.u,INDEX($BN$15:$BN$62,_xlpm.p),_xlpm.s,INDEX($BP$15:$BP$62,_xlpm.p),_xlpm.q,N(AU161)/_xlpm.f,IF(_xlpm.q&gt;=_xlpm.s,ROUND(_xlpm.q,1)&amp;" "&amp;_xlpm.ai_test&amp;" = "&amp;ROUND(_xlpm.q*_xlpm.f,1)&amp;" "&amp;_xlpm.u,ROUND(_xlpm.q,1)&amp;" "&amp;_xlpm.ai_test)),""),""))))</f>
        <v>0</v>
      </c>
      <c r="AX161" s="6218"/>
      <c r="AY161" s="6272">
        <f t="shared" si="84"/>
        <v>0</v>
      </c>
      <c r="AZ161" s="6240" t="str">
        <f t="shared" si="85"/>
        <v/>
      </c>
      <c r="BA161" s="6195">
        <f t="shared" si="90"/>
        <v>0</v>
      </c>
      <c r="BB161" s="6193" t="str">
        <f t="shared" si="86"/>
        <v/>
      </c>
      <c r="BC161" s="6219"/>
      <c r="BD161" s="6222">
        <f t="shared" si="91"/>
        <v>0</v>
      </c>
      <c r="BE161" s="6220" t="str">
        <f t="shared" si="87"/>
        <v/>
      </c>
      <c r="BF161" s="4" t="s">
        <v>1</v>
      </c>
      <c r="BG161" s="6196">
        <f t="shared" si="88"/>
        <v>0</v>
      </c>
      <c r="BH161" s="6197">
        <f t="shared" si="89"/>
        <v>0</v>
      </c>
      <c r="BI161"/>
      <c r="BR161"/>
      <c r="BS161"/>
      <c r="BT161"/>
      <c r="BU161"/>
      <c r="BV161"/>
      <c r="BW161"/>
      <c r="BX161" s="20" t="str">
        <f t="shared" si="70"/>
        <v>►</v>
      </c>
      <c r="BY161"/>
      <c r="BZ161"/>
      <c r="CA161"/>
      <c r="CB161"/>
      <c r="CC161"/>
      <c r="CD161" s="2"/>
      <c r="CE161"/>
      <c r="CF161"/>
      <c r="CG161"/>
      <c r="CH161"/>
      <c r="CI161"/>
      <c r="CJ161"/>
      <c r="CK161"/>
      <c r="CM161"/>
      <c r="CN161"/>
      <c r="CO161"/>
      <c r="CP161"/>
      <c r="CQ161"/>
      <c r="CR161"/>
      <c r="CS161"/>
      <c r="CU161"/>
      <c r="CV161"/>
      <c r="CW161"/>
      <c r="CX161"/>
      <c r="CY161"/>
      <c r="CZ161"/>
      <c r="DA161"/>
      <c r="DC161" s="5">
        <v>1</v>
      </c>
    </row>
    <row r="162" spans="1:107" s="1" customFormat="1" ht="21" customHeight="1">
      <c r="A162" s="5641" t="s">
        <v>1</v>
      </c>
      <c r="B162" s="5662" t="str">
        <f t="shared" si="69"/>
        <v>►</v>
      </c>
      <c r="C162" s="5825" cm="1">
        <f t="array" ref="C162">SUMPRODUCT(LEN(D162:J162))</f>
        <v>0</v>
      </c>
      <c r="D162" s="5275"/>
      <c r="E162" s="1361"/>
      <c r="F162" s="1361"/>
      <c r="G162" s="1361"/>
      <c r="H162" s="1361"/>
      <c r="I162" s="1361"/>
      <c r="J162" s="5276"/>
      <c r="K162" s="106" t="s">
        <v>1</v>
      </c>
      <c r="L162" s="1021" t="s">
        <v>26</v>
      </c>
      <c r="M162" s="6787"/>
      <c r="N162" s="6787"/>
      <c r="O162" s="6787"/>
      <c r="P162" s="6788"/>
      <c r="Q162" s="6789"/>
      <c r="R162" s="6790"/>
      <c r="S162" s="6786"/>
      <c r="T162" s="6791"/>
      <c r="U162" s="6844"/>
      <c r="V162" s="6791"/>
      <c r="W162" s="8487"/>
      <c r="X162" s="6871"/>
      <c r="Y162" s="6793"/>
      <c r="Z162" s="6794"/>
      <c r="AA162" s="6795"/>
      <c r="AB162" s="6796"/>
      <c r="AC162" s="6797"/>
      <c r="AD162" s="6798"/>
      <c r="AE162" s="4" t="s">
        <v>1</v>
      </c>
      <c r="AF162" s="6202" t="str">
        <f t="shared" si="71"/>
        <v>►</v>
      </c>
      <c r="AG162" s="6234" t="str">
        <f t="shared" si="72"/>
        <v/>
      </c>
      <c r="AH162" s="6732" t="str">
        <f t="shared" si="73"/>
        <v/>
      </c>
      <c r="AI162" s="6234" t="str">
        <f t="shared" si="74"/>
        <v/>
      </c>
      <c r="AJ162" s="6732" t="str">
        <f t="shared" si="75"/>
        <v/>
      </c>
      <c r="AK162" s="6732">
        <f t="shared" si="76"/>
        <v>0</v>
      </c>
      <c r="AL162" s="6230" t="str" cm="1">
        <f t="array" ref="AL162">IF(AF162&lt;&gt;"A","",IFERROR((IFERROR(_xlfn.XLOOKUP(TRIM(SUBSTITUTE(U162,CHAR(160)," ")),$BJ$15:$BJ$62,$BM$15:$BM$62),IFERROR(_xlfn.XLOOKUP(TRIM(SUBSTITUTE(U162,CHAR(160)," ")),$BK$15:$BK$62,$BM$15:$BM$62),_xlfn.XLOOKUP(TRIM(SUBSTITUTE(U162,CHAR(160)," ")),$BL$15:$BL$62,$BM$15:$BM$62))))*T162*IF(ISBLANK(Q162),1,Q162)+IFERROR(_xlfn.XLOOKUP("RECHERCHEX",TRIM(L162:AD162),L162:AD162),0),0))</f>
        <v/>
      </c>
      <c r="AM162" s="6229">
        <f t="shared" si="77"/>
        <v>0</v>
      </c>
      <c r="AN162" s="6857" t="str">
        <f t="shared" si="92"/>
        <v/>
      </c>
      <c r="AO162" s="392">
        <f t="shared" si="78"/>
        <v>0</v>
      </c>
      <c r="AP162" s="392">
        <f t="shared" si="79"/>
        <v>0</v>
      </c>
      <c r="AQ162" s="6190">
        <f t="shared" si="80"/>
        <v>0</v>
      </c>
      <c r="AR162" s="6858" t="str">
        <f t="shared" si="81"/>
        <v/>
      </c>
      <c r="AS162" s="6217"/>
      <c r="AT162" s="6217"/>
      <c r="AU162" s="6271">
        <f t="shared" si="82"/>
        <v>0</v>
      </c>
      <c r="AV162" s="6242">
        <f t="shared" si="83"/>
        <v>0</v>
      </c>
      <c r="AW162" s="6188" cm="1">
        <f t="array" ref="AW162">IF(AK162&lt;&gt;1,0,IF(OR(AU162="",N(AU162)&lt;=0.000000001),"",IF(OR(AO162="",N(AO162)&lt;=0.000000001),0,IF(ISNUMBER(AU162),IFERROR(_xlfn.LET(_xlpm.ai_test,TRIM(AJ162),_xlpm.r,IFERROR(_xlfn.XLOOKUP(_xlpm.ai_test,$BJ$15:$BJ$62,ROW($BJ$15:$BJ$62),0,1),IFERROR(_xlfn.XLOOKUP(_xlpm.ai_test,$BK$15:$BK$62,ROW($BK$15:$BK$62),0,1),_xlfn.XLOOKUP(_xlpm.ai_test,$BL$15:$BL$62,ROW($BL$15:$BL$62),0,1))),_xlpm.p,_xlpm.r-MIN(ROW($BJ$15:$BJ$62))+1,_xlpm.f,INDEX($BM$15:$BM$62,_xlpm.p),_xlpm.u,INDEX($BN$15:$BN$62,_xlpm.p),_xlpm.s,INDEX($BP$15:$BP$62,_xlpm.p),_xlpm.q,N(AU162)/_xlpm.f,IF(_xlpm.q&gt;=_xlpm.s,ROUND(_xlpm.q,1)&amp;" "&amp;_xlpm.ai_test&amp;" = "&amp;ROUND(_xlpm.q*_xlpm.f,1)&amp;" "&amp;_xlpm.u,ROUND(_xlpm.q,1)&amp;" "&amp;_xlpm.ai_test)),""),""))))</f>
        <v>0</v>
      </c>
      <c r="AX162" s="6218"/>
      <c r="AY162" s="6271">
        <f t="shared" si="84"/>
        <v>0</v>
      </c>
      <c r="AZ162" s="6242" t="str">
        <f t="shared" si="85"/>
        <v/>
      </c>
      <c r="BA162" s="6194">
        <f t="shared" si="90"/>
        <v>0</v>
      </c>
      <c r="BB162" s="6192" t="str">
        <f t="shared" si="86"/>
        <v/>
      </c>
      <c r="BC162" s="6219"/>
      <c r="BD162" s="6221">
        <f t="shared" si="91"/>
        <v>0</v>
      </c>
      <c r="BE162" s="6220" t="str">
        <f t="shared" si="87"/>
        <v/>
      </c>
      <c r="BF162" s="4" t="s">
        <v>1</v>
      </c>
      <c r="BG162" s="6196">
        <f t="shared" si="88"/>
        <v>0</v>
      </c>
      <c r="BH162" s="6197">
        <f t="shared" si="89"/>
        <v>0</v>
      </c>
      <c r="BI162"/>
      <c r="BR162"/>
      <c r="BS162"/>
      <c r="BT162"/>
      <c r="BU162"/>
      <c r="BV162"/>
      <c r="BW162"/>
      <c r="BX162" s="20" t="str">
        <f t="shared" si="70"/>
        <v>►</v>
      </c>
      <c r="BY162"/>
      <c r="BZ162"/>
      <c r="CA162"/>
      <c r="CB162"/>
      <c r="CC162"/>
      <c r="CD162" s="2"/>
      <c r="CE162"/>
      <c r="CF162"/>
      <c r="CG162"/>
      <c r="CH162"/>
      <c r="CI162"/>
      <c r="CJ162"/>
      <c r="CK162"/>
      <c r="CM162"/>
      <c r="CN162"/>
      <c r="CO162"/>
      <c r="CP162"/>
      <c r="CQ162"/>
      <c r="CR162"/>
      <c r="CS162"/>
      <c r="CU162"/>
      <c r="CV162"/>
      <c r="CW162"/>
      <c r="CX162"/>
      <c r="CY162"/>
      <c r="CZ162"/>
      <c r="DA162"/>
      <c r="DC162" s="5">
        <v>1</v>
      </c>
    </row>
    <row r="163" spans="1:107" s="1" customFormat="1" ht="21" customHeight="1">
      <c r="A163" s="5641" t="s">
        <v>1</v>
      </c>
      <c r="B163" s="5662" t="str">
        <f t="shared" si="69"/>
        <v>►</v>
      </c>
      <c r="C163" s="5825" cm="1">
        <f t="array" ref="C163">SUMPRODUCT(LEN(D163:J163))</f>
        <v>0</v>
      </c>
      <c r="D163" s="5275"/>
      <c r="E163" s="1361"/>
      <c r="F163" s="1361"/>
      <c r="G163" s="1361"/>
      <c r="H163" s="1361"/>
      <c r="I163" s="1361"/>
      <c r="J163" s="5276"/>
      <c r="K163" s="106" t="s">
        <v>1</v>
      </c>
      <c r="L163" s="1021" t="s">
        <v>26</v>
      </c>
      <c r="M163" s="6787"/>
      <c r="N163" s="6787"/>
      <c r="O163" s="6787"/>
      <c r="P163" s="6788"/>
      <c r="Q163" s="6789"/>
      <c r="R163" s="6790"/>
      <c r="S163" s="6786"/>
      <c r="T163" s="6791"/>
      <c r="U163" s="6844"/>
      <c r="V163" s="6791"/>
      <c r="W163" s="8487"/>
      <c r="X163" s="6871"/>
      <c r="Y163" s="6793"/>
      <c r="Z163" s="6794"/>
      <c r="AA163" s="6795"/>
      <c r="AB163" s="6796"/>
      <c r="AC163" s="6797"/>
      <c r="AD163" s="6798"/>
      <c r="AE163" s="4" t="s">
        <v>1</v>
      </c>
      <c r="AF163" s="6202" t="str">
        <f t="shared" si="71"/>
        <v>►</v>
      </c>
      <c r="AG163" s="6234" t="str">
        <f t="shared" si="72"/>
        <v/>
      </c>
      <c r="AH163" s="6732" t="str">
        <f t="shared" si="73"/>
        <v/>
      </c>
      <c r="AI163" s="6234" t="str">
        <f t="shared" si="74"/>
        <v/>
      </c>
      <c r="AJ163" s="6732" t="str">
        <f t="shared" si="75"/>
        <v/>
      </c>
      <c r="AK163" s="6732">
        <f t="shared" si="76"/>
        <v>0</v>
      </c>
      <c r="AL163" s="6230" t="str" cm="1">
        <f t="array" ref="AL163">IF(AF163&lt;&gt;"A","",IFERROR((IFERROR(_xlfn.XLOOKUP(TRIM(SUBSTITUTE(U163,CHAR(160)," ")),$BJ$15:$BJ$62,$BM$15:$BM$62),IFERROR(_xlfn.XLOOKUP(TRIM(SUBSTITUTE(U163,CHAR(160)," ")),$BK$15:$BK$62,$BM$15:$BM$62),_xlfn.XLOOKUP(TRIM(SUBSTITUTE(U163,CHAR(160)," ")),$BL$15:$BL$62,$BM$15:$BM$62))))*T163*IF(ISBLANK(Q163),1,Q163)+IFERROR(_xlfn.XLOOKUP("RECHERCHEX",TRIM(L163:AD163),L163:AD163),0),0))</f>
        <v/>
      </c>
      <c r="AM163" s="6229">
        <f t="shared" si="77"/>
        <v>0</v>
      </c>
      <c r="AN163" s="6857" t="str">
        <f t="shared" si="92"/>
        <v/>
      </c>
      <c r="AO163" s="392">
        <f t="shared" si="78"/>
        <v>0</v>
      </c>
      <c r="AP163" s="392">
        <f t="shared" si="79"/>
        <v>0</v>
      </c>
      <c r="AQ163" s="6191">
        <f t="shared" si="80"/>
        <v>0</v>
      </c>
      <c r="AR163" s="6859" t="str">
        <f t="shared" si="81"/>
        <v/>
      </c>
      <c r="AS163" s="6217"/>
      <c r="AT163" s="6217"/>
      <c r="AU163" s="6272">
        <f t="shared" si="82"/>
        <v>0</v>
      </c>
      <c r="AV163" s="6240">
        <f t="shared" si="83"/>
        <v>0</v>
      </c>
      <c r="AW163" s="6189" cm="1">
        <f t="array" ref="AW163">IF(AK163&lt;&gt;1,0,IF(OR(AU163="",N(AU163)&lt;=0.000000001),"",IF(OR(AO163="",N(AO163)&lt;=0.000000001),0,IF(ISNUMBER(AU163),IFERROR(_xlfn.LET(_xlpm.ai_test,TRIM(AJ163),_xlpm.r,IFERROR(_xlfn.XLOOKUP(_xlpm.ai_test,$BJ$15:$BJ$62,ROW($BJ$15:$BJ$62),0,1),IFERROR(_xlfn.XLOOKUP(_xlpm.ai_test,$BK$15:$BK$62,ROW($BK$15:$BK$62),0,1),_xlfn.XLOOKUP(_xlpm.ai_test,$BL$15:$BL$62,ROW($BL$15:$BL$62),0,1))),_xlpm.p,_xlpm.r-MIN(ROW($BJ$15:$BJ$62))+1,_xlpm.f,INDEX($BM$15:$BM$62,_xlpm.p),_xlpm.u,INDEX($BN$15:$BN$62,_xlpm.p),_xlpm.s,INDEX($BP$15:$BP$62,_xlpm.p),_xlpm.q,N(AU163)/_xlpm.f,IF(_xlpm.q&gt;=_xlpm.s,ROUND(_xlpm.q,1)&amp;" "&amp;_xlpm.ai_test&amp;" = "&amp;ROUND(_xlpm.q*_xlpm.f,1)&amp;" "&amp;_xlpm.u,ROUND(_xlpm.q,1)&amp;" "&amp;_xlpm.ai_test)),""),""))))</f>
        <v>0</v>
      </c>
      <c r="AX163" s="6218"/>
      <c r="AY163" s="6272">
        <f t="shared" si="84"/>
        <v>0</v>
      </c>
      <c r="AZ163" s="6240" t="str">
        <f t="shared" si="85"/>
        <v/>
      </c>
      <c r="BA163" s="6195">
        <f t="shared" si="90"/>
        <v>0</v>
      </c>
      <c r="BB163" s="6193" t="str">
        <f t="shared" si="86"/>
        <v/>
      </c>
      <c r="BC163" s="6219"/>
      <c r="BD163" s="6222">
        <f t="shared" si="91"/>
        <v>0</v>
      </c>
      <c r="BE163" s="6220" t="str">
        <f t="shared" si="87"/>
        <v/>
      </c>
      <c r="BF163" s="4" t="s">
        <v>1</v>
      </c>
      <c r="BG163" s="6196">
        <f t="shared" si="88"/>
        <v>0</v>
      </c>
      <c r="BH163" s="6197">
        <f t="shared" si="89"/>
        <v>0</v>
      </c>
      <c r="BI163"/>
      <c r="BR163"/>
      <c r="BS163"/>
      <c r="BT163"/>
      <c r="BU163"/>
      <c r="BV163"/>
      <c r="BW163"/>
      <c r="BX163" s="20" t="str">
        <f t="shared" si="70"/>
        <v>►</v>
      </c>
      <c r="BY163"/>
      <c r="BZ163"/>
      <c r="CA163"/>
      <c r="CB163"/>
      <c r="CC163"/>
      <c r="CD163" s="2"/>
      <c r="CE163"/>
      <c r="CF163"/>
      <c r="CG163"/>
      <c r="CH163"/>
      <c r="CI163"/>
      <c r="CJ163"/>
      <c r="CK163"/>
      <c r="CM163"/>
      <c r="CN163"/>
      <c r="CO163"/>
      <c r="CP163"/>
      <c r="CQ163"/>
      <c r="CR163"/>
      <c r="CS163"/>
      <c r="CU163"/>
      <c r="CV163"/>
      <c r="CW163"/>
      <c r="CX163"/>
      <c r="CY163"/>
      <c r="CZ163"/>
      <c r="DA163"/>
      <c r="DC163" s="5">
        <v>1</v>
      </c>
    </row>
    <row r="164" spans="1:107" s="1" customFormat="1" ht="21" customHeight="1">
      <c r="A164" s="5641" t="s">
        <v>1</v>
      </c>
      <c r="B164" s="5662" t="str">
        <f t="shared" si="69"/>
        <v>►</v>
      </c>
      <c r="C164" s="5825" cm="1">
        <f t="array" ref="C164">SUMPRODUCT(LEN(D164:J164))</f>
        <v>0</v>
      </c>
      <c r="D164" s="5275"/>
      <c r="E164" s="1361"/>
      <c r="F164" s="1361"/>
      <c r="G164" s="1361"/>
      <c r="H164" s="1361"/>
      <c r="I164" s="1361"/>
      <c r="J164" s="5276"/>
      <c r="K164" s="106" t="s">
        <v>1</v>
      </c>
      <c r="L164" s="1021" t="s">
        <v>26</v>
      </c>
      <c r="M164" s="6787"/>
      <c r="N164" s="6787"/>
      <c r="O164" s="6787"/>
      <c r="P164" s="6788"/>
      <c r="Q164" s="6789"/>
      <c r="R164" s="6790"/>
      <c r="S164" s="6786"/>
      <c r="T164" s="6791"/>
      <c r="U164" s="6844"/>
      <c r="V164" s="6791"/>
      <c r="W164" s="8487"/>
      <c r="X164" s="6871"/>
      <c r="Y164" s="6793"/>
      <c r="Z164" s="6794"/>
      <c r="AA164" s="6795"/>
      <c r="AB164" s="6796"/>
      <c r="AC164" s="6797"/>
      <c r="AD164" s="6798"/>
      <c r="AE164" s="4" t="s">
        <v>1</v>
      </c>
      <c r="AF164" s="6202" t="str">
        <f t="shared" si="71"/>
        <v>►</v>
      </c>
      <c r="AG164" s="6234" t="str">
        <f t="shared" si="72"/>
        <v/>
      </c>
      <c r="AH164" s="6732" t="str">
        <f t="shared" si="73"/>
        <v/>
      </c>
      <c r="AI164" s="6234" t="str">
        <f t="shared" si="74"/>
        <v/>
      </c>
      <c r="AJ164" s="6732" t="str">
        <f t="shared" si="75"/>
        <v/>
      </c>
      <c r="AK164" s="6732">
        <f t="shared" si="76"/>
        <v>0</v>
      </c>
      <c r="AL164" s="6230" t="str" cm="1">
        <f t="array" ref="AL164">IF(AF164&lt;&gt;"A","",IFERROR((IFERROR(_xlfn.XLOOKUP(TRIM(SUBSTITUTE(U164,CHAR(160)," ")),$BJ$15:$BJ$62,$BM$15:$BM$62),IFERROR(_xlfn.XLOOKUP(TRIM(SUBSTITUTE(U164,CHAR(160)," ")),$BK$15:$BK$62,$BM$15:$BM$62),_xlfn.XLOOKUP(TRIM(SUBSTITUTE(U164,CHAR(160)," ")),$BL$15:$BL$62,$BM$15:$BM$62))))*T164*IF(ISBLANK(Q164),1,Q164)+IFERROR(_xlfn.XLOOKUP("RECHERCHEX",TRIM(L164:AD164),L164:AD164),0),0))</f>
        <v/>
      </c>
      <c r="AM164" s="6229">
        <f t="shared" si="77"/>
        <v>0</v>
      </c>
      <c r="AN164" s="6857" t="str">
        <f t="shared" si="92"/>
        <v/>
      </c>
      <c r="AO164" s="392">
        <f t="shared" si="78"/>
        <v>0</v>
      </c>
      <c r="AP164" s="392">
        <f t="shared" si="79"/>
        <v>0</v>
      </c>
      <c r="AQ164" s="6190">
        <f t="shared" si="80"/>
        <v>0</v>
      </c>
      <c r="AR164" s="6858" t="str">
        <f t="shared" si="81"/>
        <v/>
      </c>
      <c r="AS164" s="6217"/>
      <c r="AT164" s="6217"/>
      <c r="AU164" s="6271">
        <f t="shared" si="82"/>
        <v>0</v>
      </c>
      <c r="AV164" s="6242">
        <f t="shared" si="83"/>
        <v>0</v>
      </c>
      <c r="AW164" s="6188" cm="1">
        <f t="array" ref="AW164">IF(AK164&lt;&gt;1,0,IF(OR(AU164="",N(AU164)&lt;=0.000000001),"",IF(OR(AO164="",N(AO164)&lt;=0.000000001),0,IF(ISNUMBER(AU164),IFERROR(_xlfn.LET(_xlpm.ai_test,TRIM(AJ164),_xlpm.r,IFERROR(_xlfn.XLOOKUP(_xlpm.ai_test,$BJ$15:$BJ$62,ROW($BJ$15:$BJ$62),0,1),IFERROR(_xlfn.XLOOKUP(_xlpm.ai_test,$BK$15:$BK$62,ROW($BK$15:$BK$62),0,1),_xlfn.XLOOKUP(_xlpm.ai_test,$BL$15:$BL$62,ROW($BL$15:$BL$62),0,1))),_xlpm.p,_xlpm.r-MIN(ROW($BJ$15:$BJ$62))+1,_xlpm.f,INDEX($BM$15:$BM$62,_xlpm.p),_xlpm.u,INDEX($BN$15:$BN$62,_xlpm.p),_xlpm.s,INDEX($BP$15:$BP$62,_xlpm.p),_xlpm.q,N(AU164)/_xlpm.f,IF(_xlpm.q&gt;=_xlpm.s,ROUND(_xlpm.q,1)&amp;" "&amp;_xlpm.ai_test&amp;" = "&amp;ROUND(_xlpm.q*_xlpm.f,1)&amp;" "&amp;_xlpm.u,ROUND(_xlpm.q,1)&amp;" "&amp;_xlpm.ai_test)),""),""))))</f>
        <v>0</v>
      </c>
      <c r="AX164" s="6218"/>
      <c r="AY164" s="6271">
        <f t="shared" si="84"/>
        <v>0</v>
      </c>
      <c r="AZ164" s="6242" t="str">
        <f t="shared" si="85"/>
        <v/>
      </c>
      <c r="BA164" s="6194">
        <f t="shared" si="90"/>
        <v>0</v>
      </c>
      <c r="BB164" s="6192" t="str">
        <f t="shared" si="86"/>
        <v/>
      </c>
      <c r="BC164" s="6219"/>
      <c r="BD164" s="6221">
        <f t="shared" si="91"/>
        <v>0</v>
      </c>
      <c r="BE164" s="6220" t="str">
        <f t="shared" si="87"/>
        <v/>
      </c>
      <c r="BF164" s="4" t="s">
        <v>1</v>
      </c>
      <c r="BG164" s="6196">
        <f t="shared" si="88"/>
        <v>0</v>
      </c>
      <c r="BH164" s="6197">
        <f t="shared" si="89"/>
        <v>0</v>
      </c>
      <c r="BI164"/>
      <c r="BR164"/>
      <c r="BS164"/>
      <c r="BT164"/>
      <c r="BU164"/>
      <c r="BV164"/>
      <c r="BW164"/>
      <c r="BX164" s="20" t="str">
        <f t="shared" si="70"/>
        <v>►</v>
      </c>
      <c r="BY164"/>
      <c r="BZ164"/>
      <c r="CA164"/>
      <c r="CB164"/>
      <c r="CC164"/>
      <c r="CD164" s="2"/>
      <c r="CE164"/>
      <c r="CF164"/>
      <c r="CG164"/>
      <c r="CH164"/>
      <c r="CI164"/>
      <c r="CJ164"/>
      <c r="CK164"/>
      <c r="CM164"/>
      <c r="CN164"/>
      <c r="CO164"/>
      <c r="CP164"/>
      <c r="CQ164"/>
      <c r="CR164"/>
      <c r="CS164"/>
      <c r="CU164"/>
      <c r="CV164"/>
      <c r="CW164"/>
      <c r="CX164"/>
      <c r="CY164"/>
      <c r="CZ164"/>
      <c r="DA164"/>
      <c r="DC164" s="5">
        <v>1</v>
      </c>
    </row>
    <row r="165" spans="1:107" s="1" customFormat="1" ht="21" customHeight="1">
      <c r="A165" s="5641" t="s">
        <v>1</v>
      </c>
      <c r="B165" s="5662" t="str">
        <f t="shared" si="69"/>
        <v>►</v>
      </c>
      <c r="C165" s="5825" cm="1">
        <f t="array" ref="C165">SUMPRODUCT(LEN(D165:J165))</f>
        <v>0</v>
      </c>
      <c r="D165" s="5275"/>
      <c r="E165" s="1361"/>
      <c r="F165" s="1361"/>
      <c r="G165" s="1361"/>
      <c r="H165" s="1361"/>
      <c r="I165" s="1361"/>
      <c r="J165" s="5276"/>
      <c r="K165" s="106" t="s">
        <v>1</v>
      </c>
      <c r="L165" s="1021" t="s">
        <v>26</v>
      </c>
      <c r="M165" s="6787"/>
      <c r="N165" s="6787"/>
      <c r="O165" s="6787"/>
      <c r="P165" s="6788"/>
      <c r="Q165" s="6789"/>
      <c r="R165" s="6790"/>
      <c r="S165" s="6786"/>
      <c r="T165" s="6791"/>
      <c r="U165" s="6844"/>
      <c r="V165" s="6791"/>
      <c r="W165" s="8487"/>
      <c r="X165" s="6871"/>
      <c r="Y165" s="6793"/>
      <c r="Z165" s="6794"/>
      <c r="AA165" s="6795"/>
      <c r="AB165" s="6796"/>
      <c r="AC165" s="6797"/>
      <c r="AD165" s="6798"/>
      <c r="AE165" s="4" t="s">
        <v>1</v>
      </c>
      <c r="AF165" s="6202" t="str">
        <f t="shared" si="71"/>
        <v>►</v>
      </c>
      <c r="AG165" s="6234" t="str">
        <f t="shared" si="72"/>
        <v/>
      </c>
      <c r="AH165" s="6732" t="str">
        <f t="shared" si="73"/>
        <v/>
      </c>
      <c r="AI165" s="6234" t="str">
        <f t="shared" si="74"/>
        <v/>
      </c>
      <c r="AJ165" s="6732" t="str">
        <f t="shared" si="75"/>
        <v/>
      </c>
      <c r="AK165" s="6732">
        <f t="shared" si="76"/>
        <v>0</v>
      </c>
      <c r="AL165" s="6230" t="str" cm="1">
        <f t="array" ref="AL165">IF(AF165&lt;&gt;"A","",IFERROR((IFERROR(_xlfn.XLOOKUP(TRIM(SUBSTITUTE(U165,CHAR(160)," ")),$BJ$15:$BJ$62,$BM$15:$BM$62),IFERROR(_xlfn.XLOOKUP(TRIM(SUBSTITUTE(U165,CHAR(160)," ")),$BK$15:$BK$62,$BM$15:$BM$62),_xlfn.XLOOKUP(TRIM(SUBSTITUTE(U165,CHAR(160)," ")),$BL$15:$BL$62,$BM$15:$BM$62))))*T165*IF(ISBLANK(Q165),1,Q165)+IFERROR(_xlfn.XLOOKUP("RECHERCHEX",TRIM(L165:AD165),L165:AD165),0),0))</f>
        <v/>
      </c>
      <c r="AM165" s="6229">
        <f t="shared" si="77"/>
        <v>0</v>
      </c>
      <c r="AN165" s="6857" t="str">
        <f t="shared" si="92"/>
        <v/>
      </c>
      <c r="AO165" s="392">
        <f t="shared" si="78"/>
        <v>0</v>
      </c>
      <c r="AP165" s="392">
        <f t="shared" si="79"/>
        <v>0</v>
      </c>
      <c r="AQ165" s="6191">
        <f t="shared" si="80"/>
        <v>0</v>
      </c>
      <c r="AR165" s="6859" t="str">
        <f t="shared" si="81"/>
        <v/>
      </c>
      <c r="AS165" s="6217"/>
      <c r="AT165" s="6217"/>
      <c r="AU165" s="6272">
        <f t="shared" si="82"/>
        <v>0</v>
      </c>
      <c r="AV165" s="6240">
        <f t="shared" si="83"/>
        <v>0</v>
      </c>
      <c r="AW165" s="6189" cm="1">
        <f t="array" ref="AW165">IF(AK165&lt;&gt;1,0,IF(OR(AU165="",N(AU165)&lt;=0.000000001),"",IF(OR(AO165="",N(AO165)&lt;=0.000000001),0,IF(ISNUMBER(AU165),IFERROR(_xlfn.LET(_xlpm.ai_test,TRIM(AJ165),_xlpm.r,IFERROR(_xlfn.XLOOKUP(_xlpm.ai_test,$BJ$15:$BJ$62,ROW($BJ$15:$BJ$62),0,1),IFERROR(_xlfn.XLOOKUP(_xlpm.ai_test,$BK$15:$BK$62,ROW($BK$15:$BK$62),0,1),_xlfn.XLOOKUP(_xlpm.ai_test,$BL$15:$BL$62,ROW($BL$15:$BL$62),0,1))),_xlpm.p,_xlpm.r-MIN(ROW($BJ$15:$BJ$62))+1,_xlpm.f,INDEX($BM$15:$BM$62,_xlpm.p),_xlpm.u,INDEX($BN$15:$BN$62,_xlpm.p),_xlpm.s,INDEX($BP$15:$BP$62,_xlpm.p),_xlpm.q,N(AU165)/_xlpm.f,IF(_xlpm.q&gt;=_xlpm.s,ROUND(_xlpm.q,1)&amp;" "&amp;_xlpm.ai_test&amp;" = "&amp;ROUND(_xlpm.q*_xlpm.f,1)&amp;" "&amp;_xlpm.u,ROUND(_xlpm.q,1)&amp;" "&amp;_xlpm.ai_test)),""),""))))</f>
        <v>0</v>
      </c>
      <c r="AX165" s="6218"/>
      <c r="AY165" s="6272">
        <f t="shared" si="84"/>
        <v>0</v>
      </c>
      <c r="AZ165" s="6240" t="str">
        <f t="shared" si="85"/>
        <v/>
      </c>
      <c r="BA165" s="6195">
        <f t="shared" si="90"/>
        <v>0</v>
      </c>
      <c r="BB165" s="6193" t="str">
        <f t="shared" si="86"/>
        <v/>
      </c>
      <c r="BC165" s="6219"/>
      <c r="BD165" s="6222">
        <f t="shared" si="91"/>
        <v>0</v>
      </c>
      <c r="BE165" s="6220" t="str">
        <f t="shared" si="87"/>
        <v/>
      </c>
      <c r="BF165" s="4" t="s">
        <v>1</v>
      </c>
      <c r="BG165" s="6196">
        <f t="shared" si="88"/>
        <v>0</v>
      </c>
      <c r="BH165" s="6197">
        <f t="shared" si="89"/>
        <v>0</v>
      </c>
      <c r="BI165"/>
      <c r="BR165"/>
      <c r="BS165"/>
      <c r="BT165"/>
      <c r="BU165"/>
      <c r="BV165"/>
      <c r="BW165"/>
      <c r="BX165" s="20" t="str">
        <f t="shared" si="70"/>
        <v>►</v>
      </c>
      <c r="BY165"/>
      <c r="BZ165"/>
      <c r="CA165"/>
      <c r="CB165"/>
      <c r="CC165"/>
      <c r="CD165" s="2"/>
      <c r="CE165"/>
      <c r="CF165"/>
      <c r="CG165"/>
      <c r="CH165"/>
      <c r="CI165"/>
      <c r="CJ165"/>
      <c r="CK165"/>
      <c r="CM165"/>
      <c r="CN165"/>
      <c r="CO165"/>
      <c r="CP165"/>
      <c r="CQ165"/>
      <c r="CR165"/>
      <c r="CS165"/>
      <c r="CU165"/>
      <c r="CV165"/>
      <c r="CW165"/>
      <c r="CX165"/>
      <c r="CY165"/>
      <c r="CZ165"/>
      <c r="DA165"/>
      <c r="DC165" s="5">
        <v>1</v>
      </c>
    </row>
    <row r="166" spans="1:107" s="1" customFormat="1" ht="21" customHeight="1">
      <c r="A166" s="5641" t="s">
        <v>1</v>
      </c>
      <c r="B166" s="5662" t="str">
        <f t="shared" si="69"/>
        <v>►</v>
      </c>
      <c r="C166" s="5825" cm="1">
        <f t="array" ref="C166">SUMPRODUCT(LEN(D166:J166))</f>
        <v>0</v>
      </c>
      <c r="D166" s="5275"/>
      <c r="E166" s="1361"/>
      <c r="F166" s="1361"/>
      <c r="G166" s="1361"/>
      <c r="H166" s="1361"/>
      <c r="I166" s="1361"/>
      <c r="J166" s="5276"/>
      <c r="K166" s="106" t="s">
        <v>1</v>
      </c>
      <c r="L166" s="1021" t="s">
        <v>26</v>
      </c>
      <c r="M166" s="6787"/>
      <c r="N166" s="6787"/>
      <c r="O166" s="6787"/>
      <c r="P166" s="6788"/>
      <c r="Q166" s="6789"/>
      <c r="R166" s="6790"/>
      <c r="S166" s="6786"/>
      <c r="T166" s="6791"/>
      <c r="U166" s="6844"/>
      <c r="V166" s="6791"/>
      <c r="W166" s="8487"/>
      <c r="X166" s="6871"/>
      <c r="Y166" s="6793"/>
      <c r="Z166" s="6794"/>
      <c r="AA166" s="6795"/>
      <c r="AB166" s="6796"/>
      <c r="AC166" s="6797"/>
      <c r="AD166" s="6798"/>
      <c r="AE166" s="4" t="s">
        <v>1</v>
      </c>
      <c r="AF166" s="6202" t="str">
        <f t="shared" si="71"/>
        <v>►</v>
      </c>
      <c r="AG166" s="6234" t="str">
        <f t="shared" si="72"/>
        <v/>
      </c>
      <c r="AH166" s="6732" t="str">
        <f t="shared" si="73"/>
        <v/>
      </c>
      <c r="AI166" s="6234" t="str">
        <f t="shared" si="74"/>
        <v/>
      </c>
      <c r="AJ166" s="6732" t="str">
        <f t="shared" si="75"/>
        <v/>
      </c>
      <c r="AK166" s="6732">
        <f t="shared" si="76"/>
        <v>0</v>
      </c>
      <c r="AL166" s="6230" t="str" cm="1">
        <f t="array" ref="AL166">IF(AF166&lt;&gt;"A","",IFERROR((IFERROR(_xlfn.XLOOKUP(TRIM(SUBSTITUTE(U166,CHAR(160)," ")),$BJ$15:$BJ$62,$BM$15:$BM$62),IFERROR(_xlfn.XLOOKUP(TRIM(SUBSTITUTE(U166,CHAR(160)," ")),$BK$15:$BK$62,$BM$15:$BM$62),_xlfn.XLOOKUP(TRIM(SUBSTITUTE(U166,CHAR(160)," ")),$BL$15:$BL$62,$BM$15:$BM$62))))*T166*IF(ISBLANK(Q166),1,Q166)+IFERROR(_xlfn.XLOOKUP("RECHERCHEX",TRIM(L166:AD166),L166:AD166),0),0))</f>
        <v/>
      </c>
      <c r="AM166" s="6229">
        <f t="shared" si="77"/>
        <v>0</v>
      </c>
      <c r="AN166" s="6857" t="str">
        <f t="shared" si="92"/>
        <v/>
      </c>
      <c r="AO166" s="392">
        <f t="shared" si="78"/>
        <v>0</v>
      </c>
      <c r="AP166" s="392">
        <f t="shared" si="79"/>
        <v>0</v>
      </c>
      <c r="AQ166" s="6190">
        <f t="shared" si="80"/>
        <v>0</v>
      </c>
      <c r="AR166" s="6858" t="str">
        <f t="shared" si="81"/>
        <v/>
      </c>
      <c r="AS166" s="6217"/>
      <c r="AT166" s="6217"/>
      <c r="AU166" s="6271">
        <f t="shared" si="82"/>
        <v>0</v>
      </c>
      <c r="AV166" s="6242">
        <f t="shared" si="83"/>
        <v>0</v>
      </c>
      <c r="AW166" s="6188" cm="1">
        <f t="array" ref="AW166">IF(AK166&lt;&gt;1,0,IF(OR(AU166="",N(AU166)&lt;=0.000000001),"",IF(OR(AO166="",N(AO166)&lt;=0.000000001),0,IF(ISNUMBER(AU166),IFERROR(_xlfn.LET(_xlpm.ai_test,TRIM(AJ166),_xlpm.r,IFERROR(_xlfn.XLOOKUP(_xlpm.ai_test,$BJ$15:$BJ$62,ROW($BJ$15:$BJ$62),0,1),IFERROR(_xlfn.XLOOKUP(_xlpm.ai_test,$BK$15:$BK$62,ROW($BK$15:$BK$62),0,1),_xlfn.XLOOKUP(_xlpm.ai_test,$BL$15:$BL$62,ROW($BL$15:$BL$62),0,1))),_xlpm.p,_xlpm.r-MIN(ROW($BJ$15:$BJ$62))+1,_xlpm.f,INDEX($BM$15:$BM$62,_xlpm.p),_xlpm.u,INDEX($BN$15:$BN$62,_xlpm.p),_xlpm.s,INDEX($BP$15:$BP$62,_xlpm.p),_xlpm.q,N(AU166)/_xlpm.f,IF(_xlpm.q&gt;=_xlpm.s,ROUND(_xlpm.q,1)&amp;" "&amp;_xlpm.ai_test&amp;" = "&amp;ROUND(_xlpm.q*_xlpm.f,1)&amp;" "&amp;_xlpm.u,ROUND(_xlpm.q,1)&amp;" "&amp;_xlpm.ai_test)),""),""))))</f>
        <v>0</v>
      </c>
      <c r="AX166" s="6218"/>
      <c r="AY166" s="6271">
        <f t="shared" si="84"/>
        <v>0</v>
      </c>
      <c r="AZ166" s="6242" t="str">
        <f t="shared" si="85"/>
        <v/>
      </c>
      <c r="BA166" s="6194">
        <f t="shared" si="90"/>
        <v>0</v>
      </c>
      <c r="BB166" s="6192" t="str">
        <f t="shared" si="86"/>
        <v/>
      </c>
      <c r="BC166" s="6219"/>
      <c r="BD166" s="6221">
        <f t="shared" si="91"/>
        <v>0</v>
      </c>
      <c r="BE166" s="6220" t="str">
        <f t="shared" si="87"/>
        <v/>
      </c>
      <c r="BF166" s="4" t="s">
        <v>1</v>
      </c>
      <c r="BG166" s="6196">
        <f t="shared" si="88"/>
        <v>0</v>
      </c>
      <c r="BH166" s="6197">
        <f t="shared" si="89"/>
        <v>0</v>
      </c>
      <c r="BI166"/>
      <c r="BR166"/>
      <c r="BS166"/>
      <c r="BT166"/>
      <c r="BU166"/>
      <c r="BV166"/>
      <c r="BW166"/>
      <c r="BX166" s="20" t="str">
        <f t="shared" si="70"/>
        <v>►</v>
      </c>
      <c r="BY166"/>
      <c r="BZ166"/>
      <c r="CA166"/>
      <c r="CB166"/>
      <c r="CC166"/>
      <c r="CD166" s="2"/>
      <c r="CE166"/>
      <c r="CF166"/>
      <c r="CG166"/>
      <c r="CH166"/>
      <c r="CI166"/>
      <c r="CJ166"/>
      <c r="CK166"/>
      <c r="CM166"/>
      <c r="CN166"/>
      <c r="CO166"/>
      <c r="CP166"/>
      <c r="CQ166"/>
      <c r="CR166"/>
      <c r="CS166"/>
      <c r="CU166"/>
      <c r="CV166"/>
      <c r="CW166"/>
      <c r="CX166"/>
      <c r="CY166"/>
      <c r="CZ166"/>
      <c r="DA166"/>
      <c r="DC166" s="5">
        <v>1</v>
      </c>
    </row>
    <row r="167" spans="1:107" s="1" customFormat="1" ht="21" customHeight="1">
      <c r="A167" s="5641" t="s">
        <v>1</v>
      </c>
      <c r="B167" s="5662" t="str">
        <f t="shared" si="69"/>
        <v>►</v>
      </c>
      <c r="C167" s="5825" cm="1">
        <f t="array" ref="C167">SUMPRODUCT(LEN(D167:J167))</f>
        <v>0</v>
      </c>
      <c r="D167" s="5275"/>
      <c r="E167" s="1361"/>
      <c r="F167" s="1361"/>
      <c r="G167" s="1361"/>
      <c r="H167" s="1361"/>
      <c r="I167" s="1361"/>
      <c r="J167" s="5276"/>
      <c r="K167" s="106" t="s">
        <v>1</v>
      </c>
      <c r="L167" s="1021" t="s">
        <v>26</v>
      </c>
      <c r="M167" s="6787"/>
      <c r="N167" s="6787"/>
      <c r="O167" s="6787"/>
      <c r="P167" s="6788"/>
      <c r="Q167" s="6789"/>
      <c r="R167" s="6790"/>
      <c r="S167" s="6786"/>
      <c r="T167" s="6791"/>
      <c r="U167" s="6844"/>
      <c r="V167" s="6791"/>
      <c r="W167" s="8487"/>
      <c r="X167" s="6871"/>
      <c r="Y167" s="6793"/>
      <c r="Z167" s="6794"/>
      <c r="AA167" s="6795"/>
      <c r="AB167" s="6796"/>
      <c r="AC167" s="6797"/>
      <c r="AD167" s="6798"/>
      <c r="AE167" s="4" t="s">
        <v>1</v>
      </c>
      <c r="AF167" s="6202" t="str">
        <f t="shared" si="71"/>
        <v>►</v>
      </c>
      <c r="AG167" s="6234" t="str">
        <f t="shared" si="72"/>
        <v/>
      </c>
      <c r="AH167" s="6732" t="str">
        <f t="shared" si="73"/>
        <v/>
      </c>
      <c r="AI167" s="6234" t="str">
        <f t="shared" si="74"/>
        <v/>
      </c>
      <c r="AJ167" s="6732" t="str">
        <f t="shared" si="75"/>
        <v/>
      </c>
      <c r="AK167" s="6732">
        <f t="shared" si="76"/>
        <v>0</v>
      </c>
      <c r="AL167" s="6230" t="str" cm="1">
        <f t="array" ref="AL167">IF(AF167&lt;&gt;"A","",IFERROR((IFERROR(_xlfn.XLOOKUP(TRIM(SUBSTITUTE(U167,CHAR(160)," ")),$BJ$15:$BJ$62,$BM$15:$BM$62),IFERROR(_xlfn.XLOOKUP(TRIM(SUBSTITUTE(U167,CHAR(160)," ")),$BK$15:$BK$62,$BM$15:$BM$62),_xlfn.XLOOKUP(TRIM(SUBSTITUTE(U167,CHAR(160)," ")),$BL$15:$BL$62,$BM$15:$BM$62))))*T167*IF(ISBLANK(Q167),1,Q167)+IFERROR(_xlfn.XLOOKUP("RECHERCHEX",TRIM(L167:AD167),L167:AD167),0),0))</f>
        <v/>
      </c>
      <c r="AM167" s="6229">
        <f t="shared" si="77"/>
        <v>0</v>
      </c>
      <c r="AN167" s="6857" t="str">
        <f t="shared" si="92"/>
        <v/>
      </c>
      <c r="AO167" s="392">
        <f t="shared" si="78"/>
        <v>0</v>
      </c>
      <c r="AP167" s="392">
        <f t="shared" si="79"/>
        <v>0</v>
      </c>
      <c r="AQ167" s="6191">
        <f t="shared" si="80"/>
        <v>0</v>
      </c>
      <c r="AR167" s="6859" t="str">
        <f t="shared" si="81"/>
        <v/>
      </c>
      <c r="AS167" s="6217"/>
      <c r="AT167" s="6217"/>
      <c r="AU167" s="6272">
        <f t="shared" si="82"/>
        <v>0</v>
      </c>
      <c r="AV167" s="6240">
        <f t="shared" si="83"/>
        <v>0</v>
      </c>
      <c r="AW167" s="6189" cm="1">
        <f t="array" ref="AW167">IF(AK167&lt;&gt;1,0,IF(OR(AU167="",N(AU167)&lt;=0.000000001),"",IF(OR(AO167="",N(AO167)&lt;=0.000000001),0,IF(ISNUMBER(AU167),IFERROR(_xlfn.LET(_xlpm.ai_test,TRIM(AJ167),_xlpm.r,IFERROR(_xlfn.XLOOKUP(_xlpm.ai_test,$BJ$15:$BJ$62,ROW($BJ$15:$BJ$62),0,1),IFERROR(_xlfn.XLOOKUP(_xlpm.ai_test,$BK$15:$BK$62,ROW($BK$15:$BK$62),0,1),_xlfn.XLOOKUP(_xlpm.ai_test,$BL$15:$BL$62,ROW($BL$15:$BL$62),0,1))),_xlpm.p,_xlpm.r-MIN(ROW($BJ$15:$BJ$62))+1,_xlpm.f,INDEX($BM$15:$BM$62,_xlpm.p),_xlpm.u,INDEX($BN$15:$BN$62,_xlpm.p),_xlpm.s,INDEX($BP$15:$BP$62,_xlpm.p),_xlpm.q,N(AU167)/_xlpm.f,IF(_xlpm.q&gt;=_xlpm.s,ROUND(_xlpm.q,1)&amp;" "&amp;_xlpm.ai_test&amp;" = "&amp;ROUND(_xlpm.q*_xlpm.f,1)&amp;" "&amp;_xlpm.u,ROUND(_xlpm.q,1)&amp;" "&amp;_xlpm.ai_test)),""),""))))</f>
        <v>0</v>
      </c>
      <c r="AX167" s="6218"/>
      <c r="AY167" s="6272">
        <f t="shared" si="84"/>
        <v>0</v>
      </c>
      <c r="AZ167" s="6240" t="str">
        <f t="shared" si="85"/>
        <v/>
      </c>
      <c r="BA167" s="6195">
        <f t="shared" si="90"/>
        <v>0</v>
      </c>
      <c r="BB167" s="6193" t="str">
        <f t="shared" si="86"/>
        <v/>
      </c>
      <c r="BC167" s="6219"/>
      <c r="BD167" s="6222">
        <f t="shared" si="91"/>
        <v>0</v>
      </c>
      <c r="BE167" s="6220" t="str">
        <f t="shared" si="87"/>
        <v/>
      </c>
      <c r="BF167" s="4" t="s">
        <v>1</v>
      </c>
      <c r="BG167" s="6196">
        <f t="shared" si="88"/>
        <v>0</v>
      </c>
      <c r="BH167" s="6197">
        <f t="shared" si="89"/>
        <v>0</v>
      </c>
      <c r="BI167"/>
      <c r="BR167"/>
      <c r="BS167"/>
      <c r="BT167"/>
      <c r="BU167"/>
      <c r="BV167"/>
      <c r="BW167"/>
      <c r="BX167" s="20" t="str">
        <f t="shared" si="70"/>
        <v>►</v>
      </c>
      <c r="BY167"/>
      <c r="BZ167"/>
      <c r="CA167"/>
      <c r="CB167"/>
      <c r="CC167"/>
      <c r="CD167" s="2"/>
      <c r="CE167"/>
      <c r="CF167"/>
      <c r="CG167"/>
      <c r="CH167"/>
      <c r="CI167"/>
      <c r="CJ167"/>
      <c r="CK167"/>
      <c r="CM167"/>
      <c r="CN167"/>
      <c r="CO167"/>
      <c r="CP167"/>
      <c r="CQ167"/>
      <c r="CR167"/>
      <c r="CS167"/>
      <c r="CU167"/>
      <c r="CV167"/>
      <c r="CW167"/>
      <c r="CX167"/>
      <c r="CY167"/>
      <c r="CZ167"/>
      <c r="DA167"/>
      <c r="DC167" s="5">
        <v>1</v>
      </c>
    </row>
    <row r="168" spans="1:107" s="1" customFormat="1" ht="21" customHeight="1">
      <c r="A168" s="5641" t="s">
        <v>1</v>
      </c>
      <c r="B168" s="5662" t="str">
        <f t="shared" si="69"/>
        <v>►</v>
      </c>
      <c r="C168" s="5825" cm="1">
        <f t="array" ref="C168">SUMPRODUCT(LEN(D168:J168))</f>
        <v>0</v>
      </c>
      <c r="D168" s="5275"/>
      <c r="E168" s="1361"/>
      <c r="F168" s="1361"/>
      <c r="G168" s="1361"/>
      <c r="H168" s="1361"/>
      <c r="I168" s="1361"/>
      <c r="J168" s="5276"/>
      <c r="K168" s="106" t="s">
        <v>1</v>
      </c>
      <c r="L168" s="1021" t="s">
        <v>26</v>
      </c>
      <c r="M168" s="6787"/>
      <c r="N168" s="6787"/>
      <c r="O168" s="6787"/>
      <c r="P168" s="6788"/>
      <c r="Q168" s="6789"/>
      <c r="R168" s="6790"/>
      <c r="S168" s="6786"/>
      <c r="T168" s="6791"/>
      <c r="U168" s="6844"/>
      <c r="V168" s="6791"/>
      <c r="W168" s="8487"/>
      <c r="X168" s="6871"/>
      <c r="Y168" s="6793"/>
      <c r="Z168" s="6794"/>
      <c r="AA168" s="6795"/>
      <c r="AB168" s="6796"/>
      <c r="AC168" s="6797"/>
      <c r="AD168" s="6798"/>
      <c r="AE168" s="4" t="s">
        <v>1</v>
      </c>
      <c r="AF168" s="6202" t="str">
        <f t="shared" si="71"/>
        <v>►</v>
      </c>
      <c r="AG168" s="6234" t="str">
        <f t="shared" si="72"/>
        <v/>
      </c>
      <c r="AH168" s="6732" t="str">
        <f t="shared" si="73"/>
        <v/>
      </c>
      <c r="AI168" s="6234" t="str">
        <f t="shared" si="74"/>
        <v/>
      </c>
      <c r="AJ168" s="6732" t="str">
        <f t="shared" si="75"/>
        <v/>
      </c>
      <c r="AK168" s="6732">
        <f t="shared" si="76"/>
        <v>0</v>
      </c>
      <c r="AL168" s="6230" t="str" cm="1">
        <f t="array" ref="AL168">IF(AF168&lt;&gt;"A","",IFERROR((IFERROR(_xlfn.XLOOKUP(TRIM(SUBSTITUTE(U168,CHAR(160)," ")),$BJ$15:$BJ$62,$BM$15:$BM$62),IFERROR(_xlfn.XLOOKUP(TRIM(SUBSTITUTE(U168,CHAR(160)," ")),$BK$15:$BK$62,$BM$15:$BM$62),_xlfn.XLOOKUP(TRIM(SUBSTITUTE(U168,CHAR(160)," ")),$BL$15:$BL$62,$BM$15:$BM$62))))*T168*IF(ISBLANK(Q168),1,Q168)+IFERROR(_xlfn.XLOOKUP("RECHERCHEX",TRIM(L168:AD168),L168:AD168),0),0))</f>
        <v/>
      </c>
      <c r="AM168" s="6229">
        <f t="shared" si="77"/>
        <v>0</v>
      </c>
      <c r="AN168" s="6857" t="str">
        <f t="shared" si="92"/>
        <v/>
      </c>
      <c r="AO168" s="392">
        <f t="shared" si="78"/>
        <v>0</v>
      </c>
      <c r="AP168" s="392">
        <f t="shared" si="79"/>
        <v>0</v>
      </c>
      <c r="AQ168" s="6190">
        <f t="shared" si="80"/>
        <v>0</v>
      </c>
      <c r="AR168" s="6858" t="str">
        <f t="shared" si="81"/>
        <v/>
      </c>
      <c r="AS168" s="6217"/>
      <c r="AT168" s="6217"/>
      <c r="AU168" s="6271">
        <f t="shared" si="82"/>
        <v>0</v>
      </c>
      <c r="AV168" s="6242">
        <f t="shared" si="83"/>
        <v>0</v>
      </c>
      <c r="AW168" s="6188" cm="1">
        <f t="array" ref="AW168">IF(AK168&lt;&gt;1,0,IF(OR(AU168="",N(AU168)&lt;=0.000000001),"",IF(OR(AO168="",N(AO168)&lt;=0.000000001),0,IF(ISNUMBER(AU168),IFERROR(_xlfn.LET(_xlpm.ai_test,TRIM(AJ168),_xlpm.r,IFERROR(_xlfn.XLOOKUP(_xlpm.ai_test,$BJ$15:$BJ$62,ROW($BJ$15:$BJ$62),0,1),IFERROR(_xlfn.XLOOKUP(_xlpm.ai_test,$BK$15:$BK$62,ROW($BK$15:$BK$62),0,1),_xlfn.XLOOKUP(_xlpm.ai_test,$BL$15:$BL$62,ROW($BL$15:$BL$62),0,1))),_xlpm.p,_xlpm.r-MIN(ROW($BJ$15:$BJ$62))+1,_xlpm.f,INDEX($BM$15:$BM$62,_xlpm.p),_xlpm.u,INDEX($BN$15:$BN$62,_xlpm.p),_xlpm.s,INDEX($BP$15:$BP$62,_xlpm.p),_xlpm.q,N(AU168)/_xlpm.f,IF(_xlpm.q&gt;=_xlpm.s,ROUND(_xlpm.q,1)&amp;" "&amp;_xlpm.ai_test&amp;" = "&amp;ROUND(_xlpm.q*_xlpm.f,1)&amp;" "&amp;_xlpm.u,ROUND(_xlpm.q,1)&amp;" "&amp;_xlpm.ai_test)),""),""))))</f>
        <v>0</v>
      </c>
      <c r="AX168" s="6218"/>
      <c r="AY168" s="6271">
        <f t="shared" si="84"/>
        <v>0</v>
      </c>
      <c r="AZ168" s="6242" t="str">
        <f t="shared" si="85"/>
        <v/>
      </c>
      <c r="BA168" s="6194">
        <f t="shared" si="90"/>
        <v>0</v>
      </c>
      <c r="BB168" s="6192" t="str">
        <f t="shared" si="86"/>
        <v/>
      </c>
      <c r="BC168" s="6219"/>
      <c r="BD168" s="6221">
        <f t="shared" si="91"/>
        <v>0</v>
      </c>
      <c r="BE168" s="6220" t="str">
        <f t="shared" si="87"/>
        <v/>
      </c>
      <c r="BF168" s="4" t="s">
        <v>1</v>
      </c>
      <c r="BG168" s="6196">
        <f t="shared" si="88"/>
        <v>0</v>
      </c>
      <c r="BH168" s="6197">
        <f t="shared" si="89"/>
        <v>0</v>
      </c>
      <c r="BI168"/>
      <c r="BR168"/>
      <c r="BS168"/>
      <c r="BT168"/>
      <c r="BU168"/>
      <c r="BV168"/>
      <c r="BW168"/>
      <c r="BX168" s="20" t="str">
        <f t="shared" si="70"/>
        <v>►</v>
      </c>
      <c r="BY168"/>
      <c r="BZ168"/>
      <c r="CA168"/>
      <c r="CB168"/>
      <c r="CC168"/>
      <c r="CD168" s="2"/>
      <c r="CE168"/>
      <c r="CF168"/>
      <c r="CG168"/>
      <c r="CH168"/>
      <c r="CI168"/>
      <c r="CJ168"/>
      <c r="CK168"/>
      <c r="CM168"/>
      <c r="CN168"/>
      <c r="CO168"/>
      <c r="CP168"/>
      <c r="CQ168"/>
      <c r="CR168"/>
      <c r="CS168"/>
      <c r="CU168"/>
      <c r="CV168"/>
      <c r="CW168"/>
      <c r="CX168"/>
      <c r="CY168"/>
      <c r="CZ168"/>
      <c r="DA168"/>
      <c r="DC168" s="5">
        <v>1</v>
      </c>
    </row>
    <row r="169" spans="1:107" s="1" customFormat="1" ht="21" customHeight="1">
      <c r="A169" s="5641" t="s">
        <v>1</v>
      </c>
      <c r="B169" s="5662" t="str">
        <f t="shared" si="69"/>
        <v>►</v>
      </c>
      <c r="C169" s="5825" cm="1">
        <f t="array" ref="C169">SUMPRODUCT(LEN(D169:J169))</f>
        <v>0</v>
      </c>
      <c r="D169" s="5275"/>
      <c r="E169" s="1361"/>
      <c r="F169" s="1361"/>
      <c r="G169" s="1361"/>
      <c r="H169" s="1361"/>
      <c r="I169" s="1361"/>
      <c r="J169" s="5276"/>
      <c r="K169" s="106" t="s">
        <v>1</v>
      </c>
      <c r="L169" s="1021" t="s">
        <v>26</v>
      </c>
      <c r="M169" s="6787"/>
      <c r="N169" s="6787"/>
      <c r="O169" s="6787"/>
      <c r="P169" s="6788"/>
      <c r="Q169" s="6789"/>
      <c r="R169" s="6790"/>
      <c r="S169" s="6786"/>
      <c r="T169" s="6791"/>
      <c r="U169" s="6844"/>
      <c r="V169" s="6791"/>
      <c r="W169" s="8487"/>
      <c r="X169" s="6871"/>
      <c r="Y169" s="6793"/>
      <c r="Z169" s="6794"/>
      <c r="AA169" s="6795"/>
      <c r="AB169" s="6796"/>
      <c r="AC169" s="6797"/>
      <c r="AD169" s="6798"/>
      <c r="AE169" s="4" t="s">
        <v>1</v>
      </c>
      <c r="AF169" s="6202" t="str">
        <f t="shared" si="71"/>
        <v>►</v>
      </c>
      <c r="AG169" s="6234" t="str">
        <f t="shared" si="72"/>
        <v/>
      </c>
      <c r="AH169" s="6732" t="str">
        <f t="shared" si="73"/>
        <v/>
      </c>
      <c r="AI169" s="6234" t="str">
        <f t="shared" si="74"/>
        <v/>
      </c>
      <c r="AJ169" s="6732" t="str">
        <f t="shared" si="75"/>
        <v/>
      </c>
      <c r="AK169" s="6732">
        <f t="shared" si="76"/>
        <v>0</v>
      </c>
      <c r="AL169" s="6230" t="str" cm="1">
        <f t="array" ref="AL169">IF(AF169&lt;&gt;"A","",IFERROR((IFERROR(_xlfn.XLOOKUP(TRIM(SUBSTITUTE(U169,CHAR(160)," ")),$BJ$15:$BJ$62,$BM$15:$BM$62),IFERROR(_xlfn.XLOOKUP(TRIM(SUBSTITUTE(U169,CHAR(160)," ")),$BK$15:$BK$62,$BM$15:$BM$62),_xlfn.XLOOKUP(TRIM(SUBSTITUTE(U169,CHAR(160)," ")),$BL$15:$BL$62,$BM$15:$BM$62))))*T169*IF(ISBLANK(Q169),1,Q169)+IFERROR(_xlfn.XLOOKUP("RECHERCHEX",TRIM(L169:AD169),L169:AD169),0),0))</f>
        <v/>
      </c>
      <c r="AM169" s="6229">
        <f t="shared" si="77"/>
        <v>0</v>
      </c>
      <c r="AN169" s="6857" t="str">
        <f t="shared" si="92"/>
        <v/>
      </c>
      <c r="AO169" s="392">
        <f t="shared" si="78"/>
        <v>0</v>
      </c>
      <c r="AP169" s="392">
        <f t="shared" si="79"/>
        <v>0</v>
      </c>
      <c r="AQ169" s="6191">
        <f t="shared" si="80"/>
        <v>0</v>
      </c>
      <c r="AR169" s="6859" t="str">
        <f t="shared" si="81"/>
        <v/>
      </c>
      <c r="AS169" s="6217"/>
      <c r="AT169" s="6217"/>
      <c r="AU169" s="6272">
        <f t="shared" si="82"/>
        <v>0</v>
      </c>
      <c r="AV169" s="6240">
        <f t="shared" si="83"/>
        <v>0</v>
      </c>
      <c r="AW169" s="6189" cm="1">
        <f t="array" ref="AW169">IF(AK169&lt;&gt;1,0,IF(OR(AU169="",N(AU169)&lt;=0.000000001),"",IF(OR(AO169="",N(AO169)&lt;=0.000000001),0,IF(ISNUMBER(AU169),IFERROR(_xlfn.LET(_xlpm.ai_test,TRIM(AJ169),_xlpm.r,IFERROR(_xlfn.XLOOKUP(_xlpm.ai_test,$BJ$15:$BJ$62,ROW($BJ$15:$BJ$62),0,1),IFERROR(_xlfn.XLOOKUP(_xlpm.ai_test,$BK$15:$BK$62,ROW($BK$15:$BK$62),0,1),_xlfn.XLOOKUP(_xlpm.ai_test,$BL$15:$BL$62,ROW($BL$15:$BL$62),0,1))),_xlpm.p,_xlpm.r-MIN(ROW($BJ$15:$BJ$62))+1,_xlpm.f,INDEX($BM$15:$BM$62,_xlpm.p),_xlpm.u,INDEX($BN$15:$BN$62,_xlpm.p),_xlpm.s,INDEX($BP$15:$BP$62,_xlpm.p),_xlpm.q,N(AU169)/_xlpm.f,IF(_xlpm.q&gt;=_xlpm.s,ROUND(_xlpm.q,1)&amp;" "&amp;_xlpm.ai_test&amp;" = "&amp;ROUND(_xlpm.q*_xlpm.f,1)&amp;" "&amp;_xlpm.u,ROUND(_xlpm.q,1)&amp;" "&amp;_xlpm.ai_test)),""),""))))</f>
        <v>0</v>
      </c>
      <c r="AX169" s="6218"/>
      <c r="AY169" s="6272">
        <f t="shared" si="84"/>
        <v>0</v>
      </c>
      <c r="AZ169" s="6240" t="str">
        <f t="shared" si="85"/>
        <v/>
      </c>
      <c r="BA169" s="6195">
        <f t="shared" si="90"/>
        <v>0</v>
      </c>
      <c r="BB169" s="6193" t="str">
        <f t="shared" si="86"/>
        <v/>
      </c>
      <c r="BC169" s="6219"/>
      <c r="BD169" s="6222">
        <f t="shared" si="91"/>
        <v>0</v>
      </c>
      <c r="BE169" s="6220" t="str">
        <f t="shared" si="87"/>
        <v/>
      </c>
      <c r="BF169" s="4" t="s">
        <v>1</v>
      </c>
      <c r="BG169" s="6196">
        <f t="shared" si="88"/>
        <v>0</v>
      </c>
      <c r="BH169" s="6197">
        <f t="shared" si="89"/>
        <v>0</v>
      </c>
      <c r="BI169"/>
      <c r="BR169"/>
      <c r="BS169"/>
      <c r="BT169"/>
      <c r="BU169"/>
      <c r="BV169"/>
      <c r="BW169"/>
      <c r="BX169" s="20" t="str">
        <f t="shared" si="70"/>
        <v>►</v>
      </c>
      <c r="BY169"/>
      <c r="BZ169"/>
      <c r="CA169"/>
      <c r="CB169"/>
      <c r="CC169"/>
      <c r="CD169" s="2"/>
      <c r="CE169"/>
      <c r="CF169"/>
      <c r="CG169"/>
      <c r="CH169"/>
      <c r="CI169"/>
      <c r="CJ169"/>
      <c r="CK169"/>
      <c r="CM169"/>
      <c r="CN169"/>
      <c r="CO169"/>
      <c r="CP169"/>
      <c r="CQ169"/>
      <c r="CR169"/>
      <c r="CS169"/>
      <c r="CU169"/>
      <c r="CV169"/>
      <c r="CW169"/>
      <c r="CX169"/>
      <c r="CY169"/>
      <c r="CZ169"/>
      <c r="DA169"/>
      <c r="DC169" s="5">
        <v>1</v>
      </c>
    </row>
    <row r="170" spans="1:107" s="1" customFormat="1" ht="21" customHeight="1">
      <c r="A170" s="5641" t="s">
        <v>1</v>
      </c>
      <c r="B170" s="5662" t="str">
        <f t="shared" si="69"/>
        <v>►</v>
      </c>
      <c r="C170" s="5825" cm="1">
        <f t="array" ref="C170">SUMPRODUCT(LEN(D170:J170))</f>
        <v>0</v>
      </c>
      <c r="D170" s="5275"/>
      <c r="E170" s="1361"/>
      <c r="F170" s="1361"/>
      <c r="G170" s="1361"/>
      <c r="H170" s="1361"/>
      <c r="I170" s="1361"/>
      <c r="J170" s="5276"/>
      <c r="K170" s="106" t="s">
        <v>1</v>
      </c>
      <c r="L170" s="1021" t="s">
        <v>26</v>
      </c>
      <c r="M170" s="6787"/>
      <c r="N170" s="6787"/>
      <c r="O170" s="6787"/>
      <c r="P170" s="6788"/>
      <c r="Q170" s="6789"/>
      <c r="R170" s="6790"/>
      <c r="S170" s="6786"/>
      <c r="T170" s="6791"/>
      <c r="U170" s="6844"/>
      <c r="V170" s="6791"/>
      <c r="W170" s="8487"/>
      <c r="X170" s="6871"/>
      <c r="Y170" s="6793"/>
      <c r="Z170" s="6794"/>
      <c r="AA170" s="6795"/>
      <c r="AB170" s="6796"/>
      <c r="AC170" s="6797"/>
      <c r="AD170" s="6798"/>
      <c r="AE170" s="4" t="s">
        <v>1</v>
      </c>
      <c r="AF170" s="6202" t="str">
        <f t="shared" si="71"/>
        <v>►</v>
      </c>
      <c r="AG170" s="6234" t="str">
        <f t="shared" si="72"/>
        <v/>
      </c>
      <c r="AH170" s="6732" t="str">
        <f t="shared" si="73"/>
        <v/>
      </c>
      <c r="AI170" s="6234" t="str">
        <f t="shared" si="74"/>
        <v/>
      </c>
      <c r="AJ170" s="6732" t="str">
        <f t="shared" si="75"/>
        <v/>
      </c>
      <c r="AK170" s="6732">
        <f t="shared" si="76"/>
        <v>0</v>
      </c>
      <c r="AL170" s="6230" t="str" cm="1">
        <f t="array" ref="AL170">IF(AF170&lt;&gt;"A","",IFERROR((IFERROR(_xlfn.XLOOKUP(TRIM(SUBSTITUTE(U170,CHAR(160)," ")),$BJ$15:$BJ$62,$BM$15:$BM$62),IFERROR(_xlfn.XLOOKUP(TRIM(SUBSTITUTE(U170,CHAR(160)," ")),$BK$15:$BK$62,$BM$15:$BM$62),_xlfn.XLOOKUP(TRIM(SUBSTITUTE(U170,CHAR(160)," ")),$BL$15:$BL$62,$BM$15:$BM$62))))*T170*IF(ISBLANK(Q170),1,Q170)+IFERROR(_xlfn.XLOOKUP("RECHERCHEX",TRIM(L170:AD170),L170:AD170),0),0))</f>
        <v/>
      </c>
      <c r="AM170" s="6229">
        <f t="shared" si="77"/>
        <v>0</v>
      </c>
      <c r="AN170" s="6857" t="str">
        <f t="shared" si="92"/>
        <v/>
      </c>
      <c r="AO170" s="392">
        <f t="shared" si="78"/>
        <v>0</v>
      </c>
      <c r="AP170" s="392">
        <f t="shared" si="79"/>
        <v>0</v>
      </c>
      <c r="AQ170" s="6190">
        <f t="shared" si="80"/>
        <v>0</v>
      </c>
      <c r="AR170" s="6858" t="str">
        <f t="shared" si="81"/>
        <v/>
      </c>
      <c r="AS170" s="6217"/>
      <c r="AT170" s="6217"/>
      <c r="AU170" s="6271">
        <f t="shared" si="82"/>
        <v>0</v>
      </c>
      <c r="AV170" s="6242">
        <f t="shared" si="83"/>
        <v>0</v>
      </c>
      <c r="AW170" s="6188" cm="1">
        <f t="array" ref="AW170">IF(AK170&lt;&gt;1,0,IF(OR(AU170="",N(AU170)&lt;=0.000000001),"",IF(OR(AO170="",N(AO170)&lt;=0.000000001),0,IF(ISNUMBER(AU170),IFERROR(_xlfn.LET(_xlpm.ai_test,TRIM(AJ170),_xlpm.r,IFERROR(_xlfn.XLOOKUP(_xlpm.ai_test,$BJ$15:$BJ$62,ROW($BJ$15:$BJ$62),0,1),IFERROR(_xlfn.XLOOKUP(_xlpm.ai_test,$BK$15:$BK$62,ROW($BK$15:$BK$62),0,1),_xlfn.XLOOKUP(_xlpm.ai_test,$BL$15:$BL$62,ROW($BL$15:$BL$62),0,1))),_xlpm.p,_xlpm.r-MIN(ROW($BJ$15:$BJ$62))+1,_xlpm.f,INDEX($BM$15:$BM$62,_xlpm.p),_xlpm.u,INDEX($BN$15:$BN$62,_xlpm.p),_xlpm.s,INDEX($BP$15:$BP$62,_xlpm.p),_xlpm.q,N(AU170)/_xlpm.f,IF(_xlpm.q&gt;=_xlpm.s,ROUND(_xlpm.q,1)&amp;" "&amp;_xlpm.ai_test&amp;" = "&amp;ROUND(_xlpm.q*_xlpm.f,1)&amp;" "&amp;_xlpm.u,ROUND(_xlpm.q,1)&amp;" "&amp;_xlpm.ai_test)),""),""))))</f>
        <v>0</v>
      </c>
      <c r="AX170" s="6218"/>
      <c r="AY170" s="6271">
        <f t="shared" si="84"/>
        <v>0</v>
      </c>
      <c r="AZ170" s="6242" t="str">
        <f t="shared" si="85"/>
        <v/>
      </c>
      <c r="BA170" s="6194">
        <f t="shared" si="90"/>
        <v>0</v>
      </c>
      <c r="BB170" s="6192" t="str">
        <f t="shared" si="86"/>
        <v/>
      </c>
      <c r="BC170" s="6219"/>
      <c r="BD170" s="6221">
        <f t="shared" si="91"/>
        <v>0</v>
      </c>
      <c r="BE170" s="6220" t="str">
        <f t="shared" si="87"/>
        <v/>
      </c>
      <c r="BF170" s="4" t="s">
        <v>1</v>
      </c>
      <c r="BG170" s="6196">
        <f t="shared" si="88"/>
        <v>0</v>
      </c>
      <c r="BH170" s="6197">
        <f t="shared" si="89"/>
        <v>0</v>
      </c>
      <c r="BI170"/>
      <c r="BR170"/>
      <c r="BS170"/>
      <c r="BT170"/>
      <c r="BU170"/>
      <c r="BV170"/>
      <c r="BW170"/>
      <c r="BX170" s="20" t="str">
        <f t="shared" si="70"/>
        <v>►</v>
      </c>
      <c r="BY170"/>
      <c r="BZ170"/>
      <c r="CA170"/>
      <c r="CB170"/>
      <c r="CC170"/>
      <c r="CD170" s="2"/>
      <c r="CE170"/>
      <c r="CF170"/>
      <c r="CG170"/>
      <c r="CH170"/>
      <c r="CI170"/>
      <c r="CJ170"/>
      <c r="CK170"/>
      <c r="CM170"/>
      <c r="CN170"/>
      <c r="CO170"/>
      <c r="CP170"/>
      <c r="CQ170"/>
      <c r="CR170"/>
      <c r="CS170"/>
      <c r="CU170"/>
      <c r="CV170"/>
      <c r="CW170"/>
      <c r="CX170"/>
      <c r="CY170"/>
      <c r="CZ170"/>
      <c r="DA170"/>
      <c r="DC170" s="5">
        <v>1</v>
      </c>
    </row>
    <row r="171" spans="1:107" s="1" customFormat="1" ht="21" customHeight="1">
      <c r="A171" s="5641" t="s">
        <v>1</v>
      </c>
      <c r="B171" s="5662" t="str">
        <f t="shared" si="69"/>
        <v>►</v>
      </c>
      <c r="C171" s="5825" cm="1">
        <f t="array" ref="C171">SUMPRODUCT(LEN(D171:J171))</f>
        <v>0</v>
      </c>
      <c r="D171" s="5275"/>
      <c r="E171" s="1361"/>
      <c r="F171" s="1361"/>
      <c r="G171" s="1361"/>
      <c r="H171" s="1361"/>
      <c r="I171" s="1361"/>
      <c r="J171" s="5276"/>
      <c r="K171" s="106" t="s">
        <v>1</v>
      </c>
      <c r="L171" s="1021" t="s">
        <v>26</v>
      </c>
      <c r="M171" s="6787"/>
      <c r="N171" s="6787"/>
      <c r="O171" s="6787"/>
      <c r="P171" s="6788"/>
      <c r="Q171" s="6789"/>
      <c r="R171" s="6790"/>
      <c r="S171" s="6786"/>
      <c r="T171" s="6791"/>
      <c r="U171" s="6844"/>
      <c r="V171" s="6791"/>
      <c r="W171" s="8487"/>
      <c r="X171" s="6871"/>
      <c r="Y171" s="6793"/>
      <c r="Z171" s="6794"/>
      <c r="AA171" s="6795"/>
      <c r="AB171" s="6796"/>
      <c r="AC171" s="6797"/>
      <c r="AD171" s="6798"/>
      <c r="AE171" s="4" t="s">
        <v>1</v>
      </c>
      <c r="AF171" s="6202" t="str">
        <f t="shared" si="71"/>
        <v>►</v>
      </c>
      <c r="AG171" s="6234" t="str">
        <f t="shared" si="72"/>
        <v/>
      </c>
      <c r="AH171" s="6732" t="str">
        <f t="shared" si="73"/>
        <v/>
      </c>
      <c r="AI171" s="6234" t="str">
        <f t="shared" si="74"/>
        <v/>
      </c>
      <c r="AJ171" s="6732" t="str">
        <f t="shared" si="75"/>
        <v/>
      </c>
      <c r="AK171" s="6732">
        <f t="shared" si="76"/>
        <v>0</v>
      </c>
      <c r="AL171" s="6230" t="str" cm="1">
        <f t="array" ref="AL171">IF(AF171&lt;&gt;"A","",IFERROR((IFERROR(_xlfn.XLOOKUP(TRIM(SUBSTITUTE(U171,CHAR(160)," ")),$BJ$15:$BJ$62,$BM$15:$BM$62),IFERROR(_xlfn.XLOOKUP(TRIM(SUBSTITUTE(U171,CHAR(160)," ")),$BK$15:$BK$62,$BM$15:$BM$62),_xlfn.XLOOKUP(TRIM(SUBSTITUTE(U171,CHAR(160)," ")),$BL$15:$BL$62,$BM$15:$BM$62))))*T171*IF(ISBLANK(Q171),1,Q171)+IFERROR(_xlfn.XLOOKUP("RECHERCHEX",TRIM(L171:AD171),L171:AD171),0),0))</f>
        <v/>
      </c>
      <c r="AM171" s="6229">
        <f t="shared" si="77"/>
        <v>0</v>
      </c>
      <c r="AN171" s="6857" t="str">
        <f t="shared" si="92"/>
        <v/>
      </c>
      <c r="AO171" s="392">
        <f t="shared" si="78"/>
        <v>0</v>
      </c>
      <c r="AP171" s="392">
        <f t="shared" si="79"/>
        <v>0</v>
      </c>
      <c r="AQ171" s="6191">
        <f t="shared" si="80"/>
        <v>0</v>
      </c>
      <c r="AR171" s="6859" t="str">
        <f t="shared" si="81"/>
        <v/>
      </c>
      <c r="AS171" s="6217"/>
      <c r="AT171" s="6217"/>
      <c r="AU171" s="6272">
        <f t="shared" si="82"/>
        <v>0</v>
      </c>
      <c r="AV171" s="6240">
        <f t="shared" si="83"/>
        <v>0</v>
      </c>
      <c r="AW171" s="6189" cm="1">
        <f t="array" ref="AW171">IF(AK171&lt;&gt;1,0,IF(OR(AU171="",N(AU171)&lt;=0.000000001),"",IF(OR(AO171="",N(AO171)&lt;=0.000000001),0,IF(ISNUMBER(AU171),IFERROR(_xlfn.LET(_xlpm.ai_test,TRIM(AJ171),_xlpm.r,IFERROR(_xlfn.XLOOKUP(_xlpm.ai_test,$BJ$15:$BJ$62,ROW($BJ$15:$BJ$62),0,1),IFERROR(_xlfn.XLOOKUP(_xlpm.ai_test,$BK$15:$BK$62,ROW($BK$15:$BK$62),0,1),_xlfn.XLOOKUP(_xlpm.ai_test,$BL$15:$BL$62,ROW($BL$15:$BL$62),0,1))),_xlpm.p,_xlpm.r-MIN(ROW($BJ$15:$BJ$62))+1,_xlpm.f,INDEX($BM$15:$BM$62,_xlpm.p),_xlpm.u,INDEX($BN$15:$BN$62,_xlpm.p),_xlpm.s,INDEX($BP$15:$BP$62,_xlpm.p),_xlpm.q,N(AU171)/_xlpm.f,IF(_xlpm.q&gt;=_xlpm.s,ROUND(_xlpm.q,1)&amp;" "&amp;_xlpm.ai_test&amp;" = "&amp;ROUND(_xlpm.q*_xlpm.f,1)&amp;" "&amp;_xlpm.u,ROUND(_xlpm.q,1)&amp;" "&amp;_xlpm.ai_test)),""),""))))</f>
        <v>0</v>
      </c>
      <c r="AX171" s="6218"/>
      <c r="AY171" s="6272">
        <f t="shared" si="84"/>
        <v>0</v>
      </c>
      <c r="AZ171" s="6240" t="str">
        <f t="shared" si="85"/>
        <v/>
      </c>
      <c r="BA171" s="6195">
        <f t="shared" si="90"/>
        <v>0</v>
      </c>
      <c r="BB171" s="6193" t="str">
        <f t="shared" si="86"/>
        <v/>
      </c>
      <c r="BC171" s="6219"/>
      <c r="BD171" s="6222">
        <f t="shared" si="91"/>
        <v>0</v>
      </c>
      <c r="BE171" s="6220" t="str">
        <f t="shared" si="87"/>
        <v/>
      </c>
      <c r="BF171" s="4" t="s">
        <v>1</v>
      </c>
      <c r="BG171" s="6196">
        <f t="shared" si="88"/>
        <v>0</v>
      </c>
      <c r="BH171" s="6197">
        <f t="shared" si="89"/>
        <v>0</v>
      </c>
      <c r="BI171"/>
      <c r="BR171"/>
      <c r="BS171"/>
      <c r="BT171"/>
      <c r="BU171"/>
      <c r="BV171"/>
      <c r="BW171"/>
      <c r="BX171" s="20" t="str">
        <f t="shared" si="70"/>
        <v>►</v>
      </c>
      <c r="BY171"/>
      <c r="BZ171"/>
      <c r="CA171"/>
      <c r="CB171"/>
      <c r="CC171"/>
      <c r="CD171" s="2"/>
      <c r="CE171"/>
      <c r="CF171"/>
      <c r="CG171"/>
      <c r="CH171"/>
      <c r="CI171"/>
      <c r="CJ171"/>
      <c r="CK171"/>
      <c r="CM171"/>
      <c r="CN171"/>
      <c r="CO171"/>
      <c r="CP171"/>
      <c r="CQ171"/>
      <c r="CR171"/>
      <c r="CS171"/>
      <c r="CU171"/>
      <c r="CV171"/>
      <c r="CW171"/>
      <c r="CX171"/>
      <c r="CY171"/>
      <c r="CZ171"/>
      <c r="DA171"/>
      <c r="DC171" s="5">
        <v>1</v>
      </c>
    </row>
    <row r="172" spans="1:107" s="1" customFormat="1" ht="21" customHeight="1">
      <c r="A172" s="5641" t="s">
        <v>1</v>
      </c>
      <c r="B172" s="5662" t="str">
        <f t="shared" si="69"/>
        <v>►</v>
      </c>
      <c r="C172" s="5825" cm="1">
        <f t="array" ref="C172">SUMPRODUCT(LEN(D172:J172))</f>
        <v>0</v>
      </c>
      <c r="D172" s="5275"/>
      <c r="E172" s="1361"/>
      <c r="F172" s="1361"/>
      <c r="G172" s="1361"/>
      <c r="H172" s="1361"/>
      <c r="I172" s="1361"/>
      <c r="J172" s="5276"/>
      <c r="K172" s="106" t="s">
        <v>1</v>
      </c>
      <c r="L172" s="1021" t="s">
        <v>26</v>
      </c>
      <c r="M172" s="6787"/>
      <c r="N172" s="6787"/>
      <c r="O172" s="6787"/>
      <c r="P172" s="6788"/>
      <c r="Q172" s="6789"/>
      <c r="R172" s="6790"/>
      <c r="S172" s="6786"/>
      <c r="T172" s="6791"/>
      <c r="U172" s="6844"/>
      <c r="V172" s="6791"/>
      <c r="W172" s="8487"/>
      <c r="X172" s="6871"/>
      <c r="Y172" s="6793"/>
      <c r="Z172" s="6794"/>
      <c r="AA172" s="6795"/>
      <c r="AB172" s="6796"/>
      <c r="AC172" s="6797"/>
      <c r="AD172" s="6798"/>
      <c r="AE172" s="4" t="s">
        <v>1</v>
      </c>
      <c r="AF172" s="6202" t="str">
        <f t="shared" si="71"/>
        <v>►</v>
      </c>
      <c r="AG172" s="6234" t="str">
        <f t="shared" si="72"/>
        <v/>
      </c>
      <c r="AH172" s="6732" t="str">
        <f t="shared" si="73"/>
        <v/>
      </c>
      <c r="AI172" s="6234" t="str">
        <f t="shared" si="74"/>
        <v/>
      </c>
      <c r="AJ172" s="6732" t="str">
        <f t="shared" si="75"/>
        <v/>
      </c>
      <c r="AK172" s="6732">
        <f t="shared" si="76"/>
        <v>0</v>
      </c>
      <c r="AL172" s="6230" t="str" cm="1">
        <f t="array" ref="AL172">IF(AF172&lt;&gt;"A","",IFERROR((IFERROR(_xlfn.XLOOKUP(TRIM(SUBSTITUTE(U172,CHAR(160)," ")),$BJ$15:$BJ$62,$BM$15:$BM$62),IFERROR(_xlfn.XLOOKUP(TRIM(SUBSTITUTE(U172,CHAR(160)," ")),$BK$15:$BK$62,$BM$15:$BM$62),_xlfn.XLOOKUP(TRIM(SUBSTITUTE(U172,CHAR(160)," ")),$BL$15:$BL$62,$BM$15:$BM$62))))*T172*IF(ISBLANK(Q172),1,Q172)+IFERROR(_xlfn.XLOOKUP("RECHERCHEX",TRIM(L172:AD172),L172:AD172),0),0))</f>
        <v/>
      </c>
      <c r="AM172" s="6229">
        <f t="shared" si="77"/>
        <v>0</v>
      </c>
      <c r="AN172" s="6857" t="str">
        <f t="shared" si="92"/>
        <v/>
      </c>
      <c r="AO172" s="392">
        <f t="shared" si="78"/>
        <v>0</v>
      </c>
      <c r="AP172" s="392">
        <f t="shared" si="79"/>
        <v>0</v>
      </c>
      <c r="AQ172" s="6190">
        <f t="shared" si="80"/>
        <v>0</v>
      </c>
      <c r="AR172" s="6858" t="str">
        <f t="shared" si="81"/>
        <v/>
      </c>
      <c r="AS172" s="6217"/>
      <c r="AT172" s="6217"/>
      <c r="AU172" s="6271">
        <f t="shared" si="82"/>
        <v>0</v>
      </c>
      <c r="AV172" s="6242">
        <f t="shared" si="83"/>
        <v>0</v>
      </c>
      <c r="AW172" s="6188" cm="1">
        <f t="array" ref="AW172">IF(AK172&lt;&gt;1,0,IF(OR(AU172="",N(AU172)&lt;=0.000000001),"",IF(OR(AO172="",N(AO172)&lt;=0.000000001),0,IF(ISNUMBER(AU172),IFERROR(_xlfn.LET(_xlpm.ai_test,TRIM(AJ172),_xlpm.r,IFERROR(_xlfn.XLOOKUP(_xlpm.ai_test,$BJ$15:$BJ$62,ROW($BJ$15:$BJ$62),0,1),IFERROR(_xlfn.XLOOKUP(_xlpm.ai_test,$BK$15:$BK$62,ROW($BK$15:$BK$62),0,1),_xlfn.XLOOKUP(_xlpm.ai_test,$BL$15:$BL$62,ROW($BL$15:$BL$62),0,1))),_xlpm.p,_xlpm.r-MIN(ROW($BJ$15:$BJ$62))+1,_xlpm.f,INDEX($BM$15:$BM$62,_xlpm.p),_xlpm.u,INDEX($BN$15:$BN$62,_xlpm.p),_xlpm.s,INDEX($BP$15:$BP$62,_xlpm.p),_xlpm.q,N(AU172)/_xlpm.f,IF(_xlpm.q&gt;=_xlpm.s,ROUND(_xlpm.q,1)&amp;" "&amp;_xlpm.ai_test&amp;" = "&amp;ROUND(_xlpm.q*_xlpm.f,1)&amp;" "&amp;_xlpm.u,ROUND(_xlpm.q,1)&amp;" "&amp;_xlpm.ai_test)),""),""))))</f>
        <v>0</v>
      </c>
      <c r="AX172" s="6218"/>
      <c r="AY172" s="6271">
        <f t="shared" si="84"/>
        <v>0</v>
      </c>
      <c r="AZ172" s="6242" t="str">
        <f t="shared" si="85"/>
        <v/>
      </c>
      <c r="BA172" s="6194">
        <f t="shared" si="90"/>
        <v>0</v>
      </c>
      <c r="BB172" s="6192" t="str">
        <f t="shared" si="86"/>
        <v/>
      </c>
      <c r="BC172" s="6219"/>
      <c r="BD172" s="6221">
        <f t="shared" si="91"/>
        <v>0</v>
      </c>
      <c r="BE172" s="6220" t="str">
        <f t="shared" si="87"/>
        <v/>
      </c>
      <c r="BF172" s="4" t="s">
        <v>1</v>
      </c>
      <c r="BG172" s="6196">
        <f t="shared" si="88"/>
        <v>0</v>
      </c>
      <c r="BH172" s="6197">
        <f t="shared" si="89"/>
        <v>0</v>
      </c>
      <c r="BI172"/>
      <c r="BR172"/>
      <c r="BS172"/>
      <c r="BT172"/>
      <c r="BU172"/>
      <c r="BV172"/>
      <c r="BW172"/>
      <c r="BX172" s="20" t="str">
        <f t="shared" si="70"/>
        <v>►</v>
      </c>
      <c r="BY172"/>
      <c r="BZ172"/>
      <c r="CA172"/>
      <c r="CB172"/>
      <c r="CC172"/>
      <c r="CD172" s="2"/>
      <c r="CE172"/>
      <c r="CF172"/>
      <c r="CG172"/>
      <c r="CH172"/>
      <c r="CI172"/>
      <c r="CJ172"/>
      <c r="CK172"/>
      <c r="CM172"/>
      <c r="CN172"/>
      <c r="CO172"/>
      <c r="CP172"/>
      <c r="CQ172"/>
      <c r="CR172"/>
      <c r="CS172"/>
      <c r="CU172"/>
      <c r="CV172"/>
      <c r="CW172"/>
      <c r="CX172"/>
      <c r="CY172"/>
      <c r="CZ172"/>
      <c r="DA172"/>
      <c r="DC172" s="5">
        <v>1</v>
      </c>
    </row>
    <row r="173" spans="1:107" s="1" customFormat="1" ht="21" customHeight="1">
      <c r="A173" s="5641" t="s">
        <v>1</v>
      </c>
      <c r="B173" s="5662" t="str">
        <f t="shared" si="69"/>
        <v>►</v>
      </c>
      <c r="C173" s="5825" cm="1">
        <f t="array" ref="C173">SUMPRODUCT(LEN(D173:J173))</f>
        <v>0</v>
      </c>
      <c r="D173" s="5275"/>
      <c r="E173" s="1361"/>
      <c r="F173" s="1361"/>
      <c r="G173" s="1361"/>
      <c r="H173" s="1361"/>
      <c r="I173" s="1361"/>
      <c r="J173" s="5276"/>
      <c r="K173" s="106" t="s">
        <v>1</v>
      </c>
      <c r="L173" s="1021" t="s">
        <v>26</v>
      </c>
      <c r="M173" s="6787"/>
      <c r="N173" s="6787"/>
      <c r="O173" s="6787"/>
      <c r="P173" s="6788"/>
      <c r="Q173" s="6789"/>
      <c r="R173" s="6790"/>
      <c r="S173" s="6786"/>
      <c r="T173" s="6791"/>
      <c r="U173" s="6844"/>
      <c r="V173" s="6791"/>
      <c r="W173" s="8487"/>
      <c r="X173" s="6871"/>
      <c r="Y173" s="6793"/>
      <c r="Z173" s="6794"/>
      <c r="AA173" s="6795"/>
      <c r="AB173" s="6796"/>
      <c r="AC173" s="6797"/>
      <c r="AD173" s="6798"/>
      <c r="AE173" s="4" t="s">
        <v>1</v>
      </c>
      <c r="AF173" s="6202" t="str">
        <f t="shared" si="71"/>
        <v>►</v>
      </c>
      <c r="AG173" s="6234" t="str">
        <f t="shared" si="72"/>
        <v/>
      </c>
      <c r="AH173" s="6732" t="str">
        <f t="shared" si="73"/>
        <v/>
      </c>
      <c r="AI173" s="6234" t="str">
        <f t="shared" si="74"/>
        <v/>
      </c>
      <c r="AJ173" s="6732" t="str">
        <f t="shared" si="75"/>
        <v/>
      </c>
      <c r="AK173" s="6732">
        <f t="shared" si="76"/>
        <v>0</v>
      </c>
      <c r="AL173" s="6230" t="str" cm="1">
        <f t="array" ref="AL173">IF(AF173&lt;&gt;"A","",IFERROR((IFERROR(_xlfn.XLOOKUP(TRIM(SUBSTITUTE(U173,CHAR(160)," ")),$BJ$15:$BJ$62,$BM$15:$BM$62),IFERROR(_xlfn.XLOOKUP(TRIM(SUBSTITUTE(U173,CHAR(160)," ")),$BK$15:$BK$62,$BM$15:$BM$62),_xlfn.XLOOKUP(TRIM(SUBSTITUTE(U173,CHAR(160)," ")),$BL$15:$BL$62,$BM$15:$BM$62))))*T173*IF(ISBLANK(Q173),1,Q173)+IFERROR(_xlfn.XLOOKUP("RECHERCHEX",TRIM(L173:AD173),L173:AD173),0),0))</f>
        <v/>
      </c>
      <c r="AM173" s="6229">
        <f t="shared" si="77"/>
        <v>0</v>
      </c>
      <c r="AN173" s="6857" t="str">
        <f t="shared" si="92"/>
        <v/>
      </c>
      <c r="AO173" s="392">
        <f t="shared" si="78"/>
        <v>0</v>
      </c>
      <c r="AP173" s="392">
        <f t="shared" si="79"/>
        <v>0</v>
      </c>
      <c r="AQ173" s="6191">
        <f t="shared" si="80"/>
        <v>0</v>
      </c>
      <c r="AR173" s="6859" t="str">
        <f t="shared" si="81"/>
        <v/>
      </c>
      <c r="AS173" s="6217"/>
      <c r="AT173" s="6217"/>
      <c r="AU173" s="6272">
        <f t="shared" si="82"/>
        <v>0</v>
      </c>
      <c r="AV173" s="6240">
        <f t="shared" si="83"/>
        <v>0</v>
      </c>
      <c r="AW173" s="6189" cm="1">
        <f t="array" ref="AW173">IF(AK173&lt;&gt;1,0,IF(OR(AU173="",N(AU173)&lt;=0.000000001),"",IF(OR(AO173="",N(AO173)&lt;=0.000000001),0,IF(ISNUMBER(AU173),IFERROR(_xlfn.LET(_xlpm.ai_test,TRIM(AJ173),_xlpm.r,IFERROR(_xlfn.XLOOKUP(_xlpm.ai_test,$BJ$15:$BJ$62,ROW($BJ$15:$BJ$62),0,1),IFERROR(_xlfn.XLOOKUP(_xlpm.ai_test,$BK$15:$BK$62,ROW($BK$15:$BK$62),0,1),_xlfn.XLOOKUP(_xlpm.ai_test,$BL$15:$BL$62,ROW($BL$15:$BL$62),0,1))),_xlpm.p,_xlpm.r-MIN(ROW($BJ$15:$BJ$62))+1,_xlpm.f,INDEX($BM$15:$BM$62,_xlpm.p),_xlpm.u,INDEX($BN$15:$BN$62,_xlpm.p),_xlpm.s,INDEX($BP$15:$BP$62,_xlpm.p),_xlpm.q,N(AU173)/_xlpm.f,IF(_xlpm.q&gt;=_xlpm.s,ROUND(_xlpm.q,1)&amp;" "&amp;_xlpm.ai_test&amp;" = "&amp;ROUND(_xlpm.q*_xlpm.f,1)&amp;" "&amp;_xlpm.u,ROUND(_xlpm.q,1)&amp;" "&amp;_xlpm.ai_test)),""),""))))</f>
        <v>0</v>
      </c>
      <c r="AX173" s="6218"/>
      <c r="AY173" s="6272">
        <f t="shared" si="84"/>
        <v>0</v>
      </c>
      <c r="AZ173" s="6240" t="str">
        <f t="shared" si="85"/>
        <v/>
      </c>
      <c r="BA173" s="6195">
        <f t="shared" si="90"/>
        <v>0</v>
      </c>
      <c r="BB173" s="6193" t="str">
        <f t="shared" si="86"/>
        <v/>
      </c>
      <c r="BC173" s="6219"/>
      <c r="BD173" s="6222">
        <f t="shared" si="91"/>
        <v>0</v>
      </c>
      <c r="BE173" s="6220" t="str">
        <f t="shared" si="87"/>
        <v/>
      </c>
      <c r="BF173" s="4" t="s">
        <v>1</v>
      </c>
      <c r="BG173" s="6196">
        <f t="shared" si="88"/>
        <v>0</v>
      </c>
      <c r="BH173" s="6197">
        <f t="shared" si="89"/>
        <v>0</v>
      </c>
      <c r="BI173"/>
      <c r="BR173"/>
      <c r="BS173"/>
      <c r="BT173"/>
      <c r="BU173"/>
      <c r="BV173"/>
      <c r="BW173"/>
      <c r="BX173" s="20" t="str">
        <f t="shared" si="70"/>
        <v>►</v>
      </c>
      <c r="BY173"/>
      <c r="BZ173"/>
      <c r="CA173"/>
      <c r="CB173"/>
      <c r="CC173"/>
      <c r="CD173" s="2"/>
      <c r="CE173"/>
      <c r="CF173"/>
      <c r="CG173"/>
      <c r="CH173"/>
      <c r="CI173"/>
      <c r="CJ173"/>
      <c r="CK173"/>
      <c r="CM173"/>
      <c r="CN173"/>
      <c r="CO173"/>
      <c r="CP173"/>
      <c r="CQ173"/>
      <c r="CR173"/>
      <c r="CS173"/>
      <c r="CU173"/>
      <c r="CV173"/>
      <c r="CW173"/>
      <c r="CX173"/>
      <c r="CY173"/>
      <c r="CZ173"/>
      <c r="DA173"/>
      <c r="DC173" s="5">
        <v>1</v>
      </c>
    </row>
    <row r="174" spans="1:107" s="1" customFormat="1" ht="21" customHeight="1">
      <c r="A174" s="5641" t="s">
        <v>1</v>
      </c>
      <c r="B174" s="5662" t="str">
        <f t="shared" si="69"/>
        <v>►</v>
      </c>
      <c r="C174" s="5825" cm="1">
        <f t="array" ref="C174">SUMPRODUCT(LEN(D174:J174))</f>
        <v>0</v>
      </c>
      <c r="D174" s="5275"/>
      <c r="E174" s="1361"/>
      <c r="F174" s="1361"/>
      <c r="G174" s="1361"/>
      <c r="H174" s="1361"/>
      <c r="I174" s="1361"/>
      <c r="J174" s="5276"/>
      <c r="K174" s="106" t="s">
        <v>1</v>
      </c>
      <c r="L174" s="1021" t="s">
        <v>26</v>
      </c>
      <c r="M174" s="6787"/>
      <c r="N174" s="6787"/>
      <c r="O174" s="6787"/>
      <c r="P174" s="6788"/>
      <c r="Q174" s="6789"/>
      <c r="R174" s="6790"/>
      <c r="S174" s="6786"/>
      <c r="T174" s="6791"/>
      <c r="U174" s="6844"/>
      <c r="V174" s="6791"/>
      <c r="W174" s="8487"/>
      <c r="X174" s="6871"/>
      <c r="Y174" s="6793"/>
      <c r="Z174" s="6794"/>
      <c r="AA174" s="6795"/>
      <c r="AB174" s="6796"/>
      <c r="AC174" s="6797"/>
      <c r="AD174" s="6798"/>
      <c r="AE174" s="4" t="s">
        <v>1</v>
      </c>
      <c r="AF174" s="6202" t="str">
        <f t="shared" si="71"/>
        <v>►</v>
      </c>
      <c r="AG174" s="6234" t="str">
        <f t="shared" si="72"/>
        <v/>
      </c>
      <c r="AH174" s="6732" t="str">
        <f t="shared" si="73"/>
        <v/>
      </c>
      <c r="AI174" s="6234" t="str">
        <f t="shared" si="74"/>
        <v/>
      </c>
      <c r="AJ174" s="6732" t="str">
        <f t="shared" si="75"/>
        <v/>
      </c>
      <c r="AK174" s="6732">
        <f t="shared" si="76"/>
        <v>0</v>
      </c>
      <c r="AL174" s="6230" t="str" cm="1">
        <f t="array" ref="AL174">IF(AF174&lt;&gt;"A","",IFERROR((IFERROR(_xlfn.XLOOKUP(TRIM(SUBSTITUTE(U174,CHAR(160)," ")),$BJ$15:$BJ$62,$BM$15:$BM$62),IFERROR(_xlfn.XLOOKUP(TRIM(SUBSTITUTE(U174,CHAR(160)," ")),$BK$15:$BK$62,$BM$15:$BM$62),_xlfn.XLOOKUP(TRIM(SUBSTITUTE(U174,CHAR(160)," ")),$BL$15:$BL$62,$BM$15:$BM$62))))*T174*IF(ISBLANK(Q174),1,Q174)+IFERROR(_xlfn.XLOOKUP("RECHERCHEX",TRIM(L174:AD174),L174:AD174),0),0))</f>
        <v/>
      </c>
      <c r="AM174" s="6229">
        <f t="shared" si="77"/>
        <v>0</v>
      </c>
      <c r="AN174" s="6857" t="str">
        <f t="shared" si="92"/>
        <v/>
      </c>
      <c r="AO174" s="392">
        <f t="shared" si="78"/>
        <v>0</v>
      </c>
      <c r="AP174" s="392">
        <f t="shared" si="79"/>
        <v>0</v>
      </c>
      <c r="AQ174" s="6190">
        <f t="shared" si="80"/>
        <v>0</v>
      </c>
      <c r="AR174" s="6858" t="str">
        <f t="shared" si="81"/>
        <v/>
      </c>
      <c r="AS174" s="6217"/>
      <c r="AT174" s="6217"/>
      <c r="AU174" s="6271">
        <f t="shared" si="82"/>
        <v>0</v>
      </c>
      <c r="AV174" s="6242">
        <f t="shared" si="83"/>
        <v>0</v>
      </c>
      <c r="AW174" s="6188" cm="1">
        <f t="array" ref="AW174">IF(AK174&lt;&gt;1,0,IF(OR(AU174="",N(AU174)&lt;=0.000000001),"",IF(OR(AO174="",N(AO174)&lt;=0.000000001),0,IF(ISNUMBER(AU174),IFERROR(_xlfn.LET(_xlpm.ai_test,TRIM(AJ174),_xlpm.r,IFERROR(_xlfn.XLOOKUP(_xlpm.ai_test,$BJ$15:$BJ$62,ROW($BJ$15:$BJ$62),0,1),IFERROR(_xlfn.XLOOKUP(_xlpm.ai_test,$BK$15:$BK$62,ROW($BK$15:$BK$62),0,1),_xlfn.XLOOKUP(_xlpm.ai_test,$BL$15:$BL$62,ROW($BL$15:$BL$62),0,1))),_xlpm.p,_xlpm.r-MIN(ROW($BJ$15:$BJ$62))+1,_xlpm.f,INDEX($BM$15:$BM$62,_xlpm.p),_xlpm.u,INDEX($BN$15:$BN$62,_xlpm.p),_xlpm.s,INDEX($BP$15:$BP$62,_xlpm.p),_xlpm.q,N(AU174)/_xlpm.f,IF(_xlpm.q&gt;=_xlpm.s,ROUND(_xlpm.q,1)&amp;" "&amp;_xlpm.ai_test&amp;" = "&amp;ROUND(_xlpm.q*_xlpm.f,1)&amp;" "&amp;_xlpm.u,ROUND(_xlpm.q,1)&amp;" "&amp;_xlpm.ai_test)),""),""))))</f>
        <v>0</v>
      </c>
      <c r="AX174" s="6218"/>
      <c r="AY174" s="6271">
        <f t="shared" si="84"/>
        <v>0</v>
      </c>
      <c r="AZ174" s="6242" t="str">
        <f t="shared" si="85"/>
        <v/>
      </c>
      <c r="BA174" s="6194">
        <f t="shared" si="90"/>
        <v>0</v>
      </c>
      <c r="BB174" s="6192" t="str">
        <f t="shared" si="86"/>
        <v/>
      </c>
      <c r="BC174" s="6219"/>
      <c r="BD174" s="6221">
        <f t="shared" si="91"/>
        <v>0</v>
      </c>
      <c r="BE174" s="6220" t="str">
        <f t="shared" si="87"/>
        <v/>
      </c>
      <c r="BF174" s="4" t="s">
        <v>1</v>
      </c>
      <c r="BG174" s="6196">
        <f t="shared" si="88"/>
        <v>0</v>
      </c>
      <c r="BH174" s="6197">
        <f t="shared" si="89"/>
        <v>0</v>
      </c>
      <c r="BI174"/>
      <c r="BR174"/>
      <c r="BS174"/>
      <c r="BT174"/>
      <c r="BU174"/>
      <c r="BV174"/>
      <c r="BW174"/>
      <c r="BX174" s="20" t="str">
        <f t="shared" si="70"/>
        <v>►</v>
      </c>
      <c r="BY174"/>
      <c r="BZ174"/>
      <c r="CA174"/>
      <c r="CB174"/>
      <c r="CC174"/>
      <c r="CD174" s="2"/>
      <c r="CE174"/>
      <c r="CF174"/>
      <c r="CG174"/>
      <c r="CH174"/>
      <c r="CI174"/>
      <c r="CJ174"/>
      <c r="CK174"/>
      <c r="CM174"/>
      <c r="CN174"/>
      <c r="CO174"/>
      <c r="CP174"/>
      <c r="CQ174"/>
      <c r="CR174"/>
      <c r="CS174"/>
      <c r="CU174"/>
      <c r="CV174"/>
      <c r="CW174"/>
      <c r="CX174"/>
      <c r="CY174"/>
      <c r="CZ174"/>
      <c r="DA174"/>
      <c r="DC174" s="5">
        <v>1</v>
      </c>
    </row>
    <row r="175" spans="1:107" s="1" customFormat="1" ht="21" customHeight="1">
      <c r="A175" s="5641" t="s">
        <v>1</v>
      </c>
      <c r="B175" s="5662" t="str">
        <f t="shared" si="69"/>
        <v>►</v>
      </c>
      <c r="C175" s="5825" cm="1">
        <f t="array" ref="C175">SUMPRODUCT(LEN(D175:J175))</f>
        <v>0</v>
      </c>
      <c r="D175" s="5275"/>
      <c r="E175" s="1361"/>
      <c r="F175" s="1361"/>
      <c r="G175" s="1361"/>
      <c r="H175" s="1361"/>
      <c r="I175" s="1361"/>
      <c r="J175" s="5276"/>
      <c r="K175" s="106" t="s">
        <v>1</v>
      </c>
      <c r="L175" s="1021" t="s">
        <v>26</v>
      </c>
      <c r="M175" s="6787"/>
      <c r="N175" s="6787"/>
      <c r="O175" s="6787"/>
      <c r="P175" s="6788"/>
      <c r="Q175" s="6789"/>
      <c r="R175" s="6790"/>
      <c r="S175" s="6786"/>
      <c r="T175" s="6791"/>
      <c r="U175" s="6844"/>
      <c r="V175" s="6791"/>
      <c r="W175" s="8487"/>
      <c r="X175" s="6871"/>
      <c r="Y175" s="6793"/>
      <c r="Z175" s="6794"/>
      <c r="AA175" s="6795"/>
      <c r="AB175" s="6796"/>
      <c r="AC175" s="6797"/>
      <c r="AD175" s="6798"/>
      <c r="AE175" s="4" t="s">
        <v>1</v>
      </c>
      <c r="AF175" s="6202" t="str">
        <f t="shared" si="71"/>
        <v>►</v>
      </c>
      <c r="AG175" s="6234" t="str">
        <f t="shared" si="72"/>
        <v/>
      </c>
      <c r="AH175" s="6732" t="str">
        <f t="shared" si="73"/>
        <v/>
      </c>
      <c r="AI175" s="6234" t="str">
        <f t="shared" si="74"/>
        <v/>
      </c>
      <c r="AJ175" s="6732" t="str">
        <f t="shared" si="75"/>
        <v/>
      </c>
      <c r="AK175" s="6732">
        <f t="shared" si="76"/>
        <v>0</v>
      </c>
      <c r="AL175" s="6230" t="str" cm="1">
        <f t="array" ref="AL175">IF(AF175&lt;&gt;"A","",IFERROR((IFERROR(_xlfn.XLOOKUP(TRIM(SUBSTITUTE(U175,CHAR(160)," ")),$BJ$15:$BJ$62,$BM$15:$BM$62),IFERROR(_xlfn.XLOOKUP(TRIM(SUBSTITUTE(U175,CHAR(160)," ")),$BK$15:$BK$62,$BM$15:$BM$62),_xlfn.XLOOKUP(TRIM(SUBSTITUTE(U175,CHAR(160)," ")),$BL$15:$BL$62,$BM$15:$BM$62))))*T175*IF(ISBLANK(Q175),1,Q175)+IFERROR(_xlfn.XLOOKUP("RECHERCHEX",TRIM(L175:AD175),L175:AD175),0),0))</f>
        <v/>
      </c>
      <c r="AM175" s="6229">
        <f t="shared" si="77"/>
        <v>0</v>
      </c>
      <c r="AN175" s="6857" t="str">
        <f t="shared" si="92"/>
        <v/>
      </c>
      <c r="AO175" s="392">
        <f t="shared" si="78"/>
        <v>0</v>
      </c>
      <c r="AP175" s="392">
        <f t="shared" si="79"/>
        <v>0</v>
      </c>
      <c r="AQ175" s="6191">
        <f t="shared" si="80"/>
        <v>0</v>
      </c>
      <c r="AR175" s="6859" t="str">
        <f t="shared" si="81"/>
        <v/>
      </c>
      <c r="AS175" s="6217"/>
      <c r="AT175" s="6217"/>
      <c r="AU175" s="6272">
        <f t="shared" si="82"/>
        <v>0</v>
      </c>
      <c r="AV175" s="6240">
        <f t="shared" si="83"/>
        <v>0</v>
      </c>
      <c r="AW175" s="6189" cm="1">
        <f t="array" ref="AW175">IF(AK175&lt;&gt;1,0,IF(OR(AU175="",N(AU175)&lt;=0.000000001),"",IF(OR(AO175="",N(AO175)&lt;=0.000000001),0,IF(ISNUMBER(AU175),IFERROR(_xlfn.LET(_xlpm.ai_test,TRIM(AJ175),_xlpm.r,IFERROR(_xlfn.XLOOKUP(_xlpm.ai_test,$BJ$15:$BJ$62,ROW($BJ$15:$BJ$62),0,1),IFERROR(_xlfn.XLOOKUP(_xlpm.ai_test,$BK$15:$BK$62,ROW($BK$15:$BK$62),0,1),_xlfn.XLOOKUP(_xlpm.ai_test,$BL$15:$BL$62,ROW($BL$15:$BL$62),0,1))),_xlpm.p,_xlpm.r-MIN(ROW($BJ$15:$BJ$62))+1,_xlpm.f,INDEX($BM$15:$BM$62,_xlpm.p),_xlpm.u,INDEX($BN$15:$BN$62,_xlpm.p),_xlpm.s,INDEX($BP$15:$BP$62,_xlpm.p),_xlpm.q,N(AU175)/_xlpm.f,IF(_xlpm.q&gt;=_xlpm.s,ROUND(_xlpm.q,1)&amp;" "&amp;_xlpm.ai_test&amp;" = "&amp;ROUND(_xlpm.q*_xlpm.f,1)&amp;" "&amp;_xlpm.u,ROUND(_xlpm.q,1)&amp;" "&amp;_xlpm.ai_test)),""),""))))</f>
        <v>0</v>
      </c>
      <c r="AX175" s="6218"/>
      <c r="AY175" s="6272">
        <f t="shared" si="84"/>
        <v>0</v>
      </c>
      <c r="AZ175" s="6240" t="str">
        <f t="shared" si="85"/>
        <v/>
      </c>
      <c r="BA175" s="6195">
        <f t="shared" si="90"/>
        <v>0</v>
      </c>
      <c r="BB175" s="6193" t="str">
        <f t="shared" si="86"/>
        <v/>
      </c>
      <c r="BC175" s="6219"/>
      <c r="BD175" s="6222">
        <f t="shared" si="91"/>
        <v>0</v>
      </c>
      <c r="BE175" s="6220" t="str">
        <f t="shared" si="87"/>
        <v/>
      </c>
      <c r="BF175" s="4" t="s">
        <v>1</v>
      </c>
      <c r="BG175" s="6196">
        <f t="shared" si="88"/>
        <v>0</v>
      </c>
      <c r="BH175" s="6197">
        <f t="shared" si="89"/>
        <v>0</v>
      </c>
      <c r="BI175"/>
      <c r="BR175"/>
      <c r="BS175"/>
      <c r="BT175"/>
      <c r="BU175"/>
      <c r="BV175"/>
      <c r="BW175"/>
      <c r="BX175" s="20" t="str">
        <f t="shared" si="70"/>
        <v>►</v>
      </c>
      <c r="BY175"/>
      <c r="BZ175"/>
      <c r="CA175"/>
      <c r="CB175"/>
      <c r="CC175"/>
      <c r="CD175" s="2"/>
      <c r="CE175"/>
      <c r="CF175"/>
      <c r="CG175"/>
      <c r="CH175"/>
      <c r="CI175"/>
      <c r="CJ175"/>
      <c r="CK175"/>
      <c r="CM175"/>
      <c r="CN175"/>
      <c r="CO175"/>
      <c r="CP175"/>
      <c r="CQ175"/>
      <c r="CR175"/>
      <c r="CS175"/>
      <c r="CU175"/>
      <c r="CV175"/>
      <c r="CW175"/>
      <c r="CX175"/>
      <c r="CY175"/>
      <c r="CZ175"/>
      <c r="DA175"/>
      <c r="DC175" s="5">
        <v>1</v>
      </c>
    </row>
    <row r="176" spans="1:107" s="1" customFormat="1" ht="21" customHeight="1">
      <c r="A176" s="5641" t="s">
        <v>1</v>
      </c>
      <c r="B176" s="5662" t="str">
        <f t="shared" si="69"/>
        <v>►</v>
      </c>
      <c r="C176" s="5825" cm="1">
        <f t="array" ref="C176">SUMPRODUCT(LEN(D176:J176))</f>
        <v>0</v>
      </c>
      <c r="D176" s="5275"/>
      <c r="E176" s="1361"/>
      <c r="F176" s="1361"/>
      <c r="G176" s="1361"/>
      <c r="H176" s="1361"/>
      <c r="I176" s="1361"/>
      <c r="J176" s="5276"/>
      <c r="K176" s="106" t="s">
        <v>1</v>
      </c>
      <c r="L176" s="1021" t="s">
        <v>26</v>
      </c>
      <c r="M176" s="6787"/>
      <c r="N176" s="6787"/>
      <c r="O176" s="6787"/>
      <c r="P176" s="6788"/>
      <c r="Q176" s="6789"/>
      <c r="R176" s="6790"/>
      <c r="S176" s="6786"/>
      <c r="T176" s="6791"/>
      <c r="U176" s="6844"/>
      <c r="V176" s="6791"/>
      <c r="W176" s="8487"/>
      <c r="X176" s="6871"/>
      <c r="Y176" s="6793"/>
      <c r="Z176" s="6794"/>
      <c r="AA176" s="6795"/>
      <c r="AB176" s="6796"/>
      <c r="AC176" s="6797"/>
      <c r="AD176" s="6798"/>
      <c r="AE176" s="4" t="s">
        <v>1</v>
      </c>
      <c r="AF176" s="6202" t="str">
        <f t="shared" si="71"/>
        <v>►</v>
      </c>
      <c r="AG176" s="6234" t="str">
        <f t="shared" si="72"/>
        <v/>
      </c>
      <c r="AH176" s="6732" t="str">
        <f t="shared" si="73"/>
        <v/>
      </c>
      <c r="AI176" s="6234" t="str">
        <f t="shared" si="74"/>
        <v/>
      </c>
      <c r="AJ176" s="6732" t="str">
        <f t="shared" si="75"/>
        <v/>
      </c>
      <c r="AK176" s="6732">
        <f t="shared" si="76"/>
        <v>0</v>
      </c>
      <c r="AL176" s="6230" t="str" cm="1">
        <f t="array" ref="AL176">IF(AF176&lt;&gt;"A","",IFERROR((IFERROR(_xlfn.XLOOKUP(TRIM(SUBSTITUTE(U176,CHAR(160)," ")),$BJ$15:$BJ$62,$BM$15:$BM$62),IFERROR(_xlfn.XLOOKUP(TRIM(SUBSTITUTE(U176,CHAR(160)," ")),$BK$15:$BK$62,$BM$15:$BM$62),_xlfn.XLOOKUP(TRIM(SUBSTITUTE(U176,CHAR(160)," ")),$BL$15:$BL$62,$BM$15:$BM$62))))*T176*IF(ISBLANK(Q176),1,Q176)+IFERROR(_xlfn.XLOOKUP("RECHERCHEX",TRIM(L176:AD176),L176:AD176),0),0))</f>
        <v/>
      </c>
      <c r="AM176" s="6229">
        <f t="shared" si="77"/>
        <v>0</v>
      </c>
      <c r="AN176" s="6857" t="str">
        <f t="shared" si="92"/>
        <v/>
      </c>
      <c r="AO176" s="392">
        <f t="shared" si="78"/>
        <v>0</v>
      </c>
      <c r="AP176" s="392">
        <f t="shared" si="79"/>
        <v>0</v>
      </c>
      <c r="AQ176" s="6190">
        <f t="shared" si="80"/>
        <v>0</v>
      </c>
      <c r="AR176" s="6858" t="str">
        <f t="shared" si="81"/>
        <v/>
      </c>
      <c r="AS176" s="6217"/>
      <c r="AT176" s="6217"/>
      <c r="AU176" s="6271">
        <f t="shared" si="82"/>
        <v>0</v>
      </c>
      <c r="AV176" s="6242">
        <f t="shared" si="83"/>
        <v>0</v>
      </c>
      <c r="AW176" s="6188" cm="1">
        <f t="array" ref="AW176">IF(AK176&lt;&gt;1,0,IF(OR(AU176="",N(AU176)&lt;=0.000000001),"",IF(OR(AO176="",N(AO176)&lt;=0.000000001),0,IF(ISNUMBER(AU176),IFERROR(_xlfn.LET(_xlpm.ai_test,TRIM(AJ176),_xlpm.r,IFERROR(_xlfn.XLOOKUP(_xlpm.ai_test,$BJ$15:$BJ$62,ROW($BJ$15:$BJ$62),0,1),IFERROR(_xlfn.XLOOKUP(_xlpm.ai_test,$BK$15:$BK$62,ROW($BK$15:$BK$62),0,1),_xlfn.XLOOKUP(_xlpm.ai_test,$BL$15:$BL$62,ROW($BL$15:$BL$62),0,1))),_xlpm.p,_xlpm.r-MIN(ROW($BJ$15:$BJ$62))+1,_xlpm.f,INDEX($BM$15:$BM$62,_xlpm.p),_xlpm.u,INDEX($BN$15:$BN$62,_xlpm.p),_xlpm.s,INDEX($BP$15:$BP$62,_xlpm.p),_xlpm.q,N(AU176)/_xlpm.f,IF(_xlpm.q&gt;=_xlpm.s,ROUND(_xlpm.q,1)&amp;" "&amp;_xlpm.ai_test&amp;" = "&amp;ROUND(_xlpm.q*_xlpm.f,1)&amp;" "&amp;_xlpm.u,ROUND(_xlpm.q,1)&amp;" "&amp;_xlpm.ai_test)),""),""))))</f>
        <v>0</v>
      </c>
      <c r="AX176" s="6218"/>
      <c r="AY176" s="6271">
        <f t="shared" si="84"/>
        <v>0</v>
      </c>
      <c r="AZ176" s="6242" t="str">
        <f t="shared" si="85"/>
        <v/>
      </c>
      <c r="BA176" s="6194">
        <f t="shared" si="90"/>
        <v>0</v>
      </c>
      <c r="BB176" s="6192" t="str">
        <f t="shared" si="86"/>
        <v/>
      </c>
      <c r="BC176" s="6219"/>
      <c r="BD176" s="6221">
        <f t="shared" si="91"/>
        <v>0</v>
      </c>
      <c r="BE176" s="6220" t="str">
        <f t="shared" si="87"/>
        <v/>
      </c>
      <c r="BF176" s="4" t="s">
        <v>1</v>
      </c>
      <c r="BG176" s="6196">
        <f t="shared" si="88"/>
        <v>0</v>
      </c>
      <c r="BH176" s="6197">
        <f t="shared" si="89"/>
        <v>0</v>
      </c>
      <c r="BI176"/>
      <c r="BR176"/>
      <c r="BS176"/>
      <c r="BT176"/>
      <c r="BU176"/>
      <c r="BV176"/>
      <c r="BW176"/>
      <c r="BX176" s="20" t="str">
        <f t="shared" si="70"/>
        <v>►</v>
      </c>
      <c r="BY176"/>
      <c r="BZ176"/>
      <c r="CA176"/>
      <c r="CB176"/>
      <c r="CC176"/>
      <c r="CD176" s="2"/>
      <c r="CE176"/>
      <c r="CF176"/>
      <c r="CG176"/>
      <c r="CH176"/>
      <c r="CI176"/>
      <c r="CJ176"/>
      <c r="CK176"/>
      <c r="CM176"/>
      <c r="CN176"/>
      <c r="CO176"/>
      <c r="CP176"/>
      <c r="CQ176"/>
      <c r="CR176"/>
      <c r="CS176"/>
      <c r="CU176"/>
      <c r="CV176"/>
      <c r="CW176"/>
      <c r="CX176"/>
      <c r="CY176"/>
      <c r="CZ176"/>
      <c r="DA176"/>
      <c r="DC176" s="5">
        <v>1</v>
      </c>
    </row>
    <row r="177" spans="1:107" s="1" customFormat="1" ht="21" customHeight="1">
      <c r="A177" s="5641" t="s">
        <v>1</v>
      </c>
      <c r="B177" s="5662" t="str">
        <f t="shared" si="69"/>
        <v>►</v>
      </c>
      <c r="C177" s="5825" cm="1">
        <f t="array" ref="C177">SUMPRODUCT(LEN(D177:J177))</f>
        <v>0</v>
      </c>
      <c r="D177" s="5275"/>
      <c r="E177" s="1361"/>
      <c r="F177" s="1361"/>
      <c r="G177" s="1361"/>
      <c r="H177" s="1361"/>
      <c r="I177" s="1361"/>
      <c r="J177" s="5276"/>
      <c r="K177" s="106" t="s">
        <v>1</v>
      </c>
      <c r="L177" s="1021" t="s">
        <v>26</v>
      </c>
      <c r="M177" s="6787"/>
      <c r="N177" s="6787"/>
      <c r="O177" s="6787"/>
      <c r="P177" s="6788"/>
      <c r="Q177" s="6789"/>
      <c r="R177" s="6790"/>
      <c r="S177" s="6786"/>
      <c r="T177" s="6791"/>
      <c r="U177" s="6844"/>
      <c r="V177" s="6791"/>
      <c r="W177" s="8487"/>
      <c r="X177" s="6871"/>
      <c r="Y177" s="6793"/>
      <c r="Z177" s="6794"/>
      <c r="AA177" s="6795"/>
      <c r="AB177" s="6796"/>
      <c r="AC177" s="6797"/>
      <c r="AD177" s="6798"/>
      <c r="AE177" s="4" t="s">
        <v>1</v>
      </c>
      <c r="AF177" s="6202" t="str">
        <f t="shared" si="71"/>
        <v>►</v>
      </c>
      <c r="AG177" s="6234" t="str">
        <f t="shared" si="72"/>
        <v/>
      </c>
      <c r="AH177" s="6732" t="str">
        <f t="shared" si="73"/>
        <v/>
      </c>
      <c r="AI177" s="6234" t="str">
        <f t="shared" si="74"/>
        <v/>
      </c>
      <c r="AJ177" s="6732" t="str">
        <f t="shared" si="75"/>
        <v/>
      </c>
      <c r="AK177" s="6732">
        <f t="shared" si="76"/>
        <v>0</v>
      </c>
      <c r="AL177" s="6230" t="str" cm="1">
        <f t="array" ref="AL177">IF(AF177&lt;&gt;"A","",IFERROR((IFERROR(_xlfn.XLOOKUP(TRIM(SUBSTITUTE(U177,CHAR(160)," ")),$BJ$15:$BJ$62,$BM$15:$BM$62),IFERROR(_xlfn.XLOOKUP(TRIM(SUBSTITUTE(U177,CHAR(160)," ")),$BK$15:$BK$62,$BM$15:$BM$62),_xlfn.XLOOKUP(TRIM(SUBSTITUTE(U177,CHAR(160)," ")),$BL$15:$BL$62,$BM$15:$BM$62))))*T177*IF(ISBLANK(Q177),1,Q177)+IFERROR(_xlfn.XLOOKUP("RECHERCHEX",TRIM(L177:AD177),L177:AD177),0),0))</f>
        <v/>
      </c>
      <c r="AM177" s="6229">
        <f t="shared" si="77"/>
        <v>0</v>
      </c>
      <c r="AN177" s="6857" t="str">
        <f t="shared" si="92"/>
        <v/>
      </c>
      <c r="AO177" s="392">
        <f t="shared" si="78"/>
        <v>0</v>
      </c>
      <c r="AP177" s="392">
        <f t="shared" si="79"/>
        <v>0</v>
      </c>
      <c r="AQ177" s="6191">
        <f t="shared" si="80"/>
        <v>0</v>
      </c>
      <c r="AR177" s="6859" t="str">
        <f t="shared" si="81"/>
        <v/>
      </c>
      <c r="AS177" s="6217"/>
      <c r="AT177" s="6217"/>
      <c r="AU177" s="6272">
        <f t="shared" si="82"/>
        <v>0</v>
      </c>
      <c r="AV177" s="6240">
        <f t="shared" si="83"/>
        <v>0</v>
      </c>
      <c r="AW177" s="6189" cm="1">
        <f t="array" ref="AW177">IF(AK177&lt;&gt;1,0,IF(OR(AU177="",N(AU177)&lt;=0.000000001),"",IF(OR(AO177="",N(AO177)&lt;=0.000000001),0,IF(ISNUMBER(AU177),IFERROR(_xlfn.LET(_xlpm.ai_test,TRIM(AJ177),_xlpm.r,IFERROR(_xlfn.XLOOKUP(_xlpm.ai_test,$BJ$15:$BJ$62,ROW($BJ$15:$BJ$62),0,1),IFERROR(_xlfn.XLOOKUP(_xlpm.ai_test,$BK$15:$BK$62,ROW($BK$15:$BK$62),0,1),_xlfn.XLOOKUP(_xlpm.ai_test,$BL$15:$BL$62,ROW($BL$15:$BL$62),0,1))),_xlpm.p,_xlpm.r-MIN(ROW($BJ$15:$BJ$62))+1,_xlpm.f,INDEX($BM$15:$BM$62,_xlpm.p),_xlpm.u,INDEX($BN$15:$BN$62,_xlpm.p),_xlpm.s,INDEX($BP$15:$BP$62,_xlpm.p),_xlpm.q,N(AU177)/_xlpm.f,IF(_xlpm.q&gt;=_xlpm.s,ROUND(_xlpm.q,1)&amp;" "&amp;_xlpm.ai_test&amp;" = "&amp;ROUND(_xlpm.q*_xlpm.f,1)&amp;" "&amp;_xlpm.u,ROUND(_xlpm.q,1)&amp;" "&amp;_xlpm.ai_test)),""),""))))</f>
        <v>0</v>
      </c>
      <c r="AX177" s="6218"/>
      <c r="AY177" s="6272">
        <f t="shared" si="84"/>
        <v>0</v>
      </c>
      <c r="AZ177" s="6240" t="str">
        <f t="shared" si="85"/>
        <v/>
      </c>
      <c r="BA177" s="6195">
        <f t="shared" si="90"/>
        <v>0</v>
      </c>
      <c r="BB177" s="6193" t="str">
        <f t="shared" si="86"/>
        <v/>
      </c>
      <c r="BC177" s="6219"/>
      <c r="BD177" s="6222">
        <f t="shared" si="91"/>
        <v>0</v>
      </c>
      <c r="BE177" s="6220" t="str">
        <f t="shared" si="87"/>
        <v/>
      </c>
      <c r="BF177" s="4" t="s">
        <v>1</v>
      </c>
      <c r="BG177" s="6196">
        <f t="shared" si="88"/>
        <v>0</v>
      </c>
      <c r="BH177" s="6197">
        <f t="shared" si="89"/>
        <v>0</v>
      </c>
      <c r="BI177"/>
      <c r="BR177"/>
      <c r="BS177"/>
      <c r="BT177"/>
      <c r="BU177"/>
      <c r="BV177"/>
      <c r="BW177"/>
      <c r="BX177" s="20" t="str">
        <f t="shared" si="70"/>
        <v>►</v>
      </c>
      <c r="BY177"/>
      <c r="BZ177"/>
      <c r="CA177"/>
      <c r="CB177"/>
      <c r="CC177"/>
      <c r="CD177" s="2"/>
      <c r="CE177"/>
      <c r="CF177"/>
      <c r="CG177"/>
      <c r="CH177"/>
      <c r="CI177"/>
      <c r="CJ177"/>
      <c r="CK177"/>
      <c r="CM177"/>
      <c r="CN177"/>
      <c r="CO177"/>
      <c r="CP177"/>
      <c r="CQ177"/>
      <c r="CR177"/>
      <c r="CS177"/>
      <c r="CU177"/>
      <c r="CV177"/>
      <c r="CW177"/>
      <c r="CX177"/>
      <c r="CY177"/>
      <c r="CZ177"/>
      <c r="DA177"/>
      <c r="DC177" s="5">
        <v>1</v>
      </c>
    </row>
    <row r="178" spans="1:107" s="1" customFormat="1" ht="21" customHeight="1">
      <c r="A178" s="5641" t="s">
        <v>1</v>
      </c>
      <c r="B178" s="5662" t="str">
        <f t="shared" si="69"/>
        <v>►</v>
      </c>
      <c r="C178" s="5825" cm="1">
        <f t="array" ref="C178">SUMPRODUCT(LEN(D178:J178))</f>
        <v>0</v>
      </c>
      <c r="D178" s="5275"/>
      <c r="E178" s="1361"/>
      <c r="F178" s="1361"/>
      <c r="G178" s="1361"/>
      <c r="H178" s="1361"/>
      <c r="I178" s="1361"/>
      <c r="J178" s="5276"/>
      <c r="K178" s="106" t="s">
        <v>1</v>
      </c>
      <c r="L178" s="1021" t="s">
        <v>26</v>
      </c>
      <c r="M178" s="6787"/>
      <c r="N178" s="6787"/>
      <c r="O178" s="6787"/>
      <c r="P178" s="6788"/>
      <c r="Q178" s="6789"/>
      <c r="R178" s="6790"/>
      <c r="S178" s="6786"/>
      <c r="T178" s="6791"/>
      <c r="U178" s="6844"/>
      <c r="V178" s="6791"/>
      <c r="W178" s="8487"/>
      <c r="X178" s="6871"/>
      <c r="Y178" s="6793"/>
      <c r="Z178" s="6794"/>
      <c r="AA178" s="6795"/>
      <c r="AB178" s="6796"/>
      <c r="AC178" s="6797"/>
      <c r="AD178" s="6798"/>
      <c r="AE178" s="4" t="s">
        <v>1</v>
      </c>
      <c r="AF178" s="6202" t="str">
        <f t="shared" si="71"/>
        <v>►</v>
      </c>
      <c r="AG178" s="6234" t="str">
        <f t="shared" si="72"/>
        <v/>
      </c>
      <c r="AH178" s="6732" t="str">
        <f t="shared" si="73"/>
        <v/>
      </c>
      <c r="AI178" s="6234" t="str">
        <f t="shared" si="74"/>
        <v/>
      </c>
      <c r="AJ178" s="6732" t="str">
        <f t="shared" si="75"/>
        <v/>
      </c>
      <c r="AK178" s="6732">
        <f t="shared" si="76"/>
        <v>0</v>
      </c>
      <c r="AL178" s="6230" t="str" cm="1">
        <f t="array" ref="AL178">IF(AF178&lt;&gt;"A","",IFERROR((IFERROR(_xlfn.XLOOKUP(TRIM(SUBSTITUTE(U178,CHAR(160)," ")),$BJ$15:$BJ$62,$BM$15:$BM$62),IFERROR(_xlfn.XLOOKUP(TRIM(SUBSTITUTE(U178,CHAR(160)," ")),$BK$15:$BK$62,$BM$15:$BM$62),_xlfn.XLOOKUP(TRIM(SUBSTITUTE(U178,CHAR(160)," ")),$BL$15:$BL$62,$BM$15:$BM$62))))*T178*IF(ISBLANK(Q178),1,Q178)+IFERROR(_xlfn.XLOOKUP("RECHERCHEX",TRIM(L178:AD178),L178:AD178),0),0))</f>
        <v/>
      </c>
      <c r="AM178" s="6229">
        <f t="shared" si="77"/>
        <v>0</v>
      </c>
      <c r="AN178" s="6857" t="str">
        <f t="shared" si="92"/>
        <v/>
      </c>
      <c r="AO178" s="392">
        <f t="shared" si="78"/>
        <v>0</v>
      </c>
      <c r="AP178" s="392">
        <f t="shared" si="79"/>
        <v>0</v>
      </c>
      <c r="AQ178" s="6190">
        <f t="shared" si="80"/>
        <v>0</v>
      </c>
      <c r="AR178" s="6858" t="str">
        <f t="shared" si="81"/>
        <v/>
      </c>
      <c r="AS178" s="6217"/>
      <c r="AT178" s="6217"/>
      <c r="AU178" s="6271">
        <f t="shared" si="82"/>
        <v>0</v>
      </c>
      <c r="AV178" s="6242">
        <f t="shared" si="83"/>
        <v>0</v>
      </c>
      <c r="AW178" s="6188" cm="1">
        <f t="array" ref="AW178">IF(AK178&lt;&gt;1,0,IF(OR(AU178="",N(AU178)&lt;=0.000000001),"",IF(OR(AO178="",N(AO178)&lt;=0.000000001),0,IF(ISNUMBER(AU178),IFERROR(_xlfn.LET(_xlpm.ai_test,TRIM(AJ178),_xlpm.r,IFERROR(_xlfn.XLOOKUP(_xlpm.ai_test,$BJ$15:$BJ$62,ROW($BJ$15:$BJ$62),0,1),IFERROR(_xlfn.XLOOKUP(_xlpm.ai_test,$BK$15:$BK$62,ROW($BK$15:$BK$62),0,1),_xlfn.XLOOKUP(_xlpm.ai_test,$BL$15:$BL$62,ROW($BL$15:$BL$62),0,1))),_xlpm.p,_xlpm.r-MIN(ROW($BJ$15:$BJ$62))+1,_xlpm.f,INDEX($BM$15:$BM$62,_xlpm.p),_xlpm.u,INDEX($BN$15:$BN$62,_xlpm.p),_xlpm.s,INDEX($BP$15:$BP$62,_xlpm.p),_xlpm.q,N(AU178)/_xlpm.f,IF(_xlpm.q&gt;=_xlpm.s,ROUND(_xlpm.q,1)&amp;" "&amp;_xlpm.ai_test&amp;" = "&amp;ROUND(_xlpm.q*_xlpm.f,1)&amp;" "&amp;_xlpm.u,ROUND(_xlpm.q,1)&amp;" "&amp;_xlpm.ai_test)),""),""))))</f>
        <v>0</v>
      </c>
      <c r="AX178" s="6218"/>
      <c r="AY178" s="6271">
        <f t="shared" si="84"/>
        <v>0</v>
      </c>
      <c r="AZ178" s="6242" t="str">
        <f t="shared" si="85"/>
        <v/>
      </c>
      <c r="BA178" s="6194">
        <f t="shared" si="90"/>
        <v>0</v>
      </c>
      <c r="BB178" s="6192" t="str">
        <f t="shared" si="86"/>
        <v/>
      </c>
      <c r="BC178" s="6219"/>
      <c r="BD178" s="6221">
        <f t="shared" si="91"/>
        <v>0</v>
      </c>
      <c r="BE178" s="6220" t="str">
        <f t="shared" si="87"/>
        <v/>
      </c>
      <c r="BF178" s="4" t="s">
        <v>1</v>
      </c>
      <c r="BG178" s="6196">
        <f t="shared" si="88"/>
        <v>0</v>
      </c>
      <c r="BH178" s="6197">
        <f t="shared" si="89"/>
        <v>0</v>
      </c>
      <c r="BI178"/>
      <c r="BR178"/>
      <c r="BS178"/>
      <c r="BT178"/>
      <c r="BU178"/>
      <c r="BV178"/>
      <c r="BW178"/>
      <c r="BX178" s="20" t="str">
        <f t="shared" si="70"/>
        <v>►</v>
      </c>
      <c r="BY178"/>
      <c r="BZ178"/>
      <c r="CA178"/>
      <c r="CB178"/>
      <c r="CC178"/>
      <c r="CD178" s="2"/>
      <c r="CE178"/>
      <c r="CF178"/>
      <c r="CG178"/>
      <c r="CH178"/>
      <c r="CI178"/>
      <c r="CJ178"/>
      <c r="CK178"/>
      <c r="CM178"/>
      <c r="CN178"/>
      <c r="CO178"/>
      <c r="CP178"/>
      <c r="CQ178"/>
      <c r="CR178"/>
      <c r="CS178"/>
      <c r="CU178"/>
      <c r="CV178"/>
      <c r="CW178"/>
      <c r="CX178"/>
      <c r="CY178"/>
      <c r="CZ178"/>
      <c r="DA178"/>
      <c r="DC178" s="5">
        <v>1</v>
      </c>
    </row>
    <row r="179" spans="1:107" s="1" customFormat="1" ht="21" customHeight="1">
      <c r="A179" s="5641" t="s">
        <v>1</v>
      </c>
      <c r="B179" s="5662" t="str">
        <f t="shared" si="69"/>
        <v>►</v>
      </c>
      <c r="C179" s="5825" cm="1">
        <f t="array" ref="C179">SUMPRODUCT(LEN(D179:J179))</f>
        <v>0</v>
      </c>
      <c r="D179" s="5275"/>
      <c r="E179" s="1361"/>
      <c r="F179" s="1361"/>
      <c r="G179" s="1361"/>
      <c r="H179" s="1361"/>
      <c r="I179" s="1361"/>
      <c r="J179" s="5276"/>
      <c r="K179" s="106" t="s">
        <v>1</v>
      </c>
      <c r="L179" s="1021" t="s">
        <v>26</v>
      </c>
      <c r="M179" s="6787"/>
      <c r="N179" s="6787"/>
      <c r="O179" s="6787"/>
      <c r="P179" s="6788"/>
      <c r="Q179" s="6789"/>
      <c r="R179" s="6790"/>
      <c r="S179" s="6786"/>
      <c r="T179" s="6791"/>
      <c r="U179" s="6844"/>
      <c r="V179" s="6791"/>
      <c r="W179" s="8487"/>
      <c r="X179" s="6871"/>
      <c r="Y179" s="6793"/>
      <c r="Z179" s="6794"/>
      <c r="AA179" s="6795"/>
      <c r="AB179" s="6796"/>
      <c r="AC179" s="6797"/>
      <c r="AD179" s="6798"/>
      <c r="AE179" s="4" t="s">
        <v>1</v>
      </c>
      <c r="AF179" s="6202" t="str">
        <f t="shared" si="71"/>
        <v>►</v>
      </c>
      <c r="AG179" s="6234" t="str">
        <f t="shared" si="72"/>
        <v/>
      </c>
      <c r="AH179" s="6732" t="str">
        <f t="shared" si="73"/>
        <v/>
      </c>
      <c r="AI179" s="6234" t="str">
        <f t="shared" si="74"/>
        <v/>
      </c>
      <c r="AJ179" s="6732" t="str">
        <f t="shared" si="75"/>
        <v/>
      </c>
      <c r="AK179" s="6732">
        <f t="shared" si="76"/>
        <v>0</v>
      </c>
      <c r="AL179" s="6230" t="str" cm="1">
        <f t="array" ref="AL179">IF(AF179&lt;&gt;"A","",IFERROR((IFERROR(_xlfn.XLOOKUP(TRIM(SUBSTITUTE(U179,CHAR(160)," ")),$BJ$15:$BJ$62,$BM$15:$BM$62),IFERROR(_xlfn.XLOOKUP(TRIM(SUBSTITUTE(U179,CHAR(160)," ")),$BK$15:$BK$62,$BM$15:$BM$62),_xlfn.XLOOKUP(TRIM(SUBSTITUTE(U179,CHAR(160)," ")),$BL$15:$BL$62,$BM$15:$BM$62))))*T179*IF(ISBLANK(Q179),1,Q179)+IFERROR(_xlfn.XLOOKUP("RECHERCHEX",TRIM(L179:AD179),L179:AD179),0),0))</f>
        <v/>
      </c>
      <c r="AM179" s="6229">
        <f t="shared" si="77"/>
        <v>0</v>
      </c>
      <c r="AN179" s="6857" t="str">
        <f t="shared" si="92"/>
        <v/>
      </c>
      <c r="AO179" s="392">
        <f t="shared" si="78"/>
        <v>0</v>
      </c>
      <c r="AP179" s="392">
        <f t="shared" si="79"/>
        <v>0</v>
      </c>
      <c r="AQ179" s="6191">
        <f t="shared" si="80"/>
        <v>0</v>
      </c>
      <c r="AR179" s="6859" t="str">
        <f t="shared" si="81"/>
        <v/>
      </c>
      <c r="AS179" s="6217"/>
      <c r="AT179" s="6217"/>
      <c r="AU179" s="6272">
        <f t="shared" si="82"/>
        <v>0</v>
      </c>
      <c r="AV179" s="6240">
        <f t="shared" si="83"/>
        <v>0</v>
      </c>
      <c r="AW179" s="6189" cm="1">
        <f t="array" ref="AW179">IF(AK179&lt;&gt;1,0,IF(OR(AU179="",N(AU179)&lt;=0.000000001),"",IF(OR(AO179="",N(AO179)&lt;=0.000000001),0,IF(ISNUMBER(AU179),IFERROR(_xlfn.LET(_xlpm.ai_test,TRIM(AJ179),_xlpm.r,IFERROR(_xlfn.XLOOKUP(_xlpm.ai_test,$BJ$15:$BJ$62,ROW($BJ$15:$BJ$62),0,1),IFERROR(_xlfn.XLOOKUP(_xlpm.ai_test,$BK$15:$BK$62,ROW($BK$15:$BK$62),0,1),_xlfn.XLOOKUP(_xlpm.ai_test,$BL$15:$BL$62,ROW($BL$15:$BL$62),0,1))),_xlpm.p,_xlpm.r-MIN(ROW($BJ$15:$BJ$62))+1,_xlpm.f,INDEX($BM$15:$BM$62,_xlpm.p),_xlpm.u,INDEX($BN$15:$BN$62,_xlpm.p),_xlpm.s,INDEX($BP$15:$BP$62,_xlpm.p),_xlpm.q,N(AU179)/_xlpm.f,IF(_xlpm.q&gt;=_xlpm.s,ROUND(_xlpm.q,1)&amp;" "&amp;_xlpm.ai_test&amp;" = "&amp;ROUND(_xlpm.q*_xlpm.f,1)&amp;" "&amp;_xlpm.u,ROUND(_xlpm.q,1)&amp;" "&amp;_xlpm.ai_test)),""),""))))</f>
        <v>0</v>
      </c>
      <c r="AX179" s="6218"/>
      <c r="AY179" s="6272">
        <f t="shared" si="84"/>
        <v>0</v>
      </c>
      <c r="AZ179" s="6240" t="str">
        <f t="shared" si="85"/>
        <v/>
      </c>
      <c r="BA179" s="6195">
        <f t="shared" si="90"/>
        <v>0</v>
      </c>
      <c r="BB179" s="6193" t="str">
        <f t="shared" si="86"/>
        <v/>
      </c>
      <c r="BC179" s="6219"/>
      <c r="BD179" s="6222">
        <f t="shared" si="91"/>
        <v>0</v>
      </c>
      <c r="BE179" s="6220" t="str">
        <f t="shared" si="87"/>
        <v/>
      </c>
      <c r="BF179" s="4" t="s">
        <v>1</v>
      </c>
      <c r="BG179" s="6196">
        <f t="shared" si="88"/>
        <v>0</v>
      </c>
      <c r="BH179" s="6197">
        <f t="shared" si="89"/>
        <v>0</v>
      </c>
      <c r="BI179"/>
      <c r="BR179"/>
      <c r="BS179"/>
      <c r="BT179"/>
      <c r="BU179"/>
      <c r="BV179"/>
      <c r="BW179"/>
      <c r="BX179" s="20" t="str">
        <f t="shared" si="70"/>
        <v>►</v>
      </c>
      <c r="BY179"/>
      <c r="BZ179"/>
      <c r="CA179"/>
      <c r="CB179"/>
      <c r="CC179"/>
      <c r="CD179" s="2"/>
      <c r="CE179"/>
      <c r="CF179"/>
      <c r="CG179"/>
      <c r="CH179"/>
      <c r="CI179"/>
      <c r="CJ179"/>
      <c r="CK179"/>
      <c r="CM179"/>
      <c r="CN179"/>
      <c r="CO179"/>
      <c r="CP179"/>
      <c r="CQ179"/>
      <c r="CR179"/>
      <c r="CS179"/>
      <c r="CU179"/>
      <c r="CV179"/>
      <c r="CW179"/>
      <c r="CX179"/>
      <c r="CY179"/>
      <c r="CZ179"/>
      <c r="DA179"/>
      <c r="DC179" s="5">
        <v>1</v>
      </c>
    </row>
    <row r="180" spans="1:107" s="1" customFormat="1" ht="21" customHeight="1">
      <c r="A180" s="5641" t="s">
        <v>1</v>
      </c>
      <c r="B180" s="5662" t="str">
        <f t="shared" si="69"/>
        <v>►</v>
      </c>
      <c r="C180" s="5825" cm="1">
        <f t="array" ref="C180">SUMPRODUCT(LEN(D180:J180))</f>
        <v>0</v>
      </c>
      <c r="D180" s="5275"/>
      <c r="E180" s="1361"/>
      <c r="F180" s="1361"/>
      <c r="G180" s="1361"/>
      <c r="H180" s="1361"/>
      <c r="I180" s="1361"/>
      <c r="J180" s="5276"/>
      <c r="K180" s="106" t="s">
        <v>1</v>
      </c>
      <c r="L180" s="1021" t="s">
        <v>26</v>
      </c>
      <c r="M180" s="6787"/>
      <c r="N180" s="6787"/>
      <c r="O180" s="6787"/>
      <c r="P180" s="6788"/>
      <c r="Q180" s="6789"/>
      <c r="R180" s="6790"/>
      <c r="S180" s="6786"/>
      <c r="T180" s="6791"/>
      <c r="U180" s="6844"/>
      <c r="V180" s="6791"/>
      <c r="W180" s="8487"/>
      <c r="X180" s="6871"/>
      <c r="Y180" s="6793"/>
      <c r="Z180" s="6794"/>
      <c r="AA180" s="6795"/>
      <c r="AB180" s="6796"/>
      <c r="AC180" s="6797"/>
      <c r="AD180" s="6798"/>
      <c r="AE180" s="4" t="s">
        <v>1</v>
      </c>
      <c r="AF180" s="6202" t="str">
        <f t="shared" si="71"/>
        <v>►</v>
      </c>
      <c r="AG180" s="6234" t="str">
        <f t="shared" si="72"/>
        <v/>
      </c>
      <c r="AH180" s="6732" t="str">
        <f t="shared" si="73"/>
        <v/>
      </c>
      <c r="AI180" s="6234" t="str">
        <f t="shared" si="74"/>
        <v/>
      </c>
      <c r="AJ180" s="6732" t="str">
        <f t="shared" si="75"/>
        <v/>
      </c>
      <c r="AK180" s="6732">
        <f t="shared" si="76"/>
        <v>0</v>
      </c>
      <c r="AL180" s="6230" t="str" cm="1">
        <f t="array" ref="AL180">IF(AF180&lt;&gt;"A","",IFERROR((IFERROR(_xlfn.XLOOKUP(TRIM(SUBSTITUTE(U180,CHAR(160)," ")),$BJ$15:$BJ$62,$BM$15:$BM$62),IFERROR(_xlfn.XLOOKUP(TRIM(SUBSTITUTE(U180,CHAR(160)," ")),$BK$15:$BK$62,$BM$15:$BM$62),_xlfn.XLOOKUP(TRIM(SUBSTITUTE(U180,CHAR(160)," ")),$BL$15:$BL$62,$BM$15:$BM$62))))*T180*IF(ISBLANK(Q180),1,Q180)+IFERROR(_xlfn.XLOOKUP("RECHERCHEX",TRIM(L180:AD180),L180:AD180),0),0))</f>
        <v/>
      </c>
      <c r="AM180" s="6229">
        <f t="shared" si="77"/>
        <v>0</v>
      </c>
      <c r="AN180" s="6857" t="str">
        <f t="shared" si="92"/>
        <v/>
      </c>
      <c r="AO180" s="392">
        <f t="shared" si="78"/>
        <v>0</v>
      </c>
      <c r="AP180" s="392">
        <f t="shared" si="79"/>
        <v>0</v>
      </c>
      <c r="AQ180" s="6190">
        <f t="shared" si="80"/>
        <v>0</v>
      </c>
      <c r="AR180" s="6858" t="str">
        <f t="shared" si="81"/>
        <v/>
      </c>
      <c r="AS180" s="6217"/>
      <c r="AT180" s="6217"/>
      <c r="AU180" s="6271">
        <f t="shared" si="82"/>
        <v>0</v>
      </c>
      <c r="AV180" s="6242">
        <f t="shared" si="83"/>
        <v>0</v>
      </c>
      <c r="AW180" s="6188" cm="1">
        <f t="array" ref="AW180">IF(AK180&lt;&gt;1,0,IF(OR(AU180="",N(AU180)&lt;=0.000000001),"",IF(OR(AO180="",N(AO180)&lt;=0.000000001),0,IF(ISNUMBER(AU180),IFERROR(_xlfn.LET(_xlpm.ai_test,TRIM(AJ180),_xlpm.r,IFERROR(_xlfn.XLOOKUP(_xlpm.ai_test,$BJ$15:$BJ$62,ROW($BJ$15:$BJ$62),0,1),IFERROR(_xlfn.XLOOKUP(_xlpm.ai_test,$BK$15:$BK$62,ROW($BK$15:$BK$62),0,1),_xlfn.XLOOKUP(_xlpm.ai_test,$BL$15:$BL$62,ROW($BL$15:$BL$62),0,1))),_xlpm.p,_xlpm.r-MIN(ROW($BJ$15:$BJ$62))+1,_xlpm.f,INDEX($BM$15:$BM$62,_xlpm.p),_xlpm.u,INDEX($BN$15:$BN$62,_xlpm.p),_xlpm.s,INDEX($BP$15:$BP$62,_xlpm.p),_xlpm.q,N(AU180)/_xlpm.f,IF(_xlpm.q&gt;=_xlpm.s,ROUND(_xlpm.q,1)&amp;" "&amp;_xlpm.ai_test&amp;" = "&amp;ROUND(_xlpm.q*_xlpm.f,1)&amp;" "&amp;_xlpm.u,ROUND(_xlpm.q,1)&amp;" "&amp;_xlpm.ai_test)),""),""))))</f>
        <v>0</v>
      </c>
      <c r="AX180" s="6218"/>
      <c r="AY180" s="6271">
        <f t="shared" si="84"/>
        <v>0</v>
      </c>
      <c r="AZ180" s="6242" t="str">
        <f t="shared" si="85"/>
        <v/>
      </c>
      <c r="BA180" s="6194">
        <f t="shared" si="90"/>
        <v>0</v>
      </c>
      <c r="BB180" s="6192" t="str">
        <f t="shared" si="86"/>
        <v/>
      </c>
      <c r="BC180" s="6219"/>
      <c r="BD180" s="6221">
        <f t="shared" si="91"/>
        <v>0</v>
      </c>
      <c r="BE180" s="6220" t="str">
        <f t="shared" si="87"/>
        <v/>
      </c>
      <c r="BF180" s="4" t="s">
        <v>1</v>
      </c>
      <c r="BG180" s="6196">
        <f t="shared" si="88"/>
        <v>0</v>
      </c>
      <c r="BH180" s="6197">
        <f t="shared" si="89"/>
        <v>0</v>
      </c>
      <c r="BI180"/>
      <c r="BR180"/>
      <c r="BS180"/>
      <c r="BT180"/>
      <c r="BU180"/>
      <c r="BV180"/>
      <c r="BW180"/>
      <c r="BX180" s="20" t="str">
        <f t="shared" si="70"/>
        <v>►</v>
      </c>
      <c r="BY180"/>
      <c r="BZ180"/>
      <c r="CA180"/>
      <c r="CB180"/>
      <c r="CC180"/>
      <c r="CD180" s="2"/>
      <c r="CE180"/>
      <c r="CF180"/>
      <c r="CG180"/>
      <c r="CH180"/>
      <c r="CI180"/>
      <c r="CJ180"/>
      <c r="CK180"/>
      <c r="CM180"/>
      <c r="CN180"/>
      <c r="CO180"/>
      <c r="CP180"/>
      <c r="CQ180"/>
      <c r="CR180"/>
      <c r="CS180"/>
      <c r="CU180"/>
      <c r="CV180"/>
      <c r="CW180"/>
      <c r="CX180"/>
      <c r="CY180"/>
      <c r="CZ180"/>
      <c r="DA180"/>
      <c r="DC180" s="5">
        <v>1</v>
      </c>
    </row>
    <row r="181" spans="1:107" s="1" customFormat="1" ht="21" customHeight="1">
      <c r="A181" s="5641" t="s">
        <v>1</v>
      </c>
      <c r="B181" s="5662" t="str">
        <f t="shared" si="69"/>
        <v>►</v>
      </c>
      <c r="C181" s="5825" cm="1">
        <f t="array" ref="C181">SUMPRODUCT(LEN(D181:J181))</f>
        <v>0</v>
      </c>
      <c r="D181" s="5275"/>
      <c r="E181" s="1361"/>
      <c r="F181" s="1361"/>
      <c r="G181" s="1361"/>
      <c r="H181" s="1361"/>
      <c r="I181" s="1361"/>
      <c r="J181" s="5276"/>
      <c r="K181" s="106" t="s">
        <v>1</v>
      </c>
      <c r="L181" s="1021" t="s">
        <v>26</v>
      </c>
      <c r="M181" s="6787"/>
      <c r="N181" s="6787"/>
      <c r="O181" s="6787"/>
      <c r="P181" s="6788"/>
      <c r="Q181" s="6789"/>
      <c r="R181" s="6790"/>
      <c r="S181" s="6786"/>
      <c r="T181" s="6791"/>
      <c r="U181" s="6844"/>
      <c r="V181" s="6791"/>
      <c r="W181" s="8487"/>
      <c r="X181" s="6871"/>
      <c r="Y181" s="6793"/>
      <c r="Z181" s="6794"/>
      <c r="AA181" s="6795"/>
      <c r="AB181" s="6796"/>
      <c r="AC181" s="6797"/>
      <c r="AD181" s="6798"/>
      <c r="AE181" s="4" t="s">
        <v>1</v>
      </c>
      <c r="AF181" s="6202" t="str">
        <f t="shared" si="71"/>
        <v>►</v>
      </c>
      <c r="AG181" s="6234" t="str">
        <f t="shared" si="72"/>
        <v/>
      </c>
      <c r="AH181" s="6732" t="str">
        <f t="shared" si="73"/>
        <v/>
      </c>
      <c r="AI181" s="6234" t="str">
        <f t="shared" si="74"/>
        <v/>
      </c>
      <c r="AJ181" s="6732" t="str">
        <f t="shared" si="75"/>
        <v/>
      </c>
      <c r="AK181" s="6732">
        <f t="shared" si="76"/>
        <v>0</v>
      </c>
      <c r="AL181" s="6230" t="str" cm="1">
        <f t="array" ref="AL181">IF(AF181&lt;&gt;"A","",IFERROR((IFERROR(_xlfn.XLOOKUP(TRIM(SUBSTITUTE(U181,CHAR(160)," ")),$BJ$15:$BJ$62,$BM$15:$BM$62),IFERROR(_xlfn.XLOOKUP(TRIM(SUBSTITUTE(U181,CHAR(160)," ")),$BK$15:$BK$62,$BM$15:$BM$62),_xlfn.XLOOKUP(TRIM(SUBSTITUTE(U181,CHAR(160)," ")),$BL$15:$BL$62,$BM$15:$BM$62))))*T181*IF(ISBLANK(Q181),1,Q181)+IFERROR(_xlfn.XLOOKUP("RECHERCHEX",TRIM(L181:AD181),L181:AD181),0),0))</f>
        <v/>
      </c>
      <c r="AM181" s="6229">
        <f t="shared" si="77"/>
        <v>0</v>
      </c>
      <c r="AN181" s="6857" t="str">
        <f t="shared" si="92"/>
        <v/>
      </c>
      <c r="AO181" s="392">
        <f t="shared" si="78"/>
        <v>0</v>
      </c>
      <c r="AP181" s="392">
        <f t="shared" si="79"/>
        <v>0</v>
      </c>
      <c r="AQ181" s="6191">
        <f t="shared" si="80"/>
        <v>0</v>
      </c>
      <c r="AR181" s="6859" t="str">
        <f t="shared" si="81"/>
        <v/>
      </c>
      <c r="AS181" s="6217"/>
      <c r="AT181" s="6217"/>
      <c r="AU181" s="6272">
        <f t="shared" si="82"/>
        <v>0</v>
      </c>
      <c r="AV181" s="6240">
        <f t="shared" si="83"/>
        <v>0</v>
      </c>
      <c r="AW181" s="6189" cm="1">
        <f t="array" ref="AW181">IF(AK181&lt;&gt;1,0,IF(OR(AU181="",N(AU181)&lt;=0.000000001),"",IF(OR(AO181="",N(AO181)&lt;=0.000000001),0,IF(ISNUMBER(AU181),IFERROR(_xlfn.LET(_xlpm.ai_test,TRIM(AJ181),_xlpm.r,IFERROR(_xlfn.XLOOKUP(_xlpm.ai_test,$BJ$15:$BJ$62,ROW($BJ$15:$BJ$62),0,1),IFERROR(_xlfn.XLOOKUP(_xlpm.ai_test,$BK$15:$BK$62,ROW($BK$15:$BK$62),0,1),_xlfn.XLOOKUP(_xlpm.ai_test,$BL$15:$BL$62,ROW($BL$15:$BL$62),0,1))),_xlpm.p,_xlpm.r-MIN(ROW($BJ$15:$BJ$62))+1,_xlpm.f,INDEX($BM$15:$BM$62,_xlpm.p),_xlpm.u,INDEX($BN$15:$BN$62,_xlpm.p),_xlpm.s,INDEX($BP$15:$BP$62,_xlpm.p),_xlpm.q,N(AU181)/_xlpm.f,IF(_xlpm.q&gt;=_xlpm.s,ROUND(_xlpm.q,1)&amp;" "&amp;_xlpm.ai_test&amp;" = "&amp;ROUND(_xlpm.q*_xlpm.f,1)&amp;" "&amp;_xlpm.u,ROUND(_xlpm.q,1)&amp;" "&amp;_xlpm.ai_test)),""),""))))</f>
        <v>0</v>
      </c>
      <c r="AX181" s="6218"/>
      <c r="AY181" s="6272">
        <f t="shared" si="84"/>
        <v>0</v>
      </c>
      <c r="AZ181" s="6240" t="str">
        <f t="shared" si="85"/>
        <v/>
      </c>
      <c r="BA181" s="6195">
        <f t="shared" si="90"/>
        <v>0</v>
      </c>
      <c r="BB181" s="6193" t="str">
        <f t="shared" si="86"/>
        <v/>
      </c>
      <c r="BC181" s="6219"/>
      <c r="BD181" s="6222">
        <f t="shared" si="91"/>
        <v>0</v>
      </c>
      <c r="BE181" s="6220" t="str">
        <f t="shared" si="87"/>
        <v/>
      </c>
      <c r="BF181" s="4" t="s">
        <v>1</v>
      </c>
      <c r="BG181" s="6196">
        <f t="shared" si="88"/>
        <v>0</v>
      </c>
      <c r="BH181" s="6197">
        <f t="shared" si="89"/>
        <v>0</v>
      </c>
      <c r="BI181"/>
      <c r="BR181"/>
      <c r="BS181"/>
      <c r="BT181"/>
      <c r="BU181"/>
      <c r="BV181"/>
      <c r="BW181"/>
      <c r="BX181" s="20" t="str">
        <f t="shared" si="70"/>
        <v>►</v>
      </c>
      <c r="BY181"/>
      <c r="BZ181"/>
      <c r="CA181"/>
      <c r="CB181"/>
      <c r="CC181"/>
      <c r="CD181" s="2"/>
      <c r="CE181"/>
      <c r="CF181"/>
      <c r="CG181"/>
      <c r="CH181"/>
      <c r="CI181"/>
      <c r="CJ181"/>
      <c r="CK181"/>
      <c r="CM181"/>
      <c r="CN181"/>
      <c r="CO181"/>
      <c r="CP181"/>
      <c r="CQ181"/>
      <c r="CR181"/>
      <c r="CS181"/>
      <c r="CU181"/>
      <c r="CV181"/>
      <c r="CW181"/>
      <c r="CX181"/>
      <c r="CY181"/>
      <c r="CZ181"/>
      <c r="DA181"/>
      <c r="DC181" s="5">
        <v>1</v>
      </c>
    </row>
    <row r="182" spans="1:107" s="1" customFormat="1" ht="21" customHeight="1">
      <c r="A182" s="5641" t="s">
        <v>1</v>
      </c>
      <c r="B182" s="5662" t="str">
        <f t="shared" si="69"/>
        <v>►</v>
      </c>
      <c r="C182" s="5825" cm="1">
        <f t="array" ref="C182">SUMPRODUCT(LEN(D182:J182))</f>
        <v>0</v>
      </c>
      <c r="D182" s="5275"/>
      <c r="E182" s="1361"/>
      <c r="F182" s="1361"/>
      <c r="G182" s="1361"/>
      <c r="H182" s="1361"/>
      <c r="I182" s="1361"/>
      <c r="J182" s="5276"/>
      <c r="K182" s="106" t="s">
        <v>1</v>
      </c>
      <c r="L182" s="1021" t="s">
        <v>26</v>
      </c>
      <c r="M182" s="6787"/>
      <c r="N182" s="6787"/>
      <c r="O182" s="6787"/>
      <c r="P182" s="6788"/>
      <c r="Q182" s="6789"/>
      <c r="R182" s="6790"/>
      <c r="S182" s="6786"/>
      <c r="T182" s="6791"/>
      <c r="U182" s="6844"/>
      <c r="V182" s="6791"/>
      <c r="W182" s="8487"/>
      <c r="X182" s="6871"/>
      <c r="Y182" s="6793"/>
      <c r="Z182" s="6794"/>
      <c r="AA182" s="6795"/>
      <c r="AB182" s="6796"/>
      <c r="AC182" s="6797"/>
      <c r="AD182" s="6798"/>
      <c r="AE182" s="4" t="s">
        <v>1</v>
      </c>
      <c r="AF182" s="6202" t="str">
        <f t="shared" si="71"/>
        <v>►</v>
      </c>
      <c r="AG182" s="6234" t="str">
        <f t="shared" si="72"/>
        <v/>
      </c>
      <c r="AH182" s="6732" t="str">
        <f t="shared" si="73"/>
        <v/>
      </c>
      <c r="AI182" s="6234" t="str">
        <f t="shared" si="74"/>
        <v/>
      </c>
      <c r="AJ182" s="6732" t="str">
        <f t="shared" si="75"/>
        <v/>
      </c>
      <c r="AK182" s="6732">
        <f t="shared" si="76"/>
        <v>0</v>
      </c>
      <c r="AL182" s="6230" t="str" cm="1">
        <f t="array" ref="AL182">IF(AF182&lt;&gt;"A","",IFERROR((IFERROR(_xlfn.XLOOKUP(TRIM(SUBSTITUTE(U182,CHAR(160)," ")),$BJ$15:$BJ$62,$BM$15:$BM$62),IFERROR(_xlfn.XLOOKUP(TRIM(SUBSTITUTE(U182,CHAR(160)," ")),$BK$15:$BK$62,$BM$15:$BM$62),_xlfn.XLOOKUP(TRIM(SUBSTITUTE(U182,CHAR(160)," ")),$BL$15:$BL$62,$BM$15:$BM$62))))*T182*IF(ISBLANK(Q182),1,Q182)+IFERROR(_xlfn.XLOOKUP("RECHERCHEX",TRIM(L182:AD182),L182:AD182),0),0))</f>
        <v/>
      </c>
      <c r="AM182" s="6229">
        <f t="shared" si="77"/>
        <v>0</v>
      </c>
      <c r="AN182" s="6857" t="str">
        <f t="shared" si="92"/>
        <v/>
      </c>
      <c r="AO182" s="392">
        <f t="shared" si="78"/>
        <v>0</v>
      </c>
      <c r="AP182" s="392">
        <f t="shared" si="79"/>
        <v>0</v>
      </c>
      <c r="AQ182" s="6190">
        <f t="shared" si="80"/>
        <v>0</v>
      </c>
      <c r="AR182" s="6858" t="str">
        <f t="shared" si="81"/>
        <v/>
      </c>
      <c r="AS182" s="6217"/>
      <c r="AT182" s="6217"/>
      <c r="AU182" s="6271">
        <f t="shared" si="82"/>
        <v>0</v>
      </c>
      <c r="AV182" s="6242">
        <f t="shared" si="83"/>
        <v>0</v>
      </c>
      <c r="AW182" s="6188" cm="1">
        <f t="array" ref="AW182">IF(AK182&lt;&gt;1,0,IF(OR(AU182="",N(AU182)&lt;=0.000000001),"",IF(OR(AO182="",N(AO182)&lt;=0.000000001),0,IF(ISNUMBER(AU182),IFERROR(_xlfn.LET(_xlpm.ai_test,TRIM(AJ182),_xlpm.r,IFERROR(_xlfn.XLOOKUP(_xlpm.ai_test,$BJ$15:$BJ$62,ROW($BJ$15:$BJ$62),0,1),IFERROR(_xlfn.XLOOKUP(_xlpm.ai_test,$BK$15:$BK$62,ROW($BK$15:$BK$62),0,1),_xlfn.XLOOKUP(_xlpm.ai_test,$BL$15:$BL$62,ROW($BL$15:$BL$62),0,1))),_xlpm.p,_xlpm.r-MIN(ROW($BJ$15:$BJ$62))+1,_xlpm.f,INDEX($BM$15:$BM$62,_xlpm.p),_xlpm.u,INDEX($BN$15:$BN$62,_xlpm.p),_xlpm.s,INDEX($BP$15:$BP$62,_xlpm.p),_xlpm.q,N(AU182)/_xlpm.f,IF(_xlpm.q&gt;=_xlpm.s,ROUND(_xlpm.q,1)&amp;" "&amp;_xlpm.ai_test&amp;" = "&amp;ROUND(_xlpm.q*_xlpm.f,1)&amp;" "&amp;_xlpm.u,ROUND(_xlpm.q,1)&amp;" "&amp;_xlpm.ai_test)),""),""))))</f>
        <v>0</v>
      </c>
      <c r="AX182" s="6218"/>
      <c r="AY182" s="6271">
        <f t="shared" si="84"/>
        <v>0</v>
      </c>
      <c r="AZ182" s="6242" t="str">
        <f t="shared" si="85"/>
        <v/>
      </c>
      <c r="BA182" s="6194">
        <f t="shared" si="90"/>
        <v>0</v>
      </c>
      <c r="BB182" s="6192" t="str">
        <f t="shared" si="86"/>
        <v/>
      </c>
      <c r="BC182" s="6219"/>
      <c r="BD182" s="6221">
        <f t="shared" si="91"/>
        <v>0</v>
      </c>
      <c r="BE182" s="6220" t="str">
        <f t="shared" si="87"/>
        <v/>
      </c>
      <c r="BF182" s="4" t="s">
        <v>1</v>
      </c>
      <c r="BG182" s="6196">
        <f t="shared" si="88"/>
        <v>0</v>
      </c>
      <c r="BH182" s="6197">
        <f t="shared" si="89"/>
        <v>0</v>
      </c>
      <c r="BI182"/>
      <c r="BR182"/>
      <c r="BS182"/>
      <c r="BT182"/>
      <c r="BU182"/>
      <c r="BV182"/>
      <c r="BW182"/>
      <c r="BX182" s="20" t="str">
        <f t="shared" si="70"/>
        <v>►</v>
      </c>
      <c r="BY182"/>
      <c r="BZ182"/>
      <c r="CA182"/>
      <c r="CB182"/>
      <c r="CC182"/>
      <c r="CD182" s="2"/>
      <c r="CE182"/>
      <c r="CF182"/>
      <c r="CG182"/>
      <c r="CH182"/>
      <c r="CI182"/>
      <c r="CJ182"/>
      <c r="CK182"/>
      <c r="CM182"/>
      <c r="CN182"/>
      <c r="CO182"/>
      <c r="CP182"/>
      <c r="CQ182"/>
      <c r="CR182"/>
      <c r="CS182"/>
      <c r="CU182"/>
      <c r="CV182"/>
      <c r="CW182"/>
      <c r="CX182"/>
      <c r="CY182"/>
      <c r="CZ182"/>
      <c r="DA182"/>
      <c r="DC182" s="5">
        <v>1</v>
      </c>
    </row>
    <row r="183" spans="1:107" s="1" customFormat="1" ht="21" customHeight="1">
      <c r="A183" s="5641" t="s">
        <v>1</v>
      </c>
      <c r="B183" s="5662" t="str">
        <f t="shared" si="69"/>
        <v>►</v>
      </c>
      <c r="C183" s="5825" cm="1">
        <f t="array" ref="C183">SUMPRODUCT(LEN(D183:J183))</f>
        <v>0</v>
      </c>
      <c r="D183" s="5275"/>
      <c r="E183" s="1361"/>
      <c r="F183" s="1361"/>
      <c r="G183" s="1361"/>
      <c r="H183" s="1361"/>
      <c r="I183" s="1361"/>
      <c r="J183" s="5276"/>
      <c r="K183" s="106" t="s">
        <v>1</v>
      </c>
      <c r="L183" s="1021" t="s">
        <v>26</v>
      </c>
      <c r="M183" s="6787"/>
      <c r="N183" s="6787"/>
      <c r="O183" s="6787"/>
      <c r="P183" s="6788"/>
      <c r="Q183" s="6789"/>
      <c r="R183" s="6790"/>
      <c r="S183" s="6786"/>
      <c r="T183" s="6791"/>
      <c r="U183" s="6844"/>
      <c r="V183" s="6791"/>
      <c r="W183" s="8487"/>
      <c r="X183" s="6871"/>
      <c r="Y183" s="6793"/>
      <c r="Z183" s="6794"/>
      <c r="AA183" s="6795"/>
      <c r="AB183" s="6796"/>
      <c r="AC183" s="6797"/>
      <c r="AD183" s="6798"/>
      <c r="AE183" s="4" t="s">
        <v>1</v>
      </c>
      <c r="AF183" s="6202" t="str">
        <f t="shared" si="71"/>
        <v>►</v>
      </c>
      <c r="AG183" s="6234" t="str">
        <f t="shared" si="72"/>
        <v/>
      </c>
      <c r="AH183" s="6732" t="str">
        <f t="shared" si="73"/>
        <v/>
      </c>
      <c r="AI183" s="6234" t="str">
        <f t="shared" si="74"/>
        <v/>
      </c>
      <c r="AJ183" s="6732" t="str">
        <f t="shared" si="75"/>
        <v/>
      </c>
      <c r="AK183" s="6732">
        <f t="shared" si="76"/>
        <v>0</v>
      </c>
      <c r="AL183" s="6230" t="str" cm="1">
        <f t="array" ref="AL183">IF(AF183&lt;&gt;"A","",IFERROR((IFERROR(_xlfn.XLOOKUP(TRIM(SUBSTITUTE(U183,CHAR(160)," ")),$BJ$15:$BJ$62,$BM$15:$BM$62),IFERROR(_xlfn.XLOOKUP(TRIM(SUBSTITUTE(U183,CHAR(160)," ")),$BK$15:$BK$62,$BM$15:$BM$62),_xlfn.XLOOKUP(TRIM(SUBSTITUTE(U183,CHAR(160)," ")),$BL$15:$BL$62,$BM$15:$BM$62))))*T183*IF(ISBLANK(Q183),1,Q183)+IFERROR(_xlfn.XLOOKUP("RECHERCHEX",TRIM(L183:AD183),L183:AD183),0),0))</f>
        <v/>
      </c>
      <c r="AM183" s="6229">
        <f t="shared" si="77"/>
        <v>0</v>
      </c>
      <c r="AN183" s="6857" t="str">
        <f t="shared" si="92"/>
        <v/>
      </c>
      <c r="AO183" s="392">
        <f t="shared" si="78"/>
        <v>0</v>
      </c>
      <c r="AP183" s="392">
        <f t="shared" si="79"/>
        <v>0</v>
      </c>
      <c r="AQ183" s="6191">
        <f t="shared" si="80"/>
        <v>0</v>
      </c>
      <c r="AR183" s="6859" t="str">
        <f t="shared" si="81"/>
        <v/>
      </c>
      <c r="AS183" s="6217"/>
      <c r="AT183" s="6217"/>
      <c r="AU183" s="6272">
        <f t="shared" si="82"/>
        <v>0</v>
      </c>
      <c r="AV183" s="6240">
        <f t="shared" si="83"/>
        <v>0</v>
      </c>
      <c r="AW183" s="6189" cm="1">
        <f t="array" ref="AW183">IF(AK183&lt;&gt;1,0,IF(OR(AU183="",N(AU183)&lt;=0.000000001),"",IF(OR(AO183="",N(AO183)&lt;=0.000000001),0,IF(ISNUMBER(AU183),IFERROR(_xlfn.LET(_xlpm.ai_test,TRIM(AJ183),_xlpm.r,IFERROR(_xlfn.XLOOKUP(_xlpm.ai_test,$BJ$15:$BJ$62,ROW($BJ$15:$BJ$62),0,1),IFERROR(_xlfn.XLOOKUP(_xlpm.ai_test,$BK$15:$BK$62,ROW($BK$15:$BK$62),0,1),_xlfn.XLOOKUP(_xlpm.ai_test,$BL$15:$BL$62,ROW($BL$15:$BL$62),0,1))),_xlpm.p,_xlpm.r-MIN(ROW($BJ$15:$BJ$62))+1,_xlpm.f,INDEX($BM$15:$BM$62,_xlpm.p),_xlpm.u,INDEX($BN$15:$BN$62,_xlpm.p),_xlpm.s,INDEX($BP$15:$BP$62,_xlpm.p),_xlpm.q,N(AU183)/_xlpm.f,IF(_xlpm.q&gt;=_xlpm.s,ROUND(_xlpm.q,1)&amp;" "&amp;_xlpm.ai_test&amp;" = "&amp;ROUND(_xlpm.q*_xlpm.f,1)&amp;" "&amp;_xlpm.u,ROUND(_xlpm.q,1)&amp;" "&amp;_xlpm.ai_test)),""),""))))</f>
        <v>0</v>
      </c>
      <c r="AX183" s="6218"/>
      <c r="AY183" s="6272">
        <f t="shared" si="84"/>
        <v>0</v>
      </c>
      <c r="AZ183" s="6240" t="str">
        <f t="shared" si="85"/>
        <v/>
      </c>
      <c r="BA183" s="6195">
        <f t="shared" si="90"/>
        <v>0</v>
      </c>
      <c r="BB183" s="6193" t="str">
        <f t="shared" si="86"/>
        <v/>
      </c>
      <c r="BC183" s="6219"/>
      <c r="BD183" s="6222">
        <f t="shared" si="91"/>
        <v>0</v>
      </c>
      <c r="BE183" s="6220" t="str">
        <f t="shared" si="87"/>
        <v/>
      </c>
      <c r="BF183" s="4" t="s">
        <v>1</v>
      </c>
      <c r="BG183" s="6196">
        <f t="shared" si="88"/>
        <v>0</v>
      </c>
      <c r="BH183" s="6197">
        <f t="shared" si="89"/>
        <v>0</v>
      </c>
      <c r="BI183"/>
      <c r="BR183"/>
      <c r="BS183"/>
      <c r="BT183"/>
      <c r="BU183"/>
      <c r="BV183"/>
      <c r="BW183"/>
      <c r="BX183" s="20" t="str">
        <f t="shared" si="70"/>
        <v>►</v>
      </c>
      <c r="BY183"/>
      <c r="BZ183"/>
      <c r="CA183"/>
      <c r="CB183"/>
      <c r="CC183"/>
      <c r="CD183" s="2"/>
      <c r="CE183"/>
      <c r="CF183"/>
      <c r="CG183"/>
      <c r="CH183"/>
      <c r="CI183"/>
      <c r="CJ183"/>
      <c r="CK183"/>
      <c r="CM183"/>
      <c r="CN183"/>
      <c r="CO183"/>
      <c r="CP183"/>
      <c r="CQ183"/>
      <c r="CR183"/>
      <c r="CS183"/>
      <c r="CU183"/>
      <c r="CV183"/>
      <c r="CW183"/>
      <c r="CX183"/>
      <c r="CY183"/>
      <c r="CZ183"/>
      <c r="DA183"/>
      <c r="DC183" s="5">
        <v>1</v>
      </c>
    </row>
    <row r="184" spans="1:107" s="1" customFormat="1" ht="21" customHeight="1">
      <c r="A184" s="5641" t="s">
        <v>1</v>
      </c>
      <c r="B184" s="5662" t="str">
        <f t="shared" si="69"/>
        <v>►</v>
      </c>
      <c r="C184" s="5825" cm="1">
        <f t="array" ref="C184">SUMPRODUCT(LEN(D184:J184))</f>
        <v>0</v>
      </c>
      <c r="D184" s="5275"/>
      <c r="E184" s="1361"/>
      <c r="F184" s="1361"/>
      <c r="G184" s="1361"/>
      <c r="H184" s="1361"/>
      <c r="I184" s="1361"/>
      <c r="J184" s="5276"/>
      <c r="K184" s="106" t="s">
        <v>1</v>
      </c>
      <c r="L184" s="1021" t="s">
        <v>26</v>
      </c>
      <c r="M184" s="6787"/>
      <c r="N184" s="6787"/>
      <c r="O184" s="6787"/>
      <c r="P184" s="6788"/>
      <c r="Q184" s="6789"/>
      <c r="R184" s="6790"/>
      <c r="S184" s="6786"/>
      <c r="T184" s="6791"/>
      <c r="U184" s="6844"/>
      <c r="V184" s="6791"/>
      <c r="W184" s="8487"/>
      <c r="X184" s="6871"/>
      <c r="Y184" s="6793"/>
      <c r="Z184" s="6794"/>
      <c r="AA184" s="6795"/>
      <c r="AB184" s="6796"/>
      <c r="AC184" s="6797"/>
      <c r="AD184" s="6798"/>
      <c r="AE184" s="4" t="s">
        <v>1</v>
      </c>
      <c r="AF184" s="6202" t="str">
        <f t="shared" si="71"/>
        <v>►</v>
      </c>
      <c r="AG184" s="6234" t="str">
        <f t="shared" si="72"/>
        <v/>
      </c>
      <c r="AH184" s="6732" t="str">
        <f t="shared" si="73"/>
        <v/>
      </c>
      <c r="AI184" s="6234" t="str">
        <f t="shared" si="74"/>
        <v/>
      </c>
      <c r="AJ184" s="6732" t="str">
        <f t="shared" si="75"/>
        <v/>
      </c>
      <c r="AK184" s="6732">
        <f t="shared" si="76"/>
        <v>0</v>
      </c>
      <c r="AL184" s="6230" t="str" cm="1">
        <f t="array" ref="AL184">IF(AF184&lt;&gt;"A","",IFERROR((IFERROR(_xlfn.XLOOKUP(TRIM(SUBSTITUTE(U184,CHAR(160)," ")),$BJ$15:$BJ$62,$BM$15:$BM$62),IFERROR(_xlfn.XLOOKUP(TRIM(SUBSTITUTE(U184,CHAR(160)," ")),$BK$15:$BK$62,$BM$15:$BM$62),_xlfn.XLOOKUP(TRIM(SUBSTITUTE(U184,CHAR(160)," ")),$BL$15:$BL$62,$BM$15:$BM$62))))*T184*IF(ISBLANK(Q184),1,Q184)+IFERROR(_xlfn.XLOOKUP("RECHERCHEX",TRIM(L184:AD184),L184:AD184),0),0))</f>
        <v/>
      </c>
      <c r="AM184" s="6229">
        <f t="shared" si="77"/>
        <v>0</v>
      </c>
      <c r="AN184" s="6857" t="str">
        <f t="shared" si="92"/>
        <v/>
      </c>
      <c r="AO184" s="392">
        <f t="shared" si="78"/>
        <v>0</v>
      </c>
      <c r="AP184" s="392">
        <f t="shared" si="79"/>
        <v>0</v>
      </c>
      <c r="AQ184" s="6190">
        <f t="shared" si="80"/>
        <v>0</v>
      </c>
      <c r="AR184" s="6858" t="str">
        <f t="shared" si="81"/>
        <v/>
      </c>
      <c r="AS184" s="6217"/>
      <c r="AT184" s="6217"/>
      <c r="AU184" s="6271">
        <f t="shared" si="82"/>
        <v>0</v>
      </c>
      <c r="AV184" s="6242">
        <f t="shared" si="83"/>
        <v>0</v>
      </c>
      <c r="AW184" s="6188" cm="1">
        <f t="array" ref="AW184">IF(AK184&lt;&gt;1,0,IF(OR(AU184="",N(AU184)&lt;=0.000000001),"",IF(OR(AO184="",N(AO184)&lt;=0.000000001),0,IF(ISNUMBER(AU184),IFERROR(_xlfn.LET(_xlpm.ai_test,TRIM(AJ184),_xlpm.r,IFERROR(_xlfn.XLOOKUP(_xlpm.ai_test,$BJ$15:$BJ$62,ROW($BJ$15:$BJ$62),0,1),IFERROR(_xlfn.XLOOKUP(_xlpm.ai_test,$BK$15:$BK$62,ROW($BK$15:$BK$62),0,1),_xlfn.XLOOKUP(_xlpm.ai_test,$BL$15:$BL$62,ROW($BL$15:$BL$62),0,1))),_xlpm.p,_xlpm.r-MIN(ROW($BJ$15:$BJ$62))+1,_xlpm.f,INDEX($BM$15:$BM$62,_xlpm.p),_xlpm.u,INDEX($BN$15:$BN$62,_xlpm.p),_xlpm.s,INDEX($BP$15:$BP$62,_xlpm.p),_xlpm.q,N(AU184)/_xlpm.f,IF(_xlpm.q&gt;=_xlpm.s,ROUND(_xlpm.q,1)&amp;" "&amp;_xlpm.ai_test&amp;" = "&amp;ROUND(_xlpm.q*_xlpm.f,1)&amp;" "&amp;_xlpm.u,ROUND(_xlpm.q,1)&amp;" "&amp;_xlpm.ai_test)),""),""))))</f>
        <v>0</v>
      </c>
      <c r="AX184" s="6218"/>
      <c r="AY184" s="6271">
        <f t="shared" si="84"/>
        <v>0</v>
      </c>
      <c r="AZ184" s="6242" t="str">
        <f t="shared" si="85"/>
        <v/>
      </c>
      <c r="BA184" s="6194">
        <f t="shared" si="90"/>
        <v>0</v>
      </c>
      <c r="BB184" s="6192" t="str">
        <f t="shared" si="86"/>
        <v/>
      </c>
      <c r="BC184" s="6219"/>
      <c r="BD184" s="6221">
        <f t="shared" si="91"/>
        <v>0</v>
      </c>
      <c r="BE184" s="6220" t="str">
        <f t="shared" si="87"/>
        <v/>
      </c>
      <c r="BF184" s="4" t="s">
        <v>1</v>
      </c>
      <c r="BG184" s="6196">
        <f t="shared" si="88"/>
        <v>0</v>
      </c>
      <c r="BH184" s="6197">
        <f t="shared" si="89"/>
        <v>0</v>
      </c>
      <c r="BI184"/>
      <c r="BR184"/>
      <c r="BS184"/>
      <c r="BT184"/>
      <c r="BU184"/>
      <c r="BV184"/>
      <c r="BW184"/>
      <c r="BX184" s="20" t="str">
        <f t="shared" si="70"/>
        <v>►</v>
      </c>
      <c r="BY184"/>
      <c r="BZ184"/>
      <c r="CA184"/>
      <c r="CB184"/>
      <c r="CC184"/>
      <c r="CD184" s="2"/>
      <c r="CE184"/>
      <c r="CF184"/>
      <c r="CG184"/>
      <c r="CH184"/>
      <c r="CI184"/>
      <c r="CJ184"/>
      <c r="CK184"/>
      <c r="CM184"/>
      <c r="CN184"/>
      <c r="CO184"/>
      <c r="CP184"/>
      <c r="CQ184"/>
      <c r="CR184"/>
      <c r="CS184"/>
      <c r="CU184"/>
      <c r="CV184"/>
      <c r="CW184"/>
      <c r="CX184"/>
      <c r="CY184"/>
      <c r="CZ184"/>
      <c r="DA184"/>
      <c r="DC184" s="5">
        <v>1</v>
      </c>
    </row>
    <row r="185" spans="1:107" s="1" customFormat="1" ht="21" customHeight="1">
      <c r="A185" s="5641" t="s">
        <v>1</v>
      </c>
      <c r="B185" s="5662" t="str">
        <f t="shared" si="69"/>
        <v>►</v>
      </c>
      <c r="C185" s="5825" cm="1">
        <f t="array" ref="C185">SUMPRODUCT(LEN(D185:J185))</f>
        <v>0</v>
      </c>
      <c r="D185" s="5275"/>
      <c r="E185" s="1361"/>
      <c r="F185" s="1361"/>
      <c r="G185" s="1361"/>
      <c r="H185" s="1361"/>
      <c r="I185" s="1361"/>
      <c r="J185" s="5276"/>
      <c r="K185" s="106" t="s">
        <v>1</v>
      </c>
      <c r="L185" s="1021" t="s">
        <v>26</v>
      </c>
      <c r="M185" s="6787"/>
      <c r="N185" s="6787"/>
      <c r="O185" s="6787"/>
      <c r="P185" s="6788"/>
      <c r="Q185" s="6789"/>
      <c r="R185" s="6790"/>
      <c r="S185" s="6786"/>
      <c r="T185" s="6791"/>
      <c r="U185" s="6844"/>
      <c r="V185" s="6791"/>
      <c r="W185" s="8487"/>
      <c r="X185" s="6871"/>
      <c r="Y185" s="6793"/>
      <c r="Z185" s="6794"/>
      <c r="AA185" s="6795"/>
      <c r="AB185" s="6796"/>
      <c r="AC185" s="6797"/>
      <c r="AD185" s="6798"/>
      <c r="AE185" s="4" t="s">
        <v>1</v>
      </c>
      <c r="AF185" s="6202" t="str">
        <f t="shared" si="71"/>
        <v>►</v>
      </c>
      <c r="AG185" s="6234" t="str">
        <f t="shared" si="72"/>
        <v/>
      </c>
      <c r="AH185" s="6732" t="str">
        <f t="shared" si="73"/>
        <v/>
      </c>
      <c r="AI185" s="6234" t="str">
        <f t="shared" si="74"/>
        <v/>
      </c>
      <c r="AJ185" s="6732" t="str">
        <f t="shared" si="75"/>
        <v/>
      </c>
      <c r="AK185" s="6732">
        <f t="shared" si="76"/>
        <v>0</v>
      </c>
      <c r="AL185" s="6230" t="str" cm="1">
        <f t="array" ref="AL185">IF(AF185&lt;&gt;"A","",IFERROR((IFERROR(_xlfn.XLOOKUP(TRIM(SUBSTITUTE(U185,CHAR(160)," ")),$BJ$15:$BJ$62,$BM$15:$BM$62),IFERROR(_xlfn.XLOOKUP(TRIM(SUBSTITUTE(U185,CHAR(160)," ")),$BK$15:$BK$62,$BM$15:$BM$62),_xlfn.XLOOKUP(TRIM(SUBSTITUTE(U185,CHAR(160)," ")),$BL$15:$BL$62,$BM$15:$BM$62))))*T185*IF(ISBLANK(Q185),1,Q185)+IFERROR(_xlfn.XLOOKUP("RECHERCHEX",TRIM(L185:AD185),L185:AD185),0),0))</f>
        <v/>
      </c>
      <c r="AM185" s="6229">
        <f t="shared" si="77"/>
        <v>0</v>
      </c>
      <c r="AN185" s="6857" t="str">
        <f t="shared" si="92"/>
        <v/>
      </c>
      <c r="AO185" s="392">
        <f t="shared" si="78"/>
        <v>0</v>
      </c>
      <c r="AP185" s="392">
        <f t="shared" si="79"/>
        <v>0</v>
      </c>
      <c r="AQ185" s="6191">
        <f t="shared" si="80"/>
        <v>0</v>
      </c>
      <c r="AR185" s="6859" t="str">
        <f t="shared" si="81"/>
        <v/>
      </c>
      <c r="AS185" s="6217"/>
      <c r="AT185" s="6217"/>
      <c r="AU185" s="6272">
        <f t="shared" si="82"/>
        <v>0</v>
      </c>
      <c r="AV185" s="6240">
        <f t="shared" si="83"/>
        <v>0</v>
      </c>
      <c r="AW185" s="6189" cm="1">
        <f t="array" ref="AW185">IF(AK185&lt;&gt;1,0,IF(OR(AU185="",N(AU185)&lt;=0.000000001),"",IF(OR(AO185="",N(AO185)&lt;=0.000000001),0,IF(ISNUMBER(AU185),IFERROR(_xlfn.LET(_xlpm.ai_test,TRIM(AJ185),_xlpm.r,IFERROR(_xlfn.XLOOKUP(_xlpm.ai_test,$BJ$15:$BJ$62,ROW($BJ$15:$BJ$62),0,1),IFERROR(_xlfn.XLOOKUP(_xlpm.ai_test,$BK$15:$BK$62,ROW($BK$15:$BK$62),0,1),_xlfn.XLOOKUP(_xlpm.ai_test,$BL$15:$BL$62,ROW($BL$15:$BL$62),0,1))),_xlpm.p,_xlpm.r-MIN(ROW($BJ$15:$BJ$62))+1,_xlpm.f,INDEX($BM$15:$BM$62,_xlpm.p),_xlpm.u,INDEX($BN$15:$BN$62,_xlpm.p),_xlpm.s,INDEX($BP$15:$BP$62,_xlpm.p),_xlpm.q,N(AU185)/_xlpm.f,IF(_xlpm.q&gt;=_xlpm.s,ROUND(_xlpm.q,1)&amp;" "&amp;_xlpm.ai_test&amp;" = "&amp;ROUND(_xlpm.q*_xlpm.f,1)&amp;" "&amp;_xlpm.u,ROUND(_xlpm.q,1)&amp;" "&amp;_xlpm.ai_test)),""),""))))</f>
        <v>0</v>
      </c>
      <c r="AX185" s="6218"/>
      <c r="AY185" s="6272">
        <f t="shared" si="84"/>
        <v>0</v>
      </c>
      <c r="AZ185" s="6240" t="str">
        <f t="shared" si="85"/>
        <v/>
      </c>
      <c r="BA185" s="6195">
        <f t="shared" si="90"/>
        <v>0</v>
      </c>
      <c r="BB185" s="6193" t="str">
        <f t="shared" si="86"/>
        <v/>
      </c>
      <c r="BC185" s="6219"/>
      <c r="BD185" s="6222">
        <f t="shared" si="91"/>
        <v>0</v>
      </c>
      <c r="BE185" s="6220" t="str">
        <f t="shared" si="87"/>
        <v/>
      </c>
      <c r="BF185" s="4" t="s">
        <v>1</v>
      </c>
      <c r="BG185" s="6196">
        <f t="shared" si="88"/>
        <v>0</v>
      </c>
      <c r="BH185" s="6197">
        <f t="shared" si="89"/>
        <v>0</v>
      </c>
      <c r="BI185"/>
      <c r="BR185"/>
      <c r="BS185"/>
      <c r="BT185"/>
      <c r="BU185"/>
      <c r="BV185"/>
      <c r="BW185"/>
      <c r="BX185" s="20" t="str">
        <f t="shared" si="70"/>
        <v>►</v>
      </c>
      <c r="BY185"/>
      <c r="BZ185"/>
      <c r="CA185"/>
      <c r="CB185"/>
      <c r="CC185"/>
      <c r="CD185" s="2"/>
      <c r="CE185"/>
      <c r="CF185"/>
      <c r="CG185"/>
      <c r="CH185"/>
      <c r="CI185"/>
      <c r="CJ185"/>
      <c r="CK185"/>
      <c r="CM185"/>
      <c r="CN185"/>
      <c r="CO185"/>
      <c r="CP185"/>
      <c r="CQ185"/>
      <c r="CR185"/>
      <c r="CS185"/>
      <c r="CU185"/>
      <c r="CV185"/>
      <c r="CW185"/>
      <c r="CX185"/>
      <c r="CY185"/>
      <c r="CZ185"/>
      <c r="DA185"/>
      <c r="DC185" s="5">
        <v>1</v>
      </c>
    </row>
    <row r="186" spans="1:107" s="1" customFormat="1" ht="21" customHeight="1">
      <c r="A186" s="5641" t="s">
        <v>1</v>
      </c>
      <c r="B186" s="5662" t="str">
        <f t="shared" si="69"/>
        <v>►</v>
      </c>
      <c r="C186" s="5825" cm="1">
        <f t="array" ref="C186">SUMPRODUCT(LEN(D186:J186))</f>
        <v>0</v>
      </c>
      <c r="D186" s="5275"/>
      <c r="E186" s="1361"/>
      <c r="F186" s="1361"/>
      <c r="G186" s="1361"/>
      <c r="H186" s="1361"/>
      <c r="I186" s="1361"/>
      <c r="J186" s="5276"/>
      <c r="K186" s="106" t="s">
        <v>1</v>
      </c>
      <c r="L186" s="1021" t="s">
        <v>26</v>
      </c>
      <c r="M186" s="6787"/>
      <c r="N186" s="6787"/>
      <c r="O186" s="6787"/>
      <c r="P186" s="6788"/>
      <c r="Q186" s="6789"/>
      <c r="R186" s="6790"/>
      <c r="S186" s="6786"/>
      <c r="T186" s="6791"/>
      <c r="U186" s="6844"/>
      <c r="V186" s="6791"/>
      <c r="W186" s="8487"/>
      <c r="X186" s="6871"/>
      <c r="Y186" s="6793"/>
      <c r="Z186" s="6794"/>
      <c r="AA186" s="6795"/>
      <c r="AB186" s="6796"/>
      <c r="AC186" s="6797"/>
      <c r="AD186" s="6798"/>
      <c r="AE186" s="4" t="s">
        <v>1</v>
      </c>
      <c r="AF186" s="6202" t="str">
        <f t="shared" si="71"/>
        <v>►</v>
      </c>
      <c r="AG186" s="6234" t="str">
        <f t="shared" si="72"/>
        <v/>
      </c>
      <c r="AH186" s="6732" t="str">
        <f t="shared" si="73"/>
        <v/>
      </c>
      <c r="AI186" s="6234" t="str">
        <f t="shared" si="74"/>
        <v/>
      </c>
      <c r="AJ186" s="6732" t="str">
        <f t="shared" si="75"/>
        <v/>
      </c>
      <c r="AK186" s="6732">
        <f t="shared" si="76"/>
        <v>0</v>
      </c>
      <c r="AL186" s="6230" t="str" cm="1">
        <f t="array" ref="AL186">IF(AF186&lt;&gt;"A","",IFERROR((IFERROR(_xlfn.XLOOKUP(TRIM(SUBSTITUTE(U186,CHAR(160)," ")),$BJ$15:$BJ$62,$BM$15:$BM$62),IFERROR(_xlfn.XLOOKUP(TRIM(SUBSTITUTE(U186,CHAR(160)," ")),$BK$15:$BK$62,$BM$15:$BM$62),_xlfn.XLOOKUP(TRIM(SUBSTITUTE(U186,CHAR(160)," ")),$BL$15:$BL$62,$BM$15:$BM$62))))*T186*IF(ISBLANK(Q186),1,Q186)+IFERROR(_xlfn.XLOOKUP("RECHERCHEX",TRIM(L186:AD186),L186:AD186),0),0))</f>
        <v/>
      </c>
      <c r="AM186" s="6229">
        <f t="shared" si="77"/>
        <v>0</v>
      </c>
      <c r="AN186" s="6857" t="str">
        <f t="shared" si="92"/>
        <v/>
      </c>
      <c r="AO186" s="392">
        <f t="shared" si="78"/>
        <v>0</v>
      </c>
      <c r="AP186" s="392">
        <f t="shared" si="79"/>
        <v>0</v>
      </c>
      <c r="AQ186" s="6190">
        <f t="shared" si="80"/>
        <v>0</v>
      </c>
      <c r="AR186" s="6858" t="str">
        <f t="shared" si="81"/>
        <v/>
      </c>
      <c r="AS186" s="6217"/>
      <c r="AT186" s="6217"/>
      <c r="AU186" s="6271">
        <f t="shared" si="82"/>
        <v>0</v>
      </c>
      <c r="AV186" s="6242">
        <f t="shared" si="83"/>
        <v>0</v>
      </c>
      <c r="AW186" s="6188" cm="1">
        <f t="array" ref="AW186">IF(AK186&lt;&gt;1,0,IF(OR(AU186="",N(AU186)&lt;=0.000000001),"",IF(OR(AO186="",N(AO186)&lt;=0.000000001),0,IF(ISNUMBER(AU186),IFERROR(_xlfn.LET(_xlpm.ai_test,TRIM(AJ186),_xlpm.r,IFERROR(_xlfn.XLOOKUP(_xlpm.ai_test,$BJ$15:$BJ$62,ROW($BJ$15:$BJ$62),0,1),IFERROR(_xlfn.XLOOKUP(_xlpm.ai_test,$BK$15:$BK$62,ROW($BK$15:$BK$62),0,1),_xlfn.XLOOKUP(_xlpm.ai_test,$BL$15:$BL$62,ROW($BL$15:$BL$62),0,1))),_xlpm.p,_xlpm.r-MIN(ROW($BJ$15:$BJ$62))+1,_xlpm.f,INDEX($BM$15:$BM$62,_xlpm.p),_xlpm.u,INDEX($BN$15:$BN$62,_xlpm.p),_xlpm.s,INDEX($BP$15:$BP$62,_xlpm.p),_xlpm.q,N(AU186)/_xlpm.f,IF(_xlpm.q&gt;=_xlpm.s,ROUND(_xlpm.q,1)&amp;" "&amp;_xlpm.ai_test&amp;" = "&amp;ROUND(_xlpm.q*_xlpm.f,1)&amp;" "&amp;_xlpm.u,ROUND(_xlpm.q,1)&amp;" "&amp;_xlpm.ai_test)),""),""))))</f>
        <v>0</v>
      </c>
      <c r="AX186" s="6218"/>
      <c r="AY186" s="6271">
        <f t="shared" si="84"/>
        <v>0</v>
      </c>
      <c r="AZ186" s="6242" t="str">
        <f t="shared" si="85"/>
        <v/>
      </c>
      <c r="BA186" s="6194">
        <f t="shared" si="90"/>
        <v>0</v>
      </c>
      <c r="BB186" s="6192" t="str">
        <f t="shared" si="86"/>
        <v/>
      </c>
      <c r="BC186" s="6219"/>
      <c r="BD186" s="6221">
        <f t="shared" si="91"/>
        <v>0</v>
      </c>
      <c r="BE186" s="6220" t="str">
        <f t="shared" si="87"/>
        <v/>
      </c>
      <c r="BF186" s="4" t="s">
        <v>1</v>
      </c>
      <c r="BG186" s="6196">
        <f t="shared" si="88"/>
        <v>0</v>
      </c>
      <c r="BH186" s="6197">
        <f t="shared" si="89"/>
        <v>0</v>
      </c>
      <c r="BI186"/>
      <c r="BR186"/>
      <c r="BS186"/>
      <c r="BT186"/>
      <c r="BU186"/>
      <c r="BV186"/>
      <c r="BW186"/>
      <c r="BX186" s="20" t="str">
        <f t="shared" si="70"/>
        <v>►</v>
      </c>
      <c r="BY186"/>
      <c r="BZ186"/>
      <c r="CA186"/>
      <c r="CB186"/>
      <c r="CC186"/>
      <c r="CD186" s="2"/>
      <c r="CE186"/>
      <c r="CF186"/>
      <c r="CG186"/>
      <c r="CH186"/>
      <c r="CI186"/>
      <c r="CJ186"/>
      <c r="CK186"/>
      <c r="CM186"/>
      <c r="CN186"/>
      <c r="CO186"/>
      <c r="CP186"/>
      <c r="CQ186"/>
      <c r="CR186"/>
      <c r="CS186"/>
      <c r="CU186"/>
      <c r="CV186"/>
      <c r="CW186"/>
      <c r="CX186"/>
      <c r="CY186"/>
      <c r="CZ186"/>
      <c r="DA186"/>
      <c r="DC186" s="5">
        <v>1</v>
      </c>
    </row>
    <row r="187" spans="1:107" s="1" customFormat="1" ht="21" customHeight="1">
      <c r="A187" s="5641" t="s">
        <v>1</v>
      </c>
      <c r="B187" s="5662" t="str">
        <f t="shared" si="69"/>
        <v>►</v>
      </c>
      <c r="C187" s="5825" cm="1">
        <f t="array" ref="C187">SUMPRODUCT(LEN(D187:J187))</f>
        <v>0</v>
      </c>
      <c r="D187" s="5275"/>
      <c r="E187" s="1361"/>
      <c r="F187" s="1361"/>
      <c r="G187" s="1361"/>
      <c r="H187" s="1361"/>
      <c r="I187" s="1361"/>
      <c r="J187" s="5276"/>
      <c r="K187" s="106" t="s">
        <v>1</v>
      </c>
      <c r="L187" s="1021" t="s">
        <v>26</v>
      </c>
      <c r="M187" s="6787"/>
      <c r="N187" s="6787"/>
      <c r="O187" s="6787"/>
      <c r="P187" s="6788"/>
      <c r="Q187" s="6789"/>
      <c r="R187" s="6790"/>
      <c r="S187" s="6786"/>
      <c r="T187" s="6791"/>
      <c r="U187" s="6844"/>
      <c r="V187" s="6791"/>
      <c r="W187" s="8487"/>
      <c r="X187" s="6871"/>
      <c r="Y187" s="6793"/>
      <c r="Z187" s="6794"/>
      <c r="AA187" s="6795"/>
      <c r="AB187" s="6796"/>
      <c r="AC187" s="6797"/>
      <c r="AD187" s="6798"/>
      <c r="AE187" s="4" t="s">
        <v>1</v>
      </c>
      <c r="AF187" s="6202" t="str">
        <f t="shared" si="71"/>
        <v>►</v>
      </c>
      <c r="AG187" s="6234" t="str">
        <f t="shared" si="72"/>
        <v/>
      </c>
      <c r="AH187" s="6732" t="str">
        <f t="shared" si="73"/>
        <v/>
      </c>
      <c r="AI187" s="6234" t="str">
        <f t="shared" si="74"/>
        <v/>
      </c>
      <c r="AJ187" s="6732" t="str">
        <f t="shared" si="75"/>
        <v/>
      </c>
      <c r="AK187" s="6732">
        <f t="shared" si="76"/>
        <v>0</v>
      </c>
      <c r="AL187" s="6230" t="str" cm="1">
        <f t="array" ref="AL187">IF(AF187&lt;&gt;"A","",IFERROR((IFERROR(_xlfn.XLOOKUP(TRIM(SUBSTITUTE(U187,CHAR(160)," ")),$BJ$15:$BJ$62,$BM$15:$BM$62),IFERROR(_xlfn.XLOOKUP(TRIM(SUBSTITUTE(U187,CHAR(160)," ")),$BK$15:$BK$62,$BM$15:$BM$62),_xlfn.XLOOKUP(TRIM(SUBSTITUTE(U187,CHAR(160)," ")),$BL$15:$BL$62,$BM$15:$BM$62))))*T187*IF(ISBLANK(Q187),1,Q187)+IFERROR(_xlfn.XLOOKUP("RECHERCHEX",TRIM(L187:AD187),L187:AD187),0),0))</f>
        <v/>
      </c>
      <c r="AM187" s="6229">
        <f t="shared" si="77"/>
        <v>0</v>
      </c>
      <c r="AN187" s="6857" t="str">
        <f t="shared" si="92"/>
        <v/>
      </c>
      <c r="AO187" s="392">
        <f t="shared" si="78"/>
        <v>0</v>
      </c>
      <c r="AP187" s="392">
        <f t="shared" si="79"/>
        <v>0</v>
      </c>
      <c r="AQ187" s="6191">
        <f t="shared" si="80"/>
        <v>0</v>
      </c>
      <c r="AR187" s="6859" t="str">
        <f t="shared" si="81"/>
        <v/>
      </c>
      <c r="AS187" s="6217"/>
      <c r="AT187" s="6217"/>
      <c r="AU187" s="6272">
        <f t="shared" si="82"/>
        <v>0</v>
      </c>
      <c r="AV187" s="6240">
        <f t="shared" si="83"/>
        <v>0</v>
      </c>
      <c r="AW187" s="6189" cm="1">
        <f t="array" ref="AW187">IF(AK187&lt;&gt;1,0,IF(OR(AU187="",N(AU187)&lt;=0.000000001),"",IF(OR(AO187="",N(AO187)&lt;=0.000000001),0,IF(ISNUMBER(AU187),IFERROR(_xlfn.LET(_xlpm.ai_test,TRIM(AJ187),_xlpm.r,IFERROR(_xlfn.XLOOKUP(_xlpm.ai_test,$BJ$15:$BJ$62,ROW($BJ$15:$BJ$62),0,1),IFERROR(_xlfn.XLOOKUP(_xlpm.ai_test,$BK$15:$BK$62,ROW($BK$15:$BK$62),0,1),_xlfn.XLOOKUP(_xlpm.ai_test,$BL$15:$BL$62,ROW($BL$15:$BL$62),0,1))),_xlpm.p,_xlpm.r-MIN(ROW($BJ$15:$BJ$62))+1,_xlpm.f,INDEX($BM$15:$BM$62,_xlpm.p),_xlpm.u,INDEX($BN$15:$BN$62,_xlpm.p),_xlpm.s,INDEX($BP$15:$BP$62,_xlpm.p),_xlpm.q,N(AU187)/_xlpm.f,IF(_xlpm.q&gt;=_xlpm.s,ROUND(_xlpm.q,1)&amp;" "&amp;_xlpm.ai_test&amp;" = "&amp;ROUND(_xlpm.q*_xlpm.f,1)&amp;" "&amp;_xlpm.u,ROUND(_xlpm.q,1)&amp;" "&amp;_xlpm.ai_test)),""),""))))</f>
        <v>0</v>
      </c>
      <c r="AX187" s="6218"/>
      <c r="AY187" s="6272">
        <f t="shared" si="84"/>
        <v>0</v>
      </c>
      <c r="AZ187" s="6240" t="str">
        <f t="shared" si="85"/>
        <v/>
      </c>
      <c r="BA187" s="6195">
        <f t="shared" si="90"/>
        <v>0</v>
      </c>
      <c r="BB187" s="6193" t="str">
        <f t="shared" si="86"/>
        <v/>
      </c>
      <c r="BC187" s="6219"/>
      <c r="BD187" s="6222">
        <f t="shared" si="91"/>
        <v>0</v>
      </c>
      <c r="BE187" s="6220" t="str">
        <f t="shared" si="87"/>
        <v/>
      </c>
      <c r="BF187" s="4" t="s">
        <v>1</v>
      </c>
      <c r="BG187" s="6196">
        <f t="shared" si="88"/>
        <v>0</v>
      </c>
      <c r="BH187" s="6197">
        <f t="shared" si="89"/>
        <v>0</v>
      </c>
      <c r="BI187"/>
      <c r="BR187"/>
      <c r="BS187"/>
      <c r="BT187"/>
      <c r="BU187"/>
      <c r="BV187"/>
      <c r="BW187"/>
      <c r="BX187" s="20" t="str">
        <f t="shared" si="70"/>
        <v>►</v>
      </c>
      <c r="BY187"/>
      <c r="BZ187"/>
      <c r="CA187"/>
      <c r="CB187"/>
      <c r="CC187"/>
      <c r="CD187" s="2"/>
      <c r="CE187"/>
      <c r="CF187"/>
      <c r="CG187"/>
      <c r="CH187"/>
      <c r="CI187"/>
      <c r="CJ187"/>
      <c r="CK187"/>
      <c r="CM187"/>
      <c r="CN187"/>
      <c r="CO187"/>
      <c r="CP187"/>
      <c r="CQ187"/>
      <c r="CR187"/>
      <c r="CS187"/>
      <c r="CU187"/>
      <c r="CV187"/>
      <c r="CW187"/>
      <c r="CX187"/>
      <c r="CY187"/>
      <c r="CZ187"/>
      <c r="DA187"/>
      <c r="DC187" s="5">
        <v>1</v>
      </c>
    </row>
    <row r="188" spans="1:107" s="1" customFormat="1" ht="21" customHeight="1">
      <c r="A188" s="5641" t="s">
        <v>1</v>
      </c>
      <c r="B188" s="5662" t="str">
        <f t="shared" si="69"/>
        <v>►</v>
      </c>
      <c r="C188" s="5825" cm="1">
        <f t="array" ref="C188">SUMPRODUCT(LEN(D188:J188))</f>
        <v>0</v>
      </c>
      <c r="D188" s="5275"/>
      <c r="E188" s="1361"/>
      <c r="F188" s="1361"/>
      <c r="G188" s="1361"/>
      <c r="H188" s="1361"/>
      <c r="I188" s="1361"/>
      <c r="J188" s="5276"/>
      <c r="K188" s="106" t="s">
        <v>1</v>
      </c>
      <c r="L188" s="1021" t="s">
        <v>26</v>
      </c>
      <c r="M188" s="6787"/>
      <c r="N188" s="6787"/>
      <c r="O188" s="6787"/>
      <c r="P188" s="6788"/>
      <c r="Q188" s="6789"/>
      <c r="R188" s="6790"/>
      <c r="S188" s="6786"/>
      <c r="T188" s="6791"/>
      <c r="U188" s="6844"/>
      <c r="V188" s="6791"/>
      <c r="W188" s="8487"/>
      <c r="X188" s="6871"/>
      <c r="Y188" s="6793"/>
      <c r="Z188" s="6794"/>
      <c r="AA188" s="6795"/>
      <c r="AB188" s="6796"/>
      <c r="AC188" s="6797"/>
      <c r="AD188" s="6798"/>
      <c r="AE188" s="4" t="s">
        <v>1</v>
      </c>
      <c r="AF188" s="6202" t="str">
        <f t="shared" si="71"/>
        <v>►</v>
      </c>
      <c r="AG188" s="6234" t="str">
        <f t="shared" si="72"/>
        <v/>
      </c>
      <c r="AH188" s="6732" t="str">
        <f t="shared" si="73"/>
        <v/>
      </c>
      <c r="AI188" s="6234" t="str">
        <f t="shared" si="74"/>
        <v/>
      </c>
      <c r="AJ188" s="6732" t="str">
        <f t="shared" si="75"/>
        <v/>
      </c>
      <c r="AK188" s="6732">
        <f t="shared" si="76"/>
        <v>0</v>
      </c>
      <c r="AL188" s="6230" t="str" cm="1">
        <f t="array" ref="AL188">IF(AF188&lt;&gt;"A","",IFERROR((IFERROR(_xlfn.XLOOKUP(TRIM(SUBSTITUTE(U188,CHAR(160)," ")),$BJ$15:$BJ$62,$BM$15:$BM$62),IFERROR(_xlfn.XLOOKUP(TRIM(SUBSTITUTE(U188,CHAR(160)," ")),$BK$15:$BK$62,$BM$15:$BM$62),_xlfn.XLOOKUP(TRIM(SUBSTITUTE(U188,CHAR(160)," ")),$BL$15:$BL$62,$BM$15:$BM$62))))*T188*IF(ISBLANK(Q188),1,Q188)+IFERROR(_xlfn.XLOOKUP("RECHERCHEX",TRIM(L188:AD188),L188:AD188),0),0))</f>
        <v/>
      </c>
      <c r="AM188" s="6229">
        <f t="shared" si="77"/>
        <v>0</v>
      </c>
      <c r="AN188" s="6857" t="str">
        <f t="shared" si="92"/>
        <v/>
      </c>
      <c r="AO188" s="392">
        <f t="shared" si="78"/>
        <v>0</v>
      </c>
      <c r="AP188" s="392">
        <f t="shared" si="79"/>
        <v>0</v>
      </c>
      <c r="AQ188" s="6190">
        <f t="shared" si="80"/>
        <v>0</v>
      </c>
      <c r="AR188" s="6858" t="str">
        <f t="shared" si="81"/>
        <v/>
      </c>
      <c r="AS188" s="6217"/>
      <c r="AT188" s="6217"/>
      <c r="AU188" s="6271">
        <f t="shared" si="82"/>
        <v>0</v>
      </c>
      <c r="AV188" s="6242">
        <f t="shared" si="83"/>
        <v>0</v>
      </c>
      <c r="AW188" s="6188" cm="1">
        <f t="array" ref="AW188">IF(AK188&lt;&gt;1,0,IF(OR(AU188="",N(AU188)&lt;=0.000000001),"",IF(OR(AO188="",N(AO188)&lt;=0.000000001),0,IF(ISNUMBER(AU188),IFERROR(_xlfn.LET(_xlpm.ai_test,TRIM(AJ188),_xlpm.r,IFERROR(_xlfn.XLOOKUP(_xlpm.ai_test,$BJ$15:$BJ$62,ROW($BJ$15:$BJ$62),0,1),IFERROR(_xlfn.XLOOKUP(_xlpm.ai_test,$BK$15:$BK$62,ROW($BK$15:$BK$62),0,1),_xlfn.XLOOKUP(_xlpm.ai_test,$BL$15:$BL$62,ROW($BL$15:$BL$62),0,1))),_xlpm.p,_xlpm.r-MIN(ROW($BJ$15:$BJ$62))+1,_xlpm.f,INDEX($BM$15:$BM$62,_xlpm.p),_xlpm.u,INDEX($BN$15:$BN$62,_xlpm.p),_xlpm.s,INDEX($BP$15:$BP$62,_xlpm.p),_xlpm.q,N(AU188)/_xlpm.f,IF(_xlpm.q&gt;=_xlpm.s,ROUND(_xlpm.q,1)&amp;" "&amp;_xlpm.ai_test&amp;" = "&amp;ROUND(_xlpm.q*_xlpm.f,1)&amp;" "&amp;_xlpm.u,ROUND(_xlpm.q,1)&amp;" "&amp;_xlpm.ai_test)),""),""))))</f>
        <v>0</v>
      </c>
      <c r="AX188" s="6218"/>
      <c r="AY188" s="6271">
        <f t="shared" si="84"/>
        <v>0</v>
      </c>
      <c r="AZ188" s="6242" t="str">
        <f t="shared" si="85"/>
        <v/>
      </c>
      <c r="BA188" s="6194">
        <f t="shared" si="90"/>
        <v>0</v>
      </c>
      <c r="BB188" s="6192" t="str">
        <f t="shared" si="86"/>
        <v/>
      </c>
      <c r="BC188" s="6219"/>
      <c r="BD188" s="6221">
        <f t="shared" si="91"/>
        <v>0</v>
      </c>
      <c r="BE188" s="6220" t="str">
        <f t="shared" si="87"/>
        <v/>
      </c>
      <c r="BF188" s="4" t="s">
        <v>1</v>
      </c>
      <c r="BG188" s="6196">
        <f t="shared" si="88"/>
        <v>0</v>
      </c>
      <c r="BH188" s="6197">
        <f t="shared" si="89"/>
        <v>0</v>
      </c>
      <c r="BI188"/>
      <c r="BR188"/>
      <c r="BS188"/>
      <c r="BT188"/>
      <c r="BU188"/>
      <c r="BV188"/>
      <c r="BW188"/>
      <c r="BX188" s="20" t="str">
        <f t="shared" si="70"/>
        <v>►</v>
      </c>
      <c r="BY188"/>
      <c r="BZ188"/>
      <c r="CA188"/>
      <c r="CB188"/>
      <c r="CC188"/>
      <c r="CD188" s="2"/>
      <c r="CE188"/>
      <c r="CF188"/>
      <c r="CG188"/>
      <c r="CH188"/>
      <c r="CI188"/>
      <c r="CJ188"/>
      <c r="CK188"/>
      <c r="CM188"/>
      <c r="CN188"/>
      <c r="CO188"/>
      <c r="CP188"/>
      <c r="CQ188"/>
      <c r="CR188"/>
      <c r="CS188"/>
      <c r="CU188"/>
      <c r="CV188"/>
      <c r="CW188"/>
      <c r="CX188"/>
      <c r="CY188"/>
      <c r="CZ188"/>
      <c r="DA188"/>
      <c r="DC188" s="5">
        <v>1</v>
      </c>
    </row>
    <row r="189" spans="1:107" s="1" customFormat="1" ht="21" customHeight="1">
      <c r="A189" s="5641" t="s">
        <v>1</v>
      </c>
      <c r="B189" s="5662" t="str">
        <f t="shared" si="69"/>
        <v>►</v>
      </c>
      <c r="C189" s="5825" cm="1">
        <f t="array" ref="C189">SUMPRODUCT(LEN(D189:J189))</f>
        <v>0</v>
      </c>
      <c r="D189" s="5275"/>
      <c r="E189" s="1361"/>
      <c r="F189" s="1361"/>
      <c r="G189" s="1361"/>
      <c r="H189" s="1361"/>
      <c r="I189" s="1361"/>
      <c r="J189" s="5276"/>
      <c r="K189" s="106" t="s">
        <v>1</v>
      </c>
      <c r="L189" s="1021" t="s">
        <v>26</v>
      </c>
      <c r="M189" s="6787"/>
      <c r="N189" s="6787"/>
      <c r="O189" s="6787"/>
      <c r="P189" s="6788"/>
      <c r="Q189" s="6789"/>
      <c r="R189" s="6790"/>
      <c r="S189" s="6786"/>
      <c r="T189" s="6791"/>
      <c r="U189" s="6844"/>
      <c r="V189" s="6791"/>
      <c r="W189" s="8487"/>
      <c r="X189" s="6871"/>
      <c r="Y189" s="6793"/>
      <c r="Z189" s="6794"/>
      <c r="AA189" s="6795"/>
      <c r="AB189" s="6796"/>
      <c r="AC189" s="6797"/>
      <c r="AD189" s="6798"/>
      <c r="AE189" s="4" t="s">
        <v>1</v>
      </c>
      <c r="AF189" s="6202" t="str">
        <f t="shared" si="71"/>
        <v>►</v>
      </c>
      <c r="AG189" s="6234" t="str">
        <f t="shared" si="72"/>
        <v/>
      </c>
      <c r="AH189" s="6732" t="str">
        <f t="shared" si="73"/>
        <v/>
      </c>
      <c r="AI189" s="6234" t="str">
        <f t="shared" si="74"/>
        <v/>
      </c>
      <c r="AJ189" s="6732" t="str">
        <f t="shared" si="75"/>
        <v/>
      </c>
      <c r="AK189" s="6732">
        <f t="shared" si="76"/>
        <v>0</v>
      </c>
      <c r="AL189" s="6230" t="str" cm="1">
        <f t="array" ref="AL189">IF(AF189&lt;&gt;"A","",IFERROR((IFERROR(_xlfn.XLOOKUP(TRIM(SUBSTITUTE(U189,CHAR(160)," ")),$BJ$15:$BJ$62,$BM$15:$BM$62),IFERROR(_xlfn.XLOOKUP(TRIM(SUBSTITUTE(U189,CHAR(160)," ")),$BK$15:$BK$62,$BM$15:$BM$62),_xlfn.XLOOKUP(TRIM(SUBSTITUTE(U189,CHAR(160)," ")),$BL$15:$BL$62,$BM$15:$BM$62))))*T189*IF(ISBLANK(Q189),1,Q189)+IFERROR(_xlfn.XLOOKUP("RECHERCHEX",TRIM(L189:AD189),L189:AD189),0),0))</f>
        <v/>
      </c>
      <c r="AM189" s="6229">
        <f t="shared" si="77"/>
        <v>0</v>
      </c>
      <c r="AN189" s="6857" t="str">
        <f t="shared" si="92"/>
        <v/>
      </c>
      <c r="AO189" s="392">
        <f t="shared" si="78"/>
        <v>0</v>
      </c>
      <c r="AP189" s="392">
        <f t="shared" si="79"/>
        <v>0</v>
      </c>
      <c r="AQ189" s="6191">
        <f t="shared" si="80"/>
        <v>0</v>
      </c>
      <c r="AR189" s="6859" t="str">
        <f t="shared" si="81"/>
        <v/>
      </c>
      <c r="AS189" s="6217"/>
      <c r="AT189" s="6217"/>
      <c r="AU189" s="6272">
        <f t="shared" si="82"/>
        <v>0</v>
      </c>
      <c r="AV189" s="6240">
        <f t="shared" si="83"/>
        <v>0</v>
      </c>
      <c r="AW189" s="6189" cm="1">
        <f t="array" ref="AW189">IF(AK189&lt;&gt;1,0,IF(OR(AU189="",N(AU189)&lt;=0.000000001),"",IF(OR(AO189="",N(AO189)&lt;=0.000000001),0,IF(ISNUMBER(AU189),IFERROR(_xlfn.LET(_xlpm.ai_test,TRIM(AJ189),_xlpm.r,IFERROR(_xlfn.XLOOKUP(_xlpm.ai_test,$BJ$15:$BJ$62,ROW($BJ$15:$BJ$62),0,1),IFERROR(_xlfn.XLOOKUP(_xlpm.ai_test,$BK$15:$BK$62,ROW($BK$15:$BK$62),0,1),_xlfn.XLOOKUP(_xlpm.ai_test,$BL$15:$BL$62,ROW($BL$15:$BL$62),0,1))),_xlpm.p,_xlpm.r-MIN(ROW($BJ$15:$BJ$62))+1,_xlpm.f,INDEX($BM$15:$BM$62,_xlpm.p),_xlpm.u,INDEX($BN$15:$BN$62,_xlpm.p),_xlpm.s,INDEX($BP$15:$BP$62,_xlpm.p),_xlpm.q,N(AU189)/_xlpm.f,IF(_xlpm.q&gt;=_xlpm.s,ROUND(_xlpm.q,1)&amp;" "&amp;_xlpm.ai_test&amp;" = "&amp;ROUND(_xlpm.q*_xlpm.f,1)&amp;" "&amp;_xlpm.u,ROUND(_xlpm.q,1)&amp;" "&amp;_xlpm.ai_test)),""),""))))</f>
        <v>0</v>
      </c>
      <c r="AX189" s="6218"/>
      <c r="AY189" s="6272">
        <f t="shared" si="84"/>
        <v>0</v>
      </c>
      <c r="AZ189" s="6240" t="str">
        <f t="shared" si="85"/>
        <v/>
      </c>
      <c r="BA189" s="6195">
        <f t="shared" si="90"/>
        <v>0</v>
      </c>
      <c r="BB189" s="6193" t="str">
        <f t="shared" si="86"/>
        <v/>
      </c>
      <c r="BC189" s="6219"/>
      <c r="BD189" s="6222">
        <f t="shared" si="91"/>
        <v>0</v>
      </c>
      <c r="BE189" s="6220" t="str">
        <f t="shared" si="87"/>
        <v/>
      </c>
      <c r="BF189" s="4" t="s">
        <v>1</v>
      </c>
      <c r="BG189" s="6196">
        <f t="shared" si="88"/>
        <v>0</v>
      </c>
      <c r="BH189" s="6197">
        <f t="shared" si="89"/>
        <v>0</v>
      </c>
      <c r="BI189"/>
      <c r="BR189"/>
      <c r="BS189"/>
      <c r="BT189"/>
      <c r="BU189"/>
      <c r="BV189"/>
      <c r="BW189"/>
      <c r="BX189" s="20" t="str">
        <f t="shared" si="70"/>
        <v>►</v>
      </c>
      <c r="BY189"/>
      <c r="BZ189"/>
      <c r="CA189"/>
      <c r="CB189"/>
      <c r="CC189"/>
      <c r="CD189" s="2"/>
      <c r="CE189"/>
      <c r="CF189"/>
      <c r="CG189"/>
      <c r="CH189"/>
      <c r="CI189"/>
      <c r="CJ189"/>
      <c r="CK189"/>
      <c r="CM189"/>
      <c r="CN189"/>
      <c r="CO189"/>
      <c r="CP189"/>
      <c r="CQ189"/>
      <c r="CR189"/>
      <c r="CS189"/>
      <c r="CU189"/>
      <c r="CV189"/>
      <c r="CW189"/>
      <c r="CX189"/>
      <c r="CY189"/>
      <c r="CZ189"/>
      <c r="DA189"/>
      <c r="DC189" s="5">
        <v>1</v>
      </c>
    </row>
    <row r="190" spans="1:107" s="1" customFormat="1" ht="21" customHeight="1">
      <c r="A190" s="5641" t="s">
        <v>1</v>
      </c>
      <c r="B190" s="5662" t="str">
        <f t="shared" si="69"/>
        <v>►</v>
      </c>
      <c r="C190" s="5825" cm="1">
        <f t="array" ref="C190">SUMPRODUCT(LEN(D190:J190))</f>
        <v>0</v>
      </c>
      <c r="D190" s="5275"/>
      <c r="E190" s="1361"/>
      <c r="F190" s="1361"/>
      <c r="G190" s="1361"/>
      <c r="H190" s="1361"/>
      <c r="I190" s="1361"/>
      <c r="J190" s="5276"/>
      <c r="K190" s="106" t="s">
        <v>1</v>
      </c>
      <c r="L190" s="1021" t="s">
        <v>26</v>
      </c>
      <c r="M190" s="6787"/>
      <c r="N190" s="6787"/>
      <c r="O190" s="6787"/>
      <c r="P190" s="6788"/>
      <c r="Q190" s="6789"/>
      <c r="R190" s="6790"/>
      <c r="S190" s="6786"/>
      <c r="T190" s="6791"/>
      <c r="U190" s="6844"/>
      <c r="V190" s="6791"/>
      <c r="W190" s="8487"/>
      <c r="X190" s="6871"/>
      <c r="Y190" s="6793"/>
      <c r="Z190" s="6794"/>
      <c r="AA190" s="6795"/>
      <c r="AB190" s="6796"/>
      <c r="AC190" s="6797"/>
      <c r="AD190" s="6798"/>
      <c r="AE190" s="4" t="s">
        <v>1</v>
      </c>
      <c r="AF190" s="6202" t="str">
        <f t="shared" si="71"/>
        <v>►</v>
      </c>
      <c r="AG190" s="6234" t="str">
        <f t="shared" si="72"/>
        <v/>
      </c>
      <c r="AH190" s="6732" t="str">
        <f t="shared" si="73"/>
        <v/>
      </c>
      <c r="AI190" s="6234" t="str">
        <f t="shared" si="74"/>
        <v/>
      </c>
      <c r="AJ190" s="6732" t="str">
        <f t="shared" si="75"/>
        <v/>
      </c>
      <c r="AK190" s="6732">
        <f t="shared" si="76"/>
        <v>0</v>
      </c>
      <c r="AL190" s="6230" t="str" cm="1">
        <f t="array" ref="AL190">IF(AF190&lt;&gt;"A","",IFERROR((IFERROR(_xlfn.XLOOKUP(TRIM(SUBSTITUTE(U190,CHAR(160)," ")),$BJ$15:$BJ$62,$BM$15:$BM$62),IFERROR(_xlfn.XLOOKUP(TRIM(SUBSTITUTE(U190,CHAR(160)," ")),$BK$15:$BK$62,$BM$15:$BM$62),_xlfn.XLOOKUP(TRIM(SUBSTITUTE(U190,CHAR(160)," ")),$BL$15:$BL$62,$BM$15:$BM$62))))*T190*IF(ISBLANK(Q190),1,Q190)+IFERROR(_xlfn.XLOOKUP("RECHERCHEX",TRIM(L190:AD190),L190:AD190),0),0))</f>
        <v/>
      </c>
      <c r="AM190" s="6229">
        <f t="shared" si="77"/>
        <v>0</v>
      </c>
      <c r="AN190" s="6857" t="str">
        <f t="shared" si="92"/>
        <v/>
      </c>
      <c r="AO190" s="392">
        <f t="shared" si="78"/>
        <v>0</v>
      </c>
      <c r="AP190" s="392">
        <f t="shared" si="79"/>
        <v>0</v>
      </c>
      <c r="AQ190" s="6190">
        <f t="shared" si="80"/>
        <v>0</v>
      </c>
      <c r="AR190" s="6858" t="str">
        <f t="shared" si="81"/>
        <v/>
      </c>
      <c r="AS190" s="6217"/>
      <c r="AT190" s="6217"/>
      <c r="AU190" s="6271">
        <f t="shared" si="82"/>
        <v>0</v>
      </c>
      <c r="AV190" s="6242">
        <f t="shared" si="83"/>
        <v>0</v>
      </c>
      <c r="AW190" s="6188" cm="1">
        <f t="array" ref="AW190">IF(AK190&lt;&gt;1,0,IF(OR(AU190="",N(AU190)&lt;=0.000000001),"",IF(OR(AO190="",N(AO190)&lt;=0.000000001),0,IF(ISNUMBER(AU190),IFERROR(_xlfn.LET(_xlpm.ai_test,TRIM(AJ190),_xlpm.r,IFERROR(_xlfn.XLOOKUP(_xlpm.ai_test,$BJ$15:$BJ$62,ROW($BJ$15:$BJ$62),0,1),IFERROR(_xlfn.XLOOKUP(_xlpm.ai_test,$BK$15:$BK$62,ROW($BK$15:$BK$62),0,1),_xlfn.XLOOKUP(_xlpm.ai_test,$BL$15:$BL$62,ROW($BL$15:$BL$62),0,1))),_xlpm.p,_xlpm.r-MIN(ROW($BJ$15:$BJ$62))+1,_xlpm.f,INDEX($BM$15:$BM$62,_xlpm.p),_xlpm.u,INDEX($BN$15:$BN$62,_xlpm.p),_xlpm.s,INDEX($BP$15:$BP$62,_xlpm.p),_xlpm.q,N(AU190)/_xlpm.f,IF(_xlpm.q&gt;=_xlpm.s,ROUND(_xlpm.q,1)&amp;" "&amp;_xlpm.ai_test&amp;" = "&amp;ROUND(_xlpm.q*_xlpm.f,1)&amp;" "&amp;_xlpm.u,ROUND(_xlpm.q,1)&amp;" "&amp;_xlpm.ai_test)),""),""))))</f>
        <v>0</v>
      </c>
      <c r="AX190" s="6218"/>
      <c r="AY190" s="6271">
        <f t="shared" si="84"/>
        <v>0</v>
      </c>
      <c r="AZ190" s="6242" t="str">
        <f t="shared" si="85"/>
        <v/>
      </c>
      <c r="BA190" s="6194">
        <f t="shared" si="90"/>
        <v>0</v>
      </c>
      <c r="BB190" s="6192" t="str">
        <f t="shared" si="86"/>
        <v/>
      </c>
      <c r="BC190" s="6219"/>
      <c r="BD190" s="6221">
        <f t="shared" si="91"/>
        <v>0</v>
      </c>
      <c r="BE190" s="6220" t="str">
        <f t="shared" si="87"/>
        <v/>
      </c>
      <c r="BF190" s="4" t="s">
        <v>1</v>
      </c>
      <c r="BG190" s="6196">
        <f t="shared" si="88"/>
        <v>0</v>
      </c>
      <c r="BH190" s="6197">
        <f t="shared" si="89"/>
        <v>0</v>
      </c>
      <c r="BI190"/>
      <c r="BR190"/>
      <c r="BS190"/>
      <c r="BT190"/>
      <c r="BU190"/>
      <c r="BV190"/>
      <c r="BW190"/>
      <c r="BX190" s="20" t="str">
        <f t="shared" si="70"/>
        <v>►</v>
      </c>
      <c r="BY190"/>
      <c r="BZ190"/>
      <c r="CA190"/>
      <c r="CB190"/>
      <c r="CC190"/>
      <c r="CD190" s="2"/>
      <c r="CE190"/>
      <c r="CF190"/>
      <c r="CG190"/>
      <c r="CH190"/>
      <c r="CI190"/>
      <c r="CJ190"/>
      <c r="CK190"/>
      <c r="CM190"/>
      <c r="CN190"/>
      <c r="CO190"/>
      <c r="CP190"/>
      <c r="CQ190"/>
      <c r="CR190"/>
      <c r="CS190"/>
      <c r="CU190"/>
      <c r="CV190"/>
      <c r="CW190"/>
      <c r="CX190"/>
      <c r="CY190"/>
      <c r="CZ190"/>
      <c r="DA190"/>
      <c r="DC190" s="5">
        <v>1</v>
      </c>
    </row>
    <row r="191" spans="1:107" s="1" customFormat="1" ht="21" customHeight="1">
      <c r="A191" s="5641" t="s">
        <v>1</v>
      </c>
      <c r="B191" s="5662" t="str">
        <f t="shared" si="69"/>
        <v>►</v>
      </c>
      <c r="C191" s="5825" cm="1">
        <f t="array" ref="C191">SUMPRODUCT(LEN(D191:J191))</f>
        <v>0</v>
      </c>
      <c r="D191" s="5275"/>
      <c r="E191" s="1361"/>
      <c r="F191" s="1361"/>
      <c r="G191" s="1361"/>
      <c r="H191" s="1361"/>
      <c r="I191" s="1361"/>
      <c r="J191" s="5276"/>
      <c r="K191" s="106"/>
      <c r="L191" s="1021" t="s">
        <v>26</v>
      </c>
      <c r="M191" s="6787"/>
      <c r="N191" s="6787"/>
      <c r="O191" s="6787"/>
      <c r="P191" s="6788"/>
      <c r="Q191" s="6789"/>
      <c r="R191" s="6790"/>
      <c r="S191" s="6786"/>
      <c r="T191" s="6791"/>
      <c r="U191" s="6844"/>
      <c r="V191" s="6791"/>
      <c r="W191" s="8487"/>
      <c r="X191" s="6871"/>
      <c r="Y191" s="6793"/>
      <c r="Z191" s="6794"/>
      <c r="AA191" s="6795"/>
      <c r="AB191" s="6796"/>
      <c r="AC191" s="6797"/>
      <c r="AD191" s="6798"/>
      <c r="AE191" s="4" t="s">
        <v>1</v>
      </c>
      <c r="AF191" s="6202" t="str">
        <f t="shared" si="71"/>
        <v>►</v>
      </c>
      <c r="AG191" s="6234" t="str">
        <f t="shared" si="72"/>
        <v/>
      </c>
      <c r="AH191" s="6732" t="str">
        <f t="shared" si="73"/>
        <v/>
      </c>
      <c r="AI191" s="6234" t="str">
        <f t="shared" si="74"/>
        <v/>
      </c>
      <c r="AJ191" s="6732" t="str">
        <f t="shared" si="75"/>
        <v/>
      </c>
      <c r="AK191" s="6732">
        <f t="shared" si="76"/>
        <v>0</v>
      </c>
      <c r="AL191" s="6230" t="str" cm="1">
        <f t="array" ref="AL191">IF(AF191&lt;&gt;"A","",IFERROR((IFERROR(_xlfn.XLOOKUP(TRIM(SUBSTITUTE(U191,CHAR(160)," ")),$BJ$15:$BJ$62,$BM$15:$BM$62),IFERROR(_xlfn.XLOOKUP(TRIM(SUBSTITUTE(U191,CHAR(160)," ")),$BK$15:$BK$62,$BM$15:$BM$62),_xlfn.XLOOKUP(TRIM(SUBSTITUTE(U191,CHAR(160)," ")),$BL$15:$BL$62,$BM$15:$BM$62))))*T191*IF(ISBLANK(Q191),1,Q191)+IFERROR(_xlfn.XLOOKUP("RECHERCHEX",TRIM(L191:AD191),L191:AD191),0),0))</f>
        <v/>
      </c>
      <c r="AM191" s="6229">
        <f t="shared" si="77"/>
        <v>0</v>
      </c>
      <c r="AN191" s="6857" t="str">
        <f t="shared" si="92"/>
        <v/>
      </c>
      <c r="AO191" s="392">
        <f t="shared" si="78"/>
        <v>0</v>
      </c>
      <c r="AP191" s="392">
        <f t="shared" si="79"/>
        <v>0</v>
      </c>
      <c r="AQ191" s="6191">
        <f t="shared" si="80"/>
        <v>0</v>
      </c>
      <c r="AR191" s="6859" t="str">
        <f t="shared" si="81"/>
        <v/>
      </c>
      <c r="AS191" s="6217"/>
      <c r="AT191" s="6217"/>
      <c r="AU191" s="6272">
        <f t="shared" si="82"/>
        <v>0</v>
      </c>
      <c r="AV191" s="6240">
        <f t="shared" si="83"/>
        <v>0</v>
      </c>
      <c r="AW191" s="6189" cm="1">
        <f t="array" ref="AW191">IF(AK191&lt;&gt;1,0,IF(OR(AU191="",N(AU191)&lt;=0.000000001),"",IF(OR(AO191="",N(AO191)&lt;=0.000000001),0,IF(ISNUMBER(AU191),IFERROR(_xlfn.LET(_xlpm.ai_test,TRIM(AJ191),_xlpm.r,IFERROR(_xlfn.XLOOKUP(_xlpm.ai_test,$BJ$15:$BJ$62,ROW($BJ$15:$BJ$62),0,1),IFERROR(_xlfn.XLOOKUP(_xlpm.ai_test,$BK$15:$BK$62,ROW($BK$15:$BK$62),0,1),_xlfn.XLOOKUP(_xlpm.ai_test,$BL$15:$BL$62,ROW($BL$15:$BL$62),0,1))),_xlpm.p,_xlpm.r-MIN(ROW($BJ$15:$BJ$62))+1,_xlpm.f,INDEX($BM$15:$BM$62,_xlpm.p),_xlpm.u,INDEX($BN$15:$BN$62,_xlpm.p),_xlpm.s,INDEX($BP$15:$BP$62,_xlpm.p),_xlpm.q,N(AU191)/_xlpm.f,IF(_xlpm.q&gt;=_xlpm.s,ROUND(_xlpm.q,1)&amp;" "&amp;_xlpm.ai_test&amp;" = "&amp;ROUND(_xlpm.q*_xlpm.f,1)&amp;" "&amp;_xlpm.u,ROUND(_xlpm.q,1)&amp;" "&amp;_xlpm.ai_test)),""),""))))</f>
        <v>0</v>
      </c>
      <c r="AX191" s="6218"/>
      <c r="AY191" s="6272">
        <f t="shared" si="84"/>
        <v>0</v>
      </c>
      <c r="AZ191" s="6240" t="str">
        <f t="shared" si="85"/>
        <v/>
      </c>
      <c r="BA191" s="6195">
        <f t="shared" si="90"/>
        <v>0</v>
      </c>
      <c r="BB191" s="6193" t="str">
        <f t="shared" si="86"/>
        <v/>
      </c>
      <c r="BC191" s="6219"/>
      <c r="BD191" s="6222">
        <f t="shared" si="91"/>
        <v>0</v>
      </c>
      <c r="BE191" s="6220" t="str">
        <f t="shared" si="87"/>
        <v/>
      </c>
      <c r="BF191" s="4" t="s">
        <v>1</v>
      </c>
      <c r="BG191" s="6196">
        <f t="shared" si="88"/>
        <v>0</v>
      </c>
      <c r="BH191" s="6197">
        <f t="shared" si="89"/>
        <v>0</v>
      </c>
      <c r="BI191"/>
      <c r="BR191"/>
      <c r="BS191"/>
      <c r="BT191"/>
      <c r="BU191"/>
      <c r="BV191"/>
      <c r="BW191"/>
      <c r="BX191" s="20" t="str">
        <f t="shared" si="70"/>
        <v>►</v>
      </c>
      <c r="BY191"/>
      <c r="BZ191"/>
      <c r="CA191"/>
      <c r="CB191"/>
      <c r="CC191"/>
      <c r="CD191" s="2"/>
      <c r="CE191"/>
      <c r="CF191"/>
      <c r="CG191"/>
      <c r="CH191"/>
      <c r="CI191"/>
      <c r="CJ191"/>
      <c r="CK191"/>
      <c r="CM191"/>
      <c r="CN191"/>
      <c r="CO191"/>
      <c r="CP191"/>
      <c r="CQ191"/>
      <c r="CR191"/>
      <c r="CS191"/>
      <c r="CU191"/>
      <c r="CV191"/>
      <c r="CW191"/>
      <c r="CX191"/>
      <c r="CY191"/>
      <c r="CZ191"/>
      <c r="DA191"/>
      <c r="DC191" s="5">
        <v>1</v>
      </c>
    </row>
    <row r="192" spans="1:107" s="1" customFormat="1" ht="21" customHeight="1">
      <c r="A192" s="5641" t="s">
        <v>1</v>
      </c>
      <c r="B192" s="5662" t="str">
        <f t="shared" si="69"/>
        <v>►</v>
      </c>
      <c r="C192" s="5825" cm="1">
        <f t="array" ref="C192">SUMPRODUCT(LEN(D192:J192))</f>
        <v>0</v>
      </c>
      <c r="D192" s="5275"/>
      <c r="E192" s="1361"/>
      <c r="F192" s="1361"/>
      <c r="G192" s="1361"/>
      <c r="H192" s="1361"/>
      <c r="I192" s="1361"/>
      <c r="J192" s="5276"/>
      <c r="K192" s="106"/>
      <c r="L192" s="1021" t="s">
        <v>26</v>
      </c>
      <c r="M192" s="6787"/>
      <c r="N192" s="6787"/>
      <c r="O192" s="6787"/>
      <c r="P192" s="6788"/>
      <c r="Q192" s="6789"/>
      <c r="R192" s="6790"/>
      <c r="S192" s="6786"/>
      <c r="T192" s="6791"/>
      <c r="U192" s="6844"/>
      <c r="V192" s="6791"/>
      <c r="W192" s="8487"/>
      <c r="X192" s="6871"/>
      <c r="Y192" s="6793"/>
      <c r="Z192" s="6794"/>
      <c r="AA192" s="6795"/>
      <c r="AB192" s="6796"/>
      <c r="AC192" s="6797"/>
      <c r="AD192" s="6798"/>
      <c r="AE192" s="4" t="s">
        <v>1</v>
      </c>
      <c r="AF192" s="6202" t="str">
        <f t="shared" si="71"/>
        <v>►</v>
      </c>
      <c r="AG192" s="6234" t="str">
        <f t="shared" si="72"/>
        <v/>
      </c>
      <c r="AH192" s="6732" t="str">
        <f t="shared" si="73"/>
        <v/>
      </c>
      <c r="AI192" s="6234" t="str">
        <f t="shared" si="74"/>
        <v/>
      </c>
      <c r="AJ192" s="6732" t="str">
        <f t="shared" si="75"/>
        <v/>
      </c>
      <c r="AK192" s="6732">
        <f t="shared" si="76"/>
        <v>0</v>
      </c>
      <c r="AL192" s="6230" t="str" cm="1">
        <f t="array" ref="AL192">IF(AF192&lt;&gt;"A","",IFERROR((IFERROR(_xlfn.XLOOKUP(TRIM(SUBSTITUTE(U192,CHAR(160)," ")),$BJ$15:$BJ$62,$BM$15:$BM$62),IFERROR(_xlfn.XLOOKUP(TRIM(SUBSTITUTE(U192,CHAR(160)," ")),$BK$15:$BK$62,$BM$15:$BM$62),_xlfn.XLOOKUP(TRIM(SUBSTITUTE(U192,CHAR(160)," ")),$BL$15:$BL$62,$BM$15:$BM$62))))*T192*IF(ISBLANK(Q192),1,Q192)+IFERROR(_xlfn.XLOOKUP("RECHERCHEX",TRIM(L192:AD192),L192:AD192),0),0))</f>
        <v/>
      </c>
      <c r="AM192" s="6229">
        <f t="shared" si="77"/>
        <v>0</v>
      </c>
      <c r="AN192" s="6857" t="str">
        <f t="shared" si="92"/>
        <v/>
      </c>
      <c r="AO192" s="392">
        <f t="shared" si="78"/>
        <v>0</v>
      </c>
      <c r="AP192" s="392">
        <f t="shared" si="79"/>
        <v>0</v>
      </c>
      <c r="AQ192" s="6190">
        <f t="shared" si="80"/>
        <v>0</v>
      </c>
      <c r="AR192" s="6858" t="str">
        <f t="shared" si="81"/>
        <v/>
      </c>
      <c r="AS192" s="6217"/>
      <c r="AT192" s="6217"/>
      <c r="AU192" s="6271">
        <f t="shared" si="82"/>
        <v>0</v>
      </c>
      <c r="AV192" s="6242">
        <f t="shared" si="83"/>
        <v>0</v>
      </c>
      <c r="AW192" s="6188" cm="1">
        <f t="array" ref="AW192">IF(AK192&lt;&gt;1,0,IF(OR(AU192="",N(AU192)&lt;=0.000000001),"",IF(OR(AO192="",N(AO192)&lt;=0.000000001),0,IF(ISNUMBER(AU192),IFERROR(_xlfn.LET(_xlpm.ai_test,TRIM(AJ192),_xlpm.r,IFERROR(_xlfn.XLOOKUP(_xlpm.ai_test,$BJ$15:$BJ$62,ROW($BJ$15:$BJ$62),0,1),IFERROR(_xlfn.XLOOKUP(_xlpm.ai_test,$BK$15:$BK$62,ROW($BK$15:$BK$62),0,1),_xlfn.XLOOKUP(_xlpm.ai_test,$BL$15:$BL$62,ROW($BL$15:$BL$62),0,1))),_xlpm.p,_xlpm.r-MIN(ROW($BJ$15:$BJ$62))+1,_xlpm.f,INDEX($BM$15:$BM$62,_xlpm.p),_xlpm.u,INDEX($BN$15:$BN$62,_xlpm.p),_xlpm.s,INDEX($BP$15:$BP$62,_xlpm.p),_xlpm.q,N(AU192)/_xlpm.f,IF(_xlpm.q&gt;=_xlpm.s,ROUND(_xlpm.q,1)&amp;" "&amp;_xlpm.ai_test&amp;" = "&amp;ROUND(_xlpm.q*_xlpm.f,1)&amp;" "&amp;_xlpm.u,ROUND(_xlpm.q,1)&amp;" "&amp;_xlpm.ai_test)),""),""))))</f>
        <v>0</v>
      </c>
      <c r="AX192" s="6218"/>
      <c r="AY192" s="6271">
        <f t="shared" si="84"/>
        <v>0</v>
      </c>
      <c r="AZ192" s="6242" t="str">
        <f t="shared" si="85"/>
        <v/>
      </c>
      <c r="BA192" s="6194">
        <f t="shared" si="90"/>
        <v>0</v>
      </c>
      <c r="BB192" s="6192" t="str">
        <f t="shared" si="86"/>
        <v/>
      </c>
      <c r="BC192" s="6219"/>
      <c r="BD192" s="6221">
        <f t="shared" si="91"/>
        <v>0</v>
      </c>
      <c r="BE192" s="6220" t="str">
        <f t="shared" si="87"/>
        <v/>
      </c>
      <c r="BF192" s="4" t="s">
        <v>1</v>
      </c>
      <c r="BG192" s="6196">
        <f t="shared" si="88"/>
        <v>0</v>
      </c>
      <c r="BH192" s="6197">
        <f t="shared" si="89"/>
        <v>0</v>
      </c>
      <c r="BI192"/>
      <c r="BR192"/>
      <c r="BS192"/>
      <c r="BT192"/>
      <c r="BU192"/>
      <c r="BV192"/>
      <c r="BW192"/>
      <c r="BX192" s="20" t="str">
        <f t="shared" si="70"/>
        <v>►</v>
      </c>
      <c r="BY192"/>
      <c r="BZ192"/>
      <c r="CA192"/>
      <c r="CB192"/>
      <c r="CC192"/>
      <c r="CD192" s="2"/>
      <c r="CE192"/>
      <c r="CF192"/>
      <c r="CG192"/>
      <c r="CH192"/>
      <c r="CI192"/>
      <c r="CJ192"/>
      <c r="CK192"/>
      <c r="CM192"/>
      <c r="CN192"/>
      <c r="CO192"/>
      <c r="CP192"/>
      <c r="CQ192"/>
      <c r="CR192"/>
      <c r="CS192"/>
      <c r="CU192"/>
      <c r="CV192"/>
      <c r="CW192"/>
      <c r="CX192"/>
      <c r="CY192"/>
      <c r="CZ192"/>
      <c r="DA192"/>
      <c r="DC192" s="5">
        <v>1</v>
      </c>
    </row>
    <row r="193" spans="1:107" s="1" customFormat="1" ht="21" customHeight="1">
      <c r="A193" s="5641" t="s">
        <v>1</v>
      </c>
      <c r="B193" s="5662" t="str">
        <f t="shared" si="69"/>
        <v>►</v>
      </c>
      <c r="C193" s="5825" cm="1">
        <f t="array" ref="C193">SUMPRODUCT(LEN(D193:J193))</f>
        <v>0</v>
      </c>
      <c r="D193" s="5275"/>
      <c r="E193" s="1361"/>
      <c r="F193" s="1361"/>
      <c r="G193" s="1361"/>
      <c r="H193" s="1361"/>
      <c r="I193" s="1361"/>
      <c r="J193" s="5276"/>
      <c r="K193" s="106"/>
      <c r="L193" s="1021" t="s">
        <v>26</v>
      </c>
      <c r="M193" s="6787"/>
      <c r="N193" s="6787"/>
      <c r="O193" s="6787"/>
      <c r="P193" s="6788"/>
      <c r="Q193" s="6789"/>
      <c r="R193" s="6790"/>
      <c r="S193" s="6786"/>
      <c r="T193" s="6791"/>
      <c r="U193" s="6844"/>
      <c r="V193" s="6791"/>
      <c r="W193" s="8487"/>
      <c r="X193" s="6871"/>
      <c r="Y193" s="6793"/>
      <c r="Z193" s="6794"/>
      <c r="AA193" s="6795"/>
      <c r="AB193" s="6796"/>
      <c r="AC193" s="6797"/>
      <c r="AD193" s="6798"/>
      <c r="AE193" s="4" t="s">
        <v>1</v>
      </c>
      <c r="AF193" s="6202" t="str">
        <f t="shared" si="71"/>
        <v>►</v>
      </c>
      <c r="AG193" s="6234" t="str">
        <f t="shared" si="72"/>
        <v/>
      </c>
      <c r="AH193" s="6732" t="str">
        <f t="shared" si="73"/>
        <v/>
      </c>
      <c r="AI193" s="6234" t="str">
        <f t="shared" si="74"/>
        <v/>
      </c>
      <c r="AJ193" s="6732" t="str">
        <f t="shared" si="75"/>
        <v/>
      </c>
      <c r="AK193" s="6732">
        <f t="shared" si="76"/>
        <v>0</v>
      </c>
      <c r="AL193" s="6230" t="str" cm="1">
        <f t="array" ref="AL193">IF(AF193&lt;&gt;"A","",IFERROR((IFERROR(_xlfn.XLOOKUP(TRIM(SUBSTITUTE(U193,CHAR(160)," ")),$BJ$15:$BJ$62,$BM$15:$BM$62),IFERROR(_xlfn.XLOOKUP(TRIM(SUBSTITUTE(U193,CHAR(160)," ")),$BK$15:$BK$62,$BM$15:$BM$62),_xlfn.XLOOKUP(TRIM(SUBSTITUTE(U193,CHAR(160)," ")),$BL$15:$BL$62,$BM$15:$BM$62))))*T193*IF(ISBLANK(Q193),1,Q193)+IFERROR(_xlfn.XLOOKUP("RECHERCHEX",TRIM(L193:AD193),L193:AD193),0),0))</f>
        <v/>
      </c>
      <c r="AM193" s="6229">
        <f t="shared" si="77"/>
        <v>0</v>
      </c>
      <c r="AN193" s="6857" t="str">
        <f t="shared" si="92"/>
        <v/>
      </c>
      <c r="AO193" s="392">
        <f t="shared" si="78"/>
        <v>0</v>
      </c>
      <c r="AP193" s="392">
        <f t="shared" si="79"/>
        <v>0</v>
      </c>
      <c r="AQ193" s="6191">
        <f t="shared" si="80"/>
        <v>0</v>
      </c>
      <c r="AR193" s="6859" t="str">
        <f t="shared" si="81"/>
        <v/>
      </c>
      <c r="AS193" s="6217"/>
      <c r="AT193" s="6217"/>
      <c r="AU193" s="6272">
        <f t="shared" si="82"/>
        <v>0</v>
      </c>
      <c r="AV193" s="6240">
        <f t="shared" si="83"/>
        <v>0</v>
      </c>
      <c r="AW193" s="6189" cm="1">
        <f t="array" ref="AW193">IF(AK193&lt;&gt;1,0,IF(OR(AU193="",N(AU193)&lt;=0.000000001),"",IF(OR(AO193="",N(AO193)&lt;=0.000000001),0,IF(ISNUMBER(AU193),IFERROR(_xlfn.LET(_xlpm.ai_test,TRIM(AJ193),_xlpm.r,IFERROR(_xlfn.XLOOKUP(_xlpm.ai_test,$BJ$15:$BJ$62,ROW($BJ$15:$BJ$62),0,1),IFERROR(_xlfn.XLOOKUP(_xlpm.ai_test,$BK$15:$BK$62,ROW($BK$15:$BK$62),0,1),_xlfn.XLOOKUP(_xlpm.ai_test,$BL$15:$BL$62,ROW($BL$15:$BL$62),0,1))),_xlpm.p,_xlpm.r-MIN(ROW($BJ$15:$BJ$62))+1,_xlpm.f,INDEX($BM$15:$BM$62,_xlpm.p),_xlpm.u,INDEX($BN$15:$BN$62,_xlpm.p),_xlpm.s,INDEX($BP$15:$BP$62,_xlpm.p),_xlpm.q,N(AU193)/_xlpm.f,IF(_xlpm.q&gt;=_xlpm.s,ROUND(_xlpm.q,1)&amp;" "&amp;_xlpm.ai_test&amp;" = "&amp;ROUND(_xlpm.q*_xlpm.f,1)&amp;" "&amp;_xlpm.u,ROUND(_xlpm.q,1)&amp;" "&amp;_xlpm.ai_test)),""),""))))</f>
        <v>0</v>
      </c>
      <c r="AX193" s="6218"/>
      <c r="AY193" s="6272">
        <f t="shared" si="84"/>
        <v>0</v>
      </c>
      <c r="AZ193" s="6240" t="str">
        <f t="shared" si="85"/>
        <v/>
      </c>
      <c r="BA193" s="6195">
        <f t="shared" si="90"/>
        <v>0</v>
      </c>
      <c r="BB193" s="6193" t="str">
        <f t="shared" si="86"/>
        <v/>
      </c>
      <c r="BC193" s="6219"/>
      <c r="BD193" s="6222">
        <f t="shared" si="91"/>
        <v>0</v>
      </c>
      <c r="BE193" s="6220" t="str">
        <f t="shared" si="87"/>
        <v/>
      </c>
      <c r="BF193" s="4" t="s">
        <v>1</v>
      </c>
      <c r="BG193" s="6196">
        <f t="shared" si="88"/>
        <v>0</v>
      </c>
      <c r="BH193" s="6197">
        <f t="shared" si="89"/>
        <v>0</v>
      </c>
      <c r="BI193"/>
      <c r="BR193"/>
      <c r="BS193"/>
      <c r="BT193"/>
      <c r="BU193"/>
      <c r="BV193"/>
      <c r="BW193"/>
      <c r="BX193" s="20" t="str">
        <f t="shared" si="70"/>
        <v>►</v>
      </c>
      <c r="BY193"/>
      <c r="BZ193"/>
      <c r="CA193"/>
      <c r="CB193"/>
      <c r="CC193"/>
      <c r="CD193" s="2"/>
      <c r="CE193"/>
      <c r="CF193"/>
      <c r="CG193"/>
      <c r="CH193"/>
      <c r="CI193"/>
      <c r="CJ193"/>
      <c r="CK193"/>
      <c r="CM193"/>
      <c r="CN193"/>
      <c r="CO193"/>
      <c r="CP193"/>
      <c r="CQ193"/>
      <c r="CR193"/>
      <c r="CS193"/>
      <c r="CU193"/>
      <c r="CV193"/>
      <c r="CW193"/>
      <c r="CX193"/>
      <c r="CY193"/>
      <c r="CZ193"/>
      <c r="DA193"/>
      <c r="DC193" s="5">
        <v>1</v>
      </c>
    </row>
    <row r="194" spans="1:107" s="1" customFormat="1" ht="21" customHeight="1">
      <c r="A194" s="5641" t="s">
        <v>1</v>
      </c>
      <c r="B194" s="5662" t="str">
        <f t="shared" si="69"/>
        <v>►</v>
      </c>
      <c r="C194" s="5825" cm="1">
        <f t="array" ref="C194">SUMPRODUCT(LEN(D194:J194))</f>
        <v>0</v>
      </c>
      <c r="D194" s="5275"/>
      <c r="E194" s="1361"/>
      <c r="F194" s="1361"/>
      <c r="G194" s="1361"/>
      <c r="H194" s="1361"/>
      <c r="I194" s="1361"/>
      <c r="J194" s="5276"/>
      <c r="K194" s="106"/>
      <c r="L194" s="1021" t="s">
        <v>26</v>
      </c>
      <c r="M194" s="6787"/>
      <c r="N194" s="6787"/>
      <c r="O194" s="6787"/>
      <c r="P194" s="6788"/>
      <c r="Q194" s="6789"/>
      <c r="R194" s="6790"/>
      <c r="S194" s="6786"/>
      <c r="T194" s="6791"/>
      <c r="U194" s="6844"/>
      <c r="V194" s="6791"/>
      <c r="W194" s="8487"/>
      <c r="X194" s="6871"/>
      <c r="Y194" s="6793"/>
      <c r="Z194" s="6794"/>
      <c r="AA194" s="6795"/>
      <c r="AB194" s="6796"/>
      <c r="AC194" s="6797"/>
      <c r="AD194" s="6798"/>
      <c r="AE194" s="4" t="s">
        <v>1</v>
      </c>
      <c r="AF194" s="6202" t="str">
        <f t="shared" si="71"/>
        <v>►</v>
      </c>
      <c r="AG194" s="6234" t="str">
        <f t="shared" si="72"/>
        <v/>
      </c>
      <c r="AH194" s="6732" t="str">
        <f t="shared" si="73"/>
        <v/>
      </c>
      <c r="AI194" s="6234" t="str">
        <f t="shared" si="74"/>
        <v/>
      </c>
      <c r="AJ194" s="6732" t="str">
        <f t="shared" si="75"/>
        <v/>
      </c>
      <c r="AK194" s="6732">
        <f t="shared" si="76"/>
        <v>0</v>
      </c>
      <c r="AL194" s="6230" t="str" cm="1">
        <f t="array" ref="AL194">IF(AF194&lt;&gt;"A","",IFERROR((IFERROR(_xlfn.XLOOKUP(TRIM(SUBSTITUTE(U194,CHAR(160)," ")),$BJ$15:$BJ$62,$BM$15:$BM$62),IFERROR(_xlfn.XLOOKUP(TRIM(SUBSTITUTE(U194,CHAR(160)," ")),$BK$15:$BK$62,$BM$15:$BM$62),_xlfn.XLOOKUP(TRIM(SUBSTITUTE(U194,CHAR(160)," ")),$BL$15:$BL$62,$BM$15:$BM$62))))*T194*IF(ISBLANK(Q194),1,Q194)+IFERROR(_xlfn.XLOOKUP("RECHERCHEX",TRIM(L194:AD194),L194:AD194),0),0))</f>
        <v/>
      </c>
      <c r="AM194" s="6229">
        <f t="shared" si="77"/>
        <v>0</v>
      </c>
      <c r="AN194" s="6857" t="str">
        <f t="shared" si="92"/>
        <v/>
      </c>
      <c r="AO194" s="392">
        <f t="shared" si="78"/>
        <v>0</v>
      </c>
      <c r="AP194" s="392">
        <f t="shared" si="79"/>
        <v>0</v>
      </c>
      <c r="AQ194" s="6190">
        <f t="shared" si="80"/>
        <v>0</v>
      </c>
      <c r="AR194" s="6858" t="str">
        <f t="shared" si="81"/>
        <v/>
      </c>
      <c r="AS194" s="6217"/>
      <c r="AT194" s="6217"/>
      <c r="AU194" s="6271">
        <f t="shared" si="82"/>
        <v>0</v>
      </c>
      <c r="AV194" s="6242">
        <f t="shared" si="83"/>
        <v>0</v>
      </c>
      <c r="AW194" s="6188" cm="1">
        <f t="array" ref="AW194">IF(AK194&lt;&gt;1,0,IF(OR(AU194="",N(AU194)&lt;=0.000000001),"",IF(OR(AO194="",N(AO194)&lt;=0.000000001),0,IF(ISNUMBER(AU194),IFERROR(_xlfn.LET(_xlpm.ai_test,TRIM(AJ194),_xlpm.r,IFERROR(_xlfn.XLOOKUP(_xlpm.ai_test,$BJ$15:$BJ$62,ROW($BJ$15:$BJ$62),0,1),IFERROR(_xlfn.XLOOKUP(_xlpm.ai_test,$BK$15:$BK$62,ROW($BK$15:$BK$62),0,1),_xlfn.XLOOKUP(_xlpm.ai_test,$BL$15:$BL$62,ROW($BL$15:$BL$62),0,1))),_xlpm.p,_xlpm.r-MIN(ROW($BJ$15:$BJ$62))+1,_xlpm.f,INDEX($BM$15:$BM$62,_xlpm.p),_xlpm.u,INDEX($BN$15:$BN$62,_xlpm.p),_xlpm.s,INDEX($BP$15:$BP$62,_xlpm.p),_xlpm.q,N(AU194)/_xlpm.f,IF(_xlpm.q&gt;=_xlpm.s,ROUND(_xlpm.q,1)&amp;" "&amp;_xlpm.ai_test&amp;" = "&amp;ROUND(_xlpm.q*_xlpm.f,1)&amp;" "&amp;_xlpm.u,ROUND(_xlpm.q,1)&amp;" "&amp;_xlpm.ai_test)),""),""))))</f>
        <v>0</v>
      </c>
      <c r="AX194" s="6218"/>
      <c r="AY194" s="6271">
        <f t="shared" si="84"/>
        <v>0</v>
      </c>
      <c r="AZ194" s="6242" t="str">
        <f t="shared" si="85"/>
        <v/>
      </c>
      <c r="BA194" s="6194">
        <f t="shared" si="90"/>
        <v>0</v>
      </c>
      <c r="BB194" s="6192" t="str">
        <f t="shared" si="86"/>
        <v/>
      </c>
      <c r="BC194" s="6219"/>
      <c r="BD194" s="6221">
        <f t="shared" si="91"/>
        <v>0</v>
      </c>
      <c r="BE194" s="6220" t="str">
        <f t="shared" si="87"/>
        <v/>
      </c>
      <c r="BF194" s="4" t="s">
        <v>1</v>
      </c>
      <c r="BG194" s="6196">
        <f t="shared" si="88"/>
        <v>0</v>
      </c>
      <c r="BH194" s="6197">
        <f t="shared" si="89"/>
        <v>0</v>
      </c>
      <c r="BI194"/>
      <c r="BR194"/>
      <c r="BS194"/>
      <c r="BT194"/>
      <c r="BU194"/>
      <c r="BV194"/>
      <c r="BW194"/>
      <c r="BX194" s="20" t="str">
        <f t="shared" si="70"/>
        <v>►</v>
      </c>
      <c r="BY194"/>
      <c r="BZ194"/>
      <c r="CA194"/>
      <c r="CB194"/>
      <c r="CC194"/>
      <c r="CD194" s="2"/>
      <c r="CE194"/>
      <c r="CF194"/>
      <c r="CG194"/>
      <c r="CH194"/>
      <c r="CI194"/>
      <c r="CJ194"/>
      <c r="CK194"/>
      <c r="CM194"/>
      <c r="CN194"/>
      <c r="CO194"/>
      <c r="CP194"/>
      <c r="CQ194"/>
      <c r="CR194"/>
      <c r="CS194"/>
      <c r="CU194"/>
      <c r="CV194"/>
      <c r="CW194"/>
      <c r="CX194"/>
      <c r="CY194"/>
      <c r="CZ194"/>
      <c r="DA194"/>
      <c r="DC194" s="5">
        <v>1</v>
      </c>
    </row>
    <row r="195" spans="1:107" s="1" customFormat="1" ht="21" customHeight="1">
      <c r="A195" s="5641" t="s">
        <v>1</v>
      </c>
      <c r="B195" s="5662" t="str">
        <f t="shared" si="69"/>
        <v>►</v>
      </c>
      <c r="C195" s="5825" cm="1">
        <f t="array" ref="C195">SUMPRODUCT(LEN(D195:J195))</f>
        <v>0</v>
      </c>
      <c r="D195" s="5275"/>
      <c r="E195" s="1361"/>
      <c r="F195" s="1361"/>
      <c r="G195" s="1361"/>
      <c r="H195" s="1361"/>
      <c r="I195" s="1361"/>
      <c r="J195" s="5276"/>
      <c r="K195" s="106"/>
      <c r="L195" s="1021" t="s">
        <v>26</v>
      </c>
      <c r="M195" s="6787"/>
      <c r="N195" s="6787"/>
      <c r="O195" s="6787"/>
      <c r="P195" s="6788"/>
      <c r="Q195" s="6789"/>
      <c r="R195" s="6790"/>
      <c r="S195" s="6786"/>
      <c r="T195" s="6791"/>
      <c r="U195" s="6844"/>
      <c r="V195" s="6791"/>
      <c r="W195" s="8487"/>
      <c r="X195" s="6871"/>
      <c r="Y195" s="6793"/>
      <c r="Z195" s="6794"/>
      <c r="AA195" s="6795"/>
      <c r="AB195" s="6796"/>
      <c r="AC195" s="6797"/>
      <c r="AD195" s="6798"/>
      <c r="AE195" s="4" t="s">
        <v>1</v>
      </c>
      <c r="AF195" s="6202" t="str">
        <f t="shared" si="71"/>
        <v>►</v>
      </c>
      <c r="AG195" s="6234" t="str">
        <f t="shared" si="72"/>
        <v/>
      </c>
      <c r="AH195" s="6732" t="str">
        <f t="shared" si="73"/>
        <v/>
      </c>
      <c r="AI195" s="6234" t="str">
        <f t="shared" si="74"/>
        <v/>
      </c>
      <c r="AJ195" s="6732" t="str">
        <f t="shared" si="75"/>
        <v/>
      </c>
      <c r="AK195" s="6732">
        <f t="shared" si="76"/>
        <v>0</v>
      </c>
      <c r="AL195" s="6230" t="str" cm="1">
        <f t="array" ref="AL195">IF(AF195&lt;&gt;"A","",IFERROR((IFERROR(_xlfn.XLOOKUP(TRIM(SUBSTITUTE(U195,CHAR(160)," ")),$BJ$15:$BJ$62,$BM$15:$BM$62),IFERROR(_xlfn.XLOOKUP(TRIM(SUBSTITUTE(U195,CHAR(160)," ")),$BK$15:$BK$62,$BM$15:$BM$62),_xlfn.XLOOKUP(TRIM(SUBSTITUTE(U195,CHAR(160)," ")),$BL$15:$BL$62,$BM$15:$BM$62))))*T195*IF(ISBLANK(Q195),1,Q195)+IFERROR(_xlfn.XLOOKUP("RECHERCHEX",TRIM(L195:AD195),L195:AD195),0),0))</f>
        <v/>
      </c>
      <c r="AM195" s="6229">
        <f t="shared" si="77"/>
        <v>0</v>
      </c>
      <c r="AN195" s="6857" t="str">
        <f t="shared" si="92"/>
        <v/>
      </c>
      <c r="AO195" s="392">
        <f t="shared" si="78"/>
        <v>0</v>
      </c>
      <c r="AP195" s="392">
        <f t="shared" si="79"/>
        <v>0</v>
      </c>
      <c r="AQ195" s="6191">
        <f t="shared" si="80"/>
        <v>0</v>
      </c>
      <c r="AR195" s="6859" t="str">
        <f t="shared" si="81"/>
        <v/>
      </c>
      <c r="AS195" s="6217"/>
      <c r="AT195" s="6217"/>
      <c r="AU195" s="6272">
        <f t="shared" si="82"/>
        <v>0</v>
      </c>
      <c r="AV195" s="6240">
        <f t="shared" si="83"/>
        <v>0</v>
      </c>
      <c r="AW195" s="6189" cm="1">
        <f t="array" ref="AW195">IF(AK195&lt;&gt;1,0,IF(OR(AU195="",N(AU195)&lt;=0.000000001),"",IF(OR(AO195="",N(AO195)&lt;=0.000000001),0,IF(ISNUMBER(AU195),IFERROR(_xlfn.LET(_xlpm.ai_test,TRIM(AJ195),_xlpm.r,IFERROR(_xlfn.XLOOKUP(_xlpm.ai_test,$BJ$15:$BJ$62,ROW($BJ$15:$BJ$62),0,1),IFERROR(_xlfn.XLOOKUP(_xlpm.ai_test,$BK$15:$BK$62,ROW($BK$15:$BK$62),0,1),_xlfn.XLOOKUP(_xlpm.ai_test,$BL$15:$BL$62,ROW($BL$15:$BL$62),0,1))),_xlpm.p,_xlpm.r-MIN(ROW($BJ$15:$BJ$62))+1,_xlpm.f,INDEX($BM$15:$BM$62,_xlpm.p),_xlpm.u,INDEX($BN$15:$BN$62,_xlpm.p),_xlpm.s,INDEX($BP$15:$BP$62,_xlpm.p),_xlpm.q,N(AU195)/_xlpm.f,IF(_xlpm.q&gt;=_xlpm.s,ROUND(_xlpm.q,1)&amp;" "&amp;_xlpm.ai_test&amp;" = "&amp;ROUND(_xlpm.q*_xlpm.f,1)&amp;" "&amp;_xlpm.u,ROUND(_xlpm.q,1)&amp;" "&amp;_xlpm.ai_test)),""),""))))</f>
        <v>0</v>
      </c>
      <c r="AX195" s="6218"/>
      <c r="AY195" s="6272">
        <f t="shared" si="84"/>
        <v>0</v>
      </c>
      <c r="AZ195" s="6240" t="str">
        <f t="shared" si="85"/>
        <v/>
      </c>
      <c r="BA195" s="6195">
        <f t="shared" si="90"/>
        <v>0</v>
      </c>
      <c r="BB195" s="6193" t="str">
        <f t="shared" si="86"/>
        <v/>
      </c>
      <c r="BC195" s="6219"/>
      <c r="BD195" s="6222">
        <f t="shared" si="91"/>
        <v>0</v>
      </c>
      <c r="BE195" s="6220" t="str">
        <f t="shared" si="87"/>
        <v/>
      </c>
      <c r="BF195" s="4" t="s">
        <v>1</v>
      </c>
      <c r="BG195" s="6196">
        <f t="shared" si="88"/>
        <v>0</v>
      </c>
      <c r="BH195" s="6197">
        <f t="shared" si="89"/>
        <v>0</v>
      </c>
      <c r="BI195"/>
      <c r="BR195"/>
      <c r="BS195"/>
      <c r="BT195"/>
      <c r="BU195"/>
      <c r="BV195"/>
      <c r="BW195"/>
      <c r="BX195" s="20" t="str">
        <f t="shared" si="70"/>
        <v>►</v>
      </c>
      <c r="BY195"/>
      <c r="BZ195"/>
      <c r="CA195"/>
      <c r="CB195"/>
      <c r="CC195"/>
      <c r="CD195" s="2"/>
      <c r="CE195"/>
      <c r="CF195"/>
      <c r="CG195"/>
      <c r="CH195"/>
      <c r="CI195"/>
      <c r="CJ195"/>
      <c r="CK195"/>
      <c r="CM195"/>
      <c r="CN195"/>
      <c r="CO195"/>
      <c r="CP195"/>
      <c r="CQ195"/>
      <c r="CR195"/>
      <c r="CS195"/>
      <c r="CU195"/>
      <c r="CV195"/>
      <c r="CW195"/>
      <c r="CX195"/>
      <c r="CY195"/>
      <c r="CZ195"/>
      <c r="DA195"/>
      <c r="DC195" s="5">
        <v>1</v>
      </c>
    </row>
    <row r="196" spans="1:107" s="1" customFormat="1" ht="21" customHeight="1">
      <c r="A196" s="5641" t="s">
        <v>1</v>
      </c>
      <c r="B196" s="5662" t="str">
        <f t="shared" si="69"/>
        <v>►</v>
      </c>
      <c r="C196" s="5825" cm="1">
        <f t="array" ref="C196">SUMPRODUCT(LEN(D196:J196))</f>
        <v>0</v>
      </c>
      <c r="D196" s="5275"/>
      <c r="E196" s="1361"/>
      <c r="F196" s="1361"/>
      <c r="G196" s="1361"/>
      <c r="H196" s="1361"/>
      <c r="I196" s="1361"/>
      <c r="J196" s="5276"/>
      <c r="K196" s="106"/>
      <c r="L196" s="1021" t="s">
        <v>26</v>
      </c>
      <c r="M196" s="6787"/>
      <c r="N196" s="6787"/>
      <c r="O196" s="6787"/>
      <c r="P196" s="6788"/>
      <c r="Q196" s="6789"/>
      <c r="R196" s="6790"/>
      <c r="S196" s="6786"/>
      <c r="T196" s="6791"/>
      <c r="U196" s="6844"/>
      <c r="V196" s="6791"/>
      <c r="W196" s="8487"/>
      <c r="X196" s="6871"/>
      <c r="Y196" s="6793"/>
      <c r="Z196" s="6794"/>
      <c r="AA196" s="6795"/>
      <c r="AB196" s="6796"/>
      <c r="AC196" s="6797"/>
      <c r="AD196" s="6798"/>
      <c r="AE196" s="4" t="s">
        <v>1</v>
      </c>
      <c r="AF196" s="6202" t="str">
        <f t="shared" si="71"/>
        <v>►</v>
      </c>
      <c r="AG196" s="6234" t="str">
        <f t="shared" si="72"/>
        <v/>
      </c>
      <c r="AH196" s="6732" t="str">
        <f t="shared" si="73"/>
        <v/>
      </c>
      <c r="AI196" s="6234" t="str">
        <f t="shared" si="74"/>
        <v/>
      </c>
      <c r="AJ196" s="6732" t="str">
        <f t="shared" si="75"/>
        <v/>
      </c>
      <c r="AK196" s="6732">
        <f t="shared" si="76"/>
        <v>0</v>
      </c>
      <c r="AL196" s="6230" t="str" cm="1">
        <f t="array" ref="AL196">IF(AF196&lt;&gt;"A","",IFERROR((IFERROR(_xlfn.XLOOKUP(TRIM(SUBSTITUTE(U196,CHAR(160)," ")),$BJ$15:$BJ$62,$BM$15:$BM$62),IFERROR(_xlfn.XLOOKUP(TRIM(SUBSTITUTE(U196,CHAR(160)," ")),$BK$15:$BK$62,$BM$15:$BM$62),_xlfn.XLOOKUP(TRIM(SUBSTITUTE(U196,CHAR(160)," ")),$BL$15:$BL$62,$BM$15:$BM$62))))*T196*IF(ISBLANK(Q196),1,Q196)+IFERROR(_xlfn.XLOOKUP("RECHERCHEX",TRIM(L196:AD196),L196:AD196),0),0))</f>
        <v/>
      </c>
      <c r="AM196" s="6229">
        <f t="shared" si="77"/>
        <v>0</v>
      </c>
      <c r="AN196" s="6857" t="str">
        <f t="shared" si="92"/>
        <v/>
      </c>
      <c r="AO196" s="392">
        <f t="shared" si="78"/>
        <v>0</v>
      </c>
      <c r="AP196" s="392">
        <f t="shared" si="79"/>
        <v>0</v>
      </c>
      <c r="AQ196" s="6190">
        <f t="shared" si="80"/>
        <v>0</v>
      </c>
      <c r="AR196" s="6858" t="str">
        <f t="shared" si="81"/>
        <v/>
      </c>
      <c r="AS196" s="6217"/>
      <c r="AT196" s="6217"/>
      <c r="AU196" s="6271">
        <f t="shared" si="82"/>
        <v>0</v>
      </c>
      <c r="AV196" s="6242">
        <f t="shared" si="83"/>
        <v>0</v>
      </c>
      <c r="AW196" s="6188" cm="1">
        <f t="array" ref="AW196">IF(AK196&lt;&gt;1,0,IF(OR(AU196="",N(AU196)&lt;=0.000000001),"",IF(OR(AO196="",N(AO196)&lt;=0.000000001),0,IF(ISNUMBER(AU196),IFERROR(_xlfn.LET(_xlpm.ai_test,TRIM(AJ196),_xlpm.r,IFERROR(_xlfn.XLOOKUP(_xlpm.ai_test,$BJ$15:$BJ$62,ROW($BJ$15:$BJ$62),0,1),IFERROR(_xlfn.XLOOKUP(_xlpm.ai_test,$BK$15:$BK$62,ROW($BK$15:$BK$62),0,1),_xlfn.XLOOKUP(_xlpm.ai_test,$BL$15:$BL$62,ROW($BL$15:$BL$62),0,1))),_xlpm.p,_xlpm.r-MIN(ROW($BJ$15:$BJ$62))+1,_xlpm.f,INDEX($BM$15:$BM$62,_xlpm.p),_xlpm.u,INDEX($BN$15:$BN$62,_xlpm.p),_xlpm.s,INDEX($BP$15:$BP$62,_xlpm.p),_xlpm.q,N(AU196)/_xlpm.f,IF(_xlpm.q&gt;=_xlpm.s,ROUND(_xlpm.q,1)&amp;" "&amp;_xlpm.ai_test&amp;" = "&amp;ROUND(_xlpm.q*_xlpm.f,1)&amp;" "&amp;_xlpm.u,ROUND(_xlpm.q,1)&amp;" "&amp;_xlpm.ai_test)),""),""))))</f>
        <v>0</v>
      </c>
      <c r="AX196" s="6218"/>
      <c r="AY196" s="6271">
        <f t="shared" si="84"/>
        <v>0</v>
      </c>
      <c r="AZ196" s="6242" t="str">
        <f t="shared" si="85"/>
        <v/>
      </c>
      <c r="BA196" s="6194">
        <f t="shared" si="90"/>
        <v>0</v>
      </c>
      <c r="BB196" s="6192" t="str">
        <f t="shared" si="86"/>
        <v/>
      </c>
      <c r="BC196" s="6219"/>
      <c r="BD196" s="6221">
        <f t="shared" si="91"/>
        <v>0</v>
      </c>
      <c r="BE196" s="6220" t="str">
        <f t="shared" si="87"/>
        <v/>
      </c>
      <c r="BF196" s="4" t="s">
        <v>1</v>
      </c>
      <c r="BG196" s="6196">
        <f t="shared" si="88"/>
        <v>0</v>
      </c>
      <c r="BH196" s="6197">
        <f t="shared" si="89"/>
        <v>0</v>
      </c>
      <c r="BI196"/>
      <c r="BR196"/>
      <c r="BS196"/>
      <c r="BT196"/>
      <c r="BU196"/>
      <c r="BV196"/>
      <c r="BW196"/>
      <c r="BX196" s="20" t="str">
        <f t="shared" si="70"/>
        <v>►</v>
      </c>
      <c r="BY196"/>
      <c r="BZ196"/>
      <c r="CA196"/>
      <c r="CB196"/>
      <c r="CC196"/>
      <c r="CD196" s="2"/>
      <c r="CE196"/>
      <c r="CF196"/>
      <c r="CG196"/>
      <c r="CH196"/>
      <c r="CI196"/>
      <c r="CJ196"/>
      <c r="CK196"/>
      <c r="CM196"/>
      <c r="CN196"/>
      <c r="CO196"/>
      <c r="CP196"/>
      <c r="CQ196"/>
      <c r="CR196"/>
      <c r="CS196"/>
      <c r="CU196"/>
      <c r="CV196"/>
      <c r="CW196"/>
      <c r="CX196"/>
      <c r="CY196"/>
      <c r="CZ196"/>
      <c r="DA196"/>
      <c r="DC196" s="5">
        <v>1</v>
      </c>
    </row>
    <row r="197" spans="1:107" s="1" customFormat="1" ht="21" customHeight="1">
      <c r="A197" s="5641" t="s">
        <v>1</v>
      </c>
      <c r="B197" s="5662" t="str">
        <f t="shared" ref="B197:B260" si="93">L197</f>
        <v>►</v>
      </c>
      <c r="C197" s="5825" cm="1">
        <f t="array" ref="C197">SUMPRODUCT(LEN(D197:J197))</f>
        <v>0</v>
      </c>
      <c r="D197" s="5275"/>
      <c r="E197" s="1361"/>
      <c r="F197" s="1361"/>
      <c r="G197" s="1361"/>
      <c r="H197" s="1361"/>
      <c r="I197" s="1361"/>
      <c r="J197" s="5276"/>
      <c r="K197" s="106"/>
      <c r="L197" s="1021" t="s">
        <v>26</v>
      </c>
      <c r="M197" s="6787"/>
      <c r="N197" s="6787"/>
      <c r="O197" s="6787"/>
      <c r="P197" s="6788"/>
      <c r="Q197" s="6789"/>
      <c r="R197" s="6790"/>
      <c r="S197" s="6786"/>
      <c r="T197" s="6791"/>
      <c r="U197" s="6844"/>
      <c r="V197" s="6791"/>
      <c r="W197" s="8487"/>
      <c r="X197" s="6871"/>
      <c r="Y197" s="6793"/>
      <c r="Z197" s="6794"/>
      <c r="AA197" s="6795"/>
      <c r="AB197" s="6796"/>
      <c r="AC197" s="6797"/>
      <c r="AD197" s="6798"/>
      <c r="AE197" s="4" t="s">
        <v>1</v>
      </c>
      <c r="AF197" s="6202" t="str">
        <f t="shared" si="71"/>
        <v>►</v>
      </c>
      <c r="AG197" s="6234" t="str">
        <f t="shared" si="72"/>
        <v/>
      </c>
      <c r="AH197" s="6732" t="str">
        <f t="shared" si="73"/>
        <v/>
      </c>
      <c r="AI197" s="6234" t="str">
        <f t="shared" si="74"/>
        <v/>
      </c>
      <c r="AJ197" s="6732" t="str">
        <f t="shared" si="75"/>
        <v/>
      </c>
      <c r="AK197" s="6732">
        <f t="shared" si="76"/>
        <v>0</v>
      </c>
      <c r="AL197" s="6230" t="str" cm="1">
        <f t="array" ref="AL197">IF(AF197&lt;&gt;"A","",IFERROR((IFERROR(_xlfn.XLOOKUP(TRIM(SUBSTITUTE(U197,CHAR(160)," ")),$BJ$15:$BJ$62,$BM$15:$BM$62),IFERROR(_xlfn.XLOOKUP(TRIM(SUBSTITUTE(U197,CHAR(160)," ")),$BK$15:$BK$62,$BM$15:$BM$62),_xlfn.XLOOKUP(TRIM(SUBSTITUTE(U197,CHAR(160)," ")),$BL$15:$BL$62,$BM$15:$BM$62))))*T197*IF(ISBLANK(Q197),1,Q197)+IFERROR(_xlfn.XLOOKUP("RECHERCHEX",TRIM(L197:AD197),L197:AD197),0),0))</f>
        <v/>
      </c>
      <c r="AM197" s="6229">
        <f t="shared" si="77"/>
        <v>0</v>
      </c>
      <c r="AN197" s="6857" t="str">
        <f t="shared" si="92"/>
        <v/>
      </c>
      <c r="AO197" s="392">
        <f t="shared" si="78"/>
        <v>0</v>
      </c>
      <c r="AP197" s="392">
        <f t="shared" si="79"/>
        <v>0</v>
      </c>
      <c r="AQ197" s="6191">
        <f t="shared" si="80"/>
        <v>0</v>
      </c>
      <c r="AR197" s="6859" t="str">
        <f t="shared" si="81"/>
        <v/>
      </c>
      <c r="AS197" s="6217"/>
      <c r="AT197" s="6217"/>
      <c r="AU197" s="6272">
        <f t="shared" si="82"/>
        <v>0</v>
      </c>
      <c r="AV197" s="6240">
        <f t="shared" si="83"/>
        <v>0</v>
      </c>
      <c r="AW197" s="6189" cm="1">
        <f t="array" ref="AW197">IF(AK197&lt;&gt;1,0,IF(OR(AU197="",N(AU197)&lt;=0.000000001),"",IF(OR(AO197="",N(AO197)&lt;=0.000000001),0,IF(ISNUMBER(AU197),IFERROR(_xlfn.LET(_xlpm.ai_test,TRIM(AJ197),_xlpm.r,IFERROR(_xlfn.XLOOKUP(_xlpm.ai_test,$BJ$15:$BJ$62,ROW($BJ$15:$BJ$62),0,1),IFERROR(_xlfn.XLOOKUP(_xlpm.ai_test,$BK$15:$BK$62,ROW($BK$15:$BK$62),0,1),_xlfn.XLOOKUP(_xlpm.ai_test,$BL$15:$BL$62,ROW($BL$15:$BL$62),0,1))),_xlpm.p,_xlpm.r-MIN(ROW($BJ$15:$BJ$62))+1,_xlpm.f,INDEX($BM$15:$BM$62,_xlpm.p),_xlpm.u,INDEX($BN$15:$BN$62,_xlpm.p),_xlpm.s,INDEX($BP$15:$BP$62,_xlpm.p),_xlpm.q,N(AU197)/_xlpm.f,IF(_xlpm.q&gt;=_xlpm.s,ROUND(_xlpm.q,1)&amp;" "&amp;_xlpm.ai_test&amp;" = "&amp;ROUND(_xlpm.q*_xlpm.f,1)&amp;" "&amp;_xlpm.u,ROUND(_xlpm.q,1)&amp;" "&amp;_xlpm.ai_test)),""),""))))</f>
        <v>0</v>
      </c>
      <c r="AX197" s="6218"/>
      <c r="AY197" s="6272">
        <f t="shared" si="84"/>
        <v>0</v>
      </c>
      <c r="AZ197" s="6240" t="str">
        <f t="shared" si="85"/>
        <v/>
      </c>
      <c r="BA197" s="6195">
        <f t="shared" si="90"/>
        <v>0</v>
      </c>
      <c r="BB197" s="6193" t="str">
        <f t="shared" si="86"/>
        <v/>
      </c>
      <c r="BC197" s="6219"/>
      <c r="BD197" s="6222">
        <f t="shared" si="91"/>
        <v>0</v>
      </c>
      <c r="BE197" s="6220" t="str">
        <f t="shared" si="87"/>
        <v/>
      </c>
      <c r="BF197" s="4" t="s">
        <v>1</v>
      </c>
      <c r="BG197" s="6196">
        <f t="shared" si="88"/>
        <v>0</v>
      </c>
      <c r="BH197" s="6197">
        <f t="shared" si="89"/>
        <v>0</v>
      </c>
      <c r="BI197"/>
      <c r="BR197"/>
      <c r="BS197"/>
      <c r="BT197"/>
      <c r="BU197"/>
      <c r="BV197"/>
      <c r="BW197"/>
      <c r="BX197" s="20" t="str">
        <f t="shared" ref="BX197:BX260" si="94">AF197</f>
        <v>►</v>
      </c>
      <c r="BY197"/>
      <c r="BZ197"/>
      <c r="CA197"/>
      <c r="CB197"/>
      <c r="CC197"/>
      <c r="CD197" s="2"/>
      <c r="CE197"/>
      <c r="CF197"/>
      <c r="CG197"/>
      <c r="CH197"/>
      <c r="CI197"/>
      <c r="CJ197"/>
      <c r="CK197"/>
      <c r="CM197"/>
      <c r="CN197"/>
      <c r="CO197"/>
      <c r="CP197"/>
      <c r="CQ197"/>
      <c r="CR197"/>
      <c r="CS197"/>
      <c r="CU197"/>
      <c r="CV197"/>
      <c r="CW197"/>
      <c r="CX197"/>
      <c r="CY197"/>
      <c r="CZ197"/>
      <c r="DA197"/>
      <c r="DC197" s="5">
        <v>1</v>
      </c>
    </row>
    <row r="198" spans="1:107" s="1" customFormat="1" ht="21" customHeight="1">
      <c r="A198" s="5641" t="s">
        <v>1</v>
      </c>
      <c r="B198" s="5662" t="str">
        <f t="shared" si="93"/>
        <v>►</v>
      </c>
      <c r="C198" s="5825" cm="1">
        <f t="array" ref="C198">SUMPRODUCT(LEN(D198:J198))</f>
        <v>0</v>
      </c>
      <c r="D198" s="5275"/>
      <c r="E198" s="1361"/>
      <c r="F198" s="1361"/>
      <c r="G198" s="1361"/>
      <c r="H198" s="1361"/>
      <c r="I198" s="1361"/>
      <c r="J198" s="5276"/>
      <c r="K198" s="106"/>
      <c r="L198" s="1021" t="s">
        <v>26</v>
      </c>
      <c r="M198" s="6787"/>
      <c r="N198" s="6787"/>
      <c r="O198" s="6787"/>
      <c r="P198" s="6788"/>
      <c r="Q198" s="6789"/>
      <c r="R198" s="6790"/>
      <c r="S198" s="6786"/>
      <c r="T198" s="6791"/>
      <c r="U198" s="6844"/>
      <c r="V198" s="6791"/>
      <c r="W198" s="8487"/>
      <c r="X198" s="6871"/>
      <c r="Y198" s="6793"/>
      <c r="Z198" s="6794"/>
      <c r="AA198" s="6795"/>
      <c r="AB198" s="6796"/>
      <c r="AC198" s="6797"/>
      <c r="AD198" s="6798"/>
      <c r="AE198" s="4" t="s">
        <v>1</v>
      </c>
      <c r="AF198" s="6202" t="str">
        <f t="shared" si="71"/>
        <v>►</v>
      </c>
      <c r="AG198" s="6234" t="str">
        <f t="shared" si="72"/>
        <v/>
      </c>
      <c r="AH198" s="6732" t="str">
        <f t="shared" si="73"/>
        <v/>
      </c>
      <c r="AI198" s="6234" t="str">
        <f t="shared" si="74"/>
        <v/>
      </c>
      <c r="AJ198" s="6732" t="str">
        <f t="shared" si="75"/>
        <v/>
      </c>
      <c r="AK198" s="6732">
        <f t="shared" si="76"/>
        <v>0</v>
      </c>
      <c r="AL198" s="6230" t="str" cm="1">
        <f t="array" ref="AL198">IF(AF198&lt;&gt;"A","",IFERROR((IFERROR(_xlfn.XLOOKUP(TRIM(SUBSTITUTE(U198,CHAR(160)," ")),$BJ$15:$BJ$62,$BM$15:$BM$62),IFERROR(_xlfn.XLOOKUP(TRIM(SUBSTITUTE(U198,CHAR(160)," ")),$BK$15:$BK$62,$BM$15:$BM$62),_xlfn.XLOOKUP(TRIM(SUBSTITUTE(U198,CHAR(160)," ")),$BL$15:$BL$62,$BM$15:$BM$62))))*T198*IF(ISBLANK(Q198),1,Q198)+IFERROR(_xlfn.XLOOKUP("RECHERCHEX",TRIM(L198:AD198),L198:AD198),0),0))</f>
        <v/>
      </c>
      <c r="AM198" s="6229">
        <f t="shared" si="77"/>
        <v>0</v>
      </c>
      <c r="AN198" s="6857" t="str">
        <f t="shared" si="92"/>
        <v/>
      </c>
      <c r="AO198" s="392">
        <f t="shared" si="78"/>
        <v>0</v>
      </c>
      <c r="AP198" s="392">
        <f t="shared" si="79"/>
        <v>0</v>
      </c>
      <c r="AQ198" s="6190">
        <f t="shared" si="80"/>
        <v>0</v>
      </c>
      <c r="AR198" s="6858" t="str">
        <f t="shared" si="81"/>
        <v/>
      </c>
      <c r="AS198" s="6217"/>
      <c r="AT198" s="6217"/>
      <c r="AU198" s="6271">
        <f t="shared" si="82"/>
        <v>0</v>
      </c>
      <c r="AV198" s="6242">
        <f t="shared" si="83"/>
        <v>0</v>
      </c>
      <c r="AW198" s="6188" cm="1">
        <f t="array" ref="AW198">IF(AK198&lt;&gt;1,0,IF(OR(AU198="",N(AU198)&lt;=0.000000001),"",IF(OR(AO198="",N(AO198)&lt;=0.000000001),0,IF(ISNUMBER(AU198),IFERROR(_xlfn.LET(_xlpm.ai_test,TRIM(AJ198),_xlpm.r,IFERROR(_xlfn.XLOOKUP(_xlpm.ai_test,$BJ$15:$BJ$62,ROW($BJ$15:$BJ$62),0,1),IFERROR(_xlfn.XLOOKUP(_xlpm.ai_test,$BK$15:$BK$62,ROW($BK$15:$BK$62),0,1),_xlfn.XLOOKUP(_xlpm.ai_test,$BL$15:$BL$62,ROW($BL$15:$BL$62),0,1))),_xlpm.p,_xlpm.r-MIN(ROW($BJ$15:$BJ$62))+1,_xlpm.f,INDEX($BM$15:$BM$62,_xlpm.p),_xlpm.u,INDEX($BN$15:$BN$62,_xlpm.p),_xlpm.s,INDEX($BP$15:$BP$62,_xlpm.p),_xlpm.q,N(AU198)/_xlpm.f,IF(_xlpm.q&gt;=_xlpm.s,ROUND(_xlpm.q,1)&amp;" "&amp;_xlpm.ai_test&amp;" = "&amp;ROUND(_xlpm.q*_xlpm.f,1)&amp;" "&amp;_xlpm.u,ROUND(_xlpm.q,1)&amp;" "&amp;_xlpm.ai_test)),""),""))))</f>
        <v>0</v>
      </c>
      <c r="AX198" s="6218"/>
      <c r="AY198" s="6271">
        <f t="shared" si="84"/>
        <v>0</v>
      </c>
      <c r="AZ198" s="6242" t="str">
        <f t="shared" si="85"/>
        <v/>
      </c>
      <c r="BA198" s="6194">
        <f t="shared" si="90"/>
        <v>0</v>
      </c>
      <c r="BB198" s="6192" t="str">
        <f t="shared" si="86"/>
        <v/>
      </c>
      <c r="BC198" s="6219"/>
      <c r="BD198" s="6221">
        <f t="shared" si="91"/>
        <v>0</v>
      </c>
      <c r="BE198" s="6220" t="str">
        <f t="shared" si="87"/>
        <v/>
      </c>
      <c r="BF198" s="4" t="s">
        <v>1</v>
      </c>
      <c r="BG198" s="6196">
        <f t="shared" si="88"/>
        <v>0</v>
      </c>
      <c r="BH198" s="6197">
        <f t="shared" si="89"/>
        <v>0</v>
      </c>
      <c r="BI198"/>
      <c r="BR198"/>
      <c r="BS198"/>
      <c r="BT198"/>
      <c r="BU198"/>
      <c r="BV198"/>
      <c r="BW198"/>
      <c r="BX198" s="20" t="str">
        <f t="shared" si="94"/>
        <v>►</v>
      </c>
      <c r="BY198"/>
      <c r="BZ198"/>
      <c r="CA198"/>
      <c r="CB198"/>
      <c r="CC198"/>
      <c r="CD198" s="2"/>
      <c r="CE198"/>
      <c r="CF198"/>
      <c r="CG198"/>
      <c r="CH198"/>
      <c r="CI198"/>
      <c r="CJ198"/>
      <c r="CK198"/>
      <c r="CM198"/>
      <c r="CN198"/>
      <c r="CO198"/>
      <c r="CP198"/>
      <c r="CQ198"/>
      <c r="CR198"/>
      <c r="CS198"/>
      <c r="CU198"/>
      <c r="CV198"/>
      <c r="CW198"/>
      <c r="CX198"/>
      <c r="CY198"/>
      <c r="CZ198"/>
      <c r="DA198"/>
      <c r="DC198" s="5">
        <v>1</v>
      </c>
    </row>
    <row r="199" spans="1:107" s="1" customFormat="1" ht="21" customHeight="1">
      <c r="A199" s="5641" t="s">
        <v>1</v>
      </c>
      <c r="B199" s="5662" t="str">
        <f t="shared" si="93"/>
        <v>►</v>
      </c>
      <c r="C199" s="5825" cm="1">
        <f t="array" ref="C199">SUMPRODUCT(LEN(D199:J199))</f>
        <v>0</v>
      </c>
      <c r="D199" s="5275"/>
      <c r="E199" s="1361"/>
      <c r="F199" s="1361"/>
      <c r="G199" s="1361"/>
      <c r="H199" s="1361"/>
      <c r="I199" s="1361"/>
      <c r="J199" s="5276"/>
      <c r="K199" s="106"/>
      <c r="L199" s="1021" t="s">
        <v>26</v>
      </c>
      <c r="M199" s="6787"/>
      <c r="N199" s="6787"/>
      <c r="O199" s="6787"/>
      <c r="P199" s="6788"/>
      <c r="Q199" s="6789"/>
      <c r="R199" s="6790"/>
      <c r="S199" s="6786"/>
      <c r="T199" s="6791"/>
      <c r="U199" s="6844"/>
      <c r="V199" s="6791"/>
      <c r="W199" s="8487"/>
      <c r="X199" s="6871"/>
      <c r="Y199" s="6793"/>
      <c r="Z199" s="6794"/>
      <c r="AA199" s="6795"/>
      <c r="AB199" s="6796"/>
      <c r="AC199" s="6797"/>
      <c r="AD199" s="6798"/>
      <c r="AE199" s="4" t="s">
        <v>1</v>
      </c>
      <c r="AF199" s="6202" t="str">
        <f t="shared" si="71"/>
        <v>►</v>
      </c>
      <c r="AG199" s="6234" t="str">
        <f t="shared" si="72"/>
        <v/>
      </c>
      <c r="AH199" s="6732" t="str">
        <f t="shared" si="73"/>
        <v/>
      </c>
      <c r="AI199" s="6234" t="str">
        <f t="shared" si="74"/>
        <v/>
      </c>
      <c r="AJ199" s="6732" t="str">
        <f t="shared" si="75"/>
        <v/>
      </c>
      <c r="AK199" s="6732">
        <f t="shared" si="76"/>
        <v>0</v>
      </c>
      <c r="AL199" s="6230" t="str" cm="1">
        <f t="array" ref="AL199">IF(AF199&lt;&gt;"A","",IFERROR((IFERROR(_xlfn.XLOOKUP(TRIM(SUBSTITUTE(U199,CHAR(160)," ")),$BJ$15:$BJ$62,$BM$15:$BM$62),IFERROR(_xlfn.XLOOKUP(TRIM(SUBSTITUTE(U199,CHAR(160)," ")),$BK$15:$BK$62,$BM$15:$BM$62),_xlfn.XLOOKUP(TRIM(SUBSTITUTE(U199,CHAR(160)," ")),$BL$15:$BL$62,$BM$15:$BM$62))))*T199*IF(ISBLANK(Q199),1,Q199)+IFERROR(_xlfn.XLOOKUP("RECHERCHEX",TRIM(L199:AD199),L199:AD199),0),0))</f>
        <v/>
      </c>
      <c r="AM199" s="6229">
        <f t="shared" si="77"/>
        <v>0</v>
      </c>
      <c r="AN199" s="6857" t="str">
        <f t="shared" si="92"/>
        <v/>
      </c>
      <c r="AO199" s="392">
        <f t="shared" si="78"/>
        <v>0</v>
      </c>
      <c r="AP199" s="392">
        <f t="shared" si="79"/>
        <v>0</v>
      </c>
      <c r="AQ199" s="6191">
        <f t="shared" si="80"/>
        <v>0</v>
      </c>
      <c r="AR199" s="6859" t="str">
        <f t="shared" si="81"/>
        <v/>
      </c>
      <c r="AS199" s="6217"/>
      <c r="AT199" s="6217"/>
      <c r="AU199" s="6272">
        <f t="shared" si="82"/>
        <v>0</v>
      </c>
      <c r="AV199" s="6240">
        <f t="shared" si="83"/>
        <v>0</v>
      </c>
      <c r="AW199" s="6189" cm="1">
        <f t="array" ref="AW199">IF(AK199&lt;&gt;1,0,IF(OR(AU199="",N(AU199)&lt;=0.000000001),"",IF(OR(AO199="",N(AO199)&lt;=0.000000001),0,IF(ISNUMBER(AU199),IFERROR(_xlfn.LET(_xlpm.ai_test,TRIM(AJ199),_xlpm.r,IFERROR(_xlfn.XLOOKUP(_xlpm.ai_test,$BJ$15:$BJ$62,ROW($BJ$15:$BJ$62),0,1),IFERROR(_xlfn.XLOOKUP(_xlpm.ai_test,$BK$15:$BK$62,ROW($BK$15:$BK$62),0,1),_xlfn.XLOOKUP(_xlpm.ai_test,$BL$15:$BL$62,ROW($BL$15:$BL$62),0,1))),_xlpm.p,_xlpm.r-MIN(ROW($BJ$15:$BJ$62))+1,_xlpm.f,INDEX($BM$15:$BM$62,_xlpm.p),_xlpm.u,INDEX($BN$15:$BN$62,_xlpm.p),_xlpm.s,INDEX($BP$15:$BP$62,_xlpm.p),_xlpm.q,N(AU199)/_xlpm.f,IF(_xlpm.q&gt;=_xlpm.s,ROUND(_xlpm.q,1)&amp;" "&amp;_xlpm.ai_test&amp;" = "&amp;ROUND(_xlpm.q*_xlpm.f,1)&amp;" "&amp;_xlpm.u,ROUND(_xlpm.q,1)&amp;" "&amp;_xlpm.ai_test)),""),""))))</f>
        <v>0</v>
      </c>
      <c r="AX199" s="6218"/>
      <c r="AY199" s="6272">
        <f t="shared" si="84"/>
        <v>0</v>
      </c>
      <c r="AZ199" s="6240" t="str">
        <f t="shared" si="85"/>
        <v/>
      </c>
      <c r="BA199" s="6195">
        <f t="shared" si="90"/>
        <v>0</v>
      </c>
      <c r="BB199" s="6193" t="str">
        <f t="shared" si="86"/>
        <v/>
      </c>
      <c r="BC199" s="6219"/>
      <c r="BD199" s="6222">
        <f t="shared" si="91"/>
        <v>0</v>
      </c>
      <c r="BE199" s="6220" t="str">
        <f t="shared" si="87"/>
        <v/>
      </c>
      <c r="BF199" s="4" t="s">
        <v>1</v>
      </c>
      <c r="BG199" s="6196">
        <f t="shared" si="88"/>
        <v>0</v>
      </c>
      <c r="BH199" s="6197">
        <f t="shared" si="89"/>
        <v>0</v>
      </c>
      <c r="BI199"/>
      <c r="BR199"/>
      <c r="BS199"/>
      <c r="BT199"/>
      <c r="BU199"/>
      <c r="BV199"/>
      <c r="BW199"/>
      <c r="BX199" s="20" t="str">
        <f t="shared" si="94"/>
        <v>►</v>
      </c>
      <c r="BY199"/>
      <c r="BZ199"/>
      <c r="CA199"/>
      <c r="CB199"/>
      <c r="CC199"/>
      <c r="CD199" s="2"/>
      <c r="CE199"/>
      <c r="CF199"/>
      <c r="CG199"/>
      <c r="CH199"/>
      <c r="CI199"/>
      <c r="CJ199"/>
      <c r="CK199"/>
      <c r="CM199"/>
      <c r="CN199"/>
      <c r="CO199"/>
      <c r="CP199"/>
      <c r="CQ199"/>
      <c r="CR199"/>
      <c r="CS199"/>
      <c r="CU199"/>
      <c r="CV199"/>
      <c r="CW199"/>
      <c r="CX199"/>
      <c r="CY199"/>
      <c r="CZ199"/>
      <c r="DA199"/>
      <c r="DC199" s="5">
        <v>1</v>
      </c>
    </row>
    <row r="200" spans="1:107" s="1" customFormat="1" ht="21" customHeight="1">
      <c r="A200" s="5641" t="s">
        <v>1</v>
      </c>
      <c r="B200" s="5662" t="str">
        <f t="shared" si="93"/>
        <v>►</v>
      </c>
      <c r="C200" s="5825" cm="1">
        <f t="array" ref="C200">SUMPRODUCT(LEN(D200:J200))</f>
        <v>0</v>
      </c>
      <c r="D200" s="5275"/>
      <c r="E200" s="1361"/>
      <c r="F200" s="1361"/>
      <c r="G200" s="1361"/>
      <c r="H200" s="1361"/>
      <c r="I200" s="1361"/>
      <c r="J200" s="5276"/>
      <c r="K200" s="106"/>
      <c r="L200" s="1021" t="s">
        <v>26</v>
      </c>
      <c r="M200" s="6787"/>
      <c r="N200" s="6787"/>
      <c r="O200" s="6787"/>
      <c r="P200" s="6788"/>
      <c r="Q200" s="6789"/>
      <c r="R200" s="6790"/>
      <c r="S200" s="6786"/>
      <c r="T200" s="6791"/>
      <c r="U200" s="6844"/>
      <c r="V200" s="6791"/>
      <c r="W200" s="8487"/>
      <c r="X200" s="6871"/>
      <c r="Y200" s="6793"/>
      <c r="Z200" s="6794"/>
      <c r="AA200" s="6795"/>
      <c r="AB200" s="6796"/>
      <c r="AC200" s="6797"/>
      <c r="AD200" s="6798"/>
      <c r="AE200" s="4" t="s">
        <v>1</v>
      </c>
      <c r="AF200" s="6202" t="str">
        <f t="shared" si="71"/>
        <v>►</v>
      </c>
      <c r="AG200" s="6234" t="str">
        <f t="shared" si="72"/>
        <v/>
      </c>
      <c r="AH200" s="6732" t="str">
        <f t="shared" si="73"/>
        <v/>
      </c>
      <c r="AI200" s="6234" t="str">
        <f t="shared" si="74"/>
        <v/>
      </c>
      <c r="AJ200" s="6732" t="str">
        <f t="shared" si="75"/>
        <v/>
      </c>
      <c r="AK200" s="6732">
        <f t="shared" si="76"/>
        <v>0</v>
      </c>
      <c r="AL200" s="6230" t="str" cm="1">
        <f t="array" ref="AL200">IF(AF200&lt;&gt;"A","",IFERROR((IFERROR(_xlfn.XLOOKUP(TRIM(SUBSTITUTE(U200,CHAR(160)," ")),$BJ$15:$BJ$62,$BM$15:$BM$62),IFERROR(_xlfn.XLOOKUP(TRIM(SUBSTITUTE(U200,CHAR(160)," ")),$BK$15:$BK$62,$BM$15:$BM$62),_xlfn.XLOOKUP(TRIM(SUBSTITUTE(U200,CHAR(160)," ")),$BL$15:$BL$62,$BM$15:$BM$62))))*T200*IF(ISBLANK(Q200),1,Q200)+IFERROR(_xlfn.XLOOKUP("RECHERCHEX",TRIM(L200:AD200),L200:AD200),0),0))</f>
        <v/>
      </c>
      <c r="AM200" s="6229">
        <f t="shared" si="77"/>
        <v>0</v>
      </c>
      <c r="AN200" s="6857" t="str">
        <f t="shared" si="92"/>
        <v/>
      </c>
      <c r="AO200" s="392">
        <f t="shared" si="78"/>
        <v>0</v>
      </c>
      <c r="AP200" s="392">
        <f t="shared" si="79"/>
        <v>0</v>
      </c>
      <c r="AQ200" s="6190">
        <f t="shared" si="80"/>
        <v>0</v>
      </c>
      <c r="AR200" s="6858" t="str">
        <f t="shared" si="81"/>
        <v/>
      </c>
      <c r="AS200" s="6217"/>
      <c r="AT200" s="6217"/>
      <c r="AU200" s="6271">
        <f t="shared" si="82"/>
        <v>0</v>
      </c>
      <c r="AV200" s="6242">
        <f t="shared" si="83"/>
        <v>0</v>
      </c>
      <c r="AW200" s="6188" cm="1">
        <f t="array" ref="AW200">IF(AK200&lt;&gt;1,0,IF(OR(AU200="",N(AU200)&lt;=0.000000001),"",IF(OR(AO200="",N(AO200)&lt;=0.000000001),0,IF(ISNUMBER(AU200),IFERROR(_xlfn.LET(_xlpm.ai_test,TRIM(AJ200),_xlpm.r,IFERROR(_xlfn.XLOOKUP(_xlpm.ai_test,$BJ$15:$BJ$62,ROW($BJ$15:$BJ$62),0,1),IFERROR(_xlfn.XLOOKUP(_xlpm.ai_test,$BK$15:$BK$62,ROW($BK$15:$BK$62),0,1),_xlfn.XLOOKUP(_xlpm.ai_test,$BL$15:$BL$62,ROW($BL$15:$BL$62),0,1))),_xlpm.p,_xlpm.r-MIN(ROW($BJ$15:$BJ$62))+1,_xlpm.f,INDEX($BM$15:$BM$62,_xlpm.p),_xlpm.u,INDEX($BN$15:$BN$62,_xlpm.p),_xlpm.s,INDEX($BP$15:$BP$62,_xlpm.p),_xlpm.q,N(AU200)/_xlpm.f,IF(_xlpm.q&gt;=_xlpm.s,ROUND(_xlpm.q,1)&amp;" "&amp;_xlpm.ai_test&amp;" = "&amp;ROUND(_xlpm.q*_xlpm.f,1)&amp;" "&amp;_xlpm.u,ROUND(_xlpm.q,1)&amp;" "&amp;_xlpm.ai_test)),""),""))))</f>
        <v>0</v>
      </c>
      <c r="AX200" s="6218"/>
      <c r="AY200" s="6271">
        <f t="shared" si="84"/>
        <v>0</v>
      </c>
      <c r="AZ200" s="6242" t="str">
        <f t="shared" si="85"/>
        <v/>
      </c>
      <c r="BA200" s="6194">
        <f t="shared" si="90"/>
        <v>0</v>
      </c>
      <c r="BB200" s="6192" t="str">
        <f t="shared" si="86"/>
        <v/>
      </c>
      <c r="BC200" s="6219"/>
      <c r="BD200" s="6221">
        <f t="shared" si="91"/>
        <v>0</v>
      </c>
      <c r="BE200" s="6220" t="str">
        <f t="shared" si="87"/>
        <v/>
      </c>
      <c r="BF200" s="4" t="s">
        <v>1</v>
      </c>
      <c r="BG200" s="6196">
        <f t="shared" si="88"/>
        <v>0</v>
      </c>
      <c r="BH200" s="6197">
        <f t="shared" si="89"/>
        <v>0</v>
      </c>
      <c r="BI200"/>
      <c r="BR200"/>
      <c r="BS200"/>
      <c r="BT200"/>
      <c r="BU200"/>
      <c r="BV200"/>
      <c r="BW200"/>
      <c r="BX200" s="20" t="str">
        <f t="shared" si="94"/>
        <v>►</v>
      </c>
      <c r="BY200"/>
      <c r="BZ200"/>
      <c r="CA200"/>
      <c r="CB200"/>
      <c r="CC200"/>
      <c r="CD200" s="2"/>
      <c r="CE200"/>
      <c r="CF200"/>
      <c r="CG200"/>
      <c r="CH200"/>
      <c r="CI200"/>
      <c r="CJ200"/>
      <c r="CK200"/>
      <c r="CM200"/>
      <c r="CN200"/>
      <c r="CO200"/>
      <c r="CP200"/>
      <c r="CQ200"/>
      <c r="CR200"/>
      <c r="CS200"/>
      <c r="CU200"/>
      <c r="CV200"/>
      <c r="CW200"/>
      <c r="CX200"/>
      <c r="CY200"/>
      <c r="CZ200"/>
      <c r="DA200"/>
      <c r="DC200" s="5">
        <v>1</v>
      </c>
    </row>
    <row r="201" spans="1:107" s="1" customFormat="1" ht="21" customHeight="1">
      <c r="A201" s="5641" t="s">
        <v>1</v>
      </c>
      <c r="B201" s="5662" t="str">
        <f t="shared" si="93"/>
        <v>►</v>
      </c>
      <c r="C201" s="5825" cm="1">
        <f t="array" ref="C201">SUMPRODUCT(LEN(D201:J201))</f>
        <v>0</v>
      </c>
      <c r="D201" s="5275"/>
      <c r="E201" s="1361"/>
      <c r="F201" s="1361"/>
      <c r="G201" s="1361"/>
      <c r="H201" s="1361"/>
      <c r="I201" s="1361"/>
      <c r="J201" s="5276"/>
      <c r="K201" s="106"/>
      <c r="L201" s="1021" t="s">
        <v>26</v>
      </c>
      <c r="M201" s="6787"/>
      <c r="N201" s="6787"/>
      <c r="O201" s="6787"/>
      <c r="P201" s="6788"/>
      <c r="Q201" s="6789"/>
      <c r="R201" s="6790"/>
      <c r="S201" s="6786"/>
      <c r="T201" s="6791"/>
      <c r="U201" s="6844"/>
      <c r="V201" s="6791"/>
      <c r="W201" s="8487"/>
      <c r="X201" s="6871"/>
      <c r="Y201" s="6793"/>
      <c r="Z201" s="6794"/>
      <c r="AA201" s="6795"/>
      <c r="AB201" s="6796"/>
      <c r="AC201" s="6797"/>
      <c r="AD201" s="6798"/>
      <c r="AE201" s="4" t="s">
        <v>1</v>
      </c>
      <c r="AF201" s="6202" t="str">
        <f t="shared" si="71"/>
        <v>►</v>
      </c>
      <c r="AG201" s="6234" t="str">
        <f t="shared" si="72"/>
        <v/>
      </c>
      <c r="AH201" s="6732" t="str">
        <f t="shared" si="73"/>
        <v/>
      </c>
      <c r="AI201" s="6234" t="str">
        <f t="shared" si="74"/>
        <v/>
      </c>
      <c r="AJ201" s="6732" t="str">
        <f t="shared" si="75"/>
        <v/>
      </c>
      <c r="AK201" s="6732">
        <f t="shared" si="76"/>
        <v>0</v>
      </c>
      <c r="AL201" s="6230" t="str" cm="1">
        <f t="array" ref="AL201">IF(AF201&lt;&gt;"A","",IFERROR((IFERROR(_xlfn.XLOOKUP(TRIM(SUBSTITUTE(U201,CHAR(160)," ")),$BJ$15:$BJ$62,$BM$15:$BM$62),IFERROR(_xlfn.XLOOKUP(TRIM(SUBSTITUTE(U201,CHAR(160)," ")),$BK$15:$BK$62,$BM$15:$BM$62),_xlfn.XLOOKUP(TRIM(SUBSTITUTE(U201,CHAR(160)," ")),$BL$15:$BL$62,$BM$15:$BM$62))))*T201*IF(ISBLANK(Q201),1,Q201)+IFERROR(_xlfn.XLOOKUP("RECHERCHEX",TRIM(L201:AD201),L201:AD201),0),0))</f>
        <v/>
      </c>
      <c r="AM201" s="6229">
        <f t="shared" si="77"/>
        <v>0</v>
      </c>
      <c r="AN201" s="6857" t="str">
        <f t="shared" si="92"/>
        <v/>
      </c>
      <c r="AO201" s="392">
        <f t="shared" si="78"/>
        <v>0</v>
      </c>
      <c r="AP201" s="392">
        <f t="shared" si="79"/>
        <v>0</v>
      </c>
      <c r="AQ201" s="6191">
        <f t="shared" si="80"/>
        <v>0</v>
      </c>
      <c r="AR201" s="6859" t="str">
        <f t="shared" si="81"/>
        <v/>
      </c>
      <c r="AS201" s="6217"/>
      <c r="AT201" s="6217"/>
      <c r="AU201" s="6272">
        <f t="shared" si="82"/>
        <v>0</v>
      </c>
      <c r="AV201" s="6240">
        <f t="shared" si="83"/>
        <v>0</v>
      </c>
      <c r="AW201" s="6189" cm="1">
        <f t="array" ref="AW201">IF(AK201&lt;&gt;1,0,IF(OR(AU201="",N(AU201)&lt;=0.000000001),"",IF(OR(AO201="",N(AO201)&lt;=0.000000001),0,IF(ISNUMBER(AU201),IFERROR(_xlfn.LET(_xlpm.ai_test,TRIM(AJ201),_xlpm.r,IFERROR(_xlfn.XLOOKUP(_xlpm.ai_test,$BJ$15:$BJ$62,ROW($BJ$15:$BJ$62),0,1),IFERROR(_xlfn.XLOOKUP(_xlpm.ai_test,$BK$15:$BK$62,ROW($BK$15:$BK$62),0,1),_xlfn.XLOOKUP(_xlpm.ai_test,$BL$15:$BL$62,ROW($BL$15:$BL$62),0,1))),_xlpm.p,_xlpm.r-MIN(ROW($BJ$15:$BJ$62))+1,_xlpm.f,INDEX($BM$15:$BM$62,_xlpm.p),_xlpm.u,INDEX($BN$15:$BN$62,_xlpm.p),_xlpm.s,INDEX($BP$15:$BP$62,_xlpm.p),_xlpm.q,N(AU201)/_xlpm.f,IF(_xlpm.q&gt;=_xlpm.s,ROUND(_xlpm.q,1)&amp;" "&amp;_xlpm.ai_test&amp;" = "&amp;ROUND(_xlpm.q*_xlpm.f,1)&amp;" "&amp;_xlpm.u,ROUND(_xlpm.q,1)&amp;" "&amp;_xlpm.ai_test)),""),""))))</f>
        <v>0</v>
      </c>
      <c r="AX201" s="6218"/>
      <c r="AY201" s="6272">
        <f t="shared" si="84"/>
        <v>0</v>
      </c>
      <c r="AZ201" s="6240" t="str">
        <f t="shared" si="85"/>
        <v/>
      </c>
      <c r="BA201" s="6195">
        <f t="shared" si="90"/>
        <v>0</v>
      </c>
      <c r="BB201" s="6193" t="str">
        <f t="shared" si="86"/>
        <v/>
      </c>
      <c r="BC201" s="6219"/>
      <c r="BD201" s="6222">
        <f t="shared" si="91"/>
        <v>0</v>
      </c>
      <c r="BE201" s="6220" t="str">
        <f t="shared" si="87"/>
        <v/>
      </c>
      <c r="BF201" s="4" t="s">
        <v>1</v>
      </c>
      <c r="BG201" s="6196">
        <f t="shared" si="88"/>
        <v>0</v>
      </c>
      <c r="BH201" s="6197">
        <f t="shared" si="89"/>
        <v>0</v>
      </c>
      <c r="BI201"/>
      <c r="BR201"/>
      <c r="BS201"/>
      <c r="BT201"/>
      <c r="BU201"/>
      <c r="BV201"/>
      <c r="BW201"/>
      <c r="BX201" s="20" t="str">
        <f t="shared" si="94"/>
        <v>►</v>
      </c>
      <c r="BY201"/>
      <c r="BZ201"/>
      <c r="CA201"/>
      <c r="CB201"/>
      <c r="CC201"/>
      <c r="CD201" s="2"/>
      <c r="CE201"/>
      <c r="CF201"/>
      <c r="CG201"/>
      <c r="CH201"/>
      <c r="CI201"/>
      <c r="CJ201"/>
      <c r="CK201"/>
      <c r="CM201"/>
      <c r="CN201"/>
      <c r="CO201"/>
      <c r="CP201"/>
      <c r="CQ201"/>
      <c r="CR201"/>
      <c r="CS201"/>
      <c r="CU201"/>
      <c r="CV201"/>
      <c r="CW201"/>
      <c r="CX201"/>
      <c r="CY201"/>
      <c r="CZ201"/>
      <c r="DA201"/>
      <c r="DC201" s="5">
        <v>1</v>
      </c>
    </row>
    <row r="202" spans="1:107" s="1" customFormat="1" ht="21" customHeight="1">
      <c r="A202" s="5641" t="s">
        <v>1</v>
      </c>
      <c r="B202" s="5662" t="str">
        <f t="shared" si="93"/>
        <v>►</v>
      </c>
      <c r="C202" s="5825" cm="1">
        <f t="array" ref="C202">SUMPRODUCT(LEN(D202:J202))</f>
        <v>0</v>
      </c>
      <c r="D202" s="5275"/>
      <c r="E202" s="1361"/>
      <c r="F202" s="1361"/>
      <c r="G202" s="1361"/>
      <c r="H202" s="1361"/>
      <c r="I202" s="1361"/>
      <c r="J202" s="5276"/>
      <c r="K202" s="106"/>
      <c r="L202" s="1021" t="s">
        <v>26</v>
      </c>
      <c r="M202" s="6787"/>
      <c r="N202" s="6787"/>
      <c r="O202" s="6787"/>
      <c r="P202" s="6788"/>
      <c r="Q202" s="6789"/>
      <c r="R202" s="6790"/>
      <c r="S202" s="6786"/>
      <c r="T202" s="6791"/>
      <c r="U202" s="6844"/>
      <c r="V202" s="6791"/>
      <c r="W202" s="8487"/>
      <c r="X202" s="6871"/>
      <c r="Y202" s="6793"/>
      <c r="Z202" s="6794"/>
      <c r="AA202" s="6795"/>
      <c r="AB202" s="6796"/>
      <c r="AC202" s="6797"/>
      <c r="AD202" s="6798"/>
      <c r="AE202" s="4" t="s">
        <v>1</v>
      </c>
      <c r="AF202" s="6202" t="str">
        <f t="shared" si="71"/>
        <v>►</v>
      </c>
      <c r="AG202" s="6234" t="str">
        <f t="shared" si="72"/>
        <v/>
      </c>
      <c r="AH202" s="6732" t="str">
        <f t="shared" si="73"/>
        <v/>
      </c>
      <c r="AI202" s="6234" t="str">
        <f t="shared" si="74"/>
        <v/>
      </c>
      <c r="AJ202" s="6732" t="str">
        <f t="shared" si="75"/>
        <v/>
      </c>
      <c r="AK202" s="6732">
        <f t="shared" si="76"/>
        <v>0</v>
      </c>
      <c r="AL202" s="6230" t="str" cm="1">
        <f t="array" ref="AL202">IF(AF202&lt;&gt;"A","",IFERROR((IFERROR(_xlfn.XLOOKUP(TRIM(SUBSTITUTE(U202,CHAR(160)," ")),$BJ$15:$BJ$62,$BM$15:$BM$62),IFERROR(_xlfn.XLOOKUP(TRIM(SUBSTITUTE(U202,CHAR(160)," ")),$BK$15:$BK$62,$BM$15:$BM$62),_xlfn.XLOOKUP(TRIM(SUBSTITUTE(U202,CHAR(160)," ")),$BL$15:$BL$62,$BM$15:$BM$62))))*T202*IF(ISBLANK(Q202),1,Q202)+IFERROR(_xlfn.XLOOKUP("RECHERCHEX",TRIM(L202:AD202),L202:AD202),0),0))</f>
        <v/>
      </c>
      <c r="AM202" s="6229">
        <f t="shared" si="77"/>
        <v>0</v>
      </c>
      <c r="AN202" s="6857" t="str">
        <f t="shared" si="92"/>
        <v/>
      </c>
      <c r="AO202" s="392">
        <f t="shared" si="78"/>
        <v>0</v>
      </c>
      <c r="AP202" s="392">
        <f t="shared" si="79"/>
        <v>0</v>
      </c>
      <c r="AQ202" s="6190">
        <f t="shared" si="80"/>
        <v>0</v>
      </c>
      <c r="AR202" s="6858" t="str">
        <f t="shared" si="81"/>
        <v/>
      </c>
      <c r="AS202" s="6217"/>
      <c r="AT202" s="6217"/>
      <c r="AU202" s="6271">
        <f t="shared" si="82"/>
        <v>0</v>
      </c>
      <c r="AV202" s="6242">
        <f t="shared" si="83"/>
        <v>0</v>
      </c>
      <c r="AW202" s="6188" cm="1">
        <f t="array" ref="AW202">IF(AK202&lt;&gt;1,0,IF(OR(AU202="",N(AU202)&lt;=0.000000001),"",IF(OR(AO202="",N(AO202)&lt;=0.000000001),0,IF(ISNUMBER(AU202),IFERROR(_xlfn.LET(_xlpm.ai_test,TRIM(AJ202),_xlpm.r,IFERROR(_xlfn.XLOOKUP(_xlpm.ai_test,$BJ$15:$BJ$62,ROW($BJ$15:$BJ$62),0,1),IFERROR(_xlfn.XLOOKUP(_xlpm.ai_test,$BK$15:$BK$62,ROW($BK$15:$BK$62),0,1),_xlfn.XLOOKUP(_xlpm.ai_test,$BL$15:$BL$62,ROW($BL$15:$BL$62),0,1))),_xlpm.p,_xlpm.r-MIN(ROW($BJ$15:$BJ$62))+1,_xlpm.f,INDEX($BM$15:$BM$62,_xlpm.p),_xlpm.u,INDEX($BN$15:$BN$62,_xlpm.p),_xlpm.s,INDEX($BP$15:$BP$62,_xlpm.p),_xlpm.q,N(AU202)/_xlpm.f,IF(_xlpm.q&gt;=_xlpm.s,ROUND(_xlpm.q,1)&amp;" "&amp;_xlpm.ai_test&amp;" = "&amp;ROUND(_xlpm.q*_xlpm.f,1)&amp;" "&amp;_xlpm.u,ROUND(_xlpm.q,1)&amp;" "&amp;_xlpm.ai_test)),""),""))))</f>
        <v>0</v>
      </c>
      <c r="AX202" s="6218"/>
      <c r="AY202" s="6271">
        <f t="shared" si="84"/>
        <v>0</v>
      </c>
      <c r="AZ202" s="6242" t="str">
        <f t="shared" si="85"/>
        <v/>
      </c>
      <c r="BA202" s="6194">
        <f t="shared" si="90"/>
        <v>0</v>
      </c>
      <c r="BB202" s="6192" t="str">
        <f t="shared" si="86"/>
        <v/>
      </c>
      <c r="BC202" s="6219"/>
      <c r="BD202" s="6221">
        <f t="shared" si="91"/>
        <v>0</v>
      </c>
      <c r="BE202" s="6220" t="str">
        <f t="shared" si="87"/>
        <v/>
      </c>
      <c r="BF202" s="4" t="s">
        <v>1</v>
      </c>
      <c r="BG202" s="6196">
        <f t="shared" si="88"/>
        <v>0</v>
      </c>
      <c r="BH202" s="6197">
        <f t="shared" si="89"/>
        <v>0</v>
      </c>
      <c r="BI202"/>
      <c r="BR202"/>
      <c r="BS202"/>
      <c r="BT202"/>
      <c r="BU202"/>
      <c r="BV202"/>
      <c r="BW202"/>
      <c r="BX202" s="20" t="str">
        <f t="shared" si="94"/>
        <v>►</v>
      </c>
      <c r="BY202"/>
      <c r="BZ202"/>
      <c r="CA202"/>
      <c r="CB202"/>
      <c r="CC202"/>
      <c r="CD202" s="2"/>
      <c r="CE202"/>
      <c r="CF202"/>
      <c r="CG202"/>
      <c r="CH202"/>
      <c r="CI202"/>
      <c r="CJ202"/>
      <c r="CK202"/>
      <c r="CM202"/>
      <c r="CN202"/>
      <c r="CO202"/>
      <c r="CP202"/>
      <c r="CQ202"/>
      <c r="CR202"/>
      <c r="CS202"/>
      <c r="CU202"/>
      <c r="CV202"/>
      <c r="CW202"/>
      <c r="CX202"/>
      <c r="CY202"/>
      <c r="CZ202"/>
      <c r="DA202"/>
      <c r="DC202" s="5">
        <v>1</v>
      </c>
    </row>
    <row r="203" spans="1:107" s="1" customFormat="1" ht="21" customHeight="1">
      <c r="A203" s="5641" t="s">
        <v>1</v>
      </c>
      <c r="B203" s="5662" t="str">
        <f t="shared" si="93"/>
        <v>►</v>
      </c>
      <c r="C203" s="5825" cm="1">
        <f t="array" ref="C203">SUMPRODUCT(LEN(D203:J203))</f>
        <v>0</v>
      </c>
      <c r="D203" s="5275"/>
      <c r="E203" s="1361"/>
      <c r="F203" s="1361"/>
      <c r="G203" s="1361"/>
      <c r="H203" s="1361"/>
      <c r="I203" s="1361"/>
      <c r="J203" s="5276"/>
      <c r="K203" s="106"/>
      <c r="L203" s="1021" t="s">
        <v>26</v>
      </c>
      <c r="M203" s="6787"/>
      <c r="N203" s="6787"/>
      <c r="O203" s="6787"/>
      <c r="P203" s="6788"/>
      <c r="Q203" s="6789"/>
      <c r="R203" s="6790"/>
      <c r="S203" s="6786"/>
      <c r="T203" s="6791"/>
      <c r="U203" s="6844"/>
      <c r="V203" s="6791"/>
      <c r="W203" s="8487"/>
      <c r="X203" s="6871"/>
      <c r="Y203" s="6793"/>
      <c r="Z203" s="6794"/>
      <c r="AA203" s="6795"/>
      <c r="AB203" s="6796"/>
      <c r="AC203" s="6797"/>
      <c r="AD203" s="6798"/>
      <c r="AE203" s="4" t="s">
        <v>1</v>
      </c>
      <c r="AF203" s="6202" t="str">
        <f t="shared" si="71"/>
        <v>►</v>
      </c>
      <c r="AG203" s="6234" t="str">
        <f t="shared" si="72"/>
        <v/>
      </c>
      <c r="AH203" s="6732" t="str">
        <f t="shared" si="73"/>
        <v/>
      </c>
      <c r="AI203" s="6234" t="str">
        <f t="shared" si="74"/>
        <v/>
      </c>
      <c r="AJ203" s="6732" t="str">
        <f t="shared" si="75"/>
        <v/>
      </c>
      <c r="AK203" s="6732">
        <f t="shared" si="76"/>
        <v>0</v>
      </c>
      <c r="AL203" s="6230" t="str" cm="1">
        <f t="array" ref="AL203">IF(AF203&lt;&gt;"A","",IFERROR((IFERROR(_xlfn.XLOOKUP(TRIM(SUBSTITUTE(U203,CHAR(160)," ")),$BJ$15:$BJ$62,$BM$15:$BM$62),IFERROR(_xlfn.XLOOKUP(TRIM(SUBSTITUTE(U203,CHAR(160)," ")),$BK$15:$BK$62,$BM$15:$BM$62),_xlfn.XLOOKUP(TRIM(SUBSTITUTE(U203,CHAR(160)," ")),$BL$15:$BL$62,$BM$15:$BM$62))))*T203*IF(ISBLANK(Q203),1,Q203)+IFERROR(_xlfn.XLOOKUP("RECHERCHEX",TRIM(L203:AD203),L203:AD203),0),0))</f>
        <v/>
      </c>
      <c r="AM203" s="6229">
        <f t="shared" si="77"/>
        <v>0</v>
      </c>
      <c r="AN203" s="6857" t="str">
        <f t="shared" si="92"/>
        <v/>
      </c>
      <c r="AO203" s="392">
        <f t="shared" si="78"/>
        <v>0</v>
      </c>
      <c r="AP203" s="392">
        <f t="shared" si="79"/>
        <v>0</v>
      </c>
      <c r="AQ203" s="6191">
        <f t="shared" si="80"/>
        <v>0</v>
      </c>
      <c r="AR203" s="6859" t="str">
        <f t="shared" si="81"/>
        <v/>
      </c>
      <c r="AS203" s="6217"/>
      <c r="AT203" s="6217"/>
      <c r="AU203" s="6272">
        <f t="shared" si="82"/>
        <v>0</v>
      </c>
      <c r="AV203" s="6240">
        <f t="shared" si="83"/>
        <v>0</v>
      </c>
      <c r="AW203" s="6189" cm="1">
        <f t="array" ref="AW203">IF(AK203&lt;&gt;1,0,IF(OR(AU203="",N(AU203)&lt;=0.000000001),"",IF(OR(AO203="",N(AO203)&lt;=0.000000001),0,IF(ISNUMBER(AU203),IFERROR(_xlfn.LET(_xlpm.ai_test,TRIM(AJ203),_xlpm.r,IFERROR(_xlfn.XLOOKUP(_xlpm.ai_test,$BJ$15:$BJ$62,ROW($BJ$15:$BJ$62),0,1),IFERROR(_xlfn.XLOOKUP(_xlpm.ai_test,$BK$15:$BK$62,ROW($BK$15:$BK$62),0,1),_xlfn.XLOOKUP(_xlpm.ai_test,$BL$15:$BL$62,ROW($BL$15:$BL$62),0,1))),_xlpm.p,_xlpm.r-MIN(ROW($BJ$15:$BJ$62))+1,_xlpm.f,INDEX($BM$15:$BM$62,_xlpm.p),_xlpm.u,INDEX($BN$15:$BN$62,_xlpm.p),_xlpm.s,INDEX($BP$15:$BP$62,_xlpm.p),_xlpm.q,N(AU203)/_xlpm.f,IF(_xlpm.q&gt;=_xlpm.s,ROUND(_xlpm.q,1)&amp;" "&amp;_xlpm.ai_test&amp;" = "&amp;ROUND(_xlpm.q*_xlpm.f,1)&amp;" "&amp;_xlpm.u,ROUND(_xlpm.q,1)&amp;" "&amp;_xlpm.ai_test)),""),""))))</f>
        <v>0</v>
      </c>
      <c r="AX203" s="6218"/>
      <c r="AY203" s="6272">
        <f t="shared" si="84"/>
        <v>0</v>
      </c>
      <c r="AZ203" s="6240" t="str">
        <f t="shared" si="85"/>
        <v/>
      </c>
      <c r="BA203" s="6195">
        <f t="shared" si="90"/>
        <v>0</v>
      </c>
      <c r="BB203" s="6193" t="str">
        <f t="shared" si="86"/>
        <v/>
      </c>
      <c r="BC203" s="6219"/>
      <c r="BD203" s="6222">
        <f t="shared" si="91"/>
        <v>0</v>
      </c>
      <c r="BE203" s="6220" t="str">
        <f t="shared" si="87"/>
        <v/>
      </c>
      <c r="BF203" s="4" t="s">
        <v>1</v>
      </c>
      <c r="BG203" s="6196">
        <f t="shared" si="88"/>
        <v>0</v>
      </c>
      <c r="BH203" s="6197">
        <f t="shared" si="89"/>
        <v>0</v>
      </c>
      <c r="BI203"/>
      <c r="BR203"/>
      <c r="BS203"/>
      <c r="BT203"/>
      <c r="BU203"/>
      <c r="BV203"/>
      <c r="BW203"/>
      <c r="BX203" s="20" t="str">
        <f t="shared" si="94"/>
        <v>►</v>
      </c>
      <c r="BY203"/>
      <c r="BZ203"/>
      <c r="CA203"/>
      <c r="CB203"/>
      <c r="CC203"/>
      <c r="CD203" s="2"/>
      <c r="CE203"/>
      <c r="CF203"/>
      <c r="CG203"/>
      <c r="CH203"/>
      <c r="CI203"/>
      <c r="CJ203"/>
      <c r="CK203"/>
      <c r="CM203"/>
      <c r="CN203"/>
      <c r="CO203"/>
      <c r="CP203"/>
      <c r="CQ203"/>
      <c r="CR203"/>
      <c r="CS203"/>
      <c r="CU203"/>
      <c r="CV203"/>
      <c r="CW203"/>
      <c r="CX203"/>
      <c r="CY203"/>
      <c r="CZ203"/>
      <c r="DA203"/>
      <c r="DC203" s="5">
        <v>1</v>
      </c>
    </row>
    <row r="204" spans="1:107" s="1" customFormat="1" ht="21" customHeight="1">
      <c r="A204" s="5641" t="s">
        <v>1</v>
      </c>
      <c r="B204" s="5662" t="str">
        <f t="shared" si="93"/>
        <v>►</v>
      </c>
      <c r="C204" s="5825" cm="1">
        <f t="array" ref="C204">SUMPRODUCT(LEN(D204:J204))</f>
        <v>0</v>
      </c>
      <c r="D204" s="5275"/>
      <c r="E204" s="1361"/>
      <c r="F204" s="1361"/>
      <c r="G204" s="1361"/>
      <c r="H204" s="1361"/>
      <c r="I204" s="1361"/>
      <c r="J204" s="5276"/>
      <c r="K204" s="106"/>
      <c r="L204" s="1021" t="s">
        <v>26</v>
      </c>
      <c r="M204" s="6787"/>
      <c r="N204" s="6787"/>
      <c r="O204" s="6787"/>
      <c r="P204" s="6788"/>
      <c r="Q204" s="6789"/>
      <c r="R204" s="6790"/>
      <c r="S204" s="6786"/>
      <c r="T204" s="6791"/>
      <c r="U204" s="6844"/>
      <c r="V204" s="6791"/>
      <c r="W204" s="8487"/>
      <c r="X204" s="6871"/>
      <c r="Y204" s="6793"/>
      <c r="Z204" s="6794"/>
      <c r="AA204" s="6795"/>
      <c r="AB204" s="6796"/>
      <c r="AC204" s="6797"/>
      <c r="AD204" s="6798"/>
      <c r="AE204" s="4" t="s">
        <v>1</v>
      </c>
      <c r="AF204" s="6202" t="str">
        <f t="shared" si="71"/>
        <v>►</v>
      </c>
      <c r="AG204" s="6234" t="str">
        <f t="shared" si="72"/>
        <v/>
      </c>
      <c r="AH204" s="6732" t="str">
        <f t="shared" si="73"/>
        <v/>
      </c>
      <c r="AI204" s="6234" t="str">
        <f t="shared" si="74"/>
        <v/>
      </c>
      <c r="AJ204" s="6732" t="str">
        <f t="shared" si="75"/>
        <v/>
      </c>
      <c r="AK204" s="6732">
        <f t="shared" si="76"/>
        <v>0</v>
      </c>
      <c r="AL204" s="6230" t="str" cm="1">
        <f t="array" ref="AL204">IF(AF204&lt;&gt;"A","",IFERROR((IFERROR(_xlfn.XLOOKUP(TRIM(SUBSTITUTE(U204,CHAR(160)," ")),$BJ$15:$BJ$62,$BM$15:$BM$62),IFERROR(_xlfn.XLOOKUP(TRIM(SUBSTITUTE(U204,CHAR(160)," ")),$BK$15:$BK$62,$BM$15:$BM$62),_xlfn.XLOOKUP(TRIM(SUBSTITUTE(U204,CHAR(160)," ")),$BL$15:$BL$62,$BM$15:$BM$62))))*T204*IF(ISBLANK(Q204),1,Q204)+IFERROR(_xlfn.XLOOKUP("RECHERCHEX",TRIM(L204:AD204),L204:AD204),0),0))</f>
        <v/>
      </c>
      <c r="AM204" s="6229">
        <f t="shared" si="77"/>
        <v>0</v>
      </c>
      <c r="AN204" s="6857" t="str">
        <f t="shared" si="92"/>
        <v/>
      </c>
      <c r="AO204" s="392">
        <f t="shared" si="78"/>
        <v>0</v>
      </c>
      <c r="AP204" s="392">
        <f t="shared" si="79"/>
        <v>0</v>
      </c>
      <c r="AQ204" s="6190">
        <f t="shared" si="80"/>
        <v>0</v>
      </c>
      <c r="AR204" s="6858" t="str">
        <f t="shared" si="81"/>
        <v/>
      </c>
      <c r="AS204" s="6217"/>
      <c r="AT204" s="6217"/>
      <c r="AU204" s="6271">
        <f t="shared" si="82"/>
        <v>0</v>
      </c>
      <c r="AV204" s="6242">
        <f t="shared" si="83"/>
        <v>0</v>
      </c>
      <c r="AW204" s="6188" cm="1">
        <f t="array" ref="AW204">IF(AK204&lt;&gt;1,0,IF(OR(AU204="",N(AU204)&lt;=0.000000001),"",IF(OR(AO204="",N(AO204)&lt;=0.000000001),0,IF(ISNUMBER(AU204),IFERROR(_xlfn.LET(_xlpm.ai_test,TRIM(AJ204),_xlpm.r,IFERROR(_xlfn.XLOOKUP(_xlpm.ai_test,$BJ$15:$BJ$62,ROW($BJ$15:$BJ$62),0,1),IFERROR(_xlfn.XLOOKUP(_xlpm.ai_test,$BK$15:$BK$62,ROW($BK$15:$BK$62),0,1),_xlfn.XLOOKUP(_xlpm.ai_test,$BL$15:$BL$62,ROW($BL$15:$BL$62),0,1))),_xlpm.p,_xlpm.r-MIN(ROW($BJ$15:$BJ$62))+1,_xlpm.f,INDEX($BM$15:$BM$62,_xlpm.p),_xlpm.u,INDEX($BN$15:$BN$62,_xlpm.p),_xlpm.s,INDEX($BP$15:$BP$62,_xlpm.p),_xlpm.q,N(AU204)/_xlpm.f,IF(_xlpm.q&gt;=_xlpm.s,ROUND(_xlpm.q,1)&amp;" "&amp;_xlpm.ai_test&amp;" = "&amp;ROUND(_xlpm.q*_xlpm.f,1)&amp;" "&amp;_xlpm.u,ROUND(_xlpm.q,1)&amp;" "&amp;_xlpm.ai_test)),""),""))))</f>
        <v>0</v>
      </c>
      <c r="AX204" s="6218"/>
      <c r="AY204" s="6271">
        <f t="shared" si="84"/>
        <v>0</v>
      </c>
      <c r="AZ204" s="6242" t="str">
        <f t="shared" si="85"/>
        <v/>
      </c>
      <c r="BA204" s="6194">
        <f t="shared" si="90"/>
        <v>0</v>
      </c>
      <c r="BB204" s="6192" t="str">
        <f t="shared" si="86"/>
        <v/>
      </c>
      <c r="BC204" s="6219"/>
      <c r="BD204" s="6221">
        <f t="shared" si="91"/>
        <v>0</v>
      </c>
      <c r="BE204" s="6220" t="str">
        <f t="shared" si="87"/>
        <v/>
      </c>
      <c r="BF204" s="4" t="s">
        <v>1</v>
      </c>
      <c r="BG204" s="6196">
        <f t="shared" si="88"/>
        <v>0</v>
      </c>
      <c r="BH204" s="6197">
        <f t="shared" si="89"/>
        <v>0</v>
      </c>
      <c r="BI204"/>
      <c r="BR204"/>
      <c r="BS204"/>
      <c r="BT204"/>
      <c r="BU204"/>
      <c r="BV204"/>
      <c r="BW204"/>
      <c r="BX204" s="20" t="str">
        <f t="shared" si="94"/>
        <v>►</v>
      </c>
      <c r="BY204"/>
      <c r="BZ204"/>
      <c r="CA204"/>
      <c r="CB204"/>
      <c r="CC204"/>
      <c r="CD204" s="2"/>
      <c r="CE204"/>
      <c r="CF204"/>
      <c r="CG204"/>
      <c r="CH204"/>
      <c r="CI204"/>
      <c r="CJ204"/>
      <c r="CK204"/>
      <c r="CM204"/>
      <c r="CN204"/>
      <c r="CO204"/>
      <c r="CP204"/>
      <c r="CQ204"/>
      <c r="CR204"/>
      <c r="CS204"/>
      <c r="CU204"/>
      <c r="CV204"/>
      <c r="CW204"/>
      <c r="CX204"/>
      <c r="CY204"/>
      <c r="CZ204"/>
      <c r="DA204"/>
      <c r="DC204" s="5">
        <v>1</v>
      </c>
    </row>
    <row r="205" spans="1:107" s="1" customFormat="1" ht="21" customHeight="1">
      <c r="A205" s="5641" t="s">
        <v>1</v>
      </c>
      <c r="B205" s="5662" t="str">
        <f t="shared" si="93"/>
        <v>►</v>
      </c>
      <c r="C205" s="5825" cm="1">
        <f t="array" ref="C205">SUMPRODUCT(LEN(D205:J205))</f>
        <v>0</v>
      </c>
      <c r="D205" s="5275"/>
      <c r="E205" s="1361"/>
      <c r="F205" s="1361"/>
      <c r="G205" s="1361"/>
      <c r="H205" s="1361"/>
      <c r="I205" s="1361"/>
      <c r="J205" s="5276"/>
      <c r="K205" s="106"/>
      <c r="L205" s="1021" t="s">
        <v>26</v>
      </c>
      <c r="M205" s="6787"/>
      <c r="N205" s="6787"/>
      <c r="O205" s="6787"/>
      <c r="P205" s="6788"/>
      <c r="Q205" s="6789"/>
      <c r="R205" s="6790"/>
      <c r="S205" s="6786"/>
      <c r="T205" s="6791"/>
      <c r="U205" s="6844"/>
      <c r="V205" s="6791"/>
      <c r="W205" s="8487"/>
      <c r="X205" s="6871"/>
      <c r="Y205" s="6793"/>
      <c r="Z205" s="6794"/>
      <c r="AA205" s="6795"/>
      <c r="AB205" s="6796"/>
      <c r="AC205" s="6797"/>
      <c r="AD205" s="6798"/>
      <c r="AE205" s="4" t="s">
        <v>1</v>
      </c>
      <c r="AF205" s="6202" t="str">
        <f t="shared" si="71"/>
        <v>►</v>
      </c>
      <c r="AG205" s="6234" t="str">
        <f t="shared" si="72"/>
        <v/>
      </c>
      <c r="AH205" s="6732" t="str">
        <f t="shared" si="73"/>
        <v/>
      </c>
      <c r="AI205" s="6234" t="str">
        <f t="shared" si="74"/>
        <v/>
      </c>
      <c r="AJ205" s="6732" t="str">
        <f t="shared" si="75"/>
        <v/>
      </c>
      <c r="AK205" s="6732">
        <f t="shared" si="76"/>
        <v>0</v>
      </c>
      <c r="AL205" s="6230" t="str" cm="1">
        <f t="array" ref="AL205">IF(AF205&lt;&gt;"A","",IFERROR((IFERROR(_xlfn.XLOOKUP(TRIM(SUBSTITUTE(U205,CHAR(160)," ")),$BJ$15:$BJ$62,$BM$15:$BM$62),IFERROR(_xlfn.XLOOKUP(TRIM(SUBSTITUTE(U205,CHAR(160)," ")),$BK$15:$BK$62,$BM$15:$BM$62),_xlfn.XLOOKUP(TRIM(SUBSTITUTE(U205,CHAR(160)," ")),$BL$15:$BL$62,$BM$15:$BM$62))))*T205*IF(ISBLANK(Q205),1,Q205)+IFERROR(_xlfn.XLOOKUP("RECHERCHEX",TRIM(L205:AD205),L205:AD205),0),0))</f>
        <v/>
      </c>
      <c r="AM205" s="6229">
        <f t="shared" si="77"/>
        <v>0</v>
      </c>
      <c r="AN205" s="6857" t="str">
        <f t="shared" si="92"/>
        <v/>
      </c>
      <c r="AO205" s="392">
        <f t="shared" si="78"/>
        <v>0</v>
      </c>
      <c r="AP205" s="392">
        <f t="shared" si="79"/>
        <v>0</v>
      </c>
      <c r="AQ205" s="6191">
        <f t="shared" si="80"/>
        <v>0</v>
      </c>
      <c r="AR205" s="6859" t="str">
        <f t="shared" si="81"/>
        <v/>
      </c>
      <c r="AS205" s="6217"/>
      <c r="AT205" s="6217"/>
      <c r="AU205" s="6272">
        <f t="shared" si="82"/>
        <v>0</v>
      </c>
      <c r="AV205" s="6240">
        <f t="shared" si="83"/>
        <v>0</v>
      </c>
      <c r="AW205" s="6189" cm="1">
        <f t="array" ref="AW205">IF(AK205&lt;&gt;1,0,IF(OR(AU205="",N(AU205)&lt;=0.000000001),"",IF(OR(AO205="",N(AO205)&lt;=0.000000001),0,IF(ISNUMBER(AU205),IFERROR(_xlfn.LET(_xlpm.ai_test,TRIM(AJ205),_xlpm.r,IFERROR(_xlfn.XLOOKUP(_xlpm.ai_test,$BJ$15:$BJ$62,ROW($BJ$15:$BJ$62),0,1),IFERROR(_xlfn.XLOOKUP(_xlpm.ai_test,$BK$15:$BK$62,ROW($BK$15:$BK$62),0,1),_xlfn.XLOOKUP(_xlpm.ai_test,$BL$15:$BL$62,ROW($BL$15:$BL$62),0,1))),_xlpm.p,_xlpm.r-MIN(ROW($BJ$15:$BJ$62))+1,_xlpm.f,INDEX($BM$15:$BM$62,_xlpm.p),_xlpm.u,INDEX($BN$15:$BN$62,_xlpm.p),_xlpm.s,INDEX($BP$15:$BP$62,_xlpm.p),_xlpm.q,N(AU205)/_xlpm.f,IF(_xlpm.q&gt;=_xlpm.s,ROUND(_xlpm.q,1)&amp;" "&amp;_xlpm.ai_test&amp;" = "&amp;ROUND(_xlpm.q*_xlpm.f,1)&amp;" "&amp;_xlpm.u,ROUND(_xlpm.q,1)&amp;" "&amp;_xlpm.ai_test)),""),""))))</f>
        <v>0</v>
      </c>
      <c r="AX205" s="6218"/>
      <c r="AY205" s="6272">
        <f t="shared" si="84"/>
        <v>0</v>
      </c>
      <c r="AZ205" s="6240" t="str">
        <f t="shared" si="85"/>
        <v/>
      </c>
      <c r="BA205" s="6195">
        <f t="shared" si="90"/>
        <v>0</v>
      </c>
      <c r="BB205" s="6193" t="str">
        <f t="shared" si="86"/>
        <v/>
      </c>
      <c r="BC205" s="6219"/>
      <c r="BD205" s="6222">
        <f t="shared" si="91"/>
        <v>0</v>
      </c>
      <c r="BE205" s="6220" t="str">
        <f t="shared" si="87"/>
        <v/>
      </c>
      <c r="BF205" s="4" t="s">
        <v>1</v>
      </c>
      <c r="BG205" s="6196">
        <f t="shared" si="88"/>
        <v>0</v>
      </c>
      <c r="BH205" s="6197">
        <f t="shared" si="89"/>
        <v>0</v>
      </c>
      <c r="BI205"/>
      <c r="BR205"/>
      <c r="BS205"/>
      <c r="BT205"/>
      <c r="BU205"/>
      <c r="BV205"/>
      <c r="BW205"/>
      <c r="BX205" s="20" t="str">
        <f t="shared" si="94"/>
        <v>►</v>
      </c>
      <c r="BY205"/>
      <c r="BZ205"/>
      <c r="CA205"/>
      <c r="CB205"/>
      <c r="CC205"/>
      <c r="CD205" s="2"/>
      <c r="CE205"/>
      <c r="CF205"/>
      <c r="CG205"/>
      <c r="CH205"/>
      <c r="CI205"/>
      <c r="CJ205"/>
      <c r="CK205"/>
      <c r="CM205"/>
      <c r="CN205"/>
      <c r="CO205"/>
      <c r="CP205"/>
      <c r="CQ205"/>
      <c r="CR205"/>
      <c r="CS205"/>
      <c r="CU205"/>
      <c r="CV205"/>
      <c r="CW205"/>
      <c r="CX205"/>
      <c r="CY205"/>
      <c r="CZ205"/>
      <c r="DA205"/>
      <c r="DC205" s="5">
        <v>1</v>
      </c>
    </row>
    <row r="206" spans="1:107" s="1" customFormat="1" ht="21" customHeight="1">
      <c r="A206" s="5641" t="s">
        <v>1</v>
      </c>
      <c r="B206" s="5662" t="str">
        <f t="shared" si="93"/>
        <v>►</v>
      </c>
      <c r="C206" s="5825" cm="1">
        <f t="array" ref="C206">SUMPRODUCT(LEN(D206:J206))</f>
        <v>0</v>
      </c>
      <c r="D206" s="5275"/>
      <c r="E206" s="1361"/>
      <c r="F206" s="1361"/>
      <c r="G206" s="1361"/>
      <c r="H206" s="1361"/>
      <c r="I206" s="1361"/>
      <c r="J206" s="5276"/>
      <c r="K206" s="106"/>
      <c r="L206" s="1021" t="s">
        <v>26</v>
      </c>
      <c r="M206" s="6787"/>
      <c r="N206" s="6787"/>
      <c r="O206" s="6787"/>
      <c r="P206" s="6788"/>
      <c r="Q206" s="6789"/>
      <c r="R206" s="6790"/>
      <c r="S206" s="6786"/>
      <c r="T206" s="6791"/>
      <c r="U206" s="6844"/>
      <c r="V206" s="6791"/>
      <c r="W206" s="8487"/>
      <c r="X206" s="6871"/>
      <c r="Y206" s="6793"/>
      <c r="Z206" s="6794"/>
      <c r="AA206" s="6795"/>
      <c r="AB206" s="6796"/>
      <c r="AC206" s="6797"/>
      <c r="AD206" s="6798"/>
      <c r="AE206" s="4" t="s">
        <v>1</v>
      </c>
      <c r="AF206" s="6202" t="str">
        <f t="shared" si="71"/>
        <v>►</v>
      </c>
      <c r="AG206" s="6234" t="str">
        <f t="shared" si="72"/>
        <v/>
      </c>
      <c r="AH206" s="6732" t="str">
        <f t="shared" si="73"/>
        <v/>
      </c>
      <c r="AI206" s="6234" t="str">
        <f t="shared" si="74"/>
        <v/>
      </c>
      <c r="AJ206" s="6732" t="str">
        <f t="shared" si="75"/>
        <v/>
      </c>
      <c r="AK206" s="6732">
        <f t="shared" si="76"/>
        <v>0</v>
      </c>
      <c r="AL206" s="6230" t="str" cm="1">
        <f t="array" ref="AL206">IF(AF206&lt;&gt;"A","",IFERROR((IFERROR(_xlfn.XLOOKUP(TRIM(SUBSTITUTE(U206,CHAR(160)," ")),$BJ$15:$BJ$62,$BM$15:$BM$62),IFERROR(_xlfn.XLOOKUP(TRIM(SUBSTITUTE(U206,CHAR(160)," ")),$BK$15:$BK$62,$BM$15:$BM$62),_xlfn.XLOOKUP(TRIM(SUBSTITUTE(U206,CHAR(160)," ")),$BL$15:$BL$62,$BM$15:$BM$62))))*T206*IF(ISBLANK(Q206),1,Q206)+IFERROR(_xlfn.XLOOKUP("RECHERCHEX",TRIM(L206:AD206),L206:AD206),0),0))</f>
        <v/>
      </c>
      <c r="AM206" s="6229">
        <f t="shared" si="77"/>
        <v>0</v>
      </c>
      <c r="AN206" s="6857" t="str">
        <f t="shared" si="92"/>
        <v/>
      </c>
      <c r="AO206" s="392">
        <f t="shared" si="78"/>
        <v>0</v>
      </c>
      <c r="AP206" s="392">
        <f t="shared" si="79"/>
        <v>0</v>
      </c>
      <c r="AQ206" s="6190">
        <f t="shared" si="80"/>
        <v>0</v>
      </c>
      <c r="AR206" s="6858" t="str">
        <f t="shared" si="81"/>
        <v/>
      </c>
      <c r="AS206" s="6217"/>
      <c r="AT206" s="6217"/>
      <c r="AU206" s="6271">
        <f t="shared" si="82"/>
        <v>0</v>
      </c>
      <c r="AV206" s="6242">
        <f t="shared" si="83"/>
        <v>0</v>
      </c>
      <c r="AW206" s="6188" cm="1">
        <f t="array" ref="AW206">IF(AK206&lt;&gt;1,0,IF(OR(AU206="",N(AU206)&lt;=0.000000001),"",IF(OR(AO206="",N(AO206)&lt;=0.000000001),0,IF(ISNUMBER(AU206),IFERROR(_xlfn.LET(_xlpm.ai_test,TRIM(AJ206),_xlpm.r,IFERROR(_xlfn.XLOOKUP(_xlpm.ai_test,$BJ$15:$BJ$62,ROW($BJ$15:$BJ$62),0,1),IFERROR(_xlfn.XLOOKUP(_xlpm.ai_test,$BK$15:$BK$62,ROW($BK$15:$BK$62),0,1),_xlfn.XLOOKUP(_xlpm.ai_test,$BL$15:$BL$62,ROW($BL$15:$BL$62),0,1))),_xlpm.p,_xlpm.r-MIN(ROW($BJ$15:$BJ$62))+1,_xlpm.f,INDEX($BM$15:$BM$62,_xlpm.p),_xlpm.u,INDEX($BN$15:$BN$62,_xlpm.p),_xlpm.s,INDEX($BP$15:$BP$62,_xlpm.p),_xlpm.q,N(AU206)/_xlpm.f,IF(_xlpm.q&gt;=_xlpm.s,ROUND(_xlpm.q,1)&amp;" "&amp;_xlpm.ai_test&amp;" = "&amp;ROUND(_xlpm.q*_xlpm.f,1)&amp;" "&amp;_xlpm.u,ROUND(_xlpm.q,1)&amp;" "&amp;_xlpm.ai_test)),""),""))))</f>
        <v>0</v>
      </c>
      <c r="AX206" s="6218"/>
      <c r="AY206" s="6271">
        <f t="shared" si="84"/>
        <v>0</v>
      </c>
      <c r="AZ206" s="6242" t="str">
        <f t="shared" si="85"/>
        <v/>
      </c>
      <c r="BA206" s="6194">
        <f t="shared" si="90"/>
        <v>0</v>
      </c>
      <c r="BB206" s="6192" t="str">
        <f t="shared" si="86"/>
        <v/>
      </c>
      <c r="BC206" s="6219"/>
      <c r="BD206" s="6221">
        <f t="shared" si="91"/>
        <v>0</v>
      </c>
      <c r="BE206" s="6220" t="str">
        <f t="shared" si="87"/>
        <v/>
      </c>
      <c r="BF206" s="4" t="s">
        <v>1</v>
      </c>
      <c r="BG206" s="6196">
        <f t="shared" si="88"/>
        <v>0</v>
      </c>
      <c r="BH206" s="6197">
        <f t="shared" si="89"/>
        <v>0</v>
      </c>
      <c r="BI206"/>
      <c r="BR206"/>
      <c r="BS206"/>
      <c r="BT206"/>
      <c r="BU206"/>
      <c r="BV206"/>
      <c r="BW206"/>
      <c r="BX206" s="20" t="str">
        <f t="shared" si="94"/>
        <v>►</v>
      </c>
      <c r="BY206"/>
      <c r="BZ206"/>
      <c r="CA206"/>
      <c r="CB206"/>
      <c r="CC206"/>
      <c r="CD206" s="2"/>
      <c r="CE206"/>
      <c r="CF206"/>
      <c r="CG206"/>
      <c r="CH206"/>
      <c r="CI206"/>
      <c r="CJ206"/>
      <c r="CK206"/>
      <c r="CM206"/>
      <c r="CN206"/>
      <c r="CO206"/>
      <c r="CP206"/>
      <c r="CQ206"/>
      <c r="CR206"/>
      <c r="CS206"/>
      <c r="CU206"/>
      <c r="CV206"/>
      <c r="CW206"/>
      <c r="CX206"/>
      <c r="CY206"/>
      <c r="CZ206"/>
      <c r="DA206"/>
      <c r="DC206" s="5">
        <v>1</v>
      </c>
    </row>
    <row r="207" spans="1:107" s="1" customFormat="1" ht="21" customHeight="1">
      <c r="A207" s="5641" t="s">
        <v>1</v>
      </c>
      <c r="B207" s="5662" t="str">
        <f t="shared" si="93"/>
        <v>►</v>
      </c>
      <c r="C207" s="5825" cm="1">
        <f t="array" ref="C207">SUMPRODUCT(LEN(D207:J207))</f>
        <v>0</v>
      </c>
      <c r="D207" s="5275"/>
      <c r="E207" s="1361"/>
      <c r="F207" s="1361"/>
      <c r="G207" s="1361"/>
      <c r="H207" s="1361"/>
      <c r="I207" s="1361"/>
      <c r="J207" s="5276"/>
      <c r="K207" s="106"/>
      <c r="L207" s="1021" t="s">
        <v>26</v>
      </c>
      <c r="M207" s="6787"/>
      <c r="N207" s="6787"/>
      <c r="O207" s="6787"/>
      <c r="P207" s="6788"/>
      <c r="Q207" s="6789"/>
      <c r="R207" s="6790"/>
      <c r="S207" s="6786"/>
      <c r="T207" s="6791"/>
      <c r="U207" s="6844"/>
      <c r="V207" s="6791"/>
      <c r="W207" s="8487"/>
      <c r="X207" s="6871"/>
      <c r="Y207" s="6793"/>
      <c r="Z207" s="6794"/>
      <c r="AA207" s="6795"/>
      <c r="AB207" s="6796"/>
      <c r="AC207" s="6797"/>
      <c r="AD207" s="6798"/>
      <c r="AE207" s="4" t="s">
        <v>1</v>
      </c>
      <c r="AF207" s="6202" t="str">
        <f t="shared" si="71"/>
        <v>►</v>
      </c>
      <c r="AG207" s="6234" t="str">
        <f t="shared" si="72"/>
        <v/>
      </c>
      <c r="AH207" s="6732" t="str">
        <f t="shared" si="73"/>
        <v/>
      </c>
      <c r="AI207" s="6234" t="str">
        <f t="shared" si="74"/>
        <v/>
      </c>
      <c r="AJ207" s="6732" t="str">
        <f t="shared" si="75"/>
        <v/>
      </c>
      <c r="AK207" s="6732">
        <f t="shared" si="76"/>
        <v>0</v>
      </c>
      <c r="AL207" s="6230" t="str" cm="1">
        <f t="array" ref="AL207">IF(AF207&lt;&gt;"A","",IFERROR((IFERROR(_xlfn.XLOOKUP(TRIM(SUBSTITUTE(U207,CHAR(160)," ")),$BJ$15:$BJ$62,$BM$15:$BM$62),IFERROR(_xlfn.XLOOKUP(TRIM(SUBSTITUTE(U207,CHAR(160)," ")),$BK$15:$BK$62,$BM$15:$BM$62),_xlfn.XLOOKUP(TRIM(SUBSTITUTE(U207,CHAR(160)," ")),$BL$15:$BL$62,$BM$15:$BM$62))))*T207*IF(ISBLANK(Q207),1,Q207)+IFERROR(_xlfn.XLOOKUP("RECHERCHEX",TRIM(L207:AD207),L207:AD207),0),0))</f>
        <v/>
      </c>
      <c r="AM207" s="6229">
        <f t="shared" si="77"/>
        <v>0</v>
      </c>
      <c r="AN207" s="6857" t="str">
        <f t="shared" si="92"/>
        <v/>
      </c>
      <c r="AO207" s="392">
        <f t="shared" si="78"/>
        <v>0</v>
      </c>
      <c r="AP207" s="392">
        <f t="shared" si="79"/>
        <v>0</v>
      </c>
      <c r="AQ207" s="6191">
        <f t="shared" si="80"/>
        <v>0</v>
      </c>
      <c r="AR207" s="6859" t="str">
        <f t="shared" si="81"/>
        <v/>
      </c>
      <c r="AS207" s="6217"/>
      <c r="AT207" s="6217"/>
      <c r="AU207" s="6272">
        <f t="shared" si="82"/>
        <v>0</v>
      </c>
      <c r="AV207" s="6240">
        <f t="shared" si="83"/>
        <v>0</v>
      </c>
      <c r="AW207" s="6189" cm="1">
        <f t="array" ref="AW207">IF(AK207&lt;&gt;1,0,IF(OR(AU207="",N(AU207)&lt;=0.000000001),"",IF(OR(AO207="",N(AO207)&lt;=0.000000001),0,IF(ISNUMBER(AU207),IFERROR(_xlfn.LET(_xlpm.ai_test,TRIM(AJ207),_xlpm.r,IFERROR(_xlfn.XLOOKUP(_xlpm.ai_test,$BJ$15:$BJ$62,ROW($BJ$15:$BJ$62),0,1),IFERROR(_xlfn.XLOOKUP(_xlpm.ai_test,$BK$15:$BK$62,ROW($BK$15:$BK$62),0,1),_xlfn.XLOOKUP(_xlpm.ai_test,$BL$15:$BL$62,ROW($BL$15:$BL$62),0,1))),_xlpm.p,_xlpm.r-MIN(ROW($BJ$15:$BJ$62))+1,_xlpm.f,INDEX($BM$15:$BM$62,_xlpm.p),_xlpm.u,INDEX($BN$15:$BN$62,_xlpm.p),_xlpm.s,INDEX($BP$15:$BP$62,_xlpm.p),_xlpm.q,N(AU207)/_xlpm.f,IF(_xlpm.q&gt;=_xlpm.s,ROUND(_xlpm.q,1)&amp;" "&amp;_xlpm.ai_test&amp;" = "&amp;ROUND(_xlpm.q*_xlpm.f,1)&amp;" "&amp;_xlpm.u,ROUND(_xlpm.q,1)&amp;" "&amp;_xlpm.ai_test)),""),""))))</f>
        <v>0</v>
      </c>
      <c r="AX207" s="6218"/>
      <c r="AY207" s="6272">
        <f t="shared" si="84"/>
        <v>0</v>
      </c>
      <c r="AZ207" s="6240" t="str">
        <f t="shared" si="85"/>
        <v/>
      </c>
      <c r="BA207" s="6195">
        <f t="shared" si="90"/>
        <v>0</v>
      </c>
      <c r="BB207" s="6193" t="str">
        <f t="shared" si="86"/>
        <v/>
      </c>
      <c r="BC207" s="6219"/>
      <c r="BD207" s="6222">
        <f t="shared" si="91"/>
        <v>0</v>
      </c>
      <c r="BE207" s="6220" t="str">
        <f t="shared" si="87"/>
        <v/>
      </c>
      <c r="BF207" s="4" t="s">
        <v>1</v>
      </c>
      <c r="BG207" s="6196">
        <f t="shared" si="88"/>
        <v>0</v>
      </c>
      <c r="BH207" s="6197">
        <f t="shared" si="89"/>
        <v>0</v>
      </c>
      <c r="BI207"/>
      <c r="BR207"/>
      <c r="BS207"/>
      <c r="BT207"/>
      <c r="BU207"/>
      <c r="BV207"/>
      <c r="BW207"/>
      <c r="BX207" s="20" t="str">
        <f t="shared" si="94"/>
        <v>►</v>
      </c>
      <c r="BY207"/>
      <c r="BZ207"/>
      <c r="CA207"/>
      <c r="CB207"/>
      <c r="CC207"/>
      <c r="CD207" s="2"/>
      <c r="CE207"/>
      <c r="CF207"/>
      <c r="CG207"/>
      <c r="CH207"/>
      <c r="CI207"/>
      <c r="CJ207"/>
      <c r="CK207"/>
      <c r="CM207"/>
      <c r="CN207"/>
      <c r="CO207"/>
      <c r="CP207"/>
      <c r="CQ207"/>
      <c r="CR207"/>
      <c r="CS207"/>
      <c r="CU207"/>
      <c r="CV207"/>
      <c r="CW207"/>
      <c r="CX207"/>
      <c r="CY207"/>
      <c r="CZ207"/>
      <c r="DA207"/>
      <c r="DC207" s="5">
        <v>1</v>
      </c>
    </row>
    <row r="208" spans="1:107" s="1" customFormat="1" ht="21" customHeight="1">
      <c r="A208" s="5641" t="s">
        <v>1</v>
      </c>
      <c r="B208" s="5662" t="str">
        <f t="shared" si="93"/>
        <v>►</v>
      </c>
      <c r="C208" s="5825" cm="1">
        <f t="array" ref="C208">SUMPRODUCT(LEN(D208:J208))</f>
        <v>0</v>
      </c>
      <c r="D208" s="5275"/>
      <c r="E208" s="1361"/>
      <c r="F208" s="1361"/>
      <c r="G208" s="1361"/>
      <c r="H208" s="1361"/>
      <c r="I208" s="1361"/>
      <c r="J208" s="5276"/>
      <c r="K208" s="106" t="s">
        <v>1</v>
      </c>
      <c r="L208" s="1021" t="s">
        <v>26</v>
      </c>
      <c r="M208" s="6787"/>
      <c r="N208" s="6787"/>
      <c r="O208" s="6787"/>
      <c r="P208" s="6788"/>
      <c r="Q208" s="6789"/>
      <c r="R208" s="6790"/>
      <c r="S208" s="6786"/>
      <c r="T208" s="6791"/>
      <c r="U208" s="6844"/>
      <c r="V208" s="6791"/>
      <c r="W208" s="8487"/>
      <c r="X208" s="6871"/>
      <c r="Y208" s="6793"/>
      <c r="Z208" s="6794"/>
      <c r="AA208" s="6795"/>
      <c r="AB208" s="6796"/>
      <c r="AC208" s="6797"/>
      <c r="AD208" s="6798"/>
      <c r="AE208" s="4" t="s">
        <v>1</v>
      </c>
      <c r="AF208" s="6202" t="str">
        <f t="shared" si="71"/>
        <v>►</v>
      </c>
      <c r="AG208" s="6234" t="str">
        <f t="shared" si="72"/>
        <v/>
      </c>
      <c r="AH208" s="6732" t="str">
        <f t="shared" si="73"/>
        <v/>
      </c>
      <c r="AI208" s="6234" t="str">
        <f t="shared" si="74"/>
        <v/>
      </c>
      <c r="AJ208" s="6732" t="str">
        <f t="shared" si="75"/>
        <v/>
      </c>
      <c r="AK208" s="6732">
        <f t="shared" si="76"/>
        <v>0</v>
      </c>
      <c r="AL208" s="6230" t="str" cm="1">
        <f t="array" ref="AL208">IF(AF208&lt;&gt;"A","",IFERROR((IFERROR(_xlfn.XLOOKUP(TRIM(SUBSTITUTE(U208,CHAR(160)," ")),$BJ$15:$BJ$62,$BM$15:$BM$62),IFERROR(_xlfn.XLOOKUP(TRIM(SUBSTITUTE(U208,CHAR(160)," ")),$BK$15:$BK$62,$BM$15:$BM$62),_xlfn.XLOOKUP(TRIM(SUBSTITUTE(U208,CHAR(160)," ")),$BL$15:$BL$62,$BM$15:$BM$62))))*T208*IF(ISBLANK(Q208),1,Q208)+IFERROR(_xlfn.XLOOKUP("RECHERCHEX",TRIM(L208:AD208),L208:AD208),0),0))</f>
        <v/>
      </c>
      <c r="AM208" s="6229">
        <f t="shared" si="77"/>
        <v>0</v>
      </c>
      <c r="AN208" s="6857" t="str">
        <f t="shared" si="92"/>
        <v/>
      </c>
      <c r="AO208" s="392">
        <f t="shared" si="78"/>
        <v>0</v>
      </c>
      <c r="AP208" s="392">
        <f t="shared" si="79"/>
        <v>0</v>
      </c>
      <c r="AQ208" s="6190">
        <f t="shared" si="80"/>
        <v>0</v>
      </c>
      <c r="AR208" s="6858" t="str">
        <f t="shared" si="81"/>
        <v/>
      </c>
      <c r="AS208" s="6217"/>
      <c r="AT208" s="6217"/>
      <c r="AU208" s="6271">
        <f t="shared" si="82"/>
        <v>0</v>
      </c>
      <c r="AV208" s="6242">
        <f t="shared" si="83"/>
        <v>0</v>
      </c>
      <c r="AW208" s="6188" cm="1">
        <f t="array" ref="AW208">IF(AK208&lt;&gt;1,0,IF(OR(AU208="",N(AU208)&lt;=0.000000001),"",IF(OR(AO208="",N(AO208)&lt;=0.000000001),0,IF(ISNUMBER(AU208),IFERROR(_xlfn.LET(_xlpm.ai_test,TRIM(AJ208),_xlpm.r,IFERROR(_xlfn.XLOOKUP(_xlpm.ai_test,$BJ$15:$BJ$62,ROW($BJ$15:$BJ$62),0,1),IFERROR(_xlfn.XLOOKUP(_xlpm.ai_test,$BK$15:$BK$62,ROW($BK$15:$BK$62),0,1),_xlfn.XLOOKUP(_xlpm.ai_test,$BL$15:$BL$62,ROW($BL$15:$BL$62),0,1))),_xlpm.p,_xlpm.r-MIN(ROW($BJ$15:$BJ$62))+1,_xlpm.f,INDEX($BM$15:$BM$62,_xlpm.p),_xlpm.u,INDEX($BN$15:$BN$62,_xlpm.p),_xlpm.s,INDEX($BP$15:$BP$62,_xlpm.p),_xlpm.q,N(AU208)/_xlpm.f,IF(_xlpm.q&gt;=_xlpm.s,ROUND(_xlpm.q,1)&amp;" "&amp;_xlpm.ai_test&amp;" = "&amp;ROUND(_xlpm.q*_xlpm.f,1)&amp;" "&amp;_xlpm.u,ROUND(_xlpm.q,1)&amp;" "&amp;_xlpm.ai_test)),""),""))))</f>
        <v>0</v>
      </c>
      <c r="AX208" s="6218"/>
      <c r="AY208" s="6271">
        <f t="shared" si="84"/>
        <v>0</v>
      </c>
      <c r="AZ208" s="6242" t="str">
        <f t="shared" si="85"/>
        <v/>
      </c>
      <c r="BA208" s="6194">
        <f t="shared" si="90"/>
        <v>0</v>
      </c>
      <c r="BB208" s="6192" t="str">
        <f t="shared" si="86"/>
        <v/>
      </c>
      <c r="BC208" s="6219"/>
      <c r="BD208" s="6221">
        <f t="shared" si="91"/>
        <v>0</v>
      </c>
      <c r="BE208" s="6220" t="str">
        <f t="shared" si="87"/>
        <v/>
      </c>
      <c r="BF208" s="4" t="s">
        <v>1</v>
      </c>
      <c r="BG208" s="6196">
        <f t="shared" si="88"/>
        <v>0</v>
      </c>
      <c r="BH208" s="6197">
        <f t="shared" si="89"/>
        <v>0</v>
      </c>
      <c r="BI208"/>
      <c r="BR208"/>
      <c r="BS208"/>
      <c r="BT208"/>
      <c r="BU208"/>
      <c r="BV208"/>
      <c r="BW208"/>
      <c r="BX208" s="20" t="str">
        <f t="shared" si="94"/>
        <v>►</v>
      </c>
      <c r="BY208"/>
      <c r="BZ208"/>
      <c r="CA208"/>
      <c r="CB208"/>
      <c r="CC208"/>
      <c r="CD208" s="2"/>
      <c r="CE208"/>
      <c r="CF208"/>
      <c r="CG208"/>
      <c r="CH208"/>
      <c r="CI208"/>
      <c r="CJ208"/>
      <c r="CK208"/>
      <c r="CM208"/>
      <c r="CN208"/>
      <c r="CO208"/>
      <c r="CP208"/>
      <c r="CQ208"/>
      <c r="CR208"/>
      <c r="CS208"/>
      <c r="CU208"/>
      <c r="CV208"/>
      <c r="CW208"/>
      <c r="CX208"/>
      <c r="CY208"/>
      <c r="CZ208"/>
      <c r="DA208"/>
      <c r="DC208" s="5">
        <v>1</v>
      </c>
    </row>
    <row r="209" spans="1:107" s="1" customFormat="1" ht="21" customHeight="1">
      <c r="A209" s="5641" t="s">
        <v>1</v>
      </c>
      <c r="B209" s="5662" t="str">
        <f t="shared" si="93"/>
        <v>►</v>
      </c>
      <c r="C209" s="5825" cm="1">
        <f t="array" ref="C209">SUMPRODUCT(LEN(D209:J209))</f>
        <v>0</v>
      </c>
      <c r="D209" s="5275"/>
      <c r="E209" s="1361"/>
      <c r="F209" s="1361"/>
      <c r="G209" s="1361"/>
      <c r="H209" s="1361"/>
      <c r="I209" s="1361"/>
      <c r="J209" s="5276"/>
      <c r="K209" s="106" t="s">
        <v>1</v>
      </c>
      <c r="L209" s="1021" t="s">
        <v>26</v>
      </c>
      <c r="M209" s="6787"/>
      <c r="N209" s="6787"/>
      <c r="O209" s="6787"/>
      <c r="P209" s="6788"/>
      <c r="Q209" s="6789"/>
      <c r="R209" s="6790"/>
      <c r="S209" s="6786"/>
      <c r="T209" s="6791"/>
      <c r="U209" s="6844"/>
      <c r="V209" s="6791"/>
      <c r="W209" s="8487"/>
      <c r="X209" s="6871"/>
      <c r="Y209" s="6793"/>
      <c r="Z209" s="6794"/>
      <c r="AA209" s="6795"/>
      <c r="AB209" s="6796"/>
      <c r="AC209" s="6797"/>
      <c r="AD209" s="6798"/>
      <c r="AE209" s="4" t="s">
        <v>1</v>
      </c>
      <c r="AF209" s="6202" t="str">
        <f t="shared" si="71"/>
        <v>►</v>
      </c>
      <c r="AG209" s="6234" t="str">
        <f t="shared" si="72"/>
        <v/>
      </c>
      <c r="AH209" s="6732" t="str">
        <f t="shared" si="73"/>
        <v/>
      </c>
      <c r="AI209" s="6234" t="str">
        <f t="shared" si="74"/>
        <v/>
      </c>
      <c r="AJ209" s="6732" t="str">
        <f t="shared" si="75"/>
        <v/>
      </c>
      <c r="AK209" s="6732">
        <f t="shared" si="76"/>
        <v>0</v>
      </c>
      <c r="AL209" s="6230" t="str" cm="1">
        <f t="array" ref="AL209">IF(AF209&lt;&gt;"A","",IFERROR((IFERROR(_xlfn.XLOOKUP(TRIM(SUBSTITUTE(U209,CHAR(160)," ")),$BJ$15:$BJ$62,$BM$15:$BM$62),IFERROR(_xlfn.XLOOKUP(TRIM(SUBSTITUTE(U209,CHAR(160)," ")),$BK$15:$BK$62,$BM$15:$BM$62),_xlfn.XLOOKUP(TRIM(SUBSTITUTE(U209,CHAR(160)," ")),$BL$15:$BL$62,$BM$15:$BM$62))))*T209*IF(ISBLANK(Q209),1,Q209)+IFERROR(_xlfn.XLOOKUP("RECHERCHEX",TRIM(L209:AD209),L209:AD209),0),0))</f>
        <v/>
      </c>
      <c r="AM209" s="6229">
        <f t="shared" si="77"/>
        <v>0</v>
      </c>
      <c r="AN209" s="6857" t="str">
        <f t="shared" si="92"/>
        <v/>
      </c>
      <c r="AO209" s="392">
        <f t="shared" si="78"/>
        <v>0</v>
      </c>
      <c r="AP209" s="392">
        <f t="shared" si="79"/>
        <v>0</v>
      </c>
      <c r="AQ209" s="6191">
        <f t="shared" si="80"/>
        <v>0</v>
      </c>
      <c r="AR209" s="6859" t="str">
        <f t="shared" si="81"/>
        <v/>
      </c>
      <c r="AS209" s="6217"/>
      <c r="AT209" s="6217"/>
      <c r="AU209" s="6272">
        <f t="shared" si="82"/>
        <v>0</v>
      </c>
      <c r="AV209" s="6240">
        <f t="shared" si="83"/>
        <v>0</v>
      </c>
      <c r="AW209" s="6189" cm="1">
        <f t="array" ref="AW209">IF(AK209&lt;&gt;1,0,IF(OR(AU209="",N(AU209)&lt;=0.000000001),"",IF(OR(AO209="",N(AO209)&lt;=0.000000001),0,IF(ISNUMBER(AU209),IFERROR(_xlfn.LET(_xlpm.ai_test,TRIM(AJ209),_xlpm.r,IFERROR(_xlfn.XLOOKUP(_xlpm.ai_test,$BJ$15:$BJ$62,ROW($BJ$15:$BJ$62),0,1),IFERROR(_xlfn.XLOOKUP(_xlpm.ai_test,$BK$15:$BK$62,ROW($BK$15:$BK$62),0,1),_xlfn.XLOOKUP(_xlpm.ai_test,$BL$15:$BL$62,ROW($BL$15:$BL$62),0,1))),_xlpm.p,_xlpm.r-MIN(ROW($BJ$15:$BJ$62))+1,_xlpm.f,INDEX($BM$15:$BM$62,_xlpm.p),_xlpm.u,INDEX($BN$15:$BN$62,_xlpm.p),_xlpm.s,INDEX($BP$15:$BP$62,_xlpm.p),_xlpm.q,N(AU209)/_xlpm.f,IF(_xlpm.q&gt;=_xlpm.s,ROUND(_xlpm.q,1)&amp;" "&amp;_xlpm.ai_test&amp;" = "&amp;ROUND(_xlpm.q*_xlpm.f,1)&amp;" "&amp;_xlpm.u,ROUND(_xlpm.q,1)&amp;" "&amp;_xlpm.ai_test)),""),""))))</f>
        <v>0</v>
      </c>
      <c r="AX209" s="6218"/>
      <c r="AY209" s="6272">
        <f t="shared" si="84"/>
        <v>0</v>
      </c>
      <c r="AZ209" s="6240" t="str">
        <f t="shared" si="85"/>
        <v/>
      </c>
      <c r="BA209" s="6195">
        <f t="shared" si="90"/>
        <v>0</v>
      </c>
      <c r="BB209" s="6193" t="str">
        <f t="shared" si="86"/>
        <v/>
      </c>
      <c r="BC209" s="6219"/>
      <c r="BD209" s="6222">
        <f t="shared" si="91"/>
        <v>0</v>
      </c>
      <c r="BE209" s="6220" t="str">
        <f t="shared" si="87"/>
        <v/>
      </c>
      <c r="BF209" s="4" t="s">
        <v>1</v>
      </c>
      <c r="BG209" s="6196">
        <f t="shared" si="88"/>
        <v>0</v>
      </c>
      <c r="BH209" s="6197">
        <f t="shared" si="89"/>
        <v>0</v>
      </c>
      <c r="BI209"/>
      <c r="BR209"/>
      <c r="BS209"/>
      <c r="BT209"/>
      <c r="BU209"/>
      <c r="BV209"/>
      <c r="BW209"/>
      <c r="BX209" s="20" t="str">
        <f t="shared" si="94"/>
        <v>►</v>
      </c>
      <c r="BY209"/>
      <c r="BZ209"/>
      <c r="CA209"/>
      <c r="CB209"/>
      <c r="CC209"/>
      <c r="CD209" s="2"/>
      <c r="CE209"/>
      <c r="CF209"/>
      <c r="CG209"/>
      <c r="CH209"/>
      <c r="CI209"/>
      <c r="CJ209"/>
      <c r="CK209"/>
      <c r="CM209"/>
      <c r="CN209"/>
      <c r="CO209"/>
      <c r="CP209"/>
      <c r="CQ209"/>
      <c r="CR209"/>
      <c r="CS209"/>
      <c r="CU209"/>
      <c r="CV209"/>
      <c r="CW209"/>
      <c r="CX209"/>
      <c r="CY209"/>
      <c r="CZ209"/>
      <c r="DA209"/>
      <c r="DC209" s="5">
        <v>1</v>
      </c>
    </row>
    <row r="210" spans="1:107" s="1" customFormat="1" ht="21" customHeight="1">
      <c r="A210" s="5641" t="s">
        <v>1</v>
      </c>
      <c r="B210" s="5662" t="str">
        <f t="shared" si="93"/>
        <v>►</v>
      </c>
      <c r="C210" s="5825" cm="1">
        <f t="array" ref="C210">SUMPRODUCT(LEN(D210:J210))</f>
        <v>0</v>
      </c>
      <c r="D210" s="5275"/>
      <c r="E210" s="1361"/>
      <c r="F210" s="1361"/>
      <c r="G210" s="1361"/>
      <c r="H210" s="1361"/>
      <c r="I210" s="1361"/>
      <c r="J210" s="5276"/>
      <c r="K210" s="106" t="s">
        <v>1</v>
      </c>
      <c r="L210" s="1021" t="s">
        <v>26</v>
      </c>
      <c r="M210" s="6787"/>
      <c r="N210" s="6787"/>
      <c r="O210" s="6787"/>
      <c r="P210" s="6788"/>
      <c r="Q210" s="6789"/>
      <c r="R210" s="6790"/>
      <c r="S210" s="6786"/>
      <c r="T210" s="6791"/>
      <c r="U210" s="6844"/>
      <c r="V210" s="6791"/>
      <c r="W210" s="8487"/>
      <c r="X210" s="6871"/>
      <c r="Y210" s="6793"/>
      <c r="Z210" s="6794"/>
      <c r="AA210" s="6795"/>
      <c r="AB210" s="6796"/>
      <c r="AC210" s="6797"/>
      <c r="AD210" s="6798"/>
      <c r="AE210" s="4" t="s">
        <v>1</v>
      </c>
      <c r="AF210" s="6202" t="str">
        <f t="shared" si="71"/>
        <v>►</v>
      </c>
      <c r="AG210" s="6234" t="str">
        <f t="shared" si="72"/>
        <v/>
      </c>
      <c r="AH210" s="6732" t="str">
        <f t="shared" si="73"/>
        <v/>
      </c>
      <c r="AI210" s="6234" t="str">
        <f t="shared" si="74"/>
        <v/>
      </c>
      <c r="AJ210" s="6732" t="str">
        <f t="shared" si="75"/>
        <v/>
      </c>
      <c r="AK210" s="6732">
        <f t="shared" si="76"/>
        <v>0</v>
      </c>
      <c r="AL210" s="6230" t="str" cm="1">
        <f t="array" ref="AL210">IF(AF210&lt;&gt;"A","",IFERROR((IFERROR(_xlfn.XLOOKUP(TRIM(SUBSTITUTE(U210,CHAR(160)," ")),$BJ$15:$BJ$62,$BM$15:$BM$62),IFERROR(_xlfn.XLOOKUP(TRIM(SUBSTITUTE(U210,CHAR(160)," ")),$BK$15:$BK$62,$BM$15:$BM$62),_xlfn.XLOOKUP(TRIM(SUBSTITUTE(U210,CHAR(160)," ")),$BL$15:$BL$62,$BM$15:$BM$62))))*T210*IF(ISBLANK(Q210),1,Q210)+IFERROR(_xlfn.XLOOKUP("RECHERCHEX",TRIM(L210:AD210),L210:AD210),0),0))</f>
        <v/>
      </c>
      <c r="AM210" s="6229">
        <f t="shared" si="77"/>
        <v>0</v>
      </c>
      <c r="AN210" s="6857" t="str">
        <f t="shared" si="92"/>
        <v/>
      </c>
      <c r="AO210" s="392">
        <f t="shared" si="78"/>
        <v>0</v>
      </c>
      <c r="AP210" s="392">
        <f t="shared" si="79"/>
        <v>0</v>
      </c>
      <c r="AQ210" s="6190">
        <f t="shared" si="80"/>
        <v>0</v>
      </c>
      <c r="AR210" s="6858" t="str">
        <f t="shared" si="81"/>
        <v/>
      </c>
      <c r="AS210" s="6217"/>
      <c r="AT210" s="6217"/>
      <c r="AU210" s="6271">
        <f t="shared" si="82"/>
        <v>0</v>
      </c>
      <c r="AV210" s="6242">
        <f t="shared" si="83"/>
        <v>0</v>
      </c>
      <c r="AW210" s="6188" cm="1">
        <f t="array" ref="AW210">IF(AK210&lt;&gt;1,0,IF(OR(AU210="",N(AU210)&lt;=0.000000001),"",IF(OR(AO210="",N(AO210)&lt;=0.000000001),0,IF(ISNUMBER(AU210),IFERROR(_xlfn.LET(_xlpm.ai_test,TRIM(AJ210),_xlpm.r,IFERROR(_xlfn.XLOOKUP(_xlpm.ai_test,$BJ$15:$BJ$62,ROW($BJ$15:$BJ$62),0,1),IFERROR(_xlfn.XLOOKUP(_xlpm.ai_test,$BK$15:$BK$62,ROW($BK$15:$BK$62),0,1),_xlfn.XLOOKUP(_xlpm.ai_test,$BL$15:$BL$62,ROW($BL$15:$BL$62),0,1))),_xlpm.p,_xlpm.r-MIN(ROW($BJ$15:$BJ$62))+1,_xlpm.f,INDEX($BM$15:$BM$62,_xlpm.p),_xlpm.u,INDEX($BN$15:$BN$62,_xlpm.p),_xlpm.s,INDEX($BP$15:$BP$62,_xlpm.p),_xlpm.q,N(AU210)/_xlpm.f,IF(_xlpm.q&gt;=_xlpm.s,ROUND(_xlpm.q,1)&amp;" "&amp;_xlpm.ai_test&amp;" = "&amp;ROUND(_xlpm.q*_xlpm.f,1)&amp;" "&amp;_xlpm.u,ROUND(_xlpm.q,1)&amp;" "&amp;_xlpm.ai_test)),""),""))))</f>
        <v>0</v>
      </c>
      <c r="AX210" s="6218"/>
      <c r="AY210" s="6271">
        <f t="shared" si="84"/>
        <v>0</v>
      </c>
      <c r="AZ210" s="6242" t="str">
        <f t="shared" si="85"/>
        <v/>
      </c>
      <c r="BA210" s="6194">
        <f t="shared" si="90"/>
        <v>0</v>
      </c>
      <c r="BB210" s="6192" t="str">
        <f t="shared" si="86"/>
        <v/>
      </c>
      <c r="BC210" s="6219"/>
      <c r="BD210" s="6221">
        <f t="shared" si="91"/>
        <v>0</v>
      </c>
      <c r="BE210" s="6220" t="str">
        <f t="shared" si="87"/>
        <v/>
      </c>
      <c r="BF210" s="4" t="s">
        <v>1</v>
      </c>
      <c r="BG210" s="6196">
        <f t="shared" si="88"/>
        <v>0</v>
      </c>
      <c r="BH210" s="6197">
        <f t="shared" si="89"/>
        <v>0</v>
      </c>
      <c r="BI210"/>
      <c r="BR210"/>
      <c r="BS210"/>
      <c r="BT210"/>
      <c r="BU210"/>
      <c r="BV210"/>
      <c r="BW210"/>
      <c r="BX210" s="20" t="str">
        <f t="shared" si="94"/>
        <v>►</v>
      </c>
      <c r="BY210"/>
      <c r="BZ210"/>
      <c r="CA210"/>
      <c r="CB210"/>
      <c r="CC210"/>
      <c r="CD210" s="2"/>
      <c r="CE210"/>
      <c r="CF210"/>
      <c r="CG210"/>
      <c r="CH210"/>
      <c r="CI210"/>
      <c r="CJ210"/>
      <c r="CK210"/>
      <c r="CM210"/>
      <c r="CN210"/>
      <c r="CO210"/>
      <c r="CP210"/>
      <c r="CQ210"/>
      <c r="CR210"/>
      <c r="CS210"/>
      <c r="CU210"/>
      <c r="CV210"/>
      <c r="CW210"/>
      <c r="CX210"/>
      <c r="CY210"/>
      <c r="CZ210"/>
      <c r="DA210"/>
      <c r="DC210" s="5">
        <v>1</v>
      </c>
    </row>
    <row r="211" spans="1:107" s="1" customFormat="1" ht="21" customHeight="1">
      <c r="A211" s="5641" t="s">
        <v>1</v>
      </c>
      <c r="B211" s="5662" t="str">
        <f t="shared" si="93"/>
        <v>►</v>
      </c>
      <c r="C211" s="5825" cm="1">
        <f t="array" ref="C211">SUMPRODUCT(LEN(D211:J211))</f>
        <v>0</v>
      </c>
      <c r="D211" s="5275"/>
      <c r="E211" s="1361"/>
      <c r="F211" s="1361"/>
      <c r="G211" s="1361"/>
      <c r="H211" s="1361"/>
      <c r="I211" s="1361"/>
      <c r="J211" s="5276"/>
      <c r="K211" s="106" t="s">
        <v>1</v>
      </c>
      <c r="L211" s="1021" t="s">
        <v>26</v>
      </c>
      <c r="M211" s="6787"/>
      <c r="N211" s="6787"/>
      <c r="O211" s="6787"/>
      <c r="P211" s="6788"/>
      <c r="Q211" s="6789"/>
      <c r="R211" s="6790"/>
      <c r="S211" s="6786"/>
      <c r="T211" s="6791"/>
      <c r="U211" s="6844"/>
      <c r="V211" s="6791"/>
      <c r="W211" s="8487"/>
      <c r="X211" s="6871"/>
      <c r="Y211" s="6793"/>
      <c r="Z211" s="6794"/>
      <c r="AA211" s="6795"/>
      <c r="AB211" s="6796"/>
      <c r="AC211" s="6797"/>
      <c r="AD211" s="6798"/>
      <c r="AE211" s="4" t="s">
        <v>1</v>
      </c>
      <c r="AF211" s="6202" t="str">
        <f t="shared" si="71"/>
        <v>►</v>
      </c>
      <c r="AG211" s="6234" t="str">
        <f t="shared" si="72"/>
        <v/>
      </c>
      <c r="AH211" s="6732" t="str">
        <f t="shared" si="73"/>
        <v/>
      </c>
      <c r="AI211" s="6234" t="str">
        <f t="shared" si="74"/>
        <v/>
      </c>
      <c r="AJ211" s="6732" t="str">
        <f t="shared" si="75"/>
        <v/>
      </c>
      <c r="AK211" s="6732">
        <f t="shared" si="76"/>
        <v>0</v>
      </c>
      <c r="AL211" s="6230" t="str" cm="1">
        <f t="array" ref="AL211">IF(AF211&lt;&gt;"A","",IFERROR((IFERROR(_xlfn.XLOOKUP(TRIM(SUBSTITUTE(U211,CHAR(160)," ")),$BJ$15:$BJ$62,$BM$15:$BM$62),IFERROR(_xlfn.XLOOKUP(TRIM(SUBSTITUTE(U211,CHAR(160)," ")),$BK$15:$BK$62,$BM$15:$BM$62),_xlfn.XLOOKUP(TRIM(SUBSTITUTE(U211,CHAR(160)," ")),$BL$15:$BL$62,$BM$15:$BM$62))))*T211*IF(ISBLANK(Q211),1,Q211)+IFERROR(_xlfn.XLOOKUP("RECHERCHEX",TRIM(L211:AD211),L211:AD211),0),0))</f>
        <v/>
      </c>
      <c r="AM211" s="6229">
        <f t="shared" si="77"/>
        <v>0</v>
      </c>
      <c r="AN211" s="6857" t="str">
        <f t="shared" si="92"/>
        <v/>
      </c>
      <c r="AO211" s="392">
        <f t="shared" si="78"/>
        <v>0</v>
      </c>
      <c r="AP211" s="392">
        <f t="shared" si="79"/>
        <v>0</v>
      </c>
      <c r="AQ211" s="6191">
        <f t="shared" si="80"/>
        <v>0</v>
      </c>
      <c r="AR211" s="6859" t="str">
        <f t="shared" si="81"/>
        <v/>
      </c>
      <c r="AS211" s="6217"/>
      <c r="AT211" s="6217"/>
      <c r="AU211" s="6272">
        <f t="shared" si="82"/>
        <v>0</v>
      </c>
      <c r="AV211" s="6240">
        <f t="shared" si="83"/>
        <v>0</v>
      </c>
      <c r="AW211" s="6189" cm="1">
        <f t="array" ref="AW211">IF(AK211&lt;&gt;1,0,IF(OR(AU211="",N(AU211)&lt;=0.000000001),"",IF(OR(AO211="",N(AO211)&lt;=0.000000001),0,IF(ISNUMBER(AU211),IFERROR(_xlfn.LET(_xlpm.ai_test,TRIM(AJ211),_xlpm.r,IFERROR(_xlfn.XLOOKUP(_xlpm.ai_test,$BJ$15:$BJ$62,ROW($BJ$15:$BJ$62),0,1),IFERROR(_xlfn.XLOOKUP(_xlpm.ai_test,$BK$15:$BK$62,ROW($BK$15:$BK$62),0,1),_xlfn.XLOOKUP(_xlpm.ai_test,$BL$15:$BL$62,ROW($BL$15:$BL$62),0,1))),_xlpm.p,_xlpm.r-MIN(ROW($BJ$15:$BJ$62))+1,_xlpm.f,INDEX($BM$15:$BM$62,_xlpm.p),_xlpm.u,INDEX($BN$15:$BN$62,_xlpm.p),_xlpm.s,INDEX($BP$15:$BP$62,_xlpm.p),_xlpm.q,N(AU211)/_xlpm.f,IF(_xlpm.q&gt;=_xlpm.s,ROUND(_xlpm.q,1)&amp;" "&amp;_xlpm.ai_test&amp;" = "&amp;ROUND(_xlpm.q*_xlpm.f,1)&amp;" "&amp;_xlpm.u,ROUND(_xlpm.q,1)&amp;" "&amp;_xlpm.ai_test)),""),""))))</f>
        <v>0</v>
      </c>
      <c r="AX211" s="6218"/>
      <c r="AY211" s="6272">
        <f t="shared" si="84"/>
        <v>0</v>
      </c>
      <c r="AZ211" s="6240" t="str">
        <f t="shared" si="85"/>
        <v/>
      </c>
      <c r="BA211" s="6195">
        <f t="shared" si="90"/>
        <v>0</v>
      </c>
      <c r="BB211" s="6193" t="str">
        <f t="shared" si="86"/>
        <v/>
      </c>
      <c r="BC211" s="6219"/>
      <c r="BD211" s="6222">
        <f t="shared" si="91"/>
        <v>0</v>
      </c>
      <c r="BE211" s="6220" t="str">
        <f t="shared" si="87"/>
        <v/>
      </c>
      <c r="BF211" s="4" t="s">
        <v>1</v>
      </c>
      <c r="BG211" s="6196">
        <f t="shared" si="88"/>
        <v>0</v>
      </c>
      <c r="BH211" s="6197">
        <f t="shared" si="89"/>
        <v>0</v>
      </c>
      <c r="BI211"/>
      <c r="BR211"/>
      <c r="BS211"/>
      <c r="BT211"/>
      <c r="BU211"/>
      <c r="BV211"/>
      <c r="BW211"/>
      <c r="BX211" s="20" t="str">
        <f t="shared" si="94"/>
        <v>►</v>
      </c>
      <c r="BY211"/>
      <c r="BZ211"/>
      <c r="CA211"/>
      <c r="CB211"/>
      <c r="CC211"/>
      <c r="CD211" s="2"/>
      <c r="CE211"/>
      <c r="CF211"/>
      <c r="CG211"/>
      <c r="CH211"/>
      <c r="CI211"/>
      <c r="CJ211"/>
      <c r="CK211"/>
      <c r="CM211"/>
      <c r="CN211"/>
      <c r="CO211"/>
      <c r="CP211"/>
      <c r="CQ211"/>
      <c r="CR211"/>
      <c r="CS211"/>
      <c r="CU211"/>
      <c r="CV211"/>
      <c r="CW211"/>
      <c r="CX211"/>
      <c r="CY211"/>
      <c r="CZ211"/>
      <c r="DA211"/>
      <c r="DC211" s="5">
        <v>1</v>
      </c>
    </row>
    <row r="212" spans="1:107" s="1" customFormat="1" ht="21" customHeight="1">
      <c r="A212" s="5641" t="s">
        <v>1</v>
      </c>
      <c r="B212" s="5662" t="str">
        <f t="shared" si="93"/>
        <v>►</v>
      </c>
      <c r="C212" s="5825" cm="1">
        <f t="array" ref="C212">SUMPRODUCT(LEN(D212:J212))</f>
        <v>0</v>
      </c>
      <c r="D212" s="5275"/>
      <c r="E212" s="1361"/>
      <c r="F212" s="1361"/>
      <c r="G212" s="1361"/>
      <c r="H212" s="1361"/>
      <c r="I212" s="1361"/>
      <c r="J212" s="5276"/>
      <c r="K212" s="106" t="s">
        <v>1</v>
      </c>
      <c r="L212" s="1021" t="s">
        <v>26</v>
      </c>
      <c r="M212" s="6787"/>
      <c r="N212" s="6787"/>
      <c r="O212" s="6787"/>
      <c r="P212" s="6788"/>
      <c r="Q212" s="6789"/>
      <c r="R212" s="6790"/>
      <c r="S212" s="6786"/>
      <c r="T212" s="6791"/>
      <c r="U212" s="6844"/>
      <c r="V212" s="6791"/>
      <c r="W212" s="8487"/>
      <c r="X212" s="6871"/>
      <c r="Y212" s="6793"/>
      <c r="Z212" s="6794"/>
      <c r="AA212" s="6795"/>
      <c r="AB212" s="6796"/>
      <c r="AC212" s="6797"/>
      <c r="AD212" s="6798"/>
      <c r="AE212" s="4" t="s">
        <v>1</v>
      </c>
      <c r="AF212" s="6202" t="str">
        <f t="shared" si="71"/>
        <v>►</v>
      </c>
      <c r="AG212" s="6234" t="str">
        <f t="shared" si="72"/>
        <v/>
      </c>
      <c r="AH212" s="6732" t="str">
        <f t="shared" si="73"/>
        <v/>
      </c>
      <c r="AI212" s="6234" t="str">
        <f t="shared" si="74"/>
        <v/>
      </c>
      <c r="AJ212" s="6732" t="str">
        <f t="shared" si="75"/>
        <v/>
      </c>
      <c r="AK212" s="6732">
        <f t="shared" si="76"/>
        <v>0</v>
      </c>
      <c r="AL212" s="6230" t="str" cm="1">
        <f t="array" ref="AL212">IF(AF212&lt;&gt;"A","",IFERROR((IFERROR(_xlfn.XLOOKUP(TRIM(SUBSTITUTE(U212,CHAR(160)," ")),$BJ$15:$BJ$62,$BM$15:$BM$62),IFERROR(_xlfn.XLOOKUP(TRIM(SUBSTITUTE(U212,CHAR(160)," ")),$BK$15:$BK$62,$BM$15:$BM$62),_xlfn.XLOOKUP(TRIM(SUBSTITUTE(U212,CHAR(160)," ")),$BL$15:$BL$62,$BM$15:$BM$62))))*T212*IF(ISBLANK(Q212),1,Q212)+IFERROR(_xlfn.XLOOKUP("RECHERCHEX",TRIM(L212:AD212),L212:AD212),0),0))</f>
        <v/>
      </c>
      <c r="AM212" s="6229">
        <f t="shared" si="77"/>
        <v>0</v>
      </c>
      <c r="AN212" s="6857" t="str">
        <f t="shared" si="92"/>
        <v/>
      </c>
      <c r="AO212" s="392">
        <f t="shared" si="78"/>
        <v>0</v>
      </c>
      <c r="AP212" s="392">
        <f t="shared" si="79"/>
        <v>0</v>
      </c>
      <c r="AQ212" s="6190">
        <f t="shared" si="80"/>
        <v>0</v>
      </c>
      <c r="AR212" s="6858" t="str">
        <f t="shared" si="81"/>
        <v/>
      </c>
      <c r="AS212" s="6217"/>
      <c r="AT212" s="6217"/>
      <c r="AU212" s="6271">
        <f t="shared" si="82"/>
        <v>0</v>
      </c>
      <c r="AV212" s="6242">
        <f t="shared" si="83"/>
        <v>0</v>
      </c>
      <c r="AW212" s="6188" cm="1">
        <f t="array" ref="AW212">IF(AK212&lt;&gt;1,0,IF(OR(AU212="",N(AU212)&lt;=0.000000001),"",IF(OR(AO212="",N(AO212)&lt;=0.000000001),0,IF(ISNUMBER(AU212),IFERROR(_xlfn.LET(_xlpm.ai_test,TRIM(AJ212),_xlpm.r,IFERROR(_xlfn.XLOOKUP(_xlpm.ai_test,$BJ$15:$BJ$62,ROW($BJ$15:$BJ$62),0,1),IFERROR(_xlfn.XLOOKUP(_xlpm.ai_test,$BK$15:$BK$62,ROW($BK$15:$BK$62),0,1),_xlfn.XLOOKUP(_xlpm.ai_test,$BL$15:$BL$62,ROW($BL$15:$BL$62),0,1))),_xlpm.p,_xlpm.r-MIN(ROW($BJ$15:$BJ$62))+1,_xlpm.f,INDEX($BM$15:$BM$62,_xlpm.p),_xlpm.u,INDEX($BN$15:$BN$62,_xlpm.p),_xlpm.s,INDEX($BP$15:$BP$62,_xlpm.p),_xlpm.q,N(AU212)/_xlpm.f,IF(_xlpm.q&gt;=_xlpm.s,ROUND(_xlpm.q,1)&amp;" "&amp;_xlpm.ai_test&amp;" = "&amp;ROUND(_xlpm.q*_xlpm.f,1)&amp;" "&amp;_xlpm.u,ROUND(_xlpm.q,1)&amp;" "&amp;_xlpm.ai_test)),""),""))))</f>
        <v>0</v>
      </c>
      <c r="AX212" s="6218"/>
      <c r="AY212" s="6271">
        <f t="shared" si="84"/>
        <v>0</v>
      </c>
      <c r="AZ212" s="6242" t="str">
        <f t="shared" si="85"/>
        <v/>
      </c>
      <c r="BA212" s="6194">
        <f t="shared" si="90"/>
        <v>0</v>
      </c>
      <c r="BB212" s="6192" t="str">
        <f t="shared" si="86"/>
        <v/>
      </c>
      <c r="BC212" s="6219"/>
      <c r="BD212" s="6221">
        <f t="shared" si="91"/>
        <v>0</v>
      </c>
      <c r="BE212" s="6220" t="str">
        <f t="shared" si="87"/>
        <v/>
      </c>
      <c r="BF212" s="4" t="s">
        <v>1</v>
      </c>
      <c r="BG212" s="6196">
        <f t="shared" si="88"/>
        <v>0</v>
      </c>
      <c r="BH212" s="6197">
        <f t="shared" si="89"/>
        <v>0</v>
      </c>
      <c r="BI212"/>
      <c r="BR212"/>
      <c r="BS212"/>
      <c r="BT212"/>
      <c r="BU212"/>
      <c r="BV212"/>
      <c r="BW212"/>
      <c r="BX212" s="20" t="str">
        <f t="shared" si="94"/>
        <v>►</v>
      </c>
      <c r="BY212"/>
      <c r="BZ212"/>
      <c r="CA212"/>
      <c r="CB212"/>
      <c r="CC212"/>
      <c r="CD212" s="2"/>
      <c r="CE212"/>
      <c r="CF212"/>
      <c r="CG212"/>
      <c r="CH212"/>
      <c r="CI212"/>
      <c r="CJ212"/>
      <c r="CK212"/>
      <c r="CM212"/>
      <c r="CN212"/>
      <c r="CO212"/>
      <c r="CP212"/>
      <c r="CQ212"/>
      <c r="CR212"/>
      <c r="CS212"/>
      <c r="CU212"/>
      <c r="CV212"/>
      <c r="CW212"/>
      <c r="CX212"/>
      <c r="CY212"/>
      <c r="CZ212"/>
      <c r="DA212"/>
      <c r="DC212" s="5">
        <v>1</v>
      </c>
    </row>
    <row r="213" spans="1:107" s="1" customFormat="1" ht="21" customHeight="1">
      <c r="A213" s="5641" t="s">
        <v>1</v>
      </c>
      <c r="B213" s="5662" t="str">
        <f t="shared" si="93"/>
        <v>►</v>
      </c>
      <c r="C213" s="5825" cm="1">
        <f t="array" ref="C213">SUMPRODUCT(LEN(D213:J213))</f>
        <v>0</v>
      </c>
      <c r="D213" s="5275"/>
      <c r="E213" s="1361"/>
      <c r="F213" s="1361"/>
      <c r="G213" s="1361"/>
      <c r="H213" s="1361"/>
      <c r="I213" s="1361"/>
      <c r="J213" s="5276"/>
      <c r="K213" s="106" t="s">
        <v>1</v>
      </c>
      <c r="L213" s="1021" t="s">
        <v>26</v>
      </c>
      <c r="M213" s="6787"/>
      <c r="N213" s="6787"/>
      <c r="O213" s="6787"/>
      <c r="P213" s="6788"/>
      <c r="Q213" s="6789"/>
      <c r="R213" s="6790"/>
      <c r="S213" s="6786"/>
      <c r="T213" s="6791"/>
      <c r="U213" s="6844"/>
      <c r="V213" s="6791"/>
      <c r="W213" s="8487"/>
      <c r="X213" s="6871"/>
      <c r="Y213" s="6793"/>
      <c r="Z213" s="6794"/>
      <c r="AA213" s="6795"/>
      <c r="AB213" s="6796"/>
      <c r="AC213" s="6797"/>
      <c r="AD213" s="6798"/>
      <c r="AE213" s="4" t="s">
        <v>1</v>
      </c>
      <c r="AF213" s="6202" t="str">
        <f t="shared" si="71"/>
        <v>►</v>
      </c>
      <c r="AG213" s="6234" t="str">
        <f t="shared" si="72"/>
        <v/>
      </c>
      <c r="AH213" s="6732" t="str">
        <f t="shared" si="73"/>
        <v/>
      </c>
      <c r="AI213" s="6234" t="str">
        <f t="shared" si="74"/>
        <v/>
      </c>
      <c r="AJ213" s="6732" t="str">
        <f t="shared" si="75"/>
        <v/>
      </c>
      <c r="AK213" s="6732">
        <f t="shared" si="76"/>
        <v>0</v>
      </c>
      <c r="AL213" s="6230" t="str" cm="1">
        <f t="array" ref="AL213">IF(AF213&lt;&gt;"A","",IFERROR((IFERROR(_xlfn.XLOOKUP(TRIM(SUBSTITUTE(U213,CHAR(160)," ")),$BJ$15:$BJ$62,$BM$15:$BM$62),IFERROR(_xlfn.XLOOKUP(TRIM(SUBSTITUTE(U213,CHAR(160)," ")),$BK$15:$BK$62,$BM$15:$BM$62),_xlfn.XLOOKUP(TRIM(SUBSTITUTE(U213,CHAR(160)," ")),$BL$15:$BL$62,$BM$15:$BM$62))))*T213*IF(ISBLANK(Q213),1,Q213)+IFERROR(_xlfn.XLOOKUP("RECHERCHEX",TRIM(L213:AD213),L213:AD213),0),0))</f>
        <v/>
      </c>
      <c r="AM213" s="6229">
        <f t="shared" si="77"/>
        <v>0</v>
      </c>
      <c r="AN213" s="6857" t="str">
        <f t="shared" si="92"/>
        <v/>
      </c>
      <c r="AO213" s="392">
        <f t="shared" si="78"/>
        <v>0</v>
      </c>
      <c r="AP213" s="392">
        <f t="shared" si="79"/>
        <v>0</v>
      </c>
      <c r="AQ213" s="6191">
        <f t="shared" si="80"/>
        <v>0</v>
      </c>
      <c r="AR213" s="6859" t="str">
        <f t="shared" si="81"/>
        <v/>
      </c>
      <c r="AS213" s="6217"/>
      <c r="AT213" s="6217"/>
      <c r="AU213" s="6272">
        <f t="shared" si="82"/>
        <v>0</v>
      </c>
      <c r="AV213" s="6240">
        <f t="shared" si="83"/>
        <v>0</v>
      </c>
      <c r="AW213" s="6189" cm="1">
        <f t="array" ref="AW213">IF(AK213&lt;&gt;1,0,IF(OR(AU213="",N(AU213)&lt;=0.000000001),"",IF(OR(AO213="",N(AO213)&lt;=0.000000001),0,IF(ISNUMBER(AU213),IFERROR(_xlfn.LET(_xlpm.ai_test,TRIM(AJ213),_xlpm.r,IFERROR(_xlfn.XLOOKUP(_xlpm.ai_test,$BJ$15:$BJ$62,ROW($BJ$15:$BJ$62),0,1),IFERROR(_xlfn.XLOOKUP(_xlpm.ai_test,$BK$15:$BK$62,ROW($BK$15:$BK$62),0,1),_xlfn.XLOOKUP(_xlpm.ai_test,$BL$15:$BL$62,ROW($BL$15:$BL$62),0,1))),_xlpm.p,_xlpm.r-MIN(ROW($BJ$15:$BJ$62))+1,_xlpm.f,INDEX($BM$15:$BM$62,_xlpm.p),_xlpm.u,INDEX($BN$15:$BN$62,_xlpm.p),_xlpm.s,INDEX($BP$15:$BP$62,_xlpm.p),_xlpm.q,N(AU213)/_xlpm.f,IF(_xlpm.q&gt;=_xlpm.s,ROUND(_xlpm.q,1)&amp;" "&amp;_xlpm.ai_test&amp;" = "&amp;ROUND(_xlpm.q*_xlpm.f,1)&amp;" "&amp;_xlpm.u,ROUND(_xlpm.q,1)&amp;" "&amp;_xlpm.ai_test)),""),""))))</f>
        <v>0</v>
      </c>
      <c r="AX213" s="6218"/>
      <c r="AY213" s="6272">
        <f t="shared" si="84"/>
        <v>0</v>
      </c>
      <c r="AZ213" s="6240" t="str">
        <f t="shared" si="85"/>
        <v/>
      </c>
      <c r="BA213" s="6195">
        <f t="shared" si="90"/>
        <v>0</v>
      </c>
      <c r="BB213" s="6193" t="str">
        <f t="shared" si="86"/>
        <v/>
      </c>
      <c r="BC213" s="6219"/>
      <c r="BD213" s="6222">
        <f t="shared" si="91"/>
        <v>0</v>
      </c>
      <c r="BE213" s="6220" t="str">
        <f t="shared" si="87"/>
        <v/>
      </c>
      <c r="BF213" s="4" t="s">
        <v>1</v>
      </c>
      <c r="BG213" s="6196">
        <f t="shared" si="88"/>
        <v>0</v>
      </c>
      <c r="BH213" s="6197">
        <f t="shared" si="89"/>
        <v>0</v>
      </c>
      <c r="BI213"/>
      <c r="BR213"/>
      <c r="BS213"/>
      <c r="BT213"/>
      <c r="BU213"/>
      <c r="BV213"/>
      <c r="BW213"/>
      <c r="BX213" s="20" t="str">
        <f t="shared" si="94"/>
        <v>►</v>
      </c>
      <c r="BY213"/>
      <c r="BZ213"/>
      <c r="CA213"/>
      <c r="CB213"/>
      <c r="CC213"/>
      <c r="CD213" s="2"/>
      <c r="CE213"/>
      <c r="CF213"/>
      <c r="CG213"/>
      <c r="CH213"/>
      <c r="CI213"/>
      <c r="CJ213"/>
      <c r="CK213"/>
      <c r="CM213"/>
      <c r="CN213"/>
      <c r="CO213"/>
      <c r="CP213"/>
      <c r="CQ213"/>
      <c r="CR213"/>
      <c r="CS213"/>
      <c r="CU213"/>
      <c r="CV213"/>
      <c r="CW213"/>
      <c r="CX213"/>
      <c r="CY213"/>
      <c r="CZ213"/>
      <c r="DA213"/>
      <c r="DC213" s="5">
        <v>1</v>
      </c>
    </row>
    <row r="214" spans="1:107" s="1" customFormat="1" ht="21" customHeight="1">
      <c r="A214" s="5641" t="s">
        <v>1</v>
      </c>
      <c r="B214" s="5662" t="str">
        <f t="shared" si="93"/>
        <v>►</v>
      </c>
      <c r="C214" s="5825" cm="1">
        <f t="array" ref="C214">SUMPRODUCT(LEN(D214:J214))</f>
        <v>0</v>
      </c>
      <c r="D214" s="5275"/>
      <c r="E214" s="1361"/>
      <c r="F214" s="1361"/>
      <c r="G214" s="1361"/>
      <c r="H214" s="1361"/>
      <c r="I214" s="1361"/>
      <c r="J214" s="5276" t="str">
        <f>""&amp;T208</f>
        <v/>
      </c>
      <c r="K214" s="106" t="s">
        <v>1</v>
      </c>
      <c r="L214" s="1021" t="s">
        <v>26</v>
      </c>
      <c r="M214" s="6787"/>
      <c r="N214" s="6787"/>
      <c r="O214" s="6787"/>
      <c r="P214" s="6788"/>
      <c r="Q214" s="6789"/>
      <c r="R214" s="6790"/>
      <c r="S214" s="6786"/>
      <c r="T214" s="6791"/>
      <c r="U214" s="6844"/>
      <c r="V214" s="6791"/>
      <c r="W214" s="8487"/>
      <c r="X214" s="6871"/>
      <c r="Y214" s="6793"/>
      <c r="Z214" s="6794"/>
      <c r="AA214" s="6795"/>
      <c r="AB214" s="6796"/>
      <c r="AC214" s="6797"/>
      <c r="AD214" s="6798"/>
      <c r="AE214" s="4" t="s">
        <v>1</v>
      </c>
      <c r="AF214" s="6202" t="str">
        <f t="shared" ref="AF214:AF277" si="95">IF(OR(AO214&gt;0,TRIM(AG214)="▼ recette suivante"),"A","►")</f>
        <v>►</v>
      </c>
      <c r="AG214" s="6234" t="str">
        <f t="shared" ref="AG214:AG277" si="96">IF(TRIM(Q214)="Adresse PC","▼ recette suivante",IF(AO214&gt;0,M214,""))</f>
        <v/>
      </c>
      <c r="AH214" s="6732" t="str">
        <f t="shared" ref="AH214:AH277" si="97">IF(AF214="A",N214,"")</f>
        <v/>
      </c>
      <c r="AI214" s="6234" t="str">
        <f t="shared" ref="AI214:AI277" si="98">IF(AF214="A",O214,"")</f>
        <v/>
      </c>
      <c r="AJ214" s="6732" t="str">
        <f t="shared" ref="AJ214:AJ277" si="99">IF(AF214="A",U214,"")</f>
        <v/>
      </c>
      <c r="AK214" s="6732">
        <f t="shared" ref="AK214:AK277" si="100">IF(AND(L214="A",COUNTIF($BJ$15:$BL$62,TRIM(U214))&gt;0),1,0)</f>
        <v>0</v>
      </c>
      <c r="AL214" s="6230" t="str" cm="1">
        <f t="array" ref="AL214">IF(AF214&lt;&gt;"A","",IFERROR((IFERROR(_xlfn.XLOOKUP(TRIM(SUBSTITUTE(U214,CHAR(160)," ")),$BJ$15:$BJ$62,$BM$15:$BM$62),IFERROR(_xlfn.XLOOKUP(TRIM(SUBSTITUTE(U214,CHAR(160)," ")),$BK$15:$BK$62,$BM$15:$BM$62),_xlfn.XLOOKUP(TRIM(SUBSTITUTE(U214,CHAR(160)," ")),$BL$15:$BL$62,$BM$15:$BM$62))))*T214*IF(ISBLANK(Q214),1,Q214)+IFERROR(_xlfn.XLOOKUP("RECHERCHEX",TRIM(L214:AD214),L214:AD214),0),0))</f>
        <v/>
      </c>
      <c r="AM214" s="6229">
        <f t="shared" ref="AM214:AM277" si="101">IF(AK214,IF(AL214&gt;0,"Kg",0),0)</f>
        <v>0</v>
      </c>
      <c r="AN214" s="6857" t="str">
        <f t="shared" si="92"/>
        <v/>
      </c>
      <c r="AO214" s="392">
        <f t="shared" ref="AO214:AO277" si="102">IF(AK214,N214,0)</f>
        <v>0</v>
      </c>
      <c r="AP214" s="392">
        <f t="shared" ref="AP214:AP277" si="103">IF(AK214,O214,0)</f>
        <v>0</v>
      </c>
      <c r="AQ214" s="6190">
        <f t="shared" ref="AQ214:AQ277" si="104">IF(AO214&gt;0,AS$9,0)</f>
        <v>0</v>
      </c>
      <c r="AR214" s="6858" t="str">
        <f t="shared" ref="AR214:AR277" si="105">IF(TRIM(AG214)="▼ recette suivante", AG214, IF(AQ214&gt;0, IF(AT$9&lt;&gt;"", AT$9&amp;"-ou.or.o ❾ + or - &gt;", ""), ""))</f>
        <v/>
      </c>
      <c r="AS214" s="6217"/>
      <c r="AT214" s="6217"/>
      <c r="AU214" s="6271">
        <f t="shared" ref="AU214:AU277" si="106">IF(TRIM(AM214)="Kg",N(AL214)*N(BH214),0)</f>
        <v>0</v>
      </c>
      <c r="AV214" s="6242">
        <f t="shared" ref="AV214:AV277" si="107">IF(AK214,IF(OR(AU214="",N(AU214)&lt;=0.000000001),"",_xlfn.XLOOKUP(AJ214,$BJ$15:$BJ$62,$BN$15:$BN$62,_xlfn.XLOOKUP(AJ214,$BK$15:$BK$62,$BN$15:$BN$62,_xlfn.XLOOKUP(AJ214,$BL$15:$BL$62,$BN$15:$BN$62,"")))),0)</f>
        <v>0</v>
      </c>
      <c r="AW214" s="6188" cm="1">
        <f t="array" ref="AW214">IF(AK214&lt;&gt;1,0,IF(OR(AU214="",N(AU214)&lt;=0.000000001),"",IF(OR(AO214="",N(AO214)&lt;=0.000000001),0,IF(ISNUMBER(AU214),IFERROR(_xlfn.LET(_xlpm.ai_test,TRIM(AJ214),_xlpm.r,IFERROR(_xlfn.XLOOKUP(_xlpm.ai_test,$BJ$15:$BJ$62,ROW($BJ$15:$BJ$62),0,1),IFERROR(_xlfn.XLOOKUP(_xlpm.ai_test,$BK$15:$BK$62,ROW($BK$15:$BK$62),0,1),_xlfn.XLOOKUP(_xlpm.ai_test,$BL$15:$BL$62,ROW($BL$15:$BL$62),0,1))),_xlpm.p,_xlpm.r-MIN(ROW($BJ$15:$BJ$62))+1,_xlpm.f,INDEX($BM$15:$BM$62,_xlpm.p),_xlpm.u,INDEX($BN$15:$BN$62,_xlpm.p),_xlpm.s,INDEX($BP$15:$BP$62,_xlpm.p),_xlpm.q,N(AU214)/_xlpm.f,IF(_xlpm.q&gt;=_xlpm.s,ROUND(_xlpm.q,1)&amp;" "&amp;_xlpm.ai_test&amp;" = "&amp;ROUND(_xlpm.q*_xlpm.f,1)&amp;" "&amp;_xlpm.u,ROUND(_xlpm.q,1)&amp;" "&amp;_xlpm.ai_test)),""),""))))</f>
        <v>0</v>
      </c>
      <c r="AX214" s="6218"/>
      <c r="AY214" s="6271">
        <f t="shared" ref="AY214:AY277" si="108">IF(TRIM(AG214)="▼ recette suivante","▼next recipe ",IF(AU214="","",IF(ISBLANK(AX214),AU214,ROUND(AU214*(1-MIN(1,MAX(0,IF(AX214&gt;1,AX214/100,AX214)))),3))))</f>
        <v>0</v>
      </c>
      <c r="AZ214" s="6242" t="str">
        <f t="shared" ref="AZ214:AZ277" si="109">IF(AK214,AV214,"")</f>
        <v/>
      </c>
      <c r="BA214" s="6194">
        <f t="shared" si="90"/>
        <v>0</v>
      </c>
      <c r="BB214" s="6192" t="str">
        <f t="shared" ref="BB214:BB277" si="110">IF(AK214,IF(N(BA214)&gt;0.000000001,R214,""),"")</f>
        <v/>
      </c>
      <c r="BC214" s="6219"/>
      <c r="BD214" s="6221">
        <f t="shared" si="91"/>
        <v>0</v>
      </c>
      <c r="BE214" s="6220" t="str">
        <f t="shared" ref="BE214:BE277" si="111">IF(IFERROR(SEARCH("Adresse PC",TRIM(Q214)),0)&gt;0,"▼ receta siguiente",IF(AY214&gt;0,W214,""))</f>
        <v/>
      </c>
      <c r="BF214" s="4" t="s">
        <v>1</v>
      </c>
      <c r="BG214" s="6196">
        <f t="shared" ref="BG214:BG277" si="112">IFERROR(_xlfn.LET(_xlpm.EPS,0.000000001,_xlpm.b,Q214/AO214,IF(ISNUMBER(AS214),_xlpm.b*AS214,IF(OR(ISBLANK(AS214),AS214=""),_xlpm.b*AQ214,IF(AND(BH214=0,ISNUMBER(Q214)),_xlpm.b/AQ214,0)))),0)</f>
        <v>0</v>
      </c>
      <c r="BH214" s="6197">
        <f t="shared" ref="BH214:BH277" si="113">IF(AL214&gt;0,IFERROR(IF(OR(ISBLANK(AS214),AS214=""),AQ214,AS214)/AO214,0),0)</f>
        <v>0</v>
      </c>
      <c r="BI214"/>
      <c r="BR214"/>
      <c r="BS214"/>
      <c r="BT214"/>
      <c r="BU214"/>
      <c r="BV214"/>
      <c r="BW214"/>
      <c r="BX214" s="20" t="str">
        <f t="shared" si="94"/>
        <v>►</v>
      </c>
      <c r="BY214"/>
      <c r="BZ214"/>
      <c r="CA214"/>
      <c r="CB214"/>
      <c r="CC214"/>
      <c r="CD214" s="2"/>
      <c r="CE214"/>
      <c r="CF214"/>
      <c r="CG214"/>
      <c r="CH214"/>
      <c r="CI214"/>
      <c r="CJ214"/>
      <c r="CK214"/>
      <c r="CM214"/>
      <c r="CN214"/>
      <c r="CO214"/>
      <c r="CP214"/>
      <c r="CQ214"/>
      <c r="CR214"/>
      <c r="CS214"/>
      <c r="CU214"/>
      <c r="CV214"/>
      <c r="CW214"/>
      <c r="CX214"/>
      <c r="CY214"/>
      <c r="CZ214"/>
      <c r="DA214"/>
      <c r="DC214" s="5">
        <v>1</v>
      </c>
    </row>
    <row r="215" spans="1:107" s="1" customFormat="1" ht="21" customHeight="1">
      <c r="A215" s="5641" t="s">
        <v>1</v>
      </c>
      <c r="B215" s="5662" t="str">
        <f t="shared" si="93"/>
        <v>►</v>
      </c>
      <c r="C215" s="5825" cm="1">
        <f t="array" ref="C215">SUMPRODUCT(LEN(D215:J215))</f>
        <v>0</v>
      </c>
      <c r="D215" s="5275"/>
      <c r="E215" s="1361"/>
      <c r="F215" s="1361"/>
      <c r="G215" s="1361"/>
      <c r="H215" s="1361"/>
      <c r="I215" s="1361"/>
      <c r="J215" s="5276"/>
      <c r="K215" s="106" t="s">
        <v>1</v>
      </c>
      <c r="L215" s="1021" t="s">
        <v>26</v>
      </c>
      <c r="M215" s="6787"/>
      <c r="N215" s="6787"/>
      <c r="O215" s="6787"/>
      <c r="P215" s="6788"/>
      <c r="Q215" s="6789"/>
      <c r="R215" s="6790"/>
      <c r="S215" s="6786"/>
      <c r="T215" s="6791"/>
      <c r="U215" s="6844"/>
      <c r="V215" s="6791"/>
      <c r="W215" s="8487"/>
      <c r="X215" s="6871"/>
      <c r="Y215" s="6793"/>
      <c r="Z215" s="6794"/>
      <c r="AA215" s="6795"/>
      <c r="AB215" s="6796"/>
      <c r="AC215" s="6797"/>
      <c r="AD215" s="6798"/>
      <c r="AE215" s="4" t="s">
        <v>1</v>
      </c>
      <c r="AF215" s="6202" t="str">
        <f t="shared" si="95"/>
        <v>►</v>
      </c>
      <c r="AG215" s="6234" t="str">
        <f t="shared" si="96"/>
        <v/>
      </c>
      <c r="AH215" s="6732" t="str">
        <f t="shared" si="97"/>
        <v/>
      </c>
      <c r="AI215" s="6234" t="str">
        <f t="shared" si="98"/>
        <v/>
      </c>
      <c r="AJ215" s="6732" t="str">
        <f t="shared" si="99"/>
        <v/>
      </c>
      <c r="AK215" s="6732">
        <f t="shared" si="100"/>
        <v>0</v>
      </c>
      <c r="AL215" s="6230" t="str" cm="1">
        <f t="array" ref="AL215">IF(AF215&lt;&gt;"A","",IFERROR((IFERROR(_xlfn.XLOOKUP(TRIM(SUBSTITUTE(U215,CHAR(160)," ")),$BJ$15:$BJ$62,$BM$15:$BM$62),IFERROR(_xlfn.XLOOKUP(TRIM(SUBSTITUTE(U215,CHAR(160)," ")),$BK$15:$BK$62,$BM$15:$BM$62),_xlfn.XLOOKUP(TRIM(SUBSTITUTE(U215,CHAR(160)," ")),$BL$15:$BL$62,$BM$15:$BM$62))))*T215*IF(ISBLANK(Q215),1,Q215)+IFERROR(_xlfn.XLOOKUP("RECHERCHEX",TRIM(L215:AD215),L215:AD215),0),0))</f>
        <v/>
      </c>
      <c r="AM215" s="6229">
        <f t="shared" si="101"/>
        <v>0</v>
      </c>
      <c r="AN215" s="6857" t="str">
        <f t="shared" si="92"/>
        <v/>
      </c>
      <c r="AO215" s="392">
        <f t="shared" si="102"/>
        <v>0</v>
      </c>
      <c r="AP215" s="392">
        <f t="shared" si="103"/>
        <v>0</v>
      </c>
      <c r="AQ215" s="6191">
        <f t="shared" si="104"/>
        <v>0</v>
      </c>
      <c r="AR215" s="6859" t="str">
        <f t="shared" si="105"/>
        <v/>
      </c>
      <c r="AS215" s="6217"/>
      <c r="AT215" s="6217"/>
      <c r="AU215" s="6272">
        <f t="shared" si="106"/>
        <v>0</v>
      </c>
      <c r="AV215" s="6240">
        <f t="shared" si="107"/>
        <v>0</v>
      </c>
      <c r="AW215" s="6189" cm="1">
        <f t="array" ref="AW215">IF(AK215&lt;&gt;1,0,IF(OR(AU215="",N(AU215)&lt;=0.000000001),"",IF(OR(AO215="",N(AO215)&lt;=0.000000001),0,IF(ISNUMBER(AU215),IFERROR(_xlfn.LET(_xlpm.ai_test,TRIM(AJ215),_xlpm.r,IFERROR(_xlfn.XLOOKUP(_xlpm.ai_test,$BJ$15:$BJ$62,ROW($BJ$15:$BJ$62),0,1),IFERROR(_xlfn.XLOOKUP(_xlpm.ai_test,$BK$15:$BK$62,ROW($BK$15:$BK$62),0,1),_xlfn.XLOOKUP(_xlpm.ai_test,$BL$15:$BL$62,ROW($BL$15:$BL$62),0,1))),_xlpm.p,_xlpm.r-MIN(ROW($BJ$15:$BJ$62))+1,_xlpm.f,INDEX($BM$15:$BM$62,_xlpm.p),_xlpm.u,INDEX($BN$15:$BN$62,_xlpm.p),_xlpm.s,INDEX($BP$15:$BP$62,_xlpm.p),_xlpm.q,N(AU215)/_xlpm.f,IF(_xlpm.q&gt;=_xlpm.s,ROUND(_xlpm.q,1)&amp;" "&amp;_xlpm.ai_test&amp;" = "&amp;ROUND(_xlpm.q*_xlpm.f,1)&amp;" "&amp;_xlpm.u,ROUND(_xlpm.q,1)&amp;" "&amp;_xlpm.ai_test)),""),""))))</f>
        <v>0</v>
      </c>
      <c r="AX215" s="6218"/>
      <c r="AY215" s="6272">
        <f t="shared" si="108"/>
        <v>0</v>
      </c>
      <c r="AZ215" s="6240" t="str">
        <f t="shared" si="109"/>
        <v/>
      </c>
      <c r="BA215" s="6195">
        <f t="shared" ref="BA215:BA278" si="114">IF(ISNUMBER(BG215),IF(ABS(BG215)&lt;=0.000000001,0,BG215),0)</f>
        <v>0</v>
      </c>
      <c r="BB215" s="6193" t="str">
        <f t="shared" si="110"/>
        <v/>
      </c>
      <c r="BC215" s="6219"/>
      <c r="BD215" s="6222">
        <f t="shared" si="91"/>
        <v>0</v>
      </c>
      <c r="BE215" s="6220" t="str">
        <f t="shared" si="111"/>
        <v/>
      </c>
      <c r="BF215" s="4" t="s">
        <v>1</v>
      </c>
      <c r="BG215" s="6196">
        <f t="shared" si="112"/>
        <v>0</v>
      </c>
      <c r="BH215" s="6197">
        <f t="shared" si="113"/>
        <v>0</v>
      </c>
      <c r="BI215"/>
      <c r="BR215"/>
      <c r="BS215"/>
      <c r="BT215"/>
      <c r="BU215"/>
      <c r="BV215"/>
      <c r="BW215"/>
      <c r="BX215" s="20" t="str">
        <f t="shared" si="94"/>
        <v>►</v>
      </c>
      <c r="BY215"/>
      <c r="BZ215"/>
      <c r="CA215"/>
      <c r="CB215"/>
      <c r="CC215"/>
      <c r="CD215" s="2"/>
      <c r="CE215"/>
      <c r="CF215"/>
      <c r="CG215"/>
      <c r="CH215"/>
      <c r="CI215"/>
      <c r="CJ215"/>
      <c r="CK215"/>
      <c r="CM215"/>
      <c r="CN215"/>
      <c r="CO215"/>
      <c r="CP215"/>
      <c r="CQ215"/>
      <c r="CR215"/>
      <c r="CS215"/>
      <c r="CU215"/>
      <c r="CV215"/>
      <c r="CW215"/>
      <c r="CX215"/>
      <c r="CY215"/>
      <c r="CZ215"/>
      <c r="DA215"/>
      <c r="DC215" s="5">
        <v>1</v>
      </c>
    </row>
    <row r="216" spans="1:107" s="1" customFormat="1" ht="21" customHeight="1">
      <c r="A216" s="5641" t="s">
        <v>1</v>
      </c>
      <c r="B216" s="5662" t="str">
        <f t="shared" si="93"/>
        <v>►</v>
      </c>
      <c r="C216" s="5825" cm="1">
        <f t="array" ref="C216">SUMPRODUCT(LEN(D216:J216))</f>
        <v>0</v>
      </c>
      <c r="D216" s="5275"/>
      <c r="E216" s="1361"/>
      <c r="F216" s="1361"/>
      <c r="G216" s="1361"/>
      <c r="H216" s="1361"/>
      <c r="I216" s="1361"/>
      <c r="J216" s="5276"/>
      <c r="K216" s="106" t="s">
        <v>1</v>
      </c>
      <c r="L216" s="1021" t="s">
        <v>26</v>
      </c>
      <c r="M216" s="6787"/>
      <c r="N216" s="6787"/>
      <c r="O216" s="6787"/>
      <c r="P216" s="6788"/>
      <c r="Q216" s="6789"/>
      <c r="R216" s="6790"/>
      <c r="S216" s="6786"/>
      <c r="T216" s="6791"/>
      <c r="U216" s="6844"/>
      <c r="V216" s="6791"/>
      <c r="W216" s="8487"/>
      <c r="X216" s="6871"/>
      <c r="Y216" s="6793"/>
      <c r="Z216" s="6794"/>
      <c r="AA216" s="6795"/>
      <c r="AB216" s="6796"/>
      <c r="AC216" s="6797"/>
      <c r="AD216" s="6798"/>
      <c r="AE216" s="4" t="s">
        <v>1</v>
      </c>
      <c r="AF216" s="6202" t="str">
        <f t="shared" si="95"/>
        <v>►</v>
      </c>
      <c r="AG216" s="6234" t="str">
        <f t="shared" si="96"/>
        <v/>
      </c>
      <c r="AH216" s="6732" t="str">
        <f t="shared" si="97"/>
        <v/>
      </c>
      <c r="AI216" s="6234" t="str">
        <f t="shared" si="98"/>
        <v/>
      </c>
      <c r="AJ216" s="6732" t="str">
        <f t="shared" si="99"/>
        <v/>
      </c>
      <c r="AK216" s="6732">
        <f t="shared" si="100"/>
        <v>0</v>
      </c>
      <c r="AL216" s="6230" t="str" cm="1">
        <f t="array" ref="AL216">IF(AF216&lt;&gt;"A","",IFERROR((IFERROR(_xlfn.XLOOKUP(TRIM(SUBSTITUTE(U216,CHAR(160)," ")),$BJ$15:$BJ$62,$BM$15:$BM$62),IFERROR(_xlfn.XLOOKUP(TRIM(SUBSTITUTE(U216,CHAR(160)," ")),$BK$15:$BK$62,$BM$15:$BM$62),_xlfn.XLOOKUP(TRIM(SUBSTITUTE(U216,CHAR(160)," ")),$BL$15:$BL$62,$BM$15:$BM$62))))*T216*IF(ISBLANK(Q216),1,Q216)+IFERROR(_xlfn.XLOOKUP("RECHERCHEX",TRIM(L216:AD216),L216:AD216),0),0))</f>
        <v/>
      </c>
      <c r="AM216" s="6229">
        <f t="shared" si="101"/>
        <v>0</v>
      </c>
      <c r="AN216" s="6857" t="str">
        <f t="shared" si="92"/>
        <v/>
      </c>
      <c r="AO216" s="392">
        <f t="shared" si="102"/>
        <v>0</v>
      </c>
      <c r="AP216" s="392">
        <f t="shared" si="103"/>
        <v>0</v>
      </c>
      <c r="AQ216" s="6190">
        <f t="shared" si="104"/>
        <v>0</v>
      </c>
      <c r="AR216" s="6858" t="str">
        <f t="shared" si="105"/>
        <v/>
      </c>
      <c r="AS216" s="6217"/>
      <c r="AT216" s="6217"/>
      <c r="AU216" s="6271">
        <f t="shared" si="106"/>
        <v>0</v>
      </c>
      <c r="AV216" s="6242">
        <f t="shared" si="107"/>
        <v>0</v>
      </c>
      <c r="AW216" s="6188" cm="1">
        <f t="array" ref="AW216">IF(AK216&lt;&gt;1,0,IF(OR(AU216="",N(AU216)&lt;=0.000000001),"",IF(OR(AO216="",N(AO216)&lt;=0.000000001),0,IF(ISNUMBER(AU216),IFERROR(_xlfn.LET(_xlpm.ai_test,TRIM(AJ216),_xlpm.r,IFERROR(_xlfn.XLOOKUP(_xlpm.ai_test,$BJ$15:$BJ$62,ROW($BJ$15:$BJ$62),0,1),IFERROR(_xlfn.XLOOKUP(_xlpm.ai_test,$BK$15:$BK$62,ROW($BK$15:$BK$62),0,1),_xlfn.XLOOKUP(_xlpm.ai_test,$BL$15:$BL$62,ROW($BL$15:$BL$62),0,1))),_xlpm.p,_xlpm.r-MIN(ROW($BJ$15:$BJ$62))+1,_xlpm.f,INDEX($BM$15:$BM$62,_xlpm.p),_xlpm.u,INDEX($BN$15:$BN$62,_xlpm.p),_xlpm.s,INDEX($BP$15:$BP$62,_xlpm.p),_xlpm.q,N(AU216)/_xlpm.f,IF(_xlpm.q&gt;=_xlpm.s,ROUND(_xlpm.q,1)&amp;" "&amp;_xlpm.ai_test&amp;" = "&amp;ROUND(_xlpm.q*_xlpm.f,1)&amp;" "&amp;_xlpm.u,ROUND(_xlpm.q,1)&amp;" "&amp;_xlpm.ai_test)),""),""))))</f>
        <v>0</v>
      </c>
      <c r="AX216" s="6218"/>
      <c r="AY216" s="6271">
        <f t="shared" si="108"/>
        <v>0</v>
      </c>
      <c r="AZ216" s="6242" t="str">
        <f t="shared" si="109"/>
        <v/>
      </c>
      <c r="BA216" s="6194">
        <f t="shared" si="114"/>
        <v>0</v>
      </c>
      <c r="BB216" s="6192" t="str">
        <f t="shared" si="110"/>
        <v/>
      </c>
      <c r="BC216" s="6219"/>
      <c r="BD216" s="6221">
        <f t="shared" si="91"/>
        <v>0</v>
      </c>
      <c r="BE216" s="6220" t="str">
        <f t="shared" si="111"/>
        <v/>
      </c>
      <c r="BF216" s="4" t="s">
        <v>1</v>
      </c>
      <c r="BG216" s="6196">
        <f t="shared" si="112"/>
        <v>0</v>
      </c>
      <c r="BH216" s="6197">
        <f t="shared" si="113"/>
        <v>0</v>
      </c>
      <c r="BI216"/>
      <c r="BR216"/>
      <c r="BS216"/>
      <c r="BT216"/>
      <c r="BU216"/>
      <c r="BV216"/>
      <c r="BW216"/>
      <c r="BX216" s="20" t="str">
        <f t="shared" si="94"/>
        <v>►</v>
      </c>
      <c r="BY216"/>
      <c r="BZ216"/>
      <c r="CA216"/>
      <c r="CB216"/>
      <c r="CC216"/>
      <c r="CD216" s="2"/>
      <c r="CE216"/>
      <c r="CF216"/>
      <c r="CG216"/>
      <c r="CH216"/>
      <c r="CI216"/>
      <c r="CJ216"/>
      <c r="CK216"/>
      <c r="CM216"/>
      <c r="CN216"/>
      <c r="CO216"/>
      <c r="CP216"/>
      <c r="CQ216"/>
      <c r="CR216"/>
      <c r="CS216"/>
      <c r="CU216"/>
      <c r="CV216"/>
      <c r="CW216"/>
      <c r="CX216"/>
      <c r="CY216"/>
      <c r="CZ216"/>
      <c r="DA216"/>
      <c r="DC216" s="5">
        <v>1</v>
      </c>
    </row>
    <row r="217" spans="1:107" s="1" customFormat="1" ht="21" customHeight="1">
      <c r="A217" s="5641" t="s">
        <v>1</v>
      </c>
      <c r="B217" s="5662" t="str">
        <f t="shared" si="93"/>
        <v>►</v>
      </c>
      <c r="C217" s="5825" cm="1">
        <f t="array" ref="C217">SUMPRODUCT(LEN(D217:J217))</f>
        <v>0</v>
      </c>
      <c r="D217" s="5275"/>
      <c r="E217" s="1361"/>
      <c r="F217" s="1361"/>
      <c r="G217" s="1361"/>
      <c r="H217" s="1361"/>
      <c r="I217" s="1361"/>
      <c r="J217" s="5276"/>
      <c r="K217" s="106" t="s">
        <v>1</v>
      </c>
      <c r="L217" s="1021" t="s">
        <v>26</v>
      </c>
      <c r="M217" s="6787"/>
      <c r="N217" s="6787"/>
      <c r="O217" s="6787"/>
      <c r="P217" s="6788"/>
      <c r="Q217" s="6789"/>
      <c r="R217" s="6790"/>
      <c r="S217" s="6786"/>
      <c r="T217" s="6791"/>
      <c r="U217" s="6844"/>
      <c r="V217" s="6791"/>
      <c r="W217" s="8487"/>
      <c r="X217" s="6871"/>
      <c r="Y217" s="6793"/>
      <c r="Z217" s="6794"/>
      <c r="AA217" s="6795"/>
      <c r="AB217" s="6796"/>
      <c r="AC217" s="6797"/>
      <c r="AD217" s="6798"/>
      <c r="AE217" s="4" t="s">
        <v>1</v>
      </c>
      <c r="AF217" s="6202" t="str">
        <f t="shared" si="95"/>
        <v>►</v>
      </c>
      <c r="AG217" s="6234" t="str">
        <f t="shared" si="96"/>
        <v/>
      </c>
      <c r="AH217" s="6732" t="str">
        <f t="shared" si="97"/>
        <v/>
      </c>
      <c r="AI217" s="6234" t="str">
        <f t="shared" si="98"/>
        <v/>
      </c>
      <c r="AJ217" s="6732" t="str">
        <f t="shared" si="99"/>
        <v/>
      </c>
      <c r="AK217" s="6732">
        <f t="shared" si="100"/>
        <v>0</v>
      </c>
      <c r="AL217" s="6230" t="str" cm="1">
        <f t="array" ref="AL217">IF(AF217&lt;&gt;"A","",IFERROR((IFERROR(_xlfn.XLOOKUP(TRIM(SUBSTITUTE(U217,CHAR(160)," ")),$BJ$15:$BJ$62,$BM$15:$BM$62),IFERROR(_xlfn.XLOOKUP(TRIM(SUBSTITUTE(U217,CHAR(160)," ")),$BK$15:$BK$62,$BM$15:$BM$62),_xlfn.XLOOKUP(TRIM(SUBSTITUTE(U217,CHAR(160)," ")),$BL$15:$BL$62,$BM$15:$BM$62))))*T217*IF(ISBLANK(Q217),1,Q217)+IFERROR(_xlfn.XLOOKUP("RECHERCHEX",TRIM(L217:AD217),L217:AD217),0),0))</f>
        <v/>
      </c>
      <c r="AM217" s="6229">
        <f t="shared" si="101"/>
        <v>0</v>
      </c>
      <c r="AN217" s="6857" t="str">
        <f t="shared" si="92"/>
        <v/>
      </c>
      <c r="AO217" s="392">
        <f t="shared" si="102"/>
        <v>0</v>
      </c>
      <c r="AP217" s="392">
        <f t="shared" si="103"/>
        <v>0</v>
      </c>
      <c r="AQ217" s="6191">
        <f t="shared" si="104"/>
        <v>0</v>
      </c>
      <c r="AR217" s="6859" t="str">
        <f t="shared" si="105"/>
        <v/>
      </c>
      <c r="AS217" s="6217"/>
      <c r="AT217" s="6217"/>
      <c r="AU217" s="6272">
        <f t="shared" si="106"/>
        <v>0</v>
      </c>
      <c r="AV217" s="6240">
        <f t="shared" si="107"/>
        <v>0</v>
      </c>
      <c r="AW217" s="6189" cm="1">
        <f t="array" ref="AW217">IF(AK217&lt;&gt;1,0,IF(OR(AU217="",N(AU217)&lt;=0.000000001),"",IF(OR(AO217="",N(AO217)&lt;=0.000000001),0,IF(ISNUMBER(AU217),IFERROR(_xlfn.LET(_xlpm.ai_test,TRIM(AJ217),_xlpm.r,IFERROR(_xlfn.XLOOKUP(_xlpm.ai_test,$BJ$15:$BJ$62,ROW($BJ$15:$BJ$62),0,1),IFERROR(_xlfn.XLOOKUP(_xlpm.ai_test,$BK$15:$BK$62,ROW($BK$15:$BK$62),0,1),_xlfn.XLOOKUP(_xlpm.ai_test,$BL$15:$BL$62,ROW($BL$15:$BL$62),0,1))),_xlpm.p,_xlpm.r-MIN(ROW($BJ$15:$BJ$62))+1,_xlpm.f,INDEX($BM$15:$BM$62,_xlpm.p),_xlpm.u,INDEX($BN$15:$BN$62,_xlpm.p),_xlpm.s,INDEX($BP$15:$BP$62,_xlpm.p),_xlpm.q,N(AU217)/_xlpm.f,IF(_xlpm.q&gt;=_xlpm.s,ROUND(_xlpm.q,1)&amp;" "&amp;_xlpm.ai_test&amp;" = "&amp;ROUND(_xlpm.q*_xlpm.f,1)&amp;" "&amp;_xlpm.u,ROUND(_xlpm.q,1)&amp;" "&amp;_xlpm.ai_test)),""),""))))</f>
        <v>0</v>
      </c>
      <c r="AX217" s="6218"/>
      <c r="AY217" s="6272">
        <f t="shared" si="108"/>
        <v>0</v>
      </c>
      <c r="AZ217" s="6240" t="str">
        <f t="shared" si="109"/>
        <v/>
      </c>
      <c r="BA217" s="6195">
        <f t="shared" si="114"/>
        <v>0</v>
      </c>
      <c r="BB217" s="6193" t="str">
        <f t="shared" si="110"/>
        <v/>
      </c>
      <c r="BC217" s="6219"/>
      <c r="BD217" s="6222">
        <f t="shared" si="91"/>
        <v>0</v>
      </c>
      <c r="BE217" s="6220" t="str">
        <f t="shared" si="111"/>
        <v/>
      </c>
      <c r="BF217" s="4" t="s">
        <v>1</v>
      </c>
      <c r="BG217" s="6196">
        <f t="shared" si="112"/>
        <v>0</v>
      </c>
      <c r="BH217" s="6197">
        <f t="shared" si="113"/>
        <v>0</v>
      </c>
      <c r="BI217"/>
      <c r="BR217"/>
      <c r="BS217"/>
      <c r="BT217"/>
      <c r="BU217"/>
      <c r="BV217"/>
      <c r="BW217"/>
      <c r="BX217" s="20" t="str">
        <f t="shared" si="94"/>
        <v>►</v>
      </c>
      <c r="BY217"/>
      <c r="BZ217"/>
      <c r="CA217"/>
      <c r="CB217"/>
      <c r="CC217"/>
      <c r="CD217" s="2"/>
      <c r="CE217"/>
      <c r="CF217"/>
      <c r="CG217"/>
      <c r="CH217"/>
      <c r="CI217"/>
      <c r="CJ217"/>
      <c r="CK217"/>
      <c r="CM217"/>
      <c r="CN217"/>
      <c r="CO217"/>
      <c r="CP217"/>
      <c r="CQ217"/>
      <c r="CR217"/>
      <c r="CS217"/>
      <c r="CU217"/>
      <c r="CV217"/>
      <c r="CW217"/>
      <c r="CX217"/>
      <c r="CY217"/>
      <c r="CZ217"/>
      <c r="DA217"/>
      <c r="DC217" s="5">
        <v>1</v>
      </c>
    </row>
    <row r="218" spans="1:107" s="1" customFormat="1" ht="21" customHeight="1">
      <c r="A218" s="5641" t="s">
        <v>1</v>
      </c>
      <c r="B218" s="5662" t="str">
        <f t="shared" si="93"/>
        <v>►</v>
      </c>
      <c r="C218" s="5825" cm="1">
        <f t="array" ref="C218">SUMPRODUCT(LEN(D218:J218))</f>
        <v>0</v>
      </c>
      <c r="D218" s="5275"/>
      <c r="E218" s="1361"/>
      <c r="F218" s="1361"/>
      <c r="G218" s="1361"/>
      <c r="H218" s="1361"/>
      <c r="I218" s="1361"/>
      <c r="J218" s="5276"/>
      <c r="K218" s="106" t="s">
        <v>1</v>
      </c>
      <c r="L218" s="1021" t="s">
        <v>26</v>
      </c>
      <c r="M218" s="6787"/>
      <c r="N218" s="6787"/>
      <c r="O218" s="6787"/>
      <c r="P218" s="6788"/>
      <c r="Q218" s="6789"/>
      <c r="R218" s="6790"/>
      <c r="S218" s="6786"/>
      <c r="T218" s="6791"/>
      <c r="U218" s="6844"/>
      <c r="V218" s="6791"/>
      <c r="W218" s="8487"/>
      <c r="X218" s="6871"/>
      <c r="Y218" s="6793"/>
      <c r="Z218" s="6794"/>
      <c r="AA218" s="6795"/>
      <c r="AB218" s="6796"/>
      <c r="AC218" s="6797"/>
      <c r="AD218" s="6798"/>
      <c r="AE218" s="4" t="s">
        <v>1</v>
      </c>
      <c r="AF218" s="6202" t="str">
        <f t="shared" si="95"/>
        <v>►</v>
      </c>
      <c r="AG218" s="6234" t="str">
        <f t="shared" si="96"/>
        <v/>
      </c>
      <c r="AH218" s="6732" t="str">
        <f t="shared" si="97"/>
        <v/>
      </c>
      <c r="AI218" s="6234" t="str">
        <f t="shared" si="98"/>
        <v/>
      </c>
      <c r="AJ218" s="6732" t="str">
        <f t="shared" si="99"/>
        <v/>
      </c>
      <c r="AK218" s="6732">
        <f t="shared" si="100"/>
        <v>0</v>
      </c>
      <c r="AL218" s="6230" t="str" cm="1">
        <f t="array" ref="AL218">IF(AF218&lt;&gt;"A","",IFERROR((IFERROR(_xlfn.XLOOKUP(TRIM(SUBSTITUTE(U218,CHAR(160)," ")),$BJ$15:$BJ$62,$BM$15:$BM$62),IFERROR(_xlfn.XLOOKUP(TRIM(SUBSTITUTE(U218,CHAR(160)," ")),$BK$15:$BK$62,$BM$15:$BM$62),_xlfn.XLOOKUP(TRIM(SUBSTITUTE(U218,CHAR(160)," ")),$BL$15:$BL$62,$BM$15:$BM$62))))*T218*IF(ISBLANK(Q218),1,Q218)+IFERROR(_xlfn.XLOOKUP("RECHERCHEX",TRIM(L218:AD218),L218:AD218),0),0))</f>
        <v/>
      </c>
      <c r="AM218" s="6229">
        <f t="shared" si="101"/>
        <v>0</v>
      </c>
      <c r="AN218" s="6857" t="str">
        <f t="shared" si="92"/>
        <v/>
      </c>
      <c r="AO218" s="392">
        <f t="shared" si="102"/>
        <v>0</v>
      </c>
      <c r="AP218" s="392">
        <f t="shared" si="103"/>
        <v>0</v>
      </c>
      <c r="AQ218" s="6190">
        <f t="shared" si="104"/>
        <v>0</v>
      </c>
      <c r="AR218" s="6858" t="str">
        <f t="shared" si="105"/>
        <v/>
      </c>
      <c r="AS218" s="6217"/>
      <c r="AT218" s="6217"/>
      <c r="AU218" s="6271">
        <f t="shared" si="106"/>
        <v>0</v>
      </c>
      <c r="AV218" s="6242">
        <f t="shared" si="107"/>
        <v>0</v>
      </c>
      <c r="AW218" s="6188" cm="1">
        <f t="array" ref="AW218">IF(AK218&lt;&gt;1,0,IF(OR(AU218="",N(AU218)&lt;=0.000000001),"",IF(OR(AO218="",N(AO218)&lt;=0.000000001),0,IF(ISNUMBER(AU218),IFERROR(_xlfn.LET(_xlpm.ai_test,TRIM(AJ218),_xlpm.r,IFERROR(_xlfn.XLOOKUP(_xlpm.ai_test,$BJ$15:$BJ$62,ROW($BJ$15:$BJ$62),0,1),IFERROR(_xlfn.XLOOKUP(_xlpm.ai_test,$BK$15:$BK$62,ROW($BK$15:$BK$62),0,1),_xlfn.XLOOKUP(_xlpm.ai_test,$BL$15:$BL$62,ROW($BL$15:$BL$62),0,1))),_xlpm.p,_xlpm.r-MIN(ROW($BJ$15:$BJ$62))+1,_xlpm.f,INDEX($BM$15:$BM$62,_xlpm.p),_xlpm.u,INDEX($BN$15:$BN$62,_xlpm.p),_xlpm.s,INDEX($BP$15:$BP$62,_xlpm.p),_xlpm.q,N(AU218)/_xlpm.f,IF(_xlpm.q&gt;=_xlpm.s,ROUND(_xlpm.q,1)&amp;" "&amp;_xlpm.ai_test&amp;" = "&amp;ROUND(_xlpm.q*_xlpm.f,1)&amp;" "&amp;_xlpm.u,ROUND(_xlpm.q,1)&amp;" "&amp;_xlpm.ai_test)),""),""))))</f>
        <v>0</v>
      </c>
      <c r="AX218" s="6218"/>
      <c r="AY218" s="6271">
        <f t="shared" si="108"/>
        <v>0</v>
      </c>
      <c r="AZ218" s="6242" t="str">
        <f t="shared" si="109"/>
        <v/>
      </c>
      <c r="BA218" s="6194">
        <f t="shared" si="114"/>
        <v>0</v>
      </c>
      <c r="BB218" s="6192" t="str">
        <f t="shared" si="110"/>
        <v/>
      </c>
      <c r="BC218" s="6219"/>
      <c r="BD218" s="6221">
        <f t="shared" si="91"/>
        <v>0</v>
      </c>
      <c r="BE218" s="6220" t="str">
        <f t="shared" si="111"/>
        <v/>
      </c>
      <c r="BF218" s="4" t="s">
        <v>1</v>
      </c>
      <c r="BG218" s="6196">
        <f t="shared" si="112"/>
        <v>0</v>
      </c>
      <c r="BH218" s="6197">
        <f t="shared" si="113"/>
        <v>0</v>
      </c>
      <c r="BI218"/>
      <c r="BR218"/>
      <c r="BS218"/>
      <c r="BT218"/>
      <c r="BU218"/>
      <c r="BV218"/>
      <c r="BW218"/>
      <c r="BX218" s="20" t="str">
        <f t="shared" si="94"/>
        <v>►</v>
      </c>
      <c r="BY218"/>
      <c r="BZ218"/>
      <c r="CA218"/>
      <c r="CB218"/>
      <c r="CC218"/>
      <c r="CD218" s="2"/>
      <c r="CE218"/>
      <c r="CF218"/>
      <c r="CG218"/>
      <c r="CH218"/>
      <c r="CI218"/>
      <c r="CJ218"/>
      <c r="CK218"/>
      <c r="CM218"/>
      <c r="CN218"/>
      <c r="CO218"/>
      <c r="CP218"/>
      <c r="CQ218"/>
      <c r="CR218"/>
      <c r="CS218"/>
      <c r="CU218"/>
      <c r="CV218"/>
      <c r="CW218"/>
      <c r="CX218"/>
      <c r="CY218"/>
      <c r="CZ218"/>
      <c r="DA218"/>
      <c r="DC218" s="5">
        <v>1</v>
      </c>
    </row>
    <row r="219" spans="1:107" s="1" customFormat="1" ht="21" customHeight="1">
      <c r="A219" s="5641" t="s">
        <v>1</v>
      </c>
      <c r="B219" s="5662" t="str">
        <f t="shared" si="93"/>
        <v>►</v>
      </c>
      <c r="C219" s="5825" cm="1">
        <f t="array" ref="C219">SUMPRODUCT(LEN(D219:J219))</f>
        <v>0</v>
      </c>
      <c r="D219" s="5275"/>
      <c r="E219" s="1361"/>
      <c r="F219" s="1361"/>
      <c r="G219" s="1361"/>
      <c r="H219" s="1361"/>
      <c r="I219" s="1361"/>
      <c r="J219" s="5276"/>
      <c r="K219" s="106" t="s">
        <v>1</v>
      </c>
      <c r="L219" s="1021" t="s">
        <v>26</v>
      </c>
      <c r="M219" s="6787"/>
      <c r="N219" s="6787"/>
      <c r="O219" s="6787"/>
      <c r="P219" s="6788"/>
      <c r="Q219" s="6789"/>
      <c r="R219" s="6790"/>
      <c r="S219" s="6786"/>
      <c r="T219" s="6791"/>
      <c r="U219" s="6844"/>
      <c r="V219" s="6791"/>
      <c r="W219" s="8487"/>
      <c r="X219" s="6871"/>
      <c r="Y219" s="6793"/>
      <c r="Z219" s="6794"/>
      <c r="AA219" s="6795"/>
      <c r="AB219" s="6796"/>
      <c r="AC219" s="6797"/>
      <c r="AD219" s="6798"/>
      <c r="AE219" s="4" t="s">
        <v>1</v>
      </c>
      <c r="AF219" s="6202" t="str">
        <f t="shared" si="95"/>
        <v>►</v>
      </c>
      <c r="AG219" s="6234" t="str">
        <f t="shared" si="96"/>
        <v/>
      </c>
      <c r="AH219" s="6732" t="str">
        <f t="shared" si="97"/>
        <v/>
      </c>
      <c r="AI219" s="6234" t="str">
        <f t="shared" si="98"/>
        <v/>
      </c>
      <c r="AJ219" s="6732" t="str">
        <f t="shared" si="99"/>
        <v/>
      </c>
      <c r="AK219" s="6732">
        <f t="shared" si="100"/>
        <v>0</v>
      </c>
      <c r="AL219" s="6230" t="str" cm="1">
        <f t="array" ref="AL219">IF(AF219&lt;&gt;"A","",IFERROR((IFERROR(_xlfn.XLOOKUP(TRIM(SUBSTITUTE(U219,CHAR(160)," ")),$BJ$15:$BJ$62,$BM$15:$BM$62),IFERROR(_xlfn.XLOOKUP(TRIM(SUBSTITUTE(U219,CHAR(160)," ")),$BK$15:$BK$62,$BM$15:$BM$62),_xlfn.XLOOKUP(TRIM(SUBSTITUTE(U219,CHAR(160)," ")),$BL$15:$BL$62,$BM$15:$BM$62))))*T219*IF(ISBLANK(Q219),1,Q219)+IFERROR(_xlfn.XLOOKUP("RECHERCHEX",TRIM(L219:AD219),L219:AD219),0),0))</f>
        <v/>
      </c>
      <c r="AM219" s="6229">
        <f t="shared" si="101"/>
        <v>0</v>
      </c>
      <c r="AN219" s="6857" t="str">
        <f t="shared" si="92"/>
        <v/>
      </c>
      <c r="AO219" s="392">
        <f t="shared" si="102"/>
        <v>0</v>
      </c>
      <c r="AP219" s="392">
        <f t="shared" si="103"/>
        <v>0</v>
      </c>
      <c r="AQ219" s="6191">
        <f t="shared" si="104"/>
        <v>0</v>
      </c>
      <c r="AR219" s="6859" t="str">
        <f t="shared" si="105"/>
        <v/>
      </c>
      <c r="AS219" s="6217"/>
      <c r="AT219" s="6217"/>
      <c r="AU219" s="6272">
        <f t="shared" si="106"/>
        <v>0</v>
      </c>
      <c r="AV219" s="6240">
        <f t="shared" si="107"/>
        <v>0</v>
      </c>
      <c r="AW219" s="6189" cm="1">
        <f t="array" ref="AW219">IF(AK219&lt;&gt;1,0,IF(OR(AU219="",N(AU219)&lt;=0.000000001),"",IF(OR(AO219="",N(AO219)&lt;=0.000000001),0,IF(ISNUMBER(AU219),IFERROR(_xlfn.LET(_xlpm.ai_test,TRIM(AJ219),_xlpm.r,IFERROR(_xlfn.XLOOKUP(_xlpm.ai_test,$BJ$15:$BJ$62,ROW($BJ$15:$BJ$62),0,1),IFERROR(_xlfn.XLOOKUP(_xlpm.ai_test,$BK$15:$BK$62,ROW($BK$15:$BK$62),0,1),_xlfn.XLOOKUP(_xlpm.ai_test,$BL$15:$BL$62,ROW($BL$15:$BL$62),0,1))),_xlpm.p,_xlpm.r-MIN(ROW($BJ$15:$BJ$62))+1,_xlpm.f,INDEX($BM$15:$BM$62,_xlpm.p),_xlpm.u,INDEX($BN$15:$BN$62,_xlpm.p),_xlpm.s,INDEX($BP$15:$BP$62,_xlpm.p),_xlpm.q,N(AU219)/_xlpm.f,IF(_xlpm.q&gt;=_xlpm.s,ROUND(_xlpm.q,1)&amp;" "&amp;_xlpm.ai_test&amp;" = "&amp;ROUND(_xlpm.q*_xlpm.f,1)&amp;" "&amp;_xlpm.u,ROUND(_xlpm.q,1)&amp;" "&amp;_xlpm.ai_test)),""),""))))</f>
        <v>0</v>
      </c>
      <c r="AX219" s="6218"/>
      <c r="AY219" s="6272">
        <f t="shared" si="108"/>
        <v>0</v>
      </c>
      <c r="AZ219" s="6240" t="str">
        <f t="shared" si="109"/>
        <v/>
      </c>
      <c r="BA219" s="6195">
        <f t="shared" si="114"/>
        <v>0</v>
      </c>
      <c r="BB219" s="6193" t="str">
        <f t="shared" si="110"/>
        <v/>
      </c>
      <c r="BC219" s="6219"/>
      <c r="BD219" s="6222">
        <f t="shared" ref="BD219:BD282" si="115">IF(OR(AO219=0,ISBLANK(BC219),ISTEXT(BA219)),0,(IF(AU219=0,BA219,AU219)*BC219))</f>
        <v>0</v>
      </c>
      <c r="BE219" s="6220" t="str">
        <f t="shared" si="111"/>
        <v/>
      </c>
      <c r="BF219" s="4" t="s">
        <v>1</v>
      </c>
      <c r="BG219" s="6196">
        <f t="shared" si="112"/>
        <v>0</v>
      </c>
      <c r="BH219" s="6197">
        <f t="shared" si="113"/>
        <v>0</v>
      </c>
      <c r="BI219"/>
      <c r="BR219"/>
      <c r="BS219"/>
      <c r="BT219"/>
      <c r="BU219"/>
      <c r="BV219"/>
      <c r="BW219"/>
      <c r="BX219" s="20" t="str">
        <f t="shared" si="94"/>
        <v>►</v>
      </c>
      <c r="BY219"/>
      <c r="BZ219"/>
      <c r="CA219"/>
      <c r="CB219"/>
      <c r="CC219"/>
      <c r="CD219" s="2"/>
      <c r="CE219"/>
      <c r="CF219"/>
      <c r="CG219"/>
      <c r="CH219"/>
      <c r="CI219"/>
      <c r="CJ219"/>
      <c r="CK219"/>
      <c r="CM219"/>
      <c r="CN219"/>
      <c r="CO219"/>
      <c r="CP219"/>
      <c r="CQ219"/>
      <c r="CR219"/>
      <c r="CS219"/>
      <c r="CU219"/>
      <c r="CV219"/>
      <c r="CW219"/>
      <c r="CX219"/>
      <c r="CY219"/>
      <c r="CZ219"/>
      <c r="DA219"/>
      <c r="DC219" s="5">
        <v>1</v>
      </c>
    </row>
    <row r="220" spans="1:107" s="1" customFormat="1" ht="21" customHeight="1">
      <c r="A220" s="5641" t="s">
        <v>1</v>
      </c>
      <c r="B220" s="5662" t="str">
        <f t="shared" si="93"/>
        <v>►</v>
      </c>
      <c r="C220" s="5825" cm="1">
        <f t="array" ref="C220">SUMPRODUCT(LEN(D220:J220))</f>
        <v>0</v>
      </c>
      <c r="D220" s="5275"/>
      <c r="E220" s="1361"/>
      <c r="F220" s="1361"/>
      <c r="G220" s="1361"/>
      <c r="H220" s="1361"/>
      <c r="I220" s="1361"/>
      <c r="J220" s="5276"/>
      <c r="K220" s="106" t="s">
        <v>1</v>
      </c>
      <c r="L220" s="1021" t="s">
        <v>26</v>
      </c>
      <c r="M220" s="6787"/>
      <c r="N220" s="6787"/>
      <c r="O220" s="6787"/>
      <c r="P220" s="6788"/>
      <c r="Q220" s="6789"/>
      <c r="R220" s="6790"/>
      <c r="S220" s="6786"/>
      <c r="T220" s="6791"/>
      <c r="U220" s="6844"/>
      <c r="V220" s="6791"/>
      <c r="W220" s="8487"/>
      <c r="X220" s="6871"/>
      <c r="Y220" s="6793"/>
      <c r="Z220" s="6794"/>
      <c r="AA220" s="6795"/>
      <c r="AB220" s="6796"/>
      <c r="AC220" s="6797"/>
      <c r="AD220" s="6798"/>
      <c r="AE220" s="4" t="s">
        <v>1</v>
      </c>
      <c r="AF220" s="6202" t="str">
        <f t="shared" si="95"/>
        <v>►</v>
      </c>
      <c r="AG220" s="6234" t="str">
        <f t="shared" si="96"/>
        <v/>
      </c>
      <c r="AH220" s="6732" t="str">
        <f t="shared" si="97"/>
        <v/>
      </c>
      <c r="AI220" s="6234" t="str">
        <f t="shared" si="98"/>
        <v/>
      </c>
      <c r="AJ220" s="6732" t="str">
        <f t="shared" si="99"/>
        <v/>
      </c>
      <c r="AK220" s="6732">
        <f t="shared" si="100"/>
        <v>0</v>
      </c>
      <c r="AL220" s="6230" t="str" cm="1">
        <f t="array" ref="AL220">IF(AF220&lt;&gt;"A","",IFERROR((IFERROR(_xlfn.XLOOKUP(TRIM(SUBSTITUTE(U220,CHAR(160)," ")),$BJ$15:$BJ$62,$BM$15:$BM$62),IFERROR(_xlfn.XLOOKUP(TRIM(SUBSTITUTE(U220,CHAR(160)," ")),$BK$15:$BK$62,$BM$15:$BM$62),_xlfn.XLOOKUP(TRIM(SUBSTITUTE(U220,CHAR(160)," ")),$BL$15:$BL$62,$BM$15:$BM$62))))*T220*IF(ISBLANK(Q220),1,Q220)+IFERROR(_xlfn.XLOOKUP("RECHERCHEX",TRIM(L220:AD220),L220:AD220),0),0))</f>
        <v/>
      </c>
      <c r="AM220" s="6229">
        <f t="shared" si="101"/>
        <v>0</v>
      </c>
      <c r="AN220" s="6857" t="str">
        <f t="shared" si="92"/>
        <v/>
      </c>
      <c r="AO220" s="392">
        <f t="shared" si="102"/>
        <v>0</v>
      </c>
      <c r="AP220" s="392">
        <f t="shared" si="103"/>
        <v>0</v>
      </c>
      <c r="AQ220" s="6190">
        <f t="shared" si="104"/>
        <v>0</v>
      </c>
      <c r="AR220" s="6858" t="str">
        <f t="shared" si="105"/>
        <v/>
      </c>
      <c r="AS220" s="6217"/>
      <c r="AT220" s="6217"/>
      <c r="AU220" s="6271">
        <f t="shared" si="106"/>
        <v>0</v>
      </c>
      <c r="AV220" s="6242">
        <f t="shared" si="107"/>
        <v>0</v>
      </c>
      <c r="AW220" s="6188" cm="1">
        <f t="array" ref="AW220">IF(AK220&lt;&gt;1,0,IF(OR(AU220="",N(AU220)&lt;=0.000000001),"",IF(OR(AO220="",N(AO220)&lt;=0.000000001),0,IF(ISNUMBER(AU220),IFERROR(_xlfn.LET(_xlpm.ai_test,TRIM(AJ220),_xlpm.r,IFERROR(_xlfn.XLOOKUP(_xlpm.ai_test,$BJ$15:$BJ$62,ROW($BJ$15:$BJ$62),0,1),IFERROR(_xlfn.XLOOKUP(_xlpm.ai_test,$BK$15:$BK$62,ROW($BK$15:$BK$62),0,1),_xlfn.XLOOKUP(_xlpm.ai_test,$BL$15:$BL$62,ROW($BL$15:$BL$62),0,1))),_xlpm.p,_xlpm.r-MIN(ROW($BJ$15:$BJ$62))+1,_xlpm.f,INDEX($BM$15:$BM$62,_xlpm.p),_xlpm.u,INDEX($BN$15:$BN$62,_xlpm.p),_xlpm.s,INDEX($BP$15:$BP$62,_xlpm.p),_xlpm.q,N(AU220)/_xlpm.f,IF(_xlpm.q&gt;=_xlpm.s,ROUND(_xlpm.q,1)&amp;" "&amp;_xlpm.ai_test&amp;" = "&amp;ROUND(_xlpm.q*_xlpm.f,1)&amp;" "&amp;_xlpm.u,ROUND(_xlpm.q,1)&amp;" "&amp;_xlpm.ai_test)),""),""))))</f>
        <v>0</v>
      </c>
      <c r="AX220" s="6218"/>
      <c r="AY220" s="6271">
        <f t="shared" si="108"/>
        <v>0</v>
      </c>
      <c r="AZ220" s="6242" t="str">
        <f t="shared" si="109"/>
        <v/>
      </c>
      <c r="BA220" s="6194">
        <f t="shared" si="114"/>
        <v>0</v>
      </c>
      <c r="BB220" s="6192" t="str">
        <f t="shared" si="110"/>
        <v/>
      </c>
      <c r="BC220" s="6219"/>
      <c r="BD220" s="6221">
        <f t="shared" si="115"/>
        <v>0</v>
      </c>
      <c r="BE220" s="6220" t="str">
        <f t="shared" si="111"/>
        <v/>
      </c>
      <c r="BF220" s="4" t="s">
        <v>1</v>
      </c>
      <c r="BG220" s="6196">
        <f t="shared" si="112"/>
        <v>0</v>
      </c>
      <c r="BH220" s="6197">
        <f t="shared" si="113"/>
        <v>0</v>
      </c>
      <c r="BI220"/>
      <c r="BR220"/>
      <c r="BS220"/>
      <c r="BT220"/>
      <c r="BU220"/>
      <c r="BV220"/>
      <c r="BW220"/>
      <c r="BX220" s="20" t="str">
        <f t="shared" si="94"/>
        <v>►</v>
      </c>
      <c r="BY220"/>
      <c r="BZ220"/>
      <c r="CA220"/>
      <c r="CB220"/>
      <c r="CC220"/>
      <c r="CD220" s="2"/>
      <c r="CE220"/>
      <c r="CF220"/>
      <c r="CG220"/>
      <c r="CH220"/>
      <c r="CI220"/>
      <c r="CJ220"/>
      <c r="CK220"/>
      <c r="CM220"/>
      <c r="CN220"/>
      <c r="CO220"/>
      <c r="CP220"/>
      <c r="CQ220"/>
      <c r="CR220"/>
      <c r="CS220"/>
      <c r="CU220"/>
      <c r="CV220"/>
      <c r="CW220"/>
      <c r="CX220"/>
      <c r="CY220"/>
      <c r="CZ220"/>
      <c r="DA220"/>
      <c r="DC220" s="5">
        <v>1</v>
      </c>
    </row>
    <row r="221" spans="1:107" s="1" customFormat="1" ht="21" customHeight="1">
      <c r="A221" s="5641" t="s">
        <v>1</v>
      </c>
      <c r="B221" s="5662" t="str">
        <f t="shared" si="93"/>
        <v>►</v>
      </c>
      <c r="C221" s="5825" cm="1">
        <f t="array" ref="C221">SUMPRODUCT(LEN(D221:J221))</f>
        <v>0</v>
      </c>
      <c r="D221" s="5275"/>
      <c r="E221" s="1361"/>
      <c r="F221" s="1361"/>
      <c r="G221" s="1361"/>
      <c r="H221" s="1361"/>
      <c r="I221" s="1361"/>
      <c r="J221" s="5276"/>
      <c r="K221" s="106" t="s">
        <v>1</v>
      </c>
      <c r="L221" s="1021" t="s">
        <v>26</v>
      </c>
      <c r="M221" s="6787"/>
      <c r="N221" s="6787"/>
      <c r="O221" s="6787"/>
      <c r="P221" s="6788"/>
      <c r="Q221" s="6789"/>
      <c r="R221" s="6790"/>
      <c r="S221" s="6786"/>
      <c r="T221" s="6791"/>
      <c r="U221" s="6844"/>
      <c r="V221" s="6791"/>
      <c r="W221" s="8487"/>
      <c r="X221" s="6871"/>
      <c r="Y221" s="6793"/>
      <c r="Z221" s="6794"/>
      <c r="AA221" s="6795"/>
      <c r="AB221" s="6796"/>
      <c r="AC221" s="6797"/>
      <c r="AD221" s="6798"/>
      <c r="AE221" s="4" t="s">
        <v>1</v>
      </c>
      <c r="AF221" s="6202" t="str">
        <f t="shared" si="95"/>
        <v>►</v>
      </c>
      <c r="AG221" s="6234" t="str">
        <f t="shared" si="96"/>
        <v/>
      </c>
      <c r="AH221" s="6732" t="str">
        <f t="shared" si="97"/>
        <v/>
      </c>
      <c r="AI221" s="6234" t="str">
        <f t="shared" si="98"/>
        <v/>
      </c>
      <c r="AJ221" s="6732" t="str">
        <f t="shared" si="99"/>
        <v/>
      </c>
      <c r="AK221" s="6732">
        <f t="shared" si="100"/>
        <v>0</v>
      </c>
      <c r="AL221" s="6230" t="str" cm="1">
        <f t="array" ref="AL221">IF(AF221&lt;&gt;"A","",IFERROR((IFERROR(_xlfn.XLOOKUP(TRIM(SUBSTITUTE(U221,CHAR(160)," ")),$BJ$15:$BJ$62,$BM$15:$BM$62),IFERROR(_xlfn.XLOOKUP(TRIM(SUBSTITUTE(U221,CHAR(160)," ")),$BK$15:$BK$62,$BM$15:$BM$62),_xlfn.XLOOKUP(TRIM(SUBSTITUTE(U221,CHAR(160)," ")),$BL$15:$BL$62,$BM$15:$BM$62))))*T221*IF(ISBLANK(Q221),1,Q221)+IFERROR(_xlfn.XLOOKUP("RECHERCHEX",TRIM(L221:AD221),L221:AD221),0),0))</f>
        <v/>
      </c>
      <c r="AM221" s="6229">
        <f t="shared" si="101"/>
        <v>0</v>
      </c>
      <c r="AN221" s="6857" t="str">
        <f t="shared" si="92"/>
        <v/>
      </c>
      <c r="AO221" s="392">
        <f t="shared" si="102"/>
        <v>0</v>
      </c>
      <c r="AP221" s="392">
        <f t="shared" si="103"/>
        <v>0</v>
      </c>
      <c r="AQ221" s="6191">
        <f t="shared" si="104"/>
        <v>0</v>
      </c>
      <c r="AR221" s="6859" t="str">
        <f t="shared" si="105"/>
        <v/>
      </c>
      <c r="AS221" s="6217"/>
      <c r="AT221" s="6217"/>
      <c r="AU221" s="6272">
        <f t="shared" si="106"/>
        <v>0</v>
      </c>
      <c r="AV221" s="6240">
        <f t="shared" si="107"/>
        <v>0</v>
      </c>
      <c r="AW221" s="6189" cm="1">
        <f t="array" ref="AW221">IF(AK221&lt;&gt;1,0,IF(OR(AU221="",N(AU221)&lt;=0.000000001),"",IF(OR(AO221="",N(AO221)&lt;=0.000000001),0,IF(ISNUMBER(AU221),IFERROR(_xlfn.LET(_xlpm.ai_test,TRIM(AJ221),_xlpm.r,IFERROR(_xlfn.XLOOKUP(_xlpm.ai_test,$BJ$15:$BJ$62,ROW($BJ$15:$BJ$62),0,1),IFERROR(_xlfn.XLOOKUP(_xlpm.ai_test,$BK$15:$BK$62,ROW($BK$15:$BK$62),0,1),_xlfn.XLOOKUP(_xlpm.ai_test,$BL$15:$BL$62,ROW($BL$15:$BL$62),0,1))),_xlpm.p,_xlpm.r-MIN(ROW($BJ$15:$BJ$62))+1,_xlpm.f,INDEX($BM$15:$BM$62,_xlpm.p),_xlpm.u,INDEX($BN$15:$BN$62,_xlpm.p),_xlpm.s,INDEX($BP$15:$BP$62,_xlpm.p),_xlpm.q,N(AU221)/_xlpm.f,IF(_xlpm.q&gt;=_xlpm.s,ROUND(_xlpm.q,1)&amp;" "&amp;_xlpm.ai_test&amp;" = "&amp;ROUND(_xlpm.q*_xlpm.f,1)&amp;" "&amp;_xlpm.u,ROUND(_xlpm.q,1)&amp;" "&amp;_xlpm.ai_test)),""),""))))</f>
        <v>0</v>
      </c>
      <c r="AX221" s="6218"/>
      <c r="AY221" s="6272">
        <f t="shared" si="108"/>
        <v>0</v>
      </c>
      <c r="AZ221" s="6240" t="str">
        <f t="shared" si="109"/>
        <v/>
      </c>
      <c r="BA221" s="6195">
        <f t="shared" si="114"/>
        <v>0</v>
      </c>
      <c r="BB221" s="6193" t="str">
        <f t="shared" si="110"/>
        <v/>
      </c>
      <c r="BC221" s="6219"/>
      <c r="BD221" s="6222">
        <f t="shared" si="115"/>
        <v>0</v>
      </c>
      <c r="BE221" s="6220" t="str">
        <f t="shared" si="111"/>
        <v/>
      </c>
      <c r="BF221" s="4" t="s">
        <v>1</v>
      </c>
      <c r="BG221" s="6196">
        <f t="shared" si="112"/>
        <v>0</v>
      </c>
      <c r="BH221" s="6197">
        <f t="shared" si="113"/>
        <v>0</v>
      </c>
      <c r="BI221"/>
      <c r="BR221"/>
      <c r="BS221"/>
      <c r="BT221"/>
      <c r="BU221"/>
      <c r="BV221"/>
      <c r="BW221"/>
      <c r="BX221" s="20" t="str">
        <f t="shared" si="94"/>
        <v>►</v>
      </c>
      <c r="BY221"/>
      <c r="BZ221"/>
      <c r="CA221"/>
      <c r="CB221"/>
      <c r="CC221"/>
      <c r="CD221" s="2"/>
      <c r="CE221"/>
      <c r="CF221"/>
      <c r="CG221"/>
      <c r="CH221"/>
      <c r="CI221"/>
      <c r="CJ221"/>
      <c r="CK221"/>
      <c r="CM221"/>
      <c r="CN221"/>
      <c r="CO221"/>
      <c r="CP221"/>
      <c r="CQ221"/>
      <c r="CR221"/>
      <c r="CS221"/>
      <c r="CU221"/>
      <c r="CV221"/>
      <c r="CW221"/>
      <c r="CX221"/>
      <c r="CY221"/>
      <c r="CZ221"/>
      <c r="DA221"/>
      <c r="DC221" s="5">
        <v>1</v>
      </c>
    </row>
    <row r="222" spans="1:107" s="1" customFormat="1" ht="21" customHeight="1">
      <c r="A222" s="5641" t="s">
        <v>1</v>
      </c>
      <c r="B222" s="5662" t="str">
        <f t="shared" si="93"/>
        <v>►</v>
      </c>
      <c r="C222" s="5825" cm="1">
        <f t="array" ref="C222">SUMPRODUCT(LEN(D222:J222))</f>
        <v>0</v>
      </c>
      <c r="D222" s="5275"/>
      <c r="E222" s="1361"/>
      <c r="F222" s="1361"/>
      <c r="G222" s="1361"/>
      <c r="H222" s="1361"/>
      <c r="I222" s="1361"/>
      <c r="J222" s="5276"/>
      <c r="K222" s="106" t="s">
        <v>1</v>
      </c>
      <c r="L222" s="1021" t="s">
        <v>26</v>
      </c>
      <c r="M222" s="6787"/>
      <c r="N222" s="6787"/>
      <c r="O222" s="6787"/>
      <c r="P222" s="6788"/>
      <c r="Q222" s="6789"/>
      <c r="R222" s="6790"/>
      <c r="S222" s="6786"/>
      <c r="T222" s="6791"/>
      <c r="U222" s="6844"/>
      <c r="V222" s="6791"/>
      <c r="W222" s="8487"/>
      <c r="X222" s="6871"/>
      <c r="Y222" s="6793"/>
      <c r="Z222" s="6794"/>
      <c r="AA222" s="6795"/>
      <c r="AB222" s="6796"/>
      <c r="AC222" s="6797"/>
      <c r="AD222" s="6798"/>
      <c r="AE222" s="4" t="s">
        <v>1</v>
      </c>
      <c r="AF222" s="6202" t="str">
        <f t="shared" si="95"/>
        <v>►</v>
      </c>
      <c r="AG222" s="6234" t="str">
        <f t="shared" si="96"/>
        <v/>
      </c>
      <c r="AH222" s="6732" t="str">
        <f t="shared" si="97"/>
        <v/>
      </c>
      <c r="AI222" s="6234" t="str">
        <f t="shared" si="98"/>
        <v/>
      </c>
      <c r="AJ222" s="6732" t="str">
        <f t="shared" si="99"/>
        <v/>
      </c>
      <c r="AK222" s="6732">
        <f t="shared" si="100"/>
        <v>0</v>
      </c>
      <c r="AL222" s="6230" t="str" cm="1">
        <f t="array" ref="AL222">IF(AF222&lt;&gt;"A","",IFERROR((IFERROR(_xlfn.XLOOKUP(TRIM(SUBSTITUTE(U222,CHAR(160)," ")),$BJ$15:$BJ$62,$BM$15:$BM$62),IFERROR(_xlfn.XLOOKUP(TRIM(SUBSTITUTE(U222,CHAR(160)," ")),$BK$15:$BK$62,$BM$15:$BM$62),_xlfn.XLOOKUP(TRIM(SUBSTITUTE(U222,CHAR(160)," ")),$BL$15:$BL$62,$BM$15:$BM$62))))*T222*IF(ISBLANK(Q222),1,Q222)+IFERROR(_xlfn.XLOOKUP("RECHERCHEX",TRIM(L222:AD222),L222:AD222),0),0))</f>
        <v/>
      </c>
      <c r="AM222" s="6229">
        <f t="shared" si="101"/>
        <v>0</v>
      </c>
      <c r="AN222" s="6857" t="str">
        <f t="shared" ref="AN222:AN285" si="116">IF(AF222="A","❾ Author reference &gt;","")</f>
        <v/>
      </c>
      <c r="AO222" s="392">
        <f t="shared" si="102"/>
        <v>0</v>
      </c>
      <c r="AP222" s="392">
        <f t="shared" si="103"/>
        <v>0</v>
      </c>
      <c r="AQ222" s="6190">
        <f t="shared" si="104"/>
        <v>0</v>
      </c>
      <c r="AR222" s="6858" t="str">
        <f t="shared" si="105"/>
        <v/>
      </c>
      <c r="AS222" s="6217"/>
      <c r="AT222" s="6217"/>
      <c r="AU222" s="6271">
        <f t="shared" si="106"/>
        <v>0</v>
      </c>
      <c r="AV222" s="6242">
        <f t="shared" si="107"/>
        <v>0</v>
      </c>
      <c r="AW222" s="6188" cm="1">
        <f t="array" ref="AW222">IF(AK222&lt;&gt;1,0,IF(OR(AU222="",N(AU222)&lt;=0.000000001),"",IF(OR(AO222="",N(AO222)&lt;=0.000000001),0,IF(ISNUMBER(AU222),IFERROR(_xlfn.LET(_xlpm.ai_test,TRIM(AJ222),_xlpm.r,IFERROR(_xlfn.XLOOKUP(_xlpm.ai_test,$BJ$15:$BJ$62,ROW($BJ$15:$BJ$62),0,1),IFERROR(_xlfn.XLOOKUP(_xlpm.ai_test,$BK$15:$BK$62,ROW($BK$15:$BK$62),0,1),_xlfn.XLOOKUP(_xlpm.ai_test,$BL$15:$BL$62,ROW($BL$15:$BL$62),0,1))),_xlpm.p,_xlpm.r-MIN(ROW($BJ$15:$BJ$62))+1,_xlpm.f,INDEX($BM$15:$BM$62,_xlpm.p),_xlpm.u,INDEX($BN$15:$BN$62,_xlpm.p),_xlpm.s,INDEX($BP$15:$BP$62,_xlpm.p),_xlpm.q,N(AU222)/_xlpm.f,IF(_xlpm.q&gt;=_xlpm.s,ROUND(_xlpm.q,1)&amp;" "&amp;_xlpm.ai_test&amp;" = "&amp;ROUND(_xlpm.q*_xlpm.f,1)&amp;" "&amp;_xlpm.u,ROUND(_xlpm.q,1)&amp;" "&amp;_xlpm.ai_test)),""),""))))</f>
        <v>0</v>
      </c>
      <c r="AX222" s="6218"/>
      <c r="AY222" s="6271">
        <f t="shared" si="108"/>
        <v>0</v>
      </c>
      <c r="AZ222" s="6242" t="str">
        <f t="shared" si="109"/>
        <v/>
      </c>
      <c r="BA222" s="6194">
        <f t="shared" si="114"/>
        <v>0</v>
      </c>
      <c r="BB222" s="6192" t="str">
        <f t="shared" si="110"/>
        <v/>
      </c>
      <c r="BC222" s="6219"/>
      <c r="BD222" s="6221">
        <f t="shared" si="115"/>
        <v>0</v>
      </c>
      <c r="BE222" s="6220" t="str">
        <f t="shared" si="111"/>
        <v/>
      </c>
      <c r="BF222" s="4" t="s">
        <v>1</v>
      </c>
      <c r="BG222" s="6196">
        <f t="shared" si="112"/>
        <v>0</v>
      </c>
      <c r="BH222" s="6197">
        <f t="shared" si="113"/>
        <v>0</v>
      </c>
      <c r="BI222"/>
      <c r="BR222"/>
      <c r="BS222"/>
      <c r="BT222"/>
      <c r="BU222"/>
      <c r="BV222"/>
      <c r="BW222"/>
      <c r="BX222" s="20" t="str">
        <f t="shared" si="94"/>
        <v>►</v>
      </c>
      <c r="BY222"/>
      <c r="BZ222"/>
      <c r="CA222"/>
      <c r="CB222"/>
      <c r="CC222"/>
      <c r="CD222" s="2"/>
      <c r="CE222"/>
      <c r="CF222"/>
      <c r="CG222"/>
      <c r="CH222"/>
      <c r="CI222"/>
      <c r="CJ222"/>
      <c r="CK222"/>
      <c r="CM222"/>
      <c r="CN222"/>
      <c r="CO222"/>
      <c r="CP222"/>
      <c r="CQ222"/>
      <c r="CR222"/>
      <c r="CS222"/>
      <c r="CU222"/>
      <c r="CV222"/>
      <c r="CW222"/>
      <c r="CX222"/>
      <c r="CY222"/>
      <c r="CZ222"/>
      <c r="DA222"/>
      <c r="DC222" s="5">
        <v>1</v>
      </c>
    </row>
    <row r="223" spans="1:107" s="1" customFormat="1" ht="21" customHeight="1">
      <c r="A223" s="5641" t="s">
        <v>1</v>
      </c>
      <c r="B223" s="5662" t="str">
        <f t="shared" si="93"/>
        <v>►</v>
      </c>
      <c r="C223" s="5825" cm="1">
        <f t="array" ref="C223">SUMPRODUCT(LEN(D223:J223))</f>
        <v>0</v>
      </c>
      <c r="D223" s="5275"/>
      <c r="E223" s="1361"/>
      <c r="F223" s="1361"/>
      <c r="G223" s="1361"/>
      <c r="H223" s="1361"/>
      <c r="I223" s="1361"/>
      <c r="J223" s="5276"/>
      <c r="K223" s="106" t="s">
        <v>1</v>
      </c>
      <c r="L223" s="1021" t="s">
        <v>26</v>
      </c>
      <c r="M223" s="6787"/>
      <c r="N223" s="6787"/>
      <c r="O223" s="6787"/>
      <c r="P223" s="6788"/>
      <c r="Q223" s="6789"/>
      <c r="R223" s="6790"/>
      <c r="S223" s="6786"/>
      <c r="T223" s="6791"/>
      <c r="U223" s="6844"/>
      <c r="V223" s="6791"/>
      <c r="W223" s="8487"/>
      <c r="X223" s="6871"/>
      <c r="Y223" s="6793"/>
      <c r="Z223" s="6794"/>
      <c r="AA223" s="6795"/>
      <c r="AB223" s="6796"/>
      <c r="AC223" s="6797"/>
      <c r="AD223" s="6798"/>
      <c r="AE223" s="4" t="s">
        <v>1</v>
      </c>
      <c r="AF223" s="6202" t="str">
        <f t="shared" si="95"/>
        <v>►</v>
      </c>
      <c r="AG223" s="6234" t="str">
        <f t="shared" si="96"/>
        <v/>
      </c>
      <c r="AH223" s="6732" t="str">
        <f t="shared" si="97"/>
        <v/>
      </c>
      <c r="AI223" s="6234" t="str">
        <f t="shared" si="98"/>
        <v/>
      </c>
      <c r="AJ223" s="6732" t="str">
        <f t="shared" si="99"/>
        <v/>
      </c>
      <c r="AK223" s="6732">
        <f t="shared" si="100"/>
        <v>0</v>
      </c>
      <c r="AL223" s="6230" t="str" cm="1">
        <f t="array" ref="AL223">IF(AF223&lt;&gt;"A","",IFERROR((IFERROR(_xlfn.XLOOKUP(TRIM(SUBSTITUTE(U223,CHAR(160)," ")),$BJ$15:$BJ$62,$BM$15:$BM$62),IFERROR(_xlfn.XLOOKUP(TRIM(SUBSTITUTE(U223,CHAR(160)," ")),$BK$15:$BK$62,$BM$15:$BM$62),_xlfn.XLOOKUP(TRIM(SUBSTITUTE(U223,CHAR(160)," ")),$BL$15:$BL$62,$BM$15:$BM$62))))*T223*IF(ISBLANK(Q223),1,Q223)+IFERROR(_xlfn.XLOOKUP("RECHERCHEX",TRIM(L223:AD223),L223:AD223),0),0))</f>
        <v/>
      </c>
      <c r="AM223" s="6229">
        <f t="shared" si="101"/>
        <v>0</v>
      </c>
      <c r="AN223" s="6857" t="str">
        <f t="shared" si="116"/>
        <v/>
      </c>
      <c r="AO223" s="392">
        <f t="shared" si="102"/>
        <v>0</v>
      </c>
      <c r="AP223" s="392">
        <f t="shared" si="103"/>
        <v>0</v>
      </c>
      <c r="AQ223" s="6191">
        <f t="shared" si="104"/>
        <v>0</v>
      </c>
      <c r="AR223" s="6859" t="str">
        <f t="shared" si="105"/>
        <v/>
      </c>
      <c r="AS223" s="6217"/>
      <c r="AT223" s="6217"/>
      <c r="AU223" s="6272">
        <f t="shared" si="106"/>
        <v>0</v>
      </c>
      <c r="AV223" s="6240">
        <f t="shared" si="107"/>
        <v>0</v>
      </c>
      <c r="AW223" s="6189" cm="1">
        <f t="array" ref="AW223">IF(AK223&lt;&gt;1,0,IF(OR(AU223="",N(AU223)&lt;=0.000000001),"",IF(OR(AO223="",N(AO223)&lt;=0.000000001),0,IF(ISNUMBER(AU223),IFERROR(_xlfn.LET(_xlpm.ai_test,TRIM(AJ223),_xlpm.r,IFERROR(_xlfn.XLOOKUP(_xlpm.ai_test,$BJ$15:$BJ$62,ROW($BJ$15:$BJ$62),0,1),IFERROR(_xlfn.XLOOKUP(_xlpm.ai_test,$BK$15:$BK$62,ROW($BK$15:$BK$62),0,1),_xlfn.XLOOKUP(_xlpm.ai_test,$BL$15:$BL$62,ROW($BL$15:$BL$62),0,1))),_xlpm.p,_xlpm.r-MIN(ROW($BJ$15:$BJ$62))+1,_xlpm.f,INDEX($BM$15:$BM$62,_xlpm.p),_xlpm.u,INDEX($BN$15:$BN$62,_xlpm.p),_xlpm.s,INDEX($BP$15:$BP$62,_xlpm.p),_xlpm.q,N(AU223)/_xlpm.f,IF(_xlpm.q&gt;=_xlpm.s,ROUND(_xlpm.q,1)&amp;" "&amp;_xlpm.ai_test&amp;" = "&amp;ROUND(_xlpm.q*_xlpm.f,1)&amp;" "&amp;_xlpm.u,ROUND(_xlpm.q,1)&amp;" "&amp;_xlpm.ai_test)),""),""))))</f>
        <v>0</v>
      </c>
      <c r="AX223" s="6218"/>
      <c r="AY223" s="6272">
        <f t="shared" si="108"/>
        <v>0</v>
      </c>
      <c r="AZ223" s="6240" t="str">
        <f t="shared" si="109"/>
        <v/>
      </c>
      <c r="BA223" s="6195">
        <f t="shared" si="114"/>
        <v>0</v>
      </c>
      <c r="BB223" s="6193" t="str">
        <f t="shared" si="110"/>
        <v/>
      </c>
      <c r="BC223" s="6219"/>
      <c r="BD223" s="6222">
        <f t="shared" si="115"/>
        <v>0</v>
      </c>
      <c r="BE223" s="6220" t="str">
        <f t="shared" si="111"/>
        <v/>
      </c>
      <c r="BF223" s="4" t="s">
        <v>1</v>
      </c>
      <c r="BG223" s="6196">
        <f t="shared" si="112"/>
        <v>0</v>
      </c>
      <c r="BH223" s="6197">
        <f t="shared" si="113"/>
        <v>0</v>
      </c>
      <c r="BI223"/>
      <c r="BR223"/>
      <c r="BS223"/>
      <c r="BT223"/>
      <c r="BU223"/>
      <c r="BV223"/>
      <c r="BW223"/>
      <c r="BX223" s="20" t="str">
        <f t="shared" si="94"/>
        <v>►</v>
      </c>
      <c r="BY223"/>
      <c r="BZ223"/>
      <c r="CA223"/>
      <c r="CB223"/>
      <c r="CC223"/>
      <c r="CD223" s="2"/>
      <c r="CE223"/>
      <c r="CF223"/>
      <c r="CG223"/>
      <c r="CH223"/>
      <c r="CI223"/>
      <c r="CJ223"/>
      <c r="CK223"/>
      <c r="CM223"/>
      <c r="CN223"/>
      <c r="CO223"/>
      <c r="CP223"/>
      <c r="CQ223"/>
      <c r="CR223"/>
      <c r="CS223"/>
      <c r="CU223"/>
      <c r="CV223"/>
      <c r="CW223"/>
      <c r="CX223"/>
      <c r="CY223"/>
      <c r="CZ223"/>
      <c r="DA223"/>
      <c r="DC223" s="5">
        <v>1</v>
      </c>
    </row>
    <row r="224" spans="1:107" s="1" customFormat="1" ht="21" customHeight="1">
      <c r="A224" s="5641" t="s">
        <v>1</v>
      </c>
      <c r="B224" s="5662" t="str">
        <f t="shared" si="93"/>
        <v>►</v>
      </c>
      <c r="C224" s="5825" cm="1">
        <f t="array" ref="C224">SUMPRODUCT(LEN(D224:J224))</f>
        <v>0</v>
      </c>
      <c r="D224" s="5275"/>
      <c r="E224" s="1361"/>
      <c r="F224" s="1361"/>
      <c r="G224" s="1361"/>
      <c r="H224" s="1361"/>
      <c r="I224" s="1361"/>
      <c r="J224" s="5276"/>
      <c r="K224" s="106" t="s">
        <v>1</v>
      </c>
      <c r="L224" s="1021" t="s">
        <v>26</v>
      </c>
      <c r="M224" s="6787"/>
      <c r="N224" s="6787"/>
      <c r="O224" s="6787"/>
      <c r="P224" s="6788"/>
      <c r="Q224" s="6789"/>
      <c r="R224" s="6790"/>
      <c r="S224" s="6786"/>
      <c r="T224" s="6791"/>
      <c r="U224" s="6844"/>
      <c r="V224" s="6791"/>
      <c r="W224" s="8487"/>
      <c r="X224" s="6871"/>
      <c r="Y224" s="6793"/>
      <c r="Z224" s="6794"/>
      <c r="AA224" s="6795"/>
      <c r="AB224" s="6796"/>
      <c r="AC224" s="6797"/>
      <c r="AD224" s="6798"/>
      <c r="AE224" s="4" t="s">
        <v>1</v>
      </c>
      <c r="AF224" s="6202" t="str">
        <f t="shared" si="95"/>
        <v>►</v>
      </c>
      <c r="AG224" s="6234" t="str">
        <f t="shared" si="96"/>
        <v/>
      </c>
      <c r="AH224" s="6732" t="str">
        <f t="shared" si="97"/>
        <v/>
      </c>
      <c r="AI224" s="6234" t="str">
        <f t="shared" si="98"/>
        <v/>
      </c>
      <c r="AJ224" s="6732" t="str">
        <f t="shared" si="99"/>
        <v/>
      </c>
      <c r="AK224" s="6732">
        <f t="shared" si="100"/>
        <v>0</v>
      </c>
      <c r="AL224" s="6230" t="str" cm="1">
        <f t="array" ref="AL224">IF(AF224&lt;&gt;"A","",IFERROR((IFERROR(_xlfn.XLOOKUP(TRIM(SUBSTITUTE(U224,CHAR(160)," ")),$BJ$15:$BJ$62,$BM$15:$BM$62),IFERROR(_xlfn.XLOOKUP(TRIM(SUBSTITUTE(U224,CHAR(160)," ")),$BK$15:$BK$62,$BM$15:$BM$62),_xlfn.XLOOKUP(TRIM(SUBSTITUTE(U224,CHAR(160)," ")),$BL$15:$BL$62,$BM$15:$BM$62))))*T224*IF(ISBLANK(Q224),1,Q224)+IFERROR(_xlfn.XLOOKUP("RECHERCHEX",TRIM(L224:AD224),L224:AD224),0),0))</f>
        <v/>
      </c>
      <c r="AM224" s="6229">
        <f t="shared" si="101"/>
        <v>0</v>
      </c>
      <c r="AN224" s="6857" t="str">
        <f t="shared" si="116"/>
        <v/>
      </c>
      <c r="AO224" s="392">
        <f t="shared" si="102"/>
        <v>0</v>
      </c>
      <c r="AP224" s="392">
        <f t="shared" si="103"/>
        <v>0</v>
      </c>
      <c r="AQ224" s="6190">
        <f t="shared" si="104"/>
        <v>0</v>
      </c>
      <c r="AR224" s="6858" t="str">
        <f t="shared" si="105"/>
        <v/>
      </c>
      <c r="AS224" s="6217"/>
      <c r="AT224" s="6217"/>
      <c r="AU224" s="6271">
        <f t="shared" si="106"/>
        <v>0</v>
      </c>
      <c r="AV224" s="6242">
        <f t="shared" si="107"/>
        <v>0</v>
      </c>
      <c r="AW224" s="6188" cm="1">
        <f t="array" ref="AW224">IF(AK224&lt;&gt;1,0,IF(OR(AU224="",N(AU224)&lt;=0.000000001),"",IF(OR(AO224="",N(AO224)&lt;=0.000000001),0,IF(ISNUMBER(AU224),IFERROR(_xlfn.LET(_xlpm.ai_test,TRIM(AJ224),_xlpm.r,IFERROR(_xlfn.XLOOKUP(_xlpm.ai_test,$BJ$15:$BJ$62,ROW($BJ$15:$BJ$62),0,1),IFERROR(_xlfn.XLOOKUP(_xlpm.ai_test,$BK$15:$BK$62,ROW($BK$15:$BK$62),0,1),_xlfn.XLOOKUP(_xlpm.ai_test,$BL$15:$BL$62,ROW($BL$15:$BL$62),0,1))),_xlpm.p,_xlpm.r-MIN(ROW($BJ$15:$BJ$62))+1,_xlpm.f,INDEX($BM$15:$BM$62,_xlpm.p),_xlpm.u,INDEX($BN$15:$BN$62,_xlpm.p),_xlpm.s,INDEX($BP$15:$BP$62,_xlpm.p),_xlpm.q,N(AU224)/_xlpm.f,IF(_xlpm.q&gt;=_xlpm.s,ROUND(_xlpm.q,1)&amp;" "&amp;_xlpm.ai_test&amp;" = "&amp;ROUND(_xlpm.q*_xlpm.f,1)&amp;" "&amp;_xlpm.u,ROUND(_xlpm.q,1)&amp;" "&amp;_xlpm.ai_test)),""),""))))</f>
        <v>0</v>
      </c>
      <c r="AX224" s="6218"/>
      <c r="AY224" s="6271">
        <f t="shared" si="108"/>
        <v>0</v>
      </c>
      <c r="AZ224" s="6242" t="str">
        <f t="shared" si="109"/>
        <v/>
      </c>
      <c r="BA224" s="6194">
        <f t="shared" si="114"/>
        <v>0</v>
      </c>
      <c r="BB224" s="6192" t="str">
        <f t="shared" si="110"/>
        <v/>
      </c>
      <c r="BC224" s="6219"/>
      <c r="BD224" s="6221">
        <f t="shared" si="115"/>
        <v>0</v>
      </c>
      <c r="BE224" s="6220" t="str">
        <f t="shared" si="111"/>
        <v/>
      </c>
      <c r="BF224" s="4" t="s">
        <v>1</v>
      </c>
      <c r="BG224" s="6196">
        <f t="shared" si="112"/>
        <v>0</v>
      </c>
      <c r="BH224" s="6197">
        <f t="shared" si="113"/>
        <v>0</v>
      </c>
      <c r="BI224"/>
      <c r="BR224"/>
      <c r="BS224"/>
      <c r="BT224"/>
      <c r="BU224"/>
      <c r="BV224"/>
      <c r="BW224"/>
      <c r="BX224" s="20" t="str">
        <f t="shared" si="94"/>
        <v>►</v>
      </c>
      <c r="BY224"/>
      <c r="BZ224"/>
      <c r="CA224"/>
      <c r="CB224"/>
      <c r="CC224"/>
      <c r="CD224" s="2"/>
      <c r="CE224"/>
      <c r="CF224"/>
      <c r="CG224"/>
      <c r="CH224"/>
      <c r="CI224"/>
      <c r="CJ224"/>
      <c r="CK224"/>
      <c r="CM224"/>
      <c r="CN224"/>
      <c r="CO224"/>
      <c r="CP224"/>
      <c r="CQ224"/>
      <c r="CR224"/>
      <c r="CS224"/>
      <c r="CU224"/>
      <c r="CV224"/>
      <c r="CW224"/>
      <c r="CX224"/>
      <c r="CY224"/>
      <c r="CZ224"/>
      <c r="DA224"/>
      <c r="DC224" s="5">
        <v>1</v>
      </c>
    </row>
    <row r="225" spans="1:107" s="1" customFormat="1" ht="21" customHeight="1">
      <c r="A225" s="5641" t="s">
        <v>1</v>
      </c>
      <c r="B225" s="5662" t="str">
        <f t="shared" si="93"/>
        <v>►</v>
      </c>
      <c r="C225" s="5825" cm="1">
        <f t="array" ref="C225">SUMPRODUCT(LEN(D225:J225))</f>
        <v>0</v>
      </c>
      <c r="D225" s="5275"/>
      <c r="E225" s="1361"/>
      <c r="F225" s="1361"/>
      <c r="G225" s="1361"/>
      <c r="H225" s="1361"/>
      <c r="I225" s="1361"/>
      <c r="J225" s="5276"/>
      <c r="K225" s="106" t="s">
        <v>1</v>
      </c>
      <c r="L225" s="1021" t="s">
        <v>26</v>
      </c>
      <c r="M225" s="6787"/>
      <c r="N225" s="6787"/>
      <c r="O225" s="6787"/>
      <c r="P225" s="6788"/>
      <c r="Q225" s="6789"/>
      <c r="R225" s="6790"/>
      <c r="S225" s="6786"/>
      <c r="T225" s="6791"/>
      <c r="U225" s="6844"/>
      <c r="V225" s="6791"/>
      <c r="W225" s="8487"/>
      <c r="X225" s="6871"/>
      <c r="Y225" s="6793"/>
      <c r="Z225" s="6794"/>
      <c r="AA225" s="6795"/>
      <c r="AB225" s="6796"/>
      <c r="AC225" s="6797"/>
      <c r="AD225" s="6798"/>
      <c r="AE225" s="4" t="s">
        <v>1</v>
      </c>
      <c r="AF225" s="6202" t="str">
        <f t="shared" si="95"/>
        <v>►</v>
      </c>
      <c r="AG225" s="6234" t="str">
        <f t="shared" si="96"/>
        <v/>
      </c>
      <c r="AH225" s="6732" t="str">
        <f t="shared" si="97"/>
        <v/>
      </c>
      <c r="AI225" s="6234" t="str">
        <f t="shared" si="98"/>
        <v/>
      </c>
      <c r="AJ225" s="6732" t="str">
        <f t="shared" si="99"/>
        <v/>
      </c>
      <c r="AK225" s="6732">
        <f t="shared" si="100"/>
        <v>0</v>
      </c>
      <c r="AL225" s="6230" t="str" cm="1">
        <f t="array" ref="AL225">IF(AF225&lt;&gt;"A","",IFERROR((IFERROR(_xlfn.XLOOKUP(TRIM(SUBSTITUTE(U225,CHAR(160)," ")),$BJ$15:$BJ$62,$BM$15:$BM$62),IFERROR(_xlfn.XLOOKUP(TRIM(SUBSTITUTE(U225,CHAR(160)," ")),$BK$15:$BK$62,$BM$15:$BM$62),_xlfn.XLOOKUP(TRIM(SUBSTITUTE(U225,CHAR(160)," ")),$BL$15:$BL$62,$BM$15:$BM$62))))*T225*IF(ISBLANK(Q225),1,Q225)+IFERROR(_xlfn.XLOOKUP("RECHERCHEX",TRIM(L225:AD225),L225:AD225),0),0))</f>
        <v/>
      </c>
      <c r="AM225" s="6229">
        <f t="shared" si="101"/>
        <v>0</v>
      </c>
      <c r="AN225" s="6857" t="str">
        <f t="shared" si="116"/>
        <v/>
      </c>
      <c r="AO225" s="392">
        <f t="shared" si="102"/>
        <v>0</v>
      </c>
      <c r="AP225" s="392">
        <f t="shared" si="103"/>
        <v>0</v>
      </c>
      <c r="AQ225" s="6191">
        <f t="shared" si="104"/>
        <v>0</v>
      </c>
      <c r="AR225" s="6859" t="str">
        <f t="shared" si="105"/>
        <v/>
      </c>
      <c r="AS225" s="6217"/>
      <c r="AT225" s="6217"/>
      <c r="AU225" s="6272">
        <f t="shared" si="106"/>
        <v>0</v>
      </c>
      <c r="AV225" s="6240">
        <f t="shared" si="107"/>
        <v>0</v>
      </c>
      <c r="AW225" s="6189" cm="1">
        <f t="array" ref="AW225">IF(AK225&lt;&gt;1,0,IF(OR(AU225="",N(AU225)&lt;=0.000000001),"",IF(OR(AO225="",N(AO225)&lt;=0.000000001),0,IF(ISNUMBER(AU225),IFERROR(_xlfn.LET(_xlpm.ai_test,TRIM(AJ225),_xlpm.r,IFERROR(_xlfn.XLOOKUP(_xlpm.ai_test,$BJ$15:$BJ$62,ROW($BJ$15:$BJ$62),0,1),IFERROR(_xlfn.XLOOKUP(_xlpm.ai_test,$BK$15:$BK$62,ROW($BK$15:$BK$62),0,1),_xlfn.XLOOKUP(_xlpm.ai_test,$BL$15:$BL$62,ROW($BL$15:$BL$62),0,1))),_xlpm.p,_xlpm.r-MIN(ROW($BJ$15:$BJ$62))+1,_xlpm.f,INDEX($BM$15:$BM$62,_xlpm.p),_xlpm.u,INDEX($BN$15:$BN$62,_xlpm.p),_xlpm.s,INDEX($BP$15:$BP$62,_xlpm.p),_xlpm.q,N(AU225)/_xlpm.f,IF(_xlpm.q&gt;=_xlpm.s,ROUND(_xlpm.q,1)&amp;" "&amp;_xlpm.ai_test&amp;" = "&amp;ROUND(_xlpm.q*_xlpm.f,1)&amp;" "&amp;_xlpm.u,ROUND(_xlpm.q,1)&amp;" "&amp;_xlpm.ai_test)),""),""))))</f>
        <v>0</v>
      </c>
      <c r="AX225" s="6218"/>
      <c r="AY225" s="6272">
        <f t="shared" si="108"/>
        <v>0</v>
      </c>
      <c r="AZ225" s="6240" t="str">
        <f t="shared" si="109"/>
        <v/>
      </c>
      <c r="BA225" s="6195">
        <f t="shared" si="114"/>
        <v>0</v>
      </c>
      <c r="BB225" s="6193" t="str">
        <f t="shared" si="110"/>
        <v/>
      </c>
      <c r="BC225" s="6219"/>
      <c r="BD225" s="6222">
        <f t="shared" si="115"/>
        <v>0</v>
      </c>
      <c r="BE225" s="6220" t="str">
        <f t="shared" si="111"/>
        <v/>
      </c>
      <c r="BF225" s="4" t="s">
        <v>1</v>
      </c>
      <c r="BG225" s="6196">
        <f t="shared" si="112"/>
        <v>0</v>
      </c>
      <c r="BH225" s="6197">
        <f t="shared" si="113"/>
        <v>0</v>
      </c>
      <c r="BI225"/>
      <c r="BR225"/>
      <c r="BS225"/>
      <c r="BT225"/>
      <c r="BU225"/>
      <c r="BV225"/>
      <c r="BW225"/>
      <c r="BX225" s="20" t="str">
        <f t="shared" si="94"/>
        <v>►</v>
      </c>
      <c r="BY225"/>
      <c r="BZ225"/>
      <c r="CA225"/>
      <c r="CB225"/>
      <c r="CC225"/>
      <c r="CD225" s="2"/>
      <c r="CE225"/>
      <c r="CF225"/>
      <c r="CG225"/>
      <c r="CH225"/>
      <c r="CI225"/>
      <c r="CJ225"/>
      <c r="CK225"/>
      <c r="CM225"/>
      <c r="CN225"/>
      <c r="CO225"/>
      <c r="CP225"/>
      <c r="CQ225"/>
      <c r="CR225"/>
      <c r="CS225"/>
      <c r="CU225"/>
      <c r="CV225"/>
      <c r="CW225"/>
      <c r="CX225"/>
      <c r="CY225"/>
      <c r="CZ225"/>
      <c r="DA225"/>
      <c r="DC225" s="5">
        <v>1</v>
      </c>
    </row>
    <row r="226" spans="1:107" s="1" customFormat="1" ht="21" customHeight="1">
      <c r="A226" s="5641" t="s">
        <v>1</v>
      </c>
      <c r="B226" s="5662" t="str">
        <f t="shared" si="93"/>
        <v>►</v>
      </c>
      <c r="C226" s="5825" cm="1">
        <f t="array" ref="C226">SUMPRODUCT(LEN(D226:J226))</f>
        <v>0</v>
      </c>
      <c r="D226" s="5275"/>
      <c r="E226" s="1361"/>
      <c r="F226" s="1361"/>
      <c r="G226" s="1361"/>
      <c r="H226" s="1361"/>
      <c r="I226" s="1361"/>
      <c r="J226" s="5276"/>
      <c r="K226" s="106" t="s">
        <v>1</v>
      </c>
      <c r="L226" s="1021" t="s">
        <v>26</v>
      </c>
      <c r="M226" s="6787"/>
      <c r="N226" s="6787"/>
      <c r="O226" s="6787"/>
      <c r="P226" s="6788"/>
      <c r="Q226" s="6789"/>
      <c r="R226" s="6790"/>
      <c r="S226" s="6786"/>
      <c r="T226" s="6791"/>
      <c r="U226" s="6844"/>
      <c r="V226" s="6791"/>
      <c r="W226" s="8487"/>
      <c r="X226" s="6871"/>
      <c r="Y226" s="6793"/>
      <c r="Z226" s="6794"/>
      <c r="AA226" s="6795"/>
      <c r="AB226" s="6796"/>
      <c r="AC226" s="6797"/>
      <c r="AD226" s="6798"/>
      <c r="AE226" s="4" t="s">
        <v>1</v>
      </c>
      <c r="AF226" s="6202" t="str">
        <f t="shared" si="95"/>
        <v>►</v>
      </c>
      <c r="AG226" s="6234" t="str">
        <f t="shared" si="96"/>
        <v/>
      </c>
      <c r="AH226" s="6732" t="str">
        <f t="shared" si="97"/>
        <v/>
      </c>
      <c r="AI226" s="6234" t="str">
        <f t="shared" si="98"/>
        <v/>
      </c>
      <c r="AJ226" s="6732" t="str">
        <f t="shared" si="99"/>
        <v/>
      </c>
      <c r="AK226" s="6732">
        <f t="shared" si="100"/>
        <v>0</v>
      </c>
      <c r="AL226" s="6230" t="str" cm="1">
        <f t="array" ref="AL226">IF(AF226&lt;&gt;"A","",IFERROR((IFERROR(_xlfn.XLOOKUP(TRIM(SUBSTITUTE(U226,CHAR(160)," ")),$BJ$15:$BJ$62,$BM$15:$BM$62),IFERROR(_xlfn.XLOOKUP(TRIM(SUBSTITUTE(U226,CHAR(160)," ")),$BK$15:$BK$62,$BM$15:$BM$62),_xlfn.XLOOKUP(TRIM(SUBSTITUTE(U226,CHAR(160)," ")),$BL$15:$BL$62,$BM$15:$BM$62))))*T226*IF(ISBLANK(Q226),1,Q226)+IFERROR(_xlfn.XLOOKUP("RECHERCHEX",TRIM(L226:AD226),L226:AD226),0),0))</f>
        <v/>
      </c>
      <c r="AM226" s="6229">
        <f t="shared" si="101"/>
        <v>0</v>
      </c>
      <c r="AN226" s="6857" t="str">
        <f t="shared" si="116"/>
        <v/>
      </c>
      <c r="AO226" s="392">
        <f t="shared" si="102"/>
        <v>0</v>
      </c>
      <c r="AP226" s="392">
        <f t="shared" si="103"/>
        <v>0</v>
      </c>
      <c r="AQ226" s="6190">
        <f t="shared" si="104"/>
        <v>0</v>
      </c>
      <c r="AR226" s="6858" t="str">
        <f t="shared" si="105"/>
        <v/>
      </c>
      <c r="AS226" s="6217"/>
      <c r="AT226" s="6217"/>
      <c r="AU226" s="6271">
        <f t="shared" si="106"/>
        <v>0</v>
      </c>
      <c r="AV226" s="6242">
        <f t="shared" si="107"/>
        <v>0</v>
      </c>
      <c r="AW226" s="6188" cm="1">
        <f t="array" ref="AW226">IF(AK226&lt;&gt;1,0,IF(OR(AU226="",N(AU226)&lt;=0.000000001),"",IF(OR(AO226="",N(AO226)&lt;=0.000000001),0,IF(ISNUMBER(AU226),IFERROR(_xlfn.LET(_xlpm.ai_test,TRIM(AJ226),_xlpm.r,IFERROR(_xlfn.XLOOKUP(_xlpm.ai_test,$BJ$15:$BJ$62,ROW($BJ$15:$BJ$62),0,1),IFERROR(_xlfn.XLOOKUP(_xlpm.ai_test,$BK$15:$BK$62,ROW($BK$15:$BK$62),0,1),_xlfn.XLOOKUP(_xlpm.ai_test,$BL$15:$BL$62,ROW($BL$15:$BL$62),0,1))),_xlpm.p,_xlpm.r-MIN(ROW($BJ$15:$BJ$62))+1,_xlpm.f,INDEX($BM$15:$BM$62,_xlpm.p),_xlpm.u,INDEX($BN$15:$BN$62,_xlpm.p),_xlpm.s,INDEX($BP$15:$BP$62,_xlpm.p),_xlpm.q,N(AU226)/_xlpm.f,IF(_xlpm.q&gt;=_xlpm.s,ROUND(_xlpm.q,1)&amp;" "&amp;_xlpm.ai_test&amp;" = "&amp;ROUND(_xlpm.q*_xlpm.f,1)&amp;" "&amp;_xlpm.u,ROUND(_xlpm.q,1)&amp;" "&amp;_xlpm.ai_test)),""),""))))</f>
        <v>0</v>
      </c>
      <c r="AX226" s="6218"/>
      <c r="AY226" s="6271">
        <f t="shared" si="108"/>
        <v>0</v>
      </c>
      <c r="AZ226" s="6242" t="str">
        <f t="shared" si="109"/>
        <v/>
      </c>
      <c r="BA226" s="6194">
        <f t="shared" si="114"/>
        <v>0</v>
      </c>
      <c r="BB226" s="6192" t="str">
        <f t="shared" si="110"/>
        <v/>
      </c>
      <c r="BC226" s="6219"/>
      <c r="BD226" s="6221">
        <f t="shared" si="115"/>
        <v>0</v>
      </c>
      <c r="BE226" s="6220" t="str">
        <f t="shared" si="111"/>
        <v/>
      </c>
      <c r="BF226" s="4" t="s">
        <v>1</v>
      </c>
      <c r="BG226" s="6196">
        <f t="shared" si="112"/>
        <v>0</v>
      </c>
      <c r="BH226" s="6197">
        <f t="shared" si="113"/>
        <v>0</v>
      </c>
      <c r="BI226"/>
      <c r="BR226"/>
      <c r="BS226"/>
      <c r="BT226"/>
      <c r="BU226"/>
      <c r="BV226"/>
      <c r="BW226"/>
      <c r="BX226" s="20" t="str">
        <f t="shared" si="94"/>
        <v>►</v>
      </c>
      <c r="BY226"/>
      <c r="BZ226"/>
      <c r="CA226"/>
      <c r="CB226"/>
      <c r="CC226"/>
      <c r="CD226" s="2"/>
      <c r="CE226"/>
      <c r="CF226"/>
      <c r="CG226"/>
      <c r="CH226"/>
      <c r="CI226"/>
      <c r="CJ226"/>
      <c r="CK226"/>
      <c r="CM226"/>
      <c r="CN226"/>
      <c r="CO226"/>
      <c r="CP226"/>
      <c r="CQ226"/>
      <c r="CR226"/>
      <c r="CS226"/>
      <c r="CU226"/>
      <c r="CV226"/>
      <c r="CW226"/>
      <c r="CX226"/>
      <c r="CY226"/>
      <c r="CZ226"/>
      <c r="DA226"/>
      <c r="DC226" s="5">
        <v>1</v>
      </c>
    </row>
    <row r="227" spans="1:107" s="1" customFormat="1" ht="21" customHeight="1">
      <c r="A227" s="5641" t="s">
        <v>1</v>
      </c>
      <c r="B227" s="5662" t="str">
        <f t="shared" si="93"/>
        <v>►</v>
      </c>
      <c r="C227" s="5825" cm="1">
        <f t="array" ref="C227">SUMPRODUCT(LEN(D227:J227))</f>
        <v>0</v>
      </c>
      <c r="D227" s="5275"/>
      <c r="E227" s="1361"/>
      <c r="F227" s="1361"/>
      <c r="G227" s="1361"/>
      <c r="H227" s="1361"/>
      <c r="I227" s="1361"/>
      <c r="J227" s="5276"/>
      <c r="K227" s="106" t="s">
        <v>1</v>
      </c>
      <c r="L227" s="1021" t="s">
        <v>26</v>
      </c>
      <c r="M227" s="6787"/>
      <c r="N227" s="6787"/>
      <c r="O227" s="6787"/>
      <c r="P227" s="6788"/>
      <c r="Q227" s="6789"/>
      <c r="R227" s="6790"/>
      <c r="S227" s="6786"/>
      <c r="T227" s="6791"/>
      <c r="U227" s="6844"/>
      <c r="V227" s="6791"/>
      <c r="W227" s="8487"/>
      <c r="X227" s="6871"/>
      <c r="Y227" s="6793"/>
      <c r="Z227" s="6794"/>
      <c r="AA227" s="6795"/>
      <c r="AB227" s="6796"/>
      <c r="AC227" s="6797"/>
      <c r="AD227" s="6798"/>
      <c r="AE227" s="4" t="s">
        <v>1</v>
      </c>
      <c r="AF227" s="6202" t="str">
        <f t="shared" si="95"/>
        <v>►</v>
      </c>
      <c r="AG227" s="6234" t="str">
        <f t="shared" si="96"/>
        <v/>
      </c>
      <c r="AH227" s="6732" t="str">
        <f t="shared" si="97"/>
        <v/>
      </c>
      <c r="AI227" s="6234" t="str">
        <f t="shared" si="98"/>
        <v/>
      </c>
      <c r="AJ227" s="6732" t="str">
        <f t="shared" si="99"/>
        <v/>
      </c>
      <c r="AK227" s="6732">
        <f t="shared" si="100"/>
        <v>0</v>
      </c>
      <c r="AL227" s="6230" t="str" cm="1">
        <f t="array" ref="AL227">IF(AF227&lt;&gt;"A","",IFERROR((IFERROR(_xlfn.XLOOKUP(TRIM(SUBSTITUTE(U227,CHAR(160)," ")),$BJ$15:$BJ$62,$BM$15:$BM$62),IFERROR(_xlfn.XLOOKUP(TRIM(SUBSTITUTE(U227,CHAR(160)," ")),$BK$15:$BK$62,$BM$15:$BM$62),_xlfn.XLOOKUP(TRIM(SUBSTITUTE(U227,CHAR(160)," ")),$BL$15:$BL$62,$BM$15:$BM$62))))*T227*IF(ISBLANK(Q227),1,Q227)+IFERROR(_xlfn.XLOOKUP("RECHERCHEX",TRIM(L227:AD227),L227:AD227),0),0))</f>
        <v/>
      </c>
      <c r="AM227" s="6229">
        <f t="shared" si="101"/>
        <v>0</v>
      </c>
      <c r="AN227" s="6857" t="str">
        <f t="shared" si="116"/>
        <v/>
      </c>
      <c r="AO227" s="392">
        <f t="shared" si="102"/>
        <v>0</v>
      </c>
      <c r="AP227" s="392">
        <f t="shared" si="103"/>
        <v>0</v>
      </c>
      <c r="AQ227" s="6191">
        <f t="shared" si="104"/>
        <v>0</v>
      </c>
      <c r="AR227" s="6859" t="str">
        <f t="shared" si="105"/>
        <v/>
      </c>
      <c r="AS227" s="6217"/>
      <c r="AT227" s="6217"/>
      <c r="AU227" s="6272">
        <f t="shared" si="106"/>
        <v>0</v>
      </c>
      <c r="AV227" s="6240">
        <f t="shared" si="107"/>
        <v>0</v>
      </c>
      <c r="AW227" s="6189" cm="1">
        <f t="array" ref="AW227">IF(AK227&lt;&gt;1,0,IF(OR(AU227="",N(AU227)&lt;=0.000000001),"",IF(OR(AO227="",N(AO227)&lt;=0.000000001),0,IF(ISNUMBER(AU227),IFERROR(_xlfn.LET(_xlpm.ai_test,TRIM(AJ227),_xlpm.r,IFERROR(_xlfn.XLOOKUP(_xlpm.ai_test,$BJ$15:$BJ$62,ROW($BJ$15:$BJ$62),0,1),IFERROR(_xlfn.XLOOKUP(_xlpm.ai_test,$BK$15:$BK$62,ROW($BK$15:$BK$62),0,1),_xlfn.XLOOKUP(_xlpm.ai_test,$BL$15:$BL$62,ROW($BL$15:$BL$62),0,1))),_xlpm.p,_xlpm.r-MIN(ROW($BJ$15:$BJ$62))+1,_xlpm.f,INDEX($BM$15:$BM$62,_xlpm.p),_xlpm.u,INDEX($BN$15:$BN$62,_xlpm.p),_xlpm.s,INDEX($BP$15:$BP$62,_xlpm.p),_xlpm.q,N(AU227)/_xlpm.f,IF(_xlpm.q&gt;=_xlpm.s,ROUND(_xlpm.q,1)&amp;" "&amp;_xlpm.ai_test&amp;" = "&amp;ROUND(_xlpm.q*_xlpm.f,1)&amp;" "&amp;_xlpm.u,ROUND(_xlpm.q,1)&amp;" "&amp;_xlpm.ai_test)),""),""))))</f>
        <v>0</v>
      </c>
      <c r="AX227" s="6218"/>
      <c r="AY227" s="6272">
        <f t="shared" si="108"/>
        <v>0</v>
      </c>
      <c r="AZ227" s="6240" t="str">
        <f t="shared" si="109"/>
        <v/>
      </c>
      <c r="BA227" s="6195">
        <f t="shared" si="114"/>
        <v>0</v>
      </c>
      <c r="BB227" s="6193" t="str">
        <f t="shared" si="110"/>
        <v/>
      </c>
      <c r="BC227" s="6219"/>
      <c r="BD227" s="6222">
        <f t="shared" si="115"/>
        <v>0</v>
      </c>
      <c r="BE227" s="6220" t="str">
        <f t="shared" si="111"/>
        <v/>
      </c>
      <c r="BF227" s="4" t="s">
        <v>1</v>
      </c>
      <c r="BG227" s="6196">
        <f t="shared" si="112"/>
        <v>0</v>
      </c>
      <c r="BH227" s="6197">
        <f t="shared" si="113"/>
        <v>0</v>
      </c>
      <c r="BI227"/>
      <c r="BR227"/>
      <c r="BS227"/>
      <c r="BT227"/>
      <c r="BU227"/>
      <c r="BV227"/>
      <c r="BW227"/>
      <c r="BX227" s="20" t="str">
        <f t="shared" si="94"/>
        <v>►</v>
      </c>
      <c r="BY227"/>
      <c r="BZ227"/>
      <c r="CA227"/>
      <c r="CB227"/>
      <c r="CC227"/>
      <c r="CD227" s="2"/>
      <c r="CE227"/>
      <c r="CF227"/>
      <c r="CG227"/>
      <c r="CH227"/>
      <c r="CI227"/>
      <c r="CJ227"/>
      <c r="CK227"/>
      <c r="CM227"/>
      <c r="CN227"/>
      <c r="CO227"/>
      <c r="CP227"/>
      <c r="CQ227"/>
      <c r="CR227"/>
      <c r="CS227"/>
      <c r="CU227"/>
      <c r="CV227"/>
      <c r="CW227"/>
      <c r="CX227"/>
      <c r="CY227"/>
      <c r="CZ227"/>
      <c r="DA227"/>
      <c r="DC227" s="5">
        <v>1</v>
      </c>
    </row>
    <row r="228" spans="1:107" s="1" customFormat="1" ht="21" customHeight="1">
      <c r="A228" s="5641" t="s">
        <v>1</v>
      </c>
      <c r="B228" s="5662" t="str">
        <f t="shared" si="93"/>
        <v>►</v>
      </c>
      <c r="C228" s="5825" cm="1">
        <f t="array" ref="C228">SUMPRODUCT(LEN(D228:J228))</f>
        <v>0</v>
      </c>
      <c r="D228" s="5275"/>
      <c r="E228" s="1361"/>
      <c r="F228" s="1361"/>
      <c r="G228" s="1361"/>
      <c r="H228" s="1361"/>
      <c r="I228" s="1361"/>
      <c r="J228" s="5276"/>
      <c r="K228" s="106" t="s">
        <v>1</v>
      </c>
      <c r="L228" s="1021" t="s">
        <v>26</v>
      </c>
      <c r="M228" s="6787"/>
      <c r="N228" s="6787"/>
      <c r="O228" s="6787"/>
      <c r="P228" s="6788"/>
      <c r="Q228" s="6789"/>
      <c r="R228" s="6790"/>
      <c r="S228" s="6786"/>
      <c r="T228" s="6791"/>
      <c r="U228" s="6844"/>
      <c r="V228" s="6791"/>
      <c r="W228" s="8487"/>
      <c r="X228" s="6871"/>
      <c r="Y228" s="6793"/>
      <c r="Z228" s="6794"/>
      <c r="AA228" s="6795"/>
      <c r="AB228" s="6796"/>
      <c r="AC228" s="6797"/>
      <c r="AD228" s="6798"/>
      <c r="AE228" s="4" t="s">
        <v>1</v>
      </c>
      <c r="AF228" s="6202" t="str">
        <f t="shared" si="95"/>
        <v>►</v>
      </c>
      <c r="AG228" s="6234" t="str">
        <f t="shared" si="96"/>
        <v/>
      </c>
      <c r="AH228" s="6732" t="str">
        <f t="shared" si="97"/>
        <v/>
      </c>
      <c r="AI228" s="6234" t="str">
        <f t="shared" si="98"/>
        <v/>
      </c>
      <c r="AJ228" s="6732" t="str">
        <f t="shared" si="99"/>
        <v/>
      </c>
      <c r="AK228" s="6732">
        <f t="shared" si="100"/>
        <v>0</v>
      </c>
      <c r="AL228" s="6230" t="str" cm="1">
        <f t="array" ref="AL228">IF(AF228&lt;&gt;"A","",IFERROR((IFERROR(_xlfn.XLOOKUP(TRIM(SUBSTITUTE(U228,CHAR(160)," ")),$BJ$15:$BJ$62,$BM$15:$BM$62),IFERROR(_xlfn.XLOOKUP(TRIM(SUBSTITUTE(U228,CHAR(160)," ")),$BK$15:$BK$62,$BM$15:$BM$62),_xlfn.XLOOKUP(TRIM(SUBSTITUTE(U228,CHAR(160)," ")),$BL$15:$BL$62,$BM$15:$BM$62))))*T228*IF(ISBLANK(Q228),1,Q228)+IFERROR(_xlfn.XLOOKUP("RECHERCHEX",TRIM(L228:AD228),L228:AD228),0),0))</f>
        <v/>
      </c>
      <c r="AM228" s="6229">
        <f t="shared" si="101"/>
        <v>0</v>
      </c>
      <c r="AN228" s="6857" t="str">
        <f t="shared" si="116"/>
        <v/>
      </c>
      <c r="AO228" s="392">
        <f t="shared" si="102"/>
        <v>0</v>
      </c>
      <c r="AP228" s="392">
        <f t="shared" si="103"/>
        <v>0</v>
      </c>
      <c r="AQ228" s="6190">
        <f t="shared" si="104"/>
        <v>0</v>
      </c>
      <c r="AR228" s="6858" t="str">
        <f t="shared" si="105"/>
        <v/>
      </c>
      <c r="AS228" s="6217"/>
      <c r="AT228" s="6217"/>
      <c r="AU228" s="6271">
        <f t="shared" si="106"/>
        <v>0</v>
      </c>
      <c r="AV228" s="6242">
        <f t="shared" si="107"/>
        <v>0</v>
      </c>
      <c r="AW228" s="6188" cm="1">
        <f t="array" ref="AW228">IF(AK228&lt;&gt;1,0,IF(OR(AU228="",N(AU228)&lt;=0.000000001),"",IF(OR(AO228="",N(AO228)&lt;=0.000000001),0,IF(ISNUMBER(AU228),IFERROR(_xlfn.LET(_xlpm.ai_test,TRIM(AJ228),_xlpm.r,IFERROR(_xlfn.XLOOKUP(_xlpm.ai_test,$BJ$15:$BJ$62,ROW($BJ$15:$BJ$62),0,1),IFERROR(_xlfn.XLOOKUP(_xlpm.ai_test,$BK$15:$BK$62,ROW($BK$15:$BK$62),0,1),_xlfn.XLOOKUP(_xlpm.ai_test,$BL$15:$BL$62,ROW($BL$15:$BL$62),0,1))),_xlpm.p,_xlpm.r-MIN(ROW($BJ$15:$BJ$62))+1,_xlpm.f,INDEX($BM$15:$BM$62,_xlpm.p),_xlpm.u,INDEX($BN$15:$BN$62,_xlpm.p),_xlpm.s,INDEX($BP$15:$BP$62,_xlpm.p),_xlpm.q,N(AU228)/_xlpm.f,IF(_xlpm.q&gt;=_xlpm.s,ROUND(_xlpm.q,1)&amp;" "&amp;_xlpm.ai_test&amp;" = "&amp;ROUND(_xlpm.q*_xlpm.f,1)&amp;" "&amp;_xlpm.u,ROUND(_xlpm.q,1)&amp;" "&amp;_xlpm.ai_test)),""),""))))</f>
        <v>0</v>
      </c>
      <c r="AX228" s="6218"/>
      <c r="AY228" s="6271">
        <f t="shared" si="108"/>
        <v>0</v>
      </c>
      <c r="AZ228" s="6242" t="str">
        <f t="shared" si="109"/>
        <v/>
      </c>
      <c r="BA228" s="6194">
        <f t="shared" si="114"/>
        <v>0</v>
      </c>
      <c r="BB228" s="6192" t="str">
        <f t="shared" si="110"/>
        <v/>
      </c>
      <c r="BC228" s="6219"/>
      <c r="BD228" s="6221">
        <f t="shared" si="115"/>
        <v>0</v>
      </c>
      <c r="BE228" s="6220" t="str">
        <f t="shared" si="111"/>
        <v/>
      </c>
      <c r="BF228" s="4" t="s">
        <v>1</v>
      </c>
      <c r="BG228" s="6196">
        <f t="shared" si="112"/>
        <v>0</v>
      </c>
      <c r="BH228" s="6197">
        <f t="shared" si="113"/>
        <v>0</v>
      </c>
      <c r="BI228"/>
      <c r="BR228"/>
      <c r="BS228"/>
      <c r="BT228"/>
      <c r="BU228"/>
      <c r="BV228"/>
      <c r="BW228"/>
      <c r="BX228" s="20" t="str">
        <f t="shared" si="94"/>
        <v>►</v>
      </c>
      <c r="BY228"/>
      <c r="BZ228"/>
      <c r="CA228"/>
      <c r="CB228"/>
      <c r="CC228"/>
      <c r="CD228" s="2"/>
      <c r="CE228"/>
      <c r="CF228"/>
      <c r="CG228"/>
      <c r="CH228"/>
      <c r="CI228"/>
      <c r="CJ228"/>
      <c r="CK228"/>
      <c r="CM228"/>
      <c r="CN228"/>
      <c r="CO228"/>
      <c r="CP228"/>
      <c r="CQ228"/>
      <c r="CR228"/>
      <c r="CS228"/>
      <c r="CU228"/>
      <c r="CV228"/>
      <c r="CW228"/>
      <c r="CX228"/>
      <c r="CY228"/>
      <c r="CZ228"/>
      <c r="DA228"/>
      <c r="DC228" s="5">
        <v>1</v>
      </c>
    </row>
    <row r="229" spans="1:107" s="1" customFormat="1" ht="21" customHeight="1">
      <c r="A229" s="5641" t="s">
        <v>1</v>
      </c>
      <c r="B229" s="5662" t="str">
        <f t="shared" si="93"/>
        <v>►</v>
      </c>
      <c r="C229" s="5825" cm="1">
        <f t="array" ref="C229">SUMPRODUCT(LEN(D229:J229))</f>
        <v>0</v>
      </c>
      <c r="D229" s="5275"/>
      <c r="E229" s="1361"/>
      <c r="F229" s="1361"/>
      <c r="G229" s="1361"/>
      <c r="H229" s="1361"/>
      <c r="I229" s="1361"/>
      <c r="J229" s="5276"/>
      <c r="K229" s="106" t="s">
        <v>1</v>
      </c>
      <c r="L229" s="1021" t="s">
        <v>26</v>
      </c>
      <c r="M229" s="6787"/>
      <c r="N229" s="6787"/>
      <c r="O229" s="6787"/>
      <c r="P229" s="6788"/>
      <c r="Q229" s="6789"/>
      <c r="R229" s="6790"/>
      <c r="S229" s="6786"/>
      <c r="T229" s="6791"/>
      <c r="U229" s="6844"/>
      <c r="V229" s="6791"/>
      <c r="W229" s="8487"/>
      <c r="X229" s="6871"/>
      <c r="Y229" s="6793"/>
      <c r="Z229" s="6794"/>
      <c r="AA229" s="6795"/>
      <c r="AB229" s="6796"/>
      <c r="AC229" s="6797"/>
      <c r="AD229" s="6798"/>
      <c r="AE229" s="4" t="s">
        <v>1</v>
      </c>
      <c r="AF229" s="6202" t="str">
        <f t="shared" si="95"/>
        <v>►</v>
      </c>
      <c r="AG229" s="6234" t="str">
        <f t="shared" si="96"/>
        <v/>
      </c>
      <c r="AH229" s="6732" t="str">
        <f t="shared" si="97"/>
        <v/>
      </c>
      <c r="AI229" s="6234" t="str">
        <f t="shared" si="98"/>
        <v/>
      </c>
      <c r="AJ229" s="6732" t="str">
        <f t="shared" si="99"/>
        <v/>
      </c>
      <c r="AK229" s="6732">
        <f t="shared" si="100"/>
        <v>0</v>
      </c>
      <c r="AL229" s="6230" t="str" cm="1">
        <f t="array" ref="AL229">IF(AF229&lt;&gt;"A","",IFERROR((IFERROR(_xlfn.XLOOKUP(TRIM(SUBSTITUTE(U229,CHAR(160)," ")),$BJ$15:$BJ$62,$BM$15:$BM$62),IFERROR(_xlfn.XLOOKUP(TRIM(SUBSTITUTE(U229,CHAR(160)," ")),$BK$15:$BK$62,$BM$15:$BM$62),_xlfn.XLOOKUP(TRIM(SUBSTITUTE(U229,CHAR(160)," ")),$BL$15:$BL$62,$BM$15:$BM$62))))*T229*IF(ISBLANK(Q229),1,Q229)+IFERROR(_xlfn.XLOOKUP("RECHERCHEX",TRIM(L229:AD229),L229:AD229),0),0))</f>
        <v/>
      </c>
      <c r="AM229" s="6229">
        <f t="shared" si="101"/>
        <v>0</v>
      </c>
      <c r="AN229" s="6857" t="str">
        <f t="shared" si="116"/>
        <v/>
      </c>
      <c r="AO229" s="392">
        <f t="shared" si="102"/>
        <v>0</v>
      </c>
      <c r="AP229" s="392">
        <f t="shared" si="103"/>
        <v>0</v>
      </c>
      <c r="AQ229" s="6191">
        <f t="shared" si="104"/>
        <v>0</v>
      </c>
      <c r="AR229" s="6859" t="str">
        <f t="shared" si="105"/>
        <v/>
      </c>
      <c r="AS229" s="6217"/>
      <c r="AT229" s="6217"/>
      <c r="AU229" s="6272">
        <f t="shared" si="106"/>
        <v>0</v>
      </c>
      <c r="AV229" s="6240">
        <f t="shared" si="107"/>
        <v>0</v>
      </c>
      <c r="AW229" s="6189" cm="1">
        <f t="array" ref="AW229">IF(AK229&lt;&gt;1,0,IF(OR(AU229="",N(AU229)&lt;=0.000000001),"",IF(OR(AO229="",N(AO229)&lt;=0.000000001),0,IF(ISNUMBER(AU229),IFERROR(_xlfn.LET(_xlpm.ai_test,TRIM(AJ229),_xlpm.r,IFERROR(_xlfn.XLOOKUP(_xlpm.ai_test,$BJ$15:$BJ$62,ROW($BJ$15:$BJ$62),0,1),IFERROR(_xlfn.XLOOKUP(_xlpm.ai_test,$BK$15:$BK$62,ROW($BK$15:$BK$62),0,1),_xlfn.XLOOKUP(_xlpm.ai_test,$BL$15:$BL$62,ROW($BL$15:$BL$62),0,1))),_xlpm.p,_xlpm.r-MIN(ROW($BJ$15:$BJ$62))+1,_xlpm.f,INDEX($BM$15:$BM$62,_xlpm.p),_xlpm.u,INDEX($BN$15:$BN$62,_xlpm.p),_xlpm.s,INDEX($BP$15:$BP$62,_xlpm.p),_xlpm.q,N(AU229)/_xlpm.f,IF(_xlpm.q&gt;=_xlpm.s,ROUND(_xlpm.q,1)&amp;" "&amp;_xlpm.ai_test&amp;" = "&amp;ROUND(_xlpm.q*_xlpm.f,1)&amp;" "&amp;_xlpm.u,ROUND(_xlpm.q,1)&amp;" "&amp;_xlpm.ai_test)),""),""))))</f>
        <v>0</v>
      </c>
      <c r="AX229" s="6218"/>
      <c r="AY229" s="6272">
        <f t="shared" si="108"/>
        <v>0</v>
      </c>
      <c r="AZ229" s="6240" t="str">
        <f t="shared" si="109"/>
        <v/>
      </c>
      <c r="BA229" s="6195">
        <f t="shared" si="114"/>
        <v>0</v>
      </c>
      <c r="BB229" s="6193" t="str">
        <f t="shared" si="110"/>
        <v/>
      </c>
      <c r="BC229" s="6219"/>
      <c r="BD229" s="6222">
        <f t="shared" si="115"/>
        <v>0</v>
      </c>
      <c r="BE229" s="6220" t="str">
        <f t="shared" si="111"/>
        <v/>
      </c>
      <c r="BF229" s="4" t="s">
        <v>1</v>
      </c>
      <c r="BG229" s="6196">
        <f t="shared" si="112"/>
        <v>0</v>
      </c>
      <c r="BH229" s="6197">
        <f t="shared" si="113"/>
        <v>0</v>
      </c>
      <c r="BI229"/>
      <c r="BR229"/>
      <c r="BS229"/>
      <c r="BT229"/>
      <c r="BU229"/>
      <c r="BV229"/>
      <c r="BW229"/>
      <c r="BX229" s="20" t="str">
        <f t="shared" si="94"/>
        <v>►</v>
      </c>
      <c r="BY229"/>
      <c r="BZ229"/>
      <c r="CA229"/>
      <c r="CB229"/>
      <c r="CC229"/>
      <c r="CD229" s="2"/>
      <c r="CE229"/>
      <c r="CF229"/>
      <c r="CG229"/>
      <c r="CH229"/>
      <c r="CI229"/>
      <c r="CJ229"/>
      <c r="CK229"/>
      <c r="CM229"/>
      <c r="CN229"/>
      <c r="CO229"/>
      <c r="CP229"/>
      <c r="CQ229"/>
      <c r="CR229"/>
      <c r="CS229"/>
      <c r="CU229"/>
      <c r="CV229"/>
      <c r="CW229"/>
      <c r="CX229"/>
      <c r="CY229"/>
      <c r="CZ229"/>
      <c r="DA229"/>
      <c r="DC229" s="5">
        <v>1</v>
      </c>
    </row>
    <row r="230" spans="1:107" s="1" customFormat="1" ht="21" customHeight="1">
      <c r="A230" s="5641" t="s">
        <v>1</v>
      </c>
      <c r="B230" s="5662" t="str">
        <f t="shared" si="93"/>
        <v>►</v>
      </c>
      <c r="C230" s="5825" cm="1">
        <f t="array" ref="C230">SUMPRODUCT(LEN(D230:J230))</f>
        <v>0</v>
      </c>
      <c r="D230" s="5275"/>
      <c r="E230" s="1361"/>
      <c r="F230" s="1361"/>
      <c r="G230" s="1361"/>
      <c r="H230" s="1361"/>
      <c r="I230" s="1361"/>
      <c r="J230" s="5276"/>
      <c r="K230" s="106" t="s">
        <v>1</v>
      </c>
      <c r="L230" s="1021" t="s">
        <v>26</v>
      </c>
      <c r="M230" s="6787"/>
      <c r="N230" s="6787"/>
      <c r="O230" s="6787"/>
      <c r="P230" s="6788"/>
      <c r="Q230" s="6789"/>
      <c r="R230" s="6790"/>
      <c r="S230" s="6786"/>
      <c r="T230" s="6791"/>
      <c r="U230" s="6844"/>
      <c r="V230" s="6791"/>
      <c r="W230" s="8487"/>
      <c r="X230" s="6871"/>
      <c r="Y230" s="6793"/>
      <c r="Z230" s="6794"/>
      <c r="AA230" s="6795"/>
      <c r="AB230" s="6796"/>
      <c r="AC230" s="6797"/>
      <c r="AD230" s="6798"/>
      <c r="AE230" s="4" t="s">
        <v>1</v>
      </c>
      <c r="AF230" s="6202" t="str">
        <f t="shared" si="95"/>
        <v>►</v>
      </c>
      <c r="AG230" s="6234" t="str">
        <f t="shared" si="96"/>
        <v/>
      </c>
      <c r="AH230" s="6732" t="str">
        <f t="shared" si="97"/>
        <v/>
      </c>
      <c r="AI230" s="6234" t="str">
        <f t="shared" si="98"/>
        <v/>
      </c>
      <c r="AJ230" s="6732" t="str">
        <f t="shared" si="99"/>
        <v/>
      </c>
      <c r="AK230" s="6732">
        <f t="shared" si="100"/>
        <v>0</v>
      </c>
      <c r="AL230" s="6230" t="str" cm="1">
        <f t="array" ref="AL230">IF(AF230&lt;&gt;"A","",IFERROR((IFERROR(_xlfn.XLOOKUP(TRIM(SUBSTITUTE(U230,CHAR(160)," ")),$BJ$15:$BJ$62,$BM$15:$BM$62),IFERROR(_xlfn.XLOOKUP(TRIM(SUBSTITUTE(U230,CHAR(160)," ")),$BK$15:$BK$62,$BM$15:$BM$62),_xlfn.XLOOKUP(TRIM(SUBSTITUTE(U230,CHAR(160)," ")),$BL$15:$BL$62,$BM$15:$BM$62))))*T230*IF(ISBLANK(Q230),1,Q230)+IFERROR(_xlfn.XLOOKUP("RECHERCHEX",TRIM(L230:AD230),L230:AD230),0),0))</f>
        <v/>
      </c>
      <c r="AM230" s="6229">
        <f t="shared" si="101"/>
        <v>0</v>
      </c>
      <c r="AN230" s="6857" t="str">
        <f t="shared" si="116"/>
        <v/>
      </c>
      <c r="AO230" s="392">
        <f t="shared" si="102"/>
        <v>0</v>
      </c>
      <c r="AP230" s="392">
        <f t="shared" si="103"/>
        <v>0</v>
      </c>
      <c r="AQ230" s="6190">
        <f t="shared" si="104"/>
        <v>0</v>
      </c>
      <c r="AR230" s="6858" t="str">
        <f t="shared" si="105"/>
        <v/>
      </c>
      <c r="AS230" s="6217"/>
      <c r="AT230" s="6217"/>
      <c r="AU230" s="6271">
        <f t="shared" si="106"/>
        <v>0</v>
      </c>
      <c r="AV230" s="6242">
        <f t="shared" si="107"/>
        <v>0</v>
      </c>
      <c r="AW230" s="6188" cm="1">
        <f t="array" ref="AW230">IF(AK230&lt;&gt;1,0,IF(OR(AU230="",N(AU230)&lt;=0.000000001),"",IF(OR(AO230="",N(AO230)&lt;=0.000000001),0,IF(ISNUMBER(AU230),IFERROR(_xlfn.LET(_xlpm.ai_test,TRIM(AJ230),_xlpm.r,IFERROR(_xlfn.XLOOKUP(_xlpm.ai_test,$BJ$15:$BJ$62,ROW($BJ$15:$BJ$62),0,1),IFERROR(_xlfn.XLOOKUP(_xlpm.ai_test,$BK$15:$BK$62,ROW($BK$15:$BK$62),0,1),_xlfn.XLOOKUP(_xlpm.ai_test,$BL$15:$BL$62,ROW($BL$15:$BL$62),0,1))),_xlpm.p,_xlpm.r-MIN(ROW($BJ$15:$BJ$62))+1,_xlpm.f,INDEX($BM$15:$BM$62,_xlpm.p),_xlpm.u,INDEX($BN$15:$BN$62,_xlpm.p),_xlpm.s,INDEX($BP$15:$BP$62,_xlpm.p),_xlpm.q,N(AU230)/_xlpm.f,IF(_xlpm.q&gt;=_xlpm.s,ROUND(_xlpm.q,1)&amp;" "&amp;_xlpm.ai_test&amp;" = "&amp;ROUND(_xlpm.q*_xlpm.f,1)&amp;" "&amp;_xlpm.u,ROUND(_xlpm.q,1)&amp;" "&amp;_xlpm.ai_test)),""),""))))</f>
        <v>0</v>
      </c>
      <c r="AX230" s="6218"/>
      <c r="AY230" s="6271">
        <f t="shared" si="108"/>
        <v>0</v>
      </c>
      <c r="AZ230" s="6242" t="str">
        <f t="shared" si="109"/>
        <v/>
      </c>
      <c r="BA230" s="6194">
        <f t="shared" si="114"/>
        <v>0</v>
      </c>
      <c r="BB230" s="6192" t="str">
        <f t="shared" si="110"/>
        <v/>
      </c>
      <c r="BC230" s="6219"/>
      <c r="BD230" s="6221">
        <f t="shared" si="115"/>
        <v>0</v>
      </c>
      <c r="BE230" s="6220" t="str">
        <f t="shared" si="111"/>
        <v/>
      </c>
      <c r="BF230" s="4" t="s">
        <v>1</v>
      </c>
      <c r="BG230" s="6196">
        <f t="shared" si="112"/>
        <v>0</v>
      </c>
      <c r="BH230" s="6197">
        <f t="shared" si="113"/>
        <v>0</v>
      </c>
      <c r="BI230"/>
      <c r="BR230"/>
      <c r="BS230"/>
      <c r="BT230"/>
      <c r="BU230"/>
      <c r="BV230"/>
      <c r="BW230"/>
      <c r="BX230" s="20" t="str">
        <f t="shared" si="94"/>
        <v>►</v>
      </c>
      <c r="BY230"/>
      <c r="BZ230"/>
      <c r="CA230"/>
      <c r="CB230"/>
      <c r="CC230"/>
      <c r="CD230" s="2"/>
      <c r="CE230"/>
      <c r="CF230"/>
      <c r="CG230"/>
      <c r="CH230"/>
      <c r="CI230"/>
      <c r="CJ230"/>
      <c r="CK230"/>
      <c r="CM230"/>
      <c r="CN230"/>
      <c r="CO230"/>
      <c r="CP230"/>
      <c r="CQ230"/>
      <c r="CR230"/>
      <c r="CS230"/>
      <c r="CU230"/>
      <c r="CV230"/>
      <c r="CW230"/>
      <c r="CX230"/>
      <c r="CY230"/>
      <c r="CZ230"/>
      <c r="DA230"/>
      <c r="DC230" s="5">
        <v>1</v>
      </c>
    </row>
    <row r="231" spans="1:107" s="1" customFormat="1" ht="21" customHeight="1">
      <c r="A231" s="5641" t="s">
        <v>1</v>
      </c>
      <c r="B231" s="5662" t="str">
        <f t="shared" si="93"/>
        <v>►</v>
      </c>
      <c r="C231" s="5825" cm="1">
        <f t="array" ref="C231">SUMPRODUCT(LEN(D231:J231))</f>
        <v>0</v>
      </c>
      <c r="D231" s="5275"/>
      <c r="E231" s="1361"/>
      <c r="F231" s="1361"/>
      <c r="G231" s="1361"/>
      <c r="H231" s="1361"/>
      <c r="I231" s="1361"/>
      <c r="J231" s="5276"/>
      <c r="K231" s="106" t="s">
        <v>1</v>
      </c>
      <c r="L231" s="1021" t="s">
        <v>26</v>
      </c>
      <c r="M231" s="6787"/>
      <c r="N231" s="6787"/>
      <c r="O231" s="6787"/>
      <c r="P231" s="6788"/>
      <c r="Q231" s="6789"/>
      <c r="R231" s="6790"/>
      <c r="S231" s="6786"/>
      <c r="T231" s="6791"/>
      <c r="U231" s="6844"/>
      <c r="V231" s="6791"/>
      <c r="W231" s="8487"/>
      <c r="X231" s="6871"/>
      <c r="Y231" s="6793"/>
      <c r="Z231" s="6794"/>
      <c r="AA231" s="6795"/>
      <c r="AB231" s="6796"/>
      <c r="AC231" s="6797"/>
      <c r="AD231" s="6798"/>
      <c r="AE231" s="4" t="s">
        <v>1</v>
      </c>
      <c r="AF231" s="6202" t="str">
        <f t="shared" si="95"/>
        <v>►</v>
      </c>
      <c r="AG231" s="6234" t="str">
        <f t="shared" si="96"/>
        <v/>
      </c>
      <c r="AH231" s="6732" t="str">
        <f t="shared" si="97"/>
        <v/>
      </c>
      <c r="AI231" s="6234" t="str">
        <f t="shared" si="98"/>
        <v/>
      </c>
      <c r="AJ231" s="6732" t="str">
        <f t="shared" si="99"/>
        <v/>
      </c>
      <c r="AK231" s="6732">
        <f t="shared" si="100"/>
        <v>0</v>
      </c>
      <c r="AL231" s="6230" t="str" cm="1">
        <f t="array" ref="AL231">IF(AF231&lt;&gt;"A","",IFERROR((IFERROR(_xlfn.XLOOKUP(TRIM(SUBSTITUTE(U231,CHAR(160)," ")),$BJ$15:$BJ$62,$BM$15:$BM$62),IFERROR(_xlfn.XLOOKUP(TRIM(SUBSTITUTE(U231,CHAR(160)," ")),$BK$15:$BK$62,$BM$15:$BM$62),_xlfn.XLOOKUP(TRIM(SUBSTITUTE(U231,CHAR(160)," ")),$BL$15:$BL$62,$BM$15:$BM$62))))*T231*IF(ISBLANK(Q231),1,Q231)+IFERROR(_xlfn.XLOOKUP("RECHERCHEX",TRIM(L231:AD231),L231:AD231),0),0))</f>
        <v/>
      </c>
      <c r="AM231" s="6229">
        <f t="shared" si="101"/>
        <v>0</v>
      </c>
      <c r="AN231" s="6857" t="str">
        <f t="shared" si="116"/>
        <v/>
      </c>
      <c r="AO231" s="392">
        <f t="shared" si="102"/>
        <v>0</v>
      </c>
      <c r="AP231" s="392">
        <f t="shared" si="103"/>
        <v>0</v>
      </c>
      <c r="AQ231" s="6191">
        <f t="shared" si="104"/>
        <v>0</v>
      </c>
      <c r="AR231" s="6859" t="str">
        <f t="shared" si="105"/>
        <v/>
      </c>
      <c r="AS231" s="6217"/>
      <c r="AT231" s="6217"/>
      <c r="AU231" s="6272">
        <f t="shared" si="106"/>
        <v>0</v>
      </c>
      <c r="AV231" s="6240">
        <f t="shared" si="107"/>
        <v>0</v>
      </c>
      <c r="AW231" s="6189" cm="1">
        <f t="array" ref="AW231">IF(AK231&lt;&gt;1,0,IF(OR(AU231="",N(AU231)&lt;=0.000000001),"",IF(OR(AO231="",N(AO231)&lt;=0.000000001),0,IF(ISNUMBER(AU231),IFERROR(_xlfn.LET(_xlpm.ai_test,TRIM(AJ231),_xlpm.r,IFERROR(_xlfn.XLOOKUP(_xlpm.ai_test,$BJ$15:$BJ$62,ROW($BJ$15:$BJ$62),0,1),IFERROR(_xlfn.XLOOKUP(_xlpm.ai_test,$BK$15:$BK$62,ROW($BK$15:$BK$62),0,1),_xlfn.XLOOKUP(_xlpm.ai_test,$BL$15:$BL$62,ROW($BL$15:$BL$62),0,1))),_xlpm.p,_xlpm.r-MIN(ROW($BJ$15:$BJ$62))+1,_xlpm.f,INDEX($BM$15:$BM$62,_xlpm.p),_xlpm.u,INDEX($BN$15:$BN$62,_xlpm.p),_xlpm.s,INDEX($BP$15:$BP$62,_xlpm.p),_xlpm.q,N(AU231)/_xlpm.f,IF(_xlpm.q&gt;=_xlpm.s,ROUND(_xlpm.q,1)&amp;" "&amp;_xlpm.ai_test&amp;" = "&amp;ROUND(_xlpm.q*_xlpm.f,1)&amp;" "&amp;_xlpm.u,ROUND(_xlpm.q,1)&amp;" "&amp;_xlpm.ai_test)),""),""))))</f>
        <v>0</v>
      </c>
      <c r="AX231" s="6218"/>
      <c r="AY231" s="6272">
        <f t="shared" si="108"/>
        <v>0</v>
      </c>
      <c r="AZ231" s="6240" t="str">
        <f t="shared" si="109"/>
        <v/>
      </c>
      <c r="BA231" s="6195">
        <f t="shared" si="114"/>
        <v>0</v>
      </c>
      <c r="BB231" s="6193" t="str">
        <f t="shared" si="110"/>
        <v/>
      </c>
      <c r="BC231" s="6219"/>
      <c r="BD231" s="6222">
        <f t="shared" si="115"/>
        <v>0</v>
      </c>
      <c r="BE231" s="6220" t="str">
        <f t="shared" si="111"/>
        <v/>
      </c>
      <c r="BF231" s="4" t="s">
        <v>1</v>
      </c>
      <c r="BG231" s="6196">
        <f t="shared" si="112"/>
        <v>0</v>
      </c>
      <c r="BH231" s="6197">
        <f t="shared" si="113"/>
        <v>0</v>
      </c>
      <c r="BI231"/>
      <c r="BR231"/>
      <c r="BS231"/>
      <c r="BT231"/>
      <c r="BU231"/>
      <c r="BV231"/>
      <c r="BW231"/>
      <c r="BX231" s="20" t="str">
        <f t="shared" si="94"/>
        <v>►</v>
      </c>
      <c r="BY231"/>
      <c r="BZ231"/>
      <c r="CA231"/>
      <c r="CB231"/>
      <c r="CC231"/>
      <c r="CD231" s="2"/>
      <c r="CE231"/>
      <c r="CF231"/>
      <c r="CG231"/>
      <c r="CH231"/>
      <c r="CI231"/>
      <c r="CJ231"/>
      <c r="CK231"/>
      <c r="CM231"/>
      <c r="CN231"/>
      <c r="CO231"/>
      <c r="CP231"/>
      <c r="CQ231"/>
      <c r="CR231"/>
      <c r="CS231"/>
      <c r="CU231"/>
      <c r="CV231"/>
      <c r="CW231"/>
      <c r="CX231"/>
      <c r="CY231"/>
      <c r="CZ231"/>
      <c r="DA231"/>
      <c r="DC231" s="5">
        <v>1</v>
      </c>
    </row>
    <row r="232" spans="1:107" s="1" customFormat="1" ht="21" customHeight="1">
      <c r="A232" s="5641" t="s">
        <v>1</v>
      </c>
      <c r="B232" s="5662" t="str">
        <f t="shared" si="93"/>
        <v>►</v>
      </c>
      <c r="C232" s="5825" cm="1">
        <f t="array" ref="C232">SUMPRODUCT(LEN(D232:J232))</f>
        <v>0</v>
      </c>
      <c r="D232" s="5275"/>
      <c r="E232" s="1361"/>
      <c r="F232" s="1361"/>
      <c r="G232" s="1361"/>
      <c r="H232" s="1361"/>
      <c r="I232" s="1361"/>
      <c r="J232" s="5276"/>
      <c r="K232" s="106" t="s">
        <v>1</v>
      </c>
      <c r="L232" s="1021" t="s">
        <v>26</v>
      </c>
      <c r="M232" s="6787"/>
      <c r="N232" s="6787"/>
      <c r="O232" s="6787"/>
      <c r="P232" s="6788"/>
      <c r="Q232" s="6789"/>
      <c r="R232" s="6790"/>
      <c r="S232" s="6786"/>
      <c r="T232" s="6791"/>
      <c r="U232" s="6844"/>
      <c r="V232" s="6791"/>
      <c r="W232" s="8487"/>
      <c r="X232" s="6871"/>
      <c r="Y232" s="6793"/>
      <c r="Z232" s="6794"/>
      <c r="AA232" s="6795"/>
      <c r="AB232" s="6796"/>
      <c r="AC232" s="6797"/>
      <c r="AD232" s="6798"/>
      <c r="AE232" s="4" t="s">
        <v>1</v>
      </c>
      <c r="AF232" s="6202" t="str">
        <f t="shared" si="95"/>
        <v>►</v>
      </c>
      <c r="AG232" s="6234" t="str">
        <f t="shared" si="96"/>
        <v/>
      </c>
      <c r="AH232" s="6732" t="str">
        <f t="shared" si="97"/>
        <v/>
      </c>
      <c r="AI232" s="6234" t="str">
        <f t="shared" si="98"/>
        <v/>
      </c>
      <c r="AJ232" s="6732" t="str">
        <f t="shared" si="99"/>
        <v/>
      </c>
      <c r="AK232" s="6732">
        <f t="shared" si="100"/>
        <v>0</v>
      </c>
      <c r="AL232" s="6230" t="str" cm="1">
        <f t="array" ref="AL232">IF(AF232&lt;&gt;"A","",IFERROR((IFERROR(_xlfn.XLOOKUP(TRIM(SUBSTITUTE(U232,CHAR(160)," ")),$BJ$15:$BJ$62,$BM$15:$BM$62),IFERROR(_xlfn.XLOOKUP(TRIM(SUBSTITUTE(U232,CHAR(160)," ")),$BK$15:$BK$62,$BM$15:$BM$62),_xlfn.XLOOKUP(TRIM(SUBSTITUTE(U232,CHAR(160)," ")),$BL$15:$BL$62,$BM$15:$BM$62))))*T232*IF(ISBLANK(Q232),1,Q232)+IFERROR(_xlfn.XLOOKUP("RECHERCHEX",TRIM(L232:AD232),L232:AD232),0),0))</f>
        <v/>
      </c>
      <c r="AM232" s="6229">
        <f t="shared" si="101"/>
        <v>0</v>
      </c>
      <c r="AN232" s="6857" t="str">
        <f t="shared" si="116"/>
        <v/>
      </c>
      <c r="AO232" s="392">
        <f t="shared" si="102"/>
        <v>0</v>
      </c>
      <c r="AP232" s="392">
        <f t="shared" si="103"/>
        <v>0</v>
      </c>
      <c r="AQ232" s="6190">
        <f t="shared" si="104"/>
        <v>0</v>
      </c>
      <c r="AR232" s="6858" t="str">
        <f t="shared" si="105"/>
        <v/>
      </c>
      <c r="AS232" s="6217"/>
      <c r="AT232" s="6217"/>
      <c r="AU232" s="6271">
        <f t="shared" si="106"/>
        <v>0</v>
      </c>
      <c r="AV232" s="6242">
        <f t="shared" si="107"/>
        <v>0</v>
      </c>
      <c r="AW232" s="6188" cm="1">
        <f t="array" ref="AW232">IF(AK232&lt;&gt;1,0,IF(OR(AU232="",N(AU232)&lt;=0.000000001),"",IF(OR(AO232="",N(AO232)&lt;=0.000000001),0,IF(ISNUMBER(AU232),IFERROR(_xlfn.LET(_xlpm.ai_test,TRIM(AJ232),_xlpm.r,IFERROR(_xlfn.XLOOKUP(_xlpm.ai_test,$BJ$15:$BJ$62,ROW($BJ$15:$BJ$62),0,1),IFERROR(_xlfn.XLOOKUP(_xlpm.ai_test,$BK$15:$BK$62,ROW($BK$15:$BK$62),0,1),_xlfn.XLOOKUP(_xlpm.ai_test,$BL$15:$BL$62,ROW($BL$15:$BL$62),0,1))),_xlpm.p,_xlpm.r-MIN(ROW($BJ$15:$BJ$62))+1,_xlpm.f,INDEX($BM$15:$BM$62,_xlpm.p),_xlpm.u,INDEX($BN$15:$BN$62,_xlpm.p),_xlpm.s,INDEX($BP$15:$BP$62,_xlpm.p),_xlpm.q,N(AU232)/_xlpm.f,IF(_xlpm.q&gt;=_xlpm.s,ROUND(_xlpm.q,1)&amp;" "&amp;_xlpm.ai_test&amp;" = "&amp;ROUND(_xlpm.q*_xlpm.f,1)&amp;" "&amp;_xlpm.u,ROUND(_xlpm.q,1)&amp;" "&amp;_xlpm.ai_test)),""),""))))</f>
        <v>0</v>
      </c>
      <c r="AX232" s="6218"/>
      <c r="AY232" s="6271">
        <f t="shared" si="108"/>
        <v>0</v>
      </c>
      <c r="AZ232" s="6242" t="str">
        <f t="shared" si="109"/>
        <v/>
      </c>
      <c r="BA232" s="6194">
        <f t="shared" si="114"/>
        <v>0</v>
      </c>
      <c r="BB232" s="6192" t="str">
        <f t="shared" si="110"/>
        <v/>
      </c>
      <c r="BC232" s="6219"/>
      <c r="BD232" s="6221">
        <f t="shared" si="115"/>
        <v>0</v>
      </c>
      <c r="BE232" s="6220" t="str">
        <f t="shared" si="111"/>
        <v/>
      </c>
      <c r="BF232" s="4" t="s">
        <v>1</v>
      </c>
      <c r="BG232" s="6196">
        <f t="shared" si="112"/>
        <v>0</v>
      </c>
      <c r="BH232" s="6197">
        <f t="shared" si="113"/>
        <v>0</v>
      </c>
      <c r="BI232"/>
      <c r="BR232"/>
      <c r="BS232"/>
      <c r="BT232"/>
      <c r="BU232"/>
      <c r="BV232"/>
      <c r="BW232"/>
      <c r="BX232" s="20" t="str">
        <f t="shared" si="94"/>
        <v>►</v>
      </c>
      <c r="BY232"/>
      <c r="BZ232"/>
      <c r="CA232"/>
      <c r="CB232"/>
      <c r="CC232"/>
      <c r="CD232" s="2"/>
      <c r="CE232"/>
      <c r="CF232"/>
      <c r="CG232"/>
      <c r="CH232"/>
      <c r="CI232"/>
      <c r="CJ232"/>
      <c r="CK232"/>
      <c r="CM232"/>
      <c r="CN232"/>
      <c r="CO232"/>
      <c r="CP232"/>
      <c r="CQ232"/>
      <c r="CR232"/>
      <c r="CS232"/>
      <c r="CU232"/>
      <c r="CV232"/>
      <c r="CW232"/>
      <c r="CX232"/>
      <c r="CY232"/>
      <c r="CZ232"/>
      <c r="DA232"/>
      <c r="DC232" s="5">
        <v>1</v>
      </c>
    </row>
    <row r="233" spans="1:107" s="1" customFormat="1" ht="21" customHeight="1">
      <c r="A233" s="5641" t="s">
        <v>1</v>
      </c>
      <c r="B233" s="5662" t="str">
        <f t="shared" si="93"/>
        <v>►</v>
      </c>
      <c r="C233" s="5825" cm="1">
        <f t="array" ref="C233">SUMPRODUCT(LEN(D233:J233))</f>
        <v>0</v>
      </c>
      <c r="D233" s="5275"/>
      <c r="E233" s="1361"/>
      <c r="F233" s="1361"/>
      <c r="G233" s="1361"/>
      <c r="H233" s="1361"/>
      <c r="I233" s="1361"/>
      <c r="J233" s="5276"/>
      <c r="K233" s="106" t="s">
        <v>1</v>
      </c>
      <c r="L233" s="1021" t="s">
        <v>26</v>
      </c>
      <c r="M233" s="6787"/>
      <c r="N233" s="6787"/>
      <c r="O233" s="6787"/>
      <c r="P233" s="6788"/>
      <c r="Q233" s="6789"/>
      <c r="R233" s="6790"/>
      <c r="S233" s="6786"/>
      <c r="T233" s="6791"/>
      <c r="U233" s="6844"/>
      <c r="V233" s="6791"/>
      <c r="W233" s="8487"/>
      <c r="X233" s="6871"/>
      <c r="Y233" s="6793"/>
      <c r="Z233" s="6794"/>
      <c r="AA233" s="6795"/>
      <c r="AB233" s="6796"/>
      <c r="AC233" s="6797"/>
      <c r="AD233" s="6798"/>
      <c r="AE233" s="4" t="s">
        <v>1</v>
      </c>
      <c r="AF233" s="6202" t="str">
        <f t="shared" si="95"/>
        <v>►</v>
      </c>
      <c r="AG233" s="6234" t="str">
        <f t="shared" si="96"/>
        <v/>
      </c>
      <c r="AH233" s="6732" t="str">
        <f t="shared" si="97"/>
        <v/>
      </c>
      <c r="AI233" s="6234" t="str">
        <f t="shared" si="98"/>
        <v/>
      </c>
      <c r="AJ233" s="6732" t="str">
        <f t="shared" si="99"/>
        <v/>
      </c>
      <c r="AK233" s="6732">
        <f t="shared" si="100"/>
        <v>0</v>
      </c>
      <c r="AL233" s="6230" t="str" cm="1">
        <f t="array" ref="AL233">IF(AF233&lt;&gt;"A","",IFERROR((IFERROR(_xlfn.XLOOKUP(TRIM(SUBSTITUTE(U233,CHAR(160)," ")),$BJ$15:$BJ$62,$BM$15:$BM$62),IFERROR(_xlfn.XLOOKUP(TRIM(SUBSTITUTE(U233,CHAR(160)," ")),$BK$15:$BK$62,$BM$15:$BM$62),_xlfn.XLOOKUP(TRIM(SUBSTITUTE(U233,CHAR(160)," ")),$BL$15:$BL$62,$BM$15:$BM$62))))*T233*IF(ISBLANK(Q233),1,Q233)+IFERROR(_xlfn.XLOOKUP("RECHERCHEX",TRIM(L233:AD233),L233:AD233),0),0))</f>
        <v/>
      </c>
      <c r="AM233" s="6229">
        <f t="shared" si="101"/>
        <v>0</v>
      </c>
      <c r="AN233" s="6857" t="str">
        <f t="shared" si="116"/>
        <v/>
      </c>
      <c r="AO233" s="392">
        <f t="shared" si="102"/>
        <v>0</v>
      </c>
      <c r="AP233" s="392">
        <f t="shared" si="103"/>
        <v>0</v>
      </c>
      <c r="AQ233" s="6191">
        <f t="shared" si="104"/>
        <v>0</v>
      </c>
      <c r="AR233" s="6859" t="str">
        <f t="shared" si="105"/>
        <v/>
      </c>
      <c r="AS233" s="6217"/>
      <c r="AT233" s="6217"/>
      <c r="AU233" s="6272">
        <f t="shared" si="106"/>
        <v>0</v>
      </c>
      <c r="AV233" s="6240">
        <f t="shared" si="107"/>
        <v>0</v>
      </c>
      <c r="AW233" s="6189" cm="1">
        <f t="array" ref="AW233">IF(AK233&lt;&gt;1,0,IF(OR(AU233="",N(AU233)&lt;=0.000000001),"",IF(OR(AO233="",N(AO233)&lt;=0.000000001),0,IF(ISNUMBER(AU233),IFERROR(_xlfn.LET(_xlpm.ai_test,TRIM(AJ233),_xlpm.r,IFERROR(_xlfn.XLOOKUP(_xlpm.ai_test,$BJ$15:$BJ$62,ROW($BJ$15:$BJ$62),0,1),IFERROR(_xlfn.XLOOKUP(_xlpm.ai_test,$BK$15:$BK$62,ROW($BK$15:$BK$62),0,1),_xlfn.XLOOKUP(_xlpm.ai_test,$BL$15:$BL$62,ROW($BL$15:$BL$62),0,1))),_xlpm.p,_xlpm.r-MIN(ROW($BJ$15:$BJ$62))+1,_xlpm.f,INDEX($BM$15:$BM$62,_xlpm.p),_xlpm.u,INDEX($BN$15:$BN$62,_xlpm.p),_xlpm.s,INDEX($BP$15:$BP$62,_xlpm.p),_xlpm.q,N(AU233)/_xlpm.f,IF(_xlpm.q&gt;=_xlpm.s,ROUND(_xlpm.q,1)&amp;" "&amp;_xlpm.ai_test&amp;" = "&amp;ROUND(_xlpm.q*_xlpm.f,1)&amp;" "&amp;_xlpm.u,ROUND(_xlpm.q,1)&amp;" "&amp;_xlpm.ai_test)),""),""))))</f>
        <v>0</v>
      </c>
      <c r="AX233" s="6218"/>
      <c r="AY233" s="6272">
        <f t="shared" si="108"/>
        <v>0</v>
      </c>
      <c r="AZ233" s="6240" t="str">
        <f t="shared" si="109"/>
        <v/>
      </c>
      <c r="BA233" s="6195">
        <f t="shared" si="114"/>
        <v>0</v>
      </c>
      <c r="BB233" s="6193" t="str">
        <f t="shared" si="110"/>
        <v/>
      </c>
      <c r="BC233" s="6219"/>
      <c r="BD233" s="6222">
        <f t="shared" si="115"/>
        <v>0</v>
      </c>
      <c r="BE233" s="6220" t="str">
        <f t="shared" si="111"/>
        <v/>
      </c>
      <c r="BF233" s="4" t="s">
        <v>1</v>
      </c>
      <c r="BG233" s="6196">
        <f t="shared" si="112"/>
        <v>0</v>
      </c>
      <c r="BH233" s="6197">
        <f t="shared" si="113"/>
        <v>0</v>
      </c>
      <c r="BI233"/>
      <c r="BR233"/>
      <c r="BS233"/>
      <c r="BT233"/>
      <c r="BU233"/>
      <c r="BV233"/>
      <c r="BW233"/>
      <c r="BX233" s="20" t="str">
        <f t="shared" si="94"/>
        <v>►</v>
      </c>
      <c r="BY233"/>
      <c r="BZ233"/>
      <c r="CA233"/>
      <c r="CB233"/>
      <c r="CC233"/>
      <c r="CD233" s="2"/>
      <c r="CE233"/>
      <c r="CF233"/>
      <c r="CG233"/>
      <c r="CH233"/>
      <c r="CI233"/>
      <c r="CJ233"/>
      <c r="CK233"/>
      <c r="CM233"/>
      <c r="CN233"/>
      <c r="CO233"/>
      <c r="CP233"/>
      <c r="CQ233"/>
      <c r="CR233"/>
      <c r="CS233"/>
      <c r="CU233"/>
      <c r="CV233"/>
      <c r="CW233"/>
      <c r="CX233"/>
      <c r="CY233"/>
      <c r="CZ233"/>
      <c r="DA233"/>
      <c r="DC233" s="5">
        <v>1</v>
      </c>
    </row>
    <row r="234" spans="1:107" s="1" customFormat="1" ht="21" customHeight="1">
      <c r="A234" s="5641" t="s">
        <v>1</v>
      </c>
      <c r="B234" s="5662" t="str">
        <f t="shared" si="93"/>
        <v>►</v>
      </c>
      <c r="C234" s="5825" cm="1">
        <f t="array" ref="C234">SUMPRODUCT(LEN(D234:J234))</f>
        <v>0</v>
      </c>
      <c r="D234" s="5275"/>
      <c r="E234" s="1361"/>
      <c r="F234" s="1361"/>
      <c r="G234" s="1361"/>
      <c r="H234" s="1361"/>
      <c r="I234" s="1361"/>
      <c r="J234" s="5276"/>
      <c r="K234" s="106" t="s">
        <v>1</v>
      </c>
      <c r="L234" s="1021" t="s">
        <v>26</v>
      </c>
      <c r="M234" s="6787"/>
      <c r="N234" s="6787"/>
      <c r="O234" s="6787"/>
      <c r="P234" s="6788"/>
      <c r="Q234" s="6789"/>
      <c r="R234" s="6790"/>
      <c r="S234" s="6786"/>
      <c r="T234" s="6791"/>
      <c r="U234" s="6844"/>
      <c r="V234" s="6791"/>
      <c r="W234" s="8487"/>
      <c r="X234" s="6871"/>
      <c r="Y234" s="6793"/>
      <c r="Z234" s="6794"/>
      <c r="AA234" s="6795"/>
      <c r="AB234" s="6796"/>
      <c r="AC234" s="6797"/>
      <c r="AD234" s="6798"/>
      <c r="AE234" s="4" t="s">
        <v>1</v>
      </c>
      <c r="AF234" s="6202" t="str">
        <f t="shared" si="95"/>
        <v>►</v>
      </c>
      <c r="AG234" s="6234" t="str">
        <f t="shared" si="96"/>
        <v/>
      </c>
      <c r="AH234" s="6732" t="str">
        <f t="shared" si="97"/>
        <v/>
      </c>
      <c r="AI234" s="6234" t="str">
        <f t="shared" si="98"/>
        <v/>
      </c>
      <c r="AJ234" s="6732" t="str">
        <f t="shared" si="99"/>
        <v/>
      </c>
      <c r="AK234" s="6732">
        <f t="shared" si="100"/>
        <v>0</v>
      </c>
      <c r="AL234" s="6230" t="str" cm="1">
        <f t="array" ref="AL234">IF(AF234&lt;&gt;"A","",IFERROR((IFERROR(_xlfn.XLOOKUP(TRIM(SUBSTITUTE(U234,CHAR(160)," ")),$BJ$15:$BJ$62,$BM$15:$BM$62),IFERROR(_xlfn.XLOOKUP(TRIM(SUBSTITUTE(U234,CHAR(160)," ")),$BK$15:$BK$62,$BM$15:$BM$62),_xlfn.XLOOKUP(TRIM(SUBSTITUTE(U234,CHAR(160)," ")),$BL$15:$BL$62,$BM$15:$BM$62))))*T234*IF(ISBLANK(Q234),1,Q234)+IFERROR(_xlfn.XLOOKUP("RECHERCHEX",TRIM(L234:AD234),L234:AD234),0),0))</f>
        <v/>
      </c>
      <c r="AM234" s="6229">
        <f t="shared" si="101"/>
        <v>0</v>
      </c>
      <c r="AN234" s="6857" t="str">
        <f t="shared" si="116"/>
        <v/>
      </c>
      <c r="AO234" s="392">
        <f t="shared" si="102"/>
        <v>0</v>
      </c>
      <c r="AP234" s="392">
        <f t="shared" si="103"/>
        <v>0</v>
      </c>
      <c r="AQ234" s="6190">
        <f t="shared" si="104"/>
        <v>0</v>
      </c>
      <c r="AR234" s="6858" t="str">
        <f t="shared" si="105"/>
        <v/>
      </c>
      <c r="AS234" s="6217"/>
      <c r="AT234" s="6217"/>
      <c r="AU234" s="6271">
        <f t="shared" si="106"/>
        <v>0</v>
      </c>
      <c r="AV234" s="6242">
        <f t="shared" si="107"/>
        <v>0</v>
      </c>
      <c r="AW234" s="6188" cm="1">
        <f t="array" ref="AW234">IF(AK234&lt;&gt;1,0,IF(OR(AU234="",N(AU234)&lt;=0.000000001),"",IF(OR(AO234="",N(AO234)&lt;=0.000000001),0,IF(ISNUMBER(AU234),IFERROR(_xlfn.LET(_xlpm.ai_test,TRIM(AJ234),_xlpm.r,IFERROR(_xlfn.XLOOKUP(_xlpm.ai_test,$BJ$15:$BJ$62,ROW($BJ$15:$BJ$62),0,1),IFERROR(_xlfn.XLOOKUP(_xlpm.ai_test,$BK$15:$BK$62,ROW($BK$15:$BK$62),0,1),_xlfn.XLOOKUP(_xlpm.ai_test,$BL$15:$BL$62,ROW($BL$15:$BL$62),0,1))),_xlpm.p,_xlpm.r-MIN(ROW($BJ$15:$BJ$62))+1,_xlpm.f,INDEX($BM$15:$BM$62,_xlpm.p),_xlpm.u,INDEX($BN$15:$BN$62,_xlpm.p),_xlpm.s,INDEX($BP$15:$BP$62,_xlpm.p),_xlpm.q,N(AU234)/_xlpm.f,IF(_xlpm.q&gt;=_xlpm.s,ROUND(_xlpm.q,1)&amp;" "&amp;_xlpm.ai_test&amp;" = "&amp;ROUND(_xlpm.q*_xlpm.f,1)&amp;" "&amp;_xlpm.u,ROUND(_xlpm.q,1)&amp;" "&amp;_xlpm.ai_test)),""),""))))</f>
        <v>0</v>
      </c>
      <c r="AX234" s="6218"/>
      <c r="AY234" s="6271">
        <f t="shared" si="108"/>
        <v>0</v>
      </c>
      <c r="AZ234" s="6242" t="str">
        <f t="shared" si="109"/>
        <v/>
      </c>
      <c r="BA234" s="6194">
        <f t="shared" si="114"/>
        <v>0</v>
      </c>
      <c r="BB234" s="6192" t="str">
        <f t="shared" si="110"/>
        <v/>
      </c>
      <c r="BC234" s="6219"/>
      <c r="BD234" s="6221">
        <f t="shared" si="115"/>
        <v>0</v>
      </c>
      <c r="BE234" s="6220" t="str">
        <f t="shared" si="111"/>
        <v/>
      </c>
      <c r="BF234" s="4" t="s">
        <v>1</v>
      </c>
      <c r="BG234" s="6196">
        <f t="shared" si="112"/>
        <v>0</v>
      </c>
      <c r="BH234" s="6197">
        <f t="shared" si="113"/>
        <v>0</v>
      </c>
      <c r="BI234"/>
      <c r="BR234"/>
      <c r="BS234"/>
      <c r="BT234"/>
      <c r="BU234"/>
      <c r="BV234"/>
      <c r="BW234"/>
      <c r="BX234" s="20" t="str">
        <f t="shared" si="94"/>
        <v>►</v>
      </c>
      <c r="BY234"/>
      <c r="BZ234"/>
      <c r="CA234"/>
      <c r="CB234"/>
      <c r="CC234"/>
      <c r="CD234" s="2"/>
      <c r="CE234"/>
      <c r="CF234"/>
      <c r="CG234"/>
      <c r="CH234"/>
      <c r="CI234"/>
      <c r="CJ234"/>
      <c r="CK234"/>
      <c r="CM234"/>
      <c r="CN234"/>
      <c r="CO234"/>
      <c r="CP234"/>
      <c r="CQ234"/>
      <c r="CR234"/>
      <c r="CS234"/>
      <c r="CU234"/>
      <c r="CV234"/>
      <c r="CW234"/>
      <c r="CX234"/>
      <c r="CY234"/>
      <c r="CZ234"/>
      <c r="DA234"/>
      <c r="DC234" s="5">
        <v>1</v>
      </c>
    </row>
    <row r="235" spans="1:107" s="1" customFormat="1" ht="21" customHeight="1">
      <c r="A235" s="5641" t="s">
        <v>1</v>
      </c>
      <c r="B235" s="5662" t="str">
        <f t="shared" si="93"/>
        <v>►</v>
      </c>
      <c r="C235" s="5825" cm="1">
        <f t="array" ref="C235">SUMPRODUCT(LEN(D235:J235))</f>
        <v>0</v>
      </c>
      <c r="D235" s="5275"/>
      <c r="E235" s="1361"/>
      <c r="F235" s="1361"/>
      <c r="G235" s="1361"/>
      <c r="H235" s="1361"/>
      <c r="I235" s="1361"/>
      <c r="J235" s="5276"/>
      <c r="K235" s="106" t="s">
        <v>1</v>
      </c>
      <c r="L235" s="1021" t="s">
        <v>26</v>
      </c>
      <c r="M235" s="6787"/>
      <c r="N235" s="6787"/>
      <c r="O235" s="6787"/>
      <c r="P235" s="6788"/>
      <c r="Q235" s="6789"/>
      <c r="R235" s="6790"/>
      <c r="S235" s="6786"/>
      <c r="T235" s="6791"/>
      <c r="U235" s="6844"/>
      <c r="V235" s="6791"/>
      <c r="W235" s="8487"/>
      <c r="X235" s="6871"/>
      <c r="Y235" s="6793"/>
      <c r="Z235" s="6794"/>
      <c r="AA235" s="6795"/>
      <c r="AB235" s="6796"/>
      <c r="AC235" s="6797"/>
      <c r="AD235" s="6798"/>
      <c r="AE235" s="4" t="s">
        <v>1</v>
      </c>
      <c r="AF235" s="6202" t="str">
        <f t="shared" si="95"/>
        <v>►</v>
      </c>
      <c r="AG235" s="6234" t="str">
        <f t="shared" si="96"/>
        <v/>
      </c>
      <c r="AH235" s="6732" t="str">
        <f t="shared" si="97"/>
        <v/>
      </c>
      <c r="AI235" s="6234" t="str">
        <f t="shared" si="98"/>
        <v/>
      </c>
      <c r="AJ235" s="6732" t="str">
        <f t="shared" si="99"/>
        <v/>
      </c>
      <c r="AK235" s="6732">
        <f t="shared" si="100"/>
        <v>0</v>
      </c>
      <c r="AL235" s="6230" t="str" cm="1">
        <f t="array" ref="AL235">IF(AF235&lt;&gt;"A","",IFERROR((IFERROR(_xlfn.XLOOKUP(TRIM(SUBSTITUTE(U235,CHAR(160)," ")),$BJ$15:$BJ$62,$BM$15:$BM$62),IFERROR(_xlfn.XLOOKUP(TRIM(SUBSTITUTE(U235,CHAR(160)," ")),$BK$15:$BK$62,$BM$15:$BM$62),_xlfn.XLOOKUP(TRIM(SUBSTITUTE(U235,CHAR(160)," ")),$BL$15:$BL$62,$BM$15:$BM$62))))*T235*IF(ISBLANK(Q235),1,Q235)+IFERROR(_xlfn.XLOOKUP("RECHERCHEX",TRIM(L235:AD235),L235:AD235),0),0))</f>
        <v/>
      </c>
      <c r="AM235" s="6229">
        <f t="shared" si="101"/>
        <v>0</v>
      </c>
      <c r="AN235" s="6857" t="str">
        <f t="shared" si="116"/>
        <v/>
      </c>
      <c r="AO235" s="392">
        <f t="shared" si="102"/>
        <v>0</v>
      </c>
      <c r="AP235" s="392">
        <f t="shared" si="103"/>
        <v>0</v>
      </c>
      <c r="AQ235" s="6191">
        <f t="shared" si="104"/>
        <v>0</v>
      </c>
      <c r="AR235" s="6859" t="str">
        <f t="shared" si="105"/>
        <v/>
      </c>
      <c r="AS235" s="6217"/>
      <c r="AT235" s="6217"/>
      <c r="AU235" s="6272">
        <f t="shared" si="106"/>
        <v>0</v>
      </c>
      <c r="AV235" s="6240">
        <f t="shared" si="107"/>
        <v>0</v>
      </c>
      <c r="AW235" s="6189" cm="1">
        <f t="array" ref="AW235">IF(AK235&lt;&gt;1,0,IF(OR(AU235="",N(AU235)&lt;=0.000000001),"",IF(OR(AO235="",N(AO235)&lt;=0.000000001),0,IF(ISNUMBER(AU235),IFERROR(_xlfn.LET(_xlpm.ai_test,TRIM(AJ235),_xlpm.r,IFERROR(_xlfn.XLOOKUP(_xlpm.ai_test,$BJ$15:$BJ$62,ROW($BJ$15:$BJ$62),0,1),IFERROR(_xlfn.XLOOKUP(_xlpm.ai_test,$BK$15:$BK$62,ROW($BK$15:$BK$62),0,1),_xlfn.XLOOKUP(_xlpm.ai_test,$BL$15:$BL$62,ROW($BL$15:$BL$62),0,1))),_xlpm.p,_xlpm.r-MIN(ROW($BJ$15:$BJ$62))+1,_xlpm.f,INDEX($BM$15:$BM$62,_xlpm.p),_xlpm.u,INDEX($BN$15:$BN$62,_xlpm.p),_xlpm.s,INDEX($BP$15:$BP$62,_xlpm.p),_xlpm.q,N(AU235)/_xlpm.f,IF(_xlpm.q&gt;=_xlpm.s,ROUND(_xlpm.q,1)&amp;" "&amp;_xlpm.ai_test&amp;" = "&amp;ROUND(_xlpm.q*_xlpm.f,1)&amp;" "&amp;_xlpm.u,ROUND(_xlpm.q,1)&amp;" "&amp;_xlpm.ai_test)),""),""))))</f>
        <v>0</v>
      </c>
      <c r="AX235" s="6218"/>
      <c r="AY235" s="6272">
        <f t="shared" si="108"/>
        <v>0</v>
      </c>
      <c r="AZ235" s="6240" t="str">
        <f t="shared" si="109"/>
        <v/>
      </c>
      <c r="BA235" s="6195">
        <f t="shared" si="114"/>
        <v>0</v>
      </c>
      <c r="BB235" s="6193" t="str">
        <f t="shared" si="110"/>
        <v/>
      </c>
      <c r="BC235" s="6219"/>
      <c r="BD235" s="6222">
        <f t="shared" si="115"/>
        <v>0</v>
      </c>
      <c r="BE235" s="6220" t="str">
        <f t="shared" si="111"/>
        <v/>
      </c>
      <c r="BF235" s="4" t="s">
        <v>1</v>
      </c>
      <c r="BG235" s="6196">
        <f t="shared" si="112"/>
        <v>0</v>
      </c>
      <c r="BH235" s="6197">
        <f t="shared" si="113"/>
        <v>0</v>
      </c>
      <c r="BI235"/>
      <c r="BR235"/>
      <c r="BS235"/>
      <c r="BT235"/>
      <c r="BU235"/>
      <c r="BV235"/>
      <c r="BW235"/>
      <c r="BX235" s="20" t="str">
        <f t="shared" si="94"/>
        <v>►</v>
      </c>
      <c r="BY235"/>
      <c r="BZ235"/>
      <c r="CA235"/>
      <c r="CB235"/>
      <c r="CC235"/>
      <c r="CD235" s="2"/>
      <c r="CE235"/>
      <c r="CF235"/>
      <c r="CG235"/>
      <c r="CH235"/>
      <c r="CI235"/>
      <c r="CJ235"/>
      <c r="CK235"/>
      <c r="CM235"/>
      <c r="CN235"/>
      <c r="CO235"/>
      <c r="CP235"/>
      <c r="CQ235"/>
      <c r="CR235"/>
      <c r="CS235"/>
      <c r="CU235"/>
      <c r="CV235"/>
      <c r="CW235"/>
      <c r="CX235"/>
      <c r="CY235"/>
      <c r="CZ235"/>
      <c r="DA235"/>
      <c r="DC235" s="5">
        <v>1</v>
      </c>
    </row>
    <row r="236" spans="1:107" ht="21" customHeight="1">
      <c r="A236" s="5641" t="s">
        <v>1</v>
      </c>
      <c r="B236" s="5662" t="str">
        <f t="shared" si="93"/>
        <v>►</v>
      </c>
      <c r="C236" s="5825" cm="1">
        <f t="array" ref="C236">SUMPRODUCT(LEN(D236:J236))</f>
        <v>0</v>
      </c>
      <c r="D236" s="5275"/>
      <c r="E236" s="1361"/>
      <c r="F236" s="1361"/>
      <c r="G236" s="1361"/>
      <c r="H236" s="1361"/>
      <c r="I236" s="1361"/>
      <c r="J236" s="5276"/>
      <c r="K236" s="106" t="s">
        <v>1</v>
      </c>
      <c r="L236" s="1021" t="s">
        <v>26</v>
      </c>
      <c r="M236" s="6787"/>
      <c r="N236" s="6787"/>
      <c r="O236" s="6787"/>
      <c r="P236" s="6788"/>
      <c r="Q236" s="6789"/>
      <c r="R236" s="6790"/>
      <c r="S236" s="6786"/>
      <c r="T236" s="6791"/>
      <c r="U236" s="6844"/>
      <c r="V236" s="6791"/>
      <c r="W236" s="8487"/>
      <c r="X236" s="6871"/>
      <c r="Y236" s="6793"/>
      <c r="Z236" s="6794"/>
      <c r="AA236" s="6795"/>
      <c r="AB236" s="6796"/>
      <c r="AC236" s="6797"/>
      <c r="AD236" s="6798"/>
      <c r="AE236" s="4" t="s">
        <v>1</v>
      </c>
      <c r="AF236" s="6202" t="str">
        <f t="shared" si="95"/>
        <v>►</v>
      </c>
      <c r="AG236" s="6234" t="str">
        <f t="shared" si="96"/>
        <v/>
      </c>
      <c r="AH236" s="6732" t="str">
        <f t="shared" si="97"/>
        <v/>
      </c>
      <c r="AI236" s="6234" t="str">
        <f t="shared" si="98"/>
        <v/>
      </c>
      <c r="AJ236" s="6732" t="str">
        <f t="shared" si="99"/>
        <v/>
      </c>
      <c r="AK236" s="6732">
        <f t="shared" si="100"/>
        <v>0</v>
      </c>
      <c r="AL236" s="6230" t="str" cm="1">
        <f t="array" ref="AL236">IF(AF236&lt;&gt;"A","",IFERROR((IFERROR(_xlfn.XLOOKUP(TRIM(SUBSTITUTE(U236,CHAR(160)," ")),$BJ$15:$BJ$62,$BM$15:$BM$62),IFERROR(_xlfn.XLOOKUP(TRIM(SUBSTITUTE(U236,CHAR(160)," ")),$BK$15:$BK$62,$BM$15:$BM$62),_xlfn.XLOOKUP(TRIM(SUBSTITUTE(U236,CHAR(160)," ")),$BL$15:$BL$62,$BM$15:$BM$62))))*T236*IF(ISBLANK(Q236),1,Q236)+IFERROR(_xlfn.XLOOKUP("RECHERCHEX",TRIM(L236:AD236),L236:AD236),0),0))</f>
        <v/>
      </c>
      <c r="AM236" s="6229">
        <f t="shared" si="101"/>
        <v>0</v>
      </c>
      <c r="AN236" s="6857" t="str">
        <f t="shared" si="116"/>
        <v/>
      </c>
      <c r="AO236" s="392">
        <f t="shared" si="102"/>
        <v>0</v>
      </c>
      <c r="AP236" s="392">
        <f t="shared" si="103"/>
        <v>0</v>
      </c>
      <c r="AQ236" s="6190">
        <f t="shared" si="104"/>
        <v>0</v>
      </c>
      <c r="AR236" s="6858" t="str">
        <f t="shared" si="105"/>
        <v/>
      </c>
      <c r="AS236" s="6217"/>
      <c r="AT236" s="6217"/>
      <c r="AU236" s="6271">
        <f t="shared" si="106"/>
        <v>0</v>
      </c>
      <c r="AV236" s="6242">
        <f t="shared" si="107"/>
        <v>0</v>
      </c>
      <c r="AW236" s="6188" cm="1">
        <f t="array" ref="AW236">IF(AK236&lt;&gt;1,0,IF(OR(AU236="",N(AU236)&lt;=0.000000001),"",IF(OR(AO236="",N(AO236)&lt;=0.000000001),0,IF(ISNUMBER(AU236),IFERROR(_xlfn.LET(_xlpm.ai_test,TRIM(AJ236),_xlpm.r,IFERROR(_xlfn.XLOOKUP(_xlpm.ai_test,$BJ$15:$BJ$62,ROW($BJ$15:$BJ$62),0,1),IFERROR(_xlfn.XLOOKUP(_xlpm.ai_test,$BK$15:$BK$62,ROW($BK$15:$BK$62),0,1),_xlfn.XLOOKUP(_xlpm.ai_test,$BL$15:$BL$62,ROW($BL$15:$BL$62),0,1))),_xlpm.p,_xlpm.r-MIN(ROW($BJ$15:$BJ$62))+1,_xlpm.f,INDEX($BM$15:$BM$62,_xlpm.p),_xlpm.u,INDEX($BN$15:$BN$62,_xlpm.p),_xlpm.s,INDEX($BP$15:$BP$62,_xlpm.p),_xlpm.q,N(AU236)/_xlpm.f,IF(_xlpm.q&gt;=_xlpm.s,ROUND(_xlpm.q,1)&amp;" "&amp;_xlpm.ai_test&amp;" = "&amp;ROUND(_xlpm.q*_xlpm.f,1)&amp;" "&amp;_xlpm.u,ROUND(_xlpm.q,1)&amp;" "&amp;_xlpm.ai_test)),""),""))))</f>
        <v>0</v>
      </c>
      <c r="AX236" s="6218"/>
      <c r="AY236" s="6271">
        <f t="shared" si="108"/>
        <v>0</v>
      </c>
      <c r="AZ236" s="6242" t="str">
        <f t="shared" si="109"/>
        <v/>
      </c>
      <c r="BA236" s="6194">
        <f t="shared" si="114"/>
        <v>0</v>
      </c>
      <c r="BB236" s="6192" t="str">
        <f t="shared" si="110"/>
        <v/>
      </c>
      <c r="BC236" s="6219"/>
      <c r="BD236" s="6221">
        <f t="shared" si="115"/>
        <v>0</v>
      </c>
      <c r="BE236" s="6220" t="str">
        <f t="shared" si="111"/>
        <v/>
      </c>
      <c r="BF236" s="4" t="s">
        <v>1</v>
      </c>
      <c r="BG236" s="6196">
        <f t="shared" si="112"/>
        <v>0</v>
      </c>
      <c r="BH236" s="6197">
        <f t="shared" si="113"/>
        <v>0</v>
      </c>
      <c r="BI236"/>
      <c r="BJ236" s="1"/>
      <c r="BK236" s="1"/>
      <c r="BL236" s="1"/>
      <c r="BM236" s="1"/>
      <c r="BN236" s="1"/>
      <c r="BO236" s="1"/>
      <c r="BP236" s="1"/>
      <c r="BQ236" s="1"/>
      <c r="BX236" s="20" t="str">
        <f t="shared" si="94"/>
        <v>►</v>
      </c>
      <c r="CC236"/>
      <c r="CD236" s="2"/>
      <c r="CL236" s="1"/>
      <c r="CT236" s="1"/>
      <c r="DB236" s="1"/>
      <c r="DC236" s="5">
        <v>1</v>
      </c>
    </row>
    <row r="237" spans="1:107" ht="21" customHeight="1">
      <c r="A237" s="5641" t="s">
        <v>1</v>
      </c>
      <c r="B237" s="5662" t="str">
        <f t="shared" si="93"/>
        <v>►</v>
      </c>
      <c r="C237" s="5825" cm="1">
        <f t="array" ref="C237">SUMPRODUCT(LEN(D237:J237))</f>
        <v>0</v>
      </c>
      <c r="D237" s="5275"/>
      <c r="E237" s="1361"/>
      <c r="F237" s="1361"/>
      <c r="G237" s="1361"/>
      <c r="H237" s="1361"/>
      <c r="I237" s="1361"/>
      <c r="J237" s="5276"/>
      <c r="K237" s="106" t="s">
        <v>1</v>
      </c>
      <c r="L237" s="1021" t="s">
        <v>26</v>
      </c>
      <c r="M237" s="6787"/>
      <c r="N237" s="6787"/>
      <c r="O237" s="6787"/>
      <c r="P237" s="6788"/>
      <c r="Q237" s="6789"/>
      <c r="R237" s="6790"/>
      <c r="S237" s="6786"/>
      <c r="T237" s="6791"/>
      <c r="U237" s="6844"/>
      <c r="V237" s="6791"/>
      <c r="W237" s="8487"/>
      <c r="X237" s="6871"/>
      <c r="Y237" s="6793"/>
      <c r="Z237" s="6794"/>
      <c r="AA237" s="6795"/>
      <c r="AB237" s="6796"/>
      <c r="AC237" s="6797"/>
      <c r="AD237" s="6798"/>
      <c r="AE237" s="4" t="s">
        <v>1</v>
      </c>
      <c r="AF237" s="6202" t="str">
        <f t="shared" si="95"/>
        <v>►</v>
      </c>
      <c r="AG237" s="6234" t="str">
        <f t="shared" si="96"/>
        <v/>
      </c>
      <c r="AH237" s="6732" t="str">
        <f t="shared" si="97"/>
        <v/>
      </c>
      <c r="AI237" s="6234" t="str">
        <f t="shared" si="98"/>
        <v/>
      </c>
      <c r="AJ237" s="6732" t="str">
        <f t="shared" si="99"/>
        <v/>
      </c>
      <c r="AK237" s="6732">
        <f t="shared" si="100"/>
        <v>0</v>
      </c>
      <c r="AL237" s="6230" t="str" cm="1">
        <f t="array" ref="AL237">IF(AF237&lt;&gt;"A","",IFERROR((IFERROR(_xlfn.XLOOKUP(TRIM(SUBSTITUTE(U237,CHAR(160)," ")),$BJ$15:$BJ$62,$BM$15:$BM$62),IFERROR(_xlfn.XLOOKUP(TRIM(SUBSTITUTE(U237,CHAR(160)," ")),$BK$15:$BK$62,$BM$15:$BM$62),_xlfn.XLOOKUP(TRIM(SUBSTITUTE(U237,CHAR(160)," ")),$BL$15:$BL$62,$BM$15:$BM$62))))*T237*IF(ISBLANK(Q237),1,Q237)+IFERROR(_xlfn.XLOOKUP("RECHERCHEX",TRIM(L237:AD237),L237:AD237),0),0))</f>
        <v/>
      </c>
      <c r="AM237" s="6229">
        <f t="shared" si="101"/>
        <v>0</v>
      </c>
      <c r="AN237" s="6857" t="str">
        <f t="shared" si="116"/>
        <v/>
      </c>
      <c r="AO237" s="392">
        <f t="shared" si="102"/>
        <v>0</v>
      </c>
      <c r="AP237" s="392">
        <f t="shared" si="103"/>
        <v>0</v>
      </c>
      <c r="AQ237" s="6191">
        <f t="shared" si="104"/>
        <v>0</v>
      </c>
      <c r="AR237" s="6859" t="str">
        <f t="shared" si="105"/>
        <v/>
      </c>
      <c r="AS237" s="6217"/>
      <c r="AT237" s="6217"/>
      <c r="AU237" s="6272">
        <f t="shared" si="106"/>
        <v>0</v>
      </c>
      <c r="AV237" s="6240">
        <f t="shared" si="107"/>
        <v>0</v>
      </c>
      <c r="AW237" s="6189" cm="1">
        <f t="array" ref="AW237">IF(AK237&lt;&gt;1,0,IF(OR(AU237="",N(AU237)&lt;=0.000000001),"",IF(OR(AO237="",N(AO237)&lt;=0.000000001),0,IF(ISNUMBER(AU237),IFERROR(_xlfn.LET(_xlpm.ai_test,TRIM(AJ237),_xlpm.r,IFERROR(_xlfn.XLOOKUP(_xlpm.ai_test,$BJ$15:$BJ$62,ROW($BJ$15:$BJ$62),0,1),IFERROR(_xlfn.XLOOKUP(_xlpm.ai_test,$BK$15:$BK$62,ROW($BK$15:$BK$62),0,1),_xlfn.XLOOKUP(_xlpm.ai_test,$BL$15:$BL$62,ROW($BL$15:$BL$62),0,1))),_xlpm.p,_xlpm.r-MIN(ROW($BJ$15:$BJ$62))+1,_xlpm.f,INDEX($BM$15:$BM$62,_xlpm.p),_xlpm.u,INDEX($BN$15:$BN$62,_xlpm.p),_xlpm.s,INDEX($BP$15:$BP$62,_xlpm.p),_xlpm.q,N(AU237)/_xlpm.f,IF(_xlpm.q&gt;=_xlpm.s,ROUND(_xlpm.q,1)&amp;" "&amp;_xlpm.ai_test&amp;" = "&amp;ROUND(_xlpm.q*_xlpm.f,1)&amp;" "&amp;_xlpm.u,ROUND(_xlpm.q,1)&amp;" "&amp;_xlpm.ai_test)),""),""))))</f>
        <v>0</v>
      </c>
      <c r="AX237" s="6218"/>
      <c r="AY237" s="6272">
        <f t="shared" si="108"/>
        <v>0</v>
      </c>
      <c r="AZ237" s="6240" t="str">
        <f t="shared" si="109"/>
        <v/>
      </c>
      <c r="BA237" s="6195">
        <f t="shared" si="114"/>
        <v>0</v>
      </c>
      <c r="BB237" s="6193" t="str">
        <f t="shared" si="110"/>
        <v/>
      </c>
      <c r="BC237" s="6219"/>
      <c r="BD237" s="6222">
        <f t="shared" si="115"/>
        <v>0</v>
      </c>
      <c r="BE237" s="6220" t="str">
        <f t="shared" si="111"/>
        <v/>
      </c>
      <c r="BF237" s="4" t="s">
        <v>1</v>
      </c>
      <c r="BG237" s="6196">
        <f t="shared" si="112"/>
        <v>0</v>
      </c>
      <c r="BH237" s="6197">
        <f t="shared" si="113"/>
        <v>0</v>
      </c>
      <c r="BI237"/>
      <c r="BJ237" s="1"/>
      <c r="BK237" s="1"/>
      <c r="BL237" s="1"/>
      <c r="BM237" s="1"/>
      <c r="BN237" s="1"/>
      <c r="BO237" s="1"/>
      <c r="BP237" s="1"/>
      <c r="BQ237" s="1"/>
      <c r="BX237" s="20" t="str">
        <f t="shared" si="94"/>
        <v>►</v>
      </c>
      <c r="CC237"/>
      <c r="CD237" s="2"/>
      <c r="CL237" s="1"/>
      <c r="CT237" s="1"/>
      <c r="DB237" s="1"/>
      <c r="DC237" s="5">
        <v>1</v>
      </c>
    </row>
    <row r="238" spans="1:107" ht="21" customHeight="1">
      <c r="A238" s="5641" t="s">
        <v>1</v>
      </c>
      <c r="B238" s="5662" t="str">
        <f t="shared" si="93"/>
        <v>►</v>
      </c>
      <c r="C238" s="5825" cm="1">
        <f t="array" ref="C238">SUMPRODUCT(LEN(D238:J238))</f>
        <v>0</v>
      </c>
      <c r="D238" s="5275"/>
      <c r="E238" s="1361"/>
      <c r="F238" s="1361"/>
      <c r="G238" s="1361"/>
      <c r="H238" s="1361"/>
      <c r="I238" s="1361"/>
      <c r="J238" s="5276"/>
      <c r="K238" s="106" t="s">
        <v>1</v>
      </c>
      <c r="L238" s="1021" t="s">
        <v>26</v>
      </c>
      <c r="M238" s="6787"/>
      <c r="N238" s="6787"/>
      <c r="O238" s="6787"/>
      <c r="P238" s="6788"/>
      <c r="Q238" s="6789"/>
      <c r="R238" s="6790"/>
      <c r="S238" s="6786"/>
      <c r="T238" s="6791"/>
      <c r="U238" s="6844"/>
      <c r="V238" s="6791"/>
      <c r="W238" s="8487"/>
      <c r="X238" s="6871"/>
      <c r="Y238" s="6793"/>
      <c r="Z238" s="6794"/>
      <c r="AA238" s="6795"/>
      <c r="AB238" s="6796"/>
      <c r="AC238" s="6797"/>
      <c r="AD238" s="6798"/>
      <c r="AE238" s="4" t="s">
        <v>1</v>
      </c>
      <c r="AF238" s="6202" t="str">
        <f t="shared" si="95"/>
        <v>►</v>
      </c>
      <c r="AG238" s="6234" t="str">
        <f t="shared" si="96"/>
        <v/>
      </c>
      <c r="AH238" s="6732" t="str">
        <f t="shared" si="97"/>
        <v/>
      </c>
      <c r="AI238" s="6234" t="str">
        <f t="shared" si="98"/>
        <v/>
      </c>
      <c r="AJ238" s="6732" t="str">
        <f t="shared" si="99"/>
        <v/>
      </c>
      <c r="AK238" s="6732">
        <f t="shared" si="100"/>
        <v>0</v>
      </c>
      <c r="AL238" s="6230" t="str" cm="1">
        <f t="array" ref="AL238">IF(AF238&lt;&gt;"A","",IFERROR((IFERROR(_xlfn.XLOOKUP(TRIM(SUBSTITUTE(U238,CHAR(160)," ")),$BJ$15:$BJ$62,$BM$15:$BM$62),IFERROR(_xlfn.XLOOKUP(TRIM(SUBSTITUTE(U238,CHAR(160)," ")),$BK$15:$BK$62,$BM$15:$BM$62),_xlfn.XLOOKUP(TRIM(SUBSTITUTE(U238,CHAR(160)," ")),$BL$15:$BL$62,$BM$15:$BM$62))))*T238*IF(ISBLANK(Q238),1,Q238)+IFERROR(_xlfn.XLOOKUP("RECHERCHEX",TRIM(L238:AD238),L238:AD238),0),0))</f>
        <v/>
      </c>
      <c r="AM238" s="6229">
        <f t="shared" si="101"/>
        <v>0</v>
      </c>
      <c r="AN238" s="6857" t="str">
        <f t="shared" si="116"/>
        <v/>
      </c>
      <c r="AO238" s="392">
        <f t="shared" si="102"/>
        <v>0</v>
      </c>
      <c r="AP238" s="392">
        <f t="shared" si="103"/>
        <v>0</v>
      </c>
      <c r="AQ238" s="6190">
        <f t="shared" si="104"/>
        <v>0</v>
      </c>
      <c r="AR238" s="6858" t="str">
        <f t="shared" si="105"/>
        <v/>
      </c>
      <c r="AS238" s="6217"/>
      <c r="AT238" s="6217"/>
      <c r="AU238" s="6271">
        <f t="shared" si="106"/>
        <v>0</v>
      </c>
      <c r="AV238" s="6242">
        <f t="shared" si="107"/>
        <v>0</v>
      </c>
      <c r="AW238" s="6188" cm="1">
        <f t="array" ref="AW238">IF(AK238&lt;&gt;1,0,IF(OR(AU238="",N(AU238)&lt;=0.000000001),"",IF(OR(AO238="",N(AO238)&lt;=0.000000001),0,IF(ISNUMBER(AU238),IFERROR(_xlfn.LET(_xlpm.ai_test,TRIM(AJ238),_xlpm.r,IFERROR(_xlfn.XLOOKUP(_xlpm.ai_test,$BJ$15:$BJ$62,ROW($BJ$15:$BJ$62),0,1),IFERROR(_xlfn.XLOOKUP(_xlpm.ai_test,$BK$15:$BK$62,ROW($BK$15:$BK$62),0,1),_xlfn.XLOOKUP(_xlpm.ai_test,$BL$15:$BL$62,ROW($BL$15:$BL$62),0,1))),_xlpm.p,_xlpm.r-MIN(ROW($BJ$15:$BJ$62))+1,_xlpm.f,INDEX($BM$15:$BM$62,_xlpm.p),_xlpm.u,INDEX($BN$15:$BN$62,_xlpm.p),_xlpm.s,INDEX($BP$15:$BP$62,_xlpm.p),_xlpm.q,N(AU238)/_xlpm.f,IF(_xlpm.q&gt;=_xlpm.s,ROUND(_xlpm.q,1)&amp;" "&amp;_xlpm.ai_test&amp;" = "&amp;ROUND(_xlpm.q*_xlpm.f,1)&amp;" "&amp;_xlpm.u,ROUND(_xlpm.q,1)&amp;" "&amp;_xlpm.ai_test)),""),""))))</f>
        <v>0</v>
      </c>
      <c r="AX238" s="6218"/>
      <c r="AY238" s="6271">
        <f t="shared" si="108"/>
        <v>0</v>
      </c>
      <c r="AZ238" s="6242" t="str">
        <f t="shared" si="109"/>
        <v/>
      </c>
      <c r="BA238" s="6194">
        <f t="shared" si="114"/>
        <v>0</v>
      </c>
      <c r="BB238" s="6192" t="str">
        <f t="shared" si="110"/>
        <v/>
      </c>
      <c r="BC238" s="6219"/>
      <c r="BD238" s="6221">
        <f t="shared" si="115"/>
        <v>0</v>
      </c>
      <c r="BE238" s="6220" t="str">
        <f t="shared" si="111"/>
        <v/>
      </c>
      <c r="BF238" s="4" t="s">
        <v>1</v>
      </c>
      <c r="BG238" s="6196">
        <f t="shared" si="112"/>
        <v>0</v>
      </c>
      <c r="BH238" s="6197">
        <f t="shared" si="113"/>
        <v>0</v>
      </c>
      <c r="BI238"/>
      <c r="BJ238" s="1"/>
      <c r="BK238" s="1"/>
      <c r="BL238" s="1"/>
      <c r="BM238" s="1"/>
      <c r="BN238" s="1"/>
      <c r="BO238" s="1"/>
      <c r="BP238" s="1"/>
      <c r="BQ238" s="1"/>
      <c r="BX238" s="20" t="str">
        <f t="shared" si="94"/>
        <v>►</v>
      </c>
      <c r="CC238"/>
      <c r="CD238" s="2"/>
      <c r="CL238" s="1"/>
      <c r="CT238" s="1"/>
      <c r="DB238" s="1"/>
      <c r="DC238" s="5">
        <v>1</v>
      </c>
    </row>
    <row r="239" spans="1:107" ht="21" customHeight="1">
      <c r="A239" s="5641" t="s">
        <v>1</v>
      </c>
      <c r="B239" s="5662" t="str">
        <f t="shared" si="93"/>
        <v>►</v>
      </c>
      <c r="C239" s="5825" cm="1">
        <f t="array" ref="C239">SUMPRODUCT(LEN(D239:J239))</f>
        <v>0</v>
      </c>
      <c r="D239" s="5275"/>
      <c r="E239" s="1361"/>
      <c r="F239" s="1361"/>
      <c r="G239" s="1361"/>
      <c r="H239" s="1361"/>
      <c r="I239" s="1361"/>
      <c r="J239" s="5276"/>
      <c r="K239" s="106" t="s">
        <v>1</v>
      </c>
      <c r="L239" s="1021" t="s">
        <v>26</v>
      </c>
      <c r="M239" s="6787"/>
      <c r="N239" s="6787"/>
      <c r="O239" s="6787"/>
      <c r="P239" s="6788"/>
      <c r="Q239" s="6789"/>
      <c r="R239" s="6790"/>
      <c r="S239" s="6786"/>
      <c r="T239" s="6791"/>
      <c r="U239" s="6844"/>
      <c r="V239" s="6791"/>
      <c r="W239" s="8487"/>
      <c r="X239" s="6871"/>
      <c r="Y239" s="6793"/>
      <c r="Z239" s="6794"/>
      <c r="AA239" s="6795"/>
      <c r="AB239" s="6796"/>
      <c r="AC239" s="6797"/>
      <c r="AD239" s="6798"/>
      <c r="AE239" s="4" t="s">
        <v>1</v>
      </c>
      <c r="AF239" s="6202" t="str">
        <f t="shared" si="95"/>
        <v>►</v>
      </c>
      <c r="AG239" s="6234" t="str">
        <f t="shared" si="96"/>
        <v/>
      </c>
      <c r="AH239" s="6732" t="str">
        <f t="shared" si="97"/>
        <v/>
      </c>
      <c r="AI239" s="6234" t="str">
        <f t="shared" si="98"/>
        <v/>
      </c>
      <c r="AJ239" s="6732" t="str">
        <f t="shared" si="99"/>
        <v/>
      </c>
      <c r="AK239" s="6732">
        <f t="shared" si="100"/>
        <v>0</v>
      </c>
      <c r="AL239" s="6230" t="str" cm="1">
        <f t="array" ref="AL239">IF(AF239&lt;&gt;"A","",IFERROR((IFERROR(_xlfn.XLOOKUP(TRIM(SUBSTITUTE(U239,CHAR(160)," ")),$BJ$15:$BJ$62,$BM$15:$BM$62),IFERROR(_xlfn.XLOOKUP(TRIM(SUBSTITUTE(U239,CHAR(160)," ")),$BK$15:$BK$62,$BM$15:$BM$62),_xlfn.XLOOKUP(TRIM(SUBSTITUTE(U239,CHAR(160)," ")),$BL$15:$BL$62,$BM$15:$BM$62))))*T239*IF(ISBLANK(Q239),1,Q239)+IFERROR(_xlfn.XLOOKUP("RECHERCHEX",TRIM(L239:AD239),L239:AD239),0),0))</f>
        <v/>
      </c>
      <c r="AM239" s="6229">
        <f t="shared" si="101"/>
        <v>0</v>
      </c>
      <c r="AN239" s="6857" t="str">
        <f t="shared" si="116"/>
        <v/>
      </c>
      <c r="AO239" s="392">
        <f t="shared" si="102"/>
        <v>0</v>
      </c>
      <c r="AP239" s="392">
        <f t="shared" si="103"/>
        <v>0</v>
      </c>
      <c r="AQ239" s="6191">
        <f t="shared" si="104"/>
        <v>0</v>
      </c>
      <c r="AR239" s="6859" t="str">
        <f t="shared" si="105"/>
        <v/>
      </c>
      <c r="AS239" s="6217"/>
      <c r="AT239" s="6217"/>
      <c r="AU239" s="6272">
        <f t="shared" si="106"/>
        <v>0</v>
      </c>
      <c r="AV239" s="6240">
        <f t="shared" si="107"/>
        <v>0</v>
      </c>
      <c r="AW239" s="6189" cm="1">
        <f t="array" ref="AW239">IF(AK239&lt;&gt;1,0,IF(OR(AU239="",N(AU239)&lt;=0.000000001),"",IF(OR(AO239="",N(AO239)&lt;=0.000000001),0,IF(ISNUMBER(AU239),IFERROR(_xlfn.LET(_xlpm.ai_test,TRIM(AJ239),_xlpm.r,IFERROR(_xlfn.XLOOKUP(_xlpm.ai_test,$BJ$15:$BJ$62,ROW($BJ$15:$BJ$62),0,1),IFERROR(_xlfn.XLOOKUP(_xlpm.ai_test,$BK$15:$BK$62,ROW($BK$15:$BK$62),0,1),_xlfn.XLOOKUP(_xlpm.ai_test,$BL$15:$BL$62,ROW($BL$15:$BL$62),0,1))),_xlpm.p,_xlpm.r-MIN(ROW($BJ$15:$BJ$62))+1,_xlpm.f,INDEX($BM$15:$BM$62,_xlpm.p),_xlpm.u,INDEX($BN$15:$BN$62,_xlpm.p),_xlpm.s,INDEX($BP$15:$BP$62,_xlpm.p),_xlpm.q,N(AU239)/_xlpm.f,IF(_xlpm.q&gt;=_xlpm.s,ROUND(_xlpm.q,1)&amp;" "&amp;_xlpm.ai_test&amp;" = "&amp;ROUND(_xlpm.q*_xlpm.f,1)&amp;" "&amp;_xlpm.u,ROUND(_xlpm.q,1)&amp;" "&amp;_xlpm.ai_test)),""),""))))</f>
        <v>0</v>
      </c>
      <c r="AX239" s="6218"/>
      <c r="AY239" s="6272">
        <f t="shared" si="108"/>
        <v>0</v>
      </c>
      <c r="AZ239" s="6240" t="str">
        <f t="shared" si="109"/>
        <v/>
      </c>
      <c r="BA239" s="6195">
        <f t="shared" si="114"/>
        <v>0</v>
      </c>
      <c r="BB239" s="6193" t="str">
        <f t="shared" si="110"/>
        <v/>
      </c>
      <c r="BC239" s="6219"/>
      <c r="BD239" s="6222">
        <f t="shared" si="115"/>
        <v>0</v>
      </c>
      <c r="BE239" s="6220" t="str">
        <f t="shared" si="111"/>
        <v/>
      </c>
      <c r="BF239" s="4" t="s">
        <v>1</v>
      </c>
      <c r="BG239" s="6196">
        <f t="shared" si="112"/>
        <v>0</v>
      </c>
      <c r="BH239" s="6197">
        <f t="shared" si="113"/>
        <v>0</v>
      </c>
      <c r="BI239"/>
      <c r="BJ239" s="1"/>
      <c r="BK239" s="1"/>
      <c r="BL239" s="1"/>
      <c r="BM239" s="1"/>
      <c r="BN239" s="1"/>
      <c r="BO239" s="1"/>
      <c r="BP239" s="1"/>
      <c r="BQ239" s="1"/>
      <c r="BX239" s="20" t="str">
        <f t="shared" si="94"/>
        <v>►</v>
      </c>
      <c r="CC239"/>
      <c r="CD239" s="2"/>
      <c r="CL239" s="1"/>
      <c r="CT239" s="1"/>
      <c r="DB239" s="1"/>
      <c r="DC239" s="5">
        <v>1</v>
      </c>
    </row>
    <row r="240" spans="1:107" ht="21" customHeight="1">
      <c r="A240" s="5641" t="s">
        <v>1</v>
      </c>
      <c r="B240" s="5662" t="str">
        <f t="shared" si="93"/>
        <v>►</v>
      </c>
      <c r="C240" s="5825" cm="1">
        <f t="array" ref="C240">SUMPRODUCT(LEN(D240:J240))</f>
        <v>0</v>
      </c>
      <c r="D240" s="5275"/>
      <c r="E240" s="1361"/>
      <c r="F240" s="1361"/>
      <c r="G240" s="1361"/>
      <c r="H240" s="1361"/>
      <c r="I240" s="1361"/>
      <c r="J240" s="5276"/>
      <c r="K240" s="106"/>
      <c r="L240" s="1021" t="s">
        <v>26</v>
      </c>
      <c r="M240" s="6787"/>
      <c r="N240" s="6787"/>
      <c r="O240" s="6787"/>
      <c r="P240" s="6788"/>
      <c r="Q240" s="6789"/>
      <c r="R240" s="6790"/>
      <c r="S240" s="6786"/>
      <c r="T240" s="6791"/>
      <c r="U240" s="6844"/>
      <c r="V240" s="6791"/>
      <c r="W240" s="8487"/>
      <c r="X240" s="6871"/>
      <c r="Y240" s="6793"/>
      <c r="Z240" s="6794"/>
      <c r="AA240" s="6795"/>
      <c r="AB240" s="6796"/>
      <c r="AC240" s="6797"/>
      <c r="AD240" s="6798"/>
      <c r="AE240" s="4" t="s">
        <v>1</v>
      </c>
      <c r="AF240" s="6202" t="str">
        <f t="shared" si="95"/>
        <v>►</v>
      </c>
      <c r="AG240" s="6234" t="str">
        <f t="shared" si="96"/>
        <v/>
      </c>
      <c r="AH240" s="6732" t="str">
        <f t="shared" si="97"/>
        <v/>
      </c>
      <c r="AI240" s="6234" t="str">
        <f t="shared" si="98"/>
        <v/>
      </c>
      <c r="AJ240" s="6732" t="str">
        <f t="shared" si="99"/>
        <v/>
      </c>
      <c r="AK240" s="6732">
        <f t="shared" si="100"/>
        <v>0</v>
      </c>
      <c r="AL240" s="6230" t="str" cm="1">
        <f t="array" ref="AL240">IF(AF240&lt;&gt;"A","",IFERROR((IFERROR(_xlfn.XLOOKUP(TRIM(SUBSTITUTE(U240,CHAR(160)," ")),$BJ$15:$BJ$62,$BM$15:$BM$62),IFERROR(_xlfn.XLOOKUP(TRIM(SUBSTITUTE(U240,CHAR(160)," ")),$BK$15:$BK$62,$BM$15:$BM$62),_xlfn.XLOOKUP(TRIM(SUBSTITUTE(U240,CHAR(160)," ")),$BL$15:$BL$62,$BM$15:$BM$62))))*T240*IF(ISBLANK(Q240),1,Q240)+IFERROR(_xlfn.XLOOKUP("RECHERCHEX",TRIM(L240:AD240),L240:AD240),0),0))</f>
        <v/>
      </c>
      <c r="AM240" s="6229">
        <f t="shared" si="101"/>
        <v>0</v>
      </c>
      <c r="AN240" s="6857" t="str">
        <f t="shared" si="116"/>
        <v/>
      </c>
      <c r="AO240" s="392">
        <f t="shared" si="102"/>
        <v>0</v>
      </c>
      <c r="AP240" s="392">
        <f t="shared" si="103"/>
        <v>0</v>
      </c>
      <c r="AQ240" s="6190">
        <f t="shared" si="104"/>
        <v>0</v>
      </c>
      <c r="AR240" s="6858" t="str">
        <f t="shared" si="105"/>
        <v/>
      </c>
      <c r="AS240" s="6217"/>
      <c r="AT240" s="6217"/>
      <c r="AU240" s="6271">
        <f t="shared" si="106"/>
        <v>0</v>
      </c>
      <c r="AV240" s="6242">
        <f t="shared" si="107"/>
        <v>0</v>
      </c>
      <c r="AW240" s="6188" cm="1">
        <f t="array" ref="AW240">IF(AK240&lt;&gt;1,0,IF(OR(AU240="",N(AU240)&lt;=0.000000001),"",IF(OR(AO240="",N(AO240)&lt;=0.000000001),0,IF(ISNUMBER(AU240),IFERROR(_xlfn.LET(_xlpm.ai_test,TRIM(AJ240),_xlpm.r,IFERROR(_xlfn.XLOOKUP(_xlpm.ai_test,$BJ$15:$BJ$62,ROW($BJ$15:$BJ$62),0,1),IFERROR(_xlfn.XLOOKUP(_xlpm.ai_test,$BK$15:$BK$62,ROW($BK$15:$BK$62),0,1),_xlfn.XLOOKUP(_xlpm.ai_test,$BL$15:$BL$62,ROW($BL$15:$BL$62),0,1))),_xlpm.p,_xlpm.r-MIN(ROW($BJ$15:$BJ$62))+1,_xlpm.f,INDEX($BM$15:$BM$62,_xlpm.p),_xlpm.u,INDEX($BN$15:$BN$62,_xlpm.p),_xlpm.s,INDEX($BP$15:$BP$62,_xlpm.p),_xlpm.q,N(AU240)/_xlpm.f,IF(_xlpm.q&gt;=_xlpm.s,ROUND(_xlpm.q,1)&amp;" "&amp;_xlpm.ai_test&amp;" = "&amp;ROUND(_xlpm.q*_xlpm.f,1)&amp;" "&amp;_xlpm.u,ROUND(_xlpm.q,1)&amp;" "&amp;_xlpm.ai_test)),""),""))))</f>
        <v>0</v>
      </c>
      <c r="AX240" s="6218"/>
      <c r="AY240" s="6271">
        <f t="shared" si="108"/>
        <v>0</v>
      </c>
      <c r="AZ240" s="6242" t="str">
        <f t="shared" si="109"/>
        <v/>
      </c>
      <c r="BA240" s="6194">
        <f t="shared" si="114"/>
        <v>0</v>
      </c>
      <c r="BB240" s="6192" t="str">
        <f t="shared" si="110"/>
        <v/>
      </c>
      <c r="BC240" s="6219"/>
      <c r="BD240" s="6221">
        <f t="shared" si="115"/>
        <v>0</v>
      </c>
      <c r="BE240" s="6220" t="str">
        <f t="shared" si="111"/>
        <v/>
      </c>
      <c r="BF240" s="4" t="s">
        <v>1</v>
      </c>
      <c r="BG240" s="6196">
        <f t="shared" si="112"/>
        <v>0</v>
      </c>
      <c r="BH240" s="6197">
        <f t="shared" si="113"/>
        <v>0</v>
      </c>
      <c r="BI240"/>
      <c r="BJ240" s="1"/>
      <c r="BK240" s="1"/>
      <c r="BL240" s="1"/>
      <c r="BM240" s="1"/>
      <c r="BN240" s="1"/>
      <c r="BO240" s="1"/>
      <c r="BP240" s="1"/>
      <c r="BQ240" s="1"/>
      <c r="BX240" s="20" t="str">
        <f t="shared" si="94"/>
        <v>►</v>
      </c>
      <c r="CC240"/>
      <c r="CD240" s="2"/>
      <c r="CL240" s="1"/>
      <c r="CT240" s="1"/>
      <c r="DB240" s="1"/>
      <c r="DC240" s="5">
        <v>1</v>
      </c>
    </row>
    <row r="241" spans="1:107" ht="21" customHeight="1">
      <c r="A241" s="5641" t="s">
        <v>1</v>
      </c>
      <c r="B241" s="5662" t="str">
        <f t="shared" si="93"/>
        <v>►</v>
      </c>
      <c r="C241" s="5825" cm="1">
        <f t="array" ref="C241">SUMPRODUCT(LEN(D241:J241))</f>
        <v>0</v>
      </c>
      <c r="D241" s="5275"/>
      <c r="E241" s="1361"/>
      <c r="F241" s="1361"/>
      <c r="G241" s="1361"/>
      <c r="H241" s="1361"/>
      <c r="I241" s="1361"/>
      <c r="J241" s="5276"/>
      <c r="K241" s="106"/>
      <c r="L241" s="1021" t="s">
        <v>26</v>
      </c>
      <c r="M241" s="6787"/>
      <c r="N241" s="6787"/>
      <c r="O241" s="6787"/>
      <c r="P241" s="6788"/>
      <c r="Q241" s="6789"/>
      <c r="R241" s="6790"/>
      <c r="S241" s="6786"/>
      <c r="T241" s="6791"/>
      <c r="U241" s="6844"/>
      <c r="V241" s="6791"/>
      <c r="W241" s="8487"/>
      <c r="X241" s="6871"/>
      <c r="Y241" s="6793"/>
      <c r="Z241" s="6794"/>
      <c r="AA241" s="6795"/>
      <c r="AB241" s="6796"/>
      <c r="AC241" s="6797"/>
      <c r="AD241" s="6798"/>
      <c r="AE241" s="4" t="s">
        <v>1</v>
      </c>
      <c r="AF241" s="6202" t="str">
        <f t="shared" si="95"/>
        <v>►</v>
      </c>
      <c r="AG241" s="6234" t="str">
        <f t="shared" si="96"/>
        <v/>
      </c>
      <c r="AH241" s="6732" t="str">
        <f t="shared" si="97"/>
        <v/>
      </c>
      <c r="AI241" s="6234" t="str">
        <f t="shared" si="98"/>
        <v/>
      </c>
      <c r="AJ241" s="6732" t="str">
        <f t="shared" si="99"/>
        <v/>
      </c>
      <c r="AK241" s="6732">
        <f t="shared" si="100"/>
        <v>0</v>
      </c>
      <c r="AL241" s="6230" t="str" cm="1">
        <f t="array" ref="AL241">IF(AF241&lt;&gt;"A","",IFERROR((IFERROR(_xlfn.XLOOKUP(TRIM(SUBSTITUTE(U241,CHAR(160)," ")),$BJ$15:$BJ$62,$BM$15:$BM$62),IFERROR(_xlfn.XLOOKUP(TRIM(SUBSTITUTE(U241,CHAR(160)," ")),$BK$15:$BK$62,$BM$15:$BM$62),_xlfn.XLOOKUP(TRIM(SUBSTITUTE(U241,CHAR(160)," ")),$BL$15:$BL$62,$BM$15:$BM$62))))*T241*IF(ISBLANK(Q241),1,Q241)+IFERROR(_xlfn.XLOOKUP("RECHERCHEX",TRIM(L241:AD241),L241:AD241),0),0))</f>
        <v/>
      </c>
      <c r="AM241" s="6229">
        <f t="shared" si="101"/>
        <v>0</v>
      </c>
      <c r="AN241" s="6857" t="str">
        <f t="shared" si="116"/>
        <v/>
      </c>
      <c r="AO241" s="392">
        <f t="shared" si="102"/>
        <v>0</v>
      </c>
      <c r="AP241" s="392">
        <f t="shared" si="103"/>
        <v>0</v>
      </c>
      <c r="AQ241" s="6191">
        <f t="shared" si="104"/>
        <v>0</v>
      </c>
      <c r="AR241" s="6859" t="str">
        <f t="shared" si="105"/>
        <v/>
      </c>
      <c r="AS241" s="6217"/>
      <c r="AT241" s="6217"/>
      <c r="AU241" s="6272">
        <f t="shared" si="106"/>
        <v>0</v>
      </c>
      <c r="AV241" s="6240">
        <f t="shared" si="107"/>
        <v>0</v>
      </c>
      <c r="AW241" s="6189" cm="1">
        <f t="array" ref="AW241">IF(AK241&lt;&gt;1,0,IF(OR(AU241="",N(AU241)&lt;=0.000000001),"",IF(OR(AO241="",N(AO241)&lt;=0.000000001),0,IF(ISNUMBER(AU241),IFERROR(_xlfn.LET(_xlpm.ai_test,TRIM(AJ241),_xlpm.r,IFERROR(_xlfn.XLOOKUP(_xlpm.ai_test,$BJ$15:$BJ$62,ROW($BJ$15:$BJ$62),0,1),IFERROR(_xlfn.XLOOKUP(_xlpm.ai_test,$BK$15:$BK$62,ROW($BK$15:$BK$62),0,1),_xlfn.XLOOKUP(_xlpm.ai_test,$BL$15:$BL$62,ROW($BL$15:$BL$62),0,1))),_xlpm.p,_xlpm.r-MIN(ROW($BJ$15:$BJ$62))+1,_xlpm.f,INDEX($BM$15:$BM$62,_xlpm.p),_xlpm.u,INDEX($BN$15:$BN$62,_xlpm.p),_xlpm.s,INDEX($BP$15:$BP$62,_xlpm.p),_xlpm.q,N(AU241)/_xlpm.f,IF(_xlpm.q&gt;=_xlpm.s,ROUND(_xlpm.q,1)&amp;" "&amp;_xlpm.ai_test&amp;" = "&amp;ROUND(_xlpm.q*_xlpm.f,1)&amp;" "&amp;_xlpm.u,ROUND(_xlpm.q,1)&amp;" "&amp;_xlpm.ai_test)),""),""))))</f>
        <v>0</v>
      </c>
      <c r="AX241" s="6218"/>
      <c r="AY241" s="6272">
        <f t="shared" si="108"/>
        <v>0</v>
      </c>
      <c r="AZ241" s="6240" t="str">
        <f t="shared" si="109"/>
        <v/>
      </c>
      <c r="BA241" s="6195">
        <f t="shared" si="114"/>
        <v>0</v>
      </c>
      <c r="BB241" s="6193" t="str">
        <f t="shared" si="110"/>
        <v/>
      </c>
      <c r="BC241" s="6219"/>
      <c r="BD241" s="6222">
        <f t="shared" si="115"/>
        <v>0</v>
      </c>
      <c r="BE241" s="6220" t="str">
        <f t="shared" si="111"/>
        <v/>
      </c>
      <c r="BF241" s="4" t="s">
        <v>1</v>
      </c>
      <c r="BG241" s="6196">
        <f t="shared" si="112"/>
        <v>0</v>
      </c>
      <c r="BH241" s="6197">
        <f t="shared" si="113"/>
        <v>0</v>
      </c>
      <c r="BI241"/>
      <c r="BJ241" s="1"/>
      <c r="BK241" s="1"/>
      <c r="BL241" s="1"/>
      <c r="BM241" s="1"/>
      <c r="BN241" s="1"/>
      <c r="BO241" s="1"/>
      <c r="BP241" s="1"/>
      <c r="BQ241" s="1"/>
      <c r="BX241" s="20" t="str">
        <f t="shared" si="94"/>
        <v>►</v>
      </c>
      <c r="CC241"/>
      <c r="CD241" s="2"/>
      <c r="CL241" s="1"/>
      <c r="CT241" s="1"/>
      <c r="DB241" s="1"/>
      <c r="DC241" s="5">
        <v>1</v>
      </c>
    </row>
    <row r="242" spans="1:107" ht="21" customHeight="1">
      <c r="A242" s="5641" t="s">
        <v>1</v>
      </c>
      <c r="B242" s="5662" t="str">
        <f t="shared" si="93"/>
        <v>►</v>
      </c>
      <c r="C242" s="5825" cm="1">
        <f t="array" ref="C242">SUMPRODUCT(LEN(D242:J242))</f>
        <v>0</v>
      </c>
      <c r="D242" s="5275"/>
      <c r="E242" s="1361"/>
      <c r="F242" s="1361"/>
      <c r="G242" s="1361"/>
      <c r="H242" s="1361"/>
      <c r="I242" s="1361"/>
      <c r="J242" s="5276"/>
      <c r="K242" s="106"/>
      <c r="L242" s="1021" t="s">
        <v>26</v>
      </c>
      <c r="M242" s="6787"/>
      <c r="N242" s="6787"/>
      <c r="O242" s="6787"/>
      <c r="P242" s="6788"/>
      <c r="Q242" s="6789"/>
      <c r="R242" s="6790"/>
      <c r="S242" s="6786"/>
      <c r="T242" s="6791"/>
      <c r="U242" s="6844"/>
      <c r="V242" s="6791"/>
      <c r="W242" s="8487"/>
      <c r="X242" s="6871"/>
      <c r="Y242" s="6793"/>
      <c r="Z242" s="6794"/>
      <c r="AA242" s="6795"/>
      <c r="AB242" s="6796"/>
      <c r="AC242" s="6797"/>
      <c r="AD242" s="6798"/>
      <c r="AE242" s="4" t="s">
        <v>1</v>
      </c>
      <c r="AF242" s="6202" t="str">
        <f t="shared" si="95"/>
        <v>►</v>
      </c>
      <c r="AG242" s="6234" t="str">
        <f t="shared" si="96"/>
        <v/>
      </c>
      <c r="AH242" s="6732" t="str">
        <f t="shared" si="97"/>
        <v/>
      </c>
      <c r="AI242" s="6234" t="str">
        <f t="shared" si="98"/>
        <v/>
      </c>
      <c r="AJ242" s="6732" t="str">
        <f t="shared" si="99"/>
        <v/>
      </c>
      <c r="AK242" s="6732">
        <f t="shared" si="100"/>
        <v>0</v>
      </c>
      <c r="AL242" s="6230" t="str" cm="1">
        <f t="array" ref="AL242">IF(AF242&lt;&gt;"A","",IFERROR((IFERROR(_xlfn.XLOOKUP(TRIM(SUBSTITUTE(U242,CHAR(160)," ")),$BJ$15:$BJ$62,$BM$15:$BM$62),IFERROR(_xlfn.XLOOKUP(TRIM(SUBSTITUTE(U242,CHAR(160)," ")),$BK$15:$BK$62,$BM$15:$BM$62),_xlfn.XLOOKUP(TRIM(SUBSTITUTE(U242,CHAR(160)," ")),$BL$15:$BL$62,$BM$15:$BM$62))))*T242*IF(ISBLANK(Q242),1,Q242)+IFERROR(_xlfn.XLOOKUP("RECHERCHEX",TRIM(L242:AD242),L242:AD242),0),0))</f>
        <v/>
      </c>
      <c r="AM242" s="6229">
        <f t="shared" si="101"/>
        <v>0</v>
      </c>
      <c r="AN242" s="6857" t="str">
        <f t="shared" si="116"/>
        <v/>
      </c>
      <c r="AO242" s="392">
        <f t="shared" si="102"/>
        <v>0</v>
      </c>
      <c r="AP242" s="392">
        <f t="shared" si="103"/>
        <v>0</v>
      </c>
      <c r="AQ242" s="6190">
        <f t="shared" si="104"/>
        <v>0</v>
      </c>
      <c r="AR242" s="6858" t="str">
        <f t="shared" si="105"/>
        <v/>
      </c>
      <c r="AS242" s="6217"/>
      <c r="AT242" s="6217"/>
      <c r="AU242" s="6271">
        <f t="shared" si="106"/>
        <v>0</v>
      </c>
      <c r="AV242" s="6242">
        <f t="shared" si="107"/>
        <v>0</v>
      </c>
      <c r="AW242" s="6188" cm="1">
        <f t="array" ref="AW242">IF(AK242&lt;&gt;1,0,IF(OR(AU242="",N(AU242)&lt;=0.000000001),"",IF(OR(AO242="",N(AO242)&lt;=0.000000001),0,IF(ISNUMBER(AU242),IFERROR(_xlfn.LET(_xlpm.ai_test,TRIM(AJ242),_xlpm.r,IFERROR(_xlfn.XLOOKUP(_xlpm.ai_test,$BJ$15:$BJ$62,ROW($BJ$15:$BJ$62),0,1),IFERROR(_xlfn.XLOOKUP(_xlpm.ai_test,$BK$15:$BK$62,ROW($BK$15:$BK$62),0,1),_xlfn.XLOOKUP(_xlpm.ai_test,$BL$15:$BL$62,ROW($BL$15:$BL$62),0,1))),_xlpm.p,_xlpm.r-MIN(ROW($BJ$15:$BJ$62))+1,_xlpm.f,INDEX($BM$15:$BM$62,_xlpm.p),_xlpm.u,INDEX($BN$15:$BN$62,_xlpm.p),_xlpm.s,INDEX($BP$15:$BP$62,_xlpm.p),_xlpm.q,N(AU242)/_xlpm.f,IF(_xlpm.q&gt;=_xlpm.s,ROUND(_xlpm.q,1)&amp;" "&amp;_xlpm.ai_test&amp;" = "&amp;ROUND(_xlpm.q*_xlpm.f,1)&amp;" "&amp;_xlpm.u,ROUND(_xlpm.q,1)&amp;" "&amp;_xlpm.ai_test)),""),""))))</f>
        <v>0</v>
      </c>
      <c r="AX242" s="6218"/>
      <c r="AY242" s="6271">
        <f t="shared" si="108"/>
        <v>0</v>
      </c>
      <c r="AZ242" s="6242" t="str">
        <f t="shared" si="109"/>
        <v/>
      </c>
      <c r="BA242" s="6194">
        <f t="shared" si="114"/>
        <v>0</v>
      </c>
      <c r="BB242" s="6192" t="str">
        <f t="shared" si="110"/>
        <v/>
      </c>
      <c r="BC242" s="6219"/>
      <c r="BD242" s="6221">
        <f t="shared" si="115"/>
        <v>0</v>
      </c>
      <c r="BE242" s="6220" t="str">
        <f t="shared" si="111"/>
        <v/>
      </c>
      <c r="BF242" s="4" t="s">
        <v>1</v>
      </c>
      <c r="BG242" s="6196">
        <f t="shared" si="112"/>
        <v>0</v>
      </c>
      <c r="BH242" s="6197">
        <f t="shared" si="113"/>
        <v>0</v>
      </c>
      <c r="BI242"/>
      <c r="BJ242" s="1"/>
      <c r="BK242" s="1"/>
      <c r="BL242" s="1"/>
      <c r="BM242" s="1"/>
      <c r="BN242" s="1"/>
      <c r="BO242" s="1"/>
      <c r="BP242" s="1"/>
      <c r="BQ242" s="1"/>
      <c r="BX242" s="20" t="str">
        <f t="shared" si="94"/>
        <v>►</v>
      </c>
      <c r="CC242"/>
      <c r="CD242" s="2"/>
      <c r="CL242" s="1"/>
      <c r="CT242" s="1"/>
      <c r="DB242" s="1"/>
      <c r="DC242" s="5">
        <v>1</v>
      </c>
    </row>
    <row r="243" spans="1:107" ht="21" customHeight="1">
      <c r="A243" s="5641" t="s">
        <v>1</v>
      </c>
      <c r="B243" s="5662" t="str">
        <f t="shared" si="93"/>
        <v>►</v>
      </c>
      <c r="C243" s="5825" cm="1">
        <f t="array" ref="C243">SUMPRODUCT(LEN(D243:J243))</f>
        <v>0</v>
      </c>
      <c r="D243" s="5275"/>
      <c r="E243" s="1361"/>
      <c r="F243" s="1361"/>
      <c r="G243" s="1361"/>
      <c r="H243" s="1361"/>
      <c r="I243" s="1361"/>
      <c r="J243" s="5276"/>
      <c r="K243" s="106"/>
      <c r="L243" s="1021" t="s">
        <v>26</v>
      </c>
      <c r="M243" s="6787"/>
      <c r="N243" s="6787"/>
      <c r="O243" s="6787"/>
      <c r="P243" s="6788"/>
      <c r="Q243" s="6789"/>
      <c r="R243" s="6790"/>
      <c r="S243" s="6786"/>
      <c r="T243" s="6791"/>
      <c r="U243" s="6844"/>
      <c r="V243" s="6791"/>
      <c r="W243" s="8487"/>
      <c r="X243" s="6871"/>
      <c r="Y243" s="6793"/>
      <c r="Z243" s="6794"/>
      <c r="AA243" s="6795"/>
      <c r="AB243" s="6796"/>
      <c r="AC243" s="6797"/>
      <c r="AD243" s="6798"/>
      <c r="AE243" s="4" t="s">
        <v>1</v>
      </c>
      <c r="AF243" s="6202" t="str">
        <f t="shared" si="95"/>
        <v>►</v>
      </c>
      <c r="AG243" s="6234" t="str">
        <f t="shared" si="96"/>
        <v/>
      </c>
      <c r="AH243" s="6732" t="str">
        <f t="shared" si="97"/>
        <v/>
      </c>
      <c r="AI243" s="6234" t="str">
        <f t="shared" si="98"/>
        <v/>
      </c>
      <c r="AJ243" s="6732" t="str">
        <f t="shared" si="99"/>
        <v/>
      </c>
      <c r="AK243" s="6732">
        <f t="shared" si="100"/>
        <v>0</v>
      </c>
      <c r="AL243" s="6230" t="str" cm="1">
        <f t="array" ref="AL243">IF(AF243&lt;&gt;"A","",IFERROR((IFERROR(_xlfn.XLOOKUP(TRIM(SUBSTITUTE(U243,CHAR(160)," ")),$BJ$15:$BJ$62,$BM$15:$BM$62),IFERROR(_xlfn.XLOOKUP(TRIM(SUBSTITUTE(U243,CHAR(160)," ")),$BK$15:$BK$62,$BM$15:$BM$62),_xlfn.XLOOKUP(TRIM(SUBSTITUTE(U243,CHAR(160)," ")),$BL$15:$BL$62,$BM$15:$BM$62))))*T243*IF(ISBLANK(Q243),1,Q243)+IFERROR(_xlfn.XLOOKUP("RECHERCHEX",TRIM(L243:AD243),L243:AD243),0),0))</f>
        <v/>
      </c>
      <c r="AM243" s="6229">
        <f t="shared" si="101"/>
        <v>0</v>
      </c>
      <c r="AN243" s="6857" t="str">
        <f t="shared" si="116"/>
        <v/>
      </c>
      <c r="AO243" s="392">
        <f t="shared" si="102"/>
        <v>0</v>
      </c>
      <c r="AP243" s="392">
        <f t="shared" si="103"/>
        <v>0</v>
      </c>
      <c r="AQ243" s="6191">
        <f t="shared" si="104"/>
        <v>0</v>
      </c>
      <c r="AR243" s="6859" t="str">
        <f t="shared" si="105"/>
        <v/>
      </c>
      <c r="AS243" s="6217"/>
      <c r="AT243" s="6217"/>
      <c r="AU243" s="6272">
        <f t="shared" si="106"/>
        <v>0</v>
      </c>
      <c r="AV243" s="6240">
        <f t="shared" si="107"/>
        <v>0</v>
      </c>
      <c r="AW243" s="6189" cm="1">
        <f t="array" ref="AW243">IF(AK243&lt;&gt;1,0,IF(OR(AU243="",N(AU243)&lt;=0.000000001),"",IF(OR(AO243="",N(AO243)&lt;=0.000000001),0,IF(ISNUMBER(AU243),IFERROR(_xlfn.LET(_xlpm.ai_test,TRIM(AJ243),_xlpm.r,IFERROR(_xlfn.XLOOKUP(_xlpm.ai_test,$BJ$15:$BJ$62,ROW($BJ$15:$BJ$62),0,1),IFERROR(_xlfn.XLOOKUP(_xlpm.ai_test,$BK$15:$BK$62,ROW($BK$15:$BK$62),0,1),_xlfn.XLOOKUP(_xlpm.ai_test,$BL$15:$BL$62,ROW($BL$15:$BL$62),0,1))),_xlpm.p,_xlpm.r-MIN(ROW($BJ$15:$BJ$62))+1,_xlpm.f,INDEX($BM$15:$BM$62,_xlpm.p),_xlpm.u,INDEX($BN$15:$BN$62,_xlpm.p),_xlpm.s,INDEX($BP$15:$BP$62,_xlpm.p),_xlpm.q,N(AU243)/_xlpm.f,IF(_xlpm.q&gt;=_xlpm.s,ROUND(_xlpm.q,1)&amp;" "&amp;_xlpm.ai_test&amp;" = "&amp;ROUND(_xlpm.q*_xlpm.f,1)&amp;" "&amp;_xlpm.u,ROUND(_xlpm.q,1)&amp;" "&amp;_xlpm.ai_test)),""),""))))</f>
        <v>0</v>
      </c>
      <c r="AX243" s="6218"/>
      <c r="AY243" s="6272">
        <f t="shared" si="108"/>
        <v>0</v>
      </c>
      <c r="AZ243" s="6240" t="str">
        <f t="shared" si="109"/>
        <v/>
      </c>
      <c r="BA243" s="6195">
        <f t="shared" si="114"/>
        <v>0</v>
      </c>
      <c r="BB243" s="6193" t="str">
        <f t="shared" si="110"/>
        <v/>
      </c>
      <c r="BC243" s="6219"/>
      <c r="BD243" s="6222">
        <f t="shared" si="115"/>
        <v>0</v>
      </c>
      <c r="BE243" s="6220" t="str">
        <f t="shared" si="111"/>
        <v/>
      </c>
      <c r="BF243" s="4" t="s">
        <v>1</v>
      </c>
      <c r="BG243" s="6196">
        <f t="shared" si="112"/>
        <v>0</v>
      </c>
      <c r="BH243" s="6197">
        <f t="shared" si="113"/>
        <v>0</v>
      </c>
      <c r="BI243"/>
      <c r="BJ243" s="1"/>
      <c r="BK243" s="1"/>
      <c r="BL243" s="1"/>
      <c r="BM243" s="1"/>
      <c r="BN243" s="1"/>
      <c r="BO243" s="1"/>
      <c r="BP243" s="1"/>
      <c r="BQ243" s="1"/>
      <c r="BX243" s="20" t="str">
        <f t="shared" si="94"/>
        <v>►</v>
      </c>
      <c r="CC243"/>
      <c r="CD243" s="2"/>
      <c r="CL243" s="1"/>
      <c r="CT243" s="1"/>
      <c r="DB243" s="1"/>
      <c r="DC243" s="5">
        <v>1</v>
      </c>
    </row>
    <row r="244" spans="1:107" ht="21" customHeight="1">
      <c r="A244" s="5641" t="s">
        <v>1</v>
      </c>
      <c r="B244" s="5662" t="str">
        <f t="shared" si="93"/>
        <v>►</v>
      </c>
      <c r="C244" s="5825" cm="1">
        <f t="array" ref="C244">SUMPRODUCT(LEN(D244:J244))</f>
        <v>0</v>
      </c>
      <c r="D244" s="5275"/>
      <c r="E244" s="1361"/>
      <c r="F244" s="1361"/>
      <c r="G244" s="1361"/>
      <c r="H244" s="1361"/>
      <c r="I244" s="1361"/>
      <c r="J244" s="5276"/>
      <c r="K244" s="106"/>
      <c r="L244" s="1021" t="s">
        <v>26</v>
      </c>
      <c r="M244" s="6787"/>
      <c r="N244" s="6787"/>
      <c r="O244" s="6787"/>
      <c r="P244" s="6788"/>
      <c r="Q244" s="6789"/>
      <c r="R244" s="6790"/>
      <c r="S244" s="6786"/>
      <c r="T244" s="6791"/>
      <c r="U244" s="6844"/>
      <c r="V244" s="6791"/>
      <c r="W244" s="8487"/>
      <c r="X244" s="6871"/>
      <c r="Y244" s="6793"/>
      <c r="Z244" s="6794"/>
      <c r="AA244" s="6795"/>
      <c r="AB244" s="6796"/>
      <c r="AC244" s="6797"/>
      <c r="AD244" s="6798"/>
      <c r="AE244" s="4" t="s">
        <v>1</v>
      </c>
      <c r="AF244" s="6202" t="str">
        <f t="shared" si="95"/>
        <v>►</v>
      </c>
      <c r="AG244" s="6234" t="str">
        <f t="shared" si="96"/>
        <v/>
      </c>
      <c r="AH244" s="6732" t="str">
        <f t="shared" si="97"/>
        <v/>
      </c>
      <c r="AI244" s="6234" t="str">
        <f t="shared" si="98"/>
        <v/>
      </c>
      <c r="AJ244" s="6732" t="str">
        <f t="shared" si="99"/>
        <v/>
      </c>
      <c r="AK244" s="6732">
        <f t="shared" si="100"/>
        <v>0</v>
      </c>
      <c r="AL244" s="6230" t="str" cm="1">
        <f t="array" ref="AL244">IF(AF244&lt;&gt;"A","",IFERROR((IFERROR(_xlfn.XLOOKUP(TRIM(SUBSTITUTE(U244,CHAR(160)," ")),$BJ$15:$BJ$62,$BM$15:$BM$62),IFERROR(_xlfn.XLOOKUP(TRIM(SUBSTITUTE(U244,CHAR(160)," ")),$BK$15:$BK$62,$BM$15:$BM$62),_xlfn.XLOOKUP(TRIM(SUBSTITUTE(U244,CHAR(160)," ")),$BL$15:$BL$62,$BM$15:$BM$62))))*T244*IF(ISBLANK(Q244),1,Q244)+IFERROR(_xlfn.XLOOKUP("RECHERCHEX",TRIM(L244:AD244),L244:AD244),0),0))</f>
        <v/>
      </c>
      <c r="AM244" s="6229">
        <f t="shared" si="101"/>
        <v>0</v>
      </c>
      <c r="AN244" s="6857" t="str">
        <f t="shared" si="116"/>
        <v/>
      </c>
      <c r="AO244" s="392">
        <f t="shared" si="102"/>
        <v>0</v>
      </c>
      <c r="AP244" s="392">
        <f t="shared" si="103"/>
        <v>0</v>
      </c>
      <c r="AQ244" s="6190">
        <f t="shared" si="104"/>
        <v>0</v>
      </c>
      <c r="AR244" s="6858" t="str">
        <f t="shared" si="105"/>
        <v/>
      </c>
      <c r="AS244" s="6217"/>
      <c r="AT244" s="6217"/>
      <c r="AU244" s="6271">
        <f t="shared" si="106"/>
        <v>0</v>
      </c>
      <c r="AV244" s="6242">
        <f t="shared" si="107"/>
        <v>0</v>
      </c>
      <c r="AW244" s="6188" cm="1">
        <f t="array" ref="AW244">IF(AK244&lt;&gt;1,0,IF(OR(AU244="",N(AU244)&lt;=0.000000001),"",IF(OR(AO244="",N(AO244)&lt;=0.000000001),0,IF(ISNUMBER(AU244),IFERROR(_xlfn.LET(_xlpm.ai_test,TRIM(AJ244),_xlpm.r,IFERROR(_xlfn.XLOOKUP(_xlpm.ai_test,$BJ$15:$BJ$62,ROW($BJ$15:$BJ$62),0,1),IFERROR(_xlfn.XLOOKUP(_xlpm.ai_test,$BK$15:$BK$62,ROW($BK$15:$BK$62),0,1),_xlfn.XLOOKUP(_xlpm.ai_test,$BL$15:$BL$62,ROW($BL$15:$BL$62),0,1))),_xlpm.p,_xlpm.r-MIN(ROW($BJ$15:$BJ$62))+1,_xlpm.f,INDEX($BM$15:$BM$62,_xlpm.p),_xlpm.u,INDEX($BN$15:$BN$62,_xlpm.p),_xlpm.s,INDEX($BP$15:$BP$62,_xlpm.p),_xlpm.q,N(AU244)/_xlpm.f,IF(_xlpm.q&gt;=_xlpm.s,ROUND(_xlpm.q,1)&amp;" "&amp;_xlpm.ai_test&amp;" = "&amp;ROUND(_xlpm.q*_xlpm.f,1)&amp;" "&amp;_xlpm.u,ROUND(_xlpm.q,1)&amp;" "&amp;_xlpm.ai_test)),""),""))))</f>
        <v>0</v>
      </c>
      <c r="AX244" s="6218"/>
      <c r="AY244" s="6271">
        <f t="shared" si="108"/>
        <v>0</v>
      </c>
      <c r="AZ244" s="6242" t="str">
        <f t="shared" si="109"/>
        <v/>
      </c>
      <c r="BA244" s="6194">
        <f t="shared" si="114"/>
        <v>0</v>
      </c>
      <c r="BB244" s="6192" t="str">
        <f t="shared" si="110"/>
        <v/>
      </c>
      <c r="BC244" s="6219"/>
      <c r="BD244" s="6221">
        <f t="shared" si="115"/>
        <v>0</v>
      </c>
      <c r="BE244" s="6220" t="str">
        <f t="shared" si="111"/>
        <v/>
      </c>
      <c r="BF244" s="4" t="s">
        <v>1</v>
      </c>
      <c r="BG244" s="6196">
        <f t="shared" si="112"/>
        <v>0</v>
      </c>
      <c r="BH244" s="6197">
        <f t="shared" si="113"/>
        <v>0</v>
      </c>
      <c r="BI244"/>
      <c r="BJ244" s="1"/>
      <c r="BK244" s="1"/>
      <c r="BL244" s="1"/>
      <c r="BM244" s="1"/>
      <c r="BN244" s="1"/>
      <c r="BO244" s="1"/>
      <c r="BP244" s="1"/>
      <c r="BQ244" s="1"/>
      <c r="BX244" s="20" t="str">
        <f t="shared" si="94"/>
        <v>►</v>
      </c>
      <c r="CC244"/>
      <c r="CD244" s="2"/>
      <c r="CL244" s="1"/>
      <c r="CT244" s="1"/>
      <c r="DB244" s="1"/>
      <c r="DC244" s="5">
        <v>1</v>
      </c>
    </row>
    <row r="245" spans="1:107" ht="21" customHeight="1">
      <c r="A245" s="5641" t="s">
        <v>1</v>
      </c>
      <c r="B245" s="5662" t="str">
        <f t="shared" si="93"/>
        <v>►</v>
      </c>
      <c r="C245" s="5825" cm="1">
        <f t="array" ref="C245">SUMPRODUCT(LEN(D245:J245))</f>
        <v>0</v>
      </c>
      <c r="D245" s="5275"/>
      <c r="E245" s="1361"/>
      <c r="F245" s="1361"/>
      <c r="G245" s="1361"/>
      <c r="H245" s="1361"/>
      <c r="I245" s="1361"/>
      <c r="J245" s="5276"/>
      <c r="K245" s="106"/>
      <c r="L245" s="1021" t="s">
        <v>26</v>
      </c>
      <c r="M245" s="6787"/>
      <c r="N245" s="6787"/>
      <c r="O245" s="6787"/>
      <c r="P245" s="6788"/>
      <c r="Q245" s="6789"/>
      <c r="R245" s="6790"/>
      <c r="S245" s="6786"/>
      <c r="T245" s="6791"/>
      <c r="U245" s="6844"/>
      <c r="V245" s="6791"/>
      <c r="W245" s="8487"/>
      <c r="X245" s="6871"/>
      <c r="Y245" s="6793"/>
      <c r="Z245" s="6794"/>
      <c r="AA245" s="6795"/>
      <c r="AB245" s="6796"/>
      <c r="AC245" s="6797"/>
      <c r="AD245" s="6798"/>
      <c r="AE245" s="4" t="s">
        <v>1</v>
      </c>
      <c r="AF245" s="6202" t="str">
        <f t="shared" si="95"/>
        <v>►</v>
      </c>
      <c r="AG245" s="6234" t="str">
        <f t="shared" si="96"/>
        <v/>
      </c>
      <c r="AH245" s="6732" t="str">
        <f t="shared" si="97"/>
        <v/>
      </c>
      <c r="AI245" s="6234" t="str">
        <f t="shared" si="98"/>
        <v/>
      </c>
      <c r="AJ245" s="6732" t="str">
        <f t="shared" si="99"/>
        <v/>
      </c>
      <c r="AK245" s="6732">
        <f t="shared" si="100"/>
        <v>0</v>
      </c>
      <c r="AL245" s="6230" t="str" cm="1">
        <f t="array" ref="AL245">IF(AF245&lt;&gt;"A","",IFERROR((IFERROR(_xlfn.XLOOKUP(TRIM(SUBSTITUTE(U245,CHAR(160)," ")),$BJ$15:$BJ$62,$BM$15:$BM$62),IFERROR(_xlfn.XLOOKUP(TRIM(SUBSTITUTE(U245,CHAR(160)," ")),$BK$15:$BK$62,$BM$15:$BM$62),_xlfn.XLOOKUP(TRIM(SUBSTITUTE(U245,CHAR(160)," ")),$BL$15:$BL$62,$BM$15:$BM$62))))*T245*IF(ISBLANK(Q245),1,Q245)+IFERROR(_xlfn.XLOOKUP("RECHERCHEX",TRIM(L245:AD245),L245:AD245),0),0))</f>
        <v/>
      </c>
      <c r="AM245" s="6229">
        <f t="shared" si="101"/>
        <v>0</v>
      </c>
      <c r="AN245" s="6857" t="str">
        <f t="shared" si="116"/>
        <v/>
      </c>
      <c r="AO245" s="392">
        <f t="shared" si="102"/>
        <v>0</v>
      </c>
      <c r="AP245" s="392">
        <f t="shared" si="103"/>
        <v>0</v>
      </c>
      <c r="AQ245" s="6191">
        <f t="shared" si="104"/>
        <v>0</v>
      </c>
      <c r="AR245" s="6859" t="str">
        <f t="shared" si="105"/>
        <v/>
      </c>
      <c r="AS245" s="6217"/>
      <c r="AT245" s="6217"/>
      <c r="AU245" s="6272">
        <f t="shared" si="106"/>
        <v>0</v>
      </c>
      <c r="AV245" s="6240">
        <f t="shared" si="107"/>
        <v>0</v>
      </c>
      <c r="AW245" s="6189" cm="1">
        <f t="array" ref="AW245">IF(AK245&lt;&gt;1,0,IF(OR(AU245="",N(AU245)&lt;=0.000000001),"",IF(OR(AO245="",N(AO245)&lt;=0.000000001),0,IF(ISNUMBER(AU245),IFERROR(_xlfn.LET(_xlpm.ai_test,TRIM(AJ245),_xlpm.r,IFERROR(_xlfn.XLOOKUP(_xlpm.ai_test,$BJ$15:$BJ$62,ROW($BJ$15:$BJ$62),0,1),IFERROR(_xlfn.XLOOKUP(_xlpm.ai_test,$BK$15:$BK$62,ROW($BK$15:$BK$62),0,1),_xlfn.XLOOKUP(_xlpm.ai_test,$BL$15:$BL$62,ROW($BL$15:$BL$62),0,1))),_xlpm.p,_xlpm.r-MIN(ROW($BJ$15:$BJ$62))+1,_xlpm.f,INDEX($BM$15:$BM$62,_xlpm.p),_xlpm.u,INDEX($BN$15:$BN$62,_xlpm.p),_xlpm.s,INDEX($BP$15:$BP$62,_xlpm.p),_xlpm.q,N(AU245)/_xlpm.f,IF(_xlpm.q&gt;=_xlpm.s,ROUND(_xlpm.q,1)&amp;" "&amp;_xlpm.ai_test&amp;" = "&amp;ROUND(_xlpm.q*_xlpm.f,1)&amp;" "&amp;_xlpm.u,ROUND(_xlpm.q,1)&amp;" "&amp;_xlpm.ai_test)),""),""))))</f>
        <v>0</v>
      </c>
      <c r="AX245" s="6218"/>
      <c r="AY245" s="6272">
        <f t="shared" si="108"/>
        <v>0</v>
      </c>
      <c r="AZ245" s="6240" t="str">
        <f t="shared" si="109"/>
        <v/>
      </c>
      <c r="BA245" s="6195">
        <f t="shared" si="114"/>
        <v>0</v>
      </c>
      <c r="BB245" s="6193" t="str">
        <f t="shared" si="110"/>
        <v/>
      </c>
      <c r="BC245" s="6219"/>
      <c r="BD245" s="6222">
        <f t="shared" si="115"/>
        <v>0</v>
      </c>
      <c r="BE245" s="6220" t="str">
        <f t="shared" si="111"/>
        <v/>
      </c>
      <c r="BF245" s="4" t="s">
        <v>1</v>
      </c>
      <c r="BG245" s="6196">
        <f t="shared" si="112"/>
        <v>0</v>
      </c>
      <c r="BH245" s="6197">
        <f t="shared" si="113"/>
        <v>0</v>
      </c>
      <c r="BI245"/>
      <c r="BJ245" s="1"/>
      <c r="BK245" s="1"/>
      <c r="BL245" s="1"/>
      <c r="BM245" s="1"/>
      <c r="BN245" s="1"/>
      <c r="BO245" s="1"/>
      <c r="BP245" s="1"/>
      <c r="BQ245" s="1"/>
      <c r="BX245" s="20" t="str">
        <f t="shared" si="94"/>
        <v>►</v>
      </c>
      <c r="CC245"/>
      <c r="CD245" s="2"/>
      <c r="CL245" s="1"/>
      <c r="CT245" s="1"/>
      <c r="DB245" s="1"/>
      <c r="DC245" s="5">
        <v>1</v>
      </c>
    </row>
    <row r="246" spans="1:107" ht="21" customHeight="1">
      <c r="A246" s="5641" t="s">
        <v>1</v>
      </c>
      <c r="B246" s="5662" t="str">
        <f t="shared" si="93"/>
        <v>►</v>
      </c>
      <c r="C246" s="5825" cm="1">
        <f t="array" ref="C246">SUMPRODUCT(LEN(D246:J246))</f>
        <v>0</v>
      </c>
      <c r="D246" s="5275"/>
      <c r="E246" s="1361"/>
      <c r="F246" s="1361"/>
      <c r="G246" s="1361"/>
      <c r="H246" s="1361"/>
      <c r="I246" s="1361"/>
      <c r="J246" s="5276"/>
      <c r="K246" s="106"/>
      <c r="L246" s="1021" t="s">
        <v>26</v>
      </c>
      <c r="M246" s="6787"/>
      <c r="N246" s="6787"/>
      <c r="O246" s="6787"/>
      <c r="P246" s="6788"/>
      <c r="Q246" s="6789"/>
      <c r="R246" s="6790"/>
      <c r="S246" s="6786"/>
      <c r="T246" s="6791"/>
      <c r="U246" s="6844"/>
      <c r="V246" s="6791"/>
      <c r="W246" s="8487"/>
      <c r="X246" s="6871"/>
      <c r="Y246" s="6793"/>
      <c r="Z246" s="6794"/>
      <c r="AA246" s="6795"/>
      <c r="AB246" s="6796"/>
      <c r="AC246" s="6797"/>
      <c r="AD246" s="6798"/>
      <c r="AE246" s="4" t="s">
        <v>1</v>
      </c>
      <c r="AF246" s="6202" t="str">
        <f t="shared" si="95"/>
        <v>►</v>
      </c>
      <c r="AG246" s="6234" t="str">
        <f t="shared" si="96"/>
        <v/>
      </c>
      <c r="AH246" s="6732" t="str">
        <f t="shared" si="97"/>
        <v/>
      </c>
      <c r="AI246" s="6234" t="str">
        <f t="shared" si="98"/>
        <v/>
      </c>
      <c r="AJ246" s="6732" t="str">
        <f t="shared" si="99"/>
        <v/>
      </c>
      <c r="AK246" s="6732">
        <f t="shared" si="100"/>
        <v>0</v>
      </c>
      <c r="AL246" s="6230" t="str" cm="1">
        <f t="array" ref="AL246">IF(AF246&lt;&gt;"A","",IFERROR((IFERROR(_xlfn.XLOOKUP(TRIM(SUBSTITUTE(U246,CHAR(160)," ")),$BJ$15:$BJ$62,$BM$15:$BM$62),IFERROR(_xlfn.XLOOKUP(TRIM(SUBSTITUTE(U246,CHAR(160)," ")),$BK$15:$BK$62,$BM$15:$BM$62),_xlfn.XLOOKUP(TRIM(SUBSTITUTE(U246,CHAR(160)," ")),$BL$15:$BL$62,$BM$15:$BM$62))))*T246*IF(ISBLANK(Q246),1,Q246)+IFERROR(_xlfn.XLOOKUP("RECHERCHEX",TRIM(L246:AD246),L246:AD246),0),0))</f>
        <v/>
      </c>
      <c r="AM246" s="6229">
        <f t="shared" si="101"/>
        <v>0</v>
      </c>
      <c r="AN246" s="6857" t="str">
        <f t="shared" si="116"/>
        <v/>
      </c>
      <c r="AO246" s="392">
        <f t="shared" si="102"/>
        <v>0</v>
      </c>
      <c r="AP246" s="392">
        <f t="shared" si="103"/>
        <v>0</v>
      </c>
      <c r="AQ246" s="6190">
        <f t="shared" si="104"/>
        <v>0</v>
      </c>
      <c r="AR246" s="6858" t="str">
        <f t="shared" si="105"/>
        <v/>
      </c>
      <c r="AS246" s="6217"/>
      <c r="AT246" s="6217"/>
      <c r="AU246" s="6271">
        <f t="shared" si="106"/>
        <v>0</v>
      </c>
      <c r="AV246" s="6242">
        <f t="shared" si="107"/>
        <v>0</v>
      </c>
      <c r="AW246" s="6188" cm="1">
        <f t="array" ref="AW246">IF(AK246&lt;&gt;1,0,IF(OR(AU246="",N(AU246)&lt;=0.000000001),"",IF(OR(AO246="",N(AO246)&lt;=0.000000001),0,IF(ISNUMBER(AU246),IFERROR(_xlfn.LET(_xlpm.ai_test,TRIM(AJ246),_xlpm.r,IFERROR(_xlfn.XLOOKUP(_xlpm.ai_test,$BJ$15:$BJ$62,ROW($BJ$15:$BJ$62),0,1),IFERROR(_xlfn.XLOOKUP(_xlpm.ai_test,$BK$15:$BK$62,ROW($BK$15:$BK$62),0,1),_xlfn.XLOOKUP(_xlpm.ai_test,$BL$15:$BL$62,ROW($BL$15:$BL$62),0,1))),_xlpm.p,_xlpm.r-MIN(ROW($BJ$15:$BJ$62))+1,_xlpm.f,INDEX($BM$15:$BM$62,_xlpm.p),_xlpm.u,INDEX($BN$15:$BN$62,_xlpm.p),_xlpm.s,INDEX($BP$15:$BP$62,_xlpm.p),_xlpm.q,N(AU246)/_xlpm.f,IF(_xlpm.q&gt;=_xlpm.s,ROUND(_xlpm.q,1)&amp;" "&amp;_xlpm.ai_test&amp;" = "&amp;ROUND(_xlpm.q*_xlpm.f,1)&amp;" "&amp;_xlpm.u,ROUND(_xlpm.q,1)&amp;" "&amp;_xlpm.ai_test)),""),""))))</f>
        <v>0</v>
      </c>
      <c r="AX246" s="6218"/>
      <c r="AY246" s="6271">
        <f t="shared" si="108"/>
        <v>0</v>
      </c>
      <c r="AZ246" s="6242" t="str">
        <f t="shared" si="109"/>
        <v/>
      </c>
      <c r="BA246" s="6194">
        <f t="shared" si="114"/>
        <v>0</v>
      </c>
      <c r="BB246" s="6192" t="str">
        <f t="shared" si="110"/>
        <v/>
      </c>
      <c r="BC246" s="6219"/>
      <c r="BD246" s="6221">
        <f t="shared" si="115"/>
        <v>0</v>
      </c>
      <c r="BE246" s="6220" t="str">
        <f t="shared" si="111"/>
        <v/>
      </c>
      <c r="BF246" s="4" t="s">
        <v>1</v>
      </c>
      <c r="BG246" s="6196">
        <f t="shared" si="112"/>
        <v>0</v>
      </c>
      <c r="BH246" s="6197">
        <f t="shared" si="113"/>
        <v>0</v>
      </c>
      <c r="BI246"/>
      <c r="BJ246" s="1"/>
      <c r="BK246" s="1"/>
      <c r="BL246" s="1"/>
      <c r="BM246" s="1"/>
      <c r="BN246" s="1"/>
      <c r="BO246" s="1"/>
      <c r="BP246" s="1"/>
      <c r="BQ246" s="1"/>
      <c r="BX246" s="20" t="str">
        <f t="shared" si="94"/>
        <v>►</v>
      </c>
      <c r="CC246"/>
      <c r="CD246" s="2"/>
      <c r="CL246" s="1"/>
      <c r="CT246" s="1"/>
      <c r="DB246" s="1"/>
      <c r="DC246" s="5">
        <v>1</v>
      </c>
    </row>
    <row r="247" spans="1:107" ht="21" customHeight="1">
      <c r="A247" s="5641" t="s">
        <v>1</v>
      </c>
      <c r="B247" s="5662" t="str">
        <f t="shared" si="93"/>
        <v>►</v>
      </c>
      <c r="C247" s="5825" cm="1">
        <f t="array" ref="C247">SUMPRODUCT(LEN(D247:J247))</f>
        <v>0</v>
      </c>
      <c r="D247" s="5275"/>
      <c r="E247" s="1361"/>
      <c r="F247" s="1361"/>
      <c r="G247" s="1361"/>
      <c r="H247" s="1361"/>
      <c r="I247" s="1361"/>
      <c r="J247" s="5276"/>
      <c r="K247" s="106"/>
      <c r="L247" s="1021" t="s">
        <v>26</v>
      </c>
      <c r="M247" s="6787"/>
      <c r="N247" s="6787"/>
      <c r="O247" s="6787"/>
      <c r="P247" s="6788"/>
      <c r="Q247" s="6789"/>
      <c r="R247" s="6790"/>
      <c r="S247" s="6786"/>
      <c r="T247" s="6791"/>
      <c r="U247" s="6844"/>
      <c r="V247" s="6791"/>
      <c r="W247" s="8487"/>
      <c r="X247" s="6871"/>
      <c r="Y247" s="6793"/>
      <c r="Z247" s="6794"/>
      <c r="AA247" s="6795"/>
      <c r="AB247" s="6796"/>
      <c r="AC247" s="6797"/>
      <c r="AD247" s="6798"/>
      <c r="AE247" s="4" t="s">
        <v>1</v>
      </c>
      <c r="AF247" s="6202" t="str">
        <f t="shared" si="95"/>
        <v>►</v>
      </c>
      <c r="AG247" s="6234" t="str">
        <f t="shared" si="96"/>
        <v/>
      </c>
      <c r="AH247" s="6732" t="str">
        <f t="shared" si="97"/>
        <v/>
      </c>
      <c r="AI247" s="6234" t="str">
        <f t="shared" si="98"/>
        <v/>
      </c>
      <c r="AJ247" s="6732" t="str">
        <f t="shared" si="99"/>
        <v/>
      </c>
      <c r="AK247" s="6732">
        <f t="shared" si="100"/>
        <v>0</v>
      </c>
      <c r="AL247" s="6230" t="str" cm="1">
        <f t="array" ref="AL247">IF(AF247&lt;&gt;"A","",IFERROR((IFERROR(_xlfn.XLOOKUP(TRIM(SUBSTITUTE(U247,CHAR(160)," ")),$BJ$15:$BJ$62,$BM$15:$BM$62),IFERROR(_xlfn.XLOOKUP(TRIM(SUBSTITUTE(U247,CHAR(160)," ")),$BK$15:$BK$62,$BM$15:$BM$62),_xlfn.XLOOKUP(TRIM(SUBSTITUTE(U247,CHAR(160)," ")),$BL$15:$BL$62,$BM$15:$BM$62))))*T247*IF(ISBLANK(Q247),1,Q247)+IFERROR(_xlfn.XLOOKUP("RECHERCHEX",TRIM(L247:AD247),L247:AD247),0),0))</f>
        <v/>
      </c>
      <c r="AM247" s="6229">
        <f t="shared" si="101"/>
        <v>0</v>
      </c>
      <c r="AN247" s="6857" t="str">
        <f t="shared" si="116"/>
        <v/>
      </c>
      <c r="AO247" s="392">
        <f t="shared" si="102"/>
        <v>0</v>
      </c>
      <c r="AP247" s="392">
        <f t="shared" si="103"/>
        <v>0</v>
      </c>
      <c r="AQ247" s="6191">
        <f t="shared" si="104"/>
        <v>0</v>
      </c>
      <c r="AR247" s="6859" t="str">
        <f t="shared" si="105"/>
        <v/>
      </c>
      <c r="AS247" s="6217"/>
      <c r="AT247" s="6217"/>
      <c r="AU247" s="6272">
        <f t="shared" si="106"/>
        <v>0</v>
      </c>
      <c r="AV247" s="6240">
        <f t="shared" si="107"/>
        <v>0</v>
      </c>
      <c r="AW247" s="6189" cm="1">
        <f t="array" ref="AW247">IF(AK247&lt;&gt;1,0,IF(OR(AU247="",N(AU247)&lt;=0.000000001),"",IF(OR(AO247="",N(AO247)&lt;=0.000000001),0,IF(ISNUMBER(AU247),IFERROR(_xlfn.LET(_xlpm.ai_test,TRIM(AJ247),_xlpm.r,IFERROR(_xlfn.XLOOKUP(_xlpm.ai_test,$BJ$15:$BJ$62,ROW($BJ$15:$BJ$62),0,1),IFERROR(_xlfn.XLOOKUP(_xlpm.ai_test,$BK$15:$BK$62,ROW($BK$15:$BK$62),0,1),_xlfn.XLOOKUP(_xlpm.ai_test,$BL$15:$BL$62,ROW($BL$15:$BL$62),0,1))),_xlpm.p,_xlpm.r-MIN(ROW($BJ$15:$BJ$62))+1,_xlpm.f,INDEX($BM$15:$BM$62,_xlpm.p),_xlpm.u,INDEX($BN$15:$BN$62,_xlpm.p),_xlpm.s,INDEX($BP$15:$BP$62,_xlpm.p),_xlpm.q,N(AU247)/_xlpm.f,IF(_xlpm.q&gt;=_xlpm.s,ROUND(_xlpm.q,1)&amp;" "&amp;_xlpm.ai_test&amp;" = "&amp;ROUND(_xlpm.q*_xlpm.f,1)&amp;" "&amp;_xlpm.u,ROUND(_xlpm.q,1)&amp;" "&amp;_xlpm.ai_test)),""),""))))</f>
        <v>0</v>
      </c>
      <c r="AX247" s="6218"/>
      <c r="AY247" s="6272">
        <f t="shared" si="108"/>
        <v>0</v>
      </c>
      <c r="AZ247" s="6240" t="str">
        <f t="shared" si="109"/>
        <v/>
      </c>
      <c r="BA247" s="6195">
        <f t="shared" si="114"/>
        <v>0</v>
      </c>
      <c r="BB247" s="6193" t="str">
        <f t="shared" si="110"/>
        <v/>
      </c>
      <c r="BC247" s="6219"/>
      <c r="BD247" s="6222">
        <f t="shared" si="115"/>
        <v>0</v>
      </c>
      <c r="BE247" s="6220" t="str">
        <f t="shared" si="111"/>
        <v/>
      </c>
      <c r="BF247" s="4" t="s">
        <v>1</v>
      </c>
      <c r="BG247" s="6196">
        <f t="shared" si="112"/>
        <v>0</v>
      </c>
      <c r="BH247" s="6197">
        <f t="shared" si="113"/>
        <v>0</v>
      </c>
      <c r="BI247"/>
      <c r="BJ247" s="1"/>
      <c r="BK247" s="1"/>
      <c r="BL247" s="1"/>
      <c r="BM247" s="1"/>
      <c r="BN247" s="1"/>
      <c r="BO247" s="1"/>
      <c r="BP247" s="1"/>
      <c r="BQ247" s="1"/>
      <c r="BX247" s="20" t="str">
        <f t="shared" si="94"/>
        <v>►</v>
      </c>
      <c r="CC247"/>
      <c r="CD247" s="2"/>
      <c r="CL247" s="1"/>
      <c r="CT247" s="1"/>
      <c r="DB247" s="1"/>
      <c r="DC247" s="5">
        <v>1</v>
      </c>
    </row>
    <row r="248" spans="1:107" ht="21" customHeight="1">
      <c r="A248" s="5641" t="s">
        <v>1</v>
      </c>
      <c r="B248" s="5662" t="str">
        <f t="shared" si="93"/>
        <v>►</v>
      </c>
      <c r="C248" s="5825" cm="1">
        <f t="array" ref="C248">SUMPRODUCT(LEN(D248:J248))</f>
        <v>0</v>
      </c>
      <c r="D248" s="5275"/>
      <c r="E248" s="1361"/>
      <c r="F248" s="1361"/>
      <c r="G248" s="1361"/>
      <c r="H248" s="1361"/>
      <c r="I248" s="1361"/>
      <c r="J248" s="5276"/>
      <c r="K248" s="106"/>
      <c r="L248" s="1021" t="s">
        <v>26</v>
      </c>
      <c r="M248" s="6787"/>
      <c r="N248" s="6787"/>
      <c r="O248" s="6787"/>
      <c r="P248" s="6788"/>
      <c r="Q248" s="6789"/>
      <c r="R248" s="6790"/>
      <c r="S248" s="6786"/>
      <c r="T248" s="6791"/>
      <c r="U248" s="6844"/>
      <c r="V248" s="6791"/>
      <c r="W248" s="8487"/>
      <c r="X248" s="6871"/>
      <c r="Y248" s="6793"/>
      <c r="Z248" s="6794"/>
      <c r="AA248" s="6795"/>
      <c r="AB248" s="6796"/>
      <c r="AC248" s="6797"/>
      <c r="AD248" s="6798"/>
      <c r="AE248" s="4" t="s">
        <v>1</v>
      </c>
      <c r="AF248" s="6202" t="str">
        <f t="shared" si="95"/>
        <v>►</v>
      </c>
      <c r="AG248" s="6234" t="str">
        <f t="shared" si="96"/>
        <v/>
      </c>
      <c r="AH248" s="6732" t="str">
        <f t="shared" si="97"/>
        <v/>
      </c>
      <c r="AI248" s="6234" t="str">
        <f t="shared" si="98"/>
        <v/>
      </c>
      <c r="AJ248" s="6732" t="str">
        <f t="shared" si="99"/>
        <v/>
      </c>
      <c r="AK248" s="6732">
        <f t="shared" si="100"/>
        <v>0</v>
      </c>
      <c r="AL248" s="6230" t="str" cm="1">
        <f t="array" ref="AL248">IF(AF248&lt;&gt;"A","",IFERROR((IFERROR(_xlfn.XLOOKUP(TRIM(SUBSTITUTE(U248,CHAR(160)," ")),$BJ$15:$BJ$62,$BM$15:$BM$62),IFERROR(_xlfn.XLOOKUP(TRIM(SUBSTITUTE(U248,CHAR(160)," ")),$BK$15:$BK$62,$BM$15:$BM$62),_xlfn.XLOOKUP(TRIM(SUBSTITUTE(U248,CHAR(160)," ")),$BL$15:$BL$62,$BM$15:$BM$62))))*T248*IF(ISBLANK(Q248),1,Q248)+IFERROR(_xlfn.XLOOKUP("RECHERCHEX",TRIM(L248:AD248),L248:AD248),0),0))</f>
        <v/>
      </c>
      <c r="AM248" s="6229">
        <f t="shared" si="101"/>
        <v>0</v>
      </c>
      <c r="AN248" s="6857" t="str">
        <f t="shared" si="116"/>
        <v/>
      </c>
      <c r="AO248" s="392">
        <f t="shared" si="102"/>
        <v>0</v>
      </c>
      <c r="AP248" s="392">
        <f t="shared" si="103"/>
        <v>0</v>
      </c>
      <c r="AQ248" s="6190">
        <f t="shared" si="104"/>
        <v>0</v>
      </c>
      <c r="AR248" s="6858" t="str">
        <f t="shared" si="105"/>
        <v/>
      </c>
      <c r="AS248" s="6217"/>
      <c r="AT248" s="6217"/>
      <c r="AU248" s="6271">
        <f t="shared" si="106"/>
        <v>0</v>
      </c>
      <c r="AV248" s="6242">
        <f t="shared" si="107"/>
        <v>0</v>
      </c>
      <c r="AW248" s="6188" cm="1">
        <f t="array" ref="AW248">IF(AK248&lt;&gt;1,0,IF(OR(AU248="",N(AU248)&lt;=0.000000001),"",IF(OR(AO248="",N(AO248)&lt;=0.000000001),0,IF(ISNUMBER(AU248),IFERROR(_xlfn.LET(_xlpm.ai_test,TRIM(AJ248),_xlpm.r,IFERROR(_xlfn.XLOOKUP(_xlpm.ai_test,$BJ$15:$BJ$62,ROW($BJ$15:$BJ$62),0,1),IFERROR(_xlfn.XLOOKUP(_xlpm.ai_test,$BK$15:$BK$62,ROW($BK$15:$BK$62),0,1),_xlfn.XLOOKUP(_xlpm.ai_test,$BL$15:$BL$62,ROW($BL$15:$BL$62),0,1))),_xlpm.p,_xlpm.r-MIN(ROW($BJ$15:$BJ$62))+1,_xlpm.f,INDEX($BM$15:$BM$62,_xlpm.p),_xlpm.u,INDEX($BN$15:$BN$62,_xlpm.p),_xlpm.s,INDEX($BP$15:$BP$62,_xlpm.p),_xlpm.q,N(AU248)/_xlpm.f,IF(_xlpm.q&gt;=_xlpm.s,ROUND(_xlpm.q,1)&amp;" "&amp;_xlpm.ai_test&amp;" = "&amp;ROUND(_xlpm.q*_xlpm.f,1)&amp;" "&amp;_xlpm.u,ROUND(_xlpm.q,1)&amp;" "&amp;_xlpm.ai_test)),""),""))))</f>
        <v>0</v>
      </c>
      <c r="AX248" s="6218"/>
      <c r="AY248" s="6271">
        <f t="shared" si="108"/>
        <v>0</v>
      </c>
      <c r="AZ248" s="6242" t="str">
        <f t="shared" si="109"/>
        <v/>
      </c>
      <c r="BA248" s="6194">
        <f t="shared" si="114"/>
        <v>0</v>
      </c>
      <c r="BB248" s="6192" t="str">
        <f t="shared" si="110"/>
        <v/>
      </c>
      <c r="BC248" s="6219"/>
      <c r="BD248" s="6221">
        <f t="shared" si="115"/>
        <v>0</v>
      </c>
      <c r="BE248" s="6220" t="str">
        <f t="shared" si="111"/>
        <v/>
      </c>
      <c r="BF248" s="4" t="s">
        <v>1</v>
      </c>
      <c r="BG248" s="6196">
        <f t="shared" si="112"/>
        <v>0</v>
      </c>
      <c r="BH248" s="6197">
        <f t="shared" si="113"/>
        <v>0</v>
      </c>
      <c r="BI248"/>
      <c r="BJ248" s="1"/>
      <c r="BK248" s="1"/>
      <c r="BL248" s="1"/>
      <c r="BM248" s="1"/>
      <c r="BN248" s="1"/>
      <c r="BO248" s="1"/>
      <c r="BP248" s="1"/>
      <c r="BQ248" s="1"/>
      <c r="BX248" s="20" t="str">
        <f t="shared" si="94"/>
        <v>►</v>
      </c>
      <c r="CC248"/>
      <c r="CD248" s="2"/>
      <c r="CL248" s="1"/>
      <c r="CT248" s="1"/>
      <c r="DB248" s="1"/>
      <c r="DC248" s="5">
        <v>1</v>
      </c>
    </row>
    <row r="249" spans="1:107" ht="21" customHeight="1">
      <c r="A249" s="5641" t="s">
        <v>1</v>
      </c>
      <c r="B249" s="5662" t="str">
        <f t="shared" si="93"/>
        <v>►</v>
      </c>
      <c r="C249" s="5825" cm="1">
        <f t="array" ref="C249">SUMPRODUCT(LEN(D249:J249))</f>
        <v>0</v>
      </c>
      <c r="D249" s="5275"/>
      <c r="E249" s="1361"/>
      <c r="F249" s="1361"/>
      <c r="G249" s="1361"/>
      <c r="H249" s="1361"/>
      <c r="I249" s="1361"/>
      <c r="J249" s="5276"/>
      <c r="K249" s="106"/>
      <c r="L249" s="1021" t="s">
        <v>26</v>
      </c>
      <c r="M249" s="6787"/>
      <c r="N249" s="6787"/>
      <c r="O249" s="6787"/>
      <c r="P249" s="6788"/>
      <c r="Q249" s="6789"/>
      <c r="R249" s="6790"/>
      <c r="S249" s="6786"/>
      <c r="T249" s="6791"/>
      <c r="U249" s="6844"/>
      <c r="V249" s="6791"/>
      <c r="W249" s="8487"/>
      <c r="X249" s="6871"/>
      <c r="Y249" s="6793"/>
      <c r="Z249" s="6794"/>
      <c r="AA249" s="6795"/>
      <c r="AB249" s="6796"/>
      <c r="AC249" s="6797"/>
      <c r="AD249" s="6798"/>
      <c r="AE249" s="4" t="s">
        <v>1</v>
      </c>
      <c r="AF249" s="6202" t="str">
        <f t="shared" si="95"/>
        <v>►</v>
      </c>
      <c r="AG249" s="6234" t="str">
        <f t="shared" si="96"/>
        <v/>
      </c>
      <c r="AH249" s="6732" t="str">
        <f t="shared" si="97"/>
        <v/>
      </c>
      <c r="AI249" s="6234" t="str">
        <f t="shared" si="98"/>
        <v/>
      </c>
      <c r="AJ249" s="6732" t="str">
        <f t="shared" si="99"/>
        <v/>
      </c>
      <c r="AK249" s="6732">
        <f t="shared" si="100"/>
        <v>0</v>
      </c>
      <c r="AL249" s="6230" t="str" cm="1">
        <f t="array" ref="AL249">IF(AF249&lt;&gt;"A","",IFERROR((IFERROR(_xlfn.XLOOKUP(TRIM(SUBSTITUTE(U249,CHAR(160)," ")),$BJ$15:$BJ$62,$BM$15:$BM$62),IFERROR(_xlfn.XLOOKUP(TRIM(SUBSTITUTE(U249,CHAR(160)," ")),$BK$15:$BK$62,$BM$15:$BM$62),_xlfn.XLOOKUP(TRIM(SUBSTITUTE(U249,CHAR(160)," ")),$BL$15:$BL$62,$BM$15:$BM$62))))*T249*IF(ISBLANK(Q249),1,Q249)+IFERROR(_xlfn.XLOOKUP("RECHERCHEX",TRIM(L249:AD249),L249:AD249),0),0))</f>
        <v/>
      </c>
      <c r="AM249" s="6229">
        <f t="shared" si="101"/>
        <v>0</v>
      </c>
      <c r="AN249" s="6857" t="str">
        <f t="shared" si="116"/>
        <v/>
      </c>
      <c r="AO249" s="392">
        <f t="shared" si="102"/>
        <v>0</v>
      </c>
      <c r="AP249" s="392">
        <f t="shared" si="103"/>
        <v>0</v>
      </c>
      <c r="AQ249" s="6191">
        <f t="shared" si="104"/>
        <v>0</v>
      </c>
      <c r="AR249" s="6859" t="str">
        <f t="shared" si="105"/>
        <v/>
      </c>
      <c r="AS249" s="6217"/>
      <c r="AT249" s="6217"/>
      <c r="AU249" s="6272">
        <f t="shared" si="106"/>
        <v>0</v>
      </c>
      <c r="AV249" s="6240">
        <f t="shared" si="107"/>
        <v>0</v>
      </c>
      <c r="AW249" s="6189" cm="1">
        <f t="array" ref="AW249">IF(AK249&lt;&gt;1,0,IF(OR(AU249="",N(AU249)&lt;=0.000000001),"",IF(OR(AO249="",N(AO249)&lt;=0.000000001),0,IF(ISNUMBER(AU249),IFERROR(_xlfn.LET(_xlpm.ai_test,TRIM(AJ249),_xlpm.r,IFERROR(_xlfn.XLOOKUP(_xlpm.ai_test,$BJ$15:$BJ$62,ROW($BJ$15:$BJ$62),0,1),IFERROR(_xlfn.XLOOKUP(_xlpm.ai_test,$BK$15:$BK$62,ROW($BK$15:$BK$62),0,1),_xlfn.XLOOKUP(_xlpm.ai_test,$BL$15:$BL$62,ROW($BL$15:$BL$62),0,1))),_xlpm.p,_xlpm.r-MIN(ROW($BJ$15:$BJ$62))+1,_xlpm.f,INDEX($BM$15:$BM$62,_xlpm.p),_xlpm.u,INDEX($BN$15:$BN$62,_xlpm.p),_xlpm.s,INDEX($BP$15:$BP$62,_xlpm.p),_xlpm.q,N(AU249)/_xlpm.f,IF(_xlpm.q&gt;=_xlpm.s,ROUND(_xlpm.q,1)&amp;" "&amp;_xlpm.ai_test&amp;" = "&amp;ROUND(_xlpm.q*_xlpm.f,1)&amp;" "&amp;_xlpm.u,ROUND(_xlpm.q,1)&amp;" "&amp;_xlpm.ai_test)),""),""))))</f>
        <v>0</v>
      </c>
      <c r="AX249" s="6218"/>
      <c r="AY249" s="6272">
        <f t="shared" si="108"/>
        <v>0</v>
      </c>
      <c r="AZ249" s="6240" t="str">
        <f t="shared" si="109"/>
        <v/>
      </c>
      <c r="BA249" s="6195">
        <f t="shared" si="114"/>
        <v>0</v>
      </c>
      <c r="BB249" s="6193" t="str">
        <f t="shared" si="110"/>
        <v/>
      </c>
      <c r="BC249" s="6219"/>
      <c r="BD249" s="6222">
        <f t="shared" si="115"/>
        <v>0</v>
      </c>
      <c r="BE249" s="6220" t="str">
        <f t="shared" si="111"/>
        <v/>
      </c>
      <c r="BF249" s="4" t="s">
        <v>1</v>
      </c>
      <c r="BG249" s="6196">
        <f t="shared" si="112"/>
        <v>0</v>
      </c>
      <c r="BH249" s="6197">
        <f t="shared" si="113"/>
        <v>0</v>
      </c>
      <c r="BI249"/>
      <c r="BJ249" s="1"/>
      <c r="BK249" s="1"/>
      <c r="BL249" s="1"/>
      <c r="BM249" s="1"/>
      <c r="BN249" s="1"/>
      <c r="BO249" s="1"/>
      <c r="BP249" s="1"/>
      <c r="BQ249" s="1"/>
      <c r="BX249" s="20" t="str">
        <f t="shared" si="94"/>
        <v>►</v>
      </c>
      <c r="CC249"/>
      <c r="CD249" s="2"/>
      <c r="CL249" s="1"/>
      <c r="CT249" s="1"/>
      <c r="DB249" s="1"/>
      <c r="DC249" s="5">
        <v>1</v>
      </c>
    </row>
    <row r="250" spans="1:107" ht="21" customHeight="1">
      <c r="A250" s="5641" t="s">
        <v>1</v>
      </c>
      <c r="B250" s="5662" t="str">
        <f t="shared" si="93"/>
        <v>►</v>
      </c>
      <c r="C250" s="5825" cm="1">
        <f t="array" ref="C250">SUMPRODUCT(LEN(D250:J250))</f>
        <v>0</v>
      </c>
      <c r="D250" s="5275"/>
      <c r="E250" s="1361"/>
      <c r="F250" s="1361"/>
      <c r="G250" s="1361"/>
      <c r="H250" s="1361"/>
      <c r="I250" s="1361"/>
      <c r="J250" s="5276"/>
      <c r="K250" s="106"/>
      <c r="L250" s="1021" t="s">
        <v>26</v>
      </c>
      <c r="M250" s="6787"/>
      <c r="N250" s="6787"/>
      <c r="O250" s="6787"/>
      <c r="P250" s="6788"/>
      <c r="Q250" s="6789"/>
      <c r="R250" s="6790"/>
      <c r="S250" s="6786"/>
      <c r="T250" s="6791"/>
      <c r="U250" s="6844"/>
      <c r="V250" s="6791"/>
      <c r="W250" s="8487"/>
      <c r="X250" s="6871"/>
      <c r="Y250" s="6793"/>
      <c r="Z250" s="6794"/>
      <c r="AA250" s="6795"/>
      <c r="AB250" s="6796"/>
      <c r="AC250" s="6797"/>
      <c r="AD250" s="6798"/>
      <c r="AE250" s="4" t="s">
        <v>1</v>
      </c>
      <c r="AF250" s="6202" t="str">
        <f t="shared" si="95"/>
        <v>►</v>
      </c>
      <c r="AG250" s="6234" t="str">
        <f t="shared" si="96"/>
        <v/>
      </c>
      <c r="AH250" s="6732" t="str">
        <f t="shared" si="97"/>
        <v/>
      </c>
      <c r="AI250" s="6234" t="str">
        <f t="shared" si="98"/>
        <v/>
      </c>
      <c r="AJ250" s="6732" t="str">
        <f t="shared" si="99"/>
        <v/>
      </c>
      <c r="AK250" s="6732">
        <f t="shared" si="100"/>
        <v>0</v>
      </c>
      <c r="AL250" s="6230" t="str" cm="1">
        <f t="array" ref="AL250">IF(AF250&lt;&gt;"A","",IFERROR((IFERROR(_xlfn.XLOOKUP(TRIM(SUBSTITUTE(U250,CHAR(160)," ")),$BJ$15:$BJ$62,$BM$15:$BM$62),IFERROR(_xlfn.XLOOKUP(TRIM(SUBSTITUTE(U250,CHAR(160)," ")),$BK$15:$BK$62,$BM$15:$BM$62),_xlfn.XLOOKUP(TRIM(SUBSTITUTE(U250,CHAR(160)," ")),$BL$15:$BL$62,$BM$15:$BM$62))))*T250*IF(ISBLANK(Q250),1,Q250)+IFERROR(_xlfn.XLOOKUP("RECHERCHEX",TRIM(L250:AD250),L250:AD250),0),0))</f>
        <v/>
      </c>
      <c r="AM250" s="6229">
        <f t="shared" si="101"/>
        <v>0</v>
      </c>
      <c r="AN250" s="6857" t="str">
        <f t="shared" si="116"/>
        <v/>
      </c>
      <c r="AO250" s="392">
        <f t="shared" si="102"/>
        <v>0</v>
      </c>
      <c r="AP250" s="392">
        <f t="shared" si="103"/>
        <v>0</v>
      </c>
      <c r="AQ250" s="6190">
        <f t="shared" si="104"/>
        <v>0</v>
      </c>
      <c r="AR250" s="6858" t="str">
        <f t="shared" si="105"/>
        <v/>
      </c>
      <c r="AS250" s="6217"/>
      <c r="AT250" s="6217"/>
      <c r="AU250" s="6271">
        <f t="shared" si="106"/>
        <v>0</v>
      </c>
      <c r="AV250" s="6242">
        <f t="shared" si="107"/>
        <v>0</v>
      </c>
      <c r="AW250" s="6188" cm="1">
        <f t="array" ref="AW250">IF(AK250&lt;&gt;1,0,IF(OR(AU250="",N(AU250)&lt;=0.000000001),"",IF(OR(AO250="",N(AO250)&lt;=0.000000001),0,IF(ISNUMBER(AU250),IFERROR(_xlfn.LET(_xlpm.ai_test,TRIM(AJ250),_xlpm.r,IFERROR(_xlfn.XLOOKUP(_xlpm.ai_test,$BJ$15:$BJ$62,ROW($BJ$15:$BJ$62),0,1),IFERROR(_xlfn.XLOOKUP(_xlpm.ai_test,$BK$15:$BK$62,ROW($BK$15:$BK$62),0,1),_xlfn.XLOOKUP(_xlpm.ai_test,$BL$15:$BL$62,ROW($BL$15:$BL$62),0,1))),_xlpm.p,_xlpm.r-MIN(ROW($BJ$15:$BJ$62))+1,_xlpm.f,INDEX($BM$15:$BM$62,_xlpm.p),_xlpm.u,INDEX($BN$15:$BN$62,_xlpm.p),_xlpm.s,INDEX($BP$15:$BP$62,_xlpm.p),_xlpm.q,N(AU250)/_xlpm.f,IF(_xlpm.q&gt;=_xlpm.s,ROUND(_xlpm.q,1)&amp;" "&amp;_xlpm.ai_test&amp;" = "&amp;ROUND(_xlpm.q*_xlpm.f,1)&amp;" "&amp;_xlpm.u,ROUND(_xlpm.q,1)&amp;" "&amp;_xlpm.ai_test)),""),""))))</f>
        <v>0</v>
      </c>
      <c r="AX250" s="6218"/>
      <c r="AY250" s="6271">
        <f t="shared" si="108"/>
        <v>0</v>
      </c>
      <c r="AZ250" s="6242" t="str">
        <f t="shared" si="109"/>
        <v/>
      </c>
      <c r="BA250" s="6194">
        <f t="shared" si="114"/>
        <v>0</v>
      </c>
      <c r="BB250" s="6192" t="str">
        <f t="shared" si="110"/>
        <v/>
      </c>
      <c r="BC250" s="6219"/>
      <c r="BD250" s="6221">
        <f t="shared" si="115"/>
        <v>0</v>
      </c>
      <c r="BE250" s="6220" t="str">
        <f t="shared" si="111"/>
        <v/>
      </c>
      <c r="BF250" s="4" t="s">
        <v>1</v>
      </c>
      <c r="BG250" s="6196">
        <f t="shared" si="112"/>
        <v>0</v>
      </c>
      <c r="BH250" s="6197">
        <f t="shared" si="113"/>
        <v>0</v>
      </c>
      <c r="BI250"/>
      <c r="BJ250" s="1"/>
      <c r="BK250" s="1"/>
      <c r="BL250" s="1"/>
      <c r="BM250" s="1"/>
      <c r="BN250" s="1"/>
      <c r="BO250" s="1"/>
      <c r="BP250" s="1"/>
      <c r="BQ250" s="1"/>
      <c r="BX250" s="20" t="str">
        <f t="shared" si="94"/>
        <v>►</v>
      </c>
      <c r="CC250"/>
      <c r="CD250" s="2"/>
      <c r="CL250" s="1"/>
      <c r="CT250" s="1"/>
      <c r="DB250" s="1"/>
      <c r="DC250" s="5">
        <v>1</v>
      </c>
    </row>
    <row r="251" spans="1:107" ht="21" customHeight="1">
      <c r="A251" s="5641" t="s">
        <v>1</v>
      </c>
      <c r="B251" s="5662" t="str">
        <f t="shared" si="93"/>
        <v>►</v>
      </c>
      <c r="C251" s="5825" cm="1">
        <f t="array" ref="C251">SUMPRODUCT(LEN(D251:J251))</f>
        <v>0</v>
      </c>
      <c r="D251" s="5275"/>
      <c r="E251" s="1361"/>
      <c r="F251" s="1361"/>
      <c r="G251" s="1361"/>
      <c r="H251" s="1361"/>
      <c r="I251" s="1361"/>
      <c r="J251" s="5276"/>
      <c r="K251" s="106"/>
      <c r="L251" s="1021" t="s">
        <v>26</v>
      </c>
      <c r="M251" s="6787"/>
      <c r="N251" s="6787"/>
      <c r="O251" s="6787"/>
      <c r="P251" s="6788"/>
      <c r="Q251" s="6789"/>
      <c r="R251" s="6790"/>
      <c r="S251" s="6786"/>
      <c r="T251" s="6791"/>
      <c r="U251" s="6844"/>
      <c r="V251" s="6791"/>
      <c r="W251" s="8487"/>
      <c r="X251" s="6871"/>
      <c r="Y251" s="6793"/>
      <c r="Z251" s="6794"/>
      <c r="AA251" s="6795"/>
      <c r="AB251" s="6796"/>
      <c r="AC251" s="6797"/>
      <c r="AD251" s="6798"/>
      <c r="AE251" s="4" t="s">
        <v>1</v>
      </c>
      <c r="AF251" s="6202" t="str">
        <f t="shared" si="95"/>
        <v>►</v>
      </c>
      <c r="AG251" s="6234" t="str">
        <f t="shared" si="96"/>
        <v/>
      </c>
      <c r="AH251" s="6732" t="str">
        <f t="shared" si="97"/>
        <v/>
      </c>
      <c r="AI251" s="6234" t="str">
        <f t="shared" si="98"/>
        <v/>
      </c>
      <c r="AJ251" s="6732" t="str">
        <f t="shared" si="99"/>
        <v/>
      </c>
      <c r="AK251" s="6732">
        <f t="shared" si="100"/>
        <v>0</v>
      </c>
      <c r="AL251" s="6230" t="str" cm="1">
        <f t="array" ref="AL251">IF(AF251&lt;&gt;"A","",IFERROR((IFERROR(_xlfn.XLOOKUP(TRIM(SUBSTITUTE(U251,CHAR(160)," ")),$BJ$15:$BJ$62,$BM$15:$BM$62),IFERROR(_xlfn.XLOOKUP(TRIM(SUBSTITUTE(U251,CHAR(160)," ")),$BK$15:$BK$62,$BM$15:$BM$62),_xlfn.XLOOKUP(TRIM(SUBSTITUTE(U251,CHAR(160)," ")),$BL$15:$BL$62,$BM$15:$BM$62))))*T251*IF(ISBLANK(Q251),1,Q251)+IFERROR(_xlfn.XLOOKUP("RECHERCHEX",TRIM(L251:AD251),L251:AD251),0),0))</f>
        <v/>
      </c>
      <c r="AM251" s="6229">
        <f t="shared" si="101"/>
        <v>0</v>
      </c>
      <c r="AN251" s="6857" t="str">
        <f t="shared" si="116"/>
        <v/>
      </c>
      <c r="AO251" s="392">
        <f t="shared" si="102"/>
        <v>0</v>
      </c>
      <c r="AP251" s="392">
        <f t="shared" si="103"/>
        <v>0</v>
      </c>
      <c r="AQ251" s="6191">
        <f t="shared" si="104"/>
        <v>0</v>
      </c>
      <c r="AR251" s="6859" t="str">
        <f t="shared" si="105"/>
        <v/>
      </c>
      <c r="AS251" s="6217"/>
      <c r="AT251" s="6217"/>
      <c r="AU251" s="6272">
        <f t="shared" si="106"/>
        <v>0</v>
      </c>
      <c r="AV251" s="6240">
        <f t="shared" si="107"/>
        <v>0</v>
      </c>
      <c r="AW251" s="6189" cm="1">
        <f t="array" ref="AW251">IF(AK251&lt;&gt;1,0,IF(OR(AU251="",N(AU251)&lt;=0.000000001),"",IF(OR(AO251="",N(AO251)&lt;=0.000000001),0,IF(ISNUMBER(AU251),IFERROR(_xlfn.LET(_xlpm.ai_test,TRIM(AJ251),_xlpm.r,IFERROR(_xlfn.XLOOKUP(_xlpm.ai_test,$BJ$15:$BJ$62,ROW($BJ$15:$BJ$62),0,1),IFERROR(_xlfn.XLOOKUP(_xlpm.ai_test,$BK$15:$BK$62,ROW($BK$15:$BK$62),0,1),_xlfn.XLOOKUP(_xlpm.ai_test,$BL$15:$BL$62,ROW($BL$15:$BL$62),0,1))),_xlpm.p,_xlpm.r-MIN(ROW($BJ$15:$BJ$62))+1,_xlpm.f,INDEX($BM$15:$BM$62,_xlpm.p),_xlpm.u,INDEX($BN$15:$BN$62,_xlpm.p),_xlpm.s,INDEX($BP$15:$BP$62,_xlpm.p),_xlpm.q,N(AU251)/_xlpm.f,IF(_xlpm.q&gt;=_xlpm.s,ROUND(_xlpm.q,1)&amp;" "&amp;_xlpm.ai_test&amp;" = "&amp;ROUND(_xlpm.q*_xlpm.f,1)&amp;" "&amp;_xlpm.u,ROUND(_xlpm.q,1)&amp;" "&amp;_xlpm.ai_test)),""),""))))</f>
        <v>0</v>
      </c>
      <c r="AX251" s="6218"/>
      <c r="AY251" s="6272">
        <f t="shared" si="108"/>
        <v>0</v>
      </c>
      <c r="AZ251" s="6240" t="str">
        <f t="shared" si="109"/>
        <v/>
      </c>
      <c r="BA251" s="6195">
        <f t="shared" si="114"/>
        <v>0</v>
      </c>
      <c r="BB251" s="6193" t="str">
        <f t="shared" si="110"/>
        <v/>
      </c>
      <c r="BC251" s="6219"/>
      <c r="BD251" s="6222">
        <f t="shared" si="115"/>
        <v>0</v>
      </c>
      <c r="BE251" s="6220" t="str">
        <f t="shared" si="111"/>
        <v/>
      </c>
      <c r="BF251" s="4" t="s">
        <v>1</v>
      </c>
      <c r="BG251" s="6196">
        <f t="shared" si="112"/>
        <v>0</v>
      </c>
      <c r="BH251" s="6197">
        <f t="shared" si="113"/>
        <v>0</v>
      </c>
      <c r="BI251"/>
      <c r="BJ251" s="1"/>
      <c r="BK251" s="1"/>
      <c r="BL251" s="1"/>
      <c r="BM251" s="1"/>
      <c r="BN251" s="1"/>
      <c r="BO251" s="1"/>
      <c r="BP251" s="1"/>
      <c r="BQ251" s="1"/>
      <c r="BX251" s="20" t="str">
        <f t="shared" si="94"/>
        <v>►</v>
      </c>
      <c r="CC251"/>
      <c r="CD251" s="2"/>
      <c r="CL251" s="1"/>
      <c r="CT251" s="1"/>
      <c r="DB251" s="1"/>
      <c r="DC251" s="5">
        <v>1</v>
      </c>
    </row>
    <row r="252" spans="1:107" ht="21" customHeight="1">
      <c r="A252" s="5641" t="s">
        <v>1</v>
      </c>
      <c r="B252" s="5662" t="str">
        <f t="shared" si="93"/>
        <v>►</v>
      </c>
      <c r="C252" s="5825" cm="1">
        <f t="array" ref="C252">SUMPRODUCT(LEN(D252:J252))</f>
        <v>0</v>
      </c>
      <c r="D252" s="5275"/>
      <c r="E252" s="1361"/>
      <c r="F252" s="1361"/>
      <c r="G252" s="1361"/>
      <c r="H252" s="1361"/>
      <c r="I252" s="1361"/>
      <c r="J252" s="5276"/>
      <c r="K252" s="106"/>
      <c r="L252" s="1021" t="s">
        <v>26</v>
      </c>
      <c r="M252" s="6787"/>
      <c r="N252" s="6787"/>
      <c r="O252" s="6787"/>
      <c r="P252" s="6788"/>
      <c r="Q252" s="6789"/>
      <c r="R252" s="6790"/>
      <c r="S252" s="6786"/>
      <c r="T252" s="6791"/>
      <c r="U252" s="6844"/>
      <c r="V252" s="6791"/>
      <c r="W252" s="8487"/>
      <c r="X252" s="6871"/>
      <c r="Y252" s="6793"/>
      <c r="Z252" s="6794"/>
      <c r="AA252" s="6795"/>
      <c r="AB252" s="6796"/>
      <c r="AC252" s="6797"/>
      <c r="AD252" s="6798"/>
      <c r="AE252" s="4" t="s">
        <v>1</v>
      </c>
      <c r="AF252" s="6202" t="str">
        <f t="shared" si="95"/>
        <v>►</v>
      </c>
      <c r="AG252" s="6234" t="str">
        <f t="shared" si="96"/>
        <v/>
      </c>
      <c r="AH252" s="6732" t="str">
        <f t="shared" si="97"/>
        <v/>
      </c>
      <c r="AI252" s="6234" t="str">
        <f t="shared" si="98"/>
        <v/>
      </c>
      <c r="AJ252" s="6732" t="str">
        <f t="shared" si="99"/>
        <v/>
      </c>
      <c r="AK252" s="6732">
        <f t="shared" si="100"/>
        <v>0</v>
      </c>
      <c r="AL252" s="6230" t="str" cm="1">
        <f t="array" ref="AL252">IF(AF252&lt;&gt;"A","",IFERROR((IFERROR(_xlfn.XLOOKUP(TRIM(SUBSTITUTE(U252,CHAR(160)," ")),$BJ$15:$BJ$62,$BM$15:$BM$62),IFERROR(_xlfn.XLOOKUP(TRIM(SUBSTITUTE(U252,CHAR(160)," ")),$BK$15:$BK$62,$BM$15:$BM$62),_xlfn.XLOOKUP(TRIM(SUBSTITUTE(U252,CHAR(160)," ")),$BL$15:$BL$62,$BM$15:$BM$62))))*T252*IF(ISBLANK(Q252),1,Q252)+IFERROR(_xlfn.XLOOKUP("RECHERCHEX",TRIM(L252:AD252),L252:AD252),0),0))</f>
        <v/>
      </c>
      <c r="AM252" s="6229">
        <f t="shared" si="101"/>
        <v>0</v>
      </c>
      <c r="AN252" s="6857" t="str">
        <f t="shared" si="116"/>
        <v/>
      </c>
      <c r="AO252" s="392">
        <f t="shared" si="102"/>
        <v>0</v>
      </c>
      <c r="AP252" s="392">
        <f t="shared" si="103"/>
        <v>0</v>
      </c>
      <c r="AQ252" s="6190">
        <f t="shared" si="104"/>
        <v>0</v>
      </c>
      <c r="AR252" s="6858" t="str">
        <f t="shared" si="105"/>
        <v/>
      </c>
      <c r="AS252" s="6217"/>
      <c r="AT252" s="6217"/>
      <c r="AU252" s="6271">
        <f t="shared" si="106"/>
        <v>0</v>
      </c>
      <c r="AV252" s="6242">
        <f t="shared" si="107"/>
        <v>0</v>
      </c>
      <c r="AW252" s="6188" cm="1">
        <f t="array" ref="AW252">IF(AK252&lt;&gt;1,0,IF(OR(AU252="",N(AU252)&lt;=0.000000001),"",IF(OR(AO252="",N(AO252)&lt;=0.000000001),0,IF(ISNUMBER(AU252),IFERROR(_xlfn.LET(_xlpm.ai_test,TRIM(AJ252),_xlpm.r,IFERROR(_xlfn.XLOOKUP(_xlpm.ai_test,$BJ$15:$BJ$62,ROW($BJ$15:$BJ$62),0,1),IFERROR(_xlfn.XLOOKUP(_xlpm.ai_test,$BK$15:$BK$62,ROW($BK$15:$BK$62),0,1),_xlfn.XLOOKUP(_xlpm.ai_test,$BL$15:$BL$62,ROW($BL$15:$BL$62),0,1))),_xlpm.p,_xlpm.r-MIN(ROW($BJ$15:$BJ$62))+1,_xlpm.f,INDEX($BM$15:$BM$62,_xlpm.p),_xlpm.u,INDEX($BN$15:$BN$62,_xlpm.p),_xlpm.s,INDEX($BP$15:$BP$62,_xlpm.p),_xlpm.q,N(AU252)/_xlpm.f,IF(_xlpm.q&gt;=_xlpm.s,ROUND(_xlpm.q,1)&amp;" "&amp;_xlpm.ai_test&amp;" = "&amp;ROUND(_xlpm.q*_xlpm.f,1)&amp;" "&amp;_xlpm.u,ROUND(_xlpm.q,1)&amp;" "&amp;_xlpm.ai_test)),""),""))))</f>
        <v>0</v>
      </c>
      <c r="AX252" s="6218"/>
      <c r="AY252" s="6271">
        <f t="shared" si="108"/>
        <v>0</v>
      </c>
      <c r="AZ252" s="6242" t="str">
        <f t="shared" si="109"/>
        <v/>
      </c>
      <c r="BA252" s="6194">
        <f t="shared" si="114"/>
        <v>0</v>
      </c>
      <c r="BB252" s="6192" t="str">
        <f t="shared" si="110"/>
        <v/>
      </c>
      <c r="BC252" s="6219"/>
      <c r="BD252" s="6221">
        <f t="shared" si="115"/>
        <v>0</v>
      </c>
      <c r="BE252" s="6220" t="str">
        <f t="shared" si="111"/>
        <v/>
      </c>
      <c r="BF252" s="4" t="s">
        <v>1</v>
      </c>
      <c r="BG252" s="6196">
        <f t="shared" si="112"/>
        <v>0</v>
      </c>
      <c r="BH252" s="6197">
        <f t="shared" si="113"/>
        <v>0</v>
      </c>
      <c r="BI252"/>
      <c r="BJ252" s="1"/>
      <c r="BK252" s="1"/>
      <c r="BL252" s="1"/>
      <c r="BM252" s="1"/>
      <c r="BN252" s="1"/>
      <c r="BO252" s="1"/>
      <c r="BP252" s="1"/>
      <c r="BQ252" s="1"/>
      <c r="BX252" s="20" t="str">
        <f t="shared" si="94"/>
        <v>►</v>
      </c>
      <c r="CC252"/>
      <c r="CD252" s="2"/>
      <c r="CL252" s="1"/>
      <c r="CT252" s="1"/>
      <c r="DB252" s="1"/>
      <c r="DC252" s="5">
        <v>1</v>
      </c>
    </row>
    <row r="253" spans="1:107" ht="21" customHeight="1">
      <c r="A253" s="5641" t="s">
        <v>1</v>
      </c>
      <c r="B253" s="5662" t="str">
        <f t="shared" si="93"/>
        <v>►</v>
      </c>
      <c r="C253" s="5825" cm="1">
        <f t="array" ref="C253">SUMPRODUCT(LEN(D253:J253))</f>
        <v>0</v>
      </c>
      <c r="D253" s="5275"/>
      <c r="E253" s="1361"/>
      <c r="F253" s="1361"/>
      <c r="G253" s="1361"/>
      <c r="H253" s="1361"/>
      <c r="I253" s="1361"/>
      <c r="J253" s="5276"/>
      <c r="K253" s="106"/>
      <c r="L253" s="1021" t="s">
        <v>26</v>
      </c>
      <c r="M253" s="6787"/>
      <c r="N253" s="6787"/>
      <c r="O253" s="6787"/>
      <c r="P253" s="6788"/>
      <c r="Q253" s="6789"/>
      <c r="R253" s="6790"/>
      <c r="S253" s="6786"/>
      <c r="T253" s="6791"/>
      <c r="U253" s="6844"/>
      <c r="V253" s="6791"/>
      <c r="W253" s="8487"/>
      <c r="X253" s="6871"/>
      <c r="Y253" s="6793"/>
      <c r="Z253" s="6794"/>
      <c r="AA253" s="6795"/>
      <c r="AB253" s="6796"/>
      <c r="AC253" s="6797"/>
      <c r="AD253" s="6798"/>
      <c r="AE253" s="4" t="s">
        <v>1</v>
      </c>
      <c r="AF253" s="6202" t="str">
        <f t="shared" si="95"/>
        <v>►</v>
      </c>
      <c r="AG253" s="6234" t="str">
        <f t="shared" si="96"/>
        <v/>
      </c>
      <c r="AH253" s="6732" t="str">
        <f t="shared" si="97"/>
        <v/>
      </c>
      <c r="AI253" s="6234" t="str">
        <f t="shared" si="98"/>
        <v/>
      </c>
      <c r="AJ253" s="6732" t="str">
        <f t="shared" si="99"/>
        <v/>
      </c>
      <c r="AK253" s="6732">
        <f t="shared" si="100"/>
        <v>0</v>
      </c>
      <c r="AL253" s="6230" t="str" cm="1">
        <f t="array" ref="AL253">IF(AF253&lt;&gt;"A","",IFERROR((IFERROR(_xlfn.XLOOKUP(TRIM(SUBSTITUTE(U253,CHAR(160)," ")),$BJ$15:$BJ$62,$BM$15:$BM$62),IFERROR(_xlfn.XLOOKUP(TRIM(SUBSTITUTE(U253,CHAR(160)," ")),$BK$15:$BK$62,$BM$15:$BM$62),_xlfn.XLOOKUP(TRIM(SUBSTITUTE(U253,CHAR(160)," ")),$BL$15:$BL$62,$BM$15:$BM$62))))*T253*IF(ISBLANK(Q253),1,Q253)+IFERROR(_xlfn.XLOOKUP("RECHERCHEX",TRIM(L253:AD253),L253:AD253),0),0))</f>
        <v/>
      </c>
      <c r="AM253" s="6229">
        <f t="shared" si="101"/>
        <v>0</v>
      </c>
      <c r="AN253" s="6857" t="str">
        <f t="shared" si="116"/>
        <v/>
      </c>
      <c r="AO253" s="392">
        <f t="shared" si="102"/>
        <v>0</v>
      </c>
      <c r="AP253" s="392">
        <f t="shared" si="103"/>
        <v>0</v>
      </c>
      <c r="AQ253" s="6191">
        <f t="shared" si="104"/>
        <v>0</v>
      </c>
      <c r="AR253" s="6859" t="str">
        <f t="shared" si="105"/>
        <v/>
      </c>
      <c r="AS253" s="6217"/>
      <c r="AT253" s="6217"/>
      <c r="AU253" s="6272">
        <f t="shared" si="106"/>
        <v>0</v>
      </c>
      <c r="AV253" s="6240">
        <f t="shared" si="107"/>
        <v>0</v>
      </c>
      <c r="AW253" s="6189" cm="1">
        <f t="array" ref="AW253">IF(AK253&lt;&gt;1,0,IF(OR(AU253="",N(AU253)&lt;=0.000000001),"",IF(OR(AO253="",N(AO253)&lt;=0.000000001),0,IF(ISNUMBER(AU253),IFERROR(_xlfn.LET(_xlpm.ai_test,TRIM(AJ253),_xlpm.r,IFERROR(_xlfn.XLOOKUP(_xlpm.ai_test,$BJ$15:$BJ$62,ROW($BJ$15:$BJ$62),0,1),IFERROR(_xlfn.XLOOKUP(_xlpm.ai_test,$BK$15:$BK$62,ROW($BK$15:$BK$62),0,1),_xlfn.XLOOKUP(_xlpm.ai_test,$BL$15:$BL$62,ROW($BL$15:$BL$62),0,1))),_xlpm.p,_xlpm.r-MIN(ROW($BJ$15:$BJ$62))+1,_xlpm.f,INDEX($BM$15:$BM$62,_xlpm.p),_xlpm.u,INDEX($BN$15:$BN$62,_xlpm.p),_xlpm.s,INDEX($BP$15:$BP$62,_xlpm.p),_xlpm.q,N(AU253)/_xlpm.f,IF(_xlpm.q&gt;=_xlpm.s,ROUND(_xlpm.q,1)&amp;" "&amp;_xlpm.ai_test&amp;" = "&amp;ROUND(_xlpm.q*_xlpm.f,1)&amp;" "&amp;_xlpm.u,ROUND(_xlpm.q,1)&amp;" "&amp;_xlpm.ai_test)),""),""))))</f>
        <v>0</v>
      </c>
      <c r="AX253" s="6218"/>
      <c r="AY253" s="6272">
        <f t="shared" si="108"/>
        <v>0</v>
      </c>
      <c r="AZ253" s="6240" t="str">
        <f t="shared" si="109"/>
        <v/>
      </c>
      <c r="BA253" s="6195">
        <f t="shared" si="114"/>
        <v>0</v>
      </c>
      <c r="BB253" s="6193" t="str">
        <f t="shared" si="110"/>
        <v/>
      </c>
      <c r="BC253" s="6219"/>
      <c r="BD253" s="6222">
        <f t="shared" si="115"/>
        <v>0</v>
      </c>
      <c r="BE253" s="6220" t="str">
        <f t="shared" si="111"/>
        <v/>
      </c>
      <c r="BF253" s="4" t="s">
        <v>1</v>
      </c>
      <c r="BG253" s="6196">
        <f t="shared" si="112"/>
        <v>0</v>
      </c>
      <c r="BH253" s="6197">
        <f t="shared" si="113"/>
        <v>0</v>
      </c>
      <c r="BI253"/>
      <c r="BJ253" s="1"/>
      <c r="BK253" s="1"/>
      <c r="BL253" s="1"/>
      <c r="BM253" s="1"/>
      <c r="BN253" s="1"/>
      <c r="BO253" s="1"/>
      <c r="BP253" s="1"/>
      <c r="BQ253" s="1"/>
      <c r="BX253" s="20" t="str">
        <f t="shared" si="94"/>
        <v>►</v>
      </c>
      <c r="CC253"/>
      <c r="CD253" s="2"/>
      <c r="CL253" s="1"/>
      <c r="CT253" s="1"/>
      <c r="DB253" s="1"/>
      <c r="DC253" s="5">
        <v>1</v>
      </c>
    </row>
    <row r="254" spans="1:107" ht="21" customHeight="1">
      <c r="A254" s="5641" t="s">
        <v>1</v>
      </c>
      <c r="B254" s="5662" t="str">
        <f t="shared" si="93"/>
        <v>►</v>
      </c>
      <c r="C254" s="5825" cm="1">
        <f t="array" ref="C254">SUMPRODUCT(LEN(D254:J254))</f>
        <v>0</v>
      </c>
      <c r="D254" s="5275"/>
      <c r="E254" s="1361"/>
      <c r="F254" s="1361"/>
      <c r="G254" s="1361"/>
      <c r="H254" s="1361"/>
      <c r="I254" s="1361"/>
      <c r="J254" s="5276"/>
      <c r="K254" s="106"/>
      <c r="L254" s="1021" t="s">
        <v>26</v>
      </c>
      <c r="M254" s="6787"/>
      <c r="N254" s="6787"/>
      <c r="O254" s="6787"/>
      <c r="P254" s="6788"/>
      <c r="Q254" s="6789"/>
      <c r="R254" s="6790"/>
      <c r="S254" s="6786"/>
      <c r="T254" s="6791"/>
      <c r="U254" s="6844"/>
      <c r="V254" s="6791"/>
      <c r="W254" s="8487"/>
      <c r="X254" s="6871"/>
      <c r="Y254" s="6793"/>
      <c r="Z254" s="6794"/>
      <c r="AA254" s="6795"/>
      <c r="AB254" s="6796"/>
      <c r="AC254" s="6797"/>
      <c r="AD254" s="6798"/>
      <c r="AE254" s="4" t="s">
        <v>1</v>
      </c>
      <c r="AF254" s="6202" t="str">
        <f t="shared" si="95"/>
        <v>►</v>
      </c>
      <c r="AG254" s="6234" t="str">
        <f t="shared" si="96"/>
        <v/>
      </c>
      <c r="AH254" s="6732" t="str">
        <f t="shared" si="97"/>
        <v/>
      </c>
      <c r="AI254" s="6234" t="str">
        <f t="shared" si="98"/>
        <v/>
      </c>
      <c r="AJ254" s="6732" t="str">
        <f t="shared" si="99"/>
        <v/>
      </c>
      <c r="AK254" s="6732">
        <f t="shared" si="100"/>
        <v>0</v>
      </c>
      <c r="AL254" s="6230" t="str" cm="1">
        <f t="array" ref="AL254">IF(AF254&lt;&gt;"A","",IFERROR((IFERROR(_xlfn.XLOOKUP(TRIM(SUBSTITUTE(U254,CHAR(160)," ")),$BJ$15:$BJ$62,$BM$15:$BM$62),IFERROR(_xlfn.XLOOKUP(TRIM(SUBSTITUTE(U254,CHAR(160)," ")),$BK$15:$BK$62,$BM$15:$BM$62),_xlfn.XLOOKUP(TRIM(SUBSTITUTE(U254,CHAR(160)," ")),$BL$15:$BL$62,$BM$15:$BM$62))))*T254*IF(ISBLANK(Q254),1,Q254)+IFERROR(_xlfn.XLOOKUP("RECHERCHEX",TRIM(L254:AD254),L254:AD254),0),0))</f>
        <v/>
      </c>
      <c r="AM254" s="6229">
        <f t="shared" si="101"/>
        <v>0</v>
      </c>
      <c r="AN254" s="6857" t="str">
        <f t="shared" si="116"/>
        <v/>
      </c>
      <c r="AO254" s="392">
        <f t="shared" si="102"/>
        <v>0</v>
      </c>
      <c r="AP254" s="392">
        <f t="shared" si="103"/>
        <v>0</v>
      </c>
      <c r="AQ254" s="6190">
        <f t="shared" si="104"/>
        <v>0</v>
      </c>
      <c r="AR254" s="6858" t="str">
        <f t="shared" si="105"/>
        <v/>
      </c>
      <c r="AS254" s="6217"/>
      <c r="AT254" s="6217"/>
      <c r="AU254" s="6271">
        <f t="shared" si="106"/>
        <v>0</v>
      </c>
      <c r="AV254" s="6242">
        <f t="shared" si="107"/>
        <v>0</v>
      </c>
      <c r="AW254" s="6188" cm="1">
        <f t="array" ref="AW254">IF(AK254&lt;&gt;1,0,IF(OR(AU254="",N(AU254)&lt;=0.000000001),"",IF(OR(AO254="",N(AO254)&lt;=0.000000001),0,IF(ISNUMBER(AU254),IFERROR(_xlfn.LET(_xlpm.ai_test,TRIM(AJ254),_xlpm.r,IFERROR(_xlfn.XLOOKUP(_xlpm.ai_test,$BJ$15:$BJ$62,ROW($BJ$15:$BJ$62),0,1),IFERROR(_xlfn.XLOOKUP(_xlpm.ai_test,$BK$15:$BK$62,ROW($BK$15:$BK$62),0,1),_xlfn.XLOOKUP(_xlpm.ai_test,$BL$15:$BL$62,ROW($BL$15:$BL$62),0,1))),_xlpm.p,_xlpm.r-MIN(ROW($BJ$15:$BJ$62))+1,_xlpm.f,INDEX($BM$15:$BM$62,_xlpm.p),_xlpm.u,INDEX($BN$15:$BN$62,_xlpm.p),_xlpm.s,INDEX($BP$15:$BP$62,_xlpm.p),_xlpm.q,N(AU254)/_xlpm.f,IF(_xlpm.q&gt;=_xlpm.s,ROUND(_xlpm.q,1)&amp;" "&amp;_xlpm.ai_test&amp;" = "&amp;ROUND(_xlpm.q*_xlpm.f,1)&amp;" "&amp;_xlpm.u,ROUND(_xlpm.q,1)&amp;" "&amp;_xlpm.ai_test)),""),""))))</f>
        <v>0</v>
      </c>
      <c r="AX254" s="6218"/>
      <c r="AY254" s="6271">
        <f t="shared" si="108"/>
        <v>0</v>
      </c>
      <c r="AZ254" s="6242" t="str">
        <f t="shared" si="109"/>
        <v/>
      </c>
      <c r="BA254" s="6194">
        <f t="shared" si="114"/>
        <v>0</v>
      </c>
      <c r="BB254" s="6192" t="str">
        <f t="shared" si="110"/>
        <v/>
      </c>
      <c r="BC254" s="6219"/>
      <c r="BD254" s="6221">
        <f t="shared" si="115"/>
        <v>0</v>
      </c>
      <c r="BE254" s="6220" t="str">
        <f t="shared" si="111"/>
        <v/>
      </c>
      <c r="BF254" s="4" t="s">
        <v>1</v>
      </c>
      <c r="BG254" s="6196">
        <f t="shared" si="112"/>
        <v>0</v>
      </c>
      <c r="BH254" s="6197">
        <f t="shared" si="113"/>
        <v>0</v>
      </c>
      <c r="BI254"/>
      <c r="BJ254" s="1"/>
      <c r="BK254" s="1"/>
      <c r="BL254" s="1"/>
      <c r="BM254" s="1"/>
      <c r="BN254" s="1"/>
      <c r="BO254" s="1"/>
      <c r="BP254" s="1"/>
      <c r="BQ254" s="1"/>
      <c r="BX254" s="20" t="str">
        <f t="shared" si="94"/>
        <v>►</v>
      </c>
      <c r="CC254"/>
      <c r="CD254" s="2"/>
      <c r="CL254" s="1"/>
      <c r="CT254" s="1"/>
      <c r="DB254" s="1"/>
      <c r="DC254" s="5">
        <v>1</v>
      </c>
    </row>
    <row r="255" spans="1:107" ht="21" customHeight="1">
      <c r="A255" s="5641" t="s">
        <v>1</v>
      </c>
      <c r="B255" s="5662" t="str">
        <f t="shared" si="93"/>
        <v>►</v>
      </c>
      <c r="C255" s="5825" cm="1">
        <f t="array" ref="C255">SUMPRODUCT(LEN(D255:J255))</f>
        <v>0</v>
      </c>
      <c r="D255" s="5275"/>
      <c r="E255" s="1361"/>
      <c r="F255" s="1361"/>
      <c r="G255" s="1361"/>
      <c r="H255" s="1361"/>
      <c r="I255" s="1361"/>
      <c r="J255" s="5276"/>
      <c r="K255" s="106"/>
      <c r="L255" s="1021" t="s">
        <v>26</v>
      </c>
      <c r="M255" s="6787"/>
      <c r="N255" s="6787"/>
      <c r="O255" s="6787"/>
      <c r="P255" s="6788"/>
      <c r="Q255" s="6789"/>
      <c r="R255" s="6790"/>
      <c r="S255" s="6786"/>
      <c r="T255" s="6791"/>
      <c r="U255" s="6844"/>
      <c r="V255" s="6791"/>
      <c r="W255" s="8487"/>
      <c r="X255" s="6871"/>
      <c r="Y255" s="6793"/>
      <c r="Z255" s="6794"/>
      <c r="AA255" s="6795"/>
      <c r="AB255" s="6796"/>
      <c r="AC255" s="6797"/>
      <c r="AD255" s="6798"/>
      <c r="AE255" s="4" t="s">
        <v>1</v>
      </c>
      <c r="AF255" s="6202" t="str">
        <f t="shared" si="95"/>
        <v>►</v>
      </c>
      <c r="AG255" s="6234" t="str">
        <f t="shared" si="96"/>
        <v/>
      </c>
      <c r="AH255" s="6732" t="str">
        <f t="shared" si="97"/>
        <v/>
      </c>
      <c r="AI255" s="6234" t="str">
        <f t="shared" si="98"/>
        <v/>
      </c>
      <c r="AJ255" s="6732" t="str">
        <f t="shared" si="99"/>
        <v/>
      </c>
      <c r="AK255" s="6732">
        <f t="shared" si="100"/>
        <v>0</v>
      </c>
      <c r="AL255" s="6230" t="str" cm="1">
        <f t="array" ref="AL255">IF(AF255&lt;&gt;"A","",IFERROR((IFERROR(_xlfn.XLOOKUP(TRIM(SUBSTITUTE(U255,CHAR(160)," ")),$BJ$15:$BJ$62,$BM$15:$BM$62),IFERROR(_xlfn.XLOOKUP(TRIM(SUBSTITUTE(U255,CHAR(160)," ")),$BK$15:$BK$62,$BM$15:$BM$62),_xlfn.XLOOKUP(TRIM(SUBSTITUTE(U255,CHAR(160)," ")),$BL$15:$BL$62,$BM$15:$BM$62))))*T255*IF(ISBLANK(Q255),1,Q255)+IFERROR(_xlfn.XLOOKUP("RECHERCHEX",TRIM(L255:AD255),L255:AD255),0),0))</f>
        <v/>
      </c>
      <c r="AM255" s="6229">
        <f t="shared" si="101"/>
        <v>0</v>
      </c>
      <c r="AN255" s="6857" t="str">
        <f t="shared" si="116"/>
        <v/>
      </c>
      <c r="AO255" s="392">
        <f t="shared" si="102"/>
        <v>0</v>
      </c>
      <c r="AP255" s="392">
        <f t="shared" si="103"/>
        <v>0</v>
      </c>
      <c r="AQ255" s="6191">
        <f t="shared" si="104"/>
        <v>0</v>
      </c>
      <c r="AR255" s="6859" t="str">
        <f t="shared" si="105"/>
        <v/>
      </c>
      <c r="AS255" s="6217"/>
      <c r="AT255" s="6217"/>
      <c r="AU255" s="6272">
        <f t="shared" si="106"/>
        <v>0</v>
      </c>
      <c r="AV255" s="6240">
        <f t="shared" si="107"/>
        <v>0</v>
      </c>
      <c r="AW255" s="6189" cm="1">
        <f t="array" ref="AW255">IF(AK255&lt;&gt;1,0,IF(OR(AU255="",N(AU255)&lt;=0.000000001),"",IF(OR(AO255="",N(AO255)&lt;=0.000000001),0,IF(ISNUMBER(AU255),IFERROR(_xlfn.LET(_xlpm.ai_test,TRIM(AJ255),_xlpm.r,IFERROR(_xlfn.XLOOKUP(_xlpm.ai_test,$BJ$15:$BJ$62,ROW($BJ$15:$BJ$62),0,1),IFERROR(_xlfn.XLOOKUP(_xlpm.ai_test,$BK$15:$BK$62,ROW($BK$15:$BK$62),0,1),_xlfn.XLOOKUP(_xlpm.ai_test,$BL$15:$BL$62,ROW($BL$15:$BL$62),0,1))),_xlpm.p,_xlpm.r-MIN(ROW($BJ$15:$BJ$62))+1,_xlpm.f,INDEX($BM$15:$BM$62,_xlpm.p),_xlpm.u,INDEX($BN$15:$BN$62,_xlpm.p),_xlpm.s,INDEX($BP$15:$BP$62,_xlpm.p),_xlpm.q,N(AU255)/_xlpm.f,IF(_xlpm.q&gt;=_xlpm.s,ROUND(_xlpm.q,1)&amp;" "&amp;_xlpm.ai_test&amp;" = "&amp;ROUND(_xlpm.q*_xlpm.f,1)&amp;" "&amp;_xlpm.u,ROUND(_xlpm.q,1)&amp;" "&amp;_xlpm.ai_test)),""),""))))</f>
        <v>0</v>
      </c>
      <c r="AX255" s="6218"/>
      <c r="AY255" s="6272">
        <f t="shared" si="108"/>
        <v>0</v>
      </c>
      <c r="AZ255" s="6240" t="str">
        <f t="shared" si="109"/>
        <v/>
      </c>
      <c r="BA255" s="6195">
        <f t="shared" si="114"/>
        <v>0</v>
      </c>
      <c r="BB255" s="6193" t="str">
        <f t="shared" si="110"/>
        <v/>
      </c>
      <c r="BC255" s="6219"/>
      <c r="BD255" s="6222">
        <f t="shared" si="115"/>
        <v>0</v>
      </c>
      <c r="BE255" s="6220" t="str">
        <f t="shared" si="111"/>
        <v/>
      </c>
      <c r="BF255" s="4" t="s">
        <v>1</v>
      </c>
      <c r="BG255" s="6196">
        <f t="shared" si="112"/>
        <v>0</v>
      </c>
      <c r="BH255" s="6197">
        <f t="shared" si="113"/>
        <v>0</v>
      </c>
      <c r="BI255"/>
      <c r="BJ255" s="1"/>
      <c r="BK255" s="1"/>
      <c r="BL255" s="1"/>
      <c r="BM255" s="1"/>
      <c r="BN255" s="1"/>
      <c r="BO255" s="1"/>
      <c r="BP255" s="1"/>
      <c r="BQ255" s="1"/>
      <c r="BX255" s="20" t="str">
        <f t="shared" si="94"/>
        <v>►</v>
      </c>
      <c r="CC255"/>
      <c r="CD255" s="2"/>
      <c r="CL255" s="1"/>
      <c r="CT255" s="1"/>
      <c r="DB255" s="1"/>
      <c r="DC255" s="5">
        <v>1</v>
      </c>
    </row>
    <row r="256" spans="1:107" ht="21" customHeight="1">
      <c r="A256" s="5641" t="s">
        <v>1</v>
      </c>
      <c r="B256" s="5662" t="str">
        <f t="shared" si="93"/>
        <v>►</v>
      </c>
      <c r="C256" s="5825" cm="1">
        <f t="array" ref="C256">SUMPRODUCT(LEN(D256:J256))</f>
        <v>0</v>
      </c>
      <c r="D256" s="5275"/>
      <c r="E256" s="1361"/>
      <c r="F256" s="1361"/>
      <c r="G256" s="1361"/>
      <c r="H256" s="1361"/>
      <c r="I256" s="1361"/>
      <c r="J256" s="5276"/>
      <c r="K256" s="106"/>
      <c r="L256" s="1021" t="s">
        <v>26</v>
      </c>
      <c r="M256" s="6787"/>
      <c r="N256" s="6787"/>
      <c r="O256" s="6787"/>
      <c r="P256" s="6788"/>
      <c r="Q256" s="6789"/>
      <c r="R256" s="6790"/>
      <c r="S256" s="6786"/>
      <c r="T256" s="6791"/>
      <c r="U256" s="6844"/>
      <c r="V256" s="6791"/>
      <c r="W256" s="8487"/>
      <c r="X256" s="6871"/>
      <c r="Y256" s="6793"/>
      <c r="Z256" s="6794"/>
      <c r="AA256" s="6795"/>
      <c r="AB256" s="6796"/>
      <c r="AC256" s="6797"/>
      <c r="AD256" s="6798"/>
      <c r="AE256" s="4" t="s">
        <v>1</v>
      </c>
      <c r="AF256" s="6202" t="str">
        <f t="shared" si="95"/>
        <v>►</v>
      </c>
      <c r="AG256" s="6234" t="str">
        <f t="shared" si="96"/>
        <v/>
      </c>
      <c r="AH256" s="6732" t="str">
        <f t="shared" si="97"/>
        <v/>
      </c>
      <c r="AI256" s="6234" t="str">
        <f t="shared" si="98"/>
        <v/>
      </c>
      <c r="AJ256" s="6732" t="str">
        <f t="shared" si="99"/>
        <v/>
      </c>
      <c r="AK256" s="6732">
        <f t="shared" si="100"/>
        <v>0</v>
      </c>
      <c r="AL256" s="6230" t="str" cm="1">
        <f t="array" ref="AL256">IF(AF256&lt;&gt;"A","",IFERROR((IFERROR(_xlfn.XLOOKUP(TRIM(SUBSTITUTE(U256,CHAR(160)," ")),$BJ$15:$BJ$62,$BM$15:$BM$62),IFERROR(_xlfn.XLOOKUP(TRIM(SUBSTITUTE(U256,CHAR(160)," ")),$BK$15:$BK$62,$BM$15:$BM$62),_xlfn.XLOOKUP(TRIM(SUBSTITUTE(U256,CHAR(160)," ")),$BL$15:$BL$62,$BM$15:$BM$62))))*T256*IF(ISBLANK(Q256),1,Q256)+IFERROR(_xlfn.XLOOKUP("RECHERCHEX",TRIM(L256:AD256),L256:AD256),0),0))</f>
        <v/>
      </c>
      <c r="AM256" s="6229">
        <f t="shared" si="101"/>
        <v>0</v>
      </c>
      <c r="AN256" s="6857" t="str">
        <f t="shared" si="116"/>
        <v/>
      </c>
      <c r="AO256" s="392">
        <f t="shared" si="102"/>
        <v>0</v>
      </c>
      <c r="AP256" s="392">
        <f t="shared" si="103"/>
        <v>0</v>
      </c>
      <c r="AQ256" s="6190">
        <f t="shared" si="104"/>
        <v>0</v>
      </c>
      <c r="AR256" s="6858" t="str">
        <f t="shared" si="105"/>
        <v/>
      </c>
      <c r="AS256" s="6217"/>
      <c r="AT256" s="6217"/>
      <c r="AU256" s="6271">
        <f t="shared" si="106"/>
        <v>0</v>
      </c>
      <c r="AV256" s="6242">
        <f t="shared" si="107"/>
        <v>0</v>
      </c>
      <c r="AW256" s="6188" cm="1">
        <f t="array" ref="AW256">IF(AK256&lt;&gt;1,0,IF(OR(AU256="",N(AU256)&lt;=0.000000001),"",IF(OR(AO256="",N(AO256)&lt;=0.000000001),0,IF(ISNUMBER(AU256),IFERROR(_xlfn.LET(_xlpm.ai_test,TRIM(AJ256),_xlpm.r,IFERROR(_xlfn.XLOOKUP(_xlpm.ai_test,$BJ$15:$BJ$62,ROW($BJ$15:$BJ$62),0,1),IFERROR(_xlfn.XLOOKUP(_xlpm.ai_test,$BK$15:$BK$62,ROW($BK$15:$BK$62),0,1),_xlfn.XLOOKUP(_xlpm.ai_test,$BL$15:$BL$62,ROW($BL$15:$BL$62),0,1))),_xlpm.p,_xlpm.r-MIN(ROW($BJ$15:$BJ$62))+1,_xlpm.f,INDEX($BM$15:$BM$62,_xlpm.p),_xlpm.u,INDEX($BN$15:$BN$62,_xlpm.p),_xlpm.s,INDEX($BP$15:$BP$62,_xlpm.p),_xlpm.q,N(AU256)/_xlpm.f,IF(_xlpm.q&gt;=_xlpm.s,ROUND(_xlpm.q,1)&amp;" "&amp;_xlpm.ai_test&amp;" = "&amp;ROUND(_xlpm.q*_xlpm.f,1)&amp;" "&amp;_xlpm.u,ROUND(_xlpm.q,1)&amp;" "&amp;_xlpm.ai_test)),""),""))))</f>
        <v>0</v>
      </c>
      <c r="AX256" s="6218"/>
      <c r="AY256" s="6271">
        <f t="shared" si="108"/>
        <v>0</v>
      </c>
      <c r="AZ256" s="6242" t="str">
        <f t="shared" si="109"/>
        <v/>
      </c>
      <c r="BA256" s="6194">
        <f t="shared" si="114"/>
        <v>0</v>
      </c>
      <c r="BB256" s="6192" t="str">
        <f t="shared" si="110"/>
        <v/>
      </c>
      <c r="BC256" s="6219"/>
      <c r="BD256" s="6221">
        <f t="shared" si="115"/>
        <v>0</v>
      </c>
      <c r="BE256" s="6220" t="str">
        <f t="shared" si="111"/>
        <v/>
      </c>
      <c r="BF256" s="4" t="s">
        <v>1</v>
      </c>
      <c r="BG256" s="6196">
        <f t="shared" si="112"/>
        <v>0</v>
      </c>
      <c r="BH256" s="6197">
        <f t="shared" si="113"/>
        <v>0</v>
      </c>
      <c r="BI256"/>
      <c r="BJ256" s="1"/>
      <c r="BK256" s="1"/>
      <c r="BL256" s="1"/>
      <c r="BM256" s="1"/>
      <c r="BN256" s="1"/>
      <c r="BO256" s="1"/>
      <c r="BP256" s="1"/>
      <c r="BQ256" s="1"/>
      <c r="BX256" s="20" t="str">
        <f t="shared" si="94"/>
        <v>►</v>
      </c>
      <c r="CC256"/>
      <c r="CD256" s="2"/>
      <c r="CL256" s="1"/>
      <c r="CT256" s="1"/>
      <c r="DB256" s="1"/>
      <c r="DC256" s="5">
        <v>1</v>
      </c>
    </row>
    <row r="257" spans="1:109" ht="21" customHeight="1">
      <c r="A257" s="5641" t="s">
        <v>1</v>
      </c>
      <c r="B257" s="5662" t="str">
        <f t="shared" si="93"/>
        <v>►</v>
      </c>
      <c r="C257" s="5825" cm="1">
        <f t="array" ref="C257">SUMPRODUCT(LEN(D257:J257))</f>
        <v>0</v>
      </c>
      <c r="D257" s="5275"/>
      <c r="E257" s="1361"/>
      <c r="F257" s="1361"/>
      <c r="G257" s="1361"/>
      <c r="H257" s="1361"/>
      <c r="I257" s="1361"/>
      <c r="J257" s="5276"/>
      <c r="K257" s="106" t="s">
        <v>1</v>
      </c>
      <c r="L257" s="1021" t="s">
        <v>26</v>
      </c>
      <c r="M257" s="6787"/>
      <c r="N257" s="6787"/>
      <c r="O257" s="6787"/>
      <c r="P257" s="6788"/>
      <c r="Q257" s="6789"/>
      <c r="R257" s="6790"/>
      <c r="S257" s="6786"/>
      <c r="T257" s="6791"/>
      <c r="U257" s="6844"/>
      <c r="V257" s="6791"/>
      <c r="W257" s="8487"/>
      <c r="X257" s="6871"/>
      <c r="Y257" s="6793"/>
      <c r="Z257" s="6794"/>
      <c r="AA257" s="6795"/>
      <c r="AB257" s="6796"/>
      <c r="AC257" s="6797"/>
      <c r="AD257" s="6798"/>
      <c r="AE257" s="4" t="s">
        <v>1</v>
      </c>
      <c r="AF257" s="6202" t="str">
        <f t="shared" si="95"/>
        <v>►</v>
      </c>
      <c r="AG257" s="6234" t="str">
        <f t="shared" si="96"/>
        <v/>
      </c>
      <c r="AH257" s="6732" t="str">
        <f t="shared" si="97"/>
        <v/>
      </c>
      <c r="AI257" s="6234" t="str">
        <f t="shared" si="98"/>
        <v/>
      </c>
      <c r="AJ257" s="6732" t="str">
        <f t="shared" si="99"/>
        <v/>
      </c>
      <c r="AK257" s="6732">
        <f t="shared" si="100"/>
        <v>0</v>
      </c>
      <c r="AL257" s="6230" t="str" cm="1">
        <f t="array" ref="AL257">IF(AF257&lt;&gt;"A","",IFERROR((IFERROR(_xlfn.XLOOKUP(TRIM(SUBSTITUTE(U257,CHAR(160)," ")),$BJ$15:$BJ$62,$BM$15:$BM$62),IFERROR(_xlfn.XLOOKUP(TRIM(SUBSTITUTE(U257,CHAR(160)," ")),$BK$15:$BK$62,$BM$15:$BM$62),_xlfn.XLOOKUP(TRIM(SUBSTITUTE(U257,CHAR(160)," ")),$BL$15:$BL$62,$BM$15:$BM$62))))*T257*IF(ISBLANK(Q257),1,Q257)+IFERROR(_xlfn.XLOOKUP("RECHERCHEX",TRIM(L257:AD257),L257:AD257),0),0))</f>
        <v/>
      </c>
      <c r="AM257" s="6229">
        <f t="shared" si="101"/>
        <v>0</v>
      </c>
      <c r="AN257" s="6857" t="str">
        <f t="shared" si="116"/>
        <v/>
      </c>
      <c r="AO257" s="392">
        <f t="shared" si="102"/>
        <v>0</v>
      </c>
      <c r="AP257" s="392">
        <f t="shared" si="103"/>
        <v>0</v>
      </c>
      <c r="AQ257" s="6191">
        <f t="shared" si="104"/>
        <v>0</v>
      </c>
      <c r="AR257" s="6859" t="str">
        <f t="shared" si="105"/>
        <v/>
      </c>
      <c r="AS257" s="6217"/>
      <c r="AT257" s="6217"/>
      <c r="AU257" s="6272">
        <f t="shared" si="106"/>
        <v>0</v>
      </c>
      <c r="AV257" s="6240">
        <f t="shared" si="107"/>
        <v>0</v>
      </c>
      <c r="AW257" s="6189" cm="1">
        <f t="array" ref="AW257">IF(AK257&lt;&gt;1,0,IF(OR(AU257="",N(AU257)&lt;=0.000000001),"",IF(OR(AO257="",N(AO257)&lt;=0.000000001),0,IF(ISNUMBER(AU257),IFERROR(_xlfn.LET(_xlpm.ai_test,TRIM(AJ257),_xlpm.r,IFERROR(_xlfn.XLOOKUP(_xlpm.ai_test,$BJ$15:$BJ$62,ROW($BJ$15:$BJ$62),0,1),IFERROR(_xlfn.XLOOKUP(_xlpm.ai_test,$BK$15:$BK$62,ROW($BK$15:$BK$62),0,1),_xlfn.XLOOKUP(_xlpm.ai_test,$BL$15:$BL$62,ROW($BL$15:$BL$62),0,1))),_xlpm.p,_xlpm.r-MIN(ROW($BJ$15:$BJ$62))+1,_xlpm.f,INDEX($BM$15:$BM$62,_xlpm.p),_xlpm.u,INDEX($BN$15:$BN$62,_xlpm.p),_xlpm.s,INDEX($BP$15:$BP$62,_xlpm.p),_xlpm.q,N(AU257)/_xlpm.f,IF(_xlpm.q&gt;=_xlpm.s,ROUND(_xlpm.q,1)&amp;" "&amp;_xlpm.ai_test&amp;" = "&amp;ROUND(_xlpm.q*_xlpm.f,1)&amp;" "&amp;_xlpm.u,ROUND(_xlpm.q,1)&amp;" "&amp;_xlpm.ai_test)),""),""))))</f>
        <v>0</v>
      </c>
      <c r="AX257" s="6218"/>
      <c r="AY257" s="6272">
        <f t="shared" si="108"/>
        <v>0</v>
      </c>
      <c r="AZ257" s="6240" t="str">
        <f t="shared" si="109"/>
        <v/>
      </c>
      <c r="BA257" s="6195">
        <f t="shared" si="114"/>
        <v>0</v>
      </c>
      <c r="BB257" s="6193" t="str">
        <f t="shared" si="110"/>
        <v/>
      </c>
      <c r="BC257" s="6219"/>
      <c r="BD257" s="6222">
        <f t="shared" si="115"/>
        <v>0</v>
      </c>
      <c r="BE257" s="6220" t="str">
        <f t="shared" si="111"/>
        <v/>
      </c>
      <c r="BF257" s="4" t="s">
        <v>1</v>
      </c>
      <c r="BG257" s="6196">
        <f t="shared" si="112"/>
        <v>0</v>
      </c>
      <c r="BH257" s="6197">
        <f t="shared" si="113"/>
        <v>0</v>
      </c>
      <c r="BI257"/>
      <c r="BJ257" s="1"/>
      <c r="BK257" s="1"/>
      <c r="BL257" s="1"/>
      <c r="BM257" s="1"/>
      <c r="BN257" s="1"/>
      <c r="BO257" s="1"/>
      <c r="BP257" s="1"/>
      <c r="BQ257" s="1"/>
      <c r="BX257" s="20" t="str">
        <f t="shared" si="94"/>
        <v>►</v>
      </c>
      <c r="CC257"/>
      <c r="CD257" s="2"/>
      <c r="CL257" s="1"/>
      <c r="CT257" s="1"/>
      <c r="DB257" s="1"/>
      <c r="DC257" s="5">
        <v>1</v>
      </c>
    </row>
    <row r="258" spans="1:109" ht="21" customHeight="1">
      <c r="A258" s="5641" t="s">
        <v>1</v>
      </c>
      <c r="B258" s="5662" t="str">
        <f t="shared" si="93"/>
        <v>►</v>
      </c>
      <c r="C258" s="5825" cm="1">
        <f t="array" ref="C258">SUMPRODUCT(LEN(D258:J258))</f>
        <v>0</v>
      </c>
      <c r="D258" s="5275"/>
      <c r="E258" s="1361"/>
      <c r="F258" s="1361"/>
      <c r="G258" s="1361"/>
      <c r="H258" s="1361"/>
      <c r="I258" s="1361"/>
      <c r="J258" s="5276"/>
      <c r="K258" s="106" t="s">
        <v>1</v>
      </c>
      <c r="L258" s="1021" t="s">
        <v>26</v>
      </c>
      <c r="M258" s="6787"/>
      <c r="N258" s="6787"/>
      <c r="O258" s="6787"/>
      <c r="P258" s="6788"/>
      <c r="Q258" s="6789"/>
      <c r="R258" s="6790"/>
      <c r="S258" s="6786"/>
      <c r="T258" s="6791"/>
      <c r="U258" s="6844"/>
      <c r="V258" s="6791"/>
      <c r="W258" s="8487"/>
      <c r="X258" s="6871"/>
      <c r="Y258" s="6793"/>
      <c r="Z258" s="6794"/>
      <c r="AA258" s="6795"/>
      <c r="AB258" s="6796"/>
      <c r="AC258" s="6797"/>
      <c r="AD258" s="6798"/>
      <c r="AE258" s="4" t="s">
        <v>1</v>
      </c>
      <c r="AF258" s="6202" t="str">
        <f t="shared" si="95"/>
        <v>►</v>
      </c>
      <c r="AG258" s="6234" t="str">
        <f t="shared" si="96"/>
        <v/>
      </c>
      <c r="AH258" s="6732" t="str">
        <f t="shared" si="97"/>
        <v/>
      </c>
      <c r="AI258" s="6234" t="str">
        <f t="shared" si="98"/>
        <v/>
      </c>
      <c r="AJ258" s="6732" t="str">
        <f t="shared" si="99"/>
        <v/>
      </c>
      <c r="AK258" s="6732">
        <f t="shared" si="100"/>
        <v>0</v>
      </c>
      <c r="AL258" s="6230" t="str" cm="1">
        <f t="array" ref="AL258">IF(AF258&lt;&gt;"A","",IFERROR((IFERROR(_xlfn.XLOOKUP(TRIM(SUBSTITUTE(U258,CHAR(160)," ")),$BJ$15:$BJ$62,$BM$15:$BM$62),IFERROR(_xlfn.XLOOKUP(TRIM(SUBSTITUTE(U258,CHAR(160)," ")),$BK$15:$BK$62,$BM$15:$BM$62),_xlfn.XLOOKUP(TRIM(SUBSTITUTE(U258,CHAR(160)," ")),$BL$15:$BL$62,$BM$15:$BM$62))))*T258*IF(ISBLANK(Q258),1,Q258)+IFERROR(_xlfn.XLOOKUP("RECHERCHEX",TRIM(L258:AD258),L258:AD258),0),0))</f>
        <v/>
      </c>
      <c r="AM258" s="6229">
        <f t="shared" si="101"/>
        <v>0</v>
      </c>
      <c r="AN258" s="6857" t="str">
        <f t="shared" si="116"/>
        <v/>
      </c>
      <c r="AO258" s="392">
        <f t="shared" si="102"/>
        <v>0</v>
      </c>
      <c r="AP258" s="392">
        <f t="shared" si="103"/>
        <v>0</v>
      </c>
      <c r="AQ258" s="6190">
        <f t="shared" si="104"/>
        <v>0</v>
      </c>
      <c r="AR258" s="6858" t="str">
        <f t="shared" si="105"/>
        <v/>
      </c>
      <c r="AS258" s="6217"/>
      <c r="AT258" s="6217"/>
      <c r="AU258" s="6271">
        <f t="shared" si="106"/>
        <v>0</v>
      </c>
      <c r="AV258" s="6242">
        <f t="shared" si="107"/>
        <v>0</v>
      </c>
      <c r="AW258" s="6188" cm="1">
        <f t="array" ref="AW258">IF(AK258&lt;&gt;1,0,IF(OR(AU258="",N(AU258)&lt;=0.000000001),"",IF(OR(AO258="",N(AO258)&lt;=0.000000001),0,IF(ISNUMBER(AU258),IFERROR(_xlfn.LET(_xlpm.ai_test,TRIM(AJ258),_xlpm.r,IFERROR(_xlfn.XLOOKUP(_xlpm.ai_test,$BJ$15:$BJ$62,ROW($BJ$15:$BJ$62),0,1),IFERROR(_xlfn.XLOOKUP(_xlpm.ai_test,$BK$15:$BK$62,ROW($BK$15:$BK$62),0,1),_xlfn.XLOOKUP(_xlpm.ai_test,$BL$15:$BL$62,ROW($BL$15:$BL$62),0,1))),_xlpm.p,_xlpm.r-MIN(ROW($BJ$15:$BJ$62))+1,_xlpm.f,INDEX($BM$15:$BM$62,_xlpm.p),_xlpm.u,INDEX($BN$15:$BN$62,_xlpm.p),_xlpm.s,INDEX($BP$15:$BP$62,_xlpm.p),_xlpm.q,N(AU258)/_xlpm.f,IF(_xlpm.q&gt;=_xlpm.s,ROUND(_xlpm.q,1)&amp;" "&amp;_xlpm.ai_test&amp;" = "&amp;ROUND(_xlpm.q*_xlpm.f,1)&amp;" "&amp;_xlpm.u,ROUND(_xlpm.q,1)&amp;" "&amp;_xlpm.ai_test)),""),""))))</f>
        <v>0</v>
      </c>
      <c r="AX258" s="6218"/>
      <c r="AY258" s="6271">
        <f t="shared" si="108"/>
        <v>0</v>
      </c>
      <c r="AZ258" s="6242" t="str">
        <f t="shared" si="109"/>
        <v/>
      </c>
      <c r="BA258" s="6194">
        <f t="shared" si="114"/>
        <v>0</v>
      </c>
      <c r="BB258" s="6192" t="str">
        <f t="shared" si="110"/>
        <v/>
      </c>
      <c r="BC258" s="6219"/>
      <c r="BD258" s="6221">
        <f t="shared" si="115"/>
        <v>0</v>
      </c>
      <c r="BE258" s="6220" t="str">
        <f t="shared" si="111"/>
        <v/>
      </c>
      <c r="BF258" s="4" t="s">
        <v>1</v>
      </c>
      <c r="BG258" s="6196">
        <f t="shared" si="112"/>
        <v>0</v>
      </c>
      <c r="BH258" s="6197">
        <f t="shared" si="113"/>
        <v>0</v>
      </c>
      <c r="BI258"/>
      <c r="BJ258" s="1"/>
      <c r="BK258" s="1"/>
      <c r="BL258" s="1"/>
      <c r="BM258" s="1"/>
      <c r="BN258" s="1"/>
      <c r="BO258" s="1"/>
      <c r="BP258" s="1"/>
      <c r="BQ258" s="1"/>
      <c r="BX258" s="20" t="str">
        <f t="shared" si="94"/>
        <v>►</v>
      </c>
      <c r="CC258"/>
      <c r="CD258" s="2"/>
      <c r="CL258" s="1"/>
      <c r="CT258" s="1"/>
      <c r="DB258" s="1"/>
      <c r="DC258" s="5">
        <v>1</v>
      </c>
    </row>
    <row r="259" spans="1:109" ht="21" customHeight="1">
      <c r="A259" s="5641" t="s">
        <v>1</v>
      </c>
      <c r="B259" s="5662" t="str">
        <f t="shared" si="93"/>
        <v>►</v>
      </c>
      <c r="C259" s="5825" cm="1">
        <f t="array" ref="C259">SUMPRODUCT(LEN(D259:J259))</f>
        <v>0</v>
      </c>
      <c r="D259" s="5275"/>
      <c r="E259" s="1361"/>
      <c r="F259" s="1361"/>
      <c r="G259" s="1361"/>
      <c r="H259" s="1361"/>
      <c r="I259" s="1361"/>
      <c r="J259" s="5276"/>
      <c r="K259" s="106" t="s">
        <v>1</v>
      </c>
      <c r="L259" s="1021" t="s">
        <v>26</v>
      </c>
      <c r="M259" s="6787"/>
      <c r="N259" s="6787"/>
      <c r="O259" s="6787"/>
      <c r="P259" s="6788"/>
      <c r="Q259" s="6789"/>
      <c r="R259" s="6790"/>
      <c r="S259" s="6786"/>
      <c r="T259" s="6791"/>
      <c r="U259" s="6844"/>
      <c r="V259" s="6791"/>
      <c r="W259" s="8487"/>
      <c r="X259" s="6871"/>
      <c r="Y259" s="6793"/>
      <c r="Z259" s="6794"/>
      <c r="AA259" s="6795"/>
      <c r="AB259" s="6796"/>
      <c r="AC259" s="6797"/>
      <c r="AD259" s="6798"/>
      <c r="AE259" s="4" t="s">
        <v>1</v>
      </c>
      <c r="AF259" s="6202" t="str">
        <f t="shared" si="95"/>
        <v>►</v>
      </c>
      <c r="AG259" s="6234" t="str">
        <f t="shared" si="96"/>
        <v/>
      </c>
      <c r="AH259" s="6732" t="str">
        <f t="shared" si="97"/>
        <v/>
      </c>
      <c r="AI259" s="6234" t="str">
        <f t="shared" si="98"/>
        <v/>
      </c>
      <c r="AJ259" s="6732" t="str">
        <f t="shared" si="99"/>
        <v/>
      </c>
      <c r="AK259" s="6732">
        <f t="shared" si="100"/>
        <v>0</v>
      </c>
      <c r="AL259" s="6230" t="str" cm="1">
        <f t="array" ref="AL259">IF(AF259&lt;&gt;"A","",IFERROR((IFERROR(_xlfn.XLOOKUP(TRIM(SUBSTITUTE(U259,CHAR(160)," ")),$BJ$15:$BJ$62,$BM$15:$BM$62),IFERROR(_xlfn.XLOOKUP(TRIM(SUBSTITUTE(U259,CHAR(160)," ")),$BK$15:$BK$62,$BM$15:$BM$62),_xlfn.XLOOKUP(TRIM(SUBSTITUTE(U259,CHAR(160)," ")),$BL$15:$BL$62,$BM$15:$BM$62))))*T259*IF(ISBLANK(Q259),1,Q259)+IFERROR(_xlfn.XLOOKUP("RECHERCHEX",TRIM(L259:AD259),L259:AD259),0),0))</f>
        <v/>
      </c>
      <c r="AM259" s="6229">
        <f t="shared" si="101"/>
        <v>0</v>
      </c>
      <c r="AN259" s="6857" t="str">
        <f t="shared" si="116"/>
        <v/>
      </c>
      <c r="AO259" s="392">
        <f t="shared" si="102"/>
        <v>0</v>
      </c>
      <c r="AP259" s="392">
        <f t="shared" si="103"/>
        <v>0</v>
      </c>
      <c r="AQ259" s="6191">
        <f t="shared" si="104"/>
        <v>0</v>
      </c>
      <c r="AR259" s="6859" t="str">
        <f t="shared" si="105"/>
        <v/>
      </c>
      <c r="AS259" s="6217"/>
      <c r="AT259" s="6217"/>
      <c r="AU259" s="6272">
        <f t="shared" si="106"/>
        <v>0</v>
      </c>
      <c r="AV259" s="6240">
        <f t="shared" si="107"/>
        <v>0</v>
      </c>
      <c r="AW259" s="6189" cm="1">
        <f t="array" ref="AW259">IF(AK259&lt;&gt;1,0,IF(OR(AU259="",N(AU259)&lt;=0.000000001),"",IF(OR(AO259="",N(AO259)&lt;=0.000000001),0,IF(ISNUMBER(AU259),IFERROR(_xlfn.LET(_xlpm.ai_test,TRIM(AJ259),_xlpm.r,IFERROR(_xlfn.XLOOKUP(_xlpm.ai_test,$BJ$15:$BJ$62,ROW($BJ$15:$BJ$62),0,1),IFERROR(_xlfn.XLOOKUP(_xlpm.ai_test,$BK$15:$BK$62,ROW($BK$15:$BK$62),0,1),_xlfn.XLOOKUP(_xlpm.ai_test,$BL$15:$BL$62,ROW($BL$15:$BL$62),0,1))),_xlpm.p,_xlpm.r-MIN(ROW($BJ$15:$BJ$62))+1,_xlpm.f,INDEX($BM$15:$BM$62,_xlpm.p),_xlpm.u,INDEX($BN$15:$BN$62,_xlpm.p),_xlpm.s,INDEX($BP$15:$BP$62,_xlpm.p),_xlpm.q,N(AU259)/_xlpm.f,IF(_xlpm.q&gt;=_xlpm.s,ROUND(_xlpm.q,1)&amp;" "&amp;_xlpm.ai_test&amp;" = "&amp;ROUND(_xlpm.q*_xlpm.f,1)&amp;" "&amp;_xlpm.u,ROUND(_xlpm.q,1)&amp;" "&amp;_xlpm.ai_test)),""),""))))</f>
        <v>0</v>
      </c>
      <c r="AX259" s="6218"/>
      <c r="AY259" s="6272">
        <f t="shared" si="108"/>
        <v>0</v>
      </c>
      <c r="AZ259" s="6240" t="str">
        <f t="shared" si="109"/>
        <v/>
      </c>
      <c r="BA259" s="6195">
        <f t="shared" si="114"/>
        <v>0</v>
      </c>
      <c r="BB259" s="6193" t="str">
        <f t="shared" si="110"/>
        <v/>
      </c>
      <c r="BC259" s="6219"/>
      <c r="BD259" s="6222">
        <f t="shared" si="115"/>
        <v>0</v>
      </c>
      <c r="BE259" s="6220" t="str">
        <f t="shared" si="111"/>
        <v/>
      </c>
      <c r="BF259" s="4" t="s">
        <v>1</v>
      </c>
      <c r="BG259" s="6196">
        <f t="shared" si="112"/>
        <v>0</v>
      </c>
      <c r="BH259" s="6197">
        <f t="shared" si="113"/>
        <v>0</v>
      </c>
      <c r="BI259"/>
      <c r="BJ259" s="1"/>
      <c r="BK259" s="1"/>
      <c r="BL259" s="1"/>
      <c r="BM259" s="1"/>
      <c r="BN259" s="1"/>
      <c r="BO259" s="1"/>
      <c r="BP259" s="1"/>
      <c r="BQ259" s="1"/>
      <c r="BX259" s="20" t="str">
        <f t="shared" si="94"/>
        <v>►</v>
      </c>
      <c r="CC259"/>
      <c r="CD259" s="2"/>
      <c r="DC259" s="5">
        <v>1</v>
      </c>
    </row>
    <row r="260" spans="1:109" ht="21" customHeight="1">
      <c r="A260" s="5641" t="s">
        <v>1</v>
      </c>
      <c r="B260" s="5662" t="str">
        <f t="shared" si="93"/>
        <v>►</v>
      </c>
      <c r="C260" s="5825" cm="1">
        <f t="array" ref="C260">SUMPRODUCT(LEN(D260:J260))</f>
        <v>0</v>
      </c>
      <c r="D260" s="5275"/>
      <c r="E260" s="1361"/>
      <c r="F260" s="1361"/>
      <c r="G260" s="1361"/>
      <c r="H260" s="1361"/>
      <c r="I260" s="1361"/>
      <c r="J260" s="5276"/>
      <c r="K260" s="106" t="s">
        <v>1</v>
      </c>
      <c r="L260" s="1021" t="s">
        <v>26</v>
      </c>
      <c r="M260" s="6787"/>
      <c r="N260" s="6787"/>
      <c r="O260" s="6787"/>
      <c r="P260" s="6788"/>
      <c r="Q260" s="6789"/>
      <c r="R260" s="6790"/>
      <c r="S260" s="6786"/>
      <c r="T260" s="6791"/>
      <c r="U260" s="6844"/>
      <c r="V260" s="6791"/>
      <c r="W260" s="8487"/>
      <c r="X260" s="6871"/>
      <c r="Y260" s="6793"/>
      <c r="Z260" s="6794"/>
      <c r="AA260" s="6795"/>
      <c r="AB260" s="6796"/>
      <c r="AC260" s="6797"/>
      <c r="AD260" s="6798"/>
      <c r="AE260" s="4" t="s">
        <v>1</v>
      </c>
      <c r="AF260" s="6202" t="str">
        <f t="shared" si="95"/>
        <v>►</v>
      </c>
      <c r="AG260" s="6234" t="str">
        <f t="shared" si="96"/>
        <v/>
      </c>
      <c r="AH260" s="6732" t="str">
        <f t="shared" si="97"/>
        <v/>
      </c>
      <c r="AI260" s="6234" t="str">
        <f t="shared" si="98"/>
        <v/>
      </c>
      <c r="AJ260" s="6732" t="str">
        <f t="shared" si="99"/>
        <v/>
      </c>
      <c r="AK260" s="6732">
        <f t="shared" si="100"/>
        <v>0</v>
      </c>
      <c r="AL260" s="6230" t="str" cm="1">
        <f t="array" ref="AL260">IF(AF260&lt;&gt;"A","",IFERROR((IFERROR(_xlfn.XLOOKUP(TRIM(SUBSTITUTE(U260,CHAR(160)," ")),$BJ$15:$BJ$62,$BM$15:$BM$62),IFERROR(_xlfn.XLOOKUP(TRIM(SUBSTITUTE(U260,CHAR(160)," ")),$BK$15:$BK$62,$BM$15:$BM$62),_xlfn.XLOOKUP(TRIM(SUBSTITUTE(U260,CHAR(160)," ")),$BL$15:$BL$62,$BM$15:$BM$62))))*T260*IF(ISBLANK(Q260),1,Q260)+IFERROR(_xlfn.XLOOKUP("RECHERCHEX",TRIM(L260:AD260),L260:AD260),0),0))</f>
        <v/>
      </c>
      <c r="AM260" s="6229">
        <f t="shared" si="101"/>
        <v>0</v>
      </c>
      <c r="AN260" s="6857" t="str">
        <f t="shared" si="116"/>
        <v/>
      </c>
      <c r="AO260" s="392">
        <f t="shared" si="102"/>
        <v>0</v>
      </c>
      <c r="AP260" s="392">
        <f t="shared" si="103"/>
        <v>0</v>
      </c>
      <c r="AQ260" s="6190">
        <f t="shared" si="104"/>
        <v>0</v>
      </c>
      <c r="AR260" s="6858" t="str">
        <f t="shared" si="105"/>
        <v/>
      </c>
      <c r="AS260" s="6217"/>
      <c r="AT260" s="6217"/>
      <c r="AU260" s="6271">
        <f t="shared" si="106"/>
        <v>0</v>
      </c>
      <c r="AV260" s="6242">
        <f t="shared" si="107"/>
        <v>0</v>
      </c>
      <c r="AW260" s="6188" cm="1">
        <f t="array" ref="AW260">IF(AK260&lt;&gt;1,0,IF(OR(AU260="",N(AU260)&lt;=0.000000001),"",IF(OR(AO260="",N(AO260)&lt;=0.000000001),0,IF(ISNUMBER(AU260),IFERROR(_xlfn.LET(_xlpm.ai_test,TRIM(AJ260),_xlpm.r,IFERROR(_xlfn.XLOOKUP(_xlpm.ai_test,$BJ$15:$BJ$62,ROW($BJ$15:$BJ$62),0,1),IFERROR(_xlfn.XLOOKUP(_xlpm.ai_test,$BK$15:$BK$62,ROW($BK$15:$BK$62),0,1),_xlfn.XLOOKUP(_xlpm.ai_test,$BL$15:$BL$62,ROW($BL$15:$BL$62),0,1))),_xlpm.p,_xlpm.r-MIN(ROW($BJ$15:$BJ$62))+1,_xlpm.f,INDEX($BM$15:$BM$62,_xlpm.p),_xlpm.u,INDEX($BN$15:$BN$62,_xlpm.p),_xlpm.s,INDEX($BP$15:$BP$62,_xlpm.p),_xlpm.q,N(AU260)/_xlpm.f,IF(_xlpm.q&gt;=_xlpm.s,ROUND(_xlpm.q,1)&amp;" "&amp;_xlpm.ai_test&amp;" = "&amp;ROUND(_xlpm.q*_xlpm.f,1)&amp;" "&amp;_xlpm.u,ROUND(_xlpm.q,1)&amp;" "&amp;_xlpm.ai_test)),""),""))))</f>
        <v>0</v>
      </c>
      <c r="AX260" s="6218"/>
      <c r="AY260" s="6271">
        <f t="shared" si="108"/>
        <v>0</v>
      </c>
      <c r="AZ260" s="6242" t="str">
        <f t="shared" si="109"/>
        <v/>
      </c>
      <c r="BA260" s="6194">
        <f t="shared" si="114"/>
        <v>0</v>
      </c>
      <c r="BB260" s="6192" t="str">
        <f t="shared" si="110"/>
        <v/>
      </c>
      <c r="BC260" s="6219"/>
      <c r="BD260" s="6221">
        <f t="shared" si="115"/>
        <v>0</v>
      </c>
      <c r="BE260" s="6220" t="str">
        <f t="shared" si="111"/>
        <v/>
      </c>
      <c r="BF260" s="4" t="s">
        <v>1</v>
      </c>
      <c r="BG260" s="6196">
        <f t="shared" si="112"/>
        <v>0</v>
      </c>
      <c r="BH260" s="6197">
        <f t="shared" si="113"/>
        <v>0</v>
      </c>
      <c r="BI260"/>
      <c r="BJ260" s="1"/>
      <c r="BK260" s="1"/>
      <c r="BL260" s="1"/>
      <c r="BM260" s="1"/>
      <c r="BN260" s="1"/>
      <c r="BO260" s="1"/>
      <c r="BP260" s="1"/>
      <c r="BQ260" s="1"/>
      <c r="BX260" s="20" t="str">
        <f t="shared" si="94"/>
        <v>►</v>
      </c>
      <c r="CC260"/>
      <c r="CD260" s="2"/>
      <c r="DC260" s="5">
        <v>1</v>
      </c>
    </row>
    <row r="261" spans="1:109" ht="21" customHeight="1">
      <c r="A261" s="5641" t="s">
        <v>1</v>
      </c>
      <c r="B261" s="5662" t="str">
        <f t="shared" ref="B261:B304" si="117">L261</f>
        <v>►</v>
      </c>
      <c r="C261" s="5825" cm="1">
        <f t="array" ref="C261">SUMPRODUCT(LEN(D261:J261))</f>
        <v>0</v>
      </c>
      <c r="D261" s="5275"/>
      <c r="E261" s="1361"/>
      <c r="F261" s="1361"/>
      <c r="G261" s="1361"/>
      <c r="H261" s="1361"/>
      <c r="I261" s="1361"/>
      <c r="J261" s="5276"/>
      <c r="K261" s="106" t="s">
        <v>1</v>
      </c>
      <c r="L261" s="1021" t="s">
        <v>26</v>
      </c>
      <c r="M261" s="6787"/>
      <c r="N261" s="6787"/>
      <c r="O261" s="6787"/>
      <c r="P261" s="6788"/>
      <c r="Q261" s="6789"/>
      <c r="R261" s="6790"/>
      <c r="S261" s="6786"/>
      <c r="T261" s="6791"/>
      <c r="U261" s="6844"/>
      <c r="V261" s="6791"/>
      <c r="W261" s="8487"/>
      <c r="X261" s="6871"/>
      <c r="Y261" s="6793"/>
      <c r="Z261" s="6794"/>
      <c r="AA261" s="6795"/>
      <c r="AB261" s="6796"/>
      <c r="AC261" s="6797"/>
      <c r="AD261" s="6798"/>
      <c r="AE261" s="4" t="s">
        <v>1</v>
      </c>
      <c r="AF261" s="6202" t="str">
        <f t="shared" si="95"/>
        <v>►</v>
      </c>
      <c r="AG261" s="6234" t="str">
        <f t="shared" si="96"/>
        <v/>
      </c>
      <c r="AH261" s="6732" t="str">
        <f t="shared" si="97"/>
        <v/>
      </c>
      <c r="AI261" s="6234" t="str">
        <f t="shared" si="98"/>
        <v/>
      </c>
      <c r="AJ261" s="6732" t="str">
        <f t="shared" si="99"/>
        <v/>
      </c>
      <c r="AK261" s="6732">
        <f t="shared" si="100"/>
        <v>0</v>
      </c>
      <c r="AL261" s="6230" t="str" cm="1">
        <f t="array" ref="AL261">IF(AF261&lt;&gt;"A","",IFERROR((IFERROR(_xlfn.XLOOKUP(TRIM(SUBSTITUTE(U261,CHAR(160)," ")),$BJ$15:$BJ$62,$BM$15:$BM$62),IFERROR(_xlfn.XLOOKUP(TRIM(SUBSTITUTE(U261,CHAR(160)," ")),$BK$15:$BK$62,$BM$15:$BM$62),_xlfn.XLOOKUP(TRIM(SUBSTITUTE(U261,CHAR(160)," ")),$BL$15:$BL$62,$BM$15:$BM$62))))*T261*IF(ISBLANK(Q261),1,Q261)+IFERROR(_xlfn.XLOOKUP("RECHERCHEX",TRIM(L261:AD261),L261:AD261),0),0))</f>
        <v/>
      </c>
      <c r="AM261" s="6229">
        <f t="shared" si="101"/>
        <v>0</v>
      </c>
      <c r="AN261" s="6857" t="str">
        <f t="shared" si="116"/>
        <v/>
      </c>
      <c r="AO261" s="392">
        <f t="shared" si="102"/>
        <v>0</v>
      </c>
      <c r="AP261" s="392">
        <f t="shared" si="103"/>
        <v>0</v>
      </c>
      <c r="AQ261" s="6191">
        <f t="shared" si="104"/>
        <v>0</v>
      </c>
      <c r="AR261" s="6859" t="str">
        <f t="shared" si="105"/>
        <v/>
      </c>
      <c r="AS261" s="6217"/>
      <c r="AT261" s="6217"/>
      <c r="AU261" s="6272">
        <f t="shared" si="106"/>
        <v>0</v>
      </c>
      <c r="AV261" s="6240">
        <f t="shared" si="107"/>
        <v>0</v>
      </c>
      <c r="AW261" s="6189" cm="1">
        <f t="array" ref="AW261">IF(AK261&lt;&gt;1,0,IF(OR(AU261="",N(AU261)&lt;=0.000000001),"",IF(OR(AO261="",N(AO261)&lt;=0.000000001),0,IF(ISNUMBER(AU261),IFERROR(_xlfn.LET(_xlpm.ai_test,TRIM(AJ261),_xlpm.r,IFERROR(_xlfn.XLOOKUP(_xlpm.ai_test,$BJ$15:$BJ$62,ROW($BJ$15:$BJ$62),0,1),IFERROR(_xlfn.XLOOKUP(_xlpm.ai_test,$BK$15:$BK$62,ROW($BK$15:$BK$62),0,1),_xlfn.XLOOKUP(_xlpm.ai_test,$BL$15:$BL$62,ROW($BL$15:$BL$62),0,1))),_xlpm.p,_xlpm.r-MIN(ROW($BJ$15:$BJ$62))+1,_xlpm.f,INDEX($BM$15:$BM$62,_xlpm.p),_xlpm.u,INDEX($BN$15:$BN$62,_xlpm.p),_xlpm.s,INDEX($BP$15:$BP$62,_xlpm.p),_xlpm.q,N(AU261)/_xlpm.f,IF(_xlpm.q&gt;=_xlpm.s,ROUND(_xlpm.q,1)&amp;" "&amp;_xlpm.ai_test&amp;" = "&amp;ROUND(_xlpm.q*_xlpm.f,1)&amp;" "&amp;_xlpm.u,ROUND(_xlpm.q,1)&amp;" "&amp;_xlpm.ai_test)),""),""))))</f>
        <v>0</v>
      </c>
      <c r="AX261" s="6218"/>
      <c r="AY261" s="6272">
        <f t="shared" si="108"/>
        <v>0</v>
      </c>
      <c r="AZ261" s="6240" t="str">
        <f t="shared" si="109"/>
        <v/>
      </c>
      <c r="BA261" s="6195">
        <f t="shared" si="114"/>
        <v>0</v>
      </c>
      <c r="BB261" s="6193" t="str">
        <f t="shared" si="110"/>
        <v/>
      </c>
      <c r="BC261" s="6219"/>
      <c r="BD261" s="6222">
        <f t="shared" si="115"/>
        <v>0</v>
      </c>
      <c r="BE261" s="6220" t="str">
        <f t="shared" si="111"/>
        <v/>
      </c>
      <c r="BF261" s="4" t="s">
        <v>1</v>
      </c>
      <c r="BG261" s="6196">
        <f t="shared" si="112"/>
        <v>0</v>
      </c>
      <c r="BH261" s="6197">
        <f t="shared" si="113"/>
        <v>0</v>
      </c>
      <c r="BI261"/>
      <c r="BJ261" s="1"/>
      <c r="BK261" s="1"/>
      <c r="BL261" s="1"/>
      <c r="BM261" s="1"/>
      <c r="BN261" s="1"/>
      <c r="BO261" s="1"/>
      <c r="BP261" s="1"/>
      <c r="BQ261" s="1"/>
      <c r="BX261" s="20" t="str">
        <f t="shared" ref="BX261:BX324" si="118">AF261</f>
        <v>►</v>
      </c>
      <c r="CC261"/>
      <c r="CD261" s="2"/>
      <c r="DC261" s="5">
        <v>1</v>
      </c>
    </row>
    <row r="262" spans="1:109" ht="21" customHeight="1">
      <c r="A262" s="5641" t="s">
        <v>1</v>
      </c>
      <c r="B262" s="5662" t="str">
        <f t="shared" si="117"/>
        <v>►</v>
      </c>
      <c r="C262" s="5825" cm="1">
        <f t="array" ref="C262">SUMPRODUCT(LEN(D262:J262))</f>
        <v>0</v>
      </c>
      <c r="D262" s="5275"/>
      <c r="E262" s="1361"/>
      <c r="F262" s="1361"/>
      <c r="G262" s="1361"/>
      <c r="H262" s="1361"/>
      <c r="I262" s="1361"/>
      <c r="J262" s="5276"/>
      <c r="K262" s="106" t="s">
        <v>1</v>
      </c>
      <c r="L262" s="1021" t="s">
        <v>26</v>
      </c>
      <c r="M262" s="6787"/>
      <c r="N262" s="6787"/>
      <c r="O262" s="6787"/>
      <c r="P262" s="6788"/>
      <c r="Q262" s="6789"/>
      <c r="R262" s="6790"/>
      <c r="S262" s="6786"/>
      <c r="T262" s="6791"/>
      <c r="U262" s="6844"/>
      <c r="V262" s="6791"/>
      <c r="W262" s="8487"/>
      <c r="X262" s="6871"/>
      <c r="Y262" s="6793"/>
      <c r="Z262" s="6794"/>
      <c r="AA262" s="6795"/>
      <c r="AB262" s="6796"/>
      <c r="AC262" s="6797"/>
      <c r="AD262" s="6798"/>
      <c r="AE262" s="4" t="s">
        <v>1</v>
      </c>
      <c r="AF262" s="6202" t="str">
        <f t="shared" si="95"/>
        <v>►</v>
      </c>
      <c r="AG262" s="6234" t="str">
        <f t="shared" si="96"/>
        <v/>
      </c>
      <c r="AH262" s="6732" t="str">
        <f t="shared" si="97"/>
        <v/>
      </c>
      <c r="AI262" s="6234" t="str">
        <f t="shared" si="98"/>
        <v/>
      </c>
      <c r="AJ262" s="6732" t="str">
        <f t="shared" si="99"/>
        <v/>
      </c>
      <c r="AK262" s="6732">
        <f t="shared" si="100"/>
        <v>0</v>
      </c>
      <c r="AL262" s="6230" t="str" cm="1">
        <f t="array" ref="AL262">IF(AF262&lt;&gt;"A","",IFERROR((IFERROR(_xlfn.XLOOKUP(TRIM(SUBSTITUTE(U262,CHAR(160)," ")),$BJ$15:$BJ$62,$BM$15:$BM$62),IFERROR(_xlfn.XLOOKUP(TRIM(SUBSTITUTE(U262,CHAR(160)," ")),$BK$15:$BK$62,$BM$15:$BM$62),_xlfn.XLOOKUP(TRIM(SUBSTITUTE(U262,CHAR(160)," ")),$BL$15:$BL$62,$BM$15:$BM$62))))*T262*IF(ISBLANK(Q262),1,Q262)+IFERROR(_xlfn.XLOOKUP("RECHERCHEX",TRIM(L262:AD262),L262:AD262),0),0))</f>
        <v/>
      </c>
      <c r="AM262" s="6229">
        <f t="shared" si="101"/>
        <v>0</v>
      </c>
      <c r="AN262" s="6857" t="str">
        <f t="shared" si="116"/>
        <v/>
      </c>
      <c r="AO262" s="392">
        <f t="shared" si="102"/>
        <v>0</v>
      </c>
      <c r="AP262" s="392">
        <f t="shared" si="103"/>
        <v>0</v>
      </c>
      <c r="AQ262" s="6190">
        <f t="shared" si="104"/>
        <v>0</v>
      </c>
      <c r="AR262" s="6858" t="str">
        <f t="shared" si="105"/>
        <v/>
      </c>
      <c r="AS262" s="6217"/>
      <c r="AT262" s="6217"/>
      <c r="AU262" s="6271">
        <f t="shared" si="106"/>
        <v>0</v>
      </c>
      <c r="AV262" s="6242">
        <f t="shared" si="107"/>
        <v>0</v>
      </c>
      <c r="AW262" s="6188" cm="1">
        <f t="array" ref="AW262">IF(AK262&lt;&gt;1,0,IF(OR(AU262="",N(AU262)&lt;=0.000000001),"",IF(OR(AO262="",N(AO262)&lt;=0.000000001),0,IF(ISNUMBER(AU262),IFERROR(_xlfn.LET(_xlpm.ai_test,TRIM(AJ262),_xlpm.r,IFERROR(_xlfn.XLOOKUP(_xlpm.ai_test,$BJ$15:$BJ$62,ROW($BJ$15:$BJ$62),0,1),IFERROR(_xlfn.XLOOKUP(_xlpm.ai_test,$BK$15:$BK$62,ROW($BK$15:$BK$62),0,1),_xlfn.XLOOKUP(_xlpm.ai_test,$BL$15:$BL$62,ROW($BL$15:$BL$62),0,1))),_xlpm.p,_xlpm.r-MIN(ROW($BJ$15:$BJ$62))+1,_xlpm.f,INDEX($BM$15:$BM$62,_xlpm.p),_xlpm.u,INDEX($BN$15:$BN$62,_xlpm.p),_xlpm.s,INDEX($BP$15:$BP$62,_xlpm.p),_xlpm.q,N(AU262)/_xlpm.f,IF(_xlpm.q&gt;=_xlpm.s,ROUND(_xlpm.q,1)&amp;" "&amp;_xlpm.ai_test&amp;" = "&amp;ROUND(_xlpm.q*_xlpm.f,1)&amp;" "&amp;_xlpm.u,ROUND(_xlpm.q,1)&amp;" "&amp;_xlpm.ai_test)),""),""))))</f>
        <v>0</v>
      </c>
      <c r="AX262" s="6218"/>
      <c r="AY262" s="6271">
        <f t="shared" si="108"/>
        <v>0</v>
      </c>
      <c r="AZ262" s="6242" t="str">
        <f t="shared" si="109"/>
        <v/>
      </c>
      <c r="BA262" s="6194">
        <f t="shared" si="114"/>
        <v>0</v>
      </c>
      <c r="BB262" s="6192" t="str">
        <f t="shared" si="110"/>
        <v/>
      </c>
      <c r="BC262" s="6219"/>
      <c r="BD262" s="6221">
        <f t="shared" si="115"/>
        <v>0</v>
      </c>
      <c r="BE262" s="6220" t="str">
        <f t="shared" si="111"/>
        <v/>
      </c>
      <c r="BF262" s="4" t="s">
        <v>1</v>
      </c>
      <c r="BG262" s="6196">
        <f t="shared" si="112"/>
        <v>0</v>
      </c>
      <c r="BH262" s="6197">
        <f t="shared" si="113"/>
        <v>0</v>
      </c>
      <c r="BI262"/>
      <c r="BJ262" s="1"/>
      <c r="BK262" s="1"/>
      <c r="BL262" s="1"/>
      <c r="BM262" s="1"/>
      <c r="BN262" s="1"/>
      <c r="BO262" s="1"/>
      <c r="BP262" s="1"/>
      <c r="BQ262" s="1"/>
      <c r="BX262" s="20" t="str">
        <f t="shared" si="118"/>
        <v>►</v>
      </c>
      <c r="CC262"/>
      <c r="CD262" s="2"/>
      <c r="DC262" s="5">
        <v>1</v>
      </c>
    </row>
    <row r="263" spans="1:109" ht="21" customHeight="1">
      <c r="A263" s="5641" t="s">
        <v>1</v>
      </c>
      <c r="B263" s="5662" t="str">
        <f t="shared" si="117"/>
        <v>►</v>
      </c>
      <c r="C263" s="5825" cm="1">
        <f t="array" ref="C263">SUMPRODUCT(LEN(D263:J263))</f>
        <v>0</v>
      </c>
      <c r="D263" s="5275"/>
      <c r="E263" s="1361"/>
      <c r="F263" s="1361"/>
      <c r="G263" s="1361"/>
      <c r="H263" s="1361"/>
      <c r="I263" s="1361"/>
      <c r="J263" s="5276" t="str">
        <f>""&amp;T257</f>
        <v/>
      </c>
      <c r="K263" s="106" t="s">
        <v>1</v>
      </c>
      <c r="L263" s="1021" t="s">
        <v>26</v>
      </c>
      <c r="M263" s="6787"/>
      <c r="N263" s="6787"/>
      <c r="O263" s="6787"/>
      <c r="P263" s="6788"/>
      <c r="Q263" s="6789"/>
      <c r="R263" s="6790"/>
      <c r="S263" s="6786"/>
      <c r="T263" s="6791"/>
      <c r="U263" s="6844"/>
      <c r="V263" s="6791"/>
      <c r="W263" s="8487"/>
      <c r="X263" s="6871"/>
      <c r="Y263" s="6793"/>
      <c r="Z263" s="6794"/>
      <c r="AA263" s="6795"/>
      <c r="AB263" s="6796"/>
      <c r="AC263" s="6797"/>
      <c r="AD263" s="6798"/>
      <c r="AE263" s="4" t="s">
        <v>1</v>
      </c>
      <c r="AF263" s="6202" t="str">
        <f t="shared" si="95"/>
        <v>►</v>
      </c>
      <c r="AG263" s="6234" t="str">
        <f t="shared" si="96"/>
        <v/>
      </c>
      <c r="AH263" s="6732" t="str">
        <f t="shared" si="97"/>
        <v/>
      </c>
      <c r="AI263" s="6234" t="str">
        <f t="shared" si="98"/>
        <v/>
      </c>
      <c r="AJ263" s="6732" t="str">
        <f t="shared" si="99"/>
        <v/>
      </c>
      <c r="AK263" s="6732">
        <f t="shared" si="100"/>
        <v>0</v>
      </c>
      <c r="AL263" s="6230" t="str" cm="1">
        <f t="array" ref="AL263">IF(AF263&lt;&gt;"A","",IFERROR((IFERROR(_xlfn.XLOOKUP(TRIM(SUBSTITUTE(U263,CHAR(160)," ")),$BJ$15:$BJ$62,$BM$15:$BM$62),IFERROR(_xlfn.XLOOKUP(TRIM(SUBSTITUTE(U263,CHAR(160)," ")),$BK$15:$BK$62,$BM$15:$BM$62),_xlfn.XLOOKUP(TRIM(SUBSTITUTE(U263,CHAR(160)," ")),$BL$15:$BL$62,$BM$15:$BM$62))))*T263*IF(ISBLANK(Q263),1,Q263)+IFERROR(_xlfn.XLOOKUP("RECHERCHEX",TRIM(L263:AD263),L263:AD263),0),0))</f>
        <v/>
      </c>
      <c r="AM263" s="6229">
        <f t="shared" si="101"/>
        <v>0</v>
      </c>
      <c r="AN263" s="6857" t="str">
        <f t="shared" si="116"/>
        <v/>
      </c>
      <c r="AO263" s="392">
        <f t="shared" si="102"/>
        <v>0</v>
      </c>
      <c r="AP263" s="392">
        <f t="shared" si="103"/>
        <v>0</v>
      </c>
      <c r="AQ263" s="6191">
        <f t="shared" si="104"/>
        <v>0</v>
      </c>
      <c r="AR263" s="6859" t="str">
        <f t="shared" si="105"/>
        <v/>
      </c>
      <c r="AS263" s="6217"/>
      <c r="AT263" s="6217"/>
      <c r="AU263" s="6272">
        <f t="shared" si="106"/>
        <v>0</v>
      </c>
      <c r="AV263" s="6240">
        <f t="shared" si="107"/>
        <v>0</v>
      </c>
      <c r="AW263" s="6189" cm="1">
        <f t="array" ref="AW263">IF(AK263&lt;&gt;1,0,IF(OR(AU263="",N(AU263)&lt;=0.000000001),"",IF(OR(AO263="",N(AO263)&lt;=0.000000001),0,IF(ISNUMBER(AU263),IFERROR(_xlfn.LET(_xlpm.ai_test,TRIM(AJ263),_xlpm.r,IFERROR(_xlfn.XLOOKUP(_xlpm.ai_test,$BJ$15:$BJ$62,ROW($BJ$15:$BJ$62),0,1),IFERROR(_xlfn.XLOOKUP(_xlpm.ai_test,$BK$15:$BK$62,ROW($BK$15:$BK$62),0,1),_xlfn.XLOOKUP(_xlpm.ai_test,$BL$15:$BL$62,ROW($BL$15:$BL$62),0,1))),_xlpm.p,_xlpm.r-MIN(ROW($BJ$15:$BJ$62))+1,_xlpm.f,INDEX($BM$15:$BM$62,_xlpm.p),_xlpm.u,INDEX($BN$15:$BN$62,_xlpm.p),_xlpm.s,INDEX($BP$15:$BP$62,_xlpm.p),_xlpm.q,N(AU263)/_xlpm.f,IF(_xlpm.q&gt;=_xlpm.s,ROUND(_xlpm.q,1)&amp;" "&amp;_xlpm.ai_test&amp;" = "&amp;ROUND(_xlpm.q*_xlpm.f,1)&amp;" "&amp;_xlpm.u,ROUND(_xlpm.q,1)&amp;" "&amp;_xlpm.ai_test)),""),""))))</f>
        <v>0</v>
      </c>
      <c r="AX263" s="6218"/>
      <c r="AY263" s="6272">
        <f t="shared" si="108"/>
        <v>0</v>
      </c>
      <c r="AZ263" s="6240" t="str">
        <f t="shared" si="109"/>
        <v/>
      </c>
      <c r="BA263" s="6195">
        <f t="shared" si="114"/>
        <v>0</v>
      </c>
      <c r="BB263" s="6193" t="str">
        <f t="shared" si="110"/>
        <v/>
      </c>
      <c r="BC263" s="6219"/>
      <c r="BD263" s="6222">
        <f t="shared" si="115"/>
        <v>0</v>
      </c>
      <c r="BE263" s="6220" t="str">
        <f t="shared" si="111"/>
        <v/>
      </c>
      <c r="BF263" s="4" t="s">
        <v>1</v>
      </c>
      <c r="BG263" s="6196">
        <f t="shared" si="112"/>
        <v>0</v>
      </c>
      <c r="BH263" s="6197">
        <f t="shared" si="113"/>
        <v>0</v>
      </c>
      <c r="BI263"/>
      <c r="BJ263" s="1"/>
      <c r="BK263" s="1"/>
      <c r="BL263" s="1"/>
      <c r="BM263" s="1"/>
      <c r="BN263" s="1"/>
      <c r="BO263" s="1"/>
      <c r="BP263" s="1"/>
      <c r="BQ263" s="1"/>
      <c r="BX263" s="20" t="str">
        <f t="shared" si="118"/>
        <v>►</v>
      </c>
      <c r="CC263"/>
      <c r="CD263" s="2"/>
      <c r="DC263" s="5">
        <v>1</v>
      </c>
    </row>
    <row r="264" spans="1:109" ht="21" customHeight="1">
      <c r="A264" s="5641" t="s">
        <v>1</v>
      </c>
      <c r="B264" s="5662" t="str">
        <f t="shared" si="117"/>
        <v>►</v>
      </c>
      <c r="C264" s="5825" cm="1">
        <f t="array" ref="C264">SUMPRODUCT(LEN(D264:J264))</f>
        <v>0</v>
      </c>
      <c r="D264" s="5275"/>
      <c r="E264" s="1361"/>
      <c r="F264" s="1361"/>
      <c r="G264" s="1361"/>
      <c r="H264" s="1361"/>
      <c r="I264" s="1361"/>
      <c r="J264" s="5276"/>
      <c r="K264" s="106" t="s">
        <v>1</v>
      </c>
      <c r="L264" s="1021" t="s">
        <v>26</v>
      </c>
      <c r="M264" s="6787"/>
      <c r="N264" s="6787"/>
      <c r="O264" s="6787"/>
      <c r="P264" s="6788"/>
      <c r="Q264" s="6789"/>
      <c r="R264" s="6790"/>
      <c r="S264" s="6786"/>
      <c r="T264" s="6791"/>
      <c r="U264" s="6844"/>
      <c r="V264" s="6791"/>
      <c r="W264" s="8487"/>
      <c r="X264" s="6871"/>
      <c r="Y264" s="6793"/>
      <c r="Z264" s="6794"/>
      <c r="AA264" s="6795"/>
      <c r="AB264" s="6796"/>
      <c r="AC264" s="6797"/>
      <c r="AD264" s="6798"/>
      <c r="AE264" s="4" t="s">
        <v>1</v>
      </c>
      <c r="AF264" s="6202" t="str">
        <f t="shared" si="95"/>
        <v>►</v>
      </c>
      <c r="AG264" s="6234" t="str">
        <f t="shared" si="96"/>
        <v/>
      </c>
      <c r="AH264" s="6732" t="str">
        <f t="shared" si="97"/>
        <v/>
      </c>
      <c r="AI264" s="6234" t="str">
        <f t="shared" si="98"/>
        <v/>
      </c>
      <c r="AJ264" s="6732" t="str">
        <f t="shared" si="99"/>
        <v/>
      </c>
      <c r="AK264" s="6732">
        <f t="shared" si="100"/>
        <v>0</v>
      </c>
      <c r="AL264" s="6230" t="str" cm="1">
        <f t="array" ref="AL264">IF(AF264&lt;&gt;"A","",IFERROR((IFERROR(_xlfn.XLOOKUP(TRIM(SUBSTITUTE(U264,CHAR(160)," ")),$BJ$15:$BJ$62,$BM$15:$BM$62),IFERROR(_xlfn.XLOOKUP(TRIM(SUBSTITUTE(U264,CHAR(160)," ")),$BK$15:$BK$62,$BM$15:$BM$62),_xlfn.XLOOKUP(TRIM(SUBSTITUTE(U264,CHAR(160)," ")),$BL$15:$BL$62,$BM$15:$BM$62))))*T264*IF(ISBLANK(Q264),1,Q264)+IFERROR(_xlfn.XLOOKUP("RECHERCHEX",TRIM(L264:AD264),L264:AD264),0),0))</f>
        <v/>
      </c>
      <c r="AM264" s="6229">
        <f t="shared" si="101"/>
        <v>0</v>
      </c>
      <c r="AN264" s="6857" t="str">
        <f t="shared" si="116"/>
        <v/>
      </c>
      <c r="AO264" s="392">
        <f t="shared" si="102"/>
        <v>0</v>
      </c>
      <c r="AP264" s="392">
        <f t="shared" si="103"/>
        <v>0</v>
      </c>
      <c r="AQ264" s="6190">
        <f t="shared" si="104"/>
        <v>0</v>
      </c>
      <c r="AR264" s="6858" t="str">
        <f t="shared" si="105"/>
        <v/>
      </c>
      <c r="AS264" s="6217"/>
      <c r="AT264" s="6217"/>
      <c r="AU264" s="6271">
        <f t="shared" si="106"/>
        <v>0</v>
      </c>
      <c r="AV264" s="6242">
        <f t="shared" si="107"/>
        <v>0</v>
      </c>
      <c r="AW264" s="6188" cm="1">
        <f t="array" ref="AW264">IF(AK264&lt;&gt;1,0,IF(OR(AU264="",N(AU264)&lt;=0.000000001),"",IF(OR(AO264="",N(AO264)&lt;=0.000000001),0,IF(ISNUMBER(AU264),IFERROR(_xlfn.LET(_xlpm.ai_test,TRIM(AJ264),_xlpm.r,IFERROR(_xlfn.XLOOKUP(_xlpm.ai_test,$BJ$15:$BJ$62,ROW($BJ$15:$BJ$62),0,1),IFERROR(_xlfn.XLOOKUP(_xlpm.ai_test,$BK$15:$BK$62,ROW($BK$15:$BK$62),0,1),_xlfn.XLOOKUP(_xlpm.ai_test,$BL$15:$BL$62,ROW($BL$15:$BL$62),0,1))),_xlpm.p,_xlpm.r-MIN(ROW($BJ$15:$BJ$62))+1,_xlpm.f,INDEX($BM$15:$BM$62,_xlpm.p),_xlpm.u,INDEX($BN$15:$BN$62,_xlpm.p),_xlpm.s,INDEX($BP$15:$BP$62,_xlpm.p),_xlpm.q,N(AU264)/_xlpm.f,IF(_xlpm.q&gt;=_xlpm.s,ROUND(_xlpm.q,1)&amp;" "&amp;_xlpm.ai_test&amp;" = "&amp;ROUND(_xlpm.q*_xlpm.f,1)&amp;" "&amp;_xlpm.u,ROUND(_xlpm.q,1)&amp;" "&amp;_xlpm.ai_test)),""),""))))</f>
        <v>0</v>
      </c>
      <c r="AX264" s="6218"/>
      <c r="AY264" s="6271">
        <f t="shared" si="108"/>
        <v>0</v>
      </c>
      <c r="AZ264" s="6242" t="str">
        <f t="shared" si="109"/>
        <v/>
      </c>
      <c r="BA264" s="6194">
        <f t="shared" si="114"/>
        <v>0</v>
      </c>
      <c r="BB264" s="6192" t="str">
        <f t="shared" si="110"/>
        <v/>
      </c>
      <c r="BC264" s="6219"/>
      <c r="BD264" s="6221">
        <f t="shared" si="115"/>
        <v>0</v>
      </c>
      <c r="BE264" s="6220" t="str">
        <f t="shared" si="111"/>
        <v/>
      </c>
      <c r="BF264" s="4" t="s">
        <v>1</v>
      </c>
      <c r="BG264" s="6196">
        <f t="shared" si="112"/>
        <v>0</v>
      </c>
      <c r="BH264" s="6197">
        <f t="shared" si="113"/>
        <v>0</v>
      </c>
      <c r="BI264"/>
      <c r="BJ264" s="1"/>
      <c r="BK264" s="1"/>
      <c r="BL264" s="1"/>
      <c r="BM264" s="1"/>
      <c r="BN264" s="1"/>
      <c r="BO264" s="1"/>
      <c r="BP264" s="1"/>
      <c r="BQ264" s="1"/>
      <c r="BX264" s="20" t="str">
        <f t="shared" si="118"/>
        <v>►</v>
      </c>
      <c r="CC264"/>
      <c r="CD264" s="2"/>
      <c r="DC264" s="5">
        <v>1</v>
      </c>
    </row>
    <row r="265" spans="1:109" ht="21" customHeight="1">
      <c r="A265" s="5641" t="s">
        <v>1</v>
      </c>
      <c r="B265" s="5662" t="str">
        <f t="shared" si="117"/>
        <v>►</v>
      </c>
      <c r="C265" s="5825" cm="1">
        <f t="array" ref="C265">SUMPRODUCT(LEN(D265:J265))</f>
        <v>0</v>
      </c>
      <c r="D265" s="5275"/>
      <c r="E265" s="1361"/>
      <c r="F265" s="1361"/>
      <c r="G265" s="1361"/>
      <c r="H265" s="1361"/>
      <c r="I265" s="1361"/>
      <c r="J265" s="5276"/>
      <c r="K265" s="106" t="s">
        <v>1</v>
      </c>
      <c r="L265" s="1021" t="s">
        <v>26</v>
      </c>
      <c r="M265" s="6787"/>
      <c r="N265" s="6787"/>
      <c r="O265" s="6787"/>
      <c r="P265" s="6788"/>
      <c r="Q265" s="6789"/>
      <c r="R265" s="6790"/>
      <c r="S265" s="6786"/>
      <c r="T265" s="6791"/>
      <c r="U265" s="6844"/>
      <c r="V265" s="6791"/>
      <c r="W265" s="8487"/>
      <c r="X265" s="6871"/>
      <c r="Y265" s="6793"/>
      <c r="Z265" s="6794"/>
      <c r="AA265" s="6795"/>
      <c r="AB265" s="6796"/>
      <c r="AC265" s="6797"/>
      <c r="AD265" s="6798"/>
      <c r="AE265" s="4" t="s">
        <v>1</v>
      </c>
      <c r="AF265" s="6202" t="str">
        <f t="shared" si="95"/>
        <v>►</v>
      </c>
      <c r="AG265" s="6234" t="str">
        <f t="shared" si="96"/>
        <v/>
      </c>
      <c r="AH265" s="6732" t="str">
        <f t="shared" si="97"/>
        <v/>
      </c>
      <c r="AI265" s="6234" t="str">
        <f t="shared" si="98"/>
        <v/>
      </c>
      <c r="AJ265" s="6732" t="str">
        <f t="shared" si="99"/>
        <v/>
      </c>
      <c r="AK265" s="6732">
        <f t="shared" si="100"/>
        <v>0</v>
      </c>
      <c r="AL265" s="6230" t="str" cm="1">
        <f t="array" ref="AL265">IF(AF265&lt;&gt;"A","",IFERROR((IFERROR(_xlfn.XLOOKUP(TRIM(SUBSTITUTE(U265,CHAR(160)," ")),$BJ$15:$BJ$62,$BM$15:$BM$62),IFERROR(_xlfn.XLOOKUP(TRIM(SUBSTITUTE(U265,CHAR(160)," ")),$BK$15:$BK$62,$BM$15:$BM$62),_xlfn.XLOOKUP(TRIM(SUBSTITUTE(U265,CHAR(160)," ")),$BL$15:$BL$62,$BM$15:$BM$62))))*T265*IF(ISBLANK(Q265),1,Q265)+IFERROR(_xlfn.XLOOKUP("RECHERCHEX",TRIM(L265:AD265),L265:AD265),0),0))</f>
        <v/>
      </c>
      <c r="AM265" s="6229">
        <f t="shared" si="101"/>
        <v>0</v>
      </c>
      <c r="AN265" s="6857" t="str">
        <f t="shared" si="116"/>
        <v/>
      </c>
      <c r="AO265" s="392">
        <f t="shared" si="102"/>
        <v>0</v>
      </c>
      <c r="AP265" s="392">
        <f t="shared" si="103"/>
        <v>0</v>
      </c>
      <c r="AQ265" s="6191">
        <f t="shared" si="104"/>
        <v>0</v>
      </c>
      <c r="AR265" s="6859" t="str">
        <f t="shared" si="105"/>
        <v/>
      </c>
      <c r="AS265" s="6217"/>
      <c r="AT265" s="6217"/>
      <c r="AU265" s="6272">
        <f t="shared" si="106"/>
        <v>0</v>
      </c>
      <c r="AV265" s="6240">
        <f t="shared" si="107"/>
        <v>0</v>
      </c>
      <c r="AW265" s="6189" cm="1">
        <f t="array" ref="AW265">IF(AK265&lt;&gt;1,0,IF(OR(AU265="",N(AU265)&lt;=0.000000001),"",IF(OR(AO265="",N(AO265)&lt;=0.000000001),0,IF(ISNUMBER(AU265),IFERROR(_xlfn.LET(_xlpm.ai_test,TRIM(AJ265),_xlpm.r,IFERROR(_xlfn.XLOOKUP(_xlpm.ai_test,$BJ$15:$BJ$62,ROW($BJ$15:$BJ$62),0,1),IFERROR(_xlfn.XLOOKUP(_xlpm.ai_test,$BK$15:$BK$62,ROW($BK$15:$BK$62),0,1),_xlfn.XLOOKUP(_xlpm.ai_test,$BL$15:$BL$62,ROW($BL$15:$BL$62),0,1))),_xlpm.p,_xlpm.r-MIN(ROW($BJ$15:$BJ$62))+1,_xlpm.f,INDEX($BM$15:$BM$62,_xlpm.p),_xlpm.u,INDEX($BN$15:$BN$62,_xlpm.p),_xlpm.s,INDEX($BP$15:$BP$62,_xlpm.p),_xlpm.q,N(AU265)/_xlpm.f,IF(_xlpm.q&gt;=_xlpm.s,ROUND(_xlpm.q,1)&amp;" "&amp;_xlpm.ai_test&amp;" = "&amp;ROUND(_xlpm.q*_xlpm.f,1)&amp;" "&amp;_xlpm.u,ROUND(_xlpm.q,1)&amp;" "&amp;_xlpm.ai_test)),""),""))))</f>
        <v>0</v>
      </c>
      <c r="AX265" s="6218"/>
      <c r="AY265" s="6272">
        <f t="shared" si="108"/>
        <v>0</v>
      </c>
      <c r="AZ265" s="6240" t="str">
        <f t="shared" si="109"/>
        <v/>
      </c>
      <c r="BA265" s="6195">
        <f t="shared" si="114"/>
        <v>0</v>
      </c>
      <c r="BB265" s="6193" t="str">
        <f t="shared" si="110"/>
        <v/>
      </c>
      <c r="BC265" s="6219"/>
      <c r="BD265" s="6222">
        <f t="shared" si="115"/>
        <v>0</v>
      </c>
      <c r="BE265" s="6220" t="str">
        <f t="shared" si="111"/>
        <v/>
      </c>
      <c r="BF265" s="4" t="s">
        <v>1</v>
      </c>
      <c r="BG265" s="6196">
        <f t="shared" si="112"/>
        <v>0</v>
      </c>
      <c r="BH265" s="6197">
        <f t="shared" si="113"/>
        <v>0</v>
      </c>
      <c r="BI265"/>
      <c r="BJ265" s="1"/>
      <c r="BK265" s="1"/>
      <c r="BL265" s="1"/>
      <c r="BM265" s="1"/>
      <c r="BN265" s="1"/>
      <c r="BO265" s="1"/>
      <c r="BP265" s="1"/>
      <c r="BQ265" s="1"/>
      <c r="BX265" s="20" t="str">
        <f t="shared" si="118"/>
        <v>►</v>
      </c>
      <c r="CC265"/>
      <c r="CD265" s="2"/>
      <c r="DC265" s="5">
        <v>1</v>
      </c>
    </row>
    <row r="266" spans="1:109" s="2" customFormat="1" ht="21" customHeight="1">
      <c r="A266" s="5641" t="s">
        <v>1</v>
      </c>
      <c r="B266" s="5662" t="str">
        <f t="shared" si="117"/>
        <v>►</v>
      </c>
      <c r="C266" s="5825" cm="1">
        <f t="array" ref="C266">SUMPRODUCT(LEN(D266:J266))</f>
        <v>0</v>
      </c>
      <c r="D266" s="5275"/>
      <c r="E266" s="1361"/>
      <c r="F266" s="1361"/>
      <c r="G266" s="1361"/>
      <c r="H266" s="1361"/>
      <c r="I266" s="1361"/>
      <c r="J266" s="5276"/>
      <c r="K266" s="106" t="s">
        <v>1</v>
      </c>
      <c r="L266" s="1021" t="s">
        <v>26</v>
      </c>
      <c r="M266" s="6787"/>
      <c r="N266" s="6787"/>
      <c r="O266" s="6787"/>
      <c r="P266" s="6788"/>
      <c r="Q266" s="6789"/>
      <c r="R266" s="6790"/>
      <c r="S266" s="6786"/>
      <c r="T266" s="6791"/>
      <c r="U266" s="6844"/>
      <c r="V266" s="6791"/>
      <c r="W266" s="8487"/>
      <c r="X266" s="6871"/>
      <c r="Y266" s="6793"/>
      <c r="Z266" s="6794"/>
      <c r="AA266" s="6795"/>
      <c r="AB266" s="6796"/>
      <c r="AC266" s="6797"/>
      <c r="AD266" s="6798"/>
      <c r="AE266" s="4" t="s">
        <v>1</v>
      </c>
      <c r="AF266" s="6202" t="str">
        <f t="shared" si="95"/>
        <v>►</v>
      </c>
      <c r="AG266" s="6234" t="str">
        <f t="shared" si="96"/>
        <v/>
      </c>
      <c r="AH266" s="6732" t="str">
        <f t="shared" si="97"/>
        <v/>
      </c>
      <c r="AI266" s="6234" t="str">
        <f t="shared" si="98"/>
        <v/>
      </c>
      <c r="AJ266" s="6732" t="str">
        <f t="shared" si="99"/>
        <v/>
      </c>
      <c r="AK266" s="6732">
        <f t="shared" si="100"/>
        <v>0</v>
      </c>
      <c r="AL266" s="6230" t="str" cm="1">
        <f t="array" ref="AL266">IF(AF266&lt;&gt;"A","",IFERROR((IFERROR(_xlfn.XLOOKUP(TRIM(SUBSTITUTE(U266,CHAR(160)," ")),$BJ$15:$BJ$62,$BM$15:$BM$62),IFERROR(_xlfn.XLOOKUP(TRIM(SUBSTITUTE(U266,CHAR(160)," ")),$BK$15:$BK$62,$BM$15:$BM$62),_xlfn.XLOOKUP(TRIM(SUBSTITUTE(U266,CHAR(160)," ")),$BL$15:$BL$62,$BM$15:$BM$62))))*T266*IF(ISBLANK(Q266),1,Q266)+IFERROR(_xlfn.XLOOKUP("RECHERCHEX",TRIM(L266:AD266),L266:AD266),0),0))</f>
        <v/>
      </c>
      <c r="AM266" s="6229">
        <f t="shared" si="101"/>
        <v>0</v>
      </c>
      <c r="AN266" s="6857" t="str">
        <f t="shared" si="116"/>
        <v/>
      </c>
      <c r="AO266" s="392">
        <f t="shared" si="102"/>
        <v>0</v>
      </c>
      <c r="AP266" s="392">
        <f t="shared" si="103"/>
        <v>0</v>
      </c>
      <c r="AQ266" s="6190">
        <f t="shared" si="104"/>
        <v>0</v>
      </c>
      <c r="AR266" s="6858" t="str">
        <f t="shared" si="105"/>
        <v/>
      </c>
      <c r="AS266" s="6217"/>
      <c r="AT266" s="6217"/>
      <c r="AU266" s="6271">
        <f t="shared" si="106"/>
        <v>0</v>
      </c>
      <c r="AV266" s="6242">
        <f t="shared" si="107"/>
        <v>0</v>
      </c>
      <c r="AW266" s="6188" cm="1">
        <f t="array" ref="AW266">IF(AK266&lt;&gt;1,0,IF(OR(AU266="",N(AU266)&lt;=0.000000001),"",IF(OR(AO266="",N(AO266)&lt;=0.000000001),0,IF(ISNUMBER(AU266),IFERROR(_xlfn.LET(_xlpm.ai_test,TRIM(AJ266),_xlpm.r,IFERROR(_xlfn.XLOOKUP(_xlpm.ai_test,$BJ$15:$BJ$62,ROW($BJ$15:$BJ$62),0,1),IFERROR(_xlfn.XLOOKUP(_xlpm.ai_test,$BK$15:$BK$62,ROW($BK$15:$BK$62),0,1),_xlfn.XLOOKUP(_xlpm.ai_test,$BL$15:$BL$62,ROW($BL$15:$BL$62),0,1))),_xlpm.p,_xlpm.r-MIN(ROW($BJ$15:$BJ$62))+1,_xlpm.f,INDEX($BM$15:$BM$62,_xlpm.p),_xlpm.u,INDEX($BN$15:$BN$62,_xlpm.p),_xlpm.s,INDEX($BP$15:$BP$62,_xlpm.p),_xlpm.q,N(AU266)/_xlpm.f,IF(_xlpm.q&gt;=_xlpm.s,ROUND(_xlpm.q,1)&amp;" "&amp;_xlpm.ai_test&amp;" = "&amp;ROUND(_xlpm.q*_xlpm.f,1)&amp;" "&amp;_xlpm.u,ROUND(_xlpm.q,1)&amp;" "&amp;_xlpm.ai_test)),""),""))))</f>
        <v>0</v>
      </c>
      <c r="AX266" s="6218"/>
      <c r="AY266" s="6271">
        <f t="shared" si="108"/>
        <v>0</v>
      </c>
      <c r="AZ266" s="6242" t="str">
        <f t="shared" si="109"/>
        <v/>
      </c>
      <c r="BA266" s="6194">
        <f t="shared" si="114"/>
        <v>0</v>
      </c>
      <c r="BB266" s="6192" t="str">
        <f t="shared" si="110"/>
        <v/>
      </c>
      <c r="BC266" s="6219"/>
      <c r="BD266" s="6221">
        <f t="shared" si="115"/>
        <v>0</v>
      </c>
      <c r="BE266" s="6220" t="str">
        <f t="shared" si="111"/>
        <v/>
      </c>
      <c r="BF266" s="4" t="s">
        <v>1</v>
      </c>
      <c r="BG266" s="6196">
        <f t="shared" si="112"/>
        <v>0</v>
      </c>
      <c r="BH266" s="6197">
        <f t="shared" si="113"/>
        <v>0</v>
      </c>
      <c r="BI266"/>
      <c r="BJ266" s="1"/>
      <c r="BK266" s="1"/>
      <c r="BL266" s="1"/>
      <c r="BM266" s="1"/>
      <c r="BN266" s="1"/>
      <c r="BO266" s="1"/>
      <c r="BP266" s="1"/>
      <c r="BQ266" s="1"/>
      <c r="BR266"/>
      <c r="BS266"/>
      <c r="BT266"/>
      <c r="BU266"/>
      <c r="BV266"/>
      <c r="BW266"/>
      <c r="BX266" s="20" t="str">
        <f t="shared" si="118"/>
        <v>►</v>
      </c>
      <c r="BY266"/>
      <c r="BZ266"/>
      <c r="CA266"/>
      <c r="CB266"/>
      <c r="CC266"/>
      <c r="CE266"/>
      <c r="CF266"/>
      <c r="CG266"/>
      <c r="CH266"/>
      <c r="CI266"/>
      <c r="CJ266"/>
      <c r="CK266"/>
      <c r="CL266" s="4"/>
      <c r="CM266"/>
      <c r="CN266"/>
      <c r="CO266"/>
      <c r="CP266"/>
      <c r="CQ266"/>
      <c r="CR266"/>
      <c r="CS266"/>
      <c r="CT266" s="4"/>
      <c r="CU266"/>
      <c r="CV266"/>
      <c r="CW266"/>
      <c r="CX266"/>
      <c r="CY266"/>
      <c r="CZ266"/>
      <c r="DA266"/>
      <c r="DB266" s="4"/>
      <c r="DC266" s="5">
        <v>1</v>
      </c>
      <c r="DD266" s="1"/>
      <c r="DE266" s="1"/>
    </row>
    <row r="267" spans="1:109" s="2" customFormat="1" ht="21" customHeight="1">
      <c r="A267" s="5641" t="s">
        <v>1</v>
      </c>
      <c r="B267" s="5662" t="str">
        <f t="shared" si="117"/>
        <v>►</v>
      </c>
      <c r="C267" s="5825" cm="1">
        <f t="array" ref="C267">SUMPRODUCT(LEN(D267:J267))</f>
        <v>0</v>
      </c>
      <c r="D267" s="5275"/>
      <c r="E267" s="1361"/>
      <c r="F267" s="1361"/>
      <c r="G267" s="1361"/>
      <c r="H267" s="1361"/>
      <c r="I267" s="1361"/>
      <c r="J267" s="5276"/>
      <c r="K267" s="106" t="s">
        <v>1</v>
      </c>
      <c r="L267" s="1021" t="s">
        <v>26</v>
      </c>
      <c r="M267" s="6787"/>
      <c r="N267" s="6787"/>
      <c r="O267" s="6787"/>
      <c r="P267" s="6788"/>
      <c r="Q267" s="6789"/>
      <c r="R267" s="6790"/>
      <c r="S267" s="6786"/>
      <c r="T267" s="6791"/>
      <c r="U267" s="6844"/>
      <c r="V267" s="6791"/>
      <c r="W267" s="8487"/>
      <c r="X267" s="6871"/>
      <c r="Y267" s="6793"/>
      <c r="Z267" s="6794"/>
      <c r="AA267" s="6795"/>
      <c r="AB267" s="6796"/>
      <c r="AC267" s="6797"/>
      <c r="AD267" s="6798"/>
      <c r="AE267" s="4" t="s">
        <v>1</v>
      </c>
      <c r="AF267" s="6202" t="str">
        <f t="shared" si="95"/>
        <v>►</v>
      </c>
      <c r="AG267" s="6234" t="str">
        <f t="shared" si="96"/>
        <v/>
      </c>
      <c r="AH267" s="6732" t="str">
        <f t="shared" si="97"/>
        <v/>
      </c>
      <c r="AI267" s="6234" t="str">
        <f t="shared" si="98"/>
        <v/>
      </c>
      <c r="AJ267" s="6732" t="str">
        <f t="shared" si="99"/>
        <v/>
      </c>
      <c r="AK267" s="6732">
        <f t="shared" si="100"/>
        <v>0</v>
      </c>
      <c r="AL267" s="6230" t="str" cm="1">
        <f t="array" ref="AL267">IF(AF267&lt;&gt;"A","",IFERROR((IFERROR(_xlfn.XLOOKUP(TRIM(SUBSTITUTE(U267,CHAR(160)," ")),$BJ$15:$BJ$62,$BM$15:$BM$62),IFERROR(_xlfn.XLOOKUP(TRIM(SUBSTITUTE(U267,CHAR(160)," ")),$BK$15:$BK$62,$BM$15:$BM$62),_xlfn.XLOOKUP(TRIM(SUBSTITUTE(U267,CHAR(160)," ")),$BL$15:$BL$62,$BM$15:$BM$62))))*T267*IF(ISBLANK(Q267),1,Q267)+IFERROR(_xlfn.XLOOKUP("RECHERCHEX",TRIM(L267:AD267),L267:AD267),0),0))</f>
        <v/>
      </c>
      <c r="AM267" s="6229">
        <f t="shared" si="101"/>
        <v>0</v>
      </c>
      <c r="AN267" s="6857" t="str">
        <f t="shared" si="116"/>
        <v/>
      </c>
      <c r="AO267" s="392">
        <f t="shared" si="102"/>
        <v>0</v>
      </c>
      <c r="AP267" s="392">
        <f t="shared" si="103"/>
        <v>0</v>
      </c>
      <c r="AQ267" s="6191">
        <f t="shared" si="104"/>
        <v>0</v>
      </c>
      <c r="AR267" s="6859" t="str">
        <f t="shared" si="105"/>
        <v/>
      </c>
      <c r="AS267" s="6217"/>
      <c r="AT267" s="6217"/>
      <c r="AU267" s="6272">
        <f t="shared" si="106"/>
        <v>0</v>
      </c>
      <c r="AV267" s="6240">
        <f t="shared" si="107"/>
        <v>0</v>
      </c>
      <c r="AW267" s="6189" cm="1">
        <f t="array" ref="AW267">IF(AK267&lt;&gt;1,0,IF(OR(AU267="",N(AU267)&lt;=0.000000001),"",IF(OR(AO267="",N(AO267)&lt;=0.000000001),0,IF(ISNUMBER(AU267),IFERROR(_xlfn.LET(_xlpm.ai_test,TRIM(AJ267),_xlpm.r,IFERROR(_xlfn.XLOOKUP(_xlpm.ai_test,$BJ$15:$BJ$62,ROW($BJ$15:$BJ$62),0,1),IFERROR(_xlfn.XLOOKUP(_xlpm.ai_test,$BK$15:$BK$62,ROW($BK$15:$BK$62),0,1),_xlfn.XLOOKUP(_xlpm.ai_test,$BL$15:$BL$62,ROW($BL$15:$BL$62),0,1))),_xlpm.p,_xlpm.r-MIN(ROW($BJ$15:$BJ$62))+1,_xlpm.f,INDEX($BM$15:$BM$62,_xlpm.p),_xlpm.u,INDEX($BN$15:$BN$62,_xlpm.p),_xlpm.s,INDEX($BP$15:$BP$62,_xlpm.p),_xlpm.q,N(AU267)/_xlpm.f,IF(_xlpm.q&gt;=_xlpm.s,ROUND(_xlpm.q,1)&amp;" "&amp;_xlpm.ai_test&amp;" = "&amp;ROUND(_xlpm.q*_xlpm.f,1)&amp;" "&amp;_xlpm.u,ROUND(_xlpm.q,1)&amp;" "&amp;_xlpm.ai_test)),""),""))))</f>
        <v>0</v>
      </c>
      <c r="AX267" s="6218"/>
      <c r="AY267" s="6272">
        <f t="shared" si="108"/>
        <v>0</v>
      </c>
      <c r="AZ267" s="6240" t="str">
        <f t="shared" si="109"/>
        <v/>
      </c>
      <c r="BA267" s="6195">
        <f t="shared" si="114"/>
        <v>0</v>
      </c>
      <c r="BB267" s="6193" t="str">
        <f t="shared" si="110"/>
        <v/>
      </c>
      <c r="BC267" s="6219"/>
      <c r="BD267" s="6222">
        <f t="shared" si="115"/>
        <v>0</v>
      </c>
      <c r="BE267" s="6220" t="str">
        <f t="shared" si="111"/>
        <v/>
      </c>
      <c r="BF267" s="4" t="s">
        <v>1</v>
      </c>
      <c r="BG267" s="6196">
        <f t="shared" si="112"/>
        <v>0</v>
      </c>
      <c r="BH267" s="6197">
        <f t="shared" si="113"/>
        <v>0</v>
      </c>
      <c r="BI267"/>
      <c r="BJ267" s="1"/>
      <c r="BK267" s="1"/>
      <c r="BL267" s="1"/>
      <c r="BM267" s="1"/>
      <c r="BN267" s="1"/>
      <c r="BO267" s="1"/>
      <c r="BP267" s="1"/>
      <c r="BQ267" s="1"/>
      <c r="BR267"/>
      <c r="BS267"/>
      <c r="BT267"/>
      <c r="BU267"/>
      <c r="BV267"/>
      <c r="BW267"/>
      <c r="BX267" s="20" t="str">
        <f t="shared" si="118"/>
        <v>►</v>
      </c>
      <c r="BY267"/>
      <c r="BZ267"/>
      <c r="CA267"/>
      <c r="CB267"/>
      <c r="CC267"/>
      <c r="CE267"/>
      <c r="CF267"/>
      <c r="CG267"/>
      <c r="CH267"/>
      <c r="CI267"/>
      <c r="CJ267"/>
      <c r="CK267"/>
      <c r="CL267" s="4"/>
      <c r="CM267"/>
      <c r="CN267"/>
      <c r="CO267"/>
      <c r="CP267"/>
      <c r="CQ267"/>
      <c r="CR267"/>
      <c r="CS267"/>
      <c r="CT267" s="4"/>
      <c r="CU267"/>
      <c r="CV267"/>
      <c r="CW267"/>
      <c r="CX267"/>
      <c r="CY267"/>
      <c r="CZ267"/>
      <c r="DA267"/>
      <c r="DB267" s="4"/>
      <c r="DC267" s="5">
        <v>1</v>
      </c>
      <c r="DD267" s="1"/>
      <c r="DE267" s="1"/>
    </row>
    <row r="268" spans="1:109" s="2" customFormat="1" ht="21" customHeight="1">
      <c r="A268" s="5641" t="s">
        <v>1</v>
      </c>
      <c r="B268" s="5662" t="str">
        <f t="shared" si="117"/>
        <v>►</v>
      </c>
      <c r="C268" s="5825" cm="1">
        <f t="array" ref="C268">SUMPRODUCT(LEN(D268:J268))</f>
        <v>0</v>
      </c>
      <c r="D268" s="5275"/>
      <c r="E268" s="1361"/>
      <c r="F268" s="1361"/>
      <c r="G268" s="1361"/>
      <c r="H268" s="1361"/>
      <c r="I268" s="1361"/>
      <c r="J268" s="5276"/>
      <c r="K268" s="106" t="s">
        <v>1</v>
      </c>
      <c r="L268" s="1021" t="s">
        <v>26</v>
      </c>
      <c r="M268" s="6787"/>
      <c r="N268" s="6787"/>
      <c r="O268" s="6787"/>
      <c r="P268" s="6788"/>
      <c r="Q268" s="6789"/>
      <c r="R268" s="6790"/>
      <c r="S268" s="6786"/>
      <c r="T268" s="6791"/>
      <c r="U268" s="6844"/>
      <c r="V268" s="6791"/>
      <c r="W268" s="8487"/>
      <c r="X268" s="6871"/>
      <c r="Y268" s="6793"/>
      <c r="Z268" s="6794"/>
      <c r="AA268" s="6795"/>
      <c r="AB268" s="6796"/>
      <c r="AC268" s="6797"/>
      <c r="AD268" s="6798"/>
      <c r="AE268" s="4" t="s">
        <v>1</v>
      </c>
      <c r="AF268" s="6202" t="str">
        <f t="shared" si="95"/>
        <v>►</v>
      </c>
      <c r="AG268" s="6234" t="str">
        <f t="shared" si="96"/>
        <v/>
      </c>
      <c r="AH268" s="6732" t="str">
        <f t="shared" si="97"/>
        <v/>
      </c>
      <c r="AI268" s="6234" t="str">
        <f t="shared" si="98"/>
        <v/>
      </c>
      <c r="AJ268" s="6732" t="str">
        <f t="shared" si="99"/>
        <v/>
      </c>
      <c r="AK268" s="6732">
        <f t="shared" si="100"/>
        <v>0</v>
      </c>
      <c r="AL268" s="6230" t="str" cm="1">
        <f t="array" ref="AL268">IF(AF268&lt;&gt;"A","",IFERROR((IFERROR(_xlfn.XLOOKUP(TRIM(SUBSTITUTE(U268,CHAR(160)," ")),$BJ$15:$BJ$62,$BM$15:$BM$62),IFERROR(_xlfn.XLOOKUP(TRIM(SUBSTITUTE(U268,CHAR(160)," ")),$BK$15:$BK$62,$BM$15:$BM$62),_xlfn.XLOOKUP(TRIM(SUBSTITUTE(U268,CHAR(160)," ")),$BL$15:$BL$62,$BM$15:$BM$62))))*T268*IF(ISBLANK(Q268),1,Q268)+IFERROR(_xlfn.XLOOKUP("RECHERCHEX",TRIM(L268:AD268),L268:AD268),0),0))</f>
        <v/>
      </c>
      <c r="AM268" s="6229">
        <f t="shared" si="101"/>
        <v>0</v>
      </c>
      <c r="AN268" s="6857" t="str">
        <f t="shared" si="116"/>
        <v/>
      </c>
      <c r="AO268" s="392">
        <f t="shared" si="102"/>
        <v>0</v>
      </c>
      <c r="AP268" s="392">
        <f t="shared" si="103"/>
        <v>0</v>
      </c>
      <c r="AQ268" s="6190">
        <f t="shared" si="104"/>
        <v>0</v>
      </c>
      <c r="AR268" s="6858" t="str">
        <f t="shared" si="105"/>
        <v/>
      </c>
      <c r="AS268" s="6217"/>
      <c r="AT268" s="6217"/>
      <c r="AU268" s="6271">
        <f t="shared" si="106"/>
        <v>0</v>
      </c>
      <c r="AV268" s="6242">
        <f t="shared" si="107"/>
        <v>0</v>
      </c>
      <c r="AW268" s="6188" cm="1">
        <f t="array" ref="AW268">IF(AK268&lt;&gt;1,0,IF(OR(AU268="",N(AU268)&lt;=0.000000001),"",IF(OR(AO268="",N(AO268)&lt;=0.000000001),0,IF(ISNUMBER(AU268),IFERROR(_xlfn.LET(_xlpm.ai_test,TRIM(AJ268),_xlpm.r,IFERROR(_xlfn.XLOOKUP(_xlpm.ai_test,$BJ$15:$BJ$62,ROW($BJ$15:$BJ$62),0,1),IFERROR(_xlfn.XLOOKUP(_xlpm.ai_test,$BK$15:$BK$62,ROW($BK$15:$BK$62),0,1),_xlfn.XLOOKUP(_xlpm.ai_test,$BL$15:$BL$62,ROW($BL$15:$BL$62),0,1))),_xlpm.p,_xlpm.r-MIN(ROW($BJ$15:$BJ$62))+1,_xlpm.f,INDEX($BM$15:$BM$62,_xlpm.p),_xlpm.u,INDEX($BN$15:$BN$62,_xlpm.p),_xlpm.s,INDEX($BP$15:$BP$62,_xlpm.p),_xlpm.q,N(AU268)/_xlpm.f,IF(_xlpm.q&gt;=_xlpm.s,ROUND(_xlpm.q,1)&amp;" "&amp;_xlpm.ai_test&amp;" = "&amp;ROUND(_xlpm.q*_xlpm.f,1)&amp;" "&amp;_xlpm.u,ROUND(_xlpm.q,1)&amp;" "&amp;_xlpm.ai_test)),""),""))))</f>
        <v>0</v>
      </c>
      <c r="AX268" s="6218"/>
      <c r="AY268" s="6271">
        <f t="shared" si="108"/>
        <v>0</v>
      </c>
      <c r="AZ268" s="6242" t="str">
        <f t="shared" si="109"/>
        <v/>
      </c>
      <c r="BA268" s="6194">
        <f t="shared" si="114"/>
        <v>0</v>
      </c>
      <c r="BB268" s="6192" t="str">
        <f t="shared" si="110"/>
        <v/>
      </c>
      <c r="BC268" s="6219"/>
      <c r="BD268" s="6221">
        <f t="shared" si="115"/>
        <v>0</v>
      </c>
      <c r="BE268" s="6220" t="str">
        <f t="shared" si="111"/>
        <v/>
      </c>
      <c r="BF268" s="4" t="s">
        <v>1</v>
      </c>
      <c r="BG268" s="6196">
        <f t="shared" si="112"/>
        <v>0</v>
      </c>
      <c r="BH268" s="6197">
        <f t="shared" si="113"/>
        <v>0</v>
      </c>
      <c r="BI268"/>
      <c r="BJ268" s="1"/>
      <c r="BK268" s="1"/>
      <c r="BL268" s="1"/>
      <c r="BM268" s="1"/>
      <c r="BN268" s="1"/>
      <c r="BO268" s="1"/>
      <c r="BP268" s="1"/>
      <c r="BQ268" s="1"/>
      <c r="BR268"/>
      <c r="BS268"/>
      <c r="BT268"/>
      <c r="BU268"/>
      <c r="BV268"/>
      <c r="BW268"/>
      <c r="BX268" s="20" t="str">
        <f t="shared" si="118"/>
        <v>►</v>
      </c>
      <c r="BY268"/>
      <c r="BZ268"/>
      <c r="CA268"/>
      <c r="CB268"/>
      <c r="CC268"/>
      <c r="CE268"/>
      <c r="CF268"/>
      <c r="CG268"/>
      <c r="CH268"/>
      <c r="CI268"/>
      <c r="CJ268"/>
      <c r="CK268"/>
      <c r="CL268" s="4"/>
      <c r="CM268"/>
      <c r="CN268"/>
      <c r="CO268"/>
      <c r="CP268"/>
      <c r="CQ268"/>
      <c r="CR268"/>
      <c r="CS268"/>
      <c r="CT268" s="4"/>
      <c r="CU268"/>
      <c r="CV268"/>
      <c r="CW268"/>
      <c r="CX268"/>
      <c r="CY268"/>
      <c r="CZ268"/>
      <c r="DA268"/>
      <c r="DB268" s="4"/>
      <c r="DC268" s="5">
        <v>1</v>
      </c>
      <c r="DD268" s="1"/>
      <c r="DE268" s="1"/>
    </row>
    <row r="269" spans="1:109" s="2" customFormat="1" ht="21" customHeight="1">
      <c r="A269" s="5641" t="s">
        <v>1</v>
      </c>
      <c r="B269" s="5662" t="str">
        <f t="shared" si="117"/>
        <v>►</v>
      </c>
      <c r="C269" s="5825" cm="1">
        <f t="array" ref="C269">SUMPRODUCT(LEN(D269:J269))</f>
        <v>0</v>
      </c>
      <c r="D269" s="5275"/>
      <c r="E269" s="1361"/>
      <c r="F269" s="1361"/>
      <c r="G269" s="1361"/>
      <c r="H269" s="1361"/>
      <c r="I269" s="1361"/>
      <c r="J269" s="5276"/>
      <c r="K269" s="106" t="s">
        <v>1</v>
      </c>
      <c r="L269" s="1021" t="s">
        <v>26</v>
      </c>
      <c r="M269" s="6787"/>
      <c r="N269" s="6787"/>
      <c r="O269" s="6787"/>
      <c r="P269" s="6788"/>
      <c r="Q269" s="6789"/>
      <c r="R269" s="6790"/>
      <c r="S269" s="6786"/>
      <c r="T269" s="6791"/>
      <c r="U269" s="6844"/>
      <c r="V269" s="6791"/>
      <c r="W269" s="8487"/>
      <c r="X269" s="6871"/>
      <c r="Y269" s="6793"/>
      <c r="Z269" s="6794"/>
      <c r="AA269" s="6795"/>
      <c r="AB269" s="6796"/>
      <c r="AC269" s="6797"/>
      <c r="AD269" s="6798"/>
      <c r="AE269" s="4" t="s">
        <v>1</v>
      </c>
      <c r="AF269" s="6202" t="str">
        <f t="shared" si="95"/>
        <v>►</v>
      </c>
      <c r="AG269" s="6234" t="str">
        <f t="shared" si="96"/>
        <v/>
      </c>
      <c r="AH269" s="6732" t="str">
        <f t="shared" si="97"/>
        <v/>
      </c>
      <c r="AI269" s="6234" t="str">
        <f t="shared" si="98"/>
        <v/>
      </c>
      <c r="AJ269" s="6732" t="str">
        <f t="shared" si="99"/>
        <v/>
      </c>
      <c r="AK269" s="6732">
        <f t="shared" si="100"/>
        <v>0</v>
      </c>
      <c r="AL269" s="6230" t="str" cm="1">
        <f t="array" ref="AL269">IF(AF269&lt;&gt;"A","",IFERROR((IFERROR(_xlfn.XLOOKUP(TRIM(SUBSTITUTE(U269,CHAR(160)," ")),$BJ$15:$BJ$62,$BM$15:$BM$62),IFERROR(_xlfn.XLOOKUP(TRIM(SUBSTITUTE(U269,CHAR(160)," ")),$BK$15:$BK$62,$BM$15:$BM$62),_xlfn.XLOOKUP(TRIM(SUBSTITUTE(U269,CHAR(160)," ")),$BL$15:$BL$62,$BM$15:$BM$62))))*T269*IF(ISBLANK(Q269),1,Q269)+IFERROR(_xlfn.XLOOKUP("RECHERCHEX",TRIM(L269:AD269),L269:AD269),0),0))</f>
        <v/>
      </c>
      <c r="AM269" s="6229">
        <f t="shared" si="101"/>
        <v>0</v>
      </c>
      <c r="AN269" s="6857" t="str">
        <f t="shared" si="116"/>
        <v/>
      </c>
      <c r="AO269" s="392">
        <f t="shared" si="102"/>
        <v>0</v>
      </c>
      <c r="AP269" s="392">
        <f t="shared" si="103"/>
        <v>0</v>
      </c>
      <c r="AQ269" s="6191">
        <f t="shared" si="104"/>
        <v>0</v>
      </c>
      <c r="AR269" s="6859" t="str">
        <f t="shared" si="105"/>
        <v/>
      </c>
      <c r="AS269" s="6217"/>
      <c r="AT269" s="6217"/>
      <c r="AU269" s="6272">
        <f t="shared" si="106"/>
        <v>0</v>
      </c>
      <c r="AV269" s="6240">
        <f t="shared" si="107"/>
        <v>0</v>
      </c>
      <c r="AW269" s="6189" cm="1">
        <f t="array" ref="AW269">IF(AK269&lt;&gt;1,0,IF(OR(AU269="",N(AU269)&lt;=0.000000001),"",IF(OR(AO269="",N(AO269)&lt;=0.000000001),0,IF(ISNUMBER(AU269),IFERROR(_xlfn.LET(_xlpm.ai_test,TRIM(AJ269),_xlpm.r,IFERROR(_xlfn.XLOOKUP(_xlpm.ai_test,$BJ$15:$BJ$62,ROW($BJ$15:$BJ$62),0,1),IFERROR(_xlfn.XLOOKUP(_xlpm.ai_test,$BK$15:$BK$62,ROW($BK$15:$BK$62),0,1),_xlfn.XLOOKUP(_xlpm.ai_test,$BL$15:$BL$62,ROW($BL$15:$BL$62),0,1))),_xlpm.p,_xlpm.r-MIN(ROW($BJ$15:$BJ$62))+1,_xlpm.f,INDEX($BM$15:$BM$62,_xlpm.p),_xlpm.u,INDEX($BN$15:$BN$62,_xlpm.p),_xlpm.s,INDEX($BP$15:$BP$62,_xlpm.p),_xlpm.q,N(AU269)/_xlpm.f,IF(_xlpm.q&gt;=_xlpm.s,ROUND(_xlpm.q,1)&amp;" "&amp;_xlpm.ai_test&amp;" = "&amp;ROUND(_xlpm.q*_xlpm.f,1)&amp;" "&amp;_xlpm.u,ROUND(_xlpm.q,1)&amp;" "&amp;_xlpm.ai_test)),""),""))))</f>
        <v>0</v>
      </c>
      <c r="AX269" s="6218"/>
      <c r="AY269" s="6272">
        <f t="shared" si="108"/>
        <v>0</v>
      </c>
      <c r="AZ269" s="6240" t="str">
        <f t="shared" si="109"/>
        <v/>
      </c>
      <c r="BA269" s="6195">
        <f t="shared" si="114"/>
        <v>0</v>
      </c>
      <c r="BB269" s="6193" t="str">
        <f t="shared" si="110"/>
        <v/>
      </c>
      <c r="BC269" s="6219"/>
      <c r="BD269" s="6222">
        <f t="shared" si="115"/>
        <v>0</v>
      </c>
      <c r="BE269" s="6220" t="str">
        <f t="shared" si="111"/>
        <v/>
      </c>
      <c r="BF269" s="4" t="s">
        <v>1</v>
      </c>
      <c r="BG269" s="6196">
        <f t="shared" si="112"/>
        <v>0</v>
      </c>
      <c r="BH269" s="6197">
        <f t="shared" si="113"/>
        <v>0</v>
      </c>
      <c r="BI269"/>
      <c r="BJ269" s="1"/>
      <c r="BK269" s="1"/>
      <c r="BL269" s="1"/>
      <c r="BM269" s="1"/>
      <c r="BN269" s="1"/>
      <c r="BO269" s="1"/>
      <c r="BP269" s="1"/>
      <c r="BQ269" s="1"/>
      <c r="BR269"/>
      <c r="BS269"/>
      <c r="BT269"/>
      <c r="BU269"/>
      <c r="BV269"/>
      <c r="BW269"/>
      <c r="BX269" s="20" t="str">
        <f t="shared" si="118"/>
        <v>►</v>
      </c>
      <c r="BY269"/>
      <c r="BZ269"/>
      <c r="CA269"/>
      <c r="CB269"/>
      <c r="CC269"/>
      <c r="CE269"/>
      <c r="CF269"/>
      <c r="CG269"/>
      <c r="CH269"/>
      <c r="CI269"/>
      <c r="CJ269"/>
      <c r="CK269"/>
      <c r="CL269" s="4"/>
      <c r="CM269"/>
      <c r="CN269"/>
      <c r="CO269"/>
      <c r="CP269"/>
      <c r="CQ269"/>
      <c r="CR269"/>
      <c r="CS269"/>
      <c r="CT269" s="4"/>
      <c r="CU269"/>
      <c r="CV269"/>
      <c r="CW269"/>
      <c r="CX269"/>
      <c r="CY269"/>
      <c r="CZ269"/>
      <c r="DA269"/>
      <c r="DB269" s="4"/>
      <c r="DC269" s="5">
        <v>1</v>
      </c>
      <c r="DD269" s="1"/>
      <c r="DE269" s="1"/>
    </row>
    <row r="270" spans="1:109" s="2" customFormat="1" ht="21" customHeight="1">
      <c r="A270" s="5641" t="s">
        <v>1</v>
      </c>
      <c r="B270" s="5662" t="str">
        <f t="shared" si="117"/>
        <v>►</v>
      </c>
      <c r="C270" s="5825" cm="1">
        <f t="array" ref="C270">SUMPRODUCT(LEN(D270:J270))</f>
        <v>0</v>
      </c>
      <c r="D270" s="5275"/>
      <c r="E270" s="1361"/>
      <c r="F270" s="1361"/>
      <c r="G270" s="1361"/>
      <c r="H270" s="1361"/>
      <c r="I270" s="1361"/>
      <c r="J270" s="5276"/>
      <c r="K270" s="106" t="s">
        <v>1</v>
      </c>
      <c r="L270" s="1021" t="s">
        <v>26</v>
      </c>
      <c r="M270" s="6787"/>
      <c r="N270" s="6787"/>
      <c r="O270" s="6787"/>
      <c r="P270" s="6788"/>
      <c r="Q270" s="6789"/>
      <c r="R270" s="6790"/>
      <c r="S270" s="6786"/>
      <c r="T270" s="6791"/>
      <c r="U270" s="6844"/>
      <c r="V270" s="6791"/>
      <c r="W270" s="8487"/>
      <c r="X270" s="6871"/>
      <c r="Y270" s="6793"/>
      <c r="Z270" s="6794"/>
      <c r="AA270" s="6795"/>
      <c r="AB270" s="6796"/>
      <c r="AC270" s="6797"/>
      <c r="AD270" s="6798"/>
      <c r="AE270" s="4" t="s">
        <v>1</v>
      </c>
      <c r="AF270" s="6202" t="str">
        <f t="shared" si="95"/>
        <v>►</v>
      </c>
      <c r="AG270" s="6234" t="str">
        <f t="shared" si="96"/>
        <v/>
      </c>
      <c r="AH270" s="6732" t="str">
        <f t="shared" si="97"/>
        <v/>
      </c>
      <c r="AI270" s="6234" t="str">
        <f t="shared" si="98"/>
        <v/>
      </c>
      <c r="AJ270" s="6732" t="str">
        <f t="shared" si="99"/>
        <v/>
      </c>
      <c r="AK270" s="6732">
        <f t="shared" si="100"/>
        <v>0</v>
      </c>
      <c r="AL270" s="6230" t="str" cm="1">
        <f t="array" ref="AL270">IF(AF270&lt;&gt;"A","",IFERROR((IFERROR(_xlfn.XLOOKUP(TRIM(SUBSTITUTE(U270,CHAR(160)," ")),$BJ$15:$BJ$62,$BM$15:$BM$62),IFERROR(_xlfn.XLOOKUP(TRIM(SUBSTITUTE(U270,CHAR(160)," ")),$BK$15:$BK$62,$BM$15:$BM$62),_xlfn.XLOOKUP(TRIM(SUBSTITUTE(U270,CHAR(160)," ")),$BL$15:$BL$62,$BM$15:$BM$62))))*T270*IF(ISBLANK(Q270),1,Q270)+IFERROR(_xlfn.XLOOKUP("RECHERCHEX",TRIM(L270:AD270),L270:AD270),0),0))</f>
        <v/>
      </c>
      <c r="AM270" s="6229">
        <f t="shared" si="101"/>
        <v>0</v>
      </c>
      <c r="AN270" s="6857" t="str">
        <f t="shared" si="116"/>
        <v/>
      </c>
      <c r="AO270" s="392">
        <f t="shared" si="102"/>
        <v>0</v>
      </c>
      <c r="AP270" s="392">
        <f t="shared" si="103"/>
        <v>0</v>
      </c>
      <c r="AQ270" s="6190">
        <f t="shared" si="104"/>
        <v>0</v>
      </c>
      <c r="AR270" s="6858" t="str">
        <f t="shared" si="105"/>
        <v/>
      </c>
      <c r="AS270" s="6217"/>
      <c r="AT270" s="6217"/>
      <c r="AU270" s="6271">
        <f t="shared" si="106"/>
        <v>0</v>
      </c>
      <c r="AV270" s="6242">
        <f t="shared" si="107"/>
        <v>0</v>
      </c>
      <c r="AW270" s="6188" cm="1">
        <f t="array" ref="AW270">IF(AK270&lt;&gt;1,0,IF(OR(AU270="",N(AU270)&lt;=0.000000001),"",IF(OR(AO270="",N(AO270)&lt;=0.000000001),0,IF(ISNUMBER(AU270),IFERROR(_xlfn.LET(_xlpm.ai_test,TRIM(AJ270),_xlpm.r,IFERROR(_xlfn.XLOOKUP(_xlpm.ai_test,$BJ$15:$BJ$62,ROW($BJ$15:$BJ$62),0,1),IFERROR(_xlfn.XLOOKUP(_xlpm.ai_test,$BK$15:$BK$62,ROW($BK$15:$BK$62),0,1),_xlfn.XLOOKUP(_xlpm.ai_test,$BL$15:$BL$62,ROW($BL$15:$BL$62),0,1))),_xlpm.p,_xlpm.r-MIN(ROW($BJ$15:$BJ$62))+1,_xlpm.f,INDEX($BM$15:$BM$62,_xlpm.p),_xlpm.u,INDEX($BN$15:$BN$62,_xlpm.p),_xlpm.s,INDEX($BP$15:$BP$62,_xlpm.p),_xlpm.q,N(AU270)/_xlpm.f,IF(_xlpm.q&gt;=_xlpm.s,ROUND(_xlpm.q,1)&amp;" "&amp;_xlpm.ai_test&amp;" = "&amp;ROUND(_xlpm.q*_xlpm.f,1)&amp;" "&amp;_xlpm.u,ROUND(_xlpm.q,1)&amp;" "&amp;_xlpm.ai_test)),""),""))))</f>
        <v>0</v>
      </c>
      <c r="AX270" s="6218"/>
      <c r="AY270" s="6271">
        <f t="shared" si="108"/>
        <v>0</v>
      </c>
      <c r="AZ270" s="6242" t="str">
        <f t="shared" si="109"/>
        <v/>
      </c>
      <c r="BA270" s="6194">
        <f t="shared" si="114"/>
        <v>0</v>
      </c>
      <c r="BB270" s="6192" t="str">
        <f t="shared" si="110"/>
        <v/>
      </c>
      <c r="BC270" s="6219"/>
      <c r="BD270" s="6221">
        <f t="shared" si="115"/>
        <v>0</v>
      </c>
      <c r="BE270" s="6220" t="str">
        <f t="shared" si="111"/>
        <v/>
      </c>
      <c r="BF270" s="4" t="s">
        <v>1</v>
      </c>
      <c r="BG270" s="6196">
        <f t="shared" si="112"/>
        <v>0</v>
      </c>
      <c r="BH270" s="6197">
        <f t="shared" si="113"/>
        <v>0</v>
      </c>
      <c r="BI270"/>
      <c r="BJ270" s="1"/>
      <c r="BK270" s="1"/>
      <c r="BL270" s="1"/>
      <c r="BM270" s="1"/>
      <c r="BN270" s="1"/>
      <c r="BO270" s="1"/>
      <c r="BP270" s="1"/>
      <c r="BQ270" s="1"/>
      <c r="BR270"/>
      <c r="BS270"/>
      <c r="BT270"/>
      <c r="BU270"/>
      <c r="BV270"/>
      <c r="BW270"/>
      <c r="BX270" s="20" t="str">
        <f t="shared" si="118"/>
        <v>►</v>
      </c>
      <c r="BY270"/>
      <c r="BZ270"/>
      <c r="CA270"/>
      <c r="CB270"/>
      <c r="CC270"/>
      <c r="CE270"/>
      <c r="CF270"/>
      <c r="CG270"/>
      <c r="CH270"/>
      <c r="CI270"/>
      <c r="CJ270"/>
      <c r="CK270"/>
      <c r="CL270" s="4"/>
      <c r="CM270"/>
      <c r="CN270"/>
      <c r="CO270"/>
      <c r="CP270"/>
      <c r="CQ270"/>
      <c r="CR270"/>
      <c r="CS270"/>
      <c r="CT270" s="4"/>
      <c r="CU270"/>
      <c r="CV270"/>
      <c r="CW270"/>
      <c r="CX270"/>
      <c r="CY270"/>
      <c r="CZ270"/>
      <c r="DA270"/>
      <c r="DB270" s="4"/>
      <c r="DC270" s="5">
        <v>1</v>
      </c>
      <c r="DD270" s="1"/>
      <c r="DE270" s="1"/>
    </row>
    <row r="271" spans="1:109" s="2" customFormat="1" ht="21" customHeight="1">
      <c r="A271" s="5641" t="s">
        <v>1</v>
      </c>
      <c r="B271" s="5662" t="str">
        <f t="shared" si="117"/>
        <v>►</v>
      </c>
      <c r="C271" s="5825" cm="1">
        <f t="array" ref="C271">SUMPRODUCT(LEN(D271:J271))</f>
        <v>0</v>
      </c>
      <c r="D271" s="5275"/>
      <c r="E271" s="1361"/>
      <c r="F271" s="1361"/>
      <c r="G271" s="1361"/>
      <c r="H271" s="1361"/>
      <c r="I271" s="1361"/>
      <c r="J271" s="5276"/>
      <c r="K271" s="106" t="s">
        <v>1</v>
      </c>
      <c r="L271" s="1021" t="s">
        <v>26</v>
      </c>
      <c r="M271" s="6787"/>
      <c r="N271" s="6787"/>
      <c r="O271" s="6787"/>
      <c r="P271" s="6788"/>
      <c r="Q271" s="6789"/>
      <c r="R271" s="6790"/>
      <c r="S271" s="6786"/>
      <c r="T271" s="6791"/>
      <c r="U271" s="6844"/>
      <c r="V271" s="6791"/>
      <c r="W271" s="8487"/>
      <c r="X271" s="6871"/>
      <c r="Y271" s="6793"/>
      <c r="Z271" s="6794"/>
      <c r="AA271" s="6795"/>
      <c r="AB271" s="6796"/>
      <c r="AC271" s="6797"/>
      <c r="AD271" s="6798"/>
      <c r="AE271" s="4" t="s">
        <v>1</v>
      </c>
      <c r="AF271" s="6202" t="str">
        <f t="shared" si="95"/>
        <v>►</v>
      </c>
      <c r="AG271" s="6234" t="str">
        <f t="shared" si="96"/>
        <v/>
      </c>
      <c r="AH271" s="6732" t="str">
        <f t="shared" si="97"/>
        <v/>
      </c>
      <c r="AI271" s="6234" t="str">
        <f t="shared" si="98"/>
        <v/>
      </c>
      <c r="AJ271" s="6732" t="str">
        <f t="shared" si="99"/>
        <v/>
      </c>
      <c r="AK271" s="6732">
        <f t="shared" si="100"/>
        <v>0</v>
      </c>
      <c r="AL271" s="6230" t="str" cm="1">
        <f t="array" ref="AL271">IF(AF271&lt;&gt;"A","",IFERROR((IFERROR(_xlfn.XLOOKUP(TRIM(SUBSTITUTE(U271,CHAR(160)," ")),$BJ$15:$BJ$62,$BM$15:$BM$62),IFERROR(_xlfn.XLOOKUP(TRIM(SUBSTITUTE(U271,CHAR(160)," ")),$BK$15:$BK$62,$BM$15:$BM$62),_xlfn.XLOOKUP(TRIM(SUBSTITUTE(U271,CHAR(160)," ")),$BL$15:$BL$62,$BM$15:$BM$62))))*T271*IF(ISBLANK(Q271),1,Q271)+IFERROR(_xlfn.XLOOKUP("RECHERCHEX",TRIM(L271:AD271),L271:AD271),0),0))</f>
        <v/>
      </c>
      <c r="AM271" s="6229">
        <f t="shared" si="101"/>
        <v>0</v>
      </c>
      <c r="AN271" s="6857" t="str">
        <f t="shared" si="116"/>
        <v/>
      </c>
      <c r="AO271" s="392">
        <f t="shared" si="102"/>
        <v>0</v>
      </c>
      <c r="AP271" s="392">
        <f t="shared" si="103"/>
        <v>0</v>
      </c>
      <c r="AQ271" s="6191">
        <f t="shared" si="104"/>
        <v>0</v>
      </c>
      <c r="AR271" s="6859" t="str">
        <f t="shared" si="105"/>
        <v/>
      </c>
      <c r="AS271" s="6217"/>
      <c r="AT271" s="6217"/>
      <c r="AU271" s="6272">
        <f t="shared" si="106"/>
        <v>0</v>
      </c>
      <c r="AV271" s="6240">
        <f t="shared" si="107"/>
        <v>0</v>
      </c>
      <c r="AW271" s="6189" cm="1">
        <f t="array" ref="AW271">IF(AK271&lt;&gt;1,0,IF(OR(AU271="",N(AU271)&lt;=0.000000001),"",IF(OR(AO271="",N(AO271)&lt;=0.000000001),0,IF(ISNUMBER(AU271),IFERROR(_xlfn.LET(_xlpm.ai_test,TRIM(AJ271),_xlpm.r,IFERROR(_xlfn.XLOOKUP(_xlpm.ai_test,$BJ$15:$BJ$62,ROW($BJ$15:$BJ$62),0,1),IFERROR(_xlfn.XLOOKUP(_xlpm.ai_test,$BK$15:$BK$62,ROW($BK$15:$BK$62),0,1),_xlfn.XLOOKUP(_xlpm.ai_test,$BL$15:$BL$62,ROW($BL$15:$BL$62),0,1))),_xlpm.p,_xlpm.r-MIN(ROW($BJ$15:$BJ$62))+1,_xlpm.f,INDEX($BM$15:$BM$62,_xlpm.p),_xlpm.u,INDEX($BN$15:$BN$62,_xlpm.p),_xlpm.s,INDEX($BP$15:$BP$62,_xlpm.p),_xlpm.q,N(AU271)/_xlpm.f,IF(_xlpm.q&gt;=_xlpm.s,ROUND(_xlpm.q,1)&amp;" "&amp;_xlpm.ai_test&amp;" = "&amp;ROUND(_xlpm.q*_xlpm.f,1)&amp;" "&amp;_xlpm.u,ROUND(_xlpm.q,1)&amp;" "&amp;_xlpm.ai_test)),""),""))))</f>
        <v>0</v>
      </c>
      <c r="AX271" s="6218"/>
      <c r="AY271" s="6272">
        <f t="shared" si="108"/>
        <v>0</v>
      </c>
      <c r="AZ271" s="6240" t="str">
        <f t="shared" si="109"/>
        <v/>
      </c>
      <c r="BA271" s="6195">
        <f t="shared" si="114"/>
        <v>0</v>
      </c>
      <c r="BB271" s="6193" t="str">
        <f t="shared" si="110"/>
        <v/>
      </c>
      <c r="BC271" s="6219"/>
      <c r="BD271" s="6222">
        <f t="shared" si="115"/>
        <v>0</v>
      </c>
      <c r="BE271" s="6220" t="str">
        <f t="shared" si="111"/>
        <v/>
      </c>
      <c r="BF271" s="4" t="s">
        <v>1</v>
      </c>
      <c r="BG271" s="6196">
        <f t="shared" si="112"/>
        <v>0</v>
      </c>
      <c r="BH271" s="6197">
        <f t="shared" si="113"/>
        <v>0</v>
      </c>
      <c r="BI271"/>
      <c r="BJ271" s="1"/>
      <c r="BK271" s="1"/>
      <c r="BL271" s="1"/>
      <c r="BM271" s="1"/>
      <c r="BN271" s="1"/>
      <c r="BO271" s="1"/>
      <c r="BP271" s="1"/>
      <c r="BQ271" s="1"/>
      <c r="BR271"/>
      <c r="BS271"/>
      <c r="BT271"/>
      <c r="BU271"/>
      <c r="BV271"/>
      <c r="BW271"/>
      <c r="BX271" s="20" t="str">
        <f t="shared" si="118"/>
        <v>►</v>
      </c>
      <c r="BY271"/>
      <c r="BZ271"/>
      <c r="CA271"/>
      <c r="CB271"/>
      <c r="CC271"/>
      <c r="CE271"/>
      <c r="CF271"/>
      <c r="CG271"/>
      <c r="CH271"/>
      <c r="CI271"/>
      <c r="CJ271"/>
      <c r="CK271"/>
      <c r="CL271" s="4"/>
      <c r="CM271"/>
      <c r="CN271"/>
      <c r="CO271"/>
      <c r="CP271"/>
      <c r="CQ271"/>
      <c r="CR271"/>
      <c r="CS271"/>
      <c r="CT271" s="4"/>
      <c r="CU271"/>
      <c r="CV271"/>
      <c r="CW271"/>
      <c r="CX271"/>
      <c r="CY271"/>
      <c r="CZ271"/>
      <c r="DA271"/>
      <c r="DB271" s="4"/>
      <c r="DC271" s="5">
        <v>1</v>
      </c>
      <c r="DD271" s="1"/>
      <c r="DE271" s="1"/>
    </row>
    <row r="272" spans="1:109" s="2" customFormat="1" ht="21" customHeight="1">
      <c r="A272" s="5641" t="s">
        <v>1</v>
      </c>
      <c r="B272" s="5662" t="str">
        <f t="shared" si="117"/>
        <v>►</v>
      </c>
      <c r="C272" s="5825" cm="1">
        <f t="array" ref="C272">SUMPRODUCT(LEN(D272:J272))</f>
        <v>0</v>
      </c>
      <c r="D272" s="5275"/>
      <c r="E272" s="1361"/>
      <c r="F272" s="1361"/>
      <c r="G272" s="1361"/>
      <c r="H272" s="1361"/>
      <c r="I272" s="1361"/>
      <c r="J272" s="5276"/>
      <c r="K272" s="106" t="s">
        <v>1</v>
      </c>
      <c r="L272" s="1021" t="s">
        <v>26</v>
      </c>
      <c r="M272" s="6787"/>
      <c r="N272" s="6787"/>
      <c r="O272" s="6787"/>
      <c r="P272" s="6788"/>
      <c r="Q272" s="6789"/>
      <c r="R272" s="6790"/>
      <c r="S272" s="6786"/>
      <c r="T272" s="6791"/>
      <c r="U272" s="6844"/>
      <c r="V272" s="6791"/>
      <c r="W272" s="8487"/>
      <c r="X272" s="6871"/>
      <c r="Y272" s="6793"/>
      <c r="Z272" s="6794"/>
      <c r="AA272" s="6795"/>
      <c r="AB272" s="6796"/>
      <c r="AC272" s="6797"/>
      <c r="AD272" s="6798"/>
      <c r="AE272" s="4" t="s">
        <v>1</v>
      </c>
      <c r="AF272" s="6202" t="str">
        <f t="shared" si="95"/>
        <v>►</v>
      </c>
      <c r="AG272" s="6234" t="str">
        <f t="shared" si="96"/>
        <v/>
      </c>
      <c r="AH272" s="6732" t="str">
        <f t="shared" si="97"/>
        <v/>
      </c>
      <c r="AI272" s="6234" t="str">
        <f t="shared" si="98"/>
        <v/>
      </c>
      <c r="AJ272" s="6732" t="str">
        <f t="shared" si="99"/>
        <v/>
      </c>
      <c r="AK272" s="6732">
        <f t="shared" si="100"/>
        <v>0</v>
      </c>
      <c r="AL272" s="6230" t="str" cm="1">
        <f t="array" ref="AL272">IF(AF272&lt;&gt;"A","",IFERROR((IFERROR(_xlfn.XLOOKUP(TRIM(SUBSTITUTE(U272,CHAR(160)," ")),$BJ$15:$BJ$62,$BM$15:$BM$62),IFERROR(_xlfn.XLOOKUP(TRIM(SUBSTITUTE(U272,CHAR(160)," ")),$BK$15:$BK$62,$BM$15:$BM$62),_xlfn.XLOOKUP(TRIM(SUBSTITUTE(U272,CHAR(160)," ")),$BL$15:$BL$62,$BM$15:$BM$62))))*T272*IF(ISBLANK(Q272),1,Q272)+IFERROR(_xlfn.XLOOKUP("RECHERCHEX",TRIM(L272:AD272),L272:AD272),0),0))</f>
        <v/>
      </c>
      <c r="AM272" s="6229">
        <f t="shared" si="101"/>
        <v>0</v>
      </c>
      <c r="AN272" s="6857" t="str">
        <f t="shared" si="116"/>
        <v/>
      </c>
      <c r="AO272" s="392">
        <f t="shared" si="102"/>
        <v>0</v>
      </c>
      <c r="AP272" s="392">
        <f t="shared" si="103"/>
        <v>0</v>
      </c>
      <c r="AQ272" s="6190">
        <f t="shared" si="104"/>
        <v>0</v>
      </c>
      <c r="AR272" s="6858" t="str">
        <f t="shared" si="105"/>
        <v/>
      </c>
      <c r="AS272" s="6217"/>
      <c r="AT272" s="6217"/>
      <c r="AU272" s="6271">
        <f t="shared" si="106"/>
        <v>0</v>
      </c>
      <c r="AV272" s="6242">
        <f t="shared" si="107"/>
        <v>0</v>
      </c>
      <c r="AW272" s="6188" cm="1">
        <f t="array" ref="AW272">IF(AK272&lt;&gt;1,0,IF(OR(AU272="",N(AU272)&lt;=0.000000001),"",IF(OR(AO272="",N(AO272)&lt;=0.000000001),0,IF(ISNUMBER(AU272),IFERROR(_xlfn.LET(_xlpm.ai_test,TRIM(AJ272),_xlpm.r,IFERROR(_xlfn.XLOOKUP(_xlpm.ai_test,$BJ$15:$BJ$62,ROW($BJ$15:$BJ$62),0,1),IFERROR(_xlfn.XLOOKUP(_xlpm.ai_test,$BK$15:$BK$62,ROW($BK$15:$BK$62),0,1),_xlfn.XLOOKUP(_xlpm.ai_test,$BL$15:$BL$62,ROW($BL$15:$BL$62),0,1))),_xlpm.p,_xlpm.r-MIN(ROW($BJ$15:$BJ$62))+1,_xlpm.f,INDEX($BM$15:$BM$62,_xlpm.p),_xlpm.u,INDEX($BN$15:$BN$62,_xlpm.p),_xlpm.s,INDEX($BP$15:$BP$62,_xlpm.p),_xlpm.q,N(AU272)/_xlpm.f,IF(_xlpm.q&gt;=_xlpm.s,ROUND(_xlpm.q,1)&amp;" "&amp;_xlpm.ai_test&amp;" = "&amp;ROUND(_xlpm.q*_xlpm.f,1)&amp;" "&amp;_xlpm.u,ROUND(_xlpm.q,1)&amp;" "&amp;_xlpm.ai_test)),""),""))))</f>
        <v>0</v>
      </c>
      <c r="AX272" s="6218"/>
      <c r="AY272" s="6271">
        <f t="shared" si="108"/>
        <v>0</v>
      </c>
      <c r="AZ272" s="6242" t="str">
        <f t="shared" si="109"/>
        <v/>
      </c>
      <c r="BA272" s="6194">
        <f t="shared" si="114"/>
        <v>0</v>
      </c>
      <c r="BB272" s="6192" t="str">
        <f t="shared" si="110"/>
        <v/>
      </c>
      <c r="BC272" s="6219"/>
      <c r="BD272" s="6221">
        <f t="shared" si="115"/>
        <v>0</v>
      </c>
      <c r="BE272" s="6220" t="str">
        <f t="shared" si="111"/>
        <v/>
      </c>
      <c r="BF272" s="4" t="s">
        <v>1</v>
      </c>
      <c r="BG272" s="6196">
        <f t="shared" si="112"/>
        <v>0</v>
      </c>
      <c r="BH272" s="6197">
        <f t="shared" si="113"/>
        <v>0</v>
      </c>
      <c r="BI272"/>
      <c r="BJ272" s="1"/>
      <c r="BK272" s="1"/>
      <c r="BL272" s="1"/>
      <c r="BM272" s="1"/>
      <c r="BN272" s="1"/>
      <c r="BO272" s="1"/>
      <c r="BP272" s="1"/>
      <c r="BQ272" s="1"/>
      <c r="BR272"/>
      <c r="BS272"/>
      <c r="BT272"/>
      <c r="BU272"/>
      <c r="BV272"/>
      <c r="BW272"/>
      <c r="BX272" s="20" t="str">
        <f t="shared" si="118"/>
        <v>►</v>
      </c>
      <c r="BY272"/>
      <c r="BZ272"/>
      <c r="CA272"/>
      <c r="CB272"/>
      <c r="CC272"/>
      <c r="CE272"/>
      <c r="CF272"/>
      <c r="CG272"/>
      <c r="CH272"/>
      <c r="CI272"/>
      <c r="CJ272"/>
      <c r="CK272"/>
      <c r="CL272" s="4"/>
      <c r="CM272"/>
      <c r="CN272"/>
      <c r="CO272"/>
      <c r="CP272"/>
      <c r="CQ272"/>
      <c r="CR272"/>
      <c r="CS272"/>
      <c r="CT272" s="4"/>
      <c r="CU272"/>
      <c r="CV272"/>
      <c r="CW272"/>
      <c r="CX272"/>
      <c r="CY272"/>
      <c r="CZ272"/>
      <c r="DA272"/>
      <c r="DB272" s="4"/>
      <c r="DC272" s="5">
        <v>1</v>
      </c>
      <c r="DD272" s="1"/>
      <c r="DE272" s="1"/>
    </row>
    <row r="273" spans="1:109" s="2" customFormat="1" ht="21" customHeight="1">
      <c r="A273" s="5641" t="s">
        <v>1</v>
      </c>
      <c r="B273" s="5662" t="str">
        <f t="shared" si="117"/>
        <v>►</v>
      </c>
      <c r="C273" s="5825" cm="1">
        <f t="array" ref="C273">SUMPRODUCT(LEN(D273:J273))</f>
        <v>0</v>
      </c>
      <c r="D273" s="5275"/>
      <c r="E273" s="1361"/>
      <c r="F273" s="1361"/>
      <c r="G273" s="1361"/>
      <c r="H273" s="1361"/>
      <c r="I273" s="1361"/>
      <c r="J273" s="5276"/>
      <c r="K273" s="106" t="s">
        <v>1</v>
      </c>
      <c r="L273" s="1021" t="s">
        <v>26</v>
      </c>
      <c r="M273" s="6787"/>
      <c r="N273" s="6787"/>
      <c r="O273" s="6787"/>
      <c r="P273" s="6788"/>
      <c r="Q273" s="6789"/>
      <c r="R273" s="6790"/>
      <c r="S273" s="6786"/>
      <c r="T273" s="6791"/>
      <c r="U273" s="6844"/>
      <c r="V273" s="6791"/>
      <c r="W273" s="8487"/>
      <c r="X273" s="6871"/>
      <c r="Y273" s="6793"/>
      <c r="Z273" s="6794"/>
      <c r="AA273" s="6795"/>
      <c r="AB273" s="6796"/>
      <c r="AC273" s="6797"/>
      <c r="AD273" s="6798"/>
      <c r="AE273" s="4" t="s">
        <v>1</v>
      </c>
      <c r="AF273" s="6202" t="str">
        <f t="shared" si="95"/>
        <v>►</v>
      </c>
      <c r="AG273" s="6234" t="str">
        <f t="shared" si="96"/>
        <v/>
      </c>
      <c r="AH273" s="6732" t="str">
        <f t="shared" si="97"/>
        <v/>
      </c>
      <c r="AI273" s="6234" t="str">
        <f t="shared" si="98"/>
        <v/>
      </c>
      <c r="AJ273" s="6732" t="str">
        <f t="shared" si="99"/>
        <v/>
      </c>
      <c r="AK273" s="6732">
        <f t="shared" si="100"/>
        <v>0</v>
      </c>
      <c r="AL273" s="6230" t="str" cm="1">
        <f t="array" ref="AL273">IF(AF273&lt;&gt;"A","",IFERROR((IFERROR(_xlfn.XLOOKUP(TRIM(SUBSTITUTE(U273,CHAR(160)," ")),$BJ$15:$BJ$62,$BM$15:$BM$62),IFERROR(_xlfn.XLOOKUP(TRIM(SUBSTITUTE(U273,CHAR(160)," ")),$BK$15:$BK$62,$BM$15:$BM$62),_xlfn.XLOOKUP(TRIM(SUBSTITUTE(U273,CHAR(160)," ")),$BL$15:$BL$62,$BM$15:$BM$62))))*T273*IF(ISBLANK(Q273),1,Q273)+IFERROR(_xlfn.XLOOKUP("RECHERCHEX",TRIM(L273:AD273),L273:AD273),0),0))</f>
        <v/>
      </c>
      <c r="AM273" s="6229">
        <f t="shared" si="101"/>
        <v>0</v>
      </c>
      <c r="AN273" s="6857" t="str">
        <f t="shared" si="116"/>
        <v/>
      </c>
      <c r="AO273" s="392">
        <f t="shared" si="102"/>
        <v>0</v>
      </c>
      <c r="AP273" s="392">
        <f t="shared" si="103"/>
        <v>0</v>
      </c>
      <c r="AQ273" s="6191">
        <f t="shared" si="104"/>
        <v>0</v>
      </c>
      <c r="AR273" s="6859" t="str">
        <f t="shared" si="105"/>
        <v/>
      </c>
      <c r="AS273" s="6217"/>
      <c r="AT273" s="6217"/>
      <c r="AU273" s="6272">
        <f t="shared" si="106"/>
        <v>0</v>
      </c>
      <c r="AV273" s="6240">
        <f t="shared" si="107"/>
        <v>0</v>
      </c>
      <c r="AW273" s="6189" cm="1">
        <f t="array" ref="AW273">IF(AK273&lt;&gt;1,0,IF(OR(AU273="",N(AU273)&lt;=0.000000001),"",IF(OR(AO273="",N(AO273)&lt;=0.000000001),0,IF(ISNUMBER(AU273),IFERROR(_xlfn.LET(_xlpm.ai_test,TRIM(AJ273),_xlpm.r,IFERROR(_xlfn.XLOOKUP(_xlpm.ai_test,$BJ$15:$BJ$62,ROW($BJ$15:$BJ$62),0,1),IFERROR(_xlfn.XLOOKUP(_xlpm.ai_test,$BK$15:$BK$62,ROW($BK$15:$BK$62),0,1),_xlfn.XLOOKUP(_xlpm.ai_test,$BL$15:$BL$62,ROW($BL$15:$BL$62),0,1))),_xlpm.p,_xlpm.r-MIN(ROW($BJ$15:$BJ$62))+1,_xlpm.f,INDEX($BM$15:$BM$62,_xlpm.p),_xlpm.u,INDEX($BN$15:$BN$62,_xlpm.p),_xlpm.s,INDEX($BP$15:$BP$62,_xlpm.p),_xlpm.q,N(AU273)/_xlpm.f,IF(_xlpm.q&gt;=_xlpm.s,ROUND(_xlpm.q,1)&amp;" "&amp;_xlpm.ai_test&amp;" = "&amp;ROUND(_xlpm.q*_xlpm.f,1)&amp;" "&amp;_xlpm.u,ROUND(_xlpm.q,1)&amp;" "&amp;_xlpm.ai_test)),""),""))))</f>
        <v>0</v>
      </c>
      <c r="AX273" s="6218"/>
      <c r="AY273" s="6272">
        <f t="shared" si="108"/>
        <v>0</v>
      </c>
      <c r="AZ273" s="6240" t="str">
        <f t="shared" si="109"/>
        <v/>
      </c>
      <c r="BA273" s="6195">
        <f t="shared" si="114"/>
        <v>0</v>
      </c>
      <c r="BB273" s="6193" t="str">
        <f t="shared" si="110"/>
        <v/>
      </c>
      <c r="BC273" s="6219"/>
      <c r="BD273" s="6222">
        <f t="shared" si="115"/>
        <v>0</v>
      </c>
      <c r="BE273" s="6220" t="str">
        <f t="shared" si="111"/>
        <v/>
      </c>
      <c r="BF273" s="4" t="s">
        <v>1</v>
      </c>
      <c r="BG273" s="6196">
        <f t="shared" si="112"/>
        <v>0</v>
      </c>
      <c r="BH273" s="6197">
        <f t="shared" si="113"/>
        <v>0</v>
      </c>
      <c r="BI273"/>
      <c r="BJ273" s="1"/>
      <c r="BK273" s="1"/>
      <c r="BL273" s="1"/>
      <c r="BM273" s="1"/>
      <c r="BN273" s="1"/>
      <c r="BO273" s="1"/>
      <c r="BP273" s="1"/>
      <c r="BQ273" s="1"/>
      <c r="BR273"/>
      <c r="BS273"/>
      <c r="BT273"/>
      <c r="BU273"/>
      <c r="BV273"/>
      <c r="BW273"/>
      <c r="BX273" s="20" t="str">
        <f t="shared" si="118"/>
        <v>►</v>
      </c>
      <c r="BY273"/>
      <c r="BZ273"/>
      <c r="CA273"/>
      <c r="CB273"/>
      <c r="CC273"/>
      <c r="CE273"/>
      <c r="CF273"/>
      <c r="CG273"/>
      <c r="CH273"/>
      <c r="CI273"/>
      <c r="CJ273"/>
      <c r="CK273"/>
      <c r="CL273" s="4"/>
      <c r="CM273"/>
      <c r="CN273"/>
      <c r="CO273"/>
      <c r="CP273"/>
      <c r="CQ273"/>
      <c r="CR273"/>
      <c r="CS273"/>
      <c r="CT273" s="4"/>
      <c r="CU273"/>
      <c r="CV273"/>
      <c r="CW273"/>
      <c r="CX273"/>
      <c r="CY273"/>
      <c r="CZ273"/>
      <c r="DA273"/>
      <c r="DB273" s="4"/>
      <c r="DC273" s="5">
        <v>1</v>
      </c>
      <c r="DD273" s="1"/>
      <c r="DE273" s="1"/>
    </row>
    <row r="274" spans="1:109" s="2" customFormat="1" ht="21" customHeight="1">
      <c r="A274" s="5641" t="s">
        <v>1</v>
      </c>
      <c r="B274" s="5662" t="str">
        <f t="shared" si="117"/>
        <v>►</v>
      </c>
      <c r="C274" s="5825" cm="1">
        <f t="array" ref="C274">SUMPRODUCT(LEN(D274:J274))</f>
        <v>0</v>
      </c>
      <c r="D274" s="5275"/>
      <c r="E274" s="1361"/>
      <c r="F274" s="1361"/>
      <c r="G274" s="1361"/>
      <c r="H274" s="1361"/>
      <c r="I274" s="1361"/>
      <c r="J274" s="5276"/>
      <c r="K274" s="106" t="s">
        <v>1</v>
      </c>
      <c r="L274" s="1021" t="s">
        <v>26</v>
      </c>
      <c r="M274" s="6787"/>
      <c r="N274" s="6787"/>
      <c r="O274" s="6787"/>
      <c r="P274" s="6788"/>
      <c r="Q274" s="6789"/>
      <c r="R274" s="6790"/>
      <c r="S274" s="6786"/>
      <c r="T274" s="6791"/>
      <c r="U274" s="6844"/>
      <c r="V274" s="6791"/>
      <c r="W274" s="8487"/>
      <c r="X274" s="6871"/>
      <c r="Y274" s="6793"/>
      <c r="Z274" s="6794"/>
      <c r="AA274" s="6795"/>
      <c r="AB274" s="6796"/>
      <c r="AC274" s="6797"/>
      <c r="AD274" s="6798"/>
      <c r="AE274" s="4" t="s">
        <v>1</v>
      </c>
      <c r="AF274" s="6202" t="str">
        <f t="shared" si="95"/>
        <v>►</v>
      </c>
      <c r="AG274" s="6234" t="str">
        <f t="shared" si="96"/>
        <v/>
      </c>
      <c r="AH274" s="6732" t="str">
        <f t="shared" si="97"/>
        <v/>
      </c>
      <c r="AI274" s="6234" t="str">
        <f t="shared" si="98"/>
        <v/>
      </c>
      <c r="AJ274" s="6732" t="str">
        <f t="shared" si="99"/>
        <v/>
      </c>
      <c r="AK274" s="6732">
        <f t="shared" si="100"/>
        <v>0</v>
      </c>
      <c r="AL274" s="6230" t="str" cm="1">
        <f t="array" ref="AL274">IF(AF274&lt;&gt;"A","",IFERROR((IFERROR(_xlfn.XLOOKUP(TRIM(SUBSTITUTE(U274,CHAR(160)," ")),$BJ$15:$BJ$62,$BM$15:$BM$62),IFERROR(_xlfn.XLOOKUP(TRIM(SUBSTITUTE(U274,CHAR(160)," ")),$BK$15:$BK$62,$BM$15:$BM$62),_xlfn.XLOOKUP(TRIM(SUBSTITUTE(U274,CHAR(160)," ")),$BL$15:$BL$62,$BM$15:$BM$62))))*T274*IF(ISBLANK(Q274),1,Q274)+IFERROR(_xlfn.XLOOKUP("RECHERCHEX",TRIM(L274:AD274),L274:AD274),0),0))</f>
        <v/>
      </c>
      <c r="AM274" s="6229">
        <f t="shared" si="101"/>
        <v>0</v>
      </c>
      <c r="AN274" s="6857" t="str">
        <f t="shared" si="116"/>
        <v/>
      </c>
      <c r="AO274" s="392">
        <f t="shared" si="102"/>
        <v>0</v>
      </c>
      <c r="AP274" s="392">
        <f t="shared" si="103"/>
        <v>0</v>
      </c>
      <c r="AQ274" s="6190">
        <f t="shared" si="104"/>
        <v>0</v>
      </c>
      <c r="AR274" s="6858" t="str">
        <f t="shared" si="105"/>
        <v/>
      </c>
      <c r="AS274" s="6217"/>
      <c r="AT274" s="6217"/>
      <c r="AU274" s="6271">
        <f t="shared" si="106"/>
        <v>0</v>
      </c>
      <c r="AV274" s="6242">
        <f t="shared" si="107"/>
        <v>0</v>
      </c>
      <c r="AW274" s="6188" cm="1">
        <f t="array" ref="AW274">IF(AK274&lt;&gt;1,0,IF(OR(AU274="",N(AU274)&lt;=0.000000001),"",IF(OR(AO274="",N(AO274)&lt;=0.000000001),0,IF(ISNUMBER(AU274),IFERROR(_xlfn.LET(_xlpm.ai_test,TRIM(AJ274),_xlpm.r,IFERROR(_xlfn.XLOOKUP(_xlpm.ai_test,$BJ$15:$BJ$62,ROW($BJ$15:$BJ$62),0,1),IFERROR(_xlfn.XLOOKUP(_xlpm.ai_test,$BK$15:$BK$62,ROW($BK$15:$BK$62),0,1),_xlfn.XLOOKUP(_xlpm.ai_test,$BL$15:$BL$62,ROW($BL$15:$BL$62),0,1))),_xlpm.p,_xlpm.r-MIN(ROW($BJ$15:$BJ$62))+1,_xlpm.f,INDEX($BM$15:$BM$62,_xlpm.p),_xlpm.u,INDEX($BN$15:$BN$62,_xlpm.p),_xlpm.s,INDEX($BP$15:$BP$62,_xlpm.p),_xlpm.q,N(AU274)/_xlpm.f,IF(_xlpm.q&gt;=_xlpm.s,ROUND(_xlpm.q,1)&amp;" "&amp;_xlpm.ai_test&amp;" = "&amp;ROUND(_xlpm.q*_xlpm.f,1)&amp;" "&amp;_xlpm.u,ROUND(_xlpm.q,1)&amp;" "&amp;_xlpm.ai_test)),""),""))))</f>
        <v>0</v>
      </c>
      <c r="AX274" s="6218"/>
      <c r="AY274" s="6271">
        <f t="shared" si="108"/>
        <v>0</v>
      </c>
      <c r="AZ274" s="6242" t="str">
        <f t="shared" si="109"/>
        <v/>
      </c>
      <c r="BA274" s="6194">
        <f t="shared" si="114"/>
        <v>0</v>
      </c>
      <c r="BB274" s="6192" t="str">
        <f t="shared" si="110"/>
        <v/>
      </c>
      <c r="BC274" s="6219"/>
      <c r="BD274" s="6221">
        <f t="shared" si="115"/>
        <v>0</v>
      </c>
      <c r="BE274" s="6220" t="str">
        <f t="shared" si="111"/>
        <v/>
      </c>
      <c r="BF274" s="4" t="s">
        <v>1</v>
      </c>
      <c r="BG274" s="6196">
        <f t="shared" si="112"/>
        <v>0</v>
      </c>
      <c r="BH274" s="6197">
        <f t="shared" si="113"/>
        <v>0</v>
      </c>
      <c r="BI274"/>
      <c r="BJ274" s="1"/>
      <c r="BK274" s="1"/>
      <c r="BL274" s="1"/>
      <c r="BM274" s="1"/>
      <c r="BN274" s="1"/>
      <c r="BO274" s="1"/>
      <c r="BP274" s="1"/>
      <c r="BQ274" s="1"/>
      <c r="BR274"/>
      <c r="BS274"/>
      <c r="BT274"/>
      <c r="BU274"/>
      <c r="BV274"/>
      <c r="BW274"/>
      <c r="BX274" s="20" t="str">
        <f t="shared" si="118"/>
        <v>►</v>
      </c>
      <c r="BY274"/>
      <c r="BZ274"/>
      <c r="CA274"/>
      <c r="CB274"/>
      <c r="CC274"/>
      <c r="CE274"/>
      <c r="CF274"/>
      <c r="CG274"/>
      <c r="CH274"/>
      <c r="CI274"/>
      <c r="CJ274"/>
      <c r="CK274"/>
      <c r="CL274" s="4"/>
      <c r="CM274"/>
      <c r="CN274"/>
      <c r="CO274"/>
      <c r="CP274"/>
      <c r="CQ274"/>
      <c r="CR274"/>
      <c r="CS274"/>
      <c r="CT274" s="4"/>
      <c r="CU274"/>
      <c r="CV274"/>
      <c r="CW274"/>
      <c r="CX274"/>
      <c r="CY274"/>
      <c r="CZ274"/>
      <c r="DA274"/>
      <c r="DB274" s="4"/>
      <c r="DC274" s="5">
        <v>1</v>
      </c>
      <c r="DD274" s="1"/>
      <c r="DE274" s="1"/>
    </row>
    <row r="275" spans="1:109" s="2" customFormat="1" ht="21" customHeight="1">
      <c r="A275" s="5641" t="s">
        <v>1</v>
      </c>
      <c r="B275" s="5662" t="str">
        <f t="shared" si="117"/>
        <v>►</v>
      </c>
      <c r="C275" s="5825" cm="1">
        <f t="array" ref="C275">SUMPRODUCT(LEN(D275:J275))</f>
        <v>0</v>
      </c>
      <c r="D275" s="5275"/>
      <c r="E275" s="1361"/>
      <c r="F275" s="1361"/>
      <c r="G275" s="1361"/>
      <c r="H275" s="1361"/>
      <c r="I275" s="1361"/>
      <c r="J275" s="5276"/>
      <c r="K275" s="106" t="s">
        <v>1</v>
      </c>
      <c r="L275" s="1021" t="s">
        <v>26</v>
      </c>
      <c r="M275" s="6787"/>
      <c r="N275" s="6787"/>
      <c r="O275" s="6787"/>
      <c r="P275" s="6788"/>
      <c r="Q275" s="6789"/>
      <c r="R275" s="6790"/>
      <c r="S275" s="6786"/>
      <c r="T275" s="6791"/>
      <c r="U275" s="6844"/>
      <c r="V275" s="6791"/>
      <c r="W275" s="8487"/>
      <c r="X275" s="6871"/>
      <c r="Y275" s="6793"/>
      <c r="Z275" s="6794"/>
      <c r="AA275" s="6795"/>
      <c r="AB275" s="6796"/>
      <c r="AC275" s="6797"/>
      <c r="AD275" s="6798"/>
      <c r="AE275" s="4" t="s">
        <v>1</v>
      </c>
      <c r="AF275" s="6202" t="str">
        <f t="shared" si="95"/>
        <v>►</v>
      </c>
      <c r="AG275" s="6234" t="str">
        <f t="shared" si="96"/>
        <v/>
      </c>
      <c r="AH275" s="6732" t="str">
        <f t="shared" si="97"/>
        <v/>
      </c>
      <c r="AI275" s="6234" t="str">
        <f t="shared" si="98"/>
        <v/>
      </c>
      <c r="AJ275" s="6732" t="str">
        <f t="shared" si="99"/>
        <v/>
      </c>
      <c r="AK275" s="6732">
        <f t="shared" si="100"/>
        <v>0</v>
      </c>
      <c r="AL275" s="6230" t="str" cm="1">
        <f t="array" ref="AL275">IF(AF275&lt;&gt;"A","",IFERROR((IFERROR(_xlfn.XLOOKUP(TRIM(SUBSTITUTE(U275,CHAR(160)," ")),$BJ$15:$BJ$62,$BM$15:$BM$62),IFERROR(_xlfn.XLOOKUP(TRIM(SUBSTITUTE(U275,CHAR(160)," ")),$BK$15:$BK$62,$BM$15:$BM$62),_xlfn.XLOOKUP(TRIM(SUBSTITUTE(U275,CHAR(160)," ")),$BL$15:$BL$62,$BM$15:$BM$62))))*T275*IF(ISBLANK(Q275),1,Q275)+IFERROR(_xlfn.XLOOKUP("RECHERCHEX",TRIM(L275:AD275),L275:AD275),0),0))</f>
        <v/>
      </c>
      <c r="AM275" s="6229">
        <f t="shared" si="101"/>
        <v>0</v>
      </c>
      <c r="AN275" s="6857" t="str">
        <f t="shared" si="116"/>
        <v/>
      </c>
      <c r="AO275" s="392">
        <f t="shared" si="102"/>
        <v>0</v>
      </c>
      <c r="AP275" s="392">
        <f t="shared" si="103"/>
        <v>0</v>
      </c>
      <c r="AQ275" s="6191">
        <f t="shared" si="104"/>
        <v>0</v>
      </c>
      <c r="AR275" s="6859" t="str">
        <f t="shared" si="105"/>
        <v/>
      </c>
      <c r="AS275" s="6217"/>
      <c r="AT275" s="6217"/>
      <c r="AU275" s="6272">
        <f t="shared" si="106"/>
        <v>0</v>
      </c>
      <c r="AV275" s="6240">
        <f t="shared" si="107"/>
        <v>0</v>
      </c>
      <c r="AW275" s="6189" cm="1">
        <f t="array" ref="AW275">IF(AK275&lt;&gt;1,0,IF(OR(AU275="",N(AU275)&lt;=0.000000001),"",IF(OR(AO275="",N(AO275)&lt;=0.000000001),0,IF(ISNUMBER(AU275),IFERROR(_xlfn.LET(_xlpm.ai_test,TRIM(AJ275),_xlpm.r,IFERROR(_xlfn.XLOOKUP(_xlpm.ai_test,$BJ$15:$BJ$62,ROW($BJ$15:$BJ$62),0,1),IFERROR(_xlfn.XLOOKUP(_xlpm.ai_test,$BK$15:$BK$62,ROW($BK$15:$BK$62),0,1),_xlfn.XLOOKUP(_xlpm.ai_test,$BL$15:$BL$62,ROW($BL$15:$BL$62),0,1))),_xlpm.p,_xlpm.r-MIN(ROW($BJ$15:$BJ$62))+1,_xlpm.f,INDEX($BM$15:$BM$62,_xlpm.p),_xlpm.u,INDEX($BN$15:$BN$62,_xlpm.p),_xlpm.s,INDEX($BP$15:$BP$62,_xlpm.p),_xlpm.q,N(AU275)/_xlpm.f,IF(_xlpm.q&gt;=_xlpm.s,ROUND(_xlpm.q,1)&amp;" "&amp;_xlpm.ai_test&amp;" = "&amp;ROUND(_xlpm.q*_xlpm.f,1)&amp;" "&amp;_xlpm.u,ROUND(_xlpm.q,1)&amp;" "&amp;_xlpm.ai_test)),""),""))))</f>
        <v>0</v>
      </c>
      <c r="AX275" s="6218"/>
      <c r="AY275" s="6272">
        <f t="shared" si="108"/>
        <v>0</v>
      </c>
      <c r="AZ275" s="6240" t="str">
        <f t="shared" si="109"/>
        <v/>
      </c>
      <c r="BA275" s="6195">
        <f t="shared" si="114"/>
        <v>0</v>
      </c>
      <c r="BB275" s="6193" t="str">
        <f t="shared" si="110"/>
        <v/>
      </c>
      <c r="BC275" s="6219"/>
      <c r="BD275" s="6222">
        <f t="shared" si="115"/>
        <v>0</v>
      </c>
      <c r="BE275" s="6220" t="str">
        <f t="shared" si="111"/>
        <v/>
      </c>
      <c r="BF275" s="4" t="s">
        <v>1</v>
      </c>
      <c r="BG275" s="6196">
        <f t="shared" si="112"/>
        <v>0</v>
      </c>
      <c r="BH275" s="6197">
        <f t="shared" si="113"/>
        <v>0</v>
      </c>
      <c r="BI275"/>
      <c r="BJ275" s="1"/>
      <c r="BK275" s="1"/>
      <c r="BL275" s="1"/>
      <c r="BM275" s="1"/>
      <c r="BN275" s="1"/>
      <c r="BO275" s="1"/>
      <c r="BP275" s="1"/>
      <c r="BQ275" s="1"/>
      <c r="BR275"/>
      <c r="BS275"/>
      <c r="BT275"/>
      <c r="BU275"/>
      <c r="BV275"/>
      <c r="BW275"/>
      <c r="BX275" s="20" t="str">
        <f t="shared" si="118"/>
        <v>►</v>
      </c>
      <c r="BY275"/>
      <c r="BZ275"/>
      <c r="CA275"/>
      <c r="CB275"/>
      <c r="CC275"/>
      <c r="CE275"/>
      <c r="CF275"/>
      <c r="CG275"/>
      <c r="CH275"/>
      <c r="CI275"/>
      <c r="CJ275"/>
      <c r="CK275"/>
      <c r="CL275" s="4"/>
      <c r="CM275"/>
      <c r="CN275"/>
      <c r="CO275"/>
      <c r="CP275"/>
      <c r="CQ275"/>
      <c r="CR275"/>
      <c r="CS275"/>
      <c r="CT275" s="4"/>
      <c r="CU275"/>
      <c r="CV275"/>
      <c r="CW275"/>
      <c r="CX275"/>
      <c r="CY275"/>
      <c r="CZ275"/>
      <c r="DA275"/>
      <c r="DB275" s="4"/>
      <c r="DC275" s="5">
        <v>1</v>
      </c>
      <c r="DD275" s="1"/>
      <c r="DE275" s="1"/>
    </row>
    <row r="276" spans="1:109" s="2" customFormat="1" ht="21" customHeight="1">
      <c r="A276" s="5641" t="s">
        <v>1</v>
      </c>
      <c r="B276" s="5662" t="str">
        <f t="shared" si="117"/>
        <v>►</v>
      </c>
      <c r="C276" s="5825" cm="1">
        <f t="array" ref="C276">SUMPRODUCT(LEN(D276:J276))</f>
        <v>0</v>
      </c>
      <c r="D276" s="5275"/>
      <c r="E276" s="1361"/>
      <c r="F276" s="1361"/>
      <c r="G276" s="1361"/>
      <c r="H276" s="1361"/>
      <c r="I276" s="1361"/>
      <c r="J276" s="5276"/>
      <c r="K276" s="106" t="s">
        <v>1</v>
      </c>
      <c r="L276" s="1021" t="s">
        <v>26</v>
      </c>
      <c r="M276" s="6787"/>
      <c r="N276" s="6787"/>
      <c r="O276" s="6787"/>
      <c r="P276" s="6788"/>
      <c r="Q276" s="6789"/>
      <c r="R276" s="6790"/>
      <c r="S276" s="6786"/>
      <c r="T276" s="6791"/>
      <c r="U276" s="6844"/>
      <c r="V276" s="6791"/>
      <c r="W276" s="8487"/>
      <c r="X276" s="6871"/>
      <c r="Y276" s="6793"/>
      <c r="Z276" s="6794"/>
      <c r="AA276" s="6795"/>
      <c r="AB276" s="6796"/>
      <c r="AC276" s="6797"/>
      <c r="AD276" s="6798"/>
      <c r="AE276" s="4" t="s">
        <v>1</v>
      </c>
      <c r="AF276" s="6202" t="str">
        <f t="shared" si="95"/>
        <v>►</v>
      </c>
      <c r="AG276" s="6234" t="str">
        <f t="shared" si="96"/>
        <v/>
      </c>
      <c r="AH276" s="6732" t="str">
        <f t="shared" si="97"/>
        <v/>
      </c>
      <c r="AI276" s="6234" t="str">
        <f t="shared" si="98"/>
        <v/>
      </c>
      <c r="AJ276" s="6732" t="str">
        <f t="shared" si="99"/>
        <v/>
      </c>
      <c r="AK276" s="6732">
        <f t="shared" si="100"/>
        <v>0</v>
      </c>
      <c r="AL276" s="6230" t="str" cm="1">
        <f t="array" ref="AL276">IF(AF276&lt;&gt;"A","",IFERROR((IFERROR(_xlfn.XLOOKUP(TRIM(SUBSTITUTE(U276,CHAR(160)," ")),$BJ$15:$BJ$62,$BM$15:$BM$62),IFERROR(_xlfn.XLOOKUP(TRIM(SUBSTITUTE(U276,CHAR(160)," ")),$BK$15:$BK$62,$BM$15:$BM$62),_xlfn.XLOOKUP(TRIM(SUBSTITUTE(U276,CHAR(160)," ")),$BL$15:$BL$62,$BM$15:$BM$62))))*T276*IF(ISBLANK(Q276),1,Q276)+IFERROR(_xlfn.XLOOKUP("RECHERCHEX",TRIM(L276:AD276),L276:AD276),0),0))</f>
        <v/>
      </c>
      <c r="AM276" s="6229">
        <f t="shared" si="101"/>
        <v>0</v>
      </c>
      <c r="AN276" s="6857" t="str">
        <f t="shared" si="116"/>
        <v/>
      </c>
      <c r="AO276" s="392">
        <f t="shared" si="102"/>
        <v>0</v>
      </c>
      <c r="AP276" s="392">
        <f t="shared" si="103"/>
        <v>0</v>
      </c>
      <c r="AQ276" s="6190">
        <f t="shared" si="104"/>
        <v>0</v>
      </c>
      <c r="AR276" s="6858" t="str">
        <f t="shared" si="105"/>
        <v/>
      </c>
      <c r="AS276" s="6217"/>
      <c r="AT276" s="6217"/>
      <c r="AU276" s="6271">
        <f t="shared" si="106"/>
        <v>0</v>
      </c>
      <c r="AV276" s="6242">
        <f t="shared" si="107"/>
        <v>0</v>
      </c>
      <c r="AW276" s="6188" cm="1">
        <f t="array" ref="AW276">IF(AK276&lt;&gt;1,0,IF(OR(AU276="",N(AU276)&lt;=0.000000001),"",IF(OR(AO276="",N(AO276)&lt;=0.000000001),0,IF(ISNUMBER(AU276),IFERROR(_xlfn.LET(_xlpm.ai_test,TRIM(AJ276),_xlpm.r,IFERROR(_xlfn.XLOOKUP(_xlpm.ai_test,$BJ$15:$BJ$62,ROW($BJ$15:$BJ$62),0,1),IFERROR(_xlfn.XLOOKUP(_xlpm.ai_test,$BK$15:$BK$62,ROW($BK$15:$BK$62),0,1),_xlfn.XLOOKUP(_xlpm.ai_test,$BL$15:$BL$62,ROW($BL$15:$BL$62),0,1))),_xlpm.p,_xlpm.r-MIN(ROW($BJ$15:$BJ$62))+1,_xlpm.f,INDEX($BM$15:$BM$62,_xlpm.p),_xlpm.u,INDEX($BN$15:$BN$62,_xlpm.p),_xlpm.s,INDEX($BP$15:$BP$62,_xlpm.p),_xlpm.q,N(AU276)/_xlpm.f,IF(_xlpm.q&gt;=_xlpm.s,ROUND(_xlpm.q,1)&amp;" "&amp;_xlpm.ai_test&amp;" = "&amp;ROUND(_xlpm.q*_xlpm.f,1)&amp;" "&amp;_xlpm.u,ROUND(_xlpm.q,1)&amp;" "&amp;_xlpm.ai_test)),""),""))))</f>
        <v>0</v>
      </c>
      <c r="AX276" s="6218"/>
      <c r="AY276" s="6271">
        <f t="shared" si="108"/>
        <v>0</v>
      </c>
      <c r="AZ276" s="6242" t="str">
        <f t="shared" si="109"/>
        <v/>
      </c>
      <c r="BA276" s="6194">
        <f t="shared" si="114"/>
        <v>0</v>
      </c>
      <c r="BB276" s="6192" t="str">
        <f t="shared" si="110"/>
        <v/>
      </c>
      <c r="BC276" s="6219"/>
      <c r="BD276" s="6221">
        <f t="shared" si="115"/>
        <v>0</v>
      </c>
      <c r="BE276" s="6220" t="str">
        <f t="shared" si="111"/>
        <v/>
      </c>
      <c r="BF276" s="4" t="s">
        <v>1</v>
      </c>
      <c r="BG276" s="6196">
        <f t="shared" si="112"/>
        <v>0</v>
      </c>
      <c r="BH276" s="6197">
        <f t="shared" si="113"/>
        <v>0</v>
      </c>
      <c r="BI276"/>
      <c r="BJ276" s="1"/>
      <c r="BK276" s="1"/>
      <c r="BL276" s="1"/>
      <c r="BM276" s="1"/>
      <c r="BN276" s="1"/>
      <c r="BO276" s="1"/>
      <c r="BP276" s="1"/>
      <c r="BQ276" s="1"/>
      <c r="BR276"/>
      <c r="BS276"/>
      <c r="BT276"/>
      <c r="BU276"/>
      <c r="BV276"/>
      <c r="BW276"/>
      <c r="BX276" s="20" t="str">
        <f t="shared" si="118"/>
        <v>►</v>
      </c>
      <c r="BY276"/>
      <c r="BZ276"/>
      <c r="CA276"/>
      <c r="CB276"/>
      <c r="CC276"/>
      <c r="CE276"/>
      <c r="CF276"/>
      <c r="CG276"/>
      <c r="CH276"/>
      <c r="CI276"/>
      <c r="CJ276"/>
      <c r="CK276"/>
      <c r="CL276" s="4"/>
      <c r="CM276"/>
      <c r="CN276"/>
      <c r="CO276"/>
      <c r="CP276"/>
      <c r="CQ276"/>
      <c r="CR276"/>
      <c r="CS276"/>
      <c r="CT276" s="4"/>
      <c r="CU276"/>
      <c r="CV276"/>
      <c r="CW276"/>
      <c r="CX276"/>
      <c r="CY276"/>
      <c r="CZ276"/>
      <c r="DA276"/>
      <c r="DB276" s="4"/>
      <c r="DC276" s="5">
        <v>1</v>
      </c>
      <c r="DD276" s="1"/>
      <c r="DE276" s="1"/>
    </row>
    <row r="277" spans="1:109" s="2" customFormat="1" ht="21" customHeight="1">
      <c r="A277" s="5641" t="s">
        <v>1</v>
      </c>
      <c r="B277" s="5662" t="str">
        <f t="shared" si="117"/>
        <v>►</v>
      </c>
      <c r="C277" s="5825" cm="1">
        <f t="array" ref="C277">SUMPRODUCT(LEN(D277:J277))</f>
        <v>0</v>
      </c>
      <c r="D277" s="5275"/>
      <c r="E277" s="1361"/>
      <c r="F277" s="1361"/>
      <c r="G277" s="1361"/>
      <c r="H277" s="1361"/>
      <c r="I277" s="1361"/>
      <c r="J277" s="5276"/>
      <c r="K277" s="106" t="s">
        <v>1</v>
      </c>
      <c r="L277" s="1021" t="s">
        <v>26</v>
      </c>
      <c r="M277" s="6787"/>
      <c r="N277" s="6787"/>
      <c r="O277" s="6787"/>
      <c r="P277" s="6788"/>
      <c r="Q277" s="6789"/>
      <c r="R277" s="6790"/>
      <c r="S277" s="6786"/>
      <c r="T277" s="6791"/>
      <c r="U277" s="6844"/>
      <c r="V277" s="6791"/>
      <c r="W277" s="8487"/>
      <c r="X277" s="6871"/>
      <c r="Y277" s="6793"/>
      <c r="Z277" s="6794"/>
      <c r="AA277" s="6795"/>
      <c r="AB277" s="6796"/>
      <c r="AC277" s="6797"/>
      <c r="AD277" s="6798"/>
      <c r="AE277" s="4" t="s">
        <v>1</v>
      </c>
      <c r="AF277" s="6202" t="str">
        <f t="shared" si="95"/>
        <v>►</v>
      </c>
      <c r="AG277" s="6234" t="str">
        <f t="shared" si="96"/>
        <v/>
      </c>
      <c r="AH277" s="6732" t="str">
        <f t="shared" si="97"/>
        <v/>
      </c>
      <c r="AI277" s="6234" t="str">
        <f t="shared" si="98"/>
        <v/>
      </c>
      <c r="AJ277" s="6732" t="str">
        <f t="shared" si="99"/>
        <v/>
      </c>
      <c r="AK277" s="6732">
        <f t="shared" si="100"/>
        <v>0</v>
      </c>
      <c r="AL277" s="6230" t="str" cm="1">
        <f t="array" ref="AL277">IF(AF277&lt;&gt;"A","",IFERROR((IFERROR(_xlfn.XLOOKUP(TRIM(SUBSTITUTE(U277,CHAR(160)," ")),$BJ$15:$BJ$62,$BM$15:$BM$62),IFERROR(_xlfn.XLOOKUP(TRIM(SUBSTITUTE(U277,CHAR(160)," ")),$BK$15:$BK$62,$BM$15:$BM$62),_xlfn.XLOOKUP(TRIM(SUBSTITUTE(U277,CHAR(160)," ")),$BL$15:$BL$62,$BM$15:$BM$62))))*T277*IF(ISBLANK(Q277),1,Q277)+IFERROR(_xlfn.XLOOKUP("RECHERCHEX",TRIM(L277:AD277),L277:AD277),0),0))</f>
        <v/>
      </c>
      <c r="AM277" s="6229">
        <f t="shared" si="101"/>
        <v>0</v>
      </c>
      <c r="AN277" s="6857" t="str">
        <f t="shared" si="116"/>
        <v/>
      </c>
      <c r="AO277" s="392">
        <f t="shared" si="102"/>
        <v>0</v>
      </c>
      <c r="AP277" s="392">
        <f t="shared" si="103"/>
        <v>0</v>
      </c>
      <c r="AQ277" s="6191">
        <f t="shared" si="104"/>
        <v>0</v>
      </c>
      <c r="AR277" s="6859" t="str">
        <f t="shared" si="105"/>
        <v/>
      </c>
      <c r="AS277" s="6217"/>
      <c r="AT277" s="6217"/>
      <c r="AU277" s="6272">
        <f t="shared" si="106"/>
        <v>0</v>
      </c>
      <c r="AV277" s="6240">
        <f t="shared" si="107"/>
        <v>0</v>
      </c>
      <c r="AW277" s="6189" cm="1">
        <f t="array" ref="AW277">IF(AK277&lt;&gt;1,0,IF(OR(AU277="",N(AU277)&lt;=0.000000001),"",IF(OR(AO277="",N(AO277)&lt;=0.000000001),0,IF(ISNUMBER(AU277),IFERROR(_xlfn.LET(_xlpm.ai_test,TRIM(AJ277),_xlpm.r,IFERROR(_xlfn.XLOOKUP(_xlpm.ai_test,$BJ$15:$BJ$62,ROW($BJ$15:$BJ$62),0,1),IFERROR(_xlfn.XLOOKUP(_xlpm.ai_test,$BK$15:$BK$62,ROW($BK$15:$BK$62),0,1),_xlfn.XLOOKUP(_xlpm.ai_test,$BL$15:$BL$62,ROW($BL$15:$BL$62),0,1))),_xlpm.p,_xlpm.r-MIN(ROW($BJ$15:$BJ$62))+1,_xlpm.f,INDEX($BM$15:$BM$62,_xlpm.p),_xlpm.u,INDEX($BN$15:$BN$62,_xlpm.p),_xlpm.s,INDEX($BP$15:$BP$62,_xlpm.p),_xlpm.q,N(AU277)/_xlpm.f,IF(_xlpm.q&gt;=_xlpm.s,ROUND(_xlpm.q,1)&amp;" "&amp;_xlpm.ai_test&amp;" = "&amp;ROUND(_xlpm.q*_xlpm.f,1)&amp;" "&amp;_xlpm.u,ROUND(_xlpm.q,1)&amp;" "&amp;_xlpm.ai_test)),""),""))))</f>
        <v>0</v>
      </c>
      <c r="AX277" s="6218"/>
      <c r="AY277" s="6272">
        <f t="shared" si="108"/>
        <v>0</v>
      </c>
      <c r="AZ277" s="6240" t="str">
        <f t="shared" si="109"/>
        <v/>
      </c>
      <c r="BA277" s="6195">
        <f t="shared" si="114"/>
        <v>0</v>
      </c>
      <c r="BB277" s="6193" t="str">
        <f t="shared" si="110"/>
        <v/>
      </c>
      <c r="BC277" s="6219"/>
      <c r="BD277" s="6222">
        <f t="shared" si="115"/>
        <v>0</v>
      </c>
      <c r="BE277" s="6220" t="str">
        <f t="shared" si="111"/>
        <v/>
      </c>
      <c r="BF277" s="4" t="s">
        <v>1</v>
      </c>
      <c r="BG277" s="6196">
        <f t="shared" si="112"/>
        <v>0</v>
      </c>
      <c r="BH277" s="6197">
        <f t="shared" si="113"/>
        <v>0</v>
      </c>
      <c r="BI277"/>
      <c r="BJ277" s="1"/>
      <c r="BK277" s="1"/>
      <c r="BL277" s="1"/>
      <c r="BM277" s="1"/>
      <c r="BN277" s="1"/>
      <c r="BO277" s="1"/>
      <c r="BP277" s="1"/>
      <c r="BQ277" s="1"/>
      <c r="BR277"/>
      <c r="BS277"/>
      <c r="BT277"/>
      <c r="BU277"/>
      <c r="BV277"/>
      <c r="BW277"/>
      <c r="BX277" s="20" t="str">
        <f t="shared" si="118"/>
        <v>►</v>
      </c>
      <c r="BY277"/>
      <c r="BZ277"/>
      <c r="CA277"/>
      <c r="CB277"/>
      <c r="CC277"/>
      <c r="CE277"/>
      <c r="CF277"/>
      <c r="CG277"/>
      <c r="CH277"/>
      <c r="CI277"/>
      <c r="CJ277"/>
      <c r="CK277"/>
      <c r="CL277" s="4"/>
      <c r="CM277"/>
      <c r="CN277"/>
      <c r="CO277"/>
      <c r="CP277"/>
      <c r="CQ277"/>
      <c r="CR277"/>
      <c r="CS277"/>
      <c r="CT277" s="4"/>
      <c r="CU277"/>
      <c r="CV277"/>
      <c r="CW277"/>
      <c r="CX277"/>
      <c r="CY277"/>
      <c r="CZ277"/>
      <c r="DA277"/>
      <c r="DB277" s="4"/>
      <c r="DC277" s="5">
        <v>1</v>
      </c>
      <c r="DD277" s="1"/>
      <c r="DE277" s="1"/>
    </row>
    <row r="278" spans="1:109" s="2" customFormat="1" ht="21" customHeight="1">
      <c r="A278" s="5641" t="s">
        <v>1</v>
      </c>
      <c r="B278" s="5662" t="str">
        <f t="shared" si="117"/>
        <v>►</v>
      </c>
      <c r="C278" s="5825" cm="1">
        <f t="array" ref="C278">SUMPRODUCT(LEN(D278:J278))</f>
        <v>0</v>
      </c>
      <c r="D278" s="5275"/>
      <c r="E278" s="1361"/>
      <c r="F278" s="1361"/>
      <c r="G278" s="1361"/>
      <c r="H278" s="1361"/>
      <c r="I278" s="1361"/>
      <c r="J278" s="5276"/>
      <c r="K278" s="106" t="s">
        <v>1</v>
      </c>
      <c r="L278" s="1021" t="s">
        <v>26</v>
      </c>
      <c r="M278" s="6787"/>
      <c r="N278" s="6787"/>
      <c r="O278" s="6787"/>
      <c r="P278" s="6788"/>
      <c r="Q278" s="6789"/>
      <c r="R278" s="6790"/>
      <c r="S278" s="6786"/>
      <c r="T278" s="6791"/>
      <c r="U278" s="6844"/>
      <c r="V278" s="6791"/>
      <c r="W278" s="8487"/>
      <c r="X278" s="6871"/>
      <c r="Y278" s="6793"/>
      <c r="Z278" s="6794"/>
      <c r="AA278" s="6795"/>
      <c r="AB278" s="6796"/>
      <c r="AC278" s="6797"/>
      <c r="AD278" s="6798"/>
      <c r="AE278" s="4" t="s">
        <v>1</v>
      </c>
      <c r="AF278" s="6202" t="str">
        <f t="shared" ref="AF278:AF341" si="119">IF(OR(AO278&gt;0,TRIM(AG278)="▼ recette suivante"),"A","►")</f>
        <v>►</v>
      </c>
      <c r="AG278" s="6234" t="str">
        <f t="shared" ref="AG278:AG341" si="120">IF(TRIM(Q278)="Adresse PC","▼ recette suivante",IF(AO278&gt;0,M278,""))</f>
        <v/>
      </c>
      <c r="AH278" s="6732" t="str">
        <f t="shared" ref="AH278:AH341" si="121">IF(AF278="A",N278,"")</f>
        <v/>
      </c>
      <c r="AI278" s="6234" t="str">
        <f t="shared" ref="AI278:AI341" si="122">IF(AF278="A",O278,"")</f>
        <v/>
      </c>
      <c r="AJ278" s="6732" t="str">
        <f t="shared" ref="AJ278:AJ341" si="123">IF(AF278="A",U278,"")</f>
        <v/>
      </c>
      <c r="AK278" s="6732">
        <f t="shared" ref="AK278:AK341" si="124">IF(AND(L278="A",COUNTIF($BJ$15:$BL$62,TRIM(U278))&gt;0),1,0)</f>
        <v>0</v>
      </c>
      <c r="AL278" s="6230" t="str" cm="1">
        <f t="array" ref="AL278">IF(AF278&lt;&gt;"A","",IFERROR((IFERROR(_xlfn.XLOOKUP(TRIM(SUBSTITUTE(U278,CHAR(160)," ")),$BJ$15:$BJ$62,$BM$15:$BM$62),IFERROR(_xlfn.XLOOKUP(TRIM(SUBSTITUTE(U278,CHAR(160)," ")),$BK$15:$BK$62,$BM$15:$BM$62),_xlfn.XLOOKUP(TRIM(SUBSTITUTE(U278,CHAR(160)," ")),$BL$15:$BL$62,$BM$15:$BM$62))))*T278*IF(ISBLANK(Q278),1,Q278)+IFERROR(_xlfn.XLOOKUP("RECHERCHEX",TRIM(L278:AD278),L278:AD278),0),0))</f>
        <v/>
      </c>
      <c r="AM278" s="6229">
        <f t="shared" ref="AM278:AM341" si="125">IF(AK278,IF(AL278&gt;0,"Kg",0),0)</f>
        <v>0</v>
      </c>
      <c r="AN278" s="6857" t="str">
        <f t="shared" si="116"/>
        <v/>
      </c>
      <c r="AO278" s="392">
        <f t="shared" ref="AO278:AO341" si="126">IF(AK278,N278,0)</f>
        <v>0</v>
      </c>
      <c r="AP278" s="392">
        <f t="shared" ref="AP278:AP341" si="127">IF(AK278,O278,0)</f>
        <v>0</v>
      </c>
      <c r="AQ278" s="6190">
        <f t="shared" ref="AQ278:AQ341" si="128">IF(AO278&gt;0,AS$9,0)</f>
        <v>0</v>
      </c>
      <c r="AR278" s="6858" t="str">
        <f t="shared" ref="AR278:AR341" si="129">IF(TRIM(AG278)="▼ recette suivante", AG278, IF(AQ278&gt;0, IF(AT$9&lt;&gt;"", AT$9&amp;"-ou.or.o ❾ + or - &gt;", ""), ""))</f>
        <v/>
      </c>
      <c r="AS278" s="6217"/>
      <c r="AT278" s="6217"/>
      <c r="AU278" s="6271">
        <f t="shared" ref="AU278:AU341" si="130">IF(TRIM(AM278)="Kg",N(AL278)*N(BH278),0)</f>
        <v>0</v>
      </c>
      <c r="AV278" s="6242">
        <f t="shared" ref="AV278:AV341" si="131">IF(AK278,IF(OR(AU278="",N(AU278)&lt;=0.000000001),"",_xlfn.XLOOKUP(AJ278,$BJ$15:$BJ$62,$BN$15:$BN$62,_xlfn.XLOOKUP(AJ278,$BK$15:$BK$62,$BN$15:$BN$62,_xlfn.XLOOKUP(AJ278,$BL$15:$BL$62,$BN$15:$BN$62,"")))),0)</f>
        <v>0</v>
      </c>
      <c r="AW278" s="6188" cm="1">
        <f t="array" ref="AW278">IF(AK278&lt;&gt;1,0,IF(OR(AU278="",N(AU278)&lt;=0.000000001),"",IF(OR(AO278="",N(AO278)&lt;=0.000000001),0,IF(ISNUMBER(AU278),IFERROR(_xlfn.LET(_xlpm.ai_test,TRIM(AJ278),_xlpm.r,IFERROR(_xlfn.XLOOKUP(_xlpm.ai_test,$BJ$15:$BJ$62,ROW($BJ$15:$BJ$62),0,1),IFERROR(_xlfn.XLOOKUP(_xlpm.ai_test,$BK$15:$BK$62,ROW($BK$15:$BK$62),0,1),_xlfn.XLOOKUP(_xlpm.ai_test,$BL$15:$BL$62,ROW($BL$15:$BL$62),0,1))),_xlpm.p,_xlpm.r-MIN(ROW($BJ$15:$BJ$62))+1,_xlpm.f,INDEX($BM$15:$BM$62,_xlpm.p),_xlpm.u,INDEX($BN$15:$BN$62,_xlpm.p),_xlpm.s,INDEX($BP$15:$BP$62,_xlpm.p),_xlpm.q,N(AU278)/_xlpm.f,IF(_xlpm.q&gt;=_xlpm.s,ROUND(_xlpm.q,1)&amp;" "&amp;_xlpm.ai_test&amp;" = "&amp;ROUND(_xlpm.q*_xlpm.f,1)&amp;" "&amp;_xlpm.u,ROUND(_xlpm.q,1)&amp;" "&amp;_xlpm.ai_test)),""),""))))</f>
        <v>0</v>
      </c>
      <c r="AX278" s="6218"/>
      <c r="AY278" s="6271">
        <f t="shared" ref="AY278:AY341" si="132">IF(TRIM(AG278)="▼ recette suivante","▼next recipe ",IF(AU278="","",IF(ISBLANK(AX278),AU278,ROUND(AU278*(1-MIN(1,MAX(0,IF(AX278&gt;1,AX278/100,AX278)))),3))))</f>
        <v>0</v>
      </c>
      <c r="AZ278" s="6242" t="str">
        <f t="shared" ref="AZ278:AZ341" si="133">IF(AK278,AV278,"")</f>
        <v/>
      </c>
      <c r="BA278" s="6194">
        <f t="shared" si="114"/>
        <v>0</v>
      </c>
      <c r="BB278" s="6192" t="str">
        <f t="shared" ref="BB278:BB341" si="134">IF(AK278,IF(N(BA278)&gt;0.000000001,R278,""),"")</f>
        <v/>
      </c>
      <c r="BC278" s="6219"/>
      <c r="BD278" s="6221">
        <f t="shared" si="115"/>
        <v>0</v>
      </c>
      <c r="BE278" s="6220" t="str">
        <f t="shared" ref="BE278:BE341" si="135">IF(IFERROR(SEARCH("Adresse PC",TRIM(Q278)),0)&gt;0,"▼ receta siguiente",IF(AY278&gt;0,W278,""))</f>
        <v/>
      </c>
      <c r="BF278" s="4" t="s">
        <v>1</v>
      </c>
      <c r="BG278" s="6196">
        <f t="shared" ref="BG278:BG341" si="136">IFERROR(_xlfn.LET(_xlpm.EPS,0.000000001,_xlpm.b,Q278/AO278,IF(ISNUMBER(AS278),_xlpm.b*AS278,IF(OR(ISBLANK(AS278),AS278=""),_xlpm.b*AQ278,IF(AND(BH278=0,ISNUMBER(Q278)),_xlpm.b/AQ278,0)))),0)</f>
        <v>0</v>
      </c>
      <c r="BH278" s="6197">
        <f t="shared" ref="BH278:BH341" si="137">IF(AL278&gt;0,IFERROR(IF(OR(ISBLANK(AS278),AS278=""),AQ278,AS278)/AO278,0),0)</f>
        <v>0</v>
      </c>
      <c r="BI278"/>
      <c r="BJ278" s="1"/>
      <c r="BK278" s="1"/>
      <c r="BL278" s="1"/>
      <c r="BM278" s="1"/>
      <c r="BN278" s="1"/>
      <c r="BO278" s="1"/>
      <c r="BP278" s="1"/>
      <c r="BQ278" s="1"/>
      <c r="BR278"/>
      <c r="BS278"/>
      <c r="BT278"/>
      <c r="BU278"/>
      <c r="BV278"/>
      <c r="BW278"/>
      <c r="BX278" s="20" t="str">
        <f t="shared" si="118"/>
        <v>►</v>
      </c>
      <c r="BY278"/>
      <c r="BZ278"/>
      <c r="CA278"/>
      <c r="CB278"/>
      <c r="CC278"/>
      <c r="CE278"/>
      <c r="CF278"/>
      <c r="CG278"/>
      <c r="CH278"/>
      <c r="CI278"/>
      <c r="CJ278"/>
      <c r="CK278"/>
      <c r="CL278" s="4"/>
      <c r="CM278"/>
      <c r="CN278"/>
      <c r="CO278"/>
      <c r="CP278"/>
      <c r="CQ278"/>
      <c r="CR278"/>
      <c r="CS278"/>
      <c r="CT278" s="4"/>
      <c r="CU278"/>
      <c r="CV278"/>
      <c r="CW278"/>
      <c r="CX278"/>
      <c r="CY278"/>
      <c r="CZ278"/>
      <c r="DA278"/>
      <c r="DB278" s="4"/>
      <c r="DC278" s="5">
        <v>1</v>
      </c>
      <c r="DD278" s="1"/>
      <c r="DE278" s="1"/>
    </row>
    <row r="279" spans="1:109" s="2" customFormat="1" ht="21" customHeight="1">
      <c r="A279" s="5641" t="s">
        <v>1</v>
      </c>
      <c r="B279" s="5662" t="str">
        <f t="shared" si="117"/>
        <v>►</v>
      </c>
      <c r="C279" s="5825" cm="1">
        <f t="array" ref="C279">SUMPRODUCT(LEN(D279:J279))</f>
        <v>0</v>
      </c>
      <c r="D279" s="5275"/>
      <c r="E279" s="1361"/>
      <c r="F279" s="1361"/>
      <c r="G279" s="1361"/>
      <c r="H279" s="1361"/>
      <c r="I279" s="1361"/>
      <c r="J279" s="5276"/>
      <c r="K279" s="106" t="s">
        <v>1</v>
      </c>
      <c r="L279" s="1021" t="s">
        <v>26</v>
      </c>
      <c r="M279" s="6787"/>
      <c r="N279" s="6787"/>
      <c r="O279" s="6787"/>
      <c r="P279" s="6788"/>
      <c r="Q279" s="6789"/>
      <c r="R279" s="6790"/>
      <c r="S279" s="6786"/>
      <c r="T279" s="6791"/>
      <c r="U279" s="6844"/>
      <c r="V279" s="6791"/>
      <c r="W279" s="8487"/>
      <c r="X279" s="6871"/>
      <c r="Y279" s="6793"/>
      <c r="Z279" s="6794"/>
      <c r="AA279" s="6795"/>
      <c r="AB279" s="6796"/>
      <c r="AC279" s="6797"/>
      <c r="AD279" s="6798"/>
      <c r="AE279" s="4" t="s">
        <v>1</v>
      </c>
      <c r="AF279" s="6202" t="str">
        <f t="shared" si="119"/>
        <v>►</v>
      </c>
      <c r="AG279" s="6234" t="str">
        <f t="shared" si="120"/>
        <v/>
      </c>
      <c r="AH279" s="6732" t="str">
        <f t="shared" si="121"/>
        <v/>
      </c>
      <c r="AI279" s="6234" t="str">
        <f t="shared" si="122"/>
        <v/>
      </c>
      <c r="AJ279" s="6732" t="str">
        <f t="shared" si="123"/>
        <v/>
      </c>
      <c r="AK279" s="6732">
        <f t="shared" si="124"/>
        <v>0</v>
      </c>
      <c r="AL279" s="6230" t="str" cm="1">
        <f t="array" ref="AL279">IF(AF279&lt;&gt;"A","",IFERROR((IFERROR(_xlfn.XLOOKUP(TRIM(SUBSTITUTE(U279,CHAR(160)," ")),$BJ$15:$BJ$62,$BM$15:$BM$62),IFERROR(_xlfn.XLOOKUP(TRIM(SUBSTITUTE(U279,CHAR(160)," ")),$BK$15:$BK$62,$BM$15:$BM$62),_xlfn.XLOOKUP(TRIM(SUBSTITUTE(U279,CHAR(160)," ")),$BL$15:$BL$62,$BM$15:$BM$62))))*T279*IF(ISBLANK(Q279),1,Q279)+IFERROR(_xlfn.XLOOKUP("RECHERCHEX",TRIM(L279:AD279),L279:AD279),0),0))</f>
        <v/>
      </c>
      <c r="AM279" s="6229">
        <f t="shared" si="125"/>
        <v>0</v>
      </c>
      <c r="AN279" s="6857" t="str">
        <f t="shared" si="116"/>
        <v/>
      </c>
      <c r="AO279" s="392">
        <f t="shared" si="126"/>
        <v>0</v>
      </c>
      <c r="AP279" s="392">
        <f t="shared" si="127"/>
        <v>0</v>
      </c>
      <c r="AQ279" s="6191">
        <f t="shared" si="128"/>
        <v>0</v>
      </c>
      <c r="AR279" s="6859" t="str">
        <f t="shared" si="129"/>
        <v/>
      </c>
      <c r="AS279" s="6217"/>
      <c r="AT279" s="6217"/>
      <c r="AU279" s="6272">
        <f t="shared" si="130"/>
        <v>0</v>
      </c>
      <c r="AV279" s="6240">
        <f t="shared" si="131"/>
        <v>0</v>
      </c>
      <c r="AW279" s="6189" cm="1">
        <f t="array" ref="AW279">IF(AK279&lt;&gt;1,0,IF(OR(AU279="",N(AU279)&lt;=0.000000001),"",IF(OR(AO279="",N(AO279)&lt;=0.000000001),0,IF(ISNUMBER(AU279),IFERROR(_xlfn.LET(_xlpm.ai_test,TRIM(AJ279),_xlpm.r,IFERROR(_xlfn.XLOOKUP(_xlpm.ai_test,$BJ$15:$BJ$62,ROW($BJ$15:$BJ$62),0,1),IFERROR(_xlfn.XLOOKUP(_xlpm.ai_test,$BK$15:$BK$62,ROW($BK$15:$BK$62),0,1),_xlfn.XLOOKUP(_xlpm.ai_test,$BL$15:$BL$62,ROW($BL$15:$BL$62),0,1))),_xlpm.p,_xlpm.r-MIN(ROW($BJ$15:$BJ$62))+1,_xlpm.f,INDEX($BM$15:$BM$62,_xlpm.p),_xlpm.u,INDEX($BN$15:$BN$62,_xlpm.p),_xlpm.s,INDEX($BP$15:$BP$62,_xlpm.p),_xlpm.q,N(AU279)/_xlpm.f,IF(_xlpm.q&gt;=_xlpm.s,ROUND(_xlpm.q,1)&amp;" "&amp;_xlpm.ai_test&amp;" = "&amp;ROUND(_xlpm.q*_xlpm.f,1)&amp;" "&amp;_xlpm.u,ROUND(_xlpm.q,1)&amp;" "&amp;_xlpm.ai_test)),""),""))))</f>
        <v>0</v>
      </c>
      <c r="AX279" s="6218"/>
      <c r="AY279" s="6272">
        <f t="shared" si="132"/>
        <v>0</v>
      </c>
      <c r="AZ279" s="6240" t="str">
        <f t="shared" si="133"/>
        <v/>
      </c>
      <c r="BA279" s="6195">
        <f t="shared" ref="BA279:BA342" si="138">IF(ISNUMBER(BG279),IF(ABS(BG279)&lt;=0.000000001,0,BG279),0)</f>
        <v>0</v>
      </c>
      <c r="BB279" s="6193" t="str">
        <f t="shared" si="134"/>
        <v/>
      </c>
      <c r="BC279" s="6219"/>
      <c r="BD279" s="6222">
        <f t="shared" si="115"/>
        <v>0</v>
      </c>
      <c r="BE279" s="6220" t="str">
        <f t="shared" si="135"/>
        <v/>
      </c>
      <c r="BF279" s="4" t="s">
        <v>1</v>
      </c>
      <c r="BG279" s="6196">
        <f t="shared" si="136"/>
        <v>0</v>
      </c>
      <c r="BH279" s="6197">
        <f t="shared" si="137"/>
        <v>0</v>
      </c>
      <c r="BI279"/>
      <c r="BJ279" s="1"/>
      <c r="BK279" s="1"/>
      <c r="BL279" s="1"/>
      <c r="BM279" s="1"/>
      <c r="BN279" s="1"/>
      <c r="BO279" s="1"/>
      <c r="BP279" s="1"/>
      <c r="BQ279" s="1"/>
      <c r="BR279"/>
      <c r="BS279"/>
      <c r="BT279"/>
      <c r="BU279"/>
      <c r="BV279"/>
      <c r="BW279"/>
      <c r="BX279" s="20" t="str">
        <f t="shared" si="118"/>
        <v>►</v>
      </c>
      <c r="BY279"/>
      <c r="BZ279"/>
      <c r="CA279"/>
      <c r="CB279"/>
      <c r="CC279"/>
      <c r="CE279"/>
      <c r="CF279"/>
      <c r="CG279"/>
      <c r="CH279"/>
      <c r="CI279"/>
      <c r="CJ279"/>
      <c r="CK279"/>
      <c r="CL279" s="4"/>
      <c r="CM279"/>
      <c r="CN279"/>
      <c r="CO279"/>
      <c r="CP279"/>
      <c r="CQ279"/>
      <c r="CR279"/>
      <c r="CS279"/>
      <c r="CT279" s="4"/>
      <c r="CU279"/>
      <c r="CV279"/>
      <c r="CW279"/>
      <c r="CX279"/>
      <c r="CY279"/>
      <c r="CZ279"/>
      <c r="DA279"/>
      <c r="DB279" s="4"/>
      <c r="DC279" s="5">
        <v>1</v>
      </c>
      <c r="DD279" s="1"/>
      <c r="DE279" s="1"/>
    </row>
    <row r="280" spans="1:109" s="2" customFormat="1" ht="21" customHeight="1">
      <c r="A280" s="5641" t="s">
        <v>1</v>
      </c>
      <c r="B280" s="5662" t="str">
        <f t="shared" si="117"/>
        <v>►</v>
      </c>
      <c r="C280" s="5825" cm="1">
        <f t="array" ref="C280">SUMPRODUCT(LEN(D280:J280))</f>
        <v>0</v>
      </c>
      <c r="D280" s="5275"/>
      <c r="E280" s="1361"/>
      <c r="F280" s="1361"/>
      <c r="G280" s="1361"/>
      <c r="H280" s="1361"/>
      <c r="I280" s="1361"/>
      <c r="J280" s="5276"/>
      <c r="K280" s="106" t="s">
        <v>1</v>
      </c>
      <c r="L280" s="1021" t="s">
        <v>26</v>
      </c>
      <c r="M280" s="6787"/>
      <c r="N280" s="6787"/>
      <c r="O280" s="6787"/>
      <c r="P280" s="6788"/>
      <c r="Q280" s="6789"/>
      <c r="R280" s="6790"/>
      <c r="S280" s="6786"/>
      <c r="T280" s="6791"/>
      <c r="U280" s="6844"/>
      <c r="V280" s="6791"/>
      <c r="W280" s="8487"/>
      <c r="X280" s="6871"/>
      <c r="Y280" s="6793"/>
      <c r="Z280" s="6794"/>
      <c r="AA280" s="6795"/>
      <c r="AB280" s="6796"/>
      <c r="AC280" s="6797"/>
      <c r="AD280" s="6798"/>
      <c r="AE280" s="4" t="s">
        <v>1</v>
      </c>
      <c r="AF280" s="6202" t="str">
        <f t="shared" si="119"/>
        <v>►</v>
      </c>
      <c r="AG280" s="6234" t="str">
        <f t="shared" si="120"/>
        <v/>
      </c>
      <c r="AH280" s="6732" t="str">
        <f t="shared" si="121"/>
        <v/>
      </c>
      <c r="AI280" s="6234" t="str">
        <f t="shared" si="122"/>
        <v/>
      </c>
      <c r="AJ280" s="6732" t="str">
        <f t="shared" si="123"/>
        <v/>
      </c>
      <c r="AK280" s="6732">
        <f t="shared" si="124"/>
        <v>0</v>
      </c>
      <c r="AL280" s="6230" t="str" cm="1">
        <f t="array" ref="AL280">IF(AF280&lt;&gt;"A","",IFERROR((IFERROR(_xlfn.XLOOKUP(TRIM(SUBSTITUTE(U280,CHAR(160)," ")),$BJ$15:$BJ$62,$BM$15:$BM$62),IFERROR(_xlfn.XLOOKUP(TRIM(SUBSTITUTE(U280,CHAR(160)," ")),$BK$15:$BK$62,$BM$15:$BM$62),_xlfn.XLOOKUP(TRIM(SUBSTITUTE(U280,CHAR(160)," ")),$BL$15:$BL$62,$BM$15:$BM$62))))*T280*IF(ISBLANK(Q280),1,Q280)+IFERROR(_xlfn.XLOOKUP("RECHERCHEX",TRIM(L280:AD280),L280:AD280),0),0))</f>
        <v/>
      </c>
      <c r="AM280" s="6229">
        <f t="shared" si="125"/>
        <v>0</v>
      </c>
      <c r="AN280" s="6857" t="str">
        <f t="shared" si="116"/>
        <v/>
      </c>
      <c r="AO280" s="392">
        <f t="shared" si="126"/>
        <v>0</v>
      </c>
      <c r="AP280" s="392">
        <f t="shared" si="127"/>
        <v>0</v>
      </c>
      <c r="AQ280" s="6190">
        <f t="shared" si="128"/>
        <v>0</v>
      </c>
      <c r="AR280" s="6858" t="str">
        <f t="shared" si="129"/>
        <v/>
      </c>
      <c r="AS280" s="6217"/>
      <c r="AT280" s="6217"/>
      <c r="AU280" s="6271">
        <f t="shared" si="130"/>
        <v>0</v>
      </c>
      <c r="AV280" s="6242">
        <f t="shared" si="131"/>
        <v>0</v>
      </c>
      <c r="AW280" s="6188" cm="1">
        <f t="array" ref="AW280">IF(AK280&lt;&gt;1,0,IF(OR(AU280="",N(AU280)&lt;=0.000000001),"",IF(OR(AO280="",N(AO280)&lt;=0.000000001),0,IF(ISNUMBER(AU280),IFERROR(_xlfn.LET(_xlpm.ai_test,TRIM(AJ280),_xlpm.r,IFERROR(_xlfn.XLOOKUP(_xlpm.ai_test,$BJ$15:$BJ$62,ROW($BJ$15:$BJ$62),0,1),IFERROR(_xlfn.XLOOKUP(_xlpm.ai_test,$BK$15:$BK$62,ROW($BK$15:$BK$62),0,1),_xlfn.XLOOKUP(_xlpm.ai_test,$BL$15:$BL$62,ROW($BL$15:$BL$62),0,1))),_xlpm.p,_xlpm.r-MIN(ROW($BJ$15:$BJ$62))+1,_xlpm.f,INDEX($BM$15:$BM$62,_xlpm.p),_xlpm.u,INDEX($BN$15:$BN$62,_xlpm.p),_xlpm.s,INDEX($BP$15:$BP$62,_xlpm.p),_xlpm.q,N(AU280)/_xlpm.f,IF(_xlpm.q&gt;=_xlpm.s,ROUND(_xlpm.q,1)&amp;" "&amp;_xlpm.ai_test&amp;" = "&amp;ROUND(_xlpm.q*_xlpm.f,1)&amp;" "&amp;_xlpm.u,ROUND(_xlpm.q,1)&amp;" "&amp;_xlpm.ai_test)),""),""))))</f>
        <v>0</v>
      </c>
      <c r="AX280" s="6218"/>
      <c r="AY280" s="6271">
        <f t="shared" si="132"/>
        <v>0</v>
      </c>
      <c r="AZ280" s="6242" t="str">
        <f t="shared" si="133"/>
        <v/>
      </c>
      <c r="BA280" s="6194">
        <f t="shared" si="138"/>
        <v>0</v>
      </c>
      <c r="BB280" s="6192" t="str">
        <f t="shared" si="134"/>
        <v/>
      </c>
      <c r="BC280" s="6219"/>
      <c r="BD280" s="6221">
        <f t="shared" si="115"/>
        <v>0</v>
      </c>
      <c r="BE280" s="6220" t="str">
        <f t="shared" si="135"/>
        <v/>
      </c>
      <c r="BF280" s="4" t="s">
        <v>1</v>
      </c>
      <c r="BG280" s="6196">
        <f t="shared" si="136"/>
        <v>0</v>
      </c>
      <c r="BH280" s="6197">
        <f t="shared" si="137"/>
        <v>0</v>
      </c>
      <c r="BI280"/>
      <c r="BJ280" s="1"/>
      <c r="BK280" s="1"/>
      <c r="BL280" s="1"/>
      <c r="BM280" s="1"/>
      <c r="BN280" s="1"/>
      <c r="BO280" s="1"/>
      <c r="BP280" s="1"/>
      <c r="BQ280" s="1"/>
      <c r="BR280"/>
      <c r="BS280"/>
      <c r="BT280"/>
      <c r="BU280"/>
      <c r="BV280"/>
      <c r="BW280"/>
      <c r="BX280" s="20" t="str">
        <f t="shared" si="118"/>
        <v>►</v>
      </c>
      <c r="BY280"/>
      <c r="BZ280"/>
      <c r="CA280"/>
      <c r="CB280"/>
      <c r="CC280"/>
      <c r="CE280"/>
      <c r="CF280"/>
      <c r="CG280"/>
      <c r="CH280"/>
      <c r="CI280"/>
      <c r="CJ280"/>
      <c r="CK280"/>
      <c r="CL280" s="4"/>
      <c r="CM280"/>
      <c r="CN280"/>
      <c r="CO280"/>
      <c r="CP280"/>
      <c r="CQ280"/>
      <c r="CR280"/>
      <c r="CS280"/>
      <c r="CT280" s="4"/>
      <c r="CU280"/>
      <c r="CV280"/>
      <c r="CW280"/>
      <c r="CX280"/>
      <c r="CY280"/>
      <c r="CZ280"/>
      <c r="DA280"/>
      <c r="DB280" s="4"/>
      <c r="DC280" s="5">
        <v>1</v>
      </c>
      <c r="DD280" s="1"/>
      <c r="DE280" s="1"/>
    </row>
    <row r="281" spans="1:109" s="2" customFormat="1" ht="21" customHeight="1">
      <c r="A281" s="5641" t="s">
        <v>1</v>
      </c>
      <c r="B281" s="5662" t="str">
        <f t="shared" si="117"/>
        <v>►</v>
      </c>
      <c r="C281" s="5825" cm="1">
        <f t="array" ref="C281">SUMPRODUCT(LEN(D281:J281))</f>
        <v>0</v>
      </c>
      <c r="D281" s="5275"/>
      <c r="E281" s="1361"/>
      <c r="F281" s="1361"/>
      <c r="G281" s="1361"/>
      <c r="H281" s="1361"/>
      <c r="I281" s="1361"/>
      <c r="J281" s="5276"/>
      <c r="K281" s="106" t="s">
        <v>1</v>
      </c>
      <c r="L281" s="1021" t="s">
        <v>26</v>
      </c>
      <c r="M281" s="6787"/>
      <c r="N281" s="6787"/>
      <c r="O281" s="6787"/>
      <c r="P281" s="6788"/>
      <c r="Q281" s="6789"/>
      <c r="R281" s="6790"/>
      <c r="S281" s="6786"/>
      <c r="T281" s="6791"/>
      <c r="U281" s="6844"/>
      <c r="V281" s="6791"/>
      <c r="W281" s="8487"/>
      <c r="X281" s="6871"/>
      <c r="Y281" s="6793"/>
      <c r="Z281" s="6794"/>
      <c r="AA281" s="6795"/>
      <c r="AB281" s="6796"/>
      <c r="AC281" s="6797"/>
      <c r="AD281" s="6798"/>
      <c r="AE281" s="4" t="s">
        <v>1</v>
      </c>
      <c r="AF281" s="6202" t="str">
        <f t="shared" si="119"/>
        <v>►</v>
      </c>
      <c r="AG281" s="6234" t="str">
        <f t="shared" si="120"/>
        <v/>
      </c>
      <c r="AH281" s="6732" t="str">
        <f t="shared" si="121"/>
        <v/>
      </c>
      <c r="AI281" s="6234" t="str">
        <f t="shared" si="122"/>
        <v/>
      </c>
      <c r="AJ281" s="6732" t="str">
        <f t="shared" si="123"/>
        <v/>
      </c>
      <c r="AK281" s="6732">
        <f t="shared" si="124"/>
        <v>0</v>
      </c>
      <c r="AL281" s="6230" t="str" cm="1">
        <f t="array" ref="AL281">IF(AF281&lt;&gt;"A","",IFERROR((IFERROR(_xlfn.XLOOKUP(TRIM(SUBSTITUTE(U281,CHAR(160)," ")),$BJ$15:$BJ$62,$BM$15:$BM$62),IFERROR(_xlfn.XLOOKUP(TRIM(SUBSTITUTE(U281,CHAR(160)," ")),$BK$15:$BK$62,$BM$15:$BM$62),_xlfn.XLOOKUP(TRIM(SUBSTITUTE(U281,CHAR(160)," ")),$BL$15:$BL$62,$BM$15:$BM$62))))*T281*IF(ISBLANK(Q281),1,Q281)+IFERROR(_xlfn.XLOOKUP("RECHERCHEX",TRIM(L281:AD281),L281:AD281),0),0))</f>
        <v/>
      </c>
      <c r="AM281" s="6229">
        <f t="shared" si="125"/>
        <v>0</v>
      </c>
      <c r="AN281" s="6857" t="str">
        <f t="shared" si="116"/>
        <v/>
      </c>
      <c r="AO281" s="392">
        <f t="shared" si="126"/>
        <v>0</v>
      </c>
      <c r="AP281" s="392">
        <f t="shared" si="127"/>
        <v>0</v>
      </c>
      <c r="AQ281" s="6191">
        <f t="shared" si="128"/>
        <v>0</v>
      </c>
      <c r="AR281" s="6859" t="str">
        <f t="shared" si="129"/>
        <v/>
      </c>
      <c r="AS281" s="6217"/>
      <c r="AT281" s="6217"/>
      <c r="AU281" s="6272">
        <f t="shared" si="130"/>
        <v>0</v>
      </c>
      <c r="AV281" s="6240">
        <f t="shared" si="131"/>
        <v>0</v>
      </c>
      <c r="AW281" s="6189" cm="1">
        <f t="array" ref="AW281">IF(AK281&lt;&gt;1,0,IF(OR(AU281="",N(AU281)&lt;=0.000000001),"",IF(OR(AO281="",N(AO281)&lt;=0.000000001),0,IF(ISNUMBER(AU281),IFERROR(_xlfn.LET(_xlpm.ai_test,TRIM(AJ281),_xlpm.r,IFERROR(_xlfn.XLOOKUP(_xlpm.ai_test,$BJ$15:$BJ$62,ROW($BJ$15:$BJ$62),0,1),IFERROR(_xlfn.XLOOKUP(_xlpm.ai_test,$BK$15:$BK$62,ROW($BK$15:$BK$62),0,1),_xlfn.XLOOKUP(_xlpm.ai_test,$BL$15:$BL$62,ROW($BL$15:$BL$62),0,1))),_xlpm.p,_xlpm.r-MIN(ROW($BJ$15:$BJ$62))+1,_xlpm.f,INDEX($BM$15:$BM$62,_xlpm.p),_xlpm.u,INDEX($BN$15:$BN$62,_xlpm.p),_xlpm.s,INDEX($BP$15:$BP$62,_xlpm.p),_xlpm.q,N(AU281)/_xlpm.f,IF(_xlpm.q&gt;=_xlpm.s,ROUND(_xlpm.q,1)&amp;" "&amp;_xlpm.ai_test&amp;" = "&amp;ROUND(_xlpm.q*_xlpm.f,1)&amp;" "&amp;_xlpm.u,ROUND(_xlpm.q,1)&amp;" "&amp;_xlpm.ai_test)),""),""))))</f>
        <v>0</v>
      </c>
      <c r="AX281" s="6218"/>
      <c r="AY281" s="6272">
        <f t="shared" si="132"/>
        <v>0</v>
      </c>
      <c r="AZ281" s="6240" t="str">
        <f t="shared" si="133"/>
        <v/>
      </c>
      <c r="BA281" s="6195">
        <f t="shared" si="138"/>
        <v>0</v>
      </c>
      <c r="BB281" s="6193" t="str">
        <f t="shared" si="134"/>
        <v/>
      </c>
      <c r="BC281" s="6219"/>
      <c r="BD281" s="6222">
        <f t="shared" si="115"/>
        <v>0</v>
      </c>
      <c r="BE281" s="6220" t="str">
        <f t="shared" si="135"/>
        <v/>
      </c>
      <c r="BF281" s="4" t="s">
        <v>1</v>
      </c>
      <c r="BG281" s="6196">
        <f t="shared" si="136"/>
        <v>0</v>
      </c>
      <c r="BH281" s="6197">
        <f t="shared" si="137"/>
        <v>0</v>
      </c>
      <c r="BI281"/>
      <c r="BJ281" s="1"/>
      <c r="BK281" s="1"/>
      <c r="BL281" s="1"/>
      <c r="BM281" s="1"/>
      <c r="BN281" s="1"/>
      <c r="BO281" s="1"/>
      <c r="BP281" s="1"/>
      <c r="BQ281" s="1"/>
      <c r="BR281"/>
      <c r="BS281"/>
      <c r="BT281"/>
      <c r="BU281"/>
      <c r="BV281"/>
      <c r="BW281"/>
      <c r="BX281" s="20" t="str">
        <f t="shared" si="118"/>
        <v>►</v>
      </c>
      <c r="BY281"/>
      <c r="BZ281"/>
      <c r="CA281"/>
      <c r="CB281"/>
      <c r="CC281"/>
      <c r="CE281"/>
      <c r="CF281"/>
      <c r="CG281"/>
      <c r="CH281"/>
      <c r="CI281"/>
      <c r="CJ281"/>
      <c r="CK281"/>
      <c r="CL281" s="4"/>
      <c r="CM281"/>
      <c r="CN281"/>
      <c r="CO281"/>
      <c r="CP281"/>
      <c r="CQ281"/>
      <c r="CR281"/>
      <c r="CS281"/>
      <c r="CT281" s="4"/>
      <c r="CU281"/>
      <c r="CV281"/>
      <c r="CW281"/>
      <c r="CX281"/>
      <c r="CY281"/>
      <c r="CZ281"/>
      <c r="DA281"/>
      <c r="DB281" s="4"/>
      <c r="DC281" s="5">
        <v>1</v>
      </c>
      <c r="DD281" s="1"/>
      <c r="DE281" s="1"/>
    </row>
    <row r="282" spans="1:109" s="2" customFormat="1" ht="21" customHeight="1">
      <c r="A282" s="5641" t="s">
        <v>1</v>
      </c>
      <c r="B282" s="5662" t="str">
        <f t="shared" si="117"/>
        <v>►</v>
      </c>
      <c r="C282" s="5825" cm="1">
        <f t="array" ref="C282">SUMPRODUCT(LEN(D282:J282))</f>
        <v>0</v>
      </c>
      <c r="D282" s="5275"/>
      <c r="E282" s="1361"/>
      <c r="F282" s="1361"/>
      <c r="G282" s="1361"/>
      <c r="H282" s="1361"/>
      <c r="I282" s="1361"/>
      <c r="J282" s="5276"/>
      <c r="K282" s="106" t="s">
        <v>1</v>
      </c>
      <c r="L282" s="1021" t="s">
        <v>26</v>
      </c>
      <c r="M282" s="6787"/>
      <c r="N282" s="6787"/>
      <c r="O282" s="6787"/>
      <c r="P282" s="6788"/>
      <c r="Q282" s="6789"/>
      <c r="R282" s="6790"/>
      <c r="S282" s="6786"/>
      <c r="T282" s="6791"/>
      <c r="U282" s="6844"/>
      <c r="V282" s="6791"/>
      <c r="W282" s="8487"/>
      <c r="X282" s="6871"/>
      <c r="Y282" s="6793"/>
      <c r="Z282" s="6794"/>
      <c r="AA282" s="6795"/>
      <c r="AB282" s="6796"/>
      <c r="AC282" s="6797"/>
      <c r="AD282" s="6798"/>
      <c r="AE282" s="4" t="s">
        <v>1</v>
      </c>
      <c r="AF282" s="6202" t="str">
        <f t="shared" si="119"/>
        <v>►</v>
      </c>
      <c r="AG282" s="6234" t="str">
        <f t="shared" si="120"/>
        <v/>
      </c>
      <c r="AH282" s="6732" t="str">
        <f t="shared" si="121"/>
        <v/>
      </c>
      <c r="AI282" s="6234" t="str">
        <f t="shared" si="122"/>
        <v/>
      </c>
      <c r="AJ282" s="6732" t="str">
        <f t="shared" si="123"/>
        <v/>
      </c>
      <c r="AK282" s="6732">
        <f t="shared" si="124"/>
        <v>0</v>
      </c>
      <c r="AL282" s="6230" t="str" cm="1">
        <f t="array" ref="AL282">IF(AF282&lt;&gt;"A","",IFERROR((IFERROR(_xlfn.XLOOKUP(TRIM(SUBSTITUTE(U282,CHAR(160)," ")),$BJ$15:$BJ$62,$BM$15:$BM$62),IFERROR(_xlfn.XLOOKUP(TRIM(SUBSTITUTE(U282,CHAR(160)," ")),$BK$15:$BK$62,$BM$15:$BM$62),_xlfn.XLOOKUP(TRIM(SUBSTITUTE(U282,CHAR(160)," ")),$BL$15:$BL$62,$BM$15:$BM$62))))*T282*IF(ISBLANK(Q282),1,Q282)+IFERROR(_xlfn.XLOOKUP("RECHERCHEX",TRIM(L282:AD282),L282:AD282),0),0))</f>
        <v/>
      </c>
      <c r="AM282" s="6229">
        <f t="shared" si="125"/>
        <v>0</v>
      </c>
      <c r="AN282" s="6857" t="str">
        <f t="shared" si="116"/>
        <v/>
      </c>
      <c r="AO282" s="392">
        <f t="shared" si="126"/>
        <v>0</v>
      </c>
      <c r="AP282" s="392">
        <f t="shared" si="127"/>
        <v>0</v>
      </c>
      <c r="AQ282" s="6190">
        <f t="shared" si="128"/>
        <v>0</v>
      </c>
      <c r="AR282" s="6858" t="str">
        <f t="shared" si="129"/>
        <v/>
      </c>
      <c r="AS282" s="6217"/>
      <c r="AT282" s="6217"/>
      <c r="AU282" s="6271">
        <f t="shared" si="130"/>
        <v>0</v>
      </c>
      <c r="AV282" s="6242">
        <f t="shared" si="131"/>
        <v>0</v>
      </c>
      <c r="AW282" s="6188" cm="1">
        <f t="array" ref="AW282">IF(AK282&lt;&gt;1,0,IF(OR(AU282="",N(AU282)&lt;=0.000000001),"",IF(OR(AO282="",N(AO282)&lt;=0.000000001),0,IF(ISNUMBER(AU282),IFERROR(_xlfn.LET(_xlpm.ai_test,TRIM(AJ282),_xlpm.r,IFERROR(_xlfn.XLOOKUP(_xlpm.ai_test,$BJ$15:$BJ$62,ROW($BJ$15:$BJ$62),0,1),IFERROR(_xlfn.XLOOKUP(_xlpm.ai_test,$BK$15:$BK$62,ROW($BK$15:$BK$62),0,1),_xlfn.XLOOKUP(_xlpm.ai_test,$BL$15:$BL$62,ROW($BL$15:$BL$62),0,1))),_xlpm.p,_xlpm.r-MIN(ROW($BJ$15:$BJ$62))+1,_xlpm.f,INDEX($BM$15:$BM$62,_xlpm.p),_xlpm.u,INDEX($BN$15:$BN$62,_xlpm.p),_xlpm.s,INDEX($BP$15:$BP$62,_xlpm.p),_xlpm.q,N(AU282)/_xlpm.f,IF(_xlpm.q&gt;=_xlpm.s,ROUND(_xlpm.q,1)&amp;" "&amp;_xlpm.ai_test&amp;" = "&amp;ROUND(_xlpm.q*_xlpm.f,1)&amp;" "&amp;_xlpm.u,ROUND(_xlpm.q,1)&amp;" "&amp;_xlpm.ai_test)),""),""))))</f>
        <v>0</v>
      </c>
      <c r="AX282" s="6218"/>
      <c r="AY282" s="6271">
        <f t="shared" si="132"/>
        <v>0</v>
      </c>
      <c r="AZ282" s="6242" t="str">
        <f t="shared" si="133"/>
        <v/>
      </c>
      <c r="BA282" s="6194">
        <f t="shared" si="138"/>
        <v>0</v>
      </c>
      <c r="BB282" s="6192" t="str">
        <f t="shared" si="134"/>
        <v/>
      </c>
      <c r="BC282" s="6219"/>
      <c r="BD282" s="6221">
        <f t="shared" si="115"/>
        <v>0</v>
      </c>
      <c r="BE282" s="6220" t="str">
        <f t="shared" si="135"/>
        <v/>
      </c>
      <c r="BF282" s="4" t="s">
        <v>1</v>
      </c>
      <c r="BG282" s="6196">
        <f t="shared" si="136"/>
        <v>0</v>
      </c>
      <c r="BH282" s="6197">
        <f t="shared" si="137"/>
        <v>0</v>
      </c>
      <c r="BI282"/>
      <c r="BJ282" s="1"/>
      <c r="BK282" s="1"/>
      <c r="BL282" s="1"/>
      <c r="BM282" s="1"/>
      <c r="BN282" s="1"/>
      <c r="BO282" s="1"/>
      <c r="BP282" s="1"/>
      <c r="BQ282" s="1"/>
      <c r="BR282"/>
      <c r="BS282"/>
      <c r="BT282"/>
      <c r="BU282"/>
      <c r="BV282"/>
      <c r="BW282"/>
      <c r="BX282" s="20" t="str">
        <f t="shared" si="118"/>
        <v>►</v>
      </c>
      <c r="BY282"/>
      <c r="BZ282"/>
      <c r="CA282"/>
      <c r="CB282"/>
      <c r="CC282"/>
      <c r="CE282"/>
      <c r="CF282"/>
      <c r="CG282"/>
      <c r="CH282"/>
      <c r="CI282"/>
      <c r="CJ282"/>
      <c r="CK282"/>
      <c r="CL282" s="4"/>
      <c r="CM282"/>
      <c r="CN282"/>
      <c r="CO282"/>
      <c r="CP282"/>
      <c r="CQ282"/>
      <c r="CR282"/>
      <c r="CS282"/>
      <c r="CT282" s="4"/>
      <c r="CU282"/>
      <c r="CV282"/>
      <c r="CW282"/>
      <c r="CX282"/>
      <c r="CY282"/>
      <c r="CZ282"/>
      <c r="DA282"/>
      <c r="DB282" s="4"/>
      <c r="DC282" s="5">
        <v>1</v>
      </c>
      <c r="DD282" s="1"/>
      <c r="DE282" s="1"/>
    </row>
    <row r="283" spans="1:109" s="2" customFormat="1" ht="21" customHeight="1">
      <c r="A283" s="5641" t="s">
        <v>1</v>
      </c>
      <c r="B283" s="5662" t="str">
        <f t="shared" si="117"/>
        <v>►</v>
      </c>
      <c r="C283" s="5825" cm="1">
        <f t="array" ref="C283">SUMPRODUCT(LEN(D283:J283))</f>
        <v>0</v>
      </c>
      <c r="D283" s="5275"/>
      <c r="E283" s="1361"/>
      <c r="F283" s="1361"/>
      <c r="G283" s="1361"/>
      <c r="H283" s="1361"/>
      <c r="I283" s="1361"/>
      <c r="J283" s="5276"/>
      <c r="K283" s="106" t="s">
        <v>1</v>
      </c>
      <c r="L283" s="1021" t="s">
        <v>26</v>
      </c>
      <c r="M283" s="6787"/>
      <c r="N283" s="6787"/>
      <c r="O283" s="6787"/>
      <c r="P283" s="6788"/>
      <c r="Q283" s="6789"/>
      <c r="R283" s="6790"/>
      <c r="S283" s="6786"/>
      <c r="T283" s="6791"/>
      <c r="U283" s="6844"/>
      <c r="V283" s="6791"/>
      <c r="W283" s="8487"/>
      <c r="X283" s="6871"/>
      <c r="Y283" s="6793"/>
      <c r="Z283" s="6794"/>
      <c r="AA283" s="6795"/>
      <c r="AB283" s="6796"/>
      <c r="AC283" s="6797"/>
      <c r="AD283" s="6798"/>
      <c r="AE283" s="4" t="s">
        <v>1</v>
      </c>
      <c r="AF283" s="6202" t="str">
        <f t="shared" si="119"/>
        <v>►</v>
      </c>
      <c r="AG283" s="6234" t="str">
        <f t="shared" si="120"/>
        <v/>
      </c>
      <c r="AH283" s="6732" t="str">
        <f t="shared" si="121"/>
        <v/>
      </c>
      <c r="AI283" s="6234" t="str">
        <f t="shared" si="122"/>
        <v/>
      </c>
      <c r="AJ283" s="6732" t="str">
        <f t="shared" si="123"/>
        <v/>
      </c>
      <c r="AK283" s="6732">
        <f t="shared" si="124"/>
        <v>0</v>
      </c>
      <c r="AL283" s="6230" t="str" cm="1">
        <f t="array" ref="AL283">IF(AF283&lt;&gt;"A","",IFERROR((IFERROR(_xlfn.XLOOKUP(TRIM(SUBSTITUTE(U283,CHAR(160)," ")),$BJ$15:$BJ$62,$BM$15:$BM$62),IFERROR(_xlfn.XLOOKUP(TRIM(SUBSTITUTE(U283,CHAR(160)," ")),$BK$15:$BK$62,$BM$15:$BM$62),_xlfn.XLOOKUP(TRIM(SUBSTITUTE(U283,CHAR(160)," ")),$BL$15:$BL$62,$BM$15:$BM$62))))*T283*IF(ISBLANK(Q283),1,Q283)+IFERROR(_xlfn.XLOOKUP("RECHERCHEX",TRIM(L283:AD283),L283:AD283),0),0))</f>
        <v/>
      </c>
      <c r="AM283" s="6229">
        <f t="shared" si="125"/>
        <v>0</v>
      </c>
      <c r="AN283" s="6857" t="str">
        <f t="shared" si="116"/>
        <v/>
      </c>
      <c r="AO283" s="392">
        <f t="shared" si="126"/>
        <v>0</v>
      </c>
      <c r="AP283" s="392">
        <f t="shared" si="127"/>
        <v>0</v>
      </c>
      <c r="AQ283" s="6191">
        <f t="shared" si="128"/>
        <v>0</v>
      </c>
      <c r="AR283" s="6859" t="str">
        <f t="shared" si="129"/>
        <v/>
      </c>
      <c r="AS283" s="6217"/>
      <c r="AT283" s="6217"/>
      <c r="AU283" s="6272">
        <f t="shared" si="130"/>
        <v>0</v>
      </c>
      <c r="AV283" s="6240">
        <f t="shared" si="131"/>
        <v>0</v>
      </c>
      <c r="AW283" s="6189" cm="1">
        <f t="array" ref="AW283">IF(AK283&lt;&gt;1,0,IF(OR(AU283="",N(AU283)&lt;=0.000000001),"",IF(OR(AO283="",N(AO283)&lt;=0.000000001),0,IF(ISNUMBER(AU283),IFERROR(_xlfn.LET(_xlpm.ai_test,TRIM(AJ283),_xlpm.r,IFERROR(_xlfn.XLOOKUP(_xlpm.ai_test,$BJ$15:$BJ$62,ROW($BJ$15:$BJ$62),0,1),IFERROR(_xlfn.XLOOKUP(_xlpm.ai_test,$BK$15:$BK$62,ROW($BK$15:$BK$62),0,1),_xlfn.XLOOKUP(_xlpm.ai_test,$BL$15:$BL$62,ROW($BL$15:$BL$62),0,1))),_xlpm.p,_xlpm.r-MIN(ROW($BJ$15:$BJ$62))+1,_xlpm.f,INDEX($BM$15:$BM$62,_xlpm.p),_xlpm.u,INDEX($BN$15:$BN$62,_xlpm.p),_xlpm.s,INDEX($BP$15:$BP$62,_xlpm.p),_xlpm.q,N(AU283)/_xlpm.f,IF(_xlpm.q&gt;=_xlpm.s,ROUND(_xlpm.q,1)&amp;" "&amp;_xlpm.ai_test&amp;" = "&amp;ROUND(_xlpm.q*_xlpm.f,1)&amp;" "&amp;_xlpm.u,ROUND(_xlpm.q,1)&amp;" "&amp;_xlpm.ai_test)),""),""))))</f>
        <v>0</v>
      </c>
      <c r="AX283" s="6218"/>
      <c r="AY283" s="6272">
        <f t="shared" si="132"/>
        <v>0</v>
      </c>
      <c r="AZ283" s="6240" t="str">
        <f t="shared" si="133"/>
        <v/>
      </c>
      <c r="BA283" s="6195">
        <f t="shared" si="138"/>
        <v>0</v>
      </c>
      <c r="BB283" s="6193" t="str">
        <f t="shared" si="134"/>
        <v/>
      </c>
      <c r="BC283" s="6219"/>
      <c r="BD283" s="6222">
        <f t="shared" ref="BD283:BD346" si="139">IF(OR(AO283=0,ISBLANK(BC283),ISTEXT(BA283)),0,(IF(AU283=0,BA283,AU283)*BC283))</f>
        <v>0</v>
      </c>
      <c r="BE283" s="6220" t="str">
        <f t="shared" si="135"/>
        <v/>
      </c>
      <c r="BF283" s="4" t="s">
        <v>1</v>
      </c>
      <c r="BG283" s="6196">
        <f t="shared" si="136"/>
        <v>0</v>
      </c>
      <c r="BH283" s="6197">
        <f t="shared" si="137"/>
        <v>0</v>
      </c>
      <c r="BI283"/>
      <c r="BJ283" s="1"/>
      <c r="BK283" s="1"/>
      <c r="BL283" s="1"/>
      <c r="BM283" s="1"/>
      <c r="BN283" s="1"/>
      <c r="BO283" s="1"/>
      <c r="BP283" s="1"/>
      <c r="BQ283" s="1"/>
      <c r="BR283"/>
      <c r="BS283"/>
      <c r="BT283"/>
      <c r="BU283"/>
      <c r="BV283"/>
      <c r="BW283"/>
      <c r="BX283" s="20" t="str">
        <f t="shared" si="118"/>
        <v>►</v>
      </c>
      <c r="BY283"/>
      <c r="BZ283"/>
      <c r="CA283"/>
      <c r="CB283"/>
      <c r="CC283"/>
      <c r="CE283"/>
      <c r="CF283"/>
      <c r="CG283"/>
      <c r="CH283"/>
      <c r="CI283"/>
      <c r="CJ283"/>
      <c r="CK283"/>
      <c r="CL283" s="4"/>
      <c r="CM283"/>
      <c r="CN283"/>
      <c r="CO283"/>
      <c r="CP283"/>
      <c r="CQ283"/>
      <c r="CR283"/>
      <c r="CS283"/>
      <c r="CT283" s="4"/>
      <c r="CU283"/>
      <c r="CV283"/>
      <c r="CW283"/>
      <c r="CX283"/>
      <c r="CY283"/>
      <c r="CZ283"/>
      <c r="DA283"/>
      <c r="DB283" s="4"/>
      <c r="DC283" s="5">
        <v>1</v>
      </c>
      <c r="DD283" s="1"/>
      <c r="DE283" s="1"/>
    </row>
    <row r="284" spans="1:109" s="2" customFormat="1" ht="21" customHeight="1">
      <c r="A284" s="5641" t="s">
        <v>1</v>
      </c>
      <c r="B284" s="5662" t="str">
        <f t="shared" si="117"/>
        <v>►</v>
      </c>
      <c r="C284" s="5825" cm="1">
        <f t="array" ref="C284">SUMPRODUCT(LEN(D284:J284))</f>
        <v>0</v>
      </c>
      <c r="D284" s="5275"/>
      <c r="E284" s="1361"/>
      <c r="F284" s="1361"/>
      <c r="G284" s="1361"/>
      <c r="H284" s="1361"/>
      <c r="I284" s="1361"/>
      <c r="J284" s="5276"/>
      <c r="K284" s="106" t="s">
        <v>1</v>
      </c>
      <c r="L284" s="1021" t="s">
        <v>26</v>
      </c>
      <c r="M284" s="6787"/>
      <c r="N284" s="6787"/>
      <c r="O284" s="6787"/>
      <c r="P284" s="6788"/>
      <c r="Q284" s="6789"/>
      <c r="R284" s="6790"/>
      <c r="S284" s="6786"/>
      <c r="T284" s="6791"/>
      <c r="U284" s="6844"/>
      <c r="V284" s="6791"/>
      <c r="W284" s="8487"/>
      <c r="X284" s="6871"/>
      <c r="Y284" s="6793"/>
      <c r="Z284" s="6794"/>
      <c r="AA284" s="6795"/>
      <c r="AB284" s="6796"/>
      <c r="AC284" s="6797"/>
      <c r="AD284" s="6798"/>
      <c r="AE284" s="4" t="s">
        <v>1</v>
      </c>
      <c r="AF284" s="6202" t="str">
        <f t="shared" si="119"/>
        <v>►</v>
      </c>
      <c r="AG284" s="6234" t="str">
        <f t="shared" si="120"/>
        <v/>
      </c>
      <c r="AH284" s="6732" t="str">
        <f t="shared" si="121"/>
        <v/>
      </c>
      <c r="AI284" s="6234" t="str">
        <f t="shared" si="122"/>
        <v/>
      </c>
      <c r="AJ284" s="6732" t="str">
        <f t="shared" si="123"/>
        <v/>
      </c>
      <c r="AK284" s="6732">
        <f t="shared" si="124"/>
        <v>0</v>
      </c>
      <c r="AL284" s="6230" t="str" cm="1">
        <f t="array" ref="AL284">IF(AF284&lt;&gt;"A","",IFERROR((IFERROR(_xlfn.XLOOKUP(TRIM(SUBSTITUTE(U284,CHAR(160)," ")),$BJ$15:$BJ$62,$BM$15:$BM$62),IFERROR(_xlfn.XLOOKUP(TRIM(SUBSTITUTE(U284,CHAR(160)," ")),$BK$15:$BK$62,$BM$15:$BM$62),_xlfn.XLOOKUP(TRIM(SUBSTITUTE(U284,CHAR(160)," ")),$BL$15:$BL$62,$BM$15:$BM$62))))*T284*IF(ISBLANK(Q284),1,Q284)+IFERROR(_xlfn.XLOOKUP("RECHERCHEX",TRIM(L284:AD284),L284:AD284),0),0))</f>
        <v/>
      </c>
      <c r="AM284" s="6229">
        <f t="shared" si="125"/>
        <v>0</v>
      </c>
      <c r="AN284" s="6857" t="str">
        <f t="shared" si="116"/>
        <v/>
      </c>
      <c r="AO284" s="392">
        <f t="shared" si="126"/>
        <v>0</v>
      </c>
      <c r="AP284" s="392">
        <f t="shared" si="127"/>
        <v>0</v>
      </c>
      <c r="AQ284" s="6190">
        <f t="shared" si="128"/>
        <v>0</v>
      </c>
      <c r="AR284" s="6858" t="str">
        <f t="shared" si="129"/>
        <v/>
      </c>
      <c r="AS284" s="6217"/>
      <c r="AT284" s="6217"/>
      <c r="AU284" s="6271">
        <f t="shared" si="130"/>
        <v>0</v>
      </c>
      <c r="AV284" s="6242">
        <f t="shared" si="131"/>
        <v>0</v>
      </c>
      <c r="AW284" s="6188" cm="1">
        <f t="array" ref="AW284">IF(AK284&lt;&gt;1,0,IF(OR(AU284="",N(AU284)&lt;=0.000000001),"",IF(OR(AO284="",N(AO284)&lt;=0.000000001),0,IF(ISNUMBER(AU284),IFERROR(_xlfn.LET(_xlpm.ai_test,TRIM(AJ284),_xlpm.r,IFERROR(_xlfn.XLOOKUP(_xlpm.ai_test,$BJ$15:$BJ$62,ROW($BJ$15:$BJ$62),0,1),IFERROR(_xlfn.XLOOKUP(_xlpm.ai_test,$BK$15:$BK$62,ROW($BK$15:$BK$62),0,1),_xlfn.XLOOKUP(_xlpm.ai_test,$BL$15:$BL$62,ROW($BL$15:$BL$62),0,1))),_xlpm.p,_xlpm.r-MIN(ROW($BJ$15:$BJ$62))+1,_xlpm.f,INDEX($BM$15:$BM$62,_xlpm.p),_xlpm.u,INDEX($BN$15:$BN$62,_xlpm.p),_xlpm.s,INDEX($BP$15:$BP$62,_xlpm.p),_xlpm.q,N(AU284)/_xlpm.f,IF(_xlpm.q&gt;=_xlpm.s,ROUND(_xlpm.q,1)&amp;" "&amp;_xlpm.ai_test&amp;" = "&amp;ROUND(_xlpm.q*_xlpm.f,1)&amp;" "&amp;_xlpm.u,ROUND(_xlpm.q,1)&amp;" "&amp;_xlpm.ai_test)),""),""))))</f>
        <v>0</v>
      </c>
      <c r="AX284" s="6218"/>
      <c r="AY284" s="6271">
        <f t="shared" si="132"/>
        <v>0</v>
      </c>
      <c r="AZ284" s="6242" t="str">
        <f t="shared" si="133"/>
        <v/>
      </c>
      <c r="BA284" s="6194">
        <f t="shared" si="138"/>
        <v>0</v>
      </c>
      <c r="BB284" s="6192" t="str">
        <f t="shared" si="134"/>
        <v/>
      </c>
      <c r="BC284" s="6219"/>
      <c r="BD284" s="6221">
        <f t="shared" si="139"/>
        <v>0</v>
      </c>
      <c r="BE284" s="6220" t="str">
        <f t="shared" si="135"/>
        <v/>
      </c>
      <c r="BF284" s="4" t="s">
        <v>1</v>
      </c>
      <c r="BG284" s="6196">
        <f t="shared" si="136"/>
        <v>0</v>
      </c>
      <c r="BH284" s="6197">
        <f t="shared" si="137"/>
        <v>0</v>
      </c>
      <c r="BI284"/>
      <c r="BJ284" s="1"/>
      <c r="BK284" s="1"/>
      <c r="BL284" s="1"/>
      <c r="BM284" s="1"/>
      <c r="BN284" s="1"/>
      <c r="BO284" s="1"/>
      <c r="BP284" s="1"/>
      <c r="BQ284" s="1"/>
      <c r="BR284"/>
      <c r="BS284"/>
      <c r="BT284"/>
      <c r="BU284"/>
      <c r="BV284"/>
      <c r="BW284"/>
      <c r="BX284" s="20" t="str">
        <f t="shared" si="118"/>
        <v>►</v>
      </c>
      <c r="BY284"/>
      <c r="BZ284"/>
      <c r="CA284"/>
      <c r="CB284"/>
      <c r="CC284"/>
      <c r="CE284"/>
      <c r="CF284"/>
      <c r="CG284"/>
      <c r="CH284"/>
      <c r="CI284"/>
      <c r="CJ284"/>
      <c r="CK284"/>
      <c r="CL284" s="4"/>
      <c r="CM284"/>
      <c r="CN284"/>
      <c r="CO284"/>
      <c r="CP284"/>
      <c r="CQ284"/>
      <c r="CR284"/>
      <c r="CS284"/>
      <c r="CT284" s="4"/>
      <c r="CU284"/>
      <c r="CV284"/>
      <c r="CW284"/>
      <c r="CX284"/>
      <c r="CY284"/>
      <c r="CZ284"/>
      <c r="DA284"/>
      <c r="DB284" s="4"/>
      <c r="DC284" s="5">
        <v>1</v>
      </c>
      <c r="DD284" s="1"/>
      <c r="DE284" s="1"/>
    </row>
    <row r="285" spans="1:109" s="2" customFormat="1" ht="21" customHeight="1">
      <c r="A285" s="5641" t="s">
        <v>1</v>
      </c>
      <c r="B285" s="5662" t="str">
        <f t="shared" si="117"/>
        <v>►</v>
      </c>
      <c r="C285" s="5825" cm="1">
        <f t="array" ref="C285">SUMPRODUCT(LEN(D285:J285))</f>
        <v>0</v>
      </c>
      <c r="D285" s="5275"/>
      <c r="E285" s="1361"/>
      <c r="F285" s="1361"/>
      <c r="G285" s="1361"/>
      <c r="H285" s="1361"/>
      <c r="I285" s="1361"/>
      <c r="J285" s="5276"/>
      <c r="K285" s="106" t="s">
        <v>1</v>
      </c>
      <c r="L285" s="1021" t="s">
        <v>26</v>
      </c>
      <c r="M285" s="6787"/>
      <c r="N285" s="6787"/>
      <c r="O285" s="6787"/>
      <c r="P285" s="6788"/>
      <c r="Q285" s="6789"/>
      <c r="R285" s="6790"/>
      <c r="S285" s="6786"/>
      <c r="T285" s="6791"/>
      <c r="U285" s="6844"/>
      <c r="V285" s="6791"/>
      <c r="W285" s="8487"/>
      <c r="X285" s="6871"/>
      <c r="Y285" s="6793"/>
      <c r="Z285" s="6794"/>
      <c r="AA285" s="6795"/>
      <c r="AB285" s="6796"/>
      <c r="AC285" s="6797"/>
      <c r="AD285" s="6798"/>
      <c r="AE285" s="4" t="s">
        <v>1</v>
      </c>
      <c r="AF285" s="6202" t="str">
        <f t="shared" si="119"/>
        <v>►</v>
      </c>
      <c r="AG285" s="6234" t="str">
        <f t="shared" si="120"/>
        <v/>
      </c>
      <c r="AH285" s="6732" t="str">
        <f t="shared" si="121"/>
        <v/>
      </c>
      <c r="AI285" s="6234" t="str">
        <f t="shared" si="122"/>
        <v/>
      </c>
      <c r="AJ285" s="6732" t="str">
        <f t="shared" si="123"/>
        <v/>
      </c>
      <c r="AK285" s="6732">
        <f t="shared" si="124"/>
        <v>0</v>
      </c>
      <c r="AL285" s="6230" t="str" cm="1">
        <f t="array" ref="AL285">IF(AF285&lt;&gt;"A","",IFERROR((IFERROR(_xlfn.XLOOKUP(TRIM(SUBSTITUTE(U285,CHAR(160)," ")),$BJ$15:$BJ$62,$BM$15:$BM$62),IFERROR(_xlfn.XLOOKUP(TRIM(SUBSTITUTE(U285,CHAR(160)," ")),$BK$15:$BK$62,$BM$15:$BM$62),_xlfn.XLOOKUP(TRIM(SUBSTITUTE(U285,CHAR(160)," ")),$BL$15:$BL$62,$BM$15:$BM$62))))*T285*IF(ISBLANK(Q285),1,Q285)+IFERROR(_xlfn.XLOOKUP("RECHERCHEX",TRIM(L285:AD285),L285:AD285),0),0))</f>
        <v/>
      </c>
      <c r="AM285" s="6229">
        <f t="shared" si="125"/>
        <v>0</v>
      </c>
      <c r="AN285" s="6857" t="str">
        <f t="shared" si="116"/>
        <v/>
      </c>
      <c r="AO285" s="392">
        <f t="shared" si="126"/>
        <v>0</v>
      </c>
      <c r="AP285" s="392">
        <f t="shared" si="127"/>
        <v>0</v>
      </c>
      <c r="AQ285" s="6191">
        <f t="shared" si="128"/>
        <v>0</v>
      </c>
      <c r="AR285" s="6859" t="str">
        <f t="shared" si="129"/>
        <v/>
      </c>
      <c r="AS285" s="6217"/>
      <c r="AT285" s="6217"/>
      <c r="AU285" s="6272">
        <f t="shared" si="130"/>
        <v>0</v>
      </c>
      <c r="AV285" s="6240">
        <f t="shared" si="131"/>
        <v>0</v>
      </c>
      <c r="AW285" s="6189" cm="1">
        <f t="array" ref="AW285">IF(AK285&lt;&gt;1,0,IF(OR(AU285="",N(AU285)&lt;=0.000000001),"",IF(OR(AO285="",N(AO285)&lt;=0.000000001),0,IF(ISNUMBER(AU285),IFERROR(_xlfn.LET(_xlpm.ai_test,TRIM(AJ285),_xlpm.r,IFERROR(_xlfn.XLOOKUP(_xlpm.ai_test,$BJ$15:$BJ$62,ROW($BJ$15:$BJ$62),0,1),IFERROR(_xlfn.XLOOKUP(_xlpm.ai_test,$BK$15:$BK$62,ROW($BK$15:$BK$62),0,1),_xlfn.XLOOKUP(_xlpm.ai_test,$BL$15:$BL$62,ROW($BL$15:$BL$62),0,1))),_xlpm.p,_xlpm.r-MIN(ROW($BJ$15:$BJ$62))+1,_xlpm.f,INDEX($BM$15:$BM$62,_xlpm.p),_xlpm.u,INDEX($BN$15:$BN$62,_xlpm.p),_xlpm.s,INDEX($BP$15:$BP$62,_xlpm.p),_xlpm.q,N(AU285)/_xlpm.f,IF(_xlpm.q&gt;=_xlpm.s,ROUND(_xlpm.q,1)&amp;" "&amp;_xlpm.ai_test&amp;" = "&amp;ROUND(_xlpm.q*_xlpm.f,1)&amp;" "&amp;_xlpm.u,ROUND(_xlpm.q,1)&amp;" "&amp;_xlpm.ai_test)),""),""))))</f>
        <v>0</v>
      </c>
      <c r="AX285" s="6218"/>
      <c r="AY285" s="6272">
        <f t="shared" si="132"/>
        <v>0</v>
      </c>
      <c r="AZ285" s="6240" t="str">
        <f t="shared" si="133"/>
        <v/>
      </c>
      <c r="BA285" s="6195">
        <f t="shared" si="138"/>
        <v>0</v>
      </c>
      <c r="BB285" s="6193" t="str">
        <f t="shared" si="134"/>
        <v/>
      </c>
      <c r="BC285" s="6219"/>
      <c r="BD285" s="6222">
        <f t="shared" si="139"/>
        <v>0</v>
      </c>
      <c r="BE285" s="6220" t="str">
        <f t="shared" si="135"/>
        <v/>
      </c>
      <c r="BF285" s="4" t="s">
        <v>1</v>
      </c>
      <c r="BG285" s="6196">
        <f t="shared" si="136"/>
        <v>0</v>
      </c>
      <c r="BH285" s="6197">
        <f t="shared" si="137"/>
        <v>0</v>
      </c>
      <c r="BI285"/>
      <c r="BJ285" s="1"/>
      <c r="BK285" s="1"/>
      <c r="BL285" s="1"/>
      <c r="BM285" s="1"/>
      <c r="BN285" s="1"/>
      <c r="BO285" s="1"/>
      <c r="BP285" s="1"/>
      <c r="BQ285" s="1"/>
      <c r="BR285"/>
      <c r="BS285"/>
      <c r="BT285"/>
      <c r="BU285"/>
      <c r="BV285"/>
      <c r="BW285"/>
      <c r="BX285" s="20" t="str">
        <f t="shared" si="118"/>
        <v>►</v>
      </c>
      <c r="BY285"/>
      <c r="BZ285"/>
      <c r="CA285"/>
      <c r="CB285"/>
      <c r="CC285"/>
      <c r="CE285"/>
      <c r="CF285"/>
      <c r="CG285"/>
      <c r="CH285"/>
      <c r="CI285"/>
      <c r="CJ285"/>
      <c r="CK285"/>
      <c r="CL285" s="4"/>
      <c r="CM285"/>
      <c r="CN285"/>
      <c r="CO285"/>
      <c r="CP285"/>
      <c r="CQ285"/>
      <c r="CR285"/>
      <c r="CS285"/>
      <c r="CT285" s="4"/>
      <c r="CU285"/>
      <c r="CV285"/>
      <c r="CW285"/>
      <c r="CX285"/>
      <c r="CY285"/>
      <c r="CZ285"/>
      <c r="DA285"/>
      <c r="DB285" s="4"/>
      <c r="DC285" s="5">
        <v>1</v>
      </c>
      <c r="DD285" s="1"/>
      <c r="DE285" s="1"/>
    </row>
    <row r="286" spans="1:109" s="2" customFormat="1" ht="21" customHeight="1">
      <c r="A286" s="5641" t="s">
        <v>1</v>
      </c>
      <c r="B286" s="5662" t="str">
        <f t="shared" si="117"/>
        <v>►</v>
      </c>
      <c r="C286" s="5825" cm="1">
        <f t="array" ref="C286">SUMPRODUCT(LEN(D286:J286))</f>
        <v>0</v>
      </c>
      <c r="D286" s="5275"/>
      <c r="E286" s="1361"/>
      <c r="F286" s="1361"/>
      <c r="G286" s="1361"/>
      <c r="H286" s="1361"/>
      <c r="I286" s="1361"/>
      <c r="J286" s="5276"/>
      <c r="K286" s="106" t="s">
        <v>1</v>
      </c>
      <c r="L286" s="1021" t="s">
        <v>26</v>
      </c>
      <c r="M286" s="6787"/>
      <c r="N286" s="6787"/>
      <c r="O286" s="6787"/>
      <c r="P286" s="6788"/>
      <c r="Q286" s="6789"/>
      <c r="R286" s="6790"/>
      <c r="S286" s="6786"/>
      <c r="T286" s="6791"/>
      <c r="U286" s="6844"/>
      <c r="V286" s="6791"/>
      <c r="W286" s="8487"/>
      <c r="X286" s="6871"/>
      <c r="Y286" s="6793"/>
      <c r="Z286" s="6794"/>
      <c r="AA286" s="6795"/>
      <c r="AB286" s="6796"/>
      <c r="AC286" s="6797"/>
      <c r="AD286" s="6798"/>
      <c r="AE286" s="4" t="s">
        <v>1</v>
      </c>
      <c r="AF286" s="6202" t="str">
        <f t="shared" si="119"/>
        <v>►</v>
      </c>
      <c r="AG286" s="6234" t="str">
        <f t="shared" si="120"/>
        <v/>
      </c>
      <c r="AH286" s="6732" t="str">
        <f t="shared" si="121"/>
        <v/>
      </c>
      <c r="AI286" s="6234" t="str">
        <f t="shared" si="122"/>
        <v/>
      </c>
      <c r="AJ286" s="6732" t="str">
        <f t="shared" si="123"/>
        <v/>
      </c>
      <c r="AK286" s="6732">
        <f t="shared" si="124"/>
        <v>0</v>
      </c>
      <c r="AL286" s="6230" t="str" cm="1">
        <f t="array" ref="AL286">IF(AF286&lt;&gt;"A","",IFERROR((IFERROR(_xlfn.XLOOKUP(TRIM(SUBSTITUTE(U286,CHAR(160)," ")),$BJ$15:$BJ$62,$BM$15:$BM$62),IFERROR(_xlfn.XLOOKUP(TRIM(SUBSTITUTE(U286,CHAR(160)," ")),$BK$15:$BK$62,$BM$15:$BM$62),_xlfn.XLOOKUP(TRIM(SUBSTITUTE(U286,CHAR(160)," ")),$BL$15:$BL$62,$BM$15:$BM$62))))*T286*IF(ISBLANK(Q286),1,Q286)+IFERROR(_xlfn.XLOOKUP("RECHERCHEX",TRIM(L286:AD286),L286:AD286),0),0))</f>
        <v/>
      </c>
      <c r="AM286" s="6229">
        <f t="shared" si="125"/>
        <v>0</v>
      </c>
      <c r="AN286" s="6857" t="str">
        <f t="shared" ref="AN286:AN349" si="140">IF(AF286="A","❾ Author reference &gt;","")</f>
        <v/>
      </c>
      <c r="AO286" s="392">
        <f t="shared" si="126"/>
        <v>0</v>
      </c>
      <c r="AP286" s="392">
        <f t="shared" si="127"/>
        <v>0</v>
      </c>
      <c r="AQ286" s="6190">
        <f t="shared" si="128"/>
        <v>0</v>
      </c>
      <c r="AR286" s="6858" t="str">
        <f t="shared" si="129"/>
        <v/>
      </c>
      <c r="AS286" s="6217"/>
      <c r="AT286" s="6217"/>
      <c r="AU286" s="6271">
        <f t="shared" si="130"/>
        <v>0</v>
      </c>
      <c r="AV286" s="6242">
        <f t="shared" si="131"/>
        <v>0</v>
      </c>
      <c r="AW286" s="6188" cm="1">
        <f t="array" ref="AW286">IF(AK286&lt;&gt;1,0,IF(OR(AU286="",N(AU286)&lt;=0.000000001),"",IF(OR(AO286="",N(AO286)&lt;=0.000000001),0,IF(ISNUMBER(AU286),IFERROR(_xlfn.LET(_xlpm.ai_test,TRIM(AJ286),_xlpm.r,IFERROR(_xlfn.XLOOKUP(_xlpm.ai_test,$BJ$15:$BJ$62,ROW($BJ$15:$BJ$62),0,1),IFERROR(_xlfn.XLOOKUP(_xlpm.ai_test,$BK$15:$BK$62,ROW($BK$15:$BK$62),0,1),_xlfn.XLOOKUP(_xlpm.ai_test,$BL$15:$BL$62,ROW($BL$15:$BL$62),0,1))),_xlpm.p,_xlpm.r-MIN(ROW($BJ$15:$BJ$62))+1,_xlpm.f,INDEX($BM$15:$BM$62,_xlpm.p),_xlpm.u,INDEX($BN$15:$BN$62,_xlpm.p),_xlpm.s,INDEX($BP$15:$BP$62,_xlpm.p),_xlpm.q,N(AU286)/_xlpm.f,IF(_xlpm.q&gt;=_xlpm.s,ROUND(_xlpm.q,1)&amp;" "&amp;_xlpm.ai_test&amp;" = "&amp;ROUND(_xlpm.q*_xlpm.f,1)&amp;" "&amp;_xlpm.u,ROUND(_xlpm.q,1)&amp;" "&amp;_xlpm.ai_test)),""),""))))</f>
        <v>0</v>
      </c>
      <c r="AX286" s="6218"/>
      <c r="AY286" s="6271">
        <f t="shared" si="132"/>
        <v>0</v>
      </c>
      <c r="AZ286" s="6242" t="str">
        <f t="shared" si="133"/>
        <v/>
      </c>
      <c r="BA286" s="6194">
        <f t="shared" si="138"/>
        <v>0</v>
      </c>
      <c r="BB286" s="6192" t="str">
        <f t="shared" si="134"/>
        <v/>
      </c>
      <c r="BC286" s="6219"/>
      <c r="BD286" s="6221">
        <f t="shared" si="139"/>
        <v>0</v>
      </c>
      <c r="BE286" s="6220" t="str">
        <f t="shared" si="135"/>
        <v/>
      </c>
      <c r="BF286" s="4" t="s">
        <v>1</v>
      </c>
      <c r="BG286" s="6196">
        <f t="shared" si="136"/>
        <v>0</v>
      </c>
      <c r="BH286" s="6197">
        <f t="shared" si="137"/>
        <v>0</v>
      </c>
      <c r="BI286"/>
      <c r="BJ286" s="1"/>
      <c r="BK286" s="1"/>
      <c r="BL286" s="1"/>
      <c r="BM286" s="1"/>
      <c r="BN286" s="1"/>
      <c r="BO286" s="1"/>
      <c r="BP286" s="1"/>
      <c r="BQ286" s="1"/>
      <c r="BR286"/>
      <c r="BS286"/>
      <c r="BT286"/>
      <c r="BU286"/>
      <c r="BV286"/>
      <c r="BW286"/>
      <c r="BX286" s="20" t="str">
        <f t="shared" si="118"/>
        <v>►</v>
      </c>
      <c r="BY286"/>
      <c r="BZ286"/>
      <c r="CA286"/>
      <c r="CB286"/>
      <c r="CC286"/>
      <c r="CE286"/>
      <c r="CF286"/>
      <c r="CG286"/>
      <c r="CH286"/>
      <c r="CI286"/>
      <c r="CJ286"/>
      <c r="CK286"/>
      <c r="CL286" s="4"/>
      <c r="CM286"/>
      <c r="CN286"/>
      <c r="CO286"/>
      <c r="CP286"/>
      <c r="CQ286"/>
      <c r="CR286"/>
      <c r="CS286"/>
      <c r="CT286" s="4"/>
      <c r="CU286"/>
      <c r="CV286"/>
      <c r="CW286"/>
      <c r="CX286"/>
      <c r="CY286"/>
      <c r="CZ286"/>
      <c r="DA286"/>
      <c r="DB286" s="4"/>
      <c r="DC286" s="5">
        <v>1</v>
      </c>
      <c r="DD286" s="1"/>
      <c r="DE286" s="1"/>
    </row>
    <row r="287" spans="1:109" s="2" customFormat="1" ht="21" customHeight="1">
      <c r="A287" s="5641" t="s">
        <v>1</v>
      </c>
      <c r="B287" s="5662" t="str">
        <f t="shared" si="117"/>
        <v>►</v>
      </c>
      <c r="C287" s="5825" cm="1">
        <f t="array" ref="C287">SUMPRODUCT(LEN(D287:J287))</f>
        <v>0</v>
      </c>
      <c r="D287" s="5275"/>
      <c r="E287" s="1361"/>
      <c r="F287" s="1361"/>
      <c r="G287" s="1361"/>
      <c r="H287" s="1361"/>
      <c r="I287" s="1361"/>
      <c r="J287" s="5276"/>
      <c r="K287" s="106" t="s">
        <v>1</v>
      </c>
      <c r="L287" s="1021" t="s">
        <v>26</v>
      </c>
      <c r="M287" s="6787"/>
      <c r="N287" s="6787"/>
      <c r="O287" s="6787"/>
      <c r="P287" s="6788"/>
      <c r="Q287" s="6789"/>
      <c r="R287" s="6790"/>
      <c r="S287" s="6786"/>
      <c r="T287" s="6791"/>
      <c r="U287" s="6844"/>
      <c r="V287" s="6791"/>
      <c r="W287" s="8487"/>
      <c r="X287" s="6871"/>
      <c r="Y287" s="6793"/>
      <c r="Z287" s="6794"/>
      <c r="AA287" s="6795"/>
      <c r="AB287" s="6796"/>
      <c r="AC287" s="6797"/>
      <c r="AD287" s="6798"/>
      <c r="AE287" s="4" t="s">
        <v>1</v>
      </c>
      <c r="AF287" s="6202" t="str">
        <f t="shared" si="119"/>
        <v>►</v>
      </c>
      <c r="AG287" s="6234" t="str">
        <f t="shared" si="120"/>
        <v/>
      </c>
      <c r="AH287" s="6732" t="str">
        <f t="shared" si="121"/>
        <v/>
      </c>
      <c r="AI287" s="6234" t="str">
        <f t="shared" si="122"/>
        <v/>
      </c>
      <c r="AJ287" s="6732" t="str">
        <f t="shared" si="123"/>
        <v/>
      </c>
      <c r="AK287" s="6732">
        <f t="shared" si="124"/>
        <v>0</v>
      </c>
      <c r="AL287" s="6230" t="str" cm="1">
        <f t="array" ref="AL287">IF(AF287&lt;&gt;"A","",IFERROR((IFERROR(_xlfn.XLOOKUP(TRIM(SUBSTITUTE(U287,CHAR(160)," ")),$BJ$15:$BJ$62,$BM$15:$BM$62),IFERROR(_xlfn.XLOOKUP(TRIM(SUBSTITUTE(U287,CHAR(160)," ")),$BK$15:$BK$62,$BM$15:$BM$62),_xlfn.XLOOKUP(TRIM(SUBSTITUTE(U287,CHAR(160)," ")),$BL$15:$BL$62,$BM$15:$BM$62))))*T287*IF(ISBLANK(Q287),1,Q287)+IFERROR(_xlfn.XLOOKUP("RECHERCHEX",TRIM(L287:AD287),L287:AD287),0),0))</f>
        <v/>
      </c>
      <c r="AM287" s="6229">
        <f t="shared" si="125"/>
        <v>0</v>
      </c>
      <c r="AN287" s="6857" t="str">
        <f t="shared" si="140"/>
        <v/>
      </c>
      <c r="AO287" s="392">
        <f t="shared" si="126"/>
        <v>0</v>
      </c>
      <c r="AP287" s="392">
        <f t="shared" si="127"/>
        <v>0</v>
      </c>
      <c r="AQ287" s="6191">
        <f t="shared" si="128"/>
        <v>0</v>
      </c>
      <c r="AR287" s="6859" t="str">
        <f t="shared" si="129"/>
        <v/>
      </c>
      <c r="AS287" s="6217"/>
      <c r="AT287" s="6217"/>
      <c r="AU287" s="6272">
        <f t="shared" si="130"/>
        <v>0</v>
      </c>
      <c r="AV287" s="6240">
        <f t="shared" si="131"/>
        <v>0</v>
      </c>
      <c r="AW287" s="6189" cm="1">
        <f t="array" ref="AW287">IF(AK287&lt;&gt;1,0,IF(OR(AU287="",N(AU287)&lt;=0.000000001),"",IF(OR(AO287="",N(AO287)&lt;=0.000000001),0,IF(ISNUMBER(AU287),IFERROR(_xlfn.LET(_xlpm.ai_test,TRIM(AJ287),_xlpm.r,IFERROR(_xlfn.XLOOKUP(_xlpm.ai_test,$BJ$15:$BJ$62,ROW($BJ$15:$BJ$62),0,1),IFERROR(_xlfn.XLOOKUP(_xlpm.ai_test,$BK$15:$BK$62,ROW($BK$15:$BK$62),0,1),_xlfn.XLOOKUP(_xlpm.ai_test,$BL$15:$BL$62,ROW($BL$15:$BL$62),0,1))),_xlpm.p,_xlpm.r-MIN(ROW($BJ$15:$BJ$62))+1,_xlpm.f,INDEX($BM$15:$BM$62,_xlpm.p),_xlpm.u,INDEX($BN$15:$BN$62,_xlpm.p),_xlpm.s,INDEX($BP$15:$BP$62,_xlpm.p),_xlpm.q,N(AU287)/_xlpm.f,IF(_xlpm.q&gt;=_xlpm.s,ROUND(_xlpm.q,1)&amp;" "&amp;_xlpm.ai_test&amp;" = "&amp;ROUND(_xlpm.q*_xlpm.f,1)&amp;" "&amp;_xlpm.u,ROUND(_xlpm.q,1)&amp;" "&amp;_xlpm.ai_test)),""),""))))</f>
        <v>0</v>
      </c>
      <c r="AX287" s="6218"/>
      <c r="AY287" s="6272">
        <f t="shared" si="132"/>
        <v>0</v>
      </c>
      <c r="AZ287" s="6240" t="str">
        <f t="shared" si="133"/>
        <v/>
      </c>
      <c r="BA287" s="6195">
        <f t="shared" si="138"/>
        <v>0</v>
      </c>
      <c r="BB287" s="6193" t="str">
        <f t="shared" si="134"/>
        <v/>
      </c>
      <c r="BC287" s="6219"/>
      <c r="BD287" s="6222">
        <f t="shared" si="139"/>
        <v>0</v>
      </c>
      <c r="BE287" s="6220" t="str">
        <f t="shared" si="135"/>
        <v/>
      </c>
      <c r="BF287" s="4" t="s">
        <v>1</v>
      </c>
      <c r="BG287" s="6196">
        <f t="shared" si="136"/>
        <v>0</v>
      </c>
      <c r="BH287" s="6197">
        <f t="shared" si="137"/>
        <v>0</v>
      </c>
      <c r="BI287"/>
      <c r="BJ287" s="1"/>
      <c r="BK287" s="1"/>
      <c r="BL287" s="1"/>
      <c r="BM287" s="1"/>
      <c r="BN287" s="1"/>
      <c r="BO287" s="1"/>
      <c r="BP287" s="1"/>
      <c r="BQ287" s="1"/>
      <c r="BR287"/>
      <c r="BS287"/>
      <c r="BT287"/>
      <c r="BU287"/>
      <c r="BV287"/>
      <c r="BW287"/>
      <c r="BX287" s="20" t="str">
        <f t="shared" si="118"/>
        <v>►</v>
      </c>
      <c r="BY287"/>
      <c r="BZ287"/>
      <c r="CA287"/>
      <c r="CB287"/>
      <c r="CC287"/>
      <c r="CE287"/>
      <c r="CF287"/>
      <c r="CG287"/>
      <c r="CH287"/>
      <c r="CI287"/>
      <c r="CJ287"/>
      <c r="CK287"/>
      <c r="CL287" s="4"/>
      <c r="CM287"/>
      <c r="CN287"/>
      <c r="CO287"/>
      <c r="CP287"/>
      <c r="CQ287"/>
      <c r="CR287"/>
      <c r="CS287"/>
      <c r="CT287" s="4"/>
      <c r="CU287"/>
      <c r="CV287"/>
      <c r="CW287"/>
      <c r="CX287"/>
      <c r="CY287"/>
      <c r="CZ287"/>
      <c r="DA287"/>
      <c r="DB287" s="4"/>
      <c r="DC287" s="5">
        <v>1</v>
      </c>
      <c r="DD287" s="1"/>
      <c r="DE287" s="1"/>
    </row>
    <row r="288" spans="1:109" s="2" customFormat="1" ht="21" customHeight="1">
      <c r="A288" s="5641" t="s">
        <v>1</v>
      </c>
      <c r="B288" s="5662" t="str">
        <f t="shared" si="117"/>
        <v>►</v>
      </c>
      <c r="C288" s="5825" cm="1">
        <f t="array" ref="C288">SUMPRODUCT(LEN(D288:J288))</f>
        <v>0</v>
      </c>
      <c r="D288" s="5275"/>
      <c r="E288" s="1361"/>
      <c r="F288" s="1361"/>
      <c r="G288" s="1361"/>
      <c r="H288" s="1361"/>
      <c r="I288" s="1361"/>
      <c r="J288" s="5276"/>
      <c r="K288" s="106" t="s">
        <v>1</v>
      </c>
      <c r="L288" s="1021" t="s">
        <v>26</v>
      </c>
      <c r="M288" s="6787"/>
      <c r="N288" s="6787"/>
      <c r="O288" s="6787"/>
      <c r="P288" s="6788"/>
      <c r="Q288" s="6789"/>
      <c r="R288" s="6790"/>
      <c r="S288" s="6786"/>
      <c r="T288" s="6791"/>
      <c r="U288" s="6844"/>
      <c r="V288" s="6791"/>
      <c r="W288" s="8487"/>
      <c r="X288" s="6871"/>
      <c r="Y288" s="6793"/>
      <c r="Z288" s="6794"/>
      <c r="AA288" s="6795"/>
      <c r="AB288" s="6796"/>
      <c r="AC288" s="6797"/>
      <c r="AD288" s="6798"/>
      <c r="AE288" s="4" t="s">
        <v>1</v>
      </c>
      <c r="AF288" s="6202" t="str">
        <f t="shared" si="119"/>
        <v>►</v>
      </c>
      <c r="AG288" s="6234" t="str">
        <f t="shared" si="120"/>
        <v/>
      </c>
      <c r="AH288" s="6732" t="str">
        <f t="shared" si="121"/>
        <v/>
      </c>
      <c r="AI288" s="6234" t="str">
        <f t="shared" si="122"/>
        <v/>
      </c>
      <c r="AJ288" s="6732" t="str">
        <f t="shared" si="123"/>
        <v/>
      </c>
      <c r="AK288" s="6732">
        <f t="shared" si="124"/>
        <v>0</v>
      </c>
      <c r="AL288" s="6230" t="str" cm="1">
        <f t="array" ref="AL288">IF(AF288&lt;&gt;"A","",IFERROR((IFERROR(_xlfn.XLOOKUP(TRIM(SUBSTITUTE(U288,CHAR(160)," ")),$BJ$15:$BJ$62,$BM$15:$BM$62),IFERROR(_xlfn.XLOOKUP(TRIM(SUBSTITUTE(U288,CHAR(160)," ")),$BK$15:$BK$62,$BM$15:$BM$62),_xlfn.XLOOKUP(TRIM(SUBSTITUTE(U288,CHAR(160)," ")),$BL$15:$BL$62,$BM$15:$BM$62))))*T288*IF(ISBLANK(Q288),1,Q288)+IFERROR(_xlfn.XLOOKUP("RECHERCHEX",TRIM(L288:AD288),L288:AD288),0),0))</f>
        <v/>
      </c>
      <c r="AM288" s="6229">
        <f t="shared" si="125"/>
        <v>0</v>
      </c>
      <c r="AN288" s="6857" t="str">
        <f t="shared" si="140"/>
        <v/>
      </c>
      <c r="AO288" s="392">
        <f t="shared" si="126"/>
        <v>0</v>
      </c>
      <c r="AP288" s="392">
        <f t="shared" si="127"/>
        <v>0</v>
      </c>
      <c r="AQ288" s="6190">
        <f t="shared" si="128"/>
        <v>0</v>
      </c>
      <c r="AR288" s="6858" t="str">
        <f t="shared" si="129"/>
        <v/>
      </c>
      <c r="AS288" s="6217"/>
      <c r="AT288" s="6217"/>
      <c r="AU288" s="6271">
        <f t="shared" si="130"/>
        <v>0</v>
      </c>
      <c r="AV288" s="6242">
        <f t="shared" si="131"/>
        <v>0</v>
      </c>
      <c r="AW288" s="6188" cm="1">
        <f t="array" ref="AW288">IF(AK288&lt;&gt;1,0,IF(OR(AU288="",N(AU288)&lt;=0.000000001),"",IF(OR(AO288="",N(AO288)&lt;=0.000000001),0,IF(ISNUMBER(AU288),IFERROR(_xlfn.LET(_xlpm.ai_test,TRIM(AJ288),_xlpm.r,IFERROR(_xlfn.XLOOKUP(_xlpm.ai_test,$BJ$15:$BJ$62,ROW($BJ$15:$BJ$62),0,1),IFERROR(_xlfn.XLOOKUP(_xlpm.ai_test,$BK$15:$BK$62,ROW($BK$15:$BK$62),0,1),_xlfn.XLOOKUP(_xlpm.ai_test,$BL$15:$BL$62,ROW($BL$15:$BL$62),0,1))),_xlpm.p,_xlpm.r-MIN(ROW($BJ$15:$BJ$62))+1,_xlpm.f,INDEX($BM$15:$BM$62,_xlpm.p),_xlpm.u,INDEX($BN$15:$BN$62,_xlpm.p),_xlpm.s,INDEX($BP$15:$BP$62,_xlpm.p),_xlpm.q,N(AU288)/_xlpm.f,IF(_xlpm.q&gt;=_xlpm.s,ROUND(_xlpm.q,1)&amp;" "&amp;_xlpm.ai_test&amp;" = "&amp;ROUND(_xlpm.q*_xlpm.f,1)&amp;" "&amp;_xlpm.u,ROUND(_xlpm.q,1)&amp;" "&amp;_xlpm.ai_test)),""),""))))</f>
        <v>0</v>
      </c>
      <c r="AX288" s="6218"/>
      <c r="AY288" s="6271">
        <f t="shared" si="132"/>
        <v>0</v>
      </c>
      <c r="AZ288" s="6242" t="str">
        <f t="shared" si="133"/>
        <v/>
      </c>
      <c r="BA288" s="6194">
        <f t="shared" si="138"/>
        <v>0</v>
      </c>
      <c r="BB288" s="6192" t="str">
        <f t="shared" si="134"/>
        <v/>
      </c>
      <c r="BC288" s="6219"/>
      <c r="BD288" s="6221">
        <f t="shared" si="139"/>
        <v>0</v>
      </c>
      <c r="BE288" s="6220" t="str">
        <f t="shared" si="135"/>
        <v/>
      </c>
      <c r="BF288" s="4" t="s">
        <v>1</v>
      </c>
      <c r="BG288" s="6196">
        <f t="shared" si="136"/>
        <v>0</v>
      </c>
      <c r="BH288" s="6197">
        <f t="shared" si="137"/>
        <v>0</v>
      </c>
      <c r="BI288"/>
      <c r="BJ288" s="1"/>
      <c r="BK288" s="1"/>
      <c r="BL288" s="1"/>
      <c r="BM288" s="1"/>
      <c r="BN288" s="1"/>
      <c r="BO288" s="1"/>
      <c r="BP288" s="1"/>
      <c r="BQ288" s="1"/>
      <c r="BR288"/>
      <c r="BS288"/>
      <c r="BT288"/>
      <c r="BU288"/>
      <c r="BV288"/>
      <c r="BW288"/>
      <c r="BX288" s="20" t="str">
        <f t="shared" si="118"/>
        <v>►</v>
      </c>
      <c r="BY288"/>
      <c r="BZ288"/>
      <c r="CA288"/>
      <c r="CB288"/>
      <c r="CC288"/>
      <c r="CE288"/>
      <c r="CF288"/>
      <c r="CG288"/>
      <c r="CH288"/>
      <c r="CI288"/>
      <c r="CJ288"/>
      <c r="CK288"/>
      <c r="CL288" s="4"/>
      <c r="CM288"/>
      <c r="CN288"/>
      <c r="CO288"/>
      <c r="CP288"/>
      <c r="CQ288"/>
      <c r="CR288"/>
      <c r="CS288"/>
      <c r="CT288" s="4"/>
      <c r="CU288"/>
      <c r="CV288"/>
      <c r="CW288"/>
      <c r="CX288"/>
      <c r="CY288"/>
      <c r="CZ288"/>
      <c r="DA288"/>
      <c r="DB288" s="4"/>
      <c r="DC288" s="5">
        <v>1</v>
      </c>
      <c r="DD288" s="1"/>
      <c r="DE288" s="1"/>
    </row>
    <row r="289" spans="1:109" s="2" customFormat="1" ht="21" customHeight="1">
      <c r="A289" s="5641" t="s">
        <v>1</v>
      </c>
      <c r="B289" s="5662" t="str">
        <f t="shared" si="117"/>
        <v>►</v>
      </c>
      <c r="C289" s="5825" cm="1">
        <f t="array" ref="C289">SUMPRODUCT(LEN(D289:J289))</f>
        <v>0</v>
      </c>
      <c r="D289" s="5275"/>
      <c r="E289" s="1361"/>
      <c r="F289" s="1361"/>
      <c r="G289" s="1361"/>
      <c r="H289" s="1361"/>
      <c r="I289" s="1361"/>
      <c r="J289" s="5276"/>
      <c r="K289" s="106"/>
      <c r="L289" s="1021" t="s">
        <v>26</v>
      </c>
      <c r="M289" s="6787"/>
      <c r="N289" s="6787"/>
      <c r="O289" s="6787"/>
      <c r="P289" s="6788"/>
      <c r="Q289" s="6789"/>
      <c r="R289" s="6790"/>
      <c r="S289" s="6786"/>
      <c r="T289" s="6791"/>
      <c r="U289" s="6844"/>
      <c r="V289" s="6791"/>
      <c r="W289" s="8487"/>
      <c r="X289" s="6871"/>
      <c r="Y289" s="6793"/>
      <c r="Z289" s="6794"/>
      <c r="AA289" s="6795"/>
      <c r="AB289" s="6796"/>
      <c r="AC289" s="6797"/>
      <c r="AD289" s="6798"/>
      <c r="AE289" s="4" t="s">
        <v>1</v>
      </c>
      <c r="AF289" s="6202" t="str">
        <f t="shared" si="119"/>
        <v>►</v>
      </c>
      <c r="AG289" s="6234" t="str">
        <f t="shared" si="120"/>
        <v/>
      </c>
      <c r="AH289" s="6732" t="str">
        <f t="shared" si="121"/>
        <v/>
      </c>
      <c r="AI289" s="6234" t="str">
        <f t="shared" si="122"/>
        <v/>
      </c>
      <c r="AJ289" s="6732" t="str">
        <f t="shared" si="123"/>
        <v/>
      </c>
      <c r="AK289" s="6732">
        <f t="shared" si="124"/>
        <v>0</v>
      </c>
      <c r="AL289" s="6230" t="str" cm="1">
        <f t="array" ref="AL289">IF(AF289&lt;&gt;"A","",IFERROR((IFERROR(_xlfn.XLOOKUP(TRIM(SUBSTITUTE(U289,CHAR(160)," ")),$BJ$15:$BJ$62,$BM$15:$BM$62),IFERROR(_xlfn.XLOOKUP(TRIM(SUBSTITUTE(U289,CHAR(160)," ")),$BK$15:$BK$62,$BM$15:$BM$62),_xlfn.XLOOKUP(TRIM(SUBSTITUTE(U289,CHAR(160)," ")),$BL$15:$BL$62,$BM$15:$BM$62))))*T289*IF(ISBLANK(Q289),1,Q289)+IFERROR(_xlfn.XLOOKUP("RECHERCHEX",TRIM(L289:AD289),L289:AD289),0),0))</f>
        <v/>
      </c>
      <c r="AM289" s="6229">
        <f t="shared" si="125"/>
        <v>0</v>
      </c>
      <c r="AN289" s="6857" t="str">
        <f t="shared" si="140"/>
        <v/>
      </c>
      <c r="AO289" s="392">
        <f t="shared" si="126"/>
        <v>0</v>
      </c>
      <c r="AP289" s="392">
        <f t="shared" si="127"/>
        <v>0</v>
      </c>
      <c r="AQ289" s="6191">
        <f t="shared" si="128"/>
        <v>0</v>
      </c>
      <c r="AR289" s="6859" t="str">
        <f t="shared" si="129"/>
        <v/>
      </c>
      <c r="AS289" s="6217"/>
      <c r="AT289" s="6217"/>
      <c r="AU289" s="6272">
        <f t="shared" si="130"/>
        <v>0</v>
      </c>
      <c r="AV289" s="6240">
        <f t="shared" si="131"/>
        <v>0</v>
      </c>
      <c r="AW289" s="6189" cm="1">
        <f t="array" ref="AW289">IF(AK289&lt;&gt;1,0,IF(OR(AU289="",N(AU289)&lt;=0.000000001),"",IF(OR(AO289="",N(AO289)&lt;=0.000000001),0,IF(ISNUMBER(AU289),IFERROR(_xlfn.LET(_xlpm.ai_test,TRIM(AJ289),_xlpm.r,IFERROR(_xlfn.XLOOKUP(_xlpm.ai_test,$BJ$15:$BJ$62,ROW($BJ$15:$BJ$62),0,1),IFERROR(_xlfn.XLOOKUP(_xlpm.ai_test,$BK$15:$BK$62,ROW($BK$15:$BK$62),0,1),_xlfn.XLOOKUP(_xlpm.ai_test,$BL$15:$BL$62,ROW($BL$15:$BL$62),0,1))),_xlpm.p,_xlpm.r-MIN(ROW($BJ$15:$BJ$62))+1,_xlpm.f,INDEX($BM$15:$BM$62,_xlpm.p),_xlpm.u,INDEX($BN$15:$BN$62,_xlpm.p),_xlpm.s,INDEX($BP$15:$BP$62,_xlpm.p),_xlpm.q,N(AU289)/_xlpm.f,IF(_xlpm.q&gt;=_xlpm.s,ROUND(_xlpm.q,1)&amp;" "&amp;_xlpm.ai_test&amp;" = "&amp;ROUND(_xlpm.q*_xlpm.f,1)&amp;" "&amp;_xlpm.u,ROUND(_xlpm.q,1)&amp;" "&amp;_xlpm.ai_test)),""),""))))</f>
        <v>0</v>
      </c>
      <c r="AX289" s="6218"/>
      <c r="AY289" s="6272">
        <f t="shared" si="132"/>
        <v>0</v>
      </c>
      <c r="AZ289" s="6240" t="str">
        <f t="shared" si="133"/>
        <v/>
      </c>
      <c r="BA289" s="6195">
        <f t="shared" si="138"/>
        <v>0</v>
      </c>
      <c r="BB289" s="6193" t="str">
        <f t="shared" si="134"/>
        <v/>
      </c>
      <c r="BC289" s="6219"/>
      <c r="BD289" s="6222">
        <f t="shared" si="139"/>
        <v>0</v>
      </c>
      <c r="BE289" s="6220" t="str">
        <f t="shared" si="135"/>
        <v/>
      </c>
      <c r="BF289" s="4" t="s">
        <v>1</v>
      </c>
      <c r="BG289" s="6196">
        <f t="shared" si="136"/>
        <v>0</v>
      </c>
      <c r="BH289" s="6197">
        <f t="shared" si="137"/>
        <v>0</v>
      </c>
      <c r="BI289"/>
      <c r="BJ289" s="1"/>
      <c r="BK289" s="1"/>
      <c r="BL289" s="1"/>
      <c r="BM289" s="1"/>
      <c r="BN289" s="1"/>
      <c r="BO289" s="1"/>
      <c r="BP289" s="1"/>
      <c r="BQ289" s="1"/>
      <c r="BR289"/>
      <c r="BS289"/>
      <c r="BT289"/>
      <c r="BU289"/>
      <c r="BV289"/>
      <c r="BW289"/>
      <c r="BX289" s="20" t="str">
        <f t="shared" si="118"/>
        <v>►</v>
      </c>
      <c r="BY289"/>
      <c r="BZ289"/>
      <c r="CA289"/>
      <c r="CB289"/>
      <c r="CC289"/>
      <c r="CE289"/>
      <c r="CF289"/>
      <c r="CG289"/>
      <c r="CH289"/>
      <c r="CI289"/>
      <c r="CJ289"/>
      <c r="CK289"/>
      <c r="CL289" s="4"/>
      <c r="CM289"/>
      <c r="CN289"/>
      <c r="CO289"/>
      <c r="CP289"/>
      <c r="CQ289"/>
      <c r="CR289"/>
      <c r="CS289"/>
      <c r="CT289" s="4"/>
      <c r="CU289"/>
      <c r="CV289"/>
      <c r="CW289"/>
      <c r="CX289"/>
      <c r="CY289"/>
      <c r="CZ289"/>
      <c r="DA289"/>
      <c r="DB289" s="4"/>
      <c r="DC289" s="5">
        <v>1</v>
      </c>
      <c r="DD289" s="1"/>
      <c r="DE289" s="1"/>
    </row>
    <row r="290" spans="1:109" s="2" customFormat="1" ht="21" customHeight="1">
      <c r="A290" s="5641" t="s">
        <v>1</v>
      </c>
      <c r="B290" s="5662" t="str">
        <f t="shared" si="117"/>
        <v>►</v>
      </c>
      <c r="C290" s="5825" cm="1">
        <f t="array" ref="C290">SUMPRODUCT(LEN(D290:J290))</f>
        <v>0</v>
      </c>
      <c r="D290" s="5275"/>
      <c r="E290" s="1361"/>
      <c r="F290" s="1361"/>
      <c r="G290" s="1361"/>
      <c r="H290" s="1361"/>
      <c r="I290" s="1361"/>
      <c r="J290" s="5276"/>
      <c r="K290" s="106"/>
      <c r="L290" s="1021" t="s">
        <v>26</v>
      </c>
      <c r="M290" s="6787"/>
      <c r="N290" s="6787"/>
      <c r="O290" s="6787"/>
      <c r="P290" s="6788"/>
      <c r="Q290" s="6789"/>
      <c r="R290" s="6790"/>
      <c r="S290" s="6786"/>
      <c r="T290" s="6791"/>
      <c r="U290" s="6844"/>
      <c r="V290" s="6791"/>
      <c r="W290" s="8487"/>
      <c r="X290" s="6871"/>
      <c r="Y290" s="6793"/>
      <c r="Z290" s="6794"/>
      <c r="AA290" s="6795"/>
      <c r="AB290" s="6796"/>
      <c r="AC290" s="6797"/>
      <c r="AD290" s="6798"/>
      <c r="AE290" s="4" t="s">
        <v>1</v>
      </c>
      <c r="AF290" s="6202" t="str">
        <f t="shared" si="119"/>
        <v>►</v>
      </c>
      <c r="AG290" s="6234" t="str">
        <f t="shared" si="120"/>
        <v/>
      </c>
      <c r="AH290" s="6732" t="str">
        <f t="shared" si="121"/>
        <v/>
      </c>
      <c r="AI290" s="6234" t="str">
        <f t="shared" si="122"/>
        <v/>
      </c>
      <c r="AJ290" s="6732" t="str">
        <f t="shared" si="123"/>
        <v/>
      </c>
      <c r="AK290" s="6732">
        <f t="shared" si="124"/>
        <v>0</v>
      </c>
      <c r="AL290" s="6230" t="str" cm="1">
        <f t="array" ref="AL290">IF(AF290&lt;&gt;"A","",IFERROR((IFERROR(_xlfn.XLOOKUP(TRIM(SUBSTITUTE(U290,CHAR(160)," ")),$BJ$15:$BJ$62,$BM$15:$BM$62),IFERROR(_xlfn.XLOOKUP(TRIM(SUBSTITUTE(U290,CHAR(160)," ")),$BK$15:$BK$62,$BM$15:$BM$62),_xlfn.XLOOKUP(TRIM(SUBSTITUTE(U290,CHAR(160)," ")),$BL$15:$BL$62,$BM$15:$BM$62))))*T290*IF(ISBLANK(Q290),1,Q290)+IFERROR(_xlfn.XLOOKUP("RECHERCHEX",TRIM(L290:AD290),L290:AD290),0),0))</f>
        <v/>
      </c>
      <c r="AM290" s="6229">
        <f t="shared" si="125"/>
        <v>0</v>
      </c>
      <c r="AN290" s="6857" t="str">
        <f t="shared" si="140"/>
        <v/>
      </c>
      <c r="AO290" s="392">
        <f t="shared" si="126"/>
        <v>0</v>
      </c>
      <c r="AP290" s="392">
        <f t="shared" si="127"/>
        <v>0</v>
      </c>
      <c r="AQ290" s="6190">
        <f t="shared" si="128"/>
        <v>0</v>
      </c>
      <c r="AR290" s="6858" t="str">
        <f t="shared" si="129"/>
        <v/>
      </c>
      <c r="AS290" s="6217"/>
      <c r="AT290" s="6217"/>
      <c r="AU290" s="6271">
        <f t="shared" si="130"/>
        <v>0</v>
      </c>
      <c r="AV290" s="6242">
        <f t="shared" si="131"/>
        <v>0</v>
      </c>
      <c r="AW290" s="6188" cm="1">
        <f t="array" ref="AW290">IF(AK290&lt;&gt;1,0,IF(OR(AU290="",N(AU290)&lt;=0.000000001),"",IF(OR(AO290="",N(AO290)&lt;=0.000000001),0,IF(ISNUMBER(AU290),IFERROR(_xlfn.LET(_xlpm.ai_test,TRIM(AJ290),_xlpm.r,IFERROR(_xlfn.XLOOKUP(_xlpm.ai_test,$BJ$15:$BJ$62,ROW($BJ$15:$BJ$62),0,1),IFERROR(_xlfn.XLOOKUP(_xlpm.ai_test,$BK$15:$BK$62,ROW($BK$15:$BK$62),0,1),_xlfn.XLOOKUP(_xlpm.ai_test,$BL$15:$BL$62,ROW($BL$15:$BL$62),0,1))),_xlpm.p,_xlpm.r-MIN(ROW($BJ$15:$BJ$62))+1,_xlpm.f,INDEX($BM$15:$BM$62,_xlpm.p),_xlpm.u,INDEX($BN$15:$BN$62,_xlpm.p),_xlpm.s,INDEX($BP$15:$BP$62,_xlpm.p),_xlpm.q,N(AU290)/_xlpm.f,IF(_xlpm.q&gt;=_xlpm.s,ROUND(_xlpm.q,1)&amp;" "&amp;_xlpm.ai_test&amp;" = "&amp;ROUND(_xlpm.q*_xlpm.f,1)&amp;" "&amp;_xlpm.u,ROUND(_xlpm.q,1)&amp;" "&amp;_xlpm.ai_test)),""),""))))</f>
        <v>0</v>
      </c>
      <c r="AX290" s="6218"/>
      <c r="AY290" s="6271">
        <f t="shared" si="132"/>
        <v>0</v>
      </c>
      <c r="AZ290" s="6242" t="str">
        <f t="shared" si="133"/>
        <v/>
      </c>
      <c r="BA290" s="6194">
        <f t="shared" si="138"/>
        <v>0</v>
      </c>
      <c r="BB290" s="6192" t="str">
        <f t="shared" si="134"/>
        <v/>
      </c>
      <c r="BC290" s="6219"/>
      <c r="BD290" s="6221">
        <f t="shared" si="139"/>
        <v>0</v>
      </c>
      <c r="BE290" s="6220" t="str">
        <f t="shared" si="135"/>
        <v/>
      </c>
      <c r="BF290" s="4" t="s">
        <v>1</v>
      </c>
      <c r="BG290" s="6196">
        <f t="shared" si="136"/>
        <v>0</v>
      </c>
      <c r="BH290" s="6197">
        <f t="shared" si="137"/>
        <v>0</v>
      </c>
      <c r="BI290"/>
      <c r="BJ290" s="1"/>
      <c r="BK290" s="1"/>
      <c r="BL290" s="1"/>
      <c r="BM290" s="1"/>
      <c r="BN290" s="1"/>
      <c r="BO290" s="1"/>
      <c r="BP290" s="1"/>
      <c r="BQ290" s="1"/>
      <c r="BR290"/>
      <c r="BS290"/>
      <c r="BT290"/>
      <c r="BU290"/>
      <c r="BV290"/>
      <c r="BW290"/>
      <c r="BX290" s="20" t="str">
        <f t="shared" si="118"/>
        <v>►</v>
      </c>
      <c r="BY290"/>
      <c r="BZ290"/>
      <c r="CA290"/>
      <c r="CB290"/>
      <c r="CC290"/>
      <c r="CE290"/>
      <c r="CF290"/>
      <c r="CG290"/>
      <c r="CH290"/>
      <c r="CI290"/>
      <c r="CJ290"/>
      <c r="CK290"/>
      <c r="CL290" s="4"/>
      <c r="CM290"/>
      <c r="CN290"/>
      <c r="CO290"/>
      <c r="CP290"/>
      <c r="CQ290"/>
      <c r="CR290"/>
      <c r="CS290"/>
      <c r="CT290" s="4"/>
      <c r="CU290"/>
      <c r="CV290"/>
      <c r="CW290"/>
      <c r="CX290"/>
      <c r="CY290"/>
      <c r="CZ290"/>
      <c r="DA290"/>
      <c r="DB290" s="4"/>
      <c r="DC290" s="5">
        <v>1</v>
      </c>
      <c r="DD290" s="1"/>
      <c r="DE290" s="1"/>
    </row>
    <row r="291" spans="1:109" s="2" customFormat="1" ht="21" customHeight="1">
      <c r="A291" s="5641" t="s">
        <v>1</v>
      </c>
      <c r="B291" s="5662" t="str">
        <f t="shared" si="117"/>
        <v>►</v>
      </c>
      <c r="C291" s="5825" cm="1">
        <f t="array" ref="C291">SUMPRODUCT(LEN(D291:J291))</f>
        <v>0</v>
      </c>
      <c r="D291" s="5275"/>
      <c r="E291" s="1361"/>
      <c r="F291" s="1361"/>
      <c r="G291" s="1361"/>
      <c r="H291" s="1361"/>
      <c r="I291" s="1361"/>
      <c r="J291" s="5276"/>
      <c r="K291" s="106"/>
      <c r="L291" s="1021" t="s">
        <v>26</v>
      </c>
      <c r="M291" s="6787"/>
      <c r="N291" s="6787"/>
      <c r="O291" s="6787"/>
      <c r="P291" s="6788"/>
      <c r="Q291" s="6789"/>
      <c r="R291" s="6790"/>
      <c r="S291" s="6786"/>
      <c r="T291" s="6791"/>
      <c r="U291" s="6844"/>
      <c r="V291" s="6791"/>
      <c r="W291" s="8487"/>
      <c r="X291" s="6871"/>
      <c r="Y291" s="6793"/>
      <c r="Z291" s="6794"/>
      <c r="AA291" s="6795"/>
      <c r="AB291" s="6796"/>
      <c r="AC291" s="6797"/>
      <c r="AD291" s="6798"/>
      <c r="AE291" s="4" t="s">
        <v>1</v>
      </c>
      <c r="AF291" s="6202" t="str">
        <f t="shared" si="119"/>
        <v>►</v>
      </c>
      <c r="AG291" s="6234" t="str">
        <f t="shared" si="120"/>
        <v/>
      </c>
      <c r="AH291" s="6732" t="str">
        <f t="shared" si="121"/>
        <v/>
      </c>
      <c r="AI291" s="6234" t="str">
        <f t="shared" si="122"/>
        <v/>
      </c>
      <c r="AJ291" s="6732" t="str">
        <f t="shared" si="123"/>
        <v/>
      </c>
      <c r="AK291" s="6732">
        <f t="shared" si="124"/>
        <v>0</v>
      </c>
      <c r="AL291" s="6230" t="str" cm="1">
        <f t="array" ref="AL291">IF(AF291&lt;&gt;"A","",IFERROR((IFERROR(_xlfn.XLOOKUP(TRIM(SUBSTITUTE(U291,CHAR(160)," ")),$BJ$15:$BJ$62,$BM$15:$BM$62),IFERROR(_xlfn.XLOOKUP(TRIM(SUBSTITUTE(U291,CHAR(160)," ")),$BK$15:$BK$62,$BM$15:$BM$62),_xlfn.XLOOKUP(TRIM(SUBSTITUTE(U291,CHAR(160)," ")),$BL$15:$BL$62,$BM$15:$BM$62))))*T291*IF(ISBLANK(Q291),1,Q291)+IFERROR(_xlfn.XLOOKUP("RECHERCHEX",TRIM(L291:AD291),L291:AD291),0),0))</f>
        <v/>
      </c>
      <c r="AM291" s="6229">
        <f t="shared" si="125"/>
        <v>0</v>
      </c>
      <c r="AN291" s="6857" t="str">
        <f t="shared" si="140"/>
        <v/>
      </c>
      <c r="AO291" s="392">
        <f t="shared" si="126"/>
        <v>0</v>
      </c>
      <c r="AP291" s="392">
        <f t="shared" si="127"/>
        <v>0</v>
      </c>
      <c r="AQ291" s="6191">
        <f t="shared" si="128"/>
        <v>0</v>
      </c>
      <c r="AR291" s="6859" t="str">
        <f t="shared" si="129"/>
        <v/>
      </c>
      <c r="AS291" s="6217"/>
      <c r="AT291" s="6217"/>
      <c r="AU291" s="6272">
        <f t="shared" si="130"/>
        <v>0</v>
      </c>
      <c r="AV291" s="6240">
        <f t="shared" si="131"/>
        <v>0</v>
      </c>
      <c r="AW291" s="6189" cm="1">
        <f t="array" ref="AW291">IF(AK291&lt;&gt;1,0,IF(OR(AU291="",N(AU291)&lt;=0.000000001),"",IF(OR(AO291="",N(AO291)&lt;=0.000000001),0,IF(ISNUMBER(AU291),IFERROR(_xlfn.LET(_xlpm.ai_test,TRIM(AJ291),_xlpm.r,IFERROR(_xlfn.XLOOKUP(_xlpm.ai_test,$BJ$15:$BJ$62,ROW($BJ$15:$BJ$62),0,1),IFERROR(_xlfn.XLOOKUP(_xlpm.ai_test,$BK$15:$BK$62,ROW($BK$15:$BK$62),0,1),_xlfn.XLOOKUP(_xlpm.ai_test,$BL$15:$BL$62,ROW($BL$15:$BL$62),0,1))),_xlpm.p,_xlpm.r-MIN(ROW($BJ$15:$BJ$62))+1,_xlpm.f,INDEX($BM$15:$BM$62,_xlpm.p),_xlpm.u,INDEX($BN$15:$BN$62,_xlpm.p),_xlpm.s,INDEX($BP$15:$BP$62,_xlpm.p),_xlpm.q,N(AU291)/_xlpm.f,IF(_xlpm.q&gt;=_xlpm.s,ROUND(_xlpm.q,1)&amp;" "&amp;_xlpm.ai_test&amp;" = "&amp;ROUND(_xlpm.q*_xlpm.f,1)&amp;" "&amp;_xlpm.u,ROUND(_xlpm.q,1)&amp;" "&amp;_xlpm.ai_test)),""),""))))</f>
        <v>0</v>
      </c>
      <c r="AX291" s="6218"/>
      <c r="AY291" s="6272">
        <f t="shared" si="132"/>
        <v>0</v>
      </c>
      <c r="AZ291" s="6240" t="str">
        <f t="shared" si="133"/>
        <v/>
      </c>
      <c r="BA291" s="6195">
        <f t="shared" si="138"/>
        <v>0</v>
      </c>
      <c r="BB291" s="6193" t="str">
        <f t="shared" si="134"/>
        <v/>
      </c>
      <c r="BC291" s="6219"/>
      <c r="BD291" s="6222">
        <f t="shared" si="139"/>
        <v>0</v>
      </c>
      <c r="BE291" s="6220" t="str">
        <f t="shared" si="135"/>
        <v/>
      </c>
      <c r="BF291" s="4" t="s">
        <v>1</v>
      </c>
      <c r="BG291" s="6196">
        <f t="shared" si="136"/>
        <v>0</v>
      </c>
      <c r="BH291" s="6197">
        <f t="shared" si="137"/>
        <v>0</v>
      </c>
      <c r="BI291"/>
      <c r="BJ291" s="1"/>
      <c r="BK291" s="1"/>
      <c r="BL291" s="1"/>
      <c r="BM291" s="1"/>
      <c r="BN291" s="1"/>
      <c r="BO291" s="1"/>
      <c r="BP291" s="1"/>
      <c r="BQ291" s="1"/>
      <c r="BR291"/>
      <c r="BS291"/>
      <c r="BT291"/>
      <c r="BU291"/>
      <c r="BV291"/>
      <c r="BW291"/>
      <c r="BX291" s="20" t="str">
        <f t="shared" si="118"/>
        <v>►</v>
      </c>
      <c r="BY291"/>
      <c r="BZ291"/>
      <c r="CA291"/>
      <c r="CB291"/>
      <c r="CC291"/>
      <c r="CE291"/>
      <c r="CF291"/>
      <c r="CG291"/>
      <c r="CH291"/>
      <c r="CI291"/>
      <c r="CJ291"/>
      <c r="CK291"/>
      <c r="CM291"/>
      <c r="CN291"/>
      <c r="CO291"/>
      <c r="CP291"/>
      <c r="CQ291"/>
      <c r="CR291"/>
      <c r="CS291"/>
      <c r="CU291"/>
      <c r="CV291"/>
      <c r="CW291"/>
      <c r="CX291"/>
      <c r="CY291"/>
      <c r="CZ291"/>
      <c r="DA291"/>
      <c r="DC291" s="5">
        <v>1</v>
      </c>
      <c r="DD291" s="1"/>
      <c r="DE291" s="1"/>
    </row>
    <row r="292" spans="1:109" s="2" customFormat="1" ht="21" customHeight="1">
      <c r="A292" s="5641" t="s">
        <v>1</v>
      </c>
      <c r="B292" s="5662" t="str">
        <f t="shared" si="117"/>
        <v>►</v>
      </c>
      <c r="C292" s="5825" cm="1">
        <f t="array" ref="C292">SUMPRODUCT(LEN(D292:J292))</f>
        <v>0</v>
      </c>
      <c r="D292" s="5275"/>
      <c r="E292" s="1361"/>
      <c r="F292" s="1361"/>
      <c r="G292" s="1361"/>
      <c r="H292" s="1361"/>
      <c r="I292" s="1361"/>
      <c r="J292" s="5276"/>
      <c r="K292" s="106"/>
      <c r="L292" s="1021" t="s">
        <v>26</v>
      </c>
      <c r="M292" s="6787"/>
      <c r="N292" s="6787"/>
      <c r="O292" s="6787"/>
      <c r="P292" s="6788"/>
      <c r="Q292" s="6789"/>
      <c r="R292" s="6790"/>
      <c r="S292" s="6786"/>
      <c r="T292" s="6791"/>
      <c r="U292" s="6844"/>
      <c r="V292" s="6791"/>
      <c r="W292" s="8487"/>
      <c r="X292" s="6871"/>
      <c r="Y292" s="6793"/>
      <c r="Z292" s="6794"/>
      <c r="AA292" s="6795"/>
      <c r="AB292" s="6796"/>
      <c r="AC292" s="6797"/>
      <c r="AD292" s="6798"/>
      <c r="AE292" s="4" t="s">
        <v>1</v>
      </c>
      <c r="AF292" s="6202" t="str">
        <f t="shared" si="119"/>
        <v>►</v>
      </c>
      <c r="AG292" s="6234" t="str">
        <f t="shared" si="120"/>
        <v/>
      </c>
      <c r="AH292" s="6732" t="str">
        <f t="shared" si="121"/>
        <v/>
      </c>
      <c r="AI292" s="6234" t="str">
        <f t="shared" si="122"/>
        <v/>
      </c>
      <c r="AJ292" s="6732" t="str">
        <f t="shared" si="123"/>
        <v/>
      </c>
      <c r="AK292" s="6732">
        <f t="shared" si="124"/>
        <v>0</v>
      </c>
      <c r="AL292" s="6230" t="str" cm="1">
        <f t="array" ref="AL292">IF(AF292&lt;&gt;"A","",IFERROR((IFERROR(_xlfn.XLOOKUP(TRIM(SUBSTITUTE(U292,CHAR(160)," ")),$BJ$15:$BJ$62,$BM$15:$BM$62),IFERROR(_xlfn.XLOOKUP(TRIM(SUBSTITUTE(U292,CHAR(160)," ")),$BK$15:$BK$62,$BM$15:$BM$62),_xlfn.XLOOKUP(TRIM(SUBSTITUTE(U292,CHAR(160)," ")),$BL$15:$BL$62,$BM$15:$BM$62))))*T292*IF(ISBLANK(Q292),1,Q292)+IFERROR(_xlfn.XLOOKUP("RECHERCHEX",TRIM(L292:AD292),L292:AD292),0),0))</f>
        <v/>
      </c>
      <c r="AM292" s="6229">
        <f t="shared" si="125"/>
        <v>0</v>
      </c>
      <c r="AN292" s="6857" t="str">
        <f t="shared" si="140"/>
        <v/>
      </c>
      <c r="AO292" s="392">
        <f t="shared" si="126"/>
        <v>0</v>
      </c>
      <c r="AP292" s="392">
        <f t="shared" si="127"/>
        <v>0</v>
      </c>
      <c r="AQ292" s="6190">
        <f t="shared" si="128"/>
        <v>0</v>
      </c>
      <c r="AR292" s="6858" t="str">
        <f t="shared" si="129"/>
        <v/>
      </c>
      <c r="AS292" s="6217"/>
      <c r="AT292" s="6217"/>
      <c r="AU292" s="6271">
        <f t="shared" si="130"/>
        <v>0</v>
      </c>
      <c r="AV292" s="6242">
        <f t="shared" si="131"/>
        <v>0</v>
      </c>
      <c r="AW292" s="6188" cm="1">
        <f t="array" ref="AW292">IF(AK292&lt;&gt;1,0,IF(OR(AU292="",N(AU292)&lt;=0.000000001),"",IF(OR(AO292="",N(AO292)&lt;=0.000000001),0,IF(ISNUMBER(AU292),IFERROR(_xlfn.LET(_xlpm.ai_test,TRIM(AJ292),_xlpm.r,IFERROR(_xlfn.XLOOKUP(_xlpm.ai_test,$BJ$15:$BJ$62,ROW($BJ$15:$BJ$62),0,1),IFERROR(_xlfn.XLOOKUP(_xlpm.ai_test,$BK$15:$BK$62,ROW($BK$15:$BK$62),0,1),_xlfn.XLOOKUP(_xlpm.ai_test,$BL$15:$BL$62,ROW($BL$15:$BL$62),0,1))),_xlpm.p,_xlpm.r-MIN(ROW($BJ$15:$BJ$62))+1,_xlpm.f,INDEX($BM$15:$BM$62,_xlpm.p),_xlpm.u,INDEX($BN$15:$BN$62,_xlpm.p),_xlpm.s,INDEX($BP$15:$BP$62,_xlpm.p),_xlpm.q,N(AU292)/_xlpm.f,IF(_xlpm.q&gt;=_xlpm.s,ROUND(_xlpm.q,1)&amp;" "&amp;_xlpm.ai_test&amp;" = "&amp;ROUND(_xlpm.q*_xlpm.f,1)&amp;" "&amp;_xlpm.u,ROUND(_xlpm.q,1)&amp;" "&amp;_xlpm.ai_test)),""),""))))</f>
        <v>0</v>
      </c>
      <c r="AX292" s="6218"/>
      <c r="AY292" s="6271">
        <f t="shared" si="132"/>
        <v>0</v>
      </c>
      <c r="AZ292" s="6242" t="str">
        <f t="shared" si="133"/>
        <v/>
      </c>
      <c r="BA292" s="6194">
        <f t="shared" si="138"/>
        <v>0</v>
      </c>
      <c r="BB292" s="6192" t="str">
        <f t="shared" si="134"/>
        <v/>
      </c>
      <c r="BC292" s="6219"/>
      <c r="BD292" s="6221">
        <f t="shared" si="139"/>
        <v>0</v>
      </c>
      <c r="BE292" s="6220" t="str">
        <f t="shared" si="135"/>
        <v/>
      </c>
      <c r="BF292" s="4" t="s">
        <v>1</v>
      </c>
      <c r="BG292" s="6196">
        <f t="shared" si="136"/>
        <v>0</v>
      </c>
      <c r="BH292" s="6197">
        <f t="shared" si="137"/>
        <v>0</v>
      </c>
      <c r="BI292"/>
      <c r="BJ292" s="1"/>
      <c r="BK292" s="1"/>
      <c r="BL292" s="1"/>
      <c r="BM292" s="1"/>
      <c r="BN292" s="1"/>
      <c r="BO292" s="1"/>
      <c r="BP292" s="1"/>
      <c r="BQ292" s="1"/>
      <c r="BR292"/>
      <c r="BS292"/>
      <c r="BT292"/>
      <c r="BU292"/>
      <c r="BV292"/>
      <c r="BW292"/>
      <c r="BX292" s="20" t="str">
        <f t="shared" si="118"/>
        <v>►</v>
      </c>
      <c r="BY292"/>
      <c r="BZ292"/>
      <c r="CA292"/>
      <c r="CB292"/>
      <c r="CC292"/>
      <c r="CE292"/>
      <c r="CF292"/>
      <c r="CG292"/>
      <c r="CH292"/>
      <c r="CI292"/>
      <c r="CJ292"/>
      <c r="CK292"/>
      <c r="CM292"/>
      <c r="CN292"/>
      <c r="CO292"/>
      <c r="CP292"/>
      <c r="CQ292"/>
      <c r="CR292"/>
      <c r="CS292"/>
      <c r="CU292"/>
      <c r="CV292"/>
      <c r="CW292"/>
      <c r="CX292"/>
      <c r="CY292"/>
      <c r="CZ292"/>
      <c r="DA292"/>
      <c r="DC292" s="5">
        <v>1</v>
      </c>
      <c r="DD292" s="1"/>
      <c r="DE292" s="1"/>
    </row>
    <row r="293" spans="1:109" s="2" customFormat="1" ht="21" customHeight="1">
      <c r="A293" s="5641" t="s">
        <v>1</v>
      </c>
      <c r="B293" s="5662" t="str">
        <f t="shared" si="117"/>
        <v>►</v>
      </c>
      <c r="C293" s="5825" cm="1">
        <f t="array" ref="C293">SUMPRODUCT(LEN(D293:J293))</f>
        <v>0</v>
      </c>
      <c r="D293" s="5275"/>
      <c r="E293" s="1361"/>
      <c r="F293" s="1361"/>
      <c r="G293" s="1361"/>
      <c r="H293" s="1361"/>
      <c r="I293" s="1361"/>
      <c r="J293" s="5276"/>
      <c r="K293" s="106"/>
      <c r="L293" s="1021" t="s">
        <v>26</v>
      </c>
      <c r="M293" s="6787"/>
      <c r="N293" s="6787"/>
      <c r="O293" s="6787"/>
      <c r="P293" s="6788"/>
      <c r="Q293" s="6789"/>
      <c r="R293" s="6790"/>
      <c r="S293" s="6786"/>
      <c r="T293" s="6791"/>
      <c r="U293" s="6844"/>
      <c r="V293" s="6791"/>
      <c r="W293" s="8487"/>
      <c r="X293" s="6871"/>
      <c r="Y293" s="6793"/>
      <c r="Z293" s="6794"/>
      <c r="AA293" s="6795"/>
      <c r="AB293" s="6796"/>
      <c r="AC293" s="6797"/>
      <c r="AD293" s="6798"/>
      <c r="AE293" s="4" t="s">
        <v>1</v>
      </c>
      <c r="AF293" s="6202" t="str">
        <f t="shared" si="119"/>
        <v>►</v>
      </c>
      <c r="AG293" s="6234" t="str">
        <f t="shared" si="120"/>
        <v/>
      </c>
      <c r="AH293" s="6732" t="str">
        <f t="shared" si="121"/>
        <v/>
      </c>
      <c r="AI293" s="6234" t="str">
        <f t="shared" si="122"/>
        <v/>
      </c>
      <c r="AJ293" s="6732" t="str">
        <f t="shared" si="123"/>
        <v/>
      </c>
      <c r="AK293" s="6732">
        <f t="shared" si="124"/>
        <v>0</v>
      </c>
      <c r="AL293" s="6230" t="str" cm="1">
        <f t="array" ref="AL293">IF(AF293&lt;&gt;"A","",IFERROR((IFERROR(_xlfn.XLOOKUP(TRIM(SUBSTITUTE(U293,CHAR(160)," ")),$BJ$15:$BJ$62,$BM$15:$BM$62),IFERROR(_xlfn.XLOOKUP(TRIM(SUBSTITUTE(U293,CHAR(160)," ")),$BK$15:$BK$62,$BM$15:$BM$62),_xlfn.XLOOKUP(TRIM(SUBSTITUTE(U293,CHAR(160)," ")),$BL$15:$BL$62,$BM$15:$BM$62))))*T293*IF(ISBLANK(Q293),1,Q293)+IFERROR(_xlfn.XLOOKUP("RECHERCHEX",TRIM(L293:AD293),L293:AD293),0),0))</f>
        <v/>
      </c>
      <c r="AM293" s="6229">
        <f t="shared" si="125"/>
        <v>0</v>
      </c>
      <c r="AN293" s="6857" t="str">
        <f t="shared" si="140"/>
        <v/>
      </c>
      <c r="AO293" s="392">
        <f t="shared" si="126"/>
        <v>0</v>
      </c>
      <c r="AP293" s="392">
        <f t="shared" si="127"/>
        <v>0</v>
      </c>
      <c r="AQ293" s="6191">
        <f t="shared" si="128"/>
        <v>0</v>
      </c>
      <c r="AR293" s="6859" t="str">
        <f t="shared" si="129"/>
        <v/>
      </c>
      <c r="AS293" s="6217"/>
      <c r="AT293" s="6217"/>
      <c r="AU293" s="6272">
        <f t="shared" si="130"/>
        <v>0</v>
      </c>
      <c r="AV293" s="6240">
        <f t="shared" si="131"/>
        <v>0</v>
      </c>
      <c r="AW293" s="6189" cm="1">
        <f t="array" ref="AW293">IF(AK293&lt;&gt;1,0,IF(OR(AU293="",N(AU293)&lt;=0.000000001),"",IF(OR(AO293="",N(AO293)&lt;=0.000000001),0,IF(ISNUMBER(AU293),IFERROR(_xlfn.LET(_xlpm.ai_test,TRIM(AJ293),_xlpm.r,IFERROR(_xlfn.XLOOKUP(_xlpm.ai_test,$BJ$15:$BJ$62,ROW($BJ$15:$BJ$62),0,1),IFERROR(_xlfn.XLOOKUP(_xlpm.ai_test,$BK$15:$BK$62,ROW($BK$15:$BK$62),0,1),_xlfn.XLOOKUP(_xlpm.ai_test,$BL$15:$BL$62,ROW($BL$15:$BL$62),0,1))),_xlpm.p,_xlpm.r-MIN(ROW($BJ$15:$BJ$62))+1,_xlpm.f,INDEX($BM$15:$BM$62,_xlpm.p),_xlpm.u,INDEX($BN$15:$BN$62,_xlpm.p),_xlpm.s,INDEX($BP$15:$BP$62,_xlpm.p),_xlpm.q,N(AU293)/_xlpm.f,IF(_xlpm.q&gt;=_xlpm.s,ROUND(_xlpm.q,1)&amp;" "&amp;_xlpm.ai_test&amp;" = "&amp;ROUND(_xlpm.q*_xlpm.f,1)&amp;" "&amp;_xlpm.u,ROUND(_xlpm.q,1)&amp;" "&amp;_xlpm.ai_test)),""),""))))</f>
        <v>0</v>
      </c>
      <c r="AX293" s="6218"/>
      <c r="AY293" s="6272">
        <f t="shared" si="132"/>
        <v>0</v>
      </c>
      <c r="AZ293" s="6240" t="str">
        <f t="shared" si="133"/>
        <v/>
      </c>
      <c r="BA293" s="6195">
        <f t="shared" si="138"/>
        <v>0</v>
      </c>
      <c r="BB293" s="6193" t="str">
        <f t="shared" si="134"/>
        <v/>
      </c>
      <c r="BC293" s="6219"/>
      <c r="BD293" s="6222">
        <f t="shared" si="139"/>
        <v>0</v>
      </c>
      <c r="BE293" s="6220" t="str">
        <f t="shared" si="135"/>
        <v/>
      </c>
      <c r="BF293" s="4" t="s">
        <v>1</v>
      </c>
      <c r="BG293" s="6196">
        <f t="shared" si="136"/>
        <v>0</v>
      </c>
      <c r="BH293" s="6197">
        <f t="shared" si="137"/>
        <v>0</v>
      </c>
      <c r="BI293"/>
      <c r="BJ293" s="1"/>
      <c r="BK293" s="1"/>
      <c r="BL293" s="1"/>
      <c r="BM293" s="1"/>
      <c r="BN293" s="1"/>
      <c r="BO293" s="1"/>
      <c r="BP293" s="1"/>
      <c r="BQ293" s="1"/>
      <c r="BR293"/>
      <c r="BS293"/>
      <c r="BT293"/>
      <c r="BU293"/>
      <c r="BV293"/>
      <c r="BW293"/>
      <c r="BX293" s="20" t="str">
        <f t="shared" si="118"/>
        <v>►</v>
      </c>
      <c r="BY293"/>
      <c r="BZ293"/>
      <c r="CA293"/>
      <c r="CB293"/>
      <c r="CC293"/>
      <c r="CE293"/>
      <c r="CF293"/>
      <c r="CG293"/>
      <c r="CH293"/>
      <c r="CI293"/>
      <c r="CJ293"/>
      <c r="CK293"/>
      <c r="CM293"/>
      <c r="CN293"/>
      <c r="CO293"/>
      <c r="CP293"/>
      <c r="CQ293"/>
      <c r="CR293"/>
      <c r="CS293"/>
      <c r="CU293"/>
      <c r="CV293"/>
      <c r="CW293"/>
      <c r="CX293"/>
      <c r="CY293"/>
      <c r="CZ293"/>
      <c r="DA293"/>
      <c r="DC293" s="5">
        <v>1</v>
      </c>
      <c r="DD293" s="1"/>
      <c r="DE293" s="1"/>
    </row>
    <row r="294" spans="1:109" s="2" customFormat="1" ht="21" customHeight="1">
      <c r="A294" s="5641" t="s">
        <v>1</v>
      </c>
      <c r="B294" s="5662" t="str">
        <f t="shared" si="117"/>
        <v>►</v>
      </c>
      <c r="C294" s="5825" cm="1">
        <f t="array" ref="C294">SUMPRODUCT(LEN(D294:J294))</f>
        <v>0</v>
      </c>
      <c r="D294" s="5275"/>
      <c r="E294" s="1361"/>
      <c r="F294" s="1361"/>
      <c r="G294" s="1361"/>
      <c r="H294" s="1361"/>
      <c r="I294" s="1361"/>
      <c r="J294" s="5276"/>
      <c r="K294" s="106"/>
      <c r="L294" s="1021" t="s">
        <v>26</v>
      </c>
      <c r="M294" s="6787"/>
      <c r="N294" s="6787"/>
      <c r="O294" s="6787"/>
      <c r="P294" s="6788"/>
      <c r="Q294" s="6789"/>
      <c r="R294" s="6790"/>
      <c r="S294" s="6786"/>
      <c r="T294" s="6791"/>
      <c r="U294" s="6844"/>
      <c r="V294" s="6791"/>
      <c r="W294" s="8487"/>
      <c r="X294" s="6871"/>
      <c r="Y294" s="6793"/>
      <c r="Z294" s="6794"/>
      <c r="AA294" s="6795"/>
      <c r="AB294" s="6796"/>
      <c r="AC294" s="6797"/>
      <c r="AD294" s="6798"/>
      <c r="AE294" s="4" t="s">
        <v>1</v>
      </c>
      <c r="AF294" s="6202" t="str">
        <f t="shared" si="119"/>
        <v>►</v>
      </c>
      <c r="AG294" s="6234" t="str">
        <f t="shared" si="120"/>
        <v/>
      </c>
      <c r="AH294" s="6732" t="str">
        <f t="shared" si="121"/>
        <v/>
      </c>
      <c r="AI294" s="6234" t="str">
        <f t="shared" si="122"/>
        <v/>
      </c>
      <c r="AJ294" s="6732" t="str">
        <f t="shared" si="123"/>
        <v/>
      </c>
      <c r="AK294" s="6732">
        <f t="shared" si="124"/>
        <v>0</v>
      </c>
      <c r="AL294" s="6230" t="str" cm="1">
        <f t="array" ref="AL294">IF(AF294&lt;&gt;"A","",IFERROR((IFERROR(_xlfn.XLOOKUP(TRIM(SUBSTITUTE(U294,CHAR(160)," ")),$BJ$15:$BJ$62,$BM$15:$BM$62),IFERROR(_xlfn.XLOOKUP(TRIM(SUBSTITUTE(U294,CHAR(160)," ")),$BK$15:$BK$62,$BM$15:$BM$62),_xlfn.XLOOKUP(TRIM(SUBSTITUTE(U294,CHAR(160)," ")),$BL$15:$BL$62,$BM$15:$BM$62))))*T294*IF(ISBLANK(Q294),1,Q294)+IFERROR(_xlfn.XLOOKUP("RECHERCHEX",TRIM(L294:AD294),L294:AD294),0),0))</f>
        <v/>
      </c>
      <c r="AM294" s="6229">
        <f t="shared" si="125"/>
        <v>0</v>
      </c>
      <c r="AN294" s="6857" t="str">
        <f t="shared" si="140"/>
        <v/>
      </c>
      <c r="AO294" s="392">
        <f t="shared" si="126"/>
        <v>0</v>
      </c>
      <c r="AP294" s="392">
        <f t="shared" si="127"/>
        <v>0</v>
      </c>
      <c r="AQ294" s="6190">
        <f t="shared" si="128"/>
        <v>0</v>
      </c>
      <c r="AR294" s="6858" t="str">
        <f t="shared" si="129"/>
        <v/>
      </c>
      <c r="AS294" s="6217"/>
      <c r="AT294" s="6217"/>
      <c r="AU294" s="6271">
        <f t="shared" si="130"/>
        <v>0</v>
      </c>
      <c r="AV294" s="6242">
        <f t="shared" si="131"/>
        <v>0</v>
      </c>
      <c r="AW294" s="6188" cm="1">
        <f t="array" ref="AW294">IF(AK294&lt;&gt;1,0,IF(OR(AU294="",N(AU294)&lt;=0.000000001),"",IF(OR(AO294="",N(AO294)&lt;=0.000000001),0,IF(ISNUMBER(AU294),IFERROR(_xlfn.LET(_xlpm.ai_test,TRIM(AJ294),_xlpm.r,IFERROR(_xlfn.XLOOKUP(_xlpm.ai_test,$BJ$15:$BJ$62,ROW($BJ$15:$BJ$62),0,1),IFERROR(_xlfn.XLOOKUP(_xlpm.ai_test,$BK$15:$BK$62,ROW($BK$15:$BK$62),0,1),_xlfn.XLOOKUP(_xlpm.ai_test,$BL$15:$BL$62,ROW($BL$15:$BL$62),0,1))),_xlpm.p,_xlpm.r-MIN(ROW($BJ$15:$BJ$62))+1,_xlpm.f,INDEX($BM$15:$BM$62,_xlpm.p),_xlpm.u,INDEX($BN$15:$BN$62,_xlpm.p),_xlpm.s,INDEX($BP$15:$BP$62,_xlpm.p),_xlpm.q,N(AU294)/_xlpm.f,IF(_xlpm.q&gt;=_xlpm.s,ROUND(_xlpm.q,1)&amp;" "&amp;_xlpm.ai_test&amp;" = "&amp;ROUND(_xlpm.q*_xlpm.f,1)&amp;" "&amp;_xlpm.u,ROUND(_xlpm.q,1)&amp;" "&amp;_xlpm.ai_test)),""),""))))</f>
        <v>0</v>
      </c>
      <c r="AX294" s="6218"/>
      <c r="AY294" s="6271">
        <f t="shared" si="132"/>
        <v>0</v>
      </c>
      <c r="AZ294" s="6242" t="str">
        <f t="shared" si="133"/>
        <v/>
      </c>
      <c r="BA294" s="6194">
        <f t="shared" si="138"/>
        <v>0</v>
      </c>
      <c r="BB294" s="6192" t="str">
        <f t="shared" si="134"/>
        <v/>
      </c>
      <c r="BC294" s="6219"/>
      <c r="BD294" s="6221">
        <f t="shared" si="139"/>
        <v>0</v>
      </c>
      <c r="BE294" s="6220" t="str">
        <f t="shared" si="135"/>
        <v/>
      </c>
      <c r="BF294" s="4" t="s">
        <v>1</v>
      </c>
      <c r="BG294" s="6196">
        <f t="shared" si="136"/>
        <v>0</v>
      </c>
      <c r="BH294" s="6197">
        <f t="shared" si="137"/>
        <v>0</v>
      </c>
      <c r="BI294"/>
      <c r="BJ294" s="1"/>
      <c r="BK294" s="1"/>
      <c r="BL294" s="1"/>
      <c r="BM294" s="1"/>
      <c r="BN294" s="1"/>
      <c r="BO294" s="1"/>
      <c r="BP294" s="1"/>
      <c r="BQ294" s="1"/>
      <c r="BR294"/>
      <c r="BS294"/>
      <c r="BT294"/>
      <c r="BU294"/>
      <c r="BV294"/>
      <c r="BW294"/>
      <c r="BX294" s="20" t="str">
        <f t="shared" si="118"/>
        <v>►</v>
      </c>
      <c r="BY294"/>
      <c r="BZ294"/>
      <c r="CA294"/>
      <c r="CB294"/>
      <c r="CC294"/>
      <c r="CE294"/>
      <c r="CF294"/>
      <c r="CG294"/>
      <c r="CH294"/>
      <c r="CI294"/>
      <c r="CJ294"/>
      <c r="CK294"/>
      <c r="CM294"/>
      <c r="CN294"/>
      <c r="CO294"/>
      <c r="CP294"/>
      <c r="CQ294"/>
      <c r="CR294"/>
      <c r="CS294"/>
      <c r="CU294"/>
      <c r="CV294"/>
      <c r="CW294"/>
      <c r="CX294"/>
      <c r="CY294"/>
      <c r="CZ294"/>
      <c r="DA294"/>
      <c r="DC294" s="5">
        <v>1</v>
      </c>
      <c r="DD294" s="1"/>
      <c r="DE294" s="1"/>
    </row>
    <row r="295" spans="1:109" s="2" customFormat="1" ht="21" customHeight="1">
      <c r="A295" s="5641" t="s">
        <v>1</v>
      </c>
      <c r="B295" s="5662" t="str">
        <f t="shared" si="117"/>
        <v>►</v>
      </c>
      <c r="C295" s="5825" cm="1">
        <f t="array" ref="C295">SUMPRODUCT(LEN(D295:J295))</f>
        <v>0</v>
      </c>
      <c r="D295" s="5275"/>
      <c r="E295" s="1361"/>
      <c r="F295" s="1361"/>
      <c r="G295" s="1361"/>
      <c r="H295" s="1361"/>
      <c r="I295" s="1361"/>
      <c r="J295" s="5276"/>
      <c r="K295" s="106"/>
      <c r="L295" s="1021" t="s">
        <v>26</v>
      </c>
      <c r="M295" s="6787"/>
      <c r="N295" s="6787"/>
      <c r="O295" s="6787"/>
      <c r="P295" s="6788"/>
      <c r="Q295" s="6789"/>
      <c r="R295" s="6790"/>
      <c r="S295" s="6786"/>
      <c r="T295" s="6791"/>
      <c r="U295" s="6844"/>
      <c r="V295" s="6791"/>
      <c r="W295" s="8487"/>
      <c r="X295" s="6871"/>
      <c r="Y295" s="6793"/>
      <c r="Z295" s="6794"/>
      <c r="AA295" s="6795"/>
      <c r="AB295" s="6796"/>
      <c r="AC295" s="6797"/>
      <c r="AD295" s="6798"/>
      <c r="AE295" s="4" t="s">
        <v>1</v>
      </c>
      <c r="AF295" s="6202" t="str">
        <f t="shared" si="119"/>
        <v>►</v>
      </c>
      <c r="AG295" s="6234" t="str">
        <f t="shared" si="120"/>
        <v/>
      </c>
      <c r="AH295" s="6732" t="str">
        <f t="shared" si="121"/>
        <v/>
      </c>
      <c r="AI295" s="6234" t="str">
        <f t="shared" si="122"/>
        <v/>
      </c>
      <c r="AJ295" s="6732" t="str">
        <f t="shared" si="123"/>
        <v/>
      </c>
      <c r="AK295" s="6732">
        <f t="shared" si="124"/>
        <v>0</v>
      </c>
      <c r="AL295" s="6230" t="str" cm="1">
        <f t="array" ref="AL295">IF(AF295&lt;&gt;"A","",IFERROR((IFERROR(_xlfn.XLOOKUP(TRIM(SUBSTITUTE(U295,CHAR(160)," ")),$BJ$15:$BJ$62,$BM$15:$BM$62),IFERROR(_xlfn.XLOOKUP(TRIM(SUBSTITUTE(U295,CHAR(160)," ")),$BK$15:$BK$62,$BM$15:$BM$62),_xlfn.XLOOKUP(TRIM(SUBSTITUTE(U295,CHAR(160)," ")),$BL$15:$BL$62,$BM$15:$BM$62))))*T295*IF(ISBLANK(Q295),1,Q295)+IFERROR(_xlfn.XLOOKUP("RECHERCHEX",TRIM(L295:AD295),L295:AD295),0),0))</f>
        <v/>
      </c>
      <c r="AM295" s="6229">
        <f t="shared" si="125"/>
        <v>0</v>
      </c>
      <c r="AN295" s="6857" t="str">
        <f t="shared" si="140"/>
        <v/>
      </c>
      <c r="AO295" s="392">
        <f t="shared" si="126"/>
        <v>0</v>
      </c>
      <c r="AP295" s="392">
        <f t="shared" si="127"/>
        <v>0</v>
      </c>
      <c r="AQ295" s="6191">
        <f t="shared" si="128"/>
        <v>0</v>
      </c>
      <c r="AR295" s="6859" t="str">
        <f t="shared" si="129"/>
        <v/>
      </c>
      <c r="AS295" s="6217"/>
      <c r="AT295" s="6217"/>
      <c r="AU295" s="6272">
        <f t="shared" si="130"/>
        <v>0</v>
      </c>
      <c r="AV295" s="6240">
        <f t="shared" si="131"/>
        <v>0</v>
      </c>
      <c r="AW295" s="6189" cm="1">
        <f t="array" ref="AW295">IF(AK295&lt;&gt;1,0,IF(OR(AU295="",N(AU295)&lt;=0.000000001),"",IF(OR(AO295="",N(AO295)&lt;=0.000000001),0,IF(ISNUMBER(AU295),IFERROR(_xlfn.LET(_xlpm.ai_test,TRIM(AJ295),_xlpm.r,IFERROR(_xlfn.XLOOKUP(_xlpm.ai_test,$BJ$15:$BJ$62,ROW($BJ$15:$BJ$62),0,1),IFERROR(_xlfn.XLOOKUP(_xlpm.ai_test,$BK$15:$BK$62,ROW($BK$15:$BK$62),0,1),_xlfn.XLOOKUP(_xlpm.ai_test,$BL$15:$BL$62,ROW($BL$15:$BL$62),0,1))),_xlpm.p,_xlpm.r-MIN(ROW($BJ$15:$BJ$62))+1,_xlpm.f,INDEX($BM$15:$BM$62,_xlpm.p),_xlpm.u,INDEX($BN$15:$BN$62,_xlpm.p),_xlpm.s,INDEX($BP$15:$BP$62,_xlpm.p),_xlpm.q,N(AU295)/_xlpm.f,IF(_xlpm.q&gt;=_xlpm.s,ROUND(_xlpm.q,1)&amp;" "&amp;_xlpm.ai_test&amp;" = "&amp;ROUND(_xlpm.q*_xlpm.f,1)&amp;" "&amp;_xlpm.u,ROUND(_xlpm.q,1)&amp;" "&amp;_xlpm.ai_test)),""),""))))</f>
        <v>0</v>
      </c>
      <c r="AX295" s="6218"/>
      <c r="AY295" s="6272">
        <f t="shared" si="132"/>
        <v>0</v>
      </c>
      <c r="AZ295" s="6240" t="str">
        <f t="shared" si="133"/>
        <v/>
      </c>
      <c r="BA295" s="6195">
        <f t="shared" si="138"/>
        <v>0</v>
      </c>
      <c r="BB295" s="6193" t="str">
        <f t="shared" si="134"/>
        <v/>
      </c>
      <c r="BC295" s="6219"/>
      <c r="BD295" s="6222">
        <f t="shared" si="139"/>
        <v>0</v>
      </c>
      <c r="BE295" s="6220" t="str">
        <f t="shared" si="135"/>
        <v/>
      </c>
      <c r="BF295" s="4" t="s">
        <v>1</v>
      </c>
      <c r="BG295" s="6196">
        <f t="shared" si="136"/>
        <v>0</v>
      </c>
      <c r="BH295" s="6197">
        <f t="shared" si="137"/>
        <v>0</v>
      </c>
      <c r="BI295"/>
      <c r="BJ295" s="1"/>
      <c r="BK295" s="1"/>
      <c r="BL295" s="1"/>
      <c r="BM295" s="1"/>
      <c r="BN295" s="1"/>
      <c r="BO295" s="1"/>
      <c r="BP295" s="1"/>
      <c r="BQ295" s="1"/>
      <c r="BR295"/>
      <c r="BS295"/>
      <c r="BT295"/>
      <c r="BU295"/>
      <c r="BV295"/>
      <c r="BW295"/>
      <c r="BX295" s="20" t="str">
        <f t="shared" si="118"/>
        <v>►</v>
      </c>
      <c r="BY295"/>
      <c r="BZ295"/>
      <c r="CA295"/>
      <c r="CB295"/>
      <c r="CC295"/>
      <c r="CE295"/>
      <c r="CF295"/>
      <c r="CG295"/>
      <c r="CH295"/>
      <c r="CI295"/>
      <c r="CJ295"/>
      <c r="CK295"/>
      <c r="CM295"/>
      <c r="CN295"/>
      <c r="CO295"/>
      <c r="CP295"/>
      <c r="CQ295"/>
      <c r="CR295"/>
      <c r="CS295"/>
      <c r="CU295"/>
      <c r="CV295"/>
      <c r="CW295"/>
      <c r="CX295"/>
      <c r="CY295"/>
      <c r="CZ295"/>
      <c r="DA295"/>
      <c r="DC295" s="5">
        <v>1</v>
      </c>
      <c r="DD295" s="1"/>
      <c r="DE295" s="1"/>
    </row>
    <row r="296" spans="1:109" s="2" customFormat="1" ht="21" customHeight="1">
      <c r="A296" s="5641" t="s">
        <v>1</v>
      </c>
      <c r="B296" s="5662" t="str">
        <f t="shared" si="117"/>
        <v>►</v>
      </c>
      <c r="C296" s="5825" cm="1">
        <f t="array" ref="C296">SUMPRODUCT(LEN(D296:J296))</f>
        <v>0</v>
      </c>
      <c r="D296" s="5275"/>
      <c r="E296" s="1361"/>
      <c r="F296" s="1361"/>
      <c r="G296" s="1361"/>
      <c r="H296" s="1361"/>
      <c r="I296" s="1361"/>
      <c r="J296" s="5276"/>
      <c r="K296" s="106"/>
      <c r="L296" s="1021" t="s">
        <v>26</v>
      </c>
      <c r="M296" s="6787"/>
      <c r="N296" s="6787"/>
      <c r="O296" s="6787"/>
      <c r="P296" s="6788"/>
      <c r="Q296" s="6789"/>
      <c r="R296" s="6790"/>
      <c r="S296" s="6786"/>
      <c r="T296" s="6791"/>
      <c r="U296" s="6844"/>
      <c r="V296" s="6791"/>
      <c r="W296" s="8487"/>
      <c r="X296" s="6871"/>
      <c r="Y296" s="6793"/>
      <c r="Z296" s="6794"/>
      <c r="AA296" s="6795"/>
      <c r="AB296" s="6796"/>
      <c r="AC296" s="6797"/>
      <c r="AD296" s="6798"/>
      <c r="AE296" s="4" t="s">
        <v>1</v>
      </c>
      <c r="AF296" s="6202" t="str">
        <f t="shared" si="119"/>
        <v>►</v>
      </c>
      <c r="AG296" s="6234" t="str">
        <f t="shared" si="120"/>
        <v/>
      </c>
      <c r="AH296" s="6732" t="str">
        <f t="shared" si="121"/>
        <v/>
      </c>
      <c r="AI296" s="6234" t="str">
        <f t="shared" si="122"/>
        <v/>
      </c>
      <c r="AJ296" s="6732" t="str">
        <f t="shared" si="123"/>
        <v/>
      </c>
      <c r="AK296" s="6732">
        <f t="shared" si="124"/>
        <v>0</v>
      </c>
      <c r="AL296" s="6230" t="str" cm="1">
        <f t="array" ref="AL296">IF(AF296&lt;&gt;"A","",IFERROR((IFERROR(_xlfn.XLOOKUP(TRIM(SUBSTITUTE(U296,CHAR(160)," ")),$BJ$15:$BJ$62,$BM$15:$BM$62),IFERROR(_xlfn.XLOOKUP(TRIM(SUBSTITUTE(U296,CHAR(160)," ")),$BK$15:$BK$62,$BM$15:$BM$62),_xlfn.XLOOKUP(TRIM(SUBSTITUTE(U296,CHAR(160)," ")),$BL$15:$BL$62,$BM$15:$BM$62))))*T296*IF(ISBLANK(Q296),1,Q296)+IFERROR(_xlfn.XLOOKUP("RECHERCHEX",TRIM(L296:AD296),L296:AD296),0),0))</f>
        <v/>
      </c>
      <c r="AM296" s="6229">
        <f t="shared" si="125"/>
        <v>0</v>
      </c>
      <c r="AN296" s="6857" t="str">
        <f t="shared" si="140"/>
        <v/>
      </c>
      <c r="AO296" s="392">
        <f t="shared" si="126"/>
        <v>0</v>
      </c>
      <c r="AP296" s="392">
        <f t="shared" si="127"/>
        <v>0</v>
      </c>
      <c r="AQ296" s="6190">
        <f t="shared" si="128"/>
        <v>0</v>
      </c>
      <c r="AR296" s="6858" t="str">
        <f t="shared" si="129"/>
        <v/>
      </c>
      <c r="AS296" s="6217"/>
      <c r="AT296" s="6217"/>
      <c r="AU296" s="6271">
        <f t="shared" si="130"/>
        <v>0</v>
      </c>
      <c r="AV296" s="6242">
        <f t="shared" si="131"/>
        <v>0</v>
      </c>
      <c r="AW296" s="6188" cm="1">
        <f t="array" ref="AW296">IF(AK296&lt;&gt;1,0,IF(OR(AU296="",N(AU296)&lt;=0.000000001),"",IF(OR(AO296="",N(AO296)&lt;=0.000000001),0,IF(ISNUMBER(AU296),IFERROR(_xlfn.LET(_xlpm.ai_test,TRIM(AJ296),_xlpm.r,IFERROR(_xlfn.XLOOKUP(_xlpm.ai_test,$BJ$15:$BJ$62,ROW($BJ$15:$BJ$62),0,1),IFERROR(_xlfn.XLOOKUP(_xlpm.ai_test,$BK$15:$BK$62,ROW($BK$15:$BK$62),0,1),_xlfn.XLOOKUP(_xlpm.ai_test,$BL$15:$BL$62,ROW($BL$15:$BL$62),0,1))),_xlpm.p,_xlpm.r-MIN(ROW($BJ$15:$BJ$62))+1,_xlpm.f,INDEX($BM$15:$BM$62,_xlpm.p),_xlpm.u,INDEX($BN$15:$BN$62,_xlpm.p),_xlpm.s,INDEX($BP$15:$BP$62,_xlpm.p),_xlpm.q,N(AU296)/_xlpm.f,IF(_xlpm.q&gt;=_xlpm.s,ROUND(_xlpm.q,1)&amp;" "&amp;_xlpm.ai_test&amp;" = "&amp;ROUND(_xlpm.q*_xlpm.f,1)&amp;" "&amp;_xlpm.u,ROUND(_xlpm.q,1)&amp;" "&amp;_xlpm.ai_test)),""),""))))</f>
        <v>0</v>
      </c>
      <c r="AX296" s="6218"/>
      <c r="AY296" s="6271">
        <f t="shared" si="132"/>
        <v>0</v>
      </c>
      <c r="AZ296" s="6242" t="str">
        <f t="shared" si="133"/>
        <v/>
      </c>
      <c r="BA296" s="6194">
        <f t="shared" si="138"/>
        <v>0</v>
      </c>
      <c r="BB296" s="6192" t="str">
        <f t="shared" si="134"/>
        <v/>
      </c>
      <c r="BC296" s="6219"/>
      <c r="BD296" s="6221">
        <f t="shared" si="139"/>
        <v>0</v>
      </c>
      <c r="BE296" s="6220" t="str">
        <f t="shared" si="135"/>
        <v/>
      </c>
      <c r="BF296" s="4" t="s">
        <v>1</v>
      </c>
      <c r="BG296" s="6196">
        <f t="shared" si="136"/>
        <v>0</v>
      </c>
      <c r="BH296" s="6197">
        <f t="shared" si="137"/>
        <v>0</v>
      </c>
      <c r="BI296"/>
      <c r="BJ296" s="1"/>
      <c r="BK296" s="1"/>
      <c r="BL296" s="1"/>
      <c r="BM296" s="1"/>
      <c r="BN296" s="1"/>
      <c r="BO296" s="1"/>
      <c r="BP296" s="1"/>
      <c r="BQ296" s="1"/>
      <c r="BR296"/>
      <c r="BS296"/>
      <c r="BT296"/>
      <c r="BU296"/>
      <c r="BV296"/>
      <c r="BW296"/>
      <c r="BX296" s="20" t="str">
        <f t="shared" si="118"/>
        <v>►</v>
      </c>
      <c r="BY296"/>
      <c r="BZ296"/>
      <c r="CA296"/>
      <c r="CB296"/>
      <c r="CC296"/>
      <c r="CE296"/>
      <c r="CF296"/>
      <c r="CG296"/>
      <c r="CH296"/>
      <c r="CI296"/>
      <c r="CJ296"/>
      <c r="CK296"/>
      <c r="CM296"/>
      <c r="CN296"/>
      <c r="CO296"/>
      <c r="CP296"/>
      <c r="CQ296"/>
      <c r="CR296"/>
      <c r="CS296"/>
      <c r="CU296"/>
      <c r="CV296"/>
      <c r="CW296"/>
      <c r="CX296"/>
      <c r="CY296"/>
      <c r="CZ296"/>
      <c r="DA296"/>
      <c r="DC296" s="5">
        <v>1</v>
      </c>
      <c r="DD296" s="1"/>
      <c r="DE296" s="1"/>
    </row>
    <row r="297" spans="1:109" s="2" customFormat="1" ht="21" customHeight="1">
      <c r="A297" s="5641" t="s">
        <v>1</v>
      </c>
      <c r="B297" s="5662" t="str">
        <f t="shared" si="117"/>
        <v>►</v>
      </c>
      <c r="C297" s="5825" cm="1">
        <f t="array" ref="C297">SUMPRODUCT(LEN(D297:J297))</f>
        <v>0</v>
      </c>
      <c r="D297" s="5275"/>
      <c r="E297" s="1361"/>
      <c r="F297" s="1361"/>
      <c r="G297" s="1361"/>
      <c r="H297" s="1361"/>
      <c r="I297" s="1361"/>
      <c r="J297" s="5276"/>
      <c r="K297" s="106"/>
      <c r="L297" s="1021" t="s">
        <v>26</v>
      </c>
      <c r="M297" s="6787"/>
      <c r="N297" s="6787"/>
      <c r="O297" s="6787"/>
      <c r="P297" s="6788"/>
      <c r="Q297" s="6789"/>
      <c r="R297" s="6790"/>
      <c r="S297" s="6786"/>
      <c r="T297" s="6791"/>
      <c r="U297" s="6844"/>
      <c r="V297" s="6791"/>
      <c r="W297" s="8487"/>
      <c r="X297" s="6871"/>
      <c r="Y297" s="6793"/>
      <c r="Z297" s="6794"/>
      <c r="AA297" s="6795"/>
      <c r="AB297" s="6796"/>
      <c r="AC297" s="6797"/>
      <c r="AD297" s="6798"/>
      <c r="AE297" s="4" t="s">
        <v>1</v>
      </c>
      <c r="AF297" s="6202" t="str">
        <f t="shared" si="119"/>
        <v>►</v>
      </c>
      <c r="AG297" s="6234" t="str">
        <f t="shared" si="120"/>
        <v/>
      </c>
      <c r="AH297" s="6732" t="str">
        <f t="shared" si="121"/>
        <v/>
      </c>
      <c r="AI297" s="6234" t="str">
        <f t="shared" si="122"/>
        <v/>
      </c>
      <c r="AJ297" s="6732" t="str">
        <f t="shared" si="123"/>
        <v/>
      </c>
      <c r="AK297" s="6732">
        <f t="shared" si="124"/>
        <v>0</v>
      </c>
      <c r="AL297" s="6230" t="str" cm="1">
        <f t="array" ref="AL297">IF(AF297&lt;&gt;"A","",IFERROR((IFERROR(_xlfn.XLOOKUP(TRIM(SUBSTITUTE(U297,CHAR(160)," ")),$BJ$15:$BJ$62,$BM$15:$BM$62),IFERROR(_xlfn.XLOOKUP(TRIM(SUBSTITUTE(U297,CHAR(160)," ")),$BK$15:$BK$62,$BM$15:$BM$62),_xlfn.XLOOKUP(TRIM(SUBSTITUTE(U297,CHAR(160)," ")),$BL$15:$BL$62,$BM$15:$BM$62))))*T297*IF(ISBLANK(Q297),1,Q297)+IFERROR(_xlfn.XLOOKUP("RECHERCHEX",TRIM(L297:AD297),L297:AD297),0),0))</f>
        <v/>
      </c>
      <c r="AM297" s="6229">
        <f t="shared" si="125"/>
        <v>0</v>
      </c>
      <c r="AN297" s="6857" t="str">
        <f t="shared" si="140"/>
        <v/>
      </c>
      <c r="AO297" s="392">
        <f t="shared" si="126"/>
        <v>0</v>
      </c>
      <c r="AP297" s="392">
        <f t="shared" si="127"/>
        <v>0</v>
      </c>
      <c r="AQ297" s="6191">
        <f t="shared" si="128"/>
        <v>0</v>
      </c>
      <c r="AR297" s="6859" t="str">
        <f t="shared" si="129"/>
        <v/>
      </c>
      <c r="AS297" s="6217"/>
      <c r="AT297" s="6217"/>
      <c r="AU297" s="6272">
        <f t="shared" si="130"/>
        <v>0</v>
      </c>
      <c r="AV297" s="6240">
        <f t="shared" si="131"/>
        <v>0</v>
      </c>
      <c r="AW297" s="6189" cm="1">
        <f t="array" ref="AW297">IF(AK297&lt;&gt;1,0,IF(OR(AU297="",N(AU297)&lt;=0.000000001),"",IF(OR(AO297="",N(AO297)&lt;=0.000000001),0,IF(ISNUMBER(AU297),IFERROR(_xlfn.LET(_xlpm.ai_test,TRIM(AJ297),_xlpm.r,IFERROR(_xlfn.XLOOKUP(_xlpm.ai_test,$BJ$15:$BJ$62,ROW($BJ$15:$BJ$62),0,1),IFERROR(_xlfn.XLOOKUP(_xlpm.ai_test,$BK$15:$BK$62,ROW($BK$15:$BK$62),0,1),_xlfn.XLOOKUP(_xlpm.ai_test,$BL$15:$BL$62,ROW($BL$15:$BL$62),0,1))),_xlpm.p,_xlpm.r-MIN(ROW($BJ$15:$BJ$62))+1,_xlpm.f,INDEX($BM$15:$BM$62,_xlpm.p),_xlpm.u,INDEX($BN$15:$BN$62,_xlpm.p),_xlpm.s,INDEX($BP$15:$BP$62,_xlpm.p),_xlpm.q,N(AU297)/_xlpm.f,IF(_xlpm.q&gt;=_xlpm.s,ROUND(_xlpm.q,1)&amp;" "&amp;_xlpm.ai_test&amp;" = "&amp;ROUND(_xlpm.q*_xlpm.f,1)&amp;" "&amp;_xlpm.u,ROUND(_xlpm.q,1)&amp;" "&amp;_xlpm.ai_test)),""),""))))</f>
        <v>0</v>
      </c>
      <c r="AX297" s="6218"/>
      <c r="AY297" s="6272">
        <f t="shared" si="132"/>
        <v>0</v>
      </c>
      <c r="AZ297" s="6240" t="str">
        <f t="shared" si="133"/>
        <v/>
      </c>
      <c r="BA297" s="6195">
        <f t="shared" si="138"/>
        <v>0</v>
      </c>
      <c r="BB297" s="6193" t="str">
        <f t="shared" si="134"/>
        <v/>
      </c>
      <c r="BC297" s="6219"/>
      <c r="BD297" s="6222">
        <f t="shared" si="139"/>
        <v>0</v>
      </c>
      <c r="BE297" s="6220" t="str">
        <f t="shared" si="135"/>
        <v/>
      </c>
      <c r="BF297" s="4" t="s">
        <v>1</v>
      </c>
      <c r="BG297" s="6196">
        <f t="shared" si="136"/>
        <v>0</v>
      </c>
      <c r="BH297" s="6197">
        <f t="shared" si="137"/>
        <v>0</v>
      </c>
      <c r="BI297"/>
      <c r="BJ297" s="1"/>
      <c r="BK297" s="1"/>
      <c r="BL297" s="1"/>
      <c r="BM297" s="1"/>
      <c r="BN297" s="1"/>
      <c r="BO297" s="1"/>
      <c r="BP297" s="1"/>
      <c r="BQ297" s="1"/>
      <c r="BR297"/>
      <c r="BS297"/>
      <c r="BT297"/>
      <c r="BU297"/>
      <c r="BV297"/>
      <c r="BW297"/>
      <c r="BX297" s="20" t="str">
        <f t="shared" si="118"/>
        <v>►</v>
      </c>
      <c r="BY297"/>
      <c r="BZ297"/>
      <c r="CA297"/>
      <c r="CB297"/>
      <c r="CC297"/>
      <c r="CE297"/>
      <c r="CF297"/>
      <c r="CG297"/>
      <c r="CH297"/>
      <c r="CI297"/>
      <c r="CJ297"/>
      <c r="CK297"/>
      <c r="CM297"/>
      <c r="CN297"/>
      <c r="CO297"/>
      <c r="CP297"/>
      <c r="CQ297"/>
      <c r="CR297"/>
      <c r="CS297"/>
      <c r="CU297"/>
      <c r="CV297"/>
      <c r="CW297"/>
      <c r="CX297"/>
      <c r="CY297"/>
      <c r="CZ297"/>
      <c r="DA297"/>
      <c r="DC297" s="5">
        <v>1</v>
      </c>
      <c r="DD297" s="1"/>
      <c r="DE297" s="1"/>
    </row>
    <row r="298" spans="1:109" s="2" customFormat="1" ht="21" customHeight="1">
      <c r="A298" s="5641" t="s">
        <v>1</v>
      </c>
      <c r="B298" s="5662" t="str">
        <f t="shared" si="117"/>
        <v>►</v>
      </c>
      <c r="C298" s="5825" cm="1">
        <f t="array" ref="C298">SUMPRODUCT(LEN(D298:J298))</f>
        <v>0</v>
      </c>
      <c r="D298" s="5275"/>
      <c r="E298" s="1361"/>
      <c r="F298" s="1361"/>
      <c r="G298" s="1361"/>
      <c r="H298" s="1361"/>
      <c r="I298" s="1361"/>
      <c r="J298" s="5276"/>
      <c r="K298" s="106"/>
      <c r="L298" s="1021" t="s">
        <v>26</v>
      </c>
      <c r="M298" s="6787"/>
      <c r="N298" s="6787"/>
      <c r="O298" s="6787"/>
      <c r="P298" s="6788"/>
      <c r="Q298" s="6789"/>
      <c r="R298" s="6790"/>
      <c r="S298" s="6786"/>
      <c r="T298" s="6791"/>
      <c r="U298" s="6844"/>
      <c r="V298" s="6791"/>
      <c r="W298" s="8487"/>
      <c r="X298" s="6871"/>
      <c r="Y298" s="6793"/>
      <c r="Z298" s="6794"/>
      <c r="AA298" s="6795"/>
      <c r="AB298" s="6796"/>
      <c r="AC298" s="6797"/>
      <c r="AD298" s="6798"/>
      <c r="AE298" s="4" t="s">
        <v>1</v>
      </c>
      <c r="AF298" s="6202" t="str">
        <f t="shared" si="119"/>
        <v>►</v>
      </c>
      <c r="AG298" s="6234" t="str">
        <f t="shared" si="120"/>
        <v/>
      </c>
      <c r="AH298" s="6732" t="str">
        <f t="shared" si="121"/>
        <v/>
      </c>
      <c r="AI298" s="6234" t="str">
        <f t="shared" si="122"/>
        <v/>
      </c>
      <c r="AJ298" s="6732" t="str">
        <f t="shared" si="123"/>
        <v/>
      </c>
      <c r="AK298" s="6732">
        <f t="shared" si="124"/>
        <v>0</v>
      </c>
      <c r="AL298" s="6230" t="str" cm="1">
        <f t="array" ref="AL298">IF(AF298&lt;&gt;"A","",IFERROR((IFERROR(_xlfn.XLOOKUP(TRIM(SUBSTITUTE(U298,CHAR(160)," ")),$BJ$15:$BJ$62,$BM$15:$BM$62),IFERROR(_xlfn.XLOOKUP(TRIM(SUBSTITUTE(U298,CHAR(160)," ")),$BK$15:$BK$62,$BM$15:$BM$62),_xlfn.XLOOKUP(TRIM(SUBSTITUTE(U298,CHAR(160)," ")),$BL$15:$BL$62,$BM$15:$BM$62))))*T298*IF(ISBLANK(Q298),1,Q298)+IFERROR(_xlfn.XLOOKUP("RECHERCHEX",TRIM(L298:AD298),L298:AD298),0),0))</f>
        <v/>
      </c>
      <c r="AM298" s="6229">
        <f t="shared" si="125"/>
        <v>0</v>
      </c>
      <c r="AN298" s="6857" t="str">
        <f t="shared" si="140"/>
        <v/>
      </c>
      <c r="AO298" s="392">
        <f t="shared" si="126"/>
        <v>0</v>
      </c>
      <c r="AP298" s="392">
        <f t="shared" si="127"/>
        <v>0</v>
      </c>
      <c r="AQ298" s="6190">
        <f t="shared" si="128"/>
        <v>0</v>
      </c>
      <c r="AR298" s="6858" t="str">
        <f t="shared" si="129"/>
        <v/>
      </c>
      <c r="AS298" s="6217"/>
      <c r="AT298" s="6217"/>
      <c r="AU298" s="6271">
        <f t="shared" si="130"/>
        <v>0</v>
      </c>
      <c r="AV298" s="6242">
        <f t="shared" si="131"/>
        <v>0</v>
      </c>
      <c r="AW298" s="6188" cm="1">
        <f t="array" ref="AW298">IF(AK298&lt;&gt;1,0,IF(OR(AU298="",N(AU298)&lt;=0.000000001),"",IF(OR(AO298="",N(AO298)&lt;=0.000000001),0,IF(ISNUMBER(AU298),IFERROR(_xlfn.LET(_xlpm.ai_test,TRIM(AJ298),_xlpm.r,IFERROR(_xlfn.XLOOKUP(_xlpm.ai_test,$BJ$15:$BJ$62,ROW($BJ$15:$BJ$62),0,1),IFERROR(_xlfn.XLOOKUP(_xlpm.ai_test,$BK$15:$BK$62,ROW($BK$15:$BK$62),0,1),_xlfn.XLOOKUP(_xlpm.ai_test,$BL$15:$BL$62,ROW($BL$15:$BL$62),0,1))),_xlpm.p,_xlpm.r-MIN(ROW($BJ$15:$BJ$62))+1,_xlpm.f,INDEX($BM$15:$BM$62,_xlpm.p),_xlpm.u,INDEX($BN$15:$BN$62,_xlpm.p),_xlpm.s,INDEX($BP$15:$BP$62,_xlpm.p),_xlpm.q,N(AU298)/_xlpm.f,IF(_xlpm.q&gt;=_xlpm.s,ROUND(_xlpm.q,1)&amp;" "&amp;_xlpm.ai_test&amp;" = "&amp;ROUND(_xlpm.q*_xlpm.f,1)&amp;" "&amp;_xlpm.u,ROUND(_xlpm.q,1)&amp;" "&amp;_xlpm.ai_test)),""),""))))</f>
        <v>0</v>
      </c>
      <c r="AX298" s="6218"/>
      <c r="AY298" s="6271">
        <f t="shared" si="132"/>
        <v>0</v>
      </c>
      <c r="AZ298" s="6242" t="str">
        <f t="shared" si="133"/>
        <v/>
      </c>
      <c r="BA298" s="6194">
        <f t="shared" si="138"/>
        <v>0</v>
      </c>
      <c r="BB298" s="6192" t="str">
        <f t="shared" si="134"/>
        <v/>
      </c>
      <c r="BC298" s="6219"/>
      <c r="BD298" s="6221">
        <f t="shared" si="139"/>
        <v>0</v>
      </c>
      <c r="BE298" s="6220" t="str">
        <f t="shared" si="135"/>
        <v/>
      </c>
      <c r="BF298" s="4" t="s">
        <v>1</v>
      </c>
      <c r="BG298" s="6196">
        <f t="shared" si="136"/>
        <v>0</v>
      </c>
      <c r="BH298" s="6197">
        <f t="shared" si="137"/>
        <v>0</v>
      </c>
      <c r="BI298"/>
      <c r="BJ298" s="1"/>
      <c r="BK298" s="1"/>
      <c r="BL298" s="1"/>
      <c r="BM298" s="1"/>
      <c r="BN298" s="1"/>
      <c r="BO298" s="1"/>
      <c r="BP298" s="1"/>
      <c r="BQ298" s="1"/>
      <c r="BR298"/>
      <c r="BS298"/>
      <c r="BT298"/>
      <c r="BU298"/>
      <c r="BV298"/>
      <c r="BW298"/>
      <c r="BX298" s="20" t="str">
        <f t="shared" si="118"/>
        <v>►</v>
      </c>
      <c r="BY298"/>
      <c r="BZ298"/>
      <c r="CA298"/>
      <c r="CB298"/>
      <c r="CC298"/>
      <c r="CE298"/>
      <c r="CF298"/>
      <c r="CG298"/>
      <c r="CH298"/>
      <c r="CI298"/>
      <c r="CJ298"/>
      <c r="CK298"/>
      <c r="CM298"/>
      <c r="CN298"/>
      <c r="CO298"/>
      <c r="CP298"/>
      <c r="CQ298"/>
      <c r="CR298"/>
      <c r="CS298"/>
      <c r="CU298"/>
      <c r="CV298"/>
      <c r="CW298"/>
      <c r="CX298"/>
      <c r="CY298"/>
      <c r="CZ298"/>
      <c r="DA298"/>
      <c r="DC298" s="5">
        <v>1</v>
      </c>
      <c r="DD298" s="1"/>
      <c r="DE298" s="1"/>
    </row>
    <row r="299" spans="1:109" s="2" customFormat="1" ht="21" customHeight="1">
      <c r="A299" s="5641" t="s">
        <v>1</v>
      </c>
      <c r="B299" s="5662" t="str">
        <f t="shared" si="117"/>
        <v>►</v>
      </c>
      <c r="C299" s="5825" cm="1">
        <f t="array" ref="C299">SUMPRODUCT(LEN(D299:J299))</f>
        <v>0</v>
      </c>
      <c r="D299" s="5275"/>
      <c r="E299" s="1361"/>
      <c r="F299" s="1361"/>
      <c r="G299" s="1361"/>
      <c r="H299" s="1361"/>
      <c r="I299" s="1361"/>
      <c r="J299" s="5276"/>
      <c r="K299" s="106"/>
      <c r="L299" s="1021" t="s">
        <v>26</v>
      </c>
      <c r="M299" s="6787"/>
      <c r="N299" s="6787"/>
      <c r="O299" s="6787"/>
      <c r="P299" s="6788"/>
      <c r="Q299" s="6789"/>
      <c r="R299" s="6790"/>
      <c r="S299" s="6786"/>
      <c r="T299" s="6791"/>
      <c r="U299" s="6844"/>
      <c r="V299" s="6791"/>
      <c r="W299" s="8487"/>
      <c r="X299" s="6871"/>
      <c r="Y299" s="6793"/>
      <c r="Z299" s="6794"/>
      <c r="AA299" s="6795"/>
      <c r="AB299" s="6796"/>
      <c r="AC299" s="6797"/>
      <c r="AD299" s="6798"/>
      <c r="AE299" s="4" t="s">
        <v>1</v>
      </c>
      <c r="AF299" s="6202" t="str">
        <f t="shared" si="119"/>
        <v>►</v>
      </c>
      <c r="AG299" s="6234" t="str">
        <f t="shared" si="120"/>
        <v/>
      </c>
      <c r="AH299" s="6732" t="str">
        <f t="shared" si="121"/>
        <v/>
      </c>
      <c r="AI299" s="6234" t="str">
        <f t="shared" si="122"/>
        <v/>
      </c>
      <c r="AJ299" s="6732" t="str">
        <f t="shared" si="123"/>
        <v/>
      </c>
      <c r="AK299" s="6732">
        <f t="shared" si="124"/>
        <v>0</v>
      </c>
      <c r="AL299" s="6230" t="str" cm="1">
        <f t="array" ref="AL299">IF(AF299&lt;&gt;"A","",IFERROR((IFERROR(_xlfn.XLOOKUP(TRIM(SUBSTITUTE(U299,CHAR(160)," ")),$BJ$15:$BJ$62,$BM$15:$BM$62),IFERROR(_xlfn.XLOOKUP(TRIM(SUBSTITUTE(U299,CHAR(160)," ")),$BK$15:$BK$62,$BM$15:$BM$62),_xlfn.XLOOKUP(TRIM(SUBSTITUTE(U299,CHAR(160)," ")),$BL$15:$BL$62,$BM$15:$BM$62))))*T299*IF(ISBLANK(Q299),1,Q299)+IFERROR(_xlfn.XLOOKUP("RECHERCHEX",TRIM(L299:AD299),L299:AD299),0),0))</f>
        <v/>
      </c>
      <c r="AM299" s="6229">
        <f t="shared" si="125"/>
        <v>0</v>
      </c>
      <c r="AN299" s="6857" t="str">
        <f t="shared" si="140"/>
        <v/>
      </c>
      <c r="AO299" s="392">
        <f t="shared" si="126"/>
        <v>0</v>
      </c>
      <c r="AP299" s="392">
        <f t="shared" si="127"/>
        <v>0</v>
      </c>
      <c r="AQ299" s="6191">
        <f t="shared" si="128"/>
        <v>0</v>
      </c>
      <c r="AR299" s="6859" t="str">
        <f t="shared" si="129"/>
        <v/>
      </c>
      <c r="AS299" s="6217"/>
      <c r="AT299" s="6217"/>
      <c r="AU299" s="6272">
        <f t="shared" si="130"/>
        <v>0</v>
      </c>
      <c r="AV299" s="6240">
        <f t="shared" si="131"/>
        <v>0</v>
      </c>
      <c r="AW299" s="6189" cm="1">
        <f t="array" ref="AW299">IF(AK299&lt;&gt;1,0,IF(OR(AU299="",N(AU299)&lt;=0.000000001),"",IF(OR(AO299="",N(AO299)&lt;=0.000000001),0,IF(ISNUMBER(AU299),IFERROR(_xlfn.LET(_xlpm.ai_test,TRIM(AJ299),_xlpm.r,IFERROR(_xlfn.XLOOKUP(_xlpm.ai_test,$BJ$15:$BJ$62,ROW($BJ$15:$BJ$62),0,1),IFERROR(_xlfn.XLOOKUP(_xlpm.ai_test,$BK$15:$BK$62,ROW($BK$15:$BK$62),0,1),_xlfn.XLOOKUP(_xlpm.ai_test,$BL$15:$BL$62,ROW($BL$15:$BL$62),0,1))),_xlpm.p,_xlpm.r-MIN(ROW($BJ$15:$BJ$62))+1,_xlpm.f,INDEX($BM$15:$BM$62,_xlpm.p),_xlpm.u,INDEX($BN$15:$BN$62,_xlpm.p),_xlpm.s,INDEX($BP$15:$BP$62,_xlpm.p),_xlpm.q,N(AU299)/_xlpm.f,IF(_xlpm.q&gt;=_xlpm.s,ROUND(_xlpm.q,1)&amp;" "&amp;_xlpm.ai_test&amp;" = "&amp;ROUND(_xlpm.q*_xlpm.f,1)&amp;" "&amp;_xlpm.u,ROUND(_xlpm.q,1)&amp;" "&amp;_xlpm.ai_test)),""),""))))</f>
        <v>0</v>
      </c>
      <c r="AX299" s="6218"/>
      <c r="AY299" s="6272">
        <f t="shared" si="132"/>
        <v>0</v>
      </c>
      <c r="AZ299" s="6240" t="str">
        <f t="shared" si="133"/>
        <v/>
      </c>
      <c r="BA299" s="6195">
        <f t="shared" si="138"/>
        <v>0</v>
      </c>
      <c r="BB299" s="6193" t="str">
        <f t="shared" si="134"/>
        <v/>
      </c>
      <c r="BC299" s="6219"/>
      <c r="BD299" s="6222">
        <f t="shared" si="139"/>
        <v>0</v>
      </c>
      <c r="BE299" s="6220" t="str">
        <f t="shared" si="135"/>
        <v/>
      </c>
      <c r="BF299" s="4" t="s">
        <v>1</v>
      </c>
      <c r="BG299" s="6196">
        <f t="shared" si="136"/>
        <v>0</v>
      </c>
      <c r="BH299" s="6197">
        <f t="shared" si="137"/>
        <v>0</v>
      </c>
      <c r="BI299"/>
      <c r="BJ299" s="1"/>
      <c r="BK299" s="1"/>
      <c r="BL299" s="1"/>
      <c r="BM299" s="1"/>
      <c r="BN299" s="1"/>
      <c r="BO299" s="1"/>
      <c r="BP299" s="1"/>
      <c r="BQ299" s="1"/>
      <c r="BR299"/>
      <c r="BS299"/>
      <c r="BT299"/>
      <c r="BU299"/>
      <c r="BV299"/>
      <c r="BW299"/>
      <c r="BX299" s="20" t="str">
        <f t="shared" si="118"/>
        <v>►</v>
      </c>
      <c r="BY299"/>
      <c r="BZ299"/>
      <c r="CA299"/>
      <c r="CB299"/>
      <c r="CC299"/>
      <c r="CE299"/>
      <c r="CF299"/>
      <c r="CG299"/>
      <c r="CH299"/>
      <c r="CI299"/>
      <c r="CJ299"/>
      <c r="CK299"/>
      <c r="CM299"/>
      <c r="CN299"/>
      <c r="CO299"/>
      <c r="CP299"/>
      <c r="CQ299"/>
      <c r="CR299"/>
      <c r="CS299"/>
      <c r="CU299"/>
      <c r="CV299"/>
      <c r="CW299"/>
      <c r="CX299"/>
      <c r="CY299"/>
      <c r="CZ299"/>
      <c r="DA299"/>
      <c r="DC299" s="5">
        <v>1</v>
      </c>
      <c r="DD299" s="1"/>
      <c r="DE299" s="1"/>
    </row>
    <row r="300" spans="1:109" s="2" customFormat="1" ht="21" customHeight="1">
      <c r="A300" s="5641" t="s">
        <v>1</v>
      </c>
      <c r="B300" s="5662" t="str">
        <f t="shared" si="117"/>
        <v>►</v>
      </c>
      <c r="C300" s="5825" cm="1">
        <f t="array" ref="C300">SUMPRODUCT(LEN(D300:J300))</f>
        <v>0</v>
      </c>
      <c r="D300" s="5275"/>
      <c r="E300" s="1361"/>
      <c r="F300" s="1361"/>
      <c r="G300" s="1361"/>
      <c r="H300" s="1361"/>
      <c r="I300" s="1361"/>
      <c r="J300" s="5276"/>
      <c r="K300" s="106"/>
      <c r="L300" s="1021" t="s">
        <v>26</v>
      </c>
      <c r="M300" s="6787"/>
      <c r="N300" s="6787"/>
      <c r="O300" s="6787"/>
      <c r="P300" s="6788"/>
      <c r="Q300" s="6789"/>
      <c r="R300" s="6790"/>
      <c r="S300" s="6786"/>
      <c r="T300" s="6791"/>
      <c r="U300" s="6844"/>
      <c r="V300" s="6791"/>
      <c r="W300" s="8487"/>
      <c r="X300" s="6871"/>
      <c r="Y300" s="6793"/>
      <c r="Z300" s="6794"/>
      <c r="AA300" s="6795"/>
      <c r="AB300" s="6796"/>
      <c r="AC300" s="6797"/>
      <c r="AD300" s="6798"/>
      <c r="AE300" s="4" t="s">
        <v>1</v>
      </c>
      <c r="AF300" s="6202" t="str">
        <f t="shared" si="119"/>
        <v>►</v>
      </c>
      <c r="AG300" s="6234" t="str">
        <f t="shared" si="120"/>
        <v/>
      </c>
      <c r="AH300" s="6732" t="str">
        <f t="shared" si="121"/>
        <v/>
      </c>
      <c r="AI300" s="6234" t="str">
        <f t="shared" si="122"/>
        <v/>
      </c>
      <c r="AJ300" s="6732" t="str">
        <f t="shared" si="123"/>
        <v/>
      </c>
      <c r="AK300" s="6732">
        <f t="shared" si="124"/>
        <v>0</v>
      </c>
      <c r="AL300" s="6230" t="str" cm="1">
        <f t="array" ref="AL300">IF(AF300&lt;&gt;"A","",IFERROR((IFERROR(_xlfn.XLOOKUP(TRIM(SUBSTITUTE(U300,CHAR(160)," ")),$BJ$15:$BJ$62,$BM$15:$BM$62),IFERROR(_xlfn.XLOOKUP(TRIM(SUBSTITUTE(U300,CHAR(160)," ")),$BK$15:$BK$62,$BM$15:$BM$62),_xlfn.XLOOKUP(TRIM(SUBSTITUTE(U300,CHAR(160)," ")),$BL$15:$BL$62,$BM$15:$BM$62))))*T300*IF(ISBLANK(Q300),1,Q300)+IFERROR(_xlfn.XLOOKUP("RECHERCHEX",TRIM(L300:AD300),L300:AD300),0),0))</f>
        <v/>
      </c>
      <c r="AM300" s="6229">
        <f t="shared" si="125"/>
        <v>0</v>
      </c>
      <c r="AN300" s="6857" t="str">
        <f t="shared" si="140"/>
        <v/>
      </c>
      <c r="AO300" s="392">
        <f t="shared" si="126"/>
        <v>0</v>
      </c>
      <c r="AP300" s="392">
        <f t="shared" si="127"/>
        <v>0</v>
      </c>
      <c r="AQ300" s="6190">
        <f t="shared" si="128"/>
        <v>0</v>
      </c>
      <c r="AR300" s="6858" t="str">
        <f t="shared" si="129"/>
        <v/>
      </c>
      <c r="AS300" s="6217"/>
      <c r="AT300" s="6217"/>
      <c r="AU300" s="6271">
        <f t="shared" si="130"/>
        <v>0</v>
      </c>
      <c r="AV300" s="6242">
        <f t="shared" si="131"/>
        <v>0</v>
      </c>
      <c r="AW300" s="6188" cm="1">
        <f t="array" ref="AW300">IF(AK300&lt;&gt;1,0,IF(OR(AU300="",N(AU300)&lt;=0.000000001),"",IF(OR(AO300="",N(AO300)&lt;=0.000000001),0,IF(ISNUMBER(AU300),IFERROR(_xlfn.LET(_xlpm.ai_test,TRIM(AJ300),_xlpm.r,IFERROR(_xlfn.XLOOKUP(_xlpm.ai_test,$BJ$15:$BJ$62,ROW($BJ$15:$BJ$62),0,1),IFERROR(_xlfn.XLOOKUP(_xlpm.ai_test,$BK$15:$BK$62,ROW($BK$15:$BK$62),0,1),_xlfn.XLOOKUP(_xlpm.ai_test,$BL$15:$BL$62,ROW($BL$15:$BL$62),0,1))),_xlpm.p,_xlpm.r-MIN(ROW($BJ$15:$BJ$62))+1,_xlpm.f,INDEX($BM$15:$BM$62,_xlpm.p),_xlpm.u,INDEX($BN$15:$BN$62,_xlpm.p),_xlpm.s,INDEX($BP$15:$BP$62,_xlpm.p),_xlpm.q,N(AU300)/_xlpm.f,IF(_xlpm.q&gt;=_xlpm.s,ROUND(_xlpm.q,1)&amp;" "&amp;_xlpm.ai_test&amp;" = "&amp;ROUND(_xlpm.q*_xlpm.f,1)&amp;" "&amp;_xlpm.u,ROUND(_xlpm.q,1)&amp;" "&amp;_xlpm.ai_test)),""),""))))</f>
        <v>0</v>
      </c>
      <c r="AX300" s="6218"/>
      <c r="AY300" s="6271">
        <f t="shared" si="132"/>
        <v>0</v>
      </c>
      <c r="AZ300" s="6242" t="str">
        <f t="shared" si="133"/>
        <v/>
      </c>
      <c r="BA300" s="6194">
        <f t="shared" si="138"/>
        <v>0</v>
      </c>
      <c r="BB300" s="6192" t="str">
        <f t="shared" si="134"/>
        <v/>
      </c>
      <c r="BC300" s="6219"/>
      <c r="BD300" s="6221">
        <f t="shared" si="139"/>
        <v>0</v>
      </c>
      <c r="BE300" s="6220" t="str">
        <f t="shared" si="135"/>
        <v/>
      </c>
      <c r="BF300" s="4" t="s">
        <v>1</v>
      </c>
      <c r="BG300" s="6196">
        <f t="shared" si="136"/>
        <v>0</v>
      </c>
      <c r="BH300" s="6197">
        <f t="shared" si="137"/>
        <v>0</v>
      </c>
      <c r="BI300"/>
      <c r="BJ300" s="1"/>
      <c r="BK300" s="1"/>
      <c r="BL300" s="1"/>
      <c r="BM300" s="1"/>
      <c r="BN300" s="1"/>
      <c r="BO300" s="1"/>
      <c r="BP300" s="1"/>
      <c r="BQ300" s="1"/>
      <c r="BR300"/>
      <c r="BS300"/>
      <c r="BT300"/>
      <c r="BU300"/>
      <c r="BV300"/>
      <c r="BW300"/>
      <c r="BX300" s="20" t="str">
        <f t="shared" si="118"/>
        <v>►</v>
      </c>
      <c r="BY300"/>
      <c r="BZ300"/>
      <c r="CA300"/>
      <c r="CB300"/>
      <c r="CC300"/>
      <c r="CE300"/>
      <c r="CF300"/>
      <c r="CG300"/>
      <c r="CH300"/>
      <c r="CI300"/>
      <c r="CJ300"/>
      <c r="CK300"/>
      <c r="CM300"/>
      <c r="CN300"/>
      <c r="CO300"/>
      <c r="CP300"/>
      <c r="CQ300"/>
      <c r="CR300"/>
      <c r="CS300"/>
      <c r="CU300"/>
      <c r="CV300"/>
      <c r="CW300"/>
      <c r="CX300"/>
      <c r="CY300"/>
      <c r="CZ300"/>
      <c r="DA300"/>
      <c r="DC300" s="5">
        <v>1</v>
      </c>
      <c r="DD300" s="1"/>
      <c r="DE300" s="1"/>
    </row>
    <row r="301" spans="1:109" s="2" customFormat="1" ht="21" customHeight="1">
      <c r="A301" s="5641" t="s">
        <v>1</v>
      </c>
      <c r="B301" s="5662" t="str">
        <f t="shared" si="117"/>
        <v>►</v>
      </c>
      <c r="C301" s="5825" cm="1">
        <f t="array" ref="C301">SUMPRODUCT(LEN(D301:J301))</f>
        <v>0</v>
      </c>
      <c r="D301" s="5275"/>
      <c r="E301" s="1361"/>
      <c r="F301" s="1361"/>
      <c r="G301" s="1361"/>
      <c r="H301" s="1361"/>
      <c r="I301" s="1361"/>
      <c r="J301" s="5276"/>
      <c r="K301" s="106"/>
      <c r="L301" s="1021" t="s">
        <v>26</v>
      </c>
      <c r="M301" s="6787"/>
      <c r="N301" s="6787"/>
      <c r="O301" s="6787"/>
      <c r="P301" s="6788"/>
      <c r="Q301" s="6789"/>
      <c r="R301" s="6790"/>
      <c r="S301" s="6786"/>
      <c r="T301" s="6791"/>
      <c r="U301" s="6844"/>
      <c r="V301" s="6791"/>
      <c r="W301" s="8487"/>
      <c r="X301" s="6871"/>
      <c r="Y301" s="6793"/>
      <c r="Z301" s="6794"/>
      <c r="AA301" s="6795"/>
      <c r="AB301" s="6796"/>
      <c r="AC301" s="6797"/>
      <c r="AD301" s="6798"/>
      <c r="AE301" s="4" t="s">
        <v>1</v>
      </c>
      <c r="AF301" s="6202" t="str">
        <f t="shared" si="119"/>
        <v>►</v>
      </c>
      <c r="AG301" s="6234" t="str">
        <f t="shared" si="120"/>
        <v/>
      </c>
      <c r="AH301" s="6732" t="str">
        <f t="shared" si="121"/>
        <v/>
      </c>
      <c r="AI301" s="6234" t="str">
        <f t="shared" si="122"/>
        <v/>
      </c>
      <c r="AJ301" s="6732" t="str">
        <f t="shared" si="123"/>
        <v/>
      </c>
      <c r="AK301" s="6732">
        <f t="shared" si="124"/>
        <v>0</v>
      </c>
      <c r="AL301" s="6230" t="str" cm="1">
        <f t="array" ref="AL301">IF(AF301&lt;&gt;"A","",IFERROR((IFERROR(_xlfn.XLOOKUP(TRIM(SUBSTITUTE(U301,CHAR(160)," ")),$BJ$15:$BJ$62,$BM$15:$BM$62),IFERROR(_xlfn.XLOOKUP(TRIM(SUBSTITUTE(U301,CHAR(160)," ")),$BK$15:$BK$62,$BM$15:$BM$62),_xlfn.XLOOKUP(TRIM(SUBSTITUTE(U301,CHAR(160)," ")),$BL$15:$BL$62,$BM$15:$BM$62))))*T301*IF(ISBLANK(Q301),1,Q301)+IFERROR(_xlfn.XLOOKUP("RECHERCHEX",TRIM(L301:AD301),L301:AD301),0),0))</f>
        <v/>
      </c>
      <c r="AM301" s="6229">
        <f t="shared" si="125"/>
        <v>0</v>
      </c>
      <c r="AN301" s="6857" t="str">
        <f t="shared" si="140"/>
        <v/>
      </c>
      <c r="AO301" s="392">
        <f t="shared" si="126"/>
        <v>0</v>
      </c>
      <c r="AP301" s="392">
        <f t="shared" si="127"/>
        <v>0</v>
      </c>
      <c r="AQ301" s="6191">
        <f t="shared" si="128"/>
        <v>0</v>
      </c>
      <c r="AR301" s="6859" t="str">
        <f t="shared" si="129"/>
        <v/>
      </c>
      <c r="AS301" s="6217"/>
      <c r="AT301" s="6217"/>
      <c r="AU301" s="6272">
        <f t="shared" si="130"/>
        <v>0</v>
      </c>
      <c r="AV301" s="6240">
        <f t="shared" si="131"/>
        <v>0</v>
      </c>
      <c r="AW301" s="6189" cm="1">
        <f t="array" ref="AW301">IF(AK301&lt;&gt;1,0,IF(OR(AU301="",N(AU301)&lt;=0.000000001),"",IF(OR(AO301="",N(AO301)&lt;=0.000000001),0,IF(ISNUMBER(AU301),IFERROR(_xlfn.LET(_xlpm.ai_test,TRIM(AJ301),_xlpm.r,IFERROR(_xlfn.XLOOKUP(_xlpm.ai_test,$BJ$15:$BJ$62,ROW($BJ$15:$BJ$62),0,1),IFERROR(_xlfn.XLOOKUP(_xlpm.ai_test,$BK$15:$BK$62,ROW($BK$15:$BK$62),0,1),_xlfn.XLOOKUP(_xlpm.ai_test,$BL$15:$BL$62,ROW($BL$15:$BL$62),0,1))),_xlpm.p,_xlpm.r-MIN(ROW($BJ$15:$BJ$62))+1,_xlpm.f,INDEX($BM$15:$BM$62,_xlpm.p),_xlpm.u,INDEX($BN$15:$BN$62,_xlpm.p),_xlpm.s,INDEX($BP$15:$BP$62,_xlpm.p),_xlpm.q,N(AU301)/_xlpm.f,IF(_xlpm.q&gt;=_xlpm.s,ROUND(_xlpm.q,1)&amp;" "&amp;_xlpm.ai_test&amp;" = "&amp;ROUND(_xlpm.q*_xlpm.f,1)&amp;" "&amp;_xlpm.u,ROUND(_xlpm.q,1)&amp;" "&amp;_xlpm.ai_test)),""),""))))</f>
        <v>0</v>
      </c>
      <c r="AX301" s="6218"/>
      <c r="AY301" s="6272">
        <f t="shared" si="132"/>
        <v>0</v>
      </c>
      <c r="AZ301" s="6240" t="str">
        <f t="shared" si="133"/>
        <v/>
      </c>
      <c r="BA301" s="6195">
        <f t="shared" si="138"/>
        <v>0</v>
      </c>
      <c r="BB301" s="6193" t="str">
        <f t="shared" si="134"/>
        <v/>
      </c>
      <c r="BC301" s="6219"/>
      <c r="BD301" s="6222">
        <f t="shared" si="139"/>
        <v>0</v>
      </c>
      <c r="BE301" s="6220" t="str">
        <f t="shared" si="135"/>
        <v/>
      </c>
      <c r="BF301" s="4" t="s">
        <v>1</v>
      </c>
      <c r="BG301" s="6196">
        <f t="shared" si="136"/>
        <v>0</v>
      </c>
      <c r="BH301" s="6197">
        <f t="shared" si="137"/>
        <v>0</v>
      </c>
      <c r="BI301"/>
      <c r="BJ301" s="1"/>
      <c r="BK301" s="1"/>
      <c r="BL301" s="1"/>
      <c r="BM301" s="1"/>
      <c r="BN301" s="1"/>
      <c r="BO301" s="1"/>
      <c r="BP301" s="1"/>
      <c r="BQ301" s="1"/>
      <c r="BR301"/>
      <c r="BS301"/>
      <c r="BT301"/>
      <c r="BU301"/>
      <c r="BV301"/>
      <c r="BW301"/>
      <c r="BX301" s="20" t="str">
        <f t="shared" si="118"/>
        <v>►</v>
      </c>
      <c r="BY301"/>
      <c r="BZ301"/>
      <c r="CA301"/>
      <c r="CB301"/>
      <c r="CC301"/>
      <c r="CE301"/>
      <c r="CF301"/>
      <c r="CG301"/>
      <c r="CH301"/>
      <c r="CI301"/>
      <c r="CJ301"/>
      <c r="CK301"/>
      <c r="CM301"/>
      <c r="CN301"/>
      <c r="CO301"/>
      <c r="CP301"/>
      <c r="CQ301"/>
      <c r="CR301"/>
      <c r="CS301"/>
      <c r="CU301"/>
      <c r="CV301"/>
      <c r="CW301"/>
      <c r="CX301"/>
      <c r="CY301"/>
      <c r="CZ301"/>
      <c r="DA301"/>
      <c r="DC301" s="5">
        <v>1</v>
      </c>
      <c r="DD301" s="1"/>
      <c r="DE301" s="1"/>
    </row>
    <row r="302" spans="1:109" s="2" customFormat="1" ht="21" customHeight="1">
      <c r="A302" s="5641" t="s">
        <v>1</v>
      </c>
      <c r="B302" s="5662" t="str">
        <f t="shared" si="117"/>
        <v>►</v>
      </c>
      <c r="C302" s="5825" cm="1">
        <f t="array" ref="C302">SUMPRODUCT(LEN(D302:J302))</f>
        <v>0</v>
      </c>
      <c r="D302" s="5275"/>
      <c r="E302" s="1361"/>
      <c r="F302" s="1361"/>
      <c r="G302" s="1361"/>
      <c r="H302" s="1361"/>
      <c r="I302" s="1361"/>
      <c r="J302" s="5276"/>
      <c r="K302" s="106"/>
      <c r="L302" s="1021" t="s">
        <v>26</v>
      </c>
      <c r="M302" s="6787"/>
      <c r="N302" s="6787"/>
      <c r="O302" s="6787"/>
      <c r="P302" s="6788"/>
      <c r="Q302" s="6789"/>
      <c r="R302" s="6790"/>
      <c r="S302" s="6786"/>
      <c r="T302" s="6791"/>
      <c r="U302" s="6844"/>
      <c r="V302" s="6791"/>
      <c r="W302" s="8487"/>
      <c r="X302" s="6871"/>
      <c r="Y302" s="6793"/>
      <c r="Z302" s="6794"/>
      <c r="AA302" s="6795"/>
      <c r="AB302" s="6796"/>
      <c r="AC302" s="6797"/>
      <c r="AD302" s="6798"/>
      <c r="AE302" s="4" t="s">
        <v>1</v>
      </c>
      <c r="AF302" s="6202" t="str">
        <f t="shared" si="119"/>
        <v>►</v>
      </c>
      <c r="AG302" s="6234" t="str">
        <f t="shared" si="120"/>
        <v/>
      </c>
      <c r="AH302" s="6732" t="str">
        <f t="shared" si="121"/>
        <v/>
      </c>
      <c r="AI302" s="6234" t="str">
        <f t="shared" si="122"/>
        <v/>
      </c>
      <c r="AJ302" s="6732" t="str">
        <f t="shared" si="123"/>
        <v/>
      </c>
      <c r="AK302" s="6732">
        <f t="shared" si="124"/>
        <v>0</v>
      </c>
      <c r="AL302" s="6230" t="str" cm="1">
        <f t="array" ref="AL302">IF(AF302&lt;&gt;"A","",IFERROR((IFERROR(_xlfn.XLOOKUP(TRIM(SUBSTITUTE(U302,CHAR(160)," ")),$BJ$15:$BJ$62,$BM$15:$BM$62),IFERROR(_xlfn.XLOOKUP(TRIM(SUBSTITUTE(U302,CHAR(160)," ")),$BK$15:$BK$62,$BM$15:$BM$62),_xlfn.XLOOKUP(TRIM(SUBSTITUTE(U302,CHAR(160)," ")),$BL$15:$BL$62,$BM$15:$BM$62))))*T302*IF(ISBLANK(Q302),1,Q302)+IFERROR(_xlfn.XLOOKUP("RECHERCHEX",TRIM(L302:AD302),L302:AD302),0),0))</f>
        <v/>
      </c>
      <c r="AM302" s="6229">
        <f t="shared" si="125"/>
        <v>0</v>
      </c>
      <c r="AN302" s="6857" t="str">
        <f t="shared" si="140"/>
        <v/>
      </c>
      <c r="AO302" s="392">
        <f t="shared" si="126"/>
        <v>0</v>
      </c>
      <c r="AP302" s="392">
        <f t="shared" si="127"/>
        <v>0</v>
      </c>
      <c r="AQ302" s="6190">
        <f t="shared" si="128"/>
        <v>0</v>
      </c>
      <c r="AR302" s="6858" t="str">
        <f t="shared" si="129"/>
        <v/>
      </c>
      <c r="AS302" s="6217"/>
      <c r="AT302" s="6217"/>
      <c r="AU302" s="6271">
        <f t="shared" si="130"/>
        <v>0</v>
      </c>
      <c r="AV302" s="6242">
        <f t="shared" si="131"/>
        <v>0</v>
      </c>
      <c r="AW302" s="6188" cm="1">
        <f t="array" ref="AW302">IF(AK302&lt;&gt;1,0,IF(OR(AU302="",N(AU302)&lt;=0.000000001),"",IF(OR(AO302="",N(AO302)&lt;=0.000000001),0,IF(ISNUMBER(AU302),IFERROR(_xlfn.LET(_xlpm.ai_test,TRIM(AJ302),_xlpm.r,IFERROR(_xlfn.XLOOKUP(_xlpm.ai_test,$BJ$15:$BJ$62,ROW($BJ$15:$BJ$62),0,1),IFERROR(_xlfn.XLOOKUP(_xlpm.ai_test,$BK$15:$BK$62,ROW($BK$15:$BK$62),0,1),_xlfn.XLOOKUP(_xlpm.ai_test,$BL$15:$BL$62,ROW($BL$15:$BL$62),0,1))),_xlpm.p,_xlpm.r-MIN(ROW($BJ$15:$BJ$62))+1,_xlpm.f,INDEX($BM$15:$BM$62,_xlpm.p),_xlpm.u,INDEX($BN$15:$BN$62,_xlpm.p),_xlpm.s,INDEX($BP$15:$BP$62,_xlpm.p),_xlpm.q,N(AU302)/_xlpm.f,IF(_xlpm.q&gt;=_xlpm.s,ROUND(_xlpm.q,1)&amp;" "&amp;_xlpm.ai_test&amp;" = "&amp;ROUND(_xlpm.q*_xlpm.f,1)&amp;" "&amp;_xlpm.u,ROUND(_xlpm.q,1)&amp;" "&amp;_xlpm.ai_test)),""),""))))</f>
        <v>0</v>
      </c>
      <c r="AX302" s="6218"/>
      <c r="AY302" s="6271">
        <f t="shared" si="132"/>
        <v>0</v>
      </c>
      <c r="AZ302" s="6242" t="str">
        <f t="shared" si="133"/>
        <v/>
      </c>
      <c r="BA302" s="6194">
        <f t="shared" si="138"/>
        <v>0</v>
      </c>
      <c r="BB302" s="6192" t="str">
        <f t="shared" si="134"/>
        <v/>
      </c>
      <c r="BC302" s="6219"/>
      <c r="BD302" s="6221">
        <f t="shared" si="139"/>
        <v>0</v>
      </c>
      <c r="BE302" s="6220" t="str">
        <f t="shared" si="135"/>
        <v/>
      </c>
      <c r="BF302" s="4" t="s">
        <v>1</v>
      </c>
      <c r="BG302" s="6196">
        <f t="shared" si="136"/>
        <v>0</v>
      </c>
      <c r="BH302" s="6197">
        <f t="shared" si="137"/>
        <v>0</v>
      </c>
      <c r="BI302"/>
      <c r="BJ302" s="1"/>
      <c r="BK302" s="1"/>
      <c r="BL302" s="1"/>
      <c r="BM302" s="1"/>
      <c r="BN302" s="1"/>
      <c r="BO302" s="1"/>
      <c r="BP302" s="1"/>
      <c r="BQ302" s="1"/>
      <c r="BR302"/>
      <c r="BS302"/>
      <c r="BT302"/>
      <c r="BU302"/>
      <c r="BV302"/>
      <c r="BW302"/>
      <c r="BX302" s="20" t="str">
        <f t="shared" si="118"/>
        <v>►</v>
      </c>
      <c r="BY302"/>
      <c r="BZ302"/>
      <c r="CA302"/>
      <c r="CB302"/>
      <c r="CC302"/>
      <c r="CE302"/>
      <c r="CF302"/>
      <c r="CG302"/>
      <c r="CH302"/>
      <c r="CI302"/>
      <c r="CJ302"/>
      <c r="CK302"/>
      <c r="CM302"/>
      <c r="CN302"/>
      <c r="CO302"/>
      <c r="CP302"/>
      <c r="CQ302"/>
      <c r="CR302"/>
      <c r="CS302"/>
      <c r="CU302"/>
      <c r="CV302"/>
      <c r="CW302"/>
      <c r="CX302"/>
      <c r="CY302"/>
      <c r="CZ302"/>
      <c r="DA302"/>
      <c r="DC302" s="5">
        <v>1</v>
      </c>
      <c r="DD302" s="1"/>
      <c r="DE302" s="1"/>
    </row>
    <row r="303" spans="1:109" s="2" customFormat="1" ht="21" customHeight="1">
      <c r="A303" s="5641" t="s">
        <v>1</v>
      </c>
      <c r="B303" s="5662" t="str">
        <f t="shared" si="117"/>
        <v>►</v>
      </c>
      <c r="C303" s="5825" cm="1">
        <f t="array" ref="C303">SUMPRODUCT(LEN(D303:J303))</f>
        <v>0</v>
      </c>
      <c r="D303" s="5275"/>
      <c r="E303" s="1361"/>
      <c r="F303" s="1361"/>
      <c r="G303" s="1361"/>
      <c r="H303" s="1361"/>
      <c r="I303" s="1361"/>
      <c r="J303" s="5276"/>
      <c r="K303" s="106"/>
      <c r="L303" s="1021" t="s">
        <v>26</v>
      </c>
      <c r="M303" s="6787"/>
      <c r="N303" s="6787"/>
      <c r="O303" s="6787"/>
      <c r="P303" s="6788"/>
      <c r="Q303" s="6789"/>
      <c r="R303" s="6790"/>
      <c r="S303" s="6786"/>
      <c r="T303" s="6791"/>
      <c r="U303" s="6844"/>
      <c r="V303" s="6791"/>
      <c r="W303" s="8487"/>
      <c r="X303" s="6871"/>
      <c r="Y303" s="6793"/>
      <c r="Z303" s="6794"/>
      <c r="AA303" s="6795"/>
      <c r="AB303" s="6796"/>
      <c r="AC303" s="6797"/>
      <c r="AD303" s="6798"/>
      <c r="AE303" s="4" t="s">
        <v>1</v>
      </c>
      <c r="AF303" s="6202" t="str">
        <f t="shared" si="119"/>
        <v>►</v>
      </c>
      <c r="AG303" s="6234" t="str">
        <f t="shared" si="120"/>
        <v/>
      </c>
      <c r="AH303" s="6732" t="str">
        <f t="shared" si="121"/>
        <v/>
      </c>
      <c r="AI303" s="6234" t="str">
        <f t="shared" si="122"/>
        <v/>
      </c>
      <c r="AJ303" s="6732" t="str">
        <f t="shared" si="123"/>
        <v/>
      </c>
      <c r="AK303" s="6732">
        <f t="shared" si="124"/>
        <v>0</v>
      </c>
      <c r="AL303" s="6230" t="str" cm="1">
        <f t="array" ref="AL303">IF(AF303&lt;&gt;"A","",IFERROR((IFERROR(_xlfn.XLOOKUP(TRIM(SUBSTITUTE(U303,CHAR(160)," ")),$BJ$15:$BJ$62,$BM$15:$BM$62),IFERROR(_xlfn.XLOOKUP(TRIM(SUBSTITUTE(U303,CHAR(160)," ")),$BK$15:$BK$62,$BM$15:$BM$62),_xlfn.XLOOKUP(TRIM(SUBSTITUTE(U303,CHAR(160)," ")),$BL$15:$BL$62,$BM$15:$BM$62))))*T303*IF(ISBLANK(Q303),1,Q303)+IFERROR(_xlfn.XLOOKUP("RECHERCHEX",TRIM(L303:AD303),L303:AD303),0),0))</f>
        <v/>
      </c>
      <c r="AM303" s="6229">
        <f t="shared" si="125"/>
        <v>0</v>
      </c>
      <c r="AN303" s="6857" t="str">
        <f t="shared" si="140"/>
        <v/>
      </c>
      <c r="AO303" s="392">
        <f t="shared" si="126"/>
        <v>0</v>
      </c>
      <c r="AP303" s="392">
        <f t="shared" si="127"/>
        <v>0</v>
      </c>
      <c r="AQ303" s="6191">
        <f t="shared" si="128"/>
        <v>0</v>
      </c>
      <c r="AR303" s="6859" t="str">
        <f t="shared" si="129"/>
        <v/>
      </c>
      <c r="AS303" s="6217"/>
      <c r="AT303" s="6217"/>
      <c r="AU303" s="6272">
        <f t="shared" si="130"/>
        <v>0</v>
      </c>
      <c r="AV303" s="6240">
        <f t="shared" si="131"/>
        <v>0</v>
      </c>
      <c r="AW303" s="6189" cm="1">
        <f t="array" ref="AW303">IF(AK303&lt;&gt;1,0,IF(OR(AU303="",N(AU303)&lt;=0.000000001),"",IF(OR(AO303="",N(AO303)&lt;=0.000000001),0,IF(ISNUMBER(AU303),IFERROR(_xlfn.LET(_xlpm.ai_test,TRIM(AJ303),_xlpm.r,IFERROR(_xlfn.XLOOKUP(_xlpm.ai_test,$BJ$15:$BJ$62,ROW($BJ$15:$BJ$62),0,1),IFERROR(_xlfn.XLOOKUP(_xlpm.ai_test,$BK$15:$BK$62,ROW($BK$15:$BK$62),0,1),_xlfn.XLOOKUP(_xlpm.ai_test,$BL$15:$BL$62,ROW($BL$15:$BL$62),0,1))),_xlpm.p,_xlpm.r-MIN(ROW($BJ$15:$BJ$62))+1,_xlpm.f,INDEX($BM$15:$BM$62,_xlpm.p),_xlpm.u,INDEX($BN$15:$BN$62,_xlpm.p),_xlpm.s,INDEX($BP$15:$BP$62,_xlpm.p),_xlpm.q,N(AU303)/_xlpm.f,IF(_xlpm.q&gt;=_xlpm.s,ROUND(_xlpm.q,1)&amp;" "&amp;_xlpm.ai_test&amp;" = "&amp;ROUND(_xlpm.q*_xlpm.f,1)&amp;" "&amp;_xlpm.u,ROUND(_xlpm.q,1)&amp;" "&amp;_xlpm.ai_test)),""),""))))</f>
        <v>0</v>
      </c>
      <c r="AX303" s="6218"/>
      <c r="AY303" s="6272">
        <f t="shared" si="132"/>
        <v>0</v>
      </c>
      <c r="AZ303" s="6240" t="str">
        <f t="shared" si="133"/>
        <v/>
      </c>
      <c r="BA303" s="6195">
        <f t="shared" si="138"/>
        <v>0</v>
      </c>
      <c r="BB303" s="6193" t="str">
        <f t="shared" si="134"/>
        <v/>
      </c>
      <c r="BC303" s="6219"/>
      <c r="BD303" s="6222">
        <f t="shared" si="139"/>
        <v>0</v>
      </c>
      <c r="BE303" s="6220" t="str">
        <f t="shared" si="135"/>
        <v/>
      </c>
      <c r="BF303" s="4" t="s">
        <v>1</v>
      </c>
      <c r="BG303" s="6196">
        <f t="shared" si="136"/>
        <v>0</v>
      </c>
      <c r="BH303" s="6197">
        <f t="shared" si="137"/>
        <v>0</v>
      </c>
      <c r="BI303"/>
      <c r="BJ303" s="1"/>
      <c r="BK303" s="1"/>
      <c r="BL303" s="1"/>
      <c r="BM303" s="1"/>
      <c r="BN303" s="1"/>
      <c r="BO303" s="1"/>
      <c r="BP303" s="1"/>
      <c r="BQ303" s="1"/>
      <c r="BR303"/>
      <c r="BS303"/>
      <c r="BT303"/>
      <c r="BU303"/>
      <c r="BV303"/>
      <c r="BW303"/>
      <c r="BX303" s="20" t="str">
        <f t="shared" si="118"/>
        <v>►</v>
      </c>
      <c r="BY303"/>
      <c r="BZ303"/>
      <c r="CA303"/>
      <c r="CB303"/>
      <c r="CC303"/>
      <c r="CE303"/>
      <c r="CF303"/>
      <c r="CG303"/>
      <c r="CH303"/>
      <c r="CI303"/>
      <c r="CJ303"/>
      <c r="CK303"/>
      <c r="CM303"/>
      <c r="CN303"/>
      <c r="CO303"/>
      <c r="CP303"/>
      <c r="CQ303"/>
      <c r="CR303"/>
      <c r="CS303"/>
      <c r="CU303"/>
      <c r="CV303"/>
      <c r="CW303"/>
      <c r="CX303"/>
      <c r="CY303"/>
      <c r="CZ303"/>
      <c r="DA303"/>
      <c r="DC303" s="5">
        <v>1</v>
      </c>
      <c r="DD303" s="1"/>
      <c r="DE303" s="1"/>
    </row>
    <row r="304" spans="1:109" s="2" customFormat="1" ht="21" customHeight="1">
      <c r="A304" s="5641" t="s">
        <v>1</v>
      </c>
      <c r="B304" s="5662" t="str">
        <f t="shared" si="117"/>
        <v>►</v>
      </c>
      <c r="C304" s="5825" cm="1">
        <f t="array" ref="C304">SUMPRODUCT(LEN(D304:J304))</f>
        <v>0</v>
      </c>
      <c r="D304" s="5275"/>
      <c r="E304" s="1361"/>
      <c r="F304" s="1361"/>
      <c r="G304" s="1361"/>
      <c r="H304" s="1361"/>
      <c r="I304" s="1361"/>
      <c r="J304" s="5276"/>
      <c r="K304" s="106"/>
      <c r="L304" s="1021" t="s">
        <v>26</v>
      </c>
      <c r="M304" s="6787"/>
      <c r="N304" s="6787"/>
      <c r="O304" s="6787"/>
      <c r="P304" s="6788"/>
      <c r="Q304" s="6789"/>
      <c r="R304" s="6790"/>
      <c r="S304" s="6786"/>
      <c r="T304" s="6791"/>
      <c r="U304" s="6844"/>
      <c r="V304" s="6791"/>
      <c r="W304" s="8487"/>
      <c r="X304" s="6871"/>
      <c r="Y304" s="6793"/>
      <c r="Z304" s="6794"/>
      <c r="AA304" s="6795"/>
      <c r="AB304" s="6796"/>
      <c r="AC304" s="6797"/>
      <c r="AD304" s="6798"/>
      <c r="AE304" s="4" t="s">
        <v>1</v>
      </c>
      <c r="AF304" s="6202" t="str">
        <f t="shared" si="119"/>
        <v>►</v>
      </c>
      <c r="AG304" s="6234" t="str">
        <f t="shared" si="120"/>
        <v/>
      </c>
      <c r="AH304" s="6732" t="str">
        <f t="shared" si="121"/>
        <v/>
      </c>
      <c r="AI304" s="6234" t="str">
        <f t="shared" si="122"/>
        <v/>
      </c>
      <c r="AJ304" s="6732" t="str">
        <f t="shared" si="123"/>
        <v/>
      </c>
      <c r="AK304" s="6732">
        <f t="shared" si="124"/>
        <v>0</v>
      </c>
      <c r="AL304" s="6230" t="str" cm="1">
        <f t="array" ref="AL304">IF(AF304&lt;&gt;"A","",IFERROR((IFERROR(_xlfn.XLOOKUP(TRIM(SUBSTITUTE(U304,CHAR(160)," ")),$BJ$15:$BJ$62,$BM$15:$BM$62),IFERROR(_xlfn.XLOOKUP(TRIM(SUBSTITUTE(U304,CHAR(160)," ")),$BK$15:$BK$62,$BM$15:$BM$62),_xlfn.XLOOKUP(TRIM(SUBSTITUTE(U304,CHAR(160)," ")),$BL$15:$BL$62,$BM$15:$BM$62))))*T304*IF(ISBLANK(Q304),1,Q304)+IFERROR(_xlfn.XLOOKUP("RECHERCHEX",TRIM(L304:AD304),L304:AD304),0),0))</f>
        <v/>
      </c>
      <c r="AM304" s="6229">
        <f t="shared" si="125"/>
        <v>0</v>
      </c>
      <c r="AN304" s="6857" t="str">
        <f t="shared" si="140"/>
        <v/>
      </c>
      <c r="AO304" s="392">
        <f t="shared" si="126"/>
        <v>0</v>
      </c>
      <c r="AP304" s="392">
        <f t="shared" si="127"/>
        <v>0</v>
      </c>
      <c r="AQ304" s="6190">
        <f t="shared" si="128"/>
        <v>0</v>
      </c>
      <c r="AR304" s="6858" t="str">
        <f t="shared" si="129"/>
        <v/>
      </c>
      <c r="AS304" s="6217"/>
      <c r="AT304" s="6217"/>
      <c r="AU304" s="6271">
        <f t="shared" si="130"/>
        <v>0</v>
      </c>
      <c r="AV304" s="6242">
        <f t="shared" si="131"/>
        <v>0</v>
      </c>
      <c r="AW304" s="6188" cm="1">
        <f t="array" ref="AW304">IF(AK304&lt;&gt;1,0,IF(OR(AU304="",N(AU304)&lt;=0.000000001),"",IF(OR(AO304="",N(AO304)&lt;=0.000000001),0,IF(ISNUMBER(AU304),IFERROR(_xlfn.LET(_xlpm.ai_test,TRIM(AJ304),_xlpm.r,IFERROR(_xlfn.XLOOKUP(_xlpm.ai_test,$BJ$15:$BJ$62,ROW($BJ$15:$BJ$62),0,1),IFERROR(_xlfn.XLOOKUP(_xlpm.ai_test,$BK$15:$BK$62,ROW($BK$15:$BK$62),0,1),_xlfn.XLOOKUP(_xlpm.ai_test,$BL$15:$BL$62,ROW($BL$15:$BL$62),0,1))),_xlpm.p,_xlpm.r-MIN(ROW($BJ$15:$BJ$62))+1,_xlpm.f,INDEX($BM$15:$BM$62,_xlpm.p),_xlpm.u,INDEX($BN$15:$BN$62,_xlpm.p),_xlpm.s,INDEX($BP$15:$BP$62,_xlpm.p),_xlpm.q,N(AU304)/_xlpm.f,IF(_xlpm.q&gt;=_xlpm.s,ROUND(_xlpm.q,1)&amp;" "&amp;_xlpm.ai_test&amp;" = "&amp;ROUND(_xlpm.q*_xlpm.f,1)&amp;" "&amp;_xlpm.u,ROUND(_xlpm.q,1)&amp;" "&amp;_xlpm.ai_test)),""),""))))</f>
        <v>0</v>
      </c>
      <c r="AX304" s="6218"/>
      <c r="AY304" s="6271">
        <f t="shared" si="132"/>
        <v>0</v>
      </c>
      <c r="AZ304" s="6242" t="str">
        <f t="shared" si="133"/>
        <v/>
      </c>
      <c r="BA304" s="6194">
        <f t="shared" si="138"/>
        <v>0</v>
      </c>
      <c r="BB304" s="6192" t="str">
        <f t="shared" si="134"/>
        <v/>
      </c>
      <c r="BC304" s="6219"/>
      <c r="BD304" s="6221">
        <f t="shared" si="139"/>
        <v>0</v>
      </c>
      <c r="BE304" s="6220" t="str">
        <f t="shared" si="135"/>
        <v/>
      </c>
      <c r="BF304" s="4" t="s">
        <v>1</v>
      </c>
      <c r="BG304" s="6196">
        <f t="shared" si="136"/>
        <v>0</v>
      </c>
      <c r="BH304" s="6197">
        <f t="shared" si="137"/>
        <v>0</v>
      </c>
      <c r="BI304"/>
      <c r="BJ304" s="1"/>
      <c r="BK304" s="1"/>
      <c r="BL304" s="1"/>
      <c r="BM304" s="1"/>
      <c r="BN304" s="1"/>
      <c r="BO304" s="1"/>
      <c r="BP304" s="1"/>
      <c r="BQ304" s="1"/>
      <c r="BR304"/>
      <c r="BS304"/>
      <c r="BT304"/>
      <c r="BU304"/>
      <c r="BV304"/>
      <c r="BW304"/>
      <c r="BX304" s="20" t="str">
        <f t="shared" si="118"/>
        <v>►</v>
      </c>
      <c r="BY304"/>
      <c r="BZ304"/>
      <c r="CA304"/>
      <c r="CB304"/>
      <c r="CC304"/>
      <c r="CE304"/>
      <c r="CF304"/>
      <c r="CG304"/>
      <c r="CH304"/>
      <c r="CI304"/>
      <c r="CJ304"/>
      <c r="CK304"/>
      <c r="CM304"/>
      <c r="CN304"/>
      <c r="CO304"/>
      <c r="CP304"/>
      <c r="CQ304"/>
      <c r="CR304"/>
      <c r="CS304"/>
      <c r="CU304"/>
      <c r="CV304"/>
      <c r="CW304"/>
      <c r="CX304"/>
      <c r="CY304"/>
      <c r="CZ304"/>
      <c r="DA304"/>
      <c r="DC304" s="5">
        <v>1</v>
      </c>
      <c r="DD304" s="1"/>
      <c r="DE304" s="1"/>
    </row>
    <row r="305" spans="1:109" s="2" customFormat="1" ht="21" customHeight="1">
      <c r="A305" s="5641" t="s">
        <v>1</v>
      </c>
      <c r="B305" s="6123">
        <v>3</v>
      </c>
      <c r="C305" s="6123">
        <v>9</v>
      </c>
      <c r="D305" s="6123">
        <v>12</v>
      </c>
      <c r="E305" s="6123">
        <v>12</v>
      </c>
      <c r="F305" s="6123">
        <v>3</v>
      </c>
      <c r="G305" s="6123">
        <v>9</v>
      </c>
      <c r="H305" s="6123">
        <v>12</v>
      </c>
      <c r="I305" s="6123">
        <v>13</v>
      </c>
      <c r="J305" s="6123">
        <v>40</v>
      </c>
      <c r="K305" s="106" t="s">
        <v>1</v>
      </c>
      <c r="L305" s="1021" t="s">
        <v>26</v>
      </c>
      <c r="M305" s="6787"/>
      <c r="N305" s="6787"/>
      <c r="O305" s="6787"/>
      <c r="P305" s="6788"/>
      <c r="Q305" s="6789"/>
      <c r="R305" s="6790"/>
      <c r="S305" s="6786"/>
      <c r="T305" s="6791"/>
      <c r="U305" s="6844"/>
      <c r="V305" s="6791"/>
      <c r="W305" s="8487"/>
      <c r="X305" s="6871"/>
      <c r="Y305" s="6793"/>
      <c r="Z305" s="6794"/>
      <c r="AA305" s="6795"/>
      <c r="AB305" s="6796"/>
      <c r="AC305" s="6797"/>
      <c r="AD305" s="6798"/>
      <c r="AE305" s="4" t="s">
        <v>1</v>
      </c>
      <c r="AF305" s="6202" t="str">
        <f t="shared" si="119"/>
        <v>►</v>
      </c>
      <c r="AG305" s="6234" t="str">
        <f t="shared" si="120"/>
        <v/>
      </c>
      <c r="AH305" s="6732" t="str">
        <f t="shared" si="121"/>
        <v/>
      </c>
      <c r="AI305" s="6234" t="str">
        <f t="shared" si="122"/>
        <v/>
      </c>
      <c r="AJ305" s="6732" t="str">
        <f t="shared" si="123"/>
        <v/>
      </c>
      <c r="AK305" s="6732">
        <f t="shared" si="124"/>
        <v>0</v>
      </c>
      <c r="AL305" s="6230" t="str" cm="1">
        <f t="array" ref="AL305">IF(AF305&lt;&gt;"A","",IFERROR((IFERROR(_xlfn.XLOOKUP(TRIM(SUBSTITUTE(U305,CHAR(160)," ")),$BJ$15:$BJ$62,$BM$15:$BM$62),IFERROR(_xlfn.XLOOKUP(TRIM(SUBSTITUTE(U305,CHAR(160)," ")),$BK$15:$BK$62,$BM$15:$BM$62),_xlfn.XLOOKUP(TRIM(SUBSTITUTE(U305,CHAR(160)," ")),$BL$15:$BL$62,$BM$15:$BM$62))))*T305*IF(ISBLANK(Q305),1,Q305)+IFERROR(_xlfn.XLOOKUP("RECHERCHEX",TRIM(L305:AD305),L305:AD305),0),0))</f>
        <v/>
      </c>
      <c r="AM305" s="6229">
        <f t="shared" si="125"/>
        <v>0</v>
      </c>
      <c r="AN305" s="6857" t="str">
        <f t="shared" si="140"/>
        <v/>
      </c>
      <c r="AO305" s="392">
        <f t="shared" si="126"/>
        <v>0</v>
      </c>
      <c r="AP305" s="392">
        <f t="shared" si="127"/>
        <v>0</v>
      </c>
      <c r="AQ305" s="6191">
        <f t="shared" si="128"/>
        <v>0</v>
      </c>
      <c r="AR305" s="6859" t="str">
        <f t="shared" si="129"/>
        <v/>
      </c>
      <c r="AS305" s="6217"/>
      <c r="AT305" s="6217"/>
      <c r="AU305" s="6272">
        <f t="shared" si="130"/>
        <v>0</v>
      </c>
      <c r="AV305" s="6240">
        <f t="shared" si="131"/>
        <v>0</v>
      </c>
      <c r="AW305" s="6189" cm="1">
        <f t="array" ref="AW305">IF(AK305&lt;&gt;1,0,IF(OR(AU305="",N(AU305)&lt;=0.000000001),"",IF(OR(AO305="",N(AO305)&lt;=0.000000001),0,IF(ISNUMBER(AU305),IFERROR(_xlfn.LET(_xlpm.ai_test,TRIM(AJ305),_xlpm.r,IFERROR(_xlfn.XLOOKUP(_xlpm.ai_test,$BJ$15:$BJ$62,ROW($BJ$15:$BJ$62),0,1),IFERROR(_xlfn.XLOOKUP(_xlpm.ai_test,$BK$15:$BK$62,ROW($BK$15:$BK$62),0,1),_xlfn.XLOOKUP(_xlpm.ai_test,$BL$15:$BL$62,ROW($BL$15:$BL$62),0,1))),_xlpm.p,_xlpm.r-MIN(ROW($BJ$15:$BJ$62))+1,_xlpm.f,INDEX($BM$15:$BM$62,_xlpm.p),_xlpm.u,INDEX($BN$15:$BN$62,_xlpm.p),_xlpm.s,INDEX($BP$15:$BP$62,_xlpm.p),_xlpm.q,N(AU305)/_xlpm.f,IF(_xlpm.q&gt;=_xlpm.s,ROUND(_xlpm.q,1)&amp;" "&amp;_xlpm.ai_test&amp;" = "&amp;ROUND(_xlpm.q*_xlpm.f,1)&amp;" "&amp;_xlpm.u,ROUND(_xlpm.q,1)&amp;" "&amp;_xlpm.ai_test)),""),""))))</f>
        <v>0</v>
      </c>
      <c r="AX305" s="6218"/>
      <c r="AY305" s="6272">
        <f t="shared" si="132"/>
        <v>0</v>
      </c>
      <c r="AZ305" s="6240" t="str">
        <f t="shared" si="133"/>
        <v/>
      </c>
      <c r="BA305" s="6195">
        <f t="shared" si="138"/>
        <v>0</v>
      </c>
      <c r="BB305" s="6193" t="str">
        <f t="shared" si="134"/>
        <v/>
      </c>
      <c r="BC305" s="6219"/>
      <c r="BD305" s="6222">
        <f t="shared" si="139"/>
        <v>0</v>
      </c>
      <c r="BE305" s="6220" t="str">
        <f t="shared" si="135"/>
        <v/>
      </c>
      <c r="BF305" s="4" t="s">
        <v>1</v>
      </c>
      <c r="BG305" s="6196">
        <f t="shared" si="136"/>
        <v>0</v>
      </c>
      <c r="BH305" s="6197">
        <f t="shared" si="137"/>
        <v>0</v>
      </c>
      <c r="BI305"/>
      <c r="BJ305" s="1"/>
      <c r="BK305" s="1"/>
      <c r="BL305" s="1"/>
      <c r="BM305" s="1"/>
      <c r="BN305" s="1"/>
      <c r="BO305" s="1"/>
      <c r="BP305" s="1"/>
      <c r="BQ305" s="1"/>
      <c r="BR305"/>
      <c r="BS305"/>
      <c r="BT305"/>
      <c r="BU305"/>
      <c r="BV305"/>
      <c r="BW305"/>
      <c r="BX305" s="20" t="str">
        <f t="shared" si="118"/>
        <v>►</v>
      </c>
      <c r="BY305"/>
      <c r="BZ305"/>
      <c r="CA305"/>
      <c r="CB305"/>
      <c r="CC305"/>
      <c r="CE305"/>
      <c r="CF305"/>
      <c r="CG305"/>
      <c r="CH305"/>
      <c r="CI305"/>
      <c r="CJ305"/>
      <c r="CK305"/>
      <c r="CM305"/>
      <c r="CN305"/>
      <c r="CO305"/>
      <c r="CP305"/>
      <c r="CQ305"/>
      <c r="CR305"/>
      <c r="CS305"/>
      <c r="CU305"/>
      <c r="CV305"/>
      <c r="CW305"/>
      <c r="CX305"/>
      <c r="CY305"/>
      <c r="CZ305"/>
      <c r="DA305"/>
      <c r="DC305" s="5">
        <v>1</v>
      </c>
      <c r="DD305" s="1"/>
      <c r="DE305" s="1"/>
    </row>
    <row r="306" spans="1:109" s="2" customFormat="1" ht="21" customHeight="1" thickBot="1">
      <c r="A306" s="5641" t="s">
        <v>1</v>
      </c>
      <c r="B306" s="441" t="str">
        <f>L306</f>
        <v>►</v>
      </c>
      <c r="C306" s="441">
        <f t="shared" ref="C306:J306" ca="1" si="141">CELL("largeur",C306)</f>
        <v>9</v>
      </c>
      <c r="D306" s="441">
        <f t="shared" ca="1" si="141"/>
        <v>12</v>
      </c>
      <c r="E306" s="441">
        <f t="shared" ca="1" si="141"/>
        <v>12</v>
      </c>
      <c r="F306" s="441">
        <f t="shared" ca="1" si="141"/>
        <v>3</v>
      </c>
      <c r="G306" s="441">
        <f t="shared" ca="1" si="141"/>
        <v>9</v>
      </c>
      <c r="H306" s="441">
        <f t="shared" ca="1" si="141"/>
        <v>12</v>
      </c>
      <c r="I306" s="441">
        <f t="shared" ca="1" si="141"/>
        <v>13</v>
      </c>
      <c r="J306" s="441">
        <f t="shared" ca="1" si="141"/>
        <v>40</v>
      </c>
      <c r="K306" s="106" t="s">
        <v>1</v>
      </c>
      <c r="L306" s="1021" t="s">
        <v>26</v>
      </c>
      <c r="M306" s="6787"/>
      <c r="N306" s="6787"/>
      <c r="O306" s="6787"/>
      <c r="P306" s="6788"/>
      <c r="Q306" s="6789"/>
      <c r="R306" s="6790"/>
      <c r="S306" s="6786"/>
      <c r="T306" s="6791"/>
      <c r="U306" s="6844"/>
      <c r="V306" s="6791"/>
      <c r="W306" s="8487"/>
      <c r="X306" s="6871"/>
      <c r="Y306" s="6793"/>
      <c r="Z306" s="6794"/>
      <c r="AA306" s="6795"/>
      <c r="AB306" s="6796"/>
      <c r="AC306" s="6797"/>
      <c r="AD306" s="6798"/>
      <c r="AE306" s="4" t="s">
        <v>1</v>
      </c>
      <c r="AF306" s="6202" t="str">
        <f t="shared" si="119"/>
        <v>►</v>
      </c>
      <c r="AG306" s="6234" t="str">
        <f t="shared" si="120"/>
        <v/>
      </c>
      <c r="AH306" s="6732" t="str">
        <f t="shared" si="121"/>
        <v/>
      </c>
      <c r="AI306" s="6234" t="str">
        <f t="shared" si="122"/>
        <v/>
      </c>
      <c r="AJ306" s="6732" t="str">
        <f t="shared" si="123"/>
        <v/>
      </c>
      <c r="AK306" s="6732">
        <f t="shared" si="124"/>
        <v>0</v>
      </c>
      <c r="AL306" s="6230" t="str" cm="1">
        <f t="array" ref="AL306">IF(AF306&lt;&gt;"A","",IFERROR((IFERROR(_xlfn.XLOOKUP(TRIM(SUBSTITUTE(U306,CHAR(160)," ")),$BJ$15:$BJ$62,$BM$15:$BM$62),IFERROR(_xlfn.XLOOKUP(TRIM(SUBSTITUTE(U306,CHAR(160)," ")),$BK$15:$BK$62,$BM$15:$BM$62),_xlfn.XLOOKUP(TRIM(SUBSTITUTE(U306,CHAR(160)," ")),$BL$15:$BL$62,$BM$15:$BM$62))))*T306*IF(ISBLANK(Q306),1,Q306)+IFERROR(_xlfn.XLOOKUP("RECHERCHEX",TRIM(L306:AD306),L306:AD306),0),0))</f>
        <v/>
      </c>
      <c r="AM306" s="6229">
        <f t="shared" si="125"/>
        <v>0</v>
      </c>
      <c r="AN306" s="6857" t="str">
        <f t="shared" si="140"/>
        <v/>
      </c>
      <c r="AO306" s="392">
        <f t="shared" si="126"/>
        <v>0</v>
      </c>
      <c r="AP306" s="392">
        <f t="shared" si="127"/>
        <v>0</v>
      </c>
      <c r="AQ306" s="6190">
        <f t="shared" si="128"/>
        <v>0</v>
      </c>
      <c r="AR306" s="6858" t="str">
        <f t="shared" si="129"/>
        <v/>
      </c>
      <c r="AS306" s="6217"/>
      <c r="AT306" s="6217"/>
      <c r="AU306" s="6271">
        <f t="shared" si="130"/>
        <v>0</v>
      </c>
      <c r="AV306" s="6242">
        <f t="shared" si="131"/>
        <v>0</v>
      </c>
      <c r="AW306" s="6188" cm="1">
        <f t="array" ref="AW306">IF(AK306&lt;&gt;1,0,IF(OR(AU306="",N(AU306)&lt;=0.000000001),"",IF(OR(AO306="",N(AO306)&lt;=0.000000001),0,IF(ISNUMBER(AU306),IFERROR(_xlfn.LET(_xlpm.ai_test,TRIM(AJ306),_xlpm.r,IFERROR(_xlfn.XLOOKUP(_xlpm.ai_test,$BJ$15:$BJ$62,ROW($BJ$15:$BJ$62),0,1),IFERROR(_xlfn.XLOOKUP(_xlpm.ai_test,$BK$15:$BK$62,ROW($BK$15:$BK$62),0,1),_xlfn.XLOOKUP(_xlpm.ai_test,$BL$15:$BL$62,ROW($BL$15:$BL$62),0,1))),_xlpm.p,_xlpm.r-MIN(ROW($BJ$15:$BJ$62))+1,_xlpm.f,INDEX($BM$15:$BM$62,_xlpm.p),_xlpm.u,INDEX($BN$15:$BN$62,_xlpm.p),_xlpm.s,INDEX($BP$15:$BP$62,_xlpm.p),_xlpm.q,N(AU306)/_xlpm.f,IF(_xlpm.q&gt;=_xlpm.s,ROUND(_xlpm.q,1)&amp;" "&amp;_xlpm.ai_test&amp;" = "&amp;ROUND(_xlpm.q*_xlpm.f,1)&amp;" "&amp;_xlpm.u,ROUND(_xlpm.q,1)&amp;" "&amp;_xlpm.ai_test)),""),""))))</f>
        <v>0</v>
      </c>
      <c r="AX306" s="6218"/>
      <c r="AY306" s="6271">
        <f t="shared" si="132"/>
        <v>0</v>
      </c>
      <c r="AZ306" s="6242" t="str">
        <f t="shared" si="133"/>
        <v/>
      </c>
      <c r="BA306" s="6194">
        <f t="shared" si="138"/>
        <v>0</v>
      </c>
      <c r="BB306" s="6192" t="str">
        <f t="shared" si="134"/>
        <v/>
      </c>
      <c r="BC306" s="6219"/>
      <c r="BD306" s="6221">
        <f t="shared" si="139"/>
        <v>0</v>
      </c>
      <c r="BE306" s="6220" t="str">
        <f t="shared" si="135"/>
        <v/>
      </c>
      <c r="BF306" s="4" t="s">
        <v>1</v>
      </c>
      <c r="BG306" s="6196">
        <f t="shared" si="136"/>
        <v>0</v>
      </c>
      <c r="BH306" s="6197">
        <f t="shared" si="137"/>
        <v>0</v>
      </c>
      <c r="BI306"/>
      <c r="BJ306" s="1"/>
      <c r="BK306" s="1"/>
      <c r="BL306" s="1"/>
      <c r="BM306" s="1"/>
      <c r="BN306" s="1"/>
      <c r="BO306" s="1"/>
      <c r="BP306" s="1"/>
      <c r="BQ306" s="1"/>
      <c r="BR306"/>
      <c r="BS306"/>
      <c r="BT306"/>
      <c r="BU306"/>
      <c r="BV306"/>
      <c r="BW306"/>
      <c r="BX306" s="20" t="str">
        <f t="shared" si="118"/>
        <v>►</v>
      </c>
      <c r="BY306"/>
      <c r="BZ306"/>
      <c r="CA306"/>
      <c r="CB306"/>
      <c r="CC306"/>
      <c r="CE306"/>
      <c r="CF306"/>
      <c r="CG306"/>
      <c r="CH306"/>
      <c r="CI306"/>
      <c r="CJ306"/>
      <c r="CK306"/>
      <c r="CM306"/>
      <c r="CN306"/>
      <c r="CO306"/>
      <c r="CP306"/>
      <c r="CQ306"/>
      <c r="CR306"/>
      <c r="CS306"/>
      <c r="CU306"/>
      <c r="CV306"/>
      <c r="CW306"/>
      <c r="CX306"/>
      <c r="CY306"/>
      <c r="CZ306"/>
      <c r="DA306"/>
      <c r="DC306" s="5">
        <v>1</v>
      </c>
    </row>
    <row r="307" spans="1:109" s="1" customFormat="1" ht="21" customHeight="1">
      <c r="A307" s="5641" t="s">
        <v>1</v>
      </c>
      <c r="B307" s="4" t="str">
        <f>L307</f>
        <v>►</v>
      </c>
      <c r="C307" s="4"/>
      <c r="D307" s="473"/>
      <c r="E307" s="473"/>
      <c r="F307" s="473"/>
      <c r="G307" s="473"/>
      <c r="H307" s="473"/>
      <c r="I307" s="473"/>
      <c r="J307" s="473"/>
      <c r="K307" s="106" t="s">
        <v>1</v>
      </c>
      <c r="L307" s="1021" t="s">
        <v>26</v>
      </c>
      <c r="M307" s="6787"/>
      <c r="N307" s="6787"/>
      <c r="O307" s="6787"/>
      <c r="P307" s="6788"/>
      <c r="Q307" s="6789"/>
      <c r="R307" s="6790"/>
      <c r="S307" s="6786"/>
      <c r="T307" s="6791"/>
      <c r="U307" s="6844"/>
      <c r="V307" s="6791"/>
      <c r="W307" s="8487"/>
      <c r="X307" s="6871"/>
      <c r="Y307" s="6793"/>
      <c r="Z307" s="6794"/>
      <c r="AA307" s="6795"/>
      <c r="AB307" s="6796"/>
      <c r="AC307" s="6797"/>
      <c r="AD307" s="6798"/>
      <c r="AE307" s="4" t="s">
        <v>1</v>
      </c>
      <c r="AF307" s="6202" t="str">
        <f t="shared" si="119"/>
        <v>►</v>
      </c>
      <c r="AG307" s="6234" t="str">
        <f t="shared" si="120"/>
        <v/>
      </c>
      <c r="AH307" s="6732" t="str">
        <f t="shared" si="121"/>
        <v/>
      </c>
      <c r="AI307" s="6234" t="str">
        <f t="shared" si="122"/>
        <v/>
      </c>
      <c r="AJ307" s="6732" t="str">
        <f t="shared" si="123"/>
        <v/>
      </c>
      <c r="AK307" s="6732">
        <f t="shared" si="124"/>
        <v>0</v>
      </c>
      <c r="AL307" s="6230" t="str" cm="1">
        <f t="array" ref="AL307">IF(AF307&lt;&gt;"A","",IFERROR((IFERROR(_xlfn.XLOOKUP(TRIM(SUBSTITUTE(U307,CHAR(160)," ")),$BJ$15:$BJ$62,$BM$15:$BM$62),IFERROR(_xlfn.XLOOKUP(TRIM(SUBSTITUTE(U307,CHAR(160)," ")),$BK$15:$BK$62,$BM$15:$BM$62),_xlfn.XLOOKUP(TRIM(SUBSTITUTE(U307,CHAR(160)," ")),$BL$15:$BL$62,$BM$15:$BM$62))))*T307*IF(ISBLANK(Q307),1,Q307)+IFERROR(_xlfn.XLOOKUP("RECHERCHEX",TRIM(L307:AD307),L307:AD307),0),0))</f>
        <v/>
      </c>
      <c r="AM307" s="6229">
        <f t="shared" si="125"/>
        <v>0</v>
      </c>
      <c r="AN307" s="6857" t="str">
        <f t="shared" si="140"/>
        <v/>
      </c>
      <c r="AO307" s="392">
        <f t="shared" si="126"/>
        <v>0</v>
      </c>
      <c r="AP307" s="392">
        <f t="shared" si="127"/>
        <v>0</v>
      </c>
      <c r="AQ307" s="6191">
        <f t="shared" si="128"/>
        <v>0</v>
      </c>
      <c r="AR307" s="6859" t="str">
        <f t="shared" si="129"/>
        <v/>
      </c>
      <c r="AS307" s="6217"/>
      <c r="AT307" s="6217"/>
      <c r="AU307" s="6272">
        <f t="shared" si="130"/>
        <v>0</v>
      </c>
      <c r="AV307" s="6240">
        <f t="shared" si="131"/>
        <v>0</v>
      </c>
      <c r="AW307" s="6189" cm="1">
        <f t="array" ref="AW307">IF(AK307&lt;&gt;1,0,IF(OR(AU307="",N(AU307)&lt;=0.000000001),"",IF(OR(AO307="",N(AO307)&lt;=0.000000001),0,IF(ISNUMBER(AU307),IFERROR(_xlfn.LET(_xlpm.ai_test,TRIM(AJ307),_xlpm.r,IFERROR(_xlfn.XLOOKUP(_xlpm.ai_test,$BJ$15:$BJ$62,ROW($BJ$15:$BJ$62),0,1),IFERROR(_xlfn.XLOOKUP(_xlpm.ai_test,$BK$15:$BK$62,ROW($BK$15:$BK$62),0,1),_xlfn.XLOOKUP(_xlpm.ai_test,$BL$15:$BL$62,ROW($BL$15:$BL$62),0,1))),_xlpm.p,_xlpm.r-MIN(ROW($BJ$15:$BJ$62))+1,_xlpm.f,INDEX($BM$15:$BM$62,_xlpm.p),_xlpm.u,INDEX($BN$15:$BN$62,_xlpm.p),_xlpm.s,INDEX($BP$15:$BP$62,_xlpm.p),_xlpm.q,N(AU307)/_xlpm.f,IF(_xlpm.q&gt;=_xlpm.s,ROUND(_xlpm.q,1)&amp;" "&amp;_xlpm.ai_test&amp;" = "&amp;ROUND(_xlpm.q*_xlpm.f,1)&amp;" "&amp;_xlpm.u,ROUND(_xlpm.q,1)&amp;" "&amp;_xlpm.ai_test)),""),""))))</f>
        <v>0</v>
      </c>
      <c r="AX307" s="6218"/>
      <c r="AY307" s="6272">
        <f t="shared" si="132"/>
        <v>0</v>
      </c>
      <c r="AZ307" s="6240" t="str">
        <f t="shared" si="133"/>
        <v/>
      </c>
      <c r="BA307" s="6195">
        <f t="shared" si="138"/>
        <v>0</v>
      </c>
      <c r="BB307" s="6193" t="str">
        <f t="shared" si="134"/>
        <v/>
      </c>
      <c r="BC307" s="6219"/>
      <c r="BD307" s="6222">
        <f t="shared" si="139"/>
        <v>0</v>
      </c>
      <c r="BE307" s="6220" t="str">
        <f t="shared" si="135"/>
        <v/>
      </c>
      <c r="BF307" s="4" t="s">
        <v>1</v>
      </c>
      <c r="BG307" s="6196">
        <f t="shared" si="136"/>
        <v>0</v>
      </c>
      <c r="BH307" s="6197">
        <f t="shared" si="137"/>
        <v>0</v>
      </c>
      <c r="BI307"/>
      <c r="BR307"/>
      <c r="BS307"/>
      <c r="BT307"/>
      <c r="BU307"/>
      <c r="BV307"/>
      <c r="BW307"/>
      <c r="BX307" s="20" t="str">
        <f t="shared" si="118"/>
        <v>►</v>
      </c>
      <c r="BY307"/>
      <c r="BZ307"/>
      <c r="CA307"/>
      <c r="CB307"/>
      <c r="CC307"/>
      <c r="CD307" s="2"/>
      <c r="CE307"/>
      <c r="CF307"/>
      <c r="CG307"/>
      <c r="CH307"/>
      <c r="CI307"/>
      <c r="CJ307"/>
      <c r="CK307"/>
      <c r="CL307" s="2"/>
      <c r="CM307"/>
      <c r="CN307"/>
      <c r="CO307"/>
      <c r="CP307"/>
      <c r="CQ307"/>
      <c r="CR307"/>
      <c r="CS307"/>
      <c r="CT307" s="2"/>
      <c r="CU307"/>
      <c r="CV307"/>
      <c r="CW307"/>
      <c r="CX307"/>
      <c r="CY307"/>
      <c r="CZ307"/>
      <c r="DA307"/>
      <c r="DB307" s="2"/>
      <c r="DC307" s="5">
        <v>1</v>
      </c>
    </row>
    <row r="308" spans="1:109" ht="21" customHeight="1">
      <c r="L308" s="1021" t="s">
        <v>26</v>
      </c>
      <c r="M308" s="6787"/>
      <c r="N308" s="6787"/>
      <c r="O308" s="6787"/>
      <c r="P308" s="6788"/>
      <c r="Q308" s="6789"/>
      <c r="R308" s="6790"/>
      <c r="S308" s="6786"/>
      <c r="T308" s="6791"/>
      <c r="U308" s="6844"/>
      <c r="V308" s="6791"/>
      <c r="W308" s="8487"/>
      <c r="X308" s="6871"/>
      <c r="Y308" s="6793"/>
      <c r="Z308" s="6794"/>
      <c r="AA308" s="6795"/>
      <c r="AB308" s="6796"/>
      <c r="AC308" s="6797"/>
      <c r="AD308" s="6798"/>
      <c r="AE308" s="4" t="s">
        <v>1</v>
      </c>
      <c r="AF308" s="6202" t="str">
        <f t="shared" si="119"/>
        <v>►</v>
      </c>
      <c r="AG308" s="6234" t="str">
        <f t="shared" si="120"/>
        <v/>
      </c>
      <c r="AH308" s="6732" t="str">
        <f t="shared" si="121"/>
        <v/>
      </c>
      <c r="AI308" s="6234" t="str">
        <f t="shared" si="122"/>
        <v/>
      </c>
      <c r="AJ308" s="6732" t="str">
        <f t="shared" si="123"/>
        <v/>
      </c>
      <c r="AK308" s="6732">
        <f t="shared" si="124"/>
        <v>0</v>
      </c>
      <c r="AL308" s="6230" t="str" cm="1">
        <f t="array" ref="AL308">IF(AF308&lt;&gt;"A","",IFERROR((IFERROR(_xlfn.XLOOKUP(TRIM(SUBSTITUTE(U308,CHAR(160)," ")),$BJ$15:$BJ$62,$BM$15:$BM$62),IFERROR(_xlfn.XLOOKUP(TRIM(SUBSTITUTE(U308,CHAR(160)," ")),$BK$15:$BK$62,$BM$15:$BM$62),_xlfn.XLOOKUP(TRIM(SUBSTITUTE(U308,CHAR(160)," ")),$BL$15:$BL$62,$BM$15:$BM$62))))*T308*IF(ISBLANK(Q308),1,Q308)+IFERROR(_xlfn.XLOOKUP("RECHERCHEX",TRIM(L308:AD308),L308:AD308),0),0))</f>
        <v/>
      </c>
      <c r="AM308" s="6229">
        <f t="shared" si="125"/>
        <v>0</v>
      </c>
      <c r="AN308" s="6857" t="str">
        <f t="shared" si="140"/>
        <v/>
      </c>
      <c r="AO308" s="392">
        <f t="shared" si="126"/>
        <v>0</v>
      </c>
      <c r="AP308" s="392">
        <f t="shared" si="127"/>
        <v>0</v>
      </c>
      <c r="AQ308" s="6190">
        <f t="shared" si="128"/>
        <v>0</v>
      </c>
      <c r="AR308" s="6858" t="str">
        <f t="shared" si="129"/>
        <v/>
      </c>
      <c r="AS308" s="6217"/>
      <c r="AT308" s="6217"/>
      <c r="AU308" s="6271">
        <f t="shared" si="130"/>
        <v>0</v>
      </c>
      <c r="AV308" s="6242">
        <f t="shared" si="131"/>
        <v>0</v>
      </c>
      <c r="AW308" s="6188" cm="1">
        <f t="array" ref="AW308">IF(AK308&lt;&gt;1,0,IF(OR(AU308="",N(AU308)&lt;=0.000000001),"",IF(OR(AO308="",N(AO308)&lt;=0.000000001),0,IF(ISNUMBER(AU308),IFERROR(_xlfn.LET(_xlpm.ai_test,TRIM(AJ308),_xlpm.r,IFERROR(_xlfn.XLOOKUP(_xlpm.ai_test,$BJ$15:$BJ$62,ROW($BJ$15:$BJ$62),0,1),IFERROR(_xlfn.XLOOKUP(_xlpm.ai_test,$BK$15:$BK$62,ROW($BK$15:$BK$62),0,1),_xlfn.XLOOKUP(_xlpm.ai_test,$BL$15:$BL$62,ROW($BL$15:$BL$62),0,1))),_xlpm.p,_xlpm.r-MIN(ROW($BJ$15:$BJ$62))+1,_xlpm.f,INDEX($BM$15:$BM$62,_xlpm.p),_xlpm.u,INDEX($BN$15:$BN$62,_xlpm.p),_xlpm.s,INDEX($BP$15:$BP$62,_xlpm.p),_xlpm.q,N(AU308)/_xlpm.f,IF(_xlpm.q&gt;=_xlpm.s,ROUND(_xlpm.q,1)&amp;" "&amp;_xlpm.ai_test&amp;" = "&amp;ROUND(_xlpm.q*_xlpm.f,1)&amp;" "&amp;_xlpm.u,ROUND(_xlpm.q,1)&amp;" "&amp;_xlpm.ai_test)),""),""))))</f>
        <v>0</v>
      </c>
      <c r="AX308" s="6218"/>
      <c r="AY308" s="6271">
        <f t="shared" si="132"/>
        <v>0</v>
      </c>
      <c r="AZ308" s="6242" t="str">
        <f t="shared" si="133"/>
        <v/>
      </c>
      <c r="BA308" s="6194">
        <f t="shared" si="138"/>
        <v>0</v>
      </c>
      <c r="BB308" s="6192" t="str">
        <f t="shared" si="134"/>
        <v/>
      </c>
      <c r="BC308" s="6219"/>
      <c r="BD308" s="6221">
        <f t="shared" si="139"/>
        <v>0</v>
      </c>
      <c r="BE308" s="6220" t="str">
        <f t="shared" si="135"/>
        <v/>
      </c>
      <c r="BF308" s="4" t="s">
        <v>1</v>
      </c>
      <c r="BG308" s="6196">
        <f t="shared" si="136"/>
        <v>0</v>
      </c>
      <c r="BH308" s="6197">
        <f t="shared" si="137"/>
        <v>0</v>
      </c>
      <c r="BI308"/>
      <c r="BJ308" s="1"/>
      <c r="BK308" s="1"/>
      <c r="BL308" s="1"/>
      <c r="BM308" s="1"/>
      <c r="BN308" s="1"/>
      <c r="BO308" s="1"/>
      <c r="BP308" s="1"/>
      <c r="BQ308" s="1"/>
      <c r="BX308" s="20" t="str">
        <f t="shared" si="118"/>
        <v>►</v>
      </c>
      <c r="CC308"/>
      <c r="CD308" s="2"/>
      <c r="CL308" s="2"/>
      <c r="CT308" s="2"/>
      <c r="DB308" s="2"/>
      <c r="DC308" s="5">
        <v>1</v>
      </c>
    </row>
    <row r="309" spans="1:109" ht="21" customHeight="1">
      <c r="L309" s="1021" t="s">
        <v>26</v>
      </c>
      <c r="M309" s="6787"/>
      <c r="N309" s="6787"/>
      <c r="O309" s="6787"/>
      <c r="P309" s="6788"/>
      <c r="Q309" s="6789"/>
      <c r="R309" s="6790"/>
      <c r="S309" s="6786"/>
      <c r="T309" s="6791"/>
      <c r="U309" s="6844"/>
      <c r="V309" s="6791"/>
      <c r="W309" s="8487"/>
      <c r="X309" s="6871"/>
      <c r="Y309" s="6793"/>
      <c r="Z309" s="6794"/>
      <c r="AA309" s="6795"/>
      <c r="AB309" s="6796"/>
      <c r="AC309" s="6797"/>
      <c r="AD309" s="6798"/>
      <c r="AE309" s="4" t="s">
        <v>1</v>
      </c>
      <c r="AF309" s="6202" t="str">
        <f t="shared" si="119"/>
        <v>►</v>
      </c>
      <c r="AG309" s="6234" t="str">
        <f t="shared" si="120"/>
        <v/>
      </c>
      <c r="AH309" s="6732" t="str">
        <f t="shared" si="121"/>
        <v/>
      </c>
      <c r="AI309" s="6234" t="str">
        <f t="shared" si="122"/>
        <v/>
      </c>
      <c r="AJ309" s="6732" t="str">
        <f t="shared" si="123"/>
        <v/>
      </c>
      <c r="AK309" s="6732">
        <f t="shared" si="124"/>
        <v>0</v>
      </c>
      <c r="AL309" s="6230" t="str" cm="1">
        <f t="array" ref="AL309">IF(AF309&lt;&gt;"A","",IFERROR((IFERROR(_xlfn.XLOOKUP(TRIM(SUBSTITUTE(U309,CHAR(160)," ")),$BJ$15:$BJ$62,$BM$15:$BM$62),IFERROR(_xlfn.XLOOKUP(TRIM(SUBSTITUTE(U309,CHAR(160)," ")),$BK$15:$BK$62,$BM$15:$BM$62),_xlfn.XLOOKUP(TRIM(SUBSTITUTE(U309,CHAR(160)," ")),$BL$15:$BL$62,$BM$15:$BM$62))))*T309*IF(ISBLANK(Q309),1,Q309)+IFERROR(_xlfn.XLOOKUP("RECHERCHEX",TRIM(L309:AD309),L309:AD309),0),0))</f>
        <v/>
      </c>
      <c r="AM309" s="6229">
        <f t="shared" si="125"/>
        <v>0</v>
      </c>
      <c r="AN309" s="6857" t="str">
        <f t="shared" si="140"/>
        <v/>
      </c>
      <c r="AO309" s="392">
        <f t="shared" si="126"/>
        <v>0</v>
      </c>
      <c r="AP309" s="392">
        <f t="shared" si="127"/>
        <v>0</v>
      </c>
      <c r="AQ309" s="6191">
        <f t="shared" si="128"/>
        <v>0</v>
      </c>
      <c r="AR309" s="6859" t="str">
        <f t="shared" si="129"/>
        <v/>
      </c>
      <c r="AS309" s="6217"/>
      <c r="AT309" s="6217"/>
      <c r="AU309" s="6272">
        <f t="shared" si="130"/>
        <v>0</v>
      </c>
      <c r="AV309" s="6240">
        <f t="shared" si="131"/>
        <v>0</v>
      </c>
      <c r="AW309" s="6189" cm="1">
        <f t="array" ref="AW309">IF(AK309&lt;&gt;1,0,IF(OR(AU309="",N(AU309)&lt;=0.000000001),"",IF(OR(AO309="",N(AO309)&lt;=0.000000001),0,IF(ISNUMBER(AU309),IFERROR(_xlfn.LET(_xlpm.ai_test,TRIM(AJ309),_xlpm.r,IFERROR(_xlfn.XLOOKUP(_xlpm.ai_test,$BJ$15:$BJ$62,ROW($BJ$15:$BJ$62),0,1),IFERROR(_xlfn.XLOOKUP(_xlpm.ai_test,$BK$15:$BK$62,ROW($BK$15:$BK$62),0,1),_xlfn.XLOOKUP(_xlpm.ai_test,$BL$15:$BL$62,ROW($BL$15:$BL$62),0,1))),_xlpm.p,_xlpm.r-MIN(ROW($BJ$15:$BJ$62))+1,_xlpm.f,INDEX($BM$15:$BM$62,_xlpm.p),_xlpm.u,INDEX($BN$15:$BN$62,_xlpm.p),_xlpm.s,INDEX($BP$15:$BP$62,_xlpm.p),_xlpm.q,N(AU309)/_xlpm.f,IF(_xlpm.q&gt;=_xlpm.s,ROUND(_xlpm.q,1)&amp;" "&amp;_xlpm.ai_test&amp;" = "&amp;ROUND(_xlpm.q*_xlpm.f,1)&amp;" "&amp;_xlpm.u,ROUND(_xlpm.q,1)&amp;" "&amp;_xlpm.ai_test)),""),""))))</f>
        <v>0</v>
      </c>
      <c r="AX309" s="6218"/>
      <c r="AY309" s="6272">
        <f t="shared" si="132"/>
        <v>0</v>
      </c>
      <c r="AZ309" s="6240" t="str">
        <f t="shared" si="133"/>
        <v/>
      </c>
      <c r="BA309" s="6195">
        <f t="shared" si="138"/>
        <v>0</v>
      </c>
      <c r="BB309" s="6193" t="str">
        <f t="shared" si="134"/>
        <v/>
      </c>
      <c r="BC309" s="6219"/>
      <c r="BD309" s="6222">
        <f t="shared" si="139"/>
        <v>0</v>
      </c>
      <c r="BE309" s="6220" t="str">
        <f t="shared" si="135"/>
        <v/>
      </c>
      <c r="BF309" s="4" t="s">
        <v>1</v>
      </c>
      <c r="BG309" s="6196">
        <f t="shared" si="136"/>
        <v>0</v>
      </c>
      <c r="BH309" s="6197">
        <f t="shared" si="137"/>
        <v>0</v>
      </c>
      <c r="BI309"/>
      <c r="BJ309" s="1"/>
      <c r="BK309" s="1"/>
      <c r="BL309" s="1"/>
      <c r="BM309" s="1"/>
      <c r="BN309" s="1"/>
      <c r="BO309" s="1"/>
      <c r="BP309" s="1"/>
      <c r="BQ309" s="1"/>
      <c r="BX309" s="20" t="str">
        <f t="shared" si="118"/>
        <v>►</v>
      </c>
      <c r="CC309"/>
      <c r="CD309" s="2"/>
      <c r="CL309" s="2"/>
      <c r="CT309" s="2"/>
      <c r="DB309" s="2"/>
      <c r="DC309" s="5">
        <v>1</v>
      </c>
    </row>
    <row r="310" spans="1:109" ht="21" customHeight="1">
      <c r="L310" s="1021" t="s">
        <v>26</v>
      </c>
      <c r="M310" s="6787"/>
      <c r="N310" s="6787"/>
      <c r="O310" s="6787"/>
      <c r="P310" s="6788"/>
      <c r="Q310" s="6789"/>
      <c r="R310" s="6790"/>
      <c r="S310" s="6786"/>
      <c r="T310" s="6791"/>
      <c r="U310" s="6844"/>
      <c r="V310" s="6791"/>
      <c r="W310" s="8487"/>
      <c r="X310" s="6871"/>
      <c r="Y310" s="6793"/>
      <c r="Z310" s="6794"/>
      <c r="AA310" s="6795"/>
      <c r="AB310" s="6796"/>
      <c r="AC310" s="6797"/>
      <c r="AD310" s="6798"/>
      <c r="AE310" s="4" t="s">
        <v>1</v>
      </c>
      <c r="AF310" s="6202" t="str">
        <f t="shared" si="119"/>
        <v>►</v>
      </c>
      <c r="AG310" s="6234" t="str">
        <f t="shared" si="120"/>
        <v/>
      </c>
      <c r="AH310" s="6732" t="str">
        <f t="shared" si="121"/>
        <v/>
      </c>
      <c r="AI310" s="6234" t="str">
        <f t="shared" si="122"/>
        <v/>
      </c>
      <c r="AJ310" s="6732" t="str">
        <f t="shared" si="123"/>
        <v/>
      </c>
      <c r="AK310" s="6732">
        <f t="shared" si="124"/>
        <v>0</v>
      </c>
      <c r="AL310" s="6230" t="str" cm="1">
        <f t="array" ref="AL310">IF(AF310&lt;&gt;"A","",IFERROR((IFERROR(_xlfn.XLOOKUP(TRIM(SUBSTITUTE(U310,CHAR(160)," ")),$BJ$15:$BJ$62,$BM$15:$BM$62),IFERROR(_xlfn.XLOOKUP(TRIM(SUBSTITUTE(U310,CHAR(160)," ")),$BK$15:$BK$62,$BM$15:$BM$62),_xlfn.XLOOKUP(TRIM(SUBSTITUTE(U310,CHAR(160)," ")),$BL$15:$BL$62,$BM$15:$BM$62))))*T310*IF(ISBLANK(Q310),1,Q310)+IFERROR(_xlfn.XLOOKUP("RECHERCHEX",TRIM(L310:AD310),L310:AD310),0),0))</f>
        <v/>
      </c>
      <c r="AM310" s="6229">
        <f t="shared" si="125"/>
        <v>0</v>
      </c>
      <c r="AN310" s="6857" t="str">
        <f t="shared" si="140"/>
        <v/>
      </c>
      <c r="AO310" s="392">
        <f t="shared" si="126"/>
        <v>0</v>
      </c>
      <c r="AP310" s="392">
        <f t="shared" si="127"/>
        <v>0</v>
      </c>
      <c r="AQ310" s="6190">
        <f t="shared" si="128"/>
        <v>0</v>
      </c>
      <c r="AR310" s="6858" t="str">
        <f t="shared" si="129"/>
        <v/>
      </c>
      <c r="AS310" s="6217"/>
      <c r="AT310" s="6217"/>
      <c r="AU310" s="6271">
        <f t="shared" si="130"/>
        <v>0</v>
      </c>
      <c r="AV310" s="6242">
        <f t="shared" si="131"/>
        <v>0</v>
      </c>
      <c r="AW310" s="6188" cm="1">
        <f t="array" ref="AW310">IF(AK310&lt;&gt;1,0,IF(OR(AU310="",N(AU310)&lt;=0.000000001),"",IF(OR(AO310="",N(AO310)&lt;=0.000000001),0,IF(ISNUMBER(AU310),IFERROR(_xlfn.LET(_xlpm.ai_test,TRIM(AJ310),_xlpm.r,IFERROR(_xlfn.XLOOKUP(_xlpm.ai_test,$BJ$15:$BJ$62,ROW($BJ$15:$BJ$62),0,1),IFERROR(_xlfn.XLOOKUP(_xlpm.ai_test,$BK$15:$BK$62,ROW($BK$15:$BK$62),0,1),_xlfn.XLOOKUP(_xlpm.ai_test,$BL$15:$BL$62,ROW($BL$15:$BL$62),0,1))),_xlpm.p,_xlpm.r-MIN(ROW($BJ$15:$BJ$62))+1,_xlpm.f,INDEX($BM$15:$BM$62,_xlpm.p),_xlpm.u,INDEX($BN$15:$BN$62,_xlpm.p),_xlpm.s,INDEX($BP$15:$BP$62,_xlpm.p),_xlpm.q,N(AU310)/_xlpm.f,IF(_xlpm.q&gt;=_xlpm.s,ROUND(_xlpm.q,1)&amp;" "&amp;_xlpm.ai_test&amp;" = "&amp;ROUND(_xlpm.q*_xlpm.f,1)&amp;" "&amp;_xlpm.u,ROUND(_xlpm.q,1)&amp;" "&amp;_xlpm.ai_test)),""),""))))</f>
        <v>0</v>
      </c>
      <c r="AX310" s="6218"/>
      <c r="AY310" s="6271">
        <f t="shared" si="132"/>
        <v>0</v>
      </c>
      <c r="AZ310" s="6242" t="str">
        <f t="shared" si="133"/>
        <v/>
      </c>
      <c r="BA310" s="6194">
        <f t="shared" si="138"/>
        <v>0</v>
      </c>
      <c r="BB310" s="6192" t="str">
        <f t="shared" si="134"/>
        <v/>
      </c>
      <c r="BC310" s="6219"/>
      <c r="BD310" s="6221">
        <f t="shared" si="139"/>
        <v>0</v>
      </c>
      <c r="BE310" s="6220" t="str">
        <f t="shared" si="135"/>
        <v/>
      </c>
      <c r="BF310" s="4" t="s">
        <v>1</v>
      </c>
      <c r="BG310" s="6196">
        <f t="shared" si="136"/>
        <v>0</v>
      </c>
      <c r="BH310" s="6197">
        <f t="shared" si="137"/>
        <v>0</v>
      </c>
      <c r="BI310"/>
      <c r="BJ310" s="1"/>
      <c r="BK310" s="1"/>
      <c r="BL310" s="1"/>
      <c r="BM310" s="1"/>
      <c r="BN310" s="1"/>
      <c r="BO310" s="1"/>
      <c r="BP310" s="1"/>
      <c r="BQ310" s="1"/>
      <c r="BX310" s="20" t="str">
        <f t="shared" si="118"/>
        <v>►</v>
      </c>
      <c r="CC310"/>
      <c r="CD310" s="2"/>
      <c r="CL310" s="2"/>
      <c r="CT310" s="2"/>
      <c r="DB310" s="2"/>
      <c r="DC310" s="5">
        <v>1</v>
      </c>
    </row>
    <row r="311" spans="1:109" ht="21" customHeight="1">
      <c r="L311" s="1021" t="s">
        <v>26</v>
      </c>
      <c r="M311" s="6787"/>
      <c r="N311" s="6787"/>
      <c r="O311" s="6787"/>
      <c r="P311" s="6788"/>
      <c r="Q311" s="6789"/>
      <c r="R311" s="6790"/>
      <c r="S311" s="6786"/>
      <c r="T311" s="6791"/>
      <c r="U311" s="6844"/>
      <c r="V311" s="6791"/>
      <c r="W311" s="8487"/>
      <c r="X311" s="6871"/>
      <c r="Y311" s="6793"/>
      <c r="Z311" s="6794"/>
      <c r="AA311" s="6795"/>
      <c r="AB311" s="6796"/>
      <c r="AC311" s="6797"/>
      <c r="AD311" s="6798"/>
      <c r="AE311" s="4" t="s">
        <v>1</v>
      </c>
      <c r="AF311" s="6202" t="str">
        <f t="shared" si="119"/>
        <v>►</v>
      </c>
      <c r="AG311" s="6234" t="str">
        <f t="shared" si="120"/>
        <v/>
      </c>
      <c r="AH311" s="6732" t="str">
        <f t="shared" si="121"/>
        <v/>
      </c>
      <c r="AI311" s="6234" t="str">
        <f t="shared" si="122"/>
        <v/>
      </c>
      <c r="AJ311" s="6732" t="str">
        <f t="shared" si="123"/>
        <v/>
      </c>
      <c r="AK311" s="6732">
        <f t="shared" si="124"/>
        <v>0</v>
      </c>
      <c r="AL311" s="6230" t="str" cm="1">
        <f t="array" ref="AL311">IF(AF311&lt;&gt;"A","",IFERROR((IFERROR(_xlfn.XLOOKUP(TRIM(SUBSTITUTE(U311,CHAR(160)," ")),$BJ$15:$BJ$62,$BM$15:$BM$62),IFERROR(_xlfn.XLOOKUP(TRIM(SUBSTITUTE(U311,CHAR(160)," ")),$BK$15:$BK$62,$BM$15:$BM$62),_xlfn.XLOOKUP(TRIM(SUBSTITUTE(U311,CHAR(160)," ")),$BL$15:$BL$62,$BM$15:$BM$62))))*T311*IF(ISBLANK(Q311),1,Q311)+IFERROR(_xlfn.XLOOKUP("RECHERCHEX",TRIM(L311:AD311),L311:AD311),0),0))</f>
        <v/>
      </c>
      <c r="AM311" s="6229">
        <f t="shared" si="125"/>
        <v>0</v>
      </c>
      <c r="AN311" s="6857" t="str">
        <f t="shared" si="140"/>
        <v/>
      </c>
      <c r="AO311" s="392">
        <f t="shared" si="126"/>
        <v>0</v>
      </c>
      <c r="AP311" s="392">
        <f t="shared" si="127"/>
        <v>0</v>
      </c>
      <c r="AQ311" s="6191">
        <f t="shared" si="128"/>
        <v>0</v>
      </c>
      <c r="AR311" s="6859" t="str">
        <f t="shared" si="129"/>
        <v/>
      </c>
      <c r="AS311" s="6217"/>
      <c r="AT311" s="6217"/>
      <c r="AU311" s="6272">
        <f t="shared" si="130"/>
        <v>0</v>
      </c>
      <c r="AV311" s="6240">
        <f t="shared" si="131"/>
        <v>0</v>
      </c>
      <c r="AW311" s="6189" cm="1">
        <f t="array" ref="AW311">IF(AK311&lt;&gt;1,0,IF(OR(AU311="",N(AU311)&lt;=0.000000001),"",IF(OR(AO311="",N(AO311)&lt;=0.000000001),0,IF(ISNUMBER(AU311),IFERROR(_xlfn.LET(_xlpm.ai_test,TRIM(AJ311),_xlpm.r,IFERROR(_xlfn.XLOOKUP(_xlpm.ai_test,$BJ$15:$BJ$62,ROW($BJ$15:$BJ$62),0,1),IFERROR(_xlfn.XLOOKUP(_xlpm.ai_test,$BK$15:$BK$62,ROW($BK$15:$BK$62),0,1),_xlfn.XLOOKUP(_xlpm.ai_test,$BL$15:$BL$62,ROW($BL$15:$BL$62),0,1))),_xlpm.p,_xlpm.r-MIN(ROW($BJ$15:$BJ$62))+1,_xlpm.f,INDEX($BM$15:$BM$62,_xlpm.p),_xlpm.u,INDEX($BN$15:$BN$62,_xlpm.p),_xlpm.s,INDEX($BP$15:$BP$62,_xlpm.p),_xlpm.q,N(AU311)/_xlpm.f,IF(_xlpm.q&gt;=_xlpm.s,ROUND(_xlpm.q,1)&amp;" "&amp;_xlpm.ai_test&amp;" = "&amp;ROUND(_xlpm.q*_xlpm.f,1)&amp;" "&amp;_xlpm.u,ROUND(_xlpm.q,1)&amp;" "&amp;_xlpm.ai_test)),""),""))))</f>
        <v>0</v>
      </c>
      <c r="AX311" s="6218"/>
      <c r="AY311" s="6272">
        <f t="shared" si="132"/>
        <v>0</v>
      </c>
      <c r="AZ311" s="6240" t="str">
        <f t="shared" si="133"/>
        <v/>
      </c>
      <c r="BA311" s="6195">
        <f t="shared" si="138"/>
        <v>0</v>
      </c>
      <c r="BB311" s="6193" t="str">
        <f t="shared" si="134"/>
        <v/>
      </c>
      <c r="BC311" s="6219"/>
      <c r="BD311" s="6222">
        <f t="shared" si="139"/>
        <v>0</v>
      </c>
      <c r="BE311" s="6220" t="str">
        <f t="shared" si="135"/>
        <v/>
      </c>
      <c r="BF311" s="4" t="s">
        <v>1</v>
      </c>
      <c r="BG311" s="6196">
        <f t="shared" si="136"/>
        <v>0</v>
      </c>
      <c r="BH311" s="6197">
        <f t="shared" si="137"/>
        <v>0</v>
      </c>
      <c r="BI311"/>
      <c r="BJ311" s="1"/>
      <c r="BK311" s="1"/>
      <c r="BL311" s="1"/>
      <c r="BM311" s="1"/>
      <c r="BN311" s="1"/>
      <c r="BO311" s="1"/>
      <c r="BP311" s="1"/>
      <c r="BQ311" s="1"/>
      <c r="BX311" s="20" t="str">
        <f t="shared" si="118"/>
        <v>►</v>
      </c>
      <c r="CC311"/>
      <c r="CD311" s="2"/>
      <c r="CL311" s="2"/>
      <c r="CT311" s="2"/>
      <c r="DB311" s="2"/>
      <c r="DC311" s="5">
        <v>1</v>
      </c>
    </row>
    <row r="312" spans="1:109" ht="21" customHeight="1">
      <c r="L312" s="1021" t="s">
        <v>26</v>
      </c>
      <c r="M312" s="6787"/>
      <c r="N312" s="6787"/>
      <c r="O312" s="6787"/>
      <c r="P312" s="6788"/>
      <c r="Q312" s="6789"/>
      <c r="R312" s="6790"/>
      <c r="S312" s="6786"/>
      <c r="T312" s="6791"/>
      <c r="U312" s="6844"/>
      <c r="V312" s="6791"/>
      <c r="W312" s="8487"/>
      <c r="X312" s="6871"/>
      <c r="Y312" s="6793"/>
      <c r="Z312" s="6794"/>
      <c r="AA312" s="6795"/>
      <c r="AB312" s="6796"/>
      <c r="AC312" s="6797"/>
      <c r="AD312" s="6798"/>
      <c r="AE312" s="4" t="s">
        <v>1</v>
      </c>
      <c r="AF312" s="6202" t="str">
        <f t="shared" si="119"/>
        <v>►</v>
      </c>
      <c r="AG312" s="6234" t="str">
        <f t="shared" si="120"/>
        <v/>
      </c>
      <c r="AH312" s="6732" t="str">
        <f t="shared" si="121"/>
        <v/>
      </c>
      <c r="AI312" s="6234" t="str">
        <f t="shared" si="122"/>
        <v/>
      </c>
      <c r="AJ312" s="6732" t="str">
        <f t="shared" si="123"/>
        <v/>
      </c>
      <c r="AK312" s="6732">
        <f t="shared" si="124"/>
        <v>0</v>
      </c>
      <c r="AL312" s="6230" t="str" cm="1">
        <f t="array" ref="AL312">IF(AF312&lt;&gt;"A","",IFERROR((IFERROR(_xlfn.XLOOKUP(TRIM(SUBSTITUTE(U312,CHAR(160)," ")),$BJ$15:$BJ$62,$BM$15:$BM$62),IFERROR(_xlfn.XLOOKUP(TRIM(SUBSTITUTE(U312,CHAR(160)," ")),$BK$15:$BK$62,$BM$15:$BM$62),_xlfn.XLOOKUP(TRIM(SUBSTITUTE(U312,CHAR(160)," ")),$BL$15:$BL$62,$BM$15:$BM$62))))*T312*IF(ISBLANK(Q312),1,Q312)+IFERROR(_xlfn.XLOOKUP("RECHERCHEX",TRIM(L312:AD312),L312:AD312),0),0))</f>
        <v/>
      </c>
      <c r="AM312" s="6229">
        <f t="shared" si="125"/>
        <v>0</v>
      </c>
      <c r="AN312" s="6857" t="str">
        <f t="shared" si="140"/>
        <v/>
      </c>
      <c r="AO312" s="392">
        <f t="shared" si="126"/>
        <v>0</v>
      </c>
      <c r="AP312" s="392">
        <f t="shared" si="127"/>
        <v>0</v>
      </c>
      <c r="AQ312" s="6190">
        <f t="shared" si="128"/>
        <v>0</v>
      </c>
      <c r="AR312" s="6858" t="str">
        <f t="shared" si="129"/>
        <v/>
      </c>
      <c r="AS312" s="6217"/>
      <c r="AT312" s="6217"/>
      <c r="AU312" s="6271">
        <f t="shared" si="130"/>
        <v>0</v>
      </c>
      <c r="AV312" s="6242">
        <f t="shared" si="131"/>
        <v>0</v>
      </c>
      <c r="AW312" s="6188" cm="1">
        <f t="array" ref="AW312">IF(AK312&lt;&gt;1,0,IF(OR(AU312="",N(AU312)&lt;=0.000000001),"",IF(OR(AO312="",N(AO312)&lt;=0.000000001),0,IF(ISNUMBER(AU312),IFERROR(_xlfn.LET(_xlpm.ai_test,TRIM(AJ312),_xlpm.r,IFERROR(_xlfn.XLOOKUP(_xlpm.ai_test,$BJ$15:$BJ$62,ROW($BJ$15:$BJ$62),0,1),IFERROR(_xlfn.XLOOKUP(_xlpm.ai_test,$BK$15:$BK$62,ROW($BK$15:$BK$62),0,1),_xlfn.XLOOKUP(_xlpm.ai_test,$BL$15:$BL$62,ROW($BL$15:$BL$62),0,1))),_xlpm.p,_xlpm.r-MIN(ROW($BJ$15:$BJ$62))+1,_xlpm.f,INDEX($BM$15:$BM$62,_xlpm.p),_xlpm.u,INDEX($BN$15:$BN$62,_xlpm.p),_xlpm.s,INDEX($BP$15:$BP$62,_xlpm.p),_xlpm.q,N(AU312)/_xlpm.f,IF(_xlpm.q&gt;=_xlpm.s,ROUND(_xlpm.q,1)&amp;" "&amp;_xlpm.ai_test&amp;" = "&amp;ROUND(_xlpm.q*_xlpm.f,1)&amp;" "&amp;_xlpm.u,ROUND(_xlpm.q,1)&amp;" "&amp;_xlpm.ai_test)),""),""))))</f>
        <v>0</v>
      </c>
      <c r="AX312" s="6218"/>
      <c r="AY312" s="6271">
        <f t="shared" si="132"/>
        <v>0</v>
      </c>
      <c r="AZ312" s="6242" t="str">
        <f t="shared" si="133"/>
        <v/>
      </c>
      <c r="BA312" s="6194">
        <f t="shared" si="138"/>
        <v>0</v>
      </c>
      <c r="BB312" s="6192" t="str">
        <f t="shared" si="134"/>
        <v/>
      </c>
      <c r="BC312" s="6219"/>
      <c r="BD312" s="6221">
        <f t="shared" si="139"/>
        <v>0</v>
      </c>
      <c r="BE312" s="6220" t="str">
        <f t="shared" si="135"/>
        <v/>
      </c>
      <c r="BF312" s="4" t="s">
        <v>1</v>
      </c>
      <c r="BG312" s="6196">
        <f t="shared" si="136"/>
        <v>0</v>
      </c>
      <c r="BH312" s="6197">
        <f t="shared" si="137"/>
        <v>0</v>
      </c>
      <c r="BI312"/>
      <c r="BJ312" s="1"/>
      <c r="BK312" s="1"/>
      <c r="BL312" s="1"/>
      <c r="BM312" s="1"/>
      <c r="BN312" s="1"/>
      <c r="BO312" s="1"/>
      <c r="BP312" s="1"/>
      <c r="BQ312" s="1"/>
      <c r="BX312" s="20" t="str">
        <f t="shared" si="118"/>
        <v>►</v>
      </c>
      <c r="CC312"/>
      <c r="CD312" s="2"/>
      <c r="CL312" s="2"/>
      <c r="CT312" s="2"/>
      <c r="DB312" s="2"/>
      <c r="DC312" s="5">
        <v>1</v>
      </c>
    </row>
    <row r="313" spans="1:109" ht="21" customHeight="1">
      <c r="L313" s="1021" t="s">
        <v>26</v>
      </c>
      <c r="M313" s="6787"/>
      <c r="N313" s="6787"/>
      <c r="O313" s="6787"/>
      <c r="P313" s="6788"/>
      <c r="Q313" s="6789"/>
      <c r="R313" s="6790"/>
      <c r="S313" s="6786"/>
      <c r="T313" s="6791"/>
      <c r="U313" s="6844"/>
      <c r="V313" s="6791"/>
      <c r="W313" s="8487"/>
      <c r="X313" s="6871"/>
      <c r="Y313" s="6793"/>
      <c r="Z313" s="6794"/>
      <c r="AA313" s="6795"/>
      <c r="AB313" s="6796"/>
      <c r="AC313" s="6797"/>
      <c r="AD313" s="6798"/>
      <c r="AE313" s="4" t="s">
        <v>1</v>
      </c>
      <c r="AF313" s="6202" t="str">
        <f t="shared" si="119"/>
        <v>►</v>
      </c>
      <c r="AG313" s="6234" t="str">
        <f t="shared" si="120"/>
        <v/>
      </c>
      <c r="AH313" s="6732" t="str">
        <f t="shared" si="121"/>
        <v/>
      </c>
      <c r="AI313" s="6234" t="str">
        <f t="shared" si="122"/>
        <v/>
      </c>
      <c r="AJ313" s="6732" t="str">
        <f t="shared" si="123"/>
        <v/>
      </c>
      <c r="AK313" s="6732">
        <f t="shared" si="124"/>
        <v>0</v>
      </c>
      <c r="AL313" s="6230" t="str" cm="1">
        <f t="array" ref="AL313">IF(AF313&lt;&gt;"A","",IFERROR((IFERROR(_xlfn.XLOOKUP(TRIM(SUBSTITUTE(U313,CHAR(160)," ")),$BJ$15:$BJ$62,$BM$15:$BM$62),IFERROR(_xlfn.XLOOKUP(TRIM(SUBSTITUTE(U313,CHAR(160)," ")),$BK$15:$BK$62,$BM$15:$BM$62),_xlfn.XLOOKUP(TRIM(SUBSTITUTE(U313,CHAR(160)," ")),$BL$15:$BL$62,$BM$15:$BM$62))))*T313*IF(ISBLANK(Q313),1,Q313)+IFERROR(_xlfn.XLOOKUP("RECHERCHEX",TRIM(L313:AD313),L313:AD313),0),0))</f>
        <v/>
      </c>
      <c r="AM313" s="6229">
        <f t="shared" si="125"/>
        <v>0</v>
      </c>
      <c r="AN313" s="6857" t="str">
        <f t="shared" si="140"/>
        <v/>
      </c>
      <c r="AO313" s="392">
        <f t="shared" si="126"/>
        <v>0</v>
      </c>
      <c r="AP313" s="392">
        <f t="shared" si="127"/>
        <v>0</v>
      </c>
      <c r="AQ313" s="6191">
        <f t="shared" si="128"/>
        <v>0</v>
      </c>
      <c r="AR313" s="6859" t="str">
        <f t="shared" si="129"/>
        <v/>
      </c>
      <c r="AS313" s="6217"/>
      <c r="AT313" s="6217"/>
      <c r="AU313" s="6272">
        <f t="shared" si="130"/>
        <v>0</v>
      </c>
      <c r="AV313" s="6240">
        <f t="shared" si="131"/>
        <v>0</v>
      </c>
      <c r="AW313" s="6189" cm="1">
        <f t="array" ref="AW313">IF(AK313&lt;&gt;1,0,IF(OR(AU313="",N(AU313)&lt;=0.000000001),"",IF(OR(AO313="",N(AO313)&lt;=0.000000001),0,IF(ISNUMBER(AU313),IFERROR(_xlfn.LET(_xlpm.ai_test,TRIM(AJ313),_xlpm.r,IFERROR(_xlfn.XLOOKUP(_xlpm.ai_test,$BJ$15:$BJ$62,ROW($BJ$15:$BJ$62),0,1),IFERROR(_xlfn.XLOOKUP(_xlpm.ai_test,$BK$15:$BK$62,ROW($BK$15:$BK$62),0,1),_xlfn.XLOOKUP(_xlpm.ai_test,$BL$15:$BL$62,ROW($BL$15:$BL$62),0,1))),_xlpm.p,_xlpm.r-MIN(ROW($BJ$15:$BJ$62))+1,_xlpm.f,INDEX($BM$15:$BM$62,_xlpm.p),_xlpm.u,INDEX($BN$15:$BN$62,_xlpm.p),_xlpm.s,INDEX($BP$15:$BP$62,_xlpm.p),_xlpm.q,N(AU313)/_xlpm.f,IF(_xlpm.q&gt;=_xlpm.s,ROUND(_xlpm.q,1)&amp;" "&amp;_xlpm.ai_test&amp;" = "&amp;ROUND(_xlpm.q*_xlpm.f,1)&amp;" "&amp;_xlpm.u,ROUND(_xlpm.q,1)&amp;" "&amp;_xlpm.ai_test)),""),""))))</f>
        <v>0</v>
      </c>
      <c r="AX313" s="6218"/>
      <c r="AY313" s="6272">
        <f t="shared" si="132"/>
        <v>0</v>
      </c>
      <c r="AZ313" s="6240" t="str">
        <f t="shared" si="133"/>
        <v/>
      </c>
      <c r="BA313" s="6195">
        <f t="shared" si="138"/>
        <v>0</v>
      </c>
      <c r="BB313" s="6193" t="str">
        <f t="shared" si="134"/>
        <v/>
      </c>
      <c r="BC313" s="6219"/>
      <c r="BD313" s="6222">
        <f t="shared" si="139"/>
        <v>0</v>
      </c>
      <c r="BE313" s="6220" t="str">
        <f t="shared" si="135"/>
        <v/>
      </c>
      <c r="BF313" s="4" t="s">
        <v>1</v>
      </c>
      <c r="BG313" s="6196">
        <f t="shared" si="136"/>
        <v>0</v>
      </c>
      <c r="BH313" s="6197">
        <f t="shared" si="137"/>
        <v>0</v>
      </c>
      <c r="BI313"/>
      <c r="BJ313" s="1"/>
      <c r="BK313" s="1"/>
      <c r="BL313" s="1"/>
      <c r="BM313" s="1"/>
      <c r="BN313" s="1"/>
      <c r="BO313" s="1"/>
      <c r="BP313" s="1"/>
      <c r="BQ313" s="1"/>
      <c r="BX313" s="20" t="str">
        <f t="shared" si="118"/>
        <v>►</v>
      </c>
      <c r="CC313"/>
      <c r="CD313" s="2"/>
      <c r="CL313" s="2"/>
      <c r="CT313" s="2"/>
      <c r="DB313" s="2"/>
      <c r="DC313" s="5">
        <v>1</v>
      </c>
    </row>
    <row r="314" spans="1:109" ht="21" customHeight="1">
      <c r="L314" s="1021" t="s">
        <v>26</v>
      </c>
      <c r="M314" s="6787"/>
      <c r="N314" s="6787"/>
      <c r="O314" s="6787"/>
      <c r="P314" s="6788"/>
      <c r="Q314" s="6789"/>
      <c r="R314" s="6790"/>
      <c r="S314" s="6786"/>
      <c r="T314" s="6791"/>
      <c r="U314" s="6844"/>
      <c r="V314" s="6791"/>
      <c r="W314" s="8487"/>
      <c r="X314" s="6871"/>
      <c r="Y314" s="6793"/>
      <c r="Z314" s="6794"/>
      <c r="AA314" s="6795"/>
      <c r="AB314" s="6796"/>
      <c r="AC314" s="6797"/>
      <c r="AD314" s="6798"/>
      <c r="AE314" s="4" t="s">
        <v>1</v>
      </c>
      <c r="AF314" s="6202" t="str">
        <f t="shared" si="119"/>
        <v>►</v>
      </c>
      <c r="AG314" s="6234" t="str">
        <f t="shared" si="120"/>
        <v/>
      </c>
      <c r="AH314" s="6732" t="str">
        <f t="shared" si="121"/>
        <v/>
      </c>
      <c r="AI314" s="6234" t="str">
        <f t="shared" si="122"/>
        <v/>
      </c>
      <c r="AJ314" s="6732" t="str">
        <f t="shared" si="123"/>
        <v/>
      </c>
      <c r="AK314" s="6732">
        <f t="shared" si="124"/>
        <v>0</v>
      </c>
      <c r="AL314" s="6230" t="str" cm="1">
        <f t="array" ref="AL314">IF(AF314&lt;&gt;"A","",IFERROR((IFERROR(_xlfn.XLOOKUP(TRIM(SUBSTITUTE(U314,CHAR(160)," ")),$BJ$15:$BJ$62,$BM$15:$BM$62),IFERROR(_xlfn.XLOOKUP(TRIM(SUBSTITUTE(U314,CHAR(160)," ")),$BK$15:$BK$62,$BM$15:$BM$62),_xlfn.XLOOKUP(TRIM(SUBSTITUTE(U314,CHAR(160)," ")),$BL$15:$BL$62,$BM$15:$BM$62))))*T314*IF(ISBLANK(Q314),1,Q314)+IFERROR(_xlfn.XLOOKUP("RECHERCHEX",TRIM(L314:AD314),L314:AD314),0),0))</f>
        <v/>
      </c>
      <c r="AM314" s="6229">
        <f t="shared" si="125"/>
        <v>0</v>
      </c>
      <c r="AN314" s="6857" t="str">
        <f t="shared" si="140"/>
        <v/>
      </c>
      <c r="AO314" s="392">
        <f t="shared" si="126"/>
        <v>0</v>
      </c>
      <c r="AP314" s="392">
        <f t="shared" si="127"/>
        <v>0</v>
      </c>
      <c r="AQ314" s="6190">
        <f t="shared" si="128"/>
        <v>0</v>
      </c>
      <c r="AR314" s="6858" t="str">
        <f t="shared" si="129"/>
        <v/>
      </c>
      <c r="AS314" s="6217"/>
      <c r="AT314" s="6217"/>
      <c r="AU314" s="6271">
        <f t="shared" si="130"/>
        <v>0</v>
      </c>
      <c r="AV314" s="6242">
        <f t="shared" si="131"/>
        <v>0</v>
      </c>
      <c r="AW314" s="6188" cm="1">
        <f t="array" ref="AW314">IF(AK314&lt;&gt;1,0,IF(OR(AU314="",N(AU314)&lt;=0.000000001),"",IF(OR(AO314="",N(AO314)&lt;=0.000000001),0,IF(ISNUMBER(AU314),IFERROR(_xlfn.LET(_xlpm.ai_test,TRIM(AJ314),_xlpm.r,IFERROR(_xlfn.XLOOKUP(_xlpm.ai_test,$BJ$15:$BJ$62,ROW($BJ$15:$BJ$62),0,1),IFERROR(_xlfn.XLOOKUP(_xlpm.ai_test,$BK$15:$BK$62,ROW($BK$15:$BK$62),0,1),_xlfn.XLOOKUP(_xlpm.ai_test,$BL$15:$BL$62,ROW($BL$15:$BL$62),0,1))),_xlpm.p,_xlpm.r-MIN(ROW($BJ$15:$BJ$62))+1,_xlpm.f,INDEX($BM$15:$BM$62,_xlpm.p),_xlpm.u,INDEX($BN$15:$BN$62,_xlpm.p),_xlpm.s,INDEX($BP$15:$BP$62,_xlpm.p),_xlpm.q,N(AU314)/_xlpm.f,IF(_xlpm.q&gt;=_xlpm.s,ROUND(_xlpm.q,1)&amp;" "&amp;_xlpm.ai_test&amp;" = "&amp;ROUND(_xlpm.q*_xlpm.f,1)&amp;" "&amp;_xlpm.u,ROUND(_xlpm.q,1)&amp;" "&amp;_xlpm.ai_test)),""),""))))</f>
        <v>0</v>
      </c>
      <c r="AX314" s="6218"/>
      <c r="AY314" s="6271">
        <f t="shared" si="132"/>
        <v>0</v>
      </c>
      <c r="AZ314" s="6242" t="str">
        <f t="shared" si="133"/>
        <v/>
      </c>
      <c r="BA314" s="6194">
        <f t="shared" si="138"/>
        <v>0</v>
      </c>
      <c r="BB314" s="6192" t="str">
        <f t="shared" si="134"/>
        <v/>
      </c>
      <c r="BC314" s="6219"/>
      <c r="BD314" s="6221">
        <f t="shared" si="139"/>
        <v>0</v>
      </c>
      <c r="BE314" s="6220" t="str">
        <f t="shared" si="135"/>
        <v/>
      </c>
      <c r="BF314" s="4" t="s">
        <v>1</v>
      </c>
      <c r="BG314" s="6196">
        <f t="shared" si="136"/>
        <v>0</v>
      </c>
      <c r="BH314" s="6197">
        <f t="shared" si="137"/>
        <v>0</v>
      </c>
      <c r="BI314"/>
      <c r="BJ314" s="1"/>
      <c r="BK314" s="1"/>
      <c r="BL314" s="1"/>
      <c r="BM314" s="1"/>
      <c r="BN314" s="1"/>
      <c r="BO314" s="1"/>
      <c r="BP314" s="1"/>
      <c r="BQ314" s="1"/>
      <c r="BX314" s="20" t="str">
        <f t="shared" si="118"/>
        <v>►</v>
      </c>
      <c r="CC314"/>
      <c r="CD314" s="2"/>
      <c r="CL314" s="2"/>
      <c r="CT314" s="2"/>
      <c r="DB314" s="2"/>
      <c r="DC314" s="5">
        <v>1</v>
      </c>
    </row>
    <row r="315" spans="1:109" ht="21" customHeight="1">
      <c r="L315" s="1021" t="s">
        <v>26</v>
      </c>
      <c r="M315" s="6787"/>
      <c r="N315" s="6787"/>
      <c r="O315" s="6787"/>
      <c r="P315" s="6788"/>
      <c r="Q315" s="6789"/>
      <c r="R315" s="6790"/>
      <c r="S315" s="6786"/>
      <c r="T315" s="6791"/>
      <c r="U315" s="6844"/>
      <c r="V315" s="6791"/>
      <c r="W315" s="8487"/>
      <c r="X315" s="6871"/>
      <c r="Y315" s="6793"/>
      <c r="Z315" s="6794"/>
      <c r="AA315" s="6795"/>
      <c r="AB315" s="6796"/>
      <c r="AC315" s="6797"/>
      <c r="AD315" s="6798"/>
      <c r="AE315" s="4" t="s">
        <v>1</v>
      </c>
      <c r="AF315" s="6202" t="str">
        <f t="shared" si="119"/>
        <v>►</v>
      </c>
      <c r="AG315" s="6234" t="str">
        <f t="shared" si="120"/>
        <v/>
      </c>
      <c r="AH315" s="6732" t="str">
        <f t="shared" si="121"/>
        <v/>
      </c>
      <c r="AI315" s="6234" t="str">
        <f t="shared" si="122"/>
        <v/>
      </c>
      <c r="AJ315" s="6732" t="str">
        <f t="shared" si="123"/>
        <v/>
      </c>
      <c r="AK315" s="6732">
        <f t="shared" si="124"/>
        <v>0</v>
      </c>
      <c r="AL315" s="6230" t="str" cm="1">
        <f t="array" ref="AL315">IF(AF315&lt;&gt;"A","",IFERROR((IFERROR(_xlfn.XLOOKUP(TRIM(SUBSTITUTE(U315,CHAR(160)," ")),$BJ$15:$BJ$62,$BM$15:$BM$62),IFERROR(_xlfn.XLOOKUP(TRIM(SUBSTITUTE(U315,CHAR(160)," ")),$BK$15:$BK$62,$BM$15:$BM$62),_xlfn.XLOOKUP(TRIM(SUBSTITUTE(U315,CHAR(160)," ")),$BL$15:$BL$62,$BM$15:$BM$62))))*T315*IF(ISBLANK(Q315),1,Q315)+IFERROR(_xlfn.XLOOKUP("RECHERCHEX",TRIM(L315:AD315),L315:AD315),0),0))</f>
        <v/>
      </c>
      <c r="AM315" s="6229">
        <f t="shared" si="125"/>
        <v>0</v>
      </c>
      <c r="AN315" s="6857" t="str">
        <f t="shared" si="140"/>
        <v/>
      </c>
      <c r="AO315" s="392">
        <f t="shared" si="126"/>
        <v>0</v>
      </c>
      <c r="AP315" s="392">
        <f t="shared" si="127"/>
        <v>0</v>
      </c>
      <c r="AQ315" s="6191">
        <f t="shared" si="128"/>
        <v>0</v>
      </c>
      <c r="AR315" s="6859" t="str">
        <f t="shared" si="129"/>
        <v/>
      </c>
      <c r="AS315" s="6217"/>
      <c r="AT315" s="6217"/>
      <c r="AU315" s="6272">
        <f t="shared" si="130"/>
        <v>0</v>
      </c>
      <c r="AV315" s="6240">
        <f t="shared" si="131"/>
        <v>0</v>
      </c>
      <c r="AW315" s="6189" cm="1">
        <f t="array" ref="AW315">IF(AK315&lt;&gt;1,0,IF(OR(AU315="",N(AU315)&lt;=0.000000001),"",IF(OR(AO315="",N(AO315)&lt;=0.000000001),0,IF(ISNUMBER(AU315),IFERROR(_xlfn.LET(_xlpm.ai_test,TRIM(AJ315),_xlpm.r,IFERROR(_xlfn.XLOOKUP(_xlpm.ai_test,$BJ$15:$BJ$62,ROW($BJ$15:$BJ$62),0,1),IFERROR(_xlfn.XLOOKUP(_xlpm.ai_test,$BK$15:$BK$62,ROW($BK$15:$BK$62),0,1),_xlfn.XLOOKUP(_xlpm.ai_test,$BL$15:$BL$62,ROW($BL$15:$BL$62),0,1))),_xlpm.p,_xlpm.r-MIN(ROW($BJ$15:$BJ$62))+1,_xlpm.f,INDEX($BM$15:$BM$62,_xlpm.p),_xlpm.u,INDEX($BN$15:$BN$62,_xlpm.p),_xlpm.s,INDEX($BP$15:$BP$62,_xlpm.p),_xlpm.q,N(AU315)/_xlpm.f,IF(_xlpm.q&gt;=_xlpm.s,ROUND(_xlpm.q,1)&amp;" "&amp;_xlpm.ai_test&amp;" = "&amp;ROUND(_xlpm.q*_xlpm.f,1)&amp;" "&amp;_xlpm.u,ROUND(_xlpm.q,1)&amp;" "&amp;_xlpm.ai_test)),""),""))))</f>
        <v>0</v>
      </c>
      <c r="AX315" s="6218"/>
      <c r="AY315" s="6272">
        <f t="shared" si="132"/>
        <v>0</v>
      </c>
      <c r="AZ315" s="6240" t="str">
        <f t="shared" si="133"/>
        <v/>
      </c>
      <c r="BA315" s="6195">
        <f t="shared" si="138"/>
        <v>0</v>
      </c>
      <c r="BB315" s="6193" t="str">
        <f t="shared" si="134"/>
        <v/>
      </c>
      <c r="BC315" s="6219"/>
      <c r="BD315" s="6222">
        <f t="shared" si="139"/>
        <v>0</v>
      </c>
      <c r="BE315" s="6220" t="str">
        <f t="shared" si="135"/>
        <v/>
      </c>
      <c r="BF315" s="4" t="s">
        <v>1</v>
      </c>
      <c r="BG315" s="6196">
        <f t="shared" si="136"/>
        <v>0</v>
      </c>
      <c r="BH315" s="6197">
        <f t="shared" si="137"/>
        <v>0</v>
      </c>
      <c r="BI315"/>
      <c r="BJ315" s="1"/>
      <c r="BK315" s="1"/>
      <c r="BL315" s="1"/>
      <c r="BM315" s="1"/>
      <c r="BN315" s="1"/>
      <c r="BO315" s="1"/>
      <c r="BP315" s="1"/>
      <c r="BQ315" s="1"/>
      <c r="BX315" s="20" t="str">
        <f t="shared" si="118"/>
        <v>►</v>
      </c>
      <c r="CC315"/>
      <c r="CD315" s="2"/>
      <c r="CL315" s="2"/>
      <c r="CT315" s="2"/>
      <c r="DB315" s="2"/>
      <c r="DC315" s="5">
        <v>1</v>
      </c>
    </row>
    <row r="316" spans="1:109" ht="21" customHeight="1">
      <c r="L316" s="1021" t="s">
        <v>26</v>
      </c>
      <c r="M316" s="6787"/>
      <c r="N316" s="6787"/>
      <c r="O316" s="6787"/>
      <c r="P316" s="6788"/>
      <c r="Q316" s="6789"/>
      <c r="R316" s="6790"/>
      <c r="S316" s="6786"/>
      <c r="T316" s="6791"/>
      <c r="U316" s="6844"/>
      <c r="V316" s="6791"/>
      <c r="W316" s="8487"/>
      <c r="X316" s="6871"/>
      <c r="Y316" s="6793"/>
      <c r="Z316" s="6794"/>
      <c r="AA316" s="6795"/>
      <c r="AB316" s="6796"/>
      <c r="AC316" s="6797"/>
      <c r="AD316" s="6798"/>
      <c r="AE316" s="4" t="s">
        <v>1</v>
      </c>
      <c r="AF316" s="6202" t="str">
        <f t="shared" si="119"/>
        <v>►</v>
      </c>
      <c r="AG316" s="6234" t="str">
        <f t="shared" si="120"/>
        <v/>
      </c>
      <c r="AH316" s="6732" t="str">
        <f t="shared" si="121"/>
        <v/>
      </c>
      <c r="AI316" s="6234" t="str">
        <f t="shared" si="122"/>
        <v/>
      </c>
      <c r="AJ316" s="6732" t="str">
        <f t="shared" si="123"/>
        <v/>
      </c>
      <c r="AK316" s="6732">
        <f t="shared" si="124"/>
        <v>0</v>
      </c>
      <c r="AL316" s="6230" t="str" cm="1">
        <f t="array" ref="AL316">IF(AF316&lt;&gt;"A","",IFERROR((IFERROR(_xlfn.XLOOKUP(TRIM(SUBSTITUTE(U316,CHAR(160)," ")),$BJ$15:$BJ$62,$BM$15:$BM$62),IFERROR(_xlfn.XLOOKUP(TRIM(SUBSTITUTE(U316,CHAR(160)," ")),$BK$15:$BK$62,$BM$15:$BM$62),_xlfn.XLOOKUP(TRIM(SUBSTITUTE(U316,CHAR(160)," ")),$BL$15:$BL$62,$BM$15:$BM$62))))*T316*IF(ISBLANK(Q316),1,Q316)+IFERROR(_xlfn.XLOOKUP("RECHERCHEX",TRIM(L316:AD316),L316:AD316),0),0))</f>
        <v/>
      </c>
      <c r="AM316" s="6229">
        <f t="shared" si="125"/>
        <v>0</v>
      </c>
      <c r="AN316" s="6857" t="str">
        <f t="shared" si="140"/>
        <v/>
      </c>
      <c r="AO316" s="392">
        <f t="shared" si="126"/>
        <v>0</v>
      </c>
      <c r="AP316" s="392">
        <f t="shared" si="127"/>
        <v>0</v>
      </c>
      <c r="AQ316" s="6190">
        <f t="shared" si="128"/>
        <v>0</v>
      </c>
      <c r="AR316" s="6858" t="str">
        <f t="shared" si="129"/>
        <v/>
      </c>
      <c r="AS316" s="6217"/>
      <c r="AT316" s="6217"/>
      <c r="AU316" s="6271">
        <f t="shared" si="130"/>
        <v>0</v>
      </c>
      <c r="AV316" s="6242">
        <f t="shared" si="131"/>
        <v>0</v>
      </c>
      <c r="AW316" s="6188" cm="1">
        <f t="array" ref="AW316">IF(AK316&lt;&gt;1,0,IF(OR(AU316="",N(AU316)&lt;=0.000000001),"",IF(OR(AO316="",N(AO316)&lt;=0.000000001),0,IF(ISNUMBER(AU316),IFERROR(_xlfn.LET(_xlpm.ai_test,TRIM(AJ316),_xlpm.r,IFERROR(_xlfn.XLOOKUP(_xlpm.ai_test,$BJ$15:$BJ$62,ROW($BJ$15:$BJ$62),0,1),IFERROR(_xlfn.XLOOKUP(_xlpm.ai_test,$BK$15:$BK$62,ROW($BK$15:$BK$62),0,1),_xlfn.XLOOKUP(_xlpm.ai_test,$BL$15:$BL$62,ROW($BL$15:$BL$62),0,1))),_xlpm.p,_xlpm.r-MIN(ROW($BJ$15:$BJ$62))+1,_xlpm.f,INDEX($BM$15:$BM$62,_xlpm.p),_xlpm.u,INDEX($BN$15:$BN$62,_xlpm.p),_xlpm.s,INDEX($BP$15:$BP$62,_xlpm.p),_xlpm.q,N(AU316)/_xlpm.f,IF(_xlpm.q&gt;=_xlpm.s,ROUND(_xlpm.q,1)&amp;" "&amp;_xlpm.ai_test&amp;" = "&amp;ROUND(_xlpm.q*_xlpm.f,1)&amp;" "&amp;_xlpm.u,ROUND(_xlpm.q,1)&amp;" "&amp;_xlpm.ai_test)),""),""))))</f>
        <v>0</v>
      </c>
      <c r="AX316" s="6218"/>
      <c r="AY316" s="6271">
        <f t="shared" si="132"/>
        <v>0</v>
      </c>
      <c r="AZ316" s="6242" t="str">
        <f t="shared" si="133"/>
        <v/>
      </c>
      <c r="BA316" s="6194">
        <f t="shared" si="138"/>
        <v>0</v>
      </c>
      <c r="BB316" s="6192" t="str">
        <f t="shared" si="134"/>
        <v/>
      </c>
      <c r="BC316" s="6219"/>
      <c r="BD316" s="6221">
        <f t="shared" si="139"/>
        <v>0</v>
      </c>
      <c r="BE316" s="6220" t="str">
        <f t="shared" si="135"/>
        <v/>
      </c>
      <c r="BF316" s="4" t="s">
        <v>1</v>
      </c>
      <c r="BG316" s="6196">
        <f t="shared" si="136"/>
        <v>0</v>
      </c>
      <c r="BH316" s="6197">
        <f t="shared" si="137"/>
        <v>0</v>
      </c>
      <c r="BI316"/>
      <c r="BJ316" s="1"/>
      <c r="BK316" s="1"/>
      <c r="BL316" s="1"/>
      <c r="BM316" s="1"/>
      <c r="BN316" s="1"/>
      <c r="BO316" s="1"/>
      <c r="BP316" s="1"/>
      <c r="BQ316" s="1"/>
      <c r="BX316" s="20" t="str">
        <f t="shared" si="118"/>
        <v>►</v>
      </c>
      <c r="CC316"/>
      <c r="CD316" s="2"/>
      <c r="CL316" s="2"/>
      <c r="CT316" s="2"/>
      <c r="DB316" s="2"/>
      <c r="DC316" s="5">
        <v>1</v>
      </c>
    </row>
    <row r="317" spans="1:109" ht="21" customHeight="1">
      <c r="L317" s="1021" t="s">
        <v>26</v>
      </c>
      <c r="M317" s="6787"/>
      <c r="N317" s="6787"/>
      <c r="O317" s="6787"/>
      <c r="P317" s="6788"/>
      <c r="Q317" s="6789"/>
      <c r="R317" s="6790"/>
      <c r="S317" s="6786"/>
      <c r="T317" s="6791"/>
      <c r="U317" s="6844"/>
      <c r="V317" s="6791"/>
      <c r="W317" s="8487"/>
      <c r="X317" s="6871"/>
      <c r="Y317" s="6793"/>
      <c r="Z317" s="6794"/>
      <c r="AA317" s="6795"/>
      <c r="AB317" s="6796"/>
      <c r="AC317" s="6797"/>
      <c r="AD317" s="6798"/>
      <c r="AE317" s="4" t="s">
        <v>1</v>
      </c>
      <c r="AF317" s="6202" t="str">
        <f t="shared" si="119"/>
        <v>►</v>
      </c>
      <c r="AG317" s="6234" t="str">
        <f t="shared" si="120"/>
        <v/>
      </c>
      <c r="AH317" s="6732" t="str">
        <f t="shared" si="121"/>
        <v/>
      </c>
      <c r="AI317" s="6234" t="str">
        <f t="shared" si="122"/>
        <v/>
      </c>
      <c r="AJ317" s="6732" t="str">
        <f t="shared" si="123"/>
        <v/>
      </c>
      <c r="AK317" s="6732">
        <f t="shared" si="124"/>
        <v>0</v>
      </c>
      <c r="AL317" s="6230" t="str" cm="1">
        <f t="array" ref="AL317">IF(AF317&lt;&gt;"A","",IFERROR((IFERROR(_xlfn.XLOOKUP(TRIM(SUBSTITUTE(U317,CHAR(160)," ")),$BJ$15:$BJ$62,$BM$15:$BM$62),IFERROR(_xlfn.XLOOKUP(TRIM(SUBSTITUTE(U317,CHAR(160)," ")),$BK$15:$BK$62,$BM$15:$BM$62),_xlfn.XLOOKUP(TRIM(SUBSTITUTE(U317,CHAR(160)," ")),$BL$15:$BL$62,$BM$15:$BM$62))))*T317*IF(ISBLANK(Q317),1,Q317)+IFERROR(_xlfn.XLOOKUP("RECHERCHEX",TRIM(L317:AD317),L317:AD317),0),0))</f>
        <v/>
      </c>
      <c r="AM317" s="6229">
        <f t="shared" si="125"/>
        <v>0</v>
      </c>
      <c r="AN317" s="6857" t="str">
        <f t="shared" si="140"/>
        <v/>
      </c>
      <c r="AO317" s="392">
        <f t="shared" si="126"/>
        <v>0</v>
      </c>
      <c r="AP317" s="392">
        <f t="shared" si="127"/>
        <v>0</v>
      </c>
      <c r="AQ317" s="6191">
        <f t="shared" si="128"/>
        <v>0</v>
      </c>
      <c r="AR317" s="6859" t="str">
        <f t="shared" si="129"/>
        <v/>
      </c>
      <c r="AS317" s="6217"/>
      <c r="AT317" s="6217"/>
      <c r="AU317" s="6272">
        <f t="shared" si="130"/>
        <v>0</v>
      </c>
      <c r="AV317" s="6240">
        <f t="shared" si="131"/>
        <v>0</v>
      </c>
      <c r="AW317" s="6189" cm="1">
        <f t="array" ref="AW317">IF(AK317&lt;&gt;1,0,IF(OR(AU317="",N(AU317)&lt;=0.000000001),"",IF(OR(AO317="",N(AO317)&lt;=0.000000001),0,IF(ISNUMBER(AU317),IFERROR(_xlfn.LET(_xlpm.ai_test,TRIM(AJ317),_xlpm.r,IFERROR(_xlfn.XLOOKUP(_xlpm.ai_test,$BJ$15:$BJ$62,ROW($BJ$15:$BJ$62),0,1),IFERROR(_xlfn.XLOOKUP(_xlpm.ai_test,$BK$15:$BK$62,ROW($BK$15:$BK$62),0,1),_xlfn.XLOOKUP(_xlpm.ai_test,$BL$15:$BL$62,ROW($BL$15:$BL$62),0,1))),_xlpm.p,_xlpm.r-MIN(ROW($BJ$15:$BJ$62))+1,_xlpm.f,INDEX($BM$15:$BM$62,_xlpm.p),_xlpm.u,INDEX($BN$15:$BN$62,_xlpm.p),_xlpm.s,INDEX($BP$15:$BP$62,_xlpm.p),_xlpm.q,N(AU317)/_xlpm.f,IF(_xlpm.q&gt;=_xlpm.s,ROUND(_xlpm.q,1)&amp;" "&amp;_xlpm.ai_test&amp;" = "&amp;ROUND(_xlpm.q*_xlpm.f,1)&amp;" "&amp;_xlpm.u,ROUND(_xlpm.q,1)&amp;" "&amp;_xlpm.ai_test)),""),""))))</f>
        <v>0</v>
      </c>
      <c r="AX317" s="6218"/>
      <c r="AY317" s="6272">
        <f t="shared" si="132"/>
        <v>0</v>
      </c>
      <c r="AZ317" s="6240" t="str">
        <f t="shared" si="133"/>
        <v/>
      </c>
      <c r="BA317" s="6195">
        <f t="shared" si="138"/>
        <v>0</v>
      </c>
      <c r="BB317" s="6193" t="str">
        <f t="shared" si="134"/>
        <v/>
      </c>
      <c r="BC317" s="6219"/>
      <c r="BD317" s="6222">
        <f t="shared" si="139"/>
        <v>0</v>
      </c>
      <c r="BE317" s="6220" t="str">
        <f t="shared" si="135"/>
        <v/>
      </c>
      <c r="BF317" s="4" t="s">
        <v>1</v>
      </c>
      <c r="BG317" s="6196">
        <f t="shared" si="136"/>
        <v>0</v>
      </c>
      <c r="BH317" s="6197">
        <f t="shared" si="137"/>
        <v>0</v>
      </c>
      <c r="BI317"/>
      <c r="BJ317" s="1"/>
      <c r="BK317" s="1"/>
      <c r="BL317" s="1"/>
      <c r="BM317" s="1"/>
      <c r="BN317" s="1"/>
      <c r="BO317" s="1"/>
      <c r="BP317" s="1"/>
      <c r="BQ317" s="1"/>
      <c r="BX317" s="20" t="str">
        <f t="shared" si="118"/>
        <v>►</v>
      </c>
      <c r="CC317"/>
      <c r="CD317" s="2"/>
      <c r="CL317" s="2"/>
      <c r="CT317" s="2"/>
      <c r="DB317" s="2"/>
      <c r="DC317" s="5">
        <v>1</v>
      </c>
    </row>
    <row r="318" spans="1:109" ht="21" customHeight="1">
      <c r="L318" s="1021" t="s">
        <v>26</v>
      </c>
      <c r="M318" s="6787"/>
      <c r="N318" s="6787"/>
      <c r="O318" s="6787"/>
      <c r="P318" s="6788"/>
      <c r="Q318" s="6789"/>
      <c r="R318" s="6790"/>
      <c r="S318" s="6786"/>
      <c r="T318" s="6791"/>
      <c r="U318" s="6844"/>
      <c r="V318" s="6791"/>
      <c r="W318" s="8487"/>
      <c r="X318" s="6871"/>
      <c r="Y318" s="6793"/>
      <c r="Z318" s="6794"/>
      <c r="AA318" s="6795"/>
      <c r="AB318" s="6796"/>
      <c r="AC318" s="6797"/>
      <c r="AD318" s="6798"/>
      <c r="AE318" s="4" t="s">
        <v>1</v>
      </c>
      <c r="AF318" s="6202" t="str">
        <f t="shared" si="119"/>
        <v>►</v>
      </c>
      <c r="AG318" s="6234" t="str">
        <f t="shared" si="120"/>
        <v/>
      </c>
      <c r="AH318" s="6732" t="str">
        <f t="shared" si="121"/>
        <v/>
      </c>
      <c r="AI318" s="6234" t="str">
        <f t="shared" si="122"/>
        <v/>
      </c>
      <c r="AJ318" s="6732" t="str">
        <f t="shared" si="123"/>
        <v/>
      </c>
      <c r="AK318" s="6732">
        <f t="shared" si="124"/>
        <v>0</v>
      </c>
      <c r="AL318" s="6230" t="str" cm="1">
        <f t="array" ref="AL318">IF(AF318&lt;&gt;"A","",IFERROR((IFERROR(_xlfn.XLOOKUP(TRIM(SUBSTITUTE(U318,CHAR(160)," ")),$BJ$15:$BJ$62,$BM$15:$BM$62),IFERROR(_xlfn.XLOOKUP(TRIM(SUBSTITUTE(U318,CHAR(160)," ")),$BK$15:$BK$62,$BM$15:$BM$62),_xlfn.XLOOKUP(TRIM(SUBSTITUTE(U318,CHAR(160)," ")),$BL$15:$BL$62,$BM$15:$BM$62))))*T318*IF(ISBLANK(Q318),1,Q318)+IFERROR(_xlfn.XLOOKUP("RECHERCHEX",TRIM(L318:AD318),L318:AD318),0),0))</f>
        <v/>
      </c>
      <c r="AM318" s="6229">
        <f t="shared" si="125"/>
        <v>0</v>
      </c>
      <c r="AN318" s="6857" t="str">
        <f t="shared" si="140"/>
        <v/>
      </c>
      <c r="AO318" s="392">
        <f t="shared" si="126"/>
        <v>0</v>
      </c>
      <c r="AP318" s="392">
        <f t="shared" si="127"/>
        <v>0</v>
      </c>
      <c r="AQ318" s="6190">
        <f t="shared" si="128"/>
        <v>0</v>
      </c>
      <c r="AR318" s="6858" t="str">
        <f t="shared" si="129"/>
        <v/>
      </c>
      <c r="AS318" s="6217"/>
      <c r="AT318" s="6217"/>
      <c r="AU318" s="6271">
        <f t="shared" si="130"/>
        <v>0</v>
      </c>
      <c r="AV318" s="6242">
        <f t="shared" si="131"/>
        <v>0</v>
      </c>
      <c r="AW318" s="6188" cm="1">
        <f t="array" ref="AW318">IF(AK318&lt;&gt;1,0,IF(OR(AU318="",N(AU318)&lt;=0.000000001),"",IF(OR(AO318="",N(AO318)&lt;=0.000000001),0,IF(ISNUMBER(AU318),IFERROR(_xlfn.LET(_xlpm.ai_test,TRIM(AJ318),_xlpm.r,IFERROR(_xlfn.XLOOKUP(_xlpm.ai_test,$BJ$15:$BJ$62,ROW($BJ$15:$BJ$62),0,1),IFERROR(_xlfn.XLOOKUP(_xlpm.ai_test,$BK$15:$BK$62,ROW($BK$15:$BK$62),0,1),_xlfn.XLOOKUP(_xlpm.ai_test,$BL$15:$BL$62,ROW($BL$15:$BL$62),0,1))),_xlpm.p,_xlpm.r-MIN(ROW($BJ$15:$BJ$62))+1,_xlpm.f,INDEX($BM$15:$BM$62,_xlpm.p),_xlpm.u,INDEX($BN$15:$BN$62,_xlpm.p),_xlpm.s,INDEX($BP$15:$BP$62,_xlpm.p),_xlpm.q,N(AU318)/_xlpm.f,IF(_xlpm.q&gt;=_xlpm.s,ROUND(_xlpm.q,1)&amp;" "&amp;_xlpm.ai_test&amp;" = "&amp;ROUND(_xlpm.q*_xlpm.f,1)&amp;" "&amp;_xlpm.u,ROUND(_xlpm.q,1)&amp;" "&amp;_xlpm.ai_test)),""),""))))</f>
        <v>0</v>
      </c>
      <c r="AX318" s="6218"/>
      <c r="AY318" s="6271">
        <f t="shared" si="132"/>
        <v>0</v>
      </c>
      <c r="AZ318" s="6242" t="str">
        <f t="shared" si="133"/>
        <v/>
      </c>
      <c r="BA318" s="6194">
        <f t="shared" si="138"/>
        <v>0</v>
      </c>
      <c r="BB318" s="6192" t="str">
        <f t="shared" si="134"/>
        <v/>
      </c>
      <c r="BC318" s="6219"/>
      <c r="BD318" s="6221">
        <f t="shared" si="139"/>
        <v>0</v>
      </c>
      <c r="BE318" s="6220" t="str">
        <f t="shared" si="135"/>
        <v/>
      </c>
      <c r="BF318" s="4" t="s">
        <v>1</v>
      </c>
      <c r="BG318" s="6196">
        <f t="shared" si="136"/>
        <v>0</v>
      </c>
      <c r="BH318" s="6197">
        <f t="shared" si="137"/>
        <v>0</v>
      </c>
      <c r="BI318"/>
      <c r="BJ318" s="1"/>
      <c r="BK318" s="1"/>
      <c r="BL318" s="1"/>
      <c r="BM318" s="1"/>
      <c r="BN318" s="1"/>
      <c r="BO318" s="1"/>
      <c r="BP318" s="1"/>
      <c r="BQ318" s="1"/>
      <c r="BX318" s="20" t="str">
        <f t="shared" si="118"/>
        <v>►</v>
      </c>
      <c r="CC318"/>
      <c r="CD318" s="2"/>
      <c r="CL318" s="2"/>
      <c r="CT318" s="2"/>
      <c r="DB318" s="2"/>
      <c r="DC318" s="5">
        <v>1</v>
      </c>
    </row>
    <row r="319" spans="1:109" ht="21" customHeight="1">
      <c r="L319" s="1021" t="s">
        <v>26</v>
      </c>
      <c r="M319" s="6787"/>
      <c r="N319" s="6787"/>
      <c r="O319" s="6787"/>
      <c r="P319" s="6788"/>
      <c r="Q319" s="6789"/>
      <c r="R319" s="6790"/>
      <c r="S319" s="6786"/>
      <c r="T319" s="6791"/>
      <c r="U319" s="6844"/>
      <c r="V319" s="6791"/>
      <c r="W319" s="8487"/>
      <c r="X319" s="6871"/>
      <c r="Y319" s="6793"/>
      <c r="Z319" s="6794"/>
      <c r="AA319" s="6795"/>
      <c r="AB319" s="6796"/>
      <c r="AC319" s="6797"/>
      <c r="AD319" s="6798"/>
      <c r="AE319" s="4" t="s">
        <v>1</v>
      </c>
      <c r="AF319" s="6202" t="str">
        <f t="shared" si="119"/>
        <v>►</v>
      </c>
      <c r="AG319" s="6234" t="str">
        <f t="shared" si="120"/>
        <v/>
      </c>
      <c r="AH319" s="6732" t="str">
        <f t="shared" si="121"/>
        <v/>
      </c>
      <c r="AI319" s="6234" t="str">
        <f t="shared" si="122"/>
        <v/>
      </c>
      <c r="AJ319" s="6732" t="str">
        <f t="shared" si="123"/>
        <v/>
      </c>
      <c r="AK319" s="6732">
        <f t="shared" si="124"/>
        <v>0</v>
      </c>
      <c r="AL319" s="6230" t="str" cm="1">
        <f t="array" ref="AL319">IF(AF319&lt;&gt;"A","",IFERROR((IFERROR(_xlfn.XLOOKUP(TRIM(SUBSTITUTE(U319,CHAR(160)," ")),$BJ$15:$BJ$62,$BM$15:$BM$62),IFERROR(_xlfn.XLOOKUP(TRIM(SUBSTITUTE(U319,CHAR(160)," ")),$BK$15:$BK$62,$BM$15:$BM$62),_xlfn.XLOOKUP(TRIM(SUBSTITUTE(U319,CHAR(160)," ")),$BL$15:$BL$62,$BM$15:$BM$62))))*T319*IF(ISBLANK(Q319),1,Q319)+IFERROR(_xlfn.XLOOKUP("RECHERCHEX",TRIM(L319:AD319),L319:AD319),0),0))</f>
        <v/>
      </c>
      <c r="AM319" s="6229">
        <f t="shared" si="125"/>
        <v>0</v>
      </c>
      <c r="AN319" s="6857" t="str">
        <f t="shared" si="140"/>
        <v/>
      </c>
      <c r="AO319" s="392">
        <f t="shared" si="126"/>
        <v>0</v>
      </c>
      <c r="AP319" s="392">
        <f t="shared" si="127"/>
        <v>0</v>
      </c>
      <c r="AQ319" s="6191">
        <f t="shared" si="128"/>
        <v>0</v>
      </c>
      <c r="AR319" s="6859" t="str">
        <f t="shared" si="129"/>
        <v/>
      </c>
      <c r="AS319" s="6217"/>
      <c r="AT319" s="6217"/>
      <c r="AU319" s="6272">
        <f t="shared" si="130"/>
        <v>0</v>
      </c>
      <c r="AV319" s="6240">
        <f t="shared" si="131"/>
        <v>0</v>
      </c>
      <c r="AW319" s="6189" cm="1">
        <f t="array" ref="AW319">IF(AK319&lt;&gt;1,0,IF(OR(AU319="",N(AU319)&lt;=0.000000001),"",IF(OR(AO319="",N(AO319)&lt;=0.000000001),0,IF(ISNUMBER(AU319),IFERROR(_xlfn.LET(_xlpm.ai_test,TRIM(AJ319),_xlpm.r,IFERROR(_xlfn.XLOOKUP(_xlpm.ai_test,$BJ$15:$BJ$62,ROW($BJ$15:$BJ$62),0,1),IFERROR(_xlfn.XLOOKUP(_xlpm.ai_test,$BK$15:$BK$62,ROW($BK$15:$BK$62),0,1),_xlfn.XLOOKUP(_xlpm.ai_test,$BL$15:$BL$62,ROW($BL$15:$BL$62),0,1))),_xlpm.p,_xlpm.r-MIN(ROW($BJ$15:$BJ$62))+1,_xlpm.f,INDEX($BM$15:$BM$62,_xlpm.p),_xlpm.u,INDEX($BN$15:$BN$62,_xlpm.p),_xlpm.s,INDEX($BP$15:$BP$62,_xlpm.p),_xlpm.q,N(AU319)/_xlpm.f,IF(_xlpm.q&gt;=_xlpm.s,ROUND(_xlpm.q,1)&amp;" "&amp;_xlpm.ai_test&amp;" = "&amp;ROUND(_xlpm.q*_xlpm.f,1)&amp;" "&amp;_xlpm.u,ROUND(_xlpm.q,1)&amp;" "&amp;_xlpm.ai_test)),""),""))))</f>
        <v>0</v>
      </c>
      <c r="AX319" s="6218"/>
      <c r="AY319" s="6272">
        <f t="shared" si="132"/>
        <v>0</v>
      </c>
      <c r="AZ319" s="6240" t="str">
        <f t="shared" si="133"/>
        <v/>
      </c>
      <c r="BA319" s="6195">
        <f t="shared" si="138"/>
        <v>0</v>
      </c>
      <c r="BB319" s="6193" t="str">
        <f t="shared" si="134"/>
        <v/>
      </c>
      <c r="BC319" s="6219"/>
      <c r="BD319" s="6222">
        <f t="shared" si="139"/>
        <v>0</v>
      </c>
      <c r="BE319" s="6220" t="str">
        <f t="shared" si="135"/>
        <v/>
      </c>
      <c r="BF319" s="4" t="s">
        <v>1</v>
      </c>
      <c r="BG319" s="6196">
        <f t="shared" si="136"/>
        <v>0</v>
      </c>
      <c r="BH319" s="6197">
        <f t="shared" si="137"/>
        <v>0</v>
      </c>
      <c r="BI319"/>
      <c r="BJ319" s="1"/>
      <c r="BK319" s="1"/>
      <c r="BL319" s="1"/>
      <c r="BM319" s="1"/>
      <c r="BN319" s="1"/>
      <c r="BO319" s="1"/>
      <c r="BP319" s="1"/>
      <c r="BQ319" s="1"/>
      <c r="BX319" s="20" t="str">
        <f t="shared" si="118"/>
        <v>►</v>
      </c>
      <c r="CC319"/>
      <c r="CD319" s="2"/>
      <c r="CL319" s="2"/>
      <c r="CT319" s="2"/>
      <c r="DB319" s="2"/>
      <c r="DC319" s="5">
        <v>1</v>
      </c>
    </row>
    <row r="320" spans="1:109" ht="21" customHeight="1">
      <c r="L320" s="1021" t="s">
        <v>26</v>
      </c>
      <c r="M320" s="6787"/>
      <c r="N320" s="6787"/>
      <c r="O320" s="6787"/>
      <c r="P320" s="6788"/>
      <c r="Q320" s="6789"/>
      <c r="R320" s="6790"/>
      <c r="S320" s="6786"/>
      <c r="T320" s="6791"/>
      <c r="U320" s="6844"/>
      <c r="V320" s="6791"/>
      <c r="W320" s="8487"/>
      <c r="X320" s="6871"/>
      <c r="Y320" s="6793"/>
      <c r="Z320" s="6794"/>
      <c r="AA320" s="6795"/>
      <c r="AB320" s="6796"/>
      <c r="AC320" s="6797"/>
      <c r="AD320" s="6798"/>
      <c r="AE320" s="4" t="s">
        <v>1</v>
      </c>
      <c r="AF320" s="6202" t="str">
        <f t="shared" si="119"/>
        <v>►</v>
      </c>
      <c r="AG320" s="6234" t="str">
        <f t="shared" si="120"/>
        <v/>
      </c>
      <c r="AH320" s="6732" t="str">
        <f t="shared" si="121"/>
        <v/>
      </c>
      <c r="AI320" s="6234" t="str">
        <f t="shared" si="122"/>
        <v/>
      </c>
      <c r="AJ320" s="6732" t="str">
        <f t="shared" si="123"/>
        <v/>
      </c>
      <c r="AK320" s="6732">
        <f t="shared" si="124"/>
        <v>0</v>
      </c>
      <c r="AL320" s="6230" t="str" cm="1">
        <f t="array" ref="AL320">IF(AF320&lt;&gt;"A","",IFERROR((IFERROR(_xlfn.XLOOKUP(TRIM(SUBSTITUTE(U320,CHAR(160)," ")),$BJ$15:$BJ$62,$BM$15:$BM$62),IFERROR(_xlfn.XLOOKUP(TRIM(SUBSTITUTE(U320,CHAR(160)," ")),$BK$15:$BK$62,$BM$15:$BM$62),_xlfn.XLOOKUP(TRIM(SUBSTITUTE(U320,CHAR(160)," ")),$BL$15:$BL$62,$BM$15:$BM$62))))*T320*IF(ISBLANK(Q320),1,Q320)+IFERROR(_xlfn.XLOOKUP("RECHERCHEX",TRIM(L320:AD320),L320:AD320),0),0))</f>
        <v/>
      </c>
      <c r="AM320" s="6229">
        <f t="shared" si="125"/>
        <v>0</v>
      </c>
      <c r="AN320" s="6857" t="str">
        <f t="shared" si="140"/>
        <v/>
      </c>
      <c r="AO320" s="392">
        <f t="shared" si="126"/>
        <v>0</v>
      </c>
      <c r="AP320" s="392">
        <f t="shared" si="127"/>
        <v>0</v>
      </c>
      <c r="AQ320" s="6190">
        <f t="shared" si="128"/>
        <v>0</v>
      </c>
      <c r="AR320" s="6858" t="str">
        <f t="shared" si="129"/>
        <v/>
      </c>
      <c r="AS320" s="6217"/>
      <c r="AT320" s="6217"/>
      <c r="AU320" s="6271">
        <f t="shared" si="130"/>
        <v>0</v>
      </c>
      <c r="AV320" s="6242">
        <f t="shared" si="131"/>
        <v>0</v>
      </c>
      <c r="AW320" s="6188" cm="1">
        <f t="array" ref="AW320">IF(AK320&lt;&gt;1,0,IF(OR(AU320="",N(AU320)&lt;=0.000000001),"",IF(OR(AO320="",N(AO320)&lt;=0.000000001),0,IF(ISNUMBER(AU320),IFERROR(_xlfn.LET(_xlpm.ai_test,TRIM(AJ320),_xlpm.r,IFERROR(_xlfn.XLOOKUP(_xlpm.ai_test,$BJ$15:$BJ$62,ROW($BJ$15:$BJ$62),0,1),IFERROR(_xlfn.XLOOKUP(_xlpm.ai_test,$BK$15:$BK$62,ROW($BK$15:$BK$62),0,1),_xlfn.XLOOKUP(_xlpm.ai_test,$BL$15:$BL$62,ROW($BL$15:$BL$62),0,1))),_xlpm.p,_xlpm.r-MIN(ROW($BJ$15:$BJ$62))+1,_xlpm.f,INDEX($BM$15:$BM$62,_xlpm.p),_xlpm.u,INDEX($BN$15:$BN$62,_xlpm.p),_xlpm.s,INDEX($BP$15:$BP$62,_xlpm.p),_xlpm.q,N(AU320)/_xlpm.f,IF(_xlpm.q&gt;=_xlpm.s,ROUND(_xlpm.q,1)&amp;" "&amp;_xlpm.ai_test&amp;" = "&amp;ROUND(_xlpm.q*_xlpm.f,1)&amp;" "&amp;_xlpm.u,ROUND(_xlpm.q,1)&amp;" "&amp;_xlpm.ai_test)),""),""))))</f>
        <v>0</v>
      </c>
      <c r="AX320" s="6218"/>
      <c r="AY320" s="6271">
        <f t="shared" si="132"/>
        <v>0</v>
      </c>
      <c r="AZ320" s="6242" t="str">
        <f t="shared" si="133"/>
        <v/>
      </c>
      <c r="BA320" s="6194">
        <f t="shared" si="138"/>
        <v>0</v>
      </c>
      <c r="BB320" s="6192" t="str">
        <f t="shared" si="134"/>
        <v/>
      </c>
      <c r="BC320" s="6219"/>
      <c r="BD320" s="6221">
        <f t="shared" si="139"/>
        <v>0</v>
      </c>
      <c r="BE320" s="6220" t="str">
        <f t="shared" si="135"/>
        <v/>
      </c>
      <c r="BF320" s="4" t="s">
        <v>1</v>
      </c>
      <c r="BG320" s="6196">
        <f t="shared" si="136"/>
        <v>0</v>
      </c>
      <c r="BH320" s="6197">
        <f t="shared" si="137"/>
        <v>0</v>
      </c>
      <c r="BI320"/>
      <c r="BJ320" s="1"/>
      <c r="BK320" s="1"/>
      <c r="BL320" s="1"/>
      <c r="BM320" s="1"/>
      <c r="BN320" s="1"/>
      <c r="BO320" s="1"/>
      <c r="BP320" s="1"/>
      <c r="BQ320" s="1"/>
      <c r="BX320" s="20" t="str">
        <f t="shared" si="118"/>
        <v>►</v>
      </c>
      <c r="BY320" s="2"/>
      <c r="BZ320" s="2"/>
      <c r="CA320" s="2"/>
      <c r="CB320" s="2"/>
      <c r="CC320" s="2"/>
      <c r="CD320" s="2"/>
      <c r="CL320" s="2"/>
      <c r="CT320" s="2"/>
      <c r="DB320" s="2"/>
      <c r="DC320" s="5">
        <v>1</v>
      </c>
    </row>
    <row r="321" spans="12:107" ht="21" customHeight="1">
      <c r="L321" s="1021" t="s">
        <v>26</v>
      </c>
      <c r="M321" s="6787"/>
      <c r="N321" s="6787"/>
      <c r="O321" s="6787"/>
      <c r="P321" s="6788"/>
      <c r="Q321" s="6789"/>
      <c r="R321" s="6790"/>
      <c r="S321" s="6786"/>
      <c r="T321" s="6791"/>
      <c r="U321" s="6844"/>
      <c r="V321" s="6791"/>
      <c r="W321" s="8487"/>
      <c r="X321" s="6871"/>
      <c r="Y321" s="6793"/>
      <c r="Z321" s="6794"/>
      <c r="AA321" s="6795"/>
      <c r="AB321" s="6796"/>
      <c r="AC321" s="6797"/>
      <c r="AD321" s="6798"/>
      <c r="AE321" s="4" t="s">
        <v>1</v>
      </c>
      <c r="AF321" s="6202" t="str">
        <f t="shared" si="119"/>
        <v>►</v>
      </c>
      <c r="AG321" s="6234" t="str">
        <f t="shared" si="120"/>
        <v/>
      </c>
      <c r="AH321" s="6732" t="str">
        <f t="shared" si="121"/>
        <v/>
      </c>
      <c r="AI321" s="6234" t="str">
        <f t="shared" si="122"/>
        <v/>
      </c>
      <c r="AJ321" s="6732" t="str">
        <f t="shared" si="123"/>
        <v/>
      </c>
      <c r="AK321" s="6732">
        <f t="shared" si="124"/>
        <v>0</v>
      </c>
      <c r="AL321" s="6230" t="str" cm="1">
        <f t="array" ref="AL321">IF(AF321&lt;&gt;"A","",IFERROR((IFERROR(_xlfn.XLOOKUP(TRIM(SUBSTITUTE(U321,CHAR(160)," ")),$BJ$15:$BJ$62,$BM$15:$BM$62),IFERROR(_xlfn.XLOOKUP(TRIM(SUBSTITUTE(U321,CHAR(160)," ")),$BK$15:$BK$62,$BM$15:$BM$62),_xlfn.XLOOKUP(TRIM(SUBSTITUTE(U321,CHAR(160)," ")),$BL$15:$BL$62,$BM$15:$BM$62))))*T321*IF(ISBLANK(Q321),1,Q321)+IFERROR(_xlfn.XLOOKUP("RECHERCHEX",TRIM(L321:AD321),L321:AD321),0),0))</f>
        <v/>
      </c>
      <c r="AM321" s="6229">
        <f t="shared" si="125"/>
        <v>0</v>
      </c>
      <c r="AN321" s="6857" t="str">
        <f t="shared" si="140"/>
        <v/>
      </c>
      <c r="AO321" s="392">
        <f t="shared" si="126"/>
        <v>0</v>
      </c>
      <c r="AP321" s="392">
        <f t="shared" si="127"/>
        <v>0</v>
      </c>
      <c r="AQ321" s="6191">
        <f t="shared" si="128"/>
        <v>0</v>
      </c>
      <c r="AR321" s="6859" t="str">
        <f t="shared" si="129"/>
        <v/>
      </c>
      <c r="AS321" s="6217"/>
      <c r="AT321" s="6217"/>
      <c r="AU321" s="6272">
        <f t="shared" si="130"/>
        <v>0</v>
      </c>
      <c r="AV321" s="6240">
        <f t="shared" si="131"/>
        <v>0</v>
      </c>
      <c r="AW321" s="6189" cm="1">
        <f t="array" ref="AW321">IF(AK321&lt;&gt;1,0,IF(OR(AU321="",N(AU321)&lt;=0.000000001),"",IF(OR(AO321="",N(AO321)&lt;=0.000000001),0,IF(ISNUMBER(AU321),IFERROR(_xlfn.LET(_xlpm.ai_test,TRIM(AJ321),_xlpm.r,IFERROR(_xlfn.XLOOKUP(_xlpm.ai_test,$BJ$15:$BJ$62,ROW($BJ$15:$BJ$62),0,1),IFERROR(_xlfn.XLOOKUP(_xlpm.ai_test,$BK$15:$BK$62,ROW($BK$15:$BK$62),0,1),_xlfn.XLOOKUP(_xlpm.ai_test,$BL$15:$BL$62,ROW($BL$15:$BL$62),0,1))),_xlpm.p,_xlpm.r-MIN(ROW($BJ$15:$BJ$62))+1,_xlpm.f,INDEX($BM$15:$BM$62,_xlpm.p),_xlpm.u,INDEX($BN$15:$BN$62,_xlpm.p),_xlpm.s,INDEX($BP$15:$BP$62,_xlpm.p),_xlpm.q,N(AU321)/_xlpm.f,IF(_xlpm.q&gt;=_xlpm.s,ROUND(_xlpm.q,1)&amp;" "&amp;_xlpm.ai_test&amp;" = "&amp;ROUND(_xlpm.q*_xlpm.f,1)&amp;" "&amp;_xlpm.u,ROUND(_xlpm.q,1)&amp;" "&amp;_xlpm.ai_test)),""),""))))</f>
        <v>0</v>
      </c>
      <c r="AX321" s="6218"/>
      <c r="AY321" s="6272">
        <f t="shared" si="132"/>
        <v>0</v>
      </c>
      <c r="AZ321" s="6240" t="str">
        <f t="shared" si="133"/>
        <v/>
      </c>
      <c r="BA321" s="6195">
        <f t="shared" si="138"/>
        <v>0</v>
      </c>
      <c r="BB321" s="6193" t="str">
        <f t="shared" si="134"/>
        <v/>
      </c>
      <c r="BC321" s="6219"/>
      <c r="BD321" s="6222">
        <f t="shared" si="139"/>
        <v>0</v>
      </c>
      <c r="BE321" s="6220" t="str">
        <f t="shared" si="135"/>
        <v/>
      </c>
      <c r="BF321" s="4" t="s">
        <v>1</v>
      </c>
      <c r="BG321" s="6196">
        <f t="shared" si="136"/>
        <v>0</v>
      </c>
      <c r="BH321" s="6197">
        <f t="shared" si="137"/>
        <v>0</v>
      </c>
      <c r="BI321"/>
      <c r="BJ321" s="1"/>
      <c r="BK321" s="1"/>
      <c r="BL321" s="1"/>
      <c r="BM321" s="1"/>
      <c r="BN321" s="1"/>
      <c r="BO321" s="1"/>
      <c r="BP321" s="1"/>
      <c r="BQ321" s="1"/>
      <c r="BX321" s="20" t="str">
        <f t="shared" si="118"/>
        <v>►</v>
      </c>
      <c r="BY321" s="2"/>
      <c r="BZ321" s="2"/>
      <c r="CA321" s="2"/>
      <c r="CB321" s="2"/>
      <c r="CC321" s="2"/>
      <c r="CD321" s="2"/>
      <c r="CL321" s="2"/>
      <c r="CT321" s="2"/>
      <c r="DB321" s="2"/>
      <c r="DC321" s="5">
        <v>1</v>
      </c>
    </row>
    <row r="322" spans="12:107" ht="21" customHeight="1">
      <c r="L322" s="1021" t="s">
        <v>26</v>
      </c>
      <c r="M322" s="6787"/>
      <c r="N322" s="6787"/>
      <c r="O322" s="6787"/>
      <c r="P322" s="6788"/>
      <c r="Q322" s="6789"/>
      <c r="R322" s="6790"/>
      <c r="S322" s="6786"/>
      <c r="T322" s="6791"/>
      <c r="U322" s="6844"/>
      <c r="V322" s="6791"/>
      <c r="W322" s="8487"/>
      <c r="X322" s="6871"/>
      <c r="Y322" s="6793"/>
      <c r="Z322" s="6794"/>
      <c r="AA322" s="6795"/>
      <c r="AB322" s="6796"/>
      <c r="AC322" s="6797"/>
      <c r="AD322" s="6798"/>
      <c r="AE322" s="4" t="s">
        <v>1</v>
      </c>
      <c r="AF322" s="6202" t="str">
        <f t="shared" si="119"/>
        <v>►</v>
      </c>
      <c r="AG322" s="6234" t="str">
        <f t="shared" si="120"/>
        <v/>
      </c>
      <c r="AH322" s="6732" t="str">
        <f t="shared" si="121"/>
        <v/>
      </c>
      <c r="AI322" s="6234" t="str">
        <f t="shared" si="122"/>
        <v/>
      </c>
      <c r="AJ322" s="6732" t="str">
        <f t="shared" si="123"/>
        <v/>
      </c>
      <c r="AK322" s="6732">
        <f t="shared" si="124"/>
        <v>0</v>
      </c>
      <c r="AL322" s="6230" t="str" cm="1">
        <f t="array" ref="AL322">IF(AF322&lt;&gt;"A","",IFERROR((IFERROR(_xlfn.XLOOKUP(TRIM(SUBSTITUTE(U322,CHAR(160)," ")),$BJ$15:$BJ$62,$BM$15:$BM$62),IFERROR(_xlfn.XLOOKUP(TRIM(SUBSTITUTE(U322,CHAR(160)," ")),$BK$15:$BK$62,$BM$15:$BM$62),_xlfn.XLOOKUP(TRIM(SUBSTITUTE(U322,CHAR(160)," ")),$BL$15:$BL$62,$BM$15:$BM$62))))*T322*IF(ISBLANK(Q322),1,Q322)+IFERROR(_xlfn.XLOOKUP("RECHERCHEX",TRIM(L322:AD322),L322:AD322),0),0))</f>
        <v/>
      </c>
      <c r="AM322" s="6229">
        <f t="shared" si="125"/>
        <v>0</v>
      </c>
      <c r="AN322" s="6857" t="str">
        <f t="shared" si="140"/>
        <v/>
      </c>
      <c r="AO322" s="392">
        <f t="shared" si="126"/>
        <v>0</v>
      </c>
      <c r="AP322" s="392">
        <f t="shared" si="127"/>
        <v>0</v>
      </c>
      <c r="AQ322" s="6190">
        <f t="shared" si="128"/>
        <v>0</v>
      </c>
      <c r="AR322" s="6858" t="str">
        <f t="shared" si="129"/>
        <v/>
      </c>
      <c r="AS322" s="6217"/>
      <c r="AT322" s="6217"/>
      <c r="AU322" s="6271">
        <f t="shared" si="130"/>
        <v>0</v>
      </c>
      <c r="AV322" s="6242">
        <f t="shared" si="131"/>
        <v>0</v>
      </c>
      <c r="AW322" s="6188" cm="1">
        <f t="array" ref="AW322">IF(AK322&lt;&gt;1,0,IF(OR(AU322="",N(AU322)&lt;=0.000000001),"",IF(OR(AO322="",N(AO322)&lt;=0.000000001),0,IF(ISNUMBER(AU322),IFERROR(_xlfn.LET(_xlpm.ai_test,TRIM(AJ322),_xlpm.r,IFERROR(_xlfn.XLOOKUP(_xlpm.ai_test,$BJ$15:$BJ$62,ROW($BJ$15:$BJ$62),0,1),IFERROR(_xlfn.XLOOKUP(_xlpm.ai_test,$BK$15:$BK$62,ROW($BK$15:$BK$62),0,1),_xlfn.XLOOKUP(_xlpm.ai_test,$BL$15:$BL$62,ROW($BL$15:$BL$62),0,1))),_xlpm.p,_xlpm.r-MIN(ROW($BJ$15:$BJ$62))+1,_xlpm.f,INDEX($BM$15:$BM$62,_xlpm.p),_xlpm.u,INDEX($BN$15:$BN$62,_xlpm.p),_xlpm.s,INDEX($BP$15:$BP$62,_xlpm.p),_xlpm.q,N(AU322)/_xlpm.f,IF(_xlpm.q&gt;=_xlpm.s,ROUND(_xlpm.q,1)&amp;" "&amp;_xlpm.ai_test&amp;" = "&amp;ROUND(_xlpm.q*_xlpm.f,1)&amp;" "&amp;_xlpm.u,ROUND(_xlpm.q,1)&amp;" "&amp;_xlpm.ai_test)),""),""))))</f>
        <v>0</v>
      </c>
      <c r="AX322" s="6218"/>
      <c r="AY322" s="6271">
        <f t="shared" si="132"/>
        <v>0</v>
      </c>
      <c r="AZ322" s="6242" t="str">
        <f t="shared" si="133"/>
        <v/>
      </c>
      <c r="BA322" s="6194">
        <f t="shared" si="138"/>
        <v>0</v>
      </c>
      <c r="BB322" s="6192" t="str">
        <f t="shared" si="134"/>
        <v/>
      </c>
      <c r="BC322" s="6219"/>
      <c r="BD322" s="6221">
        <f t="shared" si="139"/>
        <v>0</v>
      </c>
      <c r="BE322" s="6220" t="str">
        <f t="shared" si="135"/>
        <v/>
      </c>
      <c r="BF322" s="4" t="s">
        <v>1</v>
      </c>
      <c r="BG322" s="6196">
        <f t="shared" si="136"/>
        <v>0</v>
      </c>
      <c r="BH322" s="6197">
        <f t="shared" si="137"/>
        <v>0</v>
      </c>
      <c r="BI322"/>
      <c r="BJ322" s="1"/>
      <c r="BK322" s="1"/>
      <c r="BL322" s="1"/>
      <c r="BM322" s="1"/>
      <c r="BN322" s="1"/>
      <c r="BO322" s="1"/>
      <c r="BP322" s="1"/>
      <c r="BQ322" s="1"/>
      <c r="BX322" s="20" t="str">
        <f t="shared" si="118"/>
        <v>►</v>
      </c>
      <c r="CC322"/>
      <c r="CD322" s="2"/>
      <c r="CL322" s="2"/>
      <c r="CT322" s="2"/>
      <c r="DB322" s="2"/>
      <c r="DC322" s="5">
        <v>1</v>
      </c>
    </row>
    <row r="323" spans="12:107" ht="21" customHeight="1">
      <c r="L323" s="1021" t="s">
        <v>26</v>
      </c>
      <c r="M323" s="6787"/>
      <c r="N323" s="6787"/>
      <c r="O323" s="6787"/>
      <c r="P323" s="6788"/>
      <c r="Q323" s="6789"/>
      <c r="R323" s="6790"/>
      <c r="S323" s="6786"/>
      <c r="T323" s="6791"/>
      <c r="U323" s="6844"/>
      <c r="V323" s="6791"/>
      <c r="W323" s="8487"/>
      <c r="X323" s="6871"/>
      <c r="Y323" s="6793"/>
      <c r="Z323" s="6794"/>
      <c r="AA323" s="6795"/>
      <c r="AB323" s="6796"/>
      <c r="AC323" s="6797"/>
      <c r="AD323" s="6798"/>
      <c r="AE323" s="4" t="s">
        <v>1</v>
      </c>
      <c r="AF323" s="6202" t="str">
        <f t="shared" si="119"/>
        <v>►</v>
      </c>
      <c r="AG323" s="6234" t="str">
        <f t="shared" si="120"/>
        <v/>
      </c>
      <c r="AH323" s="6732" t="str">
        <f t="shared" si="121"/>
        <v/>
      </c>
      <c r="AI323" s="6234" t="str">
        <f t="shared" si="122"/>
        <v/>
      </c>
      <c r="AJ323" s="6732" t="str">
        <f t="shared" si="123"/>
        <v/>
      </c>
      <c r="AK323" s="6732">
        <f t="shared" si="124"/>
        <v>0</v>
      </c>
      <c r="AL323" s="6230" t="str" cm="1">
        <f t="array" ref="AL323">IF(AF323&lt;&gt;"A","",IFERROR((IFERROR(_xlfn.XLOOKUP(TRIM(SUBSTITUTE(U323,CHAR(160)," ")),$BJ$15:$BJ$62,$BM$15:$BM$62),IFERROR(_xlfn.XLOOKUP(TRIM(SUBSTITUTE(U323,CHAR(160)," ")),$BK$15:$BK$62,$BM$15:$BM$62),_xlfn.XLOOKUP(TRIM(SUBSTITUTE(U323,CHAR(160)," ")),$BL$15:$BL$62,$BM$15:$BM$62))))*T323*IF(ISBLANK(Q323),1,Q323)+IFERROR(_xlfn.XLOOKUP("RECHERCHEX",TRIM(L323:AD323),L323:AD323),0),0))</f>
        <v/>
      </c>
      <c r="AM323" s="6229">
        <f t="shared" si="125"/>
        <v>0</v>
      </c>
      <c r="AN323" s="6857" t="str">
        <f t="shared" si="140"/>
        <v/>
      </c>
      <c r="AO323" s="392">
        <f t="shared" si="126"/>
        <v>0</v>
      </c>
      <c r="AP323" s="392">
        <f t="shared" si="127"/>
        <v>0</v>
      </c>
      <c r="AQ323" s="6191">
        <f t="shared" si="128"/>
        <v>0</v>
      </c>
      <c r="AR323" s="6859" t="str">
        <f t="shared" si="129"/>
        <v/>
      </c>
      <c r="AS323" s="6217"/>
      <c r="AT323" s="6217"/>
      <c r="AU323" s="6272">
        <f t="shared" si="130"/>
        <v>0</v>
      </c>
      <c r="AV323" s="6240">
        <f t="shared" si="131"/>
        <v>0</v>
      </c>
      <c r="AW323" s="6189" cm="1">
        <f t="array" ref="AW323">IF(AK323&lt;&gt;1,0,IF(OR(AU323="",N(AU323)&lt;=0.000000001),"",IF(OR(AO323="",N(AO323)&lt;=0.000000001),0,IF(ISNUMBER(AU323),IFERROR(_xlfn.LET(_xlpm.ai_test,TRIM(AJ323),_xlpm.r,IFERROR(_xlfn.XLOOKUP(_xlpm.ai_test,$BJ$15:$BJ$62,ROW($BJ$15:$BJ$62),0,1),IFERROR(_xlfn.XLOOKUP(_xlpm.ai_test,$BK$15:$BK$62,ROW($BK$15:$BK$62),0,1),_xlfn.XLOOKUP(_xlpm.ai_test,$BL$15:$BL$62,ROW($BL$15:$BL$62),0,1))),_xlpm.p,_xlpm.r-MIN(ROW($BJ$15:$BJ$62))+1,_xlpm.f,INDEX($BM$15:$BM$62,_xlpm.p),_xlpm.u,INDEX($BN$15:$BN$62,_xlpm.p),_xlpm.s,INDEX($BP$15:$BP$62,_xlpm.p),_xlpm.q,N(AU323)/_xlpm.f,IF(_xlpm.q&gt;=_xlpm.s,ROUND(_xlpm.q,1)&amp;" "&amp;_xlpm.ai_test&amp;" = "&amp;ROUND(_xlpm.q*_xlpm.f,1)&amp;" "&amp;_xlpm.u,ROUND(_xlpm.q,1)&amp;" "&amp;_xlpm.ai_test)),""),""))))</f>
        <v>0</v>
      </c>
      <c r="AX323" s="6218"/>
      <c r="AY323" s="6272">
        <f t="shared" si="132"/>
        <v>0</v>
      </c>
      <c r="AZ323" s="6240" t="str">
        <f t="shared" si="133"/>
        <v/>
      </c>
      <c r="BA323" s="6195">
        <f t="shared" si="138"/>
        <v>0</v>
      </c>
      <c r="BB323" s="6193" t="str">
        <f t="shared" si="134"/>
        <v/>
      </c>
      <c r="BC323" s="6219"/>
      <c r="BD323" s="6222">
        <f t="shared" si="139"/>
        <v>0</v>
      </c>
      <c r="BE323" s="6220" t="str">
        <f t="shared" si="135"/>
        <v/>
      </c>
      <c r="BF323" s="4" t="s">
        <v>1</v>
      </c>
      <c r="BG323" s="6196">
        <f t="shared" si="136"/>
        <v>0</v>
      </c>
      <c r="BH323" s="6197">
        <f t="shared" si="137"/>
        <v>0</v>
      </c>
      <c r="BI323"/>
      <c r="BJ323" s="1"/>
      <c r="BK323" s="1"/>
      <c r="BL323" s="1"/>
      <c r="BM323" s="1"/>
      <c r="BN323" s="1"/>
      <c r="BO323" s="1"/>
      <c r="BP323" s="1"/>
      <c r="BQ323" s="1"/>
      <c r="BX323" s="20" t="str">
        <f t="shared" si="118"/>
        <v>►</v>
      </c>
      <c r="BY323" s="2"/>
      <c r="BZ323" s="2"/>
      <c r="CA323" s="2"/>
      <c r="CB323" s="2"/>
      <c r="CC323" s="2"/>
      <c r="CD323" s="2"/>
      <c r="CL323" s="2"/>
      <c r="CT323" s="2"/>
      <c r="DB323" s="2"/>
      <c r="DC323" s="5">
        <v>1</v>
      </c>
    </row>
    <row r="324" spans="12:107" ht="21" customHeight="1">
      <c r="L324" s="1021" t="s">
        <v>26</v>
      </c>
      <c r="M324" s="6787"/>
      <c r="N324" s="6787"/>
      <c r="O324" s="6787"/>
      <c r="P324" s="6788"/>
      <c r="Q324" s="6789"/>
      <c r="R324" s="6790"/>
      <c r="S324" s="6786"/>
      <c r="T324" s="6791"/>
      <c r="U324" s="6844"/>
      <c r="V324" s="6791"/>
      <c r="W324" s="8487"/>
      <c r="X324" s="6871"/>
      <c r="Y324" s="6793"/>
      <c r="Z324" s="6794"/>
      <c r="AA324" s="6795"/>
      <c r="AB324" s="6796"/>
      <c r="AC324" s="6797"/>
      <c r="AD324" s="6798"/>
      <c r="AE324" s="4" t="s">
        <v>1</v>
      </c>
      <c r="AF324" s="6202" t="str">
        <f t="shared" si="119"/>
        <v>►</v>
      </c>
      <c r="AG324" s="6234" t="str">
        <f t="shared" si="120"/>
        <v/>
      </c>
      <c r="AH324" s="6732" t="str">
        <f t="shared" si="121"/>
        <v/>
      </c>
      <c r="AI324" s="6234" t="str">
        <f t="shared" si="122"/>
        <v/>
      </c>
      <c r="AJ324" s="6732" t="str">
        <f t="shared" si="123"/>
        <v/>
      </c>
      <c r="AK324" s="6732">
        <f t="shared" si="124"/>
        <v>0</v>
      </c>
      <c r="AL324" s="6230" t="str" cm="1">
        <f t="array" ref="AL324">IF(AF324&lt;&gt;"A","",IFERROR((IFERROR(_xlfn.XLOOKUP(TRIM(SUBSTITUTE(U324,CHAR(160)," ")),$BJ$15:$BJ$62,$BM$15:$BM$62),IFERROR(_xlfn.XLOOKUP(TRIM(SUBSTITUTE(U324,CHAR(160)," ")),$BK$15:$BK$62,$BM$15:$BM$62),_xlfn.XLOOKUP(TRIM(SUBSTITUTE(U324,CHAR(160)," ")),$BL$15:$BL$62,$BM$15:$BM$62))))*T324*IF(ISBLANK(Q324),1,Q324)+IFERROR(_xlfn.XLOOKUP("RECHERCHEX",TRIM(L324:AD324),L324:AD324),0),0))</f>
        <v/>
      </c>
      <c r="AM324" s="6229">
        <f t="shared" si="125"/>
        <v>0</v>
      </c>
      <c r="AN324" s="6857" t="str">
        <f t="shared" si="140"/>
        <v/>
      </c>
      <c r="AO324" s="392">
        <f t="shared" si="126"/>
        <v>0</v>
      </c>
      <c r="AP324" s="392">
        <f t="shared" si="127"/>
        <v>0</v>
      </c>
      <c r="AQ324" s="6190">
        <f t="shared" si="128"/>
        <v>0</v>
      </c>
      <c r="AR324" s="6858" t="str">
        <f t="shared" si="129"/>
        <v/>
      </c>
      <c r="AS324" s="6217"/>
      <c r="AT324" s="6217"/>
      <c r="AU324" s="6271">
        <f t="shared" si="130"/>
        <v>0</v>
      </c>
      <c r="AV324" s="6242">
        <f t="shared" si="131"/>
        <v>0</v>
      </c>
      <c r="AW324" s="6188" cm="1">
        <f t="array" ref="AW324">IF(AK324&lt;&gt;1,0,IF(OR(AU324="",N(AU324)&lt;=0.000000001),"",IF(OR(AO324="",N(AO324)&lt;=0.000000001),0,IF(ISNUMBER(AU324),IFERROR(_xlfn.LET(_xlpm.ai_test,TRIM(AJ324),_xlpm.r,IFERROR(_xlfn.XLOOKUP(_xlpm.ai_test,$BJ$15:$BJ$62,ROW($BJ$15:$BJ$62),0,1),IFERROR(_xlfn.XLOOKUP(_xlpm.ai_test,$BK$15:$BK$62,ROW($BK$15:$BK$62),0,1),_xlfn.XLOOKUP(_xlpm.ai_test,$BL$15:$BL$62,ROW($BL$15:$BL$62),0,1))),_xlpm.p,_xlpm.r-MIN(ROW($BJ$15:$BJ$62))+1,_xlpm.f,INDEX($BM$15:$BM$62,_xlpm.p),_xlpm.u,INDEX($BN$15:$BN$62,_xlpm.p),_xlpm.s,INDEX($BP$15:$BP$62,_xlpm.p),_xlpm.q,N(AU324)/_xlpm.f,IF(_xlpm.q&gt;=_xlpm.s,ROUND(_xlpm.q,1)&amp;" "&amp;_xlpm.ai_test&amp;" = "&amp;ROUND(_xlpm.q*_xlpm.f,1)&amp;" "&amp;_xlpm.u,ROUND(_xlpm.q,1)&amp;" "&amp;_xlpm.ai_test)),""),""))))</f>
        <v>0</v>
      </c>
      <c r="AX324" s="6218"/>
      <c r="AY324" s="6271">
        <f t="shared" si="132"/>
        <v>0</v>
      </c>
      <c r="AZ324" s="6242" t="str">
        <f t="shared" si="133"/>
        <v/>
      </c>
      <c r="BA324" s="6194">
        <f t="shared" si="138"/>
        <v>0</v>
      </c>
      <c r="BB324" s="6192" t="str">
        <f t="shared" si="134"/>
        <v/>
      </c>
      <c r="BC324" s="6219"/>
      <c r="BD324" s="6221">
        <f t="shared" si="139"/>
        <v>0</v>
      </c>
      <c r="BE324" s="6220" t="str">
        <f t="shared" si="135"/>
        <v/>
      </c>
      <c r="BF324" s="4" t="s">
        <v>1</v>
      </c>
      <c r="BG324" s="6196">
        <f t="shared" si="136"/>
        <v>0</v>
      </c>
      <c r="BH324" s="6197">
        <f t="shared" si="137"/>
        <v>0</v>
      </c>
      <c r="BI324"/>
      <c r="BJ324" s="1"/>
      <c r="BK324" s="1"/>
      <c r="BL324" s="1"/>
      <c r="BM324" s="1"/>
      <c r="BN324" s="1"/>
      <c r="BO324" s="1"/>
      <c r="BP324" s="1"/>
      <c r="BQ324" s="1"/>
      <c r="BX324" s="20" t="str">
        <f t="shared" si="118"/>
        <v>►</v>
      </c>
      <c r="BY324" s="2"/>
      <c r="BZ324" s="2"/>
      <c r="CA324" s="2"/>
      <c r="CB324" s="2"/>
      <c r="CC324" s="2"/>
      <c r="CD324" s="2"/>
      <c r="CL324" s="2"/>
      <c r="CT324" s="2"/>
      <c r="DB324" s="2"/>
      <c r="DC324" s="5">
        <v>1</v>
      </c>
    </row>
    <row r="325" spans="12:107" ht="21" customHeight="1">
      <c r="L325" s="1021" t="s">
        <v>26</v>
      </c>
      <c r="M325" s="6787"/>
      <c r="N325" s="6787"/>
      <c r="O325" s="6787"/>
      <c r="P325" s="6788"/>
      <c r="Q325" s="6789"/>
      <c r="R325" s="6790"/>
      <c r="S325" s="6786"/>
      <c r="T325" s="6791"/>
      <c r="U325" s="6844"/>
      <c r="V325" s="6791"/>
      <c r="W325" s="8487"/>
      <c r="X325" s="6871"/>
      <c r="Y325" s="6793"/>
      <c r="Z325" s="6794"/>
      <c r="AA325" s="6795"/>
      <c r="AB325" s="6796"/>
      <c r="AC325" s="6797"/>
      <c r="AD325" s="6798"/>
      <c r="AE325" s="4" t="s">
        <v>1</v>
      </c>
      <c r="AF325" s="6202" t="str">
        <f t="shared" si="119"/>
        <v>►</v>
      </c>
      <c r="AG325" s="6234" t="str">
        <f t="shared" si="120"/>
        <v/>
      </c>
      <c r="AH325" s="6732" t="str">
        <f t="shared" si="121"/>
        <v/>
      </c>
      <c r="AI325" s="6234" t="str">
        <f t="shared" si="122"/>
        <v/>
      </c>
      <c r="AJ325" s="6732" t="str">
        <f t="shared" si="123"/>
        <v/>
      </c>
      <c r="AK325" s="6732">
        <f t="shared" si="124"/>
        <v>0</v>
      </c>
      <c r="AL325" s="6230" t="str" cm="1">
        <f t="array" ref="AL325">IF(AF325&lt;&gt;"A","",IFERROR((IFERROR(_xlfn.XLOOKUP(TRIM(SUBSTITUTE(U325,CHAR(160)," ")),$BJ$15:$BJ$62,$BM$15:$BM$62),IFERROR(_xlfn.XLOOKUP(TRIM(SUBSTITUTE(U325,CHAR(160)," ")),$BK$15:$BK$62,$BM$15:$BM$62),_xlfn.XLOOKUP(TRIM(SUBSTITUTE(U325,CHAR(160)," ")),$BL$15:$BL$62,$BM$15:$BM$62))))*T325*IF(ISBLANK(Q325),1,Q325)+IFERROR(_xlfn.XLOOKUP("RECHERCHEX",TRIM(L325:AD325),L325:AD325),0),0))</f>
        <v/>
      </c>
      <c r="AM325" s="6229">
        <f t="shared" si="125"/>
        <v>0</v>
      </c>
      <c r="AN325" s="6857" t="str">
        <f t="shared" si="140"/>
        <v/>
      </c>
      <c r="AO325" s="392">
        <f t="shared" si="126"/>
        <v>0</v>
      </c>
      <c r="AP325" s="392">
        <f t="shared" si="127"/>
        <v>0</v>
      </c>
      <c r="AQ325" s="6191">
        <f t="shared" si="128"/>
        <v>0</v>
      </c>
      <c r="AR325" s="6859" t="str">
        <f t="shared" si="129"/>
        <v/>
      </c>
      <c r="AS325" s="6217"/>
      <c r="AT325" s="6217"/>
      <c r="AU325" s="6272">
        <f t="shared" si="130"/>
        <v>0</v>
      </c>
      <c r="AV325" s="6240">
        <f t="shared" si="131"/>
        <v>0</v>
      </c>
      <c r="AW325" s="6189" cm="1">
        <f t="array" ref="AW325">IF(AK325&lt;&gt;1,0,IF(OR(AU325="",N(AU325)&lt;=0.000000001),"",IF(OR(AO325="",N(AO325)&lt;=0.000000001),0,IF(ISNUMBER(AU325),IFERROR(_xlfn.LET(_xlpm.ai_test,TRIM(AJ325),_xlpm.r,IFERROR(_xlfn.XLOOKUP(_xlpm.ai_test,$BJ$15:$BJ$62,ROW($BJ$15:$BJ$62),0,1),IFERROR(_xlfn.XLOOKUP(_xlpm.ai_test,$BK$15:$BK$62,ROW($BK$15:$BK$62),0,1),_xlfn.XLOOKUP(_xlpm.ai_test,$BL$15:$BL$62,ROW($BL$15:$BL$62),0,1))),_xlpm.p,_xlpm.r-MIN(ROW($BJ$15:$BJ$62))+1,_xlpm.f,INDEX($BM$15:$BM$62,_xlpm.p),_xlpm.u,INDEX($BN$15:$BN$62,_xlpm.p),_xlpm.s,INDEX($BP$15:$BP$62,_xlpm.p),_xlpm.q,N(AU325)/_xlpm.f,IF(_xlpm.q&gt;=_xlpm.s,ROUND(_xlpm.q,1)&amp;" "&amp;_xlpm.ai_test&amp;" = "&amp;ROUND(_xlpm.q*_xlpm.f,1)&amp;" "&amp;_xlpm.u,ROUND(_xlpm.q,1)&amp;" "&amp;_xlpm.ai_test)),""),""))))</f>
        <v>0</v>
      </c>
      <c r="AX325" s="6218"/>
      <c r="AY325" s="6272">
        <f t="shared" si="132"/>
        <v>0</v>
      </c>
      <c r="AZ325" s="6240" t="str">
        <f t="shared" si="133"/>
        <v/>
      </c>
      <c r="BA325" s="6195">
        <f t="shared" si="138"/>
        <v>0</v>
      </c>
      <c r="BB325" s="6193" t="str">
        <f t="shared" si="134"/>
        <v/>
      </c>
      <c r="BC325" s="6219"/>
      <c r="BD325" s="6222">
        <f t="shared" si="139"/>
        <v>0</v>
      </c>
      <c r="BE325" s="6220" t="str">
        <f t="shared" si="135"/>
        <v/>
      </c>
      <c r="BF325" s="4" t="s">
        <v>1</v>
      </c>
      <c r="BG325" s="6196">
        <f t="shared" si="136"/>
        <v>0</v>
      </c>
      <c r="BH325" s="6197">
        <f t="shared" si="137"/>
        <v>0</v>
      </c>
      <c r="BI325"/>
      <c r="BJ325" s="1"/>
      <c r="BK325" s="1"/>
      <c r="BL325" s="1"/>
      <c r="BM325" s="1"/>
      <c r="BN325" s="1"/>
      <c r="BO325" s="1"/>
      <c r="BP325" s="1"/>
      <c r="BQ325" s="1"/>
      <c r="BX325" s="20" t="str">
        <f t="shared" ref="BX325:BX388" si="142">AF325</f>
        <v>►</v>
      </c>
      <c r="BY325" s="2"/>
      <c r="BZ325" s="2"/>
      <c r="CA325" s="2"/>
      <c r="CB325" s="2"/>
      <c r="CC325" s="2"/>
      <c r="CD325" s="2"/>
      <c r="CL325" s="2"/>
      <c r="CT325" s="2"/>
      <c r="DB325" s="2"/>
      <c r="DC325" s="5">
        <v>1</v>
      </c>
    </row>
    <row r="326" spans="12:107" ht="21" customHeight="1">
      <c r="L326" s="1021" t="s">
        <v>26</v>
      </c>
      <c r="M326" s="6787"/>
      <c r="N326" s="6787"/>
      <c r="O326" s="6787"/>
      <c r="P326" s="6788"/>
      <c r="Q326" s="6789"/>
      <c r="R326" s="6790"/>
      <c r="S326" s="6786"/>
      <c r="T326" s="6791"/>
      <c r="U326" s="6844"/>
      <c r="V326" s="6791"/>
      <c r="W326" s="8487"/>
      <c r="X326" s="6871"/>
      <c r="Y326" s="6793"/>
      <c r="Z326" s="6794"/>
      <c r="AA326" s="6795"/>
      <c r="AB326" s="6796"/>
      <c r="AC326" s="6797"/>
      <c r="AD326" s="6798"/>
      <c r="AE326" s="4" t="s">
        <v>1</v>
      </c>
      <c r="AF326" s="6202" t="str">
        <f t="shared" si="119"/>
        <v>►</v>
      </c>
      <c r="AG326" s="6234" t="str">
        <f t="shared" si="120"/>
        <v/>
      </c>
      <c r="AH326" s="6732" t="str">
        <f t="shared" si="121"/>
        <v/>
      </c>
      <c r="AI326" s="6234" t="str">
        <f t="shared" si="122"/>
        <v/>
      </c>
      <c r="AJ326" s="6732" t="str">
        <f t="shared" si="123"/>
        <v/>
      </c>
      <c r="AK326" s="6732">
        <f t="shared" si="124"/>
        <v>0</v>
      </c>
      <c r="AL326" s="6230" t="str" cm="1">
        <f t="array" ref="AL326">IF(AF326&lt;&gt;"A","",IFERROR((IFERROR(_xlfn.XLOOKUP(TRIM(SUBSTITUTE(U326,CHAR(160)," ")),$BJ$15:$BJ$62,$BM$15:$BM$62),IFERROR(_xlfn.XLOOKUP(TRIM(SUBSTITUTE(U326,CHAR(160)," ")),$BK$15:$BK$62,$BM$15:$BM$62),_xlfn.XLOOKUP(TRIM(SUBSTITUTE(U326,CHAR(160)," ")),$BL$15:$BL$62,$BM$15:$BM$62))))*T326*IF(ISBLANK(Q326),1,Q326)+IFERROR(_xlfn.XLOOKUP("RECHERCHEX",TRIM(L326:AD326),L326:AD326),0),0))</f>
        <v/>
      </c>
      <c r="AM326" s="6229">
        <f t="shared" si="125"/>
        <v>0</v>
      </c>
      <c r="AN326" s="6857" t="str">
        <f t="shared" si="140"/>
        <v/>
      </c>
      <c r="AO326" s="392">
        <f t="shared" si="126"/>
        <v>0</v>
      </c>
      <c r="AP326" s="392">
        <f t="shared" si="127"/>
        <v>0</v>
      </c>
      <c r="AQ326" s="6190">
        <f t="shared" si="128"/>
        <v>0</v>
      </c>
      <c r="AR326" s="6858" t="str">
        <f t="shared" si="129"/>
        <v/>
      </c>
      <c r="AS326" s="6217"/>
      <c r="AT326" s="6217"/>
      <c r="AU326" s="6271">
        <f t="shared" si="130"/>
        <v>0</v>
      </c>
      <c r="AV326" s="6242">
        <f t="shared" si="131"/>
        <v>0</v>
      </c>
      <c r="AW326" s="6188" cm="1">
        <f t="array" ref="AW326">IF(AK326&lt;&gt;1,0,IF(OR(AU326="",N(AU326)&lt;=0.000000001),"",IF(OR(AO326="",N(AO326)&lt;=0.000000001),0,IF(ISNUMBER(AU326),IFERROR(_xlfn.LET(_xlpm.ai_test,TRIM(AJ326),_xlpm.r,IFERROR(_xlfn.XLOOKUP(_xlpm.ai_test,$BJ$15:$BJ$62,ROW($BJ$15:$BJ$62),0,1),IFERROR(_xlfn.XLOOKUP(_xlpm.ai_test,$BK$15:$BK$62,ROW($BK$15:$BK$62),0,1),_xlfn.XLOOKUP(_xlpm.ai_test,$BL$15:$BL$62,ROW($BL$15:$BL$62),0,1))),_xlpm.p,_xlpm.r-MIN(ROW($BJ$15:$BJ$62))+1,_xlpm.f,INDEX($BM$15:$BM$62,_xlpm.p),_xlpm.u,INDEX($BN$15:$BN$62,_xlpm.p),_xlpm.s,INDEX($BP$15:$BP$62,_xlpm.p),_xlpm.q,N(AU326)/_xlpm.f,IF(_xlpm.q&gt;=_xlpm.s,ROUND(_xlpm.q,1)&amp;" "&amp;_xlpm.ai_test&amp;" = "&amp;ROUND(_xlpm.q*_xlpm.f,1)&amp;" "&amp;_xlpm.u,ROUND(_xlpm.q,1)&amp;" "&amp;_xlpm.ai_test)),""),""))))</f>
        <v>0</v>
      </c>
      <c r="AX326" s="6218"/>
      <c r="AY326" s="6271">
        <f t="shared" si="132"/>
        <v>0</v>
      </c>
      <c r="AZ326" s="6242" t="str">
        <f t="shared" si="133"/>
        <v/>
      </c>
      <c r="BA326" s="6194">
        <f t="shared" si="138"/>
        <v>0</v>
      </c>
      <c r="BB326" s="6192" t="str">
        <f t="shared" si="134"/>
        <v/>
      </c>
      <c r="BC326" s="6219"/>
      <c r="BD326" s="6221">
        <f t="shared" si="139"/>
        <v>0</v>
      </c>
      <c r="BE326" s="6220" t="str">
        <f t="shared" si="135"/>
        <v/>
      </c>
      <c r="BF326" s="4" t="s">
        <v>1</v>
      </c>
      <c r="BG326" s="6196">
        <f t="shared" si="136"/>
        <v>0</v>
      </c>
      <c r="BH326" s="6197">
        <f t="shared" si="137"/>
        <v>0</v>
      </c>
      <c r="BI326"/>
      <c r="BJ326" s="1"/>
      <c r="BK326" s="1"/>
      <c r="BL326" s="1"/>
      <c r="BM326" s="1"/>
      <c r="BN326" s="1"/>
      <c r="BO326" s="1"/>
      <c r="BP326" s="1"/>
      <c r="BQ326" s="1"/>
      <c r="BX326" s="20" t="str">
        <f t="shared" si="142"/>
        <v>►</v>
      </c>
      <c r="BY326" s="2"/>
      <c r="BZ326" s="2"/>
      <c r="CA326" s="2"/>
      <c r="CB326" s="2"/>
      <c r="CC326" s="2"/>
      <c r="CD326" s="2"/>
      <c r="CL326" s="2"/>
      <c r="CT326" s="2"/>
      <c r="DB326" s="2"/>
      <c r="DC326" s="5">
        <v>1</v>
      </c>
    </row>
    <row r="327" spans="12:107" ht="21" customHeight="1">
      <c r="L327" s="1021" t="s">
        <v>26</v>
      </c>
      <c r="M327" s="6787"/>
      <c r="N327" s="6787"/>
      <c r="O327" s="6787"/>
      <c r="P327" s="6788"/>
      <c r="Q327" s="6789"/>
      <c r="R327" s="6790"/>
      <c r="S327" s="6786"/>
      <c r="T327" s="6791"/>
      <c r="U327" s="6844"/>
      <c r="V327" s="6791"/>
      <c r="W327" s="8487"/>
      <c r="X327" s="6871"/>
      <c r="Y327" s="6793"/>
      <c r="Z327" s="6794"/>
      <c r="AA327" s="6795"/>
      <c r="AB327" s="6796"/>
      <c r="AC327" s="6797"/>
      <c r="AD327" s="6798"/>
      <c r="AE327" s="4" t="s">
        <v>1</v>
      </c>
      <c r="AF327" s="6202" t="str">
        <f t="shared" si="119"/>
        <v>►</v>
      </c>
      <c r="AG327" s="6234" t="str">
        <f t="shared" si="120"/>
        <v/>
      </c>
      <c r="AH327" s="6732" t="str">
        <f t="shared" si="121"/>
        <v/>
      </c>
      <c r="AI327" s="6234" t="str">
        <f t="shared" si="122"/>
        <v/>
      </c>
      <c r="AJ327" s="6732" t="str">
        <f t="shared" si="123"/>
        <v/>
      </c>
      <c r="AK327" s="6732">
        <f t="shared" si="124"/>
        <v>0</v>
      </c>
      <c r="AL327" s="6230" t="str" cm="1">
        <f t="array" ref="AL327">IF(AF327&lt;&gt;"A","",IFERROR((IFERROR(_xlfn.XLOOKUP(TRIM(SUBSTITUTE(U327,CHAR(160)," ")),$BJ$15:$BJ$62,$BM$15:$BM$62),IFERROR(_xlfn.XLOOKUP(TRIM(SUBSTITUTE(U327,CHAR(160)," ")),$BK$15:$BK$62,$BM$15:$BM$62),_xlfn.XLOOKUP(TRIM(SUBSTITUTE(U327,CHAR(160)," ")),$BL$15:$BL$62,$BM$15:$BM$62))))*T327*IF(ISBLANK(Q327),1,Q327)+IFERROR(_xlfn.XLOOKUP("RECHERCHEX",TRIM(L327:AD327),L327:AD327),0),0))</f>
        <v/>
      </c>
      <c r="AM327" s="6229">
        <f t="shared" si="125"/>
        <v>0</v>
      </c>
      <c r="AN327" s="6857" t="str">
        <f t="shared" si="140"/>
        <v/>
      </c>
      <c r="AO327" s="392">
        <f t="shared" si="126"/>
        <v>0</v>
      </c>
      <c r="AP327" s="392">
        <f t="shared" si="127"/>
        <v>0</v>
      </c>
      <c r="AQ327" s="6191">
        <f t="shared" si="128"/>
        <v>0</v>
      </c>
      <c r="AR327" s="6859" t="str">
        <f t="shared" si="129"/>
        <v/>
      </c>
      <c r="AS327" s="6217"/>
      <c r="AT327" s="6217"/>
      <c r="AU327" s="6272">
        <f t="shared" si="130"/>
        <v>0</v>
      </c>
      <c r="AV327" s="6240">
        <f t="shared" si="131"/>
        <v>0</v>
      </c>
      <c r="AW327" s="6189" cm="1">
        <f t="array" ref="AW327">IF(AK327&lt;&gt;1,0,IF(OR(AU327="",N(AU327)&lt;=0.000000001),"",IF(OR(AO327="",N(AO327)&lt;=0.000000001),0,IF(ISNUMBER(AU327),IFERROR(_xlfn.LET(_xlpm.ai_test,TRIM(AJ327),_xlpm.r,IFERROR(_xlfn.XLOOKUP(_xlpm.ai_test,$BJ$15:$BJ$62,ROW($BJ$15:$BJ$62),0,1),IFERROR(_xlfn.XLOOKUP(_xlpm.ai_test,$BK$15:$BK$62,ROW($BK$15:$BK$62),0,1),_xlfn.XLOOKUP(_xlpm.ai_test,$BL$15:$BL$62,ROW($BL$15:$BL$62),0,1))),_xlpm.p,_xlpm.r-MIN(ROW($BJ$15:$BJ$62))+1,_xlpm.f,INDEX($BM$15:$BM$62,_xlpm.p),_xlpm.u,INDEX($BN$15:$BN$62,_xlpm.p),_xlpm.s,INDEX($BP$15:$BP$62,_xlpm.p),_xlpm.q,N(AU327)/_xlpm.f,IF(_xlpm.q&gt;=_xlpm.s,ROUND(_xlpm.q,1)&amp;" "&amp;_xlpm.ai_test&amp;" = "&amp;ROUND(_xlpm.q*_xlpm.f,1)&amp;" "&amp;_xlpm.u,ROUND(_xlpm.q,1)&amp;" "&amp;_xlpm.ai_test)),""),""))))</f>
        <v>0</v>
      </c>
      <c r="AX327" s="6218"/>
      <c r="AY327" s="6272">
        <f t="shared" si="132"/>
        <v>0</v>
      </c>
      <c r="AZ327" s="6240" t="str">
        <f t="shared" si="133"/>
        <v/>
      </c>
      <c r="BA327" s="6195">
        <f t="shared" si="138"/>
        <v>0</v>
      </c>
      <c r="BB327" s="6193" t="str">
        <f t="shared" si="134"/>
        <v/>
      </c>
      <c r="BC327" s="6219"/>
      <c r="BD327" s="6222">
        <f t="shared" si="139"/>
        <v>0</v>
      </c>
      <c r="BE327" s="6220" t="str">
        <f t="shared" si="135"/>
        <v/>
      </c>
      <c r="BF327" s="4" t="s">
        <v>1</v>
      </c>
      <c r="BG327" s="6196">
        <f t="shared" si="136"/>
        <v>0</v>
      </c>
      <c r="BH327" s="6197">
        <f t="shared" si="137"/>
        <v>0</v>
      </c>
      <c r="BI327"/>
      <c r="BJ327" s="1"/>
      <c r="BK327" s="1"/>
      <c r="BL327" s="1"/>
      <c r="BM327" s="1"/>
      <c r="BN327" s="1"/>
      <c r="BO327" s="1"/>
      <c r="BP327" s="1"/>
      <c r="BQ327" s="1"/>
      <c r="BX327" s="20" t="str">
        <f t="shared" si="142"/>
        <v>►</v>
      </c>
      <c r="BY327" s="2"/>
      <c r="BZ327" s="2"/>
      <c r="CA327" s="2"/>
      <c r="CB327" s="2"/>
      <c r="CC327" s="2"/>
      <c r="CD327" s="2"/>
      <c r="CL327" s="2"/>
      <c r="CT327" s="2"/>
      <c r="DB327" s="2"/>
      <c r="DC327" s="5">
        <v>1</v>
      </c>
    </row>
    <row r="328" spans="12:107" ht="21" customHeight="1">
      <c r="L328" s="1021" t="s">
        <v>26</v>
      </c>
      <c r="M328" s="6787"/>
      <c r="N328" s="6787"/>
      <c r="O328" s="6787"/>
      <c r="P328" s="6788"/>
      <c r="Q328" s="6789"/>
      <c r="R328" s="6790"/>
      <c r="S328" s="6786"/>
      <c r="T328" s="6791"/>
      <c r="U328" s="6844"/>
      <c r="V328" s="6791"/>
      <c r="W328" s="8487"/>
      <c r="X328" s="6871"/>
      <c r="Y328" s="6793"/>
      <c r="Z328" s="6794"/>
      <c r="AA328" s="6795"/>
      <c r="AB328" s="6796"/>
      <c r="AC328" s="6797"/>
      <c r="AD328" s="6798"/>
      <c r="AE328" s="4" t="s">
        <v>1</v>
      </c>
      <c r="AF328" s="6202" t="str">
        <f t="shared" si="119"/>
        <v>►</v>
      </c>
      <c r="AG328" s="6234" t="str">
        <f t="shared" si="120"/>
        <v/>
      </c>
      <c r="AH328" s="6732" t="str">
        <f t="shared" si="121"/>
        <v/>
      </c>
      <c r="AI328" s="6234" t="str">
        <f t="shared" si="122"/>
        <v/>
      </c>
      <c r="AJ328" s="6732" t="str">
        <f t="shared" si="123"/>
        <v/>
      </c>
      <c r="AK328" s="6732">
        <f t="shared" si="124"/>
        <v>0</v>
      </c>
      <c r="AL328" s="6230" t="str" cm="1">
        <f t="array" ref="AL328">IF(AF328&lt;&gt;"A","",IFERROR((IFERROR(_xlfn.XLOOKUP(TRIM(SUBSTITUTE(U328,CHAR(160)," ")),$BJ$15:$BJ$62,$BM$15:$BM$62),IFERROR(_xlfn.XLOOKUP(TRIM(SUBSTITUTE(U328,CHAR(160)," ")),$BK$15:$BK$62,$BM$15:$BM$62),_xlfn.XLOOKUP(TRIM(SUBSTITUTE(U328,CHAR(160)," ")),$BL$15:$BL$62,$BM$15:$BM$62))))*T328*IF(ISBLANK(Q328),1,Q328)+IFERROR(_xlfn.XLOOKUP("RECHERCHEX",TRIM(L328:AD328),L328:AD328),0),0))</f>
        <v/>
      </c>
      <c r="AM328" s="6229">
        <f t="shared" si="125"/>
        <v>0</v>
      </c>
      <c r="AN328" s="6857" t="str">
        <f t="shared" si="140"/>
        <v/>
      </c>
      <c r="AO328" s="392">
        <f t="shared" si="126"/>
        <v>0</v>
      </c>
      <c r="AP328" s="392">
        <f t="shared" si="127"/>
        <v>0</v>
      </c>
      <c r="AQ328" s="6190">
        <f t="shared" si="128"/>
        <v>0</v>
      </c>
      <c r="AR328" s="6858" t="str">
        <f t="shared" si="129"/>
        <v/>
      </c>
      <c r="AS328" s="6217"/>
      <c r="AT328" s="6217"/>
      <c r="AU328" s="6271">
        <f t="shared" si="130"/>
        <v>0</v>
      </c>
      <c r="AV328" s="6242">
        <f t="shared" si="131"/>
        <v>0</v>
      </c>
      <c r="AW328" s="6188" cm="1">
        <f t="array" ref="AW328">IF(AK328&lt;&gt;1,0,IF(OR(AU328="",N(AU328)&lt;=0.000000001),"",IF(OR(AO328="",N(AO328)&lt;=0.000000001),0,IF(ISNUMBER(AU328),IFERROR(_xlfn.LET(_xlpm.ai_test,TRIM(AJ328),_xlpm.r,IFERROR(_xlfn.XLOOKUP(_xlpm.ai_test,$BJ$15:$BJ$62,ROW($BJ$15:$BJ$62),0,1),IFERROR(_xlfn.XLOOKUP(_xlpm.ai_test,$BK$15:$BK$62,ROW($BK$15:$BK$62),0,1),_xlfn.XLOOKUP(_xlpm.ai_test,$BL$15:$BL$62,ROW($BL$15:$BL$62),0,1))),_xlpm.p,_xlpm.r-MIN(ROW($BJ$15:$BJ$62))+1,_xlpm.f,INDEX($BM$15:$BM$62,_xlpm.p),_xlpm.u,INDEX($BN$15:$BN$62,_xlpm.p),_xlpm.s,INDEX($BP$15:$BP$62,_xlpm.p),_xlpm.q,N(AU328)/_xlpm.f,IF(_xlpm.q&gt;=_xlpm.s,ROUND(_xlpm.q,1)&amp;" "&amp;_xlpm.ai_test&amp;" = "&amp;ROUND(_xlpm.q*_xlpm.f,1)&amp;" "&amp;_xlpm.u,ROUND(_xlpm.q,1)&amp;" "&amp;_xlpm.ai_test)),""),""))))</f>
        <v>0</v>
      </c>
      <c r="AX328" s="6218"/>
      <c r="AY328" s="6271">
        <f t="shared" si="132"/>
        <v>0</v>
      </c>
      <c r="AZ328" s="6242" t="str">
        <f t="shared" si="133"/>
        <v/>
      </c>
      <c r="BA328" s="6194">
        <f t="shared" si="138"/>
        <v>0</v>
      </c>
      <c r="BB328" s="6192" t="str">
        <f t="shared" si="134"/>
        <v/>
      </c>
      <c r="BC328" s="6219"/>
      <c r="BD328" s="6221">
        <f t="shared" si="139"/>
        <v>0</v>
      </c>
      <c r="BE328" s="6220" t="str">
        <f t="shared" si="135"/>
        <v/>
      </c>
      <c r="BF328" s="4" t="s">
        <v>1</v>
      </c>
      <c r="BG328" s="6196">
        <f t="shared" si="136"/>
        <v>0</v>
      </c>
      <c r="BH328" s="6197">
        <f t="shared" si="137"/>
        <v>0</v>
      </c>
      <c r="BI328"/>
      <c r="BJ328" s="1"/>
      <c r="BK328" s="1"/>
      <c r="BL328" s="1"/>
      <c r="BM328" s="1"/>
      <c r="BN328" s="1"/>
      <c r="BO328" s="1"/>
      <c r="BP328" s="1"/>
      <c r="BQ328" s="1"/>
      <c r="BX328" s="20" t="str">
        <f t="shared" si="142"/>
        <v>►</v>
      </c>
      <c r="BY328" s="2"/>
      <c r="BZ328" s="2"/>
      <c r="CA328" s="2"/>
      <c r="CB328" s="2"/>
      <c r="CC328" s="2"/>
      <c r="CD328" s="2"/>
      <c r="CL328" s="2"/>
      <c r="CT328" s="2"/>
      <c r="DB328" s="2"/>
      <c r="DC328" s="5">
        <v>1</v>
      </c>
    </row>
    <row r="329" spans="12:107" ht="21" customHeight="1">
      <c r="L329" s="1021" t="s">
        <v>26</v>
      </c>
      <c r="M329" s="6787"/>
      <c r="N329" s="6787"/>
      <c r="O329" s="6787"/>
      <c r="P329" s="6788"/>
      <c r="Q329" s="6789"/>
      <c r="R329" s="6790"/>
      <c r="S329" s="6786"/>
      <c r="T329" s="6791"/>
      <c r="U329" s="6844"/>
      <c r="V329" s="6791"/>
      <c r="W329" s="8487"/>
      <c r="X329" s="6871"/>
      <c r="Y329" s="6793"/>
      <c r="Z329" s="6794"/>
      <c r="AA329" s="6795"/>
      <c r="AB329" s="6796"/>
      <c r="AC329" s="6797"/>
      <c r="AD329" s="6798"/>
      <c r="AE329" s="4" t="s">
        <v>1</v>
      </c>
      <c r="AF329" s="6202" t="str">
        <f t="shared" si="119"/>
        <v>►</v>
      </c>
      <c r="AG329" s="6234" t="str">
        <f t="shared" si="120"/>
        <v/>
      </c>
      <c r="AH329" s="6732" t="str">
        <f t="shared" si="121"/>
        <v/>
      </c>
      <c r="AI329" s="6234" t="str">
        <f t="shared" si="122"/>
        <v/>
      </c>
      <c r="AJ329" s="6732" t="str">
        <f t="shared" si="123"/>
        <v/>
      </c>
      <c r="AK329" s="6732">
        <f t="shared" si="124"/>
        <v>0</v>
      </c>
      <c r="AL329" s="6230" t="str" cm="1">
        <f t="array" ref="AL329">IF(AF329&lt;&gt;"A","",IFERROR((IFERROR(_xlfn.XLOOKUP(TRIM(SUBSTITUTE(U329,CHAR(160)," ")),$BJ$15:$BJ$62,$BM$15:$BM$62),IFERROR(_xlfn.XLOOKUP(TRIM(SUBSTITUTE(U329,CHAR(160)," ")),$BK$15:$BK$62,$BM$15:$BM$62),_xlfn.XLOOKUP(TRIM(SUBSTITUTE(U329,CHAR(160)," ")),$BL$15:$BL$62,$BM$15:$BM$62))))*T329*IF(ISBLANK(Q329),1,Q329)+IFERROR(_xlfn.XLOOKUP("RECHERCHEX",TRIM(L329:AD329),L329:AD329),0),0))</f>
        <v/>
      </c>
      <c r="AM329" s="6229">
        <f t="shared" si="125"/>
        <v>0</v>
      </c>
      <c r="AN329" s="6857" t="str">
        <f t="shared" si="140"/>
        <v/>
      </c>
      <c r="AO329" s="392">
        <f t="shared" si="126"/>
        <v>0</v>
      </c>
      <c r="AP329" s="392">
        <f t="shared" si="127"/>
        <v>0</v>
      </c>
      <c r="AQ329" s="6191">
        <f t="shared" si="128"/>
        <v>0</v>
      </c>
      <c r="AR329" s="6859" t="str">
        <f t="shared" si="129"/>
        <v/>
      </c>
      <c r="AS329" s="6217"/>
      <c r="AT329" s="6217"/>
      <c r="AU329" s="6272">
        <f t="shared" si="130"/>
        <v>0</v>
      </c>
      <c r="AV329" s="6240">
        <f t="shared" si="131"/>
        <v>0</v>
      </c>
      <c r="AW329" s="6189" cm="1">
        <f t="array" ref="AW329">IF(AK329&lt;&gt;1,0,IF(OR(AU329="",N(AU329)&lt;=0.000000001),"",IF(OR(AO329="",N(AO329)&lt;=0.000000001),0,IF(ISNUMBER(AU329),IFERROR(_xlfn.LET(_xlpm.ai_test,TRIM(AJ329),_xlpm.r,IFERROR(_xlfn.XLOOKUP(_xlpm.ai_test,$BJ$15:$BJ$62,ROW($BJ$15:$BJ$62),0,1),IFERROR(_xlfn.XLOOKUP(_xlpm.ai_test,$BK$15:$BK$62,ROW($BK$15:$BK$62),0,1),_xlfn.XLOOKUP(_xlpm.ai_test,$BL$15:$BL$62,ROW($BL$15:$BL$62),0,1))),_xlpm.p,_xlpm.r-MIN(ROW($BJ$15:$BJ$62))+1,_xlpm.f,INDEX($BM$15:$BM$62,_xlpm.p),_xlpm.u,INDEX($BN$15:$BN$62,_xlpm.p),_xlpm.s,INDEX($BP$15:$BP$62,_xlpm.p),_xlpm.q,N(AU329)/_xlpm.f,IF(_xlpm.q&gt;=_xlpm.s,ROUND(_xlpm.q,1)&amp;" "&amp;_xlpm.ai_test&amp;" = "&amp;ROUND(_xlpm.q*_xlpm.f,1)&amp;" "&amp;_xlpm.u,ROUND(_xlpm.q,1)&amp;" "&amp;_xlpm.ai_test)),""),""))))</f>
        <v>0</v>
      </c>
      <c r="AX329" s="6218"/>
      <c r="AY329" s="6272">
        <f t="shared" si="132"/>
        <v>0</v>
      </c>
      <c r="AZ329" s="6240" t="str">
        <f t="shared" si="133"/>
        <v/>
      </c>
      <c r="BA329" s="6195">
        <f t="shared" si="138"/>
        <v>0</v>
      </c>
      <c r="BB329" s="6193" t="str">
        <f t="shared" si="134"/>
        <v/>
      </c>
      <c r="BC329" s="6219"/>
      <c r="BD329" s="6222">
        <f t="shared" si="139"/>
        <v>0</v>
      </c>
      <c r="BE329" s="6220" t="str">
        <f t="shared" si="135"/>
        <v/>
      </c>
      <c r="BF329" s="4" t="s">
        <v>1</v>
      </c>
      <c r="BG329" s="6196">
        <f t="shared" si="136"/>
        <v>0</v>
      </c>
      <c r="BH329" s="6197">
        <f t="shared" si="137"/>
        <v>0</v>
      </c>
      <c r="BI329"/>
      <c r="BJ329" s="1"/>
      <c r="BK329" s="1"/>
      <c r="BL329" s="1"/>
      <c r="BM329" s="1"/>
      <c r="BN329" s="1"/>
      <c r="BO329" s="1"/>
      <c r="BP329" s="1"/>
      <c r="BQ329" s="1"/>
      <c r="BX329" s="20" t="str">
        <f t="shared" si="142"/>
        <v>►</v>
      </c>
      <c r="BY329" s="2"/>
      <c r="BZ329" s="2"/>
      <c r="CA329" s="2"/>
      <c r="CB329" s="2"/>
      <c r="CC329" s="2"/>
      <c r="CD329" s="2"/>
      <c r="CL329" s="2"/>
      <c r="CT329" s="2"/>
      <c r="DB329" s="2"/>
      <c r="DC329" s="5">
        <v>1</v>
      </c>
    </row>
    <row r="330" spans="12:107" ht="21" customHeight="1">
      <c r="L330" s="1021" t="s">
        <v>26</v>
      </c>
      <c r="M330" s="6787"/>
      <c r="N330" s="6787"/>
      <c r="O330" s="6787"/>
      <c r="P330" s="6788"/>
      <c r="Q330" s="6789"/>
      <c r="R330" s="6790"/>
      <c r="S330" s="6786"/>
      <c r="T330" s="6791"/>
      <c r="U330" s="6844"/>
      <c r="V330" s="6791"/>
      <c r="W330" s="8487"/>
      <c r="X330" s="6871"/>
      <c r="Y330" s="6793"/>
      <c r="Z330" s="6794"/>
      <c r="AA330" s="6795"/>
      <c r="AB330" s="6796"/>
      <c r="AC330" s="6797"/>
      <c r="AD330" s="6798"/>
      <c r="AE330" s="4" t="s">
        <v>1</v>
      </c>
      <c r="AF330" s="6202" t="str">
        <f t="shared" si="119"/>
        <v>►</v>
      </c>
      <c r="AG330" s="6234" t="str">
        <f t="shared" si="120"/>
        <v/>
      </c>
      <c r="AH330" s="6732" t="str">
        <f t="shared" si="121"/>
        <v/>
      </c>
      <c r="AI330" s="6234" t="str">
        <f t="shared" si="122"/>
        <v/>
      </c>
      <c r="AJ330" s="6732" t="str">
        <f t="shared" si="123"/>
        <v/>
      </c>
      <c r="AK330" s="6732">
        <f t="shared" si="124"/>
        <v>0</v>
      </c>
      <c r="AL330" s="6230" t="str" cm="1">
        <f t="array" ref="AL330">IF(AF330&lt;&gt;"A","",IFERROR((IFERROR(_xlfn.XLOOKUP(TRIM(SUBSTITUTE(U330,CHAR(160)," ")),$BJ$15:$BJ$62,$BM$15:$BM$62),IFERROR(_xlfn.XLOOKUP(TRIM(SUBSTITUTE(U330,CHAR(160)," ")),$BK$15:$BK$62,$BM$15:$BM$62),_xlfn.XLOOKUP(TRIM(SUBSTITUTE(U330,CHAR(160)," ")),$BL$15:$BL$62,$BM$15:$BM$62))))*T330*IF(ISBLANK(Q330),1,Q330)+IFERROR(_xlfn.XLOOKUP("RECHERCHEX",TRIM(L330:AD330),L330:AD330),0),0))</f>
        <v/>
      </c>
      <c r="AM330" s="6229">
        <f t="shared" si="125"/>
        <v>0</v>
      </c>
      <c r="AN330" s="6857" t="str">
        <f t="shared" si="140"/>
        <v/>
      </c>
      <c r="AO330" s="392">
        <f t="shared" si="126"/>
        <v>0</v>
      </c>
      <c r="AP330" s="392">
        <f t="shared" si="127"/>
        <v>0</v>
      </c>
      <c r="AQ330" s="6190">
        <f t="shared" si="128"/>
        <v>0</v>
      </c>
      <c r="AR330" s="6858" t="str">
        <f t="shared" si="129"/>
        <v/>
      </c>
      <c r="AS330" s="6217"/>
      <c r="AT330" s="6217"/>
      <c r="AU330" s="6271">
        <f t="shared" si="130"/>
        <v>0</v>
      </c>
      <c r="AV330" s="6242">
        <f t="shared" si="131"/>
        <v>0</v>
      </c>
      <c r="AW330" s="6188" cm="1">
        <f t="array" ref="AW330">IF(AK330&lt;&gt;1,0,IF(OR(AU330="",N(AU330)&lt;=0.000000001),"",IF(OR(AO330="",N(AO330)&lt;=0.000000001),0,IF(ISNUMBER(AU330),IFERROR(_xlfn.LET(_xlpm.ai_test,TRIM(AJ330),_xlpm.r,IFERROR(_xlfn.XLOOKUP(_xlpm.ai_test,$BJ$15:$BJ$62,ROW($BJ$15:$BJ$62),0,1),IFERROR(_xlfn.XLOOKUP(_xlpm.ai_test,$BK$15:$BK$62,ROW($BK$15:$BK$62),0,1),_xlfn.XLOOKUP(_xlpm.ai_test,$BL$15:$BL$62,ROW($BL$15:$BL$62),0,1))),_xlpm.p,_xlpm.r-MIN(ROW($BJ$15:$BJ$62))+1,_xlpm.f,INDEX($BM$15:$BM$62,_xlpm.p),_xlpm.u,INDEX($BN$15:$BN$62,_xlpm.p),_xlpm.s,INDEX($BP$15:$BP$62,_xlpm.p),_xlpm.q,N(AU330)/_xlpm.f,IF(_xlpm.q&gt;=_xlpm.s,ROUND(_xlpm.q,1)&amp;" "&amp;_xlpm.ai_test&amp;" = "&amp;ROUND(_xlpm.q*_xlpm.f,1)&amp;" "&amp;_xlpm.u,ROUND(_xlpm.q,1)&amp;" "&amp;_xlpm.ai_test)),""),""))))</f>
        <v>0</v>
      </c>
      <c r="AX330" s="6218"/>
      <c r="AY330" s="6271">
        <f t="shared" si="132"/>
        <v>0</v>
      </c>
      <c r="AZ330" s="6242" t="str">
        <f t="shared" si="133"/>
        <v/>
      </c>
      <c r="BA330" s="6194">
        <f t="shared" si="138"/>
        <v>0</v>
      </c>
      <c r="BB330" s="6192" t="str">
        <f t="shared" si="134"/>
        <v/>
      </c>
      <c r="BC330" s="6219"/>
      <c r="BD330" s="6221">
        <f t="shared" si="139"/>
        <v>0</v>
      </c>
      <c r="BE330" s="6220" t="str">
        <f t="shared" si="135"/>
        <v/>
      </c>
      <c r="BF330" s="4" t="s">
        <v>1</v>
      </c>
      <c r="BG330" s="6196">
        <f t="shared" si="136"/>
        <v>0</v>
      </c>
      <c r="BH330" s="6197">
        <f t="shared" si="137"/>
        <v>0</v>
      </c>
      <c r="BI330"/>
      <c r="BJ330" s="1"/>
      <c r="BK330" s="1"/>
      <c r="BL330" s="1"/>
      <c r="BM330" s="1"/>
      <c r="BN330" s="1"/>
      <c r="BO330" s="1"/>
      <c r="BP330" s="1"/>
      <c r="BQ330" s="1"/>
      <c r="BX330" s="20" t="str">
        <f t="shared" si="142"/>
        <v>►</v>
      </c>
      <c r="BY330" s="2"/>
      <c r="BZ330" s="2"/>
      <c r="CA330" s="2"/>
      <c r="CB330" s="2"/>
      <c r="CC330" s="2"/>
      <c r="CD330" s="2"/>
      <c r="CL330" s="2"/>
      <c r="CT330" s="2"/>
      <c r="DB330" s="2"/>
      <c r="DC330" s="5">
        <v>1</v>
      </c>
    </row>
    <row r="331" spans="12:107" ht="21" customHeight="1">
      <c r="L331" s="1021" t="s">
        <v>26</v>
      </c>
      <c r="M331" s="6787"/>
      <c r="N331" s="6787"/>
      <c r="O331" s="6787"/>
      <c r="P331" s="6788"/>
      <c r="Q331" s="6789"/>
      <c r="R331" s="6790"/>
      <c r="S331" s="6786"/>
      <c r="T331" s="6791"/>
      <c r="U331" s="6844"/>
      <c r="V331" s="6791"/>
      <c r="W331" s="8487"/>
      <c r="X331" s="6871"/>
      <c r="Y331" s="6793"/>
      <c r="Z331" s="6794"/>
      <c r="AA331" s="6795"/>
      <c r="AB331" s="6796"/>
      <c r="AC331" s="6797"/>
      <c r="AD331" s="6798"/>
      <c r="AE331" s="4" t="s">
        <v>1</v>
      </c>
      <c r="AF331" s="6202" t="str">
        <f t="shared" si="119"/>
        <v>►</v>
      </c>
      <c r="AG331" s="6234" t="str">
        <f t="shared" si="120"/>
        <v/>
      </c>
      <c r="AH331" s="6732" t="str">
        <f t="shared" si="121"/>
        <v/>
      </c>
      <c r="AI331" s="6234" t="str">
        <f t="shared" si="122"/>
        <v/>
      </c>
      <c r="AJ331" s="6732" t="str">
        <f t="shared" si="123"/>
        <v/>
      </c>
      <c r="AK331" s="6732">
        <f t="shared" si="124"/>
        <v>0</v>
      </c>
      <c r="AL331" s="6230" t="str" cm="1">
        <f t="array" ref="AL331">IF(AF331&lt;&gt;"A","",IFERROR((IFERROR(_xlfn.XLOOKUP(TRIM(SUBSTITUTE(U331,CHAR(160)," ")),$BJ$15:$BJ$62,$BM$15:$BM$62),IFERROR(_xlfn.XLOOKUP(TRIM(SUBSTITUTE(U331,CHAR(160)," ")),$BK$15:$BK$62,$BM$15:$BM$62),_xlfn.XLOOKUP(TRIM(SUBSTITUTE(U331,CHAR(160)," ")),$BL$15:$BL$62,$BM$15:$BM$62))))*T331*IF(ISBLANK(Q331),1,Q331)+IFERROR(_xlfn.XLOOKUP("RECHERCHEX",TRIM(L331:AD331),L331:AD331),0),0))</f>
        <v/>
      </c>
      <c r="AM331" s="6229">
        <f t="shared" si="125"/>
        <v>0</v>
      </c>
      <c r="AN331" s="6857" t="str">
        <f t="shared" si="140"/>
        <v/>
      </c>
      <c r="AO331" s="392">
        <f t="shared" si="126"/>
        <v>0</v>
      </c>
      <c r="AP331" s="392">
        <f t="shared" si="127"/>
        <v>0</v>
      </c>
      <c r="AQ331" s="6191">
        <f t="shared" si="128"/>
        <v>0</v>
      </c>
      <c r="AR331" s="6859" t="str">
        <f t="shared" si="129"/>
        <v/>
      </c>
      <c r="AS331" s="6217"/>
      <c r="AT331" s="6217"/>
      <c r="AU331" s="6272">
        <f t="shared" si="130"/>
        <v>0</v>
      </c>
      <c r="AV331" s="6240">
        <f t="shared" si="131"/>
        <v>0</v>
      </c>
      <c r="AW331" s="6189" cm="1">
        <f t="array" ref="AW331">IF(AK331&lt;&gt;1,0,IF(OR(AU331="",N(AU331)&lt;=0.000000001),"",IF(OR(AO331="",N(AO331)&lt;=0.000000001),0,IF(ISNUMBER(AU331),IFERROR(_xlfn.LET(_xlpm.ai_test,TRIM(AJ331),_xlpm.r,IFERROR(_xlfn.XLOOKUP(_xlpm.ai_test,$BJ$15:$BJ$62,ROW($BJ$15:$BJ$62),0,1),IFERROR(_xlfn.XLOOKUP(_xlpm.ai_test,$BK$15:$BK$62,ROW($BK$15:$BK$62),0,1),_xlfn.XLOOKUP(_xlpm.ai_test,$BL$15:$BL$62,ROW($BL$15:$BL$62),0,1))),_xlpm.p,_xlpm.r-MIN(ROW($BJ$15:$BJ$62))+1,_xlpm.f,INDEX($BM$15:$BM$62,_xlpm.p),_xlpm.u,INDEX($BN$15:$BN$62,_xlpm.p),_xlpm.s,INDEX($BP$15:$BP$62,_xlpm.p),_xlpm.q,N(AU331)/_xlpm.f,IF(_xlpm.q&gt;=_xlpm.s,ROUND(_xlpm.q,1)&amp;" "&amp;_xlpm.ai_test&amp;" = "&amp;ROUND(_xlpm.q*_xlpm.f,1)&amp;" "&amp;_xlpm.u,ROUND(_xlpm.q,1)&amp;" "&amp;_xlpm.ai_test)),""),""))))</f>
        <v>0</v>
      </c>
      <c r="AX331" s="6218"/>
      <c r="AY331" s="6272">
        <f t="shared" si="132"/>
        <v>0</v>
      </c>
      <c r="AZ331" s="6240" t="str">
        <f t="shared" si="133"/>
        <v/>
      </c>
      <c r="BA331" s="6195">
        <f t="shared" si="138"/>
        <v>0</v>
      </c>
      <c r="BB331" s="6193" t="str">
        <f t="shared" si="134"/>
        <v/>
      </c>
      <c r="BC331" s="6219"/>
      <c r="BD331" s="6222">
        <f t="shared" si="139"/>
        <v>0</v>
      </c>
      <c r="BE331" s="6220" t="str">
        <f t="shared" si="135"/>
        <v/>
      </c>
      <c r="BF331" s="4" t="s">
        <v>1</v>
      </c>
      <c r="BG331" s="6196">
        <f t="shared" si="136"/>
        <v>0</v>
      </c>
      <c r="BH331" s="6197">
        <f t="shared" si="137"/>
        <v>0</v>
      </c>
      <c r="BI331"/>
      <c r="BJ331" s="1"/>
      <c r="BK331" s="1"/>
      <c r="BL331" s="1"/>
      <c r="BM331" s="1"/>
      <c r="BN331" s="1"/>
      <c r="BO331" s="1"/>
      <c r="BP331" s="1"/>
      <c r="BQ331" s="1"/>
      <c r="BX331" s="20" t="str">
        <f t="shared" si="142"/>
        <v>►</v>
      </c>
      <c r="BY331" s="2"/>
      <c r="BZ331" s="2"/>
      <c r="CA331" s="2"/>
      <c r="CB331" s="2"/>
      <c r="CC331" s="2"/>
      <c r="CD331" s="2"/>
      <c r="CL331" s="2"/>
      <c r="CT331" s="2"/>
      <c r="DB331" s="2"/>
      <c r="DC331" s="5">
        <v>1</v>
      </c>
    </row>
    <row r="332" spans="12:107" ht="21" customHeight="1">
      <c r="L332" s="1021" t="s">
        <v>26</v>
      </c>
      <c r="M332" s="6787"/>
      <c r="N332" s="6787"/>
      <c r="O332" s="6787"/>
      <c r="P332" s="6788"/>
      <c r="Q332" s="6789"/>
      <c r="R332" s="6790"/>
      <c r="S332" s="6786"/>
      <c r="T332" s="6791"/>
      <c r="U332" s="6844"/>
      <c r="V332" s="6791"/>
      <c r="W332" s="8487"/>
      <c r="X332" s="6871"/>
      <c r="Y332" s="6793"/>
      <c r="Z332" s="6794"/>
      <c r="AA332" s="6795"/>
      <c r="AB332" s="6796"/>
      <c r="AC332" s="6797"/>
      <c r="AD332" s="6798"/>
      <c r="AE332" s="4" t="s">
        <v>1</v>
      </c>
      <c r="AF332" s="6202" t="str">
        <f t="shared" si="119"/>
        <v>►</v>
      </c>
      <c r="AG332" s="6234" t="str">
        <f t="shared" si="120"/>
        <v/>
      </c>
      <c r="AH332" s="6732" t="str">
        <f t="shared" si="121"/>
        <v/>
      </c>
      <c r="AI332" s="6234" t="str">
        <f t="shared" si="122"/>
        <v/>
      </c>
      <c r="AJ332" s="6732" t="str">
        <f t="shared" si="123"/>
        <v/>
      </c>
      <c r="AK332" s="6732">
        <f t="shared" si="124"/>
        <v>0</v>
      </c>
      <c r="AL332" s="6230" t="str" cm="1">
        <f t="array" ref="AL332">IF(AF332&lt;&gt;"A","",IFERROR((IFERROR(_xlfn.XLOOKUP(TRIM(SUBSTITUTE(U332,CHAR(160)," ")),$BJ$15:$BJ$62,$BM$15:$BM$62),IFERROR(_xlfn.XLOOKUP(TRIM(SUBSTITUTE(U332,CHAR(160)," ")),$BK$15:$BK$62,$BM$15:$BM$62),_xlfn.XLOOKUP(TRIM(SUBSTITUTE(U332,CHAR(160)," ")),$BL$15:$BL$62,$BM$15:$BM$62))))*T332*IF(ISBLANK(Q332),1,Q332)+IFERROR(_xlfn.XLOOKUP("RECHERCHEX",TRIM(L332:AD332),L332:AD332),0),0))</f>
        <v/>
      </c>
      <c r="AM332" s="6229">
        <f t="shared" si="125"/>
        <v>0</v>
      </c>
      <c r="AN332" s="6857" t="str">
        <f t="shared" si="140"/>
        <v/>
      </c>
      <c r="AO332" s="392">
        <f t="shared" si="126"/>
        <v>0</v>
      </c>
      <c r="AP332" s="392">
        <f t="shared" si="127"/>
        <v>0</v>
      </c>
      <c r="AQ332" s="6190">
        <f t="shared" si="128"/>
        <v>0</v>
      </c>
      <c r="AR332" s="6858" t="str">
        <f t="shared" si="129"/>
        <v/>
      </c>
      <c r="AS332" s="6217"/>
      <c r="AT332" s="6217"/>
      <c r="AU332" s="6271">
        <f t="shared" si="130"/>
        <v>0</v>
      </c>
      <c r="AV332" s="6242">
        <f t="shared" si="131"/>
        <v>0</v>
      </c>
      <c r="AW332" s="6188" cm="1">
        <f t="array" ref="AW332">IF(AK332&lt;&gt;1,0,IF(OR(AU332="",N(AU332)&lt;=0.000000001),"",IF(OR(AO332="",N(AO332)&lt;=0.000000001),0,IF(ISNUMBER(AU332),IFERROR(_xlfn.LET(_xlpm.ai_test,TRIM(AJ332),_xlpm.r,IFERROR(_xlfn.XLOOKUP(_xlpm.ai_test,$BJ$15:$BJ$62,ROW($BJ$15:$BJ$62),0,1),IFERROR(_xlfn.XLOOKUP(_xlpm.ai_test,$BK$15:$BK$62,ROW($BK$15:$BK$62),0,1),_xlfn.XLOOKUP(_xlpm.ai_test,$BL$15:$BL$62,ROW($BL$15:$BL$62),0,1))),_xlpm.p,_xlpm.r-MIN(ROW($BJ$15:$BJ$62))+1,_xlpm.f,INDEX($BM$15:$BM$62,_xlpm.p),_xlpm.u,INDEX($BN$15:$BN$62,_xlpm.p),_xlpm.s,INDEX($BP$15:$BP$62,_xlpm.p),_xlpm.q,N(AU332)/_xlpm.f,IF(_xlpm.q&gt;=_xlpm.s,ROUND(_xlpm.q,1)&amp;" "&amp;_xlpm.ai_test&amp;" = "&amp;ROUND(_xlpm.q*_xlpm.f,1)&amp;" "&amp;_xlpm.u,ROUND(_xlpm.q,1)&amp;" "&amp;_xlpm.ai_test)),""),""))))</f>
        <v>0</v>
      </c>
      <c r="AX332" s="6218"/>
      <c r="AY332" s="6271">
        <f t="shared" si="132"/>
        <v>0</v>
      </c>
      <c r="AZ332" s="6242" t="str">
        <f t="shared" si="133"/>
        <v/>
      </c>
      <c r="BA332" s="6194">
        <f t="shared" si="138"/>
        <v>0</v>
      </c>
      <c r="BB332" s="6192" t="str">
        <f t="shared" si="134"/>
        <v/>
      </c>
      <c r="BC332" s="6219"/>
      <c r="BD332" s="6221">
        <f t="shared" si="139"/>
        <v>0</v>
      </c>
      <c r="BE332" s="6220" t="str">
        <f t="shared" si="135"/>
        <v/>
      </c>
      <c r="BF332" s="4" t="s">
        <v>1</v>
      </c>
      <c r="BG332" s="6196">
        <f t="shared" si="136"/>
        <v>0</v>
      </c>
      <c r="BH332" s="6197">
        <f t="shared" si="137"/>
        <v>0</v>
      </c>
      <c r="BI332"/>
      <c r="BJ332" s="1"/>
      <c r="BK332" s="1"/>
      <c r="BL332" s="1"/>
      <c r="BM332" s="1"/>
      <c r="BN332" s="1"/>
      <c r="BO332" s="1"/>
      <c r="BP332" s="1"/>
      <c r="BQ332" s="1"/>
      <c r="BX332" s="20" t="str">
        <f t="shared" si="142"/>
        <v>►</v>
      </c>
      <c r="BY332" s="2"/>
      <c r="BZ332" s="2"/>
      <c r="CA332" s="2"/>
      <c r="CB332" s="2"/>
      <c r="CC332" s="2"/>
      <c r="CD332" s="2"/>
      <c r="DC332" s="5">
        <v>1</v>
      </c>
    </row>
    <row r="333" spans="12:107" ht="21" customHeight="1">
      <c r="L333" s="1021" t="s">
        <v>26</v>
      </c>
      <c r="M333" s="6787"/>
      <c r="N333" s="6787"/>
      <c r="O333" s="6787"/>
      <c r="P333" s="6788"/>
      <c r="Q333" s="6789"/>
      <c r="R333" s="6790"/>
      <c r="S333" s="6786"/>
      <c r="T333" s="6791"/>
      <c r="U333" s="6844"/>
      <c r="V333" s="6791"/>
      <c r="W333" s="8487"/>
      <c r="X333" s="6871"/>
      <c r="Y333" s="6793"/>
      <c r="Z333" s="6794"/>
      <c r="AA333" s="6795"/>
      <c r="AB333" s="6796"/>
      <c r="AC333" s="6797"/>
      <c r="AD333" s="6798"/>
      <c r="AE333" s="4" t="s">
        <v>1</v>
      </c>
      <c r="AF333" s="6202" t="str">
        <f t="shared" si="119"/>
        <v>►</v>
      </c>
      <c r="AG333" s="6234" t="str">
        <f t="shared" si="120"/>
        <v/>
      </c>
      <c r="AH333" s="6732" t="str">
        <f t="shared" si="121"/>
        <v/>
      </c>
      <c r="AI333" s="6234" t="str">
        <f t="shared" si="122"/>
        <v/>
      </c>
      <c r="AJ333" s="6732" t="str">
        <f t="shared" si="123"/>
        <v/>
      </c>
      <c r="AK333" s="6732">
        <f t="shared" si="124"/>
        <v>0</v>
      </c>
      <c r="AL333" s="6230" t="str" cm="1">
        <f t="array" ref="AL333">IF(AF333&lt;&gt;"A","",IFERROR((IFERROR(_xlfn.XLOOKUP(TRIM(SUBSTITUTE(U333,CHAR(160)," ")),$BJ$15:$BJ$62,$BM$15:$BM$62),IFERROR(_xlfn.XLOOKUP(TRIM(SUBSTITUTE(U333,CHAR(160)," ")),$BK$15:$BK$62,$BM$15:$BM$62),_xlfn.XLOOKUP(TRIM(SUBSTITUTE(U333,CHAR(160)," ")),$BL$15:$BL$62,$BM$15:$BM$62))))*T333*IF(ISBLANK(Q333),1,Q333)+IFERROR(_xlfn.XLOOKUP("RECHERCHEX",TRIM(L333:AD333),L333:AD333),0),0))</f>
        <v/>
      </c>
      <c r="AM333" s="6229">
        <f t="shared" si="125"/>
        <v>0</v>
      </c>
      <c r="AN333" s="6857" t="str">
        <f t="shared" si="140"/>
        <v/>
      </c>
      <c r="AO333" s="392">
        <f t="shared" si="126"/>
        <v>0</v>
      </c>
      <c r="AP333" s="392">
        <f t="shared" si="127"/>
        <v>0</v>
      </c>
      <c r="AQ333" s="6191">
        <f t="shared" si="128"/>
        <v>0</v>
      </c>
      <c r="AR333" s="6859" t="str">
        <f t="shared" si="129"/>
        <v/>
      </c>
      <c r="AS333" s="6217"/>
      <c r="AT333" s="6217"/>
      <c r="AU333" s="6272">
        <f t="shared" si="130"/>
        <v>0</v>
      </c>
      <c r="AV333" s="6240">
        <f t="shared" si="131"/>
        <v>0</v>
      </c>
      <c r="AW333" s="6189" cm="1">
        <f t="array" ref="AW333">IF(AK333&lt;&gt;1,0,IF(OR(AU333="",N(AU333)&lt;=0.000000001),"",IF(OR(AO333="",N(AO333)&lt;=0.000000001),0,IF(ISNUMBER(AU333),IFERROR(_xlfn.LET(_xlpm.ai_test,TRIM(AJ333),_xlpm.r,IFERROR(_xlfn.XLOOKUP(_xlpm.ai_test,$BJ$15:$BJ$62,ROW($BJ$15:$BJ$62),0,1),IFERROR(_xlfn.XLOOKUP(_xlpm.ai_test,$BK$15:$BK$62,ROW($BK$15:$BK$62),0,1),_xlfn.XLOOKUP(_xlpm.ai_test,$BL$15:$BL$62,ROW($BL$15:$BL$62),0,1))),_xlpm.p,_xlpm.r-MIN(ROW($BJ$15:$BJ$62))+1,_xlpm.f,INDEX($BM$15:$BM$62,_xlpm.p),_xlpm.u,INDEX($BN$15:$BN$62,_xlpm.p),_xlpm.s,INDEX($BP$15:$BP$62,_xlpm.p),_xlpm.q,N(AU333)/_xlpm.f,IF(_xlpm.q&gt;=_xlpm.s,ROUND(_xlpm.q,1)&amp;" "&amp;_xlpm.ai_test&amp;" = "&amp;ROUND(_xlpm.q*_xlpm.f,1)&amp;" "&amp;_xlpm.u,ROUND(_xlpm.q,1)&amp;" "&amp;_xlpm.ai_test)),""),""))))</f>
        <v>0</v>
      </c>
      <c r="AX333" s="6218"/>
      <c r="AY333" s="6272">
        <f t="shared" si="132"/>
        <v>0</v>
      </c>
      <c r="AZ333" s="6240" t="str">
        <f t="shared" si="133"/>
        <v/>
      </c>
      <c r="BA333" s="6195">
        <f t="shared" si="138"/>
        <v>0</v>
      </c>
      <c r="BB333" s="6193" t="str">
        <f t="shared" si="134"/>
        <v/>
      </c>
      <c r="BC333" s="6219"/>
      <c r="BD333" s="6222">
        <f t="shared" si="139"/>
        <v>0</v>
      </c>
      <c r="BE333" s="6220" t="str">
        <f t="shared" si="135"/>
        <v/>
      </c>
      <c r="BF333" s="4" t="s">
        <v>1</v>
      </c>
      <c r="BG333" s="6196">
        <f t="shared" si="136"/>
        <v>0</v>
      </c>
      <c r="BH333" s="6197">
        <f t="shared" si="137"/>
        <v>0</v>
      </c>
      <c r="BI333"/>
      <c r="BJ333" s="1"/>
      <c r="BK333" s="1"/>
      <c r="BL333" s="1"/>
      <c r="BM333" s="1"/>
      <c r="BN333" s="1"/>
      <c r="BO333" s="1"/>
      <c r="BP333" s="1"/>
      <c r="BQ333" s="1"/>
      <c r="BX333" s="20" t="str">
        <f t="shared" si="142"/>
        <v>►</v>
      </c>
      <c r="BY333" s="2"/>
      <c r="BZ333" s="2"/>
      <c r="CA333" s="2"/>
      <c r="CB333" s="2"/>
      <c r="CC333" s="2"/>
      <c r="DC333" s="5">
        <v>1</v>
      </c>
    </row>
    <row r="334" spans="12:107" ht="21" customHeight="1">
      <c r="L334" s="1021" t="s">
        <v>26</v>
      </c>
      <c r="M334" s="6787"/>
      <c r="N334" s="6787"/>
      <c r="O334" s="6787"/>
      <c r="P334" s="6788"/>
      <c r="Q334" s="6789"/>
      <c r="R334" s="6790"/>
      <c r="S334" s="6786"/>
      <c r="T334" s="6791"/>
      <c r="U334" s="6844"/>
      <c r="V334" s="6791"/>
      <c r="W334" s="8487"/>
      <c r="X334" s="6871"/>
      <c r="Y334" s="6793"/>
      <c r="Z334" s="6794"/>
      <c r="AA334" s="6795"/>
      <c r="AB334" s="6796"/>
      <c r="AC334" s="6797"/>
      <c r="AD334" s="6798"/>
      <c r="AE334" s="4" t="s">
        <v>1</v>
      </c>
      <c r="AF334" s="6202" t="str">
        <f t="shared" si="119"/>
        <v>►</v>
      </c>
      <c r="AG334" s="6234" t="str">
        <f t="shared" si="120"/>
        <v/>
      </c>
      <c r="AH334" s="6732" t="str">
        <f t="shared" si="121"/>
        <v/>
      </c>
      <c r="AI334" s="6234" t="str">
        <f t="shared" si="122"/>
        <v/>
      </c>
      <c r="AJ334" s="6732" t="str">
        <f t="shared" si="123"/>
        <v/>
      </c>
      <c r="AK334" s="6732">
        <f t="shared" si="124"/>
        <v>0</v>
      </c>
      <c r="AL334" s="6230" t="str" cm="1">
        <f t="array" ref="AL334">IF(AF334&lt;&gt;"A","",IFERROR((IFERROR(_xlfn.XLOOKUP(TRIM(SUBSTITUTE(U334,CHAR(160)," ")),$BJ$15:$BJ$62,$BM$15:$BM$62),IFERROR(_xlfn.XLOOKUP(TRIM(SUBSTITUTE(U334,CHAR(160)," ")),$BK$15:$BK$62,$BM$15:$BM$62),_xlfn.XLOOKUP(TRIM(SUBSTITUTE(U334,CHAR(160)," ")),$BL$15:$BL$62,$BM$15:$BM$62))))*T334*IF(ISBLANK(Q334),1,Q334)+IFERROR(_xlfn.XLOOKUP("RECHERCHEX",TRIM(L334:AD334),L334:AD334),0),0))</f>
        <v/>
      </c>
      <c r="AM334" s="6229">
        <f t="shared" si="125"/>
        <v>0</v>
      </c>
      <c r="AN334" s="6857" t="str">
        <f t="shared" si="140"/>
        <v/>
      </c>
      <c r="AO334" s="392">
        <f t="shared" si="126"/>
        <v>0</v>
      </c>
      <c r="AP334" s="392">
        <f t="shared" si="127"/>
        <v>0</v>
      </c>
      <c r="AQ334" s="6190">
        <f t="shared" si="128"/>
        <v>0</v>
      </c>
      <c r="AR334" s="6858" t="str">
        <f t="shared" si="129"/>
        <v/>
      </c>
      <c r="AS334" s="6217"/>
      <c r="AT334" s="6217"/>
      <c r="AU334" s="6271">
        <f t="shared" si="130"/>
        <v>0</v>
      </c>
      <c r="AV334" s="6242">
        <f t="shared" si="131"/>
        <v>0</v>
      </c>
      <c r="AW334" s="6188" cm="1">
        <f t="array" ref="AW334">IF(AK334&lt;&gt;1,0,IF(OR(AU334="",N(AU334)&lt;=0.000000001),"",IF(OR(AO334="",N(AO334)&lt;=0.000000001),0,IF(ISNUMBER(AU334),IFERROR(_xlfn.LET(_xlpm.ai_test,TRIM(AJ334),_xlpm.r,IFERROR(_xlfn.XLOOKUP(_xlpm.ai_test,$BJ$15:$BJ$62,ROW($BJ$15:$BJ$62),0,1),IFERROR(_xlfn.XLOOKUP(_xlpm.ai_test,$BK$15:$BK$62,ROW($BK$15:$BK$62),0,1),_xlfn.XLOOKUP(_xlpm.ai_test,$BL$15:$BL$62,ROW($BL$15:$BL$62),0,1))),_xlpm.p,_xlpm.r-MIN(ROW($BJ$15:$BJ$62))+1,_xlpm.f,INDEX($BM$15:$BM$62,_xlpm.p),_xlpm.u,INDEX($BN$15:$BN$62,_xlpm.p),_xlpm.s,INDEX($BP$15:$BP$62,_xlpm.p),_xlpm.q,N(AU334)/_xlpm.f,IF(_xlpm.q&gt;=_xlpm.s,ROUND(_xlpm.q,1)&amp;" "&amp;_xlpm.ai_test&amp;" = "&amp;ROUND(_xlpm.q*_xlpm.f,1)&amp;" "&amp;_xlpm.u,ROUND(_xlpm.q,1)&amp;" "&amp;_xlpm.ai_test)),""),""))))</f>
        <v>0</v>
      </c>
      <c r="AX334" s="6218"/>
      <c r="AY334" s="6271">
        <f t="shared" si="132"/>
        <v>0</v>
      </c>
      <c r="AZ334" s="6242" t="str">
        <f t="shared" si="133"/>
        <v/>
      </c>
      <c r="BA334" s="6194">
        <f t="shared" si="138"/>
        <v>0</v>
      </c>
      <c r="BB334" s="6192" t="str">
        <f t="shared" si="134"/>
        <v/>
      </c>
      <c r="BC334" s="6219"/>
      <c r="BD334" s="6221">
        <f t="shared" si="139"/>
        <v>0</v>
      </c>
      <c r="BE334" s="6220" t="str">
        <f t="shared" si="135"/>
        <v/>
      </c>
      <c r="BF334" s="4" t="s">
        <v>1</v>
      </c>
      <c r="BG334" s="6196">
        <f t="shared" si="136"/>
        <v>0</v>
      </c>
      <c r="BH334" s="6197">
        <f t="shared" si="137"/>
        <v>0</v>
      </c>
      <c r="BI334"/>
      <c r="BJ334" s="1"/>
      <c r="BK334" s="1"/>
      <c r="BL334" s="1"/>
      <c r="BM334" s="1"/>
      <c r="BN334" s="1"/>
      <c r="BO334" s="1"/>
      <c r="BP334" s="1"/>
      <c r="BQ334" s="1"/>
      <c r="BX334" s="20" t="str">
        <f t="shared" si="142"/>
        <v>►</v>
      </c>
      <c r="BY334" s="2"/>
      <c r="BZ334" s="2"/>
      <c r="CA334" s="2"/>
      <c r="CB334" s="2"/>
      <c r="CC334" s="2"/>
      <c r="DC334" s="5">
        <v>1</v>
      </c>
    </row>
    <row r="335" spans="12:107" ht="21" customHeight="1">
      <c r="L335" s="1021" t="s">
        <v>26</v>
      </c>
      <c r="M335" s="6787"/>
      <c r="N335" s="6787"/>
      <c r="O335" s="6787"/>
      <c r="P335" s="6788"/>
      <c r="Q335" s="6789"/>
      <c r="R335" s="6790"/>
      <c r="S335" s="6786"/>
      <c r="T335" s="6791"/>
      <c r="U335" s="6844"/>
      <c r="V335" s="6791"/>
      <c r="W335" s="8487"/>
      <c r="X335" s="6871"/>
      <c r="Y335" s="6793"/>
      <c r="Z335" s="6794"/>
      <c r="AA335" s="6795"/>
      <c r="AB335" s="6796"/>
      <c r="AC335" s="6797"/>
      <c r="AD335" s="6798"/>
      <c r="AE335" s="4" t="s">
        <v>1</v>
      </c>
      <c r="AF335" s="6202" t="str">
        <f t="shared" si="119"/>
        <v>►</v>
      </c>
      <c r="AG335" s="6234" t="str">
        <f t="shared" si="120"/>
        <v/>
      </c>
      <c r="AH335" s="6732" t="str">
        <f t="shared" si="121"/>
        <v/>
      </c>
      <c r="AI335" s="6234" t="str">
        <f t="shared" si="122"/>
        <v/>
      </c>
      <c r="AJ335" s="6732" t="str">
        <f t="shared" si="123"/>
        <v/>
      </c>
      <c r="AK335" s="6732">
        <f t="shared" si="124"/>
        <v>0</v>
      </c>
      <c r="AL335" s="6230" t="str" cm="1">
        <f t="array" ref="AL335">IF(AF335&lt;&gt;"A","",IFERROR((IFERROR(_xlfn.XLOOKUP(TRIM(SUBSTITUTE(U335,CHAR(160)," ")),$BJ$15:$BJ$62,$BM$15:$BM$62),IFERROR(_xlfn.XLOOKUP(TRIM(SUBSTITUTE(U335,CHAR(160)," ")),$BK$15:$BK$62,$BM$15:$BM$62),_xlfn.XLOOKUP(TRIM(SUBSTITUTE(U335,CHAR(160)," ")),$BL$15:$BL$62,$BM$15:$BM$62))))*T335*IF(ISBLANK(Q335),1,Q335)+IFERROR(_xlfn.XLOOKUP("RECHERCHEX",TRIM(L335:AD335),L335:AD335),0),0))</f>
        <v/>
      </c>
      <c r="AM335" s="6229">
        <f t="shared" si="125"/>
        <v>0</v>
      </c>
      <c r="AN335" s="6857" t="str">
        <f t="shared" si="140"/>
        <v/>
      </c>
      <c r="AO335" s="392">
        <f t="shared" si="126"/>
        <v>0</v>
      </c>
      <c r="AP335" s="392">
        <f t="shared" si="127"/>
        <v>0</v>
      </c>
      <c r="AQ335" s="6191">
        <f t="shared" si="128"/>
        <v>0</v>
      </c>
      <c r="AR335" s="6859" t="str">
        <f t="shared" si="129"/>
        <v/>
      </c>
      <c r="AS335" s="6217"/>
      <c r="AT335" s="6217"/>
      <c r="AU335" s="6272">
        <f t="shared" si="130"/>
        <v>0</v>
      </c>
      <c r="AV335" s="6240">
        <f t="shared" si="131"/>
        <v>0</v>
      </c>
      <c r="AW335" s="6189" cm="1">
        <f t="array" ref="AW335">IF(AK335&lt;&gt;1,0,IF(OR(AU335="",N(AU335)&lt;=0.000000001),"",IF(OR(AO335="",N(AO335)&lt;=0.000000001),0,IF(ISNUMBER(AU335),IFERROR(_xlfn.LET(_xlpm.ai_test,TRIM(AJ335),_xlpm.r,IFERROR(_xlfn.XLOOKUP(_xlpm.ai_test,$BJ$15:$BJ$62,ROW($BJ$15:$BJ$62),0,1),IFERROR(_xlfn.XLOOKUP(_xlpm.ai_test,$BK$15:$BK$62,ROW($BK$15:$BK$62),0,1),_xlfn.XLOOKUP(_xlpm.ai_test,$BL$15:$BL$62,ROW($BL$15:$BL$62),0,1))),_xlpm.p,_xlpm.r-MIN(ROW($BJ$15:$BJ$62))+1,_xlpm.f,INDEX($BM$15:$BM$62,_xlpm.p),_xlpm.u,INDEX($BN$15:$BN$62,_xlpm.p),_xlpm.s,INDEX($BP$15:$BP$62,_xlpm.p),_xlpm.q,N(AU335)/_xlpm.f,IF(_xlpm.q&gt;=_xlpm.s,ROUND(_xlpm.q,1)&amp;" "&amp;_xlpm.ai_test&amp;" = "&amp;ROUND(_xlpm.q*_xlpm.f,1)&amp;" "&amp;_xlpm.u,ROUND(_xlpm.q,1)&amp;" "&amp;_xlpm.ai_test)),""),""))))</f>
        <v>0</v>
      </c>
      <c r="AX335" s="6218"/>
      <c r="AY335" s="6272">
        <f t="shared" si="132"/>
        <v>0</v>
      </c>
      <c r="AZ335" s="6240" t="str">
        <f t="shared" si="133"/>
        <v/>
      </c>
      <c r="BA335" s="6195">
        <f t="shared" si="138"/>
        <v>0</v>
      </c>
      <c r="BB335" s="6193" t="str">
        <f t="shared" si="134"/>
        <v/>
      </c>
      <c r="BC335" s="6219"/>
      <c r="BD335" s="6222">
        <f t="shared" si="139"/>
        <v>0</v>
      </c>
      <c r="BE335" s="6220" t="str">
        <f t="shared" si="135"/>
        <v/>
      </c>
      <c r="BF335" s="4" t="s">
        <v>1</v>
      </c>
      <c r="BG335" s="6196">
        <f t="shared" si="136"/>
        <v>0</v>
      </c>
      <c r="BH335" s="6197">
        <f t="shared" si="137"/>
        <v>0</v>
      </c>
      <c r="BI335"/>
      <c r="BJ335" s="1"/>
      <c r="BK335" s="1"/>
      <c r="BL335" s="1"/>
      <c r="BM335" s="1"/>
      <c r="BN335" s="1"/>
      <c r="BO335" s="1"/>
      <c r="BP335" s="1"/>
      <c r="BQ335" s="1"/>
      <c r="BX335" s="20" t="str">
        <f t="shared" si="142"/>
        <v>►</v>
      </c>
      <c r="BY335" s="2"/>
      <c r="BZ335" s="2"/>
      <c r="CA335" s="2"/>
      <c r="CB335" s="2"/>
      <c r="CC335" s="2"/>
      <c r="DC335" s="5">
        <v>1</v>
      </c>
    </row>
    <row r="336" spans="12:107" ht="21" customHeight="1">
      <c r="L336" s="1021" t="s">
        <v>26</v>
      </c>
      <c r="M336" s="6787"/>
      <c r="N336" s="6787"/>
      <c r="O336" s="6787"/>
      <c r="P336" s="6788"/>
      <c r="Q336" s="6789"/>
      <c r="R336" s="6790"/>
      <c r="S336" s="6786"/>
      <c r="T336" s="6791"/>
      <c r="U336" s="6844"/>
      <c r="V336" s="6791"/>
      <c r="W336" s="8487"/>
      <c r="X336" s="6871"/>
      <c r="Y336" s="6793"/>
      <c r="Z336" s="6794"/>
      <c r="AA336" s="6795"/>
      <c r="AB336" s="6796"/>
      <c r="AC336" s="6797"/>
      <c r="AD336" s="6798"/>
      <c r="AE336" s="4" t="s">
        <v>1</v>
      </c>
      <c r="AF336" s="6202" t="str">
        <f t="shared" si="119"/>
        <v>►</v>
      </c>
      <c r="AG336" s="6234" t="str">
        <f t="shared" si="120"/>
        <v/>
      </c>
      <c r="AH336" s="6732" t="str">
        <f t="shared" si="121"/>
        <v/>
      </c>
      <c r="AI336" s="6234" t="str">
        <f t="shared" si="122"/>
        <v/>
      </c>
      <c r="AJ336" s="6732" t="str">
        <f t="shared" si="123"/>
        <v/>
      </c>
      <c r="AK336" s="6732">
        <f t="shared" si="124"/>
        <v>0</v>
      </c>
      <c r="AL336" s="6230" t="str" cm="1">
        <f t="array" ref="AL336">IF(AF336&lt;&gt;"A","",IFERROR((IFERROR(_xlfn.XLOOKUP(TRIM(SUBSTITUTE(U336,CHAR(160)," ")),$BJ$15:$BJ$62,$BM$15:$BM$62),IFERROR(_xlfn.XLOOKUP(TRIM(SUBSTITUTE(U336,CHAR(160)," ")),$BK$15:$BK$62,$BM$15:$BM$62),_xlfn.XLOOKUP(TRIM(SUBSTITUTE(U336,CHAR(160)," ")),$BL$15:$BL$62,$BM$15:$BM$62))))*T336*IF(ISBLANK(Q336),1,Q336)+IFERROR(_xlfn.XLOOKUP("RECHERCHEX",TRIM(L336:AD336),L336:AD336),0),0))</f>
        <v/>
      </c>
      <c r="AM336" s="6229">
        <f t="shared" si="125"/>
        <v>0</v>
      </c>
      <c r="AN336" s="6857" t="str">
        <f t="shared" si="140"/>
        <v/>
      </c>
      <c r="AO336" s="392">
        <f t="shared" si="126"/>
        <v>0</v>
      </c>
      <c r="AP336" s="392">
        <f t="shared" si="127"/>
        <v>0</v>
      </c>
      <c r="AQ336" s="6190">
        <f t="shared" si="128"/>
        <v>0</v>
      </c>
      <c r="AR336" s="6858" t="str">
        <f t="shared" si="129"/>
        <v/>
      </c>
      <c r="AS336" s="6217"/>
      <c r="AT336" s="6217"/>
      <c r="AU336" s="6271">
        <f t="shared" si="130"/>
        <v>0</v>
      </c>
      <c r="AV336" s="6242">
        <f t="shared" si="131"/>
        <v>0</v>
      </c>
      <c r="AW336" s="6188" cm="1">
        <f t="array" ref="AW336">IF(AK336&lt;&gt;1,0,IF(OR(AU336="",N(AU336)&lt;=0.000000001),"",IF(OR(AO336="",N(AO336)&lt;=0.000000001),0,IF(ISNUMBER(AU336),IFERROR(_xlfn.LET(_xlpm.ai_test,TRIM(AJ336),_xlpm.r,IFERROR(_xlfn.XLOOKUP(_xlpm.ai_test,$BJ$15:$BJ$62,ROW($BJ$15:$BJ$62),0,1),IFERROR(_xlfn.XLOOKUP(_xlpm.ai_test,$BK$15:$BK$62,ROW($BK$15:$BK$62),0,1),_xlfn.XLOOKUP(_xlpm.ai_test,$BL$15:$BL$62,ROW($BL$15:$BL$62),0,1))),_xlpm.p,_xlpm.r-MIN(ROW($BJ$15:$BJ$62))+1,_xlpm.f,INDEX($BM$15:$BM$62,_xlpm.p),_xlpm.u,INDEX($BN$15:$BN$62,_xlpm.p),_xlpm.s,INDEX($BP$15:$BP$62,_xlpm.p),_xlpm.q,N(AU336)/_xlpm.f,IF(_xlpm.q&gt;=_xlpm.s,ROUND(_xlpm.q,1)&amp;" "&amp;_xlpm.ai_test&amp;" = "&amp;ROUND(_xlpm.q*_xlpm.f,1)&amp;" "&amp;_xlpm.u,ROUND(_xlpm.q,1)&amp;" "&amp;_xlpm.ai_test)),""),""))))</f>
        <v>0</v>
      </c>
      <c r="AX336" s="6218"/>
      <c r="AY336" s="6271">
        <f t="shared" si="132"/>
        <v>0</v>
      </c>
      <c r="AZ336" s="6242" t="str">
        <f t="shared" si="133"/>
        <v/>
      </c>
      <c r="BA336" s="6194">
        <f t="shared" si="138"/>
        <v>0</v>
      </c>
      <c r="BB336" s="6192" t="str">
        <f t="shared" si="134"/>
        <v/>
      </c>
      <c r="BC336" s="6219"/>
      <c r="BD336" s="6221">
        <f t="shared" si="139"/>
        <v>0</v>
      </c>
      <c r="BE336" s="6220" t="str">
        <f t="shared" si="135"/>
        <v/>
      </c>
      <c r="BF336" s="4" t="s">
        <v>1</v>
      </c>
      <c r="BG336" s="6196">
        <f t="shared" si="136"/>
        <v>0</v>
      </c>
      <c r="BH336" s="6197">
        <f t="shared" si="137"/>
        <v>0</v>
      </c>
      <c r="BI336"/>
      <c r="BJ336" s="1"/>
      <c r="BK336" s="1"/>
      <c r="BL336" s="1"/>
      <c r="BM336" s="1"/>
      <c r="BN336" s="1"/>
      <c r="BO336" s="1"/>
      <c r="BP336" s="1"/>
      <c r="BQ336" s="1"/>
      <c r="BX336" s="20" t="str">
        <f t="shared" si="142"/>
        <v>►</v>
      </c>
      <c r="BY336" s="2"/>
      <c r="BZ336" s="2"/>
      <c r="CA336" s="2"/>
      <c r="CB336" s="2"/>
      <c r="CC336" s="2"/>
      <c r="DC336" s="5">
        <v>1</v>
      </c>
    </row>
    <row r="337" spans="12:107" ht="21" customHeight="1">
      <c r="L337" s="1021" t="s">
        <v>26</v>
      </c>
      <c r="M337" s="6787"/>
      <c r="N337" s="6787"/>
      <c r="O337" s="6787"/>
      <c r="P337" s="6788"/>
      <c r="Q337" s="6789"/>
      <c r="R337" s="6790"/>
      <c r="S337" s="6786"/>
      <c r="T337" s="6791"/>
      <c r="U337" s="6844"/>
      <c r="V337" s="6791"/>
      <c r="W337" s="8487"/>
      <c r="X337" s="6871"/>
      <c r="Y337" s="6793"/>
      <c r="Z337" s="6794"/>
      <c r="AA337" s="6795"/>
      <c r="AB337" s="6796"/>
      <c r="AC337" s="6797"/>
      <c r="AD337" s="6798"/>
      <c r="AE337" s="4" t="s">
        <v>1</v>
      </c>
      <c r="AF337" s="6202" t="str">
        <f t="shared" si="119"/>
        <v>►</v>
      </c>
      <c r="AG337" s="6234" t="str">
        <f t="shared" si="120"/>
        <v/>
      </c>
      <c r="AH337" s="6732" t="str">
        <f t="shared" si="121"/>
        <v/>
      </c>
      <c r="AI337" s="6234" t="str">
        <f t="shared" si="122"/>
        <v/>
      </c>
      <c r="AJ337" s="6732" t="str">
        <f t="shared" si="123"/>
        <v/>
      </c>
      <c r="AK337" s="6732">
        <f t="shared" si="124"/>
        <v>0</v>
      </c>
      <c r="AL337" s="6230" t="str" cm="1">
        <f t="array" ref="AL337">IF(AF337&lt;&gt;"A","",IFERROR((IFERROR(_xlfn.XLOOKUP(TRIM(SUBSTITUTE(U337,CHAR(160)," ")),$BJ$15:$BJ$62,$BM$15:$BM$62),IFERROR(_xlfn.XLOOKUP(TRIM(SUBSTITUTE(U337,CHAR(160)," ")),$BK$15:$BK$62,$BM$15:$BM$62),_xlfn.XLOOKUP(TRIM(SUBSTITUTE(U337,CHAR(160)," ")),$BL$15:$BL$62,$BM$15:$BM$62))))*T337*IF(ISBLANK(Q337),1,Q337)+IFERROR(_xlfn.XLOOKUP("RECHERCHEX",TRIM(L337:AD337),L337:AD337),0),0))</f>
        <v/>
      </c>
      <c r="AM337" s="6229">
        <f t="shared" si="125"/>
        <v>0</v>
      </c>
      <c r="AN337" s="6857" t="str">
        <f t="shared" si="140"/>
        <v/>
      </c>
      <c r="AO337" s="392">
        <f t="shared" si="126"/>
        <v>0</v>
      </c>
      <c r="AP337" s="392">
        <f t="shared" si="127"/>
        <v>0</v>
      </c>
      <c r="AQ337" s="6191">
        <f t="shared" si="128"/>
        <v>0</v>
      </c>
      <c r="AR337" s="6859" t="str">
        <f t="shared" si="129"/>
        <v/>
      </c>
      <c r="AS337" s="6217"/>
      <c r="AT337" s="6217"/>
      <c r="AU337" s="6272">
        <f t="shared" si="130"/>
        <v>0</v>
      </c>
      <c r="AV337" s="6240">
        <f t="shared" si="131"/>
        <v>0</v>
      </c>
      <c r="AW337" s="6189" cm="1">
        <f t="array" ref="AW337">IF(AK337&lt;&gt;1,0,IF(OR(AU337="",N(AU337)&lt;=0.000000001),"",IF(OR(AO337="",N(AO337)&lt;=0.000000001),0,IF(ISNUMBER(AU337),IFERROR(_xlfn.LET(_xlpm.ai_test,TRIM(AJ337),_xlpm.r,IFERROR(_xlfn.XLOOKUP(_xlpm.ai_test,$BJ$15:$BJ$62,ROW($BJ$15:$BJ$62),0,1),IFERROR(_xlfn.XLOOKUP(_xlpm.ai_test,$BK$15:$BK$62,ROW($BK$15:$BK$62),0,1),_xlfn.XLOOKUP(_xlpm.ai_test,$BL$15:$BL$62,ROW($BL$15:$BL$62),0,1))),_xlpm.p,_xlpm.r-MIN(ROW($BJ$15:$BJ$62))+1,_xlpm.f,INDEX($BM$15:$BM$62,_xlpm.p),_xlpm.u,INDEX($BN$15:$BN$62,_xlpm.p),_xlpm.s,INDEX($BP$15:$BP$62,_xlpm.p),_xlpm.q,N(AU337)/_xlpm.f,IF(_xlpm.q&gt;=_xlpm.s,ROUND(_xlpm.q,1)&amp;" "&amp;_xlpm.ai_test&amp;" = "&amp;ROUND(_xlpm.q*_xlpm.f,1)&amp;" "&amp;_xlpm.u,ROUND(_xlpm.q,1)&amp;" "&amp;_xlpm.ai_test)),""),""))))</f>
        <v>0</v>
      </c>
      <c r="AX337" s="6218"/>
      <c r="AY337" s="6272">
        <f t="shared" si="132"/>
        <v>0</v>
      </c>
      <c r="AZ337" s="6240" t="str">
        <f t="shared" si="133"/>
        <v/>
      </c>
      <c r="BA337" s="6195">
        <f t="shared" si="138"/>
        <v>0</v>
      </c>
      <c r="BB337" s="6193" t="str">
        <f t="shared" si="134"/>
        <v/>
      </c>
      <c r="BC337" s="6219"/>
      <c r="BD337" s="6222">
        <f t="shared" si="139"/>
        <v>0</v>
      </c>
      <c r="BE337" s="6220" t="str">
        <f t="shared" si="135"/>
        <v/>
      </c>
      <c r="BF337" s="4" t="s">
        <v>1</v>
      </c>
      <c r="BG337" s="6196">
        <f t="shared" si="136"/>
        <v>0</v>
      </c>
      <c r="BH337" s="6197">
        <f t="shared" si="137"/>
        <v>0</v>
      </c>
      <c r="BI337"/>
      <c r="BJ337" s="1"/>
      <c r="BK337" s="1"/>
      <c r="BL337" s="1"/>
      <c r="BM337" s="1"/>
      <c r="BN337" s="1"/>
      <c r="BO337" s="1"/>
      <c r="BP337" s="1"/>
      <c r="BQ337" s="1"/>
      <c r="BX337" s="20" t="str">
        <f t="shared" si="142"/>
        <v>►</v>
      </c>
      <c r="BY337" s="2"/>
      <c r="BZ337" s="2"/>
      <c r="CA337" s="2"/>
      <c r="CB337" s="2"/>
      <c r="CC337" s="2"/>
      <c r="DC337" s="5">
        <v>1</v>
      </c>
    </row>
    <row r="338" spans="12:107" ht="21" customHeight="1">
      <c r="L338" s="1021" t="s">
        <v>26</v>
      </c>
      <c r="M338" s="6787"/>
      <c r="N338" s="6787"/>
      <c r="O338" s="6787"/>
      <c r="P338" s="6788"/>
      <c r="Q338" s="6789"/>
      <c r="R338" s="6790"/>
      <c r="S338" s="6786"/>
      <c r="T338" s="6791"/>
      <c r="U338" s="6844"/>
      <c r="V338" s="6791"/>
      <c r="W338" s="8487"/>
      <c r="X338" s="6871"/>
      <c r="Y338" s="6793"/>
      <c r="Z338" s="6794"/>
      <c r="AA338" s="6795"/>
      <c r="AB338" s="6796"/>
      <c r="AC338" s="6797"/>
      <c r="AD338" s="6798"/>
      <c r="AE338" s="4" t="s">
        <v>1</v>
      </c>
      <c r="AF338" s="6202" t="str">
        <f t="shared" si="119"/>
        <v>►</v>
      </c>
      <c r="AG338" s="6234" t="str">
        <f t="shared" si="120"/>
        <v/>
      </c>
      <c r="AH338" s="6732" t="str">
        <f t="shared" si="121"/>
        <v/>
      </c>
      <c r="AI338" s="6234" t="str">
        <f t="shared" si="122"/>
        <v/>
      </c>
      <c r="AJ338" s="6732" t="str">
        <f t="shared" si="123"/>
        <v/>
      </c>
      <c r="AK338" s="6732">
        <f t="shared" si="124"/>
        <v>0</v>
      </c>
      <c r="AL338" s="6230" t="str" cm="1">
        <f t="array" ref="AL338">IF(AF338&lt;&gt;"A","",IFERROR((IFERROR(_xlfn.XLOOKUP(TRIM(SUBSTITUTE(U338,CHAR(160)," ")),$BJ$15:$BJ$62,$BM$15:$BM$62),IFERROR(_xlfn.XLOOKUP(TRIM(SUBSTITUTE(U338,CHAR(160)," ")),$BK$15:$BK$62,$BM$15:$BM$62),_xlfn.XLOOKUP(TRIM(SUBSTITUTE(U338,CHAR(160)," ")),$BL$15:$BL$62,$BM$15:$BM$62))))*T338*IF(ISBLANK(Q338),1,Q338)+IFERROR(_xlfn.XLOOKUP("RECHERCHEX",TRIM(L338:AD338),L338:AD338),0),0))</f>
        <v/>
      </c>
      <c r="AM338" s="6229">
        <f t="shared" si="125"/>
        <v>0</v>
      </c>
      <c r="AN338" s="6857" t="str">
        <f t="shared" si="140"/>
        <v/>
      </c>
      <c r="AO338" s="392">
        <f t="shared" si="126"/>
        <v>0</v>
      </c>
      <c r="AP338" s="392">
        <f t="shared" si="127"/>
        <v>0</v>
      </c>
      <c r="AQ338" s="6190">
        <f t="shared" si="128"/>
        <v>0</v>
      </c>
      <c r="AR338" s="6858" t="str">
        <f t="shared" si="129"/>
        <v/>
      </c>
      <c r="AS338" s="6217"/>
      <c r="AT338" s="6217"/>
      <c r="AU338" s="6271">
        <f t="shared" si="130"/>
        <v>0</v>
      </c>
      <c r="AV338" s="6242">
        <f t="shared" si="131"/>
        <v>0</v>
      </c>
      <c r="AW338" s="6188" cm="1">
        <f t="array" ref="AW338">IF(AK338&lt;&gt;1,0,IF(OR(AU338="",N(AU338)&lt;=0.000000001),"",IF(OR(AO338="",N(AO338)&lt;=0.000000001),0,IF(ISNUMBER(AU338),IFERROR(_xlfn.LET(_xlpm.ai_test,TRIM(AJ338),_xlpm.r,IFERROR(_xlfn.XLOOKUP(_xlpm.ai_test,$BJ$15:$BJ$62,ROW($BJ$15:$BJ$62),0,1),IFERROR(_xlfn.XLOOKUP(_xlpm.ai_test,$BK$15:$BK$62,ROW($BK$15:$BK$62),0,1),_xlfn.XLOOKUP(_xlpm.ai_test,$BL$15:$BL$62,ROW($BL$15:$BL$62),0,1))),_xlpm.p,_xlpm.r-MIN(ROW($BJ$15:$BJ$62))+1,_xlpm.f,INDEX($BM$15:$BM$62,_xlpm.p),_xlpm.u,INDEX($BN$15:$BN$62,_xlpm.p),_xlpm.s,INDEX($BP$15:$BP$62,_xlpm.p),_xlpm.q,N(AU338)/_xlpm.f,IF(_xlpm.q&gt;=_xlpm.s,ROUND(_xlpm.q,1)&amp;" "&amp;_xlpm.ai_test&amp;" = "&amp;ROUND(_xlpm.q*_xlpm.f,1)&amp;" "&amp;_xlpm.u,ROUND(_xlpm.q,1)&amp;" "&amp;_xlpm.ai_test)),""),""))))</f>
        <v>0</v>
      </c>
      <c r="AX338" s="6218"/>
      <c r="AY338" s="6271">
        <f t="shared" si="132"/>
        <v>0</v>
      </c>
      <c r="AZ338" s="6242" t="str">
        <f t="shared" si="133"/>
        <v/>
      </c>
      <c r="BA338" s="6194">
        <f t="shared" si="138"/>
        <v>0</v>
      </c>
      <c r="BB338" s="6192" t="str">
        <f t="shared" si="134"/>
        <v/>
      </c>
      <c r="BC338" s="6219"/>
      <c r="BD338" s="6221">
        <f t="shared" si="139"/>
        <v>0</v>
      </c>
      <c r="BE338" s="6220" t="str">
        <f t="shared" si="135"/>
        <v/>
      </c>
      <c r="BF338" s="4" t="s">
        <v>1</v>
      </c>
      <c r="BG338" s="6196">
        <f t="shared" si="136"/>
        <v>0</v>
      </c>
      <c r="BH338" s="6197">
        <f t="shared" si="137"/>
        <v>0</v>
      </c>
      <c r="BI338"/>
      <c r="BJ338" s="1"/>
      <c r="BK338" s="1"/>
      <c r="BL338" s="1"/>
      <c r="BM338" s="1"/>
      <c r="BN338" s="1"/>
      <c r="BO338" s="1"/>
      <c r="BP338" s="1"/>
      <c r="BQ338" s="1"/>
      <c r="BX338" s="20" t="str">
        <f t="shared" si="142"/>
        <v>►</v>
      </c>
      <c r="BY338" s="2"/>
      <c r="BZ338" s="2"/>
      <c r="CA338" s="2"/>
      <c r="CB338" s="2"/>
      <c r="CC338" s="2"/>
      <c r="DC338" s="5">
        <v>1</v>
      </c>
    </row>
    <row r="339" spans="12:107" ht="21" customHeight="1">
      <c r="L339" s="1021" t="s">
        <v>26</v>
      </c>
      <c r="M339" s="6787"/>
      <c r="N339" s="6787"/>
      <c r="O339" s="6787"/>
      <c r="P339" s="6788"/>
      <c r="Q339" s="6789"/>
      <c r="R339" s="6790"/>
      <c r="S339" s="6786"/>
      <c r="T339" s="6791"/>
      <c r="U339" s="6844"/>
      <c r="V339" s="6791"/>
      <c r="W339" s="8487"/>
      <c r="X339" s="6871"/>
      <c r="Y339" s="6793"/>
      <c r="Z339" s="6794"/>
      <c r="AA339" s="6795"/>
      <c r="AB339" s="6796"/>
      <c r="AC339" s="6797"/>
      <c r="AD339" s="6798"/>
      <c r="AE339" s="4" t="s">
        <v>1</v>
      </c>
      <c r="AF339" s="6202" t="str">
        <f t="shared" si="119"/>
        <v>►</v>
      </c>
      <c r="AG339" s="6234" t="str">
        <f t="shared" si="120"/>
        <v/>
      </c>
      <c r="AH339" s="6732" t="str">
        <f t="shared" si="121"/>
        <v/>
      </c>
      <c r="AI339" s="6234" t="str">
        <f t="shared" si="122"/>
        <v/>
      </c>
      <c r="AJ339" s="6732" t="str">
        <f t="shared" si="123"/>
        <v/>
      </c>
      <c r="AK339" s="6732">
        <f t="shared" si="124"/>
        <v>0</v>
      </c>
      <c r="AL339" s="6230" t="str" cm="1">
        <f t="array" ref="AL339">IF(AF339&lt;&gt;"A","",IFERROR((IFERROR(_xlfn.XLOOKUP(TRIM(SUBSTITUTE(U339,CHAR(160)," ")),$BJ$15:$BJ$62,$BM$15:$BM$62),IFERROR(_xlfn.XLOOKUP(TRIM(SUBSTITUTE(U339,CHAR(160)," ")),$BK$15:$BK$62,$BM$15:$BM$62),_xlfn.XLOOKUP(TRIM(SUBSTITUTE(U339,CHAR(160)," ")),$BL$15:$BL$62,$BM$15:$BM$62))))*T339*IF(ISBLANK(Q339),1,Q339)+IFERROR(_xlfn.XLOOKUP("RECHERCHEX",TRIM(L339:AD339),L339:AD339),0),0))</f>
        <v/>
      </c>
      <c r="AM339" s="6229">
        <f t="shared" si="125"/>
        <v>0</v>
      </c>
      <c r="AN339" s="6857" t="str">
        <f t="shared" si="140"/>
        <v/>
      </c>
      <c r="AO339" s="392">
        <f t="shared" si="126"/>
        <v>0</v>
      </c>
      <c r="AP339" s="392">
        <f t="shared" si="127"/>
        <v>0</v>
      </c>
      <c r="AQ339" s="6191">
        <f t="shared" si="128"/>
        <v>0</v>
      </c>
      <c r="AR339" s="6859" t="str">
        <f t="shared" si="129"/>
        <v/>
      </c>
      <c r="AS339" s="6217"/>
      <c r="AT339" s="6217"/>
      <c r="AU339" s="6272">
        <f t="shared" si="130"/>
        <v>0</v>
      </c>
      <c r="AV339" s="6240">
        <f t="shared" si="131"/>
        <v>0</v>
      </c>
      <c r="AW339" s="6189" cm="1">
        <f t="array" ref="AW339">IF(AK339&lt;&gt;1,0,IF(OR(AU339="",N(AU339)&lt;=0.000000001),"",IF(OR(AO339="",N(AO339)&lt;=0.000000001),0,IF(ISNUMBER(AU339),IFERROR(_xlfn.LET(_xlpm.ai_test,TRIM(AJ339),_xlpm.r,IFERROR(_xlfn.XLOOKUP(_xlpm.ai_test,$BJ$15:$BJ$62,ROW($BJ$15:$BJ$62),0,1),IFERROR(_xlfn.XLOOKUP(_xlpm.ai_test,$BK$15:$BK$62,ROW($BK$15:$BK$62),0,1),_xlfn.XLOOKUP(_xlpm.ai_test,$BL$15:$BL$62,ROW($BL$15:$BL$62),0,1))),_xlpm.p,_xlpm.r-MIN(ROW($BJ$15:$BJ$62))+1,_xlpm.f,INDEX($BM$15:$BM$62,_xlpm.p),_xlpm.u,INDEX($BN$15:$BN$62,_xlpm.p),_xlpm.s,INDEX($BP$15:$BP$62,_xlpm.p),_xlpm.q,N(AU339)/_xlpm.f,IF(_xlpm.q&gt;=_xlpm.s,ROUND(_xlpm.q,1)&amp;" "&amp;_xlpm.ai_test&amp;" = "&amp;ROUND(_xlpm.q*_xlpm.f,1)&amp;" "&amp;_xlpm.u,ROUND(_xlpm.q,1)&amp;" "&amp;_xlpm.ai_test)),""),""))))</f>
        <v>0</v>
      </c>
      <c r="AX339" s="6218"/>
      <c r="AY339" s="6272">
        <f t="shared" si="132"/>
        <v>0</v>
      </c>
      <c r="AZ339" s="6240" t="str">
        <f t="shared" si="133"/>
        <v/>
      </c>
      <c r="BA339" s="6195">
        <f t="shared" si="138"/>
        <v>0</v>
      </c>
      <c r="BB339" s="6193" t="str">
        <f t="shared" si="134"/>
        <v/>
      </c>
      <c r="BC339" s="6219"/>
      <c r="BD339" s="6222">
        <f t="shared" si="139"/>
        <v>0</v>
      </c>
      <c r="BE339" s="6220" t="str">
        <f t="shared" si="135"/>
        <v/>
      </c>
      <c r="BF339" s="4" t="s">
        <v>1</v>
      </c>
      <c r="BG339" s="6196">
        <f t="shared" si="136"/>
        <v>0</v>
      </c>
      <c r="BH339" s="6197">
        <f t="shared" si="137"/>
        <v>0</v>
      </c>
      <c r="BI339"/>
      <c r="BJ339" s="1"/>
      <c r="BK339" s="1"/>
      <c r="BL339" s="1"/>
      <c r="BM339" s="1"/>
      <c r="BN339" s="1"/>
      <c r="BO339" s="1"/>
      <c r="BP339" s="1"/>
      <c r="BQ339" s="1"/>
      <c r="BX339" s="20" t="str">
        <f t="shared" si="142"/>
        <v>►</v>
      </c>
      <c r="BY339" s="2"/>
      <c r="BZ339" s="2"/>
      <c r="CA339" s="2"/>
      <c r="CB339" s="2"/>
      <c r="CC339" s="2"/>
      <c r="DC339" s="5">
        <v>1</v>
      </c>
    </row>
    <row r="340" spans="12:107" ht="21" customHeight="1">
      <c r="L340" s="1021" t="s">
        <v>26</v>
      </c>
      <c r="M340" s="6787"/>
      <c r="N340" s="6787"/>
      <c r="O340" s="6787"/>
      <c r="P340" s="6788"/>
      <c r="Q340" s="6789"/>
      <c r="R340" s="6790"/>
      <c r="S340" s="6786"/>
      <c r="T340" s="6791"/>
      <c r="U340" s="6844"/>
      <c r="V340" s="6791"/>
      <c r="W340" s="8487"/>
      <c r="X340" s="6871"/>
      <c r="Y340" s="6793"/>
      <c r="Z340" s="6794"/>
      <c r="AA340" s="6795"/>
      <c r="AB340" s="6796"/>
      <c r="AC340" s="6797"/>
      <c r="AD340" s="6798"/>
      <c r="AE340" s="4" t="s">
        <v>1</v>
      </c>
      <c r="AF340" s="6202" t="str">
        <f t="shared" si="119"/>
        <v>►</v>
      </c>
      <c r="AG340" s="6234" t="str">
        <f t="shared" si="120"/>
        <v/>
      </c>
      <c r="AH340" s="6732" t="str">
        <f t="shared" si="121"/>
        <v/>
      </c>
      <c r="AI340" s="6234" t="str">
        <f t="shared" si="122"/>
        <v/>
      </c>
      <c r="AJ340" s="6732" t="str">
        <f t="shared" si="123"/>
        <v/>
      </c>
      <c r="AK340" s="6732">
        <f t="shared" si="124"/>
        <v>0</v>
      </c>
      <c r="AL340" s="6230" t="str" cm="1">
        <f t="array" ref="AL340">IF(AF340&lt;&gt;"A","",IFERROR((IFERROR(_xlfn.XLOOKUP(TRIM(SUBSTITUTE(U340,CHAR(160)," ")),$BJ$15:$BJ$62,$BM$15:$BM$62),IFERROR(_xlfn.XLOOKUP(TRIM(SUBSTITUTE(U340,CHAR(160)," ")),$BK$15:$BK$62,$BM$15:$BM$62),_xlfn.XLOOKUP(TRIM(SUBSTITUTE(U340,CHAR(160)," ")),$BL$15:$BL$62,$BM$15:$BM$62))))*T340*IF(ISBLANK(Q340),1,Q340)+IFERROR(_xlfn.XLOOKUP("RECHERCHEX",TRIM(L340:AD340),L340:AD340),0),0))</f>
        <v/>
      </c>
      <c r="AM340" s="6229">
        <f t="shared" si="125"/>
        <v>0</v>
      </c>
      <c r="AN340" s="6857" t="str">
        <f t="shared" si="140"/>
        <v/>
      </c>
      <c r="AO340" s="392">
        <f t="shared" si="126"/>
        <v>0</v>
      </c>
      <c r="AP340" s="392">
        <f t="shared" si="127"/>
        <v>0</v>
      </c>
      <c r="AQ340" s="6190">
        <f t="shared" si="128"/>
        <v>0</v>
      </c>
      <c r="AR340" s="6858" t="str">
        <f t="shared" si="129"/>
        <v/>
      </c>
      <c r="AS340" s="6217"/>
      <c r="AT340" s="6217"/>
      <c r="AU340" s="6271">
        <f t="shared" si="130"/>
        <v>0</v>
      </c>
      <c r="AV340" s="6242">
        <f t="shared" si="131"/>
        <v>0</v>
      </c>
      <c r="AW340" s="6188" cm="1">
        <f t="array" ref="AW340">IF(AK340&lt;&gt;1,0,IF(OR(AU340="",N(AU340)&lt;=0.000000001),"",IF(OR(AO340="",N(AO340)&lt;=0.000000001),0,IF(ISNUMBER(AU340),IFERROR(_xlfn.LET(_xlpm.ai_test,TRIM(AJ340),_xlpm.r,IFERROR(_xlfn.XLOOKUP(_xlpm.ai_test,$BJ$15:$BJ$62,ROW($BJ$15:$BJ$62),0,1),IFERROR(_xlfn.XLOOKUP(_xlpm.ai_test,$BK$15:$BK$62,ROW($BK$15:$BK$62),0,1),_xlfn.XLOOKUP(_xlpm.ai_test,$BL$15:$BL$62,ROW($BL$15:$BL$62),0,1))),_xlpm.p,_xlpm.r-MIN(ROW($BJ$15:$BJ$62))+1,_xlpm.f,INDEX($BM$15:$BM$62,_xlpm.p),_xlpm.u,INDEX($BN$15:$BN$62,_xlpm.p),_xlpm.s,INDEX($BP$15:$BP$62,_xlpm.p),_xlpm.q,N(AU340)/_xlpm.f,IF(_xlpm.q&gt;=_xlpm.s,ROUND(_xlpm.q,1)&amp;" "&amp;_xlpm.ai_test&amp;" = "&amp;ROUND(_xlpm.q*_xlpm.f,1)&amp;" "&amp;_xlpm.u,ROUND(_xlpm.q,1)&amp;" "&amp;_xlpm.ai_test)),""),""))))</f>
        <v>0</v>
      </c>
      <c r="AX340" s="6218"/>
      <c r="AY340" s="6271">
        <f t="shared" si="132"/>
        <v>0</v>
      </c>
      <c r="AZ340" s="6242" t="str">
        <f t="shared" si="133"/>
        <v/>
      </c>
      <c r="BA340" s="6194">
        <f t="shared" si="138"/>
        <v>0</v>
      </c>
      <c r="BB340" s="6192" t="str">
        <f t="shared" si="134"/>
        <v/>
      </c>
      <c r="BC340" s="6219"/>
      <c r="BD340" s="6221">
        <f t="shared" si="139"/>
        <v>0</v>
      </c>
      <c r="BE340" s="6220" t="str">
        <f t="shared" si="135"/>
        <v/>
      </c>
      <c r="BF340" s="4" t="s">
        <v>1</v>
      </c>
      <c r="BG340" s="6196">
        <f t="shared" si="136"/>
        <v>0</v>
      </c>
      <c r="BH340" s="6197">
        <f t="shared" si="137"/>
        <v>0</v>
      </c>
      <c r="BI340"/>
      <c r="BJ340" s="1"/>
      <c r="BK340" s="1"/>
      <c r="BL340" s="1"/>
      <c r="BM340" s="1"/>
      <c r="BN340" s="1"/>
      <c r="BO340" s="1"/>
      <c r="BP340" s="1"/>
      <c r="BQ340" s="1"/>
      <c r="BX340" s="20" t="str">
        <f t="shared" si="142"/>
        <v>►</v>
      </c>
      <c r="BY340" s="2"/>
      <c r="BZ340" s="2"/>
      <c r="CA340" s="2"/>
      <c r="CB340" s="2"/>
      <c r="CC340" s="2"/>
      <c r="DC340" s="5">
        <v>1</v>
      </c>
    </row>
    <row r="341" spans="12:107" ht="21" customHeight="1">
      <c r="L341" s="1021" t="s">
        <v>26</v>
      </c>
      <c r="M341" s="6787"/>
      <c r="N341" s="6787"/>
      <c r="O341" s="6787"/>
      <c r="P341" s="6788"/>
      <c r="Q341" s="6789"/>
      <c r="R341" s="6790"/>
      <c r="S341" s="6786"/>
      <c r="T341" s="6791"/>
      <c r="U341" s="6844"/>
      <c r="V341" s="6791"/>
      <c r="W341" s="8487"/>
      <c r="X341" s="6871"/>
      <c r="Y341" s="6793"/>
      <c r="Z341" s="6794"/>
      <c r="AA341" s="6795"/>
      <c r="AB341" s="6796"/>
      <c r="AC341" s="6797"/>
      <c r="AD341" s="6798"/>
      <c r="AE341" s="4" t="s">
        <v>1</v>
      </c>
      <c r="AF341" s="6202" t="str">
        <f t="shared" si="119"/>
        <v>►</v>
      </c>
      <c r="AG341" s="6234" t="str">
        <f t="shared" si="120"/>
        <v/>
      </c>
      <c r="AH341" s="6732" t="str">
        <f t="shared" si="121"/>
        <v/>
      </c>
      <c r="AI341" s="6234" t="str">
        <f t="shared" si="122"/>
        <v/>
      </c>
      <c r="AJ341" s="6732" t="str">
        <f t="shared" si="123"/>
        <v/>
      </c>
      <c r="AK341" s="6732">
        <f t="shared" si="124"/>
        <v>0</v>
      </c>
      <c r="AL341" s="6230" t="str" cm="1">
        <f t="array" ref="AL341">IF(AF341&lt;&gt;"A","",IFERROR((IFERROR(_xlfn.XLOOKUP(TRIM(SUBSTITUTE(U341,CHAR(160)," ")),$BJ$15:$BJ$62,$BM$15:$BM$62),IFERROR(_xlfn.XLOOKUP(TRIM(SUBSTITUTE(U341,CHAR(160)," ")),$BK$15:$BK$62,$BM$15:$BM$62),_xlfn.XLOOKUP(TRIM(SUBSTITUTE(U341,CHAR(160)," ")),$BL$15:$BL$62,$BM$15:$BM$62))))*T341*IF(ISBLANK(Q341),1,Q341)+IFERROR(_xlfn.XLOOKUP("RECHERCHEX",TRIM(L341:AD341),L341:AD341),0),0))</f>
        <v/>
      </c>
      <c r="AM341" s="6229">
        <f t="shared" si="125"/>
        <v>0</v>
      </c>
      <c r="AN341" s="6857" t="str">
        <f t="shared" si="140"/>
        <v/>
      </c>
      <c r="AO341" s="392">
        <f t="shared" si="126"/>
        <v>0</v>
      </c>
      <c r="AP341" s="392">
        <f t="shared" si="127"/>
        <v>0</v>
      </c>
      <c r="AQ341" s="6191">
        <f t="shared" si="128"/>
        <v>0</v>
      </c>
      <c r="AR341" s="6859" t="str">
        <f t="shared" si="129"/>
        <v/>
      </c>
      <c r="AS341" s="6217"/>
      <c r="AT341" s="6217"/>
      <c r="AU341" s="6272">
        <f t="shared" si="130"/>
        <v>0</v>
      </c>
      <c r="AV341" s="6240">
        <f t="shared" si="131"/>
        <v>0</v>
      </c>
      <c r="AW341" s="6189" cm="1">
        <f t="array" ref="AW341">IF(AK341&lt;&gt;1,0,IF(OR(AU341="",N(AU341)&lt;=0.000000001),"",IF(OR(AO341="",N(AO341)&lt;=0.000000001),0,IF(ISNUMBER(AU341),IFERROR(_xlfn.LET(_xlpm.ai_test,TRIM(AJ341),_xlpm.r,IFERROR(_xlfn.XLOOKUP(_xlpm.ai_test,$BJ$15:$BJ$62,ROW($BJ$15:$BJ$62),0,1),IFERROR(_xlfn.XLOOKUP(_xlpm.ai_test,$BK$15:$BK$62,ROW($BK$15:$BK$62),0,1),_xlfn.XLOOKUP(_xlpm.ai_test,$BL$15:$BL$62,ROW($BL$15:$BL$62),0,1))),_xlpm.p,_xlpm.r-MIN(ROW($BJ$15:$BJ$62))+1,_xlpm.f,INDEX($BM$15:$BM$62,_xlpm.p),_xlpm.u,INDEX($BN$15:$BN$62,_xlpm.p),_xlpm.s,INDEX($BP$15:$BP$62,_xlpm.p),_xlpm.q,N(AU341)/_xlpm.f,IF(_xlpm.q&gt;=_xlpm.s,ROUND(_xlpm.q,1)&amp;" "&amp;_xlpm.ai_test&amp;" = "&amp;ROUND(_xlpm.q*_xlpm.f,1)&amp;" "&amp;_xlpm.u,ROUND(_xlpm.q,1)&amp;" "&amp;_xlpm.ai_test)),""),""))))</f>
        <v>0</v>
      </c>
      <c r="AX341" s="6218"/>
      <c r="AY341" s="6272">
        <f t="shared" si="132"/>
        <v>0</v>
      </c>
      <c r="AZ341" s="6240" t="str">
        <f t="shared" si="133"/>
        <v/>
      </c>
      <c r="BA341" s="6195">
        <f t="shared" si="138"/>
        <v>0</v>
      </c>
      <c r="BB341" s="6193" t="str">
        <f t="shared" si="134"/>
        <v/>
      </c>
      <c r="BC341" s="6219"/>
      <c r="BD341" s="6222">
        <f t="shared" si="139"/>
        <v>0</v>
      </c>
      <c r="BE341" s="6220" t="str">
        <f t="shared" si="135"/>
        <v/>
      </c>
      <c r="BF341" s="4" t="s">
        <v>1</v>
      </c>
      <c r="BG341" s="6196">
        <f t="shared" si="136"/>
        <v>0</v>
      </c>
      <c r="BH341" s="6197">
        <f t="shared" si="137"/>
        <v>0</v>
      </c>
      <c r="BI341"/>
      <c r="BJ341" s="1"/>
      <c r="BK341" s="1"/>
      <c r="BL341" s="1"/>
      <c r="BM341" s="1"/>
      <c r="BN341" s="1"/>
      <c r="BO341" s="1"/>
      <c r="BP341" s="1"/>
      <c r="BQ341" s="1"/>
      <c r="BX341" s="20" t="str">
        <f t="shared" si="142"/>
        <v>►</v>
      </c>
      <c r="BY341" s="2"/>
      <c r="BZ341" s="2"/>
      <c r="CA341" s="2"/>
      <c r="CB341" s="2"/>
      <c r="CC341" s="2"/>
      <c r="DC341" s="5">
        <v>1</v>
      </c>
    </row>
    <row r="342" spans="12:107" ht="21" customHeight="1">
      <c r="L342" s="1021" t="s">
        <v>26</v>
      </c>
      <c r="M342" s="6787"/>
      <c r="N342" s="6787"/>
      <c r="O342" s="6787"/>
      <c r="P342" s="6788"/>
      <c r="Q342" s="6789"/>
      <c r="R342" s="6790"/>
      <c r="S342" s="6786"/>
      <c r="T342" s="6791"/>
      <c r="U342" s="6844"/>
      <c r="V342" s="6791"/>
      <c r="W342" s="8487"/>
      <c r="X342" s="6871"/>
      <c r="Y342" s="6793"/>
      <c r="Z342" s="6794"/>
      <c r="AA342" s="6795"/>
      <c r="AB342" s="6796"/>
      <c r="AC342" s="6797"/>
      <c r="AD342" s="6798"/>
      <c r="AE342" s="4" t="s">
        <v>1</v>
      </c>
      <c r="AF342" s="6202" t="str">
        <f t="shared" ref="AF342:AF405" si="143">IF(OR(AO342&gt;0,TRIM(AG342)="▼ recette suivante"),"A","►")</f>
        <v>►</v>
      </c>
      <c r="AG342" s="6234" t="str">
        <f t="shared" ref="AG342:AG405" si="144">IF(TRIM(Q342)="Adresse PC","▼ recette suivante",IF(AO342&gt;0,M342,""))</f>
        <v/>
      </c>
      <c r="AH342" s="6732" t="str">
        <f t="shared" ref="AH342:AH405" si="145">IF(AF342="A",N342,"")</f>
        <v/>
      </c>
      <c r="AI342" s="6234" t="str">
        <f t="shared" ref="AI342:AI405" si="146">IF(AF342="A",O342,"")</f>
        <v/>
      </c>
      <c r="AJ342" s="6732" t="str">
        <f t="shared" ref="AJ342:AJ405" si="147">IF(AF342="A",U342,"")</f>
        <v/>
      </c>
      <c r="AK342" s="6732">
        <f t="shared" ref="AK342:AK405" si="148">IF(AND(L342="A",COUNTIF($BJ$15:$BL$62,TRIM(U342))&gt;0),1,0)</f>
        <v>0</v>
      </c>
      <c r="AL342" s="6230" t="str" cm="1">
        <f t="array" ref="AL342">IF(AF342&lt;&gt;"A","",IFERROR((IFERROR(_xlfn.XLOOKUP(TRIM(SUBSTITUTE(U342,CHAR(160)," ")),$BJ$15:$BJ$62,$BM$15:$BM$62),IFERROR(_xlfn.XLOOKUP(TRIM(SUBSTITUTE(U342,CHAR(160)," ")),$BK$15:$BK$62,$BM$15:$BM$62),_xlfn.XLOOKUP(TRIM(SUBSTITUTE(U342,CHAR(160)," ")),$BL$15:$BL$62,$BM$15:$BM$62))))*T342*IF(ISBLANK(Q342),1,Q342)+IFERROR(_xlfn.XLOOKUP("RECHERCHEX",TRIM(L342:AD342),L342:AD342),0),0))</f>
        <v/>
      </c>
      <c r="AM342" s="6229">
        <f t="shared" ref="AM342:AM405" si="149">IF(AK342,IF(AL342&gt;0,"Kg",0),0)</f>
        <v>0</v>
      </c>
      <c r="AN342" s="6857" t="str">
        <f t="shared" si="140"/>
        <v/>
      </c>
      <c r="AO342" s="392">
        <f t="shared" ref="AO342:AO405" si="150">IF(AK342,N342,0)</f>
        <v>0</v>
      </c>
      <c r="AP342" s="392">
        <f t="shared" ref="AP342:AP405" si="151">IF(AK342,O342,0)</f>
        <v>0</v>
      </c>
      <c r="AQ342" s="6190">
        <f t="shared" ref="AQ342:AQ405" si="152">IF(AO342&gt;0,AS$9,0)</f>
        <v>0</v>
      </c>
      <c r="AR342" s="6858" t="str">
        <f t="shared" ref="AR342:AR405" si="153">IF(TRIM(AG342)="▼ recette suivante", AG342, IF(AQ342&gt;0, IF(AT$9&lt;&gt;"", AT$9&amp;"-ou.or.o ❾ + or - &gt;", ""), ""))</f>
        <v/>
      </c>
      <c r="AS342" s="6217"/>
      <c r="AT342" s="6217"/>
      <c r="AU342" s="6271">
        <f t="shared" ref="AU342:AU405" si="154">IF(TRIM(AM342)="Kg",N(AL342)*N(BH342),0)</f>
        <v>0</v>
      </c>
      <c r="AV342" s="6242">
        <f t="shared" ref="AV342:AV405" si="155">IF(AK342,IF(OR(AU342="",N(AU342)&lt;=0.000000001),"",_xlfn.XLOOKUP(AJ342,$BJ$15:$BJ$62,$BN$15:$BN$62,_xlfn.XLOOKUP(AJ342,$BK$15:$BK$62,$BN$15:$BN$62,_xlfn.XLOOKUP(AJ342,$BL$15:$BL$62,$BN$15:$BN$62,"")))),0)</f>
        <v>0</v>
      </c>
      <c r="AW342" s="6188" cm="1">
        <f t="array" ref="AW342">IF(AK342&lt;&gt;1,0,IF(OR(AU342="",N(AU342)&lt;=0.000000001),"",IF(OR(AO342="",N(AO342)&lt;=0.000000001),0,IF(ISNUMBER(AU342),IFERROR(_xlfn.LET(_xlpm.ai_test,TRIM(AJ342),_xlpm.r,IFERROR(_xlfn.XLOOKUP(_xlpm.ai_test,$BJ$15:$BJ$62,ROW($BJ$15:$BJ$62),0,1),IFERROR(_xlfn.XLOOKUP(_xlpm.ai_test,$BK$15:$BK$62,ROW($BK$15:$BK$62),0,1),_xlfn.XLOOKUP(_xlpm.ai_test,$BL$15:$BL$62,ROW($BL$15:$BL$62),0,1))),_xlpm.p,_xlpm.r-MIN(ROW($BJ$15:$BJ$62))+1,_xlpm.f,INDEX($BM$15:$BM$62,_xlpm.p),_xlpm.u,INDEX($BN$15:$BN$62,_xlpm.p),_xlpm.s,INDEX($BP$15:$BP$62,_xlpm.p),_xlpm.q,N(AU342)/_xlpm.f,IF(_xlpm.q&gt;=_xlpm.s,ROUND(_xlpm.q,1)&amp;" "&amp;_xlpm.ai_test&amp;" = "&amp;ROUND(_xlpm.q*_xlpm.f,1)&amp;" "&amp;_xlpm.u,ROUND(_xlpm.q,1)&amp;" "&amp;_xlpm.ai_test)),""),""))))</f>
        <v>0</v>
      </c>
      <c r="AX342" s="6218"/>
      <c r="AY342" s="6271">
        <f t="shared" ref="AY342:AY405" si="156">IF(TRIM(AG342)="▼ recette suivante","▼next recipe ",IF(AU342="","",IF(ISBLANK(AX342),AU342,ROUND(AU342*(1-MIN(1,MAX(0,IF(AX342&gt;1,AX342/100,AX342)))),3))))</f>
        <v>0</v>
      </c>
      <c r="AZ342" s="6242" t="str">
        <f t="shared" ref="AZ342:AZ405" si="157">IF(AK342,AV342,"")</f>
        <v/>
      </c>
      <c r="BA342" s="6194">
        <f t="shared" si="138"/>
        <v>0</v>
      </c>
      <c r="BB342" s="6192" t="str">
        <f t="shared" ref="BB342:BB405" si="158">IF(AK342,IF(N(BA342)&gt;0.000000001,R342,""),"")</f>
        <v/>
      </c>
      <c r="BC342" s="6219"/>
      <c r="BD342" s="6221">
        <f t="shared" si="139"/>
        <v>0</v>
      </c>
      <c r="BE342" s="6220" t="str">
        <f t="shared" ref="BE342:BE405" si="159">IF(IFERROR(SEARCH("Adresse PC",TRIM(Q342)),0)&gt;0,"▼ receta siguiente",IF(AY342&gt;0,W342,""))</f>
        <v/>
      </c>
      <c r="BF342" s="4" t="s">
        <v>1</v>
      </c>
      <c r="BG342" s="6196">
        <f t="shared" ref="BG342:BG405" si="160">IFERROR(_xlfn.LET(_xlpm.EPS,0.000000001,_xlpm.b,Q342/AO342,IF(ISNUMBER(AS342),_xlpm.b*AS342,IF(OR(ISBLANK(AS342),AS342=""),_xlpm.b*AQ342,IF(AND(BH342=0,ISNUMBER(Q342)),_xlpm.b/AQ342,0)))),0)</f>
        <v>0</v>
      </c>
      <c r="BH342" s="6197">
        <f t="shared" ref="BH342:BH405" si="161">IF(AL342&gt;0,IFERROR(IF(OR(ISBLANK(AS342),AS342=""),AQ342,AS342)/AO342,0),0)</f>
        <v>0</v>
      </c>
      <c r="BI342"/>
      <c r="BJ342" s="1"/>
      <c r="BK342" s="1"/>
      <c r="BL342" s="1"/>
      <c r="BM342" s="1"/>
      <c r="BN342" s="1"/>
      <c r="BO342" s="1"/>
      <c r="BP342" s="1"/>
      <c r="BQ342" s="1"/>
      <c r="BX342" s="20" t="str">
        <f t="shared" si="142"/>
        <v>►</v>
      </c>
      <c r="BY342" s="2"/>
      <c r="BZ342" s="2"/>
      <c r="CA342" s="2"/>
      <c r="CB342" s="2"/>
      <c r="CC342" s="2"/>
      <c r="DC342" s="5">
        <v>1</v>
      </c>
    </row>
    <row r="343" spans="12:107" ht="21" customHeight="1">
      <c r="L343" s="1021" t="s">
        <v>26</v>
      </c>
      <c r="M343" s="6787"/>
      <c r="N343" s="6787"/>
      <c r="O343" s="6787"/>
      <c r="P343" s="6788"/>
      <c r="Q343" s="6789"/>
      <c r="R343" s="6790"/>
      <c r="S343" s="6786"/>
      <c r="T343" s="6791"/>
      <c r="U343" s="6844"/>
      <c r="V343" s="6791"/>
      <c r="W343" s="8487"/>
      <c r="X343" s="6871"/>
      <c r="Y343" s="6793"/>
      <c r="Z343" s="6794"/>
      <c r="AA343" s="6795"/>
      <c r="AB343" s="6796"/>
      <c r="AC343" s="6797"/>
      <c r="AD343" s="6798"/>
      <c r="AE343" s="4" t="s">
        <v>1</v>
      </c>
      <c r="AF343" s="6202" t="str">
        <f t="shared" si="143"/>
        <v>►</v>
      </c>
      <c r="AG343" s="6234" t="str">
        <f t="shared" si="144"/>
        <v/>
      </c>
      <c r="AH343" s="6732" t="str">
        <f t="shared" si="145"/>
        <v/>
      </c>
      <c r="AI343" s="6234" t="str">
        <f t="shared" si="146"/>
        <v/>
      </c>
      <c r="AJ343" s="6732" t="str">
        <f t="shared" si="147"/>
        <v/>
      </c>
      <c r="AK343" s="6732">
        <f t="shared" si="148"/>
        <v>0</v>
      </c>
      <c r="AL343" s="6230" t="str" cm="1">
        <f t="array" ref="AL343">IF(AF343&lt;&gt;"A","",IFERROR((IFERROR(_xlfn.XLOOKUP(TRIM(SUBSTITUTE(U343,CHAR(160)," ")),$BJ$15:$BJ$62,$BM$15:$BM$62),IFERROR(_xlfn.XLOOKUP(TRIM(SUBSTITUTE(U343,CHAR(160)," ")),$BK$15:$BK$62,$BM$15:$BM$62),_xlfn.XLOOKUP(TRIM(SUBSTITUTE(U343,CHAR(160)," ")),$BL$15:$BL$62,$BM$15:$BM$62))))*T343*IF(ISBLANK(Q343),1,Q343)+IFERROR(_xlfn.XLOOKUP("RECHERCHEX",TRIM(L343:AD343),L343:AD343),0),0))</f>
        <v/>
      </c>
      <c r="AM343" s="6229">
        <f t="shared" si="149"/>
        <v>0</v>
      </c>
      <c r="AN343" s="6857" t="str">
        <f t="shared" si="140"/>
        <v/>
      </c>
      <c r="AO343" s="392">
        <f t="shared" si="150"/>
        <v>0</v>
      </c>
      <c r="AP343" s="392">
        <f t="shared" si="151"/>
        <v>0</v>
      </c>
      <c r="AQ343" s="6191">
        <f t="shared" si="152"/>
        <v>0</v>
      </c>
      <c r="AR343" s="6859" t="str">
        <f t="shared" si="153"/>
        <v/>
      </c>
      <c r="AS343" s="6217"/>
      <c r="AT343" s="6217"/>
      <c r="AU343" s="6272">
        <f t="shared" si="154"/>
        <v>0</v>
      </c>
      <c r="AV343" s="6240">
        <f t="shared" si="155"/>
        <v>0</v>
      </c>
      <c r="AW343" s="6189" cm="1">
        <f t="array" ref="AW343">IF(AK343&lt;&gt;1,0,IF(OR(AU343="",N(AU343)&lt;=0.000000001),"",IF(OR(AO343="",N(AO343)&lt;=0.000000001),0,IF(ISNUMBER(AU343),IFERROR(_xlfn.LET(_xlpm.ai_test,TRIM(AJ343),_xlpm.r,IFERROR(_xlfn.XLOOKUP(_xlpm.ai_test,$BJ$15:$BJ$62,ROW($BJ$15:$BJ$62),0,1),IFERROR(_xlfn.XLOOKUP(_xlpm.ai_test,$BK$15:$BK$62,ROW($BK$15:$BK$62),0,1),_xlfn.XLOOKUP(_xlpm.ai_test,$BL$15:$BL$62,ROW($BL$15:$BL$62),0,1))),_xlpm.p,_xlpm.r-MIN(ROW($BJ$15:$BJ$62))+1,_xlpm.f,INDEX($BM$15:$BM$62,_xlpm.p),_xlpm.u,INDEX($BN$15:$BN$62,_xlpm.p),_xlpm.s,INDEX($BP$15:$BP$62,_xlpm.p),_xlpm.q,N(AU343)/_xlpm.f,IF(_xlpm.q&gt;=_xlpm.s,ROUND(_xlpm.q,1)&amp;" "&amp;_xlpm.ai_test&amp;" = "&amp;ROUND(_xlpm.q*_xlpm.f,1)&amp;" "&amp;_xlpm.u,ROUND(_xlpm.q,1)&amp;" "&amp;_xlpm.ai_test)),""),""))))</f>
        <v>0</v>
      </c>
      <c r="AX343" s="6218"/>
      <c r="AY343" s="6272">
        <f t="shared" si="156"/>
        <v>0</v>
      </c>
      <c r="AZ343" s="6240" t="str">
        <f t="shared" si="157"/>
        <v/>
      </c>
      <c r="BA343" s="6195">
        <f t="shared" ref="BA343:BA406" si="162">IF(ISNUMBER(BG343),IF(ABS(BG343)&lt;=0.000000001,0,BG343),0)</f>
        <v>0</v>
      </c>
      <c r="BB343" s="6193" t="str">
        <f t="shared" si="158"/>
        <v/>
      </c>
      <c r="BC343" s="6219"/>
      <c r="BD343" s="6222">
        <f t="shared" si="139"/>
        <v>0</v>
      </c>
      <c r="BE343" s="6220" t="str">
        <f t="shared" si="159"/>
        <v/>
      </c>
      <c r="BF343" s="4" t="s">
        <v>1</v>
      </c>
      <c r="BG343" s="6196">
        <f t="shared" si="160"/>
        <v>0</v>
      </c>
      <c r="BH343" s="6197">
        <f t="shared" si="161"/>
        <v>0</v>
      </c>
      <c r="BI343"/>
      <c r="BJ343" s="1"/>
      <c r="BK343" s="1"/>
      <c r="BL343" s="1"/>
      <c r="BM343" s="1"/>
      <c r="BN343" s="1"/>
      <c r="BO343" s="1"/>
      <c r="BP343" s="1"/>
      <c r="BQ343" s="1"/>
      <c r="BX343" s="20" t="str">
        <f t="shared" si="142"/>
        <v>►</v>
      </c>
      <c r="BY343" s="2"/>
      <c r="BZ343" s="2"/>
      <c r="CA343" s="2"/>
      <c r="CB343" s="2"/>
      <c r="CC343" s="2"/>
      <c r="DC343" s="5">
        <v>1</v>
      </c>
    </row>
    <row r="344" spans="12:107" ht="21" customHeight="1">
      <c r="L344" s="1021" t="s">
        <v>26</v>
      </c>
      <c r="M344" s="6787"/>
      <c r="N344" s="6787"/>
      <c r="O344" s="6787"/>
      <c r="P344" s="6788"/>
      <c r="Q344" s="6789"/>
      <c r="R344" s="6790"/>
      <c r="S344" s="6786"/>
      <c r="T344" s="6791"/>
      <c r="U344" s="6844"/>
      <c r="V344" s="6791"/>
      <c r="W344" s="8487"/>
      <c r="X344" s="6871"/>
      <c r="Y344" s="6793"/>
      <c r="Z344" s="6794"/>
      <c r="AA344" s="6795"/>
      <c r="AB344" s="6796"/>
      <c r="AC344" s="6797"/>
      <c r="AD344" s="6798"/>
      <c r="AE344" s="4" t="s">
        <v>1</v>
      </c>
      <c r="AF344" s="6202" t="str">
        <f t="shared" si="143"/>
        <v>►</v>
      </c>
      <c r="AG344" s="6234" t="str">
        <f t="shared" si="144"/>
        <v/>
      </c>
      <c r="AH344" s="6732" t="str">
        <f t="shared" si="145"/>
        <v/>
      </c>
      <c r="AI344" s="6234" t="str">
        <f t="shared" si="146"/>
        <v/>
      </c>
      <c r="AJ344" s="6732" t="str">
        <f t="shared" si="147"/>
        <v/>
      </c>
      <c r="AK344" s="6732">
        <f t="shared" si="148"/>
        <v>0</v>
      </c>
      <c r="AL344" s="6230" t="str" cm="1">
        <f t="array" ref="AL344">IF(AF344&lt;&gt;"A","",IFERROR((IFERROR(_xlfn.XLOOKUP(TRIM(SUBSTITUTE(U344,CHAR(160)," ")),$BJ$15:$BJ$62,$BM$15:$BM$62),IFERROR(_xlfn.XLOOKUP(TRIM(SUBSTITUTE(U344,CHAR(160)," ")),$BK$15:$BK$62,$BM$15:$BM$62),_xlfn.XLOOKUP(TRIM(SUBSTITUTE(U344,CHAR(160)," ")),$BL$15:$BL$62,$BM$15:$BM$62))))*T344*IF(ISBLANK(Q344),1,Q344)+IFERROR(_xlfn.XLOOKUP("RECHERCHEX",TRIM(L344:AD344),L344:AD344),0),0))</f>
        <v/>
      </c>
      <c r="AM344" s="6229">
        <f t="shared" si="149"/>
        <v>0</v>
      </c>
      <c r="AN344" s="6857" t="str">
        <f t="shared" si="140"/>
        <v/>
      </c>
      <c r="AO344" s="392">
        <f t="shared" si="150"/>
        <v>0</v>
      </c>
      <c r="AP344" s="392">
        <f t="shared" si="151"/>
        <v>0</v>
      </c>
      <c r="AQ344" s="6190">
        <f t="shared" si="152"/>
        <v>0</v>
      </c>
      <c r="AR344" s="6858" t="str">
        <f t="shared" si="153"/>
        <v/>
      </c>
      <c r="AS344" s="6217"/>
      <c r="AT344" s="6217"/>
      <c r="AU344" s="6271">
        <f t="shared" si="154"/>
        <v>0</v>
      </c>
      <c r="AV344" s="6242">
        <f t="shared" si="155"/>
        <v>0</v>
      </c>
      <c r="AW344" s="6188" cm="1">
        <f t="array" ref="AW344">IF(AK344&lt;&gt;1,0,IF(OR(AU344="",N(AU344)&lt;=0.000000001),"",IF(OR(AO344="",N(AO344)&lt;=0.000000001),0,IF(ISNUMBER(AU344),IFERROR(_xlfn.LET(_xlpm.ai_test,TRIM(AJ344),_xlpm.r,IFERROR(_xlfn.XLOOKUP(_xlpm.ai_test,$BJ$15:$BJ$62,ROW($BJ$15:$BJ$62),0,1),IFERROR(_xlfn.XLOOKUP(_xlpm.ai_test,$BK$15:$BK$62,ROW($BK$15:$BK$62),0,1),_xlfn.XLOOKUP(_xlpm.ai_test,$BL$15:$BL$62,ROW($BL$15:$BL$62),0,1))),_xlpm.p,_xlpm.r-MIN(ROW($BJ$15:$BJ$62))+1,_xlpm.f,INDEX($BM$15:$BM$62,_xlpm.p),_xlpm.u,INDEX($BN$15:$BN$62,_xlpm.p),_xlpm.s,INDEX($BP$15:$BP$62,_xlpm.p),_xlpm.q,N(AU344)/_xlpm.f,IF(_xlpm.q&gt;=_xlpm.s,ROUND(_xlpm.q,1)&amp;" "&amp;_xlpm.ai_test&amp;" = "&amp;ROUND(_xlpm.q*_xlpm.f,1)&amp;" "&amp;_xlpm.u,ROUND(_xlpm.q,1)&amp;" "&amp;_xlpm.ai_test)),""),""))))</f>
        <v>0</v>
      </c>
      <c r="AX344" s="6218"/>
      <c r="AY344" s="6271">
        <f t="shared" si="156"/>
        <v>0</v>
      </c>
      <c r="AZ344" s="6242" t="str">
        <f t="shared" si="157"/>
        <v/>
      </c>
      <c r="BA344" s="6194">
        <f t="shared" si="162"/>
        <v>0</v>
      </c>
      <c r="BB344" s="6192" t="str">
        <f t="shared" si="158"/>
        <v/>
      </c>
      <c r="BC344" s="6219"/>
      <c r="BD344" s="6221">
        <f t="shared" si="139"/>
        <v>0</v>
      </c>
      <c r="BE344" s="6220" t="str">
        <f t="shared" si="159"/>
        <v/>
      </c>
      <c r="BF344" s="4" t="s">
        <v>1</v>
      </c>
      <c r="BG344" s="6196">
        <f t="shared" si="160"/>
        <v>0</v>
      </c>
      <c r="BH344" s="6197">
        <f t="shared" si="161"/>
        <v>0</v>
      </c>
      <c r="BI344"/>
      <c r="BJ344" s="1"/>
      <c r="BK344" s="1"/>
      <c r="BL344" s="1"/>
      <c r="BM344" s="1"/>
      <c r="BN344" s="1"/>
      <c r="BO344" s="1"/>
      <c r="BP344" s="1"/>
      <c r="BQ344" s="1"/>
      <c r="BX344" s="20" t="str">
        <f t="shared" si="142"/>
        <v>►</v>
      </c>
      <c r="BY344" s="2"/>
      <c r="BZ344" s="2"/>
      <c r="CA344" s="2"/>
      <c r="CB344" s="2"/>
      <c r="CC344" s="2"/>
      <c r="DC344" s="5">
        <v>1</v>
      </c>
    </row>
    <row r="345" spans="12:107" ht="21" customHeight="1">
      <c r="L345" s="1021" t="s">
        <v>26</v>
      </c>
      <c r="M345" s="6787"/>
      <c r="N345" s="6787"/>
      <c r="O345" s="6787"/>
      <c r="P345" s="6788"/>
      <c r="Q345" s="6789"/>
      <c r="R345" s="6790"/>
      <c r="S345" s="6786"/>
      <c r="T345" s="6791"/>
      <c r="U345" s="6844"/>
      <c r="V345" s="6791"/>
      <c r="W345" s="8487"/>
      <c r="X345" s="6871"/>
      <c r="Y345" s="6793"/>
      <c r="Z345" s="6794"/>
      <c r="AA345" s="6795"/>
      <c r="AB345" s="6796"/>
      <c r="AC345" s="6797"/>
      <c r="AD345" s="6798"/>
      <c r="AE345" s="4" t="s">
        <v>1</v>
      </c>
      <c r="AF345" s="6202" t="str">
        <f t="shared" si="143"/>
        <v>►</v>
      </c>
      <c r="AG345" s="6234" t="str">
        <f t="shared" si="144"/>
        <v/>
      </c>
      <c r="AH345" s="6732" t="str">
        <f t="shared" si="145"/>
        <v/>
      </c>
      <c r="AI345" s="6234" t="str">
        <f t="shared" si="146"/>
        <v/>
      </c>
      <c r="AJ345" s="6732" t="str">
        <f t="shared" si="147"/>
        <v/>
      </c>
      <c r="AK345" s="6732">
        <f t="shared" si="148"/>
        <v>0</v>
      </c>
      <c r="AL345" s="6230" t="str" cm="1">
        <f t="array" ref="AL345">IF(AF345&lt;&gt;"A","",IFERROR((IFERROR(_xlfn.XLOOKUP(TRIM(SUBSTITUTE(U345,CHAR(160)," ")),$BJ$15:$BJ$62,$BM$15:$BM$62),IFERROR(_xlfn.XLOOKUP(TRIM(SUBSTITUTE(U345,CHAR(160)," ")),$BK$15:$BK$62,$BM$15:$BM$62),_xlfn.XLOOKUP(TRIM(SUBSTITUTE(U345,CHAR(160)," ")),$BL$15:$BL$62,$BM$15:$BM$62))))*T345*IF(ISBLANK(Q345),1,Q345)+IFERROR(_xlfn.XLOOKUP("RECHERCHEX",TRIM(L345:AD345),L345:AD345),0),0))</f>
        <v/>
      </c>
      <c r="AM345" s="6229">
        <f t="shared" si="149"/>
        <v>0</v>
      </c>
      <c r="AN345" s="6857" t="str">
        <f t="shared" si="140"/>
        <v/>
      </c>
      <c r="AO345" s="392">
        <f t="shared" si="150"/>
        <v>0</v>
      </c>
      <c r="AP345" s="392">
        <f t="shared" si="151"/>
        <v>0</v>
      </c>
      <c r="AQ345" s="6191">
        <f t="shared" si="152"/>
        <v>0</v>
      </c>
      <c r="AR345" s="6859" t="str">
        <f t="shared" si="153"/>
        <v/>
      </c>
      <c r="AS345" s="6217"/>
      <c r="AT345" s="6217"/>
      <c r="AU345" s="6272">
        <f t="shared" si="154"/>
        <v>0</v>
      </c>
      <c r="AV345" s="6240">
        <f t="shared" si="155"/>
        <v>0</v>
      </c>
      <c r="AW345" s="6189" cm="1">
        <f t="array" ref="AW345">IF(AK345&lt;&gt;1,0,IF(OR(AU345="",N(AU345)&lt;=0.000000001),"",IF(OR(AO345="",N(AO345)&lt;=0.000000001),0,IF(ISNUMBER(AU345),IFERROR(_xlfn.LET(_xlpm.ai_test,TRIM(AJ345),_xlpm.r,IFERROR(_xlfn.XLOOKUP(_xlpm.ai_test,$BJ$15:$BJ$62,ROW($BJ$15:$BJ$62),0,1),IFERROR(_xlfn.XLOOKUP(_xlpm.ai_test,$BK$15:$BK$62,ROW($BK$15:$BK$62),0,1),_xlfn.XLOOKUP(_xlpm.ai_test,$BL$15:$BL$62,ROW($BL$15:$BL$62),0,1))),_xlpm.p,_xlpm.r-MIN(ROW($BJ$15:$BJ$62))+1,_xlpm.f,INDEX($BM$15:$BM$62,_xlpm.p),_xlpm.u,INDEX($BN$15:$BN$62,_xlpm.p),_xlpm.s,INDEX($BP$15:$BP$62,_xlpm.p),_xlpm.q,N(AU345)/_xlpm.f,IF(_xlpm.q&gt;=_xlpm.s,ROUND(_xlpm.q,1)&amp;" "&amp;_xlpm.ai_test&amp;" = "&amp;ROUND(_xlpm.q*_xlpm.f,1)&amp;" "&amp;_xlpm.u,ROUND(_xlpm.q,1)&amp;" "&amp;_xlpm.ai_test)),""),""))))</f>
        <v>0</v>
      </c>
      <c r="AX345" s="6218"/>
      <c r="AY345" s="6272">
        <f t="shared" si="156"/>
        <v>0</v>
      </c>
      <c r="AZ345" s="6240" t="str">
        <f t="shared" si="157"/>
        <v/>
      </c>
      <c r="BA345" s="6195">
        <f t="shared" si="162"/>
        <v>0</v>
      </c>
      <c r="BB345" s="6193" t="str">
        <f t="shared" si="158"/>
        <v/>
      </c>
      <c r="BC345" s="6219"/>
      <c r="BD345" s="6222">
        <f t="shared" si="139"/>
        <v>0</v>
      </c>
      <c r="BE345" s="6220" t="str">
        <f t="shared" si="159"/>
        <v/>
      </c>
      <c r="BF345" s="4" t="s">
        <v>1</v>
      </c>
      <c r="BG345" s="6196">
        <f t="shared" si="160"/>
        <v>0</v>
      </c>
      <c r="BH345" s="6197">
        <f t="shared" si="161"/>
        <v>0</v>
      </c>
      <c r="BI345"/>
      <c r="BJ345" s="1"/>
      <c r="BK345" s="1"/>
      <c r="BL345" s="1"/>
      <c r="BM345" s="1"/>
      <c r="BN345" s="1"/>
      <c r="BO345" s="1"/>
      <c r="BP345" s="1"/>
      <c r="BQ345" s="1"/>
      <c r="BX345" s="20" t="str">
        <f t="shared" si="142"/>
        <v>►</v>
      </c>
      <c r="BY345" s="2"/>
      <c r="BZ345" s="2"/>
      <c r="CA345" s="2"/>
      <c r="CB345" s="2"/>
      <c r="CC345" s="2"/>
      <c r="DC345" s="5">
        <v>1</v>
      </c>
    </row>
    <row r="346" spans="12:107" ht="21" customHeight="1">
      <c r="L346" s="1021" t="s">
        <v>26</v>
      </c>
      <c r="M346" s="6787"/>
      <c r="N346" s="6787"/>
      <c r="O346" s="6787"/>
      <c r="P346" s="6788"/>
      <c r="Q346" s="6789"/>
      <c r="R346" s="6790"/>
      <c r="S346" s="6786"/>
      <c r="T346" s="6791"/>
      <c r="U346" s="6844"/>
      <c r="V346" s="6791"/>
      <c r="W346" s="8487"/>
      <c r="X346" s="6871"/>
      <c r="Y346" s="6793"/>
      <c r="Z346" s="6794"/>
      <c r="AA346" s="6795"/>
      <c r="AB346" s="6796"/>
      <c r="AC346" s="6797"/>
      <c r="AD346" s="6798"/>
      <c r="AE346" s="4" t="s">
        <v>1</v>
      </c>
      <c r="AF346" s="6202" t="str">
        <f t="shared" si="143"/>
        <v>►</v>
      </c>
      <c r="AG346" s="6234" t="str">
        <f t="shared" si="144"/>
        <v/>
      </c>
      <c r="AH346" s="6732" t="str">
        <f t="shared" si="145"/>
        <v/>
      </c>
      <c r="AI346" s="6234" t="str">
        <f t="shared" si="146"/>
        <v/>
      </c>
      <c r="AJ346" s="6732" t="str">
        <f t="shared" si="147"/>
        <v/>
      </c>
      <c r="AK346" s="6732">
        <f t="shared" si="148"/>
        <v>0</v>
      </c>
      <c r="AL346" s="6230" t="str" cm="1">
        <f t="array" ref="AL346">IF(AF346&lt;&gt;"A","",IFERROR((IFERROR(_xlfn.XLOOKUP(TRIM(SUBSTITUTE(U346,CHAR(160)," ")),$BJ$15:$BJ$62,$BM$15:$BM$62),IFERROR(_xlfn.XLOOKUP(TRIM(SUBSTITUTE(U346,CHAR(160)," ")),$BK$15:$BK$62,$BM$15:$BM$62),_xlfn.XLOOKUP(TRIM(SUBSTITUTE(U346,CHAR(160)," ")),$BL$15:$BL$62,$BM$15:$BM$62))))*T346*IF(ISBLANK(Q346),1,Q346)+IFERROR(_xlfn.XLOOKUP("RECHERCHEX",TRIM(L346:AD346),L346:AD346),0),0))</f>
        <v/>
      </c>
      <c r="AM346" s="6229">
        <f t="shared" si="149"/>
        <v>0</v>
      </c>
      <c r="AN346" s="6857" t="str">
        <f t="shared" si="140"/>
        <v/>
      </c>
      <c r="AO346" s="392">
        <f t="shared" si="150"/>
        <v>0</v>
      </c>
      <c r="AP346" s="392">
        <f t="shared" si="151"/>
        <v>0</v>
      </c>
      <c r="AQ346" s="6190">
        <f t="shared" si="152"/>
        <v>0</v>
      </c>
      <c r="AR346" s="6858" t="str">
        <f t="shared" si="153"/>
        <v/>
      </c>
      <c r="AS346" s="6217"/>
      <c r="AT346" s="6217"/>
      <c r="AU346" s="6271">
        <f t="shared" si="154"/>
        <v>0</v>
      </c>
      <c r="AV346" s="6242">
        <f t="shared" si="155"/>
        <v>0</v>
      </c>
      <c r="AW346" s="6188" cm="1">
        <f t="array" ref="AW346">IF(AK346&lt;&gt;1,0,IF(OR(AU346="",N(AU346)&lt;=0.000000001),"",IF(OR(AO346="",N(AO346)&lt;=0.000000001),0,IF(ISNUMBER(AU346),IFERROR(_xlfn.LET(_xlpm.ai_test,TRIM(AJ346),_xlpm.r,IFERROR(_xlfn.XLOOKUP(_xlpm.ai_test,$BJ$15:$BJ$62,ROW($BJ$15:$BJ$62),0,1),IFERROR(_xlfn.XLOOKUP(_xlpm.ai_test,$BK$15:$BK$62,ROW($BK$15:$BK$62),0,1),_xlfn.XLOOKUP(_xlpm.ai_test,$BL$15:$BL$62,ROW($BL$15:$BL$62),0,1))),_xlpm.p,_xlpm.r-MIN(ROW($BJ$15:$BJ$62))+1,_xlpm.f,INDEX($BM$15:$BM$62,_xlpm.p),_xlpm.u,INDEX($BN$15:$BN$62,_xlpm.p),_xlpm.s,INDEX($BP$15:$BP$62,_xlpm.p),_xlpm.q,N(AU346)/_xlpm.f,IF(_xlpm.q&gt;=_xlpm.s,ROUND(_xlpm.q,1)&amp;" "&amp;_xlpm.ai_test&amp;" = "&amp;ROUND(_xlpm.q*_xlpm.f,1)&amp;" "&amp;_xlpm.u,ROUND(_xlpm.q,1)&amp;" "&amp;_xlpm.ai_test)),""),""))))</f>
        <v>0</v>
      </c>
      <c r="AX346" s="6218"/>
      <c r="AY346" s="6271">
        <f t="shared" si="156"/>
        <v>0</v>
      </c>
      <c r="AZ346" s="6242" t="str">
        <f t="shared" si="157"/>
        <v/>
      </c>
      <c r="BA346" s="6194">
        <f t="shared" si="162"/>
        <v>0</v>
      </c>
      <c r="BB346" s="6192" t="str">
        <f t="shared" si="158"/>
        <v/>
      </c>
      <c r="BC346" s="6219"/>
      <c r="BD346" s="6221">
        <f t="shared" si="139"/>
        <v>0</v>
      </c>
      <c r="BE346" s="6220" t="str">
        <f t="shared" si="159"/>
        <v/>
      </c>
      <c r="BF346" s="4" t="s">
        <v>1</v>
      </c>
      <c r="BG346" s="6196">
        <f t="shared" si="160"/>
        <v>0</v>
      </c>
      <c r="BH346" s="6197">
        <f t="shared" si="161"/>
        <v>0</v>
      </c>
      <c r="BI346"/>
      <c r="BJ346" s="1"/>
      <c r="BK346" s="1"/>
      <c r="BL346" s="1"/>
      <c r="BM346" s="1"/>
      <c r="BN346" s="1"/>
      <c r="BO346" s="1"/>
      <c r="BP346" s="1"/>
      <c r="BQ346" s="1"/>
      <c r="BX346" s="20" t="str">
        <f t="shared" si="142"/>
        <v>►</v>
      </c>
      <c r="BY346" s="2"/>
      <c r="BZ346" s="2"/>
      <c r="CA346" s="2"/>
      <c r="CB346" s="2"/>
      <c r="CC346" s="2"/>
      <c r="DC346" s="5">
        <v>1</v>
      </c>
    </row>
    <row r="347" spans="12:107" ht="21" customHeight="1">
      <c r="L347" s="1021" t="s">
        <v>26</v>
      </c>
      <c r="M347" s="6787"/>
      <c r="N347" s="6787"/>
      <c r="O347" s="6787"/>
      <c r="P347" s="6788"/>
      <c r="Q347" s="6789"/>
      <c r="R347" s="6790"/>
      <c r="S347" s="6786"/>
      <c r="T347" s="6791"/>
      <c r="U347" s="6844"/>
      <c r="V347" s="6791"/>
      <c r="W347" s="8487"/>
      <c r="X347" s="6871"/>
      <c r="Y347" s="6793"/>
      <c r="Z347" s="6794"/>
      <c r="AA347" s="6795"/>
      <c r="AB347" s="6796"/>
      <c r="AC347" s="6797"/>
      <c r="AD347" s="6798"/>
      <c r="AE347" s="4" t="s">
        <v>1</v>
      </c>
      <c r="AF347" s="6202" t="str">
        <f t="shared" si="143"/>
        <v>►</v>
      </c>
      <c r="AG347" s="6234" t="str">
        <f t="shared" si="144"/>
        <v/>
      </c>
      <c r="AH347" s="6732" t="str">
        <f t="shared" si="145"/>
        <v/>
      </c>
      <c r="AI347" s="6234" t="str">
        <f t="shared" si="146"/>
        <v/>
      </c>
      <c r="AJ347" s="6732" t="str">
        <f t="shared" si="147"/>
        <v/>
      </c>
      <c r="AK347" s="6732">
        <f t="shared" si="148"/>
        <v>0</v>
      </c>
      <c r="AL347" s="6230" t="str" cm="1">
        <f t="array" ref="AL347">IF(AF347&lt;&gt;"A","",IFERROR((IFERROR(_xlfn.XLOOKUP(TRIM(SUBSTITUTE(U347,CHAR(160)," ")),$BJ$15:$BJ$62,$BM$15:$BM$62),IFERROR(_xlfn.XLOOKUP(TRIM(SUBSTITUTE(U347,CHAR(160)," ")),$BK$15:$BK$62,$BM$15:$BM$62),_xlfn.XLOOKUP(TRIM(SUBSTITUTE(U347,CHAR(160)," ")),$BL$15:$BL$62,$BM$15:$BM$62))))*T347*IF(ISBLANK(Q347),1,Q347)+IFERROR(_xlfn.XLOOKUP("RECHERCHEX",TRIM(L347:AD347),L347:AD347),0),0))</f>
        <v/>
      </c>
      <c r="AM347" s="6229">
        <f t="shared" si="149"/>
        <v>0</v>
      </c>
      <c r="AN347" s="6857" t="str">
        <f t="shared" si="140"/>
        <v/>
      </c>
      <c r="AO347" s="392">
        <f t="shared" si="150"/>
        <v>0</v>
      </c>
      <c r="AP347" s="392">
        <f t="shared" si="151"/>
        <v>0</v>
      </c>
      <c r="AQ347" s="6191">
        <f t="shared" si="152"/>
        <v>0</v>
      </c>
      <c r="AR347" s="6859" t="str">
        <f t="shared" si="153"/>
        <v/>
      </c>
      <c r="AS347" s="6217"/>
      <c r="AT347" s="6217"/>
      <c r="AU347" s="6272">
        <f t="shared" si="154"/>
        <v>0</v>
      </c>
      <c r="AV347" s="6240">
        <f t="shared" si="155"/>
        <v>0</v>
      </c>
      <c r="AW347" s="6189" cm="1">
        <f t="array" ref="AW347">IF(AK347&lt;&gt;1,0,IF(OR(AU347="",N(AU347)&lt;=0.000000001),"",IF(OR(AO347="",N(AO347)&lt;=0.000000001),0,IF(ISNUMBER(AU347),IFERROR(_xlfn.LET(_xlpm.ai_test,TRIM(AJ347),_xlpm.r,IFERROR(_xlfn.XLOOKUP(_xlpm.ai_test,$BJ$15:$BJ$62,ROW($BJ$15:$BJ$62),0,1),IFERROR(_xlfn.XLOOKUP(_xlpm.ai_test,$BK$15:$BK$62,ROW($BK$15:$BK$62),0,1),_xlfn.XLOOKUP(_xlpm.ai_test,$BL$15:$BL$62,ROW($BL$15:$BL$62),0,1))),_xlpm.p,_xlpm.r-MIN(ROW($BJ$15:$BJ$62))+1,_xlpm.f,INDEX($BM$15:$BM$62,_xlpm.p),_xlpm.u,INDEX($BN$15:$BN$62,_xlpm.p),_xlpm.s,INDEX($BP$15:$BP$62,_xlpm.p),_xlpm.q,N(AU347)/_xlpm.f,IF(_xlpm.q&gt;=_xlpm.s,ROUND(_xlpm.q,1)&amp;" "&amp;_xlpm.ai_test&amp;" = "&amp;ROUND(_xlpm.q*_xlpm.f,1)&amp;" "&amp;_xlpm.u,ROUND(_xlpm.q,1)&amp;" "&amp;_xlpm.ai_test)),""),""))))</f>
        <v>0</v>
      </c>
      <c r="AX347" s="6218"/>
      <c r="AY347" s="6272">
        <f t="shared" si="156"/>
        <v>0</v>
      </c>
      <c r="AZ347" s="6240" t="str">
        <f t="shared" si="157"/>
        <v/>
      </c>
      <c r="BA347" s="6195">
        <f t="shared" si="162"/>
        <v>0</v>
      </c>
      <c r="BB347" s="6193" t="str">
        <f t="shared" si="158"/>
        <v/>
      </c>
      <c r="BC347" s="6219"/>
      <c r="BD347" s="6222">
        <f t="shared" ref="BD347:BD410" si="163">IF(OR(AO347=0,ISBLANK(BC347),ISTEXT(BA347)),0,(IF(AU347=0,BA347,AU347)*BC347))</f>
        <v>0</v>
      </c>
      <c r="BE347" s="6220" t="str">
        <f t="shared" si="159"/>
        <v/>
      </c>
      <c r="BF347" s="4" t="s">
        <v>1</v>
      </c>
      <c r="BG347" s="6196">
        <f t="shared" si="160"/>
        <v>0</v>
      </c>
      <c r="BH347" s="6197">
        <f t="shared" si="161"/>
        <v>0</v>
      </c>
      <c r="BI347"/>
      <c r="BJ347" s="1"/>
      <c r="BK347" s="1"/>
      <c r="BL347" s="1"/>
      <c r="BM347" s="1"/>
      <c r="BN347" s="1"/>
      <c r="BO347" s="1"/>
      <c r="BP347" s="1"/>
      <c r="BQ347" s="1"/>
      <c r="BX347" s="20" t="str">
        <f t="shared" si="142"/>
        <v>►</v>
      </c>
      <c r="BY347" s="2"/>
      <c r="BZ347" s="2"/>
      <c r="CA347" s="2"/>
      <c r="CB347" s="2"/>
      <c r="CC347" s="2"/>
      <c r="DC347" s="5">
        <v>1</v>
      </c>
    </row>
    <row r="348" spans="12:107" ht="21" customHeight="1">
      <c r="L348" s="1021" t="s">
        <v>26</v>
      </c>
      <c r="M348" s="6787"/>
      <c r="N348" s="6787"/>
      <c r="O348" s="6787"/>
      <c r="P348" s="6788"/>
      <c r="Q348" s="6789"/>
      <c r="R348" s="6790"/>
      <c r="S348" s="6786"/>
      <c r="T348" s="6791"/>
      <c r="U348" s="6844"/>
      <c r="V348" s="6791"/>
      <c r="W348" s="8487"/>
      <c r="X348" s="6871"/>
      <c r="Y348" s="6793"/>
      <c r="Z348" s="6794"/>
      <c r="AA348" s="6795"/>
      <c r="AB348" s="6796"/>
      <c r="AC348" s="6797"/>
      <c r="AD348" s="6798"/>
      <c r="AE348" s="4" t="s">
        <v>1</v>
      </c>
      <c r="AF348" s="6202" t="str">
        <f t="shared" si="143"/>
        <v>►</v>
      </c>
      <c r="AG348" s="6234" t="str">
        <f t="shared" si="144"/>
        <v/>
      </c>
      <c r="AH348" s="6732" t="str">
        <f t="shared" si="145"/>
        <v/>
      </c>
      <c r="AI348" s="6234" t="str">
        <f t="shared" si="146"/>
        <v/>
      </c>
      <c r="AJ348" s="6732" t="str">
        <f t="shared" si="147"/>
        <v/>
      </c>
      <c r="AK348" s="6732">
        <f t="shared" si="148"/>
        <v>0</v>
      </c>
      <c r="AL348" s="6230" t="str" cm="1">
        <f t="array" ref="AL348">IF(AF348&lt;&gt;"A","",IFERROR((IFERROR(_xlfn.XLOOKUP(TRIM(SUBSTITUTE(U348,CHAR(160)," ")),$BJ$15:$BJ$62,$BM$15:$BM$62),IFERROR(_xlfn.XLOOKUP(TRIM(SUBSTITUTE(U348,CHAR(160)," ")),$BK$15:$BK$62,$BM$15:$BM$62),_xlfn.XLOOKUP(TRIM(SUBSTITUTE(U348,CHAR(160)," ")),$BL$15:$BL$62,$BM$15:$BM$62))))*T348*IF(ISBLANK(Q348),1,Q348)+IFERROR(_xlfn.XLOOKUP("RECHERCHEX",TRIM(L348:AD348),L348:AD348),0),0))</f>
        <v/>
      </c>
      <c r="AM348" s="6229">
        <f t="shared" si="149"/>
        <v>0</v>
      </c>
      <c r="AN348" s="6857" t="str">
        <f t="shared" si="140"/>
        <v/>
      </c>
      <c r="AO348" s="392">
        <f t="shared" si="150"/>
        <v>0</v>
      </c>
      <c r="AP348" s="392">
        <f t="shared" si="151"/>
        <v>0</v>
      </c>
      <c r="AQ348" s="6190">
        <f t="shared" si="152"/>
        <v>0</v>
      </c>
      <c r="AR348" s="6858" t="str">
        <f t="shared" si="153"/>
        <v/>
      </c>
      <c r="AS348" s="6217"/>
      <c r="AT348" s="6217"/>
      <c r="AU348" s="6271">
        <f t="shared" si="154"/>
        <v>0</v>
      </c>
      <c r="AV348" s="6242">
        <f t="shared" si="155"/>
        <v>0</v>
      </c>
      <c r="AW348" s="6188" cm="1">
        <f t="array" ref="AW348">IF(AK348&lt;&gt;1,0,IF(OR(AU348="",N(AU348)&lt;=0.000000001),"",IF(OR(AO348="",N(AO348)&lt;=0.000000001),0,IF(ISNUMBER(AU348),IFERROR(_xlfn.LET(_xlpm.ai_test,TRIM(AJ348),_xlpm.r,IFERROR(_xlfn.XLOOKUP(_xlpm.ai_test,$BJ$15:$BJ$62,ROW($BJ$15:$BJ$62),0,1),IFERROR(_xlfn.XLOOKUP(_xlpm.ai_test,$BK$15:$BK$62,ROW($BK$15:$BK$62),0,1),_xlfn.XLOOKUP(_xlpm.ai_test,$BL$15:$BL$62,ROW($BL$15:$BL$62),0,1))),_xlpm.p,_xlpm.r-MIN(ROW($BJ$15:$BJ$62))+1,_xlpm.f,INDEX($BM$15:$BM$62,_xlpm.p),_xlpm.u,INDEX($BN$15:$BN$62,_xlpm.p),_xlpm.s,INDEX($BP$15:$BP$62,_xlpm.p),_xlpm.q,N(AU348)/_xlpm.f,IF(_xlpm.q&gt;=_xlpm.s,ROUND(_xlpm.q,1)&amp;" "&amp;_xlpm.ai_test&amp;" = "&amp;ROUND(_xlpm.q*_xlpm.f,1)&amp;" "&amp;_xlpm.u,ROUND(_xlpm.q,1)&amp;" "&amp;_xlpm.ai_test)),""),""))))</f>
        <v>0</v>
      </c>
      <c r="AX348" s="6218"/>
      <c r="AY348" s="6271">
        <f t="shared" si="156"/>
        <v>0</v>
      </c>
      <c r="AZ348" s="6242" t="str">
        <f t="shared" si="157"/>
        <v/>
      </c>
      <c r="BA348" s="6194">
        <f t="shared" si="162"/>
        <v>0</v>
      </c>
      <c r="BB348" s="6192" t="str">
        <f t="shared" si="158"/>
        <v/>
      </c>
      <c r="BC348" s="6219"/>
      <c r="BD348" s="6221">
        <f t="shared" si="163"/>
        <v>0</v>
      </c>
      <c r="BE348" s="6220" t="str">
        <f t="shared" si="159"/>
        <v/>
      </c>
      <c r="BF348" s="4" t="s">
        <v>1</v>
      </c>
      <c r="BG348" s="6196">
        <f t="shared" si="160"/>
        <v>0</v>
      </c>
      <c r="BH348" s="6197">
        <f t="shared" si="161"/>
        <v>0</v>
      </c>
      <c r="BI348"/>
      <c r="BJ348" s="1"/>
      <c r="BK348" s="1"/>
      <c r="BL348" s="1"/>
      <c r="BM348" s="1"/>
      <c r="BN348" s="1"/>
      <c r="BO348" s="1"/>
      <c r="BP348" s="1"/>
      <c r="BQ348" s="1"/>
      <c r="BX348" s="20" t="str">
        <f t="shared" si="142"/>
        <v>►</v>
      </c>
      <c r="BY348" s="2"/>
      <c r="BZ348" s="2"/>
      <c r="CA348" s="2"/>
      <c r="CB348" s="2"/>
      <c r="CC348" s="2"/>
      <c r="DC348" s="5">
        <v>1</v>
      </c>
    </row>
    <row r="349" spans="12:107" ht="21" customHeight="1">
      <c r="L349" s="1021" t="s">
        <v>26</v>
      </c>
      <c r="M349" s="6787"/>
      <c r="N349" s="6787"/>
      <c r="O349" s="6787"/>
      <c r="P349" s="6788"/>
      <c r="Q349" s="6789"/>
      <c r="R349" s="6790"/>
      <c r="S349" s="6786"/>
      <c r="T349" s="6791"/>
      <c r="U349" s="6844"/>
      <c r="V349" s="6791"/>
      <c r="W349" s="8487"/>
      <c r="X349" s="6871"/>
      <c r="Y349" s="6793"/>
      <c r="Z349" s="6794"/>
      <c r="AA349" s="6795"/>
      <c r="AB349" s="6796"/>
      <c r="AC349" s="6797"/>
      <c r="AD349" s="6798"/>
      <c r="AE349" s="4" t="s">
        <v>1</v>
      </c>
      <c r="AF349" s="6202" t="str">
        <f t="shared" si="143"/>
        <v>►</v>
      </c>
      <c r="AG349" s="6234" t="str">
        <f t="shared" si="144"/>
        <v/>
      </c>
      <c r="AH349" s="6732" t="str">
        <f t="shared" si="145"/>
        <v/>
      </c>
      <c r="AI349" s="6234" t="str">
        <f t="shared" si="146"/>
        <v/>
      </c>
      <c r="AJ349" s="6732" t="str">
        <f t="shared" si="147"/>
        <v/>
      </c>
      <c r="AK349" s="6732">
        <f t="shared" si="148"/>
        <v>0</v>
      </c>
      <c r="AL349" s="6230" t="str" cm="1">
        <f t="array" ref="AL349">IF(AF349&lt;&gt;"A","",IFERROR((IFERROR(_xlfn.XLOOKUP(TRIM(SUBSTITUTE(U349,CHAR(160)," ")),$BJ$15:$BJ$62,$BM$15:$BM$62),IFERROR(_xlfn.XLOOKUP(TRIM(SUBSTITUTE(U349,CHAR(160)," ")),$BK$15:$BK$62,$BM$15:$BM$62),_xlfn.XLOOKUP(TRIM(SUBSTITUTE(U349,CHAR(160)," ")),$BL$15:$BL$62,$BM$15:$BM$62))))*T349*IF(ISBLANK(Q349),1,Q349)+IFERROR(_xlfn.XLOOKUP("RECHERCHEX",TRIM(L349:AD349),L349:AD349),0),0))</f>
        <v/>
      </c>
      <c r="AM349" s="6229">
        <f t="shared" si="149"/>
        <v>0</v>
      </c>
      <c r="AN349" s="6857" t="str">
        <f t="shared" si="140"/>
        <v/>
      </c>
      <c r="AO349" s="392">
        <f t="shared" si="150"/>
        <v>0</v>
      </c>
      <c r="AP349" s="392">
        <f t="shared" si="151"/>
        <v>0</v>
      </c>
      <c r="AQ349" s="6191">
        <f t="shared" si="152"/>
        <v>0</v>
      </c>
      <c r="AR349" s="6859" t="str">
        <f t="shared" si="153"/>
        <v/>
      </c>
      <c r="AS349" s="6217"/>
      <c r="AT349" s="6217"/>
      <c r="AU349" s="6272">
        <f t="shared" si="154"/>
        <v>0</v>
      </c>
      <c r="AV349" s="6240">
        <f t="shared" si="155"/>
        <v>0</v>
      </c>
      <c r="AW349" s="6189" cm="1">
        <f t="array" ref="AW349">IF(AK349&lt;&gt;1,0,IF(OR(AU349="",N(AU349)&lt;=0.000000001),"",IF(OR(AO349="",N(AO349)&lt;=0.000000001),0,IF(ISNUMBER(AU349),IFERROR(_xlfn.LET(_xlpm.ai_test,TRIM(AJ349),_xlpm.r,IFERROR(_xlfn.XLOOKUP(_xlpm.ai_test,$BJ$15:$BJ$62,ROW($BJ$15:$BJ$62),0,1),IFERROR(_xlfn.XLOOKUP(_xlpm.ai_test,$BK$15:$BK$62,ROW($BK$15:$BK$62),0,1),_xlfn.XLOOKUP(_xlpm.ai_test,$BL$15:$BL$62,ROW($BL$15:$BL$62),0,1))),_xlpm.p,_xlpm.r-MIN(ROW($BJ$15:$BJ$62))+1,_xlpm.f,INDEX($BM$15:$BM$62,_xlpm.p),_xlpm.u,INDEX($BN$15:$BN$62,_xlpm.p),_xlpm.s,INDEX($BP$15:$BP$62,_xlpm.p),_xlpm.q,N(AU349)/_xlpm.f,IF(_xlpm.q&gt;=_xlpm.s,ROUND(_xlpm.q,1)&amp;" "&amp;_xlpm.ai_test&amp;" = "&amp;ROUND(_xlpm.q*_xlpm.f,1)&amp;" "&amp;_xlpm.u,ROUND(_xlpm.q,1)&amp;" "&amp;_xlpm.ai_test)),""),""))))</f>
        <v>0</v>
      </c>
      <c r="AX349" s="6218"/>
      <c r="AY349" s="6272">
        <f t="shared" si="156"/>
        <v>0</v>
      </c>
      <c r="AZ349" s="6240" t="str">
        <f t="shared" si="157"/>
        <v/>
      </c>
      <c r="BA349" s="6195">
        <f t="shared" si="162"/>
        <v>0</v>
      </c>
      <c r="BB349" s="6193" t="str">
        <f t="shared" si="158"/>
        <v/>
      </c>
      <c r="BC349" s="6219"/>
      <c r="BD349" s="6222">
        <f t="shared" si="163"/>
        <v>0</v>
      </c>
      <c r="BE349" s="6220" t="str">
        <f t="shared" si="159"/>
        <v/>
      </c>
      <c r="BF349" s="4" t="s">
        <v>1</v>
      </c>
      <c r="BG349" s="6196">
        <f t="shared" si="160"/>
        <v>0</v>
      </c>
      <c r="BH349" s="6197">
        <f t="shared" si="161"/>
        <v>0</v>
      </c>
      <c r="BI349"/>
      <c r="BJ349" s="1"/>
      <c r="BK349" s="1"/>
      <c r="BL349" s="1"/>
      <c r="BM349" s="1"/>
      <c r="BN349" s="1"/>
      <c r="BO349" s="1"/>
      <c r="BP349" s="1"/>
      <c r="BQ349" s="1"/>
      <c r="BX349" s="20" t="str">
        <f t="shared" si="142"/>
        <v>►</v>
      </c>
      <c r="BY349" s="2"/>
      <c r="BZ349" s="2"/>
      <c r="CA349" s="2"/>
      <c r="CB349" s="2"/>
      <c r="CC349" s="2"/>
      <c r="DC349" s="5">
        <v>1</v>
      </c>
    </row>
    <row r="350" spans="12:107" ht="21" customHeight="1">
      <c r="L350" s="1021" t="s">
        <v>26</v>
      </c>
      <c r="M350" s="6787"/>
      <c r="N350" s="6787"/>
      <c r="O350" s="6787"/>
      <c r="P350" s="6788"/>
      <c r="Q350" s="6789"/>
      <c r="R350" s="6790"/>
      <c r="S350" s="6786"/>
      <c r="T350" s="6791"/>
      <c r="U350" s="6844"/>
      <c r="V350" s="6791"/>
      <c r="W350" s="8487"/>
      <c r="X350" s="6871"/>
      <c r="Y350" s="6793"/>
      <c r="Z350" s="6794"/>
      <c r="AA350" s="6795"/>
      <c r="AB350" s="6796"/>
      <c r="AC350" s="6797"/>
      <c r="AD350" s="6798"/>
      <c r="AE350" s="4" t="s">
        <v>1</v>
      </c>
      <c r="AF350" s="6202" t="str">
        <f t="shared" si="143"/>
        <v>►</v>
      </c>
      <c r="AG350" s="6234" t="str">
        <f t="shared" si="144"/>
        <v/>
      </c>
      <c r="AH350" s="6732" t="str">
        <f t="shared" si="145"/>
        <v/>
      </c>
      <c r="AI350" s="6234" t="str">
        <f t="shared" si="146"/>
        <v/>
      </c>
      <c r="AJ350" s="6732" t="str">
        <f t="shared" si="147"/>
        <v/>
      </c>
      <c r="AK350" s="6732">
        <f t="shared" si="148"/>
        <v>0</v>
      </c>
      <c r="AL350" s="6230" t="str" cm="1">
        <f t="array" ref="AL350">IF(AF350&lt;&gt;"A","",IFERROR((IFERROR(_xlfn.XLOOKUP(TRIM(SUBSTITUTE(U350,CHAR(160)," ")),$BJ$15:$BJ$62,$BM$15:$BM$62),IFERROR(_xlfn.XLOOKUP(TRIM(SUBSTITUTE(U350,CHAR(160)," ")),$BK$15:$BK$62,$BM$15:$BM$62),_xlfn.XLOOKUP(TRIM(SUBSTITUTE(U350,CHAR(160)," ")),$BL$15:$BL$62,$BM$15:$BM$62))))*T350*IF(ISBLANK(Q350),1,Q350)+IFERROR(_xlfn.XLOOKUP("RECHERCHEX",TRIM(L350:AD350),L350:AD350),0),0))</f>
        <v/>
      </c>
      <c r="AM350" s="6229">
        <f t="shared" si="149"/>
        <v>0</v>
      </c>
      <c r="AN350" s="6857" t="str">
        <f t="shared" ref="AN350:AN413" si="164">IF(AF350="A","❾ Author reference &gt;","")</f>
        <v/>
      </c>
      <c r="AO350" s="392">
        <f t="shared" si="150"/>
        <v>0</v>
      </c>
      <c r="AP350" s="392">
        <f t="shared" si="151"/>
        <v>0</v>
      </c>
      <c r="AQ350" s="6190">
        <f t="shared" si="152"/>
        <v>0</v>
      </c>
      <c r="AR350" s="6858" t="str">
        <f t="shared" si="153"/>
        <v/>
      </c>
      <c r="AS350" s="6217"/>
      <c r="AT350" s="6217"/>
      <c r="AU350" s="6271">
        <f t="shared" si="154"/>
        <v>0</v>
      </c>
      <c r="AV350" s="6242">
        <f t="shared" si="155"/>
        <v>0</v>
      </c>
      <c r="AW350" s="6188" cm="1">
        <f t="array" ref="AW350">IF(AK350&lt;&gt;1,0,IF(OR(AU350="",N(AU350)&lt;=0.000000001),"",IF(OR(AO350="",N(AO350)&lt;=0.000000001),0,IF(ISNUMBER(AU350),IFERROR(_xlfn.LET(_xlpm.ai_test,TRIM(AJ350),_xlpm.r,IFERROR(_xlfn.XLOOKUP(_xlpm.ai_test,$BJ$15:$BJ$62,ROW($BJ$15:$BJ$62),0,1),IFERROR(_xlfn.XLOOKUP(_xlpm.ai_test,$BK$15:$BK$62,ROW($BK$15:$BK$62),0,1),_xlfn.XLOOKUP(_xlpm.ai_test,$BL$15:$BL$62,ROW($BL$15:$BL$62),0,1))),_xlpm.p,_xlpm.r-MIN(ROW($BJ$15:$BJ$62))+1,_xlpm.f,INDEX($BM$15:$BM$62,_xlpm.p),_xlpm.u,INDEX($BN$15:$BN$62,_xlpm.p),_xlpm.s,INDEX($BP$15:$BP$62,_xlpm.p),_xlpm.q,N(AU350)/_xlpm.f,IF(_xlpm.q&gt;=_xlpm.s,ROUND(_xlpm.q,1)&amp;" "&amp;_xlpm.ai_test&amp;" = "&amp;ROUND(_xlpm.q*_xlpm.f,1)&amp;" "&amp;_xlpm.u,ROUND(_xlpm.q,1)&amp;" "&amp;_xlpm.ai_test)),""),""))))</f>
        <v>0</v>
      </c>
      <c r="AX350" s="6218"/>
      <c r="AY350" s="6271">
        <f t="shared" si="156"/>
        <v>0</v>
      </c>
      <c r="AZ350" s="6242" t="str">
        <f t="shared" si="157"/>
        <v/>
      </c>
      <c r="BA350" s="6194">
        <f t="shared" si="162"/>
        <v>0</v>
      </c>
      <c r="BB350" s="6192" t="str">
        <f t="shared" si="158"/>
        <v/>
      </c>
      <c r="BC350" s="6219"/>
      <c r="BD350" s="6221">
        <f t="shared" si="163"/>
        <v>0</v>
      </c>
      <c r="BE350" s="6220" t="str">
        <f t="shared" si="159"/>
        <v/>
      </c>
      <c r="BF350" s="4" t="s">
        <v>1</v>
      </c>
      <c r="BG350" s="6196">
        <f t="shared" si="160"/>
        <v>0</v>
      </c>
      <c r="BH350" s="6197">
        <f t="shared" si="161"/>
        <v>0</v>
      </c>
      <c r="BI350"/>
      <c r="BJ350" s="1"/>
      <c r="BK350" s="1"/>
      <c r="BL350" s="1"/>
      <c r="BM350" s="1"/>
      <c r="BN350" s="1"/>
      <c r="BO350" s="1"/>
      <c r="BP350" s="1"/>
      <c r="BQ350" s="1"/>
      <c r="BX350" s="20" t="str">
        <f t="shared" si="142"/>
        <v>►</v>
      </c>
      <c r="BY350" s="2"/>
      <c r="BZ350" s="2"/>
      <c r="CA350" s="2"/>
      <c r="CB350" s="2"/>
      <c r="CC350" s="2"/>
      <c r="DC350" s="5">
        <v>1</v>
      </c>
    </row>
    <row r="351" spans="12:107" ht="21" customHeight="1">
      <c r="L351" s="1021" t="s">
        <v>26</v>
      </c>
      <c r="M351" s="6787"/>
      <c r="N351" s="6787"/>
      <c r="O351" s="6787"/>
      <c r="P351" s="6788"/>
      <c r="Q351" s="6789"/>
      <c r="R351" s="6790"/>
      <c r="S351" s="6786"/>
      <c r="T351" s="6791"/>
      <c r="U351" s="6844"/>
      <c r="V351" s="6791"/>
      <c r="W351" s="8487"/>
      <c r="X351" s="6871"/>
      <c r="Y351" s="6793"/>
      <c r="Z351" s="6794"/>
      <c r="AA351" s="6795"/>
      <c r="AB351" s="6796"/>
      <c r="AC351" s="6797"/>
      <c r="AD351" s="6798"/>
      <c r="AE351" s="4" t="s">
        <v>1</v>
      </c>
      <c r="AF351" s="6202" t="str">
        <f t="shared" si="143"/>
        <v>►</v>
      </c>
      <c r="AG351" s="6234" t="str">
        <f t="shared" si="144"/>
        <v/>
      </c>
      <c r="AH351" s="6732" t="str">
        <f t="shared" si="145"/>
        <v/>
      </c>
      <c r="AI351" s="6234" t="str">
        <f t="shared" si="146"/>
        <v/>
      </c>
      <c r="AJ351" s="6732" t="str">
        <f t="shared" si="147"/>
        <v/>
      </c>
      <c r="AK351" s="6732">
        <f t="shared" si="148"/>
        <v>0</v>
      </c>
      <c r="AL351" s="6230" t="str" cm="1">
        <f t="array" ref="AL351">IF(AF351&lt;&gt;"A","",IFERROR((IFERROR(_xlfn.XLOOKUP(TRIM(SUBSTITUTE(U351,CHAR(160)," ")),$BJ$15:$BJ$62,$BM$15:$BM$62),IFERROR(_xlfn.XLOOKUP(TRIM(SUBSTITUTE(U351,CHAR(160)," ")),$BK$15:$BK$62,$BM$15:$BM$62),_xlfn.XLOOKUP(TRIM(SUBSTITUTE(U351,CHAR(160)," ")),$BL$15:$BL$62,$BM$15:$BM$62))))*T351*IF(ISBLANK(Q351),1,Q351)+IFERROR(_xlfn.XLOOKUP("RECHERCHEX",TRIM(L351:AD351),L351:AD351),0),0))</f>
        <v/>
      </c>
      <c r="AM351" s="6229">
        <f t="shared" si="149"/>
        <v>0</v>
      </c>
      <c r="AN351" s="6857" t="str">
        <f t="shared" si="164"/>
        <v/>
      </c>
      <c r="AO351" s="392">
        <f t="shared" si="150"/>
        <v>0</v>
      </c>
      <c r="AP351" s="392">
        <f t="shared" si="151"/>
        <v>0</v>
      </c>
      <c r="AQ351" s="6191">
        <f t="shared" si="152"/>
        <v>0</v>
      </c>
      <c r="AR351" s="6859" t="str">
        <f t="shared" si="153"/>
        <v/>
      </c>
      <c r="AS351" s="6217"/>
      <c r="AT351" s="6217"/>
      <c r="AU351" s="6272">
        <f t="shared" si="154"/>
        <v>0</v>
      </c>
      <c r="AV351" s="6240">
        <f t="shared" si="155"/>
        <v>0</v>
      </c>
      <c r="AW351" s="6189" cm="1">
        <f t="array" ref="AW351">IF(AK351&lt;&gt;1,0,IF(OR(AU351="",N(AU351)&lt;=0.000000001),"",IF(OR(AO351="",N(AO351)&lt;=0.000000001),0,IF(ISNUMBER(AU351),IFERROR(_xlfn.LET(_xlpm.ai_test,TRIM(AJ351),_xlpm.r,IFERROR(_xlfn.XLOOKUP(_xlpm.ai_test,$BJ$15:$BJ$62,ROW($BJ$15:$BJ$62),0,1),IFERROR(_xlfn.XLOOKUP(_xlpm.ai_test,$BK$15:$BK$62,ROW($BK$15:$BK$62),0,1),_xlfn.XLOOKUP(_xlpm.ai_test,$BL$15:$BL$62,ROW($BL$15:$BL$62),0,1))),_xlpm.p,_xlpm.r-MIN(ROW($BJ$15:$BJ$62))+1,_xlpm.f,INDEX($BM$15:$BM$62,_xlpm.p),_xlpm.u,INDEX($BN$15:$BN$62,_xlpm.p),_xlpm.s,INDEX($BP$15:$BP$62,_xlpm.p),_xlpm.q,N(AU351)/_xlpm.f,IF(_xlpm.q&gt;=_xlpm.s,ROUND(_xlpm.q,1)&amp;" "&amp;_xlpm.ai_test&amp;" = "&amp;ROUND(_xlpm.q*_xlpm.f,1)&amp;" "&amp;_xlpm.u,ROUND(_xlpm.q,1)&amp;" "&amp;_xlpm.ai_test)),""),""))))</f>
        <v>0</v>
      </c>
      <c r="AX351" s="6218"/>
      <c r="AY351" s="6272">
        <f t="shared" si="156"/>
        <v>0</v>
      </c>
      <c r="AZ351" s="6240" t="str">
        <f t="shared" si="157"/>
        <v/>
      </c>
      <c r="BA351" s="6195">
        <f t="shared" si="162"/>
        <v>0</v>
      </c>
      <c r="BB351" s="6193" t="str">
        <f t="shared" si="158"/>
        <v/>
      </c>
      <c r="BC351" s="6219"/>
      <c r="BD351" s="6222">
        <f t="shared" si="163"/>
        <v>0</v>
      </c>
      <c r="BE351" s="6220" t="str">
        <f t="shared" si="159"/>
        <v/>
      </c>
      <c r="BF351" s="4" t="s">
        <v>1</v>
      </c>
      <c r="BG351" s="6196">
        <f t="shared" si="160"/>
        <v>0</v>
      </c>
      <c r="BH351" s="6197">
        <f t="shared" si="161"/>
        <v>0</v>
      </c>
      <c r="BI351"/>
      <c r="BJ351" s="1"/>
      <c r="BK351" s="1"/>
      <c r="BL351" s="1"/>
      <c r="BM351" s="1"/>
      <c r="BN351" s="1"/>
      <c r="BO351" s="1"/>
      <c r="BP351" s="1"/>
      <c r="BQ351" s="1"/>
      <c r="BX351" s="20" t="str">
        <f t="shared" si="142"/>
        <v>►</v>
      </c>
      <c r="BY351" s="2"/>
      <c r="BZ351" s="2"/>
      <c r="CA351" s="2"/>
      <c r="CB351" s="2"/>
      <c r="CC351" s="2"/>
      <c r="DC351" s="5">
        <v>1</v>
      </c>
    </row>
    <row r="352" spans="12:107" ht="21" customHeight="1">
      <c r="L352" s="1021" t="s">
        <v>26</v>
      </c>
      <c r="M352" s="6787"/>
      <c r="N352" s="6787"/>
      <c r="O352" s="6787"/>
      <c r="P352" s="6788"/>
      <c r="Q352" s="6789"/>
      <c r="R352" s="6790"/>
      <c r="S352" s="6786"/>
      <c r="T352" s="6791"/>
      <c r="U352" s="6844"/>
      <c r="V352" s="6791"/>
      <c r="W352" s="8487"/>
      <c r="X352" s="6871"/>
      <c r="Y352" s="6793"/>
      <c r="Z352" s="6794"/>
      <c r="AA352" s="6795"/>
      <c r="AB352" s="6796"/>
      <c r="AC352" s="6797"/>
      <c r="AD352" s="6798"/>
      <c r="AE352" s="4" t="s">
        <v>1</v>
      </c>
      <c r="AF352" s="6202" t="str">
        <f t="shared" si="143"/>
        <v>►</v>
      </c>
      <c r="AG352" s="6234" t="str">
        <f t="shared" si="144"/>
        <v/>
      </c>
      <c r="AH352" s="6732" t="str">
        <f t="shared" si="145"/>
        <v/>
      </c>
      <c r="AI352" s="6234" t="str">
        <f t="shared" si="146"/>
        <v/>
      </c>
      <c r="AJ352" s="6732" t="str">
        <f t="shared" si="147"/>
        <v/>
      </c>
      <c r="AK352" s="6732">
        <f t="shared" si="148"/>
        <v>0</v>
      </c>
      <c r="AL352" s="6230" t="str" cm="1">
        <f t="array" ref="AL352">IF(AF352&lt;&gt;"A","",IFERROR((IFERROR(_xlfn.XLOOKUP(TRIM(SUBSTITUTE(U352,CHAR(160)," ")),$BJ$15:$BJ$62,$BM$15:$BM$62),IFERROR(_xlfn.XLOOKUP(TRIM(SUBSTITUTE(U352,CHAR(160)," ")),$BK$15:$BK$62,$BM$15:$BM$62),_xlfn.XLOOKUP(TRIM(SUBSTITUTE(U352,CHAR(160)," ")),$BL$15:$BL$62,$BM$15:$BM$62))))*T352*IF(ISBLANK(Q352),1,Q352)+IFERROR(_xlfn.XLOOKUP("RECHERCHEX",TRIM(L352:AD352),L352:AD352),0),0))</f>
        <v/>
      </c>
      <c r="AM352" s="6229">
        <f t="shared" si="149"/>
        <v>0</v>
      </c>
      <c r="AN352" s="6857" t="str">
        <f t="shared" si="164"/>
        <v/>
      </c>
      <c r="AO352" s="392">
        <f t="shared" si="150"/>
        <v>0</v>
      </c>
      <c r="AP352" s="392">
        <f t="shared" si="151"/>
        <v>0</v>
      </c>
      <c r="AQ352" s="6190">
        <f t="shared" si="152"/>
        <v>0</v>
      </c>
      <c r="AR352" s="6858" t="str">
        <f t="shared" si="153"/>
        <v/>
      </c>
      <c r="AS352" s="6217"/>
      <c r="AT352" s="6217"/>
      <c r="AU352" s="6271">
        <f t="shared" si="154"/>
        <v>0</v>
      </c>
      <c r="AV352" s="6242">
        <f t="shared" si="155"/>
        <v>0</v>
      </c>
      <c r="AW352" s="6188" cm="1">
        <f t="array" ref="AW352">IF(AK352&lt;&gt;1,0,IF(OR(AU352="",N(AU352)&lt;=0.000000001),"",IF(OR(AO352="",N(AO352)&lt;=0.000000001),0,IF(ISNUMBER(AU352),IFERROR(_xlfn.LET(_xlpm.ai_test,TRIM(AJ352),_xlpm.r,IFERROR(_xlfn.XLOOKUP(_xlpm.ai_test,$BJ$15:$BJ$62,ROW($BJ$15:$BJ$62),0,1),IFERROR(_xlfn.XLOOKUP(_xlpm.ai_test,$BK$15:$BK$62,ROW($BK$15:$BK$62),0,1),_xlfn.XLOOKUP(_xlpm.ai_test,$BL$15:$BL$62,ROW($BL$15:$BL$62),0,1))),_xlpm.p,_xlpm.r-MIN(ROW($BJ$15:$BJ$62))+1,_xlpm.f,INDEX($BM$15:$BM$62,_xlpm.p),_xlpm.u,INDEX($BN$15:$BN$62,_xlpm.p),_xlpm.s,INDEX($BP$15:$BP$62,_xlpm.p),_xlpm.q,N(AU352)/_xlpm.f,IF(_xlpm.q&gt;=_xlpm.s,ROUND(_xlpm.q,1)&amp;" "&amp;_xlpm.ai_test&amp;" = "&amp;ROUND(_xlpm.q*_xlpm.f,1)&amp;" "&amp;_xlpm.u,ROUND(_xlpm.q,1)&amp;" "&amp;_xlpm.ai_test)),""),""))))</f>
        <v>0</v>
      </c>
      <c r="AX352" s="6218"/>
      <c r="AY352" s="6271">
        <f t="shared" si="156"/>
        <v>0</v>
      </c>
      <c r="AZ352" s="6242" t="str">
        <f t="shared" si="157"/>
        <v/>
      </c>
      <c r="BA352" s="6194">
        <f t="shared" si="162"/>
        <v>0</v>
      </c>
      <c r="BB352" s="6192" t="str">
        <f t="shared" si="158"/>
        <v/>
      </c>
      <c r="BC352" s="6219"/>
      <c r="BD352" s="6221">
        <f t="shared" si="163"/>
        <v>0</v>
      </c>
      <c r="BE352" s="6220" t="str">
        <f t="shared" si="159"/>
        <v/>
      </c>
      <c r="BF352" s="4" t="s">
        <v>1</v>
      </c>
      <c r="BG352" s="6196">
        <f t="shared" si="160"/>
        <v>0</v>
      </c>
      <c r="BH352" s="6197">
        <f t="shared" si="161"/>
        <v>0</v>
      </c>
      <c r="BI352"/>
      <c r="BJ352" s="1"/>
      <c r="BK352" s="1"/>
      <c r="BL352" s="1"/>
      <c r="BM352" s="1"/>
      <c r="BN352" s="1"/>
      <c r="BO352" s="1"/>
      <c r="BP352" s="1"/>
      <c r="BQ352" s="1"/>
      <c r="BX352" s="20" t="str">
        <f t="shared" si="142"/>
        <v>►</v>
      </c>
      <c r="BY352" s="2"/>
      <c r="BZ352" s="2"/>
      <c r="CA352" s="2"/>
      <c r="CB352" s="2"/>
      <c r="CC352" s="2"/>
      <c r="DC352" s="5">
        <v>1</v>
      </c>
    </row>
    <row r="353" spans="12:107" ht="21" customHeight="1">
      <c r="L353" s="1021" t="s">
        <v>26</v>
      </c>
      <c r="M353" s="6787"/>
      <c r="N353" s="6787"/>
      <c r="O353" s="6787"/>
      <c r="P353" s="6788"/>
      <c r="Q353" s="6789"/>
      <c r="R353" s="6790"/>
      <c r="S353" s="6786"/>
      <c r="T353" s="6791"/>
      <c r="U353" s="6844"/>
      <c r="V353" s="6791"/>
      <c r="W353" s="8487"/>
      <c r="X353" s="6871"/>
      <c r="Y353" s="6793"/>
      <c r="Z353" s="6794"/>
      <c r="AA353" s="6795"/>
      <c r="AB353" s="6796"/>
      <c r="AC353" s="6797"/>
      <c r="AD353" s="6798"/>
      <c r="AE353" s="4" t="s">
        <v>1</v>
      </c>
      <c r="AF353" s="6202" t="str">
        <f t="shared" si="143"/>
        <v>►</v>
      </c>
      <c r="AG353" s="6234" t="str">
        <f t="shared" si="144"/>
        <v/>
      </c>
      <c r="AH353" s="6732" t="str">
        <f t="shared" si="145"/>
        <v/>
      </c>
      <c r="AI353" s="6234" t="str">
        <f t="shared" si="146"/>
        <v/>
      </c>
      <c r="AJ353" s="6732" t="str">
        <f t="shared" si="147"/>
        <v/>
      </c>
      <c r="AK353" s="6732">
        <f t="shared" si="148"/>
        <v>0</v>
      </c>
      <c r="AL353" s="6230" t="str" cm="1">
        <f t="array" ref="AL353">IF(AF353&lt;&gt;"A","",IFERROR((IFERROR(_xlfn.XLOOKUP(TRIM(SUBSTITUTE(U353,CHAR(160)," ")),$BJ$15:$BJ$62,$BM$15:$BM$62),IFERROR(_xlfn.XLOOKUP(TRIM(SUBSTITUTE(U353,CHAR(160)," ")),$BK$15:$BK$62,$BM$15:$BM$62),_xlfn.XLOOKUP(TRIM(SUBSTITUTE(U353,CHAR(160)," ")),$BL$15:$BL$62,$BM$15:$BM$62))))*T353*IF(ISBLANK(Q353),1,Q353)+IFERROR(_xlfn.XLOOKUP("RECHERCHEX",TRIM(L353:AD353),L353:AD353),0),0))</f>
        <v/>
      </c>
      <c r="AM353" s="6229">
        <f t="shared" si="149"/>
        <v>0</v>
      </c>
      <c r="AN353" s="6857" t="str">
        <f t="shared" si="164"/>
        <v/>
      </c>
      <c r="AO353" s="392">
        <f t="shared" si="150"/>
        <v>0</v>
      </c>
      <c r="AP353" s="392">
        <f t="shared" si="151"/>
        <v>0</v>
      </c>
      <c r="AQ353" s="6191">
        <f t="shared" si="152"/>
        <v>0</v>
      </c>
      <c r="AR353" s="6859" t="str">
        <f t="shared" si="153"/>
        <v/>
      </c>
      <c r="AS353" s="6217"/>
      <c r="AT353" s="6217"/>
      <c r="AU353" s="6272">
        <f t="shared" si="154"/>
        <v>0</v>
      </c>
      <c r="AV353" s="6240">
        <f t="shared" si="155"/>
        <v>0</v>
      </c>
      <c r="AW353" s="6189" cm="1">
        <f t="array" ref="AW353">IF(AK353&lt;&gt;1,0,IF(OR(AU353="",N(AU353)&lt;=0.000000001),"",IF(OR(AO353="",N(AO353)&lt;=0.000000001),0,IF(ISNUMBER(AU353),IFERROR(_xlfn.LET(_xlpm.ai_test,TRIM(AJ353),_xlpm.r,IFERROR(_xlfn.XLOOKUP(_xlpm.ai_test,$BJ$15:$BJ$62,ROW($BJ$15:$BJ$62),0,1),IFERROR(_xlfn.XLOOKUP(_xlpm.ai_test,$BK$15:$BK$62,ROW($BK$15:$BK$62),0,1),_xlfn.XLOOKUP(_xlpm.ai_test,$BL$15:$BL$62,ROW($BL$15:$BL$62),0,1))),_xlpm.p,_xlpm.r-MIN(ROW($BJ$15:$BJ$62))+1,_xlpm.f,INDEX($BM$15:$BM$62,_xlpm.p),_xlpm.u,INDEX($BN$15:$BN$62,_xlpm.p),_xlpm.s,INDEX($BP$15:$BP$62,_xlpm.p),_xlpm.q,N(AU353)/_xlpm.f,IF(_xlpm.q&gt;=_xlpm.s,ROUND(_xlpm.q,1)&amp;" "&amp;_xlpm.ai_test&amp;" = "&amp;ROUND(_xlpm.q*_xlpm.f,1)&amp;" "&amp;_xlpm.u,ROUND(_xlpm.q,1)&amp;" "&amp;_xlpm.ai_test)),""),""))))</f>
        <v>0</v>
      </c>
      <c r="AX353" s="6218"/>
      <c r="AY353" s="6272">
        <f t="shared" si="156"/>
        <v>0</v>
      </c>
      <c r="AZ353" s="6240" t="str">
        <f t="shared" si="157"/>
        <v/>
      </c>
      <c r="BA353" s="6195">
        <f t="shared" si="162"/>
        <v>0</v>
      </c>
      <c r="BB353" s="6193" t="str">
        <f t="shared" si="158"/>
        <v/>
      </c>
      <c r="BC353" s="6219"/>
      <c r="BD353" s="6222">
        <f t="shared" si="163"/>
        <v>0</v>
      </c>
      <c r="BE353" s="6220" t="str">
        <f t="shared" si="159"/>
        <v/>
      </c>
      <c r="BF353" s="4" t="s">
        <v>1</v>
      </c>
      <c r="BG353" s="6196">
        <f t="shared" si="160"/>
        <v>0</v>
      </c>
      <c r="BH353" s="6197">
        <f t="shared" si="161"/>
        <v>0</v>
      </c>
      <c r="BI353"/>
      <c r="BJ353" s="1"/>
      <c r="BK353" s="1"/>
      <c r="BL353" s="1"/>
      <c r="BM353" s="1"/>
      <c r="BN353" s="1"/>
      <c r="BO353" s="1"/>
      <c r="BP353" s="1"/>
      <c r="BQ353" s="1"/>
      <c r="BX353" s="20" t="str">
        <f t="shared" si="142"/>
        <v>►</v>
      </c>
      <c r="BY353" s="2"/>
      <c r="BZ353" s="2"/>
      <c r="CA353" s="2"/>
      <c r="CB353" s="2"/>
      <c r="CC353" s="2"/>
      <c r="DC353" s="5">
        <v>1</v>
      </c>
    </row>
    <row r="354" spans="12:107" ht="21" customHeight="1">
      <c r="L354" s="1021" t="s">
        <v>26</v>
      </c>
      <c r="M354" s="6787"/>
      <c r="N354" s="6787"/>
      <c r="O354" s="6787"/>
      <c r="P354" s="6788"/>
      <c r="Q354" s="6789"/>
      <c r="R354" s="6790"/>
      <c r="S354" s="6786"/>
      <c r="T354" s="6791"/>
      <c r="U354" s="6844"/>
      <c r="V354" s="6791"/>
      <c r="W354" s="8487"/>
      <c r="X354" s="6871"/>
      <c r="Y354" s="6793"/>
      <c r="Z354" s="6794"/>
      <c r="AA354" s="6795"/>
      <c r="AB354" s="6796"/>
      <c r="AC354" s="6797"/>
      <c r="AD354" s="6798"/>
      <c r="AE354" s="4" t="s">
        <v>1</v>
      </c>
      <c r="AF354" s="6202" t="str">
        <f t="shared" si="143"/>
        <v>►</v>
      </c>
      <c r="AG354" s="6234" t="str">
        <f t="shared" si="144"/>
        <v/>
      </c>
      <c r="AH354" s="6732" t="str">
        <f t="shared" si="145"/>
        <v/>
      </c>
      <c r="AI354" s="6234" t="str">
        <f t="shared" si="146"/>
        <v/>
      </c>
      <c r="AJ354" s="6732" t="str">
        <f t="shared" si="147"/>
        <v/>
      </c>
      <c r="AK354" s="6732">
        <f t="shared" si="148"/>
        <v>0</v>
      </c>
      <c r="AL354" s="6230" t="str" cm="1">
        <f t="array" ref="AL354">IF(AF354&lt;&gt;"A","",IFERROR((IFERROR(_xlfn.XLOOKUP(TRIM(SUBSTITUTE(U354,CHAR(160)," ")),$BJ$15:$BJ$62,$BM$15:$BM$62),IFERROR(_xlfn.XLOOKUP(TRIM(SUBSTITUTE(U354,CHAR(160)," ")),$BK$15:$BK$62,$BM$15:$BM$62),_xlfn.XLOOKUP(TRIM(SUBSTITUTE(U354,CHAR(160)," ")),$BL$15:$BL$62,$BM$15:$BM$62))))*T354*IF(ISBLANK(Q354),1,Q354)+IFERROR(_xlfn.XLOOKUP("RECHERCHEX",TRIM(L354:AD354),L354:AD354),0),0))</f>
        <v/>
      </c>
      <c r="AM354" s="6229">
        <f t="shared" si="149"/>
        <v>0</v>
      </c>
      <c r="AN354" s="6857" t="str">
        <f t="shared" si="164"/>
        <v/>
      </c>
      <c r="AO354" s="392">
        <f t="shared" si="150"/>
        <v>0</v>
      </c>
      <c r="AP354" s="392">
        <f t="shared" si="151"/>
        <v>0</v>
      </c>
      <c r="AQ354" s="6190">
        <f t="shared" si="152"/>
        <v>0</v>
      </c>
      <c r="AR354" s="6858" t="str">
        <f t="shared" si="153"/>
        <v/>
      </c>
      <c r="AS354" s="6217"/>
      <c r="AT354" s="6217"/>
      <c r="AU354" s="6271">
        <f t="shared" si="154"/>
        <v>0</v>
      </c>
      <c r="AV354" s="6242">
        <f t="shared" si="155"/>
        <v>0</v>
      </c>
      <c r="AW354" s="6188" cm="1">
        <f t="array" ref="AW354">IF(AK354&lt;&gt;1,0,IF(OR(AU354="",N(AU354)&lt;=0.000000001),"",IF(OR(AO354="",N(AO354)&lt;=0.000000001),0,IF(ISNUMBER(AU354),IFERROR(_xlfn.LET(_xlpm.ai_test,TRIM(AJ354),_xlpm.r,IFERROR(_xlfn.XLOOKUP(_xlpm.ai_test,$BJ$15:$BJ$62,ROW($BJ$15:$BJ$62),0,1),IFERROR(_xlfn.XLOOKUP(_xlpm.ai_test,$BK$15:$BK$62,ROW($BK$15:$BK$62),0,1),_xlfn.XLOOKUP(_xlpm.ai_test,$BL$15:$BL$62,ROW($BL$15:$BL$62),0,1))),_xlpm.p,_xlpm.r-MIN(ROW($BJ$15:$BJ$62))+1,_xlpm.f,INDEX($BM$15:$BM$62,_xlpm.p),_xlpm.u,INDEX($BN$15:$BN$62,_xlpm.p),_xlpm.s,INDEX($BP$15:$BP$62,_xlpm.p),_xlpm.q,N(AU354)/_xlpm.f,IF(_xlpm.q&gt;=_xlpm.s,ROUND(_xlpm.q,1)&amp;" "&amp;_xlpm.ai_test&amp;" = "&amp;ROUND(_xlpm.q*_xlpm.f,1)&amp;" "&amp;_xlpm.u,ROUND(_xlpm.q,1)&amp;" "&amp;_xlpm.ai_test)),""),""))))</f>
        <v>0</v>
      </c>
      <c r="AX354" s="6218"/>
      <c r="AY354" s="6271">
        <f t="shared" si="156"/>
        <v>0</v>
      </c>
      <c r="AZ354" s="6242" t="str">
        <f t="shared" si="157"/>
        <v/>
      </c>
      <c r="BA354" s="6194">
        <f t="shared" si="162"/>
        <v>0</v>
      </c>
      <c r="BB354" s="6192" t="str">
        <f t="shared" si="158"/>
        <v/>
      </c>
      <c r="BC354" s="6219"/>
      <c r="BD354" s="6221">
        <f t="shared" si="163"/>
        <v>0</v>
      </c>
      <c r="BE354" s="6220" t="str">
        <f t="shared" si="159"/>
        <v/>
      </c>
      <c r="BF354" s="4" t="s">
        <v>1</v>
      </c>
      <c r="BG354" s="6196">
        <f t="shared" si="160"/>
        <v>0</v>
      </c>
      <c r="BH354" s="6197">
        <f t="shared" si="161"/>
        <v>0</v>
      </c>
      <c r="BI354"/>
      <c r="BJ354" s="1"/>
      <c r="BK354" s="1"/>
      <c r="BL354" s="1"/>
      <c r="BM354" s="1"/>
      <c r="BN354" s="1"/>
      <c r="BO354" s="1"/>
      <c r="BP354" s="1"/>
      <c r="BQ354" s="1"/>
      <c r="BX354" s="20" t="str">
        <f t="shared" si="142"/>
        <v>►</v>
      </c>
      <c r="BY354" s="2"/>
      <c r="BZ354" s="2"/>
      <c r="CA354" s="2"/>
      <c r="CB354" s="2"/>
      <c r="CC354" s="2"/>
      <c r="DC354" s="5">
        <v>1</v>
      </c>
    </row>
    <row r="355" spans="12:107" ht="21" customHeight="1">
      <c r="L355" s="1021" t="s">
        <v>26</v>
      </c>
      <c r="M355" s="6787"/>
      <c r="N355" s="6787"/>
      <c r="O355" s="6787"/>
      <c r="P355" s="6788"/>
      <c r="Q355" s="6789"/>
      <c r="R355" s="6790"/>
      <c r="S355" s="6786"/>
      <c r="T355" s="6791"/>
      <c r="U355" s="6844"/>
      <c r="V355" s="6791"/>
      <c r="W355" s="8487"/>
      <c r="X355" s="6871"/>
      <c r="Y355" s="6793"/>
      <c r="Z355" s="6794"/>
      <c r="AA355" s="6795"/>
      <c r="AB355" s="6796"/>
      <c r="AC355" s="6797"/>
      <c r="AD355" s="6798"/>
      <c r="AE355" s="4" t="s">
        <v>1</v>
      </c>
      <c r="AF355" s="6202" t="str">
        <f t="shared" si="143"/>
        <v>►</v>
      </c>
      <c r="AG355" s="6234" t="str">
        <f t="shared" si="144"/>
        <v/>
      </c>
      <c r="AH355" s="6732" t="str">
        <f t="shared" si="145"/>
        <v/>
      </c>
      <c r="AI355" s="6234" t="str">
        <f t="shared" si="146"/>
        <v/>
      </c>
      <c r="AJ355" s="6732" t="str">
        <f t="shared" si="147"/>
        <v/>
      </c>
      <c r="AK355" s="6732">
        <f t="shared" si="148"/>
        <v>0</v>
      </c>
      <c r="AL355" s="6230" t="str" cm="1">
        <f t="array" ref="AL355">IF(AF355&lt;&gt;"A","",IFERROR((IFERROR(_xlfn.XLOOKUP(TRIM(SUBSTITUTE(U355,CHAR(160)," ")),$BJ$15:$BJ$62,$BM$15:$BM$62),IFERROR(_xlfn.XLOOKUP(TRIM(SUBSTITUTE(U355,CHAR(160)," ")),$BK$15:$BK$62,$BM$15:$BM$62),_xlfn.XLOOKUP(TRIM(SUBSTITUTE(U355,CHAR(160)," ")),$BL$15:$BL$62,$BM$15:$BM$62))))*T355*IF(ISBLANK(Q355),1,Q355)+IFERROR(_xlfn.XLOOKUP("RECHERCHEX",TRIM(L355:AD355),L355:AD355),0),0))</f>
        <v/>
      </c>
      <c r="AM355" s="6229">
        <f t="shared" si="149"/>
        <v>0</v>
      </c>
      <c r="AN355" s="6857" t="str">
        <f t="shared" si="164"/>
        <v/>
      </c>
      <c r="AO355" s="392">
        <f t="shared" si="150"/>
        <v>0</v>
      </c>
      <c r="AP355" s="392">
        <f t="shared" si="151"/>
        <v>0</v>
      </c>
      <c r="AQ355" s="6191">
        <f t="shared" si="152"/>
        <v>0</v>
      </c>
      <c r="AR355" s="6859" t="str">
        <f t="shared" si="153"/>
        <v/>
      </c>
      <c r="AS355" s="6217"/>
      <c r="AT355" s="6217"/>
      <c r="AU355" s="6272">
        <f t="shared" si="154"/>
        <v>0</v>
      </c>
      <c r="AV355" s="6240">
        <f t="shared" si="155"/>
        <v>0</v>
      </c>
      <c r="AW355" s="6189" cm="1">
        <f t="array" ref="AW355">IF(AK355&lt;&gt;1,0,IF(OR(AU355="",N(AU355)&lt;=0.000000001),"",IF(OR(AO355="",N(AO355)&lt;=0.000000001),0,IF(ISNUMBER(AU355),IFERROR(_xlfn.LET(_xlpm.ai_test,TRIM(AJ355),_xlpm.r,IFERROR(_xlfn.XLOOKUP(_xlpm.ai_test,$BJ$15:$BJ$62,ROW($BJ$15:$BJ$62),0,1),IFERROR(_xlfn.XLOOKUP(_xlpm.ai_test,$BK$15:$BK$62,ROW($BK$15:$BK$62),0,1),_xlfn.XLOOKUP(_xlpm.ai_test,$BL$15:$BL$62,ROW($BL$15:$BL$62),0,1))),_xlpm.p,_xlpm.r-MIN(ROW($BJ$15:$BJ$62))+1,_xlpm.f,INDEX($BM$15:$BM$62,_xlpm.p),_xlpm.u,INDEX($BN$15:$BN$62,_xlpm.p),_xlpm.s,INDEX($BP$15:$BP$62,_xlpm.p),_xlpm.q,N(AU355)/_xlpm.f,IF(_xlpm.q&gt;=_xlpm.s,ROUND(_xlpm.q,1)&amp;" "&amp;_xlpm.ai_test&amp;" = "&amp;ROUND(_xlpm.q*_xlpm.f,1)&amp;" "&amp;_xlpm.u,ROUND(_xlpm.q,1)&amp;" "&amp;_xlpm.ai_test)),""),""))))</f>
        <v>0</v>
      </c>
      <c r="AX355" s="6218"/>
      <c r="AY355" s="6272">
        <f t="shared" si="156"/>
        <v>0</v>
      </c>
      <c r="AZ355" s="6240" t="str">
        <f t="shared" si="157"/>
        <v/>
      </c>
      <c r="BA355" s="6195">
        <f t="shared" si="162"/>
        <v>0</v>
      </c>
      <c r="BB355" s="6193" t="str">
        <f t="shared" si="158"/>
        <v/>
      </c>
      <c r="BC355" s="6219"/>
      <c r="BD355" s="6222">
        <f t="shared" si="163"/>
        <v>0</v>
      </c>
      <c r="BE355" s="6220" t="str">
        <f t="shared" si="159"/>
        <v/>
      </c>
      <c r="BF355" s="4" t="s">
        <v>1</v>
      </c>
      <c r="BG355" s="6196">
        <f t="shared" si="160"/>
        <v>0</v>
      </c>
      <c r="BH355" s="6197">
        <f t="shared" si="161"/>
        <v>0</v>
      </c>
      <c r="BI355"/>
      <c r="BJ355" s="1"/>
      <c r="BK355" s="1"/>
      <c r="BL355" s="1"/>
      <c r="BM355" s="1"/>
      <c r="BN355" s="1"/>
      <c r="BO355" s="1"/>
      <c r="BP355" s="1"/>
      <c r="BQ355" s="1"/>
      <c r="BX355" s="20" t="str">
        <f t="shared" si="142"/>
        <v>►</v>
      </c>
      <c r="BY355" s="2"/>
      <c r="BZ355" s="2"/>
      <c r="CA355" s="2"/>
      <c r="CB355" s="2"/>
      <c r="CC355" s="2"/>
      <c r="DC355" s="5">
        <v>1</v>
      </c>
    </row>
    <row r="356" spans="12:107" ht="21" customHeight="1">
      <c r="L356" s="1021" t="s">
        <v>26</v>
      </c>
      <c r="M356" s="6787"/>
      <c r="N356" s="6787"/>
      <c r="O356" s="6787"/>
      <c r="P356" s="6788"/>
      <c r="Q356" s="6789"/>
      <c r="R356" s="6790"/>
      <c r="S356" s="6786"/>
      <c r="T356" s="6791"/>
      <c r="U356" s="6844"/>
      <c r="V356" s="6791"/>
      <c r="W356" s="8487"/>
      <c r="X356" s="6871"/>
      <c r="Y356" s="6793"/>
      <c r="Z356" s="6794"/>
      <c r="AA356" s="6795"/>
      <c r="AB356" s="6796"/>
      <c r="AC356" s="6797"/>
      <c r="AD356" s="6798"/>
      <c r="AE356" s="4" t="s">
        <v>1</v>
      </c>
      <c r="AF356" s="6202" t="str">
        <f t="shared" si="143"/>
        <v>►</v>
      </c>
      <c r="AG356" s="6234" t="str">
        <f t="shared" si="144"/>
        <v/>
      </c>
      <c r="AH356" s="6732" t="str">
        <f t="shared" si="145"/>
        <v/>
      </c>
      <c r="AI356" s="6234" t="str">
        <f t="shared" si="146"/>
        <v/>
      </c>
      <c r="AJ356" s="6732" t="str">
        <f t="shared" si="147"/>
        <v/>
      </c>
      <c r="AK356" s="6732">
        <f t="shared" si="148"/>
        <v>0</v>
      </c>
      <c r="AL356" s="6230" t="str" cm="1">
        <f t="array" ref="AL356">IF(AF356&lt;&gt;"A","",IFERROR((IFERROR(_xlfn.XLOOKUP(TRIM(SUBSTITUTE(U356,CHAR(160)," ")),$BJ$15:$BJ$62,$BM$15:$BM$62),IFERROR(_xlfn.XLOOKUP(TRIM(SUBSTITUTE(U356,CHAR(160)," ")),$BK$15:$BK$62,$BM$15:$BM$62),_xlfn.XLOOKUP(TRIM(SUBSTITUTE(U356,CHAR(160)," ")),$BL$15:$BL$62,$BM$15:$BM$62))))*T356*IF(ISBLANK(Q356),1,Q356)+IFERROR(_xlfn.XLOOKUP("RECHERCHEX",TRIM(L356:AD356),L356:AD356),0),0))</f>
        <v/>
      </c>
      <c r="AM356" s="6229">
        <f t="shared" si="149"/>
        <v>0</v>
      </c>
      <c r="AN356" s="6857" t="str">
        <f t="shared" si="164"/>
        <v/>
      </c>
      <c r="AO356" s="392">
        <f t="shared" si="150"/>
        <v>0</v>
      </c>
      <c r="AP356" s="392">
        <f t="shared" si="151"/>
        <v>0</v>
      </c>
      <c r="AQ356" s="6190">
        <f t="shared" si="152"/>
        <v>0</v>
      </c>
      <c r="AR356" s="6858" t="str">
        <f t="shared" si="153"/>
        <v/>
      </c>
      <c r="AS356" s="6217"/>
      <c r="AT356" s="6217"/>
      <c r="AU356" s="6271">
        <f t="shared" si="154"/>
        <v>0</v>
      </c>
      <c r="AV356" s="6242">
        <f t="shared" si="155"/>
        <v>0</v>
      </c>
      <c r="AW356" s="6188" cm="1">
        <f t="array" ref="AW356">IF(AK356&lt;&gt;1,0,IF(OR(AU356="",N(AU356)&lt;=0.000000001),"",IF(OR(AO356="",N(AO356)&lt;=0.000000001),0,IF(ISNUMBER(AU356),IFERROR(_xlfn.LET(_xlpm.ai_test,TRIM(AJ356),_xlpm.r,IFERROR(_xlfn.XLOOKUP(_xlpm.ai_test,$BJ$15:$BJ$62,ROW($BJ$15:$BJ$62),0,1),IFERROR(_xlfn.XLOOKUP(_xlpm.ai_test,$BK$15:$BK$62,ROW($BK$15:$BK$62),0,1),_xlfn.XLOOKUP(_xlpm.ai_test,$BL$15:$BL$62,ROW($BL$15:$BL$62),0,1))),_xlpm.p,_xlpm.r-MIN(ROW($BJ$15:$BJ$62))+1,_xlpm.f,INDEX($BM$15:$BM$62,_xlpm.p),_xlpm.u,INDEX($BN$15:$BN$62,_xlpm.p),_xlpm.s,INDEX($BP$15:$BP$62,_xlpm.p),_xlpm.q,N(AU356)/_xlpm.f,IF(_xlpm.q&gt;=_xlpm.s,ROUND(_xlpm.q,1)&amp;" "&amp;_xlpm.ai_test&amp;" = "&amp;ROUND(_xlpm.q*_xlpm.f,1)&amp;" "&amp;_xlpm.u,ROUND(_xlpm.q,1)&amp;" "&amp;_xlpm.ai_test)),""),""))))</f>
        <v>0</v>
      </c>
      <c r="AX356" s="6218"/>
      <c r="AY356" s="6271">
        <f t="shared" si="156"/>
        <v>0</v>
      </c>
      <c r="AZ356" s="6242" t="str">
        <f t="shared" si="157"/>
        <v/>
      </c>
      <c r="BA356" s="6194">
        <f t="shared" si="162"/>
        <v>0</v>
      </c>
      <c r="BB356" s="6192" t="str">
        <f t="shared" si="158"/>
        <v/>
      </c>
      <c r="BC356" s="6219"/>
      <c r="BD356" s="6221">
        <f t="shared" si="163"/>
        <v>0</v>
      </c>
      <c r="BE356" s="6220" t="str">
        <f t="shared" si="159"/>
        <v/>
      </c>
      <c r="BF356" s="4" t="s">
        <v>1</v>
      </c>
      <c r="BG356" s="6196">
        <f t="shared" si="160"/>
        <v>0</v>
      </c>
      <c r="BH356" s="6197">
        <f t="shared" si="161"/>
        <v>0</v>
      </c>
      <c r="BI356"/>
      <c r="BJ356" s="1"/>
      <c r="BK356" s="1"/>
      <c r="BL356" s="1"/>
      <c r="BM356" s="1"/>
      <c r="BN356" s="1"/>
      <c r="BO356" s="1"/>
      <c r="BP356" s="1"/>
      <c r="BQ356" s="1"/>
      <c r="BX356" s="20" t="str">
        <f t="shared" si="142"/>
        <v>►</v>
      </c>
      <c r="BY356" s="2"/>
      <c r="BZ356" s="2"/>
      <c r="CA356" s="2"/>
      <c r="CB356" s="2"/>
      <c r="CC356" s="2"/>
      <c r="DC356" s="5">
        <v>1</v>
      </c>
    </row>
    <row r="357" spans="12:107" ht="21" customHeight="1">
      <c r="L357" s="1021" t="s">
        <v>26</v>
      </c>
      <c r="M357" s="6787"/>
      <c r="N357" s="6787"/>
      <c r="O357" s="6787"/>
      <c r="P357" s="6788"/>
      <c r="Q357" s="6789"/>
      <c r="R357" s="6790"/>
      <c r="S357" s="6786"/>
      <c r="T357" s="6791"/>
      <c r="U357" s="6844"/>
      <c r="V357" s="6791"/>
      <c r="W357" s="8487"/>
      <c r="X357" s="6871"/>
      <c r="Y357" s="6793"/>
      <c r="Z357" s="6794"/>
      <c r="AA357" s="6795"/>
      <c r="AB357" s="6796"/>
      <c r="AC357" s="6797"/>
      <c r="AD357" s="6798"/>
      <c r="AE357" s="4" t="s">
        <v>1</v>
      </c>
      <c r="AF357" s="6202" t="str">
        <f t="shared" si="143"/>
        <v>►</v>
      </c>
      <c r="AG357" s="6234" t="str">
        <f t="shared" si="144"/>
        <v/>
      </c>
      <c r="AH357" s="6732" t="str">
        <f t="shared" si="145"/>
        <v/>
      </c>
      <c r="AI357" s="6234" t="str">
        <f t="shared" si="146"/>
        <v/>
      </c>
      <c r="AJ357" s="6732" t="str">
        <f t="shared" si="147"/>
        <v/>
      </c>
      <c r="AK357" s="6732">
        <f t="shared" si="148"/>
        <v>0</v>
      </c>
      <c r="AL357" s="6230" t="str" cm="1">
        <f t="array" ref="AL357">IF(AF357&lt;&gt;"A","",IFERROR((IFERROR(_xlfn.XLOOKUP(TRIM(SUBSTITUTE(U357,CHAR(160)," ")),$BJ$15:$BJ$62,$BM$15:$BM$62),IFERROR(_xlfn.XLOOKUP(TRIM(SUBSTITUTE(U357,CHAR(160)," ")),$BK$15:$BK$62,$BM$15:$BM$62),_xlfn.XLOOKUP(TRIM(SUBSTITUTE(U357,CHAR(160)," ")),$BL$15:$BL$62,$BM$15:$BM$62))))*T357*IF(ISBLANK(Q357),1,Q357)+IFERROR(_xlfn.XLOOKUP("RECHERCHEX",TRIM(L357:AD357),L357:AD357),0),0))</f>
        <v/>
      </c>
      <c r="AM357" s="6229">
        <f t="shared" si="149"/>
        <v>0</v>
      </c>
      <c r="AN357" s="6857" t="str">
        <f t="shared" si="164"/>
        <v/>
      </c>
      <c r="AO357" s="392">
        <f t="shared" si="150"/>
        <v>0</v>
      </c>
      <c r="AP357" s="392">
        <f t="shared" si="151"/>
        <v>0</v>
      </c>
      <c r="AQ357" s="6191">
        <f t="shared" si="152"/>
        <v>0</v>
      </c>
      <c r="AR357" s="6859" t="str">
        <f t="shared" si="153"/>
        <v/>
      </c>
      <c r="AS357" s="6217"/>
      <c r="AT357" s="6217"/>
      <c r="AU357" s="6272">
        <f t="shared" si="154"/>
        <v>0</v>
      </c>
      <c r="AV357" s="6240">
        <f t="shared" si="155"/>
        <v>0</v>
      </c>
      <c r="AW357" s="6189" cm="1">
        <f t="array" ref="AW357">IF(AK357&lt;&gt;1,0,IF(OR(AU357="",N(AU357)&lt;=0.000000001),"",IF(OR(AO357="",N(AO357)&lt;=0.000000001),0,IF(ISNUMBER(AU357),IFERROR(_xlfn.LET(_xlpm.ai_test,TRIM(AJ357),_xlpm.r,IFERROR(_xlfn.XLOOKUP(_xlpm.ai_test,$BJ$15:$BJ$62,ROW($BJ$15:$BJ$62),0,1),IFERROR(_xlfn.XLOOKUP(_xlpm.ai_test,$BK$15:$BK$62,ROW($BK$15:$BK$62),0,1),_xlfn.XLOOKUP(_xlpm.ai_test,$BL$15:$BL$62,ROW($BL$15:$BL$62),0,1))),_xlpm.p,_xlpm.r-MIN(ROW($BJ$15:$BJ$62))+1,_xlpm.f,INDEX($BM$15:$BM$62,_xlpm.p),_xlpm.u,INDEX($BN$15:$BN$62,_xlpm.p),_xlpm.s,INDEX($BP$15:$BP$62,_xlpm.p),_xlpm.q,N(AU357)/_xlpm.f,IF(_xlpm.q&gt;=_xlpm.s,ROUND(_xlpm.q,1)&amp;" "&amp;_xlpm.ai_test&amp;" = "&amp;ROUND(_xlpm.q*_xlpm.f,1)&amp;" "&amp;_xlpm.u,ROUND(_xlpm.q,1)&amp;" "&amp;_xlpm.ai_test)),""),""))))</f>
        <v>0</v>
      </c>
      <c r="AX357" s="6218"/>
      <c r="AY357" s="6272">
        <f t="shared" si="156"/>
        <v>0</v>
      </c>
      <c r="AZ357" s="6240" t="str">
        <f t="shared" si="157"/>
        <v/>
      </c>
      <c r="BA357" s="6195">
        <f t="shared" si="162"/>
        <v>0</v>
      </c>
      <c r="BB357" s="6193" t="str">
        <f t="shared" si="158"/>
        <v/>
      </c>
      <c r="BC357" s="6219"/>
      <c r="BD357" s="6222">
        <f t="shared" si="163"/>
        <v>0</v>
      </c>
      <c r="BE357" s="6220" t="str">
        <f t="shared" si="159"/>
        <v/>
      </c>
      <c r="BF357" s="4" t="s">
        <v>1</v>
      </c>
      <c r="BG357" s="6196">
        <f t="shared" si="160"/>
        <v>0</v>
      </c>
      <c r="BH357" s="6197">
        <f t="shared" si="161"/>
        <v>0</v>
      </c>
      <c r="BI357"/>
      <c r="BJ357" s="1"/>
      <c r="BK357" s="1"/>
      <c r="BL357" s="1"/>
      <c r="BM357" s="1"/>
      <c r="BN357" s="1"/>
      <c r="BO357" s="1"/>
      <c r="BP357" s="1"/>
      <c r="BQ357" s="1"/>
      <c r="BX357" s="20" t="str">
        <f t="shared" si="142"/>
        <v>►</v>
      </c>
      <c r="BY357" s="2"/>
      <c r="BZ357" s="2"/>
      <c r="CA357" s="2"/>
      <c r="CB357" s="2"/>
      <c r="CC357" s="2"/>
      <c r="DC357" s="5">
        <v>1</v>
      </c>
    </row>
    <row r="358" spans="12:107" ht="21" customHeight="1">
      <c r="L358" s="1021" t="s">
        <v>26</v>
      </c>
      <c r="M358" s="6787"/>
      <c r="N358" s="6787"/>
      <c r="O358" s="6787"/>
      <c r="P358" s="6788"/>
      <c r="Q358" s="6789"/>
      <c r="R358" s="6790"/>
      <c r="S358" s="6786"/>
      <c r="T358" s="6791"/>
      <c r="U358" s="6844"/>
      <c r="V358" s="6791"/>
      <c r="W358" s="8487"/>
      <c r="X358" s="6871"/>
      <c r="Y358" s="6793"/>
      <c r="Z358" s="6794"/>
      <c r="AA358" s="6795"/>
      <c r="AB358" s="6796"/>
      <c r="AC358" s="6797"/>
      <c r="AD358" s="6798"/>
      <c r="AE358" s="4" t="s">
        <v>1</v>
      </c>
      <c r="AF358" s="6202" t="str">
        <f t="shared" si="143"/>
        <v>►</v>
      </c>
      <c r="AG358" s="6234" t="str">
        <f t="shared" si="144"/>
        <v/>
      </c>
      <c r="AH358" s="6732" t="str">
        <f t="shared" si="145"/>
        <v/>
      </c>
      <c r="AI358" s="6234" t="str">
        <f t="shared" si="146"/>
        <v/>
      </c>
      <c r="AJ358" s="6732" t="str">
        <f t="shared" si="147"/>
        <v/>
      </c>
      <c r="AK358" s="6732">
        <f t="shared" si="148"/>
        <v>0</v>
      </c>
      <c r="AL358" s="6230" t="str" cm="1">
        <f t="array" ref="AL358">IF(AF358&lt;&gt;"A","",IFERROR((IFERROR(_xlfn.XLOOKUP(TRIM(SUBSTITUTE(U358,CHAR(160)," ")),$BJ$15:$BJ$62,$BM$15:$BM$62),IFERROR(_xlfn.XLOOKUP(TRIM(SUBSTITUTE(U358,CHAR(160)," ")),$BK$15:$BK$62,$BM$15:$BM$62),_xlfn.XLOOKUP(TRIM(SUBSTITUTE(U358,CHAR(160)," ")),$BL$15:$BL$62,$BM$15:$BM$62))))*T358*IF(ISBLANK(Q358),1,Q358)+IFERROR(_xlfn.XLOOKUP("RECHERCHEX",TRIM(L358:AD358),L358:AD358),0),0))</f>
        <v/>
      </c>
      <c r="AM358" s="6229">
        <f t="shared" si="149"/>
        <v>0</v>
      </c>
      <c r="AN358" s="6857" t="str">
        <f t="shared" si="164"/>
        <v/>
      </c>
      <c r="AO358" s="392">
        <f t="shared" si="150"/>
        <v>0</v>
      </c>
      <c r="AP358" s="392">
        <f t="shared" si="151"/>
        <v>0</v>
      </c>
      <c r="AQ358" s="6190">
        <f t="shared" si="152"/>
        <v>0</v>
      </c>
      <c r="AR358" s="6858" t="str">
        <f t="shared" si="153"/>
        <v/>
      </c>
      <c r="AS358" s="6217"/>
      <c r="AT358" s="6217"/>
      <c r="AU358" s="6271">
        <f t="shared" si="154"/>
        <v>0</v>
      </c>
      <c r="AV358" s="6242">
        <f t="shared" si="155"/>
        <v>0</v>
      </c>
      <c r="AW358" s="6188" cm="1">
        <f t="array" ref="AW358">IF(AK358&lt;&gt;1,0,IF(OR(AU358="",N(AU358)&lt;=0.000000001),"",IF(OR(AO358="",N(AO358)&lt;=0.000000001),0,IF(ISNUMBER(AU358),IFERROR(_xlfn.LET(_xlpm.ai_test,TRIM(AJ358),_xlpm.r,IFERROR(_xlfn.XLOOKUP(_xlpm.ai_test,$BJ$15:$BJ$62,ROW($BJ$15:$BJ$62),0,1),IFERROR(_xlfn.XLOOKUP(_xlpm.ai_test,$BK$15:$BK$62,ROW($BK$15:$BK$62),0,1),_xlfn.XLOOKUP(_xlpm.ai_test,$BL$15:$BL$62,ROW($BL$15:$BL$62),0,1))),_xlpm.p,_xlpm.r-MIN(ROW($BJ$15:$BJ$62))+1,_xlpm.f,INDEX($BM$15:$BM$62,_xlpm.p),_xlpm.u,INDEX($BN$15:$BN$62,_xlpm.p),_xlpm.s,INDEX($BP$15:$BP$62,_xlpm.p),_xlpm.q,N(AU358)/_xlpm.f,IF(_xlpm.q&gt;=_xlpm.s,ROUND(_xlpm.q,1)&amp;" "&amp;_xlpm.ai_test&amp;" = "&amp;ROUND(_xlpm.q*_xlpm.f,1)&amp;" "&amp;_xlpm.u,ROUND(_xlpm.q,1)&amp;" "&amp;_xlpm.ai_test)),""),""))))</f>
        <v>0</v>
      </c>
      <c r="AX358" s="6218"/>
      <c r="AY358" s="6271">
        <f t="shared" si="156"/>
        <v>0</v>
      </c>
      <c r="AZ358" s="6242" t="str">
        <f t="shared" si="157"/>
        <v/>
      </c>
      <c r="BA358" s="6194">
        <f t="shared" si="162"/>
        <v>0</v>
      </c>
      <c r="BB358" s="6192" t="str">
        <f t="shared" si="158"/>
        <v/>
      </c>
      <c r="BC358" s="6219"/>
      <c r="BD358" s="6221">
        <f t="shared" si="163"/>
        <v>0</v>
      </c>
      <c r="BE358" s="6220" t="str">
        <f t="shared" si="159"/>
        <v/>
      </c>
      <c r="BF358" s="4" t="s">
        <v>1</v>
      </c>
      <c r="BG358" s="6196">
        <f t="shared" si="160"/>
        <v>0</v>
      </c>
      <c r="BH358" s="6197">
        <f t="shared" si="161"/>
        <v>0</v>
      </c>
      <c r="BI358"/>
      <c r="BJ358" s="1"/>
      <c r="BK358" s="1"/>
      <c r="BL358" s="1"/>
      <c r="BM358" s="1"/>
      <c r="BN358" s="1"/>
      <c r="BO358" s="1"/>
      <c r="BP358" s="1"/>
      <c r="BQ358" s="1"/>
      <c r="BX358" s="20" t="str">
        <f t="shared" si="142"/>
        <v>►</v>
      </c>
      <c r="BY358" s="2"/>
      <c r="BZ358" s="2"/>
      <c r="CA358" s="2"/>
      <c r="CB358" s="2"/>
      <c r="CC358" s="2"/>
      <c r="DC358" s="5">
        <v>1</v>
      </c>
    </row>
    <row r="359" spans="12:107" ht="21" customHeight="1">
      <c r="L359" s="1021" t="s">
        <v>26</v>
      </c>
      <c r="M359" s="6787"/>
      <c r="N359" s="6787"/>
      <c r="O359" s="6787"/>
      <c r="P359" s="6788"/>
      <c r="Q359" s="6789"/>
      <c r="R359" s="6790"/>
      <c r="S359" s="6786"/>
      <c r="T359" s="6791"/>
      <c r="U359" s="6844"/>
      <c r="V359" s="6791"/>
      <c r="W359" s="8487"/>
      <c r="X359" s="6871"/>
      <c r="Y359" s="6793"/>
      <c r="Z359" s="6794"/>
      <c r="AA359" s="6795"/>
      <c r="AB359" s="6796"/>
      <c r="AC359" s="6797"/>
      <c r="AD359" s="6798"/>
      <c r="AE359" s="4" t="s">
        <v>1</v>
      </c>
      <c r="AF359" s="6202" t="str">
        <f t="shared" si="143"/>
        <v>►</v>
      </c>
      <c r="AG359" s="6234" t="str">
        <f t="shared" si="144"/>
        <v/>
      </c>
      <c r="AH359" s="6732" t="str">
        <f t="shared" si="145"/>
        <v/>
      </c>
      <c r="AI359" s="6234" t="str">
        <f t="shared" si="146"/>
        <v/>
      </c>
      <c r="AJ359" s="6732" t="str">
        <f t="shared" si="147"/>
        <v/>
      </c>
      <c r="AK359" s="6732">
        <f t="shared" si="148"/>
        <v>0</v>
      </c>
      <c r="AL359" s="6230" t="str" cm="1">
        <f t="array" ref="AL359">IF(AF359&lt;&gt;"A","",IFERROR((IFERROR(_xlfn.XLOOKUP(TRIM(SUBSTITUTE(U359,CHAR(160)," ")),$BJ$15:$BJ$62,$BM$15:$BM$62),IFERROR(_xlfn.XLOOKUP(TRIM(SUBSTITUTE(U359,CHAR(160)," ")),$BK$15:$BK$62,$BM$15:$BM$62),_xlfn.XLOOKUP(TRIM(SUBSTITUTE(U359,CHAR(160)," ")),$BL$15:$BL$62,$BM$15:$BM$62))))*T359*IF(ISBLANK(Q359),1,Q359)+IFERROR(_xlfn.XLOOKUP("RECHERCHEX",TRIM(L359:AD359),L359:AD359),0),0))</f>
        <v/>
      </c>
      <c r="AM359" s="6229">
        <f t="shared" si="149"/>
        <v>0</v>
      </c>
      <c r="AN359" s="6857" t="str">
        <f t="shared" si="164"/>
        <v/>
      </c>
      <c r="AO359" s="392">
        <f t="shared" si="150"/>
        <v>0</v>
      </c>
      <c r="AP359" s="392">
        <f t="shared" si="151"/>
        <v>0</v>
      </c>
      <c r="AQ359" s="6191">
        <f t="shared" si="152"/>
        <v>0</v>
      </c>
      <c r="AR359" s="6859" t="str">
        <f t="shared" si="153"/>
        <v/>
      </c>
      <c r="AS359" s="6217"/>
      <c r="AT359" s="6217"/>
      <c r="AU359" s="6272">
        <f t="shared" si="154"/>
        <v>0</v>
      </c>
      <c r="AV359" s="6240">
        <f t="shared" si="155"/>
        <v>0</v>
      </c>
      <c r="AW359" s="6189" cm="1">
        <f t="array" ref="AW359">IF(AK359&lt;&gt;1,0,IF(OR(AU359="",N(AU359)&lt;=0.000000001),"",IF(OR(AO359="",N(AO359)&lt;=0.000000001),0,IF(ISNUMBER(AU359),IFERROR(_xlfn.LET(_xlpm.ai_test,TRIM(AJ359),_xlpm.r,IFERROR(_xlfn.XLOOKUP(_xlpm.ai_test,$BJ$15:$BJ$62,ROW($BJ$15:$BJ$62),0,1),IFERROR(_xlfn.XLOOKUP(_xlpm.ai_test,$BK$15:$BK$62,ROW($BK$15:$BK$62),0,1),_xlfn.XLOOKUP(_xlpm.ai_test,$BL$15:$BL$62,ROW($BL$15:$BL$62),0,1))),_xlpm.p,_xlpm.r-MIN(ROW($BJ$15:$BJ$62))+1,_xlpm.f,INDEX($BM$15:$BM$62,_xlpm.p),_xlpm.u,INDEX($BN$15:$BN$62,_xlpm.p),_xlpm.s,INDEX($BP$15:$BP$62,_xlpm.p),_xlpm.q,N(AU359)/_xlpm.f,IF(_xlpm.q&gt;=_xlpm.s,ROUND(_xlpm.q,1)&amp;" "&amp;_xlpm.ai_test&amp;" = "&amp;ROUND(_xlpm.q*_xlpm.f,1)&amp;" "&amp;_xlpm.u,ROUND(_xlpm.q,1)&amp;" "&amp;_xlpm.ai_test)),""),""))))</f>
        <v>0</v>
      </c>
      <c r="AX359" s="6218"/>
      <c r="AY359" s="6272">
        <f t="shared" si="156"/>
        <v>0</v>
      </c>
      <c r="AZ359" s="6240" t="str">
        <f t="shared" si="157"/>
        <v/>
      </c>
      <c r="BA359" s="6195">
        <f t="shared" si="162"/>
        <v>0</v>
      </c>
      <c r="BB359" s="6193" t="str">
        <f t="shared" si="158"/>
        <v/>
      </c>
      <c r="BC359" s="6219"/>
      <c r="BD359" s="6222">
        <f t="shared" si="163"/>
        <v>0</v>
      </c>
      <c r="BE359" s="6220" t="str">
        <f t="shared" si="159"/>
        <v/>
      </c>
      <c r="BF359" s="4" t="s">
        <v>1</v>
      </c>
      <c r="BG359" s="6196">
        <f t="shared" si="160"/>
        <v>0</v>
      </c>
      <c r="BH359" s="6197">
        <f t="shared" si="161"/>
        <v>0</v>
      </c>
      <c r="BI359"/>
      <c r="BJ359" s="1"/>
      <c r="BK359" s="1"/>
      <c r="BL359" s="1"/>
      <c r="BM359" s="1"/>
      <c r="BN359" s="1"/>
      <c r="BO359" s="1"/>
      <c r="BP359" s="1"/>
      <c r="BQ359" s="1"/>
      <c r="BX359" s="20" t="str">
        <f t="shared" si="142"/>
        <v>►</v>
      </c>
      <c r="BY359" s="2"/>
      <c r="BZ359" s="2"/>
      <c r="CA359" s="2"/>
      <c r="CB359" s="2"/>
      <c r="CC359" s="2"/>
      <c r="DC359" s="5">
        <v>1</v>
      </c>
    </row>
    <row r="360" spans="12:107" ht="21" customHeight="1">
      <c r="L360" s="1021" t="s">
        <v>26</v>
      </c>
      <c r="M360" s="6787"/>
      <c r="N360" s="6787"/>
      <c r="O360" s="6787"/>
      <c r="P360" s="6788"/>
      <c r="Q360" s="6789"/>
      <c r="R360" s="6790"/>
      <c r="S360" s="6786"/>
      <c r="T360" s="6791"/>
      <c r="U360" s="6844"/>
      <c r="V360" s="6791"/>
      <c r="W360" s="8487"/>
      <c r="X360" s="6871"/>
      <c r="Y360" s="6793"/>
      <c r="Z360" s="6794"/>
      <c r="AA360" s="6795"/>
      <c r="AB360" s="6796"/>
      <c r="AC360" s="6797"/>
      <c r="AD360" s="6798"/>
      <c r="AE360" s="4" t="s">
        <v>1</v>
      </c>
      <c r="AF360" s="6202" t="str">
        <f t="shared" si="143"/>
        <v>►</v>
      </c>
      <c r="AG360" s="6234" t="str">
        <f t="shared" si="144"/>
        <v/>
      </c>
      <c r="AH360" s="6732" t="str">
        <f t="shared" si="145"/>
        <v/>
      </c>
      <c r="AI360" s="6234" t="str">
        <f t="shared" si="146"/>
        <v/>
      </c>
      <c r="AJ360" s="6732" t="str">
        <f t="shared" si="147"/>
        <v/>
      </c>
      <c r="AK360" s="6732">
        <f t="shared" si="148"/>
        <v>0</v>
      </c>
      <c r="AL360" s="6230" t="str" cm="1">
        <f t="array" ref="AL360">IF(AF360&lt;&gt;"A","",IFERROR((IFERROR(_xlfn.XLOOKUP(TRIM(SUBSTITUTE(U360,CHAR(160)," ")),$BJ$15:$BJ$62,$BM$15:$BM$62),IFERROR(_xlfn.XLOOKUP(TRIM(SUBSTITUTE(U360,CHAR(160)," ")),$BK$15:$BK$62,$BM$15:$BM$62),_xlfn.XLOOKUP(TRIM(SUBSTITUTE(U360,CHAR(160)," ")),$BL$15:$BL$62,$BM$15:$BM$62))))*T360*IF(ISBLANK(Q360),1,Q360)+IFERROR(_xlfn.XLOOKUP("RECHERCHEX",TRIM(L360:AD360),L360:AD360),0),0))</f>
        <v/>
      </c>
      <c r="AM360" s="6229">
        <f t="shared" si="149"/>
        <v>0</v>
      </c>
      <c r="AN360" s="6857" t="str">
        <f t="shared" si="164"/>
        <v/>
      </c>
      <c r="AO360" s="392">
        <f t="shared" si="150"/>
        <v>0</v>
      </c>
      <c r="AP360" s="392">
        <f t="shared" si="151"/>
        <v>0</v>
      </c>
      <c r="AQ360" s="6190">
        <f t="shared" si="152"/>
        <v>0</v>
      </c>
      <c r="AR360" s="6858" t="str">
        <f t="shared" si="153"/>
        <v/>
      </c>
      <c r="AS360" s="6217"/>
      <c r="AT360" s="6217"/>
      <c r="AU360" s="6271">
        <f t="shared" si="154"/>
        <v>0</v>
      </c>
      <c r="AV360" s="6242">
        <f t="shared" si="155"/>
        <v>0</v>
      </c>
      <c r="AW360" s="6188" cm="1">
        <f t="array" ref="AW360">IF(AK360&lt;&gt;1,0,IF(OR(AU360="",N(AU360)&lt;=0.000000001),"",IF(OR(AO360="",N(AO360)&lt;=0.000000001),0,IF(ISNUMBER(AU360),IFERROR(_xlfn.LET(_xlpm.ai_test,TRIM(AJ360),_xlpm.r,IFERROR(_xlfn.XLOOKUP(_xlpm.ai_test,$BJ$15:$BJ$62,ROW($BJ$15:$BJ$62),0,1),IFERROR(_xlfn.XLOOKUP(_xlpm.ai_test,$BK$15:$BK$62,ROW($BK$15:$BK$62),0,1),_xlfn.XLOOKUP(_xlpm.ai_test,$BL$15:$BL$62,ROW($BL$15:$BL$62),0,1))),_xlpm.p,_xlpm.r-MIN(ROW($BJ$15:$BJ$62))+1,_xlpm.f,INDEX($BM$15:$BM$62,_xlpm.p),_xlpm.u,INDEX($BN$15:$BN$62,_xlpm.p),_xlpm.s,INDEX($BP$15:$BP$62,_xlpm.p),_xlpm.q,N(AU360)/_xlpm.f,IF(_xlpm.q&gt;=_xlpm.s,ROUND(_xlpm.q,1)&amp;" "&amp;_xlpm.ai_test&amp;" = "&amp;ROUND(_xlpm.q*_xlpm.f,1)&amp;" "&amp;_xlpm.u,ROUND(_xlpm.q,1)&amp;" "&amp;_xlpm.ai_test)),""),""))))</f>
        <v>0</v>
      </c>
      <c r="AX360" s="6218"/>
      <c r="AY360" s="6271">
        <f t="shared" si="156"/>
        <v>0</v>
      </c>
      <c r="AZ360" s="6242" t="str">
        <f t="shared" si="157"/>
        <v/>
      </c>
      <c r="BA360" s="6194">
        <f t="shared" si="162"/>
        <v>0</v>
      </c>
      <c r="BB360" s="6192" t="str">
        <f t="shared" si="158"/>
        <v/>
      </c>
      <c r="BC360" s="6219"/>
      <c r="BD360" s="6221">
        <f t="shared" si="163"/>
        <v>0</v>
      </c>
      <c r="BE360" s="6220" t="str">
        <f t="shared" si="159"/>
        <v/>
      </c>
      <c r="BF360" s="4" t="s">
        <v>1</v>
      </c>
      <c r="BG360" s="6196">
        <f t="shared" si="160"/>
        <v>0</v>
      </c>
      <c r="BH360" s="6197">
        <f t="shared" si="161"/>
        <v>0</v>
      </c>
      <c r="BI360"/>
      <c r="BJ360" s="1"/>
      <c r="BK360" s="1"/>
      <c r="BL360" s="1"/>
      <c r="BM360" s="1"/>
      <c r="BN360" s="1"/>
      <c r="BO360" s="1"/>
      <c r="BP360" s="1"/>
      <c r="BQ360" s="1"/>
      <c r="BX360" s="20" t="str">
        <f t="shared" si="142"/>
        <v>►</v>
      </c>
      <c r="BY360" s="2"/>
      <c r="BZ360" s="2"/>
      <c r="CA360" s="2"/>
      <c r="CB360" s="2"/>
      <c r="CC360" s="2"/>
      <c r="DC360" s="5">
        <v>1</v>
      </c>
    </row>
    <row r="361" spans="12:107" ht="21" customHeight="1">
      <c r="L361" s="1021" t="s">
        <v>26</v>
      </c>
      <c r="M361" s="6787"/>
      <c r="N361" s="6787"/>
      <c r="O361" s="6787"/>
      <c r="P361" s="6788"/>
      <c r="Q361" s="6789"/>
      <c r="R361" s="6790"/>
      <c r="S361" s="6786"/>
      <c r="T361" s="6791"/>
      <c r="U361" s="6844"/>
      <c r="V361" s="6791"/>
      <c r="W361" s="8487"/>
      <c r="X361" s="6871"/>
      <c r="Y361" s="6793"/>
      <c r="Z361" s="6794"/>
      <c r="AA361" s="6795"/>
      <c r="AB361" s="6796"/>
      <c r="AC361" s="6797"/>
      <c r="AD361" s="6798"/>
      <c r="AE361" s="4" t="s">
        <v>1</v>
      </c>
      <c r="AF361" s="6202" t="str">
        <f t="shared" si="143"/>
        <v>►</v>
      </c>
      <c r="AG361" s="6234" t="str">
        <f t="shared" si="144"/>
        <v/>
      </c>
      <c r="AH361" s="6732" t="str">
        <f t="shared" si="145"/>
        <v/>
      </c>
      <c r="AI361" s="6234" t="str">
        <f t="shared" si="146"/>
        <v/>
      </c>
      <c r="AJ361" s="6732" t="str">
        <f t="shared" si="147"/>
        <v/>
      </c>
      <c r="AK361" s="6732">
        <f t="shared" si="148"/>
        <v>0</v>
      </c>
      <c r="AL361" s="6230" t="str" cm="1">
        <f t="array" ref="AL361">IF(AF361&lt;&gt;"A","",IFERROR((IFERROR(_xlfn.XLOOKUP(TRIM(SUBSTITUTE(U361,CHAR(160)," ")),$BJ$15:$BJ$62,$BM$15:$BM$62),IFERROR(_xlfn.XLOOKUP(TRIM(SUBSTITUTE(U361,CHAR(160)," ")),$BK$15:$BK$62,$BM$15:$BM$62),_xlfn.XLOOKUP(TRIM(SUBSTITUTE(U361,CHAR(160)," ")),$BL$15:$BL$62,$BM$15:$BM$62))))*T361*IF(ISBLANK(Q361),1,Q361)+IFERROR(_xlfn.XLOOKUP("RECHERCHEX",TRIM(L361:AD361),L361:AD361),0),0))</f>
        <v/>
      </c>
      <c r="AM361" s="6229">
        <f t="shared" si="149"/>
        <v>0</v>
      </c>
      <c r="AN361" s="6857" t="str">
        <f t="shared" si="164"/>
        <v/>
      </c>
      <c r="AO361" s="392">
        <f t="shared" si="150"/>
        <v>0</v>
      </c>
      <c r="AP361" s="392">
        <f t="shared" si="151"/>
        <v>0</v>
      </c>
      <c r="AQ361" s="6191">
        <f t="shared" si="152"/>
        <v>0</v>
      </c>
      <c r="AR361" s="6859" t="str">
        <f t="shared" si="153"/>
        <v/>
      </c>
      <c r="AS361" s="6217"/>
      <c r="AT361" s="6217"/>
      <c r="AU361" s="6272">
        <f t="shared" si="154"/>
        <v>0</v>
      </c>
      <c r="AV361" s="6240">
        <f t="shared" si="155"/>
        <v>0</v>
      </c>
      <c r="AW361" s="6189" cm="1">
        <f t="array" ref="AW361">IF(AK361&lt;&gt;1,0,IF(OR(AU361="",N(AU361)&lt;=0.000000001),"",IF(OR(AO361="",N(AO361)&lt;=0.000000001),0,IF(ISNUMBER(AU361),IFERROR(_xlfn.LET(_xlpm.ai_test,TRIM(AJ361),_xlpm.r,IFERROR(_xlfn.XLOOKUP(_xlpm.ai_test,$BJ$15:$BJ$62,ROW($BJ$15:$BJ$62),0,1),IFERROR(_xlfn.XLOOKUP(_xlpm.ai_test,$BK$15:$BK$62,ROW($BK$15:$BK$62),0,1),_xlfn.XLOOKUP(_xlpm.ai_test,$BL$15:$BL$62,ROW($BL$15:$BL$62),0,1))),_xlpm.p,_xlpm.r-MIN(ROW($BJ$15:$BJ$62))+1,_xlpm.f,INDEX($BM$15:$BM$62,_xlpm.p),_xlpm.u,INDEX($BN$15:$BN$62,_xlpm.p),_xlpm.s,INDEX($BP$15:$BP$62,_xlpm.p),_xlpm.q,N(AU361)/_xlpm.f,IF(_xlpm.q&gt;=_xlpm.s,ROUND(_xlpm.q,1)&amp;" "&amp;_xlpm.ai_test&amp;" = "&amp;ROUND(_xlpm.q*_xlpm.f,1)&amp;" "&amp;_xlpm.u,ROUND(_xlpm.q,1)&amp;" "&amp;_xlpm.ai_test)),""),""))))</f>
        <v>0</v>
      </c>
      <c r="AX361" s="6218"/>
      <c r="AY361" s="6272">
        <f t="shared" si="156"/>
        <v>0</v>
      </c>
      <c r="AZ361" s="6240" t="str">
        <f t="shared" si="157"/>
        <v/>
      </c>
      <c r="BA361" s="6195">
        <f t="shared" si="162"/>
        <v>0</v>
      </c>
      <c r="BB361" s="6193" t="str">
        <f t="shared" si="158"/>
        <v/>
      </c>
      <c r="BC361" s="6219"/>
      <c r="BD361" s="6222">
        <f t="shared" si="163"/>
        <v>0</v>
      </c>
      <c r="BE361" s="6220" t="str">
        <f t="shared" si="159"/>
        <v/>
      </c>
      <c r="BF361" s="4" t="s">
        <v>1</v>
      </c>
      <c r="BG361" s="6196">
        <f t="shared" si="160"/>
        <v>0</v>
      </c>
      <c r="BH361" s="6197">
        <f t="shared" si="161"/>
        <v>0</v>
      </c>
      <c r="BI361"/>
      <c r="BJ361" s="1"/>
      <c r="BK361" s="1"/>
      <c r="BL361" s="1"/>
      <c r="BM361" s="1"/>
      <c r="BN361" s="1"/>
      <c r="BO361" s="1"/>
      <c r="BP361" s="1"/>
      <c r="BQ361" s="1"/>
      <c r="BX361" s="20" t="str">
        <f t="shared" si="142"/>
        <v>►</v>
      </c>
      <c r="BY361" s="2"/>
      <c r="BZ361" s="2"/>
      <c r="CA361" s="2"/>
      <c r="CB361" s="2"/>
      <c r="CC361" s="2"/>
      <c r="DC361" s="5">
        <v>1</v>
      </c>
    </row>
    <row r="362" spans="12:107" ht="21" customHeight="1">
      <c r="L362" s="1021" t="s">
        <v>26</v>
      </c>
      <c r="M362" s="6787"/>
      <c r="N362" s="6787"/>
      <c r="O362" s="6787"/>
      <c r="P362" s="6788"/>
      <c r="Q362" s="6789"/>
      <c r="R362" s="6790"/>
      <c r="S362" s="6786"/>
      <c r="T362" s="6791"/>
      <c r="U362" s="6844"/>
      <c r="V362" s="6791"/>
      <c r="W362" s="8487"/>
      <c r="X362" s="6871"/>
      <c r="Y362" s="6793"/>
      <c r="Z362" s="6794"/>
      <c r="AA362" s="6795"/>
      <c r="AB362" s="6796"/>
      <c r="AC362" s="6797"/>
      <c r="AD362" s="6798"/>
      <c r="AE362" s="4" t="s">
        <v>1</v>
      </c>
      <c r="AF362" s="6202" t="str">
        <f t="shared" si="143"/>
        <v>►</v>
      </c>
      <c r="AG362" s="6234" t="str">
        <f t="shared" si="144"/>
        <v/>
      </c>
      <c r="AH362" s="6732" t="str">
        <f t="shared" si="145"/>
        <v/>
      </c>
      <c r="AI362" s="6234" t="str">
        <f t="shared" si="146"/>
        <v/>
      </c>
      <c r="AJ362" s="6732" t="str">
        <f t="shared" si="147"/>
        <v/>
      </c>
      <c r="AK362" s="6732">
        <f t="shared" si="148"/>
        <v>0</v>
      </c>
      <c r="AL362" s="6230" t="str" cm="1">
        <f t="array" ref="AL362">IF(AF362&lt;&gt;"A","",IFERROR((IFERROR(_xlfn.XLOOKUP(TRIM(SUBSTITUTE(U362,CHAR(160)," ")),$BJ$15:$BJ$62,$BM$15:$BM$62),IFERROR(_xlfn.XLOOKUP(TRIM(SUBSTITUTE(U362,CHAR(160)," ")),$BK$15:$BK$62,$BM$15:$BM$62),_xlfn.XLOOKUP(TRIM(SUBSTITUTE(U362,CHAR(160)," ")),$BL$15:$BL$62,$BM$15:$BM$62))))*T362*IF(ISBLANK(Q362),1,Q362)+IFERROR(_xlfn.XLOOKUP("RECHERCHEX",TRIM(L362:AD362),L362:AD362),0),0))</f>
        <v/>
      </c>
      <c r="AM362" s="6229">
        <f t="shared" si="149"/>
        <v>0</v>
      </c>
      <c r="AN362" s="6857" t="str">
        <f t="shared" si="164"/>
        <v/>
      </c>
      <c r="AO362" s="392">
        <f t="shared" si="150"/>
        <v>0</v>
      </c>
      <c r="AP362" s="392">
        <f t="shared" si="151"/>
        <v>0</v>
      </c>
      <c r="AQ362" s="6190">
        <f t="shared" si="152"/>
        <v>0</v>
      </c>
      <c r="AR362" s="6858" t="str">
        <f t="shared" si="153"/>
        <v/>
      </c>
      <c r="AS362" s="6217"/>
      <c r="AT362" s="6217"/>
      <c r="AU362" s="6271">
        <f t="shared" si="154"/>
        <v>0</v>
      </c>
      <c r="AV362" s="6242">
        <f t="shared" si="155"/>
        <v>0</v>
      </c>
      <c r="AW362" s="6188" cm="1">
        <f t="array" ref="AW362">IF(AK362&lt;&gt;1,0,IF(OR(AU362="",N(AU362)&lt;=0.000000001),"",IF(OR(AO362="",N(AO362)&lt;=0.000000001),0,IF(ISNUMBER(AU362),IFERROR(_xlfn.LET(_xlpm.ai_test,TRIM(AJ362),_xlpm.r,IFERROR(_xlfn.XLOOKUP(_xlpm.ai_test,$BJ$15:$BJ$62,ROW($BJ$15:$BJ$62),0,1),IFERROR(_xlfn.XLOOKUP(_xlpm.ai_test,$BK$15:$BK$62,ROW($BK$15:$BK$62),0,1),_xlfn.XLOOKUP(_xlpm.ai_test,$BL$15:$BL$62,ROW($BL$15:$BL$62),0,1))),_xlpm.p,_xlpm.r-MIN(ROW($BJ$15:$BJ$62))+1,_xlpm.f,INDEX($BM$15:$BM$62,_xlpm.p),_xlpm.u,INDEX($BN$15:$BN$62,_xlpm.p),_xlpm.s,INDEX($BP$15:$BP$62,_xlpm.p),_xlpm.q,N(AU362)/_xlpm.f,IF(_xlpm.q&gt;=_xlpm.s,ROUND(_xlpm.q,1)&amp;" "&amp;_xlpm.ai_test&amp;" = "&amp;ROUND(_xlpm.q*_xlpm.f,1)&amp;" "&amp;_xlpm.u,ROUND(_xlpm.q,1)&amp;" "&amp;_xlpm.ai_test)),""),""))))</f>
        <v>0</v>
      </c>
      <c r="AX362" s="6218"/>
      <c r="AY362" s="6271">
        <f t="shared" si="156"/>
        <v>0</v>
      </c>
      <c r="AZ362" s="6242" t="str">
        <f t="shared" si="157"/>
        <v/>
      </c>
      <c r="BA362" s="6194">
        <f t="shared" si="162"/>
        <v>0</v>
      </c>
      <c r="BB362" s="6192" t="str">
        <f t="shared" si="158"/>
        <v/>
      </c>
      <c r="BC362" s="6219"/>
      <c r="BD362" s="6221">
        <f t="shared" si="163"/>
        <v>0</v>
      </c>
      <c r="BE362" s="6220" t="str">
        <f t="shared" si="159"/>
        <v/>
      </c>
      <c r="BF362" s="4" t="s">
        <v>1</v>
      </c>
      <c r="BG362" s="6196">
        <f t="shared" si="160"/>
        <v>0</v>
      </c>
      <c r="BH362" s="6197">
        <f t="shared" si="161"/>
        <v>0</v>
      </c>
      <c r="BI362"/>
      <c r="BJ362" s="1"/>
      <c r="BK362" s="1"/>
      <c r="BL362" s="1"/>
      <c r="BM362" s="1"/>
      <c r="BN362" s="1"/>
      <c r="BO362" s="1"/>
      <c r="BP362" s="1"/>
      <c r="BQ362" s="1"/>
      <c r="BX362" s="20" t="str">
        <f t="shared" si="142"/>
        <v>►</v>
      </c>
      <c r="BY362" s="2"/>
      <c r="BZ362" s="2"/>
      <c r="CA362" s="2"/>
      <c r="CB362" s="2"/>
      <c r="CC362" s="2"/>
      <c r="DC362" s="5">
        <v>1</v>
      </c>
    </row>
    <row r="363" spans="12:107" ht="21" customHeight="1">
      <c r="L363" s="1021" t="s">
        <v>26</v>
      </c>
      <c r="M363" s="6787"/>
      <c r="N363" s="6787"/>
      <c r="O363" s="6787"/>
      <c r="P363" s="6788"/>
      <c r="Q363" s="6789"/>
      <c r="R363" s="6790"/>
      <c r="S363" s="6786"/>
      <c r="T363" s="6791"/>
      <c r="U363" s="6844"/>
      <c r="V363" s="6791"/>
      <c r="W363" s="8487"/>
      <c r="X363" s="6871"/>
      <c r="Y363" s="6793"/>
      <c r="Z363" s="6794"/>
      <c r="AA363" s="6795"/>
      <c r="AB363" s="6796"/>
      <c r="AC363" s="6797"/>
      <c r="AD363" s="6798"/>
      <c r="AE363" s="4" t="s">
        <v>1</v>
      </c>
      <c r="AF363" s="6202" t="str">
        <f t="shared" si="143"/>
        <v>►</v>
      </c>
      <c r="AG363" s="6234" t="str">
        <f t="shared" si="144"/>
        <v/>
      </c>
      <c r="AH363" s="6732" t="str">
        <f t="shared" si="145"/>
        <v/>
      </c>
      <c r="AI363" s="6234" t="str">
        <f t="shared" si="146"/>
        <v/>
      </c>
      <c r="AJ363" s="6732" t="str">
        <f t="shared" si="147"/>
        <v/>
      </c>
      <c r="AK363" s="6732">
        <f t="shared" si="148"/>
        <v>0</v>
      </c>
      <c r="AL363" s="6230" t="str" cm="1">
        <f t="array" ref="AL363">IF(AF363&lt;&gt;"A","",IFERROR((IFERROR(_xlfn.XLOOKUP(TRIM(SUBSTITUTE(U363,CHAR(160)," ")),$BJ$15:$BJ$62,$BM$15:$BM$62),IFERROR(_xlfn.XLOOKUP(TRIM(SUBSTITUTE(U363,CHAR(160)," ")),$BK$15:$BK$62,$BM$15:$BM$62),_xlfn.XLOOKUP(TRIM(SUBSTITUTE(U363,CHAR(160)," ")),$BL$15:$BL$62,$BM$15:$BM$62))))*T363*IF(ISBLANK(Q363),1,Q363)+IFERROR(_xlfn.XLOOKUP("RECHERCHEX",TRIM(L363:AD363),L363:AD363),0),0))</f>
        <v/>
      </c>
      <c r="AM363" s="6229">
        <f t="shared" si="149"/>
        <v>0</v>
      </c>
      <c r="AN363" s="6857" t="str">
        <f t="shared" si="164"/>
        <v/>
      </c>
      <c r="AO363" s="392">
        <f t="shared" si="150"/>
        <v>0</v>
      </c>
      <c r="AP363" s="392">
        <f t="shared" si="151"/>
        <v>0</v>
      </c>
      <c r="AQ363" s="6191">
        <f t="shared" si="152"/>
        <v>0</v>
      </c>
      <c r="AR363" s="6859" t="str">
        <f t="shared" si="153"/>
        <v/>
      </c>
      <c r="AS363" s="6217"/>
      <c r="AT363" s="6217"/>
      <c r="AU363" s="6272">
        <f t="shared" si="154"/>
        <v>0</v>
      </c>
      <c r="AV363" s="6240">
        <f t="shared" si="155"/>
        <v>0</v>
      </c>
      <c r="AW363" s="6189" cm="1">
        <f t="array" ref="AW363">IF(AK363&lt;&gt;1,0,IF(OR(AU363="",N(AU363)&lt;=0.000000001),"",IF(OR(AO363="",N(AO363)&lt;=0.000000001),0,IF(ISNUMBER(AU363),IFERROR(_xlfn.LET(_xlpm.ai_test,TRIM(AJ363),_xlpm.r,IFERROR(_xlfn.XLOOKUP(_xlpm.ai_test,$BJ$15:$BJ$62,ROW($BJ$15:$BJ$62),0,1),IFERROR(_xlfn.XLOOKUP(_xlpm.ai_test,$BK$15:$BK$62,ROW($BK$15:$BK$62),0,1),_xlfn.XLOOKUP(_xlpm.ai_test,$BL$15:$BL$62,ROW($BL$15:$BL$62),0,1))),_xlpm.p,_xlpm.r-MIN(ROW($BJ$15:$BJ$62))+1,_xlpm.f,INDEX($BM$15:$BM$62,_xlpm.p),_xlpm.u,INDEX($BN$15:$BN$62,_xlpm.p),_xlpm.s,INDEX($BP$15:$BP$62,_xlpm.p),_xlpm.q,N(AU363)/_xlpm.f,IF(_xlpm.q&gt;=_xlpm.s,ROUND(_xlpm.q,1)&amp;" "&amp;_xlpm.ai_test&amp;" = "&amp;ROUND(_xlpm.q*_xlpm.f,1)&amp;" "&amp;_xlpm.u,ROUND(_xlpm.q,1)&amp;" "&amp;_xlpm.ai_test)),""),""))))</f>
        <v>0</v>
      </c>
      <c r="AX363" s="6218"/>
      <c r="AY363" s="6272">
        <f t="shared" si="156"/>
        <v>0</v>
      </c>
      <c r="AZ363" s="6240" t="str">
        <f t="shared" si="157"/>
        <v/>
      </c>
      <c r="BA363" s="6195">
        <f t="shared" si="162"/>
        <v>0</v>
      </c>
      <c r="BB363" s="6193" t="str">
        <f t="shared" si="158"/>
        <v/>
      </c>
      <c r="BC363" s="6219"/>
      <c r="BD363" s="6222">
        <f t="shared" si="163"/>
        <v>0</v>
      </c>
      <c r="BE363" s="6220" t="str">
        <f t="shared" si="159"/>
        <v/>
      </c>
      <c r="BF363" s="4" t="s">
        <v>1</v>
      </c>
      <c r="BG363" s="6196">
        <f t="shared" si="160"/>
        <v>0</v>
      </c>
      <c r="BH363" s="6197">
        <f t="shared" si="161"/>
        <v>0</v>
      </c>
      <c r="BI363"/>
      <c r="BJ363" s="1"/>
      <c r="BK363" s="1"/>
      <c r="BL363" s="1"/>
      <c r="BM363" s="1"/>
      <c r="BN363" s="1"/>
      <c r="BO363" s="1"/>
      <c r="BP363" s="1"/>
      <c r="BQ363" s="1"/>
      <c r="BX363" s="20" t="str">
        <f t="shared" si="142"/>
        <v>►</v>
      </c>
      <c r="BY363" s="2"/>
      <c r="BZ363" s="2"/>
      <c r="CA363" s="2"/>
      <c r="CB363" s="2"/>
      <c r="CC363" s="2"/>
      <c r="DC363" s="5">
        <v>1</v>
      </c>
    </row>
    <row r="364" spans="12:107" ht="21" customHeight="1">
      <c r="L364" s="1021" t="s">
        <v>26</v>
      </c>
      <c r="M364" s="6787"/>
      <c r="N364" s="6787"/>
      <c r="O364" s="6787"/>
      <c r="P364" s="6788"/>
      <c r="Q364" s="6789"/>
      <c r="R364" s="6790"/>
      <c r="S364" s="6786"/>
      <c r="T364" s="6791"/>
      <c r="U364" s="6844"/>
      <c r="V364" s="6791"/>
      <c r="W364" s="8487"/>
      <c r="X364" s="6871"/>
      <c r="Y364" s="6793"/>
      <c r="Z364" s="6794"/>
      <c r="AA364" s="6795"/>
      <c r="AB364" s="6796"/>
      <c r="AC364" s="6797"/>
      <c r="AD364" s="6798"/>
      <c r="AE364" s="4" t="s">
        <v>1</v>
      </c>
      <c r="AF364" s="6202" t="str">
        <f t="shared" si="143"/>
        <v>►</v>
      </c>
      <c r="AG364" s="6234" t="str">
        <f t="shared" si="144"/>
        <v/>
      </c>
      <c r="AH364" s="6732" t="str">
        <f t="shared" si="145"/>
        <v/>
      </c>
      <c r="AI364" s="6234" t="str">
        <f t="shared" si="146"/>
        <v/>
      </c>
      <c r="AJ364" s="6732" t="str">
        <f t="shared" si="147"/>
        <v/>
      </c>
      <c r="AK364" s="6732">
        <f t="shared" si="148"/>
        <v>0</v>
      </c>
      <c r="AL364" s="6230" t="str" cm="1">
        <f t="array" ref="AL364">IF(AF364&lt;&gt;"A","",IFERROR((IFERROR(_xlfn.XLOOKUP(TRIM(SUBSTITUTE(U364,CHAR(160)," ")),$BJ$15:$BJ$62,$BM$15:$BM$62),IFERROR(_xlfn.XLOOKUP(TRIM(SUBSTITUTE(U364,CHAR(160)," ")),$BK$15:$BK$62,$BM$15:$BM$62),_xlfn.XLOOKUP(TRIM(SUBSTITUTE(U364,CHAR(160)," ")),$BL$15:$BL$62,$BM$15:$BM$62))))*T364*IF(ISBLANK(Q364),1,Q364)+IFERROR(_xlfn.XLOOKUP("RECHERCHEX",TRIM(L364:AD364),L364:AD364),0),0))</f>
        <v/>
      </c>
      <c r="AM364" s="6229">
        <f t="shared" si="149"/>
        <v>0</v>
      </c>
      <c r="AN364" s="6857" t="str">
        <f t="shared" si="164"/>
        <v/>
      </c>
      <c r="AO364" s="392">
        <f t="shared" si="150"/>
        <v>0</v>
      </c>
      <c r="AP364" s="392">
        <f t="shared" si="151"/>
        <v>0</v>
      </c>
      <c r="AQ364" s="6190">
        <f t="shared" si="152"/>
        <v>0</v>
      </c>
      <c r="AR364" s="6858" t="str">
        <f t="shared" si="153"/>
        <v/>
      </c>
      <c r="AS364" s="6217"/>
      <c r="AT364" s="6217"/>
      <c r="AU364" s="6271">
        <f t="shared" si="154"/>
        <v>0</v>
      </c>
      <c r="AV364" s="6242">
        <f t="shared" si="155"/>
        <v>0</v>
      </c>
      <c r="AW364" s="6188" cm="1">
        <f t="array" ref="AW364">IF(AK364&lt;&gt;1,0,IF(OR(AU364="",N(AU364)&lt;=0.000000001),"",IF(OR(AO364="",N(AO364)&lt;=0.000000001),0,IF(ISNUMBER(AU364),IFERROR(_xlfn.LET(_xlpm.ai_test,TRIM(AJ364),_xlpm.r,IFERROR(_xlfn.XLOOKUP(_xlpm.ai_test,$BJ$15:$BJ$62,ROW($BJ$15:$BJ$62),0,1),IFERROR(_xlfn.XLOOKUP(_xlpm.ai_test,$BK$15:$BK$62,ROW($BK$15:$BK$62),0,1),_xlfn.XLOOKUP(_xlpm.ai_test,$BL$15:$BL$62,ROW($BL$15:$BL$62),0,1))),_xlpm.p,_xlpm.r-MIN(ROW($BJ$15:$BJ$62))+1,_xlpm.f,INDEX($BM$15:$BM$62,_xlpm.p),_xlpm.u,INDEX($BN$15:$BN$62,_xlpm.p),_xlpm.s,INDEX($BP$15:$BP$62,_xlpm.p),_xlpm.q,N(AU364)/_xlpm.f,IF(_xlpm.q&gt;=_xlpm.s,ROUND(_xlpm.q,1)&amp;" "&amp;_xlpm.ai_test&amp;" = "&amp;ROUND(_xlpm.q*_xlpm.f,1)&amp;" "&amp;_xlpm.u,ROUND(_xlpm.q,1)&amp;" "&amp;_xlpm.ai_test)),""),""))))</f>
        <v>0</v>
      </c>
      <c r="AX364" s="6218"/>
      <c r="AY364" s="6271">
        <f t="shared" si="156"/>
        <v>0</v>
      </c>
      <c r="AZ364" s="6242" t="str">
        <f t="shared" si="157"/>
        <v/>
      </c>
      <c r="BA364" s="6194">
        <f t="shared" si="162"/>
        <v>0</v>
      </c>
      <c r="BB364" s="6192" t="str">
        <f t="shared" si="158"/>
        <v/>
      </c>
      <c r="BC364" s="6219"/>
      <c r="BD364" s="6221">
        <f t="shared" si="163"/>
        <v>0</v>
      </c>
      <c r="BE364" s="6220" t="str">
        <f t="shared" si="159"/>
        <v/>
      </c>
      <c r="BF364" s="4" t="s">
        <v>1</v>
      </c>
      <c r="BG364" s="6196">
        <f t="shared" si="160"/>
        <v>0</v>
      </c>
      <c r="BH364" s="6197">
        <f t="shared" si="161"/>
        <v>0</v>
      </c>
      <c r="BI364"/>
      <c r="BJ364" s="1"/>
      <c r="BK364" s="1"/>
      <c r="BL364" s="1"/>
      <c r="BM364" s="1"/>
      <c r="BN364" s="1"/>
      <c r="BO364" s="1"/>
      <c r="BP364" s="1"/>
      <c r="BQ364" s="1"/>
      <c r="BX364" s="20" t="str">
        <f t="shared" si="142"/>
        <v>►</v>
      </c>
      <c r="BY364" s="2"/>
      <c r="BZ364" s="2"/>
      <c r="CA364" s="2"/>
      <c r="CB364" s="2"/>
      <c r="CC364" s="2"/>
      <c r="DC364" s="5">
        <v>1</v>
      </c>
    </row>
    <row r="365" spans="12:107" ht="21" customHeight="1">
      <c r="L365" s="1021" t="s">
        <v>26</v>
      </c>
      <c r="M365" s="6787"/>
      <c r="N365" s="6787"/>
      <c r="O365" s="6787"/>
      <c r="P365" s="6788"/>
      <c r="Q365" s="6789"/>
      <c r="R365" s="6790"/>
      <c r="S365" s="6786"/>
      <c r="T365" s="6791"/>
      <c r="U365" s="6844"/>
      <c r="V365" s="6791"/>
      <c r="W365" s="8487"/>
      <c r="X365" s="6871"/>
      <c r="Y365" s="6793"/>
      <c r="Z365" s="6794"/>
      <c r="AA365" s="6795"/>
      <c r="AB365" s="6796"/>
      <c r="AC365" s="6797"/>
      <c r="AD365" s="6798"/>
      <c r="AE365" s="4" t="s">
        <v>1</v>
      </c>
      <c r="AF365" s="6202" t="str">
        <f t="shared" si="143"/>
        <v>►</v>
      </c>
      <c r="AG365" s="6234" t="str">
        <f t="shared" si="144"/>
        <v/>
      </c>
      <c r="AH365" s="6732" t="str">
        <f t="shared" si="145"/>
        <v/>
      </c>
      <c r="AI365" s="6234" t="str">
        <f t="shared" si="146"/>
        <v/>
      </c>
      <c r="AJ365" s="6732" t="str">
        <f t="shared" si="147"/>
        <v/>
      </c>
      <c r="AK365" s="6732">
        <f t="shared" si="148"/>
        <v>0</v>
      </c>
      <c r="AL365" s="6230" t="str" cm="1">
        <f t="array" ref="AL365">IF(AF365&lt;&gt;"A","",IFERROR((IFERROR(_xlfn.XLOOKUP(TRIM(SUBSTITUTE(U365,CHAR(160)," ")),$BJ$15:$BJ$62,$BM$15:$BM$62),IFERROR(_xlfn.XLOOKUP(TRIM(SUBSTITUTE(U365,CHAR(160)," ")),$BK$15:$BK$62,$BM$15:$BM$62),_xlfn.XLOOKUP(TRIM(SUBSTITUTE(U365,CHAR(160)," ")),$BL$15:$BL$62,$BM$15:$BM$62))))*T365*IF(ISBLANK(Q365),1,Q365)+IFERROR(_xlfn.XLOOKUP("RECHERCHEX",TRIM(L365:AD365),L365:AD365),0),0))</f>
        <v/>
      </c>
      <c r="AM365" s="6229">
        <f t="shared" si="149"/>
        <v>0</v>
      </c>
      <c r="AN365" s="6857" t="str">
        <f t="shared" si="164"/>
        <v/>
      </c>
      <c r="AO365" s="392">
        <f t="shared" si="150"/>
        <v>0</v>
      </c>
      <c r="AP365" s="392">
        <f t="shared" si="151"/>
        <v>0</v>
      </c>
      <c r="AQ365" s="6191">
        <f t="shared" si="152"/>
        <v>0</v>
      </c>
      <c r="AR365" s="6859" t="str">
        <f t="shared" si="153"/>
        <v/>
      </c>
      <c r="AS365" s="6217"/>
      <c r="AT365" s="6217"/>
      <c r="AU365" s="6272">
        <f t="shared" si="154"/>
        <v>0</v>
      </c>
      <c r="AV365" s="6240">
        <f t="shared" si="155"/>
        <v>0</v>
      </c>
      <c r="AW365" s="6189" cm="1">
        <f t="array" ref="AW365">IF(AK365&lt;&gt;1,0,IF(OR(AU365="",N(AU365)&lt;=0.000000001),"",IF(OR(AO365="",N(AO365)&lt;=0.000000001),0,IF(ISNUMBER(AU365),IFERROR(_xlfn.LET(_xlpm.ai_test,TRIM(AJ365),_xlpm.r,IFERROR(_xlfn.XLOOKUP(_xlpm.ai_test,$BJ$15:$BJ$62,ROW($BJ$15:$BJ$62),0,1),IFERROR(_xlfn.XLOOKUP(_xlpm.ai_test,$BK$15:$BK$62,ROW($BK$15:$BK$62),0,1),_xlfn.XLOOKUP(_xlpm.ai_test,$BL$15:$BL$62,ROW($BL$15:$BL$62),0,1))),_xlpm.p,_xlpm.r-MIN(ROW($BJ$15:$BJ$62))+1,_xlpm.f,INDEX($BM$15:$BM$62,_xlpm.p),_xlpm.u,INDEX($BN$15:$BN$62,_xlpm.p),_xlpm.s,INDEX($BP$15:$BP$62,_xlpm.p),_xlpm.q,N(AU365)/_xlpm.f,IF(_xlpm.q&gt;=_xlpm.s,ROUND(_xlpm.q,1)&amp;" "&amp;_xlpm.ai_test&amp;" = "&amp;ROUND(_xlpm.q*_xlpm.f,1)&amp;" "&amp;_xlpm.u,ROUND(_xlpm.q,1)&amp;" "&amp;_xlpm.ai_test)),""),""))))</f>
        <v>0</v>
      </c>
      <c r="AX365" s="6218"/>
      <c r="AY365" s="6272">
        <f t="shared" si="156"/>
        <v>0</v>
      </c>
      <c r="AZ365" s="6240" t="str">
        <f t="shared" si="157"/>
        <v/>
      </c>
      <c r="BA365" s="6195">
        <f t="shared" si="162"/>
        <v>0</v>
      </c>
      <c r="BB365" s="6193" t="str">
        <f t="shared" si="158"/>
        <v/>
      </c>
      <c r="BC365" s="6219"/>
      <c r="BD365" s="6222">
        <f t="shared" si="163"/>
        <v>0</v>
      </c>
      <c r="BE365" s="6220" t="str">
        <f t="shared" si="159"/>
        <v/>
      </c>
      <c r="BF365" s="4" t="s">
        <v>1</v>
      </c>
      <c r="BG365" s="6196">
        <f t="shared" si="160"/>
        <v>0</v>
      </c>
      <c r="BH365" s="6197">
        <f t="shared" si="161"/>
        <v>0</v>
      </c>
      <c r="BI365"/>
      <c r="BJ365" s="1"/>
      <c r="BK365" s="1"/>
      <c r="BL365" s="1"/>
      <c r="BM365" s="1"/>
      <c r="BN365" s="1"/>
      <c r="BO365" s="1"/>
      <c r="BP365" s="1"/>
      <c r="BQ365" s="1"/>
      <c r="BX365" s="20" t="str">
        <f t="shared" si="142"/>
        <v>►</v>
      </c>
      <c r="BY365" s="2"/>
      <c r="BZ365" s="2"/>
      <c r="CA365" s="2"/>
      <c r="CB365" s="2"/>
      <c r="CC365" s="2"/>
      <c r="DC365" s="5">
        <v>1</v>
      </c>
    </row>
    <row r="366" spans="12:107" ht="21" customHeight="1">
      <c r="L366" s="1021" t="s">
        <v>26</v>
      </c>
      <c r="M366" s="6787"/>
      <c r="N366" s="6787"/>
      <c r="O366" s="6787"/>
      <c r="P366" s="6788"/>
      <c r="Q366" s="6789"/>
      <c r="R366" s="6790"/>
      <c r="S366" s="6786"/>
      <c r="T366" s="6791"/>
      <c r="U366" s="6844"/>
      <c r="V366" s="6791"/>
      <c r="W366" s="8487"/>
      <c r="X366" s="6871"/>
      <c r="Y366" s="6793"/>
      <c r="Z366" s="6794"/>
      <c r="AA366" s="6795"/>
      <c r="AB366" s="6796"/>
      <c r="AC366" s="6797"/>
      <c r="AD366" s="6798"/>
      <c r="AE366" s="4" t="s">
        <v>1</v>
      </c>
      <c r="AF366" s="6202" t="str">
        <f t="shared" si="143"/>
        <v>►</v>
      </c>
      <c r="AG366" s="6234" t="str">
        <f t="shared" si="144"/>
        <v/>
      </c>
      <c r="AH366" s="6732" t="str">
        <f t="shared" si="145"/>
        <v/>
      </c>
      <c r="AI366" s="6234" t="str">
        <f t="shared" si="146"/>
        <v/>
      </c>
      <c r="AJ366" s="6732" t="str">
        <f t="shared" si="147"/>
        <v/>
      </c>
      <c r="AK366" s="6732">
        <f t="shared" si="148"/>
        <v>0</v>
      </c>
      <c r="AL366" s="6230" t="str" cm="1">
        <f t="array" ref="AL366">IF(AF366&lt;&gt;"A","",IFERROR((IFERROR(_xlfn.XLOOKUP(TRIM(SUBSTITUTE(U366,CHAR(160)," ")),$BJ$15:$BJ$62,$BM$15:$BM$62),IFERROR(_xlfn.XLOOKUP(TRIM(SUBSTITUTE(U366,CHAR(160)," ")),$BK$15:$BK$62,$BM$15:$BM$62),_xlfn.XLOOKUP(TRIM(SUBSTITUTE(U366,CHAR(160)," ")),$BL$15:$BL$62,$BM$15:$BM$62))))*T366*IF(ISBLANK(Q366),1,Q366)+IFERROR(_xlfn.XLOOKUP("RECHERCHEX",TRIM(L366:AD366),L366:AD366),0),0))</f>
        <v/>
      </c>
      <c r="AM366" s="6229">
        <f t="shared" si="149"/>
        <v>0</v>
      </c>
      <c r="AN366" s="6857" t="str">
        <f t="shared" si="164"/>
        <v/>
      </c>
      <c r="AO366" s="392">
        <f t="shared" si="150"/>
        <v>0</v>
      </c>
      <c r="AP366" s="392">
        <f t="shared" si="151"/>
        <v>0</v>
      </c>
      <c r="AQ366" s="6190">
        <f t="shared" si="152"/>
        <v>0</v>
      </c>
      <c r="AR366" s="6858" t="str">
        <f t="shared" si="153"/>
        <v/>
      </c>
      <c r="AS366" s="6217"/>
      <c r="AT366" s="6217"/>
      <c r="AU366" s="6271">
        <f t="shared" si="154"/>
        <v>0</v>
      </c>
      <c r="AV366" s="6242">
        <f t="shared" si="155"/>
        <v>0</v>
      </c>
      <c r="AW366" s="6188" cm="1">
        <f t="array" ref="AW366">IF(AK366&lt;&gt;1,0,IF(OR(AU366="",N(AU366)&lt;=0.000000001),"",IF(OR(AO366="",N(AO366)&lt;=0.000000001),0,IF(ISNUMBER(AU366),IFERROR(_xlfn.LET(_xlpm.ai_test,TRIM(AJ366),_xlpm.r,IFERROR(_xlfn.XLOOKUP(_xlpm.ai_test,$BJ$15:$BJ$62,ROW($BJ$15:$BJ$62),0,1),IFERROR(_xlfn.XLOOKUP(_xlpm.ai_test,$BK$15:$BK$62,ROW($BK$15:$BK$62),0,1),_xlfn.XLOOKUP(_xlpm.ai_test,$BL$15:$BL$62,ROW($BL$15:$BL$62),0,1))),_xlpm.p,_xlpm.r-MIN(ROW($BJ$15:$BJ$62))+1,_xlpm.f,INDEX($BM$15:$BM$62,_xlpm.p),_xlpm.u,INDEX($BN$15:$BN$62,_xlpm.p),_xlpm.s,INDEX($BP$15:$BP$62,_xlpm.p),_xlpm.q,N(AU366)/_xlpm.f,IF(_xlpm.q&gt;=_xlpm.s,ROUND(_xlpm.q,1)&amp;" "&amp;_xlpm.ai_test&amp;" = "&amp;ROUND(_xlpm.q*_xlpm.f,1)&amp;" "&amp;_xlpm.u,ROUND(_xlpm.q,1)&amp;" "&amp;_xlpm.ai_test)),""),""))))</f>
        <v>0</v>
      </c>
      <c r="AX366" s="6218"/>
      <c r="AY366" s="6271">
        <f t="shared" si="156"/>
        <v>0</v>
      </c>
      <c r="AZ366" s="6242" t="str">
        <f t="shared" si="157"/>
        <v/>
      </c>
      <c r="BA366" s="6194">
        <f t="shared" si="162"/>
        <v>0</v>
      </c>
      <c r="BB366" s="6192" t="str">
        <f t="shared" si="158"/>
        <v/>
      </c>
      <c r="BC366" s="6219"/>
      <c r="BD366" s="6221">
        <f t="shared" si="163"/>
        <v>0</v>
      </c>
      <c r="BE366" s="6220" t="str">
        <f t="shared" si="159"/>
        <v/>
      </c>
      <c r="BF366" s="4" t="s">
        <v>1</v>
      </c>
      <c r="BG366" s="6196">
        <f t="shared" si="160"/>
        <v>0</v>
      </c>
      <c r="BH366" s="6197">
        <f t="shared" si="161"/>
        <v>0</v>
      </c>
      <c r="BI366"/>
      <c r="BJ366" s="1"/>
      <c r="BK366" s="1"/>
      <c r="BL366" s="1"/>
      <c r="BM366" s="1"/>
      <c r="BN366" s="1"/>
      <c r="BO366" s="1"/>
      <c r="BP366" s="1"/>
      <c r="BQ366" s="1"/>
      <c r="BX366" s="20" t="str">
        <f t="shared" si="142"/>
        <v>►</v>
      </c>
      <c r="BY366" s="2"/>
      <c r="BZ366" s="2"/>
      <c r="CA366" s="2"/>
      <c r="CB366" s="2"/>
      <c r="CC366" s="2"/>
      <c r="DC366" s="5">
        <v>1</v>
      </c>
    </row>
    <row r="367" spans="12:107" ht="21" customHeight="1">
      <c r="L367" s="1021" t="s">
        <v>26</v>
      </c>
      <c r="M367" s="6787"/>
      <c r="N367" s="6787"/>
      <c r="O367" s="6787"/>
      <c r="P367" s="6788"/>
      <c r="Q367" s="6789"/>
      <c r="R367" s="6790"/>
      <c r="S367" s="6786"/>
      <c r="T367" s="6791"/>
      <c r="U367" s="6844"/>
      <c r="V367" s="6791"/>
      <c r="W367" s="8487"/>
      <c r="X367" s="6871"/>
      <c r="Y367" s="6793"/>
      <c r="Z367" s="6794"/>
      <c r="AA367" s="6795"/>
      <c r="AB367" s="6796"/>
      <c r="AC367" s="6797"/>
      <c r="AD367" s="6798"/>
      <c r="AE367" s="4" t="s">
        <v>1</v>
      </c>
      <c r="AF367" s="6202" t="str">
        <f t="shared" si="143"/>
        <v>►</v>
      </c>
      <c r="AG367" s="6234" t="str">
        <f t="shared" si="144"/>
        <v/>
      </c>
      <c r="AH367" s="6732" t="str">
        <f t="shared" si="145"/>
        <v/>
      </c>
      <c r="AI367" s="6234" t="str">
        <f t="shared" si="146"/>
        <v/>
      </c>
      <c r="AJ367" s="6732" t="str">
        <f t="shared" si="147"/>
        <v/>
      </c>
      <c r="AK367" s="6732">
        <f t="shared" si="148"/>
        <v>0</v>
      </c>
      <c r="AL367" s="6230" t="str" cm="1">
        <f t="array" ref="AL367">IF(AF367&lt;&gt;"A","",IFERROR((IFERROR(_xlfn.XLOOKUP(TRIM(SUBSTITUTE(U367,CHAR(160)," ")),$BJ$15:$BJ$62,$BM$15:$BM$62),IFERROR(_xlfn.XLOOKUP(TRIM(SUBSTITUTE(U367,CHAR(160)," ")),$BK$15:$BK$62,$BM$15:$BM$62),_xlfn.XLOOKUP(TRIM(SUBSTITUTE(U367,CHAR(160)," ")),$BL$15:$BL$62,$BM$15:$BM$62))))*T367*IF(ISBLANK(Q367),1,Q367)+IFERROR(_xlfn.XLOOKUP("RECHERCHEX",TRIM(L367:AD367),L367:AD367),0),0))</f>
        <v/>
      </c>
      <c r="AM367" s="6229">
        <f t="shared" si="149"/>
        <v>0</v>
      </c>
      <c r="AN367" s="6857" t="str">
        <f t="shared" si="164"/>
        <v/>
      </c>
      <c r="AO367" s="392">
        <f t="shared" si="150"/>
        <v>0</v>
      </c>
      <c r="AP367" s="392">
        <f t="shared" si="151"/>
        <v>0</v>
      </c>
      <c r="AQ367" s="6191">
        <f t="shared" si="152"/>
        <v>0</v>
      </c>
      <c r="AR367" s="6859" t="str">
        <f t="shared" si="153"/>
        <v/>
      </c>
      <c r="AS367" s="6217"/>
      <c r="AT367" s="6217"/>
      <c r="AU367" s="6272">
        <f t="shared" si="154"/>
        <v>0</v>
      </c>
      <c r="AV367" s="6240">
        <f t="shared" si="155"/>
        <v>0</v>
      </c>
      <c r="AW367" s="6189" cm="1">
        <f t="array" ref="AW367">IF(AK367&lt;&gt;1,0,IF(OR(AU367="",N(AU367)&lt;=0.000000001),"",IF(OR(AO367="",N(AO367)&lt;=0.000000001),0,IF(ISNUMBER(AU367),IFERROR(_xlfn.LET(_xlpm.ai_test,TRIM(AJ367),_xlpm.r,IFERROR(_xlfn.XLOOKUP(_xlpm.ai_test,$BJ$15:$BJ$62,ROW($BJ$15:$BJ$62),0,1),IFERROR(_xlfn.XLOOKUP(_xlpm.ai_test,$BK$15:$BK$62,ROW($BK$15:$BK$62),0,1),_xlfn.XLOOKUP(_xlpm.ai_test,$BL$15:$BL$62,ROW($BL$15:$BL$62),0,1))),_xlpm.p,_xlpm.r-MIN(ROW($BJ$15:$BJ$62))+1,_xlpm.f,INDEX($BM$15:$BM$62,_xlpm.p),_xlpm.u,INDEX($BN$15:$BN$62,_xlpm.p),_xlpm.s,INDEX($BP$15:$BP$62,_xlpm.p),_xlpm.q,N(AU367)/_xlpm.f,IF(_xlpm.q&gt;=_xlpm.s,ROUND(_xlpm.q,1)&amp;" "&amp;_xlpm.ai_test&amp;" = "&amp;ROUND(_xlpm.q*_xlpm.f,1)&amp;" "&amp;_xlpm.u,ROUND(_xlpm.q,1)&amp;" "&amp;_xlpm.ai_test)),""),""))))</f>
        <v>0</v>
      </c>
      <c r="AX367" s="6218"/>
      <c r="AY367" s="6272">
        <f t="shared" si="156"/>
        <v>0</v>
      </c>
      <c r="AZ367" s="6240" t="str">
        <f t="shared" si="157"/>
        <v/>
      </c>
      <c r="BA367" s="6195">
        <f t="shared" si="162"/>
        <v>0</v>
      </c>
      <c r="BB367" s="6193" t="str">
        <f t="shared" si="158"/>
        <v/>
      </c>
      <c r="BC367" s="6219"/>
      <c r="BD367" s="6222">
        <f t="shared" si="163"/>
        <v>0</v>
      </c>
      <c r="BE367" s="6220" t="str">
        <f t="shared" si="159"/>
        <v/>
      </c>
      <c r="BF367" s="4" t="s">
        <v>1</v>
      </c>
      <c r="BG367" s="6196">
        <f t="shared" si="160"/>
        <v>0</v>
      </c>
      <c r="BH367" s="6197">
        <f t="shared" si="161"/>
        <v>0</v>
      </c>
      <c r="BI367"/>
      <c r="BJ367" s="1"/>
      <c r="BK367" s="1"/>
      <c r="BL367" s="1"/>
      <c r="BM367" s="1"/>
      <c r="BN367" s="1"/>
      <c r="BO367" s="1"/>
      <c r="BP367" s="1"/>
      <c r="BQ367" s="1"/>
      <c r="BX367" s="20" t="str">
        <f t="shared" si="142"/>
        <v>►</v>
      </c>
      <c r="BY367" s="2"/>
      <c r="BZ367" s="2"/>
      <c r="CA367" s="2"/>
      <c r="CB367" s="2"/>
      <c r="CC367" s="2"/>
      <c r="DC367" s="5">
        <v>1</v>
      </c>
    </row>
    <row r="368" spans="12:107" ht="21" customHeight="1">
      <c r="L368" s="1021" t="s">
        <v>26</v>
      </c>
      <c r="M368" s="6787"/>
      <c r="N368" s="6787"/>
      <c r="O368" s="6787"/>
      <c r="P368" s="6788"/>
      <c r="Q368" s="6789"/>
      <c r="R368" s="6790"/>
      <c r="S368" s="6786"/>
      <c r="T368" s="6791"/>
      <c r="U368" s="6844"/>
      <c r="V368" s="6791"/>
      <c r="W368" s="8487"/>
      <c r="X368" s="6871"/>
      <c r="Y368" s="6793"/>
      <c r="Z368" s="6794"/>
      <c r="AA368" s="6795"/>
      <c r="AB368" s="6796"/>
      <c r="AC368" s="6797"/>
      <c r="AD368" s="6798"/>
      <c r="AE368" s="4" t="s">
        <v>1</v>
      </c>
      <c r="AF368" s="6202" t="str">
        <f t="shared" si="143"/>
        <v>►</v>
      </c>
      <c r="AG368" s="6234" t="str">
        <f t="shared" si="144"/>
        <v/>
      </c>
      <c r="AH368" s="6732" t="str">
        <f t="shared" si="145"/>
        <v/>
      </c>
      <c r="AI368" s="6234" t="str">
        <f t="shared" si="146"/>
        <v/>
      </c>
      <c r="AJ368" s="6732" t="str">
        <f t="shared" si="147"/>
        <v/>
      </c>
      <c r="AK368" s="6732">
        <f t="shared" si="148"/>
        <v>0</v>
      </c>
      <c r="AL368" s="6230" t="str" cm="1">
        <f t="array" ref="AL368">IF(AF368&lt;&gt;"A","",IFERROR((IFERROR(_xlfn.XLOOKUP(TRIM(SUBSTITUTE(U368,CHAR(160)," ")),$BJ$15:$BJ$62,$BM$15:$BM$62),IFERROR(_xlfn.XLOOKUP(TRIM(SUBSTITUTE(U368,CHAR(160)," ")),$BK$15:$BK$62,$BM$15:$BM$62),_xlfn.XLOOKUP(TRIM(SUBSTITUTE(U368,CHAR(160)," ")),$BL$15:$BL$62,$BM$15:$BM$62))))*T368*IF(ISBLANK(Q368),1,Q368)+IFERROR(_xlfn.XLOOKUP("RECHERCHEX",TRIM(L368:AD368),L368:AD368),0),0))</f>
        <v/>
      </c>
      <c r="AM368" s="6229">
        <f t="shared" si="149"/>
        <v>0</v>
      </c>
      <c r="AN368" s="6857" t="str">
        <f t="shared" si="164"/>
        <v/>
      </c>
      <c r="AO368" s="392">
        <f t="shared" si="150"/>
        <v>0</v>
      </c>
      <c r="AP368" s="392">
        <f t="shared" si="151"/>
        <v>0</v>
      </c>
      <c r="AQ368" s="6190">
        <f t="shared" si="152"/>
        <v>0</v>
      </c>
      <c r="AR368" s="6858" t="str">
        <f t="shared" si="153"/>
        <v/>
      </c>
      <c r="AS368" s="6217"/>
      <c r="AT368" s="6217"/>
      <c r="AU368" s="6271">
        <f t="shared" si="154"/>
        <v>0</v>
      </c>
      <c r="AV368" s="6242">
        <f t="shared" si="155"/>
        <v>0</v>
      </c>
      <c r="AW368" s="6188" cm="1">
        <f t="array" ref="AW368">IF(AK368&lt;&gt;1,0,IF(OR(AU368="",N(AU368)&lt;=0.000000001),"",IF(OR(AO368="",N(AO368)&lt;=0.000000001),0,IF(ISNUMBER(AU368),IFERROR(_xlfn.LET(_xlpm.ai_test,TRIM(AJ368),_xlpm.r,IFERROR(_xlfn.XLOOKUP(_xlpm.ai_test,$BJ$15:$BJ$62,ROW($BJ$15:$BJ$62),0,1),IFERROR(_xlfn.XLOOKUP(_xlpm.ai_test,$BK$15:$BK$62,ROW($BK$15:$BK$62),0,1),_xlfn.XLOOKUP(_xlpm.ai_test,$BL$15:$BL$62,ROW($BL$15:$BL$62),0,1))),_xlpm.p,_xlpm.r-MIN(ROW($BJ$15:$BJ$62))+1,_xlpm.f,INDEX($BM$15:$BM$62,_xlpm.p),_xlpm.u,INDEX($BN$15:$BN$62,_xlpm.p),_xlpm.s,INDEX($BP$15:$BP$62,_xlpm.p),_xlpm.q,N(AU368)/_xlpm.f,IF(_xlpm.q&gt;=_xlpm.s,ROUND(_xlpm.q,1)&amp;" "&amp;_xlpm.ai_test&amp;" = "&amp;ROUND(_xlpm.q*_xlpm.f,1)&amp;" "&amp;_xlpm.u,ROUND(_xlpm.q,1)&amp;" "&amp;_xlpm.ai_test)),""),""))))</f>
        <v>0</v>
      </c>
      <c r="AX368" s="6218"/>
      <c r="AY368" s="6271">
        <f t="shared" si="156"/>
        <v>0</v>
      </c>
      <c r="AZ368" s="6242" t="str">
        <f t="shared" si="157"/>
        <v/>
      </c>
      <c r="BA368" s="6194">
        <f t="shared" si="162"/>
        <v>0</v>
      </c>
      <c r="BB368" s="6192" t="str">
        <f t="shared" si="158"/>
        <v/>
      </c>
      <c r="BC368" s="6219"/>
      <c r="BD368" s="6221">
        <f t="shared" si="163"/>
        <v>0</v>
      </c>
      <c r="BE368" s="6220" t="str">
        <f t="shared" si="159"/>
        <v/>
      </c>
      <c r="BF368" s="4" t="s">
        <v>1</v>
      </c>
      <c r="BG368" s="6196">
        <f t="shared" si="160"/>
        <v>0</v>
      </c>
      <c r="BH368" s="6197">
        <f t="shared" si="161"/>
        <v>0</v>
      </c>
      <c r="BI368"/>
      <c r="BJ368" s="1"/>
      <c r="BK368" s="1"/>
      <c r="BL368" s="1"/>
      <c r="BM368" s="1"/>
      <c r="BN368" s="1"/>
      <c r="BO368" s="1"/>
      <c r="BP368" s="1"/>
      <c r="BQ368" s="1"/>
      <c r="BX368" s="20" t="str">
        <f t="shared" si="142"/>
        <v>►</v>
      </c>
      <c r="BY368" s="2"/>
      <c r="BZ368" s="2"/>
      <c r="CA368" s="2"/>
      <c r="CB368" s="2"/>
      <c r="CC368" s="2"/>
      <c r="DC368" s="5">
        <v>1</v>
      </c>
    </row>
    <row r="369" spans="12:107" ht="21" customHeight="1">
      <c r="L369" s="1021" t="s">
        <v>26</v>
      </c>
      <c r="M369" s="6787"/>
      <c r="N369" s="6787"/>
      <c r="O369" s="6787"/>
      <c r="P369" s="6788"/>
      <c r="Q369" s="6789"/>
      <c r="R369" s="6790"/>
      <c r="S369" s="6786"/>
      <c r="T369" s="6791"/>
      <c r="U369" s="6844"/>
      <c r="V369" s="6791"/>
      <c r="W369" s="8487"/>
      <c r="X369" s="6871"/>
      <c r="Y369" s="6793"/>
      <c r="Z369" s="6794"/>
      <c r="AA369" s="6795"/>
      <c r="AB369" s="6796"/>
      <c r="AC369" s="6797"/>
      <c r="AD369" s="6798"/>
      <c r="AE369" s="4" t="s">
        <v>1</v>
      </c>
      <c r="AF369" s="6202" t="str">
        <f t="shared" si="143"/>
        <v>►</v>
      </c>
      <c r="AG369" s="6234" t="str">
        <f t="shared" si="144"/>
        <v/>
      </c>
      <c r="AH369" s="6732" t="str">
        <f t="shared" si="145"/>
        <v/>
      </c>
      <c r="AI369" s="6234" t="str">
        <f t="shared" si="146"/>
        <v/>
      </c>
      <c r="AJ369" s="6732" t="str">
        <f t="shared" si="147"/>
        <v/>
      </c>
      <c r="AK369" s="6732">
        <f t="shared" si="148"/>
        <v>0</v>
      </c>
      <c r="AL369" s="6230" t="str" cm="1">
        <f t="array" ref="AL369">IF(AF369&lt;&gt;"A","",IFERROR((IFERROR(_xlfn.XLOOKUP(TRIM(SUBSTITUTE(U369,CHAR(160)," ")),$BJ$15:$BJ$62,$BM$15:$BM$62),IFERROR(_xlfn.XLOOKUP(TRIM(SUBSTITUTE(U369,CHAR(160)," ")),$BK$15:$BK$62,$BM$15:$BM$62),_xlfn.XLOOKUP(TRIM(SUBSTITUTE(U369,CHAR(160)," ")),$BL$15:$BL$62,$BM$15:$BM$62))))*T369*IF(ISBLANK(Q369),1,Q369)+IFERROR(_xlfn.XLOOKUP("RECHERCHEX",TRIM(L369:AD369),L369:AD369),0),0))</f>
        <v/>
      </c>
      <c r="AM369" s="6229">
        <f t="shared" si="149"/>
        <v>0</v>
      </c>
      <c r="AN369" s="6857" t="str">
        <f t="shared" si="164"/>
        <v/>
      </c>
      <c r="AO369" s="392">
        <f t="shared" si="150"/>
        <v>0</v>
      </c>
      <c r="AP369" s="392">
        <f t="shared" si="151"/>
        <v>0</v>
      </c>
      <c r="AQ369" s="6191">
        <f t="shared" si="152"/>
        <v>0</v>
      </c>
      <c r="AR369" s="6859" t="str">
        <f t="shared" si="153"/>
        <v/>
      </c>
      <c r="AS369" s="6217"/>
      <c r="AT369" s="6217"/>
      <c r="AU369" s="6272">
        <f t="shared" si="154"/>
        <v>0</v>
      </c>
      <c r="AV369" s="6240">
        <f t="shared" si="155"/>
        <v>0</v>
      </c>
      <c r="AW369" s="6189" cm="1">
        <f t="array" ref="AW369">IF(AK369&lt;&gt;1,0,IF(OR(AU369="",N(AU369)&lt;=0.000000001),"",IF(OR(AO369="",N(AO369)&lt;=0.000000001),0,IF(ISNUMBER(AU369),IFERROR(_xlfn.LET(_xlpm.ai_test,TRIM(AJ369),_xlpm.r,IFERROR(_xlfn.XLOOKUP(_xlpm.ai_test,$BJ$15:$BJ$62,ROW($BJ$15:$BJ$62),0,1),IFERROR(_xlfn.XLOOKUP(_xlpm.ai_test,$BK$15:$BK$62,ROW($BK$15:$BK$62),0,1),_xlfn.XLOOKUP(_xlpm.ai_test,$BL$15:$BL$62,ROW($BL$15:$BL$62),0,1))),_xlpm.p,_xlpm.r-MIN(ROW($BJ$15:$BJ$62))+1,_xlpm.f,INDEX($BM$15:$BM$62,_xlpm.p),_xlpm.u,INDEX($BN$15:$BN$62,_xlpm.p),_xlpm.s,INDEX($BP$15:$BP$62,_xlpm.p),_xlpm.q,N(AU369)/_xlpm.f,IF(_xlpm.q&gt;=_xlpm.s,ROUND(_xlpm.q,1)&amp;" "&amp;_xlpm.ai_test&amp;" = "&amp;ROUND(_xlpm.q*_xlpm.f,1)&amp;" "&amp;_xlpm.u,ROUND(_xlpm.q,1)&amp;" "&amp;_xlpm.ai_test)),""),""))))</f>
        <v>0</v>
      </c>
      <c r="AX369" s="6218"/>
      <c r="AY369" s="6272">
        <f t="shared" si="156"/>
        <v>0</v>
      </c>
      <c r="AZ369" s="6240" t="str">
        <f t="shared" si="157"/>
        <v/>
      </c>
      <c r="BA369" s="6195">
        <f t="shared" si="162"/>
        <v>0</v>
      </c>
      <c r="BB369" s="6193" t="str">
        <f t="shared" si="158"/>
        <v/>
      </c>
      <c r="BC369" s="6219"/>
      <c r="BD369" s="6222">
        <f t="shared" si="163"/>
        <v>0</v>
      </c>
      <c r="BE369" s="6220" t="str">
        <f t="shared" si="159"/>
        <v/>
      </c>
      <c r="BF369" s="4" t="s">
        <v>1</v>
      </c>
      <c r="BG369" s="6196">
        <f t="shared" si="160"/>
        <v>0</v>
      </c>
      <c r="BH369" s="6197">
        <f t="shared" si="161"/>
        <v>0</v>
      </c>
      <c r="BI369"/>
      <c r="BJ369" s="1"/>
      <c r="BK369" s="1"/>
      <c r="BL369" s="1"/>
      <c r="BM369" s="1"/>
      <c r="BN369" s="1"/>
      <c r="BO369" s="1"/>
      <c r="BP369" s="1"/>
      <c r="BQ369" s="1"/>
      <c r="BX369" s="20" t="str">
        <f t="shared" si="142"/>
        <v>►</v>
      </c>
      <c r="BY369" s="2"/>
      <c r="BZ369" s="2"/>
      <c r="CA369" s="2"/>
      <c r="CB369" s="2"/>
      <c r="CC369" s="2"/>
      <c r="DC369" s="5">
        <v>1</v>
      </c>
    </row>
    <row r="370" spans="12:107" ht="21" customHeight="1">
      <c r="L370" s="1021" t="s">
        <v>26</v>
      </c>
      <c r="M370" s="6787"/>
      <c r="N370" s="6787"/>
      <c r="O370" s="6787"/>
      <c r="P370" s="6788"/>
      <c r="Q370" s="6789"/>
      <c r="R370" s="6790"/>
      <c r="S370" s="6786"/>
      <c r="T370" s="6791"/>
      <c r="U370" s="6844"/>
      <c r="V370" s="6791"/>
      <c r="W370" s="8487"/>
      <c r="X370" s="6871"/>
      <c r="Y370" s="6793"/>
      <c r="Z370" s="6794"/>
      <c r="AA370" s="6795"/>
      <c r="AB370" s="6796"/>
      <c r="AC370" s="6797"/>
      <c r="AD370" s="6798"/>
      <c r="AE370" s="4" t="s">
        <v>1</v>
      </c>
      <c r="AF370" s="6202" t="str">
        <f t="shared" si="143"/>
        <v>►</v>
      </c>
      <c r="AG370" s="6234" t="str">
        <f t="shared" si="144"/>
        <v/>
      </c>
      <c r="AH370" s="6732" t="str">
        <f t="shared" si="145"/>
        <v/>
      </c>
      <c r="AI370" s="6234" t="str">
        <f t="shared" si="146"/>
        <v/>
      </c>
      <c r="AJ370" s="6732" t="str">
        <f t="shared" si="147"/>
        <v/>
      </c>
      <c r="AK370" s="6732">
        <f t="shared" si="148"/>
        <v>0</v>
      </c>
      <c r="AL370" s="6230" t="str" cm="1">
        <f t="array" ref="AL370">IF(AF370&lt;&gt;"A","",IFERROR((IFERROR(_xlfn.XLOOKUP(TRIM(SUBSTITUTE(U370,CHAR(160)," ")),$BJ$15:$BJ$62,$BM$15:$BM$62),IFERROR(_xlfn.XLOOKUP(TRIM(SUBSTITUTE(U370,CHAR(160)," ")),$BK$15:$BK$62,$BM$15:$BM$62),_xlfn.XLOOKUP(TRIM(SUBSTITUTE(U370,CHAR(160)," ")),$BL$15:$BL$62,$BM$15:$BM$62))))*T370*IF(ISBLANK(Q370),1,Q370)+IFERROR(_xlfn.XLOOKUP("RECHERCHEX",TRIM(L370:AD370),L370:AD370),0),0))</f>
        <v/>
      </c>
      <c r="AM370" s="6229">
        <f t="shared" si="149"/>
        <v>0</v>
      </c>
      <c r="AN370" s="6857" t="str">
        <f t="shared" si="164"/>
        <v/>
      </c>
      <c r="AO370" s="392">
        <f t="shared" si="150"/>
        <v>0</v>
      </c>
      <c r="AP370" s="392">
        <f t="shared" si="151"/>
        <v>0</v>
      </c>
      <c r="AQ370" s="6190">
        <f t="shared" si="152"/>
        <v>0</v>
      </c>
      <c r="AR370" s="6858" t="str">
        <f t="shared" si="153"/>
        <v/>
      </c>
      <c r="AS370" s="6217"/>
      <c r="AT370" s="6217"/>
      <c r="AU370" s="6271">
        <f t="shared" si="154"/>
        <v>0</v>
      </c>
      <c r="AV370" s="6242">
        <f t="shared" si="155"/>
        <v>0</v>
      </c>
      <c r="AW370" s="6188" cm="1">
        <f t="array" ref="AW370">IF(AK370&lt;&gt;1,0,IF(OR(AU370="",N(AU370)&lt;=0.000000001),"",IF(OR(AO370="",N(AO370)&lt;=0.000000001),0,IF(ISNUMBER(AU370),IFERROR(_xlfn.LET(_xlpm.ai_test,TRIM(AJ370),_xlpm.r,IFERROR(_xlfn.XLOOKUP(_xlpm.ai_test,$BJ$15:$BJ$62,ROW($BJ$15:$BJ$62),0,1),IFERROR(_xlfn.XLOOKUP(_xlpm.ai_test,$BK$15:$BK$62,ROW($BK$15:$BK$62),0,1),_xlfn.XLOOKUP(_xlpm.ai_test,$BL$15:$BL$62,ROW($BL$15:$BL$62),0,1))),_xlpm.p,_xlpm.r-MIN(ROW($BJ$15:$BJ$62))+1,_xlpm.f,INDEX($BM$15:$BM$62,_xlpm.p),_xlpm.u,INDEX($BN$15:$BN$62,_xlpm.p),_xlpm.s,INDEX($BP$15:$BP$62,_xlpm.p),_xlpm.q,N(AU370)/_xlpm.f,IF(_xlpm.q&gt;=_xlpm.s,ROUND(_xlpm.q,1)&amp;" "&amp;_xlpm.ai_test&amp;" = "&amp;ROUND(_xlpm.q*_xlpm.f,1)&amp;" "&amp;_xlpm.u,ROUND(_xlpm.q,1)&amp;" "&amp;_xlpm.ai_test)),""),""))))</f>
        <v>0</v>
      </c>
      <c r="AX370" s="6218"/>
      <c r="AY370" s="6271">
        <f t="shared" si="156"/>
        <v>0</v>
      </c>
      <c r="AZ370" s="6242" t="str">
        <f t="shared" si="157"/>
        <v/>
      </c>
      <c r="BA370" s="6194">
        <f t="shared" si="162"/>
        <v>0</v>
      </c>
      <c r="BB370" s="6192" t="str">
        <f t="shared" si="158"/>
        <v/>
      </c>
      <c r="BC370" s="6219"/>
      <c r="BD370" s="6221">
        <f t="shared" si="163"/>
        <v>0</v>
      </c>
      <c r="BE370" s="6220" t="str">
        <f t="shared" si="159"/>
        <v/>
      </c>
      <c r="BF370" s="4" t="s">
        <v>1</v>
      </c>
      <c r="BG370" s="6196">
        <f t="shared" si="160"/>
        <v>0</v>
      </c>
      <c r="BH370" s="6197">
        <f t="shared" si="161"/>
        <v>0</v>
      </c>
      <c r="BI370"/>
      <c r="BJ370" s="1"/>
      <c r="BK370" s="1"/>
      <c r="BL370" s="1"/>
      <c r="BM370" s="1"/>
      <c r="BN370" s="1"/>
      <c r="BO370" s="1"/>
      <c r="BP370" s="1"/>
      <c r="BQ370" s="1"/>
      <c r="BX370" s="20" t="str">
        <f t="shared" si="142"/>
        <v>►</v>
      </c>
      <c r="BY370" s="2"/>
      <c r="BZ370" s="2"/>
      <c r="CA370" s="2"/>
      <c r="CB370" s="2"/>
      <c r="CC370" s="2"/>
      <c r="DC370" s="5">
        <v>1</v>
      </c>
    </row>
    <row r="371" spans="12:107" ht="21" customHeight="1">
      <c r="L371" s="1021" t="s">
        <v>26</v>
      </c>
      <c r="M371" s="6787"/>
      <c r="N371" s="6787"/>
      <c r="O371" s="6787"/>
      <c r="P371" s="6788"/>
      <c r="Q371" s="6789"/>
      <c r="R371" s="6790"/>
      <c r="S371" s="6786"/>
      <c r="T371" s="6791"/>
      <c r="U371" s="6844"/>
      <c r="V371" s="6791"/>
      <c r="W371" s="8487"/>
      <c r="X371" s="6871"/>
      <c r="Y371" s="6793"/>
      <c r="Z371" s="6794"/>
      <c r="AA371" s="6795"/>
      <c r="AB371" s="6796"/>
      <c r="AC371" s="6797"/>
      <c r="AD371" s="6798"/>
      <c r="AE371" s="4" t="s">
        <v>1</v>
      </c>
      <c r="AF371" s="6202" t="str">
        <f t="shared" si="143"/>
        <v>►</v>
      </c>
      <c r="AG371" s="6234" t="str">
        <f t="shared" si="144"/>
        <v/>
      </c>
      <c r="AH371" s="6732" t="str">
        <f t="shared" si="145"/>
        <v/>
      </c>
      <c r="AI371" s="6234" t="str">
        <f t="shared" si="146"/>
        <v/>
      </c>
      <c r="AJ371" s="6732" t="str">
        <f t="shared" si="147"/>
        <v/>
      </c>
      <c r="AK371" s="6732">
        <f t="shared" si="148"/>
        <v>0</v>
      </c>
      <c r="AL371" s="6230" t="str" cm="1">
        <f t="array" ref="AL371">IF(AF371&lt;&gt;"A","",IFERROR((IFERROR(_xlfn.XLOOKUP(TRIM(SUBSTITUTE(U371,CHAR(160)," ")),$BJ$15:$BJ$62,$BM$15:$BM$62),IFERROR(_xlfn.XLOOKUP(TRIM(SUBSTITUTE(U371,CHAR(160)," ")),$BK$15:$BK$62,$BM$15:$BM$62),_xlfn.XLOOKUP(TRIM(SUBSTITUTE(U371,CHAR(160)," ")),$BL$15:$BL$62,$BM$15:$BM$62))))*T371*IF(ISBLANK(Q371),1,Q371)+IFERROR(_xlfn.XLOOKUP("RECHERCHEX",TRIM(L371:AD371),L371:AD371),0),0))</f>
        <v/>
      </c>
      <c r="AM371" s="6229">
        <f t="shared" si="149"/>
        <v>0</v>
      </c>
      <c r="AN371" s="6857" t="str">
        <f t="shared" si="164"/>
        <v/>
      </c>
      <c r="AO371" s="392">
        <f t="shared" si="150"/>
        <v>0</v>
      </c>
      <c r="AP371" s="392">
        <f t="shared" si="151"/>
        <v>0</v>
      </c>
      <c r="AQ371" s="6191">
        <f t="shared" si="152"/>
        <v>0</v>
      </c>
      <c r="AR371" s="6859" t="str">
        <f t="shared" si="153"/>
        <v/>
      </c>
      <c r="AS371" s="6217"/>
      <c r="AT371" s="6217"/>
      <c r="AU371" s="6272">
        <f t="shared" si="154"/>
        <v>0</v>
      </c>
      <c r="AV371" s="6240">
        <f t="shared" si="155"/>
        <v>0</v>
      </c>
      <c r="AW371" s="6189" cm="1">
        <f t="array" ref="AW371">IF(AK371&lt;&gt;1,0,IF(OR(AU371="",N(AU371)&lt;=0.000000001),"",IF(OR(AO371="",N(AO371)&lt;=0.000000001),0,IF(ISNUMBER(AU371),IFERROR(_xlfn.LET(_xlpm.ai_test,TRIM(AJ371),_xlpm.r,IFERROR(_xlfn.XLOOKUP(_xlpm.ai_test,$BJ$15:$BJ$62,ROW($BJ$15:$BJ$62),0,1),IFERROR(_xlfn.XLOOKUP(_xlpm.ai_test,$BK$15:$BK$62,ROW($BK$15:$BK$62),0,1),_xlfn.XLOOKUP(_xlpm.ai_test,$BL$15:$BL$62,ROW($BL$15:$BL$62),0,1))),_xlpm.p,_xlpm.r-MIN(ROW($BJ$15:$BJ$62))+1,_xlpm.f,INDEX($BM$15:$BM$62,_xlpm.p),_xlpm.u,INDEX($BN$15:$BN$62,_xlpm.p),_xlpm.s,INDEX($BP$15:$BP$62,_xlpm.p),_xlpm.q,N(AU371)/_xlpm.f,IF(_xlpm.q&gt;=_xlpm.s,ROUND(_xlpm.q,1)&amp;" "&amp;_xlpm.ai_test&amp;" = "&amp;ROUND(_xlpm.q*_xlpm.f,1)&amp;" "&amp;_xlpm.u,ROUND(_xlpm.q,1)&amp;" "&amp;_xlpm.ai_test)),""),""))))</f>
        <v>0</v>
      </c>
      <c r="AX371" s="6218"/>
      <c r="AY371" s="6272">
        <f t="shared" si="156"/>
        <v>0</v>
      </c>
      <c r="AZ371" s="6240" t="str">
        <f t="shared" si="157"/>
        <v/>
      </c>
      <c r="BA371" s="6195">
        <f t="shared" si="162"/>
        <v>0</v>
      </c>
      <c r="BB371" s="6193" t="str">
        <f t="shared" si="158"/>
        <v/>
      </c>
      <c r="BC371" s="6219"/>
      <c r="BD371" s="6222">
        <f t="shared" si="163"/>
        <v>0</v>
      </c>
      <c r="BE371" s="6220" t="str">
        <f t="shared" si="159"/>
        <v/>
      </c>
      <c r="BF371" s="4" t="s">
        <v>1</v>
      </c>
      <c r="BG371" s="6196">
        <f t="shared" si="160"/>
        <v>0</v>
      </c>
      <c r="BH371" s="6197">
        <f t="shared" si="161"/>
        <v>0</v>
      </c>
      <c r="BI371"/>
      <c r="BJ371" s="1"/>
      <c r="BK371" s="1"/>
      <c r="BL371" s="1"/>
      <c r="BM371" s="1"/>
      <c r="BN371" s="1"/>
      <c r="BO371" s="1"/>
      <c r="BP371" s="1"/>
      <c r="BQ371" s="1"/>
      <c r="BX371" s="20" t="str">
        <f t="shared" si="142"/>
        <v>►</v>
      </c>
      <c r="BY371" s="2"/>
      <c r="BZ371" s="2"/>
      <c r="CA371" s="2"/>
      <c r="CB371" s="2"/>
      <c r="CC371" s="2"/>
      <c r="DC371" s="5">
        <v>1</v>
      </c>
    </row>
    <row r="372" spans="12:107" ht="21" customHeight="1">
      <c r="L372" s="1021" t="s">
        <v>26</v>
      </c>
      <c r="M372" s="6787"/>
      <c r="N372" s="6787"/>
      <c r="O372" s="6787"/>
      <c r="P372" s="6788"/>
      <c r="Q372" s="6789"/>
      <c r="R372" s="6790"/>
      <c r="S372" s="6786"/>
      <c r="T372" s="6791"/>
      <c r="U372" s="6844"/>
      <c r="V372" s="6791"/>
      <c r="W372" s="8487"/>
      <c r="X372" s="6871"/>
      <c r="Y372" s="6793"/>
      <c r="Z372" s="6794"/>
      <c r="AA372" s="6795"/>
      <c r="AB372" s="6796"/>
      <c r="AC372" s="6797"/>
      <c r="AD372" s="6798"/>
      <c r="AE372" s="4" t="s">
        <v>1</v>
      </c>
      <c r="AF372" s="6202" t="str">
        <f t="shared" si="143"/>
        <v>►</v>
      </c>
      <c r="AG372" s="6234" t="str">
        <f t="shared" si="144"/>
        <v/>
      </c>
      <c r="AH372" s="6732" t="str">
        <f t="shared" si="145"/>
        <v/>
      </c>
      <c r="AI372" s="6234" t="str">
        <f t="shared" si="146"/>
        <v/>
      </c>
      <c r="AJ372" s="6732" t="str">
        <f t="shared" si="147"/>
        <v/>
      </c>
      <c r="AK372" s="6732">
        <f t="shared" si="148"/>
        <v>0</v>
      </c>
      <c r="AL372" s="6230" t="str" cm="1">
        <f t="array" ref="AL372">IF(AF372&lt;&gt;"A","",IFERROR((IFERROR(_xlfn.XLOOKUP(TRIM(SUBSTITUTE(U372,CHAR(160)," ")),$BJ$15:$BJ$62,$BM$15:$BM$62),IFERROR(_xlfn.XLOOKUP(TRIM(SUBSTITUTE(U372,CHAR(160)," ")),$BK$15:$BK$62,$BM$15:$BM$62),_xlfn.XLOOKUP(TRIM(SUBSTITUTE(U372,CHAR(160)," ")),$BL$15:$BL$62,$BM$15:$BM$62))))*T372*IF(ISBLANK(Q372),1,Q372)+IFERROR(_xlfn.XLOOKUP("RECHERCHEX",TRIM(L372:AD372),L372:AD372),0),0))</f>
        <v/>
      </c>
      <c r="AM372" s="6229">
        <f t="shared" si="149"/>
        <v>0</v>
      </c>
      <c r="AN372" s="6857" t="str">
        <f t="shared" si="164"/>
        <v/>
      </c>
      <c r="AO372" s="392">
        <f t="shared" si="150"/>
        <v>0</v>
      </c>
      <c r="AP372" s="392">
        <f t="shared" si="151"/>
        <v>0</v>
      </c>
      <c r="AQ372" s="6190">
        <f t="shared" si="152"/>
        <v>0</v>
      </c>
      <c r="AR372" s="6858" t="str">
        <f t="shared" si="153"/>
        <v/>
      </c>
      <c r="AS372" s="6217"/>
      <c r="AT372" s="6217"/>
      <c r="AU372" s="6271">
        <f t="shared" si="154"/>
        <v>0</v>
      </c>
      <c r="AV372" s="6242">
        <f t="shared" si="155"/>
        <v>0</v>
      </c>
      <c r="AW372" s="6188" cm="1">
        <f t="array" ref="AW372">IF(AK372&lt;&gt;1,0,IF(OR(AU372="",N(AU372)&lt;=0.000000001),"",IF(OR(AO372="",N(AO372)&lt;=0.000000001),0,IF(ISNUMBER(AU372),IFERROR(_xlfn.LET(_xlpm.ai_test,TRIM(AJ372),_xlpm.r,IFERROR(_xlfn.XLOOKUP(_xlpm.ai_test,$BJ$15:$BJ$62,ROW($BJ$15:$BJ$62),0,1),IFERROR(_xlfn.XLOOKUP(_xlpm.ai_test,$BK$15:$BK$62,ROW($BK$15:$BK$62),0,1),_xlfn.XLOOKUP(_xlpm.ai_test,$BL$15:$BL$62,ROW($BL$15:$BL$62),0,1))),_xlpm.p,_xlpm.r-MIN(ROW($BJ$15:$BJ$62))+1,_xlpm.f,INDEX($BM$15:$BM$62,_xlpm.p),_xlpm.u,INDEX($BN$15:$BN$62,_xlpm.p),_xlpm.s,INDEX($BP$15:$BP$62,_xlpm.p),_xlpm.q,N(AU372)/_xlpm.f,IF(_xlpm.q&gt;=_xlpm.s,ROUND(_xlpm.q,1)&amp;" "&amp;_xlpm.ai_test&amp;" = "&amp;ROUND(_xlpm.q*_xlpm.f,1)&amp;" "&amp;_xlpm.u,ROUND(_xlpm.q,1)&amp;" "&amp;_xlpm.ai_test)),""),""))))</f>
        <v>0</v>
      </c>
      <c r="AX372" s="6218"/>
      <c r="AY372" s="6271">
        <f t="shared" si="156"/>
        <v>0</v>
      </c>
      <c r="AZ372" s="6242" t="str">
        <f t="shared" si="157"/>
        <v/>
      </c>
      <c r="BA372" s="6194">
        <f t="shared" si="162"/>
        <v>0</v>
      </c>
      <c r="BB372" s="6192" t="str">
        <f t="shared" si="158"/>
        <v/>
      </c>
      <c r="BC372" s="6219"/>
      <c r="BD372" s="6221">
        <f t="shared" si="163"/>
        <v>0</v>
      </c>
      <c r="BE372" s="6220" t="str">
        <f t="shared" si="159"/>
        <v/>
      </c>
      <c r="BF372" s="4" t="s">
        <v>1</v>
      </c>
      <c r="BG372" s="6196">
        <f t="shared" si="160"/>
        <v>0</v>
      </c>
      <c r="BH372" s="6197">
        <f t="shared" si="161"/>
        <v>0</v>
      </c>
      <c r="BI372"/>
      <c r="BJ372" s="1"/>
      <c r="BK372" s="1"/>
      <c r="BL372" s="1"/>
      <c r="BM372" s="1"/>
      <c r="BN372" s="1"/>
      <c r="BO372" s="1"/>
      <c r="BP372" s="1"/>
      <c r="BQ372" s="1"/>
      <c r="BX372" s="20" t="str">
        <f t="shared" si="142"/>
        <v>►</v>
      </c>
      <c r="BY372" s="2"/>
      <c r="BZ372" s="2"/>
      <c r="CA372" s="2"/>
      <c r="CB372" s="2"/>
      <c r="CC372" s="2"/>
      <c r="DC372" s="5">
        <v>1</v>
      </c>
    </row>
    <row r="373" spans="12:107" ht="21" customHeight="1">
      <c r="L373" s="1021" t="s">
        <v>26</v>
      </c>
      <c r="M373" s="6787"/>
      <c r="N373" s="6787"/>
      <c r="O373" s="6787"/>
      <c r="P373" s="6788"/>
      <c r="Q373" s="6789"/>
      <c r="R373" s="6790"/>
      <c r="S373" s="6786"/>
      <c r="T373" s="6791"/>
      <c r="U373" s="6844"/>
      <c r="V373" s="6791"/>
      <c r="W373" s="8487"/>
      <c r="X373" s="6871"/>
      <c r="Y373" s="6793"/>
      <c r="Z373" s="6794"/>
      <c r="AA373" s="6795"/>
      <c r="AB373" s="6796"/>
      <c r="AC373" s="6797"/>
      <c r="AD373" s="6798"/>
      <c r="AE373" s="4" t="s">
        <v>1</v>
      </c>
      <c r="AF373" s="6202" t="str">
        <f t="shared" si="143"/>
        <v>►</v>
      </c>
      <c r="AG373" s="6234" t="str">
        <f t="shared" si="144"/>
        <v/>
      </c>
      <c r="AH373" s="6732" t="str">
        <f t="shared" si="145"/>
        <v/>
      </c>
      <c r="AI373" s="6234" t="str">
        <f t="shared" si="146"/>
        <v/>
      </c>
      <c r="AJ373" s="6732" t="str">
        <f t="shared" si="147"/>
        <v/>
      </c>
      <c r="AK373" s="6732">
        <f t="shared" si="148"/>
        <v>0</v>
      </c>
      <c r="AL373" s="6230" t="str" cm="1">
        <f t="array" ref="AL373">IF(AF373&lt;&gt;"A","",IFERROR((IFERROR(_xlfn.XLOOKUP(TRIM(SUBSTITUTE(U373,CHAR(160)," ")),$BJ$15:$BJ$62,$BM$15:$BM$62),IFERROR(_xlfn.XLOOKUP(TRIM(SUBSTITUTE(U373,CHAR(160)," ")),$BK$15:$BK$62,$BM$15:$BM$62),_xlfn.XLOOKUP(TRIM(SUBSTITUTE(U373,CHAR(160)," ")),$BL$15:$BL$62,$BM$15:$BM$62))))*T373*IF(ISBLANK(Q373),1,Q373)+IFERROR(_xlfn.XLOOKUP("RECHERCHEX",TRIM(L373:AD373),L373:AD373),0),0))</f>
        <v/>
      </c>
      <c r="AM373" s="6229">
        <f t="shared" si="149"/>
        <v>0</v>
      </c>
      <c r="AN373" s="6857" t="str">
        <f t="shared" si="164"/>
        <v/>
      </c>
      <c r="AO373" s="392">
        <f t="shared" si="150"/>
        <v>0</v>
      </c>
      <c r="AP373" s="392">
        <f t="shared" si="151"/>
        <v>0</v>
      </c>
      <c r="AQ373" s="6191">
        <f t="shared" si="152"/>
        <v>0</v>
      </c>
      <c r="AR373" s="6859" t="str">
        <f t="shared" si="153"/>
        <v/>
      </c>
      <c r="AS373" s="6217"/>
      <c r="AT373" s="6217"/>
      <c r="AU373" s="6272">
        <f t="shared" si="154"/>
        <v>0</v>
      </c>
      <c r="AV373" s="6240">
        <f t="shared" si="155"/>
        <v>0</v>
      </c>
      <c r="AW373" s="6189" cm="1">
        <f t="array" ref="AW373">IF(AK373&lt;&gt;1,0,IF(OR(AU373="",N(AU373)&lt;=0.000000001),"",IF(OR(AO373="",N(AO373)&lt;=0.000000001),0,IF(ISNUMBER(AU373),IFERROR(_xlfn.LET(_xlpm.ai_test,TRIM(AJ373),_xlpm.r,IFERROR(_xlfn.XLOOKUP(_xlpm.ai_test,$BJ$15:$BJ$62,ROW($BJ$15:$BJ$62),0,1),IFERROR(_xlfn.XLOOKUP(_xlpm.ai_test,$BK$15:$BK$62,ROW($BK$15:$BK$62),0,1),_xlfn.XLOOKUP(_xlpm.ai_test,$BL$15:$BL$62,ROW($BL$15:$BL$62),0,1))),_xlpm.p,_xlpm.r-MIN(ROW($BJ$15:$BJ$62))+1,_xlpm.f,INDEX($BM$15:$BM$62,_xlpm.p),_xlpm.u,INDEX($BN$15:$BN$62,_xlpm.p),_xlpm.s,INDEX($BP$15:$BP$62,_xlpm.p),_xlpm.q,N(AU373)/_xlpm.f,IF(_xlpm.q&gt;=_xlpm.s,ROUND(_xlpm.q,1)&amp;" "&amp;_xlpm.ai_test&amp;" = "&amp;ROUND(_xlpm.q*_xlpm.f,1)&amp;" "&amp;_xlpm.u,ROUND(_xlpm.q,1)&amp;" "&amp;_xlpm.ai_test)),""),""))))</f>
        <v>0</v>
      </c>
      <c r="AX373" s="6218"/>
      <c r="AY373" s="6272">
        <f t="shared" si="156"/>
        <v>0</v>
      </c>
      <c r="AZ373" s="6240" t="str">
        <f t="shared" si="157"/>
        <v/>
      </c>
      <c r="BA373" s="6195">
        <f t="shared" si="162"/>
        <v>0</v>
      </c>
      <c r="BB373" s="6193" t="str">
        <f t="shared" si="158"/>
        <v/>
      </c>
      <c r="BC373" s="6219"/>
      <c r="BD373" s="6222">
        <f t="shared" si="163"/>
        <v>0</v>
      </c>
      <c r="BE373" s="6220" t="str">
        <f t="shared" si="159"/>
        <v/>
      </c>
      <c r="BF373" s="4" t="s">
        <v>1</v>
      </c>
      <c r="BG373" s="6196">
        <f t="shared" si="160"/>
        <v>0</v>
      </c>
      <c r="BH373" s="6197">
        <f t="shared" si="161"/>
        <v>0</v>
      </c>
      <c r="BI373"/>
      <c r="BJ373" s="1"/>
      <c r="BK373" s="1"/>
      <c r="BL373" s="1"/>
      <c r="BM373" s="1"/>
      <c r="BN373" s="1"/>
      <c r="BO373" s="1"/>
      <c r="BP373" s="1"/>
      <c r="BQ373" s="1"/>
      <c r="BX373" s="20" t="str">
        <f t="shared" si="142"/>
        <v>►</v>
      </c>
      <c r="BY373" s="2"/>
      <c r="BZ373" s="2"/>
      <c r="CA373" s="2"/>
      <c r="CB373" s="2"/>
      <c r="CC373" s="2"/>
      <c r="DC373" s="5">
        <v>1</v>
      </c>
    </row>
    <row r="374" spans="12:107" ht="21" customHeight="1">
      <c r="L374" s="1021" t="s">
        <v>26</v>
      </c>
      <c r="M374" s="6787"/>
      <c r="N374" s="6787"/>
      <c r="O374" s="6787"/>
      <c r="P374" s="6788"/>
      <c r="Q374" s="6789"/>
      <c r="R374" s="6790"/>
      <c r="S374" s="6786"/>
      <c r="T374" s="6791"/>
      <c r="U374" s="6844"/>
      <c r="V374" s="6791"/>
      <c r="W374" s="8487"/>
      <c r="X374" s="6871"/>
      <c r="Y374" s="6793"/>
      <c r="Z374" s="6794"/>
      <c r="AA374" s="6795"/>
      <c r="AB374" s="6796"/>
      <c r="AC374" s="6797"/>
      <c r="AD374" s="6798"/>
      <c r="AE374" s="4" t="s">
        <v>1</v>
      </c>
      <c r="AF374" s="6202" t="str">
        <f t="shared" si="143"/>
        <v>►</v>
      </c>
      <c r="AG374" s="6234" t="str">
        <f t="shared" si="144"/>
        <v/>
      </c>
      <c r="AH374" s="6732" t="str">
        <f t="shared" si="145"/>
        <v/>
      </c>
      <c r="AI374" s="6234" t="str">
        <f t="shared" si="146"/>
        <v/>
      </c>
      <c r="AJ374" s="6732" t="str">
        <f t="shared" si="147"/>
        <v/>
      </c>
      <c r="AK374" s="6732">
        <f t="shared" si="148"/>
        <v>0</v>
      </c>
      <c r="AL374" s="6230" t="str" cm="1">
        <f t="array" ref="AL374">IF(AF374&lt;&gt;"A","",IFERROR((IFERROR(_xlfn.XLOOKUP(TRIM(SUBSTITUTE(U374,CHAR(160)," ")),$BJ$15:$BJ$62,$BM$15:$BM$62),IFERROR(_xlfn.XLOOKUP(TRIM(SUBSTITUTE(U374,CHAR(160)," ")),$BK$15:$BK$62,$BM$15:$BM$62),_xlfn.XLOOKUP(TRIM(SUBSTITUTE(U374,CHAR(160)," ")),$BL$15:$BL$62,$BM$15:$BM$62))))*T374*IF(ISBLANK(Q374),1,Q374)+IFERROR(_xlfn.XLOOKUP("RECHERCHEX",TRIM(L374:AD374),L374:AD374),0),0))</f>
        <v/>
      </c>
      <c r="AM374" s="6229">
        <f t="shared" si="149"/>
        <v>0</v>
      </c>
      <c r="AN374" s="6857" t="str">
        <f t="shared" si="164"/>
        <v/>
      </c>
      <c r="AO374" s="392">
        <f t="shared" si="150"/>
        <v>0</v>
      </c>
      <c r="AP374" s="392">
        <f t="shared" si="151"/>
        <v>0</v>
      </c>
      <c r="AQ374" s="6190">
        <f t="shared" si="152"/>
        <v>0</v>
      </c>
      <c r="AR374" s="6858" t="str">
        <f t="shared" si="153"/>
        <v/>
      </c>
      <c r="AS374" s="6217"/>
      <c r="AT374" s="6217"/>
      <c r="AU374" s="6271">
        <f t="shared" si="154"/>
        <v>0</v>
      </c>
      <c r="AV374" s="6242">
        <f t="shared" si="155"/>
        <v>0</v>
      </c>
      <c r="AW374" s="6188" cm="1">
        <f t="array" ref="AW374">IF(AK374&lt;&gt;1,0,IF(OR(AU374="",N(AU374)&lt;=0.000000001),"",IF(OR(AO374="",N(AO374)&lt;=0.000000001),0,IF(ISNUMBER(AU374),IFERROR(_xlfn.LET(_xlpm.ai_test,TRIM(AJ374),_xlpm.r,IFERROR(_xlfn.XLOOKUP(_xlpm.ai_test,$BJ$15:$BJ$62,ROW($BJ$15:$BJ$62),0,1),IFERROR(_xlfn.XLOOKUP(_xlpm.ai_test,$BK$15:$BK$62,ROW($BK$15:$BK$62),0,1),_xlfn.XLOOKUP(_xlpm.ai_test,$BL$15:$BL$62,ROW($BL$15:$BL$62),0,1))),_xlpm.p,_xlpm.r-MIN(ROW($BJ$15:$BJ$62))+1,_xlpm.f,INDEX($BM$15:$BM$62,_xlpm.p),_xlpm.u,INDEX($BN$15:$BN$62,_xlpm.p),_xlpm.s,INDEX($BP$15:$BP$62,_xlpm.p),_xlpm.q,N(AU374)/_xlpm.f,IF(_xlpm.q&gt;=_xlpm.s,ROUND(_xlpm.q,1)&amp;" "&amp;_xlpm.ai_test&amp;" = "&amp;ROUND(_xlpm.q*_xlpm.f,1)&amp;" "&amp;_xlpm.u,ROUND(_xlpm.q,1)&amp;" "&amp;_xlpm.ai_test)),""),""))))</f>
        <v>0</v>
      </c>
      <c r="AX374" s="6218"/>
      <c r="AY374" s="6271">
        <f t="shared" si="156"/>
        <v>0</v>
      </c>
      <c r="AZ374" s="6242" t="str">
        <f t="shared" si="157"/>
        <v/>
      </c>
      <c r="BA374" s="6194">
        <f t="shared" si="162"/>
        <v>0</v>
      </c>
      <c r="BB374" s="6192" t="str">
        <f t="shared" si="158"/>
        <v/>
      </c>
      <c r="BC374" s="6219"/>
      <c r="BD374" s="6221">
        <f t="shared" si="163"/>
        <v>0</v>
      </c>
      <c r="BE374" s="6220" t="str">
        <f t="shared" si="159"/>
        <v/>
      </c>
      <c r="BF374" s="4" t="s">
        <v>1</v>
      </c>
      <c r="BG374" s="6196">
        <f t="shared" si="160"/>
        <v>0</v>
      </c>
      <c r="BH374" s="6197">
        <f t="shared" si="161"/>
        <v>0</v>
      </c>
      <c r="BI374"/>
      <c r="BJ374" s="1"/>
      <c r="BK374" s="1"/>
      <c r="BL374" s="1"/>
      <c r="BM374" s="1"/>
      <c r="BN374" s="1"/>
      <c r="BO374" s="1"/>
      <c r="BP374" s="1"/>
      <c r="BQ374" s="1"/>
      <c r="BX374" s="20" t="str">
        <f t="shared" si="142"/>
        <v>►</v>
      </c>
      <c r="BY374" s="2"/>
      <c r="BZ374" s="2"/>
      <c r="CA374" s="2"/>
      <c r="CB374" s="2"/>
      <c r="CC374" s="2"/>
      <c r="DC374" s="5">
        <v>1</v>
      </c>
    </row>
    <row r="375" spans="12:107" ht="21" customHeight="1">
      <c r="L375" s="1021" t="s">
        <v>26</v>
      </c>
      <c r="M375" s="6787"/>
      <c r="N375" s="6787"/>
      <c r="O375" s="6787"/>
      <c r="P375" s="6788"/>
      <c r="Q375" s="6789"/>
      <c r="R375" s="6790"/>
      <c r="S375" s="6786"/>
      <c r="T375" s="6791"/>
      <c r="U375" s="6844"/>
      <c r="V375" s="6791"/>
      <c r="W375" s="8487"/>
      <c r="X375" s="6871"/>
      <c r="Y375" s="6793"/>
      <c r="Z375" s="6794"/>
      <c r="AA375" s="6795"/>
      <c r="AB375" s="6796"/>
      <c r="AC375" s="6797"/>
      <c r="AD375" s="6798"/>
      <c r="AE375" s="4" t="s">
        <v>1</v>
      </c>
      <c r="AF375" s="6202" t="str">
        <f t="shared" si="143"/>
        <v>►</v>
      </c>
      <c r="AG375" s="6234" t="str">
        <f t="shared" si="144"/>
        <v/>
      </c>
      <c r="AH375" s="6732" t="str">
        <f t="shared" si="145"/>
        <v/>
      </c>
      <c r="AI375" s="6234" t="str">
        <f t="shared" si="146"/>
        <v/>
      </c>
      <c r="AJ375" s="6732" t="str">
        <f t="shared" si="147"/>
        <v/>
      </c>
      <c r="AK375" s="6732">
        <f t="shared" si="148"/>
        <v>0</v>
      </c>
      <c r="AL375" s="6230" t="str" cm="1">
        <f t="array" ref="AL375">IF(AF375&lt;&gt;"A","",IFERROR((IFERROR(_xlfn.XLOOKUP(TRIM(SUBSTITUTE(U375,CHAR(160)," ")),$BJ$15:$BJ$62,$BM$15:$BM$62),IFERROR(_xlfn.XLOOKUP(TRIM(SUBSTITUTE(U375,CHAR(160)," ")),$BK$15:$BK$62,$BM$15:$BM$62),_xlfn.XLOOKUP(TRIM(SUBSTITUTE(U375,CHAR(160)," ")),$BL$15:$BL$62,$BM$15:$BM$62))))*T375*IF(ISBLANK(Q375),1,Q375)+IFERROR(_xlfn.XLOOKUP("RECHERCHEX",TRIM(L375:AD375),L375:AD375),0),0))</f>
        <v/>
      </c>
      <c r="AM375" s="6229">
        <f t="shared" si="149"/>
        <v>0</v>
      </c>
      <c r="AN375" s="6857" t="str">
        <f t="shared" si="164"/>
        <v/>
      </c>
      <c r="AO375" s="392">
        <f t="shared" si="150"/>
        <v>0</v>
      </c>
      <c r="AP375" s="392">
        <f t="shared" si="151"/>
        <v>0</v>
      </c>
      <c r="AQ375" s="6191">
        <f t="shared" si="152"/>
        <v>0</v>
      </c>
      <c r="AR375" s="6859" t="str">
        <f t="shared" si="153"/>
        <v/>
      </c>
      <c r="AS375" s="6217"/>
      <c r="AT375" s="6217"/>
      <c r="AU375" s="6272">
        <f t="shared" si="154"/>
        <v>0</v>
      </c>
      <c r="AV375" s="6240">
        <f t="shared" si="155"/>
        <v>0</v>
      </c>
      <c r="AW375" s="6189" cm="1">
        <f t="array" ref="AW375">IF(AK375&lt;&gt;1,0,IF(OR(AU375="",N(AU375)&lt;=0.000000001),"",IF(OR(AO375="",N(AO375)&lt;=0.000000001),0,IF(ISNUMBER(AU375),IFERROR(_xlfn.LET(_xlpm.ai_test,TRIM(AJ375),_xlpm.r,IFERROR(_xlfn.XLOOKUP(_xlpm.ai_test,$BJ$15:$BJ$62,ROW($BJ$15:$BJ$62),0,1),IFERROR(_xlfn.XLOOKUP(_xlpm.ai_test,$BK$15:$BK$62,ROW($BK$15:$BK$62),0,1),_xlfn.XLOOKUP(_xlpm.ai_test,$BL$15:$BL$62,ROW($BL$15:$BL$62),0,1))),_xlpm.p,_xlpm.r-MIN(ROW($BJ$15:$BJ$62))+1,_xlpm.f,INDEX($BM$15:$BM$62,_xlpm.p),_xlpm.u,INDEX($BN$15:$BN$62,_xlpm.p),_xlpm.s,INDEX($BP$15:$BP$62,_xlpm.p),_xlpm.q,N(AU375)/_xlpm.f,IF(_xlpm.q&gt;=_xlpm.s,ROUND(_xlpm.q,1)&amp;" "&amp;_xlpm.ai_test&amp;" = "&amp;ROUND(_xlpm.q*_xlpm.f,1)&amp;" "&amp;_xlpm.u,ROUND(_xlpm.q,1)&amp;" "&amp;_xlpm.ai_test)),""),""))))</f>
        <v>0</v>
      </c>
      <c r="AX375" s="6218"/>
      <c r="AY375" s="6272">
        <f t="shared" si="156"/>
        <v>0</v>
      </c>
      <c r="AZ375" s="6240" t="str">
        <f t="shared" si="157"/>
        <v/>
      </c>
      <c r="BA375" s="6195">
        <f t="shared" si="162"/>
        <v>0</v>
      </c>
      <c r="BB375" s="6193" t="str">
        <f t="shared" si="158"/>
        <v/>
      </c>
      <c r="BC375" s="6219"/>
      <c r="BD375" s="6222">
        <f t="shared" si="163"/>
        <v>0</v>
      </c>
      <c r="BE375" s="6220" t="str">
        <f t="shared" si="159"/>
        <v/>
      </c>
      <c r="BF375" s="4" t="s">
        <v>1</v>
      </c>
      <c r="BG375" s="6196">
        <f t="shared" si="160"/>
        <v>0</v>
      </c>
      <c r="BH375" s="6197">
        <f t="shared" si="161"/>
        <v>0</v>
      </c>
      <c r="BI375"/>
      <c r="BJ375" s="1"/>
      <c r="BK375" s="1"/>
      <c r="BL375" s="1"/>
      <c r="BM375" s="1"/>
      <c r="BN375" s="1"/>
      <c r="BO375" s="1"/>
      <c r="BP375" s="1"/>
      <c r="BQ375" s="1"/>
      <c r="BX375" s="20" t="str">
        <f t="shared" si="142"/>
        <v>►</v>
      </c>
      <c r="BY375" s="2"/>
      <c r="BZ375" s="2"/>
      <c r="CA375" s="2"/>
      <c r="CB375" s="2"/>
      <c r="CC375" s="2"/>
      <c r="DC375" s="5">
        <v>1</v>
      </c>
    </row>
    <row r="376" spans="12:107" ht="21" customHeight="1">
      <c r="L376" s="1021" t="s">
        <v>26</v>
      </c>
      <c r="M376" s="6787"/>
      <c r="N376" s="6787"/>
      <c r="O376" s="6787"/>
      <c r="P376" s="6788"/>
      <c r="Q376" s="6789"/>
      <c r="R376" s="6790"/>
      <c r="S376" s="6786"/>
      <c r="T376" s="6791"/>
      <c r="U376" s="6844"/>
      <c r="V376" s="6791"/>
      <c r="W376" s="8487"/>
      <c r="X376" s="6871"/>
      <c r="Y376" s="6793"/>
      <c r="Z376" s="6794"/>
      <c r="AA376" s="6795"/>
      <c r="AB376" s="6796"/>
      <c r="AC376" s="6797"/>
      <c r="AD376" s="6798"/>
      <c r="AE376" s="4" t="s">
        <v>1</v>
      </c>
      <c r="AF376" s="6202" t="str">
        <f t="shared" si="143"/>
        <v>►</v>
      </c>
      <c r="AG376" s="6234" t="str">
        <f t="shared" si="144"/>
        <v/>
      </c>
      <c r="AH376" s="6732" t="str">
        <f t="shared" si="145"/>
        <v/>
      </c>
      <c r="AI376" s="6234" t="str">
        <f t="shared" si="146"/>
        <v/>
      </c>
      <c r="AJ376" s="6732" t="str">
        <f t="shared" si="147"/>
        <v/>
      </c>
      <c r="AK376" s="6732">
        <f t="shared" si="148"/>
        <v>0</v>
      </c>
      <c r="AL376" s="6230" t="str" cm="1">
        <f t="array" ref="AL376">IF(AF376&lt;&gt;"A","",IFERROR((IFERROR(_xlfn.XLOOKUP(TRIM(SUBSTITUTE(U376,CHAR(160)," ")),$BJ$15:$BJ$62,$BM$15:$BM$62),IFERROR(_xlfn.XLOOKUP(TRIM(SUBSTITUTE(U376,CHAR(160)," ")),$BK$15:$BK$62,$BM$15:$BM$62),_xlfn.XLOOKUP(TRIM(SUBSTITUTE(U376,CHAR(160)," ")),$BL$15:$BL$62,$BM$15:$BM$62))))*T376*IF(ISBLANK(Q376),1,Q376)+IFERROR(_xlfn.XLOOKUP("RECHERCHEX",TRIM(L376:AD376),L376:AD376),0),0))</f>
        <v/>
      </c>
      <c r="AM376" s="6229">
        <f t="shared" si="149"/>
        <v>0</v>
      </c>
      <c r="AN376" s="6857" t="str">
        <f t="shared" si="164"/>
        <v/>
      </c>
      <c r="AO376" s="392">
        <f t="shared" si="150"/>
        <v>0</v>
      </c>
      <c r="AP376" s="392">
        <f t="shared" si="151"/>
        <v>0</v>
      </c>
      <c r="AQ376" s="6190">
        <f t="shared" si="152"/>
        <v>0</v>
      </c>
      <c r="AR376" s="6858" t="str">
        <f t="shared" si="153"/>
        <v/>
      </c>
      <c r="AS376" s="6217"/>
      <c r="AT376" s="6217"/>
      <c r="AU376" s="6271">
        <f t="shared" si="154"/>
        <v>0</v>
      </c>
      <c r="AV376" s="6242">
        <f t="shared" si="155"/>
        <v>0</v>
      </c>
      <c r="AW376" s="6188" cm="1">
        <f t="array" ref="AW376">IF(AK376&lt;&gt;1,0,IF(OR(AU376="",N(AU376)&lt;=0.000000001),"",IF(OR(AO376="",N(AO376)&lt;=0.000000001),0,IF(ISNUMBER(AU376),IFERROR(_xlfn.LET(_xlpm.ai_test,TRIM(AJ376),_xlpm.r,IFERROR(_xlfn.XLOOKUP(_xlpm.ai_test,$BJ$15:$BJ$62,ROW($BJ$15:$BJ$62),0,1),IFERROR(_xlfn.XLOOKUP(_xlpm.ai_test,$BK$15:$BK$62,ROW($BK$15:$BK$62),0,1),_xlfn.XLOOKUP(_xlpm.ai_test,$BL$15:$BL$62,ROW($BL$15:$BL$62),0,1))),_xlpm.p,_xlpm.r-MIN(ROW($BJ$15:$BJ$62))+1,_xlpm.f,INDEX($BM$15:$BM$62,_xlpm.p),_xlpm.u,INDEX($BN$15:$BN$62,_xlpm.p),_xlpm.s,INDEX($BP$15:$BP$62,_xlpm.p),_xlpm.q,N(AU376)/_xlpm.f,IF(_xlpm.q&gt;=_xlpm.s,ROUND(_xlpm.q,1)&amp;" "&amp;_xlpm.ai_test&amp;" = "&amp;ROUND(_xlpm.q*_xlpm.f,1)&amp;" "&amp;_xlpm.u,ROUND(_xlpm.q,1)&amp;" "&amp;_xlpm.ai_test)),""),""))))</f>
        <v>0</v>
      </c>
      <c r="AX376" s="6218"/>
      <c r="AY376" s="6271">
        <f t="shared" si="156"/>
        <v>0</v>
      </c>
      <c r="AZ376" s="6242" t="str">
        <f t="shared" si="157"/>
        <v/>
      </c>
      <c r="BA376" s="6194">
        <f t="shared" si="162"/>
        <v>0</v>
      </c>
      <c r="BB376" s="6192" t="str">
        <f t="shared" si="158"/>
        <v/>
      </c>
      <c r="BC376" s="6219"/>
      <c r="BD376" s="6221">
        <f t="shared" si="163"/>
        <v>0</v>
      </c>
      <c r="BE376" s="6220" t="str">
        <f t="shared" si="159"/>
        <v/>
      </c>
      <c r="BF376" s="4" t="s">
        <v>1</v>
      </c>
      <c r="BG376" s="6196">
        <f t="shared" si="160"/>
        <v>0</v>
      </c>
      <c r="BH376" s="6197">
        <f t="shared" si="161"/>
        <v>0</v>
      </c>
      <c r="BI376"/>
      <c r="BJ376" s="1"/>
      <c r="BK376" s="1"/>
      <c r="BL376" s="1"/>
      <c r="BM376" s="1"/>
      <c r="BN376" s="1"/>
      <c r="BO376" s="1"/>
      <c r="BP376" s="1"/>
      <c r="BQ376" s="1"/>
      <c r="BX376" s="20" t="str">
        <f t="shared" si="142"/>
        <v>►</v>
      </c>
      <c r="BY376" s="2"/>
      <c r="BZ376" s="2"/>
      <c r="CA376" s="2"/>
      <c r="CB376" s="2"/>
      <c r="CC376" s="2"/>
      <c r="DC376" s="5">
        <v>1</v>
      </c>
    </row>
    <row r="377" spans="12:107" ht="21" customHeight="1">
      <c r="L377" s="1021" t="s">
        <v>26</v>
      </c>
      <c r="M377" s="6787"/>
      <c r="N377" s="6787"/>
      <c r="O377" s="6787"/>
      <c r="P377" s="6788"/>
      <c r="Q377" s="6789"/>
      <c r="R377" s="6790"/>
      <c r="S377" s="6786"/>
      <c r="T377" s="6791"/>
      <c r="U377" s="6844"/>
      <c r="V377" s="6791"/>
      <c r="W377" s="8487"/>
      <c r="X377" s="6871"/>
      <c r="Y377" s="6793"/>
      <c r="Z377" s="6794"/>
      <c r="AA377" s="6795"/>
      <c r="AB377" s="6796"/>
      <c r="AC377" s="6797"/>
      <c r="AD377" s="6798"/>
      <c r="AE377" s="4" t="s">
        <v>1</v>
      </c>
      <c r="AF377" s="6202" t="str">
        <f t="shared" si="143"/>
        <v>►</v>
      </c>
      <c r="AG377" s="6234" t="str">
        <f t="shared" si="144"/>
        <v/>
      </c>
      <c r="AH377" s="6732" t="str">
        <f t="shared" si="145"/>
        <v/>
      </c>
      <c r="AI377" s="6234" t="str">
        <f t="shared" si="146"/>
        <v/>
      </c>
      <c r="AJ377" s="6732" t="str">
        <f t="shared" si="147"/>
        <v/>
      </c>
      <c r="AK377" s="6732">
        <f t="shared" si="148"/>
        <v>0</v>
      </c>
      <c r="AL377" s="6230" t="str" cm="1">
        <f t="array" ref="AL377">IF(AF377&lt;&gt;"A","",IFERROR((IFERROR(_xlfn.XLOOKUP(TRIM(SUBSTITUTE(U377,CHAR(160)," ")),$BJ$15:$BJ$62,$BM$15:$BM$62),IFERROR(_xlfn.XLOOKUP(TRIM(SUBSTITUTE(U377,CHAR(160)," ")),$BK$15:$BK$62,$BM$15:$BM$62),_xlfn.XLOOKUP(TRIM(SUBSTITUTE(U377,CHAR(160)," ")),$BL$15:$BL$62,$BM$15:$BM$62))))*T377*IF(ISBLANK(Q377),1,Q377)+IFERROR(_xlfn.XLOOKUP("RECHERCHEX",TRIM(L377:AD377),L377:AD377),0),0))</f>
        <v/>
      </c>
      <c r="AM377" s="6229">
        <f t="shared" si="149"/>
        <v>0</v>
      </c>
      <c r="AN377" s="6857" t="str">
        <f t="shared" si="164"/>
        <v/>
      </c>
      <c r="AO377" s="392">
        <f t="shared" si="150"/>
        <v>0</v>
      </c>
      <c r="AP377" s="392">
        <f t="shared" si="151"/>
        <v>0</v>
      </c>
      <c r="AQ377" s="6191">
        <f t="shared" si="152"/>
        <v>0</v>
      </c>
      <c r="AR377" s="6859" t="str">
        <f t="shared" si="153"/>
        <v/>
      </c>
      <c r="AS377" s="6217"/>
      <c r="AT377" s="6217"/>
      <c r="AU377" s="6272">
        <f t="shared" si="154"/>
        <v>0</v>
      </c>
      <c r="AV377" s="6240">
        <f t="shared" si="155"/>
        <v>0</v>
      </c>
      <c r="AW377" s="6189" cm="1">
        <f t="array" ref="AW377">IF(AK377&lt;&gt;1,0,IF(OR(AU377="",N(AU377)&lt;=0.000000001),"",IF(OR(AO377="",N(AO377)&lt;=0.000000001),0,IF(ISNUMBER(AU377),IFERROR(_xlfn.LET(_xlpm.ai_test,TRIM(AJ377),_xlpm.r,IFERROR(_xlfn.XLOOKUP(_xlpm.ai_test,$BJ$15:$BJ$62,ROW($BJ$15:$BJ$62),0,1),IFERROR(_xlfn.XLOOKUP(_xlpm.ai_test,$BK$15:$BK$62,ROW($BK$15:$BK$62),0,1),_xlfn.XLOOKUP(_xlpm.ai_test,$BL$15:$BL$62,ROW($BL$15:$BL$62),0,1))),_xlpm.p,_xlpm.r-MIN(ROW($BJ$15:$BJ$62))+1,_xlpm.f,INDEX($BM$15:$BM$62,_xlpm.p),_xlpm.u,INDEX($BN$15:$BN$62,_xlpm.p),_xlpm.s,INDEX($BP$15:$BP$62,_xlpm.p),_xlpm.q,N(AU377)/_xlpm.f,IF(_xlpm.q&gt;=_xlpm.s,ROUND(_xlpm.q,1)&amp;" "&amp;_xlpm.ai_test&amp;" = "&amp;ROUND(_xlpm.q*_xlpm.f,1)&amp;" "&amp;_xlpm.u,ROUND(_xlpm.q,1)&amp;" "&amp;_xlpm.ai_test)),""),""))))</f>
        <v>0</v>
      </c>
      <c r="AX377" s="6218"/>
      <c r="AY377" s="6272">
        <f t="shared" si="156"/>
        <v>0</v>
      </c>
      <c r="AZ377" s="6240" t="str">
        <f t="shared" si="157"/>
        <v/>
      </c>
      <c r="BA377" s="6195">
        <f t="shared" si="162"/>
        <v>0</v>
      </c>
      <c r="BB377" s="6193" t="str">
        <f t="shared" si="158"/>
        <v/>
      </c>
      <c r="BC377" s="6219"/>
      <c r="BD377" s="6222">
        <f t="shared" si="163"/>
        <v>0</v>
      </c>
      <c r="BE377" s="6220" t="str">
        <f t="shared" si="159"/>
        <v/>
      </c>
      <c r="BF377" s="4" t="s">
        <v>1</v>
      </c>
      <c r="BG377" s="6196">
        <f t="shared" si="160"/>
        <v>0</v>
      </c>
      <c r="BH377" s="6197">
        <f t="shared" si="161"/>
        <v>0</v>
      </c>
      <c r="BI377"/>
      <c r="BJ377" s="1"/>
      <c r="BK377" s="1"/>
      <c r="BL377" s="1"/>
      <c r="BM377" s="1"/>
      <c r="BN377" s="1"/>
      <c r="BO377" s="1"/>
      <c r="BP377" s="1"/>
      <c r="BQ377" s="1"/>
      <c r="BX377" s="20" t="str">
        <f t="shared" si="142"/>
        <v>►</v>
      </c>
      <c r="BY377" s="2"/>
      <c r="BZ377" s="2"/>
      <c r="CA377" s="2"/>
      <c r="CB377" s="2"/>
      <c r="CC377" s="2"/>
      <c r="DC377" s="5">
        <v>1</v>
      </c>
    </row>
    <row r="378" spans="12:107" ht="21" customHeight="1">
      <c r="L378" s="1021" t="s">
        <v>26</v>
      </c>
      <c r="M378" s="6787"/>
      <c r="N378" s="6787"/>
      <c r="O378" s="6787"/>
      <c r="P378" s="6788"/>
      <c r="Q378" s="6789"/>
      <c r="R378" s="6790"/>
      <c r="S378" s="6786"/>
      <c r="T378" s="6791"/>
      <c r="U378" s="6844"/>
      <c r="V378" s="6791"/>
      <c r="W378" s="8487"/>
      <c r="X378" s="6871"/>
      <c r="Y378" s="6793"/>
      <c r="Z378" s="6794"/>
      <c r="AA378" s="6795"/>
      <c r="AB378" s="6796"/>
      <c r="AC378" s="6797"/>
      <c r="AD378" s="6798"/>
      <c r="AE378" s="4" t="s">
        <v>1</v>
      </c>
      <c r="AF378" s="6202" t="str">
        <f t="shared" si="143"/>
        <v>►</v>
      </c>
      <c r="AG378" s="6234" t="str">
        <f t="shared" si="144"/>
        <v/>
      </c>
      <c r="AH378" s="6732" t="str">
        <f t="shared" si="145"/>
        <v/>
      </c>
      <c r="AI378" s="6234" t="str">
        <f t="shared" si="146"/>
        <v/>
      </c>
      <c r="AJ378" s="6732" t="str">
        <f t="shared" si="147"/>
        <v/>
      </c>
      <c r="AK378" s="6732">
        <f t="shared" si="148"/>
        <v>0</v>
      </c>
      <c r="AL378" s="6230" t="str" cm="1">
        <f t="array" ref="AL378">IF(AF378&lt;&gt;"A","",IFERROR((IFERROR(_xlfn.XLOOKUP(TRIM(SUBSTITUTE(U378,CHAR(160)," ")),$BJ$15:$BJ$62,$BM$15:$BM$62),IFERROR(_xlfn.XLOOKUP(TRIM(SUBSTITUTE(U378,CHAR(160)," ")),$BK$15:$BK$62,$BM$15:$BM$62),_xlfn.XLOOKUP(TRIM(SUBSTITUTE(U378,CHAR(160)," ")),$BL$15:$BL$62,$BM$15:$BM$62))))*T378*IF(ISBLANK(Q378),1,Q378)+IFERROR(_xlfn.XLOOKUP("RECHERCHEX",TRIM(L378:AD378),L378:AD378),0),0))</f>
        <v/>
      </c>
      <c r="AM378" s="6229">
        <f t="shared" si="149"/>
        <v>0</v>
      </c>
      <c r="AN378" s="6857" t="str">
        <f t="shared" si="164"/>
        <v/>
      </c>
      <c r="AO378" s="392">
        <f t="shared" si="150"/>
        <v>0</v>
      </c>
      <c r="AP378" s="392">
        <f t="shared" si="151"/>
        <v>0</v>
      </c>
      <c r="AQ378" s="6190">
        <f t="shared" si="152"/>
        <v>0</v>
      </c>
      <c r="AR378" s="6858" t="str">
        <f t="shared" si="153"/>
        <v/>
      </c>
      <c r="AS378" s="6217"/>
      <c r="AT378" s="6217"/>
      <c r="AU378" s="6271">
        <f t="shared" si="154"/>
        <v>0</v>
      </c>
      <c r="AV378" s="6242">
        <f t="shared" si="155"/>
        <v>0</v>
      </c>
      <c r="AW378" s="6188" cm="1">
        <f t="array" ref="AW378">IF(AK378&lt;&gt;1,0,IF(OR(AU378="",N(AU378)&lt;=0.000000001),"",IF(OR(AO378="",N(AO378)&lt;=0.000000001),0,IF(ISNUMBER(AU378),IFERROR(_xlfn.LET(_xlpm.ai_test,TRIM(AJ378),_xlpm.r,IFERROR(_xlfn.XLOOKUP(_xlpm.ai_test,$BJ$15:$BJ$62,ROW($BJ$15:$BJ$62),0,1),IFERROR(_xlfn.XLOOKUP(_xlpm.ai_test,$BK$15:$BK$62,ROW($BK$15:$BK$62),0,1),_xlfn.XLOOKUP(_xlpm.ai_test,$BL$15:$BL$62,ROW($BL$15:$BL$62),0,1))),_xlpm.p,_xlpm.r-MIN(ROW($BJ$15:$BJ$62))+1,_xlpm.f,INDEX($BM$15:$BM$62,_xlpm.p),_xlpm.u,INDEX($BN$15:$BN$62,_xlpm.p),_xlpm.s,INDEX($BP$15:$BP$62,_xlpm.p),_xlpm.q,N(AU378)/_xlpm.f,IF(_xlpm.q&gt;=_xlpm.s,ROUND(_xlpm.q,1)&amp;" "&amp;_xlpm.ai_test&amp;" = "&amp;ROUND(_xlpm.q*_xlpm.f,1)&amp;" "&amp;_xlpm.u,ROUND(_xlpm.q,1)&amp;" "&amp;_xlpm.ai_test)),""),""))))</f>
        <v>0</v>
      </c>
      <c r="AX378" s="6218"/>
      <c r="AY378" s="6271">
        <f t="shared" si="156"/>
        <v>0</v>
      </c>
      <c r="AZ378" s="6242" t="str">
        <f t="shared" si="157"/>
        <v/>
      </c>
      <c r="BA378" s="6194">
        <f t="shared" si="162"/>
        <v>0</v>
      </c>
      <c r="BB378" s="6192" t="str">
        <f t="shared" si="158"/>
        <v/>
      </c>
      <c r="BC378" s="6219"/>
      <c r="BD378" s="6221">
        <f t="shared" si="163"/>
        <v>0</v>
      </c>
      <c r="BE378" s="6220" t="str">
        <f t="shared" si="159"/>
        <v/>
      </c>
      <c r="BF378" s="4" t="s">
        <v>1</v>
      </c>
      <c r="BG378" s="6196">
        <f t="shared" si="160"/>
        <v>0</v>
      </c>
      <c r="BH378" s="6197">
        <f t="shared" si="161"/>
        <v>0</v>
      </c>
      <c r="BI378"/>
      <c r="BJ378" s="1"/>
      <c r="BK378" s="1"/>
      <c r="BL378" s="1"/>
      <c r="BM378" s="1"/>
      <c r="BN378" s="1"/>
      <c r="BO378" s="1"/>
      <c r="BP378" s="1"/>
      <c r="BQ378" s="1"/>
      <c r="BX378" s="20" t="str">
        <f t="shared" si="142"/>
        <v>►</v>
      </c>
      <c r="BY378" s="2"/>
      <c r="BZ378" s="2"/>
      <c r="CA378" s="2"/>
      <c r="CB378" s="2"/>
      <c r="CC378" s="2"/>
      <c r="DC378" s="5">
        <v>1</v>
      </c>
    </row>
    <row r="379" spans="12:107" ht="21" customHeight="1">
      <c r="L379" s="1021" t="s">
        <v>26</v>
      </c>
      <c r="M379" s="6787"/>
      <c r="N379" s="6787"/>
      <c r="O379" s="6787"/>
      <c r="P379" s="6788"/>
      <c r="Q379" s="6789"/>
      <c r="R379" s="6790"/>
      <c r="S379" s="6786"/>
      <c r="T379" s="6791"/>
      <c r="U379" s="6844"/>
      <c r="V379" s="6791"/>
      <c r="W379" s="8487"/>
      <c r="X379" s="6871"/>
      <c r="Y379" s="6793"/>
      <c r="Z379" s="6794"/>
      <c r="AA379" s="6795"/>
      <c r="AB379" s="6796"/>
      <c r="AC379" s="6797"/>
      <c r="AD379" s="6798"/>
      <c r="AE379" s="4" t="s">
        <v>1</v>
      </c>
      <c r="AF379" s="6202" t="str">
        <f t="shared" si="143"/>
        <v>►</v>
      </c>
      <c r="AG379" s="6234" t="str">
        <f t="shared" si="144"/>
        <v/>
      </c>
      <c r="AH379" s="6732" t="str">
        <f t="shared" si="145"/>
        <v/>
      </c>
      <c r="AI379" s="6234" t="str">
        <f t="shared" si="146"/>
        <v/>
      </c>
      <c r="AJ379" s="6732" t="str">
        <f t="shared" si="147"/>
        <v/>
      </c>
      <c r="AK379" s="6732">
        <f t="shared" si="148"/>
        <v>0</v>
      </c>
      <c r="AL379" s="6230" t="str" cm="1">
        <f t="array" ref="AL379">IF(AF379&lt;&gt;"A","",IFERROR((IFERROR(_xlfn.XLOOKUP(TRIM(SUBSTITUTE(U379,CHAR(160)," ")),$BJ$15:$BJ$62,$BM$15:$BM$62),IFERROR(_xlfn.XLOOKUP(TRIM(SUBSTITUTE(U379,CHAR(160)," ")),$BK$15:$BK$62,$BM$15:$BM$62),_xlfn.XLOOKUP(TRIM(SUBSTITUTE(U379,CHAR(160)," ")),$BL$15:$BL$62,$BM$15:$BM$62))))*T379*IF(ISBLANK(Q379),1,Q379)+IFERROR(_xlfn.XLOOKUP("RECHERCHEX",TRIM(L379:AD379),L379:AD379),0),0))</f>
        <v/>
      </c>
      <c r="AM379" s="6229">
        <f t="shared" si="149"/>
        <v>0</v>
      </c>
      <c r="AN379" s="6857" t="str">
        <f t="shared" si="164"/>
        <v/>
      </c>
      <c r="AO379" s="392">
        <f t="shared" si="150"/>
        <v>0</v>
      </c>
      <c r="AP379" s="392">
        <f t="shared" si="151"/>
        <v>0</v>
      </c>
      <c r="AQ379" s="6191">
        <f t="shared" si="152"/>
        <v>0</v>
      </c>
      <c r="AR379" s="6859" t="str">
        <f t="shared" si="153"/>
        <v/>
      </c>
      <c r="AS379" s="6217"/>
      <c r="AT379" s="6217"/>
      <c r="AU379" s="6272">
        <f t="shared" si="154"/>
        <v>0</v>
      </c>
      <c r="AV379" s="6240">
        <f t="shared" si="155"/>
        <v>0</v>
      </c>
      <c r="AW379" s="6189" cm="1">
        <f t="array" ref="AW379">IF(AK379&lt;&gt;1,0,IF(OR(AU379="",N(AU379)&lt;=0.000000001),"",IF(OR(AO379="",N(AO379)&lt;=0.000000001),0,IF(ISNUMBER(AU379),IFERROR(_xlfn.LET(_xlpm.ai_test,TRIM(AJ379),_xlpm.r,IFERROR(_xlfn.XLOOKUP(_xlpm.ai_test,$BJ$15:$BJ$62,ROW($BJ$15:$BJ$62),0,1),IFERROR(_xlfn.XLOOKUP(_xlpm.ai_test,$BK$15:$BK$62,ROW($BK$15:$BK$62),0,1),_xlfn.XLOOKUP(_xlpm.ai_test,$BL$15:$BL$62,ROW($BL$15:$BL$62),0,1))),_xlpm.p,_xlpm.r-MIN(ROW($BJ$15:$BJ$62))+1,_xlpm.f,INDEX($BM$15:$BM$62,_xlpm.p),_xlpm.u,INDEX($BN$15:$BN$62,_xlpm.p),_xlpm.s,INDEX($BP$15:$BP$62,_xlpm.p),_xlpm.q,N(AU379)/_xlpm.f,IF(_xlpm.q&gt;=_xlpm.s,ROUND(_xlpm.q,1)&amp;" "&amp;_xlpm.ai_test&amp;" = "&amp;ROUND(_xlpm.q*_xlpm.f,1)&amp;" "&amp;_xlpm.u,ROUND(_xlpm.q,1)&amp;" "&amp;_xlpm.ai_test)),""),""))))</f>
        <v>0</v>
      </c>
      <c r="AX379" s="6218"/>
      <c r="AY379" s="6272">
        <f t="shared" si="156"/>
        <v>0</v>
      </c>
      <c r="AZ379" s="6240" t="str">
        <f t="shared" si="157"/>
        <v/>
      </c>
      <c r="BA379" s="6195">
        <f t="shared" si="162"/>
        <v>0</v>
      </c>
      <c r="BB379" s="6193" t="str">
        <f t="shared" si="158"/>
        <v/>
      </c>
      <c r="BC379" s="6219"/>
      <c r="BD379" s="6222">
        <f t="shared" si="163"/>
        <v>0</v>
      </c>
      <c r="BE379" s="6220" t="str">
        <f t="shared" si="159"/>
        <v/>
      </c>
      <c r="BF379" s="4" t="s">
        <v>1</v>
      </c>
      <c r="BG379" s="6196">
        <f t="shared" si="160"/>
        <v>0</v>
      </c>
      <c r="BH379" s="6197">
        <f t="shared" si="161"/>
        <v>0</v>
      </c>
      <c r="BI379"/>
      <c r="BJ379" s="1"/>
      <c r="BK379" s="1"/>
      <c r="BL379" s="1"/>
      <c r="BM379" s="1"/>
      <c r="BN379" s="1"/>
      <c r="BO379" s="1"/>
      <c r="BP379" s="1"/>
      <c r="BQ379" s="1"/>
      <c r="BX379" s="20" t="str">
        <f t="shared" si="142"/>
        <v>►</v>
      </c>
      <c r="BY379" s="2"/>
      <c r="BZ379" s="2"/>
      <c r="CA379" s="2"/>
      <c r="CB379" s="2"/>
      <c r="CC379" s="2"/>
      <c r="DC379" s="5">
        <v>1</v>
      </c>
    </row>
    <row r="380" spans="12:107" ht="21" customHeight="1">
      <c r="L380" s="1021" t="s">
        <v>26</v>
      </c>
      <c r="M380" s="6787"/>
      <c r="N380" s="6787"/>
      <c r="O380" s="6787"/>
      <c r="P380" s="6788"/>
      <c r="Q380" s="6789"/>
      <c r="R380" s="6790"/>
      <c r="S380" s="6786"/>
      <c r="T380" s="6791"/>
      <c r="U380" s="6844"/>
      <c r="V380" s="6791"/>
      <c r="W380" s="8487"/>
      <c r="X380" s="6871"/>
      <c r="Y380" s="6793"/>
      <c r="Z380" s="6794"/>
      <c r="AA380" s="6795"/>
      <c r="AB380" s="6796"/>
      <c r="AC380" s="6797"/>
      <c r="AD380" s="6798"/>
      <c r="AE380" s="4" t="s">
        <v>1</v>
      </c>
      <c r="AF380" s="6202" t="str">
        <f t="shared" si="143"/>
        <v>►</v>
      </c>
      <c r="AG380" s="6234" t="str">
        <f t="shared" si="144"/>
        <v/>
      </c>
      <c r="AH380" s="6732" t="str">
        <f t="shared" si="145"/>
        <v/>
      </c>
      <c r="AI380" s="6234" t="str">
        <f t="shared" si="146"/>
        <v/>
      </c>
      <c r="AJ380" s="6732" t="str">
        <f t="shared" si="147"/>
        <v/>
      </c>
      <c r="AK380" s="6732">
        <f t="shared" si="148"/>
        <v>0</v>
      </c>
      <c r="AL380" s="6230" t="str" cm="1">
        <f t="array" ref="AL380">IF(AF380&lt;&gt;"A","",IFERROR((IFERROR(_xlfn.XLOOKUP(TRIM(SUBSTITUTE(U380,CHAR(160)," ")),$BJ$15:$BJ$62,$BM$15:$BM$62),IFERROR(_xlfn.XLOOKUP(TRIM(SUBSTITUTE(U380,CHAR(160)," ")),$BK$15:$BK$62,$BM$15:$BM$62),_xlfn.XLOOKUP(TRIM(SUBSTITUTE(U380,CHAR(160)," ")),$BL$15:$BL$62,$BM$15:$BM$62))))*T380*IF(ISBLANK(Q380),1,Q380)+IFERROR(_xlfn.XLOOKUP("RECHERCHEX",TRIM(L380:AD380),L380:AD380),0),0))</f>
        <v/>
      </c>
      <c r="AM380" s="6229">
        <f t="shared" si="149"/>
        <v>0</v>
      </c>
      <c r="AN380" s="6857" t="str">
        <f t="shared" si="164"/>
        <v/>
      </c>
      <c r="AO380" s="392">
        <f t="shared" si="150"/>
        <v>0</v>
      </c>
      <c r="AP380" s="392">
        <f t="shared" si="151"/>
        <v>0</v>
      </c>
      <c r="AQ380" s="6190">
        <f t="shared" si="152"/>
        <v>0</v>
      </c>
      <c r="AR380" s="6858" t="str">
        <f t="shared" si="153"/>
        <v/>
      </c>
      <c r="AS380" s="6217"/>
      <c r="AT380" s="6217"/>
      <c r="AU380" s="6271">
        <f t="shared" si="154"/>
        <v>0</v>
      </c>
      <c r="AV380" s="6242">
        <f t="shared" si="155"/>
        <v>0</v>
      </c>
      <c r="AW380" s="6188" cm="1">
        <f t="array" ref="AW380">IF(AK380&lt;&gt;1,0,IF(OR(AU380="",N(AU380)&lt;=0.000000001),"",IF(OR(AO380="",N(AO380)&lt;=0.000000001),0,IF(ISNUMBER(AU380),IFERROR(_xlfn.LET(_xlpm.ai_test,TRIM(AJ380),_xlpm.r,IFERROR(_xlfn.XLOOKUP(_xlpm.ai_test,$BJ$15:$BJ$62,ROW($BJ$15:$BJ$62),0,1),IFERROR(_xlfn.XLOOKUP(_xlpm.ai_test,$BK$15:$BK$62,ROW($BK$15:$BK$62),0,1),_xlfn.XLOOKUP(_xlpm.ai_test,$BL$15:$BL$62,ROW($BL$15:$BL$62),0,1))),_xlpm.p,_xlpm.r-MIN(ROW($BJ$15:$BJ$62))+1,_xlpm.f,INDEX($BM$15:$BM$62,_xlpm.p),_xlpm.u,INDEX($BN$15:$BN$62,_xlpm.p),_xlpm.s,INDEX($BP$15:$BP$62,_xlpm.p),_xlpm.q,N(AU380)/_xlpm.f,IF(_xlpm.q&gt;=_xlpm.s,ROUND(_xlpm.q,1)&amp;" "&amp;_xlpm.ai_test&amp;" = "&amp;ROUND(_xlpm.q*_xlpm.f,1)&amp;" "&amp;_xlpm.u,ROUND(_xlpm.q,1)&amp;" "&amp;_xlpm.ai_test)),""),""))))</f>
        <v>0</v>
      </c>
      <c r="AX380" s="6218"/>
      <c r="AY380" s="6271">
        <f t="shared" si="156"/>
        <v>0</v>
      </c>
      <c r="AZ380" s="6242" t="str">
        <f t="shared" si="157"/>
        <v/>
      </c>
      <c r="BA380" s="6194">
        <f t="shared" si="162"/>
        <v>0</v>
      </c>
      <c r="BB380" s="6192" t="str">
        <f t="shared" si="158"/>
        <v/>
      </c>
      <c r="BC380" s="6219"/>
      <c r="BD380" s="6221">
        <f t="shared" si="163"/>
        <v>0</v>
      </c>
      <c r="BE380" s="6220" t="str">
        <f t="shared" si="159"/>
        <v/>
      </c>
      <c r="BF380" s="4" t="s">
        <v>1</v>
      </c>
      <c r="BG380" s="6196">
        <f t="shared" si="160"/>
        <v>0</v>
      </c>
      <c r="BH380" s="6197">
        <f t="shared" si="161"/>
        <v>0</v>
      </c>
      <c r="BI380"/>
      <c r="BJ380" s="1"/>
      <c r="BK380" s="1"/>
      <c r="BL380" s="1"/>
      <c r="BM380" s="1"/>
      <c r="BN380" s="1"/>
      <c r="BO380" s="1"/>
      <c r="BP380" s="1"/>
      <c r="BQ380" s="1"/>
      <c r="BX380" s="20" t="str">
        <f t="shared" si="142"/>
        <v>►</v>
      </c>
      <c r="BY380" s="2"/>
      <c r="BZ380" s="2"/>
      <c r="CA380" s="2"/>
      <c r="CB380" s="2"/>
      <c r="CC380" s="2"/>
      <c r="DC380" s="5">
        <v>1</v>
      </c>
    </row>
    <row r="381" spans="12:107" ht="21" customHeight="1">
      <c r="L381" s="1021" t="s">
        <v>26</v>
      </c>
      <c r="M381" s="6787"/>
      <c r="N381" s="6787"/>
      <c r="O381" s="6787"/>
      <c r="P381" s="6788"/>
      <c r="Q381" s="6789"/>
      <c r="R381" s="6790"/>
      <c r="S381" s="6786"/>
      <c r="T381" s="6791"/>
      <c r="U381" s="6844"/>
      <c r="V381" s="6791"/>
      <c r="W381" s="8487"/>
      <c r="X381" s="6871"/>
      <c r="Y381" s="6793"/>
      <c r="Z381" s="6794"/>
      <c r="AA381" s="6795"/>
      <c r="AB381" s="6796"/>
      <c r="AC381" s="6797"/>
      <c r="AD381" s="6798"/>
      <c r="AE381" s="4" t="s">
        <v>1</v>
      </c>
      <c r="AF381" s="6202" t="str">
        <f t="shared" si="143"/>
        <v>►</v>
      </c>
      <c r="AG381" s="6234" t="str">
        <f t="shared" si="144"/>
        <v/>
      </c>
      <c r="AH381" s="6732" t="str">
        <f t="shared" si="145"/>
        <v/>
      </c>
      <c r="AI381" s="6234" t="str">
        <f t="shared" si="146"/>
        <v/>
      </c>
      <c r="AJ381" s="6732" t="str">
        <f t="shared" si="147"/>
        <v/>
      </c>
      <c r="AK381" s="6732">
        <f t="shared" si="148"/>
        <v>0</v>
      </c>
      <c r="AL381" s="6230" t="str" cm="1">
        <f t="array" ref="AL381">IF(AF381&lt;&gt;"A","",IFERROR((IFERROR(_xlfn.XLOOKUP(TRIM(SUBSTITUTE(U381,CHAR(160)," ")),$BJ$15:$BJ$62,$BM$15:$BM$62),IFERROR(_xlfn.XLOOKUP(TRIM(SUBSTITUTE(U381,CHAR(160)," ")),$BK$15:$BK$62,$BM$15:$BM$62),_xlfn.XLOOKUP(TRIM(SUBSTITUTE(U381,CHAR(160)," ")),$BL$15:$BL$62,$BM$15:$BM$62))))*T381*IF(ISBLANK(Q381),1,Q381)+IFERROR(_xlfn.XLOOKUP("RECHERCHEX",TRIM(L381:AD381),L381:AD381),0),0))</f>
        <v/>
      </c>
      <c r="AM381" s="6229">
        <f t="shared" si="149"/>
        <v>0</v>
      </c>
      <c r="AN381" s="6857" t="str">
        <f t="shared" si="164"/>
        <v/>
      </c>
      <c r="AO381" s="392">
        <f t="shared" si="150"/>
        <v>0</v>
      </c>
      <c r="AP381" s="392">
        <f t="shared" si="151"/>
        <v>0</v>
      </c>
      <c r="AQ381" s="6191">
        <f t="shared" si="152"/>
        <v>0</v>
      </c>
      <c r="AR381" s="6859" t="str">
        <f t="shared" si="153"/>
        <v/>
      </c>
      <c r="AS381" s="6217"/>
      <c r="AT381" s="6217"/>
      <c r="AU381" s="6272">
        <f t="shared" si="154"/>
        <v>0</v>
      </c>
      <c r="AV381" s="6240">
        <f t="shared" si="155"/>
        <v>0</v>
      </c>
      <c r="AW381" s="6189" cm="1">
        <f t="array" ref="AW381">IF(AK381&lt;&gt;1,0,IF(OR(AU381="",N(AU381)&lt;=0.000000001),"",IF(OR(AO381="",N(AO381)&lt;=0.000000001),0,IF(ISNUMBER(AU381),IFERROR(_xlfn.LET(_xlpm.ai_test,TRIM(AJ381),_xlpm.r,IFERROR(_xlfn.XLOOKUP(_xlpm.ai_test,$BJ$15:$BJ$62,ROW($BJ$15:$BJ$62),0,1),IFERROR(_xlfn.XLOOKUP(_xlpm.ai_test,$BK$15:$BK$62,ROW($BK$15:$BK$62),0,1),_xlfn.XLOOKUP(_xlpm.ai_test,$BL$15:$BL$62,ROW($BL$15:$BL$62),0,1))),_xlpm.p,_xlpm.r-MIN(ROW($BJ$15:$BJ$62))+1,_xlpm.f,INDEX($BM$15:$BM$62,_xlpm.p),_xlpm.u,INDEX($BN$15:$BN$62,_xlpm.p),_xlpm.s,INDEX($BP$15:$BP$62,_xlpm.p),_xlpm.q,N(AU381)/_xlpm.f,IF(_xlpm.q&gt;=_xlpm.s,ROUND(_xlpm.q,1)&amp;" "&amp;_xlpm.ai_test&amp;" = "&amp;ROUND(_xlpm.q*_xlpm.f,1)&amp;" "&amp;_xlpm.u,ROUND(_xlpm.q,1)&amp;" "&amp;_xlpm.ai_test)),""),""))))</f>
        <v>0</v>
      </c>
      <c r="AX381" s="6218"/>
      <c r="AY381" s="6272">
        <f t="shared" si="156"/>
        <v>0</v>
      </c>
      <c r="AZ381" s="6240" t="str">
        <f t="shared" si="157"/>
        <v/>
      </c>
      <c r="BA381" s="6195">
        <f t="shared" si="162"/>
        <v>0</v>
      </c>
      <c r="BB381" s="6193" t="str">
        <f t="shared" si="158"/>
        <v/>
      </c>
      <c r="BC381" s="6219"/>
      <c r="BD381" s="6222">
        <f t="shared" si="163"/>
        <v>0</v>
      </c>
      <c r="BE381" s="6220" t="str">
        <f t="shared" si="159"/>
        <v/>
      </c>
      <c r="BF381" s="4" t="s">
        <v>1</v>
      </c>
      <c r="BG381" s="6196">
        <f t="shared" si="160"/>
        <v>0</v>
      </c>
      <c r="BH381" s="6197">
        <f t="shared" si="161"/>
        <v>0</v>
      </c>
      <c r="BI381"/>
      <c r="BJ381" s="1"/>
      <c r="BK381" s="1"/>
      <c r="BL381" s="1"/>
      <c r="BM381" s="1"/>
      <c r="BN381" s="1"/>
      <c r="BO381" s="1"/>
      <c r="BP381" s="1"/>
      <c r="BQ381" s="1"/>
      <c r="BX381" s="20" t="str">
        <f t="shared" si="142"/>
        <v>►</v>
      </c>
      <c r="BY381" s="2"/>
      <c r="BZ381" s="2"/>
      <c r="CA381" s="2"/>
      <c r="CB381" s="2"/>
      <c r="CC381" s="2"/>
      <c r="DC381" s="5">
        <v>1</v>
      </c>
    </row>
    <row r="382" spans="12:107" ht="21" customHeight="1">
      <c r="L382" s="1021" t="s">
        <v>26</v>
      </c>
      <c r="M382" s="6787"/>
      <c r="N382" s="6787"/>
      <c r="O382" s="6787"/>
      <c r="P382" s="6788"/>
      <c r="Q382" s="6789"/>
      <c r="R382" s="6790"/>
      <c r="S382" s="6786"/>
      <c r="T382" s="6791"/>
      <c r="U382" s="6844"/>
      <c r="V382" s="6791"/>
      <c r="W382" s="8487"/>
      <c r="X382" s="6871"/>
      <c r="Y382" s="6793"/>
      <c r="Z382" s="6794"/>
      <c r="AA382" s="6795"/>
      <c r="AB382" s="6796"/>
      <c r="AC382" s="6797"/>
      <c r="AD382" s="6798"/>
      <c r="AE382" s="4" t="s">
        <v>1</v>
      </c>
      <c r="AF382" s="6202" t="str">
        <f t="shared" si="143"/>
        <v>►</v>
      </c>
      <c r="AG382" s="6234" t="str">
        <f t="shared" si="144"/>
        <v/>
      </c>
      <c r="AH382" s="6732" t="str">
        <f t="shared" si="145"/>
        <v/>
      </c>
      <c r="AI382" s="6234" t="str">
        <f t="shared" si="146"/>
        <v/>
      </c>
      <c r="AJ382" s="6732" t="str">
        <f t="shared" si="147"/>
        <v/>
      </c>
      <c r="AK382" s="6732">
        <f t="shared" si="148"/>
        <v>0</v>
      </c>
      <c r="AL382" s="6230" t="str" cm="1">
        <f t="array" ref="AL382">IF(AF382&lt;&gt;"A","",IFERROR((IFERROR(_xlfn.XLOOKUP(TRIM(SUBSTITUTE(U382,CHAR(160)," ")),$BJ$15:$BJ$62,$BM$15:$BM$62),IFERROR(_xlfn.XLOOKUP(TRIM(SUBSTITUTE(U382,CHAR(160)," ")),$BK$15:$BK$62,$BM$15:$BM$62),_xlfn.XLOOKUP(TRIM(SUBSTITUTE(U382,CHAR(160)," ")),$BL$15:$BL$62,$BM$15:$BM$62))))*T382*IF(ISBLANK(Q382),1,Q382)+IFERROR(_xlfn.XLOOKUP("RECHERCHEX",TRIM(L382:AD382),L382:AD382),0),0))</f>
        <v/>
      </c>
      <c r="AM382" s="6229">
        <f t="shared" si="149"/>
        <v>0</v>
      </c>
      <c r="AN382" s="6857" t="str">
        <f t="shared" si="164"/>
        <v/>
      </c>
      <c r="AO382" s="392">
        <f t="shared" si="150"/>
        <v>0</v>
      </c>
      <c r="AP382" s="392">
        <f t="shared" si="151"/>
        <v>0</v>
      </c>
      <c r="AQ382" s="6190">
        <f t="shared" si="152"/>
        <v>0</v>
      </c>
      <c r="AR382" s="6858" t="str">
        <f t="shared" si="153"/>
        <v/>
      </c>
      <c r="AS382" s="6217"/>
      <c r="AT382" s="6217"/>
      <c r="AU382" s="6271">
        <f t="shared" si="154"/>
        <v>0</v>
      </c>
      <c r="AV382" s="6242">
        <f t="shared" si="155"/>
        <v>0</v>
      </c>
      <c r="AW382" s="6188" cm="1">
        <f t="array" ref="AW382">IF(AK382&lt;&gt;1,0,IF(OR(AU382="",N(AU382)&lt;=0.000000001),"",IF(OR(AO382="",N(AO382)&lt;=0.000000001),0,IF(ISNUMBER(AU382),IFERROR(_xlfn.LET(_xlpm.ai_test,TRIM(AJ382),_xlpm.r,IFERROR(_xlfn.XLOOKUP(_xlpm.ai_test,$BJ$15:$BJ$62,ROW($BJ$15:$BJ$62),0,1),IFERROR(_xlfn.XLOOKUP(_xlpm.ai_test,$BK$15:$BK$62,ROW($BK$15:$BK$62),0,1),_xlfn.XLOOKUP(_xlpm.ai_test,$BL$15:$BL$62,ROW($BL$15:$BL$62),0,1))),_xlpm.p,_xlpm.r-MIN(ROW($BJ$15:$BJ$62))+1,_xlpm.f,INDEX($BM$15:$BM$62,_xlpm.p),_xlpm.u,INDEX($BN$15:$BN$62,_xlpm.p),_xlpm.s,INDEX($BP$15:$BP$62,_xlpm.p),_xlpm.q,N(AU382)/_xlpm.f,IF(_xlpm.q&gt;=_xlpm.s,ROUND(_xlpm.q,1)&amp;" "&amp;_xlpm.ai_test&amp;" = "&amp;ROUND(_xlpm.q*_xlpm.f,1)&amp;" "&amp;_xlpm.u,ROUND(_xlpm.q,1)&amp;" "&amp;_xlpm.ai_test)),""),""))))</f>
        <v>0</v>
      </c>
      <c r="AX382" s="6218"/>
      <c r="AY382" s="6271">
        <f t="shared" si="156"/>
        <v>0</v>
      </c>
      <c r="AZ382" s="6242" t="str">
        <f t="shared" si="157"/>
        <v/>
      </c>
      <c r="BA382" s="6194">
        <f t="shared" si="162"/>
        <v>0</v>
      </c>
      <c r="BB382" s="6192" t="str">
        <f t="shared" si="158"/>
        <v/>
      </c>
      <c r="BC382" s="6219"/>
      <c r="BD382" s="6221">
        <f t="shared" si="163"/>
        <v>0</v>
      </c>
      <c r="BE382" s="6220" t="str">
        <f t="shared" si="159"/>
        <v/>
      </c>
      <c r="BF382" s="4" t="s">
        <v>1</v>
      </c>
      <c r="BG382" s="6196">
        <f t="shared" si="160"/>
        <v>0</v>
      </c>
      <c r="BH382" s="6197">
        <f t="shared" si="161"/>
        <v>0</v>
      </c>
      <c r="BI382"/>
      <c r="BJ382" s="1"/>
      <c r="BK382" s="1"/>
      <c r="BL382" s="1"/>
      <c r="BM382" s="1"/>
      <c r="BN382" s="1"/>
      <c r="BO382" s="1"/>
      <c r="BP382" s="1"/>
      <c r="BQ382" s="1"/>
      <c r="BX382" s="20" t="str">
        <f t="shared" si="142"/>
        <v>►</v>
      </c>
      <c r="BY382" s="2"/>
      <c r="BZ382" s="2"/>
      <c r="CA382" s="2"/>
      <c r="CB382" s="2"/>
      <c r="CC382" s="2"/>
      <c r="DC382" s="5">
        <v>1</v>
      </c>
    </row>
    <row r="383" spans="12:107" ht="21" customHeight="1">
      <c r="L383" s="1021" t="s">
        <v>26</v>
      </c>
      <c r="M383" s="6787"/>
      <c r="N383" s="6787"/>
      <c r="O383" s="6787"/>
      <c r="P383" s="6788"/>
      <c r="Q383" s="6789"/>
      <c r="R383" s="6790"/>
      <c r="S383" s="6786"/>
      <c r="T383" s="6791"/>
      <c r="U383" s="6844"/>
      <c r="V383" s="6791"/>
      <c r="W383" s="8487"/>
      <c r="X383" s="6871"/>
      <c r="Y383" s="6793"/>
      <c r="Z383" s="6794"/>
      <c r="AA383" s="6795"/>
      <c r="AB383" s="6796"/>
      <c r="AC383" s="6797"/>
      <c r="AD383" s="6798"/>
      <c r="AE383" s="4" t="s">
        <v>1</v>
      </c>
      <c r="AF383" s="6202" t="str">
        <f t="shared" si="143"/>
        <v>►</v>
      </c>
      <c r="AG383" s="6234" t="str">
        <f t="shared" si="144"/>
        <v/>
      </c>
      <c r="AH383" s="6732" t="str">
        <f t="shared" si="145"/>
        <v/>
      </c>
      <c r="AI383" s="6234" t="str">
        <f t="shared" si="146"/>
        <v/>
      </c>
      <c r="AJ383" s="6732" t="str">
        <f t="shared" si="147"/>
        <v/>
      </c>
      <c r="AK383" s="6732">
        <f t="shared" si="148"/>
        <v>0</v>
      </c>
      <c r="AL383" s="6230" t="str" cm="1">
        <f t="array" ref="AL383">IF(AF383&lt;&gt;"A","",IFERROR((IFERROR(_xlfn.XLOOKUP(TRIM(SUBSTITUTE(U383,CHAR(160)," ")),$BJ$15:$BJ$62,$BM$15:$BM$62),IFERROR(_xlfn.XLOOKUP(TRIM(SUBSTITUTE(U383,CHAR(160)," ")),$BK$15:$BK$62,$BM$15:$BM$62),_xlfn.XLOOKUP(TRIM(SUBSTITUTE(U383,CHAR(160)," ")),$BL$15:$BL$62,$BM$15:$BM$62))))*T383*IF(ISBLANK(Q383),1,Q383)+IFERROR(_xlfn.XLOOKUP("RECHERCHEX",TRIM(L383:AD383),L383:AD383),0),0))</f>
        <v/>
      </c>
      <c r="AM383" s="6229">
        <f t="shared" si="149"/>
        <v>0</v>
      </c>
      <c r="AN383" s="6857" t="str">
        <f t="shared" si="164"/>
        <v/>
      </c>
      <c r="AO383" s="392">
        <f t="shared" si="150"/>
        <v>0</v>
      </c>
      <c r="AP383" s="392">
        <f t="shared" si="151"/>
        <v>0</v>
      </c>
      <c r="AQ383" s="6191">
        <f t="shared" si="152"/>
        <v>0</v>
      </c>
      <c r="AR383" s="6859" t="str">
        <f t="shared" si="153"/>
        <v/>
      </c>
      <c r="AS383" s="6217"/>
      <c r="AT383" s="6217"/>
      <c r="AU383" s="6272">
        <f t="shared" si="154"/>
        <v>0</v>
      </c>
      <c r="AV383" s="6240">
        <f t="shared" si="155"/>
        <v>0</v>
      </c>
      <c r="AW383" s="6189" cm="1">
        <f t="array" ref="AW383">IF(AK383&lt;&gt;1,0,IF(OR(AU383="",N(AU383)&lt;=0.000000001),"",IF(OR(AO383="",N(AO383)&lt;=0.000000001),0,IF(ISNUMBER(AU383),IFERROR(_xlfn.LET(_xlpm.ai_test,TRIM(AJ383),_xlpm.r,IFERROR(_xlfn.XLOOKUP(_xlpm.ai_test,$BJ$15:$BJ$62,ROW($BJ$15:$BJ$62),0,1),IFERROR(_xlfn.XLOOKUP(_xlpm.ai_test,$BK$15:$BK$62,ROW($BK$15:$BK$62),0,1),_xlfn.XLOOKUP(_xlpm.ai_test,$BL$15:$BL$62,ROW($BL$15:$BL$62),0,1))),_xlpm.p,_xlpm.r-MIN(ROW($BJ$15:$BJ$62))+1,_xlpm.f,INDEX($BM$15:$BM$62,_xlpm.p),_xlpm.u,INDEX($BN$15:$BN$62,_xlpm.p),_xlpm.s,INDEX($BP$15:$BP$62,_xlpm.p),_xlpm.q,N(AU383)/_xlpm.f,IF(_xlpm.q&gt;=_xlpm.s,ROUND(_xlpm.q,1)&amp;" "&amp;_xlpm.ai_test&amp;" = "&amp;ROUND(_xlpm.q*_xlpm.f,1)&amp;" "&amp;_xlpm.u,ROUND(_xlpm.q,1)&amp;" "&amp;_xlpm.ai_test)),""),""))))</f>
        <v>0</v>
      </c>
      <c r="AX383" s="6218"/>
      <c r="AY383" s="6272">
        <f t="shared" si="156"/>
        <v>0</v>
      </c>
      <c r="AZ383" s="6240" t="str">
        <f t="shared" si="157"/>
        <v/>
      </c>
      <c r="BA383" s="6195">
        <f t="shared" si="162"/>
        <v>0</v>
      </c>
      <c r="BB383" s="6193" t="str">
        <f t="shared" si="158"/>
        <v/>
      </c>
      <c r="BC383" s="6219"/>
      <c r="BD383" s="6222">
        <f t="shared" si="163"/>
        <v>0</v>
      </c>
      <c r="BE383" s="6220" t="str">
        <f t="shared" si="159"/>
        <v/>
      </c>
      <c r="BF383" s="4" t="s">
        <v>1</v>
      </c>
      <c r="BG383" s="6196">
        <f t="shared" si="160"/>
        <v>0</v>
      </c>
      <c r="BH383" s="6197">
        <f t="shared" si="161"/>
        <v>0</v>
      </c>
      <c r="BI383"/>
      <c r="BJ383" s="1"/>
      <c r="BK383" s="1"/>
      <c r="BL383" s="1"/>
      <c r="BM383" s="1"/>
      <c r="BN383" s="1"/>
      <c r="BO383" s="1"/>
      <c r="BP383" s="1"/>
      <c r="BQ383" s="1"/>
      <c r="BX383" s="20" t="str">
        <f t="shared" si="142"/>
        <v>►</v>
      </c>
      <c r="BY383" s="2"/>
      <c r="BZ383" s="2"/>
      <c r="CA383" s="2"/>
      <c r="CB383" s="2"/>
      <c r="CC383" s="2"/>
      <c r="DC383" s="5">
        <v>1</v>
      </c>
    </row>
    <row r="384" spans="12:107" ht="21" customHeight="1">
      <c r="L384" s="1021" t="s">
        <v>26</v>
      </c>
      <c r="M384" s="6787"/>
      <c r="N384" s="6787"/>
      <c r="O384" s="6787"/>
      <c r="P384" s="6788"/>
      <c r="Q384" s="6789"/>
      <c r="R384" s="6790"/>
      <c r="S384" s="6786"/>
      <c r="T384" s="6791"/>
      <c r="U384" s="6844"/>
      <c r="V384" s="6791"/>
      <c r="W384" s="8487"/>
      <c r="X384" s="6871"/>
      <c r="Y384" s="6793"/>
      <c r="Z384" s="6794"/>
      <c r="AA384" s="6795"/>
      <c r="AB384" s="6796"/>
      <c r="AC384" s="6797"/>
      <c r="AD384" s="6798"/>
      <c r="AE384" s="4" t="s">
        <v>1</v>
      </c>
      <c r="AF384" s="6202" t="str">
        <f t="shared" si="143"/>
        <v>►</v>
      </c>
      <c r="AG384" s="6234" t="str">
        <f t="shared" si="144"/>
        <v/>
      </c>
      <c r="AH384" s="6732" t="str">
        <f t="shared" si="145"/>
        <v/>
      </c>
      <c r="AI384" s="6234" t="str">
        <f t="shared" si="146"/>
        <v/>
      </c>
      <c r="AJ384" s="6732" t="str">
        <f t="shared" si="147"/>
        <v/>
      </c>
      <c r="AK384" s="6732">
        <f t="shared" si="148"/>
        <v>0</v>
      </c>
      <c r="AL384" s="6230" t="str" cm="1">
        <f t="array" ref="AL384">IF(AF384&lt;&gt;"A","",IFERROR((IFERROR(_xlfn.XLOOKUP(TRIM(SUBSTITUTE(U384,CHAR(160)," ")),$BJ$15:$BJ$62,$BM$15:$BM$62),IFERROR(_xlfn.XLOOKUP(TRIM(SUBSTITUTE(U384,CHAR(160)," ")),$BK$15:$BK$62,$BM$15:$BM$62),_xlfn.XLOOKUP(TRIM(SUBSTITUTE(U384,CHAR(160)," ")),$BL$15:$BL$62,$BM$15:$BM$62))))*T384*IF(ISBLANK(Q384),1,Q384)+IFERROR(_xlfn.XLOOKUP("RECHERCHEX",TRIM(L384:AD384),L384:AD384),0),0))</f>
        <v/>
      </c>
      <c r="AM384" s="6229">
        <f t="shared" si="149"/>
        <v>0</v>
      </c>
      <c r="AN384" s="6857" t="str">
        <f t="shared" si="164"/>
        <v/>
      </c>
      <c r="AO384" s="392">
        <f t="shared" si="150"/>
        <v>0</v>
      </c>
      <c r="AP384" s="392">
        <f t="shared" si="151"/>
        <v>0</v>
      </c>
      <c r="AQ384" s="6190">
        <f t="shared" si="152"/>
        <v>0</v>
      </c>
      <c r="AR384" s="6858" t="str">
        <f t="shared" si="153"/>
        <v/>
      </c>
      <c r="AS384" s="6217"/>
      <c r="AT384" s="6217"/>
      <c r="AU384" s="6271">
        <f t="shared" si="154"/>
        <v>0</v>
      </c>
      <c r="AV384" s="6242">
        <f t="shared" si="155"/>
        <v>0</v>
      </c>
      <c r="AW384" s="6188" cm="1">
        <f t="array" ref="AW384">IF(AK384&lt;&gt;1,0,IF(OR(AU384="",N(AU384)&lt;=0.000000001),"",IF(OR(AO384="",N(AO384)&lt;=0.000000001),0,IF(ISNUMBER(AU384),IFERROR(_xlfn.LET(_xlpm.ai_test,TRIM(AJ384),_xlpm.r,IFERROR(_xlfn.XLOOKUP(_xlpm.ai_test,$BJ$15:$BJ$62,ROW($BJ$15:$BJ$62),0,1),IFERROR(_xlfn.XLOOKUP(_xlpm.ai_test,$BK$15:$BK$62,ROW($BK$15:$BK$62),0,1),_xlfn.XLOOKUP(_xlpm.ai_test,$BL$15:$BL$62,ROW($BL$15:$BL$62),0,1))),_xlpm.p,_xlpm.r-MIN(ROW($BJ$15:$BJ$62))+1,_xlpm.f,INDEX($BM$15:$BM$62,_xlpm.p),_xlpm.u,INDEX($BN$15:$BN$62,_xlpm.p),_xlpm.s,INDEX($BP$15:$BP$62,_xlpm.p),_xlpm.q,N(AU384)/_xlpm.f,IF(_xlpm.q&gt;=_xlpm.s,ROUND(_xlpm.q,1)&amp;" "&amp;_xlpm.ai_test&amp;" = "&amp;ROUND(_xlpm.q*_xlpm.f,1)&amp;" "&amp;_xlpm.u,ROUND(_xlpm.q,1)&amp;" "&amp;_xlpm.ai_test)),""),""))))</f>
        <v>0</v>
      </c>
      <c r="AX384" s="6218"/>
      <c r="AY384" s="6271">
        <f t="shared" si="156"/>
        <v>0</v>
      </c>
      <c r="AZ384" s="6242" t="str">
        <f t="shared" si="157"/>
        <v/>
      </c>
      <c r="BA384" s="6194">
        <f t="shared" si="162"/>
        <v>0</v>
      </c>
      <c r="BB384" s="6192" t="str">
        <f t="shared" si="158"/>
        <v/>
      </c>
      <c r="BC384" s="6219"/>
      <c r="BD384" s="6221">
        <f t="shared" si="163"/>
        <v>0</v>
      </c>
      <c r="BE384" s="6220" t="str">
        <f t="shared" si="159"/>
        <v/>
      </c>
      <c r="BF384" s="4" t="s">
        <v>1</v>
      </c>
      <c r="BG384" s="6196">
        <f t="shared" si="160"/>
        <v>0</v>
      </c>
      <c r="BH384" s="6197">
        <f t="shared" si="161"/>
        <v>0</v>
      </c>
      <c r="BI384"/>
      <c r="BJ384" s="1"/>
      <c r="BK384" s="1"/>
      <c r="BL384" s="1"/>
      <c r="BM384" s="1"/>
      <c r="BN384" s="1"/>
      <c r="BO384" s="1"/>
      <c r="BP384" s="1"/>
      <c r="BQ384" s="1"/>
      <c r="BX384" s="20" t="str">
        <f t="shared" si="142"/>
        <v>►</v>
      </c>
      <c r="BY384" s="2"/>
      <c r="BZ384" s="2"/>
      <c r="CA384" s="2"/>
      <c r="CB384" s="2"/>
      <c r="CC384" s="2"/>
      <c r="DC384" s="5">
        <v>1</v>
      </c>
    </row>
    <row r="385" spans="12:107" ht="21" customHeight="1">
      <c r="L385" s="1021" t="s">
        <v>26</v>
      </c>
      <c r="M385" s="6787"/>
      <c r="N385" s="6787"/>
      <c r="O385" s="6787"/>
      <c r="P385" s="6788"/>
      <c r="Q385" s="6789"/>
      <c r="R385" s="6790"/>
      <c r="S385" s="6786"/>
      <c r="T385" s="6791"/>
      <c r="U385" s="6844"/>
      <c r="V385" s="6791"/>
      <c r="W385" s="8487"/>
      <c r="X385" s="6871"/>
      <c r="Y385" s="6793"/>
      <c r="Z385" s="6794"/>
      <c r="AA385" s="6795"/>
      <c r="AB385" s="6796"/>
      <c r="AC385" s="6797"/>
      <c r="AD385" s="6798"/>
      <c r="AE385" s="4" t="s">
        <v>1</v>
      </c>
      <c r="AF385" s="6202" t="str">
        <f t="shared" si="143"/>
        <v>►</v>
      </c>
      <c r="AG385" s="6234" t="str">
        <f t="shared" si="144"/>
        <v/>
      </c>
      <c r="AH385" s="6732" t="str">
        <f t="shared" si="145"/>
        <v/>
      </c>
      <c r="AI385" s="6234" t="str">
        <f t="shared" si="146"/>
        <v/>
      </c>
      <c r="AJ385" s="6732" t="str">
        <f t="shared" si="147"/>
        <v/>
      </c>
      <c r="AK385" s="6732">
        <f t="shared" si="148"/>
        <v>0</v>
      </c>
      <c r="AL385" s="6230" t="str" cm="1">
        <f t="array" ref="AL385">IF(AF385&lt;&gt;"A","",IFERROR((IFERROR(_xlfn.XLOOKUP(TRIM(SUBSTITUTE(U385,CHAR(160)," ")),$BJ$15:$BJ$62,$BM$15:$BM$62),IFERROR(_xlfn.XLOOKUP(TRIM(SUBSTITUTE(U385,CHAR(160)," ")),$BK$15:$BK$62,$BM$15:$BM$62),_xlfn.XLOOKUP(TRIM(SUBSTITUTE(U385,CHAR(160)," ")),$BL$15:$BL$62,$BM$15:$BM$62))))*T385*IF(ISBLANK(Q385),1,Q385)+IFERROR(_xlfn.XLOOKUP("RECHERCHEX",TRIM(L385:AD385),L385:AD385),0),0))</f>
        <v/>
      </c>
      <c r="AM385" s="6229">
        <f t="shared" si="149"/>
        <v>0</v>
      </c>
      <c r="AN385" s="6857" t="str">
        <f t="shared" si="164"/>
        <v/>
      </c>
      <c r="AO385" s="392">
        <f t="shared" si="150"/>
        <v>0</v>
      </c>
      <c r="AP385" s="392">
        <f t="shared" si="151"/>
        <v>0</v>
      </c>
      <c r="AQ385" s="6191">
        <f t="shared" si="152"/>
        <v>0</v>
      </c>
      <c r="AR385" s="6859" t="str">
        <f t="shared" si="153"/>
        <v/>
      </c>
      <c r="AS385" s="6217"/>
      <c r="AT385" s="6217"/>
      <c r="AU385" s="6272">
        <f t="shared" si="154"/>
        <v>0</v>
      </c>
      <c r="AV385" s="6240">
        <f t="shared" si="155"/>
        <v>0</v>
      </c>
      <c r="AW385" s="6189" cm="1">
        <f t="array" ref="AW385">IF(AK385&lt;&gt;1,0,IF(OR(AU385="",N(AU385)&lt;=0.000000001),"",IF(OR(AO385="",N(AO385)&lt;=0.000000001),0,IF(ISNUMBER(AU385),IFERROR(_xlfn.LET(_xlpm.ai_test,TRIM(AJ385),_xlpm.r,IFERROR(_xlfn.XLOOKUP(_xlpm.ai_test,$BJ$15:$BJ$62,ROW($BJ$15:$BJ$62),0,1),IFERROR(_xlfn.XLOOKUP(_xlpm.ai_test,$BK$15:$BK$62,ROW($BK$15:$BK$62),0,1),_xlfn.XLOOKUP(_xlpm.ai_test,$BL$15:$BL$62,ROW($BL$15:$BL$62),0,1))),_xlpm.p,_xlpm.r-MIN(ROW($BJ$15:$BJ$62))+1,_xlpm.f,INDEX($BM$15:$BM$62,_xlpm.p),_xlpm.u,INDEX($BN$15:$BN$62,_xlpm.p),_xlpm.s,INDEX($BP$15:$BP$62,_xlpm.p),_xlpm.q,N(AU385)/_xlpm.f,IF(_xlpm.q&gt;=_xlpm.s,ROUND(_xlpm.q,1)&amp;" "&amp;_xlpm.ai_test&amp;" = "&amp;ROUND(_xlpm.q*_xlpm.f,1)&amp;" "&amp;_xlpm.u,ROUND(_xlpm.q,1)&amp;" "&amp;_xlpm.ai_test)),""),""))))</f>
        <v>0</v>
      </c>
      <c r="AX385" s="6218"/>
      <c r="AY385" s="6272">
        <f t="shared" si="156"/>
        <v>0</v>
      </c>
      <c r="AZ385" s="6240" t="str">
        <f t="shared" si="157"/>
        <v/>
      </c>
      <c r="BA385" s="6195">
        <f t="shared" si="162"/>
        <v>0</v>
      </c>
      <c r="BB385" s="6193" t="str">
        <f t="shared" si="158"/>
        <v/>
      </c>
      <c r="BC385" s="6219"/>
      <c r="BD385" s="6222">
        <f t="shared" si="163"/>
        <v>0</v>
      </c>
      <c r="BE385" s="6220" t="str">
        <f t="shared" si="159"/>
        <v/>
      </c>
      <c r="BF385" s="4" t="s">
        <v>1</v>
      </c>
      <c r="BG385" s="6196">
        <f t="shared" si="160"/>
        <v>0</v>
      </c>
      <c r="BH385" s="6197">
        <f t="shared" si="161"/>
        <v>0</v>
      </c>
      <c r="BI385"/>
      <c r="BJ385" s="1"/>
      <c r="BK385" s="1"/>
      <c r="BL385" s="1"/>
      <c r="BM385" s="1"/>
      <c r="BN385" s="1"/>
      <c r="BO385" s="1"/>
      <c r="BP385" s="1"/>
      <c r="BQ385" s="1"/>
      <c r="BX385" s="20" t="str">
        <f t="shared" si="142"/>
        <v>►</v>
      </c>
      <c r="BY385" s="2"/>
      <c r="BZ385" s="2"/>
      <c r="CA385" s="2"/>
      <c r="CB385" s="2"/>
      <c r="CC385" s="2"/>
      <c r="DC385" s="5">
        <v>1</v>
      </c>
    </row>
    <row r="386" spans="12:107" ht="21" customHeight="1">
      <c r="L386" s="1021" t="s">
        <v>26</v>
      </c>
      <c r="M386" s="6787"/>
      <c r="N386" s="6787"/>
      <c r="O386" s="6787"/>
      <c r="P386" s="6788"/>
      <c r="Q386" s="6789"/>
      <c r="R386" s="6790"/>
      <c r="S386" s="6786"/>
      <c r="T386" s="6791"/>
      <c r="U386" s="6844"/>
      <c r="V386" s="6791"/>
      <c r="W386" s="8487"/>
      <c r="X386" s="6871"/>
      <c r="Y386" s="6793"/>
      <c r="Z386" s="6794"/>
      <c r="AA386" s="6795"/>
      <c r="AB386" s="6796"/>
      <c r="AC386" s="6797"/>
      <c r="AD386" s="6798"/>
      <c r="AE386" s="4" t="s">
        <v>1</v>
      </c>
      <c r="AF386" s="6202" t="str">
        <f t="shared" si="143"/>
        <v>►</v>
      </c>
      <c r="AG386" s="6234" t="str">
        <f t="shared" si="144"/>
        <v/>
      </c>
      <c r="AH386" s="6732" t="str">
        <f t="shared" si="145"/>
        <v/>
      </c>
      <c r="AI386" s="6234" t="str">
        <f t="shared" si="146"/>
        <v/>
      </c>
      <c r="AJ386" s="6732" t="str">
        <f t="shared" si="147"/>
        <v/>
      </c>
      <c r="AK386" s="6732">
        <f t="shared" si="148"/>
        <v>0</v>
      </c>
      <c r="AL386" s="6230" t="str" cm="1">
        <f t="array" ref="AL386">IF(AF386&lt;&gt;"A","",IFERROR((IFERROR(_xlfn.XLOOKUP(TRIM(SUBSTITUTE(U386,CHAR(160)," ")),$BJ$15:$BJ$62,$BM$15:$BM$62),IFERROR(_xlfn.XLOOKUP(TRIM(SUBSTITUTE(U386,CHAR(160)," ")),$BK$15:$BK$62,$BM$15:$BM$62),_xlfn.XLOOKUP(TRIM(SUBSTITUTE(U386,CHAR(160)," ")),$BL$15:$BL$62,$BM$15:$BM$62))))*T386*IF(ISBLANK(Q386),1,Q386)+IFERROR(_xlfn.XLOOKUP("RECHERCHEX",TRIM(L386:AD386),L386:AD386),0),0))</f>
        <v/>
      </c>
      <c r="AM386" s="6229">
        <f t="shared" si="149"/>
        <v>0</v>
      </c>
      <c r="AN386" s="6857" t="str">
        <f t="shared" si="164"/>
        <v/>
      </c>
      <c r="AO386" s="392">
        <f t="shared" si="150"/>
        <v>0</v>
      </c>
      <c r="AP386" s="392">
        <f t="shared" si="151"/>
        <v>0</v>
      </c>
      <c r="AQ386" s="6190">
        <f t="shared" si="152"/>
        <v>0</v>
      </c>
      <c r="AR386" s="6858" t="str">
        <f t="shared" si="153"/>
        <v/>
      </c>
      <c r="AS386" s="6217"/>
      <c r="AT386" s="6217"/>
      <c r="AU386" s="6271">
        <f t="shared" si="154"/>
        <v>0</v>
      </c>
      <c r="AV386" s="6242">
        <f t="shared" si="155"/>
        <v>0</v>
      </c>
      <c r="AW386" s="6188" cm="1">
        <f t="array" ref="AW386">IF(AK386&lt;&gt;1,0,IF(OR(AU386="",N(AU386)&lt;=0.000000001),"",IF(OR(AO386="",N(AO386)&lt;=0.000000001),0,IF(ISNUMBER(AU386),IFERROR(_xlfn.LET(_xlpm.ai_test,TRIM(AJ386),_xlpm.r,IFERROR(_xlfn.XLOOKUP(_xlpm.ai_test,$BJ$15:$BJ$62,ROW($BJ$15:$BJ$62),0,1),IFERROR(_xlfn.XLOOKUP(_xlpm.ai_test,$BK$15:$BK$62,ROW($BK$15:$BK$62),0,1),_xlfn.XLOOKUP(_xlpm.ai_test,$BL$15:$BL$62,ROW($BL$15:$BL$62),0,1))),_xlpm.p,_xlpm.r-MIN(ROW($BJ$15:$BJ$62))+1,_xlpm.f,INDEX($BM$15:$BM$62,_xlpm.p),_xlpm.u,INDEX($BN$15:$BN$62,_xlpm.p),_xlpm.s,INDEX($BP$15:$BP$62,_xlpm.p),_xlpm.q,N(AU386)/_xlpm.f,IF(_xlpm.q&gt;=_xlpm.s,ROUND(_xlpm.q,1)&amp;" "&amp;_xlpm.ai_test&amp;" = "&amp;ROUND(_xlpm.q*_xlpm.f,1)&amp;" "&amp;_xlpm.u,ROUND(_xlpm.q,1)&amp;" "&amp;_xlpm.ai_test)),""),""))))</f>
        <v>0</v>
      </c>
      <c r="AX386" s="6218"/>
      <c r="AY386" s="6271">
        <f t="shared" si="156"/>
        <v>0</v>
      </c>
      <c r="AZ386" s="6242" t="str">
        <f t="shared" si="157"/>
        <v/>
      </c>
      <c r="BA386" s="6194">
        <f t="shared" si="162"/>
        <v>0</v>
      </c>
      <c r="BB386" s="6192" t="str">
        <f t="shared" si="158"/>
        <v/>
      </c>
      <c r="BC386" s="6219"/>
      <c r="BD386" s="6221">
        <f t="shared" si="163"/>
        <v>0</v>
      </c>
      <c r="BE386" s="6220" t="str">
        <f t="shared" si="159"/>
        <v/>
      </c>
      <c r="BF386" s="4" t="s">
        <v>1</v>
      </c>
      <c r="BG386" s="6196">
        <f t="shared" si="160"/>
        <v>0</v>
      </c>
      <c r="BH386" s="6197">
        <f t="shared" si="161"/>
        <v>0</v>
      </c>
      <c r="BI386"/>
      <c r="BJ386" s="1"/>
      <c r="BK386" s="1"/>
      <c r="BL386" s="1"/>
      <c r="BM386" s="1"/>
      <c r="BN386" s="1"/>
      <c r="BO386" s="1"/>
      <c r="BP386" s="1"/>
      <c r="BQ386" s="1"/>
      <c r="BX386" s="20" t="str">
        <f t="shared" si="142"/>
        <v>►</v>
      </c>
      <c r="BY386" s="2"/>
      <c r="BZ386" s="2"/>
      <c r="CA386" s="2"/>
      <c r="CB386" s="2"/>
      <c r="CC386" s="2"/>
      <c r="DC386" s="5">
        <v>1</v>
      </c>
    </row>
    <row r="387" spans="12:107" ht="21" customHeight="1">
      <c r="L387" s="1021" t="s">
        <v>26</v>
      </c>
      <c r="M387" s="6787"/>
      <c r="N387" s="6787"/>
      <c r="O387" s="6787"/>
      <c r="P387" s="6788"/>
      <c r="Q387" s="6789"/>
      <c r="R387" s="6790"/>
      <c r="S387" s="6786"/>
      <c r="T387" s="6791"/>
      <c r="U387" s="6844"/>
      <c r="V387" s="6791"/>
      <c r="W387" s="8487"/>
      <c r="X387" s="6871"/>
      <c r="Y387" s="6793"/>
      <c r="Z387" s="6794"/>
      <c r="AA387" s="6795"/>
      <c r="AB387" s="6796"/>
      <c r="AC387" s="6797"/>
      <c r="AD387" s="6798"/>
      <c r="AE387" s="4" t="s">
        <v>1</v>
      </c>
      <c r="AF387" s="6202" t="str">
        <f t="shared" si="143"/>
        <v>►</v>
      </c>
      <c r="AG387" s="6234" t="str">
        <f t="shared" si="144"/>
        <v/>
      </c>
      <c r="AH387" s="6732" t="str">
        <f t="shared" si="145"/>
        <v/>
      </c>
      <c r="AI387" s="6234" t="str">
        <f t="shared" si="146"/>
        <v/>
      </c>
      <c r="AJ387" s="6732" t="str">
        <f t="shared" si="147"/>
        <v/>
      </c>
      <c r="AK387" s="6732">
        <f t="shared" si="148"/>
        <v>0</v>
      </c>
      <c r="AL387" s="6230" t="str" cm="1">
        <f t="array" ref="AL387">IF(AF387&lt;&gt;"A","",IFERROR((IFERROR(_xlfn.XLOOKUP(TRIM(SUBSTITUTE(U387,CHAR(160)," ")),$BJ$15:$BJ$62,$BM$15:$BM$62),IFERROR(_xlfn.XLOOKUP(TRIM(SUBSTITUTE(U387,CHAR(160)," ")),$BK$15:$BK$62,$BM$15:$BM$62),_xlfn.XLOOKUP(TRIM(SUBSTITUTE(U387,CHAR(160)," ")),$BL$15:$BL$62,$BM$15:$BM$62))))*T387*IF(ISBLANK(Q387),1,Q387)+IFERROR(_xlfn.XLOOKUP("RECHERCHEX",TRIM(L387:AD387),L387:AD387),0),0))</f>
        <v/>
      </c>
      <c r="AM387" s="6229">
        <f t="shared" si="149"/>
        <v>0</v>
      </c>
      <c r="AN387" s="6857" t="str">
        <f t="shared" si="164"/>
        <v/>
      </c>
      <c r="AO387" s="392">
        <f t="shared" si="150"/>
        <v>0</v>
      </c>
      <c r="AP387" s="392">
        <f t="shared" si="151"/>
        <v>0</v>
      </c>
      <c r="AQ387" s="6191">
        <f t="shared" si="152"/>
        <v>0</v>
      </c>
      <c r="AR387" s="6859" t="str">
        <f t="shared" si="153"/>
        <v/>
      </c>
      <c r="AS387" s="6217"/>
      <c r="AT387" s="6217"/>
      <c r="AU387" s="6272">
        <f t="shared" si="154"/>
        <v>0</v>
      </c>
      <c r="AV387" s="6240">
        <f t="shared" si="155"/>
        <v>0</v>
      </c>
      <c r="AW387" s="6189" cm="1">
        <f t="array" ref="AW387">IF(AK387&lt;&gt;1,0,IF(OR(AU387="",N(AU387)&lt;=0.000000001),"",IF(OR(AO387="",N(AO387)&lt;=0.000000001),0,IF(ISNUMBER(AU387),IFERROR(_xlfn.LET(_xlpm.ai_test,TRIM(AJ387),_xlpm.r,IFERROR(_xlfn.XLOOKUP(_xlpm.ai_test,$BJ$15:$BJ$62,ROW($BJ$15:$BJ$62),0,1),IFERROR(_xlfn.XLOOKUP(_xlpm.ai_test,$BK$15:$BK$62,ROW($BK$15:$BK$62),0,1),_xlfn.XLOOKUP(_xlpm.ai_test,$BL$15:$BL$62,ROW($BL$15:$BL$62),0,1))),_xlpm.p,_xlpm.r-MIN(ROW($BJ$15:$BJ$62))+1,_xlpm.f,INDEX($BM$15:$BM$62,_xlpm.p),_xlpm.u,INDEX($BN$15:$BN$62,_xlpm.p),_xlpm.s,INDEX($BP$15:$BP$62,_xlpm.p),_xlpm.q,N(AU387)/_xlpm.f,IF(_xlpm.q&gt;=_xlpm.s,ROUND(_xlpm.q,1)&amp;" "&amp;_xlpm.ai_test&amp;" = "&amp;ROUND(_xlpm.q*_xlpm.f,1)&amp;" "&amp;_xlpm.u,ROUND(_xlpm.q,1)&amp;" "&amp;_xlpm.ai_test)),""),""))))</f>
        <v>0</v>
      </c>
      <c r="AX387" s="6218"/>
      <c r="AY387" s="6272">
        <f t="shared" si="156"/>
        <v>0</v>
      </c>
      <c r="AZ387" s="6240" t="str">
        <f t="shared" si="157"/>
        <v/>
      </c>
      <c r="BA387" s="6195">
        <f t="shared" si="162"/>
        <v>0</v>
      </c>
      <c r="BB387" s="6193" t="str">
        <f t="shared" si="158"/>
        <v/>
      </c>
      <c r="BC387" s="6219"/>
      <c r="BD387" s="6222">
        <f t="shared" si="163"/>
        <v>0</v>
      </c>
      <c r="BE387" s="6220" t="str">
        <f t="shared" si="159"/>
        <v/>
      </c>
      <c r="BF387" s="4" t="s">
        <v>1</v>
      </c>
      <c r="BG387" s="6196">
        <f t="shared" si="160"/>
        <v>0</v>
      </c>
      <c r="BH387" s="6197">
        <f t="shared" si="161"/>
        <v>0</v>
      </c>
      <c r="BI387"/>
      <c r="BJ387" s="1"/>
      <c r="BK387" s="1"/>
      <c r="BL387" s="1"/>
      <c r="BM387" s="1"/>
      <c r="BN387" s="1"/>
      <c r="BO387" s="1"/>
      <c r="BP387" s="1"/>
      <c r="BQ387" s="1"/>
      <c r="BX387" s="20" t="str">
        <f t="shared" si="142"/>
        <v>►</v>
      </c>
      <c r="BY387" s="2"/>
      <c r="BZ387" s="2"/>
      <c r="CA387" s="2"/>
      <c r="CB387" s="2"/>
      <c r="CC387" s="2"/>
      <c r="DC387" s="5">
        <v>1</v>
      </c>
    </row>
    <row r="388" spans="12:107" ht="21" customHeight="1">
      <c r="L388" s="1021" t="s">
        <v>26</v>
      </c>
      <c r="M388" s="6787"/>
      <c r="N388" s="6787"/>
      <c r="O388" s="6787"/>
      <c r="P388" s="6788"/>
      <c r="Q388" s="6789"/>
      <c r="R388" s="6790"/>
      <c r="S388" s="6786"/>
      <c r="T388" s="6791"/>
      <c r="U388" s="6844"/>
      <c r="V388" s="6791"/>
      <c r="W388" s="8487"/>
      <c r="X388" s="6871"/>
      <c r="Y388" s="6793"/>
      <c r="Z388" s="6794"/>
      <c r="AA388" s="6795"/>
      <c r="AB388" s="6796"/>
      <c r="AC388" s="6797"/>
      <c r="AD388" s="6798"/>
      <c r="AE388" s="4" t="s">
        <v>1</v>
      </c>
      <c r="AF388" s="6202" t="str">
        <f t="shared" si="143"/>
        <v>►</v>
      </c>
      <c r="AG388" s="6234" t="str">
        <f t="shared" si="144"/>
        <v/>
      </c>
      <c r="AH388" s="6732" t="str">
        <f t="shared" si="145"/>
        <v/>
      </c>
      <c r="AI388" s="6234" t="str">
        <f t="shared" si="146"/>
        <v/>
      </c>
      <c r="AJ388" s="6732" t="str">
        <f t="shared" si="147"/>
        <v/>
      </c>
      <c r="AK388" s="6732">
        <f t="shared" si="148"/>
        <v>0</v>
      </c>
      <c r="AL388" s="6230" t="str" cm="1">
        <f t="array" ref="AL388">IF(AF388&lt;&gt;"A","",IFERROR((IFERROR(_xlfn.XLOOKUP(TRIM(SUBSTITUTE(U388,CHAR(160)," ")),$BJ$15:$BJ$62,$BM$15:$BM$62),IFERROR(_xlfn.XLOOKUP(TRIM(SUBSTITUTE(U388,CHAR(160)," ")),$BK$15:$BK$62,$BM$15:$BM$62),_xlfn.XLOOKUP(TRIM(SUBSTITUTE(U388,CHAR(160)," ")),$BL$15:$BL$62,$BM$15:$BM$62))))*T388*IF(ISBLANK(Q388),1,Q388)+IFERROR(_xlfn.XLOOKUP("RECHERCHEX",TRIM(L388:AD388),L388:AD388),0),0))</f>
        <v/>
      </c>
      <c r="AM388" s="6229">
        <f t="shared" si="149"/>
        <v>0</v>
      </c>
      <c r="AN388" s="6857" t="str">
        <f t="shared" si="164"/>
        <v/>
      </c>
      <c r="AO388" s="392">
        <f t="shared" si="150"/>
        <v>0</v>
      </c>
      <c r="AP388" s="392">
        <f t="shared" si="151"/>
        <v>0</v>
      </c>
      <c r="AQ388" s="6190">
        <f t="shared" si="152"/>
        <v>0</v>
      </c>
      <c r="AR388" s="6858" t="str">
        <f t="shared" si="153"/>
        <v/>
      </c>
      <c r="AS388" s="6217"/>
      <c r="AT388" s="6217"/>
      <c r="AU388" s="6271">
        <f t="shared" si="154"/>
        <v>0</v>
      </c>
      <c r="AV388" s="6242">
        <f t="shared" si="155"/>
        <v>0</v>
      </c>
      <c r="AW388" s="6188" cm="1">
        <f t="array" ref="AW388">IF(AK388&lt;&gt;1,0,IF(OR(AU388="",N(AU388)&lt;=0.000000001),"",IF(OR(AO388="",N(AO388)&lt;=0.000000001),0,IF(ISNUMBER(AU388),IFERROR(_xlfn.LET(_xlpm.ai_test,TRIM(AJ388),_xlpm.r,IFERROR(_xlfn.XLOOKUP(_xlpm.ai_test,$BJ$15:$BJ$62,ROW($BJ$15:$BJ$62),0,1),IFERROR(_xlfn.XLOOKUP(_xlpm.ai_test,$BK$15:$BK$62,ROW($BK$15:$BK$62),0,1),_xlfn.XLOOKUP(_xlpm.ai_test,$BL$15:$BL$62,ROW($BL$15:$BL$62),0,1))),_xlpm.p,_xlpm.r-MIN(ROW($BJ$15:$BJ$62))+1,_xlpm.f,INDEX($BM$15:$BM$62,_xlpm.p),_xlpm.u,INDEX($BN$15:$BN$62,_xlpm.p),_xlpm.s,INDEX($BP$15:$BP$62,_xlpm.p),_xlpm.q,N(AU388)/_xlpm.f,IF(_xlpm.q&gt;=_xlpm.s,ROUND(_xlpm.q,1)&amp;" "&amp;_xlpm.ai_test&amp;" = "&amp;ROUND(_xlpm.q*_xlpm.f,1)&amp;" "&amp;_xlpm.u,ROUND(_xlpm.q,1)&amp;" "&amp;_xlpm.ai_test)),""),""))))</f>
        <v>0</v>
      </c>
      <c r="AX388" s="6218"/>
      <c r="AY388" s="6271">
        <f t="shared" si="156"/>
        <v>0</v>
      </c>
      <c r="AZ388" s="6242" t="str">
        <f t="shared" si="157"/>
        <v/>
      </c>
      <c r="BA388" s="6194">
        <f t="shared" si="162"/>
        <v>0</v>
      </c>
      <c r="BB388" s="6192" t="str">
        <f t="shared" si="158"/>
        <v/>
      </c>
      <c r="BC388" s="6219"/>
      <c r="BD388" s="6221">
        <f t="shared" si="163"/>
        <v>0</v>
      </c>
      <c r="BE388" s="6220" t="str">
        <f t="shared" si="159"/>
        <v/>
      </c>
      <c r="BF388" s="4" t="s">
        <v>1</v>
      </c>
      <c r="BG388" s="6196">
        <f t="shared" si="160"/>
        <v>0</v>
      </c>
      <c r="BH388" s="6197">
        <f t="shared" si="161"/>
        <v>0</v>
      </c>
      <c r="BI388"/>
      <c r="BJ388" s="1"/>
      <c r="BK388" s="1"/>
      <c r="BL388" s="1"/>
      <c r="BM388" s="1"/>
      <c r="BN388" s="1"/>
      <c r="BO388" s="1"/>
      <c r="BP388" s="1"/>
      <c r="BQ388" s="1"/>
      <c r="BX388" s="20" t="str">
        <f t="shared" si="142"/>
        <v>►</v>
      </c>
      <c r="BY388" s="2"/>
      <c r="BZ388" s="2"/>
      <c r="CA388" s="2"/>
      <c r="CB388" s="2"/>
      <c r="CC388" s="2"/>
      <c r="DC388" s="5">
        <v>1</v>
      </c>
    </row>
    <row r="389" spans="12:107" ht="21" customHeight="1">
      <c r="L389" s="1021" t="s">
        <v>26</v>
      </c>
      <c r="M389" s="6787"/>
      <c r="N389" s="6787"/>
      <c r="O389" s="6787"/>
      <c r="P389" s="6788"/>
      <c r="Q389" s="6789"/>
      <c r="R389" s="6790"/>
      <c r="S389" s="6786"/>
      <c r="T389" s="6791"/>
      <c r="U389" s="6844"/>
      <c r="V389" s="6791"/>
      <c r="W389" s="8487"/>
      <c r="X389" s="6871"/>
      <c r="Y389" s="6793"/>
      <c r="Z389" s="6794"/>
      <c r="AA389" s="6795"/>
      <c r="AB389" s="6796"/>
      <c r="AC389" s="6797"/>
      <c r="AD389" s="6798"/>
      <c r="AE389" s="4" t="s">
        <v>1</v>
      </c>
      <c r="AF389" s="6202" t="str">
        <f t="shared" si="143"/>
        <v>►</v>
      </c>
      <c r="AG389" s="6234" t="str">
        <f t="shared" si="144"/>
        <v/>
      </c>
      <c r="AH389" s="6732" t="str">
        <f t="shared" si="145"/>
        <v/>
      </c>
      <c r="AI389" s="6234" t="str">
        <f t="shared" si="146"/>
        <v/>
      </c>
      <c r="AJ389" s="6732" t="str">
        <f t="shared" si="147"/>
        <v/>
      </c>
      <c r="AK389" s="6732">
        <f t="shared" si="148"/>
        <v>0</v>
      </c>
      <c r="AL389" s="6230" t="str" cm="1">
        <f t="array" ref="AL389">IF(AF389&lt;&gt;"A","",IFERROR((IFERROR(_xlfn.XLOOKUP(TRIM(SUBSTITUTE(U389,CHAR(160)," ")),$BJ$15:$BJ$62,$BM$15:$BM$62),IFERROR(_xlfn.XLOOKUP(TRIM(SUBSTITUTE(U389,CHAR(160)," ")),$BK$15:$BK$62,$BM$15:$BM$62),_xlfn.XLOOKUP(TRIM(SUBSTITUTE(U389,CHAR(160)," ")),$BL$15:$BL$62,$BM$15:$BM$62))))*T389*IF(ISBLANK(Q389),1,Q389)+IFERROR(_xlfn.XLOOKUP("RECHERCHEX",TRIM(L389:AD389),L389:AD389),0),0))</f>
        <v/>
      </c>
      <c r="AM389" s="6229">
        <f t="shared" si="149"/>
        <v>0</v>
      </c>
      <c r="AN389" s="6857" t="str">
        <f t="shared" si="164"/>
        <v/>
      </c>
      <c r="AO389" s="392">
        <f t="shared" si="150"/>
        <v>0</v>
      </c>
      <c r="AP389" s="392">
        <f t="shared" si="151"/>
        <v>0</v>
      </c>
      <c r="AQ389" s="6191">
        <f t="shared" si="152"/>
        <v>0</v>
      </c>
      <c r="AR389" s="6859" t="str">
        <f t="shared" si="153"/>
        <v/>
      </c>
      <c r="AS389" s="6217"/>
      <c r="AT389" s="6217"/>
      <c r="AU389" s="6272">
        <f t="shared" si="154"/>
        <v>0</v>
      </c>
      <c r="AV389" s="6240">
        <f t="shared" si="155"/>
        <v>0</v>
      </c>
      <c r="AW389" s="6189" cm="1">
        <f t="array" ref="AW389">IF(AK389&lt;&gt;1,0,IF(OR(AU389="",N(AU389)&lt;=0.000000001),"",IF(OR(AO389="",N(AO389)&lt;=0.000000001),0,IF(ISNUMBER(AU389),IFERROR(_xlfn.LET(_xlpm.ai_test,TRIM(AJ389),_xlpm.r,IFERROR(_xlfn.XLOOKUP(_xlpm.ai_test,$BJ$15:$BJ$62,ROW($BJ$15:$BJ$62),0,1),IFERROR(_xlfn.XLOOKUP(_xlpm.ai_test,$BK$15:$BK$62,ROW($BK$15:$BK$62),0,1),_xlfn.XLOOKUP(_xlpm.ai_test,$BL$15:$BL$62,ROW($BL$15:$BL$62),0,1))),_xlpm.p,_xlpm.r-MIN(ROW($BJ$15:$BJ$62))+1,_xlpm.f,INDEX($BM$15:$BM$62,_xlpm.p),_xlpm.u,INDEX($BN$15:$BN$62,_xlpm.p),_xlpm.s,INDEX($BP$15:$BP$62,_xlpm.p),_xlpm.q,N(AU389)/_xlpm.f,IF(_xlpm.q&gt;=_xlpm.s,ROUND(_xlpm.q,1)&amp;" "&amp;_xlpm.ai_test&amp;" = "&amp;ROUND(_xlpm.q*_xlpm.f,1)&amp;" "&amp;_xlpm.u,ROUND(_xlpm.q,1)&amp;" "&amp;_xlpm.ai_test)),""),""))))</f>
        <v>0</v>
      </c>
      <c r="AX389" s="6218"/>
      <c r="AY389" s="6272">
        <f t="shared" si="156"/>
        <v>0</v>
      </c>
      <c r="AZ389" s="6240" t="str">
        <f t="shared" si="157"/>
        <v/>
      </c>
      <c r="BA389" s="6195">
        <f t="shared" si="162"/>
        <v>0</v>
      </c>
      <c r="BB389" s="6193" t="str">
        <f t="shared" si="158"/>
        <v/>
      </c>
      <c r="BC389" s="6219"/>
      <c r="BD389" s="6222">
        <f t="shared" si="163"/>
        <v>0</v>
      </c>
      <c r="BE389" s="6220" t="str">
        <f t="shared" si="159"/>
        <v/>
      </c>
      <c r="BF389" s="4" t="s">
        <v>1</v>
      </c>
      <c r="BG389" s="6196">
        <f t="shared" si="160"/>
        <v>0</v>
      </c>
      <c r="BH389" s="6197">
        <f t="shared" si="161"/>
        <v>0</v>
      </c>
      <c r="BI389"/>
      <c r="BJ389" s="1"/>
      <c r="BK389" s="1"/>
      <c r="BL389" s="1"/>
      <c r="BM389" s="1"/>
      <c r="BN389" s="1"/>
      <c r="BO389" s="1"/>
      <c r="BP389" s="1"/>
      <c r="BQ389" s="1"/>
      <c r="BX389" s="20" t="str">
        <f t="shared" ref="BX389:BX452" si="165">AF389</f>
        <v>►</v>
      </c>
      <c r="BY389" s="2"/>
      <c r="BZ389" s="2"/>
      <c r="CA389" s="2"/>
      <c r="CB389" s="2"/>
      <c r="CC389" s="2"/>
      <c r="DC389" s="5">
        <v>1</v>
      </c>
    </row>
    <row r="390" spans="12:107" ht="21" customHeight="1">
      <c r="L390" s="1021" t="s">
        <v>26</v>
      </c>
      <c r="M390" s="6787"/>
      <c r="N390" s="6787"/>
      <c r="O390" s="6787"/>
      <c r="P390" s="6788"/>
      <c r="Q390" s="6789"/>
      <c r="R390" s="6790"/>
      <c r="S390" s="6786"/>
      <c r="T390" s="6791"/>
      <c r="U390" s="6844"/>
      <c r="V390" s="6791"/>
      <c r="W390" s="8487"/>
      <c r="X390" s="6871"/>
      <c r="Y390" s="6793"/>
      <c r="Z390" s="6794"/>
      <c r="AA390" s="6795"/>
      <c r="AB390" s="6796"/>
      <c r="AC390" s="6797"/>
      <c r="AD390" s="6798"/>
      <c r="AE390" s="4" t="s">
        <v>1</v>
      </c>
      <c r="AF390" s="6202" t="str">
        <f t="shared" si="143"/>
        <v>►</v>
      </c>
      <c r="AG390" s="6234" t="str">
        <f t="shared" si="144"/>
        <v/>
      </c>
      <c r="AH390" s="6732" t="str">
        <f t="shared" si="145"/>
        <v/>
      </c>
      <c r="AI390" s="6234" t="str">
        <f t="shared" si="146"/>
        <v/>
      </c>
      <c r="AJ390" s="6732" t="str">
        <f t="shared" si="147"/>
        <v/>
      </c>
      <c r="AK390" s="6732">
        <f t="shared" si="148"/>
        <v>0</v>
      </c>
      <c r="AL390" s="6230" t="str" cm="1">
        <f t="array" ref="AL390">IF(AF390&lt;&gt;"A","",IFERROR((IFERROR(_xlfn.XLOOKUP(TRIM(SUBSTITUTE(U390,CHAR(160)," ")),$BJ$15:$BJ$62,$BM$15:$BM$62),IFERROR(_xlfn.XLOOKUP(TRIM(SUBSTITUTE(U390,CHAR(160)," ")),$BK$15:$BK$62,$BM$15:$BM$62),_xlfn.XLOOKUP(TRIM(SUBSTITUTE(U390,CHAR(160)," ")),$BL$15:$BL$62,$BM$15:$BM$62))))*T390*IF(ISBLANK(Q390),1,Q390)+IFERROR(_xlfn.XLOOKUP("RECHERCHEX",TRIM(L390:AD390),L390:AD390),0),0))</f>
        <v/>
      </c>
      <c r="AM390" s="6229">
        <f t="shared" si="149"/>
        <v>0</v>
      </c>
      <c r="AN390" s="6857" t="str">
        <f t="shared" si="164"/>
        <v/>
      </c>
      <c r="AO390" s="392">
        <f t="shared" si="150"/>
        <v>0</v>
      </c>
      <c r="AP390" s="392">
        <f t="shared" si="151"/>
        <v>0</v>
      </c>
      <c r="AQ390" s="6190">
        <f t="shared" si="152"/>
        <v>0</v>
      </c>
      <c r="AR390" s="6858" t="str">
        <f t="shared" si="153"/>
        <v/>
      </c>
      <c r="AS390" s="6217"/>
      <c r="AT390" s="6217"/>
      <c r="AU390" s="6271">
        <f t="shared" si="154"/>
        <v>0</v>
      </c>
      <c r="AV390" s="6242">
        <f t="shared" si="155"/>
        <v>0</v>
      </c>
      <c r="AW390" s="6188" cm="1">
        <f t="array" ref="AW390">IF(AK390&lt;&gt;1,0,IF(OR(AU390="",N(AU390)&lt;=0.000000001),"",IF(OR(AO390="",N(AO390)&lt;=0.000000001),0,IF(ISNUMBER(AU390),IFERROR(_xlfn.LET(_xlpm.ai_test,TRIM(AJ390),_xlpm.r,IFERROR(_xlfn.XLOOKUP(_xlpm.ai_test,$BJ$15:$BJ$62,ROW($BJ$15:$BJ$62),0,1),IFERROR(_xlfn.XLOOKUP(_xlpm.ai_test,$BK$15:$BK$62,ROW($BK$15:$BK$62),0,1),_xlfn.XLOOKUP(_xlpm.ai_test,$BL$15:$BL$62,ROW($BL$15:$BL$62),0,1))),_xlpm.p,_xlpm.r-MIN(ROW($BJ$15:$BJ$62))+1,_xlpm.f,INDEX($BM$15:$BM$62,_xlpm.p),_xlpm.u,INDEX($BN$15:$BN$62,_xlpm.p),_xlpm.s,INDEX($BP$15:$BP$62,_xlpm.p),_xlpm.q,N(AU390)/_xlpm.f,IF(_xlpm.q&gt;=_xlpm.s,ROUND(_xlpm.q,1)&amp;" "&amp;_xlpm.ai_test&amp;" = "&amp;ROUND(_xlpm.q*_xlpm.f,1)&amp;" "&amp;_xlpm.u,ROUND(_xlpm.q,1)&amp;" "&amp;_xlpm.ai_test)),""),""))))</f>
        <v>0</v>
      </c>
      <c r="AX390" s="6218"/>
      <c r="AY390" s="6271">
        <f t="shared" si="156"/>
        <v>0</v>
      </c>
      <c r="AZ390" s="6242" t="str">
        <f t="shared" si="157"/>
        <v/>
      </c>
      <c r="BA390" s="6194">
        <f t="shared" si="162"/>
        <v>0</v>
      </c>
      <c r="BB390" s="6192" t="str">
        <f t="shared" si="158"/>
        <v/>
      </c>
      <c r="BC390" s="6219"/>
      <c r="BD390" s="6221">
        <f t="shared" si="163"/>
        <v>0</v>
      </c>
      <c r="BE390" s="6220" t="str">
        <f t="shared" si="159"/>
        <v/>
      </c>
      <c r="BF390" s="4" t="s">
        <v>1</v>
      </c>
      <c r="BG390" s="6196">
        <f t="shared" si="160"/>
        <v>0</v>
      </c>
      <c r="BH390" s="6197">
        <f t="shared" si="161"/>
        <v>0</v>
      </c>
      <c r="BI390"/>
      <c r="BJ390" s="1"/>
      <c r="BK390" s="1"/>
      <c r="BL390" s="1"/>
      <c r="BM390" s="1"/>
      <c r="BN390" s="1"/>
      <c r="BO390" s="1"/>
      <c r="BP390" s="1"/>
      <c r="BQ390" s="1"/>
      <c r="BX390" s="20" t="str">
        <f t="shared" si="165"/>
        <v>►</v>
      </c>
      <c r="BY390" s="2"/>
      <c r="BZ390" s="2"/>
      <c r="CA390" s="2"/>
      <c r="CB390" s="2"/>
      <c r="CC390" s="2"/>
      <c r="DC390" s="5">
        <v>1</v>
      </c>
    </row>
    <row r="391" spans="12:107" ht="21" customHeight="1">
      <c r="L391" s="1021" t="s">
        <v>26</v>
      </c>
      <c r="M391" s="6787"/>
      <c r="N391" s="6787"/>
      <c r="O391" s="6787"/>
      <c r="P391" s="6788"/>
      <c r="Q391" s="6789"/>
      <c r="R391" s="6790"/>
      <c r="S391" s="6786"/>
      <c r="T391" s="6791"/>
      <c r="U391" s="6844"/>
      <c r="V391" s="6791"/>
      <c r="W391" s="8487"/>
      <c r="X391" s="6871"/>
      <c r="Y391" s="6793"/>
      <c r="Z391" s="6794"/>
      <c r="AA391" s="6795"/>
      <c r="AB391" s="6796"/>
      <c r="AC391" s="6797"/>
      <c r="AD391" s="6798"/>
      <c r="AE391" s="4" t="s">
        <v>1</v>
      </c>
      <c r="AF391" s="6202" t="str">
        <f t="shared" si="143"/>
        <v>►</v>
      </c>
      <c r="AG391" s="6234" t="str">
        <f t="shared" si="144"/>
        <v/>
      </c>
      <c r="AH391" s="6732" t="str">
        <f t="shared" si="145"/>
        <v/>
      </c>
      <c r="AI391" s="6234" t="str">
        <f t="shared" si="146"/>
        <v/>
      </c>
      <c r="AJ391" s="6732" t="str">
        <f t="shared" si="147"/>
        <v/>
      </c>
      <c r="AK391" s="6732">
        <f t="shared" si="148"/>
        <v>0</v>
      </c>
      <c r="AL391" s="6230" t="str" cm="1">
        <f t="array" ref="AL391">IF(AF391&lt;&gt;"A","",IFERROR((IFERROR(_xlfn.XLOOKUP(TRIM(SUBSTITUTE(U391,CHAR(160)," ")),$BJ$15:$BJ$62,$BM$15:$BM$62),IFERROR(_xlfn.XLOOKUP(TRIM(SUBSTITUTE(U391,CHAR(160)," ")),$BK$15:$BK$62,$BM$15:$BM$62),_xlfn.XLOOKUP(TRIM(SUBSTITUTE(U391,CHAR(160)," ")),$BL$15:$BL$62,$BM$15:$BM$62))))*T391*IF(ISBLANK(Q391),1,Q391)+IFERROR(_xlfn.XLOOKUP("RECHERCHEX",TRIM(L391:AD391),L391:AD391),0),0))</f>
        <v/>
      </c>
      <c r="AM391" s="6229">
        <f t="shared" si="149"/>
        <v>0</v>
      </c>
      <c r="AN391" s="6857" t="str">
        <f t="shared" si="164"/>
        <v/>
      </c>
      <c r="AO391" s="392">
        <f t="shared" si="150"/>
        <v>0</v>
      </c>
      <c r="AP391" s="392">
        <f t="shared" si="151"/>
        <v>0</v>
      </c>
      <c r="AQ391" s="6191">
        <f t="shared" si="152"/>
        <v>0</v>
      </c>
      <c r="AR391" s="6859" t="str">
        <f t="shared" si="153"/>
        <v/>
      </c>
      <c r="AS391" s="6217"/>
      <c r="AT391" s="6217"/>
      <c r="AU391" s="6272">
        <f t="shared" si="154"/>
        <v>0</v>
      </c>
      <c r="AV391" s="6240">
        <f t="shared" si="155"/>
        <v>0</v>
      </c>
      <c r="AW391" s="6189" cm="1">
        <f t="array" ref="AW391">IF(AK391&lt;&gt;1,0,IF(OR(AU391="",N(AU391)&lt;=0.000000001),"",IF(OR(AO391="",N(AO391)&lt;=0.000000001),0,IF(ISNUMBER(AU391),IFERROR(_xlfn.LET(_xlpm.ai_test,TRIM(AJ391),_xlpm.r,IFERROR(_xlfn.XLOOKUP(_xlpm.ai_test,$BJ$15:$BJ$62,ROW($BJ$15:$BJ$62),0,1),IFERROR(_xlfn.XLOOKUP(_xlpm.ai_test,$BK$15:$BK$62,ROW($BK$15:$BK$62),0,1),_xlfn.XLOOKUP(_xlpm.ai_test,$BL$15:$BL$62,ROW($BL$15:$BL$62),0,1))),_xlpm.p,_xlpm.r-MIN(ROW($BJ$15:$BJ$62))+1,_xlpm.f,INDEX($BM$15:$BM$62,_xlpm.p),_xlpm.u,INDEX($BN$15:$BN$62,_xlpm.p),_xlpm.s,INDEX($BP$15:$BP$62,_xlpm.p),_xlpm.q,N(AU391)/_xlpm.f,IF(_xlpm.q&gt;=_xlpm.s,ROUND(_xlpm.q,1)&amp;" "&amp;_xlpm.ai_test&amp;" = "&amp;ROUND(_xlpm.q*_xlpm.f,1)&amp;" "&amp;_xlpm.u,ROUND(_xlpm.q,1)&amp;" "&amp;_xlpm.ai_test)),""),""))))</f>
        <v>0</v>
      </c>
      <c r="AX391" s="6218"/>
      <c r="AY391" s="6272">
        <f t="shared" si="156"/>
        <v>0</v>
      </c>
      <c r="AZ391" s="6240" t="str">
        <f t="shared" si="157"/>
        <v/>
      </c>
      <c r="BA391" s="6195">
        <f t="shared" si="162"/>
        <v>0</v>
      </c>
      <c r="BB391" s="6193" t="str">
        <f t="shared" si="158"/>
        <v/>
      </c>
      <c r="BC391" s="6219"/>
      <c r="BD391" s="6222">
        <f t="shared" si="163"/>
        <v>0</v>
      </c>
      <c r="BE391" s="6220" t="str">
        <f t="shared" si="159"/>
        <v/>
      </c>
      <c r="BF391" s="4" t="s">
        <v>1</v>
      </c>
      <c r="BG391" s="6196">
        <f t="shared" si="160"/>
        <v>0</v>
      </c>
      <c r="BH391" s="6197">
        <f t="shared" si="161"/>
        <v>0</v>
      </c>
      <c r="BI391"/>
      <c r="BJ391" s="1"/>
      <c r="BK391" s="1"/>
      <c r="BL391" s="1"/>
      <c r="BM391" s="1"/>
      <c r="BN391" s="1"/>
      <c r="BO391" s="1"/>
      <c r="BP391" s="1"/>
      <c r="BQ391" s="1"/>
      <c r="BX391" s="20" t="str">
        <f t="shared" si="165"/>
        <v>►</v>
      </c>
      <c r="BY391" s="2"/>
      <c r="BZ391" s="2"/>
      <c r="CA391" s="2"/>
      <c r="CB391" s="2"/>
      <c r="CC391" s="2"/>
      <c r="DC391" s="5">
        <v>1</v>
      </c>
    </row>
    <row r="392" spans="12:107" ht="21" customHeight="1">
      <c r="L392" s="1021" t="s">
        <v>26</v>
      </c>
      <c r="M392" s="6787"/>
      <c r="N392" s="6787"/>
      <c r="O392" s="6787"/>
      <c r="P392" s="6788"/>
      <c r="Q392" s="6789"/>
      <c r="R392" s="6790"/>
      <c r="S392" s="6786"/>
      <c r="T392" s="6791"/>
      <c r="U392" s="6844"/>
      <c r="V392" s="6791"/>
      <c r="W392" s="8487"/>
      <c r="X392" s="6871"/>
      <c r="Y392" s="6793"/>
      <c r="Z392" s="6794"/>
      <c r="AA392" s="6795"/>
      <c r="AB392" s="6796"/>
      <c r="AC392" s="6797"/>
      <c r="AD392" s="6798"/>
      <c r="AE392" s="4" t="s">
        <v>1</v>
      </c>
      <c r="AF392" s="6202" t="str">
        <f t="shared" si="143"/>
        <v>►</v>
      </c>
      <c r="AG392" s="6234" t="str">
        <f t="shared" si="144"/>
        <v/>
      </c>
      <c r="AH392" s="6732" t="str">
        <f t="shared" si="145"/>
        <v/>
      </c>
      <c r="AI392" s="6234" t="str">
        <f t="shared" si="146"/>
        <v/>
      </c>
      <c r="AJ392" s="6732" t="str">
        <f t="shared" si="147"/>
        <v/>
      </c>
      <c r="AK392" s="6732">
        <f t="shared" si="148"/>
        <v>0</v>
      </c>
      <c r="AL392" s="6230" t="str" cm="1">
        <f t="array" ref="AL392">IF(AF392&lt;&gt;"A","",IFERROR((IFERROR(_xlfn.XLOOKUP(TRIM(SUBSTITUTE(U392,CHAR(160)," ")),$BJ$15:$BJ$62,$BM$15:$BM$62),IFERROR(_xlfn.XLOOKUP(TRIM(SUBSTITUTE(U392,CHAR(160)," ")),$BK$15:$BK$62,$BM$15:$BM$62),_xlfn.XLOOKUP(TRIM(SUBSTITUTE(U392,CHAR(160)," ")),$BL$15:$BL$62,$BM$15:$BM$62))))*T392*IF(ISBLANK(Q392),1,Q392)+IFERROR(_xlfn.XLOOKUP("RECHERCHEX",TRIM(L392:AD392),L392:AD392),0),0))</f>
        <v/>
      </c>
      <c r="AM392" s="6229">
        <f t="shared" si="149"/>
        <v>0</v>
      </c>
      <c r="AN392" s="6857" t="str">
        <f t="shared" si="164"/>
        <v/>
      </c>
      <c r="AO392" s="392">
        <f t="shared" si="150"/>
        <v>0</v>
      </c>
      <c r="AP392" s="392">
        <f t="shared" si="151"/>
        <v>0</v>
      </c>
      <c r="AQ392" s="6190">
        <f t="shared" si="152"/>
        <v>0</v>
      </c>
      <c r="AR392" s="6858" t="str">
        <f t="shared" si="153"/>
        <v/>
      </c>
      <c r="AS392" s="6217"/>
      <c r="AT392" s="6217"/>
      <c r="AU392" s="6271">
        <f t="shared" si="154"/>
        <v>0</v>
      </c>
      <c r="AV392" s="6242">
        <f t="shared" si="155"/>
        <v>0</v>
      </c>
      <c r="AW392" s="6188" cm="1">
        <f t="array" ref="AW392">IF(AK392&lt;&gt;1,0,IF(OR(AU392="",N(AU392)&lt;=0.000000001),"",IF(OR(AO392="",N(AO392)&lt;=0.000000001),0,IF(ISNUMBER(AU392),IFERROR(_xlfn.LET(_xlpm.ai_test,TRIM(AJ392),_xlpm.r,IFERROR(_xlfn.XLOOKUP(_xlpm.ai_test,$BJ$15:$BJ$62,ROW($BJ$15:$BJ$62),0,1),IFERROR(_xlfn.XLOOKUP(_xlpm.ai_test,$BK$15:$BK$62,ROW($BK$15:$BK$62),0,1),_xlfn.XLOOKUP(_xlpm.ai_test,$BL$15:$BL$62,ROW($BL$15:$BL$62),0,1))),_xlpm.p,_xlpm.r-MIN(ROW($BJ$15:$BJ$62))+1,_xlpm.f,INDEX($BM$15:$BM$62,_xlpm.p),_xlpm.u,INDEX($BN$15:$BN$62,_xlpm.p),_xlpm.s,INDEX($BP$15:$BP$62,_xlpm.p),_xlpm.q,N(AU392)/_xlpm.f,IF(_xlpm.q&gt;=_xlpm.s,ROUND(_xlpm.q,1)&amp;" "&amp;_xlpm.ai_test&amp;" = "&amp;ROUND(_xlpm.q*_xlpm.f,1)&amp;" "&amp;_xlpm.u,ROUND(_xlpm.q,1)&amp;" "&amp;_xlpm.ai_test)),""),""))))</f>
        <v>0</v>
      </c>
      <c r="AX392" s="6218"/>
      <c r="AY392" s="6271">
        <f t="shared" si="156"/>
        <v>0</v>
      </c>
      <c r="AZ392" s="6242" t="str">
        <f t="shared" si="157"/>
        <v/>
      </c>
      <c r="BA392" s="6194">
        <f t="shared" si="162"/>
        <v>0</v>
      </c>
      <c r="BB392" s="6192" t="str">
        <f t="shared" si="158"/>
        <v/>
      </c>
      <c r="BC392" s="6219"/>
      <c r="BD392" s="6221">
        <f t="shared" si="163"/>
        <v>0</v>
      </c>
      <c r="BE392" s="6220" t="str">
        <f t="shared" si="159"/>
        <v/>
      </c>
      <c r="BF392" s="4" t="s">
        <v>1</v>
      </c>
      <c r="BG392" s="6196">
        <f t="shared" si="160"/>
        <v>0</v>
      </c>
      <c r="BH392" s="6197">
        <f t="shared" si="161"/>
        <v>0</v>
      </c>
      <c r="BI392"/>
      <c r="BJ392" s="1"/>
      <c r="BK392" s="1"/>
      <c r="BL392" s="1"/>
      <c r="BM392" s="1"/>
      <c r="BN392" s="1"/>
      <c r="BO392" s="1"/>
      <c r="BP392" s="1"/>
      <c r="BQ392" s="1"/>
      <c r="BX392" s="20" t="str">
        <f t="shared" si="165"/>
        <v>►</v>
      </c>
      <c r="BY392" s="2"/>
      <c r="BZ392" s="2"/>
      <c r="CA392" s="2"/>
      <c r="CB392" s="2"/>
      <c r="CC392" s="2"/>
      <c r="DC392" s="5">
        <v>1</v>
      </c>
    </row>
    <row r="393" spans="12:107" ht="21" customHeight="1">
      <c r="L393" s="1021" t="s">
        <v>26</v>
      </c>
      <c r="M393" s="6787"/>
      <c r="N393" s="6787"/>
      <c r="O393" s="6787"/>
      <c r="P393" s="6788"/>
      <c r="Q393" s="6789"/>
      <c r="R393" s="6790"/>
      <c r="S393" s="6786"/>
      <c r="T393" s="6791"/>
      <c r="U393" s="6844"/>
      <c r="V393" s="6791"/>
      <c r="W393" s="8487"/>
      <c r="X393" s="6871"/>
      <c r="Y393" s="6793"/>
      <c r="Z393" s="6794"/>
      <c r="AA393" s="6795"/>
      <c r="AB393" s="6796"/>
      <c r="AC393" s="6797"/>
      <c r="AD393" s="6798"/>
      <c r="AE393" s="4" t="s">
        <v>1</v>
      </c>
      <c r="AF393" s="6202" t="str">
        <f t="shared" si="143"/>
        <v>►</v>
      </c>
      <c r="AG393" s="6234" t="str">
        <f t="shared" si="144"/>
        <v/>
      </c>
      <c r="AH393" s="6732" t="str">
        <f t="shared" si="145"/>
        <v/>
      </c>
      <c r="AI393" s="6234" t="str">
        <f t="shared" si="146"/>
        <v/>
      </c>
      <c r="AJ393" s="6732" t="str">
        <f t="shared" si="147"/>
        <v/>
      </c>
      <c r="AK393" s="6732">
        <f t="shared" si="148"/>
        <v>0</v>
      </c>
      <c r="AL393" s="6230" t="str" cm="1">
        <f t="array" ref="AL393">IF(AF393&lt;&gt;"A","",IFERROR((IFERROR(_xlfn.XLOOKUP(TRIM(SUBSTITUTE(U393,CHAR(160)," ")),$BJ$15:$BJ$62,$BM$15:$BM$62),IFERROR(_xlfn.XLOOKUP(TRIM(SUBSTITUTE(U393,CHAR(160)," ")),$BK$15:$BK$62,$BM$15:$BM$62),_xlfn.XLOOKUP(TRIM(SUBSTITUTE(U393,CHAR(160)," ")),$BL$15:$BL$62,$BM$15:$BM$62))))*T393*IF(ISBLANK(Q393),1,Q393)+IFERROR(_xlfn.XLOOKUP("RECHERCHEX",TRIM(L393:AD393),L393:AD393),0),0))</f>
        <v/>
      </c>
      <c r="AM393" s="6229">
        <f t="shared" si="149"/>
        <v>0</v>
      </c>
      <c r="AN393" s="6857" t="str">
        <f t="shared" si="164"/>
        <v/>
      </c>
      <c r="AO393" s="392">
        <f t="shared" si="150"/>
        <v>0</v>
      </c>
      <c r="AP393" s="392">
        <f t="shared" si="151"/>
        <v>0</v>
      </c>
      <c r="AQ393" s="6191">
        <f t="shared" si="152"/>
        <v>0</v>
      </c>
      <c r="AR393" s="6859" t="str">
        <f t="shared" si="153"/>
        <v/>
      </c>
      <c r="AS393" s="6217"/>
      <c r="AT393" s="6217"/>
      <c r="AU393" s="6272">
        <f t="shared" si="154"/>
        <v>0</v>
      </c>
      <c r="AV393" s="6240">
        <f t="shared" si="155"/>
        <v>0</v>
      </c>
      <c r="AW393" s="6189" cm="1">
        <f t="array" ref="AW393">IF(AK393&lt;&gt;1,0,IF(OR(AU393="",N(AU393)&lt;=0.000000001),"",IF(OR(AO393="",N(AO393)&lt;=0.000000001),0,IF(ISNUMBER(AU393),IFERROR(_xlfn.LET(_xlpm.ai_test,TRIM(AJ393),_xlpm.r,IFERROR(_xlfn.XLOOKUP(_xlpm.ai_test,$BJ$15:$BJ$62,ROW($BJ$15:$BJ$62),0,1),IFERROR(_xlfn.XLOOKUP(_xlpm.ai_test,$BK$15:$BK$62,ROW($BK$15:$BK$62),0,1),_xlfn.XLOOKUP(_xlpm.ai_test,$BL$15:$BL$62,ROW($BL$15:$BL$62),0,1))),_xlpm.p,_xlpm.r-MIN(ROW($BJ$15:$BJ$62))+1,_xlpm.f,INDEX($BM$15:$BM$62,_xlpm.p),_xlpm.u,INDEX($BN$15:$BN$62,_xlpm.p),_xlpm.s,INDEX($BP$15:$BP$62,_xlpm.p),_xlpm.q,N(AU393)/_xlpm.f,IF(_xlpm.q&gt;=_xlpm.s,ROUND(_xlpm.q,1)&amp;" "&amp;_xlpm.ai_test&amp;" = "&amp;ROUND(_xlpm.q*_xlpm.f,1)&amp;" "&amp;_xlpm.u,ROUND(_xlpm.q,1)&amp;" "&amp;_xlpm.ai_test)),""),""))))</f>
        <v>0</v>
      </c>
      <c r="AX393" s="6218"/>
      <c r="AY393" s="6272">
        <f t="shared" si="156"/>
        <v>0</v>
      </c>
      <c r="AZ393" s="6240" t="str">
        <f t="shared" si="157"/>
        <v/>
      </c>
      <c r="BA393" s="6195">
        <f t="shared" si="162"/>
        <v>0</v>
      </c>
      <c r="BB393" s="6193" t="str">
        <f t="shared" si="158"/>
        <v/>
      </c>
      <c r="BC393" s="6219"/>
      <c r="BD393" s="6222">
        <f t="shared" si="163"/>
        <v>0</v>
      </c>
      <c r="BE393" s="6220" t="str">
        <f t="shared" si="159"/>
        <v/>
      </c>
      <c r="BF393" s="4" t="s">
        <v>1</v>
      </c>
      <c r="BG393" s="6196">
        <f t="shared" si="160"/>
        <v>0</v>
      </c>
      <c r="BH393" s="6197">
        <f t="shared" si="161"/>
        <v>0</v>
      </c>
      <c r="BI393"/>
      <c r="BJ393" s="1"/>
      <c r="BK393" s="1"/>
      <c r="BL393" s="1"/>
      <c r="BM393" s="1"/>
      <c r="BN393" s="1"/>
      <c r="BO393" s="1"/>
      <c r="BP393" s="1"/>
      <c r="BQ393" s="1"/>
      <c r="BX393" s="20" t="str">
        <f t="shared" si="165"/>
        <v>►</v>
      </c>
      <c r="BY393" s="2"/>
      <c r="BZ393" s="2"/>
      <c r="CA393" s="2"/>
      <c r="CB393" s="2"/>
      <c r="CC393" s="2"/>
      <c r="DC393" s="5">
        <v>1</v>
      </c>
    </row>
    <row r="394" spans="12:107" ht="21" customHeight="1">
      <c r="L394" s="1021" t="s">
        <v>26</v>
      </c>
      <c r="M394" s="6787"/>
      <c r="N394" s="6787"/>
      <c r="O394" s="6787"/>
      <c r="P394" s="6788"/>
      <c r="Q394" s="6789"/>
      <c r="R394" s="6790"/>
      <c r="S394" s="6786"/>
      <c r="T394" s="6791"/>
      <c r="U394" s="6844"/>
      <c r="V394" s="6791"/>
      <c r="W394" s="8487"/>
      <c r="X394" s="6871"/>
      <c r="Y394" s="6793"/>
      <c r="Z394" s="6794"/>
      <c r="AA394" s="6795"/>
      <c r="AB394" s="6796"/>
      <c r="AC394" s="6797"/>
      <c r="AD394" s="6798"/>
      <c r="AE394" s="4" t="s">
        <v>1</v>
      </c>
      <c r="AF394" s="6202" t="str">
        <f t="shared" si="143"/>
        <v>►</v>
      </c>
      <c r="AG394" s="6234" t="str">
        <f t="shared" si="144"/>
        <v/>
      </c>
      <c r="AH394" s="6732" t="str">
        <f t="shared" si="145"/>
        <v/>
      </c>
      <c r="AI394" s="6234" t="str">
        <f t="shared" si="146"/>
        <v/>
      </c>
      <c r="AJ394" s="6732" t="str">
        <f t="shared" si="147"/>
        <v/>
      </c>
      <c r="AK394" s="6732">
        <f t="shared" si="148"/>
        <v>0</v>
      </c>
      <c r="AL394" s="6230" t="str" cm="1">
        <f t="array" ref="AL394">IF(AF394&lt;&gt;"A","",IFERROR((IFERROR(_xlfn.XLOOKUP(TRIM(SUBSTITUTE(U394,CHAR(160)," ")),$BJ$15:$BJ$62,$BM$15:$BM$62),IFERROR(_xlfn.XLOOKUP(TRIM(SUBSTITUTE(U394,CHAR(160)," ")),$BK$15:$BK$62,$BM$15:$BM$62),_xlfn.XLOOKUP(TRIM(SUBSTITUTE(U394,CHAR(160)," ")),$BL$15:$BL$62,$BM$15:$BM$62))))*T394*IF(ISBLANK(Q394),1,Q394)+IFERROR(_xlfn.XLOOKUP("RECHERCHEX",TRIM(L394:AD394),L394:AD394),0),0))</f>
        <v/>
      </c>
      <c r="AM394" s="6229">
        <f t="shared" si="149"/>
        <v>0</v>
      </c>
      <c r="AN394" s="6857" t="str">
        <f t="shared" si="164"/>
        <v/>
      </c>
      <c r="AO394" s="392">
        <f t="shared" si="150"/>
        <v>0</v>
      </c>
      <c r="AP394" s="392">
        <f t="shared" si="151"/>
        <v>0</v>
      </c>
      <c r="AQ394" s="6190">
        <f t="shared" si="152"/>
        <v>0</v>
      </c>
      <c r="AR394" s="6858" t="str">
        <f t="shared" si="153"/>
        <v/>
      </c>
      <c r="AS394" s="6217"/>
      <c r="AT394" s="6217"/>
      <c r="AU394" s="6271">
        <f t="shared" si="154"/>
        <v>0</v>
      </c>
      <c r="AV394" s="6242">
        <f t="shared" si="155"/>
        <v>0</v>
      </c>
      <c r="AW394" s="6188" cm="1">
        <f t="array" ref="AW394">IF(AK394&lt;&gt;1,0,IF(OR(AU394="",N(AU394)&lt;=0.000000001),"",IF(OR(AO394="",N(AO394)&lt;=0.000000001),0,IF(ISNUMBER(AU394),IFERROR(_xlfn.LET(_xlpm.ai_test,TRIM(AJ394),_xlpm.r,IFERROR(_xlfn.XLOOKUP(_xlpm.ai_test,$BJ$15:$BJ$62,ROW($BJ$15:$BJ$62),0,1),IFERROR(_xlfn.XLOOKUP(_xlpm.ai_test,$BK$15:$BK$62,ROW($BK$15:$BK$62),0,1),_xlfn.XLOOKUP(_xlpm.ai_test,$BL$15:$BL$62,ROW($BL$15:$BL$62),0,1))),_xlpm.p,_xlpm.r-MIN(ROW($BJ$15:$BJ$62))+1,_xlpm.f,INDEX($BM$15:$BM$62,_xlpm.p),_xlpm.u,INDEX($BN$15:$BN$62,_xlpm.p),_xlpm.s,INDEX($BP$15:$BP$62,_xlpm.p),_xlpm.q,N(AU394)/_xlpm.f,IF(_xlpm.q&gt;=_xlpm.s,ROUND(_xlpm.q,1)&amp;" "&amp;_xlpm.ai_test&amp;" = "&amp;ROUND(_xlpm.q*_xlpm.f,1)&amp;" "&amp;_xlpm.u,ROUND(_xlpm.q,1)&amp;" "&amp;_xlpm.ai_test)),""),""))))</f>
        <v>0</v>
      </c>
      <c r="AX394" s="6218"/>
      <c r="AY394" s="6271">
        <f t="shared" si="156"/>
        <v>0</v>
      </c>
      <c r="AZ394" s="6242" t="str">
        <f t="shared" si="157"/>
        <v/>
      </c>
      <c r="BA394" s="6194">
        <f t="shared" si="162"/>
        <v>0</v>
      </c>
      <c r="BB394" s="6192" t="str">
        <f t="shared" si="158"/>
        <v/>
      </c>
      <c r="BC394" s="6219"/>
      <c r="BD394" s="6221">
        <f t="shared" si="163"/>
        <v>0</v>
      </c>
      <c r="BE394" s="6220" t="str">
        <f t="shared" si="159"/>
        <v/>
      </c>
      <c r="BF394" s="4" t="s">
        <v>1</v>
      </c>
      <c r="BG394" s="6196">
        <f t="shared" si="160"/>
        <v>0</v>
      </c>
      <c r="BH394" s="6197">
        <f t="shared" si="161"/>
        <v>0</v>
      </c>
      <c r="BI394"/>
      <c r="BJ394" s="1"/>
      <c r="BK394" s="1"/>
      <c r="BL394" s="1"/>
      <c r="BM394" s="1"/>
      <c r="BN394" s="1"/>
      <c r="BO394" s="1"/>
      <c r="BP394" s="1"/>
      <c r="BQ394" s="1"/>
      <c r="BX394" s="20" t="str">
        <f t="shared" si="165"/>
        <v>►</v>
      </c>
      <c r="BY394" s="2"/>
      <c r="BZ394" s="2"/>
      <c r="CA394" s="2"/>
      <c r="CB394" s="2"/>
      <c r="CC394" s="2"/>
      <c r="DC394" s="5">
        <v>1</v>
      </c>
    </row>
    <row r="395" spans="12:107" ht="21" customHeight="1">
      <c r="L395" s="1021" t="s">
        <v>26</v>
      </c>
      <c r="M395" s="6787"/>
      <c r="N395" s="6787"/>
      <c r="O395" s="6787"/>
      <c r="P395" s="6788"/>
      <c r="Q395" s="6789"/>
      <c r="R395" s="6790"/>
      <c r="S395" s="6786"/>
      <c r="T395" s="6791"/>
      <c r="U395" s="6844"/>
      <c r="V395" s="6791"/>
      <c r="W395" s="8487"/>
      <c r="X395" s="6871"/>
      <c r="Y395" s="6793"/>
      <c r="Z395" s="6794"/>
      <c r="AA395" s="6795"/>
      <c r="AB395" s="6796"/>
      <c r="AC395" s="6797"/>
      <c r="AD395" s="6798"/>
      <c r="AE395" s="4" t="s">
        <v>1</v>
      </c>
      <c r="AF395" s="6202" t="str">
        <f t="shared" si="143"/>
        <v>►</v>
      </c>
      <c r="AG395" s="6234" t="str">
        <f t="shared" si="144"/>
        <v/>
      </c>
      <c r="AH395" s="6732" t="str">
        <f t="shared" si="145"/>
        <v/>
      </c>
      <c r="AI395" s="6234" t="str">
        <f t="shared" si="146"/>
        <v/>
      </c>
      <c r="AJ395" s="6732" t="str">
        <f t="shared" si="147"/>
        <v/>
      </c>
      <c r="AK395" s="6732">
        <f t="shared" si="148"/>
        <v>0</v>
      </c>
      <c r="AL395" s="6230" t="str" cm="1">
        <f t="array" ref="AL395">IF(AF395&lt;&gt;"A","",IFERROR((IFERROR(_xlfn.XLOOKUP(TRIM(SUBSTITUTE(U395,CHAR(160)," ")),$BJ$15:$BJ$62,$BM$15:$BM$62),IFERROR(_xlfn.XLOOKUP(TRIM(SUBSTITUTE(U395,CHAR(160)," ")),$BK$15:$BK$62,$BM$15:$BM$62),_xlfn.XLOOKUP(TRIM(SUBSTITUTE(U395,CHAR(160)," ")),$BL$15:$BL$62,$BM$15:$BM$62))))*T395*IF(ISBLANK(Q395),1,Q395)+IFERROR(_xlfn.XLOOKUP("RECHERCHEX",TRIM(L395:AD395),L395:AD395),0),0))</f>
        <v/>
      </c>
      <c r="AM395" s="6229">
        <f t="shared" si="149"/>
        <v>0</v>
      </c>
      <c r="AN395" s="6857" t="str">
        <f t="shared" si="164"/>
        <v/>
      </c>
      <c r="AO395" s="392">
        <f t="shared" si="150"/>
        <v>0</v>
      </c>
      <c r="AP395" s="392">
        <f t="shared" si="151"/>
        <v>0</v>
      </c>
      <c r="AQ395" s="6191">
        <f t="shared" si="152"/>
        <v>0</v>
      </c>
      <c r="AR395" s="6859" t="str">
        <f t="shared" si="153"/>
        <v/>
      </c>
      <c r="AS395" s="6217"/>
      <c r="AT395" s="6217"/>
      <c r="AU395" s="6272">
        <f t="shared" si="154"/>
        <v>0</v>
      </c>
      <c r="AV395" s="6240">
        <f t="shared" si="155"/>
        <v>0</v>
      </c>
      <c r="AW395" s="6189" cm="1">
        <f t="array" ref="AW395">IF(AK395&lt;&gt;1,0,IF(OR(AU395="",N(AU395)&lt;=0.000000001),"",IF(OR(AO395="",N(AO395)&lt;=0.000000001),0,IF(ISNUMBER(AU395),IFERROR(_xlfn.LET(_xlpm.ai_test,TRIM(AJ395),_xlpm.r,IFERROR(_xlfn.XLOOKUP(_xlpm.ai_test,$BJ$15:$BJ$62,ROW($BJ$15:$BJ$62),0,1),IFERROR(_xlfn.XLOOKUP(_xlpm.ai_test,$BK$15:$BK$62,ROW($BK$15:$BK$62),0,1),_xlfn.XLOOKUP(_xlpm.ai_test,$BL$15:$BL$62,ROW($BL$15:$BL$62),0,1))),_xlpm.p,_xlpm.r-MIN(ROW($BJ$15:$BJ$62))+1,_xlpm.f,INDEX($BM$15:$BM$62,_xlpm.p),_xlpm.u,INDEX($BN$15:$BN$62,_xlpm.p),_xlpm.s,INDEX($BP$15:$BP$62,_xlpm.p),_xlpm.q,N(AU395)/_xlpm.f,IF(_xlpm.q&gt;=_xlpm.s,ROUND(_xlpm.q,1)&amp;" "&amp;_xlpm.ai_test&amp;" = "&amp;ROUND(_xlpm.q*_xlpm.f,1)&amp;" "&amp;_xlpm.u,ROUND(_xlpm.q,1)&amp;" "&amp;_xlpm.ai_test)),""),""))))</f>
        <v>0</v>
      </c>
      <c r="AX395" s="6218"/>
      <c r="AY395" s="6272">
        <f t="shared" si="156"/>
        <v>0</v>
      </c>
      <c r="AZ395" s="6240" t="str">
        <f t="shared" si="157"/>
        <v/>
      </c>
      <c r="BA395" s="6195">
        <f t="shared" si="162"/>
        <v>0</v>
      </c>
      <c r="BB395" s="6193" t="str">
        <f t="shared" si="158"/>
        <v/>
      </c>
      <c r="BC395" s="6219"/>
      <c r="BD395" s="6222">
        <f t="shared" si="163"/>
        <v>0</v>
      </c>
      <c r="BE395" s="6220" t="str">
        <f t="shared" si="159"/>
        <v/>
      </c>
      <c r="BF395" s="4" t="s">
        <v>1</v>
      </c>
      <c r="BG395" s="6196">
        <f t="shared" si="160"/>
        <v>0</v>
      </c>
      <c r="BH395" s="6197">
        <f t="shared" si="161"/>
        <v>0</v>
      </c>
      <c r="BI395"/>
      <c r="BJ395" s="1"/>
      <c r="BK395" s="1"/>
      <c r="BL395" s="1"/>
      <c r="BM395" s="1"/>
      <c r="BN395" s="1"/>
      <c r="BO395" s="1"/>
      <c r="BP395" s="1"/>
      <c r="BQ395" s="1"/>
      <c r="BX395" s="20" t="str">
        <f t="shared" si="165"/>
        <v>►</v>
      </c>
      <c r="BY395" s="2"/>
      <c r="BZ395" s="2"/>
      <c r="CA395" s="2"/>
      <c r="CB395" s="2"/>
      <c r="CC395" s="2"/>
      <c r="DC395" s="5">
        <v>1</v>
      </c>
    </row>
    <row r="396" spans="12:107" ht="21" customHeight="1">
      <c r="L396" s="1021" t="s">
        <v>26</v>
      </c>
      <c r="M396" s="6787"/>
      <c r="N396" s="6787"/>
      <c r="O396" s="6787"/>
      <c r="P396" s="6788"/>
      <c r="Q396" s="6789"/>
      <c r="R396" s="6790"/>
      <c r="S396" s="6786"/>
      <c r="T396" s="6791"/>
      <c r="U396" s="6844"/>
      <c r="V396" s="6791"/>
      <c r="W396" s="8487"/>
      <c r="X396" s="6871"/>
      <c r="Y396" s="6793"/>
      <c r="Z396" s="6794"/>
      <c r="AA396" s="6795"/>
      <c r="AB396" s="6796"/>
      <c r="AC396" s="6797"/>
      <c r="AD396" s="6798"/>
      <c r="AE396" s="4" t="s">
        <v>1</v>
      </c>
      <c r="AF396" s="6202" t="str">
        <f t="shared" si="143"/>
        <v>►</v>
      </c>
      <c r="AG396" s="6234" t="str">
        <f t="shared" si="144"/>
        <v/>
      </c>
      <c r="AH396" s="6732" t="str">
        <f t="shared" si="145"/>
        <v/>
      </c>
      <c r="AI396" s="6234" t="str">
        <f t="shared" si="146"/>
        <v/>
      </c>
      <c r="AJ396" s="6732" t="str">
        <f t="shared" si="147"/>
        <v/>
      </c>
      <c r="AK396" s="6732">
        <f t="shared" si="148"/>
        <v>0</v>
      </c>
      <c r="AL396" s="6230" t="str" cm="1">
        <f t="array" ref="AL396">IF(AF396&lt;&gt;"A","",IFERROR((IFERROR(_xlfn.XLOOKUP(TRIM(SUBSTITUTE(U396,CHAR(160)," ")),$BJ$15:$BJ$62,$BM$15:$BM$62),IFERROR(_xlfn.XLOOKUP(TRIM(SUBSTITUTE(U396,CHAR(160)," ")),$BK$15:$BK$62,$BM$15:$BM$62),_xlfn.XLOOKUP(TRIM(SUBSTITUTE(U396,CHAR(160)," ")),$BL$15:$BL$62,$BM$15:$BM$62))))*T396*IF(ISBLANK(Q396),1,Q396)+IFERROR(_xlfn.XLOOKUP("RECHERCHEX",TRIM(L396:AD396),L396:AD396),0),0))</f>
        <v/>
      </c>
      <c r="AM396" s="6229">
        <f t="shared" si="149"/>
        <v>0</v>
      </c>
      <c r="AN396" s="6857" t="str">
        <f t="shared" si="164"/>
        <v/>
      </c>
      <c r="AO396" s="392">
        <f t="shared" si="150"/>
        <v>0</v>
      </c>
      <c r="AP396" s="392">
        <f t="shared" si="151"/>
        <v>0</v>
      </c>
      <c r="AQ396" s="6190">
        <f t="shared" si="152"/>
        <v>0</v>
      </c>
      <c r="AR396" s="6858" t="str">
        <f t="shared" si="153"/>
        <v/>
      </c>
      <c r="AS396" s="6217"/>
      <c r="AT396" s="6217"/>
      <c r="AU396" s="6271">
        <f t="shared" si="154"/>
        <v>0</v>
      </c>
      <c r="AV396" s="6242">
        <f t="shared" si="155"/>
        <v>0</v>
      </c>
      <c r="AW396" s="6188" cm="1">
        <f t="array" ref="AW396">IF(AK396&lt;&gt;1,0,IF(OR(AU396="",N(AU396)&lt;=0.000000001),"",IF(OR(AO396="",N(AO396)&lt;=0.000000001),0,IF(ISNUMBER(AU396),IFERROR(_xlfn.LET(_xlpm.ai_test,TRIM(AJ396),_xlpm.r,IFERROR(_xlfn.XLOOKUP(_xlpm.ai_test,$BJ$15:$BJ$62,ROW($BJ$15:$BJ$62),0,1),IFERROR(_xlfn.XLOOKUP(_xlpm.ai_test,$BK$15:$BK$62,ROW($BK$15:$BK$62),0,1),_xlfn.XLOOKUP(_xlpm.ai_test,$BL$15:$BL$62,ROW($BL$15:$BL$62),0,1))),_xlpm.p,_xlpm.r-MIN(ROW($BJ$15:$BJ$62))+1,_xlpm.f,INDEX($BM$15:$BM$62,_xlpm.p),_xlpm.u,INDEX($BN$15:$BN$62,_xlpm.p),_xlpm.s,INDEX($BP$15:$BP$62,_xlpm.p),_xlpm.q,N(AU396)/_xlpm.f,IF(_xlpm.q&gt;=_xlpm.s,ROUND(_xlpm.q,1)&amp;" "&amp;_xlpm.ai_test&amp;" = "&amp;ROUND(_xlpm.q*_xlpm.f,1)&amp;" "&amp;_xlpm.u,ROUND(_xlpm.q,1)&amp;" "&amp;_xlpm.ai_test)),""),""))))</f>
        <v>0</v>
      </c>
      <c r="AX396" s="6218"/>
      <c r="AY396" s="6271">
        <f t="shared" si="156"/>
        <v>0</v>
      </c>
      <c r="AZ396" s="6242" t="str">
        <f t="shared" si="157"/>
        <v/>
      </c>
      <c r="BA396" s="6194">
        <f t="shared" si="162"/>
        <v>0</v>
      </c>
      <c r="BB396" s="6192" t="str">
        <f t="shared" si="158"/>
        <v/>
      </c>
      <c r="BC396" s="6219"/>
      <c r="BD396" s="6221">
        <f t="shared" si="163"/>
        <v>0</v>
      </c>
      <c r="BE396" s="6220" t="str">
        <f t="shared" si="159"/>
        <v/>
      </c>
      <c r="BF396" s="4" t="s">
        <v>1</v>
      </c>
      <c r="BG396" s="6196">
        <f t="shared" si="160"/>
        <v>0</v>
      </c>
      <c r="BH396" s="6197">
        <f t="shared" si="161"/>
        <v>0</v>
      </c>
      <c r="BI396"/>
      <c r="BJ396" s="1"/>
      <c r="BK396" s="1"/>
      <c r="BL396" s="1"/>
      <c r="BM396" s="1"/>
      <c r="BN396" s="1"/>
      <c r="BO396" s="1"/>
      <c r="BP396" s="1"/>
      <c r="BQ396" s="1"/>
      <c r="BX396" s="20" t="str">
        <f t="shared" si="165"/>
        <v>►</v>
      </c>
      <c r="BY396" s="2"/>
      <c r="BZ396" s="2"/>
      <c r="CA396" s="2"/>
      <c r="CB396" s="2"/>
      <c r="CC396" s="2"/>
      <c r="DC396" s="5">
        <v>1</v>
      </c>
    </row>
    <row r="397" spans="12:107" ht="21" customHeight="1">
      <c r="L397" s="1021" t="s">
        <v>26</v>
      </c>
      <c r="M397" s="6787"/>
      <c r="N397" s="6787"/>
      <c r="O397" s="6787"/>
      <c r="P397" s="6788"/>
      <c r="Q397" s="6789"/>
      <c r="R397" s="6790"/>
      <c r="S397" s="6786"/>
      <c r="T397" s="6791"/>
      <c r="U397" s="6844"/>
      <c r="V397" s="6791"/>
      <c r="W397" s="8487"/>
      <c r="X397" s="6871"/>
      <c r="Y397" s="6793"/>
      <c r="Z397" s="6794"/>
      <c r="AA397" s="6795"/>
      <c r="AB397" s="6796"/>
      <c r="AC397" s="6797"/>
      <c r="AD397" s="6798"/>
      <c r="AE397" s="4" t="s">
        <v>1</v>
      </c>
      <c r="AF397" s="6202" t="str">
        <f t="shared" si="143"/>
        <v>►</v>
      </c>
      <c r="AG397" s="6234" t="str">
        <f t="shared" si="144"/>
        <v/>
      </c>
      <c r="AH397" s="6732" t="str">
        <f t="shared" si="145"/>
        <v/>
      </c>
      <c r="AI397" s="6234" t="str">
        <f t="shared" si="146"/>
        <v/>
      </c>
      <c r="AJ397" s="6732" t="str">
        <f t="shared" si="147"/>
        <v/>
      </c>
      <c r="AK397" s="6732">
        <f t="shared" si="148"/>
        <v>0</v>
      </c>
      <c r="AL397" s="6230" t="str" cm="1">
        <f t="array" ref="AL397">IF(AF397&lt;&gt;"A","",IFERROR((IFERROR(_xlfn.XLOOKUP(TRIM(SUBSTITUTE(U397,CHAR(160)," ")),$BJ$15:$BJ$62,$BM$15:$BM$62),IFERROR(_xlfn.XLOOKUP(TRIM(SUBSTITUTE(U397,CHAR(160)," ")),$BK$15:$BK$62,$BM$15:$BM$62),_xlfn.XLOOKUP(TRIM(SUBSTITUTE(U397,CHAR(160)," ")),$BL$15:$BL$62,$BM$15:$BM$62))))*T397*IF(ISBLANK(Q397),1,Q397)+IFERROR(_xlfn.XLOOKUP("RECHERCHEX",TRIM(L397:AD397),L397:AD397),0),0))</f>
        <v/>
      </c>
      <c r="AM397" s="6229">
        <f t="shared" si="149"/>
        <v>0</v>
      </c>
      <c r="AN397" s="6857" t="str">
        <f t="shared" si="164"/>
        <v/>
      </c>
      <c r="AO397" s="392">
        <f t="shared" si="150"/>
        <v>0</v>
      </c>
      <c r="AP397" s="392">
        <f t="shared" si="151"/>
        <v>0</v>
      </c>
      <c r="AQ397" s="6191">
        <f t="shared" si="152"/>
        <v>0</v>
      </c>
      <c r="AR397" s="6859" t="str">
        <f t="shared" si="153"/>
        <v/>
      </c>
      <c r="AS397" s="6217"/>
      <c r="AT397" s="6217"/>
      <c r="AU397" s="6272">
        <f t="shared" si="154"/>
        <v>0</v>
      </c>
      <c r="AV397" s="6240">
        <f t="shared" si="155"/>
        <v>0</v>
      </c>
      <c r="AW397" s="6189" cm="1">
        <f t="array" ref="AW397">IF(AK397&lt;&gt;1,0,IF(OR(AU397="",N(AU397)&lt;=0.000000001),"",IF(OR(AO397="",N(AO397)&lt;=0.000000001),0,IF(ISNUMBER(AU397),IFERROR(_xlfn.LET(_xlpm.ai_test,TRIM(AJ397),_xlpm.r,IFERROR(_xlfn.XLOOKUP(_xlpm.ai_test,$BJ$15:$BJ$62,ROW($BJ$15:$BJ$62),0,1),IFERROR(_xlfn.XLOOKUP(_xlpm.ai_test,$BK$15:$BK$62,ROW($BK$15:$BK$62),0,1),_xlfn.XLOOKUP(_xlpm.ai_test,$BL$15:$BL$62,ROW($BL$15:$BL$62),0,1))),_xlpm.p,_xlpm.r-MIN(ROW($BJ$15:$BJ$62))+1,_xlpm.f,INDEX($BM$15:$BM$62,_xlpm.p),_xlpm.u,INDEX($BN$15:$BN$62,_xlpm.p),_xlpm.s,INDEX($BP$15:$BP$62,_xlpm.p),_xlpm.q,N(AU397)/_xlpm.f,IF(_xlpm.q&gt;=_xlpm.s,ROUND(_xlpm.q,1)&amp;" "&amp;_xlpm.ai_test&amp;" = "&amp;ROUND(_xlpm.q*_xlpm.f,1)&amp;" "&amp;_xlpm.u,ROUND(_xlpm.q,1)&amp;" "&amp;_xlpm.ai_test)),""),""))))</f>
        <v>0</v>
      </c>
      <c r="AX397" s="6218"/>
      <c r="AY397" s="6272">
        <f t="shared" si="156"/>
        <v>0</v>
      </c>
      <c r="AZ397" s="6240" t="str">
        <f t="shared" si="157"/>
        <v/>
      </c>
      <c r="BA397" s="6195">
        <f t="shared" si="162"/>
        <v>0</v>
      </c>
      <c r="BB397" s="6193" t="str">
        <f t="shared" si="158"/>
        <v/>
      </c>
      <c r="BC397" s="6219"/>
      <c r="BD397" s="6222">
        <f t="shared" si="163"/>
        <v>0</v>
      </c>
      <c r="BE397" s="6220" t="str">
        <f t="shared" si="159"/>
        <v/>
      </c>
      <c r="BF397" s="4" t="s">
        <v>1</v>
      </c>
      <c r="BG397" s="6196">
        <f t="shared" si="160"/>
        <v>0</v>
      </c>
      <c r="BH397" s="6197">
        <f t="shared" si="161"/>
        <v>0</v>
      </c>
      <c r="BI397"/>
      <c r="BJ397" s="1"/>
      <c r="BK397" s="1"/>
      <c r="BL397" s="1"/>
      <c r="BM397" s="1"/>
      <c r="BN397" s="1"/>
      <c r="BO397" s="1"/>
      <c r="BP397" s="1"/>
      <c r="BQ397" s="1"/>
      <c r="BX397" s="20" t="str">
        <f t="shared" si="165"/>
        <v>►</v>
      </c>
      <c r="BY397" s="2"/>
      <c r="BZ397" s="2"/>
      <c r="CA397" s="2"/>
      <c r="CB397" s="2"/>
      <c r="CC397" s="2"/>
      <c r="DC397" s="5">
        <v>1</v>
      </c>
    </row>
    <row r="398" spans="12:107" ht="21" customHeight="1">
      <c r="L398" s="1021" t="s">
        <v>26</v>
      </c>
      <c r="M398" s="6787"/>
      <c r="N398" s="6787"/>
      <c r="O398" s="6787"/>
      <c r="P398" s="6788"/>
      <c r="Q398" s="6789"/>
      <c r="R398" s="6790"/>
      <c r="S398" s="6786"/>
      <c r="T398" s="6791"/>
      <c r="U398" s="6844"/>
      <c r="V398" s="6791"/>
      <c r="W398" s="8487"/>
      <c r="X398" s="6871"/>
      <c r="Y398" s="6793"/>
      <c r="Z398" s="6794"/>
      <c r="AA398" s="6795"/>
      <c r="AB398" s="6796"/>
      <c r="AC398" s="6797"/>
      <c r="AD398" s="6798"/>
      <c r="AE398" s="4" t="s">
        <v>1</v>
      </c>
      <c r="AF398" s="6202" t="str">
        <f t="shared" si="143"/>
        <v>►</v>
      </c>
      <c r="AG398" s="6234" t="str">
        <f t="shared" si="144"/>
        <v/>
      </c>
      <c r="AH398" s="6732" t="str">
        <f t="shared" si="145"/>
        <v/>
      </c>
      <c r="AI398" s="6234" t="str">
        <f t="shared" si="146"/>
        <v/>
      </c>
      <c r="AJ398" s="6732" t="str">
        <f t="shared" si="147"/>
        <v/>
      </c>
      <c r="AK398" s="6732">
        <f t="shared" si="148"/>
        <v>0</v>
      </c>
      <c r="AL398" s="6230" t="str" cm="1">
        <f t="array" ref="AL398">IF(AF398&lt;&gt;"A","",IFERROR((IFERROR(_xlfn.XLOOKUP(TRIM(SUBSTITUTE(U398,CHAR(160)," ")),$BJ$15:$BJ$62,$BM$15:$BM$62),IFERROR(_xlfn.XLOOKUP(TRIM(SUBSTITUTE(U398,CHAR(160)," ")),$BK$15:$BK$62,$BM$15:$BM$62),_xlfn.XLOOKUP(TRIM(SUBSTITUTE(U398,CHAR(160)," ")),$BL$15:$BL$62,$BM$15:$BM$62))))*T398*IF(ISBLANK(Q398),1,Q398)+IFERROR(_xlfn.XLOOKUP("RECHERCHEX",TRIM(L398:AD398),L398:AD398),0),0))</f>
        <v/>
      </c>
      <c r="AM398" s="6229">
        <f t="shared" si="149"/>
        <v>0</v>
      </c>
      <c r="AN398" s="6857" t="str">
        <f t="shared" si="164"/>
        <v/>
      </c>
      <c r="AO398" s="392">
        <f t="shared" si="150"/>
        <v>0</v>
      </c>
      <c r="AP398" s="392">
        <f t="shared" si="151"/>
        <v>0</v>
      </c>
      <c r="AQ398" s="6190">
        <f t="shared" si="152"/>
        <v>0</v>
      </c>
      <c r="AR398" s="6858" t="str">
        <f t="shared" si="153"/>
        <v/>
      </c>
      <c r="AS398" s="6217"/>
      <c r="AT398" s="6217"/>
      <c r="AU398" s="6271">
        <f t="shared" si="154"/>
        <v>0</v>
      </c>
      <c r="AV398" s="6242">
        <f t="shared" si="155"/>
        <v>0</v>
      </c>
      <c r="AW398" s="6188" cm="1">
        <f t="array" ref="AW398">IF(AK398&lt;&gt;1,0,IF(OR(AU398="",N(AU398)&lt;=0.000000001),"",IF(OR(AO398="",N(AO398)&lt;=0.000000001),0,IF(ISNUMBER(AU398),IFERROR(_xlfn.LET(_xlpm.ai_test,TRIM(AJ398),_xlpm.r,IFERROR(_xlfn.XLOOKUP(_xlpm.ai_test,$BJ$15:$BJ$62,ROW($BJ$15:$BJ$62),0,1),IFERROR(_xlfn.XLOOKUP(_xlpm.ai_test,$BK$15:$BK$62,ROW($BK$15:$BK$62),0,1),_xlfn.XLOOKUP(_xlpm.ai_test,$BL$15:$BL$62,ROW($BL$15:$BL$62),0,1))),_xlpm.p,_xlpm.r-MIN(ROW($BJ$15:$BJ$62))+1,_xlpm.f,INDEX($BM$15:$BM$62,_xlpm.p),_xlpm.u,INDEX($BN$15:$BN$62,_xlpm.p),_xlpm.s,INDEX($BP$15:$BP$62,_xlpm.p),_xlpm.q,N(AU398)/_xlpm.f,IF(_xlpm.q&gt;=_xlpm.s,ROUND(_xlpm.q,1)&amp;" "&amp;_xlpm.ai_test&amp;" = "&amp;ROUND(_xlpm.q*_xlpm.f,1)&amp;" "&amp;_xlpm.u,ROUND(_xlpm.q,1)&amp;" "&amp;_xlpm.ai_test)),""),""))))</f>
        <v>0</v>
      </c>
      <c r="AX398" s="6218"/>
      <c r="AY398" s="6271">
        <f t="shared" si="156"/>
        <v>0</v>
      </c>
      <c r="AZ398" s="6242" t="str">
        <f t="shared" si="157"/>
        <v/>
      </c>
      <c r="BA398" s="6194">
        <f t="shared" si="162"/>
        <v>0</v>
      </c>
      <c r="BB398" s="6192" t="str">
        <f t="shared" si="158"/>
        <v/>
      </c>
      <c r="BC398" s="6219"/>
      <c r="BD398" s="6221">
        <f t="shared" si="163"/>
        <v>0</v>
      </c>
      <c r="BE398" s="6220" t="str">
        <f t="shared" si="159"/>
        <v/>
      </c>
      <c r="BF398" s="4" t="s">
        <v>1</v>
      </c>
      <c r="BG398" s="6196">
        <f t="shared" si="160"/>
        <v>0</v>
      </c>
      <c r="BH398" s="6197">
        <f t="shared" si="161"/>
        <v>0</v>
      </c>
      <c r="BI398"/>
      <c r="BJ398" s="1"/>
      <c r="BK398" s="1"/>
      <c r="BL398" s="1"/>
      <c r="BM398" s="1"/>
      <c r="BN398" s="1"/>
      <c r="BO398" s="1"/>
      <c r="BP398" s="1"/>
      <c r="BQ398" s="1"/>
      <c r="BX398" s="20" t="str">
        <f t="shared" si="165"/>
        <v>►</v>
      </c>
      <c r="BY398" s="2"/>
      <c r="BZ398" s="2"/>
      <c r="CA398" s="2"/>
      <c r="CB398" s="2"/>
      <c r="CC398" s="2"/>
      <c r="DC398" s="5">
        <v>1</v>
      </c>
    </row>
    <row r="399" spans="12:107" ht="21" customHeight="1">
      <c r="L399" s="1021" t="s">
        <v>26</v>
      </c>
      <c r="M399" s="6787"/>
      <c r="N399" s="6787"/>
      <c r="O399" s="6787"/>
      <c r="P399" s="6788"/>
      <c r="Q399" s="6789"/>
      <c r="R399" s="6790"/>
      <c r="S399" s="6786"/>
      <c r="T399" s="6791"/>
      <c r="U399" s="6844"/>
      <c r="V399" s="6791"/>
      <c r="W399" s="8487"/>
      <c r="X399" s="6871"/>
      <c r="Y399" s="6793"/>
      <c r="Z399" s="6794"/>
      <c r="AA399" s="6795"/>
      <c r="AB399" s="6796"/>
      <c r="AC399" s="6797"/>
      <c r="AD399" s="6798"/>
      <c r="AE399" s="4" t="s">
        <v>1</v>
      </c>
      <c r="AF399" s="6202" t="str">
        <f t="shared" si="143"/>
        <v>►</v>
      </c>
      <c r="AG399" s="6234" t="str">
        <f t="shared" si="144"/>
        <v/>
      </c>
      <c r="AH399" s="6732" t="str">
        <f t="shared" si="145"/>
        <v/>
      </c>
      <c r="AI399" s="6234" t="str">
        <f t="shared" si="146"/>
        <v/>
      </c>
      <c r="AJ399" s="6732" t="str">
        <f t="shared" si="147"/>
        <v/>
      </c>
      <c r="AK399" s="6732">
        <f t="shared" si="148"/>
        <v>0</v>
      </c>
      <c r="AL399" s="6230" t="str" cm="1">
        <f t="array" ref="AL399">IF(AF399&lt;&gt;"A","",IFERROR((IFERROR(_xlfn.XLOOKUP(TRIM(SUBSTITUTE(U399,CHAR(160)," ")),$BJ$15:$BJ$62,$BM$15:$BM$62),IFERROR(_xlfn.XLOOKUP(TRIM(SUBSTITUTE(U399,CHAR(160)," ")),$BK$15:$BK$62,$BM$15:$BM$62),_xlfn.XLOOKUP(TRIM(SUBSTITUTE(U399,CHAR(160)," ")),$BL$15:$BL$62,$BM$15:$BM$62))))*T399*IF(ISBLANK(Q399),1,Q399)+IFERROR(_xlfn.XLOOKUP("RECHERCHEX",TRIM(L399:AD399),L399:AD399),0),0))</f>
        <v/>
      </c>
      <c r="AM399" s="6229">
        <f t="shared" si="149"/>
        <v>0</v>
      </c>
      <c r="AN399" s="6857" t="str">
        <f t="shared" si="164"/>
        <v/>
      </c>
      <c r="AO399" s="392">
        <f t="shared" si="150"/>
        <v>0</v>
      </c>
      <c r="AP399" s="392">
        <f t="shared" si="151"/>
        <v>0</v>
      </c>
      <c r="AQ399" s="6191">
        <f t="shared" si="152"/>
        <v>0</v>
      </c>
      <c r="AR399" s="6859" t="str">
        <f t="shared" si="153"/>
        <v/>
      </c>
      <c r="AS399" s="6217"/>
      <c r="AT399" s="6217"/>
      <c r="AU399" s="6272">
        <f t="shared" si="154"/>
        <v>0</v>
      </c>
      <c r="AV399" s="6240">
        <f t="shared" si="155"/>
        <v>0</v>
      </c>
      <c r="AW399" s="6189" cm="1">
        <f t="array" ref="AW399">IF(AK399&lt;&gt;1,0,IF(OR(AU399="",N(AU399)&lt;=0.000000001),"",IF(OR(AO399="",N(AO399)&lt;=0.000000001),0,IF(ISNUMBER(AU399),IFERROR(_xlfn.LET(_xlpm.ai_test,TRIM(AJ399),_xlpm.r,IFERROR(_xlfn.XLOOKUP(_xlpm.ai_test,$BJ$15:$BJ$62,ROW($BJ$15:$BJ$62),0,1),IFERROR(_xlfn.XLOOKUP(_xlpm.ai_test,$BK$15:$BK$62,ROW($BK$15:$BK$62),0,1),_xlfn.XLOOKUP(_xlpm.ai_test,$BL$15:$BL$62,ROW($BL$15:$BL$62),0,1))),_xlpm.p,_xlpm.r-MIN(ROW($BJ$15:$BJ$62))+1,_xlpm.f,INDEX($BM$15:$BM$62,_xlpm.p),_xlpm.u,INDEX($BN$15:$BN$62,_xlpm.p),_xlpm.s,INDEX($BP$15:$BP$62,_xlpm.p),_xlpm.q,N(AU399)/_xlpm.f,IF(_xlpm.q&gt;=_xlpm.s,ROUND(_xlpm.q,1)&amp;" "&amp;_xlpm.ai_test&amp;" = "&amp;ROUND(_xlpm.q*_xlpm.f,1)&amp;" "&amp;_xlpm.u,ROUND(_xlpm.q,1)&amp;" "&amp;_xlpm.ai_test)),""),""))))</f>
        <v>0</v>
      </c>
      <c r="AX399" s="6218"/>
      <c r="AY399" s="6272">
        <f t="shared" si="156"/>
        <v>0</v>
      </c>
      <c r="AZ399" s="6240" t="str">
        <f t="shared" si="157"/>
        <v/>
      </c>
      <c r="BA399" s="6195">
        <f t="shared" si="162"/>
        <v>0</v>
      </c>
      <c r="BB399" s="6193" t="str">
        <f t="shared" si="158"/>
        <v/>
      </c>
      <c r="BC399" s="6219"/>
      <c r="BD399" s="6222">
        <f t="shared" si="163"/>
        <v>0</v>
      </c>
      <c r="BE399" s="6220" t="str">
        <f t="shared" si="159"/>
        <v/>
      </c>
      <c r="BF399" s="4" t="s">
        <v>1</v>
      </c>
      <c r="BG399" s="6196">
        <f t="shared" si="160"/>
        <v>0</v>
      </c>
      <c r="BH399" s="6197">
        <f t="shared" si="161"/>
        <v>0</v>
      </c>
      <c r="BI399"/>
      <c r="BJ399" s="1"/>
      <c r="BK399" s="1"/>
      <c r="BL399" s="1"/>
      <c r="BM399" s="1"/>
      <c r="BN399" s="1"/>
      <c r="BO399" s="1"/>
      <c r="BP399" s="1"/>
      <c r="BQ399" s="1"/>
      <c r="BX399" s="20" t="str">
        <f t="shared" si="165"/>
        <v>►</v>
      </c>
      <c r="BY399" s="2"/>
      <c r="BZ399" s="2"/>
      <c r="CA399" s="2"/>
      <c r="CB399" s="2"/>
      <c r="CC399" s="2"/>
      <c r="DC399" s="5">
        <v>1</v>
      </c>
    </row>
    <row r="400" spans="12:107" ht="21" customHeight="1">
      <c r="L400" s="1021" t="s">
        <v>26</v>
      </c>
      <c r="M400" s="6787"/>
      <c r="N400" s="6787"/>
      <c r="O400" s="6787"/>
      <c r="P400" s="6788"/>
      <c r="Q400" s="6789"/>
      <c r="R400" s="6790"/>
      <c r="S400" s="6786"/>
      <c r="T400" s="6791"/>
      <c r="U400" s="6844"/>
      <c r="V400" s="6791"/>
      <c r="W400" s="8487"/>
      <c r="X400" s="6871"/>
      <c r="Y400" s="6793"/>
      <c r="Z400" s="6794"/>
      <c r="AA400" s="6795"/>
      <c r="AB400" s="6796"/>
      <c r="AC400" s="6797"/>
      <c r="AD400" s="6798"/>
      <c r="AE400" s="4" t="s">
        <v>1</v>
      </c>
      <c r="AF400" s="6202" t="str">
        <f t="shared" si="143"/>
        <v>►</v>
      </c>
      <c r="AG400" s="6234" t="str">
        <f t="shared" si="144"/>
        <v/>
      </c>
      <c r="AH400" s="6732" t="str">
        <f t="shared" si="145"/>
        <v/>
      </c>
      <c r="AI400" s="6234" t="str">
        <f t="shared" si="146"/>
        <v/>
      </c>
      <c r="AJ400" s="6732" t="str">
        <f t="shared" si="147"/>
        <v/>
      </c>
      <c r="AK400" s="6732">
        <f t="shared" si="148"/>
        <v>0</v>
      </c>
      <c r="AL400" s="6230" t="str" cm="1">
        <f t="array" ref="AL400">IF(AF400&lt;&gt;"A","",IFERROR((IFERROR(_xlfn.XLOOKUP(TRIM(SUBSTITUTE(U400,CHAR(160)," ")),$BJ$15:$BJ$62,$BM$15:$BM$62),IFERROR(_xlfn.XLOOKUP(TRIM(SUBSTITUTE(U400,CHAR(160)," ")),$BK$15:$BK$62,$BM$15:$BM$62),_xlfn.XLOOKUP(TRIM(SUBSTITUTE(U400,CHAR(160)," ")),$BL$15:$BL$62,$BM$15:$BM$62))))*T400*IF(ISBLANK(Q400),1,Q400)+IFERROR(_xlfn.XLOOKUP("RECHERCHEX",TRIM(L400:AD400),L400:AD400),0),0))</f>
        <v/>
      </c>
      <c r="AM400" s="6229">
        <f t="shared" si="149"/>
        <v>0</v>
      </c>
      <c r="AN400" s="6857" t="str">
        <f t="shared" si="164"/>
        <v/>
      </c>
      <c r="AO400" s="392">
        <f t="shared" si="150"/>
        <v>0</v>
      </c>
      <c r="AP400" s="392">
        <f t="shared" si="151"/>
        <v>0</v>
      </c>
      <c r="AQ400" s="6190">
        <f t="shared" si="152"/>
        <v>0</v>
      </c>
      <c r="AR400" s="6858" t="str">
        <f t="shared" si="153"/>
        <v/>
      </c>
      <c r="AS400" s="6217"/>
      <c r="AT400" s="6217"/>
      <c r="AU400" s="6271">
        <f t="shared" si="154"/>
        <v>0</v>
      </c>
      <c r="AV400" s="6242">
        <f t="shared" si="155"/>
        <v>0</v>
      </c>
      <c r="AW400" s="6188" cm="1">
        <f t="array" ref="AW400">IF(AK400&lt;&gt;1,0,IF(OR(AU400="",N(AU400)&lt;=0.000000001),"",IF(OR(AO400="",N(AO400)&lt;=0.000000001),0,IF(ISNUMBER(AU400),IFERROR(_xlfn.LET(_xlpm.ai_test,TRIM(AJ400),_xlpm.r,IFERROR(_xlfn.XLOOKUP(_xlpm.ai_test,$BJ$15:$BJ$62,ROW($BJ$15:$BJ$62),0,1),IFERROR(_xlfn.XLOOKUP(_xlpm.ai_test,$BK$15:$BK$62,ROW($BK$15:$BK$62),0,1),_xlfn.XLOOKUP(_xlpm.ai_test,$BL$15:$BL$62,ROW($BL$15:$BL$62),0,1))),_xlpm.p,_xlpm.r-MIN(ROW($BJ$15:$BJ$62))+1,_xlpm.f,INDEX($BM$15:$BM$62,_xlpm.p),_xlpm.u,INDEX($BN$15:$BN$62,_xlpm.p),_xlpm.s,INDEX($BP$15:$BP$62,_xlpm.p),_xlpm.q,N(AU400)/_xlpm.f,IF(_xlpm.q&gt;=_xlpm.s,ROUND(_xlpm.q,1)&amp;" "&amp;_xlpm.ai_test&amp;" = "&amp;ROUND(_xlpm.q*_xlpm.f,1)&amp;" "&amp;_xlpm.u,ROUND(_xlpm.q,1)&amp;" "&amp;_xlpm.ai_test)),""),""))))</f>
        <v>0</v>
      </c>
      <c r="AX400" s="6218"/>
      <c r="AY400" s="6271">
        <f t="shared" si="156"/>
        <v>0</v>
      </c>
      <c r="AZ400" s="6242" t="str">
        <f t="shared" si="157"/>
        <v/>
      </c>
      <c r="BA400" s="6194">
        <f t="shared" si="162"/>
        <v>0</v>
      </c>
      <c r="BB400" s="6192" t="str">
        <f t="shared" si="158"/>
        <v/>
      </c>
      <c r="BC400" s="6219"/>
      <c r="BD400" s="6221">
        <f t="shared" si="163"/>
        <v>0</v>
      </c>
      <c r="BE400" s="6220" t="str">
        <f t="shared" si="159"/>
        <v/>
      </c>
      <c r="BF400" s="4" t="s">
        <v>1</v>
      </c>
      <c r="BG400" s="6196">
        <f t="shared" si="160"/>
        <v>0</v>
      </c>
      <c r="BH400" s="6197">
        <f t="shared" si="161"/>
        <v>0</v>
      </c>
      <c r="BI400"/>
      <c r="BJ400" s="1"/>
      <c r="BK400" s="1"/>
      <c r="BL400" s="1"/>
      <c r="BM400" s="1"/>
      <c r="BN400" s="1"/>
      <c r="BO400" s="1"/>
      <c r="BP400" s="1"/>
      <c r="BQ400" s="1"/>
      <c r="BX400" s="20" t="str">
        <f t="shared" si="165"/>
        <v>►</v>
      </c>
      <c r="BY400" s="2"/>
      <c r="BZ400" s="2"/>
      <c r="CA400" s="2"/>
      <c r="CB400" s="2"/>
      <c r="CC400" s="2"/>
      <c r="DC400" s="5">
        <v>1</v>
      </c>
    </row>
    <row r="401" spans="12:107" ht="21" customHeight="1">
      <c r="L401" s="1021" t="s">
        <v>26</v>
      </c>
      <c r="M401" s="6787"/>
      <c r="N401" s="6787"/>
      <c r="O401" s="6787"/>
      <c r="P401" s="6788"/>
      <c r="Q401" s="6789"/>
      <c r="R401" s="6790"/>
      <c r="S401" s="6786"/>
      <c r="T401" s="6791"/>
      <c r="U401" s="6844"/>
      <c r="V401" s="6791"/>
      <c r="W401" s="8487"/>
      <c r="X401" s="6871"/>
      <c r="Y401" s="6793"/>
      <c r="Z401" s="6794"/>
      <c r="AA401" s="6795"/>
      <c r="AB401" s="6796"/>
      <c r="AC401" s="6797"/>
      <c r="AD401" s="6798"/>
      <c r="AE401" s="4" t="s">
        <v>1</v>
      </c>
      <c r="AF401" s="6202" t="str">
        <f t="shared" si="143"/>
        <v>►</v>
      </c>
      <c r="AG401" s="6234" t="str">
        <f t="shared" si="144"/>
        <v/>
      </c>
      <c r="AH401" s="6732" t="str">
        <f t="shared" si="145"/>
        <v/>
      </c>
      <c r="AI401" s="6234" t="str">
        <f t="shared" si="146"/>
        <v/>
      </c>
      <c r="AJ401" s="6732" t="str">
        <f t="shared" si="147"/>
        <v/>
      </c>
      <c r="AK401" s="6732">
        <f t="shared" si="148"/>
        <v>0</v>
      </c>
      <c r="AL401" s="6230" t="str" cm="1">
        <f t="array" ref="AL401">IF(AF401&lt;&gt;"A","",IFERROR((IFERROR(_xlfn.XLOOKUP(TRIM(SUBSTITUTE(U401,CHAR(160)," ")),$BJ$15:$BJ$62,$BM$15:$BM$62),IFERROR(_xlfn.XLOOKUP(TRIM(SUBSTITUTE(U401,CHAR(160)," ")),$BK$15:$BK$62,$BM$15:$BM$62),_xlfn.XLOOKUP(TRIM(SUBSTITUTE(U401,CHAR(160)," ")),$BL$15:$BL$62,$BM$15:$BM$62))))*T401*IF(ISBLANK(Q401),1,Q401)+IFERROR(_xlfn.XLOOKUP("RECHERCHEX",TRIM(L401:AD401),L401:AD401),0),0))</f>
        <v/>
      </c>
      <c r="AM401" s="6229">
        <f t="shared" si="149"/>
        <v>0</v>
      </c>
      <c r="AN401" s="6857" t="str">
        <f t="shared" si="164"/>
        <v/>
      </c>
      <c r="AO401" s="392">
        <f t="shared" si="150"/>
        <v>0</v>
      </c>
      <c r="AP401" s="392">
        <f t="shared" si="151"/>
        <v>0</v>
      </c>
      <c r="AQ401" s="6191">
        <f t="shared" si="152"/>
        <v>0</v>
      </c>
      <c r="AR401" s="6859" t="str">
        <f t="shared" si="153"/>
        <v/>
      </c>
      <c r="AS401" s="6217"/>
      <c r="AT401" s="6217"/>
      <c r="AU401" s="6272">
        <f t="shared" si="154"/>
        <v>0</v>
      </c>
      <c r="AV401" s="6240">
        <f t="shared" si="155"/>
        <v>0</v>
      </c>
      <c r="AW401" s="6189" cm="1">
        <f t="array" ref="AW401">IF(AK401&lt;&gt;1,0,IF(OR(AU401="",N(AU401)&lt;=0.000000001),"",IF(OR(AO401="",N(AO401)&lt;=0.000000001),0,IF(ISNUMBER(AU401),IFERROR(_xlfn.LET(_xlpm.ai_test,TRIM(AJ401),_xlpm.r,IFERROR(_xlfn.XLOOKUP(_xlpm.ai_test,$BJ$15:$BJ$62,ROW($BJ$15:$BJ$62),0,1),IFERROR(_xlfn.XLOOKUP(_xlpm.ai_test,$BK$15:$BK$62,ROW($BK$15:$BK$62),0,1),_xlfn.XLOOKUP(_xlpm.ai_test,$BL$15:$BL$62,ROW($BL$15:$BL$62),0,1))),_xlpm.p,_xlpm.r-MIN(ROW($BJ$15:$BJ$62))+1,_xlpm.f,INDEX($BM$15:$BM$62,_xlpm.p),_xlpm.u,INDEX($BN$15:$BN$62,_xlpm.p),_xlpm.s,INDEX($BP$15:$BP$62,_xlpm.p),_xlpm.q,N(AU401)/_xlpm.f,IF(_xlpm.q&gt;=_xlpm.s,ROUND(_xlpm.q,1)&amp;" "&amp;_xlpm.ai_test&amp;" = "&amp;ROUND(_xlpm.q*_xlpm.f,1)&amp;" "&amp;_xlpm.u,ROUND(_xlpm.q,1)&amp;" "&amp;_xlpm.ai_test)),""),""))))</f>
        <v>0</v>
      </c>
      <c r="AX401" s="6218"/>
      <c r="AY401" s="6272">
        <f t="shared" si="156"/>
        <v>0</v>
      </c>
      <c r="AZ401" s="6240" t="str">
        <f t="shared" si="157"/>
        <v/>
      </c>
      <c r="BA401" s="6195">
        <f t="shared" si="162"/>
        <v>0</v>
      </c>
      <c r="BB401" s="6193" t="str">
        <f t="shared" si="158"/>
        <v/>
      </c>
      <c r="BC401" s="6219"/>
      <c r="BD401" s="6222">
        <f t="shared" si="163"/>
        <v>0</v>
      </c>
      <c r="BE401" s="6220" t="str">
        <f t="shared" si="159"/>
        <v/>
      </c>
      <c r="BF401" s="4" t="s">
        <v>1</v>
      </c>
      <c r="BG401" s="6196">
        <f t="shared" si="160"/>
        <v>0</v>
      </c>
      <c r="BH401" s="6197">
        <f t="shared" si="161"/>
        <v>0</v>
      </c>
      <c r="BI401"/>
      <c r="BJ401" s="1"/>
      <c r="BK401" s="1"/>
      <c r="BL401" s="1"/>
      <c r="BM401" s="1"/>
      <c r="BN401" s="1"/>
      <c r="BO401" s="1"/>
      <c r="BP401" s="1"/>
      <c r="BQ401" s="1"/>
      <c r="BX401" s="20" t="str">
        <f t="shared" si="165"/>
        <v>►</v>
      </c>
      <c r="BY401" s="2"/>
      <c r="BZ401" s="2"/>
      <c r="CA401" s="2"/>
      <c r="CB401" s="2"/>
      <c r="CC401" s="2"/>
      <c r="DC401" s="5">
        <v>1</v>
      </c>
    </row>
    <row r="402" spans="12:107" ht="21" customHeight="1">
      <c r="L402" s="1021" t="s">
        <v>26</v>
      </c>
      <c r="M402" s="6787"/>
      <c r="N402" s="6787"/>
      <c r="O402" s="6787"/>
      <c r="P402" s="6788"/>
      <c r="Q402" s="6789"/>
      <c r="R402" s="6790"/>
      <c r="S402" s="6786"/>
      <c r="T402" s="6791"/>
      <c r="U402" s="6844"/>
      <c r="V402" s="6791"/>
      <c r="W402" s="8487"/>
      <c r="X402" s="6871"/>
      <c r="Y402" s="6793"/>
      <c r="Z402" s="6794"/>
      <c r="AA402" s="6795"/>
      <c r="AB402" s="6796"/>
      <c r="AC402" s="6797"/>
      <c r="AD402" s="6798"/>
      <c r="AE402" s="4" t="s">
        <v>1</v>
      </c>
      <c r="AF402" s="6202" t="str">
        <f t="shared" si="143"/>
        <v>►</v>
      </c>
      <c r="AG402" s="6234" t="str">
        <f t="shared" si="144"/>
        <v/>
      </c>
      <c r="AH402" s="6732" t="str">
        <f t="shared" si="145"/>
        <v/>
      </c>
      <c r="AI402" s="6234" t="str">
        <f t="shared" si="146"/>
        <v/>
      </c>
      <c r="AJ402" s="6732" t="str">
        <f t="shared" si="147"/>
        <v/>
      </c>
      <c r="AK402" s="6732">
        <f t="shared" si="148"/>
        <v>0</v>
      </c>
      <c r="AL402" s="6230" t="str" cm="1">
        <f t="array" ref="AL402">IF(AF402&lt;&gt;"A","",IFERROR((IFERROR(_xlfn.XLOOKUP(TRIM(SUBSTITUTE(U402,CHAR(160)," ")),$BJ$15:$BJ$62,$BM$15:$BM$62),IFERROR(_xlfn.XLOOKUP(TRIM(SUBSTITUTE(U402,CHAR(160)," ")),$BK$15:$BK$62,$BM$15:$BM$62),_xlfn.XLOOKUP(TRIM(SUBSTITUTE(U402,CHAR(160)," ")),$BL$15:$BL$62,$BM$15:$BM$62))))*T402*IF(ISBLANK(Q402),1,Q402)+IFERROR(_xlfn.XLOOKUP("RECHERCHEX",TRIM(L402:AD402),L402:AD402),0),0))</f>
        <v/>
      </c>
      <c r="AM402" s="6229">
        <f t="shared" si="149"/>
        <v>0</v>
      </c>
      <c r="AN402" s="6857" t="str">
        <f t="shared" si="164"/>
        <v/>
      </c>
      <c r="AO402" s="392">
        <f t="shared" si="150"/>
        <v>0</v>
      </c>
      <c r="AP402" s="392">
        <f t="shared" si="151"/>
        <v>0</v>
      </c>
      <c r="AQ402" s="6190">
        <f t="shared" si="152"/>
        <v>0</v>
      </c>
      <c r="AR402" s="6858" t="str">
        <f t="shared" si="153"/>
        <v/>
      </c>
      <c r="AS402" s="6217"/>
      <c r="AT402" s="6217"/>
      <c r="AU402" s="6271">
        <f t="shared" si="154"/>
        <v>0</v>
      </c>
      <c r="AV402" s="6242">
        <f t="shared" si="155"/>
        <v>0</v>
      </c>
      <c r="AW402" s="6188" cm="1">
        <f t="array" ref="AW402">IF(AK402&lt;&gt;1,0,IF(OR(AU402="",N(AU402)&lt;=0.000000001),"",IF(OR(AO402="",N(AO402)&lt;=0.000000001),0,IF(ISNUMBER(AU402),IFERROR(_xlfn.LET(_xlpm.ai_test,TRIM(AJ402),_xlpm.r,IFERROR(_xlfn.XLOOKUP(_xlpm.ai_test,$BJ$15:$BJ$62,ROW($BJ$15:$BJ$62),0,1),IFERROR(_xlfn.XLOOKUP(_xlpm.ai_test,$BK$15:$BK$62,ROW($BK$15:$BK$62),0,1),_xlfn.XLOOKUP(_xlpm.ai_test,$BL$15:$BL$62,ROW($BL$15:$BL$62),0,1))),_xlpm.p,_xlpm.r-MIN(ROW($BJ$15:$BJ$62))+1,_xlpm.f,INDEX($BM$15:$BM$62,_xlpm.p),_xlpm.u,INDEX($BN$15:$BN$62,_xlpm.p),_xlpm.s,INDEX($BP$15:$BP$62,_xlpm.p),_xlpm.q,N(AU402)/_xlpm.f,IF(_xlpm.q&gt;=_xlpm.s,ROUND(_xlpm.q,1)&amp;" "&amp;_xlpm.ai_test&amp;" = "&amp;ROUND(_xlpm.q*_xlpm.f,1)&amp;" "&amp;_xlpm.u,ROUND(_xlpm.q,1)&amp;" "&amp;_xlpm.ai_test)),""),""))))</f>
        <v>0</v>
      </c>
      <c r="AX402" s="6218"/>
      <c r="AY402" s="6271">
        <f t="shared" si="156"/>
        <v>0</v>
      </c>
      <c r="AZ402" s="6242" t="str">
        <f t="shared" si="157"/>
        <v/>
      </c>
      <c r="BA402" s="6194">
        <f t="shared" si="162"/>
        <v>0</v>
      </c>
      <c r="BB402" s="6192" t="str">
        <f t="shared" si="158"/>
        <v/>
      </c>
      <c r="BC402" s="6219"/>
      <c r="BD402" s="6221">
        <f t="shared" si="163"/>
        <v>0</v>
      </c>
      <c r="BE402" s="6220" t="str">
        <f t="shared" si="159"/>
        <v/>
      </c>
      <c r="BF402" s="4" t="s">
        <v>1</v>
      </c>
      <c r="BG402" s="6196">
        <f t="shared" si="160"/>
        <v>0</v>
      </c>
      <c r="BH402" s="6197">
        <f t="shared" si="161"/>
        <v>0</v>
      </c>
      <c r="BI402"/>
      <c r="BJ402" s="1"/>
      <c r="BK402" s="1"/>
      <c r="BL402" s="1"/>
      <c r="BM402" s="1"/>
      <c r="BN402" s="1"/>
      <c r="BO402" s="1"/>
      <c r="BP402" s="1"/>
      <c r="BQ402" s="1"/>
      <c r="BX402" s="20" t="str">
        <f t="shared" si="165"/>
        <v>►</v>
      </c>
      <c r="BY402" s="2"/>
      <c r="BZ402" s="2"/>
      <c r="CA402" s="2"/>
      <c r="CB402" s="2"/>
      <c r="CC402" s="2"/>
      <c r="DC402" s="5">
        <v>1</v>
      </c>
    </row>
    <row r="403" spans="12:107" ht="21" customHeight="1">
      <c r="L403" s="1021" t="s">
        <v>26</v>
      </c>
      <c r="M403" s="6787"/>
      <c r="N403" s="6787"/>
      <c r="O403" s="6787"/>
      <c r="P403" s="6788"/>
      <c r="Q403" s="6789"/>
      <c r="R403" s="6790"/>
      <c r="S403" s="6786"/>
      <c r="T403" s="6791"/>
      <c r="U403" s="6844"/>
      <c r="V403" s="6791"/>
      <c r="W403" s="8487"/>
      <c r="X403" s="6871"/>
      <c r="Y403" s="6793"/>
      <c r="Z403" s="6794"/>
      <c r="AA403" s="6795"/>
      <c r="AB403" s="6796"/>
      <c r="AC403" s="6797"/>
      <c r="AD403" s="6798"/>
      <c r="AE403" s="4" t="s">
        <v>1</v>
      </c>
      <c r="AF403" s="6202" t="str">
        <f t="shared" si="143"/>
        <v>►</v>
      </c>
      <c r="AG403" s="6234" t="str">
        <f t="shared" si="144"/>
        <v/>
      </c>
      <c r="AH403" s="6732" t="str">
        <f t="shared" si="145"/>
        <v/>
      </c>
      <c r="AI403" s="6234" t="str">
        <f t="shared" si="146"/>
        <v/>
      </c>
      <c r="AJ403" s="6732" t="str">
        <f t="shared" si="147"/>
        <v/>
      </c>
      <c r="AK403" s="6732">
        <f t="shared" si="148"/>
        <v>0</v>
      </c>
      <c r="AL403" s="6230" t="str" cm="1">
        <f t="array" ref="AL403">IF(AF403&lt;&gt;"A","",IFERROR((IFERROR(_xlfn.XLOOKUP(TRIM(SUBSTITUTE(U403,CHAR(160)," ")),$BJ$15:$BJ$62,$BM$15:$BM$62),IFERROR(_xlfn.XLOOKUP(TRIM(SUBSTITUTE(U403,CHAR(160)," ")),$BK$15:$BK$62,$BM$15:$BM$62),_xlfn.XLOOKUP(TRIM(SUBSTITUTE(U403,CHAR(160)," ")),$BL$15:$BL$62,$BM$15:$BM$62))))*T403*IF(ISBLANK(Q403),1,Q403)+IFERROR(_xlfn.XLOOKUP("RECHERCHEX",TRIM(L403:AD403),L403:AD403),0),0))</f>
        <v/>
      </c>
      <c r="AM403" s="6229">
        <f t="shared" si="149"/>
        <v>0</v>
      </c>
      <c r="AN403" s="6857" t="str">
        <f t="shared" si="164"/>
        <v/>
      </c>
      <c r="AO403" s="392">
        <f t="shared" si="150"/>
        <v>0</v>
      </c>
      <c r="AP403" s="392">
        <f t="shared" si="151"/>
        <v>0</v>
      </c>
      <c r="AQ403" s="6191">
        <f t="shared" si="152"/>
        <v>0</v>
      </c>
      <c r="AR403" s="6859" t="str">
        <f t="shared" si="153"/>
        <v/>
      </c>
      <c r="AS403" s="6217"/>
      <c r="AT403" s="6217"/>
      <c r="AU403" s="6272">
        <f t="shared" si="154"/>
        <v>0</v>
      </c>
      <c r="AV403" s="6240">
        <f t="shared" si="155"/>
        <v>0</v>
      </c>
      <c r="AW403" s="6189" cm="1">
        <f t="array" ref="AW403">IF(AK403&lt;&gt;1,0,IF(OR(AU403="",N(AU403)&lt;=0.000000001),"",IF(OR(AO403="",N(AO403)&lt;=0.000000001),0,IF(ISNUMBER(AU403),IFERROR(_xlfn.LET(_xlpm.ai_test,TRIM(AJ403),_xlpm.r,IFERROR(_xlfn.XLOOKUP(_xlpm.ai_test,$BJ$15:$BJ$62,ROW($BJ$15:$BJ$62),0,1),IFERROR(_xlfn.XLOOKUP(_xlpm.ai_test,$BK$15:$BK$62,ROW($BK$15:$BK$62),0,1),_xlfn.XLOOKUP(_xlpm.ai_test,$BL$15:$BL$62,ROW($BL$15:$BL$62),0,1))),_xlpm.p,_xlpm.r-MIN(ROW($BJ$15:$BJ$62))+1,_xlpm.f,INDEX($BM$15:$BM$62,_xlpm.p),_xlpm.u,INDEX($BN$15:$BN$62,_xlpm.p),_xlpm.s,INDEX($BP$15:$BP$62,_xlpm.p),_xlpm.q,N(AU403)/_xlpm.f,IF(_xlpm.q&gt;=_xlpm.s,ROUND(_xlpm.q,1)&amp;" "&amp;_xlpm.ai_test&amp;" = "&amp;ROUND(_xlpm.q*_xlpm.f,1)&amp;" "&amp;_xlpm.u,ROUND(_xlpm.q,1)&amp;" "&amp;_xlpm.ai_test)),""),""))))</f>
        <v>0</v>
      </c>
      <c r="AX403" s="6218"/>
      <c r="AY403" s="6272">
        <f t="shared" si="156"/>
        <v>0</v>
      </c>
      <c r="AZ403" s="6240" t="str">
        <f t="shared" si="157"/>
        <v/>
      </c>
      <c r="BA403" s="6195">
        <f t="shared" si="162"/>
        <v>0</v>
      </c>
      <c r="BB403" s="6193" t="str">
        <f t="shared" si="158"/>
        <v/>
      </c>
      <c r="BC403" s="6219"/>
      <c r="BD403" s="6222">
        <f t="shared" si="163"/>
        <v>0</v>
      </c>
      <c r="BE403" s="6220" t="str">
        <f t="shared" si="159"/>
        <v/>
      </c>
      <c r="BF403" s="4" t="s">
        <v>1</v>
      </c>
      <c r="BG403" s="6196">
        <f t="shared" si="160"/>
        <v>0</v>
      </c>
      <c r="BH403" s="6197">
        <f t="shared" si="161"/>
        <v>0</v>
      </c>
      <c r="BI403"/>
      <c r="BJ403" s="1"/>
      <c r="BK403" s="1"/>
      <c r="BL403" s="1"/>
      <c r="BM403" s="1"/>
      <c r="BN403" s="1"/>
      <c r="BO403" s="1"/>
      <c r="BP403" s="1"/>
      <c r="BQ403" s="1"/>
      <c r="BX403" s="20" t="str">
        <f t="shared" si="165"/>
        <v>►</v>
      </c>
      <c r="BY403" s="2"/>
      <c r="BZ403" s="2"/>
      <c r="CA403" s="2"/>
      <c r="CB403" s="2"/>
      <c r="CC403" s="2"/>
      <c r="DC403" s="5">
        <v>1</v>
      </c>
    </row>
    <row r="404" spans="12:107" ht="21" customHeight="1">
      <c r="L404" s="1021" t="s">
        <v>26</v>
      </c>
      <c r="M404" s="6787"/>
      <c r="N404" s="6787"/>
      <c r="O404" s="6787"/>
      <c r="P404" s="6788"/>
      <c r="Q404" s="6789"/>
      <c r="R404" s="6790"/>
      <c r="S404" s="6786"/>
      <c r="T404" s="6791"/>
      <c r="U404" s="6844"/>
      <c r="V404" s="6791"/>
      <c r="W404" s="8487"/>
      <c r="X404" s="6871"/>
      <c r="Y404" s="6793"/>
      <c r="Z404" s="6794"/>
      <c r="AA404" s="6795"/>
      <c r="AB404" s="6796"/>
      <c r="AC404" s="6797"/>
      <c r="AD404" s="6798"/>
      <c r="AE404" s="4" t="s">
        <v>1</v>
      </c>
      <c r="AF404" s="6202" t="str">
        <f t="shared" si="143"/>
        <v>►</v>
      </c>
      <c r="AG404" s="6234" t="str">
        <f t="shared" si="144"/>
        <v/>
      </c>
      <c r="AH404" s="6732" t="str">
        <f t="shared" si="145"/>
        <v/>
      </c>
      <c r="AI404" s="6234" t="str">
        <f t="shared" si="146"/>
        <v/>
      </c>
      <c r="AJ404" s="6732" t="str">
        <f t="shared" si="147"/>
        <v/>
      </c>
      <c r="AK404" s="6732">
        <f t="shared" si="148"/>
        <v>0</v>
      </c>
      <c r="AL404" s="6230" t="str" cm="1">
        <f t="array" ref="AL404">IF(AF404&lt;&gt;"A","",IFERROR((IFERROR(_xlfn.XLOOKUP(TRIM(SUBSTITUTE(U404,CHAR(160)," ")),$BJ$15:$BJ$62,$BM$15:$BM$62),IFERROR(_xlfn.XLOOKUP(TRIM(SUBSTITUTE(U404,CHAR(160)," ")),$BK$15:$BK$62,$BM$15:$BM$62),_xlfn.XLOOKUP(TRIM(SUBSTITUTE(U404,CHAR(160)," ")),$BL$15:$BL$62,$BM$15:$BM$62))))*T404*IF(ISBLANK(Q404),1,Q404)+IFERROR(_xlfn.XLOOKUP("RECHERCHEX",TRIM(L404:AD404),L404:AD404),0),0))</f>
        <v/>
      </c>
      <c r="AM404" s="6229">
        <f t="shared" si="149"/>
        <v>0</v>
      </c>
      <c r="AN404" s="6857" t="str">
        <f t="shared" si="164"/>
        <v/>
      </c>
      <c r="AO404" s="392">
        <f t="shared" si="150"/>
        <v>0</v>
      </c>
      <c r="AP404" s="392">
        <f t="shared" si="151"/>
        <v>0</v>
      </c>
      <c r="AQ404" s="6190">
        <f t="shared" si="152"/>
        <v>0</v>
      </c>
      <c r="AR404" s="6858" t="str">
        <f t="shared" si="153"/>
        <v/>
      </c>
      <c r="AS404" s="6217"/>
      <c r="AT404" s="6217"/>
      <c r="AU404" s="6271">
        <f t="shared" si="154"/>
        <v>0</v>
      </c>
      <c r="AV404" s="6242">
        <f t="shared" si="155"/>
        <v>0</v>
      </c>
      <c r="AW404" s="6188" cm="1">
        <f t="array" ref="AW404">IF(AK404&lt;&gt;1,0,IF(OR(AU404="",N(AU404)&lt;=0.000000001),"",IF(OR(AO404="",N(AO404)&lt;=0.000000001),0,IF(ISNUMBER(AU404),IFERROR(_xlfn.LET(_xlpm.ai_test,TRIM(AJ404),_xlpm.r,IFERROR(_xlfn.XLOOKUP(_xlpm.ai_test,$BJ$15:$BJ$62,ROW($BJ$15:$BJ$62),0,1),IFERROR(_xlfn.XLOOKUP(_xlpm.ai_test,$BK$15:$BK$62,ROW($BK$15:$BK$62),0,1),_xlfn.XLOOKUP(_xlpm.ai_test,$BL$15:$BL$62,ROW($BL$15:$BL$62),0,1))),_xlpm.p,_xlpm.r-MIN(ROW($BJ$15:$BJ$62))+1,_xlpm.f,INDEX($BM$15:$BM$62,_xlpm.p),_xlpm.u,INDEX($BN$15:$BN$62,_xlpm.p),_xlpm.s,INDEX($BP$15:$BP$62,_xlpm.p),_xlpm.q,N(AU404)/_xlpm.f,IF(_xlpm.q&gt;=_xlpm.s,ROUND(_xlpm.q,1)&amp;" "&amp;_xlpm.ai_test&amp;" = "&amp;ROUND(_xlpm.q*_xlpm.f,1)&amp;" "&amp;_xlpm.u,ROUND(_xlpm.q,1)&amp;" "&amp;_xlpm.ai_test)),""),""))))</f>
        <v>0</v>
      </c>
      <c r="AX404" s="6218"/>
      <c r="AY404" s="6271">
        <f t="shared" si="156"/>
        <v>0</v>
      </c>
      <c r="AZ404" s="6242" t="str">
        <f t="shared" si="157"/>
        <v/>
      </c>
      <c r="BA404" s="6194">
        <f t="shared" si="162"/>
        <v>0</v>
      </c>
      <c r="BB404" s="6192" t="str">
        <f t="shared" si="158"/>
        <v/>
      </c>
      <c r="BC404" s="6219"/>
      <c r="BD404" s="6221">
        <f t="shared" si="163"/>
        <v>0</v>
      </c>
      <c r="BE404" s="6220" t="str">
        <f t="shared" si="159"/>
        <v/>
      </c>
      <c r="BF404" s="4" t="s">
        <v>1</v>
      </c>
      <c r="BG404" s="6196">
        <f t="shared" si="160"/>
        <v>0</v>
      </c>
      <c r="BH404" s="6197">
        <f t="shared" si="161"/>
        <v>0</v>
      </c>
      <c r="BI404"/>
      <c r="BJ404" s="1"/>
      <c r="BK404" s="1"/>
      <c r="BL404" s="1"/>
      <c r="BM404" s="1"/>
      <c r="BN404" s="1"/>
      <c r="BO404" s="1"/>
      <c r="BP404" s="1"/>
      <c r="BQ404" s="1"/>
      <c r="BX404" s="20" t="str">
        <f t="shared" si="165"/>
        <v>►</v>
      </c>
      <c r="BY404" s="2"/>
      <c r="BZ404" s="2"/>
      <c r="CA404" s="2"/>
      <c r="CB404" s="2"/>
      <c r="CC404" s="2"/>
      <c r="DC404" s="5">
        <v>1</v>
      </c>
    </row>
    <row r="405" spans="12:107" ht="21" customHeight="1">
      <c r="L405" s="1021" t="s">
        <v>26</v>
      </c>
      <c r="M405" s="6787"/>
      <c r="N405" s="6787"/>
      <c r="O405" s="6787"/>
      <c r="P405" s="6788"/>
      <c r="Q405" s="6789"/>
      <c r="R405" s="6790"/>
      <c r="S405" s="6786"/>
      <c r="T405" s="6791"/>
      <c r="U405" s="6844"/>
      <c r="V405" s="6791"/>
      <c r="W405" s="8487"/>
      <c r="X405" s="6871"/>
      <c r="Y405" s="6793"/>
      <c r="Z405" s="6794"/>
      <c r="AA405" s="6795"/>
      <c r="AB405" s="6796"/>
      <c r="AC405" s="6797"/>
      <c r="AD405" s="6798"/>
      <c r="AE405" s="4" t="s">
        <v>1</v>
      </c>
      <c r="AF405" s="6202" t="str">
        <f t="shared" si="143"/>
        <v>►</v>
      </c>
      <c r="AG405" s="6234" t="str">
        <f t="shared" si="144"/>
        <v/>
      </c>
      <c r="AH405" s="6732" t="str">
        <f t="shared" si="145"/>
        <v/>
      </c>
      <c r="AI405" s="6234" t="str">
        <f t="shared" si="146"/>
        <v/>
      </c>
      <c r="AJ405" s="6732" t="str">
        <f t="shared" si="147"/>
        <v/>
      </c>
      <c r="AK405" s="6732">
        <f t="shared" si="148"/>
        <v>0</v>
      </c>
      <c r="AL405" s="6230" t="str" cm="1">
        <f t="array" ref="AL405">IF(AF405&lt;&gt;"A","",IFERROR((IFERROR(_xlfn.XLOOKUP(TRIM(SUBSTITUTE(U405,CHAR(160)," ")),$BJ$15:$BJ$62,$BM$15:$BM$62),IFERROR(_xlfn.XLOOKUP(TRIM(SUBSTITUTE(U405,CHAR(160)," ")),$BK$15:$BK$62,$BM$15:$BM$62),_xlfn.XLOOKUP(TRIM(SUBSTITUTE(U405,CHAR(160)," ")),$BL$15:$BL$62,$BM$15:$BM$62))))*T405*IF(ISBLANK(Q405),1,Q405)+IFERROR(_xlfn.XLOOKUP("RECHERCHEX",TRIM(L405:AD405),L405:AD405),0),0))</f>
        <v/>
      </c>
      <c r="AM405" s="6229">
        <f t="shared" si="149"/>
        <v>0</v>
      </c>
      <c r="AN405" s="6857" t="str">
        <f t="shared" si="164"/>
        <v/>
      </c>
      <c r="AO405" s="392">
        <f t="shared" si="150"/>
        <v>0</v>
      </c>
      <c r="AP405" s="392">
        <f t="shared" si="151"/>
        <v>0</v>
      </c>
      <c r="AQ405" s="6191">
        <f t="shared" si="152"/>
        <v>0</v>
      </c>
      <c r="AR405" s="6859" t="str">
        <f t="shared" si="153"/>
        <v/>
      </c>
      <c r="AS405" s="6217"/>
      <c r="AT405" s="6217"/>
      <c r="AU405" s="6272">
        <f t="shared" si="154"/>
        <v>0</v>
      </c>
      <c r="AV405" s="6240">
        <f t="shared" si="155"/>
        <v>0</v>
      </c>
      <c r="AW405" s="6189" cm="1">
        <f t="array" ref="AW405">IF(AK405&lt;&gt;1,0,IF(OR(AU405="",N(AU405)&lt;=0.000000001),"",IF(OR(AO405="",N(AO405)&lt;=0.000000001),0,IF(ISNUMBER(AU405),IFERROR(_xlfn.LET(_xlpm.ai_test,TRIM(AJ405),_xlpm.r,IFERROR(_xlfn.XLOOKUP(_xlpm.ai_test,$BJ$15:$BJ$62,ROW($BJ$15:$BJ$62),0,1),IFERROR(_xlfn.XLOOKUP(_xlpm.ai_test,$BK$15:$BK$62,ROW($BK$15:$BK$62),0,1),_xlfn.XLOOKUP(_xlpm.ai_test,$BL$15:$BL$62,ROW($BL$15:$BL$62),0,1))),_xlpm.p,_xlpm.r-MIN(ROW($BJ$15:$BJ$62))+1,_xlpm.f,INDEX($BM$15:$BM$62,_xlpm.p),_xlpm.u,INDEX($BN$15:$BN$62,_xlpm.p),_xlpm.s,INDEX($BP$15:$BP$62,_xlpm.p),_xlpm.q,N(AU405)/_xlpm.f,IF(_xlpm.q&gt;=_xlpm.s,ROUND(_xlpm.q,1)&amp;" "&amp;_xlpm.ai_test&amp;" = "&amp;ROUND(_xlpm.q*_xlpm.f,1)&amp;" "&amp;_xlpm.u,ROUND(_xlpm.q,1)&amp;" "&amp;_xlpm.ai_test)),""),""))))</f>
        <v>0</v>
      </c>
      <c r="AX405" s="6218"/>
      <c r="AY405" s="6272">
        <f t="shared" si="156"/>
        <v>0</v>
      </c>
      <c r="AZ405" s="6240" t="str">
        <f t="shared" si="157"/>
        <v/>
      </c>
      <c r="BA405" s="6195">
        <f t="shared" si="162"/>
        <v>0</v>
      </c>
      <c r="BB405" s="6193" t="str">
        <f t="shared" si="158"/>
        <v/>
      </c>
      <c r="BC405" s="6219"/>
      <c r="BD405" s="6222">
        <f t="shared" si="163"/>
        <v>0</v>
      </c>
      <c r="BE405" s="6220" t="str">
        <f t="shared" si="159"/>
        <v/>
      </c>
      <c r="BF405" s="4" t="s">
        <v>1</v>
      </c>
      <c r="BG405" s="6196">
        <f t="shared" si="160"/>
        <v>0</v>
      </c>
      <c r="BH405" s="6197">
        <f t="shared" si="161"/>
        <v>0</v>
      </c>
      <c r="BI405"/>
      <c r="BJ405" s="1"/>
      <c r="BK405" s="1"/>
      <c r="BL405" s="1"/>
      <c r="BM405" s="1"/>
      <c r="BN405" s="1"/>
      <c r="BO405" s="1"/>
      <c r="BP405" s="1"/>
      <c r="BQ405" s="1"/>
      <c r="BX405" s="20" t="str">
        <f t="shared" si="165"/>
        <v>►</v>
      </c>
      <c r="BY405" s="2"/>
      <c r="BZ405" s="2"/>
      <c r="CA405" s="2"/>
      <c r="CB405" s="2"/>
      <c r="CC405" s="2"/>
      <c r="DC405" s="5">
        <v>1</v>
      </c>
    </row>
    <row r="406" spans="12:107" ht="21" customHeight="1">
      <c r="L406" s="1021" t="s">
        <v>26</v>
      </c>
      <c r="M406" s="6787"/>
      <c r="N406" s="6787"/>
      <c r="O406" s="6787"/>
      <c r="P406" s="6788"/>
      <c r="Q406" s="6789"/>
      <c r="R406" s="6790"/>
      <c r="S406" s="6786"/>
      <c r="T406" s="6791"/>
      <c r="U406" s="6844"/>
      <c r="V406" s="6791"/>
      <c r="W406" s="8487"/>
      <c r="X406" s="6871"/>
      <c r="Y406" s="6793"/>
      <c r="Z406" s="6794"/>
      <c r="AA406" s="6795"/>
      <c r="AB406" s="6796"/>
      <c r="AC406" s="6797"/>
      <c r="AD406" s="6798"/>
      <c r="AE406" s="4" t="s">
        <v>1</v>
      </c>
      <c r="AF406" s="6202" t="str">
        <f t="shared" ref="AF406:AF469" si="166">IF(OR(AO406&gt;0,TRIM(AG406)="▼ recette suivante"),"A","►")</f>
        <v>►</v>
      </c>
      <c r="AG406" s="6234" t="str">
        <f t="shared" ref="AG406:AG469" si="167">IF(TRIM(Q406)="Adresse PC","▼ recette suivante",IF(AO406&gt;0,M406,""))</f>
        <v/>
      </c>
      <c r="AH406" s="6732" t="str">
        <f t="shared" ref="AH406:AH469" si="168">IF(AF406="A",N406,"")</f>
        <v/>
      </c>
      <c r="AI406" s="6234" t="str">
        <f t="shared" ref="AI406:AI469" si="169">IF(AF406="A",O406,"")</f>
        <v/>
      </c>
      <c r="AJ406" s="6732" t="str">
        <f t="shared" ref="AJ406:AJ469" si="170">IF(AF406="A",U406,"")</f>
        <v/>
      </c>
      <c r="AK406" s="6732">
        <f t="shared" ref="AK406:AK469" si="171">IF(AND(L406="A",COUNTIF($BJ$15:$BL$62,TRIM(U406))&gt;0),1,0)</f>
        <v>0</v>
      </c>
      <c r="AL406" s="6230" t="str" cm="1">
        <f t="array" ref="AL406">IF(AF406&lt;&gt;"A","",IFERROR((IFERROR(_xlfn.XLOOKUP(TRIM(SUBSTITUTE(U406,CHAR(160)," ")),$BJ$15:$BJ$62,$BM$15:$BM$62),IFERROR(_xlfn.XLOOKUP(TRIM(SUBSTITUTE(U406,CHAR(160)," ")),$BK$15:$BK$62,$BM$15:$BM$62),_xlfn.XLOOKUP(TRIM(SUBSTITUTE(U406,CHAR(160)," ")),$BL$15:$BL$62,$BM$15:$BM$62))))*T406*IF(ISBLANK(Q406),1,Q406)+IFERROR(_xlfn.XLOOKUP("RECHERCHEX",TRIM(L406:AD406),L406:AD406),0),0))</f>
        <v/>
      </c>
      <c r="AM406" s="6229">
        <f t="shared" ref="AM406:AM469" si="172">IF(AK406,IF(AL406&gt;0,"Kg",0),0)</f>
        <v>0</v>
      </c>
      <c r="AN406" s="6857" t="str">
        <f t="shared" si="164"/>
        <v/>
      </c>
      <c r="AO406" s="392">
        <f t="shared" ref="AO406:AO469" si="173">IF(AK406,N406,0)</f>
        <v>0</v>
      </c>
      <c r="AP406" s="392">
        <f t="shared" ref="AP406:AP469" si="174">IF(AK406,O406,0)</f>
        <v>0</v>
      </c>
      <c r="AQ406" s="6190">
        <f t="shared" ref="AQ406:AQ469" si="175">IF(AO406&gt;0,AS$9,0)</f>
        <v>0</v>
      </c>
      <c r="AR406" s="6858" t="str">
        <f t="shared" ref="AR406:AR469" si="176">IF(TRIM(AG406)="▼ recette suivante", AG406, IF(AQ406&gt;0, IF(AT$9&lt;&gt;"", AT$9&amp;"-ou.or.o ❾ + or - &gt;", ""), ""))</f>
        <v/>
      </c>
      <c r="AS406" s="6217"/>
      <c r="AT406" s="6217"/>
      <c r="AU406" s="6271">
        <f t="shared" ref="AU406:AU469" si="177">IF(TRIM(AM406)="Kg",N(AL406)*N(BH406),0)</f>
        <v>0</v>
      </c>
      <c r="AV406" s="6242">
        <f t="shared" ref="AV406:AV469" si="178">IF(AK406,IF(OR(AU406="",N(AU406)&lt;=0.000000001),"",_xlfn.XLOOKUP(AJ406,$BJ$15:$BJ$62,$BN$15:$BN$62,_xlfn.XLOOKUP(AJ406,$BK$15:$BK$62,$BN$15:$BN$62,_xlfn.XLOOKUP(AJ406,$BL$15:$BL$62,$BN$15:$BN$62,"")))),0)</f>
        <v>0</v>
      </c>
      <c r="AW406" s="6188" cm="1">
        <f t="array" ref="AW406">IF(AK406&lt;&gt;1,0,IF(OR(AU406="",N(AU406)&lt;=0.000000001),"",IF(OR(AO406="",N(AO406)&lt;=0.000000001),0,IF(ISNUMBER(AU406),IFERROR(_xlfn.LET(_xlpm.ai_test,TRIM(AJ406),_xlpm.r,IFERROR(_xlfn.XLOOKUP(_xlpm.ai_test,$BJ$15:$BJ$62,ROW($BJ$15:$BJ$62),0,1),IFERROR(_xlfn.XLOOKUP(_xlpm.ai_test,$BK$15:$BK$62,ROW($BK$15:$BK$62),0,1),_xlfn.XLOOKUP(_xlpm.ai_test,$BL$15:$BL$62,ROW($BL$15:$BL$62),0,1))),_xlpm.p,_xlpm.r-MIN(ROW($BJ$15:$BJ$62))+1,_xlpm.f,INDEX($BM$15:$BM$62,_xlpm.p),_xlpm.u,INDEX($BN$15:$BN$62,_xlpm.p),_xlpm.s,INDEX($BP$15:$BP$62,_xlpm.p),_xlpm.q,N(AU406)/_xlpm.f,IF(_xlpm.q&gt;=_xlpm.s,ROUND(_xlpm.q,1)&amp;" "&amp;_xlpm.ai_test&amp;" = "&amp;ROUND(_xlpm.q*_xlpm.f,1)&amp;" "&amp;_xlpm.u,ROUND(_xlpm.q,1)&amp;" "&amp;_xlpm.ai_test)),""),""))))</f>
        <v>0</v>
      </c>
      <c r="AX406" s="6218"/>
      <c r="AY406" s="6271">
        <f t="shared" ref="AY406:AY469" si="179">IF(TRIM(AG406)="▼ recette suivante","▼next recipe ",IF(AU406="","",IF(ISBLANK(AX406),AU406,ROUND(AU406*(1-MIN(1,MAX(0,IF(AX406&gt;1,AX406/100,AX406)))),3))))</f>
        <v>0</v>
      </c>
      <c r="AZ406" s="6242" t="str">
        <f t="shared" ref="AZ406:AZ469" si="180">IF(AK406,AV406,"")</f>
        <v/>
      </c>
      <c r="BA406" s="6194">
        <f t="shared" si="162"/>
        <v>0</v>
      </c>
      <c r="BB406" s="6192" t="str">
        <f t="shared" ref="BB406:BB469" si="181">IF(AK406,IF(N(BA406)&gt;0.000000001,R406,""),"")</f>
        <v/>
      </c>
      <c r="BC406" s="6219"/>
      <c r="BD406" s="6221">
        <f t="shared" si="163"/>
        <v>0</v>
      </c>
      <c r="BE406" s="6220" t="str">
        <f t="shared" ref="BE406:BE469" si="182">IF(IFERROR(SEARCH("Adresse PC",TRIM(Q406)),0)&gt;0,"▼ receta siguiente",IF(AY406&gt;0,W406,""))</f>
        <v/>
      </c>
      <c r="BF406" s="4" t="s">
        <v>1</v>
      </c>
      <c r="BG406" s="6196">
        <f t="shared" ref="BG406:BG469" si="183">IFERROR(_xlfn.LET(_xlpm.EPS,0.000000001,_xlpm.b,Q406/AO406,IF(ISNUMBER(AS406),_xlpm.b*AS406,IF(OR(ISBLANK(AS406),AS406=""),_xlpm.b*AQ406,IF(AND(BH406=0,ISNUMBER(Q406)),_xlpm.b/AQ406,0)))),0)</f>
        <v>0</v>
      </c>
      <c r="BH406" s="6197">
        <f t="shared" ref="BH406:BH469" si="184">IF(AL406&gt;0,IFERROR(IF(OR(ISBLANK(AS406),AS406=""),AQ406,AS406)/AO406,0),0)</f>
        <v>0</v>
      </c>
      <c r="BI406"/>
      <c r="BJ406" s="1"/>
      <c r="BK406" s="1"/>
      <c r="BL406" s="1"/>
      <c r="BM406" s="1"/>
      <c r="BN406" s="1"/>
      <c r="BO406" s="1"/>
      <c r="BP406" s="1"/>
      <c r="BQ406" s="1"/>
      <c r="BX406" s="20" t="str">
        <f t="shared" si="165"/>
        <v>►</v>
      </c>
      <c r="BY406" s="2"/>
      <c r="BZ406" s="2"/>
      <c r="CA406" s="2"/>
      <c r="CB406" s="2"/>
      <c r="CC406" s="2"/>
      <c r="DC406" s="5">
        <v>1</v>
      </c>
    </row>
    <row r="407" spans="12:107" ht="21" customHeight="1">
      <c r="L407" s="1021" t="s">
        <v>26</v>
      </c>
      <c r="M407" s="6787"/>
      <c r="N407" s="6787"/>
      <c r="O407" s="6787"/>
      <c r="P407" s="6788"/>
      <c r="Q407" s="6789"/>
      <c r="R407" s="6790"/>
      <c r="S407" s="6786"/>
      <c r="T407" s="6791"/>
      <c r="U407" s="6844"/>
      <c r="V407" s="6791"/>
      <c r="W407" s="8487"/>
      <c r="X407" s="6871"/>
      <c r="Y407" s="6793"/>
      <c r="Z407" s="6794"/>
      <c r="AA407" s="6795"/>
      <c r="AB407" s="6796"/>
      <c r="AC407" s="6797"/>
      <c r="AD407" s="6798"/>
      <c r="AE407" s="4" t="s">
        <v>1</v>
      </c>
      <c r="AF407" s="6202" t="str">
        <f t="shared" si="166"/>
        <v>►</v>
      </c>
      <c r="AG407" s="6234" t="str">
        <f t="shared" si="167"/>
        <v/>
      </c>
      <c r="AH407" s="6732" t="str">
        <f t="shared" si="168"/>
        <v/>
      </c>
      <c r="AI407" s="6234" t="str">
        <f t="shared" si="169"/>
        <v/>
      </c>
      <c r="AJ407" s="6732" t="str">
        <f t="shared" si="170"/>
        <v/>
      </c>
      <c r="AK407" s="6732">
        <f t="shared" si="171"/>
        <v>0</v>
      </c>
      <c r="AL407" s="6230" t="str" cm="1">
        <f t="array" ref="AL407">IF(AF407&lt;&gt;"A","",IFERROR((IFERROR(_xlfn.XLOOKUP(TRIM(SUBSTITUTE(U407,CHAR(160)," ")),$BJ$15:$BJ$62,$BM$15:$BM$62),IFERROR(_xlfn.XLOOKUP(TRIM(SUBSTITUTE(U407,CHAR(160)," ")),$BK$15:$BK$62,$BM$15:$BM$62),_xlfn.XLOOKUP(TRIM(SUBSTITUTE(U407,CHAR(160)," ")),$BL$15:$BL$62,$BM$15:$BM$62))))*T407*IF(ISBLANK(Q407),1,Q407)+IFERROR(_xlfn.XLOOKUP("RECHERCHEX",TRIM(L407:AD407),L407:AD407),0),0))</f>
        <v/>
      </c>
      <c r="AM407" s="6229">
        <f t="shared" si="172"/>
        <v>0</v>
      </c>
      <c r="AN407" s="6857" t="str">
        <f t="shared" si="164"/>
        <v/>
      </c>
      <c r="AO407" s="392">
        <f t="shared" si="173"/>
        <v>0</v>
      </c>
      <c r="AP407" s="392">
        <f t="shared" si="174"/>
        <v>0</v>
      </c>
      <c r="AQ407" s="6191">
        <f t="shared" si="175"/>
        <v>0</v>
      </c>
      <c r="AR407" s="6859" t="str">
        <f t="shared" si="176"/>
        <v/>
      </c>
      <c r="AS407" s="6217"/>
      <c r="AT407" s="6217"/>
      <c r="AU407" s="6272">
        <f t="shared" si="177"/>
        <v>0</v>
      </c>
      <c r="AV407" s="6240">
        <f t="shared" si="178"/>
        <v>0</v>
      </c>
      <c r="AW407" s="6189" cm="1">
        <f t="array" ref="AW407">IF(AK407&lt;&gt;1,0,IF(OR(AU407="",N(AU407)&lt;=0.000000001),"",IF(OR(AO407="",N(AO407)&lt;=0.000000001),0,IF(ISNUMBER(AU407),IFERROR(_xlfn.LET(_xlpm.ai_test,TRIM(AJ407),_xlpm.r,IFERROR(_xlfn.XLOOKUP(_xlpm.ai_test,$BJ$15:$BJ$62,ROW($BJ$15:$BJ$62),0,1),IFERROR(_xlfn.XLOOKUP(_xlpm.ai_test,$BK$15:$BK$62,ROW($BK$15:$BK$62),0,1),_xlfn.XLOOKUP(_xlpm.ai_test,$BL$15:$BL$62,ROW($BL$15:$BL$62),0,1))),_xlpm.p,_xlpm.r-MIN(ROW($BJ$15:$BJ$62))+1,_xlpm.f,INDEX($BM$15:$BM$62,_xlpm.p),_xlpm.u,INDEX($BN$15:$BN$62,_xlpm.p),_xlpm.s,INDEX($BP$15:$BP$62,_xlpm.p),_xlpm.q,N(AU407)/_xlpm.f,IF(_xlpm.q&gt;=_xlpm.s,ROUND(_xlpm.q,1)&amp;" "&amp;_xlpm.ai_test&amp;" = "&amp;ROUND(_xlpm.q*_xlpm.f,1)&amp;" "&amp;_xlpm.u,ROUND(_xlpm.q,1)&amp;" "&amp;_xlpm.ai_test)),""),""))))</f>
        <v>0</v>
      </c>
      <c r="AX407" s="6218"/>
      <c r="AY407" s="6272">
        <f t="shared" si="179"/>
        <v>0</v>
      </c>
      <c r="AZ407" s="6240" t="str">
        <f t="shared" si="180"/>
        <v/>
      </c>
      <c r="BA407" s="6195">
        <f t="shared" ref="BA407:BA470" si="185">IF(ISNUMBER(BG407),IF(ABS(BG407)&lt;=0.000000001,0,BG407),0)</f>
        <v>0</v>
      </c>
      <c r="BB407" s="6193" t="str">
        <f t="shared" si="181"/>
        <v/>
      </c>
      <c r="BC407" s="6219"/>
      <c r="BD407" s="6222">
        <f t="shared" si="163"/>
        <v>0</v>
      </c>
      <c r="BE407" s="6220" t="str">
        <f t="shared" si="182"/>
        <v/>
      </c>
      <c r="BF407" s="4" t="s">
        <v>1</v>
      </c>
      <c r="BG407" s="6196">
        <f t="shared" si="183"/>
        <v>0</v>
      </c>
      <c r="BH407" s="6197">
        <f t="shared" si="184"/>
        <v>0</v>
      </c>
      <c r="BI407"/>
      <c r="BJ407" s="1"/>
      <c r="BK407" s="1"/>
      <c r="BL407" s="1"/>
      <c r="BM407" s="1"/>
      <c r="BN407" s="1"/>
      <c r="BO407" s="1"/>
      <c r="BP407" s="1"/>
      <c r="BQ407" s="1"/>
      <c r="BX407" s="20" t="str">
        <f t="shared" si="165"/>
        <v>►</v>
      </c>
      <c r="BY407" s="2"/>
      <c r="BZ407" s="2"/>
      <c r="CA407" s="2"/>
      <c r="CB407" s="2"/>
      <c r="CC407" s="2"/>
      <c r="DC407" s="5">
        <v>1</v>
      </c>
    </row>
    <row r="408" spans="12:107" ht="21" customHeight="1">
      <c r="L408" s="1021" t="s">
        <v>26</v>
      </c>
      <c r="M408" s="6787"/>
      <c r="N408" s="6787"/>
      <c r="O408" s="6787"/>
      <c r="P408" s="6788"/>
      <c r="Q408" s="6789"/>
      <c r="R408" s="6790"/>
      <c r="S408" s="6786"/>
      <c r="T408" s="6791"/>
      <c r="U408" s="6844"/>
      <c r="V408" s="6791"/>
      <c r="W408" s="8487"/>
      <c r="X408" s="6871"/>
      <c r="Y408" s="6793"/>
      <c r="Z408" s="6794"/>
      <c r="AA408" s="6795"/>
      <c r="AB408" s="6796"/>
      <c r="AC408" s="6797"/>
      <c r="AD408" s="6798"/>
      <c r="AE408" s="4" t="s">
        <v>1</v>
      </c>
      <c r="AF408" s="6202" t="str">
        <f t="shared" si="166"/>
        <v>►</v>
      </c>
      <c r="AG408" s="6234" t="str">
        <f t="shared" si="167"/>
        <v/>
      </c>
      <c r="AH408" s="6732" t="str">
        <f t="shared" si="168"/>
        <v/>
      </c>
      <c r="AI408" s="6234" t="str">
        <f t="shared" si="169"/>
        <v/>
      </c>
      <c r="AJ408" s="6732" t="str">
        <f t="shared" si="170"/>
        <v/>
      </c>
      <c r="AK408" s="6732">
        <f t="shared" si="171"/>
        <v>0</v>
      </c>
      <c r="AL408" s="6230" t="str" cm="1">
        <f t="array" ref="AL408">IF(AF408&lt;&gt;"A","",IFERROR((IFERROR(_xlfn.XLOOKUP(TRIM(SUBSTITUTE(U408,CHAR(160)," ")),$BJ$15:$BJ$62,$BM$15:$BM$62),IFERROR(_xlfn.XLOOKUP(TRIM(SUBSTITUTE(U408,CHAR(160)," ")),$BK$15:$BK$62,$BM$15:$BM$62),_xlfn.XLOOKUP(TRIM(SUBSTITUTE(U408,CHAR(160)," ")),$BL$15:$BL$62,$BM$15:$BM$62))))*T408*IF(ISBLANK(Q408),1,Q408)+IFERROR(_xlfn.XLOOKUP("RECHERCHEX",TRIM(L408:AD408),L408:AD408),0),0))</f>
        <v/>
      </c>
      <c r="AM408" s="6229">
        <f t="shared" si="172"/>
        <v>0</v>
      </c>
      <c r="AN408" s="6857" t="str">
        <f t="shared" si="164"/>
        <v/>
      </c>
      <c r="AO408" s="392">
        <f t="shared" si="173"/>
        <v>0</v>
      </c>
      <c r="AP408" s="392">
        <f t="shared" si="174"/>
        <v>0</v>
      </c>
      <c r="AQ408" s="6190">
        <f t="shared" si="175"/>
        <v>0</v>
      </c>
      <c r="AR408" s="6858" t="str">
        <f t="shared" si="176"/>
        <v/>
      </c>
      <c r="AS408" s="6217"/>
      <c r="AT408" s="6217"/>
      <c r="AU408" s="6271">
        <f t="shared" si="177"/>
        <v>0</v>
      </c>
      <c r="AV408" s="6242">
        <f t="shared" si="178"/>
        <v>0</v>
      </c>
      <c r="AW408" s="6188" cm="1">
        <f t="array" ref="AW408">IF(AK408&lt;&gt;1,0,IF(OR(AU408="",N(AU408)&lt;=0.000000001),"",IF(OR(AO408="",N(AO408)&lt;=0.000000001),0,IF(ISNUMBER(AU408),IFERROR(_xlfn.LET(_xlpm.ai_test,TRIM(AJ408),_xlpm.r,IFERROR(_xlfn.XLOOKUP(_xlpm.ai_test,$BJ$15:$BJ$62,ROW($BJ$15:$BJ$62),0,1),IFERROR(_xlfn.XLOOKUP(_xlpm.ai_test,$BK$15:$BK$62,ROW($BK$15:$BK$62),0,1),_xlfn.XLOOKUP(_xlpm.ai_test,$BL$15:$BL$62,ROW($BL$15:$BL$62),0,1))),_xlpm.p,_xlpm.r-MIN(ROW($BJ$15:$BJ$62))+1,_xlpm.f,INDEX($BM$15:$BM$62,_xlpm.p),_xlpm.u,INDEX($BN$15:$BN$62,_xlpm.p),_xlpm.s,INDEX($BP$15:$BP$62,_xlpm.p),_xlpm.q,N(AU408)/_xlpm.f,IF(_xlpm.q&gt;=_xlpm.s,ROUND(_xlpm.q,1)&amp;" "&amp;_xlpm.ai_test&amp;" = "&amp;ROUND(_xlpm.q*_xlpm.f,1)&amp;" "&amp;_xlpm.u,ROUND(_xlpm.q,1)&amp;" "&amp;_xlpm.ai_test)),""),""))))</f>
        <v>0</v>
      </c>
      <c r="AX408" s="6218"/>
      <c r="AY408" s="6271">
        <f t="shared" si="179"/>
        <v>0</v>
      </c>
      <c r="AZ408" s="6242" t="str">
        <f t="shared" si="180"/>
        <v/>
      </c>
      <c r="BA408" s="6194">
        <f t="shared" si="185"/>
        <v>0</v>
      </c>
      <c r="BB408" s="6192" t="str">
        <f t="shared" si="181"/>
        <v/>
      </c>
      <c r="BC408" s="6219"/>
      <c r="BD408" s="6221">
        <f t="shared" si="163"/>
        <v>0</v>
      </c>
      <c r="BE408" s="6220" t="str">
        <f t="shared" si="182"/>
        <v/>
      </c>
      <c r="BF408" s="4" t="s">
        <v>1</v>
      </c>
      <c r="BG408" s="6196">
        <f t="shared" si="183"/>
        <v>0</v>
      </c>
      <c r="BH408" s="6197">
        <f t="shared" si="184"/>
        <v>0</v>
      </c>
      <c r="BI408"/>
      <c r="BJ408" s="1"/>
      <c r="BK408" s="1"/>
      <c r="BL408" s="1"/>
      <c r="BM408" s="1"/>
      <c r="BN408" s="1"/>
      <c r="BO408" s="1"/>
      <c r="BP408" s="1"/>
      <c r="BQ408" s="1"/>
      <c r="BX408" s="20" t="str">
        <f t="shared" si="165"/>
        <v>►</v>
      </c>
      <c r="BY408" s="2"/>
      <c r="BZ408" s="2"/>
      <c r="CA408" s="2"/>
      <c r="CB408" s="2"/>
      <c r="CC408" s="2"/>
      <c r="DC408" s="5">
        <v>1</v>
      </c>
    </row>
    <row r="409" spans="12:107" ht="21" customHeight="1">
      <c r="L409" s="1021" t="s">
        <v>26</v>
      </c>
      <c r="M409" s="6787"/>
      <c r="N409" s="6787"/>
      <c r="O409" s="6787"/>
      <c r="P409" s="6788"/>
      <c r="Q409" s="6789"/>
      <c r="R409" s="6790"/>
      <c r="S409" s="6786"/>
      <c r="T409" s="6791"/>
      <c r="U409" s="6844"/>
      <c r="V409" s="6791"/>
      <c r="W409" s="8487"/>
      <c r="X409" s="6871"/>
      <c r="Y409" s="6793"/>
      <c r="Z409" s="6794"/>
      <c r="AA409" s="6795"/>
      <c r="AB409" s="6796"/>
      <c r="AC409" s="6797"/>
      <c r="AD409" s="6798"/>
      <c r="AE409" s="4" t="s">
        <v>1</v>
      </c>
      <c r="AF409" s="6202" t="str">
        <f t="shared" si="166"/>
        <v>►</v>
      </c>
      <c r="AG409" s="6234" t="str">
        <f t="shared" si="167"/>
        <v/>
      </c>
      <c r="AH409" s="6732" t="str">
        <f t="shared" si="168"/>
        <v/>
      </c>
      <c r="AI409" s="6234" t="str">
        <f t="shared" si="169"/>
        <v/>
      </c>
      <c r="AJ409" s="6732" t="str">
        <f t="shared" si="170"/>
        <v/>
      </c>
      <c r="AK409" s="6732">
        <f t="shared" si="171"/>
        <v>0</v>
      </c>
      <c r="AL409" s="6230" t="str" cm="1">
        <f t="array" ref="AL409">IF(AF409&lt;&gt;"A","",IFERROR((IFERROR(_xlfn.XLOOKUP(TRIM(SUBSTITUTE(U409,CHAR(160)," ")),$BJ$15:$BJ$62,$BM$15:$BM$62),IFERROR(_xlfn.XLOOKUP(TRIM(SUBSTITUTE(U409,CHAR(160)," ")),$BK$15:$BK$62,$BM$15:$BM$62),_xlfn.XLOOKUP(TRIM(SUBSTITUTE(U409,CHAR(160)," ")),$BL$15:$BL$62,$BM$15:$BM$62))))*T409*IF(ISBLANK(Q409),1,Q409)+IFERROR(_xlfn.XLOOKUP("RECHERCHEX",TRIM(L409:AD409),L409:AD409),0),0))</f>
        <v/>
      </c>
      <c r="AM409" s="6229">
        <f t="shared" si="172"/>
        <v>0</v>
      </c>
      <c r="AN409" s="6857" t="str">
        <f t="shared" si="164"/>
        <v/>
      </c>
      <c r="AO409" s="392">
        <f t="shared" si="173"/>
        <v>0</v>
      </c>
      <c r="AP409" s="392">
        <f t="shared" si="174"/>
        <v>0</v>
      </c>
      <c r="AQ409" s="6191">
        <f t="shared" si="175"/>
        <v>0</v>
      </c>
      <c r="AR409" s="6859" t="str">
        <f t="shared" si="176"/>
        <v/>
      </c>
      <c r="AS409" s="6217"/>
      <c r="AT409" s="6217"/>
      <c r="AU409" s="6272">
        <f t="shared" si="177"/>
        <v>0</v>
      </c>
      <c r="AV409" s="6240">
        <f t="shared" si="178"/>
        <v>0</v>
      </c>
      <c r="AW409" s="6189" cm="1">
        <f t="array" ref="AW409">IF(AK409&lt;&gt;1,0,IF(OR(AU409="",N(AU409)&lt;=0.000000001),"",IF(OR(AO409="",N(AO409)&lt;=0.000000001),0,IF(ISNUMBER(AU409),IFERROR(_xlfn.LET(_xlpm.ai_test,TRIM(AJ409),_xlpm.r,IFERROR(_xlfn.XLOOKUP(_xlpm.ai_test,$BJ$15:$BJ$62,ROW($BJ$15:$BJ$62),0,1),IFERROR(_xlfn.XLOOKUP(_xlpm.ai_test,$BK$15:$BK$62,ROW($BK$15:$BK$62),0,1),_xlfn.XLOOKUP(_xlpm.ai_test,$BL$15:$BL$62,ROW($BL$15:$BL$62),0,1))),_xlpm.p,_xlpm.r-MIN(ROW($BJ$15:$BJ$62))+1,_xlpm.f,INDEX($BM$15:$BM$62,_xlpm.p),_xlpm.u,INDEX($BN$15:$BN$62,_xlpm.p),_xlpm.s,INDEX($BP$15:$BP$62,_xlpm.p),_xlpm.q,N(AU409)/_xlpm.f,IF(_xlpm.q&gt;=_xlpm.s,ROUND(_xlpm.q,1)&amp;" "&amp;_xlpm.ai_test&amp;" = "&amp;ROUND(_xlpm.q*_xlpm.f,1)&amp;" "&amp;_xlpm.u,ROUND(_xlpm.q,1)&amp;" "&amp;_xlpm.ai_test)),""),""))))</f>
        <v>0</v>
      </c>
      <c r="AX409" s="6218"/>
      <c r="AY409" s="6272">
        <f t="shared" si="179"/>
        <v>0</v>
      </c>
      <c r="AZ409" s="6240" t="str">
        <f t="shared" si="180"/>
        <v/>
      </c>
      <c r="BA409" s="6195">
        <f t="shared" si="185"/>
        <v>0</v>
      </c>
      <c r="BB409" s="6193" t="str">
        <f t="shared" si="181"/>
        <v/>
      </c>
      <c r="BC409" s="6219"/>
      <c r="BD409" s="6222">
        <f t="shared" si="163"/>
        <v>0</v>
      </c>
      <c r="BE409" s="6220" t="str">
        <f t="shared" si="182"/>
        <v/>
      </c>
      <c r="BF409" s="4" t="s">
        <v>1</v>
      </c>
      <c r="BG409" s="6196">
        <f t="shared" si="183"/>
        <v>0</v>
      </c>
      <c r="BH409" s="6197">
        <f t="shared" si="184"/>
        <v>0</v>
      </c>
      <c r="BI409"/>
      <c r="BJ409" s="1"/>
      <c r="BK409" s="1"/>
      <c r="BL409" s="1"/>
      <c r="BM409" s="1"/>
      <c r="BN409" s="1"/>
      <c r="BO409" s="1"/>
      <c r="BP409" s="1"/>
      <c r="BQ409" s="1"/>
      <c r="BX409" s="20" t="str">
        <f t="shared" si="165"/>
        <v>►</v>
      </c>
      <c r="BY409" s="2"/>
      <c r="BZ409" s="2"/>
      <c r="CA409" s="2"/>
      <c r="CB409" s="2"/>
      <c r="CC409" s="2"/>
      <c r="DC409" s="5">
        <v>1</v>
      </c>
    </row>
    <row r="410" spans="12:107" ht="21" customHeight="1">
      <c r="L410" s="1021" t="s">
        <v>26</v>
      </c>
      <c r="M410" s="6787"/>
      <c r="N410" s="6787"/>
      <c r="O410" s="6787"/>
      <c r="P410" s="6788"/>
      <c r="Q410" s="6789"/>
      <c r="R410" s="6790"/>
      <c r="S410" s="6786"/>
      <c r="T410" s="6791"/>
      <c r="U410" s="6844"/>
      <c r="V410" s="6791"/>
      <c r="W410" s="8487"/>
      <c r="X410" s="6871"/>
      <c r="Y410" s="6793"/>
      <c r="Z410" s="6794"/>
      <c r="AA410" s="6795"/>
      <c r="AB410" s="6796"/>
      <c r="AC410" s="6797"/>
      <c r="AD410" s="6798"/>
      <c r="AE410" s="4" t="s">
        <v>1</v>
      </c>
      <c r="AF410" s="6202" t="str">
        <f t="shared" si="166"/>
        <v>►</v>
      </c>
      <c r="AG410" s="6234" t="str">
        <f t="shared" si="167"/>
        <v/>
      </c>
      <c r="AH410" s="6732" t="str">
        <f t="shared" si="168"/>
        <v/>
      </c>
      <c r="AI410" s="6234" t="str">
        <f t="shared" si="169"/>
        <v/>
      </c>
      <c r="AJ410" s="6732" t="str">
        <f t="shared" si="170"/>
        <v/>
      </c>
      <c r="AK410" s="6732">
        <f t="shared" si="171"/>
        <v>0</v>
      </c>
      <c r="AL410" s="6230" t="str" cm="1">
        <f t="array" ref="AL410">IF(AF410&lt;&gt;"A","",IFERROR((IFERROR(_xlfn.XLOOKUP(TRIM(SUBSTITUTE(U410,CHAR(160)," ")),$BJ$15:$BJ$62,$BM$15:$BM$62),IFERROR(_xlfn.XLOOKUP(TRIM(SUBSTITUTE(U410,CHAR(160)," ")),$BK$15:$BK$62,$BM$15:$BM$62),_xlfn.XLOOKUP(TRIM(SUBSTITUTE(U410,CHAR(160)," ")),$BL$15:$BL$62,$BM$15:$BM$62))))*T410*IF(ISBLANK(Q410),1,Q410)+IFERROR(_xlfn.XLOOKUP("RECHERCHEX",TRIM(L410:AD410),L410:AD410),0),0))</f>
        <v/>
      </c>
      <c r="AM410" s="6229">
        <f t="shared" si="172"/>
        <v>0</v>
      </c>
      <c r="AN410" s="6857" t="str">
        <f t="shared" si="164"/>
        <v/>
      </c>
      <c r="AO410" s="392">
        <f t="shared" si="173"/>
        <v>0</v>
      </c>
      <c r="AP410" s="392">
        <f t="shared" si="174"/>
        <v>0</v>
      </c>
      <c r="AQ410" s="6190">
        <f t="shared" si="175"/>
        <v>0</v>
      </c>
      <c r="AR410" s="6858" t="str">
        <f t="shared" si="176"/>
        <v/>
      </c>
      <c r="AS410" s="6217"/>
      <c r="AT410" s="6217"/>
      <c r="AU410" s="6271">
        <f t="shared" si="177"/>
        <v>0</v>
      </c>
      <c r="AV410" s="6242">
        <f t="shared" si="178"/>
        <v>0</v>
      </c>
      <c r="AW410" s="6188" cm="1">
        <f t="array" ref="AW410">IF(AK410&lt;&gt;1,0,IF(OR(AU410="",N(AU410)&lt;=0.000000001),"",IF(OR(AO410="",N(AO410)&lt;=0.000000001),0,IF(ISNUMBER(AU410),IFERROR(_xlfn.LET(_xlpm.ai_test,TRIM(AJ410),_xlpm.r,IFERROR(_xlfn.XLOOKUP(_xlpm.ai_test,$BJ$15:$BJ$62,ROW($BJ$15:$BJ$62),0,1),IFERROR(_xlfn.XLOOKUP(_xlpm.ai_test,$BK$15:$BK$62,ROW($BK$15:$BK$62),0,1),_xlfn.XLOOKUP(_xlpm.ai_test,$BL$15:$BL$62,ROW($BL$15:$BL$62),0,1))),_xlpm.p,_xlpm.r-MIN(ROW($BJ$15:$BJ$62))+1,_xlpm.f,INDEX($BM$15:$BM$62,_xlpm.p),_xlpm.u,INDEX($BN$15:$BN$62,_xlpm.p),_xlpm.s,INDEX($BP$15:$BP$62,_xlpm.p),_xlpm.q,N(AU410)/_xlpm.f,IF(_xlpm.q&gt;=_xlpm.s,ROUND(_xlpm.q,1)&amp;" "&amp;_xlpm.ai_test&amp;" = "&amp;ROUND(_xlpm.q*_xlpm.f,1)&amp;" "&amp;_xlpm.u,ROUND(_xlpm.q,1)&amp;" "&amp;_xlpm.ai_test)),""),""))))</f>
        <v>0</v>
      </c>
      <c r="AX410" s="6218"/>
      <c r="AY410" s="6271">
        <f t="shared" si="179"/>
        <v>0</v>
      </c>
      <c r="AZ410" s="6242" t="str">
        <f t="shared" si="180"/>
        <v/>
      </c>
      <c r="BA410" s="6194">
        <f t="shared" si="185"/>
        <v>0</v>
      </c>
      <c r="BB410" s="6192" t="str">
        <f t="shared" si="181"/>
        <v/>
      </c>
      <c r="BC410" s="6219"/>
      <c r="BD410" s="6221">
        <f t="shared" si="163"/>
        <v>0</v>
      </c>
      <c r="BE410" s="6220" t="str">
        <f t="shared" si="182"/>
        <v/>
      </c>
      <c r="BF410" s="4" t="s">
        <v>1</v>
      </c>
      <c r="BG410" s="6196">
        <f t="shared" si="183"/>
        <v>0</v>
      </c>
      <c r="BH410" s="6197">
        <f t="shared" si="184"/>
        <v>0</v>
      </c>
      <c r="BI410"/>
      <c r="BJ410" s="1"/>
      <c r="BK410" s="1"/>
      <c r="BL410" s="1"/>
      <c r="BM410" s="1"/>
      <c r="BN410" s="1"/>
      <c r="BO410" s="1"/>
      <c r="BP410" s="1"/>
      <c r="BQ410" s="1"/>
      <c r="BX410" s="20" t="str">
        <f t="shared" si="165"/>
        <v>►</v>
      </c>
      <c r="BY410" s="2"/>
      <c r="BZ410" s="2"/>
      <c r="CA410" s="2"/>
      <c r="CB410" s="2"/>
      <c r="CC410" s="2"/>
      <c r="DC410" s="5">
        <v>1</v>
      </c>
    </row>
    <row r="411" spans="12:107" ht="21" customHeight="1">
      <c r="L411" s="1021" t="s">
        <v>26</v>
      </c>
      <c r="M411" s="6787"/>
      <c r="N411" s="6787"/>
      <c r="O411" s="6787"/>
      <c r="P411" s="6788"/>
      <c r="Q411" s="6789"/>
      <c r="R411" s="6790"/>
      <c r="S411" s="6786"/>
      <c r="T411" s="6791"/>
      <c r="U411" s="6844"/>
      <c r="V411" s="6791"/>
      <c r="W411" s="8487"/>
      <c r="X411" s="6871"/>
      <c r="Y411" s="6793"/>
      <c r="Z411" s="6794"/>
      <c r="AA411" s="6795"/>
      <c r="AB411" s="6796"/>
      <c r="AC411" s="6797"/>
      <c r="AD411" s="6798"/>
      <c r="AE411" s="4" t="s">
        <v>1</v>
      </c>
      <c r="AF411" s="6202" t="str">
        <f t="shared" si="166"/>
        <v>►</v>
      </c>
      <c r="AG411" s="6234" t="str">
        <f t="shared" si="167"/>
        <v/>
      </c>
      <c r="AH411" s="6732" t="str">
        <f t="shared" si="168"/>
        <v/>
      </c>
      <c r="AI411" s="6234" t="str">
        <f t="shared" si="169"/>
        <v/>
      </c>
      <c r="AJ411" s="6732" t="str">
        <f t="shared" si="170"/>
        <v/>
      </c>
      <c r="AK411" s="6732">
        <f t="shared" si="171"/>
        <v>0</v>
      </c>
      <c r="AL411" s="6230" t="str" cm="1">
        <f t="array" ref="AL411">IF(AF411&lt;&gt;"A","",IFERROR((IFERROR(_xlfn.XLOOKUP(TRIM(SUBSTITUTE(U411,CHAR(160)," ")),$BJ$15:$BJ$62,$BM$15:$BM$62),IFERROR(_xlfn.XLOOKUP(TRIM(SUBSTITUTE(U411,CHAR(160)," ")),$BK$15:$BK$62,$BM$15:$BM$62),_xlfn.XLOOKUP(TRIM(SUBSTITUTE(U411,CHAR(160)," ")),$BL$15:$BL$62,$BM$15:$BM$62))))*T411*IF(ISBLANK(Q411),1,Q411)+IFERROR(_xlfn.XLOOKUP("RECHERCHEX",TRIM(L411:AD411),L411:AD411),0),0))</f>
        <v/>
      </c>
      <c r="AM411" s="6229">
        <f t="shared" si="172"/>
        <v>0</v>
      </c>
      <c r="AN411" s="6857" t="str">
        <f t="shared" si="164"/>
        <v/>
      </c>
      <c r="AO411" s="392">
        <f t="shared" si="173"/>
        <v>0</v>
      </c>
      <c r="AP411" s="392">
        <f t="shared" si="174"/>
        <v>0</v>
      </c>
      <c r="AQ411" s="6191">
        <f t="shared" si="175"/>
        <v>0</v>
      </c>
      <c r="AR411" s="6859" t="str">
        <f t="shared" si="176"/>
        <v/>
      </c>
      <c r="AS411" s="6217"/>
      <c r="AT411" s="6217"/>
      <c r="AU411" s="6272">
        <f t="shared" si="177"/>
        <v>0</v>
      </c>
      <c r="AV411" s="6240">
        <f t="shared" si="178"/>
        <v>0</v>
      </c>
      <c r="AW411" s="6189" cm="1">
        <f t="array" ref="AW411">IF(AK411&lt;&gt;1,0,IF(OR(AU411="",N(AU411)&lt;=0.000000001),"",IF(OR(AO411="",N(AO411)&lt;=0.000000001),0,IF(ISNUMBER(AU411),IFERROR(_xlfn.LET(_xlpm.ai_test,TRIM(AJ411),_xlpm.r,IFERROR(_xlfn.XLOOKUP(_xlpm.ai_test,$BJ$15:$BJ$62,ROW($BJ$15:$BJ$62),0,1),IFERROR(_xlfn.XLOOKUP(_xlpm.ai_test,$BK$15:$BK$62,ROW($BK$15:$BK$62),0,1),_xlfn.XLOOKUP(_xlpm.ai_test,$BL$15:$BL$62,ROW($BL$15:$BL$62),0,1))),_xlpm.p,_xlpm.r-MIN(ROW($BJ$15:$BJ$62))+1,_xlpm.f,INDEX($BM$15:$BM$62,_xlpm.p),_xlpm.u,INDEX($BN$15:$BN$62,_xlpm.p),_xlpm.s,INDEX($BP$15:$BP$62,_xlpm.p),_xlpm.q,N(AU411)/_xlpm.f,IF(_xlpm.q&gt;=_xlpm.s,ROUND(_xlpm.q,1)&amp;" "&amp;_xlpm.ai_test&amp;" = "&amp;ROUND(_xlpm.q*_xlpm.f,1)&amp;" "&amp;_xlpm.u,ROUND(_xlpm.q,1)&amp;" "&amp;_xlpm.ai_test)),""),""))))</f>
        <v>0</v>
      </c>
      <c r="AX411" s="6218"/>
      <c r="AY411" s="6272">
        <f t="shared" si="179"/>
        <v>0</v>
      </c>
      <c r="AZ411" s="6240" t="str">
        <f t="shared" si="180"/>
        <v/>
      </c>
      <c r="BA411" s="6195">
        <f t="shared" si="185"/>
        <v>0</v>
      </c>
      <c r="BB411" s="6193" t="str">
        <f t="shared" si="181"/>
        <v/>
      </c>
      <c r="BC411" s="6219"/>
      <c r="BD411" s="6222">
        <f t="shared" ref="BD411:BD474" si="186">IF(OR(AO411=0,ISBLANK(BC411),ISTEXT(BA411)),0,(IF(AU411=0,BA411,AU411)*BC411))</f>
        <v>0</v>
      </c>
      <c r="BE411" s="6220" t="str">
        <f t="shared" si="182"/>
        <v/>
      </c>
      <c r="BF411" s="4" t="s">
        <v>1</v>
      </c>
      <c r="BG411" s="6196">
        <f t="shared" si="183"/>
        <v>0</v>
      </c>
      <c r="BH411" s="6197">
        <f t="shared" si="184"/>
        <v>0</v>
      </c>
      <c r="BI411"/>
      <c r="BJ411" s="1"/>
      <c r="BK411" s="1"/>
      <c r="BL411" s="1"/>
      <c r="BM411" s="1"/>
      <c r="BN411" s="1"/>
      <c r="BO411" s="1"/>
      <c r="BP411" s="1"/>
      <c r="BQ411" s="1"/>
      <c r="BX411" s="20" t="str">
        <f t="shared" si="165"/>
        <v>►</v>
      </c>
      <c r="BY411" s="2"/>
      <c r="BZ411" s="2"/>
      <c r="CA411" s="2"/>
      <c r="CB411" s="2"/>
      <c r="CC411" s="2"/>
      <c r="DC411" s="5">
        <v>1</v>
      </c>
    </row>
    <row r="412" spans="12:107" ht="21" customHeight="1">
      <c r="L412" s="1021" t="s">
        <v>26</v>
      </c>
      <c r="M412" s="6787"/>
      <c r="N412" s="6787"/>
      <c r="O412" s="6787"/>
      <c r="P412" s="6788"/>
      <c r="Q412" s="6789"/>
      <c r="R412" s="6790"/>
      <c r="S412" s="6786"/>
      <c r="T412" s="6791"/>
      <c r="U412" s="6844"/>
      <c r="V412" s="6791"/>
      <c r="W412" s="8487"/>
      <c r="X412" s="6871"/>
      <c r="Y412" s="6793"/>
      <c r="Z412" s="6794"/>
      <c r="AA412" s="6795"/>
      <c r="AB412" s="6796"/>
      <c r="AC412" s="6797"/>
      <c r="AD412" s="6798"/>
      <c r="AE412" s="4" t="s">
        <v>1</v>
      </c>
      <c r="AF412" s="6202" t="str">
        <f t="shared" si="166"/>
        <v>►</v>
      </c>
      <c r="AG412" s="6234" t="str">
        <f t="shared" si="167"/>
        <v/>
      </c>
      <c r="AH412" s="6732" t="str">
        <f t="shared" si="168"/>
        <v/>
      </c>
      <c r="AI412" s="6234" t="str">
        <f t="shared" si="169"/>
        <v/>
      </c>
      <c r="AJ412" s="6732" t="str">
        <f t="shared" si="170"/>
        <v/>
      </c>
      <c r="AK412" s="6732">
        <f t="shared" si="171"/>
        <v>0</v>
      </c>
      <c r="AL412" s="6230" t="str" cm="1">
        <f t="array" ref="AL412">IF(AF412&lt;&gt;"A","",IFERROR((IFERROR(_xlfn.XLOOKUP(TRIM(SUBSTITUTE(U412,CHAR(160)," ")),$BJ$15:$BJ$62,$BM$15:$BM$62),IFERROR(_xlfn.XLOOKUP(TRIM(SUBSTITUTE(U412,CHAR(160)," ")),$BK$15:$BK$62,$BM$15:$BM$62),_xlfn.XLOOKUP(TRIM(SUBSTITUTE(U412,CHAR(160)," ")),$BL$15:$BL$62,$BM$15:$BM$62))))*T412*IF(ISBLANK(Q412),1,Q412)+IFERROR(_xlfn.XLOOKUP("RECHERCHEX",TRIM(L412:AD412),L412:AD412),0),0))</f>
        <v/>
      </c>
      <c r="AM412" s="6229">
        <f t="shared" si="172"/>
        <v>0</v>
      </c>
      <c r="AN412" s="6857" t="str">
        <f t="shared" si="164"/>
        <v/>
      </c>
      <c r="AO412" s="392">
        <f t="shared" si="173"/>
        <v>0</v>
      </c>
      <c r="AP412" s="392">
        <f t="shared" si="174"/>
        <v>0</v>
      </c>
      <c r="AQ412" s="6190">
        <f t="shared" si="175"/>
        <v>0</v>
      </c>
      <c r="AR412" s="6858" t="str">
        <f t="shared" si="176"/>
        <v/>
      </c>
      <c r="AS412" s="6217"/>
      <c r="AT412" s="6217"/>
      <c r="AU412" s="6271">
        <f t="shared" si="177"/>
        <v>0</v>
      </c>
      <c r="AV412" s="6242">
        <f t="shared" si="178"/>
        <v>0</v>
      </c>
      <c r="AW412" s="6188" cm="1">
        <f t="array" ref="AW412">IF(AK412&lt;&gt;1,0,IF(OR(AU412="",N(AU412)&lt;=0.000000001),"",IF(OR(AO412="",N(AO412)&lt;=0.000000001),0,IF(ISNUMBER(AU412),IFERROR(_xlfn.LET(_xlpm.ai_test,TRIM(AJ412),_xlpm.r,IFERROR(_xlfn.XLOOKUP(_xlpm.ai_test,$BJ$15:$BJ$62,ROW($BJ$15:$BJ$62),0,1),IFERROR(_xlfn.XLOOKUP(_xlpm.ai_test,$BK$15:$BK$62,ROW($BK$15:$BK$62),0,1),_xlfn.XLOOKUP(_xlpm.ai_test,$BL$15:$BL$62,ROW($BL$15:$BL$62),0,1))),_xlpm.p,_xlpm.r-MIN(ROW($BJ$15:$BJ$62))+1,_xlpm.f,INDEX($BM$15:$BM$62,_xlpm.p),_xlpm.u,INDEX($BN$15:$BN$62,_xlpm.p),_xlpm.s,INDEX($BP$15:$BP$62,_xlpm.p),_xlpm.q,N(AU412)/_xlpm.f,IF(_xlpm.q&gt;=_xlpm.s,ROUND(_xlpm.q,1)&amp;" "&amp;_xlpm.ai_test&amp;" = "&amp;ROUND(_xlpm.q*_xlpm.f,1)&amp;" "&amp;_xlpm.u,ROUND(_xlpm.q,1)&amp;" "&amp;_xlpm.ai_test)),""),""))))</f>
        <v>0</v>
      </c>
      <c r="AX412" s="6218"/>
      <c r="AY412" s="6271">
        <f t="shared" si="179"/>
        <v>0</v>
      </c>
      <c r="AZ412" s="6242" t="str">
        <f t="shared" si="180"/>
        <v/>
      </c>
      <c r="BA412" s="6194">
        <f t="shared" si="185"/>
        <v>0</v>
      </c>
      <c r="BB412" s="6192" t="str">
        <f t="shared" si="181"/>
        <v/>
      </c>
      <c r="BC412" s="6219"/>
      <c r="BD412" s="6221">
        <f t="shared" si="186"/>
        <v>0</v>
      </c>
      <c r="BE412" s="6220" t="str">
        <f t="shared" si="182"/>
        <v/>
      </c>
      <c r="BF412" s="4" t="s">
        <v>1</v>
      </c>
      <c r="BG412" s="6196">
        <f t="shared" si="183"/>
        <v>0</v>
      </c>
      <c r="BH412" s="6197">
        <f t="shared" si="184"/>
        <v>0</v>
      </c>
      <c r="BI412"/>
      <c r="BJ412" s="1"/>
      <c r="BK412" s="1"/>
      <c r="BL412" s="1"/>
      <c r="BM412" s="1"/>
      <c r="BN412" s="1"/>
      <c r="BO412" s="1"/>
      <c r="BP412" s="1"/>
      <c r="BQ412" s="1"/>
      <c r="BX412" s="20" t="str">
        <f t="shared" si="165"/>
        <v>►</v>
      </c>
      <c r="BY412" s="2"/>
      <c r="BZ412" s="2"/>
      <c r="CA412" s="2"/>
      <c r="CB412" s="2"/>
      <c r="CC412" s="2"/>
      <c r="DC412" s="5">
        <v>1</v>
      </c>
    </row>
    <row r="413" spans="12:107" ht="21" customHeight="1">
      <c r="L413" s="1021" t="s">
        <v>26</v>
      </c>
      <c r="M413" s="6787"/>
      <c r="N413" s="6787"/>
      <c r="O413" s="6787"/>
      <c r="P413" s="6788"/>
      <c r="Q413" s="6789"/>
      <c r="R413" s="6790"/>
      <c r="S413" s="6786"/>
      <c r="T413" s="6791"/>
      <c r="U413" s="6844"/>
      <c r="V413" s="6791"/>
      <c r="W413" s="8487"/>
      <c r="X413" s="6871"/>
      <c r="Y413" s="6793"/>
      <c r="Z413" s="6794"/>
      <c r="AA413" s="6795"/>
      <c r="AB413" s="6796"/>
      <c r="AC413" s="6797"/>
      <c r="AD413" s="6798"/>
      <c r="AE413" s="4" t="s">
        <v>1</v>
      </c>
      <c r="AF413" s="6202" t="str">
        <f t="shared" si="166"/>
        <v>►</v>
      </c>
      <c r="AG413" s="6234" t="str">
        <f t="shared" si="167"/>
        <v/>
      </c>
      <c r="AH413" s="6732" t="str">
        <f t="shared" si="168"/>
        <v/>
      </c>
      <c r="AI413" s="6234" t="str">
        <f t="shared" si="169"/>
        <v/>
      </c>
      <c r="AJ413" s="6732" t="str">
        <f t="shared" si="170"/>
        <v/>
      </c>
      <c r="AK413" s="6732">
        <f t="shared" si="171"/>
        <v>0</v>
      </c>
      <c r="AL413" s="6230" t="str" cm="1">
        <f t="array" ref="AL413">IF(AF413&lt;&gt;"A","",IFERROR((IFERROR(_xlfn.XLOOKUP(TRIM(SUBSTITUTE(U413,CHAR(160)," ")),$BJ$15:$BJ$62,$BM$15:$BM$62),IFERROR(_xlfn.XLOOKUP(TRIM(SUBSTITUTE(U413,CHAR(160)," ")),$BK$15:$BK$62,$BM$15:$BM$62),_xlfn.XLOOKUP(TRIM(SUBSTITUTE(U413,CHAR(160)," ")),$BL$15:$BL$62,$BM$15:$BM$62))))*T413*IF(ISBLANK(Q413),1,Q413)+IFERROR(_xlfn.XLOOKUP("RECHERCHEX",TRIM(L413:AD413),L413:AD413),0),0))</f>
        <v/>
      </c>
      <c r="AM413" s="6229">
        <f t="shared" si="172"/>
        <v>0</v>
      </c>
      <c r="AN413" s="6857" t="str">
        <f t="shared" si="164"/>
        <v/>
      </c>
      <c r="AO413" s="392">
        <f t="shared" si="173"/>
        <v>0</v>
      </c>
      <c r="AP413" s="392">
        <f t="shared" si="174"/>
        <v>0</v>
      </c>
      <c r="AQ413" s="6191">
        <f t="shared" si="175"/>
        <v>0</v>
      </c>
      <c r="AR413" s="6859" t="str">
        <f t="shared" si="176"/>
        <v/>
      </c>
      <c r="AS413" s="6217"/>
      <c r="AT413" s="6217"/>
      <c r="AU413" s="6272">
        <f t="shared" si="177"/>
        <v>0</v>
      </c>
      <c r="AV413" s="6240">
        <f t="shared" si="178"/>
        <v>0</v>
      </c>
      <c r="AW413" s="6189" cm="1">
        <f t="array" ref="AW413">IF(AK413&lt;&gt;1,0,IF(OR(AU413="",N(AU413)&lt;=0.000000001),"",IF(OR(AO413="",N(AO413)&lt;=0.000000001),0,IF(ISNUMBER(AU413),IFERROR(_xlfn.LET(_xlpm.ai_test,TRIM(AJ413),_xlpm.r,IFERROR(_xlfn.XLOOKUP(_xlpm.ai_test,$BJ$15:$BJ$62,ROW($BJ$15:$BJ$62),0,1),IFERROR(_xlfn.XLOOKUP(_xlpm.ai_test,$BK$15:$BK$62,ROW($BK$15:$BK$62),0,1),_xlfn.XLOOKUP(_xlpm.ai_test,$BL$15:$BL$62,ROW($BL$15:$BL$62),0,1))),_xlpm.p,_xlpm.r-MIN(ROW($BJ$15:$BJ$62))+1,_xlpm.f,INDEX($BM$15:$BM$62,_xlpm.p),_xlpm.u,INDEX($BN$15:$BN$62,_xlpm.p),_xlpm.s,INDEX($BP$15:$BP$62,_xlpm.p),_xlpm.q,N(AU413)/_xlpm.f,IF(_xlpm.q&gt;=_xlpm.s,ROUND(_xlpm.q,1)&amp;" "&amp;_xlpm.ai_test&amp;" = "&amp;ROUND(_xlpm.q*_xlpm.f,1)&amp;" "&amp;_xlpm.u,ROUND(_xlpm.q,1)&amp;" "&amp;_xlpm.ai_test)),""),""))))</f>
        <v>0</v>
      </c>
      <c r="AX413" s="6218"/>
      <c r="AY413" s="6272">
        <f t="shared" si="179"/>
        <v>0</v>
      </c>
      <c r="AZ413" s="6240" t="str">
        <f t="shared" si="180"/>
        <v/>
      </c>
      <c r="BA413" s="6195">
        <f t="shared" si="185"/>
        <v>0</v>
      </c>
      <c r="BB413" s="6193" t="str">
        <f t="shared" si="181"/>
        <v/>
      </c>
      <c r="BC413" s="6219"/>
      <c r="BD413" s="6222">
        <f t="shared" si="186"/>
        <v>0</v>
      </c>
      <c r="BE413" s="6220" t="str">
        <f t="shared" si="182"/>
        <v/>
      </c>
      <c r="BF413" s="4" t="s">
        <v>1</v>
      </c>
      <c r="BG413" s="6196">
        <f t="shared" si="183"/>
        <v>0</v>
      </c>
      <c r="BH413" s="6197">
        <f t="shared" si="184"/>
        <v>0</v>
      </c>
      <c r="BI413"/>
      <c r="BJ413" s="1"/>
      <c r="BK413" s="1"/>
      <c r="BL413" s="1"/>
      <c r="BM413" s="1"/>
      <c r="BN413" s="1"/>
      <c r="BO413" s="1"/>
      <c r="BP413" s="1"/>
      <c r="BQ413" s="1"/>
      <c r="BX413" s="20" t="str">
        <f t="shared" si="165"/>
        <v>►</v>
      </c>
      <c r="BY413" s="2"/>
      <c r="BZ413" s="2"/>
      <c r="CA413" s="2"/>
      <c r="CB413" s="2"/>
      <c r="CC413" s="2"/>
      <c r="DC413" s="5">
        <v>1</v>
      </c>
    </row>
    <row r="414" spans="12:107" ht="21" customHeight="1">
      <c r="L414" s="1021" t="s">
        <v>26</v>
      </c>
      <c r="M414" s="6787"/>
      <c r="N414" s="6787"/>
      <c r="O414" s="6787"/>
      <c r="P414" s="6788"/>
      <c r="Q414" s="6789"/>
      <c r="R414" s="6790"/>
      <c r="S414" s="6786"/>
      <c r="T414" s="6791"/>
      <c r="U414" s="6844"/>
      <c r="V414" s="6791"/>
      <c r="W414" s="8487"/>
      <c r="X414" s="6871"/>
      <c r="Y414" s="6793"/>
      <c r="Z414" s="6794"/>
      <c r="AA414" s="6795"/>
      <c r="AB414" s="6796"/>
      <c r="AC414" s="6797"/>
      <c r="AD414" s="6798"/>
      <c r="AE414" s="4" t="s">
        <v>1</v>
      </c>
      <c r="AF414" s="6202" t="str">
        <f t="shared" si="166"/>
        <v>►</v>
      </c>
      <c r="AG414" s="6234" t="str">
        <f t="shared" si="167"/>
        <v/>
      </c>
      <c r="AH414" s="6732" t="str">
        <f t="shared" si="168"/>
        <v/>
      </c>
      <c r="AI414" s="6234" t="str">
        <f t="shared" si="169"/>
        <v/>
      </c>
      <c r="AJ414" s="6732" t="str">
        <f t="shared" si="170"/>
        <v/>
      </c>
      <c r="AK414" s="6732">
        <f t="shared" si="171"/>
        <v>0</v>
      </c>
      <c r="AL414" s="6230" t="str" cm="1">
        <f t="array" ref="AL414">IF(AF414&lt;&gt;"A","",IFERROR((IFERROR(_xlfn.XLOOKUP(TRIM(SUBSTITUTE(U414,CHAR(160)," ")),$BJ$15:$BJ$62,$BM$15:$BM$62),IFERROR(_xlfn.XLOOKUP(TRIM(SUBSTITUTE(U414,CHAR(160)," ")),$BK$15:$BK$62,$BM$15:$BM$62),_xlfn.XLOOKUP(TRIM(SUBSTITUTE(U414,CHAR(160)," ")),$BL$15:$BL$62,$BM$15:$BM$62))))*T414*IF(ISBLANK(Q414),1,Q414)+IFERROR(_xlfn.XLOOKUP("RECHERCHEX",TRIM(L414:AD414),L414:AD414),0),0))</f>
        <v/>
      </c>
      <c r="AM414" s="6229">
        <f t="shared" si="172"/>
        <v>0</v>
      </c>
      <c r="AN414" s="6857" t="str">
        <f t="shared" ref="AN414:AN477" si="187">IF(AF414="A","❾ Author reference &gt;","")</f>
        <v/>
      </c>
      <c r="AO414" s="392">
        <f t="shared" si="173"/>
        <v>0</v>
      </c>
      <c r="AP414" s="392">
        <f t="shared" si="174"/>
        <v>0</v>
      </c>
      <c r="AQ414" s="6190">
        <f t="shared" si="175"/>
        <v>0</v>
      </c>
      <c r="AR414" s="6858" t="str">
        <f t="shared" si="176"/>
        <v/>
      </c>
      <c r="AS414" s="6217"/>
      <c r="AT414" s="6217"/>
      <c r="AU414" s="6271">
        <f t="shared" si="177"/>
        <v>0</v>
      </c>
      <c r="AV414" s="6242">
        <f t="shared" si="178"/>
        <v>0</v>
      </c>
      <c r="AW414" s="6188" cm="1">
        <f t="array" ref="AW414">IF(AK414&lt;&gt;1,0,IF(OR(AU414="",N(AU414)&lt;=0.000000001),"",IF(OR(AO414="",N(AO414)&lt;=0.000000001),0,IF(ISNUMBER(AU414),IFERROR(_xlfn.LET(_xlpm.ai_test,TRIM(AJ414),_xlpm.r,IFERROR(_xlfn.XLOOKUP(_xlpm.ai_test,$BJ$15:$BJ$62,ROW($BJ$15:$BJ$62),0,1),IFERROR(_xlfn.XLOOKUP(_xlpm.ai_test,$BK$15:$BK$62,ROW($BK$15:$BK$62),0,1),_xlfn.XLOOKUP(_xlpm.ai_test,$BL$15:$BL$62,ROW($BL$15:$BL$62),0,1))),_xlpm.p,_xlpm.r-MIN(ROW($BJ$15:$BJ$62))+1,_xlpm.f,INDEX($BM$15:$BM$62,_xlpm.p),_xlpm.u,INDEX($BN$15:$BN$62,_xlpm.p),_xlpm.s,INDEX($BP$15:$BP$62,_xlpm.p),_xlpm.q,N(AU414)/_xlpm.f,IF(_xlpm.q&gt;=_xlpm.s,ROUND(_xlpm.q,1)&amp;" "&amp;_xlpm.ai_test&amp;" = "&amp;ROUND(_xlpm.q*_xlpm.f,1)&amp;" "&amp;_xlpm.u,ROUND(_xlpm.q,1)&amp;" "&amp;_xlpm.ai_test)),""),""))))</f>
        <v>0</v>
      </c>
      <c r="AX414" s="6218"/>
      <c r="AY414" s="6271">
        <f t="shared" si="179"/>
        <v>0</v>
      </c>
      <c r="AZ414" s="6242" t="str">
        <f t="shared" si="180"/>
        <v/>
      </c>
      <c r="BA414" s="6194">
        <f t="shared" si="185"/>
        <v>0</v>
      </c>
      <c r="BB414" s="6192" t="str">
        <f t="shared" si="181"/>
        <v/>
      </c>
      <c r="BC414" s="6219"/>
      <c r="BD414" s="6221">
        <f t="shared" si="186"/>
        <v>0</v>
      </c>
      <c r="BE414" s="6220" t="str">
        <f t="shared" si="182"/>
        <v/>
      </c>
      <c r="BF414" s="4" t="s">
        <v>1</v>
      </c>
      <c r="BG414" s="6196">
        <f t="shared" si="183"/>
        <v>0</v>
      </c>
      <c r="BH414" s="6197">
        <f t="shared" si="184"/>
        <v>0</v>
      </c>
      <c r="BI414"/>
      <c r="BJ414" s="1"/>
      <c r="BK414" s="1"/>
      <c r="BL414" s="1"/>
      <c r="BM414" s="1"/>
      <c r="BN414" s="1"/>
      <c r="BO414" s="1"/>
      <c r="BP414" s="1"/>
      <c r="BQ414" s="1"/>
      <c r="BX414" s="20" t="str">
        <f t="shared" si="165"/>
        <v>►</v>
      </c>
      <c r="BY414" s="2"/>
      <c r="BZ414" s="2"/>
      <c r="CA414" s="2"/>
      <c r="CB414" s="2"/>
      <c r="CC414" s="2"/>
      <c r="DC414" s="5">
        <v>1</v>
      </c>
    </row>
    <row r="415" spans="12:107" ht="21" customHeight="1">
      <c r="L415" s="1021" t="s">
        <v>26</v>
      </c>
      <c r="M415" s="6787"/>
      <c r="N415" s="6787"/>
      <c r="O415" s="6787"/>
      <c r="P415" s="6788"/>
      <c r="Q415" s="6789"/>
      <c r="R415" s="6790"/>
      <c r="S415" s="6786"/>
      <c r="T415" s="6791"/>
      <c r="U415" s="6844"/>
      <c r="V415" s="6791"/>
      <c r="W415" s="8487"/>
      <c r="X415" s="6871"/>
      <c r="Y415" s="6793"/>
      <c r="Z415" s="6794"/>
      <c r="AA415" s="6795"/>
      <c r="AB415" s="6796"/>
      <c r="AC415" s="6797"/>
      <c r="AD415" s="6798"/>
      <c r="AE415" s="4" t="s">
        <v>1</v>
      </c>
      <c r="AF415" s="6202" t="str">
        <f t="shared" si="166"/>
        <v>►</v>
      </c>
      <c r="AG415" s="6234" t="str">
        <f t="shared" si="167"/>
        <v/>
      </c>
      <c r="AH415" s="6732" t="str">
        <f t="shared" si="168"/>
        <v/>
      </c>
      <c r="AI415" s="6234" t="str">
        <f t="shared" si="169"/>
        <v/>
      </c>
      <c r="AJ415" s="6732" t="str">
        <f t="shared" si="170"/>
        <v/>
      </c>
      <c r="AK415" s="6732">
        <f t="shared" si="171"/>
        <v>0</v>
      </c>
      <c r="AL415" s="6230" t="str" cm="1">
        <f t="array" ref="AL415">IF(AF415&lt;&gt;"A","",IFERROR((IFERROR(_xlfn.XLOOKUP(TRIM(SUBSTITUTE(U415,CHAR(160)," ")),$BJ$15:$BJ$62,$BM$15:$BM$62),IFERROR(_xlfn.XLOOKUP(TRIM(SUBSTITUTE(U415,CHAR(160)," ")),$BK$15:$BK$62,$BM$15:$BM$62),_xlfn.XLOOKUP(TRIM(SUBSTITUTE(U415,CHAR(160)," ")),$BL$15:$BL$62,$BM$15:$BM$62))))*T415*IF(ISBLANK(Q415),1,Q415)+IFERROR(_xlfn.XLOOKUP("RECHERCHEX",TRIM(L415:AD415),L415:AD415),0),0))</f>
        <v/>
      </c>
      <c r="AM415" s="6229">
        <f t="shared" si="172"/>
        <v>0</v>
      </c>
      <c r="AN415" s="6857" t="str">
        <f t="shared" si="187"/>
        <v/>
      </c>
      <c r="AO415" s="392">
        <f t="shared" si="173"/>
        <v>0</v>
      </c>
      <c r="AP415" s="392">
        <f t="shared" si="174"/>
        <v>0</v>
      </c>
      <c r="AQ415" s="6191">
        <f t="shared" si="175"/>
        <v>0</v>
      </c>
      <c r="AR415" s="6859" t="str">
        <f t="shared" si="176"/>
        <v/>
      </c>
      <c r="AS415" s="6217"/>
      <c r="AT415" s="6217"/>
      <c r="AU415" s="6272">
        <f t="shared" si="177"/>
        <v>0</v>
      </c>
      <c r="AV415" s="6240">
        <f t="shared" si="178"/>
        <v>0</v>
      </c>
      <c r="AW415" s="6189" cm="1">
        <f t="array" ref="AW415">IF(AK415&lt;&gt;1,0,IF(OR(AU415="",N(AU415)&lt;=0.000000001),"",IF(OR(AO415="",N(AO415)&lt;=0.000000001),0,IF(ISNUMBER(AU415),IFERROR(_xlfn.LET(_xlpm.ai_test,TRIM(AJ415),_xlpm.r,IFERROR(_xlfn.XLOOKUP(_xlpm.ai_test,$BJ$15:$BJ$62,ROW($BJ$15:$BJ$62),0,1),IFERROR(_xlfn.XLOOKUP(_xlpm.ai_test,$BK$15:$BK$62,ROW($BK$15:$BK$62),0,1),_xlfn.XLOOKUP(_xlpm.ai_test,$BL$15:$BL$62,ROW($BL$15:$BL$62),0,1))),_xlpm.p,_xlpm.r-MIN(ROW($BJ$15:$BJ$62))+1,_xlpm.f,INDEX($BM$15:$BM$62,_xlpm.p),_xlpm.u,INDEX($BN$15:$BN$62,_xlpm.p),_xlpm.s,INDEX($BP$15:$BP$62,_xlpm.p),_xlpm.q,N(AU415)/_xlpm.f,IF(_xlpm.q&gt;=_xlpm.s,ROUND(_xlpm.q,1)&amp;" "&amp;_xlpm.ai_test&amp;" = "&amp;ROUND(_xlpm.q*_xlpm.f,1)&amp;" "&amp;_xlpm.u,ROUND(_xlpm.q,1)&amp;" "&amp;_xlpm.ai_test)),""),""))))</f>
        <v>0</v>
      </c>
      <c r="AX415" s="6218"/>
      <c r="AY415" s="6272">
        <f t="shared" si="179"/>
        <v>0</v>
      </c>
      <c r="AZ415" s="6240" t="str">
        <f t="shared" si="180"/>
        <v/>
      </c>
      <c r="BA415" s="6195">
        <f t="shared" si="185"/>
        <v>0</v>
      </c>
      <c r="BB415" s="6193" t="str">
        <f t="shared" si="181"/>
        <v/>
      </c>
      <c r="BC415" s="6219"/>
      <c r="BD415" s="6222">
        <f t="shared" si="186"/>
        <v>0</v>
      </c>
      <c r="BE415" s="6220" t="str">
        <f t="shared" si="182"/>
        <v/>
      </c>
      <c r="BF415" s="4" t="s">
        <v>1</v>
      </c>
      <c r="BG415" s="6196">
        <f t="shared" si="183"/>
        <v>0</v>
      </c>
      <c r="BH415" s="6197">
        <f t="shared" si="184"/>
        <v>0</v>
      </c>
      <c r="BI415"/>
      <c r="BJ415" s="1"/>
      <c r="BK415" s="1"/>
      <c r="BL415" s="1"/>
      <c r="BM415" s="1"/>
      <c r="BN415" s="1"/>
      <c r="BO415" s="1"/>
      <c r="BP415" s="1"/>
      <c r="BQ415" s="1"/>
      <c r="BX415" s="20" t="str">
        <f t="shared" si="165"/>
        <v>►</v>
      </c>
      <c r="BY415" s="2"/>
      <c r="BZ415" s="2"/>
      <c r="CA415" s="2"/>
      <c r="CB415" s="2"/>
      <c r="CC415" s="2"/>
      <c r="DC415" s="5">
        <v>1</v>
      </c>
    </row>
    <row r="416" spans="12:107" ht="21" customHeight="1">
      <c r="L416" s="1021" t="s">
        <v>26</v>
      </c>
      <c r="M416" s="6787"/>
      <c r="N416" s="6787"/>
      <c r="O416" s="6787"/>
      <c r="P416" s="6788"/>
      <c r="Q416" s="6789"/>
      <c r="R416" s="6790"/>
      <c r="S416" s="6786"/>
      <c r="T416" s="6791"/>
      <c r="U416" s="6844"/>
      <c r="V416" s="6791"/>
      <c r="W416" s="8487"/>
      <c r="X416" s="6871"/>
      <c r="Y416" s="6793"/>
      <c r="Z416" s="6794"/>
      <c r="AA416" s="6795"/>
      <c r="AB416" s="6796"/>
      <c r="AC416" s="6797"/>
      <c r="AD416" s="6798"/>
      <c r="AE416" s="4" t="s">
        <v>1</v>
      </c>
      <c r="AF416" s="6202" t="str">
        <f t="shared" si="166"/>
        <v>►</v>
      </c>
      <c r="AG416" s="6234" t="str">
        <f t="shared" si="167"/>
        <v/>
      </c>
      <c r="AH416" s="6732" t="str">
        <f t="shared" si="168"/>
        <v/>
      </c>
      <c r="AI416" s="6234" t="str">
        <f t="shared" si="169"/>
        <v/>
      </c>
      <c r="AJ416" s="6732" t="str">
        <f t="shared" si="170"/>
        <v/>
      </c>
      <c r="AK416" s="6732">
        <f t="shared" si="171"/>
        <v>0</v>
      </c>
      <c r="AL416" s="6230" t="str" cm="1">
        <f t="array" ref="AL416">IF(AF416&lt;&gt;"A","",IFERROR((IFERROR(_xlfn.XLOOKUP(TRIM(SUBSTITUTE(U416,CHAR(160)," ")),$BJ$15:$BJ$62,$BM$15:$BM$62),IFERROR(_xlfn.XLOOKUP(TRIM(SUBSTITUTE(U416,CHAR(160)," ")),$BK$15:$BK$62,$BM$15:$BM$62),_xlfn.XLOOKUP(TRIM(SUBSTITUTE(U416,CHAR(160)," ")),$BL$15:$BL$62,$BM$15:$BM$62))))*T416*IF(ISBLANK(Q416),1,Q416)+IFERROR(_xlfn.XLOOKUP("RECHERCHEX",TRIM(L416:AD416),L416:AD416),0),0))</f>
        <v/>
      </c>
      <c r="AM416" s="6229">
        <f t="shared" si="172"/>
        <v>0</v>
      </c>
      <c r="AN416" s="6857" t="str">
        <f t="shared" si="187"/>
        <v/>
      </c>
      <c r="AO416" s="392">
        <f t="shared" si="173"/>
        <v>0</v>
      </c>
      <c r="AP416" s="392">
        <f t="shared" si="174"/>
        <v>0</v>
      </c>
      <c r="AQ416" s="6190">
        <f t="shared" si="175"/>
        <v>0</v>
      </c>
      <c r="AR416" s="6858" t="str">
        <f t="shared" si="176"/>
        <v/>
      </c>
      <c r="AS416" s="6217"/>
      <c r="AT416" s="6217"/>
      <c r="AU416" s="6271">
        <f t="shared" si="177"/>
        <v>0</v>
      </c>
      <c r="AV416" s="6242">
        <f t="shared" si="178"/>
        <v>0</v>
      </c>
      <c r="AW416" s="6188" cm="1">
        <f t="array" ref="AW416">IF(AK416&lt;&gt;1,0,IF(OR(AU416="",N(AU416)&lt;=0.000000001),"",IF(OR(AO416="",N(AO416)&lt;=0.000000001),0,IF(ISNUMBER(AU416),IFERROR(_xlfn.LET(_xlpm.ai_test,TRIM(AJ416),_xlpm.r,IFERROR(_xlfn.XLOOKUP(_xlpm.ai_test,$BJ$15:$BJ$62,ROW($BJ$15:$BJ$62),0,1),IFERROR(_xlfn.XLOOKUP(_xlpm.ai_test,$BK$15:$BK$62,ROW($BK$15:$BK$62),0,1),_xlfn.XLOOKUP(_xlpm.ai_test,$BL$15:$BL$62,ROW($BL$15:$BL$62),0,1))),_xlpm.p,_xlpm.r-MIN(ROW($BJ$15:$BJ$62))+1,_xlpm.f,INDEX($BM$15:$BM$62,_xlpm.p),_xlpm.u,INDEX($BN$15:$BN$62,_xlpm.p),_xlpm.s,INDEX($BP$15:$BP$62,_xlpm.p),_xlpm.q,N(AU416)/_xlpm.f,IF(_xlpm.q&gt;=_xlpm.s,ROUND(_xlpm.q,1)&amp;" "&amp;_xlpm.ai_test&amp;" = "&amp;ROUND(_xlpm.q*_xlpm.f,1)&amp;" "&amp;_xlpm.u,ROUND(_xlpm.q,1)&amp;" "&amp;_xlpm.ai_test)),""),""))))</f>
        <v>0</v>
      </c>
      <c r="AX416" s="6218"/>
      <c r="AY416" s="6271">
        <f t="shared" si="179"/>
        <v>0</v>
      </c>
      <c r="AZ416" s="6242" t="str">
        <f t="shared" si="180"/>
        <v/>
      </c>
      <c r="BA416" s="6194">
        <f t="shared" si="185"/>
        <v>0</v>
      </c>
      <c r="BB416" s="6192" t="str">
        <f t="shared" si="181"/>
        <v/>
      </c>
      <c r="BC416" s="6219"/>
      <c r="BD416" s="6221">
        <f t="shared" si="186"/>
        <v>0</v>
      </c>
      <c r="BE416" s="6220" t="str">
        <f t="shared" si="182"/>
        <v/>
      </c>
      <c r="BF416" s="4" t="s">
        <v>1</v>
      </c>
      <c r="BG416" s="6196">
        <f t="shared" si="183"/>
        <v>0</v>
      </c>
      <c r="BH416" s="6197">
        <f t="shared" si="184"/>
        <v>0</v>
      </c>
      <c r="BI416"/>
      <c r="BJ416" s="1"/>
      <c r="BK416" s="1"/>
      <c r="BL416" s="1"/>
      <c r="BM416" s="1"/>
      <c r="BN416" s="1"/>
      <c r="BO416" s="1"/>
      <c r="BP416" s="1"/>
      <c r="BQ416" s="1"/>
      <c r="BX416" s="20" t="str">
        <f t="shared" si="165"/>
        <v>►</v>
      </c>
      <c r="BY416" s="2"/>
      <c r="BZ416" s="2"/>
      <c r="CA416" s="2"/>
      <c r="CB416" s="2"/>
      <c r="CC416" s="2"/>
      <c r="DC416" s="5">
        <v>1</v>
      </c>
    </row>
    <row r="417" spans="12:107" ht="21" customHeight="1">
      <c r="L417" s="1021" t="s">
        <v>26</v>
      </c>
      <c r="M417" s="6787"/>
      <c r="N417" s="6787"/>
      <c r="O417" s="6787"/>
      <c r="P417" s="6788"/>
      <c r="Q417" s="6789"/>
      <c r="R417" s="6790"/>
      <c r="S417" s="6786"/>
      <c r="T417" s="6791"/>
      <c r="U417" s="6844"/>
      <c r="V417" s="6791"/>
      <c r="W417" s="8487"/>
      <c r="X417" s="6871"/>
      <c r="Y417" s="6793"/>
      <c r="Z417" s="6794"/>
      <c r="AA417" s="6795"/>
      <c r="AB417" s="6796"/>
      <c r="AC417" s="6797"/>
      <c r="AD417" s="6798"/>
      <c r="AE417" s="4" t="s">
        <v>1</v>
      </c>
      <c r="AF417" s="6202" t="str">
        <f t="shared" si="166"/>
        <v>►</v>
      </c>
      <c r="AG417" s="6234" t="str">
        <f t="shared" si="167"/>
        <v/>
      </c>
      <c r="AH417" s="6732" t="str">
        <f t="shared" si="168"/>
        <v/>
      </c>
      <c r="AI417" s="6234" t="str">
        <f t="shared" si="169"/>
        <v/>
      </c>
      <c r="AJ417" s="6732" t="str">
        <f t="shared" si="170"/>
        <v/>
      </c>
      <c r="AK417" s="6732">
        <f t="shared" si="171"/>
        <v>0</v>
      </c>
      <c r="AL417" s="6230" t="str" cm="1">
        <f t="array" ref="AL417">IF(AF417&lt;&gt;"A","",IFERROR((IFERROR(_xlfn.XLOOKUP(TRIM(SUBSTITUTE(U417,CHAR(160)," ")),$BJ$15:$BJ$62,$BM$15:$BM$62),IFERROR(_xlfn.XLOOKUP(TRIM(SUBSTITUTE(U417,CHAR(160)," ")),$BK$15:$BK$62,$BM$15:$BM$62),_xlfn.XLOOKUP(TRIM(SUBSTITUTE(U417,CHAR(160)," ")),$BL$15:$BL$62,$BM$15:$BM$62))))*T417*IF(ISBLANK(Q417),1,Q417)+IFERROR(_xlfn.XLOOKUP("RECHERCHEX",TRIM(L417:AD417),L417:AD417),0),0))</f>
        <v/>
      </c>
      <c r="AM417" s="6229">
        <f t="shared" si="172"/>
        <v>0</v>
      </c>
      <c r="AN417" s="6857" t="str">
        <f t="shared" si="187"/>
        <v/>
      </c>
      <c r="AO417" s="392">
        <f t="shared" si="173"/>
        <v>0</v>
      </c>
      <c r="AP417" s="392">
        <f t="shared" si="174"/>
        <v>0</v>
      </c>
      <c r="AQ417" s="6191">
        <f t="shared" si="175"/>
        <v>0</v>
      </c>
      <c r="AR417" s="6859" t="str">
        <f t="shared" si="176"/>
        <v/>
      </c>
      <c r="AS417" s="6217"/>
      <c r="AT417" s="6217"/>
      <c r="AU417" s="6272">
        <f t="shared" si="177"/>
        <v>0</v>
      </c>
      <c r="AV417" s="6240">
        <f t="shared" si="178"/>
        <v>0</v>
      </c>
      <c r="AW417" s="6189" cm="1">
        <f t="array" ref="AW417">IF(AK417&lt;&gt;1,0,IF(OR(AU417="",N(AU417)&lt;=0.000000001),"",IF(OR(AO417="",N(AO417)&lt;=0.000000001),0,IF(ISNUMBER(AU417),IFERROR(_xlfn.LET(_xlpm.ai_test,TRIM(AJ417),_xlpm.r,IFERROR(_xlfn.XLOOKUP(_xlpm.ai_test,$BJ$15:$BJ$62,ROW($BJ$15:$BJ$62),0,1),IFERROR(_xlfn.XLOOKUP(_xlpm.ai_test,$BK$15:$BK$62,ROW($BK$15:$BK$62),0,1),_xlfn.XLOOKUP(_xlpm.ai_test,$BL$15:$BL$62,ROW($BL$15:$BL$62),0,1))),_xlpm.p,_xlpm.r-MIN(ROW($BJ$15:$BJ$62))+1,_xlpm.f,INDEX($BM$15:$BM$62,_xlpm.p),_xlpm.u,INDEX($BN$15:$BN$62,_xlpm.p),_xlpm.s,INDEX($BP$15:$BP$62,_xlpm.p),_xlpm.q,N(AU417)/_xlpm.f,IF(_xlpm.q&gt;=_xlpm.s,ROUND(_xlpm.q,1)&amp;" "&amp;_xlpm.ai_test&amp;" = "&amp;ROUND(_xlpm.q*_xlpm.f,1)&amp;" "&amp;_xlpm.u,ROUND(_xlpm.q,1)&amp;" "&amp;_xlpm.ai_test)),""),""))))</f>
        <v>0</v>
      </c>
      <c r="AX417" s="6218"/>
      <c r="AY417" s="6272">
        <f t="shared" si="179"/>
        <v>0</v>
      </c>
      <c r="AZ417" s="6240" t="str">
        <f t="shared" si="180"/>
        <v/>
      </c>
      <c r="BA417" s="6195">
        <f t="shared" si="185"/>
        <v>0</v>
      </c>
      <c r="BB417" s="6193" t="str">
        <f t="shared" si="181"/>
        <v/>
      </c>
      <c r="BC417" s="6219"/>
      <c r="BD417" s="6222">
        <f t="shared" si="186"/>
        <v>0</v>
      </c>
      <c r="BE417" s="6220" t="str">
        <f t="shared" si="182"/>
        <v/>
      </c>
      <c r="BF417" s="4" t="s">
        <v>1</v>
      </c>
      <c r="BG417" s="6196">
        <f t="shared" si="183"/>
        <v>0</v>
      </c>
      <c r="BH417" s="6197">
        <f t="shared" si="184"/>
        <v>0</v>
      </c>
      <c r="BI417"/>
      <c r="BJ417" s="1"/>
      <c r="BK417" s="1"/>
      <c r="BL417" s="1"/>
      <c r="BM417" s="1"/>
      <c r="BN417" s="1"/>
      <c r="BO417" s="1"/>
      <c r="BP417" s="1"/>
      <c r="BQ417" s="1"/>
      <c r="BX417" s="20" t="str">
        <f t="shared" si="165"/>
        <v>►</v>
      </c>
      <c r="BY417" s="2"/>
      <c r="BZ417" s="2"/>
      <c r="CA417" s="2"/>
      <c r="CB417" s="2"/>
      <c r="CC417" s="2"/>
      <c r="DC417" s="5">
        <v>1</v>
      </c>
    </row>
    <row r="418" spans="12:107" ht="21" customHeight="1">
      <c r="L418" s="1021" t="s">
        <v>26</v>
      </c>
      <c r="M418" s="6787"/>
      <c r="N418" s="6787"/>
      <c r="O418" s="6787"/>
      <c r="P418" s="6788"/>
      <c r="Q418" s="6789"/>
      <c r="R418" s="6790"/>
      <c r="S418" s="6786"/>
      <c r="T418" s="6791"/>
      <c r="U418" s="6844"/>
      <c r="V418" s="6791"/>
      <c r="W418" s="8487"/>
      <c r="X418" s="6871"/>
      <c r="Y418" s="6793"/>
      <c r="Z418" s="6794"/>
      <c r="AA418" s="6795"/>
      <c r="AB418" s="6796"/>
      <c r="AC418" s="6797"/>
      <c r="AD418" s="6798"/>
      <c r="AE418" s="4" t="s">
        <v>1</v>
      </c>
      <c r="AF418" s="6202" t="str">
        <f t="shared" si="166"/>
        <v>►</v>
      </c>
      <c r="AG418" s="6234" t="str">
        <f t="shared" si="167"/>
        <v/>
      </c>
      <c r="AH418" s="6732" t="str">
        <f t="shared" si="168"/>
        <v/>
      </c>
      <c r="AI418" s="6234" t="str">
        <f t="shared" si="169"/>
        <v/>
      </c>
      <c r="AJ418" s="6732" t="str">
        <f t="shared" si="170"/>
        <v/>
      </c>
      <c r="AK418" s="6732">
        <f t="shared" si="171"/>
        <v>0</v>
      </c>
      <c r="AL418" s="6230" t="str" cm="1">
        <f t="array" ref="AL418">IF(AF418&lt;&gt;"A","",IFERROR((IFERROR(_xlfn.XLOOKUP(TRIM(SUBSTITUTE(U418,CHAR(160)," ")),$BJ$15:$BJ$62,$BM$15:$BM$62),IFERROR(_xlfn.XLOOKUP(TRIM(SUBSTITUTE(U418,CHAR(160)," ")),$BK$15:$BK$62,$BM$15:$BM$62),_xlfn.XLOOKUP(TRIM(SUBSTITUTE(U418,CHAR(160)," ")),$BL$15:$BL$62,$BM$15:$BM$62))))*T418*IF(ISBLANK(Q418),1,Q418)+IFERROR(_xlfn.XLOOKUP("RECHERCHEX",TRIM(L418:AD418),L418:AD418),0),0))</f>
        <v/>
      </c>
      <c r="AM418" s="6229">
        <f t="shared" si="172"/>
        <v>0</v>
      </c>
      <c r="AN418" s="6857" t="str">
        <f t="shared" si="187"/>
        <v/>
      </c>
      <c r="AO418" s="392">
        <f t="shared" si="173"/>
        <v>0</v>
      </c>
      <c r="AP418" s="392">
        <f t="shared" si="174"/>
        <v>0</v>
      </c>
      <c r="AQ418" s="6190">
        <f t="shared" si="175"/>
        <v>0</v>
      </c>
      <c r="AR418" s="6858" t="str">
        <f t="shared" si="176"/>
        <v/>
      </c>
      <c r="AS418" s="6217"/>
      <c r="AT418" s="6217"/>
      <c r="AU418" s="6271">
        <f t="shared" si="177"/>
        <v>0</v>
      </c>
      <c r="AV418" s="6242">
        <f t="shared" si="178"/>
        <v>0</v>
      </c>
      <c r="AW418" s="6188" cm="1">
        <f t="array" ref="AW418">IF(AK418&lt;&gt;1,0,IF(OR(AU418="",N(AU418)&lt;=0.000000001),"",IF(OR(AO418="",N(AO418)&lt;=0.000000001),0,IF(ISNUMBER(AU418),IFERROR(_xlfn.LET(_xlpm.ai_test,TRIM(AJ418),_xlpm.r,IFERROR(_xlfn.XLOOKUP(_xlpm.ai_test,$BJ$15:$BJ$62,ROW($BJ$15:$BJ$62),0,1),IFERROR(_xlfn.XLOOKUP(_xlpm.ai_test,$BK$15:$BK$62,ROW($BK$15:$BK$62),0,1),_xlfn.XLOOKUP(_xlpm.ai_test,$BL$15:$BL$62,ROW($BL$15:$BL$62),0,1))),_xlpm.p,_xlpm.r-MIN(ROW($BJ$15:$BJ$62))+1,_xlpm.f,INDEX($BM$15:$BM$62,_xlpm.p),_xlpm.u,INDEX($BN$15:$BN$62,_xlpm.p),_xlpm.s,INDEX($BP$15:$BP$62,_xlpm.p),_xlpm.q,N(AU418)/_xlpm.f,IF(_xlpm.q&gt;=_xlpm.s,ROUND(_xlpm.q,1)&amp;" "&amp;_xlpm.ai_test&amp;" = "&amp;ROUND(_xlpm.q*_xlpm.f,1)&amp;" "&amp;_xlpm.u,ROUND(_xlpm.q,1)&amp;" "&amp;_xlpm.ai_test)),""),""))))</f>
        <v>0</v>
      </c>
      <c r="AX418" s="6218"/>
      <c r="AY418" s="6271">
        <f t="shared" si="179"/>
        <v>0</v>
      </c>
      <c r="AZ418" s="6242" t="str">
        <f t="shared" si="180"/>
        <v/>
      </c>
      <c r="BA418" s="6194">
        <f t="shared" si="185"/>
        <v>0</v>
      </c>
      <c r="BB418" s="6192" t="str">
        <f t="shared" si="181"/>
        <v/>
      </c>
      <c r="BC418" s="6219"/>
      <c r="BD418" s="6221">
        <f t="shared" si="186"/>
        <v>0</v>
      </c>
      <c r="BE418" s="6220" t="str">
        <f t="shared" si="182"/>
        <v/>
      </c>
      <c r="BF418" s="4" t="s">
        <v>1</v>
      </c>
      <c r="BG418" s="6196">
        <f t="shared" si="183"/>
        <v>0</v>
      </c>
      <c r="BH418" s="6197">
        <f t="shared" si="184"/>
        <v>0</v>
      </c>
      <c r="BI418"/>
      <c r="BJ418" s="1"/>
      <c r="BK418" s="1"/>
      <c r="BL418" s="1"/>
      <c r="BM418" s="1"/>
      <c r="BN418" s="1"/>
      <c r="BO418" s="1"/>
      <c r="BP418" s="1"/>
      <c r="BQ418" s="1"/>
      <c r="BX418" s="20" t="str">
        <f t="shared" si="165"/>
        <v>►</v>
      </c>
      <c r="BY418" s="2"/>
      <c r="BZ418" s="2"/>
      <c r="CA418" s="2"/>
      <c r="CB418" s="2"/>
      <c r="CC418" s="2"/>
      <c r="DC418" s="5">
        <v>1</v>
      </c>
    </row>
    <row r="419" spans="12:107" ht="21" customHeight="1">
      <c r="L419" s="1021" t="s">
        <v>26</v>
      </c>
      <c r="M419" s="6787"/>
      <c r="N419" s="6787"/>
      <c r="O419" s="6787"/>
      <c r="P419" s="6788"/>
      <c r="Q419" s="6789"/>
      <c r="R419" s="6790"/>
      <c r="S419" s="6786"/>
      <c r="T419" s="6791"/>
      <c r="U419" s="6844"/>
      <c r="V419" s="6791"/>
      <c r="W419" s="8487"/>
      <c r="X419" s="6871"/>
      <c r="Y419" s="6793"/>
      <c r="Z419" s="6794"/>
      <c r="AA419" s="6795"/>
      <c r="AB419" s="6796"/>
      <c r="AC419" s="6797"/>
      <c r="AD419" s="6798"/>
      <c r="AE419" s="4" t="s">
        <v>1</v>
      </c>
      <c r="AF419" s="6202" t="str">
        <f t="shared" si="166"/>
        <v>►</v>
      </c>
      <c r="AG419" s="6234" t="str">
        <f t="shared" si="167"/>
        <v/>
      </c>
      <c r="AH419" s="6732" t="str">
        <f t="shared" si="168"/>
        <v/>
      </c>
      <c r="AI419" s="6234" t="str">
        <f t="shared" si="169"/>
        <v/>
      </c>
      <c r="AJ419" s="6732" t="str">
        <f t="shared" si="170"/>
        <v/>
      </c>
      <c r="AK419" s="6732">
        <f t="shared" si="171"/>
        <v>0</v>
      </c>
      <c r="AL419" s="6230" t="str" cm="1">
        <f t="array" ref="AL419">IF(AF419&lt;&gt;"A","",IFERROR((IFERROR(_xlfn.XLOOKUP(TRIM(SUBSTITUTE(U419,CHAR(160)," ")),$BJ$15:$BJ$62,$BM$15:$BM$62),IFERROR(_xlfn.XLOOKUP(TRIM(SUBSTITUTE(U419,CHAR(160)," ")),$BK$15:$BK$62,$BM$15:$BM$62),_xlfn.XLOOKUP(TRIM(SUBSTITUTE(U419,CHAR(160)," ")),$BL$15:$BL$62,$BM$15:$BM$62))))*T419*IF(ISBLANK(Q419),1,Q419)+IFERROR(_xlfn.XLOOKUP("RECHERCHEX",TRIM(L419:AD419),L419:AD419),0),0))</f>
        <v/>
      </c>
      <c r="AM419" s="6229">
        <f t="shared" si="172"/>
        <v>0</v>
      </c>
      <c r="AN419" s="6857" t="str">
        <f t="shared" si="187"/>
        <v/>
      </c>
      <c r="AO419" s="392">
        <f t="shared" si="173"/>
        <v>0</v>
      </c>
      <c r="AP419" s="392">
        <f t="shared" si="174"/>
        <v>0</v>
      </c>
      <c r="AQ419" s="6191">
        <f t="shared" si="175"/>
        <v>0</v>
      </c>
      <c r="AR419" s="6859" t="str">
        <f t="shared" si="176"/>
        <v/>
      </c>
      <c r="AS419" s="6217"/>
      <c r="AT419" s="6217"/>
      <c r="AU419" s="6272">
        <f t="shared" si="177"/>
        <v>0</v>
      </c>
      <c r="AV419" s="6240">
        <f t="shared" si="178"/>
        <v>0</v>
      </c>
      <c r="AW419" s="6189" cm="1">
        <f t="array" ref="AW419">IF(AK419&lt;&gt;1,0,IF(OR(AU419="",N(AU419)&lt;=0.000000001),"",IF(OR(AO419="",N(AO419)&lt;=0.000000001),0,IF(ISNUMBER(AU419),IFERROR(_xlfn.LET(_xlpm.ai_test,TRIM(AJ419),_xlpm.r,IFERROR(_xlfn.XLOOKUP(_xlpm.ai_test,$BJ$15:$BJ$62,ROW($BJ$15:$BJ$62),0,1),IFERROR(_xlfn.XLOOKUP(_xlpm.ai_test,$BK$15:$BK$62,ROW($BK$15:$BK$62),0,1),_xlfn.XLOOKUP(_xlpm.ai_test,$BL$15:$BL$62,ROW($BL$15:$BL$62),0,1))),_xlpm.p,_xlpm.r-MIN(ROW($BJ$15:$BJ$62))+1,_xlpm.f,INDEX($BM$15:$BM$62,_xlpm.p),_xlpm.u,INDEX($BN$15:$BN$62,_xlpm.p),_xlpm.s,INDEX($BP$15:$BP$62,_xlpm.p),_xlpm.q,N(AU419)/_xlpm.f,IF(_xlpm.q&gt;=_xlpm.s,ROUND(_xlpm.q,1)&amp;" "&amp;_xlpm.ai_test&amp;" = "&amp;ROUND(_xlpm.q*_xlpm.f,1)&amp;" "&amp;_xlpm.u,ROUND(_xlpm.q,1)&amp;" "&amp;_xlpm.ai_test)),""),""))))</f>
        <v>0</v>
      </c>
      <c r="AX419" s="6218"/>
      <c r="AY419" s="6272">
        <f t="shared" si="179"/>
        <v>0</v>
      </c>
      <c r="AZ419" s="6240" t="str">
        <f t="shared" si="180"/>
        <v/>
      </c>
      <c r="BA419" s="6195">
        <f t="shared" si="185"/>
        <v>0</v>
      </c>
      <c r="BB419" s="6193" t="str">
        <f t="shared" si="181"/>
        <v/>
      </c>
      <c r="BC419" s="6219"/>
      <c r="BD419" s="6222">
        <f t="shared" si="186"/>
        <v>0</v>
      </c>
      <c r="BE419" s="6220" t="str">
        <f t="shared" si="182"/>
        <v/>
      </c>
      <c r="BF419" s="4" t="s">
        <v>1</v>
      </c>
      <c r="BG419" s="6196">
        <f t="shared" si="183"/>
        <v>0</v>
      </c>
      <c r="BH419" s="6197">
        <f t="shared" si="184"/>
        <v>0</v>
      </c>
      <c r="BI419"/>
      <c r="BJ419" s="1"/>
      <c r="BK419" s="1"/>
      <c r="BL419" s="1"/>
      <c r="BM419" s="1"/>
      <c r="BN419" s="1"/>
      <c r="BO419" s="1"/>
      <c r="BP419" s="1"/>
      <c r="BQ419" s="1"/>
      <c r="BX419" s="20" t="str">
        <f t="shared" si="165"/>
        <v>►</v>
      </c>
      <c r="BY419" s="2"/>
      <c r="BZ419" s="2"/>
      <c r="CA419" s="2"/>
      <c r="CB419" s="2"/>
      <c r="CC419" s="2"/>
      <c r="DC419" s="5">
        <v>1</v>
      </c>
    </row>
    <row r="420" spans="12:107" ht="21" customHeight="1">
      <c r="L420" s="1021" t="s">
        <v>26</v>
      </c>
      <c r="M420" s="6787"/>
      <c r="N420" s="6787"/>
      <c r="O420" s="6787"/>
      <c r="P420" s="6788"/>
      <c r="Q420" s="6789"/>
      <c r="R420" s="6790"/>
      <c r="S420" s="6786"/>
      <c r="T420" s="6791"/>
      <c r="U420" s="6844"/>
      <c r="V420" s="6791"/>
      <c r="W420" s="8487"/>
      <c r="X420" s="6871"/>
      <c r="Y420" s="6793"/>
      <c r="Z420" s="6794"/>
      <c r="AA420" s="6795"/>
      <c r="AB420" s="6796"/>
      <c r="AC420" s="6797"/>
      <c r="AD420" s="6798"/>
      <c r="AE420" s="4" t="s">
        <v>1</v>
      </c>
      <c r="AF420" s="6202" t="str">
        <f t="shared" si="166"/>
        <v>►</v>
      </c>
      <c r="AG420" s="6234" t="str">
        <f t="shared" si="167"/>
        <v/>
      </c>
      <c r="AH420" s="6732" t="str">
        <f t="shared" si="168"/>
        <v/>
      </c>
      <c r="AI420" s="6234" t="str">
        <f t="shared" si="169"/>
        <v/>
      </c>
      <c r="AJ420" s="6732" t="str">
        <f t="shared" si="170"/>
        <v/>
      </c>
      <c r="AK420" s="6732">
        <f t="shared" si="171"/>
        <v>0</v>
      </c>
      <c r="AL420" s="6230" t="str" cm="1">
        <f t="array" ref="AL420">IF(AF420&lt;&gt;"A","",IFERROR((IFERROR(_xlfn.XLOOKUP(TRIM(SUBSTITUTE(U420,CHAR(160)," ")),$BJ$15:$BJ$62,$BM$15:$BM$62),IFERROR(_xlfn.XLOOKUP(TRIM(SUBSTITUTE(U420,CHAR(160)," ")),$BK$15:$BK$62,$BM$15:$BM$62),_xlfn.XLOOKUP(TRIM(SUBSTITUTE(U420,CHAR(160)," ")),$BL$15:$BL$62,$BM$15:$BM$62))))*T420*IF(ISBLANK(Q420),1,Q420)+IFERROR(_xlfn.XLOOKUP("RECHERCHEX",TRIM(L420:AD420),L420:AD420),0),0))</f>
        <v/>
      </c>
      <c r="AM420" s="6229">
        <f t="shared" si="172"/>
        <v>0</v>
      </c>
      <c r="AN420" s="6857" t="str">
        <f t="shared" si="187"/>
        <v/>
      </c>
      <c r="AO420" s="392">
        <f t="shared" si="173"/>
        <v>0</v>
      </c>
      <c r="AP420" s="392">
        <f t="shared" si="174"/>
        <v>0</v>
      </c>
      <c r="AQ420" s="6190">
        <f t="shared" si="175"/>
        <v>0</v>
      </c>
      <c r="AR420" s="6858" t="str">
        <f t="shared" si="176"/>
        <v/>
      </c>
      <c r="AS420" s="6217"/>
      <c r="AT420" s="6217"/>
      <c r="AU420" s="6271">
        <f t="shared" si="177"/>
        <v>0</v>
      </c>
      <c r="AV420" s="6242">
        <f t="shared" si="178"/>
        <v>0</v>
      </c>
      <c r="AW420" s="6188" cm="1">
        <f t="array" ref="AW420">IF(AK420&lt;&gt;1,0,IF(OR(AU420="",N(AU420)&lt;=0.000000001),"",IF(OR(AO420="",N(AO420)&lt;=0.000000001),0,IF(ISNUMBER(AU420),IFERROR(_xlfn.LET(_xlpm.ai_test,TRIM(AJ420),_xlpm.r,IFERROR(_xlfn.XLOOKUP(_xlpm.ai_test,$BJ$15:$BJ$62,ROW($BJ$15:$BJ$62),0,1),IFERROR(_xlfn.XLOOKUP(_xlpm.ai_test,$BK$15:$BK$62,ROW($BK$15:$BK$62),0,1),_xlfn.XLOOKUP(_xlpm.ai_test,$BL$15:$BL$62,ROW($BL$15:$BL$62),0,1))),_xlpm.p,_xlpm.r-MIN(ROW($BJ$15:$BJ$62))+1,_xlpm.f,INDEX($BM$15:$BM$62,_xlpm.p),_xlpm.u,INDEX($BN$15:$BN$62,_xlpm.p),_xlpm.s,INDEX($BP$15:$BP$62,_xlpm.p),_xlpm.q,N(AU420)/_xlpm.f,IF(_xlpm.q&gt;=_xlpm.s,ROUND(_xlpm.q,1)&amp;" "&amp;_xlpm.ai_test&amp;" = "&amp;ROUND(_xlpm.q*_xlpm.f,1)&amp;" "&amp;_xlpm.u,ROUND(_xlpm.q,1)&amp;" "&amp;_xlpm.ai_test)),""),""))))</f>
        <v>0</v>
      </c>
      <c r="AX420" s="6218"/>
      <c r="AY420" s="6271">
        <f t="shared" si="179"/>
        <v>0</v>
      </c>
      <c r="AZ420" s="6242" t="str">
        <f t="shared" si="180"/>
        <v/>
      </c>
      <c r="BA420" s="6194">
        <f t="shared" si="185"/>
        <v>0</v>
      </c>
      <c r="BB420" s="6192" t="str">
        <f t="shared" si="181"/>
        <v/>
      </c>
      <c r="BC420" s="6219"/>
      <c r="BD420" s="6221">
        <f t="shared" si="186"/>
        <v>0</v>
      </c>
      <c r="BE420" s="6220" t="str">
        <f t="shared" si="182"/>
        <v/>
      </c>
      <c r="BF420" s="4" t="s">
        <v>1</v>
      </c>
      <c r="BG420" s="6196">
        <f t="shared" si="183"/>
        <v>0</v>
      </c>
      <c r="BH420" s="6197">
        <f t="shared" si="184"/>
        <v>0</v>
      </c>
      <c r="BI420"/>
      <c r="BJ420" s="1"/>
      <c r="BK420" s="1"/>
      <c r="BL420" s="1"/>
      <c r="BM420" s="1"/>
      <c r="BN420" s="1"/>
      <c r="BO420" s="1"/>
      <c r="BP420" s="1"/>
      <c r="BQ420" s="1"/>
      <c r="BX420" s="20" t="str">
        <f t="shared" si="165"/>
        <v>►</v>
      </c>
      <c r="BY420" s="2"/>
      <c r="BZ420" s="2"/>
      <c r="CA420" s="2"/>
      <c r="CB420" s="2"/>
      <c r="CC420" s="2"/>
      <c r="DC420" s="5">
        <v>1</v>
      </c>
    </row>
    <row r="421" spans="12:107" ht="21" customHeight="1">
      <c r="L421" s="1021" t="s">
        <v>26</v>
      </c>
      <c r="M421" s="6787"/>
      <c r="N421" s="6787"/>
      <c r="O421" s="6787"/>
      <c r="P421" s="6788"/>
      <c r="Q421" s="6789"/>
      <c r="R421" s="6790"/>
      <c r="S421" s="6786"/>
      <c r="T421" s="6791"/>
      <c r="U421" s="6844"/>
      <c r="V421" s="6791"/>
      <c r="W421" s="8487"/>
      <c r="X421" s="6871"/>
      <c r="Y421" s="6793"/>
      <c r="Z421" s="6794"/>
      <c r="AA421" s="6795"/>
      <c r="AB421" s="6796"/>
      <c r="AC421" s="6797"/>
      <c r="AD421" s="6798"/>
      <c r="AE421" s="4" t="s">
        <v>1</v>
      </c>
      <c r="AF421" s="6202" t="str">
        <f t="shared" si="166"/>
        <v>►</v>
      </c>
      <c r="AG421" s="6234" t="str">
        <f t="shared" si="167"/>
        <v/>
      </c>
      <c r="AH421" s="6732" t="str">
        <f t="shared" si="168"/>
        <v/>
      </c>
      <c r="AI421" s="6234" t="str">
        <f t="shared" si="169"/>
        <v/>
      </c>
      <c r="AJ421" s="6732" t="str">
        <f t="shared" si="170"/>
        <v/>
      </c>
      <c r="AK421" s="6732">
        <f t="shared" si="171"/>
        <v>0</v>
      </c>
      <c r="AL421" s="6230" t="str" cm="1">
        <f t="array" ref="AL421">IF(AF421&lt;&gt;"A","",IFERROR((IFERROR(_xlfn.XLOOKUP(TRIM(SUBSTITUTE(U421,CHAR(160)," ")),$BJ$15:$BJ$62,$BM$15:$BM$62),IFERROR(_xlfn.XLOOKUP(TRIM(SUBSTITUTE(U421,CHAR(160)," ")),$BK$15:$BK$62,$BM$15:$BM$62),_xlfn.XLOOKUP(TRIM(SUBSTITUTE(U421,CHAR(160)," ")),$BL$15:$BL$62,$BM$15:$BM$62))))*T421*IF(ISBLANK(Q421),1,Q421)+IFERROR(_xlfn.XLOOKUP("RECHERCHEX",TRIM(L421:AD421),L421:AD421),0),0))</f>
        <v/>
      </c>
      <c r="AM421" s="6229">
        <f t="shared" si="172"/>
        <v>0</v>
      </c>
      <c r="AN421" s="6857" t="str">
        <f t="shared" si="187"/>
        <v/>
      </c>
      <c r="AO421" s="392">
        <f t="shared" si="173"/>
        <v>0</v>
      </c>
      <c r="AP421" s="392">
        <f t="shared" si="174"/>
        <v>0</v>
      </c>
      <c r="AQ421" s="6191">
        <f t="shared" si="175"/>
        <v>0</v>
      </c>
      <c r="AR421" s="6859" t="str">
        <f t="shared" si="176"/>
        <v/>
      </c>
      <c r="AS421" s="6217"/>
      <c r="AT421" s="6217"/>
      <c r="AU421" s="6272">
        <f t="shared" si="177"/>
        <v>0</v>
      </c>
      <c r="AV421" s="6240">
        <f t="shared" si="178"/>
        <v>0</v>
      </c>
      <c r="AW421" s="6189" cm="1">
        <f t="array" ref="AW421">IF(AK421&lt;&gt;1,0,IF(OR(AU421="",N(AU421)&lt;=0.000000001),"",IF(OR(AO421="",N(AO421)&lt;=0.000000001),0,IF(ISNUMBER(AU421),IFERROR(_xlfn.LET(_xlpm.ai_test,TRIM(AJ421),_xlpm.r,IFERROR(_xlfn.XLOOKUP(_xlpm.ai_test,$BJ$15:$BJ$62,ROW($BJ$15:$BJ$62),0,1),IFERROR(_xlfn.XLOOKUP(_xlpm.ai_test,$BK$15:$BK$62,ROW($BK$15:$BK$62),0,1),_xlfn.XLOOKUP(_xlpm.ai_test,$BL$15:$BL$62,ROW($BL$15:$BL$62),0,1))),_xlpm.p,_xlpm.r-MIN(ROW($BJ$15:$BJ$62))+1,_xlpm.f,INDEX($BM$15:$BM$62,_xlpm.p),_xlpm.u,INDEX($BN$15:$BN$62,_xlpm.p),_xlpm.s,INDEX($BP$15:$BP$62,_xlpm.p),_xlpm.q,N(AU421)/_xlpm.f,IF(_xlpm.q&gt;=_xlpm.s,ROUND(_xlpm.q,1)&amp;" "&amp;_xlpm.ai_test&amp;" = "&amp;ROUND(_xlpm.q*_xlpm.f,1)&amp;" "&amp;_xlpm.u,ROUND(_xlpm.q,1)&amp;" "&amp;_xlpm.ai_test)),""),""))))</f>
        <v>0</v>
      </c>
      <c r="AX421" s="6218"/>
      <c r="AY421" s="6272">
        <f t="shared" si="179"/>
        <v>0</v>
      </c>
      <c r="AZ421" s="6240" t="str">
        <f t="shared" si="180"/>
        <v/>
      </c>
      <c r="BA421" s="6195">
        <f t="shared" si="185"/>
        <v>0</v>
      </c>
      <c r="BB421" s="6193" t="str">
        <f t="shared" si="181"/>
        <v/>
      </c>
      <c r="BC421" s="6219"/>
      <c r="BD421" s="6222">
        <f t="shared" si="186"/>
        <v>0</v>
      </c>
      <c r="BE421" s="6220" t="str">
        <f t="shared" si="182"/>
        <v/>
      </c>
      <c r="BF421" s="4" t="s">
        <v>1</v>
      </c>
      <c r="BG421" s="6196">
        <f t="shared" si="183"/>
        <v>0</v>
      </c>
      <c r="BH421" s="6197">
        <f t="shared" si="184"/>
        <v>0</v>
      </c>
      <c r="BI421"/>
      <c r="BJ421" s="1"/>
      <c r="BK421" s="1"/>
      <c r="BL421" s="1"/>
      <c r="BM421" s="1"/>
      <c r="BN421" s="1"/>
      <c r="BO421" s="1"/>
      <c r="BP421" s="1"/>
      <c r="BQ421" s="1"/>
      <c r="BX421" s="20" t="str">
        <f t="shared" si="165"/>
        <v>►</v>
      </c>
      <c r="BY421" s="2"/>
      <c r="BZ421" s="2"/>
      <c r="CA421" s="2"/>
      <c r="CB421" s="2"/>
      <c r="CC421" s="2"/>
      <c r="DC421" s="5">
        <v>1</v>
      </c>
    </row>
    <row r="422" spans="12:107" ht="21" customHeight="1">
      <c r="L422" s="1021" t="s">
        <v>26</v>
      </c>
      <c r="M422" s="6787"/>
      <c r="N422" s="6787"/>
      <c r="O422" s="6787"/>
      <c r="P422" s="6788"/>
      <c r="Q422" s="6789"/>
      <c r="R422" s="6790"/>
      <c r="S422" s="6786"/>
      <c r="T422" s="6791"/>
      <c r="U422" s="6844"/>
      <c r="V422" s="6791"/>
      <c r="W422" s="8487"/>
      <c r="X422" s="6871"/>
      <c r="Y422" s="6793"/>
      <c r="Z422" s="6794"/>
      <c r="AA422" s="6795"/>
      <c r="AB422" s="6796"/>
      <c r="AC422" s="6797"/>
      <c r="AD422" s="6798"/>
      <c r="AE422" s="4" t="s">
        <v>1</v>
      </c>
      <c r="AF422" s="6202" t="str">
        <f t="shared" si="166"/>
        <v>►</v>
      </c>
      <c r="AG422" s="6234" t="str">
        <f t="shared" si="167"/>
        <v/>
      </c>
      <c r="AH422" s="6732" t="str">
        <f t="shared" si="168"/>
        <v/>
      </c>
      <c r="AI422" s="6234" t="str">
        <f t="shared" si="169"/>
        <v/>
      </c>
      <c r="AJ422" s="6732" t="str">
        <f t="shared" si="170"/>
        <v/>
      </c>
      <c r="AK422" s="6732">
        <f t="shared" si="171"/>
        <v>0</v>
      </c>
      <c r="AL422" s="6230" t="str" cm="1">
        <f t="array" ref="AL422">IF(AF422&lt;&gt;"A","",IFERROR((IFERROR(_xlfn.XLOOKUP(TRIM(SUBSTITUTE(U422,CHAR(160)," ")),$BJ$15:$BJ$62,$BM$15:$BM$62),IFERROR(_xlfn.XLOOKUP(TRIM(SUBSTITUTE(U422,CHAR(160)," ")),$BK$15:$BK$62,$BM$15:$BM$62),_xlfn.XLOOKUP(TRIM(SUBSTITUTE(U422,CHAR(160)," ")),$BL$15:$BL$62,$BM$15:$BM$62))))*T422*IF(ISBLANK(Q422),1,Q422)+IFERROR(_xlfn.XLOOKUP("RECHERCHEX",TRIM(L422:AD422),L422:AD422),0),0))</f>
        <v/>
      </c>
      <c r="AM422" s="6229">
        <f t="shared" si="172"/>
        <v>0</v>
      </c>
      <c r="AN422" s="6857" t="str">
        <f t="shared" si="187"/>
        <v/>
      </c>
      <c r="AO422" s="392">
        <f t="shared" si="173"/>
        <v>0</v>
      </c>
      <c r="AP422" s="392">
        <f t="shared" si="174"/>
        <v>0</v>
      </c>
      <c r="AQ422" s="6190">
        <f t="shared" si="175"/>
        <v>0</v>
      </c>
      <c r="AR422" s="6858" t="str">
        <f t="shared" si="176"/>
        <v/>
      </c>
      <c r="AS422" s="6217"/>
      <c r="AT422" s="6217"/>
      <c r="AU422" s="6271">
        <f t="shared" si="177"/>
        <v>0</v>
      </c>
      <c r="AV422" s="6242">
        <f t="shared" si="178"/>
        <v>0</v>
      </c>
      <c r="AW422" s="6188" cm="1">
        <f t="array" ref="AW422">IF(AK422&lt;&gt;1,0,IF(OR(AU422="",N(AU422)&lt;=0.000000001),"",IF(OR(AO422="",N(AO422)&lt;=0.000000001),0,IF(ISNUMBER(AU422),IFERROR(_xlfn.LET(_xlpm.ai_test,TRIM(AJ422),_xlpm.r,IFERROR(_xlfn.XLOOKUP(_xlpm.ai_test,$BJ$15:$BJ$62,ROW($BJ$15:$BJ$62),0,1),IFERROR(_xlfn.XLOOKUP(_xlpm.ai_test,$BK$15:$BK$62,ROW($BK$15:$BK$62),0,1),_xlfn.XLOOKUP(_xlpm.ai_test,$BL$15:$BL$62,ROW($BL$15:$BL$62),0,1))),_xlpm.p,_xlpm.r-MIN(ROW($BJ$15:$BJ$62))+1,_xlpm.f,INDEX($BM$15:$BM$62,_xlpm.p),_xlpm.u,INDEX($BN$15:$BN$62,_xlpm.p),_xlpm.s,INDEX($BP$15:$BP$62,_xlpm.p),_xlpm.q,N(AU422)/_xlpm.f,IF(_xlpm.q&gt;=_xlpm.s,ROUND(_xlpm.q,1)&amp;" "&amp;_xlpm.ai_test&amp;" = "&amp;ROUND(_xlpm.q*_xlpm.f,1)&amp;" "&amp;_xlpm.u,ROUND(_xlpm.q,1)&amp;" "&amp;_xlpm.ai_test)),""),""))))</f>
        <v>0</v>
      </c>
      <c r="AX422" s="6218"/>
      <c r="AY422" s="6271">
        <f t="shared" si="179"/>
        <v>0</v>
      </c>
      <c r="AZ422" s="6242" t="str">
        <f t="shared" si="180"/>
        <v/>
      </c>
      <c r="BA422" s="6194">
        <f t="shared" si="185"/>
        <v>0</v>
      </c>
      <c r="BB422" s="6192" t="str">
        <f t="shared" si="181"/>
        <v/>
      </c>
      <c r="BC422" s="6219"/>
      <c r="BD422" s="6221">
        <f t="shared" si="186"/>
        <v>0</v>
      </c>
      <c r="BE422" s="6220" t="str">
        <f t="shared" si="182"/>
        <v/>
      </c>
      <c r="BF422" s="4" t="s">
        <v>1</v>
      </c>
      <c r="BG422" s="6196">
        <f t="shared" si="183"/>
        <v>0</v>
      </c>
      <c r="BH422" s="6197">
        <f t="shared" si="184"/>
        <v>0</v>
      </c>
      <c r="BI422"/>
      <c r="BJ422" s="1"/>
      <c r="BK422" s="1"/>
      <c r="BL422" s="1"/>
      <c r="BM422" s="1"/>
      <c r="BN422" s="1"/>
      <c r="BO422" s="1"/>
      <c r="BP422" s="1"/>
      <c r="BQ422" s="1"/>
      <c r="BX422" s="20" t="str">
        <f t="shared" si="165"/>
        <v>►</v>
      </c>
      <c r="BY422" s="2"/>
      <c r="BZ422" s="2"/>
      <c r="CA422" s="2"/>
      <c r="CB422" s="2"/>
      <c r="CC422" s="2"/>
      <c r="DC422" s="5">
        <v>1</v>
      </c>
    </row>
    <row r="423" spans="12:107" ht="21" customHeight="1">
      <c r="L423" s="1021" t="s">
        <v>26</v>
      </c>
      <c r="M423" s="6787"/>
      <c r="N423" s="6787"/>
      <c r="O423" s="6787"/>
      <c r="P423" s="6788"/>
      <c r="Q423" s="6789"/>
      <c r="R423" s="6790"/>
      <c r="S423" s="6786"/>
      <c r="T423" s="6791"/>
      <c r="U423" s="6844"/>
      <c r="V423" s="6791"/>
      <c r="W423" s="8487"/>
      <c r="X423" s="6871"/>
      <c r="Y423" s="6793"/>
      <c r="Z423" s="6794"/>
      <c r="AA423" s="6795"/>
      <c r="AB423" s="6796"/>
      <c r="AC423" s="6797"/>
      <c r="AD423" s="6798"/>
      <c r="AE423" s="4" t="s">
        <v>1</v>
      </c>
      <c r="AF423" s="6202" t="str">
        <f t="shared" si="166"/>
        <v>►</v>
      </c>
      <c r="AG423" s="6234" t="str">
        <f t="shared" si="167"/>
        <v/>
      </c>
      <c r="AH423" s="6732" t="str">
        <f t="shared" si="168"/>
        <v/>
      </c>
      <c r="AI423" s="6234" t="str">
        <f t="shared" si="169"/>
        <v/>
      </c>
      <c r="AJ423" s="6732" t="str">
        <f t="shared" si="170"/>
        <v/>
      </c>
      <c r="AK423" s="6732">
        <f t="shared" si="171"/>
        <v>0</v>
      </c>
      <c r="AL423" s="6230" t="str" cm="1">
        <f t="array" ref="AL423">IF(AF423&lt;&gt;"A","",IFERROR((IFERROR(_xlfn.XLOOKUP(TRIM(SUBSTITUTE(U423,CHAR(160)," ")),$BJ$15:$BJ$62,$BM$15:$BM$62),IFERROR(_xlfn.XLOOKUP(TRIM(SUBSTITUTE(U423,CHAR(160)," ")),$BK$15:$BK$62,$BM$15:$BM$62),_xlfn.XLOOKUP(TRIM(SUBSTITUTE(U423,CHAR(160)," ")),$BL$15:$BL$62,$BM$15:$BM$62))))*T423*IF(ISBLANK(Q423),1,Q423)+IFERROR(_xlfn.XLOOKUP("RECHERCHEX",TRIM(L423:AD423),L423:AD423),0),0))</f>
        <v/>
      </c>
      <c r="AM423" s="6229">
        <f t="shared" si="172"/>
        <v>0</v>
      </c>
      <c r="AN423" s="6857" t="str">
        <f t="shared" si="187"/>
        <v/>
      </c>
      <c r="AO423" s="392">
        <f t="shared" si="173"/>
        <v>0</v>
      </c>
      <c r="AP423" s="392">
        <f t="shared" si="174"/>
        <v>0</v>
      </c>
      <c r="AQ423" s="6191">
        <f t="shared" si="175"/>
        <v>0</v>
      </c>
      <c r="AR423" s="6859" t="str">
        <f t="shared" si="176"/>
        <v/>
      </c>
      <c r="AS423" s="6217"/>
      <c r="AT423" s="6217"/>
      <c r="AU423" s="6272">
        <f t="shared" si="177"/>
        <v>0</v>
      </c>
      <c r="AV423" s="6240">
        <f t="shared" si="178"/>
        <v>0</v>
      </c>
      <c r="AW423" s="6189" cm="1">
        <f t="array" ref="AW423">IF(AK423&lt;&gt;1,0,IF(OR(AU423="",N(AU423)&lt;=0.000000001),"",IF(OR(AO423="",N(AO423)&lt;=0.000000001),0,IF(ISNUMBER(AU423),IFERROR(_xlfn.LET(_xlpm.ai_test,TRIM(AJ423),_xlpm.r,IFERROR(_xlfn.XLOOKUP(_xlpm.ai_test,$BJ$15:$BJ$62,ROW($BJ$15:$BJ$62),0,1),IFERROR(_xlfn.XLOOKUP(_xlpm.ai_test,$BK$15:$BK$62,ROW($BK$15:$BK$62),0,1),_xlfn.XLOOKUP(_xlpm.ai_test,$BL$15:$BL$62,ROW($BL$15:$BL$62),0,1))),_xlpm.p,_xlpm.r-MIN(ROW($BJ$15:$BJ$62))+1,_xlpm.f,INDEX($BM$15:$BM$62,_xlpm.p),_xlpm.u,INDEX($BN$15:$BN$62,_xlpm.p),_xlpm.s,INDEX($BP$15:$BP$62,_xlpm.p),_xlpm.q,N(AU423)/_xlpm.f,IF(_xlpm.q&gt;=_xlpm.s,ROUND(_xlpm.q,1)&amp;" "&amp;_xlpm.ai_test&amp;" = "&amp;ROUND(_xlpm.q*_xlpm.f,1)&amp;" "&amp;_xlpm.u,ROUND(_xlpm.q,1)&amp;" "&amp;_xlpm.ai_test)),""),""))))</f>
        <v>0</v>
      </c>
      <c r="AX423" s="6218"/>
      <c r="AY423" s="6272">
        <f t="shared" si="179"/>
        <v>0</v>
      </c>
      <c r="AZ423" s="6240" t="str">
        <f t="shared" si="180"/>
        <v/>
      </c>
      <c r="BA423" s="6195">
        <f t="shared" si="185"/>
        <v>0</v>
      </c>
      <c r="BB423" s="6193" t="str">
        <f t="shared" si="181"/>
        <v/>
      </c>
      <c r="BC423" s="6219"/>
      <c r="BD423" s="6222">
        <f t="shared" si="186"/>
        <v>0</v>
      </c>
      <c r="BE423" s="6220" t="str">
        <f t="shared" si="182"/>
        <v/>
      </c>
      <c r="BF423" s="4" t="s">
        <v>1</v>
      </c>
      <c r="BG423" s="6196">
        <f t="shared" si="183"/>
        <v>0</v>
      </c>
      <c r="BH423" s="6197">
        <f t="shared" si="184"/>
        <v>0</v>
      </c>
      <c r="BI423"/>
      <c r="BJ423" s="1"/>
      <c r="BK423" s="1"/>
      <c r="BL423" s="1"/>
      <c r="BM423" s="1"/>
      <c r="BN423" s="1"/>
      <c r="BO423" s="1"/>
      <c r="BP423" s="1"/>
      <c r="BQ423" s="1"/>
      <c r="BX423" s="20" t="str">
        <f t="shared" si="165"/>
        <v>►</v>
      </c>
      <c r="BY423" s="2"/>
      <c r="BZ423" s="2"/>
      <c r="CA423" s="2"/>
      <c r="CB423" s="2"/>
      <c r="CC423" s="2"/>
      <c r="DC423" s="5">
        <v>1</v>
      </c>
    </row>
    <row r="424" spans="12:107" ht="21" customHeight="1">
      <c r="L424" s="1021" t="s">
        <v>26</v>
      </c>
      <c r="M424" s="6787"/>
      <c r="N424" s="6787"/>
      <c r="O424" s="6787"/>
      <c r="P424" s="6788"/>
      <c r="Q424" s="6789"/>
      <c r="R424" s="6790"/>
      <c r="S424" s="6786"/>
      <c r="T424" s="6791"/>
      <c r="U424" s="6844"/>
      <c r="V424" s="6791"/>
      <c r="W424" s="8487"/>
      <c r="X424" s="6871"/>
      <c r="Y424" s="6793"/>
      <c r="Z424" s="6794"/>
      <c r="AA424" s="6795"/>
      <c r="AB424" s="6796"/>
      <c r="AC424" s="6797"/>
      <c r="AD424" s="6798"/>
      <c r="AE424" s="4" t="s">
        <v>1</v>
      </c>
      <c r="AF424" s="6202" t="str">
        <f t="shared" si="166"/>
        <v>►</v>
      </c>
      <c r="AG424" s="6234" t="str">
        <f t="shared" si="167"/>
        <v/>
      </c>
      <c r="AH424" s="6732" t="str">
        <f t="shared" si="168"/>
        <v/>
      </c>
      <c r="AI424" s="6234" t="str">
        <f t="shared" si="169"/>
        <v/>
      </c>
      <c r="AJ424" s="6732" t="str">
        <f t="shared" si="170"/>
        <v/>
      </c>
      <c r="AK424" s="6732">
        <f t="shared" si="171"/>
        <v>0</v>
      </c>
      <c r="AL424" s="6230" t="str" cm="1">
        <f t="array" ref="AL424">IF(AF424&lt;&gt;"A","",IFERROR((IFERROR(_xlfn.XLOOKUP(TRIM(SUBSTITUTE(U424,CHAR(160)," ")),$BJ$15:$BJ$62,$BM$15:$BM$62),IFERROR(_xlfn.XLOOKUP(TRIM(SUBSTITUTE(U424,CHAR(160)," ")),$BK$15:$BK$62,$BM$15:$BM$62),_xlfn.XLOOKUP(TRIM(SUBSTITUTE(U424,CHAR(160)," ")),$BL$15:$BL$62,$BM$15:$BM$62))))*T424*IF(ISBLANK(Q424),1,Q424)+IFERROR(_xlfn.XLOOKUP("RECHERCHEX",TRIM(L424:AD424),L424:AD424),0),0))</f>
        <v/>
      </c>
      <c r="AM424" s="6229">
        <f t="shared" si="172"/>
        <v>0</v>
      </c>
      <c r="AN424" s="6857" t="str">
        <f t="shared" si="187"/>
        <v/>
      </c>
      <c r="AO424" s="392">
        <f t="shared" si="173"/>
        <v>0</v>
      </c>
      <c r="AP424" s="392">
        <f t="shared" si="174"/>
        <v>0</v>
      </c>
      <c r="AQ424" s="6190">
        <f t="shared" si="175"/>
        <v>0</v>
      </c>
      <c r="AR424" s="6858" t="str">
        <f t="shared" si="176"/>
        <v/>
      </c>
      <c r="AS424" s="6217"/>
      <c r="AT424" s="6217"/>
      <c r="AU424" s="6271">
        <f t="shared" si="177"/>
        <v>0</v>
      </c>
      <c r="AV424" s="6242">
        <f t="shared" si="178"/>
        <v>0</v>
      </c>
      <c r="AW424" s="6188" cm="1">
        <f t="array" ref="AW424">IF(AK424&lt;&gt;1,0,IF(OR(AU424="",N(AU424)&lt;=0.000000001),"",IF(OR(AO424="",N(AO424)&lt;=0.000000001),0,IF(ISNUMBER(AU424),IFERROR(_xlfn.LET(_xlpm.ai_test,TRIM(AJ424),_xlpm.r,IFERROR(_xlfn.XLOOKUP(_xlpm.ai_test,$BJ$15:$BJ$62,ROW($BJ$15:$BJ$62),0,1),IFERROR(_xlfn.XLOOKUP(_xlpm.ai_test,$BK$15:$BK$62,ROW($BK$15:$BK$62),0,1),_xlfn.XLOOKUP(_xlpm.ai_test,$BL$15:$BL$62,ROW($BL$15:$BL$62),0,1))),_xlpm.p,_xlpm.r-MIN(ROW($BJ$15:$BJ$62))+1,_xlpm.f,INDEX($BM$15:$BM$62,_xlpm.p),_xlpm.u,INDEX($BN$15:$BN$62,_xlpm.p),_xlpm.s,INDEX($BP$15:$BP$62,_xlpm.p),_xlpm.q,N(AU424)/_xlpm.f,IF(_xlpm.q&gt;=_xlpm.s,ROUND(_xlpm.q,1)&amp;" "&amp;_xlpm.ai_test&amp;" = "&amp;ROUND(_xlpm.q*_xlpm.f,1)&amp;" "&amp;_xlpm.u,ROUND(_xlpm.q,1)&amp;" "&amp;_xlpm.ai_test)),""),""))))</f>
        <v>0</v>
      </c>
      <c r="AX424" s="6218"/>
      <c r="AY424" s="6271">
        <f t="shared" si="179"/>
        <v>0</v>
      </c>
      <c r="AZ424" s="6242" t="str">
        <f t="shared" si="180"/>
        <v/>
      </c>
      <c r="BA424" s="6194">
        <f t="shared" si="185"/>
        <v>0</v>
      </c>
      <c r="BB424" s="6192" t="str">
        <f t="shared" si="181"/>
        <v/>
      </c>
      <c r="BC424" s="6219"/>
      <c r="BD424" s="6221">
        <f t="shared" si="186"/>
        <v>0</v>
      </c>
      <c r="BE424" s="6220" t="str">
        <f t="shared" si="182"/>
        <v/>
      </c>
      <c r="BF424" s="4" t="s">
        <v>1</v>
      </c>
      <c r="BG424" s="6196">
        <f t="shared" si="183"/>
        <v>0</v>
      </c>
      <c r="BH424" s="6197">
        <f t="shared" si="184"/>
        <v>0</v>
      </c>
      <c r="BI424"/>
      <c r="BJ424" s="1"/>
      <c r="BK424" s="1"/>
      <c r="BL424" s="1"/>
      <c r="BM424" s="1"/>
      <c r="BN424" s="1"/>
      <c r="BO424" s="1"/>
      <c r="BP424" s="1"/>
      <c r="BQ424" s="1"/>
      <c r="BX424" s="20" t="str">
        <f t="shared" si="165"/>
        <v>►</v>
      </c>
      <c r="BY424" s="2"/>
      <c r="BZ424" s="2"/>
      <c r="CA424" s="2"/>
      <c r="CB424" s="2"/>
      <c r="CC424" s="2"/>
      <c r="DC424" s="5">
        <v>1</v>
      </c>
    </row>
    <row r="425" spans="12:107" ht="21" customHeight="1">
      <c r="L425" s="1021" t="s">
        <v>26</v>
      </c>
      <c r="M425" s="6787"/>
      <c r="N425" s="6787"/>
      <c r="O425" s="6787"/>
      <c r="P425" s="6788"/>
      <c r="Q425" s="6789"/>
      <c r="R425" s="6790"/>
      <c r="S425" s="6786"/>
      <c r="T425" s="6791"/>
      <c r="U425" s="6844"/>
      <c r="V425" s="6791"/>
      <c r="W425" s="8487"/>
      <c r="X425" s="6871"/>
      <c r="Y425" s="6793"/>
      <c r="Z425" s="6794"/>
      <c r="AA425" s="6795"/>
      <c r="AB425" s="6796"/>
      <c r="AC425" s="6797"/>
      <c r="AD425" s="6798"/>
      <c r="AE425" s="4" t="s">
        <v>1</v>
      </c>
      <c r="AF425" s="6202" t="str">
        <f t="shared" si="166"/>
        <v>►</v>
      </c>
      <c r="AG425" s="6234" t="str">
        <f t="shared" si="167"/>
        <v/>
      </c>
      <c r="AH425" s="6732" t="str">
        <f t="shared" si="168"/>
        <v/>
      </c>
      <c r="AI425" s="6234" t="str">
        <f t="shared" si="169"/>
        <v/>
      </c>
      <c r="AJ425" s="6732" t="str">
        <f t="shared" si="170"/>
        <v/>
      </c>
      <c r="AK425" s="6732">
        <f t="shared" si="171"/>
        <v>0</v>
      </c>
      <c r="AL425" s="6230" t="str" cm="1">
        <f t="array" ref="AL425">IF(AF425&lt;&gt;"A","",IFERROR((IFERROR(_xlfn.XLOOKUP(TRIM(SUBSTITUTE(U425,CHAR(160)," ")),$BJ$15:$BJ$62,$BM$15:$BM$62),IFERROR(_xlfn.XLOOKUP(TRIM(SUBSTITUTE(U425,CHAR(160)," ")),$BK$15:$BK$62,$BM$15:$BM$62),_xlfn.XLOOKUP(TRIM(SUBSTITUTE(U425,CHAR(160)," ")),$BL$15:$BL$62,$BM$15:$BM$62))))*T425*IF(ISBLANK(Q425),1,Q425)+IFERROR(_xlfn.XLOOKUP("RECHERCHEX",TRIM(L425:AD425),L425:AD425),0),0))</f>
        <v/>
      </c>
      <c r="AM425" s="6229">
        <f t="shared" si="172"/>
        <v>0</v>
      </c>
      <c r="AN425" s="6857" t="str">
        <f t="shared" si="187"/>
        <v/>
      </c>
      <c r="AO425" s="392">
        <f t="shared" si="173"/>
        <v>0</v>
      </c>
      <c r="AP425" s="392">
        <f t="shared" si="174"/>
        <v>0</v>
      </c>
      <c r="AQ425" s="6191">
        <f t="shared" si="175"/>
        <v>0</v>
      </c>
      <c r="AR425" s="6859" t="str">
        <f t="shared" si="176"/>
        <v/>
      </c>
      <c r="AS425" s="6217"/>
      <c r="AT425" s="6217"/>
      <c r="AU425" s="6272">
        <f t="shared" si="177"/>
        <v>0</v>
      </c>
      <c r="AV425" s="6240">
        <f t="shared" si="178"/>
        <v>0</v>
      </c>
      <c r="AW425" s="6189" cm="1">
        <f t="array" ref="AW425">IF(AK425&lt;&gt;1,0,IF(OR(AU425="",N(AU425)&lt;=0.000000001),"",IF(OR(AO425="",N(AO425)&lt;=0.000000001),0,IF(ISNUMBER(AU425),IFERROR(_xlfn.LET(_xlpm.ai_test,TRIM(AJ425),_xlpm.r,IFERROR(_xlfn.XLOOKUP(_xlpm.ai_test,$BJ$15:$BJ$62,ROW($BJ$15:$BJ$62),0,1),IFERROR(_xlfn.XLOOKUP(_xlpm.ai_test,$BK$15:$BK$62,ROW($BK$15:$BK$62),0,1),_xlfn.XLOOKUP(_xlpm.ai_test,$BL$15:$BL$62,ROW($BL$15:$BL$62),0,1))),_xlpm.p,_xlpm.r-MIN(ROW($BJ$15:$BJ$62))+1,_xlpm.f,INDEX($BM$15:$BM$62,_xlpm.p),_xlpm.u,INDEX($BN$15:$BN$62,_xlpm.p),_xlpm.s,INDEX($BP$15:$BP$62,_xlpm.p),_xlpm.q,N(AU425)/_xlpm.f,IF(_xlpm.q&gt;=_xlpm.s,ROUND(_xlpm.q,1)&amp;" "&amp;_xlpm.ai_test&amp;" = "&amp;ROUND(_xlpm.q*_xlpm.f,1)&amp;" "&amp;_xlpm.u,ROUND(_xlpm.q,1)&amp;" "&amp;_xlpm.ai_test)),""),""))))</f>
        <v>0</v>
      </c>
      <c r="AX425" s="6218"/>
      <c r="AY425" s="6272">
        <f t="shared" si="179"/>
        <v>0</v>
      </c>
      <c r="AZ425" s="6240" t="str">
        <f t="shared" si="180"/>
        <v/>
      </c>
      <c r="BA425" s="6195">
        <f t="shared" si="185"/>
        <v>0</v>
      </c>
      <c r="BB425" s="6193" t="str">
        <f t="shared" si="181"/>
        <v/>
      </c>
      <c r="BC425" s="6219"/>
      <c r="BD425" s="6222">
        <f t="shared" si="186"/>
        <v>0</v>
      </c>
      <c r="BE425" s="6220" t="str">
        <f t="shared" si="182"/>
        <v/>
      </c>
      <c r="BF425" s="4" t="s">
        <v>1</v>
      </c>
      <c r="BG425" s="6196">
        <f t="shared" si="183"/>
        <v>0</v>
      </c>
      <c r="BH425" s="6197">
        <f t="shared" si="184"/>
        <v>0</v>
      </c>
      <c r="BI425"/>
      <c r="BJ425" s="1"/>
      <c r="BK425" s="1"/>
      <c r="BL425" s="1"/>
      <c r="BM425" s="1"/>
      <c r="BN425" s="1"/>
      <c r="BO425" s="1"/>
      <c r="BP425" s="1"/>
      <c r="BQ425" s="1"/>
      <c r="BX425" s="20" t="str">
        <f t="shared" si="165"/>
        <v>►</v>
      </c>
      <c r="BY425" s="2"/>
      <c r="BZ425" s="2"/>
      <c r="CA425" s="2"/>
      <c r="CB425" s="2"/>
      <c r="CC425" s="2"/>
      <c r="DC425" s="5">
        <v>1</v>
      </c>
    </row>
    <row r="426" spans="12:107" ht="21" customHeight="1">
      <c r="L426" s="1021" t="s">
        <v>26</v>
      </c>
      <c r="M426" s="6787"/>
      <c r="N426" s="6787"/>
      <c r="O426" s="6787"/>
      <c r="P426" s="6788"/>
      <c r="Q426" s="6789"/>
      <c r="R426" s="6790"/>
      <c r="S426" s="6786"/>
      <c r="T426" s="6791"/>
      <c r="U426" s="6844"/>
      <c r="V426" s="6791"/>
      <c r="W426" s="8487"/>
      <c r="X426" s="6871"/>
      <c r="Y426" s="6793"/>
      <c r="Z426" s="6794"/>
      <c r="AA426" s="6795"/>
      <c r="AB426" s="6796"/>
      <c r="AC426" s="6797"/>
      <c r="AD426" s="6798"/>
      <c r="AE426" s="4" t="s">
        <v>1</v>
      </c>
      <c r="AF426" s="6202" t="str">
        <f t="shared" si="166"/>
        <v>►</v>
      </c>
      <c r="AG426" s="6234" t="str">
        <f t="shared" si="167"/>
        <v/>
      </c>
      <c r="AH426" s="6732" t="str">
        <f t="shared" si="168"/>
        <v/>
      </c>
      <c r="AI426" s="6234" t="str">
        <f t="shared" si="169"/>
        <v/>
      </c>
      <c r="AJ426" s="6732" t="str">
        <f t="shared" si="170"/>
        <v/>
      </c>
      <c r="AK426" s="6732">
        <f t="shared" si="171"/>
        <v>0</v>
      </c>
      <c r="AL426" s="6230" t="str" cm="1">
        <f t="array" ref="AL426">IF(AF426&lt;&gt;"A","",IFERROR((IFERROR(_xlfn.XLOOKUP(TRIM(SUBSTITUTE(U426,CHAR(160)," ")),$BJ$15:$BJ$62,$BM$15:$BM$62),IFERROR(_xlfn.XLOOKUP(TRIM(SUBSTITUTE(U426,CHAR(160)," ")),$BK$15:$BK$62,$BM$15:$BM$62),_xlfn.XLOOKUP(TRIM(SUBSTITUTE(U426,CHAR(160)," ")),$BL$15:$BL$62,$BM$15:$BM$62))))*T426*IF(ISBLANK(Q426),1,Q426)+IFERROR(_xlfn.XLOOKUP("RECHERCHEX",TRIM(L426:AD426),L426:AD426),0),0))</f>
        <v/>
      </c>
      <c r="AM426" s="6229">
        <f t="shared" si="172"/>
        <v>0</v>
      </c>
      <c r="AN426" s="6857" t="str">
        <f t="shared" si="187"/>
        <v/>
      </c>
      <c r="AO426" s="392">
        <f t="shared" si="173"/>
        <v>0</v>
      </c>
      <c r="AP426" s="392">
        <f t="shared" si="174"/>
        <v>0</v>
      </c>
      <c r="AQ426" s="6190">
        <f t="shared" si="175"/>
        <v>0</v>
      </c>
      <c r="AR426" s="6858" t="str">
        <f t="shared" si="176"/>
        <v/>
      </c>
      <c r="AS426" s="6217"/>
      <c r="AT426" s="6217"/>
      <c r="AU426" s="6271">
        <f t="shared" si="177"/>
        <v>0</v>
      </c>
      <c r="AV426" s="6242">
        <f t="shared" si="178"/>
        <v>0</v>
      </c>
      <c r="AW426" s="6188" cm="1">
        <f t="array" ref="AW426">IF(AK426&lt;&gt;1,0,IF(OR(AU426="",N(AU426)&lt;=0.000000001),"",IF(OR(AO426="",N(AO426)&lt;=0.000000001),0,IF(ISNUMBER(AU426),IFERROR(_xlfn.LET(_xlpm.ai_test,TRIM(AJ426),_xlpm.r,IFERROR(_xlfn.XLOOKUP(_xlpm.ai_test,$BJ$15:$BJ$62,ROW($BJ$15:$BJ$62),0,1),IFERROR(_xlfn.XLOOKUP(_xlpm.ai_test,$BK$15:$BK$62,ROW($BK$15:$BK$62),0,1),_xlfn.XLOOKUP(_xlpm.ai_test,$BL$15:$BL$62,ROW($BL$15:$BL$62),0,1))),_xlpm.p,_xlpm.r-MIN(ROW($BJ$15:$BJ$62))+1,_xlpm.f,INDEX($BM$15:$BM$62,_xlpm.p),_xlpm.u,INDEX($BN$15:$BN$62,_xlpm.p),_xlpm.s,INDEX($BP$15:$BP$62,_xlpm.p),_xlpm.q,N(AU426)/_xlpm.f,IF(_xlpm.q&gt;=_xlpm.s,ROUND(_xlpm.q,1)&amp;" "&amp;_xlpm.ai_test&amp;" = "&amp;ROUND(_xlpm.q*_xlpm.f,1)&amp;" "&amp;_xlpm.u,ROUND(_xlpm.q,1)&amp;" "&amp;_xlpm.ai_test)),""),""))))</f>
        <v>0</v>
      </c>
      <c r="AX426" s="6218"/>
      <c r="AY426" s="6271">
        <f t="shared" si="179"/>
        <v>0</v>
      </c>
      <c r="AZ426" s="6242" t="str">
        <f t="shared" si="180"/>
        <v/>
      </c>
      <c r="BA426" s="6194">
        <f t="shared" si="185"/>
        <v>0</v>
      </c>
      <c r="BB426" s="6192" t="str">
        <f t="shared" si="181"/>
        <v/>
      </c>
      <c r="BC426" s="6219"/>
      <c r="BD426" s="6221">
        <f t="shared" si="186"/>
        <v>0</v>
      </c>
      <c r="BE426" s="6220" t="str">
        <f t="shared" si="182"/>
        <v/>
      </c>
      <c r="BF426" s="4" t="s">
        <v>1</v>
      </c>
      <c r="BG426" s="6196">
        <f t="shared" si="183"/>
        <v>0</v>
      </c>
      <c r="BH426" s="6197">
        <f t="shared" si="184"/>
        <v>0</v>
      </c>
      <c r="BI426"/>
      <c r="BJ426" s="1"/>
      <c r="BK426" s="1"/>
      <c r="BL426" s="1"/>
      <c r="BM426" s="1"/>
      <c r="BN426" s="1"/>
      <c r="BO426" s="1"/>
      <c r="BP426" s="1"/>
      <c r="BQ426" s="1"/>
      <c r="BX426" s="20" t="str">
        <f t="shared" si="165"/>
        <v>►</v>
      </c>
      <c r="BY426" s="2"/>
      <c r="BZ426" s="2"/>
      <c r="CA426" s="2"/>
      <c r="CB426" s="2"/>
      <c r="CC426" s="2"/>
      <c r="DC426" s="5">
        <v>1</v>
      </c>
    </row>
    <row r="427" spans="12:107" ht="21" customHeight="1">
      <c r="L427" s="1021" t="s">
        <v>26</v>
      </c>
      <c r="M427" s="6787"/>
      <c r="N427" s="6787"/>
      <c r="O427" s="6787"/>
      <c r="P427" s="6788"/>
      <c r="Q427" s="6789"/>
      <c r="R427" s="6790"/>
      <c r="S427" s="6786"/>
      <c r="T427" s="6791"/>
      <c r="U427" s="6844"/>
      <c r="V427" s="6791"/>
      <c r="W427" s="8487"/>
      <c r="X427" s="6871"/>
      <c r="Y427" s="6793"/>
      <c r="Z427" s="6794"/>
      <c r="AA427" s="6795"/>
      <c r="AB427" s="6796"/>
      <c r="AC427" s="6797"/>
      <c r="AD427" s="6798"/>
      <c r="AE427" s="4" t="s">
        <v>1</v>
      </c>
      <c r="AF427" s="6202" t="str">
        <f t="shared" si="166"/>
        <v>►</v>
      </c>
      <c r="AG427" s="6234" t="str">
        <f t="shared" si="167"/>
        <v/>
      </c>
      <c r="AH427" s="6732" t="str">
        <f t="shared" si="168"/>
        <v/>
      </c>
      <c r="AI427" s="6234" t="str">
        <f t="shared" si="169"/>
        <v/>
      </c>
      <c r="AJ427" s="6732" t="str">
        <f t="shared" si="170"/>
        <v/>
      </c>
      <c r="AK427" s="6732">
        <f t="shared" si="171"/>
        <v>0</v>
      </c>
      <c r="AL427" s="6230" t="str" cm="1">
        <f t="array" ref="AL427">IF(AF427&lt;&gt;"A","",IFERROR((IFERROR(_xlfn.XLOOKUP(TRIM(SUBSTITUTE(U427,CHAR(160)," ")),$BJ$15:$BJ$62,$BM$15:$BM$62),IFERROR(_xlfn.XLOOKUP(TRIM(SUBSTITUTE(U427,CHAR(160)," ")),$BK$15:$BK$62,$BM$15:$BM$62),_xlfn.XLOOKUP(TRIM(SUBSTITUTE(U427,CHAR(160)," ")),$BL$15:$BL$62,$BM$15:$BM$62))))*T427*IF(ISBLANK(Q427),1,Q427)+IFERROR(_xlfn.XLOOKUP("RECHERCHEX",TRIM(L427:AD427),L427:AD427),0),0))</f>
        <v/>
      </c>
      <c r="AM427" s="6229">
        <f t="shared" si="172"/>
        <v>0</v>
      </c>
      <c r="AN427" s="6857" t="str">
        <f t="shared" si="187"/>
        <v/>
      </c>
      <c r="AO427" s="392">
        <f t="shared" si="173"/>
        <v>0</v>
      </c>
      <c r="AP427" s="392">
        <f t="shared" si="174"/>
        <v>0</v>
      </c>
      <c r="AQ427" s="6191">
        <f t="shared" si="175"/>
        <v>0</v>
      </c>
      <c r="AR427" s="6859" t="str">
        <f t="shared" si="176"/>
        <v/>
      </c>
      <c r="AS427" s="6217"/>
      <c r="AT427" s="6217"/>
      <c r="AU427" s="6272">
        <f t="shared" si="177"/>
        <v>0</v>
      </c>
      <c r="AV427" s="6240">
        <f t="shared" si="178"/>
        <v>0</v>
      </c>
      <c r="AW427" s="6189" cm="1">
        <f t="array" ref="AW427">IF(AK427&lt;&gt;1,0,IF(OR(AU427="",N(AU427)&lt;=0.000000001),"",IF(OR(AO427="",N(AO427)&lt;=0.000000001),0,IF(ISNUMBER(AU427),IFERROR(_xlfn.LET(_xlpm.ai_test,TRIM(AJ427),_xlpm.r,IFERROR(_xlfn.XLOOKUP(_xlpm.ai_test,$BJ$15:$BJ$62,ROW($BJ$15:$BJ$62),0,1),IFERROR(_xlfn.XLOOKUP(_xlpm.ai_test,$BK$15:$BK$62,ROW($BK$15:$BK$62),0,1),_xlfn.XLOOKUP(_xlpm.ai_test,$BL$15:$BL$62,ROW($BL$15:$BL$62),0,1))),_xlpm.p,_xlpm.r-MIN(ROW($BJ$15:$BJ$62))+1,_xlpm.f,INDEX($BM$15:$BM$62,_xlpm.p),_xlpm.u,INDEX($BN$15:$BN$62,_xlpm.p),_xlpm.s,INDEX($BP$15:$BP$62,_xlpm.p),_xlpm.q,N(AU427)/_xlpm.f,IF(_xlpm.q&gt;=_xlpm.s,ROUND(_xlpm.q,1)&amp;" "&amp;_xlpm.ai_test&amp;" = "&amp;ROUND(_xlpm.q*_xlpm.f,1)&amp;" "&amp;_xlpm.u,ROUND(_xlpm.q,1)&amp;" "&amp;_xlpm.ai_test)),""),""))))</f>
        <v>0</v>
      </c>
      <c r="AX427" s="6218"/>
      <c r="AY427" s="6272">
        <f t="shared" si="179"/>
        <v>0</v>
      </c>
      <c r="AZ427" s="6240" t="str">
        <f t="shared" si="180"/>
        <v/>
      </c>
      <c r="BA427" s="6195">
        <f t="shared" si="185"/>
        <v>0</v>
      </c>
      <c r="BB427" s="6193" t="str">
        <f t="shared" si="181"/>
        <v/>
      </c>
      <c r="BC427" s="6219"/>
      <c r="BD427" s="6222">
        <f t="shared" si="186"/>
        <v>0</v>
      </c>
      <c r="BE427" s="6220" t="str">
        <f t="shared" si="182"/>
        <v/>
      </c>
      <c r="BF427" s="4" t="s">
        <v>1</v>
      </c>
      <c r="BG427" s="6196">
        <f t="shared" si="183"/>
        <v>0</v>
      </c>
      <c r="BH427" s="6197">
        <f t="shared" si="184"/>
        <v>0</v>
      </c>
      <c r="BI427"/>
      <c r="BJ427" s="1"/>
      <c r="BK427" s="1"/>
      <c r="BL427" s="1"/>
      <c r="BM427" s="1"/>
      <c r="BN427" s="1"/>
      <c r="BO427" s="1"/>
      <c r="BP427" s="1"/>
      <c r="BQ427" s="1"/>
      <c r="BX427" s="20" t="str">
        <f t="shared" si="165"/>
        <v>►</v>
      </c>
      <c r="BY427" s="2"/>
      <c r="BZ427" s="2"/>
      <c r="CA427" s="2"/>
      <c r="CB427" s="2"/>
      <c r="CC427" s="2"/>
      <c r="DC427" s="5">
        <v>1</v>
      </c>
    </row>
    <row r="428" spans="12:107" ht="21" customHeight="1">
      <c r="L428" s="1021" t="s">
        <v>26</v>
      </c>
      <c r="M428" s="6787"/>
      <c r="N428" s="6787"/>
      <c r="O428" s="6787"/>
      <c r="P428" s="6788"/>
      <c r="Q428" s="6789"/>
      <c r="R428" s="6790"/>
      <c r="S428" s="6786"/>
      <c r="T428" s="6791"/>
      <c r="U428" s="6844"/>
      <c r="V428" s="6791"/>
      <c r="W428" s="8487"/>
      <c r="X428" s="6871"/>
      <c r="Y428" s="6793"/>
      <c r="Z428" s="6794"/>
      <c r="AA428" s="6795"/>
      <c r="AB428" s="6796"/>
      <c r="AC428" s="6797"/>
      <c r="AD428" s="6798"/>
      <c r="AE428" s="4" t="s">
        <v>1</v>
      </c>
      <c r="AF428" s="6202" t="str">
        <f t="shared" si="166"/>
        <v>►</v>
      </c>
      <c r="AG428" s="6234" t="str">
        <f t="shared" si="167"/>
        <v/>
      </c>
      <c r="AH428" s="6732" t="str">
        <f t="shared" si="168"/>
        <v/>
      </c>
      <c r="AI428" s="6234" t="str">
        <f t="shared" si="169"/>
        <v/>
      </c>
      <c r="AJ428" s="6732" t="str">
        <f t="shared" si="170"/>
        <v/>
      </c>
      <c r="AK428" s="6732">
        <f t="shared" si="171"/>
        <v>0</v>
      </c>
      <c r="AL428" s="6230" t="str" cm="1">
        <f t="array" ref="AL428">IF(AF428&lt;&gt;"A","",IFERROR((IFERROR(_xlfn.XLOOKUP(TRIM(SUBSTITUTE(U428,CHAR(160)," ")),$BJ$15:$BJ$62,$BM$15:$BM$62),IFERROR(_xlfn.XLOOKUP(TRIM(SUBSTITUTE(U428,CHAR(160)," ")),$BK$15:$BK$62,$BM$15:$BM$62),_xlfn.XLOOKUP(TRIM(SUBSTITUTE(U428,CHAR(160)," ")),$BL$15:$BL$62,$BM$15:$BM$62))))*T428*IF(ISBLANK(Q428),1,Q428)+IFERROR(_xlfn.XLOOKUP("RECHERCHEX",TRIM(L428:AD428),L428:AD428),0),0))</f>
        <v/>
      </c>
      <c r="AM428" s="6229">
        <f t="shared" si="172"/>
        <v>0</v>
      </c>
      <c r="AN428" s="6857" t="str">
        <f t="shared" si="187"/>
        <v/>
      </c>
      <c r="AO428" s="392">
        <f t="shared" si="173"/>
        <v>0</v>
      </c>
      <c r="AP428" s="392">
        <f t="shared" si="174"/>
        <v>0</v>
      </c>
      <c r="AQ428" s="6190">
        <f t="shared" si="175"/>
        <v>0</v>
      </c>
      <c r="AR428" s="6858" t="str">
        <f t="shared" si="176"/>
        <v/>
      </c>
      <c r="AS428" s="6217"/>
      <c r="AT428" s="6217"/>
      <c r="AU428" s="6271">
        <f t="shared" si="177"/>
        <v>0</v>
      </c>
      <c r="AV428" s="6242">
        <f t="shared" si="178"/>
        <v>0</v>
      </c>
      <c r="AW428" s="6188" cm="1">
        <f t="array" ref="AW428">IF(AK428&lt;&gt;1,0,IF(OR(AU428="",N(AU428)&lt;=0.000000001),"",IF(OR(AO428="",N(AO428)&lt;=0.000000001),0,IF(ISNUMBER(AU428),IFERROR(_xlfn.LET(_xlpm.ai_test,TRIM(AJ428),_xlpm.r,IFERROR(_xlfn.XLOOKUP(_xlpm.ai_test,$BJ$15:$BJ$62,ROW($BJ$15:$BJ$62),0,1),IFERROR(_xlfn.XLOOKUP(_xlpm.ai_test,$BK$15:$BK$62,ROW($BK$15:$BK$62),0,1),_xlfn.XLOOKUP(_xlpm.ai_test,$BL$15:$BL$62,ROW($BL$15:$BL$62),0,1))),_xlpm.p,_xlpm.r-MIN(ROW($BJ$15:$BJ$62))+1,_xlpm.f,INDEX($BM$15:$BM$62,_xlpm.p),_xlpm.u,INDEX($BN$15:$BN$62,_xlpm.p),_xlpm.s,INDEX($BP$15:$BP$62,_xlpm.p),_xlpm.q,N(AU428)/_xlpm.f,IF(_xlpm.q&gt;=_xlpm.s,ROUND(_xlpm.q,1)&amp;" "&amp;_xlpm.ai_test&amp;" = "&amp;ROUND(_xlpm.q*_xlpm.f,1)&amp;" "&amp;_xlpm.u,ROUND(_xlpm.q,1)&amp;" "&amp;_xlpm.ai_test)),""),""))))</f>
        <v>0</v>
      </c>
      <c r="AX428" s="6218"/>
      <c r="AY428" s="6271">
        <f t="shared" si="179"/>
        <v>0</v>
      </c>
      <c r="AZ428" s="6242" t="str">
        <f t="shared" si="180"/>
        <v/>
      </c>
      <c r="BA428" s="6194">
        <f t="shared" si="185"/>
        <v>0</v>
      </c>
      <c r="BB428" s="6192" t="str">
        <f t="shared" si="181"/>
        <v/>
      </c>
      <c r="BC428" s="6219"/>
      <c r="BD428" s="6221">
        <f t="shared" si="186"/>
        <v>0</v>
      </c>
      <c r="BE428" s="6220" t="str">
        <f t="shared" si="182"/>
        <v/>
      </c>
      <c r="BF428" s="4" t="s">
        <v>1</v>
      </c>
      <c r="BG428" s="6196">
        <f t="shared" si="183"/>
        <v>0</v>
      </c>
      <c r="BH428" s="6197">
        <f t="shared" si="184"/>
        <v>0</v>
      </c>
      <c r="BI428"/>
      <c r="BJ428" s="1"/>
      <c r="BK428" s="1"/>
      <c r="BL428" s="1"/>
      <c r="BM428" s="1"/>
      <c r="BN428" s="1"/>
      <c r="BO428" s="1"/>
      <c r="BP428" s="1"/>
      <c r="BQ428" s="1"/>
      <c r="BX428" s="20" t="str">
        <f t="shared" si="165"/>
        <v>►</v>
      </c>
      <c r="BY428" s="2"/>
      <c r="BZ428" s="2"/>
      <c r="CA428" s="2"/>
      <c r="CB428" s="2"/>
      <c r="CC428" s="2"/>
      <c r="DC428" s="5">
        <v>1</v>
      </c>
    </row>
    <row r="429" spans="12:107" ht="21" customHeight="1">
      <c r="L429" s="1021" t="s">
        <v>26</v>
      </c>
      <c r="M429" s="6787"/>
      <c r="N429" s="6787"/>
      <c r="O429" s="6787"/>
      <c r="P429" s="6788"/>
      <c r="Q429" s="6789"/>
      <c r="R429" s="6790"/>
      <c r="S429" s="6786"/>
      <c r="T429" s="6791"/>
      <c r="U429" s="6844"/>
      <c r="V429" s="6791"/>
      <c r="W429" s="8487"/>
      <c r="X429" s="6871"/>
      <c r="Y429" s="6793"/>
      <c r="Z429" s="6794"/>
      <c r="AA429" s="6795"/>
      <c r="AB429" s="6796"/>
      <c r="AC429" s="6797"/>
      <c r="AD429" s="6798"/>
      <c r="AE429" s="4" t="s">
        <v>1</v>
      </c>
      <c r="AF429" s="6202" t="str">
        <f t="shared" si="166"/>
        <v>►</v>
      </c>
      <c r="AG429" s="6234" t="str">
        <f t="shared" si="167"/>
        <v/>
      </c>
      <c r="AH429" s="6732" t="str">
        <f t="shared" si="168"/>
        <v/>
      </c>
      <c r="AI429" s="6234" t="str">
        <f t="shared" si="169"/>
        <v/>
      </c>
      <c r="AJ429" s="6732" t="str">
        <f t="shared" si="170"/>
        <v/>
      </c>
      <c r="AK429" s="6732">
        <f t="shared" si="171"/>
        <v>0</v>
      </c>
      <c r="AL429" s="6230" t="str" cm="1">
        <f t="array" ref="AL429">IF(AF429&lt;&gt;"A","",IFERROR((IFERROR(_xlfn.XLOOKUP(TRIM(SUBSTITUTE(U429,CHAR(160)," ")),$BJ$15:$BJ$62,$BM$15:$BM$62),IFERROR(_xlfn.XLOOKUP(TRIM(SUBSTITUTE(U429,CHAR(160)," ")),$BK$15:$BK$62,$BM$15:$BM$62),_xlfn.XLOOKUP(TRIM(SUBSTITUTE(U429,CHAR(160)," ")),$BL$15:$BL$62,$BM$15:$BM$62))))*T429*IF(ISBLANK(Q429),1,Q429)+IFERROR(_xlfn.XLOOKUP("RECHERCHEX",TRIM(L429:AD429),L429:AD429),0),0))</f>
        <v/>
      </c>
      <c r="AM429" s="6229">
        <f t="shared" si="172"/>
        <v>0</v>
      </c>
      <c r="AN429" s="6857" t="str">
        <f t="shared" si="187"/>
        <v/>
      </c>
      <c r="AO429" s="392">
        <f t="shared" si="173"/>
        <v>0</v>
      </c>
      <c r="AP429" s="392">
        <f t="shared" si="174"/>
        <v>0</v>
      </c>
      <c r="AQ429" s="6191">
        <f t="shared" si="175"/>
        <v>0</v>
      </c>
      <c r="AR429" s="6859" t="str">
        <f t="shared" si="176"/>
        <v/>
      </c>
      <c r="AS429" s="6217"/>
      <c r="AT429" s="6217"/>
      <c r="AU429" s="6272">
        <f t="shared" si="177"/>
        <v>0</v>
      </c>
      <c r="AV429" s="6240">
        <f t="shared" si="178"/>
        <v>0</v>
      </c>
      <c r="AW429" s="6189" cm="1">
        <f t="array" ref="AW429">IF(AK429&lt;&gt;1,0,IF(OR(AU429="",N(AU429)&lt;=0.000000001),"",IF(OR(AO429="",N(AO429)&lt;=0.000000001),0,IF(ISNUMBER(AU429),IFERROR(_xlfn.LET(_xlpm.ai_test,TRIM(AJ429),_xlpm.r,IFERROR(_xlfn.XLOOKUP(_xlpm.ai_test,$BJ$15:$BJ$62,ROW($BJ$15:$BJ$62),0,1),IFERROR(_xlfn.XLOOKUP(_xlpm.ai_test,$BK$15:$BK$62,ROW($BK$15:$BK$62),0,1),_xlfn.XLOOKUP(_xlpm.ai_test,$BL$15:$BL$62,ROW($BL$15:$BL$62),0,1))),_xlpm.p,_xlpm.r-MIN(ROW($BJ$15:$BJ$62))+1,_xlpm.f,INDEX($BM$15:$BM$62,_xlpm.p),_xlpm.u,INDEX($BN$15:$BN$62,_xlpm.p),_xlpm.s,INDEX($BP$15:$BP$62,_xlpm.p),_xlpm.q,N(AU429)/_xlpm.f,IF(_xlpm.q&gt;=_xlpm.s,ROUND(_xlpm.q,1)&amp;" "&amp;_xlpm.ai_test&amp;" = "&amp;ROUND(_xlpm.q*_xlpm.f,1)&amp;" "&amp;_xlpm.u,ROUND(_xlpm.q,1)&amp;" "&amp;_xlpm.ai_test)),""),""))))</f>
        <v>0</v>
      </c>
      <c r="AX429" s="6218"/>
      <c r="AY429" s="6272">
        <f t="shared" si="179"/>
        <v>0</v>
      </c>
      <c r="AZ429" s="6240" t="str">
        <f t="shared" si="180"/>
        <v/>
      </c>
      <c r="BA429" s="6195">
        <f t="shared" si="185"/>
        <v>0</v>
      </c>
      <c r="BB429" s="6193" t="str">
        <f t="shared" si="181"/>
        <v/>
      </c>
      <c r="BC429" s="6219"/>
      <c r="BD429" s="6222">
        <f t="shared" si="186"/>
        <v>0</v>
      </c>
      <c r="BE429" s="6220" t="str">
        <f t="shared" si="182"/>
        <v/>
      </c>
      <c r="BF429" s="4" t="s">
        <v>1</v>
      </c>
      <c r="BG429" s="6196">
        <f t="shared" si="183"/>
        <v>0</v>
      </c>
      <c r="BH429" s="6197">
        <f t="shared" si="184"/>
        <v>0</v>
      </c>
      <c r="BI429"/>
      <c r="BJ429" s="1"/>
      <c r="BK429" s="1"/>
      <c r="BL429" s="1"/>
      <c r="BM429" s="1"/>
      <c r="BN429" s="1"/>
      <c r="BO429" s="1"/>
      <c r="BP429" s="1"/>
      <c r="BQ429" s="1"/>
      <c r="BX429" s="20" t="str">
        <f t="shared" si="165"/>
        <v>►</v>
      </c>
      <c r="BY429" s="2"/>
      <c r="BZ429" s="2"/>
      <c r="CA429" s="2"/>
      <c r="CB429" s="2"/>
      <c r="CC429" s="2"/>
      <c r="DC429" s="5">
        <v>1</v>
      </c>
    </row>
    <row r="430" spans="12:107" ht="21" customHeight="1">
      <c r="L430" s="1021" t="s">
        <v>26</v>
      </c>
      <c r="M430" s="6787"/>
      <c r="N430" s="6787"/>
      <c r="O430" s="6787"/>
      <c r="P430" s="6788"/>
      <c r="Q430" s="6789"/>
      <c r="R430" s="6790"/>
      <c r="S430" s="6786"/>
      <c r="T430" s="6791"/>
      <c r="U430" s="6844"/>
      <c r="V430" s="6791"/>
      <c r="W430" s="8487"/>
      <c r="X430" s="6871"/>
      <c r="Y430" s="6793"/>
      <c r="Z430" s="6794"/>
      <c r="AA430" s="6795"/>
      <c r="AB430" s="6796"/>
      <c r="AC430" s="6797"/>
      <c r="AD430" s="6798"/>
      <c r="AE430" s="4" t="s">
        <v>1</v>
      </c>
      <c r="AF430" s="6202" t="str">
        <f t="shared" si="166"/>
        <v>►</v>
      </c>
      <c r="AG430" s="6234" t="str">
        <f t="shared" si="167"/>
        <v/>
      </c>
      <c r="AH430" s="6732" t="str">
        <f t="shared" si="168"/>
        <v/>
      </c>
      <c r="AI430" s="6234" t="str">
        <f t="shared" si="169"/>
        <v/>
      </c>
      <c r="AJ430" s="6732" t="str">
        <f t="shared" si="170"/>
        <v/>
      </c>
      <c r="AK430" s="6732">
        <f t="shared" si="171"/>
        <v>0</v>
      </c>
      <c r="AL430" s="6230" t="str" cm="1">
        <f t="array" ref="AL430">IF(AF430&lt;&gt;"A","",IFERROR((IFERROR(_xlfn.XLOOKUP(TRIM(SUBSTITUTE(U430,CHAR(160)," ")),$BJ$15:$BJ$62,$BM$15:$BM$62),IFERROR(_xlfn.XLOOKUP(TRIM(SUBSTITUTE(U430,CHAR(160)," ")),$BK$15:$BK$62,$BM$15:$BM$62),_xlfn.XLOOKUP(TRIM(SUBSTITUTE(U430,CHAR(160)," ")),$BL$15:$BL$62,$BM$15:$BM$62))))*T430*IF(ISBLANK(Q430),1,Q430)+IFERROR(_xlfn.XLOOKUP("RECHERCHEX",TRIM(L430:AD430),L430:AD430),0),0))</f>
        <v/>
      </c>
      <c r="AM430" s="6229">
        <f t="shared" si="172"/>
        <v>0</v>
      </c>
      <c r="AN430" s="6857" t="str">
        <f t="shared" si="187"/>
        <v/>
      </c>
      <c r="AO430" s="392">
        <f t="shared" si="173"/>
        <v>0</v>
      </c>
      <c r="AP430" s="392">
        <f t="shared" si="174"/>
        <v>0</v>
      </c>
      <c r="AQ430" s="6190">
        <f t="shared" si="175"/>
        <v>0</v>
      </c>
      <c r="AR430" s="6858" t="str">
        <f t="shared" si="176"/>
        <v/>
      </c>
      <c r="AS430" s="6217"/>
      <c r="AT430" s="6217"/>
      <c r="AU430" s="6271">
        <f t="shared" si="177"/>
        <v>0</v>
      </c>
      <c r="AV430" s="6242">
        <f t="shared" si="178"/>
        <v>0</v>
      </c>
      <c r="AW430" s="6188" cm="1">
        <f t="array" ref="AW430">IF(AK430&lt;&gt;1,0,IF(OR(AU430="",N(AU430)&lt;=0.000000001),"",IF(OR(AO430="",N(AO430)&lt;=0.000000001),0,IF(ISNUMBER(AU430),IFERROR(_xlfn.LET(_xlpm.ai_test,TRIM(AJ430),_xlpm.r,IFERROR(_xlfn.XLOOKUP(_xlpm.ai_test,$BJ$15:$BJ$62,ROW($BJ$15:$BJ$62),0,1),IFERROR(_xlfn.XLOOKUP(_xlpm.ai_test,$BK$15:$BK$62,ROW($BK$15:$BK$62),0,1),_xlfn.XLOOKUP(_xlpm.ai_test,$BL$15:$BL$62,ROW($BL$15:$BL$62),0,1))),_xlpm.p,_xlpm.r-MIN(ROW($BJ$15:$BJ$62))+1,_xlpm.f,INDEX($BM$15:$BM$62,_xlpm.p),_xlpm.u,INDEX($BN$15:$BN$62,_xlpm.p),_xlpm.s,INDEX($BP$15:$BP$62,_xlpm.p),_xlpm.q,N(AU430)/_xlpm.f,IF(_xlpm.q&gt;=_xlpm.s,ROUND(_xlpm.q,1)&amp;" "&amp;_xlpm.ai_test&amp;" = "&amp;ROUND(_xlpm.q*_xlpm.f,1)&amp;" "&amp;_xlpm.u,ROUND(_xlpm.q,1)&amp;" "&amp;_xlpm.ai_test)),""),""))))</f>
        <v>0</v>
      </c>
      <c r="AX430" s="6218"/>
      <c r="AY430" s="6271">
        <f t="shared" si="179"/>
        <v>0</v>
      </c>
      <c r="AZ430" s="6242" t="str">
        <f t="shared" si="180"/>
        <v/>
      </c>
      <c r="BA430" s="6194">
        <f t="shared" si="185"/>
        <v>0</v>
      </c>
      <c r="BB430" s="6192" t="str">
        <f t="shared" si="181"/>
        <v/>
      </c>
      <c r="BC430" s="6219"/>
      <c r="BD430" s="6221">
        <f t="shared" si="186"/>
        <v>0</v>
      </c>
      <c r="BE430" s="6220" t="str">
        <f t="shared" si="182"/>
        <v/>
      </c>
      <c r="BF430" s="4" t="s">
        <v>1</v>
      </c>
      <c r="BG430" s="6196">
        <f t="shared" si="183"/>
        <v>0</v>
      </c>
      <c r="BH430" s="6197">
        <f t="shared" si="184"/>
        <v>0</v>
      </c>
      <c r="BI430"/>
      <c r="BJ430" s="1"/>
      <c r="BK430" s="1"/>
      <c r="BL430" s="1"/>
      <c r="BM430" s="1"/>
      <c r="BN430" s="1"/>
      <c r="BO430" s="1"/>
      <c r="BP430" s="1"/>
      <c r="BQ430" s="1"/>
      <c r="BX430" s="20" t="str">
        <f t="shared" si="165"/>
        <v>►</v>
      </c>
      <c r="BY430" s="2"/>
      <c r="BZ430" s="2"/>
      <c r="CA430" s="2"/>
      <c r="CB430" s="2"/>
      <c r="CC430" s="2"/>
      <c r="DC430" s="5">
        <v>1</v>
      </c>
    </row>
    <row r="431" spans="12:107" ht="21" customHeight="1">
      <c r="L431" s="1021" t="s">
        <v>26</v>
      </c>
      <c r="M431" s="6787"/>
      <c r="N431" s="6787"/>
      <c r="O431" s="6787"/>
      <c r="P431" s="6788"/>
      <c r="Q431" s="6789"/>
      <c r="R431" s="6790"/>
      <c r="S431" s="6786"/>
      <c r="T431" s="6791"/>
      <c r="U431" s="6844"/>
      <c r="V431" s="6791"/>
      <c r="W431" s="8487"/>
      <c r="X431" s="6871"/>
      <c r="Y431" s="6793"/>
      <c r="Z431" s="6794"/>
      <c r="AA431" s="6795"/>
      <c r="AB431" s="6796"/>
      <c r="AC431" s="6797"/>
      <c r="AD431" s="6798"/>
      <c r="AE431" s="4" t="s">
        <v>1</v>
      </c>
      <c r="AF431" s="6202" t="str">
        <f t="shared" si="166"/>
        <v>►</v>
      </c>
      <c r="AG431" s="6234" t="str">
        <f t="shared" si="167"/>
        <v/>
      </c>
      <c r="AH431" s="6732" t="str">
        <f t="shared" si="168"/>
        <v/>
      </c>
      <c r="AI431" s="6234" t="str">
        <f t="shared" si="169"/>
        <v/>
      </c>
      <c r="AJ431" s="6732" t="str">
        <f t="shared" si="170"/>
        <v/>
      </c>
      <c r="AK431" s="6732">
        <f t="shared" si="171"/>
        <v>0</v>
      </c>
      <c r="AL431" s="6230" t="str" cm="1">
        <f t="array" ref="AL431">IF(AF431&lt;&gt;"A","",IFERROR((IFERROR(_xlfn.XLOOKUP(TRIM(SUBSTITUTE(U431,CHAR(160)," ")),$BJ$15:$BJ$62,$BM$15:$BM$62),IFERROR(_xlfn.XLOOKUP(TRIM(SUBSTITUTE(U431,CHAR(160)," ")),$BK$15:$BK$62,$BM$15:$BM$62),_xlfn.XLOOKUP(TRIM(SUBSTITUTE(U431,CHAR(160)," ")),$BL$15:$BL$62,$BM$15:$BM$62))))*T431*IF(ISBLANK(Q431),1,Q431)+IFERROR(_xlfn.XLOOKUP("RECHERCHEX",TRIM(L431:AD431),L431:AD431),0),0))</f>
        <v/>
      </c>
      <c r="AM431" s="6229">
        <f t="shared" si="172"/>
        <v>0</v>
      </c>
      <c r="AN431" s="6857" t="str">
        <f t="shared" si="187"/>
        <v/>
      </c>
      <c r="AO431" s="392">
        <f t="shared" si="173"/>
        <v>0</v>
      </c>
      <c r="AP431" s="392">
        <f t="shared" si="174"/>
        <v>0</v>
      </c>
      <c r="AQ431" s="6191">
        <f t="shared" si="175"/>
        <v>0</v>
      </c>
      <c r="AR431" s="6859" t="str">
        <f t="shared" si="176"/>
        <v/>
      </c>
      <c r="AS431" s="6217"/>
      <c r="AT431" s="6217"/>
      <c r="AU431" s="6272">
        <f t="shared" si="177"/>
        <v>0</v>
      </c>
      <c r="AV431" s="6240">
        <f t="shared" si="178"/>
        <v>0</v>
      </c>
      <c r="AW431" s="6189" cm="1">
        <f t="array" ref="AW431">IF(AK431&lt;&gt;1,0,IF(OR(AU431="",N(AU431)&lt;=0.000000001),"",IF(OR(AO431="",N(AO431)&lt;=0.000000001),0,IF(ISNUMBER(AU431),IFERROR(_xlfn.LET(_xlpm.ai_test,TRIM(AJ431),_xlpm.r,IFERROR(_xlfn.XLOOKUP(_xlpm.ai_test,$BJ$15:$BJ$62,ROW($BJ$15:$BJ$62),0,1),IFERROR(_xlfn.XLOOKUP(_xlpm.ai_test,$BK$15:$BK$62,ROW($BK$15:$BK$62),0,1),_xlfn.XLOOKUP(_xlpm.ai_test,$BL$15:$BL$62,ROW($BL$15:$BL$62),0,1))),_xlpm.p,_xlpm.r-MIN(ROW($BJ$15:$BJ$62))+1,_xlpm.f,INDEX($BM$15:$BM$62,_xlpm.p),_xlpm.u,INDEX($BN$15:$BN$62,_xlpm.p),_xlpm.s,INDEX($BP$15:$BP$62,_xlpm.p),_xlpm.q,N(AU431)/_xlpm.f,IF(_xlpm.q&gt;=_xlpm.s,ROUND(_xlpm.q,1)&amp;" "&amp;_xlpm.ai_test&amp;" = "&amp;ROUND(_xlpm.q*_xlpm.f,1)&amp;" "&amp;_xlpm.u,ROUND(_xlpm.q,1)&amp;" "&amp;_xlpm.ai_test)),""),""))))</f>
        <v>0</v>
      </c>
      <c r="AX431" s="6218"/>
      <c r="AY431" s="6272">
        <f t="shared" si="179"/>
        <v>0</v>
      </c>
      <c r="AZ431" s="6240" t="str">
        <f t="shared" si="180"/>
        <v/>
      </c>
      <c r="BA431" s="6195">
        <f t="shared" si="185"/>
        <v>0</v>
      </c>
      <c r="BB431" s="6193" t="str">
        <f t="shared" si="181"/>
        <v/>
      </c>
      <c r="BC431" s="6219"/>
      <c r="BD431" s="6222">
        <f t="shared" si="186"/>
        <v>0</v>
      </c>
      <c r="BE431" s="6220" t="str">
        <f t="shared" si="182"/>
        <v/>
      </c>
      <c r="BF431" s="4" t="s">
        <v>1</v>
      </c>
      <c r="BG431" s="6196">
        <f t="shared" si="183"/>
        <v>0</v>
      </c>
      <c r="BH431" s="6197">
        <f t="shared" si="184"/>
        <v>0</v>
      </c>
      <c r="BI431"/>
      <c r="BJ431" s="1"/>
      <c r="BK431" s="1"/>
      <c r="BL431" s="1"/>
      <c r="BM431" s="1"/>
      <c r="BN431" s="1"/>
      <c r="BO431" s="1"/>
      <c r="BP431" s="1"/>
      <c r="BQ431" s="1"/>
      <c r="BX431" s="20" t="str">
        <f t="shared" si="165"/>
        <v>►</v>
      </c>
      <c r="BY431" s="2"/>
      <c r="BZ431" s="2"/>
      <c r="CA431" s="2"/>
      <c r="CB431" s="2"/>
      <c r="CC431" s="2"/>
      <c r="DC431" s="5">
        <v>1</v>
      </c>
    </row>
    <row r="432" spans="12:107" ht="21" customHeight="1">
      <c r="L432" s="1021" t="s">
        <v>26</v>
      </c>
      <c r="M432" s="6787"/>
      <c r="N432" s="6787"/>
      <c r="O432" s="6787"/>
      <c r="P432" s="6788"/>
      <c r="Q432" s="6789"/>
      <c r="R432" s="6790"/>
      <c r="S432" s="6786"/>
      <c r="T432" s="6791"/>
      <c r="U432" s="6844"/>
      <c r="V432" s="6791"/>
      <c r="W432" s="8487"/>
      <c r="X432" s="6871"/>
      <c r="Y432" s="6793"/>
      <c r="Z432" s="6794"/>
      <c r="AA432" s="6795"/>
      <c r="AB432" s="6796"/>
      <c r="AC432" s="6797"/>
      <c r="AD432" s="6798"/>
      <c r="AE432" s="4" t="s">
        <v>1</v>
      </c>
      <c r="AF432" s="6202" t="str">
        <f t="shared" si="166"/>
        <v>►</v>
      </c>
      <c r="AG432" s="6234" t="str">
        <f t="shared" si="167"/>
        <v/>
      </c>
      <c r="AH432" s="6732" t="str">
        <f t="shared" si="168"/>
        <v/>
      </c>
      <c r="AI432" s="6234" t="str">
        <f t="shared" si="169"/>
        <v/>
      </c>
      <c r="AJ432" s="6732" t="str">
        <f t="shared" si="170"/>
        <v/>
      </c>
      <c r="AK432" s="6732">
        <f t="shared" si="171"/>
        <v>0</v>
      </c>
      <c r="AL432" s="6230" t="str" cm="1">
        <f t="array" ref="AL432">IF(AF432&lt;&gt;"A","",IFERROR((IFERROR(_xlfn.XLOOKUP(TRIM(SUBSTITUTE(U432,CHAR(160)," ")),$BJ$15:$BJ$62,$BM$15:$BM$62),IFERROR(_xlfn.XLOOKUP(TRIM(SUBSTITUTE(U432,CHAR(160)," ")),$BK$15:$BK$62,$BM$15:$BM$62),_xlfn.XLOOKUP(TRIM(SUBSTITUTE(U432,CHAR(160)," ")),$BL$15:$BL$62,$BM$15:$BM$62))))*T432*IF(ISBLANK(Q432),1,Q432)+IFERROR(_xlfn.XLOOKUP("RECHERCHEX",TRIM(L432:AD432),L432:AD432),0),0))</f>
        <v/>
      </c>
      <c r="AM432" s="6229">
        <f t="shared" si="172"/>
        <v>0</v>
      </c>
      <c r="AN432" s="6857" t="str">
        <f t="shared" si="187"/>
        <v/>
      </c>
      <c r="AO432" s="392">
        <f t="shared" si="173"/>
        <v>0</v>
      </c>
      <c r="AP432" s="392">
        <f t="shared" si="174"/>
        <v>0</v>
      </c>
      <c r="AQ432" s="6190">
        <f t="shared" si="175"/>
        <v>0</v>
      </c>
      <c r="AR432" s="6858" t="str">
        <f t="shared" si="176"/>
        <v/>
      </c>
      <c r="AS432" s="6217"/>
      <c r="AT432" s="6217"/>
      <c r="AU432" s="6271">
        <f t="shared" si="177"/>
        <v>0</v>
      </c>
      <c r="AV432" s="6242">
        <f t="shared" si="178"/>
        <v>0</v>
      </c>
      <c r="AW432" s="6188" cm="1">
        <f t="array" ref="AW432">IF(AK432&lt;&gt;1,0,IF(OR(AU432="",N(AU432)&lt;=0.000000001),"",IF(OR(AO432="",N(AO432)&lt;=0.000000001),0,IF(ISNUMBER(AU432),IFERROR(_xlfn.LET(_xlpm.ai_test,TRIM(AJ432),_xlpm.r,IFERROR(_xlfn.XLOOKUP(_xlpm.ai_test,$BJ$15:$BJ$62,ROW($BJ$15:$BJ$62),0,1),IFERROR(_xlfn.XLOOKUP(_xlpm.ai_test,$BK$15:$BK$62,ROW($BK$15:$BK$62),0,1),_xlfn.XLOOKUP(_xlpm.ai_test,$BL$15:$BL$62,ROW($BL$15:$BL$62),0,1))),_xlpm.p,_xlpm.r-MIN(ROW($BJ$15:$BJ$62))+1,_xlpm.f,INDEX($BM$15:$BM$62,_xlpm.p),_xlpm.u,INDEX($BN$15:$BN$62,_xlpm.p),_xlpm.s,INDEX($BP$15:$BP$62,_xlpm.p),_xlpm.q,N(AU432)/_xlpm.f,IF(_xlpm.q&gt;=_xlpm.s,ROUND(_xlpm.q,1)&amp;" "&amp;_xlpm.ai_test&amp;" = "&amp;ROUND(_xlpm.q*_xlpm.f,1)&amp;" "&amp;_xlpm.u,ROUND(_xlpm.q,1)&amp;" "&amp;_xlpm.ai_test)),""),""))))</f>
        <v>0</v>
      </c>
      <c r="AX432" s="6218"/>
      <c r="AY432" s="6271">
        <f t="shared" si="179"/>
        <v>0</v>
      </c>
      <c r="AZ432" s="6242" t="str">
        <f t="shared" si="180"/>
        <v/>
      </c>
      <c r="BA432" s="6194">
        <f t="shared" si="185"/>
        <v>0</v>
      </c>
      <c r="BB432" s="6192" t="str">
        <f t="shared" si="181"/>
        <v/>
      </c>
      <c r="BC432" s="6219"/>
      <c r="BD432" s="6221">
        <f t="shared" si="186"/>
        <v>0</v>
      </c>
      <c r="BE432" s="6220" t="str">
        <f t="shared" si="182"/>
        <v/>
      </c>
      <c r="BF432" s="4" t="s">
        <v>1</v>
      </c>
      <c r="BG432" s="6196">
        <f t="shared" si="183"/>
        <v>0</v>
      </c>
      <c r="BH432" s="6197">
        <f t="shared" si="184"/>
        <v>0</v>
      </c>
      <c r="BI432"/>
      <c r="BJ432" s="1"/>
      <c r="BK432" s="1"/>
      <c r="BL432" s="1"/>
      <c r="BM432" s="1"/>
      <c r="BN432" s="1"/>
      <c r="BO432" s="1"/>
      <c r="BP432" s="1"/>
      <c r="BQ432" s="1"/>
      <c r="BX432" s="20" t="str">
        <f t="shared" si="165"/>
        <v>►</v>
      </c>
      <c r="BY432" s="2"/>
      <c r="BZ432" s="2"/>
      <c r="CA432" s="2"/>
      <c r="CB432" s="2"/>
      <c r="CC432" s="2"/>
      <c r="DC432" s="5">
        <v>1</v>
      </c>
    </row>
    <row r="433" spans="12:107" ht="21" customHeight="1">
      <c r="L433" s="1021" t="s">
        <v>26</v>
      </c>
      <c r="M433" s="6787"/>
      <c r="N433" s="6787"/>
      <c r="O433" s="6787"/>
      <c r="P433" s="6788"/>
      <c r="Q433" s="6789"/>
      <c r="R433" s="6790"/>
      <c r="S433" s="6786"/>
      <c r="T433" s="6791"/>
      <c r="U433" s="6844"/>
      <c r="V433" s="6791"/>
      <c r="W433" s="8487"/>
      <c r="X433" s="6871"/>
      <c r="Y433" s="6793"/>
      <c r="Z433" s="6794"/>
      <c r="AA433" s="6795"/>
      <c r="AB433" s="6796"/>
      <c r="AC433" s="6797"/>
      <c r="AD433" s="6798"/>
      <c r="AE433" s="4" t="s">
        <v>1</v>
      </c>
      <c r="AF433" s="6202" t="str">
        <f t="shared" si="166"/>
        <v>►</v>
      </c>
      <c r="AG433" s="6234" t="str">
        <f t="shared" si="167"/>
        <v/>
      </c>
      <c r="AH433" s="6732" t="str">
        <f t="shared" si="168"/>
        <v/>
      </c>
      <c r="AI433" s="6234" t="str">
        <f t="shared" si="169"/>
        <v/>
      </c>
      <c r="AJ433" s="6732" t="str">
        <f t="shared" si="170"/>
        <v/>
      </c>
      <c r="AK433" s="6732">
        <f t="shared" si="171"/>
        <v>0</v>
      </c>
      <c r="AL433" s="6230" t="str" cm="1">
        <f t="array" ref="AL433">IF(AF433&lt;&gt;"A","",IFERROR((IFERROR(_xlfn.XLOOKUP(TRIM(SUBSTITUTE(U433,CHAR(160)," ")),$BJ$15:$BJ$62,$BM$15:$BM$62),IFERROR(_xlfn.XLOOKUP(TRIM(SUBSTITUTE(U433,CHAR(160)," ")),$BK$15:$BK$62,$BM$15:$BM$62),_xlfn.XLOOKUP(TRIM(SUBSTITUTE(U433,CHAR(160)," ")),$BL$15:$BL$62,$BM$15:$BM$62))))*T433*IF(ISBLANK(Q433),1,Q433)+IFERROR(_xlfn.XLOOKUP("RECHERCHEX",TRIM(L433:AD433),L433:AD433),0),0))</f>
        <v/>
      </c>
      <c r="AM433" s="6229">
        <f t="shared" si="172"/>
        <v>0</v>
      </c>
      <c r="AN433" s="6857" t="str">
        <f t="shared" si="187"/>
        <v/>
      </c>
      <c r="AO433" s="392">
        <f t="shared" si="173"/>
        <v>0</v>
      </c>
      <c r="AP433" s="392">
        <f t="shared" si="174"/>
        <v>0</v>
      </c>
      <c r="AQ433" s="6191">
        <f t="shared" si="175"/>
        <v>0</v>
      </c>
      <c r="AR433" s="6859" t="str">
        <f t="shared" si="176"/>
        <v/>
      </c>
      <c r="AS433" s="6217"/>
      <c r="AT433" s="6217"/>
      <c r="AU433" s="6272">
        <f t="shared" si="177"/>
        <v>0</v>
      </c>
      <c r="AV433" s="6240">
        <f t="shared" si="178"/>
        <v>0</v>
      </c>
      <c r="AW433" s="6189" cm="1">
        <f t="array" ref="AW433">IF(AK433&lt;&gt;1,0,IF(OR(AU433="",N(AU433)&lt;=0.000000001),"",IF(OR(AO433="",N(AO433)&lt;=0.000000001),0,IF(ISNUMBER(AU433),IFERROR(_xlfn.LET(_xlpm.ai_test,TRIM(AJ433),_xlpm.r,IFERROR(_xlfn.XLOOKUP(_xlpm.ai_test,$BJ$15:$BJ$62,ROW($BJ$15:$BJ$62),0,1),IFERROR(_xlfn.XLOOKUP(_xlpm.ai_test,$BK$15:$BK$62,ROW($BK$15:$BK$62),0,1),_xlfn.XLOOKUP(_xlpm.ai_test,$BL$15:$BL$62,ROW($BL$15:$BL$62),0,1))),_xlpm.p,_xlpm.r-MIN(ROW($BJ$15:$BJ$62))+1,_xlpm.f,INDEX($BM$15:$BM$62,_xlpm.p),_xlpm.u,INDEX($BN$15:$BN$62,_xlpm.p),_xlpm.s,INDEX($BP$15:$BP$62,_xlpm.p),_xlpm.q,N(AU433)/_xlpm.f,IF(_xlpm.q&gt;=_xlpm.s,ROUND(_xlpm.q,1)&amp;" "&amp;_xlpm.ai_test&amp;" = "&amp;ROUND(_xlpm.q*_xlpm.f,1)&amp;" "&amp;_xlpm.u,ROUND(_xlpm.q,1)&amp;" "&amp;_xlpm.ai_test)),""),""))))</f>
        <v>0</v>
      </c>
      <c r="AX433" s="6218"/>
      <c r="AY433" s="6272">
        <f t="shared" si="179"/>
        <v>0</v>
      </c>
      <c r="AZ433" s="6240" t="str">
        <f t="shared" si="180"/>
        <v/>
      </c>
      <c r="BA433" s="6195">
        <f t="shared" si="185"/>
        <v>0</v>
      </c>
      <c r="BB433" s="6193" t="str">
        <f t="shared" si="181"/>
        <v/>
      </c>
      <c r="BC433" s="6219"/>
      <c r="BD433" s="6222">
        <f t="shared" si="186"/>
        <v>0</v>
      </c>
      <c r="BE433" s="6220" t="str">
        <f t="shared" si="182"/>
        <v/>
      </c>
      <c r="BF433" s="4" t="s">
        <v>1</v>
      </c>
      <c r="BG433" s="6196">
        <f t="shared" si="183"/>
        <v>0</v>
      </c>
      <c r="BH433" s="6197">
        <f t="shared" si="184"/>
        <v>0</v>
      </c>
      <c r="BI433"/>
      <c r="BJ433" s="1"/>
      <c r="BK433" s="1"/>
      <c r="BL433" s="1"/>
      <c r="BM433" s="1"/>
      <c r="BN433" s="1"/>
      <c r="BO433" s="1"/>
      <c r="BP433" s="1"/>
      <c r="BQ433" s="1"/>
      <c r="BX433" s="20" t="str">
        <f t="shared" si="165"/>
        <v>►</v>
      </c>
      <c r="BY433" s="2"/>
      <c r="BZ433" s="2"/>
      <c r="CA433" s="2"/>
      <c r="CB433" s="2"/>
      <c r="CC433" s="2"/>
      <c r="DC433" s="5">
        <v>1</v>
      </c>
    </row>
    <row r="434" spans="12:107" ht="21" customHeight="1">
      <c r="L434" s="1021" t="s">
        <v>26</v>
      </c>
      <c r="M434" s="6787"/>
      <c r="N434" s="6787"/>
      <c r="O434" s="6787"/>
      <c r="P434" s="6788"/>
      <c r="Q434" s="6789"/>
      <c r="R434" s="6790"/>
      <c r="S434" s="6786"/>
      <c r="T434" s="6791"/>
      <c r="U434" s="6844"/>
      <c r="V434" s="6791"/>
      <c r="W434" s="8487"/>
      <c r="X434" s="6871"/>
      <c r="Y434" s="6793"/>
      <c r="Z434" s="6794"/>
      <c r="AA434" s="6795"/>
      <c r="AB434" s="6796"/>
      <c r="AC434" s="6797"/>
      <c r="AD434" s="6798"/>
      <c r="AE434" s="4" t="s">
        <v>1</v>
      </c>
      <c r="AF434" s="6202" t="str">
        <f t="shared" si="166"/>
        <v>►</v>
      </c>
      <c r="AG434" s="6234" t="str">
        <f t="shared" si="167"/>
        <v/>
      </c>
      <c r="AH434" s="6732" t="str">
        <f t="shared" si="168"/>
        <v/>
      </c>
      <c r="AI434" s="6234" t="str">
        <f t="shared" si="169"/>
        <v/>
      </c>
      <c r="AJ434" s="6732" t="str">
        <f t="shared" si="170"/>
        <v/>
      </c>
      <c r="AK434" s="6732">
        <f t="shared" si="171"/>
        <v>0</v>
      </c>
      <c r="AL434" s="6230" t="str" cm="1">
        <f t="array" ref="AL434">IF(AF434&lt;&gt;"A","",IFERROR((IFERROR(_xlfn.XLOOKUP(TRIM(SUBSTITUTE(U434,CHAR(160)," ")),$BJ$15:$BJ$62,$BM$15:$BM$62),IFERROR(_xlfn.XLOOKUP(TRIM(SUBSTITUTE(U434,CHAR(160)," ")),$BK$15:$BK$62,$BM$15:$BM$62),_xlfn.XLOOKUP(TRIM(SUBSTITUTE(U434,CHAR(160)," ")),$BL$15:$BL$62,$BM$15:$BM$62))))*T434*IF(ISBLANK(Q434),1,Q434)+IFERROR(_xlfn.XLOOKUP("RECHERCHEX",TRIM(L434:AD434),L434:AD434),0),0))</f>
        <v/>
      </c>
      <c r="AM434" s="6229">
        <f t="shared" si="172"/>
        <v>0</v>
      </c>
      <c r="AN434" s="6857" t="str">
        <f t="shared" si="187"/>
        <v/>
      </c>
      <c r="AO434" s="392">
        <f t="shared" si="173"/>
        <v>0</v>
      </c>
      <c r="AP434" s="392">
        <f t="shared" si="174"/>
        <v>0</v>
      </c>
      <c r="AQ434" s="6190">
        <f t="shared" si="175"/>
        <v>0</v>
      </c>
      <c r="AR434" s="6858" t="str">
        <f t="shared" si="176"/>
        <v/>
      </c>
      <c r="AS434" s="6217"/>
      <c r="AT434" s="6217"/>
      <c r="AU434" s="6271">
        <f t="shared" si="177"/>
        <v>0</v>
      </c>
      <c r="AV434" s="6242">
        <f t="shared" si="178"/>
        <v>0</v>
      </c>
      <c r="AW434" s="6188" cm="1">
        <f t="array" ref="AW434">IF(AK434&lt;&gt;1,0,IF(OR(AU434="",N(AU434)&lt;=0.000000001),"",IF(OR(AO434="",N(AO434)&lt;=0.000000001),0,IF(ISNUMBER(AU434),IFERROR(_xlfn.LET(_xlpm.ai_test,TRIM(AJ434),_xlpm.r,IFERROR(_xlfn.XLOOKUP(_xlpm.ai_test,$BJ$15:$BJ$62,ROW($BJ$15:$BJ$62),0,1),IFERROR(_xlfn.XLOOKUP(_xlpm.ai_test,$BK$15:$BK$62,ROW($BK$15:$BK$62),0,1),_xlfn.XLOOKUP(_xlpm.ai_test,$BL$15:$BL$62,ROW($BL$15:$BL$62),0,1))),_xlpm.p,_xlpm.r-MIN(ROW($BJ$15:$BJ$62))+1,_xlpm.f,INDEX($BM$15:$BM$62,_xlpm.p),_xlpm.u,INDEX($BN$15:$BN$62,_xlpm.p),_xlpm.s,INDEX($BP$15:$BP$62,_xlpm.p),_xlpm.q,N(AU434)/_xlpm.f,IF(_xlpm.q&gt;=_xlpm.s,ROUND(_xlpm.q,1)&amp;" "&amp;_xlpm.ai_test&amp;" = "&amp;ROUND(_xlpm.q*_xlpm.f,1)&amp;" "&amp;_xlpm.u,ROUND(_xlpm.q,1)&amp;" "&amp;_xlpm.ai_test)),""),""))))</f>
        <v>0</v>
      </c>
      <c r="AX434" s="6218"/>
      <c r="AY434" s="6271">
        <f t="shared" si="179"/>
        <v>0</v>
      </c>
      <c r="AZ434" s="6242" t="str">
        <f t="shared" si="180"/>
        <v/>
      </c>
      <c r="BA434" s="6194">
        <f t="shared" si="185"/>
        <v>0</v>
      </c>
      <c r="BB434" s="6192" t="str">
        <f t="shared" si="181"/>
        <v/>
      </c>
      <c r="BC434" s="6219"/>
      <c r="BD434" s="6221">
        <f t="shared" si="186"/>
        <v>0</v>
      </c>
      <c r="BE434" s="6220" t="str">
        <f t="shared" si="182"/>
        <v/>
      </c>
      <c r="BF434" s="4" t="s">
        <v>1</v>
      </c>
      <c r="BG434" s="6196">
        <f t="shared" si="183"/>
        <v>0</v>
      </c>
      <c r="BH434" s="6197">
        <f t="shared" si="184"/>
        <v>0</v>
      </c>
      <c r="BI434"/>
      <c r="BJ434" s="1"/>
      <c r="BK434" s="1"/>
      <c r="BL434" s="1"/>
      <c r="BM434" s="1"/>
      <c r="BN434" s="1"/>
      <c r="BO434" s="1"/>
      <c r="BP434" s="1"/>
      <c r="BQ434" s="1"/>
      <c r="BX434" s="20" t="str">
        <f t="shared" si="165"/>
        <v>►</v>
      </c>
      <c r="BY434" s="2"/>
      <c r="BZ434" s="2"/>
      <c r="CA434" s="2"/>
      <c r="CB434" s="2"/>
      <c r="CC434" s="2"/>
      <c r="DC434" s="5">
        <v>1</v>
      </c>
    </row>
    <row r="435" spans="12:107" ht="21" customHeight="1">
      <c r="L435" s="1021" t="s">
        <v>26</v>
      </c>
      <c r="M435" s="6787"/>
      <c r="N435" s="6787"/>
      <c r="O435" s="6787"/>
      <c r="P435" s="6788"/>
      <c r="Q435" s="6789"/>
      <c r="R435" s="6790"/>
      <c r="S435" s="6786"/>
      <c r="T435" s="6791"/>
      <c r="U435" s="6844"/>
      <c r="V435" s="6791"/>
      <c r="W435" s="8487"/>
      <c r="X435" s="6871"/>
      <c r="Y435" s="6793"/>
      <c r="Z435" s="6794"/>
      <c r="AA435" s="6795"/>
      <c r="AB435" s="6796"/>
      <c r="AC435" s="6797"/>
      <c r="AD435" s="6798"/>
      <c r="AE435" s="4" t="s">
        <v>1</v>
      </c>
      <c r="AF435" s="6202" t="str">
        <f t="shared" si="166"/>
        <v>►</v>
      </c>
      <c r="AG435" s="6234" t="str">
        <f t="shared" si="167"/>
        <v/>
      </c>
      <c r="AH435" s="6732" t="str">
        <f t="shared" si="168"/>
        <v/>
      </c>
      <c r="AI435" s="6234" t="str">
        <f t="shared" si="169"/>
        <v/>
      </c>
      <c r="AJ435" s="6732" t="str">
        <f t="shared" si="170"/>
        <v/>
      </c>
      <c r="AK435" s="6732">
        <f t="shared" si="171"/>
        <v>0</v>
      </c>
      <c r="AL435" s="6230" t="str" cm="1">
        <f t="array" ref="AL435">IF(AF435&lt;&gt;"A","",IFERROR((IFERROR(_xlfn.XLOOKUP(TRIM(SUBSTITUTE(U435,CHAR(160)," ")),$BJ$15:$BJ$62,$BM$15:$BM$62),IFERROR(_xlfn.XLOOKUP(TRIM(SUBSTITUTE(U435,CHAR(160)," ")),$BK$15:$BK$62,$BM$15:$BM$62),_xlfn.XLOOKUP(TRIM(SUBSTITUTE(U435,CHAR(160)," ")),$BL$15:$BL$62,$BM$15:$BM$62))))*T435*IF(ISBLANK(Q435),1,Q435)+IFERROR(_xlfn.XLOOKUP("RECHERCHEX",TRIM(L435:AD435),L435:AD435),0),0))</f>
        <v/>
      </c>
      <c r="AM435" s="6229">
        <f t="shared" si="172"/>
        <v>0</v>
      </c>
      <c r="AN435" s="6857" t="str">
        <f t="shared" si="187"/>
        <v/>
      </c>
      <c r="AO435" s="392">
        <f t="shared" si="173"/>
        <v>0</v>
      </c>
      <c r="AP435" s="392">
        <f t="shared" si="174"/>
        <v>0</v>
      </c>
      <c r="AQ435" s="6191">
        <f t="shared" si="175"/>
        <v>0</v>
      </c>
      <c r="AR435" s="6859" t="str">
        <f t="shared" si="176"/>
        <v/>
      </c>
      <c r="AS435" s="6217"/>
      <c r="AT435" s="6217"/>
      <c r="AU435" s="6272">
        <f t="shared" si="177"/>
        <v>0</v>
      </c>
      <c r="AV435" s="6240">
        <f t="shared" si="178"/>
        <v>0</v>
      </c>
      <c r="AW435" s="6189" cm="1">
        <f t="array" ref="AW435">IF(AK435&lt;&gt;1,0,IF(OR(AU435="",N(AU435)&lt;=0.000000001),"",IF(OR(AO435="",N(AO435)&lt;=0.000000001),0,IF(ISNUMBER(AU435),IFERROR(_xlfn.LET(_xlpm.ai_test,TRIM(AJ435),_xlpm.r,IFERROR(_xlfn.XLOOKUP(_xlpm.ai_test,$BJ$15:$BJ$62,ROW($BJ$15:$BJ$62),0,1),IFERROR(_xlfn.XLOOKUP(_xlpm.ai_test,$BK$15:$BK$62,ROW($BK$15:$BK$62),0,1),_xlfn.XLOOKUP(_xlpm.ai_test,$BL$15:$BL$62,ROW($BL$15:$BL$62),0,1))),_xlpm.p,_xlpm.r-MIN(ROW($BJ$15:$BJ$62))+1,_xlpm.f,INDEX($BM$15:$BM$62,_xlpm.p),_xlpm.u,INDEX($BN$15:$BN$62,_xlpm.p),_xlpm.s,INDEX($BP$15:$BP$62,_xlpm.p),_xlpm.q,N(AU435)/_xlpm.f,IF(_xlpm.q&gt;=_xlpm.s,ROUND(_xlpm.q,1)&amp;" "&amp;_xlpm.ai_test&amp;" = "&amp;ROUND(_xlpm.q*_xlpm.f,1)&amp;" "&amp;_xlpm.u,ROUND(_xlpm.q,1)&amp;" "&amp;_xlpm.ai_test)),""),""))))</f>
        <v>0</v>
      </c>
      <c r="AX435" s="6218"/>
      <c r="AY435" s="6272">
        <f t="shared" si="179"/>
        <v>0</v>
      </c>
      <c r="AZ435" s="6240" t="str">
        <f t="shared" si="180"/>
        <v/>
      </c>
      <c r="BA435" s="6195">
        <f t="shared" si="185"/>
        <v>0</v>
      </c>
      <c r="BB435" s="6193" t="str">
        <f t="shared" si="181"/>
        <v/>
      </c>
      <c r="BC435" s="6219"/>
      <c r="BD435" s="6222">
        <f t="shared" si="186"/>
        <v>0</v>
      </c>
      <c r="BE435" s="6220" t="str">
        <f t="shared" si="182"/>
        <v/>
      </c>
      <c r="BF435" s="4" t="s">
        <v>1</v>
      </c>
      <c r="BG435" s="6196">
        <f t="shared" si="183"/>
        <v>0</v>
      </c>
      <c r="BH435" s="6197">
        <f t="shared" si="184"/>
        <v>0</v>
      </c>
      <c r="BI435"/>
      <c r="BJ435" s="1"/>
      <c r="BK435" s="1"/>
      <c r="BL435" s="1"/>
      <c r="BM435" s="1"/>
      <c r="BN435" s="1"/>
      <c r="BO435" s="1"/>
      <c r="BP435" s="1"/>
      <c r="BQ435" s="1"/>
      <c r="BX435" s="20" t="str">
        <f t="shared" si="165"/>
        <v>►</v>
      </c>
      <c r="BY435" s="2"/>
      <c r="BZ435" s="2"/>
      <c r="CA435" s="2"/>
      <c r="CB435" s="2"/>
      <c r="CC435" s="2"/>
      <c r="CL435"/>
      <c r="CT435"/>
      <c r="DB435"/>
      <c r="DC435" s="5">
        <v>1</v>
      </c>
    </row>
    <row r="436" spans="12:107" ht="21" customHeight="1">
      <c r="L436" s="1021" t="s">
        <v>26</v>
      </c>
      <c r="M436" s="6787"/>
      <c r="N436" s="6787"/>
      <c r="O436" s="6787"/>
      <c r="P436" s="6788"/>
      <c r="Q436" s="6789"/>
      <c r="R436" s="6790"/>
      <c r="S436" s="6786"/>
      <c r="T436" s="6791"/>
      <c r="U436" s="6844"/>
      <c r="V436" s="6791"/>
      <c r="W436" s="8487"/>
      <c r="X436" s="6871"/>
      <c r="Y436" s="6793"/>
      <c r="Z436" s="6794"/>
      <c r="AA436" s="6795"/>
      <c r="AB436" s="6796"/>
      <c r="AC436" s="6797"/>
      <c r="AD436" s="6798"/>
      <c r="AE436" s="4" t="s">
        <v>1</v>
      </c>
      <c r="AF436" s="6202" t="str">
        <f t="shared" si="166"/>
        <v>►</v>
      </c>
      <c r="AG436" s="6234" t="str">
        <f t="shared" si="167"/>
        <v/>
      </c>
      <c r="AH436" s="6732" t="str">
        <f t="shared" si="168"/>
        <v/>
      </c>
      <c r="AI436" s="6234" t="str">
        <f t="shared" si="169"/>
        <v/>
      </c>
      <c r="AJ436" s="6732" t="str">
        <f t="shared" si="170"/>
        <v/>
      </c>
      <c r="AK436" s="6732">
        <f t="shared" si="171"/>
        <v>0</v>
      </c>
      <c r="AL436" s="6230" t="str" cm="1">
        <f t="array" ref="AL436">IF(AF436&lt;&gt;"A","",IFERROR((IFERROR(_xlfn.XLOOKUP(TRIM(SUBSTITUTE(U436,CHAR(160)," ")),$BJ$15:$BJ$62,$BM$15:$BM$62),IFERROR(_xlfn.XLOOKUP(TRIM(SUBSTITUTE(U436,CHAR(160)," ")),$BK$15:$BK$62,$BM$15:$BM$62),_xlfn.XLOOKUP(TRIM(SUBSTITUTE(U436,CHAR(160)," ")),$BL$15:$BL$62,$BM$15:$BM$62))))*T436*IF(ISBLANK(Q436),1,Q436)+IFERROR(_xlfn.XLOOKUP("RECHERCHEX",TRIM(L436:AD436),L436:AD436),0),0))</f>
        <v/>
      </c>
      <c r="AM436" s="6229">
        <f t="shared" si="172"/>
        <v>0</v>
      </c>
      <c r="AN436" s="6857" t="str">
        <f t="shared" si="187"/>
        <v/>
      </c>
      <c r="AO436" s="392">
        <f t="shared" si="173"/>
        <v>0</v>
      </c>
      <c r="AP436" s="392">
        <f t="shared" si="174"/>
        <v>0</v>
      </c>
      <c r="AQ436" s="6190">
        <f t="shared" si="175"/>
        <v>0</v>
      </c>
      <c r="AR436" s="6858" t="str">
        <f t="shared" si="176"/>
        <v/>
      </c>
      <c r="AS436" s="6217"/>
      <c r="AT436" s="6217"/>
      <c r="AU436" s="6271">
        <f t="shared" si="177"/>
        <v>0</v>
      </c>
      <c r="AV436" s="6242">
        <f t="shared" si="178"/>
        <v>0</v>
      </c>
      <c r="AW436" s="6188" cm="1">
        <f t="array" ref="AW436">IF(AK436&lt;&gt;1,0,IF(OR(AU436="",N(AU436)&lt;=0.000000001),"",IF(OR(AO436="",N(AO436)&lt;=0.000000001),0,IF(ISNUMBER(AU436),IFERROR(_xlfn.LET(_xlpm.ai_test,TRIM(AJ436),_xlpm.r,IFERROR(_xlfn.XLOOKUP(_xlpm.ai_test,$BJ$15:$BJ$62,ROW($BJ$15:$BJ$62),0,1),IFERROR(_xlfn.XLOOKUP(_xlpm.ai_test,$BK$15:$BK$62,ROW($BK$15:$BK$62),0,1),_xlfn.XLOOKUP(_xlpm.ai_test,$BL$15:$BL$62,ROW($BL$15:$BL$62),0,1))),_xlpm.p,_xlpm.r-MIN(ROW($BJ$15:$BJ$62))+1,_xlpm.f,INDEX($BM$15:$BM$62,_xlpm.p),_xlpm.u,INDEX($BN$15:$BN$62,_xlpm.p),_xlpm.s,INDEX($BP$15:$BP$62,_xlpm.p),_xlpm.q,N(AU436)/_xlpm.f,IF(_xlpm.q&gt;=_xlpm.s,ROUND(_xlpm.q,1)&amp;" "&amp;_xlpm.ai_test&amp;" = "&amp;ROUND(_xlpm.q*_xlpm.f,1)&amp;" "&amp;_xlpm.u,ROUND(_xlpm.q,1)&amp;" "&amp;_xlpm.ai_test)),""),""))))</f>
        <v>0</v>
      </c>
      <c r="AX436" s="6218"/>
      <c r="AY436" s="6271">
        <f t="shared" si="179"/>
        <v>0</v>
      </c>
      <c r="AZ436" s="6242" t="str">
        <f t="shared" si="180"/>
        <v/>
      </c>
      <c r="BA436" s="6194">
        <f t="shared" si="185"/>
        <v>0</v>
      </c>
      <c r="BB436" s="6192" t="str">
        <f t="shared" si="181"/>
        <v/>
      </c>
      <c r="BC436" s="6219"/>
      <c r="BD436" s="6221">
        <f t="shared" si="186"/>
        <v>0</v>
      </c>
      <c r="BE436" s="6220" t="str">
        <f t="shared" si="182"/>
        <v/>
      </c>
      <c r="BF436" s="4" t="s">
        <v>1</v>
      </c>
      <c r="BG436" s="6196">
        <f t="shared" si="183"/>
        <v>0</v>
      </c>
      <c r="BH436" s="6197">
        <f t="shared" si="184"/>
        <v>0</v>
      </c>
      <c r="BI436"/>
      <c r="BJ436" s="1"/>
      <c r="BK436" s="1"/>
      <c r="BL436" s="1"/>
      <c r="BM436" s="1"/>
      <c r="BN436" s="1"/>
      <c r="BO436" s="1"/>
      <c r="BP436" s="1"/>
      <c r="BQ436" s="1"/>
      <c r="BX436" s="20" t="str">
        <f t="shared" si="165"/>
        <v>►</v>
      </c>
      <c r="BY436" s="2"/>
      <c r="BZ436" s="2"/>
      <c r="CA436" s="2"/>
      <c r="CB436" s="2"/>
      <c r="CC436" s="2"/>
      <c r="DC436" s="5">
        <v>1</v>
      </c>
    </row>
    <row r="437" spans="12:107" ht="21" customHeight="1">
      <c r="L437" s="1021" t="s">
        <v>26</v>
      </c>
      <c r="M437" s="6787"/>
      <c r="N437" s="6787"/>
      <c r="O437" s="6787"/>
      <c r="P437" s="6788"/>
      <c r="Q437" s="6789"/>
      <c r="R437" s="6790"/>
      <c r="S437" s="6786"/>
      <c r="T437" s="6791"/>
      <c r="U437" s="6844"/>
      <c r="V437" s="6791"/>
      <c r="W437" s="8487"/>
      <c r="X437" s="6871"/>
      <c r="Y437" s="6793"/>
      <c r="Z437" s="6794"/>
      <c r="AA437" s="6795"/>
      <c r="AB437" s="6796"/>
      <c r="AC437" s="6797"/>
      <c r="AD437" s="6798"/>
      <c r="AE437" s="4" t="s">
        <v>1</v>
      </c>
      <c r="AF437" s="6202" t="str">
        <f t="shared" si="166"/>
        <v>►</v>
      </c>
      <c r="AG437" s="6234" t="str">
        <f t="shared" si="167"/>
        <v/>
      </c>
      <c r="AH437" s="6732" t="str">
        <f t="shared" si="168"/>
        <v/>
      </c>
      <c r="AI437" s="6234" t="str">
        <f t="shared" si="169"/>
        <v/>
      </c>
      <c r="AJ437" s="6732" t="str">
        <f t="shared" si="170"/>
        <v/>
      </c>
      <c r="AK437" s="6732">
        <f t="shared" si="171"/>
        <v>0</v>
      </c>
      <c r="AL437" s="6230" t="str" cm="1">
        <f t="array" ref="AL437">IF(AF437&lt;&gt;"A","",IFERROR((IFERROR(_xlfn.XLOOKUP(TRIM(SUBSTITUTE(U437,CHAR(160)," ")),$BJ$15:$BJ$62,$BM$15:$BM$62),IFERROR(_xlfn.XLOOKUP(TRIM(SUBSTITUTE(U437,CHAR(160)," ")),$BK$15:$BK$62,$BM$15:$BM$62),_xlfn.XLOOKUP(TRIM(SUBSTITUTE(U437,CHAR(160)," ")),$BL$15:$BL$62,$BM$15:$BM$62))))*T437*IF(ISBLANK(Q437),1,Q437)+IFERROR(_xlfn.XLOOKUP("RECHERCHEX",TRIM(L437:AD437),L437:AD437),0),0))</f>
        <v/>
      </c>
      <c r="AM437" s="6229">
        <f t="shared" si="172"/>
        <v>0</v>
      </c>
      <c r="AN437" s="6857" t="str">
        <f t="shared" si="187"/>
        <v/>
      </c>
      <c r="AO437" s="392">
        <f t="shared" si="173"/>
        <v>0</v>
      </c>
      <c r="AP437" s="392">
        <f t="shared" si="174"/>
        <v>0</v>
      </c>
      <c r="AQ437" s="6191">
        <f t="shared" si="175"/>
        <v>0</v>
      </c>
      <c r="AR437" s="6859" t="str">
        <f t="shared" si="176"/>
        <v/>
      </c>
      <c r="AS437" s="6217"/>
      <c r="AT437" s="6217"/>
      <c r="AU437" s="6272">
        <f t="shared" si="177"/>
        <v>0</v>
      </c>
      <c r="AV437" s="6240">
        <f t="shared" si="178"/>
        <v>0</v>
      </c>
      <c r="AW437" s="6189" cm="1">
        <f t="array" ref="AW437">IF(AK437&lt;&gt;1,0,IF(OR(AU437="",N(AU437)&lt;=0.000000001),"",IF(OR(AO437="",N(AO437)&lt;=0.000000001),0,IF(ISNUMBER(AU437),IFERROR(_xlfn.LET(_xlpm.ai_test,TRIM(AJ437),_xlpm.r,IFERROR(_xlfn.XLOOKUP(_xlpm.ai_test,$BJ$15:$BJ$62,ROW($BJ$15:$BJ$62),0,1),IFERROR(_xlfn.XLOOKUP(_xlpm.ai_test,$BK$15:$BK$62,ROW($BK$15:$BK$62),0,1),_xlfn.XLOOKUP(_xlpm.ai_test,$BL$15:$BL$62,ROW($BL$15:$BL$62),0,1))),_xlpm.p,_xlpm.r-MIN(ROW($BJ$15:$BJ$62))+1,_xlpm.f,INDEX($BM$15:$BM$62,_xlpm.p),_xlpm.u,INDEX($BN$15:$BN$62,_xlpm.p),_xlpm.s,INDEX($BP$15:$BP$62,_xlpm.p),_xlpm.q,N(AU437)/_xlpm.f,IF(_xlpm.q&gt;=_xlpm.s,ROUND(_xlpm.q,1)&amp;" "&amp;_xlpm.ai_test&amp;" = "&amp;ROUND(_xlpm.q*_xlpm.f,1)&amp;" "&amp;_xlpm.u,ROUND(_xlpm.q,1)&amp;" "&amp;_xlpm.ai_test)),""),""))))</f>
        <v>0</v>
      </c>
      <c r="AX437" s="6218"/>
      <c r="AY437" s="6272">
        <f t="shared" si="179"/>
        <v>0</v>
      </c>
      <c r="AZ437" s="6240" t="str">
        <f t="shared" si="180"/>
        <v/>
      </c>
      <c r="BA437" s="6195">
        <f t="shared" si="185"/>
        <v>0</v>
      </c>
      <c r="BB437" s="6193" t="str">
        <f t="shared" si="181"/>
        <v/>
      </c>
      <c r="BC437" s="6219"/>
      <c r="BD437" s="6222">
        <f t="shared" si="186"/>
        <v>0</v>
      </c>
      <c r="BE437" s="6220" t="str">
        <f t="shared" si="182"/>
        <v/>
      </c>
      <c r="BF437" s="4" t="s">
        <v>1</v>
      </c>
      <c r="BG437" s="6196">
        <f t="shared" si="183"/>
        <v>0</v>
      </c>
      <c r="BH437" s="6197">
        <f t="shared" si="184"/>
        <v>0</v>
      </c>
      <c r="BI437"/>
      <c r="BJ437" s="1"/>
      <c r="BK437" s="1"/>
      <c r="BL437" s="1"/>
      <c r="BM437" s="1"/>
      <c r="BN437" s="1"/>
      <c r="BO437" s="1"/>
      <c r="BP437" s="1"/>
      <c r="BQ437" s="1"/>
      <c r="BX437" s="20" t="str">
        <f t="shared" si="165"/>
        <v>►</v>
      </c>
      <c r="BY437" s="2"/>
      <c r="BZ437" s="2"/>
      <c r="CA437" s="2"/>
      <c r="CB437" s="2"/>
      <c r="CC437" s="2"/>
      <c r="DC437" s="5">
        <v>1</v>
      </c>
    </row>
    <row r="438" spans="12:107" ht="21" customHeight="1">
      <c r="L438" s="1021" t="s">
        <v>26</v>
      </c>
      <c r="M438" s="6787"/>
      <c r="N438" s="6787"/>
      <c r="O438" s="6787"/>
      <c r="P438" s="6788"/>
      <c r="Q438" s="6789"/>
      <c r="R438" s="6790"/>
      <c r="S438" s="6786"/>
      <c r="T438" s="6791"/>
      <c r="U438" s="6844"/>
      <c r="V438" s="6791"/>
      <c r="W438" s="8487"/>
      <c r="X438" s="6871"/>
      <c r="Y438" s="6793"/>
      <c r="Z438" s="6794"/>
      <c r="AA438" s="6795"/>
      <c r="AB438" s="6796"/>
      <c r="AC438" s="6797"/>
      <c r="AD438" s="6798"/>
      <c r="AE438" s="4" t="s">
        <v>1</v>
      </c>
      <c r="AF438" s="6202" t="str">
        <f t="shared" si="166"/>
        <v>►</v>
      </c>
      <c r="AG438" s="6234" t="str">
        <f t="shared" si="167"/>
        <v/>
      </c>
      <c r="AH438" s="6732" t="str">
        <f t="shared" si="168"/>
        <v/>
      </c>
      <c r="AI438" s="6234" t="str">
        <f t="shared" si="169"/>
        <v/>
      </c>
      <c r="AJ438" s="6732" t="str">
        <f t="shared" si="170"/>
        <v/>
      </c>
      <c r="AK438" s="6732">
        <f t="shared" si="171"/>
        <v>0</v>
      </c>
      <c r="AL438" s="6230" t="str" cm="1">
        <f t="array" ref="AL438">IF(AF438&lt;&gt;"A","",IFERROR((IFERROR(_xlfn.XLOOKUP(TRIM(SUBSTITUTE(U438,CHAR(160)," ")),$BJ$15:$BJ$62,$BM$15:$BM$62),IFERROR(_xlfn.XLOOKUP(TRIM(SUBSTITUTE(U438,CHAR(160)," ")),$BK$15:$BK$62,$BM$15:$BM$62),_xlfn.XLOOKUP(TRIM(SUBSTITUTE(U438,CHAR(160)," ")),$BL$15:$BL$62,$BM$15:$BM$62))))*T438*IF(ISBLANK(Q438),1,Q438)+IFERROR(_xlfn.XLOOKUP("RECHERCHEX",TRIM(L438:AD438),L438:AD438),0),0))</f>
        <v/>
      </c>
      <c r="AM438" s="6229">
        <f t="shared" si="172"/>
        <v>0</v>
      </c>
      <c r="AN438" s="6857" t="str">
        <f t="shared" si="187"/>
        <v/>
      </c>
      <c r="AO438" s="392">
        <f t="shared" si="173"/>
        <v>0</v>
      </c>
      <c r="AP438" s="392">
        <f t="shared" si="174"/>
        <v>0</v>
      </c>
      <c r="AQ438" s="6190">
        <f t="shared" si="175"/>
        <v>0</v>
      </c>
      <c r="AR438" s="6858" t="str">
        <f t="shared" si="176"/>
        <v/>
      </c>
      <c r="AS438" s="6217"/>
      <c r="AT438" s="6217"/>
      <c r="AU438" s="6271">
        <f t="shared" si="177"/>
        <v>0</v>
      </c>
      <c r="AV438" s="6242">
        <f t="shared" si="178"/>
        <v>0</v>
      </c>
      <c r="AW438" s="6188" cm="1">
        <f t="array" ref="AW438">IF(AK438&lt;&gt;1,0,IF(OR(AU438="",N(AU438)&lt;=0.000000001),"",IF(OR(AO438="",N(AO438)&lt;=0.000000001),0,IF(ISNUMBER(AU438),IFERROR(_xlfn.LET(_xlpm.ai_test,TRIM(AJ438),_xlpm.r,IFERROR(_xlfn.XLOOKUP(_xlpm.ai_test,$BJ$15:$BJ$62,ROW($BJ$15:$BJ$62),0,1),IFERROR(_xlfn.XLOOKUP(_xlpm.ai_test,$BK$15:$BK$62,ROW($BK$15:$BK$62),0,1),_xlfn.XLOOKUP(_xlpm.ai_test,$BL$15:$BL$62,ROW($BL$15:$BL$62),0,1))),_xlpm.p,_xlpm.r-MIN(ROW($BJ$15:$BJ$62))+1,_xlpm.f,INDEX($BM$15:$BM$62,_xlpm.p),_xlpm.u,INDEX($BN$15:$BN$62,_xlpm.p),_xlpm.s,INDEX($BP$15:$BP$62,_xlpm.p),_xlpm.q,N(AU438)/_xlpm.f,IF(_xlpm.q&gt;=_xlpm.s,ROUND(_xlpm.q,1)&amp;" "&amp;_xlpm.ai_test&amp;" = "&amp;ROUND(_xlpm.q*_xlpm.f,1)&amp;" "&amp;_xlpm.u,ROUND(_xlpm.q,1)&amp;" "&amp;_xlpm.ai_test)),""),""))))</f>
        <v>0</v>
      </c>
      <c r="AX438" s="6218"/>
      <c r="AY438" s="6271">
        <f t="shared" si="179"/>
        <v>0</v>
      </c>
      <c r="AZ438" s="6242" t="str">
        <f t="shared" si="180"/>
        <v/>
      </c>
      <c r="BA438" s="6194">
        <f t="shared" si="185"/>
        <v>0</v>
      </c>
      <c r="BB438" s="6192" t="str">
        <f t="shared" si="181"/>
        <v/>
      </c>
      <c r="BC438" s="6219"/>
      <c r="BD438" s="6221">
        <f t="shared" si="186"/>
        <v>0</v>
      </c>
      <c r="BE438" s="6220" t="str">
        <f t="shared" si="182"/>
        <v/>
      </c>
      <c r="BF438" s="4" t="s">
        <v>1</v>
      </c>
      <c r="BG438" s="6196">
        <f t="shared" si="183"/>
        <v>0</v>
      </c>
      <c r="BH438" s="6197">
        <f t="shared" si="184"/>
        <v>0</v>
      </c>
      <c r="BI438"/>
      <c r="BJ438" s="1"/>
      <c r="BK438" s="1"/>
      <c r="BL438" s="1"/>
      <c r="BM438" s="1"/>
      <c r="BN438" s="1"/>
      <c r="BO438" s="1"/>
      <c r="BP438" s="1"/>
      <c r="BQ438" s="1"/>
      <c r="BX438" s="20" t="str">
        <f t="shared" si="165"/>
        <v>►</v>
      </c>
      <c r="BY438" s="2"/>
      <c r="BZ438" s="2"/>
      <c r="CA438" s="2"/>
      <c r="CB438" s="2"/>
      <c r="CC438" s="2"/>
      <c r="DC438" s="5">
        <v>1</v>
      </c>
    </row>
    <row r="439" spans="12:107" ht="21" customHeight="1">
      <c r="L439" s="1021" t="s">
        <v>26</v>
      </c>
      <c r="M439" s="6787"/>
      <c r="N439" s="6787"/>
      <c r="O439" s="6787"/>
      <c r="P439" s="6788"/>
      <c r="Q439" s="6789"/>
      <c r="R439" s="6790"/>
      <c r="S439" s="6786"/>
      <c r="T439" s="6791"/>
      <c r="U439" s="6844"/>
      <c r="V439" s="6791"/>
      <c r="W439" s="8487"/>
      <c r="X439" s="6871"/>
      <c r="Y439" s="6793"/>
      <c r="Z439" s="6794"/>
      <c r="AA439" s="6795"/>
      <c r="AB439" s="6796"/>
      <c r="AC439" s="6797"/>
      <c r="AD439" s="6798"/>
      <c r="AE439" s="4" t="s">
        <v>1</v>
      </c>
      <c r="AF439" s="6202" t="str">
        <f t="shared" si="166"/>
        <v>►</v>
      </c>
      <c r="AG439" s="6234" t="str">
        <f t="shared" si="167"/>
        <v/>
      </c>
      <c r="AH439" s="6732" t="str">
        <f t="shared" si="168"/>
        <v/>
      </c>
      <c r="AI439" s="6234" t="str">
        <f t="shared" si="169"/>
        <v/>
      </c>
      <c r="AJ439" s="6732" t="str">
        <f t="shared" si="170"/>
        <v/>
      </c>
      <c r="AK439" s="6732">
        <f t="shared" si="171"/>
        <v>0</v>
      </c>
      <c r="AL439" s="6230" t="str" cm="1">
        <f t="array" ref="AL439">IF(AF439&lt;&gt;"A","",IFERROR((IFERROR(_xlfn.XLOOKUP(TRIM(SUBSTITUTE(U439,CHAR(160)," ")),$BJ$15:$BJ$62,$BM$15:$BM$62),IFERROR(_xlfn.XLOOKUP(TRIM(SUBSTITUTE(U439,CHAR(160)," ")),$BK$15:$BK$62,$BM$15:$BM$62),_xlfn.XLOOKUP(TRIM(SUBSTITUTE(U439,CHAR(160)," ")),$BL$15:$BL$62,$BM$15:$BM$62))))*T439*IF(ISBLANK(Q439),1,Q439)+IFERROR(_xlfn.XLOOKUP("RECHERCHEX",TRIM(L439:AD439),L439:AD439),0),0))</f>
        <v/>
      </c>
      <c r="AM439" s="6229">
        <f t="shared" si="172"/>
        <v>0</v>
      </c>
      <c r="AN439" s="6857" t="str">
        <f t="shared" si="187"/>
        <v/>
      </c>
      <c r="AO439" s="392">
        <f t="shared" si="173"/>
        <v>0</v>
      </c>
      <c r="AP439" s="392">
        <f t="shared" si="174"/>
        <v>0</v>
      </c>
      <c r="AQ439" s="6191">
        <f t="shared" si="175"/>
        <v>0</v>
      </c>
      <c r="AR439" s="6859" t="str">
        <f t="shared" si="176"/>
        <v/>
      </c>
      <c r="AS439" s="6217"/>
      <c r="AT439" s="6217"/>
      <c r="AU439" s="6272">
        <f t="shared" si="177"/>
        <v>0</v>
      </c>
      <c r="AV439" s="6240">
        <f t="shared" si="178"/>
        <v>0</v>
      </c>
      <c r="AW439" s="6189" cm="1">
        <f t="array" ref="AW439">IF(AK439&lt;&gt;1,0,IF(OR(AU439="",N(AU439)&lt;=0.000000001),"",IF(OR(AO439="",N(AO439)&lt;=0.000000001),0,IF(ISNUMBER(AU439),IFERROR(_xlfn.LET(_xlpm.ai_test,TRIM(AJ439),_xlpm.r,IFERROR(_xlfn.XLOOKUP(_xlpm.ai_test,$BJ$15:$BJ$62,ROW($BJ$15:$BJ$62),0,1),IFERROR(_xlfn.XLOOKUP(_xlpm.ai_test,$BK$15:$BK$62,ROW($BK$15:$BK$62),0,1),_xlfn.XLOOKUP(_xlpm.ai_test,$BL$15:$BL$62,ROW($BL$15:$BL$62),0,1))),_xlpm.p,_xlpm.r-MIN(ROW($BJ$15:$BJ$62))+1,_xlpm.f,INDEX($BM$15:$BM$62,_xlpm.p),_xlpm.u,INDEX($BN$15:$BN$62,_xlpm.p),_xlpm.s,INDEX($BP$15:$BP$62,_xlpm.p),_xlpm.q,N(AU439)/_xlpm.f,IF(_xlpm.q&gt;=_xlpm.s,ROUND(_xlpm.q,1)&amp;" "&amp;_xlpm.ai_test&amp;" = "&amp;ROUND(_xlpm.q*_xlpm.f,1)&amp;" "&amp;_xlpm.u,ROUND(_xlpm.q,1)&amp;" "&amp;_xlpm.ai_test)),""),""))))</f>
        <v>0</v>
      </c>
      <c r="AX439" s="6218"/>
      <c r="AY439" s="6272">
        <f t="shared" si="179"/>
        <v>0</v>
      </c>
      <c r="AZ439" s="6240" t="str">
        <f t="shared" si="180"/>
        <v/>
      </c>
      <c r="BA439" s="6195">
        <f t="shared" si="185"/>
        <v>0</v>
      </c>
      <c r="BB439" s="6193" t="str">
        <f t="shared" si="181"/>
        <v/>
      </c>
      <c r="BC439" s="6219"/>
      <c r="BD439" s="6222">
        <f t="shared" si="186"/>
        <v>0</v>
      </c>
      <c r="BE439" s="6220" t="str">
        <f t="shared" si="182"/>
        <v/>
      </c>
      <c r="BF439" s="4" t="s">
        <v>1</v>
      </c>
      <c r="BG439" s="6196">
        <f t="shared" si="183"/>
        <v>0</v>
      </c>
      <c r="BH439" s="6197">
        <f t="shared" si="184"/>
        <v>0</v>
      </c>
      <c r="BI439"/>
      <c r="BJ439" s="1"/>
      <c r="BK439" s="1"/>
      <c r="BL439" s="1"/>
      <c r="BM439" s="1"/>
      <c r="BN439" s="1"/>
      <c r="BO439" s="1"/>
      <c r="BP439" s="1"/>
      <c r="BQ439" s="1"/>
      <c r="BX439" s="20" t="str">
        <f t="shared" si="165"/>
        <v>►</v>
      </c>
      <c r="BY439" s="2"/>
      <c r="BZ439" s="2"/>
      <c r="CA439" s="2"/>
      <c r="CB439" s="2"/>
      <c r="CC439" s="2"/>
      <c r="DC439" s="5">
        <v>1</v>
      </c>
    </row>
    <row r="440" spans="12:107" ht="21" customHeight="1">
      <c r="L440" s="1021" t="s">
        <v>26</v>
      </c>
      <c r="M440" s="6787"/>
      <c r="N440" s="6787"/>
      <c r="O440" s="6787"/>
      <c r="P440" s="6788"/>
      <c r="Q440" s="6789"/>
      <c r="R440" s="6790"/>
      <c r="S440" s="6786"/>
      <c r="T440" s="6791"/>
      <c r="U440" s="6844"/>
      <c r="V440" s="6791"/>
      <c r="W440" s="8487"/>
      <c r="X440" s="6871"/>
      <c r="Y440" s="6793"/>
      <c r="Z440" s="6794"/>
      <c r="AA440" s="6795"/>
      <c r="AB440" s="6796"/>
      <c r="AC440" s="6797"/>
      <c r="AD440" s="6798"/>
      <c r="AE440" s="4" t="s">
        <v>1</v>
      </c>
      <c r="AF440" s="6202" t="str">
        <f t="shared" si="166"/>
        <v>►</v>
      </c>
      <c r="AG440" s="6234" t="str">
        <f t="shared" si="167"/>
        <v/>
      </c>
      <c r="AH440" s="6732" t="str">
        <f t="shared" si="168"/>
        <v/>
      </c>
      <c r="AI440" s="6234" t="str">
        <f t="shared" si="169"/>
        <v/>
      </c>
      <c r="AJ440" s="6732" t="str">
        <f t="shared" si="170"/>
        <v/>
      </c>
      <c r="AK440" s="6732">
        <f t="shared" si="171"/>
        <v>0</v>
      </c>
      <c r="AL440" s="6230" t="str" cm="1">
        <f t="array" ref="AL440">IF(AF440&lt;&gt;"A","",IFERROR((IFERROR(_xlfn.XLOOKUP(TRIM(SUBSTITUTE(U440,CHAR(160)," ")),$BJ$15:$BJ$62,$BM$15:$BM$62),IFERROR(_xlfn.XLOOKUP(TRIM(SUBSTITUTE(U440,CHAR(160)," ")),$BK$15:$BK$62,$BM$15:$BM$62),_xlfn.XLOOKUP(TRIM(SUBSTITUTE(U440,CHAR(160)," ")),$BL$15:$BL$62,$BM$15:$BM$62))))*T440*IF(ISBLANK(Q440),1,Q440)+IFERROR(_xlfn.XLOOKUP("RECHERCHEX",TRIM(L440:AD440),L440:AD440),0),0))</f>
        <v/>
      </c>
      <c r="AM440" s="6229">
        <f t="shared" si="172"/>
        <v>0</v>
      </c>
      <c r="AN440" s="6857" t="str">
        <f t="shared" si="187"/>
        <v/>
      </c>
      <c r="AO440" s="392">
        <f t="shared" si="173"/>
        <v>0</v>
      </c>
      <c r="AP440" s="392">
        <f t="shared" si="174"/>
        <v>0</v>
      </c>
      <c r="AQ440" s="6190">
        <f t="shared" si="175"/>
        <v>0</v>
      </c>
      <c r="AR440" s="6858" t="str">
        <f t="shared" si="176"/>
        <v/>
      </c>
      <c r="AS440" s="6217"/>
      <c r="AT440" s="6217"/>
      <c r="AU440" s="6271">
        <f t="shared" si="177"/>
        <v>0</v>
      </c>
      <c r="AV440" s="6242">
        <f t="shared" si="178"/>
        <v>0</v>
      </c>
      <c r="AW440" s="6188" cm="1">
        <f t="array" ref="AW440">IF(AK440&lt;&gt;1,0,IF(OR(AU440="",N(AU440)&lt;=0.000000001),"",IF(OR(AO440="",N(AO440)&lt;=0.000000001),0,IF(ISNUMBER(AU440),IFERROR(_xlfn.LET(_xlpm.ai_test,TRIM(AJ440),_xlpm.r,IFERROR(_xlfn.XLOOKUP(_xlpm.ai_test,$BJ$15:$BJ$62,ROW($BJ$15:$BJ$62),0,1),IFERROR(_xlfn.XLOOKUP(_xlpm.ai_test,$BK$15:$BK$62,ROW($BK$15:$BK$62),0,1),_xlfn.XLOOKUP(_xlpm.ai_test,$BL$15:$BL$62,ROW($BL$15:$BL$62),0,1))),_xlpm.p,_xlpm.r-MIN(ROW($BJ$15:$BJ$62))+1,_xlpm.f,INDEX($BM$15:$BM$62,_xlpm.p),_xlpm.u,INDEX($BN$15:$BN$62,_xlpm.p),_xlpm.s,INDEX($BP$15:$BP$62,_xlpm.p),_xlpm.q,N(AU440)/_xlpm.f,IF(_xlpm.q&gt;=_xlpm.s,ROUND(_xlpm.q,1)&amp;" "&amp;_xlpm.ai_test&amp;" = "&amp;ROUND(_xlpm.q*_xlpm.f,1)&amp;" "&amp;_xlpm.u,ROUND(_xlpm.q,1)&amp;" "&amp;_xlpm.ai_test)),""),""))))</f>
        <v>0</v>
      </c>
      <c r="AX440" s="6218"/>
      <c r="AY440" s="6271">
        <f t="shared" si="179"/>
        <v>0</v>
      </c>
      <c r="AZ440" s="6242" t="str">
        <f t="shared" si="180"/>
        <v/>
      </c>
      <c r="BA440" s="6194">
        <f t="shared" si="185"/>
        <v>0</v>
      </c>
      <c r="BB440" s="6192" t="str">
        <f t="shared" si="181"/>
        <v/>
      </c>
      <c r="BC440" s="6219"/>
      <c r="BD440" s="6221">
        <f t="shared" si="186"/>
        <v>0</v>
      </c>
      <c r="BE440" s="6220" t="str">
        <f t="shared" si="182"/>
        <v/>
      </c>
      <c r="BF440" s="4" t="s">
        <v>1</v>
      </c>
      <c r="BG440" s="6196">
        <f t="shared" si="183"/>
        <v>0</v>
      </c>
      <c r="BH440" s="6197">
        <f t="shared" si="184"/>
        <v>0</v>
      </c>
      <c r="BI440"/>
      <c r="BJ440" s="1"/>
      <c r="BK440" s="1"/>
      <c r="BL440" s="1"/>
      <c r="BM440" s="1"/>
      <c r="BN440" s="1"/>
      <c r="BO440" s="1"/>
      <c r="BP440" s="1"/>
      <c r="BQ440" s="1"/>
      <c r="BX440" s="20" t="str">
        <f t="shared" si="165"/>
        <v>►</v>
      </c>
      <c r="BY440" s="2"/>
      <c r="BZ440" s="2"/>
      <c r="CA440" s="2"/>
      <c r="CB440" s="2"/>
      <c r="CC440" s="2"/>
      <c r="DC440" s="5">
        <v>1</v>
      </c>
    </row>
    <row r="441" spans="12:107" ht="21" customHeight="1">
      <c r="L441" s="1021" t="s">
        <v>26</v>
      </c>
      <c r="M441" s="6787"/>
      <c r="N441" s="6787"/>
      <c r="O441" s="6787"/>
      <c r="P441" s="6788"/>
      <c r="Q441" s="6789"/>
      <c r="R441" s="6790"/>
      <c r="S441" s="6786"/>
      <c r="T441" s="6791"/>
      <c r="U441" s="6844"/>
      <c r="V441" s="6791"/>
      <c r="W441" s="8487"/>
      <c r="X441" s="6871"/>
      <c r="Y441" s="6793"/>
      <c r="Z441" s="6794"/>
      <c r="AA441" s="6795"/>
      <c r="AB441" s="6796"/>
      <c r="AC441" s="6797"/>
      <c r="AD441" s="6798"/>
      <c r="AE441" s="4" t="s">
        <v>1</v>
      </c>
      <c r="AF441" s="6202" t="str">
        <f t="shared" si="166"/>
        <v>►</v>
      </c>
      <c r="AG441" s="6234" t="str">
        <f t="shared" si="167"/>
        <v/>
      </c>
      <c r="AH441" s="6732" t="str">
        <f t="shared" si="168"/>
        <v/>
      </c>
      <c r="AI441" s="6234" t="str">
        <f t="shared" si="169"/>
        <v/>
      </c>
      <c r="AJ441" s="6732" t="str">
        <f t="shared" si="170"/>
        <v/>
      </c>
      <c r="AK441" s="6732">
        <f t="shared" si="171"/>
        <v>0</v>
      </c>
      <c r="AL441" s="6230" t="str" cm="1">
        <f t="array" ref="AL441">IF(AF441&lt;&gt;"A","",IFERROR((IFERROR(_xlfn.XLOOKUP(TRIM(SUBSTITUTE(U441,CHAR(160)," ")),$BJ$15:$BJ$62,$BM$15:$BM$62),IFERROR(_xlfn.XLOOKUP(TRIM(SUBSTITUTE(U441,CHAR(160)," ")),$BK$15:$BK$62,$BM$15:$BM$62),_xlfn.XLOOKUP(TRIM(SUBSTITUTE(U441,CHAR(160)," ")),$BL$15:$BL$62,$BM$15:$BM$62))))*T441*IF(ISBLANK(Q441),1,Q441)+IFERROR(_xlfn.XLOOKUP("RECHERCHEX",TRIM(L441:AD441),L441:AD441),0),0))</f>
        <v/>
      </c>
      <c r="AM441" s="6229">
        <f t="shared" si="172"/>
        <v>0</v>
      </c>
      <c r="AN441" s="6857" t="str">
        <f t="shared" si="187"/>
        <v/>
      </c>
      <c r="AO441" s="392">
        <f t="shared" si="173"/>
        <v>0</v>
      </c>
      <c r="AP441" s="392">
        <f t="shared" si="174"/>
        <v>0</v>
      </c>
      <c r="AQ441" s="6191">
        <f t="shared" si="175"/>
        <v>0</v>
      </c>
      <c r="AR441" s="6859" t="str">
        <f t="shared" si="176"/>
        <v/>
      </c>
      <c r="AS441" s="6217"/>
      <c r="AT441" s="6217"/>
      <c r="AU441" s="6272">
        <f t="shared" si="177"/>
        <v>0</v>
      </c>
      <c r="AV441" s="6240">
        <f t="shared" si="178"/>
        <v>0</v>
      </c>
      <c r="AW441" s="6189" cm="1">
        <f t="array" ref="AW441">IF(AK441&lt;&gt;1,0,IF(OR(AU441="",N(AU441)&lt;=0.000000001),"",IF(OR(AO441="",N(AO441)&lt;=0.000000001),0,IF(ISNUMBER(AU441),IFERROR(_xlfn.LET(_xlpm.ai_test,TRIM(AJ441),_xlpm.r,IFERROR(_xlfn.XLOOKUP(_xlpm.ai_test,$BJ$15:$BJ$62,ROW($BJ$15:$BJ$62),0,1),IFERROR(_xlfn.XLOOKUP(_xlpm.ai_test,$BK$15:$BK$62,ROW($BK$15:$BK$62),0,1),_xlfn.XLOOKUP(_xlpm.ai_test,$BL$15:$BL$62,ROW($BL$15:$BL$62),0,1))),_xlpm.p,_xlpm.r-MIN(ROW($BJ$15:$BJ$62))+1,_xlpm.f,INDEX($BM$15:$BM$62,_xlpm.p),_xlpm.u,INDEX($BN$15:$BN$62,_xlpm.p),_xlpm.s,INDEX($BP$15:$BP$62,_xlpm.p),_xlpm.q,N(AU441)/_xlpm.f,IF(_xlpm.q&gt;=_xlpm.s,ROUND(_xlpm.q,1)&amp;" "&amp;_xlpm.ai_test&amp;" = "&amp;ROUND(_xlpm.q*_xlpm.f,1)&amp;" "&amp;_xlpm.u,ROUND(_xlpm.q,1)&amp;" "&amp;_xlpm.ai_test)),""),""))))</f>
        <v>0</v>
      </c>
      <c r="AX441" s="6218"/>
      <c r="AY441" s="6272">
        <f t="shared" si="179"/>
        <v>0</v>
      </c>
      <c r="AZ441" s="6240" t="str">
        <f t="shared" si="180"/>
        <v/>
      </c>
      <c r="BA441" s="6195">
        <f t="shared" si="185"/>
        <v>0</v>
      </c>
      <c r="BB441" s="6193" t="str">
        <f t="shared" si="181"/>
        <v/>
      </c>
      <c r="BC441" s="6219"/>
      <c r="BD441" s="6222">
        <f t="shared" si="186"/>
        <v>0</v>
      </c>
      <c r="BE441" s="6220" t="str">
        <f t="shared" si="182"/>
        <v/>
      </c>
      <c r="BF441" s="4" t="s">
        <v>1</v>
      </c>
      <c r="BG441" s="6196">
        <f t="shared" si="183"/>
        <v>0</v>
      </c>
      <c r="BH441" s="6197">
        <f t="shared" si="184"/>
        <v>0</v>
      </c>
      <c r="BI441"/>
      <c r="BJ441" s="1"/>
      <c r="BK441" s="1"/>
      <c r="BL441" s="1"/>
      <c r="BM441" s="1"/>
      <c r="BN441" s="1"/>
      <c r="BO441" s="1"/>
      <c r="BP441" s="1"/>
      <c r="BQ441" s="1"/>
      <c r="BX441" s="20" t="str">
        <f t="shared" si="165"/>
        <v>►</v>
      </c>
      <c r="BY441" s="2"/>
      <c r="BZ441" s="2"/>
      <c r="CA441" s="2"/>
      <c r="CB441" s="2"/>
      <c r="CC441" s="2"/>
      <c r="DC441" s="5">
        <v>1</v>
      </c>
    </row>
    <row r="442" spans="12:107" ht="21" customHeight="1">
      <c r="L442" s="1021" t="s">
        <v>26</v>
      </c>
      <c r="M442" s="6787"/>
      <c r="N442" s="6787"/>
      <c r="O442" s="6787"/>
      <c r="P442" s="6788"/>
      <c r="Q442" s="6789"/>
      <c r="R442" s="6790"/>
      <c r="S442" s="6786"/>
      <c r="T442" s="6791"/>
      <c r="U442" s="6844"/>
      <c r="V442" s="6791"/>
      <c r="W442" s="8487"/>
      <c r="X442" s="6871"/>
      <c r="Y442" s="6793"/>
      <c r="Z442" s="6794"/>
      <c r="AA442" s="6795"/>
      <c r="AB442" s="6796"/>
      <c r="AC442" s="6797"/>
      <c r="AD442" s="6798"/>
      <c r="AE442" s="4" t="s">
        <v>1</v>
      </c>
      <c r="AF442" s="6202" t="str">
        <f t="shared" si="166"/>
        <v>►</v>
      </c>
      <c r="AG442" s="6234" t="str">
        <f t="shared" si="167"/>
        <v/>
      </c>
      <c r="AH442" s="6732" t="str">
        <f t="shared" si="168"/>
        <v/>
      </c>
      <c r="AI442" s="6234" t="str">
        <f t="shared" si="169"/>
        <v/>
      </c>
      <c r="AJ442" s="6732" t="str">
        <f t="shared" si="170"/>
        <v/>
      </c>
      <c r="AK442" s="6732">
        <f t="shared" si="171"/>
        <v>0</v>
      </c>
      <c r="AL442" s="6230" t="str" cm="1">
        <f t="array" ref="AL442">IF(AF442&lt;&gt;"A","",IFERROR((IFERROR(_xlfn.XLOOKUP(TRIM(SUBSTITUTE(U442,CHAR(160)," ")),$BJ$15:$BJ$62,$BM$15:$BM$62),IFERROR(_xlfn.XLOOKUP(TRIM(SUBSTITUTE(U442,CHAR(160)," ")),$BK$15:$BK$62,$BM$15:$BM$62),_xlfn.XLOOKUP(TRIM(SUBSTITUTE(U442,CHAR(160)," ")),$BL$15:$BL$62,$BM$15:$BM$62))))*T442*IF(ISBLANK(Q442),1,Q442)+IFERROR(_xlfn.XLOOKUP("RECHERCHEX",TRIM(L442:AD442),L442:AD442),0),0))</f>
        <v/>
      </c>
      <c r="AM442" s="6229">
        <f t="shared" si="172"/>
        <v>0</v>
      </c>
      <c r="AN442" s="6857" t="str">
        <f t="shared" si="187"/>
        <v/>
      </c>
      <c r="AO442" s="392">
        <f t="shared" si="173"/>
        <v>0</v>
      </c>
      <c r="AP442" s="392">
        <f t="shared" si="174"/>
        <v>0</v>
      </c>
      <c r="AQ442" s="6190">
        <f t="shared" si="175"/>
        <v>0</v>
      </c>
      <c r="AR442" s="6858" t="str">
        <f t="shared" si="176"/>
        <v/>
      </c>
      <c r="AS442" s="6217"/>
      <c r="AT442" s="6217"/>
      <c r="AU442" s="6271">
        <f t="shared" si="177"/>
        <v>0</v>
      </c>
      <c r="AV442" s="6242">
        <f t="shared" si="178"/>
        <v>0</v>
      </c>
      <c r="AW442" s="6188" cm="1">
        <f t="array" ref="AW442">IF(AK442&lt;&gt;1,0,IF(OR(AU442="",N(AU442)&lt;=0.000000001),"",IF(OR(AO442="",N(AO442)&lt;=0.000000001),0,IF(ISNUMBER(AU442),IFERROR(_xlfn.LET(_xlpm.ai_test,TRIM(AJ442),_xlpm.r,IFERROR(_xlfn.XLOOKUP(_xlpm.ai_test,$BJ$15:$BJ$62,ROW($BJ$15:$BJ$62),0,1),IFERROR(_xlfn.XLOOKUP(_xlpm.ai_test,$BK$15:$BK$62,ROW($BK$15:$BK$62),0,1),_xlfn.XLOOKUP(_xlpm.ai_test,$BL$15:$BL$62,ROW($BL$15:$BL$62),0,1))),_xlpm.p,_xlpm.r-MIN(ROW($BJ$15:$BJ$62))+1,_xlpm.f,INDEX($BM$15:$BM$62,_xlpm.p),_xlpm.u,INDEX($BN$15:$BN$62,_xlpm.p),_xlpm.s,INDEX($BP$15:$BP$62,_xlpm.p),_xlpm.q,N(AU442)/_xlpm.f,IF(_xlpm.q&gt;=_xlpm.s,ROUND(_xlpm.q,1)&amp;" "&amp;_xlpm.ai_test&amp;" = "&amp;ROUND(_xlpm.q*_xlpm.f,1)&amp;" "&amp;_xlpm.u,ROUND(_xlpm.q,1)&amp;" "&amp;_xlpm.ai_test)),""),""))))</f>
        <v>0</v>
      </c>
      <c r="AX442" s="6218"/>
      <c r="AY442" s="6271">
        <f t="shared" si="179"/>
        <v>0</v>
      </c>
      <c r="AZ442" s="6242" t="str">
        <f t="shared" si="180"/>
        <v/>
      </c>
      <c r="BA442" s="6194">
        <f t="shared" si="185"/>
        <v>0</v>
      </c>
      <c r="BB442" s="6192" t="str">
        <f t="shared" si="181"/>
        <v/>
      </c>
      <c r="BC442" s="6219"/>
      <c r="BD442" s="6221">
        <f t="shared" si="186"/>
        <v>0</v>
      </c>
      <c r="BE442" s="6220" t="str">
        <f t="shared" si="182"/>
        <v/>
      </c>
      <c r="BF442" s="4" t="s">
        <v>1</v>
      </c>
      <c r="BG442" s="6196">
        <f t="shared" si="183"/>
        <v>0</v>
      </c>
      <c r="BH442" s="6197">
        <f t="shared" si="184"/>
        <v>0</v>
      </c>
      <c r="BI442"/>
      <c r="BJ442" s="1"/>
      <c r="BK442" s="1"/>
      <c r="BL442" s="1"/>
      <c r="BM442" s="1"/>
      <c r="BN442" s="1"/>
      <c r="BO442" s="1"/>
      <c r="BP442" s="1"/>
      <c r="BQ442" s="1"/>
      <c r="BX442" s="20" t="str">
        <f t="shared" si="165"/>
        <v>►</v>
      </c>
      <c r="BY442" s="2"/>
      <c r="BZ442" s="2"/>
      <c r="CA442" s="2"/>
      <c r="CB442" s="2"/>
      <c r="CC442" s="2"/>
      <c r="DC442" s="5">
        <v>1</v>
      </c>
    </row>
    <row r="443" spans="12:107" ht="21" customHeight="1">
      <c r="L443" s="1021" t="s">
        <v>26</v>
      </c>
      <c r="M443" s="6787"/>
      <c r="N443" s="6787"/>
      <c r="O443" s="6787"/>
      <c r="P443" s="6788"/>
      <c r="Q443" s="6789"/>
      <c r="R443" s="6790"/>
      <c r="S443" s="6786"/>
      <c r="T443" s="6791"/>
      <c r="U443" s="6844"/>
      <c r="V443" s="6791"/>
      <c r="W443" s="8487"/>
      <c r="X443" s="6871"/>
      <c r="Y443" s="6793"/>
      <c r="Z443" s="6794"/>
      <c r="AA443" s="6795"/>
      <c r="AB443" s="6796"/>
      <c r="AC443" s="6797"/>
      <c r="AD443" s="6798"/>
      <c r="AE443" s="4" t="s">
        <v>1</v>
      </c>
      <c r="AF443" s="6202" t="str">
        <f t="shared" si="166"/>
        <v>►</v>
      </c>
      <c r="AG443" s="6234" t="str">
        <f t="shared" si="167"/>
        <v/>
      </c>
      <c r="AH443" s="6732" t="str">
        <f t="shared" si="168"/>
        <v/>
      </c>
      <c r="AI443" s="6234" t="str">
        <f t="shared" si="169"/>
        <v/>
      </c>
      <c r="AJ443" s="6732" t="str">
        <f t="shared" si="170"/>
        <v/>
      </c>
      <c r="AK443" s="6732">
        <f t="shared" si="171"/>
        <v>0</v>
      </c>
      <c r="AL443" s="6230" t="str" cm="1">
        <f t="array" ref="AL443">IF(AF443&lt;&gt;"A","",IFERROR((IFERROR(_xlfn.XLOOKUP(TRIM(SUBSTITUTE(U443,CHAR(160)," ")),$BJ$15:$BJ$62,$BM$15:$BM$62),IFERROR(_xlfn.XLOOKUP(TRIM(SUBSTITUTE(U443,CHAR(160)," ")),$BK$15:$BK$62,$BM$15:$BM$62),_xlfn.XLOOKUP(TRIM(SUBSTITUTE(U443,CHAR(160)," ")),$BL$15:$BL$62,$BM$15:$BM$62))))*T443*IF(ISBLANK(Q443),1,Q443)+IFERROR(_xlfn.XLOOKUP("RECHERCHEX",TRIM(L443:AD443),L443:AD443),0),0))</f>
        <v/>
      </c>
      <c r="AM443" s="6229">
        <f t="shared" si="172"/>
        <v>0</v>
      </c>
      <c r="AN443" s="6857" t="str">
        <f t="shared" si="187"/>
        <v/>
      </c>
      <c r="AO443" s="392">
        <f t="shared" si="173"/>
        <v>0</v>
      </c>
      <c r="AP443" s="392">
        <f t="shared" si="174"/>
        <v>0</v>
      </c>
      <c r="AQ443" s="6191">
        <f t="shared" si="175"/>
        <v>0</v>
      </c>
      <c r="AR443" s="6859" t="str">
        <f t="shared" si="176"/>
        <v/>
      </c>
      <c r="AS443" s="6217"/>
      <c r="AT443" s="6217"/>
      <c r="AU443" s="6272">
        <f t="shared" si="177"/>
        <v>0</v>
      </c>
      <c r="AV443" s="6240">
        <f t="shared" si="178"/>
        <v>0</v>
      </c>
      <c r="AW443" s="6189" cm="1">
        <f t="array" ref="AW443">IF(AK443&lt;&gt;1,0,IF(OR(AU443="",N(AU443)&lt;=0.000000001),"",IF(OR(AO443="",N(AO443)&lt;=0.000000001),0,IF(ISNUMBER(AU443),IFERROR(_xlfn.LET(_xlpm.ai_test,TRIM(AJ443),_xlpm.r,IFERROR(_xlfn.XLOOKUP(_xlpm.ai_test,$BJ$15:$BJ$62,ROW($BJ$15:$BJ$62),0,1),IFERROR(_xlfn.XLOOKUP(_xlpm.ai_test,$BK$15:$BK$62,ROW($BK$15:$BK$62),0,1),_xlfn.XLOOKUP(_xlpm.ai_test,$BL$15:$BL$62,ROW($BL$15:$BL$62),0,1))),_xlpm.p,_xlpm.r-MIN(ROW($BJ$15:$BJ$62))+1,_xlpm.f,INDEX($BM$15:$BM$62,_xlpm.p),_xlpm.u,INDEX($BN$15:$BN$62,_xlpm.p),_xlpm.s,INDEX($BP$15:$BP$62,_xlpm.p),_xlpm.q,N(AU443)/_xlpm.f,IF(_xlpm.q&gt;=_xlpm.s,ROUND(_xlpm.q,1)&amp;" "&amp;_xlpm.ai_test&amp;" = "&amp;ROUND(_xlpm.q*_xlpm.f,1)&amp;" "&amp;_xlpm.u,ROUND(_xlpm.q,1)&amp;" "&amp;_xlpm.ai_test)),""),""))))</f>
        <v>0</v>
      </c>
      <c r="AX443" s="6218"/>
      <c r="AY443" s="6272">
        <f t="shared" si="179"/>
        <v>0</v>
      </c>
      <c r="AZ443" s="6240" t="str">
        <f t="shared" si="180"/>
        <v/>
      </c>
      <c r="BA443" s="6195">
        <f t="shared" si="185"/>
        <v>0</v>
      </c>
      <c r="BB443" s="6193" t="str">
        <f t="shared" si="181"/>
        <v/>
      </c>
      <c r="BC443" s="6219"/>
      <c r="BD443" s="6222">
        <f t="shared" si="186"/>
        <v>0</v>
      </c>
      <c r="BE443" s="6220" t="str">
        <f t="shared" si="182"/>
        <v/>
      </c>
      <c r="BF443" s="4" t="s">
        <v>1</v>
      </c>
      <c r="BG443" s="6196">
        <f t="shared" si="183"/>
        <v>0</v>
      </c>
      <c r="BH443" s="6197">
        <f t="shared" si="184"/>
        <v>0</v>
      </c>
      <c r="BI443"/>
      <c r="BJ443" s="1"/>
      <c r="BK443" s="1"/>
      <c r="BL443" s="1"/>
      <c r="BM443" s="1"/>
      <c r="BN443" s="1"/>
      <c r="BO443" s="1"/>
      <c r="BP443" s="1"/>
      <c r="BQ443" s="1"/>
      <c r="BX443" s="20" t="str">
        <f t="shared" si="165"/>
        <v>►</v>
      </c>
      <c r="BY443" s="2"/>
      <c r="BZ443" s="2"/>
      <c r="CA443" s="2"/>
      <c r="CB443" s="2"/>
      <c r="CC443" s="2"/>
      <c r="DC443" s="5">
        <v>1</v>
      </c>
    </row>
    <row r="444" spans="12:107" ht="21" customHeight="1">
      <c r="L444" s="1021" t="s">
        <v>26</v>
      </c>
      <c r="M444" s="6787"/>
      <c r="N444" s="6787"/>
      <c r="O444" s="6787"/>
      <c r="P444" s="6788"/>
      <c r="Q444" s="6789"/>
      <c r="R444" s="6790"/>
      <c r="S444" s="6786"/>
      <c r="T444" s="6791"/>
      <c r="U444" s="6844"/>
      <c r="V444" s="6791"/>
      <c r="W444" s="8487"/>
      <c r="X444" s="6871"/>
      <c r="Y444" s="6793"/>
      <c r="Z444" s="6794"/>
      <c r="AA444" s="6795"/>
      <c r="AB444" s="6796"/>
      <c r="AC444" s="6797"/>
      <c r="AD444" s="6798"/>
      <c r="AE444" s="4" t="s">
        <v>1</v>
      </c>
      <c r="AF444" s="6202" t="str">
        <f t="shared" si="166"/>
        <v>►</v>
      </c>
      <c r="AG444" s="6234" t="str">
        <f t="shared" si="167"/>
        <v/>
      </c>
      <c r="AH444" s="6732" t="str">
        <f t="shared" si="168"/>
        <v/>
      </c>
      <c r="AI444" s="6234" t="str">
        <f t="shared" si="169"/>
        <v/>
      </c>
      <c r="AJ444" s="6732" t="str">
        <f t="shared" si="170"/>
        <v/>
      </c>
      <c r="AK444" s="6732">
        <f t="shared" si="171"/>
        <v>0</v>
      </c>
      <c r="AL444" s="6230" t="str" cm="1">
        <f t="array" ref="AL444">IF(AF444&lt;&gt;"A","",IFERROR((IFERROR(_xlfn.XLOOKUP(TRIM(SUBSTITUTE(U444,CHAR(160)," ")),$BJ$15:$BJ$62,$BM$15:$BM$62),IFERROR(_xlfn.XLOOKUP(TRIM(SUBSTITUTE(U444,CHAR(160)," ")),$BK$15:$BK$62,$BM$15:$BM$62),_xlfn.XLOOKUP(TRIM(SUBSTITUTE(U444,CHAR(160)," ")),$BL$15:$BL$62,$BM$15:$BM$62))))*T444*IF(ISBLANK(Q444),1,Q444)+IFERROR(_xlfn.XLOOKUP("RECHERCHEX",TRIM(L444:AD444),L444:AD444),0),0))</f>
        <v/>
      </c>
      <c r="AM444" s="6229">
        <f t="shared" si="172"/>
        <v>0</v>
      </c>
      <c r="AN444" s="6857" t="str">
        <f t="shared" si="187"/>
        <v/>
      </c>
      <c r="AO444" s="392">
        <f t="shared" si="173"/>
        <v>0</v>
      </c>
      <c r="AP444" s="392">
        <f t="shared" si="174"/>
        <v>0</v>
      </c>
      <c r="AQ444" s="6190">
        <f t="shared" si="175"/>
        <v>0</v>
      </c>
      <c r="AR444" s="6858" t="str">
        <f t="shared" si="176"/>
        <v/>
      </c>
      <c r="AS444" s="6217"/>
      <c r="AT444" s="6217"/>
      <c r="AU444" s="6271">
        <f t="shared" si="177"/>
        <v>0</v>
      </c>
      <c r="AV444" s="6242">
        <f t="shared" si="178"/>
        <v>0</v>
      </c>
      <c r="AW444" s="6188" cm="1">
        <f t="array" ref="AW444">IF(AK444&lt;&gt;1,0,IF(OR(AU444="",N(AU444)&lt;=0.000000001),"",IF(OR(AO444="",N(AO444)&lt;=0.000000001),0,IF(ISNUMBER(AU444),IFERROR(_xlfn.LET(_xlpm.ai_test,TRIM(AJ444),_xlpm.r,IFERROR(_xlfn.XLOOKUP(_xlpm.ai_test,$BJ$15:$BJ$62,ROW($BJ$15:$BJ$62),0,1),IFERROR(_xlfn.XLOOKUP(_xlpm.ai_test,$BK$15:$BK$62,ROW($BK$15:$BK$62),0,1),_xlfn.XLOOKUP(_xlpm.ai_test,$BL$15:$BL$62,ROW($BL$15:$BL$62),0,1))),_xlpm.p,_xlpm.r-MIN(ROW($BJ$15:$BJ$62))+1,_xlpm.f,INDEX($BM$15:$BM$62,_xlpm.p),_xlpm.u,INDEX($BN$15:$BN$62,_xlpm.p),_xlpm.s,INDEX($BP$15:$BP$62,_xlpm.p),_xlpm.q,N(AU444)/_xlpm.f,IF(_xlpm.q&gt;=_xlpm.s,ROUND(_xlpm.q,1)&amp;" "&amp;_xlpm.ai_test&amp;" = "&amp;ROUND(_xlpm.q*_xlpm.f,1)&amp;" "&amp;_xlpm.u,ROUND(_xlpm.q,1)&amp;" "&amp;_xlpm.ai_test)),""),""))))</f>
        <v>0</v>
      </c>
      <c r="AX444" s="6218"/>
      <c r="AY444" s="6271">
        <f t="shared" si="179"/>
        <v>0</v>
      </c>
      <c r="AZ444" s="6242" t="str">
        <f t="shared" si="180"/>
        <v/>
      </c>
      <c r="BA444" s="6194">
        <f t="shared" si="185"/>
        <v>0</v>
      </c>
      <c r="BB444" s="6192" t="str">
        <f t="shared" si="181"/>
        <v/>
      </c>
      <c r="BC444" s="6219"/>
      <c r="BD444" s="6221">
        <f t="shared" si="186"/>
        <v>0</v>
      </c>
      <c r="BE444" s="6220" t="str">
        <f t="shared" si="182"/>
        <v/>
      </c>
      <c r="BF444" s="4" t="s">
        <v>1</v>
      </c>
      <c r="BG444" s="6196">
        <f t="shared" si="183"/>
        <v>0</v>
      </c>
      <c r="BH444" s="6197">
        <f t="shared" si="184"/>
        <v>0</v>
      </c>
      <c r="BI444"/>
      <c r="BJ444" s="1"/>
      <c r="BK444" s="1"/>
      <c r="BL444" s="1"/>
      <c r="BM444" s="1"/>
      <c r="BN444" s="1"/>
      <c r="BO444" s="1"/>
      <c r="BP444" s="1"/>
      <c r="BQ444" s="1"/>
      <c r="BX444" s="20" t="str">
        <f t="shared" si="165"/>
        <v>►</v>
      </c>
      <c r="BY444" s="2"/>
      <c r="BZ444" s="2"/>
      <c r="CA444" s="2"/>
      <c r="CB444" s="2"/>
      <c r="CC444" s="2"/>
      <c r="DC444" s="5">
        <v>1</v>
      </c>
    </row>
    <row r="445" spans="12:107" ht="21" customHeight="1">
      <c r="L445" s="1021" t="s">
        <v>26</v>
      </c>
      <c r="M445" s="6787"/>
      <c r="N445" s="6787"/>
      <c r="O445" s="6787"/>
      <c r="P445" s="6788"/>
      <c r="Q445" s="6789"/>
      <c r="R445" s="6790"/>
      <c r="S445" s="6786"/>
      <c r="T445" s="6791"/>
      <c r="U445" s="6844"/>
      <c r="V445" s="6791"/>
      <c r="W445" s="8487"/>
      <c r="X445" s="6871"/>
      <c r="Y445" s="6793"/>
      <c r="Z445" s="6794"/>
      <c r="AA445" s="6795"/>
      <c r="AB445" s="6796"/>
      <c r="AC445" s="6797"/>
      <c r="AD445" s="6798"/>
      <c r="AE445" s="4" t="s">
        <v>1</v>
      </c>
      <c r="AF445" s="6202" t="str">
        <f t="shared" si="166"/>
        <v>►</v>
      </c>
      <c r="AG445" s="6234" t="str">
        <f t="shared" si="167"/>
        <v/>
      </c>
      <c r="AH445" s="6732" t="str">
        <f t="shared" si="168"/>
        <v/>
      </c>
      <c r="AI445" s="6234" t="str">
        <f t="shared" si="169"/>
        <v/>
      </c>
      <c r="AJ445" s="6732" t="str">
        <f t="shared" si="170"/>
        <v/>
      </c>
      <c r="AK445" s="6732">
        <f t="shared" si="171"/>
        <v>0</v>
      </c>
      <c r="AL445" s="6230" t="str" cm="1">
        <f t="array" ref="AL445">IF(AF445&lt;&gt;"A","",IFERROR((IFERROR(_xlfn.XLOOKUP(TRIM(SUBSTITUTE(U445,CHAR(160)," ")),$BJ$15:$BJ$62,$BM$15:$BM$62),IFERROR(_xlfn.XLOOKUP(TRIM(SUBSTITUTE(U445,CHAR(160)," ")),$BK$15:$BK$62,$BM$15:$BM$62),_xlfn.XLOOKUP(TRIM(SUBSTITUTE(U445,CHAR(160)," ")),$BL$15:$BL$62,$BM$15:$BM$62))))*T445*IF(ISBLANK(Q445),1,Q445)+IFERROR(_xlfn.XLOOKUP("RECHERCHEX",TRIM(L445:AD445),L445:AD445),0),0))</f>
        <v/>
      </c>
      <c r="AM445" s="6229">
        <f t="shared" si="172"/>
        <v>0</v>
      </c>
      <c r="AN445" s="6857" t="str">
        <f t="shared" si="187"/>
        <v/>
      </c>
      <c r="AO445" s="392">
        <f t="shared" si="173"/>
        <v>0</v>
      </c>
      <c r="AP445" s="392">
        <f t="shared" si="174"/>
        <v>0</v>
      </c>
      <c r="AQ445" s="6191">
        <f t="shared" si="175"/>
        <v>0</v>
      </c>
      <c r="AR445" s="6859" t="str">
        <f t="shared" si="176"/>
        <v/>
      </c>
      <c r="AS445" s="6217"/>
      <c r="AT445" s="6217"/>
      <c r="AU445" s="6272">
        <f t="shared" si="177"/>
        <v>0</v>
      </c>
      <c r="AV445" s="6240">
        <f t="shared" si="178"/>
        <v>0</v>
      </c>
      <c r="AW445" s="6189" cm="1">
        <f t="array" ref="AW445">IF(AK445&lt;&gt;1,0,IF(OR(AU445="",N(AU445)&lt;=0.000000001),"",IF(OR(AO445="",N(AO445)&lt;=0.000000001),0,IF(ISNUMBER(AU445),IFERROR(_xlfn.LET(_xlpm.ai_test,TRIM(AJ445),_xlpm.r,IFERROR(_xlfn.XLOOKUP(_xlpm.ai_test,$BJ$15:$BJ$62,ROW($BJ$15:$BJ$62),0,1),IFERROR(_xlfn.XLOOKUP(_xlpm.ai_test,$BK$15:$BK$62,ROW($BK$15:$BK$62),0,1),_xlfn.XLOOKUP(_xlpm.ai_test,$BL$15:$BL$62,ROW($BL$15:$BL$62),0,1))),_xlpm.p,_xlpm.r-MIN(ROW($BJ$15:$BJ$62))+1,_xlpm.f,INDEX($BM$15:$BM$62,_xlpm.p),_xlpm.u,INDEX($BN$15:$BN$62,_xlpm.p),_xlpm.s,INDEX($BP$15:$BP$62,_xlpm.p),_xlpm.q,N(AU445)/_xlpm.f,IF(_xlpm.q&gt;=_xlpm.s,ROUND(_xlpm.q,1)&amp;" "&amp;_xlpm.ai_test&amp;" = "&amp;ROUND(_xlpm.q*_xlpm.f,1)&amp;" "&amp;_xlpm.u,ROUND(_xlpm.q,1)&amp;" "&amp;_xlpm.ai_test)),""),""))))</f>
        <v>0</v>
      </c>
      <c r="AX445" s="6218"/>
      <c r="AY445" s="6272">
        <f t="shared" si="179"/>
        <v>0</v>
      </c>
      <c r="AZ445" s="6240" t="str">
        <f t="shared" si="180"/>
        <v/>
      </c>
      <c r="BA445" s="6195">
        <f t="shared" si="185"/>
        <v>0</v>
      </c>
      <c r="BB445" s="6193" t="str">
        <f t="shared" si="181"/>
        <v/>
      </c>
      <c r="BC445" s="6219"/>
      <c r="BD445" s="6222">
        <f t="shared" si="186"/>
        <v>0</v>
      </c>
      <c r="BE445" s="6220" t="str">
        <f t="shared" si="182"/>
        <v/>
      </c>
      <c r="BF445" s="4" t="s">
        <v>1</v>
      </c>
      <c r="BG445" s="6196">
        <f t="shared" si="183"/>
        <v>0</v>
      </c>
      <c r="BH445" s="6197">
        <f t="shared" si="184"/>
        <v>0</v>
      </c>
      <c r="BI445"/>
      <c r="BJ445" s="1"/>
      <c r="BK445" s="1"/>
      <c r="BL445" s="1"/>
      <c r="BM445" s="1"/>
      <c r="BN445" s="1"/>
      <c r="BO445" s="1"/>
      <c r="BP445" s="1"/>
      <c r="BQ445" s="1"/>
      <c r="BX445" s="20" t="str">
        <f t="shared" si="165"/>
        <v>►</v>
      </c>
      <c r="BY445" s="2"/>
      <c r="BZ445" s="2"/>
      <c r="CA445" s="2"/>
      <c r="CB445" s="2"/>
      <c r="CC445" s="2"/>
      <c r="DC445" s="5">
        <v>1</v>
      </c>
    </row>
    <row r="446" spans="12:107" ht="21" customHeight="1">
      <c r="L446" s="1021" t="s">
        <v>26</v>
      </c>
      <c r="M446" s="6787"/>
      <c r="N446" s="6787"/>
      <c r="O446" s="6787"/>
      <c r="P446" s="6788"/>
      <c r="Q446" s="6789"/>
      <c r="R446" s="6790"/>
      <c r="S446" s="6786"/>
      <c r="T446" s="6791"/>
      <c r="U446" s="6844"/>
      <c r="V446" s="6791"/>
      <c r="W446" s="8487"/>
      <c r="X446" s="6871"/>
      <c r="Y446" s="6793"/>
      <c r="Z446" s="6794"/>
      <c r="AA446" s="6795"/>
      <c r="AB446" s="6796"/>
      <c r="AC446" s="6797"/>
      <c r="AD446" s="6798"/>
      <c r="AE446" s="4" t="s">
        <v>1</v>
      </c>
      <c r="AF446" s="6202" t="str">
        <f t="shared" si="166"/>
        <v>►</v>
      </c>
      <c r="AG446" s="6234" t="str">
        <f t="shared" si="167"/>
        <v/>
      </c>
      <c r="AH446" s="6732" t="str">
        <f t="shared" si="168"/>
        <v/>
      </c>
      <c r="AI446" s="6234" t="str">
        <f t="shared" si="169"/>
        <v/>
      </c>
      <c r="AJ446" s="6732" t="str">
        <f t="shared" si="170"/>
        <v/>
      </c>
      <c r="AK446" s="6732">
        <f t="shared" si="171"/>
        <v>0</v>
      </c>
      <c r="AL446" s="6230" t="str" cm="1">
        <f t="array" ref="AL446">IF(AF446&lt;&gt;"A","",IFERROR((IFERROR(_xlfn.XLOOKUP(TRIM(SUBSTITUTE(U446,CHAR(160)," ")),$BJ$15:$BJ$62,$BM$15:$BM$62),IFERROR(_xlfn.XLOOKUP(TRIM(SUBSTITUTE(U446,CHAR(160)," ")),$BK$15:$BK$62,$BM$15:$BM$62),_xlfn.XLOOKUP(TRIM(SUBSTITUTE(U446,CHAR(160)," ")),$BL$15:$BL$62,$BM$15:$BM$62))))*T446*IF(ISBLANK(Q446),1,Q446)+IFERROR(_xlfn.XLOOKUP("RECHERCHEX",TRIM(L446:AD446),L446:AD446),0),0))</f>
        <v/>
      </c>
      <c r="AM446" s="6229">
        <f t="shared" si="172"/>
        <v>0</v>
      </c>
      <c r="AN446" s="6857" t="str">
        <f t="shared" si="187"/>
        <v/>
      </c>
      <c r="AO446" s="392">
        <f t="shared" si="173"/>
        <v>0</v>
      </c>
      <c r="AP446" s="392">
        <f t="shared" si="174"/>
        <v>0</v>
      </c>
      <c r="AQ446" s="6190">
        <f t="shared" si="175"/>
        <v>0</v>
      </c>
      <c r="AR446" s="6858" t="str">
        <f t="shared" si="176"/>
        <v/>
      </c>
      <c r="AS446" s="6217"/>
      <c r="AT446" s="6217"/>
      <c r="AU446" s="6271">
        <f t="shared" si="177"/>
        <v>0</v>
      </c>
      <c r="AV446" s="6242">
        <f t="shared" si="178"/>
        <v>0</v>
      </c>
      <c r="AW446" s="6188" cm="1">
        <f t="array" ref="AW446">IF(AK446&lt;&gt;1,0,IF(OR(AU446="",N(AU446)&lt;=0.000000001),"",IF(OR(AO446="",N(AO446)&lt;=0.000000001),0,IF(ISNUMBER(AU446),IFERROR(_xlfn.LET(_xlpm.ai_test,TRIM(AJ446),_xlpm.r,IFERROR(_xlfn.XLOOKUP(_xlpm.ai_test,$BJ$15:$BJ$62,ROW($BJ$15:$BJ$62),0,1),IFERROR(_xlfn.XLOOKUP(_xlpm.ai_test,$BK$15:$BK$62,ROW($BK$15:$BK$62),0,1),_xlfn.XLOOKUP(_xlpm.ai_test,$BL$15:$BL$62,ROW($BL$15:$BL$62),0,1))),_xlpm.p,_xlpm.r-MIN(ROW($BJ$15:$BJ$62))+1,_xlpm.f,INDEX($BM$15:$BM$62,_xlpm.p),_xlpm.u,INDEX($BN$15:$BN$62,_xlpm.p),_xlpm.s,INDEX($BP$15:$BP$62,_xlpm.p),_xlpm.q,N(AU446)/_xlpm.f,IF(_xlpm.q&gt;=_xlpm.s,ROUND(_xlpm.q,1)&amp;" "&amp;_xlpm.ai_test&amp;" = "&amp;ROUND(_xlpm.q*_xlpm.f,1)&amp;" "&amp;_xlpm.u,ROUND(_xlpm.q,1)&amp;" "&amp;_xlpm.ai_test)),""),""))))</f>
        <v>0</v>
      </c>
      <c r="AX446" s="6218"/>
      <c r="AY446" s="6271">
        <f t="shared" si="179"/>
        <v>0</v>
      </c>
      <c r="AZ446" s="6242" t="str">
        <f t="shared" si="180"/>
        <v/>
      </c>
      <c r="BA446" s="6194">
        <f t="shared" si="185"/>
        <v>0</v>
      </c>
      <c r="BB446" s="6192" t="str">
        <f t="shared" si="181"/>
        <v/>
      </c>
      <c r="BC446" s="6219"/>
      <c r="BD446" s="6221">
        <f t="shared" si="186"/>
        <v>0</v>
      </c>
      <c r="BE446" s="6220" t="str">
        <f t="shared" si="182"/>
        <v/>
      </c>
      <c r="BF446" s="4" t="s">
        <v>1</v>
      </c>
      <c r="BG446" s="6196">
        <f t="shared" si="183"/>
        <v>0</v>
      </c>
      <c r="BH446" s="6197">
        <f t="shared" si="184"/>
        <v>0</v>
      </c>
      <c r="BI446"/>
      <c r="BJ446" s="1"/>
      <c r="BK446" s="1"/>
      <c r="BL446" s="1"/>
      <c r="BM446" s="1"/>
      <c r="BN446" s="1"/>
      <c r="BO446" s="1"/>
      <c r="BP446" s="1"/>
      <c r="BQ446" s="1"/>
      <c r="BX446" s="20" t="str">
        <f t="shared" si="165"/>
        <v>►</v>
      </c>
      <c r="BY446" s="2"/>
      <c r="BZ446" s="2"/>
      <c r="CA446" s="2"/>
      <c r="CB446" s="2"/>
      <c r="CC446" s="2"/>
      <c r="DC446" s="5">
        <v>1</v>
      </c>
    </row>
    <row r="447" spans="12:107" ht="21" customHeight="1">
      <c r="L447" s="1021" t="s">
        <v>26</v>
      </c>
      <c r="M447" s="6787"/>
      <c r="N447" s="6787"/>
      <c r="O447" s="6787"/>
      <c r="P447" s="6788"/>
      <c r="Q447" s="6789"/>
      <c r="R447" s="6790"/>
      <c r="S447" s="6786"/>
      <c r="T447" s="6791"/>
      <c r="U447" s="6844"/>
      <c r="V447" s="6791"/>
      <c r="W447" s="8487"/>
      <c r="X447" s="6871"/>
      <c r="Y447" s="6793"/>
      <c r="Z447" s="6794"/>
      <c r="AA447" s="6795"/>
      <c r="AB447" s="6796"/>
      <c r="AC447" s="6797"/>
      <c r="AD447" s="6798"/>
      <c r="AE447" s="4" t="s">
        <v>1</v>
      </c>
      <c r="AF447" s="6202" t="str">
        <f t="shared" si="166"/>
        <v>►</v>
      </c>
      <c r="AG447" s="6234" t="str">
        <f t="shared" si="167"/>
        <v/>
      </c>
      <c r="AH447" s="6732" t="str">
        <f t="shared" si="168"/>
        <v/>
      </c>
      <c r="AI447" s="6234" t="str">
        <f t="shared" si="169"/>
        <v/>
      </c>
      <c r="AJ447" s="6732" t="str">
        <f t="shared" si="170"/>
        <v/>
      </c>
      <c r="AK447" s="6732">
        <f t="shared" si="171"/>
        <v>0</v>
      </c>
      <c r="AL447" s="6230" t="str" cm="1">
        <f t="array" ref="AL447">IF(AF447&lt;&gt;"A","",IFERROR((IFERROR(_xlfn.XLOOKUP(TRIM(SUBSTITUTE(U447,CHAR(160)," ")),$BJ$15:$BJ$62,$BM$15:$BM$62),IFERROR(_xlfn.XLOOKUP(TRIM(SUBSTITUTE(U447,CHAR(160)," ")),$BK$15:$BK$62,$BM$15:$BM$62),_xlfn.XLOOKUP(TRIM(SUBSTITUTE(U447,CHAR(160)," ")),$BL$15:$BL$62,$BM$15:$BM$62))))*T447*IF(ISBLANK(Q447),1,Q447)+IFERROR(_xlfn.XLOOKUP("RECHERCHEX",TRIM(L447:AD447),L447:AD447),0),0))</f>
        <v/>
      </c>
      <c r="AM447" s="6229">
        <f t="shared" si="172"/>
        <v>0</v>
      </c>
      <c r="AN447" s="6857" t="str">
        <f t="shared" si="187"/>
        <v/>
      </c>
      <c r="AO447" s="392">
        <f t="shared" si="173"/>
        <v>0</v>
      </c>
      <c r="AP447" s="392">
        <f t="shared" si="174"/>
        <v>0</v>
      </c>
      <c r="AQ447" s="6191">
        <f t="shared" si="175"/>
        <v>0</v>
      </c>
      <c r="AR447" s="6859" t="str">
        <f t="shared" si="176"/>
        <v/>
      </c>
      <c r="AS447" s="6217"/>
      <c r="AT447" s="6217"/>
      <c r="AU447" s="6272">
        <f t="shared" si="177"/>
        <v>0</v>
      </c>
      <c r="AV447" s="6240">
        <f t="shared" si="178"/>
        <v>0</v>
      </c>
      <c r="AW447" s="6189" cm="1">
        <f t="array" ref="AW447">IF(AK447&lt;&gt;1,0,IF(OR(AU447="",N(AU447)&lt;=0.000000001),"",IF(OR(AO447="",N(AO447)&lt;=0.000000001),0,IF(ISNUMBER(AU447),IFERROR(_xlfn.LET(_xlpm.ai_test,TRIM(AJ447),_xlpm.r,IFERROR(_xlfn.XLOOKUP(_xlpm.ai_test,$BJ$15:$BJ$62,ROW($BJ$15:$BJ$62),0,1),IFERROR(_xlfn.XLOOKUP(_xlpm.ai_test,$BK$15:$BK$62,ROW($BK$15:$BK$62),0,1),_xlfn.XLOOKUP(_xlpm.ai_test,$BL$15:$BL$62,ROW($BL$15:$BL$62),0,1))),_xlpm.p,_xlpm.r-MIN(ROW($BJ$15:$BJ$62))+1,_xlpm.f,INDEX($BM$15:$BM$62,_xlpm.p),_xlpm.u,INDEX($BN$15:$BN$62,_xlpm.p),_xlpm.s,INDEX($BP$15:$BP$62,_xlpm.p),_xlpm.q,N(AU447)/_xlpm.f,IF(_xlpm.q&gt;=_xlpm.s,ROUND(_xlpm.q,1)&amp;" "&amp;_xlpm.ai_test&amp;" = "&amp;ROUND(_xlpm.q*_xlpm.f,1)&amp;" "&amp;_xlpm.u,ROUND(_xlpm.q,1)&amp;" "&amp;_xlpm.ai_test)),""),""))))</f>
        <v>0</v>
      </c>
      <c r="AX447" s="6218"/>
      <c r="AY447" s="6272">
        <f t="shared" si="179"/>
        <v>0</v>
      </c>
      <c r="AZ447" s="6240" t="str">
        <f t="shared" si="180"/>
        <v/>
      </c>
      <c r="BA447" s="6195">
        <f t="shared" si="185"/>
        <v>0</v>
      </c>
      <c r="BB447" s="6193" t="str">
        <f t="shared" si="181"/>
        <v/>
      </c>
      <c r="BC447" s="6219"/>
      <c r="BD447" s="6222">
        <f t="shared" si="186"/>
        <v>0</v>
      </c>
      <c r="BE447" s="6220" t="str">
        <f t="shared" si="182"/>
        <v/>
      </c>
      <c r="BF447" s="4" t="s">
        <v>1</v>
      </c>
      <c r="BG447" s="6196">
        <f t="shared" si="183"/>
        <v>0</v>
      </c>
      <c r="BH447" s="6197">
        <f t="shared" si="184"/>
        <v>0</v>
      </c>
      <c r="BI447"/>
      <c r="BJ447" s="1"/>
      <c r="BK447" s="1"/>
      <c r="BL447" s="1"/>
      <c r="BM447" s="1"/>
      <c r="BN447" s="1"/>
      <c r="BO447" s="1"/>
      <c r="BP447" s="1"/>
      <c r="BQ447" s="1"/>
      <c r="BX447" s="20" t="str">
        <f t="shared" si="165"/>
        <v>►</v>
      </c>
      <c r="BY447" s="2"/>
      <c r="BZ447" s="2"/>
      <c r="CA447" s="2"/>
      <c r="CB447" s="2"/>
      <c r="CC447" s="2"/>
      <c r="DC447" s="5">
        <v>1</v>
      </c>
    </row>
    <row r="448" spans="12:107" ht="21" customHeight="1">
      <c r="L448" s="1021" t="s">
        <v>26</v>
      </c>
      <c r="M448" s="6787"/>
      <c r="N448" s="6787"/>
      <c r="O448" s="6787"/>
      <c r="P448" s="6788"/>
      <c r="Q448" s="6789"/>
      <c r="R448" s="6790"/>
      <c r="S448" s="6786"/>
      <c r="T448" s="6791"/>
      <c r="U448" s="6844"/>
      <c r="V448" s="6791"/>
      <c r="W448" s="8487"/>
      <c r="X448" s="6871"/>
      <c r="Y448" s="6793"/>
      <c r="Z448" s="6794"/>
      <c r="AA448" s="6795"/>
      <c r="AB448" s="6796"/>
      <c r="AC448" s="6797"/>
      <c r="AD448" s="6798"/>
      <c r="AE448" s="4" t="s">
        <v>1</v>
      </c>
      <c r="AF448" s="6202" t="str">
        <f t="shared" si="166"/>
        <v>►</v>
      </c>
      <c r="AG448" s="6234" t="str">
        <f t="shared" si="167"/>
        <v/>
      </c>
      <c r="AH448" s="6732" t="str">
        <f t="shared" si="168"/>
        <v/>
      </c>
      <c r="AI448" s="6234" t="str">
        <f t="shared" si="169"/>
        <v/>
      </c>
      <c r="AJ448" s="6732" t="str">
        <f t="shared" si="170"/>
        <v/>
      </c>
      <c r="AK448" s="6732">
        <f t="shared" si="171"/>
        <v>0</v>
      </c>
      <c r="AL448" s="6230" t="str" cm="1">
        <f t="array" ref="AL448">IF(AF448&lt;&gt;"A","",IFERROR((IFERROR(_xlfn.XLOOKUP(TRIM(SUBSTITUTE(U448,CHAR(160)," ")),$BJ$15:$BJ$62,$BM$15:$BM$62),IFERROR(_xlfn.XLOOKUP(TRIM(SUBSTITUTE(U448,CHAR(160)," ")),$BK$15:$BK$62,$BM$15:$BM$62),_xlfn.XLOOKUP(TRIM(SUBSTITUTE(U448,CHAR(160)," ")),$BL$15:$BL$62,$BM$15:$BM$62))))*T448*IF(ISBLANK(Q448),1,Q448)+IFERROR(_xlfn.XLOOKUP("RECHERCHEX",TRIM(L448:AD448),L448:AD448),0),0))</f>
        <v/>
      </c>
      <c r="AM448" s="6229">
        <f t="shared" si="172"/>
        <v>0</v>
      </c>
      <c r="AN448" s="6857" t="str">
        <f t="shared" si="187"/>
        <v/>
      </c>
      <c r="AO448" s="392">
        <f t="shared" si="173"/>
        <v>0</v>
      </c>
      <c r="AP448" s="392">
        <f t="shared" si="174"/>
        <v>0</v>
      </c>
      <c r="AQ448" s="6190">
        <f t="shared" si="175"/>
        <v>0</v>
      </c>
      <c r="AR448" s="6858" t="str">
        <f t="shared" si="176"/>
        <v/>
      </c>
      <c r="AS448" s="6217"/>
      <c r="AT448" s="6217"/>
      <c r="AU448" s="6271">
        <f t="shared" si="177"/>
        <v>0</v>
      </c>
      <c r="AV448" s="6242">
        <f t="shared" si="178"/>
        <v>0</v>
      </c>
      <c r="AW448" s="6188" cm="1">
        <f t="array" ref="AW448">IF(AK448&lt;&gt;1,0,IF(OR(AU448="",N(AU448)&lt;=0.000000001),"",IF(OR(AO448="",N(AO448)&lt;=0.000000001),0,IF(ISNUMBER(AU448),IFERROR(_xlfn.LET(_xlpm.ai_test,TRIM(AJ448),_xlpm.r,IFERROR(_xlfn.XLOOKUP(_xlpm.ai_test,$BJ$15:$BJ$62,ROW($BJ$15:$BJ$62),0,1),IFERROR(_xlfn.XLOOKUP(_xlpm.ai_test,$BK$15:$BK$62,ROW($BK$15:$BK$62),0,1),_xlfn.XLOOKUP(_xlpm.ai_test,$BL$15:$BL$62,ROW($BL$15:$BL$62),0,1))),_xlpm.p,_xlpm.r-MIN(ROW($BJ$15:$BJ$62))+1,_xlpm.f,INDEX($BM$15:$BM$62,_xlpm.p),_xlpm.u,INDEX($BN$15:$BN$62,_xlpm.p),_xlpm.s,INDEX($BP$15:$BP$62,_xlpm.p),_xlpm.q,N(AU448)/_xlpm.f,IF(_xlpm.q&gt;=_xlpm.s,ROUND(_xlpm.q,1)&amp;" "&amp;_xlpm.ai_test&amp;" = "&amp;ROUND(_xlpm.q*_xlpm.f,1)&amp;" "&amp;_xlpm.u,ROUND(_xlpm.q,1)&amp;" "&amp;_xlpm.ai_test)),""),""))))</f>
        <v>0</v>
      </c>
      <c r="AX448" s="6218"/>
      <c r="AY448" s="6271">
        <f t="shared" si="179"/>
        <v>0</v>
      </c>
      <c r="AZ448" s="6242" t="str">
        <f t="shared" si="180"/>
        <v/>
      </c>
      <c r="BA448" s="6194">
        <f t="shared" si="185"/>
        <v>0</v>
      </c>
      <c r="BB448" s="6192" t="str">
        <f t="shared" si="181"/>
        <v/>
      </c>
      <c r="BC448" s="6219"/>
      <c r="BD448" s="6221">
        <f t="shared" si="186"/>
        <v>0</v>
      </c>
      <c r="BE448" s="6220" t="str">
        <f t="shared" si="182"/>
        <v/>
      </c>
      <c r="BF448" s="4" t="s">
        <v>1</v>
      </c>
      <c r="BG448" s="6196">
        <f t="shared" si="183"/>
        <v>0</v>
      </c>
      <c r="BH448" s="6197">
        <f t="shared" si="184"/>
        <v>0</v>
      </c>
      <c r="BI448"/>
      <c r="BJ448" s="1"/>
      <c r="BK448" s="1"/>
      <c r="BL448" s="1"/>
      <c r="BM448" s="1"/>
      <c r="BN448" s="1"/>
      <c r="BO448" s="1"/>
      <c r="BP448" s="1"/>
      <c r="BQ448" s="1"/>
      <c r="BX448" s="20" t="str">
        <f t="shared" si="165"/>
        <v>►</v>
      </c>
      <c r="BY448" s="2"/>
      <c r="BZ448" s="2"/>
      <c r="CA448" s="2"/>
      <c r="CB448" s="2"/>
      <c r="CC448" s="2"/>
      <c r="DC448" s="5">
        <v>1</v>
      </c>
    </row>
    <row r="449" spans="12:107" ht="21" customHeight="1">
      <c r="L449" s="1021" t="s">
        <v>26</v>
      </c>
      <c r="M449" s="6787"/>
      <c r="N449" s="6787"/>
      <c r="O449" s="6787"/>
      <c r="P449" s="6788"/>
      <c r="Q449" s="6789"/>
      <c r="R449" s="6790"/>
      <c r="S449" s="6786"/>
      <c r="T449" s="6791"/>
      <c r="U449" s="6844"/>
      <c r="V449" s="6791"/>
      <c r="W449" s="8487"/>
      <c r="X449" s="6871"/>
      <c r="Y449" s="6793"/>
      <c r="Z449" s="6794"/>
      <c r="AA449" s="6795"/>
      <c r="AB449" s="6796"/>
      <c r="AC449" s="6797"/>
      <c r="AD449" s="6798"/>
      <c r="AE449" s="4" t="s">
        <v>1</v>
      </c>
      <c r="AF449" s="6202" t="str">
        <f t="shared" si="166"/>
        <v>►</v>
      </c>
      <c r="AG449" s="6234" t="str">
        <f t="shared" si="167"/>
        <v/>
      </c>
      <c r="AH449" s="6732" t="str">
        <f t="shared" si="168"/>
        <v/>
      </c>
      <c r="AI449" s="6234" t="str">
        <f t="shared" si="169"/>
        <v/>
      </c>
      <c r="AJ449" s="6732" t="str">
        <f t="shared" si="170"/>
        <v/>
      </c>
      <c r="AK449" s="6732">
        <f t="shared" si="171"/>
        <v>0</v>
      </c>
      <c r="AL449" s="6230" t="str" cm="1">
        <f t="array" ref="AL449">IF(AF449&lt;&gt;"A","",IFERROR((IFERROR(_xlfn.XLOOKUP(TRIM(SUBSTITUTE(U449,CHAR(160)," ")),$BJ$15:$BJ$62,$BM$15:$BM$62),IFERROR(_xlfn.XLOOKUP(TRIM(SUBSTITUTE(U449,CHAR(160)," ")),$BK$15:$BK$62,$BM$15:$BM$62),_xlfn.XLOOKUP(TRIM(SUBSTITUTE(U449,CHAR(160)," ")),$BL$15:$BL$62,$BM$15:$BM$62))))*T449*IF(ISBLANK(Q449),1,Q449)+IFERROR(_xlfn.XLOOKUP("RECHERCHEX",TRIM(L449:AD449),L449:AD449),0),0))</f>
        <v/>
      </c>
      <c r="AM449" s="6229">
        <f t="shared" si="172"/>
        <v>0</v>
      </c>
      <c r="AN449" s="6857" t="str">
        <f t="shared" si="187"/>
        <v/>
      </c>
      <c r="AO449" s="392">
        <f t="shared" si="173"/>
        <v>0</v>
      </c>
      <c r="AP449" s="392">
        <f t="shared" si="174"/>
        <v>0</v>
      </c>
      <c r="AQ449" s="6191">
        <f t="shared" si="175"/>
        <v>0</v>
      </c>
      <c r="AR449" s="6859" t="str">
        <f t="shared" si="176"/>
        <v/>
      </c>
      <c r="AS449" s="6217"/>
      <c r="AT449" s="6217"/>
      <c r="AU449" s="6272">
        <f t="shared" si="177"/>
        <v>0</v>
      </c>
      <c r="AV449" s="6240">
        <f t="shared" si="178"/>
        <v>0</v>
      </c>
      <c r="AW449" s="6189" cm="1">
        <f t="array" ref="AW449">IF(AK449&lt;&gt;1,0,IF(OR(AU449="",N(AU449)&lt;=0.000000001),"",IF(OR(AO449="",N(AO449)&lt;=0.000000001),0,IF(ISNUMBER(AU449),IFERROR(_xlfn.LET(_xlpm.ai_test,TRIM(AJ449),_xlpm.r,IFERROR(_xlfn.XLOOKUP(_xlpm.ai_test,$BJ$15:$BJ$62,ROW($BJ$15:$BJ$62),0,1),IFERROR(_xlfn.XLOOKUP(_xlpm.ai_test,$BK$15:$BK$62,ROW($BK$15:$BK$62),0,1),_xlfn.XLOOKUP(_xlpm.ai_test,$BL$15:$BL$62,ROW($BL$15:$BL$62),0,1))),_xlpm.p,_xlpm.r-MIN(ROW($BJ$15:$BJ$62))+1,_xlpm.f,INDEX($BM$15:$BM$62,_xlpm.p),_xlpm.u,INDEX($BN$15:$BN$62,_xlpm.p),_xlpm.s,INDEX($BP$15:$BP$62,_xlpm.p),_xlpm.q,N(AU449)/_xlpm.f,IF(_xlpm.q&gt;=_xlpm.s,ROUND(_xlpm.q,1)&amp;" "&amp;_xlpm.ai_test&amp;" = "&amp;ROUND(_xlpm.q*_xlpm.f,1)&amp;" "&amp;_xlpm.u,ROUND(_xlpm.q,1)&amp;" "&amp;_xlpm.ai_test)),""),""))))</f>
        <v>0</v>
      </c>
      <c r="AX449" s="6218"/>
      <c r="AY449" s="6272">
        <f t="shared" si="179"/>
        <v>0</v>
      </c>
      <c r="AZ449" s="6240" t="str">
        <f t="shared" si="180"/>
        <v/>
      </c>
      <c r="BA449" s="6195">
        <f t="shared" si="185"/>
        <v>0</v>
      </c>
      <c r="BB449" s="6193" t="str">
        <f t="shared" si="181"/>
        <v/>
      </c>
      <c r="BC449" s="6219"/>
      <c r="BD449" s="6222">
        <f t="shared" si="186"/>
        <v>0</v>
      </c>
      <c r="BE449" s="6220" t="str">
        <f t="shared" si="182"/>
        <v/>
      </c>
      <c r="BF449" s="4" t="s">
        <v>1</v>
      </c>
      <c r="BG449" s="6196">
        <f t="shared" si="183"/>
        <v>0</v>
      </c>
      <c r="BH449" s="6197">
        <f t="shared" si="184"/>
        <v>0</v>
      </c>
      <c r="BI449"/>
      <c r="BJ449" s="1"/>
      <c r="BK449" s="1"/>
      <c r="BL449" s="1"/>
      <c r="BM449" s="1"/>
      <c r="BN449" s="1"/>
      <c r="BO449" s="1"/>
      <c r="BP449" s="1"/>
      <c r="BQ449" s="1"/>
      <c r="BX449" s="20" t="str">
        <f t="shared" si="165"/>
        <v>►</v>
      </c>
      <c r="BY449" s="2"/>
      <c r="BZ449" s="2"/>
      <c r="CA449" s="2"/>
      <c r="CB449" s="2"/>
      <c r="CC449" s="2"/>
      <c r="DC449" s="5">
        <v>1</v>
      </c>
    </row>
    <row r="450" spans="12:107" ht="21" customHeight="1">
      <c r="L450" s="1021" t="s">
        <v>26</v>
      </c>
      <c r="M450" s="6787"/>
      <c r="N450" s="6787"/>
      <c r="O450" s="6787"/>
      <c r="P450" s="6788"/>
      <c r="Q450" s="6789"/>
      <c r="R450" s="6790"/>
      <c r="S450" s="6786"/>
      <c r="T450" s="6791"/>
      <c r="U450" s="6844"/>
      <c r="V450" s="6791"/>
      <c r="W450" s="8487"/>
      <c r="X450" s="6871"/>
      <c r="Y450" s="6793"/>
      <c r="Z450" s="6794"/>
      <c r="AA450" s="6795"/>
      <c r="AB450" s="6796"/>
      <c r="AC450" s="6797"/>
      <c r="AD450" s="6798"/>
      <c r="AE450" s="4" t="s">
        <v>1</v>
      </c>
      <c r="AF450" s="6202" t="str">
        <f t="shared" si="166"/>
        <v>►</v>
      </c>
      <c r="AG450" s="6234" t="str">
        <f t="shared" si="167"/>
        <v/>
      </c>
      <c r="AH450" s="6732" t="str">
        <f t="shared" si="168"/>
        <v/>
      </c>
      <c r="AI450" s="6234" t="str">
        <f t="shared" si="169"/>
        <v/>
      </c>
      <c r="AJ450" s="6732" t="str">
        <f t="shared" si="170"/>
        <v/>
      </c>
      <c r="AK450" s="6732">
        <f t="shared" si="171"/>
        <v>0</v>
      </c>
      <c r="AL450" s="6230" t="str" cm="1">
        <f t="array" ref="AL450">IF(AF450&lt;&gt;"A","",IFERROR((IFERROR(_xlfn.XLOOKUP(TRIM(SUBSTITUTE(U450,CHAR(160)," ")),$BJ$15:$BJ$62,$BM$15:$BM$62),IFERROR(_xlfn.XLOOKUP(TRIM(SUBSTITUTE(U450,CHAR(160)," ")),$BK$15:$BK$62,$BM$15:$BM$62),_xlfn.XLOOKUP(TRIM(SUBSTITUTE(U450,CHAR(160)," ")),$BL$15:$BL$62,$BM$15:$BM$62))))*T450*IF(ISBLANK(Q450),1,Q450)+IFERROR(_xlfn.XLOOKUP("RECHERCHEX",TRIM(L450:AD450),L450:AD450),0),0))</f>
        <v/>
      </c>
      <c r="AM450" s="6229">
        <f t="shared" si="172"/>
        <v>0</v>
      </c>
      <c r="AN450" s="6857" t="str">
        <f t="shared" si="187"/>
        <v/>
      </c>
      <c r="AO450" s="392">
        <f t="shared" si="173"/>
        <v>0</v>
      </c>
      <c r="AP450" s="392">
        <f t="shared" si="174"/>
        <v>0</v>
      </c>
      <c r="AQ450" s="6190">
        <f t="shared" si="175"/>
        <v>0</v>
      </c>
      <c r="AR450" s="6858" t="str">
        <f t="shared" si="176"/>
        <v/>
      </c>
      <c r="AS450" s="6217"/>
      <c r="AT450" s="6217"/>
      <c r="AU450" s="6271">
        <f t="shared" si="177"/>
        <v>0</v>
      </c>
      <c r="AV450" s="6242">
        <f t="shared" si="178"/>
        <v>0</v>
      </c>
      <c r="AW450" s="6188" cm="1">
        <f t="array" ref="AW450">IF(AK450&lt;&gt;1,0,IF(OR(AU450="",N(AU450)&lt;=0.000000001),"",IF(OR(AO450="",N(AO450)&lt;=0.000000001),0,IF(ISNUMBER(AU450),IFERROR(_xlfn.LET(_xlpm.ai_test,TRIM(AJ450),_xlpm.r,IFERROR(_xlfn.XLOOKUP(_xlpm.ai_test,$BJ$15:$BJ$62,ROW($BJ$15:$BJ$62),0,1),IFERROR(_xlfn.XLOOKUP(_xlpm.ai_test,$BK$15:$BK$62,ROW($BK$15:$BK$62),0,1),_xlfn.XLOOKUP(_xlpm.ai_test,$BL$15:$BL$62,ROW($BL$15:$BL$62),0,1))),_xlpm.p,_xlpm.r-MIN(ROW($BJ$15:$BJ$62))+1,_xlpm.f,INDEX($BM$15:$BM$62,_xlpm.p),_xlpm.u,INDEX($BN$15:$BN$62,_xlpm.p),_xlpm.s,INDEX($BP$15:$BP$62,_xlpm.p),_xlpm.q,N(AU450)/_xlpm.f,IF(_xlpm.q&gt;=_xlpm.s,ROUND(_xlpm.q,1)&amp;" "&amp;_xlpm.ai_test&amp;" = "&amp;ROUND(_xlpm.q*_xlpm.f,1)&amp;" "&amp;_xlpm.u,ROUND(_xlpm.q,1)&amp;" "&amp;_xlpm.ai_test)),""),""))))</f>
        <v>0</v>
      </c>
      <c r="AX450" s="6218"/>
      <c r="AY450" s="6271">
        <f t="shared" si="179"/>
        <v>0</v>
      </c>
      <c r="AZ450" s="6242" t="str">
        <f t="shared" si="180"/>
        <v/>
      </c>
      <c r="BA450" s="6194">
        <f t="shared" si="185"/>
        <v>0</v>
      </c>
      <c r="BB450" s="6192" t="str">
        <f t="shared" si="181"/>
        <v/>
      </c>
      <c r="BC450" s="6219"/>
      <c r="BD450" s="6221">
        <f t="shared" si="186"/>
        <v>0</v>
      </c>
      <c r="BE450" s="6220" t="str">
        <f t="shared" si="182"/>
        <v/>
      </c>
      <c r="BF450" s="4" t="s">
        <v>1</v>
      </c>
      <c r="BG450" s="6196">
        <f t="shared" si="183"/>
        <v>0</v>
      </c>
      <c r="BH450" s="6197">
        <f t="shared" si="184"/>
        <v>0</v>
      </c>
      <c r="BI450"/>
      <c r="BJ450" s="1"/>
      <c r="BK450" s="1"/>
      <c r="BL450" s="1"/>
      <c r="BM450" s="1"/>
      <c r="BN450" s="1"/>
      <c r="BO450" s="1"/>
      <c r="BP450" s="1"/>
      <c r="BQ450" s="1"/>
      <c r="BX450" s="20" t="str">
        <f t="shared" si="165"/>
        <v>►</v>
      </c>
      <c r="BY450" s="2"/>
      <c r="BZ450" s="2"/>
      <c r="CA450" s="2"/>
      <c r="CB450" s="2"/>
      <c r="CC450" s="2"/>
      <c r="DC450" s="5">
        <v>1</v>
      </c>
    </row>
    <row r="451" spans="12:107" ht="21" customHeight="1">
      <c r="L451" s="1021" t="s">
        <v>26</v>
      </c>
      <c r="M451" s="6787"/>
      <c r="N451" s="6787"/>
      <c r="O451" s="6787"/>
      <c r="P451" s="6788"/>
      <c r="Q451" s="6789"/>
      <c r="R451" s="6790"/>
      <c r="S451" s="6786"/>
      <c r="T451" s="6791"/>
      <c r="U451" s="6844"/>
      <c r="V451" s="6791"/>
      <c r="W451" s="8487"/>
      <c r="X451" s="6871"/>
      <c r="Y451" s="6793"/>
      <c r="Z451" s="6794"/>
      <c r="AA451" s="6795"/>
      <c r="AB451" s="6796"/>
      <c r="AC451" s="6797"/>
      <c r="AD451" s="6798"/>
      <c r="AE451" s="4" t="s">
        <v>1</v>
      </c>
      <c r="AF451" s="6202" t="str">
        <f t="shared" si="166"/>
        <v>►</v>
      </c>
      <c r="AG451" s="6234" t="str">
        <f t="shared" si="167"/>
        <v/>
      </c>
      <c r="AH451" s="6732" t="str">
        <f t="shared" si="168"/>
        <v/>
      </c>
      <c r="AI451" s="6234" t="str">
        <f t="shared" si="169"/>
        <v/>
      </c>
      <c r="AJ451" s="6732" t="str">
        <f t="shared" si="170"/>
        <v/>
      </c>
      <c r="AK451" s="6732">
        <f t="shared" si="171"/>
        <v>0</v>
      </c>
      <c r="AL451" s="6230" t="str" cm="1">
        <f t="array" ref="AL451">IF(AF451&lt;&gt;"A","",IFERROR((IFERROR(_xlfn.XLOOKUP(TRIM(SUBSTITUTE(U451,CHAR(160)," ")),$BJ$15:$BJ$62,$BM$15:$BM$62),IFERROR(_xlfn.XLOOKUP(TRIM(SUBSTITUTE(U451,CHAR(160)," ")),$BK$15:$BK$62,$BM$15:$BM$62),_xlfn.XLOOKUP(TRIM(SUBSTITUTE(U451,CHAR(160)," ")),$BL$15:$BL$62,$BM$15:$BM$62))))*T451*IF(ISBLANK(Q451),1,Q451)+IFERROR(_xlfn.XLOOKUP("RECHERCHEX",TRIM(L451:AD451),L451:AD451),0),0))</f>
        <v/>
      </c>
      <c r="AM451" s="6229">
        <f t="shared" si="172"/>
        <v>0</v>
      </c>
      <c r="AN451" s="6857" t="str">
        <f t="shared" si="187"/>
        <v/>
      </c>
      <c r="AO451" s="392">
        <f t="shared" si="173"/>
        <v>0</v>
      </c>
      <c r="AP451" s="392">
        <f t="shared" si="174"/>
        <v>0</v>
      </c>
      <c r="AQ451" s="6191">
        <f t="shared" si="175"/>
        <v>0</v>
      </c>
      <c r="AR451" s="6859" t="str">
        <f t="shared" si="176"/>
        <v/>
      </c>
      <c r="AS451" s="6217"/>
      <c r="AT451" s="6217"/>
      <c r="AU451" s="6272">
        <f t="shared" si="177"/>
        <v>0</v>
      </c>
      <c r="AV451" s="6240">
        <f t="shared" si="178"/>
        <v>0</v>
      </c>
      <c r="AW451" s="6189" cm="1">
        <f t="array" ref="AW451">IF(AK451&lt;&gt;1,0,IF(OR(AU451="",N(AU451)&lt;=0.000000001),"",IF(OR(AO451="",N(AO451)&lt;=0.000000001),0,IF(ISNUMBER(AU451),IFERROR(_xlfn.LET(_xlpm.ai_test,TRIM(AJ451),_xlpm.r,IFERROR(_xlfn.XLOOKUP(_xlpm.ai_test,$BJ$15:$BJ$62,ROW($BJ$15:$BJ$62),0,1),IFERROR(_xlfn.XLOOKUP(_xlpm.ai_test,$BK$15:$BK$62,ROW($BK$15:$BK$62),0,1),_xlfn.XLOOKUP(_xlpm.ai_test,$BL$15:$BL$62,ROW($BL$15:$BL$62),0,1))),_xlpm.p,_xlpm.r-MIN(ROW($BJ$15:$BJ$62))+1,_xlpm.f,INDEX($BM$15:$BM$62,_xlpm.p),_xlpm.u,INDEX($BN$15:$BN$62,_xlpm.p),_xlpm.s,INDEX($BP$15:$BP$62,_xlpm.p),_xlpm.q,N(AU451)/_xlpm.f,IF(_xlpm.q&gt;=_xlpm.s,ROUND(_xlpm.q,1)&amp;" "&amp;_xlpm.ai_test&amp;" = "&amp;ROUND(_xlpm.q*_xlpm.f,1)&amp;" "&amp;_xlpm.u,ROUND(_xlpm.q,1)&amp;" "&amp;_xlpm.ai_test)),""),""))))</f>
        <v>0</v>
      </c>
      <c r="AX451" s="6218"/>
      <c r="AY451" s="6272">
        <f t="shared" si="179"/>
        <v>0</v>
      </c>
      <c r="AZ451" s="6240" t="str">
        <f t="shared" si="180"/>
        <v/>
      </c>
      <c r="BA451" s="6195">
        <f t="shared" si="185"/>
        <v>0</v>
      </c>
      <c r="BB451" s="6193" t="str">
        <f t="shared" si="181"/>
        <v/>
      </c>
      <c r="BC451" s="6219"/>
      <c r="BD451" s="6222">
        <f t="shared" si="186"/>
        <v>0</v>
      </c>
      <c r="BE451" s="6220" t="str">
        <f t="shared" si="182"/>
        <v/>
      </c>
      <c r="BF451" s="4" t="s">
        <v>1</v>
      </c>
      <c r="BG451" s="6196">
        <f t="shared" si="183"/>
        <v>0</v>
      </c>
      <c r="BH451" s="6197">
        <f t="shared" si="184"/>
        <v>0</v>
      </c>
      <c r="BI451"/>
      <c r="BJ451" s="1"/>
      <c r="BK451" s="1"/>
      <c r="BL451" s="1"/>
      <c r="BM451" s="1"/>
      <c r="BN451" s="1"/>
      <c r="BO451" s="1"/>
      <c r="BP451" s="1"/>
      <c r="BQ451" s="1"/>
      <c r="BX451" s="20" t="str">
        <f t="shared" si="165"/>
        <v>►</v>
      </c>
      <c r="BY451" s="2"/>
      <c r="BZ451" s="2"/>
      <c r="CA451" s="2"/>
      <c r="CB451" s="2"/>
      <c r="CC451" s="2"/>
      <c r="DC451" s="5">
        <v>1</v>
      </c>
    </row>
    <row r="452" spans="12:107" ht="21" customHeight="1">
      <c r="L452" s="1021" t="s">
        <v>26</v>
      </c>
      <c r="M452" s="6787"/>
      <c r="N452" s="6787"/>
      <c r="O452" s="6787"/>
      <c r="P452" s="6788"/>
      <c r="Q452" s="6789"/>
      <c r="R452" s="6790"/>
      <c r="S452" s="6786"/>
      <c r="T452" s="6791"/>
      <c r="U452" s="6844"/>
      <c r="V452" s="6791"/>
      <c r="W452" s="8487"/>
      <c r="X452" s="6871"/>
      <c r="Y452" s="6793"/>
      <c r="Z452" s="6794"/>
      <c r="AA452" s="6795"/>
      <c r="AB452" s="6796"/>
      <c r="AC452" s="6797"/>
      <c r="AD452" s="6798"/>
      <c r="AE452" s="4" t="s">
        <v>1</v>
      </c>
      <c r="AF452" s="6202" t="str">
        <f t="shared" si="166"/>
        <v>►</v>
      </c>
      <c r="AG452" s="6234" t="str">
        <f t="shared" si="167"/>
        <v/>
      </c>
      <c r="AH452" s="6732" t="str">
        <f t="shared" si="168"/>
        <v/>
      </c>
      <c r="AI452" s="6234" t="str">
        <f t="shared" si="169"/>
        <v/>
      </c>
      <c r="AJ452" s="6732" t="str">
        <f t="shared" si="170"/>
        <v/>
      </c>
      <c r="AK452" s="6732">
        <f t="shared" si="171"/>
        <v>0</v>
      </c>
      <c r="AL452" s="6230" t="str" cm="1">
        <f t="array" ref="AL452">IF(AF452&lt;&gt;"A","",IFERROR((IFERROR(_xlfn.XLOOKUP(TRIM(SUBSTITUTE(U452,CHAR(160)," ")),$BJ$15:$BJ$62,$BM$15:$BM$62),IFERROR(_xlfn.XLOOKUP(TRIM(SUBSTITUTE(U452,CHAR(160)," ")),$BK$15:$BK$62,$BM$15:$BM$62),_xlfn.XLOOKUP(TRIM(SUBSTITUTE(U452,CHAR(160)," ")),$BL$15:$BL$62,$BM$15:$BM$62))))*T452*IF(ISBLANK(Q452),1,Q452)+IFERROR(_xlfn.XLOOKUP("RECHERCHEX",TRIM(L452:AD452),L452:AD452),0),0))</f>
        <v/>
      </c>
      <c r="AM452" s="6229">
        <f t="shared" si="172"/>
        <v>0</v>
      </c>
      <c r="AN452" s="6857" t="str">
        <f t="shared" si="187"/>
        <v/>
      </c>
      <c r="AO452" s="392">
        <f t="shared" si="173"/>
        <v>0</v>
      </c>
      <c r="AP452" s="392">
        <f t="shared" si="174"/>
        <v>0</v>
      </c>
      <c r="AQ452" s="6190">
        <f t="shared" si="175"/>
        <v>0</v>
      </c>
      <c r="AR452" s="6858" t="str">
        <f t="shared" si="176"/>
        <v/>
      </c>
      <c r="AS452" s="6217"/>
      <c r="AT452" s="6217"/>
      <c r="AU452" s="6271">
        <f t="shared" si="177"/>
        <v>0</v>
      </c>
      <c r="AV452" s="6242">
        <f t="shared" si="178"/>
        <v>0</v>
      </c>
      <c r="AW452" s="6188" cm="1">
        <f t="array" ref="AW452">IF(AK452&lt;&gt;1,0,IF(OR(AU452="",N(AU452)&lt;=0.000000001),"",IF(OR(AO452="",N(AO452)&lt;=0.000000001),0,IF(ISNUMBER(AU452),IFERROR(_xlfn.LET(_xlpm.ai_test,TRIM(AJ452),_xlpm.r,IFERROR(_xlfn.XLOOKUP(_xlpm.ai_test,$BJ$15:$BJ$62,ROW($BJ$15:$BJ$62),0,1),IFERROR(_xlfn.XLOOKUP(_xlpm.ai_test,$BK$15:$BK$62,ROW($BK$15:$BK$62),0,1),_xlfn.XLOOKUP(_xlpm.ai_test,$BL$15:$BL$62,ROW($BL$15:$BL$62),0,1))),_xlpm.p,_xlpm.r-MIN(ROW($BJ$15:$BJ$62))+1,_xlpm.f,INDEX($BM$15:$BM$62,_xlpm.p),_xlpm.u,INDEX($BN$15:$BN$62,_xlpm.p),_xlpm.s,INDEX($BP$15:$BP$62,_xlpm.p),_xlpm.q,N(AU452)/_xlpm.f,IF(_xlpm.q&gt;=_xlpm.s,ROUND(_xlpm.q,1)&amp;" "&amp;_xlpm.ai_test&amp;" = "&amp;ROUND(_xlpm.q*_xlpm.f,1)&amp;" "&amp;_xlpm.u,ROUND(_xlpm.q,1)&amp;" "&amp;_xlpm.ai_test)),""),""))))</f>
        <v>0</v>
      </c>
      <c r="AX452" s="6218"/>
      <c r="AY452" s="6271">
        <f t="shared" si="179"/>
        <v>0</v>
      </c>
      <c r="AZ452" s="6242" t="str">
        <f t="shared" si="180"/>
        <v/>
      </c>
      <c r="BA452" s="6194">
        <f t="shared" si="185"/>
        <v>0</v>
      </c>
      <c r="BB452" s="6192" t="str">
        <f t="shared" si="181"/>
        <v/>
      </c>
      <c r="BC452" s="6219"/>
      <c r="BD452" s="6221">
        <f t="shared" si="186"/>
        <v>0</v>
      </c>
      <c r="BE452" s="6220" t="str">
        <f t="shared" si="182"/>
        <v/>
      </c>
      <c r="BF452" s="4" t="s">
        <v>1</v>
      </c>
      <c r="BG452" s="6196">
        <f t="shared" si="183"/>
        <v>0</v>
      </c>
      <c r="BH452" s="6197">
        <f t="shared" si="184"/>
        <v>0</v>
      </c>
      <c r="BI452"/>
      <c r="BJ452" s="1"/>
      <c r="BK452" s="1"/>
      <c r="BL452" s="1"/>
      <c r="BM452" s="1"/>
      <c r="BN452" s="1"/>
      <c r="BO452" s="1"/>
      <c r="BP452" s="1"/>
      <c r="BQ452" s="1"/>
      <c r="BX452" s="20" t="str">
        <f t="shared" si="165"/>
        <v>►</v>
      </c>
      <c r="BY452" s="2"/>
      <c r="BZ452" s="2"/>
      <c r="CA452" s="2"/>
      <c r="CB452" s="2"/>
      <c r="CC452" s="2"/>
      <c r="DC452" s="5">
        <v>1</v>
      </c>
    </row>
    <row r="453" spans="12:107" ht="21" customHeight="1">
      <c r="L453" s="1021" t="s">
        <v>26</v>
      </c>
      <c r="M453" s="6787"/>
      <c r="N453" s="6787"/>
      <c r="O453" s="6787"/>
      <c r="P453" s="6788"/>
      <c r="Q453" s="6789"/>
      <c r="R453" s="6790"/>
      <c r="S453" s="6786"/>
      <c r="T453" s="6791"/>
      <c r="U453" s="6844"/>
      <c r="V453" s="6791"/>
      <c r="W453" s="8487"/>
      <c r="X453" s="6871"/>
      <c r="Y453" s="6793"/>
      <c r="Z453" s="6794"/>
      <c r="AA453" s="6795"/>
      <c r="AB453" s="6796"/>
      <c r="AC453" s="6797"/>
      <c r="AD453" s="6798"/>
      <c r="AE453" s="4" t="s">
        <v>1</v>
      </c>
      <c r="AF453" s="6202" t="str">
        <f t="shared" si="166"/>
        <v>►</v>
      </c>
      <c r="AG453" s="6234" t="str">
        <f t="shared" si="167"/>
        <v/>
      </c>
      <c r="AH453" s="6732" t="str">
        <f t="shared" si="168"/>
        <v/>
      </c>
      <c r="AI453" s="6234" t="str">
        <f t="shared" si="169"/>
        <v/>
      </c>
      <c r="AJ453" s="6732" t="str">
        <f t="shared" si="170"/>
        <v/>
      </c>
      <c r="AK453" s="6732">
        <f t="shared" si="171"/>
        <v>0</v>
      </c>
      <c r="AL453" s="6230" t="str" cm="1">
        <f t="array" ref="AL453">IF(AF453&lt;&gt;"A","",IFERROR((IFERROR(_xlfn.XLOOKUP(TRIM(SUBSTITUTE(U453,CHAR(160)," ")),$BJ$15:$BJ$62,$BM$15:$BM$62),IFERROR(_xlfn.XLOOKUP(TRIM(SUBSTITUTE(U453,CHAR(160)," ")),$BK$15:$BK$62,$BM$15:$BM$62),_xlfn.XLOOKUP(TRIM(SUBSTITUTE(U453,CHAR(160)," ")),$BL$15:$BL$62,$BM$15:$BM$62))))*T453*IF(ISBLANK(Q453),1,Q453)+IFERROR(_xlfn.XLOOKUP("RECHERCHEX",TRIM(L453:AD453),L453:AD453),0),0))</f>
        <v/>
      </c>
      <c r="AM453" s="6229">
        <f t="shared" si="172"/>
        <v>0</v>
      </c>
      <c r="AN453" s="6857" t="str">
        <f t="shared" si="187"/>
        <v/>
      </c>
      <c r="AO453" s="392">
        <f t="shared" si="173"/>
        <v>0</v>
      </c>
      <c r="AP453" s="392">
        <f t="shared" si="174"/>
        <v>0</v>
      </c>
      <c r="AQ453" s="6191">
        <f t="shared" si="175"/>
        <v>0</v>
      </c>
      <c r="AR453" s="6859" t="str">
        <f t="shared" si="176"/>
        <v/>
      </c>
      <c r="AS453" s="6217"/>
      <c r="AT453" s="6217"/>
      <c r="AU453" s="6272">
        <f t="shared" si="177"/>
        <v>0</v>
      </c>
      <c r="AV453" s="6240">
        <f t="shared" si="178"/>
        <v>0</v>
      </c>
      <c r="AW453" s="6189" cm="1">
        <f t="array" ref="AW453">IF(AK453&lt;&gt;1,0,IF(OR(AU453="",N(AU453)&lt;=0.000000001),"",IF(OR(AO453="",N(AO453)&lt;=0.000000001),0,IF(ISNUMBER(AU453),IFERROR(_xlfn.LET(_xlpm.ai_test,TRIM(AJ453),_xlpm.r,IFERROR(_xlfn.XLOOKUP(_xlpm.ai_test,$BJ$15:$BJ$62,ROW($BJ$15:$BJ$62),0,1),IFERROR(_xlfn.XLOOKUP(_xlpm.ai_test,$BK$15:$BK$62,ROW($BK$15:$BK$62),0,1),_xlfn.XLOOKUP(_xlpm.ai_test,$BL$15:$BL$62,ROW($BL$15:$BL$62),0,1))),_xlpm.p,_xlpm.r-MIN(ROW($BJ$15:$BJ$62))+1,_xlpm.f,INDEX($BM$15:$BM$62,_xlpm.p),_xlpm.u,INDEX($BN$15:$BN$62,_xlpm.p),_xlpm.s,INDEX($BP$15:$BP$62,_xlpm.p),_xlpm.q,N(AU453)/_xlpm.f,IF(_xlpm.q&gt;=_xlpm.s,ROUND(_xlpm.q,1)&amp;" "&amp;_xlpm.ai_test&amp;" = "&amp;ROUND(_xlpm.q*_xlpm.f,1)&amp;" "&amp;_xlpm.u,ROUND(_xlpm.q,1)&amp;" "&amp;_xlpm.ai_test)),""),""))))</f>
        <v>0</v>
      </c>
      <c r="AX453" s="6218"/>
      <c r="AY453" s="6272">
        <f t="shared" si="179"/>
        <v>0</v>
      </c>
      <c r="AZ453" s="6240" t="str">
        <f t="shared" si="180"/>
        <v/>
      </c>
      <c r="BA453" s="6195">
        <f t="shared" si="185"/>
        <v>0</v>
      </c>
      <c r="BB453" s="6193" t="str">
        <f t="shared" si="181"/>
        <v/>
      </c>
      <c r="BC453" s="6219"/>
      <c r="BD453" s="6222">
        <f t="shared" si="186"/>
        <v>0</v>
      </c>
      <c r="BE453" s="6220" t="str">
        <f t="shared" si="182"/>
        <v/>
      </c>
      <c r="BF453" s="4" t="s">
        <v>1</v>
      </c>
      <c r="BG453" s="6196">
        <f t="shared" si="183"/>
        <v>0</v>
      </c>
      <c r="BH453" s="6197">
        <f t="shared" si="184"/>
        <v>0</v>
      </c>
      <c r="BI453"/>
      <c r="BJ453" s="1"/>
      <c r="BK453" s="1"/>
      <c r="BL453" s="1"/>
      <c r="BM453" s="1"/>
      <c r="BN453" s="1"/>
      <c r="BO453" s="1"/>
      <c r="BP453" s="1"/>
      <c r="BQ453" s="1"/>
      <c r="BX453" s="20" t="str">
        <f t="shared" ref="BX453:BX516" si="188">AF453</f>
        <v>►</v>
      </c>
      <c r="BY453" s="2"/>
      <c r="BZ453" s="2"/>
      <c r="CA453" s="2"/>
      <c r="CB453" s="2"/>
      <c r="CC453" s="2"/>
      <c r="DC453" s="5">
        <v>1</v>
      </c>
    </row>
    <row r="454" spans="12:107" ht="21" customHeight="1">
      <c r="L454" s="1021" t="s">
        <v>26</v>
      </c>
      <c r="M454" s="6787"/>
      <c r="N454" s="6787"/>
      <c r="O454" s="6787"/>
      <c r="P454" s="6788"/>
      <c r="Q454" s="6789"/>
      <c r="R454" s="6790"/>
      <c r="S454" s="6786"/>
      <c r="T454" s="6791"/>
      <c r="U454" s="6844"/>
      <c r="V454" s="6791"/>
      <c r="W454" s="8487"/>
      <c r="X454" s="6871"/>
      <c r="Y454" s="6793"/>
      <c r="Z454" s="6794"/>
      <c r="AA454" s="6795"/>
      <c r="AB454" s="6796"/>
      <c r="AC454" s="6797"/>
      <c r="AD454" s="6798"/>
      <c r="AE454" s="4" t="s">
        <v>1</v>
      </c>
      <c r="AF454" s="6202" t="str">
        <f t="shared" si="166"/>
        <v>►</v>
      </c>
      <c r="AG454" s="6234" t="str">
        <f t="shared" si="167"/>
        <v/>
      </c>
      <c r="AH454" s="6732" t="str">
        <f t="shared" si="168"/>
        <v/>
      </c>
      <c r="AI454" s="6234" t="str">
        <f t="shared" si="169"/>
        <v/>
      </c>
      <c r="AJ454" s="6732" t="str">
        <f t="shared" si="170"/>
        <v/>
      </c>
      <c r="AK454" s="6732">
        <f t="shared" si="171"/>
        <v>0</v>
      </c>
      <c r="AL454" s="6230" t="str" cm="1">
        <f t="array" ref="AL454">IF(AF454&lt;&gt;"A","",IFERROR((IFERROR(_xlfn.XLOOKUP(TRIM(SUBSTITUTE(U454,CHAR(160)," ")),$BJ$15:$BJ$62,$BM$15:$BM$62),IFERROR(_xlfn.XLOOKUP(TRIM(SUBSTITUTE(U454,CHAR(160)," ")),$BK$15:$BK$62,$BM$15:$BM$62),_xlfn.XLOOKUP(TRIM(SUBSTITUTE(U454,CHAR(160)," ")),$BL$15:$BL$62,$BM$15:$BM$62))))*T454*IF(ISBLANK(Q454),1,Q454)+IFERROR(_xlfn.XLOOKUP("RECHERCHEX",TRIM(L454:AD454),L454:AD454),0),0))</f>
        <v/>
      </c>
      <c r="AM454" s="6229">
        <f t="shared" si="172"/>
        <v>0</v>
      </c>
      <c r="AN454" s="6857" t="str">
        <f t="shared" si="187"/>
        <v/>
      </c>
      <c r="AO454" s="392">
        <f t="shared" si="173"/>
        <v>0</v>
      </c>
      <c r="AP454" s="392">
        <f t="shared" si="174"/>
        <v>0</v>
      </c>
      <c r="AQ454" s="6190">
        <f t="shared" si="175"/>
        <v>0</v>
      </c>
      <c r="AR454" s="6858" t="str">
        <f t="shared" si="176"/>
        <v/>
      </c>
      <c r="AS454" s="6217"/>
      <c r="AT454" s="6217"/>
      <c r="AU454" s="6271">
        <f t="shared" si="177"/>
        <v>0</v>
      </c>
      <c r="AV454" s="6242">
        <f t="shared" si="178"/>
        <v>0</v>
      </c>
      <c r="AW454" s="6188" cm="1">
        <f t="array" ref="AW454">IF(AK454&lt;&gt;1,0,IF(OR(AU454="",N(AU454)&lt;=0.000000001),"",IF(OR(AO454="",N(AO454)&lt;=0.000000001),0,IF(ISNUMBER(AU454),IFERROR(_xlfn.LET(_xlpm.ai_test,TRIM(AJ454),_xlpm.r,IFERROR(_xlfn.XLOOKUP(_xlpm.ai_test,$BJ$15:$BJ$62,ROW($BJ$15:$BJ$62),0,1),IFERROR(_xlfn.XLOOKUP(_xlpm.ai_test,$BK$15:$BK$62,ROW($BK$15:$BK$62),0,1),_xlfn.XLOOKUP(_xlpm.ai_test,$BL$15:$BL$62,ROW($BL$15:$BL$62),0,1))),_xlpm.p,_xlpm.r-MIN(ROW($BJ$15:$BJ$62))+1,_xlpm.f,INDEX($BM$15:$BM$62,_xlpm.p),_xlpm.u,INDEX($BN$15:$BN$62,_xlpm.p),_xlpm.s,INDEX($BP$15:$BP$62,_xlpm.p),_xlpm.q,N(AU454)/_xlpm.f,IF(_xlpm.q&gt;=_xlpm.s,ROUND(_xlpm.q,1)&amp;" "&amp;_xlpm.ai_test&amp;" = "&amp;ROUND(_xlpm.q*_xlpm.f,1)&amp;" "&amp;_xlpm.u,ROUND(_xlpm.q,1)&amp;" "&amp;_xlpm.ai_test)),""),""))))</f>
        <v>0</v>
      </c>
      <c r="AX454" s="6218"/>
      <c r="AY454" s="6271">
        <f t="shared" si="179"/>
        <v>0</v>
      </c>
      <c r="AZ454" s="6242" t="str">
        <f t="shared" si="180"/>
        <v/>
      </c>
      <c r="BA454" s="6194">
        <f t="shared" si="185"/>
        <v>0</v>
      </c>
      <c r="BB454" s="6192" t="str">
        <f t="shared" si="181"/>
        <v/>
      </c>
      <c r="BC454" s="6219"/>
      <c r="BD454" s="6221">
        <f t="shared" si="186"/>
        <v>0</v>
      </c>
      <c r="BE454" s="6220" t="str">
        <f t="shared" si="182"/>
        <v/>
      </c>
      <c r="BF454" s="4" t="s">
        <v>1</v>
      </c>
      <c r="BG454" s="6196">
        <f t="shared" si="183"/>
        <v>0</v>
      </c>
      <c r="BH454" s="6197">
        <f t="shared" si="184"/>
        <v>0</v>
      </c>
      <c r="BI454"/>
      <c r="BJ454" s="1"/>
      <c r="BK454" s="1"/>
      <c r="BL454" s="1"/>
      <c r="BM454" s="1"/>
      <c r="BN454" s="1"/>
      <c r="BO454" s="1"/>
      <c r="BP454" s="1"/>
      <c r="BQ454" s="1"/>
      <c r="BX454" s="20" t="str">
        <f t="shared" si="188"/>
        <v>►</v>
      </c>
      <c r="BY454" s="2"/>
      <c r="BZ454" s="2"/>
      <c r="CA454" s="2"/>
      <c r="CB454" s="2"/>
      <c r="CC454" s="2"/>
      <c r="DC454" s="5">
        <v>1</v>
      </c>
    </row>
    <row r="455" spans="12:107" ht="21" customHeight="1">
      <c r="L455" s="1021" t="s">
        <v>26</v>
      </c>
      <c r="M455" s="6787"/>
      <c r="N455" s="6787"/>
      <c r="O455" s="6787"/>
      <c r="P455" s="6788"/>
      <c r="Q455" s="6789"/>
      <c r="R455" s="6790"/>
      <c r="S455" s="6786"/>
      <c r="T455" s="6791"/>
      <c r="U455" s="6844"/>
      <c r="V455" s="6791"/>
      <c r="W455" s="8487"/>
      <c r="X455" s="6871"/>
      <c r="Y455" s="6793"/>
      <c r="Z455" s="6794"/>
      <c r="AA455" s="6795"/>
      <c r="AB455" s="6796"/>
      <c r="AC455" s="6797"/>
      <c r="AD455" s="6798"/>
      <c r="AE455" s="4" t="s">
        <v>1</v>
      </c>
      <c r="AF455" s="6202" t="str">
        <f t="shared" si="166"/>
        <v>►</v>
      </c>
      <c r="AG455" s="6234" t="str">
        <f t="shared" si="167"/>
        <v/>
      </c>
      <c r="AH455" s="6732" t="str">
        <f t="shared" si="168"/>
        <v/>
      </c>
      <c r="AI455" s="6234" t="str">
        <f t="shared" si="169"/>
        <v/>
      </c>
      <c r="AJ455" s="6732" t="str">
        <f t="shared" si="170"/>
        <v/>
      </c>
      <c r="AK455" s="6732">
        <f t="shared" si="171"/>
        <v>0</v>
      </c>
      <c r="AL455" s="6230" t="str" cm="1">
        <f t="array" ref="AL455">IF(AF455&lt;&gt;"A","",IFERROR((IFERROR(_xlfn.XLOOKUP(TRIM(SUBSTITUTE(U455,CHAR(160)," ")),$BJ$15:$BJ$62,$BM$15:$BM$62),IFERROR(_xlfn.XLOOKUP(TRIM(SUBSTITUTE(U455,CHAR(160)," ")),$BK$15:$BK$62,$BM$15:$BM$62),_xlfn.XLOOKUP(TRIM(SUBSTITUTE(U455,CHAR(160)," ")),$BL$15:$BL$62,$BM$15:$BM$62))))*T455*IF(ISBLANK(Q455),1,Q455)+IFERROR(_xlfn.XLOOKUP("RECHERCHEX",TRIM(L455:AD455),L455:AD455),0),0))</f>
        <v/>
      </c>
      <c r="AM455" s="6229">
        <f t="shared" si="172"/>
        <v>0</v>
      </c>
      <c r="AN455" s="6857" t="str">
        <f t="shared" si="187"/>
        <v/>
      </c>
      <c r="AO455" s="392">
        <f t="shared" si="173"/>
        <v>0</v>
      </c>
      <c r="AP455" s="392">
        <f t="shared" si="174"/>
        <v>0</v>
      </c>
      <c r="AQ455" s="6191">
        <f t="shared" si="175"/>
        <v>0</v>
      </c>
      <c r="AR455" s="6859" t="str">
        <f t="shared" si="176"/>
        <v/>
      </c>
      <c r="AS455" s="6217"/>
      <c r="AT455" s="6217"/>
      <c r="AU455" s="6272">
        <f t="shared" si="177"/>
        <v>0</v>
      </c>
      <c r="AV455" s="6240">
        <f t="shared" si="178"/>
        <v>0</v>
      </c>
      <c r="AW455" s="6189" cm="1">
        <f t="array" ref="AW455">IF(AK455&lt;&gt;1,0,IF(OR(AU455="",N(AU455)&lt;=0.000000001),"",IF(OR(AO455="",N(AO455)&lt;=0.000000001),0,IF(ISNUMBER(AU455),IFERROR(_xlfn.LET(_xlpm.ai_test,TRIM(AJ455),_xlpm.r,IFERROR(_xlfn.XLOOKUP(_xlpm.ai_test,$BJ$15:$BJ$62,ROW($BJ$15:$BJ$62),0,1),IFERROR(_xlfn.XLOOKUP(_xlpm.ai_test,$BK$15:$BK$62,ROW($BK$15:$BK$62),0,1),_xlfn.XLOOKUP(_xlpm.ai_test,$BL$15:$BL$62,ROW($BL$15:$BL$62),0,1))),_xlpm.p,_xlpm.r-MIN(ROW($BJ$15:$BJ$62))+1,_xlpm.f,INDEX($BM$15:$BM$62,_xlpm.p),_xlpm.u,INDEX($BN$15:$BN$62,_xlpm.p),_xlpm.s,INDEX($BP$15:$BP$62,_xlpm.p),_xlpm.q,N(AU455)/_xlpm.f,IF(_xlpm.q&gt;=_xlpm.s,ROUND(_xlpm.q,1)&amp;" "&amp;_xlpm.ai_test&amp;" = "&amp;ROUND(_xlpm.q*_xlpm.f,1)&amp;" "&amp;_xlpm.u,ROUND(_xlpm.q,1)&amp;" "&amp;_xlpm.ai_test)),""),""))))</f>
        <v>0</v>
      </c>
      <c r="AX455" s="6218"/>
      <c r="AY455" s="6272">
        <f t="shared" si="179"/>
        <v>0</v>
      </c>
      <c r="AZ455" s="6240" t="str">
        <f t="shared" si="180"/>
        <v/>
      </c>
      <c r="BA455" s="6195">
        <f t="shared" si="185"/>
        <v>0</v>
      </c>
      <c r="BB455" s="6193" t="str">
        <f t="shared" si="181"/>
        <v/>
      </c>
      <c r="BC455" s="6219"/>
      <c r="BD455" s="6222">
        <f t="shared" si="186"/>
        <v>0</v>
      </c>
      <c r="BE455" s="6220" t="str">
        <f t="shared" si="182"/>
        <v/>
      </c>
      <c r="BF455" s="4" t="s">
        <v>1</v>
      </c>
      <c r="BG455" s="6196">
        <f t="shared" si="183"/>
        <v>0</v>
      </c>
      <c r="BH455" s="6197">
        <f t="shared" si="184"/>
        <v>0</v>
      </c>
      <c r="BI455"/>
      <c r="BJ455" s="1"/>
      <c r="BK455" s="1"/>
      <c r="BL455" s="1"/>
      <c r="BM455" s="1"/>
      <c r="BN455" s="1"/>
      <c r="BO455" s="1"/>
      <c r="BP455" s="1"/>
      <c r="BQ455" s="1"/>
      <c r="BX455" s="20" t="str">
        <f t="shared" si="188"/>
        <v>►</v>
      </c>
      <c r="BY455" s="2"/>
      <c r="BZ455" s="2"/>
      <c r="CA455" s="2"/>
      <c r="CB455" s="2"/>
      <c r="CC455" s="2"/>
      <c r="DC455" s="5">
        <v>1</v>
      </c>
    </row>
    <row r="456" spans="12:107" ht="21" customHeight="1">
      <c r="L456" s="1021" t="s">
        <v>26</v>
      </c>
      <c r="M456" s="6787"/>
      <c r="N456" s="6787"/>
      <c r="O456" s="6787"/>
      <c r="P456" s="6788"/>
      <c r="Q456" s="6789"/>
      <c r="R456" s="6790"/>
      <c r="S456" s="6786"/>
      <c r="T456" s="6791"/>
      <c r="U456" s="6844"/>
      <c r="V456" s="6791"/>
      <c r="W456" s="8487"/>
      <c r="X456" s="6871"/>
      <c r="Y456" s="6793"/>
      <c r="Z456" s="6794"/>
      <c r="AA456" s="6795"/>
      <c r="AB456" s="6796"/>
      <c r="AC456" s="6797"/>
      <c r="AD456" s="6798"/>
      <c r="AE456" s="4" t="s">
        <v>1</v>
      </c>
      <c r="AF456" s="6202" t="str">
        <f t="shared" si="166"/>
        <v>►</v>
      </c>
      <c r="AG456" s="6234" t="str">
        <f t="shared" si="167"/>
        <v/>
      </c>
      <c r="AH456" s="6732" t="str">
        <f t="shared" si="168"/>
        <v/>
      </c>
      <c r="AI456" s="6234" t="str">
        <f t="shared" si="169"/>
        <v/>
      </c>
      <c r="AJ456" s="6732" t="str">
        <f t="shared" si="170"/>
        <v/>
      </c>
      <c r="AK456" s="6732">
        <f t="shared" si="171"/>
        <v>0</v>
      </c>
      <c r="AL456" s="6230" t="str" cm="1">
        <f t="array" ref="AL456">IF(AF456&lt;&gt;"A","",IFERROR((IFERROR(_xlfn.XLOOKUP(TRIM(SUBSTITUTE(U456,CHAR(160)," ")),$BJ$15:$BJ$62,$BM$15:$BM$62),IFERROR(_xlfn.XLOOKUP(TRIM(SUBSTITUTE(U456,CHAR(160)," ")),$BK$15:$BK$62,$BM$15:$BM$62),_xlfn.XLOOKUP(TRIM(SUBSTITUTE(U456,CHAR(160)," ")),$BL$15:$BL$62,$BM$15:$BM$62))))*T456*IF(ISBLANK(Q456),1,Q456)+IFERROR(_xlfn.XLOOKUP("RECHERCHEX",TRIM(L456:AD456),L456:AD456),0),0))</f>
        <v/>
      </c>
      <c r="AM456" s="6229">
        <f t="shared" si="172"/>
        <v>0</v>
      </c>
      <c r="AN456" s="6857" t="str">
        <f t="shared" si="187"/>
        <v/>
      </c>
      <c r="AO456" s="392">
        <f t="shared" si="173"/>
        <v>0</v>
      </c>
      <c r="AP456" s="392">
        <f t="shared" si="174"/>
        <v>0</v>
      </c>
      <c r="AQ456" s="6190">
        <f t="shared" si="175"/>
        <v>0</v>
      </c>
      <c r="AR456" s="6858" t="str">
        <f t="shared" si="176"/>
        <v/>
      </c>
      <c r="AS456" s="6217"/>
      <c r="AT456" s="6217"/>
      <c r="AU456" s="6271">
        <f t="shared" si="177"/>
        <v>0</v>
      </c>
      <c r="AV456" s="6242">
        <f t="shared" si="178"/>
        <v>0</v>
      </c>
      <c r="AW456" s="6188" cm="1">
        <f t="array" ref="AW456">IF(AK456&lt;&gt;1,0,IF(OR(AU456="",N(AU456)&lt;=0.000000001),"",IF(OR(AO456="",N(AO456)&lt;=0.000000001),0,IF(ISNUMBER(AU456),IFERROR(_xlfn.LET(_xlpm.ai_test,TRIM(AJ456),_xlpm.r,IFERROR(_xlfn.XLOOKUP(_xlpm.ai_test,$BJ$15:$BJ$62,ROW($BJ$15:$BJ$62),0,1),IFERROR(_xlfn.XLOOKUP(_xlpm.ai_test,$BK$15:$BK$62,ROW($BK$15:$BK$62),0,1),_xlfn.XLOOKUP(_xlpm.ai_test,$BL$15:$BL$62,ROW($BL$15:$BL$62),0,1))),_xlpm.p,_xlpm.r-MIN(ROW($BJ$15:$BJ$62))+1,_xlpm.f,INDEX($BM$15:$BM$62,_xlpm.p),_xlpm.u,INDEX($BN$15:$BN$62,_xlpm.p),_xlpm.s,INDEX($BP$15:$BP$62,_xlpm.p),_xlpm.q,N(AU456)/_xlpm.f,IF(_xlpm.q&gt;=_xlpm.s,ROUND(_xlpm.q,1)&amp;" "&amp;_xlpm.ai_test&amp;" = "&amp;ROUND(_xlpm.q*_xlpm.f,1)&amp;" "&amp;_xlpm.u,ROUND(_xlpm.q,1)&amp;" "&amp;_xlpm.ai_test)),""),""))))</f>
        <v>0</v>
      </c>
      <c r="AX456" s="6218"/>
      <c r="AY456" s="6271">
        <f t="shared" si="179"/>
        <v>0</v>
      </c>
      <c r="AZ456" s="6242" t="str">
        <f t="shared" si="180"/>
        <v/>
      </c>
      <c r="BA456" s="6194">
        <f t="shared" si="185"/>
        <v>0</v>
      </c>
      <c r="BB456" s="6192" t="str">
        <f t="shared" si="181"/>
        <v/>
      </c>
      <c r="BC456" s="6219"/>
      <c r="BD456" s="6221">
        <f t="shared" si="186"/>
        <v>0</v>
      </c>
      <c r="BE456" s="6220" t="str">
        <f t="shared" si="182"/>
        <v/>
      </c>
      <c r="BF456" s="4" t="s">
        <v>1</v>
      </c>
      <c r="BG456" s="6196">
        <f t="shared" si="183"/>
        <v>0</v>
      </c>
      <c r="BH456" s="6197">
        <f t="shared" si="184"/>
        <v>0</v>
      </c>
      <c r="BI456"/>
      <c r="BJ456" s="1"/>
      <c r="BK456" s="1"/>
      <c r="BL456" s="1"/>
      <c r="BM456" s="1"/>
      <c r="BN456" s="1"/>
      <c r="BO456" s="1"/>
      <c r="BP456" s="1"/>
      <c r="BQ456" s="1"/>
      <c r="BX456" s="20" t="str">
        <f t="shared" si="188"/>
        <v>►</v>
      </c>
      <c r="BY456" s="2"/>
      <c r="BZ456" s="2"/>
      <c r="CA456" s="2"/>
      <c r="CB456" s="2"/>
      <c r="CC456" s="2"/>
      <c r="DC456" s="5">
        <v>1</v>
      </c>
    </row>
    <row r="457" spans="12:107" ht="21" customHeight="1">
      <c r="L457" s="1021" t="s">
        <v>26</v>
      </c>
      <c r="M457" s="6787"/>
      <c r="N457" s="6787"/>
      <c r="O457" s="6787"/>
      <c r="P457" s="6788"/>
      <c r="Q457" s="6789"/>
      <c r="R457" s="6790"/>
      <c r="S457" s="6786"/>
      <c r="T457" s="6791"/>
      <c r="U457" s="6844"/>
      <c r="V457" s="6791"/>
      <c r="W457" s="8487"/>
      <c r="X457" s="6871"/>
      <c r="Y457" s="6793"/>
      <c r="Z457" s="6794"/>
      <c r="AA457" s="6795"/>
      <c r="AB457" s="6796"/>
      <c r="AC457" s="6797"/>
      <c r="AD457" s="6798"/>
      <c r="AE457" s="4" t="s">
        <v>1</v>
      </c>
      <c r="AF457" s="6202" t="str">
        <f t="shared" si="166"/>
        <v>►</v>
      </c>
      <c r="AG457" s="6234" t="str">
        <f t="shared" si="167"/>
        <v/>
      </c>
      <c r="AH457" s="6732" t="str">
        <f t="shared" si="168"/>
        <v/>
      </c>
      <c r="AI457" s="6234" t="str">
        <f t="shared" si="169"/>
        <v/>
      </c>
      <c r="AJ457" s="6732" t="str">
        <f t="shared" si="170"/>
        <v/>
      </c>
      <c r="AK457" s="6732">
        <f t="shared" si="171"/>
        <v>0</v>
      </c>
      <c r="AL457" s="6230" t="str" cm="1">
        <f t="array" ref="AL457">IF(AF457&lt;&gt;"A","",IFERROR((IFERROR(_xlfn.XLOOKUP(TRIM(SUBSTITUTE(U457,CHAR(160)," ")),$BJ$15:$BJ$62,$BM$15:$BM$62),IFERROR(_xlfn.XLOOKUP(TRIM(SUBSTITUTE(U457,CHAR(160)," ")),$BK$15:$BK$62,$BM$15:$BM$62),_xlfn.XLOOKUP(TRIM(SUBSTITUTE(U457,CHAR(160)," ")),$BL$15:$BL$62,$BM$15:$BM$62))))*T457*IF(ISBLANK(Q457),1,Q457)+IFERROR(_xlfn.XLOOKUP("RECHERCHEX",TRIM(L457:AD457),L457:AD457),0),0))</f>
        <v/>
      </c>
      <c r="AM457" s="6229">
        <f t="shared" si="172"/>
        <v>0</v>
      </c>
      <c r="AN457" s="6857" t="str">
        <f t="shared" si="187"/>
        <v/>
      </c>
      <c r="AO457" s="392">
        <f t="shared" si="173"/>
        <v>0</v>
      </c>
      <c r="AP457" s="392">
        <f t="shared" si="174"/>
        <v>0</v>
      </c>
      <c r="AQ457" s="6191">
        <f t="shared" si="175"/>
        <v>0</v>
      </c>
      <c r="AR457" s="6859" t="str">
        <f t="shared" si="176"/>
        <v/>
      </c>
      <c r="AS457" s="6217"/>
      <c r="AT457" s="6217"/>
      <c r="AU457" s="6272">
        <f t="shared" si="177"/>
        <v>0</v>
      </c>
      <c r="AV457" s="6240">
        <f t="shared" si="178"/>
        <v>0</v>
      </c>
      <c r="AW457" s="6189" cm="1">
        <f t="array" ref="AW457">IF(AK457&lt;&gt;1,0,IF(OR(AU457="",N(AU457)&lt;=0.000000001),"",IF(OR(AO457="",N(AO457)&lt;=0.000000001),0,IF(ISNUMBER(AU457),IFERROR(_xlfn.LET(_xlpm.ai_test,TRIM(AJ457),_xlpm.r,IFERROR(_xlfn.XLOOKUP(_xlpm.ai_test,$BJ$15:$BJ$62,ROW($BJ$15:$BJ$62),0,1),IFERROR(_xlfn.XLOOKUP(_xlpm.ai_test,$BK$15:$BK$62,ROW($BK$15:$BK$62),0,1),_xlfn.XLOOKUP(_xlpm.ai_test,$BL$15:$BL$62,ROW($BL$15:$BL$62),0,1))),_xlpm.p,_xlpm.r-MIN(ROW($BJ$15:$BJ$62))+1,_xlpm.f,INDEX($BM$15:$BM$62,_xlpm.p),_xlpm.u,INDEX($BN$15:$BN$62,_xlpm.p),_xlpm.s,INDEX($BP$15:$BP$62,_xlpm.p),_xlpm.q,N(AU457)/_xlpm.f,IF(_xlpm.q&gt;=_xlpm.s,ROUND(_xlpm.q,1)&amp;" "&amp;_xlpm.ai_test&amp;" = "&amp;ROUND(_xlpm.q*_xlpm.f,1)&amp;" "&amp;_xlpm.u,ROUND(_xlpm.q,1)&amp;" "&amp;_xlpm.ai_test)),""),""))))</f>
        <v>0</v>
      </c>
      <c r="AX457" s="6218"/>
      <c r="AY457" s="6272">
        <f t="shared" si="179"/>
        <v>0</v>
      </c>
      <c r="AZ457" s="6240" t="str">
        <f t="shared" si="180"/>
        <v/>
      </c>
      <c r="BA457" s="6195">
        <f t="shared" si="185"/>
        <v>0</v>
      </c>
      <c r="BB457" s="6193" t="str">
        <f t="shared" si="181"/>
        <v/>
      </c>
      <c r="BC457" s="6219"/>
      <c r="BD457" s="6222">
        <f t="shared" si="186"/>
        <v>0</v>
      </c>
      <c r="BE457" s="6220" t="str">
        <f t="shared" si="182"/>
        <v/>
      </c>
      <c r="BF457" s="4" t="s">
        <v>1</v>
      </c>
      <c r="BG457" s="6196">
        <f t="shared" si="183"/>
        <v>0</v>
      </c>
      <c r="BH457" s="6197">
        <f t="shared" si="184"/>
        <v>0</v>
      </c>
      <c r="BI457"/>
      <c r="BJ457" s="1"/>
      <c r="BK457" s="1"/>
      <c r="BL457" s="1"/>
      <c r="BM457" s="1"/>
      <c r="BN457" s="1"/>
      <c r="BO457" s="1"/>
      <c r="BP457" s="1"/>
      <c r="BQ457" s="1"/>
      <c r="BX457" s="20" t="str">
        <f t="shared" si="188"/>
        <v>►</v>
      </c>
      <c r="BY457" s="2"/>
      <c r="BZ457" s="2"/>
      <c r="CA457" s="2"/>
      <c r="CB457" s="2"/>
      <c r="CC457" s="2"/>
      <c r="DC457" s="5">
        <v>1</v>
      </c>
    </row>
    <row r="458" spans="12:107" ht="21" customHeight="1">
      <c r="L458" s="1021" t="s">
        <v>26</v>
      </c>
      <c r="M458" s="6787"/>
      <c r="N458" s="6787"/>
      <c r="O458" s="6787"/>
      <c r="P458" s="6788"/>
      <c r="Q458" s="6789"/>
      <c r="R458" s="6790"/>
      <c r="S458" s="6786"/>
      <c r="T458" s="6791"/>
      <c r="U458" s="6844"/>
      <c r="V458" s="6791"/>
      <c r="W458" s="8487"/>
      <c r="X458" s="6871"/>
      <c r="Y458" s="6793"/>
      <c r="Z458" s="6794"/>
      <c r="AA458" s="6795"/>
      <c r="AB458" s="6796"/>
      <c r="AC458" s="6797"/>
      <c r="AD458" s="6798"/>
      <c r="AE458" s="4" t="s">
        <v>1</v>
      </c>
      <c r="AF458" s="6202" t="str">
        <f t="shared" si="166"/>
        <v>►</v>
      </c>
      <c r="AG458" s="6234" t="str">
        <f t="shared" si="167"/>
        <v/>
      </c>
      <c r="AH458" s="6732" t="str">
        <f t="shared" si="168"/>
        <v/>
      </c>
      <c r="AI458" s="6234" t="str">
        <f t="shared" si="169"/>
        <v/>
      </c>
      <c r="AJ458" s="6732" t="str">
        <f t="shared" si="170"/>
        <v/>
      </c>
      <c r="AK458" s="6732">
        <f t="shared" si="171"/>
        <v>0</v>
      </c>
      <c r="AL458" s="6230" t="str" cm="1">
        <f t="array" ref="AL458">IF(AF458&lt;&gt;"A","",IFERROR((IFERROR(_xlfn.XLOOKUP(TRIM(SUBSTITUTE(U458,CHAR(160)," ")),$BJ$15:$BJ$62,$BM$15:$BM$62),IFERROR(_xlfn.XLOOKUP(TRIM(SUBSTITUTE(U458,CHAR(160)," ")),$BK$15:$BK$62,$BM$15:$BM$62),_xlfn.XLOOKUP(TRIM(SUBSTITUTE(U458,CHAR(160)," ")),$BL$15:$BL$62,$BM$15:$BM$62))))*T458*IF(ISBLANK(Q458),1,Q458)+IFERROR(_xlfn.XLOOKUP("RECHERCHEX",TRIM(L458:AD458),L458:AD458),0),0))</f>
        <v/>
      </c>
      <c r="AM458" s="6229">
        <f t="shared" si="172"/>
        <v>0</v>
      </c>
      <c r="AN458" s="6857" t="str">
        <f t="shared" si="187"/>
        <v/>
      </c>
      <c r="AO458" s="392">
        <f t="shared" si="173"/>
        <v>0</v>
      </c>
      <c r="AP458" s="392">
        <f t="shared" si="174"/>
        <v>0</v>
      </c>
      <c r="AQ458" s="6190">
        <f t="shared" si="175"/>
        <v>0</v>
      </c>
      <c r="AR458" s="6858" t="str">
        <f t="shared" si="176"/>
        <v/>
      </c>
      <c r="AS458" s="6217"/>
      <c r="AT458" s="6217"/>
      <c r="AU458" s="6271">
        <f t="shared" si="177"/>
        <v>0</v>
      </c>
      <c r="AV458" s="6242">
        <f t="shared" si="178"/>
        <v>0</v>
      </c>
      <c r="AW458" s="6188" cm="1">
        <f t="array" ref="AW458">IF(AK458&lt;&gt;1,0,IF(OR(AU458="",N(AU458)&lt;=0.000000001),"",IF(OR(AO458="",N(AO458)&lt;=0.000000001),0,IF(ISNUMBER(AU458),IFERROR(_xlfn.LET(_xlpm.ai_test,TRIM(AJ458),_xlpm.r,IFERROR(_xlfn.XLOOKUP(_xlpm.ai_test,$BJ$15:$BJ$62,ROW($BJ$15:$BJ$62),0,1),IFERROR(_xlfn.XLOOKUP(_xlpm.ai_test,$BK$15:$BK$62,ROW($BK$15:$BK$62),0,1),_xlfn.XLOOKUP(_xlpm.ai_test,$BL$15:$BL$62,ROW($BL$15:$BL$62),0,1))),_xlpm.p,_xlpm.r-MIN(ROW($BJ$15:$BJ$62))+1,_xlpm.f,INDEX($BM$15:$BM$62,_xlpm.p),_xlpm.u,INDEX($BN$15:$BN$62,_xlpm.p),_xlpm.s,INDEX($BP$15:$BP$62,_xlpm.p),_xlpm.q,N(AU458)/_xlpm.f,IF(_xlpm.q&gt;=_xlpm.s,ROUND(_xlpm.q,1)&amp;" "&amp;_xlpm.ai_test&amp;" = "&amp;ROUND(_xlpm.q*_xlpm.f,1)&amp;" "&amp;_xlpm.u,ROUND(_xlpm.q,1)&amp;" "&amp;_xlpm.ai_test)),""),""))))</f>
        <v>0</v>
      </c>
      <c r="AX458" s="6218"/>
      <c r="AY458" s="6271">
        <f t="shared" si="179"/>
        <v>0</v>
      </c>
      <c r="AZ458" s="6242" t="str">
        <f t="shared" si="180"/>
        <v/>
      </c>
      <c r="BA458" s="6194">
        <f t="shared" si="185"/>
        <v>0</v>
      </c>
      <c r="BB458" s="6192" t="str">
        <f t="shared" si="181"/>
        <v/>
      </c>
      <c r="BC458" s="6219"/>
      <c r="BD458" s="6221">
        <f t="shared" si="186"/>
        <v>0</v>
      </c>
      <c r="BE458" s="6220" t="str">
        <f t="shared" si="182"/>
        <v/>
      </c>
      <c r="BF458" s="4" t="s">
        <v>1</v>
      </c>
      <c r="BG458" s="6196">
        <f t="shared" si="183"/>
        <v>0</v>
      </c>
      <c r="BH458" s="6197">
        <f t="shared" si="184"/>
        <v>0</v>
      </c>
      <c r="BI458"/>
      <c r="BJ458" s="1"/>
      <c r="BK458" s="1"/>
      <c r="BL458" s="1"/>
      <c r="BM458" s="1"/>
      <c r="BN458" s="1"/>
      <c r="BO458" s="1"/>
      <c r="BP458" s="1"/>
      <c r="BQ458" s="1"/>
      <c r="BX458" s="20" t="str">
        <f t="shared" si="188"/>
        <v>►</v>
      </c>
      <c r="BY458" s="2"/>
      <c r="BZ458" s="2"/>
      <c r="CA458" s="2"/>
      <c r="CB458" s="2"/>
      <c r="CC458" s="2"/>
      <c r="DC458" s="5">
        <v>1</v>
      </c>
    </row>
    <row r="459" spans="12:107" ht="21" customHeight="1">
      <c r="L459" s="1021" t="s">
        <v>26</v>
      </c>
      <c r="M459" s="6787"/>
      <c r="N459" s="6787"/>
      <c r="O459" s="6787"/>
      <c r="P459" s="6788"/>
      <c r="Q459" s="6789"/>
      <c r="R459" s="6790"/>
      <c r="S459" s="6786"/>
      <c r="T459" s="6791"/>
      <c r="U459" s="6844"/>
      <c r="V459" s="6791"/>
      <c r="W459" s="8487"/>
      <c r="X459" s="6871"/>
      <c r="Y459" s="6793"/>
      <c r="Z459" s="6794"/>
      <c r="AA459" s="6795"/>
      <c r="AB459" s="6796"/>
      <c r="AC459" s="6797"/>
      <c r="AD459" s="6798"/>
      <c r="AE459" s="4" t="s">
        <v>1</v>
      </c>
      <c r="AF459" s="6202" t="str">
        <f t="shared" si="166"/>
        <v>►</v>
      </c>
      <c r="AG459" s="6234" t="str">
        <f t="shared" si="167"/>
        <v/>
      </c>
      <c r="AH459" s="6732" t="str">
        <f t="shared" si="168"/>
        <v/>
      </c>
      <c r="AI459" s="6234" t="str">
        <f t="shared" si="169"/>
        <v/>
      </c>
      <c r="AJ459" s="6732" t="str">
        <f t="shared" si="170"/>
        <v/>
      </c>
      <c r="AK459" s="6732">
        <f t="shared" si="171"/>
        <v>0</v>
      </c>
      <c r="AL459" s="6230" t="str" cm="1">
        <f t="array" ref="AL459">IF(AF459&lt;&gt;"A","",IFERROR((IFERROR(_xlfn.XLOOKUP(TRIM(SUBSTITUTE(U459,CHAR(160)," ")),$BJ$15:$BJ$62,$BM$15:$BM$62),IFERROR(_xlfn.XLOOKUP(TRIM(SUBSTITUTE(U459,CHAR(160)," ")),$BK$15:$BK$62,$BM$15:$BM$62),_xlfn.XLOOKUP(TRIM(SUBSTITUTE(U459,CHAR(160)," ")),$BL$15:$BL$62,$BM$15:$BM$62))))*T459*IF(ISBLANK(Q459),1,Q459)+IFERROR(_xlfn.XLOOKUP("RECHERCHEX",TRIM(L459:AD459),L459:AD459),0),0))</f>
        <v/>
      </c>
      <c r="AM459" s="6229">
        <f t="shared" si="172"/>
        <v>0</v>
      </c>
      <c r="AN459" s="6857" t="str">
        <f t="shared" si="187"/>
        <v/>
      </c>
      <c r="AO459" s="392">
        <f t="shared" si="173"/>
        <v>0</v>
      </c>
      <c r="AP459" s="392">
        <f t="shared" si="174"/>
        <v>0</v>
      </c>
      <c r="AQ459" s="6191">
        <f t="shared" si="175"/>
        <v>0</v>
      </c>
      <c r="AR459" s="6859" t="str">
        <f t="shared" si="176"/>
        <v/>
      </c>
      <c r="AS459" s="6217"/>
      <c r="AT459" s="6217"/>
      <c r="AU459" s="6272">
        <f t="shared" si="177"/>
        <v>0</v>
      </c>
      <c r="AV459" s="6240">
        <f t="shared" si="178"/>
        <v>0</v>
      </c>
      <c r="AW459" s="6189" cm="1">
        <f t="array" ref="AW459">IF(AK459&lt;&gt;1,0,IF(OR(AU459="",N(AU459)&lt;=0.000000001),"",IF(OR(AO459="",N(AO459)&lt;=0.000000001),0,IF(ISNUMBER(AU459),IFERROR(_xlfn.LET(_xlpm.ai_test,TRIM(AJ459),_xlpm.r,IFERROR(_xlfn.XLOOKUP(_xlpm.ai_test,$BJ$15:$BJ$62,ROW($BJ$15:$BJ$62),0,1),IFERROR(_xlfn.XLOOKUP(_xlpm.ai_test,$BK$15:$BK$62,ROW($BK$15:$BK$62),0,1),_xlfn.XLOOKUP(_xlpm.ai_test,$BL$15:$BL$62,ROW($BL$15:$BL$62),0,1))),_xlpm.p,_xlpm.r-MIN(ROW($BJ$15:$BJ$62))+1,_xlpm.f,INDEX($BM$15:$BM$62,_xlpm.p),_xlpm.u,INDEX($BN$15:$BN$62,_xlpm.p),_xlpm.s,INDEX($BP$15:$BP$62,_xlpm.p),_xlpm.q,N(AU459)/_xlpm.f,IF(_xlpm.q&gt;=_xlpm.s,ROUND(_xlpm.q,1)&amp;" "&amp;_xlpm.ai_test&amp;" = "&amp;ROUND(_xlpm.q*_xlpm.f,1)&amp;" "&amp;_xlpm.u,ROUND(_xlpm.q,1)&amp;" "&amp;_xlpm.ai_test)),""),""))))</f>
        <v>0</v>
      </c>
      <c r="AX459" s="6218"/>
      <c r="AY459" s="6272">
        <f t="shared" si="179"/>
        <v>0</v>
      </c>
      <c r="AZ459" s="6240" t="str">
        <f t="shared" si="180"/>
        <v/>
      </c>
      <c r="BA459" s="6195">
        <f t="shared" si="185"/>
        <v>0</v>
      </c>
      <c r="BB459" s="6193" t="str">
        <f t="shared" si="181"/>
        <v/>
      </c>
      <c r="BC459" s="6219"/>
      <c r="BD459" s="6222">
        <f t="shared" si="186"/>
        <v>0</v>
      </c>
      <c r="BE459" s="6220" t="str">
        <f t="shared" si="182"/>
        <v/>
      </c>
      <c r="BF459" s="4" t="s">
        <v>1</v>
      </c>
      <c r="BG459" s="6196">
        <f t="shared" si="183"/>
        <v>0</v>
      </c>
      <c r="BH459" s="6197">
        <f t="shared" si="184"/>
        <v>0</v>
      </c>
      <c r="BI459"/>
      <c r="BJ459" s="1"/>
      <c r="BK459" s="1"/>
      <c r="BL459" s="1"/>
      <c r="BM459" s="1"/>
      <c r="BN459" s="1"/>
      <c r="BO459" s="1"/>
      <c r="BP459" s="1"/>
      <c r="BQ459" s="1"/>
      <c r="BX459" s="20" t="str">
        <f t="shared" si="188"/>
        <v>►</v>
      </c>
      <c r="BY459" s="2"/>
      <c r="BZ459" s="2"/>
      <c r="CA459" s="2"/>
      <c r="CB459" s="2"/>
      <c r="CC459" s="2"/>
      <c r="DC459" s="5">
        <v>1</v>
      </c>
    </row>
    <row r="460" spans="12:107" ht="21" customHeight="1">
      <c r="L460" s="1021" t="s">
        <v>26</v>
      </c>
      <c r="M460" s="6787"/>
      <c r="N460" s="6787"/>
      <c r="O460" s="6787"/>
      <c r="P460" s="6788"/>
      <c r="Q460" s="6789"/>
      <c r="R460" s="6790"/>
      <c r="S460" s="6786"/>
      <c r="T460" s="6791"/>
      <c r="U460" s="6844"/>
      <c r="V460" s="6791"/>
      <c r="W460" s="8487"/>
      <c r="X460" s="6871"/>
      <c r="Y460" s="6793"/>
      <c r="Z460" s="6794"/>
      <c r="AA460" s="6795"/>
      <c r="AB460" s="6796"/>
      <c r="AC460" s="6797"/>
      <c r="AD460" s="6798"/>
      <c r="AE460" s="4" t="s">
        <v>1</v>
      </c>
      <c r="AF460" s="6202" t="str">
        <f t="shared" si="166"/>
        <v>►</v>
      </c>
      <c r="AG460" s="6234" t="str">
        <f t="shared" si="167"/>
        <v/>
      </c>
      <c r="AH460" s="6732" t="str">
        <f t="shared" si="168"/>
        <v/>
      </c>
      <c r="AI460" s="6234" t="str">
        <f t="shared" si="169"/>
        <v/>
      </c>
      <c r="AJ460" s="6732" t="str">
        <f t="shared" si="170"/>
        <v/>
      </c>
      <c r="AK460" s="6732">
        <f t="shared" si="171"/>
        <v>0</v>
      </c>
      <c r="AL460" s="6230" t="str" cm="1">
        <f t="array" ref="AL460">IF(AF460&lt;&gt;"A","",IFERROR((IFERROR(_xlfn.XLOOKUP(TRIM(SUBSTITUTE(U460,CHAR(160)," ")),$BJ$15:$BJ$62,$BM$15:$BM$62),IFERROR(_xlfn.XLOOKUP(TRIM(SUBSTITUTE(U460,CHAR(160)," ")),$BK$15:$BK$62,$BM$15:$BM$62),_xlfn.XLOOKUP(TRIM(SUBSTITUTE(U460,CHAR(160)," ")),$BL$15:$BL$62,$BM$15:$BM$62))))*T460*IF(ISBLANK(Q460),1,Q460)+IFERROR(_xlfn.XLOOKUP("RECHERCHEX",TRIM(L460:AD460),L460:AD460),0),0))</f>
        <v/>
      </c>
      <c r="AM460" s="6229">
        <f t="shared" si="172"/>
        <v>0</v>
      </c>
      <c r="AN460" s="6857" t="str">
        <f t="shared" si="187"/>
        <v/>
      </c>
      <c r="AO460" s="392">
        <f t="shared" si="173"/>
        <v>0</v>
      </c>
      <c r="AP460" s="392">
        <f t="shared" si="174"/>
        <v>0</v>
      </c>
      <c r="AQ460" s="6190">
        <f t="shared" si="175"/>
        <v>0</v>
      </c>
      <c r="AR460" s="6858" t="str">
        <f t="shared" si="176"/>
        <v/>
      </c>
      <c r="AS460" s="6217"/>
      <c r="AT460" s="6217"/>
      <c r="AU460" s="6271">
        <f t="shared" si="177"/>
        <v>0</v>
      </c>
      <c r="AV460" s="6242">
        <f t="shared" si="178"/>
        <v>0</v>
      </c>
      <c r="AW460" s="6188" cm="1">
        <f t="array" ref="AW460">IF(AK460&lt;&gt;1,0,IF(OR(AU460="",N(AU460)&lt;=0.000000001),"",IF(OR(AO460="",N(AO460)&lt;=0.000000001),0,IF(ISNUMBER(AU460),IFERROR(_xlfn.LET(_xlpm.ai_test,TRIM(AJ460),_xlpm.r,IFERROR(_xlfn.XLOOKUP(_xlpm.ai_test,$BJ$15:$BJ$62,ROW($BJ$15:$BJ$62),0,1),IFERROR(_xlfn.XLOOKUP(_xlpm.ai_test,$BK$15:$BK$62,ROW($BK$15:$BK$62),0,1),_xlfn.XLOOKUP(_xlpm.ai_test,$BL$15:$BL$62,ROW($BL$15:$BL$62),0,1))),_xlpm.p,_xlpm.r-MIN(ROW($BJ$15:$BJ$62))+1,_xlpm.f,INDEX($BM$15:$BM$62,_xlpm.p),_xlpm.u,INDEX($BN$15:$BN$62,_xlpm.p),_xlpm.s,INDEX($BP$15:$BP$62,_xlpm.p),_xlpm.q,N(AU460)/_xlpm.f,IF(_xlpm.q&gt;=_xlpm.s,ROUND(_xlpm.q,1)&amp;" "&amp;_xlpm.ai_test&amp;" = "&amp;ROUND(_xlpm.q*_xlpm.f,1)&amp;" "&amp;_xlpm.u,ROUND(_xlpm.q,1)&amp;" "&amp;_xlpm.ai_test)),""),""))))</f>
        <v>0</v>
      </c>
      <c r="AX460" s="6218"/>
      <c r="AY460" s="6271">
        <f t="shared" si="179"/>
        <v>0</v>
      </c>
      <c r="AZ460" s="6242" t="str">
        <f t="shared" si="180"/>
        <v/>
      </c>
      <c r="BA460" s="6194">
        <f t="shared" si="185"/>
        <v>0</v>
      </c>
      <c r="BB460" s="6192" t="str">
        <f t="shared" si="181"/>
        <v/>
      </c>
      <c r="BC460" s="6219"/>
      <c r="BD460" s="6221">
        <f t="shared" si="186"/>
        <v>0</v>
      </c>
      <c r="BE460" s="6220" t="str">
        <f t="shared" si="182"/>
        <v/>
      </c>
      <c r="BF460" s="4" t="s">
        <v>1</v>
      </c>
      <c r="BG460" s="6196">
        <f t="shared" si="183"/>
        <v>0</v>
      </c>
      <c r="BH460" s="6197">
        <f t="shared" si="184"/>
        <v>0</v>
      </c>
      <c r="BI460"/>
      <c r="BJ460" s="1"/>
      <c r="BK460" s="1"/>
      <c r="BL460" s="1"/>
      <c r="BM460" s="1"/>
      <c r="BN460" s="1"/>
      <c r="BO460" s="1"/>
      <c r="BP460" s="1"/>
      <c r="BQ460" s="1"/>
      <c r="BX460" s="20" t="str">
        <f t="shared" si="188"/>
        <v>►</v>
      </c>
      <c r="BY460" s="2"/>
      <c r="BZ460" s="2"/>
      <c r="CA460" s="2"/>
      <c r="CB460" s="2"/>
      <c r="CC460" s="2"/>
      <c r="DC460" s="5">
        <v>1</v>
      </c>
    </row>
    <row r="461" spans="12:107" ht="21" customHeight="1">
      <c r="L461" s="1021" t="s">
        <v>26</v>
      </c>
      <c r="M461" s="6787"/>
      <c r="N461" s="6787"/>
      <c r="O461" s="6787"/>
      <c r="P461" s="6788"/>
      <c r="Q461" s="6789"/>
      <c r="R461" s="6790"/>
      <c r="S461" s="6786"/>
      <c r="T461" s="6791"/>
      <c r="U461" s="6844"/>
      <c r="V461" s="6791"/>
      <c r="W461" s="8487"/>
      <c r="X461" s="6871"/>
      <c r="Y461" s="6793"/>
      <c r="Z461" s="6794"/>
      <c r="AA461" s="6795"/>
      <c r="AB461" s="6796"/>
      <c r="AC461" s="6797"/>
      <c r="AD461" s="6798"/>
      <c r="AE461" s="4" t="s">
        <v>1</v>
      </c>
      <c r="AF461" s="6202" t="str">
        <f t="shared" si="166"/>
        <v>►</v>
      </c>
      <c r="AG461" s="6234" t="str">
        <f t="shared" si="167"/>
        <v/>
      </c>
      <c r="AH461" s="6732" t="str">
        <f t="shared" si="168"/>
        <v/>
      </c>
      <c r="AI461" s="6234" t="str">
        <f t="shared" si="169"/>
        <v/>
      </c>
      <c r="AJ461" s="6732" t="str">
        <f t="shared" si="170"/>
        <v/>
      </c>
      <c r="AK461" s="6732">
        <f t="shared" si="171"/>
        <v>0</v>
      </c>
      <c r="AL461" s="6230" t="str" cm="1">
        <f t="array" ref="AL461">IF(AF461&lt;&gt;"A","",IFERROR((IFERROR(_xlfn.XLOOKUP(TRIM(SUBSTITUTE(U461,CHAR(160)," ")),$BJ$15:$BJ$62,$BM$15:$BM$62),IFERROR(_xlfn.XLOOKUP(TRIM(SUBSTITUTE(U461,CHAR(160)," ")),$BK$15:$BK$62,$BM$15:$BM$62),_xlfn.XLOOKUP(TRIM(SUBSTITUTE(U461,CHAR(160)," ")),$BL$15:$BL$62,$BM$15:$BM$62))))*T461*IF(ISBLANK(Q461),1,Q461)+IFERROR(_xlfn.XLOOKUP("RECHERCHEX",TRIM(L461:AD461),L461:AD461),0),0))</f>
        <v/>
      </c>
      <c r="AM461" s="6229">
        <f t="shared" si="172"/>
        <v>0</v>
      </c>
      <c r="AN461" s="6857" t="str">
        <f t="shared" si="187"/>
        <v/>
      </c>
      <c r="AO461" s="392">
        <f t="shared" si="173"/>
        <v>0</v>
      </c>
      <c r="AP461" s="392">
        <f t="shared" si="174"/>
        <v>0</v>
      </c>
      <c r="AQ461" s="6191">
        <f t="shared" si="175"/>
        <v>0</v>
      </c>
      <c r="AR461" s="6859" t="str">
        <f t="shared" si="176"/>
        <v/>
      </c>
      <c r="AS461" s="6217"/>
      <c r="AT461" s="6217"/>
      <c r="AU461" s="6272">
        <f t="shared" si="177"/>
        <v>0</v>
      </c>
      <c r="AV461" s="6240">
        <f t="shared" si="178"/>
        <v>0</v>
      </c>
      <c r="AW461" s="6189" cm="1">
        <f t="array" ref="AW461">IF(AK461&lt;&gt;1,0,IF(OR(AU461="",N(AU461)&lt;=0.000000001),"",IF(OR(AO461="",N(AO461)&lt;=0.000000001),0,IF(ISNUMBER(AU461),IFERROR(_xlfn.LET(_xlpm.ai_test,TRIM(AJ461),_xlpm.r,IFERROR(_xlfn.XLOOKUP(_xlpm.ai_test,$BJ$15:$BJ$62,ROW($BJ$15:$BJ$62),0,1),IFERROR(_xlfn.XLOOKUP(_xlpm.ai_test,$BK$15:$BK$62,ROW($BK$15:$BK$62),0,1),_xlfn.XLOOKUP(_xlpm.ai_test,$BL$15:$BL$62,ROW($BL$15:$BL$62),0,1))),_xlpm.p,_xlpm.r-MIN(ROW($BJ$15:$BJ$62))+1,_xlpm.f,INDEX($BM$15:$BM$62,_xlpm.p),_xlpm.u,INDEX($BN$15:$BN$62,_xlpm.p),_xlpm.s,INDEX($BP$15:$BP$62,_xlpm.p),_xlpm.q,N(AU461)/_xlpm.f,IF(_xlpm.q&gt;=_xlpm.s,ROUND(_xlpm.q,1)&amp;" "&amp;_xlpm.ai_test&amp;" = "&amp;ROUND(_xlpm.q*_xlpm.f,1)&amp;" "&amp;_xlpm.u,ROUND(_xlpm.q,1)&amp;" "&amp;_xlpm.ai_test)),""),""))))</f>
        <v>0</v>
      </c>
      <c r="AX461" s="6218"/>
      <c r="AY461" s="6272">
        <f t="shared" si="179"/>
        <v>0</v>
      </c>
      <c r="AZ461" s="6240" t="str">
        <f t="shared" si="180"/>
        <v/>
      </c>
      <c r="BA461" s="6195">
        <f t="shared" si="185"/>
        <v>0</v>
      </c>
      <c r="BB461" s="6193" t="str">
        <f t="shared" si="181"/>
        <v/>
      </c>
      <c r="BC461" s="6219"/>
      <c r="BD461" s="6222">
        <f t="shared" si="186"/>
        <v>0</v>
      </c>
      <c r="BE461" s="6220" t="str">
        <f t="shared" si="182"/>
        <v/>
      </c>
      <c r="BF461" s="4" t="s">
        <v>1</v>
      </c>
      <c r="BG461" s="6196">
        <f t="shared" si="183"/>
        <v>0</v>
      </c>
      <c r="BH461" s="6197">
        <f t="shared" si="184"/>
        <v>0</v>
      </c>
      <c r="BI461"/>
      <c r="BJ461" s="1"/>
      <c r="BK461" s="1"/>
      <c r="BL461" s="1"/>
      <c r="BM461" s="1"/>
      <c r="BN461" s="1"/>
      <c r="BO461" s="1"/>
      <c r="BP461" s="1"/>
      <c r="BQ461" s="1"/>
      <c r="BX461" s="20" t="str">
        <f t="shared" si="188"/>
        <v>►</v>
      </c>
      <c r="BY461" s="2"/>
      <c r="BZ461" s="2"/>
      <c r="CA461" s="2"/>
      <c r="CB461" s="2"/>
      <c r="CC461" s="2"/>
      <c r="DC461" s="5">
        <v>1</v>
      </c>
    </row>
    <row r="462" spans="12:107" ht="21" customHeight="1">
      <c r="L462" s="1021" t="s">
        <v>26</v>
      </c>
      <c r="M462" s="6787"/>
      <c r="N462" s="6787"/>
      <c r="O462" s="6787"/>
      <c r="P462" s="6788"/>
      <c r="Q462" s="6789"/>
      <c r="R462" s="6790"/>
      <c r="S462" s="6786"/>
      <c r="T462" s="6791"/>
      <c r="U462" s="6844"/>
      <c r="V462" s="6791"/>
      <c r="W462" s="8487"/>
      <c r="X462" s="6871"/>
      <c r="Y462" s="6793"/>
      <c r="Z462" s="6794"/>
      <c r="AA462" s="6795"/>
      <c r="AB462" s="6796"/>
      <c r="AC462" s="6797"/>
      <c r="AD462" s="6798"/>
      <c r="AE462" s="4" t="s">
        <v>1</v>
      </c>
      <c r="AF462" s="6202" t="str">
        <f t="shared" si="166"/>
        <v>►</v>
      </c>
      <c r="AG462" s="6234" t="str">
        <f t="shared" si="167"/>
        <v/>
      </c>
      <c r="AH462" s="6732" t="str">
        <f t="shared" si="168"/>
        <v/>
      </c>
      <c r="AI462" s="6234" t="str">
        <f t="shared" si="169"/>
        <v/>
      </c>
      <c r="AJ462" s="6732" t="str">
        <f t="shared" si="170"/>
        <v/>
      </c>
      <c r="AK462" s="6732">
        <f t="shared" si="171"/>
        <v>0</v>
      </c>
      <c r="AL462" s="6230" t="str" cm="1">
        <f t="array" ref="AL462">IF(AF462&lt;&gt;"A","",IFERROR((IFERROR(_xlfn.XLOOKUP(TRIM(SUBSTITUTE(U462,CHAR(160)," ")),$BJ$15:$BJ$62,$BM$15:$BM$62),IFERROR(_xlfn.XLOOKUP(TRIM(SUBSTITUTE(U462,CHAR(160)," ")),$BK$15:$BK$62,$BM$15:$BM$62),_xlfn.XLOOKUP(TRIM(SUBSTITUTE(U462,CHAR(160)," ")),$BL$15:$BL$62,$BM$15:$BM$62))))*T462*IF(ISBLANK(Q462),1,Q462)+IFERROR(_xlfn.XLOOKUP("RECHERCHEX",TRIM(L462:AD462),L462:AD462),0),0))</f>
        <v/>
      </c>
      <c r="AM462" s="6229">
        <f t="shared" si="172"/>
        <v>0</v>
      </c>
      <c r="AN462" s="6857" t="str">
        <f t="shared" si="187"/>
        <v/>
      </c>
      <c r="AO462" s="392">
        <f t="shared" si="173"/>
        <v>0</v>
      </c>
      <c r="AP462" s="392">
        <f t="shared" si="174"/>
        <v>0</v>
      </c>
      <c r="AQ462" s="6190">
        <f t="shared" si="175"/>
        <v>0</v>
      </c>
      <c r="AR462" s="6858" t="str">
        <f t="shared" si="176"/>
        <v/>
      </c>
      <c r="AS462" s="6217"/>
      <c r="AT462" s="6217"/>
      <c r="AU462" s="6271">
        <f t="shared" si="177"/>
        <v>0</v>
      </c>
      <c r="AV462" s="6242">
        <f t="shared" si="178"/>
        <v>0</v>
      </c>
      <c r="AW462" s="6188" cm="1">
        <f t="array" ref="AW462">IF(AK462&lt;&gt;1,0,IF(OR(AU462="",N(AU462)&lt;=0.000000001),"",IF(OR(AO462="",N(AO462)&lt;=0.000000001),0,IF(ISNUMBER(AU462),IFERROR(_xlfn.LET(_xlpm.ai_test,TRIM(AJ462),_xlpm.r,IFERROR(_xlfn.XLOOKUP(_xlpm.ai_test,$BJ$15:$BJ$62,ROW($BJ$15:$BJ$62),0,1),IFERROR(_xlfn.XLOOKUP(_xlpm.ai_test,$BK$15:$BK$62,ROW($BK$15:$BK$62),0,1),_xlfn.XLOOKUP(_xlpm.ai_test,$BL$15:$BL$62,ROW($BL$15:$BL$62),0,1))),_xlpm.p,_xlpm.r-MIN(ROW($BJ$15:$BJ$62))+1,_xlpm.f,INDEX($BM$15:$BM$62,_xlpm.p),_xlpm.u,INDEX($BN$15:$BN$62,_xlpm.p),_xlpm.s,INDEX($BP$15:$BP$62,_xlpm.p),_xlpm.q,N(AU462)/_xlpm.f,IF(_xlpm.q&gt;=_xlpm.s,ROUND(_xlpm.q,1)&amp;" "&amp;_xlpm.ai_test&amp;" = "&amp;ROUND(_xlpm.q*_xlpm.f,1)&amp;" "&amp;_xlpm.u,ROUND(_xlpm.q,1)&amp;" "&amp;_xlpm.ai_test)),""),""))))</f>
        <v>0</v>
      </c>
      <c r="AX462" s="6218"/>
      <c r="AY462" s="6271">
        <f t="shared" si="179"/>
        <v>0</v>
      </c>
      <c r="AZ462" s="6242" t="str">
        <f t="shared" si="180"/>
        <v/>
      </c>
      <c r="BA462" s="6194">
        <f t="shared" si="185"/>
        <v>0</v>
      </c>
      <c r="BB462" s="6192" t="str">
        <f t="shared" si="181"/>
        <v/>
      </c>
      <c r="BC462" s="6219"/>
      <c r="BD462" s="6221">
        <f t="shared" si="186"/>
        <v>0</v>
      </c>
      <c r="BE462" s="6220" t="str">
        <f t="shared" si="182"/>
        <v/>
      </c>
      <c r="BF462" s="4" t="s">
        <v>1</v>
      </c>
      <c r="BG462" s="6196">
        <f t="shared" si="183"/>
        <v>0</v>
      </c>
      <c r="BH462" s="6197">
        <f t="shared" si="184"/>
        <v>0</v>
      </c>
      <c r="BI462"/>
      <c r="BJ462" s="1"/>
      <c r="BK462" s="1"/>
      <c r="BL462" s="1"/>
      <c r="BM462" s="1"/>
      <c r="BN462" s="1"/>
      <c r="BO462" s="1"/>
      <c r="BP462" s="1"/>
      <c r="BQ462" s="1"/>
      <c r="BX462" s="20" t="str">
        <f t="shared" si="188"/>
        <v>►</v>
      </c>
      <c r="BY462" s="2"/>
      <c r="BZ462" s="2"/>
      <c r="CA462" s="2"/>
      <c r="CB462" s="2"/>
      <c r="CC462" s="2"/>
      <c r="DC462" s="5">
        <v>1</v>
      </c>
    </row>
    <row r="463" spans="12:107" ht="21" customHeight="1">
      <c r="L463" s="1021" t="s">
        <v>26</v>
      </c>
      <c r="M463" s="6787"/>
      <c r="N463" s="6787"/>
      <c r="O463" s="6787"/>
      <c r="P463" s="6788"/>
      <c r="Q463" s="6789"/>
      <c r="R463" s="6790"/>
      <c r="S463" s="6786"/>
      <c r="T463" s="6791"/>
      <c r="U463" s="6844"/>
      <c r="V463" s="6791"/>
      <c r="W463" s="8487"/>
      <c r="X463" s="6871"/>
      <c r="Y463" s="6793"/>
      <c r="Z463" s="6794"/>
      <c r="AA463" s="6795"/>
      <c r="AB463" s="6796"/>
      <c r="AC463" s="6797"/>
      <c r="AD463" s="6798"/>
      <c r="AE463" s="4" t="s">
        <v>1</v>
      </c>
      <c r="AF463" s="6202" t="str">
        <f t="shared" si="166"/>
        <v>►</v>
      </c>
      <c r="AG463" s="6234" t="str">
        <f t="shared" si="167"/>
        <v/>
      </c>
      <c r="AH463" s="6732" t="str">
        <f t="shared" si="168"/>
        <v/>
      </c>
      <c r="AI463" s="6234" t="str">
        <f t="shared" si="169"/>
        <v/>
      </c>
      <c r="AJ463" s="6732" t="str">
        <f t="shared" si="170"/>
        <v/>
      </c>
      <c r="AK463" s="6732">
        <f t="shared" si="171"/>
        <v>0</v>
      </c>
      <c r="AL463" s="6230" t="str" cm="1">
        <f t="array" ref="AL463">IF(AF463&lt;&gt;"A","",IFERROR((IFERROR(_xlfn.XLOOKUP(TRIM(SUBSTITUTE(U463,CHAR(160)," ")),$BJ$15:$BJ$62,$BM$15:$BM$62),IFERROR(_xlfn.XLOOKUP(TRIM(SUBSTITUTE(U463,CHAR(160)," ")),$BK$15:$BK$62,$BM$15:$BM$62),_xlfn.XLOOKUP(TRIM(SUBSTITUTE(U463,CHAR(160)," ")),$BL$15:$BL$62,$BM$15:$BM$62))))*T463*IF(ISBLANK(Q463),1,Q463)+IFERROR(_xlfn.XLOOKUP("RECHERCHEX",TRIM(L463:AD463),L463:AD463),0),0))</f>
        <v/>
      </c>
      <c r="AM463" s="6229">
        <f t="shared" si="172"/>
        <v>0</v>
      </c>
      <c r="AN463" s="6857" t="str">
        <f t="shared" si="187"/>
        <v/>
      </c>
      <c r="AO463" s="392">
        <f t="shared" si="173"/>
        <v>0</v>
      </c>
      <c r="AP463" s="392">
        <f t="shared" si="174"/>
        <v>0</v>
      </c>
      <c r="AQ463" s="6191">
        <f t="shared" si="175"/>
        <v>0</v>
      </c>
      <c r="AR463" s="6859" t="str">
        <f t="shared" si="176"/>
        <v/>
      </c>
      <c r="AS463" s="6217"/>
      <c r="AT463" s="6217"/>
      <c r="AU463" s="6272">
        <f t="shared" si="177"/>
        <v>0</v>
      </c>
      <c r="AV463" s="6240">
        <f t="shared" si="178"/>
        <v>0</v>
      </c>
      <c r="AW463" s="6189" cm="1">
        <f t="array" ref="AW463">IF(AK463&lt;&gt;1,0,IF(OR(AU463="",N(AU463)&lt;=0.000000001),"",IF(OR(AO463="",N(AO463)&lt;=0.000000001),0,IF(ISNUMBER(AU463),IFERROR(_xlfn.LET(_xlpm.ai_test,TRIM(AJ463),_xlpm.r,IFERROR(_xlfn.XLOOKUP(_xlpm.ai_test,$BJ$15:$BJ$62,ROW($BJ$15:$BJ$62),0,1),IFERROR(_xlfn.XLOOKUP(_xlpm.ai_test,$BK$15:$BK$62,ROW($BK$15:$BK$62),0,1),_xlfn.XLOOKUP(_xlpm.ai_test,$BL$15:$BL$62,ROW($BL$15:$BL$62),0,1))),_xlpm.p,_xlpm.r-MIN(ROW($BJ$15:$BJ$62))+1,_xlpm.f,INDEX($BM$15:$BM$62,_xlpm.p),_xlpm.u,INDEX($BN$15:$BN$62,_xlpm.p),_xlpm.s,INDEX($BP$15:$BP$62,_xlpm.p),_xlpm.q,N(AU463)/_xlpm.f,IF(_xlpm.q&gt;=_xlpm.s,ROUND(_xlpm.q,1)&amp;" "&amp;_xlpm.ai_test&amp;" = "&amp;ROUND(_xlpm.q*_xlpm.f,1)&amp;" "&amp;_xlpm.u,ROUND(_xlpm.q,1)&amp;" "&amp;_xlpm.ai_test)),""),""))))</f>
        <v>0</v>
      </c>
      <c r="AX463" s="6218"/>
      <c r="AY463" s="6272">
        <f t="shared" si="179"/>
        <v>0</v>
      </c>
      <c r="AZ463" s="6240" t="str">
        <f t="shared" si="180"/>
        <v/>
      </c>
      <c r="BA463" s="6195">
        <f t="shared" si="185"/>
        <v>0</v>
      </c>
      <c r="BB463" s="6193" t="str">
        <f t="shared" si="181"/>
        <v/>
      </c>
      <c r="BC463" s="6219"/>
      <c r="BD463" s="6222">
        <f t="shared" si="186"/>
        <v>0</v>
      </c>
      <c r="BE463" s="6220" t="str">
        <f t="shared" si="182"/>
        <v/>
      </c>
      <c r="BF463" s="4" t="s">
        <v>1</v>
      </c>
      <c r="BG463" s="6196">
        <f t="shared" si="183"/>
        <v>0</v>
      </c>
      <c r="BH463" s="6197">
        <f t="shared" si="184"/>
        <v>0</v>
      </c>
      <c r="BI463"/>
      <c r="BJ463" s="1"/>
      <c r="BK463" s="1"/>
      <c r="BL463" s="1"/>
      <c r="BM463" s="1"/>
      <c r="BN463" s="1"/>
      <c r="BO463" s="1"/>
      <c r="BP463" s="1"/>
      <c r="BQ463" s="1"/>
      <c r="BX463" s="20" t="str">
        <f t="shared" si="188"/>
        <v>►</v>
      </c>
      <c r="BY463" s="2"/>
      <c r="BZ463" s="2"/>
      <c r="CA463" s="2"/>
      <c r="CB463" s="2"/>
      <c r="CC463" s="2"/>
      <c r="DC463" s="5">
        <v>1</v>
      </c>
    </row>
    <row r="464" spans="12:107" ht="21" customHeight="1">
      <c r="L464" s="1021" t="s">
        <v>26</v>
      </c>
      <c r="M464" s="6787"/>
      <c r="N464" s="6787"/>
      <c r="O464" s="6787"/>
      <c r="P464" s="6788"/>
      <c r="Q464" s="6789"/>
      <c r="R464" s="6790"/>
      <c r="S464" s="6786"/>
      <c r="T464" s="6791"/>
      <c r="U464" s="6844"/>
      <c r="V464" s="6791"/>
      <c r="W464" s="8487"/>
      <c r="X464" s="6871"/>
      <c r="Y464" s="6793"/>
      <c r="Z464" s="6794"/>
      <c r="AA464" s="6795"/>
      <c r="AB464" s="6796"/>
      <c r="AC464" s="6797"/>
      <c r="AD464" s="6798"/>
      <c r="AE464" s="4" t="s">
        <v>1</v>
      </c>
      <c r="AF464" s="6202" t="str">
        <f t="shared" si="166"/>
        <v>►</v>
      </c>
      <c r="AG464" s="6234" t="str">
        <f t="shared" si="167"/>
        <v/>
      </c>
      <c r="AH464" s="6732" t="str">
        <f t="shared" si="168"/>
        <v/>
      </c>
      <c r="AI464" s="6234" t="str">
        <f t="shared" si="169"/>
        <v/>
      </c>
      <c r="AJ464" s="6732" t="str">
        <f t="shared" si="170"/>
        <v/>
      </c>
      <c r="AK464" s="6732">
        <f t="shared" si="171"/>
        <v>0</v>
      </c>
      <c r="AL464" s="6230" t="str" cm="1">
        <f t="array" ref="AL464">IF(AF464&lt;&gt;"A","",IFERROR((IFERROR(_xlfn.XLOOKUP(TRIM(SUBSTITUTE(U464,CHAR(160)," ")),$BJ$15:$BJ$62,$BM$15:$BM$62),IFERROR(_xlfn.XLOOKUP(TRIM(SUBSTITUTE(U464,CHAR(160)," ")),$BK$15:$BK$62,$BM$15:$BM$62),_xlfn.XLOOKUP(TRIM(SUBSTITUTE(U464,CHAR(160)," ")),$BL$15:$BL$62,$BM$15:$BM$62))))*T464*IF(ISBLANK(Q464),1,Q464)+IFERROR(_xlfn.XLOOKUP("RECHERCHEX",TRIM(L464:AD464),L464:AD464),0),0))</f>
        <v/>
      </c>
      <c r="AM464" s="6229">
        <f t="shared" si="172"/>
        <v>0</v>
      </c>
      <c r="AN464" s="6857" t="str">
        <f t="shared" si="187"/>
        <v/>
      </c>
      <c r="AO464" s="392">
        <f t="shared" si="173"/>
        <v>0</v>
      </c>
      <c r="AP464" s="392">
        <f t="shared" si="174"/>
        <v>0</v>
      </c>
      <c r="AQ464" s="6190">
        <f t="shared" si="175"/>
        <v>0</v>
      </c>
      <c r="AR464" s="6858" t="str">
        <f t="shared" si="176"/>
        <v/>
      </c>
      <c r="AS464" s="6217"/>
      <c r="AT464" s="6217"/>
      <c r="AU464" s="6271">
        <f t="shared" si="177"/>
        <v>0</v>
      </c>
      <c r="AV464" s="6242">
        <f t="shared" si="178"/>
        <v>0</v>
      </c>
      <c r="AW464" s="6188" cm="1">
        <f t="array" ref="AW464">IF(AK464&lt;&gt;1,0,IF(OR(AU464="",N(AU464)&lt;=0.000000001),"",IF(OR(AO464="",N(AO464)&lt;=0.000000001),0,IF(ISNUMBER(AU464),IFERROR(_xlfn.LET(_xlpm.ai_test,TRIM(AJ464),_xlpm.r,IFERROR(_xlfn.XLOOKUP(_xlpm.ai_test,$BJ$15:$BJ$62,ROW($BJ$15:$BJ$62),0,1),IFERROR(_xlfn.XLOOKUP(_xlpm.ai_test,$BK$15:$BK$62,ROW($BK$15:$BK$62),0,1),_xlfn.XLOOKUP(_xlpm.ai_test,$BL$15:$BL$62,ROW($BL$15:$BL$62),0,1))),_xlpm.p,_xlpm.r-MIN(ROW($BJ$15:$BJ$62))+1,_xlpm.f,INDEX($BM$15:$BM$62,_xlpm.p),_xlpm.u,INDEX($BN$15:$BN$62,_xlpm.p),_xlpm.s,INDEX($BP$15:$BP$62,_xlpm.p),_xlpm.q,N(AU464)/_xlpm.f,IF(_xlpm.q&gt;=_xlpm.s,ROUND(_xlpm.q,1)&amp;" "&amp;_xlpm.ai_test&amp;" = "&amp;ROUND(_xlpm.q*_xlpm.f,1)&amp;" "&amp;_xlpm.u,ROUND(_xlpm.q,1)&amp;" "&amp;_xlpm.ai_test)),""),""))))</f>
        <v>0</v>
      </c>
      <c r="AX464" s="6218"/>
      <c r="AY464" s="6271">
        <f t="shared" si="179"/>
        <v>0</v>
      </c>
      <c r="AZ464" s="6242" t="str">
        <f t="shared" si="180"/>
        <v/>
      </c>
      <c r="BA464" s="6194">
        <f t="shared" si="185"/>
        <v>0</v>
      </c>
      <c r="BB464" s="6192" t="str">
        <f t="shared" si="181"/>
        <v/>
      </c>
      <c r="BC464" s="6219"/>
      <c r="BD464" s="6221">
        <f t="shared" si="186"/>
        <v>0</v>
      </c>
      <c r="BE464" s="6220" t="str">
        <f t="shared" si="182"/>
        <v/>
      </c>
      <c r="BF464" s="4" t="s">
        <v>1</v>
      </c>
      <c r="BG464" s="6196">
        <f t="shared" si="183"/>
        <v>0</v>
      </c>
      <c r="BH464" s="6197">
        <f t="shared" si="184"/>
        <v>0</v>
      </c>
      <c r="BI464"/>
      <c r="BJ464" s="1"/>
      <c r="BK464" s="1"/>
      <c r="BL464" s="1"/>
      <c r="BM464" s="1"/>
      <c r="BN464" s="1"/>
      <c r="BO464" s="1"/>
      <c r="BP464" s="1"/>
      <c r="BQ464" s="1"/>
      <c r="BX464" s="20" t="str">
        <f t="shared" si="188"/>
        <v>►</v>
      </c>
      <c r="BY464" s="2"/>
      <c r="BZ464" s="2"/>
      <c r="CA464" s="2"/>
      <c r="CB464" s="2"/>
      <c r="CC464" s="2"/>
      <c r="DC464" s="5">
        <v>1</v>
      </c>
    </row>
    <row r="465" spans="12:107" ht="21" customHeight="1">
      <c r="L465" s="1021" t="s">
        <v>26</v>
      </c>
      <c r="M465" s="6787"/>
      <c r="N465" s="6787"/>
      <c r="O465" s="6787"/>
      <c r="P465" s="6788"/>
      <c r="Q465" s="6789"/>
      <c r="R465" s="6790"/>
      <c r="S465" s="6786"/>
      <c r="T465" s="6791"/>
      <c r="U465" s="6844"/>
      <c r="V465" s="6791"/>
      <c r="W465" s="8487"/>
      <c r="X465" s="6871"/>
      <c r="Y465" s="6793"/>
      <c r="Z465" s="6794"/>
      <c r="AA465" s="6795"/>
      <c r="AB465" s="6796"/>
      <c r="AC465" s="6797"/>
      <c r="AD465" s="6798"/>
      <c r="AE465" s="4" t="s">
        <v>1</v>
      </c>
      <c r="AF465" s="6202" t="str">
        <f t="shared" si="166"/>
        <v>►</v>
      </c>
      <c r="AG465" s="6234" t="str">
        <f t="shared" si="167"/>
        <v/>
      </c>
      <c r="AH465" s="6732" t="str">
        <f t="shared" si="168"/>
        <v/>
      </c>
      <c r="AI465" s="6234" t="str">
        <f t="shared" si="169"/>
        <v/>
      </c>
      <c r="AJ465" s="6732" t="str">
        <f t="shared" si="170"/>
        <v/>
      </c>
      <c r="AK465" s="6732">
        <f t="shared" si="171"/>
        <v>0</v>
      </c>
      <c r="AL465" s="6230" t="str" cm="1">
        <f t="array" ref="AL465">IF(AF465&lt;&gt;"A","",IFERROR((IFERROR(_xlfn.XLOOKUP(TRIM(SUBSTITUTE(U465,CHAR(160)," ")),$BJ$15:$BJ$62,$BM$15:$BM$62),IFERROR(_xlfn.XLOOKUP(TRIM(SUBSTITUTE(U465,CHAR(160)," ")),$BK$15:$BK$62,$BM$15:$BM$62),_xlfn.XLOOKUP(TRIM(SUBSTITUTE(U465,CHAR(160)," ")),$BL$15:$BL$62,$BM$15:$BM$62))))*T465*IF(ISBLANK(Q465),1,Q465)+IFERROR(_xlfn.XLOOKUP("RECHERCHEX",TRIM(L465:AD465),L465:AD465),0),0))</f>
        <v/>
      </c>
      <c r="AM465" s="6229">
        <f t="shared" si="172"/>
        <v>0</v>
      </c>
      <c r="AN465" s="6857" t="str">
        <f t="shared" si="187"/>
        <v/>
      </c>
      <c r="AO465" s="392">
        <f t="shared" si="173"/>
        <v>0</v>
      </c>
      <c r="AP465" s="392">
        <f t="shared" si="174"/>
        <v>0</v>
      </c>
      <c r="AQ465" s="6191">
        <f t="shared" si="175"/>
        <v>0</v>
      </c>
      <c r="AR465" s="6859" t="str">
        <f t="shared" si="176"/>
        <v/>
      </c>
      <c r="AS465" s="6217"/>
      <c r="AT465" s="6217"/>
      <c r="AU465" s="6272">
        <f t="shared" si="177"/>
        <v>0</v>
      </c>
      <c r="AV465" s="6240">
        <f t="shared" si="178"/>
        <v>0</v>
      </c>
      <c r="AW465" s="6189" cm="1">
        <f t="array" ref="AW465">IF(AK465&lt;&gt;1,0,IF(OR(AU465="",N(AU465)&lt;=0.000000001),"",IF(OR(AO465="",N(AO465)&lt;=0.000000001),0,IF(ISNUMBER(AU465),IFERROR(_xlfn.LET(_xlpm.ai_test,TRIM(AJ465),_xlpm.r,IFERROR(_xlfn.XLOOKUP(_xlpm.ai_test,$BJ$15:$BJ$62,ROW($BJ$15:$BJ$62),0,1),IFERROR(_xlfn.XLOOKUP(_xlpm.ai_test,$BK$15:$BK$62,ROW($BK$15:$BK$62),0,1),_xlfn.XLOOKUP(_xlpm.ai_test,$BL$15:$BL$62,ROW($BL$15:$BL$62),0,1))),_xlpm.p,_xlpm.r-MIN(ROW($BJ$15:$BJ$62))+1,_xlpm.f,INDEX($BM$15:$BM$62,_xlpm.p),_xlpm.u,INDEX($BN$15:$BN$62,_xlpm.p),_xlpm.s,INDEX($BP$15:$BP$62,_xlpm.p),_xlpm.q,N(AU465)/_xlpm.f,IF(_xlpm.q&gt;=_xlpm.s,ROUND(_xlpm.q,1)&amp;" "&amp;_xlpm.ai_test&amp;" = "&amp;ROUND(_xlpm.q*_xlpm.f,1)&amp;" "&amp;_xlpm.u,ROUND(_xlpm.q,1)&amp;" "&amp;_xlpm.ai_test)),""),""))))</f>
        <v>0</v>
      </c>
      <c r="AX465" s="6218"/>
      <c r="AY465" s="6272">
        <f t="shared" si="179"/>
        <v>0</v>
      </c>
      <c r="AZ465" s="6240" t="str">
        <f t="shared" si="180"/>
        <v/>
      </c>
      <c r="BA465" s="6195">
        <f t="shared" si="185"/>
        <v>0</v>
      </c>
      <c r="BB465" s="6193" t="str">
        <f t="shared" si="181"/>
        <v/>
      </c>
      <c r="BC465" s="6219"/>
      <c r="BD465" s="6222">
        <f t="shared" si="186"/>
        <v>0</v>
      </c>
      <c r="BE465" s="6220" t="str">
        <f t="shared" si="182"/>
        <v/>
      </c>
      <c r="BF465" s="4" t="s">
        <v>1</v>
      </c>
      <c r="BG465" s="6196">
        <f t="shared" si="183"/>
        <v>0</v>
      </c>
      <c r="BH465" s="6197">
        <f t="shared" si="184"/>
        <v>0</v>
      </c>
      <c r="BI465"/>
      <c r="BJ465" s="1"/>
      <c r="BK465" s="1"/>
      <c r="BL465" s="1"/>
      <c r="BM465" s="1"/>
      <c r="BN465" s="1"/>
      <c r="BO465" s="1"/>
      <c r="BP465" s="1"/>
      <c r="BQ465" s="1"/>
      <c r="BX465" s="20" t="str">
        <f t="shared" si="188"/>
        <v>►</v>
      </c>
      <c r="BY465" s="2"/>
      <c r="BZ465" s="2"/>
      <c r="CA465" s="2"/>
      <c r="CB465" s="2"/>
      <c r="CC465" s="2"/>
      <c r="DC465" s="5">
        <v>1</v>
      </c>
    </row>
    <row r="466" spans="12:107" ht="21" customHeight="1">
      <c r="L466" s="1021" t="s">
        <v>26</v>
      </c>
      <c r="M466" s="6787"/>
      <c r="N466" s="6787"/>
      <c r="O466" s="6787"/>
      <c r="P466" s="6788"/>
      <c r="Q466" s="6789"/>
      <c r="R466" s="6790"/>
      <c r="S466" s="6786"/>
      <c r="T466" s="6791"/>
      <c r="U466" s="6844"/>
      <c r="V466" s="6791"/>
      <c r="W466" s="8487"/>
      <c r="X466" s="6871"/>
      <c r="Y466" s="6793"/>
      <c r="Z466" s="6794"/>
      <c r="AA466" s="6795"/>
      <c r="AB466" s="6796"/>
      <c r="AC466" s="6797"/>
      <c r="AD466" s="6798"/>
      <c r="AE466" s="4" t="s">
        <v>1</v>
      </c>
      <c r="AF466" s="6202" t="str">
        <f t="shared" si="166"/>
        <v>►</v>
      </c>
      <c r="AG466" s="6234" t="str">
        <f t="shared" si="167"/>
        <v/>
      </c>
      <c r="AH466" s="6732" t="str">
        <f t="shared" si="168"/>
        <v/>
      </c>
      <c r="AI466" s="6234" t="str">
        <f t="shared" si="169"/>
        <v/>
      </c>
      <c r="AJ466" s="6732" t="str">
        <f t="shared" si="170"/>
        <v/>
      </c>
      <c r="AK466" s="6732">
        <f t="shared" si="171"/>
        <v>0</v>
      </c>
      <c r="AL466" s="6230" t="str" cm="1">
        <f t="array" ref="AL466">IF(AF466&lt;&gt;"A","",IFERROR((IFERROR(_xlfn.XLOOKUP(TRIM(SUBSTITUTE(U466,CHAR(160)," ")),$BJ$15:$BJ$62,$BM$15:$BM$62),IFERROR(_xlfn.XLOOKUP(TRIM(SUBSTITUTE(U466,CHAR(160)," ")),$BK$15:$BK$62,$BM$15:$BM$62),_xlfn.XLOOKUP(TRIM(SUBSTITUTE(U466,CHAR(160)," ")),$BL$15:$BL$62,$BM$15:$BM$62))))*T466*IF(ISBLANK(Q466),1,Q466)+IFERROR(_xlfn.XLOOKUP("RECHERCHEX",TRIM(L466:AD466),L466:AD466),0),0))</f>
        <v/>
      </c>
      <c r="AM466" s="6229">
        <f t="shared" si="172"/>
        <v>0</v>
      </c>
      <c r="AN466" s="6857" t="str">
        <f t="shared" si="187"/>
        <v/>
      </c>
      <c r="AO466" s="392">
        <f t="shared" si="173"/>
        <v>0</v>
      </c>
      <c r="AP466" s="392">
        <f t="shared" si="174"/>
        <v>0</v>
      </c>
      <c r="AQ466" s="6190">
        <f t="shared" si="175"/>
        <v>0</v>
      </c>
      <c r="AR466" s="6858" t="str">
        <f t="shared" si="176"/>
        <v/>
      </c>
      <c r="AS466" s="6217"/>
      <c r="AT466" s="6217"/>
      <c r="AU466" s="6271">
        <f t="shared" si="177"/>
        <v>0</v>
      </c>
      <c r="AV466" s="6242">
        <f t="shared" si="178"/>
        <v>0</v>
      </c>
      <c r="AW466" s="6188" cm="1">
        <f t="array" ref="AW466">IF(AK466&lt;&gt;1,0,IF(OR(AU466="",N(AU466)&lt;=0.000000001),"",IF(OR(AO466="",N(AO466)&lt;=0.000000001),0,IF(ISNUMBER(AU466),IFERROR(_xlfn.LET(_xlpm.ai_test,TRIM(AJ466),_xlpm.r,IFERROR(_xlfn.XLOOKUP(_xlpm.ai_test,$BJ$15:$BJ$62,ROW($BJ$15:$BJ$62),0,1),IFERROR(_xlfn.XLOOKUP(_xlpm.ai_test,$BK$15:$BK$62,ROW($BK$15:$BK$62),0,1),_xlfn.XLOOKUP(_xlpm.ai_test,$BL$15:$BL$62,ROW($BL$15:$BL$62),0,1))),_xlpm.p,_xlpm.r-MIN(ROW($BJ$15:$BJ$62))+1,_xlpm.f,INDEX($BM$15:$BM$62,_xlpm.p),_xlpm.u,INDEX($BN$15:$BN$62,_xlpm.p),_xlpm.s,INDEX($BP$15:$BP$62,_xlpm.p),_xlpm.q,N(AU466)/_xlpm.f,IF(_xlpm.q&gt;=_xlpm.s,ROUND(_xlpm.q,1)&amp;" "&amp;_xlpm.ai_test&amp;" = "&amp;ROUND(_xlpm.q*_xlpm.f,1)&amp;" "&amp;_xlpm.u,ROUND(_xlpm.q,1)&amp;" "&amp;_xlpm.ai_test)),""),""))))</f>
        <v>0</v>
      </c>
      <c r="AX466" s="6218"/>
      <c r="AY466" s="6271">
        <f t="shared" si="179"/>
        <v>0</v>
      </c>
      <c r="AZ466" s="6242" t="str">
        <f t="shared" si="180"/>
        <v/>
      </c>
      <c r="BA466" s="6194">
        <f t="shared" si="185"/>
        <v>0</v>
      </c>
      <c r="BB466" s="6192" t="str">
        <f t="shared" si="181"/>
        <v/>
      </c>
      <c r="BC466" s="6219"/>
      <c r="BD466" s="6221">
        <f t="shared" si="186"/>
        <v>0</v>
      </c>
      <c r="BE466" s="6220" t="str">
        <f t="shared" si="182"/>
        <v/>
      </c>
      <c r="BF466" s="4" t="s">
        <v>1</v>
      </c>
      <c r="BG466" s="6196">
        <f t="shared" si="183"/>
        <v>0</v>
      </c>
      <c r="BH466" s="6197">
        <f t="shared" si="184"/>
        <v>0</v>
      </c>
      <c r="BI466"/>
      <c r="BJ466" s="1"/>
      <c r="BK466" s="1"/>
      <c r="BL466" s="1"/>
      <c r="BM466" s="1"/>
      <c r="BN466" s="1"/>
      <c r="BO466" s="1"/>
      <c r="BP466" s="1"/>
      <c r="BQ466" s="1"/>
      <c r="BX466" s="20" t="str">
        <f t="shared" si="188"/>
        <v>►</v>
      </c>
      <c r="BY466" s="2"/>
      <c r="BZ466" s="2"/>
      <c r="CA466" s="2"/>
      <c r="CB466" s="2"/>
      <c r="CC466" s="2"/>
      <c r="DC466" s="5">
        <v>1</v>
      </c>
    </row>
    <row r="467" spans="12:107" ht="21" customHeight="1">
      <c r="L467" s="1021" t="s">
        <v>26</v>
      </c>
      <c r="M467" s="6787"/>
      <c r="N467" s="6787"/>
      <c r="O467" s="6787"/>
      <c r="P467" s="6788"/>
      <c r="Q467" s="6789"/>
      <c r="R467" s="6790"/>
      <c r="S467" s="6786"/>
      <c r="T467" s="6791"/>
      <c r="U467" s="6844"/>
      <c r="V467" s="6791"/>
      <c r="W467" s="8487"/>
      <c r="X467" s="6871"/>
      <c r="Y467" s="6793"/>
      <c r="Z467" s="6794"/>
      <c r="AA467" s="6795"/>
      <c r="AB467" s="6796"/>
      <c r="AC467" s="6797"/>
      <c r="AD467" s="6798"/>
      <c r="AE467" s="4" t="s">
        <v>1</v>
      </c>
      <c r="AF467" s="6202" t="str">
        <f t="shared" si="166"/>
        <v>►</v>
      </c>
      <c r="AG467" s="6234" t="str">
        <f t="shared" si="167"/>
        <v/>
      </c>
      <c r="AH467" s="6732" t="str">
        <f t="shared" si="168"/>
        <v/>
      </c>
      <c r="AI467" s="6234" t="str">
        <f t="shared" si="169"/>
        <v/>
      </c>
      <c r="AJ467" s="6732" t="str">
        <f t="shared" si="170"/>
        <v/>
      </c>
      <c r="AK467" s="6732">
        <f t="shared" si="171"/>
        <v>0</v>
      </c>
      <c r="AL467" s="6230" t="str" cm="1">
        <f t="array" ref="AL467">IF(AF467&lt;&gt;"A","",IFERROR((IFERROR(_xlfn.XLOOKUP(TRIM(SUBSTITUTE(U467,CHAR(160)," ")),$BJ$15:$BJ$62,$BM$15:$BM$62),IFERROR(_xlfn.XLOOKUP(TRIM(SUBSTITUTE(U467,CHAR(160)," ")),$BK$15:$BK$62,$BM$15:$BM$62),_xlfn.XLOOKUP(TRIM(SUBSTITUTE(U467,CHAR(160)," ")),$BL$15:$BL$62,$BM$15:$BM$62))))*T467*IF(ISBLANK(Q467),1,Q467)+IFERROR(_xlfn.XLOOKUP("RECHERCHEX",TRIM(L467:AD467),L467:AD467),0),0))</f>
        <v/>
      </c>
      <c r="AM467" s="6229">
        <f t="shared" si="172"/>
        <v>0</v>
      </c>
      <c r="AN467" s="6857" t="str">
        <f t="shared" si="187"/>
        <v/>
      </c>
      <c r="AO467" s="392">
        <f t="shared" si="173"/>
        <v>0</v>
      </c>
      <c r="AP467" s="392">
        <f t="shared" si="174"/>
        <v>0</v>
      </c>
      <c r="AQ467" s="6191">
        <f t="shared" si="175"/>
        <v>0</v>
      </c>
      <c r="AR467" s="6859" t="str">
        <f t="shared" si="176"/>
        <v/>
      </c>
      <c r="AS467" s="6217"/>
      <c r="AT467" s="6217"/>
      <c r="AU467" s="6272">
        <f t="shared" si="177"/>
        <v>0</v>
      </c>
      <c r="AV467" s="6240">
        <f t="shared" si="178"/>
        <v>0</v>
      </c>
      <c r="AW467" s="6189" cm="1">
        <f t="array" ref="AW467">IF(AK467&lt;&gt;1,0,IF(OR(AU467="",N(AU467)&lt;=0.000000001),"",IF(OR(AO467="",N(AO467)&lt;=0.000000001),0,IF(ISNUMBER(AU467),IFERROR(_xlfn.LET(_xlpm.ai_test,TRIM(AJ467),_xlpm.r,IFERROR(_xlfn.XLOOKUP(_xlpm.ai_test,$BJ$15:$BJ$62,ROW($BJ$15:$BJ$62),0,1),IFERROR(_xlfn.XLOOKUP(_xlpm.ai_test,$BK$15:$BK$62,ROW($BK$15:$BK$62),0,1),_xlfn.XLOOKUP(_xlpm.ai_test,$BL$15:$BL$62,ROW($BL$15:$BL$62),0,1))),_xlpm.p,_xlpm.r-MIN(ROW($BJ$15:$BJ$62))+1,_xlpm.f,INDEX($BM$15:$BM$62,_xlpm.p),_xlpm.u,INDEX($BN$15:$BN$62,_xlpm.p),_xlpm.s,INDEX($BP$15:$BP$62,_xlpm.p),_xlpm.q,N(AU467)/_xlpm.f,IF(_xlpm.q&gt;=_xlpm.s,ROUND(_xlpm.q,1)&amp;" "&amp;_xlpm.ai_test&amp;" = "&amp;ROUND(_xlpm.q*_xlpm.f,1)&amp;" "&amp;_xlpm.u,ROUND(_xlpm.q,1)&amp;" "&amp;_xlpm.ai_test)),""),""))))</f>
        <v>0</v>
      </c>
      <c r="AX467" s="6218"/>
      <c r="AY467" s="6272">
        <f t="shared" si="179"/>
        <v>0</v>
      </c>
      <c r="AZ467" s="6240" t="str">
        <f t="shared" si="180"/>
        <v/>
      </c>
      <c r="BA467" s="6195">
        <f t="shared" si="185"/>
        <v>0</v>
      </c>
      <c r="BB467" s="6193" t="str">
        <f t="shared" si="181"/>
        <v/>
      </c>
      <c r="BC467" s="6219"/>
      <c r="BD467" s="6222">
        <f t="shared" si="186"/>
        <v>0</v>
      </c>
      <c r="BE467" s="6220" t="str">
        <f t="shared" si="182"/>
        <v/>
      </c>
      <c r="BF467" s="4" t="s">
        <v>1</v>
      </c>
      <c r="BG467" s="6196">
        <f t="shared" si="183"/>
        <v>0</v>
      </c>
      <c r="BH467" s="6197">
        <f t="shared" si="184"/>
        <v>0</v>
      </c>
      <c r="BI467"/>
      <c r="BJ467" s="1"/>
      <c r="BK467" s="1"/>
      <c r="BL467" s="1"/>
      <c r="BM467" s="1"/>
      <c r="BN467" s="1"/>
      <c r="BO467" s="1"/>
      <c r="BP467" s="1"/>
      <c r="BQ467" s="1"/>
      <c r="BX467" s="20" t="str">
        <f t="shared" si="188"/>
        <v>►</v>
      </c>
      <c r="BY467" s="2"/>
      <c r="BZ467" s="2"/>
      <c r="CA467" s="2"/>
      <c r="CB467" s="2"/>
      <c r="CC467" s="2"/>
      <c r="DC467" s="5">
        <v>1</v>
      </c>
    </row>
    <row r="468" spans="12:107" ht="21" customHeight="1">
      <c r="L468" s="1021" t="s">
        <v>26</v>
      </c>
      <c r="M468" s="6787"/>
      <c r="N468" s="6787"/>
      <c r="O468" s="6787"/>
      <c r="P468" s="6788"/>
      <c r="Q468" s="6789"/>
      <c r="R468" s="6790"/>
      <c r="S468" s="6786"/>
      <c r="T468" s="6791"/>
      <c r="U468" s="6844"/>
      <c r="V468" s="6791"/>
      <c r="W468" s="8487"/>
      <c r="X468" s="6871"/>
      <c r="Y468" s="6793"/>
      <c r="Z468" s="6794"/>
      <c r="AA468" s="6795"/>
      <c r="AB468" s="6796"/>
      <c r="AC468" s="6797"/>
      <c r="AD468" s="6798"/>
      <c r="AE468" s="4" t="s">
        <v>1</v>
      </c>
      <c r="AF468" s="6202" t="str">
        <f t="shared" si="166"/>
        <v>►</v>
      </c>
      <c r="AG468" s="6234" t="str">
        <f t="shared" si="167"/>
        <v/>
      </c>
      <c r="AH468" s="6732" t="str">
        <f t="shared" si="168"/>
        <v/>
      </c>
      <c r="AI468" s="6234" t="str">
        <f t="shared" si="169"/>
        <v/>
      </c>
      <c r="AJ468" s="6732" t="str">
        <f t="shared" si="170"/>
        <v/>
      </c>
      <c r="AK468" s="6732">
        <f t="shared" si="171"/>
        <v>0</v>
      </c>
      <c r="AL468" s="6230" t="str" cm="1">
        <f t="array" ref="AL468">IF(AF468&lt;&gt;"A","",IFERROR((IFERROR(_xlfn.XLOOKUP(TRIM(SUBSTITUTE(U468,CHAR(160)," ")),$BJ$15:$BJ$62,$BM$15:$BM$62),IFERROR(_xlfn.XLOOKUP(TRIM(SUBSTITUTE(U468,CHAR(160)," ")),$BK$15:$BK$62,$BM$15:$BM$62),_xlfn.XLOOKUP(TRIM(SUBSTITUTE(U468,CHAR(160)," ")),$BL$15:$BL$62,$BM$15:$BM$62))))*T468*IF(ISBLANK(Q468),1,Q468)+IFERROR(_xlfn.XLOOKUP("RECHERCHEX",TRIM(L468:AD468),L468:AD468),0),0))</f>
        <v/>
      </c>
      <c r="AM468" s="6229">
        <f t="shared" si="172"/>
        <v>0</v>
      </c>
      <c r="AN468" s="6857" t="str">
        <f t="shared" si="187"/>
        <v/>
      </c>
      <c r="AO468" s="392">
        <f t="shared" si="173"/>
        <v>0</v>
      </c>
      <c r="AP468" s="392">
        <f t="shared" si="174"/>
        <v>0</v>
      </c>
      <c r="AQ468" s="6190">
        <f t="shared" si="175"/>
        <v>0</v>
      </c>
      <c r="AR468" s="6858" t="str">
        <f t="shared" si="176"/>
        <v/>
      </c>
      <c r="AS468" s="6217"/>
      <c r="AT468" s="6217"/>
      <c r="AU468" s="6271">
        <f t="shared" si="177"/>
        <v>0</v>
      </c>
      <c r="AV468" s="6242">
        <f t="shared" si="178"/>
        <v>0</v>
      </c>
      <c r="AW468" s="6188" cm="1">
        <f t="array" ref="AW468">IF(AK468&lt;&gt;1,0,IF(OR(AU468="",N(AU468)&lt;=0.000000001),"",IF(OR(AO468="",N(AO468)&lt;=0.000000001),0,IF(ISNUMBER(AU468),IFERROR(_xlfn.LET(_xlpm.ai_test,TRIM(AJ468),_xlpm.r,IFERROR(_xlfn.XLOOKUP(_xlpm.ai_test,$BJ$15:$BJ$62,ROW($BJ$15:$BJ$62),0,1),IFERROR(_xlfn.XLOOKUP(_xlpm.ai_test,$BK$15:$BK$62,ROW($BK$15:$BK$62),0,1),_xlfn.XLOOKUP(_xlpm.ai_test,$BL$15:$BL$62,ROW($BL$15:$BL$62),0,1))),_xlpm.p,_xlpm.r-MIN(ROW($BJ$15:$BJ$62))+1,_xlpm.f,INDEX($BM$15:$BM$62,_xlpm.p),_xlpm.u,INDEX($BN$15:$BN$62,_xlpm.p),_xlpm.s,INDEX($BP$15:$BP$62,_xlpm.p),_xlpm.q,N(AU468)/_xlpm.f,IF(_xlpm.q&gt;=_xlpm.s,ROUND(_xlpm.q,1)&amp;" "&amp;_xlpm.ai_test&amp;" = "&amp;ROUND(_xlpm.q*_xlpm.f,1)&amp;" "&amp;_xlpm.u,ROUND(_xlpm.q,1)&amp;" "&amp;_xlpm.ai_test)),""),""))))</f>
        <v>0</v>
      </c>
      <c r="AX468" s="6218"/>
      <c r="AY468" s="6271">
        <f t="shared" si="179"/>
        <v>0</v>
      </c>
      <c r="AZ468" s="6242" t="str">
        <f t="shared" si="180"/>
        <v/>
      </c>
      <c r="BA468" s="6194">
        <f t="shared" si="185"/>
        <v>0</v>
      </c>
      <c r="BB468" s="6192" t="str">
        <f t="shared" si="181"/>
        <v/>
      </c>
      <c r="BC468" s="6219"/>
      <c r="BD468" s="6221">
        <f t="shared" si="186"/>
        <v>0</v>
      </c>
      <c r="BE468" s="6220" t="str">
        <f t="shared" si="182"/>
        <v/>
      </c>
      <c r="BF468" s="4" t="s">
        <v>1</v>
      </c>
      <c r="BG468" s="6196">
        <f t="shared" si="183"/>
        <v>0</v>
      </c>
      <c r="BH468" s="6197">
        <f t="shared" si="184"/>
        <v>0</v>
      </c>
      <c r="BI468"/>
      <c r="BJ468" s="1"/>
      <c r="BK468" s="1"/>
      <c r="BL468" s="1"/>
      <c r="BM468" s="1"/>
      <c r="BN468" s="1"/>
      <c r="BO468" s="1"/>
      <c r="BP468" s="1"/>
      <c r="BQ468" s="1"/>
      <c r="BX468" s="20" t="str">
        <f t="shared" si="188"/>
        <v>►</v>
      </c>
      <c r="BY468" s="2"/>
      <c r="BZ468" s="2"/>
      <c r="CA468" s="2"/>
      <c r="CB468" s="2"/>
      <c r="CC468" s="2"/>
      <c r="DC468" s="5">
        <v>1</v>
      </c>
    </row>
    <row r="469" spans="12:107" ht="21" customHeight="1">
      <c r="L469" s="1021" t="s">
        <v>26</v>
      </c>
      <c r="M469" s="6787"/>
      <c r="N469" s="6787"/>
      <c r="O469" s="6787"/>
      <c r="P469" s="6788"/>
      <c r="Q469" s="6789"/>
      <c r="R469" s="6790"/>
      <c r="S469" s="6786"/>
      <c r="T469" s="6791"/>
      <c r="U469" s="6844"/>
      <c r="V469" s="6791"/>
      <c r="W469" s="8487"/>
      <c r="X469" s="6871"/>
      <c r="Y469" s="6793"/>
      <c r="Z469" s="6794"/>
      <c r="AA469" s="6795"/>
      <c r="AB469" s="6796"/>
      <c r="AC469" s="6797"/>
      <c r="AD469" s="6798"/>
      <c r="AE469" s="4" t="s">
        <v>1</v>
      </c>
      <c r="AF469" s="6202" t="str">
        <f t="shared" si="166"/>
        <v>►</v>
      </c>
      <c r="AG469" s="6234" t="str">
        <f t="shared" si="167"/>
        <v/>
      </c>
      <c r="AH469" s="6732" t="str">
        <f t="shared" si="168"/>
        <v/>
      </c>
      <c r="AI469" s="6234" t="str">
        <f t="shared" si="169"/>
        <v/>
      </c>
      <c r="AJ469" s="6732" t="str">
        <f t="shared" si="170"/>
        <v/>
      </c>
      <c r="AK469" s="6732">
        <f t="shared" si="171"/>
        <v>0</v>
      </c>
      <c r="AL469" s="6230" t="str" cm="1">
        <f t="array" ref="AL469">IF(AF469&lt;&gt;"A","",IFERROR((IFERROR(_xlfn.XLOOKUP(TRIM(SUBSTITUTE(U469,CHAR(160)," ")),$BJ$15:$BJ$62,$BM$15:$BM$62),IFERROR(_xlfn.XLOOKUP(TRIM(SUBSTITUTE(U469,CHAR(160)," ")),$BK$15:$BK$62,$BM$15:$BM$62),_xlfn.XLOOKUP(TRIM(SUBSTITUTE(U469,CHAR(160)," ")),$BL$15:$BL$62,$BM$15:$BM$62))))*T469*IF(ISBLANK(Q469),1,Q469)+IFERROR(_xlfn.XLOOKUP("RECHERCHEX",TRIM(L469:AD469),L469:AD469),0),0))</f>
        <v/>
      </c>
      <c r="AM469" s="6229">
        <f t="shared" si="172"/>
        <v>0</v>
      </c>
      <c r="AN469" s="6857" t="str">
        <f t="shared" si="187"/>
        <v/>
      </c>
      <c r="AO469" s="392">
        <f t="shared" si="173"/>
        <v>0</v>
      </c>
      <c r="AP469" s="392">
        <f t="shared" si="174"/>
        <v>0</v>
      </c>
      <c r="AQ469" s="6191">
        <f t="shared" si="175"/>
        <v>0</v>
      </c>
      <c r="AR469" s="6859" t="str">
        <f t="shared" si="176"/>
        <v/>
      </c>
      <c r="AS469" s="6217"/>
      <c r="AT469" s="6217"/>
      <c r="AU469" s="6272">
        <f t="shared" si="177"/>
        <v>0</v>
      </c>
      <c r="AV469" s="6240">
        <f t="shared" si="178"/>
        <v>0</v>
      </c>
      <c r="AW469" s="6189" cm="1">
        <f t="array" ref="AW469">IF(AK469&lt;&gt;1,0,IF(OR(AU469="",N(AU469)&lt;=0.000000001),"",IF(OR(AO469="",N(AO469)&lt;=0.000000001),0,IF(ISNUMBER(AU469),IFERROR(_xlfn.LET(_xlpm.ai_test,TRIM(AJ469),_xlpm.r,IFERROR(_xlfn.XLOOKUP(_xlpm.ai_test,$BJ$15:$BJ$62,ROW($BJ$15:$BJ$62),0,1),IFERROR(_xlfn.XLOOKUP(_xlpm.ai_test,$BK$15:$BK$62,ROW($BK$15:$BK$62),0,1),_xlfn.XLOOKUP(_xlpm.ai_test,$BL$15:$BL$62,ROW($BL$15:$BL$62),0,1))),_xlpm.p,_xlpm.r-MIN(ROW($BJ$15:$BJ$62))+1,_xlpm.f,INDEX($BM$15:$BM$62,_xlpm.p),_xlpm.u,INDEX($BN$15:$BN$62,_xlpm.p),_xlpm.s,INDEX($BP$15:$BP$62,_xlpm.p),_xlpm.q,N(AU469)/_xlpm.f,IF(_xlpm.q&gt;=_xlpm.s,ROUND(_xlpm.q,1)&amp;" "&amp;_xlpm.ai_test&amp;" = "&amp;ROUND(_xlpm.q*_xlpm.f,1)&amp;" "&amp;_xlpm.u,ROUND(_xlpm.q,1)&amp;" "&amp;_xlpm.ai_test)),""),""))))</f>
        <v>0</v>
      </c>
      <c r="AX469" s="6218"/>
      <c r="AY469" s="6272">
        <f t="shared" si="179"/>
        <v>0</v>
      </c>
      <c r="AZ469" s="6240" t="str">
        <f t="shared" si="180"/>
        <v/>
      </c>
      <c r="BA469" s="6195">
        <f t="shared" si="185"/>
        <v>0</v>
      </c>
      <c r="BB469" s="6193" t="str">
        <f t="shared" si="181"/>
        <v/>
      </c>
      <c r="BC469" s="6219"/>
      <c r="BD469" s="6222">
        <f t="shared" si="186"/>
        <v>0</v>
      </c>
      <c r="BE469" s="6220" t="str">
        <f t="shared" si="182"/>
        <v/>
      </c>
      <c r="BF469" s="4" t="s">
        <v>1</v>
      </c>
      <c r="BG469" s="6196">
        <f t="shared" si="183"/>
        <v>0</v>
      </c>
      <c r="BH469" s="6197">
        <f t="shared" si="184"/>
        <v>0</v>
      </c>
      <c r="BI469"/>
      <c r="BJ469" s="1"/>
      <c r="BK469" s="1"/>
      <c r="BL469" s="1"/>
      <c r="BM469" s="1"/>
      <c r="BN469" s="1"/>
      <c r="BO469" s="1"/>
      <c r="BP469" s="1"/>
      <c r="BQ469" s="1"/>
      <c r="BX469" s="20" t="str">
        <f t="shared" si="188"/>
        <v>►</v>
      </c>
      <c r="BY469" s="2"/>
      <c r="BZ469" s="2"/>
      <c r="CA469" s="2"/>
      <c r="CB469" s="2"/>
      <c r="CC469" s="2"/>
      <c r="DC469" s="5">
        <v>1</v>
      </c>
    </row>
    <row r="470" spans="12:107" ht="21" customHeight="1">
      <c r="L470" s="1021" t="s">
        <v>26</v>
      </c>
      <c r="M470" s="6787"/>
      <c r="N470" s="6787"/>
      <c r="O470" s="6787"/>
      <c r="P470" s="6788"/>
      <c r="Q470" s="6789"/>
      <c r="R470" s="6790"/>
      <c r="S470" s="6786"/>
      <c r="T470" s="6791"/>
      <c r="U470" s="6844"/>
      <c r="V470" s="6791"/>
      <c r="W470" s="8487"/>
      <c r="X470" s="6871"/>
      <c r="Y470" s="6793"/>
      <c r="Z470" s="6794"/>
      <c r="AA470" s="6795"/>
      <c r="AB470" s="6796"/>
      <c r="AC470" s="6797"/>
      <c r="AD470" s="6798"/>
      <c r="AE470" s="4" t="s">
        <v>1</v>
      </c>
      <c r="AF470" s="6202" t="str">
        <f t="shared" ref="AF470:AF533" si="189">IF(OR(AO470&gt;0,TRIM(AG470)="▼ recette suivante"),"A","►")</f>
        <v>►</v>
      </c>
      <c r="AG470" s="6234" t="str">
        <f t="shared" ref="AG470:AG533" si="190">IF(TRIM(Q470)="Adresse PC","▼ recette suivante",IF(AO470&gt;0,M470,""))</f>
        <v/>
      </c>
      <c r="AH470" s="6732" t="str">
        <f t="shared" ref="AH470:AH533" si="191">IF(AF470="A",N470,"")</f>
        <v/>
      </c>
      <c r="AI470" s="6234" t="str">
        <f t="shared" ref="AI470:AI533" si="192">IF(AF470="A",O470,"")</f>
        <v/>
      </c>
      <c r="AJ470" s="6732" t="str">
        <f t="shared" ref="AJ470:AJ533" si="193">IF(AF470="A",U470,"")</f>
        <v/>
      </c>
      <c r="AK470" s="6732">
        <f t="shared" ref="AK470:AK533" si="194">IF(AND(L470="A",COUNTIF($BJ$15:$BL$62,TRIM(U470))&gt;0),1,0)</f>
        <v>0</v>
      </c>
      <c r="AL470" s="6230" t="str" cm="1">
        <f t="array" ref="AL470">IF(AF470&lt;&gt;"A","",IFERROR((IFERROR(_xlfn.XLOOKUP(TRIM(SUBSTITUTE(U470,CHAR(160)," ")),$BJ$15:$BJ$62,$BM$15:$BM$62),IFERROR(_xlfn.XLOOKUP(TRIM(SUBSTITUTE(U470,CHAR(160)," ")),$BK$15:$BK$62,$BM$15:$BM$62),_xlfn.XLOOKUP(TRIM(SUBSTITUTE(U470,CHAR(160)," ")),$BL$15:$BL$62,$BM$15:$BM$62))))*T470*IF(ISBLANK(Q470),1,Q470)+IFERROR(_xlfn.XLOOKUP("RECHERCHEX",TRIM(L470:AD470),L470:AD470),0),0))</f>
        <v/>
      </c>
      <c r="AM470" s="6229">
        <f t="shared" ref="AM470:AM533" si="195">IF(AK470,IF(AL470&gt;0,"Kg",0),0)</f>
        <v>0</v>
      </c>
      <c r="AN470" s="6857" t="str">
        <f t="shared" si="187"/>
        <v/>
      </c>
      <c r="AO470" s="392">
        <f t="shared" ref="AO470:AO533" si="196">IF(AK470,N470,0)</f>
        <v>0</v>
      </c>
      <c r="AP470" s="392">
        <f t="shared" ref="AP470:AP533" si="197">IF(AK470,O470,0)</f>
        <v>0</v>
      </c>
      <c r="AQ470" s="6190">
        <f t="shared" ref="AQ470:AQ533" si="198">IF(AO470&gt;0,AS$9,0)</f>
        <v>0</v>
      </c>
      <c r="AR470" s="6858" t="str">
        <f t="shared" ref="AR470:AR533" si="199">IF(TRIM(AG470)="▼ recette suivante", AG470, IF(AQ470&gt;0, IF(AT$9&lt;&gt;"", AT$9&amp;"-ou.or.o ❾ + or - &gt;", ""), ""))</f>
        <v/>
      </c>
      <c r="AS470" s="6217"/>
      <c r="AT470" s="6217"/>
      <c r="AU470" s="6271">
        <f t="shared" ref="AU470:AU533" si="200">IF(TRIM(AM470)="Kg",N(AL470)*N(BH470),0)</f>
        <v>0</v>
      </c>
      <c r="AV470" s="6242">
        <f t="shared" ref="AV470:AV533" si="201">IF(AK470,IF(OR(AU470="",N(AU470)&lt;=0.000000001),"",_xlfn.XLOOKUP(AJ470,$BJ$15:$BJ$62,$BN$15:$BN$62,_xlfn.XLOOKUP(AJ470,$BK$15:$BK$62,$BN$15:$BN$62,_xlfn.XLOOKUP(AJ470,$BL$15:$BL$62,$BN$15:$BN$62,"")))),0)</f>
        <v>0</v>
      </c>
      <c r="AW470" s="6188" cm="1">
        <f t="array" ref="AW470">IF(AK470&lt;&gt;1,0,IF(OR(AU470="",N(AU470)&lt;=0.000000001),"",IF(OR(AO470="",N(AO470)&lt;=0.000000001),0,IF(ISNUMBER(AU470),IFERROR(_xlfn.LET(_xlpm.ai_test,TRIM(AJ470),_xlpm.r,IFERROR(_xlfn.XLOOKUP(_xlpm.ai_test,$BJ$15:$BJ$62,ROW($BJ$15:$BJ$62),0,1),IFERROR(_xlfn.XLOOKUP(_xlpm.ai_test,$BK$15:$BK$62,ROW($BK$15:$BK$62),0,1),_xlfn.XLOOKUP(_xlpm.ai_test,$BL$15:$BL$62,ROW($BL$15:$BL$62),0,1))),_xlpm.p,_xlpm.r-MIN(ROW($BJ$15:$BJ$62))+1,_xlpm.f,INDEX($BM$15:$BM$62,_xlpm.p),_xlpm.u,INDEX($BN$15:$BN$62,_xlpm.p),_xlpm.s,INDEX($BP$15:$BP$62,_xlpm.p),_xlpm.q,N(AU470)/_xlpm.f,IF(_xlpm.q&gt;=_xlpm.s,ROUND(_xlpm.q,1)&amp;" "&amp;_xlpm.ai_test&amp;" = "&amp;ROUND(_xlpm.q*_xlpm.f,1)&amp;" "&amp;_xlpm.u,ROUND(_xlpm.q,1)&amp;" "&amp;_xlpm.ai_test)),""),""))))</f>
        <v>0</v>
      </c>
      <c r="AX470" s="6218"/>
      <c r="AY470" s="6271">
        <f t="shared" ref="AY470:AY533" si="202">IF(TRIM(AG470)="▼ recette suivante","▼next recipe ",IF(AU470="","",IF(ISBLANK(AX470),AU470,ROUND(AU470*(1-MIN(1,MAX(0,IF(AX470&gt;1,AX470/100,AX470)))),3))))</f>
        <v>0</v>
      </c>
      <c r="AZ470" s="6242" t="str">
        <f t="shared" ref="AZ470:AZ533" si="203">IF(AK470,AV470,"")</f>
        <v/>
      </c>
      <c r="BA470" s="6194">
        <f t="shared" si="185"/>
        <v>0</v>
      </c>
      <c r="BB470" s="6192" t="str">
        <f t="shared" ref="BB470:BB533" si="204">IF(AK470,IF(N(BA470)&gt;0.000000001,R470,""),"")</f>
        <v/>
      </c>
      <c r="BC470" s="6219"/>
      <c r="BD470" s="6221">
        <f t="shared" si="186"/>
        <v>0</v>
      </c>
      <c r="BE470" s="6220" t="str">
        <f t="shared" ref="BE470:BE533" si="205">IF(IFERROR(SEARCH("Adresse PC",TRIM(Q470)),0)&gt;0,"▼ receta siguiente",IF(AY470&gt;0,W470,""))</f>
        <v/>
      </c>
      <c r="BF470" s="4" t="s">
        <v>1</v>
      </c>
      <c r="BG470" s="6196">
        <f t="shared" ref="BG470:BG533" si="206">IFERROR(_xlfn.LET(_xlpm.EPS,0.000000001,_xlpm.b,Q470/AO470,IF(ISNUMBER(AS470),_xlpm.b*AS470,IF(OR(ISBLANK(AS470),AS470=""),_xlpm.b*AQ470,IF(AND(BH470=0,ISNUMBER(Q470)),_xlpm.b/AQ470,0)))),0)</f>
        <v>0</v>
      </c>
      <c r="BH470" s="6197">
        <f t="shared" ref="BH470:BH533" si="207">IF(AL470&gt;0,IFERROR(IF(OR(ISBLANK(AS470),AS470=""),AQ470,AS470)/AO470,0),0)</f>
        <v>0</v>
      </c>
      <c r="BI470"/>
      <c r="BJ470" s="1"/>
      <c r="BK470" s="1"/>
      <c r="BL470" s="1"/>
      <c r="BM470" s="1"/>
      <c r="BN470" s="1"/>
      <c r="BO470" s="1"/>
      <c r="BP470" s="1"/>
      <c r="BQ470" s="1"/>
      <c r="BX470" s="20" t="str">
        <f t="shared" si="188"/>
        <v>►</v>
      </c>
      <c r="BY470" s="2"/>
      <c r="BZ470" s="2"/>
      <c r="CA470" s="2"/>
      <c r="CB470" s="2"/>
      <c r="CC470" s="2"/>
      <c r="DC470" s="5">
        <v>1</v>
      </c>
    </row>
    <row r="471" spans="12:107" ht="21" customHeight="1">
      <c r="L471" s="1021" t="s">
        <v>26</v>
      </c>
      <c r="M471" s="6787"/>
      <c r="N471" s="6787"/>
      <c r="O471" s="6787"/>
      <c r="P471" s="6788"/>
      <c r="Q471" s="6789"/>
      <c r="R471" s="6790"/>
      <c r="S471" s="6786"/>
      <c r="T471" s="6791"/>
      <c r="U471" s="6844"/>
      <c r="V471" s="6791"/>
      <c r="W471" s="8487"/>
      <c r="X471" s="6871"/>
      <c r="Y471" s="6793"/>
      <c r="Z471" s="6794"/>
      <c r="AA471" s="6795"/>
      <c r="AB471" s="6796"/>
      <c r="AC471" s="6797"/>
      <c r="AD471" s="6798"/>
      <c r="AE471" s="4" t="s">
        <v>1</v>
      </c>
      <c r="AF471" s="6202" t="str">
        <f t="shared" si="189"/>
        <v>►</v>
      </c>
      <c r="AG471" s="6234" t="str">
        <f t="shared" si="190"/>
        <v/>
      </c>
      <c r="AH471" s="6732" t="str">
        <f t="shared" si="191"/>
        <v/>
      </c>
      <c r="AI471" s="6234" t="str">
        <f t="shared" si="192"/>
        <v/>
      </c>
      <c r="AJ471" s="6732" t="str">
        <f t="shared" si="193"/>
        <v/>
      </c>
      <c r="AK471" s="6732">
        <f t="shared" si="194"/>
        <v>0</v>
      </c>
      <c r="AL471" s="6230" t="str" cm="1">
        <f t="array" ref="AL471">IF(AF471&lt;&gt;"A","",IFERROR((IFERROR(_xlfn.XLOOKUP(TRIM(SUBSTITUTE(U471,CHAR(160)," ")),$BJ$15:$BJ$62,$BM$15:$BM$62),IFERROR(_xlfn.XLOOKUP(TRIM(SUBSTITUTE(U471,CHAR(160)," ")),$BK$15:$BK$62,$BM$15:$BM$62),_xlfn.XLOOKUP(TRIM(SUBSTITUTE(U471,CHAR(160)," ")),$BL$15:$BL$62,$BM$15:$BM$62))))*T471*IF(ISBLANK(Q471),1,Q471)+IFERROR(_xlfn.XLOOKUP("RECHERCHEX",TRIM(L471:AD471),L471:AD471),0),0))</f>
        <v/>
      </c>
      <c r="AM471" s="6229">
        <f t="shared" si="195"/>
        <v>0</v>
      </c>
      <c r="AN471" s="6857" t="str">
        <f t="shared" si="187"/>
        <v/>
      </c>
      <c r="AO471" s="392">
        <f t="shared" si="196"/>
        <v>0</v>
      </c>
      <c r="AP471" s="392">
        <f t="shared" si="197"/>
        <v>0</v>
      </c>
      <c r="AQ471" s="6191">
        <f t="shared" si="198"/>
        <v>0</v>
      </c>
      <c r="AR471" s="6859" t="str">
        <f t="shared" si="199"/>
        <v/>
      </c>
      <c r="AS471" s="6217"/>
      <c r="AT471" s="6217"/>
      <c r="AU471" s="6272">
        <f t="shared" si="200"/>
        <v>0</v>
      </c>
      <c r="AV471" s="6240">
        <f t="shared" si="201"/>
        <v>0</v>
      </c>
      <c r="AW471" s="6189" cm="1">
        <f t="array" ref="AW471">IF(AK471&lt;&gt;1,0,IF(OR(AU471="",N(AU471)&lt;=0.000000001),"",IF(OR(AO471="",N(AO471)&lt;=0.000000001),0,IF(ISNUMBER(AU471),IFERROR(_xlfn.LET(_xlpm.ai_test,TRIM(AJ471),_xlpm.r,IFERROR(_xlfn.XLOOKUP(_xlpm.ai_test,$BJ$15:$BJ$62,ROW($BJ$15:$BJ$62),0,1),IFERROR(_xlfn.XLOOKUP(_xlpm.ai_test,$BK$15:$BK$62,ROW($BK$15:$BK$62),0,1),_xlfn.XLOOKUP(_xlpm.ai_test,$BL$15:$BL$62,ROW($BL$15:$BL$62),0,1))),_xlpm.p,_xlpm.r-MIN(ROW($BJ$15:$BJ$62))+1,_xlpm.f,INDEX($BM$15:$BM$62,_xlpm.p),_xlpm.u,INDEX($BN$15:$BN$62,_xlpm.p),_xlpm.s,INDEX($BP$15:$BP$62,_xlpm.p),_xlpm.q,N(AU471)/_xlpm.f,IF(_xlpm.q&gt;=_xlpm.s,ROUND(_xlpm.q,1)&amp;" "&amp;_xlpm.ai_test&amp;" = "&amp;ROUND(_xlpm.q*_xlpm.f,1)&amp;" "&amp;_xlpm.u,ROUND(_xlpm.q,1)&amp;" "&amp;_xlpm.ai_test)),""),""))))</f>
        <v>0</v>
      </c>
      <c r="AX471" s="6218"/>
      <c r="AY471" s="6272">
        <f t="shared" si="202"/>
        <v>0</v>
      </c>
      <c r="AZ471" s="6240" t="str">
        <f t="shared" si="203"/>
        <v/>
      </c>
      <c r="BA471" s="6195">
        <f t="shared" ref="BA471:BA534" si="208">IF(ISNUMBER(BG471),IF(ABS(BG471)&lt;=0.000000001,0,BG471),0)</f>
        <v>0</v>
      </c>
      <c r="BB471" s="6193" t="str">
        <f t="shared" si="204"/>
        <v/>
      </c>
      <c r="BC471" s="6219"/>
      <c r="BD471" s="6222">
        <f t="shared" si="186"/>
        <v>0</v>
      </c>
      <c r="BE471" s="6220" t="str">
        <f t="shared" si="205"/>
        <v/>
      </c>
      <c r="BF471" s="4" t="s">
        <v>1</v>
      </c>
      <c r="BG471" s="6196">
        <f t="shared" si="206"/>
        <v>0</v>
      </c>
      <c r="BH471" s="6197">
        <f t="shared" si="207"/>
        <v>0</v>
      </c>
      <c r="BI471"/>
      <c r="BJ471" s="1"/>
      <c r="BK471" s="1"/>
      <c r="BL471" s="1"/>
      <c r="BM471" s="1"/>
      <c r="BN471" s="1"/>
      <c r="BO471" s="1"/>
      <c r="BP471" s="1"/>
      <c r="BQ471" s="1"/>
      <c r="BX471" s="20" t="str">
        <f t="shared" si="188"/>
        <v>►</v>
      </c>
      <c r="BY471" s="2"/>
      <c r="BZ471" s="2"/>
      <c r="CA471" s="2"/>
      <c r="CB471" s="2"/>
      <c r="CC471" s="2"/>
      <c r="DC471" s="5">
        <v>1</v>
      </c>
    </row>
    <row r="472" spans="12:107" ht="21" customHeight="1">
      <c r="L472" s="1021" t="s">
        <v>26</v>
      </c>
      <c r="M472" s="6787"/>
      <c r="N472" s="6787"/>
      <c r="O472" s="6787"/>
      <c r="P472" s="6788"/>
      <c r="Q472" s="6789"/>
      <c r="R472" s="6790"/>
      <c r="S472" s="6786"/>
      <c r="T472" s="6791"/>
      <c r="U472" s="6844"/>
      <c r="V472" s="6791"/>
      <c r="W472" s="8487"/>
      <c r="X472" s="6871"/>
      <c r="Y472" s="6793"/>
      <c r="Z472" s="6794"/>
      <c r="AA472" s="6795"/>
      <c r="AB472" s="6796"/>
      <c r="AC472" s="6797"/>
      <c r="AD472" s="6798"/>
      <c r="AE472" s="4" t="s">
        <v>1</v>
      </c>
      <c r="AF472" s="6202" t="str">
        <f t="shared" si="189"/>
        <v>►</v>
      </c>
      <c r="AG472" s="6234" t="str">
        <f t="shared" si="190"/>
        <v/>
      </c>
      <c r="AH472" s="6732" t="str">
        <f t="shared" si="191"/>
        <v/>
      </c>
      <c r="AI472" s="6234" t="str">
        <f t="shared" si="192"/>
        <v/>
      </c>
      <c r="AJ472" s="6732" t="str">
        <f t="shared" si="193"/>
        <v/>
      </c>
      <c r="AK472" s="6732">
        <f t="shared" si="194"/>
        <v>0</v>
      </c>
      <c r="AL472" s="6230" t="str" cm="1">
        <f t="array" ref="AL472">IF(AF472&lt;&gt;"A","",IFERROR((IFERROR(_xlfn.XLOOKUP(TRIM(SUBSTITUTE(U472,CHAR(160)," ")),$BJ$15:$BJ$62,$BM$15:$BM$62),IFERROR(_xlfn.XLOOKUP(TRIM(SUBSTITUTE(U472,CHAR(160)," ")),$BK$15:$BK$62,$BM$15:$BM$62),_xlfn.XLOOKUP(TRIM(SUBSTITUTE(U472,CHAR(160)," ")),$BL$15:$BL$62,$BM$15:$BM$62))))*T472*IF(ISBLANK(Q472),1,Q472)+IFERROR(_xlfn.XLOOKUP("RECHERCHEX",TRIM(L472:AD472),L472:AD472),0),0))</f>
        <v/>
      </c>
      <c r="AM472" s="6229">
        <f t="shared" si="195"/>
        <v>0</v>
      </c>
      <c r="AN472" s="6857" t="str">
        <f t="shared" si="187"/>
        <v/>
      </c>
      <c r="AO472" s="392">
        <f t="shared" si="196"/>
        <v>0</v>
      </c>
      <c r="AP472" s="392">
        <f t="shared" si="197"/>
        <v>0</v>
      </c>
      <c r="AQ472" s="6190">
        <f t="shared" si="198"/>
        <v>0</v>
      </c>
      <c r="AR472" s="6858" t="str">
        <f t="shared" si="199"/>
        <v/>
      </c>
      <c r="AS472" s="6217"/>
      <c r="AT472" s="6217"/>
      <c r="AU472" s="6271">
        <f t="shared" si="200"/>
        <v>0</v>
      </c>
      <c r="AV472" s="6242">
        <f t="shared" si="201"/>
        <v>0</v>
      </c>
      <c r="AW472" s="6188" cm="1">
        <f t="array" ref="AW472">IF(AK472&lt;&gt;1,0,IF(OR(AU472="",N(AU472)&lt;=0.000000001),"",IF(OR(AO472="",N(AO472)&lt;=0.000000001),0,IF(ISNUMBER(AU472),IFERROR(_xlfn.LET(_xlpm.ai_test,TRIM(AJ472),_xlpm.r,IFERROR(_xlfn.XLOOKUP(_xlpm.ai_test,$BJ$15:$BJ$62,ROW($BJ$15:$BJ$62),0,1),IFERROR(_xlfn.XLOOKUP(_xlpm.ai_test,$BK$15:$BK$62,ROW($BK$15:$BK$62),0,1),_xlfn.XLOOKUP(_xlpm.ai_test,$BL$15:$BL$62,ROW($BL$15:$BL$62),0,1))),_xlpm.p,_xlpm.r-MIN(ROW($BJ$15:$BJ$62))+1,_xlpm.f,INDEX($BM$15:$BM$62,_xlpm.p),_xlpm.u,INDEX($BN$15:$BN$62,_xlpm.p),_xlpm.s,INDEX($BP$15:$BP$62,_xlpm.p),_xlpm.q,N(AU472)/_xlpm.f,IF(_xlpm.q&gt;=_xlpm.s,ROUND(_xlpm.q,1)&amp;" "&amp;_xlpm.ai_test&amp;" = "&amp;ROUND(_xlpm.q*_xlpm.f,1)&amp;" "&amp;_xlpm.u,ROUND(_xlpm.q,1)&amp;" "&amp;_xlpm.ai_test)),""),""))))</f>
        <v>0</v>
      </c>
      <c r="AX472" s="6218"/>
      <c r="AY472" s="6271">
        <f t="shared" si="202"/>
        <v>0</v>
      </c>
      <c r="AZ472" s="6242" t="str">
        <f t="shared" si="203"/>
        <v/>
      </c>
      <c r="BA472" s="6194">
        <f t="shared" si="208"/>
        <v>0</v>
      </c>
      <c r="BB472" s="6192" t="str">
        <f t="shared" si="204"/>
        <v/>
      </c>
      <c r="BC472" s="6219"/>
      <c r="BD472" s="6221">
        <f t="shared" si="186"/>
        <v>0</v>
      </c>
      <c r="BE472" s="6220" t="str">
        <f t="shared" si="205"/>
        <v/>
      </c>
      <c r="BF472" s="4" t="s">
        <v>1</v>
      </c>
      <c r="BG472" s="6196">
        <f t="shared" si="206"/>
        <v>0</v>
      </c>
      <c r="BH472" s="6197">
        <f t="shared" si="207"/>
        <v>0</v>
      </c>
      <c r="BI472"/>
      <c r="BJ472" s="1"/>
      <c r="BK472" s="1"/>
      <c r="BL472" s="1"/>
      <c r="BM472" s="1"/>
      <c r="BN472" s="1"/>
      <c r="BO472" s="1"/>
      <c r="BP472" s="1"/>
      <c r="BQ472" s="1"/>
      <c r="BX472" s="20" t="str">
        <f t="shared" si="188"/>
        <v>►</v>
      </c>
      <c r="BY472" s="2"/>
      <c r="BZ472" s="2"/>
      <c r="CA472" s="2"/>
      <c r="CB472" s="2"/>
      <c r="CC472" s="2"/>
      <c r="DC472" s="5">
        <v>1</v>
      </c>
    </row>
    <row r="473" spans="12:107" ht="21" customHeight="1">
      <c r="L473" s="1021" t="s">
        <v>26</v>
      </c>
      <c r="M473" s="6787"/>
      <c r="N473" s="6787"/>
      <c r="O473" s="6787"/>
      <c r="P473" s="6788"/>
      <c r="Q473" s="6789"/>
      <c r="R473" s="6790"/>
      <c r="S473" s="6786"/>
      <c r="T473" s="6791"/>
      <c r="U473" s="6844"/>
      <c r="V473" s="6791"/>
      <c r="W473" s="8487"/>
      <c r="X473" s="6871"/>
      <c r="Y473" s="6793"/>
      <c r="Z473" s="6794"/>
      <c r="AA473" s="6795"/>
      <c r="AB473" s="6796"/>
      <c r="AC473" s="6797"/>
      <c r="AD473" s="6798"/>
      <c r="AE473" s="4" t="s">
        <v>1</v>
      </c>
      <c r="AF473" s="6202" t="str">
        <f t="shared" si="189"/>
        <v>►</v>
      </c>
      <c r="AG473" s="6234" t="str">
        <f t="shared" si="190"/>
        <v/>
      </c>
      <c r="AH473" s="6732" t="str">
        <f t="shared" si="191"/>
        <v/>
      </c>
      <c r="AI473" s="6234" t="str">
        <f t="shared" si="192"/>
        <v/>
      </c>
      <c r="AJ473" s="6732" t="str">
        <f t="shared" si="193"/>
        <v/>
      </c>
      <c r="AK473" s="6732">
        <f t="shared" si="194"/>
        <v>0</v>
      </c>
      <c r="AL473" s="6230" t="str" cm="1">
        <f t="array" ref="AL473">IF(AF473&lt;&gt;"A","",IFERROR((IFERROR(_xlfn.XLOOKUP(TRIM(SUBSTITUTE(U473,CHAR(160)," ")),$BJ$15:$BJ$62,$BM$15:$BM$62),IFERROR(_xlfn.XLOOKUP(TRIM(SUBSTITUTE(U473,CHAR(160)," ")),$BK$15:$BK$62,$BM$15:$BM$62),_xlfn.XLOOKUP(TRIM(SUBSTITUTE(U473,CHAR(160)," ")),$BL$15:$BL$62,$BM$15:$BM$62))))*T473*IF(ISBLANK(Q473),1,Q473)+IFERROR(_xlfn.XLOOKUP("RECHERCHEX",TRIM(L473:AD473),L473:AD473),0),0))</f>
        <v/>
      </c>
      <c r="AM473" s="6229">
        <f t="shared" si="195"/>
        <v>0</v>
      </c>
      <c r="AN473" s="6857" t="str">
        <f t="shared" si="187"/>
        <v/>
      </c>
      <c r="AO473" s="392">
        <f t="shared" si="196"/>
        <v>0</v>
      </c>
      <c r="AP473" s="392">
        <f t="shared" si="197"/>
        <v>0</v>
      </c>
      <c r="AQ473" s="6191">
        <f t="shared" si="198"/>
        <v>0</v>
      </c>
      <c r="AR473" s="6859" t="str">
        <f t="shared" si="199"/>
        <v/>
      </c>
      <c r="AS473" s="6217"/>
      <c r="AT473" s="6217"/>
      <c r="AU473" s="6272">
        <f t="shared" si="200"/>
        <v>0</v>
      </c>
      <c r="AV473" s="6240">
        <f t="shared" si="201"/>
        <v>0</v>
      </c>
      <c r="AW473" s="6189" cm="1">
        <f t="array" ref="AW473">IF(AK473&lt;&gt;1,0,IF(OR(AU473="",N(AU473)&lt;=0.000000001),"",IF(OR(AO473="",N(AO473)&lt;=0.000000001),0,IF(ISNUMBER(AU473),IFERROR(_xlfn.LET(_xlpm.ai_test,TRIM(AJ473),_xlpm.r,IFERROR(_xlfn.XLOOKUP(_xlpm.ai_test,$BJ$15:$BJ$62,ROW($BJ$15:$BJ$62),0,1),IFERROR(_xlfn.XLOOKUP(_xlpm.ai_test,$BK$15:$BK$62,ROW($BK$15:$BK$62),0,1),_xlfn.XLOOKUP(_xlpm.ai_test,$BL$15:$BL$62,ROW($BL$15:$BL$62),0,1))),_xlpm.p,_xlpm.r-MIN(ROW($BJ$15:$BJ$62))+1,_xlpm.f,INDEX($BM$15:$BM$62,_xlpm.p),_xlpm.u,INDEX($BN$15:$BN$62,_xlpm.p),_xlpm.s,INDEX($BP$15:$BP$62,_xlpm.p),_xlpm.q,N(AU473)/_xlpm.f,IF(_xlpm.q&gt;=_xlpm.s,ROUND(_xlpm.q,1)&amp;" "&amp;_xlpm.ai_test&amp;" = "&amp;ROUND(_xlpm.q*_xlpm.f,1)&amp;" "&amp;_xlpm.u,ROUND(_xlpm.q,1)&amp;" "&amp;_xlpm.ai_test)),""),""))))</f>
        <v>0</v>
      </c>
      <c r="AX473" s="6218"/>
      <c r="AY473" s="6272">
        <f t="shared" si="202"/>
        <v>0</v>
      </c>
      <c r="AZ473" s="6240" t="str">
        <f t="shared" si="203"/>
        <v/>
      </c>
      <c r="BA473" s="6195">
        <f t="shared" si="208"/>
        <v>0</v>
      </c>
      <c r="BB473" s="6193" t="str">
        <f t="shared" si="204"/>
        <v/>
      </c>
      <c r="BC473" s="6219"/>
      <c r="BD473" s="6222">
        <f t="shared" si="186"/>
        <v>0</v>
      </c>
      <c r="BE473" s="6220" t="str">
        <f t="shared" si="205"/>
        <v/>
      </c>
      <c r="BF473" s="4" t="s">
        <v>1</v>
      </c>
      <c r="BG473" s="6196">
        <f t="shared" si="206"/>
        <v>0</v>
      </c>
      <c r="BH473" s="6197">
        <f t="shared" si="207"/>
        <v>0</v>
      </c>
      <c r="BI473"/>
      <c r="BJ473" s="1"/>
      <c r="BK473" s="1"/>
      <c r="BL473" s="1"/>
      <c r="BM473" s="1"/>
      <c r="BN473" s="1"/>
      <c r="BO473" s="1"/>
      <c r="BP473" s="1"/>
      <c r="BQ473" s="1"/>
      <c r="BX473" s="20" t="str">
        <f t="shared" si="188"/>
        <v>►</v>
      </c>
      <c r="BY473" s="2"/>
      <c r="BZ473" s="2"/>
      <c r="CA473" s="2"/>
      <c r="CB473" s="2"/>
      <c r="CC473" s="2"/>
      <c r="DC473" s="5">
        <v>1</v>
      </c>
    </row>
    <row r="474" spans="12:107" ht="21" customHeight="1">
      <c r="L474" s="1021" t="s">
        <v>26</v>
      </c>
      <c r="M474" s="6787"/>
      <c r="N474" s="6787"/>
      <c r="O474" s="6787"/>
      <c r="P474" s="6788"/>
      <c r="Q474" s="6789"/>
      <c r="R474" s="6790"/>
      <c r="S474" s="6786"/>
      <c r="T474" s="6791"/>
      <c r="U474" s="6844"/>
      <c r="V474" s="6791"/>
      <c r="W474" s="8487"/>
      <c r="X474" s="6871"/>
      <c r="Y474" s="6793"/>
      <c r="Z474" s="6794"/>
      <c r="AA474" s="6795"/>
      <c r="AB474" s="6796"/>
      <c r="AC474" s="6797"/>
      <c r="AD474" s="6798"/>
      <c r="AE474" s="4" t="s">
        <v>1</v>
      </c>
      <c r="AF474" s="6202" t="str">
        <f t="shared" si="189"/>
        <v>►</v>
      </c>
      <c r="AG474" s="6234" t="str">
        <f t="shared" si="190"/>
        <v/>
      </c>
      <c r="AH474" s="6732" t="str">
        <f t="shared" si="191"/>
        <v/>
      </c>
      <c r="AI474" s="6234" t="str">
        <f t="shared" si="192"/>
        <v/>
      </c>
      <c r="AJ474" s="6732" t="str">
        <f t="shared" si="193"/>
        <v/>
      </c>
      <c r="AK474" s="6732">
        <f t="shared" si="194"/>
        <v>0</v>
      </c>
      <c r="AL474" s="6230" t="str" cm="1">
        <f t="array" ref="AL474">IF(AF474&lt;&gt;"A","",IFERROR((IFERROR(_xlfn.XLOOKUP(TRIM(SUBSTITUTE(U474,CHAR(160)," ")),$BJ$15:$BJ$62,$BM$15:$BM$62),IFERROR(_xlfn.XLOOKUP(TRIM(SUBSTITUTE(U474,CHAR(160)," ")),$BK$15:$BK$62,$BM$15:$BM$62),_xlfn.XLOOKUP(TRIM(SUBSTITUTE(U474,CHAR(160)," ")),$BL$15:$BL$62,$BM$15:$BM$62))))*T474*IF(ISBLANK(Q474),1,Q474)+IFERROR(_xlfn.XLOOKUP("RECHERCHEX",TRIM(L474:AD474),L474:AD474),0),0))</f>
        <v/>
      </c>
      <c r="AM474" s="6229">
        <f t="shared" si="195"/>
        <v>0</v>
      </c>
      <c r="AN474" s="6857" t="str">
        <f t="shared" si="187"/>
        <v/>
      </c>
      <c r="AO474" s="392">
        <f t="shared" si="196"/>
        <v>0</v>
      </c>
      <c r="AP474" s="392">
        <f t="shared" si="197"/>
        <v>0</v>
      </c>
      <c r="AQ474" s="6190">
        <f t="shared" si="198"/>
        <v>0</v>
      </c>
      <c r="AR474" s="6858" t="str">
        <f t="shared" si="199"/>
        <v/>
      </c>
      <c r="AS474" s="6217"/>
      <c r="AT474" s="6217"/>
      <c r="AU474" s="6271">
        <f t="shared" si="200"/>
        <v>0</v>
      </c>
      <c r="AV474" s="6242">
        <f t="shared" si="201"/>
        <v>0</v>
      </c>
      <c r="AW474" s="6188" cm="1">
        <f t="array" ref="AW474">IF(AK474&lt;&gt;1,0,IF(OR(AU474="",N(AU474)&lt;=0.000000001),"",IF(OR(AO474="",N(AO474)&lt;=0.000000001),0,IF(ISNUMBER(AU474),IFERROR(_xlfn.LET(_xlpm.ai_test,TRIM(AJ474),_xlpm.r,IFERROR(_xlfn.XLOOKUP(_xlpm.ai_test,$BJ$15:$BJ$62,ROW($BJ$15:$BJ$62),0,1),IFERROR(_xlfn.XLOOKUP(_xlpm.ai_test,$BK$15:$BK$62,ROW($BK$15:$BK$62),0,1),_xlfn.XLOOKUP(_xlpm.ai_test,$BL$15:$BL$62,ROW($BL$15:$BL$62),0,1))),_xlpm.p,_xlpm.r-MIN(ROW($BJ$15:$BJ$62))+1,_xlpm.f,INDEX($BM$15:$BM$62,_xlpm.p),_xlpm.u,INDEX($BN$15:$BN$62,_xlpm.p),_xlpm.s,INDEX($BP$15:$BP$62,_xlpm.p),_xlpm.q,N(AU474)/_xlpm.f,IF(_xlpm.q&gt;=_xlpm.s,ROUND(_xlpm.q,1)&amp;" "&amp;_xlpm.ai_test&amp;" = "&amp;ROUND(_xlpm.q*_xlpm.f,1)&amp;" "&amp;_xlpm.u,ROUND(_xlpm.q,1)&amp;" "&amp;_xlpm.ai_test)),""),""))))</f>
        <v>0</v>
      </c>
      <c r="AX474" s="6218"/>
      <c r="AY474" s="6271">
        <f t="shared" si="202"/>
        <v>0</v>
      </c>
      <c r="AZ474" s="6242" t="str">
        <f t="shared" si="203"/>
        <v/>
      </c>
      <c r="BA474" s="6194">
        <f t="shared" si="208"/>
        <v>0</v>
      </c>
      <c r="BB474" s="6192" t="str">
        <f t="shared" si="204"/>
        <v/>
      </c>
      <c r="BC474" s="6219"/>
      <c r="BD474" s="6221">
        <f t="shared" si="186"/>
        <v>0</v>
      </c>
      <c r="BE474" s="6220" t="str">
        <f t="shared" si="205"/>
        <v/>
      </c>
      <c r="BF474" s="4" t="s">
        <v>1</v>
      </c>
      <c r="BG474" s="6196">
        <f t="shared" si="206"/>
        <v>0</v>
      </c>
      <c r="BH474" s="6197">
        <f t="shared" si="207"/>
        <v>0</v>
      </c>
      <c r="BI474"/>
      <c r="BJ474" s="1"/>
      <c r="BK474" s="1"/>
      <c r="BL474" s="1"/>
      <c r="BM474" s="1"/>
      <c r="BN474" s="1"/>
      <c r="BO474" s="1"/>
      <c r="BP474" s="1"/>
      <c r="BQ474" s="1"/>
      <c r="BX474" s="20" t="str">
        <f t="shared" si="188"/>
        <v>►</v>
      </c>
      <c r="BY474" s="2"/>
      <c r="BZ474" s="2"/>
      <c r="CA474" s="2"/>
      <c r="CB474" s="2"/>
      <c r="CC474" s="2"/>
      <c r="DC474" s="5">
        <v>1</v>
      </c>
    </row>
    <row r="475" spans="12:107" ht="21" customHeight="1">
      <c r="L475" s="1021" t="s">
        <v>26</v>
      </c>
      <c r="M475" s="6787"/>
      <c r="N475" s="6787"/>
      <c r="O475" s="6787"/>
      <c r="P475" s="6788"/>
      <c r="Q475" s="6789"/>
      <c r="R475" s="6790"/>
      <c r="S475" s="6786"/>
      <c r="T475" s="6791"/>
      <c r="U475" s="6844"/>
      <c r="V475" s="6791"/>
      <c r="W475" s="8487"/>
      <c r="X475" s="6871"/>
      <c r="Y475" s="6793"/>
      <c r="Z475" s="6794"/>
      <c r="AA475" s="6795"/>
      <c r="AB475" s="6796"/>
      <c r="AC475" s="6797"/>
      <c r="AD475" s="6798"/>
      <c r="AE475" s="4" t="s">
        <v>1</v>
      </c>
      <c r="AF475" s="6202" t="str">
        <f t="shared" si="189"/>
        <v>►</v>
      </c>
      <c r="AG475" s="6234" t="str">
        <f t="shared" si="190"/>
        <v/>
      </c>
      <c r="AH475" s="6732" t="str">
        <f t="shared" si="191"/>
        <v/>
      </c>
      <c r="AI475" s="6234" t="str">
        <f t="shared" si="192"/>
        <v/>
      </c>
      <c r="AJ475" s="6732" t="str">
        <f t="shared" si="193"/>
        <v/>
      </c>
      <c r="AK475" s="6732">
        <f t="shared" si="194"/>
        <v>0</v>
      </c>
      <c r="AL475" s="6230" t="str" cm="1">
        <f t="array" ref="AL475">IF(AF475&lt;&gt;"A","",IFERROR((IFERROR(_xlfn.XLOOKUP(TRIM(SUBSTITUTE(U475,CHAR(160)," ")),$BJ$15:$BJ$62,$BM$15:$BM$62),IFERROR(_xlfn.XLOOKUP(TRIM(SUBSTITUTE(U475,CHAR(160)," ")),$BK$15:$BK$62,$BM$15:$BM$62),_xlfn.XLOOKUP(TRIM(SUBSTITUTE(U475,CHAR(160)," ")),$BL$15:$BL$62,$BM$15:$BM$62))))*T475*IF(ISBLANK(Q475),1,Q475)+IFERROR(_xlfn.XLOOKUP("RECHERCHEX",TRIM(L475:AD475),L475:AD475),0),0))</f>
        <v/>
      </c>
      <c r="AM475" s="6229">
        <f t="shared" si="195"/>
        <v>0</v>
      </c>
      <c r="AN475" s="6857" t="str">
        <f t="shared" si="187"/>
        <v/>
      </c>
      <c r="AO475" s="392">
        <f t="shared" si="196"/>
        <v>0</v>
      </c>
      <c r="AP475" s="392">
        <f t="shared" si="197"/>
        <v>0</v>
      </c>
      <c r="AQ475" s="6191">
        <f t="shared" si="198"/>
        <v>0</v>
      </c>
      <c r="AR475" s="6859" t="str">
        <f t="shared" si="199"/>
        <v/>
      </c>
      <c r="AS475" s="6217"/>
      <c r="AT475" s="6217"/>
      <c r="AU475" s="6272">
        <f t="shared" si="200"/>
        <v>0</v>
      </c>
      <c r="AV475" s="6240">
        <f t="shared" si="201"/>
        <v>0</v>
      </c>
      <c r="AW475" s="6189" cm="1">
        <f t="array" ref="AW475">IF(AK475&lt;&gt;1,0,IF(OR(AU475="",N(AU475)&lt;=0.000000001),"",IF(OR(AO475="",N(AO475)&lt;=0.000000001),0,IF(ISNUMBER(AU475),IFERROR(_xlfn.LET(_xlpm.ai_test,TRIM(AJ475),_xlpm.r,IFERROR(_xlfn.XLOOKUP(_xlpm.ai_test,$BJ$15:$BJ$62,ROW($BJ$15:$BJ$62),0,1),IFERROR(_xlfn.XLOOKUP(_xlpm.ai_test,$BK$15:$BK$62,ROW($BK$15:$BK$62),0,1),_xlfn.XLOOKUP(_xlpm.ai_test,$BL$15:$BL$62,ROW($BL$15:$BL$62),0,1))),_xlpm.p,_xlpm.r-MIN(ROW($BJ$15:$BJ$62))+1,_xlpm.f,INDEX($BM$15:$BM$62,_xlpm.p),_xlpm.u,INDEX($BN$15:$BN$62,_xlpm.p),_xlpm.s,INDEX($BP$15:$BP$62,_xlpm.p),_xlpm.q,N(AU475)/_xlpm.f,IF(_xlpm.q&gt;=_xlpm.s,ROUND(_xlpm.q,1)&amp;" "&amp;_xlpm.ai_test&amp;" = "&amp;ROUND(_xlpm.q*_xlpm.f,1)&amp;" "&amp;_xlpm.u,ROUND(_xlpm.q,1)&amp;" "&amp;_xlpm.ai_test)),""),""))))</f>
        <v>0</v>
      </c>
      <c r="AX475" s="6218"/>
      <c r="AY475" s="6272">
        <f t="shared" si="202"/>
        <v>0</v>
      </c>
      <c r="AZ475" s="6240" t="str">
        <f t="shared" si="203"/>
        <v/>
      </c>
      <c r="BA475" s="6195">
        <f t="shared" si="208"/>
        <v>0</v>
      </c>
      <c r="BB475" s="6193" t="str">
        <f t="shared" si="204"/>
        <v/>
      </c>
      <c r="BC475" s="6219"/>
      <c r="BD475" s="6222">
        <f t="shared" ref="BD475:BD538" si="209">IF(OR(AO475=0,ISBLANK(BC475),ISTEXT(BA475)),0,(IF(AU475=0,BA475,AU475)*BC475))</f>
        <v>0</v>
      </c>
      <c r="BE475" s="6220" t="str">
        <f t="shared" si="205"/>
        <v/>
      </c>
      <c r="BF475" s="4" t="s">
        <v>1</v>
      </c>
      <c r="BG475" s="6196">
        <f t="shared" si="206"/>
        <v>0</v>
      </c>
      <c r="BH475" s="6197">
        <f t="shared" si="207"/>
        <v>0</v>
      </c>
      <c r="BI475"/>
      <c r="BJ475" s="1"/>
      <c r="BK475" s="1"/>
      <c r="BL475" s="1"/>
      <c r="BM475" s="1"/>
      <c r="BN475" s="1"/>
      <c r="BO475" s="1"/>
      <c r="BP475" s="1"/>
      <c r="BQ475" s="1"/>
      <c r="BX475" s="20" t="str">
        <f t="shared" si="188"/>
        <v>►</v>
      </c>
      <c r="BY475" s="2"/>
      <c r="BZ475" s="2"/>
      <c r="CA475" s="2"/>
      <c r="CB475" s="2"/>
      <c r="CC475" s="2"/>
      <c r="DC475" s="5">
        <v>1</v>
      </c>
    </row>
    <row r="476" spans="12:107" ht="21" customHeight="1">
      <c r="L476" s="1021" t="s">
        <v>26</v>
      </c>
      <c r="M476" s="6787"/>
      <c r="N476" s="6787"/>
      <c r="O476" s="6787"/>
      <c r="P476" s="6788"/>
      <c r="Q476" s="6789"/>
      <c r="R476" s="6790"/>
      <c r="S476" s="6786"/>
      <c r="T476" s="6791"/>
      <c r="U476" s="6844"/>
      <c r="V476" s="6791"/>
      <c r="W476" s="8487"/>
      <c r="X476" s="6871"/>
      <c r="Y476" s="6793"/>
      <c r="Z476" s="6794"/>
      <c r="AA476" s="6795"/>
      <c r="AB476" s="6796"/>
      <c r="AC476" s="6797"/>
      <c r="AD476" s="6798"/>
      <c r="AE476" s="4" t="s">
        <v>1</v>
      </c>
      <c r="AF476" s="6202" t="str">
        <f t="shared" si="189"/>
        <v>►</v>
      </c>
      <c r="AG476" s="6234" t="str">
        <f t="shared" si="190"/>
        <v/>
      </c>
      <c r="AH476" s="6732" t="str">
        <f t="shared" si="191"/>
        <v/>
      </c>
      <c r="AI476" s="6234" t="str">
        <f t="shared" si="192"/>
        <v/>
      </c>
      <c r="AJ476" s="6732" t="str">
        <f t="shared" si="193"/>
        <v/>
      </c>
      <c r="AK476" s="6732">
        <f t="shared" si="194"/>
        <v>0</v>
      </c>
      <c r="AL476" s="6230" t="str" cm="1">
        <f t="array" ref="AL476">IF(AF476&lt;&gt;"A","",IFERROR((IFERROR(_xlfn.XLOOKUP(TRIM(SUBSTITUTE(U476,CHAR(160)," ")),$BJ$15:$BJ$62,$BM$15:$BM$62),IFERROR(_xlfn.XLOOKUP(TRIM(SUBSTITUTE(U476,CHAR(160)," ")),$BK$15:$BK$62,$BM$15:$BM$62),_xlfn.XLOOKUP(TRIM(SUBSTITUTE(U476,CHAR(160)," ")),$BL$15:$BL$62,$BM$15:$BM$62))))*T476*IF(ISBLANK(Q476),1,Q476)+IFERROR(_xlfn.XLOOKUP("RECHERCHEX",TRIM(L476:AD476),L476:AD476),0),0))</f>
        <v/>
      </c>
      <c r="AM476" s="6229">
        <f t="shared" si="195"/>
        <v>0</v>
      </c>
      <c r="AN476" s="6857" t="str">
        <f t="shared" si="187"/>
        <v/>
      </c>
      <c r="AO476" s="392">
        <f t="shared" si="196"/>
        <v>0</v>
      </c>
      <c r="AP476" s="392">
        <f t="shared" si="197"/>
        <v>0</v>
      </c>
      <c r="AQ476" s="6190">
        <f t="shared" si="198"/>
        <v>0</v>
      </c>
      <c r="AR476" s="6858" t="str">
        <f t="shared" si="199"/>
        <v/>
      </c>
      <c r="AS476" s="6217"/>
      <c r="AT476" s="6217"/>
      <c r="AU476" s="6271">
        <f t="shared" si="200"/>
        <v>0</v>
      </c>
      <c r="AV476" s="6242">
        <f t="shared" si="201"/>
        <v>0</v>
      </c>
      <c r="AW476" s="6188" cm="1">
        <f t="array" ref="AW476">IF(AK476&lt;&gt;1,0,IF(OR(AU476="",N(AU476)&lt;=0.000000001),"",IF(OR(AO476="",N(AO476)&lt;=0.000000001),0,IF(ISNUMBER(AU476),IFERROR(_xlfn.LET(_xlpm.ai_test,TRIM(AJ476),_xlpm.r,IFERROR(_xlfn.XLOOKUP(_xlpm.ai_test,$BJ$15:$BJ$62,ROW($BJ$15:$BJ$62),0,1),IFERROR(_xlfn.XLOOKUP(_xlpm.ai_test,$BK$15:$BK$62,ROW($BK$15:$BK$62),0,1),_xlfn.XLOOKUP(_xlpm.ai_test,$BL$15:$BL$62,ROW($BL$15:$BL$62),0,1))),_xlpm.p,_xlpm.r-MIN(ROW($BJ$15:$BJ$62))+1,_xlpm.f,INDEX($BM$15:$BM$62,_xlpm.p),_xlpm.u,INDEX($BN$15:$BN$62,_xlpm.p),_xlpm.s,INDEX($BP$15:$BP$62,_xlpm.p),_xlpm.q,N(AU476)/_xlpm.f,IF(_xlpm.q&gt;=_xlpm.s,ROUND(_xlpm.q,1)&amp;" "&amp;_xlpm.ai_test&amp;" = "&amp;ROUND(_xlpm.q*_xlpm.f,1)&amp;" "&amp;_xlpm.u,ROUND(_xlpm.q,1)&amp;" "&amp;_xlpm.ai_test)),""),""))))</f>
        <v>0</v>
      </c>
      <c r="AX476" s="6218"/>
      <c r="AY476" s="6271">
        <f t="shared" si="202"/>
        <v>0</v>
      </c>
      <c r="AZ476" s="6242" t="str">
        <f t="shared" si="203"/>
        <v/>
      </c>
      <c r="BA476" s="6194">
        <f t="shared" si="208"/>
        <v>0</v>
      </c>
      <c r="BB476" s="6192" t="str">
        <f t="shared" si="204"/>
        <v/>
      </c>
      <c r="BC476" s="6219"/>
      <c r="BD476" s="6221">
        <f t="shared" si="209"/>
        <v>0</v>
      </c>
      <c r="BE476" s="6220" t="str">
        <f t="shared" si="205"/>
        <v/>
      </c>
      <c r="BF476" s="4" t="s">
        <v>1</v>
      </c>
      <c r="BG476" s="6196">
        <f t="shared" si="206"/>
        <v>0</v>
      </c>
      <c r="BH476" s="6197">
        <f t="shared" si="207"/>
        <v>0</v>
      </c>
      <c r="BI476"/>
      <c r="BJ476" s="1"/>
      <c r="BK476" s="1"/>
      <c r="BL476" s="1"/>
      <c r="BM476" s="1"/>
      <c r="BN476" s="1"/>
      <c r="BO476" s="1"/>
      <c r="BP476" s="1"/>
      <c r="BQ476" s="1"/>
      <c r="BX476" s="20" t="str">
        <f t="shared" si="188"/>
        <v>►</v>
      </c>
      <c r="BY476" s="2"/>
      <c r="BZ476" s="2"/>
      <c r="CA476" s="2"/>
      <c r="CB476" s="2"/>
      <c r="CC476" s="2"/>
      <c r="DC476" s="5">
        <v>1</v>
      </c>
    </row>
    <row r="477" spans="12:107" ht="21" customHeight="1">
      <c r="L477" s="1021" t="s">
        <v>26</v>
      </c>
      <c r="M477" s="6787"/>
      <c r="N477" s="6787"/>
      <c r="O477" s="6787"/>
      <c r="P477" s="6788"/>
      <c r="Q477" s="6789"/>
      <c r="R477" s="6790"/>
      <c r="S477" s="6786"/>
      <c r="T477" s="6791"/>
      <c r="U477" s="6844"/>
      <c r="V477" s="6791"/>
      <c r="W477" s="8487"/>
      <c r="X477" s="6871"/>
      <c r="Y477" s="6793"/>
      <c r="Z477" s="6794"/>
      <c r="AA477" s="6795"/>
      <c r="AB477" s="6796"/>
      <c r="AC477" s="6797"/>
      <c r="AD477" s="6798"/>
      <c r="AE477" s="4" t="s">
        <v>1</v>
      </c>
      <c r="AF477" s="6202" t="str">
        <f t="shared" si="189"/>
        <v>►</v>
      </c>
      <c r="AG477" s="6234" t="str">
        <f t="shared" si="190"/>
        <v/>
      </c>
      <c r="AH477" s="6732" t="str">
        <f t="shared" si="191"/>
        <v/>
      </c>
      <c r="AI477" s="6234" t="str">
        <f t="shared" si="192"/>
        <v/>
      </c>
      <c r="AJ477" s="6732" t="str">
        <f t="shared" si="193"/>
        <v/>
      </c>
      <c r="AK477" s="6732">
        <f t="shared" si="194"/>
        <v>0</v>
      </c>
      <c r="AL477" s="6230" t="str" cm="1">
        <f t="array" ref="AL477">IF(AF477&lt;&gt;"A","",IFERROR((IFERROR(_xlfn.XLOOKUP(TRIM(SUBSTITUTE(U477,CHAR(160)," ")),$BJ$15:$BJ$62,$BM$15:$BM$62),IFERROR(_xlfn.XLOOKUP(TRIM(SUBSTITUTE(U477,CHAR(160)," ")),$BK$15:$BK$62,$BM$15:$BM$62),_xlfn.XLOOKUP(TRIM(SUBSTITUTE(U477,CHAR(160)," ")),$BL$15:$BL$62,$BM$15:$BM$62))))*T477*IF(ISBLANK(Q477),1,Q477)+IFERROR(_xlfn.XLOOKUP("RECHERCHEX",TRIM(L477:AD477),L477:AD477),0),0))</f>
        <v/>
      </c>
      <c r="AM477" s="6229">
        <f t="shared" si="195"/>
        <v>0</v>
      </c>
      <c r="AN477" s="6857" t="str">
        <f t="shared" si="187"/>
        <v/>
      </c>
      <c r="AO477" s="392">
        <f t="shared" si="196"/>
        <v>0</v>
      </c>
      <c r="AP477" s="392">
        <f t="shared" si="197"/>
        <v>0</v>
      </c>
      <c r="AQ477" s="6191">
        <f t="shared" si="198"/>
        <v>0</v>
      </c>
      <c r="AR477" s="6859" t="str">
        <f t="shared" si="199"/>
        <v/>
      </c>
      <c r="AS477" s="6217"/>
      <c r="AT477" s="6217"/>
      <c r="AU477" s="6272">
        <f t="shared" si="200"/>
        <v>0</v>
      </c>
      <c r="AV477" s="6240">
        <f t="shared" si="201"/>
        <v>0</v>
      </c>
      <c r="AW477" s="6189" cm="1">
        <f t="array" ref="AW477">IF(AK477&lt;&gt;1,0,IF(OR(AU477="",N(AU477)&lt;=0.000000001),"",IF(OR(AO477="",N(AO477)&lt;=0.000000001),0,IF(ISNUMBER(AU477),IFERROR(_xlfn.LET(_xlpm.ai_test,TRIM(AJ477),_xlpm.r,IFERROR(_xlfn.XLOOKUP(_xlpm.ai_test,$BJ$15:$BJ$62,ROW($BJ$15:$BJ$62),0,1),IFERROR(_xlfn.XLOOKUP(_xlpm.ai_test,$BK$15:$BK$62,ROW($BK$15:$BK$62),0,1),_xlfn.XLOOKUP(_xlpm.ai_test,$BL$15:$BL$62,ROW($BL$15:$BL$62),0,1))),_xlpm.p,_xlpm.r-MIN(ROW($BJ$15:$BJ$62))+1,_xlpm.f,INDEX($BM$15:$BM$62,_xlpm.p),_xlpm.u,INDEX($BN$15:$BN$62,_xlpm.p),_xlpm.s,INDEX($BP$15:$BP$62,_xlpm.p),_xlpm.q,N(AU477)/_xlpm.f,IF(_xlpm.q&gt;=_xlpm.s,ROUND(_xlpm.q,1)&amp;" "&amp;_xlpm.ai_test&amp;" = "&amp;ROUND(_xlpm.q*_xlpm.f,1)&amp;" "&amp;_xlpm.u,ROUND(_xlpm.q,1)&amp;" "&amp;_xlpm.ai_test)),""),""))))</f>
        <v>0</v>
      </c>
      <c r="AX477" s="6218"/>
      <c r="AY477" s="6272">
        <f t="shared" si="202"/>
        <v>0</v>
      </c>
      <c r="AZ477" s="6240" t="str">
        <f t="shared" si="203"/>
        <v/>
      </c>
      <c r="BA477" s="6195">
        <f t="shared" si="208"/>
        <v>0</v>
      </c>
      <c r="BB477" s="6193" t="str">
        <f t="shared" si="204"/>
        <v/>
      </c>
      <c r="BC477" s="6219"/>
      <c r="BD477" s="6222">
        <f t="shared" si="209"/>
        <v>0</v>
      </c>
      <c r="BE477" s="6220" t="str">
        <f t="shared" si="205"/>
        <v/>
      </c>
      <c r="BF477" s="4" t="s">
        <v>1</v>
      </c>
      <c r="BG477" s="6196">
        <f t="shared" si="206"/>
        <v>0</v>
      </c>
      <c r="BH477" s="6197">
        <f t="shared" si="207"/>
        <v>0</v>
      </c>
      <c r="BI477"/>
      <c r="BJ477" s="1"/>
      <c r="BK477" s="1"/>
      <c r="BL477" s="1"/>
      <c r="BM477" s="1"/>
      <c r="BN477" s="1"/>
      <c r="BO477" s="1"/>
      <c r="BP477" s="1"/>
      <c r="BQ477" s="1"/>
      <c r="BX477" s="20" t="str">
        <f t="shared" si="188"/>
        <v>►</v>
      </c>
      <c r="BY477" s="2"/>
      <c r="BZ477" s="2"/>
      <c r="CA477" s="2"/>
      <c r="CB477" s="2"/>
      <c r="CC477" s="2"/>
      <c r="DC477" s="5">
        <v>1</v>
      </c>
    </row>
    <row r="478" spans="12:107" ht="21" customHeight="1">
      <c r="L478" s="1021" t="s">
        <v>26</v>
      </c>
      <c r="M478" s="6787"/>
      <c r="N478" s="6787"/>
      <c r="O478" s="6787"/>
      <c r="P478" s="6788"/>
      <c r="Q478" s="6789"/>
      <c r="R478" s="6790"/>
      <c r="S478" s="6786"/>
      <c r="T478" s="6791"/>
      <c r="U478" s="6844"/>
      <c r="V478" s="6791"/>
      <c r="W478" s="8487"/>
      <c r="X478" s="6871"/>
      <c r="Y478" s="6793"/>
      <c r="Z478" s="6794"/>
      <c r="AA478" s="6795"/>
      <c r="AB478" s="6796"/>
      <c r="AC478" s="6797"/>
      <c r="AD478" s="6798"/>
      <c r="AE478" s="4" t="s">
        <v>1</v>
      </c>
      <c r="AF478" s="6202" t="str">
        <f t="shared" si="189"/>
        <v>►</v>
      </c>
      <c r="AG478" s="6234" t="str">
        <f t="shared" si="190"/>
        <v/>
      </c>
      <c r="AH478" s="6732" t="str">
        <f t="shared" si="191"/>
        <v/>
      </c>
      <c r="AI478" s="6234" t="str">
        <f t="shared" si="192"/>
        <v/>
      </c>
      <c r="AJ478" s="6732" t="str">
        <f t="shared" si="193"/>
        <v/>
      </c>
      <c r="AK478" s="6732">
        <f t="shared" si="194"/>
        <v>0</v>
      </c>
      <c r="AL478" s="6230" t="str" cm="1">
        <f t="array" ref="AL478">IF(AF478&lt;&gt;"A","",IFERROR((IFERROR(_xlfn.XLOOKUP(TRIM(SUBSTITUTE(U478,CHAR(160)," ")),$BJ$15:$BJ$62,$BM$15:$BM$62),IFERROR(_xlfn.XLOOKUP(TRIM(SUBSTITUTE(U478,CHAR(160)," ")),$BK$15:$BK$62,$BM$15:$BM$62),_xlfn.XLOOKUP(TRIM(SUBSTITUTE(U478,CHAR(160)," ")),$BL$15:$BL$62,$BM$15:$BM$62))))*T478*IF(ISBLANK(Q478),1,Q478)+IFERROR(_xlfn.XLOOKUP("RECHERCHEX",TRIM(L478:AD478),L478:AD478),0),0))</f>
        <v/>
      </c>
      <c r="AM478" s="6229">
        <f t="shared" si="195"/>
        <v>0</v>
      </c>
      <c r="AN478" s="6857" t="str">
        <f t="shared" ref="AN478:AN541" si="210">IF(AF478="A","❾ Author reference &gt;","")</f>
        <v/>
      </c>
      <c r="AO478" s="392">
        <f t="shared" si="196"/>
        <v>0</v>
      </c>
      <c r="AP478" s="392">
        <f t="shared" si="197"/>
        <v>0</v>
      </c>
      <c r="AQ478" s="6190">
        <f t="shared" si="198"/>
        <v>0</v>
      </c>
      <c r="AR478" s="6858" t="str">
        <f t="shared" si="199"/>
        <v/>
      </c>
      <c r="AS478" s="6217"/>
      <c r="AT478" s="6217"/>
      <c r="AU478" s="6271">
        <f t="shared" si="200"/>
        <v>0</v>
      </c>
      <c r="AV478" s="6242">
        <f t="shared" si="201"/>
        <v>0</v>
      </c>
      <c r="AW478" s="6188" cm="1">
        <f t="array" ref="AW478">IF(AK478&lt;&gt;1,0,IF(OR(AU478="",N(AU478)&lt;=0.000000001),"",IF(OR(AO478="",N(AO478)&lt;=0.000000001),0,IF(ISNUMBER(AU478),IFERROR(_xlfn.LET(_xlpm.ai_test,TRIM(AJ478),_xlpm.r,IFERROR(_xlfn.XLOOKUP(_xlpm.ai_test,$BJ$15:$BJ$62,ROW($BJ$15:$BJ$62),0,1),IFERROR(_xlfn.XLOOKUP(_xlpm.ai_test,$BK$15:$BK$62,ROW($BK$15:$BK$62),0,1),_xlfn.XLOOKUP(_xlpm.ai_test,$BL$15:$BL$62,ROW($BL$15:$BL$62),0,1))),_xlpm.p,_xlpm.r-MIN(ROW($BJ$15:$BJ$62))+1,_xlpm.f,INDEX($BM$15:$BM$62,_xlpm.p),_xlpm.u,INDEX($BN$15:$BN$62,_xlpm.p),_xlpm.s,INDEX($BP$15:$BP$62,_xlpm.p),_xlpm.q,N(AU478)/_xlpm.f,IF(_xlpm.q&gt;=_xlpm.s,ROUND(_xlpm.q,1)&amp;" "&amp;_xlpm.ai_test&amp;" = "&amp;ROUND(_xlpm.q*_xlpm.f,1)&amp;" "&amp;_xlpm.u,ROUND(_xlpm.q,1)&amp;" "&amp;_xlpm.ai_test)),""),""))))</f>
        <v>0</v>
      </c>
      <c r="AX478" s="6218"/>
      <c r="AY478" s="6271">
        <f t="shared" si="202"/>
        <v>0</v>
      </c>
      <c r="AZ478" s="6242" t="str">
        <f t="shared" si="203"/>
        <v/>
      </c>
      <c r="BA478" s="6194">
        <f t="shared" si="208"/>
        <v>0</v>
      </c>
      <c r="BB478" s="6192" t="str">
        <f t="shared" si="204"/>
        <v/>
      </c>
      <c r="BC478" s="6219"/>
      <c r="BD478" s="6221">
        <f t="shared" si="209"/>
        <v>0</v>
      </c>
      <c r="BE478" s="6220" t="str">
        <f t="shared" si="205"/>
        <v/>
      </c>
      <c r="BF478" s="4" t="s">
        <v>1</v>
      </c>
      <c r="BG478" s="6196">
        <f t="shared" si="206"/>
        <v>0</v>
      </c>
      <c r="BH478" s="6197">
        <f t="shared" si="207"/>
        <v>0</v>
      </c>
      <c r="BI478"/>
      <c r="BJ478" s="1"/>
      <c r="BK478" s="1"/>
      <c r="BL478" s="1"/>
      <c r="BM478" s="1"/>
      <c r="BN478" s="1"/>
      <c r="BO478" s="1"/>
      <c r="BP478" s="1"/>
      <c r="BQ478" s="1"/>
      <c r="BX478" s="20" t="str">
        <f t="shared" si="188"/>
        <v>►</v>
      </c>
      <c r="BY478" s="2"/>
      <c r="BZ478" s="2"/>
      <c r="CA478" s="2"/>
      <c r="CB478" s="2"/>
      <c r="CC478" s="2"/>
      <c r="DC478" s="5">
        <v>1</v>
      </c>
    </row>
    <row r="479" spans="12:107" ht="21" customHeight="1">
      <c r="L479" s="1021" t="s">
        <v>26</v>
      </c>
      <c r="M479" s="6787"/>
      <c r="N479" s="6787"/>
      <c r="O479" s="6787"/>
      <c r="P479" s="6788"/>
      <c r="Q479" s="6789"/>
      <c r="R479" s="6790"/>
      <c r="S479" s="6786"/>
      <c r="T479" s="6791"/>
      <c r="U479" s="6844"/>
      <c r="V479" s="6791"/>
      <c r="W479" s="8487"/>
      <c r="X479" s="6871"/>
      <c r="Y479" s="6793"/>
      <c r="Z479" s="6794"/>
      <c r="AA479" s="6795"/>
      <c r="AB479" s="6796"/>
      <c r="AC479" s="6797"/>
      <c r="AD479" s="6798"/>
      <c r="AE479" s="4" t="s">
        <v>1</v>
      </c>
      <c r="AF479" s="6202" t="str">
        <f t="shared" si="189"/>
        <v>►</v>
      </c>
      <c r="AG479" s="6234" t="str">
        <f t="shared" si="190"/>
        <v/>
      </c>
      <c r="AH479" s="6732" t="str">
        <f t="shared" si="191"/>
        <v/>
      </c>
      <c r="AI479" s="6234" t="str">
        <f t="shared" si="192"/>
        <v/>
      </c>
      <c r="AJ479" s="6732" t="str">
        <f t="shared" si="193"/>
        <v/>
      </c>
      <c r="AK479" s="6732">
        <f t="shared" si="194"/>
        <v>0</v>
      </c>
      <c r="AL479" s="6230" t="str" cm="1">
        <f t="array" ref="AL479">IF(AF479&lt;&gt;"A","",IFERROR((IFERROR(_xlfn.XLOOKUP(TRIM(SUBSTITUTE(U479,CHAR(160)," ")),$BJ$15:$BJ$62,$BM$15:$BM$62),IFERROR(_xlfn.XLOOKUP(TRIM(SUBSTITUTE(U479,CHAR(160)," ")),$BK$15:$BK$62,$BM$15:$BM$62),_xlfn.XLOOKUP(TRIM(SUBSTITUTE(U479,CHAR(160)," ")),$BL$15:$BL$62,$BM$15:$BM$62))))*T479*IF(ISBLANK(Q479),1,Q479)+IFERROR(_xlfn.XLOOKUP("RECHERCHEX",TRIM(L479:AD479),L479:AD479),0),0))</f>
        <v/>
      </c>
      <c r="AM479" s="6229">
        <f t="shared" si="195"/>
        <v>0</v>
      </c>
      <c r="AN479" s="6857" t="str">
        <f t="shared" si="210"/>
        <v/>
      </c>
      <c r="AO479" s="392">
        <f t="shared" si="196"/>
        <v>0</v>
      </c>
      <c r="AP479" s="392">
        <f t="shared" si="197"/>
        <v>0</v>
      </c>
      <c r="AQ479" s="6191">
        <f t="shared" si="198"/>
        <v>0</v>
      </c>
      <c r="AR479" s="6859" t="str">
        <f t="shared" si="199"/>
        <v/>
      </c>
      <c r="AS479" s="6217"/>
      <c r="AT479" s="6217"/>
      <c r="AU479" s="6272">
        <f t="shared" si="200"/>
        <v>0</v>
      </c>
      <c r="AV479" s="6240">
        <f t="shared" si="201"/>
        <v>0</v>
      </c>
      <c r="AW479" s="6189" cm="1">
        <f t="array" ref="AW479">IF(AK479&lt;&gt;1,0,IF(OR(AU479="",N(AU479)&lt;=0.000000001),"",IF(OR(AO479="",N(AO479)&lt;=0.000000001),0,IF(ISNUMBER(AU479),IFERROR(_xlfn.LET(_xlpm.ai_test,TRIM(AJ479),_xlpm.r,IFERROR(_xlfn.XLOOKUP(_xlpm.ai_test,$BJ$15:$BJ$62,ROW($BJ$15:$BJ$62),0,1),IFERROR(_xlfn.XLOOKUP(_xlpm.ai_test,$BK$15:$BK$62,ROW($BK$15:$BK$62),0,1),_xlfn.XLOOKUP(_xlpm.ai_test,$BL$15:$BL$62,ROW($BL$15:$BL$62),0,1))),_xlpm.p,_xlpm.r-MIN(ROW($BJ$15:$BJ$62))+1,_xlpm.f,INDEX($BM$15:$BM$62,_xlpm.p),_xlpm.u,INDEX($BN$15:$BN$62,_xlpm.p),_xlpm.s,INDEX($BP$15:$BP$62,_xlpm.p),_xlpm.q,N(AU479)/_xlpm.f,IF(_xlpm.q&gt;=_xlpm.s,ROUND(_xlpm.q,1)&amp;" "&amp;_xlpm.ai_test&amp;" = "&amp;ROUND(_xlpm.q*_xlpm.f,1)&amp;" "&amp;_xlpm.u,ROUND(_xlpm.q,1)&amp;" "&amp;_xlpm.ai_test)),""),""))))</f>
        <v>0</v>
      </c>
      <c r="AX479" s="6218"/>
      <c r="AY479" s="6272">
        <f t="shared" si="202"/>
        <v>0</v>
      </c>
      <c r="AZ479" s="6240" t="str">
        <f t="shared" si="203"/>
        <v/>
      </c>
      <c r="BA479" s="6195">
        <f t="shared" si="208"/>
        <v>0</v>
      </c>
      <c r="BB479" s="6193" t="str">
        <f t="shared" si="204"/>
        <v/>
      </c>
      <c r="BC479" s="6219"/>
      <c r="BD479" s="6222">
        <f t="shared" si="209"/>
        <v>0</v>
      </c>
      <c r="BE479" s="6220" t="str">
        <f t="shared" si="205"/>
        <v/>
      </c>
      <c r="BF479" s="4" t="s">
        <v>1</v>
      </c>
      <c r="BG479" s="6196">
        <f t="shared" si="206"/>
        <v>0</v>
      </c>
      <c r="BH479" s="6197">
        <f t="shared" si="207"/>
        <v>0</v>
      </c>
      <c r="BI479"/>
      <c r="BJ479" s="1"/>
      <c r="BK479" s="1"/>
      <c r="BL479" s="1"/>
      <c r="BM479" s="1"/>
      <c r="BN479" s="1"/>
      <c r="BO479" s="1"/>
      <c r="BP479" s="1"/>
      <c r="BQ479" s="1"/>
      <c r="BX479" s="20" t="str">
        <f t="shared" si="188"/>
        <v>►</v>
      </c>
      <c r="BY479" s="2"/>
      <c r="BZ479" s="2"/>
      <c r="CA479" s="2"/>
      <c r="CB479" s="2"/>
      <c r="CC479" s="2"/>
      <c r="DC479" s="5">
        <v>1</v>
      </c>
    </row>
    <row r="480" spans="12:107" ht="21" customHeight="1">
      <c r="L480" s="1021" t="s">
        <v>26</v>
      </c>
      <c r="M480" s="6787"/>
      <c r="N480" s="6787"/>
      <c r="O480" s="6787"/>
      <c r="P480" s="6788"/>
      <c r="Q480" s="6789"/>
      <c r="R480" s="6790"/>
      <c r="S480" s="6786"/>
      <c r="T480" s="6791"/>
      <c r="U480" s="6844"/>
      <c r="V480" s="6791"/>
      <c r="W480" s="8487"/>
      <c r="X480" s="6871"/>
      <c r="Y480" s="6793"/>
      <c r="Z480" s="6794"/>
      <c r="AA480" s="6795"/>
      <c r="AB480" s="6796"/>
      <c r="AC480" s="6797"/>
      <c r="AD480" s="6798"/>
      <c r="AE480" s="4" t="s">
        <v>1</v>
      </c>
      <c r="AF480" s="6202" t="str">
        <f t="shared" si="189"/>
        <v>►</v>
      </c>
      <c r="AG480" s="6234" t="str">
        <f t="shared" si="190"/>
        <v/>
      </c>
      <c r="AH480" s="6732" t="str">
        <f t="shared" si="191"/>
        <v/>
      </c>
      <c r="AI480" s="6234" t="str">
        <f t="shared" si="192"/>
        <v/>
      </c>
      <c r="AJ480" s="6732" t="str">
        <f t="shared" si="193"/>
        <v/>
      </c>
      <c r="AK480" s="6732">
        <f t="shared" si="194"/>
        <v>0</v>
      </c>
      <c r="AL480" s="6230" t="str" cm="1">
        <f t="array" ref="AL480">IF(AF480&lt;&gt;"A","",IFERROR((IFERROR(_xlfn.XLOOKUP(TRIM(SUBSTITUTE(U480,CHAR(160)," ")),$BJ$15:$BJ$62,$BM$15:$BM$62),IFERROR(_xlfn.XLOOKUP(TRIM(SUBSTITUTE(U480,CHAR(160)," ")),$BK$15:$BK$62,$BM$15:$BM$62),_xlfn.XLOOKUP(TRIM(SUBSTITUTE(U480,CHAR(160)," ")),$BL$15:$BL$62,$BM$15:$BM$62))))*T480*IF(ISBLANK(Q480),1,Q480)+IFERROR(_xlfn.XLOOKUP("RECHERCHEX",TRIM(L480:AD480),L480:AD480),0),0))</f>
        <v/>
      </c>
      <c r="AM480" s="6229">
        <f t="shared" si="195"/>
        <v>0</v>
      </c>
      <c r="AN480" s="6857" t="str">
        <f t="shared" si="210"/>
        <v/>
      </c>
      <c r="AO480" s="392">
        <f t="shared" si="196"/>
        <v>0</v>
      </c>
      <c r="AP480" s="392">
        <f t="shared" si="197"/>
        <v>0</v>
      </c>
      <c r="AQ480" s="6190">
        <f t="shared" si="198"/>
        <v>0</v>
      </c>
      <c r="AR480" s="6858" t="str">
        <f t="shared" si="199"/>
        <v/>
      </c>
      <c r="AS480" s="6217"/>
      <c r="AT480" s="6217"/>
      <c r="AU480" s="6271">
        <f t="shared" si="200"/>
        <v>0</v>
      </c>
      <c r="AV480" s="6242">
        <f t="shared" si="201"/>
        <v>0</v>
      </c>
      <c r="AW480" s="6188" cm="1">
        <f t="array" ref="AW480">IF(AK480&lt;&gt;1,0,IF(OR(AU480="",N(AU480)&lt;=0.000000001),"",IF(OR(AO480="",N(AO480)&lt;=0.000000001),0,IF(ISNUMBER(AU480),IFERROR(_xlfn.LET(_xlpm.ai_test,TRIM(AJ480),_xlpm.r,IFERROR(_xlfn.XLOOKUP(_xlpm.ai_test,$BJ$15:$BJ$62,ROW($BJ$15:$BJ$62),0,1),IFERROR(_xlfn.XLOOKUP(_xlpm.ai_test,$BK$15:$BK$62,ROW($BK$15:$BK$62),0,1),_xlfn.XLOOKUP(_xlpm.ai_test,$BL$15:$BL$62,ROW($BL$15:$BL$62),0,1))),_xlpm.p,_xlpm.r-MIN(ROW($BJ$15:$BJ$62))+1,_xlpm.f,INDEX($BM$15:$BM$62,_xlpm.p),_xlpm.u,INDEX($BN$15:$BN$62,_xlpm.p),_xlpm.s,INDEX($BP$15:$BP$62,_xlpm.p),_xlpm.q,N(AU480)/_xlpm.f,IF(_xlpm.q&gt;=_xlpm.s,ROUND(_xlpm.q,1)&amp;" "&amp;_xlpm.ai_test&amp;" = "&amp;ROUND(_xlpm.q*_xlpm.f,1)&amp;" "&amp;_xlpm.u,ROUND(_xlpm.q,1)&amp;" "&amp;_xlpm.ai_test)),""),""))))</f>
        <v>0</v>
      </c>
      <c r="AX480" s="6218"/>
      <c r="AY480" s="6271">
        <f t="shared" si="202"/>
        <v>0</v>
      </c>
      <c r="AZ480" s="6242" t="str">
        <f t="shared" si="203"/>
        <v/>
      </c>
      <c r="BA480" s="6194">
        <f t="shared" si="208"/>
        <v>0</v>
      </c>
      <c r="BB480" s="6192" t="str">
        <f t="shared" si="204"/>
        <v/>
      </c>
      <c r="BC480" s="6219"/>
      <c r="BD480" s="6221">
        <f t="shared" si="209"/>
        <v>0</v>
      </c>
      <c r="BE480" s="6220" t="str">
        <f t="shared" si="205"/>
        <v/>
      </c>
      <c r="BF480" s="4" t="s">
        <v>1</v>
      </c>
      <c r="BG480" s="6196">
        <f t="shared" si="206"/>
        <v>0</v>
      </c>
      <c r="BH480" s="6197">
        <f t="shared" si="207"/>
        <v>0</v>
      </c>
      <c r="BI480"/>
      <c r="BJ480" s="1"/>
      <c r="BK480" s="1"/>
      <c r="BL480" s="1"/>
      <c r="BM480" s="1"/>
      <c r="BN480" s="1"/>
      <c r="BO480" s="1"/>
      <c r="BP480" s="1"/>
      <c r="BQ480" s="1"/>
      <c r="BX480" s="20" t="str">
        <f t="shared" si="188"/>
        <v>►</v>
      </c>
      <c r="BY480" s="2"/>
      <c r="BZ480" s="2"/>
      <c r="CA480" s="2"/>
      <c r="CB480" s="2"/>
      <c r="CC480" s="2"/>
      <c r="DC480" s="5">
        <v>1</v>
      </c>
    </row>
    <row r="481" spans="12:107" ht="21" customHeight="1">
      <c r="L481" s="1021" t="s">
        <v>26</v>
      </c>
      <c r="M481" s="6787"/>
      <c r="N481" s="6787"/>
      <c r="O481" s="6787"/>
      <c r="P481" s="6788"/>
      <c r="Q481" s="6789"/>
      <c r="R481" s="6790"/>
      <c r="S481" s="6786"/>
      <c r="T481" s="6791"/>
      <c r="U481" s="6844"/>
      <c r="V481" s="6791"/>
      <c r="W481" s="8487"/>
      <c r="X481" s="6871"/>
      <c r="Y481" s="6793"/>
      <c r="Z481" s="6794"/>
      <c r="AA481" s="6795"/>
      <c r="AB481" s="6796"/>
      <c r="AC481" s="6797"/>
      <c r="AD481" s="6798"/>
      <c r="AE481" s="4" t="s">
        <v>1</v>
      </c>
      <c r="AF481" s="6202" t="str">
        <f t="shared" si="189"/>
        <v>►</v>
      </c>
      <c r="AG481" s="6234" t="str">
        <f t="shared" si="190"/>
        <v/>
      </c>
      <c r="AH481" s="6732" t="str">
        <f t="shared" si="191"/>
        <v/>
      </c>
      <c r="AI481" s="6234" t="str">
        <f t="shared" si="192"/>
        <v/>
      </c>
      <c r="AJ481" s="6732" t="str">
        <f t="shared" si="193"/>
        <v/>
      </c>
      <c r="AK481" s="6732">
        <f t="shared" si="194"/>
        <v>0</v>
      </c>
      <c r="AL481" s="6230" t="str" cm="1">
        <f t="array" ref="AL481">IF(AF481&lt;&gt;"A","",IFERROR((IFERROR(_xlfn.XLOOKUP(TRIM(SUBSTITUTE(U481,CHAR(160)," ")),$BJ$15:$BJ$62,$BM$15:$BM$62),IFERROR(_xlfn.XLOOKUP(TRIM(SUBSTITUTE(U481,CHAR(160)," ")),$BK$15:$BK$62,$BM$15:$BM$62),_xlfn.XLOOKUP(TRIM(SUBSTITUTE(U481,CHAR(160)," ")),$BL$15:$BL$62,$BM$15:$BM$62))))*T481*IF(ISBLANK(Q481),1,Q481)+IFERROR(_xlfn.XLOOKUP("RECHERCHEX",TRIM(L481:AD481),L481:AD481),0),0))</f>
        <v/>
      </c>
      <c r="AM481" s="6229">
        <f t="shared" si="195"/>
        <v>0</v>
      </c>
      <c r="AN481" s="6857" t="str">
        <f t="shared" si="210"/>
        <v/>
      </c>
      <c r="AO481" s="392">
        <f t="shared" si="196"/>
        <v>0</v>
      </c>
      <c r="AP481" s="392">
        <f t="shared" si="197"/>
        <v>0</v>
      </c>
      <c r="AQ481" s="6191">
        <f t="shared" si="198"/>
        <v>0</v>
      </c>
      <c r="AR481" s="6859" t="str">
        <f t="shared" si="199"/>
        <v/>
      </c>
      <c r="AS481" s="6217"/>
      <c r="AT481" s="6217"/>
      <c r="AU481" s="6272">
        <f t="shared" si="200"/>
        <v>0</v>
      </c>
      <c r="AV481" s="6240">
        <f t="shared" si="201"/>
        <v>0</v>
      </c>
      <c r="AW481" s="6189" cm="1">
        <f t="array" ref="AW481">IF(AK481&lt;&gt;1,0,IF(OR(AU481="",N(AU481)&lt;=0.000000001),"",IF(OR(AO481="",N(AO481)&lt;=0.000000001),0,IF(ISNUMBER(AU481),IFERROR(_xlfn.LET(_xlpm.ai_test,TRIM(AJ481),_xlpm.r,IFERROR(_xlfn.XLOOKUP(_xlpm.ai_test,$BJ$15:$BJ$62,ROW($BJ$15:$BJ$62),0,1),IFERROR(_xlfn.XLOOKUP(_xlpm.ai_test,$BK$15:$BK$62,ROW($BK$15:$BK$62),0,1),_xlfn.XLOOKUP(_xlpm.ai_test,$BL$15:$BL$62,ROW($BL$15:$BL$62),0,1))),_xlpm.p,_xlpm.r-MIN(ROW($BJ$15:$BJ$62))+1,_xlpm.f,INDEX($BM$15:$BM$62,_xlpm.p),_xlpm.u,INDEX($BN$15:$BN$62,_xlpm.p),_xlpm.s,INDEX($BP$15:$BP$62,_xlpm.p),_xlpm.q,N(AU481)/_xlpm.f,IF(_xlpm.q&gt;=_xlpm.s,ROUND(_xlpm.q,1)&amp;" "&amp;_xlpm.ai_test&amp;" = "&amp;ROUND(_xlpm.q*_xlpm.f,1)&amp;" "&amp;_xlpm.u,ROUND(_xlpm.q,1)&amp;" "&amp;_xlpm.ai_test)),""),""))))</f>
        <v>0</v>
      </c>
      <c r="AX481" s="6218"/>
      <c r="AY481" s="6272">
        <f t="shared" si="202"/>
        <v>0</v>
      </c>
      <c r="AZ481" s="6240" t="str">
        <f t="shared" si="203"/>
        <v/>
      </c>
      <c r="BA481" s="6195">
        <f t="shared" si="208"/>
        <v>0</v>
      </c>
      <c r="BB481" s="6193" t="str">
        <f t="shared" si="204"/>
        <v/>
      </c>
      <c r="BC481" s="6219"/>
      <c r="BD481" s="6222">
        <f t="shared" si="209"/>
        <v>0</v>
      </c>
      <c r="BE481" s="6220" t="str">
        <f t="shared" si="205"/>
        <v/>
      </c>
      <c r="BF481" s="4" t="s">
        <v>1</v>
      </c>
      <c r="BG481" s="6196">
        <f t="shared" si="206"/>
        <v>0</v>
      </c>
      <c r="BH481" s="6197">
        <f t="shared" si="207"/>
        <v>0</v>
      </c>
      <c r="BI481"/>
      <c r="BJ481" s="1"/>
      <c r="BK481" s="1"/>
      <c r="BL481" s="1"/>
      <c r="BM481" s="1"/>
      <c r="BN481" s="1"/>
      <c r="BO481" s="1"/>
      <c r="BP481" s="1"/>
      <c r="BQ481" s="1"/>
      <c r="BX481" s="20" t="str">
        <f t="shared" si="188"/>
        <v>►</v>
      </c>
      <c r="BY481" s="2"/>
      <c r="BZ481" s="2"/>
      <c r="CA481" s="2"/>
      <c r="CB481" s="2"/>
      <c r="CC481" s="2"/>
      <c r="DC481" s="5">
        <v>1</v>
      </c>
    </row>
    <row r="482" spans="12:107" ht="21" customHeight="1">
      <c r="L482" s="1021" t="s">
        <v>26</v>
      </c>
      <c r="M482" s="6787"/>
      <c r="N482" s="6787"/>
      <c r="O482" s="6787"/>
      <c r="P482" s="6788"/>
      <c r="Q482" s="6789"/>
      <c r="R482" s="6790"/>
      <c r="S482" s="6786"/>
      <c r="T482" s="6791"/>
      <c r="U482" s="6844"/>
      <c r="V482" s="6791"/>
      <c r="W482" s="8487"/>
      <c r="X482" s="6871"/>
      <c r="Y482" s="6793"/>
      <c r="Z482" s="6794"/>
      <c r="AA482" s="6795"/>
      <c r="AB482" s="6796"/>
      <c r="AC482" s="6797"/>
      <c r="AD482" s="6798"/>
      <c r="AE482" s="4" t="s">
        <v>1</v>
      </c>
      <c r="AF482" s="6202" t="str">
        <f t="shared" si="189"/>
        <v>►</v>
      </c>
      <c r="AG482" s="6234" t="str">
        <f t="shared" si="190"/>
        <v/>
      </c>
      <c r="AH482" s="6732" t="str">
        <f t="shared" si="191"/>
        <v/>
      </c>
      <c r="AI482" s="6234" t="str">
        <f t="shared" si="192"/>
        <v/>
      </c>
      <c r="AJ482" s="6732" t="str">
        <f t="shared" si="193"/>
        <v/>
      </c>
      <c r="AK482" s="6732">
        <f t="shared" si="194"/>
        <v>0</v>
      </c>
      <c r="AL482" s="6230" t="str" cm="1">
        <f t="array" ref="AL482">IF(AF482&lt;&gt;"A","",IFERROR((IFERROR(_xlfn.XLOOKUP(TRIM(SUBSTITUTE(U482,CHAR(160)," ")),$BJ$15:$BJ$62,$BM$15:$BM$62),IFERROR(_xlfn.XLOOKUP(TRIM(SUBSTITUTE(U482,CHAR(160)," ")),$BK$15:$BK$62,$BM$15:$BM$62),_xlfn.XLOOKUP(TRIM(SUBSTITUTE(U482,CHAR(160)," ")),$BL$15:$BL$62,$BM$15:$BM$62))))*T482*IF(ISBLANK(Q482),1,Q482)+IFERROR(_xlfn.XLOOKUP("RECHERCHEX",TRIM(L482:AD482),L482:AD482),0),0))</f>
        <v/>
      </c>
      <c r="AM482" s="6229">
        <f t="shared" si="195"/>
        <v>0</v>
      </c>
      <c r="AN482" s="6857" t="str">
        <f t="shared" si="210"/>
        <v/>
      </c>
      <c r="AO482" s="392">
        <f t="shared" si="196"/>
        <v>0</v>
      </c>
      <c r="AP482" s="392">
        <f t="shared" si="197"/>
        <v>0</v>
      </c>
      <c r="AQ482" s="6190">
        <f t="shared" si="198"/>
        <v>0</v>
      </c>
      <c r="AR482" s="6858" t="str">
        <f t="shared" si="199"/>
        <v/>
      </c>
      <c r="AS482" s="6217"/>
      <c r="AT482" s="6217"/>
      <c r="AU482" s="6271">
        <f t="shared" si="200"/>
        <v>0</v>
      </c>
      <c r="AV482" s="6242">
        <f t="shared" si="201"/>
        <v>0</v>
      </c>
      <c r="AW482" s="6188" cm="1">
        <f t="array" ref="AW482">IF(AK482&lt;&gt;1,0,IF(OR(AU482="",N(AU482)&lt;=0.000000001),"",IF(OR(AO482="",N(AO482)&lt;=0.000000001),0,IF(ISNUMBER(AU482),IFERROR(_xlfn.LET(_xlpm.ai_test,TRIM(AJ482),_xlpm.r,IFERROR(_xlfn.XLOOKUP(_xlpm.ai_test,$BJ$15:$BJ$62,ROW($BJ$15:$BJ$62),0,1),IFERROR(_xlfn.XLOOKUP(_xlpm.ai_test,$BK$15:$BK$62,ROW($BK$15:$BK$62),0,1),_xlfn.XLOOKUP(_xlpm.ai_test,$BL$15:$BL$62,ROW($BL$15:$BL$62),0,1))),_xlpm.p,_xlpm.r-MIN(ROW($BJ$15:$BJ$62))+1,_xlpm.f,INDEX($BM$15:$BM$62,_xlpm.p),_xlpm.u,INDEX($BN$15:$BN$62,_xlpm.p),_xlpm.s,INDEX($BP$15:$BP$62,_xlpm.p),_xlpm.q,N(AU482)/_xlpm.f,IF(_xlpm.q&gt;=_xlpm.s,ROUND(_xlpm.q,1)&amp;" "&amp;_xlpm.ai_test&amp;" = "&amp;ROUND(_xlpm.q*_xlpm.f,1)&amp;" "&amp;_xlpm.u,ROUND(_xlpm.q,1)&amp;" "&amp;_xlpm.ai_test)),""),""))))</f>
        <v>0</v>
      </c>
      <c r="AX482" s="6218"/>
      <c r="AY482" s="6271">
        <f t="shared" si="202"/>
        <v>0</v>
      </c>
      <c r="AZ482" s="6242" t="str">
        <f t="shared" si="203"/>
        <v/>
      </c>
      <c r="BA482" s="6194">
        <f t="shared" si="208"/>
        <v>0</v>
      </c>
      <c r="BB482" s="6192" t="str">
        <f t="shared" si="204"/>
        <v/>
      </c>
      <c r="BC482" s="6219"/>
      <c r="BD482" s="6221">
        <f t="shared" si="209"/>
        <v>0</v>
      </c>
      <c r="BE482" s="6220" t="str">
        <f t="shared" si="205"/>
        <v/>
      </c>
      <c r="BF482" s="4" t="s">
        <v>1</v>
      </c>
      <c r="BG482" s="6196">
        <f t="shared" si="206"/>
        <v>0</v>
      </c>
      <c r="BH482" s="6197">
        <f t="shared" si="207"/>
        <v>0</v>
      </c>
      <c r="BI482"/>
      <c r="BJ482" s="1"/>
      <c r="BK482" s="1"/>
      <c r="BL482" s="1"/>
      <c r="BM482" s="1"/>
      <c r="BN482" s="1"/>
      <c r="BO482" s="1"/>
      <c r="BP482" s="1"/>
      <c r="BQ482" s="1"/>
      <c r="BX482" s="20" t="str">
        <f t="shared" si="188"/>
        <v>►</v>
      </c>
      <c r="BY482" s="2"/>
      <c r="BZ482" s="2"/>
      <c r="CA482" s="2"/>
      <c r="CB482" s="2"/>
      <c r="CC482" s="2"/>
      <c r="DC482" s="5">
        <v>1</v>
      </c>
    </row>
    <row r="483" spans="12:107" ht="21" customHeight="1">
      <c r="L483" s="1021" t="s">
        <v>26</v>
      </c>
      <c r="M483" s="6787"/>
      <c r="N483" s="6787"/>
      <c r="O483" s="6787"/>
      <c r="P483" s="6788"/>
      <c r="Q483" s="6789"/>
      <c r="R483" s="6790"/>
      <c r="S483" s="6786"/>
      <c r="T483" s="6791"/>
      <c r="U483" s="6844"/>
      <c r="V483" s="6791"/>
      <c r="W483" s="8487"/>
      <c r="X483" s="6871"/>
      <c r="Y483" s="6793"/>
      <c r="Z483" s="6794"/>
      <c r="AA483" s="6795"/>
      <c r="AB483" s="6796"/>
      <c r="AC483" s="6797"/>
      <c r="AD483" s="6798"/>
      <c r="AE483" s="4" t="s">
        <v>1</v>
      </c>
      <c r="AF483" s="6202" t="str">
        <f t="shared" si="189"/>
        <v>►</v>
      </c>
      <c r="AG483" s="6234" t="str">
        <f t="shared" si="190"/>
        <v/>
      </c>
      <c r="AH483" s="6732" t="str">
        <f t="shared" si="191"/>
        <v/>
      </c>
      <c r="AI483" s="6234" t="str">
        <f t="shared" si="192"/>
        <v/>
      </c>
      <c r="AJ483" s="6732" t="str">
        <f t="shared" si="193"/>
        <v/>
      </c>
      <c r="AK483" s="6732">
        <f t="shared" si="194"/>
        <v>0</v>
      </c>
      <c r="AL483" s="6230" t="str" cm="1">
        <f t="array" ref="AL483">IF(AF483&lt;&gt;"A","",IFERROR((IFERROR(_xlfn.XLOOKUP(TRIM(SUBSTITUTE(U483,CHAR(160)," ")),$BJ$15:$BJ$62,$BM$15:$BM$62),IFERROR(_xlfn.XLOOKUP(TRIM(SUBSTITUTE(U483,CHAR(160)," ")),$BK$15:$BK$62,$BM$15:$BM$62),_xlfn.XLOOKUP(TRIM(SUBSTITUTE(U483,CHAR(160)," ")),$BL$15:$BL$62,$BM$15:$BM$62))))*T483*IF(ISBLANK(Q483),1,Q483)+IFERROR(_xlfn.XLOOKUP("RECHERCHEX",TRIM(L483:AD483),L483:AD483),0),0))</f>
        <v/>
      </c>
      <c r="AM483" s="6229">
        <f t="shared" si="195"/>
        <v>0</v>
      </c>
      <c r="AN483" s="6857" t="str">
        <f t="shared" si="210"/>
        <v/>
      </c>
      <c r="AO483" s="392">
        <f t="shared" si="196"/>
        <v>0</v>
      </c>
      <c r="AP483" s="392">
        <f t="shared" si="197"/>
        <v>0</v>
      </c>
      <c r="AQ483" s="6191">
        <f t="shared" si="198"/>
        <v>0</v>
      </c>
      <c r="AR483" s="6859" t="str">
        <f t="shared" si="199"/>
        <v/>
      </c>
      <c r="AS483" s="6217"/>
      <c r="AT483" s="6217"/>
      <c r="AU483" s="6272">
        <f t="shared" si="200"/>
        <v>0</v>
      </c>
      <c r="AV483" s="6240">
        <f t="shared" si="201"/>
        <v>0</v>
      </c>
      <c r="AW483" s="6189" cm="1">
        <f t="array" ref="AW483">IF(AK483&lt;&gt;1,0,IF(OR(AU483="",N(AU483)&lt;=0.000000001),"",IF(OR(AO483="",N(AO483)&lt;=0.000000001),0,IF(ISNUMBER(AU483),IFERROR(_xlfn.LET(_xlpm.ai_test,TRIM(AJ483),_xlpm.r,IFERROR(_xlfn.XLOOKUP(_xlpm.ai_test,$BJ$15:$BJ$62,ROW($BJ$15:$BJ$62),0,1),IFERROR(_xlfn.XLOOKUP(_xlpm.ai_test,$BK$15:$BK$62,ROW($BK$15:$BK$62),0,1),_xlfn.XLOOKUP(_xlpm.ai_test,$BL$15:$BL$62,ROW($BL$15:$BL$62),0,1))),_xlpm.p,_xlpm.r-MIN(ROW($BJ$15:$BJ$62))+1,_xlpm.f,INDEX($BM$15:$BM$62,_xlpm.p),_xlpm.u,INDEX($BN$15:$BN$62,_xlpm.p),_xlpm.s,INDEX($BP$15:$BP$62,_xlpm.p),_xlpm.q,N(AU483)/_xlpm.f,IF(_xlpm.q&gt;=_xlpm.s,ROUND(_xlpm.q,1)&amp;" "&amp;_xlpm.ai_test&amp;" = "&amp;ROUND(_xlpm.q*_xlpm.f,1)&amp;" "&amp;_xlpm.u,ROUND(_xlpm.q,1)&amp;" "&amp;_xlpm.ai_test)),""),""))))</f>
        <v>0</v>
      </c>
      <c r="AX483" s="6218"/>
      <c r="AY483" s="6272">
        <f t="shared" si="202"/>
        <v>0</v>
      </c>
      <c r="AZ483" s="6240" t="str">
        <f t="shared" si="203"/>
        <v/>
      </c>
      <c r="BA483" s="6195">
        <f t="shared" si="208"/>
        <v>0</v>
      </c>
      <c r="BB483" s="6193" t="str">
        <f t="shared" si="204"/>
        <v/>
      </c>
      <c r="BC483" s="6219"/>
      <c r="BD483" s="6222">
        <f t="shared" si="209"/>
        <v>0</v>
      </c>
      <c r="BE483" s="6220" t="str">
        <f t="shared" si="205"/>
        <v/>
      </c>
      <c r="BF483" s="4" t="s">
        <v>1</v>
      </c>
      <c r="BG483" s="6196">
        <f t="shared" si="206"/>
        <v>0</v>
      </c>
      <c r="BH483" s="6197">
        <f t="shared" si="207"/>
        <v>0</v>
      </c>
      <c r="BI483"/>
      <c r="BJ483" s="1"/>
      <c r="BK483" s="1"/>
      <c r="BL483" s="1"/>
      <c r="BM483" s="1"/>
      <c r="BN483" s="1"/>
      <c r="BO483" s="1"/>
      <c r="BP483" s="1"/>
      <c r="BQ483" s="1"/>
      <c r="BX483" s="20" t="str">
        <f t="shared" si="188"/>
        <v>►</v>
      </c>
      <c r="BY483" s="2"/>
      <c r="BZ483" s="2"/>
      <c r="CA483" s="2"/>
      <c r="CB483" s="2"/>
      <c r="CC483" s="2"/>
      <c r="DC483" s="5">
        <v>1</v>
      </c>
    </row>
    <row r="484" spans="12:107" ht="21" customHeight="1">
      <c r="L484" s="1021" t="s">
        <v>26</v>
      </c>
      <c r="M484" s="6787"/>
      <c r="N484" s="6787"/>
      <c r="O484" s="6787"/>
      <c r="P484" s="6788"/>
      <c r="Q484" s="6789"/>
      <c r="R484" s="6790"/>
      <c r="S484" s="6786"/>
      <c r="T484" s="6791"/>
      <c r="U484" s="6844"/>
      <c r="V484" s="6791"/>
      <c r="W484" s="8487"/>
      <c r="X484" s="6871"/>
      <c r="Y484" s="6793"/>
      <c r="Z484" s="6794"/>
      <c r="AA484" s="6795"/>
      <c r="AB484" s="6796"/>
      <c r="AC484" s="6797"/>
      <c r="AD484" s="6798"/>
      <c r="AE484" s="4" t="s">
        <v>1</v>
      </c>
      <c r="AF484" s="6202" t="str">
        <f t="shared" si="189"/>
        <v>►</v>
      </c>
      <c r="AG484" s="6234" t="str">
        <f t="shared" si="190"/>
        <v/>
      </c>
      <c r="AH484" s="6732" t="str">
        <f t="shared" si="191"/>
        <v/>
      </c>
      <c r="AI484" s="6234" t="str">
        <f t="shared" si="192"/>
        <v/>
      </c>
      <c r="AJ484" s="6732" t="str">
        <f t="shared" si="193"/>
        <v/>
      </c>
      <c r="AK484" s="6732">
        <f t="shared" si="194"/>
        <v>0</v>
      </c>
      <c r="AL484" s="6230" t="str" cm="1">
        <f t="array" ref="AL484">IF(AF484&lt;&gt;"A","",IFERROR((IFERROR(_xlfn.XLOOKUP(TRIM(SUBSTITUTE(U484,CHAR(160)," ")),$BJ$15:$BJ$62,$BM$15:$BM$62),IFERROR(_xlfn.XLOOKUP(TRIM(SUBSTITUTE(U484,CHAR(160)," ")),$BK$15:$BK$62,$BM$15:$BM$62),_xlfn.XLOOKUP(TRIM(SUBSTITUTE(U484,CHAR(160)," ")),$BL$15:$BL$62,$BM$15:$BM$62))))*T484*IF(ISBLANK(Q484),1,Q484)+IFERROR(_xlfn.XLOOKUP("RECHERCHEX",TRIM(L484:AD484),L484:AD484),0),0))</f>
        <v/>
      </c>
      <c r="AM484" s="6229">
        <f t="shared" si="195"/>
        <v>0</v>
      </c>
      <c r="AN484" s="6857" t="str">
        <f t="shared" si="210"/>
        <v/>
      </c>
      <c r="AO484" s="392">
        <f t="shared" si="196"/>
        <v>0</v>
      </c>
      <c r="AP484" s="392">
        <f t="shared" si="197"/>
        <v>0</v>
      </c>
      <c r="AQ484" s="6190">
        <f t="shared" si="198"/>
        <v>0</v>
      </c>
      <c r="AR484" s="6858" t="str">
        <f t="shared" si="199"/>
        <v/>
      </c>
      <c r="AS484" s="6217"/>
      <c r="AT484" s="6217"/>
      <c r="AU484" s="6271">
        <f t="shared" si="200"/>
        <v>0</v>
      </c>
      <c r="AV484" s="6242">
        <f t="shared" si="201"/>
        <v>0</v>
      </c>
      <c r="AW484" s="6188" cm="1">
        <f t="array" ref="AW484">IF(AK484&lt;&gt;1,0,IF(OR(AU484="",N(AU484)&lt;=0.000000001),"",IF(OR(AO484="",N(AO484)&lt;=0.000000001),0,IF(ISNUMBER(AU484),IFERROR(_xlfn.LET(_xlpm.ai_test,TRIM(AJ484),_xlpm.r,IFERROR(_xlfn.XLOOKUP(_xlpm.ai_test,$BJ$15:$BJ$62,ROW($BJ$15:$BJ$62),0,1),IFERROR(_xlfn.XLOOKUP(_xlpm.ai_test,$BK$15:$BK$62,ROW($BK$15:$BK$62),0,1),_xlfn.XLOOKUP(_xlpm.ai_test,$BL$15:$BL$62,ROW($BL$15:$BL$62),0,1))),_xlpm.p,_xlpm.r-MIN(ROW($BJ$15:$BJ$62))+1,_xlpm.f,INDEX($BM$15:$BM$62,_xlpm.p),_xlpm.u,INDEX($BN$15:$BN$62,_xlpm.p),_xlpm.s,INDEX($BP$15:$BP$62,_xlpm.p),_xlpm.q,N(AU484)/_xlpm.f,IF(_xlpm.q&gt;=_xlpm.s,ROUND(_xlpm.q,1)&amp;" "&amp;_xlpm.ai_test&amp;" = "&amp;ROUND(_xlpm.q*_xlpm.f,1)&amp;" "&amp;_xlpm.u,ROUND(_xlpm.q,1)&amp;" "&amp;_xlpm.ai_test)),""),""))))</f>
        <v>0</v>
      </c>
      <c r="AX484" s="6218"/>
      <c r="AY484" s="6271">
        <f t="shared" si="202"/>
        <v>0</v>
      </c>
      <c r="AZ484" s="6242" t="str">
        <f t="shared" si="203"/>
        <v/>
      </c>
      <c r="BA484" s="6194">
        <f t="shared" si="208"/>
        <v>0</v>
      </c>
      <c r="BB484" s="6192" t="str">
        <f t="shared" si="204"/>
        <v/>
      </c>
      <c r="BC484" s="6219"/>
      <c r="BD484" s="6221">
        <f t="shared" si="209"/>
        <v>0</v>
      </c>
      <c r="BE484" s="6220" t="str">
        <f t="shared" si="205"/>
        <v/>
      </c>
      <c r="BF484" s="4" t="s">
        <v>1</v>
      </c>
      <c r="BG484" s="6196">
        <f t="shared" si="206"/>
        <v>0</v>
      </c>
      <c r="BH484" s="6197">
        <f t="shared" si="207"/>
        <v>0</v>
      </c>
      <c r="BI484"/>
      <c r="BJ484" s="1"/>
      <c r="BK484" s="1"/>
      <c r="BL484" s="1"/>
      <c r="BM484" s="1"/>
      <c r="BN484" s="1"/>
      <c r="BO484" s="1"/>
      <c r="BP484" s="1"/>
      <c r="BQ484" s="1"/>
      <c r="BX484" s="20" t="str">
        <f t="shared" si="188"/>
        <v>►</v>
      </c>
      <c r="BY484" s="2"/>
      <c r="BZ484" s="2"/>
      <c r="CA484" s="2"/>
      <c r="CB484" s="2"/>
      <c r="CC484" s="2"/>
      <c r="DC484" s="5">
        <v>1</v>
      </c>
    </row>
    <row r="485" spans="12:107" ht="21" customHeight="1">
      <c r="L485" s="1021" t="s">
        <v>26</v>
      </c>
      <c r="M485" s="6787"/>
      <c r="N485" s="6787"/>
      <c r="O485" s="6787"/>
      <c r="P485" s="6788"/>
      <c r="Q485" s="6789"/>
      <c r="R485" s="6790"/>
      <c r="S485" s="6786"/>
      <c r="T485" s="6791"/>
      <c r="U485" s="6844"/>
      <c r="V485" s="6791"/>
      <c r="W485" s="8487"/>
      <c r="X485" s="6871"/>
      <c r="Y485" s="6793"/>
      <c r="Z485" s="6794"/>
      <c r="AA485" s="6795"/>
      <c r="AB485" s="6796"/>
      <c r="AC485" s="6797"/>
      <c r="AD485" s="6798"/>
      <c r="AE485" s="4" t="s">
        <v>1</v>
      </c>
      <c r="AF485" s="6202" t="str">
        <f t="shared" si="189"/>
        <v>►</v>
      </c>
      <c r="AG485" s="6234" t="str">
        <f t="shared" si="190"/>
        <v/>
      </c>
      <c r="AH485" s="6732" t="str">
        <f t="shared" si="191"/>
        <v/>
      </c>
      <c r="AI485" s="6234" t="str">
        <f t="shared" si="192"/>
        <v/>
      </c>
      <c r="AJ485" s="6732" t="str">
        <f t="shared" si="193"/>
        <v/>
      </c>
      <c r="AK485" s="6732">
        <f t="shared" si="194"/>
        <v>0</v>
      </c>
      <c r="AL485" s="6230" t="str" cm="1">
        <f t="array" ref="AL485">IF(AF485&lt;&gt;"A","",IFERROR((IFERROR(_xlfn.XLOOKUP(TRIM(SUBSTITUTE(U485,CHAR(160)," ")),$BJ$15:$BJ$62,$BM$15:$BM$62),IFERROR(_xlfn.XLOOKUP(TRIM(SUBSTITUTE(U485,CHAR(160)," ")),$BK$15:$BK$62,$BM$15:$BM$62),_xlfn.XLOOKUP(TRIM(SUBSTITUTE(U485,CHAR(160)," ")),$BL$15:$BL$62,$BM$15:$BM$62))))*T485*IF(ISBLANK(Q485),1,Q485)+IFERROR(_xlfn.XLOOKUP("RECHERCHEX",TRIM(L485:AD485),L485:AD485),0),0))</f>
        <v/>
      </c>
      <c r="AM485" s="6229">
        <f t="shared" si="195"/>
        <v>0</v>
      </c>
      <c r="AN485" s="6857" t="str">
        <f t="shared" si="210"/>
        <v/>
      </c>
      <c r="AO485" s="392">
        <f t="shared" si="196"/>
        <v>0</v>
      </c>
      <c r="AP485" s="392">
        <f t="shared" si="197"/>
        <v>0</v>
      </c>
      <c r="AQ485" s="6191">
        <f t="shared" si="198"/>
        <v>0</v>
      </c>
      <c r="AR485" s="6859" t="str">
        <f t="shared" si="199"/>
        <v/>
      </c>
      <c r="AS485" s="6217"/>
      <c r="AT485" s="6217"/>
      <c r="AU485" s="6272">
        <f t="shared" si="200"/>
        <v>0</v>
      </c>
      <c r="AV485" s="6240">
        <f t="shared" si="201"/>
        <v>0</v>
      </c>
      <c r="AW485" s="6189" cm="1">
        <f t="array" ref="AW485">IF(AK485&lt;&gt;1,0,IF(OR(AU485="",N(AU485)&lt;=0.000000001),"",IF(OR(AO485="",N(AO485)&lt;=0.000000001),0,IF(ISNUMBER(AU485),IFERROR(_xlfn.LET(_xlpm.ai_test,TRIM(AJ485),_xlpm.r,IFERROR(_xlfn.XLOOKUP(_xlpm.ai_test,$BJ$15:$BJ$62,ROW($BJ$15:$BJ$62),0,1),IFERROR(_xlfn.XLOOKUP(_xlpm.ai_test,$BK$15:$BK$62,ROW($BK$15:$BK$62),0,1),_xlfn.XLOOKUP(_xlpm.ai_test,$BL$15:$BL$62,ROW($BL$15:$BL$62),0,1))),_xlpm.p,_xlpm.r-MIN(ROW($BJ$15:$BJ$62))+1,_xlpm.f,INDEX($BM$15:$BM$62,_xlpm.p),_xlpm.u,INDEX($BN$15:$BN$62,_xlpm.p),_xlpm.s,INDEX($BP$15:$BP$62,_xlpm.p),_xlpm.q,N(AU485)/_xlpm.f,IF(_xlpm.q&gt;=_xlpm.s,ROUND(_xlpm.q,1)&amp;" "&amp;_xlpm.ai_test&amp;" = "&amp;ROUND(_xlpm.q*_xlpm.f,1)&amp;" "&amp;_xlpm.u,ROUND(_xlpm.q,1)&amp;" "&amp;_xlpm.ai_test)),""),""))))</f>
        <v>0</v>
      </c>
      <c r="AX485" s="6218"/>
      <c r="AY485" s="6272">
        <f t="shared" si="202"/>
        <v>0</v>
      </c>
      <c r="AZ485" s="6240" t="str">
        <f t="shared" si="203"/>
        <v/>
      </c>
      <c r="BA485" s="6195">
        <f t="shared" si="208"/>
        <v>0</v>
      </c>
      <c r="BB485" s="6193" t="str">
        <f t="shared" si="204"/>
        <v/>
      </c>
      <c r="BC485" s="6219"/>
      <c r="BD485" s="6222">
        <f t="shared" si="209"/>
        <v>0</v>
      </c>
      <c r="BE485" s="6220" t="str">
        <f t="shared" si="205"/>
        <v/>
      </c>
      <c r="BF485" s="4" t="s">
        <v>1</v>
      </c>
      <c r="BG485" s="6196">
        <f t="shared" si="206"/>
        <v>0</v>
      </c>
      <c r="BH485" s="6197">
        <f t="shared" si="207"/>
        <v>0</v>
      </c>
      <c r="BI485"/>
      <c r="BJ485" s="1"/>
      <c r="BK485" s="1"/>
      <c r="BL485" s="1"/>
      <c r="BM485" s="1"/>
      <c r="BN485" s="1"/>
      <c r="BO485" s="1"/>
      <c r="BP485" s="1"/>
      <c r="BQ485" s="1"/>
      <c r="BX485" s="20" t="str">
        <f t="shared" si="188"/>
        <v>►</v>
      </c>
      <c r="BY485" s="2"/>
      <c r="BZ485" s="2"/>
      <c r="CA485" s="2"/>
      <c r="CB485" s="2"/>
      <c r="CC485" s="2"/>
      <c r="DC485" s="5">
        <v>1</v>
      </c>
    </row>
    <row r="486" spans="12:107" ht="21" customHeight="1">
      <c r="L486" s="1021" t="s">
        <v>26</v>
      </c>
      <c r="M486" s="6787"/>
      <c r="N486" s="6787"/>
      <c r="O486" s="6787"/>
      <c r="P486" s="6788"/>
      <c r="Q486" s="6789"/>
      <c r="R486" s="6790"/>
      <c r="S486" s="6786"/>
      <c r="T486" s="6791"/>
      <c r="U486" s="6844"/>
      <c r="V486" s="6791"/>
      <c r="W486" s="8487"/>
      <c r="X486" s="6871"/>
      <c r="Y486" s="6793"/>
      <c r="Z486" s="6794"/>
      <c r="AA486" s="6795"/>
      <c r="AB486" s="6796"/>
      <c r="AC486" s="6797"/>
      <c r="AD486" s="6798"/>
      <c r="AE486" s="4" t="s">
        <v>1</v>
      </c>
      <c r="AF486" s="6202" t="str">
        <f t="shared" si="189"/>
        <v>►</v>
      </c>
      <c r="AG486" s="6234" t="str">
        <f t="shared" si="190"/>
        <v/>
      </c>
      <c r="AH486" s="6732" t="str">
        <f t="shared" si="191"/>
        <v/>
      </c>
      <c r="AI486" s="6234" t="str">
        <f t="shared" si="192"/>
        <v/>
      </c>
      <c r="AJ486" s="6732" t="str">
        <f t="shared" si="193"/>
        <v/>
      </c>
      <c r="AK486" s="6732">
        <f t="shared" si="194"/>
        <v>0</v>
      </c>
      <c r="AL486" s="6230" t="str" cm="1">
        <f t="array" ref="AL486">IF(AF486&lt;&gt;"A","",IFERROR((IFERROR(_xlfn.XLOOKUP(TRIM(SUBSTITUTE(U486,CHAR(160)," ")),$BJ$15:$BJ$62,$BM$15:$BM$62),IFERROR(_xlfn.XLOOKUP(TRIM(SUBSTITUTE(U486,CHAR(160)," ")),$BK$15:$BK$62,$BM$15:$BM$62),_xlfn.XLOOKUP(TRIM(SUBSTITUTE(U486,CHAR(160)," ")),$BL$15:$BL$62,$BM$15:$BM$62))))*T486*IF(ISBLANK(Q486),1,Q486)+IFERROR(_xlfn.XLOOKUP("RECHERCHEX",TRIM(L486:AD486),L486:AD486),0),0))</f>
        <v/>
      </c>
      <c r="AM486" s="6229">
        <f t="shared" si="195"/>
        <v>0</v>
      </c>
      <c r="AN486" s="6857" t="str">
        <f t="shared" si="210"/>
        <v/>
      </c>
      <c r="AO486" s="392">
        <f t="shared" si="196"/>
        <v>0</v>
      </c>
      <c r="AP486" s="392">
        <f t="shared" si="197"/>
        <v>0</v>
      </c>
      <c r="AQ486" s="6190">
        <f t="shared" si="198"/>
        <v>0</v>
      </c>
      <c r="AR486" s="6858" t="str">
        <f t="shared" si="199"/>
        <v/>
      </c>
      <c r="AS486" s="6217"/>
      <c r="AT486" s="6217"/>
      <c r="AU486" s="6271">
        <f t="shared" si="200"/>
        <v>0</v>
      </c>
      <c r="AV486" s="6242">
        <f t="shared" si="201"/>
        <v>0</v>
      </c>
      <c r="AW486" s="6188" cm="1">
        <f t="array" ref="AW486">IF(AK486&lt;&gt;1,0,IF(OR(AU486="",N(AU486)&lt;=0.000000001),"",IF(OR(AO486="",N(AO486)&lt;=0.000000001),0,IF(ISNUMBER(AU486),IFERROR(_xlfn.LET(_xlpm.ai_test,TRIM(AJ486),_xlpm.r,IFERROR(_xlfn.XLOOKUP(_xlpm.ai_test,$BJ$15:$BJ$62,ROW($BJ$15:$BJ$62),0,1),IFERROR(_xlfn.XLOOKUP(_xlpm.ai_test,$BK$15:$BK$62,ROW($BK$15:$BK$62),0,1),_xlfn.XLOOKUP(_xlpm.ai_test,$BL$15:$BL$62,ROW($BL$15:$BL$62),0,1))),_xlpm.p,_xlpm.r-MIN(ROW($BJ$15:$BJ$62))+1,_xlpm.f,INDEX($BM$15:$BM$62,_xlpm.p),_xlpm.u,INDEX($BN$15:$BN$62,_xlpm.p),_xlpm.s,INDEX($BP$15:$BP$62,_xlpm.p),_xlpm.q,N(AU486)/_xlpm.f,IF(_xlpm.q&gt;=_xlpm.s,ROUND(_xlpm.q,1)&amp;" "&amp;_xlpm.ai_test&amp;" = "&amp;ROUND(_xlpm.q*_xlpm.f,1)&amp;" "&amp;_xlpm.u,ROUND(_xlpm.q,1)&amp;" "&amp;_xlpm.ai_test)),""),""))))</f>
        <v>0</v>
      </c>
      <c r="AX486" s="6218"/>
      <c r="AY486" s="6271">
        <f t="shared" si="202"/>
        <v>0</v>
      </c>
      <c r="AZ486" s="6242" t="str">
        <f t="shared" si="203"/>
        <v/>
      </c>
      <c r="BA486" s="6194">
        <f t="shared" si="208"/>
        <v>0</v>
      </c>
      <c r="BB486" s="6192" t="str">
        <f t="shared" si="204"/>
        <v/>
      </c>
      <c r="BC486" s="6219"/>
      <c r="BD486" s="6221">
        <f t="shared" si="209"/>
        <v>0</v>
      </c>
      <c r="BE486" s="6220" t="str">
        <f t="shared" si="205"/>
        <v/>
      </c>
      <c r="BF486" s="4" t="s">
        <v>1</v>
      </c>
      <c r="BG486" s="6196">
        <f t="shared" si="206"/>
        <v>0</v>
      </c>
      <c r="BH486" s="6197">
        <f t="shared" si="207"/>
        <v>0</v>
      </c>
      <c r="BI486"/>
      <c r="BJ486" s="1"/>
      <c r="BK486" s="1"/>
      <c r="BL486" s="1"/>
      <c r="BM486" s="1"/>
      <c r="BN486" s="1"/>
      <c r="BO486" s="1"/>
      <c r="BP486" s="1"/>
      <c r="BQ486" s="1"/>
      <c r="BX486" s="20" t="str">
        <f t="shared" si="188"/>
        <v>►</v>
      </c>
      <c r="BY486" s="2"/>
      <c r="BZ486" s="2"/>
      <c r="CA486" s="2"/>
      <c r="CB486" s="2"/>
      <c r="CC486" s="2"/>
      <c r="DC486" s="5">
        <v>1</v>
      </c>
    </row>
    <row r="487" spans="12:107" ht="21" customHeight="1">
      <c r="L487" s="1021" t="s">
        <v>26</v>
      </c>
      <c r="M487" s="6787"/>
      <c r="N487" s="6787"/>
      <c r="O487" s="6787"/>
      <c r="P487" s="6788"/>
      <c r="Q487" s="6789"/>
      <c r="R487" s="6790"/>
      <c r="S487" s="6786"/>
      <c r="T487" s="6791"/>
      <c r="U487" s="6844"/>
      <c r="V487" s="6791"/>
      <c r="W487" s="8487"/>
      <c r="X487" s="6871"/>
      <c r="Y487" s="6793"/>
      <c r="Z487" s="6794"/>
      <c r="AA487" s="6795"/>
      <c r="AB487" s="6796"/>
      <c r="AC487" s="6797"/>
      <c r="AD487" s="6798"/>
      <c r="AE487" s="4" t="s">
        <v>1</v>
      </c>
      <c r="AF487" s="6202" t="str">
        <f t="shared" si="189"/>
        <v>►</v>
      </c>
      <c r="AG487" s="6234" t="str">
        <f t="shared" si="190"/>
        <v/>
      </c>
      <c r="AH487" s="6732" t="str">
        <f t="shared" si="191"/>
        <v/>
      </c>
      <c r="AI487" s="6234" t="str">
        <f t="shared" si="192"/>
        <v/>
      </c>
      <c r="AJ487" s="6732" t="str">
        <f t="shared" si="193"/>
        <v/>
      </c>
      <c r="AK487" s="6732">
        <f t="shared" si="194"/>
        <v>0</v>
      </c>
      <c r="AL487" s="6230" t="str" cm="1">
        <f t="array" ref="AL487">IF(AF487&lt;&gt;"A","",IFERROR((IFERROR(_xlfn.XLOOKUP(TRIM(SUBSTITUTE(U487,CHAR(160)," ")),$BJ$15:$BJ$62,$BM$15:$BM$62),IFERROR(_xlfn.XLOOKUP(TRIM(SUBSTITUTE(U487,CHAR(160)," ")),$BK$15:$BK$62,$BM$15:$BM$62),_xlfn.XLOOKUP(TRIM(SUBSTITUTE(U487,CHAR(160)," ")),$BL$15:$BL$62,$BM$15:$BM$62))))*T487*IF(ISBLANK(Q487),1,Q487)+IFERROR(_xlfn.XLOOKUP("RECHERCHEX",TRIM(L487:AD487),L487:AD487),0),0))</f>
        <v/>
      </c>
      <c r="AM487" s="6229">
        <f t="shared" si="195"/>
        <v>0</v>
      </c>
      <c r="AN487" s="6857" t="str">
        <f t="shared" si="210"/>
        <v/>
      </c>
      <c r="AO487" s="392">
        <f t="shared" si="196"/>
        <v>0</v>
      </c>
      <c r="AP487" s="392">
        <f t="shared" si="197"/>
        <v>0</v>
      </c>
      <c r="AQ487" s="6191">
        <f t="shared" si="198"/>
        <v>0</v>
      </c>
      <c r="AR487" s="6859" t="str">
        <f t="shared" si="199"/>
        <v/>
      </c>
      <c r="AS487" s="6217"/>
      <c r="AT487" s="6217"/>
      <c r="AU487" s="6272">
        <f t="shared" si="200"/>
        <v>0</v>
      </c>
      <c r="AV487" s="6240">
        <f t="shared" si="201"/>
        <v>0</v>
      </c>
      <c r="AW487" s="6189" cm="1">
        <f t="array" ref="AW487">IF(AK487&lt;&gt;1,0,IF(OR(AU487="",N(AU487)&lt;=0.000000001),"",IF(OR(AO487="",N(AO487)&lt;=0.000000001),0,IF(ISNUMBER(AU487),IFERROR(_xlfn.LET(_xlpm.ai_test,TRIM(AJ487),_xlpm.r,IFERROR(_xlfn.XLOOKUP(_xlpm.ai_test,$BJ$15:$BJ$62,ROW($BJ$15:$BJ$62),0,1),IFERROR(_xlfn.XLOOKUP(_xlpm.ai_test,$BK$15:$BK$62,ROW($BK$15:$BK$62),0,1),_xlfn.XLOOKUP(_xlpm.ai_test,$BL$15:$BL$62,ROW($BL$15:$BL$62),0,1))),_xlpm.p,_xlpm.r-MIN(ROW($BJ$15:$BJ$62))+1,_xlpm.f,INDEX($BM$15:$BM$62,_xlpm.p),_xlpm.u,INDEX($BN$15:$BN$62,_xlpm.p),_xlpm.s,INDEX($BP$15:$BP$62,_xlpm.p),_xlpm.q,N(AU487)/_xlpm.f,IF(_xlpm.q&gt;=_xlpm.s,ROUND(_xlpm.q,1)&amp;" "&amp;_xlpm.ai_test&amp;" = "&amp;ROUND(_xlpm.q*_xlpm.f,1)&amp;" "&amp;_xlpm.u,ROUND(_xlpm.q,1)&amp;" "&amp;_xlpm.ai_test)),""),""))))</f>
        <v>0</v>
      </c>
      <c r="AX487" s="6218"/>
      <c r="AY487" s="6272">
        <f t="shared" si="202"/>
        <v>0</v>
      </c>
      <c r="AZ487" s="6240" t="str">
        <f t="shared" si="203"/>
        <v/>
      </c>
      <c r="BA487" s="6195">
        <f t="shared" si="208"/>
        <v>0</v>
      </c>
      <c r="BB487" s="6193" t="str">
        <f t="shared" si="204"/>
        <v/>
      </c>
      <c r="BC487" s="6219"/>
      <c r="BD487" s="6222">
        <f t="shared" si="209"/>
        <v>0</v>
      </c>
      <c r="BE487" s="6220" t="str">
        <f t="shared" si="205"/>
        <v/>
      </c>
      <c r="BF487" s="4" t="s">
        <v>1</v>
      </c>
      <c r="BG487" s="6196">
        <f t="shared" si="206"/>
        <v>0</v>
      </c>
      <c r="BH487" s="6197">
        <f t="shared" si="207"/>
        <v>0</v>
      </c>
      <c r="BI487"/>
      <c r="BJ487" s="1"/>
      <c r="BK487" s="1"/>
      <c r="BL487" s="1"/>
      <c r="BM487" s="1"/>
      <c r="BN487" s="1"/>
      <c r="BO487" s="1"/>
      <c r="BP487" s="1"/>
      <c r="BQ487" s="1"/>
      <c r="BX487" s="20" t="str">
        <f t="shared" si="188"/>
        <v>►</v>
      </c>
      <c r="BY487" s="2"/>
      <c r="BZ487" s="2"/>
      <c r="CA487" s="2"/>
      <c r="CB487" s="2"/>
      <c r="CC487" s="2"/>
      <c r="DC487" s="5">
        <v>1</v>
      </c>
    </row>
    <row r="488" spans="12:107" ht="21" customHeight="1">
      <c r="L488" s="1021" t="s">
        <v>26</v>
      </c>
      <c r="M488" s="6787"/>
      <c r="N488" s="6787"/>
      <c r="O488" s="6787"/>
      <c r="P488" s="6788"/>
      <c r="Q488" s="6789"/>
      <c r="R488" s="6790"/>
      <c r="S488" s="6786"/>
      <c r="T488" s="6791"/>
      <c r="U488" s="6844"/>
      <c r="V488" s="6791"/>
      <c r="W488" s="8487"/>
      <c r="X488" s="6871"/>
      <c r="Y488" s="6793"/>
      <c r="Z488" s="6794"/>
      <c r="AA488" s="6795"/>
      <c r="AB488" s="6796"/>
      <c r="AC488" s="6797"/>
      <c r="AD488" s="6798"/>
      <c r="AE488" s="4" t="s">
        <v>1</v>
      </c>
      <c r="AF488" s="6202" t="str">
        <f t="shared" si="189"/>
        <v>►</v>
      </c>
      <c r="AG488" s="6234" t="str">
        <f t="shared" si="190"/>
        <v/>
      </c>
      <c r="AH488" s="6732" t="str">
        <f t="shared" si="191"/>
        <v/>
      </c>
      <c r="AI488" s="6234" t="str">
        <f t="shared" si="192"/>
        <v/>
      </c>
      <c r="AJ488" s="6732" t="str">
        <f t="shared" si="193"/>
        <v/>
      </c>
      <c r="AK488" s="6732">
        <f t="shared" si="194"/>
        <v>0</v>
      </c>
      <c r="AL488" s="6230" t="str" cm="1">
        <f t="array" ref="AL488">IF(AF488&lt;&gt;"A","",IFERROR((IFERROR(_xlfn.XLOOKUP(TRIM(SUBSTITUTE(U488,CHAR(160)," ")),$BJ$15:$BJ$62,$BM$15:$BM$62),IFERROR(_xlfn.XLOOKUP(TRIM(SUBSTITUTE(U488,CHAR(160)," ")),$BK$15:$BK$62,$BM$15:$BM$62),_xlfn.XLOOKUP(TRIM(SUBSTITUTE(U488,CHAR(160)," ")),$BL$15:$BL$62,$BM$15:$BM$62))))*T488*IF(ISBLANK(Q488),1,Q488)+IFERROR(_xlfn.XLOOKUP("RECHERCHEX",TRIM(L488:AD488),L488:AD488),0),0))</f>
        <v/>
      </c>
      <c r="AM488" s="6229">
        <f t="shared" si="195"/>
        <v>0</v>
      </c>
      <c r="AN488" s="6857" t="str">
        <f t="shared" si="210"/>
        <v/>
      </c>
      <c r="AO488" s="392">
        <f t="shared" si="196"/>
        <v>0</v>
      </c>
      <c r="AP488" s="392">
        <f t="shared" si="197"/>
        <v>0</v>
      </c>
      <c r="AQ488" s="6190">
        <f t="shared" si="198"/>
        <v>0</v>
      </c>
      <c r="AR488" s="6858" t="str">
        <f t="shared" si="199"/>
        <v/>
      </c>
      <c r="AS488" s="6217"/>
      <c r="AT488" s="6217"/>
      <c r="AU488" s="6271">
        <f t="shared" si="200"/>
        <v>0</v>
      </c>
      <c r="AV488" s="6242">
        <f t="shared" si="201"/>
        <v>0</v>
      </c>
      <c r="AW488" s="6188" cm="1">
        <f t="array" ref="AW488">IF(AK488&lt;&gt;1,0,IF(OR(AU488="",N(AU488)&lt;=0.000000001),"",IF(OR(AO488="",N(AO488)&lt;=0.000000001),0,IF(ISNUMBER(AU488),IFERROR(_xlfn.LET(_xlpm.ai_test,TRIM(AJ488),_xlpm.r,IFERROR(_xlfn.XLOOKUP(_xlpm.ai_test,$BJ$15:$BJ$62,ROW($BJ$15:$BJ$62),0,1),IFERROR(_xlfn.XLOOKUP(_xlpm.ai_test,$BK$15:$BK$62,ROW($BK$15:$BK$62),0,1),_xlfn.XLOOKUP(_xlpm.ai_test,$BL$15:$BL$62,ROW($BL$15:$BL$62),0,1))),_xlpm.p,_xlpm.r-MIN(ROW($BJ$15:$BJ$62))+1,_xlpm.f,INDEX($BM$15:$BM$62,_xlpm.p),_xlpm.u,INDEX($BN$15:$BN$62,_xlpm.p),_xlpm.s,INDEX($BP$15:$BP$62,_xlpm.p),_xlpm.q,N(AU488)/_xlpm.f,IF(_xlpm.q&gt;=_xlpm.s,ROUND(_xlpm.q,1)&amp;" "&amp;_xlpm.ai_test&amp;" = "&amp;ROUND(_xlpm.q*_xlpm.f,1)&amp;" "&amp;_xlpm.u,ROUND(_xlpm.q,1)&amp;" "&amp;_xlpm.ai_test)),""),""))))</f>
        <v>0</v>
      </c>
      <c r="AX488" s="6218"/>
      <c r="AY488" s="6271">
        <f t="shared" si="202"/>
        <v>0</v>
      </c>
      <c r="AZ488" s="6242" t="str">
        <f t="shared" si="203"/>
        <v/>
      </c>
      <c r="BA488" s="6194">
        <f t="shared" si="208"/>
        <v>0</v>
      </c>
      <c r="BB488" s="6192" t="str">
        <f t="shared" si="204"/>
        <v/>
      </c>
      <c r="BC488" s="6219"/>
      <c r="BD488" s="6221">
        <f t="shared" si="209"/>
        <v>0</v>
      </c>
      <c r="BE488" s="6220" t="str">
        <f t="shared" si="205"/>
        <v/>
      </c>
      <c r="BF488" s="4" t="s">
        <v>1</v>
      </c>
      <c r="BG488" s="6196">
        <f t="shared" si="206"/>
        <v>0</v>
      </c>
      <c r="BH488" s="6197">
        <f t="shared" si="207"/>
        <v>0</v>
      </c>
      <c r="BI488"/>
      <c r="BJ488" s="1"/>
      <c r="BK488" s="1"/>
      <c r="BL488" s="1"/>
      <c r="BM488" s="1"/>
      <c r="BN488" s="1"/>
      <c r="BO488" s="1"/>
      <c r="BP488" s="1"/>
      <c r="BQ488" s="1"/>
      <c r="BX488" s="20" t="str">
        <f t="shared" si="188"/>
        <v>►</v>
      </c>
      <c r="BY488" s="2"/>
      <c r="BZ488" s="2"/>
      <c r="CA488" s="2"/>
      <c r="CB488" s="2"/>
      <c r="CC488" s="2"/>
      <c r="DC488" s="5">
        <v>1</v>
      </c>
    </row>
    <row r="489" spans="12:107" ht="21" customHeight="1">
      <c r="L489" s="1021" t="s">
        <v>26</v>
      </c>
      <c r="M489" s="6787"/>
      <c r="N489" s="6787"/>
      <c r="O489" s="6787"/>
      <c r="P489" s="6788"/>
      <c r="Q489" s="6789"/>
      <c r="R489" s="6790"/>
      <c r="S489" s="6786"/>
      <c r="T489" s="6791"/>
      <c r="U489" s="6844"/>
      <c r="V489" s="6791"/>
      <c r="W489" s="8487"/>
      <c r="X489" s="6871"/>
      <c r="Y489" s="6793"/>
      <c r="Z489" s="6794"/>
      <c r="AA489" s="6795"/>
      <c r="AB489" s="6796"/>
      <c r="AC489" s="6797"/>
      <c r="AD489" s="6798"/>
      <c r="AE489" s="4" t="s">
        <v>1</v>
      </c>
      <c r="AF489" s="6202" t="str">
        <f t="shared" si="189"/>
        <v>►</v>
      </c>
      <c r="AG489" s="6234" t="str">
        <f t="shared" si="190"/>
        <v/>
      </c>
      <c r="AH489" s="6732" t="str">
        <f t="shared" si="191"/>
        <v/>
      </c>
      <c r="AI489" s="6234" t="str">
        <f t="shared" si="192"/>
        <v/>
      </c>
      <c r="AJ489" s="6732" t="str">
        <f t="shared" si="193"/>
        <v/>
      </c>
      <c r="AK489" s="6732">
        <f t="shared" si="194"/>
        <v>0</v>
      </c>
      <c r="AL489" s="6230" t="str" cm="1">
        <f t="array" ref="AL489">IF(AF489&lt;&gt;"A","",IFERROR((IFERROR(_xlfn.XLOOKUP(TRIM(SUBSTITUTE(U489,CHAR(160)," ")),$BJ$15:$BJ$62,$BM$15:$BM$62),IFERROR(_xlfn.XLOOKUP(TRIM(SUBSTITUTE(U489,CHAR(160)," ")),$BK$15:$BK$62,$BM$15:$BM$62),_xlfn.XLOOKUP(TRIM(SUBSTITUTE(U489,CHAR(160)," ")),$BL$15:$BL$62,$BM$15:$BM$62))))*T489*IF(ISBLANK(Q489),1,Q489)+IFERROR(_xlfn.XLOOKUP("RECHERCHEX",TRIM(L489:AD489),L489:AD489),0),0))</f>
        <v/>
      </c>
      <c r="AM489" s="6229">
        <f t="shared" si="195"/>
        <v>0</v>
      </c>
      <c r="AN489" s="6857" t="str">
        <f t="shared" si="210"/>
        <v/>
      </c>
      <c r="AO489" s="392">
        <f t="shared" si="196"/>
        <v>0</v>
      </c>
      <c r="AP489" s="392">
        <f t="shared" si="197"/>
        <v>0</v>
      </c>
      <c r="AQ489" s="6191">
        <f t="shared" si="198"/>
        <v>0</v>
      </c>
      <c r="AR489" s="6859" t="str">
        <f t="shared" si="199"/>
        <v/>
      </c>
      <c r="AS489" s="6217"/>
      <c r="AT489" s="6217"/>
      <c r="AU489" s="6272">
        <f t="shared" si="200"/>
        <v>0</v>
      </c>
      <c r="AV489" s="6240">
        <f t="shared" si="201"/>
        <v>0</v>
      </c>
      <c r="AW489" s="6189" cm="1">
        <f t="array" ref="AW489">IF(AK489&lt;&gt;1,0,IF(OR(AU489="",N(AU489)&lt;=0.000000001),"",IF(OR(AO489="",N(AO489)&lt;=0.000000001),0,IF(ISNUMBER(AU489),IFERROR(_xlfn.LET(_xlpm.ai_test,TRIM(AJ489),_xlpm.r,IFERROR(_xlfn.XLOOKUP(_xlpm.ai_test,$BJ$15:$BJ$62,ROW($BJ$15:$BJ$62),0,1),IFERROR(_xlfn.XLOOKUP(_xlpm.ai_test,$BK$15:$BK$62,ROW($BK$15:$BK$62),0,1),_xlfn.XLOOKUP(_xlpm.ai_test,$BL$15:$BL$62,ROW($BL$15:$BL$62),0,1))),_xlpm.p,_xlpm.r-MIN(ROW($BJ$15:$BJ$62))+1,_xlpm.f,INDEX($BM$15:$BM$62,_xlpm.p),_xlpm.u,INDEX($BN$15:$BN$62,_xlpm.p),_xlpm.s,INDEX($BP$15:$BP$62,_xlpm.p),_xlpm.q,N(AU489)/_xlpm.f,IF(_xlpm.q&gt;=_xlpm.s,ROUND(_xlpm.q,1)&amp;" "&amp;_xlpm.ai_test&amp;" = "&amp;ROUND(_xlpm.q*_xlpm.f,1)&amp;" "&amp;_xlpm.u,ROUND(_xlpm.q,1)&amp;" "&amp;_xlpm.ai_test)),""),""))))</f>
        <v>0</v>
      </c>
      <c r="AX489" s="6218"/>
      <c r="AY489" s="6272">
        <f t="shared" si="202"/>
        <v>0</v>
      </c>
      <c r="AZ489" s="6240" t="str">
        <f t="shared" si="203"/>
        <v/>
      </c>
      <c r="BA489" s="6195">
        <f t="shared" si="208"/>
        <v>0</v>
      </c>
      <c r="BB489" s="6193" t="str">
        <f t="shared" si="204"/>
        <v/>
      </c>
      <c r="BC489" s="6219"/>
      <c r="BD489" s="6222">
        <f t="shared" si="209"/>
        <v>0</v>
      </c>
      <c r="BE489" s="6220" t="str">
        <f t="shared" si="205"/>
        <v/>
      </c>
      <c r="BF489" s="4" t="s">
        <v>1</v>
      </c>
      <c r="BG489" s="6196">
        <f t="shared" si="206"/>
        <v>0</v>
      </c>
      <c r="BH489" s="6197">
        <f t="shared" si="207"/>
        <v>0</v>
      </c>
      <c r="BI489"/>
      <c r="BJ489" s="1"/>
      <c r="BK489" s="1"/>
      <c r="BL489" s="1"/>
      <c r="BM489" s="1"/>
      <c r="BN489" s="1"/>
      <c r="BO489" s="1"/>
      <c r="BP489" s="1"/>
      <c r="BQ489" s="1"/>
      <c r="BX489" s="20" t="str">
        <f t="shared" si="188"/>
        <v>►</v>
      </c>
      <c r="BY489" s="2"/>
      <c r="BZ489" s="2"/>
      <c r="CA489" s="2"/>
      <c r="CB489" s="2"/>
      <c r="CC489" s="2"/>
      <c r="DC489" s="5">
        <v>1</v>
      </c>
    </row>
    <row r="490" spans="12:107" ht="21" customHeight="1">
      <c r="L490" s="1021" t="s">
        <v>26</v>
      </c>
      <c r="M490" s="6787"/>
      <c r="N490" s="6787"/>
      <c r="O490" s="6787"/>
      <c r="P490" s="6788"/>
      <c r="Q490" s="6789"/>
      <c r="R490" s="6790"/>
      <c r="S490" s="6786"/>
      <c r="T490" s="6791"/>
      <c r="U490" s="6844"/>
      <c r="V490" s="6791"/>
      <c r="W490" s="8487"/>
      <c r="X490" s="6871"/>
      <c r="Y490" s="6793"/>
      <c r="Z490" s="6794"/>
      <c r="AA490" s="6795"/>
      <c r="AB490" s="6796"/>
      <c r="AC490" s="6797"/>
      <c r="AD490" s="6798"/>
      <c r="AE490" s="4" t="s">
        <v>1</v>
      </c>
      <c r="AF490" s="6202" t="str">
        <f t="shared" si="189"/>
        <v>►</v>
      </c>
      <c r="AG490" s="6234" t="str">
        <f t="shared" si="190"/>
        <v/>
      </c>
      <c r="AH490" s="6732" t="str">
        <f t="shared" si="191"/>
        <v/>
      </c>
      <c r="AI490" s="6234" t="str">
        <f t="shared" si="192"/>
        <v/>
      </c>
      <c r="AJ490" s="6732" t="str">
        <f t="shared" si="193"/>
        <v/>
      </c>
      <c r="AK490" s="6732">
        <f t="shared" si="194"/>
        <v>0</v>
      </c>
      <c r="AL490" s="6230" t="str" cm="1">
        <f t="array" ref="AL490">IF(AF490&lt;&gt;"A","",IFERROR((IFERROR(_xlfn.XLOOKUP(TRIM(SUBSTITUTE(U490,CHAR(160)," ")),$BJ$15:$BJ$62,$BM$15:$BM$62),IFERROR(_xlfn.XLOOKUP(TRIM(SUBSTITUTE(U490,CHAR(160)," ")),$BK$15:$BK$62,$BM$15:$BM$62),_xlfn.XLOOKUP(TRIM(SUBSTITUTE(U490,CHAR(160)," ")),$BL$15:$BL$62,$BM$15:$BM$62))))*T490*IF(ISBLANK(Q490),1,Q490)+IFERROR(_xlfn.XLOOKUP("RECHERCHEX",TRIM(L490:AD490),L490:AD490),0),0))</f>
        <v/>
      </c>
      <c r="AM490" s="6229">
        <f t="shared" si="195"/>
        <v>0</v>
      </c>
      <c r="AN490" s="6857" t="str">
        <f t="shared" si="210"/>
        <v/>
      </c>
      <c r="AO490" s="392">
        <f t="shared" si="196"/>
        <v>0</v>
      </c>
      <c r="AP490" s="392">
        <f t="shared" si="197"/>
        <v>0</v>
      </c>
      <c r="AQ490" s="6190">
        <f t="shared" si="198"/>
        <v>0</v>
      </c>
      <c r="AR490" s="6858" t="str">
        <f t="shared" si="199"/>
        <v/>
      </c>
      <c r="AS490" s="6217"/>
      <c r="AT490" s="6217"/>
      <c r="AU490" s="6271">
        <f t="shared" si="200"/>
        <v>0</v>
      </c>
      <c r="AV490" s="6242">
        <f t="shared" si="201"/>
        <v>0</v>
      </c>
      <c r="AW490" s="6188" cm="1">
        <f t="array" ref="AW490">IF(AK490&lt;&gt;1,0,IF(OR(AU490="",N(AU490)&lt;=0.000000001),"",IF(OR(AO490="",N(AO490)&lt;=0.000000001),0,IF(ISNUMBER(AU490),IFERROR(_xlfn.LET(_xlpm.ai_test,TRIM(AJ490),_xlpm.r,IFERROR(_xlfn.XLOOKUP(_xlpm.ai_test,$BJ$15:$BJ$62,ROW($BJ$15:$BJ$62),0,1),IFERROR(_xlfn.XLOOKUP(_xlpm.ai_test,$BK$15:$BK$62,ROW($BK$15:$BK$62),0,1),_xlfn.XLOOKUP(_xlpm.ai_test,$BL$15:$BL$62,ROW($BL$15:$BL$62),0,1))),_xlpm.p,_xlpm.r-MIN(ROW($BJ$15:$BJ$62))+1,_xlpm.f,INDEX($BM$15:$BM$62,_xlpm.p),_xlpm.u,INDEX($BN$15:$BN$62,_xlpm.p),_xlpm.s,INDEX($BP$15:$BP$62,_xlpm.p),_xlpm.q,N(AU490)/_xlpm.f,IF(_xlpm.q&gt;=_xlpm.s,ROUND(_xlpm.q,1)&amp;" "&amp;_xlpm.ai_test&amp;" = "&amp;ROUND(_xlpm.q*_xlpm.f,1)&amp;" "&amp;_xlpm.u,ROUND(_xlpm.q,1)&amp;" "&amp;_xlpm.ai_test)),""),""))))</f>
        <v>0</v>
      </c>
      <c r="AX490" s="6218"/>
      <c r="AY490" s="6271">
        <f t="shared" si="202"/>
        <v>0</v>
      </c>
      <c r="AZ490" s="6242" t="str">
        <f t="shared" si="203"/>
        <v/>
      </c>
      <c r="BA490" s="6194">
        <f t="shared" si="208"/>
        <v>0</v>
      </c>
      <c r="BB490" s="6192" t="str">
        <f t="shared" si="204"/>
        <v/>
      </c>
      <c r="BC490" s="6219"/>
      <c r="BD490" s="6221">
        <f t="shared" si="209"/>
        <v>0</v>
      </c>
      <c r="BE490" s="6220" t="str">
        <f t="shared" si="205"/>
        <v/>
      </c>
      <c r="BF490" s="4" t="s">
        <v>1</v>
      </c>
      <c r="BG490" s="6196">
        <f t="shared" si="206"/>
        <v>0</v>
      </c>
      <c r="BH490" s="6197">
        <f t="shared" si="207"/>
        <v>0</v>
      </c>
      <c r="BI490"/>
      <c r="BJ490" s="1"/>
      <c r="BK490" s="1"/>
      <c r="BL490" s="1"/>
      <c r="BM490" s="1"/>
      <c r="BN490" s="1"/>
      <c r="BO490" s="1"/>
      <c r="BP490" s="1"/>
      <c r="BQ490" s="1"/>
      <c r="BX490" s="20" t="str">
        <f t="shared" si="188"/>
        <v>►</v>
      </c>
      <c r="BY490" s="2"/>
      <c r="BZ490" s="2"/>
      <c r="CA490" s="2"/>
      <c r="CB490" s="2"/>
      <c r="CC490" s="2"/>
      <c r="DC490" s="5">
        <v>1</v>
      </c>
    </row>
    <row r="491" spans="12:107" ht="21" customHeight="1">
      <c r="L491" s="1021" t="s">
        <v>26</v>
      </c>
      <c r="M491" s="6787"/>
      <c r="N491" s="6787"/>
      <c r="O491" s="6787"/>
      <c r="P491" s="6788"/>
      <c r="Q491" s="6789"/>
      <c r="R491" s="6790"/>
      <c r="S491" s="6786"/>
      <c r="T491" s="6791"/>
      <c r="U491" s="6844"/>
      <c r="V491" s="6791"/>
      <c r="W491" s="8487"/>
      <c r="X491" s="6871"/>
      <c r="Y491" s="6793"/>
      <c r="Z491" s="6794"/>
      <c r="AA491" s="6795"/>
      <c r="AB491" s="6796"/>
      <c r="AC491" s="6797"/>
      <c r="AD491" s="6798"/>
      <c r="AE491" s="4" t="s">
        <v>1</v>
      </c>
      <c r="AF491" s="6202" t="str">
        <f t="shared" si="189"/>
        <v>►</v>
      </c>
      <c r="AG491" s="6234" t="str">
        <f t="shared" si="190"/>
        <v/>
      </c>
      <c r="AH491" s="6732" t="str">
        <f t="shared" si="191"/>
        <v/>
      </c>
      <c r="AI491" s="6234" t="str">
        <f t="shared" si="192"/>
        <v/>
      </c>
      <c r="AJ491" s="6732" t="str">
        <f t="shared" si="193"/>
        <v/>
      </c>
      <c r="AK491" s="6732">
        <f t="shared" si="194"/>
        <v>0</v>
      </c>
      <c r="AL491" s="6230" t="str" cm="1">
        <f t="array" ref="AL491">IF(AF491&lt;&gt;"A","",IFERROR((IFERROR(_xlfn.XLOOKUP(TRIM(SUBSTITUTE(U491,CHAR(160)," ")),$BJ$15:$BJ$62,$BM$15:$BM$62),IFERROR(_xlfn.XLOOKUP(TRIM(SUBSTITUTE(U491,CHAR(160)," ")),$BK$15:$BK$62,$BM$15:$BM$62),_xlfn.XLOOKUP(TRIM(SUBSTITUTE(U491,CHAR(160)," ")),$BL$15:$BL$62,$BM$15:$BM$62))))*T491*IF(ISBLANK(Q491),1,Q491)+IFERROR(_xlfn.XLOOKUP("RECHERCHEX",TRIM(L491:AD491),L491:AD491),0),0))</f>
        <v/>
      </c>
      <c r="AM491" s="6229">
        <f t="shared" si="195"/>
        <v>0</v>
      </c>
      <c r="AN491" s="6857" t="str">
        <f t="shared" si="210"/>
        <v/>
      </c>
      <c r="AO491" s="392">
        <f t="shared" si="196"/>
        <v>0</v>
      </c>
      <c r="AP491" s="392">
        <f t="shared" si="197"/>
        <v>0</v>
      </c>
      <c r="AQ491" s="6191">
        <f t="shared" si="198"/>
        <v>0</v>
      </c>
      <c r="AR491" s="6859" t="str">
        <f t="shared" si="199"/>
        <v/>
      </c>
      <c r="AS491" s="6217"/>
      <c r="AT491" s="6217"/>
      <c r="AU491" s="6272">
        <f t="shared" si="200"/>
        <v>0</v>
      </c>
      <c r="AV491" s="6240">
        <f t="shared" si="201"/>
        <v>0</v>
      </c>
      <c r="AW491" s="6189" cm="1">
        <f t="array" ref="AW491">IF(AK491&lt;&gt;1,0,IF(OR(AU491="",N(AU491)&lt;=0.000000001),"",IF(OR(AO491="",N(AO491)&lt;=0.000000001),0,IF(ISNUMBER(AU491),IFERROR(_xlfn.LET(_xlpm.ai_test,TRIM(AJ491),_xlpm.r,IFERROR(_xlfn.XLOOKUP(_xlpm.ai_test,$BJ$15:$BJ$62,ROW($BJ$15:$BJ$62),0,1),IFERROR(_xlfn.XLOOKUP(_xlpm.ai_test,$BK$15:$BK$62,ROW($BK$15:$BK$62),0,1),_xlfn.XLOOKUP(_xlpm.ai_test,$BL$15:$BL$62,ROW($BL$15:$BL$62),0,1))),_xlpm.p,_xlpm.r-MIN(ROW($BJ$15:$BJ$62))+1,_xlpm.f,INDEX($BM$15:$BM$62,_xlpm.p),_xlpm.u,INDEX($BN$15:$BN$62,_xlpm.p),_xlpm.s,INDEX($BP$15:$BP$62,_xlpm.p),_xlpm.q,N(AU491)/_xlpm.f,IF(_xlpm.q&gt;=_xlpm.s,ROUND(_xlpm.q,1)&amp;" "&amp;_xlpm.ai_test&amp;" = "&amp;ROUND(_xlpm.q*_xlpm.f,1)&amp;" "&amp;_xlpm.u,ROUND(_xlpm.q,1)&amp;" "&amp;_xlpm.ai_test)),""),""))))</f>
        <v>0</v>
      </c>
      <c r="AX491" s="6218"/>
      <c r="AY491" s="6272">
        <f t="shared" si="202"/>
        <v>0</v>
      </c>
      <c r="AZ491" s="6240" t="str">
        <f t="shared" si="203"/>
        <v/>
      </c>
      <c r="BA491" s="6195">
        <f t="shared" si="208"/>
        <v>0</v>
      </c>
      <c r="BB491" s="6193" t="str">
        <f t="shared" si="204"/>
        <v/>
      </c>
      <c r="BC491" s="6219"/>
      <c r="BD491" s="6222">
        <f t="shared" si="209"/>
        <v>0</v>
      </c>
      <c r="BE491" s="6220" t="str">
        <f t="shared" si="205"/>
        <v/>
      </c>
      <c r="BF491" s="4" t="s">
        <v>1</v>
      </c>
      <c r="BG491" s="6196">
        <f t="shared" si="206"/>
        <v>0</v>
      </c>
      <c r="BH491" s="6197">
        <f t="shared" si="207"/>
        <v>0</v>
      </c>
      <c r="BI491"/>
      <c r="BJ491" s="1"/>
      <c r="BK491" s="1"/>
      <c r="BL491" s="1"/>
      <c r="BM491" s="1"/>
      <c r="BN491" s="1"/>
      <c r="BO491" s="1"/>
      <c r="BP491" s="1"/>
      <c r="BQ491" s="1"/>
      <c r="BX491" s="20" t="str">
        <f t="shared" si="188"/>
        <v>►</v>
      </c>
      <c r="BY491" s="2"/>
      <c r="BZ491" s="2"/>
      <c r="CA491" s="2"/>
      <c r="CB491" s="2"/>
      <c r="CC491" s="2"/>
      <c r="DC491" s="5">
        <v>1</v>
      </c>
    </row>
    <row r="492" spans="12:107" ht="21" customHeight="1">
      <c r="L492" s="1021" t="s">
        <v>26</v>
      </c>
      <c r="M492" s="6787"/>
      <c r="N492" s="6787"/>
      <c r="O492" s="6787"/>
      <c r="P492" s="6788"/>
      <c r="Q492" s="6789"/>
      <c r="R492" s="6790"/>
      <c r="S492" s="6786"/>
      <c r="T492" s="6791"/>
      <c r="U492" s="6844"/>
      <c r="V492" s="6791"/>
      <c r="W492" s="8487"/>
      <c r="X492" s="6871"/>
      <c r="Y492" s="6793"/>
      <c r="Z492" s="6794"/>
      <c r="AA492" s="6795"/>
      <c r="AB492" s="6796"/>
      <c r="AC492" s="6797"/>
      <c r="AD492" s="6798"/>
      <c r="AE492" s="4" t="s">
        <v>1</v>
      </c>
      <c r="AF492" s="6202" t="str">
        <f t="shared" si="189"/>
        <v>►</v>
      </c>
      <c r="AG492" s="6234" t="str">
        <f t="shared" si="190"/>
        <v/>
      </c>
      <c r="AH492" s="6732" t="str">
        <f t="shared" si="191"/>
        <v/>
      </c>
      <c r="AI492" s="6234" t="str">
        <f t="shared" si="192"/>
        <v/>
      </c>
      <c r="AJ492" s="6732" t="str">
        <f t="shared" si="193"/>
        <v/>
      </c>
      <c r="AK492" s="6732">
        <f t="shared" si="194"/>
        <v>0</v>
      </c>
      <c r="AL492" s="6230" t="str" cm="1">
        <f t="array" ref="AL492">IF(AF492&lt;&gt;"A","",IFERROR((IFERROR(_xlfn.XLOOKUP(TRIM(SUBSTITUTE(U492,CHAR(160)," ")),$BJ$15:$BJ$62,$BM$15:$BM$62),IFERROR(_xlfn.XLOOKUP(TRIM(SUBSTITUTE(U492,CHAR(160)," ")),$BK$15:$BK$62,$BM$15:$BM$62),_xlfn.XLOOKUP(TRIM(SUBSTITUTE(U492,CHAR(160)," ")),$BL$15:$BL$62,$BM$15:$BM$62))))*T492*IF(ISBLANK(Q492),1,Q492)+IFERROR(_xlfn.XLOOKUP("RECHERCHEX",TRIM(L492:AD492),L492:AD492),0),0))</f>
        <v/>
      </c>
      <c r="AM492" s="6229">
        <f t="shared" si="195"/>
        <v>0</v>
      </c>
      <c r="AN492" s="6857" t="str">
        <f t="shared" si="210"/>
        <v/>
      </c>
      <c r="AO492" s="392">
        <f t="shared" si="196"/>
        <v>0</v>
      </c>
      <c r="AP492" s="392">
        <f t="shared" si="197"/>
        <v>0</v>
      </c>
      <c r="AQ492" s="6190">
        <f t="shared" si="198"/>
        <v>0</v>
      </c>
      <c r="AR492" s="6858" t="str">
        <f t="shared" si="199"/>
        <v/>
      </c>
      <c r="AS492" s="6217"/>
      <c r="AT492" s="6217"/>
      <c r="AU492" s="6271">
        <f t="shared" si="200"/>
        <v>0</v>
      </c>
      <c r="AV492" s="6242">
        <f t="shared" si="201"/>
        <v>0</v>
      </c>
      <c r="AW492" s="6188" cm="1">
        <f t="array" ref="AW492">IF(AK492&lt;&gt;1,0,IF(OR(AU492="",N(AU492)&lt;=0.000000001),"",IF(OR(AO492="",N(AO492)&lt;=0.000000001),0,IF(ISNUMBER(AU492),IFERROR(_xlfn.LET(_xlpm.ai_test,TRIM(AJ492),_xlpm.r,IFERROR(_xlfn.XLOOKUP(_xlpm.ai_test,$BJ$15:$BJ$62,ROW($BJ$15:$BJ$62),0,1),IFERROR(_xlfn.XLOOKUP(_xlpm.ai_test,$BK$15:$BK$62,ROW($BK$15:$BK$62),0,1),_xlfn.XLOOKUP(_xlpm.ai_test,$BL$15:$BL$62,ROW($BL$15:$BL$62),0,1))),_xlpm.p,_xlpm.r-MIN(ROW($BJ$15:$BJ$62))+1,_xlpm.f,INDEX($BM$15:$BM$62,_xlpm.p),_xlpm.u,INDEX($BN$15:$BN$62,_xlpm.p),_xlpm.s,INDEX($BP$15:$BP$62,_xlpm.p),_xlpm.q,N(AU492)/_xlpm.f,IF(_xlpm.q&gt;=_xlpm.s,ROUND(_xlpm.q,1)&amp;" "&amp;_xlpm.ai_test&amp;" = "&amp;ROUND(_xlpm.q*_xlpm.f,1)&amp;" "&amp;_xlpm.u,ROUND(_xlpm.q,1)&amp;" "&amp;_xlpm.ai_test)),""),""))))</f>
        <v>0</v>
      </c>
      <c r="AX492" s="6218"/>
      <c r="AY492" s="6271">
        <f t="shared" si="202"/>
        <v>0</v>
      </c>
      <c r="AZ492" s="6242" t="str">
        <f t="shared" si="203"/>
        <v/>
      </c>
      <c r="BA492" s="6194">
        <f t="shared" si="208"/>
        <v>0</v>
      </c>
      <c r="BB492" s="6192" t="str">
        <f t="shared" si="204"/>
        <v/>
      </c>
      <c r="BC492" s="6219"/>
      <c r="BD492" s="6221">
        <f t="shared" si="209"/>
        <v>0</v>
      </c>
      <c r="BE492" s="6220" t="str">
        <f t="shared" si="205"/>
        <v/>
      </c>
      <c r="BF492" s="4" t="s">
        <v>1</v>
      </c>
      <c r="BG492" s="6196">
        <f t="shared" si="206"/>
        <v>0</v>
      </c>
      <c r="BH492" s="6197">
        <f t="shared" si="207"/>
        <v>0</v>
      </c>
      <c r="BI492"/>
      <c r="BJ492" s="1"/>
      <c r="BK492" s="1"/>
      <c r="BL492" s="1"/>
      <c r="BM492" s="1"/>
      <c r="BN492" s="1"/>
      <c r="BO492" s="1"/>
      <c r="BP492" s="1"/>
      <c r="BQ492" s="1"/>
      <c r="BX492" s="20" t="str">
        <f t="shared" si="188"/>
        <v>►</v>
      </c>
      <c r="BY492" s="2"/>
      <c r="BZ492" s="2"/>
      <c r="CA492" s="2"/>
      <c r="CB492" s="2"/>
      <c r="CC492" s="2"/>
      <c r="DC492" s="5">
        <v>1</v>
      </c>
    </row>
    <row r="493" spans="12:107" ht="21" customHeight="1">
      <c r="L493" s="1021" t="s">
        <v>26</v>
      </c>
      <c r="M493" s="6787"/>
      <c r="N493" s="6787"/>
      <c r="O493" s="6787"/>
      <c r="P493" s="6788"/>
      <c r="Q493" s="6789"/>
      <c r="R493" s="6790"/>
      <c r="S493" s="6786"/>
      <c r="T493" s="6791"/>
      <c r="U493" s="6844"/>
      <c r="V493" s="6791"/>
      <c r="W493" s="8487"/>
      <c r="X493" s="6871"/>
      <c r="Y493" s="6793"/>
      <c r="Z493" s="6794"/>
      <c r="AA493" s="6795"/>
      <c r="AB493" s="6796"/>
      <c r="AC493" s="6797"/>
      <c r="AD493" s="6798"/>
      <c r="AE493" s="4" t="s">
        <v>1</v>
      </c>
      <c r="AF493" s="6202" t="str">
        <f t="shared" si="189"/>
        <v>►</v>
      </c>
      <c r="AG493" s="6234" t="str">
        <f t="shared" si="190"/>
        <v/>
      </c>
      <c r="AH493" s="6732" t="str">
        <f t="shared" si="191"/>
        <v/>
      </c>
      <c r="AI493" s="6234" t="str">
        <f t="shared" si="192"/>
        <v/>
      </c>
      <c r="AJ493" s="6732" t="str">
        <f t="shared" si="193"/>
        <v/>
      </c>
      <c r="AK493" s="6732">
        <f t="shared" si="194"/>
        <v>0</v>
      </c>
      <c r="AL493" s="6230" t="str" cm="1">
        <f t="array" ref="AL493">IF(AF493&lt;&gt;"A","",IFERROR((IFERROR(_xlfn.XLOOKUP(TRIM(SUBSTITUTE(U493,CHAR(160)," ")),$BJ$15:$BJ$62,$BM$15:$BM$62),IFERROR(_xlfn.XLOOKUP(TRIM(SUBSTITUTE(U493,CHAR(160)," ")),$BK$15:$BK$62,$BM$15:$BM$62),_xlfn.XLOOKUP(TRIM(SUBSTITUTE(U493,CHAR(160)," ")),$BL$15:$BL$62,$BM$15:$BM$62))))*T493*IF(ISBLANK(Q493),1,Q493)+IFERROR(_xlfn.XLOOKUP("RECHERCHEX",TRIM(L493:AD493),L493:AD493),0),0))</f>
        <v/>
      </c>
      <c r="AM493" s="6229">
        <f t="shared" si="195"/>
        <v>0</v>
      </c>
      <c r="AN493" s="6857" t="str">
        <f t="shared" si="210"/>
        <v/>
      </c>
      <c r="AO493" s="392">
        <f t="shared" si="196"/>
        <v>0</v>
      </c>
      <c r="AP493" s="392">
        <f t="shared" si="197"/>
        <v>0</v>
      </c>
      <c r="AQ493" s="6191">
        <f t="shared" si="198"/>
        <v>0</v>
      </c>
      <c r="AR493" s="6859" t="str">
        <f t="shared" si="199"/>
        <v/>
      </c>
      <c r="AS493" s="6217"/>
      <c r="AT493" s="6217"/>
      <c r="AU493" s="6272">
        <f t="shared" si="200"/>
        <v>0</v>
      </c>
      <c r="AV493" s="6240">
        <f t="shared" si="201"/>
        <v>0</v>
      </c>
      <c r="AW493" s="6189" cm="1">
        <f t="array" ref="AW493">IF(AK493&lt;&gt;1,0,IF(OR(AU493="",N(AU493)&lt;=0.000000001),"",IF(OR(AO493="",N(AO493)&lt;=0.000000001),0,IF(ISNUMBER(AU493),IFERROR(_xlfn.LET(_xlpm.ai_test,TRIM(AJ493),_xlpm.r,IFERROR(_xlfn.XLOOKUP(_xlpm.ai_test,$BJ$15:$BJ$62,ROW($BJ$15:$BJ$62),0,1),IFERROR(_xlfn.XLOOKUP(_xlpm.ai_test,$BK$15:$BK$62,ROW($BK$15:$BK$62),0,1),_xlfn.XLOOKUP(_xlpm.ai_test,$BL$15:$BL$62,ROW($BL$15:$BL$62),0,1))),_xlpm.p,_xlpm.r-MIN(ROW($BJ$15:$BJ$62))+1,_xlpm.f,INDEX($BM$15:$BM$62,_xlpm.p),_xlpm.u,INDEX($BN$15:$BN$62,_xlpm.p),_xlpm.s,INDEX($BP$15:$BP$62,_xlpm.p),_xlpm.q,N(AU493)/_xlpm.f,IF(_xlpm.q&gt;=_xlpm.s,ROUND(_xlpm.q,1)&amp;" "&amp;_xlpm.ai_test&amp;" = "&amp;ROUND(_xlpm.q*_xlpm.f,1)&amp;" "&amp;_xlpm.u,ROUND(_xlpm.q,1)&amp;" "&amp;_xlpm.ai_test)),""),""))))</f>
        <v>0</v>
      </c>
      <c r="AX493" s="6218"/>
      <c r="AY493" s="6272">
        <f t="shared" si="202"/>
        <v>0</v>
      </c>
      <c r="AZ493" s="6240" t="str">
        <f t="shared" si="203"/>
        <v/>
      </c>
      <c r="BA493" s="6195">
        <f t="shared" si="208"/>
        <v>0</v>
      </c>
      <c r="BB493" s="6193" t="str">
        <f t="shared" si="204"/>
        <v/>
      </c>
      <c r="BC493" s="6219"/>
      <c r="BD493" s="6222">
        <f t="shared" si="209"/>
        <v>0</v>
      </c>
      <c r="BE493" s="6220" t="str">
        <f t="shared" si="205"/>
        <v/>
      </c>
      <c r="BF493" s="4" t="s">
        <v>1</v>
      </c>
      <c r="BG493" s="6196">
        <f t="shared" si="206"/>
        <v>0</v>
      </c>
      <c r="BH493" s="6197">
        <f t="shared" si="207"/>
        <v>0</v>
      </c>
      <c r="BI493"/>
      <c r="BJ493" s="1"/>
      <c r="BK493" s="1"/>
      <c r="BL493" s="1"/>
      <c r="BM493" s="1"/>
      <c r="BN493" s="1"/>
      <c r="BO493" s="1"/>
      <c r="BP493" s="1"/>
      <c r="BQ493" s="1"/>
      <c r="BX493" s="20" t="str">
        <f t="shared" si="188"/>
        <v>►</v>
      </c>
      <c r="BY493" s="2"/>
      <c r="BZ493" s="2"/>
      <c r="CA493" s="2"/>
      <c r="CB493" s="2"/>
      <c r="CC493" s="2"/>
      <c r="DC493" s="5">
        <v>1</v>
      </c>
    </row>
    <row r="494" spans="12:107" ht="21" customHeight="1">
      <c r="L494" s="1021" t="s">
        <v>26</v>
      </c>
      <c r="M494" s="6787"/>
      <c r="N494" s="6787"/>
      <c r="O494" s="6787"/>
      <c r="P494" s="6788"/>
      <c r="Q494" s="6789"/>
      <c r="R494" s="6790"/>
      <c r="S494" s="6786"/>
      <c r="T494" s="6791"/>
      <c r="U494" s="6844"/>
      <c r="V494" s="6791"/>
      <c r="W494" s="8487"/>
      <c r="X494" s="6871"/>
      <c r="Y494" s="6793"/>
      <c r="Z494" s="6794"/>
      <c r="AA494" s="6795"/>
      <c r="AB494" s="6796"/>
      <c r="AC494" s="6797"/>
      <c r="AD494" s="6798"/>
      <c r="AE494" s="4" t="s">
        <v>1</v>
      </c>
      <c r="AF494" s="6202" t="str">
        <f t="shared" si="189"/>
        <v>►</v>
      </c>
      <c r="AG494" s="6234" t="str">
        <f t="shared" si="190"/>
        <v/>
      </c>
      <c r="AH494" s="6732" t="str">
        <f t="shared" si="191"/>
        <v/>
      </c>
      <c r="AI494" s="6234" t="str">
        <f t="shared" si="192"/>
        <v/>
      </c>
      <c r="AJ494" s="6732" t="str">
        <f t="shared" si="193"/>
        <v/>
      </c>
      <c r="AK494" s="6732">
        <f t="shared" si="194"/>
        <v>0</v>
      </c>
      <c r="AL494" s="6230" t="str" cm="1">
        <f t="array" ref="AL494">IF(AF494&lt;&gt;"A","",IFERROR((IFERROR(_xlfn.XLOOKUP(TRIM(SUBSTITUTE(U494,CHAR(160)," ")),$BJ$15:$BJ$62,$BM$15:$BM$62),IFERROR(_xlfn.XLOOKUP(TRIM(SUBSTITUTE(U494,CHAR(160)," ")),$BK$15:$BK$62,$BM$15:$BM$62),_xlfn.XLOOKUP(TRIM(SUBSTITUTE(U494,CHAR(160)," ")),$BL$15:$BL$62,$BM$15:$BM$62))))*T494*IF(ISBLANK(Q494),1,Q494)+IFERROR(_xlfn.XLOOKUP("RECHERCHEX",TRIM(L494:AD494),L494:AD494),0),0))</f>
        <v/>
      </c>
      <c r="AM494" s="6229">
        <f t="shared" si="195"/>
        <v>0</v>
      </c>
      <c r="AN494" s="6857" t="str">
        <f t="shared" si="210"/>
        <v/>
      </c>
      <c r="AO494" s="392">
        <f t="shared" si="196"/>
        <v>0</v>
      </c>
      <c r="AP494" s="392">
        <f t="shared" si="197"/>
        <v>0</v>
      </c>
      <c r="AQ494" s="6190">
        <f t="shared" si="198"/>
        <v>0</v>
      </c>
      <c r="AR494" s="6858" t="str">
        <f t="shared" si="199"/>
        <v/>
      </c>
      <c r="AS494" s="6217"/>
      <c r="AT494" s="6217"/>
      <c r="AU494" s="6271">
        <f t="shared" si="200"/>
        <v>0</v>
      </c>
      <c r="AV494" s="6242">
        <f t="shared" si="201"/>
        <v>0</v>
      </c>
      <c r="AW494" s="6188" cm="1">
        <f t="array" ref="AW494">IF(AK494&lt;&gt;1,0,IF(OR(AU494="",N(AU494)&lt;=0.000000001),"",IF(OR(AO494="",N(AO494)&lt;=0.000000001),0,IF(ISNUMBER(AU494),IFERROR(_xlfn.LET(_xlpm.ai_test,TRIM(AJ494),_xlpm.r,IFERROR(_xlfn.XLOOKUP(_xlpm.ai_test,$BJ$15:$BJ$62,ROW($BJ$15:$BJ$62),0,1),IFERROR(_xlfn.XLOOKUP(_xlpm.ai_test,$BK$15:$BK$62,ROW($BK$15:$BK$62),0,1),_xlfn.XLOOKUP(_xlpm.ai_test,$BL$15:$BL$62,ROW($BL$15:$BL$62),0,1))),_xlpm.p,_xlpm.r-MIN(ROW($BJ$15:$BJ$62))+1,_xlpm.f,INDEX($BM$15:$BM$62,_xlpm.p),_xlpm.u,INDEX($BN$15:$BN$62,_xlpm.p),_xlpm.s,INDEX($BP$15:$BP$62,_xlpm.p),_xlpm.q,N(AU494)/_xlpm.f,IF(_xlpm.q&gt;=_xlpm.s,ROUND(_xlpm.q,1)&amp;" "&amp;_xlpm.ai_test&amp;" = "&amp;ROUND(_xlpm.q*_xlpm.f,1)&amp;" "&amp;_xlpm.u,ROUND(_xlpm.q,1)&amp;" "&amp;_xlpm.ai_test)),""),""))))</f>
        <v>0</v>
      </c>
      <c r="AX494" s="6218"/>
      <c r="AY494" s="6271">
        <f t="shared" si="202"/>
        <v>0</v>
      </c>
      <c r="AZ494" s="6242" t="str">
        <f t="shared" si="203"/>
        <v/>
      </c>
      <c r="BA494" s="6194">
        <f t="shared" si="208"/>
        <v>0</v>
      </c>
      <c r="BB494" s="6192" t="str">
        <f t="shared" si="204"/>
        <v/>
      </c>
      <c r="BC494" s="6219"/>
      <c r="BD494" s="6221">
        <f t="shared" si="209"/>
        <v>0</v>
      </c>
      <c r="BE494" s="6220" t="str">
        <f t="shared" si="205"/>
        <v/>
      </c>
      <c r="BF494" s="4" t="s">
        <v>1</v>
      </c>
      <c r="BG494" s="6196">
        <f t="shared" si="206"/>
        <v>0</v>
      </c>
      <c r="BH494" s="6197">
        <f t="shared" si="207"/>
        <v>0</v>
      </c>
      <c r="BI494"/>
      <c r="BJ494" s="1"/>
      <c r="BK494" s="1"/>
      <c r="BL494" s="1"/>
      <c r="BM494" s="1"/>
      <c r="BN494" s="1"/>
      <c r="BO494" s="1"/>
      <c r="BP494" s="1"/>
      <c r="BQ494" s="1"/>
      <c r="BX494" s="20" t="str">
        <f t="shared" si="188"/>
        <v>►</v>
      </c>
      <c r="BY494" s="2"/>
      <c r="BZ494" s="2"/>
      <c r="CA494" s="2"/>
      <c r="CB494" s="2"/>
      <c r="CC494" s="2"/>
      <c r="DC494" s="5">
        <v>1</v>
      </c>
    </row>
    <row r="495" spans="12:107" ht="21" customHeight="1">
      <c r="L495" s="1021" t="s">
        <v>26</v>
      </c>
      <c r="M495" s="6787"/>
      <c r="N495" s="6787"/>
      <c r="O495" s="6787"/>
      <c r="P495" s="6788"/>
      <c r="Q495" s="6789"/>
      <c r="R495" s="6790"/>
      <c r="S495" s="6786"/>
      <c r="T495" s="6791"/>
      <c r="U495" s="6844"/>
      <c r="V495" s="6791"/>
      <c r="W495" s="8487"/>
      <c r="X495" s="6871"/>
      <c r="Y495" s="6793"/>
      <c r="Z495" s="6794"/>
      <c r="AA495" s="6795"/>
      <c r="AB495" s="6796"/>
      <c r="AC495" s="6797"/>
      <c r="AD495" s="6798"/>
      <c r="AE495" s="4" t="s">
        <v>1</v>
      </c>
      <c r="AF495" s="6202" t="str">
        <f t="shared" si="189"/>
        <v>►</v>
      </c>
      <c r="AG495" s="6234" t="str">
        <f t="shared" si="190"/>
        <v/>
      </c>
      <c r="AH495" s="6732" t="str">
        <f t="shared" si="191"/>
        <v/>
      </c>
      <c r="AI495" s="6234" t="str">
        <f t="shared" si="192"/>
        <v/>
      </c>
      <c r="AJ495" s="6732" t="str">
        <f t="shared" si="193"/>
        <v/>
      </c>
      <c r="AK495" s="6732">
        <f t="shared" si="194"/>
        <v>0</v>
      </c>
      <c r="AL495" s="6230" t="str" cm="1">
        <f t="array" ref="AL495">IF(AF495&lt;&gt;"A","",IFERROR((IFERROR(_xlfn.XLOOKUP(TRIM(SUBSTITUTE(U495,CHAR(160)," ")),$BJ$15:$BJ$62,$BM$15:$BM$62),IFERROR(_xlfn.XLOOKUP(TRIM(SUBSTITUTE(U495,CHAR(160)," ")),$BK$15:$BK$62,$BM$15:$BM$62),_xlfn.XLOOKUP(TRIM(SUBSTITUTE(U495,CHAR(160)," ")),$BL$15:$BL$62,$BM$15:$BM$62))))*T495*IF(ISBLANK(Q495),1,Q495)+IFERROR(_xlfn.XLOOKUP("RECHERCHEX",TRIM(L495:AD495),L495:AD495),0),0))</f>
        <v/>
      </c>
      <c r="AM495" s="6229">
        <f t="shared" si="195"/>
        <v>0</v>
      </c>
      <c r="AN495" s="6857" t="str">
        <f t="shared" si="210"/>
        <v/>
      </c>
      <c r="AO495" s="392">
        <f t="shared" si="196"/>
        <v>0</v>
      </c>
      <c r="AP495" s="392">
        <f t="shared" si="197"/>
        <v>0</v>
      </c>
      <c r="AQ495" s="6191">
        <f t="shared" si="198"/>
        <v>0</v>
      </c>
      <c r="AR495" s="6859" t="str">
        <f t="shared" si="199"/>
        <v/>
      </c>
      <c r="AS495" s="6217"/>
      <c r="AT495" s="6217"/>
      <c r="AU495" s="6272">
        <f t="shared" si="200"/>
        <v>0</v>
      </c>
      <c r="AV495" s="6240">
        <f t="shared" si="201"/>
        <v>0</v>
      </c>
      <c r="AW495" s="6189" cm="1">
        <f t="array" ref="AW495">IF(AK495&lt;&gt;1,0,IF(OR(AU495="",N(AU495)&lt;=0.000000001),"",IF(OR(AO495="",N(AO495)&lt;=0.000000001),0,IF(ISNUMBER(AU495),IFERROR(_xlfn.LET(_xlpm.ai_test,TRIM(AJ495),_xlpm.r,IFERROR(_xlfn.XLOOKUP(_xlpm.ai_test,$BJ$15:$BJ$62,ROW($BJ$15:$BJ$62),0,1),IFERROR(_xlfn.XLOOKUP(_xlpm.ai_test,$BK$15:$BK$62,ROW($BK$15:$BK$62),0,1),_xlfn.XLOOKUP(_xlpm.ai_test,$BL$15:$BL$62,ROW($BL$15:$BL$62),0,1))),_xlpm.p,_xlpm.r-MIN(ROW($BJ$15:$BJ$62))+1,_xlpm.f,INDEX($BM$15:$BM$62,_xlpm.p),_xlpm.u,INDEX($BN$15:$BN$62,_xlpm.p),_xlpm.s,INDEX($BP$15:$BP$62,_xlpm.p),_xlpm.q,N(AU495)/_xlpm.f,IF(_xlpm.q&gt;=_xlpm.s,ROUND(_xlpm.q,1)&amp;" "&amp;_xlpm.ai_test&amp;" = "&amp;ROUND(_xlpm.q*_xlpm.f,1)&amp;" "&amp;_xlpm.u,ROUND(_xlpm.q,1)&amp;" "&amp;_xlpm.ai_test)),""),""))))</f>
        <v>0</v>
      </c>
      <c r="AX495" s="6218"/>
      <c r="AY495" s="6272">
        <f t="shared" si="202"/>
        <v>0</v>
      </c>
      <c r="AZ495" s="6240" t="str">
        <f t="shared" si="203"/>
        <v/>
      </c>
      <c r="BA495" s="6195">
        <f t="shared" si="208"/>
        <v>0</v>
      </c>
      <c r="BB495" s="6193" t="str">
        <f t="shared" si="204"/>
        <v/>
      </c>
      <c r="BC495" s="6219"/>
      <c r="BD495" s="6222">
        <f t="shared" si="209"/>
        <v>0</v>
      </c>
      <c r="BE495" s="6220" t="str">
        <f t="shared" si="205"/>
        <v/>
      </c>
      <c r="BF495" s="4" t="s">
        <v>1</v>
      </c>
      <c r="BG495" s="6196">
        <f t="shared" si="206"/>
        <v>0</v>
      </c>
      <c r="BH495" s="6197">
        <f t="shared" si="207"/>
        <v>0</v>
      </c>
      <c r="BI495"/>
      <c r="BJ495" s="1"/>
      <c r="BK495" s="1"/>
      <c r="BL495" s="1"/>
      <c r="BM495" s="1"/>
      <c r="BN495" s="1"/>
      <c r="BO495" s="1"/>
      <c r="BP495" s="1"/>
      <c r="BQ495" s="1"/>
      <c r="BX495" s="20" t="str">
        <f t="shared" si="188"/>
        <v>►</v>
      </c>
      <c r="BY495" s="2"/>
      <c r="BZ495" s="2"/>
      <c r="CA495" s="2"/>
      <c r="CB495" s="2"/>
      <c r="CC495" s="2"/>
      <c r="DC495" s="5">
        <v>1</v>
      </c>
    </row>
    <row r="496" spans="12:107" ht="21" customHeight="1">
      <c r="L496" s="1021" t="s">
        <v>26</v>
      </c>
      <c r="M496" s="6787"/>
      <c r="N496" s="6787"/>
      <c r="O496" s="6787"/>
      <c r="P496" s="6788"/>
      <c r="Q496" s="6789"/>
      <c r="R496" s="6790"/>
      <c r="S496" s="6786"/>
      <c r="T496" s="6791"/>
      <c r="U496" s="6844"/>
      <c r="V496" s="6791"/>
      <c r="W496" s="8487"/>
      <c r="X496" s="6871"/>
      <c r="Y496" s="6793"/>
      <c r="Z496" s="6794"/>
      <c r="AA496" s="6795"/>
      <c r="AB496" s="6796"/>
      <c r="AC496" s="6797"/>
      <c r="AD496" s="6798"/>
      <c r="AE496" s="4" t="s">
        <v>1</v>
      </c>
      <c r="AF496" s="6202" t="str">
        <f t="shared" si="189"/>
        <v>►</v>
      </c>
      <c r="AG496" s="6234" t="str">
        <f t="shared" si="190"/>
        <v/>
      </c>
      <c r="AH496" s="6732" t="str">
        <f t="shared" si="191"/>
        <v/>
      </c>
      <c r="AI496" s="6234" t="str">
        <f t="shared" si="192"/>
        <v/>
      </c>
      <c r="AJ496" s="6732" t="str">
        <f t="shared" si="193"/>
        <v/>
      </c>
      <c r="AK496" s="6732">
        <f t="shared" si="194"/>
        <v>0</v>
      </c>
      <c r="AL496" s="6230" t="str" cm="1">
        <f t="array" ref="AL496">IF(AF496&lt;&gt;"A","",IFERROR((IFERROR(_xlfn.XLOOKUP(TRIM(SUBSTITUTE(U496,CHAR(160)," ")),$BJ$15:$BJ$62,$BM$15:$BM$62),IFERROR(_xlfn.XLOOKUP(TRIM(SUBSTITUTE(U496,CHAR(160)," ")),$BK$15:$BK$62,$BM$15:$BM$62),_xlfn.XLOOKUP(TRIM(SUBSTITUTE(U496,CHAR(160)," ")),$BL$15:$BL$62,$BM$15:$BM$62))))*T496*IF(ISBLANK(Q496),1,Q496)+IFERROR(_xlfn.XLOOKUP("RECHERCHEX",TRIM(L496:AD496),L496:AD496),0),0))</f>
        <v/>
      </c>
      <c r="AM496" s="6229">
        <f t="shared" si="195"/>
        <v>0</v>
      </c>
      <c r="AN496" s="6857" t="str">
        <f t="shared" si="210"/>
        <v/>
      </c>
      <c r="AO496" s="392">
        <f t="shared" si="196"/>
        <v>0</v>
      </c>
      <c r="AP496" s="392">
        <f t="shared" si="197"/>
        <v>0</v>
      </c>
      <c r="AQ496" s="6190">
        <f t="shared" si="198"/>
        <v>0</v>
      </c>
      <c r="AR496" s="6858" t="str">
        <f t="shared" si="199"/>
        <v/>
      </c>
      <c r="AS496" s="6217"/>
      <c r="AT496" s="6217"/>
      <c r="AU496" s="6271">
        <f t="shared" si="200"/>
        <v>0</v>
      </c>
      <c r="AV496" s="6242">
        <f t="shared" si="201"/>
        <v>0</v>
      </c>
      <c r="AW496" s="6188" cm="1">
        <f t="array" ref="AW496">IF(AK496&lt;&gt;1,0,IF(OR(AU496="",N(AU496)&lt;=0.000000001),"",IF(OR(AO496="",N(AO496)&lt;=0.000000001),0,IF(ISNUMBER(AU496),IFERROR(_xlfn.LET(_xlpm.ai_test,TRIM(AJ496),_xlpm.r,IFERROR(_xlfn.XLOOKUP(_xlpm.ai_test,$BJ$15:$BJ$62,ROW($BJ$15:$BJ$62),0,1),IFERROR(_xlfn.XLOOKUP(_xlpm.ai_test,$BK$15:$BK$62,ROW($BK$15:$BK$62),0,1),_xlfn.XLOOKUP(_xlpm.ai_test,$BL$15:$BL$62,ROW($BL$15:$BL$62),0,1))),_xlpm.p,_xlpm.r-MIN(ROW($BJ$15:$BJ$62))+1,_xlpm.f,INDEX($BM$15:$BM$62,_xlpm.p),_xlpm.u,INDEX($BN$15:$BN$62,_xlpm.p),_xlpm.s,INDEX($BP$15:$BP$62,_xlpm.p),_xlpm.q,N(AU496)/_xlpm.f,IF(_xlpm.q&gt;=_xlpm.s,ROUND(_xlpm.q,1)&amp;" "&amp;_xlpm.ai_test&amp;" = "&amp;ROUND(_xlpm.q*_xlpm.f,1)&amp;" "&amp;_xlpm.u,ROUND(_xlpm.q,1)&amp;" "&amp;_xlpm.ai_test)),""),""))))</f>
        <v>0</v>
      </c>
      <c r="AX496" s="6218"/>
      <c r="AY496" s="6271">
        <f t="shared" si="202"/>
        <v>0</v>
      </c>
      <c r="AZ496" s="6242" t="str">
        <f t="shared" si="203"/>
        <v/>
      </c>
      <c r="BA496" s="6194">
        <f t="shared" si="208"/>
        <v>0</v>
      </c>
      <c r="BB496" s="6192" t="str">
        <f t="shared" si="204"/>
        <v/>
      </c>
      <c r="BC496" s="6219"/>
      <c r="BD496" s="6221">
        <f t="shared" si="209"/>
        <v>0</v>
      </c>
      <c r="BE496" s="6220" t="str">
        <f t="shared" si="205"/>
        <v/>
      </c>
      <c r="BF496" s="4" t="s">
        <v>1</v>
      </c>
      <c r="BG496" s="6196">
        <f t="shared" si="206"/>
        <v>0</v>
      </c>
      <c r="BH496" s="6197">
        <f t="shared" si="207"/>
        <v>0</v>
      </c>
      <c r="BI496"/>
      <c r="BJ496" s="1"/>
      <c r="BK496" s="1"/>
      <c r="BL496" s="1"/>
      <c r="BM496" s="1"/>
      <c r="BN496" s="1"/>
      <c r="BO496" s="1"/>
      <c r="BP496" s="1"/>
      <c r="BQ496" s="1"/>
      <c r="BX496" s="20" t="str">
        <f t="shared" si="188"/>
        <v>►</v>
      </c>
      <c r="BY496" s="2"/>
      <c r="BZ496" s="2"/>
      <c r="CA496" s="2"/>
      <c r="CB496" s="2"/>
      <c r="CC496" s="2"/>
      <c r="DC496" s="5">
        <v>1</v>
      </c>
    </row>
    <row r="497" spans="12:107" ht="21" customHeight="1">
      <c r="L497" s="1021" t="s">
        <v>26</v>
      </c>
      <c r="M497" s="6787"/>
      <c r="N497" s="6787"/>
      <c r="O497" s="6787"/>
      <c r="P497" s="6788"/>
      <c r="Q497" s="6789"/>
      <c r="R497" s="6790"/>
      <c r="S497" s="6786"/>
      <c r="T497" s="6791"/>
      <c r="U497" s="6844"/>
      <c r="V497" s="6791"/>
      <c r="W497" s="8487"/>
      <c r="X497" s="6871"/>
      <c r="Y497" s="6793"/>
      <c r="Z497" s="6794"/>
      <c r="AA497" s="6795"/>
      <c r="AB497" s="6796"/>
      <c r="AC497" s="6797"/>
      <c r="AD497" s="6798"/>
      <c r="AE497" s="4" t="s">
        <v>1</v>
      </c>
      <c r="AF497" s="6202" t="str">
        <f t="shared" si="189"/>
        <v>►</v>
      </c>
      <c r="AG497" s="6234" t="str">
        <f t="shared" si="190"/>
        <v/>
      </c>
      <c r="AH497" s="6732" t="str">
        <f t="shared" si="191"/>
        <v/>
      </c>
      <c r="AI497" s="6234" t="str">
        <f t="shared" si="192"/>
        <v/>
      </c>
      <c r="AJ497" s="6732" t="str">
        <f t="shared" si="193"/>
        <v/>
      </c>
      <c r="AK497" s="6732">
        <f t="shared" si="194"/>
        <v>0</v>
      </c>
      <c r="AL497" s="6230" t="str" cm="1">
        <f t="array" ref="AL497">IF(AF497&lt;&gt;"A","",IFERROR((IFERROR(_xlfn.XLOOKUP(TRIM(SUBSTITUTE(U497,CHAR(160)," ")),$BJ$15:$BJ$62,$BM$15:$BM$62),IFERROR(_xlfn.XLOOKUP(TRIM(SUBSTITUTE(U497,CHAR(160)," ")),$BK$15:$BK$62,$BM$15:$BM$62),_xlfn.XLOOKUP(TRIM(SUBSTITUTE(U497,CHAR(160)," ")),$BL$15:$BL$62,$BM$15:$BM$62))))*T497*IF(ISBLANK(Q497),1,Q497)+IFERROR(_xlfn.XLOOKUP("RECHERCHEX",TRIM(L497:AD497),L497:AD497),0),0))</f>
        <v/>
      </c>
      <c r="AM497" s="6229">
        <f t="shared" si="195"/>
        <v>0</v>
      </c>
      <c r="AN497" s="6857" t="str">
        <f t="shared" si="210"/>
        <v/>
      </c>
      <c r="AO497" s="392">
        <f t="shared" si="196"/>
        <v>0</v>
      </c>
      <c r="AP497" s="392">
        <f t="shared" si="197"/>
        <v>0</v>
      </c>
      <c r="AQ497" s="6191">
        <f t="shared" si="198"/>
        <v>0</v>
      </c>
      <c r="AR497" s="6859" t="str">
        <f t="shared" si="199"/>
        <v/>
      </c>
      <c r="AS497" s="6217"/>
      <c r="AT497" s="6217"/>
      <c r="AU497" s="6272">
        <f t="shared" si="200"/>
        <v>0</v>
      </c>
      <c r="AV497" s="6240">
        <f t="shared" si="201"/>
        <v>0</v>
      </c>
      <c r="AW497" s="6189" cm="1">
        <f t="array" ref="AW497">IF(AK497&lt;&gt;1,0,IF(OR(AU497="",N(AU497)&lt;=0.000000001),"",IF(OR(AO497="",N(AO497)&lt;=0.000000001),0,IF(ISNUMBER(AU497),IFERROR(_xlfn.LET(_xlpm.ai_test,TRIM(AJ497),_xlpm.r,IFERROR(_xlfn.XLOOKUP(_xlpm.ai_test,$BJ$15:$BJ$62,ROW($BJ$15:$BJ$62),0,1),IFERROR(_xlfn.XLOOKUP(_xlpm.ai_test,$BK$15:$BK$62,ROW($BK$15:$BK$62),0,1),_xlfn.XLOOKUP(_xlpm.ai_test,$BL$15:$BL$62,ROW($BL$15:$BL$62),0,1))),_xlpm.p,_xlpm.r-MIN(ROW($BJ$15:$BJ$62))+1,_xlpm.f,INDEX($BM$15:$BM$62,_xlpm.p),_xlpm.u,INDEX($BN$15:$BN$62,_xlpm.p),_xlpm.s,INDEX($BP$15:$BP$62,_xlpm.p),_xlpm.q,N(AU497)/_xlpm.f,IF(_xlpm.q&gt;=_xlpm.s,ROUND(_xlpm.q,1)&amp;" "&amp;_xlpm.ai_test&amp;" = "&amp;ROUND(_xlpm.q*_xlpm.f,1)&amp;" "&amp;_xlpm.u,ROUND(_xlpm.q,1)&amp;" "&amp;_xlpm.ai_test)),""),""))))</f>
        <v>0</v>
      </c>
      <c r="AX497" s="6218"/>
      <c r="AY497" s="6272">
        <f t="shared" si="202"/>
        <v>0</v>
      </c>
      <c r="AZ497" s="6240" t="str">
        <f t="shared" si="203"/>
        <v/>
      </c>
      <c r="BA497" s="6195">
        <f t="shared" si="208"/>
        <v>0</v>
      </c>
      <c r="BB497" s="6193" t="str">
        <f t="shared" si="204"/>
        <v/>
      </c>
      <c r="BC497" s="6219"/>
      <c r="BD497" s="6222">
        <f t="shared" si="209"/>
        <v>0</v>
      </c>
      <c r="BE497" s="6220" t="str">
        <f t="shared" si="205"/>
        <v/>
      </c>
      <c r="BF497" s="4" t="s">
        <v>1</v>
      </c>
      <c r="BG497" s="6196">
        <f t="shared" si="206"/>
        <v>0</v>
      </c>
      <c r="BH497" s="6197">
        <f t="shared" si="207"/>
        <v>0</v>
      </c>
      <c r="BI497"/>
      <c r="BJ497" s="1"/>
      <c r="BK497" s="1"/>
      <c r="BL497" s="1"/>
      <c r="BM497" s="1"/>
      <c r="BN497" s="1"/>
      <c r="BO497" s="1"/>
      <c r="BP497" s="1"/>
      <c r="BQ497" s="1"/>
      <c r="BX497" s="20" t="str">
        <f t="shared" si="188"/>
        <v>►</v>
      </c>
      <c r="BY497" s="2"/>
      <c r="BZ497" s="2"/>
      <c r="CA497" s="2"/>
      <c r="CB497" s="2"/>
      <c r="CC497" s="2"/>
      <c r="DC497" s="5">
        <v>1</v>
      </c>
    </row>
    <row r="498" spans="12:107" ht="21" customHeight="1">
      <c r="L498" s="1021" t="s">
        <v>26</v>
      </c>
      <c r="M498" s="6787"/>
      <c r="N498" s="6787"/>
      <c r="O498" s="6787"/>
      <c r="P498" s="6788"/>
      <c r="Q498" s="6789"/>
      <c r="R498" s="6790"/>
      <c r="S498" s="6786"/>
      <c r="T498" s="6791"/>
      <c r="U498" s="6844"/>
      <c r="V498" s="6791"/>
      <c r="W498" s="8487"/>
      <c r="X498" s="6871"/>
      <c r="Y498" s="6793"/>
      <c r="Z498" s="6794"/>
      <c r="AA498" s="6795"/>
      <c r="AB498" s="6796"/>
      <c r="AC498" s="6797"/>
      <c r="AD498" s="6798"/>
      <c r="AE498" s="4" t="s">
        <v>1</v>
      </c>
      <c r="AF498" s="6202" t="str">
        <f t="shared" si="189"/>
        <v>►</v>
      </c>
      <c r="AG498" s="6234" t="str">
        <f t="shared" si="190"/>
        <v/>
      </c>
      <c r="AH498" s="6732" t="str">
        <f t="shared" si="191"/>
        <v/>
      </c>
      <c r="AI498" s="6234" t="str">
        <f t="shared" si="192"/>
        <v/>
      </c>
      <c r="AJ498" s="6732" t="str">
        <f t="shared" si="193"/>
        <v/>
      </c>
      <c r="AK498" s="6732">
        <f t="shared" si="194"/>
        <v>0</v>
      </c>
      <c r="AL498" s="6230" t="str" cm="1">
        <f t="array" ref="AL498">IF(AF498&lt;&gt;"A","",IFERROR((IFERROR(_xlfn.XLOOKUP(TRIM(SUBSTITUTE(U498,CHAR(160)," ")),$BJ$15:$BJ$62,$BM$15:$BM$62),IFERROR(_xlfn.XLOOKUP(TRIM(SUBSTITUTE(U498,CHAR(160)," ")),$BK$15:$BK$62,$BM$15:$BM$62),_xlfn.XLOOKUP(TRIM(SUBSTITUTE(U498,CHAR(160)," ")),$BL$15:$BL$62,$BM$15:$BM$62))))*T498*IF(ISBLANK(Q498),1,Q498)+IFERROR(_xlfn.XLOOKUP("RECHERCHEX",TRIM(L498:AD498),L498:AD498),0),0))</f>
        <v/>
      </c>
      <c r="AM498" s="6229">
        <f t="shared" si="195"/>
        <v>0</v>
      </c>
      <c r="AN498" s="6857" t="str">
        <f t="shared" si="210"/>
        <v/>
      </c>
      <c r="AO498" s="392">
        <f t="shared" si="196"/>
        <v>0</v>
      </c>
      <c r="AP498" s="392">
        <f t="shared" si="197"/>
        <v>0</v>
      </c>
      <c r="AQ498" s="6190">
        <f t="shared" si="198"/>
        <v>0</v>
      </c>
      <c r="AR498" s="6858" t="str">
        <f t="shared" si="199"/>
        <v/>
      </c>
      <c r="AS498" s="6217"/>
      <c r="AT498" s="6217"/>
      <c r="AU498" s="6271">
        <f t="shared" si="200"/>
        <v>0</v>
      </c>
      <c r="AV498" s="6242">
        <f t="shared" si="201"/>
        <v>0</v>
      </c>
      <c r="AW498" s="6188" cm="1">
        <f t="array" ref="AW498">IF(AK498&lt;&gt;1,0,IF(OR(AU498="",N(AU498)&lt;=0.000000001),"",IF(OR(AO498="",N(AO498)&lt;=0.000000001),0,IF(ISNUMBER(AU498),IFERROR(_xlfn.LET(_xlpm.ai_test,TRIM(AJ498),_xlpm.r,IFERROR(_xlfn.XLOOKUP(_xlpm.ai_test,$BJ$15:$BJ$62,ROW($BJ$15:$BJ$62),0,1),IFERROR(_xlfn.XLOOKUP(_xlpm.ai_test,$BK$15:$BK$62,ROW($BK$15:$BK$62),0,1),_xlfn.XLOOKUP(_xlpm.ai_test,$BL$15:$BL$62,ROW($BL$15:$BL$62),0,1))),_xlpm.p,_xlpm.r-MIN(ROW($BJ$15:$BJ$62))+1,_xlpm.f,INDEX($BM$15:$BM$62,_xlpm.p),_xlpm.u,INDEX($BN$15:$BN$62,_xlpm.p),_xlpm.s,INDEX($BP$15:$BP$62,_xlpm.p),_xlpm.q,N(AU498)/_xlpm.f,IF(_xlpm.q&gt;=_xlpm.s,ROUND(_xlpm.q,1)&amp;" "&amp;_xlpm.ai_test&amp;" = "&amp;ROUND(_xlpm.q*_xlpm.f,1)&amp;" "&amp;_xlpm.u,ROUND(_xlpm.q,1)&amp;" "&amp;_xlpm.ai_test)),""),""))))</f>
        <v>0</v>
      </c>
      <c r="AX498" s="6218"/>
      <c r="AY498" s="6271">
        <f t="shared" si="202"/>
        <v>0</v>
      </c>
      <c r="AZ498" s="6242" t="str">
        <f t="shared" si="203"/>
        <v/>
      </c>
      <c r="BA498" s="6194">
        <f t="shared" si="208"/>
        <v>0</v>
      </c>
      <c r="BB498" s="6192" t="str">
        <f t="shared" si="204"/>
        <v/>
      </c>
      <c r="BC498" s="6219"/>
      <c r="BD498" s="6221">
        <f t="shared" si="209"/>
        <v>0</v>
      </c>
      <c r="BE498" s="6220" t="str">
        <f t="shared" si="205"/>
        <v/>
      </c>
      <c r="BF498" s="4" t="s">
        <v>1</v>
      </c>
      <c r="BG498" s="6196">
        <f t="shared" si="206"/>
        <v>0</v>
      </c>
      <c r="BH498" s="6197">
        <f t="shared" si="207"/>
        <v>0</v>
      </c>
      <c r="BI498"/>
      <c r="BJ498" s="1"/>
      <c r="BK498" s="1"/>
      <c r="BL498" s="1"/>
      <c r="BM498" s="1"/>
      <c r="BN498" s="1"/>
      <c r="BO498" s="1"/>
      <c r="BP498" s="1"/>
      <c r="BQ498" s="1"/>
      <c r="BX498" s="20" t="str">
        <f t="shared" si="188"/>
        <v>►</v>
      </c>
      <c r="BY498" s="2"/>
      <c r="BZ498" s="2"/>
      <c r="CA498" s="2"/>
      <c r="CB498" s="2"/>
      <c r="CC498" s="2"/>
      <c r="DC498" s="5">
        <v>1</v>
      </c>
    </row>
    <row r="499" spans="12:107" ht="21" customHeight="1">
      <c r="L499" s="1021" t="s">
        <v>26</v>
      </c>
      <c r="M499" s="6787"/>
      <c r="N499" s="6787"/>
      <c r="O499" s="6787"/>
      <c r="P499" s="6788"/>
      <c r="Q499" s="6789"/>
      <c r="R499" s="6790"/>
      <c r="S499" s="6786"/>
      <c r="T499" s="6791"/>
      <c r="U499" s="6844"/>
      <c r="V499" s="6791"/>
      <c r="W499" s="8487"/>
      <c r="X499" s="6871"/>
      <c r="Y499" s="6793"/>
      <c r="Z499" s="6794"/>
      <c r="AA499" s="6795"/>
      <c r="AB499" s="6796"/>
      <c r="AC499" s="6797"/>
      <c r="AD499" s="6798"/>
      <c r="AE499" s="4" t="s">
        <v>1</v>
      </c>
      <c r="AF499" s="6202" t="str">
        <f t="shared" si="189"/>
        <v>►</v>
      </c>
      <c r="AG499" s="6234" t="str">
        <f t="shared" si="190"/>
        <v/>
      </c>
      <c r="AH499" s="6732" t="str">
        <f t="shared" si="191"/>
        <v/>
      </c>
      <c r="AI499" s="6234" t="str">
        <f t="shared" si="192"/>
        <v/>
      </c>
      <c r="AJ499" s="6732" t="str">
        <f t="shared" si="193"/>
        <v/>
      </c>
      <c r="AK499" s="6732">
        <f t="shared" si="194"/>
        <v>0</v>
      </c>
      <c r="AL499" s="6230" t="str" cm="1">
        <f t="array" ref="AL499">IF(AF499&lt;&gt;"A","",IFERROR((IFERROR(_xlfn.XLOOKUP(TRIM(SUBSTITUTE(U499,CHAR(160)," ")),$BJ$15:$BJ$62,$BM$15:$BM$62),IFERROR(_xlfn.XLOOKUP(TRIM(SUBSTITUTE(U499,CHAR(160)," ")),$BK$15:$BK$62,$BM$15:$BM$62),_xlfn.XLOOKUP(TRIM(SUBSTITUTE(U499,CHAR(160)," ")),$BL$15:$BL$62,$BM$15:$BM$62))))*T499*IF(ISBLANK(Q499),1,Q499)+IFERROR(_xlfn.XLOOKUP("RECHERCHEX",TRIM(L499:AD499),L499:AD499),0),0))</f>
        <v/>
      </c>
      <c r="AM499" s="6229">
        <f t="shared" si="195"/>
        <v>0</v>
      </c>
      <c r="AN499" s="6857" t="str">
        <f t="shared" si="210"/>
        <v/>
      </c>
      <c r="AO499" s="392">
        <f t="shared" si="196"/>
        <v>0</v>
      </c>
      <c r="AP499" s="392">
        <f t="shared" si="197"/>
        <v>0</v>
      </c>
      <c r="AQ499" s="6191">
        <f t="shared" si="198"/>
        <v>0</v>
      </c>
      <c r="AR499" s="6859" t="str">
        <f t="shared" si="199"/>
        <v/>
      </c>
      <c r="AS499" s="6217"/>
      <c r="AT499" s="6217"/>
      <c r="AU499" s="6272">
        <f t="shared" si="200"/>
        <v>0</v>
      </c>
      <c r="AV499" s="6240">
        <f t="shared" si="201"/>
        <v>0</v>
      </c>
      <c r="AW499" s="6189" cm="1">
        <f t="array" ref="AW499">IF(AK499&lt;&gt;1,0,IF(OR(AU499="",N(AU499)&lt;=0.000000001),"",IF(OR(AO499="",N(AO499)&lt;=0.000000001),0,IF(ISNUMBER(AU499),IFERROR(_xlfn.LET(_xlpm.ai_test,TRIM(AJ499),_xlpm.r,IFERROR(_xlfn.XLOOKUP(_xlpm.ai_test,$BJ$15:$BJ$62,ROW($BJ$15:$BJ$62),0,1),IFERROR(_xlfn.XLOOKUP(_xlpm.ai_test,$BK$15:$BK$62,ROW($BK$15:$BK$62),0,1),_xlfn.XLOOKUP(_xlpm.ai_test,$BL$15:$BL$62,ROW($BL$15:$BL$62),0,1))),_xlpm.p,_xlpm.r-MIN(ROW($BJ$15:$BJ$62))+1,_xlpm.f,INDEX($BM$15:$BM$62,_xlpm.p),_xlpm.u,INDEX($BN$15:$BN$62,_xlpm.p),_xlpm.s,INDEX($BP$15:$BP$62,_xlpm.p),_xlpm.q,N(AU499)/_xlpm.f,IF(_xlpm.q&gt;=_xlpm.s,ROUND(_xlpm.q,1)&amp;" "&amp;_xlpm.ai_test&amp;" = "&amp;ROUND(_xlpm.q*_xlpm.f,1)&amp;" "&amp;_xlpm.u,ROUND(_xlpm.q,1)&amp;" "&amp;_xlpm.ai_test)),""),""))))</f>
        <v>0</v>
      </c>
      <c r="AX499" s="6218"/>
      <c r="AY499" s="6272">
        <f t="shared" si="202"/>
        <v>0</v>
      </c>
      <c r="AZ499" s="6240" t="str">
        <f t="shared" si="203"/>
        <v/>
      </c>
      <c r="BA499" s="6195">
        <f t="shared" si="208"/>
        <v>0</v>
      </c>
      <c r="BB499" s="6193" t="str">
        <f t="shared" si="204"/>
        <v/>
      </c>
      <c r="BC499" s="6219"/>
      <c r="BD499" s="6222">
        <f t="shared" si="209"/>
        <v>0</v>
      </c>
      <c r="BE499" s="6220" t="str">
        <f t="shared" si="205"/>
        <v/>
      </c>
      <c r="BF499" s="4" t="s">
        <v>1</v>
      </c>
      <c r="BG499" s="6196">
        <f t="shared" si="206"/>
        <v>0</v>
      </c>
      <c r="BH499" s="6197">
        <f t="shared" si="207"/>
        <v>0</v>
      </c>
      <c r="BI499"/>
      <c r="BJ499" s="1"/>
      <c r="BK499" s="1"/>
      <c r="BL499" s="1"/>
      <c r="BM499" s="1"/>
      <c r="BN499" s="1"/>
      <c r="BO499" s="1"/>
      <c r="BP499" s="1"/>
      <c r="BQ499" s="1"/>
      <c r="BX499" s="20" t="str">
        <f t="shared" si="188"/>
        <v>►</v>
      </c>
      <c r="BY499" s="2"/>
      <c r="BZ499" s="2"/>
      <c r="CA499" s="2"/>
      <c r="CB499" s="2"/>
      <c r="CC499" s="2"/>
      <c r="DC499" s="5">
        <v>1</v>
      </c>
    </row>
    <row r="500" spans="12:107" ht="21" customHeight="1">
      <c r="L500" s="1021" t="s">
        <v>26</v>
      </c>
      <c r="M500" s="6787"/>
      <c r="N500" s="6787"/>
      <c r="O500" s="6787"/>
      <c r="P500" s="6788"/>
      <c r="Q500" s="6789"/>
      <c r="R500" s="6790"/>
      <c r="S500" s="6786"/>
      <c r="T500" s="6791"/>
      <c r="U500" s="6844"/>
      <c r="V500" s="6791"/>
      <c r="W500" s="8487"/>
      <c r="X500" s="6871"/>
      <c r="Y500" s="6793"/>
      <c r="Z500" s="6794"/>
      <c r="AA500" s="6795"/>
      <c r="AB500" s="6796"/>
      <c r="AC500" s="6797"/>
      <c r="AD500" s="6798"/>
      <c r="AE500" s="4" t="s">
        <v>1</v>
      </c>
      <c r="AF500" s="6202" t="str">
        <f t="shared" si="189"/>
        <v>►</v>
      </c>
      <c r="AG500" s="6234" t="str">
        <f t="shared" si="190"/>
        <v/>
      </c>
      <c r="AH500" s="6732" t="str">
        <f t="shared" si="191"/>
        <v/>
      </c>
      <c r="AI500" s="6234" t="str">
        <f t="shared" si="192"/>
        <v/>
      </c>
      <c r="AJ500" s="6732" t="str">
        <f t="shared" si="193"/>
        <v/>
      </c>
      <c r="AK500" s="6732">
        <f t="shared" si="194"/>
        <v>0</v>
      </c>
      <c r="AL500" s="6230" t="str" cm="1">
        <f t="array" ref="AL500">IF(AF500&lt;&gt;"A","",IFERROR((IFERROR(_xlfn.XLOOKUP(TRIM(SUBSTITUTE(U500,CHAR(160)," ")),$BJ$15:$BJ$62,$BM$15:$BM$62),IFERROR(_xlfn.XLOOKUP(TRIM(SUBSTITUTE(U500,CHAR(160)," ")),$BK$15:$BK$62,$BM$15:$BM$62),_xlfn.XLOOKUP(TRIM(SUBSTITUTE(U500,CHAR(160)," ")),$BL$15:$BL$62,$BM$15:$BM$62))))*T500*IF(ISBLANK(Q500),1,Q500)+IFERROR(_xlfn.XLOOKUP("RECHERCHEX",TRIM(L500:AD500),L500:AD500),0),0))</f>
        <v/>
      </c>
      <c r="AM500" s="6229">
        <f t="shared" si="195"/>
        <v>0</v>
      </c>
      <c r="AN500" s="6857" t="str">
        <f t="shared" si="210"/>
        <v/>
      </c>
      <c r="AO500" s="392">
        <f t="shared" si="196"/>
        <v>0</v>
      </c>
      <c r="AP500" s="392">
        <f t="shared" si="197"/>
        <v>0</v>
      </c>
      <c r="AQ500" s="6190">
        <f t="shared" si="198"/>
        <v>0</v>
      </c>
      <c r="AR500" s="6858" t="str">
        <f t="shared" si="199"/>
        <v/>
      </c>
      <c r="AS500" s="6217"/>
      <c r="AT500" s="6217"/>
      <c r="AU500" s="6271">
        <f t="shared" si="200"/>
        <v>0</v>
      </c>
      <c r="AV500" s="6242">
        <f t="shared" si="201"/>
        <v>0</v>
      </c>
      <c r="AW500" s="6188" cm="1">
        <f t="array" ref="AW500">IF(AK500&lt;&gt;1,0,IF(OR(AU500="",N(AU500)&lt;=0.000000001),"",IF(OR(AO500="",N(AO500)&lt;=0.000000001),0,IF(ISNUMBER(AU500),IFERROR(_xlfn.LET(_xlpm.ai_test,TRIM(AJ500),_xlpm.r,IFERROR(_xlfn.XLOOKUP(_xlpm.ai_test,$BJ$15:$BJ$62,ROW($BJ$15:$BJ$62),0,1),IFERROR(_xlfn.XLOOKUP(_xlpm.ai_test,$BK$15:$BK$62,ROW($BK$15:$BK$62),0,1),_xlfn.XLOOKUP(_xlpm.ai_test,$BL$15:$BL$62,ROW($BL$15:$BL$62),0,1))),_xlpm.p,_xlpm.r-MIN(ROW($BJ$15:$BJ$62))+1,_xlpm.f,INDEX($BM$15:$BM$62,_xlpm.p),_xlpm.u,INDEX($BN$15:$BN$62,_xlpm.p),_xlpm.s,INDEX($BP$15:$BP$62,_xlpm.p),_xlpm.q,N(AU500)/_xlpm.f,IF(_xlpm.q&gt;=_xlpm.s,ROUND(_xlpm.q,1)&amp;" "&amp;_xlpm.ai_test&amp;" = "&amp;ROUND(_xlpm.q*_xlpm.f,1)&amp;" "&amp;_xlpm.u,ROUND(_xlpm.q,1)&amp;" "&amp;_xlpm.ai_test)),""),""))))</f>
        <v>0</v>
      </c>
      <c r="AX500" s="6218"/>
      <c r="AY500" s="6271">
        <f t="shared" si="202"/>
        <v>0</v>
      </c>
      <c r="AZ500" s="6242" t="str">
        <f t="shared" si="203"/>
        <v/>
      </c>
      <c r="BA500" s="6194">
        <f t="shared" si="208"/>
        <v>0</v>
      </c>
      <c r="BB500" s="6192" t="str">
        <f t="shared" si="204"/>
        <v/>
      </c>
      <c r="BC500" s="6219"/>
      <c r="BD500" s="6221">
        <f t="shared" si="209"/>
        <v>0</v>
      </c>
      <c r="BE500" s="6220" t="str">
        <f t="shared" si="205"/>
        <v/>
      </c>
      <c r="BF500" s="4" t="s">
        <v>1</v>
      </c>
      <c r="BG500" s="6196">
        <f t="shared" si="206"/>
        <v>0</v>
      </c>
      <c r="BH500" s="6197">
        <f t="shared" si="207"/>
        <v>0</v>
      </c>
      <c r="BI500"/>
      <c r="BJ500" s="1"/>
      <c r="BK500" s="1"/>
      <c r="BL500" s="1"/>
      <c r="BM500" s="1"/>
      <c r="BN500" s="1"/>
      <c r="BO500" s="1"/>
      <c r="BP500" s="1"/>
      <c r="BQ500" s="1"/>
      <c r="BX500" s="20" t="str">
        <f t="shared" si="188"/>
        <v>►</v>
      </c>
      <c r="BY500" s="2"/>
      <c r="BZ500" s="2"/>
      <c r="CA500" s="2"/>
      <c r="CB500" s="2"/>
      <c r="CC500" s="2"/>
      <c r="DC500" s="5">
        <v>1</v>
      </c>
    </row>
    <row r="501" spans="12:107" ht="21" customHeight="1">
      <c r="L501" s="1021" t="s">
        <v>26</v>
      </c>
      <c r="M501" s="6787"/>
      <c r="N501" s="6787"/>
      <c r="O501" s="6787"/>
      <c r="P501" s="6788"/>
      <c r="Q501" s="6789"/>
      <c r="R501" s="6790"/>
      <c r="S501" s="6786"/>
      <c r="T501" s="6791"/>
      <c r="U501" s="6844"/>
      <c r="V501" s="6791"/>
      <c r="W501" s="8487"/>
      <c r="X501" s="6871"/>
      <c r="Y501" s="6793"/>
      <c r="Z501" s="6794"/>
      <c r="AA501" s="6795"/>
      <c r="AB501" s="6796"/>
      <c r="AC501" s="6797"/>
      <c r="AD501" s="6798"/>
      <c r="AE501" s="4" t="s">
        <v>1</v>
      </c>
      <c r="AF501" s="6202" t="str">
        <f t="shared" si="189"/>
        <v>►</v>
      </c>
      <c r="AG501" s="6234" t="str">
        <f t="shared" si="190"/>
        <v/>
      </c>
      <c r="AH501" s="6732" t="str">
        <f t="shared" si="191"/>
        <v/>
      </c>
      <c r="AI501" s="6234" t="str">
        <f t="shared" si="192"/>
        <v/>
      </c>
      <c r="AJ501" s="6732" t="str">
        <f t="shared" si="193"/>
        <v/>
      </c>
      <c r="AK501" s="6732">
        <f t="shared" si="194"/>
        <v>0</v>
      </c>
      <c r="AL501" s="6230" t="str" cm="1">
        <f t="array" ref="AL501">IF(AF501&lt;&gt;"A","",IFERROR((IFERROR(_xlfn.XLOOKUP(TRIM(SUBSTITUTE(U501,CHAR(160)," ")),$BJ$15:$BJ$62,$BM$15:$BM$62),IFERROR(_xlfn.XLOOKUP(TRIM(SUBSTITUTE(U501,CHAR(160)," ")),$BK$15:$BK$62,$BM$15:$BM$62),_xlfn.XLOOKUP(TRIM(SUBSTITUTE(U501,CHAR(160)," ")),$BL$15:$BL$62,$BM$15:$BM$62))))*T501*IF(ISBLANK(Q501),1,Q501)+IFERROR(_xlfn.XLOOKUP("RECHERCHEX",TRIM(L501:AD501),L501:AD501),0),0))</f>
        <v/>
      </c>
      <c r="AM501" s="6229">
        <f t="shared" si="195"/>
        <v>0</v>
      </c>
      <c r="AN501" s="6857" t="str">
        <f t="shared" si="210"/>
        <v/>
      </c>
      <c r="AO501" s="392">
        <f t="shared" si="196"/>
        <v>0</v>
      </c>
      <c r="AP501" s="392">
        <f t="shared" si="197"/>
        <v>0</v>
      </c>
      <c r="AQ501" s="6191">
        <f t="shared" si="198"/>
        <v>0</v>
      </c>
      <c r="AR501" s="6859" t="str">
        <f t="shared" si="199"/>
        <v/>
      </c>
      <c r="AS501" s="6217"/>
      <c r="AT501" s="6217"/>
      <c r="AU501" s="6272">
        <f t="shared" si="200"/>
        <v>0</v>
      </c>
      <c r="AV501" s="6240">
        <f t="shared" si="201"/>
        <v>0</v>
      </c>
      <c r="AW501" s="6189" cm="1">
        <f t="array" ref="AW501">IF(AK501&lt;&gt;1,0,IF(OR(AU501="",N(AU501)&lt;=0.000000001),"",IF(OR(AO501="",N(AO501)&lt;=0.000000001),0,IF(ISNUMBER(AU501),IFERROR(_xlfn.LET(_xlpm.ai_test,TRIM(AJ501),_xlpm.r,IFERROR(_xlfn.XLOOKUP(_xlpm.ai_test,$BJ$15:$BJ$62,ROW($BJ$15:$BJ$62),0,1),IFERROR(_xlfn.XLOOKUP(_xlpm.ai_test,$BK$15:$BK$62,ROW($BK$15:$BK$62),0,1),_xlfn.XLOOKUP(_xlpm.ai_test,$BL$15:$BL$62,ROW($BL$15:$BL$62),0,1))),_xlpm.p,_xlpm.r-MIN(ROW($BJ$15:$BJ$62))+1,_xlpm.f,INDEX($BM$15:$BM$62,_xlpm.p),_xlpm.u,INDEX($BN$15:$BN$62,_xlpm.p),_xlpm.s,INDEX($BP$15:$BP$62,_xlpm.p),_xlpm.q,N(AU501)/_xlpm.f,IF(_xlpm.q&gt;=_xlpm.s,ROUND(_xlpm.q,1)&amp;" "&amp;_xlpm.ai_test&amp;" = "&amp;ROUND(_xlpm.q*_xlpm.f,1)&amp;" "&amp;_xlpm.u,ROUND(_xlpm.q,1)&amp;" "&amp;_xlpm.ai_test)),""),""))))</f>
        <v>0</v>
      </c>
      <c r="AX501" s="6218"/>
      <c r="AY501" s="6272">
        <f t="shared" si="202"/>
        <v>0</v>
      </c>
      <c r="AZ501" s="6240" t="str">
        <f t="shared" si="203"/>
        <v/>
      </c>
      <c r="BA501" s="6195">
        <f t="shared" si="208"/>
        <v>0</v>
      </c>
      <c r="BB501" s="6193" t="str">
        <f t="shared" si="204"/>
        <v/>
      </c>
      <c r="BC501" s="6219"/>
      <c r="BD501" s="6222">
        <f t="shared" si="209"/>
        <v>0</v>
      </c>
      <c r="BE501" s="6220" t="str">
        <f t="shared" si="205"/>
        <v/>
      </c>
      <c r="BF501" s="4" t="s">
        <v>1</v>
      </c>
      <c r="BG501" s="6196">
        <f t="shared" si="206"/>
        <v>0</v>
      </c>
      <c r="BH501" s="6197">
        <f t="shared" si="207"/>
        <v>0</v>
      </c>
      <c r="BI501"/>
      <c r="BJ501" s="1"/>
      <c r="BK501" s="1"/>
      <c r="BL501" s="1"/>
      <c r="BM501" s="1"/>
      <c r="BN501" s="1"/>
      <c r="BO501" s="1"/>
      <c r="BP501" s="1"/>
      <c r="BQ501" s="1"/>
      <c r="BX501" s="20" t="str">
        <f t="shared" si="188"/>
        <v>►</v>
      </c>
      <c r="BY501" s="2"/>
      <c r="BZ501" s="2"/>
      <c r="CA501" s="2"/>
      <c r="CB501" s="2"/>
      <c r="CC501" s="2"/>
      <c r="DC501" s="5">
        <v>1</v>
      </c>
    </row>
    <row r="502" spans="12:107" ht="21" customHeight="1">
      <c r="L502" s="1021" t="s">
        <v>26</v>
      </c>
      <c r="M502" s="6787"/>
      <c r="N502" s="6787"/>
      <c r="O502" s="6787"/>
      <c r="P502" s="6788"/>
      <c r="Q502" s="6789"/>
      <c r="R502" s="6790"/>
      <c r="S502" s="6786"/>
      <c r="T502" s="6791"/>
      <c r="U502" s="6844"/>
      <c r="V502" s="6791"/>
      <c r="W502" s="8487"/>
      <c r="X502" s="6871"/>
      <c r="Y502" s="6793"/>
      <c r="Z502" s="6794"/>
      <c r="AA502" s="6795"/>
      <c r="AB502" s="6796"/>
      <c r="AC502" s="6797"/>
      <c r="AD502" s="6798"/>
      <c r="AE502" s="4" t="s">
        <v>1</v>
      </c>
      <c r="AF502" s="6202" t="str">
        <f t="shared" si="189"/>
        <v>►</v>
      </c>
      <c r="AG502" s="6234" t="str">
        <f t="shared" si="190"/>
        <v/>
      </c>
      <c r="AH502" s="6732" t="str">
        <f t="shared" si="191"/>
        <v/>
      </c>
      <c r="AI502" s="6234" t="str">
        <f t="shared" si="192"/>
        <v/>
      </c>
      <c r="AJ502" s="6732" t="str">
        <f t="shared" si="193"/>
        <v/>
      </c>
      <c r="AK502" s="6732">
        <f t="shared" si="194"/>
        <v>0</v>
      </c>
      <c r="AL502" s="6230" t="str" cm="1">
        <f t="array" ref="AL502">IF(AF502&lt;&gt;"A","",IFERROR((IFERROR(_xlfn.XLOOKUP(TRIM(SUBSTITUTE(U502,CHAR(160)," ")),$BJ$15:$BJ$62,$BM$15:$BM$62),IFERROR(_xlfn.XLOOKUP(TRIM(SUBSTITUTE(U502,CHAR(160)," ")),$BK$15:$BK$62,$BM$15:$BM$62),_xlfn.XLOOKUP(TRIM(SUBSTITUTE(U502,CHAR(160)," ")),$BL$15:$BL$62,$BM$15:$BM$62))))*T502*IF(ISBLANK(Q502),1,Q502)+IFERROR(_xlfn.XLOOKUP("RECHERCHEX",TRIM(L502:AD502),L502:AD502),0),0))</f>
        <v/>
      </c>
      <c r="AM502" s="6229">
        <f t="shared" si="195"/>
        <v>0</v>
      </c>
      <c r="AN502" s="6857" t="str">
        <f t="shared" si="210"/>
        <v/>
      </c>
      <c r="AO502" s="392">
        <f t="shared" si="196"/>
        <v>0</v>
      </c>
      <c r="AP502" s="392">
        <f t="shared" si="197"/>
        <v>0</v>
      </c>
      <c r="AQ502" s="6190">
        <f t="shared" si="198"/>
        <v>0</v>
      </c>
      <c r="AR502" s="6858" t="str">
        <f t="shared" si="199"/>
        <v/>
      </c>
      <c r="AS502" s="6217"/>
      <c r="AT502" s="6217"/>
      <c r="AU502" s="6271">
        <f t="shared" si="200"/>
        <v>0</v>
      </c>
      <c r="AV502" s="6242">
        <f t="shared" si="201"/>
        <v>0</v>
      </c>
      <c r="AW502" s="6188" cm="1">
        <f t="array" ref="AW502">IF(AK502&lt;&gt;1,0,IF(OR(AU502="",N(AU502)&lt;=0.000000001),"",IF(OR(AO502="",N(AO502)&lt;=0.000000001),0,IF(ISNUMBER(AU502),IFERROR(_xlfn.LET(_xlpm.ai_test,TRIM(AJ502),_xlpm.r,IFERROR(_xlfn.XLOOKUP(_xlpm.ai_test,$BJ$15:$BJ$62,ROW($BJ$15:$BJ$62),0,1),IFERROR(_xlfn.XLOOKUP(_xlpm.ai_test,$BK$15:$BK$62,ROW($BK$15:$BK$62),0,1),_xlfn.XLOOKUP(_xlpm.ai_test,$BL$15:$BL$62,ROW($BL$15:$BL$62),0,1))),_xlpm.p,_xlpm.r-MIN(ROW($BJ$15:$BJ$62))+1,_xlpm.f,INDEX($BM$15:$BM$62,_xlpm.p),_xlpm.u,INDEX($BN$15:$BN$62,_xlpm.p),_xlpm.s,INDEX($BP$15:$BP$62,_xlpm.p),_xlpm.q,N(AU502)/_xlpm.f,IF(_xlpm.q&gt;=_xlpm.s,ROUND(_xlpm.q,1)&amp;" "&amp;_xlpm.ai_test&amp;" = "&amp;ROUND(_xlpm.q*_xlpm.f,1)&amp;" "&amp;_xlpm.u,ROUND(_xlpm.q,1)&amp;" "&amp;_xlpm.ai_test)),""),""))))</f>
        <v>0</v>
      </c>
      <c r="AX502" s="6218"/>
      <c r="AY502" s="6271">
        <f t="shared" si="202"/>
        <v>0</v>
      </c>
      <c r="AZ502" s="6242" t="str">
        <f t="shared" si="203"/>
        <v/>
      </c>
      <c r="BA502" s="6194">
        <f t="shared" si="208"/>
        <v>0</v>
      </c>
      <c r="BB502" s="6192" t="str">
        <f t="shared" si="204"/>
        <v/>
      </c>
      <c r="BC502" s="6219"/>
      <c r="BD502" s="6221">
        <f t="shared" si="209"/>
        <v>0</v>
      </c>
      <c r="BE502" s="6220" t="str">
        <f t="shared" si="205"/>
        <v/>
      </c>
      <c r="BF502" s="4" t="s">
        <v>1</v>
      </c>
      <c r="BG502" s="6196">
        <f t="shared" si="206"/>
        <v>0</v>
      </c>
      <c r="BH502" s="6197">
        <f t="shared" si="207"/>
        <v>0</v>
      </c>
      <c r="BI502"/>
      <c r="BJ502" s="1"/>
      <c r="BK502" s="1"/>
      <c r="BL502" s="1"/>
      <c r="BM502" s="1"/>
      <c r="BN502" s="1"/>
      <c r="BO502" s="1"/>
      <c r="BP502" s="1"/>
      <c r="BQ502" s="1"/>
      <c r="BX502" s="20" t="str">
        <f t="shared" si="188"/>
        <v>►</v>
      </c>
      <c r="BY502" s="2"/>
      <c r="BZ502" s="2"/>
      <c r="CA502" s="2"/>
      <c r="CB502" s="2"/>
      <c r="CC502" s="2"/>
      <c r="DC502" s="5">
        <v>1</v>
      </c>
    </row>
    <row r="503" spans="12:107" ht="21" customHeight="1">
      <c r="L503" s="1021" t="s">
        <v>26</v>
      </c>
      <c r="M503" s="6787"/>
      <c r="N503" s="6787"/>
      <c r="O503" s="6787"/>
      <c r="P503" s="6788"/>
      <c r="Q503" s="6789"/>
      <c r="R503" s="6790"/>
      <c r="S503" s="6786"/>
      <c r="T503" s="6791"/>
      <c r="U503" s="6844"/>
      <c r="V503" s="6791"/>
      <c r="W503" s="8487"/>
      <c r="X503" s="6871"/>
      <c r="Y503" s="6793"/>
      <c r="Z503" s="6794"/>
      <c r="AA503" s="6795"/>
      <c r="AB503" s="6796"/>
      <c r="AC503" s="6797"/>
      <c r="AD503" s="6798"/>
      <c r="AE503" s="4" t="s">
        <v>1</v>
      </c>
      <c r="AF503" s="6202" t="str">
        <f t="shared" si="189"/>
        <v>►</v>
      </c>
      <c r="AG503" s="6234" t="str">
        <f t="shared" si="190"/>
        <v/>
      </c>
      <c r="AH503" s="6732" t="str">
        <f t="shared" si="191"/>
        <v/>
      </c>
      <c r="AI503" s="6234" t="str">
        <f t="shared" si="192"/>
        <v/>
      </c>
      <c r="AJ503" s="6732" t="str">
        <f t="shared" si="193"/>
        <v/>
      </c>
      <c r="AK503" s="6732">
        <f t="shared" si="194"/>
        <v>0</v>
      </c>
      <c r="AL503" s="6230" t="str" cm="1">
        <f t="array" ref="AL503">IF(AF503&lt;&gt;"A","",IFERROR((IFERROR(_xlfn.XLOOKUP(TRIM(SUBSTITUTE(U503,CHAR(160)," ")),$BJ$15:$BJ$62,$BM$15:$BM$62),IFERROR(_xlfn.XLOOKUP(TRIM(SUBSTITUTE(U503,CHAR(160)," ")),$BK$15:$BK$62,$BM$15:$BM$62),_xlfn.XLOOKUP(TRIM(SUBSTITUTE(U503,CHAR(160)," ")),$BL$15:$BL$62,$BM$15:$BM$62))))*T503*IF(ISBLANK(Q503),1,Q503)+IFERROR(_xlfn.XLOOKUP("RECHERCHEX",TRIM(L503:AD503),L503:AD503),0),0))</f>
        <v/>
      </c>
      <c r="AM503" s="6229">
        <f t="shared" si="195"/>
        <v>0</v>
      </c>
      <c r="AN503" s="6857" t="str">
        <f t="shared" si="210"/>
        <v/>
      </c>
      <c r="AO503" s="392">
        <f t="shared" si="196"/>
        <v>0</v>
      </c>
      <c r="AP503" s="392">
        <f t="shared" si="197"/>
        <v>0</v>
      </c>
      <c r="AQ503" s="6191">
        <f t="shared" si="198"/>
        <v>0</v>
      </c>
      <c r="AR503" s="6859" t="str">
        <f t="shared" si="199"/>
        <v/>
      </c>
      <c r="AS503" s="6217"/>
      <c r="AT503" s="6217"/>
      <c r="AU503" s="6272">
        <f t="shared" si="200"/>
        <v>0</v>
      </c>
      <c r="AV503" s="6240">
        <f t="shared" si="201"/>
        <v>0</v>
      </c>
      <c r="AW503" s="6189" cm="1">
        <f t="array" ref="AW503">IF(AK503&lt;&gt;1,0,IF(OR(AU503="",N(AU503)&lt;=0.000000001),"",IF(OR(AO503="",N(AO503)&lt;=0.000000001),0,IF(ISNUMBER(AU503),IFERROR(_xlfn.LET(_xlpm.ai_test,TRIM(AJ503),_xlpm.r,IFERROR(_xlfn.XLOOKUP(_xlpm.ai_test,$BJ$15:$BJ$62,ROW($BJ$15:$BJ$62),0,1),IFERROR(_xlfn.XLOOKUP(_xlpm.ai_test,$BK$15:$BK$62,ROW($BK$15:$BK$62),0,1),_xlfn.XLOOKUP(_xlpm.ai_test,$BL$15:$BL$62,ROW($BL$15:$BL$62),0,1))),_xlpm.p,_xlpm.r-MIN(ROW($BJ$15:$BJ$62))+1,_xlpm.f,INDEX($BM$15:$BM$62,_xlpm.p),_xlpm.u,INDEX($BN$15:$BN$62,_xlpm.p),_xlpm.s,INDEX($BP$15:$BP$62,_xlpm.p),_xlpm.q,N(AU503)/_xlpm.f,IF(_xlpm.q&gt;=_xlpm.s,ROUND(_xlpm.q,1)&amp;" "&amp;_xlpm.ai_test&amp;" = "&amp;ROUND(_xlpm.q*_xlpm.f,1)&amp;" "&amp;_xlpm.u,ROUND(_xlpm.q,1)&amp;" "&amp;_xlpm.ai_test)),""),""))))</f>
        <v>0</v>
      </c>
      <c r="AX503" s="6218"/>
      <c r="AY503" s="6272">
        <f t="shared" si="202"/>
        <v>0</v>
      </c>
      <c r="AZ503" s="6240" t="str">
        <f t="shared" si="203"/>
        <v/>
      </c>
      <c r="BA503" s="6195">
        <f t="shared" si="208"/>
        <v>0</v>
      </c>
      <c r="BB503" s="6193" t="str">
        <f t="shared" si="204"/>
        <v/>
      </c>
      <c r="BC503" s="6219"/>
      <c r="BD503" s="6222">
        <f t="shared" si="209"/>
        <v>0</v>
      </c>
      <c r="BE503" s="6220" t="str">
        <f t="shared" si="205"/>
        <v/>
      </c>
      <c r="BF503" s="4" t="s">
        <v>1</v>
      </c>
      <c r="BG503" s="6196">
        <f t="shared" si="206"/>
        <v>0</v>
      </c>
      <c r="BH503" s="6197">
        <f t="shared" si="207"/>
        <v>0</v>
      </c>
      <c r="BI503"/>
      <c r="BJ503" s="1"/>
      <c r="BK503" s="1"/>
      <c r="BL503" s="1"/>
      <c r="BM503" s="1"/>
      <c r="BN503" s="1"/>
      <c r="BO503" s="1"/>
      <c r="BP503" s="1"/>
      <c r="BQ503" s="1"/>
      <c r="BX503" s="20" t="str">
        <f t="shared" si="188"/>
        <v>►</v>
      </c>
      <c r="BY503" s="2"/>
      <c r="BZ503" s="2"/>
      <c r="CA503" s="2"/>
      <c r="CB503" s="2"/>
      <c r="CC503" s="2"/>
      <c r="DC503" s="5">
        <v>1</v>
      </c>
    </row>
    <row r="504" spans="12:107" ht="21" customHeight="1">
      <c r="L504" s="1021" t="s">
        <v>26</v>
      </c>
      <c r="M504" s="6787"/>
      <c r="N504" s="6787"/>
      <c r="O504" s="6787"/>
      <c r="P504" s="6788"/>
      <c r="Q504" s="6789"/>
      <c r="R504" s="6790"/>
      <c r="S504" s="6786"/>
      <c r="T504" s="6791"/>
      <c r="U504" s="6844"/>
      <c r="V504" s="6791"/>
      <c r="W504" s="8487"/>
      <c r="X504" s="6871"/>
      <c r="Y504" s="6793"/>
      <c r="Z504" s="6794"/>
      <c r="AA504" s="6795"/>
      <c r="AB504" s="6796"/>
      <c r="AC504" s="6797"/>
      <c r="AD504" s="6798"/>
      <c r="AE504" s="4" t="s">
        <v>1</v>
      </c>
      <c r="AF504" s="6202" t="str">
        <f t="shared" si="189"/>
        <v>►</v>
      </c>
      <c r="AG504" s="6234" t="str">
        <f t="shared" si="190"/>
        <v/>
      </c>
      <c r="AH504" s="6732" t="str">
        <f t="shared" si="191"/>
        <v/>
      </c>
      <c r="AI504" s="6234" t="str">
        <f t="shared" si="192"/>
        <v/>
      </c>
      <c r="AJ504" s="6732" t="str">
        <f t="shared" si="193"/>
        <v/>
      </c>
      <c r="AK504" s="6732">
        <f t="shared" si="194"/>
        <v>0</v>
      </c>
      <c r="AL504" s="6230" t="str" cm="1">
        <f t="array" ref="AL504">IF(AF504&lt;&gt;"A","",IFERROR((IFERROR(_xlfn.XLOOKUP(TRIM(SUBSTITUTE(U504,CHAR(160)," ")),$BJ$15:$BJ$62,$BM$15:$BM$62),IFERROR(_xlfn.XLOOKUP(TRIM(SUBSTITUTE(U504,CHAR(160)," ")),$BK$15:$BK$62,$BM$15:$BM$62),_xlfn.XLOOKUP(TRIM(SUBSTITUTE(U504,CHAR(160)," ")),$BL$15:$BL$62,$BM$15:$BM$62))))*T504*IF(ISBLANK(Q504),1,Q504)+IFERROR(_xlfn.XLOOKUP("RECHERCHEX",TRIM(L504:AD504),L504:AD504),0),0))</f>
        <v/>
      </c>
      <c r="AM504" s="6229">
        <f t="shared" si="195"/>
        <v>0</v>
      </c>
      <c r="AN504" s="6857" t="str">
        <f t="shared" si="210"/>
        <v/>
      </c>
      <c r="AO504" s="392">
        <f t="shared" si="196"/>
        <v>0</v>
      </c>
      <c r="AP504" s="392">
        <f t="shared" si="197"/>
        <v>0</v>
      </c>
      <c r="AQ504" s="6190">
        <f t="shared" si="198"/>
        <v>0</v>
      </c>
      <c r="AR504" s="6858" t="str">
        <f t="shared" si="199"/>
        <v/>
      </c>
      <c r="AS504" s="6217"/>
      <c r="AT504" s="6217"/>
      <c r="AU504" s="6271">
        <f t="shared" si="200"/>
        <v>0</v>
      </c>
      <c r="AV504" s="6242">
        <f t="shared" si="201"/>
        <v>0</v>
      </c>
      <c r="AW504" s="6188" cm="1">
        <f t="array" ref="AW504">IF(AK504&lt;&gt;1,0,IF(OR(AU504="",N(AU504)&lt;=0.000000001),"",IF(OR(AO504="",N(AO504)&lt;=0.000000001),0,IF(ISNUMBER(AU504),IFERROR(_xlfn.LET(_xlpm.ai_test,TRIM(AJ504),_xlpm.r,IFERROR(_xlfn.XLOOKUP(_xlpm.ai_test,$BJ$15:$BJ$62,ROW($BJ$15:$BJ$62),0,1),IFERROR(_xlfn.XLOOKUP(_xlpm.ai_test,$BK$15:$BK$62,ROW($BK$15:$BK$62),0,1),_xlfn.XLOOKUP(_xlpm.ai_test,$BL$15:$BL$62,ROW($BL$15:$BL$62),0,1))),_xlpm.p,_xlpm.r-MIN(ROW($BJ$15:$BJ$62))+1,_xlpm.f,INDEX($BM$15:$BM$62,_xlpm.p),_xlpm.u,INDEX($BN$15:$BN$62,_xlpm.p),_xlpm.s,INDEX($BP$15:$BP$62,_xlpm.p),_xlpm.q,N(AU504)/_xlpm.f,IF(_xlpm.q&gt;=_xlpm.s,ROUND(_xlpm.q,1)&amp;" "&amp;_xlpm.ai_test&amp;" = "&amp;ROUND(_xlpm.q*_xlpm.f,1)&amp;" "&amp;_xlpm.u,ROUND(_xlpm.q,1)&amp;" "&amp;_xlpm.ai_test)),""),""))))</f>
        <v>0</v>
      </c>
      <c r="AX504" s="6218"/>
      <c r="AY504" s="6271">
        <f t="shared" si="202"/>
        <v>0</v>
      </c>
      <c r="AZ504" s="6242" t="str">
        <f t="shared" si="203"/>
        <v/>
      </c>
      <c r="BA504" s="6194">
        <f t="shared" si="208"/>
        <v>0</v>
      </c>
      <c r="BB504" s="6192" t="str">
        <f t="shared" si="204"/>
        <v/>
      </c>
      <c r="BC504" s="6219"/>
      <c r="BD504" s="6221">
        <f t="shared" si="209"/>
        <v>0</v>
      </c>
      <c r="BE504" s="6220" t="str">
        <f t="shared" si="205"/>
        <v/>
      </c>
      <c r="BF504" s="4" t="s">
        <v>1</v>
      </c>
      <c r="BG504" s="6196">
        <f t="shared" si="206"/>
        <v>0</v>
      </c>
      <c r="BH504" s="6197">
        <f t="shared" si="207"/>
        <v>0</v>
      </c>
      <c r="BI504"/>
      <c r="BJ504" s="1"/>
      <c r="BK504" s="1"/>
      <c r="BL504" s="1"/>
      <c r="BM504" s="1"/>
      <c r="BN504" s="1"/>
      <c r="BO504" s="1"/>
      <c r="BP504" s="1"/>
      <c r="BQ504" s="1"/>
      <c r="BX504" s="20" t="str">
        <f t="shared" si="188"/>
        <v>►</v>
      </c>
      <c r="BY504" s="2"/>
      <c r="BZ504" s="2"/>
      <c r="CA504" s="2"/>
      <c r="CB504" s="2"/>
      <c r="CC504" s="2"/>
      <c r="DC504" s="5">
        <v>1</v>
      </c>
    </row>
    <row r="505" spans="12:107" ht="21" customHeight="1">
      <c r="L505" s="1021" t="s">
        <v>26</v>
      </c>
      <c r="M505" s="6787"/>
      <c r="N505" s="6787"/>
      <c r="O505" s="6787"/>
      <c r="P505" s="6788"/>
      <c r="Q505" s="6789"/>
      <c r="R505" s="6790"/>
      <c r="S505" s="6786"/>
      <c r="T505" s="6791"/>
      <c r="U505" s="6844"/>
      <c r="V505" s="6791"/>
      <c r="W505" s="8487"/>
      <c r="X505" s="6871"/>
      <c r="Y505" s="6793"/>
      <c r="Z505" s="6794"/>
      <c r="AA505" s="6795"/>
      <c r="AB505" s="6796"/>
      <c r="AC505" s="6797"/>
      <c r="AD505" s="6798"/>
      <c r="AE505" s="4" t="s">
        <v>1</v>
      </c>
      <c r="AF505" s="6202" t="str">
        <f t="shared" si="189"/>
        <v>►</v>
      </c>
      <c r="AG505" s="6234" t="str">
        <f t="shared" si="190"/>
        <v/>
      </c>
      <c r="AH505" s="6732" t="str">
        <f t="shared" si="191"/>
        <v/>
      </c>
      <c r="AI505" s="6234" t="str">
        <f t="shared" si="192"/>
        <v/>
      </c>
      <c r="AJ505" s="6732" t="str">
        <f t="shared" si="193"/>
        <v/>
      </c>
      <c r="AK505" s="6732">
        <f t="shared" si="194"/>
        <v>0</v>
      </c>
      <c r="AL505" s="6230" t="str" cm="1">
        <f t="array" ref="AL505">IF(AF505&lt;&gt;"A","",IFERROR((IFERROR(_xlfn.XLOOKUP(TRIM(SUBSTITUTE(U505,CHAR(160)," ")),$BJ$15:$BJ$62,$BM$15:$BM$62),IFERROR(_xlfn.XLOOKUP(TRIM(SUBSTITUTE(U505,CHAR(160)," ")),$BK$15:$BK$62,$BM$15:$BM$62),_xlfn.XLOOKUP(TRIM(SUBSTITUTE(U505,CHAR(160)," ")),$BL$15:$BL$62,$BM$15:$BM$62))))*T505*IF(ISBLANK(Q505),1,Q505)+IFERROR(_xlfn.XLOOKUP("RECHERCHEX",TRIM(L505:AD505),L505:AD505),0),0))</f>
        <v/>
      </c>
      <c r="AM505" s="6229">
        <f t="shared" si="195"/>
        <v>0</v>
      </c>
      <c r="AN505" s="6857" t="str">
        <f t="shared" si="210"/>
        <v/>
      </c>
      <c r="AO505" s="392">
        <f t="shared" si="196"/>
        <v>0</v>
      </c>
      <c r="AP505" s="392">
        <f t="shared" si="197"/>
        <v>0</v>
      </c>
      <c r="AQ505" s="6191">
        <f t="shared" si="198"/>
        <v>0</v>
      </c>
      <c r="AR505" s="6859" t="str">
        <f t="shared" si="199"/>
        <v/>
      </c>
      <c r="AS505" s="6217"/>
      <c r="AT505" s="6217"/>
      <c r="AU505" s="6272">
        <f t="shared" si="200"/>
        <v>0</v>
      </c>
      <c r="AV505" s="6240">
        <f t="shared" si="201"/>
        <v>0</v>
      </c>
      <c r="AW505" s="6189" cm="1">
        <f t="array" ref="AW505">IF(AK505&lt;&gt;1,0,IF(OR(AU505="",N(AU505)&lt;=0.000000001),"",IF(OR(AO505="",N(AO505)&lt;=0.000000001),0,IF(ISNUMBER(AU505),IFERROR(_xlfn.LET(_xlpm.ai_test,TRIM(AJ505),_xlpm.r,IFERROR(_xlfn.XLOOKUP(_xlpm.ai_test,$BJ$15:$BJ$62,ROW($BJ$15:$BJ$62),0,1),IFERROR(_xlfn.XLOOKUP(_xlpm.ai_test,$BK$15:$BK$62,ROW($BK$15:$BK$62),0,1),_xlfn.XLOOKUP(_xlpm.ai_test,$BL$15:$BL$62,ROW($BL$15:$BL$62),0,1))),_xlpm.p,_xlpm.r-MIN(ROW($BJ$15:$BJ$62))+1,_xlpm.f,INDEX($BM$15:$BM$62,_xlpm.p),_xlpm.u,INDEX($BN$15:$BN$62,_xlpm.p),_xlpm.s,INDEX($BP$15:$BP$62,_xlpm.p),_xlpm.q,N(AU505)/_xlpm.f,IF(_xlpm.q&gt;=_xlpm.s,ROUND(_xlpm.q,1)&amp;" "&amp;_xlpm.ai_test&amp;" = "&amp;ROUND(_xlpm.q*_xlpm.f,1)&amp;" "&amp;_xlpm.u,ROUND(_xlpm.q,1)&amp;" "&amp;_xlpm.ai_test)),""),""))))</f>
        <v>0</v>
      </c>
      <c r="AX505" s="6218"/>
      <c r="AY505" s="6272">
        <f t="shared" si="202"/>
        <v>0</v>
      </c>
      <c r="AZ505" s="6240" t="str">
        <f t="shared" si="203"/>
        <v/>
      </c>
      <c r="BA505" s="6195">
        <f t="shared" si="208"/>
        <v>0</v>
      </c>
      <c r="BB505" s="6193" t="str">
        <f t="shared" si="204"/>
        <v/>
      </c>
      <c r="BC505" s="6219"/>
      <c r="BD505" s="6222">
        <f t="shared" si="209"/>
        <v>0</v>
      </c>
      <c r="BE505" s="6220" t="str">
        <f t="shared" si="205"/>
        <v/>
      </c>
      <c r="BF505" s="4" t="s">
        <v>1</v>
      </c>
      <c r="BG505" s="6196">
        <f t="shared" si="206"/>
        <v>0</v>
      </c>
      <c r="BH505" s="6197">
        <f t="shared" si="207"/>
        <v>0</v>
      </c>
      <c r="BI505"/>
      <c r="BJ505" s="1"/>
      <c r="BK505" s="1"/>
      <c r="BL505" s="1"/>
      <c r="BM505" s="1"/>
      <c r="BN505" s="1"/>
      <c r="BO505" s="1"/>
      <c r="BP505" s="1"/>
      <c r="BQ505" s="1"/>
      <c r="BX505" s="20" t="str">
        <f t="shared" si="188"/>
        <v>►</v>
      </c>
      <c r="BY505" s="2"/>
      <c r="BZ505" s="2"/>
      <c r="CA505" s="2"/>
      <c r="CB505" s="2"/>
      <c r="CC505" s="2"/>
      <c r="DC505" s="5">
        <v>1</v>
      </c>
    </row>
    <row r="506" spans="12:107" ht="21" customHeight="1">
      <c r="L506" s="1021" t="s">
        <v>26</v>
      </c>
      <c r="M506" s="6787"/>
      <c r="N506" s="6787"/>
      <c r="O506" s="6787"/>
      <c r="P506" s="6788"/>
      <c r="Q506" s="6789"/>
      <c r="R506" s="6790"/>
      <c r="S506" s="6786"/>
      <c r="T506" s="6791"/>
      <c r="U506" s="6844"/>
      <c r="V506" s="6791"/>
      <c r="W506" s="8487"/>
      <c r="X506" s="6871"/>
      <c r="Y506" s="6793"/>
      <c r="Z506" s="6794"/>
      <c r="AA506" s="6795"/>
      <c r="AB506" s="6796"/>
      <c r="AC506" s="6797"/>
      <c r="AD506" s="6798"/>
      <c r="AE506" s="4" t="s">
        <v>1</v>
      </c>
      <c r="AF506" s="6202" t="str">
        <f t="shared" si="189"/>
        <v>►</v>
      </c>
      <c r="AG506" s="6234" t="str">
        <f t="shared" si="190"/>
        <v/>
      </c>
      <c r="AH506" s="6732" t="str">
        <f t="shared" si="191"/>
        <v/>
      </c>
      <c r="AI506" s="6234" t="str">
        <f t="shared" si="192"/>
        <v/>
      </c>
      <c r="AJ506" s="6732" t="str">
        <f t="shared" si="193"/>
        <v/>
      </c>
      <c r="AK506" s="6732">
        <f t="shared" si="194"/>
        <v>0</v>
      </c>
      <c r="AL506" s="6230" t="str" cm="1">
        <f t="array" ref="AL506">IF(AF506&lt;&gt;"A","",IFERROR((IFERROR(_xlfn.XLOOKUP(TRIM(SUBSTITUTE(U506,CHAR(160)," ")),$BJ$15:$BJ$62,$BM$15:$BM$62),IFERROR(_xlfn.XLOOKUP(TRIM(SUBSTITUTE(U506,CHAR(160)," ")),$BK$15:$BK$62,$BM$15:$BM$62),_xlfn.XLOOKUP(TRIM(SUBSTITUTE(U506,CHAR(160)," ")),$BL$15:$BL$62,$BM$15:$BM$62))))*T506*IF(ISBLANK(Q506),1,Q506)+IFERROR(_xlfn.XLOOKUP("RECHERCHEX",TRIM(L506:AD506),L506:AD506),0),0))</f>
        <v/>
      </c>
      <c r="AM506" s="6229">
        <f t="shared" si="195"/>
        <v>0</v>
      </c>
      <c r="AN506" s="6857" t="str">
        <f t="shared" si="210"/>
        <v/>
      </c>
      <c r="AO506" s="392">
        <f t="shared" si="196"/>
        <v>0</v>
      </c>
      <c r="AP506" s="392">
        <f t="shared" si="197"/>
        <v>0</v>
      </c>
      <c r="AQ506" s="6190">
        <f t="shared" si="198"/>
        <v>0</v>
      </c>
      <c r="AR506" s="6858" t="str">
        <f t="shared" si="199"/>
        <v/>
      </c>
      <c r="AS506" s="6217"/>
      <c r="AT506" s="6217"/>
      <c r="AU506" s="6271">
        <f t="shared" si="200"/>
        <v>0</v>
      </c>
      <c r="AV506" s="6242">
        <f t="shared" si="201"/>
        <v>0</v>
      </c>
      <c r="AW506" s="6188" cm="1">
        <f t="array" ref="AW506">IF(AK506&lt;&gt;1,0,IF(OR(AU506="",N(AU506)&lt;=0.000000001),"",IF(OR(AO506="",N(AO506)&lt;=0.000000001),0,IF(ISNUMBER(AU506),IFERROR(_xlfn.LET(_xlpm.ai_test,TRIM(AJ506),_xlpm.r,IFERROR(_xlfn.XLOOKUP(_xlpm.ai_test,$BJ$15:$BJ$62,ROW($BJ$15:$BJ$62),0,1),IFERROR(_xlfn.XLOOKUP(_xlpm.ai_test,$BK$15:$BK$62,ROW($BK$15:$BK$62),0,1),_xlfn.XLOOKUP(_xlpm.ai_test,$BL$15:$BL$62,ROW($BL$15:$BL$62),0,1))),_xlpm.p,_xlpm.r-MIN(ROW($BJ$15:$BJ$62))+1,_xlpm.f,INDEX($BM$15:$BM$62,_xlpm.p),_xlpm.u,INDEX($BN$15:$BN$62,_xlpm.p),_xlpm.s,INDEX($BP$15:$BP$62,_xlpm.p),_xlpm.q,N(AU506)/_xlpm.f,IF(_xlpm.q&gt;=_xlpm.s,ROUND(_xlpm.q,1)&amp;" "&amp;_xlpm.ai_test&amp;" = "&amp;ROUND(_xlpm.q*_xlpm.f,1)&amp;" "&amp;_xlpm.u,ROUND(_xlpm.q,1)&amp;" "&amp;_xlpm.ai_test)),""),""))))</f>
        <v>0</v>
      </c>
      <c r="AX506" s="6218"/>
      <c r="AY506" s="6271">
        <f t="shared" si="202"/>
        <v>0</v>
      </c>
      <c r="AZ506" s="6242" t="str">
        <f t="shared" si="203"/>
        <v/>
      </c>
      <c r="BA506" s="6194">
        <f t="shared" si="208"/>
        <v>0</v>
      </c>
      <c r="BB506" s="6192" t="str">
        <f t="shared" si="204"/>
        <v/>
      </c>
      <c r="BC506" s="6219"/>
      <c r="BD506" s="6221">
        <f t="shared" si="209"/>
        <v>0</v>
      </c>
      <c r="BE506" s="6220" t="str">
        <f t="shared" si="205"/>
        <v/>
      </c>
      <c r="BF506" s="4" t="s">
        <v>1</v>
      </c>
      <c r="BG506" s="6196">
        <f t="shared" si="206"/>
        <v>0</v>
      </c>
      <c r="BH506" s="6197">
        <f t="shared" si="207"/>
        <v>0</v>
      </c>
      <c r="BI506"/>
      <c r="BJ506" s="1"/>
      <c r="BK506" s="1"/>
      <c r="BL506" s="1"/>
      <c r="BM506" s="1"/>
      <c r="BN506" s="1"/>
      <c r="BO506" s="1"/>
      <c r="BP506" s="1"/>
      <c r="BQ506" s="1"/>
      <c r="BX506" s="20" t="str">
        <f t="shared" si="188"/>
        <v>►</v>
      </c>
      <c r="BY506" s="2"/>
      <c r="BZ506" s="2"/>
      <c r="CA506" s="2"/>
      <c r="CB506" s="2"/>
      <c r="CC506" s="2"/>
      <c r="DC506" s="5">
        <v>1</v>
      </c>
    </row>
    <row r="507" spans="12:107" ht="21" customHeight="1">
      <c r="L507" s="1021" t="s">
        <v>26</v>
      </c>
      <c r="M507" s="6787"/>
      <c r="N507" s="6787"/>
      <c r="O507" s="6787"/>
      <c r="P507" s="6788"/>
      <c r="Q507" s="6789"/>
      <c r="R507" s="6790"/>
      <c r="S507" s="6786"/>
      <c r="T507" s="6791"/>
      <c r="U507" s="6844"/>
      <c r="V507" s="6791"/>
      <c r="W507" s="8487"/>
      <c r="X507" s="6871"/>
      <c r="Y507" s="6793"/>
      <c r="Z507" s="6794"/>
      <c r="AA507" s="6795"/>
      <c r="AB507" s="6796"/>
      <c r="AC507" s="6797"/>
      <c r="AD507" s="6798"/>
      <c r="AE507" s="4" t="s">
        <v>1</v>
      </c>
      <c r="AF507" s="6202" t="str">
        <f t="shared" si="189"/>
        <v>►</v>
      </c>
      <c r="AG507" s="6234" t="str">
        <f t="shared" si="190"/>
        <v/>
      </c>
      <c r="AH507" s="6732" t="str">
        <f t="shared" si="191"/>
        <v/>
      </c>
      <c r="AI507" s="6234" t="str">
        <f t="shared" si="192"/>
        <v/>
      </c>
      <c r="AJ507" s="6732" t="str">
        <f t="shared" si="193"/>
        <v/>
      </c>
      <c r="AK507" s="6732">
        <f t="shared" si="194"/>
        <v>0</v>
      </c>
      <c r="AL507" s="6230" t="str" cm="1">
        <f t="array" ref="AL507">IF(AF507&lt;&gt;"A","",IFERROR((IFERROR(_xlfn.XLOOKUP(TRIM(SUBSTITUTE(U507,CHAR(160)," ")),$BJ$15:$BJ$62,$BM$15:$BM$62),IFERROR(_xlfn.XLOOKUP(TRIM(SUBSTITUTE(U507,CHAR(160)," ")),$BK$15:$BK$62,$BM$15:$BM$62),_xlfn.XLOOKUP(TRIM(SUBSTITUTE(U507,CHAR(160)," ")),$BL$15:$BL$62,$BM$15:$BM$62))))*T507*IF(ISBLANK(Q507),1,Q507)+IFERROR(_xlfn.XLOOKUP("RECHERCHEX",TRIM(L507:AD507),L507:AD507),0),0))</f>
        <v/>
      </c>
      <c r="AM507" s="6229">
        <f t="shared" si="195"/>
        <v>0</v>
      </c>
      <c r="AN507" s="6857" t="str">
        <f t="shared" si="210"/>
        <v/>
      </c>
      <c r="AO507" s="392">
        <f t="shared" si="196"/>
        <v>0</v>
      </c>
      <c r="AP507" s="392">
        <f t="shared" si="197"/>
        <v>0</v>
      </c>
      <c r="AQ507" s="6191">
        <f t="shared" si="198"/>
        <v>0</v>
      </c>
      <c r="AR507" s="6859" t="str">
        <f t="shared" si="199"/>
        <v/>
      </c>
      <c r="AS507" s="6217"/>
      <c r="AT507" s="6217"/>
      <c r="AU507" s="6272">
        <f t="shared" si="200"/>
        <v>0</v>
      </c>
      <c r="AV507" s="6240">
        <f t="shared" si="201"/>
        <v>0</v>
      </c>
      <c r="AW507" s="6189" cm="1">
        <f t="array" ref="AW507">IF(AK507&lt;&gt;1,0,IF(OR(AU507="",N(AU507)&lt;=0.000000001),"",IF(OR(AO507="",N(AO507)&lt;=0.000000001),0,IF(ISNUMBER(AU507),IFERROR(_xlfn.LET(_xlpm.ai_test,TRIM(AJ507),_xlpm.r,IFERROR(_xlfn.XLOOKUP(_xlpm.ai_test,$BJ$15:$BJ$62,ROW($BJ$15:$BJ$62),0,1),IFERROR(_xlfn.XLOOKUP(_xlpm.ai_test,$BK$15:$BK$62,ROW($BK$15:$BK$62),0,1),_xlfn.XLOOKUP(_xlpm.ai_test,$BL$15:$BL$62,ROW($BL$15:$BL$62),0,1))),_xlpm.p,_xlpm.r-MIN(ROW($BJ$15:$BJ$62))+1,_xlpm.f,INDEX($BM$15:$BM$62,_xlpm.p),_xlpm.u,INDEX($BN$15:$BN$62,_xlpm.p),_xlpm.s,INDEX($BP$15:$BP$62,_xlpm.p),_xlpm.q,N(AU507)/_xlpm.f,IF(_xlpm.q&gt;=_xlpm.s,ROUND(_xlpm.q,1)&amp;" "&amp;_xlpm.ai_test&amp;" = "&amp;ROUND(_xlpm.q*_xlpm.f,1)&amp;" "&amp;_xlpm.u,ROUND(_xlpm.q,1)&amp;" "&amp;_xlpm.ai_test)),""),""))))</f>
        <v>0</v>
      </c>
      <c r="AX507" s="6218"/>
      <c r="AY507" s="6272">
        <f t="shared" si="202"/>
        <v>0</v>
      </c>
      <c r="AZ507" s="6240" t="str">
        <f t="shared" si="203"/>
        <v/>
      </c>
      <c r="BA507" s="6195">
        <f t="shared" si="208"/>
        <v>0</v>
      </c>
      <c r="BB507" s="6193" t="str">
        <f t="shared" si="204"/>
        <v/>
      </c>
      <c r="BC507" s="6219"/>
      <c r="BD507" s="6222">
        <f t="shared" si="209"/>
        <v>0</v>
      </c>
      <c r="BE507" s="6220" t="str">
        <f t="shared" si="205"/>
        <v/>
      </c>
      <c r="BF507" s="4" t="s">
        <v>1</v>
      </c>
      <c r="BG507" s="6196">
        <f t="shared" si="206"/>
        <v>0</v>
      </c>
      <c r="BH507" s="6197">
        <f t="shared" si="207"/>
        <v>0</v>
      </c>
      <c r="BI507"/>
      <c r="BJ507" s="1"/>
      <c r="BK507" s="1"/>
      <c r="BL507" s="1"/>
      <c r="BM507" s="1"/>
      <c r="BN507" s="1"/>
      <c r="BO507" s="1"/>
      <c r="BP507" s="1"/>
      <c r="BQ507" s="1"/>
      <c r="BX507" s="20" t="str">
        <f t="shared" si="188"/>
        <v>►</v>
      </c>
      <c r="BY507" s="2"/>
      <c r="BZ507" s="2"/>
      <c r="CA507" s="2"/>
      <c r="CB507" s="2"/>
      <c r="CC507" s="2"/>
      <c r="DC507" s="5">
        <v>1</v>
      </c>
    </row>
    <row r="508" spans="12:107" ht="21" customHeight="1">
      <c r="L508" s="1021" t="s">
        <v>26</v>
      </c>
      <c r="M508" s="6787"/>
      <c r="N508" s="6787"/>
      <c r="O508" s="6787"/>
      <c r="P508" s="6788"/>
      <c r="Q508" s="6789"/>
      <c r="R508" s="6790"/>
      <c r="S508" s="6786"/>
      <c r="T508" s="6791"/>
      <c r="U508" s="6844"/>
      <c r="V508" s="6791"/>
      <c r="W508" s="8487"/>
      <c r="X508" s="6871"/>
      <c r="Y508" s="6793"/>
      <c r="Z508" s="6794"/>
      <c r="AA508" s="6795"/>
      <c r="AB508" s="6796"/>
      <c r="AC508" s="6797"/>
      <c r="AD508" s="6798"/>
      <c r="AE508" s="4" t="s">
        <v>1</v>
      </c>
      <c r="AF508" s="6202" t="str">
        <f t="shared" si="189"/>
        <v>►</v>
      </c>
      <c r="AG508" s="6234" t="str">
        <f t="shared" si="190"/>
        <v/>
      </c>
      <c r="AH508" s="6732" t="str">
        <f t="shared" si="191"/>
        <v/>
      </c>
      <c r="AI508" s="6234" t="str">
        <f t="shared" si="192"/>
        <v/>
      </c>
      <c r="AJ508" s="6732" t="str">
        <f t="shared" si="193"/>
        <v/>
      </c>
      <c r="AK508" s="6732">
        <f t="shared" si="194"/>
        <v>0</v>
      </c>
      <c r="AL508" s="6230" t="str" cm="1">
        <f t="array" ref="AL508">IF(AF508&lt;&gt;"A","",IFERROR((IFERROR(_xlfn.XLOOKUP(TRIM(SUBSTITUTE(U508,CHAR(160)," ")),$BJ$15:$BJ$62,$BM$15:$BM$62),IFERROR(_xlfn.XLOOKUP(TRIM(SUBSTITUTE(U508,CHAR(160)," ")),$BK$15:$BK$62,$BM$15:$BM$62),_xlfn.XLOOKUP(TRIM(SUBSTITUTE(U508,CHAR(160)," ")),$BL$15:$BL$62,$BM$15:$BM$62))))*T508*IF(ISBLANK(Q508),1,Q508)+IFERROR(_xlfn.XLOOKUP("RECHERCHEX",TRIM(L508:AD508),L508:AD508),0),0))</f>
        <v/>
      </c>
      <c r="AM508" s="6229">
        <f t="shared" si="195"/>
        <v>0</v>
      </c>
      <c r="AN508" s="6857" t="str">
        <f t="shared" si="210"/>
        <v/>
      </c>
      <c r="AO508" s="392">
        <f t="shared" si="196"/>
        <v>0</v>
      </c>
      <c r="AP508" s="392">
        <f t="shared" si="197"/>
        <v>0</v>
      </c>
      <c r="AQ508" s="6190">
        <f t="shared" si="198"/>
        <v>0</v>
      </c>
      <c r="AR508" s="6858" t="str">
        <f t="shared" si="199"/>
        <v/>
      </c>
      <c r="AS508" s="6217"/>
      <c r="AT508" s="6217"/>
      <c r="AU508" s="6271">
        <f t="shared" si="200"/>
        <v>0</v>
      </c>
      <c r="AV508" s="6242">
        <f t="shared" si="201"/>
        <v>0</v>
      </c>
      <c r="AW508" s="6188" cm="1">
        <f t="array" ref="AW508">IF(AK508&lt;&gt;1,0,IF(OR(AU508="",N(AU508)&lt;=0.000000001),"",IF(OR(AO508="",N(AO508)&lt;=0.000000001),0,IF(ISNUMBER(AU508),IFERROR(_xlfn.LET(_xlpm.ai_test,TRIM(AJ508),_xlpm.r,IFERROR(_xlfn.XLOOKUP(_xlpm.ai_test,$BJ$15:$BJ$62,ROW($BJ$15:$BJ$62),0,1),IFERROR(_xlfn.XLOOKUP(_xlpm.ai_test,$BK$15:$BK$62,ROW($BK$15:$BK$62),0,1),_xlfn.XLOOKUP(_xlpm.ai_test,$BL$15:$BL$62,ROW($BL$15:$BL$62),0,1))),_xlpm.p,_xlpm.r-MIN(ROW($BJ$15:$BJ$62))+1,_xlpm.f,INDEX($BM$15:$BM$62,_xlpm.p),_xlpm.u,INDEX($BN$15:$BN$62,_xlpm.p),_xlpm.s,INDEX($BP$15:$BP$62,_xlpm.p),_xlpm.q,N(AU508)/_xlpm.f,IF(_xlpm.q&gt;=_xlpm.s,ROUND(_xlpm.q,1)&amp;" "&amp;_xlpm.ai_test&amp;" = "&amp;ROUND(_xlpm.q*_xlpm.f,1)&amp;" "&amp;_xlpm.u,ROUND(_xlpm.q,1)&amp;" "&amp;_xlpm.ai_test)),""),""))))</f>
        <v>0</v>
      </c>
      <c r="AX508" s="6218"/>
      <c r="AY508" s="6271">
        <f t="shared" si="202"/>
        <v>0</v>
      </c>
      <c r="AZ508" s="6242" t="str">
        <f t="shared" si="203"/>
        <v/>
      </c>
      <c r="BA508" s="6194">
        <f t="shared" si="208"/>
        <v>0</v>
      </c>
      <c r="BB508" s="6192" t="str">
        <f t="shared" si="204"/>
        <v/>
      </c>
      <c r="BC508" s="6219"/>
      <c r="BD508" s="6221">
        <f t="shared" si="209"/>
        <v>0</v>
      </c>
      <c r="BE508" s="6220" t="str">
        <f t="shared" si="205"/>
        <v/>
      </c>
      <c r="BF508" s="4" t="s">
        <v>1</v>
      </c>
      <c r="BG508" s="6196">
        <f t="shared" si="206"/>
        <v>0</v>
      </c>
      <c r="BH508" s="6197">
        <f t="shared" si="207"/>
        <v>0</v>
      </c>
      <c r="BI508"/>
      <c r="BJ508" s="1"/>
      <c r="BK508" s="1"/>
      <c r="BL508" s="1"/>
      <c r="BM508" s="1"/>
      <c r="BN508" s="1"/>
      <c r="BO508" s="1"/>
      <c r="BP508" s="1"/>
      <c r="BQ508" s="1"/>
      <c r="BX508" s="20" t="str">
        <f t="shared" si="188"/>
        <v>►</v>
      </c>
      <c r="BY508" s="2"/>
      <c r="BZ508" s="2"/>
      <c r="CA508" s="2"/>
      <c r="CB508" s="2"/>
      <c r="CC508" s="2"/>
      <c r="DC508" s="5">
        <v>1</v>
      </c>
    </row>
    <row r="509" spans="12:107" ht="21" customHeight="1">
      <c r="L509" s="1021" t="s">
        <v>26</v>
      </c>
      <c r="M509" s="6787"/>
      <c r="N509" s="6787"/>
      <c r="O509" s="6787"/>
      <c r="P509" s="6788"/>
      <c r="Q509" s="6789"/>
      <c r="R509" s="6790"/>
      <c r="S509" s="6786"/>
      <c r="T509" s="6791"/>
      <c r="U509" s="6844"/>
      <c r="V509" s="6791"/>
      <c r="W509" s="8487"/>
      <c r="X509" s="6871"/>
      <c r="Y509" s="6793"/>
      <c r="Z509" s="6794"/>
      <c r="AA509" s="6795"/>
      <c r="AB509" s="6796"/>
      <c r="AC509" s="6797"/>
      <c r="AD509" s="6798"/>
      <c r="AE509" s="4" t="s">
        <v>1</v>
      </c>
      <c r="AF509" s="6202" t="str">
        <f t="shared" si="189"/>
        <v>►</v>
      </c>
      <c r="AG509" s="6234" t="str">
        <f t="shared" si="190"/>
        <v/>
      </c>
      <c r="AH509" s="6732" t="str">
        <f t="shared" si="191"/>
        <v/>
      </c>
      <c r="AI509" s="6234" t="str">
        <f t="shared" si="192"/>
        <v/>
      </c>
      <c r="AJ509" s="6732" t="str">
        <f t="shared" si="193"/>
        <v/>
      </c>
      <c r="AK509" s="6732">
        <f t="shared" si="194"/>
        <v>0</v>
      </c>
      <c r="AL509" s="6230" t="str" cm="1">
        <f t="array" ref="AL509">IF(AF509&lt;&gt;"A","",IFERROR((IFERROR(_xlfn.XLOOKUP(TRIM(SUBSTITUTE(U509,CHAR(160)," ")),$BJ$15:$BJ$62,$BM$15:$BM$62),IFERROR(_xlfn.XLOOKUP(TRIM(SUBSTITUTE(U509,CHAR(160)," ")),$BK$15:$BK$62,$BM$15:$BM$62),_xlfn.XLOOKUP(TRIM(SUBSTITUTE(U509,CHAR(160)," ")),$BL$15:$BL$62,$BM$15:$BM$62))))*T509*IF(ISBLANK(Q509),1,Q509)+IFERROR(_xlfn.XLOOKUP("RECHERCHEX",TRIM(L509:AD509),L509:AD509),0),0))</f>
        <v/>
      </c>
      <c r="AM509" s="6229">
        <f t="shared" si="195"/>
        <v>0</v>
      </c>
      <c r="AN509" s="6857" t="str">
        <f t="shared" si="210"/>
        <v/>
      </c>
      <c r="AO509" s="392">
        <f t="shared" si="196"/>
        <v>0</v>
      </c>
      <c r="AP509" s="392">
        <f t="shared" si="197"/>
        <v>0</v>
      </c>
      <c r="AQ509" s="6191">
        <f t="shared" si="198"/>
        <v>0</v>
      </c>
      <c r="AR509" s="6859" t="str">
        <f t="shared" si="199"/>
        <v/>
      </c>
      <c r="AS509" s="6217"/>
      <c r="AT509" s="6217"/>
      <c r="AU509" s="6272">
        <f t="shared" si="200"/>
        <v>0</v>
      </c>
      <c r="AV509" s="6240">
        <f t="shared" si="201"/>
        <v>0</v>
      </c>
      <c r="AW509" s="6189" cm="1">
        <f t="array" ref="AW509">IF(AK509&lt;&gt;1,0,IF(OR(AU509="",N(AU509)&lt;=0.000000001),"",IF(OR(AO509="",N(AO509)&lt;=0.000000001),0,IF(ISNUMBER(AU509),IFERROR(_xlfn.LET(_xlpm.ai_test,TRIM(AJ509),_xlpm.r,IFERROR(_xlfn.XLOOKUP(_xlpm.ai_test,$BJ$15:$BJ$62,ROW($BJ$15:$BJ$62),0,1),IFERROR(_xlfn.XLOOKUP(_xlpm.ai_test,$BK$15:$BK$62,ROW($BK$15:$BK$62),0,1),_xlfn.XLOOKUP(_xlpm.ai_test,$BL$15:$BL$62,ROW($BL$15:$BL$62),0,1))),_xlpm.p,_xlpm.r-MIN(ROW($BJ$15:$BJ$62))+1,_xlpm.f,INDEX($BM$15:$BM$62,_xlpm.p),_xlpm.u,INDEX($BN$15:$BN$62,_xlpm.p),_xlpm.s,INDEX($BP$15:$BP$62,_xlpm.p),_xlpm.q,N(AU509)/_xlpm.f,IF(_xlpm.q&gt;=_xlpm.s,ROUND(_xlpm.q,1)&amp;" "&amp;_xlpm.ai_test&amp;" = "&amp;ROUND(_xlpm.q*_xlpm.f,1)&amp;" "&amp;_xlpm.u,ROUND(_xlpm.q,1)&amp;" "&amp;_xlpm.ai_test)),""),""))))</f>
        <v>0</v>
      </c>
      <c r="AX509" s="6218"/>
      <c r="AY509" s="6272">
        <f t="shared" si="202"/>
        <v>0</v>
      </c>
      <c r="AZ509" s="6240" t="str">
        <f t="shared" si="203"/>
        <v/>
      </c>
      <c r="BA509" s="6195">
        <f t="shared" si="208"/>
        <v>0</v>
      </c>
      <c r="BB509" s="6193" t="str">
        <f t="shared" si="204"/>
        <v/>
      </c>
      <c r="BC509" s="6219"/>
      <c r="BD509" s="6222">
        <f t="shared" si="209"/>
        <v>0</v>
      </c>
      <c r="BE509" s="6220" t="str">
        <f t="shared" si="205"/>
        <v/>
      </c>
      <c r="BF509" s="4" t="s">
        <v>1</v>
      </c>
      <c r="BG509" s="6196">
        <f t="shared" si="206"/>
        <v>0</v>
      </c>
      <c r="BH509" s="6197">
        <f t="shared" si="207"/>
        <v>0</v>
      </c>
      <c r="BI509"/>
      <c r="BJ509" s="1"/>
      <c r="BK509" s="1"/>
      <c r="BL509" s="1"/>
      <c r="BM509" s="1"/>
      <c r="BN509" s="1"/>
      <c r="BO509" s="1"/>
      <c r="BP509" s="1"/>
      <c r="BQ509" s="1"/>
      <c r="BX509" s="20" t="str">
        <f t="shared" si="188"/>
        <v>►</v>
      </c>
      <c r="BY509" s="2"/>
      <c r="BZ509" s="2"/>
      <c r="CA509" s="2"/>
      <c r="CB509" s="2"/>
      <c r="CC509" s="2"/>
      <c r="DC509" s="5">
        <v>1</v>
      </c>
    </row>
    <row r="510" spans="12:107" ht="21" customHeight="1">
      <c r="L510" s="1021" t="s">
        <v>26</v>
      </c>
      <c r="M510" s="6787"/>
      <c r="N510" s="6787"/>
      <c r="O510" s="6787"/>
      <c r="P510" s="6788"/>
      <c r="Q510" s="6789"/>
      <c r="R510" s="6790"/>
      <c r="S510" s="6786"/>
      <c r="T510" s="6791"/>
      <c r="U510" s="6844"/>
      <c r="V510" s="6791"/>
      <c r="W510" s="8487"/>
      <c r="X510" s="6871"/>
      <c r="Y510" s="6793"/>
      <c r="Z510" s="6794"/>
      <c r="AA510" s="6795"/>
      <c r="AB510" s="6796"/>
      <c r="AC510" s="6797"/>
      <c r="AD510" s="6798"/>
      <c r="AE510" s="4" t="s">
        <v>1</v>
      </c>
      <c r="AF510" s="6202" t="str">
        <f t="shared" si="189"/>
        <v>►</v>
      </c>
      <c r="AG510" s="6234" t="str">
        <f t="shared" si="190"/>
        <v/>
      </c>
      <c r="AH510" s="6732" t="str">
        <f t="shared" si="191"/>
        <v/>
      </c>
      <c r="AI510" s="6234" t="str">
        <f t="shared" si="192"/>
        <v/>
      </c>
      <c r="AJ510" s="6732" t="str">
        <f t="shared" si="193"/>
        <v/>
      </c>
      <c r="AK510" s="6732">
        <f t="shared" si="194"/>
        <v>0</v>
      </c>
      <c r="AL510" s="6230" t="str" cm="1">
        <f t="array" ref="AL510">IF(AF510&lt;&gt;"A","",IFERROR((IFERROR(_xlfn.XLOOKUP(TRIM(SUBSTITUTE(U510,CHAR(160)," ")),$BJ$15:$BJ$62,$BM$15:$BM$62),IFERROR(_xlfn.XLOOKUP(TRIM(SUBSTITUTE(U510,CHAR(160)," ")),$BK$15:$BK$62,$BM$15:$BM$62),_xlfn.XLOOKUP(TRIM(SUBSTITUTE(U510,CHAR(160)," ")),$BL$15:$BL$62,$BM$15:$BM$62))))*T510*IF(ISBLANK(Q510),1,Q510)+IFERROR(_xlfn.XLOOKUP("RECHERCHEX",TRIM(L510:AD510),L510:AD510),0),0))</f>
        <v/>
      </c>
      <c r="AM510" s="6229">
        <f t="shared" si="195"/>
        <v>0</v>
      </c>
      <c r="AN510" s="6857" t="str">
        <f t="shared" si="210"/>
        <v/>
      </c>
      <c r="AO510" s="392">
        <f t="shared" si="196"/>
        <v>0</v>
      </c>
      <c r="AP510" s="392">
        <f t="shared" si="197"/>
        <v>0</v>
      </c>
      <c r="AQ510" s="6190">
        <f t="shared" si="198"/>
        <v>0</v>
      </c>
      <c r="AR510" s="6858" t="str">
        <f t="shared" si="199"/>
        <v/>
      </c>
      <c r="AS510" s="6217"/>
      <c r="AT510" s="6217"/>
      <c r="AU510" s="6271">
        <f t="shared" si="200"/>
        <v>0</v>
      </c>
      <c r="AV510" s="6242">
        <f t="shared" si="201"/>
        <v>0</v>
      </c>
      <c r="AW510" s="6188" cm="1">
        <f t="array" ref="AW510">IF(AK510&lt;&gt;1,0,IF(OR(AU510="",N(AU510)&lt;=0.000000001),"",IF(OR(AO510="",N(AO510)&lt;=0.000000001),0,IF(ISNUMBER(AU510),IFERROR(_xlfn.LET(_xlpm.ai_test,TRIM(AJ510),_xlpm.r,IFERROR(_xlfn.XLOOKUP(_xlpm.ai_test,$BJ$15:$BJ$62,ROW($BJ$15:$BJ$62),0,1),IFERROR(_xlfn.XLOOKUP(_xlpm.ai_test,$BK$15:$BK$62,ROW($BK$15:$BK$62),0,1),_xlfn.XLOOKUP(_xlpm.ai_test,$BL$15:$BL$62,ROW($BL$15:$BL$62),0,1))),_xlpm.p,_xlpm.r-MIN(ROW($BJ$15:$BJ$62))+1,_xlpm.f,INDEX($BM$15:$BM$62,_xlpm.p),_xlpm.u,INDEX($BN$15:$BN$62,_xlpm.p),_xlpm.s,INDEX($BP$15:$BP$62,_xlpm.p),_xlpm.q,N(AU510)/_xlpm.f,IF(_xlpm.q&gt;=_xlpm.s,ROUND(_xlpm.q,1)&amp;" "&amp;_xlpm.ai_test&amp;" = "&amp;ROUND(_xlpm.q*_xlpm.f,1)&amp;" "&amp;_xlpm.u,ROUND(_xlpm.q,1)&amp;" "&amp;_xlpm.ai_test)),""),""))))</f>
        <v>0</v>
      </c>
      <c r="AX510" s="6218"/>
      <c r="AY510" s="6271">
        <f t="shared" si="202"/>
        <v>0</v>
      </c>
      <c r="AZ510" s="6242" t="str">
        <f t="shared" si="203"/>
        <v/>
      </c>
      <c r="BA510" s="6194">
        <f t="shared" si="208"/>
        <v>0</v>
      </c>
      <c r="BB510" s="6192" t="str">
        <f t="shared" si="204"/>
        <v/>
      </c>
      <c r="BC510" s="6219"/>
      <c r="BD510" s="6221">
        <f t="shared" si="209"/>
        <v>0</v>
      </c>
      <c r="BE510" s="6220" t="str">
        <f t="shared" si="205"/>
        <v/>
      </c>
      <c r="BF510" s="4" t="s">
        <v>1</v>
      </c>
      <c r="BG510" s="6196">
        <f t="shared" si="206"/>
        <v>0</v>
      </c>
      <c r="BH510" s="6197">
        <f t="shared" si="207"/>
        <v>0</v>
      </c>
      <c r="BI510"/>
      <c r="BJ510" s="1"/>
      <c r="BK510" s="1"/>
      <c r="BL510" s="1"/>
      <c r="BM510" s="1"/>
      <c r="BN510" s="1"/>
      <c r="BO510" s="1"/>
      <c r="BP510" s="1"/>
      <c r="BQ510" s="1"/>
      <c r="BX510" s="20" t="str">
        <f t="shared" si="188"/>
        <v>►</v>
      </c>
      <c r="BY510" s="2"/>
      <c r="BZ510" s="2"/>
      <c r="CA510" s="2"/>
      <c r="CB510" s="2"/>
      <c r="CC510" s="2"/>
      <c r="DC510" s="5">
        <v>1</v>
      </c>
    </row>
    <row r="511" spans="12:107" ht="21" customHeight="1">
      <c r="L511" s="1021" t="s">
        <v>26</v>
      </c>
      <c r="M511" s="6787"/>
      <c r="N511" s="6787"/>
      <c r="O511" s="6787"/>
      <c r="P511" s="6788"/>
      <c r="Q511" s="6789"/>
      <c r="R511" s="6790"/>
      <c r="S511" s="6786"/>
      <c r="T511" s="6791"/>
      <c r="U511" s="6844"/>
      <c r="V511" s="6791"/>
      <c r="W511" s="8487"/>
      <c r="X511" s="6871"/>
      <c r="Y511" s="6793"/>
      <c r="Z511" s="6794"/>
      <c r="AA511" s="6795"/>
      <c r="AB511" s="6796"/>
      <c r="AC511" s="6797"/>
      <c r="AD511" s="6798"/>
      <c r="AE511" s="4" t="s">
        <v>1</v>
      </c>
      <c r="AF511" s="6202" t="str">
        <f t="shared" si="189"/>
        <v>►</v>
      </c>
      <c r="AG511" s="6234" t="str">
        <f t="shared" si="190"/>
        <v/>
      </c>
      <c r="AH511" s="6732" t="str">
        <f t="shared" si="191"/>
        <v/>
      </c>
      <c r="AI511" s="6234" t="str">
        <f t="shared" si="192"/>
        <v/>
      </c>
      <c r="AJ511" s="6732" t="str">
        <f t="shared" si="193"/>
        <v/>
      </c>
      <c r="AK511" s="6732">
        <f t="shared" si="194"/>
        <v>0</v>
      </c>
      <c r="AL511" s="6230" t="str" cm="1">
        <f t="array" ref="AL511">IF(AF511&lt;&gt;"A","",IFERROR((IFERROR(_xlfn.XLOOKUP(TRIM(SUBSTITUTE(U511,CHAR(160)," ")),$BJ$15:$BJ$62,$BM$15:$BM$62),IFERROR(_xlfn.XLOOKUP(TRIM(SUBSTITUTE(U511,CHAR(160)," ")),$BK$15:$BK$62,$BM$15:$BM$62),_xlfn.XLOOKUP(TRIM(SUBSTITUTE(U511,CHAR(160)," ")),$BL$15:$BL$62,$BM$15:$BM$62))))*T511*IF(ISBLANK(Q511),1,Q511)+IFERROR(_xlfn.XLOOKUP("RECHERCHEX",TRIM(L511:AD511),L511:AD511),0),0))</f>
        <v/>
      </c>
      <c r="AM511" s="6229">
        <f t="shared" si="195"/>
        <v>0</v>
      </c>
      <c r="AN511" s="6857" t="str">
        <f t="shared" si="210"/>
        <v/>
      </c>
      <c r="AO511" s="392">
        <f t="shared" si="196"/>
        <v>0</v>
      </c>
      <c r="AP511" s="392">
        <f t="shared" si="197"/>
        <v>0</v>
      </c>
      <c r="AQ511" s="6191">
        <f t="shared" si="198"/>
        <v>0</v>
      </c>
      <c r="AR511" s="6859" t="str">
        <f t="shared" si="199"/>
        <v/>
      </c>
      <c r="AS511" s="6217"/>
      <c r="AT511" s="6217"/>
      <c r="AU511" s="6272">
        <f t="shared" si="200"/>
        <v>0</v>
      </c>
      <c r="AV511" s="6240">
        <f t="shared" si="201"/>
        <v>0</v>
      </c>
      <c r="AW511" s="6189" cm="1">
        <f t="array" ref="AW511">IF(AK511&lt;&gt;1,0,IF(OR(AU511="",N(AU511)&lt;=0.000000001),"",IF(OR(AO511="",N(AO511)&lt;=0.000000001),0,IF(ISNUMBER(AU511),IFERROR(_xlfn.LET(_xlpm.ai_test,TRIM(AJ511),_xlpm.r,IFERROR(_xlfn.XLOOKUP(_xlpm.ai_test,$BJ$15:$BJ$62,ROW($BJ$15:$BJ$62),0,1),IFERROR(_xlfn.XLOOKUP(_xlpm.ai_test,$BK$15:$BK$62,ROW($BK$15:$BK$62),0,1),_xlfn.XLOOKUP(_xlpm.ai_test,$BL$15:$BL$62,ROW($BL$15:$BL$62),0,1))),_xlpm.p,_xlpm.r-MIN(ROW($BJ$15:$BJ$62))+1,_xlpm.f,INDEX($BM$15:$BM$62,_xlpm.p),_xlpm.u,INDEX($BN$15:$BN$62,_xlpm.p),_xlpm.s,INDEX($BP$15:$BP$62,_xlpm.p),_xlpm.q,N(AU511)/_xlpm.f,IF(_xlpm.q&gt;=_xlpm.s,ROUND(_xlpm.q,1)&amp;" "&amp;_xlpm.ai_test&amp;" = "&amp;ROUND(_xlpm.q*_xlpm.f,1)&amp;" "&amp;_xlpm.u,ROUND(_xlpm.q,1)&amp;" "&amp;_xlpm.ai_test)),""),""))))</f>
        <v>0</v>
      </c>
      <c r="AX511" s="6218"/>
      <c r="AY511" s="6272">
        <f t="shared" si="202"/>
        <v>0</v>
      </c>
      <c r="AZ511" s="6240" t="str">
        <f t="shared" si="203"/>
        <v/>
      </c>
      <c r="BA511" s="6195">
        <f t="shared" si="208"/>
        <v>0</v>
      </c>
      <c r="BB511" s="6193" t="str">
        <f t="shared" si="204"/>
        <v/>
      </c>
      <c r="BC511" s="6219"/>
      <c r="BD511" s="6222">
        <f t="shared" si="209"/>
        <v>0</v>
      </c>
      <c r="BE511" s="6220" t="str">
        <f t="shared" si="205"/>
        <v/>
      </c>
      <c r="BF511" s="4" t="s">
        <v>1</v>
      </c>
      <c r="BG511" s="6196">
        <f t="shared" si="206"/>
        <v>0</v>
      </c>
      <c r="BH511" s="6197">
        <f t="shared" si="207"/>
        <v>0</v>
      </c>
      <c r="BI511"/>
      <c r="BJ511" s="1"/>
      <c r="BK511" s="1"/>
      <c r="BL511" s="1"/>
      <c r="BM511" s="1"/>
      <c r="BN511" s="1"/>
      <c r="BO511" s="1"/>
      <c r="BP511" s="1"/>
      <c r="BQ511" s="1"/>
      <c r="BX511" s="20" t="str">
        <f t="shared" si="188"/>
        <v>►</v>
      </c>
      <c r="BY511" s="2"/>
      <c r="BZ511" s="2"/>
      <c r="CA511" s="2"/>
      <c r="CB511" s="2"/>
      <c r="CC511" s="2"/>
      <c r="DC511" s="5">
        <v>1</v>
      </c>
    </row>
    <row r="512" spans="12:107" ht="21" customHeight="1">
      <c r="L512" s="1021" t="s">
        <v>26</v>
      </c>
      <c r="M512" s="6787"/>
      <c r="N512" s="6787"/>
      <c r="O512" s="6787"/>
      <c r="P512" s="6788"/>
      <c r="Q512" s="6789"/>
      <c r="R512" s="6790"/>
      <c r="S512" s="6786"/>
      <c r="T512" s="6791"/>
      <c r="U512" s="6844"/>
      <c r="V512" s="6791"/>
      <c r="W512" s="8487"/>
      <c r="X512" s="6871"/>
      <c r="Y512" s="6793"/>
      <c r="Z512" s="6794"/>
      <c r="AA512" s="6795"/>
      <c r="AB512" s="6796"/>
      <c r="AC512" s="6797"/>
      <c r="AD512" s="6798"/>
      <c r="AE512" s="4" t="s">
        <v>1</v>
      </c>
      <c r="AF512" s="6202" t="str">
        <f t="shared" si="189"/>
        <v>►</v>
      </c>
      <c r="AG512" s="6234" t="str">
        <f t="shared" si="190"/>
        <v/>
      </c>
      <c r="AH512" s="6732" t="str">
        <f t="shared" si="191"/>
        <v/>
      </c>
      <c r="AI512" s="6234" t="str">
        <f t="shared" si="192"/>
        <v/>
      </c>
      <c r="AJ512" s="6732" t="str">
        <f t="shared" si="193"/>
        <v/>
      </c>
      <c r="AK512" s="6732">
        <f t="shared" si="194"/>
        <v>0</v>
      </c>
      <c r="AL512" s="6230" t="str" cm="1">
        <f t="array" ref="AL512">IF(AF512&lt;&gt;"A","",IFERROR((IFERROR(_xlfn.XLOOKUP(TRIM(SUBSTITUTE(U512,CHAR(160)," ")),$BJ$15:$BJ$62,$BM$15:$BM$62),IFERROR(_xlfn.XLOOKUP(TRIM(SUBSTITUTE(U512,CHAR(160)," ")),$BK$15:$BK$62,$BM$15:$BM$62),_xlfn.XLOOKUP(TRIM(SUBSTITUTE(U512,CHAR(160)," ")),$BL$15:$BL$62,$BM$15:$BM$62))))*T512*IF(ISBLANK(Q512),1,Q512)+IFERROR(_xlfn.XLOOKUP("RECHERCHEX",TRIM(L512:AD512),L512:AD512),0),0))</f>
        <v/>
      </c>
      <c r="AM512" s="6229">
        <f t="shared" si="195"/>
        <v>0</v>
      </c>
      <c r="AN512" s="6857" t="str">
        <f t="shared" si="210"/>
        <v/>
      </c>
      <c r="AO512" s="392">
        <f t="shared" si="196"/>
        <v>0</v>
      </c>
      <c r="AP512" s="392">
        <f t="shared" si="197"/>
        <v>0</v>
      </c>
      <c r="AQ512" s="6190">
        <f t="shared" si="198"/>
        <v>0</v>
      </c>
      <c r="AR512" s="6858" t="str">
        <f t="shared" si="199"/>
        <v/>
      </c>
      <c r="AS512" s="6217"/>
      <c r="AT512" s="6217"/>
      <c r="AU512" s="6271">
        <f t="shared" si="200"/>
        <v>0</v>
      </c>
      <c r="AV512" s="6242">
        <f t="shared" si="201"/>
        <v>0</v>
      </c>
      <c r="AW512" s="6188" cm="1">
        <f t="array" ref="AW512">IF(AK512&lt;&gt;1,0,IF(OR(AU512="",N(AU512)&lt;=0.000000001),"",IF(OR(AO512="",N(AO512)&lt;=0.000000001),0,IF(ISNUMBER(AU512),IFERROR(_xlfn.LET(_xlpm.ai_test,TRIM(AJ512),_xlpm.r,IFERROR(_xlfn.XLOOKUP(_xlpm.ai_test,$BJ$15:$BJ$62,ROW($BJ$15:$BJ$62),0,1),IFERROR(_xlfn.XLOOKUP(_xlpm.ai_test,$BK$15:$BK$62,ROW($BK$15:$BK$62),0,1),_xlfn.XLOOKUP(_xlpm.ai_test,$BL$15:$BL$62,ROW($BL$15:$BL$62),0,1))),_xlpm.p,_xlpm.r-MIN(ROW($BJ$15:$BJ$62))+1,_xlpm.f,INDEX($BM$15:$BM$62,_xlpm.p),_xlpm.u,INDEX($BN$15:$BN$62,_xlpm.p),_xlpm.s,INDEX($BP$15:$BP$62,_xlpm.p),_xlpm.q,N(AU512)/_xlpm.f,IF(_xlpm.q&gt;=_xlpm.s,ROUND(_xlpm.q,1)&amp;" "&amp;_xlpm.ai_test&amp;" = "&amp;ROUND(_xlpm.q*_xlpm.f,1)&amp;" "&amp;_xlpm.u,ROUND(_xlpm.q,1)&amp;" "&amp;_xlpm.ai_test)),""),""))))</f>
        <v>0</v>
      </c>
      <c r="AX512" s="6218"/>
      <c r="AY512" s="6271">
        <f t="shared" si="202"/>
        <v>0</v>
      </c>
      <c r="AZ512" s="6242" t="str">
        <f t="shared" si="203"/>
        <v/>
      </c>
      <c r="BA512" s="6194">
        <f t="shared" si="208"/>
        <v>0</v>
      </c>
      <c r="BB512" s="6192" t="str">
        <f t="shared" si="204"/>
        <v/>
      </c>
      <c r="BC512" s="6219"/>
      <c r="BD512" s="6221">
        <f t="shared" si="209"/>
        <v>0</v>
      </c>
      <c r="BE512" s="6220" t="str">
        <f t="shared" si="205"/>
        <v/>
      </c>
      <c r="BF512" s="4" t="s">
        <v>1</v>
      </c>
      <c r="BG512" s="6196">
        <f t="shared" si="206"/>
        <v>0</v>
      </c>
      <c r="BH512" s="6197">
        <f t="shared" si="207"/>
        <v>0</v>
      </c>
      <c r="BI512"/>
      <c r="BJ512" s="1"/>
      <c r="BK512" s="1"/>
      <c r="BL512" s="1"/>
      <c r="BM512" s="1"/>
      <c r="BN512" s="1"/>
      <c r="BO512" s="1"/>
      <c r="BP512" s="1"/>
      <c r="BQ512" s="1"/>
      <c r="BX512" s="20" t="str">
        <f t="shared" si="188"/>
        <v>►</v>
      </c>
      <c r="BY512" s="2"/>
      <c r="BZ512" s="2"/>
      <c r="CA512" s="2"/>
      <c r="CB512" s="2"/>
      <c r="CC512" s="2"/>
      <c r="DC512" s="5">
        <v>1</v>
      </c>
    </row>
    <row r="513" spans="12:107" ht="21" customHeight="1">
      <c r="L513" s="1021" t="s">
        <v>26</v>
      </c>
      <c r="M513" s="6787"/>
      <c r="N513" s="6787"/>
      <c r="O513" s="6787"/>
      <c r="P513" s="6788"/>
      <c r="Q513" s="6789"/>
      <c r="R513" s="6790"/>
      <c r="S513" s="6786"/>
      <c r="T513" s="6791"/>
      <c r="U513" s="6844"/>
      <c r="V513" s="6791"/>
      <c r="W513" s="8487"/>
      <c r="X513" s="6871"/>
      <c r="Y513" s="6793"/>
      <c r="Z513" s="6794"/>
      <c r="AA513" s="6795"/>
      <c r="AB513" s="6796"/>
      <c r="AC513" s="6797"/>
      <c r="AD513" s="6798"/>
      <c r="AE513" s="4" t="s">
        <v>1</v>
      </c>
      <c r="AF513" s="6202" t="str">
        <f t="shared" si="189"/>
        <v>►</v>
      </c>
      <c r="AG513" s="6234" t="str">
        <f t="shared" si="190"/>
        <v/>
      </c>
      <c r="AH513" s="6732" t="str">
        <f t="shared" si="191"/>
        <v/>
      </c>
      <c r="AI513" s="6234" t="str">
        <f t="shared" si="192"/>
        <v/>
      </c>
      <c r="AJ513" s="6732" t="str">
        <f t="shared" si="193"/>
        <v/>
      </c>
      <c r="AK513" s="6732">
        <f t="shared" si="194"/>
        <v>0</v>
      </c>
      <c r="AL513" s="6230" t="str" cm="1">
        <f t="array" ref="AL513">IF(AF513&lt;&gt;"A","",IFERROR((IFERROR(_xlfn.XLOOKUP(TRIM(SUBSTITUTE(U513,CHAR(160)," ")),$BJ$15:$BJ$62,$BM$15:$BM$62),IFERROR(_xlfn.XLOOKUP(TRIM(SUBSTITUTE(U513,CHAR(160)," ")),$BK$15:$BK$62,$BM$15:$BM$62),_xlfn.XLOOKUP(TRIM(SUBSTITUTE(U513,CHAR(160)," ")),$BL$15:$BL$62,$BM$15:$BM$62))))*T513*IF(ISBLANK(Q513),1,Q513)+IFERROR(_xlfn.XLOOKUP("RECHERCHEX",TRIM(L513:AD513),L513:AD513),0),0))</f>
        <v/>
      </c>
      <c r="AM513" s="6229">
        <f t="shared" si="195"/>
        <v>0</v>
      </c>
      <c r="AN513" s="6857" t="str">
        <f t="shared" si="210"/>
        <v/>
      </c>
      <c r="AO513" s="392">
        <f t="shared" si="196"/>
        <v>0</v>
      </c>
      <c r="AP513" s="392">
        <f t="shared" si="197"/>
        <v>0</v>
      </c>
      <c r="AQ513" s="6191">
        <f t="shared" si="198"/>
        <v>0</v>
      </c>
      <c r="AR513" s="6859" t="str">
        <f t="shared" si="199"/>
        <v/>
      </c>
      <c r="AS513" s="6217"/>
      <c r="AT513" s="6217"/>
      <c r="AU513" s="6272">
        <f t="shared" si="200"/>
        <v>0</v>
      </c>
      <c r="AV513" s="6240">
        <f t="shared" si="201"/>
        <v>0</v>
      </c>
      <c r="AW513" s="6189" cm="1">
        <f t="array" ref="AW513">IF(AK513&lt;&gt;1,0,IF(OR(AU513="",N(AU513)&lt;=0.000000001),"",IF(OR(AO513="",N(AO513)&lt;=0.000000001),0,IF(ISNUMBER(AU513),IFERROR(_xlfn.LET(_xlpm.ai_test,TRIM(AJ513),_xlpm.r,IFERROR(_xlfn.XLOOKUP(_xlpm.ai_test,$BJ$15:$BJ$62,ROW($BJ$15:$BJ$62),0,1),IFERROR(_xlfn.XLOOKUP(_xlpm.ai_test,$BK$15:$BK$62,ROW($BK$15:$BK$62),0,1),_xlfn.XLOOKUP(_xlpm.ai_test,$BL$15:$BL$62,ROW($BL$15:$BL$62),0,1))),_xlpm.p,_xlpm.r-MIN(ROW($BJ$15:$BJ$62))+1,_xlpm.f,INDEX($BM$15:$BM$62,_xlpm.p),_xlpm.u,INDEX($BN$15:$BN$62,_xlpm.p),_xlpm.s,INDEX($BP$15:$BP$62,_xlpm.p),_xlpm.q,N(AU513)/_xlpm.f,IF(_xlpm.q&gt;=_xlpm.s,ROUND(_xlpm.q,1)&amp;" "&amp;_xlpm.ai_test&amp;" = "&amp;ROUND(_xlpm.q*_xlpm.f,1)&amp;" "&amp;_xlpm.u,ROUND(_xlpm.q,1)&amp;" "&amp;_xlpm.ai_test)),""),""))))</f>
        <v>0</v>
      </c>
      <c r="AX513" s="6218"/>
      <c r="AY513" s="6272">
        <f t="shared" si="202"/>
        <v>0</v>
      </c>
      <c r="AZ513" s="6240" t="str">
        <f t="shared" si="203"/>
        <v/>
      </c>
      <c r="BA513" s="6195">
        <f t="shared" si="208"/>
        <v>0</v>
      </c>
      <c r="BB513" s="6193" t="str">
        <f t="shared" si="204"/>
        <v/>
      </c>
      <c r="BC513" s="6219"/>
      <c r="BD513" s="6222">
        <f t="shared" si="209"/>
        <v>0</v>
      </c>
      <c r="BE513" s="6220" t="str">
        <f t="shared" si="205"/>
        <v/>
      </c>
      <c r="BF513" s="4" t="s">
        <v>1</v>
      </c>
      <c r="BG513" s="6196">
        <f t="shared" si="206"/>
        <v>0</v>
      </c>
      <c r="BH513" s="6197">
        <f t="shared" si="207"/>
        <v>0</v>
      </c>
      <c r="BI513"/>
      <c r="BJ513" s="1"/>
      <c r="BK513" s="1"/>
      <c r="BL513" s="1"/>
      <c r="BM513" s="1"/>
      <c r="BN513" s="1"/>
      <c r="BO513" s="1"/>
      <c r="BP513" s="1"/>
      <c r="BQ513" s="1"/>
      <c r="BX513" s="20" t="str">
        <f t="shared" si="188"/>
        <v>►</v>
      </c>
      <c r="BY513" s="2"/>
      <c r="BZ513" s="2"/>
      <c r="CA513" s="2"/>
      <c r="CB513" s="2"/>
      <c r="CC513" s="2"/>
      <c r="DC513" s="5">
        <v>1</v>
      </c>
    </row>
    <row r="514" spans="12:107" ht="21" customHeight="1">
      <c r="L514" s="1021" t="s">
        <v>26</v>
      </c>
      <c r="M514" s="6787"/>
      <c r="N514" s="6787"/>
      <c r="O514" s="6787"/>
      <c r="P514" s="6788"/>
      <c r="Q514" s="6789"/>
      <c r="R514" s="6790"/>
      <c r="S514" s="6786"/>
      <c r="T514" s="6791"/>
      <c r="U514" s="6844"/>
      <c r="V514" s="6791"/>
      <c r="W514" s="8487"/>
      <c r="X514" s="6871"/>
      <c r="Y514" s="6793"/>
      <c r="Z514" s="6794"/>
      <c r="AA514" s="6795"/>
      <c r="AB514" s="6796"/>
      <c r="AC514" s="6797"/>
      <c r="AD514" s="6798"/>
      <c r="AE514" s="4" t="s">
        <v>1</v>
      </c>
      <c r="AF514" s="6202" t="str">
        <f t="shared" si="189"/>
        <v>►</v>
      </c>
      <c r="AG514" s="6234" t="str">
        <f t="shared" si="190"/>
        <v/>
      </c>
      <c r="AH514" s="6732" t="str">
        <f t="shared" si="191"/>
        <v/>
      </c>
      <c r="AI514" s="6234" t="str">
        <f t="shared" si="192"/>
        <v/>
      </c>
      <c r="AJ514" s="6732" t="str">
        <f t="shared" si="193"/>
        <v/>
      </c>
      <c r="AK514" s="6732">
        <f t="shared" si="194"/>
        <v>0</v>
      </c>
      <c r="AL514" s="6230" t="str" cm="1">
        <f t="array" ref="AL514">IF(AF514&lt;&gt;"A","",IFERROR((IFERROR(_xlfn.XLOOKUP(TRIM(SUBSTITUTE(U514,CHAR(160)," ")),$BJ$15:$BJ$62,$BM$15:$BM$62),IFERROR(_xlfn.XLOOKUP(TRIM(SUBSTITUTE(U514,CHAR(160)," ")),$BK$15:$BK$62,$BM$15:$BM$62),_xlfn.XLOOKUP(TRIM(SUBSTITUTE(U514,CHAR(160)," ")),$BL$15:$BL$62,$BM$15:$BM$62))))*T514*IF(ISBLANK(Q514),1,Q514)+IFERROR(_xlfn.XLOOKUP("RECHERCHEX",TRIM(L514:AD514),L514:AD514),0),0))</f>
        <v/>
      </c>
      <c r="AM514" s="6229">
        <f t="shared" si="195"/>
        <v>0</v>
      </c>
      <c r="AN514" s="6857" t="str">
        <f t="shared" si="210"/>
        <v/>
      </c>
      <c r="AO514" s="392">
        <f t="shared" si="196"/>
        <v>0</v>
      </c>
      <c r="AP514" s="392">
        <f t="shared" si="197"/>
        <v>0</v>
      </c>
      <c r="AQ514" s="6190">
        <f t="shared" si="198"/>
        <v>0</v>
      </c>
      <c r="AR514" s="6858" t="str">
        <f t="shared" si="199"/>
        <v/>
      </c>
      <c r="AS514" s="6217"/>
      <c r="AT514" s="6217"/>
      <c r="AU514" s="6271">
        <f t="shared" si="200"/>
        <v>0</v>
      </c>
      <c r="AV514" s="6242">
        <f t="shared" si="201"/>
        <v>0</v>
      </c>
      <c r="AW514" s="6188" cm="1">
        <f t="array" ref="AW514">IF(AK514&lt;&gt;1,0,IF(OR(AU514="",N(AU514)&lt;=0.000000001),"",IF(OR(AO514="",N(AO514)&lt;=0.000000001),0,IF(ISNUMBER(AU514),IFERROR(_xlfn.LET(_xlpm.ai_test,TRIM(AJ514),_xlpm.r,IFERROR(_xlfn.XLOOKUP(_xlpm.ai_test,$BJ$15:$BJ$62,ROW($BJ$15:$BJ$62),0,1),IFERROR(_xlfn.XLOOKUP(_xlpm.ai_test,$BK$15:$BK$62,ROW($BK$15:$BK$62),0,1),_xlfn.XLOOKUP(_xlpm.ai_test,$BL$15:$BL$62,ROW($BL$15:$BL$62),0,1))),_xlpm.p,_xlpm.r-MIN(ROW($BJ$15:$BJ$62))+1,_xlpm.f,INDEX($BM$15:$BM$62,_xlpm.p),_xlpm.u,INDEX($BN$15:$BN$62,_xlpm.p),_xlpm.s,INDEX($BP$15:$BP$62,_xlpm.p),_xlpm.q,N(AU514)/_xlpm.f,IF(_xlpm.q&gt;=_xlpm.s,ROUND(_xlpm.q,1)&amp;" "&amp;_xlpm.ai_test&amp;" = "&amp;ROUND(_xlpm.q*_xlpm.f,1)&amp;" "&amp;_xlpm.u,ROUND(_xlpm.q,1)&amp;" "&amp;_xlpm.ai_test)),""),""))))</f>
        <v>0</v>
      </c>
      <c r="AX514" s="6218"/>
      <c r="AY514" s="6271">
        <f t="shared" si="202"/>
        <v>0</v>
      </c>
      <c r="AZ514" s="6242" t="str">
        <f t="shared" si="203"/>
        <v/>
      </c>
      <c r="BA514" s="6194">
        <f t="shared" si="208"/>
        <v>0</v>
      </c>
      <c r="BB514" s="6192" t="str">
        <f t="shared" si="204"/>
        <v/>
      </c>
      <c r="BC514" s="6219"/>
      <c r="BD514" s="6221">
        <f t="shared" si="209"/>
        <v>0</v>
      </c>
      <c r="BE514" s="6220" t="str">
        <f t="shared" si="205"/>
        <v/>
      </c>
      <c r="BF514" s="4" t="s">
        <v>1</v>
      </c>
      <c r="BG514" s="6196">
        <f t="shared" si="206"/>
        <v>0</v>
      </c>
      <c r="BH514" s="6197">
        <f t="shared" si="207"/>
        <v>0</v>
      </c>
      <c r="BI514"/>
      <c r="BJ514" s="1"/>
      <c r="BK514" s="1"/>
      <c r="BL514" s="1"/>
      <c r="BM514" s="1"/>
      <c r="BN514" s="1"/>
      <c r="BO514" s="1"/>
      <c r="BP514" s="1"/>
      <c r="BQ514" s="1"/>
      <c r="BX514" s="20" t="str">
        <f t="shared" si="188"/>
        <v>►</v>
      </c>
      <c r="BY514" s="2"/>
      <c r="BZ514" s="2"/>
      <c r="CA514" s="2"/>
      <c r="CB514" s="2"/>
      <c r="CC514" s="2"/>
      <c r="DC514" s="5">
        <v>1</v>
      </c>
    </row>
    <row r="515" spans="12:107" ht="21" customHeight="1">
      <c r="L515" s="1021" t="s">
        <v>26</v>
      </c>
      <c r="M515" s="6787"/>
      <c r="N515" s="6787"/>
      <c r="O515" s="6787"/>
      <c r="P515" s="6788"/>
      <c r="Q515" s="6789"/>
      <c r="R515" s="6790"/>
      <c r="S515" s="6786"/>
      <c r="T515" s="6791"/>
      <c r="U515" s="6844"/>
      <c r="V515" s="6791"/>
      <c r="W515" s="8487"/>
      <c r="X515" s="6871"/>
      <c r="Y515" s="6793"/>
      <c r="Z515" s="6794"/>
      <c r="AA515" s="6795"/>
      <c r="AB515" s="6796"/>
      <c r="AC515" s="6797"/>
      <c r="AD515" s="6798"/>
      <c r="AE515" s="4" t="s">
        <v>1</v>
      </c>
      <c r="AF515" s="6202" t="str">
        <f t="shared" si="189"/>
        <v>►</v>
      </c>
      <c r="AG515" s="6234" t="str">
        <f t="shared" si="190"/>
        <v/>
      </c>
      <c r="AH515" s="6732" t="str">
        <f t="shared" si="191"/>
        <v/>
      </c>
      <c r="AI515" s="6234" t="str">
        <f t="shared" si="192"/>
        <v/>
      </c>
      <c r="AJ515" s="6732" t="str">
        <f t="shared" si="193"/>
        <v/>
      </c>
      <c r="AK515" s="6732">
        <f t="shared" si="194"/>
        <v>0</v>
      </c>
      <c r="AL515" s="6230" t="str" cm="1">
        <f t="array" ref="AL515">IF(AF515&lt;&gt;"A","",IFERROR((IFERROR(_xlfn.XLOOKUP(TRIM(SUBSTITUTE(U515,CHAR(160)," ")),$BJ$15:$BJ$62,$BM$15:$BM$62),IFERROR(_xlfn.XLOOKUP(TRIM(SUBSTITUTE(U515,CHAR(160)," ")),$BK$15:$BK$62,$BM$15:$BM$62),_xlfn.XLOOKUP(TRIM(SUBSTITUTE(U515,CHAR(160)," ")),$BL$15:$BL$62,$BM$15:$BM$62))))*T515*IF(ISBLANK(Q515),1,Q515)+IFERROR(_xlfn.XLOOKUP("RECHERCHEX",TRIM(L515:AD515),L515:AD515),0),0))</f>
        <v/>
      </c>
      <c r="AM515" s="6229">
        <f t="shared" si="195"/>
        <v>0</v>
      </c>
      <c r="AN515" s="6857" t="str">
        <f t="shared" si="210"/>
        <v/>
      </c>
      <c r="AO515" s="392">
        <f t="shared" si="196"/>
        <v>0</v>
      </c>
      <c r="AP515" s="392">
        <f t="shared" si="197"/>
        <v>0</v>
      </c>
      <c r="AQ515" s="6191">
        <f t="shared" si="198"/>
        <v>0</v>
      </c>
      <c r="AR515" s="6859" t="str">
        <f t="shared" si="199"/>
        <v/>
      </c>
      <c r="AS515" s="6217"/>
      <c r="AT515" s="6217"/>
      <c r="AU515" s="6272">
        <f t="shared" si="200"/>
        <v>0</v>
      </c>
      <c r="AV515" s="6240">
        <f t="shared" si="201"/>
        <v>0</v>
      </c>
      <c r="AW515" s="6189" cm="1">
        <f t="array" ref="AW515">IF(AK515&lt;&gt;1,0,IF(OR(AU515="",N(AU515)&lt;=0.000000001),"",IF(OR(AO515="",N(AO515)&lt;=0.000000001),0,IF(ISNUMBER(AU515),IFERROR(_xlfn.LET(_xlpm.ai_test,TRIM(AJ515),_xlpm.r,IFERROR(_xlfn.XLOOKUP(_xlpm.ai_test,$BJ$15:$BJ$62,ROW($BJ$15:$BJ$62),0,1),IFERROR(_xlfn.XLOOKUP(_xlpm.ai_test,$BK$15:$BK$62,ROW($BK$15:$BK$62),0,1),_xlfn.XLOOKUP(_xlpm.ai_test,$BL$15:$BL$62,ROW($BL$15:$BL$62),0,1))),_xlpm.p,_xlpm.r-MIN(ROW($BJ$15:$BJ$62))+1,_xlpm.f,INDEX($BM$15:$BM$62,_xlpm.p),_xlpm.u,INDEX($BN$15:$BN$62,_xlpm.p),_xlpm.s,INDEX($BP$15:$BP$62,_xlpm.p),_xlpm.q,N(AU515)/_xlpm.f,IF(_xlpm.q&gt;=_xlpm.s,ROUND(_xlpm.q,1)&amp;" "&amp;_xlpm.ai_test&amp;" = "&amp;ROUND(_xlpm.q*_xlpm.f,1)&amp;" "&amp;_xlpm.u,ROUND(_xlpm.q,1)&amp;" "&amp;_xlpm.ai_test)),""),""))))</f>
        <v>0</v>
      </c>
      <c r="AX515" s="6218"/>
      <c r="AY515" s="6272">
        <f t="shared" si="202"/>
        <v>0</v>
      </c>
      <c r="AZ515" s="6240" t="str">
        <f t="shared" si="203"/>
        <v/>
      </c>
      <c r="BA515" s="6195">
        <f t="shared" si="208"/>
        <v>0</v>
      </c>
      <c r="BB515" s="6193" t="str">
        <f t="shared" si="204"/>
        <v/>
      </c>
      <c r="BC515" s="6219"/>
      <c r="BD515" s="6222">
        <f t="shared" si="209"/>
        <v>0</v>
      </c>
      <c r="BE515" s="6220" t="str">
        <f t="shared" si="205"/>
        <v/>
      </c>
      <c r="BF515" s="4" t="s">
        <v>1</v>
      </c>
      <c r="BG515" s="6196">
        <f t="shared" si="206"/>
        <v>0</v>
      </c>
      <c r="BH515" s="6197">
        <f t="shared" si="207"/>
        <v>0</v>
      </c>
      <c r="BI515"/>
      <c r="BJ515" s="1"/>
      <c r="BK515" s="1"/>
      <c r="BL515" s="1"/>
      <c r="BM515" s="1"/>
      <c r="BN515" s="1"/>
      <c r="BO515" s="1"/>
      <c r="BP515" s="1"/>
      <c r="BQ515" s="1"/>
      <c r="BX515" s="20" t="str">
        <f t="shared" si="188"/>
        <v>►</v>
      </c>
      <c r="BY515" s="2"/>
      <c r="BZ515" s="2"/>
      <c r="CA515" s="2"/>
      <c r="CB515" s="2"/>
      <c r="CC515" s="2"/>
      <c r="DC515" s="5">
        <v>1</v>
      </c>
    </row>
    <row r="516" spans="12:107" ht="21" customHeight="1">
      <c r="L516" s="1021" t="s">
        <v>26</v>
      </c>
      <c r="M516" s="6787"/>
      <c r="N516" s="6787"/>
      <c r="O516" s="6787"/>
      <c r="P516" s="6788"/>
      <c r="Q516" s="6789"/>
      <c r="R516" s="6790"/>
      <c r="S516" s="6786"/>
      <c r="T516" s="6791"/>
      <c r="U516" s="6844"/>
      <c r="V516" s="6791"/>
      <c r="W516" s="8487"/>
      <c r="X516" s="6871"/>
      <c r="Y516" s="6793"/>
      <c r="Z516" s="6794"/>
      <c r="AA516" s="6795"/>
      <c r="AB516" s="6796"/>
      <c r="AC516" s="6797"/>
      <c r="AD516" s="6798"/>
      <c r="AE516" s="4" t="s">
        <v>1</v>
      </c>
      <c r="AF516" s="6202" t="str">
        <f t="shared" si="189"/>
        <v>►</v>
      </c>
      <c r="AG516" s="6234" t="str">
        <f t="shared" si="190"/>
        <v/>
      </c>
      <c r="AH516" s="6732" t="str">
        <f t="shared" si="191"/>
        <v/>
      </c>
      <c r="AI516" s="6234" t="str">
        <f t="shared" si="192"/>
        <v/>
      </c>
      <c r="AJ516" s="6732" t="str">
        <f t="shared" si="193"/>
        <v/>
      </c>
      <c r="AK516" s="6732">
        <f t="shared" si="194"/>
        <v>0</v>
      </c>
      <c r="AL516" s="6230" t="str" cm="1">
        <f t="array" ref="AL516">IF(AF516&lt;&gt;"A","",IFERROR((IFERROR(_xlfn.XLOOKUP(TRIM(SUBSTITUTE(U516,CHAR(160)," ")),$BJ$15:$BJ$62,$BM$15:$BM$62),IFERROR(_xlfn.XLOOKUP(TRIM(SUBSTITUTE(U516,CHAR(160)," ")),$BK$15:$BK$62,$BM$15:$BM$62),_xlfn.XLOOKUP(TRIM(SUBSTITUTE(U516,CHAR(160)," ")),$BL$15:$BL$62,$BM$15:$BM$62))))*T516*IF(ISBLANK(Q516),1,Q516)+IFERROR(_xlfn.XLOOKUP("RECHERCHEX",TRIM(L516:AD516),L516:AD516),0),0))</f>
        <v/>
      </c>
      <c r="AM516" s="6229">
        <f t="shared" si="195"/>
        <v>0</v>
      </c>
      <c r="AN516" s="6857" t="str">
        <f t="shared" si="210"/>
        <v/>
      </c>
      <c r="AO516" s="392">
        <f t="shared" si="196"/>
        <v>0</v>
      </c>
      <c r="AP516" s="392">
        <f t="shared" si="197"/>
        <v>0</v>
      </c>
      <c r="AQ516" s="6190">
        <f t="shared" si="198"/>
        <v>0</v>
      </c>
      <c r="AR516" s="6858" t="str">
        <f t="shared" si="199"/>
        <v/>
      </c>
      <c r="AS516" s="6217"/>
      <c r="AT516" s="6217"/>
      <c r="AU516" s="6271">
        <f t="shared" si="200"/>
        <v>0</v>
      </c>
      <c r="AV516" s="6242">
        <f t="shared" si="201"/>
        <v>0</v>
      </c>
      <c r="AW516" s="6188" cm="1">
        <f t="array" ref="AW516">IF(AK516&lt;&gt;1,0,IF(OR(AU516="",N(AU516)&lt;=0.000000001),"",IF(OR(AO516="",N(AO516)&lt;=0.000000001),0,IF(ISNUMBER(AU516),IFERROR(_xlfn.LET(_xlpm.ai_test,TRIM(AJ516),_xlpm.r,IFERROR(_xlfn.XLOOKUP(_xlpm.ai_test,$BJ$15:$BJ$62,ROW($BJ$15:$BJ$62),0,1),IFERROR(_xlfn.XLOOKUP(_xlpm.ai_test,$BK$15:$BK$62,ROW($BK$15:$BK$62),0,1),_xlfn.XLOOKUP(_xlpm.ai_test,$BL$15:$BL$62,ROW($BL$15:$BL$62),0,1))),_xlpm.p,_xlpm.r-MIN(ROW($BJ$15:$BJ$62))+1,_xlpm.f,INDEX($BM$15:$BM$62,_xlpm.p),_xlpm.u,INDEX($BN$15:$BN$62,_xlpm.p),_xlpm.s,INDEX($BP$15:$BP$62,_xlpm.p),_xlpm.q,N(AU516)/_xlpm.f,IF(_xlpm.q&gt;=_xlpm.s,ROUND(_xlpm.q,1)&amp;" "&amp;_xlpm.ai_test&amp;" = "&amp;ROUND(_xlpm.q*_xlpm.f,1)&amp;" "&amp;_xlpm.u,ROUND(_xlpm.q,1)&amp;" "&amp;_xlpm.ai_test)),""),""))))</f>
        <v>0</v>
      </c>
      <c r="AX516" s="6218"/>
      <c r="AY516" s="6271">
        <f t="shared" si="202"/>
        <v>0</v>
      </c>
      <c r="AZ516" s="6242" t="str">
        <f t="shared" si="203"/>
        <v/>
      </c>
      <c r="BA516" s="6194">
        <f t="shared" si="208"/>
        <v>0</v>
      </c>
      <c r="BB516" s="6192" t="str">
        <f t="shared" si="204"/>
        <v/>
      </c>
      <c r="BC516" s="6219"/>
      <c r="BD516" s="6221">
        <f t="shared" si="209"/>
        <v>0</v>
      </c>
      <c r="BE516" s="6220" t="str">
        <f t="shared" si="205"/>
        <v/>
      </c>
      <c r="BF516" s="4" t="s">
        <v>1</v>
      </c>
      <c r="BG516" s="6196">
        <f t="shared" si="206"/>
        <v>0</v>
      </c>
      <c r="BH516" s="6197">
        <f t="shared" si="207"/>
        <v>0</v>
      </c>
      <c r="BI516"/>
      <c r="BJ516" s="1"/>
      <c r="BK516" s="1"/>
      <c r="BL516" s="1"/>
      <c r="BM516" s="1"/>
      <c r="BN516" s="1"/>
      <c r="BO516" s="1"/>
      <c r="BP516" s="1"/>
      <c r="BQ516" s="1"/>
      <c r="BX516" s="20" t="str">
        <f t="shared" si="188"/>
        <v>►</v>
      </c>
      <c r="BY516" s="2"/>
      <c r="BZ516" s="2"/>
      <c r="CA516" s="2"/>
      <c r="CB516" s="2"/>
      <c r="CC516" s="2"/>
      <c r="DC516" s="5">
        <v>1</v>
      </c>
    </row>
    <row r="517" spans="12:107" ht="21" customHeight="1">
      <c r="L517" s="1021" t="s">
        <v>26</v>
      </c>
      <c r="M517" s="6787"/>
      <c r="N517" s="6787"/>
      <c r="O517" s="6787"/>
      <c r="P517" s="6788"/>
      <c r="Q517" s="6789"/>
      <c r="R517" s="6790"/>
      <c r="S517" s="6786"/>
      <c r="T517" s="6791"/>
      <c r="U517" s="6844"/>
      <c r="V517" s="6791"/>
      <c r="W517" s="8487"/>
      <c r="X517" s="6871"/>
      <c r="Y517" s="6793"/>
      <c r="Z517" s="6794"/>
      <c r="AA517" s="6795"/>
      <c r="AB517" s="6796"/>
      <c r="AC517" s="6797"/>
      <c r="AD517" s="6798"/>
      <c r="AE517" s="4" t="s">
        <v>1</v>
      </c>
      <c r="AF517" s="6202" t="str">
        <f t="shared" si="189"/>
        <v>►</v>
      </c>
      <c r="AG517" s="6234" t="str">
        <f t="shared" si="190"/>
        <v/>
      </c>
      <c r="AH517" s="6732" t="str">
        <f t="shared" si="191"/>
        <v/>
      </c>
      <c r="AI517" s="6234" t="str">
        <f t="shared" si="192"/>
        <v/>
      </c>
      <c r="AJ517" s="6732" t="str">
        <f t="shared" si="193"/>
        <v/>
      </c>
      <c r="AK517" s="6732">
        <f t="shared" si="194"/>
        <v>0</v>
      </c>
      <c r="AL517" s="6230" t="str" cm="1">
        <f t="array" ref="AL517">IF(AF517&lt;&gt;"A","",IFERROR((IFERROR(_xlfn.XLOOKUP(TRIM(SUBSTITUTE(U517,CHAR(160)," ")),$BJ$15:$BJ$62,$BM$15:$BM$62),IFERROR(_xlfn.XLOOKUP(TRIM(SUBSTITUTE(U517,CHAR(160)," ")),$BK$15:$BK$62,$BM$15:$BM$62),_xlfn.XLOOKUP(TRIM(SUBSTITUTE(U517,CHAR(160)," ")),$BL$15:$BL$62,$BM$15:$BM$62))))*T517*IF(ISBLANK(Q517),1,Q517)+IFERROR(_xlfn.XLOOKUP("RECHERCHEX",TRIM(L517:AD517),L517:AD517),0),0))</f>
        <v/>
      </c>
      <c r="AM517" s="6229">
        <f t="shared" si="195"/>
        <v>0</v>
      </c>
      <c r="AN517" s="6857" t="str">
        <f t="shared" si="210"/>
        <v/>
      </c>
      <c r="AO517" s="392">
        <f t="shared" si="196"/>
        <v>0</v>
      </c>
      <c r="AP517" s="392">
        <f t="shared" si="197"/>
        <v>0</v>
      </c>
      <c r="AQ517" s="6191">
        <f t="shared" si="198"/>
        <v>0</v>
      </c>
      <c r="AR517" s="6859" t="str">
        <f t="shared" si="199"/>
        <v/>
      </c>
      <c r="AS517" s="6217"/>
      <c r="AT517" s="6217"/>
      <c r="AU517" s="6272">
        <f t="shared" si="200"/>
        <v>0</v>
      </c>
      <c r="AV517" s="6240">
        <f t="shared" si="201"/>
        <v>0</v>
      </c>
      <c r="AW517" s="6189" cm="1">
        <f t="array" ref="AW517">IF(AK517&lt;&gt;1,0,IF(OR(AU517="",N(AU517)&lt;=0.000000001),"",IF(OR(AO517="",N(AO517)&lt;=0.000000001),0,IF(ISNUMBER(AU517),IFERROR(_xlfn.LET(_xlpm.ai_test,TRIM(AJ517),_xlpm.r,IFERROR(_xlfn.XLOOKUP(_xlpm.ai_test,$BJ$15:$BJ$62,ROW($BJ$15:$BJ$62),0,1),IFERROR(_xlfn.XLOOKUP(_xlpm.ai_test,$BK$15:$BK$62,ROW($BK$15:$BK$62),0,1),_xlfn.XLOOKUP(_xlpm.ai_test,$BL$15:$BL$62,ROW($BL$15:$BL$62),0,1))),_xlpm.p,_xlpm.r-MIN(ROW($BJ$15:$BJ$62))+1,_xlpm.f,INDEX($BM$15:$BM$62,_xlpm.p),_xlpm.u,INDEX($BN$15:$BN$62,_xlpm.p),_xlpm.s,INDEX($BP$15:$BP$62,_xlpm.p),_xlpm.q,N(AU517)/_xlpm.f,IF(_xlpm.q&gt;=_xlpm.s,ROUND(_xlpm.q,1)&amp;" "&amp;_xlpm.ai_test&amp;" = "&amp;ROUND(_xlpm.q*_xlpm.f,1)&amp;" "&amp;_xlpm.u,ROUND(_xlpm.q,1)&amp;" "&amp;_xlpm.ai_test)),""),""))))</f>
        <v>0</v>
      </c>
      <c r="AX517" s="6218"/>
      <c r="AY517" s="6272">
        <f t="shared" si="202"/>
        <v>0</v>
      </c>
      <c r="AZ517" s="6240" t="str">
        <f t="shared" si="203"/>
        <v/>
      </c>
      <c r="BA517" s="6195">
        <f t="shared" si="208"/>
        <v>0</v>
      </c>
      <c r="BB517" s="6193" t="str">
        <f t="shared" si="204"/>
        <v/>
      </c>
      <c r="BC517" s="6219"/>
      <c r="BD517" s="6222">
        <f t="shared" si="209"/>
        <v>0</v>
      </c>
      <c r="BE517" s="6220" t="str">
        <f t="shared" si="205"/>
        <v/>
      </c>
      <c r="BF517" s="4" t="s">
        <v>1</v>
      </c>
      <c r="BG517" s="6196">
        <f t="shared" si="206"/>
        <v>0</v>
      </c>
      <c r="BH517" s="6197">
        <f t="shared" si="207"/>
        <v>0</v>
      </c>
      <c r="BI517"/>
      <c r="BJ517" s="1"/>
      <c r="BK517" s="1"/>
      <c r="BL517" s="1"/>
      <c r="BM517" s="1"/>
      <c r="BN517" s="1"/>
      <c r="BO517" s="1"/>
      <c r="BP517" s="1"/>
      <c r="BQ517" s="1"/>
      <c r="BX517" s="20" t="str">
        <f t="shared" ref="BX517:BX549" si="211">AF517</f>
        <v>►</v>
      </c>
      <c r="BY517" s="2"/>
      <c r="BZ517" s="2"/>
      <c r="CA517" s="2"/>
      <c r="CB517" s="2"/>
      <c r="CC517" s="2"/>
      <c r="DC517" s="5">
        <v>1</v>
      </c>
    </row>
    <row r="518" spans="12:107" ht="21" customHeight="1">
      <c r="L518" s="1021" t="s">
        <v>26</v>
      </c>
      <c r="M518" s="6787"/>
      <c r="N518" s="6787"/>
      <c r="O518" s="6787"/>
      <c r="P518" s="6788"/>
      <c r="Q518" s="6789"/>
      <c r="R518" s="6790"/>
      <c r="S518" s="6786"/>
      <c r="T518" s="6791"/>
      <c r="U518" s="6844"/>
      <c r="V518" s="6791"/>
      <c r="W518" s="8487"/>
      <c r="X518" s="6871"/>
      <c r="Y518" s="6793"/>
      <c r="Z518" s="6794"/>
      <c r="AA518" s="6795"/>
      <c r="AB518" s="6796"/>
      <c r="AC518" s="6797"/>
      <c r="AD518" s="6798"/>
      <c r="AE518" s="4" t="s">
        <v>1</v>
      </c>
      <c r="AF518" s="6202" t="str">
        <f t="shared" si="189"/>
        <v>►</v>
      </c>
      <c r="AG518" s="6234" t="str">
        <f t="shared" si="190"/>
        <v/>
      </c>
      <c r="AH518" s="6732" t="str">
        <f t="shared" si="191"/>
        <v/>
      </c>
      <c r="AI518" s="6234" t="str">
        <f t="shared" si="192"/>
        <v/>
      </c>
      <c r="AJ518" s="6732" t="str">
        <f t="shared" si="193"/>
        <v/>
      </c>
      <c r="AK518" s="6732">
        <f t="shared" si="194"/>
        <v>0</v>
      </c>
      <c r="AL518" s="6230" t="str" cm="1">
        <f t="array" ref="AL518">IF(AF518&lt;&gt;"A","",IFERROR((IFERROR(_xlfn.XLOOKUP(TRIM(SUBSTITUTE(U518,CHAR(160)," ")),$BJ$15:$BJ$62,$BM$15:$BM$62),IFERROR(_xlfn.XLOOKUP(TRIM(SUBSTITUTE(U518,CHAR(160)," ")),$BK$15:$BK$62,$BM$15:$BM$62),_xlfn.XLOOKUP(TRIM(SUBSTITUTE(U518,CHAR(160)," ")),$BL$15:$BL$62,$BM$15:$BM$62))))*T518*IF(ISBLANK(Q518),1,Q518)+IFERROR(_xlfn.XLOOKUP("RECHERCHEX",TRIM(L518:AD518),L518:AD518),0),0))</f>
        <v/>
      </c>
      <c r="AM518" s="6229">
        <f t="shared" si="195"/>
        <v>0</v>
      </c>
      <c r="AN518" s="6857" t="str">
        <f t="shared" si="210"/>
        <v/>
      </c>
      <c r="AO518" s="392">
        <f t="shared" si="196"/>
        <v>0</v>
      </c>
      <c r="AP518" s="392">
        <f t="shared" si="197"/>
        <v>0</v>
      </c>
      <c r="AQ518" s="6190">
        <f t="shared" si="198"/>
        <v>0</v>
      </c>
      <c r="AR518" s="6858" t="str">
        <f t="shared" si="199"/>
        <v/>
      </c>
      <c r="AS518" s="6217"/>
      <c r="AT518" s="6217"/>
      <c r="AU518" s="6271">
        <f t="shared" si="200"/>
        <v>0</v>
      </c>
      <c r="AV518" s="6242">
        <f t="shared" si="201"/>
        <v>0</v>
      </c>
      <c r="AW518" s="6188" cm="1">
        <f t="array" ref="AW518">IF(AK518&lt;&gt;1,0,IF(OR(AU518="",N(AU518)&lt;=0.000000001),"",IF(OR(AO518="",N(AO518)&lt;=0.000000001),0,IF(ISNUMBER(AU518),IFERROR(_xlfn.LET(_xlpm.ai_test,TRIM(AJ518),_xlpm.r,IFERROR(_xlfn.XLOOKUP(_xlpm.ai_test,$BJ$15:$BJ$62,ROW($BJ$15:$BJ$62),0,1),IFERROR(_xlfn.XLOOKUP(_xlpm.ai_test,$BK$15:$BK$62,ROW($BK$15:$BK$62),0,1),_xlfn.XLOOKUP(_xlpm.ai_test,$BL$15:$BL$62,ROW($BL$15:$BL$62),0,1))),_xlpm.p,_xlpm.r-MIN(ROW($BJ$15:$BJ$62))+1,_xlpm.f,INDEX($BM$15:$BM$62,_xlpm.p),_xlpm.u,INDEX($BN$15:$BN$62,_xlpm.p),_xlpm.s,INDEX($BP$15:$BP$62,_xlpm.p),_xlpm.q,N(AU518)/_xlpm.f,IF(_xlpm.q&gt;=_xlpm.s,ROUND(_xlpm.q,1)&amp;" "&amp;_xlpm.ai_test&amp;" = "&amp;ROUND(_xlpm.q*_xlpm.f,1)&amp;" "&amp;_xlpm.u,ROUND(_xlpm.q,1)&amp;" "&amp;_xlpm.ai_test)),""),""))))</f>
        <v>0</v>
      </c>
      <c r="AX518" s="6218"/>
      <c r="AY518" s="6271">
        <f t="shared" si="202"/>
        <v>0</v>
      </c>
      <c r="AZ518" s="6242" t="str">
        <f t="shared" si="203"/>
        <v/>
      </c>
      <c r="BA518" s="6194">
        <f t="shared" si="208"/>
        <v>0</v>
      </c>
      <c r="BB518" s="6192" t="str">
        <f t="shared" si="204"/>
        <v/>
      </c>
      <c r="BC518" s="6219"/>
      <c r="BD518" s="6221">
        <f t="shared" si="209"/>
        <v>0</v>
      </c>
      <c r="BE518" s="6220" t="str">
        <f t="shared" si="205"/>
        <v/>
      </c>
      <c r="BF518" s="4" t="s">
        <v>1</v>
      </c>
      <c r="BG518" s="6196">
        <f t="shared" si="206"/>
        <v>0</v>
      </c>
      <c r="BH518" s="6197">
        <f t="shared" si="207"/>
        <v>0</v>
      </c>
      <c r="BI518"/>
      <c r="BJ518" s="1"/>
      <c r="BK518" s="1"/>
      <c r="BL518" s="1"/>
      <c r="BM518" s="1"/>
      <c r="BN518" s="1"/>
      <c r="BO518" s="1"/>
      <c r="BP518" s="1"/>
      <c r="BQ518" s="1"/>
      <c r="BX518" s="20" t="str">
        <f t="shared" si="211"/>
        <v>►</v>
      </c>
      <c r="BY518" s="2"/>
      <c r="BZ518" s="2"/>
      <c r="CA518" s="2"/>
      <c r="CB518" s="2"/>
      <c r="CC518" s="2"/>
      <c r="DC518" s="5">
        <v>1</v>
      </c>
    </row>
    <row r="519" spans="12:107" ht="21" customHeight="1">
      <c r="L519" s="1021" t="s">
        <v>26</v>
      </c>
      <c r="M519" s="6787"/>
      <c r="N519" s="6787"/>
      <c r="O519" s="6787"/>
      <c r="P519" s="6788"/>
      <c r="Q519" s="6789"/>
      <c r="R519" s="6790"/>
      <c r="S519" s="6786"/>
      <c r="T519" s="6791"/>
      <c r="U519" s="6844"/>
      <c r="V519" s="6791"/>
      <c r="W519" s="8487"/>
      <c r="X519" s="6871"/>
      <c r="Y519" s="6793"/>
      <c r="Z519" s="6794"/>
      <c r="AA519" s="6795"/>
      <c r="AB519" s="6796"/>
      <c r="AC519" s="6797"/>
      <c r="AD519" s="6798"/>
      <c r="AE519" s="4" t="s">
        <v>1</v>
      </c>
      <c r="AF519" s="6202" t="str">
        <f t="shared" si="189"/>
        <v>►</v>
      </c>
      <c r="AG519" s="6234" t="str">
        <f t="shared" si="190"/>
        <v/>
      </c>
      <c r="AH519" s="6732" t="str">
        <f t="shared" si="191"/>
        <v/>
      </c>
      <c r="AI519" s="6234" t="str">
        <f t="shared" si="192"/>
        <v/>
      </c>
      <c r="AJ519" s="6732" t="str">
        <f t="shared" si="193"/>
        <v/>
      </c>
      <c r="AK519" s="6732">
        <f t="shared" si="194"/>
        <v>0</v>
      </c>
      <c r="AL519" s="6230" t="str" cm="1">
        <f t="array" ref="AL519">IF(AF519&lt;&gt;"A","",IFERROR((IFERROR(_xlfn.XLOOKUP(TRIM(SUBSTITUTE(U519,CHAR(160)," ")),$BJ$15:$BJ$62,$BM$15:$BM$62),IFERROR(_xlfn.XLOOKUP(TRIM(SUBSTITUTE(U519,CHAR(160)," ")),$BK$15:$BK$62,$BM$15:$BM$62),_xlfn.XLOOKUP(TRIM(SUBSTITUTE(U519,CHAR(160)," ")),$BL$15:$BL$62,$BM$15:$BM$62))))*T519*IF(ISBLANK(Q519),1,Q519)+IFERROR(_xlfn.XLOOKUP("RECHERCHEX",TRIM(L519:AD519),L519:AD519),0),0))</f>
        <v/>
      </c>
      <c r="AM519" s="6229">
        <f t="shared" si="195"/>
        <v>0</v>
      </c>
      <c r="AN519" s="6857" t="str">
        <f t="shared" si="210"/>
        <v/>
      </c>
      <c r="AO519" s="392">
        <f t="shared" si="196"/>
        <v>0</v>
      </c>
      <c r="AP519" s="392">
        <f t="shared" si="197"/>
        <v>0</v>
      </c>
      <c r="AQ519" s="6191">
        <f t="shared" si="198"/>
        <v>0</v>
      </c>
      <c r="AR519" s="6859" t="str">
        <f t="shared" si="199"/>
        <v/>
      </c>
      <c r="AS519" s="6217"/>
      <c r="AT519" s="6217"/>
      <c r="AU519" s="6272">
        <f t="shared" si="200"/>
        <v>0</v>
      </c>
      <c r="AV519" s="6240">
        <f t="shared" si="201"/>
        <v>0</v>
      </c>
      <c r="AW519" s="6189" cm="1">
        <f t="array" ref="AW519">IF(AK519&lt;&gt;1,0,IF(OR(AU519="",N(AU519)&lt;=0.000000001),"",IF(OR(AO519="",N(AO519)&lt;=0.000000001),0,IF(ISNUMBER(AU519),IFERROR(_xlfn.LET(_xlpm.ai_test,TRIM(AJ519),_xlpm.r,IFERROR(_xlfn.XLOOKUP(_xlpm.ai_test,$BJ$15:$BJ$62,ROW($BJ$15:$BJ$62),0,1),IFERROR(_xlfn.XLOOKUP(_xlpm.ai_test,$BK$15:$BK$62,ROW($BK$15:$BK$62),0,1),_xlfn.XLOOKUP(_xlpm.ai_test,$BL$15:$BL$62,ROW($BL$15:$BL$62),0,1))),_xlpm.p,_xlpm.r-MIN(ROW($BJ$15:$BJ$62))+1,_xlpm.f,INDEX($BM$15:$BM$62,_xlpm.p),_xlpm.u,INDEX($BN$15:$BN$62,_xlpm.p),_xlpm.s,INDEX($BP$15:$BP$62,_xlpm.p),_xlpm.q,N(AU519)/_xlpm.f,IF(_xlpm.q&gt;=_xlpm.s,ROUND(_xlpm.q,1)&amp;" "&amp;_xlpm.ai_test&amp;" = "&amp;ROUND(_xlpm.q*_xlpm.f,1)&amp;" "&amp;_xlpm.u,ROUND(_xlpm.q,1)&amp;" "&amp;_xlpm.ai_test)),""),""))))</f>
        <v>0</v>
      </c>
      <c r="AX519" s="6218"/>
      <c r="AY519" s="6272">
        <f t="shared" si="202"/>
        <v>0</v>
      </c>
      <c r="AZ519" s="6240" t="str">
        <f t="shared" si="203"/>
        <v/>
      </c>
      <c r="BA519" s="6195">
        <f t="shared" si="208"/>
        <v>0</v>
      </c>
      <c r="BB519" s="6193" t="str">
        <f t="shared" si="204"/>
        <v/>
      </c>
      <c r="BC519" s="6219"/>
      <c r="BD519" s="6222">
        <f t="shared" si="209"/>
        <v>0</v>
      </c>
      <c r="BE519" s="6220" t="str">
        <f t="shared" si="205"/>
        <v/>
      </c>
      <c r="BF519" s="4" t="s">
        <v>1</v>
      </c>
      <c r="BG519" s="6196">
        <f t="shared" si="206"/>
        <v>0</v>
      </c>
      <c r="BH519" s="6197">
        <f t="shared" si="207"/>
        <v>0</v>
      </c>
      <c r="BI519"/>
      <c r="BJ519" s="1"/>
      <c r="BK519" s="1"/>
      <c r="BL519" s="1"/>
      <c r="BM519" s="1"/>
      <c r="BN519" s="1"/>
      <c r="BO519" s="1"/>
      <c r="BP519" s="1"/>
      <c r="BQ519" s="1"/>
      <c r="BX519" s="20" t="str">
        <f t="shared" si="211"/>
        <v>►</v>
      </c>
      <c r="BY519" s="2"/>
      <c r="BZ519" s="2"/>
      <c r="CA519" s="2"/>
      <c r="CB519" s="2"/>
      <c r="CC519" s="2"/>
      <c r="DC519" s="5">
        <v>1</v>
      </c>
    </row>
    <row r="520" spans="12:107" ht="21" customHeight="1">
      <c r="L520" s="1021" t="s">
        <v>26</v>
      </c>
      <c r="M520" s="6787"/>
      <c r="N520" s="6787"/>
      <c r="O520" s="6787"/>
      <c r="P520" s="6788"/>
      <c r="Q520" s="6789"/>
      <c r="R520" s="6790"/>
      <c r="S520" s="6786"/>
      <c r="T520" s="6791"/>
      <c r="U520" s="6844"/>
      <c r="V520" s="6791"/>
      <c r="W520" s="8487"/>
      <c r="X520" s="6871"/>
      <c r="Y520" s="6793"/>
      <c r="Z520" s="6794"/>
      <c r="AA520" s="6795"/>
      <c r="AB520" s="6796"/>
      <c r="AC520" s="6797"/>
      <c r="AD520" s="6798"/>
      <c r="AE520" s="4" t="s">
        <v>1</v>
      </c>
      <c r="AF520" s="6202" t="str">
        <f t="shared" si="189"/>
        <v>►</v>
      </c>
      <c r="AG520" s="6234" t="str">
        <f t="shared" si="190"/>
        <v/>
      </c>
      <c r="AH520" s="6732" t="str">
        <f t="shared" si="191"/>
        <v/>
      </c>
      <c r="AI520" s="6234" t="str">
        <f t="shared" si="192"/>
        <v/>
      </c>
      <c r="AJ520" s="6732" t="str">
        <f t="shared" si="193"/>
        <v/>
      </c>
      <c r="AK520" s="6732">
        <f t="shared" si="194"/>
        <v>0</v>
      </c>
      <c r="AL520" s="6230" t="str" cm="1">
        <f t="array" ref="AL520">IF(AF520&lt;&gt;"A","",IFERROR((IFERROR(_xlfn.XLOOKUP(TRIM(SUBSTITUTE(U520,CHAR(160)," ")),$BJ$15:$BJ$62,$BM$15:$BM$62),IFERROR(_xlfn.XLOOKUP(TRIM(SUBSTITUTE(U520,CHAR(160)," ")),$BK$15:$BK$62,$BM$15:$BM$62),_xlfn.XLOOKUP(TRIM(SUBSTITUTE(U520,CHAR(160)," ")),$BL$15:$BL$62,$BM$15:$BM$62))))*T520*IF(ISBLANK(Q520),1,Q520)+IFERROR(_xlfn.XLOOKUP("RECHERCHEX",TRIM(L520:AD520),L520:AD520),0),0))</f>
        <v/>
      </c>
      <c r="AM520" s="6229">
        <f t="shared" si="195"/>
        <v>0</v>
      </c>
      <c r="AN520" s="6857" t="str">
        <f t="shared" si="210"/>
        <v/>
      </c>
      <c r="AO520" s="392">
        <f t="shared" si="196"/>
        <v>0</v>
      </c>
      <c r="AP520" s="392">
        <f t="shared" si="197"/>
        <v>0</v>
      </c>
      <c r="AQ520" s="6190">
        <f t="shared" si="198"/>
        <v>0</v>
      </c>
      <c r="AR520" s="6858" t="str">
        <f t="shared" si="199"/>
        <v/>
      </c>
      <c r="AS520" s="6217"/>
      <c r="AT520" s="6217"/>
      <c r="AU520" s="6271">
        <f t="shared" si="200"/>
        <v>0</v>
      </c>
      <c r="AV520" s="6242">
        <f t="shared" si="201"/>
        <v>0</v>
      </c>
      <c r="AW520" s="6188" cm="1">
        <f t="array" ref="AW520">IF(AK520&lt;&gt;1,0,IF(OR(AU520="",N(AU520)&lt;=0.000000001),"",IF(OR(AO520="",N(AO520)&lt;=0.000000001),0,IF(ISNUMBER(AU520),IFERROR(_xlfn.LET(_xlpm.ai_test,TRIM(AJ520),_xlpm.r,IFERROR(_xlfn.XLOOKUP(_xlpm.ai_test,$BJ$15:$BJ$62,ROW($BJ$15:$BJ$62),0,1),IFERROR(_xlfn.XLOOKUP(_xlpm.ai_test,$BK$15:$BK$62,ROW($BK$15:$BK$62),0,1),_xlfn.XLOOKUP(_xlpm.ai_test,$BL$15:$BL$62,ROW($BL$15:$BL$62),0,1))),_xlpm.p,_xlpm.r-MIN(ROW($BJ$15:$BJ$62))+1,_xlpm.f,INDEX($BM$15:$BM$62,_xlpm.p),_xlpm.u,INDEX($BN$15:$BN$62,_xlpm.p),_xlpm.s,INDEX($BP$15:$BP$62,_xlpm.p),_xlpm.q,N(AU520)/_xlpm.f,IF(_xlpm.q&gt;=_xlpm.s,ROUND(_xlpm.q,1)&amp;" "&amp;_xlpm.ai_test&amp;" = "&amp;ROUND(_xlpm.q*_xlpm.f,1)&amp;" "&amp;_xlpm.u,ROUND(_xlpm.q,1)&amp;" "&amp;_xlpm.ai_test)),""),""))))</f>
        <v>0</v>
      </c>
      <c r="AX520" s="6218"/>
      <c r="AY520" s="6271">
        <f t="shared" si="202"/>
        <v>0</v>
      </c>
      <c r="AZ520" s="6242" t="str">
        <f t="shared" si="203"/>
        <v/>
      </c>
      <c r="BA520" s="6194">
        <f t="shared" si="208"/>
        <v>0</v>
      </c>
      <c r="BB520" s="6192" t="str">
        <f t="shared" si="204"/>
        <v/>
      </c>
      <c r="BC520" s="6219"/>
      <c r="BD520" s="6221">
        <f t="shared" si="209"/>
        <v>0</v>
      </c>
      <c r="BE520" s="6220" t="str">
        <f t="shared" si="205"/>
        <v/>
      </c>
      <c r="BF520" s="4" t="s">
        <v>1</v>
      </c>
      <c r="BG520" s="6196">
        <f t="shared" si="206"/>
        <v>0</v>
      </c>
      <c r="BH520" s="6197">
        <f t="shared" si="207"/>
        <v>0</v>
      </c>
      <c r="BI520"/>
      <c r="BJ520" s="1"/>
      <c r="BK520" s="1"/>
      <c r="BL520" s="1"/>
      <c r="BM520" s="1"/>
      <c r="BN520" s="1"/>
      <c r="BO520" s="1"/>
      <c r="BP520" s="1"/>
      <c r="BQ520" s="1"/>
      <c r="BX520" s="20" t="str">
        <f t="shared" si="211"/>
        <v>►</v>
      </c>
      <c r="BY520" s="2"/>
      <c r="BZ520" s="2"/>
      <c r="CA520" s="2"/>
      <c r="CB520" s="2"/>
      <c r="CC520" s="2"/>
      <c r="DC520" s="5">
        <v>1</v>
      </c>
    </row>
    <row r="521" spans="12:107" ht="21" customHeight="1">
      <c r="L521" s="1021" t="s">
        <v>26</v>
      </c>
      <c r="M521" s="6787"/>
      <c r="N521" s="6787"/>
      <c r="O521" s="6787"/>
      <c r="P521" s="6788"/>
      <c r="Q521" s="6789"/>
      <c r="R521" s="6790"/>
      <c r="S521" s="6786"/>
      <c r="T521" s="6791"/>
      <c r="U521" s="6844"/>
      <c r="V521" s="6791"/>
      <c r="W521" s="8487"/>
      <c r="X521" s="6871"/>
      <c r="Y521" s="6793"/>
      <c r="Z521" s="6794"/>
      <c r="AA521" s="6795"/>
      <c r="AB521" s="6796"/>
      <c r="AC521" s="6797"/>
      <c r="AD521" s="6798"/>
      <c r="AE521" s="4" t="s">
        <v>1</v>
      </c>
      <c r="AF521" s="6202" t="str">
        <f t="shared" si="189"/>
        <v>►</v>
      </c>
      <c r="AG521" s="6234" t="str">
        <f t="shared" si="190"/>
        <v/>
      </c>
      <c r="AH521" s="6732" t="str">
        <f t="shared" si="191"/>
        <v/>
      </c>
      <c r="AI521" s="6234" t="str">
        <f t="shared" si="192"/>
        <v/>
      </c>
      <c r="AJ521" s="6732" t="str">
        <f t="shared" si="193"/>
        <v/>
      </c>
      <c r="AK521" s="6732">
        <f t="shared" si="194"/>
        <v>0</v>
      </c>
      <c r="AL521" s="6230" t="str" cm="1">
        <f t="array" ref="AL521">IF(AF521&lt;&gt;"A","",IFERROR((IFERROR(_xlfn.XLOOKUP(TRIM(SUBSTITUTE(U521,CHAR(160)," ")),$BJ$15:$BJ$62,$BM$15:$BM$62),IFERROR(_xlfn.XLOOKUP(TRIM(SUBSTITUTE(U521,CHAR(160)," ")),$BK$15:$BK$62,$BM$15:$BM$62),_xlfn.XLOOKUP(TRIM(SUBSTITUTE(U521,CHAR(160)," ")),$BL$15:$BL$62,$BM$15:$BM$62))))*T521*IF(ISBLANK(Q521),1,Q521)+IFERROR(_xlfn.XLOOKUP("RECHERCHEX",TRIM(L521:AD521),L521:AD521),0),0))</f>
        <v/>
      </c>
      <c r="AM521" s="6229">
        <f t="shared" si="195"/>
        <v>0</v>
      </c>
      <c r="AN521" s="6857" t="str">
        <f t="shared" si="210"/>
        <v/>
      </c>
      <c r="AO521" s="392">
        <f t="shared" si="196"/>
        <v>0</v>
      </c>
      <c r="AP521" s="392">
        <f t="shared" si="197"/>
        <v>0</v>
      </c>
      <c r="AQ521" s="6191">
        <f t="shared" si="198"/>
        <v>0</v>
      </c>
      <c r="AR521" s="6859" t="str">
        <f t="shared" si="199"/>
        <v/>
      </c>
      <c r="AS521" s="6217"/>
      <c r="AT521" s="6217"/>
      <c r="AU521" s="6272">
        <f t="shared" si="200"/>
        <v>0</v>
      </c>
      <c r="AV521" s="6240">
        <f t="shared" si="201"/>
        <v>0</v>
      </c>
      <c r="AW521" s="6189" cm="1">
        <f t="array" ref="AW521">IF(AK521&lt;&gt;1,0,IF(OR(AU521="",N(AU521)&lt;=0.000000001),"",IF(OR(AO521="",N(AO521)&lt;=0.000000001),0,IF(ISNUMBER(AU521),IFERROR(_xlfn.LET(_xlpm.ai_test,TRIM(AJ521),_xlpm.r,IFERROR(_xlfn.XLOOKUP(_xlpm.ai_test,$BJ$15:$BJ$62,ROW($BJ$15:$BJ$62),0,1),IFERROR(_xlfn.XLOOKUP(_xlpm.ai_test,$BK$15:$BK$62,ROW($BK$15:$BK$62),0,1),_xlfn.XLOOKUP(_xlpm.ai_test,$BL$15:$BL$62,ROW($BL$15:$BL$62),0,1))),_xlpm.p,_xlpm.r-MIN(ROW($BJ$15:$BJ$62))+1,_xlpm.f,INDEX($BM$15:$BM$62,_xlpm.p),_xlpm.u,INDEX($BN$15:$BN$62,_xlpm.p),_xlpm.s,INDEX($BP$15:$BP$62,_xlpm.p),_xlpm.q,N(AU521)/_xlpm.f,IF(_xlpm.q&gt;=_xlpm.s,ROUND(_xlpm.q,1)&amp;" "&amp;_xlpm.ai_test&amp;" = "&amp;ROUND(_xlpm.q*_xlpm.f,1)&amp;" "&amp;_xlpm.u,ROUND(_xlpm.q,1)&amp;" "&amp;_xlpm.ai_test)),""),""))))</f>
        <v>0</v>
      </c>
      <c r="AX521" s="6218"/>
      <c r="AY521" s="6272">
        <f t="shared" si="202"/>
        <v>0</v>
      </c>
      <c r="AZ521" s="6240" t="str">
        <f t="shared" si="203"/>
        <v/>
      </c>
      <c r="BA521" s="6195">
        <f t="shared" si="208"/>
        <v>0</v>
      </c>
      <c r="BB521" s="6193" t="str">
        <f t="shared" si="204"/>
        <v/>
      </c>
      <c r="BC521" s="6219"/>
      <c r="BD521" s="6222">
        <f t="shared" si="209"/>
        <v>0</v>
      </c>
      <c r="BE521" s="6220" t="str">
        <f t="shared" si="205"/>
        <v/>
      </c>
      <c r="BF521" s="4" t="s">
        <v>1</v>
      </c>
      <c r="BG521" s="6196">
        <f t="shared" si="206"/>
        <v>0</v>
      </c>
      <c r="BH521" s="6197">
        <f t="shared" si="207"/>
        <v>0</v>
      </c>
      <c r="BI521"/>
      <c r="BJ521" s="1"/>
      <c r="BK521" s="1"/>
      <c r="BL521" s="1"/>
      <c r="BM521" s="1"/>
      <c r="BN521" s="1"/>
      <c r="BO521" s="1"/>
      <c r="BP521" s="1"/>
      <c r="BQ521" s="1"/>
      <c r="BX521" s="20" t="str">
        <f t="shared" si="211"/>
        <v>►</v>
      </c>
      <c r="BY521" s="2"/>
      <c r="BZ521" s="2"/>
      <c r="CA521" s="2"/>
      <c r="CB521" s="2"/>
      <c r="CC521" s="2"/>
      <c r="DC521" s="5">
        <v>1</v>
      </c>
    </row>
    <row r="522" spans="12:107" ht="21" customHeight="1">
      <c r="L522" s="1021" t="s">
        <v>26</v>
      </c>
      <c r="M522" s="6787"/>
      <c r="N522" s="6787"/>
      <c r="O522" s="6787"/>
      <c r="P522" s="6788"/>
      <c r="Q522" s="6789"/>
      <c r="R522" s="6790"/>
      <c r="S522" s="6786"/>
      <c r="T522" s="6791"/>
      <c r="U522" s="6844"/>
      <c r="V522" s="6791"/>
      <c r="W522" s="8487"/>
      <c r="X522" s="6871"/>
      <c r="Y522" s="6793"/>
      <c r="Z522" s="6794"/>
      <c r="AA522" s="6795"/>
      <c r="AB522" s="6796"/>
      <c r="AC522" s="6797"/>
      <c r="AD522" s="6798"/>
      <c r="AE522" s="4" t="s">
        <v>1</v>
      </c>
      <c r="AF522" s="6202" t="str">
        <f t="shared" si="189"/>
        <v>►</v>
      </c>
      <c r="AG522" s="6234" t="str">
        <f t="shared" si="190"/>
        <v/>
      </c>
      <c r="AH522" s="6732" t="str">
        <f t="shared" si="191"/>
        <v/>
      </c>
      <c r="AI522" s="6234" t="str">
        <f t="shared" si="192"/>
        <v/>
      </c>
      <c r="AJ522" s="6732" t="str">
        <f t="shared" si="193"/>
        <v/>
      </c>
      <c r="AK522" s="6732">
        <f t="shared" si="194"/>
        <v>0</v>
      </c>
      <c r="AL522" s="6230" t="str" cm="1">
        <f t="array" ref="AL522">IF(AF522&lt;&gt;"A","",IFERROR((IFERROR(_xlfn.XLOOKUP(TRIM(SUBSTITUTE(U522,CHAR(160)," ")),$BJ$15:$BJ$62,$BM$15:$BM$62),IFERROR(_xlfn.XLOOKUP(TRIM(SUBSTITUTE(U522,CHAR(160)," ")),$BK$15:$BK$62,$BM$15:$BM$62),_xlfn.XLOOKUP(TRIM(SUBSTITUTE(U522,CHAR(160)," ")),$BL$15:$BL$62,$BM$15:$BM$62))))*T522*IF(ISBLANK(Q522),1,Q522)+IFERROR(_xlfn.XLOOKUP("RECHERCHEX",TRIM(L522:AD522),L522:AD522),0),0))</f>
        <v/>
      </c>
      <c r="AM522" s="6229">
        <f t="shared" si="195"/>
        <v>0</v>
      </c>
      <c r="AN522" s="6857" t="str">
        <f t="shared" si="210"/>
        <v/>
      </c>
      <c r="AO522" s="392">
        <f t="shared" si="196"/>
        <v>0</v>
      </c>
      <c r="AP522" s="392">
        <f t="shared" si="197"/>
        <v>0</v>
      </c>
      <c r="AQ522" s="6190">
        <f t="shared" si="198"/>
        <v>0</v>
      </c>
      <c r="AR522" s="6858" t="str">
        <f t="shared" si="199"/>
        <v/>
      </c>
      <c r="AS522" s="6217"/>
      <c r="AT522" s="6217"/>
      <c r="AU522" s="6271">
        <f t="shared" si="200"/>
        <v>0</v>
      </c>
      <c r="AV522" s="6242">
        <f t="shared" si="201"/>
        <v>0</v>
      </c>
      <c r="AW522" s="6188" cm="1">
        <f t="array" ref="AW522">IF(AK522&lt;&gt;1,0,IF(OR(AU522="",N(AU522)&lt;=0.000000001),"",IF(OR(AO522="",N(AO522)&lt;=0.000000001),0,IF(ISNUMBER(AU522),IFERROR(_xlfn.LET(_xlpm.ai_test,TRIM(AJ522),_xlpm.r,IFERROR(_xlfn.XLOOKUP(_xlpm.ai_test,$BJ$15:$BJ$62,ROW($BJ$15:$BJ$62),0,1),IFERROR(_xlfn.XLOOKUP(_xlpm.ai_test,$BK$15:$BK$62,ROW($BK$15:$BK$62),0,1),_xlfn.XLOOKUP(_xlpm.ai_test,$BL$15:$BL$62,ROW($BL$15:$BL$62),0,1))),_xlpm.p,_xlpm.r-MIN(ROW($BJ$15:$BJ$62))+1,_xlpm.f,INDEX($BM$15:$BM$62,_xlpm.p),_xlpm.u,INDEX($BN$15:$BN$62,_xlpm.p),_xlpm.s,INDEX($BP$15:$BP$62,_xlpm.p),_xlpm.q,N(AU522)/_xlpm.f,IF(_xlpm.q&gt;=_xlpm.s,ROUND(_xlpm.q,1)&amp;" "&amp;_xlpm.ai_test&amp;" = "&amp;ROUND(_xlpm.q*_xlpm.f,1)&amp;" "&amp;_xlpm.u,ROUND(_xlpm.q,1)&amp;" "&amp;_xlpm.ai_test)),""),""))))</f>
        <v>0</v>
      </c>
      <c r="AX522" s="6218"/>
      <c r="AY522" s="6271">
        <f t="shared" si="202"/>
        <v>0</v>
      </c>
      <c r="AZ522" s="6242" t="str">
        <f t="shared" si="203"/>
        <v/>
      </c>
      <c r="BA522" s="6194">
        <f t="shared" si="208"/>
        <v>0</v>
      </c>
      <c r="BB522" s="6192" t="str">
        <f t="shared" si="204"/>
        <v/>
      </c>
      <c r="BC522" s="6219"/>
      <c r="BD522" s="6221">
        <f t="shared" si="209"/>
        <v>0</v>
      </c>
      <c r="BE522" s="6220" t="str">
        <f t="shared" si="205"/>
        <v/>
      </c>
      <c r="BF522" s="4" t="s">
        <v>1</v>
      </c>
      <c r="BG522" s="6196">
        <f t="shared" si="206"/>
        <v>0</v>
      </c>
      <c r="BH522" s="6197">
        <f t="shared" si="207"/>
        <v>0</v>
      </c>
      <c r="BI522"/>
      <c r="BJ522" s="1"/>
      <c r="BK522" s="1"/>
      <c r="BL522" s="1"/>
      <c r="BM522" s="1"/>
      <c r="BN522" s="1"/>
      <c r="BO522" s="1"/>
      <c r="BP522" s="1"/>
      <c r="BQ522" s="1"/>
      <c r="BX522" s="20" t="str">
        <f t="shared" si="211"/>
        <v>►</v>
      </c>
      <c r="BY522" s="2"/>
      <c r="BZ522" s="2"/>
      <c r="CA522" s="2"/>
      <c r="CB522" s="2"/>
      <c r="CC522" s="2"/>
      <c r="DC522" s="5">
        <v>1</v>
      </c>
    </row>
    <row r="523" spans="12:107" ht="21" customHeight="1">
      <c r="L523" s="1021" t="s">
        <v>26</v>
      </c>
      <c r="M523" s="6787"/>
      <c r="N523" s="6787"/>
      <c r="O523" s="6787"/>
      <c r="P523" s="6788"/>
      <c r="Q523" s="6789"/>
      <c r="R523" s="6790"/>
      <c r="S523" s="6786"/>
      <c r="T523" s="6791"/>
      <c r="U523" s="6844"/>
      <c r="V523" s="6791"/>
      <c r="W523" s="8487"/>
      <c r="X523" s="6871"/>
      <c r="Y523" s="6793"/>
      <c r="Z523" s="6794"/>
      <c r="AA523" s="6795"/>
      <c r="AB523" s="6796"/>
      <c r="AC523" s="6797"/>
      <c r="AD523" s="6798"/>
      <c r="AE523" s="4" t="s">
        <v>1</v>
      </c>
      <c r="AF523" s="6202" t="str">
        <f t="shared" si="189"/>
        <v>►</v>
      </c>
      <c r="AG523" s="6234" t="str">
        <f t="shared" si="190"/>
        <v/>
      </c>
      <c r="AH523" s="6732" t="str">
        <f t="shared" si="191"/>
        <v/>
      </c>
      <c r="AI523" s="6234" t="str">
        <f t="shared" si="192"/>
        <v/>
      </c>
      <c r="AJ523" s="6732" t="str">
        <f t="shared" si="193"/>
        <v/>
      </c>
      <c r="AK523" s="6732">
        <f t="shared" si="194"/>
        <v>0</v>
      </c>
      <c r="AL523" s="6230" t="str" cm="1">
        <f t="array" ref="AL523">IF(AF523&lt;&gt;"A","",IFERROR((IFERROR(_xlfn.XLOOKUP(TRIM(SUBSTITUTE(U523,CHAR(160)," ")),$BJ$15:$BJ$62,$BM$15:$BM$62),IFERROR(_xlfn.XLOOKUP(TRIM(SUBSTITUTE(U523,CHAR(160)," ")),$BK$15:$BK$62,$BM$15:$BM$62),_xlfn.XLOOKUP(TRIM(SUBSTITUTE(U523,CHAR(160)," ")),$BL$15:$BL$62,$BM$15:$BM$62))))*T523*IF(ISBLANK(Q523),1,Q523)+IFERROR(_xlfn.XLOOKUP("RECHERCHEX",TRIM(L523:AD523),L523:AD523),0),0))</f>
        <v/>
      </c>
      <c r="AM523" s="6229">
        <f t="shared" si="195"/>
        <v>0</v>
      </c>
      <c r="AN523" s="6857" t="str">
        <f t="shared" si="210"/>
        <v/>
      </c>
      <c r="AO523" s="392">
        <f t="shared" si="196"/>
        <v>0</v>
      </c>
      <c r="AP523" s="392">
        <f t="shared" si="197"/>
        <v>0</v>
      </c>
      <c r="AQ523" s="6191">
        <f t="shared" si="198"/>
        <v>0</v>
      </c>
      <c r="AR523" s="6859" t="str">
        <f t="shared" si="199"/>
        <v/>
      </c>
      <c r="AS523" s="6217"/>
      <c r="AT523" s="6217"/>
      <c r="AU523" s="6272">
        <f t="shared" si="200"/>
        <v>0</v>
      </c>
      <c r="AV523" s="6240">
        <f t="shared" si="201"/>
        <v>0</v>
      </c>
      <c r="AW523" s="6189" cm="1">
        <f t="array" ref="AW523">IF(AK523&lt;&gt;1,0,IF(OR(AU523="",N(AU523)&lt;=0.000000001),"",IF(OR(AO523="",N(AO523)&lt;=0.000000001),0,IF(ISNUMBER(AU523),IFERROR(_xlfn.LET(_xlpm.ai_test,TRIM(AJ523),_xlpm.r,IFERROR(_xlfn.XLOOKUP(_xlpm.ai_test,$BJ$15:$BJ$62,ROW($BJ$15:$BJ$62),0,1),IFERROR(_xlfn.XLOOKUP(_xlpm.ai_test,$BK$15:$BK$62,ROW($BK$15:$BK$62),0,1),_xlfn.XLOOKUP(_xlpm.ai_test,$BL$15:$BL$62,ROW($BL$15:$BL$62),0,1))),_xlpm.p,_xlpm.r-MIN(ROW($BJ$15:$BJ$62))+1,_xlpm.f,INDEX($BM$15:$BM$62,_xlpm.p),_xlpm.u,INDEX($BN$15:$BN$62,_xlpm.p),_xlpm.s,INDEX($BP$15:$BP$62,_xlpm.p),_xlpm.q,N(AU523)/_xlpm.f,IF(_xlpm.q&gt;=_xlpm.s,ROUND(_xlpm.q,1)&amp;" "&amp;_xlpm.ai_test&amp;" = "&amp;ROUND(_xlpm.q*_xlpm.f,1)&amp;" "&amp;_xlpm.u,ROUND(_xlpm.q,1)&amp;" "&amp;_xlpm.ai_test)),""),""))))</f>
        <v>0</v>
      </c>
      <c r="AX523" s="6218"/>
      <c r="AY523" s="6272">
        <f t="shared" si="202"/>
        <v>0</v>
      </c>
      <c r="AZ523" s="6240" t="str">
        <f t="shared" si="203"/>
        <v/>
      </c>
      <c r="BA523" s="6195">
        <f t="shared" si="208"/>
        <v>0</v>
      </c>
      <c r="BB523" s="6193" t="str">
        <f t="shared" si="204"/>
        <v/>
      </c>
      <c r="BC523" s="6219"/>
      <c r="BD523" s="6222">
        <f t="shared" si="209"/>
        <v>0</v>
      </c>
      <c r="BE523" s="6220" t="str">
        <f t="shared" si="205"/>
        <v/>
      </c>
      <c r="BF523" s="4" t="s">
        <v>1</v>
      </c>
      <c r="BG523" s="6196">
        <f t="shared" si="206"/>
        <v>0</v>
      </c>
      <c r="BH523" s="6197">
        <f t="shared" si="207"/>
        <v>0</v>
      </c>
      <c r="BI523"/>
      <c r="BJ523" s="1"/>
      <c r="BK523" s="1"/>
      <c r="BL523" s="1"/>
      <c r="BM523" s="1"/>
      <c r="BN523" s="1"/>
      <c r="BO523" s="1"/>
      <c r="BP523" s="1"/>
      <c r="BQ523" s="1"/>
      <c r="BX523" s="20" t="str">
        <f t="shared" si="211"/>
        <v>►</v>
      </c>
      <c r="BY523" s="2"/>
      <c r="BZ523" s="2"/>
      <c r="CA523" s="2"/>
      <c r="CB523" s="2"/>
      <c r="CC523" s="2"/>
      <c r="DC523" s="5">
        <v>1</v>
      </c>
    </row>
    <row r="524" spans="12:107" ht="21" customHeight="1">
      <c r="L524" s="1021" t="s">
        <v>26</v>
      </c>
      <c r="M524" s="6787"/>
      <c r="N524" s="6787"/>
      <c r="O524" s="6787"/>
      <c r="P524" s="6788"/>
      <c r="Q524" s="6789"/>
      <c r="R524" s="6790"/>
      <c r="S524" s="6786"/>
      <c r="T524" s="6791"/>
      <c r="U524" s="6844"/>
      <c r="V524" s="6791"/>
      <c r="W524" s="8487"/>
      <c r="X524" s="6871"/>
      <c r="Y524" s="6793"/>
      <c r="Z524" s="6794"/>
      <c r="AA524" s="6795"/>
      <c r="AB524" s="6796"/>
      <c r="AC524" s="6797"/>
      <c r="AD524" s="6798"/>
      <c r="AE524" s="4" t="s">
        <v>1</v>
      </c>
      <c r="AF524" s="6202" t="str">
        <f t="shared" si="189"/>
        <v>►</v>
      </c>
      <c r="AG524" s="6234" t="str">
        <f t="shared" si="190"/>
        <v/>
      </c>
      <c r="AH524" s="6732" t="str">
        <f t="shared" si="191"/>
        <v/>
      </c>
      <c r="AI524" s="6234" t="str">
        <f t="shared" si="192"/>
        <v/>
      </c>
      <c r="AJ524" s="6732" t="str">
        <f t="shared" si="193"/>
        <v/>
      </c>
      <c r="AK524" s="6732">
        <f t="shared" si="194"/>
        <v>0</v>
      </c>
      <c r="AL524" s="6230" t="str" cm="1">
        <f t="array" ref="AL524">IF(AF524&lt;&gt;"A","",IFERROR((IFERROR(_xlfn.XLOOKUP(TRIM(SUBSTITUTE(U524,CHAR(160)," ")),$BJ$15:$BJ$62,$BM$15:$BM$62),IFERROR(_xlfn.XLOOKUP(TRIM(SUBSTITUTE(U524,CHAR(160)," ")),$BK$15:$BK$62,$BM$15:$BM$62),_xlfn.XLOOKUP(TRIM(SUBSTITUTE(U524,CHAR(160)," ")),$BL$15:$BL$62,$BM$15:$BM$62))))*T524*IF(ISBLANK(Q524),1,Q524)+IFERROR(_xlfn.XLOOKUP("RECHERCHEX",TRIM(L524:AD524),L524:AD524),0),0))</f>
        <v/>
      </c>
      <c r="AM524" s="6229">
        <f t="shared" si="195"/>
        <v>0</v>
      </c>
      <c r="AN524" s="6857" t="str">
        <f t="shared" si="210"/>
        <v/>
      </c>
      <c r="AO524" s="392">
        <f t="shared" si="196"/>
        <v>0</v>
      </c>
      <c r="AP524" s="392">
        <f t="shared" si="197"/>
        <v>0</v>
      </c>
      <c r="AQ524" s="6190">
        <f t="shared" si="198"/>
        <v>0</v>
      </c>
      <c r="AR524" s="6858" t="str">
        <f t="shared" si="199"/>
        <v/>
      </c>
      <c r="AS524" s="6217"/>
      <c r="AT524" s="6217"/>
      <c r="AU524" s="6271">
        <f t="shared" si="200"/>
        <v>0</v>
      </c>
      <c r="AV524" s="6242">
        <f t="shared" si="201"/>
        <v>0</v>
      </c>
      <c r="AW524" s="6188" cm="1">
        <f t="array" ref="AW524">IF(AK524&lt;&gt;1,0,IF(OR(AU524="",N(AU524)&lt;=0.000000001),"",IF(OR(AO524="",N(AO524)&lt;=0.000000001),0,IF(ISNUMBER(AU524),IFERROR(_xlfn.LET(_xlpm.ai_test,TRIM(AJ524),_xlpm.r,IFERROR(_xlfn.XLOOKUP(_xlpm.ai_test,$BJ$15:$BJ$62,ROW($BJ$15:$BJ$62),0,1),IFERROR(_xlfn.XLOOKUP(_xlpm.ai_test,$BK$15:$BK$62,ROW($BK$15:$BK$62),0,1),_xlfn.XLOOKUP(_xlpm.ai_test,$BL$15:$BL$62,ROW($BL$15:$BL$62),0,1))),_xlpm.p,_xlpm.r-MIN(ROW($BJ$15:$BJ$62))+1,_xlpm.f,INDEX($BM$15:$BM$62,_xlpm.p),_xlpm.u,INDEX($BN$15:$BN$62,_xlpm.p),_xlpm.s,INDEX($BP$15:$BP$62,_xlpm.p),_xlpm.q,N(AU524)/_xlpm.f,IF(_xlpm.q&gt;=_xlpm.s,ROUND(_xlpm.q,1)&amp;" "&amp;_xlpm.ai_test&amp;" = "&amp;ROUND(_xlpm.q*_xlpm.f,1)&amp;" "&amp;_xlpm.u,ROUND(_xlpm.q,1)&amp;" "&amp;_xlpm.ai_test)),""),""))))</f>
        <v>0</v>
      </c>
      <c r="AX524" s="6218"/>
      <c r="AY524" s="6271">
        <f t="shared" si="202"/>
        <v>0</v>
      </c>
      <c r="AZ524" s="6242" t="str">
        <f t="shared" si="203"/>
        <v/>
      </c>
      <c r="BA524" s="6194">
        <f t="shared" si="208"/>
        <v>0</v>
      </c>
      <c r="BB524" s="6192" t="str">
        <f t="shared" si="204"/>
        <v/>
      </c>
      <c r="BC524" s="6219"/>
      <c r="BD524" s="6221">
        <f t="shared" si="209"/>
        <v>0</v>
      </c>
      <c r="BE524" s="6220" t="str">
        <f t="shared" si="205"/>
        <v/>
      </c>
      <c r="BF524" s="4" t="s">
        <v>1</v>
      </c>
      <c r="BG524" s="6196">
        <f t="shared" si="206"/>
        <v>0</v>
      </c>
      <c r="BH524" s="6197">
        <f t="shared" si="207"/>
        <v>0</v>
      </c>
      <c r="BI524"/>
      <c r="BJ524" s="1"/>
      <c r="BK524" s="1"/>
      <c r="BL524" s="1"/>
      <c r="BM524" s="1"/>
      <c r="BN524" s="1"/>
      <c r="BO524" s="1"/>
      <c r="BP524" s="1"/>
      <c r="BQ524" s="1"/>
      <c r="BX524" s="20" t="str">
        <f t="shared" si="211"/>
        <v>►</v>
      </c>
      <c r="BY524" s="2"/>
      <c r="BZ524" s="2"/>
      <c r="CA524" s="2"/>
      <c r="CB524" s="2"/>
      <c r="CC524" s="2"/>
      <c r="DC524" s="5">
        <v>1</v>
      </c>
    </row>
    <row r="525" spans="12:107" ht="21" customHeight="1">
      <c r="L525" s="1021" t="s">
        <v>26</v>
      </c>
      <c r="M525" s="6787"/>
      <c r="N525" s="6787"/>
      <c r="O525" s="6787"/>
      <c r="P525" s="6788"/>
      <c r="Q525" s="6789"/>
      <c r="R525" s="6790"/>
      <c r="S525" s="6786"/>
      <c r="T525" s="6791"/>
      <c r="U525" s="6844"/>
      <c r="V525" s="6791"/>
      <c r="W525" s="8487"/>
      <c r="X525" s="6871"/>
      <c r="Y525" s="6793"/>
      <c r="Z525" s="6794"/>
      <c r="AA525" s="6795"/>
      <c r="AB525" s="6796"/>
      <c r="AC525" s="6797"/>
      <c r="AD525" s="6798"/>
      <c r="AE525" s="4" t="s">
        <v>1</v>
      </c>
      <c r="AF525" s="6202" t="str">
        <f t="shared" si="189"/>
        <v>►</v>
      </c>
      <c r="AG525" s="6234" t="str">
        <f t="shared" si="190"/>
        <v/>
      </c>
      <c r="AH525" s="6732" t="str">
        <f t="shared" si="191"/>
        <v/>
      </c>
      <c r="AI525" s="6234" t="str">
        <f t="shared" si="192"/>
        <v/>
      </c>
      <c r="AJ525" s="6732" t="str">
        <f t="shared" si="193"/>
        <v/>
      </c>
      <c r="AK525" s="6732">
        <f t="shared" si="194"/>
        <v>0</v>
      </c>
      <c r="AL525" s="6230" t="str" cm="1">
        <f t="array" ref="AL525">IF(AF525&lt;&gt;"A","",IFERROR((IFERROR(_xlfn.XLOOKUP(TRIM(SUBSTITUTE(U525,CHAR(160)," ")),$BJ$15:$BJ$62,$BM$15:$BM$62),IFERROR(_xlfn.XLOOKUP(TRIM(SUBSTITUTE(U525,CHAR(160)," ")),$BK$15:$BK$62,$BM$15:$BM$62),_xlfn.XLOOKUP(TRIM(SUBSTITUTE(U525,CHAR(160)," ")),$BL$15:$BL$62,$BM$15:$BM$62))))*T525*IF(ISBLANK(Q525),1,Q525)+IFERROR(_xlfn.XLOOKUP("RECHERCHEX",TRIM(L525:AD525),L525:AD525),0),0))</f>
        <v/>
      </c>
      <c r="AM525" s="6229">
        <f t="shared" si="195"/>
        <v>0</v>
      </c>
      <c r="AN525" s="6857" t="str">
        <f t="shared" si="210"/>
        <v/>
      </c>
      <c r="AO525" s="392">
        <f t="shared" si="196"/>
        <v>0</v>
      </c>
      <c r="AP525" s="392">
        <f t="shared" si="197"/>
        <v>0</v>
      </c>
      <c r="AQ525" s="6191">
        <f t="shared" si="198"/>
        <v>0</v>
      </c>
      <c r="AR525" s="6859" t="str">
        <f t="shared" si="199"/>
        <v/>
      </c>
      <c r="AS525" s="6217"/>
      <c r="AT525" s="6217"/>
      <c r="AU525" s="6272">
        <f t="shared" si="200"/>
        <v>0</v>
      </c>
      <c r="AV525" s="6240">
        <f t="shared" si="201"/>
        <v>0</v>
      </c>
      <c r="AW525" s="6189" cm="1">
        <f t="array" ref="AW525">IF(AK525&lt;&gt;1,0,IF(OR(AU525="",N(AU525)&lt;=0.000000001),"",IF(OR(AO525="",N(AO525)&lt;=0.000000001),0,IF(ISNUMBER(AU525),IFERROR(_xlfn.LET(_xlpm.ai_test,TRIM(AJ525),_xlpm.r,IFERROR(_xlfn.XLOOKUP(_xlpm.ai_test,$BJ$15:$BJ$62,ROW($BJ$15:$BJ$62),0,1),IFERROR(_xlfn.XLOOKUP(_xlpm.ai_test,$BK$15:$BK$62,ROW($BK$15:$BK$62),0,1),_xlfn.XLOOKUP(_xlpm.ai_test,$BL$15:$BL$62,ROW($BL$15:$BL$62),0,1))),_xlpm.p,_xlpm.r-MIN(ROW($BJ$15:$BJ$62))+1,_xlpm.f,INDEX($BM$15:$BM$62,_xlpm.p),_xlpm.u,INDEX($BN$15:$BN$62,_xlpm.p),_xlpm.s,INDEX($BP$15:$BP$62,_xlpm.p),_xlpm.q,N(AU525)/_xlpm.f,IF(_xlpm.q&gt;=_xlpm.s,ROUND(_xlpm.q,1)&amp;" "&amp;_xlpm.ai_test&amp;" = "&amp;ROUND(_xlpm.q*_xlpm.f,1)&amp;" "&amp;_xlpm.u,ROUND(_xlpm.q,1)&amp;" "&amp;_xlpm.ai_test)),""),""))))</f>
        <v>0</v>
      </c>
      <c r="AX525" s="6218"/>
      <c r="AY525" s="6272">
        <f t="shared" si="202"/>
        <v>0</v>
      </c>
      <c r="AZ525" s="6240" t="str">
        <f t="shared" si="203"/>
        <v/>
      </c>
      <c r="BA525" s="6195">
        <f t="shared" si="208"/>
        <v>0</v>
      </c>
      <c r="BB525" s="6193" t="str">
        <f t="shared" si="204"/>
        <v/>
      </c>
      <c r="BC525" s="6219"/>
      <c r="BD525" s="6222">
        <f t="shared" si="209"/>
        <v>0</v>
      </c>
      <c r="BE525" s="6220" t="str">
        <f t="shared" si="205"/>
        <v/>
      </c>
      <c r="BF525" s="4" t="s">
        <v>1</v>
      </c>
      <c r="BG525" s="6196">
        <f t="shared" si="206"/>
        <v>0</v>
      </c>
      <c r="BH525" s="6197">
        <f t="shared" si="207"/>
        <v>0</v>
      </c>
      <c r="BI525"/>
      <c r="BJ525" s="1"/>
      <c r="BK525" s="1"/>
      <c r="BL525" s="1"/>
      <c r="BM525" s="1"/>
      <c r="BN525" s="1"/>
      <c r="BO525" s="1"/>
      <c r="BP525" s="1"/>
      <c r="BQ525" s="1"/>
      <c r="BX525" s="20" t="str">
        <f t="shared" si="211"/>
        <v>►</v>
      </c>
      <c r="BY525" s="2"/>
      <c r="BZ525" s="2"/>
      <c r="CA525" s="2"/>
      <c r="CB525" s="2"/>
      <c r="CC525" s="2"/>
      <c r="DC525" s="5">
        <v>1</v>
      </c>
    </row>
    <row r="526" spans="12:107" ht="21" customHeight="1">
      <c r="L526" s="1021" t="s">
        <v>26</v>
      </c>
      <c r="M526" s="6787"/>
      <c r="N526" s="6787"/>
      <c r="O526" s="6787"/>
      <c r="P526" s="6788"/>
      <c r="Q526" s="6789"/>
      <c r="R526" s="6790"/>
      <c r="S526" s="6786"/>
      <c r="T526" s="6791"/>
      <c r="U526" s="6844"/>
      <c r="V526" s="6791"/>
      <c r="W526" s="8487"/>
      <c r="X526" s="6871"/>
      <c r="Y526" s="6793"/>
      <c r="Z526" s="6794"/>
      <c r="AA526" s="6795"/>
      <c r="AB526" s="6796"/>
      <c r="AC526" s="6797"/>
      <c r="AD526" s="6798"/>
      <c r="AE526" s="4" t="s">
        <v>1</v>
      </c>
      <c r="AF526" s="6202" t="str">
        <f t="shared" si="189"/>
        <v>►</v>
      </c>
      <c r="AG526" s="6234" t="str">
        <f t="shared" si="190"/>
        <v/>
      </c>
      <c r="AH526" s="6732" t="str">
        <f t="shared" si="191"/>
        <v/>
      </c>
      <c r="AI526" s="6234" t="str">
        <f t="shared" si="192"/>
        <v/>
      </c>
      <c r="AJ526" s="6732" t="str">
        <f t="shared" si="193"/>
        <v/>
      </c>
      <c r="AK526" s="6732">
        <f t="shared" si="194"/>
        <v>0</v>
      </c>
      <c r="AL526" s="6230" t="str" cm="1">
        <f t="array" ref="AL526">IF(AF526&lt;&gt;"A","",IFERROR((IFERROR(_xlfn.XLOOKUP(TRIM(SUBSTITUTE(U526,CHAR(160)," ")),$BJ$15:$BJ$62,$BM$15:$BM$62),IFERROR(_xlfn.XLOOKUP(TRIM(SUBSTITUTE(U526,CHAR(160)," ")),$BK$15:$BK$62,$BM$15:$BM$62),_xlfn.XLOOKUP(TRIM(SUBSTITUTE(U526,CHAR(160)," ")),$BL$15:$BL$62,$BM$15:$BM$62))))*T526*IF(ISBLANK(Q526),1,Q526)+IFERROR(_xlfn.XLOOKUP("RECHERCHEX",TRIM(L526:AD526),L526:AD526),0),0))</f>
        <v/>
      </c>
      <c r="AM526" s="6229">
        <f t="shared" si="195"/>
        <v>0</v>
      </c>
      <c r="AN526" s="6857" t="str">
        <f t="shared" si="210"/>
        <v/>
      </c>
      <c r="AO526" s="392">
        <f t="shared" si="196"/>
        <v>0</v>
      </c>
      <c r="AP526" s="392">
        <f t="shared" si="197"/>
        <v>0</v>
      </c>
      <c r="AQ526" s="6190">
        <f t="shared" si="198"/>
        <v>0</v>
      </c>
      <c r="AR526" s="6858" t="str">
        <f t="shared" si="199"/>
        <v/>
      </c>
      <c r="AS526" s="6217"/>
      <c r="AT526" s="6217"/>
      <c r="AU526" s="6271">
        <f t="shared" si="200"/>
        <v>0</v>
      </c>
      <c r="AV526" s="6242">
        <f t="shared" si="201"/>
        <v>0</v>
      </c>
      <c r="AW526" s="6188" cm="1">
        <f t="array" ref="AW526">IF(AK526&lt;&gt;1,0,IF(OR(AU526="",N(AU526)&lt;=0.000000001),"",IF(OR(AO526="",N(AO526)&lt;=0.000000001),0,IF(ISNUMBER(AU526),IFERROR(_xlfn.LET(_xlpm.ai_test,TRIM(AJ526),_xlpm.r,IFERROR(_xlfn.XLOOKUP(_xlpm.ai_test,$BJ$15:$BJ$62,ROW($BJ$15:$BJ$62),0,1),IFERROR(_xlfn.XLOOKUP(_xlpm.ai_test,$BK$15:$BK$62,ROW($BK$15:$BK$62),0,1),_xlfn.XLOOKUP(_xlpm.ai_test,$BL$15:$BL$62,ROW($BL$15:$BL$62),0,1))),_xlpm.p,_xlpm.r-MIN(ROW($BJ$15:$BJ$62))+1,_xlpm.f,INDEX($BM$15:$BM$62,_xlpm.p),_xlpm.u,INDEX($BN$15:$BN$62,_xlpm.p),_xlpm.s,INDEX($BP$15:$BP$62,_xlpm.p),_xlpm.q,N(AU526)/_xlpm.f,IF(_xlpm.q&gt;=_xlpm.s,ROUND(_xlpm.q,1)&amp;" "&amp;_xlpm.ai_test&amp;" = "&amp;ROUND(_xlpm.q*_xlpm.f,1)&amp;" "&amp;_xlpm.u,ROUND(_xlpm.q,1)&amp;" "&amp;_xlpm.ai_test)),""),""))))</f>
        <v>0</v>
      </c>
      <c r="AX526" s="6218"/>
      <c r="AY526" s="6271">
        <f t="shared" si="202"/>
        <v>0</v>
      </c>
      <c r="AZ526" s="6242" t="str">
        <f t="shared" si="203"/>
        <v/>
      </c>
      <c r="BA526" s="6194">
        <f t="shared" si="208"/>
        <v>0</v>
      </c>
      <c r="BB526" s="6192" t="str">
        <f t="shared" si="204"/>
        <v/>
      </c>
      <c r="BC526" s="6219"/>
      <c r="BD526" s="6221">
        <f t="shared" si="209"/>
        <v>0</v>
      </c>
      <c r="BE526" s="6220" t="str">
        <f t="shared" si="205"/>
        <v/>
      </c>
      <c r="BF526" s="4" t="s">
        <v>1</v>
      </c>
      <c r="BG526" s="6196">
        <f t="shared" si="206"/>
        <v>0</v>
      </c>
      <c r="BH526" s="6197">
        <f t="shared" si="207"/>
        <v>0</v>
      </c>
      <c r="BI526"/>
      <c r="BJ526" s="1"/>
      <c r="BK526" s="1"/>
      <c r="BL526" s="1"/>
      <c r="BM526" s="1"/>
      <c r="BN526" s="1"/>
      <c r="BO526" s="1"/>
      <c r="BP526" s="1"/>
      <c r="BQ526" s="1"/>
      <c r="BX526" s="20" t="str">
        <f t="shared" si="211"/>
        <v>►</v>
      </c>
      <c r="BY526" s="2"/>
      <c r="BZ526" s="2"/>
      <c r="CA526" s="2"/>
      <c r="CB526" s="2"/>
      <c r="CC526" s="2"/>
      <c r="DC526" s="5">
        <v>1</v>
      </c>
    </row>
    <row r="527" spans="12:107" ht="21" customHeight="1">
      <c r="L527" s="1021" t="s">
        <v>26</v>
      </c>
      <c r="M527" s="6787"/>
      <c r="N527" s="6787"/>
      <c r="O527" s="6787"/>
      <c r="P527" s="6788"/>
      <c r="Q527" s="6789"/>
      <c r="R527" s="6790"/>
      <c r="S527" s="6786"/>
      <c r="T527" s="6791"/>
      <c r="U527" s="6844"/>
      <c r="V527" s="6791"/>
      <c r="W527" s="8487"/>
      <c r="X527" s="6871"/>
      <c r="Y527" s="6793"/>
      <c r="Z527" s="6794"/>
      <c r="AA527" s="6795"/>
      <c r="AB527" s="6796"/>
      <c r="AC527" s="6797"/>
      <c r="AD527" s="6798"/>
      <c r="AE527" s="4" t="s">
        <v>1</v>
      </c>
      <c r="AF527" s="6202" t="str">
        <f t="shared" si="189"/>
        <v>►</v>
      </c>
      <c r="AG527" s="6234" t="str">
        <f t="shared" si="190"/>
        <v/>
      </c>
      <c r="AH527" s="6732" t="str">
        <f t="shared" si="191"/>
        <v/>
      </c>
      <c r="AI527" s="6234" t="str">
        <f t="shared" si="192"/>
        <v/>
      </c>
      <c r="AJ527" s="6732" t="str">
        <f t="shared" si="193"/>
        <v/>
      </c>
      <c r="AK527" s="6732">
        <f t="shared" si="194"/>
        <v>0</v>
      </c>
      <c r="AL527" s="6230" t="str" cm="1">
        <f t="array" ref="AL527">IF(AF527&lt;&gt;"A","",IFERROR((IFERROR(_xlfn.XLOOKUP(TRIM(SUBSTITUTE(U527,CHAR(160)," ")),$BJ$15:$BJ$62,$BM$15:$BM$62),IFERROR(_xlfn.XLOOKUP(TRIM(SUBSTITUTE(U527,CHAR(160)," ")),$BK$15:$BK$62,$BM$15:$BM$62),_xlfn.XLOOKUP(TRIM(SUBSTITUTE(U527,CHAR(160)," ")),$BL$15:$BL$62,$BM$15:$BM$62))))*T527*IF(ISBLANK(Q527),1,Q527)+IFERROR(_xlfn.XLOOKUP("RECHERCHEX",TRIM(L527:AD527),L527:AD527),0),0))</f>
        <v/>
      </c>
      <c r="AM527" s="6229">
        <f t="shared" si="195"/>
        <v>0</v>
      </c>
      <c r="AN527" s="6857" t="str">
        <f t="shared" si="210"/>
        <v/>
      </c>
      <c r="AO527" s="392">
        <f t="shared" si="196"/>
        <v>0</v>
      </c>
      <c r="AP527" s="392">
        <f t="shared" si="197"/>
        <v>0</v>
      </c>
      <c r="AQ527" s="6191">
        <f t="shared" si="198"/>
        <v>0</v>
      </c>
      <c r="AR527" s="6859" t="str">
        <f t="shared" si="199"/>
        <v/>
      </c>
      <c r="AS527" s="6217"/>
      <c r="AT527" s="6217"/>
      <c r="AU527" s="6272">
        <f t="shared" si="200"/>
        <v>0</v>
      </c>
      <c r="AV527" s="6240">
        <f t="shared" si="201"/>
        <v>0</v>
      </c>
      <c r="AW527" s="6189" cm="1">
        <f t="array" ref="AW527">IF(AK527&lt;&gt;1,0,IF(OR(AU527="",N(AU527)&lt;=0.000000001),"",IF(OR(AO527="",N(AO527)&lt;=0.000000001),0,IF(ISNUMBER(AU527),IFERROR(_xlfn.LET(_xlpm.ai_test,TRIM(AJ527),_xlpm.r,IFERROR(_xlfn.XLOOKUP(_xlpm.ai_test,$BJ$15:$BJ$62,ROW($BJ$15:$BJ$62),0,1),IFERROR(_xlfn.XLOOKUP(_xlpm.ai_test,$BK$15:$BK$62,ROW($BK$15:$BK$62),0,1),_xlfn.XLOOKUP(_xlpm.ai_test,$BL$15:$BL$62,ROW($BL$15:$BL$62),0,1))),_xlpm.p,_xlpm.r-MIN(ROW($BJ$15:$BJ$62))+1,_xlpm.f,INDEX($BM$15:$BM$62,_xlpm.p),_xlpm.u,INDEX($BN$15:$BN$62,_xlpm.p),_xlpm.s,INDEX($BP$15:$BP$62,_xlpm.p),_xlpm.q,N(AU527)/_xlpm.f,IF(_xlpm.q&gt;=_xlpm.s,ROUND(_xlpm.q,1)&amp;" "&amp;_xlpm.ai_test&amp;" = "&amp;ROUND(_xlpm.q*_xlpm.f,1)&amp;" "&amp;_xlpm.u,ROUND(_xlpm.q,1)&amp;" "&amp;_xlpm.ai_test)),""),""))))</f>
        <v>0</v>
      </c>
      <c r="AX527" s="6218"/>
      <c r="AY527" s="6272">
        <f t="shared" si="202"/>
        <v>0</v>
      </c>
      <c r="AZ527" s="6240" t="str">
        <f t="shared" si="203"/>
        <v/>
      </c>
      <c r="BA527" s="6195">
        <f t="shared" si="208"/>
        <v>0</v>
      </c>
      <c r="BB527" s="6193" t="str">
        <f t="shared" si="204"/>
        <v/>
      </c>
      <c r="BC527" s="6219"/>
      <c r="BD527" s="6222">
        <f t="shared" si="209"/>
        <v>0</v>
      </c>
      <c r="BE527" s="6220" t="str">
        <f t="shared" si="205"/>
        <v/>
      </c>
      <c r="BF527" s="4" t="s">
        <v>1</v>
      </c>
      <c r="BG527" s="6196">
        <f t="shared" si="206"/>
        <v>0</v>
      </c>
      <c r="BH527" s="6197">
        <f t="shared" si="207"/>
        <v>0</v>
      </c>
      <c r="BI527"/>
      <c r="BJ527" s="1"/>
      <c r="BK527" s="1"/>
      <c r="BL527" s="1"/>
      <c r="BM527" s="1"/>
      <c r="BN527" s="1"/>
      <c r="BO527" s="1"/>
      <c r="BP527" s="1"/>
      <c r="BQ527" s="1"/>
      <c r="BX527" s="20" t="str">
        <f t="shared" si="211"/>
        <v>►</v>
      </c>
      <c r="BY527" s="2"/>
      <c r="BZ527" s="2"/>
      <c r="CA527" s="2"/>
      <c r="CB527" s="2"/>
      <c r="CC527" s="2"/>
      <c r="DC527" s="5">
        <v>1</v>
      </c>
    </row>
    <row r="528" spans="12:107" ht="21" customHeight="1">
      <c r="L528" s="1021" t="s">
        <v>26</v>
      </c>
      <c r="M528" s="6787"/>
      <c r="N528" s="6787"/>
      <c r="O528" s="6787"/>
      <c r="P528" s="6788"/>
      <c r="Q528" s="6789"/>
      <c r="R528" s="6790"/>
      <c r="S528" s="6786"/>
      <c r="T528" s="6791"/>
      <c r="U528" s="6844"/>
      <c r="V528" s="6791"/>
      <c r="W528" s="8487"/>
      <c r="X528" s="6871"/>
      <c r="Y528" s="6793"/>
      <c r="Z528" s="6794"/>
      <c r="AA528" s="6795"/>
      <c r="AB528" s="6796"/>
      <c r="AC528" s="6797"/>
      <c r="AD528" s="6798"/>
      <c r="AE528" s="4" t="s">
        <v>1</v>
      </c>
      <c r="AF528" s="6202" t="str">
        <f t="shared" si="189"/>
        <v>►</v>
      </c>
      <c r="AG528" s="6234" t="str">
        <f t="shared" si="190"/>
        <v/>
      </c>
      <c r="AH528" s="6732" t="str">
        <f t="shared" si="191"/>
        <v/>
      </c>
      <c r="AI528" s="6234" t="str">
        <f t="shared" si="192"/>
        <v/>
      </c>
      <c r="AJ528" s="6732" t="str">
        <f t="shared" si="193"/>
        <v/>
      </c>
      <c r="AK528" s="6732">
        <f t="shared" si="194"/>
        <v>0</v>
      </c>
      <c r="AL528" s="6230" t="str" cm="1">
        <f t="array" ref="AL528">IF(AF528&lt;&gt;"A","",IFERROR((IFERROR(_xlfn.XLOOKUP(TRIM(SUBSTITUTE(U528,CHAR(160)," ")),$BJ$15:$BJ$62,$BM$15:$BM$62),IFERROR(_xlfn.XLOOKUP(TRIM(SUBSTITUTE(U528,CHAR(160)," ")),$BK$15:$BK$62,$BM$15:$BM$62),_xlfn.XLOOKUP(TRIM(SUBSTITUTE(U528,CHAR(160)," ")),$BL$15:$BL$62,$BM$15:$BM$62))))*T528*IF(ISBLANK(Q528),1,Q528)+IFERROR(_xlfn.XLOOKUP("RECHERCHEX",TRIM(L528:AD528),L528:AD528),0),0))</f>
        <v/>
      </c>
      <c r="AM528" s="6229">
        <f t="shared" si="195"/>
        <v>0</v>
      </c>
      <c r="AN528" s="6857" t="str">
        <f t="shared" si="210"/>
        <v/>
      </c>
      <c r="AO528" s="392">
        <f t="shared" si="196"/>
        <v>0</v>
      </c>
      <c r="AP528" s="392">
        <f t="shared" si="197"/>
        <v>0</v>
      </c>
      <c r="AQ528" s="6190">
        <f t="shared" si="198"/>
        <v>0</v>
      </c>
      <c r="AR528" s="6858" t="str">
        <f t="shared" si="199"/>
        <v/>
      </c>
      <c r="AS528" s="6217"/>
      <c r="AT528" s="6217"/>
      <c r="AU528" s="6271">
        <f t="shared" si="200"/>
        <v>0</v>
      </c>
      <c r="AV528" s="6242">
        <f t="shared" si="201"/>
        <v>0</v>
      </c>
      <c r="AW528" s="6188" cm="1">
        <f t="array" ref="AW528">IF(AK528&lt;&gt;1,0,IF(OR(AU528="",N(AU528)&lt;=0.000000001),"",IF(OR(AO528="",N(AO528)&lt;=0.000000001),0,IF(ISNUMBER(AU528),IFERROR(_xlfn.LET(_xlpm.ai_test,TRIM(AJ528),_xlpm.r,IFERROR(_xlfn.XLOOKUP(_xlpm.ai_test,$BJ$15:$BJ$62,ROW($BJ$15:$BJ$62),0,1),IFERROR(_xlfn.XLOOKUP(_xlpm.ai_test,$BK$15:$BK$62,ROW($BK$15:$BK$62),0,1),_xlfn.XLOOKUP(_xlpm.ai_test,$BL$15:$BL$62,ROW($BL$15:$BL$62),0,1))),_xlpm.p,_xlpm.r-MIN(ROW($BJ$15:$BJ$62))+1,_xlpm.f,INDEX($BM$15:$BM$62,_xlpm.p),_xlpm.u,INDEX($BN$15:$BN$62,_xlpm.p),_xlpm.s,INDEX($BP$15:$BP$62,_xlpm.p),_xlpm.q,N(AU528)/_xlpm.f,IF(_xlpm.q&gt;=_xlpm.s,ROUND(_xlpm.q,1)&amp;" "&amp;_xlpm.ai_test&amp;" = "&amp;ROUND(_xlpm.q*_xlpm.f,1)&amp;" "&amp;_xlpm.u,ROUND(_xlpm.q,1)&amp;" "&amp;_xlpm.ai_test)),""),""))))</f>
        <v>0</v>
      </c>
      <c r="AX528" s="6218"/>
      <c r="AY528" s="6271">
        <f t="shared" si="202"/>
        <v>0</v>
      </c>
      <c r="AZ528" s="6242" t="str">
        <f t="shared" si="203"/>
        <v/>
      </c>
      <c r="BA528" s="6194">
        <f t="shared" si="208"/>
        <v>0</v>
      </c>
      <c r="BB528" s="6192" t="str">
        <f t="shared" si="204"/>
        <v/>
      </c>
      <c r="BC528" s="6219"/>
      <c r="BD528" s="6221">
        <f t="shared" si="209"/>
        <v>0</v>
      </c>
      <c r="BE528" s="6220" t="str">
        <f t="shared" si="205"/>
        <v/>
      </c>
      <c r="BF528" s="4" t="s">
        <v>1</v>
      </c>
      <c r="BG528" s="6196">
        <f t="shared" si="206"/>
        <v>0</v>
      </c>
      <c r="BH528" s="6197">
        <f t="shared" si="207"/>
        <v>0</v>
      </c>
      <c r="BI528"/>
      <c r="BJ528" s="1"/>
      <c r="BK528" s="1"/>
      <c r="BL528" s="1"/>
      <c r="BM528" s="1"/>
      <c r="BN528" s="1"/>
      <c r="BO528" s="1"/>
      <c r="BP528" s="1"/>
      <c r="BQ528" s="1"/>
      <c r="BX528" s="20" t="str">
        <f t="shared" si="211"/>
        <v>►</v>
      </c>
      <c r="BY528" s="2"/>
      <c r="BZ528" s="2"/>
      <c r="CA528" s="2"/>
      <c r="CB528" s="2"/>
      <c r="CC528" s="2"/>
      <c r="DC528" s="5">
        <v>1</v>
      </c>
    </row>
    <row r="529" spans="12:107" ht="21" customHeight="1">
      <c r="L529" s="1021" t="s">
        <v>26</v>
      </c>
      <c r="M529" s="6787"/>
      <c r="N529" s="6787"/>
      <c r="O529" s="6787"/>
      <c r="P529" s="6788"/>
      <c r="Q529" s="6789"/>
      <c r="R529" s="6790"/>
      <c r="S529" s="6786"/>
      <c r="T529" s="6791"/>
      <c r="U529" s="6844"/>
      <c r="V529" s="6791"/>
      <c r="W529" s="8487"/>
      <c r="X529" s="6871"/>
      <c r="Y529" s="6793"/>
      <c r="Z529" s="6794"/>
      <c r="AA529" s="6795"/>
      <c r="AB529" s="6796"/>
      <c r="AC529" s="6797"/>
      <c r="AD529" s="6798"/>
      <c r="AE529" s="4" t="s">
        <v>1</v>
      </c>
      <c r="AF529" s="6202" t="str">
        <f t="shared" si="189"/>
        <v>►</v>
      </c>
      <c r="AG529" s="6234" t="str">
        <f t="shared" si="190"/>
        <v/>
      </c>
      <c r="AH529" s="6732" t="str">
        <f t="shared" si="191"/>
        <v/>
      </c>
      <c r="AI529" s="6234" t="str">
        <f t="shared" si="192"/>
        <v/>
      </c>
      <c r="AJ529" s="6732" t="str">
        <f t="shared" si="193"/>
        <v/>
      </c>
      <c r="AK529" s="6732">
        <f t="shared" si="194"/>
        <v>0</v>
      </c>
      <c r="AL529" s="6230" t="str" cm="1">
        <f t="array" ref="AL529">IF(AF529&lt;&gt;"A","",IFERROR((IFERROR(_xlfn.XLOOKUP(TRIM(SUBSTITUTE(U529,CHAR(160)," ")),$BJ$15:$BJ$62,$BM$15:$BM$62),IFERROR(_xlfn.XLOOKUP(TRIM(SUBSTITUTE(U529,CHAR(160)," ")),$BK$15:$BK$62,$BM$15:$BM$62),_xlfn.XLOOKUP(TRIM(SUBSTITUTE(U529,CHAR(160)," ")),$BL$15:$BL$62,$BM$15:$BM$62))))*T529*IF(ISBLANK(Q529),1,Q529)+IFERROR(_xlfn.XLOOKUP("RECHERCHEX",TRIM(L529:AD529),L529:AD529),0),0))</f>
        <v/>
      </c>
      <c r="AM529" s="6229">
        <f t="shared" si="195"/>
        <v>0</v>
      </c>
      <c r="AN529" s="6857" t="str">
        <f t="shared" si="210"/>
        <v/>
      </c>
      <c r="AO529" s="392">
        <f t="shared" si="196"/>
        <v>0</v>
      </c>
      <c r="AP529" s="392">
        <f t="shared" si="197"/>
        <v>0</v>
      </c>
      <c r="AQ529" s="6191">
        <f t="shared" si="198"/>
        <v>0</v>
      </c>
      <c r="AR529" s="6859" t="str">
        <f t="shared" si="199"/>
        <v/>
      </c>
      <c r="AS529" s="6217"/>
      <c r="AT529" s="6217"/>
      <c r="AU529" s="6272">
        <f t="shared" si="200"/>
        <v>0</v>
      </c>
      <c r="AV529" s="6240">
        <f t="shared" si="201"/>
        <v>0</v>
      </c>
      <c r="AW529" s="6189" cm="1">
        <f t="array" ref="AW529">IF(AK529&lt;&gt;1,0,IF(OR(AU529="",N(AU529)&lt;=0.000000001),"",IF(OR(AO529="",N(AO529)&lt;=0.000000001),0,IF(ISNUMBER(AU529),IFERROR(_xlfn.LET(_xlpm.ai_test,TRIM(AJ529),_xlpm.r,IFERROR(_xlfn.XLOOKUP(_xlpm.ai_test,$BJ$15:$BJ$62,ROW($BJ$15:$BJ$62),0,1),IFERROR(_xlfn.XLOOKUP(_xlpm.ai_test,$BK$15:$BK$62,ROW($BK$15:$BK$62),0,1),_xlfn.XLOOKUP(_xlpm.ai_test,$BL$15:$BL$62,ROW($BL$15:$BL$62),0,1))),_xlpm.p,_xlpm.r-MIN(ROW($BJ$15:$BJ$62))+1,_xlpm.f,INDEX($BM$15:$BM$62,_xlpm.p),_xlpm.u,INDEX($BN$15:$BN$62,_xlpm.p),_xlpm.s,INDEX($BP$15:$BP$62,_xlpm.p),_xlpm.q,N(AU529)/_xlpm.f,IF(_xlpm.q&gt;=_xlpm.s,ROUND(_xlpm.q,1)&amp;" "&amp;_xlpm.ai_test&amp;" = "&amp;ROUND(_xlpm.q*_xlpm.f,1)&amp;" "&amp;_xlpm.u,ROUND(_xlpm.q,1)&amp;" "&amp;_xlpm.ai_test)),""),""))))</f>
        <v>0</v>
      </c>
      <c r="AX529" s="6218"/>
      <c r="AY529" s="6272">
        <f t="shared" si="202"/>
        <v>0</v>
      </c>
      <c r="AZ529" s="6240" t="str">
        <f t="shared" si="203"/>
        <v/>
      </c>
      <c r="BA529" s="6195">
        <f t="shared" si="208"/>
        <v>0</v>
      </c>
      <c r="BB529" s="6193" t="str">
        <f t="shared" si="204"/>
        <v/>
      </c>
      <c r="BC529" s="6219"/>
      <c r="BD529" s="6222">
        <f t="shared" si="209"/>
        <v>0</v>
      </c>
      <c r="BE529" s="6220" t="str">
        <f t="shared" si="205"/>
        <v/>
      </c>
      <c r="BF529" s="4" t="s">
        <v>1</v>
      </c>
      <c r="BG529" s="6196">
        <f t="shared" si="206"/>
        <v>0</v>
      </c>
      <c r="BH529" s="6197">
        <f t="shared" si="207"/>
        <v>0</v>
      </c>
      <c r="BI529"/>
      <c r="BJ529" s="1"/>
      <c r="BK529" s="1"/>
      <c r="BL529" s="1"/>
      <c r="BM529" s="1"/>
      <c r="BN529" s="1"/>
      <c r="BO529" s="1"/>
      <c r="BP529" s="1"/>
      <c r="BQ529" s="1"/>
      <c r="BX529" s="20" t="str">
        <f t="shared" si="211"/>
        <v>►</v>
      </c>
      <c r="BY529" s="2"/>
      <c r="BZ529" s="2"/>
      <c r="CA529" s="2"/>
      <c r="CB529" s="2"/>
      <c r="CC529" s="2"/>
      <c r="DC529" s="5">
        <v>1</v>
      </c>
    </row>
    <row r="530" spans="12:107" ht="21" customHeight="1">
      <c r="L530" s="1021" t="s">
        <v>26</v>
      </c>
      <c r="M530" s="6787"/>
      <c r="N530" s="6787"/>
      <c r="O530" s="6787"/>
      <c r="P530" s="6788"/>
      <c r="Q530" s="6789"/>
      <c r="R530" s="6790"/>
      <c r="S530" s="6786"/>
      <c r="T530" s="6791"/>
      <c r="U530" s="6844"/>
      <c r="V530" s="6791"/>
      <c r="W530" s="8487"/>
      <c r="X530" s="6871"/>
      <c r="Y530" s="6793"/>
      <c r="Z530" s="6794"/>
      <c r="AA530" s="6795"/>
      <c r="AB530" s="6796"/>
      <c r="AC530" s="6797"/>
      <c r="AD530" s="6798"/>
      <c r="AE530" s="4" t="s">
        <v>1</v>
      </c>
      <c r="AF530" s="6202" t="str">
        <f t="shared" si="189"/>
        <v>►</v>
      </c>
      <c r="AG530" s="6234" t="str">
        <f t="shared" si="190"/>
        <v/>
      </c>
      <c r="AH530" s="6732" t="str">
        <f t="shared" si="191"/>
        <v/>
      </c>
      <c r="AI530" s="6234" t="str">
        <f t="shared" si="192"/>
        <v/>
      </c>
      <c r="AJ530" s="6732" t="str">
        <f t="shared" si="193"/>
        <v/>
      </c>
      <c r="AK530" s="6732">
        <f t="shared" si="194"/>
        <v>0</v>
      </c>
      <c r="AL530" s="6230" t="str" cm="1">
        <f t="array" ref="AL530">IF(AF530&lt;&gt;"A","",IFERROR((IFERROR(_xlfn.XLOOKUP(TRIM(SUBSTITUTE(U530,CHAR(160)," ")),$BJ$15:$BJ$62,$BM$15:$BM$62),IFERROR(_xlfn.XLOOKUP(TRIM(SUBSTITUTE(U530,CHAR(160)," ")),$BK$15:$BK$62,$BM$15:$BM$62),_xlfn.XLOOKUP(TRIM(SUBSTITUTE(U530,CHAR(160)," ")),$BL$15:$BL$62,$BM$15:$BM$62))))*T530*IF(ISBLANK(Q530),1,Q530)+IFERROR(_xlfn.XLOOKUP("RECHERCHEX",TRIM(L530:AD530),L530:AD530),0),0))</f>
        <v/>
      </c>
      <c r="AM530" s="6229">
        <f t="shared" si="195"/>
        <v>0</v>
      </c>
      <c r="AN530" s="6857" t="str">
        <f t="shared" si="210"/>
        <v/>
      </c>
      <c r="AO530" s="392">
        <f t="shared" si="196"/>
        <v>0</v>
      </c>
      <c r="AP530" s="392">
        <f t="shared" si="197"/>
        <v>0</v>
      </c>
      <c r="AQ530" s="6190">
        <f t="shared" si="198"/>
        <v>0</v>
      </c>
      <c r="AR530" s="6858" t="str">
        <f t="shared" si="199"/>
        <v/>
      </c>
      <c r="AS530" s="6217"/>
      <c r="AT530" s="6217"/>
      <c r="AU530" s="6271">
        <f t="shared" si="200"/>
        <v>0</v>
      </c>
      <c r="AV530" s="6242">
        <f t="shared" si="201"/>
        <v>0</v>
      </c>
      <c r="AW530" s="6188" cm="1">
        <f t="array" ref="AW530">IF(AK530&lt;&gt;1,0,IF(OR(AU530="",N(AU530)&lt;=0.000000001),"",IF(OR(AO530="",N(AO530)&lt;=0.000000001),0,IF(ISNUMBER(AU530),IFERROR(_xlfn.LET(_xlpm.ai_test,TRIM(AJ530),_xlpm.r,IFERROR(_xlfn.XLOOKUP(_xlpm.ai_test,$BJ$15:$BJ$62,ROW($BJ$15:$BJ$62),0,1),IFERROR(_xlfn.XLOOKUP(_xlpm.ai_test,$BK$15:$BK$62,ROW($BK$15:$BK$62),0,1),_xlfn.XLOOKUP(_xlpm.ai_test,$BL$15:$BL$62,ROW($BL$15:$BL$62),0,1))),_xlpm.p,_xlpm.r-MIN(ROW($BJ$15:$BJ$62))+1,_xlpm.f,INDEX($BM$15:$BM$62,_xlpm.p),_xlpm.u,INDEX($BN$15:$BN$62,_xlpm.p),_xlpm.s,INDEX($BP$15:$BP$62,_xlpm.p),_xlpm.q,N(AU530)/_xlpm.f,IF(_xlpm.q&gt;=_xlpm.s,ROUND(_xlpm.q,1)&amp;" "&amp;_xlpm.ai_test&amp;" = "&amp;ROUND(_xlpm.q*_xlpm.f,1)&amp;" "&amp;_xlpm.u,ROUND(_xlpm.q,1)&amp;" "&amp;_xlpm.ai_test)),""),""))))</f>
        <v>0</v>
      </c>
      <c r="AX530" s="6218"/>
      <c r="AY530" s="6271">
        <f t="shared" si="202"/>
        <v>0</v>
      </c>
      <c r="AZ530" s="6242" t="str">
        <f t="shared" si="203"/>
        <v/>
      </c>
      <c r="BA530" s="6194">
        <f t="shared" si="208"/>
        <v>0</v>
      </c>
      <c r="BB530" s="6192" t="str">
        <f t="shared" si="204"/>
        <v/>
      </c>
      <c r="BC530" s="6219"/>
      <c r="BD530" s="6221">
        <f t="shared" si="209"/>
        <v>0</v>
      </c>
      <c r="BE530" s="6220" t="str">
        <f t="shared" si="205"/>
        <v/>
      </c>
      <c r="BF530" s="4" t="s">
        <v>1</v>
      </c>
      <c r="BG530" s="6196">
        <f t="shared" si="206"/>
        <v>0</v>
      </c>
      <c r="BH530" s="6197">
        <f t="shared" si="207"/>
        <v>0</v>
      </c>
      <c r="BI530"/>
      <c r="BJ530" s="1"/>
      <c r="BK530" s="1"/>
      <c r="BL530" s="1"/>
      <c r="BM530" s="1"/>
      <c r="BN530" s="1"/>
      <c r="BO530" s="1"/>
      <c r="BP530" s="1"/>
      <c r="BQ530" s="1"/>
      <c r="BX530" s="20" t="str">
        <f t="shared" si="211"/>
        <v>►</v>
      </c>
      <c r="BY530" s="2"/>
      <c r="BZ530" s="2"/>
      <c r="CA530" s="2"/>
      <c r="CB530" s="2"/>
      <c r="CC530" s="2"/>
      <c r="DC530" s="5">
        <v>1</v>
      </c>
    </row>
    <row r="531" spans="12:107" ht="21" customHeight="1">
      <c r="L531" s="1021" t="s">
        <v>26</v>
      </c>
      <c r="M531" s="6787"/>
      <c r="N531" s="6787"/>
      <c r="O531" s="6787"/>
      <c r="P531" s="6788"/>
      <c r="Q531" s="6789"/>
      <c r="R531" s="6790"/>
      <c r="S531" s="6786"/>
      <c r="T531" s="6791"/>
      <c r="U531" s="6844"/>
      <c r="V531" s="6791"/>
      <c r="W531" s="8487"/>
      <c r="X531" s="6871"/>
      <c r="Y531" s="6793"/>
      <c r="Z531" s="6794"/>
      <c r="AA531" s="6795"/>
      <c r="AB531" s="6796"/>
      <c r="AC531" s="6797"/>
      <c r="AD531" s="6798"/>
      <c r="AE531" s="4" t="s">
        <v>1</v>
      </c>
      <c r="AF531" s="6202" t="str">
        <f t="shared" si="189"/>
        <v>►</v>
      </c>
      <c r="AG531" s="6234" t="str">
        <f t="shared" si="190"/>
        <v/>
      </c>
      <c r="AH531" s="6732" t="str">
        <f t="shared" si="191"/>
        <v/>
      </c>
      <c r="AI531" s="6234" t="str">
        <f t="shared" si="192"/>
        <v/>
      </c>
      <c r="AJ531" s="6732" t="str">
        <f t="shared" si="193"/>
        <v/>
      </c>
      <c r="AK531" s="6732">
        <f t="shared" si="194"/>
        <v>0</v>
      </c>
      <c r="AL531" s="6230" t="str" cm="1">
        <f t="array" ref="AL531">IF(AF531&lt;&gt;"A","",IFERROR((IFERROR(_xlfn.XLOOKUP(TRIM(SUBSTITUTE(U531,CHAR(160)," ")),$BJ$15:$BJ$62,$BM$15:$BM$62),IFERROR(_xlfn.XLOOKUP(TRIM(SUBSTITUTE(U531,CHAR(160)," ")),$BK$15:$BK$62,$BM$15:$BM$62),_xlfn.XLOOKUP(TRIM(SUBSTITUTE(U531,CHAR(160)," ")),$BL$15:$BL$62,$BM$15:$BM$62))))*T531*IF(ISBLANK(Q531),1,Q531)+IFERROR(_xlfn.XLOOKUP("RECHERCHEX",TRIM(L531:AD531),L531:AD531),0),0))</f>
        <v/>
      </c>
      <c r="AM531" s="6229">
        <f t="shared" si="195"/>
        <v>0</v>
      </c>
      <c r="AN531" s="6857" t="str">
        <f t="shared" si="210"/>
        <v/>
      </c>
      <c r="AO531" s="392">
        <f t="shared" si="196"/>
        <v>0</v>
      </c>
      <c r="AP531" s="392">
        <f t="shared" si="197"/>
        <v>0</v>
      </c>
      <c r="AQ531" s="6191">
        <f t="shared" si="198"/>
        <v>0</v>
      </c>
      <c r="AR531" s="6859" t="str">
        <f t="shared" si="199"/>
        <v/>
      </c>
      <c r="AS531" s="6217"/>
      <c r="AT531" s="6217"/>
      <c r="AU531" s="6272">
        <f t="shared" si="200"/>
        <v>0</v>
      </c>
      <c r="AV531" s="6240">
        <f t="shared" si="201"/>
        <v>0</v>
      </c>
      <c r="AW531" s="6189" cm="1">
        <f t="array" ref="AW531">IF(AK531&lt;&gt;1,0,IF(OR(AU531="",N(AU531)&lt;=0.000000001),"",IF(OR(AO531="",N(AO531)&lt;=0.000000001),0,IF(ISNUMBER(AU531),IFERROR(_xlfn.LET(_xlpm.ai_test,TRIM(AJ531),_xlpm.r,IFERROR(_xlfn.XLOOKUP(_xlpm.ai_test,$BJ$15:$BJ$62,ROW($BJ$15:$BJ$62),0,1),IFERROR(_xlfn.XLOOKUP(_xlpm.ai_test,$BK$15:$BK$62,ROW($BK$15:$BK$62),0,1),_xlfn.XLOOKUP(_xlpm.ai_test,$BL$15:$BL$62,ROW($BL$15:$BL$62),0,1))),_xlpm.p,_xlpm.r-MIN(ROW($BJ$15:$BJ$62))+1,_xlpm.f,INDEX($BM$15:$BM$62,_xlpm.p),_xlpm.u,INDEX($BN$15:$BN$62,_xlpm.p),_xlpm.s,INDEX($BP$15:$BP$62,_xlpm.p),_xlpm.q,N(AU531)/_xlpm.f,IF(_xlpm.q&gt;=_xlpm.s,ROUND(_xlpm.q,1)&amp;" "&amp;_xlpm.ai_test&amp;" = "&amp;ROUND(_xlpm.q*_xlpm.f,1)&amp;" "&amp;_xlpm.u,ROUND(_xlpm.q,1)&amp;" "&amp;_xlpm.ai_test)),""),""))))</f>
        <v>0</v>
      </c>
      <c r="AX531" s="6218"/>
      <c r="AY531" s="6272">
        <f t="shared" si="202"/>
        <v>0</v>
      </c>
      <c r="AZ531" s="6240" t="str">
        <f t="shared" si="203"/>
        <v/>
      </c>
      <c r="BA531" s="6195">
        <f t="shared" si="208"/>
        <v>0</v>
      </c>
      <c r="BB531" s="6193" t="str">
        <f t="shared" si="204"/>
        <v/>
      </c>
      <c r="BC531" s="6219"/>
      <c r="BD531" s="6222">
        <f t="shared" si="209"/>
        <v>0</v>
      </c>
      <c r="BE531" s="6220" t="str">
        <f t="shared" si="205"/>
        <v/>
      </c>
      <c r="BF531" s="4" t="s">
        <v>1</v>
      </c>
      <c r="BG531" s="6196">
        <f t="shared" si="206"/>
        <v>0</v>
      </c>
      <c r="BH531" s="6197">
        <f t="shared" si="207"/>
        <v>0</v>
      </c>
      <c r="BI531"/>
      <c r="BJ531" s="1"/>
      <c r="BK531" s="1"/>
      <c r="BL531" s="1"/>
      <c r="BM531" s="1"/>
      <c r="BN531" s="1"/>
      <c r="BO531" s="1"/>
      <c r="BP531" s="1"/>
      <c r="BQ531" s="1"/>
      <c r="BX531" s="20" t="str">
        <f t="shared" si="211"/>
        <v>►</v>
      </c>
      <c r="BY531" s="2"/>
      <c r="BZ531" s="2"/>
      <c r="CA531" s="2"/>
      <c r="CB531" s="2"/>
      <c r="CC531" s="2"/>
      <c r="DC531" s="5">
        <v>1</v>
      </c>
    </row>
    <row r="532" spans="12:107" ht="21" customHeight="1">
      <c r="L532" s="1021" t="s">
        <v>26</v>
      </c>
      <c r="M532" s="6787"/>
      <c r="N532" s="6787"/>
      <c r="O532" s="6787"/>
      <c r="P532" s="6788"/>
      <c r="Q532" s="6789"/>
      <c r="R532" s="6790"/>
      <c r="S532" s="6786"/>
      <c r="T532" s="6791"/>
      <c r="U532" s="6844"/>
      <c r="V532" s="6791"/>
      <c r="W532" s="8487"/>
      <c r="X532" s="6871"/>
      <c r="Y532" s="6793"/>
      <c r="Z532" s="6794"/>
      <c r="AA532" s="6795"/>
      <c r="AB532" s="6796"/>
      <c r="AC532" s="6797"/>
      <c r="AD532" s="6798"/>
      <c r="AE532" s="4" t="s">
        <v>1</v>
      </c>
      <c r="AF532" s="6202" t="str">
        <f t="shared" si="189"/>
        <v>►</v>
      </c>
      <c r="AG532" s="6234" t="str">
        <f t="shared" si="190"/>
        <v/>
      </c>
      <c r="AH532" s="6732" t="str">
        <f t="shared" si="191"/>
        <v/>
      </c>
      <c r="AI532" s="6234" t="str">
        <f t="shared" si="192"/>
        <v/>
      </c>
      <c r="AJ532" s="6732" t="str">
        <f t="shared" si="193"/>
        <v/>
      </c>
      <c r="AK532" s="6732">
        <f t="shared" si="194"/>
        <v>0</v>
      </c>
      <c r="AL532" s="6230" t="str" cm="1">
        <f t="array" ref="AL532">IF(AF532&lt;&gt;"A","",IFERROR((IFERROR(_xlfn.XLOOKUP(TRIM(SUBSTITUTE(U532,CHAR(160)," ")),$BJ$15:$BJ$62,$BM$15:$BM$62),IFERROR(_xlfn.XLOOKUP(TRIM(SUBSTITUTE(U532,CHAR(160)," ")),$BK$15:$BK$62,$BM$15:$BM$62),_xlfn.XLOOKUP(TRIM(SUBSTITUTE(U532,CHAR(160)," ")),$BL$15:$BL$62,$BM$15:$BM$62))))*T532*IF(ISBLANK(Q532),1,Q532)+IFERROR(_xlfn.XLOOKUP("RECHERCHEX",TRIM(L532:AD532),L532:AD532),0),0))</f>
        <v/>
      </c>
      <c r="AM532" s="6229">
        <f t="shared" si="195"/>
        <v>0</v>
      </c>
      <c r="AN532" s="6857" t="str">
        <f t="shared" si="210"/>
        <v/>
      </c>
      <c r="AO532" s="392">
        <f t="shared" si="196"/>
        <v>0</v>
      </c>
      <c r="AP532" s="392">
        <f t="shared" si="197"/>
        <v>0</v>
      </c>
      <c r="AQ532" s="6190">
        <f t="shared" si="198"/>
        <v>0</v>
      </c>
      <c r="AR532" s="6858" t="str">
        <f t="shared" si="199"/>
        <v/>
      </c>
      <c r="AS532" s="6217"/>
      <c r="AT532" s="6217"/>
      <c r="AU532" s="6271">
        <f t="shared" si="200"/>
        <v>0</v>
      </c>
      <c r="AV532" s="6242">
        <f t="shared" si="201"/>
        <v>0</v>
      </c>
      <c r="AW532" s="6188" cm="1">
        <f t="array" ref="AW532">IF(AK532&lt;&gt;1,0,IF(OR(AU532="",N(AU532)&lt;=0.000000001),"",IF(OR(AO532="",N(AO532)&lt;=0.000000001),0,IF(ISNUMBER(AU532),IFERROR(_xlfn.LET(_xlpm.ai_test,TRIM(AJ532),_xlpm.r,IFERROR(_xlfn.XLOOKUP(_xlpm.ai_test,$BJ$15:$BJ$62,ROW($BJ$15:$BJ$62),0,1),IFERROR(_xlfn.XLOOKUP(_xlpm.ai_test,$BK$15:$BK$62,ROW($BK$15:$BK$62),0,1),_xlfn.XLOOKUP(_xlpm.ai_test,$BL$15:$BL$62,ROW($BL$15:$BL$62),0,1))),_xlpm.p,_xlpm.r-MIN(ROW($BJ$15:$BJ$62))+1,_xlpm.f,INDEX($BM$15:$BM$62,_xlpm.p),_xlpm.u,INDEX($BN$15:$BN$62,_xlpm.p),_xlpm.s,INDEX($BP$15:$BP$62,_xlpm.p),_xlpm.q,N(AU532)/_xlpm.f,IF(_xlpm.q&gt;=_xlpm.s,ROUND(_xlpm.q,1)&amp;" "&amp;_xlpm.ai_test&amp;" = "&amp;ROUND(_xlpm.q*_xlpm.f,1)&amp;" "&amp;_xlpm.u,ROUND(_xlpm.q,1)&amp;" "&amp;_xlpm.ai_test)),""),""))))</f>
        <v>0</v>
      </c>
      <c r="AX532" s="6218"/>
      <c r="AY532" s="6271">
        <f t="shared" si="202"/>
        <v>0</v>
      </c>
      <c r="AZ532" s="6242" t="str">
        <f t="shared" si="203"/>
        <v/>
      </c>
      <c r="BA532" s="6194">
        <f t="shared" si="208"/>
        <v>0</v>
      </c>
      <c r="BB532" s="6192" t="str">
        <f t="shared" si="204"/>
        <v/>
      </c>
      <c r="BC532" s="6219"/>
      <c r="BD532" s="6221">
        <f t="shared" si="209"/>
        <v>0</v>
      </c>
      <c r="BE532" s="6220" t="str">
        <f t="shared" si="205"/>
        <v/>
      </c>
      <c r="BF532" s="4" t="s">
        <v>1</v>
      </c>
      <c r="BG532" s="6196">
        <f t="shared" si="206"/>
        <v>0</v>
      </c>
      <c r="BH532" s="6197">
        <f t="shared" si="207"/>
        <v>0</v>
      </c>
      <c r="BI532"/>
      <c r="BJ532" s="1"/>
      <c r="BK532" s="1"/>
      <c r="BL532" s="1"/>
      <c r="BM532" s="1"/>
      <c r="BN532" s="1"/>
      <c r="BO532" s="1"/>
      <c r="BP532" s="1"/>
      <c r="BQ532" s="1"/>
      <c r="BX532" s="20" t="str">
        <f t="shared" si="211"/>
        <v>►</v>
      </c>
      <c r="BY532" s="2"/>
      <c r="BZ532" s="2"/>
      <c r="CA532" s="2"/>
      <c r="CB532" s="2"/>
      <c r="CC532" s="2"/>
      <c r="DC532" s="5">
        <v>1</v>
      </c>
    </row>
    <row r="533" spans="12:107" ht="21" customHeight="1">
      <c r="L533" s="1021" t="s">
        <v>26</v>
      </c>
      <c r="M533" s="6787"/>
      <c r="N533" s="6787"/>
      <c r="O533" s="6787"/>
      <c r="P533" s="6788"/>
      <c r="Q533" s="6789"/>
      <c r="R533" s="6790"/>
      <c r="S533" s="6786"/>
      <c r="T533" s="6791"/>
      <c r="U533" s="6844"/>
      <c r="V533" s="6791"/>
      <c r="W533" s="8487"/>
      <c r="X533" s="6871"/>
      <c r="Y533" s="6793"/>
      <c r="Z533" s="6794"/>
      <c r="AA533" s="6795"/>
      <c r="AB533" s="6796"/>
      <c r="AC533" s="6797"/>
      <c r="AD533" s="6798"/>
      <c r="AE533" s="4" t="s">
        <v>1</v>
      </c>
      <c r="AF533" s="6202" t="str">
        <f t="shared" si="189"/>
        <v>►</v>
      </c>
      <c r="AG533" s="6234" t="str">
        <f t="shared" si="190"/>
        <v/>
      </c>
      <c r="AH533" s="6732" t="str">
        <f t="shared" si="191"/>
        <v/>
      </c>
      <c r="AI533" s="6234" t="str">
        <f t="shared" si="192"/>
        <v/>
      </c>
      <c r="AJ533" s="6732" t="str">
        <f t="shared" si="193"/>
        <v/>
      </c>
      <c r="AK533" s="6732">
        <f t="shared" si="194"/>
        <v>0</v>
      </c>
      <c r="AL533" s="6230" t="str" cm="1">
        <f t="array" ref="AL533">IF(AF533&lt;&gt;"A","",IFERROR((IFERROR(_xlfn.XLOOKUP(TRIM(SUBSTITUTE(U533,CHAR(160)," ")),$BJ$15:$BJ$62,$BM$15:$BM$62),IFERROR(_xlfn.XLOOKUP(TRIM(SUBSTITUTE(U533,CHAR(160)," ")),$BK$15:$BK$62,$BM$15:$BM$62),_xlfn.XLOOKUP(TRIM(SUBSTITUTE(U533,CHAR(160)," ")),$BL$15:$BL$62,$BM$15:$BM$62))))*T533*IF(ISBLANK(Q533),1,Q533)+IFERROR(_xlfn.XLOOKUP("RECHERCHEX",TRIM(L533:AD533),L533:AD533),0),0))</f>
        <v/>
      </c>
      <c r="AM533" s="6229">
        <f t="shared" si="195"/>
        <v>0</v>
      </c>
      <c r="AN533" s="6857" t="str">
        <f t="shared" si="210"/>
        <v/>
      </c>
      <c r="AO533" s="392">
        <f t="shared" si="196"/>
        <v>0</v>
      </c>
      <c r="AP533" s="392">
        <f t="shared" si="197"/>
        <v>0</v>
      </c>
      <c r="AQ533" s="6191">
        <f t="shared" si="198"/>
        <v>0</v>
      </c>
      <c r="AR533" s="6859" t="str">
        <f t="shared" si="199"/>
        <v/>
      </c>
      <c r="AS533" s="6217"/>
      <c r="AT533" s="6217"/>
      <c r="AU533" s="6272">
        <f t="shared" si="200"/>
        <v>0</v>
      </c>
      <c r="AV533" s="6240">
        <f t="shared" si="201"/>
        <v>0</v>
      </c>
      <c r="AW533" s="6189" cm="1">
        <f t="array" ref="AW533">IF(AK533&lt;&gt;1,0,IF(OR(AU533="",N(AU533)&lt;=0.000000001),"",IF(OR(AO533="",N(AO533)&lt;=0.000000001),0,IF(ISNUMBER(AU533),IFERROR(_xlfn.LET(_xlpm.ai_test,TRIM(AJ533),_xlpm.r,IFERROR(_xlfn.XLOOKUP(_xlpm.ai_test,$BJ$15:$BJ$62,ROW($BJ$15:$BJ$62),0,1),IFERROR(_xlfn.XLOOKUP(_xlpm.ai_test,$BK$15:$BK$62,ROW($BK$15:$BK$62),0,1),_xlfn.XLOOKUP(_xlpm.ai_test,$BL$15:$BL$62,ROW($BL$15:$BL$62),0,1))),_xlpm.p,_xlpm.r-MIN(ROW($BJ$15:$BJ$62))+1,_xlpm.f,INDEX($BM$15:$BM$62,_xlpm.p),_xlpm.u,INDEX($BN$15:$BN$62,_xlpm.p),_xlpm.s,INDEX($BP$15:$BP$62,_xlpm.p),_xlpm.q,N(AU533)/_xlpm.f,IF(_xlpm.q&gt;=_xlpm.s,ROUND(_xlpm.q,1)&amp;" "&amp;_xlpm.ai_test&amp;" = "&amp;ROUND(_xlpm.q*_xlpm.f,1)&amp;" "&amp;_xlpm.u,ROUND(_xlpm.q,1)&amp;" "&amp;_xlpm.ai_test)),""),""))))</f>
        <v>0</v>
      </c>
      <c r="AX533" s="6218"/>
      <c r="AY533" s="6272">
        <f t="shared" si="202"/>
        <v>0</v>
      </c>
      <c r="AZ533" s="6240" t="str">
        <f t="shared" si="203"/>
        <v/>
      </c>
      <c r="BA533" s="6195">
        <f t="shared" si="208"/>
        <v>0</v>
      </c>
      <c r="BB533" s="6193" t="str">
        <f t="shared" si="204"/>
        <v/>
      </c>
      <c r="BC533" s="6219"/>
      <c r="BD533" s="6222">
        <f t="shared" si="209"/>
        <v>0</v>
      </c>
      <c r="BE533" s="6220" t="str">
        <f t="shared" si="205"/>
        <v/>
      </c>
      <c r="BF533" s="4" t="s">
        <v>1</v>
      </c>
      <c r="BG533" s="6196">
        <f t="shared" si="206"/>
        <v>0</v>
      </c>
      <c r="BH533" s="6197">
        <f t="shared" si="207"/>
        <v>0</v>
      </c>
      <c r="BI533"/>
      <c r="BJ533" s="1"/>
      <c r="BK533" s="1"/>
      <c r="BL533" s="1"/>
      <c r="BM533" s="1"/>
      <c r="BN533" s="1"/>
      <c r="BO533" s="1"/>
      <c r="BP533" s="1"/>
      <c r="BQ533" s="1"/>
      <c r="BX533" s="20" t="str">
        <f t="shared" si="211"/>
        <v>►</v>
      </c>
      <c r="BY533" s="2"/>
      <c r="BZ533" s="2"/>
      <c r="CA533" s="2"/>
      <c r="CB533" s="2"/>
      <c r="CC533" s="2"/>
      <c r="DC533" s="5">
        <v>1</v>
      </c>
    </row>
    <row r="534" spans="12:107" ht="21" customHeight="1">
      <c r="L534" s="1021" t="s">
        <v>26</v>
      </c>
      <c r="M534" s="6787"/>
      <c r="N534" s="6787"/>
      <c r="O534" s="6787"/>
      <c r="P534" s="6788"/>
      <c r="Q534" s="6789"/>
      <c r="R534" s="6790"/>
      <c r="S534" s="6786"/>
      <c r="T534" s="6791"/>
      <c r="U534" s="6844"/>
      <c r="V534" s="6791"/>
      <c r="W534" s="8487"/>
      <c r="X534" s="6871"/>
      <c r="Y534" s="6793"/>
      <c r="Z534" s="6794"/>
      <c r="AA534" s="6795"/>
      <c r="AB534" s="6796"/>
      <c r="AC534" s="6797"/>
      <c r="AD534" s="6798"/>
      <c r="AE534" s="4" t="s">
        <v>1</v>
      </c>
      <c r="AF534" s="6202" t="str">
        <f t="shared" ref="AF534:AF549" si="212">IF(OR(AO534&gt;0,TRIM(AG534)="▼ recette suivante"),"A","►")</f>
        <v>►</v>
      </c>
      <c r="AG534" s="6234" t="str">
        <f t="shared" ref="AG534:AG549" si="213">IF(TRIM(Q534)="Adresse PC","▼ recette suivante",IF(AO534&gt;0,M534,""))</f>
        <v/>
      </c>
      <c r="AH534" s="6732" t="str">
        <f t="shared" ref="AH534:AH549" si="214">IF(AF534="A",N534,"")</f>
        <v/>
      </c>
      <c r="AI534" s="6234" t="str">
        <f t="shared" ref="AI534:AI549" si="215">IF(AF534="A",O534,"")</f>
        <v/>
      </c>
      <c r="AJ534" s="6732" t="str">
        <f t="shared" ref="AJ534:AJ549" si="216">IF(AF534="A",U534,"")</f>
        <v/>
      </c>
      <c r="AK534" s="6732">
        <f t="shared" ref="AK534:AK549" si="217">IF(AND(L534="A",COUNTIF($BJ$15:$BL$62,TRIM(U534))&gt;0),1,0)</f>
        <v>0</v>
      </c>
      <c r="AL534" s="6230" t="str" cm="1">
        <f t="array" ref="AL534">IF(AF534&lt;&gt;"A","",IFERROR((IFERROR(_xlfn.XLOOKUP(TRIM(SUBSTITUTE(U534,CHAR(160)," ")),$BJ$15:$BJ$62,$BM$15:$BM$62),IFERROR(_xlfn.XLOOKUP(TRIM(SUBSTITUTE(U534,CHAR(160)," ")),$BK$15:$BK$62,$BM$15:$BM$62),_xlfn.XLOOKUP(TRIM(SUBSTITUTE(U534,CHAR(160)," ")),$BL$15:$BL$62,$BM$15:$BM$62))))*T534*IF(ISBLANK(Q534),1,Q534)+IFERROR(_xlfn.XLOOKUP("RECHERCHEX",TRIM(L534:AD534),L534:AD534),0),0))</f>
        <v/>
      </c>
      <c r="AM534" s="6229">
        <f t="shared" ref="AM534:AM549" si="218">IF(AK534,IF(AL534&gt;0,"Kg",0),0)</f>
        <v>0</v>
      </c>
      <c r="AN534" s="6857" t="str">
        <f t="shared" si="210"/>
        <v/>
      </c>
      <c r="AO534" s="392">
        <f t="shared" ref="AO534:AO543" si="219">IF(AK534,N534,0)</f>
        <v>0</v>
      </c>
      <c r="AP534" s="392">
        <f t="shared" ref="AP534:AP549" si="220">IF(AK534,O534,0)</f>
        <v>0</v>
      </c>
      <c r="AQ534" s="6190">
        <f t="shared" ref="AQ534:AQ549" si="221">IF(AO534&gt;0,AS$9,0)</f>
        <v>0</v>
      </c>
      <c r="AR534" s="6858" t="str">
        <f t="shared" ref="AR534:AR549" si="222">IF(TRIM(AG534)="▼ recette suivante", AG534, IF(AQ534&gt;0, IF(AT$9&lt;&gt;"", AT$9&amp;"-ou.or.o ❾ + or - &gt;", ""), ""))</f>
        <v/>
      </c>
      <c r="AS534" s="6217"/>
      <c r="AT534" s="6217"/>
      <c r="AU534" s="6271">
        <f t="shared" ref="AU534:AU549" si="223">IF(TRIM(AM534)="Kg",N(AL534)*N(BH534),0)</f>
        <v>0</v>
      </c>
      <c r="AV534" s="6242">
        <f t="shared" ref="AV534:AV549" si="224">IF(AK534,IF(OR(AU534="",N(AU534)&lt;=0.000000001),"",_xlfn.XLOOKUP(AJ534,$BJ$15:$BJ$62,$BN$15:$BN$62,_xlfn.XLOOKUP(AJ534,$BK$15:$BK$62,$BN$15:$BN$62,_xlfn.XLOOKUP(AJ534,$BL$15:$BL$62,$BN$15:$BN$62,"")))),0)</f>
        <v>0</v>
      </c>
      <c r="AW534" s="6188" cm="1">
        <f t="array" ref="AW534">IF(AK534&lt;&gt;1,0,IF(OR(AU534="",N(AU534)&lt;=0.000000001),"",IF(OR(AO534="",N(AO534)&lt;=0.000000001),0,IF(ISNUMBER(AU534),IFERROR(_xlfn.LET(_xlpm.ai_test,TRIM(AJ534),_xlpm.r,IFERROR(_xlfn.XLOOKUP(_xlpm.ai_test,$BJ$15:$BJ$62,ROW($BJ$15:$BJ$62),0,1),IFERROR(_xlfn.XLOOKUP(_xlpm.ai_test,$BK$15:$BK$62,ROW($BK$15:$BK$62),0,1),_xlfn.XLOOKUP(_xlpm.ai_test,$BL$15:$BL$62,ROW($BL$15:$BL$62),0,1))),_xlpm.p,_xlpm.r-MIN(ROW($BJ$15:$BJ$62))+1,_xlpm.f,INDEX($BM$15:$BM$62,_xlpm.p),_xlpm.u,INDEX($BN$15:$BN$62,_xlpm.p),_xlpm.s,INDEX($BP$15:$BP$62,_xlpm.p),_xlpm.q,N(AU534)/_xlpm.f,IF(_xlpm.q&gt;=_xlpm.s,ROUND(_xlpm.q,1)&amp;" "&amp;_xlpm.ai_test&amp;" = "&amp;ROUND(_xlpm.q*_xlpm.f,1)&amp;" "&amp;_xlpm.u,ROUND(_xlpm.q,1)&amp;" "&amp;_xlpm.ai_test)),""),""))))</f>
        <v>0</v>
      </c>
      <c r="AX534" s="6218"/>
      <c r="AY534" s="6271">
        <f t="shared" ref="AY534:AY549" si="225">IF(TRIM(AG534)="▼ recette suivante","▼next recipe ",IF(AU534="","",IF(ISBLANK(AX534),AU534,ROUND(AU534*(1-MIN(1,MAX(0,IF(AX534&gt;1,AX534/100,AX534)))),3))))</f>
        <v>0</v>
      </c>
      <c r="AZ534" s="6242" t="str">
        <f t="shared" ref="AZ534:AZ549" si="226">IF(AK534,AV534,"")</f>
        <v/>
      </c>
      <c r="BA534" s="6194">
        <f t="shared" si="208"/>
        <v>0</v>
      </c>
      <c r="BB534" s="6192" t="str">
        <f t="shared" ref="BB534:BB549" si="227">IF(AK534,IF(N(BA534)&gt;0.000000001,R534,""),"")</f>
        <v/>
      </c>
      <c r="BC534" s="6219"/>
      <c r="BD534" s="6221">
        <f t="shared" si="209"/>
        <v>0</v>
      </c>
      <c r="BE534" s="6220" t="str">
        <f t="shared" ref="BE534:BE549" si="228">IF(IFERROR(SEARCH("Adresse PC",TRIM(Q534)),0)&gt;0,"▼ receta siguiente",IF(AY534&gt;0,W534,""))</f>
        <v/>
      </c>
      <c r="BF534" s="4" t="s">
        <v>1</v>
      </c>
      <c r="BG534" s="6196">
        <f t="shared" ref="BG534:BG549" si="229">IFERROR(_xlfn.LET(_xlpm.EPS,0.000000001,_xlpm.b,Q534/AO534,IF(ISNUMBER(AS534),_xlpm.b*AS534,IF(OR(ISBLANK(AS534),AS534=""),_xlpm.b*AQ534,IF(AND(BH534=0,ISNUMBER(Q534)),_xlpm.b/AQ534,0)))),0)</f>
        <v>0</v>
      </c>
      <c r="BH534" s="6197">
        <f t="shared" ref="BH534:BH549" si="230">IF(AL534&gt;0,IFERROR(IF(OR(ISBLANK(AS534),AS534=""),AQ534,AS534)/AO534,0),0)</f>
        <v>0</v>
      </c>
      <c r="BI534"/>
      <c r="BJ534" s="1"/>
      <c r="BK534" s="1"/>
      <c r="BL534" s="1"/>
      <c r="BM534" s="1"/>
      <c r="BN534" s="1"/>
      <c r="BO534" s="1"/>
      <c r="BP534" s="1"/>
      <c r="BQ534" s="1"/>
      <c r="BX534" s="20" t="str">
        <f t="shared" si="211"/>
        <v>►</v>
      </c>
      <c r="BY534" s="2"/>
      <c r="BZ534" s="2"/>
      <c r="CA534" s="2"/>
      <c r="CB534" s="2"/>
      <c r="CC534" s="2"/>
      <c r="DC534" s="5">
        <v>1</v>
      </c>
    </row>
    <row r="535" spans="12:107" ht="21" customHeight="1">
      <c r="L535" s="1021" t="s">
        <v>26</v>
      </c>
      <c r="M535" s="6787"/>
      <c r="N535" s="6787"/>
      <c r="O535" s="6787"/>
      <c r="P535" s="6788"/>
      <c r="Q535" s="6789"/>
      <c r="R535" s="6790"/>
      <c r="S535" s="6786"/>
      <c r="T535" s="6791"/>
      <c r="U535" s="6844"/>
      <c r="V535" s="6791"/>
      <c r="W535" s="8487"/>
      <c r="X535" s="6871"/>
      <c r="Y535" s="6793"/>
      <c r="Z535" s="6794"/>
      <c r="AA535" s="6795"/>
      <c r="AB535" s="6796"/>
      <c r="AC535" s="6797"/>
      <c r="AD535" s="6798"/>
      <c r="AE535" s="4" t="s">
        <v>1</v>
      </c>
      <c r="AF535" s="6202" t="str">
        <f t="shared" si="212"/>
        <v>►</v>
      </c>
      <c r="AG535" s="6234" t="str">
        <f t="shared" si="213"/>
        <v/>
      </c>
      <c r="AH535" s="6732" t="str">
        <f t="shared" si="214"/>
        <v/>
      </c>
      <c r="AI535" s="6234" t="str">
        <f t="shared" si="215"/>
        <v/>
      </c>
      <c r="AJ535" s="6732" t="str">
        <f t="shared" si="216"/>
        <v/>
      </c>
      <c r="AK535" s="6732">
        <f t="shared" si="217"/>
        <v>0</v>
      </c>
      <c r="AL535" s="6230" t="str" cm="1">
        <f t="array" ref="AL535">IF(AF535&lt;&gt;"A","",IFERROR((IFERROR(_xlfn.XLOOKUP(TRIM(SUBSTITUTE(U535,CHAR(160)," ")),$BJ$15:$BJ$62,$BM$15:$BM$62),IFERROR(_xlfn.XLOOKUP(TRIM(SUBSTITUTE(U535,CHAR(160)," ")),$BK$15:$BK$62,$BM$15:$BM$62),_xlfn.XLOOKUP(TRIM(SUBSTITUTE(U535,CHAR(160)," ")),$BL$15:$BL$62,$BM$15:$BM$62))))*T535*IF(ISBLANK(Q535),1,Q535)+IFERROR(_xlfn.XLOOKUP("RECHERCHEX",TRIM(L535:AD535),L535:AD535),0),0))</f>
        <v/>
      </c>
      <c r="AM535" s="6229">
        <f t="shared" si="218"/>
        <v>0</v>
      </c>
      <c r="AN535" s="6857" t="str">
        <f t="shared" si="210"/>
        <v/>
      </c>
      <c r="AO535" s="392">
        <f t="shared" si="219"/>
        <v>0</v>
      </c>
      <c r="AP535" s="392">
        <f t="shared" si="220"/>
        <v>0</v>
      </c>
      <c r="AQ535" s="6191">
        <f t="shared" si="221"/>
        <v>0</v>
      </c>
      <c r="AR535" s="6859" t="str">
        <f t="shared" si="222"/>
        <v/>
      </c>
      <c r="AS535" s="6217"/>
      <c r="AT535" s="6217"/>
      <c r="AU535" s="6272">
        <f t="shared" si="223"/>
        <v>0</v>
      </c>
      <c r="AV535" s="6240">
        <f t="shared" si="224"/>
        <v>0</v>
      </c>
      <c r="AW535" s="6189" cm="1">
        <f t="array" ref="AW535">IF(AK535&lt;&gt;1,0,IF(OR(AU535="",N(AU535)&lt;=0.000000001),"",IF(OR(AO535="",N(AO535)&lt;=0.000000001),0,IF(ISNUMBER(AU535),IFERROR(_xlfn.LET(_xlpm.ai_test,TRIM(AJ535),_xlpm.r,IFERROR(_xlfn.XLOOKUP(_xlpm.ai_test,$BJ$15:$BJ$62,ROW($BJ$15:$BJ$62),0,1),IFERROR(_xlfn.XLOOKUP(_xlpm.ai_test,$BK$15:$BK$62,ROW($BK$15:$BK$62),0,1),_xlfn.XLOOKUP(_xlpm.ai_test,$BL$15:$BL$62,ROW($BL$15:$BL$62),0,1))),_xlpm.p,_xlpm.r-MIN(ROW($BJ$15:$BJ$62))+1,_xlpm.f,INDEX($BM$15:$BM$62,_xlpm.p),_xlpm.u,INDEX($BN$15:$BN$62,_xlpm.p),_xlpm.s,INDEX($BP$15:$BP$62,_xlpm.p),_xlpm.q,N(AU535)/_xlpm.f,IF(_xlpm.q&gt;=_xlpm.s,ROUND(_xlpm.q,1)&amp;" "&amp;_xlpm.ai_test&amp;" = "&amp;ROUND(_xlpm.q*_xlpm.f,1)&amp;" "&amp;_xlpm.u,ROUND(_xlpm.q,1)&amp;" "&amp;_xlpm.ai_test)),""),""))))</f>
        <v>0</v>
      </c>
      <c r="AX535" s="6218"/>
      <c r="AY535" s="6272">
        <f t="shared" si="225"/>
        <v>0</v>
      </c>
      <c r="AZ535" s="6240" t="str">
        <f t="shared" si="226"/>
        <v/>
      </c>
      <c r="BA535" s="6195">
        <f t="shared" ref="BA535:BA549" si="231">IF(ISNUMBER(BG535),IF(ABS(BG535)&lt;=0.000000001,0,BG535),0)</f>
        <v>0</v>
      </c>
      <c r="BB535" s="6193" t="str">
        <f t="shared" si="227"/>
        <v/>
      </c>
      <c r="BC535" s="6219"/>
      <c r="BD535" s="6222">
        <f t="shared" si="209"/>
        <v>0</v>
      </c>
      <c r="BE535" s="6220" t="str">
        <f t="shared" si="228"/>
        <v/>
      </c>
      <c r="BF535" s="4" t="s">
        <v>1</v>
      </c>
      <c r="BG535" s="6196">
        <f t="shared" si="229"/>
        <v>0</v>
      </c>
      <c r="BH535" s="6197">
        <f t="shared" si="230"/>
        <v>0</v>
      </c>
      <c r="BI535"/>
      <c r="BJ535" s="1"/>
      <c r="BK535" s="1"/>
      <c r="BL535" s="1"/>
      <c r="BM535" s="1"/>
      <c r="BN535" s="1"/>
      <c r="BO535" s="1"/>
      <c r="BP535" s="1"/>
      <c r="BQ535" s="1"/>
      <c r="BX535" s="20" t="str">
        <f t="shared" si="211"/>
        <v>►</v>
      </c>
      <c r="BY535" s="2"/>
      <c r="BZ535" s="2"/>
      <c r="CA535" s="2"/>
      <c r="CB535" s="2"/>
      <c r="CC535" s="2"/>
      <c r="DC535" s="5">
        <v>1</v>
      </c>
    </row>
    <row r="536" spans="12:107" ht="21" customHeight="1">
      <c r="L536" s="1021" t="s">
        <v>26</v>
      </c>
      <c r="M536" s="6787"/>
      <c r="N536" s="6787"/>
      <c r="O536" s="6787"/>
      <c r="P536" s="6788"/>
      <c r="Q536" s="6789"/>
      <c r="R536" s="6790"/>
      <c r="S536" s="6786"/>
      <c r="T536" s="6791"/>
      <c r="U536" s="6844"/>
      <c r="V536" s="6791"/>
      <c r="W536" s="8487"/>
      <c r="X536" s="6871"/>
      <c r="Y536" s="6793"/>
      <c r="Z536" s="6794"/>
      <c r="AA536" s="6795"/>
      <c r="AB536" s="6796"/>
      <c r="AC536" s="6797"/>
      <c r="AD536" s="6798"/>
      <c r="AE536" s="4" t="s">
        <v>1</v>
      </c>
      <c r="AF536" s="6202" t="str">
        <f t="shared" si="212"/>
        <v>►</v>
      </c>
      <c r="AG536" s="6234" t="str">
        <f t="shared" si="213"/>
        <v/>
      </c>
      <c r="AH536" s="6732" t="str">
        <f t="shared" si="214"/>
        <v/>
      </c>
      <c r="AI536" s="6234" t="str">
        <f t="shared" si="215"/>
        <v/>
      </c>
      <c r="AJ536" s="6732" t="str">
        <f t="shared" si="216"/>
        <v/>
      </c>
      <c r="AK536" s="6732">
        <f t="shared" si="217"/>
        <v>0</v>
      </c>
      <c r="AL536" s="6230" t="str" cm="1">
        <f t="array" ref="AL536">IF(AF536&lt;&gt;"A","",IFERROR((IFERROR(_xlfn.XLOOKUP(TRIM(SUBSTITUTE(U536,CHAR(160)," ")),$BJ$15:$BJ$62,$BM$15:$BM$62),IFERROR(_xlfn.XLOOKUP(TRIM(SUBSTITUTE(U536,CHAR(160)," ")),$BK$15:$BK$62,$BM$15:$BM$62),_xlfn.XLOOKUP(TRIM(SUBSTITUTE(U536,CHAR(160)," ")),$BL$15:$BL$62,$BM$15:$BM$62))))*T536*IF(ISBLANK(Q536),1,Q536)+IFERROR(_xlfn.XLOOKUP("RECHERCHEX",TRIM(L536:AD536),L536:AD536),0),0))</f>
        <v/>
      </c>
      <c r="AM536" s="6229">
        <f t="shared" si="218"/>
        <v>0</v>
      </c>
      <c r="AN536" s="6857" t="str">
        <f t="shared" si="210"/>
        <v/>
      </c>
      <c r="AO536" s="392">
        <f t="shared" si="219"/>
        <v>0</v>
      </c>
      <c r="AP536" s="392">
        <f t="shared" si="220"/>
        <v>0</v>
      </c>
      <c r="AQ536" s="6190">
        <f t="shared" si="221"/>
        <v>0</v>
      </c>
      <c r="AR536" s="6858" t="str">
        <f t="shared" si="222"/>
        <v/>
      </c>
      <c r="AS536" s="6217"/>
      <c r="AT536" s="6217"/>
      <c r="AU536" s="6271">
        <f t="shared" si="223"/>
        <v>0</v>
      </c>
      <c r="AV536" s="6242">
        <f t="shared" si="224"/>
        <v>0</v>
      </c>
      <c r="AW536" s="6188" cm="1">
        <f t="array" ref="AW536">IF(AK536&lt;&gt;1,0,IF(OR(AU536="",N(AU536)&lt;=0.000000001),"",IF(OR(AO536="",N(AO536)&lt;=0.000000001),0,IF(ISNUMBER(AU536),IFERROR(_xlfn.LET(_xlpm.ai_test,TRIM(AJ536),_xlpm.r,IFERROR(_xlfn.XLOOKUP(_xlpm.ai_test,$BJ$15:$BJ$62,ROW($BJ$15:$BJ$62),0,1),IFERROR(_xlfn.XLOOKUP(_xlpm.ai_test,$BK$15:$BK$62,ROW($BK$15:$BK$62),0,1),_xlfn.XLOOKUP(_xlpm.ai_test,$BL$15:$BL$62,ROW($BL$15:$BL$62),0,1))),_xlpm.p,_xlpm.r-MIN(ROW($BJ$15:$BJ$62))+1,_xlpm.f,INDEX($BM$15:$BM$62,_xlpm.p),_xlpm.u,INDEX($BN$15:$BN$62,_xlpm.p),_xlpm.s,INDEX($BP$15:$BP$62,_xlpm.p),_xlpm.q,N(AU536)/_xlpm.f,IF(_xlpm.q&gt;=_xlpm.s,ROUND(_xlpm.q,1)&amp;" "&amp;_xlpm.ai_test&amp;" = "&amp;ROUND(_xlpm.q*_xlpm.f,1)&amp;" "&amp;_xlpm.u,ROUND(_xlpm.q,1)&amp;" "&amp;_xlpm.ai_test)),""),""))))</f>
        <v>0</v>
      </c>
      <c r="AX536" s="6218"/>
      <c r="AY536" s="6271">
        <f t="shared" si="225"/>
        <v>0</v>
      </c>
      <c r="AZ536" s="6242" t="str">
        <f t="shared" si="226"/>
        <v/>
      </c>
      <c r="BA536" s="6194">
        <f t="shared" si="231"/>
        <v>0</v>
      </c>
      <c r="BB536" s="6192" t="str">
        <f t="shared" si="227"/>
        <v/>
      </c>
      <c r="BC536" s="6219"/>
      <c r="BD536" s="6221">
        <f t="shared" si="209"/>
        <v>0</v>
      </c>
      <c r="BE536" s="6220" t="str">
        <f t="shared" si="228"/>
        <v/>
      </c>
      <c r="BF536" s="4" t="s">
        <v>1</v>
      </c>
      <c r="BG536" s="6196">
        <f t="shared" si="229"/>
        <v>0</v>
      </c>
      <c r="BH536" s="6197">
        <f t="shared" si="230"/>
        <v>0</v>
      </c>
      <c r="BI536"/>
      <c r="BJ536" s="1"/>
      <c r="BK536" s="1"/>
      <c r="BL536" s="1"/>
      <c r="BM536" s="1"/>
      <c r="BN536" s="1"/>
      <c r="BO536" s="1"/>
      <c r="BP536" s="1"/>
      <c r="BQ536" s="1"/>
      <c r="BX536" s="20" t="str">
        <f t="shared" si="211"/>
        <v>►</v>
      </c>
      <c r="BY536" s="2"/>
      <c r="BZ536" s="2"/>
      <c r="CA536" s="2"/>
      <c r="CB536" s="2"/>
      <c r="CC536" s="2"/>
      <c r="DC536" s="5">
        <v>1</v>
      </c>
    </row>
    <row r="537" spans="12:107" ht="21" customHeight="1">
      <c r="L537" s="1021" t="s">
        <v>26</v>
      </c>
      <c r="M537" s="6787"/>
      <c r="N537" s="6787"/>
      <c r="O537" s="6787"/>
      <c r="P537" s="6788"/>
      <c r="Q537" s="6789"/>
      <c r="R537" s="6790"/>
      <c r="S537" s="6786"/>
      <c r="T537" s="6791"/>
      <c r="U537" s="6844"/>
      <c r="V537" s="6791"/>
      <c r="W537" s="8487"/>
      <c r="X537" s="6871"/>
      <c r="Y537" s="6793"/>
      <c r="Z537" s="6794"/>
      <c r="AA537" s="6795"/>
      <c r="AB537" s="6796"/>
      <c r="AC537" s="6797"/>
      <c r="AD537" s="6798"/>
      <c r="AE537" s="4" t="s">
        <v>1</v>
      </c>
      <c r="AF537" s="6202" t="str">
        <f t="shared" si="212"/>
        <v>►</v>
      </c>
      <c r="AG537" s="6234" t="str">
        <f t="shared" si="213"/>
        <v/>
      </c>
      <c r="AH537" s="6732" t="str">
        <f t="shared" si="214"/>
        <v/>
      </c>
      <c r="AI537" s="6234" t="str">
        <f t="shared" si="215"/>
        <v/>
      </c>
      <c r="AJ537" s="6732" t="str">
        <f t="shared" si="216"/>
        <v/>
      </c>
      <c r="AK537" s="6732">
        <f t="shared" si="217"/>
        <v>0</v>
      </c>
      <c r="AL537" s="6230" t="str" cm="1">
        <f t="array" ref="AL537">IF(AF537&lt;&gt;"A","",IFERROR((IFERROR(_xlfn.XLOOKUP(TRIM(SUBSTITUTE(U537,CHAR(160)," ")),$BJ$15:$BJ$62,$BM$15:$BM$62),IFERROR(_xlfn.XLOOKUP(TRIM(SUBSTITUTE(U537,CHAR(160)," ")),$BK$15:$BK$62,$BM$15:$BM$62),_xlfn.XLOOKUP(TRIM(SUBSTITUTE(U537,CHAR(160)," ")),$BL$15:$BL$62,$BM$15:$BM$62))))*T537*IF(ISBLANK(Q537),1,Q537)+IFERROR(_xlfn.XLOOKUP("RECHERCHEX",TRIM(L537:AD537),L537:AD537),0),0))</f>
        <v/>
      </c>
      <c r="AM537" s="6229">
        <f t="shared" si="218"/>
        <v>0</v>
      </c>
      <c r="AN537" s="6857" t="str">
        <f t="shared" si="210"/>
        <v/>
      </c>
      <c r="AO537" s="392">
        <f t="shared" si="219"/>
        <v>0</v>
      </c>
      <c r="AP537" s="392">
        <f t="shared" si="220"/>
        <v>0</v>
      </c>
      <c r="AQ537" s="6191">
        <f t="shared" si="221"/>
        <v>0</v>
      </c>
      <c r="AR537" s="6859" t="str">
        <f t="shared" si="222"/>
        <v/>
      </c>
      <c r="AS537" s="6217"/>
      <c r="AT537" s="6217"/>
      <c r="AU537" s="6272">
        <f t="shared" si="223"/>
        <v>0</v>
      </c>
      <c r="AV537" s="6240">
        <f t="shared" si="224"/>
        <v>0</v>
      </c>
      <c r="AW537" s="6189" cm="1">
        <f t="array" ref="AW537">IF(AK537&lt;&gt;1,0,IF(OR(AU537="",N(AU537)&lt;=0.000000001),"",IF(OR(AO537="",N(AO537)&lt;=0.000000001),0,IF(ISNUMBER(AU537),IFERROR(_xlfn.LET(_xlpm.ai_test,TRIM(AJ537),_xlpm.r,IFERROR(_xlfn.XLOOKUP(_xlpm.ai_test,$BJ$15:$BJ$62,ROW($BJ$15:$BJ$62),0,1),IFERROR(_xlfn.XLOOKUP(_xlpm.ai_test,$BK$15:$BK$62,ROW($BK$15:$BK$62),0,1),_xlfn.XLOOKUP(_xlpm.ai_test,$BL$15:$BL$62,ROW($BL$15:$BL$62),0,1))),_xlpm.p,_xlpm.r-MIN(ROW($BJ$15:$BJ$62))+1,_xlpm.f,INDEX($BM$15:$BM$62,_xlpm.p),_xlpm.u,INDEX($BN$15:$BN$62,_xlpm.p),_xlpm.s,INDEX($BP$15:$BP$62,_xlpm.p),_xlpm.q,N(AU537)/_xlpm.f,IF(_xlpm.q&gt;=_xlpm.s,ROUND(_xlpm.q,1)&amp;" "&amp;_xlpm.ai_test&amp;" = "&amp;ROUND(_xlpm.q*_xlpm.f,1)&amp;" "&amp;_xlpm.u,ROUND(_xlpm.q,1)&amp;" "&amp;_xlpm.ai_test)),""),""))))</f>
        <v>0</v>
      </c>
      <c r="AX537" s="6218"/>
      <c r="AY537" s="6272">
        <f t="shared" si="225"/>
        <v>0</v>
      </c>
      <c r="AZ537" s="6240" t="str">
        <f t="shared" si="226"/>
        <v/>
      </c>
      <c r="BA537" s="6195">
        <f t="shared" si="231"/>
        <v>0</v>
      </c>
      <c r="BB537" s="6193" t="str">
        <f t="shared" si="227"/>
        <v/>
      </c>
      <c r="BC537" s="6219"/>
      <c r="BD537" s="6222">
        <f t="shared" si="209"/>
        <v>0</v>
      </c>
      <c r="BE537" s="6220" t="str">
        <f t="shared" si="228"/>
        <v/>
      </c>
      <c r="BF537" s="4" t="s">
        <v>1</v>
      </c>
      <c r="BG537" s="6196">
        <f t="shared" si="229"/>
        <v>0</v>
      </c>
      <c r="BH537" s="6197">
        <f t="shared" si="230"/>
        <v>0</v>
      </c>
      <c r="BI537"/>
      <c r="BJ537" s="1"/>
      <c r="BK537" s="1"/>
      <c r="BL537" s="1"/>
      <c r="BM537" s="1"/>
      <c r="BN537" s="1"/>
      <c r="BO537" s="1"/>
      <c r="BP537" s="1"/>
      <c r="BQ537" s="1"/>
      <c r="BX537" s="20" t="str">
        <f t="shared" si="211"/>
        <v>►</v>
      </c>
      <c r="BY537" s="2"/>
      <c r="BZ537" s="2"/>
      <c r="CA537" s="2"/>
      <c r="CB537" s="2"/>
      <c r="CC537" s="2"/>
      <c r="DC537" s="5">
        <v>1</v>
      </c>
    </row>
    <row r="538" spans="12:107" ht="21" customHeight="1">
      <c r="L538" s="1021" t="s">
        <v>26</v>
      </c>
      <c r="M538" s="6787"/>
      <c r="N538" s="6787"/>
      <c r="O538" s="6787"/>
      <c r="P538" s="6788"/>
      <c r="Q538" s="6789"/>
      <c r="R538" s="6790"/>
      <c r="S538" s="6786"/>
      <c r="T538" s="6791"/>
      <c r="U538" s="6844"/>
      <c r="V538" s="6791"/>
      <c r="W538" s="8487"/>
      <c r="X538" s="6871"/>
      <c r="Y538" s="6793"/>
      <c r="Z538" s="6794"/>
      <c r="AA538" s="6795"/>
      <c r="AB538" s="6796"/>
      <c r="AC538" s="6797"/>
      <c r="AD538" s="6798"/>
      <c r="AE538" s="4" t="s">
        <v>1</v>
      </c>
      <c r="AF538" s="6202" t="str">
        <f t="shared" si="212"/>
        <v>►</v>
      </c>
      <c r="AG538" s="6234" t="str">
        <f t="shared" si="213"/>
        <v/>
      </c>
      <c r="AH538" s="6732" t="str">
        <f t="shared" si="214"/>
        <v/>
      </c>
      <c r="AI538" s="6234" t="str">
        <f t="shared" si="215"/>
        <v/>
      </c>
      <c r="AJ538" s="6732" t="str">
        <f t="shared" si="216"/>
        <v/>
      </c>
      <c r="AK538" s="6732">
        <f t="shared" si="217"/>
        <v>0</v>
      </c>
      <c r="AL538" s="6230" t="str" cm="1">
        <f t="array" ref="AL538">IF(AF538&lt;&gt;"A","",IFERROR((IFERROR(_xlfn.XLOOKUP(TRIM(SUBSTITUTE(U538,CHAR(160)," ")),$BJ$15:$BJ$62,$BM$15:$BM$62),IFERROR(_xlfn.XLOOKUP(TRIM(SUBSTITUTE(U538,CHAR(160)," ")),$BK$15:$BK$62,$BM$15:$BM$62),_xlfn.XLOOKUP(TRIM(SUBSTITUTE(U538,CHAR(160)," ")),$BL$15:$BL$62,$BM$15:$BM$62))))*T538*IF(ISBLANK(Q538),1,Q538)+IFERROR(_xlfn.XLOOKUP("RECHERCHEX",TRIM(L538:AD538),L538:AD538),0),0))</f>
        <v/>
      </c>
      <c r="AM538" s="6229">
        <f t="shared" si="218"/>
        <v>0</v>
      </c>
      <c r="AN538" s="6857" t="str">
        <f t="shared" si="210"/>
        <v/>
      </c>
      <c r="AO538" s="392">
        <f t="shared" si="219"/>
        <v>0</v>
      </c>
      <c r="AP538" s="392">
        <f t="shared" si="220"/>
        <v>0</v>
      </c>
      <c r="AQ538" s="6190">
        <f t="shared" si="221"/>
        <v>0</v>
      </c>
      <c r="AR538" s="6858" t="str">
        <f t="shared" si="222"/>
        <v/>
      </c>
      <c r="AS538" s="6217"/>
      <c r="AT538" s="6217"/>
      <c r="AU538" s="6271">
        <f t="shared" si="223"/>
        <v>0</v>
      </c>
      <c r="AV538" s="6242">
        <f t="shared" si="224"/>
        <v>0</v>
      </c>
      <c r="AW538" s="6188" cm="1">
        <f t="array" ref="AW538">IF(AK538&lt;&gt;1,0,IF(OR(AU538="",N(AU538)&lt;=0.000000001),"",IF(OR(AO538="",N(AO538)&lt;=0.000000001),0,IF(ISNUMBER(AU538),IFERROR(_xlfn.LET(_xlpm.ai_test,TRIM(AJ538),_xlpm.r,IFERROR(_xlfn.XLOOKUP(_xlpm.ai_test,$BJ$15:$BJ$62,ROW($BJ$15:$BJ$62),0,1),IFERROR(_xlfn.XLOOKUP(_xlpm.ai_test,$BK$15:$BK$62,ROW($BK$15:$BK$62),0,1),_xlfn.XLOOKUP(_xlpm.ai_test,$BL$15:$BL$62,ROW($BL$15:$BL$62),0,1))),_xlpm.p,_xlpm.r-MIN(ROW($BJ$15:$BJ$62))+1,_xlpm.f,INDEX($BM$15:$BM$62,_xlpm.p),_xlpm.u,INDEX($BN$15:$BN$62,_xlpm.p),_xlpm.s,INDEX($BP$15:$BP$62,_xlpm.p),_xlpm.q,N(AU538)/_xlpm.f,IF(_xlpm.q&gt;=_xlpm.s,ROUND(_xlpm.q,1)&amp;" "&amp;_xlpm.ai_test&amp;" = "&amp;ROUND(_xlpm.q*_xlpm.f,1)&amp;" "&amp;_xlpm.u,ROUND(_xlpm.q,1)&amp;" "&amp;_xlpm.ai_test)),""),""))))</f>
        <v>0</v>
      </c>
      <c r="AX538" s="6218"/>
      <c r="AY538" s="6271">
        <f t="shared" si="225"/>
        <v>0</v>
      </c>
      <c r="AZ538" s="6242" t="str">
        <f t="shared" si="226"/>
        <v/>
      </c>
      <c r="BA538" s="6194">
        <f t="shared" si="231"/>
        <v>0</v>
      </c>
      <c r="BB538" s="6192" t="str">
        <f t="shared" si="227"/>
        <v/>
      </c>
      <c r="BC538" s="6219"/>
      <c r="BD538" s="6221">
        <f t="shared" si="209"/>
        <v>0</v>
      </c>
      <c r="BE538" s="6220" t="str">
        <f t="shared" si="228"/>
        <v/>
      </c>
      <c r="BF538" s="4" t="s">
        <v>1</v>
      </c>
      <c r="BG538" s="6196">
        <f t="shared" si="229"/>
        <v>0</v>
      </c>
      <c r="BH538" s="6197">
        <f t="shared" si="230"/>
        <v>0</v>
      </c>
      <c r="BI538"/>
      <c r="BJ538" s="1"/>
      <c r="BK538" s="1"/>
      <c r="BL538" s="1"/>
      <c r="BM538" s="1"/>
      <c r="BN538" s="1"/>
      <c r="BO538" s="1"/>
      <c r="BP538" s="1"/>
      <c r="BQ538" s="1"/>
      <c r="BX538" s="20" t="str">
        <f t="shared" si="211"/>
        <v>►</v>
      </c>
      <c r="BY538" s="2"/>
      <c r="BZ538" s="2"/>
      <c r="CA538" s="2"/>
      <c r="CB538" s="2"/>
      <c r="CC538" s="2"/>
      <c r="DC538" s="5">
        <v>1</v>
      </c>
    </row>
    <row r="539" spans="12:107" ht="21" customHeight="1">
      <c r="L539" s="1021" t="s">
        <v>26</v>
      </c>
      <c r="M539" s="6787"/>
      <c r="N539" s="6787"/>
      <c r="O539" s="6787"/>
      <c r="P539" s="6788"/>
      <c r="Q539" s="6789"/>
      <c r="R539" s="6790"/>
      <c r="S539" s="6786"/>
      <c r="T539" s="6791"/>
      <c r="U539" s="6844"/>
      <c r="V539" s="6791"/>
      <c r="W539" s="8487"/>
      <c r="X539" s="6871"/>
      <c r="Y539" s="6793"/>
      <c r="Z539" s="6794"/>
      <c r="AA539" s="6795"/>
      <c r="AB539" s="6796"/>
      <c r="AC539" s="6797"/>
      <c r="AD539" s="6798"/>
      <c r="AE539" s="4" t="s">
        <v>1</v>
      </c>
      <c r="AF539" s="6202" t="str">
        <f t="shared" si="212"/>
        <v>►</v>
      </c>
      <c r="AG539" s="6234" t="str">
        <f t="shared" si="213"/>
        <v/>
      </c>
      <c r="AH539" s="6732" t="str">
        <f t="shared" si="214"/>
        <v/>
      </c>
      <c r="AI539" s="6234" t="str">
        <f t="shared" si="215"/>
        <v/>
      </c>
      <c r="AJ539" s="6732" t="str">
        <f t="shared" si="216"/>
        <v/>
      </c>
      <c r="AK539" s="6732">
        <f t="shared" si="217"/>
        <v>0</v>
      </c>
      <c r="AL539" s="6230" t="str" cm="1">
        <f t="array" ref="AL539">IF(AF539&lt;&gt;"A","",IFERROR((IFERROR(_xlfn.XLOOKUP(TRIM(SUBSTITUTE(U539,CHAR(160)," ")),$BJ$15:$BJ$62,$BM$15:$BM$62),IFERROR(_xlfn.XLOOKUP(TRIM(SUBSTITUTE(U539,CHAR(160)," ")),$BK$15:$BK$62,$BM$15:$BM$62),_xlfn.XLOOKUP(TRIM(SUBSTITUTE(U539,CHAR(160)," ")),$BL$15:$BL$62,$BM$15:$BM$62))))*T539*IF(ISBLANK(Q539),1,Q539)+IFERROR(_xlfn.XLOOKUP("RECHERCHEX",TRIM(L539:AD539),L539:AD539),0),0))</f>
        <v/>
      </c>
      <c r="AM539" s="6229">
        <f t="shared" si="218"/>
        <v>0</v>
      </c>
      <c r="AN539" s="6857" t="str">
        <f t="shared" si="210"/>
        <v/>
      </c>
      <c r="AO539" s="392">
        <f t="shared" si="219"/>
        <v>0</v>
      </c>
      <c r="AP539" s="392">
        <f t="shared" si="220"/>
        <v>0</v>
      </c>
      <c r="AQ539" s="6191">
        <f t="shared" si="221"/>
        <v>0</v>
      </c>
      <c r="AR539" s="6859" t="str">
        <f t="shared" si="222"/>
        <v/>
      </c>
      <c r="AS539" s="6217"/>
      <c r="AT539" s="6217"/>
      <c r="AU539" s="6272">
        <f t="shared" si="223"/>
        <v>0</v>
      </c>
      <c r="AV539" s="6240">
        <f t="shared" si="224"/>
        <v>0</v>
      </c>
      <c r="AW539" s="6189" cm="1">
        <f t="array" ref="AW539">IF(AK539&lt;&gt;1,0,IF(OR(AU539="",N(AU539)&lt;=0.000000001),"",IF(OR(AO539="",N(AO539)&lt;=0.000000001),0,IF(ISNUMBER(AU539),IFERROR(_xlfn.LET(_xlpm.ai_test,TRIM(AJ539),_xlpm.r,IFERROR(_xlfn.XLOOKUP(_xlpm.ai_test,$BJ$15:$BJ$62,ROW($BJ$15:$BJ$62),0,1),IFERROR(_xlfn.XLOOKUP(_xlpm.ai_test,$BK$15:$BK$62,ROW($BK$15:$BK$62),0,1),_xlfn.XLOOKUP(_xlpm.ai_test,$BL$15:$BL$62,ROW($BL$15:$BL$62),0,1))),_xlpm.p,_xlpm.r-MIN(ROW($BJ$15:$BJ$62))+1,_xlpm.f,INDEX($BM$15:$BM$62,_xlpm.p),_xlpm.u,INDEX($BN$15:$BN$62,_xlpm.p),_xlpm.s,INDEX($BP$15:$BP$62,_xlpm.p),_xlpm.q,N(AU539)/_xlpm.f,IF(_xlpm.q&gt;=_xlpm.s,ROUND(_xlpm.q,1)&amp;" "&amp;_xlpm.ai_test&amp;" = "&amp;ROUND(_xlpm.q*_xlpm.f,1)&amp;" "&amp;_xlpm.u,ROUND(_xlpm.q,1)&amp;" "&amp;_xlpm.ai_test)),""),""))))</f>
        <v>0</v>
      </c>
      <c r="AX539" s="6218"/>
      <c r="AY539" s="6272">
        <f t="shared" si="225"/>
        <v>0</v>
      </c>
      <c r="AZ539" s="6240" t="str">
        <f t="shared" si="226"/>
        <v/>
      </c>
      <c r="BA539" s="6195">
        <f t="shared" si="231"/>
        <v>0</v>
      </c>
      <c r="BB539" s="6193" t="str">
        <f t="shared" si="227"/>
        <v/>
      </c>
      <c r="BC539" s="6219"/>
      <c r="BD539" s="6222">
        <f t="shared" ref="BD539:BD549" si="232">IF(OR(AO539=0,ISBLANK(BC539),ISTEXT(BA539)),0,(IF(AU539=0,BA539,AU539)*BC539))</f>
        <v>0</v>
      </c>
      <c r="BE539" s="6220" t="str">
        <f t="shared" si="228"/>
        <v/>
      </c>
      <c r="BF539" s="4" t="s">
        <v>1</v>
      </c>
      <c r="BG539" s="6196">
        <f t="shared" si="229"/>
        <v>0</v>
      </c>
      <c r="BH539" s="6197">
        <f t="shared" si="230"/>
        <v>0</v>
      </c>
      <c r="BI539"/>
      <c r="BJ539" s="1"/>
      <c r="BK539" s="1"/>
      <c r="BL539" s="1"/>
      <c r="BM539" s="1"/>
      <c r="BN539" s="1"/>
      <c r="BO539" s="1"/>
      <c r="BP539" s="1"/>
      <c r="BQ539" s="1"/>
      <c r="BX539" s="20" t="str">
        <f t="shared" si="211"/>
        <v>►</v>
      </c>
      <c r="BY539" s="2"/>
      <c r="BZ539" s="2"/>
      <c r="CA539" s="2"/>
      <c r="CB539" s="2"/>
      <c r="CC539" s="2"/>
      <c r="DC539" s="5">
        <v>1</v>
      </c>
    </row>
    <row r="540" spans="12:107" ht="21" customHeight="1">
      <c r="L540" s="1021" t="s">
        <v>26</v>
      </c>
      <c r="M540" s="6787"/>
      <c r="N540" s="6787"/>
      <c r="O540" s="6787"/>
      <c r="P540" s="6788"/>
      <c r="Q540" s="6789"/>
      <c r="R540" s="6790"/>
      <c r="S540" s="6786"/>
      <c r="T540" s="6791"/>
      <c r="U540" s="6844"/>
      <c r="V540" s="6791"/>
      <c r="W540" s="8487"/>
      <c r="X540" s="6871"/>
      <c r="Y540" s="6793"/>
      <c r="Z540" s="6794"/>
      <c r="AA540" s="6795"/>
      <c r="AB540" s="6796"/>
      <c r="AC540" s="6797"/>
      <c r="AD540" s="6798"/>
      <c r="AE540" s="4" t="s">
        <v>1</v>
      </c>
      <c r="AF540" s="6202" t="str">
        <f t="shared" si="212"/>
        <v>►</v>
      </c>
      <c r="AG540" s="6234" t="str">
        <f t="shared" si="213"/>
        <v/>
      </c>
      <c r="AH540" s="6732" t="str">
        <f t="shared" si="214"/>
        <v/>
      </c>
      <c r="AI540" s="6234" t="str">
        <f t="shared" si="215"/>
        <v/>
      </c>
      <c r="AJ540" s="6732" t="str">
        <f t="shared" si="216"/>
        <v/>
      </c>
      <c r="AK540" s="6732">
        <f t="shared" si="217"/>
        <v>0</v>
      </c>
      <c r="AL540" s="6230" t="str" cm="1">
        <f t="array" ref="AL540">IF(AF540&lt;&gt;"A","",IFERROR((IFERROR(_xlfn.XLOOKUP(TRIM(SUBSTITUTE(U540,CHAR(160)," ")),$BJ$15:$BJ$62,$BM$15:$BM$62),IFERROR(_xlfn.XLOOKUP(TRIM(SUBSTITUTE(U540,CHAR(160)," ")),$BK$15:$BK$62,$BM$15:$BM$62),_xlfn.XLOOKUP(TRIM(SUBSTITUTE(U540,CHAR(160)," ")),$BL$15:$BL$62,$BM$15:$BM$62))))*T540*IF(ISBLANK(Q540),1,Q540)+IFERROR(_xlfn.XLOOKUP("RECHERCHEX",TRIM(L540:AD540),L540:AD540),0),0))</f>
        <v/>
      </c>
      <c r="AM540" s="6229">
        <f t="shared" si="218"/>
        <v>0</v>
      </c>
      <c r="AN540" s="6857" t="str">
        <f t="shared" si="210"/>
        <v/>
      </c>
      <c r="AO540" s="392">
        <f t="shared" si="219"/>
        <v>0</v>
      </c>
      <c r="AP540" s="392">
        <f t="shared" si="220"/>
        <v>0</v>
      </c>
      <c r="AQ540" s="6190">
        <f t="shared" si="221"/>
        <v>0</v>
      </c>
      <c r="AR540" s="6858" t="str">
        <f t="shared" si="222"/>
        <v/>
      </c>
      <c r="AS540" s="6217"/>
      <c r="AT540" s="6217"/>
      <c r="AU540" s="6271">
        <f t="shared" si="223"/>
        <v>0</v>
      </c>
      <c r="AV540" s="6242">
        <f t="shared" si="224"/>
        <v>0</v>
      </c>
      <c r="AW540" s="6188" cm="1">
        <f t="array" ref="AW540">IF(AK540&lt;&gt;1,0,IF(OR(AU540="",N(AU540)&lt;=0.000000001),"",IF(OR(AO540="",N(AO540)&lt;=0.000000001),0,IF(ISNUMBER(AU540),IFERROR(_xlfn.LET(_xlpm.ai_test,TRIM(AJ540),_xlpm.r,IFERROR(_xlfn.XLOOKUP(_xlpm.ai_test,$BJ$15:$BJ$62,ROW($BJ$15:$BJ$62),0,1),IFERROR(_xlfn.XLOOKUP(_xlpm.ai_test,$BK$15:$BK$62,ROW($BK$15:$BK$62),0,1),_xlfn.XLOOKUP(_xlpm.ai_test,$BL$15:$BL$62,ROW($BL$15:$BL$62),0,1))),_xlpm.p,_xlpm.r-MIN(ROW($BJ$15:$BJ$62))+1,_xlpm.f,INDEX($BM$15:$BM$62,_xlpm.p),_xlpm.u,INDEX($BN$15:$BN$62,_xlpm.p),_xlpm.s,INDEX($BP$15:$BP$62,_xlpm.p),_xlpm.q,N(AU540)/_xlpm.f,IF(_xlpm.q&gt;=_xlpm.s,ROUND(_xlpm.q,1)&amp;" "&amp;_xlpm.ai_test&amp;" = "&amp;ROUND(_xlpm.q*_xlpm.f,1)&amp;" "&amp;_xlpm.u,ROUND(_xlpm.q,1)&amp;" "&amp;_xlpm.ai_test)),""),""))))</f>
        <v>0</v>
      </c>
      <c r="AX540" s="6218"/>
      <c r="AY540" s="6271">
        <f t="shared" si="225"/>
        <v>0</v>
      </c>
      <c r="AZ540" s="6242" t="str">
        <f t="shared" si="226"/>
        <v/>
      </c>
      <c r="BA540" s="6194">
        <f t="shared" si="231"/>
        <v>0</v>
      </c>
      <c r="BB540" s="6192" t="str">
        <f t="shared" si="227"/>
        <v/>
      </c>
      <c r="BC540" s="6219"/>
      <c r="BD540" s="6221">
        <f t="shared" si="232"/>
        <v>0</v>
      </c>
      <c r="BE540" s="6220" t="str">
        <f t="shared" si="228"/>
        <v/>
      </c>
      <c r="BF540" s="4" t="s">
        <v>1</v>
      </c>
      <c r="BG540" s="6196">
        <f t="shared" si="229"/>
        <v>0</v>
      </c>
      <c r="BH540" s="6197">
        <f t="shared" si="230"/>
        <v>0</v>
      </c>
      <c r="BI540"/>
      <c r="BJ540" s="1"/>
      <c r="BK540" s="1"/>
      <c r="BL540" s="1"/>
      <c r="BM540" s="1"/>
      <c r="BN540" s="1"/>
      <c r="BO540" s="1"/>
      <c r="BP540" s="1"/>
      <c r="BQ540" s="1"/>
      <c r="BX540" s="20" t="str">
        <f t="shared" si="211"/>
        <v>►</v>
      </c>
      <c r="BY540" s="2"/>
      <c r="BZ540" s="2"/>
      <c r="CA540" s="2"/>
      <c r="CB540" s="2"/>
      <c r="CC540" s="2"/>
      <c r="DC540" s="5">
        <v>1</v>
      </c>
    </row>
    <row r="541" spans="12:107" ht="21" customHeight="1">
      <c r="L541" s="1021" t="s">
        <v>26</v>
      </c>
      <c r="M541" s="6787"/>
      <c r="N541" s="6787"/>
      <c r="O541" s="6787"/>
      <c r="P541" s="6788"/>
      <c r="Q541" s="6789"/>
      <c r="R541" s="6790"/>
      <c r="S541" s="6786"/>
      <c r="T541" s="6791"/>
      <c r="U541" s="6844"/>
      <c r="V541" s="6791"/>
      <c r="W541" s="8487"/>
      <c r="X541" s="6871"/>
      <c r="Y541" s="6793"/>
      <c r="Z541" s="6794"/>
      <c r="AA541" s="6795"/>
      <c r="AB541" s="6796"/>
      <c r="AC541" s="6797"/>
      <c r="AD541" s="6798"/>
      <c r="AE541" s="4" t="s">
        <v>1</v>
      </c>
      <c r="AF541" s="6202" t="str">
        <f t="shared" si="212"/>
        <v>►</v>
      </c>
      <c r="AG541" s="6234" t="str">
        <f t="shared" si="213"/>
        <v/>
      </c>
      <c r="AH541" s="6732" t="str">
        <f t="shared" si="214"/>
        <v/>
      </c>
      <c r="AI541" s="6234" t="str">
        <f t="shared" si="215"/>
        <v/>
      </c>
      <c r="AJ541" s="6732" t="str">
        <f t="shared" si="216"/>
        <v/>
      </c>
      <c r="AK541" s="6732">
        <f t="shared" si="217"/>
        <v>0</v>
      </c>
      <c r="AL541" s="6230" t="str" cm="1">
        <f t="array" ref="AL541">IF(AF541&lt;&gt;"A","",IFERROR((IFERROR(_xlfn.XLOOKUP(TRIM(SUBSTITUTE(U541,CHAR(160)," ")),$BJ$15:$BJ$62,$BM$15:$BM$62),IFERROR(_xlfn.XLOOKUP(TRIM(SUBSTITUTE(U541,CHAR(160)," ")),$BK$15:$BK$62,$BM$15:$BM$62),_xlfn.XLOOKUP(TRIM(SUBSTITUTE(U541,CHAR(160)," ")),$BL$15:$BL$62,$BM$15:$BM$62))))*T541*IF(ISBLANK(Q541),1,Q541)+IFERROR(_xlfn.XLOOKUP("RECHERCHEX",TRIM(L541:AD541),L541:AD541),0),0))</f>
        <v/>
      </c>
      <c r="AM541" s="6229">
        <f t="shared" si="218"/>
        <v>0</v>
      </c>
      <c r="AN541" s="6857" t="str">
        <f t="shared" si="210"/>
        <v/>
      </c>
      <c r="AO541" s="392">
        <f t="shared" si="219"/>
        <v>0</v>
      </c>
      <c r="AP541" s="392">
        <f t="shared" si="220"/>
        <v>0</v>
      </c>
      <c r="AQ541" s="6191">
        <f t="shared" si="221"/>
        <v>0</v>
      </c>
      <c r="AR541" s="6859" t="str">
        <f t="shared" si="222"/>
        <v/>
      </c>
      <c r="AS541" s="6217"/>
      <c r="AT541" s="6217"/>
      <c r="AU541" s="6272">
        <f t="shared" si="223"/>
        <v>0</v>
      </c>
      <c r="AV541" s="6240">
        <f t="shared" si="224"/>
        <v>0</v>
      </c>
      <c r="AW541" s="6189" cm="1">
        <f t="array" ref="AW541">IF(AK541&lt;&gt;1,0,IF(OR(AU541="",N(AU541)&lt;=0.000000001),"",IF(OR(AO541="",N(AO541)&lt;=0.000000001),0,IF(ISNUMBER(AU541),IFERROR(_xlfn.LET(_xlpm.ai_test,TRIM(AJ541),_xlpm.r,IFERROR(_xlfn.XLOOKUP(_xlpm.ai_test,$BJ$15:$BJ$62,ROW($BJ$15:$BJ$62),0,1),IFERROR(_xlfn.XLOOKUP(_xlpm.ai_test,$BK$15:$BK$62,ROW($BK$15:$BK$62),0,1),_xlfn.XLOOKUP(_xlpm.ai_test,$BL$15:$BL$62,ROW($BL$15:$BL$62),0,1))),_xlpm.p,_xlpm.r-MIN(ROW($BJ$15:$BJ$62))+1,_xlpm.f,INDEX($BM$15:$BM$62,_xlpm.p),_xlpm.u,INDEX($BN$15:$BN$62,_xlpm.p),_xlpm.s,INDEX($BP$15:$BP$62,_xlpm.p),_xlpm.q,N(AU541)/_xlpm.f,IF(_xlpm.q&gt;=_xlpm.s,ROUND(_xlpm.q,1)&amp;" "&amp;_xlpm.ai_test&amp;" = "&amp;ROUND(_xlpm.q*_xlpm.f,1)&amp;" "&amp;_xlpm.u,ROUND(_xlpm.q,1)&amp;" "&amp;_xlpm.ai_test)),""),""))))</f>
        <v>0</v>
      </c>
      <c r="AX541" s="6218"/>
      <c r="AY541" s="6272">
        <f t="shared" si="225"/>
        <v>0</v>
      </c>
      <c r="AZ541" s="6240" t="str">
        <f t="shared" si="226"/>
        <v/>
      </c>
      <c r="BA541" s="6195">
        <f t="shared" si="231"/>
        <v>0</v>
      </c>
      <c r="BB541" s="6193" t="str">
        <f t="shared" si="227"/>
        <v/>
      </c>
      <c r="BC541" s="6219"/>
      <c r="BD541" s="6222">
        <f t="shared" si="232"/>
        <v>0</v>
      </c>
      <c r="BE541" s="6220" t="str">
        <f t="shared" si="228"/>
        <v/>
      </c>
      <c r="BF541" s="4" t="s">
        <v>1</v>
      </c>
      <c r="BG541" s="6196">
        <f t="shared" si="229"/>
        <v>0</v>
      </c>
      <c r="BH541" s="6197">
        <f t="shared" si="230"/>
        <v>0</v>
      </c>
      <c r="BI541"/>
      <c r="BJ541" s="1"/>
      <c r="BK541" s="1"/>
      <c r="BL541" s="1"/>
      <c r="BM541" s="1"/>
      <c r="BN541" s="1"/>
      <c r="BO541" s="1"/>
      <c r="BP541" s="1"/>
      <c r="BQ541" s="1"/>
      <c r="BX541" s="20" t="str">
        <f t="shared" si="211"/>
        <v>►</v>
      </c>
      <c r="BY541" s="2"/>
      <c r="BZ541" s="2"/>
      <c r="CA541" s="2"/>
      <c r="CB541" s="2"/>
      <c r="CC541" s="2"/>
      <c r="DC541" s="5">
        <v>1</v>
      </c>
    </row>
    <row r="542" spans="12:107" ht="21" customHeight="1">
      <c r="L542" s="1021" t="s">
        <v>26</v>
      </c>
      <c r="M542" s="6787"/>
      <c r="N542" s="6787"/>
      <c r="O542" s="6787"/>
      <c r="P542" s="6788"/>
      <c r="Q542" s="6789"/>
      <c r="R542" s="6790"/>
      <c r="S542" s="6786"/>
      <c r="T542" s="6791"/>
      <c r="U542" s="6844"/>
      <c r="V542" s="6791"/>
      <c r="W542" s="8487"/>
      <c r="X542" s="6871"/>
      <c r="Y542" s="6793"/>
      <c r="Z542" s="6794"/>
      <c r="AA542" s="6795"/>
      <c r="AB542" s="6796"/>
      <c r="AC542" s="6797"/>
      <c r="AD542" s="6798"/>
      <c r="AE542" s="4" t="s">
        <v>1</v>
      </c>
      <c r="AF542" s="6202" t="str">
        <f t="shared" si="212"/>
        <v>►</v>
      </c>
      <c r="AG542" s="6234" t="str">
        <f t="shared" si="213"/>
        <v/>
      </c>
      <c r="AH542" s="6732" t="str">
        <f t="shared" si="214"/>
        <v/>
      </c>
      <c r="AI542" s="6234" t="str">
        <f t="shared" si="215"/>
        <v/>
      </c>
      <c r="AJ542" s="6732" t="str">
        <f t="shared" si="216"/>
        <v/>
      </c>
      <c r="AK542" s="6732">
        <f t="shared" si="217"/>
        <v>0</v>
      </c>
      <c r="AL542" s="6230" t="str" cm="1">
        <f t="array" ref="AL542">IF(AF542&lt;&gt;"A","",IFERROR((IFERROR(_xlfn.XLOOKUP(TRIM(SUBSTITUTE(U542,CHAR(160)," ")),$BJ$15:$BJ$62,$BM$15:$BM$62),IFERROR(_xlfn.XLOOKUP(TRIM(SUBSTITUTE(U542,CHAR(160)," ")),$BK$15:$BK$62,$BM$15:$BM$62),_xlfn.XLOOKUP(TRIM(SUBSTITUTE(U542,CHAR(160)," ")),$BL$15:$BL$62,$BM$15:$BM$62))))*T542*IF(ISBLANK(Q542),1,Q542)+IFERROR(_xlfn.XLOOKUP("RECHERCHEX",TRIM(L542:AD542),L542:AD542),0),0))</f>
        <v/>
      </c>
      <c r="AM542" s="6229">
        <f t="shared" si="218"/>
        <v>0</v>
      </c>
      <c r="AN542" s="6857" t="str">
        <f t="shared" ref="AN542:AN549" si="233">IF(AF542="A","❾ Author reference &gt;","")</f>
        <v/>
      </c>
      <c r="AO542" s="392">
        <f t="shared" si="219"/>
        <v>0</v>
      </c>
      <c r="AP542" s="392">
        <f t="shared" si="220"/>
        <v>0</v>
      </c>
      <c r="AQ542" s="6190">
        <f t="shared" si="221"/>
        <v>0</v>
      </c>
      <c r="AR542" s="6858" t="str">
        <f t="shared" si="222"/>
        <v/>
      </c>
      <c r="AS542" s="6217"/>
      <c r="AT542" s="6217"/>
      <c r="AU542" s="6271">
        <f t="shared" si="223"/>
        <v>0</v>
      </c>
      <c r="AV542" s="6242">
        <f t="shared" si="224"/>
        <v>0</v>
      </c>
      <c r="AW542" s="6188" cm="1">
        <f t="array" ref="AW542">IF(AK542&lt;&gt;1,0,IF(OR(AU542="",N(AU542)&lt;=0.000000001),"",IF(OR(AO542="",N(AO542)&lt;=0.000000001),0,IF(ISNUMBER(AU542),IFERROR(_xlfn.LET(_xlpm.ai_test,TRIM(AJ542),_xlpm.r,IFERROR(_xlfn.XLOOKUP(_xlpm.ai_test,$BJ$15:$BJ$62,ROW($BJ$15:$BJ$62),0,1),IFERROR(_xlfn.XLOOKUP(_xlpm.ai_test,$BK$15:$BK$62,ROW($BK$15:$BK$62),0,1),_xlfn.XLOOKUP(_xlpm.ai_test,$BL$15:$BL$62,ROW($BL$15:$BL$62),0,1))),_xlpm.p,_xlpm.r-MIN(ROW($BJ$15:$BJ$62))+1,_xlpm.f,INDEX($BM$15:$BM$62,_xlpm.p),_xlpm.u,INDEX($BN$15:$BN$62,_xlpm.p),_xlpm.s,INDEX($BP$15:$BP$62,_xlpm.p),_xlpm.q,N(AU542)/_xlpm.f,IF(_xlpm.q&gt;=_xlpm.s,ROUND(_xlpm.q,1)&amp;" "&amp;_xlpm.ai_test&amp;" = "&amp;ROUND(_xlpm.q*_xlpm.f,1)&amp;" "&amp;_xlpm.u,ROUND(_xlpm.q,1)&amp;" "&amp;_xlpm.ai_test)),""),""))))</f>
        <v>0</v>
      </c>
      <c r="AX542" s="6218"/>
      <c r="AY542" s="6271">
        <f t="shared" si="225"/>
        <v>0</v>
      </c>
      <c r="AZ542" s="6242" t="str">
        <f t="shared" si="226"/>
        <v/>
      </c>
      <c r="BA542" s="6194">
        <f t="shared" si="231"/>
        <v>0</v>
      </c>
      <c r="BB542" s="6192" t="str">
        <f t="shared" si="227"/>
        <v/>
      </c>
      <c r="BC542" s="6219"/>
      <c r="BD542" s="6221">
        <f t="shared" si="232"/>
        <v>0</v>
      </c>
      <c r="BE542" s="6220" t="str">
        <f t="shared" si="228"/>
        <v/>
      </c>
      <c r="BF542" s="4" t="s">
        <v>1</v>
      </c>
      <c r="BG542" s="6196">
        <f t="shared" si="229"/>
        <v>0</v>
      </c>
      <c r="BH542" s="6197">
        <f t="shared" si="230"/>
        <v>0</v>
      </c>
      <c r="BI542"/>
      <c r="BJ542" s="1"/>
      <c r="BK542" s="1"/>
      <c r="BL542" s="1"/>
      <c r="BM542" s="1"/>
      <c r="BN542" s="1"/>
      <c r="BO542" s="1"/>
      <c r="BP542" s="1"/>
      <c r="BQ542" s="1"/>
      <c r="BX542" s="20" t="str">
        <f t="shared" si="211"/>
        <v>►</v>
      </c>
      <c r="BY542" s="2"/>
      <c r="BZ542" s="2"/>
      <c r="CA542" s="2"/>
      <c r="CB542" s="2"/>
      <c r="CC542" s="2"/>
      <c r="DC542" s="5">
        <v>1</v>
      </c>
    </row>
    <row r="543" spans="12:107" ht="21" customHeight="1">
      <c r="L543" s="1021" t="s">
        <v>26</v>
      </c>
      <c r="M543" s="6787"/>
      <c r="N543" s="6787"/>
      <c r="O543" s="6787"/>
      <c r="P543" s="6788"/>
      <c r="Q543" s="6789"/>
      <c r="R543" s="6790"/>
      <c r="S543" s="6786"/>
      <c r="T543" s="6791"/>
      <c r="U543" s="6844"/>
      <c r="V543" s="6791"/>
      <c r="W543" s="8487"/>
      <c r="X543" s="6871"/>
      <c r="Y543" s="6793"/>
      <c r="Z543" s="6794"/>
      <c r="AA543" s="6795"/>
      <c r="AB543" s="6796"/>
      <c r="AC543" s="6797"/>
      <c r="AD543" s="6798"/>
      <c r="AE543" s="4" t="s">
        <v>1</v>
      </c>
      <c r="AF543" s="6202" t="str">
        <f t="shared" si="212"/>
        <v>►</v>
      </c>
      <c r="AG543" s="6234" t="str">
        <f t="shared" si="213"/>
        <v/>
      </c>
      <c r="AH543" s="6732" t="str">
        <f t="shared" si="214"/>
        <v/>
      </c>
      <c r="AI543" s="6234" t="str">
        <f t="shared" si="215"/>
        <v/>
      </c>
      <c r="AJ543" s="6732" t="str">
        <f t="shared" si="216"/>
        <v/>
      </c>
      <c r="AK543" s="6732">
        <f t="shared" si="217"/>
        <v>0</v>
      </c>
      <c r="AL543" s="6230" t="str" cm="1">
        <f t="array" ref="AL543">IF(AF543&lt;&gt;"A","",IFERROR((IFERROR(_xlfn.XLOOKUP(TRIM(SUBSTITUTE(U543,CHAR(160)," ")),$BJ$15:$BJ$62,$BM$15:$BM$62),IFERROR(_xlfn.XLOOKUP(TRIM(SUBSTITUTE(U543,CHAR(160)," ")),$BK$15:$BK$62,$BM$15:$BM$62),_xlfn.XLOOKUP(TRIM(SUBSTITUTE(U543,CHAR(160)," ")),$BL$15:$BL$62,$BM$15:$BM$62))))*T543*IF(ISBLANK(Q543),1,Q543)+IFERROR(_xlfn.XLOOKUP("RECHERCHEX",TRIM(L543:AD543),L543:AD543),0),0))</f>
        <v/>
      </c>
      <c r="AM543" s="6229">
        <f t="shared" si="218"/>
        <v>0</v>
      </c>
      <c r="AN543" s="6857" t="str">
        <f t="shared" si="233"/>
        <v/>
      </c>
      <c r="AO543" s="392">
        <f t="shared" si="219"/>
        <v>0</v>
      </c>
      <c r="AP543" s="392">
        <f t="shared" si="220"/>
        <v>0</v>
      </c>
      <c r="AQ543" s="6191">
        <f t="shared" si="221"/>
        <v>0</v>
      </c>
      <c r="AR543" s="6859" t="str">
        <f t="shared" si="222"/>
        <v/>
      </c>
      <c r="AS543" s="6217"/>
      <c r="AT543" s="6217"/>
      <c r="AU543" s="6272">
        <f t="shared" si="223"/>
        <v>0</v>
      </c>
      <c r="AV543" s="6240">
        <f t="shared" si="224"/>
        <v>0</v>
      </c>
      <c r="AW543" s="6189" cm="1">
        <f t="array" ref="AW543">IF(AK543&lt;&gt;1,0,IF(OR(AU543="",N(AU543)&lt;=0.000000001),"",IF(OR(AO543="",N(AO543)&lt;=0.000000001),0,IF(ISNUMBER(AU543),IFERROR(_xlfn.LET(_xlpm.ai_test,TRIM(AJ543),_xlpm.r,IFERROR(_xlfn.XLOOKUP(_xlpm.ai_test,$BJ$15:$BJ$62,ROW($BJ$15:$BJ$62),0,1),IFERROR(_xlfn.XLOOKUP(_xlpm.ai_test,$BK$15:$BK$62,ROW($BK$15:$BK$62),0,1),_xlfn.XLOOKUP(_xlpm.ai_test,$BL$15:$BL$62,ROW($BL$15:$BL$62),0,1))),_xlpm.p,_xlpm.r-MIN(ROW($BJ$15:$BJ$62))+1,_xlpm.f,INDEX($BM$15:$BM$62,_xlpm.p),_xlpm.u,INDEX($BN$15:$BN$62,_xlpm.p),_xlpm.s,INDEX($BP$15:$BP$62,_xlpm.p),_xlpm.q,N(AU543)/_xlpm.f,IF(_xlpm.q&gt;=_xlpm.s,ROUND(_xlpm.q,1)&amp;" "&amp;_xlpm.ai_test&amp;" = "&amp;ROUND(_xlpm.q*_xlpm.f,1)&amp;" "&amp;_xlpm.u,ROUND(_xlpm.q,1)&amp;" "&amp;_xlpm.ai_test)),""),""))))</f>
        <v>0</v>
      </c>
      <c r="AX543" s="6218"/>
      <c r="AY543" s="6272">
        <f t="shared" si="225"/>
        <v>0</v>
      </c>
      <c r="AZ543" s="6240" t="str">
        <f t="shared" si="226"/>
        <v/>
      </c>
      <c r="BA543" s="6195">
        <f t="shared" si="231"/>
        <v>0</v>
      </c>
      <c r="BB543" s="6193" t="str">
        <f t="shared" si="227"/>
        <v/>
      </c>
      <c r="BC543" s="6219"/>
      <c r="BD543" s="6222">
        <f t="shared" si="232"/>
        <v>0</v>
      </c>
      <c r="BE543" s="6220" t="str">
        <f t="shared" si="228"/>
        <v/>
      </c>
      <c r="BF543" s="4" t="s">
        <v>1</v>
      </c>
      <c r="BG543" s="6196">
        <f t="shared" si="229"/>
        <v>0</v>
      </c>
      <c r="BH543" s="6197">
        <f t="shared" si="230"/>
        <v>0</v>
      </c>
      <c r="BI543"/>
      <c r="BJ543" s="1"/>
      <c r="BK543" s="1"/>
      <c r="BL543" s="1"/>
      <c r="BM543" s="1"/>
      <c r="BN543" s="1"/>
      <c r="BO543" s="1"/>
      <c r="BP543" s="1"/>
      <c r="BQ543" s="1"/>
      <c r="BX543" s="20" t="str">
        <f t="shared" si="211"/>
        <v>►</v>
      </c>
      <c r="BY543" s="2"/>
      <c r="BZ543" s="2"/>
      <c r="CA543" s="2"/>
      <c r="CB543" s="2"/>
      <c r="CC543" s="2"/>
      <c r="DC543" s="5">
        <v>1</v>
      </c>
    </row>
    <row r="544" spans="12:107" ht="21" customHeight="1">
      <c r="L544" s="1021" t="s">
        <v>26</v>
      </c>
      <c r="M544" s="6787"/>
      <c r="N544" s="6787"/>
      <c r="O544" s="6787"/>
      <c r="P544" s="6788"/>
      <c r="Q544" s="6789"/>
      <c r="R544" s="6790"/>
      <c r="S544" s="6786"/>
      <c r="T544" s="6791"/>
      <c r="U544" s="6844"/>
      <c r="V544" s="6791"/>
      <c r="W544" s="8487"/>
      <c r="X544" s="6871"/>
      <c r="Y544" s="6793"/>
      <c r="Z544" s="6794"/>
      <c r="AA544" s="6795"/>
      <c r="AB544" s="6796"/>
      <c r="AC544" s="6797"/>
      <c r="AD544" s="6798"/>
      <c r="AE544" s="4" t="s">
        <v>1</v>
      </c>
      <c r="AF544" s="6202" t="str">
        <f t="shared" si="212"/>
        <v>►</v>
      </c>
      <c r="AG544" s="6234" t="str">
        <f t="shared" si="213"/>
        <v/>
      </c>
      <c r="AH544" s="6732" t="str">
        <f t="shared" si="214"/>
        <v/>
      </c>
      <c r="AI544" s="6234" t="str">
        <f t="shared" si="215"/>
        <v/>
      </c>
      <c r="AJ544" s="6732" t="str">
        <f t="shared" si="216"/>
        <v/>
      </c>
      <c r="AK544" s="6732">
        <f t="shared" si="217"/>
        <v>0</v>
      </c>
      <c r="AL544" s="6230" t="str" cm="1">
        <f t="array" ref="AL544">IF(AF544&lt;&gt;"A","",IFERROR((IFERROR(_xlfn.XLOOKUP(TRIM(SUBSTITUTE(U544,CHAR(160)," ")),$BJ$15:$BJ$62,$BM$15:$BM$62),IFERROR(_xlfn.XLOOKUP(TRIM(SUBSTITUTE(U544,CHAR(160)," ")),$BK$15:$BK$62,$BM$15:$BM$62),_xlfn.XLOOKUP(TRIM(SUBSTITUTE(U544,CHAR(160)," ")),$BL$15:$BL$62,$BM$15:$BM$62))))*T544*IF(ISBLANK(Q544),1,Q544)+IFERROR(_xlfn.XLOOKUP("RECHERCHEX",TRIM(L544:AD544),L544:AD544),0),0))</f>
        <v/>
      </c>
      <c r="AM544" s="6229">
        <f t="shared" si="218"/>
        <v>0</v>
      </c>
      <c r="AN544" s="6857" t="str">
        <f t="shared" si="233"/>
        <v/>
      </c>
      <c r="AO544" s="392">
        <f t="shared" ref="AO544:AO549" si="234">IF(AK544,N544,0)</f>
        <v>0</v>
      </c>
      <c r="AP544" s="392">
        <f t="shared" si="220"/>
        <v>0</v>
      </c>
      <c r="AQ544" s="6190">
        <f t="shared" si="221"/>
        <v>0</v>
      </c>
      <c r="AR544" s="6858" t="str">
        <f t="shared" si="222"/>
        <v/>
      </c>
      <c r="AS544" s="6217"/>
      <c r="AT544" s="6217"/>
      <c r="AU544" s="6271">
        <f t="shared" si="223"/>
        <v>0</v>
      </c>
      <c r="AV544" s="6242">
        <f t="shared" si="224"/>
        <v>0</v>
      </c>
      <c r="AW544" s="6188" cm="1">
        <f t="array" ref="AW544">IF(AK544&lt;&gt;1,0,IF(OR(AU544="",N(AU544)&lt;=0.000000001),"",IF(OR(AO544="",N(AO544)&lt;=0.000000001),0,IF(ISNUMBER(AU544),IFERROR(_xlfn.LET(_xlpm.ai_test,TRIM(AJ544),_xlpm.r,IFERROR(_xlfn.XLOOKUP(_xlpm.ai_test,$BJ$15:$BJ$62,ROW($BJ$15:$BJ$62),0,1),IFERROR(_xlfn.XLOOKUP(_xlpm.ai_test,$BK$15:$BK$62,ROW($BK$15:$BK$62),0,1),_xlfn.XLOOKUP(_xlpm.ai_test,$BL$15:$BL$62,ROW($BL$15:$BL$62),0,1))),_xlpm.p,_xlpm.r-MIN(ROW($BJ$15:$BJ$62))+1,_xlpm.f,INDEX($BM$15:$BM$62,_xlpm.p),_xlpm.u,INDEX($BN$15:$BN$62,_xlpm.p),_xlpm.s,INDEX($BP$15:$BP$62,_xlpm.p),_xlpm.q,N(AU544)/_xlpm.f,IF(_xlpm.q&gt;=_xlpm.s,ROUND(_xlpm.q,1)&amp;" "&amp;_xlpm.ai_test&amp;" = "&amp;ROUND(_xlpm.q*_xlpm.f,1)&amp;" "&amp;_xlpm.u,ROUND(_xlpm.q,1)&amp;" "&amp;_xlpm.ai_test)),""),""))))</f>
        <v>0</v>
      </c>
      <c r="AX544" s="6218"/>
      <c r="AY544" s="6271">
        <f t="shared" si="225"/>
        <v>0</v>
      </c>
      <c r="AZ544" s="6242" t="str">
        <f t="shared" si="226"/>
        <v/>
      </c>
      <c r="BA544" s="6194">
        <f t="shared" si="231"/>
        <v>0</v>
      </c>
      <c r="BB544" s="6192" t="str">
        <f t="shared" si="227"/>
        <v/>
      </c>
      <c r="BC544" s="6219"/>
      <c r="BD544" s="6221">
        <f t="shared" si="232"/>
        <v>0</v>
      </c>
      <c r="BE544" s="6220" t="str">
        <f t="shared" si="228"/>
        <v/>
      </c>
      <c r="BF544" s="4" t="s">
        <v>1</v>
      </c>
      <c r="BG544" s="6196">
        <f t="shared" si="229"/>
        <v>0</v>
      </c>
      <c r="BH544" s="6197">
        <f t="shared" si="230"/>
        <v>0</v>
      </c>
      <c r="BI544"/>
      <c r="BJ544" s="1"/>
      <c r="BK544" s="1"/>
      <c r="BL544" s="1"/>
      <c r="BM544" s="1"/>
      <c r="BN544" s="1"/>
      <c r="BO544" s="1"/>
      <c r="BP544" s="1"/>
      <c r="BQ544" s="1"/>
      <c r="BX544" s="20" t="str">
        <f t="shared" si="211"/>
        <v>►</v>
      </c>
      <c r="BY544" s="2"/>
      <c r="BZ544" s="2"/>
      <c r="CA544" s="2"/>
      <c r="CB544" s="2"/>
      <c r="CC544" s="2"/>
      <c r="DC544" s="5">
        <v>1</v>
      </c>
    </row>
    <row r="545" spans="1:109" ht="21" customHeight="1">
      <c r="L545" s="1021" t="s">
        <v>26</v>
      </c>
      <c r="M545" s="6787"/>
      <c r="N545" s="6787"/>
      <c r="O545" s="6787"/>
      <c r="P545" s="6788"/>
      <c r="Q545" s="6789"/>
      <c r="R545" s="6790"/>
      <c r="S545" s="6786"/>
      <c r="T545" s="6791"/>
      <c r="U545" s="6844"/>
      <c r="V545" s="6791"/>
      <c r="W545" s="8487"/>
      <c r="X545" s="6871"/>
      <c r="Y545" s="6793"/>
      <c r="Z545" s="6794"/>
      <c r="AA545" s="6795"/>
      <c r="AB545" s="6796"/>
      <c r="AC545" s="6797"/>
      <c r="AD545" s="6798"/>
      <c r="AE545" s="4" t="s">
        <v>1</v>
      </c>
      <c r="AF545" s="6202" t="str">
        <f t="shared" si="212"/>
        <v>►</v>
      </c>
      <c r="AG545" s="6234" t="str">
        <f t="shared" si="213"/>
        <v/>
      </c>
      <c r="AH545" s="6732" t="str">
        <f t="shared" si="214"/>
        <v/>
      </c>
      <c r="AI545" s="6234" t="str">
        <f t="shared" si="215"/>
        <v/>
      </c>
      <c r="AJ545" s="6732" t="str">
        <f t="shared" si="216"/>
        <v/>
      </c>
      <c r="AK545" s="6732">
        <f t="shared" si="217"/>
        <v>0</v>
      </c>
      <c r="AL545" s="6230" t="str" cm="1">
        <f t="array" ref="AL545">IF(AF545&lt;&gt;"A","",IFERROR((IFERROR(_xlfn.XLOOKUP(TRIM(SUBSTITUTE(U545,CHAR(160)," ")),$BJ$15:$BJ$62,$BM$15:$BM$62),IFERROR(_xlfn.XLOOKUP(TRIM(SUBSTITUTE(U545,CHAR(160)," ")),$BK$15:$BK$62,$BM$15:$BM$62),_xlfn.XLOOKUP(TRIM(SUBSTITUTE(U545,CHAR(160)," ")),$BL$15:$BL$62,$BM$15:$BM$62))))*T545*IF(ISBLANK(Q545),1,Q545)+IFERROR(_xlfn.XLOOKUP("RECHERCHEX",TRIM(L545:AD545),L545:AD545),0),0))</f>
        <v/>
      </c>
      <c r="AM545" s="6229">
        <f t="shared" si="218"/>
        <v>0</v>
      </c>
      <c r="AN545" s="6857" t="str">
        <f t="shared" si="233"/>
        <v/>
      </c>
      <c r="AO545" s="392">
        <f t="shared" si="234"/>
        <v>0</v>
      </c>
      <c r="AP545" s="392">
        <f t="shared" si="220"/>
        <v>0</v>
      </c>
      <c r="AQ545" s="6191">
        <f t="shared" si="221"/>
        <v>0</v>
      </c>
      <c r="AR545" s="6859" t="str">
        <f t="shared" si="222"/>
        <v/>
      </c>
      <c r="AS545" s="6217"/>
      <c r="AT545" s="6217"/>
      <c r="AU545" s="6272">
        <f t="shared" si="223"/>
        <v>0</v>
      </c>
      <c r="AV545" s="6240">
        <f t="shared" si="224"/>
        <v>0</v>
      </c>
      <c r="AW545" s="6189" cm="1">
        <f t="array" ref="AW545">IF(AK545&lt;&gt;1,0,IF(OR(AU545="",N(AU545)&lt;=0.000000001),"",IF(OR(AO545="",N(AO545)&lt;=0.000000001),0,IF(ISNUMBER(AU545),IFERROR(_xlfn.LET(_xlpm.ai_test,TRIM(AJ545),_xlpm.r,IFERROR(_xlfn.XLOOKUP(_xlpm.ai_test,$BJ$15:$BJ$62,ROW($BJ$15:$BJ$62),0,1),IFERROR(_xlfn.XLOOKUP(_xlpm.ai_test,$BK$15:$BK$62,ROW($BK$15:$BK$62),0,1),_xlfn.XLOOKUP(_xlpm.ai_test,$BL$15:$BL$62,ROW($BL$15:$BL$62),0,1))),_xlpm.p,_xlpm.r-MIN(ROW($BJ$15:$BJ$62))+1,_xlpm.f,INDEX($BM$15:$BM$62,_xlpm.p),_xlpm.u,INDEX($BN$15:$BN$62,_xlpm.p),_xlpm.s,INDEX($BP$15:$BP$62,_xlpm.p),_xlpm.q,N(AU545)/_xlpm.f,IF(_xlpm.q&gt;=_xlpm.s,ROUND(_xlpm.q,1)&amp;" "&amp;_xlpm.ai_test&amp;" = "&amp;ROUND(_xlpm.q*_xlpm.f,1)&amp;" "&amp;_xlpm.u,ROUND(_xlpm.q,1)&amp;" "&amp;_xlpm.ai_test)),""),""))))</f>
        <v>0</v>
      </c>
      <c r="AX545" s="6218"/>
      <c r="AY545" s="6272">
        <f t="shared" si="225"/>
        <v>0</v>
      </c>
      <c r="AZ545" s="6240" t="str">
        <f t="shared" si="226"/>
        <v/>
      </c>
      <c r="BA545" s="6195">
        <f t="shared" si="231"/>
        <v>0</v>
      </c>
      <c r="BB545" s="6193" t="str">
        <f t="shared" si="227"/>
        <v/>
      </c>
      <c r="BC545" s="6219"/>
      <c r="BD545" s="6222">
        <f t="shared" si="232"/>
        <v>0</v>
      </c>
      <c r="BE545" s="6220" t="str">
        <f t="shared" si="228"/>
        <v/>
      </c>
      <c r="BF545" s="4" t="s">
        <v>1</v>
      </c>
      <c r="BG545" s="6196">
        <f t="shared" si="229"/>
        <v>0</v>
      </c>
      <c r="BH545" s="6197">
        <f t="shared" si="230"/>
        <v>0</v>
      </c>
      <c r="BI545"/>
      <c r="BJ545" s="1"/>
      <c r="BK545" s="1"/>
      <c r="BL545" s="1"/>
      <c r="BM545" s="1"/>
      <c r="BN545" s="1"/>
      <c r="BO545" s="1"/>
      <c r="BP545" s="1"/>
      <c r="BQ545" s="1"/>
      <c r="BX545" s="20" t="str">
        <f t="shared" si="211"/>
        <v>►</v>
      </c>
      <c r="BY545" s="2"/>
      <c r="BZ545" s="2"/>
      <c r="CA545" s="2"/>
      <c r="CB545" s="2"/>
      <c r="CC545" s="2"/>
      <c r="DC545" s="5">
        <v>1</v>
      </c>
    </row>
    <row r="546" spans="1:109" ht="21" customHeight="1">
      <c r="L546" s="1021" t="s">
        <v>26</v>
      </c>
      <c r="M546" s="6787"/>
      <c r="N546" s="6787"/>
      <c r="O546" s="6787"/>
      <c r="P546" s="6788"/>
      <c r="Q546" s="6789"/>
      <c r="R546" s="6790"/>
      <c r="S546" s="6786"/>
      <c r="T546" s="6791"/>
      <c r="U546" s="6844"/>
      <c r="V546" s="6791"/>
      <c r="W546" s="8487"/>
      <c r="X546" s="6871"/>
      <c r="Y546" s="6793"/>
      <c r="Z546" s="6794"/>
      <c r="AA546" s="6795"/>
      <c r="AB546" s="6796"/>
      <c r="AC546" s="6797"/>
      <c r="AD546" s="6798"/>
      <c r="AE546" s="4" t="s">
        <v>1</v>
      </c>
      <c r="AF546" s="6202" t="str">
        <f t="shared" si="212"/>
        <v>►</v>
      </c>
      <c r="AG546" s="6234" t="str">
        <f t="shared" si="213"/>
        <v/>
      </c>
      <c r="AH546" s="6732" t="str">
        <f t="shared" si="214"/>
        <v/>
      </c>
      <c r="AI546" s="6234" t="str">
        <f t="shared" si="215"/>
        <v/>
      </c>
      <c r="AJ546" s="6732" t="str">
        <f t="shared" si="216"/>
        <v/>
      </c>
      <c r="AK546" s="6732">
        <f t="shared" si="217"/>
        <v>0</v>
      </c>
      <c r="AL546" s="6230" t="str" cm="1">
        <f t="array" ref="AL546">IF(AF546&lt;&gt;"A","",IFERROR((IFERROR(_xlfn.XLOOKUP(TRIM(SUBSTITUTE(U546,CHAR(160)," ")),$BJ$15:$BJ$62,$BM$15:$BM$62),IFERROR(_xlfn.XLOOKUP(TRIM(SUBSTITUTE(U546,CHAR(160)," ")),$BK$15:$BK$62,$BM$15:$BM$62),_xlfn.XLOOKUP(TRIM(SUBSTITUTE(U546,CHAR(160)," ")),$BL$15:$BL$62,$BM$15:$BM$62))))*T546*IF(ISBLANK(Q546),1,Q546)+IFERROR(_xlfn.XLOOKUP("RECHERCHEX",TRIM(L546:AD546),L546:AD546),0),0))</f>
        <v/>
      </c>
      <c r="AM546" s="6229">
        <f t="shared" si="218"/>
        <v>0</v>
      </c>
      <c r="AN546" s="6857" t="str">
        <f t="shared" si="233"/>
        <v/>
      </c>
      <c r="AO546" s="392">
        <f t="shared" si="234"/>
        <v>0</v>
      </c>
      <c r="AP546" s="392">
        <f t="shared" si="220"/>
        <v>0</v>
      </c>
      <c r="AQ546" s="6190">
        <f t="shared" si="221"/>
        <v>0</v>
      </c>
      <c r="AR546" s="6858" t="str">
        <f t="shared" si="222"/>
        <v/>
      </c>
      <c r="AS546" s="6217"/>
      <c r="AT546" s="6217"/>
      <c r="AU546" s="6271">
        <f t="shared" si="223"/>
        <v>0</v>
      </c>
      <c r="AV546" s="6242">
        <f t="shared" si="224"/>
        <v>0</v>
      </c>
      <c r="AW546" s="6188" cm="1">
        <f t="array" ref="AW546">IF(AK546&lt;&gt;1,0,IF(OR(AU546="",N(AU546)&lt;=0.000000001),"",IF(OR(AO546="",N(AO546)&lt;=0.000000001),0,IF(ISNUMBER(AU546),IFERROR(_xlfn.LET(_xlpm.ai_test,TRIM(AJ546),_xlpm.r,IFERROR(_xlfn.XLOOKUP(_xlpm.ai_test,$BJ$15:$BJ$62,ROW($BJ$15:$BJ$62),0,1),IFERROR(_xlfn.XLOOKUP(_xlpm.ai_test,$BK$15:$BK$62,ROW($BK$15:$BK$62),0,1),_xlfn.XLOOKUP(_xlpm.ai_test,$BL$15:$BL$62,ROW($BL$15:$BL$62),0,1))),_xlpm.p,_xlpm.r-MIN(ROW($BJ$15:$BJ$62))+1,_xlpm.f,INDEX($BM$15:$BM$62,_xlpm.p),_xlpm.u,INDEX($BN$15:$BN$62,_xlpm.p),_xlpm.s,INDEX($BP$15:$BP$62,_xlpm.p),_xlpm.q,N(AU546)/_xlpm.f,IF(_xlpm.q&gt;=_xlpm.s,ROUND(_xlpm.q,1)&amp;" "&amp;_xlpm.ai_test&amp;" = "&amp;ROUND(_xlpm.q*_xlpm.f,1)&amp;" "&amp;_xlpm.u,ROUND(_xlpm.q,1)&amp;" "&amp;_xlpm.ai_test)),""),""))))</f>
        <v>0</v>
      </c>
      <c r="AX546" s="6218"/>
      <c r="AY546" s="6271">
        <f t="shared" si="225"/>
        <v>0</v>
      </c>
      <c r="AZ546" s="6242" t="str">
        <f t="shared" si="226"/>
        <v/>
      </c>
      <c r="BA546" s="6194">
        <f t="shared" si="231"/>
        <v>0</v>
      </c>
      <c r="BB546" s="6192" t="str">
        <f t="shared" si="227"/>
        <v/>
      </c>
      <c r="BC546" s="6219"/>
      <c r="BD546" s="6221">
        <f t="shared" si="232"/>
        <v>0</v>
      </c>
      <c r="BE546" s="6220" t="str">
        <f t="shared" si="228"/>
        <v/>
      </c>
      <c r="BF546" s="4" t="s">
        <v>1</v>
      </c>
      <c r="BG546" s="6196">
        <f t="shared" si="229"/>
        <v>0</v>
      </c>
      <c r="BH546" s="6197">
        <f t="shared" si="230"/>
        <v>0</v>
      </c>
      <c r="BI546"/>
      <c r="BJ546" s="1"/>
      <c r="BK546" s="1"/>
      <c r="BL546" s="1"/>
      <c r="BM546" s="1"/>
      <c r="BN546" s="1"/>
      <c r="BO546" s="1"/>
      <c r="BP546" s="1"/>
      <c r="BQ546" s="1"/>
      <c r="BX546" s="20" t="str">
        <f t="shared" si="211"/>
        <v>►</v>
      </c>
      <c r="BY546" s="2"/>
      <c r="BZ546" s="2"/>
      <c r="CA546" s="2"/>
      <c r="CB546" s="2"/>
      <c r="CC546" s="2"/>
      <c r="DC546" s="5">
        <v>1</v>
      </c>
    </row>
    <row r="547" spans="1:109" ht="21" customHeight="1">
      <c r="L547" s="1021" t="s">
        <v>26</v>
      </c>
      <c r="M547" s="6787"/>
      <c r="N547" s="6787"/>
      <c r="O547" s="6787"/>
      <c r="P547" s="6788"/>
      <c r="Q547" s="6789"/>
      <c r="R547" s="6790"/>
      <c r="S547" s="6786"/>
      <c r="T547" s="6791"/>
      <c r="U547" s="6844"/>
      <c r="V547" s="6791"/>
      <c r="W547" s="8487"/>
      <c r="X547" s="6871"/>
      <c r="Y547" s="6793"/>
      <c r="Z547" s="6794"/>
      <c r="AA547" s="6795"/>
      <c r="AB547" s="6796"/>
      <c r="AC547" s="6797"/>
      <c r="AD547" s="6798"/>
      <c r="AE547" s="4" t="s">
        <v>1</v>
      </c>
      <c r="AF547" s="6202" t="str">
        <f t="shared" si="212"/>
        <v>►</v>
      </c>
      <c r="AG547" s="6234" t="str">
        <f t="shared" si="213"/>
        <v/>
      </c>
      <c r="AH547" s="6732" t="str">
        <f t="shared" si="214"/>
        <v/>
      </c>
      <c r="AI547" s="6234" t="str">
        <f t="shared" si="215"/>
        <v/>
      </c>
      <c r="AJ547" s="6732" t="str">
        <f t="shared" si="216"/>
        <v/>
      </c>
      <c r="AK547" s="6732">
        <f t="shared" si="217"/>
        <v>0</v>
      </c>
      <c r="AL547" s="6230" t="str" cm="1">
        <f t="array" ref="AL547">IF(AF547&lt;&gt;"A","",IFERROR((IFERROR(_xlfn.XLOOKUP(TRIM(SUBSTITUTE(U547,CHAR(160)," ")),$BJ$15:$BJ$62,$BM$15:$BM$62),IFERROR(_xlfn.XLOOKUP(TRIM(SUBSTITUTE(U547,CHAR(160)," ")),$BK$15:$BK$62,$BM$15:$BM$62),_xlfn.XLOOKUP(TRIM(SUBSTITUTE(U547,CHAR(160)," ")),$BL$15:$BL$62,$BM$15:$BM$62))))*T547*IF(ISBLANK(Q547),1,Q547)+IFERROR(_xlfn.XLOOKUP("RECHERCHEX",TRIM(L547:AD547),L547:AD547),0),0))</f>
        <v/>
      </c>
      <c r="AM547" s="6229">
        <f t="shared" si="218"/>
        <v>0</v>
      </c>
      <c r="AN547" s="6857" t="str">
        <f t="shared" si="233"/>
        <v/>
      </c>
      <c r="AO547" s="392">
        <f t="shared" si="234"/>
        <v>0</v>
      </c>
      <c r="AP547" s="392">
        <f t="shared" si="220"/>
        <v>0</v>
      </c>
      <c r="AQ547" s="6191">
        <f t="shared" si="221"/>
        <v>0</v>
      </c>
      <c r="AR547" s="6859" t="str">
        <f t="shared" si="222"/>
        <v/>
      </c>
      <c r="AS547" s="6217"/>
      <c r="AT547" s="6217"/>
      <c r="AU547" s="6272">
        <f t="shared" si="223"/>
        <v>0</v>
      </c>
      <c r="AV547" s="6240">
        <f t="shared" si="224"/>
        <v>0</v>
      </c>
      <c r="AW547" s="6189" cm="1">
        <f t="array" ref="AW547">IF(AK547&lt;&gt;1,0,IF(OR(AU547="",N(AU547)&lt;=0.000000001),"",IF(OR(AO547="",N(AO547)&lt;=0.000000001),0,IF(ISNUMBER(AU547),IFERROR(_xlfn.LET(_xlpm.ai_test,TRIM(AJ547),_xlpm.r,IFERROR(_xlfn.XLOOKUP(_xlpm.ai_test,$BJ$15:$BJ$62,ROW($BJ$15:$BJ$62),0,1),IFERROR(_xlfn.XLOOKUP(_xlpm.ai_test,$BK$15:$BK$62,ROW($BK$15:$BK$62),0,1),_xlfn.XLOOKUP(_xlpm.ai_test,$BL$15:$BL$62,ROW($BL$15:$BL$62),0,1))),_xlpm.p,_xlpm.r-MIN(ROW($BJ$15:$BJ$62))+1,_xlpm.f,INDEX($BM$15:$BM$62,_xlpm.p),_xlpm.u,INDEX($BN$15:$BN$62,_xlpm.p),_xlpm.s,INDEX($BP$15:$BP$62,_xlpm.p),_xlpm.q,N(AU547)/_xlpm.f,IF(_xlpm.q&gt;=_xlpm.s,ROUND(_xlpm.q,1)&amp;" "&amp;_xlpm.ai_test&amp;" = "&amp;ROUND(_xlpm.q*_xlpm.f,1)&amp;" "&amp;_xlpm.u,ROUND(_xlpm.q,1)&amp;" "&amp;_xlpm.ai_test)),""),""))))</f>
        <v>0</v>
      </c>
      <c r="AX547" s="6218"/>
      <c r="AY547" s="6272">
        <f t="shared" si="225"/>
        <v>0</v>
      </c>
      <c r="AZ547" s="6240" t="str">
        <f t="shared" si="226"/>
        <v/>
      </c>
      <c r="BA547" s="6195">
        <f t="shared" si="231"/>
        <v>0</v>
      </c>
      <c r="BB547" s="6193" t="str">
        <f t="shared" si="227"/>
        <v/>
      </c>
      <c r="BC547" s="6219"/>
      <c r="BD547" s="6222">
        <f t="shared" si="232"/>
        <v>0</v>
      </c>
      <c r="BE547" s="6220" t="str">
        <f t="shared" si="228"/>
        <v/>
      </c>
      <c r="BF547" s="4" t="s">
        <v>1</v>
      </c>
      <c r="BG547" s="6196">
        <f t="shared" si="229"/>
        <v>0</v>
      </c>
      <c r="BH547" s="6197">
        <f t="shared" si="230"/>
        <v>0</v>
      </c>
      <c r="BI547"/>
      <c r="BJ547" s="1"/>
      <c r="BK547" s="1"/>
      <c r="BL547" s="1"/>
      <c r="BM547" s="1"/>
      <c r="BN547" s="1"/>
      <c r="BO547" s="1"/>
      <c r="BP547" s="1"/>
      <c r="BQ547" s="1"/>
      <c r="BX547" s="20" t="str">
        <f t="shared" si="211"/>
        <v>►</v>
      </c>
      <c r="BY547" s="2"/>
      <c r="BZ547" s="2"/>
      <c r="CA547" s="2"/>
      <c r="CB547" s="2"/>
      <c r="CC547" s="2"/>
      <c r="DC547" s="5">
        <v>1</v>
      </c>
    </row>
    <row r="548" spans="1:109" ht="21" customHeight="1">
      <c r="L548" s="1021" t="s">
        <v>26</v>
      </c>
      <c r="M548" s="6787"/>
      <c r="N548" s="6787"/>
      <c r="O548" s="6787"/>
      <c r="P548" s="6788"/>
      <c r="Q548" s="6789"/>
      <c r="R548" s="6790"/>
      <c r="S548" s="6786"/>
      <c r="T548" s="6791"/>
      <c r="U548" s="6844"/>
      <c r="V548" s="6791"/>
      <c r="W548" s="8487"/>
      <c r="X548" s="6871"/>
      <c r="Y548" s="6793"/>
      <c r="Z548" s="6794"/>
      <c r="AA548" s="6795"/>
      <c r="AB548" s="6796"/>
      <c r="AC548" s="6797"/>
      <c r="AD548" s="6798"/>
      <c r="AE548" s="4" t="s">
        <v>1</v>
      </c>
      <c r="AF548" s="6202" t="str">
        <f t="shared" si="212"/>
        <v>►</v>
      </c>
      <c r="AG548" s="6234" t="str">
        <f t="shared" si="213"/>
        <v/>
      </c>
      <c r="AH548" s="6732" t="str">
        <f t="shared" si="214"/>
        <v/>
      </c>
      <c r="AI548" s="6234" t="str">
        <f t="shared" si="215"/>
        <v/>
      </c>
      <c r="AJ548" s="6732" t="str">
        <f t="shared" si="216"/>
        <v/>
      </c>
      <c r="AK548" s="6732">
        <f t="shared" si="217"/>
        <v>0</v>
      </c>
      <c r="AL548" s="6230" t="str" cm="1">
        <f t="array" ref="AL548">IF(AF548&lt;&gt;"A","",IFERROR((IFERROR(_xlfn.XLOOKUP(TRIM(SUBSTITUTE(U548,CHAR(160)," ")),$BJ$15:$BJ$62,$BM$15:$BM$62),IFERROR(_xlfn.XLOOKUP(TRIM(SUBSTITUTE(U548,CHAR(160)," ")),$BK$15:$BK$62,$BM$15:$BM$62),_xlfn.XLOOKUP(TRIM(SUBSTITUTE(U548,CHAR(160)," ")),$BL$15:$BL$62,$BM$15:$BM$62))))*T548*IF(ISBLANK(Q548),1,Q548)+IFERROR(_xlfn.XLOOKUP("RECHERCHEX",TRIM(L548:AD548),L548:AD548),0),0))</f>
        <v/>
      </c>
      <c r="AM548" s="6229">
        <f t="shared" si="218"/>
        <v>0</v>
      </c>
      <c r="AN548" s="6857" t="str">
        <f t="shared" si="233"/>
        <v/>
      </c>
      <c r="AO548" s="392">
        <f t="shared" si="234"/>
        <v>0</v>
      </c>
      <c r="AP548" s="392">
        <f t="shared" si="220"/>
        <v>0</v>
      </c>
      <c r="AQ548" s="6190">
        <f t="shared" si="221"/>
        <v>0</v>
      </c>
      <c r="AR548" s="6858" t="str">
        <f t="shared" si="222"/>
        <v/>
      </c>
      <c r="AS548" s="6217"/>
      <c r="AT548" s="6217"/>
      <c r="AU548" s="6271">
        <f t="shared" si="223"/>
        <v>0</v>
      </c>
      <c r="AV548" s="6242">
        <f t="shared" si="224"/>
        <v>0</v>
      </c>
      <c r="AW548" s="6188" cm="1">
        <f t="array" ref="AW548">IF(AK548&lt;&gt;1,0,IF(OR(AU548="",N(AU548)&lt;=0.000000001),"",IF(OR(AO548="",N(AO548)&lt;=0.000000001),0,IF(ISNUMBER(AU548),IFERROR(_xlfn.LET(_xlpm.ai_test,TRIM(AJ548),_xlpm.r,IFERROR(_xlfn.XLOOKUP(_xlpm.ai_test,$BJ$15:$BJ$62,ROW($BJ$15:$BJ$62),0,1),IFERROR(_xlfn.XLOOKUP(_xlpm.ai_test,$BK$15:$BK$62,ROW($BK$15:$BK$62),0,1),_xlfn.XLOOKUP(_xlpm.ai_test,$BL$15:$BL$62,ROW($BL$15:$BL$62),0,1))),_xlpm.p,_xlpm.r-MIN(ROW($BJ$15:$BJ$62))+1,_xlpm.f,INDEX($BM$15:$BM$62,_xlpm.p),_xlpm.u,INDEX($BN$15:$BN$62,_xlpm.p),_xlpm.s,INDEX($BP$15:$BP$62,_xlpm.p),_xlpm.q,N(AU548)/_xlpm.f,IF(_xlpm.q&gt;=_xlpm.s,ROUND(_xlpm.q,1)&amp;" "&amp;_xlpm.ai_test&amp;" = "&amp;ROUND(_xlpm.q*_xlpm.f,1)&amp;" "&amp;_xlpm.u,ROUND(_xlpm.q,1)&amp;" "&amp;_xlpm.ai_test)),""),""))))</f>
        <v>0</v>
      </c>
      <c r="AX548" s="6218"/>
      <c r="AY548" s="6271">
        <f t="shared" si="225"/>
        <v>0</v>
      </c>
      <c r="AZ548" s="6242" t="str">
        <f t="shared" si="226"/>
        <v/>
      </c>
      <c r="BA548" s="6194">
        <f t="shared" si="231"/>
        <v>0</v>
      </c>
      <c r="BB548" s="6192" t="str">
        <f t="shared" si="227"/>
        <v/>
      </c>
      <c r="BC548" s="6219"/>
      <c r="BD548" s="6221">
        <f t="shared" si="232"/>
        <v>0</v>
      </c>
      <c r="BE548" s="6220" t="str">
        <f t="shared" si="228"/>
        <v/>
      </c>
      <c r="BF548" s="4" t="s">
        <v>1</v>
      </c>
      <c r="BG548" s="6196">
        <f t="shared" si="229"/>
        <v>0</v>
      </c>
      <c r="BH548" s="6197">
        <f t="shared" si="230"/>
        <v>0</v>
      </c>
      <c r="BI548"/>
      <c r="BJ548" s="1"/>
      <c r="BK548" s="1"/>
      <c r="BL548" s="1"/>
      <c r="BM548" s="1"/>
      <c r="BN548" s="1"/>
      <c r="BO548" s="1"/>
      <c r="BP548" s="1"/>
      <c r="BQ548" s="1"/>
      <c r="BX548" s="20" t="str">
        <f t="shared" si="211"/>
        <v>►</v>
      </c>
      <c r="BY548" s="2"/>
      <c r="BZ548" s="2"/>
      <c r="CA548" s="2"/>
      <c r="CB548" s="2"/>
      <c r="CC548" s="2"/>
      <c r="DC548" s="5">
        <v>1</v>
      </c>
    </row>
    <row r="549" spans="1:109" ht="21" customHeight="1">
      <c r="L549" s="1021" t="s">
        <v>26</v>
      </c>
      <c r="M549" s="6787"/>
      <c r="N549" s="6787"/>
      <c r="O549" s="6787"/>
      <c r="P549" s="6788"/>
      <c r="Q549" s="6789"/>
      <c r="R549" s="6790"/>
      <c r="S549" s="6786"/>
      <c r="T549" s="6791"/>
      <c r="U549" s="6844"/>
      <c r="V549" s="6791"/>
      <c r="W549" s="8487"/>
      <c r="X549" s="6871"/>
      <c r="Y549" s="6793"/>
      <c r="Z549" s="6794"/>
      <c r="AA549" s="6795"/>
      <c r="AB549" s="6796"/>
      <c r="AC549" s="6797"/>
      <c r="AD549" s="6798"/>
      <c r="AE549" s="4" t="s">
        <v>1</v>
      </c>
      <c r="AF549" s="6202" t="str">
        <f t="shared" si="212"/>
        <v>►</v>
      </c>
      <c r="AG549" s="6234" t="str">
        <f t="shared" si="213"/>
        <v/>
      </c>
      <c r="AH549" s="6732" t="str">
        <f t="shared" si="214"/>
        <v/>
      </c>
      <c r="AI549" s="6234" t="str">
        <f t="shared" si="215"/>
        <v/>
      </c>
      <c r="AJ549" s="6732" t="str">
        <f t="shared" si="216"/>
        <v/>
      </c>
      <c r="AK549" s="6732">
        <f t="shared" si="217"/>
        <v>0</v>
      </c>
      <c r="AL549" s="6230" t="str" cm="1">
        <f t="array" ref="AL549">IF(AF549&lt;&gt;"A","",IFERROR((IFERROR(_xlfn.XLOOKUP(TRIM(SUBSTITUTE(U549,CHAR(160)," ")),$BJ$15:$BJ$62,$BM$15:$BM$62),IFERROR(_xlfn.XLOOKUP(TRIM(SUBSTITUTE(U549,CHAR(160)," ")),$BK$15:$BK$62,$BM$15:$BM$62),_xlfn.XLOOKUP(TRIM(SUBSTITUTE(U549,CHAR(160)," ")),$BL$15:$BL$62,$BM$15:$BM$62))))*T549*IF(ISBLANK(Q549),1,Q549)+IFERROR(_xlfn.XLOOKUP("RECHERCHEX",TRIM(L549:AD549),L549:AD549),0),0))</f>
        <v/>
      </c>
      <c r="AM549" s="6229">
        <f t="shared" si="218"/>
        <v>0</v>
      </c>
      <c r="AN549" s="6857" t="str">
        <f t="shared" si="233"/>
        <v/>
      </c>
      <c r="AO549" s="392">
        <f t="shared" si="234"/>
        <v>0</v>
      </c>
      <c r="AP549" s="392">
        <f t="shared" si="220"/>
        <v>0</v>
      </c>
      <c r="AQ549" s="6191">
        <f t="shared" si="221"/>
        <v>0</v>
      </c>
      <c r="AR549" s="6859" t="str">
        <f t="shared" si="222"/>
        <v/>
      </c>
      <c r="AS549" s="6217"/>
      <c r="AT549" s="6217"/>
      <c r="AU549" s="6272">
        <f t="shared" si="223"/>
        <v>0</v>
      </c>
      <c r="AV549" s="6240">
        <f t="shared" si="224"/>
        <v>0</v>
      </c>
      <c r="AW549" s="6189" cm="1">
        <f t="array" ref="AW549">IF(AK549&lt;&gt;1,0,IF(OR(AU549="",N(AU549)&lt;=0.000000001),"",IF(OR(AO549="",N(AO549)&lt;=0.000000001),0,IF(ISNUMBER(AU549),IFERROR(_xlfn.LET(_xlpm.ai_test,TRIM(AJ549),_xlpm.r,IFERROR(_xlfn.XLOOKUP(_xlpm.ai_test,$BJ$15:$BJ$62,ROW($BJ$15:$BJ$62),0,1),IFERROR(_xlfn.XLOOKUP(_xlpm.ai_test,$BK$15:$BK$62,ROW($BK$15:$BK$62),0,1),_xlfn.XLOOKUP(_xlpm.ai_test,$BL$15:$BL$62,ROW($BL$15:$BL$62),0,1))),_xlpm.p,_xlpm.r-MIN(ROW($BJ$15:$BJ$62))+1,_xlpm.f,INDEX($BM$15:$BM$62,_xlpm.p),_xlpm.u,INDEX($BN$15:$BN$62,_xlpm.p),_xlpm.s,INDEX($BP$15:$BP$62,_xlpm.p),_xlpm.q,N(AU549)/_xlpm.f,IF(_xlpm.q&gt;=_xlpm.s,ROUND(_xlpm.q,1)&amp;" "&amp;_xlpm.ai_test&amp;" = "&amp;ROUND(_xlpm.q*_xlpm.f,1)&amp;" "&amp;_xlpm.u,ROUND(_xlpm.q,1)&amp;" "&amp;_xlpm.ai_test)),""),""))))</f>
        <v>0</v>
      </c>
      <c r="AX549" s="6218"/>
      <c r="AY549" s="6272">
        <f t="shared" si="225"/>
        <v>0</v>
      </c>
      <c r="AZ549" s="6240" t="str">
        <f t="shared" si="226"/>
        <v/>
      </c>
      <c r="BA549" s="6195">
        <f t="shared" si="231"/>
        <v>0</v>
      </c>
      <c r="BB549" s="6193" t="str">
        <f t="shared" si="227"/>
        <v/>
      </c>
      <c r="BC549" s="6219"/>
      <c r="BD549" s="6222">
        <f t="shared" si="232"/>
        <v>0</v>
      </c>
      <c r="BE549" s="6220" t="str">
        <f t="shared" si="228"/>
        <v/>
      </c>
      <c r="BF549" s="4" t="s">
        <v>1</v>
      </c>
      <c r="BG549" s="6196">
        <f t="shared" si="229"/>
        <v>0</v>
      </c>
      <c r="BH549" s="6197">
        <f t="shared" si="230"/>
        <v>0</v>
      </c>
      <c r="BI549"/>
      <c r="BJ549"/>
      <c r="BK549"/>
      <c r="BL549"/>
      <c r="BM549"/>
      <c r="BN549"/>
      <c r="BO549"/>
      <c r="BP549"/>
      <c r="BQ549"/>
      <c r="BX549" s="20" t="str">
        <f t="shared" si="211"/>
        <v>►</v>
      </c>
      <c r="BY549" s="2"/>
      <c r="BZ549" s="2"/>
      <c r="CA549" s="2"/>
      <c r="CB549" s="2"/>
      <c r="CC549" s="2"/>
      <c r="DC549" s="5">
        <v>1</v>
      </c>
    </row>
    <row r="550" spans="1:109" ht="21" customHeight="1">
      <c r="A550" s="6215"/>
      <c r="B550" s="6215"/>
      <c r="C550" s="5261"/>
      <c r="D550" s="6215"/>
      <c r="E550" s="6215"/>
      <c r="F550" s="6215"/>
      <c r="G550" s="6215"/>
      <c r="H550" s="6215"/>
      <c r="I550" s="6215"/>
      <c r="J550" s="6215"/>
      <c r="K550" s="6215"/>
      <c r="L550" s="6009" t="s">
        <v>21</v>
      </c>
      <c r="M550" s="6215"/>
      <c r="N550" s="6215"/>
      <c r="O550" s="6215"/>
      <c r="P550" s="6215"/>
      <c r="Q550" s="6215"/>
      <c r="R550" s="6215"/>
      <c r="S550" s="6215"/>
      <c r="T550" s="6215"/>
      <c r="U550" s="6215"/>
      <c r="V550" s="6215"/>
      <c r="W550" s="6215"/>
      <c r="X550" s="6215"/>
      <c r="Y550" s="6215"/>
      <c r="Z550" s="6215"/>
      <c r="AA550" s="6215"/>
      <c r="AB550" s="6215"/>
      <c r="AC550" s="6215"/>
      <c r="AD550" s="6215"/>
      <c r="AE550" s="6215"/>
      <c r="AF550" s="6215"/>
      <c r="AG550" s="6215"/>
      <c r="AH550" s="6215"/>
      <c r="AI550" s="6215"/>
      <c r="AJ550" s="6215"/>
      <c r="AK550" s="6215"/>
      <c r="AL550" s="6215"/>
      <c r="AM550" s="6215"/>
      <c r="AN550" s="6215"/>
      <c r="AO550" s="6215"/>
      <c r="AP550" s="6215"/>
      <c r="AQ550" s="6215"/>
      <c r="AR550" s="6215"/>
      <c r="AS550" s="6215"/>
      <c r="AT550" s="6215"/>
      <c r="AU550" s="6215"/>
      <c r="AV550" s="6215"/>
      <c r="AW550" s="6215"/>
      <c r="AX550" s="6215"/>
      <c r="AY550" s="6215"/>
      <c r="AZ550" s="6215"/>
      <c r="BA550" s="6215"/>
      <c r="BB550" s="6215"/>
      <c r="BC550" s="6215"/>
      <c r="BD550" s="6215"/>
      <c r="BE550" s="6215"/>
      <c r="BF550" s="6215"/>
      <c r="BG550" s="6215"/>
      <c r="BH550" s="6215"/>
      <c r="BI550" s="6215"/>
      <c r="BJ550" s="6215"/>
      <c r="BK550" s="6215"/>
      <c r="BL550" s="6215"/>
      <c r="BM550" s="6215"/>
      <c r="BN550" s="6215"/>
      <c r="BO550" s="6215"/>
      <c r="BP550" s="6215"/>
      <c r="BQ550" s="6215"/>
      <c r="BR550" s="6215"/>
      <c r="BS550" s="6215"/>
      <c r="BT550" s="6215"/>
      <c r="BU550" s="6215"/>
      <c r="BV550" s="6215"/>
      <c r="BW550" s="6215"/>
      <c r="BX550" s="6215"/>
      <c r="BY550" s="6216"/>
      <c r="BZ550" s="6216"/>
      <c r="CA550" s="6216"/>
      <c r="CB550" s="6216"/>
      <c r="CC550" s="6216"/>
      <c r="CD550" s="6216"/>
      <c r="CE550" s="6216"/>
      <c r="CF550" s="6216"/>
      <c r="CG550" s="6216"/>
      <c r="CH550" s="6216"/>
      <c r="CI550" s="6216"/>
      <c r="CJ550" s="6216"/>
      <c r="CK550" s="6216"/>
      <c r="CL550" s="6216"/>
      <c r="CM550" s="6216"/>
      <c r="CN550" s="6216"/>
      <c r="CO550" s="6216"/>
      <c r="CP550" s="6216"/>
      <c r="CQ550" s="6216"/>
      <c r="CR550" s="6216"/>
      <c r="CS550" s="6216"/>
      <c r="CT550" s="6216"/>
      <c r="CU550" s="6216"/>
      <c r="CV550" s="6216"/>
      <c r="CW550" s="6216"/>
      <c r="CX550" s="6216"/>
      <c r="CY550" s="6216"/>
      <c r="CZ550" s="6216"/>
      <c r="DA550" s="6216"/>
      <c r="DB550" s="6216"/>
      <c r="DC550" s="5">
        <v>1</v>
      </c>
    </row>
    <row r="551" spans="1:109">
      <c r="A551" s="5">
        <v>1</v>
      </c>
      <c r="B551" s="5">
        <v>1</v>
      </c>
      <c r="C551" s="5">
        <v>1</v>
      </c>
      <c r="D551" s="5">
        <v>1</v>
      </c>
      <c r="E551" s="5">
        <v>1</v>
      </c>
      <c r="F551" s="5">
        <v>1</v>
      </c>
      <c r="G551" s="5">
        <v>1</v>
      </c>
      <c r="H551" s="5">
        <v>1</v>
      </c>
      <c r="I551" s="5">
        <v>1</v>
      </c>
      <c r="J551" s="5">
        <v>1</v>
      </c>
      <c r="K551" s="5">
        <v>1</v>
      </c>
      <c r="L551" s="5">
        <v>1</v>
      </c>
      <c r="M551" s="5">
        <v>1</v>
      </c>
      <c r="N551" s="5">
        <v>1</v>
      </c>
      <c r="O551" s="5">
        <v>1</v>
      </c>
      <c r="P551" s="5">
        <v>1</v>
      </c>
      <c r="Q551" s="5">
        <v>1</v>
      </c>
      <c r="R551" s="5">
        <v>1</v>
      </c>
      <c r="S551" s="5">
        <v>1</v>
      </c>
      <c r="T551" s="5">
        <v>1</v>
      </c>
      <c r="U551" s="5">
        <v>1</v>
      </c>
      <c r="V551" s="5">
        <v>1</v>
      </c>
      <c r="W551" s="5">
        <v>1</v>
      </c>
      <c r="X551" s="5"/>
      <c r="Y551" s="5">
        <v>1</v>
      </c>
      <c r="Z551" s="5">
        <v>1</v>
      </c>
      <c r="AA551" s="5">
        <v>1</v>
      </c>
      <c r="AB551" s="5">
        <v>1</v>
      </c>
      <c r="AC551" s="5">
        <v>1</v>
      </c>
      <c r="AD551" s="5">
        <v>1</v>
      </c>
      <c r="AE551" s="5">
        <v>1</v>
      </c>
      <c r="AF551" s="5">
        <v>1</v>
      </c>
      <c r="AG551" s="5">
        <v>1</v>
      </c>
      <c r="AH551" s="5">
        <v>1</v>
      </c>
      <c r="AI551" s="5">
        <v>1</v>
      </c>
      <c r="AJ551" s="5">
        <v>1</v>
      </c>
      <c r="AK551" s="5">
        <v>1</v>
      </c>
      <c r="AL551" s="5">
        <v>1</v>
      </c>
      <c r="AM551" s="5">
        <v>1</v>
      </c>
      <c r="AN551" s="5">
        <v>1</v>
      </c>
      <c r="AO551" s="5">
        <v>1</v>
      </c>
      <c r="AP551" s="5">
        <v>1</v>
      </c>
      <c r="AQ551" s="5">
        <v>1</v>
      </c>
      <c r="AR551" s="5">
        <v>1</v>
      </c>
      <c r="AS551" s="5">
        <v>1</v>
      </c>
      <c r="AT551" s="5">
        <v>1</v>
      </c>
      <c r="AU551" s="5">
        <v>1</v>
      </c>
      <c r="AV551" s="5">
        <v>1</v>
      </c>
      <c r="AW551" s="5">
        <v>1</v>
      </c>
      <c r="AX551" s="5">
        <v>1</v>
      </c>
      <c r="AY551" s="5">
        <v>1</v>
      </c>
      <c r="AZ551" s="5">
        <v>1</v>
      </c>
      <c r="BA551" s="5">
        <v>1</v>
      </c>
      <c r="BB551" s="5">
        <v>1</v>
      </c>
      <c r="BC551" s="5">
        <v>1</v>
      </c>
      <c r="BD551" s="5">
        <v>1</v>
      </c>
      <c r="BE551" s="5">
        <v>1</v>
      </c>
      <c r="BF551" s="5">
        <v>1</v>
      </c>
      <c r="BG551" s="5">
        <v>1</v>
      </c>
      <c r="BH551" s="5">
        <v>1</v>
      </c>
      <c r="BI551" s="5">
        <v>1</v>
      </c>
      <c r="BJ551" s="5">
        <v>1</v>
      </c>
      <c r="BK551" s="5">
        <v>1</v>
      </c>
      <c r="BL551" s="5">
        <v>1</v>
      </c>
      <c r="BM551" s="5">
        <v>1</v>
      </c>
      <c r="BN551" s="5">
        <v>1</v>
      </c>
      <c r="BO551" s="5">
        <v>1</v>
      </c>
      <c r="BP551" s="5">
        <v>1</v>
      </c>
      <c r="BQ551" s="5">
        <v>1</v>
      </c>
      <c r="BR551" s="5">
        <v>1</v>
      </c>
      <c r="BS551" s="5">
        <v>1</v>
      </c>
      <c r="BT551" s="5">
        <v>1</v>
      </c>
      <c r="BU551" s="5">
        <v>1</v>
      </c>
      <c r="BV551" s="5">
        <v>1</v>
      </c>
      <c r="BW551" s="5">
        <v>1</v>
      </c>
      <c r="BX551" s="5">
        <v>1</v>
      </c>
      <c r="BY551" s="5">
        <v>1</v>
      </c>
      <c r="BZ551" s="5">
        <v>1</v>
      </c>
      <c r="CA551" s="5">
        <v>1</v>
      </c>
      <c r="CB551" s="5">
        <v>1</v>
      </c>
      <c r="CC551" s="5">
        <v>1</v>
      </c>
      <c r="CD551" s="5">
        <v>1</v>
      </c>
      <c r="CE551" s="5">
        <v>1</v>
      </c>
      <c r="CF551" s="5">
        <v>1</v>
      </c>
      <c r="CG551" s="5">
        <v>1</v>
      </c>
      <c r="CH551" s="5">
        <v>1</v>
      </c>
      <c r="CI551" s="5">
        <v>1</v>
      </c>
      <c r="CJ551" s="5">
        <v>1</v>
      </c>
      <c r="CK551" s="5">
        <v>1</v>
      </c>
      <c r="CL551" s="5">
        <v>1</v>
      </c>
      <c r="CM551" s="5">
        <v>1</v>
      </c>
      <c r="CN551" s="5">
        <v>1</v>
      </c>
      <c r="CO551" s="5">
        <v>1</v>
      </c>
      <c r="CP551" s="5">
        <v>1</v>
      </c>
      <c r="CQ551" s="5">
        <v>1</v>
      </c>
      <c r="CR551" s="5">
        <v>1</v>
      </c>
      <c r="CS551" s="5">
        <v>1</v>
      </c>
      <c r="CT551" s="5">
        <v>1</v>
      </c>
      <c r="CU551" s="5">
        <v>1</v>
      </c>
      <c r="CV551" s="5">
        <v>1</v>
      </c>
      <c r="CW551" s="5">
        <v>1</v>
      </c>
      <c r="CX551" s="5">
        <v>1</v>
      </c>
      <c r="CY551" s="5">
        <v>1</v>
      </c>
      <c r="CZ551" s="5">
        <v>1</v>
      </c>
      <c r="DA551" s="5">
        <v>1</v>
      </c>
      <c r="DB551" s="5">
        <v>1</v>
      </c>
      <c r="DC551" s="9" t="str">
        <f>ADDRESS(ROW(),COLUMN(),4)</f>
        <v>DC551</v>
      </c>
      <c r="DD551" s="8"/>
      <c r="DE551" s="7" t="str">
        <f>ADDRESS(ROW(),COLUMN(),4)</f>
        <v>DE551</v>
      </c>
    </row>
  </sheetData>
  <mergeCells count="96">
    <mergeCell ref="BJ107:BV108"/>
    <mergeCell ref="BJ74:BV75"/>
    <mergeCell ref="BJ82:BV83"/>
    <mergeCell ref="BJ90:BV91"/>
    <mergeCell ref="BJ99:BV100"/>
    <mergeCell ref="BJ69:BQ70"/>
    <mergeCell ref="BJ63:BQ64"/>
    <mergeCell ref="BY64:CC65"/>
    <mergeCell ref="CU64:DA65"/>
    <mergeCell ref="BJ67:BQ68"/>
    <mergeCell ref="BY67:CC69"/>
    <mergeCell ref="BY58:CC59"/>
    <mergeCell ref="CE59:CK60"/>
    <mergeCell ref="CM59:CS60"/>
    <mergeCell ref="CU59:DA60"/>
    <mergeCell ref="BY61:CC62"/>
    <mergeCell ref="BY45:CC46"/>
    <mergeCell ref="BY48:CC49"/>
    <mergeCell ref="BY30:CC31"/>
    <mergeCell ref="BY33:CC34"/>
    <mergeCell ref="BY36:CC37"/>
    <mergeCell ref="CE38:CK39"/>
    <mergeCell ref="CM38:CS39"/>
    <mergeCell ref="CU38:DA39"/>
    <mergeCell ref="BC20:BC21"/>
    <mergeCell ref="BD20:BD21"/>
    <mergeCell ref="BE20:BE21"/>
    <mergeCell ref="CE26:CK28"/>
    <mergeCell ref="CM26:CS28"/>
    <mergeCell ref="CU26:DA28"/>
    <mergeCell ref="BB20:BB21"/>
    <mergeCell ref="AG20:AK21"/>
    <mergeCell ref="AL20:AP21"/>
    <mergeCell ref="AQ20:AR21"/>
    <mergeCell ref="AS20:AT20"/>
    <mergeCell ref="AU20:AV21"/>
    <mergeCell ref="AW20:AW21"/>
    <mergeCell ref="AX20:AX21"/>
    <mergeCell ref="AY20:AZ21"/>
    <mergeCell ref="BA20:BA21"/>
    <mergeCell ref="BA16:BA17"/>
    <mergeCell ref="BB16:BB17"/>
    <mergeCell ref="BC16:BC17"/>
    <mergeCell ref="BD16:BD17"/>
    <mergeCell ref="BE16:BE17"/>
    <mergeCell ref="BE14:BE15"/>
    <mergeCell ref="AG16:AG17"/>
    <mergeCell ref="AL16:AP17"/>
    <mergeCell ref="AQ16:AR17"/>
    <mergeCell ref="AS16:AT17"/>
    <mergeCell ref="AU16:AV17"/>
    <mergeCell ref="AW16:AW17"/>
    <mergeCell ref="AX16:AX17"/>
    <mergeCell ref="AY16:AZ17"/>
    <mergeCell ref="AX14:AX15"/>
    <mergeCell ref="AY14:AZ15"/>
    <mergeCell ref="BA14:BA15"/>
    <mergeCell ref="BB14:BB15"/>
    <mergeCell ref="BC14:BC15"/>
    <mergeCell ref="BD14:BD15"/>
    <mergeCell ref="AG14:AG15"/>
    <mergeCell ref="AL14:AP15"/>
    <mergeCell ref="AQ14:AR15"/>
    <mergeCell ref="AS14:AT15"/>
    <mergeCell ref="AU14:AV15"/>
    <mergeCell ref="AW14:AW15"/>
    <mergeCell ref="CE11:CK11"/>
    <mergeCell ref="CM11:CS11"/>
    <mergeCell ref="CU11:DA11"/>
    <mergeCell ref="C12:C13"/>
    <mergeCell ref="CE8:CK8"/>
    <mergeCell ref="CM8:CS8"/>
    <mergeCell ref="CU8:DA8"/>
    <mergeCell ref="AP9:AR10"/>
    <mergeCell ref="AS9:AS10"/>
    <mergeCell ref="AT9:AU10"/>
    <mergeCell ref="CE9:CK10"/>
    <mergeCell ref="CM9:CS10"/>
    <mergeCell ref="CU9:DA10"/>
    <mergeCell ref="CE5:CK7"/>
    <mergeCell ref="CM5:CS7"/>
    <mergeCell ref="CU5:DA7"/>
    <mergeCell ref="BY6:CC7"/>
    <mergeCell ref="C7:J7"/>
    <mergeCell ref="AL7:AL8"/>
    <mergeCell ref="AM7:BA8"/>
    <mergeCell ref="BB7:BC8"/>
    <mergeCell ref="BD7:BD8"/>
    <mergeCell ref="D8:J8"/>
    <mergeCell ref="AZ3:BE4"/>
    <mergeCell ref="C5:J6"/>
    <mergeCell ref="AL5:AL6"/>
    <mergeCell ref="AM5:BA6"/>
    <mergeCell ref="BB5:BC6"/>
    <mergeCell ref="BD5:BD6"/>
    <mergeCell ref="BE5:BE8"/>
  </mergeCells>
  <conditionalFormatting sqref="X13:X549">
    <cfRule type="expression" dxfId="299" priority="13">
      <formula>LEFT(X13,4)="info"</formula>
    </cfRule>
  </conditionalFormatting>
  <conditionalFormatting sqref="X13:X549">
    <cfRule type="expression" dxfId="298" priority="6">
      <formula>LEFT(X13,1)="⚠"</formula>
    </cfRule>
    <cfRule type="expression" dxfId="297" priority="7">
      <formula>LEFT(X13,4)="info"</formula>
    </cfRule>
    <cfRule type="expression" dxfId="296" priority="8">
      <formula>LEFT(X13,1)="⚠"</formula>
    </cfRule>
    <cfRule type="expression" dxfId="295" priority="9">
      <formula>LEFT(X13,4)="info"</formula>
    </cfRule>
  </conditionalFormatting>
  <conditionalFormatting sqref="X13:X549">
    <cfRule type="expression" dxfId="294" priority="10">
      <formula>LEFT(X13,1)="⚠"</formula>
    </cfRule>
    <cfRule type="expression" dxfId="293" priority="11">
      <formula>LEFT(X13,4)="info"</formula>
    </cfRule>
  </conditionalFormatting>
  <conditionalFormatting sqref="X13:X549">
    <cfRule type="expression" dxfId="292" priority="12">
      <formula>LEFT(X13,1)="⚠"</formula>
    </cfRule>
  </conditionalFormatting>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4D31-0C25-4F89-9FB5-65A9CC66EA01}">
  <dimension ref="A1:CP414"/>
  <sheetViews>
    <sheetView showZeros="0" tabSelected="1" topLeftCell="AR1" zoomScaleNormal="100" workbookViewId="0">
      <selection activeCell="AR11" sqref="AR11"/>
    </sheetView>
  </sheetViews>
  <sheetFormatPr baseColWidth="10" defaultRowHeight="15"/>
  <cols>
    <col min="1" max="1" width="5.5703125" customWidth="1"/>
    <col min="2" max="5" width="3.7109375" style="4" customWidth="1"/>
    <col min="6" max="6" width="5.28515625" style="4" customWidth="1"/>
    <col min="7" max="8" width="12.7109375" style="4" customWidth="1"/>
    <col min="9" max="9" width="4" style="4" customWidth="1"/>
    <col min="10" max="10" width="9.7109375" style="4" customWidth="1"/>
    <col min="11" max="11" width="12.85546875" style="4" customWidth="1"/>
    <col min="12" max="12" width="13.42578125" style="4" customWidth="1"/>
    <col min="13" max="13" width="40.7109375" style="4" customWidth="1"/>
    <col min="14" max="14" width="14.7109375" style="4" customWidth="1"/>
    <col min="15" max="15" width="10.5703125" style="4" customWidth="1"/>
    <col min="16" max="16" width="9.28515625" style="4" customWidth="1"/>
    <col min="17" max="17" width="12.28515625" style="4" customWidth="1"/>
    <col min="18" max="19" width="13.7109375" style="4" customWidth="1"/>
    <col min="20" max="20" width="17.7109375" style="4" customWidth="1"/>
    <col min="21" max="21" width="3.7109375" customWidth="1"/>
    <col min="22" max="22" width="14.7109375" customWidth="1"/>
    <col min="23" max="23" width="3.42578125" customWidth="1"/>
    <col min="24" max="27" width="3.7109375" customWidth="1"/>
    <col min="28" max="28" width="5.7109375" customWidth="1"/>
    <col min="29" max="30" width="12.7109375" customWidth="1"/>
    <col min="31" max="31" width="3.7109375" customWidth="1"/>
    <col min="32" max="32" width="9.7109375" customWidth="1"/>
    <col min="33" max="33" width="12.7109375" customWidth="1"/>
    <col min="34" max="34" width="13.7109375" customWidth="1"/>
    <col min="35" max="35" width="40.7109375" customWidth="1"/>
    <col min="36" max="36" width="14.7109375" customWidth="1"/>
    <col min="37" max="37" width="10.7109375" customWidth="1"/>
    <col min="38" max="38" width="9.7109375" customWidth="1"/>
    <col min="39" max="39" width="12.7109375" customWidth="1"/>
    <col min="40" max="41" width="13.7109375" customWidth="1"/>
    <col min="42" max="42" width="17.7109375" customWidth="1"/>
    <col min="43" max="43" width="3.7109375" customWidth="1"/>
    <col min="44" max="44" width="14.7109375" customWidth="1"/>
    <col min="45" max="45" width="3.42578125" customWidth="1"/>
    <col min="46" max="49" width="3.7109375" customWidth="1"/>
    <col min="50" max="50" width="5.7109375" customWidth="1"/>
    <col min="51" max="52" width="12.7109375" customWidth="1"/>
    <col min="53" max="53" width="3.7109375" customWidth="1"/>
    <col min="54" max="54" width="9.7109375" customWidth="1"/>
    <col min="55" max="55" width="12.7109375" customWidth="1"/>
    <col min="56" max="56" width="13.7109375" customWidth="1"/>
    <col min="57" max="57" width="40.7109375" customWidth="1"/>
    <col min="58" max="58" width="14.7109375" customWidth="1"/>
    <col min="59" max="59" width="10.7109375" customWidth="1"/>
    <col min="60" max="60" width="9.7109375" customWidth="1"/>
    <col min="61" max="61" width="12.7109375" customWidth="1"/>
    <col min="62" max="63" width="13.7109375" customWidth="1"/>
    <col min="64" max="64" width="17.7109375" customWidth="1"/>
    <col min="65" max="65" width="3.7109375" customWidth="1"/>
    <col min="66" max="66" width="14.7109375" customWidth="1"/>
    <col min="67" max="67" width="3.42578125" customWidth="1"/>
    <col min="68" max="68" width="19.7109375" customWidth="1"/>
    <col min="69" max="69" width="18.7109375" customWidth="1"/>
    <col min="70" max="70" width="25.7109375" customWidth="1"/>
    <col min="71" max="71" width="18.28515625" customWidth="1"/>
    <col min="72" max="72" width="16.7109375" customWidth="1"/>
    <col min="73" max="73" width="31.7109375" customWidth="1"/>
    <col min="74" max="74" width="36.7109375" customWidth="1"/>
    <col min="75" max="75" width="5.42578125" customWidth="1"/>
    <col min="76" max="76" width="19.7109375" customWidth="1"/>
    <col min="77" max="77" width="18.7109375" customWidth="1"/>
    <col min="78" max="78" width="25.7109375" customWidth="1"/>
    <col min="79" max="80" width="16.7109375" customWidth="1"/>
    <col min="81" max="81" width="31.7109375" customWidth="1"/>
    <col min="82" max="82" width="36.7109375" customWidth="1"/>
    <col min="83" max="83" width="4.85546875" customWidth="1"/>
    <col min="84" max="84" width="19.7109375" customWidth="1"/>
    <col min="85" max="85" width="18.7109375" customWidth="1"/>
    <col min="86" max="86" width="25.7109375" customWidth="1"/>
    <col min="87" max="87" width="20.85546875" customWidth="1"/>
    <col min="88" max="88" width="16.7109375" customWidth="1"/>
    <col min="89" max="89" width="31.7109375" customWidth="1"/>
    <col min="90" max="90" width="36.7109375" customWidth="1"/>
    <col min="91" max="91" width="6.7109375" customWidth="1"/>
    <col min="94" max="94" width="86" customWidth="1"/>
  </cols>
  <sheetData>
    <row r="1" spans="1:94" ht="15.75" thickTop="1">
      <c r="A1" s="9" t="str">
        <f>ADDRESS(ROW(),COLUMN(),4)</f>
        <v>A1</v>
      </c>
      <c r="B1" s="443" t="str">
        <f t="shared" ref="B1:BL1" si="0">SUBSTITUTE(ADDRESS(1,COLUMN(),4),"1","")</f>
        <v>B</v>
      </c>
      <c r="C1" s="443" t="str">
        <f t="shared" si="0"/>
        <v>C</v>
      </c>
      <c r="D1" s="443" t="str">
        <f t="shared" si="0"/>
        <v>D</v>
      </c>
      <c r="E1" s="443" t="str">
        <f t="shared" si="0"/>
        <v>E</v>
      </c>
      <c r="F1" s="443" t="str">
        <f t="shared" si="0"/>
        <v>F</v>
      </c>
      <c r="G1" s="443" t="str">
        <f t="shared" si="0"/>
        <v>G</v>
      </c>
      <c r="H1" s="443" t="str">
        <f t="shared" si="0"/>
        <v>H</v>
      </c>
      <c r="I1" s="443" t="str">
        <f t="shared" si="0"/>
        <v>I</v>
      </c>
      <c r="J1" s="443" t="str">
        <f t="shared" si="0"/>
        <v>J</v>
      </c>
      <c r="K1" s="443" t="str">
        <f t="shared" si="0"/>
        <v>K</v>
      </c>
      <c r="L1" s="443" t="str">
        <f t="shared" si="0"/>
        <v>L</v>
      </c>
      <c r="M1" s="443" t="str">
        <f t="shared" si="0"/>
        <v>M</v>
      </c>
      <c r="N1" s="443"/>
      <c r="O1" s="443" t="str">
        <f t="shared" si="0"/>
        <v>O</v>
      </c>
      <c r="P1" s="443" t="str">
        <f t="shared" si="0"/>
        <v>P</v>
      </c>
      <c r="Q1" s="443" t="str">
        <f t="shared" si="0"/>
        <v>Q</v>
      </c>
      <c r="R1" s="443" t="str">
        <f t="shared" si="0"/>
        <v>R</v>
      </c>
      <c r="S1" s="443" t="str">
        <f t="shared" si="0"/>
        <v>S</v>
      </c>
      <c r="T1" s="443" t="str">
        <f t="shared" si="0"/>
        <v>T</v>
      </c>
      <c r="X1" s="443" t="str">
        <f t="shared" si="0"/>
        <v>X</v>
      </c>
      <c r="Y1" s="443" t="str">
        <f t="shared" si="0"/>
        <v>Y</v>
      </c>
      <c r="Z1" s="443" t="str">
        <f t="shared" si="0"/>
        <v>Z</v>
      </c>
      <c r="AA1" s="443" t="str">
        <f t="shared" si="0"/>
        <v>AA</v>
      </c>
      <c r="AB1" s="443" t="str">
        <f t="shared" si="0"/>
        <v>AB</v>
      </c>
      <c r="AC1" s="443" t="str">
        <f t="shared" si="0"/>
        <v>AC</v>
      </c>
      <c r="AD1" s="443" t="str">
        <f t="shared" si="0"/>
        <v>AD</v>
      </c>
      <c r="AE1" s="443" t="str">
        <f t="shared" si="0"/>
        <v>AE</v>
      </c>
      <c r="AF1" s="443" t="str">
        <f t="shared" si="0"/>
        <v>AF</v>
      </c>
      <c r="AG1" s="443" t="str">
        <f t="shared" si="0"/>
        <v>AG</v>
      </c>
      <c r="AH1" s="443" t="str">
        <f t="shared" si="0"/>
        <v>AH</v>
      </c>
      <c r="AI1" s="443" t="str">
        <f t="shared" si="0"/>
        <v>AI</v>
      </c>
      <c r="AJ1" s="443"/>
      <c r="AK1" s="443" t="str">
        <f t="shared" si="0"/>
        <v>AK</v>
      </c>
      <c r="AL1" s="443" t="str">
        <f t="shared" si="0"/>
        <v>AL</v>
      </c>
      <c r="AM1" s="443" t="str">
        <f t="shared" si="0"/>
        <v>AM</v>
      </c>
      <c r="AN1" s="443" t="str">
        <f t="shared" si="0"/>
        <v>AN</v>
      </c>
      <c r="AO1" s="443" t="str">
        <f t="shared" si="0"/>
        <v>AO</v>
      </c>
      <c r="AP1" s="443" t="str">
        <f t="shared" si="0"/>
        <v>AP</v>
      </c>
      <c r="AT1" s="443" t="str">
        <f t="shared" si="0"/>
        <v>AT</v>
      </c>
      <c r="AU1" s="443" t="str">
        <f t="shared" si="0"/>
        <v>AU</v>
      </c>
      <c r="AV1" s="443" t="str">
        <f t="shared" si="0"/>
        <v>AV</v>
      </c>
      <c r="AW1" s="443" t="str">
        <f t="shared" si="0"/>
        <v>AW</v>
      </c>
      <c r="AX1" s="443" t="str">
        <f t="shared" si="0"/>
        <v>AX</v>
      </c>
      <c r="AY1" s="443" t="str">
        <f t="shared" si="0"/>
        <v>AY</v>
      </c>
      <c r="AZ1" s="443" t="str">
        <f t="shared" si="0"/>
        <v>AZ</v>
      </c>
      <c r="BA1" s="443" t="str">
        <f t="shared" si="0"/>
        <v>BA</v>
      </c>
      <c r="BB1" s="443" t="str">
        <f t="shared" si="0"/>
        <v>BB</v>
      </c>
      <c r="BC1" s="443" t="str">
        <f t="shared" si="0"/>
        <v>BC</v>
      </c>
      <c r="BD1" s="443" t="str">
        <f t="shared" si="0"/>
        <v>BD</v>
      </c>
      <c r="BE1" s="443" t="str">
        <f t="shared" si="0"/>
        <v>BE</v>
      </c>
      <c r="BF1" s="443"/>
      <c r="BG1" s="443" t="str">
        <f t="shared" si="0"/>
        <v>BG</v>
      </c>
      <c r="BH1" s="443" t="str">
        <f t="shared" si="0"/>
        <v>BH</v>
      </c>
      <c r="BI1" s="443" t="str">
        <f t="shared" si="0"/>
        <v>BI</v>
      </c>
      <c r="BJ1" s="443" t="str">
        <f t="shared" si="0"/>
        <v>BJ</v>
      </c>
      <c r="BK1" s="443" t="str">
        <f t="shared" si="0"/>
        <v>BK</v>
      </c>
      <c r="BL1" s="443" t="str">
        <f t="shared" si="0"/>
        <v>BL</v>
      </c>
      <c r="BP1" s="443" t="str">
        <f t="shared" ref="BP1:BV1" si="1">SUBSTITUTE(ADDRESS(1,COLUMN(),4),"1","")</f>
        <v>BP</v>
      </c>
      <c r="BQ1" s="443" t="str">
        <f t="shared" si="1"/>
        <v>BQ</v>
      </c>
      <c r="BR1" s="443" t="str">
        <f t="shared" si="1"/>
        <v>BR</v>
      </c>
      <c r="BS1" s="443" t="str">
        <f t="shared" si="1"/>
        <v>BS</v>
      </c>
      <c r="BT1" s="443" t="str">
        <f t="shared" si="1"/>
        <v>BT</v>
      </c>
      <c r="BU1" s="443" t="str">
        <f t="shared" si="1"/>
        <v>BU</v>
      </c>
      <c r="BV1" s="443" t="str">
        <f t="shared" si="1"/>
        <v>BV</v>
      </c>
      <c r="BX1" s="443" t="str">
        <f t="shared" ref="BX1:CD1" si="2">SUBSTITUTE(ADDRESS(1,COLUMN(),4),"1","")</f>
        <v>BX</v>
      </c>
      <c r="BY1" s="443" t="str">
        <f t="shared" si="2"/>
        <v>BY</v>
      </c>
      <c r="BZ1" s="443" t="str">
        <f t="shared" si="2"/>
        <v>BZ</v>
      </c>
      <c r="CA1" s="443" t="str">
        <f t="shared" si="2"/>
        <v>CA</v>
      </c>
      <c r="CB1" s="443" t="str">
        <f t="shared" si="2"/>
        <v>CB</v>
      </c>
      <c r="CC1" s="443" t="str">
        <f t="shared" si="2"/>
        <v>CC</v>
      </c>
      <c r="CD1" s="443" t="str">
        <f t="shared" si="2"/>
        <v>CD</v>
      </c>
      <c r="CF1" s="443" t="str">
        <f t="shared" ref="CF1:CL1" si="3">SUBSTITUTE(ADDRESS(1,COLUMN(),4),"1","")</f>
        <v>CF</v>
      </c>
      <c r="CG1" s="443" t="str">
        <f t="shared" si="3"/>
        <v>CG</v>
      </c>
      <c r="CH1" s="443" t="str">
        <f t="shared" si="3"/>
        <v>CH</v>
      </c>
      <c r="CI1" s="443" t="str">
        <f t="shared" si="3"/>
        <v>CI</v>
      </c>
      <c r="CJ1" s="443" t="str">
        <f t="shared" si="3"/>
        <v>CJ</v>
      </c>
      <c r="CK1" s="443" t="str">
        <f t="shared" si="3"/>
        <v>CK</v>
      </c>
      <c r="CL1" s="443" t="str">
        <f t="shared" si="3"/>
        <v>CL</v>
      </c>
      <c r="CN1" s="5">
        <v>1</v>
      </c>
      <c r="CO1" s="442" t="str">
        <f>SUBSTITUTE(ADDRESS(1,COLUMN(),4),"1","")</f>
        <v>CO</v>
      </c>
      <c r="CP1" s="5497" t="str">
        <f>SUBSTITUTE(ADDRESS(1,COLUMN(),4),"1","")</f>
        <v>CP</v>
      </c>
    </row>
    <row r="2" spans="1:94" ht="15.75" thickBot="1">
      <c r="B2" s="6186">
        <f t="shared" ref="B2:T2" ca="1" si="4">INDEX(CELL("largeur",B2),1,1)</f>
        <v>3</v>
      </c>
      <c r="C2" s="6186">
        <f t="shared" ca="1" si="4"/>
        <v>3</v>
      </c>
      <c r="D2" s="6186">
        <f t="shared" ca="1" si="4"/>
        <v>3</v>
      </c>
      <c r="E2" s="6186">
        <f t="shared" ca="1" si="4"/>
        <v>3</v>
      </c>
      <c r="F2" s="6186">
        <f t="shared" ca="1" si="4"/>
        <v>5</v>
      </c>
      <c r="G2" s="6186">
        <f t="shared" ca="1" si="4"/>
        <v>12</v>
      </c>
      <c r="H2" s="6186">
        <f t="shared" ca="1" si="4"/>
        <v>12</v>
      </c>
      <c r="I2" s="6186">
        <f t="shared" ca="1" si="4"/>
        <v>3</v>
      </c>
      <c r="J2" s="6186">
        <f t="shared" ca="1" si="4"/>
        <v>9</v>
      </c>
      <c r="K2" s="6186">
        <f t="shared" ca="1" si="4"/>
        <v>12</v>
      </c>
      <c r="L2" s="6186">
        <f t="shared" ca="1" si="4"/>
        <v>13</v>
      </c>
      <c r="M2" s="6186">
        <f t="shared" ca="1" si="4"/>
        <v>40</v>
      </c>
      <c r="N2" s="6186">
        <f t="shared" ca="1" si="4"/>
        <v>14</v>
      </c>
      <c r="O2" s="6186">
        <f t="shared" ca="1" si="4"/>
        <v>10</v>
      </c>
      <c r="P2" s="6186">
        <f t="shared" ca="1" si="4"/>
        <v>9</v>
      </c>
      <c r="Q2" s="6186">
        <f t="shared" ca="1" si="4"/>
        <v>12</v>
      </c>
      <c r="R2" s="6186">
        <f t="shared" ca="1" si="4"/>
        <v>13</v>
      </c>
      <c r="S2" s="6186">
        <f t="shared" ca="1" si="4"/>
        <v>13</v>
      </c>
      <c r="T2" s="6186">
        <f t="shared" ca="1" si="4"/>
        <v>17</v>
      </c>
      <c r="X2" s="6186">
        <f t="shared" ref="X2:AP2" ca="1" si="5">INDEX(CELL("largeur",X2),1,1)</f>
        <v>3</v>
      </c>
      <c r="Y2" s="6186">
        <f t="shared" ca="1" si="5"/>
        <v>3</v>
      </c>
      <c r="Z2" s="6186">
        <f t="shared" ca="1" si="5"/>
        <v>3</v>
      </c>
      <c r="AA2" s="6186">
        <f t="shared" ca="1" si="5"/>
        <v>3</v>
      </c>
      <c r="AB2" s="6186">
        <f t="shared" ca="1" si="5"/>
        <v>5</v>
      </c>
      <c r="AC2" s="6186">
        <f t="shared" ca="1" si="5"/>
        <v>12</v>
      </c>
      <c r="AD2" s="6186">
        <f t="shared" ca="1" si="5"/>
        <v>12</v>
      </c>
      <c r="AE2" s="6186">
        <f t="shared" ca="1" si="5"/>
        <v>3</v>
      </c>
      <c r="AF2" s="6186">
        <f t="shared" ca="1" si="5"/>
        <v>9</v>
      </c>
      <c r="AG2" s="6186">
        <f t="shared" ca="1" si="5"/>
        <v>12</v>
      </c>
      <c r="AH2" s="6186">
        <f t="shared" ca="1" si="5"/>
        <v>13</v>
      </c>
      <c r="AI2" s="6186">
        <f t="shared" ca="1" si="5"/>
        <v>40</v>
      </c>
      <c r="AJ2" s="6186">
        <f t="shared" ca="1" si="5"/>
        <v>14</v>
      </c>
      <c r="AK2" s="6186">
        <f t="shared" ca="1" si="5"/>
        <v>10</v>
      </c>
      <c r="AL2" s="6186">
        <f t="shared" ca="1" si="5"/>
        <v>9</v>
      </c>
      <c r="AM2" s="6186">
        <f t="shared" ca="1" si="5"/>
        <v>12</v>
      </c>
      <c r="AN2" s="6186">
        <f t="shared" ca="1" si="5"/>
        <v>13</v>
      </c>
      <c r="AO2" s="6186">
        <f t="shared" ca="1" si="5"/>
        <v>13</v>
      </c>
      <c r="AP2" s="6186">
        <f t="shared" ca="1" si="5"/>
        <v>17</v>
      </c>
      <c r="AT2" s="6186">
        <f t="shared" ref="AT2:BL2" ca="1" si="6">INDEX(CELL("largeur",AT2),1,1)</f>
        <v>3</v>
      </c>
      <c r="AU2" s="6186">
        <f t="shared" ca="1" si="6"/>
        <v>3</v>
      </c>
      <c r="AV2" s="6186">
        <f t="shared" ca="1" si="6"/>
        <v>3</v>
      </c>
      <c r="AW2" s="6186">
        <f t="shared" ca="1" si="6"/>
        <v>3</v>
      </c>
      <c r="AX2" s="6186">
        <f t="shared" ca="1" si="6"/>
        <v>5</v>
      </c>
      <c r="AY2" s="6186">
        <f t="shared" ca="1" si="6"/>
        <v>12</v>
      </c>
      <c r="AZ2" s="6186">
        <f t="shared" ca="1" si="6"/>
        <v>12</v>
      </c>
      <c r="BA2" s="6186">
        <f t="shared" ca="1" si="6"/>
        <v>3</v>
      </c>
      <c r="BB2" s="6186">
        <f t="shared" ca="1" si="6"/>
        <v>9</v>
      </c>
      <c r="BC2" s="6186">
        <f t="shared" ca="1" si="6"/>
        <v>12</v>
      </c>
      <c r="BD2" s="6186">
        <f t="shared" ca="1" si="6"/>
        <v>13</v>
      </c>
      <c r="BE2" s="6186">
        <f t="shared" ca="1" si="6"/>
        <v>40</v>
      </c>
      <c r="BF2" s="6186">
        <f t="shared" ca="1" si="6"/>
        <v>14</v>
      </c>
      <c r="BG2" s="6186">
        <f t="shared" ca="1" si="6"/>
        <v>10</v>
      </c>
      <c r="BH2" s="6186">
        <f t="shared" ca="1" si="6"/>
        <v>9</v>
      </c>
      <c r="BI2" s="6186">
        <f t="shared" ca="1" si="6"/>
        <v>12</v>
      </c>
      <c r="BJ2" s="6186">
        <f t="shared" ca="1" si="6"/>
        <v>13</v>
      </c>
      <c r="BK2" s="6186">
        <f t="shared" ca="1" si="6"/>
        <v>13</v>
      </c>
      <c r="BL2" s="6186">
        <f t="shared" ca="1" si="6"/>
        <v>17</v>
      </c>
      <c r="BM2" s="6764" t="s">
        <v>10024</v>
      </c>
      <c r="BP2" s="6186">
        <f t="shared" ref="BP2:BV2" ca="1" si="7">INDEX(CELL("largeur",BP2),1,1)</f>
        <v>19</v>
      </c>
      <c r="BQ2" s="6186">
        <f t="shared" ca="1" si="7"/>
        <v>18</v>
      </c>
      <c r="BR2" s="6186">
        <f t="shared" ca="1" si="7"/>
        <v>25</v>
      </c>
      <c r="BS2" s="6186">
        <f t="shared" ca="1" si="7"/>
        <v>18</v>
      </c>
      <c r="BT2" s="6186">
        <f t="shared" ca="1" si="7"/>
        <v>16</v>
      </c>
      <c r="BU2" s="6186">
        <f t="shared" ca="1" si="7"/>
        <v>31</v>
      </c>
      <c r="BV2" s="6186">
        <f t="shared" ca="1" si="7"/>
        <v>36</v>
      </c>
      <c r="BX2" s="6186">
        <f t="shared" ref="BX2:CD2" ca="1" si="8">INDEX(CELL("largeur",BX2),1,1)</f>
        <v>19</v>
      </c>
      <c r="BY2" s="6186">
        <f t="shared" ca="1" si="8"/>
        <v>18</v>
      </c>
      <c r="BZ2" s="6186">
        <f t="shared" ca="1" si="8"/>
        <v>25</v>
      </c>
      <c r="CA2" s="6186">
        <f t="shared" ca="1" si="8"/>
        <v>16</v>
      </c>
      <c r="CB2" s="6186">
        <f t="shared" ca="1" si="8"/>
        <v>16</v>
      </c>
      <c r="CC2" s="6186">
        <f t="shared" ca="1" si="8"/>
        <v>31</v>
      </c>
      <c r="CD2" s="6186">
        <f t="shared" ca="1" si="8"/>
        <v>36</v>
      </c>
      <c r="CF2" s="6186">
        <f t="shared" ref="CF2:CL2" ca="1" si="9">INDEX(CELL("largeur",CF2),1,1)</f>
        <v>19</v>
      </c>
      <c r="CG2" s="6186">
        <f t="shared" ca="1" si="9"/>
        <v>18</v>
      </c>
      <c r="CH2" s="6186">
        <f t="shared" ca="1" si="9"/>
        <v>25</v>
      </c>
      <c r="CI2" s="6186">
        <f t="shared" ca="1" si="9"/>
        <v>20</v>
      </c>
      <c r="CJ2" s="6186">
        <f t="shared" ca="1" si="9"/>
        <v>16</v>
      </c>
      <c r="CK2" s="6186">
        <f t="shared" ca="1" si="9"/>
        <v>31</v>
      </c>
      <c r="CL2" s="6186">
        <f t="shared" ca="1" si="9"/>
        <v>36</v>
      </c>
      <c r="CN2" s="5">
        <v>1</v>
      </c>
      <c r="CO2" s="6323" t="s">
        <v>8850</v>
      </c>
      <c r="CP2" s="440"/>
    </row>
    <row r="3" spans="1:94" ht="21" customHeight="1" thickBot="1">
      <c r="B3" s="6735">
        <v>3</v>
      </c>
      <c r="C3" s="6735">
        <v>3</v>
      </c>
      <c r="D3" s="6735">
        <v>3</v>
      </c>
      <c r="E3" s="6735">
        <v>3</v>
      </c>
      <c r="F3" s="6735">
        <v>5</v>
      </c>
      <c r="G3" s="6735">
        <v>12</v>
      </c>
      <c r="H3" s="6735">
        <v>12</v>
      </c>
      <c r="I3" s="6735">
        <v>3</v>
      </c>
      <c r="J3" s="6735">
        <v>9</v>
      </c>
      <c r="K3" s="6735">
        <v>12</v>
      </c>
      <c r="L3" s="6735">
        <v>13</v>
      </c>
      <c r="M3" s="6735">
        <v>40</v>
      </c>
      <c r="N3" s="6735">
        <v>14</v>
      </c>
      <c r="O3" s="6735">
        <v>10</v>
      </c>
      <c r="P3" s="6735">
        <v>9</v>
      </c>
      <c r="Q3" s="6735">
        <v>12</v>
      </c>
      <c r="R3" s="6735">
        <v>13</v>
      </c>
      <c r="S3" s="6735">
        <v>13</v>
      </c>
      <c r="T3" s="6735">
        <v>17</v>
      </c>
      <c r="X3" s="6735">
        <v>3</v>
      </c>
      <c r="Y3" s="6735">
        <v>3</v>
      </c>
      <c r="Z3" s="6735">
        <v>3</v>
      </c>
      <c r="AA3" s="6735">
        <v>3</v>
      </c>
      <c r="AB3" s="6735">
        <v>5</v>
      </c>
      <c r="AC3" s="6735">
        <v>12</v>
      </c>
      <c r="AD3" s="6735">
        <v>12</v>
      </c>
      <c r="AE3" s="6735">
        <v>3</v>
      </c>
      <c r="AF3" s="6735">
        <v>9</v>
      </c>
      <c r="AG3" s="6735">
        <v>12</v>
      </c>
      <c r="AH3" s="6735">
        <v>13</v>
      </c>
      <c r="AI3" s="6735">
        <v>40</v>
      </c>
      <c r="AJ3" s="6735">
        <v>14</v>
      </c>
      <c r="AK3" s="6735">
        <v>10</v>
      </c>
      <c r="AL3" s="6735">
        <v>9</v>
      </c>
      <c r="AM3" s="6735">
        <v>12</v>
      </c>
      <c r="AN3" s="6735">
        <v>13</v>
      </c>
      <c r="AO3" s="6735">
        <v>13</v>
      </c>
      <c r="AP3" s="6735">
        <v>17</v>
      </c>
      <c r="AT3" s="6735">
        <v>3</v>
      </c>
      <c r="AU3" s="6735">
        <v>3</v>
      </c>
      <c r="AV3" s="6735">
        <v>3</v>
      </c>
      <c r="AW3" s="6735">
        <v>3</v>
      </c>
      <c r="AX3" s="6735">
        <v>5</v>
      </c>
      <c r="AY3" s="6735">
        <v>12</v>
      </c>
      <c r="AZ3" s="6735">
        <v>12</v>
      </c>
      <c r="BA3" s="6735">
        <v>3</v>
      </c>
      <c r="BB3" s="6735">
        <v>9</v>
      </c>
      <c r="BC3" s="6735">
        <v>12</v>
      </c>
      <c r="BD3" s="6735">
        <v>13</v>
      </c>
      <c r="BE3" s="6735">
        <v>40</v>
      </c>
      <c r="BF3" s="6735">
        <v>14</v>
      </c>
      <c r="BG3" s="6735">
        <v>10</v>
      </c>
      <c r="BH3" s="6735">
        <v>9</v>
      </c>
      <c r="BI3" s="6735">
        <v>12</v>
      </c>
      <c r="BJ3" s="6735">
        <v>13</v>
      </c>
      <c r="BK3" s="6735">
        <v>13</v>
      </c>
      <c r="BL3" s="6735">
        <v>17</v>
      </c>
      <c r="BM3" s="6764" t="s">
        <v>9703</v>
      </c>
      <c r="CI3" s="6676" t="s">
        <v>293</v>
      </c>
      <c r="CJ3" s="9" t="str">
        <f>$CN$414</f>
        <v>CN414</v>
      </c>
      <c r="CL3" s="6676"/>
      <c r="CN3" s="5">
        <v>1</v>
      </c>
      <c r="CO3" s="430">
        <f ca="1">COUNTA(A1:CN414) + COUNTBLANK(A1:CN414)</f>
        <v>38367</v>
      </c>
      <c r="CP3" s="6324" t="str">
        <f>"cellules entre -cells -celdas  "&amp;" " &amp;A1&amp;" et  "&amp;CN414</f>
        <v>cellules entre -cells -celdas   A1 et  CN414</v>
      </c>
    </row>
    <row r="4" spans="1:94" ht="21" customHeight="1">
      <c r="B4" s="310" t="s">
        <v>266</v>
      </c>
      <c r="C4" s="310" t="s">
        <v>265</v>
      </c>
      <c r="D4" s="6675" t="s">
        <v>264</v>
      </c>
      <c r="E4" s="6675" t="s">
        <v>263</v>
      </c>
      <c r="F4" s="6675" t="s">
        <v>218</v>
      </c>
      <c r="G4" s="5181"/>
      <c r="H4" s="5181"/>
      <c r="I4" s="5181"/>
      <c r="J4" s="5181"/>
      <c r="K4" s="5181"/>
      <c r="L4" s="5181"/>
      <c r="M4" s="6752"/>
      <c r="N4" s="6752"/>
      <c r="O4" s="6753" t="s">
        <v>9993</v>
      </c>
      <c r="P4" s="5181"/>
      <c r="Q4" s="5181"/>
      <c r="R4" s="5181"/>
      <c r="S4" s="5181"/>
      <c r="T4" s="5181"/>
      <c r="X4" s="310" t="s">
        <v>266</v>
      </c>
      <c r="Y4" s="310" t="s">
        <v>265</v>
      </c>
      <c r="Z4" s="6675" t="s">
        <v>264</v>
      </c>
      <c r="AA4" s="6675" t="s">
        <v>263</v>
      </c>
      <c r="AB4" s="6675" t="s">
        <v>218</v>
      </c>
      <c r="AC4" s="141"/>
      <c r="AD4" s="141"/>
      <c r="AE4" s="141"/>
      <c r="AF4" s="141"/>
      <c r="AG4" s="141"/>
      <c r="AH4" s="141"/>
      <c r="AI4" s="141"/>
      <c r="AJ4" s="141"/>
      <c r="AK4" s="6753" t="s">
        <v>9993</v>
      </c>
      <c r="AL4" s="5395"/>
      <c r="AM4" s="5395"/>
      <c r="AN4" s="5395"/>
      <c r="AO4" s="5395"/>
      <c r="AP4" s="5395"/>
      <c r="AT4" s="310" t="s">
        <v>266</v>
      </c>
      <c r="AU4" s="310" t="s">
        <v>265</v>
      </c>
      <c r="AV4" s="6675" t="s">
        <v>264</v>
      </c>
      <c r="AW4" s="6675" t="s">
        <v>263</v>
      </c>
      <c r="AX4" s="6675" t="s">
        <v>218</v>
      </c>
      <c r="AY4" s="141"/>
      <c r="AZ4" s="141"/>
      <c r="BA4" s="141"/>
      <c r="BB4" s="141"/>
      <c r="BC4" s="141"/>
      <c r="BD4" s="141"/>
      <c r="BE4" s="141"/>
      <c r="BF4" s="141"/>
      <c r="BG4" s="6753" t="s">
        <v>9994</v>
      </c>
      <c r="BH4" s="141"/>
      <c r="BI4" s="141"/>
      <c r="BJ4" s="141"/>
      <c r="BK4" s="141"/>
      <c r="BL4" s="141"/>
      <c r="CI4" s="1738" t="s">
        <v>8855</v>
      </c>
      <c r="CL4" s="1738"/>
      <c r="CN4" s="5">
        <v>1</v>
      </c>
      <c r="CO4" s="430">
        <f ca="1">COUNTA(A1:CN414)</f>
        <v>8953</v>
      </c>
      <c r="CP4" s="6324" t="s">
        <v>8851</v>
      </c>
    </row>
    <row r="5" spans="1:94" ht="21" customHeight="1">
      <c r="B5" s="5666" t="s">
        <v>21</v>
      </c>
      <c r="C5" s="5682" t="s">
        <v>8344</v>
      </c>
      <c r="D5" s="5676"/>
      <c r="E5" s="5676"/>
      <c r="F5" s="5676"/>
      <c r="G5" s="5677"/>
      <c r="H5" s="5677"/>
      <c r="I5" s="5677"/>
      <c r="J5" s="5677"/>
      <c r="K5" s="5677"/>
      <c r="L5" s="5677"/>
      <c r="M5" s="6751"/>
      <c r="N5" s="6751"/>
      <c r="O5" s="7083" t="s">
        <v>9997</v>
      </c>
      <c r="P5" s="7083"/>
      <c r="Q5" s="7083"/>
      <c r="R5" s="7083"/>
      <c r="S5" s="7083"/>
      <c r="T5" s="7083"/>
      <c r="X5" s="5666" t="s">
        <v>21</v>
      </c>
      <c r="Y5" t="s">
        <v>9989</v>
      </c>
      <c r="Z5" s="141"/>
      <c r="AA5" s="141"/>
      <c r="AB5" s="141"/>
      <c r="AC5" s="141"/>
      <c r="AD5" s="141"/>
      <c r="AE5" s="141"/>
      <c r="AF5" s="141"/>
      <c r="AG5" s="141"/>
      <c r="AH5" s="141"/>
      <c r="AI5" s="141"/>
      <c r="AJ5" s="141"/>
      <c r="AK5" s="7083" t="s">
        <v>9995</v>
      </c>
      <c r="AL5" s="7083"/>
      <c r="AM5" s="7083"/>
      <c r="AN5" s="7083"/>
      <c r="AO5" s="7083"/>
      <c r="AP5" s="7083"/>
      <c r="AT5" s="5666" t="s">
        <v>21</v>
      </c>
      <c r="AU5" s="141" t="s">
        <v>9991</v>
      </c>
      <c r="AV5" s="141"/>
      <c r="AW5" s="141"/>
      <c r="AX5" s="141"/>
      <c r="AY5" s="141"/>
      <c r="AZ5" s="141"/>
      <c r="BA5" s="141"/>
      <c r="BB5" s="141"/>
      <c r="BC5" s="141"/>
      <c r="BD5" s="141"/>
      <c r="BE5" s="141"/>
      <c r="BF5" s="141"/>
      <c r="BG5" s="7083" t="s">
        <v>9996</v>
      </c>
      <c r="BH5" s="7083"/>
      <c r="BI5" s="7083"/>
      <c r="BJ5" s="7083"/>
      <c r="BK5" s="7083"/>
      <c r="BL5" s="7083"/>
      <c r="CM5" s="187"/>
      <c r="CN5" s="5">
        <v>1</v>
      </c>
      <c r="CO5" s="430">
        <f ca="1">COUNTBLANK(A1:CN414)</f>
        <v>29414</v>
      </c>
      <c r="CP5" s="6324" t="s">
        <v>8852</v>
      </c>
    </row>
    <row r="6" spans="1:94" ht="21" customHeight="1">
      <c r="B6" s="5666" t="s">
        <v>21</v>
      </c>
      <c r="C6" s="5682" t="s">
        <v>8468</v>
      </c>
      <c r="D6" s="5676"/>
      <c r="E6" s="5676"/>
      <c r="F6" s="5676"/>
      <c r="G6" s="5181"/>
      <c r="H6" s="5181"/>
      <c r="I6" s="5181"/>
      <c r="J6" s="5181"/>
      <c r="K6" s="5181"/>
      <c r="L6" s="5181"/>
      <c r="M6" s="6751"/>
      <c r="N6" s="6751"/>
      <c r="O6" s="7083"/>
      <c r="P6" s="7083"/>
      <c r="Q6" s="7083"/>
      <c r="R6" s="7083"/>
      <c r="S6" s="7083"/>
      <c r="T6" s="7083"/>
      <c r="X6" s="5666" t="s">
        <v>21</v>
      </c>
      <c r="Y6" t="s">
        <v>9990</v>
      </c>
      <c r="Z6" s="141"/>
      <c r="AA6" s="141"/>
      <c r="AB6" s="141"/>
      <c r="AC6" s="141"/>
      <c r="AD6" s="141"/>
      <c r="AE6" s="141"/>
      <c r="AF6" s="141"/>
      <c r="AG6" s="141"/>
      <c r="AH6" s="141"/>
      <c r="AI6" s="141"/>
      <c r="AJ6" s="141"/>
      <c r="AK6" s="7083"/>
      <c r="AL6" s="7083"/>
      <c r="AM6" s="7083"/>
      <c r="AN6" s="7083"/>
      <c r="AO6" s="7083"/>
      <c r="AP6" s="7083"/>
      <c r="AT6" s="5666" t="s">
        <v>21</v>
      </c>
      <c r="AU6" s="141" t="s">
        <v>9992</v>
      </c>
      <c r="AV6" s="141"/>
      <c r="AW6" s="141"/>
      <c r="AX6" s="141"/>
      <c r="AY6" s="141"/>
      <c r="AZ6" s="141"/>
      <c r="BA6" s="141"/>
      <c r="BB6" s="141"/>
      <c r="BC6" s="141"/>
      <c r="BD6" s="141"/>
      <c r="BE6" s="141"/>
      <c r="BF6" s="141"/>
      <c r="BG6" s="7083"/>
      <c r="BH6" s="7083"/>
      <c r="BI6" s="7083"/>
      <c r="BJ6" s="7083"/>
      <c r="BK6" s="7083"/>
      <c r="BL6" s="7083"/>
      <c r="CN6" s="5">
        <v>1</v>
      </c>
      <c r="CO6" s="430">
        <f>SUM(CN1:CN412)+2</f>
        <v>414</v>
      </c>
      <c r="CP6" s="6324" t="s">
        <v>8853</v>
      </c>
    </row>
    <row r="7" spans="1:94" ht="21" customHeight="1" thickBot="1">
      <c r="B7" s="5666" t="s">
        <v>26</v>
      </c>
      <c r="C7" s="5813" t="s">
        <v>1901</v>
      </c>
      <c r="D7" s="5801"/>
      <c r="E7" s="5801"/>
      <c r="F7" s="5801"/>
      <c r="G7" s="5801"/>
      <c r="H7" s="5801"/>
      <c r="I7" s="5801"/>
      <c r="J7" s="5801"/>
      <c r="K7" s="5801"/>
      <c r="L7" s="5801"/>
      <c r="M7" s="5801"/>
      <c r="N7" s="5801"/>
      <c r="O7" s="5801"/>
      <c r="P7" s="5801"/>
      <c r="Q7" s="5801"/>
      <c r="R7" s="5801"/>
      <c r="S7" s="5801"/>
      <c r="T7" s="5801"/>
      <c r="X7" s="5666" t="s">
        <v>26</v>
      </c>
      <c r="Y7" s="141"/>
      <c r="Z7" s="141"/>
      <c r="AA7" s="141"/>
      <c r="AB7" s="141"/>
      <c r="AC7" s="141"/>
      <c r="AD7" s="141"/>
      <c r="AE7" s="141"/>
      <c r="AF7" s="141"/>
      <c r="AG7" s="141"/>
      <c r="AH7" s="141"/>
      <c r="AI7" s="141"/>
      <c r="AJ7" s="141"/>
      <c r="AK7" s="141"/>
      <c r="AL7" s="141"/>
      <c r="AM7" s="141"/>
      <c r="AN7" s="141"/>
      <c r="AO7" s="141"/>
      <c r="AP7" s="6750" t="s">
        <v>8373</v>
      </c>
      <c r="AT7" s="5666" t="s">
        <v>26</v>
      </c>
      <c r="AU7" s="141"/>
      <c r="AV7" s="141"/>
      <c r="AW7" s="141"/>
      <c r="AX7" s="141"/>
      <c r="AY7" s="141"/>
      <c r="AZ7" s="141"/>
      <c r="BA7" s="141"/>
      <c r="BB7" s="141"/>
      <c r="BC7" s="141"/>
      <c r="BD7" s="141"/>
      <c r="BE7" s="141"/>
      <c r="BF7" s="141"/>
      <c r="BG7" s="141"/>
      <c r="BH7" s="141"/>
      <c r="BI7" s="141"/>
      <c r="BJ7" s="141"/>
      <c r="BK7" s="141"/>
      <c r="BL7" s="6750" t="s">
        <v>8374</v>
      </c>
      <c r="CN7" s="5">
        <v>1</v>
      </c>
      <c r="CO7" s="430">
        <f>SUM(A414:BO414)+1</f>
        <v>66</v>
      </c>
      <c r="CP7" s="6324" t="s">
        <v>8854</v>
      </c>
    </row>
    <row r="8" spans="1:94" ht="21" customHeight="1">
      <c r="B8" s="5636" t="s">
        <v>21</v>
      </c>
      <c r="C8" s="5231" t="str">
        <f>C14</f>
        <v>N NOM DE VOTRE RECETTE | collez la--FAMILLE| Auteur &gt; VOUS</v>
      </c>
      <c r="D8" s="5232">
        <f>D14</f>
        <v>0.6</v>
      </c>
      <c r="E8" s="5232" t="str">
        <f>E14</f>
        <v>Kg</v>
      </c>
      <c r="F8" s="5384" t="str">
        <f>F14</f>
        <v>Recette mère ► Ballotine de pintade</v>
      </c>
      <c r="G8" s="5233" t="s">
        <v>1</v>
      </c>
      <c r="H8" s="5234" t="s">
        <v>251</v>
      </c>
      <c r="I8" s="5234"/>
      <c r="J8" s="6911" t="s">
        <v>1090</v>
      </c>
      <c r="K8" s="6911"/>
      <c r="L8" s="6911"/>
      <c r="M8" s="6911"/>
      <c r="N8" s="6911"/>
      <c r="O8" s="6911"/>
      <c r="P8" s="6911"/>
      <c r="Q8" s="6911"/>
      <c r="R8" s="6935" t="s">
        <v>10012</v>
      </c>
      <c r="S8" s="6935"/>
      <c r="T8" s="6915" t="str">
        <f>UPPER(LEFT(J8,1))</f>
        <v>N</v>
      </c>
      <c r="X8" s="5636" t="s">
        <v>21</v>
      </c>
      <c r="Y8" s="5231" t="str">
        <f>Y14</f>
        <v>N NAME OF YOUR RECIPE | paste it — FAMILY|  Author &gt; YOU</v>
      </c>
      <c r="Z8" s="5232">
        <f>Z14</f>
        <v>0.6</v>
      </c>
      <c r="AA8" s="5232" t="str">
        <f>AA14</f>
        <v>kg</v>
      </c>
      <c r="AB8" s="5384" t="str">
        <f>AB14</f>
        <v>Master recipe ► Guinea fowl ballotine</v>
      </c>
      <c r="AC8" s="5233" t="s">
        <v>1</v>
      </c>
      <c r="AD8" s="5234" t="s">
        <v>251</v>
      </c>
      <c r="AE8" s="5234"/>
      <c r="AF8" s="6911" t="s">
        <v>890</v>
      </c>
      <c r="AG8" s="6911"/>
      <c r="AH8" s="6911"/>
      <c r="AI8" s="6911"/>
      <c r="AJ8" s="6911"/>
      <c r="AK8" s="6911"/>
      <c r="AL8" s="6911"/>
      <c r="AM8" s="6911"/>
      <c r="AN8" s="6935" t="s">
        <v>10010</v>
      </c>
      <c r="AO8" s="6935"/>
      <c r="AP8" s="6915" t="str">
        <f>UPPER(LEFT(AF8,1))</f>
        <v>N</v>
      </c>
      <c r="AT8" s="5636" t="s">
        <v>21</v>
      </c>
      <c r="AU8" s="5231" t="str">
        <f>AU14</f>
        <v>N NOMBRE DE SU RECETA | pegue esto — FAMILIA| Autor &gt; USTED</v>
      </c>
      <c r="AV8" s="5232">
        <f>AV14</f>
        <v>0.6</v>
      </c>
      <c r="AW8" s="5232" t="str">
        <f>AW14</f>
        <v>kg</v>
      </c>
      <c r="AX8" s="5384" t="str">
        <f>AX14</f>
        <v>Receta madre ► Ballotina de pintada</v>
      </c>
      <c r="AY8" s="5233" t="s">
        <v>1</v>
      </c>
      <c r="AZ8" s="5234" t="s">
        <v>8402</v>
      </c>
      <c r="BA8" s="5234"/>
      <c r="BB8" s="6911" t="s">
        <v>8400</v>
      </c>
      <c r="BC8" s="6911"/>
      <c r="BD8" s="6911"/>
      <c r="BE8" s="6911"/>
      <c r="BF8" s="6911"/>
      <c r="BG8" s="6911"/>
      <c r="BH8" s="6911"/>
      <c r="BI8" s="6911"/>
      <c r="BJ8" s="6913" t="s">
        <v>10011</v>
      </c>
      <c r="BK8" s="6913"/>
      <c r="BL8" s="6915" t="str">
        <f>UPPER(LEFT(BB8,1))</f>
        <v>N</v>
      </c>
      <c r="BP8" s="7015" t="s">
        <v>9596</v>
      </c>
      <c r="BQ8" s="7016"/>
      <c r="BR8" s="7016"/>
      <c r="BS8" s="7016"/>
      <c r="BT8" s="7016"/>
      <c r="BU8" s="7016"/>
      <c r="BV8" s="7017"/>
      <c r="BX8" s="7015" t="s">
        <v>9595</v>
      </c>
      <c r="BY8" s="7016"/>
      <c r="BZ8" s="7016"/>
      <c r="CA8" s="7016"/>
      <c r="CB8" s="7016"/>
      <c r="CC8" s="7016"/>
      <c r="CD8" s="7017"/>
      <c r="CF8" s="7015" t="s">
        <v>9594</v>
      </c>
      <c r="CG8" s="7016"/>
      <c r="CH8" s="7016"/>
      <c r="CI8" s="7016"/>
      <c r="CJ8" s="7016"/>
      <c r="CK8" s="7016"/>
      <c r="CL8" s="7017"/>
      <c r="CN8" s="5">
        <v>1</v>
      </c>
    </row>
    <row r="9" spans="1:94" ht="21" customHeight="1">
      <c r="B9" s="1018" t="s">
        <v>21</v>
      </c>
      <c r="C9" s="363" t="str">
        <f>C14</f>
        <v>N NOM DE VOTRE RECETTE | collez la--FAMILLE| Auteur &gt; VOUS</v>
      </c>
      <c r="D9" s="362">
        <f>D14</f>
        <v>0.6</v>
      </c>
      <c r="E9" s="362" t="str">
        <f>E14</f>
        <v>Kg</v>
      </c>
      <c r="F9" s="5385" t="str">
        <f>F14</f>
        <v>Recette mère ► Ballotine de pintade</v>
      </c>
      <c r="G9" s="361" t="s">
        <v>245</v>
      </c>
      <c r="H9" s="360" t="s">
        <v>9181</v>
      </c>
      <c r="I9" s="360"/>
      <c r="J9" s="6912"/>
      <c r="K9" s="6912"/>
      <c r="L9" s="6912"/>
      <c r="M9" s="6912"/>
      <c r="N9" s="6912"/>
      <c r="O9" s="6912"/>
      <c r="P9" s="6912"/>
      <c r="Q9" s="6912"/>
      <c r="R9" s="6936"/>
      <c r="S9" s="6936"/>
      <c r="T9" s="6916"/>
      <c r="X9" s="1018" t="s">
        <v>21</v>
      </c>
      <c r="Y9" s="363" t="str">
        <f>Y14</f>
        <v>N NAME OF YOUR RECIPE | paste it — FAMILY|  Author &gt; YOU</v>
      </c>
      <c r="Z9" s="362">
        <f>Z14</f>
        <v>0.6</v>
      </c>
      <c r="AA9" s="362" t="str">
        <f>AA14</f>
        <v>kg</v>
      </c>
      <c r="AB9" s="5385" t="str">
        <f>AB14</f>
        <v>Master recipe ► Guinea fowl ballotine</v>
      </c>
      <c r="AC9" s="361" t="s">
        <v>9685</v>
      </c>
      <c r="AD9" s="360" t="s">
        <v>9181</v>
      </c>
      <c r="AE9" s="360"/>
      <c r="AF9" s="6912"/>
      <c r="AG9" s="6912"/>
      <c r="AH9" s="6912"/>
      <c r="AI9" s="6912"/>
      <c r="AJ9" s="6912"/>
      <c r="AK9" s="6912"/>
      <c r="AL9" s="6912"/>
      <c r="AM9" s="6912"/>
      <c r="AN9" s="6936"/>
      <c r="AO9" s="6936"/>
      <c r="AP9" s="6916"/>
      <c r="AT9" s="1018" t="s">
        <v>21</v>
      </c>
      <c r="AU9" s="363" t="str">
        <f>AU14</f>
        <v>N NOMBRE DE SU RECETA | pegue esto — FAMILIA| Autor &gt; USTED</v>
      </c>
      <c r="AV9" s="362">
        <f>AV14</f>
        <v>0.6</v>
      </c>
      <c r="AW9" s="362" t="str">
        <f>AW14</f>
        <v>kg</v>
      </c>
      <c r="AX9" s="5385" t="str">
        <f>AX14</f>
        <v>Receta madre ► Ballotina de pintada</v>
      </c>
      <c r="AY9" s="361" t="s">
        <v>8401</v>
      </c>
      <c r="AZ9" s="360" t="s">
        <v>9181</v>
      </c>
      <c r="BA9" s="360"/>
      <c r="BB9" s="6912"/>
      <c r="BC9" s="6912"/>
      <c r="BD9" s="6912"/>
      <c r="BE9" s="6912"/>
      <c r="BF9" s="6912"/>
      <c r="BG9" s="6912"/>
      <c r="BH9" s="6912"/>
      <c r="BI9" s="6912"/>
      <c r="BJ9" s="6914"/>
      <c r="BK9" s="6914"/>
      <c r="BL9" s="6916"/>
      <c r="BP9" s="7018"/>
      <c r="BQ9" s="7019"/>
      <c r="BR9" s="7019"/>
      <c r="BS9" s="7019"/>
      <c r="BT9" s="7019"/>
      <c r="BU9" s="7019"/>
      <c r="BV9" s="7020"/>
      <c r="BX9" s="7018"/>
      <c r="BY9" s="7019"/>
      <c r="BZ9" s="7019"/>
      <c r="CA9" s="7019"/>
      <c r="CB9" s="7019"/>
      <c r="CC9" s="7019"/>
      <c r="CD9" s="7020"/>
      <c r="CF9" s="7018"/>
      <c r="CG9" s="7019"/>
      <c r="CH9" s="7019"/>
      <c r="CI9" s="7019"/>
      <c r="CJ9" s="7019"/>
      <c r="CK9" s="7019"/>
      <c r="CL9" s="7020"/>
      <c r="CN9" s="5">
        <v>1</v>
      </c>
    </row>
    <row r="10" spans="1:94" ht="21" customHeight="1">
      <c r="B10" s="1018" t="s">
        <v>21</v>
      </c>
      <c r="C10" s="41" t="str">
        <f>C14</f>
        <v>N NOM DE VOTRE RECETTE | collez la--FAMILLE| Auteur &gt; VOUS</v>
      </c>
      <c r="D10" s="40">
        <f>D14</f>
        <v>0.6</v>
      </c>
      <c r="E10" s="40" t="str">
        <f>E14</f>
        <v>Kg</v>
      </c>
      <c r="F10" s="5386" t="str">
        <f>F14</f>
        <v>Recette mère ► Ballotine de pintade</v>
      </c>
      <c r="G10" s="351"/>
      <c r="H10" s="350" t="s">
        <v>8388</v>
      </c>
      <c r="I10" s="349"/>
      <c r="J10" s="348" t="s">
        <v>232</v>
      </c>
      <c r="K10" s="347" t="s">
        <v>1092</v>
      </c>
      <c r="L10" s="141"/>
      <c r="M10" s="347"/>
      <c r="N10" s="347"/>
      <c r="O10" s="347"/>
      <c r="P10" s="347"/>
      <c r="Q10" s="5235"/>
      <c r="R10" s="141"/>
      <c r="S10" s="141"/>
      <c r="T10" s="409"/>
      <c r="X10" s="1018" t="s">
        <v>21</v>
      </c>
      <c r="Y10" s="41" t="str">
        <f>Y14</f>
        <v>N NAME OF YOUR RECIPE | paste it — FAMILY|  Author &gt; YOU</v>
      </c>
      <c r="Z10" s="40">
        <f>Z14</f>
        <v>0.6</v>
      </c>
      <c r="AA10" s="40" t="str">
        <f>AA14</f>
        <v>kg</v>
      </c>
      <c r="AB10" s="5386" t="str">
        <f>AB14</f>
        <v>Master recipe ► Guinea fowl ballotine</v>
      </c>
      <c r="AC10" s="351"/>
      <c r="AD10" s="350" t="s">
        <v>8395</v>
      </c>
      <c r="AE10" s="349"/>
      <c r="AF10" s="348" t="s">
        <v>8387</v>
      </c>
      <c r="AG10" s="347" t="s">
        <v>898</v>
      </c>
      <c r="AH10" s="141"/>
      <c r="AI10" s="347"/>
      <c r="AJ10" s="347"/>
      <c r="AK10" s="347"/>
      <c r="AL10" s="347"/>
      <c r="AM10" s="5235"/>
      <c r="AN10" s="141"/>
      <c r="AO10" s="141"/>
      <c r="AP10" s="409"/>
      <c r="AT10" s="1018" t="s">
        <v>21</v>
      </c>
      <c r="AU10" s="41" t="str">
        <f>AU14</f>
        <v>N NOMBRE DE SU RECETA | pegue esto — FAMILIA| Autor &gt; USTED</v>
      </c>
      <c r="AV10" s="40">
        <f>AV14</f>
        <v>0.6</v>
      </c>
      <c r="AW10" s="40" t="str">
        <f>AW14</f>
        <v>kg</v>
      </c>
      <c r="AX10" s="5386" t="str">
        <f>AX14</f>
        <v>Receta madre ► Ballotina de pintada</v>
      </c>
      <c r="AY10" s="351"/>
      <c r="AZ10" s="350" t="s">
        <v>8430</v>
      </c>
      <c r="BA10" s="349"/>
      <c r="BB10" s="348" t="s">
        <v>8403</v>
      </c>
      <c r="BC10" s="347" t="s">
        <v>8404</v>
      </c>
      <c r="BD10" s="141"/>
      <c r="BE10" s="347"/>
      <c r="BF10" s="347"/>
      <c r="BG10" s="347"/>
      <c r="BH10" s="347"/>
      <c r="BI10" s="5235"/>
      <c r="BJ10" s="141"/>
      <c r="BK10" s="141"/>
      <c r="BL10" s="409"/>
      <c r="BP10" s="7018"/>
      <c r="BQ10" s="7019"/>
      <c r="BR10" s="7019"/>
      <c r="BS10" s="7019"/>
      <c r="BT10" s="7019"/>
      <c r="BU10" s="7019"/>
      <c r="BV10" s="7020"/>
      <c r="BX10" s="7018"/>
      <c r="BY10" s="7019"/>
      <c r="BZ10" s="7019"/>
      <c r="CA10" s="7019"/>
      <c r="CB10" s="7019"/>
      <c r="CC10" s="7019"/>
      <c r="CD10" s="7020"/>
      <c r="CF10" s="7018"/>
      <c r="CG10" s="7019"/>
      <c r="CH10" s="7019"/>
      <c r="CI10" s="7019"/>
      <c r="CJ10" s="7019"/>
      <c r="CK10" s="7019"/>
      <c r="CL10" s="7020"/>
      <c r="CN10" s="5">
        <v>1</v>
      </c>
    </row>
    <row r="11" spans="1:94" ht="21" customHeight="1" thickBot="1">
      <c r="B11" s="1018" t="s">
        <v>21</v>
      </c>
      <c r="C11" s="41" t="str">
        <f>C14</f>
        <v>N NOM DE VOTRE RECETTE | collez la--FAMILLE| Auteur &gt; VOUS</v>
      </c>
      <c r="D11" s="40">
        <f>D14</f>
        <v>0.6</v>
      </c>
      <c r="E11" s="40" t="str">
        <f>E14</f>
        <v>Kg</v>
      </c>
      <c r="F11" s="5386" t="str">
        <f>F14</f>
        <v>Recette mère ► Ballotine de pintade</v>
      </c>
      <c r="G11" s="333" t="s">
        <v>228</v>
      </c>
      <c r="H11" s="341"/>
      <c r="I11" s="341"/>
      <c r="J11" s="340" t="s">
        <v>227</v>
      </c>
      <c r="K11" s="6901" t="str">
        <f>L14&amp;" "&amp;M14&amp;" ► Famille = "&amp;R8&amp;" ► "&amp;J8&amp;" "&amp;Q11&amp;" "&amp;R11&amp;" "&amp;S11&amp;" "&amp;T11</f>
        <v>Recette mère ► Ballotine de pintade ► Famille = collez la--FAMILLE ► NOM DE VOTRE RECETTE  ⓫  Dupliquée pour 20 maigre de pintade</v>
      </c>
      <c r="L11" s="6901"/>
      <c r="M11" s="6901"/>
      <c r="N11" s="6225"/>
      <c r="O11" s="6225"/>
      <c r="P11" s="6225"/>
      <c r="Q11" s="5235"/>
      <c r="R11" s="5236" t="s">
        <v>8008</v>
      </c>
      <c r="S11" s="5237">
        <v>20</v>
      </c>
      <c r="T11" s="344" t="str">
        <f>T13</f>
        <v>maigre de pintade</v>
      </c>
      <c r="X11" s="1018" t="s">
        <v>21</v>
      </c>
      <c r="Y11" s="41" t="str">
        <f>Y14</f>
        <v>N NAME OF YOUR RECIPE | paste it — FAMILY|  Author &gt; YOU</v>
      </c>
      <c r="Z11" s="40">
        <f>Z14</f>
        <v>0.6</v>
      </c>
      <c r="AA11" s="40" t="str">
        <f>AA14</f>
        <v>kg</v>
      </c>
      <c r="AB11" s="5386" t="str">
        <f>AB14</f>
        <v>Master recipe ► Guinea fowl ballotine</v>
      </c>
      <c r="AC11" s="333" t="s">
        <v>8376</v>
      </c>
      <c r="AD11" s="341"/>
      <c r="AE11" s="341"/>
      <c r="AF11" s="340" t="s">
        <v>227</v>
      </c>
      <c r="AG11" s="6901" t="str">
        <f>AH14&amp;" "&amp;AI14&amp;" ► family = "&amp;AN8&amp;" ► "&amp;AF8&amp;" "&amp;AM11&amp;" "&amp;AN11&amp;" "&amp;AO11&amp;" "&amp;AP11</f>
        <v>Master recipe ► Guinea fowl ballotine ► family = paste it — FAMILY ► NAME OF YOUR RECIPE  ⓫ Duplicated for 20 kg of guinea</v>
      </c>
      <c r="AH11" s="6901"/>
      <c r="AI11" s="6901"/>
      <c r="AJ11" s="6225"/>
      <c r="AK11" s="6225"/>
      <c r="AL11" s="6225"/>
      <c r="AM11" s="5235"/>
      <c r="AN11" s="5236" t="s">
        <v>888</v>
      </c>
      <c r="AO11" s="5237">
        <v>20</v>
      </c>
      <c r="AP11" s="5620" t="str">
        <f>AP13</f>
        <v>kg of guinea</v>
      </c>
      <c r="AT11" s="1018" t="s">
        <v>21</v>
      </c>
      <c r="AU11" s="41" t="str">
        <f>AU14</f>
        <v>N NOMBRE DE SU RECETA | pegue esto — FAMILIA| Autor &gt; USTED</v>
      </c>
      <c r="AV11" s="40">
        <f>AV14</f>
        <v>0.6</v>
      </c>
      <c r="AW11" s="40" t="str">
        <f>AW14</f>
        <v>kg</v>
      </c>
      <c r="AX11" s="5386" t="str">
        <f>AX14</f>
        <v>Receta madre ► Ballotina de pintada</v>
      </c>
      <c r="AY11" s="333" t="s">
        <v>8405</v>
      </c>
      <c r="AZ11" s="341"/>
      <c r="BA11" s="341"/>
      <c r="BB11" s="340" t="s">
        <v>8407</v>
      </c>
      <c r="BC11" s="6901" t="str">
        <f>BD14&amp;" "&amp;BE14&amp;" ► familia = "&amp;BJ8&amp;" ► "&amp;BB8&amp;" "&amp;BI11&amp;" "&amp;BJ11&amp;" "&amp;BK11&amp;" "&amp;BL11</f>
        <v>Receta madre ► Ballotina de pintada ► familia = pegue esto — FAMILIA ► NOMBRE DE SU RECETA  ⓫ Duplicada para 20 kg magra de pintada</v>
      </c>
      <c r="BD11" s="6901"/>
      <c r="BE11" s="6901"/>
      <c r="BF11" s="6225"/>
      <c r="BG11" s="6225"/>
      <c r="BH11" s="6225"/>
      <c r="BI11" s="5235"/>
      <c r="BJ11" s="5236" t="s">
        <v>8408</v>
      </c>
      <c r="BK11" s="5237">
        <v>20</v>
      </c>
      <c r="BL11" s="5406" t="str">
        <f>BL13</f>
        <v>kg magra de pintada</v>
      </c>
      <c r="BP11" s="6404" t="s">
        <v>9586</v>
      </c>
      <c r="BQ11" s="5783"/>
      <c r="BR11" s="5783"/>
      <c r="BS11" s="5783"/>
      <c r="BT11" s="5783"/>
      <c r="BU11" s="5783"/>
      <c r="BV11" s="6403"/>
      <c r="BX11" s="6404" t="s">
        <v>9584</v>
      </c>
      <c r="BY11" s="5783"/>
      <c r="BZ11" s="5783"/>
      <c r="CA11" s="5783"/>
      <c r="CB11" s="5783"/>
      <c r="CC11" s="5783"/>
      <c r="CD11" s="6403"/>
      <c r="CF11" s="6404" t="s">
        <v>9585</v>
      </c>
      <c r="CG11" s="5783"/>
      <c r="CH11" s="5783"/>
      <c r="CI11" s="5783"/>
      <c r="CJ11" s="5783"/>
      <c r="CK11" s="5783"/>
      <c r="CL11" s="6403"/>
      <c r="CN11" s="5">
        <v>1</v>
      </c>
    </row>
    <row r="12" spans="1:94" ht="21" customHeight="1">
      <c r="B12" s="1018" t="s">
        <v>21</v>
      </c>
      <c r="C12" s="41" t="str">
        <f>C14</f>
        <v>N NOM DE VOTRE RECETTE | collez la--FAMILLE| Auteur &gt; VOUS</v>
      </c>
      <c r="D12" s="40">
        <f>D14</f>
        <v>0.6</v>
      </c>
      <c r="E12" s="40" t="str">
        <f>E14</f>
        <v>Kg</v>
      </c>
      <c r="F12" s="5386" t="str">
        <f>F14</f>
        <v>Recette mère ► Ballotine de pintade</v>
      </c>
      <c r="G12" s="5238">
        <v>0.6</v>
      </c>
      <c r="H12" s="5832" t="s">
        <v>111</v>
      </c>
      <c r="I12" s="333"/>
      <c r="J12" s="333"/>
      <c r="K12" s="6901"/>
      <c r="L12" s="6901"/>
      <c r="M12" s="6901"/>
      <c r="N12" s="6225"/>
      <c r="O12" s="6225"/>
      <c r="P12" s="6225"/>
      <c r="Q12" s="5239"/>
      <c r="R12" s="141"/>
      <c r="S12" s="5392" t="s">
        <v>8354</v>
      </c>
      <c r="T12" s="5391" t="s">
        <v>8353</v>
      </c>
      <c r="X12" s="1018" t="s">
        <v>21</v>
      </c>
      <c r="Y12" s="41" t="str">
        <f>Y14</f>
        <v>N NAME OF YOUR RECIPE | paste it — FAMILY|  Author &gt; YOU</v>
      </c>
      <c r="Z12" s="40">
        <f>Z14</f>
        <v>0.6</v>
      </c>
      <c r="AA12" s="40" t="str">
        <f>AA14</f>
        <v>kg</v>
      </c>
      <c r="AB12" s="5386" t="str">
        <f>AB14</f>
        <v>Master recipe ► Guinea fowl ballotine</v>
      </c>
      <c r="AC12" s="5238">
        <v>0.6</v>
      </c>
      <c r="AD12" s="5455" t="s">
        <v>219</v>
      </c>
      <c r="AE12" s="333"/>
      <c r="AF12" s="333"/>
      <c r="AG12" s="6901"/>
      <c r="AH12" s="6901"/>
      <c r="AI12" s="6901"/>
      <c r="AJ12" s="6225"/>
      <c r="AK12" s="6225"/>
      <c r="AL12" s="6225"/>
      <c r="AM12" s="5239"/>
      <c r="AN12" s="141"/>
      <c r="AO12" s="5392" t="s">
        <v>8378</v>
      </c>
      <c r="AP12" s="5391" t="s">
        <v>8390</v>
      </c>
      <c r="AT12" s="1018" t="s">
        <v>21</v>
      </c>
      <c r="AU12" s="41" t="str">
        <f>AU14</f>
        <v>N NOMBRE DE SU RECETA | pegue esto — FAMILIA| Autor &gt; USTED</v>
      </c>
      <c r="AV12" s="40">
        <f>AV14</f>
        <v>0.6</v>
      </c>
      <c r="AW12" s="40" t="str">
        <f>AW14</f>
        <v>kg</v>
      </c>
      <c r="AX12" s="5386" t="str">
        <f>AX14</f>
        <v>Receta madre ► Ballotina de pintada</v>
      </c>
      <c r="AY12" s="6734">
        <v>0.6</v>
      </c>
      <c r="AZ12" s="5455" t="s">
        <v>219</v>
      </c>
      <c r="BA12" s="333"/>
      <c r="BB12" s="333"/>
      <c r="BC12" s="6901"/>
      <c r="BD12" s="6901"/>
      <c r="BE12" s="6901"/>
      <c r="BF12" s="6225"/>
      <c r="BG12" s="6225"/>
      <c r="BH12" s="6225"/>
      <c r="BI12" s="5239"/>
      <c r="BJ12" s="141"/>
      <c r="BK12" s="5392" t="s">
        <v>8409</v>
      </c>
      <c r="BL12" s="5391" t="s">
        <v>8410</v>
      </c>
      <c r="BP12" s="6375" t="s">
        <v>9180</v>
      </c>
      <c r="BQ12" s="6363" t="s">
        <v>837</v>
      </c>
      <c r="BR12" s="5611"/>
      <c r="BS12" s="5611"/>
      <c r="BT12" s="5611"/>
      <c r="BU12" s="5611"/>
      <c r="BV12" s="6376" t="s">
        <v>9167</v>
      </c>
      <c r="BX12" s="6375" t="s">
        <v>9582</v>
      </c>
      <c r="BY12" s="6363" t="s">
        <v>9217</v>
      </c>
      <c r="BZ12" s="5611"/>
      <c r="CA12" s="5611"/>
      <c r="CB12" s="5611"/>
      <c r="CC12" s="5611"/>
      <c r="CD12" s="6376" t="s">
        <v>9517</v>
      </c>
      <c r="CF12" s="6375" t="s">
        <v>9180</v>
      </c>
      <c r="CG12" s="6363" t="s">
        <v>9360</v>
      </c>
      <c r="CH12" s="5611"/>
      <c r="CI12" s="5611"/>
      <c r="CJ12" s="5611"/>
      <c r="CK12" s="5611"/>
      <c r="CL12" s="6376" t="s">
        <v>9518</v>
      </c>
      <c r="CN12" s="5">
        <v>1</v>
      </c>
    </row>
    <row r="13" spans="1:94" ht="21" customHeight="1">
      <c r="B13" s="1018" t="s">
        <v>26</v>
      </c>
      <c r="C13" s="41" t="str">
        <f>C14</f>
        <v>N NOM DE VOTRE RECETTE | collez la--FAMILLE| Auteur &gt; VOUS</v>
      </c>
      <c r="D13" s="40">
        <f>D14</f>
        <v>0.6</v>
      </c>
      <c r="E13" s="40" t="str">
        <f>E14</f>
        <v>Kg</v>
      </c>
      <c r="F13" s="5386" t="str">
        <f>F14</f>
        <v>Recette mère ► Ballotine de pintade</v>
      </c>
      <c r="G13" s="5397"/>
      <c r="H13" s="6831" t="s">
        <v>10699</v>
      </c>
      <c r="I13" s="6902">
        <f>Q23</f>
        <v>0.60000000000000009</v>
      </c>
      <c r="J13" s="6902"/>
      <c r="K13" s="6832" t="str" cm="1">
        <f t="array" ref="K13">"1= "&amp;IF(OR(G12&lt;=0,I13=""),"",_xlfn.LET(_xlpm.kg,IF(ISNUMBER(I13),I13,VALEUR(SUBSTITUTE(SUBSTITUTE(SUBSTITUTE(LOWER(I13),"kg",""),",",".")," ",""))),TEXT(ROUND(_xlpm.kg*1000/G12,2),"0.##")&amp;" g"))</f>
        <v>1= 1000. g</v>
      </c>
      <c r="L13" s="6833">
        <f>IFERROR(S11/G12,0)</f>
        <v>33.333333333333336</v>
      </c>
      <c r="M13" s="6203"/>
      <c r="N13" s="6203"/>
      <c r="O13" s="6203"/>
      <c r="P13" s="6203"/>
      <c r="Q13"/>
      <c r="R13" s="5241" t="s">
        <v>944</v>
      </c>
      <c r="S13" s="5376">
        <v>0.4</v>
      </c>
      <c r="T13" s="5242" t="s">
        <v>9987</v>
      </c>
      <c r="X13" s="1018" t="s">
        <v>26</v>
      </c>
      <c r="Y13" s="41" t="str">
        <f>Y14</f>
        <v>N NAME OF YOUR RECIPE | paste it — FAMILY|  Author &gt; YOU</v>
      </c>
      <c r="Z13" s="40">
        <f>Z14</f>
        <v>0.6</v>
      </c>
      <c r="AA13" s="40" t="str">
        <f>AA14</f>
        <v>kg</v>
      </c>
      <c r="AB13" s="5386" t="str">
        <f>AB14</f>
        <v>Master recipe ► Guinea fowl ballotine</v>
      </c>
      <c r="AC13" s="5397"/>
      <c r="AD13" s="6831" t="s">
        <v>11012</v>
      </c>
      <c r="AE13" s="6902">
        <f>AM23</f>
        <v>0.60000000000000009</v>
      </c>
      <c r="AF13" s="6902"/>
      <c r="AG13" s="6832" t="str" cm="1">
        <f t="array" ref="AG13">"1= "&amp;IF(OR(AC12&lt;=0,AE13=""),"",_xlfn.LET(_xlpm.kg,IF(ISNUMBER(AE13),AE13,VALEUR(SUBSTITUTE(SUBSTITUTE(SUBSTITUTE(LOWER(AE13),"kg",""),",",".")," ",""))),TEXT(ROUND(_xlpm.kg*1000/AC12,2),"0.##")&amp;" g"))</f>
        <v>1= 1000. g</v>
      </c>
      <c r="AH13" s="6833">
        <f>IFERROR(AO11/AC12,0)</f>
        <v>33.333333333333336</v>
      </c>
      <c r="AI13" s="6203"/>
      <c r="AJ13" s="6203"/>
      <c r="AK13" s="6203"/>
      <c r="AL13" s="6203"/>
      <c r="AN13" s="5241" t="s">
        <v>941</v>
      </c>
      <c r="AO13" s="5376">
        <v>0.4</v>
      </c>
      <c r="AP13" s="5242" t="s">
        <v>9686</v>
      </c>
      <c r="AT13" s="1018" t="s">
        <v>26</v>
      </c>
      <c r="AU13" s="41" t="str">
        <f>AU14</f>
        <v>N NOMBRE DE SU RECETA | pegue esto — FAMILIA| Autor &gt; USTED</v>
      </c>
      <c r="AV13" s="40">
        <f>AV14</f>
        <v>0.6</v>
      </c>
      <c r="AW13" s="40" t="str">
        <f>AW14</f>
        <v>kg</v>
      </c>
      <c r="AX13" s="5386" t="str">
        <f>AX14</f>
        <v>Receta madre ► Ballotina de pintada</v>
      </c>
      <c r="AY13" s="5397"/>
      <c r="AZ13" s="6831" t="s">
        <v>11013</v>
      </c>
      <c r="BA13" s="6902">
        <f>BI23</f>
        <v>0.60000000000000009</v>
      </c>
      <c r="BB13" s="6902"/>
      <c r="BC13" s="6832" t="str" cm="1">
        <f t="array" ref="BC13">"1= "&amp;IF(OR(AY12&lt;=0,BA13=""),"",_xlfn.LET(_xlpm.kg,IF(ISNUMBER(BA13),BA13,VALEUR(SUBSTITUTE(SUBSTITUTE(SUBSTITUTE(LOWER(BA13),"kg",""),",",".")," ",""))),TEXT(ROUND(_xlpm.kg*1000/AY12,2),"0.##")&amp;" g"))</f>
        <v>1= 1000. g</v>
      </c>
      <c r="BD13" s="6833">
        <f>IFERROR(BK11/AY12,0)</f>
        <v>33.333333333333336</v>
      </c>
      <c r="BE13" s="6203"/>
      <c r="BF13" s="6203"/>
      <c r="BG13" s="6203"/>
      <c r="BH13" s="6203"/>
      <c r="BJ13" s="5241" t="s">
        <v>7913</v>
      </c>
      <c r="BK13" s="5376">
        <v>0.4</v>
      </c>
      <c r="BL13" s="5407" t="s">
        <v>9694</v>
      </c>
      <c r="BP13" s="6501"/>
      <c r="BQ13" s="6502"/>
      <c r="BR13" s="6503"/>
      <c r="BS13" s="6503"/>
      <c r="BT13" s="6503"/>
      <c r="BU13" s="6503"/>
      <c r="BV13" s="6500" t="s">
        <v>8031</v>
      </c>
      <c r="BX13" s="6501"/>
      <c r="BY13" s="6502"/>
      <c r="BZ13" s="6503"/>
      <c r="CA13" s="6503"/>
      <c r="CB13" s="6503"/>
      <c r="CC13" s="6503"/>
      <c r="CD13" s="6500" t="s">
        <v>9218</v>
      </c>
      <c r="CF13" s="6501"/>
      <c r="CG13" s="6502"/>
      <c r="CH13" s="6503"/>
      <c r="CI13" s="6503"/>
      <c r="CJ13" s="6503"/>
      <c r="CK13" s="6503"/>
      <c r="CL13" s="6500" t="s">
        <v>9361</v>
      </c>
      <c r="CN13" s="5">
        <v>1</v>
      </c>
    </row>
    <row r="14" spans="1:94" ht="21" customHeight="1">
      <c r="B14" s="5243" t="s">
        <v>26</v>
      </c>
      <c r="C14" s="5379" t="str">
        <f>G14</f>
        <v>N NOM DE VOTRE RECETTE | collez la--FAMILLE| Auteur &gt; VOUS</v>
      </c>
      <c r="D14" s="5380">
        <f>G12</f>
        <v>0.6</v>
      </c>
      <c r="E14" s="5379" t="str">
        <f>H12</f>
        <v>Kg</v>
      </c>
      <c r="F14" s="5381" t="str">
        <f>L14&amp;" "&amp;M14</f>
        <v>Recette mère ► Ballotine de pintade</v>
      </c>
      <c r="G14" s="5484" t="str">
        <f>UPPER(LEFT(J8,1))&amp;" "&amp;J8&amp;" | "&amp;R8&amp;"| "&amp;J10&amp;" "&amp;K10</f>
        <v>N NOM DE VOTRE RECETTE | collez la--FAMILLE| Auteur &gt; VOUS</v>
      </c>
      <c r="H14" s="5485" t="s">
        <v>223</v>
      </c>
      <c r="I14" s="6903" t="s">
        <v>222</v>
      </c>
      <c r="J14" s="6903"/>
      <c r="K14" s="6903"/>
      <c r="L14" s="5119" t="str">
        <f>IF(ISTEXT(M14),"Recette mère ►",H14)</f>
        <v>Recette mère ►</v>
      </c>
      <c r="M14" s="6267" t="s">
        <v>8356</v>
      </c>
      <c r="N14" s="6267"/>
      <c r="O14" s="6267"/>
      <c r="P14" s="6267"/>
      <c r="Q14" s="6268"/>
      <c r="R14" s="6268"/>
      <c r="S14" s="6268"/>
      <c r="T14" s="6736" t="s">
        <v>8379</v>
      </c>
      <c r="X14" s="5243" t="s">
        <v>26</v>
      </c>
      <c r="Y14" s="5379" t="str">
        <f>AC14</f>
        <v>N NAME OF YOUR RECIPE | paste it — FAMILY|  Author &gt; YOU</v>
      </c>
      <c r="Z14" s="5380">
        <f>AC12</f>
        <v>0.6</v>
      </c>
      <c r="AA14" s="5379" t="str">
        <f>AD12</f>
        <v>kg</v>
      </c>
      <c r="AB14" s="5381" t="str">
        <f>AH14&amp;" "&amp;AI14</f>
        <v>Master recipe ► Guinea fowl ballotine</v>
      </c>
      <c r="AC14" s="5484" t="str">
        <f>UPPER(LEFT(AF8,1))&amp;" "&amp;AF8&amp;" | "&amp;AN8&amp;"| "&amp;AF10&amp;" "&amp;AG10</f>
        <v>N NAME OF YOUR RECIPE | paste it — FAMILY|  Author &gt; YOU</v>
      </c>
      <c r="AD14" s="5485" t="s">
        <v>8391</v>
      </c>
      <c r="AE14" s="6903" t="s">
        <v>903</v>
      </c>
      <c r="AF14" s="6903"/>
      <c r="AG14" s="6903"/>
      <c r="AH14" s="5119" t="str">
        <f>IF(ISTEXT(AI14),"Master recipe ►",AD14)</f>
        <v>Master recipe ►</v>
      </c>
      <c r="AI14" s="6267" t="s">
        <v>8380</v>
      </c>
      <c r="AJ14" s="6267"/>
      <c r="AK14" s="6267"/>
      <c r="AL14" s="6267"/>
      <c r="AM14" s="6268"/>
      <c r="AN14" s="6268"/>
      <c r="AO14" s="6268"/>
      <c r="AP14" s="6736" t="s">
        <v>8379</v>
      </c>
      <c r="AT14" s="5243" t="s">
        <v>26</v>
      </c>
      <c r="AU14" s="5379" t="str">
        <f>AY14</f>
        <v>N NOMBRE DE SU RECETA | pegue esto — FAMILIA| Autor &gt; USTED</v>
      </c>
      <c r="AV14" s="5380">
        <f>AY12</f>
        <v>0.6</v>
      </c>
      <c r="AW14" s="5379" t="str">
        <f>AZ12</f>
        <v>kg</v>
      </c>
      <c r="AX14" s="5381" t="str">
        <f>BD14&amp;" "&amp;BE14</f>
        <v>Receta madre ► Ballotina de pintada</v>
      </c>
      <c r="AY14" s="5484" t="str">
        <f>UPPER(LEFT(BB8,1))&amp;" "&amp;BB8&amp;" | "&amp;BJ8&amp;"| "&amp;BB10&amp;" "&amp;BC10</f>
        <v>N NOMBRE DE SU RECETA | pegue esto — FAMILIA| Autor &gt; USTED</v>
      </c>
      <c r="AZ14" s="5485" t="s">
        <v>8412</v>
      </c>
      <c r="BA14" s="6903" t="s">
        <v>8411</v>
      </c>
      <c r="BB14" s="6903"/>
      <c r="BC14" s="6903"/>
      <c r="BD14" s="5119" t="s">
        <v>9587</v>
      </c>
      <c r="BE14" s="6267" t="s">
        <v>8413</v>
      </c>
      <c r="BF14" s="6267"/>
      <c r="BG14" s="6267"/>
      <c r="BH14" s="6368"/>
      <c r="BI14" s="6268"/>
      <c r="BJ14" s="6268"/>
      <c r="BK14" s="6268"/>
      <c r="BL14" s="6736" t="s">
        <v>8379</v>
      </c>
      <c r="BP14" s="6504" t="s">
        <v>9168</v>
      </c>
      <c r="BQ14" s="347" t="s">
        <v>1092</v>
      </c>
      <c r="BR14" s="5783"/>
      <c r="BS14" s="5783"/>
      <c r="BT14" s="5783"/>
      <c r="BU14" s="5783"/>
      <c r="BV14" s="7099" t="s">
        <v>9200</v>
      </c>
      <c r="BX14" s="6504" t="s">
        <v>9220</v>
      </c>
      <c r="BY14" s="347" t="s">
        <v>898</v>
      </c>
      <c r="BZ14" s="5783"/>
      <c r="CA14" s="5783"/>
      <c r="CB14" s="5783"/>
      <c r="CC14" s="5783"/>
      <c r="CD14" s="7099" t="s">
        <v>9219</v>
      </c>
      <c r="CF14" s="6504" t="s">
        <v>9363</v>
      </c>
      <c r="CG14" s="347" t="s">
        <v>8404</v>
      </c>
      <c r="CH14" s="5783"/>
      <c r="CI14" s="5783"/>
      <c r="CJ14" s="5783"/>
      <c r="CK14" s="5783"/>
      <c r="CL14" s="7099" t="s">
        <v>9362</v>
      </c>
      <c r="CN14" s="5">
        <v>1</v>
      </c>
    </row>
    <row r="15" spans="1:94" ht="21" customHeight="1">
      <c r="B15" s="1017" t="s">
        <v>26</v>
      </c>
      <c r="C15" s="5382" t="str">
        <f>C14</f>
        <v>N NOM DE VOTRE RECETTE | collez la--FAMILLE| Auteur &gt; VOUS</v>
      </c>
      <c r="D15" s="5382">
        <f>D14</f>
        <v>0.6</v>
      </c>
      <c r="E15" s="5382" t="str">
        <f>E14</f>
        <v>Kg</v>
      </c>
      <c r="F15" s="5383" t="str">
        <f>F14</f>
        <v>Recette mère ► Ballotine de pintade</v>
      </c>
      <c r="G15" s="310" t="s">
        <v>217</v>
      </c>
      <c r="H15" s="310" t="s">
        <v>216</v>
      </c>
      <c r="I15" s="310" t="s">
        <v>215</v>
      </c>
      <c r="J15" s="310" t="s">
        <v>214</v>
      </c>
      <c r="K15" s="309" t="s">
        <v>83</v>
      </c>
      <c r="L15" s="6265" t="s">
        <v>213</v>
      </c>
      <c r="M15" s="6266" t="s">
        <v>212</v>
      </c>
      <c r="N15" s="6266" t="s">
        <v>211</v>
      </c>
      <c r="O15" s="6266" t="s">
        <v>210</v>
      </c>
      <c r="P15" s="6266" t="s">
        <v>7928</v>
      </c>
      <c r="Q15" s="6266" t="s">
        <v>208</v>
      </c>
      <c r="R15" s="6266" t="s">
        <v>207</v>
      </c>
      <c r="S15" s="6266" t="s">
        <v>206</v>
      </c>
      <c r="T15" s="6270" t="s">
        <v>205</v>
      </c>
      <c r="X15" s="1017" t="s">
        <v>26</v>
      </c>
      <c r="Y15" s="5382" t="str">
        <f>Y14</f>
        <v>N NAME OF YOUR RECIPE | paste it — FAMILY|  Author &gt; YOU</v>
      </c>
      <c r="Z15" s="5382">
        <f>Z14</f>
        <v>0.6</v>
      </c>
      <c r="AA15" s="5382" t="str">
        <f>AA14</f>
        <v>kg</v>
      </c>
      <c r="AB15" s="5383" t="str">
        <f>AB14</f>
        <v>Master recipe ► Guinea fowl ballotine</v>
      </c>
      <c r="AC15" s="310" t="s">
        <v>217</v>
      </c>
      <c r="AD15" s="310" t="s">
        <v>216</v>
      </c>
      <c r="AE15" s="310" t="s">
        <v>215</v>
      </c>
      <c r="AF15" s="310" t="s">
        <v>214</v>
      </c>
      <c r="AG15" s="309" t="s">
        <v>83</v>
      </c>
      <c r="AH15" s="6265" t="s">
        <v>213</v>
      </c>
      <c r="AI15" s="6266" t="s">
        <v>212</v>
      </c>
      <c r="AJ15" s="6266" t="s">
        <v>211</v>
      </c>
      <c r="AK15" s="6266" t="s">
        <v>210</v>
      </c>
      <c r="AL15" s="6266" t="s">
        <v>7928</v>
      </c>
      <c r="AM15" s="6266" t="s">
        <v>208</v>
      </c>
      <c r="AN15" s="6266" t="s">
        <v>207</v>
      </c>
      <c r="AO15" s="6266" t="s">
        <v>206</v>
      </c>
      <c r="AP15" s="6270" t="s">
        <v>205</v>
      </c>
      <c r="AT15" s="1017" t="s">
        <v>26</v>
      </c>
      <c r="AU15" s="5382" t="str">
        <f>AU14</f>
        <v>N NOMBRE DE SU RECETA | pegue esto — FAMILIA| Autor &gt; USTED</v>
      </c>
      <c r="AV15" s="5382">
        <f>AV14</f>
        <v>0.6</v>
      </c>
      <c r="AW15" s="5382" t="str">
        <f>AW14</f>
        <v>kg</v>
      </c>
      <c r="AX15" s="5383" t="str">
        <f>AX14</f>
        <v>Receta madre ► Ballotina de pintada</v>
      </c>
      <c r="AY15" s="310" t="s">
        <v>217</v>
      </c>
      <c r="AZ15" s="310" t="s">
        <v>216</v>
      </c>
      <c r="BA15" s="310" t="s">
        <v>215</v>
      </c>
      <c r="BB15" s="310" t="s">
        <v>214</v>
      </c>
      <c r="BC15" s="309" t="s">
        <v>83</v>
      </c>
      <c r="BD15" s="6265" t="s">
        <v>213</v>
      </c>
      <c r="BE15" s="6266" t="s">
        <v>212</v>
      </c>
      <c r="BF15" s="6266" t="s">
        <v>211</v>
      </c>
      <c r="BG15" s="6266" t="s">
        <v>210</v>
      </c>
      <c r="BH15" s="6266" t="s">
        <v>7928</v>
      </c>
      <c r="BI15" s="6266" t="s">
        <v>208</v>
      </c>
      <c r="BJ15" s="6266" t="s">
        <v>207</v>
      </c>
      <c r="BK15" s="6266" t="s">
        <v>206</v>
      </c>
      <c r="BL15" s="6270" t="s">
        <v>205</v>
      </c>
      <c r="BP15" s="6504"/>
      <c r="BQ15" s="6505"/>
      <c r="BR15" s="5783"/>
      <c r="BS15" s="5783"/>
      <c r="BT15" s="5783"/>
      <c r="BU15" s="5783"/>
      <c r="BV15" s="7099"/>
      <c r="BX15" s="6504"/>
      <c r="BY15" s="6505"/>
      <c r="BZ15" s="5783"/>
      <c r="CA15" s="5783"/>
      <c r="CB15" s="5783"/>
      <c r="CC15" s="5783"/>
      <c r="CD15" s="7099"/>
      <c r="CF15" s="6504"/>
      <c r="CG15" s="6505"/>
      <c r="CH15" s="5783"/>
      <c r="CI15" s="5783"/>
      <c r="CJ15" s="5783"/>
      <c r="CK15" s="5783"/>
      <c r="CL15" s="7099"/>
      <c r="CN15" s="5">
        <v>1</v>
      </c>
    </row>
    <row r="16" spans="1:94" ht="21" customHeight="1">
      <c r="B16" s="1018" t="s">
        <v>21</v>
      </c>
      <c r="C16" s="41" t="str">
        <f>C14</f>
        <v>N NOM DE VOTRE RECETTE | collez la--FAMILLE| Auteur &gt; VOUS</v>
      </c>
      <c r="D16" s="40">
        <f>D14</f>
        <v>0.6</v>
      </c>
      <c r="E16" s="41" t="str">
        <f>E14</f>
        <v>Kg</v>
      </c>
      <c r="F16" s="5386" t="str">
        <f>F14</f>
        <v>Recette mère ► Ballotine de pintade</v>
      </c>
      <c r="G16" s="5247" t="s">
        <v>198</v>
      </c>
      <c r="H16" s="298" t="s">
        <v>197</v>
      </c>
      <c r="I16" s="297"/>
      <c r="J16" s="6986" t="s">
        <v>196</v>
      </c>
      <c r="K16" s="6987" t="s">
        <v>195</v>
      </c>
      <c r="L16" s="6988" t="s">
        <v>82</v>
      </c>
      <c r="M16" s="5248" t="s">
        <v>194</v>
      </c>
      <c r="N16" s="6869" t="s">
        <v>11041</v>
      </c>
      <c r="O16" s="6256" t="s">
        <v>783</v>
      </c>
      <c r="P16" s="6257" t="s">
        <v>191</v>
      </c>
      <c r="Q16" s="6989" t="s">
        <v>929</v>
      </c>
      <c r="R16" s="6991" t="s">
        <v>191</v>
      </c>
      <c r="S16" s="6967" t="s">
        <v>8009</v>
      </c>
      <c r="T16" s="6968" t="s">
        <v>8010</v>
      </c>
      <c r="V16" s="6873" t="s">
        <v>11041</v>
      </c>
      <c r="X16" s="1018" t="s">
        <v>21</v>
      </c>
      <c r="Y16" s="41" t="str">
        <f>Y14</f>
        <v>N NAME OF YOUR RECIPE | paste it — FAMILY|  Author &gt; YOU</v>
      </c>
      <c r="Z16" s="40">
        <f>Z14</f>
        <v>0.6</v>
      </c>
      <c r="AA16" s="41" t="str">
        <f>AA14</f>
        <v>kg</v>
      </c>
      <c r="AB16" s="5386" t="str">
        <f>AB14</f>
        <v>Master recipe ► Guinea fowl ballotine</v>
      </c>
      <c r="AC16" s="5247" t="s">
        <v>198</v>
      </c>
      <c r="AD16" s="298" t="s">
        <v>197</v>
      </c>
      <c r="AE16" s="297"/>
      <c r="AF16" s="6986" t="s">
        <v>850</v>
      </c>
      <c r="AG16" s="6987" t="s">
        <v>195</v>
      </c>
      <c r="AH16" s="6988" t="s">
        <v>82</v>
      </c>
      <c r="AI16" s="5248" t="s">
        <v>194</v>
      </c>
      <c r="AJ16" s="6869" t="s">
        <v>11041</v>
      </c>
      <c r="AK16" s="6256" t="s">
        <v>8377</v>
      </c>
      <c r="AL16" s="6700" t="s">
        <v>8382</v>
      </c>
      <c r="AM16" s="6989" t="s">
        <v>8381</v>
      </c>
      <c r="AN16" s="6991" t="s">
        <v>8382</v>
      </c>
      <c r="AO16" s="6967" t="s">
        <v>8383</v>
      </c>
      <c r="AP16" s="6968" t="s">
        <v>8384</v>
      </c>
      <c r="AR16" s="6873" t="s">
        <v>11041</v>
      </c>
      <c r="AT16" s="1018" t="s">
        <v>21</v>
      </c>
      <c r="AU16" s="41" t="str">
        <f>AU14</f>
        <v>N NOMBRE DE SU RECETA | pegue esto — FAMILIA| Autor &gt; USTED</v>
      </c>
      <c r="AV16" s="40">
        <f>AV14</f>
        <v>0.6</v>
      </c>
      <c r="AW16" s="41" t="str">
        <f>AW14</f>
        <v>kg</v>
      </c>
      <c r="AX16" s="5386" t="str">
        <f>AX14</f>
        <v>Receta madre ► Ballotina de pintada</v>
      </c>
      <c r="AY16" s="5247" t="s">
        <v>198</v>
      </c>
      <c r="AZ16" s="298" t="s">
        <v>197</v>
      </c>
      <c r="BA16" s="297"/>
      <c r="BB16" s="6986" t="s">
        <v>8416</v>
      </c>
      <c r="BC16" s="6987" t="s">
        <v>195</v>
      </c>
      <c r="BD16" s="6988" t="s">
        <v>8417</v>
      </c>
      <c r="BE16" s="5248" t="s">
        <v>194</v>
      </c>
      <c r="BF16" s="6869" t="s">
        <v>11041</v>
      </c>
      <c r="BG16" s="6256" t="s">
        <v>8406</v>
      </c>
      <c r="BH16" s="6700" t="s">
        <v>8419</v>
      </c>
      <c r="BI16" s="6989" t="s">
        <v>8418</v>
      </c>
      <c r="BJ16" s="6991" t="s">
        <v>8419</v>
      </c>
      <c r="BK16" s="6967" t="s">
        <v>8420</v>
      </c>
      <c r="BL16" s="6968" t="s">
        <v>8421</v>
      </c>
      <c r="BN16" s="6873" t="s">
        <v>11041</v>
      </c>
      <c r="BP16" s="6508" t="s">
        <v>227</v>
      </c>
      <c r="BQ16" s="7100" t="s">
        <v>9198</v>
      </c>
      <c r="BR16" s="7100"/>
      <c r="BS16" s="7100"/>
      <c r="BT16" s="7100"/>
      <c r="BU16" s="5783"/>
      <c r="BV16" s="7099"/>
      <c r="BX16" s="6508" t="s">
        <v>9221</v>
      </c>
      <c r="BY16" s="7100" t="s">
        <v>9519</v>
      </c>
      <c r="BZ16" s="7100"/>
      <c r="CA16" s="7100"/>
      <c r="CB16" s="7100"/>
      <c r="CC16" s="5783"/>
      <c r="CD16" s="7099"/>
      <c r="CF16" s="6508" t="s">
        <v>9364</v>
      </c>
      <c r="CG16" s="7100" t="s">
        <v>9520</v>
      </c>
      <c r="CH16" s="7100"/>
      <c r="CI16" s="7100"/>
      <c r="CJ16" s="7100"/>
      <c r="CK16" s="5783"/>
      <c r="CL16" s="7099"/>
      <c r="CN16" s="5">
        <v>1</v>
      </c>
    </row>
    <row r="17" spans="2:92" ht="21" customHeight="1">
      <c r="B17" s="1018" t="s">
        <v>21</v>
      </c>
      <c r="C17" s="41" t="str">
        <f>C14</f>
        <v>N NOM DE VOTRE RECETTE | collez la--FAMILLE| Auteur &gt; VOUS</v>
      </c>
      <c r="D17" s="40">
        <f>D14</f>
        <v>0.6</v>
      </c>
      <c r="E17" s="41" t="str">
        <f>E14</f>
        <v>Kg</v>
      </c>
      <c r="F17" s="5386" t="str">
        <f>F14</f>
        <v>Recette mère ► Ballotine de pintade</v>
      </c>
      <c r="G17" s="5249" t="s">
        <v>184</v>
      </c>
      <c r="H17" s="286" t="s">
        <v>162</v>
      </c>
      <c r="I17" s="285" t="s">
        <v>186</v>
      </c>
      <c r="J17" s="6905"/>
      <c r="K17" s="6907"/>
      <c r="L17" s="6909"/>
      <c r="M17" s="5250" t="s">
        <v>185</v>
      </c>
      <c r="N17" s="6870" t="s">
        <v>255</v>
      </c>
      <c r="O17" s="6252" t="s">
        <v>8578</v>
      </c>
      <c r="P17" s="6019">
        <v>1</v>
      </c>
      <c r="Q17" s="6990"/>
      <c r="R17" s="6891"/>
      <c r="S17" s="6893"/>
      <c r="T17" s="6895"/>
      <c r="V17" s="6872" t="s">
        <v>11043</v>
      </c>
      <c r="X17" s="1018" t="s">
        <v>21</v>
      </c>
      <c r="Y17" s="41" t="str">
        <f>Y14</f>
        <v>N NAME OF YOUR RECIPE | paste it — FAMILY|  Author &gt; YOU</v>
      </c>
      <c r="Z17" s="40">
        <f>Z14</f>
        <v>0.6</v>
      </c>
      <c r="AA17" s="41" t="str">
        <f>AA14</f>
        <v>kg</v>
      </c>
      <c r="AB17" s="5386" t="str">
        <f>AB14</f>
        <v>Master recipe ► Guinea fowl ballotine</v>
      </c>
      <c r="AC17" s="5249" t="s">
        <v>851</v>
      </c>
      <c r="AD17" s="286" t="s">
        <v>852</v>
      </c>
      <c r="AE17" s="285" t="s">
        <v>8398</v>
      </c>
      <c r="AF17" s="6905"/>
      <c r="AG17" s="6907"/>
      <c r="AH17" s="6909"/>
      <c r="AI17" s="5250" t="s">
        <v>8396</v>
      </c>
      <c r="AJ17" s="6870" t="s">
        <v>255</v>
      </c>
      <c r="AK17" s="6252" t="s">
        <v>8578</v>
      </c>
      <c r="AL17" s="6019">
        <v>1</v>
      </c>
      <c r="AM17" s="6990"/>
      <c r="AN17" s="6891"/>
      <c r="AO17" s="6893"/>
      <c r="AP17" s="6895"/>
      <c r="AR17" s="6872" t="s">
        <v>11043</v>
      </c>
      <c r="AT17" s="1018" t="s">
        <v>21</v>
      </c>
      <c r="AU17" s="41" t="str">
        <f>AU14</f>
        <v>N NOMBRE DE SU RECETA | pegue esto — FAMILIA| Autor &gt; USTED</v>
      </c>
      <c r="AV17" s="40">
        <f>AV14</f>
        <v>0.6</v>
      </c>
      <c r="AW17" s="41" t="str">
        <f>AW14</f>
        <v>kg</v>
      </c>
      <c r="AX17" s="5386" t="str">
        <f>AX14</f>
        <v>Receta madre ► Ballotina de pintada</v>
      </c>
      <c r="AY17" s="5249" t="s">
        <v>8414</v>
      </c>
      <c r="AZ17" s="286" t="s">
        <v>8415</v>
      </c>
      <c r="BA17" s="285" t="s">
        <v>186</v>
      </c>
      <c r="BB17" s="6905"/>
      <c r="BC17" s="6907"/>
      <c r="BD17" s="6909"/>
      <c r="BE17" s="5250" t="s">
        <v>8427</v>
      </c>
      <c r="BF17" s="6870" t="s">
        <v>255</v>
      </c>
      <c r="BG17" s="6252" t="s">
        <v>8578</v>
      </c>
      <c r="BH17" s="6019">
        <v>1</v>
      </c>
      <c r="BI17" s="6990"/>
      <c r="BJ17" s="6891"/>
      <c r="BK17" s="6893"/>
      <c r="BL17" s="6895"/>
      <c r="BN17" s="6872" t="s">
        <v>11043</v>
      </c>
      <c r="BP17" s="6504"/>
      <c r="BQ17" s="7100"/>
      <c r="BR17" s="7100"/>
      <c r="BS17" s="7100"/>
      <c r="BT17" s="7100"/>
      <c r="BU17" s="5783"/>
      <c r="BV17" s="6403"/>
      <c r="BX17" s="6504"/>
      <c r="BY17" s="7100"/>
      <c r="BZ17" s="7100"/>
      <c r="CA17" s="7100"/>
      <c r="CB17" s="7100"/>
      <c r="CC17" s="5783"/>
      <c r="CD17" s="6403"/>
      <c r="CF17" s="6504"/>
      <c r="CG17" s="7100"/>
      <c r="CH17" s="7100"/>
      <c r="CI17" s="7100"/>
      <c r="CJ17" s="7100"/>
      <c r="CK17" s="5783"/>
      <c r="CL17" s="6403"/>
      <c r="CN17" s="5">
        <v>1</v>
      </c>
    </row>
    <row r="18" spans="2:92" ht="21" customHeight="1">
      <c r="B18" s="1018" t="s">
        <v>21</v>
      </c>
      <c r="C18" s="41" t="str">
        <f>C14</f>
        <v>N NOM DE VOTRE RECETTE | collez la--FAMILLE| Auteur &gt; VOUS</v>
      </c>
      <c r="D18" s="40">
        <f>D14</f>
        <v>0.6</v>
      </c>
      <c r="E18" s="41" t="str">
        <f>E14</f>
        <v>Kg</v>
      </c>
      <c r="F18" s="5386" t="str">
        <f>F14</f>
        <v>Recette mère ► Ballotine de pintade</v>
      </c>
      <c r="G18" s="213"/>
      <c r="H18" s="256"/>
      <c r="I18" s="211" t="str">
        <f>IF(OR(ISTEXT(G18), G18&lt;=0, J18&lt;=0), "", "de")</f>
        <v/>
      </c>
      <c r="J18" s="210">
        <v>400</v>
      </c>
      <c r="K18" s="6283" t="s">
        <v>130</v>
      </c>
      <c r="L18" s="5448">
        <v>1</v>
      </c>
      <c r="M18" s="6866" t="s">
        <v>9987</v>
      </c>
      <c r="N18" s="6871" t="s">
        <v>856</v>
      </c>
      <c r="O18" s="6253">
        <f>IF(Q23=0,0,(Q18/Q23)*P17*1000)</f>
        <v>666.66666666666663</v>
      </c>
      <c r="P18" s="6254">
        <f>IF(Q23=0, 0, (G18*L18)/(Q23*P17))</f>
        <v>0</v>
      </c>
      <c r="Q18" s="5882">
        <f>IFERROR(_xlfn.LET(_xlpm.v,IFERROR(_xlfn.XLOOKUP(K18,G24:T24,G25:T25),_xlfn.XLOOKUP(K18,G26:T26,G27:T27)),_xlpm.v*J18*IF(ISBLANK(G18),1,G18)),0)</f>
        <v>0.4</v>
      </c>
      <c r="R18" s="5251">
        <f>IF(OR(ISBLANK(S13),S13=0),0,G18*S11*L18/S13)</f>
        <v>0</v>
      </c>
      <c r="S18" s="6051">
        <f>IF(OR(ISBLANK(S13),S13=0),0,Q18*L18*S11/S13)</f>
        <v>20</v>
      </c>
      <c r="T18" s="6459" t="str">
        <f>_xlfn.LET(_xlpm.unite,SUBSTITUTE(TRIM(K18)," (s)",""),_xlpm.val,S18,_xlpm.estVol,COUNTIF(M24:T24,_xlpm.unite)+COUNTIF(M26:T26,_xlpm.unite)&gt;0,_xlpm.estPoids,COUNTIF(G24:L24,_xlpm.unite)+COUNTIF(G26:L26,_xlpm.unite)&gt;0,IF(_xlpm.estVol,IF(ROUND(_xlpm.val,3)&gt;=1,ROUND(_xlpm.val,3)&amp;"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20 Kg</v>
      </c>
      <c r="V18" s="6872" t="s">
        <v>11044</v>
      </c>
      <c r="X18" s="1018" t="s">
        <v>21</v>
      </c>
      <c r="Y18" s="41" t="str">
        <f>Y14</f>
        <v>N NAME OF YOUR RECIPE | paste it — FAMILY|  Author &gt; YOU</v>
      </c>
      <c r="Z18" s="40">
        <f>Z14</f>
        <v>0.6</v>
      </c>
      <c r="AA18" s="41" t="str">
        <f>AA14</f>
        <v>kg</v>
      </c>
      <c r="AB18" s="5386" t="str">
        <f>AB14</f>
        <v>Master recipe ► Guinea fowl ballotine</v>
      </c>
      <c r="AC18" s="213"/>
      <c r="AD18" s="256"/>
      <c r="AE18" s="211" t="str">
        <f>IF(OR(ISTEXT(AC18), AC18&lt;=0, AF18&lt;=0), "", "de")</f>
        <v/>
      </c>
      <c r="AF18" s="210">
        <v>400</v>
      </c>
      <c r="AG18" s="6283" t="s">
        <v>130</v>
      </c>
      <c r="AH18" s="5448">
        <v>1</v>
      </c>
      <c r="AI18" s="6866" t="s">
        <v>8393</v>
      </c>
      <c r="AJ18" s="6871" t="s">
        <v>856</v>
      </c>
      <c r="AK18" s="6253">
        <f>IF(AM23=0,0,(AM18/AM23)*AL17*1000)</f>
        <v>666.66666666666663</v>
      </c>
      <c r="AL18" s="6254">
        <f>IF(AM23=0, 0, (AC18*AH18)/(AM23*AL17))</f>
        <v>0</v>
      </c>
      <c r="AM18" s="5882">
        <f>IFERROR(_xlfn.LET(_xlpm.v,IFERROR(_xlfn.XLOOKUP(AG18,AC24:AP24,AC25:AP25),_xlfn.XLOOKUP(AG18,AC26:AP26,AC27:AP27)),_xlpm.v*AF18*IF(ISBLANK(AC18),1,AC18)),0)</f>
        <v>0.4</v>
      </c>
      <c r="AN18" s="5251">
        <f>IF(OR(ISBLANK(AO13),AO13=0),0,AC18*AO11*AH18/AO13)</f>
        <v>0</v>
      </c>
      <c r="AO18" s="6051">
        <f>IF(OR(ISBLANK(AO13),AO13=0),0,AM18*AH18*AO11/AO13)</f>
        <v>20</v>
      </c>
      <c r="AP18" s="6459" t="str">
        <f>_xlfn.LET(_xlpm.unite,SUBSTITUTE(TRIM(AG18)," (s)",""),_xlpm.val,AO18,_xlpm.estVol,COUNTIF(AI24:AP24,_xlpm.unite)+COUNTIF(AI26:AP26,_xlpm.unite)&gt;0,_xlpm.estPoids,COUNTIF(AC24:AH24,_xlpm.unite)+COUNTIF(AC26:AH26,_xlpm.unite)&gt;0,IF(_xlpm.estVol,IF(ROUND(_xlpm.val,3)&gt;=1,ROUND(_xlpm.val,3)&amp;" L",MAX(1,ROUND(_xlpm.val*100,0))&amp;" cl"),IF(_xlpm.estPoids,IF(ROUND(_xlpm.val,3)&gt;=1,ROUND(_xlpm.val,3)&amp;" Kg",MAX(1,ROUND(_xlpm.val*1000,0))&amp;" g"),"")))</f>
        <v>20 Kg</v>
      </c>
      <c r="AR18" s="6872" t="s">
        <v>11044</v>
      </c>
      <c r="AT18" s="1018" t="s">
        <v>21</v>
      </c>
      <c r="AU18" s="41" t="str">
        <f>AU14</f>
        <v>N NOMBRE DE SU RECETA | pegue esto — FAMILIA| Autor &gt; USTED</v>
      </c>
      <c r="AV18" s="40">
        <f>AV14</f>
        <v>0.6</v>
      </c>
      <c r="AW18" s="41" t="str">
        <f>AW14</f>
        <v>kg</v>
      </c>
      <c r="AX18" s="5386" t="str">
        <f>AX14</f>
        <v>Receta madre ► Ballotina de pintada</v>
      </c>
      <c r="AY18" s="213"/>
      <c r="AZ18" s="256"/>
      <c r="BA18" s="211" t="str">
        <f>IF(OR(ISTEXT(AY18), AY18&lt;=0, BB18&lt;=0), "", "de")</f>
        <v/>
      </c>
      <c r="BB18" s="210">
        <v>400</v>
      </c>
      <c r="BC18" s="6283" t="s">
        <v>130</v>
      </c>
      <c r="BD18" s="5448">
        <v>1</v>
      </c>
      <c r="BE18" s="6866" t="s">
        <v>8428</v>
      </c>
      <c r="BF18" s="6871" t="s">
        <v>856</v>
      </c>
      <c r="BG18" s="6253">
        <f>IF(BI23=0,0,(BI18/BI23)*BH17*1000)</f>
        <v>666.66666666666663</v>
      </c>
      <c r="BH18" s="6254">
        <f>IF(BI23=0, 0, (AY18*BD18)/(BI23*BH17))</f>
        <v>0</v>
      </c>
      <c r="BI18" s="5882">
        <f>IFERROR(_xlfn.LET(_xlpm.v,IFERROR(_xlfn.XLOOKUP(BC18,AY24:BL24,AY25:BL25),_xlfn.XLOOKUP(BC18,AY26:BL26,AY27:BL27)),_xlpm.v*BB18*IF(ISBLANK(AY18),1,AY18)),0)</f>
        <v>0.4</v>
      </c>
      <c r="BJ18" s="5251">
        <f>IF(OR(ISBLANK(BK13),BK13=0),0,AY18*BK11*BD18/BK13)</f>
        <v>0</v>
      </c>
      <c r="BK18" s="6051">
        <f>IF(OR(ISBLANK(BK13),BK13=0),0,BI18*BD18*BK11/BK13)</f>
        <v>20</v>
      </c>
      <c r="BL18" s="6459" t="str">
        <f>_xlfn.LET(_xlpm.unite,SUBSTITUTE(TRIM(BC18)," (s)",""),_xlpm.val,BK18,_xlpm.estVol,COUNTIF(BE24:BL24,_xlpm.unite)+COUNTIF(BE26:BL26,_xlpm.unite)&gt;0,_xlpm.estPoids,COUNTIF(AY24:BD24,_xlpm.unite)+COUNTIF(AY26:BD26,_xlpm.unite)&gt;0,IF(_xlpm.estVol,IF(ROUND(_xlpm.val,3)&gt;=1,ROUND(_xlpm.val,3)&amp;" L",MAX(1,ROUND(_xlpm.val*100,0))&amp;" cl"),IF(_xlpm.estPoids,IF(ROUND(_xlpm.val,3)&gt;=1,ROUND(_xlpm.val,3)&amp;" Kg",MAX(1,ROUND(_xlpm.val*1000,0))&amp;" g"),"")))</f>
        <v>20 Kg</v>
      </c>
      <c r="BN18" s="6872" t="s">
        <v>11044</v>
      </c>
      <c r="BP18" s="6504"/>
      <c r="BQ18" s="6509"/>
      <c r="BR18" s="6510"/>
      <c r="BS18" s="6510"/>
      <c r="BT18" s="6510"/>
      <c r="BU18" s="5783"/>
      <c r="BV18" s="6403"/>
      <c r="BX18" s="6504"/>
      <c r="BY18" s="6509"/>
      <c r="BZ18" s="6510"/>
      <c r="CA18" s="6510"/>
      <c r="CB18" s="6510"/>
      <c r="CC18" s="5783"/>
      <c r="CD18" s="6403"/>
      <c r="CF18" s="6504"/>
      <c r="CG18" s="6509"/>
      <c r="CH18" s="6510"/>
      <c r="CI18" s="6510"/>
      <c r="CJ18" s="6510"/>
      <c r="CK18" s="5783"/>
      <c r="CL18" s="6403"/>
      <c r="CN18" s="5">
        <v>1</v>
      </c>
    </row>
    <row r="19" spans="2:92" ht="21" customHeight="1">
      <c r="B19" s="1021" t="str">
        <f>IF(M19&lt;&gt;"","A","►")</f>
        <v>A</v>
      </c>
      <c r="C19" s="41" t="str">
        <f>C14</f>
        <v>N NOM DE VOTRE RECETTE | collez la--FAMILLE| Auteur &gt; VOUS</v>
      </c>
      <c r="D19" s="40">
        <f>D14</f>
        <v>0.6</v>
      </c>
      <c r="E19" s="41" t="str">
        <f>E14</f>
        <v>Kg</v>
      </c>
      <c r="F19" s="5386" t="str">
        <f>F14</f>
        <v>Recette mère ► Ballotine de pintade</v>
      </c>
      <c r="G19" s="213"/>
      <c r="H19" s="256"/>
      <c r="I19" s="211" t="str">
        <f>IF(OR(ISTEXT(G19), G19&lt;=0, J19&lt;=0), "", "de")</f>
        <v/>
      </c>
      <c r="J19" s="210">
        <v>200</v>
      </c>
      <c r="K19" s="6283" t="s">
        <v>130</v>
      </c>
      <c r="L19" s="5448">
        <v>1</v>
      </c>
      <c r="M19" s="6866" t="s">
        <v>9988</v>
      </c>
      <c r="N19" s="6871"/>
      <c r="O19" s="6253">
        <f>IF(Q23=0,0,(Q19/Q23)*P17*1000)</f>
        <v>333.33333333333331</v>
      </c>
      <c r="P19" s="6255">
        <f>IF(Q23=0, 0, (G19*L19)/(Q23*P17))</f>
        <v>0</v>
      </c>
      <c r="Q19" s="5882">
        <f>IFERROR(_xlfn.LET(_xlpm.v,IFERROR(_xlfn.XLOOKUP(K19,G24:T24,G25:T25),_xlfn.XLOOKUP(K19,G26:T26,G27:T27)),_xlpm.v*J19*IF(ISBLANK(G19),1,G19)),0)</f>
        <v>0.2</v>
      </c>
      <c r="R19" s="5254">
        <f>IF(OR(ISBLANK(S13),S13=0),0,G19*S11*L19/S13)</f>
        <v>0</v>
      </c>
      <c r="S19" s="6051">
        <f>IF(OR(ISBLANK(S13),S13=0),0,Q19*L19*S11/S13)</f>
        <v>10</v>
      </c>
      <c r="T19" s="6199" t="str">
        <f>_xlfn.LET(_xlpm.unite,SUBSTITUTE(TRIM(K19)," (s)",""),_xlpm.val,S19,_xlpm.estVol,COUNTIF(M24:T24,_xlpm.unite)+COUNTIF(M26:T26,_xlpm.unite)&gt;0,_xlpm.estPoids,COUNTIF(G24:L24,_xlpm.unite)+COUNTIF(G26:L26,_xlpm.unite)&gt;0,IF(_xlpm.estVol,IF(ROUND(_xlpm.val,3)&gt;=1,ROUND(_xlpm.val,3)&amp;"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10 Kg</v>
      </c>
      <c r="V19" s="6872" t="s">
        <v>11045</v>
      </c>
      <c r="X19" s="1021" t="str">
        <f>IF(AI19&lt;&gt;"","A","►")</f>
        <v>A</v>
      </c>
      <c r="Y19" s="41" t="str">
        <f>Y14</f>
        <v>N NAME OF YOUR RECIPE | paste it — FAMILY|  Author &gt; YOU</v>
      </c>
      <c r="Z19" s="40">
        <f>Z14</f>
        <v>0.6</v>
      </c>
      <c r="AA19" s="41" t="str">
        <f>AA14</f>
        <v>kg</v>
      </c>
      <c r="AB19" s="5386" t="str">
        <f>AB14</f>
        <v>Master recipe ► Guinea fowl ballotine</v>
      </c>
      <c r="AC19" s="213"/>
      <c r="AD19" s="256"/>
      <c r="AE19" s="211" t="str">
        <f>IF(OR(ISTEXT(AC19), AC19&lt;=0, AF19&lt;=0), "", "de")</f>
        <v/>
      </c>
      <c r="AF19" s="210">
        <v>200</v>
      </c>
      <c r="AG19" s="6283" t="s">
        <v>130</v>
      </c>
      <c r="AH19" s="5448">
        <v>1</v>
      </c>
      <c r="AI19" s="6866" t="s">
        <v>8394</v>
      </c>
      <c r="AJ19" s="6871"/>
      <c r="AK19" s="6253">
        <f>IF(AM23=0,0,(AM19/AM23)*AL17*1000)</f>
        <v>333.33333333333331</v>
      </c>
      <c r="AL19" s="6701">
        <f>IF(AM23=0, 0, (AC19*AH19)/(AM23*AL17))</f>
        <v>0</v>
      </c>
      <c r="AM19" s="5882">
        <f>IFERROR(_xlfn.LET(_xlpm.v,IFERROR(_xlfn.XLOOKUP(AG19,AC24:AP24,AC25:AP25),_xlfn.XLOOKUP(AG19,AC26:AP26,AC27:AP27)),_xlpm.v*AF19*IF(ISBLANK(AC19),1,AC19)),0)</f>
        <v>0.2</v>
      </c>
      <c r="AN19" s="5254">
        <f>IF(OR(ISBLANK(AO13),AO13=0),0,AC19*AO11*AH19/AO13)</f>
        <v>0</v>
      </c>
      <c r="AO19" s="6051">
        <f>IF(OR(ISBLANK(AO13),AO13=0),0,AM19*AH19*AO11/AO13)</f>
        <v>10</v>
      </c>
      <c r="AP19" s="6199" t="str">
        <f>_xlfn.LET(_xlpm.unite,SUBSTITUTE(TRIM(AG19)," (s)",""),_xlpm.val,AO19,_xlpm.estVol,COUNTIF(AI24:AP24,_xlpm.unite)+COUNTIF(AI26:AP26,_xlpm.unite)&gt;0,_xlpm.estPoids,COUNTIF(AC24:AH24,_xlpm.unite)+COUNTIF(AC26:AH26,_xlpm.unite)&gt;0,IF(_xlpm.estVol,IF(ROUND(_xlpm.val,3)&gt;=1,ROUND(_xlpm.val,3)&amp;" L",MAX(1,ROUND(_xlpm.val*100,0))&amp;" cl"),IF(_xlpm.estPoids,IF(ROUND(_xlpm.val,3)&gt;=1,ROUND(_xlpm.val,3)&amp;" Kg",MAX(1,ROUND(_xlpm.val*1000,0))&amp;" g"),"")))</f>
        <v>10 Kg</v>
      </c>
      <c r="AR19" s="6872" t="s">
        <v>11045</v>
      </c>
      <c r="AT19" s="1021" t="str">
        <f>IF(BE19&lt;&gt;"","A","►")</f>
        <v>A</v>
      </c>
      <c r="AU19" s="41" t="str">
        <f>AU14</f>
        <v>N NOMBRE DE SU RECETA | pegue esto — FAMILIA| Autor &gt; USTED</v>
      </c>
      <c r="AV19" s="40">
        <f>AV14</f>
        <v>0.6</v>
      </c>
      <c r="AW19" s="41" t="str">
        <f>AW14</f>
        <v>kg</v>
      </c>
      <c r="AX19" s="5386" t="str">
        <f>AX14</f>
        <v>Receta madre ► Ballotina de pintada</v>
      </c>
      <c r="AY19" s="213"/>
      <c r="AZ19" s="256"/>
      <c r="BA19" s="211" t="str">
        <f>IF(OR(ISTEXT(AY19), AY19&lt;=0, BB19&lt;=0), "", "de")</f>
        <v/>
      </c>
      <c r="BB19" s="210">
        <v>200</v>
      </c>
      <c r="BC19" s="6283" t="s">
        <v>130</v>
      </c>
      <c r="BD19" s="5448">
        <v>1</v>
      </c>
      <c r="BE19" s="6866" t="s">
        <v>8429</v>
      </c>
      <c r="BF19" s="6871"/>
      <c r="BG19" s="6253">
        <f>IF(BI23=0,0,(BI19/BI23)*BH17*1000)</f>
        <v>333.33333333333331</v>
      </c>
      <c r="BH19" s="6701">
        <f>IF(BI23=0, 0, (AY19*BD19)/(BI23*BH17))</f>
        <v>0</v>
      </c>
      <c r="BI19" s="5882">
        <f>IFERROR(_xlfn.LET(_xlpm.v,IFERROR(_xlfn.XLOOKUP(BC19,AY24:BL24,AY25:BL25),_xlfn.XLOOKUP(BC19,AY26:BL26,AY27:BL27)),_xlpm.v*BB19*IF(ISBLANK(AY19),1,AY19)),0)</f>
        <v>0.2</v>
      </c>
      <c r="BJ19" s="5254">
        <f>IF(OR(ISBLANK(BK13),BK13=0),0,AY19*BK11*BD19/BK13)</f>
        <v>0</v>
      </c>
      <c r="BK19" s="6051">
        <f>IF(OR(ISBLANK(BK13),BK13=0),0,BI19*BD19*BK11/BK13)</f>
        <v>10</v>
      </c>
      <c r="BL19" s="6199" t="str">
        <f>_xlfn.LET(_xlpm.unite,SUBSTITUTE(TRIM(BC19)," (s)",""),_xlpm.val,BK19,_xlpm.estVol,COUNTIF(BE24:BL24,_xlpm.unite)+COUNTIF(BE26:BL26,_xlpm.unite)&gt;0,_xlpm.estPoids,COUNTIF(AY24:BD24,_xlpm.unite)+COUNTIF(AY26:BD26,_xlpm.unite)&gt;0,IF(_xlpm.estVol,IF(ROUND(_xlpm.val,3)&gt;=1,ROUND(_xlpm.val,3)&amp;" L",MAX(1,ROUND(_xlpm.val*100,0))&amp;" cl"),IF(_xlpm.estPoids,IF(ROUND(_xlpm.val,3)&gt;=1,ROUND(_xlpm.val,3)&amp;" Kg",MAX(1,ROUND(_xlpm.val*1000,0))&amp;" g"),"")))</f>
        <v>10 Kg</v>
      </c>
      <c r="BN19" s="6872" t="s">
        <v>11045</v>
      </c>
      <c r="BP19" s="6504"/>
      <c r="BQ19" s="6509" t="s">
        <v>9199</v>
      </c>
      <c r="BR19" s="6510"/>
      <c r="BS19" s="6510"/>
      <c r="BT19" s="6510"/>
      <c r="BU19" s="5783"/>
      <c r="BV19" s="6403"/>
      <c r="BX19" s="6504"/>
      <c r="BY19" s="6509" t="s">
        <v>9199</v>
      </c>
      <c r="BZ19" s="6510"/>
      <c r="CA19" s="6510"/>
      <c r="CB19" s="6510"/>
      <c r="CC19" s="5783"/>
      <c r="CD19" s="6403"/>
      <c r="CF19" s="6504"/>
      <c r="CG19" s="6509" t="s">
        <v>9199</v>
      </c>
      <c r="CH19" s="6510"/>
      <c r="CI19" s="6510"/>
      <c r="CJ19" s="6510"/>
      <c r="CK19" s="5783"/>
      <c r="CL19" s="6403"/>
      <c r="CN19" s="5">
        <v>1</v>
      </c>
    </row>
    <row r="20" spans="2:92" ht="21" customHeight="1">
      <c r="B20" s="1021" t="str">
        <f>IF(M20&lt;&gt;"","A","►")</f>
        <v>A</v>
      </c>
      <c r="C20" s="41" t="str">
        <f>C14</f>
        <v>N NOM DE VOTRE RECETTE | collez la--FAMILLE| Auteur &gt; VOUS</v>
      </c>
      <c r="D20" s="40">
        <f>D14</f>
        <v>0.6</v>
      </c>
      <c r="E20" s="41" t="str">
        <f>E14</f>
        <v>Kg</v>
      </c>
      <c r="F20" s="5386" t="str">
        <f>F14</f>
        <v>Recette mère ► Ballotine de pintade</v>
      </c>
      <c r="G20" s="213"/>
      <c r="H20" s="212"/>
      <c r="I20" s="211" t="str">
        <f>IF(OR(ISTEXT(G20), G20&lt;=0, J20&lt;=0), "", "de")</f>
        <v/>
      </c>
      <c r="J20" s="210"/>
      <c r="K20" s="6366"/>
      <c r="L20" s="5448">
        <v>1</v>
      </c>
      <c r="M20" s="6866" t="s">
        <v>11064</v>
      </c>
      <c r="N20" s="6872" t="s">
        <v>11048</v>
      </c>
      <c r="O20" s="6253">
        <f>IF(Q23=0,0,(Q20/Q23)*P17*1000)</f>
        <v>0</v>
      </c>
      <c r="P20" s="6255">
        <f>IF(Q23=0, 0, (G20*L20)/(Q23*P17))</f>
        <v>0</v>
      </c>
      <c r="Q20" s="5882">
        <f>IFERROR(_xlfn.LET(_xlpm.v,IFERROR(_xlfn.XLOOKUP(K20,G24:T24,G25:T25),_xlfn.XLOOKUP(K20,G26:T26,G27:T27)),_xlpm.v*J20*IF(ISBLANK(G20),1,G20)),0)</f>
        <v>0</v>
      </c>
      <c r="R20" s="5256">
        <f>IF(OR(ISBLANK(S13),S13=0),0,G20*S11*L20/S13)</f>
        <v>0</v>
      </c>
      <c r="S20" s="6051">
        <f>IF(OR(ISBLANK(S13),S13=0),0,Q20*L20*S11/S13)</f>
        <v>0</v>
      </c>
      <c r="T20" s="6198" t="str">
        <f>_xlfn.LET(_xlpm.unite,SUBSTITUTE(TRIM(K20)," (s)",""),_xlpm.val,S20,_xlpm.estVol,COUNTIF(M24:T24,_xlpm.unite)+COUNTIF(M26:T26,_xlpm.unite)&gt;0,_xlpm.estPoids,COUNTIF(G24:L24,_xlpm.unite)+COUNTIF(G26:L26,_xlpm.unite)&gt;0,IF(_xlpm.estVol,IF(ROUND(_xlpm.val,3)&gt;=1,ROUND(_xlpm.val,3)&amp;"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0" s="6872" t="s">
        <v>11046</v>
      </c>
      <c r="X20" s="1021" t="str">
        <f>IF(AI20&lt;&gt;"","A","►")</f>
        <v>A</v>
      </c>
      <c r="Y20" s="41" t="str">
        <f>Y14</f>
        <v>N NAME OF YOUR RECIPE | paste it — FAMILY|  Author &gt; YOU</v>
      </c>
      <c r="Z20" s="40">
        <f>Z14</f>
        <v>0.6</v>
      </c>
      <c r="AA20" s="41" t="str">
        <f>AA14</f>
        <v>kg</v>
      </c>
      <c r="AB20" s="5386" t="str">
        <f>AB14</f>
        <v>Master recipe ► Guinea fowl ballotine</v>
      </c>
      <c r="AC20" s="213"/>
      <c r="AD20" s="212"/>
      <c r="AE20" s="211" t="str">
        <f>IF(OR(ISTEXT(AC20), AC20&lt;=0, AF20&lt;=0), "", "de")</f>
        <v/>
      </c>
      <c r="AF20" s="210"/>
      <c r="AG20" s="6366"/>
      <c r="AH20" s="5448">
        <v>1</v>
      </c>
      <c r="AI20" s="6866" t="s">
        <v>11064</v>
      </c>
      <c r="AJ20" s="6872" t="s">
        <v>11048</v>
      </c>
      <c r="AK20" s="6253">
        <f>IF(AM23=0,0,(AM20/AM23)*AL17*1000)</f>
        <v>0</v>
      </c>
      <c r="AL20" s="6701">
        <f>IF(AM23=0, 0, (AC20*AH20)/(AM23*AL17))</f>
        <v>0</v>
      </c>
      <c r="AM20" s="5882">
        <f>IFERROR(_xlfn.LET(_xlpm.v,IFERROR(_xlfn.XLOOKUP(AG20,AC24:AP24,AC25:AP25),_xlfn.XLOOKUP(AG20,AC26:AP26,AC27:AP27)),_xlpm.v*AF20*IF(ISBLANK(AC20),1,AC20)),0)</f>
        <v>0</v>
      </c>
      <c r="AN20" s="5256">
        <f>IF(OR(ISBLANK(AO13),AO13=0),0,AC20*AO11*AH20/AO13)</f>
        <v>0</v>
      </c>
      <c r="AO20" s="6051">
        <f>IF(OR(ISBLANK(AO13),AO13=0),0,AM20*AH20*AO11/AO13)</f>
        <v>0</v>
      </c>
      <c r="AP20" s="6198" t="str">
        <f>_xlfn.LET(_xlpm.unite,SUBSTITUTE(TRIM(AG20)," (s)",""),_xlpm.val,AO20,_xlpm.estVol,COUNTIF(AI24:AP24,_xlpm.unite)+COUNTIF(AI26:AP26,_xlpm.unite)&gt;0,_xlpm.estPoids,COUNTIF(AC24:AH24,_xlpm.unite)+COUNTIF(AC26:AH26,_xlpm.unite)&gt;0,IF(_xlpm.estVol,IF(ROUND(_xlpm.val,3)&gt;=1,ROUND(_xlpm.val,3)&amp;" L",MAX(1,ROUND(_xlpm.val*100,0))&amp;" cl"),IF(_xlpm.estPoids,IF(ROUND(_xlpm.val,3)&gt;=1,ROUND(_xlpm.val,3)&amp;" Kg",MAX(1,ROUND(_xlpm.val*1000,0))&amp;" g"),"")))</f>
        <v/>
      </c>
      <c r="AR20" s="6872" t="s">
        <v>11046</v>
      </c>
      <c r="AT20" s="1021" t="str">
        <f>IF(BE20&lt;&gt;"","A","►")</f>
        <v>A</v>
      </c>
      <c r="AU20" s="41" t="str">
        <f>AU14</f>
        <v>N NOMBRE DE SU RECETA | pegue esto — FAMILIA| Autor &gt; USTED</v>
      </c>
      <c r="AV20" s="40">
        <f>AV14</f>
        <v>0.6</v>
      </c>
      <c r="AW20" s="41" t="str">
        <f>AW14</f>
        <v>kg</v>
      </c>
      <c r="AX20" s="5386" t="str">
        <f>AX14</f>
        <v>Receta madre ► Ballotina de pintada</v>
      </c>
      <c r="AY20" s="213"/>
      <c r="AZ20" s="212"/>
      <c r="BA20" s="211" t="str">
        <f>IF(OR(ISTEXT(AY20), AY20&lt;=0, BB20&lt;=0), "", "de")</f>
        <v/>
      </c>
      <c r="BB20" s="210"/>
      <c r="BC20" s="6366"/>
      <c r="BD20" s="5448">
        <v>1</v>
      </c>
      <c r="BE20" s="6866" t="s">
        <v>11064</v>
      </c>
      <c r="BF20" s="6872" t="s">
        <v>11048</v>
      </c>
      <c r="BG20" s="6253">
        <f>IF(BI23=0,0,(BI20/BI23)*BH17*1000)</f>
        <v>0</v>
      </c>
      <c r="BH20" s="6701">
        <f>IF(BI23=0, 0, (AY20*BD20)/(BI23*BH17))</f>
        <v>0</v>
      </c>
      <c r="BI20" s="5882">
        <f>IFERROR(_xlfn.LET(_xlpm.v,IFERROR(_xlfn.XLOOKUP(BC20,AY24:BL24,AY25:BL25),_xlfn.XLOOKUP(BC20,AY26:BL26,AY27:BL27)),_xlpm.v*BB20*IF(ISBLANK(AY20),1,AY20)),0)</f>
        <v>0</v>
      </c>
      <c r="BJ20" s="5256">
        <f>IF(OR(ISBLANK(BK13),BK13=0),0,AY20*BK11*BD20/BK13)</f>
        <v>0</v>
      </c>
      <c r="BK20" s="6051">
        <f>IF(OR(ISBLANK(BK13),BK13=0),0,BI20*BD20*BK11/BK13)</f>
        <v>0</v>
      </c>
      <c r="BL20" s="6198" t="str">
        <f>_xlfn.LET(_xlpm.unite,SUBSTITUTE(TRIM(BC20)," (s)",""),_xlpm.val,BK20,_xlpm.estVol,COUNTIF(BE24:BL24,_xlpm.unite)+COUNTIF(BE26:BL26,_xlpm.unite)&gt;0,_xlpm.estPoids,COUNTIF(AY24:BD24,_xlpm.unite)+COUNTIF(AY26:BD26,_xlpm.unite)&gt;0,IF(_xlpm.estVol,IF(ROUND(_xlpm.val,3)&gt;=1,ROUND(_xlpm.val,3)&amp;" L",MAX(1,ROUND(_xlpm.val*100,0))&amp;" cl"),IF(_xlpm.estPoids,IF(ROUND(_xlpm.val,3)&gt;=1,ROUND(_xlpm.val,3)&amp;" Kg",MAX(1,ROUND(_xlpm.val*1000,0))&amp;" g"),"")))</f>
        <v/>
      </c>
      <c r="BN20" s="6872" t="s">
        <v>11046</v>
      </c>
      <c r="BP20" s="6506"/>
      <c r="BQ20" s="6507"/>
      <c r="BR20" s="5783"/>
      <c r="BS20" s="5783"/>
      <c r="BT20" s="5783"/>
      <c r="BU20" s="5783"/>
      <c r="BV20" s="6403"/>
      <c r="BX20" s="6506"/>
      <c r="BY20" s="6507"/>
      <c r="BZ20" s="5783"/>
      <c r="CA20" s="5783"/>
      <c r="CB20" s="5783"/>
      <c r="CC20" s="5783"/>
      <c r="CD20" s="6403"/>
      <c r="CF20" s="6506"/>
      <c r="CG20" s="6507"/>
      <c r="CH20" s="5783"/>
      <c r="CI20" s="5783"/>
      <c r="CJ20" s="5783"/>
      <c r="CK20" s="5783"/>
      <c r="CL20" s="6403"/>
      <c r="CN20" s="5">
        <v>1</v>
      </c>
    </row>
    <row r="21" spans="2:92" ht="21" customHeight="1">
      <c r="B21" s="1021" t="str">
        <f>IF(M21&lt;&gt;"","A","►")</f>
        <v>►</v>
      </c>
      <c r="C21" s="41" t="str">
        <f>C14</f>
        <v>N NOM DE VOTRE RECETTE | collez la--FAMILLE| Auteur &gt; VOUS</v>
      </c>
      <c r="D21" s="40">
        <f>D14</f>
        <v>0.6</v>
      </c>
      <c r="E21" s="41" t="str">
        <f>E14</f>
        <v>Kg</v>
      </c>
      <c r="F21" s="5386" t="str">
        <f>F14</f>
        <v>Recette mère ► Ballotine de pintade</v>
      </c>
      <c r="G21" s="213"/>
      <c r="H21" s="212"/>
      <c r="I21" s="211" t="str">
        <f>IF(OR(ISTEXT(G21), G21&lt;=0, J21&lt;=0), "", "de")</f>
        <v/>
      </c>
      <c r="J21" s="210"/>
      <c r="K21" s="6366"/>
      <c r="L21" s="5448">
        <v>1</v>
      </c>
      <c r="M21" s="6866"/>
      <c r="N21" s="6871"/>
      <c r="O21" s="6253">
        <f>IF(Q23=0,0,(Q21/Q23)*P17*1000)</f>
        <v>0</v>
      </c>
      <c r="P21" s="6255">
        <f>IF(Q23=0, 0, (G21*L21)/(Q23*P17))</f>
        <v>0</v>
      </c>
      <c r="Q21" s="5882">
        <f>IFERROR(_xlfn.LET(_xlpm.v,IFERROR(_xlfn.XLOOKUP(K21,G24:T24,G25:T25),_xlfn.XLOOKUP(K21,G26:T26,G27:T27)),_xlpm.v*J21*IF(ISBLANK(G21),1,G21)),0)</f>
        <v>0</v>
      </c>
      <c r="R21" s="5254">
        <f>IF(OR(ISBLANK(S13),S13=0),0,G21*S11*L21/S13)</f>
        <v>0</v>
      </c>
      <c r="S21" s="6051">
        <f>IF(OR(ISBLANK(S13),S13=0),0,Q21*L21*S11/S13)</f>
        <v>0</v>
      </c>
      <c r="T21" s="6199" t="str">
        <f>_xlfn.LET(_xlpm.unite,SUBSTITUTE(TRIM(K21)," (s)",""),_xlpm.val,S21,_xlpm.estVol,COUNTIF(M24:T24,_xlpm.unite)+COUNTIF(M26:T26,_xlpm.unite)&gt;0,_xlpm.estPoids,COUNTIF(G24:L24,_xlpm.unite)+COUNTIF(G26:L26,_xlpm.unite)&gt;0,IF(_xlpm.estVol,IF(ROUND(_xlpm.val,3)&gt;=1,ROUND(_xlpm.val,3)&amp;"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1" s="6872" t="s">
        <v>11047</v>
      </c>
      <c r="X21" s="1021" t="str">
        <f>IF(AI21&lt;&gt;"","A","►")</f>
        <v>►</v>
      </c>
      <c r="Y21" s="41" t="str">
        <f>Y14</f>
        <v>N NAME OF YOUR RECIPE | paste it — FAMILY|  Author &gt; YOU</v>
      </c>
      <c r="Z21" s="40">
        <f>Z14</f>
        <v>0.6</v>
      </c>
      <c r="AA21" s="41" t="str">
        <f>AA14</f>
        <v>kg</v>
      </c>
      <c r="AB21" s="5386" t="str">
        <f>AB14</f>
        <v>Master recipe ► Guinea fowl ballotine</v>
      </c>
      <c r="AC21" s="213"/>
      <c r="AD21" s="212"/>
      <c r="AE21" s="211" t="str">
        <f>IF(OR(ISTEXT(AC21), AC21&lt;=0, AF21&lt;=0), "", "de")</f>
        <v/>
      </c>
      <c r="AF21" s="210"/>
      <c r="AG21" s="6366"/>
      <c r="AH21" s="5448">
        <v>1</v>
      </c>
      <c r="AI21" s="6866"/>
      <c r="AJ21" s="6871"/>
      <c r="AK21" s="6253">
        <f>IF(AM23=0,0,(AM21/AM23)*AL17*1000)</f>
        <v>0</v>
      </c>
      <c r="AL21" s="6701">
        <f>IF(AM23=0, 0, (AC21*AH21)/(AM23*AL17))</f>
        <v>0</v>
      </c>
      <c r="AM21" s="5882">
        <f>IFERROR(_xlfn.LET(_xlpm.v,IFERROR(_xlfn.XLOOKUP(AG21,AC24:AP24,AC25:AP25),_xlfn.XLOOKUP(AG21,AC26:AP26,AC27:AP27)),_xlpm.v*AF21*IF(ISBLANK(AC21),1,AC21)),0)</f>
        <v>0</v>
      </c>
      <c r="AN21" s="5254">
        <f>IF(OR(ISBLANK(AO13),AO13=0),0,AC21*AO11*AH21/AO13)</f>
        <v>0</v>
      </c>
      <c r="AO21" s="6051">
        <f>IF(OR(ISBLANK(AO13),AO13=0),0,AM21*AH21*AO11/AO13)</f>
        <v>0</v>
      </c>
      <c r="AP21" s="6199" t="str">
        <f>_xlfn.LET(_xlpm.unite,SUBSTITUTE(TRIM(AG21)," (s)",""),_xlpm.val,AO21,_xlpm.estVol,COUNTIF(AI24:AP24,_xlpm.unite)+COUNTIF(AI26:AP26,_xlpm.unite)&gt;0,_xlpm.estPoids,COUNTIF(AC24:AH24,_xlpm.unite)+COUNTIF(AC26:AH26,_xlpm.unite)&gt;0,IF(_xlpm.estVol,IF(ROUND(_xlpm.val,3)&gt;=1,ROUND(_xlpm.val,3)&amp;" L",MAX(1,ROUND(_xlpm.val*100,0))&amp;" cl"),IF(_xlpm.estPoids,IF(ROUND(_xlpm.val,3)&gt;=1,ROUND(_xlpm.val,3)&amp;" Kg",MAX(1,ROUND(_xlpm.val*1000,0))&amp;" g"),"")))</f>
        <v/>
      </c>
      <c r="AR21" s="6872" t="s">
        <v>11047</v>
      </c>
      <c r="AT21" s="1021" t="str">
        <f>IF(BE21&lt;&gt;"","A","►")</f>
        <v>►</v>
      </c>
      <c r="AU21" s="41" t="str">
        <f>AU14</f>
        <v>N NOMBRE DE SU RECETA | pegue esto — FAMILIA| Autor &gt; USTED</v>
      </c>
      <c r="AV21" s="40">
        <f>AV14</f>
        <v>0.6</v>
      </c>
      <c r="AW21" s="41" t="str">
        <f>AW14</f>
        <v>kg</v>
      </c>
      <c r="AX21" s="5386" t="str">
        <f>AX14</f>
        <v>Receta madre ► Ballotina de pintada</v>
      </c>
      <c r="AY21" s="213"/>
      <c r="AZ21" s="212"/>
      <c r="BA21" s="211" t="str">
        <f>IF(OR(ISTEXT(AY21), AY21&lt;=0, BB21&lt;=0), "", "de")</f>
        <v/>
      </c>
      <c r="BB21" s="210"/>
      <c r="BC21" s="6366"/>
      <c r="BD21" s="5448">
        <v>1</v>
      </c>
      <c r="BE21" s="6866"/>
      <c r="BF21" s="6871"/>
      <c r="BG21" s="6253">
        <f>IF(BI23=0,0,(BI21/BI23)*BH17*1000)</f>
        <v>0</v>
      </c>
      <c r="BH21" s="6701">
        <f>IF(BI23=0, 0, (AY21*BD21)/(BI23*BH17))</f>
        <v>0</v>
      </c>
      <c r="BI21" s="5882">
        <f>IFERROR(_xlfn.LET(_xlpm.v,IFERROR(_xlfn.XLOOKUP(BC21,AY24:BL24,AY25:BL25),_xlfn.XLOOKUP(BC21,AY26:BL26,AY27:BL27)),_xlpm.v*BB21*IF(ISBLANK(AY21),1,AY21)),0)</f>
        <v>0</v>
      </c>
      <c r="BJ21" s="5254">
        <f>IF(OR(ISBLANK(BK13),BK13=0),0,AY21*BK11*BD21/BK13)</f>
        <v>0</v>
      </c>
      <c r="BK21" s="6051">
        <f>IF(OR(ISBLANK(BK13),BK13=0),0,BI21*BD21*BK11/BK13)</f>
        <v>0</v>
      </c>
      <c r="BL21" s="6199" t="str">
        <f>_xlfn.LET(_xlpm.unite,SUBSTITUTE(TRIM(BC21)," (s)",""),_xlpm.val,BK21,_xlpm.estVol,COUNTIF(BE24:BL24,_xlpm.unite)+COUNTIF(BE26:BL26,_xlpm.unite)&gt;0,_xlpm.estPoids,COUNTIF(AY24:BD24,_xlpm.unite)+COUNTIF(AY26:BD26,_xlpm.unite)&gt;0,IF(_xlpm.estVol,IF(ROUND(_xlpm.val,3)&gt;=1,ROUND(_xlpm.val,3)&amp;" L",MAX(1,ROUND(_xlpm.val*100,0))&amp;" cl"),IF(_xlpm.estPoids,IF(ROUND(_xlpm.val,3)&gt;=1,ROUND(_xlpm.val,3)&amp;" Kg",MAX(1,ROUND(_xlpm.val*1000,0))&amp;" g"),"")))</f>
        <v/>
      </c>
      <c r="BN21" s="6872" t="s">
        <v>11047</v>
      </c>
      <c r="BP21" s="6367" t="s">
        <v>8462</v>
      </c>
      <c r="BQ21" s="5673"/>
      <c r="BR21" s="5674"/>
      <c r="BS21" s="955"/>
      <c r="BT21" s="5783"/>
      <c r="BU21" s="5783"/>
      <c r="BV21" s="6403"/>
      <c r="BX21" s="6367" t="s">
        <v>9222</v>
      </c>
      <c r="BY21" s="5673"/>
      <c r="BZ21" s="5674"/>
      <c r="CA21" s="955"/>
      <c r="CB21" s="5783"/>
      <c r="CC21" s="5783"/>
      <c r="CD21" s="6403"/>
      <c r="CF21" s="6367" t="s">
        <v>9365</v>
      </c>
      <c r="CG21" s="5673"/>
      <c r="CH21" s="5674"/>
      <c r="CI21" s="955"/>
      <c r="CJ21" s="5783"/>
      <c r="CK21" s="5783"/>
      <c r="CL21" s="6403"/>
      <c r="CN21" s="5">
        <v>1</v>
      </c>
    </row>
    <row r="22" spans="2:92" ht="21" customHeight="1">
      <c r="B22" s="1021" t="str">
        <f>IF(M22&lt;&gt;"","A","►")</f>
        <v>►</v>
      </c>
      <c r="C22" s="41" t="str">
        <f>C14</f>
        <v>N NOM DE VOTRE RECETTE | collez la--FAMILLE| Auteur &gt; VOUS</v>
      </c>
      <c r="D22" s="40">
        <f>D14</f>
        <v>0.6</v>
      </c>
      <c r="E22" s="41" t="str">
        <f>E14</f>
        <v>Kg</v>
      </c>
      <c r="F22" s="5386" t="str">
        <f>F14</f>
        <v>Recette mère ► Ballotine de pintade</v>
      </c>
      <c r="G22" s="213"/>
      <c r="H22" s="212"/>
      <c r="I22" s="211" t="str">
        <f>IF(OR(ISTEXT(G22), G22&lt;=0, J22&lt;=0), "", "de")</f>
        <v/>
      </c>
      <c r="J22" s="210"/>
      <c r="K22" s="6366"/>
      <c r="L22" s="5448">
        <v>1</v>
      </c>
      <c r="M22" s="6866"/>
      <c r="N22" s="6871"/>
      <c r="O22" s="6253">
        <f>IF(Q23=0,0,(Q22/Q23)*P17*1000)</f>
        <v>0</v>
      </c>
      <c r="P22" s="6255">
        <f>IF(Q23=0, 0, (G22*L22)/(Q23*P17))</f>
        <v>0</v>
      </c>
      <c r="Q22" s="5882">
        <f>IFERROR(_xlfn.LET(_xlpm.v,IFERROR(_xlfn.XLOOKUP(K22,G24:T24,G25:T25),_xlfn.XLOOKUP(K22,G26:T26,G27:T27)),_xlpm.v*J22*IF(ISBLANK(G22),1,G22)),0)</f>
        <v>0</v>
      </c>
      <c r="R22" s="5256">
        <f>IF(OR(ISBLANK(S13),S13=0),0,G22*S11*L22/S13)</f>
        <v>0</v>
      </c>
      <c r="S22" s="6051">
        <f>IF(OR(ISBLANK(S13),S13=0),0,Q22*L22*S11/S13)</f>
        <v>0</v>
      </c>
      <c r="T22" s="6198" t="str">
        <f>_xlfn.LET(_xlpm.unite,SUBSTITUTE(TRIM(K22)," (s)",""),_xlpm.val,S22,_xlpm.estVol,COUNTIF(M24:T24,_xlpm.unite)+COUNTIF(M26:T26,_xlpm.unite)&gt;0,_xlpm.estPoids,COUNTIF(G24:L24,_xlpm.unite)+COUNTIF(G26:L26,_xlpm.unite)&gt;0,IF(_xlpm.estVol,IF(ROUND(_xlpm.val,3)&gt;=1,ROUND(_xlpm.val,3)&amp;" L",MAX(1,ROUND(_xlpm.val*100,0))&amp;" cl"),IF(_xlpm.estPoids,IF(ROUND(_xlpm.val,3)&gt;=1,ROUND(_xlpm.val,3)&amp;" Kg",MAX(1,ROUND(_xlpm.val*1000,0))&amp;" g"),"")))</f>
        <v/>
      </c>
      <c r="V22" s="6872" t="s">
        <v>11048</v>
      </c>
      <c r="X22" s="1021" t="str">
        <f>IF(AI22&lt;&gt;"","A","►")</f>
        <v>►</v>
      </c>
      <c r="Y22" s="41" t="str">
        <f>Y14</f>
        <v>N NAME OF YOUR RECIPE | paste it — FAMILY|  Author &gt; YOU</v>
      </c>
      <c r="Z22" s="40">
        <f>Z14</f>
        <v>0.6</v>
      </c>
      <c r="AA22" s="41" t="str">
        <f>AA14</f>
        <v>kg</v>
      </c>
      <c r="AB22" s="5386" t="str">
        <f>AB14</f>
        <v>Master recipe ► Guinea fowl ballotine</v>
      </c>
      <c r="AC22" s="213"/>
      <c r="AD22" s="212"/>
      <c r="AE22" s="211" t="str">
        <f>IF(OR(ISTEXT(AC22), AC22&lt;=0, AF22&lt;=0), "", "de")</f>
        <v/>
      </c>
      <c r="AF22" s="210"/>
      <c r="AG22" s="6366"/>
      <c r="AH22" s="5448">
        <v>1</v>
      </c>
      <c r="AI22" s="6866"/>
      <c r="AJ22" s="6871"/>
      <c r="AK22" s="6253">
        <f>IF(AM23=0,0,(AM22/AM23)*AL17*1000)</f>
        <v>0</v>
      </c>
      <c r="AL22" s="6701">
        <f>IF(AM23=0, 0, (AC22*AH22)/(AM23*AL17))</f>
        <v>0</v>
      </c>
      <c r="AM22" s="5882">
        <f>IFERROR(_xlfn.LET(_xlpm.v,IFERROR(_xlfn.XLOOKUP(AG22,AC24:AP24,AC25:AP25),_xlfn.XLOOKUP(AG22,AC26:AP26,AC27:AP27)),_xlpm.v*AF22*IF(ISBLANK(AC22),1,AC22)),0)</f>
        <v>0</v>
      </c>
      <c r="AN22" s="5256">
        <f>IF(OR(ISBLANK(AO13),AO13=0),0,AC22*AO11*AH22/AO13)</f>
        <v>0</v>
      </c>
      <c r="AO22" s="6051">
        <f>IF(OR(ISBLANK(AO13),AO13=0),0,AM22*AH22*AO11/AO13)</f>
        <v>0</v>
      </c>
      <c r="AP22" s="6198" t="str">
        <f>_xlfn.LET(_xlpm.unite,SUBSTITUTE(TRIM(AG22)," (s)",""),_xlpm.val,AO22,_xlpm.estVol,COUNTIF(AI24:AP24,_xlpm.unite)+COUNTIF(AI26:AP26,_xlpm.unite)&gt;0,_xlpm.estPoids,COUNTIF(AC24:AH24,_xlpm.unite)+COUNTIF(AC26:AH26,_xlpm.unite)&gt;0,IF(_xlpm.estVol,IF(ROUND(_xlpm.val,3)&gt;=1,ROUND(_xlpm.val,3)&amp;" L",MAX(1,ROUND(_xlpm.val*100,0))&amp;" cl"),IF(_xlpm.estPoids,IF(ROUND(_xlpm.val,3)&gt;=1,ROUND(_xlpm.val,3)&amp;" Kg",MAX(1,ROUND(_xlpm.val*1000,0))&amp;" g"),"")))</f>
        <v/>
      </c>
      <c r="AR22" s="6872" t="s">
        <v>11048</v>
      </c>
      <c r="AT22" s="1021" t="str">
        <f>IF(BE22&lt;&gt;"","A","►")</f>
        <v>►</v>
      </c>
      <c r="AU22" s="41" t="str">
        <f>AU14</f>
        <v>N NOMBRE DE SU RECETA | pegue esto — FAMILIA| Autor &gt; USTED</v>
      </c>
      <c r="AV22" s="40">
        <f>AV14</f>
        <v>0.6</v>
      </c>
      <c r="AW22" s="41" t="str">
        <f>AW14</f>
        <v>kg</v>
      </c>
      <c r="AX22" s="5386" t="str">
        <f>AX14</f>
        <v>Receta madre ► Ballotina de pintada</v>
      </c>
      <c r="AY22" s="213"/>
      <c r="AZ22" s="212"/>
      <c r="BA22" s="211" t="str">
        <f>IF(OR(ISTEXT(AY22), AY22&lt;=0, BB22&lt;=0), "", "de")</f>
        <v/>
      </c>
      <c r="BB22" s="210"/>
      <c r="BC22" s="6366"/>
      <c r="BD22" s="5448">
        <v>1</v>
      </c>
      <c r="BE22" s="6866"/>
      <c r="BF22" s="6871"/>
      <c r="BG22" s="6253">
        <f>IF(BI23=0,0,(BI22/BI23)*BH17*1000)</f>
        <v>0</v>
      </c>
      <c r="BH22" s="6701">
        <f>IF(BI23=0, 0, (AY22*BD22)/(BI23*BH17))</f>
        <v>0</v>
      </c>
      <c r="BI22" s="5882">
        <f>IFERROR(_xlfn.LET(_xlpm.v,IFERROR(_xlfn.XLOOKUP(BC22,AY24:BL24,AY25:BL25),_xlfn.XLOOKUP(BC22,AY26:BL26,AY27:BL27)),_xlpm.v*BB22*IF(ISBLANK(AY22),1,AY22)),0)</f>
        <v>0</v>
      </c>
      <c r="BJ22" s="5256">
        <f>IF(OR(ISBLANK(BK13),BK13=0),0,AY22*BK11*BD22/BK13)</f>
        <v>0</v>
      </c>
      <c r="BK22" s="6051">
        <f>IF(OR(ISBLANK(BK13),BK13=0),0,BI22*BD22*BK11/BK13)</f>
        <v>0</v>
      </c>
      <c r="BL22" s="6198" t="str">
        <f>_xlfn.LET(_xlpm.unite,SUBSTITUTE(TRIM(BC22)," (s)",""),_xlpm.val,BK22,_xlpm.estVol,COUNTIF(BE24:BL24,_xlpm.unite)+COUNTIF(BE26:BL26,_xlpm.unite)&gt;0,_xlpm.estPoids,COUNTIF(AY24:BD24,_xlpm.unite)+COUNTIF(AY26:BD26,_xlpm.unite)&gt;0,IF(_xlpm.estVol,IF(ROUND(_xlpm.val,3)&gt;=1,ROUND(_xlpm.val,3)&amp;" L",MAX(1,ROUND(_xlpm.val*100,0))&amp;" cl"),IF(_xlpm.estPoids,IF(ROUND(_xlpm.val,3)&gt;=1,ROUND(_xlpm.val,3)&amp;" Kg",MAX(1,ROUND(_xlpm.val*1000,0))&amp;" g"),"")))</f>
        <v/>
      </c>
      <c r="BN22" s="6872" t="s">
        <v>11048</v>
      </c>
      <c r="BP22" s="6404"/>
      <c r="BQ22" s="5783"/>
      <c r="BR22" s="1062" t="str">
        <f>IF(ISTEXT(BS22),"Recette mère ►",#REF!)</f>
        <v>Recette mère ►</v>
      </c>
      <c r="BS22" s="6499" t="s">
        <v>919</v>
      </c>
      <c r="BT22" s="5783"/>
      <c r="BU22" s="5783"/>
      <c r="BV22" s="6403"/>
      <c r="BX22" s="6404"/>
      <c r="BY22" s="5783"/>
      <c r="BZ22" s="1062" t="s">
        <v>9580</v>
      </c>
      <c r="CA22" s="6499" t="s">
        <v>9581</v>
      </c>
      <c r="CB22" s="5783"/>
      <c r="CC22" s="5783"/>
      <c r="CD22" s="6403"/>
      <c r="CF22" s="6404"/>
      <c r="CG22" s="5783"/>
      <c r="CH22" s="1062" t="s">
        <v>9587</v>
      </c>
      <c r="CI22" s="6499" t="s">
        <v>9588</v>
      </c>
      <c r="CJ22" s="5783"/>
      <c r="CK22" s="5783"/>
      <c r="CL22" s="6403"/>
      <c r="CN22" s="5">
        <v>1</v>
      </c>
    </row>
    <row r="23" spans="2:92" ht="21" customHeight="1">
      <c r="B23" s="1021" t="s">
        <v>21</v>
      </c>
      <c r="C23" s="41" t="str">
        <f>C14</f>
        <v>N NOM DE VOTRE RECETTE | collez la--FAMILLE| Auteur &gt; VOUS</v>
      </c>
      <c r="D23" s="40">
        <f>D14</f>
        <v>0.6</v>
      </c>
      <c r="E23" s="41" t="str">
        <f>E14</f>
        <v>Kg</v>
      </c>
      <c r="F23" s="5386" t="str">
        <f>F14</f>
        <v>Recette mère ► Ballotine de pintade</v>
      </c>
      <c r="G23" s="5398" t="s">
        <v>8357</v>
      </c>
      <c r="H23" s="5261"/>
      <c r="I23" s="5261"/>
      <c r="J23" s="5261"/>
      <c r="K23" s="5261"/>
      <c r="L23" s="5921"/>
      <c r="M23" s="6277"/>
      <c r="N23" s="6277"/>
      <c r="O23" s="5262"/>
      <c r="P23" s="5262"/>
      <c r="Q23" s="5263">
        <f>SUM(Q18:Q22)</f>
        <v>0.60000000000000009</v>
      </c>
      <c r="R23" s="5264"/>
      <c r="S23" s="5264" t="str">
        <f>"Total " &amp; S15&amp;" &gt;"</f>
        <v>Total Col.18 &gt;</v>
      </c>
      <c r="T23" s="6204">
        <f>SUM(S18:S22)</f>
        <v>30</v>
      </c>
      <c r="V23" s="6872" t="s">
        <v>11049</v>
      </c>
      <c r="X23" s="1021" t="s">
        <v>21</v>
      </c>
      <c r="Y23" s="41" t="str">
        <f>Y14</f>
        <v>N NAME OF YOUR RECIPE | paste it — FAMILY|  Author &gt; YOU</v>
      </c>
      <c r="Z23" s="40">
        <f>Z14</f>
        <v>0.6</v>
      </c>
      <c r="AA23" s="41" t="str">
        <f>AA14</f>
        <v>kg</v>
      </c>
      <c r="AB23" s="5386" t="str">
        <f>AB14</f>
        <v>Master recipe ► Guinea fowl ballotine</v>
      </c>
      <c r="AC23" s="6714" t="s">
        <v>8397</v>
      </c>
      <c r="AD23" s="6379"/>
      <c r="AE23" s="6379"/>
      <c r="AF23" s="6379"/>
      <c r="AG23" s="6379"/>
      <c r="AH23" s="6715"/>
      <c r="AI23" s="6716"/>
      <c r="AJ23" s="6716"/>
      <c r="AK23" s="6717"/>
      <c r="AL23" s="6717"/>
      <c r="AM23" s="6718">
        <f>SUM(AM18:AM22)</f>
        <v>0.60000000000000009</v>
      </c>
      <c r="AN23" s="6719"/>
      <c r="AO23" s="6719" t="str">
        <f>"Total " &amp; AO15&amp;" &gt;"</f>
        <v>Total Col.18 &gt;</v>
      </c>
      <c r="AP23" s="6720">
        <f>SUM(AO18:AO22)</f>
        <v>30</v>
      </c>
      <c r="AR23" s="6872" t="s">
        <v>11049</v>
      </c>
      <c r="AT23" s="1021" t="s">
        <v>21</v>
      </c>
      <c r="AU23" s="41" t="str">
        <f>AU14</f>
        <v>N NOMBRE DE SU RECETA | pegue esto — FAMILIA| Autor &gt; USTED</v>
      </c>
      <c r="AV23" s="40">
        <f>AV14</f>
        <v>0.6</v>
      </c>
      <c r="AW23" s="41" t="str">
        <f>AW14</f>
        <v>kg</v>
      </c>
      <c r="AX23" s="5386" t="str">
        <f>AX14</f>
        <v>Receta madre ► Ballotina de pintada</v>
      </c>
      <c r="AY23" s="6714" t="s">
        <v>8357</v>
      </c>
      <c r="AZ23" s="6379"/>
      <c r="BA23" s="6379"/>
      <c r="BB23" s="6379"/>
      <c r="BC23" s="6379"/>
      <c r="BD23" s="6715"/>
      <c r="BE23" s="6716"/>
      <c r="BF23" s="6716"/>
      <c r="BG23" s="6717"/>
      <c r="BH23" s="6717"/>
      <c r="BI23" s="6718">
        <f>SUM(BI18:BI22)</f>
        <v>0.60000000000000009</v>
      </c>
      <c r="BJ23" s="6719"/>
      <c r="BK23" s="6719" t="str">
        <f>"Total " &amp; BK15&amp;" &gt;"</f>
        <v>Total Col.18 &gt;</v>
      </c>
      <c r="BL23" s="6720">
        <f>SUM(BK18:BK22)</f>
        <v>30</v>
      </c>
      <c r="BN23" s="6872" t="s">
        <v>11049</v>
      </c>
      <c r="BP23" s="6404"/>
      <c r="BQ23" s="5783"/>
      <c r="BR23" s="5783"/>
      <c r="BS23" s="5783"/>
      <c r="BT23" s="5783"/>
      <c r="BU23" s="5783"/>
      <c r="BV23" s="6403"/>
      <c r="BX23" s="6404"/>
      <c r="BY23" s="5783"/>
      <c r="BZ23" s="5783"/>
      <c r="CA23" s="5783"/>
      <c r="CB23" s="5783"/>
      <c r="CC23" s="5783"/>
      <c r="CD23" s="6403"/>
      <c r="CF23" s="6404"/>
      <c r="CG23" s="5783"/>
      <c r="CH23" s="5783"/>
      <c r="CI23" s="5783"/>
      <c r="CJ23" s="5783"/>
      <c r="CK23" s="5783"/>
      <c r="CL23" s="6403"/>
      <c r="CN23" s="5">
        <v>1</v>
      </c>
    </row>
    <row r="24" spans="2:92" ht="21" customHeight="1">
      <c r="B24" s="1021" t="s">
        <v>26</v>
      </c>
      <c r="C24" s="41" t="str">
        <f>C14</f>
        <v>N NOM DE VOTRE RECETTE | collez la--FAMILLE| Auteur &gt; VOUS</v>
      </c>
      <c r="D24" s="40">
        <f>D14</f>
        <v>0.6</v>
      </c>
      <c r="E24" s="41" t="str">
        <f>E14</f>
        <v>Kg</v>
      </c>
      <c r="F24" s="5386" t="str">
        <f>F14</f>
        <v>Recette mère ► Ballotine de pintade</v>
      </c>
      <c r="G24" s="6284" t="s">
        <v>219</v>
      </c>
      <c r="H24" s="6283" t="s">
        <v>130</v>
      </c>
      <c r="I24" s="6291" t="s">
        <v>8014</v>
      </c>
      <c r="J24" s="6288" t="s">
        <v>188</v>
      </c>
      <c r="K24" s="6287" t="s">
        <v>176</v>
      </c>
      <c r="L24" s="6287" t="s">
        <v>179</v>
      </c>
      <c r="M24" s="6285" t="s">
        <v>88</v>
      </c>
      <c r="N24" s="6285" t="s">
        <v>172</v>
      </c>
      <c r="O24" s="6285" t="s">
        <v>170</v>
      </c>
      <c r="P24" s="6285" t="s">
        <v>166</v>
      </c>
      <c r="Q24" s="6286" t="s">
        <v>159</v>
      </c>
      <c r="R24" s="6286" t="s">
        <v>8012</v>
      </c>
      <c r="S24" s="6388" t="s">
        <v>8764</v>
      </c>
      <c r="T24" s="8491" t="s">
        <v>11063</v>
      </c>
      <c r="V24" s="6872" t="s">
        <v>11042</v>
      </c>
      <c r="X24" s="1021" t="s">
        <v>26</v>
      </c>
      <c r="Y24" s="41" t="str">
        <f>Y14</f>
        <v>N NAME OF YOUR RECIPE | paste it — FAMILY|  Author &gt; YOU</v>
      </c>
      <c r="Z24" s="40">
        <f>Z14</f>
        <v>0.6</v>
      </c>
      <c r="AA24" s="41" t="str">
        <f>AA14</f>
        <v>kg</v>
      </c>
      <c r="AB24" s="5386" t="str">
        <f>AB14</f>
        <v>Master recipe ► Guinea fowl ballotine</v>
      </c>
      <c r="AC24" s="6699" t="s">
        <v>219</v>
      </c>
      <c r="AD24" s="6283" t="s">
        <v>130</v>
      </c>
      <c r="AE24" s="6291" t="s">
        <v>9687</v>
      </c>
      <c r="AF24" s="6287" t="s">
        <v>9603</v>
      </c>
      <c r="AG24" s="6287" t="s">
        <v>9607</v>
      </c>
      <c r="AH24" s="6287" t="s">
        <v>9605</v>
      </c>
      <c r="AI24" s="6702" t="s">
        <v>88</v>
      </c>
      <c r="AJ24" s="6285" t="s">
        <v>172</v>
      </c>
      <c r="AK24" s="6285" t="s">
        <v>170</v>
      </c>
      <c r="AL24" s="6702" t="s">
        <v>166</v>
      </c>
      <c r="AM24" s="6286" t="s">
        <v>9615</v>
      </c>
      <c r="AN24" s="6286" t="s">
        <v>9619</v>
      </c>
      <c r="AO24" s="6286" t="s">
        <v>9621</v>
      </c>
      <c r="AP24" s="8491" t="s">
        <v>11063</v>
      </c>
      <c r="AR24" s="6872" t="s">
        <v>11042</v>
      </c>
      <c r="AT24" s="1021" t="s">
        <v>26</v>
      </c>
      <c r="AU24" s="41" t="str">
        <f>AU14</f>
        <v>N NOMBRE DE SU RECETA | pegue esto — FAMILIA| Autor &gt; USTED</v>
      </c>
      <c r="AV24" s="40">
        <f>AV14</f>
        <v>0.6</v>
      </c>
      <c r="AW24" s="41" t="str">
        <f>AW14</f>
        <v>kg</v>
      </c>
      <c r="AX24" s="5386" t="str">
        <f>AX14</f>
        <v>Receta madre ► Ballotina de pintada</v>
      </c>
      <c r="AY24" s="6699" t="s">
        <v>219</v>
      </c>
      <c r="AZ24" s="6283" t="s">
        <v>130</v>
      </c>
      <c r="BA24" s="6291" t="s">
        <v>9695</v>
      </c>
      <c r="BB24" s="6287" t="s">
        <v>9604</v>
      </c>
      <c r="BC24" s="6287" t="s">
        <v>9608</v>
      </c>
      <c r="BD24" s="6287" t="s">
        <v>9606</v>
      </c>
      <c r="BE24" s="6702" t="s">
        <v>88</v>
      </c>
      <c r="BF24" s="6285" t="s">
        <v>172</v>
      </c>
      <c r="BG24" s="6285" t="s">
        <v>170</v>
      </c>
      <c r="BH24" s="6702" t="s">
        <v>166</v>
      </c>
      <c r="BI24" s="6286" t="s">
        <v>9616</v>
      </c>
      <c r="BJ24" s="6286" t="s">
        <v>9620</v>
      </c>
      <c r="BK24" s="6286" t="s">
        <v>9622</v>
      </c>
      <c r="BL24" s="8491" t="s">
        <v>11063</v>
      </c>
      <c r="BN24" s="6872" t="s">
        <v>11042</v>
      </c>
      <c r="BP24" s="6404"/>
      <c r="BQ24" s="6515" t="s">
        <v>9179</v>
      </c>
      <c r="BR24" s="6364"/>
      <c r="BS24" s="6365"/>
      <c r="BT24" s="5783"/>
      <c r="BU24" s="5783"/>
      <c r="BV24" s="6403"/>
      <c r="BX24" s="6404"/>
      <c r="BY24" s="6515" t="s">
        <v>9521</v>
      </c>
      <c r="BZ24" s="6364"/>
      <c r="CA24" s="6365"/>
      <c r="CB24" s="5783"/>
      <c r="CC24" s="5783"/>
      <c r="CD24" s="6403"/>
      <c r="CF24" s="6404"/>
      <c r="CG24" s="6515" t="s">
        <v>9522</v>
      </c>
      <c r="CH24" s="6364"/>
      <c r="CI24" s="6365"/>
      <c r="CJ24" s="5783"/>
      <c r="CK24" s="5783"/>
      <c r="CL24" s="6403"/>
      <c r="CN24" s="5">
        <v>1</v>
      </c>
    </row>
    <row r="25" spans="2:92" ht="21" customHeight="1">
      <c r="B25" s="1021" t="s">
        <v>26</v>
      </c>
      <c r="C25" s="41" t="str">
        <f>C14</f>
        <v>N NOM DE VOTRE RECETTE | collez la--FAMILLE| Auteur &gt; VOUS</v>
      </c>
      <c r="D25" s="40">
        <f>D14</f>
        <v>0.6</v>
      </c>
      <c r="E25" s="41" t="str">
        <f>E14</f>
        <v>Kg</v>
      </c>
      <c r="F25" s="5386" t="str">
        <f>F14</f>
        <v>Recette mère ► Ballotine de pintade</v>
      </c>
      <c r="G25" s="6706">
        <v>1</v>
      </c>
      <c r="H25" s="6707">
        <v>1E-3</v>
      </c>
      <c r="I25" s="6708">
        <v>0</v>
      </c>
      <c r="J25" s="6707">
        <v>0.25</v>
      </c>
      <c r="K25" s="6707">
        <v>0.33332999999999996</v>
      </c>
      <c r="L25" s="6707">
        <v>0.5</v>
      </c>
      <c r="M25" s="6709">
        <v>1</v>
      </c>
      <c r="N25" s="6709">
        <v>0.1</v>
      </c>
      <c r="O25" s="6709">
        <v>0.01</v>
      </c>
      <c r="P25" s="6709">
        <v>1E-3</v>
      </c>
      <c r="Q25" s="6709">
        <v>0.5</v>
      </c>
      <c r="R25" s="6709">
        <v>0.33300000000000002</v>
      </c>
      <c r="S25" s="6709">
        <v>0.2</v>
      </c>
      <c r="T25" s="8493"/>
      <c r="V25" s="6872" t="s">
        <v>11050</v>
      </c>
      <c r="X25" s="1021" t="s">
        <v>26</v>
      </c>
      <c r="Y25" s="41" t="str">
        <f>Y14</f>
        <v>N NAME OF YOUR RECIPE | paste it — FAMILY|  Author &gt; YOU</v>
      </c>
      <c r="Z25" s="40">
        <f>Z14</f>
        <v>0.6</v>
      </c>
      <c r="AA25" s="41" t="str">
        <f>AA14</f>
        <v>kg</v>
      </c>
      <c r="AB25" s="5386" t="str">
        <f>AB14</f>
        <v>Master recipe ► Guinea fowl ballotine</v>
      </c>
      <c r="AC25" s="6706">
        <v>1</v>
      </c>
      <c r="AD25" s="6707">
        <v>1E-3</v>
      </c>
      <c r="AE25" s="6708">
        <v>0</v>
      </c>
      <c r="AF25" s="6707">
        <v>0.25</v>
      </c>
      <c r="AG25" s="6707">
        <v>0.33332999999999996</v>
      </c>
      <c r="AH25" s="6707">
        <v>0.5</v>
      </c>
      <c r="AI25" s="6709">
        <v>1</v>
      </c>
      <c r="AJ25" s="6709">
        <v>0.1</v>
      </c>
      <c r="AK25" s="6709">
        <v>0.01</v>
      </c>
      <c r="AL25" s="6709">
        <v>1E-3</v>
      </c>
      <c r="AM25" s="6709">
        <v>0.5</v>
      </c>
      <c r="AN25" s="6709">
        <v>0.33300000000000002</v>
      </c>
      <c r="AO25" s="8494">
        <v>0.2</v>
      </c>
      <c r="AP25" s="8493"/>
      <c r="AR25" s="6872" t="s">
        <v>11050</v>
      </c>
      <c r="AT25" s="1021" t="s">
        <v>26</v>
      </c>
      <c r="AU25" s="41" t="str">
        <f>AU14</f>
        <v>N NOMBRE DE SU RECETA | pegue esto — FAMILIA| Autor &gt; USTED</v>
      </c>
      <c r="AV25" s="40">
        <f>AV14</f>
        <v>0.6</v>
      </c>
      <c r="AW25" s="41" t="str">
        <f>AW14</f>
        <v>kg</v>
      </c>
      <c r="AX25" s="5386" t="str">
        <f>AX14</f>
        <v>Receta madre ► Ballotina de pintada</v>
      </c>
      <c r="AY25" s="6706">
        <v>1</v>
      </c>
      <c r="AZ25" s="6707">
        <v>1E-3</v>
      </c>
      <c r="BA25" s="6708">
        <v>0</v>
      </c>
      <c r="BB25" s="6707">
        <v>0.25</v>
      </c>
      <c r="BC25" s="6707">
        <v>0.33332999999999996</v>
      </c>
      <c r="BD25" s="6707">
        <v>0.5</v>
      </c>
      <c r="BE25" s="6709">
        <v>1</v>
      </c>
      <c r="BF25" s="6709">
        <v>0.1</v>
      </c>
      <c r="BG25" s="6709">
        <v>0.01</v>
      </c>
      <c r="BH25" s="6709">
        <v>1E-3</v>
      </c>
      <c r="BI25" s="6709">
        <v>0.5</v>
      </c>
      <c r="BJ25" s="6709">
        <v>0.33300000000000002</v>
      </c>
      <c r="BK25" s="8494">
        <v>0.2</v>
      </c>
      <c r="BL25" s="8493"/>
      <c r="BN25" s="6872" t="s">
        <v>11050</v>
      </c>
      <c r="BP25" s="6404"/>
      <c r="BQ25" s="7101" t="s">
        <v>7467</v>
      </c>
      <c r="BR25" s="6369" t="s">
        <v>7468</v>
      </c>
      <c r="BS25" s="6054"/>
      <c r="BT25" s="5783"/>
      <c r="BU25" s="5783"/>
      <c r="BV25" s="6403"/>
      <c r="BX25" s="6404"/>
      <c r="BY25" s="7101" t="s">
        <v>9224</v>
      </c>
      <c r="BZ25" s="6369" t="s">
        <v>9225</v>
      </c>
      <c r="CA25" s="6054"/>
      <c r="CB25" s="5783"/>
      <c r="CC25" s="5783"/>
      <c r="CD25" s="6403"/>
      <c r="CF25" s="6404"/>
      <c r="CG25" s="7101" t="s">
        <v>9367</v>
      </c>
      <c r="CH25" s="6369" t="s">
        <v>9368</v>
      </c>
      <c r="CI25" s="6054"/>
      <c r="CJ25" s="5783"/>
      <c r="CK25" s="5783"/>
      <c r="CL25" s="6403"/>
      <c r="CN25" s="5">
        <v>1</v>
      </c>
    </row>
    <row r="26" spans="2:92" ht="21" customHeight="1">
      <c r="B26" s="1021" t="s">
        <v>26</v>
      </c>
      <c r="C26" s="41" t="str">
        <f>C14</f>
        <v>N NOM DE VOTRE RECETTE | collez la--FAMILLE| Auteur &gt; VOUS</v>
      </c>
      <c r="D26" s="40">
        <f>D14</f>
        <v>0.6</v>
      </c>
      <c r="E26" s="41" t="str">
        <f>E14</f>
        <v>Kg</v>
      </c>
      <c r="F26" s="5386" t="str">
        <f>F14</f>
        <v>Recette mère ► Ballotine de pintade</v>
      </c>
      <c r="G26" s="6289" t="s">
        <v>122</v>
      </c>
      <c r="H26" s="6289" t="s">
        <v>113</v>
      </c>
      <c r="I26" s="6291" t="s">
        <v>8014</v>
      </c>
      <c r="J26" s="6289" t="s">
        <v>112</v>
      </c>
      <c r="K26" s="6289" t="s">
        <v>8015</v>
      </c>
      <c r="L26" s="6289" t="s">
        <v>8016</v>
      </c>
      <c r="M26" s="6294" t="s">
        <v>126</v>
      </c>
      <c r="N26" s="6281" t="s">
        <v>152</v>
      </c>
      <c r="O26" s="6281" t="s">
        <v>143</v>
      </c>
      <c r="P26" s="6286" t="s">
        <v>946</v>
      </c>
      <c r="Q26" s="6286" t="s">
        <v>8765</v>
      </c>
      <c r="R26" s="6286" t="s">
        <v>124</v>
      </c>
      <c r="S26" s="8492" t="s">
        <v>110</v>
      </c>
      <c r="T26" s="8491" t="s">
        <v>11063</v>
      </c>
      <c r="V26" s="6872" t="s">
        <v>11051</v>
      </c>
      <c r="X26" s="1021" t="s">
        <v>26</v>
      </c>
      <c r="Y26" s="41" t="str">
        <f>Y14</f>
        <v>N NAME OF YOUR RECIPE | paste it — FAMILY|  Author &gt; YOU</v>
      </c>
      <c r="Z26" s="40">
        <f>Z14</f>
        <v>0.6</v>
      </c>
      <c r="AA26" s="41" t="str">
        <f>AA14</f>
        <v>kg</v>
      </c>
      <c r="AB26" s="5386" t="str">
        <f>AB14</f>
        <v>Master recipe ► Guinea fowl ballotine</v>
      </c>
      <c r="AC26" s="6289" t="s">
        <v>122</v>
      </c>
      <c r="AD26" s="6289" t="s">
        <v>9642</v>
      </c>
      <c r="AE26" s="6291" t="s">
        <v>9687</v>
      </c>
      <c r="AF26" s="6289" t="s">
        <v>9645</v>
      </c>
      <c r="AG26" s="6289" t="s">
        <v>9639</v>
      </c>
      <c r="AH26" s="6289" t="s">
        <v>9636</v>
      </c>
      <c r="AI26" s="6281" t="s">
        <v>9631</v>
      </c>
      <c r="AJ26" s="6281" t="s">
        <v>9688</v>
      </c>
      <c r="AK26" s="6281" t="s">
        <v>9689</v>
      </c>
      <c r="AL26" s="6286" t="s">
        <v>9690</v>
      </c>
      <c r="AM26" s="6286" t="s">
        <v>9617</v>
      </c>
      <c r="AN26" s="6286" t="s">
        <v>9623</v>
      </c>
      <c r="AO26" s="6755" t="s">
        <v>9691</v>
      </c>
      <c r="AP26" s="8491" t="s">
        <v>11063</v>
      </c>
      <c r="AR26" s="6872" t="s">
        <v>11051</v>
      </c>
      <c r="AT26" s="1021" t="s">
        <v>26</v>
      </c>
      <c r="AU26" s="41" t="str">
        <f>AU14</f>
        <v>N NOMBRE DE SU RECETA | pegue esto — FAMILIA| Autor &gt; USTED</v>
      </c>
      <c r="AV26" s="40">
        <f>AV14</f>
        <v>0.6</v>
      </c>
      <c r="AW26" s="41" t="str">
        <f>AW14</f>
        <v>kg</v>
      </c>
      <c r="AX26" s="5386" t="str">
        <f>AX14</f>
        <v>Receta madre ► Ballotina de pintada</v>
      </c>
      <c r="AY26" s="6289" t="s">
        <v>9633</v>
      </c>
      <c r="AZ26" s="6289" t="s">
        <v>9643</v>
      </c>
      <c r="BA26" s="6291" t="s">
        <v>9695</v>
      </c>
      <c r="BB26" s="6289" t="s">
        <v>9646</v>
      </c>
      <c r="BC26" s="6289" t="s">
        <v>9640</v>
      </c>
      <c r="BD26" s="6289" t="s">
        <v>9696</v>
      </c>
      <c r="BE26" s="6294" t="s">
        <v>9632</v>
      </c>
      <c r="BF26" s="6281" t="s">
        <v>9697</v>
      </c>
      <c r="BG26" s="6281" t="s">
        <v>9698</v>
      </c>
      <c r="BH26" s="6286" t="s">
        <v>9699</v>
      </c>
      <c r="BI26" s="6286" t="s">
        <v>9618</v>
      </c>
      <c r="BJ26" s="6286" t="s">
        <v>9624</v>
      </c>
      <c r="BK26" s="6755" t="s">
        <v>9648</v>
      </c>
      <c r="BL26" s="8491" t="s">
        <v>11063</v>
      </c>
      <c r="BN26" s="6872" t="s">
        <v>11051</v>
      </c>
      <c r="BP26" s="6404"/>
      <c r="BQ26" s="7101"/>
      <c r="BR26" s="6369" t="s">
        <v>7469</v>
      </c>
      <c r="BS26" s="6054"/>
      <c r="BT26" s="5783"/>
      <c r="BU26" s="5783"/>
      <c r="BV26" s="6403"/>
      <c r="BX26" s="6404"/>
      <c r="BY26" s="7101"/>
      <c r="BZ26" s="6369" t="s">
        <v>7469</v>
      </c>
      <c r="CA26" s="6054"/>
      <c r="CB26" s="5783"/>
      <c r="CC26" s="5783"/>
      <c r="CD26" s="6403"/>
      <c r="CF26" s="6404"/>
      <c r="CG26" s="7101"/>
      <c r="CH26" s="6369" t="s">
        <v>7469</v>
      </c>
      <c r="CI26" s="6054"/>
      <c r="CJ26" s="5783"/>
      <c r="CK26" s="5783"/>
      <c r="CL26" s="6403"/>
      <c r="CN26" s="5">
        <v>1</v>
      </c>
    </row>
    <row r="27" spans="2:92" ht="21" customHeight="1">
      <c r="B27" s="1021" t="s">
        <v>26</v>
      </c>
      <c r="C27" s="41" t="str">
        <f>C14</f>
        <v>N NOM DE VOTRE RECETTE | collez la--FAMILLE| Auteur &gt; VOUS</v>
      </c>
      <c r="D27" s="40">
        <f>D14</f>
        <v>0.6</v>
      </c>
      <c r="E27" s="41" t="str">
        <f>E14</f>
        <v>Kg</v>
      </c>
      <c r="F27" s="5386" t="str">
        <f>F14</f>
        <v>Recette mère ► Ballotine de pintade</v>
      </c>
      <c r="G27" s="6706">
        <v>2.835E-2</v>
      </c>
      <c r="H27" s="6707">
        <v>0.13</v>
      </c>
      <c r="I27" s="6708">
        <v>0</v>
      </c>
      <c r="J27" s="6707">
        <v>0.2</v>
      </c>
      <c r="K27" s="6707">
        <v>0.23</v>
      </c>
      <c r="L27" s="6707">
        <v>0.22500000000000001</v>
      </c>
      <c r="M27" s="6709">
        <v>0.35</v>
      </c>
      <c r="N27" s="6709">
        <v>5.0000000000000001E-3</v>
      </c>
      <c r="O27" s="6709">
        <v>5.0000000000000001E-3</v>
      </c>
      <c r="P27" s="6709">
        <v>1.4999999999999999E-2</v>
      </c>
      <c r="Q27" s="6709">
        <v>0.1</v>
      </c>
      <c r="R27" s="6709">
        <v>0.22500000000000001</v>
      </c>
      <c r="S27" s="6709">
        <v>1E-3</v>
      </c>
      <c r="T27" s="8493"/>
      <c r="V27" s="6872" t="s">
        <v>11052</v>
      </c>
      <c r="X27" s="1021" t="s">
        <v>26</v>
      </c>
      <c r="Y27" s="41" t="str">
        <f>Y14</f>
        <v>N NAME OF YOUR RECIPE | paste it — FAMILY|  Author &gt; YOU</v>
      </c>
      <c r="Z27" s="40">
        <f>Z14</f>
        <v>0.6</v>
      </c>
      <c r="AA27" s="41" t="str">
        <f>AA14</f>
        <v>kg</v>
      </c>
      <c r="AB27" s="5386" t="str">
        <f>AB14</f>
        <v>Master recipe ► Guinea fowl ballotine</v>
      </c>
      <c r="AC27" s="6711">
        <v>2.835E-2</v>
      </c>
      <c r="AD27" s="6712">
        <v>0.13</v>
      </c>
      <c r="AE27" s="6713">
        <v>0</v>
      </c>
      <c r="AF27" s="6712">
        <v>0.2</v>
      </c>
      <c r="AG27" s="6712">
        <v>0.23</v>
      </c>
      <c r="AH27" s="6712">
        <v>0.22500000000000001</v>
      </c>
      <c r="AI27" s="6709">
        <v>0.35</v>
      </c>
      <c r="AJ27" s="6709">
        <v>5.0000000000000001E-3</v>
      </c>
      <c r="AK27" s="6709">
        <v>5.0000000000000001E-3</v>
      </c>
      <c r="AL27" s="6709">
        <v>1.4999999999999999E-2</v>
      </c>
      <c r="AM27" s="6709">
        <v>0.1</v>
      </c>
      <c r="AN27" s="6709">
        <v>0.22500000000000001</v>
      </c>
      <c r="AO27" s="8494">
        <v>1E-3</v>
      </c>
      <c r="AP27" s="8493"/>
      <c r="AR27" s="6872" t="s">
        <v>11052</v>
      </c>
      <c r="AT27" s="1021" t="s">
        <v>26</v>
      </c>
      <c r="AU27" s="41" t="str">
        <f>AU14</f>
        <v>N NOMBRE DE SU RECETA | pegue esto — FAMILIA| Autor &gt; USTED</v>
      </c>
      <c r="AV27" s="40">
        <f>AV14</f>
        <v>0.6</v>
      </c>
      <c r="AW27" s="41" t="str">
        <f>AW14</f>
        <v>kg</v>
      </c>
      <c r="AX27" s="5386" t="str">
        <f>AX14</f>
        <v>Receta madre ► Ballotina de pintada</v>
      </c>
      <c r="AY27" s="6711">
        <v>2.835E-2</v>
      </c>
      <c r="AZ27" s="6712">
        <v>0.13</v>
      </c>
      <c r="BA27" s="6713">
        <v>0</v>
      </c>
      <c r="BB27" s="6712">
        <v>0.2</v>
      </c>
      <c r="BC27" s="6712">
        <v>0.23</v>
      </c>
      <c r="BD27" s="6712">
        <v>0.22500000000000001</v>
      </c>
      <c r="BE27" s="6709">
        <v>0.35</v>
      </c>
      <c r="BF27" s="6709">
        <v>5.0000000000000001E-3</v>
      </c>
      <c r="BG27" s="6709">
        <v>5.0000000000000001E-3</v>
      </c>
      <c r="BH27" s="6709">
        <v>1.4999999999999999E-2</v>
      </c>
      <c r="BI27" s="6709">
        <v>0.1</v>
      </c>
      <c r="BJ27" s="6709">
        <v>0.22500000000000001</v>
      </c>
      <c r="BK27" s="8494">
        <v>1E-3</v>
      </c>
      <c r="BL27" s="8493"/>
      <c r="BN27" s="6872" t="s">
        <v>11052</v>
      </c>
      <c r="BP27" s="6404"/>
      <c r="BQ27" s="7101"/>
      <c r="BR27" s="6369" t="s">
        <v>7471</v>
      </c>
      <c r="BS27" s="6054"/>
      <c r="BT27" s="5783"/>
      <c r="BU27" s="5783"/>
      <c r="BV27" s="6403"/>
      <c r="BX27" s="6404"/>
      <c r="BY27" s="7101"/>
      <c r="BZ27" s="6369" t="s">
        <v>9226</v>
      </c>
      <c r="CA27" s="6054"/>
      <c r="CB27" s="5783"/>
      <c r="CC27" s="5783"/>
      <c r="CD27" s="6403"/>
      <c r="CF27" s="6404"/>
      <c r="CG27" s="7101"/>
      <c r="CH27" s="6369" t="s">
        <v>9369</v>
      </c>
      <c r="CI27" s="6054"/>
      <c r="CJ27" s="5783"/>
      <c r="CK27" s="5783"/>
      <c r="CL27" s="6403"/>
      <c r="CN27" s="5">
        <v>1</v>
      </c>
    </row>
    <row r="28" spans="2:92" ht="21" customHeight="1">
      <c r="B28" s="5269" t="s">
        <v>21</v>
      </c>
      <c r="C28" s="1313" t="str">
        <f>C14</f>
        <v>N NOM DE VOTRE RECETTE | collez la--FAMILLE| Auteur &gt; VOUS</v>
      </c>
      <c r="D28" s="1313">
        <f>D14</f>
        <v>0.6</v>
      </c>
      <c r="E28" s="5377" t="str">
        <f>E14</f>
        <v>Kg</v>
      </c>
      <c r="F28" s="5387" t="str">
        <f>F14</f>
        <v>Recette mère ► Ballotine de pintade</v>
      </c>
      <c r="G28" s="6293" t="str">
        <f t="shared" ref="G28:L28" si="10">G15</f>
        <v>Col.6</v>
      </c>
      <c r="H28" s="6293" t="str">
        <f t="shared" si="10"/>
        <v>Col.7</v>
      </c>
      <c r="I28" s="6293" t="str">
        <f t="shared" si="10"/>
        <v>Col.8</v>
      </c>
      <c r="J28" s="6293" t="str">
        <f t="shared" si="10"/>
        <v>Col.9</v>
      </c>
      <c r="K28" s="6293" t="str">
        <f t="shared" si="10"/>
        <v>Col.10</v>
      </c>
      <c r="L28" s="6293" t="str">
        <f t="shared" si="10"/>
        <v>Col.11</v>
      </c>
      <c r="M28" s="6297" t="s">
        <v>8775</v>
      </c>
      <c r="N28" s="6867"/>
      <c r="O28" s="6292"/>
      <c r="P28" s="6292"/>
      <c r="Q28" s="6279"/>
      <c r="R28" s="6279"/>
      <c r="S28" s="6280" t="s">
        <v>1156</v>
      </c>
      <c r="T28" s="6278" t="s">
        <v>1155</v>
      </c>
      <c r="V28" s="6872" t="s">
        <v>11053</v>
      </c>
      <c r="X28" s="5269" t="s">
        <v>21</v>
      </c>
      <c r="Y28" s="1313" t="str">
        <f>Y14</f>
        <v>N NAME OF YOUR RECIPE | paste it — FAMILY|  Author &gt; YOU</v>
      </c>
      <c r="Z28" s="1313">
        <f>Z14</f>
        <v>0.6</v>
      </c>
      <c r="AA28" s="5377" t="str">
        <f>AA14</f>
        <v>kg</v>
      </c>
      <c r="AB28" s="5387" t="str">
        <f>AB14</f>
        <v>Master recipe ► Guinea fowl ballotine</v>
      </c>
      <c r="AC28" s="6293" t="str">
        <f t="shared" ref="AC28:AH28" si="11">AC15</f>
        <v>Col.6</v>
      </c>
      <c r="AD28" s="6293" t="str">
        <f t="shared" si="11"/>
        <v>Col.7</v>
      </c>
      <c r="AE28" s="6293" t="str">
        <f t="shared" si="11"/>
        <v>Col.8</v>
      </c>
      <c r="AF28" s="6293" t="str">
        <f t="shared" si="11"/>
        <v>Col.9</v>
      </c>
      <c r="AG28" s="6293" t="str">
        <f t="shared" si="11"/>
        <v>Col.10</v>
      </c>
      <c r="AH28" s="6293" t="str">
        <f t="shared" si="11"/>
        <v>Col.11</v>
      </c>
      <c r="AI28" s="6297" t="s">
        <v>9692</v>
      </c>
      <c r="AJ28" s="6867"/>
      <c r="AK28" s="6292"/>
      <c r="AL28" s="6292"/>
      <c r="AM28" s="6279"/>
      <c r="AN28" s="6279"/>
      <c r="AO28" s="6721" t="s">
        <v>8359</v>
      </c>
      <c r="AP28" s="6278" t="s">
        <v>1155</v>
      </c>
      <c r="AR28" s="6872" t="s">
        <v>11053</v>
      </c>
      <c r="AT28" s="5269" t="s">
        <v>21</v>
      </c>
      <c r="AU28" s="1313" t="str">
        <f>AU14</f>
        <v>N NOMBRE DE SU RECETA | pegue esto — FAMILIA| Autor &gt; USTED</v>
      </c>
      <c r="AV28" s="1313">
        <f>AV14</f>
        <v>0.6</v>
      </c>
      <c r="AW28" s="5377" t="str">
        <f>AW14</f>
        <v>kg</v>
      </c>
      <c r="AX28" s="5387" t="str">
        <f>AX14</f>
        <v>Receta madre ► Ballotina de pintada</v>
      </c>
      <c r="AY28" s="6293" t="str">
        <f t="shared" ref="AY28:BD28" si="12">AY15</f>
        <v>Col.6</v>
      </c>
      <c r="AZ28" s="6293" t="str">
        <f t="shared" si="12"/>
        <v>Col.7</v>
      </c>
      <c r="BA28" s="6293" t="str">
        <f t="shared" si="12"/>
        <v>Col.8</v>
      </c>
      <c r="BB28" s="6293" t="str">
        <f t="shared" si="12"/>
        <v>Col.9</v>
      </c>
      <c r="BC28" s="6293" t="str">
        <f t="shared" si="12"/>
        <v>Col.10</v>
      </c>
      <c r="BD28" s="6293" t="str">
        <f t="shared" si="12"/>
        <v>Col.11</v>
      </c>
      <c r="BE28" s="6297" t="s">
        <v>9700</v>
      </c>
      <c r="BF28" s="6867"/>
      <c r="BG28" s="6292"/>
      <c r="BH28" s="6292"/>
      <c r="BI28" s="6279"/>
      <c r="BJ28" s="6279"/>
      <c r="BK28" s="6721" t="s">
        <v>8436</v>
      </c>
      <c r="BL28" s="6278" t="s">
        <v>1155</v>
      </c>
      <c r="BN28" s="6872" t="s">
        <v>11053</v>
      </c>
      <c r="BP28" s="6404"/>
      <c r="BQ28" s="7101"/>
      <c r="BR28" s="6369" t="s">
        <v>7473</v>
      </c>
      <c r="BS28" s="6054"/>
      <c r="BT28" s="5783"/>
      <c r="BU28" s="5783"/>
      <c r="BV28" s="6403"/>
      <c r="BX28" s="6404"/>
      <c r="BY28" s="7101"/>
      <c r="BZ28" s="6369" t="s">
        <v>9227</v>
      </c>
      <c r="CA28" s="6054"/>
      <c r="CB28" s="5783"/>
      <c r="CC28" s="5783"/>
      <c r="CD28" s="6403"/>
      <c r="CF28" s="6404"/>
      <c r="CG28" s="7101"/>
      <c r="CH28" s="6369" t="s">
        <v>9227</v>
      </c>
      <c r="CI28" s="6054"/>
      <c r="CJ28" s="5783"/>
      <c r="CK28" s="5783"/>
      <c r="CL28" s="6403"/>
      <c r="CN28" s="5">
        <v>1</v>
      </c>
    </row>
    <row r="29" spans="2:92" ht="21" customHeight="1">
      <c r="B29" s="5270" t="s">
        <v>21</v>
      </c>
      <c r="C29" s="196" t="str">
        <f>C14</f>
        <v>N NOM DE VOTRE RECETTE | collez la--FAMILLE| Auteur &gt; VOUS</v>
      </c>
      <c r="D29" s="196">
        <f>D14</f>
        <v>0.6</v>
      </c>
      <c r="E29" s="197" t="str">
        <f>E14</f>
        <v>Kg</v>
      </c>
      <c r="F29" s="5388" t="str">
        <f>F14</f>
        <v>Recette mère ► Ballotine de pintade</v>
      </c>
      <c r="G29" s="369" t="s">
        <v>252</v>
      </c>
      <c r="H29" s="5271" t="s">
        <v>864</v>
      </c>
      <c r="I29" s="1321"/>
      <c r="J29" s="1321"/>
      <c r="K29" s="1321"/>
      <c r="L29" s="1321"/>
      <c r="M29" s="1321"/>
      <c r="N29" s="1321"/>
      <c r="O29" s="1321"/>
      <c r="P29" s="1322"/>
      <c r="Q29" s="5411"/>
      <c r="R29" s="1266"/>
      <c r="S29" s="1270" t="s">
        <v>1157</v>
      </c>
      <c r="T29" s="5272" t="s">
        <v>1155</v>
      </c>
      <c r="V29" s="6872" t="s">
        <v>11054</v>
      </c>
      <c r="X29" s="5270" t="s">
        <v>21</v>
      </c>
      <c r="Y29" s="196" t="str">
        <f>Y14</f>
        <v>N NAME OF YOUR RECIPE | paste it — FAMILY|  Author &gt; YOU</v>
      </c>
      <c r="Z29" s="196">
        <f>Z14</f>
        <v>0.6</v>
      </c>
      <c r="AA29" s="197" t="str">
        <f>AA14</f>
        <v>kg</v>
      </c>
      <c r="AB29" s="5388" t="str">
        <f>AB14</f>
        <v>Master recipe ► Guinea fowl ballotine</v>
      </c>
      <c r="AC29" s="1354" t="s">
        <v>9333</v>
      </c>
      <c r="AD29" s="5271" t="s">
        <v>8392</v>
      </c>
      <c r="AE29" s="1321"/>
      <c r="AF29" s="1321"/>
      <c r="AG29" s="1321"/>
      <c r="AH29" s="1321"/>
      <c r="AI29" s="1321"/>
      <c r="AJ29" s="1321"/>
      <c r="AK29" s="1321"/>
      <c r="AL29" s="1322"/>
      <c r="AM29" s="5411"/>
      <c r="AN29" s="1266"/>
      <c r="AO29" s="1270" t="s">
        <v>8360</v>
      </c>
      <c r="AP29" s="5272" t="s">
        <v>1155</v>
      </c>
      <c r="AR29" s="6872" t="s">
        <v>11054</v>
      </c>
      <c r="AT29" s="5270" t="s">
        <v>21</v>
      </c>
      <c r="AU29" s="196" t="str">
        <f>AU14</f>
        <v>N NOMBRE DE SU RECETA | pegue esto — FAMILIA| Autor &gt; USTED</v>
      </c>
      <c r="AV29" s="196">
        <f>AV14</f>
        <v>0.6</v>
      </c>
      <c r="AW29" s="197" t="str">
        <f>AW14</f>
        <v>kg</v>
      </c>
      <c r="AX29" s="5388" t="str">
        <f>AX14</f>
        <v>Receta madre ► Ballotina de pintada</v>
      </c>
      <c r="AY29" s="1354" t="s">
        <v>9490</v>
      </c>
      <c r="AZ29" s="5271" t="s">
        <v>8422</v>
      </c>
      <c r="BA29" s="1321"/>
      <c r="BB29" s="1321"/>
      <c r="BC29" s="1321"/>
      <c r="BD29" s="1321"/>
      <c r="BE29" s="1321"/>
      <c r="BF29" s="1321"/>
      <c r="BG29" s="1321"/>
      <c r="BH29" s="1322"/>
      <c r="BI29" s="5411"/>
      <c r="BJ29" s="1266"/>
      <c r="BK29" s="1270" t="s">
        <v>8437</v>
      </c>
      <c r="BL29" s="5272" t="s">
        <v>1155</v>
      </c>
      <c r="BN29" s="6872" t="s">
        <v>11054</v>
      </c>
      <c r="BP29" s="6404"/>
      <c r="BQ29" s="7101"/>
      <c r="BR29" s="6369" t="s">
        <v>7476</v>
      </c>
      <c r="BS29" s="6054"/>
      <c r="BT29" s="5783"/>
      <c r="BU29" s="5783"/>
      <c r="BV29" s="6403"/>
      <c r="BX29" s="6404"/>
      <c r="BY29" s="7101"/>
      <c r="BZ29" s="6369" t="s">
        <v>9228</v>
      </c>
      <c r="CA29" s="6054"/>
      <c r="CB29" s="5783"/>
      <c r="CC29" s="5783"/>
      <c r="CD29" s="6403"/>
      <c r="CF29" s="6404"/>
      <c r="CG29" s="7101"/>
      <c r="CH29" s="6369" t="s">
        <v>9370</v>
      </c>
      <c r="CI29" s="6054"/>
      <c r="CJ29" s="5783"/>
      <c r="CK29" s="5783"/>
      <c r="CL29" s="6403"/>
      <c r="CN29" s="5">
        <v>1</v>
      </c>
    </row>
    <row r="30" spans="2:92" ht="21" customHeight="1">
      <c r="B30" s="1021" t="str">
        <f t="shared" ref="B30:B40" si="13">IF(OR(G30&lt;&gt;"",H30&lt;&gt; "",I30&lt;&gt;"",J30&lt;&gt;""),"A", "►")</f>
        <v>►</v>
      </c>
      <c r="C30" s="196" t="str">
        <f>C14</f>
        <v>N NOM DE VOTRE RECETTE | collez la--FAMILLE| Auteur &gt; VOUS</v>
      </c>
      <c r="D30" s="196">
        <f>D14</f>
        <v>0.6</v>
      </c>
      <c r="E30" s="197" t="str">
        <f>E14</f>
        <v>Kg</v>
      </c>
      <c r="F30" s="5388" t="str">
        <f>F14</f>
        <v>Recette mère ► Ballotine de pintade</v>
      </c>
      <c r="G30" s="5275"/>
      <c r="H30" s="1320"/>
      <c r="I30" s="1320"/>
      <c r="J30" s="1320"/>
      <c r="K30" s="1320"/>
      <c r="L30" s="1320"/>
      <c r="M30" s="1320"/>
      <c r="N30" s="1320"/>
      <c r="O30" s="1320"/>
      <c r="P30" s="1324"/>
      <c r="Q30" s="141"/>
      <c r="R30" s="141"/>
      <c r="S30" s="5273" t="s">
        <v>1150</v>
      </c>
      <c r="T30" s="5274">
        <v>3.472222222222222E-3</v>
      </c>
      <c r="V30" s="6872" t="s">
        <v>11055</v>
      </c>
      <c r="X30" s="1021" t="str">
        <f t="shared" ref="X30:X40" si="14">IF(OR(AC30&lt;&gt;"",AD30&lt;&gt; "",AE30&lt;&gt;"",AF30&lt;&gt;""),"A", "►")</f>
        <v>►</v>
      </c>
      <c r="Y30" s="196" t="str">
        <f>Y14</f>
        <v>N NAME OF YOUR RECIPE | paste it — FAMILY|  Author &gt; YOU</v>
      </c>
      <c r="Z30" s="196">
        <f>Z14</f>
        <v>0.6</v>
      </c>
      <c r="AA30" s="197" t="str">
        <f>AA14</f>
        <v>kg</v>
      </c>
      <c r="AB30" s="5388" t="str">
        <f>AB14</f>
        <v>Master recipe ► Guinea fowl ballotine</v>
      </c>
      <c r="AC30" s="5275"/>
      <c r="AD30" s="1320"/>
      <c r="AE30" s="1320"/>
      <c r="AF30" s="1320"/>
      <c r="AG30" s="1320"/>
      <c r="AH30" s="1320"/>
      <c r="AI30" s="1320"/>
      <c r="AJ30" s="1320"/>
      <c r="AK30" s="1320"/>
      <c r="AL30" s="1324"/>
      <c r="AM30" s="141"/>
      <c r="AN30" s="141"/>
      <c r="AO30" s="5273" t="s">
        <v>8361</v>
      </c>
      <c r="AP30" s="5274">
        <v>3.472222222222222E-3</v>
      </c>
      <c r="AR30" s="6872" t="s">
        <v>11055</v>
      </c>
      <c r="AT30" s="1021" t="str">
        <f t="shared" ref="AT30:AT40" si="15">IF(OR(AY30&lt;&gt;"",AZ30&lt;&gt; "",BA30&lt;&gt;"",BB30&lt;&gt;""),"A", "►")</f>
        <v>►</v>
      </c>
      <c r="AU30" s="196" t="str">
        <f>AU14</f>
        <v>N NOMBRE DE SU RECETA | pegue esto — FAMILIA| Autor &gt; USTED</v>
      </c>
      <c r="AV30" s="196">
        <f>AV14</f>
        <v>0.6</v>
      </c>
      <c r="AW30" s="197" t="str">
        <f>AW14</f>
        <v>kg</v>
      </c>
      <c r="AX30" s="5388" t="str">
        <f>AX14</f>
        <v>Receta madre ► Ballotina de pintada</v>
      </c>
      <c r="AY30" s="5275"/>
      <c r="AZ30" s="1320"/>
      <c r="BA30" s="1320"/>
      <c r="BB30" s="1320"/>
      <c r="BC30" s="1320"/>
      <c r="BD30" s="1320"/>
      <c r="BE30" s="1320"/>
      <c r="BF30" s="1320"/>
      <c r="BG30" s="1320"/>
      <c r="BH30" s="1324"/>
      <c r="BI30" s="141"/>
      <c r="BJ30" s="141"/>
      <c r="BK30" s="5273" t="s">
        <v>8431</v>
      </c>
      <c r="BL30" s="5274">
        <v>3.472222222222222E-3</v>
      </c>
      <c r="BN30" s="6872" t="s">
        <v>11055</v>
      </c>
      <c r="BP30" s="6404"/>
      <c r="BQ30" s="7102"/>
      <c r="BR30" s="6370" t="s">
        <v>7480</v>
      </c>
      <c r="BS30" s="6055"/>
      <c r="BT30" s="5783"/>
      <c r="BU30" s="5783"/>
      <c r="BV30" s="6403"/>
      <c r="BX30" s="6404"/>
      <c r="BY30" s="7102"/>
      <c r="BZ30" s="6370" t="s">
        <v>9229</v>
      </c>
      <c r="CA30" s="6055"/>
      <c r="CB30" s="5783"/>
      <c r="CC30" s="5783"/>
      <c r="CD30" s="6403"/>
      <c r="CF30" s="6404"/>
      <c r="CG30" s="7102"/>
      <c r="CH30" s="6370" t="s">
        <v>9371</v>
      </c>
      <c r="CI30" s="6055"/>
      <c r="CJ30" s="5783"/>
      <c r="CK30" s="5783"/>
      <c r="CL30" s="6403"/>
      <c r="CN30" s="5">
        <v>1</v>
      </c>
    </row>
    <row r="31" spans="2:92" ht="21" customHeight="1">
      <c r="B31" s="1021" t="str">
        <f t="shared" si="13"/>
        <v>►</v>
      </c>
      <c r="C31" s="196" t="str">
        <f>C14</f>
        <v>N NOM DE VOTRE RECETTE | collez la--FAMILLE| Auteur &gt; VOUS</v>
      </c>
      <c r="D31" s="196">
        <f>D14</f>
        <v>0.6</v>
      </c>
      <c r="E31" s="197" t="str">
        <f>E14</f>
        <v>Kg</v>
      </c>
      <c r="F31" s="5388" t="str">
        <f>F14</f>
        <v>Recette mère ► Ballotine de pintade</v>
      </c>
      <c r="G31" s="5275"/>
      <c r="H31" s="1361"/>
      <c r="I31" s="1361"/>
      <c r="J31" s="1361"/>
      <c r="K31" s="1361"/>
      <c r="L31" s="1361"/>
      <c r="M31" s="1361"/>
      <c r="N31" s="1361"/>
      <c r="O31" s="1361"/>
      <c r="P31" s="5276"/>
      <c r="Q31" s="141"/>
      <c r="R31" s="141"/>
      <c r="S31" s="5273" t="s">
        <v>1152</v>
      </c>
      <c r="T31" s="5277">
        <v>1.0416666666666666E-2</v>
      </c>
      <c r="V31" s="6872" t="s">
        <v>11056</v>
      </c>
      <c r="X31" s="1021" t="str">
        <f t="shared" si="14"/>
        <v>►</v>
      </c>
      <c r="Y31" s="196" t="str">
        <f>Y14</f>
        <v>N NAME OF YOUR RECIPE | paste it — FAMILY|  Author &gt; YOU</v>
      </c>
      <c r="Z31" s="196">
        <f>Z14</f>
        <v>0.6</v>
      </c>
      <c r="AA31" s="197" t="str">
        <f>AA14</f>
        <v>kg</v>
      </c>
      <c r="AB31" s="5388" t="str">
        <f>AB14</f>
        <v>Master recipe ► Guinea fowl ballotine</v>
      </c>
      <c r="AC31" s="5275"/>
      <c r="AD31" s="1361"/>
      <c r="AE31" s="1361"/>
      <c r="AF31" s="1361"/>
      <c r="AG31" s="1361"/>
      <c r="AH31" s="1361"/>
      <c r="AI31" s="1361"/>
      <c r="AJ31" s="1361"/>
      <c r="AK31" s="1361"/>
      <c r="AL31" s="5276"/>
      <c r="AM31" s="141"/>
      <c r="AN31" s="141"/>
      <c r="AO31" s="5273" t="s">
        <v>8362</v>
      </c>
      <c r="AP31" s="5277">
        <v>1.0416666666666666E-2</v>
      </c>
      <c r="AR31" s="6872" t="s">
        <v>11056</v>
      </c>
      <c r="AT31" s="1021" t="str">
        <f t="shared" si="15"/>
        <v>►</v>
      </c>
      <c r="AU31" s="196" t="str">
        <f>AU14</f>
        <v>N NOMBRE DE SU RECETA | pegue esto — FAMILIA| Autor &gt; USTED</v>
      </c>
      <c r="AV31" s="196">
        <f>AV14</f>
        <v>0.6</v>
      </c>
      <c r="AW31" s="197" t="str">
        <f>AW14</f>
        <v>kg</v>
      </c>
      <c r="AX31" s="5388" t="str">
        <f>AX14</f>
        <v>Receta madre ► Ballotina de pintada</v>
      </c>
      <c r="AY31" s="5275"/>
      <c r="AZ31" s="1361"/>
      <c r="BA31" s="1361"/>
      <c r="BB31" s="1361"/>
      <c r="BC31" s="1361"/>
      <c r="BD31" s="1361"/>
      <c r="BE31" s="1361"/>
      <c r="BF31" s="1361"/>
      <c r="BG31" s="1361"/>
      <c r="BH31" s="5276"/>
      <c r="BI31" s="141"/>
      <c r="BJ31" s="141"/>
      <c r="BK31" s="5273" t="s">
        <v>8432</v>
      </c>
      <c r="BL31" s="5277">
        <v>1.0416666666666666E-2</v>
      </c>
      <c r="BN31" s="6872" t="s">
        <v>11056</v>
      </c>
      <c r="BP31" s="6512"/>
      <c r="BQ31" s="6513"/>
      <c r="BR31" s="6514"/>
      <c r="BS31" s="5783"/>
      <c r="BT31" s="5783"/>
      <c r="BU31" s="5783"/>
      <c r="BV31" s="6403"/>
      <c r="BX31" s="6512"/>
      <c r="BY31" s="6513"/>
      <c r="BZ31" s="6514"/>
      <c r="CA31" s="5783"/>
      <c r="CB31" s="5783"/>
      <c r="CC31" s="5783"/>
      <c r="CD31" s="6403"/>
      <c r="CF31" s="6512"/>
      <c r="CG31" s="6513"/>
      <c r="CH31" s="6514"/>
      <c r="CI31" s="5783"/>
      <c r="CJ31" s="5783"/>
      <c r="CK31" s="5783"/>
      <c r="CL31" s="6403"/>
      <c r="CN31" s="5">
        <v>1</v>
      </c>
    </row>
    <row r="32" spans="2:92" ht="21" customHeight="1">
      <c r="B32" s="1021" t="str">
        <f t="shared" si="13"/>
        <v>►</v>
      </c>
      <c r="C32" s="196" t="str">
        <f>C14</f>
        <v>N NOM DE VOTRE RECETTE | collez la--FAMILLE| Auteur &gt; VOUS</v>
      </c>
      <c r="D32" s="196">
        <f>D14</f>
        <v>0.6</v>
      </c>
      <c r="E32" s="197" t="str">
        <f>E14</f>
        <v>Kg</v>
      </c>
      <c r="F32" s="5388" t="str">
        <f>F14</f>
        <v>Recette mère ► Ballotine de pintade</v>
      </c>
      <c r="G32" s="5275"/>
      <c r="H32" s="1361"/>
      <c r="I32" s="1361"/>
      <c r="J32" s="1361"/>
      <c r="K32" s="1361"/>
      <c r="L32" s="1361"/>
      <c r="M32" s="1361"/>
      <c r="N32" s="1361"/>
      <c r="O32" s="1361"/>
      <c r="P32" s="5276"/>
      <c r="Q32" s="141"/>
      <c r="R32" s="141"/>
      <c r="S32" s="5273" t="s">
        <v>8017</v>
      </c>
      <c r="T32" s="5278">
        <v>2.0833333333333332E-2</v>
      </c>
      <c r="V32" s="6872" t="s">
        <v>11057</v>
      </c>
      <c r="X32" s="1021" t="str">
        <f t="shared" si="14"/>
        <v>►</v>
      </c>
      <c r="Y32" s="196" t="str">
        <f>Y14</f>
        <v>N NAME OF YOUR RECIPE | paste it — FAMILY|  Author &gt; YOU</v>
      </c>
      <c r="Z32" s="196">
        <f>Z14</f>
        <v>0.6</v>
      </c>
      <c r="AA32" s="197" t="str">
        <f>AA14</f>
        <v>kg</v>
      </c>
      <c r="AB32" s="5388" t="str">
        <f>AB14</f>
        <v>Master recipe ► Guinea fowl ballotine</v>
      </c>
      <c r="AC32" s="5275"/>
      <c r="AD32" s="1361"/>
      <c r="AE32" s="1361"/>
      <c r="AF32" s="1361"/>
      <c r="AG32" s="1361"/>
      <c r="AH32" s="1361"/>
      <c r="AI32" s="1361"/>
      <c r="AJ32" s="1361"/>
      <c r="AK32" s="1361"/>
      <c r="AL32" s="5276"/>
      <c r="AM32" s="141"/>
      <c r="AN32" s="141"/>
      <c r="AO32" s="5273" t="s">
        <v>8363</v>
      </c>
      <c r="AP32" s="5278">
        <v>2.0833333333333332E-2</v>
      </c>
      <c r="AR32" s="6872" t="s">
        <v>11057</v>
      </c>
      <c r="AT32" s="1021" t="str">
        <f t="shared" si="15"/>
        <v>►</v>
      </c>
      <c r="AU32" s="196" t="str">
        <f>AU14</f>
        <v>N NOMBRE DE SU RECETA | pegue esto — FAMILIA| Autor &gt; USTED</v>
      </c>
      <c r="AV32" s="196">
        <f>AV14</f>
        <v>0.6</v>
      </c>
      <c r="AW32" s="197" t="str">
        <f>AW14</f>
        <v>kg</v>
      </c>
      <c r="AX32" s="5388" t="str">
        <f>AX14</f>
        <v>Receta madre ► Ballotina de pintada</v>
      </c>
      <c r="AY32" s="5275"/>
      <c r="AZ32" s="1361"/>
      <c r="BA32" s="1361"/>
      <c r="BB32" s="1361"/>
      <c r="BC32" s="1361"/>
      <c r="BD32" s="1361"/>
      <c r="BE32" s="1361"/>
      <c r="BF32" s="1361"/>
      <c r="BG32" s="1361"/>
      <c r="BH32" s="5276"/>
      <c r="BI32" s="141"/>
      <c r="BJ32" s="141"/>
      <c r="BK32" s="5273" t="s">
        <v>8433</v>
      </c>
      <c r="BL32" s="5278">
        <v>2.0833333333333332E-2</v>
      </c>
      <c r="BN32" s="6872" t="s">
        <v>11057</v>
      </c>
      <c r="BP32" s="6480" t="s">
        <v>228</v>
      </c>
      <c r="BQ32" s="6466"/>
      <c r="BR32" s="6467"/>
      <c r="BS32" s="6467"/>
      <c r="BT32" s="6468" t="s">
        <v>8008</v>
      </c>
      <c r="BU32" s="6464">
        <v>20</v>
      </c>
      <c r="BV32" s="6473" t="s">
        <v>73</v>
      </c>
      <c r="BX32" s="6480" t="s">
        <v>8376</v>
      </c>
      <c r="BY32" s="6466"/>
      <c r="BZ32" s="6467"/>
      <c r="CA32" s="6467"/>
      <c r="CB32" s="6468" t="s">
        <v>888</v>
      </c>
      <c r="CC32" s="6464">
        <v>20</v>
      </c>
      <c r="CD32" s="6473" t="s">
        <v>897</v>
      </c>
      <c r="CF32" s="6480" t="s">
        <v>9415</v>
      </c>
      <c r="CG32" s="6466"/>
      <c r="CH32" s="6467"/>
      <c r="CI32" s="6467"/>
      <c r="CJ32" s="6468" t="s">
        <v>8408</v>
      </c>
      <c r="CK32" s="6464">
        <v>20</v>
      </c>
      <c r="CL32" s="6473" t="s">
        <v>8794</v>
      </c>
      <c r="CN32" s="5">
        <v>1</v>
      </c>
    </row>
    <row r="33" spans="2:92" ht="21" customHeight="1">
      <c r="B33" s="1021" t="str">
        <f t="shared" si="13"/>
        <v>►</v>
      </c>
      <c r="C33" s="196" t="str">
        <f>C14</f>
        <v>N NOM DE VOTRE RECETTE | collez la--FAMILLE| Auteur &gt; VOUS</v>
      </c>
      <c r="D33" s="196">
        <f>D14</f>
        <v>0.6</v>
      </c>
      <c r="E33" s="197" t="str">
        <f>E14</f>
        <v>Kg</v>
      </c>
      <c r="F33" s="5388" t="str">
        <f>F14</f>
        <v>Recette mère ► Ballotine de pintade</v>
      </c>
      <c r="G33" s="5275"/>
      <c r="H33" s="1361"/>
      <c r="I33" s="1361"/>
      <c r="J33" s="1361"/>
      <c r="K33" s="1361"/>
      <c r="L33" s="1361"/>
      <c r="M33" s="1361"/>
      <c r="N33" s="1361"/>
      <c r="O33" s="1361"/>
      <c r="P33" s="5276"/>
      <c r="Q33" s="141"/>
      <c r="R33" s="141"/>
      <c r="S33" s="5279" t="s">
        <v>37</v>
      </c>
      <c r="T33" s="5280">
        <f>T30+T31+T32</f>
        <v>3.4722222222222224E-2</v>
      </c>
      <c r="V33" s="6872" t="s">
        <v>11058</v>
      </c>
      <c r="X33" s="1021" t="str">
        <f t="shared" si="14"/>
        <v>►</v>
      </c>
      <c r="Y33" s="196" t="str">
        <f>Y14</f>
        <v>N NAME OF YOUR RECIPE | paste it — FAMILY|  Author &gt; YOU</v>
      </c>
      <c r="Z33" s="196">
        <f>Z14</f>
        <v>0.6</v>
      </c>
      <c r="AA33" s="197" t="str">
        <f>AA14</f>
        <v>kg</v>
      </c>
      <c r="AB33" s="5388" t="str">
        <f>AB14</f>
        <v>Master recipe ► Guinea fowl ballotine</v>
      </c>
      <c r="AC33" s="5275"/>
      <c r="AD33" s="1361"/>
      <c r="AE33" s="1361"/>
      <c r="AF33" s="1361"/>
      <c r="AG33" s="1361"/>
      <c r="AH33" s="1361"/>
      <c r="AI33" s="1361"/>
      <c r="AJ33" s="1361"/>
      <c r="AK33" s="1361"/>
      <c r="AL33" s="5276"/>
      <c r="AM33" s="141"/>
      <c r="AN33" s="141"/>
      <c r="AO33" s="5279" t="s">
        <v>37</v>
      </c>
      <c r="AP33" s="5280">
        <f>AP30+AP31+AP32</f>
        <v>3.4722222222222224E-2</v>
      </c>
      <c r="AR33" s="6872" t="s">
        <v>11058</v>
      </c>
      <c r="AT33" s="1021" t="str">
        <f t="shared" si="15"/>
        <v>►</v>
      </c>
      <c r="AU33" s="196" t="str">
        <f>AU14</f>
        <v>N NOMBRE DE SU RECETA | pegue esto — FAMILIA| Autor &gt; USTED</v>
      </c>
      <c r="AV33" s="196">
        <f>AV14</f>
        <v>0.6</v>
      </c>
      <c r="AW33" s="197" t="str">
        <f>AW14</f>
        <v>kg</v>
      </c>
      <c r="AX33" s="5388" t="str">
        <f>AX14</f>
        <v>Receta madre ► Ballotina de pintada</v>
      </c>
      <c r="AY33" s="5275"/>
      <c r="AZ33" s="1361"/>
      <c r="BA33" s="1361"/>
      <c r="BB33" s="1361"/>
      <c r="BC33" s="1361"/>
      <c r="BD33" s="1361"/>
      <c r="BE33" s="1361"/>
      <c r="BF33" s="1361"/>
      <c r="BG33" s="1361"/>
      <c r="BH33" s="5276"/>
      <c r="BI33" s="141"/>
      <c r="BJ33" s="141"/>
      <c r="BK33" s="5279" t="s">
        <v>37</v>
      </c>
      <c r="BL33" s="5280">
        <f>BL30+BL31+BL32</f>
        <v>3.4722222222222224E-2</v>
      </c>
      <c r="BN33" s="6872" t="s">
        <v>11058</v>
      </c>
      <c r="BP33" s="6481">
        <v>10</v>
      </c>
      <c r="BQ33" s="6471" t="s">
        <v>157</v>
      </c>
      <c r="BR33" s="6467"/>
      <c r="BS33" s="6467"/>
      <c r="BT33" s="6420"/>
      <c r="BU33" s="6472" t="s">
        <v>8354</v>
      </c>
      <c r="BV33" s="6477" t="s">
        <v>8353</v>
      </c>
      <c r="BX33" s="6481">
        <v>10</v>
      </c>
      <c r="BY33" s="6471" t="s">
        <v>897</v>
      </c>
      <c r="BZ33" s="6467"/>
      <c r="CA33" s="6467"/>
      <c r="CB33" s="6420"/>
      <c r="CC33" s="6472" t="s">
        <v>8378</v>
      </c>
      <c r="CD33" s="6477" t="s">
        <v>9264</v>
      </c>
      <c r="CF33" s="6481">
        <v>10</v>
      </c>
      <c r="CG33" s="6471" t="s">
        <v>8794</v>
      </c>
      <c r="CH33" s="6467"/>
      <c r="CI33" s="6467"/>
      <c r="CJ33" s="6420"/>
      <c r="CK33" s="6472" t="s">
        <v>8409</v>
      </c>
      <c r="CL33" s="6477" t="s">
        <v>8410</v>
      </c>
      <c r="CN33" s="5">
        <v>1</v>
      </c>
    </row>
    <row r="34" spans="2:92" ht="21" customHeight="1">
      <c r="B34" s="1021" t="str">
        <f t="shared" si="13"/>
        <v>►</v>
      </c>
      <c r="C34" s="196" t="str">
        <f>C14</f>
        <v>N NOM DE VOTRE RECETTE | collez la--FAMILLE| Auteur &gt; VOUS</v>
      </c>
      <c r="D34" s="196">
        <f>D14</f>
        <v>0.6</v>
      </c>
      <c r="E34" s="197" t="str">
        <f>E14</f>
        <v>Kg</v>
      </c>
      <c r="F34" s="5388" t="str">
        <f>F14</f>
        <v>Recette mère ► Ballotine de pintade</v>
      </c>
      <c r="G34" s="5275"/>
      <c r="H34" s="1361"/>
      <c r="I34" s="1361"/>
      <c r="J34" s="1361"/>
      <c r="K34" s="1361"/>
      <c r="L34" s="1361"/>
      <c r="M34" s="1361"/>
      <c r="N34" s="1361"/>
      <c r="O34" s="1361"/>
      <c r="P34" s="5276"/>
      <c r="Q34" s="6896" t="s">
        <v>10041</v>
      </c>
      <c r="R34" s="6897"/>
      <c r="S34" s="6897"/>
      <c r="T34" s="6898"/>
      <c r="V34" s="6872" t="s">
        <v>11059</v>
      </c>
      <c r="X34" s="1021" t="str">
        <f t="shared" si="14"/>
        <v>►</v>
      </c>
      <c r="Y34" s="196" t="str">
        <f>Y14</f>
        <v>N NAME OF YOUR RECIPE | paste it — FAMILY|  Author &gt; YOU</v>
      </c>
      <c r="Z34" s="196">
        <f>Z14</f>
        <v>0.6</v>
      </c>
      <c r="AA34" s="197" t="str">
        <f>AA14</f>
        <v>kg</v>
      </c>
      <c r="AB34" s="5388" t="str">
        <f>AB14</f>
        <v>Master recipe ► Guinea fowl ballotine</v>
      </c>
      <c r="AC34" s="5275"/>
      <c r="AD34" s="1361"/>
      <c r="AE34" s="1361"/>
      <c r="AF34" s="1361"/>
      <c r="AG34" s="1361"/>
      <c r="AH34" s="1361"/>
      <c r="AI34" s="1361"/>
      <c r="AJ34" s="1361"/>
      <c r="AK34" s="1361"/>
      <c r="AL34" s="5276"/>
      <c r="AM34" s="6896" t="s">
        <v>10039</v>
      </c>
      <c r="AN34" s="6897"/>
      <c r="AO34" s="6897"/>
      <c r="AP34" s="6898"/>
      <c r="AR34" s="6872" t="s">
        <v>11059</v>
      </c>
      <c r="AT34" s="1021" t="str">
        <f t="shared" si="15"/>
        <v>►</v>
      </c>
      <c r="AU34" s="196" t="str">
        <f>AU14</f>
        <v>N NOMBRE DE SU RECETA | pegue esto — FAMILIA| Autor &gt; USTED</v>
      </c>
      <c r="AV34" s="196">
        <f>AV14</f>
        <v>0.6</v>
      </c>
      <c r="AW34" s="197" t="str">
        <f>AW14</f>
        <v>kg</v>
      </c>
      <c r="AX34" s="5388" t="str">
        <f>AX14</f>
        <v>Receta madre ► Ballotina de pintada</v>
      </c>
      <c r="AY34" s="5275"/>
      <c r="AZ34" s="1361"/>
      <c r="BA34" s="1361"/>
      <c r="BB34" s="1361"/>
      <c r="BC34" s="1361"/>
      <c r="BD34" s="1361"/>
      <c r="BE34" s="1361"/>
      <c r="BF34" s="1361"/>
      <c r="BG34" s="1361"/>
      <c r="BH34" s="5276"/>
      <c r="BI34" s="6896" t="s">
        <v>10040</v>
      </c>
      <c r="BJ34" s="6897"/>
      <c r="BK34" s="6897"/>
      <c r="BL34" s="6898"/>
      <c r="BN34" s="6872" t="s">
        <v>11059</v>
      </c>
      <c r="BP34" s="6482" t="s">
        <v>783</v>
      </c>
      <c r="BQ34" s="6469">
        <v>3.4219999999999997</v>
      </c>
      <c r="BR34" s="6467"/>
      <c r="BS34" s="6467"/>
      <c r="BT34" s="6470" t="s">
        <v>944</v>
      </c>
      <c r="BU34" s="6465">
        <v>10</v>
      </c>
      <c r="BV34" s="5242" t="s">
        <v>73</v>
      </c>
      <c r="BX34" s="6482" t="s">
        <v>8377</v>
      </c>
      <c r="BY34" s="6469">
        <v>3.4219999999999997</v>
      </c>
      <c r="BZ34" s="6467"/>
      <c r="CA34" s="6467"/>
      <c r="CB34" s="6470" t="s">
        <v>941</v>
      </c>
      <c r="CC34" s="6465">
        <v>10</v>
      </c>
      <c r="CD34" s="5242" t="s">
        <v>897</v>
      </c>
      <c r="CF34" s="6482" t="s">
        <v>783</v>
      </c>
      <c r="CG34" s="6469">
        <v>3.4219999999999997</v>
      </c>
      <c r="CH34" s="6467"/>
      <c r="CI34" s="6467"/>
      <c r="CJ34" s="6470" t="s">
        <v>7913</v>
      </c>
      <c r="CK34" s="6465">
        <v>10</v>
      </c>
      <c r="CL34" s="5242" t="s">
        <v>8794</v>
      </c>
      <c r="CN34" s="5">
        <v>1</v>
      </c>
    </row>
    <row r="35" spans="2:92" ht="21" customHeight="1">
      <c r="B35" s="1021" t="str">
        <f t="shared" si="13"/>
        <v>►</v>
      </c>
      <c r="C35" s="196" t="str">
        <f>C14</f>
        <v>N NOM DE VOTRE RECETTE | collez la--FAMILLE| Auteur &gt; VOUS</v>
      </c>
      <c r="D35" s="196">
        <f>D14</f>
        <v>0.6</v>
      </c>
      <c r="E35" s="197" t="str">
        <f>E14</f>
        <v>Kg</v>
      </c>
      <c r="F35" s="5388" t="str">
        <f>F14</f>
        <v>Recette mère ► Ballotine de pintade</v>
      </c>
      <c r="G35" s="5275"/>
      <c r="H35" s="1361"/>
      <c r="I35" s="1361"/>
      <c r="J35" s="1361"/>
      <c r="K35" s="1361"/>
      <c r="L35" s="1361"/>
      <c r="M35" s="1361"/>
      <c r="N35" s="1361"/>
      <c r="O35" s="1361"/>
      <c r="P35" s="5276"/>
      <c r="Q35" s="6205" t="s">
        <v>8018</v>
      </c>
      <c r="R35" s="147"/>
      <c r="S35" s="6808" t="s">
        <v>8019</v>
      </c>
      <c r="T35" s="6208">
        <f>Q38*Q36</f>
        <v>225</v>
      </c>
      <c r="V35" s="6872" t="s">
        <v>11060</v>
      </c>
      <c r="X35" s="1021" t="str">
        <f t="shared" si="14"/>
        <v>►</v>
      </c>
      <c r="Y35" s="196" t="str">
        <f>Y14</f>
        <v>N NAME OF YOUR RECIPE | paste it — FAMILY|  Author &gt; YOU</v>
      </c>
      <c r="Z35" s="196">
        <f>Z14</f>
        <v>0.6</v>
      </c>
      <c r="AA35" s="197" t="str">
        <f>AA14</f>
        <v>kg</v>
      </c>
      <c r="AB35" s="5388" t="str">
        <f>AB14</f>
        <v>Master recipe ► Guinea fowl ballotine</v>
      </c>
      <c r="AC35" s="5275"/>
      <c r="AD35" s="1361"/>
      <c r="AE35" s="1361"/>
      <c r="AF35" s="1361"/>
      <c r="AG35" s="1361"/>
      <c r="AH35" s="1361"/>
      <c r="AI35" s="1361"/>
      <c r="AJ35" s="1361"/>
      <c r="AK35" s="1361"/>
      <c r="AL35" s="5276"/>
      <c r="AM35" s="6810" t="s">
        <v>8365</v>
      </c>
      <c r="AN35" s="147"/>
      <c r="AO35" s="6808" t="s">
        <v>8367</v>
      </c>
      <c r="AP35" s="6208">
        <f>AM38*AM36</f>
        <v>225</v>
      </c>
      <c r="AR35" s="6872" t="s">
        <v>11060</v>
      </c>
      <c r="AT35" s="1021" t="str">
        <f t="shared" si="15"/>
        <v>►</v>
      </c>
      <c r="AU35" s="196" t="str">
        <f>AU14</f>
        <v>N NOMBRE DE SU RECETA | pegue esto — FAMILIA| Autor &gt; USTED</v>
      </c>
      <c r="AV35" s="196">
        <f>AV14</f>
        <v>0.6</v>
      </c>
      <c r="AW35" s="197" t="str">
        <f>AW14</f>
        <v>kg</v>
      </c>
      <c r="AX35" s="5388" t="str">
        <f>AX14</f>
        <v>Receta madre ► Ballotina de pintada</v>
      </c>
      <c r="AY35" s="5275"/>
      <c r="AZ35" s="1361"/>
      <c r="BA35" s="1361"/>
      <c r="BB35" s="1361"/>
      <c r="BC35" s="1361"/>
      <c r="BD35" s="1361"/>
      <c r="BE35" s="1361"/>
      <c r="BF35" s="1361"/>
      <c r="BG35" s="1361"/>
      <c r="BH35" s="5276"/>
      <c r="BI35" s="6205" t="s">
        <v>9470</v>
      </c>
      <c r="BJ35" s="147"/>
      <c r="BK35" s="6808" t="s">
        <v>8438</v>
      </c>
      <c r="BL35" s="6208">
        <f>BI38*BI36</f>
        <v>225</v>
      </c>
      <c r="BN35" s="6872" t="s">
        <v>11060</v>
      </c>
      <c r="BP35" s="6404"/>
      <c r="BQ35" s="5783"/>
      <c r="BR35" s="5783"/>
      <c r="BS35" s="5783"/>
      <c r="BT35" s="5783"/>
      <c r="BU35" s="5783"/>
      <c r="BV35" s="6403"/>
      <c r="BX35" s="6404"/>
      <c r="BY35" s="5783"/>
      <c r="BZ35" s="5783"/>
      <c r="CA35" s="5783"/>
      <c r="CB35" s="5783"/>
      <c r="CC35" s="5783"/>
      <c r="CD35" s="6403"/>
      <c r="CF35" s="6404"/>
      <c r="CG35" s="5783"/>
      <c r="CH35" s="5783"/>
      <c r="CI35" s="5783"/>
      <c r="CJ35" s="5783"/>
      <c r="CK35" s="5783"/>
      <c r="CL35" s="6403"/>
      <c r="CN35" s="5">
        <v>1</v>
      </c>
    </row>
    <row r="36" spans="2:92" ht="21" customHeight="1">
      <c r="B36" s="1021" t="str">
        <f t="shared" si="13"/>
        <v>►</v>
      </c>
      <c r="C36" s="196" t="str">
        <f>C14</f>
        <v>N NOM DE VOTRE RECETTE | collez la--FAMILLE| Auteur &gt; VOUS</v>
      </c>
      <c r="D36" s="196">
        <f>D14</f>
        <v>0.6</v>
      </c>
      <c r="E36" s="197" t="str">
        <f>E14</f>
        <v>Kg</v>
      </c>
      <c r="F36" s="5388" t="str">
        <f>F14</f>
        <v>Recette mère ► Ballotine de pintade</v>
      </c>
      <c r="G36" s="5275"/>
      <c r="H36" s="1361"/>
      <c r="I36" s="1361"/>
      <c r="J36" s="1361"/>
      <c r="K36" s="1361"/>
      <c r="L36" s="1361"/>
      <c r="M36" s="1361"/>
      <c r="N36" s="1361"/>
      <c r="O36" s="1361"/>
      <c r="P36" s="5276"/>
      <c r="Q36" s="6206">
        <v>150</v>
      </c>
      <c r="R36" s="4691" t="s">
        <v>8358</v>
      </c>
      <c r="S36" s="6899" t="s">
        <v>3167</v>
      </c>
      <c r="T36" s="6900"/>
      <c r="V36" s="6872" t="s">
        <v>11061</v>
      </c>
      <c r="X36" s="1021" t="str">
        <f t="shared" si="14"/>
        <v>►</v>
      </c>
      <c r="Y36" s="196" t="str">
        <f>Y14</f>
        <v>N NAME OF YOUR RECIPE | paste it — FAMILY|  Author &gt; YOU</v>
      </c>
      <c r="Z36" s="196">
        <f>Z14</f>
        <v>0.6</v>
      </c>
      <c r="AA36" s="197" t="str">
        <f>AA14</f>
        <v>kg</v>
      </c>
      <c r="AB36" s="5388" t="str">
        <f>AB14</f>
        <v>Master recipe ► Guinea fowl ballotine</v>
      </c>
      <c r="AC36" s="5275"/>
      <c r="AD36" s="1361"/>
      <c r="AE36" s="1361"/>
      <c r="AF36" s="1361"/>
      <c r="AG36" s="1361"/>
      <c r="AH36" s="1361"/>
      <c r="AI36" s="1361"/>
      <c r="AJ36" s="1361"/>
      <c r="AK36" s="1361"/>
      <c r="AL36" s="5276"/>
      <c r="AM36" s="6206">
        <v>150</v>
      </c>
      <c r="AN36" s="4691" t="s">
        <v>8366</v>
      </c>
      <c r="AO36" s="6899" t="s">
        <v>8368</v>
      </c>
      <c r="AP36" s="6900"/>
      <c r="AR36" s="6872" t="s">
        <v>11061</v>
      </c>
      <c r="AT36" s="1021" t="str">
        <f t="shared" si="15"/>
        <v>►</v>
      </c>
      <c r="AU36" s="196" t="str">
        <f>AU14</f>
        <v>N NOMBRE DE SU RECETA | pegue esto — FAMILIA| Autor &gt; USTED</v>
      </c>
      <c r="AV36" s="196">
        <f>AV14</f>
        <v>0.6</v>
      </c>
      <c r="AW36" s="197" t="str">
        <f>AW14</f>
        <v>kg</v>
      </c>
      <c r="AX36" s="5388" t="str">
        <f>AX14</f>
        <v>Receta madre ► Ballotina de pintada</v>
      </c>
      <c r="AY36" s="5275"/>
      <c r="AZ36" s="1361"/>
      <c r="BA36" s="1361"/>
      <c r="BB36" s="1361"/>
      <c r="BC36" s="1361"/>
      <c r="BD36" s="1361"/>
      <c r="BE36" s="1361"/>
      <c r="BF36" s="1361"/>
      <c r="BG36" s="1361"/>
      <c r="BH36" s="5276"/>
      <c r="BI36" s="6206">
        <v>150</v>
      </c>
      <c r="BJ36" s="4691" t="s">
        <v>9701</v>
      </c>
      <c r="BK36" s="6899" t="s">
        <v>9702</v>
      </c>
      <c r="BL36" s="6900"/>
      <c r="BN36" s="6872" t="s">
        <v>11061</v>
      </c>
      <c r="BP36" s="1079"/>
      <c r="BQ36" s="1080"/>
      <c r="BR36" s="1081"/>
      <c r="BS36" s="1080"/>
      <c r="BT36" s="1080"/>
      <c r="BU36" s="1080"/>
      <c r="BV36" s="1082"/>
      <c r="BX36" s="1079"/>
      <c r="BY36" s="1080"/>
      <c r="BZ36" s="1081"/>
      <c r="CA36" s="1080"/>
      <c r="CB36" s="1080"/>
      <c r="CC36" s="1080"/>
      <c r="CD36" s="1082"/>
      <c r="CF36" s="1079"/>
      <c r="CG36" s="1080"/>
      <c r="CH36" s="1081"/>
      <c r="CI36" s="1080"/>
      <c r="CJ36" s="1080"/>
      <c r="CK36" s="1080"/>
      <c r="CL36" s="1082"/>
      <c r="CN36" s="5">
        <v>1</v>
      </c>
    </row>
    <row r="37" spans="2:92" ht="21" customHeight="1">
      <c r="B37" s="1021" t="str">
        <f t="shared" si="13"/>
        <v>►</v>
      </c>
      <c r="C37" s="196" t="str">
        <f>C14</f>
        <v>N NOM DE VOTRE RECETTE | collez la--FAMILLE| Auteur &gt; VOUS</v>
      </c>
      <c r="D37" s="196">
        <f>D14</f>
        <v>0.6</v>
      </c>
      <c r="E37" s="197" t="str">
        <f>E14</f>
        <v>Kg</v>
      </c>
      <c r="F37" s="5388" t="str">
        <f>F14</f>
        <v>Recette mère ► Ballotine de pintade</v>
      </c>
      <c r="G37" s="5275"/>
      <c r="H37" s="1361"/>
      <c r="I37" s="1361"/>
      <c r="J37" s="1361"/>
      <c r="K37" s="1361"/>
      <c r="L37" s="1361"/>
      <c r="M37" s="1361"/>
      <c r="N37" s="1361"/>
      <c r="O37" s="1361"/>
      <c r="P37" s="5276"/>
      <c r="Q37" s="6874" t="s">
        <v>1193</v>
      </c>
      <c r="R37" s="6875"/>
      <c r="S37" s="6809" t="s">
        <v>10037</v>
      </c>
      <c r="T37" s="609"/>
      <c r="X37" s="1021" t="str">
        <f t="shared" si="14"/>
        <v>►</v>
      </c>
      <c r="Y37" s="196" t="str">
        <f>Y14</f>
        <v>N NAME OF YOUR RECIPE | paste it — FAMILY|  Author &gt; YOU</v>
      </c>
      <c r="Z37" s="196">
        <f>Z14</f>
        <v>0.6</v>
      </c>
      <c r="AA37" s="197" t="str">
        <f>AA14</f>
        <v>kg</v>
      </c>
      <c r="AB37" s="5388" t="str">
        <f>AB14</f>
        <v>Master recipe ► Guinea fowl ballotine</v>
      </c>
      <c r="AC37" s="5275"/>
      <c r="AD37" s="1361"/>
      <c r="AE37" s="1361"/>
      <c r="AF37" s="1361"/>
      <c r="AG37" s="1361"/>
      <c r="AH37" s="1361"/>
      <c r="AI37" s="1361"/>
      <c r="AJ37" s="1361"/>
      <c r="AK37" s="1361"/>
      <c r="AL37" s="5276"/>
      <c r="AM37" s="6874" t="s">
        <v>8372</v>
      </c>
      <c r="AN37" s="6875"/>
      <c r="AO37" s="6809" t="s">
        <v>10038</v>
      </c>
      <c r="AP37" s="609"/>
      <c r="AT37" s="1021" t="str">
        <f t="shared" si="15"/>
        <v>►</v>
      </c>
      <c r="AU37" s="196" t="str">
        <f>AU14</f>
        <v>N NOMBRE DE SU RECETA | pegue esto — FAMILIA| Autor &gt; USTED</v>
      </c>
      <c r="AV37" s="196">
        <f>AV14</f>
        <v>0.6</v>
      </c>
      <c r="AW37" s="197" t="str">
        <f>AW14</f>
        <v>kg</v>
      </c>
      <c r="AX37" s="5388" t="str">
        <f>AX14</f>
        <v>Receta madre ► Ballotina de pintada</v>
      </c>
      <c r="AY37" s="5275"/>
      <c r="AZ37" s="1361"/>
      <c r="BA37" s="1361"/>
      <c r="BB37" s="1361"/>
      <c r="BC37" s="1361"/>
      <c r="BD37" s="1361"/>
      <c r="BE37" s="1361"/>
      <c r="BF37" s="1361"/>
      <c r="BG37" s="1361"/>
      <c r="BH37" s="5276"/>
      <c r="BI37" s="6874" t="s">
        <v>8372</v>
      </c>
      <c r="BJ37" s="6875"/>
      <c r="BK37" s="6809" t="s">
        <v>8434</v>
      </c>
      <c r="BL37" s="609"/>
      <c r="BP37" s="6404"/>
      <c r="BQ37" s="5783"/>
      <c r="BR37" s="5783"/>
      <c r="BS37" s="5783"/>
      <c r="BT37" s="5783"/>
      <c r="BU37" s="5783"/>
      <c r="BV37" s="6403"/>
      <c r="BX37" s="6404"/>
      <c r="BY37" s="5783"/>
      <c r="BZ37" s="5783"/>
      <c r="CA37" s="5783"/>
      <c r="CB37" s="5783"/>
      <c r="CC37" s="5783"/>
      <c r="CD37" s="6403"/>
      <c r="CF37" s="6404"/>
      <c r="CG37" s="5783"/>
      <c r="CH37" s="5783"/>
      <c r="CI37" s="5783"/>
      <c r="CJ37" s="5783"/>
      <c r="CK37" s="5783"/>
      <c r="CL37" s="6403"/>
      <c r="CN37" s="5">
        <v>1</v>
      </c>
    </row>
    <row r="38" spans="2:92" ht="21" customHeight="1" thickBot="1">
      <c r="B38" s="1021" t="str">
        <f t="shared" si="13"/>
        <v>►</v>
      </c>
      <c r="C38" s="196" t="str">
        <f>C14</f>
        <v>N NOM DE VOTRE RECETTE | collez la--FAMILLE| Auteur &gt; VOUS</v>
      </c>
      <c r="D38" s="196">
        <f>D14</f>
        <v>0.6</v>
      </c>
      <c r="E38" s="197" t="str">
        <f>E14</f>
        <v>Kg</v>
      </c>
      <c r="F38" s="5388" t="str">
        <f>F14</f>
        <v>Recette mère ► Ballotine de pintade</v>
      </c>
      <c r="G38" s="5275"/>
      <c r="H38" s="1361"/>
      <c r="I38" s="1361"/>
      <c r="J38" s="1361"/>
      <c r="K38" s="1361"/>
      <c r="L38" s="1361"/>
      <c r="M38" s="1361"/>
      <c r="N38" s="1361"/>
      <c r="O38" s="1361"/>
      <c r="P38" s="5276"/>
      <c r="Q38" s="6207">
        <v>1.5</v>
      </c>
      <c r="R38" s="920" t="str">
        <f>"&lt; Nb de "&amp;S36&amp;" par personne "</f>
        <v xml:space="preserve">&lt; Nb de tranches par personne </v>
      </c>
      <c r="S38" s="5286"/>
      <c r="T38" s="762"/>
      <c r="X38" s="1021" t="str">
        <f t="shared" si="14"/>
        <v>A</v>
      </c>
      <c r="Y38" s="196" t="str">
        <f>Y14</f>
        <v>N NAME OF YOUR RECIPE | paste it — FAMILY|  Author &gt; YOU</v>
      </c>
      <c r="Z38" s="196">
        <f>Z14</f>
        <v>0.6</v>
      </c>
      <c r="AA38" s="197" t="str">
        <f>AA14</f>
        <v>kg</v>
      </c>
      <c r="AB38" s="5388" t="str">
        <f>AB14</f>
        <v>Master recipe ► Guinea fowl ballotine</v>
      </c>
      <c r="AC38" s="5275"/>
      <c r="AD38" s="1361"/>
      <c r="AE38" s="6733" t="s">
        <v>9693</v>
      </c>
      <c r="AF38" s="5306" t="s">
        <v>269</v>
      </c>
      <c r="AG38" s="1361" t="s">
        <v>10000</v>
      </c>
      <c r="AH38" s="1361"/>
      <c r="AI38" s="1361"/>
      <c r="AJ38" s="1361"/>
      <c r="AK38" s="1361"/>
      <c r="AL38" s="5276"/>
      <c r="AM38" s="6207">
        <v>1.5</v>
      </c>
      <c r="AN38" s="920" t="str">
        <f>"&lt; Nb of "&amp;AO36&amp;" per person "</f>
        <v xml:space="preserve">&lt; Nb of slices per person </v>
      </c>
      <c r="AO38" s="5286"/>
      <c r="AP38" s="762"/>
      <c r="AT38" s="1021" t="str">
        <f t="shared" si="15"/>
        <v>A</v>
      </c>
      <c r="AU38" s="196" t="str">
        <f>AU14</f>
        <v>N NOMBRE DE SU RECETA | pegue esto — FAMILIA| Autor &gt; USTED</v>
      </c>
      <c r="AV38" s="196">
        <f>AV14</f>
        <v>0.6</v>
      </c>
      <c r="AW38" s="197" t="str">
        <f>AW14</f>
        <v>kg</v>
      </c>
      <c r="AX38" s="5388" t="str">
        <f>AX14</f>
        <v>Receta madre ► Ballotina de pintada</v>
      </c>
      <c r="AY38" s="5275"/>
      <c r="AZ38" s="1361"/>
      <c r="BA38" s="6733" t="s">
        <v>9998</v>
      </c>
      <c r="BB38" s="5306" t="s">
        <v>269</v>
      </c>
      <c r="BC38" s="1361" t="s">
        <v>9999</v>
      </c>
      <c r="BD38" s="1361"/>
      <c r="BE38" s="1361"/>
      <c r="BF38" s="1361"/>
      <c r="BG38" s="1361"/>
      <c r="BH38" s="5276"/>
      <c r="BI38" s="6207">
        <v>1.5</v>
      </c>
      <c r="BJ38" s="920" t="str">
        <f>"&lt; Nb de "&amp;BK36&amp;" por persona "</f>
        <v xml:space="preserve">&lt; Nb de tajadas por persona </v>
      </c>
      <c r="BK38" s="5286"/>
      <c r="BL38" s="762"/>
      <c r="BP38" s="6373" t="s">
        <v>847</v>
      </c>
      <c r="BQ38" s="5783"/>
      <c r="BR38" s="5783"/>
      <c r="BS38" s="5783"/>
      <c r="BT38" s="5783"/>
      <c r="BU38" s="5783"/>
      <c r="BV38" s="6403"/>
      <c r="BX38" s="6373" t="s">
        <v>9231</v>
      </c>
      <c r="BY38" s="5783"/>
      <c r="BZ38" s="5783"/>
      <c r="CA38" s="5783"/>
      <c r="CB38" s="5783"/>
      <c r="CC38" s="5783"/>
      <c r="CD38" s="6403"/>
      <c r="CF38" s="6373" t="s">
        <v>9373</v>
      </c>
      <c r="CG38" s="5783"/>
      <c r="CH38" s="5783"/>
      <c r="CI38" s="5783"/>
      <c r="CJ38" s="5783"/>
      <c r="CK38" s="5783"/>
      <c r="CL38" s="6403"/>
      <c r="CN38" s="5">
        <v>1</v>
      </c>
    </row>
    <row r="39" spans="2:92" ht="21" customHeight="1" thickBot="1">
      <c r="B39" s="1021" t="str">
        <f t="shared" si="13"/>
        <v>A</v>
      </c>
      <c r="C39" s="196" t="str">
        <f>C14</f>
        <v>N NOM DE VOTRE RECETTE | collez la--FAMILLE| Auteur &gt; VOUS</v>
      </c>
      <c r="D39" s="196">
        <f>D14</f>
        <v>0.6</v>
      </c>
      <c r="E39" s="197" t="str">
        <f>E14</f>
        <v>Kg</v>
      </c>
      <c r="F39" s="5388" t="str">
        <f>F14</f>
        <v>Recette mère ► Ballotine de pintade</v>
      </c>
      <c r="G39" s="5275"/>
      <c r="H39" s="5306" t="s">
        <v>269</v>
      </c>
      <c r="I39" s="1361" t="s">
        <v>10001</v>
      </c>
      <c r="J39" s="1361"/>
      <c r="K39" s="1361"/>
      <c r="L39" s="1361"/>
      <c r="M39" s="1361"/>
      <c r="N39" s="1361"/>
      <c r="O39" s="1361"/>
      <c r="P39" s="5276"/>
      <c r="Q39" s="6209">
        <v>27</v>
      </c>
      <c r="R39" s="920" t="str">
        <f>"&lt; Nb "&amp;S36&amp;" dans 1 " &amp;Q37</f>
        <v>&lt; Nb tranches dans 1 Gastro 1/1</v>
      </c>
      <c r="S39" s="5288"/>
      <c r="T39" s="6208"/>
      <c r="X39" s="1021" t="str">
        <f t="shared" si="14"/>
        <v>►</v>
      </c>
      <c r="Y39" s="196" t="str">
        <f>Y14</f>
        <v>N NAME OF YOUR RECIPE | paste it — FAMILY|  Author &gt; YOU</v>
      </c>
      <c r="Z39" s="196">
        <f>Z14</f>
        <v>0.6</v>
      </c>
      <c r="AA39" s="197" t="str">
        <f>AA14</f>
        <v>kg</v>
      </c>
      <c r="AB39" s="5388" t="str">
        <f>AB14</f>
        <v>Master recipe ► Guinea fowl ballotine</v>
      </c>
      <c r="AC39" s="5275"/>
      <c r="AD39" s="1361"/>
      <c r="AE39" s="1361"/>
      <c r="AF39" s="1361"/>
      <c r="AG39" s="1361"/>
      <c r="AH39" s="1361"/>
      <c r="AI39" s="1361"/>
      <c r="AJ39" s="1361"/>
      <c r="AK39" s="1361"/>
      <c r="AL39" s="5276"/>
      <c r="AM39" s="6209">
        <v>27</v>
      </c>
      <c r="AN39" s="920" t="str">
        <f>"&lt; Nb "&amp;AO36&amp;" in 1 " &amp;AM37</f>
        <v>&lt; Nb slices in 1 pack(s)</v>
      </c>
      <c r="AO39" s="5288"/>
      <c r="AP39" s="6208"/>
      <c r="AT39" s="1021" t="str">
        <f t="shared" si="15"/>
        <v>►</v>
      </c>
      <c r="AU39" s="196" t="str">
        <f>AU14</f>
        <v>N NOMBRE DE SU RECETA | pegue esto — FAMILIA| Autor &gt; USTED</v>
      </c>
      <c r="AV39" s="196">
        <f>AV14</f>
        <v>0.6</v>
      </c>
      <c r="AW39" s="197" t="str">
        <f>AW14</f>
        <v>kg</v>
      </c>
      <c r="AX39" s="5388" t="str">
        <f>AX14</f>
        <v>Receta madre ► Ballotina de pintada</v>
      </c>
      <c r="AY39" s="5275"/>
      <c r="AZ39" s="1361"/>
      <c r="BA39" s="1361"/>
      <c r="BB39" s="1361"/>
      <c r="BC39" s="1361"/>
      <c r="BD39" s="1361"/>
      <c r="BE39" s="1361"/>
      <c r="BF39" s="1361"/>
      <c r="BG39" s="1361"/>
      <c r="BH39" s="5276"/>
      <c r="BI39" s="6209">
        <v>27</v>
      </c>
      <c r="BJ39" s="920" t="str">
        <f>"&lt; Nb "&amp;BK36&amp;" dans 1 " &amp;BI37</f>
        <v>&lt; Nb tajadas dans 1 pack(s)</v>
      </c>
      <c r="BK39" s="5288"/>
      <c r="BL39" s="6208"/>
      <c r="BP39" s="6373"/>
      <c r="BQ39" s="5783"/>
      <c r="BR39" s="5783"/>
      <c r="BS39" s="5783"/>
      <c r="BT39" s="5783"/>
      <c r="BU39" s="5783"/>
      <c r="BV39" s="6403"/>
      <c r="BX39" s="6373"/>
      <c r="BY39" s="5783"/>
      <c r="BZ39" s="5783"/>
      <c r="CA39" s="5783"/>
      <c r="CB39" s="5783"/>
      <c r="CC39" s="5783"/>
      <c r="CD39" s="6403"/>
      <c r="CF39" s="6373"/>
      <c r="CG39" s="5783"/>
      <c r="CH39" s="5783"/>
      <c r="CI39" s="5783"/>
      <c r="CJ39" s="5783"/>
      <c r="CK39" s="5783"/>
      <c r="CL39" s="6403"/>
      <c r="CN39" s="5">
        <v>1</v>
      </c>
    </row>
    <row r="40" spans="2:92" ht="21" customHeight="1">
      <c r="B40" s="1021" t="str">
        <f t="shared" si="13"/>
        <v>►</v>
      </c>
      <c r="C40" s="196" t="str">
        <f>C14</f>
        <v>N NOM DE VOTRE RECETTE | collez la--FAMILLE| Auteur &gt; VOUS</v>
      </c>
      <c r="D40" s="196">
        <f>D14</f>
        <v>0.6</v>
      </c>
      <c r="E40" s="197" t="str">
        <f>E14</f>
        <v>Kg</v>
      </c>
      <c r="F40" s="5388" t="str">
        <f>F14</f>
        <v>Recette mère ► Ballotine de pintade</v>
      </c>
      <c r="G40" s="5275"/>
      <c r="H40" s="1361"/>
      <c r="I40" s="1361"/>
      <c r="J40" s="1361"/>
      <c r="K40" s="1361"/>
      <c r="L40" s="1361"/>
      <c r="M40" s="1361"/>
      <c r="N40" s="1361"/>
      <c r="O40" s="1361"/>
      <c r="P40" s="5276"/>
      <c r="Q40" s="6876" t="str">
        <f>IF(OR(Q39="",T35=0),"",INT(T35/Q39) &amp; " " &amp; Q37 &amp; " de " &amp; Q39 &amp; " " &amp; S36 &amp; IF(MOD(T35,Q39)&gt;0," + 1 " &amp; Q37 &amp; " de " &amp; TEXT(MOD(T35,Q39),"0.00") &amp; " " &amp; S36,""))</f>
        <v>8 Gastro 1/1 de 27 tranches + 1 Gastro 1/1 de 9.00 tranches</v>
      </c>
      <c r="R40" s="6877"/>
      <c r="S40" s="6877"/>
      <c r="T40" s="6878"/>
      <c r="X40" s="1021" t="str">
        <f t="shared" si="14"/>
        <v>►</v>
      </c>
      <c r="Y40" s="196" t="str">
        <f>Y14</f>
        <v>N NAME OF YOUR RECIPE | paste it — FAMILY|  Author &gt; YOU</v>
      </c>
      <c r="Z40" s="196">
        <f>Z14</f>
        <v>0.6</v>
      </c>
      <c r="AA40" s="197" t="str">
        <f>AA14</f>
        <v>kg</v>
      </c>
      <c r="AB40" s="5388" t="str">
        <f>AB14</f>
        <v>Master recipe ► Guinea fowl ballotine</v>
      </c>
      <c r="AC40" s="5275"/>
      <c r="AD40" s="1361"/>
      <c r="AE40" s="1361"/>
      <c r="AF40" s="1361"/>
      <c r="AG40" s="1361"/>
      <c r="AH40" s="1361"/>
      <c r="AI40" s="1361"/>
      <c r="AJ40" s="1361"/>
      <c r="AK40" s="1361"/>
      <c r="AL40" s="5276"/>
      <c r="AM40" s="6876" t="str">
        <f>IF(OR(AM39="",AP35=0),"",INT(AP35/AM39) &amp; " " &amp; AM37 &amp; " de " &amp; AM39 &amp; " " &amp; AO36 &amp; IF(MOD(AP35,AM39)&gt;0," + 1 " &amp; AM37 &amp; " de " &amp; TEXT(MOD(AP35,AM39),"0.00") &amp; " " &amp; AO36,""))</f>
        <v>8 pack(s) de 27 slices + 1 pack(s) de 9.00 slices</v>
      </c>
      <c r="AN40" s="6877"/>
      <c r="AO40" s="6877"/>
      <c r="AP40" s="6878"/>
      <c r="AT40" s="1021" t="str">
        <f t="shared" si="15"/>
        <v>►</v>
      </c>
      <c r="AU40" s="196" t="str">
        <f>AU14</f>
        <v>N NOMBRE DE SU RECETA | pegue esto — FAMILIA| Autor &gt; USTED</v>
      </c>
      <c r="AV40" s="196">
        <f>AV14</f>
        <v>0.6</v>
      </c>
      <c r="AW40" s="197" t="str">
        <f>AW14</f>
        <v>kg</v>
      </c>
      <c r="AX40" s="5388" t="str">
        <f>AX14</f>
        <v>Receta madre ► Ballotina de pintada</v>
      </c>
      <c r="AY40" s="5275"/>
      <c r="AZ40" s="1361"/>
      <c r="BA40" s="1361"/>
      <c r="BB40" s="1361"/>
      <c r="BC40" s="1361"/>
      <c r="BD40" s="1361"/>
      <c r="BE40" s="1361"/>
      <c r="BF40" s="1361"/>
      <c r="BG40" s="1361"/>
      <c r="BH40" s="5276"/>
      <c r="BI40" s="6876" t="str">
        <f>IF(OR(BI39="",BL35=0),"",INT(BL35/BI39) &amp; " " &amp; BI37 &amp; " de " &amp; BI39 &amp; " " &amp; BK36 &amp; IF(MOD(BL35,BI39)&gt;0," + 1 " &amp; BI37 &amp; " de " &amp; TEXT(MOD(BL35,BI39),"0.00") &amp; " " &amp; BK36,""))</f>
        <v>8 pack(s) de 27 tajadas + 1 pack(s) de 9.00 tajadas</v>
      </c>
      <c r="BJ40" s="6877"/>
      <c r="BK40" s="6877"/>
      <c r="BL40" s="6878"/>
      <c r="BP40" s="7103" t="s">
        <v>849</v>
      </c>
      <c r="BQ40" s="7104" t="s">
        <v>998</v>
      </c>
      <c r="BR40" s="7104"/>
      <c r="BS40" s="7104"/>
      <c r="BT40" s="7104"/>
      <c r="BU40" s="7104"/>
      <c r="BV40" s="7105"/>
      <c r="BX40" s="7103" t="s">
        <v>9232</v>
      </c>
      <c r="BY40" s="7104" t="s">
        <v>9233</v>
      </c>
      <c r="BZ40" s="7104"/>
      <c r="CA40" s="7104"/>
      <c r="CB40" s="7104"/>
      <c r="CC40" s="7104"/>
      <c r="CD40" s="7105"/>
      <c r="CF40" s="7106" t="s">
        <v>9374</v>
      </c>
      <c r="CG40" s="7104" t="s">
        <v>9375</v>
      </c>
      <c r="CH40" s="7104"/>
      <c r="CI40" s="7104"/>
      <c r="CJ40" s="7104"/>
      <c r="CK40" s="7104"/>
      <c r="CL40" s="7105"/>
      <c r="CN40" s="5">
        <v>1</v>
      </c>
    </row>
    <row r="41" spans="2:92" ht="21" customHeight="1">
      <c r="B41" s="5289" t="s">
        <v>26</v>
      </c>
      <c r="C41" s="196" t="str">
        <f>C14</f>
        <v>N NOM DE VOTRE RECETTE | collez la--FAMILLE| Auteur &gt; VOUS</v>
      </c>
      <c r="D41" s="196">
        <f>D14</f>
        <v>0.6</v>
      </c>
      <c r="E41" s="197" t="str">
        <f>E14</f>
        <v>Kg</v>
      </c>
      <c r="F41" s="5388" t="str">
        <f>F14</f>
        <v>Recette mère ► Ballotine de pintade</v>
      </c>
      <c r="G41" s="5290" t="s">
        <v>1112</v>
      </c>
      <c r="H41" s="1361"/>
      <c r="I41" s="1361"/>
      <c r="J41" s="1361"/>
      <c r="K41" s="1361"/>
      <c r="L41" s="1361"/>
      <c r="M41" s="1361"/>
      <c r="N41" s="1361"/>
      <c r="O41" s="1361"/>
      <c r="P41" s="5291"/>
      <c r="Q41" s="6879"/>
      <c r="R41" s="6880"/>
      <c r="S41" s="6880"/>
      <c r="T41" s="6881"/>
      <c r="X41" s="5289" t="s">
        <v>26</v>
      </c>
      <c r="Y41" s="196" t="str">
        <f>Y14</f>
        <v>N NAME OF YOUR RECIPE | paste it — FAMILY|  Author &gt; YOU</v>
      </c>
      <c r="Z41" s="196">
        <f>Z14</f>
        <v>0.6</v>
      </c>
      <c r="AA41" s="197" t="str">
        <f>AA14</f>
        <v>kg</v>
      </c>
      <c r="AB41" s="5388" t="str">
        <f>AB14</f>
        <v>Master recipe ► Guinea fowl ballotine</v>
      </c>
      <c r="AC41" s="5290" t="s">
        <v>8385</v>
      </c>
      <c r="AD41" s="1361"/>
      <c r="AE41" s="1361"/>
      <c r="AF41" s="1361"/>
      <c r="AG41" s="1361"/>
      <c r="AH41" s="1361"/>
      <c r="AI41" s="1361"/>
      <c r="AJ41" s="1361"/>
      <c r="AK41" s="1361"/>
      <c r="AL41" s="5291"/>
      <c r="AM41" s="6879"/>
      <c r="AN41" s="6880"/>
      <c r="AO41" s="6880"/>
      <c r="AP41" s="6881"/>
      <c r="AT41" s="5289" t="s">
        <v>26</v>
      </c>
      <c r="AU41" s="196" t="str">
        <f>AU14</f>
        <v>N NOMBRE DE SU RECETA | pegue esto — FAMILIA| Autor &gt; USTED</v>
      </c>
      <c r="AV41" s="196">
        <f>AV14</f>
        <v>0.6</v>
      </c>
      <c r="AW41" s="197" t="str">
        <f>AW14</f>
        <v>kg</v>
      </c>
      <c r="AX41" s="5388" t="str">
        <f>AX14</f>
        <v>Receta madre ► Ballotina de pintada</v>
      </c>
      <c r="AY41" s="5290" t="s">
        <v>8423</v>
      </c>
      <c r="AZ41" s="1361"/>
      <c r="BA41" s="1361"/>
      <c r="BB41" s="1361"/>
      <c r="BC41" s="1361"/>
      <c r="BD41" s="1361"/>
      <c r="BE41" s="1361"/>
      <c r="BF41" s="1361"/>
      <c r="BG41" s="1361"/>
      <c r="BH41" s="5291"/>
      <c r="BI41" s="6879"/>
      <c r="BJ41" s="6880"/>
      <c r="BK41" s="6880"/>
      <c r="BL41" s="6881"/>
      <c r="BP41" s="7103"/>
      <c r="BQ41" s="7104"/>
      <c r="BR41" s="7104"/>
      <c r="BS41" s="7104"/>
      <c r="BT41" s="7104"/>
      <c r="BU41" s="7104"/>
      <c r="BV41" s="7105"/>
      <c r="BX41" s="7103"/>
      <c r="BY41" s="7104"/>
      <c r="BZ41" s="7104"/>
      <c r="CA41" s="7104"/>
      <c r="CB41" s="7104"/>
      <c r="CC41" s="7104"/>
      <c r="CD41" s="7105"/>
      <c r="CF41" s="7106"/>
      <c r="CG41" s="7104"/>
      <c r="CH41" s="7104"/>
      <c r="CI41" s="7104"/>
      <c r="CJ41" s="7104"/>
      <c r="CK41" s="7104"/>
      <c r="CL41" s="7105"/>
      <c r="CN41" s="5">
        <v>1</v>
      </c>
    </row>
    <row r="42" spans="2:92" ht="21" customHeight="1">
      <c r="B42" s="5289" t="s">
        <v>21</v>
      </c>
      <c r="C42" s="196" t="str">
        <f>C14</f>
        <v>N NOM DE VOTRE RECETTE | collez la--FAMILLE| Auteur &gt; VOUS</v>
      </c>
      <c r="D42" s="196">
        <f>D14</f>
        <v>0.6</v>
      </c>
      <c r="E42" s="197" t="str">
        <f>E14</f>
        <v>Kg</v>
      </c>
      <c r="F42" s="5388" t="str">
        <f>F14</f>
        <v>Recette mère ► Ballotine de pintade</v>
      </c>
      <c r="G42" s="5403" t="s">
        <v>8022</v>
      </c>
      <c r="H42" s="988"/>
      <c r="I42" s="988"/>
      <c r="J42" s="988"/>
      <c r="K42" s="988"/>
      <c r="L42" s="988"/>
      <c r="M42" s="988"/>
      <c r="N42" s="988"/>
      <c r="O42" s="988"/>
      <c r="P42" s="1325"/>
      <c r="Q42" s="6210">
        <v>120</v>
      </c>
      <c r="R42" s="77" t="s">
        <v>8023</v>
      </c>
      <c r="S42" s="147"/>
      <c r="T42" s="6211">
        <f>(Q42*Q36)/1000</f>
        <v>18</v>
      </c>
      <c r="X42" s="5289" t="s">
        <v>21</v>
      </c>
      <c r="Y42" s="196" t="str">
        <f>Y14</f>
        <v>N NAME OF YOUR RECIPE | paste it — FAMILY|  Author &gt; YOU</v>
      </c>
      <c r="Z42" s="196">
        <f>Z14</f>
        <v>0.6</v>
      </c>
      <c r="AA42" s="197" t="str">
        <f>AA14</f>
        <v>kg</v>
      </c>
      <c r="AB42" s="5388" t="str">
        <f>AB14</f>
        <v>Master recipe ► Guinea fowl ballotine</v>
      </c>
      <c r="AC42" s="5292" t="s">
        <v>8370</v>
      </c>
      <c r="AD42" s="988"/>
      <c r="AE42" s="988"/>
      <c r="AF42" s="988"/>
      <c r="AG42" s="988"/>
      <c r="AH42" s="988"/>
      <c r="AI42" s="988"/>
      <c r="AJ42" s="988"/>
      <c r="AK42" s="988"/>
      <c r="AL42" s="1325"/>
      <c r="AM42" s="6210">
        <v>120</v>
      </c>
      <c r="AN42" s="77" t="s">
        <v>8369</v>
      </c>
      <c r="AO42" s="147"/>
      <c r="AP42" s="6211">
        <f>(AM42*AM36)/1000</f>
        <v>18</v>
      </c>
      <c r="AT42" s="5289" t="s">
        <v>21</v>
      </c>
      <c r="AU42" s="196" t="str">
        <f>AU14</f>
        <v>N NOMBRE DE SU RECETA | pegue esto — FAMILIA| Autor &gt; USTED</v>
      </c>
      <c r="AV42" s="196">
        <f>AV14</f>
        <v>0.6</v>
      </c>
      <c r="AW42" s="197" t="str">
        <f>AW14</f>
        <v>kg</v>
      </c>
      <c r="AX42" s="5388" t="str">
        <f>AX14</f>
        <v>Receta madre ► Ballotina de pintada</v>
      </c>
      <c r="AY42" s="5292" t="s">
        <v>8424</v>
      </c>
      <c r="AZ42" s="988"/>
      <c r="BA42" s="988"/>
      <c r="BB42" s="988"/>
      <c r="BC42" s="988"/>
      <c r="BD42" s="988"/>
      <c r="BE42" s="988"/>
      <c r="BF42" s="988"/>
      <c r="BG42" s="988"/>
      <c r="BH42" s="1325"/>
      <c r="BI42" s="6210">
        <v>120</v>
      </c>
      <c r="BJ42" s="77" t="s">
        <v>8435</v>
      </c>
      <c r="BK42" s="147"/>
      <c r="BL42" s="6211">
        <f>(BI42*BI36)/1000</f>
        <v>18</v>
      </c>
      <c r="BP42" s="7103"/>
      <c r="BQ42" s="6405" t="s">
        <v>999</v>
      </c>
      <c r="BR42" s="6405"/>
      <c r="BS42" s="6405"/>
      <c r="BT42" s="6405"/>
      <c r="BU42" s="6406"/>
      <c r="BV42" s="6407"/>
      <c r="BX42" s="7103"/>
      <c r="BY42" s="6405" t="s">
        <v>9234</v>
      </c>
      <c r="BZ42" s="6405"/>
      <c r="CA42" s="6405"/>
      <c r="CB42" s="6405"/>
      <c r="CC42" s="6406"/>
      <c r="CD42" s="6407"/>
      <c r="CF42" s="7106"/>
      <c r="CG42" s="6405" t="s">
        <v>9376</v>
      </c>
      <c r="CH42" s="6405"/>
      <c r="CI42" s="6405"/>
      <c r="CJ42" s="6405"/>
      <c r="CK42" s="6406"/>
      <c r="CL42" s="6407"/>
      <c r="CN42" s="5">
        <v>1</v>
      </c>
    </row>
    <row r="43" spans="2:92" ht="21" customHeight="1">
      <c r="B43" s="5289" t="s">
        <v>21</v>
      </c>
      <c r="C43" s="196" t="str">
        <f>C14</f>
        <v>N NOM DE VOTRE RECETTE | collez la--FAMILLE| Auteur &gt; VOUS</v>
      </c>
      <c r="D43" s="196">
        <f>D14</f>
        <v>0.6</v>
      </c>
      <c r="E43" s="197" t="str">
        <f>E14</f>
        <v>Kg</v>
      </c>
      <c r="F43" s="5388" t="str">
        <f>F14</f>
        <v>Recette mère ► Ballotine de pintade</v>
      </c>
      <c r="G43" s="5404" t="s">
        <v>8024</v>
      </c>
      <c r="H43" s="1449"/>
      <c r="I43" s="1449"/>
      <c r="J43" s="1449"/>
      <c r="K43" s="1449"/>
      <c r="L43" s="1449"/>
      <c r="M43" s="1449"/>
      <c r="N43" s="1449"/>
      <c r="O43" s="1449"/>
      <c r="P43" s="5295"/>
      <c r="Q43" s="6806">
        <v>2.7</v>
      </c>
      <c r="R43" s="5297" t="str">
        <f>"poids par "&amp; Q37</f>
        <v>poids par Gastro 1/1</v>
      </c>
      <c r="S43" s="147"/>
      <c r="T43" s="609"/>
      <c r="X43" s="5289" t="s">
        <v>21</v>
      </c>
      <c r="Y43" s="196" t="str">
        <f>Y14</f>
        <v>N NAME OF YOUR RECIPE | paste it — FAMILY|  Author &gt; YOU</v>
      </c>
      <c r="Z43" s="196">
        <f>Z14</f>
        <v>0.6</v>
      </c>
      <c r="AA43" s="197" t="str">
        <f>AA14</f>
        <v>kg</v>
      </c>
      <c r="AB43" s="5388" t="str">
        <f>AB14</f>
        <v>Master recipe ► Guinea fowl ballotine</v>
      </c>
      <c r="AC43" s="5294" t="s">
        <v>8371</v>
      </c>
      <c r="AD43" s="1449"/>
      <c r="AE43" s="1449"/>
      <c r="AF43" s="1449"/>
      <c r="AG43" s="1449"/>
      <c r="AH43" s="1449"/>
      <c r="AI43" s="1449"/>
      <c r="AJ43" s="1449"/>
      <c r="AK43" s="1449"/>
      <c r="AL43" s="5295"/>
      <c r="AM43" s="6806">
        <v>2.7</v>
      </c>
      <c r="AN43" s="5297" t="str">
        <f>"weight per  "&amp; AM37</f>
        <v>weight per  pack(s)</v>
      </c>
      <c r="AO43" s="147"/>
      <c r="AP43" s="609"/>
      <c r="AT43" s="5289" t="s">
        <v>21</v>
      </c>
      <c r="AU43" s="196" t="str">
        <f>AU14</f>
        <v>N NOMBRE DE SU RECETA | pegue esto — FAMILIA| Autor &gt; USTED</v>
      </c>
      <c r="AV43" s="196">
        <f>AV14</f>
        <v>0.6</v>
      </c>
      <c r="AW43" s="197" t="str">
        <f>AW14</f>
        <v>kg</v>
      </c>
      <c r="AX43" s="5388" t="str">
        <f>AX14</f>
        <v>Receta madre ► Ballotina de pintada</v>
      </c>
      <c r="AY43" s="5294" t="s">
        <v>8425</v>
      </c>
      <c r="AZ43" s="1449"/>
      <c r="BA43" s="1449"/>
      <c r="BB43" s="1449"/>
      <c r="BC43" s="1449"/>
      <c r="BD43" s="1449"/>
      <c r="BE43" s="1449"/>
      <c r="BF43" s="1449"/>
      <c r="BG43" s="1449"/>
      <c r="BH43" s="5295"/>
      <c r="BI43" s="6806">
        <v>2.7</v>
      </c>
      <c r="BJ43" s="5297" t="str">
        <f>"peso por  "&amp; BI37</f>
        <v>peso por  pack(s)</v>
      </c>
      <c r="BK43" s="147"/>
      <c r="BL43" s="609"/>
      <c r="BP43" s="7103"/>
      <c r="BQ43" s="6405" t="s">
        <v>1000</v>
      </c>
      <c r="BR43" s="6408"/>
      <c r="BS43" s="6408"/>
      <c r="BT43" s="6408"/>
      <c r="BU43" s="6406"/>
      <c r="BV43" s="6407"/>
      <c r="BX43" s="7103"/>
      <c r="BY43" s="6405" t="s">
        <v>9235</v>
      </c>
      <c r="BZ43" s="6408"/>
      <c r="CA43" s="6408"/>
      <c r="CB43" s="6408"/>
      <c r="CC43" s="6406"/>
      <c r="CD43" s="6407"/>
      <c r="CF43" s="7106"/>
      <c r="CG43" s="6405" t="s">
        <v>9377</v>
      </c>
      <c r="CH43" s="6408"/>
      <c r="CI43" s="6408"/>
      <c r="CJ43" s="6408"/>
      <c r="CK43" s="6406"/>
      <c r="CL43" s="6407"/>
      <c r="CN43" s="5">
        <v>1</v>
      </c>
    </row>
    <row r="44" spans="2:92" ht="21" customHeight="1">
      <c r="B44" s="5289" t="s">
        <v>21</v>
      </c>
      <c r="C44" s="196" t="str">
        <f>C14</f>
        <v>N NOM DE VOTRE RECETTE | collez la--FAMILLE| Auteur &gt; VOUS</v>
      </c>
      <c r="D44" s="196">
        <f>D14</f>
        <v>0.6</v>
      </c>
      <c r="E44" s="197" t="str">
        <f>E14</f>
        <v>Kg</v>
      </c>
      <c r="F44" s="5388" t="str">
        <f>F14</f>
        <v>Recette mère ► Ballotine de pintade</v>
      </c>
      <c r="G44" s="1002"/>
      <c r="H44" s="1002"/>
      <c r="I44" s="1002" t="s">
        <v>873</v>
      </c>
      <c r="J44" s="1003"/>
      <c r="K44" s="1329"/>
      <c r="L44" s="1329"/>
      <c r="M44" s="1329"/>
      <c r="N44" s="1329"/>
      <c r="O44" s="1329"/>
      <c r="P44" s="1330"/>
      <c r="Q44" s="6882" t="str">
        <f>IF(OR(T42&lt;=0,Q43&lt;=0),"",_xlfn.LET(_xlpm.n,ROUND(T42/Q43,9),_xlpm.q,INT(_xlpm.n),_xlpm.r,ROUND(T42-_xlpm.q*Q43,9),_xlpm.base,_xlpm.q&amp;" "&amp;Q37&amp;" de "&amp;TEXT(Q43,"0.000")&amp;" kg",IF(_xlpm.r&lt;=0.000000001,_xlpm.base,_xlpm.base&amp;" + 1 "&amp;Q37&amp;" de "&amp;TEXT(_xlpm.r,"0.000")&amp;" kg")))</f>
        <v>6 Gastro 1/1 de 2.700 kg + 1 Gastro 1/1 de 1.800 kg</v>
      </c>
      <c r="R44" s="6883"/>
      <c r="S44" s="6883"/>
      <c r="T44" s="6884"/>
      <c r="X44" s="5289" t="s">
        <v>21</v>
      </c>
      <c r="Y44" s="196" t="str">
        <f>Y14</f>
        <v>N NAME OF YOUR RECIPE | paste it — FAMILY|  Author &gt; YOU</v>
      </c>
      <c r="Z44" s="196">
        <f>Z14</f>
        <v>0.6</v>
      </c>
      <c r="AA44" s="197" t="str">
        <f>AA14</f>
        <v>kg</v>
      </c>
      <c r="AB44" s="5388" t="str">
        <f>AB14</f>
        <v>Master recipe ► Guinea fowl ballotine</v>
      </c>
      <c r="AC44" s="1002"/>
      <c r="AD44" s="1002"/>
      <c r="AE44" s="1002" t="s">
        <v>873</v>
      </c>
      <c r="AF44" s="1003"/>
      <c r="AG44" s="1329"/>
      <c r="AH44" s="1329"/>
      <c r="AI44" s="1329"/>
      <c r="AJ44" s="1329"/>
      <c r="AK44" s="1329"/>
      <c r="AL44" s="1330"/>
      <c r="AM44" s="6882" t="str">
        <f>IF(OR(AP42&lt;=0,AM43&lt;=0),"",_xlfn.LET(_xlpm.n,ROUND(AP42/AM43,9),_xlpm.q,INT(_xlpm.n),_xlpm.r,ROUND(AP42-_xlpm.q*AM43,9),_xlpm.base,_xlpm.q&amp;" "&amp;AM37&amp;" de "&amp;TEXT(AM43,"0.000")&amp;" kg",IF(_xlpm.r&lt;=0.000000001,_xlpm.base,_xlpm.base&amp;" + 1 "&amp;AM37&amp;" de "&amp;TEXT(_xlpm.r,"0.000")&amp;" kg")))</f>
        <v>6 pack(s) de 2.700 kg + 1 pack(s) de 1.800 kg</v>
      </c>
      <c r="AN44" s="6883"/>
      <c r="AO44" s="6883"/>
      <c r="AP44" s="6884"/>
      <c r="AT44" s="5289" t="s">
        <v>21</v>
      </c>
      <c r="AU44" s="196" t="str">
        <f>AU14</f>
        <v>N NOMBRE DE SU RECETA | pegue esto — FAMILIA| Autor &gt; USTED</v>
      </c>
      <c r="AV44" s="196">
        <f>AV14</f>
        <v>0.6</v>
      </c>
      <c r="AW44" s="197" t="str">
        <f>AW14</f>
        <v>kg</v>
      </c>
      <c r="AX44" s="5388" t="str">
        <f>AX14</f>
        <v>Receta madre ► Ballotina de pintada</v>
      </c>
      <c r="AY44" s="1002"/>
      <c r="AZ44" s="1002"/>
      <c r="BA44" s="1002" t="s">
        <v>8426</v>
      </c>
      <c r="BB44" s="1003"/>
      <c r="BC44" s="1329"/>
      <c r="BD44" s="1329"/>
      <c r="BE44" s="1329"/>
      <c r="BF44" s="1329"/>
      <c r="BG44" s="1329"/>
      <c r="BH44" s="1330"/>
      <c r="BI44" s="6882" t="str">
        <f>IF(OR(BL42&lt;=0,BI43&lt;=0),"",_xlfn.LET(_xlpm.n,ROUND(BL42/BI43,9),_xlpm.q,INT(_xlpm.n),_xlpm.r,ROUND(BL42-_xlpm.q*BI43,9),_xlpm.base,_xlpm.q&amp;" "&amp;BI37&amp;" de "&amp;TEXT(BI43,"0.000")&amp;" kg",IF(_xlpm.r&lt;=0.000000001,_xlpm.base,_xlpm.base&amp;" + 1 "&amp;BI37&amp;" de "&amp;TEXT(_xlpm.r,"0.000")&amp;" kg")))</f>
        <v>6 pack(s) de 2.700 kg + 1 pack(s) de 1.800 kg</v>
      </c>
      <c r="BJ44" s="6883"/>
      <c r="BK44" s="6883"/>
      <c r="BL44" s="6884"/>
      <c r="BP44" s="6373"/>
      <c r="BQ44" s="6405"/>
      <c r="BR44" s="6408"/>
      <c r="BS44" s="6408"/>
      <c r="BT44" s="6408"/>
      <c r="BU44" s="6406"/>
      <c r="BV44" s="6407"/>
      <c r="BX44" s="6373"/>
      <c r="BY44" s="6405"/>
      <c r="BZ44" s="6408"/>
      <c r="CA44" s="6408"/>
      <c r="CB44" s="6408"/>
      <c r="CC44" s="6406"/>
      <c r="CD44" s="6407"/>
      <c r="CF44" s="6373"/>
      <c r="CG44" s="6405"/>
      <c r="CH44" s="6408"/>
      <c r="CI44" s="6408"/>
      <c r="CJ44" s="6408"/>
      <c r="CK44" s="6406"/>
      <c r="CL44" s="6407"/>
      <c r="CN44" s="5">
        <v>1</v>
      </c>
    </row>
    <row r="45" spans="2:92" ht="21" customHeight="1">
      <c r="B45" s="5289" t="s">
        <v>21</v>
      </c>
      <c r="C45" s="5298" t="str">
        <f>C14</f>
        <v>N NOM DE VOTRE RECETTE | collez la--FAMILLE| Auteur &gt; VOUS</v>
      </c>
      <c r="D45" s="5298">
        <f>D14</f>
        <v>0.6</v>
      </c>
      <c r="E45" s="5378" t="str">
        <f>E14</f>
        <v>Kg</v>
      </c>
      <c r="F45" s="5389" t="str">
        <f>F14</f>
        <v>Recette mère ► Ballotine de pintade</v>
      </c>
      <c r="G45" s="5299" t="s">
        <v>8375</v>
      </c>
      <c r="H45" s="5300"/>
      <c r="I45" s="5301"/>
      <c r="J45" s="5302"/>
      <c r="K45" s="5301"/>
      <c r="L45" s="5301"/>
      <c r="M45" s="5301"/>
      <c r="N45" s="5301"/>
      <c r="O45" s="5301"/>
      <c r="P45" s="5303"/>
      <c r="Q45" s="6885"/>
      <c r="R45" s="6886"/>
      <c r="S45" s="6886"/>
      <c r="T45" s="6887"/>
      <c r="X45" s="5289" t="s">
        <v>21</v>
      </c>
      <c r="Y45" s="5298" t="str">
        <f>Y14</f>
        <v>N NAME OF YOUR RECIPE | paste it — FAMILY|  Author &gt; YOU</v>
      </c>
      <c r="Z45" s="5298">
        <f>Z14</f>
        <v>0.6</v>
      </c>
      <c r="AA45" s="5378" t="str">
        <f>AA14</f>
        <v>kg</v>
      </c>
      <c r="AB45" s="5389" t="str">
        <f>AB14</f>
        <v>Master recipe ► Guinea fowl ballotine</v>
      </c>
      <c r="AC45" s="5299"/>
      <c r="AD45" s="5300"/>
      <c r="AE45" s="5301"/>
      <c r="AF45" s="5302"/>
      <c r="AG45" s="5301"/>
      <c r="AH45" s="5301"/>
      <c r="AI45" s="5301"/>
      <c r="AJ45" s="5301"/>
      <c r="AK45" s="5301"/>
      <c r="AL45" s="5303"/>
      <c r="AM45" s="6885"/>
      <c r="AN45" s="6886"/>
      <c r="AO45" s="6886"/>
      <c r="AP45" s="6887"/>
      <c r="AT45" s="5289" t="s">
        <v>21</v>
      </c>
      <c r="AU45" s="5298" t="str">
        <f>AU14</f>
        <v>N NOMBRE DE SU RECETA | pegue esto — FAMILIA| Autor &gt; USTED</v>
      </c>
      <c r="AV45" s="5298">
        <f>AV14</f>
        <v>0.6</v>
      </c>
      <c r="AW45" s="5378" t="str">
        <f>AW14</f>
        <v>kg</v>
      </c>
      <c r="AX45" s="5389" t="str">
        <f>AX14</f>
        <v>Receta madre ► Ballotina de pintada</v>
      </c>
      <c r="AY45" s="5299"/>
      <c r="AZ45" s="5300"/>
      <c r="BA45" s="5301"/>
      <c r="BB45" s="5302"/>
      <c r="BC45" s="5301"/>
      <c r="BD45" s="5301"/>
      <c r="BE45" s="5301"/>
      <c r="BF45" s="5301"/>
      <c r="BG45" s="5301"/>
      <c r="BH45" s="5303"/>
      <c r="BI45" s="6885"/>
      <c r="BJ45" s="6886"/>
      <c r="BK45" s="6886"/>
      <c r="BL45" s="6887"/>
      <c r="BP45" s="6374" t="s">
        <v>853</v>
      </c>
      <c r="BQ45" s="5783"/>
      <c r="BR45" s="5783"/>
      <c r="BS45" s="5783"/>
      <c r="BT45" s="5783"/>
      <c r="BU45" s="5783"/>
      <c r="BV45" s="6403"/>
      <c r="BX45" s="6374" t="s">
        <v>9236</v>
      </c>
      <c r="BY45" s="5783"/>
      <c r="BZ45" s="5783"/>
      <c r="CA45" s="5783"/>
      <c r="CB45" s="5783"/>
      <c r="CC45" s="5783"/>
      <c r="CD45" s="6403"/>
      <c r="CF45" s="6374" t="s">
        <v>9378</v>
      </c>
      <c r="CG45" s="5783"/>
      <c r="CH45" s="5783"/>
      <c r="CI45" s="5783"/>
      <c r="CJ45" s="5783"/>
      <c r="CK45" s="5783"/>
      <c r="CL45" s="6403"/>
      <c r="CN45" s="5">
        <v>1</v>
      </c>
    </row>
    <row r="46" spans="2:92" ht="21" customHeight="1" thickBot="1">
      <c r="B46" s="5304" t="s">
        <v>21</v>
      </c>
      <c r="C46" s="5305"/>
      <c r="D46" s="5305"/>
      <c r="E46" s="5305"/>
      <c r="F46" s="6241"/>
      <c r="G46" s="5306" t="s">
        <v>269</v>
      </c>
      <c r="H46" s="5307" t="str">
        <f ca="1">CELL("nomfichier")</f>
        <v>D:\Données\1.UPRT\0-UPRT.fait\1-UPRT.FR-SITE-WEB\ff-fiches-fabrications\ff.fiches.fabrication.2023\ffr.restaurant.2023\[ff.REPERTOIRE.600.LIGNES.15.xlsx]Differents.postits.FR.EN.ES</v>
      </c>
      <c r="I46" s="5308"/>
      <c r="J46" s="5308"/>
      <c r="K46" s="5308"/>
      <c r="L46" s="5308"/>
      <c r="M46" s="5308"/>
      <c r="N46" s="5308"/>
      <c r="O46" s="5308"/>
      <c r="P46" s="5308"/>
      <c r="Q46" s="5308"/>
      <c r="R46" s="5308"/>
      <c r="S46" s="5308"/>
      <c r="T46" s="5309"/>
      <c r="X46" s="5304" t="s">
        <v>21</v>
      </c>
      <c r="Y46" s="5305" t="str">
        <f>Y14</f>
        <v>N NAME OF YOUR RECIPE | paste it — FAMILY|  Author &gt; YOU</v>
      </c>
      <c r="Z46" s="5305">
        <f>Z14</f>
        <v>0.6</v>
      </c>
      <c r="AA46" s="5305" t="str">
        <f>AA14</f>
        <v>kg</v>
      </c>
      <c r="AB46" s="6241" t="str">
        <f>AB14</f>
        <v>Master recipe ► Guinea fowl ballotine</v>
      </c>
      <c r="AC46" s="5306" t="s">
        <v>269</v>
      </c>
      <c r="AD46" s="5307" t="str">
        <f ca="1">CELL("nomfichier")</f>
        <v>D:\Données\1.UPRT\0-UPRT.fait\1-UPRT.FR-SITE-WEB\ff-fiches-fabrications\ff.fiches.fabrication.2023\ffr.restaurant.2023\[ff.REPERTOIRE.600.LIGNES.15.xlsx]Differents.postits.FR.EN.ES</v>
      </c>
      <c r="AE46" s="5308"/>
      <c r="AF46" s="5308"/>
      <c r="AG46" s="5308"/>
      <c r="AH46" s="5308"/>
      <c r="AI46" s="5308"/>
      <c r="AJ46" s="5308"/>
      <c r="AK46" s="5308"/>
      <c r="AL46" s="5308"/>
      <c r="AM46" s="5308"/>
      <c r="AN46" s="5308"/>
      <c r="AO46" s="5308"/>
      <c r="AP46" s="5309"/>
      <c r="AT46" s="5304" t="s">
        <v>21</v>
      </c>
      <c r="AU46" s="5305" t="str">
        <f>AU14</f>
        <v>N NOMBRE DE SU RECETA | pegue esto — FAMILIA| Autor &gt; USTED</v>
      </c>
      <c r="AV46" s="5305">
        <f>AV14</f>
        <v>0.6</v>
      </c>
      <c r="AW46" s="5305" t="str">
        <f>AW14</f>
        <v>kg</v>
      </c>
      <c r="AX46" s="6241" t="str">
        <f>AX14</f>
        <v>Receta madre ► Ballotina de pintada</v>
      </c>
      <c r="AY46" s="5306" t="s">
        <v>269</v>
      </c>
      <c r="AZ46" s="5307" t="str">
        <f ca="1">CELL("nomfichier")</f>
        <v>D:\Données\1.UPRT\0-UPRT.fait\1-UPRT.FR-SITE-WEB\ff-fiches-fabrications\ff.fiches.fabrication.2023\ffr.restaurant.2023\[ff.REPERTOIRE.600.LIGNES.15.xlsx]Differents.postits.FR.EN.ES</v>
      </c>
      <c r="BA46" s="5308"/>
      <c r="BB46" s="5308"/>
      <c r="BC46" s="5308"/>
      <c r="BD46" s="5308"/>
      <c r="BE46" s="5308"/>
      <c r="BF46" s="5308"/>
      <c r="BG46" s="5308"/>
      <c r="BH46" s="5308"/>
      <c r="BI46" s="5308"/>
      <c r="BJ46" s="5308"/>
      <c r="BK46" s="5308"/>
      <c r="BL46" s="5309"/>
      <c r="BP46" s="6404"/>
      <c r="BQ46" s="5783"/>
      <c r="BR46" s="5783"/>
      <c r="BS46" s="5783"/>
      <c r="BT46" s="5783"/>
      <c r="BU46" s="5783"/>
      <c r="BV46" s="6403"/>
      <c r="BX46" s="6404"/>
      <c r="BY46" s="5783"/>
      <c r="BZ46" s="5783"/>
      <c r="CA46" s="5783"/>
      <c r="CB46" s="5783"/>
      <c r="CC46" s="5783"/>
      <c r="CD46" s="6403"/>
      <c r="CF46" s="6404"/>
      <c r="CG46" s="5783"/>
      <c r="CH46" s="5783"/>
      <c r="CI46" s="5783"/>
      <c r="CJ46" s="5783"/>
      <c r="CK46" s="5783"/>
      <c r="CL46" s="6403"/>
      <c r="CN46" s="5">
        <v>1</v>
      </c>
    </row>
    <row r="47" spans="2:92" ht="21" customHeight="1" thickBot="1">
      <c r="BP47" s="6404"/>
      <c r="BQ47" s="5783"/>
      <c r="BR47" s="5783"/>
      <c r="BS47" s="5783"/>
      <c r="BT47" s="5783"/>
      <c r="BU47" s="5783"/>
      <c r="BV47" s="6403"/>
      <c r="BX47" s="6404"/>
      <c r="BY47" s="5783"/>
      <c r="BZ47" s="5783"/>
      <c r="CA47" s="5783"/>
      <c r="CB47" s="5783"/>
      <c r="CC47" s="5783"/>
      <c r="CD47" s="6403"/>
      <c r="CF47" s="6404"/>
      <c r="CG47" s="5783"/>
      <c r="CH47" s="5783"/>
      <c r="CI47" s="5783"/>
      <c r="CJ47" s="5783"/>
      <c r="CK47" s="5783"/>
      <c r="CL47" s="6403"/>
      <c r="CN47" s="5">
        <v>1</v>
      </c>
    </row>
    <row r="48" spans="2:92" ht="21" customHeight="1">
      <c r="B48" s="5636" t="s">
        <v>21</v>
      </c>
      <c r="C48" s="5231" t="str">
        <f>C54</f>
        <v>N NOM DE VOTRE RECETTE | collez la--FAMILLE| Auteur &gt; VOUS</v>
      </c>
      <c r="D48" s="5232">
        <f>D54</f>
        <v>4</v>
      </c>
      <c r="E48" s="5232" t="str">
        <f>E54</f>
        <v>couverts</v>
      </c>
      <c r="F48" s="5384" t="str">
        <f>F54</f>
        <v>Recette mère ► Ballotine de pintade</v>
      </c>
      <c r="G48" s="5233" t="s">
        <v>1</v>
      </c>
      <c r="H48" s="5234" t="s">
        <v>251</v>
      </c>
      <c r="I48" s="5234"/>
      <c r="J48" s="6911" t="s">
        <v>1090</v>
      </c>
      <c r="K48" s="6911"/>
      <c r="L48" s="6911"/>
      <c r="M48" s="6911"/>
      <c r="N48" s="6911"/>
      <c r="O48" s="6911"/>
      <c r="P48" s="6911"/>
      <c r="Q48" s="6911"/>
      <c r="R48" s="6935" t="s">
        <v>10012</v>
      </c>
      <c r="S48" s="6935"/>
      <c r="T48" s="6915" t="str">
        <f>UPPER(LEFT(J48,1))</f>
        <v>N</v>
      </c>
      <c r="X48" s="5636" t="s">
        <v>21</v>
      </c>
      <c r="Y48" s="5231" t="str">
        <f>Y54</f>
        <v>N NAME OF YOUR RECIPE | paste it — FAMILY|  Author &gt; YOU</v>
      </c>
      <c r="Z48" s="5232">
        <f>Z54</f>
        <v>0.6</v>
      </c>
      <c r="AA48" s="5232" t="str">
        <f>AA54</f>
        <v>kg</v>
      </c>
      <c r="AB48" s="5384" t="str">
        <f>AB54</f>
        <v>Master recipe ► Guinea fowl ballotine</v>
      </c>
      <c r="AC48" s="5233" t="s">
        <v>1</v>
      </c>
      <c r="AD48" s="5234" t="s">
        <v>251</v>
      </c>
      <c r="AE48" s="5234"/>
      <c r="AF48" s="6911" t="s">
        <v>890</v>
      </c>
      <c r="AG48" s="6911"/>
      <c r="AH48" s="6911"/>
      <c r="AI48" s="6911"/>
      <c r="AJ48" s="6911"/>
      <c r="AK48" s="6911"/>
      <c r="AL48" s="6911"/>
      <c r="AM48" s="6911"/>
      <c r="AN48" s="6935" t="s">
        <v>10010</v>
      </c>
      <c r="AO48" s="6935"/>
      <c r="AP48" s="6915" t="str">
        <f>UPPER(LEFT(AF48,1))</f>
        <v>N</v>
      </c>
      <c r="AT48" s="5636" t="s">
        <v>21</v>
      </c>
      <c r="AU48" s="5231" t="str">
        <f>AU54</f>
        <v>N NOMBRE DE SU RECETA | pegue esto — FAMILIA| Autor &gt; USTED</v>
      </c>
      <c r="AV48" s="5232">
        <f>AV54</f>
        <v>0.6</v>
      </c>
      <c r="AW48" s="5232" t="str">
        <f>AW54</f>
        <v>kg</v>
      </c>
      <c r="AX48" s="5384" t="str">
        <f>AX54</f>
        <v>Receta madre ► Ballotina de pintada</v>
      </c>
      <c r="AY48" s="5233" t="s">
        <v>1</v>
      </c>
      <c r="AZ48" s="5234" t="s">
        <v>8402</v>
      </c>
      <c r="BA48" s="5234"/>
      <c r="BB48" s="6911" t="s">
        <v>8400</v>
      </c>
      <c r="BC48" s="6911"/>
      <c r="BD48" s="6911"/>
      <c r="BE48" s="6911"/>
      <c r="BF48" s="6911"/>
      <c r="BG48" s="6911"/>
      <c r="BH48" s="6911"/>
      <c r="BI48" s="6911"/>
      <c r="BJ48" s="6913" t="s">
        <v>10011</v>
      </c>
      <c r="BK48" s="6913"/>
      <c r="BL48" s="6915" t="str">
        <f>UPPER(LEFT(BB48,1))</f>
        <v>N</v>
      </c>
      <c r="BP48" s="6404"/>
      <c r="BQ48" s="5783"/>
      <c r="BR48" s="5783"/>
      <c r="BS48" s="5783"/>
      <c r="BT48" s="5783"/>
      <c r="BU48" s="5783"/>
      <c r="BV48" s="6403"/>
      <c r="BX48" s="6404"/>
      <c r="BY48" s="5783"/>
      <c r="BZ48" s="5783"/>
      <c r="CA48" s="5783"/>
      <c r="CB48" s="5783"/>
      <c r="CC48" s="5783"/>
      <c r="CD48" s="6403"/>
      <c r="CF48" s="6404"/>
      <c r="CG48" s="5783"/>
      <c r="CH48" s="5783"/>
      <c r="CI48" s="5783"/>
      <c r="CJ48" s="5783"/>
      <c r="CK48" s="5783"/>
      <c r="CL48" s="6403"/>
      <c r="CN48" s="5">
        <v>1</v>
      </c>
    </row>
    <row r="49" spans="2:92" ht="21" customHeight="1">
      <c r="B49" s="1018" t="s">
        <v>21</v>
      </c>
      <c r="C49" s="363" t="str">
        <f>C54</f>
        <v>N NOM DE VOTRE RECETTE | collez la--FAMILLE| Auteur &gt; VOUS</v>
      </c>
      <c r="D49" s="362">
        <f>D54</f>
        <v>4</v>
      </c>
      <c r="E49" s="362" t="str">
        <f>E54</f>
        <v>couverts</v>
      </c>
      <c r="F49" s="5385" t="str">
        <f>F54</f>
        <v>Recette mère ► Ballotine de pintade</v>
      </c>
      <c r="G49" s="361" t="s">
        <v>245</v>
      </c>
      <c r="H49" s="360" t="s">
        <v>9181</v>
      </c>
      <c r="I49" s="360"/>
      <c r="J49" s="6912"/>
      <c r="K49" s="6912"/>
      <c r="L49" s="6912"/>
      <c r="M49" s="6912"/>
      <c r="N49" s="6912"/>
      <c r="O49" s="6912"/>
      <c r="P49" s="6912"/>
      <c r="Q49" s="6912"/>
      <c r="R49" s="6936"/>
      <c r="S49" s="6936"/>
      <c r="T49" s="6916"/>
      <c r="X49" s="1018" t="s">
        <v>21</v>
      </c>
      <c r="Y49" s="363" t="str">
        <f>Y54</f>
        <v>N NAME OF YOUR RECIPE | paste it — FAMILY|  Author &gt; YOU</v>
      </c>
      <c r="Z49" s="362">
        <f>Z54</f>
        <v>0.6</v>
      </c>
      <c r="AA49" s="362" t="str">
        <f>AA54</f>
        <v>kg</v>
      </c>
      <c r="AB49" s="5385" t="str">
        <f>AB54</f>
        <v>Master recipe ► Guinea fowl ballotine</v>
      </c>
      <c r="AC49" s="361" t="s">
        <v>9685</v>
      </c>
      <c r="AD49" s="360" t="s">
        <v>9181</v>
      </c>
      <c r="AE49" s="360"/>
      <c r="AF49" s="6912"/>
      <c r="AG49" s="6912"/>
      <c r="AH49" s="6912"/>
      <c r="AI49" s="6912"/>
      <c r="AJ49" s="6912"/>
      <c r="AK49" s="6912"/>
      <c r="AL49" s="6912"/>
      <c r="AM49" s="6912"/>
      <c r="AN49" s="6936"/>
      <c r="AO49" s="6936"/>
      <c r="AP49" s="6916"/>
      <c r="AT49" s="1018" t="s">
        <v>21</v>
      </c>
      <c r="AU49" s="363" t="str">
        <f>AU54</f>
        <v>N NOMBRE DE SU RECETA | pegue esto — FAMILIA| Autor &gt; USTED</v>
      </c>
      <c r="AV49" s="362">
        <f>AV54</f>
        <v>0.6</v>
      </c>
      <c r="AW49" s="362" t="str">
        <f>AW54</f>
        <v>kg</v>
      </c>
      <c r="AX49" s="5385" t="str">
        <f>AX54</f>
        <v>Receta madre ► Ballotina de pintada</v>
      </c>
      <c r="AY49" s="361" t="s">
        <v>8401</v>
      </c>
      <c r="AZ49" s="360" t="s">
        <v>9181</v>
      </c>
      <c r="BA49" s="360"/>
      <c r="BB49" s="6912"/>
      <c r="BC49" s="6912"/>
      <c r="BD49" s="6912"/>
      <c r="BE49" s="6912"/>
      <c r="BF49" s="6912"/>
      <c r="BG49" s="6912"/>
      <c r="BH49" s="6912"/>
      <c r="BI49" s="6912"/>
      <c r="BJ49" s="6914"/>
      <c r="BK49" s="6914"/>
      <c r="BL49" s="6916"/>
      <c r="BP49" s="6404"/>
      <c r="BQ49" s="5783"/>
      <c r="BR49" s="5783"/>
      <c r="BS49" s="5783"/>
      <c r="BT49" s="5783"/>
      <c r="BU49" s="5783"/>
      <c r="BV49" s="6403"/>
      <c r="BX49" s="6404"/>
      <c r="BY49" s="5783"/>
      <c r="BZ49" s="5783"/>
      <c r="CA49" s="5783"/>
      <c r="CB49" s="5783"/>
      <c r="CC49" s="5783"/>
      <c r="CD49" s="6403"/>
      <c r="CF49" s="6404"/>
      <c r="CG49" s="5783"/>
      <c r="CH49" s="5783"/>
      <c r="CI49" s="5783"/>
      <c r="CJ49" s="5783"/>
      <c r="CK49" s="5783"/>
      <c r="CL49" s="6403"/>
      <c r="CN49" s="5">
        <v>1</v>
      </c>
    </row>
    <row r="50" spans="2:92" ht="21" customHeight="1">
      <c r="B50" s="1018" t="s">
        <v>21</v>
      </c>
      <c r="C50" s="41" t="str">
        <f>C54</f>
        <v>N NOM DE VOTRE RECETTE | collez la--FAMILLE| Auteur &gt; VOUS</v>
      </c>
      <c r="D50" s="40">
        <f>D54</f>
        <v>4</v>
      </c>
      <c r="E50" s="40" t="str">
        <f>E54</f>
        <v>couverts</v>
      </c>
      <c r="F50" s="5386" t="str">
        <f>F54</f>
        <v>Recette mère ► Ballotine de pintade</v>
      </c>
      <c r="G50" s="351"/>
      <c r="H50" s="350" t="s">
        <v>8388</v>
      </c>
      <c r="I50" s="349"/>
      <c r="J50" s="348" t="s">
        <v>232</v>
      </c>
      <c r="K50" s="347" t="s">
        <v>1092</v>
      </c>
      <c r="L50" s="141"/>
      <c r="M50" s="347"/>
      <c r="N50" s="347"/>
      <c r="O50" s="347"/>
      <c r="P50" s="347"/>
      <c r="Q50" s="5235"/>
      <c r="R50" s="141"/>
      <c r="S50" s="141"/>
      <c r="T50" s="409"/>
      <c r="X50" s="1018" t="s">
        <v>21</v>
      </c>
      <c r="Y50" s="41" t="str">
        <f>Y54</f>
        <v>N NAME OF YOUR RECIPE | paste it — FAMILY|  Author &gt; YOU</v>
      </c>
      <c r="Z50" s="40">
        <f>Z54</f>
        <v>0.6</v>
      </c>
      <c r="AA50" s="40" t="str">
        <f>AA54</f>
        <v>kg</v>
      </c>
      <c r="AB50" s="5386" t="str">
        <f>AB54</f>
        <v>Master recipe ► Guinea fowl ballotine</v>
      </c>
      <c r="AC50" s="351"/>
      <c r="AD50" s="350" t="s">
        <v>8395</v>
      </c>
      <c r="AE50" s="349"/>
      <c r="AF50" s="348" t="s">
        <v>8387</v>
      </c>
      <c r="AG50" s="347" t="s">
        <v>898</v>
      </c>
      <c r="AH50" s="141"/>
      <c r="AI50" s="347"/>
      <c r="AJ50" s="347"/>
      <c r="AK50" s="347"/>
      <c r="AL50" s="347"/>
      <c r="AM50" s="5235"/>
      <c r="AN50" s="141"/>
      <c r="AO50" s="141"/>
      <c r="AP50" s="409"/>
      <c r="AT50" s="1018" t="s">
        <v>21</v>
      </c>
      <c r="AU50" s="41" t="str">
        <f>AU54</f>
        <v>N NOMBRE DE SU RECETA | pegue esto — FAMILIA| Autor &gt; USTED</v>
      </c>
      <c r="AV50" s="40">
        <f>AV54</f>
        <v>0.6</v>
      </c>
      <c r="AW50" s="40" t="str">
        <f>AW54</f>
        <v>kg</v>
      </c>
      <c r="AX50" s="5386" t="str">
        <f>AX54</f>
        <v>Receta madre ► Ballotina de pintada</v>
      </c>
      <c r="AY50" s="351"/>
      <c r="AZ50" s="350" t="s">
        <v>8430</v>
      </c>
      <c r="BA50" s="349"/>
      <c r="BB50" s="348" t="s">
        <v>8403</v>
      </c>
      <c r="BC50" s="347" t="s">
        <v>8404</v>
      </c>
      <c r="BD50" s="141"/>
      <c r="BE50" s="347"/>
      <c r="BF50" s="347"/>
      <c r="BG50" s="347"/>
      <c r="BH50" s="347"/>
      <c r="BI50" s="5235"/>
      <c r="BJ50" s="141"/>
      <c r="BK50" s="141"/>
      <c r="BL50" s="409"/>
      <c r="BP50" s="6404"/>
      <c r="BQ50" s="5783"/>
      <c r="BR50" s="5783"/>
      <c r="BS50" s="5783"/>
      <c r="BT50" s="5783"/>
      <c r="BU50" s="5783"/>
      <c r="BV50" s="6403"/>
      <c r="BX50" s="6404"/>
      <c r="BY50" s="5783"/>
      <c r="BZ50" s="5783"/>
      <c r="CA50" s="5783"/>
      <c r="CB50" s="5783"/>
      <c r="CC50" s="5783"/>
      <c r="CD50" s="6403"/>
      <c r="CF50" s="6404"/>
      <c r="CG50" s="5783"/>
      <c r="CH50" s="5783"/>
      <c r="CI50" s="5783"/>
      <c r="CJ50" s="5783"/>
      <c r="CK50" s="5783"/>
      <c r="CL50" s="6403"/>
      <c r="CN50" s="5">
        <v>1</v>
      </c>
    </row>
    <row r="51" spans="2:92" ht="21" customHeight="1">
      <c r="B51" s="1018" t="s">
        <v>21</v>
      </c>
      <c r="C51" s="41" t="str">
        <f>C54</f>
        <v>N NOM DE VOTRE RECETTE | collez la--FAMILLE| Auteur &gt; VOUS</v>
      </c>
      <c r="D51" s="40">
        <f>D54</f>
        <v>4</v>
      </c>
      <c r="E51" s="40" t="str">
        <f>E54</f>
        <v>couverts</v>
      </c>
      <c r="F51" s="5386" t="str">
        <f>F54</f>
        <v>Recette mère ► Ballotine de pintade</v>
      </c>
      <c r="G51" s="333" t="s">
        <v>228</v>
      </c>
      <c r="H51" s="341"/>
      <c r="I51" s="341"/>
      <c r="J51" s="340" t="s">
        <v>227</v>
      </c>
      <c r="K51" s="6901" t="str">
        <f>L54&amp;" "&amp;M54&amp;" ► Famille = "&amp;R48&amp;" ► "&amp;J48&amp;" "&amp;Q51&amp;" "&amp;R51&amp;" "&amp;S51&amp;" "&amp;T51</f>
        <v>Recette mère ► Ballotine de pintade ► Famille = collez la--FAMILLE ► NOM DE VOTRE RECETTE  ⓫  Dupliquée pour 20 couverts</v>
      </c>
      <c r="L51" s="6901"/>
      <c r="M51" s="6901"/>
      <c r="N51" s="6225"/>
      <c r="O51" s="6225"/>
      <c r="P51" s="6225"/>
      <c r="Q51" s="5235"/>
      <c r="R51" s="5236" t="s">
        <v>8008</v>
      </c>
      <c r="S51" s="5237">
        <v>20</v>
      </c>
      <c r="T51" s="344" t="str">
        <f>T53</f>
        <v>couverts</v>
      </c>
      <c r="X51" s="1018" t="s">
        <v>21</v>
      </c>
      <c r="Y51" s="41" t="str">
        <f>Y54</f>
        <v>N NAME OF YOUR RECIPE | paste it — FAMILY|  Author &gt; YOU</v>
      </c>
      <c r="Z51" s="40">
        <f>Z54</f>
        <v>0.6</v>
      </c>
      <c r="AA51" s="40" t="str">
        <f>AA54</f>
        <v>kg</v>
      </c>
      <c r="AB51" s="5386" t="str">
        <f>AB54</f>
        <v>Master recipe ► Guinea fowl ballotine</v>
      </c>
      <c r="AC51" s="333" t="s">
        <v>8376</v>
      </c>
      <c r="AD51" s="341"/>
      <c r="AE51" s="341"/>
      <c r="AF51" s="340" t="s">
        <v>227</v>
      </c>
      <c r="AG51" s="6901" t="str">
        <f>AH54&amp;" "&amp;AI54&amp;" ► family = "&amp;AN48&amp;" ► "&amp;AF48&amp;" "&amp;AM51&amp;" "&amp;AN51&amp;" "&amp;AO51&amp;" "&amp;AP51</f>
        <v>Master recipe ► Guinea fowl ballotine ► family = paste it — FAMILY ► NAME OF YOUR RECIPE  ⓫ Duplicated for 20 kg of guinea</v>
      </c>
      <c r="AH51" s="6901"/>
      <c r="AI51" s="6901"/>
      <c r="AJ51" s="6225"/>
      <c r="AK51" s="6225"/>
      <c r="AL51" s="6225"/>
      <c r="AM51" s="5235"/>
      <c r="AN51" s="5236" t="s">
        <v>888</v>
      </c>
      <c r="AO51" s="5237">
        <v>20</v>
      </c>
      <c r="AP51" s="5620" t="str">
        <f>AP53</f>
        <v>kg of guinea</v>
      </c>
      <c r="AT51" s="1018" t="s">
        <v>21</v>
      </c>
      <c r="AU51" s="41" t="str">
        <f>AU54</f>
        <v>N NOMBRE DE SU RECETA | pegue esto — FAMILIA| Autor &gt; USTED</v>
      </c>
      <c r="AV51" s="40">
        <f>AV54</f>
        <v>0.6</v>
      </c>
      <c r="AW51" s="40" t="str">
        <f>AW54</f>
        <v>kg</v>
      </c>
      <c r="AX51" s="5386" t="str">
        <f>AX54</f>
        <v>Receta madre ► Ballotina de pintada</v>
      </c>
      <c r="AY51" s="333" t="s">
        <v>8405</v>
      </c>
      <c r="AZ51" s="341"/>
      <c r="BA51" s="341"/>
      <c r="BB51" s="340" t="s">
        <v>8407</v>
      </c>
      <c r="BC51" s="6901" t="str">
        <f>BD54&amp;" "&amp;BE54&amp;" ► familia = "&amp;BJ48&amp;" ► "&amp;BB48&amp;" "&amp;BI51&amp;" "&amp;BJ51&amp;" "&amp;BK51&amp;" "&amp;BL51</f>
        <v>Receta madre ► Ballotina de pintada ► familia = pegue esto — FAMILIA ► NOMBRE DE SU RECETA  ⓫ Duplicada para 20 kg magra de pintada</v>
      </c>
      <c r="BD51" s="6901"/>
      <c r="BE51" s="6901"/>
      <c r="BF51" s="6225"/>
      <c r="BG51" s="6225"/>
      <c r="BH51" s="6225"/>
      <c r="BI51" s="5235"/>
      <c r="BJ51" s="5236" t="s">
        <v>8408</v>
      </c>
      <c r="BK51" s="5237">
        <v>20</v>
      </c>
      <c r="BL51" s="5406" t="str">
        <f>BL53</f>
        <v>kg magra de pintada</v>
      </c>
      <c r="BP51" s="6404"/>
      <c r="BQ51" s="5783"/>
      <c r="BR51" s="5783"/>
      <c r="BS51" s="5783"/>
      <c r="BT51" s="5783"/>
      <c r="BU51" s="5783"/>
      <c r="BV51" s="6403"/>
      <c r="BX51" s="6404"/>
      <c r="BY51" s="5783"/>
      <c r="BZ51" s="5783"/>
      <c r="CA51" s="5783"/>
      <c r="CB51" s="5783"/>
      <c r="CC51" s="5783"/>
      <c r="CD51" s="6403"/>
      <c r="CF51" s="6404"/>
      <c r="CG51" s="5783"/>
      <c r="CH51" s="5783"/>
      <c r="CI51" s="5783"/>
      <c r="CJ51" s="5783"/>
      <c r="CK51" s="5783"/>
      <c r="CL51" s="6403"/>
      <c r="CN51" s="5">
        <v>1</v>
      </c>
    </row>
    <row r="52" spans="2:92" ht="21" customHeight="1">
      <c r="B52" s="1018" t="s">
        <v>21</v>
      </c>
      <c r="C52" s="41" t="str">
        <f>C54</f>
        <v>N NOM DE VOTRE RECETTE | collez la--FAMILLE| Auteur &gt; VOUS</v>
      </c>
      <c r="D52" s="40">
        <f>D54</f>
        <v>4</v>
      </c>
      <c r="E52" s="40" t="str">
        <f>E54</f>
        <v>couverts</v>
      </c>
      <c r="F52" s="5386" t="str">
        <f>F54</f>
        <v>Recette mère ► Ballotine de pintade</v>
      </c>
      <c r="G52" s="5238">
        <v>4</v>
      </c>
      <c r="H52" s="5832" t="s">
        <v>73</v>
      </c>
      <c r="I52" s="333"/>
      <c r="J52" s="333"/>
      <c r="K52" s="6901"/>
      <c r="L52" s="6901"/>
      <c r="M52" s="6901"/>
      <c r="N52" s="6225"/>
      <c r="O52" s="6225"/>
      <c r="P52" s="6225"/>
      <c r="Q52" s="5239"/>
      <c r="R52" s="141"/>
      <c r="S52" s="5392" t="s">
        <v>8354</v>
      </c>
      <c r="T52" s="5391" t="s">
        <v>8353</v>
      </c>
      <c r="X52" s="1018" t="s">
        <v>21</v>
      </c>
      <c r="Y52" s="41" t="str">
        <f>Y54</f>
        <v>N NAME OF YOUR RECIPE | paste it — FAMILY|  Author &gt; YOU</v>
      </c>
      <c r="Z52" s="40">
        <f>Z54</f>
        <v>0.6</v>
      </c>
      <c r="AA52" s="40" t="str">
        <f>AA54</f>
        <v>kg</v>
      </c>
      <c r="AB52" s="5386" t="str">
        <f>AB54</f>
        <v>Master recipe ► Guinea fowl ballotine</v>
      </c>
      <c r="AC52" s="5238">
        <v>0.6</v>
      </c>
      <c r="AD52" s="5455" t="s">
        <v>219</v>
      </c>
      <c r="AE52" s="333"/>
      <c r="AF52" s="333"/>
      <c r="AG52" s="6901"/>
      <c r="AH52" s="6901"/>
      <c r="AI52" s="6901"/>
      <c r="AJ52" s="6225"/>
      <c r="AK52" s="6225"/>
      <c r="AL52" s="6225"/>
      <c r="AM52" s="5239"/>
      <c r="AN52" s="141"/>
      <c r="AO52" s="5392" t="s">
        <v>8378</v>
      </c>
      <c r="AP52" s="5391" t="s">
        <v>8390</v>
      </c>
      <c r="AT52" s="1018" t="s">
        <v>21</v>
      </c>
      <c r="AU52" s="41" t="str">
        <f>AU54</f>
        <v>N NOMBRE DE SU RECETA | pegue esto — FAMILIA| Autor &gt; USTED</v>
      </c>
      <c r="AV52" s="40">
        <f>AV54</f>
        <v>0.6</v>
      </c>
      <c r="AW52" s="40" t="str">
        <f>AW54</f>
        <v>kg</v>
      </c>
      <c r="AX52" s="5386" t="str">
        <f>AX54</f>
        <v>Receta madre ► Ballotina de pintada</v>
      </c>
      <c r="AY52" s="6734">
        <v>0.6</v>
      </c>
      <c r="AZ52" s="5455" t="s">
        <v>219</v>
      </c>
      <c r="BA52" s="333"/>
      <c r="BB52" s="333"/>
      <c r="BC52" s="6901"/>
      <c r="BD52" s="6901"/>
      <c r="BE52" s="6901"/>
      <c r="BF52" s="6225"/>
      <c r="BG52" s="6225"/>
      <c r="BH52" s="6225"/>
      <c r="BI52" s="5239"/>
      <c r="BJ52" s="141"/>
      <c r="BK52" s="5392" t="s">
        <v>8409</v>
      </c>
      <c r="BL52" s="5391" t="s">
        <v>8410</v>
      </c>
      <c r="BP52" s="6404"/>
      <c r="BQ52" s="5783"/>
      <c r="BR52" s="5783"/>
      <c r="BS52" s="5783"/>
      <c r="BT52" s="5783"/>
      <c r="BU52" s="5783"/>
      <c r="BV52" s="6403"/>
      <c r="BX52" s="6404"/>
      <c r="BY52" s="5783"/>
      <c r="BZ52" s="5783"/>
      <c r="CA52" s="5783"/>
      <c r="CB52" s="5783"/>
      <c r="CC52" s="5783"/>
      <c r="CD52" s="6403"/>
      <c r="CF52" s="6404"/>
      <c r="CG52" s="5783"/>
      <c r="CH52" s="5783"/>
      <c r="CI52" s="5783"/>
      <c r="CJ52" s="5783"/>
      <c r="CK52" s="5783"/>
      <c r="CL52" s="6403"/>
      <c r="CN52" s="5">
        <v>1</v>
      </c>
    </row>
    <row r="53" spans="2:92" ht="21" customHeight="1">
      <c r="B53" s="1018" t="s">
        <v>26</v>
      </c>
      <c r="C53" s="41" t="str">
        <f>C54</f>
        <v>N NOM DE VOTRE RECETTE | collez la--FAMILLE| Auteur &gt; VOUS</v>
      </c>
      <c r="D53" s="40">
        <f>D54</f>
        <v>4</v>
      </c>
      <c r="E53" s="40" t="str">
        <f>E54</f>
        <v>couverts</v>
      </c>
      <c r="F53" s="5386" t="str">
        <f>F54</f>
        <v>Recette mère ► Ballotine de pintade</v>
      </c>
      <c r="G53" s="5397"/>
      <c r="H53" s="6831" t="s">
        <v>10699</v>
      </c>
      <c r="I53" s="6902">
        <f>Q72</f>
        <v>0.60000000000000009</v>
      </c>
      <c r="J53" s="6902"/>
      <c r="K53" s="6832" t="str" cm="1">
        <f t="array" ref="K53">"1= "&amp;IF(OR(G52&lt;=0,I53=""),"",_xlfn.LET(_xlpm.kg,IF(ISNUMBER(I53),I53,VALEUR(SUBSTITUTE(SUBSTITUTE(SUBSTITUTE(LOWER(I53),"kg",""),",",".")," ",""))),TEXT(ROUND(_xlpm.kg*1000/G52,2),"0.##")&amp;" g"))</f>
        <v>1= 150. g</v>
      </c>
      <c r="L53" s="6833">
        <f>IFERROR(S51/G52,0)</f>
        <v>5</v>
      </c>
      <c r="M53" s="6203"/>
      <c r="N53" s="6203"/>
      <c r="O53" s="6203"/>
      <c r="P53" s="6203"/>
      <c r="Q53"/>
      <c r="R53" s="5241" t="s">
        <v>944</v>
      </c>
      <c r="S53" s="6811">
        <v>4</v>
      </c>
      <c r="T53" s="5242" t="s">
        <v>73</v>
      </c>
      <c r="X53" s="1018" t="s">
        <v>26</v>
      </c>
      <c r="Y53" s="41" t="str">
        <f>Y54</f>
        <v>N NAME OF YOUR RECIPE | paste it — FAMILY|  Author &gt; YOU</v>
      </c>
      <c r="Z53" s="40">
        <f>Z54</f>
        <v>0.6</v>
      </c>
      <c r="AA53" s="40" t="str">
        <f>AA54</f>
        <v>kg</v>
      </c>
      <c r="AB53" s="5386" t="str">
        <f>AB54</f>
        <v>Master recipe ► Guinea fowl ballotine</v>
      </c>
      <c r="AC53" s="5397"/>
      <c r="AD53" s="6831" t="s">
        <v>11012</v>
      </c>
      <c r="AE53" s="6902">
        <f>AM72</f>
        <v>0.60000000000000009</v>
      </c>
      <c r="AF53" s="6902"/>
      <c r="AG53" s="6832" t="str" cm="1">
        <f t="array" ref="AG53">"1= "&amp;IF(OR(AC52&lt;=0,AE53=""),"",_xlfn.LET(_xlpm.kg,IF(ISNUMBER(AE53),AE53,VALEUR(SUBSTITUTE(SUBSTITUTE(SUBSTITUTE(LOWER(AE53),"kg",""),",",".")," ",""))),TEXT(ROUND(_xlpm.kg*1000/AC52,2),"0.##")&amp;" g"))</f>
        <v>1= 1000. g</v>
      </c>
      <c r="AH53" s="6833">
        <f>IFERROR(AO51/AC52,0)</f>
        <v>33.333333333333336</v>
      </c>
      <c r="AI53" s="6203"/>
      <c r="AJ53" s="6203"/>
      <c r="AK53" s="6203"/>
      <c r="AL53" s="6203"/>
      <c r="AN53" s="5241" t="s">
        <v>941</v>
      </c>
      <c r="AO53" s="5376">
        <v>0.4</v>
      </c>
      <c r="AP53" s="5242" t="s">
        <v>9686</v>
      </c>
      <c r="AT53" s="1018" t="s">
        <v>26</v>
      </c>
      <c r="AU53" s="41" t="str">
        <f>AU54</f>
        <v>N NOMBRE DE SU RECETA | pegue esto — FAMILIA| Autor &gt; USTED</v>
      </c>
      <c r="AV53" s="40">
        <f>AV54</f>
        <v>0.6</v>
      </c>
      <c r="AW53" s="40" t="str">
        <f>AW54</f>
        <v>kg</v>
      </c>
      <c r="AX53" s="5386" t="str">
        <f>AX54</f>
        <v>Receta madre ► Ballotina de pintada</v>
      </c>
      <c r="AY53" s="5397"/>
      <c r="AZ53" s="6831" t="s">
        <v>11013</v>
      </c>
      <c r="BA53" s="6902">
        <f>BI72</f>
        <v>0.60000000000000009</v>
      </c>
      <c r="BB53" s="6902"/>
      <c r="BC53" s="6832" t="str" cm="1">
        <f t="array" ref="BC53">"1= "&amp;IF(OR(AY52&lt;=0,BA53=""),"",_xlfn.LET(_xlpm.kg,IF(ISNUMBER(BA53),BA53,VALEUR(SUBSTITUTE(SUBSTITUTE(SUBSTITUTE(LOWER(BA53),"kg",""),",",".")," ",""))),TEXT(ROUND(_xlpm.kg*1000/AY52,2),"0.##")&amp;" g"))</f>
        <v>1= 1000. g</v>
      </c>
      <c r="BD53" s="6833">
        <f>IFERROR(BK51/AY52,0)</f>
        <v>33.333333333333336</v>
      </c>
      <c r="BE53" s="6203"/>
      <c r="BF53" s="6203"/>
      <c r="BG53" s="6203"/>
      <c r="BH53" s="6203"/>
      <c r="BJ53" s="5241" t="s">
        <v>7913</v>
      </c>
      <c r="BK53" s="5376">
        <v>0.4</v>
      </c>
      <c r="BL53" s="5407" t="s">
        <v>9694</v>
      </c>
      <c r="BP53" s="6409"/>
      <c r="BQ53" s="6488" t="s">
        <v>9183</v>
      </c>
      <c r="BR53" s="5783"/>
      <c r="BS53" s="5783"/>
      <c r="BT53" s="5783"/>
      <c r="BU53" s="5783"/>
      <c r="BV53" s="6403"/>
      <c r="BX53" s="6409"/>
      <c r="BY53" s="6488" t="s">
        <v>9237</v>
      </c>
      <c r="BZ53" s="5783"/>
      <c r="CA53" s="5783"/>
      <c r="CB53" s="5783"/>
      <c r="CC53" s="5783"/>
      <c r="CD53" s="6403"/>
      <c r="CF53" s="6409"/>
      <c r="CG53" s="6488" t="s">
        <v>9379</v>
      </c>
      <c r="CH53" s="5783"/>
      <c r="CI53" s="5783"/>
      <c r="CJ53" s="5783"/>
      <c r="CK53" s="5783"/>
      <c r="CL53" s="6403"/>
      <c r="CN53" s="5">
        <v>1</v>
      </c>
    </row>
    <row r="54" spans="2:92" ht="21" customHeight="1">
      <c r="B54" s="5243" t="s">
        <v>26</v>
      </c>
      <c r="C54" s="5379" t="str">
        <f>G54</f>
        <v>N NOM DE VOTRE RECETTE | collez la--FAMILLE| Auteur &gt; VOUS</v>
      </c>
      <c r="D54" s="5380">
        <f>G52</f>
        <v>4</v>
      </c>
      <c r="E54" s="5379" t="str">
        <f>H52</f>
        <v>couverts</v>
      </c>
      <c r="F54" s="5381" t="str">
        <f>L54&amp;" "&amp;M54</f>
        <v>Recette mère ► Ballotine de pintade</v>
      </c>
      <c r="G54" s="5484" t="str">
        <f>UPPER(LEFT(J48,1))&amp;" "&amp;J48&amp;" | "&amp;R48&amp;"| "&amp;J50&amp;" "&amp;K50</f>
        <v>N NOM DE VOTRE RECETTE | collez la--FAMILLE| Auteur &gt; VOUS</v>
      </c>
      <c r="H54" s="5485" t="s">
        <v>223</v>
      </c>
      <c r="I54" s="6903" t="s">
        <v>222</v>
      </c>
      <c r="J54" s="6903"/>
      <c r="K54" s="6903"/>
      <c r="L54" s="5119" t="str">
        <f>IF(ISTEXT(M54),"Recette mère ►",H54)</f>
        <v>Recette mère ►</v>
      </c>
      <c r="M54" s="6267" t="s">
        <v>8356</v>
      </c>
      <c r="N54" s="6267"/>
      <c r="O54" s="6267"/>
      <c r="P54" s="6267"/>
      <c r="Q54" s="6268"/>
      <c r="R54" s="6268"/>
      <c r="S54" s="6268"/>
      <c r="T54" s="6736" t="s">
        <v>8379</v>
      </c>
      <c r="X54" s="5243" t="s">
        <v>26</v>
      </c>
      <c r="Y54" s="5379" t="str">
        <f>AC54</f>
        <v>N NAME OF YOUR RECIPE | paste it — FAMILY|  Author &gt; YOU</v>
      </c>
      <c r="Z54" s="5380">
        <f>AC52</f>
        <v>0.6</v>
      </c>
      <c r="AA54" s="5379" t="str">
        <f>AD52</f>
        <v>kg</v>
      </c>
      <c r="AB54" s="5381" t="str">
        <f>AH54&amp;" "&amp;AI54</f>
        <v>Master recipe ► Guinea fowl ballotine</v>
      </c>
      <c r="AC54" s="5484" t="str">
        <f>UPPER(LEFT(AF48,1))&amp;" "&amp;AF48&amp;" | "&amp;AN48&amp;"| "&amp;AF50&amp;" "&amp;AG50</f>
        <v>N NAME OF YOUR RECIPE | paste it — FAMILY|  Author &gt; YOU</v>
      </c>
      <c r="AD54" s="5485" t="s">
        <v>8391</v>
      </c>
      <c r="AE54" s="6903" t="s">
        <v>903</v>
      </c>
      <c r="AF54" s="6903"/>
      <c r="AG54" s="6903"/>
      <c r="AH54" s="5119" t="str">
        <f>IF(ISTEXT(AI54),"Master recipe ►",AD54)</f>
        <v>Master recipe ►</v>
      </c>
      <c r="AI54" s="6267" t="s">
        <v>8380</v>
      </c>
      <c r="AJ54" s="6267"/>
      <c r="AK54" s="6267"/>
      <c r="AL54" s="6267"/>
      <c r="AM54" s="6268"/>
      <c r="AN54" s="6268"/>
      <c r="AO54" s="6268"/>
      <c r="AP54" s="6736" t="s">
        <v>8379</v>
      </c>
      <c r="AT54" s="5243" t="s">
        <v>26</v>
      </c>
      <c r="AU54" s="5379" t="str">
        <f>AY54</f>
        <v>N NOMBRE DE SU RECETA | pegue esto — FAMILIA| Autor &gt; USTED</v>
      </c>
      <c r="AV54" s="5380">
        <f>AY52</f>
        <v>0.6</v>
      </c>
      <c r="AW54" s="5379" t="str">
        <f>AZ52</f>
        <v>kg</v>
      </c>
      <c r="AX54" s="5381" t="str">
        <f>BD54&amp;" "&amp;BE54</f>
        <v>Receta madre ► Ballotina de pintada</v>
      </c>
      <c r="AY54" s="5484" t="str">
        <f>UPPER(LEFT(BB48,1))&amp;" "&amp;BB48&amp;" | "&amp;BJ48&amp;"| "&amp;BB50&amp;" "&amp;BC50</f>
        <v>N NOMBRE DE SU RECETA | pegue esto — FAMILIA| Autor &gt; USTED</v>
      </c>
      <c r="AZ54" s="5485" t="s">
        <v>8412</v>
      </c>
      <c r="BA54" s="6903" t="s">
        <v>8411</v>
      </c>
      <c r="BB54" s="6903"/>
      <c r="BC54" s="6903"/>
      <c r="BD54" s="5119" t="s">
        <v>9587</v>
      </c>
      <c r="BE54" s="6267" t="s">
        <v>8413</v>
      </c>
      <c r="BF54" s="6267"/>
      <c r="BG54" s="6267"/>
      <c r="BH54" s="6368"/>
      <c r="BI54" s="6268"/>
      <c r="BJ54" s="6268"/>
      <c r="BK54" s="6268"/>
      <c r="BL54" s="6736" t="s">
        <v>8379</v>
      </c>
      <c r="BP54" s="6409"/>
      <c r="BQ54" s="6488" t="s">
        <v>9184</v>
      </c>
      <c r="BR54" s="5783"/>
      <c r="BS54" s="5783"/>
      <c r="BT54" s="5783"/>
      <c r="BU54" s="5783"/>
      <c r="BV54" s="6403"/>
      <c r="BX54" s="6409"/>
      <c r="BY54" s="6488" t="s">
        <v>9238</v>
      </c>
      <c r="BZ54" s="5783"/>
      <c r="CA54" s="5783"/>
      <c r="CB54" s="5783"/>
      <c r="CC54" s="5783"/>
      <c r="CD54" s="6403"/>
      <c r="CF54" s="6409"/>
      <c r="CG54" s="6488" t="s">
        <v>9380</v>
      </c>
      <c r="CH54" s="5783"/>
      <c r="CI54" s="5783"/>
      <c r="CJ54" s="5783"/>
      <c r="CK54" s="5783"/>
      <c r="CL54" s="6403"/>
      <c r="CN54" s="5">
        <v>1</v>
      </c>
    </row>
    <row r="55" spans="2:92" ht="21" customHeight="1">
      <c r="B55" s="1017" t="s">
        <v>26</v>
      </c>
      <c r="C55" s="5382" t="str">
        <f>C54</f>
        <v>N NOM DE VOTRE RECETTE | collez la--FAMILLE| Auteur &gt; VOUS</v>
      </c>
      <c r="D55" s="5382">
        <f>D54</f>
        <v>4</v>
      </c>
      <c r="E55" s="5382" t="str">
        <f>E54</f>
        <v>couverts</v>
      </c>
      <c r="F55" s="5383" t="str">
        <f>F54</f>
        <v>Recette mère ► Ballotine de pintade</v>
      </c>
      <c r="G55" s="310" t="s">
        <v>217</v>
      </c>
      <c r="H55" s="310" t="s">
        <v>216</v>
      </c>
      <c r="I55" s="310" t="s">
        <v>215</v>
      </c>
      <c r="J55" s="310" t="s">
        <v>214</v>
      </c>
      <c r="K55" s="309" t="s">
        <v>83</v>
      </c>
      <c r="L55" s="6265" t="s">
        <v>213</v>
      </c>
      <c r="M55" s="6266" t="s">
        <v>212</v>
      </c>
      <c r="N55" s="6266" t="s">
        <v>211</v>
      </c>
      <c r="O55" s="6266" t="s">
        <v>210</v>
      </c>
      <c r="P55" s="6266" t="s">
        <v>7928</v>
      </c>
      <c r="Q55" s="6266" t="s">
        <v>208</v>
      </c>
      <c r="R55" s="6266" t="s">
        <v>207</v>
      </c>
      <c r="S55" s="6266" t="s">
        <v>206</v>
      </c>
      <c r="T55" s="6270" t="s">
        <v>205</v>
      </c>
      <c r="X55" s="1017" t="s">
        <v>26</v>
      </c>
      <c r="Y55" s="5382" t="str">
        <f>Y54</f>
        <v>N NAME OF YOUR RECIPE | paste it — FAMILY|  Author &gt; YOU</v>
      </c>
      <c r="Z55" s="5382">
        <f>Z54</f>
        <v>0.6</v>
      </c>
      <c r="AA55" s="5382" t="str">
        <f>AA54</f>
        <v>kg</v>
      </c>
      <c r="AB55" s="5383" t="str">
        <f>AB54</f>
        <v>Master recipe ► Guinea fowl ballotine</v>
      </c>
      <c r="AC55" s="310" t="s">
        <v>217</v>
      </c>
      <c r="AD55" s="310" t="s">
        <v>216</v>
      </c>
      <c r="AE55" s="310" t="s">
        <v>215</v>
      </c>
      <c r="AF55" s="310" t="s">
        <v>214</v>
      </c>
      <c r="AG55" s="309" t="s">
        <v>83</v>
      </c>
      <c r="AH55" s="6265" t="s">
        <v>213</v>
      </c>
      <c r="AI55" s="6266" t="s">
        <v>212</v>
      </c>
      <c r="AJ55" s="6266" t="s">
        <v>211</v>
      </c>
      <c r="AK55" s="6266" t="s">
        <v>210</v>
      </c>
      <c r="AL55" s="6266" t="s">
        <v>7928</v>
      </c>
      <c r="AM55" s="6266" t="s">
        <v>208</v>
      </c>
      <c r="AN55" s="6266" t="s">
        <v>207</v>
      </c>
      <c r="AO55" s="6266" t="s">
        <v>206</v>
      </c>
      <c r="AP55" s="6270" t="s">
        <v>205</v>
      </c>
      <c r="AT55" s="1017" t="s">
        <v>26</v>
      </c>
      <c r="AU55" s="5382" t="str">
        <f>AU54</f>
        <v>N NOMBRE DE SU RECETA | pegue esto — FAMILIA| Autor &gt; USTED</v>
      </c>
      <c r="AV55" s="5382">
        <f>AV54</f>
        <v>0.6</v>
      </c>
      <c r="AW55" s="5382" t="str">
        <f>AW54</f>
        <v>kg</v>
      </c>
      <c r="AX55" s="5383" t="str">
        <f>AX54</f>
        <v>Receta madre ► Ballotina de pintada</v>
      </c>
      <c r="AY55" s="310" t="s">
        <v>217</v>
      </c>
      <c r="AZ55" s="310" t="s">
        <v>216</v>
      </c>
      <c r="BA55" s="310" t="s">
        <v>215</v>
      </c>
      <c r="BB55" s="310" t="s">
        <v>214</v>
      </c>
      <c r="BC55" s="309" t="s">
        <v>83</v>
      </c>
      <c r="BD55" s="6265" t="s">
        <v>213</v>
      </c>
      <c r="BE55" s="6266" t="s">
        <v>212</v>
      </c>
      <c r="BF55" s="6266" t="s">
        <v>211</v>
      </c>
      <c r="BG55" s="6266" t="s">
        <v>210</v>
      </c>
      <c r="BH55" s="6266" t="s">
        <v>7928</v>
      </c>
      <c r="BI55" s="6266" t="s">
        <v>208</v>
      </c>
      <c r="BJ55" s="6266" t="s">
        <v>207</v>
      </c>
      <c r="BK55" s="6266" t="s">
        <v>206</v>
      </c>
      <c r="BL55" s="6270" t="s">
        <v>205</v>
      </c>
      <c r="BP55" s="6410"/>
      <c r="BQ55" s="958" t="s">
        <v>924</v>
      </c>
      <c r="BR55" s="5783"/>
      <c r="BS55" s="5783"/>
      <c r="BT55" s="5783"/>
      <c r="BU55" s="5783"/>
      <c r="BV55" s="6403"/>
      <c r="BX55" s="6410"/>
      <c r="BY55" s="958" t="s">
        <v>9239</v>
      </c>
      <c r="BZ55" s="5783"/>
      <c r="CA55" s="5783"/>
      <c r="CB55" s="5783"/>
      <c r="CC55" s="5783"/>
      <c r="CD55" s="6403"/>
      <c r="CF55" s="6410"/>
      <c r="CG55" s="958" t="s">
        <v>9527</v>
      </c>
      <c r="CH55" s="5783"/>
      <c r="CI55" s="5783"/>
      <c r="CJ55" s="5783"/>
      <c r="CK55" s="5783"/>
      <c r="CL55" s="6403"/>
      <c r="CN55" s="5">
        <v>1</v>
      </c>
    </row>
    <row r="56" spans="2:92" ht="21" customHeight="1">
      <c r="B56" s="1018" t="s">
        <v>21</v>
      </c>
      <c r="C56" s="41" t="str">
        <f>C54</f>
        <v>N NOM DE VOTRE RECETTE | collez la--FAMILLE| Auteur &gt; VOUS</v>
      </c>
      <c r="D56" s="40">
        <f>D54</f>
        <v>4</v>
      </c>
      <c r="E56" s="41" t="str">
        <f>E54</f>
        <v>couverts</v>
      </c>
      <c r="F56" s="5386" t="str">
        <f>F54</f>
        <v>Recette mère ► Ballotine de pintade</v>
      </c>
      <c r="G56" s="5247" t="s">
        <v>198</v>
      </c>
      <c r="H56" s="298" t="s">
        <v>197</v>
      </c>
      <c r="I56" s="297"/>
      <c r="J56" s="6986" t="s">
        <v>196</v>
      </c>
      <c r="K56" s="6987" t="s">
        <v>195</v>
      </c>
      <c r="L56" s="6988" t="s">
        <v>82</v>
      </c>
      <c r="M56" s="5248" t="s">
        <v>194</v>
      </c>
      <c r="N56" s="6869" t="s">
        <v>11041</v>
      </c>
      <c r="O56" s="6256" t="s">
        <v>783</v>
      </c>
      <c r="P56" s="6257" t="s">
        <v>191</v>
      </c>
      <c r="Q56" s="6989" t="s">
        <v>929</v>
      </c>
      <c r="R56" s="6991" t="s">
        <v>191</v>
      </c>
      <c r="S56" s="6967" t="s">
        <v>8009</v>
      </c>
      <c r="T56" s="6968" t="s">
        <v>8010</v>
      </c>
      <c r="V56" s="6873" t="s">
        <v>11041</v>
      </c>
      <c r="X56" s="1018" t="s">
        <v>21</v>
      </c>
      <c r="Y56" s="41" t="str">
        <f>Y54</f>
        <v>N NAME OF YOUR RECIPE | paste it — FAMILY|  Author &gt; YOU</v>
      </c>
      <c r="Z56" s="40">
        <f>Z54</f>
        <v>0.6</v>
      </c>
      <c r="AA56" s="41" t="str">
        <f>AA54</f>
        <v>kg</v>
      </c>
      <c r="AB56" s="5386" t="str">
        <f>AB54</f>
        <v>Master recipe ► Guinea fowl ballotine</v>
      </c>
      <c r="AC56" s="5247" t="s">
        <v>198</v>
      </c>
      <c r="AD56" s="298" t="s">
        <v>197</v>
      </c>
      <c r="AE56" s="297"/>
      <c r="AF56" s="6986" t="s">
        <v>850</v>
      </c>
      <c r="AG56" s="6987" t="s">
        <v>195</v>
      </c>
      <c r="AH56" s="6988" t="s">
        <v>82</v>
      </c>
      <c r="AI56" s="5248" t="s">
        <v>194</v>
      </c>
      <c r="AJ56" s="6869" t="s">
        <v>11041</v>
      </c>
      <c r="AK56" s="6256" t="s">
        <v>8377</v>
      </c>
      <c r="AL56" s="6700" t="s">
        <v>8382</v>
      </c>
      <c r="AM56" s="6989" t="s">
        <v>8381</v>
      </c>
      <c r="AN56" s="6991" t="s">
        <v>8382</v>
      </c>
      <c r="AO56" s="6967" t="s">
        <v>8383</v>
      </c>
      <c r="AP56" s="6968" t="s">
        <v>8384</v>
      </c>
      <c r="AR56" s="6873" t="s">
        <v>11041</v>
      </c>
      <c r="AT56" s="1018" t="s">
        <v>21</v>
      </c>
      <c r="AU56" s="41" t="str">
        <f>AU54</f>
        <v>N NOMBRE DE SU RECETA | pegue esto — FAMILIA| Autor &gt; USTED</v>
      </c>
      <c r="AV56" s="40">
        <f>AV54</f>
        <v>0.6</v>
      </c>
      <c r="AW56" s="41" t="str">
        <f>AW54</f>
        <v>kg</v>
      </c>
      <c r="AX56" s="5386" t="str">
        <f>AX54</f>
        <v>Receta madre ► Ballotina de pintada</v>
      </c>
      <c r="AY56" s="5247" t="s">
        <v>198</v>
      </c>
      <c r="AZ56" s="298" t="s">
        <v>197</v>
      </c>
      <c r="BA56" s="297"/>
      <c r="BB56" s="6986" t="s">
        <v>8416</v>
      </c>
      <c r="BC56" s="6987" t="s">
        <v>195</v>
      </c>
      <c r="BD56" s="6988" t="s">
        <v>8417</v>
      </c>
      <c r="BE56" s="5248" t="s">
        <v>194</v>
      </c>
      <c r="BF56" s="6869" t="s">
        <v>11041</v>
      </c>
      <c r="BG56" s="6256" t="s">
        <v>8406</v>
      </c>
      <c r="BH56" s="6700" t="s">
        <v>8419</v>
      </c>
      <c r="BI56" s="6989" t="s">
        <v>8418</v>
      </c>
      <c r="BJ56" s="6991" t="s">
        <v>8419</v>
      </c>
      <c r="BK56" s="6967" t="s">
        <v>8420</v>
      </c>
      <c r="BL56" s="6968" t="s">
        <v>8421</v>
      </c>
      <c r="BN56" s="6873" t="s">
        <v>11041</v>
      </c>
      <c r="BP56" s="6411"/>
      <c r="BQ56" s="6405" t="s">
        <v>955</v>
      </c>
      <c r="BR56" s="5783"/>
      <c r="BS56" s="5783"/>
      <c r="BT56" s="5783"/>
      <c r="BU56" s="5783"/>
      <c r="BV56" s="6403"/>
      <c r="BX56" s="6411"/>
      <c r="BY56" s="6405" t="s">
        <v>9240</v>
      </c>
      <c r="BZ56" s="5783"/>
      <c r="CA56" s="5783"/>
      <c r="CB56" s="5783"/>
      <c r="CC56" s="5783"/>
      <c r="CD56" s="6403"/>
      <c r="CF56" s="6411"/>
      <c r="CG56" s="6405" t="s">
        <v>9382</v>
      </c>
      <c r="CH56" s="5783"/>
      <c r="CI56" s="5783"/>
      <c r="CJ56" s="5783"/>
      <c r="CK56" s="5783"/>
      <c r="CL56" s="6403"/>
      <c r="CN56" s="5">
        <v>1</v>
      </c>
    </row>
    <row r="57" spans="2:92" ht="21" customHeight="1">
      <c r="B57" s="1018" t="s">
        <v>21</v>
      </c>
      <c r="C57" s="41" t="str">
        <f>C54</f>
        <v>N NOM DE VOTRE RECETTE | collez la--FAMILLE| Auteur &gt; VOUS</v>
      </c>
      <c r="D57" s="40">
        <f>D54</f>
        <v>4</v>
      </c>
      <c r="E57" s="41" t="str">
        <f>E54</f>
        <v>couverts</v>
      </c>
      <c r="F57" s="5386" t="str">
        <f>F54</f>
        <v>Recette mère ► Ballotine de pintade</v>
      </c>
      <c r="G57" s="5249" t="s">
        <v>184</v>
      </c>
      <c r="H57" s="286" t="s">
        <v>162</v>
      </c>
      <c r="I57" s="285" t="s">
        <v>186</v>
      </c>
      <c r="J57" s="6905"/>
      <c r="K57" s="6907"/>
      <c r="L57" s="6909"/>
      <c r="M57" s="5250" t="s">
        <v>185</v>
      </c>
      <c r="N57" s="6870" t="s">
        <v>255</v>
      </c>
      <c r="O57" s="6252" t="s">
        <v>8578</v>
      </c>
      <c r="P57" s="6019">
        <v>1</v>
      </c>
      <c r="Q57" s="6990"/>
      <c r="R57" s="6891"/>
      <c r="S57" s="6893"/>
      <c r="T57" s="6895"/>
      <c r="V57" s="6872" t="s">
        <v>11043</v>
      </c>
      <c r="X57" s="1018" t="s">
        <v>21</v>
      </c>
      <c r="Y57" s="41" t="str">
        <f>Y54</f>
        <v>N NAME OF YOUR RECIPE | paste it — FAMILY|  Author &gt; YOU</v>
      </c>
      <c r="Z57" s="40">
        <f>Z54</f>
        <v>0.6</v>
      </c>
      <c r="AA57" s="41" t="str">
        <f>AA54</f>
        <v>kg</v>
      </c>
      <c r="AB57" s="5386" t="str">
        <f>AB54</f>
        <v>Master recipe ► Guinea fowl ballotine</v>
      </c>
      <c r="AC57" s="5249" t="s">
        <v>851</v>
      </c>
      <c r="AD57" s="286" t="s">
        <v>852</v>
      </c>
      <c r="AE57" s="285" t="s">
        <v>8398</v>
      </c>
      <c r="AF57" s="6905"/>
      <c r="AG57" s="6907"/>
      <c r="AH57" s="6909"/>
      <c r="AI57" s="5250" t="s">
        <v>8396</v>
      </c>
      <c r="AJ57" s="6870" t="s">
        <v>255</v>
      </c>
      <c r="AK57" s="6252" t="s">
        <v>8578</v>
      </c>
      <c r="AL57" s="6019">
        <v>1</v>
      </c>
      <c r="AM57" s="6990"/>
      <c r="AN57" s="6891"/>
      <c r="AO57" s="6893"/>
      <c r="AP57" s="6895"/>
      <c r="AR57" s="6872" t="s">
        <v>11043</v>
      </c>
      <c r="AT57" s="1018" t="s">
        <v>21</v>
      </c>
      <c r="AU57" s="41" t="str">
        <f>AU54</f>
        <v>N NOMBRE DE SU RECETA | pegue esto — FAMILIA| Autor &gt; USTED</v>
      </c>
      <c r="AV57" s="40">
        <f>AV54</f>
        <v>0.6</v>
      </c>
      <c r="AW57" s="41" t="str">
        <f>AW54</f>
        <v>kg</v>
      </c>
      <c r="AX57" s="5386" t="str">
        <f>AX54</f>
        <v>Receta madre ► Ballotina de pintada</v>
      </c>
      <c r="AY57" s="5249" t="s">
        <v>8414</v>
      </c>
      <c r="AZ57" s="286" t="s">
        <v>8415</v>
      </c>
      <c r="BA57" s="285" t="s">
        <v>186</v>
      </c>
      <c r="BB57" s="6905"/>
      <c r="BC57" s="6907"/>
      <c r="BD57" s="6909"/>
      <c r="BE57" s="5250" t="s">
        <v>8427</v>
      </c>
      <c r="BF57" s="6870" t="s">
        <v>255</v>
      </c>
      <c r="BG57" s="6252" t="s">
        <v>8578</v>
      </c>
      <c r="BH57" s="6019">
        <v>1</v>
      </c>
      <c r="BI57" s="6990"/>
      <c r="BJ57" s="6891"/>
      <c r="BK57" s="6893"/>
      <c r="BL57" s="6895"/>
      <c r="BN57" s="6872" t="s">
        <v>11043</v>
      </c>
      <c r="BP57" s="6411"/>
      <c r="BQ57" s="6405" t="s">
        <v>956</v>
      </c>
      <c r="BR57" s="5783"/>
      <c r="BS57" s="5783"/>
      <c r="BT57" s="5783"/>
      <c r="BU57" s="5783"/>
      <c r="BV57" s="6403"/>
      <c r="BX57" s="6411"/>
      <c r="BY57" s="6405" t="s">
        <v>9528</v>
      </c>
      <c r="BZ57" s="5783"/>
      <c r="CA57" s="5783"/>
      <c r="CB57" s="5783"/>
      <c r="CC57" s="5783"/>
      <c r="CD57" s="6403"/>
      <c r="CF57" s="6411"/>
      <c r="CG57" s="6405" t="s">
        <v>9529</v>
      </c>
      <c r="CH57" s="5783"/>
      <c r="CI57" s="5783"/>
      <c r="CJ57" s="5783"/>
      <c r="CK57" s="5783"/>
      <c r="CL57" s="6403"/>
      <c r="CN57" s="5">
        <v>1</v>
      </c>
    </row>
    <row r="58" spans="2:92" ht="21" customHeight="1">
      <c r="B58" s="1018" t="s">
        <v>21</v>
      </c>
      <c r="C58" s="41" t="str">
        <f>C54</f>
        <v>N NOM DE VOTRE RECETTE | collez la--FAMILLE| Auteur &gt; VOUS</v>
      </c>
      <c r="D58" s="40">
        <f>D54</f>
        <v>4</v>
      </c>
      <c r="E58" s="41" t="str">
        <f>E54</f>
        <v>couverts</v>
      </c>
      <c r="F58" s="5386" t="str">
        <f>F54</f>
        <v>Recette mère ► Ballotine de pintade</v>
      </c>
      <c r="G58" s="213"/>
      <c r="H58" s="256"/>
      <c r="I58" s="211" t="str">
        <f t="shared" ref="I58:I71" si="16">IF(OR(ISTEXT(G58), G58&lt;=0, J58&lt;=0), "", "de")</f>
        <v/>
      </c>
      <c r="J58" s="210">
        <v>400</v>
      </c>
      <c r="K58" s="6283" t="s">
        <v>130</v>
      </c>
      <c r="L58" s="5448">
        <v>1</v>
      </c>
      <c r="M58" s="6866" t="s">
        <v>9987</v>
      </c>
      <c r="N58" s="6871"/>
      <c r="O58" s="6253">
        <f>IF(Q72=0,0,(Q58/Q72)*P57*1000)</f>
        <v>666.66666666666663</v>
      </c>
      <c r="P58" s="6254">
        <f>IF(Q72=0, 0, (G58*L58)/(Q72*P57))</f>
        <v>0</v>
      </c>
      <c r="Q58" s="5882">
        <f>IFERROR(_xlfn.LET(_xlpm.v,IFERROR(_xlfn.XLOOKUP(K58,G73:T73,G74:T74),_xlfn.XLOOKUP(K58,G75:T75,G76:T76)),_xlpm.v*J58*IF(ISBLANK(G58),1,G58)),0)</f>
        <v>0.4</v>
      </c>
      <c r="R58" s="5251">
        <f>IF(OR(ISBLANK(S53),S53=0),0,G58*S51*L58/S53)</f>
        <v>0</v>
      </c>
      <c r="S58" s="6051">
        <f>IF(OR(ISBLANK(S53),S53=0),0,Q58*L58*S51/S53)</f>
        <v>2</v>
      </c>
      <c r="T58" s="6459" t="str">
        <f>_xlfn.LET(_xlpm.unite,SUBSTITUTE(TRIM(K58)," (s)",""),_xlpm.val,S58,_xlpm.estVol,COUNTIF(M73:T73,_xlpm.unite)+COUNTIF(M75:T75,_xlpm.unite)&gt;0,_xlpm.estPoids,COUNTIF(G73:L73,_xlpm.unite)+COUNTIF(G75:L75,_xlpm.unite)&gt;0,IF(_xlpm.estVol,IF(ROUND(_xlpm.val,3)&gt;=1,ROUND(_xlpm.val,3)&amp;"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2 Kg</v>
      </c>
      <c r="V58" s="6872" t="s">
        <v>11044</v>
      </c>
      <c r="X58" s="1018" t="s">
        <v>21</v>
      </c>
      <c r="Y58" s="41" t="str">
        <f>Y54</f>
        <v>N NAME OF YOUR RECIPE | paste it — FAMILY|  Author &gt; YOU</v>
      </c>
      <c r="Z58" s="40">
        <f>Z54</f>
        <v>0.6</v>
      </c>
      <c r="AA58" s="41" t="str">
        <f>AA54</f>
        <v>kg</v>
      </c>
      <c r="AB58" s="5386" t="str">
        <f>AB54</f>
        <v>Master recipe ► Guinea fowl ballotine</v>
      </c>
      <c r="AC58" s="213"/>
      <c r="AD58" s="256"/>
      <c r="AE58" s="211" t="str">
        <f t="shared" ref="AE58:AE71" si="17">IF(OR(ISTEXT(AC58), AC58&lt;=0, AF58&lt;=0), "", "de")</f>
        <v/>
      </c>
      <c r="AF58" s="210">
        <v>400</v>
      </c>
      <c r="AG58" s="6283" t="s">
        <v>130</v>
      </c>
      <c r="AH58" s="5448">
        <v>1</v>
      </c>
      <c r="AI58" s="6866" t="s">
        <v>8393</v>
      </c>
      <c r="AJ58" s="6871"/>
      <c r="AK58" s="6253">
        <f>IF(AM72=0,0,(AM58/AM72)*AL57*1000)</f>
        <v>666.66666666666663</v>
      </c>
      <c r="AL58" s="6254">
        <f>IF(AM72=0, 0, (AC58*AH58)/(AM72*AL57))</f>
        <v>0</v>
      </c>
      <c r="AM58" s="5882">
        <f>IFERROR(_xlfn.LET(_xlpm.v,IFERROR(_xlfn.XLOOKUP(AG58,AC73:AP73,AC74:AP74),_xlfn.XLOOKUP(AG58,AC75:AP75,AC76:AP76)),_xlpm.v*AF58*IF(ISBLANK(AC58),1,AC58)),0)</f>
        <v>0.4</v>
      </c>
      <c r="AN58" s="5251">
        <f>IF(OR(ISBLANK(AO53),AO53=0),0,AC58*AO51*AH58/AO53)</f>
        <v>0</v>
      </c>
      <c r="AO58" s="6051">
        <f>IF(OR(ISBLANK(AO53),AO53=0),0,AM58*AH58*AO51/AO53)</f>
        <v>20</v>
      </c>
      <c r="AP58" s="6459" t="str">
        <f>_xlfn.LET(_xlpm.unite,SUBSTITUTE(TRIM(AG58)," (s)",""),_xlpm.val,AO58,_xlpm.estVol,COUNTIF(AI73:AP73,_xlpm.unite)+COUNTIF(AI75:AP75,_xlpm.unite)&gt;0,_xlpm.estPoids,COUNTIF(AC73:AH73,_xlpm.unite)+COUNTIF(AC75:AH75,_xlpm.unite)&gt;0,IF(_xlpm.estVol,IF(ROUND(_xlpm.val,3)&gt;=1,ROUND(_xlpm.val,3)&amp;"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20 Kg</v>
      </c>
      <c r="AR58" s="6872" t="s">
        <v>11044</v>
      </c>
      <c r="AT58" s="1018" t="s">
        <v>21</v>
      </c>
      <c r="AU58" s="41" t="str">
        <f>AU54</f>
        <v>N NOMBRE DE SU RECETA | pegue esto — FAMILIA| Autor &gt; USTED</v>
      </c>
      <c r="AV58" s="40">
        <f>AV54</f>
        <v>0.6</v>
      </c>
      <c r="AW58" s="41" t="str">
        <f>AW54</f>
        <v>kg</v>
      </c>
      <c r="AX58" s="5386" t="str">
        <f>AX54</f>
        <v>Receta madre ► Ballotina de pintada</v>
      </c>
      <c r="AY58" s="213"/>
      <c r="AZ58" s="256"/>
      <c r="BA58" s="211" t="str">
        <f t="shared" ref="BA58:BA71" si="18">IF(OR(ISTEXT(AY58), AY58&lt;=0, BB58&lt;=0), "", "de")</f>
        <v/>
      </c>
      <c r="BB58" s="210">
        <v>400</v>
      </c>
      <c r="BC58" s="6283" t="s">
        <v>130</v>
      </c>
      <c r="BD58" s="5448">
        <v>1</v>
      </c>
      <c r="BE58" s="6866" t="s">
        <v>8428</v>
      </c>
      <c r="BF58" s="6871"/>
      <c r="BG58" s="6253">
        <f>IF(BI72=0,0,(BI58/BI72)*BH57*1000)</f>
        <v>666.66666666666663</v>
      </c>
      <c r="BH58" s="6254">
        <f>IF(BI72=0, 0, (AY58*BD58)/(BI72*BH57))</f>
        <v>0</v>
      </c>
      <c r="BI58" s="5882">
        <f>IFERROR(_xlfn.LET(_xlpm.v,IFERROR(_xlfn.XLOOKUP(BC58,AY73:BL73,AY74:BL74),_xlfn.XLOOKUP(BC58,AY75:BL75,AY76:BL76)),_xlpm.v*BB58*IF(ISBLANK(AY58),1,AY58)),0)</f>
        <v>0.4</v>
      </c>
      <c r="BJ58" s="5251">
        <f>IF(OR(ISBLANK(BK53),BK53=0),0,AY58*BK51*BD58/BK53)</f>
        <v>0</v>
      </c>
      <c r="BK58" s="6051">
        <f>IF(OR(ISBLANK(BK53),BK53=0),0,BI58*BD58*BK51/BK53)</f>
        <v>20</v>
      </c>
      <c r="BL58" s="6459" t="str">
        <f>_xlfn.LET(_xlpm.unite,SUBSTITUTE(TRIM(BC58)," (s)",""),_xlpm.val,BK58,_xlpm.estVol,COUNTIF(BE73:BL73,_xlpm.unite)+COUNTIF(BE75:BL75,_xlpm.unite)&gt;0,_xlpm.estPoids,COUNTIF(AY73:BD73,_xlpm.unite)+COUNTIF(AY75:BD75,_xlpm.unite)&gt;0,IF(_xlpm.estVol,IF(ROUND(_xlpm.val,3)&gt;=1,ROUND(_xlpm.val,3)&amp;"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20 Kg</v>
      </c>
      <c r="BN58" s="6872" t="s">
        <v>11044</v>
      </c>
      <c r="BP58" s="6411"/>
      <c r="BQ58" s="6405"/>
      <c r="BR58" s="5783"/>
      <c r="BS58" s="5783"/>
      <c r="BT58" s="5783"/>
      <c r="BU58" s="5783"/>
      <c r="BV58" s="6403"/>
      <c r="BX58" s="6411"/>
      <c r="BY58" s="6405"/>
      <c r="BZ58" s="5783"/>
      <c r="CA58" s="5783"/>
      <c r="CB58" s="5783"/>
      <c r="CC58" s="5783"/>
      <c r="CD58" s="6403"/>
      <c r="CF58" s="6411"/>
      <c r="CG58" s="6405"/>
      <c r="CH58" s="5783"/>
      <c r="CI58" s="5783"/>
      <c r="CJ58" s="5783"/>
      <c r="CK58" s="5783"/>
      <c r="CL58" s="6403"/>
      <c r="CN58" s="5">
        <v>1</v>
      </c>
    </row>
    <row r="59" spans="2:92" ht="21" customHeight="1">
      <c r="B59" s="1021" t="str">
        <f t="shared" ref="B59:B71" si="19">IF(M59&lt;&gt;"","A","►")</f>
        <v>A</v>
      </c>
      <c r="C59" s="41" t="str">
        <f>C54</f>
        <v>N NOM DE VOTRE RECETTE | collez la--FAMILLE| Auteur &gt; VOUS</v>
      </c>
      <c r="D59" s="40">
        <f>D54</f>
        <v>4</v>
      </c>
      <c r="E59" s="41" t="str">
        <f>E54</f>
        <v>couverts</v>
      </c>
      <c r="F59" s="5386" t="str">
        <f>F54</f>
        <v>Recette mère ► Ballotine de pintade</v>
      </c>
      <c r="G59" s="213"/>
      <c r="H59" s="256"/>
      <c r="I59" s="211" t="str">
        <f t="shared" si="16"/>
        <v/>
      </c>
      <c r="J59" s="210">
        <v>200</v>
      </c>
      <c r="K59" s="6283" t="s">
        <v>130</v>
      </c>
      <c r="L59" s="5448">
        <v>1</v>
      </c>
      <c r="M59" s="6866" t="s">
        <v>9988</v>
      </c>
      <c r="N59" s="6871"/>
      <c r="O59" s="6253">
        <f>IF(Q72=0,0,(Q59/Q72)*P57*1000)</f>
        <v>333.33333333333331</v>
      </c>
      <c r="P59" s="6255">
        <f>IF(Q72=0, 0, (G59*L59)/(Q72*P57))</f>
        <v>0</v>
      </c>
      <c r="Q59" s="5882">
        <f>IFERROR(_xlfn.LET(_xlpm.v,IFERROR(_xlfn.XLOOKUP(K59,G73:T73,G74:T74),_xlfn.XLOOKUP(K59,G75:T75,G76:T76)),_xlpm.v*J59*IF(ISBLANK(G59),1,G59)),0)</f>
        <v>0.2</v>
      </c>
      <c r="R59" s="5254">
        <f>IF(OR(ISBLANK(S53),S53=0),0,G59*S51*L59/S53)</f>
        <v>0</v>
      </c>
      <c r="S59" s="6051">
        <f>IF(OR(ISBLANK(S53),S53=0),0,Q59*L59*S51/S53)</f>
        <v>1</v>
      </c>
      <c r="T59" s="6199" t="str">
        <f>_xlfn.LET(_xlpm.unite,SUBSTITUTE(TRIM(K59)," (s)",""),_xlpm.val,S59,_xlpm.estVol,COUNTIF(M73:T73,_xlpm.unite)+COUNTIF(M75:T75,_xlpm.unite)&gt;0,_xlpm.estPoids,COUNTIF(G73:L73,_xlpm.unite)+COUNTIF(G75:L75,_xlpm.unite)&gt;0,IF(_xlpm.estVol,IF(ROUND(_xlpm.val,3)&gt;=1,ROUND(_xlpm.val,3)&amp;"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1 Kg</v>
      </c>
      <c r="V59" s="6872" t="s">
        <v>11045</v>
      </c>
      <c r="X59" s="1021" t="str">
        <f t="shared" ref="X59:X71" si="20">IF(AI59&lt;&gt;"","A","►")</f>
        <v>A</v>
      </c>
      <c r="Y59" s="41" t="str">
        <f>Y54</f>
        <v>N NAME OF YOUR RECIPE | paste it — FAMILY|  Author &gt; YOU</v>
      </c>
      <c r="Z59" s="40">
        <f>Z54</f>
        <v>0.6</v>
      </c>
      <c r="AA59" s="41" t="str">
        <f>AA54</f>
        <v>kg</v>
      </c>
      <c r="AB59" s="5386" t="str">
        <f>AB54</f>
        <v>Master recipe ► Guinea fowl ballotine</v>
      </c>
      <c r="AC59" s="213"/>
      <c r="AD59" s="256"/>
      <c r="AE59" s="211" t="str">
        <f t="shared" si="17"/>
        <v/>
      </c>
      <c r="AF59" s="210">
        <v>200</v>
      </c>
      <c r="AG59" s="6283" t="s">
        <v>130</v>
      </c>
      <c r="AH59" s="5448">
        <v>1</v>
      </c>
      <c r="AI59" s="6866" t="s">
        <v>8394</v>
      </c>
      <c r="AJ59" s="6871"/>
      <c r="AK59" s="6253">
        <f>IF(AM72=0,0,(AM59/AM72)*AL57*1000)</f>
        <v>333.33333333333331</v>
      </c>
      <c r="AL59" s="6701">
        <f>IF(AM72=0, 0, (AC59*AH59)/(AM72*AL57))</f>
        <v>0</v>
      </c>
      <c r="AM59" s="5882">
        <f>IFERROR(_xlfn.LET(_xlpm.v,IFERROR(_xlfn.XLOOKUP(AG59,AC73:AP73,AC74:AP74),_xlfn.XLOOKUP(AG59,AC75:AP75,AC76:AP76)),_xlpm.v*AF59*IF(ISBLANK(AC59),1,AC59)),0)</f>
        <v>0.2</v>
      </c>
      <c r="AN59" s="5254">
        <f>IF(OR(ISBLANK(AO53),AO53=0),0,AC59*AO51*AH59/AO53)</f>
        <v>0</v>
      </c>
      <c r="AO59" s="6051">
        <f>IF(OR(ISBLANK(AO53),AO53=0),0,AM59*AH59*AO51/AO53)</f>
        <v>10</v>
      </c>
      <c r="AP59" s="6199" t="str">
        <f>_xlfn.LET(_xlpm.unite,SUBSTITUTE(TRIM(AG59)," (s)",""),_xlpm.val,AO59,_xlpm.estVol,COUNTIF(AI73:AP73,_xlpm.unite)+COUNTIF(AI75:AP75,_xlpm.unite)&gt;0,_xlpm.estPoids,COUNTIF(AC73:AH73,_xlpm.unite)+COUNTIF(AC75:AH75,_xlpm.unite)&gt;0,IF(_xlpm.estVol,IF(ROUND(_xlpm.val,3)&gt;=1,ROUND(_xlpm.val,3)&amp;"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10 Kg</v>
      </c>
      <c r="AR59" s="6872" t="s">
        <v>11045</v>
      </c>
      <c r="AT59" s="1021" t="str">
        <f t="shared" ref="AT59:AT71" si="21">IF(BE59&lt;&gt;"","A","►")</f>
        <v>A</v>
      </c>
      <c r="AU59" s="41" t="str">
        <f>AU54</f>
        <v>N NOMBRE DE SU RECETA | pegue esto — FAMILIA| Autor &gt; USTED</v>
      </c>
      <c r="AV59" s="40">
        <f>AV54</f>
        <v>0.6</v>
      </c>
      <c r="AW59" s="41" t="str">
        <f>AW54</f>
        <v>kg</v>
      </c>
      <c r="AX59" s="5386" t="str">
        <f>AX54</f>
        <v>Receta madre ► Ballotina de pintada</v>
      </c>
      <c r="AY59" s="213"/>
      <c r="AZ59" s="256"/>
      <c r="BA59" s="211" t="str">
        <f t="shared" si="18"/>
        <v/>
      </c>
      <c r="BB59" s="210">
        <v>200</v>
      </c>
      <c r="BC59" s="6283" t="s">
        <v>130</v>
      </c>
      <c r="BD59" s="5448">
        <v>1</v>
      </c>
      <c r="BE59" s="6866" t="s">
        <v>8429</v>
      </c>
      <c r="BF59" s="6871"/>
      <c r="BG59" s="6253">
        <f>IF(BI72=0,0,(BI59/BI72)*BH57*1000)</f>
        <v>333.33333333333331</v>
      </c>
      <c r="BH59" s="6701">
        <f>IF(BI72=0, 0, (AY59*BD59)/(BI72*BH57))</f>
        <v>0</v>
      </c>
      <c r="BI59" s="5882">
        <f>IFERROR(_xlfn.LET(_xlpm.v,IFERROR(_xlfn.XLOOKUP(BC59,AY73:BL73,AY74:BL74),_xlfn.XLOOKUP(BC59,AY75:BL75,AY76:BL76)),_xlpm.v*BB59*IF(ISBLANK(AY59),1,AY59)),0)</f>
        <v>0.2</v>
      </c>
      <c r="BJ59" s="5254">
        <f>IF(OR(ISBLANK(BK53),BK53=0),0,AY59*BK51*BD59/BK53)</f>
        <v>0</v>
      </c>
      <c r="BK59" s="6051">
        <f>IF(OR(ISBLANK(BK53),BK53=0),0,BI59*BD59*BK51/BK53)</f>
        <v>10</v>
      </c>
      <c r="BL59" s="6199" t="str">
        <f>_xlfn.LET(_xlpm.unite,SUBSTITUTE(TRIM(BC59)," (s)",""),_xlpm.val,BK59,_xlpm.estVol,COUNTIF(BE73:BL73,_xlpm.unite)+COUNTIF(BE75:BL75,_xlpm.unite)&gt;0,_xlpm.estPoids,COUNTIF(AY73:BD73,_xlpm.unite)+COUNTIF(AY75:BD75,_xlpm.unite)&gt;0,IF(_xlpm.estVol,IF(ROUND(_xlpm.val,3)&gt;=1,ROUND(_xlpm.val,3)&amp;"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10 Kg</v>
      </c>
      <c r="BN59" s="6872" t="s">
        <v>11045</v>
      </c>
      <c r="BP59" s="6424"/>
      <c r="BQ59" s="6461" t="s">
        <v>8539</v>
      </c>
      <c r="BR59" s="5783"/>
      <c r="BS59" s="5783"/>
      <c r="BT59" s="5783"/>
      <c r="BU59" s="5783"/>
      <c r="BV59" s="6403"/>
      <c r="BX59" s="6424"/>
      <c r="BY59" s="6461" t="s">
        <v>9263</v>
      </c>
      <c r="BZ59" s="5783"/>
      <c r="CA59" s="5783"/>
      <c r="CB59" s="5783"/>
      <c r="CC59" s="5783"/>
      <c r="CD59" s="6403"/>
      <c r="CF59" s="6424"/>
      <c r="CG59" s="6550" t="s">
        <v>9414</v>
      </c>
      <c r="CH59" s="5783"/>
      <c r="CI59" s="5783"/>
      <c r="CJ59" s="5783"/>
      <c r="CK59" s="5783"/>
      <c r="CL59" s="6403"/>
      <c r="CN59" s="5">
        <v>1</v>
      </c>
    </row>
    <row r="60" spans="2:92" ht="21" customHeight="1">
      <c r="B60" s="1021" t="str">
        <f t="shared" si="19"/>
        <v>►</v>
      </c>
      <c r="C60" s="41" t="str">
        <f>C54</f>
        <v>N NOM DE VOTRE RECETTE | collez la--FAMILLE| Auteur &gt; VOUS</v>
      </c>
      <c r="D60" s="40">
        <f>D54</f>
        <v>4</v>
      </c>
      <c r="E60" s="41" t="str">
        <f>E54</f>
        <v>couverts</v>
      </c>
      <c r="F60" s="5386" t="str">
        <f>F54</f>
        <v>Recette mère ► Ballotine de pintade</v>
      </c>
      <c r="G60" s="213"/>
      <c r="H60" s="212"/>
      <c r="I60" s="211" t="str">
        <f t="shared" si="16"/>
        <v/>
      </c>
      <c r="J60" s="210"/>
      <c r="K60" s="6366"/>
      <c r="L60" s="5448">
        <v>1</v>
      </c>
      <c r="M60" s="6866"/>
      <c r="N60" s="6871"/>
      <c r="O60" s="6253">
        <f>IF(Q72=0,0,(Q60/Q72)*P57*1000)</f>
        <v>0</v>
      </c>
      <c r="P60" s="6255">
        <f>IF(Q72=0, 0, (G60*L60)/(Q72*P57))</f>
        <v>0</v>
      </c>
      <c r="Q60" s="5882">
        <f>IFERROR(_xlfn.LET(_xlpm.v,IFERROR(_xlfn.XLOOKUP(K60,G73:T73,G74:T74),_xlfn.XLOOKUP(K60,G75:T75,G76:T76)),_xlpm.v*J60*IF(ISBLANK(G60),1,G60)),0)</f>
        <v>0</v>
      </c>
      <c r="R60" s="5256">
        <f>IF(OR(ISBLANK(S53),S53=0),0,G60*S51*L60/S53)</f>
        <v>0</v>
      </c>
      <c r="S60" s="6051">
        <f>IF(OR(ISBLANK(S53),S53=0),0,Q60*L60*S51/S53)</f>
        <v>0</v>
      </c>
      <c r="T60" s="6198" t="str">
        <f>_xlfn.LET(_xlpm.unite,SUBSTITUTE(TRIM(K60)," (s)",""),_xlpm.val,S60,_xlpm.estVol,COUNTIF(M73:T73,_xlpm.unite)+COUNTIF(M75:T75,_xlpm.unite)&gt;0,_xlpm.estPoids,COUNTIF(G73:L73,_xlpm.unite)+COUNTIF(G75:L75,_xlpm.unite)&gt;0,IF(_xlpm.estVol,IF(ROUND(_xlpm.val,3)&gt;=1,ROUND(_xlpm.val,3)&amp;"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0" s="6872" t="s">
        <v>11046</v>
      </c>
      <c r="X60" s="1021" t="str">
        <f t="shared" si="20"/>
        <v>►</v>
      </c>
      <c r="Y60" s="41" t="str">
        <f>Y54</f>
        <v>N NAME OF YOUR RECIPE | paste it — FAMILY|  Author &gt; YOU</v>
      </c>
      <c r="Z60" s="40">
        <f>Z54</f>
        <v>0.6</v>
      </c>
      <c r="AA60" s="41" t="str">
        <f>AA54</f>
        <v>kg</v>
      </c>
      <c r="AB60" s="5386" t="str">
        <f>AB54</f>
        <v>Master recipe ► Guinea fowl ballotine</v>
      </c>
      <c r="AC60" s="213"/>
      <c r="AD60" s="212"/>
      <c r="AE60" s="211" t="str">
        <f t="shared" si="17"/>
        <v/>
      </c>
      <c r="AF60" s="210"/>
      <c r="AG60" s="6366"/>
      <c r="AH60" s="5448">
        <v>1</v>
      </c>
      <c r="AI60" s="6866"/>
      <c r="AJ60" s="6871"/>
      <c r="AK60" s="6253">
        <f>IF(AM72=0,0,(AM60/AM72)*AL57*1000)</f>
        <v>0</v>
      </c>
      <c r="AL60" s="6701">
        <f>IF(AM72=0, 0, (AC60*AH60)/(AM72*AL57))</f>
        <v>0</v>
      </c>
      <c r="AM60" s="5882">
        <f>IFERROR(_xlfn.LET(_xlpm.v,IFERROR(_xlfn.XLOOKUP(AG60,AC73:AP73,AC74:AP74),_xlfn.XLOOKUP(AG60,AC75:AP75,AC76:AP76)),_xlpm.v*AF60*IF(ISBLANK(AC60),1,AC60)),0)</f>
        <v>0</v>
      </c>
      <c r="AN60" s="5256">
        <f>IF(OR(ISBLANK(AO53),AO53=0),0,AC60*AO51*AH60/AO53)</f>
        <v>0</v>
      </c>
      <c r="AO60" s="6051">
        <f>IF(OR(ISBLANK(AO53),AO53=0),0,AM60*AH60*AO51/AO53)</f>
        <v>0</v>
      </c>
      <c r="AP60" s="6198" t="str">
        <f>_xlfn.LET(_xlpm.unite,SUBSTITUTE(TRIM(AG60)," (s)",""),_xlpm.val,AO60,_xlpm.estVol,COUNTIF(AI73:AP73,_xlpm.unite)+COUNTIF(AI75:AP75,_xlpm.unite)&gt;0,_xlpm.estPoids,COUNTIF(AC73:AH73,_xlpm.unite)+COUNTIF(AC75:AH75,_xlpm.unite)&gt;0,IF(_xlpm.estVol,IF(ROUND(_xlpm.val,3)&gt;=1,ROUND(_xlpm.val,3)&amp;"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0" s="6872" t="s">
        <v>11046</v>
      </c>
      <c r="AT60" s="1021" t="str">
        <f t="shared" si="21"/>
        <v>►</v>
      </c>
      <c r="AU60" s="41" t="str">
        <f>AU54</f>
        <v>N NOMBRE DE SU RECETA | pegue esto — FAMILIA| Autor &gt; USTED</v>
      </c>
      <c r="AV60" s="40">
        <f>AV54</f>
        <v>0.6</v>
      </c>
      <c r="AW60" s="41" t="str">
        <f>AW54</f>
        <v>kg</v>
      </c>
      <c r="AX60" s="5386" t="str">
        <f>AX54</f>
        <v>Receta madre ► Ballotina de pintada</v>
      </c>
      <c r="AY60" s="213"/>
      <c r="AZ60" s="212"/>
      <c r="BA60" s="211" t="str">
        <f t="shared" si="18"/>
        <v/>
      </c>
      <c r="BB60" s="210"/>
      <c r="BC60" s="6366"/>
      <c r="BD60" s="5448">
        <v>1</v>
      </c>
      <c r="BE60" s="6866"/>
      <c r="BF60" s="6871"/>
      <c r="BG60" s="6253">
        <f>IF(BI72=0,0,(BI60/BI72)*BH57*1000)</f>
        <v>0</v>
      </c>
      <c r="BH60" s="6701">
        <f>IF(BI72=0, 0, (AY60*BD60)/(BI72*BH57))</f>
        <v>0</v>
      </c>
      <c r="BI60" s="5882">
        <f>IFERROR(_xlfn.LET(_xlpm.v,IFERROR(_xlfn.XLOOKUP(BC60,AY73:BL73,AY74:BL74),_xlfn.XLOOKUP(BC60,AY75:BL75,AY76:BL76)),_xlpm.v*BB60*IF(ISBLANK(AY60),1,AY60)),0)</f>
        <v>0</v>
      </c>
      <c r="BJ60" s="5256">
        <f>IF(OR(ISBLANK(BK53),BK53=0),0,AY60*BK51*BD60/BK53)</f>
        <v>0</v>
      </c>
      <c r="BK60" s="6051">
        <f>IF(OR(ISBLANK(BK53),BK53=0),0,BI60*BD60*BK51/BK53)</f>
        <v>0</v>
      </c>
      <c r="BL60" s="6198" t="str">
        <f>_xlfn.LET(_xlpm.unite,SUBSTITUTE(TRIM(BC60)," (s)",""),_xlpm.val,BK60,_xlpm.estVol,COUNTIF(BE73:BL73,_xlpm.unite)+COUNTIF(BE75:BL75,_xlpm.unite)&gt;0,_xlpm.estPoids,COUNTIF(AY73:BD73,_xlpm.unite)+COUNTIF(AY75:BD75,_xlpm.unite)&gt;0,IF(_xlpm.estVol,IF(ROUND(_xlpm.val,3)&gt;=1,ROUND(_xlpm.val,3)&amp;"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0" s="6872" t="s">
        <v>11046</v>
      </c>
      <c r="BP60" s="6411"/>
      <c r="BQ60" s="6405"/>
      <c r="BR60" s="5783"/>
      <c r="BS60" s="5783"/>
      <c r="BT60" s="5783"/>
      <c r="BU60" s="5783"/>
      <c r="BV60" s="6403"/>
      <c r="BX60" s="6411"/>
      <c r="BY60" s="6405"/>
      <c r="BZ60" s="5783"/>
      <c r="CA60" s="5783"/>
      <c r="CB60" s="5783"/>
      <c r="CC60" s="5783"/>
      <c r="CD60" s="6403"/>
      <c r="CF60" s="6411"/>
      <c r="CG60" s="6405"/>
      <c r="CH60" s="5783"/>
      <c r="CI60" s="5783"/>
      <c r="CJ60" s="5783"/>
      <c r="CK60" s="5783"/>
      <c r="CL60" s="6403"/>
      <c r="CN60" s="5">
        <v>1</v>
      </c>
    </row>
    <row r="61" spans="2:92" ht="21" customHeight="1">
      <c r="B61" s="1021" t="str">
        <f t="shared" si="19"/>
        <v>►</v>
      </c>
      <c r="C61" s="41" t="str">
        <f>C54</f>
        <v>N NOM DE VOTRE RECETTE | collez la--FAMILLE| Auteur &gt; VOUS</v>
      </c>
      <c r="D61" s="40">
        <f>D54</f>
        <v>4</v>
      </c>
      <c r="E61" s="41" t="str">
        <f>E54</f>
        <v>couverts</v>
      </c>
      <c r="F61" s="5386" t="str">
        <f>F54</f>
        <v>Recette mère ► Ballotine de pintade</v>
      </c>
      <c r="G61" s="213"/>
      <c r="H61" s="212"/>
      <c r="I61" s="211" t="str">
        <f t="shared" si="16"/>
        <v/>
      </c>
      <c r="J61" s="210"/>
      <c r="K61" s="6366"/>
      <c r="L61" s="5448">
        <v>1</v>
      </c>
      <c r="M61" s="6866"/>
      <c r="N61" s="6871"/>
      <c r="O61" s="6253">
        <f>IF(Q72=0,0,(Q61/Q72)*P57*1000)</f>
        <v>0</v>
      </c>
      <c r="P61" s="6255">
        <f>IF(Q72=0, 0, (G61*L61)/(Q72*P57))</f>
        <v>0</v>
      </c>
      <c r="Q61" s="5882">
        <f>IFERROR(_xlfn.LET(_xlpm.v,IFERROR(_xlfn.XLOOKUP(K61,G73:T73,G74:T74),_xlfn.XLOOKUP(K61,G75:T75,G76:T76)),_xlpm.v*J61*IF(ISBLANK(G61),1,G61)),0)</f>
        <v>0</v>
      </c>
      <c r="R61" s="5254">
        <f>IF(OR(ISBLANK(S53),S53=0),0,G61*S51*L61/S53)</f>
        <v>0</v>
      </c>
      <c r="S61" s="6051">
        <f>IF(OR(ISBLANK(S53),S53=0),0,Q61*L61*S51/S53)</f>
        <v>0</v>
      </c>
      <c r="T61" s="6199" t="str">
        <f>_xlfn.LET(_xlpm.unite,SUBSTITUTE(TRIM(K61)," (s)",""),_xlpm.val,S61,_xlpm.estVol,COUNTIF(M73:T73,_xlpm.unite)+COUNTIF(M75:T75,_xlpm.unite)&gt;0,_xlpm.estPoids,COUNTIF(G73:L73,_xlpm.unite)+COUNTIF(G75:L75,_xlpm.unite)&gt;0,IF(_xlpm.estVol,IF(ROUND(_xlpm.val,3)&gt;=1,ROUND(_xlpm.val,3)&amp;"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1" s="6872" t="s">
        <v>11047</v>
      </c>
      <c r="X61" s="1021" t="str">
        <f t="shared" si="20"/>
        <v>►</v>
      </c>
      <c r="Y61" s="41" t="str">
        <f>Y54</f>
        <v>N NAME OF YOUR RECIPE | paste it — FAMILY|  Author &gt; YOU</v>
      </c>
      <c r="Z61" s="40">
        <f>Z54</f>
        <v>0.6</v>
      </c>
      <c r="AA61" s="41" t="str">
        <f>AA54</f>
        <v>kg</v>
      </c>
      <c r="AB61" s="5386" t="str">
        <f>AB54</f>
        <v>Master recipe ► Guinea fowl ballotine</v>
      </c>
      <c r="AC61" s="213"/>
      <c r="AD61" s="212"/>
      <c r="AE61" s="211" t="str">
        <f t="shared" si="17"/>
        <v/>
      </c>
      <c r="AF61" s="210"/>
      <c r="AG61" s="6366"/>
      <c r="AH61" s="5448">
        <v>1</v>
      </c>
      <c r="AI61" s="6866"/>
      <c r="AJ61" s="6871"/>
      <c r="AK61" s="6253">
        <f>IF(AM72=0,0,(AM61/AM72)*AL57*1000)</f>
        <v>0</v>
      </c>
      <c r="AL61" s="6701">
        <f>IF(AM72=0, 0, (AC61*AH61)/(AM72*AL57))</f>
        <v>0</v>
      </c>
      <c r="AM61" s="5882">
        <f>IFERROR(_xlfn.LET(_xlpm.v,IFERROR(_xlfn.XLOOKUP(AG61,AC73:AP73,AC74:AP74),_xlfn.XLOOKUP(AG61,AC75:AP75,AC76:AP76)),_xlpm.v*AF61*IF(ISBLANK(AC61),1,AC61)),0)</f>
        <v>0</v>
      </c>
      <c r="AN61" s="5254">
        <f>IF(OR(ISBLANK(AO53),AO53=0),0,AC61*AO51*AH61/AO53)</f>
        <v>0</v>
      </c>
      <c r="AO61" s="6051">
        <f>IF(OR(ISBLANK(AO53),AO53=0),0,AM61*AH61*AO51/AO53)</f>
        <v>0</v>
      </c>
      <c r="AP61" s="6199" t="str">
        <f>_xlfn.LET(_xlpm.unite,SUBSTITUTE(TRIM(AG61)," (s)",""),_xlpm.val,AO61,_xlpm.estVol,COUNTIF(AI73:AP73,_xlpm.unite)+COUNTIF(AI75:AP75,_xlpm.unite)&gt;0,_xlpm.estPoids,COUNTIF(AC73:AH73,_xlpm.unite)+COUNTIF(AC75:AH75,_xlpm.unite)&gt;0,IF(_xlpm.estVol,IF(ROUND(_xlpm.val,3)&gt;=1,ROUND(_xlpm.val,3)&amp;"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1" s="6872" t="s">
        <v>11047</v>
      </c>
      <c r="AT61" s="1021" t="str">
        <f t="shared" si="21"/>
        <v>►</v>
      </c>
      <c r="AU61" s="41" t="str">
        <f>AU54</f>
        <v>N NOMBRE DE SU RECETA | pegue esto — FAMILIA| Autor &gt; USTED</v>
      </c>
      <c r="AV61" s="40">
        <f>AV54</f>
        <v>0.6</v>
      </c>
      <c r="AW61" s="41" t="str">
        <f>AW54</f>
        <v>kg</v>
      </c>
      <c r="AX61" s="5386" t="str">
        <f>AX54</f>
        <v>Receta madre ► Ballotina de pintada</v>
      </c>
      <c r="AY61" s="213"/>
      <c r="AZ61" s="212"/>
      <c r="BA61" s="211" t="str">
        <f t="shared" si="18"/>
        <v/>
      </c>
      <c r="BB61" s="210"/>
      <c r="BC61" s="6366"/>
      <c r="BD61" s="5448">
        <v>1</v>
      </c>
      <c r="BE61" s="6866"/>
      <c r="BF61" s="6871"/>
      <c r="BG61" s="6253">
        <f>IF(BI72=0,0,(BI61/BI72)*BH57*1000)</f>
        <v>0</v>
      </c>
      <c r="BH61" s="6701">
        <f>IF(BI72=0, 0, (AY61*BD61)/(BI72*BH57))</f>
        <v>0</v>
      </c>
      <c r="BI61" s="5882">
        <f>IFERROR(_xlfn.LET(_xlpm.v,IFERROR(_xlfn.XLOOKUP(BC61,AY73:BL73,AY74:BL74),_xlfn.XLOOKUP(BC61,AY75:BL75,AY76:BL76)),_xlpm.v*BB61*IF(ISBLANK(AY61),1,AY61)),0)</f>
        <v>0</v>
      </c>
      <c r="BJ61" s="5254">
        <f>IF(OR(ISBLANK(BK53),BK53=0),0,AY61*BK51*BD61/BK53)</f>
        <v>0</v>
      </c>
      <c r="BK61" s="6051">
        <f>IF(OR(ISBLANK(BK53),BK53=0),0,BI61*BD61*BK51/BK53)</f>
        <v>0</v>
      </c>
      <c r="BL61" s="6199" t="str">
        <f>_xlfn.LET(_xlpm.unite,SUBSTITUTE(TRIM(BC61)," (s)",""),_xlpm.val,BK61,_xlpm.estVol,COUNTIF(BE73:BL73,_xlpm.unite)+COUNTIF(BE75:BL75,_xlpm.unite)&gt;0,_xlpm.estPoids,COUNTIF(AY73:BD73,_xlpm.unite)+COUNTIF(AY75:BD75,_xlpm.unite)&gt;0,IF(_xlpm.estVol,IF(ROUND(_xlpm.val,3)&gt;=1,ROUND(_xlpm.val,3)&amp;"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1" s="6872" t="s">
        <v>11047</v>
      </c>
      <c r="BP61" s="6483" t="s">
        <v>198</v>
      </c>
      <c r="BQ61" s="6474" t="s">
        <v>197</v>
      </c>
      <c r="BR61" s="6475"/>
      <c r="BS61" s="7107" t="s">
        <v>196</v>
      </c>
      <c r="BT61" s="7108" t="s">
        <v>195</v>
      </c>
      <c r="BU61" s="7109" t="s">
        <v>82</v>
      </c>
      <c r="BV61" s="6476" t="s">
        <v>194</v>
      </c>
      <c r="BX61" s="6483" t="s">
        <v>198</v>
      </c>
      <c r="BY61" s="6474" t="s">
        <v>197</v>
      </c>
      <c r="BZ61" s="6475"/>
      <c r="CA61" s="7107" t="s">
        <v>850</v>
      </c>
      <c r="CB61" s="7108" t="s">
        <v>195</v>
      </c>
      <c r="CC61" s="7109" t="s">
        <v>82</v>
      </c>
      <c r="CD61" s="6476" t="s">
        <v>194</v>
      </c>
      <c r="CF61" s="6483" t="s">
        <v>198</v>
      </c>
      <c r="CG61" s="6474" t="s">
        <v>197</v>
      </c>
      <c r="CH61" s="6475"/>
      <c r="CI61" s="7108" t="s">
        <v>8416</v>
      </c>
      <c r="CJ61" s="7108" t="s">
        <v>195</v>
      </c>
      <c r="CK61" s="7109" t="s">
        <v>82</v>
      </c>
      <c r="CL61" s="6476" t="s">
        <v>194</v>
      </c>
      <c r="CN61" s="5">
        <v>1</v>
      </c>
    </row>
    <row r="62" spans="2:92" ht="21" customHeight="1">
      <c r="B62" s="1021" t="str">
        <f t="shared" si="19"/>
        <v>►</v>
      </c>
      <c r="C62" s="41" t="str">
        <f>C54</f>
        <v>N NOM DE VOTRE RECETTE | collez la--FAMILLE| Auteur &gt; VOUS</v>
      </c>
      <c r="D62" s="40">
        <f>D54</f>
        <v>4</v>
      </c>
      <c r="E62" s="41" t="str">
        <f>E54</f>
        <v>couverts</v>
      </c>
      <c r="F62" s="5386" t="str">
        <f>F54</f>
        <v>Recette mère ► Ballotine de pintade</v>
      </c>
      <c r="G62" s="213"/>
      <c r="H62" s="212"/>
      <c r="I62" s="211" t="str">
        <f t="shared" si="16"/>
        <v/>
      </c>
      <c r="J62" s="210"/>
      <c r="K62" s="6366"/>
      <c r="L62" s="5448">
        <v>1</v>
      </c>
      <c r="M62" s="6866"/>
      <c r="N62" s="6871"/>
      <c r="O62" s="6253">
        <f>IF(Q72=0,0,(Q62/Q72)*P57*1000)</f>
        <v>0</v>
      </c>
      <c r="P62" s="6255">
        <f>IF(Q72=0, 0, (G62*L62)/(Q72*P57))</f>
        <v>0</v>
      </c>
      <c r="Q62" s="5882">
        <f>IFERROR(_xlfn.LET(_xlpm.v,IFERROR(_xlfn.XLOOKUP(K62,G73:T73,G74:T74),_xlfn.XLOOKUP(K62,G75:T75,G76:T76)),_xlpm.v*J62*IF(ISBLANK(G62),1,G62)),0)</f>
        <v>0</v>
      </c>
      <c r="R62" s="5256">
        <f>IF(OR(ISBLANK(S53),S53=0),0,G62*S51*L62/S53)</f>
        <v>0</v>
      </c>
      <c r="S62" s="6051">
        <f>IF(OR(ISBLANK(S53),S53=0),0,Q62*L62*S51/S53)</f>
        <v>0</v>
      </c>
      <c r="T62" s="6198" t="str">
        <f>_xlfn.LET(_xlpm.unite,SUBSTITUTE(TRIM(K62)," (s)",""),_xlpm.val,S62,_xlpm.estVol,COUNTIF(M73:T73,_xlpm.unite)+COUNTIF(M75:T75,_xlpm.unite)&gt;0,_xlpm.estPoids,COUNTIF(G73:L73,_xlpm.unite)+COUNTIF(G75:L75,_xlpm.unite)&gt;0,IF(_xlpm.estVol,IF(ROUND(_xlpm.val,3)&gt;=1,ROUND(_xlpm.val,3)&amp;"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2" s="6872" t="s">
        <v>11048</v>
      </c>
      <c r="X62" s="1021" t="str">
        <f t="shared" si="20"/>
        <v>►</v>
      </c>
      <c r="Y62" s="41" t="str">
        <f>Y54</f>
        <v>N NAME OF YOUR RECIPE | paste it — FAMILY|  Author &gt; YOU</v>
      </c>
      <c r="Z62" s="40">
        <f>Z54</f>
        <v>0.6</v>
      </c>
      <c r="AA62" s="41" t="str">
        <f>AA54</f>
        <v>kg</v>
      </c>
      <c r="AB62" s="5386" t="str">
        <f>AB54</f>
        <v>Master recipe ► Guinea fowl ballotine</v>
      </c>
      <c r="AC62" s="213"/>
      <c r="AD62" s="212"/>
      <c r="AE62" s="211" t="str">
        <f t="shared" si="17"/>
        <v/>
      </c>
      <c r="AF62" s="210"/>
      <c r="AG62" s="6366"/>
      <c r="AH62" s="5448">
        <v>1</v>
      </c>
      <c r="AI62" s="6866"/>
      <c r="AJ62" s="6871"/>
      <c r="AK62" s="6253">
        <f>IF(AM72=0,0,(AM62/AM72)*AL57*1000)</f>
        <v>0</v>
      </c>
      <c r="AL62" s="6701">
        <f>IF(AM72=0, 0, (AC62*AH62)/(AM72*AL57))</f>
        <v>0</v>
      </c>
      <c r="AM62" s="5882">
        <f>IFERROR(_xlfn.LET(_xlpm.v,IFERROR(_xlfn.XLOOKUP(AG62,AC73:AP73,AC74:AP74),_xlfn.XLOOKUP(AG62,AC75:AP75,AC76:AP76)),_xlpm.v*AF62*IF(ISBLANK(AC62),1,AC62)),0)</f>
        <v>0</v>
      </c>
      <c r="AN62" s="5256">
        <f>IF(OR(ISBLANK(AO53),AO53=0),0,AC62*AO51*AH62/AO53)</f>
        <v>0</v>
      </c>
      <c r="AO62" s="6051">
        <f>IF(OR(ISBLANK(AO53),AO53=0),0,AM62*AH62*AO51/AO53)</f>
        <v>0</v>
      </c>
      <c r="AP62" s="6198" t="str">
        <f>_xlfn.LET(_xlpm.unite,SUBSTITUTE(TRIM(AG62)," (s)",""),_xlpm.val,AO62,_xlpm.estVol,COUNTIF(AI73:AP73,_xlpm.unite)+COUNTIF(AI75:AP75,_xlpm.unite)&gt;0,_xlpm.estPoids,COUNTIF(AC73:AH73,_xlpm.unite)+COUNTIF(AC75:AH75,_xlpm.unite)&gt;0,IF(_xlpm.estVol,IF(ROUND(_xlpm.val,3)&gt;=1,ROUND(_xlpm.val,3)&amp;"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2" s="6872" t="s">
        <v>11048</v>
      </c>
      <c r="AT62" s="1021" t="str">
        <f t="shared" si="21"/>
        <v>►</v>
      </c>
      <c r="AU62" s="41" t="str">
        <f>AU54</f>
        <v>N NOMBRE DE SU RECETA | pegue esto — FAMILIA| Autor &gt; USTED</v>
      </c>
      <c r="AV62" s="40">
        <f>AV54</f>
        <v>0.6</v>
      </c>
      <c r="AW62" s="41" t="str">
        <f>AW54</f>
        <v>kg</v>
      </c>
      <c r="AX62" s="5386" t="str">
        <f>AX54</f>
        <v>Receta madre ► Ballotina de pintada</v>
      </c>
      <c r="AY62" s="213"/>
      <c r="AZ62" s="212"/>
      <c r="BA62" s="211" t="str">
        <f t="shared" si="18"/>
        <v/>
      </c>
      <c r="BB62" s="210"/>
      <c r="BC62" s="6366"/>
      <c r="BD62" s="5448">
        <v>1</v>
      </c>
      <c r="BE62" s="6866"/>
      <c r="BF62" s="6871"/>
      <c r="BG62" s="6253">
        <f>IF(BI72=0,0,(BI62/BI72)*BH57*1000)</f>
        <v>0</v>
      </c>
      <c r="BH62" s="6701">
        <f>IF(BI72=0, 0, (AY62*BD62)/(BI72*BH57))</f>
        <v>0</v>
      </c>
      <c r="BI62" s="5882">
        <f>IFERROR(_xlfn.LET(_xlpm.v,IFERROR(_xlfn.XLOOKUP(BC62,AY73:BL73,AY74:BL74),_xlfn.XLOOKUP(BC62,AY75:BL75,AY76:BL76)),_xlpm.v*BB62*IF(ISBLANK(AY62),1,AY62)),0)</f>
        <v>0</v>
      </c>
      <c r="BJ62" s="5256">
        <f>IF(OR(ISBLANK(BK53),BK53=0),0,AY62*BK51*BD62/BK53)</f>
        <v>0</v>
      </c>
      <c r="BK62" s="6051">
        <f>IF(OR(ISBLANK(BK53),BK53=0),0,BI62*BD62*BK51/BK53)</f>
        <v>0</v>
      </c>
      <c r="BL62" s="6198" t="str">
        <f>_xlfn.LET(_xlpm.unite,SUBSTITUTE(TRIM(BC62)," (s)",""),_xlpm.val,BK62,_xlpm.estVol,COUNTIF(BE73:BL73,_xlpm.unite)+COUNTIF(BE75:BL75,_xlpm.unite)&gt;0,_xlpm.estPoids,COUNTIF(AY73:BD73,_xlpm.unite)+COUNTIF(AY75:BD75,_xlpm.unite)&gt;0,IF(_xlpm.estVol,IF(ROUND(_xlpm.val,3)&gt;=1,ROUND(_xlpm.val,3)&amp;"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2" s="6872" t="s">
        <v>11048</v>
      </c>
      <c r="BP62" s="6484" t="s">
        <v>184</v>
      </c>
      <c r="BQ62" s="286" t="s">
        <v>162</v>
      </c>
      <c r="BR62" s="285" t="s">
        <v>186</v>
      </c>
      <c r="BS62" s="6905"/>
      <c r="BT62" s="6907"/>
      <c r="BU62" s="6909"/>
      <c r="BV62" s="6462" t="s">
        <v>185</v>
      </c>
      <c r="BX62" s="6484" t="s">
        <v>851</v>
      </c>
      <c r="BY62" s="286" t="s">
        <v>852</v>
      </c>
      <c r="BZ62" s="285" t="s">
        <v>186</v>
      </c>
      <c r="CA62" s="6905"/>
      <c r="CB62" s="6907"/>
      <c r="CC62" s="6909"/>
      <c r="CD62" s="6462" t="s">
        <v>9523</v>
      </c>
      <c r="CF62" s="6553" t="s">
        <v>8414</v>
      </c>
      <c r="CG62" s="1130" t="s">
        <v>8415</v>
      </c>
      <c r="CH62" s="285" t="s">
        <v>186</v>
      </c>
      <c r="CI62" s="6907"/>
      <c r="CJ62" s="6907"/>
      <c r="CK62" s="6909"/>
      <c r="CL62" s="6462" t="s">
        <v>185</v>
      </c>
      <c r="CN62" s="5">
        <v>1</v>
      </c>
    </row>
    <row r="63" spans="2:92" ht="21" customHeight="1">
      <c r="B63" s="1021" t="str">
        <f t="shared" si="19"/>
        <v>►</v>
      </c>
      <c r="C63" s="41" t="str">
        <f>C54</f>
        <v>N NOM DE VOTRE RECETTE | collez la--FAMILLE| Auteur &gt; VOUS</v>
      </c>
      <c r="D63" s="40">
        <f>D54</f>
        <v>4</v>
      </c>
      <c r="E63" s="41" t="str">
        <f>E54</f>
        <v>couverts</v>
      </c>
      <c r="F63" s="5386" t="str">
        <f>F54</f>
        <v>Recette mère ► Ballotine de pintade</v>
      </c>
      <c r="G63" s="213"/>
      <c r="H63" s="212"/>
      <c r="I63" s="211" t="str">
        <f t="shared" si="16"/>
        <v/>
      </c>
      <c r="J63" s="210"/>
      <c r="K63" s="6366"/>
      <c r="L63" s="5448">
        <v>1</v>
      </c>
      <c r="M63" s="6866"/>
      <c r="N63" s="6871"/>
      <c r="O63" s="6253">
        <f>IF(Q72=0,0,(Q63/Q72)*P57*1000)</f>
        <v>0</v>
      </c>
      <c r="P63" s="6255">
        <f>IF(Q72=0, 0, (G63*L63)/(Q72*P57))</f>
        <v>0</v>
      </c>
      <c r="Q63" s="5882">
        <f>IFERROR(_xlfn.LET(_xlpm.v,IFERROR(_xlfn.XLOOKUP(K63,G73:T73,G74:T74),_xlfn.XLOOKUP(K63,G75:T75,G76:T76)),_xlpm.v*J63*IF(ISBLANK(G63),1,G63)),0)</f>
        <v>0</v>
      </c>
      <c r="R63" s="5254">
        <f>IF(OR(ISBLANK(S53),S53=0),0,G63*S51*L63/S53)</f>
        <v>0</v>
      </c>
      <c r="S63" s="6051">
        <f>IF(OR(ISBLANK(S53),S53=0),0,Q63*L63*S51/S53)</f>
        <v>0</v>
      </c>
      <c r="T63" s="6199" t="str">
        <f>_xlfn.LET(_xlpm.unite,SUBSTITUTE(TRIM(K63)," (s)",""),_xlpm.val,S63,_xlpm.estVol,COUNTIF(M73:T73,_xlpm.unite)+COUNTIF(M75:T75,_xlpm.unite)&gt;0,_xlpm.estPoids,COUNTIF(G73:L73,_xlpm.unite)+COUNTIF(G75:L75,_xlpm.unite)&gt;0,IF(_xlpm.estVol,IF(ROUND(_xlpm.val,3)&gt;=1,ROUND(_xlpm.val,3)&amp;"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3" s="6872" t="s">
        <v>11049</v>
      </c>
      <c r="X63" s="1021" t="str">
        <f t="shared" si="20"/>
        <v>►</v>
      </c>
      <c r="Y63" s="41" t="str">
        <f>Y54</f>
        <v>N NAME OF YOUR RECIPE | paste it — FAMILY|  Author &gt; YOU</v>
      </c>
      <c r="Z63" s="40">
        <f>Z54</f>
        <v>0.6</v>
      </c>
      <c r="AA63" s="41" t="str">
        <f>AA54</f>
        <v>kg</v>
      </c>
      <c r="AB63" s="5386" t="str">
        <f>AB54</f>
        <v>Master recipe ► Guinea fowl ballotine</v>
      </c>
      <c r="AC63" s="213"/>
      <c r="AD63" s="212"/>
      <c r="AE63" s="211" t="str">
        <f t="shared" si="17"/>
        <v/>
      </c>
      <c r="AF63" s="210"/>
      <c r="AG63" s="6366"/>
      <c r="AH63" s="5448">
        <v>1</v>
      </c>
      <c r="AI63" s="6866"/>
      <c r="AJ63" s="6871"/>
      <c r="AK63" s="6253">
        <f>IF(AM72=0,0,(AM63/AM72)*AL57*1000)</f>
        <v>0</v>
      </c>
      <c r="AL63" s="6701">
        <f>IF(AM72=0, 0, (AC63*AH63)/(AM72*AL57))</f>
        <v>0</v>
      </c>
      <c r="AM63" s="5882">
        <f>IFERROR(_xlfn.LET(_xlpm.v,IFERROR(_xlfn.XLOOKUP(AG63,AC73:AP73,AC74:AP74),_xlfn.XLOOKUP(AG63,AC75:AP75,AC76:AP76)),_xlpm.v*AF63*IF(ISBLANK(AC63),1,AC63)),0)</f>
        <v>0</v>
      </c>
      <c r="AN63" s="5254">
        <f>IF(OR(ISBLANK(AO53),AO53=0),0,AC63*AO51*AH63/AO53)</f>
        <v>0</v>
      </c>
      <c r="AO63" s="6051">
        <f>IF(OR(ISBLANK(AO53),AO53=0),0,AM63*AH63*AO51/AO53)</f>
        <v>0</v>
      </c>
      <c r="AP63" s="6199" t="str">
        <f>_xlfn.LET(_xlpm.unite,SUBSTITUTE(TRIM(AG63)," (s)",""),_xlpm.val,AO63,_xlpm.estVol,COUNTIF(AI73:AP73,_xlpm.unite)+COUNTIF(AI75:AP75,_xlpm.unite)&gt;0,_xlpm.estPoids,COUNTIF(AC73:AH73,_xlpm.unite)+COUNTIF(AC75:AH75,_xlpm.unite)&gt;0,IF(_xlpm.estVol,IF(ROUND(_xlpm.val,3)&gt;=1,ROUND(_xlpm.val,3)&amp;"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3" s="6872" t="s">
        <v>11049</v>
      </c>
      <c r="AT63" s="1021" t="str">
        <f t="shared" si="21"/>
        <v>►</v>
      </c>
      <c r="AU63" s="41" t="str">
        <f>AU54</f>
        <v>N NOMBRE DE SU RECETA | pegue esto — FAMILIA| Autor &gt; USTED</v>
      </c>
      <c r="AV63" s="40">
        <f>AV54</f>
        <v>0.6</v>
      </c>
      <c r="AW63" s="41" t="str">
        <f>AW54</f>
        <v>kg</v>
      </c>
      <c r="AX63" s="5386" t="str">
        <f>AX54</f>
        <v>Receta madre ► Ballotina de pintada</v>
      </c>
      <c r="AY63" s="213"/>
      <c r="AZ63" s="212"/>
      <c r="BA63" s="211" t="str">
        <f t="shared" si="18"/>
        <v/>
      </c>
      <c r="BB63" s="210"/>
      <c r="BC63" s="6366"/>
      <c r="BD63" s="5448">
        <v>1</v>
      </c>
      <c r="BE63" s="6866"/>
      <c r="BF63" s="6871"/>
      <c r="BG63" s="6253">
        <f>IF(BI72=0,0,(BI63/BI72)*BH57*1000)</f>
        <v>0</v>
      </c>
      <c r="BH63" s="6701">
        <f>IF(BI72=0, 0, (AY63*BD63)/(BI72*BH57))</f>
        <v>0</v>
      </c>
      <c r="BI63" s="5882">
        <f>IFERROR(_xlfn.LET(_xlpm.v,IFERROR(_xlfn.XLOOKUP(BC63,AY73:BL73,AY74:BL74),_xlfn.XLOOKUP(BC63,AY75:BL75,AY76:BL76)),_xlpm.v*BB63*IF(ISBLANK(AY63),1,AY63)),0)</f>
        <v>0</v>
      </c>
      <c r="BJ63" s="5254">
        <f>IF(OR(ISBLANK(BK53),BK53=0),0,AY63*BK51*BD63/BK53)</f>
        <v>0</v>
      </c>
      <c r="BK63" s="6051">
        <f>IF(OR(ISBLANK(BK53),BK53=0),0,BI63*BD63*BK51/BK53)</f>
        <v>0</v>
      </c>
      <c r="BL63" s="6199" t="str">
        <f>_xlfn.LET(_xlpm.unite,SUBSTITUTE(TRIM(BC63)," (s)",""),_xlpm.val,BK63,_xlpm.estVol,COUNTIF(BE73:BL73,_xlpm.unite)+COUNTIF(BE75:BL75,_xlpm.unite)&gt;0,_xlpm.estPoids,COUNTIF(AY73:BD73,_xlpm.unite)+COUNTIF(AY75:BD75,_xlpm.unite)&gt;0,IF(_xlpm.estVol,IF(ROUND(_xlpm.val,3)&gt;=1,ROUND(_xlpm.val,3)&amp;"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3" s="6872" t="s">
        <v>11049</v>
      </c>
      <c r="BP63" s="969">
        <v>2</v>
      </c>
      <c r="BQ63" s="256"/>
      <c r="BR63" s="211" t="s">
        <v>186</v>
      </c>
      <c r="BS63" s="210">
        <v>1</v>
      </c>
      <c r="BT63" s="6285" t="s">
        <v>172</v>
      </c>
      <c r="BU63" s="5576">
        <v>1</v>
      </c>
      <c r="BV63" s="6463" t="s">
        <v>855</v>
      </c>
      <c r="BX63" s="969">
        <v>2</v>
      </c>
      <c r="BY63" s="256"/>
      <c r="BZ63" s="211" t="s">
        <v>186</v>
      </c>
      <c r="CA63" s="210">
        <v>1</v>
      </c>
      <c r="CB63" s="6285" t="s">
        <v>172</v>
      </c>
      <c r="CC63" s="5576">
        <v>1</v>
      </c>
      <c r="CD63" s="6463" t="s">
        <v>854</v>
      </c>
      <c r="CF63" s="969">
        <v>2</v>
      </c>
      <c r="CG63" s="256"/>
      <c r="CH63" s="211" t="s">
        <v>186</v>
      </c>
      <c r="CI63" s="210">
        <v>1</v>
      </c>
      <c r="CJ63" s="6285" t="s">
        <v>172</v>
      </c>
      <c r="CK63" s="5576">
        <v>1</v>
      </c>
      <c r="CL63" s="6463" t="s">
        <v>9418</v>
      </c>
      <c r="CN63" s="5">
        <v>1</v>
      </c>
    </row>
    <row r="64" spans="2:92" ht="21" customHeight="1">
      <c r="B64" s="1021" t="str">
        <f t="shared" si="19"/>
        <v>►</v>
      </c>
      <c r="C64" s="41" t="str">
        <f>C54</f>
        <v>N NOM DE VOTRE RECETTE | collez la--FAMILLE| Auteur &gt; VOUS</v>
      </c>
      <c r="D64" s="40">
        <f>D54</f>
        <v>4</v>
      </c>
      <c r="E64" s="41" t="str">
        <f>E54</f>
        <v>couverts</v>
      </c>
      <c r="F64" s="5386" t="str">
        <f>F54</f>
        <v>Recette mère ► Ballotine de pintade</v>
      </c>
      <c r="G64" s="213"/>
      <c r="H64" s="212"/>
      <c r="I64" s="211" t="str">
        <f t="shared" si="16"/>
        <v/>
      </c>
      <c r="J64" s="210"/>
      <c r="K64" s="6366"/>
      <c r="L64" s="5448">
        <v>1</v>
      </c>
      <c r="M64" s="6866"/>
      <c r="N64" s="6871"/>
      <c r="O64" s="6253">
        <f>IF(Q72=0,0,(Q64/Q72)*P57*1000)</f>
        <v>0</v>
      </c>
      <c r="P64" s="6255">
        <f>IF(Q72=0, 0, (G64*L64)/(Q72*P57))</f>
        <v>0</v>
      </c>
      <c r="Q64" s="5882">
        <f>IFERROR(_xlfn.LET(_xlpm.v,IFERROR(_xlfn.XLOOKUP(K64,G73:T73,G74:T74),_xlfn.XLOOKUP(K64,G75:T75,G76:T76)),_xlpm.v*J64*IF(ISBLANK(G64),1,G64)),0)</f>
        <v>0</v>
      </c>
      <c r="R64" s="5256">
        <f>IF(OR(ISBLANK(S53),S53=0),0,G64*S51*L64/S53)</f>
        <v>0</v>
      </c>
      <c r="S64" s="6051">
        <f>IF(OR(ISBLANK(S53),S53=0),0,Q64*L64*S51/S53)</f>
        <v>0</v>
      </c>
      <c r="T64" s="6200" t="str">
        <f>_xlfn.LET(_xlpm.unite,SUBSTITUTE(TRIM(K64)," (s)",""),_xlpm.val,S64,_xlpm.estVol,COUNTIF(M73:T73,_xlpm.unite)+COUNTIF(M75:T75,_xlpm.unite)&gt;0,_xlpm.estPoids,COUNTIF(G73:L73,_xlpm.unite)+COUNTIF(G75:L75,_xlpm.unite)&gt;0,IF(_xlpm.estVol,IF(ROUND(_xlpm.val,3)&gt;=1,ROUND(_xlpm.val,3)&amp;"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U64">
        <f>600/150</f>
        <v>4</v>
      </c>
      <c r="V64" s="6872" t="s">
        <v>11042</v>
      </c>
      <c r="W64">
        <f>600/150</f>
        <v>4</v>
      </c>
      <c r="X64" s="1021" t="str">
        <f t="shared" si="20"/>
        <v>►</v>
      </c>
      <c r="Y64" s="41" t="str">
        <f>Y54</f>
        <v>N NAME OF YOUR RECIPE | paste it — FAMILY|  Author &gt; YOU</v>
      </c>
      <c r="Z64" s="40">
        <f>Z54</f>
        <v>0.6</v>
      </c>
      <c r="AA64" s="41" t="str">
        <f>AA54</f>
        <v>kg</v>
      </c>
      <c r="AB64" s="5386" t="str">
        <f>AB54</f>
        <v>Master recipe ► Guinea fowl ballotine</v>
      </c>
      <c r="AC64" s="213"/>
      <c r="AD64" s="212"/>
      <c r="AE64" s="211" t="str">
        <f t="shared" si="17"/>
        <v/>
      </c>
      <c r="AF64" s="210"/>
      <c r="AG64" s="6366"/>
      <c r="AH64" s="5448">
        <v>1</v>
      </c>
      <c r="AI64" s="6866"/>
      <c r="AJ64" s="6871"/>
      <c r="AK64" s="6253">
        <f>IF(AM72=0,0,(AM64/AM72)*AL57*1000)</f>
        <v>0</v>
      </c>
      <c r="AL64" s="6701">
        <f>IF(AM72=0, 0, (AC64*AH64)/(AM72*AL57))</f>
        <v>0</v>
      </c>
      <c r="AM64" s="5882">
        <f>IFERROR(_xlfn.LET(_xlpm.v,IFERROR(_xlfn.XLOOKUP(AG64,AC73:AP73,AC74:AP74),_xlfn.XLOOKUP(AG64,AC75:AP75,AC76:AP76)),_xlpm.v*AF64*IF(ISBLANK(AC64),1,AC64)),0)</f>
        <v>0</v>
      </c>
      <c r="AN64" s="5256">
        <f>IF(OR(ISBLANK(AO53),AO53=0),0,AC64*AO51*AH64/AO53)</f>
        <v>0</v>
      </c>
      <c r="AO64" s="6051">
        <f>IF(OR(ISBLANK(AO53),AO53=0),0,AM64*AH64*AO51/AO53)</f>
        <v>0</v>
      </c>
      <c r="AP64" s="6200" t="str">
        <f>_xlfn.LET(_xlpm.unite,SUBSTITUTE(TRIM(AG64)," (s)",""),_xlpm.val,AO64,_xlpm.estVol,COUNTIF(AI73:AP73,_xlpm.unite)+COUNTIF(AI75:AP75,_xlpm.unite)&gt;0,_xlpm.estPoids,COUNTIF(AC73:AH73,_xlpm.unite)+COUNTIF(AC75:AH75,_xlpm.unite)&gt;0,IF(_xlpm.estVol,IF(ROUND(_xlpm.val,3)&gt;=1,ROUND(_xlpm.val,3)&amp;"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Q64">
        <f>600/150</f>
        <v>4</v>
      </c>
      <c r="AR64" s="6872" t="s">
        <v>11042</v>
      </c>
      <c r="AS64">
        <f>600/150</f>
        <v>4</v>
      </c>
      <c r="AT64" s="1021" t="str">
        <f t="shared" si="21"/>
        <v>►</v>
      </c>
      <c r="AU64" s="41" t="str">
        <f>AU54</f>
        <v>N NOMBRE DE SU RECETA | pegue esto — FAMILIA| Autor &gt; USTED</v>
      </c>
      <c r="AV64" s="40">
        <f>AV54</f>
        <v>0.6</v>
      </c>
      <c r="AW64" s="41" t="str">
        <f>AW54</f>
        <v>kg</v>
      </c>
      <c r="AX64" s="5386" t="str">
        <f>AX54</f>
        <v>Receta madre ► Ballotina de pintada</v>
      </c>
      <c r="AY64" s="213"/>
      <c r="AZ64" s="212"/>
      <c r="BA64" s="211" t="str">
        <f t="shared" si="18"/>
        <v/>
      </c>
      <c r="BB64" s="210"/>
      <c r="BC64" s="6366"/>
      <c r="BD64" s="5448">
        <v>1</v>
      </c>
      <c r="BE64" s="6866"/>
      <c r="BF64" s="6871"/>
      <c r="BG64" s="6253">
        <f>IF(BI72=0,0,(BI64/BI72)*BH57*1000)</f>
        <v>0</v>
      </c>
      <c r="BH64" s="6701">
        <f>IF(BI72=0, 0, (AY64*BD64)/(BI72*BH57))</f>
        <v>0</v>
      </c>
      <c r="BI64" s="5882">
        <f>IFERROR(_xlfn.LET(_xlpm.v,IFERROR(_xlfn.XLOOKUP(BC64,AY73:BL73,AY74:BL74),_xlfn.XLOOKUP(BC64,AY75:BL75,AY76:BL76)),_xlpm.v*BB64*IF(ISBLANK(AY64),1,AY64)),0)</f>
        <v>0</v>
      </c>
      <c r="BJ64" s="5256">
        <f>IF(OR(ISBLANK(BK53),BK53=0),0,AY64*BK51*BD64/BK53)</f>
        <v>0</v>
      </c>
      <c r="BK64" s="6051">
        <f>IF(OR(ISBLANK(BK53),BK53=0),0,BI64*BD64*BK51/BK53)</f>
        <v>0</v>
      </c>
      <c r="BL64" s="6200" t="str">
        <f>_xlfn.LET(_xlpm.unite,SUBSTITUTE(TRIM(BC64)," (s)",""),_xlpm.val,BK64,_xlpm.estVol,COUNTIF(BE73:BL73,_xlpm.unite)+COUNTIF(BE75:BL75,_xlpm.unite)&gt;0,_xlpm.estPoids,COUNTIF(AY73:BD73,_xlpm.unite)+COUNTIF(AY75:BD75,_xlpm.unite)&gt;0,IF(_xlpm.estVol,IF(ROUND(_xlpm.val,3)&gt;=1,ROUND(_xlpm.val,3)&amp;"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M64">
        <f>600/150</f>
        <v>4</v>
      </c>
      <c r="BN64" s="6872" t="s">
        <v>11042</v>
      </c>
      <c r="BO64">
        <f>600/150</f>
        <v>4</v>
      </c>
      <c r="BP64" s="969">
        <v>2</v>
      </c>
      <c r="BQ64" s="256"/>
      <c r="BR64" s="211" t="s">
        <v>186</v>
      </c>
      <c r="BS64" s="210">
        <v>10</v>
      </c>
      <c r="BT64" s="6283" t="s">
        <v>130</v>
      </c>
      <c r="BU64" s="5576">
        <v>1</v>
      </c>
      <c r="BV64" s="6463" t="s">
        <v>858</v>
      </c>
      <c r="BX64" s="969">
        <v>2</v>
      </c>
      <c r="BY64" s="256"/>
      <c r="BZ64" s="211" t="s">
        <v>186</v>
      </c>
      <c r="CA64" s="210">
        <v>10</v>
      </c>
      <c r="CB64" s="6283" t="s">
        <v>130</v>
      </c>
      <c r="CC64" s="5576">
        <v>1</v>
      </c>
      <c r="CD64" s="6463" t="s">
        <v>857</v>
      </c>
      <c r="CF64" s="969">
        <v>2</v>
      </c>
      <c r="CG64" s="256"/>
      <c r="CH64" s="211" t="s">
        <v>186</v>
      </c>
      <c r="CI64" s="210">
        <v>10</v>
      </c>
      <c r="CJ64" s="6283" t="s">
        <v>130</v>
      </c>
      <c r="CK64" s="5576">
        <v>1</v>
      </c>
      <c r="CL64" s="6463" t="s">
        <v>9419</v>
      </c>
      <c r="CN64" s="5">
        <v>1</v>
      </c>
    </row>
    <row r="65" spans="2:92" ht="21" customHeight="1">
      <c r="B65" s="1021" t="str">
        <f t="shared" si="19"/>
        <v>►</v>
      </c>
      <c r="C65" s="41" t="str">
        <f>C54</f>
        <v>N NOM DE VOTRE RECETTE | collez la--FAMILLE| Auteur &gt; VOUS</v>
      </c>
      <c r="D65" s="40">
        <f>D54</f>
        <v>4</v>
      </c>
      <c r="E65" s="41" t="str">
        <f>E54</f>
        <v>couverts</v>
      </c>
      <c r="F65" s="5386" t="str">
        <f>F54</f>
        <v>Recette mère ► Ballotine de pintade</v>
      </c>
      <c r="G65" s="213"/>
      <c r="H65" s="212"/>
      <c r="I65" s="211" t="str">
        <f t="shared" si="16"/>
        <v/>
      </c>
      <c r="J65" s="210"/>
      <c r="K65" s="6366"/>
      <c r="L65" s="5448">
        <v>1</v>
      </c>
      <c r="M65" s="6866"/>
      <c r="N65" s="6871"/>
      <c r="O65" s="6253">
        <f>IF(Q72=0,0,(Q65/Q72)*P57*1000)</f>
        <v>0</v>
      </c>
      <c r="P65" s="6255">
        <f>IF(Q72=0, 0, (G65*L65)/(Q72*P57))</f>
        <v>0</v>
      </c>
      <c r="Q65" s="5882">
        <f>IFERROR(_xlfn.LET(_xlpm.v,IFERROR(_xlfn.XLOOKUP(K65,G73:T73,G74:T74),_xlfn.XLOOKUP(K65,G75:T75,G76:T76)),_xlpm.v*J65*IF(ISBLANK(G65),1,G65)),0)</f>
        <v>0</v>
      </c>
      <c r="R65" s="5254">
        <f>IF(OR(ISBLANK(S53),S53=0),0,G65*S51*L65/S53)</f>
        <v>0</v>
      </c>
      <c r="S65" s="6051">
        <f>IF(OR(ISBLANK(S53),S53=0),0,Q65*L65*S51/S53)</f>
        <v>0</v>
      </c>
      <c r="T65" s="6199" t="str">
        <f>_xlfn.LET(_xlpm.unite,SUBSTITUTE(TRIM(K65)," (s)",""),_xlpm.val,S65,_xlpm.estVol,COUNTIF(M73:T73,_xlpm.unite)+COUNTIF(M75:T75,_xlpm.unite)&gt;0,_xlpm.estPoids,COUNTIF(G73:L73,_xlpm.unite)+COUNTIF(G75:L75,_xlpm.unite)&gt;0,IF(_xlpm.estVol,IF(ROUND(_xlpm.val,3)&gt;=1,ROUND(_xlpm.val,3)&amp;"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5" s="6872" t="s">
        <v>11050</v>
      </c>
      <c r="X65" s="1021" t="str">
        <f t="shared" si="20"/>
        <v>►</v>
      </c>
      <c r="Y65" s="41" t="str">
        <f>Y54</f>
        <v>N NAME OF YOUR RECIPE | paste it — FAMILY|  Author &gt; YOU</v>
      </c>
      <c r="Z65" s="40">
        <f>Z54</f>
        <v>0.6</v>
      </c>
      <c r="AA65" s="41" t="str">
        <f>AA54</f>
        <v>kg</v>
      </c>
      <c r="AB65" s="5386" t="str">
        <f>AB54</f>
        <v>Master recipe ► Guinea fowl ballotine</v>
      </c>
      <c r="AC65" s="213"/>
      <c r="AD65" s="212"/>
      <c r="AE65" s="211" t="str">
        <f t="shared" si="17"/>
        <v/>
      </c>
      <c r="AF65" s="210"/>
      <c r="AG65" s="6366"/>
      <c r="AH65" s="5448">
        <v>1</v>
      </c>
      <c r="AI65" s="6866"/>
      <c r="AJ65" s="6871"/>
      <c r="AK65" s="6253">
        <f>IF(AM72=0,0,(AM65/AM72)*AL57*1000)</f>
        <v>0</v>
      </c>
      <c r="AL65" s="6701">
        <f>IF(AM72=0, 0, (AC65*AH65)/(AM72*AL57))</f>
        <v>0</v>
      </c>
      <c r="AM65" s="5882">
        <f>IFERROR(_xlfn.LET(_xlpm.v,IFERROR(_xlfn.XLOOKUP(AG65,AC73:AP73,AC74:AP74),_xlfn.XLOOKUP(AG65,AC75:AP75,AC76:AP76)),_xlpm.v*AF65*IF(ISBLANK(AC65),1,AC65)),0)</f>
        <v>0</v>
      </c>
      <c r="AN65" s="5254">
        <f>IF(OR(ISBLANK(AO53),AO53=0),0,AC65*AO51*AH65/AO53)</f>
        <v>0</v>
      </c>
      <c r="AO65" s="6051">
        <f>IF(OR(ISBLANK(AO53),AO53=0),0,AM65*AH65*AO51/AO53)</f>
        <v>0</v>
      </c>
      <c r="AP65" s="6199" t="str">
        <f>_xlfn.LET(_xlpm.unite,SUBSTITUTE(TRIM(AG65)," (s)",""),_xlpm.val,AO65,_xlpm.estVol,COUNTIF(AI73:AP73,_xlpm.unite)+COUNTIF(AI75:AP75,_xlpm.unite)&gt;0,_xlpm.estPoids,COUNTIF(AC73:AH73,_xlpm.unite)+COUNTIF(AC75:AH75,_xlpm.unite)&gt;0,IF(_xlpm.estVol,IF(ROUND(_xlpm.val,3)&gt;=1,ROUND(_xlpm.val,3)&amp;"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5" s="6872" t="s">
        <v>11050</v>
      </c>
      <c r="AT65" s="1021" t="str">
        <f t="shared" si="21"/>
        <v>►</v>
      </c>
      <c r="AU65" s="41" t="str">
        <f>AU54</f>
        <v>N NOMBRE DE SU RECETA | pegue esto — FAMILIA| Autor &gt; USTED</v>
      </c>
      <c r="AV65" s="40">
        <f>AV54</f>
        <v>0.6</v>
      </c>
      <c r="AW65" s="41" t="str">
        <f>AW54</f>
        <v>kg</v>
      </c>
      <c r="AX65" s="5386" t="str">
        <f>AX54</f>
        <v>Receta madre ► Ballotina de pintada</v>
      </c>
      <c r="AY65" s="213"/>
      <c r="AZ65" s="212"/>
      <c r="BA65" s="211" t="str">
        <f t="shared" si="18"/>
        <v/>
      </c>
      <c r="BB65" s="210"/>
      <c r="BC65" s="6366"/>
      <c r="BD65" s="5448">
        <v>1</v>
      </c>
      <c r="BE65" s="6866"/>
      <c r="BF65" s="6871"/>
      <c r="BG65" s="6253">
        <f>IF(BI72=0,0,(BI65/BI72)*BH57*1000)</f>
        <v>0</v>
      </c>
      <c r="BH65" s="6701">
        <f>IF(BI72=0, 0, (AY65*BD65)/(BI72*BH57))</f>
        <v>0</v>
      </c>
      <c r="BI65" s="5882">
        <f>IFERROR(_xlfn.LET(_xlpm.v,IFERROR(_xlfn.XLOOKUP(BC65,AY73:BL73,AY74:BL74),_xlfn.XLOOKUP(BC65,AY75:BL75,AY76:BL76)),_xlpm.v*BB65*IF(ISBLANK(AY65),1,AY65)),0)</f>
        <v>0</v>
      </c>
      <c r="BJ65" s="5254">
        <f>IF(OR(ISBLANK(BK53),BK53=0),0,AY65*BK51*BD65/BK53)</f>
        <v>0</v>
      </c>
      <c r="BK65" s="6051">
        <f>IF(OR(ISBLANK(BK53),BK53=0),0,BI65*BD65*BK51/BK53)</f>
        <v>0</v>
      </c>
      <c r="BL65" s="6199" t="str">
        <f>_xlfn.LET(_xlpm.unite,SUBSTITUTE(TRIM(BC65)," (s)",""),_xlpm.val,BK65,_xlpm.estVol,COUNTIF(BE73:BL73,_xlpm.unite)+COUNTIF(BE75:BL75,_xlpm.unite)&gt;0,_xlpm.estPoids,COUNTIF(AY73:BD73,_xlpm.unite)+COUNTIF(AY75:BD75,_xlpm.unite)&gt;0,IF(_xlpm.estVol,IF(ROUND(_xlpm.val,3)&gt;=1,ROUND(_xlpm.val,3)&amp;"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5" s="6872" t="s">
        <v>11050</v>
      </c>
      <c r="BP65" s="6404"/>
      <c r="BQ65" s="5783"/>
      <c r="BR65" s="5783"/>
      <c r="BS65" s="5783"/>
      <c r="BT65" s="5783"/>
      <c r="BU65" s="5783"/>
      <c r="BV65" s="6403"/>
      <c r="BX65" s="6404"/>
      <c r="BY65" s="5783"/>
      <c r="BZ65" s="5783"/>
      <c r="CA65" s="5783"/>
      <c r="CB65" s="5783"/>
      <c r="CC65" s="5783"/>
      <c r="CD65" s="6403"/>
      <c r="CF65" s="6404"/>
      <c r="CG65" s="5783"/>
      <c r="CH65" s="5783"/>
      <c r="CI65" s="5783"/>
      <c r="CJ65" s="5783"/>
      <c r="CK65" s="5783"/>
      <c r="CL65" s="6403"/>
      <c r="CN65" s="5">
        <v>1</v>
      </c>
    </row>
    <row r="66" spans="2:92" ht="21" customHeight="1">
      <c r="B66" s="1021" t="str">
        <f t="shared" si="19"/>
        <v>►</v>
      </c>
      <c r="C66" s="41" t="str">
        <f>C54</f>
        <v>N NOM DE VOTRE RECETTE | collez la--FAMILLE| Auteur &gt; VOUS</v>
      </c>
      <c r="D66" s="40">
        <f>D54</f>
        <v>4</v>
      </c>
      <c r="E66" s="41" t="str">
        <f>E54</f>
        <v>couverts</v>
      </c>
      <c r="F66" s="5386" t="str">
        <f>F54</f>
        <v>Recette mère ► Ballotine de pintade</v>
      </c>
      <c r="G66" s="213"/>
      <c r="H66" s="212"/>
      <c r="I66" s="211" t="str">
        <f t="shared" si="16"/>
        <v/>
      </c>
      <c r="J66" s="210"/>
      <c r="K66" s="6366"/>
      <c r="L66" s="5448">
        <v>1</v>
      </c>
      <c r="M66" s="6866"/>
      <c r="N66" s="6871"/>
      <c r="O66" s="6253">
        <f>IF(Q72=0,0,(Q66/Q72)*P57*1000)</f>
        <v>0</v>
      </c>
      <c r="P66" s="6255">
        <f>IF(Q72=0, 0, (G66*L66)/(Q72*P57))</f>
        <v>0</v>
      </c>
      <c r="Q66" s="5882">
        <f>IFERROR(_xlfn.LET(_xlpm.v,IFERROR(_xlfn.XLOOKUP(K66,G73:T73,G74:T74),_xlfn.XLOOKUP(K66,G75:T75,G76:T76)),_xlpm.v*J66*IF(ISBLANK(G66),1,G66)),0)</f>
        <v>0</v>
      </c>
      <c r="R66" s="5256">
        <f>IF(OR(ISBLANK(S53),S53=0),0,G66*S51*L66/S53)</f>
        <v>0</v>
      </c>
      <c r="S66" s="6051">
        <f>IF(OR(ISBLANK(S53),S53=0),0,Q66*L66*S51/S53)</f>
        <v>0</v>
      </c>
      <c r="T66" s="6200" t="str">
        <f>_xlfn.LET(_xlpm.unite,SUBSTITUTE(TRIM(K66)," (s)",""),_xlpm.val,S66,_xlpm.estVol,COUNTIF(M73:T73,_xlpm.unite)+COUNTIF(M75:T75,_xlpm.unite)&gt;0,_xlpm.estPoids,COUNTIF(G73:L73,_xlpm.unite)+COUNTIF(G75:L75,_xlpm.unite)&gt;0,IF(_xlpm.estVol,IF(ROUND(_xlpm.val,3)&gt;=1,ROUND(_xlpm.val,3)&amp;"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6" s="6872" t="s">
        <v>11051</v>
      </c>
      <c r="X66" s="1021" t="str">
        <f t="shared" si="20"/>
        <v>►</v>
      </c>
      <c r="Y66" s="41" t="str">
        <f>Y54</f>
        <v>N NAME OF YOUR RECIPE | paste it — FAMILY|  Author &gt; YOU</v>
      </c>
      <c r="Z66" s="40">
        <f>Z54</f>
        <v>0.6</v>
      </c>
      <c r="AA66" s="41" t="str">
        <f>AA54</f>
        <v>kg</v>
      </c>
      <c r="AB66" s="5386" t="str">
        <f>AB54</f>
        <v>Master recipe ► Guinea fowl ballotine</v>
      </c>
      <c r="AC66" s="213"/>
      <c r="AD66" s="212"/>
      <c r="AE66" s="211" t="str">
        <f t="shared" si="17"/>
        <v/>
      </c>
      <c r="AF66" s="210"/>
      <c r="AG66" s="6366"/>
      <c r="AH66" s="5448">
        <v>1</v>
      </c>
      <c r="AI66" s="6866"/>
      <c r="AJ66" s="6871"/>
      <c r="AK66" s="6253">
        <f>IF(AM72=0,0,(AM66/AM72)*AL57*1000)</f>
        <v>0</v>
      </c>
      <c r="AL66" s="6701">
        <f>IF(AM72=0, 0, (AC66*AH66)/(AM72*AL57))</f>
        <v>0</v>
      </c>
      <c r="AM66" s="5882">
        <f>IFERROR(_xlfn.LET(_xlpm.v,IFERROR(_xlfn.XLOOKUP(AG66,AC73:AP73,AC74:AP74),_xlfn.XLOOKUP(AG66,AC75:AP75,AC76:AP76)),_xlpm.v*AF66*IF(ISBLANK(AC66),1,AC66)),0)</f>
        <v>0</v>
      </c>
      <c r="AN66" s="5256">
        <f>IF(OR(ISBLANK(AO53),AO53=0),0,AC66*AO51*AH66/AO53)</f>
        <v>0</v>
      </c>
      <c r="AO66" s="6051">
        <f>IF(OR(ISBLANK(AO53),AO53=0),0,AM66*AH66*AO51/AO53)</f>
        <v>0</v>
      </c>
      <c r="AP66" s="6200" t="str">
        <f>_xlfn.LET(_xlpm.unite,SUBSTITUTE(TRIM(AG66)," (s)",""),_xlpm.val,AO66,_xlpm.estVol,COUNTIF(AI73:AP73,_xlpm.unite)+COUNTIF(AI75:AP75,_xlpm.unite)&gt;0,_xlpm.estPoids,COUNTIF(AC73:AH73,_xlpm.unite)+COUNTIF(AC75:AH75,_xlpm.unite)&gt;0,IF(_xlpm.estVol,IF(ROUND(_xlpm.val,3)&gt;=1,ROUND(_xlpm.val,3)&amp;"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6" s="6872" t="s">
        <v>11051</v>
      </c>
      <c r="AT66" s="1021" t="str">
        <f t="shared" si="21"/>
        <v>►</v>
      </c>
      <c r="AU66" s="41" t="str">
        <f>AU54</f>
        <v>N NOMBRE DE SU RECETA | pegue esto — FAMILIA| Autor &gt; USTED</v>
      </c>
      <c r="AV66" s="40">
        <f>AV54</f>
        <v>0.6</v>
      </c>
      <c r="AW66" s="41" t="str">
        <f>AW54</f>
        <v>kg</v>
      </c>
      <c r="AX66" s="5386" t="str">
        <f>AX54</f>
        <v>Receta madre ► Ballotina de pintada</v>
      </c>
      <c r="AY66" s="213"/>
      <c r="AZ66" s="212"/>
      <c r="BA66" s="211" t="str">
        <f t="shared" si="18"/>
        <v/>
      </c>
      <c r="BB66" s="210"/>
      <c r="BC66" s="6366"/>
      <c r="BD66" s="5448">
        <v>1</v>
      </c>
      <c r="BE66" s="6866"/>
      <c r="BF66" s="6871"/>
      <c r="BG66" s="6253">
        <f>IF(BI72=0,0,(BI66/BI72)*BH57*1000)</f>
        <v>0</v>
      </c>
      <c r="BH66" s="6701">
        <f>IF(BI72=0, 0, (AY66*BD66)/(BI72*BH57))</f>
        <v>0</v>
      </c>
      <c r="BI66" s="5882">
        <f>IFERROR(_xlfn.LET(_xlpm.v,IFERROR(_xlfn.XLOOKUP(BC66,AY73:BL73,AY74:BL74),_xlfn.XLOOKUP(BC66,AY75:BL75,AY76:BL76)),_xlpm.v*BB66*IF(ISBLANK(AY66),1,AY66)),0)</f>
        <v>0</v>
      </c>
      <c r="BJ66" s="5256">
        <f>IF(OR(ISBLANK(BK53),BK53=0),0,AY66*BK51*BD66/BK53)</f>
        <v>0</v>
      </c>
      <c r="BK66" s="6051">
        <f>IF(OR(ISBLANK(BK53),BK53=0),0,BI66*BD66*BK51/BK53)</f>
        <v>0</v>
      </c>
      <c r="BL66" s="6200" t="str">
        <f>_xlfn.LET(_xlpm.unite,SUBSTITUTE(TRIM(BC66)," (s)",""),_xlpm.val,BK66,_xlpm.estVol,COUNTIF(BE73:BL73,_xlpm.unite)+COUNTIF(BE75:BL75,_xlpm.unite)&gt;0,_xlpm.estPoids,COUNTIF(AY73:BD73,_xlpm.unite)+COUNTIF(AY75:BD75,_xlpm.unite)&gt;0,IF(_xlpm.estVol,IF(ROUND(_xlpm.val,3)&gt;=1,ROUND(_xlpm.val,3)&amp;"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6" s="6872" t="s">
        <v>11051</v>
      </c>
      <c r="BP66" s="6485" t="s">
        <v>783</v>
      </c>
      <c r="BQ66" s="6257" t="s">
        <v>191</v>
      </c>
      <c r="BR66" s="6888" t="s">
        <v>929</v>
      </c>
      <c r="BS66" s="6890" t="s">
        <v>191</v>
      </c>
      <c r="BT66" s="6892" t="s">
        <v>8009</v>
      </c>
      <c r="BU66" s="7110" t="s">
        <v>8010</v>
      </c>
      <c r="BV66" s="6452"/>
      <c r="BX66" s="6485" t="s">
        <v>8377</v>
      </c>
      <c r="BY66" s="6257" t="s">
        <v>8382</v>
      </c>
      <c r="BZ66" s="6888" t="s">
        <v>9265</v>
      </c>
      <c r="CA66" s="6890" t="s">
        <v>8382</v>
      </c>
      <c r="CB66" s="6892" t="s">
        <v>9535</v>
      </c>
      <c r="CC66" s="7110" t="s">
        <v>8384</v>
      </c>
      <c r="CD66" s="6452"/>
      <c r="CF66" s="6485" t="s">
        <v>8406</v>
      </c>
      <c r="CG66" s="6257" t="s">
        <v>8419</v>
      </c>
      <c r="CH66" s="6888" t="s">
        <v>9420</v>
      </c>
      <c r="CI66" s="6890" t="s">
        <v>8419</v>
      </c>
      <c r="CJ66" s="6892" t="s">
        <v>9536</v>
      </c>
      <c r="CK66" s="7110" t="s">
        <v>8421</v>
      </c>
      <c r="CL66" s="6452"/>
      <c r="CN66" s="5">
        <v>1</v>
      </c>
    </row>
    <row r="67" spans="2:92" ht="21" customHeight="1">
      <c r="B67" s="1021" t="str">
        <f t="shared" si="19"/>
        <v>►</v>
      </c>
      <c r="C67" s="41" t="str">
        <f>C54</f>
        <v>N NOM DE VOTRE RECETTE | collez la--FAMILLE| Auteur &gt; VOUS</v>
      </c>
      <c r="D67" s="40">
        <f>D54</f>
        <v>4</v>
      </c>
      <c r="E67" s="41" t="str">
        <f>E54</f>
        <v>couverts</v>
      </c>
      <c r="F67" s="5386" t="str">
        <f>F54</f>
        <v>Recette mère ► Ballotine de pintade</v>
      </c>
      <c r="G67" s="213"/>
      <c r="H67" s="212"/>
      <c r="I67" s="211" t="str">
        <f t="shared" si="16"/>
        <v/>
      </c>
      <c r="J67" s="210"/>
      <c r="K67" s="6366"/>
      <c r="L67" s="5448">
        <v>1</v>
      </c>
      <c r="M67" s="6866"/>
      <c r="N67" s="6871"/>
      <c r="O67" s="6253">
        <f>IF(Q72=0,0,(Q67/Q72)*P57*1000)</f>
        <v>0</v>
      </c>
      <c r="P67" s="6255">
        <f>IF(Q72=0, 0, (G67*L67)/(Q72*P57))</f>
        <v>0</v>
      </c>
      <c r="Q67" s="5882">
        <f>IFERROR(_xlfn.LET(_xlpm.v,IFERROR(_xlfn.XLOOKUP(K67,G73:T73,G74:T74),_xlfn.XLOOKUP(K67,G75:T75,G76:T76)),_xlpm.v*J67*IF(ISBLANK(G67),1,G67)),0)</f>
        <v>0</v>
      </c>
      <c r="R67" s="5254">
        <f>IF(OR(ISBLANK(S53),S53=0),0,G67*S51*L67/S53)</f>
        <v>0</v>
      </c>
      <c r="S67" s="6051">
        <f>IF(OR(ISBLANK(S53),S53=0),0,Q67*L67*S51/S53)</f>
        <v>0</v>
      </c>
      <c r="T67" s="6199" t="str">
        <f>_xlfn.LET(_xlpm.unite,SUBSTITUTE(TRIM(K67)," (s)",""),_xlpm.val,S67,_xlpm.estVol,COUNTIF(M73:T73,_xlpm.unite)+COUNTIF(M75:T75,_xlpm.unite)&gt;0,_xlpm.estPoids,COUNTIF(G73:L73,_xlpm.unite)+COUNTIF(G75:L75,_xlpm.unite)&gt;0,IF(_xlpm.estVol,IF(ROUND(_xlpm.val,3)&gt;=1,ROUND(_xlpm.val,3)&amp;"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7" s="6872" t="s">
        <v>11052</v>
      </c>
      <c r="X67" s="1021" t="str">
        <f t="shared" si="20"/>
        <v>►</v>
      </c>
      <c r="Y67" s="41" t="str">
        <f>Y54</f>
        <v>N NAME OF YOUR RECIPE | paste it — FAMILY|  Author &gt; YOU</v>
      </c>
      <c r="Z67" s="40">
        <f>Z54</f>
        <v>0.6</v>
      </c>
      <c r="AA67" s="41" t="str">
        <f>AA54</f>
        <v>kg</v>
      </c>
      <c r="AB67" s="5386" t="str">
        <f>AB54</f>
        <v>Master recipe ► Guinea fowl ballotine</v>
      </c>
      <c r="AC67" s="213"/>
      <c r="AD67" s="212"/>
      <c r="AE67" s="211" t="str">
        <f t="shared" si="17"/>
        <v/>
      </c>
      <c r="AF67" s="210"/>
      <c r="AG67" s="6366"/>
      <c r="AH67" s="5448">
        <v>1</v>
      </c>
      <c r="AI67" s="6866"/>
      <c r="AJ67" s="6871"/>
      <c r="AK67" s="6253">
        <f>IF(AM72=0,0,(AM67/AM72)*AL57*1000)</f>
        <v>0</v>
      </c>
      <c r="AL67" s="6701">
        <f>IF(AM72=0, 0, (AC67*AH67)/(AM72*AL57))</f>
        <v>0</v>
      </c>
      <c r="AM67" s="5882">
        <f>IFERROR(_xlfn.LET(_xlpm.v,IFERROR(_xlfn.XLOOKUP(AG67,AC73:AP73,AC74:AP74),_xlfn.XLOOKUP(AG67,AC75:AP75,AC76:AP76)),_xlpm.v*AF67*IF(ISBLANK(AC67),1,AC67)),0)</f>
        <v>0</v>
      </c>
      <c r="AN67" s="5254">
        <f>IF(OR(ISBLANK(AO53),AO53=0),0,AC67*AO51*AH67/AO53)</f>
        <v>0</v>
      </c>
      <c r="AO67" s="6051">
        <f>IF(OR(ISBLANK(AO53),AO53=0),0,AM67*AH67*AO51/AO53)</f>
        <v>0</v>
      </c>
      <c r="AP67" s="6199" t="str">
        <f>_xlfn.LET(_xlpm.unite,SUBSTITUTE(TRIM(AG67)," (s)",""),_xlpm.val,AO67,_xlpm.estVol,COUNTIF(AI73:AP73,_xlpm.unite)+COUNTIF(AI75:AP75,_xlpm.unite)&gt;0,_xlpm.estPoids,COUNTIF(AC73:AH73,_xlpm.unite)+COUNTIF(AC75:AH75,_xlpm.unite)&gt;0,IF(_xlpm.estVol,IF(ROUND(_xlpm.val,3)&gt;=1,ROUND(_xlpm.val,3)&amp;"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7" s="6872" t="s">
        <v>11052</v>
      </c>
      <c r="AT67" s="1021" t="str">
        <f t="shared" si="21"/>
        <v>►</v>
      </c>
      <c r="AU67" s="41" t="str">
        <f>AU54</f>
        <v>N NOMBRE DE SU RECETA | pegue esto — FAMILIA| Autor &gt; USTED</v>
      </c>
      <c r="AV67" s="40">
        <f>AV54</f>
        <v>0.6</v>
      </c>
      <c r="AW67" s="41" t="str">
        <f>AW54</f>
        <v>kg</v>
      </c>
      <c r="AX67" s="5386" t="str">
        <f>AX54</f>
        <v>Receta madre ► Ballotina de pintada</v>
      </c>
      <c r="AY67" s="213"/>
      <c r="AZ67" s="212"/>
      <c r="BA67" s="211" t="str">
        <f t="shared" si="18"/>
        <v/>
      </c>
      <c r="BB67" s="210"/>
      <c r="BC67" s="6366"/>
      <c r="BD67" s="5448">
        <v>1</v>
      </c>
      <c r="BE67" s="6866"/>
      <c r="BF67" s="6871"/>
      <c r="BG67" s="6253">
        <f>IF(BI72=0,0,(BI67/BI72)*BH57*1000)</f>
        <v>0</v>
      </c>
      <c r="BH67" s="6701">
        <f>IF(BI72=0, 0, (AY67*BD67)/(BI72*BH57))</f>
        <v>0</v>
      </c>
      <c r="BI67" s="5882">
        <f>IFERROR(_xlfn.LET(_xlpm.v,IFERROR(_xlfn.XLOOKUP(BC67,AY73:BL73,AY74:BL74),_xlfn.XLOOKUP(BC67,AY75:BL75,AY76:BL76)),_xlpm.v*BB67*IF(ISBLANK(AY67),1,AY67)),0)</f>
        <v>0</v>
      </c>
      <c r="BJ67" s="5254">
        <f>IF(OR(ISBLANK(BK53),BK53=0),0,AY67*BK51*BD67/BK53)</f>
        <v>0</v>
      </c>
      <c r="BK67" s="6051">
        <f>IF(OR(ISBLANK(BK53),BK53=0),0,BI67*BD67*BK51/BK53)</f>
        <v>0</v>
      </c>
      <c r="BL67" s="6199" t="str">
        <f>_xlfn.LET(_xlpm.unite,SUBSTITUTE(TRIM(BC67)," (s)",""),_xlpm.val,BK67,_xlpm.estVol,COUNTIF(BE73:BL73,_xlpm.unite)+COUNTIF(BE75:BL75,_xlpm.unite)&gt;0,_xlpm.estPoids,COUNTIF(AY73:BD73,_xlpm.unite)+COUNTIF(AY75:BD75,_xlpm.unite)&gt;0,IF(_xlpm.estVol,IF(ROUND(_xlpm.val,3)&gt;=1,ROUND(_xlpm.val,3)&amp;"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7" s="6872" t="s">
        <v>11052</v>
      </c>
      <c r="BP67" s="6486" t="s">
        <v>8578</v>
      </c>
      <c r="BQ67" s="6019">
        <v>1</v>
      </c>
      <c r="BR67" s="6889"/>
      <c r="BS67" s="6891"/>
      <c r="BT67" s="6893"/>
      <c r="BU67" s="7111"/>
      <c r="BV67" s="6452"/>
      <c r="BX67" s="6486" t="s">
        <v>8578</v>
      </c>
      <c r="BY67" s="6019">
        <v>1</v>
      </c>
      <c r="BZ67" s="6889"/>
      <c r="CA67" s="6891"/>
      <c r="CB67" s="6893"/>
      <c r="CC67" s="7111"/>
      <c r="CD67" s="6452"/>
      <c r="CF67" s="6486" t="s">
        <v>8578</v>
      </c>
      <c r="CG67" s="6019">
        <v>1</v>
      </c>
      <c r="CH67" s="6889"/>
      <c r="CI67" s="6891"/>
      <c r="CJ67" s="6893"/>
      <c r="CK67" s="7111"/>
      <c r="CL67" s="6452"/>
      <c r="CN67" s="5">
        <v>1</v>
      </c>
    </row>
    <row r="68" spans="2:92" ht="21" customHeight="1">
      <c r="B68" s="1021" t="str">
        <f t="shared" si="19"/>
        <v>►</v>
      </c>
      <c r="C68" s="41" t="str">
        <f>C54</f>
        <v>N NOM DE VOTRE RECETTE | collez la--FAMILLE| Auteur &gt; VOUS</v>
      </c>
      <c r="D68" s="40">
        <f>D54</f>
        <v>4</v>
      </c>
      <c r="E68" s="41" t="str">
        <f>E54</f>
        <v>couverts</v>
      </c>
      <c r="F68" s="5386" t="str">
        <f>F54</f>
        <v>Recette mère ► Ballotine de pintade</v>
      </c>
      <c r="G68" s="213"/>
      <c r="H68" s="212"/>
      <c r="I68" s="211" t="str">
        <f t="shared" si="16"/>
        <v/>
      </c>
      <c r="J68" s="210"/>
      <c r="K68" s="6366"/>
      <c r="L68" s="5448">
        <v>1</v>
      </c>
      <c r="M68" s="6866"/>
      <c r="N68" s="6871"/>
      <c r="O68" s="6253">
        <f>IF(Q72=0,0,(Q68/Q72)*P57*1000)</f>
        <v>0</v>
      </c>
      <c r="P68" s="6255">
        <f>IF(Q72=0, 0, (G68*L68)/(Q72*P57))</f>
        <v>0</v>
      </c>
      <c r="Q68" s="5882">
        <f>IFERROR(_xlfn.LET(_xlpm.v,IFERROR(_xlfn.XLOOKUP(K68,G73:T73,G74:T74),_xlfn.XLOOKUP(K68,G75:T75,G76:T76)),_xlpm.v*J68*IF(ISBLANK(G68),1,G68)),0)</f>
        <v>0</v>
      </c>
      <c r="R68" s="5256">
        <f>IF(OR(ISBLANK(S53),S53=0),0,G68*S51*L68/S53)</f>
        <v>0</v>
      </c>
      <c r="S68" s="6051">
        <f>IF(OR(ISBLANK(S53),S53=0),0,Q68*L68*S51/S53)</f>
        <v>0</v>
      </c>
      <c r="T68" s="6201" t="str">
        <f>_xlfn.LET(_xlpm.unite,SUBSTITUTE(TRIM(K68)," (s)",""),_xlpm.val,S68,_xlpm.estVol,COUNTIF(M73:T73,_xlpm.unite)+COUNTIF(M75:T75,_xlpm.unite)&gt;0,_xlpm.estPoids,COUNTIF(G73:L73,_xlpm.unite)+COUNTIF(G75:L75,_xlpm.unite)&gt;0,IF(_xlpm.estVol,IF(ROUND(_xlpm.val,3)&gt;=1,ROUND(_xlpm.val,3)&amp;"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8" s="6872" t="s">
        <v>11053</v>
      </c>
      <c r="X68" s="1021" t="str">
        <f t="shared" si="20"/>
        <v>►</v>
      </c>
      <c r="Y68" s="41" t="str">
        <f>Y54</f>
        <v>N NAME OF YOUR RECIPE | paste it — FAMILY|  Author &gt; YOU</v>
      </c>
      <c r="Z68" s="40">
        <f>Z54</f>
        <v>0.6</v>
      </c>
      <c r="AA68" s="41" t="str">
        <f>AA54</f>
        <v>kg</v>
      </c>
      <c r="AB68" s="5386" t="str">
        <f>AB54</f>
        <v>Master recipe ► Guinea fowl ballotine</v>
      </c>
      <c r="AC68" s="213"/>
      <c r="AD68" s="212"/>
      <c r="AE68" s="211" t="str">
        <f t="shared" si="17"/>
        <v/>
      </c>
      <c r="AF68" s="210"/>
      <c r="AG68" s="6366"/>
      <c r="AH68" s="5448">
        <v>1</v>
      </c>
      <c r="AI68" s="6866"/>
      <c r="AJ68" s="6871"/>
      <c r="AK68" s="6253">
        <f>IF(AM72=0,0,(AM68/AM72)*AL57*1000)</f>
        <v>0</v>
      </c>
      <c r="AL68" s="6701">
        <f>IF(AM72=0, 0, (AC68*AH68)/(AM72*AL57))</f>
        <v>0</v>
      </c>
      <c r="AM68" s="5882">
        <f>IFERROR(_xlfn.LET(_xlpm.v,IFERROR(_xlfn.XLOOKUP(AG68,AC73:AP73,AC74:AP74),_xlfn.XLOOKUP(AG68,AC75:AP75,AC76:AP76)),_xlpm.v*AF68*IF(ISBLANK(AC68),1,AC68)),0)</f>
        <v>0</v>
      </c>
      <c r="AN68" s="5256">
        <f>IF(OR(ISBLANK(AO53),AO53=0),0,AC68*AO51*AH68/AO53)</f>
        <v>0</v>
      </c>
      <c r="AO68" s="6051">
        <f>IF(OR(ISBLANK(AO53),AO53=0),0,AM68*AH68*AO51/AO53)</f>
        <v>0</v>
      </c>
      <c r="AP68" s="6201" t="str">
        <f>_xlfn.LET(_xlpm.unite,SUBSTITUTE(TRIM(AG68)," (s)",""),_xlpm.val,AO68,_xlpm.estVol,COUNTIF(AI73:AP73,_xlpm.unite)+COUNTIF(AI75:AP75,_xlpm.unite)&gt;0,_xlpm.estPoids,COUNTIF(AC73:AH73,_xlpm.unite)+COUNTIF(AC75:AH75,_xlpm.unite)&gt;0,IF(_xlpm.estVol,IF(ROUND(_xlpm.val,3)&gt;=1,ROUND(_xlpm.val,3)&amp;"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8" s="6872" t="s">
        <v>11053</v>
      </c>
      <c r="AT68" s="1021" t="str">
        <f t="shared" si="21"/>
        <v>►</v>
      </c>
      <c r="AU68" s="41" t="str">
        <f>AU54</f>
        <v>N NOMBRE DE SU RECETA | pegue esto — FAMILIA| Autor &gt; USTED</v>
      </c>
      <c r="AV68" s="40">
        <f>AV54</f>
        <v>0.6</v>
      </c>
      <c r="AW68" s="41" t="str">
        <f>AW54</f>
        <v>kg</v>
      </c>
      <c r="AX68" s="5386" t="str">
        <f>AX54</f>
        <v>Receta madre ► Ballotina de pintada</v>
      </c>
      <c r="AY68" s="213"/>
      <c r="AZ68" s="212"/>
      <c r="BA68" s="211" t="str">
        <f t="shared" si="18"/>
        <v/>
      </c>
      <c r="BB68" s="210"/>
      <c r="BC68" s="6366"/>
      <c r="BD68" s="5448">
        <v>1</v>
      </c>
      <c r="BE68" s="6866"/>
      <c r="BF68" s="6871"/>
      <c r="BG68" s="6253">
        <f>IF(BI72=0,0,(BI68/BI72)*BH57*1000)</f>
        <v>0</v>
      </c>
      <c r="BH68" s="6701">
        <f>IF(BI72=0, 0, (AY68*BD68)/(BI72*BH57))</f>
        <v>0</v>
      </c>
      <c r="BI68" s="5882">
        <f>IFERROR(_xlfn.LET(_xlpm.v,IFERROR(_xlfn.XLOOKUP(BC68,AY73:BL73,AY74:BL74),_xlfn.XLOOKUP(BC68,AY75:BL75,AY76:BL76)),_xlpm.v*BB68*IF(ISBLANK(AY68),1,AY68)),0)</f>
        <v>0</v>
      </c>
      <c r="BJ68" s="5256">
        <f>IF(OR(ISBLANK(BK53),BK53=0),0,AY68*BK51*BD68/BK53)</f>
        <v>0</v>
      </c>
      <c r="BK68" s="6051">
        <f>IF(OR(ISBLANK(BK53),BK53=0),0,BI68*BD68*BK51/BK53)</f>
        <v>0</v>
      </c>
      <c r="BL68" s="6201" t="str">
        <f>_xlfn.LET(_xlpm.unite,SUBSTITUTE(TRIM(BC68)," (s)",""),_xlpm.val,BK68,_xlpm.estVol,COUNTIF(BE73:BL73,_xlpm.unite)+COUNTIF(BE75:BL75,_xlpm.unite)&gt;0,_xlpm.estPoids,COUNTIF(AY73:BD73,_xlpm.unite)+COUNTIF(AY75:BD75,_xlpm.unite)&gt;0,IF(_xlpm.estVol,IF(ROUND(_xlpm.val,3)&gt;=1,ROUND(_xlpm.val,3)&amp;"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8" s="6872" t="s">
        <v>11053</v>
      </c>
      <c r="BP68" s="6487">
        <v>58.445353594389253</v>
      </c>
      <c r="BQ68" s="6254">
        <v>0.58445353594389249</v>
      </c>
      <c r="BR68" s="5882">
        <v>0.2</v>
      </c>
      <c r="BS68" s="5251">
        <v>4</v>
      </c>
      <c r="BT68" s="6051">
        <v>0.4</v>
      </c>
      <c r="BU68" s="6457" t="s">
        <v>9193</v>
      </c>
      <c r="BV68" s="6452"/>
      <c r="BX68" s="6487">
        <v>58.445353594389253</v>
      </c>
      <c r="BY68" s="6254">
        <v>0.58445353594389249</v>
      </c>
      <c r="BZ68" s="5882">
        <v>0.2</v>
      </c>
      <c r="CA68" s="5251">
        <v>4</v>
      </c>
      <c r="CB68" s="6051">
        <v>0.4</v>
      </c>
      <c r="CC68" s="6457" t="s">
        <v>9193</v>
      </c>
      <c r="CD68" s="6452"/>
      <c r="CF68" s="6487">
        <v>58.445353594389253</v>
      </c>
      <c r="CG68" s="6254">
        <v>0.58445353594389249</v>
      </c>
      <c r="CH68" s="5882">
        <v>0.2</v>
      </c>
      <c r="CI68" s="5251">
        <v>4</v>
      </c>
      <c r="CJ68" s="6051">
        <v>0.4</v>
      </c>
      <c r="CK68" s="6457" t="s">
        <v>9193</v>
      </c>
      <c r="CL68" s="6452"/>
      <c r="CN68" s="5">
        <v>1</v>
      </c>
    </row>
    <row r="69" spans="2:92" ht="21" customHeight="1">
      <c r="B69" s="1021" t="str">
        <f t="shared" si="19"/>
        <v>►</v>
      </c>
      <c r="C69" s="41" t="str">
        <f>C54</f>
        <v>N NOM DE VOTRE RECETTE | collez la--FAMILLE| Auteur &gt; VOUS</v>
      </c>
      <c r="D69" s="40">
        <f>D54</f>
        <v>4</v>
      </c>
      <c r="E69" s="41" t="str">
        <f>E54</f>
        <v>couverts</v>
      </c>
      <c r="F69" s="5386" t="str">
        <f>F54</f>
        <v>Recette mère ► Ballotine de pintade</v>
      </c>
      <c r="G69" s="213"/>
      <c r="H69" s="212"/>
      <c r="I69" s="211" t="str">
        <f t="shared" si="16"/>
        <v/>
      </c>
      <c r="J69" s="210"/>
      <c r="K69" s="6366"/>
      <c r="L69" s="5448">
        <v>1</v>
      </c>
      <c r="M69" s="6866"/>
      <c r="N69" s="6871"/>
      <c r="O69" s="6253">
        <f>IF(Q72=0,0,(Q69/Q72)*P57*1000)</f>
        <v>0</v>
      </c>
      <c r="P69" s="6255">
        <f>IF(Q72=0, 0, (G69*L69)/(Q72*P57))</f>
        <v>0</v>
      </c>
      <c r="Q69" s="5882">
        <f>IFERROR(_xlfn.LET(_xlpm.v,IFERROR(_xlfn.XLOOKUP(K69,G73:T73,G74:T74),_xlfn.XLOOKUP(K69,G75:T75,G76:T76)),_xlpm.v*J69*IF(ISBLANK(G69),1,G69)),0)</f>
        <v>0</v>
      </c>
      <c r="R69" s="5254">
        <f>IF(OR(ISBLANK(S53),S53=0),0,G69*S51*L69/S53)</f>
        <v>0</v>
      </c>
      <c r="S69" s="6051">
        <f>IF(OR(ISBLANK(S53),S53=0),0,Q69*L69*S51/S53)</f>
        <v>0</v>
      </c>
      <c r="T69" s="6199" t="str">
        <f>_xlfn.LET(_xlpm.unite,SUBSTITUTE(TRIM(K69)," (s)",""),_xlpm.val,S69,_xlpm.estVol,COUNTIF(M73:T73,_xlpm.unite)+COUNTIF(M75:T75,_xlpm.unite)&gt;0,_xlpm.estPoids,COUNTIF(G73:L73,_xlpm.unite)+COUNTIF(G75:L75,_xlpm.unite)&gt;0,IF(_xlpm.estVol,IF(ROUND(_xlpm.val,3)&gt;=1,ROUND(_xlpm.val,3)&amp;"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69" s="6872" t="s">
        <v>11054</v>
      </c>
      <c r="X69" s="1021" t="str">
        <f t="shared" si="20"/>
        <v>►</v>
      </c>
      <c r="Y69" s="41" t="str">
        <f>Y54</f>
        <v>N NAME OF YOUR RECIPE | paste it — FAMILY|  Author &gt; YOU</v>
      </c>
      <c r="Z69" s="40">
        <f>Z54</f>
        <v>0.6</v>
      </c>
      <c r="AA69" s="41" t="str">
        <f>AA54</f>
        <v>kg</v>
      </c>
      <c r="AB69" s="5386" t="str">
        <f>AB54</f>
        <v>Master recipe ► Guinea fowl ballotine</v>
      </c>
      <c r="AC69" s="213"/>
      <c r="AD69" s="212"/>
      <c r="AE69" s="211" t="str">
        <f t="shared" si="17"/>
        <v/>
      </c>
      <c r="AF69" s="210"/>
      <c r="AG69" s="6366"/>
      <c r="AH69" s="5448">
        <v>1</v>
      </c>
      <c r="AI69" s="6866"/>
      <c r="AJ69" s="6871"/>
      <c r="AK69" s="6253">
        <f>IF(AM72=0,0,(AM69/AM72)*AL57*1000)</f>
        <v>0</v>
      </c>
      <c r="AL69" s="6701">
        <f>IF(AM72=0, 0, (AC69*AH69)/(AM72*AL57))</f>
        <v>0</v>
      </c>
      <c r="AM69" s="5882">
        <f>IFERROR(_xlfn.LET(_xlpm.v,IFERROR(_xlfn.XLOOKUP(AG69,AC73:AP73,AC74:AP74),_xlfn.XLOOKUP(AG69,AC75:AP75,AC76:AP76)),_xlpm.v*AF69*IF(ISBLANK(AC69),1,AC69)),0)</f>
        <v>0</v>
      </c>
      <c r="AN69" s="5254">
        <f>IF(OR(ISBLANK(AO53),AO53=0),0,AC69*AO51*AH69/AO53)</f>
        <v>0</v>
      </c>
      <c r="AO69" s="6051">
        <f>IF(OR(ISBLANK(AO53),AO53=0),0,AM69*AH69*AO51/AO53)</f>
        <v>0</v>
      </c>
      <c r="AP69" s="6199" t="str">
        <f>_xlfn.LET(_xlpm.unite,SUBSTITUTE(TRIM(AG69)," (s)",""),_xlpm.val,AO69,_xlpm.estVol,COUNTIF(AI73:AP73,_xlpm.unite)+COUNTIF(AI75:AP75,_xlpm.unite)&gt;0,_xlpm.estPoids,COUNTIF(AC73:AH73,_xlpm.unite)+COUNTIF(AC75:AH75,_xlpm.unite)&gt;0,IF(_xlpm.estVol,IF(ROUND(_xlpm.val,3)&gt;=1,ROUND(_xlpm.val,3)&amp;"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69" s="6872" t="s">
        <v>11054</v>
      </c>
      <c r="AT69" s="1021" t="str">
        <f t="shared" si="21"/>
        <v>►</v>
      </c>
      <c r="AU69" s="41" t="str">
        <f>AU54</f>
        <v>N NOMBRE DE SU RECETA | pegue esto — FAMILIA| Autor &gt; USTED</v>
      </c>
      <c r="AV69" s="40">
        <f>AV54</f>
        <v>0.6</v>
      </c>
      <c r="AW69" s="41" t="str">
        <f>AW54</f>
        <v>kg</v>
      </c>
      <c r="AX69" s="5386" t="str">
        <f>AX54</f>
        <v>Receta madre ► Ballotina de pintada</v>
      </c>
      <c r="AY69" s="213"/>
      <c r="AZ69" s="212"/>
      <c r="BA69" s="211" t="str">
        <f t="shared" si="18"/>
        <v/>
      </c>
      <c r="BB69" s="210"/>
      <c r="BC69" s="6366"/>
      <c r="BD69" s="5448">
        <v>1</v>
      </c>
      <c r="BE69" s="6866"/>
      <c r="BF69" s="6871"/>
      <c r="BG69" s="6253">
        <f>IF(BI72=0,0,(BI69/BI72)*BH57*1000)</f>
        <v>0</v>
      </c>
      <c r="BH69" s="6701">
        <f>IF(BI72=0, 0, (AY69*BD69)/(BI72*BH57))</f>
        <v>0</v>
      </c>
      <c r="BI69" s="5882">
        <f>IFERROR(_xlfn.LET(_xlpm.v,IFERROR(_xlfn.XLOOKUP(BC69,AY73:BL73,AY74:BL74),_xlfn.XLOOKUP(BC69,AY75:BL75,AY76:BL76)),_xlpm.v*BB69*IF(ISBLANK(AY69),1,AY69)),0)</f>
        <v>0</v>
      </c>
      <c r="BJ69" s="5254">
        <f>IF(OR(ISBLANK(BK53),BK53=0),0,AY69*BK51*BD69/BK53)</f>
        <v>0</v>
      </c>
      <c r="BK69" s="6051">
        <f>IF(OR(ISBLANK(BK53),BK53=0),0,BI69*BD69*BK51/BK53)</f>
        <v>0</v>
      </c>
      <c r="BL69" s="6199" t="str">
        <f>_xlfn.LET(_xlpm.unite,SUBSTITUTE(TRIM(BC69)," (s)",""),_xlpm.val,BK69,_xlpm.estVol,COUNTIF(BE73:BL73,_xlpm.unite)+COUNTIF(BE75:BL75,_xlpm.unite)&gt;0,_xlpm.estPoids,COUNTIF(AY73:BD73,_xlpm.unite)+COUNTIF(AY75:BD75,_xlpm.unite)&gt;0,IF(_xlpm.estVol,IF(ROUND(_xlpm.val,3)&gt;=1,ROUND(_xlpm.val,3)&amp;"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69" s="6872" t="s">
        <v>11054</v>
      </c>
      <c r="BP69" s="6487">
        <v>5.8445353594389253</v>
      </c>
      <c r="BQ69" s="6255">
        <v>0.58445353594389249</v>
      </c>
      <c r="BR69" s="5882">
        <v>0.02</v>
      </c>
      <c r="BS69" s="5254">
        <v>4</v>
      </c>
      <c r="BT69" s="6051">
        <v>0.04</v>
      </c>
      <c r="BU69" s="6454" t="s">
        <v>9194</v>
      </c>
      <c r="BV69" s="6452"/>
      <c r="BX69" s="6487">
        <v>5.8445353594389253</v>
      </c>
      <c r="BY69" s="6255">
        <v>0.58445353594389249</v>
      </c>
      <c r="BZ69" s="5882">
        <v>0.02</v>
      </c>
      <c r="CA69" s="5254">
        <v>4</v>
      </c>
      <c r="CB69" s="6051">
        <v>0.04</v>
      </c>
      <c r="CC69" s="6454" t="s">
        <v>9194</v>
      </c>
      <c r="CD69" s="6452"/>
      <c r="CF69" s="6487">
        <v>5.8445353594389253</v>
      </c>
      <c r="CG69" s="6255">
        <v>0.58445353594389249</v>
      </c>
      <c r="CH69" s="5882">
        <v>0.02</v>
      </c>
      <c r="CI69" s="5254">
        <v>4</v>
      </c>
      <c r="CJ69" s="6051">
        <v>0.04</v>
      </c>
      <c r="CK69" s="6454" t="s">
        <v>9194</v>
      </c>
      <c r="CL69" s="6452"/>
      <c r="CN69" s="5">
        <v>1</v>
      </c>
    </row>
    <row r="70" spans="2:92" ht="21" customHeight="1">
      <c r="B70" s="1021" t="str">
        <f t="shared" si="19"/>
        <v>►</v>
      </c>
      <c r="C70" s="41" t="str">
        <f>C54</f>
        <v>N NOM DE VOTRE RECETTE | collez la--FAMILLE| Auteur &gt; VOUS</v>
      </c>
      <c r="D70" s="40">
        <f>D54</f>
        <v>4</v>
      </c>
      <c r="E70" s="41" t="str">
        <f>E54</f>
        <v>couverts</v>
      </c>
      <c r="F70" s="5386" t="str">
        <f>F54</f>
        <v>Recette mère ► Ballotine de pintade</v>
      </c>
      <c r="G70" s="213"/>
      <c r="H70" s="212"/>
      <c r="I70" s="211" t="str">
        <f t="shared" si="16"/>
        <v/>
      </c>
      <c r="J70" s="210"/>
      <c r="K70" s="6366"/>
      <c r="L70" s="5448">
        <v>1</v>
      </c>
      <c r="M70" s="6866"/>
      <c r="N70" s="6871"/>
      <c r="O70" s="6253">
        <f>IF(Q72=0,0,(Q70/Q72)*P57*1000)</f>
        <v>0</v>
      </c>
      <c r="P70" s="6255">
        <f>IF(Q72=0, 0, (G70*L70)/(Q72*P57))</f>
        <v>0</v>
      </c>
      <c r="Q70" s="5882">
        <f>IFERROR(_xlfn.LET(_xlpm.v,IFERROR(_xlfn.XLOOKUP(K70,G73:T73,G74:T74),_xlfn.XLOOKUP(K70,G75:T75,G76:T76)),_xlpm.v*J70*IF(ISBLANK(G70),1,G70)),0)</f>
        <v>0</v>
      </c>
      <c r="R70" s="5256">
        <f>IF(OR(ISBLANK(S53),S53=0),0,G70*S51*L70/S53)</f>
        <v>0</v>
      </c>
      <c r="S70" s="6051">
        <f>IF(OR(ISBLANK(S53),S53=0),0,Q70*L70*S51/S53)</f>
        <v>0</v>
      </c>
      <c r="T70" s="6201" t="str">
        <f>_xlfn.LET(_xlpm.unite,SUBSTITUTE(TRIM(K70)," (s)",""),_xlpm.val,S70,_xlpm.estVol,COUNTIF(M73:T73,_xlpm.unite)+COUNTIF(M75:T75,_xlpm.unite)&gt;0,_xlpm.estPoids,COUNTIF(G73:L73,_xlpm.unite)+COUNTIF(G75:L75,_xlpm.unite)&gt;0,IF(_xlpm.estVol,IF(ROUND(_xlpm.val,3)&gt;=1,ROUND(_xlpm.val,3)&amp;"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70" s="6872" t="s">
        <v>11055</v>
      </c>
      <c r="X70" s="1021" t="str">
        <f t="shared" si="20"/>
        <v>►</v>
      </c>
      <c r="Y70" s="41" t="str">
        <f>Y54</f>
        <v>N NAME OF YOUR RECIPE | paste it — FAMILY|  Author &gt; YOU</v>
      </c>
      <c r="Z70" s="40">
        <f>Z54</f>
        <v>0.6</v>
      </c>
      <c r="AA70" s="41" t="str">
        <f>AA54</f>
        <v>kg</v>
      </c>
      <c r="AB70" s="5386" t="str">
        <f>AB54</f>
        <v>Master recipe ► Guinea fowl ballotine</v>
      </c>
      <c r="AC70" s="213"/>
      <c r="AD70" s="212"/>
      <c r="AE70" s="211" t="str">
        <f t="shared" si="17"/>
        <v/>
      </c>
      <c r="AF70" s="210"/>
      <c r="AG70" s="6366"/>
      <c r="AH70" s="5448">
        <v>1</v>
      </c>
      <c r="AI70" s="6866"/>
      <c r="AJ70" s="6871"/>
      <c r="AK70" s="6253">
        <f>IF(AM72=0,0,(AM70/AM72)*AL57*1000)</f>
        <v>0</v>
      </c>
      <c r="AL70" s="6701">
        <f>IF(AM72=0, 0, (AC70*AH70)/(AM72*AL57))</f>
        <v>0</v>
      </c>
      <c r="AM70" s="5882">
        <f>IFERROR(_xlfn.LET(_xlpm.v,IFERROR(_xlfn.XLOOKUP(AG70,AC73:AP73,AC74:AP74),_xlfn.XLOOKUP(AG70,AC75:AP75,AC76:AP76)),_xlpm.v*AF70*IF(ISBLANK(AC70),1,AC70)),0)</f>
        <v>0</v>
      </c>
      <c r="AN70" s="5256">
        <f>IF(OR(ISBLANK(AO53),AO53=0),0,AC70*AO51*AH70/AO53)</f>
        <v>0</v>
      </c>
      <c r="AO70" s="6051">
        <f>IF(OR(ISBLANK(AO53),AO53=0),0,AM70*AH70*AO51/AO53)</f>
        <v>0</v>
      </c>
      <c r="AP70" s="6201" t="str">
        <f>_xlfn.LET(_xlpm.unite,SUBSTITUTE(TRIM(AG70)," (s)",""),_xlpm.val,AO70,_xlpm.estVol,COUNTIF(AI73:AP73,_xlpm.unite)+COUNTIF(AI75:AP75,_xlpm.unite)&gt;0,_xlpm.estPoids,COUNTIF(AC73:AH73,_xlpm.unite)+COUNTIF(AC75:AH75,_xlpm.unite)&gt;0,IF(_xlpm.estVol,IF(ROUND(_xlpm.val,3)&gt;=1,ROUND(_xlpm.val,3)&amp;"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70" s="6872" t="s">
        <v>11055</v>
      </c>
      <c r="AT70" s="1021" t="str">
        <f t="shared" si="21"/>
        <v>►</v>
      </c>
      <c r="AU70" s="41" t="str">
        <f>AU54</f>
        <v>N NOMBRE DE SU RECETA | pegue esto — FAMILIA| Autor &gt; USTED</v>
      </c>
      <c r="AV70" s="40">
        <f>AV54</f>
        <v>0.6</v>
      </c>
      <c r="AW70" s="41" t="str">
        <f>AW54</f>
        <v>kg</v>
      </c>
      <c r="AX70" s="5386" t="str">
        <f>AX54</f>
        <v>Receta madre ► Ballotina de pintada</v>
      </c>
      <c r="AY70" s="213"/>
      <c r="AZ70" s="212"/>
      <c r="BA70" s="211" t="str">
        <f t="shared" si="18"/>
        <v/>
      </c>
      <c r="BB70" s="210"/>
      <c r="BC70" s="6366"/>
      <c r="BD70" s="5448">
        <v>1</v>
      </c>
      <c r="BE70" s="6866"/>
      <c r="BF70" s="6871"/>
      <c r="BG70" s="6253">
        <f>IF(BI72=0,0,(BI70/BI72)*BH57*1000)</f>
        <v>0</v>
      </c>
      <c r="BH70" s="6701">
        <f>IF(BI72=0, 0, (AY70*BD70)/(BI72*BH57))</f>
        <v>0</v>
      </c>
      <c r="BI70" s="5882">
        <f>IFERROR(_xlfn.LET(_xlpm.v,IFERROR(_xlfn.XLOOKUP(BC70,AY73:BL73,AY74:BL74),_xlfn.XLOOKUP(BC70,AY75:BL75,AY76:BL76)),_xlpm.v*BB70*IF(ISBLANK(AY70),1,AY70)),0)</f>
        <v>0</v>
      </c>
      <c r="BJ70" s="5256">
        <f>IF(OR(ISBLANK(BK53),BK53=0),0,AY70*BK51*BD70/BK53)</f>
        <v>0</v>
      </c>
      <c r="BK70" s="6051">
        <f>IF(OR(ISBLANK(BK53),BK53=0),0,BI70*BD70*BK51/BK53)</f>
        <v>0</v>
      </c>
      <c r="BL70" s="6201" t="str">
        <f>_xlfn.LET(_xlpm.unite,SUBSTITUTE(TRIM(BC70)," (s)",""),_xlpm.val,BK70,_xlpm.estVol,COUNTIF(BE73:BL73,_xlpm.unite)+COUNTIF(BE75:BL75,_xlpm.unite)&gt;0,_xlpm.estPoids,COUNTIF(AY73:BD73,_xlpm.unite)+COUNTIF(AY75:BD75,_xlpm.unite)&gt;0,IF(_xlpm.estVol,IF(ROUND(_xlpm.val,3)&gt;=1,ROUND(_xlpm.val,3)&amp;"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70" s="6872" t="s">
        <v>11055</v>
      </c>
      <c r="BP70" s="6448"/>
      <c r="BQ70" s="6449"/>
      <c r="BR70" s="6453" t="s">
        <v>9204</v>
      </c>
      <c r="BS70" s="6450"/>
      <c r="BT70" s="6451"/>
      <c r="BU70" s="6449"/>
      <c r="BV70" s="6452"/>
      <c r="BX70" s="6448"/>
      <c r="BY70" s="6449"/>
      <c r="BZ70" s="6453" t="s">
        <v>9266</v>
      </c>
      <c r="CA70" s="6450"/>
      <c r="CB70" s="6451"/>
      <c r="CC70" s="6449"/>
      <c r="CD70" s="6452"/>
      <c r="CF70" s="6448"/>
      <c r="CG70" s="6449"/>
      <c r="CH70" s="6453" t="s">
        <v>9421</v>
      </c>
      <c r="CI70" s="6450"/>
      <c r="CJ70" s="6451"/>
      <c r="CK70" s="6449"/>
      <c r="CL70" s="6452"/>
      <c r="CN70" s="5">
        <v>1</v>
      </c>
    </row>
    <row r="71" spans="2:92" ht="21" customHeight="1">
      <c r="B71" s="1021" t="str">
        <f t="shared" si="19"/>
        <v>►</v>
      </c>
      <c r="C71" s="41" t="str">
        <f>C54</f>
        <v>N NOM DE VOTRE RECETTE | collez la--FAMILLE| Auteur &gt; VOUS</v>
      </c>
      <c r="D71" s="40">
        <f>D54</f>
        <v>4</v>
      </c>
      <c r="E71" s="41" t="str">
        <f>E54</f>
        <v>couverts</v>
      </c>
      <c r="F71" s="5386" t="str">
        <f>F54</f>
        <v>Recette mère ► Ballotine de pintade</v>
      </c>
      <c r="G71" s="213"/>
      <c r="H71" s="212"/>
      <c r="I71" s="211" t="str">
        <f t="shared" si="16"/>
        <v/>
      </c>
      <c r="J71" s="210"/>
      <c r="K71" s="6366"/>
      <c r="L71" s="5448">
        <v>1</v>
      </c>
      <c r="M71" s="6866"/>
      <c r="N71" s="6871"/>
      <c r="O71" s="6253">
        <f>IF(Q72=0,0,(Q71/Q72)*P57*1000)</f>
        <v>0</v>
      </c>
      <c r="P71" s="6255">
        <f>IF(Q72=0, 0, (G71*L71)/(Q72*P57))</f>
        <v>0</v>
      </c>
      <c r="Q71" s="5882">
        <f>IFERROR(_xlfn.LET(_xlpm.v,IFERROR(_xlfn.XLOOKUP(K71,G73:T73,G74:T74),_xlfn.XLOOKUP(K71,G75:T75,G76:T76)),_xlpm.v*J71*IF(ISBLANK(G71),1,G71)),0)</f>
        <v>0</v>
      </c>
      <c r="R71" s="5254">
        <f>IF(OR(ISBLANK(S53),S53=0),0,G71*S51*L71/S53)</f>
        <v>0</v>
      </c>
      <c r="S71" s="6051">
        <f>IF(OR(ISBLANK(S53),S53=0),0,Q71*L71*S51/S53)</f>
        <v>0</v>
      </c>
      <c r="T71" s="6199" t="str">
        <f>_xlfn.LET(_xlpm.unite,SUBSTITUTE(TRIM(K71)," (s)",""),_xlpm.val,S71,_xlpm.estVol,COUNTIF(M73:T73,_xlpm.unite)+COUNTIF(M75:T75,_xlpm.unite)&gt;0,_xlpm.estPoids,COUNTIF(G73:L73,_xlpm.unite)+COUNTIF(G75:L75,_xlpm.unite)&gt;0,IF(_xlpm.estVol,IF(ROUND(_xlpm.val,3)&gt;=1,ROUND(_xlpm.val,3)&amp;" L",MAX(1,ROUND(_xlpm.val*100,0))&amp;" cl"),IF(_xlpm.estPoids,IF(ROUND(_xlpm.val,3)&gt;=1,ROUND(_xlpm.val,3)&amp;" Kg",MAX(1,ROUND(_xlpm.val*1000,0))&amp;" g"),"")))</f>
        <v/>
      </c>
      <c r="V71" s="6872" t="s">
        <v>11056</v>
      </c>
      <c r="X71" s="1021" t="str">
        <f t="shared" si="20"/>
        <v>►</v>
      </c>
      <c r="Y71" s="41" t="str">
        <f>Y54</f>
        <v>N NAME OF YOUR RECIPE | paste it — FAMILY|  Author &gt; YOU</v>
      </c>
      <c r="Z71" s="40">
        <f>Z54</f>
        <v>0.6</v>
      </c>
      <c r="AA71" s="41" t="str">
        <f>AA54</f>
        <v>kg</v>
      </c>
      <c r="AB71" s="5386" t="str">
        <f>AB54</f>
        <v>Master recipe ► Guinea fowl ballotine</v>
      </c>
      <c r="AC71" s="213"/>
      <c r="AD71" s="212"/>
      <c r="AE71" s="211" t="str">
        <f t="shared" si="17"/>
        <v/>
      </c>
      <c r="AF71" s="210"/>
      <c r="AG71" s="6366"/>
      <c r="AH71" s="5448">
        <v>1</v>
      </c>
      <c r="AI71" s="6866"/>
      <c r="AJ71" s="6871"/>
      <c r="AK71" s="6253">
        <f>IF(AM72=0,0,(AM71/AM72)*AL57*1000)</f>
        <v>0</v>
      </c>
      <c r="AL71" s="6701">
        <f>IF(AM72=0, 0, (AC71*AH71)/(AM72*AL57))</f>
        <v>0</v>
      </c>
      <c r="AM71" s="5882">
        <f>IFERROR(_xlfn.LET(_xlpm.v,IFERROR(_xlfn.XLOOKUP(AG71,AC73:AP73,AC74:AP74),_xlfn.XLOOKUP(AG71,AC75:AP75,AC76:AP76)),_xlpm.v*AF71*IF(ISBLANK(AC71),1,AC71)),0)</f>
        <v>0</v>
      </c>
      <c r="AN71" s="5254">
        <f>IF(OR(ISBLANK(AO53),AO53=0),0,AC71*AO51*AH71/AO53)</f>
        <v>0</v>
      </c>
      <c r="AO71" s="6051">
        <f>IF(OR(ISBLANK(AO53),AO53=0),0,AM71*AH71*AO51/AO53)</f>
        <v>0</v>
      </c>
      <c r="AP71" s="6199" t="str">
        <f>_xlfn.LET(_xlpm.unite,SUBSTITUTE(TRIM(AG71)," (s)",""),_xlpm.val,AO71,_xlpm.estVol,COUNTIF(AI73:AP73,_xlpm.unite)+COUNTIF(AI75:AP75,_xlpm.unite)&gt;0,_xlpm.estPoids,COUNTIF(AC73:AH73,_xlpm.unite)+COUNTIF(AC75:AH75,_xlpm.unite)&gt;0,IF(_xlpm.estVol,IF(ROUND(_xlpm.val,3)&gt;=1,ROUND(_xlpm.val,3)&amp;" L",MAX(1,ROUND(_xlpm.val*100,0))&amp;" cl"),IF(_xlpm.estPoids,IF(ROUND(_xlpm.val,3)&gt;=1,ROUND(_xlpm.val,3)&amp;" Kg",MAX(1,ROUND(_xlpm.val*1000,0))&amp;" g"),"")))</f>
        <v/>
      </c>
      <c r="AR71" s="6872" t="s">
        <v>11056</v>
      </c>
      <c r="AT71" s="1021" t="str">
        <f t="shared" si="21"/>
        <v>►</v>
      </c>
      <c r="AU71" s="41" t="str">
        <f>AU54</f>
        <v>N NOMBRE DE SU RECETA | pegue esto — FAMILIA| Autor &gt; USTED</v>
      </c>
      <c r="AV71" s="40">
        <f>AV54</f>
        <v>0.6</v>
      </c>
      <c r="AW71" s="41" t="str">
        <f>AW54</f>
        <v>kg</v>
      </c>
      <c r="AX71" s="5386" t="str">
        <f>AX54</f>
        <v>Receta madre ► Ballotina de pintada</v>
      </c>
      <c r="AY71" s="213"/>
      <c r="AZ71" s="212"/>
      <c r="BA71" s="211" t="str">
        <f t="shared" si="18"/>
        <v/>
      </c>
      <c r="BB71" s="210"/>
      <c r="BC71" s="6366"/>
      <c r="BD71" s="5448">
        <v>1</v>
      </c>
      <c r="BE71" s="6866"/>
      <c r="BF71" s="6871"/>
      <c r="BG71" s="6253">
        <f>IF(BI72=0,0,(BI71/BI72)*BH57*1000)</f>
        <v>0</v>
      </c>
      <c r="BH71" s="6701">
        <f>IF(BI72=0, 0, (AY71*BD71)/(BI72*BH57))</f>
        <v>0</v>
      </c>
      <c r="BI71" s="5882">
        <f>IFERROR(_xlfn.LET(_xlpm.v,IFERROR(_xlfn.XLOOKUP(BC71,AY73:BL73,AY74:BL74),_xlfn.XLOOKUP(BC71,AY75:BL75,AY76:BL76)),_xlpm.v*BB71*IF(ISBLANK(AY71),1,AY71)),0)</f>
        <v>0</v>
      </c>
      <c r="BJ71" s="5254">
        <f>IF(OR(ISBLANK(BK53),BK53=0),0,AY71*BK51*BD71/BK53)</f>
        <v>0</v>
      </c>
      <c r="BK71" s="6051">
        <f>IF(OR(ISBLANK(BK53),BK53=0),0,BI71*BD71*BK51/BK53)</f>
        <v>0</v>
      </c>
      <c r="BL71" s="6199" t="str">
        <f>_xlfn.LET(_xlpm.unite,SUBSTITUTE(TRIM(BC71)," (s)",""),_xlpm.val,BK71,_xlpm.estVol,COUNTIF(BE73:BL73,_xlpm.unite)+COUNTIF(BE75:BL75,_xlpm.unite)&gt;0,_xlpm.estPoids,COUNTIF(AY73:BD73,_xlpm.unite)+COUNTIF(AY75:BD75,_xlpm.unite)&gt;0,IF(_xlpm.estVol,IF(ROUND(_xlpm.val,3)&gt;=1,ROUND(_xlpm.val,3)&amp;" L",MAX(1,ROUND(_xlpm.val*100,0))&amp;" cl"),IF(_xlpm.estPoids,IF(ROUND(_xlpm.val,3)&gt;=1,ROUND(_xlpm.val,3)&amp;" Kg",MAX(1,ROUND(_xlpm.val*1000,0))&amp;" g"),"")))</f>
        <v/>
      </c>
      <c r="BN71" s="6872" t="s">
        <v>11056</v>
      </c>
      <c r="BP71" s="6448"/>
      <c r="BQ71" s="6449"/>
      <c r="BR71" s="6447" t="s">
        <v>9191</v>
      </c>
      <c r="BS71" s="6450"/>
      <c r="BT71" s="6451"/>
      <c r="BU71" s="6449"/>
      <c r="BV71" s="6452"/>
      <c r="BX71" s="6448"/>
      <c r="BY71" s="6449"/>
      <c r="BZ71" s="6447" t="s">
        <v>9191</v>
      </c>
      <c r="CA71" s="6450"/>
      <c r="CB71" s="6451"/>
      <c r="CC71" s="6449"/>
      <c r="CD71" s="6452"/>
      <c r="CF71" s="6448"/>
      <c r="CG71" s="6449"/>
      <c r="CH71" s="6447" t="s">
        <v>9191</v>
      </c>
      <c r="CI71" s="6450"/>
      <c r="CJ71" s="6451"/>
      <c r="CK71" s="6449"/>
      <c r="CL71" s="6452"/>
      <c r="CN71" s="5">
        <v>1</v>
      </c>
    </row>
    <row r="72" spans="2:92" ht="21" customHeight="1">
      <c r="B72" s="1021" t="s">
        <v>21</v>
      </c>
      <c r="C72" s="41" t="str">
        <f>C54</f>
        <v>N NOM DE VOTRE RECETTE | collez la--FAMILLE| Auteur &gt; VOUS</v>
      </c>
      <c r="D72" s="40">
        <f>D54</f>
        <v>4</v>
      </c>
      <c r="E72" s="41" t="str">
        <f>E54</f>
        <v>couverts</v>
      </c>
      <c r="F72" s="5386" t="str">
        <f>F54</f>
        <v>Recette mère ► Ballotine de pintade</v>
      </c>
      <c r="G72" s="5398" t="s">
        <v>8357</v>
      </c>
      <c r="H72" s="5261"/>
      <c r="I72" s="5261"/>
      <c r="J72" s="5261"/>
      <c r="K72" s="5261"/>
      <c r="L72" s="5921"/>
      <c r="M72" s="6277"/>
      <c r="N72" s="6277"/>
      <c r="O72" s="5262"/>
      <c r="P72" s="5262"/>
      <c r="Q72" s="5263">
        <f>SUM(Q58:Q71)</f>
        <v>0.60000000000000009</v>
      </c>
      <c r="R72" s="5264"/>
      <c r="S72" s="5264" t="str">
        <f>"Total " &amp; S55&amp;" &gt;"</f>
        <v>Total Col.18 &gt;</v>
      </c>
      <c r="T72" s="6204">
        <f>SUM(S58:S71)</f>
        <v>3</v>
      </c>
      <c r="V72" s="6872" t="s">
        <v>11057</v>
      </c>
      <c r="X72" s="1021" t="s">
        <v>21</v>
      </c>
      <c r="Y72" s="41" t="str">
        <f>Y54</f>
        <v>N NAME OF YOUR RECIPE | paste it — FAMILY|  Author &gt; YOU</v>
      </c>
      <c r="Z72" s="40">
        <f>Z54</f>
        <v>0.6</v>
      </c>
      <c r="AA72" s="41" t="str">
        <f>AA54</f>
        <v>kg</v>
      </c>
      <c r="AB72" s="5386" t="str">
        <f>AB54</f>
        <v>Master recipe ► Guinea fowl ballotine</v>
      </c>
      <c r="AC72" s="6714" t="s">
        <v>8397</v>
      </c>
      <c r="AD72" s="6379"/>
      <c r="AE72" s="6379"/>
      <c r="AF72" s="6379"/>
      <c r="AG72" s="6379"/>
      <c r="AH72" s="6715"/>
      <c r="AI72" s="6716"/>
      <c r="AJ72" s="6716"/>
      <c r="AK72" s="6717"/>
      <c r="AL72" s="6717"/>
      <c r="AM72" s="6718">
        <f>SUM(AM58:AM71)</f>
        <v>0.60000000000000009</v>
      </c>
      <c r="AN72" s="6719"/>
      <c r="AO72" s="6719" t="str">
        <f>"Total " &amp; AO55&amp;" &gt;"</f>
        <v>Total Col.18 &gt;</v>
      </c>
      <c r="AP72" s="6720">
        <f>SUM(AO58:AO71)</f>
        <v>30</v>
      </c>
      <c r="AR72" s="6872" t="s">
        <v>11057</v>
      </c>
      <c r="AT72" s="1021" t="s">
        <v>21</v>
      </c>
      <c r="AU72" s="41" t="str">
        <f>AU54</f>
        <v>N NOMBRE DE SU RECETA | pegue esto — FAMILIA| Autor &gt; USTED</v>
      </c>
      <c r="AV72" s="40">
        <f>AV54</f>
        <v>0.6</v>
      </c>
      <c r="AW72" s="41" t="str">
        <f>AW54</f>
        <v>kg</v>
      </c>
      <c r="AX72" s="5386" t="str">
        <f>AX54</f>
        <v>Receta madre ► Ballotina de pintada</v>
      </c>
      <c r="AY72" s="6714" t="s">
        <v>8357</v>
      </c>
      <c r="AZ72" s="6379"/>
      <c r="BA72" s="6379"/>
      <c r="BB72" s="6379"/>
      <c r="BC72" s="6379"/>
      <c r="BD72" s="6715"/>
      <c r="BE72" s="6716"/>
      <c r="BF72" s="6716"/>
      <c r="BG72" s="6717"/>
      <c r="BH72" s="6717"/>
      <c r="BI72" s="6718">
        <f>SUM(BI58:BI71)</f>
        <v>0.60000000000000009</v>
      </c>
      <c r="BJ72" s="6719"/>
      <c r="BK72" s="6719" t="str">
        <f>"Total " &amp; BK55&amp;" &gt;"</f>
        <v>Total Col.18 &gt;</v>
      </c>
      <c r="BL72" s="6720">
        <f>SUM(BK58:BK71)</f>
        <v>30</v>
      </c>
      <c r="BN72" s="6872" t="s">
        <v>11057</v>
      </c>
      <c r="BP72" s="6448"/>
      <c r="BQ72" s="6449"/>
      <c r="BR72" s="6460"/>
      <c r="BS72" s="6450"/>
      <c r="BT72" s="6451"/>
      <c r="BU72" s="6458" t="s">
        <v>8010</v>
      </c>
      <c r="BV72" s="6452"/>
      <c r="BX72" s="6448"/>
      <c r="BY72" s="6449"/>
      <c r="BZ72" s="6460"/>
      <c r="CA72" s="6450"/>
      <c r="CB72" s="6451"/>
      <c r="CC72" s="6458" t="s">
        <v>8384</v>
      </c>
      <c r="CD72" s="6452"/>
      <c r="CF72" s="6448"/>
      <c r="CG72" s="6449"/>
      <c r="CH72" s="6460"/>
      <c r="CI72" s="6450"/>
      <c r="CJ72" s="6451"/>
      <c r="CK72" s="6458" t="s">
        <v>8421</v>
      </c>
      <c r="CL72" s="6452"/>
      <c r="CN72" s="5">
        <v>1</v>
      </c>
    </row>
    <row r="73" spans="2:92" ht="21" customHeight="1">
      <c r="B73" s="1021" t="s">
        <v>26</v>
      </c>
      <c r="C73" s="41" t="str">
        <f>C54</f>
        <v>N NOM DE VOTRE RECETTE | collez la--FAMILLE| Auteur &gt; VOUS</v>
      </c>
      <c r="D73" s="40">
        <f>D54</f>
        <v>4</v>
      </c>
      <c r="E73" s="41" t="str">
        <f>E54</f>
        <v>couverts</v>
      </c>
      <c r="F73" s="5386" t="str">
        <f>F54</f>
        <v>Recette mère ► Ballotine de pintade</v>
      </c>
      <c r="G73" s="6284" t="s">
        <v>219</v>
      </c>
      <c r="H73" s="6283" t="s">
        <v>130</v>
      </c>
      <c r="I73" s="6291" t="s">
        <v>8014</v>
      </c>
      <c r="J73" s="6288" t="s">
        <v>188</v>
      </c>
      <c r="K73" s="6287" t="s">
        <v>176</v>
      </c>
      <c r="L73" s="6287" t="s">
        <v>179</v>
      </c>
      <c r="M73" s="6285" t="s">
        <v>88</v>
      </c>
      <c r="N73" s="6285" t="s">
        <v>172</v>
      </c>
      <c r="O73" s="6285" t="s">
        <v>170</v>
      </c>
      <c r="P73" s="6285" t="s">
        <v>166</v>
      </c>
      <c r="Q73" s="6286" t="s">
        <v>159</v>
      </c>
      <c r="R73" s="6286" t="s">
        <v>8012</v>
      </c>
      <c r="S73" s="6388" t="s">
        <v>8764</v>
      </c>
      <c r="T73" s="8491" t="s">
        <v>11063</v>
      </c>
      <c r="V73" s="6872" t="s">
        <v>11058</v>
      </c>
      <c r="X73" s="1021" t="s">
        <v>26</v>
      </c>
      <c r="Y73" s="41" t="str">
        <f>Y54</f>
        <v>N NAME OF YOUR RECIPE | paste it — FAMILY|  Author &gt; YOU</v>
      </c>
      <c r="Z73" s="40">
        <f>Z54</f>
        <v>0.6</v>
      </c>
      <c r="AA73" s="41" t="str">
        <f>AA54</f>
        <v>kg</v>
      </c>
      <c r="AB73" s="5386" t="str">
        <f>AB54</f>
        <v>Master recipe ► Guinea fowl ballotine</v>
      </c>
      <c r="AC73" s="6699" t="s">
        <v>219</v>
      </c>
      <c r="AD73" s="6283" t="s">
        <v>130</v>
      </c>
      <c r="AE73" s="6291" t="s">
        <v>9687</v>
      </c>
      <c r="AF73" s="6287" t="s">
        <v>9603</v>
      </c>
      <c r="AG73" s="6287" t="s">
        <v>9607</v>
      </c>
      <c r="AH73" s="6287" t="s">
        <v>9605</v>
      </c>
      <c r="AI73" s="6702" t="s">
        <v>88</v>
      </c>
      <c r="AJ73" s="6285" t="s">
        <v>172</v>
      </c>
      <c r="AK73" s="6285" t="s">
        <v>170</v>
      </c>
      <c r="AL73" s="6702" t="s">
        <v>166</v>
      </c>
      <c r="AM73" s="6286" t="s">
        <v>9615</v>
      </c>
      <c r="AN73" s="6286" t="s">
        <v>9619</v>
      </c>
      <c r="AO73" s="6286" t="s">
        <v>9621</v>
      </c>
      <c r="AP73" s="8491" t="s">
        <v>11063</v>
      </c>
      <c r="AR73" s="6872" t="s">
        <v>11058</v>
      </c>
      <c r="AT73" s="1021" t="s">
        <v>26</v>
      </c>
      <c r="AU73" s="41" t="str">
        <f>AU54</f>
        <v>N NOMBRE DE SU RECETA | pegue esto — FAMILIA| Autor &gt; USTED</v>
      </c>
      <c r="AV73" s="40">
        <f>AV54</f>
        <v>0.6</v>
      </c>
      <c r="AW73" s="41" t="str">
        <f>AW54</f>
        <v>kg</v>
      </c>
      <c r="AX73" s="5386" t="str">
        <f>AX54</f>
        <v>Receta madre ► Ballotina de pintada</v>
      </c>
      <c r="AY73" s="6699" t="s">
        <v>219</v>
      </c>
      <c r="AZ73" s="6283" t="s">
        <v>130</v>
      </c>
      <c r="BA73" s="6291" t="s">
        <v>9695</v>
      </c>
      <c r="BB73" s="6287" t="s">
        <v>9604</v>
      </c>
      <c r="BC73" s="6287" t="s">
        <v>9608</v>
      </c>
      <c r="BD73" s="6287" t="s">
        <v>9606</v>
      </c>
      <c r="BE73" s="6702" t="s">
        <v>88</v>
      </c>
      <c r="BF73" s="6285" t="s">
        <v>172</v>
      </c>
      <c r="BG73" s="6285" t="s">
        <v>170</v>
      </c>
      <c r="BH73" s="6702" t="s">
        <v>166</v>
      </c>
      <c r="BI73" s="6286" t="s">
        <v>9616</v>
      </c>
      <c r="BJ73" s="6286" t="s">
        <v>9620</v>
      </c>
      <c r="BK73" s="6286" t="s">
        <v>9622</v>
      </c>
      <c r="BL73" s="8491" t="s">
        <v>11063</v>
      </c>
      <c r="BN73" s="6872" t="s">
        <v>11058</v>
      </c>
      <c r="BP73" s="6448"/>
      <c r="BQ73" s="6449"/>
      <c r="BR73" s="6460"/>
      <c r="BS73" s="6450"/>
      <c r="BT73" s="7112" t="s">
        <v>9192</v>
      </c>
      <c r="BU73" s="7112"/>
      <c r="BV73" s="7113"/>
      <c r="BX73" s="6448"/>
      <c r="BY73" s="6449"/>
      <c r="BZ73" s="6460"/>
      <c r="CA73" s="6450"/>
      <c r="CB73" s="7112" t="s">
        <v>9192</v>
      </c>
      <c r="CC73" s="7112"/>
      <c r="CD73" s="7113"/>
      <c r="CF73" s="6448"/>
      <c r="CG73" s="6449"/>
      <c r="CH73" s="6460"/>
      <c r="CI73" s="6450"/>
      <c r="CJ73" s="7114" t="s">
        <v>9192</v>
      </c>
      <c r="CK73" s="7114"/>
      <c r="CL73" s="7115"/>
      <c r="CN73" s="5">
        <v>1</v>
      </c>
    </row>
    <row r="74" spans="2:92" ht="21" customHeight="1">
      <c r="B74" s="1021" t="s">
        <v>26</v>
      </c>
      <c r="C74" s="41" t="str">
        <f>C54</f>
        <v>N NOM DE VOTRE RECETTE | collez la--FAMILLE| Auteur &gt; VOUS</v>
      </c>
      <c r="D74" s="40">
        <f>D54</f>
        <v>4</v>
      </c>
      <c r="E74" s="41" t="str">
        <f>E54</f>
        <v>couverts</v>
      </c>
      <c r="F74" s="5386" t="str">
        <f>F54</f>
        <v>Recette mère ► Ballotine de pintade</v>
      </c>
      <c r="G74" s="6706">
        <v>1</v>
      </c>
      <c r="H74" s="6707">
        <v>1E-3</v>
      </c>
      <c r="I74" s="6708">
        <v>0</v>
      </c>
      <c r="J74" s="6707">
        <v>0.25</v>
      </c>
      <c r="K74" s="6707">
        <v>0.33332999999999996</v>
      </c>
      <c r="L74" s="6707">
        <v>0.5</v>
      </c>
      <c r="M74" s="6709">
        <v>1</v>
      </c>
      <c r="N74" s="6709">
        <v>0.1</v>
      </c>
      <c r="O74" s="6709">
        <v>0.01</v>
      </c>
      <c r="P74" s="6709">
        <v>1E-3</v>
      </c>
      <c r="Q74" s="6709">
        <v>0.5</v>
      </c>
      <c r="R74" s="6709">
        <v>0.33300000000000002</v>
      </c>
      <c r="S74" s="6709">
        <v>0.2</v>
      </c>
      <c r="T74" s="8493"/>
      <c r="V74" s="6872" t="s">
        <v>11059</v>
      </c>
      <c r="X74" s="1021" t="s">
        <v>26</v>
      </c>
      <c r="Y74" s="41" t="str">
        <f>Y54</f>
        <v>N NAME OF YOUR RECIPE | paste it — FAMILY|  Author &gt; YOU</v>
      </c>
      <c r="Z74" s="40">
        <f>Z54</f>
        <v>0.6</v>
      </c>
      <c r="AA74" s="41" t="str">
        <f>AA54</f>
        <v>kg</v>
      </c>
      <c r="AB74" s="5386" t="str">
        <f>AB54</f>
        <v>Master recipe ► Guinea fowl ballotine</v>
      </c>
      <c r="AC74" s="6706">
        <v>1</v>
      </c>
      <c r="AD74" s="6707">
        <v>1E-3</v>
      </c>
      <c r="AE74" s="6708">
        <v>0</v>
      </c>
      <c r="AF74" s="6707">
        <v>0.25</v>
      </c>
      <c r="AG74" s="6707">
        <v>0.33332999999999996</v>
      </c>
      <c r="AH74" s="6707">
        <v>0.5</v>
      </c>
      <c r="AI74" s="6709">
        <v>1</v>
      </c>
      <c r="AJ74" s="6709">
        <v>0.1</v>
      </c>
      <c r="AK74" s="6709">
        <v>0.01</v>
      </c>
      <c r="AL74" s="6709">
        <v>1E-3</v>
      </c>
      <c r="AM74" s="6709">
        <v>0.5</v>
      </c>
      <c r="AN74" s="6709">
        <v>0.33300000000000002</v>
      </c>
      <c r="AO74" s="8494">
        <v>0.2</v>
      </c>
      <c r="AP74" s="8493"/>
      <c r="AR74" s="6872" t="s">
        <v>11059</v>
      </c>
      <c r="AT74" s="1021" t="s">
        <v>26</v>
      </c>
      <c r="AU74" s="41" t="str">
        <f>AU54</f>
        <v>N NOMBRE DE SU RECETA | pegue esto — FAMILIA| Autor &gt; USTED</v>
      </c>
      <c r="AV74" s="40">
        <f>AV54</f>
        <v>0.6</v>
      </c>
      <c r="AW74" s="41" t="str">
        <f>AW54</f>
        <v>kg</v>
      </c>
      <c r="AX74" s="5386" t="str">
        <f>AX54</f>
        <v>Receta madre ► Ballotina de pintada</v>
      </c>
      <c r="AY74" s="6706">
        <v>1</v>
      </c>
      <c r="AZ74" s="6707">
        <v>1E-3</v>
      </c>
      <c r="BA74" s="6708">
        <v>0</v>
      </c>
      <c r="BB74" s="6707">
        <v>0.25</v>
      </c>
      <c r="BC74" s="6707">
        <v>0.33332999999999996</v>
      </c>
      <c r="BD74" s="6707">
        <v>0.5</v>
      </c>
      <c r="BE74" s="6709">
        <v>1</v>
      </c>
      <c r="BF74" s="6709">
        <v>0.1</v>
      </c>
      <c r="BG74" s="6709">
        <v>0.01</v>
      </c>
      <c r="BH74" s="6709">
        <v>1E-3</v>
      </c>
      <c r="BI74" s="6709">
        <v>0.5</v>
      </c>
      <c r="BJ74" s="6709">
        <v>0.33300000000000002</v>
      </c>
      <c r="BK74" s="8494">
        <v>0.2</v>
      </c>
      <c r="BL74" s="8493"/>
      <c r="BN74" s="6872" t="s">
        <v>11059</v>
      </c>
      <c r="BP74" s="6448"/>
      <c r="BQ74" s="6449"/>
      <c r="BR74" s="6460"/>
      <c r="BS74" s="6450"/>
      <c r="BT74" s="7112"/>
      <c r="BU74" s="7112"/>
      <c r="BV74" s="7113"/>
      <c r="BX74" s="6448"/>
      <c r="BY74" s="6449"/>
      <c r="BZ74" s="6460"/>
      <c r="CA74" s="6450"/>
      <c r="CB74" s="7112"/>
      <c r="CC74" s="7112"/>
      <c r="CD74" s="7113"/>
      <c r="CF74" s="6448"/>
      <c r="CG74" s="6449"/>
      <c r="CH74" s="6460"/>
      <c r="CI74" s="6450"/>
      <c r="CJ74" s="7114"/>
      <c r="CK74" s="7114"/>
      <c r="CL74" s="7115"/>
      <c r="CN74" s="5">
        <v>1</v>
      </c>
    </row>
    <row r="75" spans="2:92" ht="21" customHeight="1">
      <c r="B75" s="1021" t="s">
        <v>26</v>
      </c>
      <c r="C75" s="41" t="str">
        <f>C54</f>
        <v>N NOM DE VOTRE RECETTE | collez la--FAMILLE| Auteur &gt; VOUS</v>
      </c>
      <c r="D75" s="40">
        <f>D54</f>
        <v>4</v>
      </c>
      <c r="E75" s="41" t="str">
        <f>E54</f>
        <v>couverts</v>
      </c>
      <c r="F75" s="5386" t="str">
        <f>F54</f>
        <v>Recette mère ► Ballotine de pintade</v>
      </c>
      <c r="G75" s="6289" t="s">
        <v>122</v>
      </c>
      <c r="H75" s="6289" t="s">
        <v>113</v>
      </c>
      <c r="I75" s="6291" t="s">
        <v>8014</v>
      </c>
      <c r="J75" s="6289" t="s">
        <v>112</v>
      </c>
      <c r="K75" s="6289" t="s">
        <v>8015</v>
      </c>
      <c r="L75" s="6289" t="s">
        <v>8016</v>
      </c>
      <c r="M75" s="6294" t="s">
        <v>126</v>
      </c>
      <c r="N75" s="6281" t="s">
        <v>152</v>
      </c>
      <c r="O75" s="6281" t="s">
        <v>143</v>
      </c>
      <c r="P75" s="6286" t="s">
        <v>946</v>
      </c>
      <c r="Q75" s="6286" t="s">
        <v>8765</v>
      </c>
      <c r="R75" s="6286" t="s">
        <v>124</v>
      </c>
      <c r="S75" s="8492" t="s">
        <v>110</v>
      </c>
      <c r="T75" s="8491" t="s">
        <v>11063</v>
      </c>
      <c r="V75" s="6872" t="s">
        <v>11060</v>
      </c>
      <c r="X75" s="1021" t="s">
        <v>26</v>
      </c>
      <c r="Y75" s="41" t="str">
        <f>Y54</f>
        <v>N NAME OF YOUR RECIPE | paste it — FAMILY|  Author &gt; YOU</v>
      </c>
      <c r="Z75" s="40">
        <f>Z54</f>
        <v>0.6</v>
      </c>
      <c r="AA75" s="41" t="str">
        <f>AA54</f>
        <v>kg</v>
      </c>
      <c r="AB75" s="5386" t="str">
        <f>AB54</f>
        <v>Master recipe ► Guinea fowl ballotine</v>
      </c>
      <c r="AC75" s="6289" t="s">
        <v>122</v>
      </c>
      <c r="AD75" s="6289" t="s">
        <v>9642</v>
      </c>
      <c r="AE75" s="6291" t="s">
        <v>9687</v>
      </c>
      <c r="AF75" s="6289" t="s">
        <v>9645</v>
      </c>
      <c r="AG75" s="6289" t="s">
        <v>9639</v>
      </c>
      <c r="AH75" s="6289" t="s">
        <v>9636</v>
      </c>
      <c r="AI75" s="6281" t="s">
        <v>9631</v>
      </c>
      <c r="AJ75" s="6281" t="s">
        <v>9688</v>
      </c>
      <c r="AK75" s="6281" t="s">
        <v>9689</v>
      </c>
      <c r="AL75" s="6286" t="s">
        <v>9690</v>
      </c>
      <c r="AM75" s="6286" t="s">
        <v>9617</v>
      </c>
      <c r="AN75" s="6286" t="s">
        <v>9623</v>
      </c>
      <c r="AO75" s="6755" t="s">
        <v>9691</v>
      </c>
      <c r="AP75" s="8491" t="s">
        <v>11063</v>
      </c>
      <c r="AR75" s="6872" t="s">
        <v>11060</v>
      </c>
      <c r="AT75" s="1021" t="s">
        <v>26</v>
      </c>
      <c r="AU75" s="41" t="str">
        <f>AU54</f>
        <v>N NOMBRE DE SU RECETA | pegue esto — FAMILIA| Autor &gt; USTED</v>
      </c>
      <c r="AV75" s="40">
        <f>AV54</f>
        <v>0.6</v>
      </c>
      <c r="AW75" s="41" t="str">
        <f>AW54</f>
        <v>kg</v>
      </c>
      <c r="AX75" s="5386" t="str">
        <f>AX54</f>
        <v>Receta madre ► Ballotina de pintada</v>
      </c>
      <c r="AY75" s="6289" t="s">
        <v>9633</v>
      </c>
      <c r="AZ75" s="6289" t="s">
        <v>9643</v>
      </c>
      <c r="BA75" s="6291" t="s">
        <v>9695</v>
      </c>
      <c r="BB75" s="6289" t="s">
        <v>9646</v>
      </c>
      <c r="BC75" s="6289" t="s">
        <v>9640</v>
      </c>
      <c r="BD75" s="6289" t="s">
        <v>9696</v>
      </c>
      <c r="BE75" s="6294" t="s">
        <v>9632</v>
      </c>
      <c r="BF75" s="6281" t="s">
        <v>9697</v>
      </c>
      <c r="BG75" s="6281" t="s">
        <v>9698</v>
      </c>
      <c r="BH75" s="6286" t="s">
        <v>9699</v>
      </c>
      <c r="BI75" s="6286" t="s">
        <v>9618</v>
      </c>
      <c r="BJ75" s="6286" t="s">
        <v>9624</v>
      </c>
      <c r="BK75" s="6755" t="s">
        <v>9648</v>
      </c>
      <c r="BL75" s="8491" t="s">
        <v>11063</v>
      </c>
      <c r="BN75" s="6872" t="s">
        <v>11060</v>
      </c>
      <c r="BP75" s="6448"/>
      <c r="BQ75" s="6461"/>
      <c r="BR75" s="6460"/>
      <c r="BS75" s="6450"/>
      <c r="BT75" s="7112"/>
      <c r="BU75" s="7112"/>
      <c r="BV75" s="7113"/>
      <c r="BX75" s="6448"/>
      <c r="BY75" s="6461"/>
      <c r="BZ75" s="6460"/>
      <c r="CA75" s="6450"/>
      <c r="CB75" s="7112"/>
      <c r="CC75" s="7112"/>
      <c r="CD75" s="7113"/>
      <c r="CF75" s="6448"/>
      <c r="CG75" s="6461"/>
      <c r="CH75" s="6460"/>
      <c r="CI75" s="6450"/>
      <c r="CJ75" s="7114"/>
      <c r="CK75" s="7114"/>
      <c r="CL75" s="7115"/>
      <c r="CN75" s="5">
        <v>1</v>
      </c>
    </row>
    <row r="76" spans="2:92" ht="21" customHeight="1">
      <c r="B76" s="1021" t="s">
        <v>26</v>
      </c>
      <c r="C76" s="41" t="str">
        <f>C54</f>
        <v>N NOM DE VOTRE RECETTE | collez la--FAMILLE| Auteur &gt; VOUS</v>
      </c>
      <c r="D76" s="40">
        <f>D54</f>
        <v>4</v>
      </c>
      <c r="E76" s="41" t="str">
        <f>E54</f>
        <v>couverts</v>
      </c>
      <c r="F76" s="5386" t="str">
        <f>F54</f>
        <v>Recette mère ► Ballotine de pintade</v>
      </c>
      <c r="G76" s="6706">
        <v>2.835E-2</v>
      </c>
      <c r="H76" s="6707">
        <v>0.13</v>
      </c>
      <c r="I76" s="6708">
        <v>0</v>
      </c>
      <c r="J76" s="6707">
        <v>0.2</v>
      </c>
      <c r="K76" s="6707">
        <v>0.23</v>
      </c>
      <c r="L76" s="6707">
        <v>0.22500000000000001</v>
      </c>
      <c r="M76" s="6709">
        <v>0.35</v>
      </c>
      <c r="N76" s="6709">
        <v>5.0000000000000001E-3</v>
      </c>
      <c r="O76" s="6709">
        <v>5.0000000000000001E-3</v>
      </c>
      <c r="P76" s="6709">
        <v>1.4999999999999999E-2</v>
      </c>
      <c r="Q76" s="6709">
        <v>0.1</v>
      </c>
      <c r="R76" s="6709">
        <v>0.22500000000000001</v>
      </c>
      <c r="S76" s="6709">
        <v>1E-3</v>
      </c>
      <c r="T76" s="8493"/>
      <c r="V76" s="6872" t="s">
        <v>11061</v>
      </c>
      <c r="X76" s="1021" t="s">
        <v>26</v>
      </c>
      <c r="Y76" s="41" t="str">
        <f>Y54</f>
        <v>N NAME OF YOUR RECIPE | paste it — FAMILY|  Author &gt; YOU</v>
      </c>
      <c r="Z76" s="40">
        <f>Z54</f>
        <v>0.6</v>
      </c>
      <c r="AA76" s="41" t="str">
        <f>AA54</f>
        <v>kg</v>
      </c>
      <c r="AB76" s="5386" t="str">
        <f>AB54</f>
        <v>Master recipe ► Guinea fowl ballotine</v>
      </c>
      <c r="AC76" s="6711">
        <v>2.835E-2</v>
      </c>
      <c r="AD76" s="6712">
        <v>0.13</v>
      </c>
      <c r="AE76" s="6713">
        <v>0</v>
      </c>
      <c r="AF76" s="6712">
        <v>0.2</v>
      </c>
      <c r="AG76" s="6712">
        <v>0.23</v>
      </c>
      <c r="AH76" s="6712">
        <v>0.22500000000000001</v>
      </c>
      <c r="AI76" s="6709">
        <v>0.35</v>
      </c>
      <c r="AJ76" s="6709">
        <v>5.0000000000000001E-3</v>
      </c>
      <c r="AK76" s="6709">
        <v>5.0000000000000001E-3</v>
      </c>
      <c r="AL76" s="6709">
        <v>1.4999999999999999E-2</v>
      </c>
      <c r="AM76" s="6709">
        <v>0.1</v>
      </c>
      <c r="AN76" s="6709">
        <v>0.22500000000000001</v>
      </c>
      <c r="AO76" s="8494">
        <v>1E-3</v>
      </c>
      <c r="AP76" s="8493"/>
      <c r="AR76" s="6872" t="s">
        <v>11061</v>
      </c>
      <c r="AT76" s="1021" t="s">
        <v>26</v>
      </c>
      <c r="AU76" s="41" t="str">
        <f>AU54</f>
        <v>N NOMBRE DE SU RECETA | pegue esto — FAMILIA| Autor &gt; USTED</v>
      </c>
      <c r="AV76" s="40">
        <f>AV54</f>
        <v>0.6</v>
      </c>
      <c r="AW76" s="41" t="str">
        <f>AW54</f>
        <v>kg</v>
      </c>
      <c r="AX76" s="5386" t="str">
        <f>AX54</f>
        <v>Receta madre ► Ballotina de pintada</v>
      </c>
      <c r="AY76" s="6711">
        <v>2.835E-2</v>
      </c>
      <c r="AZ76" s="6712">
        <v>0.13</v>
      </c>
      <c r="BA76" s="6713">
        <v>0</v>
      </c>
      <c r="BB76" s="6712">
        <v>0.2</v>
      </c>
      <c r="BC76" s="6712">
        <v>0.23</v>
      </c>
      <c r="BD76" s="6712">
        <v>0.22500000000000001</v>
      </c>
      <c r="BE76" s="6709">
        <v>0.35</v>
      </c>
      <c r="BF76" s="6709">
        <v>5.0000000000000001E-3</v>
      </c>
      <c r="BG76" s="6709">
        <v>5.0000000000000001E-3</v>
      </c>
      <c r="BH76" s="6709">
        <v>1.4999999999999999E-2</v>
      </c>
      <c r="BI76" s="6709">
        <v>0.1</v>
      </c>
      <c r="BJ76" s="6709">
        <v>0.22500000000000001</v>
      </c>
      <c r="BK76" s="8494">
        <v>1E-3</v>
      </c>
      <c r="BL76" s="8493"/>
      <c r="BN76" s="6872" t="s">
        <v>11061</v>
      </c>
      <c r="BP76" s="6489"/>
      <c r="BQ76" s="6677" t="s">
        <v>186</v>
      </c>
      <c r="BR76" s="6416" t="s">
        <v>927</v>
      </c>
      <c r="BS76" s="6417"/>
      <c r="BT76" s="5783"/>
      <c r="BU76" s="5783"/>
      <c r="BV76" s="6403"/>
      <c r="BX76" s="6489"/>
      <c r="BY76" s="6677" t="s">
        <v>186</v>
      </c>
      <c r="BZ76" s="6417"/>
      <c r="CA76" s="5783"/>
      <c r="CB76" s="5783"/>
      <c r="CC76" s="5783"/>
      <c r="CD76" s="6403"/>
      <c r="CF76" s="6489"/>
      <c r="CG76" s="6677" t="s">
        <v>186</v>
      </c>
      <c r="CH76" s="6417"/>
      <c r="CI76" s="5783"/>
      <c r="CJ76" s="5783"/>
      <c r="CK76" s="5783"/>
      <c r="CL76" s="6403"/>
      <c r="CN76" s="5">
        <v>1</v>
      </c>
    </row>
    <row r="77" spans="2:92" ht="21" customHeight="1">
      <c r="B77" s="5269" t="s">
        <v>21</v>
      </c>
      <c r="C77" s="1313" t="str">
        <f>C54</f>
        <v>N NOM DE VOTRE RECETTE | collez la--FAMILLE| Auteur &gt; VOUS</v>
      </c>
      <c r="D77" s="1313">
        <f>D54</f>
        <v>4</v>
      </c>
      <c r="E77" s="5377" t="str">
        <f>E54</f>
        <v>couverts</v>
      </c>
      <c r="F77" s="5387" t="str">
        <f>F54</f>
        <v>Recette mère ► Ballotine de pintade</v>
      </c>
      <c r="G77" s="6293" t="str">
        <f t="shared" ref="G77:L77" si="22">G55</f>
        <v>Col.6</v>
      </c>
      <c r="H77" s="6293" t="str">
        <f t="shared" si="22"/>
        <v>Col.7</v>
      </c>
      <c r="I77" s="6293" t="str">
        <f t="shared" si="22"/>
        <v>Col.8</v>
      </c>
      <c r="J77" s="6293" t="str">
        <f t="shared" si="22"/>
        <v>Col.9</v>
      </c>
      <c r="K77" s="6293" t="str">
        <f t="shared" si="22"/>
        <v>Col.10</v>
      </c>
      <c r="L77" s="6293" t="str">
        <f t="shared" si="22"/>
        <v>Col.11</v>
      </c>
      <c r="M77" s="6297" t="s">
        <v>8775</v>
      </c>
      <c r="N77" s="6867"/>
      <c r="O77" s="6292"/>
      <c r="P77" s="6292"/>
      <c r="Q77" s="6279"/>
      <c r="R77" s="6279"/>
      <c r="S77" s="6280" t="s">
        <v>1156</v>
      </c>
      <c r="T77" s="6278" t="s">
        <v>1155</v>
      </c>
      <c r="X77" s="5269" t="s">
        <v>21</v>
      </c>
      <c r="Y77" s="1313" t="str">
        <f>Y54</f>
        <v>N NAME OF YOUR RECIPE | paste it — FAMILY|  Author &gt; YOU</v>
      </c>
      <c r="Z77" s="1313">
        <f>Z54</f>
        <v>0.6</v>
      </c>
      <c r="AA77" s="5377" t="str">
        <f>AA54</f>
        <v>kg</v>
      </c>
      <c r="AB77" s="5387" t="str">
        <f>AB54</f>
        <v>Master recipe ► Guinea fowl ballotine</v>
      </c>
      <c r="AC77" s="6293" t="str">
        <f t="shared" ref="AC77:AH77" si="23">AC55</f>
        <v>Col.6</v>
      </c>
      <c r="AD77" s="6293" t="str">
        <f t="shared" si="23"/>
        <v>Col.7</v>
      </c>
      <c r="AE77" s="6293" t="str">
        <f t="shared" si="23"/>
        <v>Col.8</v>
      </c>
      <c r="AF77" s="6293" t="str">
        <f t="shared" si="23"/>
        <v>Col.9</v>
      </c>
      <c r="AG77" s="6293" t="str">
        <f t="shared" si="23"/>
        <v>Col.10</v>
      </c>
      <c r="AH77" s="6293" t="str">
        <f t="shared" si="23"/>
        <v>Col.11</v>
      </c>
      <c r="AI77" s="6297" t="s">
        <v>9692</v>
      </c>
      <c r="AJ77" s="6867"/>
      <c r="AK77" s="6292"/>
      <c r="AL77" s="6292"/>
      <c r="AM77" s="6279"/>
      <c r="AN77" s="6279"/>
      <c r="AO77" s="6721" t="s">
        <v>8359</v>
      </c>
      <c r="AP77" s="6278" t="s">
        <v>1155</v>
      </c>
      <c r="AT77" s="5269" t="s">
        <v>21</v>
      </c>
      <c r="AU77" s="1313" t="str">
        <f>AU54</f>
        <v>N NOMBRE DE SU RECETA | pegue esto — FAMILIA| Autor &gt; USTED</v>
      </c>
      <c r="AV77" s="1313">
        <f>AV54</f>
        <v>0.6</v>
      </c>
      <c r="AW77" s="5377" t="str">
        <f>AW54</f>
        <v>kg</v>
      </c>
      <c r="AX77" s="5387" t="str">
        <f>AX54</f>
        <v>Receta madre ► Ballotina de pintada</v>
      </c>
      <c r="AY77" s="6293" t="str">
        <f t="shared" ref="AY77:BD77" si="24">AY55</f>
        <v>Col.6</v>
      </c>
      <c r="AZ77" s="6293" t="str">
        <f t="shared" si="24"/>
        <v>Col.7</v>
      </c>
      <c r="BA77" s="6293" t="str">
        <f t="shared" si="24"/>
        <v>Col.8</v>
      </c>
      <c r="BB77" s="6293" t="str">
        <f t="shared" si="24"/>
        <v>Col.9</v>
      </c>
      <c r="BC77" s="6293" t="str">
        <f t="shared" si="24"/>
        <v>Col.10</v>
      </c>
      <c r="BD77" s="6293" t="str">
        <f t="shared" si="24"/>
        <v>Col.11</v>
      </c>
      <c r="BE77" s="6297" t="s">
        <v>9700</v>
      </c>
      <c r="BF77" s="6867"/>
      <c r="BG77" s="6292"/>
      <c r="BH77" s="6292"/>
      <c r="BI77" s="6279"/>
      <c r="BJ77" s="6279"/>
      <c r="BK77" s="6721" t="s">
        <v>8436</v>
      </c>
      <c r="BL77" s="6278" t="s">
        <v>1155</v>
      </c>
      <c r="BP77" s="6489"/>
      <c r="BQ77" s="958" t="s">
        <v>928</v>
      </c>
      <c r="BR77" s="958"/>
      <c r="BS77" s="6244"/>
      <c r="BT77" s="5783"/>
      <c r="BU77" s="5783"/>
      <c r="BV77" s="6403"/>
      <c r="BX77" s="6489"/>
      <c r="BY77" s="958" t="s">
        <v>9254</v>
      </c>
      <c r="BZ77" s="6244"/>
      <c r="CA77" s="5783"/>
      <c r="CB77" s="5783"/>
      <c r="CC77" s="5783"/>
      <c r="CD77" s="6403"/>
      <c r="CF77" s="6489"/>
      <c r="CG77" s="958" t="s">
        <v>9398</v>
      </c>
      <c r="CH77" s="6244"/>
      <c r="CI77" s="5783"/>
      <c r="CJ77" s="5783"/>
      <c r="CK77" s="5783"/>
      <c r="CL77" s="6403"/>
      <c r="CN77" s="5">
        <v>1</v>
      </c>
    </row>
    <row r="78" spans="2:92" ht="21" customHeight="1">
      <c r="B78" s="5270" t="s">
        <v>21</v>
      </c>
      <c r="C78" s="196" t="str">
        <f>C54</f>
        <v>N NOM DE VOTRE RECETTE | collez la--FAMILLE| Auteur &gt; VOUS</v>
      </c>
      <c r="D78" s="196">
        <f>D54</f>
        <v>4</v>
      </c>
      <c r="E78" s="197" t="str">
        <f>E54</f>
        <v>couverts</v>
      </c>
      <c r="F78" s="5388" t="str">
        <f>F54</f>
        <v>Recette mère ► Ballotine de pintade</v>
      </c>
      <c r="G78" s="369" t="s">
        <v>252</v>
      </c>
      <c r="H78" s="5271" t="s">
        <v>864</v>
      </c>
      <c r="I78" s="1321"/>
      <c r="J78" s="1321"/>
      <c r="K78" s="1321"/>
      <c r="L78" s="1321"/>
      <c r="M78" s="1321"/>
      <c r="N78" s="1321"/>
      <c r="O78" s="1321"/>
      <c r="P78" s="1322"/>
      <c r="Q78" s="5411"/>
      <c r="R78" s="1266"/>
      <c r="S78" s="1270" t="s">
        <v>1157</v>
      </c>
      <c r="T78" s="5272" t="s">
        <v>1155</v>
      </c>
      <c r="X78" s="5270" t="s">
        <v>21</v>
      </c>
      <c r="Y78" s="196" t="str">
        <f>Y54</f>
        <v>N NAME OF YOUR RECIPE | paste it — FAMILY|  Author &gt; YOU</v>
      </c>
      <c r="Z78" s="196">
        <f>Z54</f>
        <v>0.6</v>
      </c>
      <c r="AA78" s="197" t="str">
        <f>AA54</f>
        <v>kg</v>
      </c>
      <c r="AB78" s="5388" t="str">
        <f>AB54</f>
        <v>Master recipe ► Guinea fowl ballotine</v>
      </c>
      <c r="AC78" s="1354" t="s">
        <v>9333</v>
      </c>
      <c r="AD78" s="5271" t="s">
        <v>8392</v>
      </c>
      <c r="AE78" s="1321"/>
      <c r="AF78" s="1321"/>
      <c r="AG78" s="1321"/>
      <c r="AH78" s="1321"/>
      <c r="AI78" s="1321"/>
      <c r="AJ78" s="1321"/>
      <c r="AK78" s="1321"/>
      <c r="AL78" s="1322"/>
      <c r="AM78" s="5411"/>
      <c r="AN78" s="1266"/>
      <c r="AO78" s="1270" t="s">
        <v>8360</v>
      </c>
      <c r="AP78" s="5272" t="s">
        <v>1155</v>
      </c>
      <c r="AT78" s="5270" t="s">
        <v>21</v>
      </c>
      <c r="AU78" s="196" t="str">
        <f>AU54</f>
        <v>N NOMBRE DE SU RECETA | pegue esto — FAMILIA| Autor &gt; USTED</v>
      </c>
      <c r="AV78" s="196">
        <f>AV54</f>
        <v>0.6</v>
      </c>
      <c r="AW78" s="197" t="str">
        <f>AW54</f>
        <v>kg</v>
      </c>
      <c r="AX78" s="5388" t="str">
        <f>AX54</f>
        <v>Receta madre ► Ballotina de pintada</v>
      </c>
      <c r="AY78" s="1354" t="s">
        <v>9490</v>
      </c>
      <c r="AZ78" s="5271" t="s">
        <v>8422</v>
      </c>
      <c r="BA78" s="1321"/>
      <c r="BB78" s="1321"/>
      <c r="BC78" s="1321"/>
      <c r="BD78" s="1321"/>
      <c r="BE78" s="1321"/>
      <c r="BF78" s="1321"/>
      <c r="BG78" s="1321"/>
      <c r="BH78" s="1322"/>
      <c r="BI78" s="5411"/>
      <c r="BJ78" s="1266"/>
      <c r="BK78" s="1270" t="s">
        <v>8437</v>
      </c>
      <c r="BL78" s="5272" t="s">
        <v>1155</v>
      </c>
      <c r="BP78" s="6448"/>
      <c r="BQ78" s="6461"/>
      <c r="BR78" s="6460"/>
      <c r="BS78" s="6450"/>
      <c r="BT78" s="6678"/>
      <c r="BU78" s="6678"/>
      <c r="BV78" s="6679"/>
      <c r="BX78" s="6448"/>
      <c r="BY78" s="6461"/>
      <c r="BZ78" s="6460"/>
      <c r="CA78" s="6450"/>
      <c r="CB78" s="6678"/>
      <c r="CC78" s="6678"/>
      <c r="CD78" s="6679"/>
      <c r="CF78" s="6448"/>
      <c r="CG78" s="6461"/>
      <c r="CH78" s="6460"/>
      <c r="CI78" s="6450"/>
      <c r="CJ78" s="6680"/>
      <c r="CK78" s="6680"/>
      <c r="CL78" s="6681"/>
      <c r="CN78" s="5">
        <v>1</v>
      </c>
    </row>
    <row r="79" spans="2:92" ht="21" customHeight="1">
      <c r="B79" s="1021" t="str">
        <f t="shared" ref="B79:B89" si="25">IF(OR(G79&lt;&gt;"",H79&lt;&gt; "",I79&lt;&gt;"",J79&lt;&gt;""),"A", "►")</f>
        <v>►</v>
      </c>
      <c r="C79" s="196" t="str">
        <f>C54</f>
        <v>N NOM DE VOTRE RECETTE | collez la--FAMILLE| Auteur &gt; VOUS</v>
      </c>
      <c r="D79" s="196">
        <f>D54</f>
        <v>4</v>
      </c>
      <c r="E79" s="197" t="str">
        <f>E54</f>
        <v>couverts</v>
      </c>
      <c r="F79" s="5388" t="str">
        <f>F54</f>
        <v>Recette mère ► Ballotine de pintade</v>
      </c>
      <c r="G79" s="5275"/>
      <c r="H79" s="1320"/>
      <c r="I79" s="1320"/>
      <c r="J79" s="1320"/>
      <c r="K79" s="1320"/>
      <c r="L79" s="1320"/>
      <c r="M79" s="1320"/>
      <c r="N79" s="1320"/>
      <c r="O79" s="1320"/>
      <c r="P79" s="1324"/>
      <c r="Q79" s="141"/>
      <c r="R79" s="141"/>
      <c r="S79" s="5273" t="s">
        <v>1150</v>
      </c>
      <c r="T79" s="5274">
        <v>3.472222222222222E-3</v>
      </c>
      <c r="X79" s="1021" t="str">
        <f t="shared" ref="X79:X89" si="26">IF(OR(AC79&lt;&gt;"",AD79&lt;&gt; "",AE79&lt;&gt;"",AF79&lt;&gt;""),"A", "►")</f>
        <v>►</v>
      </c>
      <c r="Y79" s="196" t="str">
        <f>Y54</f>
        <v>N NAME OF YOUR RECIPE | paste it — FAMILY|  Author &gt; YOU</v>
      </c>
      <c r="Z79" s="196">
        <f>Z54</f>
        <v>0.6</v>
      </c>
      <c r="AA79" s="197" t="str">
        <f>AA54</f>
        <v>kg</v>
      </c>
      <c r="AB79" s="5388" t="str">
        <f>AB54</f>
        <v>Master recipe ► Guinea fowl ballotine</v>
      </c>
      <c r="AC79" s="5275"/>
      <c r="AD79" s="1320"/>
      <c r="AE79" s="1320"/>
      <c r="AF79" s="1320"/>
      <c r="AG79" s="1320"/>
      <c r="AH79" s="1320"/>
      <c r="AI79" s="1320"/>
      <c r="AJ79" s="1320"/>
      <c r="AK79" s="1320"/>
      <c r="AL79" s="1324"/>
      <c r="AM79" s="141"/>
      <c r="AN79" s="141"/>
      <c r="AO79" s="5273" t="s">
        <v>8361</v>
      </c>
      <c r="AP79" s="5274">
        <v>3.472222222222222E-3</v>
      </c>
      <c r="AT79" s="1021" t="str">
        <f t="shared" ref="AT79:AT89" si="27">IF(OR(AY79&lt;&gt;"",AZ79&lt;&gt; "",BA79&lt;&gt;"",BB79&lt;&gt;""),"A", "►")</f>
        <v>►</v>
      </c>
      <c r="AU79" s="196" t="str">
        <f>AU54</f>
        <v>N NOMBRE DE SU RECETA | pegue esto — FAMILIA| Autor &gt; USTED</v>
      </c>
      <c r="AV79" s="196">
        <f>AV54</f>
        <v>0.6</v>
      </c>
      <c r="AW79" s="197" t="str">
        <f>AW54</f>
        <v>kg</v>
      </c>
      <c r="AX79" s="5388" t="str">
        <f>AX54</f>
        <v>Receta madre ► Ballotina de pintada</v>
      </c>
      <c r="AY79" s="5275"/>
      <c r="AZ79" s="1320"/>
      <c r="BA79" s="1320"/>
      <c r="BB79" s="1320"/>
      <c r="BC79" s="1320"/>
      <c r="BD79" s="1320"/>
      <c r="BE79" s="1320"/>
      <c r="BF79" s="1320"/>
      <c r="BG79" s="1320"/>
      <c r="BH79" s="1324"/>
      <c r="BI79" s="141"/>
      <c r="BJ79" s="141"/>
      <c r="BK79" s="5273" t="s">
        <v>8431</v>
      </c>
      <c r="BL79" s="5274">
        <v>3.472222222222222E-3</v>
      </c>
      <c r="BP79" s="6448"/>
      <c r="BQ79" s="6461" t="s">
        <v>9190</v>
      </c>
      <c r="BR79" s="6460"/>
      <c r="BS79" s="6450"/>
      <c r="BT79" s="6678"/>
      <c r="BU79" s="6678"/>
      <c r="BV79" s="6679"/>
      <c r="BX79" s="6448"/>
      <c r="BY79" s="6461" t="s">
        <v>9267</v>
      </c>
      <c r="BZ79" s="6460"/>
      <c r="CA79" s="6450"/>
      <c r="CB79" s="6678"/>
      <c r="CC79" s="6678"/>
      <c r="CD79" s="6679"/>
      <c r="CF79" s="6448"/>
      <c r="CG79" s="6461" t="s">
        <v>9422</v>
      </c>
      <c r="CH79" s="6460"/>
      <c r="CI79" s="6450"/>
      <c r="CJ79" s="6680"/>
      <c r="CK79" s="6680"/>
      <c r="CL79" s="6681"/>
      <c r="CN79" s="5">
        <v>1</v>
      </c>
    </row>
    <row r="80" spans="2:92" ht="21" customHeight="1" thickBot="1">
      <c r="B80" s="1021" t="str">
        <f t="shared" si="25"/>
        <v>►</v>
      </c>
      <c r="C80" s="196" t="str">
        <f>C54</f>
        <v>N NOM DE VOTRE RECETTE | collez la--FAMILLE| Auteur &gt; VOUS</v>
      </c>
      <c r="D80" s="196">
        <f>D54</f>
        <v>4</v>
      </c>
      <c r="E80" s="197" t="str">
        <f>E54</f>
        <v>couverts</v>
      </c>
      <c r="F80" s="5388" t="str">
        <f>F54</f>
        <v>Recette mère ► Ballotine de pintade</v>
      </c>
      <c r="G80" s="5275"/>
      <c r="H80" s="1361"/>
      <c r="I80" s="1361"/>
      <c r="J80" s="1361"/>
      <c r="K80" s="1361"/>
      <c r="L80" s="1361"/>
      <c r="M80" s="1361"/>
      <c r="N80" s="1361"/>
      <c r="O80" s="1361"/>
      <c r="P80" s="5276"/>
      <c r="Q80" s="141"/>
      <c r="R80" s="141"/>
      <c r="S80" s="5273" t="s">
        <v>1152</v>
      </c>
      <c r="T80" s="5277">
        <v>1.0416666666666666E-2</v>
      </c>
      <c r="X80" s="1021" t="str">
        <f t="shared" si="26"/>
        <v>►</v>
      </c>
      <c r="Y80" s="196" t="str">
        <f>Y54</f>
        <v>N NAME OF YOUR RECIPE | paste it — FAMILY|  Author &gt; YOU</v>
      </c>
      <c r="Z80" s="196">
        <f>Z54</f>
        <v>0.6</v>
      </c>
      <c r="AA80" s="197" t="str">
        <f>AA54</f>
        <v>kg</v>
      </c>
      <c r="AB80" s="5388" t="str">
        <f>AB54</f>
        <v>Master recipe ► Guinea fowl ballotine</v>
      </c>
      <c r="AC80" s="5275"/>
      <c r="AD80" s="1361"/>
      <c r="AE80" s="1361"/>
      <c r="AF80" s="1361"/>
      <c r="AG80" s="1361"/>
      <c r="AH80" s="1361"/>
      <c r="AI80" s="1361"/>
      <c r="AJ80" s="1361"/>
      <c r="AK80" s="1361"/>
      <c r="AL80" s="5276"/>
      <c r="AM80" s="141"/>
      <c r="AN80" s="141"/>
      <c r="AO80" s="5273" t="s">
        <v>8362</v>
      </c>
      <c r="AP80" s="5277">
        <v>1.0416666666666666E-2</v>
      </c>
      <c r="AT80" s="1021" t="str">
        <f t="shared" si="27"/>
        <v>►</v>
      </c>
      <c r="AU80" s="196" t="str">
        <f>AU54</f>
        <v>N NOMBRE DE SU RECETA | pegue esto — FAMILIA| Autor &gt; USTED</v>
      </c>
      <c r="AV80" s="196">
        <f>AV54</f>
        <v>0.6</v>
      </c>
      <c r="AW80" s="197" t="str">
        <f>AW54</f>
        <v>kg</v>
      </c>
      <c r="AX80" s="5388" t="str">
        <f>AX54</f>
        <v>Receta madre ► Ballotina de pintada</v>
      </c>
      <c r="AY80" s="5275"/>
      <c r="AZ80" s="1361"/>
      <c r="BA80" s="1361"/>
      <c r="BB80" s="1361"/>
      <c r="BC80" s="1361"/>
      <c r="BD80" s="1361"/>
      <c r="BE80" s="1361"/>
      <c r="BF80" s="1361"/>
      <c r="BG80" s="1361"/>
      <c r="BH80" s="5276"/>
      <c r="BI80" s="141"/>
      <c r="BJ80" s="141"/>
      <c r="BK80" s="5273" t="s">
        <v>8432</v>
      </c>
      <c r="BL80" s="5277">
        <v>1.0416666666666666E-2</v>
      </c>
      <c r="BP80" s="6424"/>
      <c r="BQ80" s="5783"/>
      <c r="BR80" s="5783"/>
      <c r="BS80" s="5783"/>
      <c r="BT80" s="5783"/>
      <c r="BU80" s="5783"/>
      <c r="BV80" s="6403"/>
      <c r="BX80" s="6424"/>
      <c r="BY80" s="5783"/>
      <c r="BZ80" s="5783"/>
      <c r="CA80" s="5783"/>
      <c r="CB80" s="5783"/>
      <c r="CC80" s="5783"/>
      <c r="CD80" s="6403"/>
      <c r="CF80" s="6424"/>
      <c r="CG80" s="5783"/>
      <c r="CH80" s="5783"/>
      <c r="CI80" s="5783"/>
      <c r="CJ80" s="5783"/>
      <c r="CK80" s="5783"/>
      <c r="CL80" s="6403"/>
      <c r="CN80" s="5">
        <v>1</v>
      </c>
    </row>
    <row r="81" spans="2:92" ht="21" customHeight="1" thickTop="1">
      <c r="B81" s="1021" t="str">
        <f t="shared" si="25"/>
        <v>►</v>
      </c>
      <c r="C81" s="196" t="str">
        <f>C54</f>
        <v>N NOM DE VOTRE RECETTE | collez la--FAMILLE| Auteur &gt; VOUS</v>
      </c>
      <c r="D81" s="196">
        <f>D54</f>
        <v>4</v>
      </c>
      <c r="E81" s="197" t="str">
        <f>E54</f>
        <v>couverts</v>
      </c>
      <c r="F81" s="5388" t="str">
        <f>F54</f>
        <v>Recette mère ► Ballotine de pintade</v>
      </c>
      <c r="G81" s="5275"/>
      <c r="H81" s="1361"/>
      <c r="I81" s="1361"/>
      <c r="J81" s="1361"/>
      <c r="K81" s="1361"/>
      <c r="L81" s="1361"/>
      <c r="M81" s="1361"/>
      <c r="N81" s="1361"/>
      <c r="O81" s="1361"/>
      <c r="P81" s="5276"/>
      <c r="Q81" s="141"/>
      <c r="R81" s="141"/>
      <c r="S81" s="5273" t="s">
        <v>8017</v>
      </c>
      <c r="T81" s="5278">
        <v>2.0833333333333332E-2</v>
      </c>
      <c r="X81" s="1021" t="str">
        <f t="shared" si="26"/>
        <v>►</v>
      </c>
      <c r="Y81" s="196" t="str">
        <f>Y54</f>
        <v>N NAME OF YOUR RECIPE | paste it — FAMILY|  Author &gt; YOU</v>
      </c>
      <c r="Z81" s="196">
        <f>Z54</f>
        <v>0.6</v>
      </c>
      <c r="AA81" s="197" t="str">
        <f>AA54</f>
        <v>kg</v>
      </c>
      <c r="AB81" s="5388" t="str">
        <f>AB54</f>
        <v>Master recipe ► Guinea fowl ballotine</v>
      </c>
      <c r="AC81" s="5275"/>
      <c r="AD81" s="1361"/>
      <c r="AE81" s="1361"/>
      <c r="AF81" s="1361"/>
      <c r="AG81" s="1361"/>
      <c r="AH81" s="1361"/>
      <c r="AI81" s="1361"/>
      <c r="AJ81" s="1361"/>
      <c r="AK81" s="1361"/>
      <c r="AL81" s="5276"/>
      <c r="AM81" s="141"/>
      <c r="AN81" s="141"/>
      <c r="AO81" s="5273" t="s">
        <v>8363</v>
      </c>
      <c r="AP81" s="5278">
        <v>2.0833333333333332E-2</v>
      </c>
      <c r="AT81" s="1021" t="str">
        <f t="shared" si="27"/>
        <v>►</v>
      </c>
      <c r="AU81" s="196" t="str">
        <f>AU54</f>
        <v>N NOMBRE DE SU RECETA | pegue esto — FAMILIA| Autor &gt; USTED</v>
      </c>
      <c r="AV81" s="196">
        <f>AV54</f>
        <v>0.6</v>
      </c>
      <c r="AW81" s="197" t="str">
        <f>AW54</f>
        <v>kg</v>
      </c>
      <c r="AX81" s="5388" t="str">
        <f>AX54</f>
        <v>Receta madre ► Ballotina de pintada</v>
      </c>
      <c r="AY81" s="5275"/>
      <c r="AZ81" s="1361"/>
      <c r="BA81" s="1361"/>
      <c r="BB81" s="1361"/>
      <c r="BC81" s="1361"/>
      <c r="BD81" s="1361"/>
      <c r="BE81" s="1361"/>
      <c r="BF81" s="1361"/>
      <c r="BG81" s="1361"/>
      <c r="BH81" s="5276"/>
      <c r="BI81" s="141"/>
      <c r="BJ81" s="141"/>
      <c r="BK81" s="5273" t="s">
        <v>8433</v>
      </c>
      <c r="BL81" s="5278">
        <v>2.0833333333333332E-2</v>
      </c>
      <c r="BP81" s="5842" t="s">
        <v>194</v>
      </c>
      <c r="BQ81" s="7116" t="s">
        <v>8543</v>
      </c>
      <c r="BR81" s="7117"/>
      <c r="BS81" s="7117"/>
      <c r="BT81" s="7120" t="s">
        <v>8544</v>
      </c>
      <c r="BU81" s="6995" t="s">
        <v>8545</v>
      </c>
      <c r="BV81" s="7122"/>
      <c r="BX81" s="5842" t="s">
        <v>194</v>
      </c>
      <c r="BY81" s="7116" t="s">
        <v>9537</v>
      </c>
      <c r="BZ81" s="7117"/>
      <c r="CA81" s="7117"/>
      <c r="CB81" s="7120" t="s">
        <v>9539</v>
      </c>
      <c r="CC81" s="6995" t="s">
        <v>9541</v>
      </c>
      <c r="CD81" s="7122"/>
      <c r="CF81" s="5842" t="s">
        <v>194</v>
      </c>
      <c r="CG81" s="7116" t="s">
        <v>9538</v>
      </c>
      <c r="CH81" s="7117"/>
      <c r="CI81" s="7117"/>
      <c r="CJ81" s="7120" t="s">
        <v>9540</v>
      </c>
      <c r="CK81" s="6995" t="s">
        <v>9542</v>
      </c>
      <c r="CL81" s="7122"/>
      <c r="CN81" s="5">
        <v>1</v>
      </c>
    </row>
    <row r="82" spans="2:92" ht="21" customHeight="1">
      <c r="B82" s="1021" t="str">
        <f t="shared" si="25"/>
        <v>►</v>
      </c>
      <c r="C82" s="196" t="str">
        <f>C54</f>
        <v>N NOM DE VOTRE RECETTE | collez la--FAMILLE| Auteur &gt; VOUS</v>
      </c>
      <c r="D82" s="196">
        <f>D54</f>
        <v>4</v>
      </c>
      <c r="E82" s="197" t="str">
        <f>E54</f>
        <v>couverts</v>
      </c>
      <c r="F82" s="5388" t="str">
        <f>F54</f>
        <v>Recette mère ► Ballotine de pintade</v>
      </c>
      <c r="G82" s="5275"/>
      <c r="H82" s="1361"/>
      <c r="I82" s="1361"/>
      <c r="J82" s="1361"/>
      <c r="K82" s="1361"/>
      <c r="L82" s="1361"/>
      <c r="M82" s="1361"/>
      <c r="N82" s="1361"/>
      <c r="O82" s="1361"/>
      <c r="P82" s="5276"/>
      <c r="Q82" s="141"/>
      <c r="R82" s="141"/>
      <c r="S82" s="5279" t="s">
        <v>37</v>
      </c>
      <c r="T82" s="5280">
        <f>T79+T80+T81</f>
        <v>3.4722222222222224E-2</v>
      </c>
      <c r="X82" s="1021" t="str">
        <f t="shared" si="26"/>
        <v>►</v>
      </c>
      <c r="Y82" s="196" t="str">
        <f>Y54</f>
        <v>N NAME OF YOUR RECIPE | paste it — FAMILY|  Author &gt; YOU</v>
      </c>
      <c r="Z82" s="196">
        <f>Z54</f>
        <v>0.6</v>
      </c>
      <c r="AA82" s="197" t="str">
        <f>AA54</f>
        <v>kg</v>
      </c>
      <c r="AB82" s="5388" t="str">
        <f>AB54</f>
        <v>Master recipe ► Guinea fowl ballotine</v>
      </c>
      <c r="AC82" s="5275"/>
      <c r="AD82" s="1361"/>
      <c r="AE82" s="1361"/>
      <c r="AF82" s="1361"/>
      <c r="AG82" s="1361"/>
      <c r="AH82" s="1361"/>
      <c r="AI82" s="1361"/>
      <c r="AJ82" s="1361"/>
      <c r="AK82" s="1361"/>
      <c r="AL82" s="5276"/>
      <c r="AM82" s="141"/>
      <c r="AN82" s="141"/>
      <c r="AO82" s="5279" t="s">
        <v>37</v>
      </c>
      <c r="AP82" s="5280">
        <f>AP79+AP80+AP81</f>
        <v>3.4722222222222224E-2</v>
      </c>
      <c r="AT82" s="1021" t="str">
        <f t="shared" si="27"/>
        <v>►</v>
      </c>
      <c r="AU82" s="196" t="str">
        <f>AU54</f>
        <v>N NOMBRE DE SU RECETA | pegue esto — FAMILIA| Autor &gt; USTED</v>
      </c>
      <c r="AV82" s="196">
        <f>AV54</f>
        <v>0.6</v>
      </c>
      <c r="AW82" s="197" t="str">
        <f>AW54</f>
        <v>kg</v>
      </c>
      <c r="AX82" s="5388" t="str">
        <f>AX54</f>
        <v>Receta madre ► Ballotina de pintada</v>
      </c>
      <c r="AY82" s="5275"/>
      <c r="AZ82" s="1361"/>
      <c r="BA82" s="1361"/>
      <c r="BB82" s="1361"/>
      <c r="BC82" s="1361"/>
      <c r="BD82" s="1361"/>
      <c r="BE82" s="1361"/>
      <c r="BF82" s="1361"/>
      <c r="BG82" s="1361"/>
      <c r="BH82" s="5276"/>
      <c r="BI82" s="141"/>
      <c r="BJ82" s="141"/>
      <c r="BK82" s="5279" t="s">
        <v>37</v>
      </c>
      <c r="BL82" s="5280">
        <f>BL79+BL80+BL81</f>
        <v>3.4722222222222224E-2</v>
      </c>
      <c r="BP82" s="5847" t="s">
        <v>185</v>
      </c>
      <c r="BQ82" s="7118"/>
      <c r="BR82" s="7119"/>
      <c r="BS82" s="7119"/>
      <c r="BT82" s="7121"/>
      <c r="BU82" s="7123"/>
      <c r="BV82" s="7124"/>
      <c r="BX82" s="5847" t="s">
        <v>9523</v>
      </c>
      <c r="BY82" s="7118"/>
      <c r="BZ82" s="7119"/>
      <c r="CA82" s="7119"/>
      <c r="CB82" s="7121"/>
      <c r="CC82" s="7123"/>
      <c r="CD82" s="7124"/>
      <c r="CF82" s="5847" t="s">
        <v>9524</v>
      </c>
      <c r="CG82" s="7118"/>
      <c r="CH82" s="7119"/>
      <c r="CI82" s="7119"/>
      <c r="CJ82" s="7121"/>
      <c r="CK82" s="7123"/>
      <c r="CL82" s="7124"/>
      <c r="CN82" s="5">
        <v>1</v>
      </c>
    </row>
    <row r="83" spans="2:92" ht="21" customHeight="1">
      <c r="B83" s="1021" t="str">
        <f t="shared" si="25"/>
        <v>►</v>
      </c>
      <c r="C83" s="196" t="str">
        <f>C54</f>
        <v>N NOM DE VOTRE RECETTE | collez la--FAMILLE| Auteur &gt; VOUS</v>
      </c>
      <c r="D83" s="196">
        <f>D54</f>
        <v>4</v>
      </c>
      <c r="E83" s="197" t="str">
        <f>E54</f>
        <v>couverts</v>
      </c>
      <c r="F83" s="5388" t="str">
        <f>F54</f>
        <v>Recette mère ► Ballotine de pintade</v>
      </c>
      <c r="G83" s="5275"/>
      <c r="H83" s="1361"/>
      <c r="I83" s="1361"/>
      <c r="J83" s="1361"/>
      <c r="K83" s="1361"/>
      <c r="L83" s="1361"/>
      <c r="M83" s="1361"/>
      <c r="N83" s="1361"/>
      <c r="O83" s="1361"/>
      <c r="P83" s="5276"/>
      <c r="Q83" s="6896" t="s">
        <v>10041</v>
      </c>
      <c r="R83" s="6897"/>
      <c r="S83" s="6897"/>
      <c r="T83" s="6898"/>
      <c r="X83" s="1021" t="str">
        <f t="shared" si="26"/>
        <v>►</v>
      </c>
      <c r="Y83" s="196" t="str">
        <f>Y54</f>
        <v>N NAME OF YOUR RECIPE | paste it — FAMILY|  Author &gt; YOU</v>
      </c>
      <c r="Z83" s="196">
        <f>Z54</f>
        <v>0.6</v>
      </c>
      <c r="AA83" s="197" t="str">
        <f>AA54</f>
        <v>kg</v>
      </c>
      <c r="AB83" s="5388" t="str">
        <f>AB54</f>
        <v>Master recipe ► Guinea fowl ballotine</v>
      </c>
      <c r="AC83" s="5275"/>
      <c r="AD83" s="1361"/>
      <c r="AE83" s="1361"/>
      <c r="AF83" s="1361"/>
      <c r="AG83" s="1361"/>
      <c r="AH83" s="1361"/>
      <c r="AI83" s="1361"/>
      <c r="AJ83" s="1361"/>
      <c r="AK83" s="1361"/>
      <c r="AL83" s="5276"/>
      <c r="AM83" s="6896" t="s">
        <v>10039</v>
      </c>
      <c r="AN83" s="6897"/>
      <c r="AO83" s="6897"/>
      <c r="AP83" s="6898"/>
      <c r="AT83" s="1021" t="str">
        <f t="shared" si="27"/>
        <v>►</v>
      </c>
      <c r="AU83" s="196" t="str">
        <f>AU54</f>
        <v>N NOMBRE DE SU RECETA | pegue esto — FAMILIA| Autor &gt; USTED</v>
      </c>
      <c r="AV83" s="196">
        <f>AV54</f>
        <v>0.6</v>
      </c>
      <c r="AW83" s="197" t="str">
        <f>AW54</f>
        <v>kg</v>
      </c>
      <c r="AX83" s="5388" t="str">
        <f>AX54</f>
        <v>Receta madre ► Ballotina de pintada</v>
      </c>
      <c r="AY83" s="5275"/>
      <c r="AZ83" s="1361"/>
      <c r="BA83" s="1361"/>
      <c r="BB83" s="1361"/>
      <c r="BC83" s="1361"/>
      <c r="BD83" s="1361"/>
      <c r="BE83" s="1361"/>
      <c r="BF83" s="1361"/>
      <c r="BG83" s="1361"/>
      <c r="BH83" s="5276"/>
      <c r="BI83" s="6896" t="s">
        <v>10040</v>
      </c>
      <c r="BJ83" s="6897"/>
      <c r="BK83" s="6897"/>
      <c r="BL83" s="6898"/>
      <c r="BP83" s="5857" t="s">
        <v>160</v>
      </c>
      <c r="BQ83" s="5951">
        <v>1.1100000000000001</v>
      </c>
      <c r="BR83" s="5952" t="s">
        <v>8551</v>
      </c>
      <c r="BS83" s="5953" t="s">
        <v>8552</v>
      </c>
      <c r="BT83" s="5954">
        <v>20</v>
      </c>
      <c r="BU83" s="5955">
        <v>0.88800000000000012</v>
      </c>
      <c r="BV83" s="6478" t="s">
        <v>8553</v>
      </c>
      <c r="BX83" s="5857" t="s">
        <v>9268</v>
      </c>
      <c r="BY83" s="5951">
        <v>1.1100000000000001</v>
      </c>
      <c r="BZ83" s="5952" t="s">
        <v>8551</v>
      </c>
      <c r="CA83" s="5953" t="s">
        <v>8552</v>
      </c>
      <c r="CB83" s="5954">
        <v>20</v>
      </c>
      <c r="CC83" s="5955">
        <v>0.88800000000000012</v>
      </c>
      <c r="CD83" s="6478" t="s">
        <v>8553</v>
      </c>
      <c r="CF83" s="5857" t="s">
        <v>9423</v>
      </c>
      <c r="CG83" s="5951">
        <v>1.1100000000000001</v>
      </c>
      <c r="CH83" s="5952" t="s">
        <v>8551</v>
      </c>
      <c r="CI83" s="5953" t="s">
        <v>8552</v>
      </c>
      <c r="CJ83" s="5954">
        <v>20</v>
      </c>
      <c r="CK83" s="5955">
        <v>0.88800000000000012</v>
      </c>
      <c r="CL83" s="6478" t="s">
        <v>8553</v>
      </c>
      <c r="CN83" s="5">
        <v>1</v>
      </c>
    </row>
    <row r="84" spans="2:92" ht="21" customHeight="1">
      <c r="B84" s="1021" t="str">
        <f t="shared" si="25"/>
        <v>►</v>
      </c>
      <c r="C84" s="196" t="str">
        <f>C54</f>
        <v>N NOM DE VOTRE RECETTE | collez la--FAMILLE| Auteur &gt; VOUS</v>
      </c>
      <c r="D84" s="196">
        <f>D54</f>
        <v>4</v>
      </c>
      <c r="E84" s="197" t="str">
        <f>E54</f>
        <v>couverts</v>
      </c>
      <c r="F84" s="5388" t="str">
        <f>F54</f>
        <v>Recette mère ► Ballotine de pintade</v>
      </c>
      <c r="G84" s="5275"/>
      <c r="H84" s="1361"/>
      <c r="I84" s="1361"/>
      <c r="J84" s="1361"/>
      <c r="K84" s="1361"/>
      <c r="L84" s="1361"/>
      <c r="M84" s="1361"/>
      <c r="N84" s="1361"/>
      <c r="O84" s="1361"/>
      <c r="P84" s="5276"/>
      <c r="Q84" s="6205" t="s">
        <v>8018</v>
      </c>
      <c r="R84" s="147"/>
      <c r="S84" s="6808" t="s">
        <v>8019</v>
      </c>
      <c r="T84" s="6208">
        <f>Q87*Q85</f>
        <v>225</v>
      </c>
      <c r="X84" s="1021" t="str">
        <f t="shared" si="26"/>
        <v>►</v>
      </c>
      <c r="Y84" s="196" t="str">
        <f>Y54</f>
        <v>N NAME OF YOUR RECIPE | paste it — FAMILY|  Author &gt; YOU</v>
      </c>
      <c r="Z84" s="196">
        <f>Z54</f>
        <v>0.6</v>
      </c>
      <c r="AA84" s="197" t="str">
        <f>AA54</f>
        <v>kg</v>
      </c>
      <c r="AB84" s="5388" t="str">
        <f>AB54</f>
        <v>Master recipe ► Guinea fowl ballotine</v>
      </c>
      <c r="AC84" s="5275"/>
      <c r="AD84" s="1361"/>
      <c r="AE84" s="1361"/>
      <c r="AF84" s="1361"/>
      <c r="AG84" s="1361"/>
      <c r="AH84" s="1361"/>
      <c r="AI84" s="1361"/>
      <c r="AJ84" s="1361"/>
      <c r="AK84" s="1361"/>
      <c r="AL84" s="5276"/>
      <c r="AM84" s="6810" t="s">
        <v>8365</v>
      </c>
      <c r="AN84" s="147"/>
      <c r="AO84" s="6808" t="s">
        <v>8367</v>
      </c>
      <c r="AP84" s="6208">
        <f>AM87*AM85</f>
        <v>225</v>
      </c>
      <c r="AT84" s="1021" t="str">
        <f t="shared" si="27"/>
        <v>►</v>
      </c>
      <c r="AU84" s="196" t="str">
        <f>AU54</f>
        <v>N NOMBRE DE SU RECETA | pegue esto — FAMILIA| Autor &gt; USTED</v>
      </c>
      <c r="AV84" s="196">
        <f>AV54</f>
        <v>0.6</v>
      </c>
      <c r="AW84" s="197" t="str">
        <f>AW54</f>
        <v>kg</v>
      </c>
      <c r="AX84" s="5388" t="str">
        <f>AX54</f>
        <v>Receta madre ► Ballotina de pintada</v>
      </c>
      <c r="AY84" s="5275"/>
      <c r="AZ84" s="1361"/>
      <c r="BA84" s="1361"/>
      <c r="BB84" s="1361"/>
      <c r="BC84" s="1361"/>
      <c r="BD84" s="1361"/>
      <c r="BE84" s="1361"/>
      <c r="BF84" s="1361"/>
      <c r="BG84" s="1361"/>
      <c r="BH84" s="5276"/>
      <c r="BI84" s="6205" t="s">
        <v>9470</v>
      </c>
      <c r="BJ84" s="147"/>
      <c r="BK84" s="6808" t="s">
        <v>8438</v>
      </c>
      <c r="BL84" s="6208">
        <f>BI87*BI85</f>
        <v>225</v>
      </c>
      <c r="BP84" s="5857" t="s">
        <v>8556</v>
      </c>
      <c r="BQ84" s="5960">
        <v>0.13319999999999999</v>
      </c>
      <c r="BR84" s="5952" t="s">
        <v>8557</v>
      </c>
      <c r="BS84" s="5953" t="s">
        <v>8558</v>
      </c>
      <c r="BT84" s="5954">
        <v>10</v>
      </c>
      <c r="BU84" s="5961">
        <v>0.11987999999999999</v>
      </c>
      <c r="BV84" s="6479" t="s">
        <v>8559</v>
      </c>
      <c r="BX84" s="5857" t="s">
        <v>9269</v>
      </c>
      <c r="BY84" s="5960">
        <v>0.13319999999999999</v>
      </c>
      <c r="BZ84" s="5952" t="s">
        <v>8557</v>
      </c>
      <c r="CA84" s="5953" t="s">
        <v>8558</v>
      </c>
      <c r="CB84" s="5954">
        <v>10</v>
      </c>
      <c r="CC84" s="5961">
        <v>0.11987999999999999</v>
      </c>
      <c r="CD84" s="6479" t="s">
        <v>8559</v>
      </c>
      <c r="CF84" s="5857" t="s">
        <v>9269</v>
      </c>
      <c r="CG84" s="5960">
        <v>0.13319999999999999</v>
      </c>
      <c r="CH84" s="5952" t="s">
        <v>8557</v>
      </c>
      <c r="CI84" s="5953" t="s">
        <v>8558</v>
      </c>
      <c r="CJ84" s="5954">
        <v>10</v>
      </c>
      <c r="CK84" s="5961">
        <v>0.11987999999999999</v>
      </c>
      <c r="CL84" s="6479" t="s">
        <v>8559</v>
      </c>
      <c r="CN84" s="5">
        <v>1</v>
      </c>
    </row>
    <row r="85" spans="2:92" ht="21" customHeight="1">
      <c r="B85" s="1021" t="str">
        <f t="shared" si="25"/>
        <v>►</v>
      </c>
      <c r="C85" s="196" t="str">
        <f>C54</f>
        <v>N NOM DE VOTRE RECETTE | collez la--FAMILLE| Auteur &gt; VOUS</v>
      </c>
      <c r="D85" s="196">
        <f>D54</f>
        <v>4</v>
      </c>
      <c r="E85" s="197" t="str">
        <f>E54</f>
        <v>couverts</v>
      </c>
      <c r="F85" s="5388" t="str">
        <f>F54</f>
        <v>Recette mère ► Ballotine de pintade</v>
      </c>
      <c r="G85" s="5275"/>
      <c r="H85" s="1361"/>
      <c r="I85" s="1361"/>
      <c r="J85" s="1361"/>
      <c r="K85" s="1361"/>
      <c r="L85" s="1361"/>
      <c r="M85" s="1361"/>
      <c r="N85" s="1361"/>
      <c r="O85" s="1361"/>
      <c r="P85" s="5276"/>
      <c r="Q85" s="6206">
        <v>150</v>
      </c>
      <c r="R85" s="4691" t="s">
        <v>8358</v>
      </c>
      <c r="S85" s="6899" t="s">
        <v>3167</v>
      </c>
      <c r="T85" s="6900"/>
      <c r="X85" s="1021" t="str">
        <f t="shared" si="26"/>
        <v>►</v>
      </c>
      <c r="Y85" s="196" t="str">
        <f>Y54</f>
        <v>N NAME OF YOUR RECIPE | paste it — FAMILY|  Author &gt; YOU</v>
      </c>
      <c r="Z85" s="196">
        <f>Z54</f>
        <v>0.6</v>
      </c>
      <c r="AA85" s="197" t="str">
        <f>AA54</f>
        <v>kg</v>
      </c>
      <c r="AB85" s="5388" t="str">
        <f>AB54</f>
        <v>Master recipe ► Guinea fowl ballotine</v>
      </c>
      <c r="AC85" s="5275"/>
      <c r="AD85" s="1361"/>
      <c r="AE85" s="1361"/>
      <c r="AF85" s="1361"/>
      <c r="AG85" s="1361"/>
      <c r="AH85" s="1361"/>
      <c r="AI85" s="1361"/>
      <c r="AJ85" s="1361"/>
      <c r="AK85" s="1361"/>
      <c r="AL85" s="5276"/>
      <c r="AM85" s="6206">
        <v>150</v>
      </c>
      <c r="AN85" s="4691" t="s">
        <v>8366</v>
      </c>
      <c r="AO85" s="6899" t="s">
        <v>8368</v>
      </c>
      <c r="AP85" s="6900"/>
      <c r="AT85" s="1021" t="str">
        <f t="shared" si="27"/>
        <v>►</v>
      </c>
      <c r="AU85" s="196" t="str">
        <f>AU54</f>
        <v>N NOMBRE DE SU RECETA | pegue esto — FAMILIA| Autor &gt; USTED</v>
      </c>
      <c r="AV85" s="196">
        <f>AV54</f>
        <v>0.6</v>
      </c>
      <c r="AW85" s="197" t="str">
        <f>AW54</f>
        <v>kg</v>
      </c>
      <c r="AX85" s="5388" t="str">
        <f>AX54</f>
        <v>Receta madre ► Ballotina de pintada</v>
      </c>
      <c r="AY85" s="5275"/>
      <c r="AZ85" s="1361"/>
      <c r="BA85" s="1361"/>
      <c r="BB85" s="1361"/>
      <c r="BC85" s="1361"/>
      <c r="BD85" s="1361"/>
      <c r="BE85" s="1361"/>
      <c r="BF85" s="1361"/>
      <c r="BG85" s="1361"/>
      <c r="BH85" s="5276"/>
      <c r="BI85" s="6206">
        <v>150</v>
      </c>
      <c r="BJ85" s="4691" t="s">
        <v>9701</v>
      </c>
      <c r="BK85" s="6899" t="s">
        <v>9702</v>
      </c>
      <c r="BL85" s="6900"/>
      <c r="BP85" s="5857" t="s">
        <v>980</v>
      </c>
      <c r="BQ85" s="5960">
        <v>8.3249999999999993</v>
      </c>
      <c r="BR85" s="5952" t="s">
        <v>8560</v>
      </c>
      <c r="BS85" s="5953" t="s">
        <v>8561</v>
      </c>
      <c r="BT85" s="5954">
        <v>30</v>
      </c>
      <c r="BU85" s="5961">
        <v>5.8274999999999997</v>
      </c>
      <c r="BV85" s="6479" t="s">
        <v>8562</v>
      </c>
      <c r="BX85" s="5857" t="s">
        <v>979</v>
      </c>
      <c r="BY85" s="5960">
        <v>8.3249999999999993</v>
      </c>
      <c r="BZ85" s="5952" t="s">
        <v>8560</v>
      </c>
      <c r="CA85" s="5953" t="s">
        <v>8561</v>
      </c>
      <c r="CB85" s="5954">
        <v>30</v>
      </c>
      <c r="CC85" s="5961">
        <v>5.8274999999999997</v>
      </c>
      <c r="CD85" s="6479" t="s">
        <v>8562</v>
      </c>
      <c r="CF85" s="5857" t="s">
        <v>9403</v>
      </c>
      <c r="CG85" s="5960">
        <v>8.3249999999999993</v>
      </c>
      <c r="CH85" s="5952" t="s">
        <v>8560</v>
      </c>
      <c r="CI85" s="5953" t="s">
        <v>8561</v>
      </c>
      <c r="CJ85" s="5954">
        <v>30</v>
      </c>
      <c r="CK85" s="5961">
        <v>5.8274999999999997</v>
      </c>
      <c r="CL85" s="6479" t="s">
        <v>8562</v>
      </c>
      <c r="CN85" s="5">
        <v>1</v>
      </c>
    </row>
    <row r="86" spans="2:92" ht="21" customHeight="1">
      <c r="B86" s="1021" t="str">
        <f t="shared" si="25"/>
        <v>►</v>
      </c>
      <c r="C86" s="196" t="str">
        <f>C54</f>
        <v>N NOM DE VOTRE RECETTE | collez la--FAMILLE| Auteur &gt; VOUS</v>
      </c>
      <c r="D86" s="196">
        <f>D54</f>
        <v>4</v>
      </c>
      <c r="E86" s="197" t="str">
        <f>E54</f>
        <v>couverts</v>
      </c>
      <c r="F86" s="5388" t="str">
        <f>F54</f>
        <v>Recette mère ► Ballotine de pintade</v>
      </c>
      <c r="G86" s="5275"/>
      <c r="H86" s="1361"/>
      <c r="I86" s="1361"/>
      <c r="J86" s="1361"/>
      <c r="K86" s="1361"/>
      <c r="L86" s="1361"/>
      <c r="M86" s="1361"/>
      <c r="N86" s="1361"/>
      <c r="O86" s="1361"/>
      <c r="P86" s="5276"/>
      <c r="Q86" s="6874" t="s">
        <v>1193</v>
      </c>
      <c r="R86" s="6875"/>
      <c r="S86" s="6809" t="s">
        <v>10037</v>
      </c>
      <c r="T86" s="609"/>
      <c r="X86" s="1021" t="str">
        <f t="shared" si="26"/>
        <v>►</v>
      </c>
      <c r="Y86" s="196" t="str">
        <f>Y54</f>
        <v>N NAME OF YOUR RECIPE | paste it — FAMILY|  Author &gt; YOU</v>
      </c>
      <c r="Z86" s="196">
        <f>Z54</f>
        <v>0.6</v>
      </c>
      <c r="AA86" s="197" t="str">
        <f>AA54</f>
        <v>kg</v>
      </c>
      <c r="AB86" s="5388" t="str">
        <f>AB54</f>
        <v>Master recipe ► Guinea fowl ballotine</v>
      </c>
      <c r="AC86" s="5275"/>
      <c r="AD86" s="1361"/>
      <c r="AE86" s="1361"/>
      <c r="AF86" s="1361"/>
      <c r="AG86" s="1361"/>
      <c r="AH86" s="1361"/>
      <c r="AI86" s="1361"/>
      <c r="AJ86" s="1361"/>
      <c r="AK86" s="1361"/>
      <c r="AL86" s="5276"/>
      <c r="AM86" s="6874" t="s">
        <v>8372</v>
      </c>
      <c r="AN86" s="6875"/>
      <c r="AO86" s="6809" t="s">
        <v>10038</v>
      </c>
      <c r="AP86" s="609"/>
      <c r="AT86" s="1021" t="str">
        <f t="shared" si="27"/>
        <v>►</v>
      </c>
      <c r="AU86" s="196" t="str">
        <f>AU54</f>
        <v>N NOMBRE DE SU RECETA | pegue esto — FAMILIA| Autor &gt; USTED</v>
      </c>
      <c r="AV86" s="196">
        <f>AV54</f>
        <v>0.6</v>
      </c>
      <c r="AW86" s="197" t="str">
        <f>AW54</f>
        <v>kg</v>
      </c>
      <c r="AX86" s="5388" t="str">
        <f>AX54</f>
        <v>Receta madre ► Ballotina de pintada</v>
      </c>
      <c r="AY86" s="5275"/>
      <c r="AZ86" s="1361"/>
      <c r="BA86" s="1361"/>
      <c r="BB86" s="1361"/>
      <c r="BC86" s="1361"/>
      <c r="BD86" s="1361"/>
      <c r="BE86" s="1361"/>
      <c r="BF86" s="1361"/>
      <c r="BG86" s="1361"/>
      <c r="BH86" s="5276"/>
      <c r="BI86" s="6874" t="s">
        <v>8372</v>
      </c>
      <c r="BJ86" s="6875"/>
      <c r="BK86" s="6809" t="s">
        <v>8434</v>
      </c>
      <c r="BL86" s="609"/>
      <c r="BP86" s="6441"/>
      <c r="BQ86" s="6442"/>
      <c r="BR86" s="6443"/>
      <c r="BS86" s="5953"/>
      <c r="BT86" s="6444"/>
      <c r="BU86" s="6445"/>
      <c r="BV86" s="6446"/>
      <c r="BX86" s="6441"/>
      <c r="BY86" s="6442"/>
      <c r="BZ86" s="6443"/>
      <c r="CA86" s="5953"/>
      <c r="CB86" s="6444"/>
      <c r="CC86" s="6445"/>
      <c r="CD86" s="6446"/>
      <c r="CF86" s="6441"/>
      <c r="CG86" s="6442"/>
      <c r="CH86" s="6443"/>
      <c r="CI86" s="5953"/>
      <c r="CJ86" s="6444"/>
      <c r="CK86" s="6445"/>
      <c r="CL86" s="6446"/>
      <c r="CN86" s="5">
        <v>1</v>
      </c>
    </row>
    <row r="87" spans="2:92" ht="21" customHeight="1" thickBot="1">
      <c r="B87" s="1021" t="str">
        <f t="shared" si="25"/>
        <v>►</v>
      </c>
      <c r="C87" s="196" t="str">
        <f>C54</f>
        <v>N NOM DE VOTRE RECETTE | collez la--FAMILLE| Auteur &gt; VOUS</v>
      </c>
      <c r="D87" s="196">
        <f>D54</f>
        <v>4</v>
      </c>
      <c r="E87" s="197" t="str">
        <f>E54</f>
        <v>couverts</v>
      </c>
      <c r="F87" s="5388" t="str">
        <f>F54</f>
        <v>Recette mère ► Ballotine de pintade</v>
      </c>
      <c r="G87" s="5275"/>
      <c r="H87" s="1361"/>
      <c r="I87" s="1361"/>
      <c r="J87" s="1361"/>
      <c r="K87" s="1361"/>
      <c r="L87" s="1361"/>
      <c r="M87" s="1361"/>
      <c r="N87" s="1361"/>
      <c r="O87" s="1361"/>
      <c r="P87" s="5276"/>
      <c r="Q87" s="6207">
        <v>1.5</v>
      </c>
      <c r="R87" s="920" t="str">
        <f>"&lt; Nb de "&amp;S85&amp;" par personne "</f>
        <v xml:space="preserve">&lt; Nb de tranches par personne </v>
      </c>
      <c r="S87" s="5286"/>
      <c r="T87" s="762"/>
      <c r="X87" s="1021" t="str">
        <f t="shared" si="26"/>
        <v>A</v>
      </c>
      <c r="Y87" s="196" t="str">
        <f>Y54</f>
        <v>N NAME OF YOUR RECIPE | paste it — FAMILY|  Author &gt; YOU</v>
      </c>
      <c r="Z87" s="196">
        <f>Z54</f>
        <v>0.6</v>
      </c>
      <c r="AA87" s="197" t="str">
        <f>AA54</f>
        <v>kg</v>
      </c>
      <c r="AB87" s="5388" t="str">
        <f>AB54</f>
        <v>Master recipe ► Guinea fowl ballotine</v>
      </c>
      <c r="AC87" s="5275"/>
      <c r="AD87" s="1361"/>
      <c r="AE87" s="6733" t="s">
        <v>9693</v>
      </c>
      <c r="AF87" s="5306" t="s">
        <v>269</v>
      </c>
      <c r="AG87" s="1361" t="s">
        <v>10000</v>
      </c>
      <c r="AH87" s="1361"/>
      <c r="AI87" s="1361"/>
      <c r="AJ87" s="1361"/>
      <c r="AK87" s="1361"/>
      <c r="AL87" s="5276"/>
      <c r="AM87" s="6207">
        <v>1.5</v>
      </c>
      <c r="AN87" s="920" t="str">
        <f>"&lt; Nb of "&amp;AO85&amp;" per person "</f>
        <v xml:space="preserve">&lt; Nb of slices per person </v>
      </c>
      <c r="AO87" s="5286"/>
      <c r="AP87" s="762"/>
      <c r="AT87" s="1021" t="str">
        <f t="shared" si="27"/>
        <v>A</v>
      </c>
      <c r="AU87" s="196" t="str">
        <f>AU54</f>
        <v>N NOMBRE DE SU RECETA | pegue esto — FAMILIA| Autor &gt; USTED</v>
      </c>
      <c r="AV87" s="196">
        <f>AV54</f>
        <v>0.6</v>
      </c>
      <c r="AW87" s="197" t="str">
        <f>AW54</f>
        <v>kg</v>
      </c>
      <c r="AX87" s="5388" t="str">
        <f>AX54</f>
        <v>Receta madre ► Ballotina de pintada</v>
      </c>
      <c r="AY87" s="5275"/>
      <c r="AZ87" s="1361"/>
      <c r="BA87" s="6733" t="s">
        <v>9998</v>
      </c>
      <c r="BB87" s="5306" t="s">
        <v>269</v>
      </c>
      <c r="BC87" s="1361" t="s">
        <v>9999</v>
      </c>
      <c r="BD87" s="1361"/>
      <c r="BE87" s="1361"/>
      <c r="BF87" s="1361"/>
      <c r="BG87" s="1361"/>
      <c r="BH87" s="5276"/>
      <c r="BI87" s="6207">
        <v>1.5</v>
      </c>
      <c r="BJ87" s="920" t="str">
        <f>"&lt; Nb de "&amp;BK85&amp;" por persona "</f>
        <v xml:space="preserve">&lt; Nb de tajadas por persona </v>
      </c>
      <c r="BK87" s="5286"/>
      <c r="BL87" s="762"/>
      <c r="BP87" s="6489"/>
      <c r="BQ87" s="6490"/>
      <c r="BR87" s="6491"/>
      <c r="BS87" s="6490"/>
      <c r="BT87" s="6490"/>
      <c r="BU87" s="6490"/>
      <c r="BV87" s="6492"/>
      <c r="BX87" s="6489"/>
      <c r="BY87" s="6490"/>
      <c r="BZ87" s="6491"/>
      <c r="CA87" s="6490"/>
      <c r="CB87" s="6490"/>
      <c r="CC87" s="6490"/>
      <c r="CD87" s="6492"/>
      <c r="CF87" s="6489"/>
      <c r="CG87" s="6490"/>
      <c r="CH87" s="6491"/>
      <c r="CI87" s="6490"/>
      <c r="CJ87" s="6490"/>
      <c r="CK87" s="6490"/>
      <c r="CL87" s="6492"/>
      <c r="CN87" s="5">
        <v>1</v>
      </c>
    </row>
    <row r="88" spans="2:92" ht="21" customHeight="1" thickBot="1">
      <c r="B88" s="1021" t="str">
        <f t="shared" si="25"/>
        <v>A</v>
      </c>
      <c r="C88" s="196" t="str">
        <f>C54</f>
        <v>N NOM DE VOTRE RECETTE | collez la--FAMILLE| Auteur &gt; VOUS</v>
      </c>
      <c r="D88" s="196">
        <f>D54</f>
        <v>4</v>
      </c>
      <c r="E88" s="197" t="str">
        <f>E54</f>
        <v>couverts</v>
      </c>
      <c r="F88" s="5388" t="str">
        <f>F54</f>
        <v>Recette mère ► Ballotine de pintade</v>
      </c>
      <c r="G88" s="5275"/>
      <c r="H88" s="5306" t="s">
        <v>269</v>
      </c>
      <c r="I88" s="1361" t="s">
        <v>10001</v>
      </c>
      <c r="J88" s="1361"/>
      <c r="K88" s="1361"/>
      <c r="L88" s="1361"/>
      <c r="M88" s="1361"/>
      <c r="N88" s="1361"/>
      <c r="O88" s="1361"/>
      <c r="P88" s="5276"/>
      <c r="Q88" s="6209">
        <v>27</v>
      </c>
      <c r="R88" s="920" t="str">
        <f>"&lt; Nb "&amp;S85&amp;" dans 1 " &amp;Q86</f>
        <v>&lt; Nb tranches dans 1 Gastro 1/1</v>
      </c>
      <c r="S88" s="5288"/>
      <c r="T88" s="6208"/>
      <c r="X88" s="1021" t="str">
        <f t="shared" si="26"/>
        <v>►</v>
      </c>
      <c r="Y88" s="196" t="str">
        <f>Y54</f>
        <v>N NAME OF YOUR RECIPE | paste it — FAMILY|  Author &gt; YOU</v>
      </c>
      <c r="Z88" s="196">
        <f>Z54</f>
        <v>0.6</v>
      </c>
      <c r="AA88" s="197" t="str">
        <f>AA54</f>
        <v>kg</v>
      </c>
      <c r="AB88" s="5388" t="str">
        <f>AB54</f>
        <v>Master recipe ► Guinea fowl ballotine</v>
      </c>
      <c r="AC88" s="5275"/>
      <c r="AD88" s="1361"/>
      <c r="AE88" s="1361"/>
      <c r="AF88" s="1361"/>
      <c r="AG88" s="1361"/>
      <c r="AH88" s="1361"/>
      <c r="AI88" s="1361"/>
      <c r="AJ88" s="1361"/>
      <c r="AK88" s="1361"/>
      <c r="AL88" s="5276"/>
      <c r="AM88" s="6209">
        <v>27</v>
      </c>
      <c r="AN88" s="920" t="str">
        <f>"&lt; Nb "&amp;AO85&amp;" in 1 " &amp;AM86</f>
        <v>&lt; Nb slices in 1 pack(s)</v>
      </c>
      <c r="AO88" s="5288"/>
      <c r="AP88" s="6208"/>
      <c r="AT88" s="1021" t="str">
        <f t="shared" si="27"/>
        <v>►</v>
      </c>
      <c r="AU88" s="196" t="str">
        <f>AU54</f>
        <v>N NOMBRE DE SU RECETA | pegue esto — FAMILIA| Autor &gt; USTED</v>
      </c>
      <c r="AV88" s="196">
        <f>AV54</f>
        <v>0.6</v>
      </c>
      <c r="AW88" s="197" t="str">
        <f>AW54</f>
        <v>kg</v>
      </c>
      <c r="AX88" s="5388" t="str">
        <f>AX54</f>
        <v>Receta madre ► Ballotina de pintada</v>
      </c>
      <c r="AY88" s="5275"/>
      <c r="AZ88" s="1361"/>
      <c r="BA88" s="1361"/>
      <c r="BB88" s="1361"/>
      <c r="BC88" s="1361"/>
      <c r="BD88" s="1361"/>
      <c r="BE88" s="1361"/>
      <c r="BF88" s="1361"/>
      <c r="BG88" s="1361"/>
      <c r="BH88" s="5276"/>
      <c r="BI88" s="6209">
        <v>27</v>
      </c>
      <c r="BJ88" s="920" t="str">
        <f>"&lt; Nb "&amp;BK85&amp;" dans 1 " &amp;BI86</f>
        <v>&lt; Nb tajadas dans 1 pack(s)</v>
      </c>
      <c r="BK88" s="5288"/>
      <c r="BL88" s="6208"/>
      <c r="BP88" s="6404"/>
      <c r="BQ88" s="5783"/>
      <c r="BR88" s="5783"/>
      <c r="BS88" s="5783"/>
      <c r="BT88" s="5783"/>
      <c r="BU88" s="5783"/>
      <c r="BV88" s="6403"/>
      <c r="BX88" s="6404"/>
      <c r="BY88" s="5783"/>
      <c r="BZ88" s="5783"/>
      <c r="CA88" s="5783"/>
      <c r="CB88" s="5783"/>
      <c r="CC88" s="5783"/>
      <c r="CD88" s="6403"/>
      <c r="CF88" s="6404"/>
      <c r="CG88" s="5783"/>
      <c r="CH88" s="5783"/>
      <c r="CI88" s="5783"/>
      <c r="CJ88" s="5783"/>
      <c r="CK88" s="5783"/>
      <c r="CL88" s="6403"/>
      <c r="CN88" s="5">
        <v>1</v>
      </c>
    </row>
    <row r="89" spans="2:92" ht="21" customHeight="1">
      <c r="B89" s="1021" t="str">
        <f t="shared" si="25"/>
        <v>►</v>
      </c>
      <c r="C89" s="196" t="str">
        <f>C54</f>
        <v>N NOM DE VOTRE RECETTE | collez la--FAMILLE| Auteur &gt; VOUS</v>
      </c>
      <c r="D89" s="196">
        <f>D54</f>
        <v>4</v>
      </c>
      <c r="E89" s="197" t="str">
        <f>E54</f>
        <v>couverts</v>
      </c>
      <c r="F89" s="5388" t="str">
        <f>F54</f>
        <v>Recette mère ► Ballotine de pintade</v>
      </c>
      <c r="G89" s="5275"/>
      <c r="H89" s="1361"/>
      <c r="I89" s="1361"/>
      <c r="J89" s="1361"/>
      <c r="K89" s="1361"/>
      <c r="L89" s="1361"/>
      <c r="M89" s="1361"/>
      <c r="N89" s="1361"/>
      <c r="O89" s="1361"/>
      <c r="P89" s="5276"/>
      <c r="Q89" s="6876" t="str">
        <f>IF(OR(Q88="",T84=0),"",INT(T84/Q88) &amp; " " &amp; Q86 &amp; " de " &amp; Q88 &amp; " " &amp; S85 &amp; IF(MOD(T84,Q88)&gt;0," + 1 " &amp; Q86 &amp; " de " &amp; TEXT(MOD(T84,Q88),"0.00") &amp; " " &amp; S85,""))</f>
        <v>8 Gastro 1/1 de 27 tranches + 1 Gastro 1/1 de 9.00 tranches</v>
      </c>
      <c r="R89" s="6877"/>
      <c r="S89" s="6877"/>
      <c r="T89" s="6878"/>
      <c r="X89" s="1021" t="str">
        <f t="shared" si="26"/>
        <v>►</v>
      </c>
      <c r="Y89" s="196" t="str">
        <f>Y54</f>
        <v>N NAME OF YOUR RECIPE | paste it — FAMILY|  Author &gt; YOU</v>
      </c>
      <c r="Z89" s="196">
        <f>Z54</f>
        <v>0.6</v>
      </c>
      <c r="AA89" s="197" t="str">
        <f>AA54</f>
        <v>kg</v>
      </c>
      <c r="AB89" s="5388" t="str">
        <f>AB54</f>
        <v>Master recipe ► Guinea fowl ballotine</v>
      </c>
      <c r="AC89" s="5275"/>
      <c r="AD89" s="1361"/>
      <c r="AE89" s="1361"/>
      <c r="AF89" s="1361"/>
      <c r="AG89" s="1361"/>
      <c r="AH89" s="1361"/>
      <c r="AI89" s="1361"/>
      <c r="AJ89" s="1361"/>
      <c r="AK89" s="1361"/>
      <c r="AL89" s="5276"/>
      <c r="AM89" s="6876" t="str">
        <f>IF(OR(AM88="",AP84=0),"",INT(AP84/AM88) &amp; " " &amp; AM86 &amp; " de " &amp; AM88 &amp; " " &amp; AO85 &amp; IF(MOD(AP84,AM88)&gt;0," + 1 " &amp; AM86 &amp; " de " &amp; TEXT(MOD(AP84,AM88),"0.00") &amp; " " &amp; AO85,""))</f>
        <v>8 pack(s) de 27 slices + 1 pack(s) de 9.00 slices</v>
      </c>
      <c r="AN89" s="6877"/>
      <c r="AO89" s="6877"/>
      <c r="AP89" s="6878"/>
      <c r="AT89" s="1021" t="str">
        <f t="shared" si="27"/>
        <v>►</v>
      </c>
      <c r="AU89" s="196" t="str">
        <f>AU54</f>
        <v>N NOMBRE DE SU RECETA | pegue esto — FAMILIA| Autor &gt; USTED</v>
      </c>
      <c r="AV89" s="196">
        <f>AV54</f>
        <v>0.6</v>
      </c>
      <c r="AW89" s="197" t="str">
        <f>AW54</f>
        <v>kg</v>
      </c>
      <c r="AX89" s="5388" t="str">
        <f>AX54</f>
        <v>Receta madre ► Ballotina de pintada</v>
      </c>
      <c r="AY89" s="5275"/>
      <c r="AZ89" s="1361"/>
      <c r="BA89" s="1361"/>
      <c r="BB89" s="1361"/>
      <c r="BC89" s="1361"/>
      <c r="BD89" s="1361"/>
      <c r="BE89" s="1361"/>
      <c r="BF89" s="1361"/>
      <c r="BG89" s="1361"/>
      <c r="BH89" s="5276"/>
      <c r="BI89" s="6876" t="str">
        <f>IF(OR(BI88="",BL84=0),"",INT(BL84/BI88) &amp; " " &amp; BI86 &amp; " de " &amp; BI88 &amp; " " &amp; BK85 &amp; IF(MOD(BL84,BI88)&gt;0," + 1 " &amp; BI86 &amp; " de " &amp; TEXT(MOD(BL84,BI88),"0.00") &amp; " " &amp; BK85,""))</f>
        <v>8 pack(s) de 27 tajadas + 1 pack(s) de 9.00 tajadas</v>
      </c>
      <c r="BJ89" s="6877"/>
      <c r="BK89" s="6877"/>
      <c r="BL89" s="6878"/>
      <c r="BP89" s="6411"/>
      <c r="BQ89" s="5900" t="s">
        <v>950</v>
      </c>
      <c r="BR89" s="1080"/>
      <c r="BS89" s="1080"/>
      <c r="BT89" s="6418"/>
      <c r="BU89" s="6244"/>
      <c r="BV89" s="6403"/>
      <c r="BX89" s="6411"/>
      <c r="BY89" s="5900" t="s">
        <v>9255</v>
      </c>
      <c r="BZ89" s="1080"/>
      <c r="CA89" s="1080"/>
      <c r="CB89" s="6418"/>
      <c r="CC89" s="6244"/>
      <c r="CD89" s="6403"/>
      <c r="CF89" s="6411"/>
      <c r="CG89" s="5900" t="s">
        <v>9399</v>
      </c>
      <c r="CH89" s="1080"/>
      <c r="CI89" s="1080"/>
      <c r="CJ89" s="6418"/>
      <c r="CK89" s="6244"/>
      <c r="CL89" s="6403"/>
      <c r="CN89" s="5">
        <v>1</v>
      </c>
    </row>
    <row r="90" spans="2:92" ht="21" customHeight="1">
      <c r="B90" s="5289" t="s">
        <v>26</v>
      </c>
      <c r="C90" s="196" t="str">
        <f>C54</f>
        <v>N NOM DE VOTRE RECETTE | collez la--FAMILLE| Auteur &gt; VOUS</v>
      </c>
      <c r="D90" s="196">
        <f>D54</f>
        <v>4</v>
      </c>
      <c r="E90" s="197" t="str">
        <f>E54</f>
        <v>couverts</v>
      </c>
      <c r="F90" s="5388" t="str">
        <f>F54</f>
        <v>Recette mère ► Ballotine de pintade</v>
      </c>
      <c r="G90" s="5290" t="s">
        <v>1112</v>
      </c>
      <c r="H90" s="1361"/>
      <c r="I90" s="1361"/>
      <c r="J90" s="1361"/>
      <c r="K90" s="1361"/>
      <c r="L90" s="1361"/>
      <c r="M90" s="1361"/>
      <c r="N90" s="1361"/>
      <c r="O90" s="1361"/>
      <c r="P90" s="5291"/>
      <c r="Q90" s="6879"/>
      <c r="R90" s="6880"/>
      <c r="S90" s="6880"/>
      <c r="T90" s="6881"/>
      <c r="X90" s="5289" t="s">
        <v>26</v>
      </c>
      <c r="Y90" s="196" t="str">
        <f>Y54</f>
        <v>N NAME OF YOUR RECIPE | paste it — FAMILY|  Author &gt; YOU</v>
      </c>
      <c r="Z90" s="196">
        <f>Z54</f>
        <v>0.6</v>
      </c>
      <c r="AA90" s="197" t="str">
        <f>AA54</f>
        <v>kg</v>
      </c>
      <c r="AB90" s="5388" t="str">
        <f>AB54</f>
        <v>Master recipe ► Guinea fowl ballotine</v>
      </c>
      <c r="AC90" s="5290" t="s">
        <v>8385</v>
      </c>
      <c r="AD90" s="1361"/>
      <c r="AE90" s="1361"/>
      <c r="AF90" s="1361"/>
      <c r="AG90" s="1361"/>
      <c r="AH90" s="1361"/>
      <c r="AI90" s="1361"/>
      <c r="AJ90" s="1361"/>
      <c r="AK90" s="1361"/>
      <c r="AL90" s="5291"/>
      <c r="AM90" s="6879"/>
      <c r="AN90" s="6880"/>
      <c r="AO90" s="6880"/>
      <c r="AP90" s="6881"/>
      <c r="AT90" s="5289" t="s">
        <v>26</v>
      </c>
      <c r="AU90" s="196" t="str">
        <f>AU54</f>
        <v>N NOMBRE DE SU RECETA | pegue esto — FAMILIA| Autor &gt; USTED</v>
      </c>
      <c r="AV90" s="196">
        <f>AV54</f>
        <v>0.6</v>
      </c>
      <c r="AW90" s="197" t="str">
        <f>AW54</f>
        <v>kg</v>
      </c>
      <c r="AX90" s="5388" t="str">
        <f>AX54</f>
        <v>Receta madre ► Ballotina de pintada</v>
      </c>
      <c r="AY90" s="5290" t="s">
        <v>8423</v>
      </c>
      <c r="AZ90" s="1361"/>
      <c r="BA90" s="1361"/>
      <c r="BB90" s="1361"/>
      <c r="BC90" s="1361"/>
      <c r="BD90" s="1361"/>
      <c r="BE90" s="1361"/>
      <c r="BF90" s="1361"/>
      <c r="BG90" s="1361"/>
      <c r="BH90" s="5291"/>
      <c r="BI90" s="6879"/>
      <c r="BJ90" s="6880"/>
      <c r="BK90" s="6880"/>
      <c r="BL90" s="6881"/>
      <c r="BP90" s="6410" t="s">
        <v>924</v>
      </c>
      <c r="BQ90" s="6244"/>
      <c r="BR90" s="6244"/>
      <c r="BS90" s="6244"/>
      <c r="BT90" s="5783"/>
      <c r="BU90" s="6244"/>
      <c r="BV90" s="6403"/>
      <c r="BX90" s="6410" t="s">
        <v>9239</v>
      </c>
      <c r="BY90" s="6244"/>
      <c r="BZ90" s="6244"/>
      <c r="CA90" s="6244"/>
      <c r="CB90" s="5783"/>
      <c r="CC90" s="6244"/>
      <c r="CD90" s="6403"/>
      <c r="CF90" s="6410" t="s">
        <v>9381</v>
      </c>
      <c r="CG90" s="6244"/>
      <c r="CH90" s="6244"/>
      <c r="CI90" s="6244"/>
      <c r="CJ90" s="5783"/>
      <c r="CK90" s="6244"/>
      <c r="CL90" s="6403"/>
      <c r="CN90" s="5">
        <v>1</v>
      </c>
    </row>
    <row r="91" spans="2:92" ht="21" customHeight="1" thickBot="1">
      <c r="B91" s="5289" t="s">
        <v>21</v>
      </c>
      <c r="C91" s="196" t="str">
        <f>C54</f>
        <v>N NOM DE VOTRE RECETTE | collez la--FAMILLE| Auteur &gt; VOUS</v>
      </c>
      <c r="D91" s="196">
        <f>D54</f>
        <v>4</v>
      </c>
      <c r="E91" s="197" t="str">
        <f>E54</f>
        <v>couverts</v>
      </c>
      <c r="F91" s="5388" t="str">
        <f>F54</f>
        <v>Recette mère ► Ballotine de pintade</v>
      </c>
      <c r="G91" s="5403" t="s">
        <v>8022</v>
      </c>
      <c r="H91" s="988"/>
      <c r="I91" s="988"/>
      <c r="J91" s="988"/>
      <c r="K91" s="988"/>
      <c r="L91" s="988"/>
      <c r="M91" s="988"/>
      <c r="N91" s="988"/>
      <c r="O91" s="988"/>
      <c r="P91" s="1325"/>
      <c r="Q91" s="6210">
        <v>120</v>
      </c>
      <c r="R91" s="77" t="s">
        <v>8023</v>
      </c>
      <c r="S91" s="147"/>
      <c r="T91" s="6211">
        <f>(Q91*Q85)/1000</f>
        <v>18</v>
      </c>
      <c r="X91" s="5289" t="s">
        <v>21</v>
      </c>
      <c r="Y91" s="196" t="str">
        <f>Y54</f>
        <v>N NAME OF YOUR RECIPE | paste it — FAMILY|  Author &gt; YOU</v>
      </c>
      <c r="Z91" s="196">
        <f>Z54</f>
        <v>0.6</v>
      </c>
      <c r="AA91" s="197" t="str">
        <f>AA54</f>
        <v>kg</v>
      </c>
      <c r="AB91" s="5388" t="str">
        <f>AB54</f>
        <v>Master recipe ► Guinea fowl ballotine</v>
      </c>
      <c r="AC91" s="5292" t="s">
        <v>8370</v>
      </c>
      <c r="AD91" s="988"/>
      <c r="AE91" s="988"/>
      <c r="AF91" s="988"/>
      <c r="AG91" s="988"/>
      <c r="AH91" s="988"/>
      <c r="AI91" s="988"/>
      <c r="AJ91" s="988"/>
      <c r="AK91" s="988"/>
      <c r="AL91" s="1325"/>
      <c r="AM91" s="6210">
        <v>120</v>
      </c>
      <c r="AN91" s="77" t="s">
        <v>8369</v>
      </c>
      <c r="AO91" s="147"/>
      <c r="AP91" s="6211">
        <f>(AM91*AM85)/1000</f>
        <v>18</v>
      </c>
      <c r="AT91" s="5289" t="s">
        <v>21</v>
      </c>
      <c r="AU91" s="196" t="str">
        <f>AU54</f>
        <v>N NOMBRE DE SU RECETA | pegue esto — FAMILIA| Autor &gt; USTED</v>
      </c>
      <c r="AV91" s="196">
        <f>AV54</f>
        <v>0.6</v>
      </c>
      <c r="AW91" s="197" t="str">
        <f>AW54</f>
        <v>kg</v>
      </c>
      <c r="AX91" s="5388" t="str">
        <f>AX54</f>
        <v>Receta madre ► Ballotina de pintada</v>
      </c>
      <c r="AY91" s="5292" t="s">
        <v>8424</v>
      </c>
      <c r="AZ91" s="988"/>
      <c r="BA91" s="988"/>
      <c r="BB91" s="988"/>
      <c r="BC91" s="988"/>
      <c r="BD91" s="988"/>
      <c r="BE91" s="988"/>
      <c r="BF91" s="988"/>
      <c r="BG91" s="988"/>
      <c r="BH91" s="1325"/>
      <c r="BI91" s="6210">
        <v>120</v>
      </c>
      <c r="BJ91" s="77" t="s">
        <v>8435</v>
      </c>
      <c r="BK91" s="147"/>
      <c r="BL91" s="6211">
        <f>(BI91*BI85)/1000</f>
        <v>18</v>
      </c>
      <c r="BP91" s="6411" t="s">
        <v>955</v>
      </c>
      <c r="BQ91" s="5783"/>
      <c r="BR91" s="5783"/>
      <c r="BS91" s="5783"/>
      <c r="BT91" s="5783"/>
      <c r="BU91" s="5783"/>
      <c r="BV91" s="6403"/>
      <c r="BX91" s="6411" t="s">
        <v>9240</v>
      </c>
      <c r="BY91" s="5783"/>
      <c r="BZ91" s="5783"/>
      <c r="CA91" s="5783"/>
      <c r="CB91" s="5783"/>
      <c r="CC91" s="5783"/>
      <c r="CD91" s="6403"/>
      <c r="CF91" s="6411" t="s">
        <v>9382</v>
      </c>
      <c r="CG91" s="5783"/>
      <c r="CH91" s="5783"/>
      <c r="CI91" s="5783"/>
      <c r="CJ91" s="5783"/>
      <c r="CK91" s="5783"/>
      <c r="CL91" s="6403"/>
      <c r="CN91" s="5">
        <v>1</v>
      </c>
    </row>
    <row r="92" spans="2:92" ht="21" customHeight="1" thickTop="1">
      <c r="B92" s="5289" t="s">
        <v>21</v>
      </c>
      <c r="C92" s="196" t="str">
        <f>C54</f>
        <v>N NOM DE VOTRE RECETTE | collez la--FAMILLE| Auteur &gt; VOUS</v>
      </c>
      <c r="D92" s="196">
        <f>D54</f>
        <v>4</v>
      </c>
      <c r="E92" s="197" t="str">
        <f>E54</f>
        <v>couverts</v>
      </c>
      <c r="F92" s="5388" t="str">
        <f>F54</f>
        <v>Recette mère ► Ballotine de pintade</v>
      </c>
      <c r="G92" s="5404" t="s">
        <v>8024</v>
      </c>
      <c r="H92" s="1449"/>
      <c r="I92" s="1449"/>
      <c r="J92" s="1449"/>
      <c r="K92" s="1449"/>
      <c r="L92" s="1449"/>
      <c r="M92" s="1449"/>
      <c r="N92" s="1449"/>
      <c r="O92" s="1449"/>
      <c r="P92" s="5295"/>
      <c r="Q92" s="6806">
        <v>2.7</v>
      </c>
      <c r="R92" s="5297" t="str">
        <f>"poids par "&amp; Q86</f>
        <v>poids par Gastro 1/1</v>
      </c>
      <c r="S92" s="147"/>
      <c r="T92" s="609"/>
      <c r="X92" s="5289" t="s">
        <v>21</v>
      </c>
      <c r="Y92" s="196" t="str">
        <f>Y54</f>
        <v>N NAME OF YOUR RECIPE | paste it — FAMILY|  Author &gt; YOU</v>
      </c>
      <c r="Z92" s="196">
        <f>Z54</f>
        <v>0.6</v>
      </c>
      <c r="AA92" s="197" t="str">
        <f>AA54</f>
        <v>kg</v>
      </c>
      <c r="AB92" s="5388" t="str">
        <f>AB54</f>
        <v>Master recipe ► Guinea fowl ballotine</v>
      </c>
      <c r="AC92" s="5294" t="s">
        <v>8371</v>
      </c>
      <c r="AD92" s="1449"/>
      <c r="AE92" s="1449"/>
      <c r="AF92" s="1449"/>
      <c r="AG92" s="1449"/>
      <c r="AH92" s="1449"/>
      <c r="AI92" s="1449"/>
      <c r="AJ92" s="1449"/>
      <c r="AK92" s="1449"/>
      <c r="AL92" s="5295"/>
      <c r="AM92" s="6806">
        <v>2.7</v>
      </c>
      <c r="AN92" s="5297" t="str">
        <f>"weight per  "&amp; AM86</f>
        <v>weight per  pack(s)</v>
      </c>
      <c r="AO92" s="147"/>
      <c r="AP92" s="609"/>
      <c r="AT92" s="5289" t="s">
        <v>21</v>
      </c>
      <c r="AU92" s="196" t="str">
        <f>AU54</f>
        <v>N NOMBRE DE SU RECETA | pegue esto — FAMILIA| Autor &gt; USTED</v>
      </c>
      <c r="AV92" s="196">
        <f>AV54</f>
        <v>0.6</v>
      </c>
      <c r="AW92" s="197" t="str">
        <f>AW54</f>
        <v>kg</v>
      </c>
      <c r="AX92" s="5388" t="str">
        <f>AX54</f>
        <v>Receta madre ► Ballotina de pintada</v>
      </c>
      <c r="AY92" s="5294" t="s">
        <v>8425</v>
      </c>
      <c r="AZ92" s="1449"/>
      <c r="BA92" s="1449"/>
      <c r="BB92" s="1449"/>
      <c r="BC92" s="1449"/>
      <c r="BD92" s="1449"/>
      <c r="BE92" s="1449"/>
      <c r="BF92" s="1449"/>
      <c r="BG92" s="1449"/>
      <c r="BH92" s="5295"/>
      <c r="BI92" s="6806">
        <v>2.7</v>
      </c>
      <c r="BJ92" s="5297" t="str">
        <f>"peso por  "&amp; BI86</f>
        <v>peso por  pack(s)</v>
      </c>
      <c r="BK92" s="147"/>
      <c r="BL92" s="609"/>
      <c r="BP92" s="1086" t="s">
        <v>198</v>
      </c>
      <c r="BQ92" s="1087" t="s">
        <v>197</v>
      </c>
      <c r="BR92" s="1088"/>
      <c r="BS92" s="7125" t="s">
        <v>196</v>
      </c>
      <c r="BT92" s="7126" t="s">
        <v>195</v>
      </c>
      <c r="BU92" s="5907" t="s">
        <v>194</v>
      </c>
      <c r="BV92" s="6403"/>
      <c r="BX92" s="1086" t="s">
        <v>198</v>
      </c>
      <c r="BY92" s="1087" t="s">
        <v>197</v>
      </c>
      <c r="BZ92" s="1088"/>
      <c r="CA92" s="7125" t="s">
        <v>850</v>
      </c>
      <c r="CB92" s="7126" t="s">
        <v>195</v>
      </c>
      <c r="CC92" s="5907" t="s">
        <v>194</v>
      </c>
      <c r="CD92" s="6403"/>
      <c r="CF92" s="1086" t="s">
        <v>198</v>
      </c>
      <c r="CG92" s="1087" t="s">
        <v>197</v>
      </c>
      <c r="CH92" s="1088"/>
      <c r="CI92" s="7125" t="s">
        <v>8416</v>
      </c>
      <c r="CJ92" s="7126" t="s">
        <v>195</v>
      </c>
      <c r="CK92" s="5907" t="s">
        <v>194</v>
      </c>
      <c r="CL92" s="6403"/>
      <c r="CN92" s="5">
        <v>1</v>
      </c>
    </row>
    <row r="93" spans="2:92" ht="21" customHeight="1">
      <c r="B93" s="5289" t="s">
        <v>21</v>
      </c>
      <c r="C93" s="196" t="str">
        <f>C54</f>
        <v>N NOM DE VOTRE RECETTE | collez la--FAMILLE| Auteur &gt; VOUS</v>
      </c>
      <c r="D93" s="196">
        <f>D54</f>
        <v>4</v>
      </c>
      <c r="E93" s="197" t="str">
        <f>E54</f>
        <v>couverts</v>
      </c>
      <c r="F93" s="5388" t="str">
        <f>F54</f>
        <v>Recette mère ► Ballotine de pintade</v>
      </c>
      <c r="G93" s="1002"/>
      <c r="H93" s="1002"/>
      <c r="I93" s="1002" t="s">
        <v>873</v>
      </c>
      <c r="J93" s="1003"/>
      <c r="K93" s="1329"/>
      <c r="L93" s="1329"/>
      <c r="M93" s="1329"/>
      <c r="N93" s="1329"/>
      <c r="O93" s="1329"/>
      <c r="P93" s="1330"/>
      <c r="Q93" s="6882" t="str">
        <f>IF(OR(T91&lt;=0,Q92&lt;=0),"",_xlfn.LET(_xlpm.n,ROUND(T91/Q92,9),_xlpm.q,INT(_xlpm.n),_xlpm.r,ROUND(T91-_xlpm.q*Q92,9),_xlpm.base,_xlpm.q&amp;" "&amp;Q86&amp;" de "&amp;TEXT(Q92,"0.000")&amp;" kg",IF(_xlpm.r&lt;=0.000000001,_xlpm.base,_xlpm.base&amp;" + 1 "&amp;Q86&amp;" de "&amp;TEXT(_xlpm.r,"0.000")&amp;" kg")))</f>
        <v>6 Gastro 1/1 de 2.700 kg + 1 Gastro 1/1 de 1.800 kg</v>
      </c>
      <c r="R93" s="6883"/>
      <c r="S93" s="6883"/>
      <c r="T93" s="6884"/>
      <c r="X93" s="5289" t="s">
        <v>21</v>
      </c>
      <c r="Y93" s="196" t="str">
        <f>Y54</f>
        <v>N NAME OF YOUR RECIPE | paste it — FAMILY|  Author &gt; YOU</v>
      </c>
      <c r="Z93" s="196">
        <f>Z54</f>
        <v>0.6</v>
      </c>
      <c r="AA93" s="197" t="str">
        <f>AA54</f>
        <v>kg</v>
      </c>
      <c r="AB93" s="5388" t="str">
        <f>AB54</f>
        <v>Master recipe ► Guinea fowl ballotine</v>
      </c>
      <c r="AC93" s="1002"/>
      <c r="AD93" s="1002"/>
      <c r="AE93" s="1002" t="s">
        <v>873</v>
      </c>
      <c r="AF93" s="1003"/>
      <c r="AG93" s="1329"/>
      <c r="AH93" s="1329"/>
      <c r="AI93" s="1329"/>
      <c r="AJ93" s="1329"/>
      <c r="AK93" s="1329"/>
      <c r="AL93" s="1330"/>
      <c r="AM93" s="6882" t="str">
        <f>IF(OR(AP91&lt;=0,AM92&lt;=0),"",_xlfn.LET(_xlpm.n,ROUND(AP91/AM92,9),_xlpm.q,INT(_xlpm.n),_xlpm.r,ROUND(AP91-_xlpm.q*AM92,9),_xlpm.base,_xlpm.q&amp;" "&amp;AM86&amp;" de "&amp;TEXT(AM92,"0.000")&amp;" kg",IF(_xlpm.r&lt;=0.000000001,_xlpm.base,_xlpm.base&amp;" + 1 "&amp;AM86&amp;" de "&amp;TEXT(_xlpm.r,"0.000")&amp;" kg")))</f>
        <v>6 pack(s) de 2.700 kg + 1 pack(s) de 1.800 kg</v>
      </c>
      <c r="AN93" s="6883"/>
      <c r="AO93" s="6883"/>
      <c r="AP93" s="6884"/>
      <c r="AT93" s="5289" t="s">
        <v>21</v>
      </c>
      <c r="AU93" s="196" t="str">
        <f>AU54</f>
        <v>N NOMBRE DE SU RECETA | pegue esto — FAMILIA| Autor &gt; USTED</v>
      </c>
      <c r="AV93" s="196">
        <f>AV54</f>
        <v>0.6</v>
      </c>
      <c r="AW93" s="197" t="str">
        <f>AW54</f>
        <v>kg</v>
      </c>
      <c r="AX93" s="5388" t="str">
        <f>AX54</f>
        <v>Receta madre ► Ballotina de pintada</v>
      </c>
      <c r="AY93" s="1002"/>
      <c r="AZ93" s="1002"/>
      <c r="BA93" s="1002" t="s">
        <v>8426</v>
      </c>
      <c r="BB93" s="1003"/>
      <c r="BC93" s="1329"/>
      <c r="BD93" s="1329"/>
      <c r="BE93" s="1329"/>
      <c r="BF93" s="1329"/>
      <c r="BG93" s="1329"/>
      <c r="BH93" s="1330"/>
      <c r="BI93" s="6882" t="str">
        <f>IF(OR(BL91&lt;=0,BI92&lt;=0),"",_xlfn.LET(_xlpm.n,ROUND(BL91/BI92,9),_xlpm.q,INT(_xlpm.n),_xlpm.r,ROUND(BL91-_xlpm.q*BI92,9),_xlpm.base,_xlpm.q&amp;" "&amp;BI86&amp;" de "&amp;TEXT(BI92,"0.000")&amp;" kg",IF(_xlpm.r&lt;=0.000000001,_xlpm.base,_xlpm.base&amp;" + 1 "&amp;BI86&amp;" de "&amp;TEXT(_xlpm.r,"0.000")&amp;" kg")))</f>
        <v>6 pack(s) de 2.700 kg + 1 pack(s) de 1.800 kg</v>
      </c>
      <c r="BJ93" s="6883"/>
      <c r="BK93" s="6883"/>
      <c r="BL93" s="6884"/>
      <c r="BP93" s="1129" t="s">
        <v>184</v>
      </c>
      <c r="BQ93" s="1130" t="s">
        <v>162</v>
      </c>
      <c r="BR93" s="211" t="s">
        <v>186</v>
      </c>
      <c r="BS93" s="6904"/>
      <c r="BT93" s="7127"/>
      <c r="BU93" s="5909" t="s">
        <v>185</v>
      </c>
      <c r="BV93" s="6403"/>
      <c r="BX93" s="6484" t="s">
        <v>851</v>
      </c>
      <c r="BY93" s="1130" t="s">
        <v>852</v>
      </c>
      <c r="BZ93" s="211" t="s">
        <v>186</v>
      </c>
      <c r="CA93" s="6904"/>
      <c r="CB93" s="7127"/>
      <c r="CC93" s="5909" t="s">
        <v>9523</v>
      </c>
      <c r="CD93" s="6403"/>
      <c r="CF93" s="1129" t="s">
        <v>8414</v>
      </c>
      <c r="CG93" s="1130" t="s">
        <v>8415</v>
      </c>
      <c r="CH93" s="211" t="s">
        <v>186</v>
      </c>
      <c r="CI93" s="6904"/>
      <c r="CJ93" s="7127"/>
      <c r="CK93" s="5909" t="s">
        <v>9524</v>
      </c>
      <c r="CL93" s="6403"/>
      <c r="CN93" s="5">
        <v>1</v>
      </c>
    </row>
    <row r="94" spans="2:92" ht="21" customHeight="1">
      <c r="B94" s="5289" t="s">
        <v>21</v>
      </c>
      <c r="C94" s="5298" t="str">
        <f>C54</f>
        <v>N NOM DE VOTRE RECETTE | collez la--FAMILLE| Auteur &gt; VOUS</v>
      </c>
      <c r="D94" s="5298">
        <f>D54</f>
        <v>4</v>
      </c>
      <c r="E94" s="5378" t="str">
        <f>E54</f>
        <v>couverts</v>
      </c>
      <c r="F94" s="5389" t="str">
        <f>F54</f>
        <v>Recette mère ► Ballotine de pintade</v>
      </c>
      <c r="G94" s="5299" t="s">
        <v>8375</v>
      </c>
      <c r="H94" s="5300"/>
      <c r="I94" s="5301"/>
      <c r="J94" s="5302"/>
      <c r="K94" s="5301"/>
      <c r="L94" s="5301"/>
      <c r="M94" s="5301"/>
      <c r="N94" s="5301"/>
      <c r="O94" s="5301"/>
      <c r="P94" s="5303"/>
      <c r="Q94" s="6885"/>
      <c r="R94" s="6886"/>
      <c r="S94" s="6886"/>
      <c r="T94" s="6887"/>
      <c r="X94" s="5289" t="s">
        <v>21</v>
      </c>
      <c r="Y94" s="5298" t="str">
        <f>Y54</f>
        <v>N NAME OF YOUR RECIPE | paste it — FAMILY|  Author &gt; YOU</v>
      </c>
      <c r="Z94" s="5298">
        <f>Z54</f>
        <v>0.6</v>
      </c>
      <c r="AA94" s="5378" t="str">
        <f>AA54</f>
        <v>kg</v>
      </c>
      <c r="AB94" s="5389" t="str">
        <f>AB54</f>
        <v>Master recipe ► Guinea fowl ballotine</v>
      </c>
      <c r="AC94" s="5299"/>
      <c r="AD94" s="5300"/>
      <c r="AE94" s="5301"/>
      <c r="AF94" s="5302"/>
      <c r="AG94" s="5301"/>
      <c r="AH94" s="5301"/>
      <c r="AI94" s="5301"/>
      <c r="AJ94" s="5301"/>
      <c r="AK94" s="5301"/>
      <c r="AL94" s="5303"/>
      <c r="AM94" s="6885"/>
      <c r="AN94" s="6886"/>
      <c r="AO94" s="6886"/>
      <c r="AP94" s="6887"/>
      <c r="AT94" s="5289" t="s">
        <v>21</v>
      </c>
      <c r="AU94" s="5298" t="str">
        <f>AU54</f>
        <v>N NOMBRE DE SU RECETA | pegue esto — FAMILIA| Autor &gt; USTED</v>
      </c>
      <c r="AV94" s="5298">
        <f>AV54</f>
        <v>0.6</v>
      </c>
      <c r="AW94" s="5378" t="str">
        <f>AW54</f>
        <v>kg</v>
      </c>
      <c r="AX94" s="5389" t="str">
        <f>AX54</f>
        <v>Receta madre ► Ballotina de pintada</v>
      </c>
      <c r="AY94" s="5299"/>
      <c r="AZ94" s="5300"/>
      <c r="BA94" s="5301"/>
      <c r="BB94" s="5302"/>
      <c r="BC94" s="5301"/>
      <c r="BD94" s="5301"/>
      <c r="BE94" s="5301"/>
      <c r="BF94" s="5301"/>
      <c r="BG94" s="5301"/>
      <c r="BH94" s="5303"/>
      <c r="BI94" s="6885"/>
      <c r="BJ94" s="6886"/>
      <c r="BK94" s="6886"/>
      <c r="BL94" s="6887"/>
      <c r="BP94" s="1144">
        <v>0.25</v>
      </c>
      <c r="BQ94" s="1134" t="s">
        <v>970</v>
      </c>
      <c r="BR94" s="1135"/>
      <c r="BS94" s="35"/>
      <c r="BT94" s="1149"/>
      <c r="BU94" s="5911" t="s">
        <v>971</v>
      </c>
      <c r="BV94" s="6403"/>
      <c r="BX94" s="1144">
        <v>0.25</v>
      </c>
      <c r="BY94" s="1134" t="s">
        <v>969</v>
      </c>
      <c r="BZ94" s="1135"/>
      <c r="CA94" s="35"/>
      <c r="CB94" s="1149"/>
      <c r="CC94" s="5911" t="s">
        <v>9256</v>
      </c>
      <c r="CD94" s="6403"/>
      <c r="CF94" s="1144">
        <v>0.25</v>
      </c>
      <c r="CG94" s="1134" t="s">
        <v>9400</v>
      </c>
      <c r="CH94" s="1135"/>
      <c r="CI94" s="35"/>
      <c r="CJ94" s="1149"/>
      <c r="CK94" s="5911" t="s">
        <v>9404</v>
      </c>
      <c r="CL94" s="6403"/>
      <c r="CN94" s="5">
        <v>1</v>
      </c>
    </row>
    <row r="95" spans="2:92" ht="21" customHeight="1" thickBot="1">
      <c r="B95" s="5304" t="s">
        <v>21</v>
      </c>
      <c r="C95" s="5305"/>
      <c r="D95" s="5305"/>
      <c r="E95" s="5305"/>
      <c r="F95" s="6241"/>
      <c r="G95" s="5306" t="s">
        <v>269</v>
      </c>
      <c r="H95" s="5307" t="str">
        <f ca="1">CELL("nomfichier")</f>
        <v>D:\Données\1.UPRT\0-UPRT.fait\1-UPRT.FR-SITE-WEB\ff-fiches-fabrications\ff.fiches.fabrication.2023\ffr.restaurant.2023\[ff.REPERTOIRE.600.LIGNES.15.xlsx]Differents.postits.FR.EN.ES</v>
      </c>
      <c r="I95" s="5308"/>
      <c r="J95" s="5308"/>
      <c r="K95" s="5308"/>
      <c r="L95" s="5308"/>
      <c r="M95" s="5308"/>
      <c r="N95" s="5308"/>
      <c r="O95" s="5308"/>
      <c r="P95" s="5308"/>
      <c r="Q95" s="5308"/>
      <c r="R95" s="5308"/>
      <c r="S95" s="5308"/>
      <c r="T95" s="5309"/>
      <c r="X95" s="5304" t="s">
        <v>21</v>
      </c>
      <c r="Y95" s="5305"/>
      <c r="Z95" s="5305"/>
      <c r="AA95" s="5305"/>
      <c r="AB95" s="6241"/>
      <c r="AC95" s="5306" t="s">
        <v>269</v>
      </c>
      <c r="AD95" s="5307" t="str">
        <f ca="1">CELL("nomfichier")</f>
        <v>D:\Données\1.UPRT\0-UPRT.fait\1-UPRT.FR-SITE-WEB\ff-fiches-fabrications\ff.fiches.fabrication.2023\ffr.restaurant.2023\[ff.REPERTOIRE.600.LIGNES.15.xlsx]Differents.postits.FR.EN.ES</v>
      </c>
      <c r="AE95" s="5308"/>
      <c r="AF95" s="5308"/>
      <c r="AG95" s="5308"/>
      <c r="AH95" s="5308"/>
      <c r="AI95" s="5308"/>
      <c r="AJ95" s="5308"/>
      <c r="AK95" s="5308"/>
      <c r="AL95" s="5308"/>
      <c r="AM95" s="5308"/>
      <c r="AN95" s="5308"/>
      <c r="AO95" s="5308"/>
      <c r="AP95" s="5309"/>
      <c r="AT95" s="5304" t="s">
        <v>21</v>
      </c>
      <c r="AU95" s="5305"/>
      <c r="AV95" s="5305"/>
      <c r="AW95" s="5305"/>
      <c r="AX95" s="6241"/>
      <c r="AY95" s="5306" t="s">
        <v>269</v>
      </c>
      <c r="AZ95" s="5307" t="str">
        <f ca="1">CELL("nomfichier")</f>
        <v>D:\Données\1.UPRT\0-UPRT.fait\1-UPRT.FR-SITE-WEB\ff-fiches-fabrications\ff.fiches.fabrication.2023\ffr.restaurant.2023\[ff.REPERTOIRE.600.LIGNES.15.xlsx]Differents.postits.FR.EN.ES</v>
      </c>
      <c r="BA95" s="5308"/>
      <c r="BB95" s="5308"/>
      <c r="BC95" s="5308"/>
      <c r="BD95" s="5308"/>
      <c r="BE95" s="5308"/>
      <c r="BF95" s="5308"/>
      <c r="BG95" s="5308"/>
      <c r="BH95" s="5308"/>
      <c r="BI95" s="5308"/>
      <c r="BJ95" s="5308"/>
      <c r="BK95" s="5308"/>
      <c r="BL95" s="5309"/>
      <c r="BP95" s="1144">
        <v>0.5</v>
      </c>
      <c r="BQ95" s="1134" t="s">
        <v>967</v>
      </c>
      <c r="BR95" s="1135"/>
      <c r="BS95" s="35"/>
      <c r="BT95" s="1149"/>
      <c r="BU95" s="5911" t="s">
        <v>968</v>
      </c>
      <c r="BV95" s="6403"/>
      <c r="BX95" s="1144">
        <v>0.5</v>
      </c>
      <c r="BY95" s="1134" t="s">
        <v>964</v>
      </c>
      <c r="BZ95" s="1135"/>
      <c r="CA95" s="35"/>
      <c r="CB95" s="1149"/>
      <c r="CC95" s="5911" t="s">
        <v>966</v>
      </c>
      <c r="CD95" s="6403"/>
      <c r="CF95" s="1144">
        <v>0.5</v>
      </c>
      <c r="CG95" s="1134" t="s">
        <v>9401</v>
      </c>
      <c r="CH95" s="1135"/>
      <c r="CI95" s="35"/>
      <c r="CJ95" s="1149"/>
      <c r="CK95" s="5911" t="s">
        <v>9405</v>
      </c>
      <c r="CL95" s="6403"/>
      <c r="CN95" s="5">
        <v>1</v>
      </c>
    </row>
    <row r="96" spans="2:92" ht="21" customHeight="1" thickBot="1">
      <c r="BP96" s="1144">
        <v>0.75</v>
      </c>
      <c r="BQ96" s="1134" t="s">
        <v>977</v>
      </c>
      <c r="BR96" s="1135"/>
      <c r="BS96" s="35"/>
      <c r="BT96" s="1149"/>
      <c r="BU96" s="5911" t="s">
        <v>978</v>
      </c>
      <c r="BV96" s="6403"/>
      <c r="BX96" s="1144">
        <v>0.75</v>
      </c>
      <c r="BY96" s="1134" t="s">
        <v>973</v>
      </c>
      <c r="BZ96" s="1135"/>
      <c r="CA96" s="35"/>
      <c r="CB96" s="1149"/>
      <c r="CC96" s="5911" t="s">
        <v>974</v>
      </c>
      <c r="CD96" s="6403"/>
      <c r="CF96" s="1144">
        <v>0.75</v>
      </c>
      <c r="CG96" s="1134" t="s">
        <v>9402</v>
      </c>
      <c r="CH96" s="1135"/>
      <c r="CI96" s="35"/>
      <c r="CJ96" s="1149"/>
      <c r="CK96" s="5911" t="s">
        <v>9406</v>
      </c>
      <c r="CL96" s="6403"/>
      <c r="CN96" s="5">
        <v>1</v>
      </c>
    </row>
    <row r="97" spans="2:92" ht="21" customHeight="1">
      <c r="B97" s="5636" t="s">
        <v>21</v>
      </c>
      <c r="C97" s="5231" t="str">
        <f>C103</f>
        <v>N NOM DE VOTRE RECETTE | pâtisserie--ENTREMET| Auteur &gt; VOUS</v>
      </c>
      <c r="D97" s="5232">
        <f>D103</f>
        <v>1</v>
      </c>
      <c r="E97" s="5232" t="str">
        <f>E103</f>
        <v>coupe</v>
      </c>
      <c r="F97" s="5384" t="str">
        <f>F103</f>
        <v>Recette mère ► MILLE-FEUILLE meringue et chiboust pamplemousse aux fraises des bois</v>
      </c>
      <c r="G97" s="5233" t="s">
        <v>1</v>
      </c>
      <c r="H97" s="5234" t="s">
        <v>251</v>
      </c>
      <c r="I97" s="5234"/>
      <c r="J97" s="6911" t="s">
        <v>1090</v>
      </c>
      <c r="K97" s="6911"/>
      <c r="L97" s="6911"/>
      <c r="M97" s="6911"/>
      <c r="N97" s="6911"/>
      <c r="O97" s="6911"/>
      <c r="P97" s="6911"/>
      <c r="Q97" s="6911"/>
      <c r="R97" s="6935" t="s">
        <v>8031</v>
      </c>
      <c r="S97" s="6935"/>
      <c r="T97" s="6915" t="str">
        <f>UPPER(LEFT(J97,1))</f>
        <v>N</v>
      </c>
      <c r="X97" s="5636" t="s">
        <v>21</v>
      </c>
      <c r="Y97" s="5231" t="str">
        <f>Y103</f>
        <v>N NAME OF YOUR RECIPE | paste it — FAMILY|  Author &gt; YOU</v>
      </c>
      <c r="Z97" s="5232">
        <f>Z103</f>
        <v>0.6</v>
      </c>
      <c r="AA97" s="5232" t="str">
        <f>AA103</f>
        <v>kg</v>
      </c>
      <c r="AB97" s="5384" t="str">
        <f>AB103</f>
        <v>Master recipe ► Guinea fowl ballotine</v>
      </c>
      <c r="AC97" s="5233" t="s">
        <v>1</v>
      </c>
      <c r="AD97" s="5234" t="s">
        <v>251</v>
      </c>
      <c r="AE97" s="5234"/>
      <c r="AF97" s="6911" t="s">
        <v>890</v>
      </c>
      <c r="AG97" s="6911"/>
      <c r="AH97" s="6911"/>
      <c r="AI97" s="6911"/>
      <c r="AJ97" s="6911"/>
      <c r="AK97" s="6911"/>
      <c r="AL97" s="6911"/>
      <c r="AM97" s="6911"/>
      <c r="AN97" s="6935" t="s">
        <v>10010</v>
      </c>
      <c r="AO97" s="6935"/>
      <c r="AP97" s="6915" t="str">
        <f>UPPER(LEFT(AF97,1))</f>
        <v>N</v>
      </c>
      <c r="AT97" s="5636" t="s">
        <v>21</v>
      </c>
      <c r="AU97" s="5231" t="str">
        <f>AU103</f>
        <v>N NOMBRE DE SU RECETA | pegue esto — FAMILIA| Autor &gt; USTED</v>
      </c>
      <c r="AV97" s="5232">
        <f>AV103</f>
        <v>0.6</v>
      </c>
      <c r="AW97" s="5232" t="str">
        <f>AW103</f>
        <v>kg</v>
      </c>
      <c r="AX97" s="5384" t="str">
        <f>AX103</f>
        <v>Receta madre ► Ballotina de pintada</v>
      </c>
      <c r="AY97" s="5233" t="s">
        <v>1</v>
      </c>
      <c r="AZ97" s="5234" t="s">
        <v>8402</v>
      </c>
      <c r="BA97" s="5234"/>
      <c r="BB97" s="6911" t="s">
        <v>8400</v>
      </c>
      <c r="BC97" s="6911"/>
      <c r="BD97" s="6911"/>
      <c r="BE97" s="6911"/>
      <c r="BF97" s="6911"/>
      <c r="BG97" s="6911"/>
      <c r="BH97" s="6911"/>
      <c r="BI97" s="6911"/>
      <c r="BJ97" s="6913" t="s">
        <v>10011</v>
      </c>
      <c r="BK97" s="6913"/>
      <c r="BL97" s="6915" t="str">
        <f>UPPER(LEFT(BB97,1))</f>
        <v>N</v>
      </c>
      <c r="BP97" s="1092">
        <v>2</v>
      </c>
      <c r="BQ97" s="1150" t="s">
        <v>980</v>
      </c>
      <c r="BR97" s="1135"/>
      <c r="BS97" s="35"/>
      <c r="BT97" s="1149"/>
      <c r="BU97" s="5911"/>
      <c r="BV97" s="6403"/>
      <c r="BX97" s="1092">
        <v>2</v>
      </c>
      <c r="BY97" s="1150" t="s">
        <v>979</v>
      </c>
      <c r="BZ97" s="1135"/>
      <c r="CA97" s="35"/>
      <c r="CB97" s="1149"/>
      <c r="CC97" s="5911"/>
      <c r="CD97" s="6403"/>
      <c r="CF97" s="1092">
        <v>2</v>
      </c>
      <c r="CG97" s="1150" t="s">
        <v>9403</v>
      </c>
      <c r="CH97" s="1135"/>
      <c r="CI97" s="35"/>
      <c r="CJ97" s="1149"/>
      <c r="CK97" s="5911"/>
      <c r="CL97" s="6403"/>
      <c r="CN97" s="5">
        <v>1</v>
      </c>
    </row>
    <row r="98" spans="2:92" ht="21" customHeight="1">
      <c r="B98" s="1018" t="s">
        <v>21</v>
      </c>
      <c r="C98" s="363" t="str">
        <f>C103</f>
        <v>N NOM DE VOTRE RECETTE | pâtisserie--ENTREMET| Auteur &gt; VOUS</v>
      </c>
      <c r="D98" s="362">
        <f>D103</f>
        <v>1</v>
      </c>
      <c r="E98" s="362" t="str">
        <f>E103</f>
        <v>coupe</v>
      </c>
      <c r="F98" s="5385" t="str">
        <f>F103</f>
        <v>Recette mère ► MILLE-FEUILLE meringue et chiboust pamplemousse aux fraises des bois</v>
      </c>
      <c r="G98" s="361" t="s">
        <v>245</v>
      </c>
      <c r="H98" s="360" t="s">
        <v>244</v>
      </c>
      <c r="I98" s="360"/>
      <c r="J98" s="6912"/>
      <c r="K98" s="6912"/>
      <c r="L98" s="6912"/>
      <c r="M98" s="6912"/>
      <c r="N98" s="6912"/>
      <c r="O98" s="6912"/>
      <c r="P98" s="6912"/>
      <c r="Q98" s="6912"/>
      <c r="R98" s="6936"/>
      <c r="S98" s="6936"/>
      <c r="T98" s="6916"/>
      <c r="X98" s="1018" t="s">
        <v>21</v>
      </c>
      <c r="Y98" s="363" t="str">
        <f>Y103</f>
        <v>N NAME OF YOUR RECIPE | paste it — FAMILY|  Author &gt; YOU</v>
      </c>
      <c r="Z98" s="362">
        <f>Z103</f>
        <v>0.6</v>
      </c>
      <c r="AA98" s="362" t="str">
        <f>AA103</f>
        <v>kg</v>
      </c>
      <c r="AB98" s="5385" t="str">
        <f>AB103</f>
        <v>Master recipe ► Guinea fowl ballotine</v>
      </c>
      <c r="AC98" s="361" t="s">
        <v>9685</v>
      </c>
      <c r="AD98" s="360" t="s">
        <v>9181</v>
      </c>
      <c r="AE98" s="360"/>
      <c r="AF98" s="6912"/>
      <c r="AG98" s="6912"/>
      <c r="AH98" s="6912"/>
      <c r="AI98" s="6912"/>
      <c r="AJ98" s="6912"/>
      <c r="AK98" s="6912"/>
      <c r="AL98" s="6912"/>
      <c r="AM98" s="6912"/>
      <c r="AN98" s="6936"/>
      <c r="AO98" s="6936"/>
      <c r="AP98" s="6916"/>
      <c r="AT98" s="1018" t="s">
        <v>21</v>
      </c>
      <c r="AU98" s="363" t="str">
        <f>AU103</f>
        <v>N NOMBRE DE SU RECETA | pegue esto — FAMILIA| Autor &gt; USTED</v>
      </c>
      <c r="AV98" s="362">
        <f>AV103</f>
        <v>0.6</v>
      </c>
      <c r="AW98" s="362" t="str">
        <f>AW103</f>
        <v>kg</v>
      </c>
      <c r="AX98" s="5385" t="str">
        <f>AX103</f>
        <v>Receta madre ► Ballotina de pintada</v>
      </c>
      <c r="AY98" s="361" t="s">
        <v>8401</v>
      </c>
      <c r="AZ98" s="360" t="s">
        <v>9181</v>
      </c>
      <c r="BA98" s="360"/>
      <c r="BB98" s="6912"/>
      <c r="BC98" s="6912"/>
      <c r="BD98" s="6912"/>
      <c r="BE98" s="6912"/>
      <c r="BF98" s="6912"/>
      <c r="BG98" s="6912"/>
      <c r="BH98" s="6912"/>
      <c r="BI98" s="6912"/>
      <c r="BJ98" s="6914"/>
      <c r="BK98" s="6914"/>
      <c r="BL98" s="6916"/>
      <c r="BP98" s="6516"/>
      <c r="BQ98" s="6517"/>
      <c r="BR98" s="6518"/>
      <c r="BS98" s="6519"/>
      <c r="BT98" s="6520"/>
      <c r="BU98" s="6521"/>
      <c r="BV98" s="6403"/>
      <c r="BX98" s="6516"/>
      <c r="BY98" s="6517"/>
      <c r="BZ98" s="6518"/>
      <c r="CA98" s="6519"/>
      <c r="CB98" s="6520"/>
      <c r="CC98" s="6521"/>
      <c r="CD98" s="6403"/>
      <c r="CF98" s="6516"/>
      <c r="CG98" s="6517"/>
      <c r="CH98" s="6518"/>
      <c r="CI98" s="6519"/>
      <c r="CJ98" s="6520"/>
      <c r="CK98" s="6521"/>
      <c r="CL98" s="6403"/>
      <c r="CN98" s="5">
        <v>1</v>
      </c>
    </row>
    <row r="99" spans="2:92" ht="21" customHeight="1">
      <c r="B99" s="1018" t="s">
        <v>21</v>
      </c>
      <c r="C99" s="41" t="str">
        <f>C103</f>
        <v>N NOM DE VOTRE RECETTE | pâtisserie--ENTREMET| Auteur &gt; VOUS</v>
      </c>
      <c r="D99" s="40">
        <f>D103</f>
        <v>1</v>
      </c>
      <c r="E99" s="40" t="str">
        <f>E103</f>
        <v>coupe</v>
      </c>
      <c r="F99" s="5386" t="str">
        <f>F103</f>
        <v>Recette mère ► MILLE-FEUILLE meringue et chiboust pamplemousse aux fraises des bois</v>
      </c>
      <c r="G99" s="351"/>
      <c r="H99" s="350" t="s">
        <v>8388</v>
      </c>
      <c r="I99" s="349"/>
      <c r="J99" s="348" t="s">
        <v>232</v>
      </c>
      <c r="K99" s="347" t="s">
        <v>1092</v>
      </c>
      <c r="L99" s="141"/>
      <c r="M99" s="347"/>
      <c r="N99" s="347"/>
      <c r="O99" s="347"/>
      <c r="P99" s="347"/>
      <c r="Q99" s="5235"/>
      <c r="R99" s="141"/>
      <c r="S99" s="141"/>
      <c r="T99" s="409"/>
      <c r="X99" s="1018" t="s">
        <v>21</v>
      </c>
      <c r="Y99" s="41" t="str">
        <f>Y103</f>
        <v>N NAME OF YOUR RECIPE | paste it — FAMILY|  Author &gt; YOU</v>
      </c>
      <c r="Z99" s="40">
        <f>Z103</f>
        <v>0.6</v>
      </c>
      <c r="AA99" s="40" t="str">
        <f>AA103</f>
        <v>kg</v>
      </c>
      <c r="AB99" s="5386" t="str">
        <f>AB103</f>
        <v>Master recipe ► Guinea fowl ballotine</v>
      </c>
      <c r="AC99" s="351"/>
      <c r="AD99" s="350" t="s">
        <v>8395</v>
      </c>
      <c r="AE99" s="349"/>
      <c r="AF99" s="348" t="s">
        <v>8387</v>
      </c>
      <c r="AG99" s="347" t="s">
        <v>898</v>
      </c>
      <c r="AH99" s="141"/>
      <c r="AI99" s="347"/>
      <c r="AJ99" s="347"/>
      <c r="AK99" s="347"/>
      <c r="AL99" s="347"/>
      <c r="AM99" s="5235"/>
      <c r="AN99" s="141"/>
      <c r="AO99" s="141"/>
      <c r="AP99" s="409"/>
      <c r="AT99" s="1018" t="s">
        <v>21</v>
      </c>
      <c r="AU99" s="41" t="str">
        <f>AU103</f>
        <v>N NOMBRE DE SU RECETA | pegue esto — FAMILIA| Autor &gt; USTED</v>
      </c>
      <c r="AV99" s="40">
        <f>AV103</f>
        <v>0.6</v>
      </c>
      <c r="AW99" s="40" t="str">
        <f>AW103</f>
        <v>kg</v>
      </c>
      <c r="AX99" s="5386" t="str">
        <f>AX103</f>
        <v>Receta madre ► Ballotina de pintada</v>
      </c>
      <c r="AY99" s="351"/>
      <c r="AZ99" s="350" t="s">
        <v>8430</v>
      </c>
      <c r="BA99" s="349"/>
      <c r="BB99" s="348" t="s">
        <v>8403</v>
      </c>
      <c r="BC99" s="347" t="s">
        <v>8404</v>
      </c>
      <c r="BD99" s="141"/>
      <c r="BE99" s="347"/>
      <c r="BF99" s="347"/>
      <c r="BG99" s="347"/>
      <c r="BH99" s="347"/>
      <c r="BI99" s="5235"/>
      <c r="BJ99" s="141"/>
      <c r="BK99" s="141"/>
      <c r="BL99" s="409"/>
      <c r="BP99" s="6419" t="s">
        <v>956</v>
      </c>
      <c r="BQ99" s="6420"/>
      <c r="BR99" s="6420"/>
      <c r="BS99" s="5783"/>
      <c r="BT99" s="5783"/>
      <c r="BU99" s="5783"/>
      <c r="BV99" s="6403"/>
      <c r="BX99" s="6419" t="s">
        <v>9528</v>
      </c>
      <c r="BY99" s="6420"/>
      <c r="BZ99" s="6420"/>
      <c r="CA99" s="5783"/>
      <c r="CB99" s="5783"/>
      <c r="CC99" s="5783"/>
      <c r="CD99" s="6403"/>
      <c r="CF99" s="6419" t="s">
        <v>9529</v>
      </c>
      <c r="CG99" s="6420"/>
      <c r="CH99" s="6420"/>
      <c r="CI99" s="5783"/>
      <c r="CJ99" s="5783"/>
      <c r="CK99" s="5783"/>
      <c r="CL99" s="6403"/>
      <c r="CN99" s="5">
        <v>1</v>
      </c>
    </row>
    <row r="100" spans="2:92" ht="21" customHeight="1">
      <c r="B100" s="1018" t="s">
        <v>21</v>
      </c>
      <c r="C100" s="41" t="str">
        <f>C103</f>
        <v>N NOM DE VOTRE RECETTE | pâtisserie--ENTREMET| Auteur &gt; VOUS</v>
      </c>
      <c r="D100" s="40">
        <f>D103</f>
        <v>1</v>
      </c>
      <c r="E100" s="40" t="str">
        <f>E103</f>
        <v>coupe</v>
      </c>
      <c r="F100" s="5386" t="str">
        <f>F103</f>
        <v>Recette mère ► MILLE-FEUILLE meringue et chiboust pamplemousse aux fraises des bois</v>
      </c>
      <c r="G100" s="333" t="s">
        <v>228</v>
      </c>
      <c r="H100" s="341"/>
      <c r="I100" s="341"/>
      <c r="J100" s="340" t="s">
        <v>227</v>
      </c>
      <c r="K100" s="6901" t="str">
        <f>L103&amp;" "&amp;M103&amp;" ► Famille = "&amp;R97&amp;" ► "&amp;J97&amp;" "&amp;Q100&amp;" "&amp;R100&amp;" "&amp;S100&amp;" "&amp;T100</f>
        <v>Recette mère ► MILLE-FEUILLE meringue et chiboust pamplemousse aux fraises des bois ► Famille = pâtisserie--ENTREMET ► NOM DE VOTRE RECETTE  ⓫  Dupliquée pour 5 coupes</v>
      </c>
      <c r="L100" s="6901"/>
      <c r="M100" s="6901"/>
      <c r="N100" s="6225"/>
      <c r="O100" s="6225"/>
      <c r="P100" s="6225"/>
      <c r="Q100" s="5235"/>
      <c r="R100" s="5236" t="s">
        <v>8008</v>
      </c>
      <c r="S100" s="5237">
        <v>5</v>
      </c>
      <c r="T100" s="344" t="str">
        <f>T102</f>
        <v>coupes</v>
      </c>
      <c r="X100" s="1018" t="s">
        <v>21</v>
      </c>
      <c r="Y100" s="41" t="str">
        <f>Y103</f>
        <v>N NAME OF YOUR RECIPE | paste it — FAMILY|  Author &gt; YOU</v>
      </c>
      <c r="Z100" s="40">
        <f>Z103</f>
        <v>0.6</v>
      </c>
      <c r="AA100" s="40" t="str">
        <f>AA103</f>
        <v>kg</v>
      </c>
      <c r="AB100" s="5386" t="str">
        <f>AB103</f>
        <v>Master recipe ► Guinea fowl ballotine</v>
      </c>
      <c r="AC100" s="333" t="s">
        <v>8376</v>
      </c>
      <c r="AD100" s="341"/>
      <c r="AE100" s="341"/>
      <c r="AF100" s="340" t="s">
        <v>227</v>
      </c>
      <c r="AG100" s="6901" t="str">
        <f>AH103&amp;" "&amp;AI103&amp;" ► family = "&amp;AN97&amp;" ► "&amp;AF97&amp;" "&amp;AM100&amp;" "&amp;AN100&amp;" "&amp;AO100&amp;" "&amp;AP100</f>
        <v>Master recipe ► Guinea fowl ballotine ► family = paste it — FAMILY ► NAME OF YOUR RECIPE  ⓫ Duplicated for 20 kg of guinea</v>
      </c>
      <c r="AH100" s="6901"/>
      <c r="AI100" s="6901"/>
      <c r="AJ100" s="6225"/>
      <c r="AK100" s="6225"/>
      <c r="AL100" s="6225"/>
      <c r="AM100" s="5235"/>
      <c r="AN100" s="5236" t="s">
        <v>888</v>
      </c>
      <c r="AO100" s="5237">
        <v>20</v>
      </c>
      <c r="AP100" s="5620" t="str">
        <f>AP102</f>
        <v>kg of guinea</v>
      </c>
      <c r="AT100" s="1018" t="s">
        <v>21</v>
      </c>
      <c r="AU100" s="41" t="str">
        <f>AU103</f>
        <v>N NOMBRE DE SU RECETA | pegue esto — FAMILIA| Autor &gt; USTED</v>
      </c>
      <c r="AV100" s="40">
        <f>AV103</f>
        <v>0.6</v>
      </c>
      <c r="AW100" s="40" t="str">
        <f>AW103</f>
        <v>kg</v>
      </c>
      <c r="AX100" s="5386" t="str">
        <f>AX103</f>
        <v>Receta madre ► Ballotina de pintada</v>
      </c>
      <c r="AY100" s="333" t="s">
        <v>8405</v>
      </c>
      <c r="AZ100" s="341"/>
      <c r="BA100" s="341"/>
      <c r="BB100" s="340" t="s">
        <v>8407</v>
      </c>
      <c r="BC100" s="6901" t="str">
        <f>BD103&amp;" "&amp;BE103&amp;" ► familia = "&amp;BJ97&amp;" ► "&amp;BB97&amp;" "&amp;BI100&amp;" "&amp;BJ100&amp;" "&amp;BK100&amp;" "&amp;BL100</f>
        <v>Receta madre ► Ballotina de pintada ► familia = pegue esto — FAMILIA ► NOMBRE DE SU RECETA  ⓫ Duplicada para 20 kg magra de pintada</v>
      </c>
      <c r="BD100" s="6901"/>
      <c r="BE100" s="6901"/>
      <c r="BF100" s="6225"/>
      <c r="BG100" s="6225"/>
      <c r="BH100" s="6225"/>
      <c r="BI100" s="5235"/>
      <c r="BJ100" s="5236" t="s">
        <v>8408</v>
      </c>
      <c r="BK100" s="5237">
        <v>20</v>
      </c>
      <c r="BL100" s="5406" t="str">
        <f>BL102</f>
        <v>kg magra de pintada</v>
      </c>
      <c r="BP100" s="6419"/>
      <c r="BQ100" s="6420"/>
      <c r="BR100" s="6420"/>
      <c r="BS100" s="5783"/>
      <c r="BT100" s="5783"/>
      <c r="BU100" s="5783"/>
      <c r="BV100" s="6403"/>
      <c r="BX100" s="6419"/>
      <c r="BY100" s="6420"/>
      <c r="BZ100" s="6420"/>
      <c r="CA100" s="5783"/>
      <c r="CB100" s="5783"/>
      <c r="CC100" s="5783"/>
      <c r="CD100" s="6403"/>
      <c r="CF100" s="6419"/>
      <c r="CG100" s="6420"/>
      <c r="CH100" s="6420"/>
      <c r="CI100" s="5783"/>
      <c r="CJ100" s="5783"/>
      <c r="CK100" s="5783"/>
      <c r="CL100" s="6403"/>
      <c r="CN100" s="5">
        <v>1</v>
      </c>
    </row>
    <row r="101" spans="2:92" ht="21" customHeight="1">
      <c r="B101" s="1018" t="s">
        <v>21</v>
      </c>
      <c r="C101" s="41" t="str">
        <f>C103</f>
        <v>N NOM DE VOTRE RECETTE | pâtisserie--ENTREMET| Auteur &gt; VOUS</v>
      </c>
      <c r="D101" s="40">
        <f>D103</f>
        <v>1</v>
      </c>
      <c r="E101" s="40" t="str">
        <f>E103</f>
        <v>coupe</v>
      </c>
      <c r="F101" s="5386" t="str">
        <f>F103</f>
        <v>Recette mère ► MILLE-FEUILLE meringue et chiboust pamplemousse aux fraises des bois</v>
      </c>
      <c r="G101" s="5238">
        <v>1</v>
      </c>
      <c r="H101" s="5832" t="s">
        <v>10042</v>
      </c>
      <c r="I101" s="333"/>
      <c r="J101" s="333"/>
      <c r="K101" s="6901"/>
      <c r="L101" s="6901"/>
      <c r="M101" s="6901"/>
      <c r="N101" s="6225"/>
      <c r="O101" s="6225"/>
      <c r="P101" s="6225"/>
      <c r="Q101" s="5239"/>
      <c r="R101" s="141"/>
      <c r="S101" s="5392" t="s">
        <v>8354</v>
      </c>
      <c r="T101" s="5391" t="s">
        <v>8353</v>
      </c>
      <c r="X101" s="1018" t="s">
        <v>21</v>
      </c>
      <c r="Y101" s="41" t="str">
        <f>Y103</f>
        <v>N NAME OF YOUR RECIPE | paste it — FAMILY|  Author &gt; YOU</v>
      </c>
      <c r="Z101" s="40">
        <f>Z103</f>
        <v>0.6</v>
      </c>
      <c r="AA101" s="40" t="str">
        <f>AA103</f>
        <v>kg</v>
      </c>
      <c r="AB101" s="5386" t="str">
        <f>AB103</f>
        <v>Master recipe ► Guinea fowl ballotine</v>
      </c>
      <c r="AC101" s="5238">
        <v>0.6</v>
      </c>
      <c r="AD101" s="5455" t="s">
        <v>219</v>
      </c>
      <c r="AE101" s="333"/>
      <c r="AF101" s="333"/>
      <c r="AG101" s="6901"/>
      <c r="AH101" s="6901"/>
      <c r="AI101" s="6901"/>
      <c r="AJ101" s="6225"/>
      <c r="AK101" s="6225"/>
      <c r="AL101" s="6225"/>
      <c r="AM101" s="5239"/>
      <c r="AN101" s="141"/>
      <c r="AO101" s="5392" t="s">
        <v>8378</v>
      </c>
      <c r="AP101" s="5391" t="s">
        <v>8390</v>
      </c>
      <c r="AT101" s="1018" t="s">
        <v>21</v>
      </c>
      <c r="AU101" s="41" t="str">
        <f>AU103</f>
        <v>N NOMBRE DE SU RECETA | pegue esto — FAMILIA| Autor &gt; USTED</v>
      </c>
      <c r="AV101" s="40">
        <f>AV103</f>
        <v>0.6</v>
      </c>
      <c r="AW101" s="40" t="str">
        <f>AW103</f>
        <v>kg</v>
      </c>
      <c r="AX101" s="5386" t="str">
        <f>AX103</f>
        <v>Receta madre ► Ballotina de pintada</v>
      </c>
      <c r="AY101" s="6734">
        <v>0.6</v>
      </c>
      <c r="AZ101" s="5455" t="s">
        <v>219</v>
      </c>
      <c r="BA101" s="333"/>
      <c r="BB101" s="333"/>
      <c r="BC101" s="6901"/>
      <c r="BD101" s="6901"/>
      <c r="BE101" s="6901"/>
      <c r="BF101" s="6225"/>
      <c r="BG101" s="6225"/>
      <c r="BH101" s="6225"/>
      <c r="BI101" s="5239"/>
      <c r="BJ101" s="141"/>
      <c r="BK101" s="5392" t="s">
        <v>8409</v>
      </c>
      <c r="BL101" s="5391" t="s">
        <v>8410</v>
      </c>
      <c r="BP101" s="6421"/>
      <c r="BQ101" s="6422" t="s">
        <v>987</v>
      </c>
      <c r="BR101" s="6420"/>
      <c r="BS101" s="5783"/>
      <c r="BT101" s="5783"/>
      <c r="BU101" s="5783"/>
      <c r="BV101" s="6403"/>
      <c r="BX101" s="6421"/>
      <c r="BY101" s="6422" t="s">
        <v>9257</v>
      </c>
      <c r="BZ101" s="6420"/>
      <c r="CA101" s="5783"/>
      <c r="CB101" s="5783"/>
      <c r="CC101" s="5783"/>
      <c r="CD101" s="6403"/>
      <c r="CF101" s="6421"/>
      <c r="CG101" s="6422" t="s">
        <v>9407</v>
      </c>
      <c r="CH101" s="6420"/>
      <c r="CI101" s="5783"/>
      <c r="CJ101" s="5783"/>
      <c r="CK101" s="5783"/>
      <c r="CL101" s="6403"/>
      <c r="CN101" s="5">
        <v>1</v>
      </c>
    </row>
    <row r="102" spans="2:92" ht="21" customHeight="1">
      <c r="B102" s="1018" t="s">
        <v>26</v>
      </c>
      <c r="C102" s="41" t="str">
        <f>C103</f>
        <v>N NOM DE VOTRE RECETTE | pâtisserie--ENTREMET| Auteur &gt; VOUS</v>
      </c>
      <c r="D102" s="40">
        <f>D103</f>
        <v>1</v>
      </c>
      <c r="E102" s="40" t="str">
        <f>E103</f>
        <v>coupe</v>
      </c>
      <c r="F102" s="5386" t="str">
        <f>F103</f>
        <v>Recette mère ► MILLE-FEUILLE meringue et chiboust pamplemousse aux fraises des bois</v>
      </c>
      <c r="G102" s="5397"/>
      <c r="H102" s="6831" t="s">
        <v>10699</v>
      </c>
      <c r="I102" s="6902">
        <f>Q137</f>
        <v>0.10100000000000001</v>
      </c>
      <c r="J102" s="6902"/>
      <c r="K102" s="6832" t="str" cm="1">
        <f t="array" ref="K102">"1= "&amp;IF(OR(G101&lt;=0,I102=""),"",_xlfn.LET(_xlpm.kg,IF(ISNUMBER(I102),I102,VALEUR(SUBSTITUTE(SUBSTITUTE(SUBSTITUTE(LOWER(I102),"kg",""),",",".")," ",""))),TEXT(ROUND(_xlpm.kg*1000/G101,2),"0.##")&amp;" g"))</f>
        <v>1= 101. g</v>
      </c>
      <c r="L102" s="6833">
        <f>IFERROR(S100/G101,0)</f>
        <v>5</v>
      </c>
      <c r="M102" s="6203"/>
      <c r="N102" s="6203"/>
      <c r="O102" s="6203"/>
      <c r="P102" s="6203"/>
      <c r="Q102"/>
      <c r="R102" s="5241" t="s">
        <v>944</v>
      </c>
      <c r="S102" s="6811">
        <v>1.5</v>
      </c>
      <c r="T102" s="5242" t="s">
        <v>10043</v>
      </c>
      <c r="X102" s="1018" t="s">
        <v>26</v>
      </c>
      <c r="Y102" s="41" t="str">
        <f>Y103</f>
        <v>N NAME OF YOUR RECIPE | paste it — FAMILY|  Author &gt; YOU</v>
      </c>
      <c r="Z102" s="40">
        <f>Z103</f>
        <v>0.6</v>
      </c>
      <c r="AA102" s="40" t="str">
        <f>AA103</f>
        <v>kg</v>
      </c>
      <c r="AB102" s="5386" t="str">
        <f>AB103</f>
        <v>Master recipe ► Guinea fowl ballotine</v>
      </c>
      <c r="AC102" s="5397"/>
      <c r="AD102" s="6831" t="s">
        <v>11012</v>
      </c>
      <c r="AE102" s="6902">
        <f>AM137</f>
        <v>0.60000000000000009</v>
      </c>
      <c r="AF102" s="6902"/>
      <c r="AG102" s="6832" t="str" cm="1">
        <f t="array" ref="AG102">"1= "&amp;IF(OR(AC101&lt;=0,AE102=""),"",_xlfn.LET(_xlpm.kg,IF(ISNUMBER(AE102),AE102,VALEUR(SUBSTITUTE(SUBSTITUTE(SUBSTITUTE(LOWER(AE102),"kg",""),",",".")," ",""))),TEXT(ROUND(_xlpm.kg*1000/AC101,2),"0.##")&amp;" g"))</f>
        <v>1= 1000. g</v>
      </c>
      <c r="AH102" s="6833">
        <f>IFERROR(AO100/AC101,0)</f>
        <v>33.333333333333336</v>
      </c>
      <c r="AI102" s="6203"/>
      <c r="AJ102" s="6203"/>
      <c r="AK102" s="6203"/>
      <c r="AL102" s="6203"/>
      <c r="AN102" s="5241" t="s">
        <v>941</v>
      </c>
      <c r="AO102" s="5376">
        <v>0.4</v>
      </c>
      <c r="AP102" s="5242" t="s">
        <v>9686</v>
      </c>
      <c r="AT102" s="1018" t="s">
        <v>26</v>
      </c>
      <c r="AU102" s="41" t="str">
        <f>AU103</f>
        <v>N NOMBRE DE SU RECETA | pegue esto — FAMILIA| Autor &gt; USTED</v>
      </c>
      <c r="AV102" s="40">
        <f>AV103</f>
        <v>0.6</v>
      </c>
      <c r="AW102" s="40" t="str">
        <f>AW103</f>
        <v>kg</v>
      </c>
      <c r="AX102" s="5386" t="str">
        <f>AX103</f>
        <v>Receta madre ► Ballotina de pintada</v>
      </c>
      <c r="AY102" s="5397"/>
      <c r="AZ102" s="6831" t="s">
        <v>11013</v>
      </c>
      <c r="BA102" s="6902">
        <f>BI137</f>
        <v>0.60000000000000009</v>
      </c>
      <c r="BB102" s="6902"/>
      <c r="BC102" s="6832" t="str" cm="1">
        <f t="array" ref="BC102">"1= "&amp;IF(OR(AY101&lt;=0,BA102=""),"",_xlfn.LET(_xlpm.kg,IF(ISNUMBER(BA102),BA102,VALEUR(SUBSTITUTE(SUBSTITUTE(SUBSTITUTE(LOWER(BA102),"kg",""),",",".")," ",""))),TEXT(ROUND(_xlpm.kg*1000/AY101,2),"0.##")&amp;" g"))</f>
        <v>1= 1000. g</v>
      </c>
      <c r="BD102" s="6833">
        <f>IFERROR(BK100/AY101,0)</f>
        <v>33.333333333333336</v>
      </c>
      <c r="BE102" s="6203"/>
      <c r="BF102" s="6203"/>
      <c r="BG102" s="6203"/>
      <c r="BH102" s="6203"/>
      <c r="BJ102" s="5241" t="s">
        <v>7913</v>
      </c>
      <c r="BK102" s="5376">
        <v>0.4</v>
      </c>
      <c r="BL102" s="5407" t="s">
        <v>9694</v>
      </c>
      <c r="BP102" s="6412" t="s">
        <v>904</v>
      </c>
      <c r="BQ102" s="6422"/>
      <c r="BR102" s="6420"/>
      <c r="BS102" s="5783"/>
      <c r="BT102" s="5783"/>
      <c r="BU102" s="5783"/>
      <c r="BV102" s="6403"/>
      <c r="BX102" s="6412" t="s">
        <v>9241</v>
      </c>
      <c r="BY102" s="6422"/>
      <c r="BZ102" s="6420"/>
      <c r="CA102" s="5783"/>
      <c r="CB102" s="5783"/>
      <c r="CC102" s="5783"/>
      <c r="CD102" s="6403"/>
      <c r="CF102" s="6412" t="s">
        <v>9383</v>
      </c>
      <c r="CG102" s="6422"/>
      <c r="CH102" s="6420"/>
      <c r="CI102" s="5783"/>
      <c r="CJ102" s="5783"/>
      <c r="CK102" s="5783"/>
      <c r="CL102" s="6403"/>
      <c r="CN102" s="5">
        <v>1</v>
      </c>
    </row>
    <row r="103" spans="2:92" ht="21" customHeight="1">
      <c r="B103" s="5243" t="s">
        <v>26</v>
      </c>
      <c r="C103" s="5379" t="str">
        <f>G103</f>
        <v>N NOM DE VOTRE RECETTE | pâtisserie--ENTREMET| Auteur &gt; VOUS</v>
      </c>
      <c r="D103" s="5380">
        <f>G101</f>
        <v>1</v>
      </c>
      <c r="E103" s="5379" t="str">
        <f>H101</f>
        <v>coupe</v>
      </c>
      <c r="F103" s="5381" t="str">
        <f>L103&amp;" "&amp;M103</f>
        <v>Recette mère ► MILLE-FEUILLE meringue et chiboust pamplemousse aux fraises des bois</v>
      </c>
      <c r="G103" s="5484" t="str">
        <f>UPPER(LEFT(J97,1))&amp;" "&amp;J97&amp;" | "&amp;R97&amp;"| "&amp;J99&amp;" "&amp;K99</f>
        <v>N NOM DE VOTRE RECETTE | pâtisserie--ENTREMET| Auteur &gt; VOUS</v>
      </c>
      <c r="H103" s="5485" t="s">
        <v>223</v>
      </c>
      <c r="I103" s="6903" t="s">
        <v>222</v>
      </c>
      <c r="J103" s="6903"/>
      <c r="K103" s="6903"/>
      <c r="L103" s="5119" t="str">
        <f>IF(ISTEXT(M103),"Recette mère ►",H103)</f>
        <v>Recette mère ►</v>
      </c>
      <c r="M103" s="6267" t="s">
        <v>919</v>
      </c>
      <c r="N103" s="6267"/>
      <c r="O103" s="6267"/>
      <c r="P103" s="6267"/>
      <c r="Q103" s="6729" t="s">
        <v>8344</v>
      </c>
      <c r="R103" s="6268"/>
      <c r="S103" s="6268"/>
      <c r="T103" s="6269"/>
      <c r="X103" s="5243" t="s">
        <v>26</v>
      </c>
      <c r="Y103" s="5379" t="str">
        <f>AC103</f>
        <v>N NAME OF YOUR RECIPE | paste it — FAMILY|  Author &gt; YOU</v>
      </c>
      <c r="Z103" s="5380">
        <f>AC101</f>
        <v>0.6</v>
      </c>
      <c r="AA103" s="5379" t="str">
        <f>AD101</f>
        <v>kg</v>
      </c>
      <c r="AB103" s="5381" t="str">
        <f>AH103&amp;" "&amp;AI103</f>
        <v>Master recipe ► Guinea fowl ballotine</v>
      </c>
      <c r="AC103" s="5484" t="str">
        <f>UPPER(LEFT(AF97,1))&amp;" "&amp;AF97&amp;" | "&amp;AN97&amp;"| "&amp;AF99&amp;" "&amp;AG99</f>
        <v>N NAME OF YOUR RECIPE | paste it — FAMILY|  Author &gt; YOU</v>
      </c>
      <c r="AD103" s="5485" t="s">
        <v>8391</v>
      </c>
      <c r="AE103" s="6903" t="s">
        <v>903</v>
      </c>
      <c r="AF103" s="6903"/>
      <c r="AG103" s="6903"/>
      <c r="AH103" s="5119" t="str">
        <f>IF(ISTEXT(AI103),"Master recipe ►",AD103)</f>
        <v>Master recipe ►</v>
      </c>
      <c r="AI103" s="6267" t="s">
        <v>8380</v>
      </c>
      <c r="AJ103" s="6267"/>
      <c r="AK103" s="6267"/>
      <c r="AL103" s="6267"/>
      <c r="AM103" s="6268"/>
      <c r="AN103" s="6268"/>
      <c r="AO103" s="6268"/>
      <c r="AP103" s="6736" t="s">
        <v>8379</v>
      </c>
      <c r="AT103" s="5243" t="s">
        <v>26</v>
      </c>
      <c r="AU103" s="5379" t="str">
        <f>AY103</f>
        <v>N NOMBRE DE SU RECETA | pegue esto — FAMILIA| Autor &gt; USTED</v>
      </c>
      <c r="AV103" s="5380">
        <f>AY101</f>
        <v>0.6</v>
      </c>
      <c r="AW103" s="5379" t="str">
        <f>AZ101</f>
        <v>kg</v>
      </c>
      <c r="AX103" s="5381" t="str">
        <f>BD103&amp;" "&amp;BE103</f>
        <v>Receta madre ► Ballotina de pintada</v>
      </c>
      <c r="AY103" s="5484" t="str">
        <f>UPPER(LEFT(BB97,1))&amp;" "&amp;BB97&amp;" | "&amp;BJ97&amp;"| "&amp;BB99&amp;" "&amp;BC99</f>
        <v>N NOMBRE DE SU RECETA | pegue esto — FAMILIA| Autor &gt; USTED</v>
      </c>
      <c r="AZ103" s="5485" t="s">
        <v>8412</v>
      </c>
      <c r="BA103" s="6903" t="s">
        <v>8411</v>
      </c>
      <c r="BB103" s="6903"/>
      <c r="BC103" s="6903"/>
      <c r="BD103" s="5119" t="s">
        <v>9587</v>
      </c>
      <c r="BE103" s="6267" t="s">
        <v>8413</v>
      </c>
      <c r="BF103" s="6267"/>
      <c r="BG103" s="6267"/>
      <c r="BH103" s="6368"/>
      <c r="BI103" s="6268"/>
      <c r="BJ103" s="6268"/>
      <c r="BK103" s="6268"/>
      <c r="BL103" s="6736" t="s">
        <v>8379</v>
      </c>
      <c r="BP103" s="6404"/>
      <c r="BQ103" s="6423" t="s">
        <v>991</v>
      </c>
      <c r="BR103" s="5783"/>
      <c r="BS103" s="5783"/>
      <c r="BT103" s="5783"/>
      <c r="BU103" s="5783"/>
      <c r="BV103" s="6403"/>
      <c r="BX103" s="6404"/>
      <c r="BY103" s="6423" t="s">
        <v>9236</v>
      </c>
      <c r="BZ103" s="5783"/>
      <c r="CA103" s="5783"/>
      <c r="CB103" s="5783"/>
      <c r="CC103" s="5783"/>
      <c r="CD103" s="6403"/>
      <c r="CF103" s="6404"/>
      <c r="CG103" s="6423" t="s">
        <v>9378</v>
      </c>
      <c r="CH103" s="5783"/>
      <c r="CI103" s="5783"/>
      <c r="CJ103" s="5783"/>
      <c r="CK103" s="5783"/>
      <c r="CL103" s="6403"/>
      <c r="CN103" s="5">
        <v>1</v>
      </c>
    </row>
    <row r="104" spans="2:92" ht="21" customHeight="1">
      <c r="B104" s="1017" t="s">
        <v>26</v>
      </c>
      <c r="C104" s="5382" t="str">
        <f>C103</f>
        <v>N NOM DE VOTRE RECETTE | pâtisserie--ENTREMET| Auteur &gt; VOUS</v>
      </c>
      <c r="D104" s="5382">
        <f>D103</f>
        <v>1</v>
      </c>
      <c r="E104" s="5382" t="str">
        <f>E103</f>
        <v>coupe</v>
      </c>
      <c r="F104" s="5383" t="str">
        <f>F103</f>
        <v>Recette mère ► MILLE-FEUILLE meringue et chiboust pamplemousse aux fraises des bois</v>
      </c>
      <c r="G104" s="310" t="s">
        <v>217</v>
      </c>
      <c r="H104" s="310" t="s">
        <v>216</v>
      </c>
      <c r="I104" s="310" t="s">
        <v>215</v>
      </c>
      <c r="J104" s="310" t="s">
        <v>214</v>
      </c>
      <c r="K104" s="309" t="s">
        <v>83</v>
      </c>
      <c r="L104" s="6265" t="s">
        <v>213</v>
      </c>
      <c r="M104" s="6266" t="s">
        <v>212</v>
      </c>
      <c r="N104" s="6266" t="s">
        <v>211</v>
      </c>
      <c r="O104" s="6266" t="s">
        <v>210</v>
      </c>
      <c r="P104" s="6266" t="s">
        <v>7928</v>
      </c>
      <c r="Q104" s="6266" t="s">
        <v>208</v>
      </c>
      <c r="R104" s="6266" t="s">
        <v>207</v>
      </c>
      <c r="S104" s="6266" t="s">
        <v>206</v>
      </c>
      <c r="T104" s="6270" t="s">
        <v>205</v>
      </c>
      <c r="X104" s="1017" t="s">
        <v>26</v>
      </c>
      <c r="Y104" s="5382" t="str">
        <f>Y103</f>
        <v>N NAME OF YOUR RECIPE | paste it — FAMILY|  Author &gt; YOU</v>
      </c>
      <c r="Z104" s="5382">
        <f>Z103</f>
        <v>0.6</v>
      </c>
      <c r="AA104" s="5382" t="str">
        <f>AA103</f>
        <v>kg</v>
      </c>
      <c r="AB104" s="5383" t="str">
        <f>AB103</f>
        <v>Master recipe ► Guinea fowl ballotine</v>
      </c>
      <c r="AC104" s="310" t="s">
        <v>217</v>
      </c>
      <c r="AD104" s="310" t="s">
        <v>216</v>
      </c>
      <c r="AE104" s="310" t="s">
        <v>215</v>
      </c>
      <c r="AF104" s="310" t="s">
        <v>214</v>
      </c>
      <c r="AG104" s="309" t="s">
        <v>83</v>
      </c>
      <c r="AH104" s="6265" t="s">
        <v>213</v>
      </c>
      <c r="AI104" s="6266" t="s">
        <v>212</v>
      </c>
      <c r="AJ104" s="6266" t="s">
        <v>211</v>
      </c>
      <c r="AK104" s="6266" t="s">
        <v>210</v>
      </c>
      <c r="AL104" s="6266" t="s">
        <v>7928</v>
      </c>
      <c r="AM104" s="6266" t="s">
        <v>208</v>
      </c>
      <c r="AN104" s="6266" t="s">
        <v>207</v>
      </c>
      <c r="AO104" s="6266" t="s">
        <v>206</v>
      </c>
      <c r="AP104" s="6270" t="s">
        <v>205</v>
      </c>
      <c r="AT104" s="1017" t="s">
        <v>26</v>
      </c>
      <c r="AU104" s="5382" t="str">
        <f>AU103</f>
        <v>N NOMBRE DE SU RECETA | pegue esto — FAMILIA| Autor &gt; USTED</v>
      </c>
      <c r="AV104" s="5382">
        <f>AV103</f>
        <v>0.6</v>
      </c>
      <c r="AW104" s="5382" t="str">
        <f>AW103</f>
        <v>kg</v>
      </c>
      <c r="AX104" s="5383" t="str">
        <f>AX103</f>
        <v>Receta madre ► Ballotina de pintada</v>
      </c>
      <c r="AY104" s="310" t="s">
        <v>217</v>
      </c>
      <c r="AZ104" s="310" t="s">
        <v>216</v>
      </c>
      <c r="BA104" s="310" t="s">
        <v>215</v>
      </c>
      <c r="BB104" s="310" t="s">
        <v>214</v>
      </c>
      <c r="BC104" s="309" t="s">
        <v>83</v>
      </c>
      <c r="BD104" s="6265" t="s">
        <v>213</v>
      </c>
      <c r="BE104" s="6266" t="s">
        <v>212</v>
      </c>
      <c r="BF104" s="6266" t="s">
        <v>211</v>
      </c>
      <c r="BG104" s="6266" t="s">
        <v>210</v>
      </c>
      <c r="BH104" s="6266" t="s">
        <v>7928</v>
      </c>
      <c r="BI104" s="6266" t="s">
        <v>208</v>
      </c>
      <c r="BJ104" s="6266" t="s">
        <v>207</v>
      </c>
      <c r="BK104" s="6266" t="s">
        <v>206</v>
      </c>
      <c r="BL104" s="6270" t="s">
        <v>205</v>
      </c>
      <c r="BP104" s="1168" t="s">
        <v>992</v>
      </c>
      <c r="BQ104" s="5783"/>
      <c r="BR104" s="5783"/>
      <c r="BS104" s="5783"/>
      <c r="BT104" s="5783"/>
      <c r="BU104" s="5783"/>
      <c r="BV104" s="6403"/>
      <c r="BX104" s="1168" t="s">
        <v>9258</v>
      </c>
      <c r="BY104" s="5783"/>
      <c r="BZ104" s="5783"/>
      <c r="CA104" s="5783"/>
      <c r="CB104" s="5783"/>
      <c r="CC104" s="5783"/>
      <c r="CD104" s="6403"/>
      <c r="CF104" s="1168" t="s">
        <v>9408</v>
      </c>
      <c r="CG104" s="5783"/>
      <c r="CH104" s="5783"/>
      <c r="CI104" s="5783"/>
      <c r="CJ104" s="5783"/>
      <c r="CK104" s="5783"/>
      <c r="CL104" s="6403"/>
      <c r="CN104" s="5">
        <v>1</v>
      </c>
    </row>
    <row r="105" spans="2:92" ht="21" customHeight="1" thickBot="1">
      <c r="B105" s="1018" t="s">
        <v>21</v>
      </c>
      <c r="C105" s="41" t="str">
        <f>C103</f>
        <v>N NOM DE VOTRE RECETTE | pâtisserie--ENTREMET| Auteur &gt; VOUS</v>
      </c>
      <c r="D105" s="40">
        <f>D103</f>
        <v>1</v>
      </c>
      <c r="E105" s="41" t="str">
        <f>E103</f>
        <v>coupe</v>
      </c>
      <c r="F105" s="5386" t="str">
        <f>F103</f>
        <v>Recette mère ► MILLE-FEUILLE meringue et chiboust pamplemousse aux fraises des bois</v>
      </c>
      <c r="G105" s="5247" t="s">
        <v>198</v>
      </c>
      <c r="H105" s="298" t="s">
        <v>197</v>
      </c>
      <c r="I105" s="297"/>
      <c r="J105" s="6904" t="s">
        <v>196</v>
      </c>
      <c r="K105" s="6906" t="s">
        <v>195</v>
      </c>
      <c r="L105" s="6908" t="s">
        <v>82</v>
      </c>
      <c r="M105" s="5248" t="s">
        <v>194</v>
      </c>
      <c r="N105" s="6869" t="s">
        <v>11041</v>
      </c>
      <c r="O105" s="6256" t="s">
        <v>783</v>
      </c>
      <c r="P105" s="6700" t="s">
        <v>191</v>
      </c>
      <c r="Q105" s="6888" t="s">
        <v>929</v>
      </c>
      <c r="R105" s="6890" t="s">
        <v>191</v>
      </c>
      <c r="S105" s="6890" t="s">
        <v>8009</v>
      </c>
      <c r="T105" s="6894" t="s">
        <v>8010</v>
      </c>
      <c r="V105" s="6873" t="s">
        <v>11041</v>
      </c>
      <c r="X105" s="1018" t="s">
        <v>21</v>
      </c>
      <c r="Y105" s="41" t="str">
        <f>Y103</f>
        <v>N NAME OF YOUR RECIPE | paste it — FAMILY|  Author &gt; YOU</v>
      </c>
      <c r="Z105" s="40">
        <f>Z103</f>
        <v>0.6</v>
      </c>
      <c r="AA105" s="41" t="str">
        <f>AA103</f>
        <v>kg</v>
      </c>
      <c r="AB105" s="5386" t="str">
        <f>AB103</f>
        <v>Master recipe ► Guinea fowl ballotine</v>
      </c>
      <c r="AC105" s="5247" t="s">
        <v>198</v>
      </c>
      <c r="AD105" s="298" t="s">
        <v>197</v>
      </c>
      <c r="AE105" s="297"/>
      <c r="AF105" s="6904" t="s">
        <v>850</v>
      </c>
      <c r="AG105" s="6906" t="s">
        <v>195</v>
      </c>
      <c r="AH105" s="6908" t="s">
        <v>82</v>
      </c>
      <c r="AI105" s="5248" t="s">
        <v>194</v>
      </c>
      <c r="AJ105" s="6869" t="s">
        <v>11041</v>
      </c>
      <c r="AK105" s="6256" t="s">
        <v>8377</v>
      </c>
      <c r="AL105" s="6700" t="s">
        <v>8382</v>
      </c>
      <c r="AM105" s="6888" t="s">
        <v>8381</v>
      </c>
      <c r="AN105" s="6890" t="s">
        <v>8382</v>
      </c>
      <c r="AO105" s="6892" t="s">
        <v>8383</v>
      </c>
      <c r="AP105" s="6894" t="s">
        <v>8384</v>
      </c>
      <c r="AR105" s="6873" t="s">
        <v>11041</v>
      </c>
      <c r="AT105" s="1018" t="s">
        <v>21</v>
      </c>
      <c r="AU105" s="41" t="str">
        <f>AU103</f>
        <v>N NOMBRE DE SU RECETA | pegue esto — FAMILIA| Autor &gt; USTED</v>
      </c>
      <c r="AV105" s="40">
        <f>AV103</f>
        <v>0.6</v>
      </c>
      <c r="AW105" s="41" t="str">
        <f>AW103</f>
        <v>kg</v>
      </c>
      <c r="AX105" s="5386" t="str">
        <f>AX103</f>
        <v>Receta madre ► Ballotina de pintada</v>
      </c>
      <c r="AY105" s="5247" t="s">
        <v>198</v>
      </c>
      <c r="AZ105" s="298" t="s">
        <v>197</v>
      </c>
      <c r="BA105" s="297"/>
      <c r="BB105" s="6904" t="s">
        <v>8416</v>
      </c>
      <c r="BC105" s="6906" t="s">
        <v>195</v>
      </c>
      <c r="BD105" s="6908" t="s">
        <v>8417</v>
      </c>
      <c r="BE105" s="5248" t="s">
        <v>194</v>
      </c>
      <c r="BF105" s="6869" t="s">
        <v>11041</v>
      </c>
      <c r="BG105" s="6256" t="s">
        <v>8406</v>
      </c>
      <c r="BH105" s="6700" t="s">
        <v>8419</v>
      </c>
      <c r="BI105" s="6888" t="s">
        <v>8418</v>
      </c>
      <c r="BJ105" s="6890" t="s">
        <v>8419</v>
      </c>
      <c r="BK105" s="6892" t="s">
        <v>8420</v>
      </c>
      <c r="BL105" s="6894" t="s">
        <v>8421</v>
      </c>
      <c r="BN105" s="6873" t="s">
        <v>11041</v>
      </c>
      <c r="BP105" s="6404"/>
      <c r="BQ105" s="5783"/>
      <c r="BR105" s="5783"/>
      <c r="BS105" s="5783"/>
      <c r="BT105" s="5783"/>
      <c r="BU105" s="5783"/>
      <c r="BV105" s="6403"/>
      <c r="BX105" s="6404"/>
      <c r="BY105" s="5783"/>
      <c r="BZ105" s="5783"/>
      <c r="CA105" s="5783"/>
      <c r="CB105" s="5783"/>
      <c r="CC105" s="5783"/>
      <c r="CD105" s="6403"/>
      <c r="CF105" s="6404"/>
      <c r="CG105" s="5783"/>
      <c r="CH105" s="5783"/>
      <c r="CI105" s="5783"/>
      <c r="CJ105" s="5783"/>
      <c r="CK105" s="5783"/>
      <c r="CL105" s="6403"/>
      <c r="CN105" s="5">
        <v>1</v>
      </c>
    </row>
    <row r="106" spans="2:92" ht="21" customHeight="1" thickTop="1">
      <c r="B106" s="1018" t="s">
        <v>21</v>
      </c>
      <c r="C106" s="41" t="str">
        <f>C103</f>
        <v>N NOM DE VOTRE RECETTE | pâtisserie--ENTREMET| Auteur &gt; VOUS</v>
      </c>
      <c r="D106" s="40">
        <f>D103</f>
        <v>1</v>
      </c>
      <c r="E106" s="41" t="str">
        <f>E103</f>
        <v>coupe</v>
      </c>
      <c r="F106" s="5386" t="str">
        <f>F103</f>
        <v>Recette mère ► MILLE-FEUILLE meringue et chiboust pamplemousse aux fraises des bois</v>
      </c>
      <c r="G106" s="5249" t="s">
        <v>184</v>
      </c>
      <c r="H106" s="286" t="s">
        <v>162</v>
      </c>
      <c r="I106" s="285" t="s">
        <v>186</v>
      </c>
      <c r="J106" s="6905"/>
      <c r="K106" s="6907"/>
      <c r="L106" s="6909"/>
      <c r="M106" s="5250" t="s">
        <v>185</v>
      </c>
      <c r="N106" s="6870" t="s">
        <v>255</v>
      </c>
      <c r="O106" s="6252" t="s">
        <v>8578</v>
      </c>
      <c r="P106" s="6019">
        <v>1</v>
      </c>
      <c r="Q106" s="6889"/>
      <c r="R106" s="6891"/>
      <c r="S106" s="6891"/>
      <c r="T106" s="6895"/>
      <c r="V106" s="6872" t="s">
        <v>11043</v>
      </c>
      <c r="X106" s="1018" t="s">
        <v>21</v>
      </c>
      <c r="Y106" s="41" t="str">
        <f>Y103</f>
        <v>N NAME OF YOUR RECIPE | paste it — FAMILY|  Author &gt; YOU</v>
      </c>
      <c r="Z106" s="40">
        <f>Z103</f>
        <v>0.6</v>
      </c>
      <c r="AA106" s="41" t="str">
        <f>AA103</f>
        <v>kg</v>
      </c>
      <c r="AB106" s="5386" t="str">
        <f>AB103</f>
        <v>Master recipe ► Guinea fowl ballotine</v>
      </c>
      <c r="AC106" s="5249" t="s">
        <v>851</v>
      </c>
      <c r="AD106" s="286" t="s">
        <v>852</v>
      </c>
      <c r="AE106" s="285" t="s">
        <v>8398</v>
      </c>
      <c r="AF106" s="6905"/>
      <c r="AG106" s="6907"/>
      <c r="AH106" s="6923"/>
      <c r="AI106" s="5250" t="s">
        <v>8396</v>
      </c>
      <c r="AJ106" s="6870" t="s">
        <v>255</v>
      </c>
      <c r="AK106" s="6252" t="s">
        <v>8578</v>
      </c>
      <c r="AL106" s="6019">
        <v>1</v>
      </c>
      <c r="AM106" s="6889"/>
      <c r="AN106" s="6891"/>
      <c r="AO106" s="6893"/>
      <c r="AP106" s="6895"/>
      <c r="AR106" s="6872" t="s">
        <v>11043</v>
      </c>
      <c r="AT106" s="1018" t="s">
        <v>21</v>
      </c>
      <c r="AU106" s="41" t="str">
        <f>AU103</f>
        <v>N NOMBRE DE SU RECETA | pegue esto — FAMILIA| Autor &gt; USTED</v>
      </c>
      <c r="AV106" s="40">
        <f>AV103</f>
        <v>0.6</v>
      </c>
      <c r="AW106" s="41" t="str">
        <f>AW103</f>
        <v>kg</v>
      </c>
      <c r="AX106" s="5386" t="str">
        <f>AX103</f>
        <v>Receta madre ► Ballotina de pintada</v>
      </c>
      <c r="AY106" s="5249" t="s">
        <v>8414</v>
      </c>
      <c r="AZ106" s="286" t="s">
        <v>8415</v>
      </c>
      <c r="BA106" s="285" t="s">
        <v>186</v>
      </c>
      <c r="BB106" s="6905"/>
      <c r="BC106" s="6907"/>
      <c r="BD106" s="6909"/>
      <c r="BE106" s="5250" t="s">
        <v>8427</v>
      </c>
      <c r="BF106" s="6870" t="s">
        <v>255</v>
      </c>
      <c r="BG106" s="6252" t="s">
        <v>8578</v>
      </c>
      <c r="BH106" s="6019">
        <v>1</v>
      </c>
      <c r="BI106" s="6889"/>
      <c r="BJ106" s="6891"/>
      <c r="BK106" s="6893"/>
      <c r="BL106" s="6895"/>
      <c r="BN106" s="6872" t="s">
        <v>11043</v>
      </c>
      <c r="BP106" s="6404"/>
      <c r="BQ106" s="7128" t="s">
        <v>975</v>
      </c>
      <c r="BR106" s="7129"/>
      <c r="BS106" s="6965" t="s">
        <v>976</v>
      </c>
      <c r="BT106" s="6965"/>
      <c r="BU106" s="5783"/>
      <c r="BV106" s="6403"/>
      <c r="BX106" s="6404"/>
      <c r="BY106" s="7128" t="s">
        <v>9259</v>
      </c>
      <c r="BZ106" s="7129"/>
      <c r="CA106" s="6965" t="s">
        <v>972</v>
      </c>
      <c r="CB106" s="6965"/>
      <c r="CC106" s="5783"/>
      <c r="CD106" s="6403"/>
      <c r="CF106" s="6404"/>
      <c r="CG106" s="7128" t="s">
        <v>9409</v>
      </c>
      <c r="CH106" s="7129"/>
      <c r="CI106" s="6965" t="s">
        <v>9410</v>
      </c>
      <c r="CJ106" s="6965"/>
      <c r="CK106" s="5783"/>
      <c r="CL106" s="6403"/>
      <c r="CN106" s="5">
        <v>1</v>
      </c>
    </row>
    <row r="107" spans="2:92" ht="21" customHeight="1">
      <c r="B107" s="1018" t="s">
        <v>21</v>
      </c>
      <c r="C107" s="41" t="str">
        <f>C103</f>
        <v>N NOM DE VOTRE RECETTE | pâtisserie--ENTREMET| Auteur &gt; VOUS</v>
      </c>
      <c r="D107" s="40">
        <f>D103</f>
        <v>1</v>
      </c>
      <c r="E107" s="41" t="str">
        <f>E103</f>
        <v>coupe</v>
      </c>
      <c r="F107" s="5386" t="str">
        <f>F103</f>
        <v>Recette mère ► MILLE-FEUILLE meringue et chiboust pamplemousse aux fraises des bois</v>
      </c>
      <c r="G107" s="213"/>
      <c r="H107" s="256"/>
      <c r="I107" s="211" t="str">
        <f t="shared" ref="I107:I136" si="28">IF(OR(ISTEXT(G107), G107&lt;=0, J107&lt;=0), "", "de")</f>
        <v/>
      </c>
      <c r="J107" s="210">
        <v>1</v>
      </c>
      <c r="K107" s="6285" t="s">
        <v>172</v>
      </c>
      <c r="L107" s="5448">
        <v>1</v>
      </c>
      <c r="M107" s="6866" t="s">
        <v>855</v>
      </c>
      <c r="N107" s="6871"/>
      <c r="O107" s="6253">
        <f>IF(Q137=0,0,(Q107/Q137)*P106*1000)</f>
        <v>990.09900990099004</v>
      </c>
      <c r="P107" s="6254">
        <f>IF(Q137=0, 0, (G107*L107)/(Q137*P106))</f>
        <v>0</v>
      </c>
      <c r="Q107" s="5882">
        <f>IFERROR(_xlfn.LET(_xlpm.v,IFERROR(_xlfn.XLOOKUP(K107,G138:T138,G139:T139),_xlfn.XLOOKUP(K107,G140:T140,G141:T141)),_xlpm.v*J107*IF(ISBLANK(G107),1,G107)),0)</f>
        <v>0.1</v>
      </c>
      <c r="R107" s="5251">
        <f>IF(OR(ISBLANK(S102),S102=0),0,G107*S100*L107/S102)</f>
        <v>0</v>
      </c>
      <c r="S107" s="6051">
        <f>IF(OR(ISBLANK(S102),S102=0),0,Q107*L107*S100/S102)</f>
        <v>0.33333333333333331</v>
      </c>
      <c r="T107" s="6459" t="str">
        <f>_xlfn.LET(_xlpm.unite,SUBSTITUTE(TRIM(K107)," (s)",""),_xlpm.val,S107,_xlpm.estVol,COUNTIF(M138:T138,_xlpm.unite)+COUNTIF(M140:T140,_xlpm.unite)&gt;0,_xlpm.estPoids,COUNTIF(G138:L138,_xlpm.unite)+COUNTIF(G140:L140,_xlpm.unite)&gt;0,IF(_xlpm.estVol,IF(ROUND(_xlpm.val,3)&gt;=1,ROUND(_xlpm.val,3)&amp;"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33 cl</v>
      </c>
      <c r="V107" s="6872" t="s">
        <v>11044</v>
      </c>
      <c r="X107" s="1018" t="s">
        <v>21</v>
      </c>
      <c r="Y107" s="41" t="str">
        <f>Y103</f>
        <v>N NAME OF YOUR RECIPE | paste it — FAMILY|  Author &gt; YOU</v>
      </c>
      <c r="Z107" s="40">
        <f>Z103</f>
        <v>0.6</v>
      </c>
      <c r="AA107" s="41" t="str">
        <f>AA103</f>
        <v>kg</v>
      </c>
      <c r="AB107" s="5386" t="str">
        <f>AB103</f>
        <v>Master recipe ► Guinea fowl ballotine</v>
      </c>
      <c r="AC107" s="213"/>
      <c r="AD107" s="256"/>
      <c r="AE107" s="211" t="str">
        <f t="shared" ref="AE107:AE136" si="29">IF(OR(ISTEXT(AC107), AC107&lt;=0, AF107&lt;=0), "", "de")</f>
        <v/>
      </c>
      <c r="AF107" s="210">
        <v>400</v>
      </c>
      <c r="AG107" s="6283" t="s">
        <v>130</v>
      </c>
      <c r="AH107" s="5448">
        <v>1</v>
      </c>
      <c r="AI107" s="6866" t="s">
        <v>8393</v>
      </c>
      <c r="AJ107" s="6871"/>
      <c r="AK107" s="6253">
        <f>IF(AM137=0,0,(AM107/AM137)*AL106*1000)</f>
        <v>666.66666666666663</v>
      </c>
      <c r="AL107" s="6254">
        <f>IF(AM137=0, 0, (AC107*AH107)/(AM137*AL106))</f>
        <v>0</v>
      </c>
      <c r="AM107" s="5882">
        <f>IFERROR(_xlfn.LET(_xlpm.v,IFERROR(_xlfn.XLOOKUP(AG107,AC138:AP138,AC139:AP139),_xlfn.XLOOKUP(AG107,AC140:AP140,AC141:AP141)),_xlpm.v*AF107*IF(ISBLANK(AC107),1,AC107)),0)</f>
        <v>0.4</v>
      </c>
      <c r="AN107" s="5251">
        <f>IF(OR(ISBLANK(AO102),AO102=0),0,AC107*AO100*AH107/AO102)</f>
        <v>0</v>
      </c>
      <c r="AO107" s="6051">
        <f>IF(OR(ISBLANK(AO102),AO102=0),0,AM107*AH107*AO100/AO102)</f>
        <v>20</v>
      </c>
      <c r="AP107" s="6459" t="str">
        <f>_xlfn.LET(_xlpm.unite,SUBSTITUTE(TRIM(AG107)," (s)",""),_xlpm.val,AO107,_xlpm.estVol,COUNTIF(AI138:AP138,_xlpm.unite)+COUNTIF(AI140:AP140,_xlpm.unite)&gt;0,_xlpm.estPoids,COUNTIF(AC138:AH138,_xlpm.unite)+COUNTIF(AC140:AH140,_xlpm.unite)&gt;0,IF(_xlpm.estVol,IF(ROUND(_xlpm.val,3)&gt;=1,ROUND(_xlpm.val,3)&amp;"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20 Kg</v>
      </c>
      <c r="AR107" s="6872" t="s">
        <v>11044</v>
      </c>
      <c r="AT107" s="1018" t="s">
        <v>21</v>
      </c>
      <c r="AU107" s="41" t="str">
        <f>AU103</f>
        <v>N NOMBRE DE SU RECETA | pegue esto — FAMILIA| Autor &gt; USTED</v>
      </c>
      <c r="AV107" s="40">
        <f>AV103</f>
        <v>0.6</v>
      </c>
      <c r="AW107" s="41" t="str">
        <f>AW103</f>
        <v>kg</v>
      </c>
      <c r="AX107" s="5386" t="str">
        <f>AX103</f>
        <v>Receta madre ► Ballotina de pintada</v>
      </c>
      <c r="AY107" s="213"/>
      <c r="AZ107" s="256"/>
      <c r="BA107" s="211" t="str">
        <f t="shared" ref="BA107:BA136" si="30">IF(OR(ISTEXT(AY107), AY107&lt;=0, BB107&lt;=0), "", "de")</f>
        <v/>
      </c>
      <c r="BB107" s="210">
        <v>400</v>
      </c>
      <c r="BC107" s="6283" t="s">
        <v>130</v>
      </c>
      <c r="BD107" s="5448">
        <v>1</v>
      </c>
      <c r="BE107" s="6866" t="s">
        <v>8428</v>
      </c>
      <c r="BF107" s="6871"/>
      <c r="BG107" s="6253">
        <f>IF(BI137=0,0,(BI107/BI137)*BH106*1000)</f>
        <v>666.66666666666663</v>
      </c>
      <c r="BH107" s="6254">
        <f>IF(BI137=0, 0, (AY107*BD107)/(BI137*BH106))</f>
        <v>0</v>
      </c>
      <c r="BI107" s="5882">
        <f>IFERROR(_xlfn.LET(_xlpm.v,IFERROR(_xlfn.XLOOKUP(BC107,AY138:BL138,AY139:BL139),_xlfn.XLOOKUP(BC107,AY140:BL140,AY141:BL141)),_xlpm.v*BB107*IF(ISBLANK(AY107),1,AY107)),0)</f>
        <v>0.4</v>
      </c>
      <c r="BJ107" s="5251">
        <f>IF(OR(ISBLANK(BK102),BK102=0),0,AY107*BK100*BD107/BK102)</f>
        <v>0</v>
      </c>
      <c r="BK107" s="6051">
        <f>IF(OR(ISBLANK(BK102),BK102=0),0,BI107*BD107*BK100/BK102)</f>
        <v>20</v>
      </c>
      <c r="BL107" s="6459" t="str">
        <f>_xlfn.LET(_xlpm.unite,SUBSTITUTE(TRIM(BC107)," (s)",""),_xlpm.val,BK107,_xlpm.estVol,COUNTIF(BE138:BL138,_xlpm.unite)+COUNTIF(BE140:BL140,_xlpm.unite)&gt;0,_xlpm.estPoids,COUNTIF(AY138:BD138,_xlpm.unite)+COUNTIF(AY140:BD140,_xlpm.unite)&gt;0,IF(_xlpm.estVol,IF(ROUND(_xlpm.val,3)&gt;=1,ROUND(_xlpm.val,3)&amp;"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20 Kg</v>
      </c>
      <c r="BN107" s="6872" t="s">
        <v>11044</v>
      </c>
      <c r="BP107" s="6404"/>
      <c r="BQ107" s="6388" t="s">
        <v>159</v>
      </c>
      <c r="BR107" s="6389" t="s">
        <v>164</v>
      </c>
      <c r="BS107" s="6390" t="s">
        <v>981</v>
      </c>
      <c r="BT107" s="1173" t="s">
        <v>982</v>
      </c>
      <c r="BU107" s="5783"/>
      <c r="BV107" s="6403"/>
      <c r="BX107" s="6404"/>
      <c r="BY107" s="6388" t="s">
        <v>159</v>
      </c>
      <c r="BZ107" s="6389" t="s">
        <v>164</v>
      </c>
      <c r="CA107" s="6390" t="s">
        <v>981</v>
      </c>
      <c r="CB107" s="1173" t="s">
        <v>982</v>
      </c>
      <c r="CC107" s="5783"/>
      <c r="CD107" s="6403"/>
      <c r="CF107" s="6404"/>
      <c r="CG107" s="6388" t="s">
        <v>9616</v>
      </c>
      <c r="CH107" s="6389" t="s">
        <v>164</v>
      </c>
      <c r="CI107" s="6390" t="s">
        <v>981</v>
      </c>
      <c r="CJ107" s="1173" t="s">
        <v>982</v>
      </c>
      <c r="CK107" s="5783"/>
      <c r="CL107" s="6403"/>
      <c r="CN107" s="5">
        <v>1</v>
      </c>
    </row>
    <row r="108" spans="2:92" ht="21" customHeight="1">
      <c r="B108" s="1021" t="str">
        <f t="shared" ref="B108:B136" si="31">IF(M108&lt;&gt;"","A","►")</f>
        <v>A</v>
      </c>
      <c r="C108" s="41" t="str">
        <f>C103</f>
        <v>N NOM DE VOTRE RECETTE | pâtisserie--ENTREMET| Auteur &gt; VOUS</v>
      </c>
      <c r="D108" s="40">
        <f>D103</f>
        <v>1</v>
      </c>
      <c r="E108" s="41" t="str">
        <f>E103</f>
        <v>coupe</v>
      </c>
      <c r="F108" s="5386" t="str">
        <f>F103</f>
        <v>Recette mère ► MILLE-FEUILLE meringue et chiboust pamplemousse aux fraises des bois</v>
      </c>
      <c r="G108" s="213"/>
      <c r="H108" s="212"/>
      <c r="I108" s="211" t="str">
        <f t="shared" si="28"/>
        <v/>
      </c>
      <c r="J108" s="210">
        <v>1</v>
      </c>
      <c r="K108" s="6285" t="s">
        <v>166</v>
      </c>
      <c r="L108" s="5448">
        <v>1</v>
      </c>
      <c r="M108" s="6866" t="s">
        <v>858</v>
      </c>
      <c r="N108" s="6871"/>
      <c r="O108" s="6253">
        <f>IF(Q137=0,0,(Q108/Q137)*P106*1000)</f>
        <v>9.9009900990099009</v>
      </c>
      <c r="P108" s="6701">
        <f>IF(Q137=0, 0, (G108*L108)/(Q137*P106))</f>
        <v>0</v>
      </c>
      <c r="Q108" s="5882">
        <f>IFERROR(_xlfn.LET(_xlpm.v,IFERROR(_xlfn.XLOOKUP(K108,G138:T138,G139:T139),_xlfn.XLOOKUP(K108,G140:T140,G141:T141)),_xlpm.v*J108*IF(ISBLANK(G108),1,G108)),0)</f>
        <v>1E-3</v>
      </c>
      <c r="R108" s="5254">
        <f>IF(OR(ISBLANK(S102),S102=0),0,G108*S100*L108/S102)</f>
        <v>0</v>
      </c>
      <c r="S108" s="6051">
        <f>IF(OR(ISBLANK(S102),S102=0),0,Q108*L108*S100/S102)</f>
        <v>3.3333333333333335E-3</v>
      </c>
      <c r="T108" s="6199" t="str">
        <f>_xlfn.LET(_xlpm.unite,SUBSTITUTE(TRIM(K108)," (s)",""),_xlpm.val,S108,_xlpm.estVol,COUNTIF(M138:T138,_xlpm.unite)+COUNTIF(M140:T140,_xlpm.unite)&gt;0,_xlpm.estPoids,COUNTIF(G138:L138,_xlpm.unite)+COUNTIF(G140:L140,_xlpm.unite)&gt;0,IF(_xlpm.estVol,IF(ROUND(_xlpm.val,3)&gt;=1,ROUND(_xlpm.val,3)&amp;"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1 cl</v>
      </c>
      <c r="V108" s="6872" t="s">
        <v>11045</v>
      </c>
      <c r="X108" s="1021" t="str">
        <f t="shared" ref="X108:X136" si="32">IF(AI108&lt;&gt;"","A","►")</f>
        <v>A</v>
      </c>
      <c r="Y108" s="41" t="str">
        <f>Y103</f>
        <v>N NAME OF YOUR RECIPE | paste it — FAMILY|  Author &gt; YOU</v>
      </c>
      <c r="Z108" s="40">
        <f>Z103</f>
        <v>0.6</v>
      </c>
      <c r="AA108" s="41" t="str">
        <f>AA103</f>
        <v>kg</v>
      </c>
      <c r="AB108" s="5386" t="str">
        <f>AB103</f>
        <v>Master recipe ► Guinea fowl ballotine</v>
      </c>
      <c r="AC108" s="213"/>
      <c r="AD108" s="256"/>
      <c r="AE108" s="211" t="str">
        <f t="shared" si="29"/>
        <v/>
      </c>
      <c r="AF108" s="210">
        <v>200</v>
      </c>
      <c r="AG108" s="6283" t="s">
        <v>130</v>
      </c>
      <c r="AH108" s="5448">
        <v>1</v>
      </c>
      <c r="AI108" s="6866" t="s">
        <v>8394</v>
      </c>
      <c r="AJ108" s="6871"/>
      <c r="AK108" s="6253">
        <f>IF(AM137=0,0,(AM108/AM137)*AL106*1000)</f>
        <v>333.33333333333331</v>
      </c>
      <c r="AL108" s="6701">
        <f>IF(AM137=0, 0, (AC108*AH108)/(AM137*AL106))</f>
        <v>0</v>
      </c>
      <c r="AM108" s="5882">
        <f>IFERROR(_xlfn.LET(_xlpm.v,IFERROR(_xlfn.XLOOKUP(AG108,AC138:AP138,AC139:AP139),_xlfn.XLOOKUP(AG108,AC140:AP140,AC141:AP141)),_xlpm.v*AF108*IF(ISBLANK(AC108),1,AC108)),0)</f>
        <v>0.2</v>
      </c>
      <c r="AN108" s="5254">
        <f>IF(OR(ISBLANK(AO102),AO102=0),0,AC108*AO100*AH108/AO102)</f>
        <v>0</v>
      </c>
      <c r="AO108" s="6051">
        <f>IF(OR(ISBLANK(AO102),AO102=0),0,AM108*AH108*AO100/AO102)</f>
        <v>10</v>
      </c>
      <c r="AP108" s="6199" t="str">
        <f>_xlfn.LET(_xlpm.unite,SUBSTITUTE(TRIM(AG108)," (s)",""),_xlpm.val,AO108,_xlpm.estVol,COUNTIF(AI138:AP138,_xlpm.unite)+COUNTIF(AI140:AP140,_xlpm.unite)&gt;0,_xlpm.estPoids,COUNTIF(AC138:AH138,_xlpm.unite)+COUNTIF(AC140:AH140,_xlpm.unite)&gt;0,IF(_xlpm.estVol,IF(ROUND(_xlpm.val,3)&gt;=1,ROUND(_xlpm.val,3)&amp;"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10 Kg</v>
      </c>
      <c r="AR108" s="6872" t="s">
        <v>11045</v>
      </c>
      <c r="AT108" s="1021" t="str">
        <f t="shared" ref="AT108:AT136" si="33">IF(BE108&lt;&gt;"","A","►")</f>
        <v>A</v>
      </c>
      <c r="AU108" s="41" t="str">
        <f>AU103</f>
        <v>N NOMBRE DE SU RECETA | pegue esto — FAMILIA| Autor &gt; USTED</v>
      </c>
      <c r="AV108" s="40">
        <f>AV103</f>
        <v>0.6</v>
      </c>
      <c r="AW108" s="41" t="str">
        <f>AW103</f>
        <v>kg</v>
      </c>
      <c r="AX108" s="5386" t="str">
        <f>AX103</f>
        <v>Receta madre ► Ballotina de pintada</v>
      </c>
      <c r="AY108" s="213"/>
      <c r="AZ108" s="256"/>
      <c r="BA108" s="211" t="str">
        <f t="shared" si="30"/>
        <v/>
      </c>
      <c r="BB108" s="210">
        <v>200</v>
      </c>
      <c r="BC108" s="6283" t="s">
        <v>130</v>
      </c>
      <c r="BD108" s="5448">
        <v>1</v>
      </c>
      <c r="BE108" s="6866" t="s">
        <v>8429</v>
      </c>
      <c r="BF108" s="6871"/>
      <c r="BG108" s="6253">
        <f>IF(BI137=0,0,(BI108/BI137)*BH106*1000)</f>
        <v>333.33333333333331</v>
      </c>
      <c r="BH108" s="6701">
        <f>IF(BI137=0, 0, (AY108*BD108)/(BI137*BH106))</f>
        <v>0</v>
      </c>
      <c r="BI108" s="5882">
        <f>IFERROR(_xlfn.LET(_xlpm.v,IFERROR(_xlfn.XLOOKUP(BC108,AY138:BL138,AY139:BL139),_xlfn.XLOOKUP(BC108,AY140:BL140,AY141:BL141)),_xlpm.v*BB108*IF(ISBLANK(AY108),1,AY108)),0)</f>
        <v>0.2</v>
      </c>
      <c r="BJ108" s="5254">
        <f>IF(OR(ISBLANK(BK102),BK102=0),0,AY108*BK100*BD108/BK102)</f>
        <v>0</v>
      </c>
      <c r="BK108" s="6051">
        <f>IF(OR(ISBLANK(BK102),BK102=0),0,BI108*BD108*BK100/BK102)</f>
        <v>10</v>
      </c>
      <c r="BL108" s="6199" t="str">
        <f>_xlfn.LET(_xlpm.unite,SUBSTITUTE(TRIM(BC108)," (s)",""),_xlpm.val,BK108,_xlpm.estVol,COUNTIF(BE138:BL138,_xlpm.unite)+COUNTIF(BE140:BL140,_xlpm.unite)&gt;0,_xlpm.estPoids,COUNTIF(AY138:BD138,_xlpm.unite)+COUNTIF(AY140:BD140,_xlpm.unite)&gt;0,IF(_xlpm.estVol,IF(ROUND(_xlpm.val,3)&gt;=1,ROUND(_xlpm.val,3)&amp;"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10 Kg</v>
      </c>
      <c r="BN108" s="6872" t="s">
        <v>11045</v>
      </c>
      <c r="BP108" s="6404"/>
      <c r="BQ108" s="6391">
        <v>0.25</v>
      </c>
      <c r="BR108" s="1155">
        <v>0.5</v>
      </c>
      <c r="BS108" s="1176" t="s">
        <v>995</v>
      </c>
      <c r="BT108" s="1177"/>
      <c r="BU108" s="5783"/>
      <c r="BV108" s="6403"/>
      <c r="BX108" s="6404"/>
      <c r="BY108" s="6391">
        <v>0.25</v>
      </c>
      <c r="BZ108" s="1155">
        <v>0.5</v>
      </c>
      <c r="CA108" s="1176" t="s">
        <v>995</v>
      </c>
      <c r="CB108" s="1177"/>
      <c r="CC108" s="5783"/>
      <c r="CD108" s="6403"/>
      <c r="CF108" s="6404"/>
      <c r="CG108" s="6391">
        <v>0.25</v>
      </c>
      <c r="CH108" s="1155">
        <v>0.5</v>
      </c>
      <c r="CI108" s="1176" t="s">
        <v>995</v>
      </c>
      <c r="CJ108" s="1177"/>
      <c r="CK108" s="5783"/>
      <c r="CL108" s="6403"/>
      <c r="CN108" s="5">
        <v>1</v>
      </c>
    </row>
    <row r="109" spans="2:92" ht="21" customHeight="1">
      <c r="B109" s="1021" t="str">
        <f t="shared" si="31"/>
        <v>►</v>
      </c>
      <c r="C109" s="41" t="str">
        <f>C103</f>
        <v>N NOM DE VOTRE RECETTE | pâtisserie--ENTREMET| Auteur &gt; VOUS</v>
      </c>
      <c r="D109" s="40">
        <f>D103</f>
        <v>1</v>
      </c>
      <c r="E109" s="41" t="str">
        <f>E103</f>
        <v>coupe</v>
      </c>
      <c r="F109" s="5386" t="str">
        <f>F103</f>
        <v>Recette mère ► MILLE-FEUILLE meringue et chiboust pamplemousse aux fraises des bois</v>
      </c>
      <c r="G109" s="213"/>
      <c r="H109" s="212"/>
      <c r="I109" s="211" t="str">
        <f t="shared" si="28"/>
        <v/>
      </c>
      <c r="J109" s="210"/>
      <c r="K109" s="6366"/>
      <c r="L109" s="5448">
        <v>1</v>
      </c>
      <c r="M109" s="6866"/>
      <c r="N109" s="6871"/>
      <c r="O109" s="6253">
        <f>IF(Q137=0,0,(Q109/Q137)*P106*1000)</f>
        <v>0</v>
      </c>
      <c r="P109" s="6701">
        <f>IF(Q137=0, 0, (G109*L109)/(Q137*P106))</f>
        <v>0</v>
      </c>
      <c r="Q109" s="5882">
        <f>IFERROR(_xlfn.LET(_xlpm.v,IFERROR(_xlfn.XLOOKUP(K109,G138:T138,G139:T139),_xlfn.XLOOKUP(K109,G140:T140,G141:T141)),_xlpm.v*J109*IF(ISBLANK(G109),1,G109)),0)</f>
        <v>0</v>
      </c>
      <c r="R109" s="5256">
        <f>IF(OR(ISBLANK(S102),S102=0),0,G109*S100*L109/S102)</f>
        <v>0</v>
      </c>
      <c r="S109" s="6051">
        <f>IF(OR(ISBLANK(S102),S102=0),0,Q109*L109*S100/S102)</f>
        <v>0</v>
      </c>
      <c r="T109" s="6198" t="str">
        <f>_xlfn.LET(_xlpm.unite,SUBSTITUTE(TRIM(K109)," (s)",""),_xlpm.val,S109,_xlpm.estVol,COUNTIF(M138:T138,_xlpm.unite)+COUNTIF(M140:T140,_xlpm.unite)&gt;0,_xlpm.estPoids,COUNTIF(G138:L138,_xlpm.unite)+COUNTIF(G140:L140,_xlpm.unite)&gt;0,IF(_xlpm.estVol,IF(ROUND(_xlpm.val,3)&gt;=1,ROUND(_xlpm.val,3)&amp;"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09" s="6872" t="s">
        <v>11046</v>
      </c>
      <c r="X109" s="1021" t="str">
        <f t="shared" si="32"/>
        <v>►</v>
      </c>
      <c r="Y109" s="41" t="str">
        <f>Y103</f>
        <v>N NAME OF YOUR RECIPE | paste it — FAMILY|  Author &gt; YOU</v>
      </c>
      <c r="Z109" s="40">
        <f>Z103</f>
        <v>0.6</v>
      </c>
      <c r="AA109" s="41" t="str">
        <f>AA103</f>
        <v>kg</v>
      </c>
      <c r="AB109" s="5386" t="str">
        <f>AB103</f>
        <v>Master recipe ► Guinea fowl ballotine</v>
      </c>
      <c r="AC109" s="213"/>
      <c r="AD109" s="212"/>
      <c r="AE109" s="211" t="str">
        <f t="shared" si="29"/>
        <v/>
      </c>
      <c r="AF109" s="210"/>
      <c r="AG109" s="6366"/>
      <c r="AH109" s="5448">
        <v>1</v>
      </c>
      <c r="AI109" s="6866"/>
      <c r="AJ109" s="6871"/>
      <c r="AK109" s="6253">
        <f>IF(AM137=0,0,(AM109/AM137)*AL106*1000)</f>
        <v>0</v>
      </c>
      <c r="AL109" s="6701">
        <f>IF(AM137=0, 0, (AC109*AH109)/(AM137*AL106))</f>
        <v>0</v>
      </c>
      <c r="AM109" s="5882">
        <f>IFERROR(_xlfn.LET(_xlpm.v,IFERROR(_xlfn.XLOOKUP(AG109,AC138:AP138,AC139:AP139),_xlfn.XLOOKUP(AG109,AC140:AP140,AC141:AP141)),_xlpm.v*AF109*IF(ISBLANK(AC109),1,AC109)),0)</f>
        <v>0</v>
      </c>
      <c r="AN109" s="5256">
        <f>IF(OR(ISBLANK(AO102),AO102=0),0,AC109*AO100*AH109/AO102)</f>
        <v>0</v>
      </c>
      <c r="AO109" s="6051">
        <f>IF(OR(ISBLANK(AO102),AO102=0),0,AM109*AH109*AO100/AO102)</f>
        <v>0</v>
      </c>
      <c r="AP109" s="6198" t="str">
        <f>_xlfn.LET(_xlpm.unite,SUBSTITUTE(TRIM(AG109)," (s)",""),_xlpm.val,AO109,_xlpm.estVol,COUNTIF(AI138:AP138,_xlpm.unite)+COUNTIF(AI140:AP140,_xlpm.unite)&gt;0,_xlpm.estPoids,COUNTIF(AC138:AH138,_xlpm.unite)+COUNTIF(AC140:AH140,_xlpm.unite)&gt;0,IF(_xlpm.estVol,IF(ROUND(_xlpm.val,3)&gt;=1,ROUND(_xlpm.val,3)&amp;"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09" s="6872" t="s">
        <v>11046</v>
      </c>
      <c r="AT109" s="1021" t="str">
        <f t="shared" si="33"/>
        <v>►</v>
      </c>
      <c r="AU109" s="41" t="str">
        <f>AU103</f>
        <v>N NOMBRE DE SU RECETA | pegue esto — FAMILIA| Autor &gt; USTED</v>
      </c>
      <c r="AV109" s="40">
        <f>AV103</f>
        <v>0.6</v>
      </c>
      <c r="AW109" s="41" t="str">
        <f>AW103</f>
        <v>kg</v>
      </c>
      <c r="AX109" s="5386" t="str">
        <f>AX103</f>
        <v>Receta madre ► Ballotina de pintada</v>
      </c>
      <c r="AY109" s="213"/>
      <c r="AZ109" s="212"/>
      <c r="BA109" s="211" t="str">
        <f t="shared" si="30"/>
        <v/>
      </c>
      <c r="BB109" s="210"/>
      <c r="BC109" s="6366"/>
      <c r="BD109" s="5448">
        <v>1</v>
      </c>
      <c r="BE109" s="6866"/>
      <c r="BF109" s="6871"/>
      <c r="BG109" s="6253">
        <f>IF(BI137=0,0,(BI109/BI137)*BH106*1000)</f>
        <v>0</v>
      </c>
      <c r="BH109" s="6701">
        <f>IF(BI137=0, 0, (AY109*BD109)/(BI137*BH106))</f>
        <v>0</v>
      </c>
      <c r="BI109" s="5882">
        <f>IFERROR(_xlfn.LET(_xlpm.v,IFERROR(_xlfn.XLOOKUP(BC109,AY138:BL138,AY139:BL139),_xlfn.XLOOKUP(BC109,AY140:BL140,AY141:BL141)),_xlpm.v*BB109*IF(ISBLANK(AY109),1,AY109)),0)</f>
        <v>0</v>
      </c>
      <c r="BJ109" s="5256">
        <f>IF(OR(ISBLANK(BK102),BK102=0),0,AY109*BK100*BD109/BK102)</f>
        <v>0</v>
      </c>
      <c r="BK109" s="6051">
        <f>IF(OR(ISBLANK(BK102),BK102=0),0,BI109*BD109*BK100/BK102)</f>
        <v>0</v>
      </c>
      <c r="BL109" s="6198" t="str">
        <f>_xlfn.LET(_xlpm.unite,SUBSTITUTE(TRIM(BC109)," (s)",""),_xlpm.val,BK109,_xlpm.estVol,COUNTIF(BE138:BL138,_xlpm.unite)+COUNTIF(BE140:BL140,_xlpm.unite)&gt;0,_xlpm.estPoids,COUNTIF(AY138:BD138,_xlpm.unite)+COUNTIF(AY140:BD140,_xlpm.unite)&gt;0,IF(_xlpm.estVol,IF(ROUND(_xlpm.val,3)&gt;=1,ROUND(_xlpm.val,3)&amp;"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09" s="6872" t="s">
        <v>11046</v>
      </c>
      <c r="BP109" s="6404"/>
      <c r="BQ109" s="6392" t="s">
        <v>942</v>
      </c>
      <c r="BR109" s="6393" t="s">
        <v>965</v>
      </c>
      <c r="BS109" s="6390" t="s">
        <v>985</v>
      </c>
      <c r="BT109" s="6394" t="s">
        <v>986</v>
      </c>
      <c r="BU109" s="5783"/>
      <c r="BV109" s="6403"/>
      <c r="BX109" s="6404"/>
      <c r="BY109" s="6392" t="s">
        <v>942</v>
      </c>
      <c r="BZ109" s="6393" t="s">
        <v>965</v>
      </c>
      <c r="CA109" s="6390" t="s">
        <v>985</v>
      </c>
      <c r="CB109" s="6394" t="s">
        <v>986</v>
      </c>
      <c r="CC109" s="5783"/>
      <c r="CD109" s="6403"/>
      <c r="CF109" s="6404"/>
      <c r="CG109" s="6392" t="s">
        <v>942</v>
      </c>
      <c r="CH109" s="6393" t="s">
        <v>965</v>
      </c>
      <c r="CI109" s="6390" t="s">
        <v>985</v>
      </c>
      <c r="CJ109" s="6394" t="s">
        <v>986</v>
      </c>
      <c r="CK109" s="5783"/>
      <c r="CL109" s="6403"/>
      <c r="CN109" s="5">
        <v>1</v>
      </c>
    </row>
    <row r="110" spans="2:92" ht="21" customHeight="1">
      <c r="B110" s="1021" t="str">
        <f t="shared" si="31"/>
        <v>►</v>
      </c>
      <c r="C110" s="41" t="str">
        <f>C103</f>
        <v>N NOM DE VOTRE RECETTE | pâtisserie--ENTREMET| Auteur &gt; VOUS</v>
      </c>
      <c r="D110" s="40">
        <f>D103</f>
        <v>1</v>
      </c>
      <c r="E110" s="41" t="str">
        <f>E103</f>
        <v>coupe</v>
      </c>
      <c r="F110" s="5386" t="str">
        <f>F103</f>
        <v>Recette mère ► MILLE-FEUILLE meringue et chiboust pamplemousse aux fraises des bois</v>
      </c>
      <c r="G110" s="213"/>
      <c r="H110" s="212"/>
      <c r="I110" s="211" t="str">
        <f t="shared" si="28"/>
        <v/>
      </c>
      <c r="J110" s="210"/>
      <c r="K110" s="6366"/>
      <c r="L110" s="5448">
        <v>1</v>
      </c>
      <c r="M110" s="6866"/>
      <c r="N110" s="6871"/>
      <c r="O110" s="6253">
        <f>IF(Q137=0,0,(Q110/Q137)*P106*1000)</f>
        <v>0</v>
      </c>
      <c r="P110" s="6701">
        <f>IF(Q137=0, 0, (G110*L110)/(Q137*P106))</f>
        <v>0</v>
      </c>
      <c r="Q110" s="5882">
        <f>IFERROR(_xlfn.LET(_xlpm.v,IFERROR(_xlfn.XLOOKUP(K110,G138:T138,G139:T139),_xlfn.XLOOKUP(K110,G140:T140,G141:T141)),_xlpm.v*J110*IF(ISBLANK(G110),1,G110)),0)</f>
        <v>0</v>
      </c>
      <c r="R110" s="5254">
        <f>IF(OR(ISBLANK(S102),S102=0),0,G110*S100*L110/S102)</f>
        <v>0</v>
      </c>
      <c r="S110" s="6051">
        <f>IF(OR(ISBLANK(S102),S102=0),0,Q110*L110*S100/S102)</f>
        <v>0</v>
      </c>
      <c r="T110" s="6199" t="str">
        <f>_xlfn.LET(_xlpm.unite,SUBSTITUTE(TRIM(K110)," (s)",""),_xlpm.val,S110,_xlpm.estVol,COUNTIF(M138:T138,_xlpm.unite)+COUNTIF(M140:T140,_xlpm.unite)&gt;0,_xlpm.estPoids,COUNTIF(G138:L138,_xlpm.unite)+COUNTIF(G140:L140,_xlpm.unite)&gt;0,IF(_xlpm.estVol,IF(ROUND(_xlpm.val,3)&gt;=1,ROUND(_xlpm.val,3)&amp;"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0" s="6872" t="s">
        <v>11047</v>
      </c>
      <c r="X110" s="1021" t="str">
        <f t="shared" si="32"/>
        <v>►</v>
      </c>
      <c r="Y110" s="41" t="str">
        <f>Y103</f>
        <v>N NAME OF YOUR RECIPE | paste it — FAMILY|  Author &gt; YOU</v>
      </c>
      <c r="Z110" s="40">
        <f>Z103</f>
        <v>0.6</v>
      </c>
      <c r="AA110" s="41" t="str">
        <f>AA103</f>
        <v>kg</v>
      </c>
      <c r="AB110" s="5386" t="str">
        <f>AB103</f>
        <v>Master recipe ► Guinea fowl ballotine</v>
      </c>
      <c r="AC110" s="213"/>
      <c r="AD110" s="212"/>
      <c r="AE110" s="211" t="str">
        <f t="shared" si="29"/>
        <v/>
      </c>
      <c r="AF110" s="210"/>
      <c r="AG110" s="6366"/>
      <c r="AH110" s="5448">
        <v>1</v>
      </c>
      <c r="AI110" s="6866"/>
      <c r="AJ110" s="6871"/>
      <c r="AK110" s="6253">
        <f>IF(AM137=0,0,(AM110/AM137)*AL106*1000)</f>
        <v>0</v>
      </c>
      <c r="AL110" s="6701">
        <f>IF(AM137=0, 0, (AC110*AH110)/(AM137*AL106))</f>
        <v>0</v>
      </c>
      <c r="AM110" s="5882">
        <f>IFERROR(_xlfn.LET(_xlpm.v,IFERROR(_xlfn.XLOOKUP(AG110,AC138:AP138,AC139:AP139),_xlfn.XLOOKUP(AG110,AC140:AP140,AC141:AP141)),_xlpm.v*AF110*IF(ISBLANK(AC110),1,AC110)),0)</f>
        <v>0</v>
      </c>
      <c r="AN110" s="5254">
        <f>IF(OR(ISBLANK(AO102),AO102=0),0,AC110*AO100*AH110/AO102)</f>
        <v>0</v>
      </c>
      <c r="AO110" s="6051">
        <f>IF(OR(ISBLANK(AO102),AO102=0),0,AM110*AH110*AO100/AO102)</f>
        <v>0</v>
      </c>
      <c r="AP110" s="6199" t="str">
        <f>_xlfn.LET(_xlpm.unite,SUBSTITUTE(TRIM(AG110)," (s)",""),_xlpm.val,AO110,_xlpm.estVol,COUNTIF(AI138:AP138,_xlpm.unite)+COUNTIF(AI140:AP140,_xlpm.unite)&gt;0,_xlpm.estPoids,COUNTIF(AC138:AH138,_xlpm.unite)+COUNTIF(AC140:AH140,_xlpm.unite)&gt;0,IF(_xlpm.estVol,IF(ROUND(_xlpm.val,3)&gt;=1,ROUND(_xlpm.val,3)&amp;"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0" s="6872" t="s">
        <v>11047</v>
      </c>
      <c r="AT110" s="1021" t="str">
        <f t="shared" si="33"/>
        <v>►</v>
      </c>
      <c r="AU110" s="41" t="str">
        <f>AU103</f>
        <v>N NOMBRE DE SU RECETA | pegue esto — FAMILIA| Autor &gt; USTED</v>
      </c>
      <c r="AV110" s="40">
        <f>AV103</f>
        <v>0.6</v>
      </c>
      <c r="AW110" s="41" t="str">
        <f>AW103</f>
        <v>kg</v>
      </c>
      <c r="AX110" s="5386" t="str">
        <f>AX103</f>
        <v>Receta madre ► Ballotina de pintada</v>
      </c>
      <c r="AY110" s="213"/>
      <c r="AZ110" s="212"/>
      <c r="BA110" s="211" t="str">
        <f t="shared" si="30"/>
        <v/>
      </c>
      <c r="BB110" s="210"/>
      <c r="BC110" s="6366"/>
      <c r="BD110" s="5448">
        <v>1</v>
      </c>
      <c r="BE110" s="6866"/>
      <c r="BF110" s="6871"/>
      <c r="BG110" s="6253">
        <f>IF(BI137=0,0,(BI110/BI137)*BH106*1000)</f>
        <v>0</v>
      </c>
      <c r="BH110" s="6701">
        <f>IF(BI137=0, 0, (AY110*BD110)/(BI137*BH106))</f>
        <v>0</v>
      </c>
      <c r="BI110" s="5882">
        <f>IFERROR(_xlfn.LET(_xlpm.v,IFERROR(_xlfn.XLOOKUP(BC110,AY138:BL138,AY139:BL139),_xlfn.XLOOKUP(BC110,AY140:BL140,AY141:BL141)),_xlpm.v*BB110*IF(ISBLANK(AY110),1,AY110)),0)</f>
        <v>0</v>
      </c>
      <c r="BJ110" s="5254">
        <f>IF(OR(ISBLANK(BK102),BK102=0),0,AY110*BK100*BD110/BK102)</f>
        <v>0</v>
      </c>
      <c r="BK110" s="6051">
        <f>IF(OR(ISBLANK(BK102),BK102=0),0,BI110*BD110*BK100/BK102)</f>
        <v>0</v>
      </c>
      <c r="BL110" s="6199" t="str">
        <f>_xlfn.LET(_xlpm.unite,SUBSTITUTE(TRIM(BC110)," (s)",""),_xlpm.val,BK110,_xlpm.estVol,COUNTIF(BE138:BL138,_xlpm.unite)+COUNTIF(BE140:BL140,_xlpm.unite)&gt;0,_xlpm.estPoids,COUNTIF(AY138:BD138,_xlpm.unite)+COUNTIF(AY140:BD140,_xlpm.unite)&gt;0,IF(_xlpm.estVol,IF(ROUND(_xlpm.val,3)&gt;=1,ROUND(_xlpm.val,3)&amp;"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0" s="6872" t="s">
        <v>11047</v>
      </c>
      <c r="BP110" s="6404"/>
      <c r="BQ110" s="6391">
        <v>0.25</v>
      </c>
      <c r="BR110" s="1155">
        <v>0.5</v>
      </c>
      <c r="BS110" s="1176" t="s">
        <v>996</v>
      </c>
      <c r="BT110" s="1177"/>
      <c r="BU110" s="5783"/>
      <c r="BV110" s="6403"/>
      <c r="BX110" s="6404"/>
      <c r="BY110" s="6391">
        <v>0.25</v>
      </c>
      <c r="BZ110" s="1155">
        <v>0.5</v>
      </c>
      <c r="CA110" s="1176" t="s">
        <v>996</v>
      </c>
      <c r="CB110" s="1177"/>
      <c r="CC110" s="5783"/>
      <c r="CD110" s="6403"/>
      <c r="CF110" s="6404"/>
      <c r="CG110" s="6391">
        <v>0.25</v>
      </c>
      <c r="CH110" s="1155">
        <v>0.5</v>
      </c>
      <c r="CI110" s="1176" t="s">
        <v>996</v>
      </c>
      <c r="CJ110" s="1177"/>
      <c r="CK110" s="5783"/>
      <c r="CL110" s="6403"/>
      <c r="CN110" s="5">
        <v>1</v>
      </c>
    </row>
    <row r="111" spans="2:92" ht="21" customHeight="1">
      <c r="B111" s="1021" t="str">
        <f t="shared" si="31"/>
        <v>►</v>
      </c>
      <c r="C111" s="41" t="str">
        <f>C103</f>
        <v>N NOM DE VOTRE RECETTE | pâtisserie--ENTREMET| Auteur &gt; VOUS</v>
      </c>
      <c r="D111" s="40">
        <f>D103</f>
        <v>1</v>
      </c>
      <c r="E111" s="41" t="str">
        <f>E103</f>
        <v>coupe</v>
      </c>
      <c r="F111" s="5386" t="str">
        <f>F103</f>
        <v>Recette mère ► MILLE-FEUILLE meringue et chiboust pamplemousse aux fraises des bois</v>
      </c>
      <c r="G111" s="213"/>
      <c r="H111" s="212"/>
      <c r="I111" s="211" t="str">
        <f t="shared" si="28"/>
        <v/>
      </c>
      <c r="J111" s="210"/>
      <c r="K111" s="6366"/>
      <c r="L111" s="5448">
        <v>1</v>
      </c>
      <c r="M111" s="6866"/>
      <c r="N111" s="6871"/>
      <c r="O111" s="6253">
        <f>IF(Q137=0,0,(Q111/Q137)*P106*1000)</f>
        <v>0</v>
      </c>
      <c r="P111" s="6701">
        <f>IF(Q137=0, 0, (G111*L111)/(Q137*P106))</f>
        <v>0</v>
      </c>
      <c r="Q111" s="5882">
        <f>IFERROR(_xlfn.LET(_xlpm.v,IFERROR(_xlfn.XLOOKUP(K111,G138:T138,G139:T139),_xlfn.XLOOKUP(K111,G140:T140,G141:T141)),_xlpm.v*J111*IF(ISBLANK(G111),1,G111)),0)</f>
        <v>0</v>
      </c>
      <c r="R111" s="5256">
        <f>IF(OR(ISBLANK(S102),S102=0),0,G111*S100*L111/S102)</f>
        <v>0</v>
      </c>
      <c r="S111" s="6051">
        <f>IF(OR(ISBLANK(S102),S102=0),0,Q111*L111*S100/S102)</f>
        <v>0</v>
      </c>
      <c r="T111" s="6198" t="str">
        <f>_xlfn.LET(_xlpm.unite,SUBSTITUTE(TRIM(K111)," (s)",""),_xlpm.val,S111,_xlpm.estVol,COUNTIF(M138:T138,_xlpm.unite)+COUNTIF(M140:T140,_xlpm.unite)&gt;0,_xlpm.estPoids,COUNTIF(G138:L138,_xlpm.unite)+COUNTIF(G140:L140,_xlpm.unite)&gt;0,IF(_xlpm.estVol,IF(ROUND(_xlpm.val,3)&gt;=1,ROUND(_xlpm.val,3)&amp;"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1" s="6872" t="s">
        <v>11048</v>
      </c>
      <c r="X111" s="1021" t="str">
        <f t="shared" si="32"/>
        <v>►</v>
      </c>
      <c r="Y111" s="41" t="str">
        <f>Y103</f>
        <v>N NAME OF YOUR RECIPE | paste it — FAMILY|  Author &gt; YOU</v>
      </c>
      <c r="Z111" s="40">
        <f>Z103</f>
        <v>0.6</v>
      </c>
      <c r="AA111" s="41" t="str">
        <f>AA103</f>
        <v>kg</v>
      </c>
      <c r="AB111" s="5386" t="str">
        <f>AB103</f>
        <v>Master recipe ► Guinea fowl ballotine</v>
      </c>
      <c r="AC111" s="213"/>
      <c r="AD111" s="212"/>
      <c r="AE111" s="211" t="str">
        <f t="shared" si="29"/>
        <v/>
      </c>
      <c r="AF111" s="210"/>
      <c r="AG111" s="6366"/>
      <c r="AH111" s="5448">
        <v>1</v>
      </c>
      <c r="AI111" s="6866"/>
      <c r="AJ111" s="6871"/>
      <c r="AK111" s="6253">
        <f>IF(AM137=0,0,(AM111/AM137)*AL106*1000)</f>
        <v>0</v>
      </c>
      <c r="AL111" s="6701">
        <f>IF(AM137=0, 0, (AC111*AH111)/(AM137*AL106))</f>
        <v>0</v>
      </c>
      <c r="AM111" s="5882">
        <f>IFERROR(_xlfn.LET(_xlpm.v,IFERROR(_xlfn.XLOOKUP(AG111,AC138:AP138,AC139:AP139),_xlfn.XLOOKUP(AG111,AC140:AP140,AC141:AP141)),_xlpm.v*AF111*IF(ISBLANK(AC111),1,AC111)),0)</f>
        <v>0</v>
      </c>
      <c r="AN111" s="5256">
        <f>IF(OR(ISBLANK(AO102),AO102=0),0,AC111*AO100*AH111/AO102)</f>
        <v>0</v>
      </c>
      <c r="AO111" s="6051">
        <f>IF(OR(ISBLANK(AO102),AO102=0),0,AM111*AH111*AO100/AO102)</f>
        <v>0</v>
      </c>
      <c r="AP111" s="6198" t="str">
        <f>_xlfn.LET(_xlpm.unite,SUBSTITUTE(TRIM(AG111)," (s)",""),_xlpm.val,AO111,_xlpm.estVol,COUNTIF(AI138:AP138,_xlpm.unite)+COUNTIF(AI140:AP140,_xlpm.unite)&gt;0,_xlpm.estPoids,COUNTIF(AC138:AH138,_xlpm.unite)+COUNTIF(AC140:AH140,_xlpm.unite)&gt;0,IF(_xlpm.estVol,IF(ROUND(_xlpm.val,3)&gt;=1,ROUND(_xlpm.val,3)&amp;"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1" s="6872" t="s">
        <v>11048</v>
      </c>
      <c r="AT111" s="1021" t="str">
        <f t="shared" si="33"/>
        <v>►</v>
      </c>
      <c r="AU111" s="41" t="str">
        <f>AU103</f>
        <v>N NOMBRE DE SU RECETA | pegue esto — FAMILIA| Autor &gt; USTED</v>
      </c>
      <c r="AV111" s="40">
        <f>AV103</f>
        <v>0.6</v>
      </c>
      <c r="AW111" s="41" t="str">
        <f>AW103</f>
        <v>kg</v>
      </c>
      <c r="AX111" s="5386" t="str">
        <f>AX103</f>
        <v>Receta madre ► Ballotina de pintada</v>
      </c>
      <c r="AY111" s="213"/>
      <c r="AZ111" s="212"/>
      <c r="BA111" s="211" t="str">
        <f t="shared" si="30"/>
        <v/>
      </c>
      <c r="BB111" s="210"/>
      <c r="BC111" s="6366"/>
      <c r="BD111" s="5448">
        <v>1</v>
      </c>
      <c r="BE111" s="6866"/>
      <c r="BF111" s="6871"/>
      <c r="BG111" s="6253">
        <f>IF(BI137=0,0,(BI111/BI137)*BH106*1000)</f>
        <v>0</v>
      </c>
      <c r="BH111" s="6701">
        <f>IF(BI137=0, 0, (AY111*BD111)/(BI137*BH106))</f>
        <v>0</v>
      </c>
      <c r="BI111" s="5882">
        <f>IFERROR(_xlfn.LET(_xlpm.v,IFERROR(_xlfn.XLOOKUP(BC111,AY138:BL138,AY139:BL139),_xlfn.XLOOKUP(BC111,AY140:BL140,AY141:BL141)),_xlpm.v*BB111*IF(ISBLANK(AY111),1,AY111)),0)</f>
        <v>0</v>
      </c>
      <c r="BJ111" s="5256">
        <f>IF(OR(ISBLANK(BK102),BK102=0),0,AY111*BK100*BD111/BK102)</f>
        <v>0</v>
      </c>
      <c r="BK111" s="6051">
        <f>IF(OR(ISBLANK(BK102),BK102=0),0,BI111*BD111*BK100/BK102)</f>
        <v>0</v>
      </c>
      <c r="BL111" s="6198" t="str">
        <f>_xlfn.LET(_xlpm.unite,SUBSTITUTE(TRIM(BC111)," (s)",""),_xlpm.val,BK111,_xlpm.estVol,COUNTIF(BE138:BL138,_xlpm.unite)+COUNTIF(BE140:BL140,_xlpm.unite)&gt;0,_xlpm.estPoids,COUNTIF(AY138:BD138,_xlpm.unite)+COUNTIF(AY140:BD140,_xlpm.unite)&gt;0,IF(_xlpm.estVol,IF(ROUND(_xlpm.val,3)&gt;=1,ROUND(_xlpm.val,3)&amp;"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1" s="6872" t="s">
        <v>11048</v>
      </c>
      <c r="BP111" s="6404"/>
      <c r="BQ111" s="6425" t="s">
        <v>989</v>
      </c>
      <c r="BR111" s="5950" t="s">
        <v>990</v>
      </c>
      <c r="BS111" s="5950"/>
      <c r="BT111" s="5950"/>
      <c r="BU111" s="5783"/>
      <c r="BV111" s="6403"/>
      <c r="BX111" s="6404"/>
      <c r="BY111" s="6425" t="s">
        <v>9260</v>
      </c>
      <c r="BZ111" s="5950" t="s">
        <v>9261</v>
      </c>
      <c r="CA111" s="5950"/>
      <c r="CB111" s="5950"/>
      <c r="CC111" s="5783"/>
      <c r="CD111" s="6403"/>
      <c r="CF111" s="6404"/>
      <c r="CG111" s="6425" t="s">
        <v>9411</v>
      </c>
      <c r="CH111" s="5950" t="s">
        <v>9412</v>
      </c>
      <c r="CI111" s="5950"/>
      <c r="CJ111" s="5950"/>
      <c r="CK111" s="5783"/>
      <c r="CL111" s="6403"/>
      <c r="CN111" s="5">
        <v>1</v>
      </c>
    </row>
    <row r="112" spans="2:92" ht="21" customHeight="1">
      <c r="B112" s="1021" t="str">
        <f t="shared" si="31"/>
        <v>►</v>
      </c>
      <c r="C112" s="41" t="str">
        <f>C103</f>
        <v>N NOM DE VOTRE RECETTE | pâtisserie--ENTREMET| Auteur &gt; VOUS</v>
      </c>
      <c r="D112" s="40">
        <f>D103</f>
        <v>1</v>
      </c>
      <c r="E112" s="41" t="str">
        <f>E103</f>
        <v>coupe</v>
      </c>
      <c r="F112" s="5386" t="str">
        <f>F103</f>
        <v>Recette mère ► MILLE-FEUILLE meringue et chiboust pamplemousse aux fraises des bois</v>
      </c>
      <c r="G112" s="213"/>
      <c r="H112" s="212"/>
      <c r="I112" s="211" t="str">
        <f t="shared" si="28"/>
        <v/>
      </c>
      <c r="J112" s="210"/>
      <c r="K112" s="6366"/>
      <c r="L112" s="5448">
        <v>1</v>
      </c>
      <c r="M112" s="6866"/>
      <c r="N112" s="6871"/>
      <c r="O112" s="6253">
        <f>IF(Q137=0,0,(Q112/Q137)*P106*1000)</f>
        <v>0</v>
      </c>
      <c r="P112" s="6701">
        <f>IF(Q137=0, 0, (G112*L112)/(Q137*P106))</f>
        <v>0</v>
      </c>
      <c r="Q112" s="5882">
        <f>IFERROR(_xlfn.LET(_xlpm.v,IFERROR(_xlfn.XLOOKUP(K112,G138:T138,G139:T139),_xlfn.XLOOKUP(K112,G140:T140,G141:T141)),_xlpm.v*J112*IF(ISBLANK(G112),1,G112)),0)</f>
        <v>0</v>
      </c>
      <c r="R112" s="5254">
        <f>IF(OR(ISBLANK(S102),S102=0),0,G112*S100*L112/S102)</f>
        <v>0</v>
      </c>
      <c r="S112" s="6051">
        <f>IF(OR(ISBLANK(S102),S102=0),0,Q112*L112*S100/S102)</f>
        <v>0</v>
      </c>
      <c r="T112" s="6199" t="str">
        <f>_xlfn.LET(_xlpm.unite,SUBSTITUTE(TRIM(K112)," (s)",""),_xlpm.val,S112,_xlpm.estVol,COUNTIF(M138:T138,_xlpm.unite)+COUNTIF(M140:T140,_xlpm.unite)&gt;0,_xlpm.estPoids,COUNTIF(G138:L138,_xlpm.unite)+COUNTIF(G140:L140,_xlpm.unite)&gt;0,IF(_xlpm.estVol,IF(ROUND(_xlpm.val,3)&gt;=1,ROUND(_xlpm.val,3)&amp;"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2" s="6872" t="s">
        <v>11049</v>
      </c>
      <c r="X112" s="1021" t="str">
        <f t="shared" si="32"/>
        <v>►</v>
      </c>
      <c r="Y112" s="41" t="str">
        <f>Y103</f>
        <v>N NAME OF YOUR RECIPE | paste it — FAMILY|  Author &gt; YOU</v>
      </c>
      <c r="Z112" s="40">
        <f>Z103</f>
        <v>0.6</v>
      </c>
      <c r="AA112" s="41" t="str">
        <f>AA103</f>
        <v>kg</v>
      </c>
      <c r="AB112" s="5386" t="str">
        <f>AB103</f>
        <v>Master recipe ► Guinea fowl ballotine</v>
      </c>
      <c r="AC112" s="213"/>
      <c r="AD112" s="212"/>
      <c r="AE112" s="211" t="str">
        <f t="shared" si="29"/>
        <v/>
      </c>
      <c r="AF112" s="210"/>
      <c r="AG112" s="6366"/>
      <c r="AH112" s="5448">
        <v>1</v>
      </c>
      <c r="AI112" s="6866"/>
      <c r="AJ112" s="6871"/>
      <c r="AK112" s="6253">
        <f>IF(AM137=0,0,(AM112/AM137)*AL106*1000)</f>
        <v>0</v>
      </c>
      <c r="AL112" s="6701">
        <f>IF(AM137=0, 0, (AC112*AH112)/(AM137*AL106))</f>
        <v>0</v>
      </c>
      <c r="AM112" s="5882">
        <f>IFERROR(_xlfn.LET(_xlpm.v,IFERROR(_xlfn.XLOOKUP(AG112,AC138:AP138,AC139:AP139),_xlfn.XLOOKUP(AG112,AC140:AP140,AC141:AP141)),_xlpm.v*AF112*IF(ISBLANK(AC112),1,AC112)),0)</f>
        <v>0</v>
      </c>
      <c r="AN112" s="5254">
        <f>IF(OR(ISBLANK(AO102),AO102=0),0,AC112*AO100*AH112/AO102)</f>
        <v>0</v>
      </c>
      <c r="AO112" s="6051">
        <f>IF(OR(ISBLANK(AO102),AO102=0),0,AM112*AH112*AO100/AO102)</f>
        <v>0</v>
      </c>
      <c r="AP112" s="6199" t="str">
        <f>_xlfn.LET(_xlpm.unite,SUBSTITUTE(TRIM(AG112)," (s)",""),_xlpm.val,AO112,_xlpm.estVol,COUNTIF(AI138:AP138,_xlpm.unite)+COUNTIF(AI140:AP140,_xlpm.unite)&gt;0,_xlpm.estPoids,COUNTIF(AC138:AH138,_xlpm.unite)+COUNTIF(AC140:AH140,_xlpm.unite)&gt;0,IF(_xlpm.estVol,IF(ROUND(_xlpm.val,3)&gt;=1,ROUND(_xlpm.val,3)&amp;"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2" s="6872" t="s">
        <v>11049</v>
      </c>
      <c r="AT112" s="1021" t="str">
        <f t="shared" si="33"/>
        <v>►</v>
      </c>
      <c r="AU112" s="41" t="str">
        <f>AU103</f>
        <v>N NOMBRE DE SU RECETA | pegue esto — FAMILIA| Autor &gt; USTED</v>
      </c>
      <c r="AV112" s="40">
        <f>AV103</f>
        <v>0.6</v>
      </c>
      <c r="AW112" s="41" t="str">
        <f>AW103</f>
        <v>kg</v>
      </c>
      <c r="AX112" s="5386" t="str">
        <f>AX103</f>
        <v>Receta madre ► Ballotina de pintada</v>
      </c>
      <c r="AY112" s="213"/>
      <c r="AZ112" s="212"/>
      <c r="BA112" s="211" t="str">
        <f t="shared" si="30"/>
        <v/>
      </c>
      <c r="BB112" s="210"/>
      <c r="BC112" s="6366"/>
      <c r="BD112" s="5448">
        <v>1</v>
      </c>
      <c r="BE112" s="6866"/>
      <c r="BF112" s="6871"/>
      <c r="BG112" s="6253">
        <f>IF(BI137=0,0,(BI112/BI137)*BH106*1000)</f>
        <v>0</v>
      </c>
      <c r="BH112" s="6701">
        <f>IF(BI137=0, 0, (AY112*BD112)/(BI137*BH106))</f>
        <v>0</v>
      </c>
      <c r="BI112" s="5882">
        <f>IFERROR(_xlfn.LET(_xlpm.v,IFERROR(_xlfn.XLOOKUP(BC112,AY138:BL138,AY139:BL139),_xlfn.XLOOKUP(BC112,AY140:BL140,AY141:BL141)),_xlpm.v*BB112*IF(ISBLANK(AY112),1,AY112)),0)</f>
        <v>0</v>
      </c>
      <c r="BJ112" s="5254">
        <f>IF(OR(ISBLANK(BK102),BK102=0),0,AY112*BK100*BD112/BK102)</f>
        <v>0</v>
      </c>
      <c r="BK112" s="6051">
        <f>IF(OR(ISBLANK(BK102),BK102=0),0,BI112*BD112*BK100/BK102)</f>
        <v>0</v>
      </c>
      <c r="BL112" s="6199" t="str">
        <f>_xlfn.LET(_xlpm.unite,SUBSTITUTE(TRIM(BC112)," (s)",""),_xlpm.val,BK112,_xlpm.estVol,COUNTIF(BE138:BL138,_xlpm.unite)+COUNTIF(BE140:BL140,_xlpm.unite)&gt;0,_xlpm.estPoids,COUNTIF(AY138:BD138,_xlpm.unite)+COUNTIF(AY140:BD140,_xlpm.unite)&gt;0,IF(_xlpm.estVol,IF(ROUND(_xlpm.val,3)&gt;=1,ROUND(_xlpm.val,3)&amp;"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2" s="6872" t="s">
        <v>11049</v>
      </c>
      <c r="BP112" s="6404"/>
      <c r="BQ112" s="6426" t="s">
        <v>896</v>
      </c>
      <c r="BR112" s="6427"/>
      <c r="BS112" s="6428"/>
      <c r="BT112" s="6428"/>
      <c r="BU112" s="5783"/>
      <c r="BV112" s="6403"/>
      <c r="BX112" s="6404"/>
      <c r="BY112" s="6426" t="s">
        <v>9262</v>
      </c>
      <c r="BZ112" s="6427"/>
      <c r="CA112" s="6428"/>
      <c r="CB112" s="6428"/>
      <c r="CC112" s="5783"/>
      <c r="CD112" s="6403"/>
      <c r="CF112" s="6404"/>
      <c r="CG112" s="6426" t="s">
        <v>9413</v>
      </c>
      <c r="CH112" s="6427"/>
      <c r="CI112" s="6428"/>
      <c r="CJ112" s="6428"/>
      <c r="CK112" s="5783"/>
      <c r="CL112" s="6403"/>
      <c r="CN112" s="5">
        <v>1</v>
      </c>
    </row>
    <row r="113" spans="2:92" ht="21" customHeight="1">
      <c r="B113" s="1021" t="str">
        <f t="shared" si="31"/>
        <v>►</v>
      </c>
      <c r="C113" s="41" t="str">
        <f>C103</f>
        <v>N NOM DE VOTRE RECETTE | pâtisserie--ENTREMET| Auteur &gt; VOUS</v>
      </c>
      <c r="D113" s="40">
        <f>D103</f>
        <v>1</v>
      </c>
      <c r="E113" s="41" t="str">
        <f>E103</f>
        <v>coupe</v>
      </c>
      <c r="F113" s="5386" t="str">
        <f>F103</f>
        <v>Recette mère ► MILLE-FEUILLE meringue et chiboust pamplemousse aux fraises des bois</v>
      </c>
      <c r="G113" s="213"/>
      <c r="H113" s="212"/>
      <c r="I113" s="211" t="str">
        <f t="shared" si="28"/>
        <v/>
      </c>
      <c r="J113" s="210"/>
      <c r="K113" s="6366"/>
      <c r="L113" s="5448">
        <v>1</v>
      </c>
      <c r="M113" s="6866"/>
      <c r="N113" s="6871"/>
      <c r="O113" s="6253">
        <f>IF(Q137=0,0,(Q113/Q137)*P106*1000)</f>
        <v>0</v>
      </c>
      <c r="P113" s="6701">
        <f>IF(Q137=0, 0, (G113*L113)/(Q137*P106))</f>
        <v>0</v>
      </c>
      <c r="Q113" s="5882">
        <f>IFERROR(_xlfn.LET(_xlpm.v,IFERROR(_xlfn.XLOOKUP(K113,G138:T138,G139:T139),_xlfn.XLOOKUP(K113,G140:T140,G141:T141)),_xlpm.v*J113*IF(ISBLANK(G113),1,G113)),0)</f>
        <v>0</v>
      </c>
      <c r="R113" s="5256">
        <f>IF(OR(ISBLANK(S102),S102=0),0,G113*S100*L113/S102)</f>
        <v>0</v>
      </c>
      <c r="S113" s="6051">
        <f>IF(OR(ISBLANK(S102),S102=0),0,Q113*L113*S100/S102)</f>
        <v>0</v>
      </c>
      <c r="T113" s="6200" t="str">
        <f>_xlfn.LET(_xlpm.unite,SUBSTITUTE(TRIM(K113)," (s)",""),_xlpm.val,S113,_xlpm.estVol,COUNTIF(M138:T138,_xlpm.unite)+COUNTIF(M140:T140,_xlpm.unite)&gt;0,_xlpm.estPoids,COUNTIF(G138:L138,_xlpm.unite)+COUNTIF(G140:L140,_xlpm.unite)&gt;0,IF(_xlpm.estVol,IF(ROUND(_xlpm.val,3)&gt;=1,ROUND(_xlpm.val,3)&amp;"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3" s="6872" t="s">
        <v>11042</v>
      </c>
      <c r="X113" s="1021" t="str">
        <f t="shared" si="32"/>
        <v>►</v>
      </c>
      <c r="Y113" s="41" t="str">
        <f>Y103</f>
        <v>N NAME OF YOUR RECIPE | paste it — FAMILY|  Author &gt; YOU</v>
      </c>
      <c r="Z113" s="40">
        <f>Z103</f>
        <v>0.6</v>
      </c>
      <c r="AA113" s="41" t="str">
        <f>AA103</f>
        <v>kg</v>
      </c>
      <c r="AB113" s="5386" t="str">
        <f>AB103</f>
        <v>Master recipe ► Guinea fowl ballotine</v>
      </c>
      <c r="AC113" s="213"/>
      <c r="AD113" s="212"/>
      <c r="AE113" s="211" t="str">
        <f t="shared" si="29"/>
        <v/>
      </c>
      <c r="AF113" s="210"/>
      <c r="AG113" s="6366"/>
      <c r="AH113" s="5448">
        <v>1</v>
      </c>
      <c r="AI113" s="6866"/>
      <c r="AJ113" s="6871"/>
      <c r="AK113" s="6253">
        <f>IF(AM137=0,0,(AM113/AM137)*AL106*1000)</f>
        <v>0</v>
      </c>
      <c r="AL113" s="6701">
        <f>IF(AM137=0, 0, (AC113*AH113)/(AM137*AL106))</f>
        <v>0</v>
      </c>
      <c r="AM113" s="5882">
        <f>IFERROR(_xlfn.LET(_xlpm.v,IFERROR(_xlfn.XLOOKUP(AG113,AC138:AP138,AC139:AP139),_xlfn.XLOOKUP(AG113,AC140:AP140,AC141:AP141)),_xlpm.v*AF113*IF(ISBLANK(AC113),1,AC113)),0)</f>
        <v>0</v>
      </c>
      <c r="AN113" s="5256">
        <f>IF(OR(ISBLANK(AO102),AO102=0),0,AC113*AO100*AH113/AO102)</f>
        <v>0</v>
      </c>
      <c r="AO113" s="6051">
        <f>IF(OR(ISBLANK(AO102),AO102=0),0,AM113*AH113*AO100/AO102)</f>
        <v>0</v>
      </c>
      <c r="AP113" s="6200" t="str">
        <f>_xlfn.LET(_xlpm.unite,SUBSTITUTE(TRIM(AG113)," (s)",""),_xlpm.val,AO113,_xlpm.estVol,COUNTIF(AI138:AP138,_xlpm.unite)+COUNTIF(AI140:AP140,_xlpm.unite)&gt;0,_xlpm.estPoids,COUNTIF(AC138:AH138,_xlpm.unite)+COUNTIF(AC140:AH140,_xlpm.unite)&gt;0,IF(_xlpm.estVol,IF(ROUND(_xlpm.val,3)&gt;=1,ROUND(_xlpm.val,3)&amp;"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3" s="6872" t="s">
        <v>11042</v>
      </c>
      <c r="AT113" s="1021" t="str">
        <f t="shared" si="33"/>
        <v>►</v>
      </c>
      <c r="AU113" s="41" t="str">
        <f>AU103</f>
        <v>N NOMBRE DE SU RECETA | pegue esto — FAMILIA| Autor &gt; USTED</v>
      </c>
      <c r="AV113" s="40">
        <f>AV103</f>
        <v>0.6</v>
      </c>
      <c r="AW113" s="41" t="str">
        <f>AW103</f>
        <v>kg</v>
      </c>
      <c r="AX113" s="5386" t="str">
        <f>AX103</f>
        <v>Receta madre ► Ballotina de pintada</v>
      </c>
      <c r="AY113" s="213"/>
      <c r="AZ113" s="212"/>
      <c r="BA113" s="211" t="str">
        <f t="shared" si="30"/>
        <v/>
      </c>
      <c r="BB113" s="210"/>
      <c r="BC113" s="6366"/>
      <c r="BD113" s="5448">
        <v>1</v>
      </c>
      <c r="BE113" s="6866"/>
      <c r="BF113" s="6871"/>
      <c r="BG113" s="6253">
        <f>IF(BI137=0,0,(BI113/BI137)*BH106*1000)</f>
        <v>0</v>
      </c>
      <c r="BH113" s="6701">
        <f>IF(BI137=0, 0, (AY113*BD113)/(BI137*BH106))</f>
        <v>0</v>
      </c>
      <c r="BI113" s="5882">
        <f>IFERROR(_xlfn.LET(_xlpm.v,IFERROR(_xlfn.XLOOKUP(BC113,AY138:BL138,AY139:BL139),_xlfn.XLOOKUP(BC113,AY140:BL140,AY141:BL141)),_xlpm.v*BB113*IF(ISBLANK(AY113),1,AY113)),0)</f>
        <v>0</v>
      </c>
      <c r="BJ113" s="5256">
        <f>IF(OR(ISBLANK(BK102),BK102=0),0,AY113*BK100*BD113/BK102)</f>
        <v>0</v>
      </c>
      <c r="BK113" s="6051">
        <f>IF(OR(ISBLANK(BK102),BK102=0),0,BI113*BD113*BK100/BK102)</f>
        <v>0</v>
      </c>
      <c r="BL113" s="6200" t="str">
        <f>_xlfn.LET(_xlpm.unite,SUBSTITUTE(TRIM(BC113)," (s)",""),_xlpm.val,BK113,_xlpm.estVol,COUNTIF(BE138:BL138,_xlpm.unite)+COUNTIF(BE140:BL140,_xlpm.unite)&gt;0,_xlpm.estPoids,COUNTIF(AY138:BD138,_xlpm.unite)+COUNTIF(AY140:BD140,_xlpm.unite)&gt;0,IF(_xlpm.estVol,IF(ROUND(_xlpm.val,3)&gt;=1,ROUND(_xlpm.val,3)&amp;"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3" s="6872" t="s">
        <v>11042</v>
      </c>
      <c r="BP113" s="6404"/>
      <c r="BQ113" s="5783"/>
      <c r="BR113" s="5783"/>
      <c r="BS113" s="5783"/>
      <c r="BT113" s="5783"/>
      <c r="BU113" s="5783"/>
      <c r="BV113" s="6403"/>
      <c r="BX113" s="6404"/>
      <c r="BY113" s="5783"/>
      <c r="BZ113" s="5783"/>
      <c r="CA113" s="5783"/>
      <c r="CB113" s="5783"/>
      <c r="CC113" s="5783"/>
      <c r="CD113" s="6403"/>
      <c r="CF113" s="6404"/>
      <c r="CG113" s="5783"/>
      <c r="CH113" s="5783"/>
      <c r="CI113" s="5783"/>
      <c r="CJ113" s="5783"/>
      <c r="CK113" s="5783"/>
      <c r="CL113" s="6403"/>
      <c r="CN113" s="5">
        <v>1</v>
      </c>
    </row>
    <row r="114" spans="2:92" ht="21" customHeight="1">
      <c r="B114" s="1021" t="str">
        <f t="shared" si="31"/>
        <v>►</v>
      </c>
      <c r="C114" s="41" t="str">
        <f>C103</f>
        <v>N NOM DE VOTRE RECETTE | pâtisserie--ENTREMET| Auteur &gt; VOUS</v>
      </c>
      <c r="D114" s="40">
        <f>D103</f>
        <v>1</v>
      </c>
      <c r="E114" s="41" t="str">
        <f>E103</f>
        <v>coupe</v>
      </c>
      <c r="F114" s="5386" t="str">
        <f>F103</f>
        <v>Recette mère ► MILLE-FEUILLE meringue et chiboust pamplemousse aux fraises des bois</v>
      </c>
      <c r="G114" s="213"/>
      <c r="H114" s="212"/>
      <c r="I114" s="211" t="str">
        <f t="shared" si="28"/>
        <v/>
      </c>
      <c r="J114" s="210"/>
      <c r="K114" s="6366"/>
      <c r="L114" s="5448">
        <v>1</v>
      </c>
      <c r="M114" s="6866"/>
      <c r="N114" s="6871"/>
      <c r="O114" s="6253">
        <f>IF(Q137=0,0,(Q114/Q137)*P106*1000)</f>
        <v>0</v>
      </c>
      <c r="P114" s="6701">
        <f>IF(Q137=0, 0, (G114*L114)/(Q137*P106))</f>
        <v>0</v>
      </c>
      <c r="Q114" s="5882">
        <f>IFERROR(_xlfn.LET(_xlpm.v,IFERROR(_xlfn.XLOOKUP(K114,G138:T138,G139:T139),_xlfn.XLOOKUP(K114,G140:T140,G141:T141)),_xlpm.v*J114*IF(ISBLANK(G114),1,G114)),0)</f>
        <v>0</v>
      </c>
      <c r="R114" s="5254">
        <f>IF(OR(ISBLANK(S102),S102=0),0,G114*S100*L114/S102)</f>
        <v>0</v>
      </c>
      <c r="S114" s="6051">
        <f>IF(OR(ISBLANK(S102),S102=0),0,Q114*L114*S100/S102)</f>
        <v>0</v>
      </c>
      <c r="T114" s="6199" t="str">
        <f>_xlfn.LET(_xlpm.unite,SUBSTITUTE(TRIM(K114)," (s)",""),_xlpm.val,S114,_xlpm.estVol,COUNTIF(M138:T138,_xlpm.unite)+COUNTIF(M140:T140,_xlpm.unite)&gt;0,_xlpm.estPoids,COUNTIF(G138:L138,_xlpm.unite)+COUNTIF(G140:L140,_xlpm.unite)&gt;0,IF(_xlpm.estVol,IF(ROUND(_xlpm.val,3)&gt;=1,ROUND(_xlpm.val,3)&amp;"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4" s="6872" t="s">
        <v>11050</v>
      </c>
      <c r="X114" s="1021" t="str">
        <f t="shared" si="32"/>
        <v>►</v>
      </c>
      <c r="Y114" s="41" t="str">
        <f>Y103</f>
        <v>N NAME OF YOUR RECIPE | paste it — FAMILY|  Author &gt; YOU</v>
      </c>
      <c r="Z114" s="40">
        <f>Z103</f>
        <v>0.6</v>
      </c>
      <c r="AA114" s="41" t="str">
        <f>AA103</f>
        <v>kg</v>
      </c>
      <c r="AB114" s="5386" t="str">
        <f>AB103</f>
        <v>Master recipe ► Guinea fowl ballotine</v>
      </c>
      <c r="AC114" s="213"/>
      <c r="AD114" s="212"/>
      <c r="AE114" s="211" t="str">
        <f t="shared" si="29"/>
        <v/>
      </c>
      <c r="AF114" s="210"/>
      <c r="AG114" s="6366"/>
      <c r="AH114" s="5448">
        <v>1</v>
      </c>
      <c r="AI114" s="6866"/>
      <c r="AJ114" s="6871"/>
      <c r="AK114" s="6253">
        <f>IF(AM137=0,0,(AM114/AM137)*AL106*1000)</f>
        <v>0</v>
      </c>
      <c r="AL114" s="6701">
        <f>IF(AM137=0, 0, (AC114*AH114)/(AM137*AL106))</f>
        <v>0</v>
      </c>
      <c r="AM114" s="5882">
        <f>IFERROR(_xlfn.LET(_xlpm.v,IFERROR(_xlfn.XLOOKUP(AG114,AC138:AP138,AC139:AP139),_xlfn.XLOOKUP(AG114,AC140:AP140,AC141:AP141)),_xlpm.v*AF114*IF(ISBLANK(AC114),1,AC114)),0)</f>
        <v>0</v>
      </c>
      <c r="AN114" s="5254">
        <f>IF(OR(ISBLANK(AO102),AO102=0),0,AC114*AO100*AH114/AO102)</f>
        <v>0</v>
      </c>
      <c r="AO114" s="6051">
        <f>IF(OR(ISBLANK(AO102),AO102=0),0,AM114*AH114*AO100/AO102)</f>
        <v>0</v>
      </c>
      <c r="AP114" s="6199" t="str">
        <f>_xlfn.LET(_xlpm.unite,SUBSTITUTE(TRIM(AG114)," (s)",""),_xlpm.val,AO114,_xlpm.estVol,COUNTIF(AI138:AP138,_xlpm.unite)+COUNTIF(AI140:AP140,_xlpm.unite)&gt;0,_xlpm.estPoids,COUNTIF(AC138:AH138,_xlpm.unite)+COUNTIF(AC140:AH140,_xlpm.unite)&gt;0,IF(_xlpm.estVol,IF(ROUND(_xlpm.val,3)&gt;=1,ROUND(_xlpm.val,3)&amp;"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4" s="6872" t="s">
        <v>11050</v>
      </c>
      <c r="AT114" s="1021" t="str">
        <f t="shared" si="33"/>
        <v>►</v>
      </c>
      <c r="AU114" s="41" t="str">
        <f>AU103</f>
        <v>N NOMBRE DE SU RECETA | pegue esto — FAMILIA| Autor &gt; USTED</v>
      </c>
      <c r="AV114" s="40">
        <f>AV103</f>
        <v>0.6</v>
      </c>
      <c r="AW114" s="41" t="str">
        <f>AW103</f>
        <v>kg</v>
      </c>
      <c r="AX114" s="5386" t="str">
        <f>AX103</f>
        <v>Receta madre ► Ballotina de pintada</v>
      </c>
      <c r="AY114" s="213"/>
      <c r="AZ114" s="212"/>
      <c r="BA114" s="211" t="str">
        <f t="shared" si="30"/>
        <v/>
      </c>
      <c r="BB114" s="210"/>
      <c r="BC114" s="6366"/>
      <c r="BD114" s="5448">
        <v>1</v>
      </c>
      <c r="BE114" s="6866"/>
      <c r="BF114" s="6871"/>
      <c r="BG114" s="6253">
        <f>IF(BI137=0,0,(BI114/BI137)*BH106*1000)</f>
        <v>0</v>
      </c>
      <c r="BH114" s="6701">
        <f>IF(BI137=0, 0, (AY114*BD114)/(BI137*BH106))</f>
        <v>0</v>
      </c>
      <c r="BI114" s="5882">
        <f>IFERROR(_xlfn.LET(_xlpm.v,IFERROR(_xlfn.XLOOKUP(BC114,AY138:BL138,AY139:BL139),_xlfn.XLOOKUP(BC114,AY140:BL140,AY141:BL141)),_xlpm.v*BB114*IF(ISBLANK(AY114),1,AY114)),0)</f>
        <v>0</v>
      </c>
      <c r="BJ114" s="5254">
        <f>IF(OR(ISBLANK(BK102),BK102=0),0,AY114*BK100*BD114/BK102)</f>
        <v>0</v>
      </c>
      <c r="BK114" s="6051">
        <f>IF(OR(ISBLANK(BK102),BK102=0),0,BI114*BD114*BK100/BK102)</f>
        <v>0</v>
      </c>
      <c r="BL114" s="6199" t="str">
        <f>_xlfn.LET(_xlpm.unite,SUBSTITUTE(TRIM(BC114)," (s)",""),_xlpm.val,BK114,_xlpm.estVol,COUNTIF(BE138:BL138,_xlpm.unite)+COUNTIF(BE140:BL140,_xlpm.unite)&gt;0,_xlpm.estPoids,COUNTIF(AY138:BD138,_xlpm.unite)+COUNTIF(AY140:BD140,_xlpm.unite)&gt;0,IF(_xlpm.estVol,IF(ROUND(_xlpm.val,3)&gt;=1,ROUND(_xlpm.val,3)&amp;"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4" s="6872" t="s">
        <v>11050</v>
      </c>
      <c r="BP114" s="1079"/>
      <c r="BQ114" s="1080"/>
      <c r="BR114" s="1081"/>
      <c r="BS114" s="1080"/>
      <c r="BT114" s="1080"/>
      <c r="BU114" s="1080"/>
      <c r="BV114" s="1082"/>
      <c r="BX114" s="1079"/>
      <c r="BY114" s="1080"/>
      <c r="BZ114" s="1081"/>
      <c r="CA114" s="1080"/>
      <c r="CB114" s="1080"/>
      <c r="CC114" s="1080"/>
      <c r="CD114" s="1082"/>
      <c r="CF114" s="1079"/>
      <c r="CG114" s="1080"/>
      <c r="CH114" s="1081"/>
      <c r="CI114" s="1080"/>
      <c r="CJ114" s="1080"/>
      <c r="CK114" s="1080"/>
      <c r="CL114" s="1082"/>
      <c r="CN114" s="5">
        <v>1</v>
      </c>
    </row>
    <row r="115" spans="2:92" ht="21" customHeight="1">
      <c r="B115" s="1021" t="str">
        <f t="shared" si="31"/>
        <v>►</v>
      </c>
      <c r="C115" s="41" t="str">
        <f>C103</f>
        <v>N NOM DE VOTRE RECETTE | pâtisserie--ENTREMET| Auteur &gt; VOUS</v>
      </c>
      <c r="D115" s="40">
        <f>D103</f>
        <v>1</v>
      </c>
      <c r="E115" s="41" t="str">
        <f>E103</f>
        <v>coupe</v>
      </c>
      <c r="F115" s="5386" t="str">
        <f>F103</f>
        <v>Recette mère ► MILLE-FEUILLE meringue et chiboust pamplemousse aux fraises des bois</v>
      </c>
      <c r="G115" s="213"/>
      <c r="H115" s="212"/>
      <c r="I115" s="211" t="str">
        <f t="shared" si="28"/>
        <v/>
      </c>
      <c r="J115" s="210"/>
      <c r="K115" s="6366"/>
      <c r="L115" s="5448">
        <v>1</v>
      </c>
      <c r="M115" s="6866"/>
      <c r="N115" s="6871"/>
      <c r="O115" s="6253">
        <f>IF(Q137=0,0,(Q115/Q137)*P106*1000)</f>
        <v>0</v>
      </c>
      <c r="P115" s="6701">
        <f>IF(Q137=0, 0, (G115*L115)/(Q137*P106))</f>
        <v>0</v>
      </c>
      <c r="Q115" s="5882">
        <f>IFERROR(_xlfn.LET(_xlpm.v,IFERROR(_xlfn.XLOOKUP(K115,G138:T138,G139:T139),_xlfn.XLOOKUP(K115,G140:T140,G141:T141)),_xlpm.v*J115*IF(ISBLANK(G115),1,G115)),0)</f>
        <v>0</v>
      </c>
      <c r="R115" s="5256">
        <f>IF(OR(ISBLANK(S102),S102=0),0,G115*S100*L115/S102)</f>
        <v>0</v>
      </c>
      <c r="S115" s="6051">
        <f>IF(OR(ISBLANK(S102),S102=0),0,Q115*L115*S100/S102)</f>
        <v>0</v>
      </c>
      <c r="T115" s="6200" t="str">
        <f>_xlfn.LET(_xlpm.unite,SUBSTITUTE(TRIM(K115)," (s)",""),_xlpm.val,S115,_xlpm.estVol,COUNTIF(M138:T138,_xlpm.unite)+COUNTIF(M140:T140,_xlpm.unite)&gt;0,_xlpm.estPoids,COUNTIF(G138:L138,_xlpm.unite)+COUNTIF(G140:L140,_xlpm.unite)&gt;0,IF(_xlpm.estVol,IF(ROUND(_xlpm.val,3)&gt;=1,ROUND(_xlpm.val,3)&amp;"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5" s="6872" t="s">
        <v>11051</v>
      </c>
      <c r="X115" s="1021" t="str">
        <f t="shared" si="32"/>
        <v>►</v>
      </c>
      <c r="Y115" s="41" t="str">
        <f>Y103</f>
        <v>N NAME OF YOUR RECIPE | paste it — FAMILY|  Author &gt; YOU</v>
      </c>
      <c r="Z115" s="40">
        <f>Z103</f>
        <v>0.6</v>
      </c>
      <c r="AA115" s="41" t="str">
        <f>AA103</f>
        <v>kg</v>
      </c>
      <c r="AB115" s="5386" t="str">
        <f>AB103</f>
        <v>Master recipe ► Guinea fowl ballotine</v>
      </c>
      <c r="AC115" s="213"/>
      <c r="AD115" s="212"/>
      <c r="AE115" s="211" t="str">
        <f t="shared" si="29"/>
        <v/>
      </c>
      <c r="AF115" s="210"/>
      <c r="AG115" s="6366"/>
      <c r="AH115" s="5448">
        <v>1</v>
      </c>
      <c r="AI115" s="6866"/>
      <c r="AJ115" s="6871"/>
      <c r="AK115" s="6253">
        <f>IF(AM137=0,0,(AM115/AM137)*AL106*1000)</f>
        <v>0</v>
      </c>
      <c r="AL115" s="6701">
        <f>IF(AM137=0, 0, (AC115*AH115)/(AM137*AL106))</f>
        <v>0</v>
      </c>
      <c r="AM115" s="5882">
        <f>IFERROR(_xlfn.LET(_xlpm.v,IFERROR(_xlfn.XLOOKUP(AG115,AC138:AP138,AC139:AP139),_xlfn.XLOOKUP(AG115,AC140:AP140,AC141:AP141)),_xlpm.v*AF115*IF(ISBLANK(AC115),1,AC115)),0)</f>
        <v>0</v>
      </c>
      <c r="AN115" s="5256">
        <f>IF(OR(ISBLANK(AO102),AO102=0),0,AC115*AO100*AH115/AO102)</f>
        <v>0</v>
      </c>
      <c r="AO115" s="6051">
        <f>IF(OR(ISBLANK(AO102),AO102=0),0,AM115*AH115*AO100/AO102)</f>
        <v>0</v>
      </c>
      <c r="AP115" s="6200" t="str">
        <f>_xlfn.LET(_xlpm.unite,SUBSTITUTE(TRIM(AG115)," (s)",""),_xlpm.val,AO115,_xlpm.estVol,COUNTIF(AI138:AP138,_xlpm.unite)+COUNTIF(AI140:AP140,_xlpm.unite)&gt;0,_xlpm.estPoids,COUNTIF(AC138:AH138,_xlpm.unite)+COUNTIF(AC140:AH140,_xlpm.unite)&gt;0,IF(_xlpm.estVol,IF(ROUND(_xlpm.val,3)&gt;=1,ROUND(_xlpm.val,3)&amp;"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5" s="6872" t="s">
        <v>11051</v>
      </c>
      <c r="AT115" s="1021" t="str">
        <f t="shared" si="33"/>
        <v>►</v>
      </c>
      <c r="AU115" s="41" t="str">
        <f>AU103</f>
        <v>N NOMBRE DE SU RECETA | pegue esto — FAMILIA| Autor &gt; USTED</v>
      </c>
      <c r="AV115" s="40">
        <f>AV103</f>
        <v>0.6</v>
      </c>
      <c r="AW115" s="41" t="str">
        <f>AW103</f>
        <v>kg</v>
      </c>
      <c r="AX115" s="5386" t="str">
        <f>AX103</f>
        <v>Receta madre ► Ballotina de pintada</v>
      </c>
      <c r="AY115" s="213"/>
      <c r="AZ115" s="212"/>
      <c r="BA115" s="211" t="str">
        <f t="shared" si="30"/>
        <v/>
      </c>
      <c r="BB115" s="210"/>
      <c r="BC115" s="6366"/>
      <c r="BD115" s="5448">
        <v>1</v>
      </c>
      <c r="BE115" s="6866"/>
      <c r="BF115" s="6871"/>
      <c r="BG115" s="6253">
        <f>IF(BI137=0,0,(BI115/BI137)*BH106*1000)</f>
        <v>0</v>
      </c>
      <c r="BH115" s="6701">
        <f>IF(BI137=0, 0, (AY115*BD115)/(BI137*BH106))</f>
        <v>0</v>
      </c>
      <c r="BI115" s="5882">
        <f>IFERROR(_xlfn.LET(_xlpm.v,IFERROR(_xlfn.XLOOKUP(BC115,AY138:BL138,AY139:BL139),_xlfn.XLOOKUP(BC115,AY140:BL140,AY141:BL141)),_xlpm.v*BB115*IF(ISBLANK(AY115),1,AY115)),0)</f>
        <v>0</v>
      </c>
      <c r="BJ115" s="5256">
        <f>IF(OR(ISBLANK(BK102),BK102=0),0,AY115*BK100*BD115/BK102)</f>
        <v>0</v>
      </c>
      <c r="BK115" s="6051">
        <f>IF(OR(ISBLANK(BK102),BK102=0),0,BI115*BD115*BK100/BK102)</f>
        <v>0</v>
      </c>
      <c r="BL115" s="6200" t="str">
        <f>_xlfn.LET(_xlpm.unite,SUBSTITUTE(TRIM(BC115)," (s)",""),_xlpm.val,BK115,_xlpm.estVol,COUNTIF(BE138:BL138,_xlpm.unite)+COUNTIF(BE140:BL140,_xlpm.unite)&gt;0,_xlpm.estPoids,COUNTIF(AY138:BD138,_xlpm.unite)+COUNTIF(AY140:BD140,_xlpm.unite)&gt;0,IF(_xlpm.estVol,IF(ROUND(_xlpm.val,3)&gt;=1,ROUND(_xlpm.val,3)&amp;"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5" s="6872" t="s">
        <v>11051</v>
      </c>
      <c r="BP115" s="6489"/>
      <c r="BQ115" s="6490"/>
      <c r="BR115" s="6491"/>
      <c r="BS115" s="6490"/>
      <c r="BT115" s="6490"/>
      <c r="BU115" s="6490"/>
      <c r="BV115" s="6492"/>
      <c r="BX115" s="6489"/>
      <c r="BY115" s="6490"/>
      <c r="BZ115" s="6491"/>
      <c r="CA115" s="6490"/>
      <c r="CB115" s="6490"/>
      <c r="CC115" s="6490"/>
      <c r="CD115" s="6492"/>
      <c r="CF115" s="6489"/>
      <c r="CG115" s="6490"/>
      <c r="CH115" s="6491"/>
      <c r="CI115" s="6490"/>
      <c r="CJ115" s="6490"/>
      <c r="CK115" s="6490"/>
      <c r="CL115" s="6492"/>
      <c r="CN115" s="5">
        <v>1</v>
      </c>
    </row>
    <row r="116" spans="2:92" ht="21" customHeight="1">
      <c r="B116" s="1021" t="str">
        <f t="shared" si="31"/>
        <v>►</v>
      </c>
      <c r="C116" s="41" t="str">
        <f>C103</f>
        <v>N NOM DE VOTRE RECETTE | pâtisserie--ENTREMET| Auteur &gt; VOUS</v>
      </c>
      <c r="D116" s="40">
        <f>D103</f>
        <v>1</v>
      </c>
      <c r="E116" s="41" t="str">
        <f>E103</f>
        <v>coupe</v>
      </c>
      <c r="F116" s="5386" t="str">
        <f>F103</f>
        <v>Recette mère ► MILLE-FEUILLE meringue et chiboust pamplemousse aux fraises des bois</v>
      </c>
      <c r="G116" s="213"/>
      <c r="H116" s="212"/>
      <c r="I116" s="211" t="str">
        <f t="shared" si="28"/>
        <v/>
      </c>
      <c r="J116" s="210"/>
      <c r="K116" s="6366"/>
      <c r="L116" s="5448">
        <v>1</v>
      </c>
      <c r="M116" s="6866"/>
      <c r="N116" s="6871"/>
      <c r="O116" s="6253">
        <f>IF(Q137=0,0,(Q116/Q137)*P106*1000)</f>
        <v>0</v>
      </c>
      <c r="P116" s="6701">
        <f>IF(Q137=0, 0, (G116*L116)/(Q137*P106))</f>
        <v>0</v>
      </c>
      <c r="Q116" s="5882">
        <f>IFERROR(_xlfn.LET(_xlpm.v,IFERROR(_xlfn.XLOOKUP(K116,G138:T138,G139:T139),_xlfn.XLOOKUP(K116,G140:T140,G141:T141)),_xlpm.v*J116*IF(ISBLANK(G116),1,G116)),0)</f>
        <v>0</v>
      </c>
      <c r="R116" s="5254">
        <f>IF(OR(ISBLANK(S102),S102=0),0,G116*S100*L116/S102)</f>
        <v>0</v>
      </c>
      <c r="S116" s="6051">
        <f>IF(OR(ISBLANK(S102),S102=0),0,Q116*L116*S100/S102)</f>
        <v>0</v>
      </c>
      <c r="T116" s="6199" t="str">
        <f>_xlfn.LET(_xlpm.unite,SUBSTITUTE(TRIM(K116)," (s)",""),_xlpm.val,S116,_xlpm.estVol,COUNTIF(M138:T138,_xlpm.unite)+COUNTIF(M140:T140,_xlpm.unite)&gt;0,_xlpm.estPoids,COUNTIF(G138:L138,_xlpm.unite)+COUNTIF(G140:L140,_xlpm.unite)&gt;0,IF(_xlpm.estVol,IF(ROUND(_xlpm.val,3)&gt;=1,ROUND(_xlpm.val,3)&amp;"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6" s="6872" t="s">
        <v>11052</v>
      </c>
      <c r="X116" s="1021" t="str">
        <f t="shared" si="32"/>
        <v>►</v>
      </c>
      <c r="Y116" s="41" t="str">
        <f>Y103</f>
        <v>N NAME OF YOUR RECIPE | paste it — FAMILY|  Author &gt; YOU</v>
      </c>
      <c r="Z116" s="40">
        <f>Z103</f>
        <v>0.6</v>
      </c>
      <c r="AA116" s="41" t="str">
        <f>AA103</f>
        <v>kg</v>
      </c>
      <c r="AB116" s="5386" t="str">
        <f>AB103</f>
        <v>Master recipe ► Guinea fowl ballotine</v>
      </c>
      <c r="AC116" s="213"/>
      <c r="AD116" s="212"/>
      <c r="AE116" s="211" t="str">
        <f t="shared" si="29"/>
        <v/>
      </c>
      <c r="AF116" s="210"/>
      <c r="AG116" s="6366"/>
      <c r="AH116" s="5448">
        <v>1</v>
      </c>
      <c r="AI116" s="6866"/>
      <c r="AJ116" s="6871"/>
      <c r="AK116" s="6253">
        <f>IF(AM137=0,0,(AM116/AM137)*AL106*1000)</f>
        <v>0</v>
      </c>
      <c r="AL116" s="6701">
        <f>IF(AM137=0, 0, (AC116*AH116)/(AM137*AL106))</f>
        <v>0</v>
      </c>
      <c r="AM116" s="5882">
        <f>IFERROR(_xlfn.LET(_xlpm.v,IFERROR(_xlfn.XLOOKUP(AG116,AC138:AP138,AC139:AP139),_xlfn.XLOOKUP(AG116,AC140:AP140,AC141:AP141)),_xlpm.v*AF116*IF(ISBLANK(AC116),1,AC116)),0)</f>
        <v>0</v>
      </c>
      <c r="AN116" s="5254">
        <f>IF(OR(ISBLANK(AO102),AO102=0),0,AC116*AO100*AH116/AO102)</f>
        <v>0</v>
      </c>
      <c r="AO116" s="6051">
        <f>IF(OR(ISBLANK(AO102),AO102=0),0,AM116*AH116*AO100/AO102)</f>
        <v>0</v>
      </c>
      <c r="AP116" s="6199" t="str">
        <f>_xlfn.LET(_xlpm.unite,SUBSTITUTE(TRIM(AG116)," (s)",""),_xlpm.val,AO116,_xlpm.estVol,COUNTIF(AI138:AP138,_xlpm.unite)+COUNTIF(AI140:AP140,_xlpm.unite)&gt;0,_xlpm.estPoids,COUNTIF(AC138:AH138,_xlpm.unite)+COUNTIF(AC140:AH140,_xlpm.unite)&gt;0,IF(_xlpm.estVol,IF(ROUND(_xlpm.val,3)&gt;=1,ROUND(_xlpm.val,3)&amp;"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6" s="6872" t="s">
        <v>11052</v>
      </c>
      <c r="AT116" s="1021" t="str">
        <f t="shared" si="33"/>
        <v>►</v>
      </c>
      <c r="AU116" s="41" t="str">
        <f>AU103</f>
        <v>N NOMBRE DE SU RECETA | pegue esto — FAMILIA| Autor &gt; USTED</v>
      </c>
      <c r="AV116" s="40">
        <f>AV103</f>
        <v>0.6</v>
      </c>
      <c r="AW116" s="41" t="str">
        <f>AW103</f>
        <v>kg</v>
      </c>
      <c r="AX116" s="5386" t="str">
        <f>AX103</f>
        <v>Receta madre ► Ballotina de pintada</v>
      </c>
      <c r="AY116" s="213"/>
      <c r="AZ116" s="212"/>
      <c r="BA116" s="211" t="str">
        <f t="shared" si="30"/>
        <v/>
      </c>
      <c r="BB116" s="210"/>
      <c r="BC116" s="6366"/>
      <c r="BD116" s="5448">
        <v>1</v>
      </c>
      <c r="BE116" s="6866"/>
      <c r="BF116" s="6871"/>
      <c r="BG116" s="6253">
        <f>IF(BI137=0,0,(BI116/BI137)*BH106*1000)</f>
        <v>0</v>
      </c>
      <c r="BH116" s="6701">
        <f>IF(BI137=0, 0, (AY116*BD116)/(BI137*BH106))</f>
        <v>0</v>
      </c>
      <c r="BI116" s="5882">
        <f>IFERROR(_xlfn.LET(_xlpm.v,IFERROR(_xlfn.XLOOKUP(BC116,AY138:BL138,AY139:BL139),_xlfn.XLOOKUP(BC116,AY140:BL140,AY141:BL141)),_xlpm.v*BB116*IF(ISBLANK(AY116),1,AY116)),0)</f>
        <v>0</v>
      </c>
      <c r="BJ116" s="5254">
        <f>IF(OR(ISBLANK(BK102),BK102=0),0,AY116*BK100*BD116/BK102)</f>
        <v>0</v>
      </c>
      <c r="BK116" s="6051">
        <f>IF(OR(ISBLANK(BK102),BK102=0),0,BI116*BD116*BK100/BK102)</f>
        <v>0</v>
      </c>
      <c r="BL116" s="6199" t="str">
        <f>_xlfn.LET(_xlpm.unite,SUBSTITUTE(TRIM(BC116)," (s)",""),_xlpm.val,BK116,_xlpm.estVol,COUNTIF(BE138:BL138,_xlpm.unite)+COUNTIF(BE140:BL140,_xlpm.unite)&gt;0,_xlpm.estPoids,COUNTIF(AY138:BD138,_xlpm.unite)+COUNTIF(AY140:BD140,_xlpm.unite)&gt;0,IF(_xlpm.estVol,IF(ROUND(_xlpm.val,3)&gt;=1,ROUND(_xlpm.val,3)&amp;"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6" s="6872" t="s">
        <v>11052</v>
      </c>
      <c r="BP116" s="6377" t="s">
        <v>83</v>
      </c>
      <c r="BQ116" s="6372" t="s">
        <v>9182</v>
      </c>
      <c r="BR116" s="5783"/>
      <c r="BS116" s="5783"/>
      <c r="BT116" s="5783"/>
      <c r="BU116" s="5783"/>
      <c r="BV116" s="6403"/>
      <c r="BX116" s="6377" t="s">
        <v>83</v>
      </c>
      <c r="BY116" s="6372" t="s">
        <v>9530</v>
      </c>
      <c r="BZ116" s="5783"/>
      <c r="CA116" s="5783"/>
      <c r="CB116" s="5783"/>
      <c r="CC116" s="5783"/>
      <c r="CD116" s="6403"/>
      <c r="CF116" s="6377" t="s">
        <v>83</v>
      </c>
      <c r="CG116" s="6372" t="s">
        <v>9531</v>
      </c>
      <c r="CH116" s="5783"/>
      <c r="CI116" s="5783"/>
      <c r="CJ116" s="5783"/>
      <c r="CK116" s="5783"/>
      <c r="CL116" s="6403"/>
      <c r="CN116" s="5">
        <v>1</v>
      </c>
    </row>
    <row r="117" spans="2:92" ht="21" customHeight="1">
      <c r="B117" s="1021" t="str">
        <f t="shared" si="31"/>
        <v>►</v>
      </c>
      <c r="C117" s="41" t="str">
        <f>C103</f>
        <v>N NOM DE VOTRE RECETTE | pâtisserie--ENTREMET| Auteur &gt; VOUS</v>
      </c>
      <c r="D117" s="40">
        <f>D103</f>
        <v>1</v>
      </c>
      <c r="E117" s="41" t="str">
        <f>E103</f>
        <v>coupe</v>
      </c>
      <c r="F117" s="5386" t="str">
        <f>F103</f>
        <v>Recette mère ► MILLE-FEUILLE meringue et chiboust pamplemousse aux fraises des bois</v>
      </c>
      <c r="G117" s="213"/>
      <c r="H117" s="212"/>
      <c r="I117" s="211" t="str">
        <f t="shared" si="28"/>
        <v/>
      </c>
      <c r="J117" s="210"/>
      <c r="K117" s="6366"/>
      <c r="L117" s="5448">
        <v>1</v>
      </c>
      <c r="M117" s="6866"/>
      <c r="N117" s="6871"/>
      <c r="O117" s="6253">
        <f>IF(Q137=0,0,(Q117/Q137)*P106*1000)</f>
        <v>0</v>
      </c>
      <c r="P117" s="6701">
        <f>IF(Q137=0, 0, (G117*L117)/(Q137*P106))</f>
        <v>0</v>
      </c>
      <c r="Q117" s="5882">
        <f>IFERROR(_xlfn.LET(_xlpm.v,IFERROR(_xlfn.XLOOKUP(K117,G138:T138,G139:T139),_xlfn.XLOOKUP(K117,G140:T140,G141:T141)),_xlpm.v*J117*IF(ISBLANK(G117),1,G117)),0)</f>
        <v>0</v>
      </c>
      <c r="R117" s="5256">
        <f>IF(OR(ISBLANK(S102),S102=0),0,G117*S100*L117/S102)</f>
        <v>0</v>
      </c>
      <c r="S117" s="6051">
        <f>IF(OR(ISBLANK(S102),S102=0),0,Q117*L117*S100/S102)</f>
        <v>0</v>
      </c>
      <c r="T117" s="6201" t="str">
        <f>_xlfn.LET(_xlpm.unite,SUBSTITUTE(TRIM(K117)," (s)",""),_xlpm.val,S117,_xlpm.estVol,COUNTIF(M138:T138,_xlpm.unite)+COUNTIF(M140:T140,_xlpm.unite)&gt;0,_xlpm.estPoids,COUNTIF(G138:L138,_xlpm.unite)+COUNTIF(G140:L140,_xlpm.unite)&gt;0,IF(_xlpm.estVol,IF(ROUND(_xlpm.val,3)&gt;=1,ROUND(_xlpm.val,3)&amp;"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7" s="6872" t="s">
        <v>11053</v>
      </c>
      <c r="X117" s="1021" t="str">
        <f t="shared" si="32"/>
        <v>►</v>
      </c>
      <c r="Y117" s="41" t="str">
        <f>Y103</f>
        <v>N NAME OF YOUR RECIPE | paste it — FAMILY|  Author &gt; YOU</v>
      </c>
      <c r="Z117" s="40">
        <f>Z103</f>
        <v>0.6</v>
      </c>
      <c r="AA117" s="41" t="str">
        <f>AA103</f>
        <v>kg</v>
      </c>
      <c r="AB117" s="5386" t="str">
        <f>AB103</f>
        <v>Master recipe ► Guinea fowl ballotine</v>
      </c>
      <c r="AC117" s="213"/>
      <c r="AD117" s="212"/>
      <c r="AE117" s="211" t="str">
        <f t="shared" si="29"/>
        <v/>
      </c>
      <c r="AF117" s="210"/>
      <c r="AG117" s="6366"/>
      <c r="AH117" s="5448">
        <v>1</v>
      </c>
      <c r="AI117" s="6866"/>
      <c r="AJ117" s="6871"/>
      <c r="AK117" s="6253">
        <f>IF(AM137=0,0,(AM117/AM137)*AL106*1000)</f>
        <v>0</v>
      </c>
      <c r="AL117" s="6701">
        <f>IF(AM137=0, 0, (AC117*AH117)/(AM137*AL106))</f>
        <v>0</v>
      </c>
      <c r="AM117" s="5882">
        <f>IFERROR(_xlfn.LET(_xlpm.v,IFERROR(_xlfn.XLOOKUP(AG117,AC138:AP138,AC139:AP139),_xlfn.XLOOKUP(AG117,AC140:AP140,AC141:AP141)),_xlpm.v*AF117*IF(ISBLANK(AC117),1,AC117)),0)</f>
        <v>0</v>
      </c>
      <c r="AN117" s="5256">
        <f>IF(OR(ISBLANK(AO102),AO102=0),0,AC117*AO100*AH117/AO102)</f>
        <v>0</v>
      </c>
      <c r="AO117" s="6051">
        <f>IF(OR(ISBLANK(AO102),AO102=0),0,AM117*AH117*AO100/AO102)</f>
        <v>0</v>
      </c>
      <c r="AP117" s="6201" t="str">
        <f>_xlfn.LET(_xlpm.unite,SUBSTITUTE(TRIM(AG117)," (s)",""),_xlpm.val,AO117,_xlpm.estVol,COUNTIF(AI138:AP138,_xlpm.unite)+COUNTIF(AI140:AP140,_xlpm.unite)&gt;0,_xlpm.estPoids,COUNTIF(AC138:AH138,_xlpm.unite)+COUNTIF(AC140:AH140,_xlpm.unite)&gt;0,IF(_xlpm.estVol,IF(ROUND(_xlpm.val,3)&gt;=1,ROUND(_xlpm.val,3)&amp;"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7" s="6872" t="s">
        <v>11053</v>
      </c>
      <c r="AT117" s="1021" t="str">
        <f t="shared" si="33"/>
        <v>►</v>
      </c>
      <c r="AU117" s="41" t="str">
        <f>AU103</f>
        <v>N NOMBRE DE SU RECETA | pegue esto — FAMILIA| Autor &gt; USTED</v>
      </c>
      <c r="AV117" s="40">
        <f>AV103</f>
        <v>0.6</v>
      </c>
      <c r="AW117" s="41" t="str">
        <f>AW103</f>
        <v>kg</v>
      </c>
      <c r="AX117" s="5386" t="str">
        <f>AX103</f>
        <v>Receta madre ► Ballotina de pintada</v>
      </c>
      <c r="AY117" s="213"/>
      <c r="AZ117" s="212"/>
      <c r="BA117" s="211" t="str">
        <f t="shared" si="30"/>
        <v/>
      </c>
      <c r="BB117" s="210"/>
      <c r="BC117" s="6366"/>
      <c r="BD117" s="5448">
        <v>1</v>
      </c>
      <c r="BE117" s="6866"/>
      <c r="BF117" s="6871"/>
      <c r="BG117" s="6253">
        <f>IF(BI137=0,0,(BI117/BI137)*BH106*1000)</f>
        <v>0</v>
      </c>
      <c r="BH117" s="6701">
        <f>IF(BI137=0, 0, (AY117*BD117)/(BI137*BH106))</f>
        <v>0</v>
      </c>
      <c r="BI117" s="5882">
        <f>IFERROR(_xlfn.LET(_xlpm.v,IFERROR(_xlfn.XLOOKUP(BC117,AY138:BL138,AY139:BL139),_xlfn.XLOOKUP(BC117,AY140:BL140,AY141:BL141)),_xlpm.v*BB117*IF(ISBLANK(AY117),1,AY117)),0)</f>
        <v>0</v>
      </c>
      <c r="BJ117" s="5256">
        <f>IF(OR(ISBLANK(BK102),BK102=0),0,AY117*BK100*BD117/BK102)</f>
        <v>0</v>
      </c>
      <c r="BK117" s="6051">
        <f>IF(OR(ISBLANK(BK102),BK102=0),0,BI117*BD117*BK100/BK102)</f>
        <v>0</v>
      </c>
      <c r="BL117" s="6201" t="str">
        <f>_xlfn.LET(_xlpm.unite,SUBSTITUTE(TRIM(BC117)," (s)",""),_xlpm.val,BK117,_xlpm.estVol,COUNTIF(BE138:BL138,_xlpm.unite)+COUNTIF(BE140:BL140,_xlpm.unite)&gt;0,_xlpm.estPoids,COUNTIF(AY138:BD138,_xlpm.unite)+COUNTIF(AY140:BD140,_xlpm.unite)&gt;0,IF(_xlpm.estVol,IF(ROUND(_xlpm.val,3)&gt;=1,ROUND(_xlpm.val,3)&amp;"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7" s="6872" t="s">
        <v>11053</v>
      </c>
      <c r="BP117" s="6412" t="s">
        <v>904</v>
      </c>
      <c r="BQ117" s="5783"/>
      <c r="BR117" s="5783"/>
      <c r="BS117" s="5783"/>
      <c r="BT117" s="5783"/>
      <c r="BU117" s="5783"/>
      <c r="BV117" s="6403"/>
      <c r="BX117" s="6412" t="s">
        <v>9241</v>
      </c>
      <c r="BY117" s="5783"/>
      <c r="BZ117" s="5783"/>
      <c r="CA117" s="5783"/>
      <c r="CB117" s="5783"/>
      <c r="CC117" s="5783"/>
      <c r="CD117" s="6403"/>
      <c r="CF117" s="6412" t="s">
        <v>9383</v>
      </c>
      <c r="CG117" s="5783"/>
      <c r="CH117" s="5783"/>
      <c r="CI117" s="5783"/>
      <c r="CJ117" s="5783"/>
      <c r="CK117" s="5783"/>
      <c r="CL117" s="6403"/>
      <c r="CN117" s="5">
        <v>1</v>
      </c>
    </row>
    <row r="118" spans="2:92" ht="21" customHeight="1">
      <c r="B118" s="1021" t="str">
        <f t="shared" si="31"/>
        <v>►</v>
      </c>
      <c r="C118" s="41" t="str">
        <f>C103</f>
        <v>N NOM DE VOTRE RECETTE | pâtisserie--ENTREMET| Auteur &gt; VOUS</v>
      </c>
      <c r="D118" s="40">
        <f>D103</f>
        <v>1</v>
      </c>
      <c r="E118" s="41" t="str">
        <f>E103</f>
        <v>coupe</v>
      </c>
      <c r="F118" s="5386" t="str">
        <f>F103</f>
        <v>Recette mère ► MILLE-FEUILLE meringue et chiboust pamplemousse aux fraises des bois</v>
      </c>
      <c r="G118" s="213"/>
      <c r="H118" s="212"/>
      <c r="I118" s="211" t="str">
        <f t="shared" si="28"/>
        <v/>
      </c>
      <c r="J118" s="210"/>
      <c r="K118" s="6366"/>
      <c r="L118" s="5448">
        <v>1</v>
      </c>
      <c r="M118" s="6866"/>
      <c r="N118" s="6871"/>
      <c r="O118" s="6253">
        <f>IF(Q137=0,0,(Q118/Q137)*P106*1000)</f>
        <v>0</v>
      </c>
      <c r="P118" s="6701">
        <f>IF(Q137=0, 0, (G118*L118)/(Q137*P106))</f>
        <v>0</v>
      </c>
      <c r="Q118" s="5882">
        <f>IFERROR(_xlfn.LET(_xlpm.v,IFERROR(_xlfn.XLOOKUP(K118,G138:T138,G139:T139),_xlfn.XLOOKUP(K118,G140:T140,G141:T141)),_xlpm.v*J118*IF(ISBLANK(G118),1,G118)),0)</f>
        <v>0</v>
      </c>
      <c r="R118" s="5254">
        <f>IF(OR(ISBLANK(S102),S102=0),0,G118*S100*L118/S102)</f>
        <v>0</v>
      </c>
      <c r="S118" s="6051">
        <f>IF(OR(ISBLANK(S102),S102=0),0,Q118*L118*S100/S102)</f>
        <v>0</v>
      </c>
      <c r="T118" s="6199" t="str">
        <f>_xlfn.LET(_xlpm.unite,SUBSTITUTE(TRIM(K118)," (s)",""),_xlpm.val,S118,_xlpm.estVol,COUNTIF(M138:T138,_xlpm.unite)+COUNTIF(M140:T140,_xlpm.unite)&gt;0,_xlpm.estPoids,COUNTIF(G138:L138,_xlpm.unite)+COUNTIF(G140:L140,_xlpm.unite)&gt;0,IF(_xlpm.estVol,IF(ROUND(_xlpm.val,3)&gt;=1,ROUND(_xlpm.val,3)&amp;"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8" s="6872" t="s">
        <v>11054</v>
      </c>
      <c r="X118" s="1021" t="str">
        <f t="shared" si="32"/>
        <v>►</v>
      </c>
      <c r="Y118" s="41" t="str">
        <f>Y103</f>
        <v>N NAME OF YOUR RECIPE | paste it — FAMILY|  Author &gt; YOU</v>
      </c>
      <c r="Z118" s="40">
        <f>Z103</f>
        <v>0.6</v>
      </c>
      <c r="AA118" s="41" t="str">
        <f>AA103</f>
        <v>kg</v>
      </c>
      <c r="AB118" s="5386" t="str">
        <f>AB103</f>
        <v>Master recipe ► Guinea fowl ballotine</v>
      </c>
      <c r="AC118" s="213"/>
      <c r="AD118" s="212"/>
      <c r="AE118" s="211" t="str">
        <f t="shared" si="29"/>
        <v/>
      </c>
      <c r="AF118" s="210"/>
      <c r="AG118" s="6366"/>
      <c r="AH118" s="5448">
        <v>1</v>
      </c>
      <c r="AI118" s="6866"/>
      <c r="AJ118" s="6871"/>
      <c r="AK118" s="6253">
        <f>IF(AM137=0,0,(AM118/AM137)*AL106*1000)</f>
        <v>0</v>
      </c>
      <c r="AL118" s="6701">
        <f>IF(AM137=0, 0, (AC118*AH118)/(AM137*AL106))</f>
        <v>0</v>
      </c>
      <c r="AM118" s="5882">
        <f>IFERROR(_xlfn.LET(_xlpm.v,IFERROR(_xlfn.XLOOKUP(AG118,AC138:AP138,AC139:AP139),_xlfn.XLOOKUP(AG118,AC140:AP140,AC141:AP141)),_xlpm.v*AF118*IF(ISBLANK(AC118),1,AC118)),0)</f>
        <v>0</v>
      </c>
      <c r="AN118" s="5254">
        <f>IF(OR(ISBLANK(AO102),AO102=0),0,AC118*AO100*AH118/AO102)</f>
        <v>0</v>
      </c>
      <c r="AO118" s="6051">
        <f>IF(OR(ISBLANK(AO102),AO102=0),0,AM118*AH118*AO100/AO102)</f>
        <v>0</v>
      </c>
      <c r="AP118" s="6199" t="str">
        <f>_xlfn.LET(_xlpm.unite,SUBSTITUTE(TRIM(AG118)," (s)",""),_xlpm.val,AO118,_xlpm.estVol,COUNTIF(AI138:AP138,_xlpm.unite)+COUNTIF(AI140:AP140,_xlpm.unite)&gt;0,_xlpm.estPoids,COUNTIF(AC138:AH138,_xlpm.unite)+COUNTIF(AC140:AH140,_xlpm.unite)&gt;0,IF(_xlpm.estVol,IF(ROUND(_xlpm.val,3)&gt;=1,ROUND(_xlpm.val,3)&amp;"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8" s="6872" t="s">
        <v>11054</v>
      </c>
      <c r="AT118" s="1021" t="str">
        <f t="shared" si="33"/>
        <v>►</v>
      </c>
      <c r="AU118" s="41" t="str">
        <f>AU103</f>
        <v>N NOMBRE DE SU RECETA | pegue esto — FAMILIA| Autor &gt; USTED</v>
      </c>
      <c r="AV118" s="40">
        <f>AV103</f>
        <v>0.6</v>
      </c>
      <c r="AW118" s="41" t="str">
        <f>AW103</f>
        <v>kg</v>
      </c>
      <c r="AX118" s="5386" t="str">
        <f>AX103</f>
        <v>Receta madre ► Ballotina de pintada</v>
      </c>
      <c r="AY118" s="213"/>
      <c r="AZ118" s="212"/>
      <c r="BA118" s="211" t="str">
        <f t="shared" si="30"/>
        <v/>
      </c>
      <c r="BB118" s="210"/>
      <c r="BC118" s="6366"/>
      <c r="BD118" s="5448">
        <v>1</v>
      </c>
      <c r="BE118" s="6866"/>
      <c r="BF118" s="6871"/>
      <c r="BG118" s="6253">
        <f>IF(BI137=0,0,(BI118/BI137)*BH106*1000)</f>
        <v>0</v>
      </c>
      <c r="BH118" s="6701">
        <f>IF(BI137=0, 0, (AY118*BD118)/(BI137*BH106))</f>
        <v>0</v>
      </c>
      <c r="BI118" s="5882">
        <f>IFERROR(_xlfn.LET(_xlpm.v,IFERROR(_xlfn.XLOOKUP(BC118,AY138:BL138,AY139:BL139),_xlfn.XLOOKUP(BC118,AY140:BL140,AY141:BL141)),_xlpm.v*BB118*IF(ISBLANK(AY118),1,AY118)),0)</f>
        <v>0</v>
      </c>
      <c r="BJ118" s="5254">
        <f>IF(OR(ISBLANK(BK102),BK102=0),0,AY118*BK100*BD118/BK102)</f>
        <v>0</v>
      </c>
      <c r="BK118" s="6051">
        <f>IF(OR(ISBLANK(BK102),BK102=0),0,BI118*BD118*BK100/BK102)</f>
        <v>0</v>
      </c>
      <c r="BL118" s="6199" t="str">
        <f>_xlfn.LET(_xlpm.unite,SUBSTITUTE(TRIM(BC118)," (s)",""),_xlpm.val,BK118,_xlpm.estVol,COUNTIF(BE138:BL138,_xlpm.unite)+COUNTIF(BE140:BL140,_xlpm.unite)&gt;0,_xlpm.estPoids,COUNTIF(AY138:BD138,_xlpm.unite)+COUNTIF(AY140:BD140,_xlpm.unite)&gt;0,IF(_xlpm.estVol,IF(ROUND(_xlpm.val,3)&gt;=1,ROUND(_xlpm.val,3)&amp;"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8" s="6872" t="s">
        <v>11054</v>
      </c>
      <c r="BP118" s="6404"/>
      <c r="BQ118" s="5783"/>
      <c r="BR118" s="5783"/>
      <c r="BS118" s="5783"/>
      <c r="BT118" s="5783"/>
      <c r="BU118" s="5783"/>
      <c r="BV118" s="6403"/>
      <c r="BX118" s="6404"/>
      <c r="BY118" s="5783"/>
      <c r="BZ118" s="5783"/>
      <c r="CA118" s="5783"/>
      <c r="CB118" s="5783"/>
      <c r="CC118" s="5783"/>
      <c r="CD118" s="6403"/>
      <c r="CF118" s="6404"/>
      <c r="CG118" s="5783"/>
      <c r="CH118" s="5783"/>
      <c r="CI118" s="5783"/>
      <c r="CJ118" s="5783"/>
      <c r="CK118" s="5783"/>
      <c r="CL118" s="6403"/>
      <c r="CN118" s="5">
        <v>1</v>
      </c>
    </row>
    <row r="119" spans="2:92" ht="21" customHeight="1">
      <c r="B119" s="1021" t="str">
        <f t="shared" si="31"/>
        <v>►</v>
      </c>
      <c r="C119" s="41" t="str">
        <f>C103</f>
        <v>N NOM DE VOTRE RECETTE | pâtisserie--ENTREMET| Auteur &gt; VOUS</v>
      </c>
      <c r="D119" s="40">
        <f>D103</f>
        <v>1</v>
      </c>
      <c r="E119" s="41" t="str">
        <f>E103</f>
        <v>coupe</v>
      </c>
      <c r="F119" s="5386" t="str">
        <f>F103</f>
        <v>Recette mère ► MILLE-FEUILLE meringue et chiboust pamplemousse aux fraises des bois</v>
      </c>
      <c r="G119" s="213"/>
      <c r="H119" s="212"/>
      <c r="I119" s="211" t="str">
        <f t="shared" si="28"/>
        <v/>
      </c>
      <c r="J119" s="210"/>
      <c r="K119" s="6366"/>
      <c r="L119" s="5448">
        <v>1</v>
      </c>
      <c r="M119" s="6866"/>
      <c r="N119" s="6871"/>
      <c r="O119" s="6253">
        <f>IF(Q137=0,0,(Q119/Q137)*P106*1000)</f>
        <v>0</v>
      </c>
      <c r="P119" s="6701">
        <f>IF(Q137=0, 0, (G119*L119)/(Q137*P106))</f>
        <v>0</v>
      </c>
      <c r="Q119" s="5882">
        <f>IFERROR(_xlfn.LET(_xlpm.v,IFERROR(_xlfn.XLOOKUP(K119,G138:T138,G139:T139),_xlfn.XLOOKUP(K119,G140:T140,G141:T141)),_xlpm.v*J119*IF(ISBLANK(G119),1,G119)),0)</f>
        <v>0</v>
      </c>
      <c r="R119" s="5256">
        <f>IF(OR(ISBLANK(S102),S102=0),0,G119*S100*L119/S102)</f>
        <v>0</v>
      </c>
      <c r="S119" s="6051">
        <f>IF(OR(ISBLANK(S102),S102=0),0,Q119*L119*S100/S102)</f>
        <v>0</v>
      </c>
      <c r="T119" s="6201" t="str">
        <f>_xlfn.LET(_xlpm.unite,SUBSTITUTE(TRIM(K119)," (s)",""),_xlpm.val,S119,_xlpm.estVol,COUNTIF(M138:T138,_xlpm.unite)+COUNTIF(M140:T140,_xlpm.unite)&gt;0,_xlpm.estPoids,COUNTIF(G138:L138,_xlpm.unite)+COUNTIF(G140:L140,_xlpm.unite)&gt;0,IF(_xlpm.estVol,IF(ROUND(_xlpm.val,3)&gt;=1,ROUND(_xlpm.val,3)&amp;"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19" s="6872" t="s">
        <v>11055</v>
      </c>
      <c r="X119" s="1021" t="str">
        <f t="shared" si="32"/>
        <v>►</v>
      </c>
      <c r="Y119" s="41" t="str">
        <f>Y103</f>
        <v>N NAME OF YOUR RECIPE | paste it — FAMILY|  Author &gt; YOU</v>
      </c>
      <c r="Z119" s="40">
        <f>Z103</f>
        <v>0.6</v>
      </c>
      <c r="AA119" s="41" t="str">
        <f>AA103</f>
        <v>kg</v>
      </c>
      <c r="AB119" s="5386" t="str">
        <f>AB103</f>
        <v>Master recipe ► Guinea fowl ballotine</v>
      </c>
      <c r="AC119" s="213"/>
      <c r="AD119" s="212"/>
      <c r="AE119" s="211" t="str">
        <f t="shared" si="29"/>
        <v/>
      </c>
      <c r="AF119" s="210"/>
      <c r="AG119" s="6366"/>
      <c r="AH119" s="5448">
        <v>1</v>
      </c>
      <c r="AI119" s="6866"/>
      <c r="AJ119" s="6871"/>
      <c r="AK119" s="6253">
        <f>IF(AM137=0,0,(AM119/AM137)*AL106*1000)</f>
        <v>0</v>
      </c>
      <c r="AL119" s="6701">
        <f>IF(AM137=0, 0, (AC119*AH119)/(AM137*AL106))</f>
        <v>0</v>
      </c>
      <c r="AM119" s="5882">
        <f>IFERROR(_xlfn.LET(_xlpm.v,IFERROR(_xlfn.XLOOKUP(AG119,AC138:AP138,AC139:AP139),_xlfn.XLOOKUP(AG119,AC140:AP140,AC141:AP141)),_xlpm.v*AF119*IF(ISBLANK(AC119),1,AC119)),0)</f>
        <v>0</v>
      </c>
      <c r="AN119" s="5256">
        <f>IF(OR(ISBLANK(AO102),AO102=0),0,AC119*AO100*AH119/AO102)</f>
        <v>0</v>
      </c>
      <c r="AO119" s="6051">
        <f>IF(OR(ISBLANK(AO102),AO102=0),0,AM119*AH119*AO100/AO102)</f>
        <v>0</v>
      </c>
      <c r="AP119" s="6201" t="str">
        <f>_xlfn.LET(_xlpm.unite,SUBSTITUTE(TRIM(AG119)," (s)",""),_xlpm.val,AO119,_xlpm.estVol,COUNTIF(AI138:AP138,_xlpm.unite)+COUNTIF(AI140:AP140,_xlpm.unite)&gt;0,_xlpm.estPoids,COUNTIF(AC138:AH138,_xlpm.unite)+COUNTIF(AC140:AH140,_xlpm.unite)&gt;0,IF(_xlpm.estVol,IF(ROUND(_xlpm.val,3)&gt;=1,ROUND(_xlpm.val,3)&amp;"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19" s="6872" t="s">
        <v>11055</v>
      </c>
      <c r="AT119" s="1021" t="str">
        <f t="shared" si="33"/>
        <v>►</v>
      </c>
      <c r="AU119" s="41" t="str">
        <f>AU103</f>
        <v>N NOMBRE DE SU RECETA | pegue esto — FAMILIA| Autor &gt; USTED</v>
      </c>
      <c r="AV119" s="40">
        <f>AV103</f>
        <v>0.6</v>
      </c>
      <c r="AW119" s="41" t="str">
        <f>AW103</f>
        <v>kg</v>
      </c>
      <c r="AX119" s="5386" t="str">
        <f>AX103</f>
        <v>Receta madre ► Ballotina de pintada</v>
      </c>
      <c r="AY119" s="213"/>
      <c r="AZ119" s="212"/>
      <c r="BA119" s="211" t="str">
        <f t="shared" si="30"/>
        <v/>
      </c>
      <c r="BB119" s="210"/>
      <c r="BC119" s="6366"/>
      <c r="BD119" s="5448">
        <v>1</v>
      </c>
      <c r="BE119" s="6866"/>
      <c r="BF119" s="6871"/>
      <c r="BG119" s="6253">
        <f>IF(BI137=0,0,(BI119/BI137)*BH106*1000)</f>
        <v>0</v>
      </c>
      <c r="BH119" s="6701">
        <f>IF(BI137=0, 0, (AY119*BD119)/(BI137*BH106))</f>
        <v>0</v>
      </c>
      <c r="BI119" s="5882">
        <f>IFERROR(_xlfn.LET(_xlpm.v,IFERROR(_xlfn.XLOOKUP(BC119,AY138:BL138,AY139:BL139),_xlfn.XLOOKUP(BC119,AY140:BL140,AY141:BL141)),_xlpm.v*BB119*IF(ISBLANK(AY119),1,AY119)),0)</f>
        <v>0</v>
      </c>
      <c r="BJ119" s="5256">
        <f>IF(OR(ISBLANK(BK102),BK102=0),0,AY119*BK100*BD119/BK102)</f>
        <v>0</v>
      </c>
      <c r="BK119" s="6051">
        <f>IF(OR(ISBLANK(BK102),BK102=0),0,BI119*BD119*BK100/BK102)</f>
        <v>0</v>
      </c>
      <c r="BL119" s="6201" t="str">
        <f>_xlfn.LET(_xlpm.unite,SUBSTITUTE(TRIM(BC119)," (s)",""),_xlpm.val,BK119,_xlpm.estVol,COUNTIF(BE138:BL138,_xlpm.unite)+COUNTIF(BE140:BL140,_xlpm.unite)&gt;0,_xlpm.estPoids,COUNTIF(AY138:BD138,_xlpm.unite)+COUNTIF(AY140:BD140,_xlpm.unite)&gt;0,IF(_xlpm.estVol,IF(ROUND(_xlpm.val,3)&gt;=1,ROUND(_xlpm.val,3)&amp;"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19" s="6872" t="s">
        <v>11055</v>
      </c>
      <c r="BP119" s="1079"/>
      <c r="BQ119" s="1080"/>
      <c r="BR119" s="1081"/>
      <c r="BS119" s="1080"/>
      <c r="BT119" s="1080"/>
      <c r="BU119" s="1080"/>
      <c r="BV119" s="1082"/>
      <c r="BX119" s="1079"/>
      <c r="BY119" s="1080"/>
      <c r="BZ119" s="1081"/>
      <c r="CA119" s="1080"/>
      <c r="CB119" s="1080"/>
      <c r="CC119" s="1080"/>
      <c r="CD119" s="1082"/>
      <c r="CF119" s="1079"/>
      <c r="CG119" s="1080"/>
      <c r="CH119" s="1081"/>
      <c r="CI119" s="1080"/>
      <c r="CJ119" s="1080"/>
      <c r="CK119" s="1080"/>
      <c r="CL119" s="1082"/>
      <c r="CN119" s="5">
        <v>1</v>
      </c>
    </row>
    <row r="120" spans="2:92" ht="21" customHeight="1">
      <c r="B120" s="1021" t="str">
        <f t="shared" si="31"/>
        <v>►</v>
      </c>
      <c r="C120" s="41" t="str">
        <f>C103</f>
        <v>N NOM DE VOTRE RECETTE | pâtisserie--ENTREMET| Auteur &gt; VOUS</v>
      </c>
      <c r="D120" s="40">
        <f>D103</f>
        <v>1</v>
      </c>
      <c r="E120" s="41" t="str">
        <f>E103</f>
        <v>coupe</v>
      </c>
      <c r="F120" s="5386" t="str">
        <f>F103</f>
        <v>Recette mère ► MILLE-FEUILLE meringue et chiboust pamplemousse aux fraises des bois</v>
      </c>
      <c r="G120" s="213"/>
      <c r="H120" s="212"/>
      <c r="I120" s="211" t="str">
        <f t="shared" si="28"/>
        <v/>
      </c>
      <c r="J120" s="210"/>
      <c r="K120" s="6366"/>
      <c r="L120" s="5448">
        <v>1</v>
      </c>
      <c r="M120" s="6866"/>
      <c r="N120" s="6871"/>
      <c r="O120" s="6253">
        <f>IF(Q137=0,0,(Q120/Q137)*P106*1000)</f>
        <v>0</v>
      </c>
      <c r="P120" s="6701">
        <f>IF(Q137=0, 0, (G120*L120)/(Q137*P106))</f>
        <v>0</v>
      </c>
      <c r="Q120" s="5882">
        <f>IFERROR(_xlfn.LET(_xlpm.v,IFERROR(_xlfn.XLOOKUP(K120,G138:T138,G139:T139),_xlfn.XLOOKUP(K120,G140:T140,G141:T141)),_xlpm.v*J120*IF(ISBLANK(G120),1,G120)),0)</f>
        <v>0</v>
      </c>
      <c r="R120" s="5254">
        <f>IF(OR(ISBLANK(S102),S102=0),0,G120*S100*L120/S102)</f>
        <v>0</v>
      </c>
      <c r="S120" s="6051">
        <f>IF(OR(ISBLANK(S102),S102=0),0,Q120*L120*S100/S102)</f>
        <v>0</v>
      </c>
      <c r="T120" s="6199" t="str">
        <f>_xlfn.LET(_xlpm.unite,SUBSTITUTE(TRIM(K120)," (s)",""),_xlpm.val,S120,_xlpm.estVol,COUNTIF(M138:T138,_xlpm.unite)+COUNTIF(M140:T140,_xlpm.unite)&gt;0,_xlpm.estPoids,COUNTIF(G138:L138,_xlpm.unite)+COUNTIF(G140:L140,_xlpm.unite)&gt;0,IF(_xlpm.estVol,IF(ROUND(_xlpm.val,3)&gt;=1,ROUND(_xlpm.val,3)&amp;"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0" s="6872" t="s">
        <v>11056</v>
      </c>
      <c r="X120" s="1021" t="str">
        <f t="shared" si="32"/>
        <v>►</v>
      </c>
      <c r="Y120" s="41" t="str">
        <f>Y103</f>
        <v>N NAME OF YOUR RECIPE | paste it — FAMILY|  Author &gt; YOU</v>
      </c>
      <c r="Z120" s="40">
        <f>Z103</f>
        <v>0.6</v>
      </c>
      <c r="AA120" s="41" t="str">
        <f>AA103</f>
        <v>kg</v>
      </c>
      <c r="AB120" s="5386" t="str">
        <f>AB103</f>
        <v>Master recipe ► Guinea fowl ballotine</v>
      </c>
      <c r="AC120" s="213"/>
      <c r="AD120" s="212"/>
      <c r="AE120" s="211" t="str">
        <f t="shared" si="29"/>
        <v/>
      </c>
      <c r="AF120" s="210"/>
      <c r="AG120" s="6366"/>
      <c r="AH120" s="5448">
        <v>1</v>
      </c>
      <c r="AI120" s="6866"/>
      <c r="AJ120" s="6871"/>
      <c r="AK120" s="6253">
        <f>IF(AM137=0,0,(AM120/AM137)*AL106*1000)</f>
        <v>0</v>
      </c>
      <c r="AL120" s="6701">
        <f>IF(AM137=0, 0, (AC120*AH120)/(AM137*AL106))</f>
        <v>0</v>
      </c>
      <c r="AM120" s="5882">
        <f>IFERROR(_xlfn.LET(_xlpm.v,IFERROR(_xlfn.XLOOKUP(AG120,AC138:AP138,AC139:AP139),_xlfn.XLOOKUP(AG120,AC140:AP140,AC141:AP141)),_xlpm.v*AF120*IF(ISBLANK(AC120),1,AC120)),0)</f>
        <v>0</v>
      </c>
      <c r="AN120" s="5254">
        <f>IF(OR(ISBLANK(AO102),AO102=0),0,AC120*AO100*AH120/AO102)</f>
        <v>0</v>
      </c>
      <c r="AO120" s="6051">
        <f>IF(OR(ISBLANK(AO102),AO102=0),0,AM120*AH120*AO100/AO102)</f>
        <v>0</v>
      </c>
      <c r="AP120" s="6199" t="str">
        <f>_xlfn.LET(_xlpm.unite,SUBSTITUTE(TRIM(AG120)," (s)",""),_xlpm.val,AO120,_xlpm.estVol,COUNTIF(AI138:AP138,_xlpm.unite)+COUNTIF(AI140:AP140,_xlpm.unite)&gt;0,_xlpm.estPoids,COUNTIF(AC138:AH138,_xlpm.unite)+COUNTIF(AC140:AH140,_xlpm.unite)&gt;0,IF(_xlpm.estVol,IF(ROUND(_xlpm.val,3)&gt;=1,ROUND(_xlpm.val,3)&amp;"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0" s="6872" t="s">
        <v>11056</v>
      </c>
      <c r="AT120" s="1021" t="str">
        <f t="shared" si="33"/>
        <v>►</v>
      </c>
      <c r="AU120" s="41" t="str">
        <f>AU103</f>
        <v>N NOMBRE DE SU RECETA | pegue esto — FAMILIA| Autor &gt; USTED</v>
      </c>
      <c r="AV120" s="40">
        <f>AV103</f>
        <v>0.6</v>
      </c>
      <c r="AW120" s="41" t="str">
        <f>AW103</f>
        <v>kg</v>
      </c>
      <c r="AX120" s="5386" t="str">
        <f>AX103</f>
        <v>Receta madre ► Ballotina de pintada</v>
      </c>
      <c r="AY120" s="213"/>
      <c r="AZ120" s="212"/>
      <c r="BA120" s="211" t="str">
        <f t="shared" si="30"/>
        <v/>
      </c>
      <c r="BB120" s="210"/>
      <c r="BC120" s="6366"/>
      <c r="BD120" s="5448">
        <v>1</v>
      </c>
      <c r="BE120" s="6866"/>
      <c r="BF120" s="6871"/>
      <c r="BG120" s="6253">
        <f>IF(BI137=0,0,(BI120/BI137)*BH106*1000)</f>
        <v>0</v>
      </c>
      <c r="BH120" s="6701">
        <f>IF(BI137=0, 0, (AY120*BD120)/(BI137*BH106))</f>
        <v>0</v>
      </c>
      <c r="BI120" s="5882">
        <f>IFERROR(_xlfn.LET(_xlpm.v,IFERROR(_xlfn.XLOOKUP(BC120,AY138:BL138,AY139:BL139),_xlfn.XLOOKUP(BC120,AY140:BL140,AY141:BL141)),_xlpm.v*BB120*IF(ISBLANK(AY120),1,AY120)),0)</f>
        <v>0</v>
      </c>
      <c r="BJ120" s="5254">
        <f>IF(OR(ISBLANK(BK102),BK102=0),0,AY120*BK100*BD120/BK102)</f>
        <v>0</v>
      </c>
      <c r="BK120" s="6051">
        <f>IF(OR(ISBLANK(BK102),BK102=0),0,BI120*BD120*BK100/BK102)</f>
        <v>0</v>
      </c>
      <c r="BL120" s="6199" t="str">
        <f>_xlfn.LET(_xlpm.unite,SUBSTITUTE(TRIM(BC120)," (s)",""),_xlpm.val,BK120,_xlpm.estVol,COUNTIF(BE138:BL138,_xlpm.unite)+COUNTIF(BE140:BL140,_xlpm.unite)&gt;0,_xlpm.estPoids,COUNTIF(AY138:BD138,_xlpm.unite)+COUNTIF(AY140:BD140,_xlpm.unite)&gt;0,IF(_xlpm.estVol,IF(ROUND(_xlpm.val,3)&gt;=1,ROUND(_xlpm.val,3)&amp;"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0" s="6872" t="s">
        <v>11056</v>
      </c>
      <c r="BP120" s="6489"/>
      <c r="BQ120" s="6490"/>
      <c r="BR120" s="6491"/>
      <c r="BS120" s="6490"/>
      <c r="BT120" s="6490"/>
      <c r="BU120" s="6490"/>
      <c r="BV120" s="6492"/>
      <c r="BX120" s="6489"/>
      <c r="BY120" s="6490"/>
      <c r="BZ120" s="6491"/>
      <c r="CA120" s="6490"/>
      <c r="CB120" s="6490"/>
      <c r="CC120" s="6490"/>
      <c r="CD120" s="6492"/>
      <c r="CF120" s="6489"/>
      <c r="CG120" s="6490"/>
      <c r="CH120" s="6491"/>
      <c r="CI120" s="6490"/>
      <c r="CJ120" s="6490"/>
      <c r="CK120" s="6490"/>
      <c r="CL120" s="6492"/>
      <c r="CN120" s="5">
        <v>1</v>
      </c>
    </row>
    <row r="121" spans="2:92" ht="21" customHeight="1">
      <c r="B121" s="1021" t="str">
        <f t="shared" si="31"/>
        <v>►</v>
      </c>
      <c r="C121" s="41" t="str">
        <f>C103</f>
        <v>N NOM DE VOTRE RECETTE | pâtisserie--ENTREMET| Auteur &gt; VOUS</v>
      </c>
      <c r="D121" s="40">
        <f>D103</f>
        <v>1</v>
      </c>
      <c r="E121" s="41" t="str">
        <f>E103</f>
        <v>coupe</v>
      </c>
      <c r="F121" s="5386" t="str">
        <f>F103</f>
        <v>Recette mère ► MILLE-FEUILLE meringue et chiboust pamplemousse aux fraises des bois</v>
      </c>
      <c r="G121" s="213"/>
      <c r="H121" s="212"/>
      <c r="I121" s="211" t="str">
        <f t="shared" si="28"/>
        <v/>
      </c>
      <c r="J121" s="210"/>
      <c r="K121" s="6366"/>
      <c r="L121" s="5448">
        <v>1</v>
      </c>
      <c r="M121" s="6866"/>
      <c r="N121" s="6871"/>
      <c r="O121" s="6253">
        <f>IF(Q137=0,0,(Q121/Q137)*P106*1000)</f>
        <v>0</v>
      </c>
      <c r="P121" s="6701">
        <f>IF(Q137=0, 0, (G121*L121)/(Q137*P106))</f>
        <v>0</v>
      </c>
      <c r="Q121" s="5882">
        <f>IFERROR(_xlfn.LET(_xlpm.v,IFERROR(_xlfn.XLOOKUP(K121,G138:T138,G139:T139),_xlfn.XLOOKUP(K121,G140:T140,G141:T141)),_xlpm.v*J121*IF(ISBLANK(G121),1,G121)),0)</f>
        <v>0</v>
      </c>
      <c r="R121" s="5256">
        <f>IF(OR(ISBLANK(S102),S102=0),0,G121*S100*L121/S102)</f>
        <v>0</v>
      </c>
      <c r="S121" s="6051">
        <f>IF(OR(ISBLANK(S102),S102=0),0,Q121*L121*S100/S102)</f>
        <v>0</v>
      </c>
      <c r="T121" s="6201" t="str">
        <f>_xlfn.LET(_xlpm.unite,SUBSTITUTE(TRIM(K121)," (s)",""),_xlpm.val,S121,_xlpm.estVol,COUNTIF(M138:T138,_xlpm.unite)+COUNTIF(M140:T140,_xlpm.unite)&gt;0,_xlpm.estPoids,COUNTIF(G138:L138,_xlpm.unite)+COUNTIF(G140:L140,_xlpm.unite)&gt;0,IF(_xlpm.estVol,IF(ROUND(_xlpm.val,3)&gt;=1,ROUND(_xlpm.val,3)&amp;"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1" s="6872" t="s">
        <v>11057</v>
      </c>
      <c r="X121" s="1021" t="str">
        <f t="shared" si="32"/>
        <v>►</v>
      </c>
      <c r="Y121" s="41" t="str">
        <f>Y103</f>
        <v>N NAME OF YOUR RECIPE | paste it — FAMILY|  Author &gt; YOU</v>
      </c>
      <c r="Z121" s="40">
        <f>Z103</f>
        <v>0.6</v>
      </c>
      <c r="AA121" s="41" t="str">
        <f>AA103</f>
        <v>kg</v>
      </c>
      <c r="AB121" s="5386" t="str">
        <f>AB103</f>
        <v>Master recipe ► Guinea fowl ballotine</v>
      </c>
      <c r="AC121" s="213"/>
      <c r="AD121" s="212"/>
      <c r="AE121" s="211" t="str">
        <f t="shared" si="29"/>
        <v/>
      </c>
      <c r="AF121" s="210"/>
      <c r="AG121" s="6366"/>
      <c r="AH121" s="5448">
        <v>1</v>
      </c>
      <c r="AI121" s="6866"/>
      <c r="AJ121" s="6871"/>
      <c r="AK121" s="6253">
        <f>IF(AM137=0,0,(AM121/AM137)*AL106*1000)</f>
        <v>0</v>
      </c>
      <c r="AL121" s="6701">
        <f>IF(AM137=0, 0, (AC121*AH121)/(AM137*AL106))</f>
        <v>0</v>
      </c>
      <c r="AM121" s="5882">
        <f>IFERROR(_xlfn.LET(_xlpm.v,IFERROR(_xlfn.XLOOKUP(AG121,AC138:AP138,AC139:AP139),_xlfn.XLOOKUP(AG121,AC140:AP140,AC141:AP141)),_xlpm.v*AF121*IF(ISBLANK(AC121),1,AC121)),0)</f>
        <v>0</v>
      </c>
      <c r="AN121" s="5256">
        <f>IF(OR(ISBLANK(AO102),AO102=0),0,AC121*AO100*AH121/AO102)</f>
        <v>0</v>
      </c>
      <c r="AO121" s="6051">
        <f>IF(OR(ISBLANK(AO102),AO102=0),0,AM121*AH121*AO100/AO102)</f>
        <v>0</v>
      </c>
      <c r="AP121" s="6201" t="str">
        <f>_xlfn.LET(_xlpm.unite,SUBSTITUTE(TRIM(AG121)," (s)",""),_xlpm.val,AO121,_xlpm.estVol,COUNTIF(AI138:AP138,_xlpm.unite)+COUNTIF(AI140:AP140,_xlpm.unite)&gt;0,_xlpm.estPoids,COUNTIF(AC138:AH138,_xlpm.unite)+COUNTIF(AC140:AH140,_xlpm.unite)&gt;0,IF(_xlpm.estVol,IF(ROUND(_xlpm.val,3)&gt;=1,ROUND(_xlpm.val,3)&amp;"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1" s="6872" t="s">
        <v>11057</v>
      </c>
      <c r="AT121" s="1021" t="str">
        <f t="shared" si="33"/>
        <v>►</v>
      </c>
      <c r="AU121" s="41" t="str">
        <f>AU103</f>
        <v>N NOMBRE DE SU RECETA | pegue esto — FAMILIA| Autor &gt; USTED</v>
      </c>
      <c r="AV121" s="40">
        <f>AV103</f>
        <v>0.6</v>
      </c>
      <c r="AW121" s="41" t="str">
        <f>AW103</f>
        <v>kg</v>
      </c>
      <c r="AX121" s="5386" t="str">
        <f>AX103</f>
        <v>Receta madre ► Ballotina de pintada</v>
      </c>
      <c r="AY121" s="213"/>
      <c r="AZ121" s="212"/>
      <c r="BA121" s="211" t="str">
        <f t="shared" si="30"/>
        <v/>
      </c>
      <c r="BB121" s="210"/>
      <c r="BC121" s="6366"/>
      <c r="BD121" s="5448">
        <v>1</v>
      </c>
      <c r="BE121" s="6866"/>
      <c r="BF121" s="6871"/>
      <c r="BG121" s="6253">
        <f>IF(BI137=0,0,(BI121/BI137)*BH106*1000)</f>
        <v>0</v>
      </c>
      <c r="BH121" s="6701">
        <f>IF(BI137=0, 0, (AY121*BD121)/(BI137*BH106))</f>
        <v>0</v>
      </c>
      <c r="BI121" s="5882">
        <f>IFERROR(_xlfn.LET(_xlpm.v,IFERROR(_xlfn.XLOOKUP(BC121,AY138:BL138,AY139:BL139),_xlfn.XLOOKUP(BC121,AY140:BL140,AY141:BL141)),_xlpm.v*BB121*IF(ISBLANK(AY121),1,AY121)),0)</f>
        <v>0</v>
      </c>
      <c r="BJ121" s="5256">
        <f>IF(OR(ISBLANK(BK102),BK102=0),0,AY121*BK100*BD121/BK102)</f>
        <v>0</v>
      </c>
      <c r="BK121" s="6051">
        <f>IF(OR(ISBLANK(BK102),BK102=0),0,BI121*BD121*BK100/BK102)</f>
        <v>0</v>
      </c>
      <c r="BL121" s="6201" t="str">
        <f>_xlfn.LET(_xlpm.unite,SUBSTITUTE(TRIM(BC121)," (s)",""),_xlpm.val,BK121,_xlpm.estVol,COUNTIF(BE138:BL138,_xlpm.unite)+COUNTIF(BE140:BL140,_xlpm.unite)&gt;0,_xlpm.estPoids,COUNTIF(AY138:BD138,_xlpm.unite)+COUNTIF(AY140:BD140,_xlpm.unite)&gt;0,IF(_xlpm.estVol,IF(ROUND(_xlpm.val,3)&gt;=1,ROUND(_xlpm.val,3)&amp;"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1" s="6872" t="s">
        <v>11057</v>
      </c>
      <c r="BP121" s="7130" t="s">
        <v>9185</v>
      </c>
      <c r="BQ121" s="5998">
        <v>1</v>
      </c>
      <c r="BR121" s="6429" t="s">
        <v>912</v>
      </c>
      <c r="BS121" s="5783"/>
      <c r="BT121" s="5783"/>
      <c r="BU121" s="5783"/>
      <c r="BV121" s="6403"/>
      <c r="BX121" s="7130" t="s">
        <v>9185</v>
      </c>
      <c r="BY121" s="5998">
        <v>1</v>
      </c>
      <c r="BZ121" s="6429" t="s">
        <v>9270</v>
      </c>
      <c r="CA121" s="5783"/>
      <c r="CB121" s="5783"/>
      <c r="CC121" s="5783"/>
      <c r="CD121" s="6403"/>
      <c r="CF121" s="7130" t="s">
        <v>8417</v>
      </c>
      <c r="CG121" s="5998">
        <v>1</v>
      </c>
      <c r="CH121" s="6429" t="s">
        <v>9424</v>
      </c>
      <c r="CI121" s="5783"/>
      <c r="CJ121" s="5783"/>
      <c r="CK121" s="5783"/>
      <c r="CL121" s="6403"/>
      <c r="CN121" s="5">
        <v>1</v>
      </c>
    </row>
    <row r="122" spans="2:92" ht="21" customHeight="1">
      <c r="B122" s="1021" t="str">
        <f t="shared" si="31"/>
        <v>►</v>
      </c>
      <c r="C122" s="41" t="str">
        <f>C103</f>
        <v>N NOM DE VOTRE RECETTE | pâtisserie--ENTREMET| Auteur &gt; VOUS</v>
      </c>
      <c r="D122" s="40">
        <f>D103</f>
        <v>1</v>
      </c>
      <c r="E122" s="41" t="str">
        <f>E103</f>
        <v>coupe</v>
      </c>
      <c r="F122" s="5386" t="str">
        <f>F103</f>
        <v>Recette mère ► MILLE-FEUILLE meringue et chiboust pamplemousse aux fraises des bois</v>
      </c>
      <c r="G122" s="213"/>
      <c r="H122" s="212"/>
      <c r="I122" s="211" t="str">
        <f t="shared" si="28"/>
        <v/>
      </c>
      <c r="J122" s="210"/>
      <c r="K122" s="6366"/>
      <c r="L122" s="5448">
        <v>1</v>
      </c>
      <c r="M122" s="6866"/>
      <c r="N122" s="6871"/>
      <c r="O122" s="6253">
        <f>IF(Q137=0,0,(Q122/Q137)*P106*1000)</f>
        <v>0</v>
      </c>
      <c r="P122" s="6701">
        <f>IF(Q137=0, 0, (G122*L122)/(Q137*P106))</f>
        <v>0</v>
      </c>
      <c r="Q122" s="5882">
        <f>IFERROR(_xlfn.LET(_xlpm.v,IFERROR(_xlfn.XLOOKUP(K122,G138:T138,G139:T139),_xlfn.XLOOKUP(K122,G140:T140,G141:T141)),_xlpm.v*J122*IF(ISBLANK(G122),1,G122)),0)</f>
        <v>0</v>
      </c>
      <c r="R122" s="5254">
        <f>IF(OR(ISBLANK(S102),S102=0),0,G122*S100*L122/S102)</f>
        <v>0</v>
      </c>
      <c r="S122" s="6051">
        <f>IF(OR(ISBLANK(S102),S102=0),0,Q122*L122*S100/S102)</f>
        <v>0</v>
      </c>
      <c r="T122" s="6199" t="str">
        <f>_xlfn.LET(_xlpm.unite,SUBSTITUTE(TRIM(K122)," (s)",""),_xlpm.val,S122,_xlpm.estVol,COUNTIF(M138:T138,_xlpm.unite)+COUNTIF(M140:T140,_xlpm.unite)&gt;0,_xlpm.estPoids,COUNTIF(G138:L138,_xlpm.unite)+COUNTIF(G140:L140,_xlpm.unite)&gt;0,IF(_xlpm.estVol,IF(ROUND(_xlpm.val,3)&gt;=1,ROUND(_xlpm.val,3)&amp;"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2" s="6872" t="s">
        <v>11058</v>
      </c>
      <c r="X122" s="1021" t="str">
        <f t="shared" si="32"/>
        <v>►</v>
      </c>
      <c r="Y122" s="41" t="str">
        <f>Y103</f>
        <v>N NAME OF YOUR RECIPE | paste it — FAMILY|  Author &gt; YOU</v>
      </c>
      <c r="Z122" s="40">
        <f>Z103</f>
        <v>0.6</v>
      </c>
      <c r="AA122" s="41" t="str">
        <f>AA103</f>
        <v>kg</v>
      </c>
      <c r="AB122" s="5386" t="str">
        <f>AB103</f>
        <v>Master recipe ► Guinea fowl ballotine</v>
      </c>
      <c r="AC122" s="213"/>
      <c r="AD122" s="212"/>
      <c r="AE122" s="211" t="str">
        <f t="shared" si="29"/>
        <v/>
      </c>
      <c r="AF122" s="210"/>
      <c r="AG122" s="6366"/>
      <c r="AH122" s="5448">
        <v>1</v>
      </c>
      <c r="AI122" s="6866"/>
      <c r="AJ122" s="6871"/>
      <c r="AK122" s="6253">
        <f>IF(AM137=0,0,(AM122/AM137)*AL106*1000)</f>
        <v>0</v>
      </c>
      <c r="AL122" s="6701">
        <f>IF(AM137=0, 0, (AC122*AH122)/(AM137*AL106))</f>
        <v>0</v>
      </c>
      <c r="AM122" s="5882">
        <f>IFERROR(_xlfn.LET(_xlpm.v,IFERROR(_xlfn.XLOOKUP(AG122,AC138:AP138,AC139:AP139),_xlfn.XLOOKUP(AG122,AC140:AP140,AC141:AP141)),_xlpm.v*AF122*IF(ISBLANK(AC122),1,AC122)),0)</f>
        <v>0</v>
      </c>
      <c r="AN122" s="5254">
        <f>IF(OR(ISBLANK(AO102),AO102=0),0,AC122*AO100*AH122/AO102)</f>
        <v>0</v>
      </c>
      <c r="AO122" s="6051">
        <f>IF(OR(ISBLANK(AO102),AO102=0),0,AM122*AH122*AO100/AO102)</f>
        <v>0</v>
      </c>
      <c r="AP122" s="6199" t="str">
        <f>_xlfn.LET(_xlpm.unite,SUBSTITUTE(TRIM(AG122)," (s)",""),_xlpm.val,AO122,_xlpm.estVol,COUNTIF(AI138:AP138,_xlpm.unite)+COUNTIF(AI140:AP140,_xlpm.unite)&gt;0,_xlpm.estPoids,COUNTIF(AC138:AH138,_xlpm.unite)+COUNTIF(AC140:AH140,_xlpm.unite)&gt;0,IF(_xlpm.estVol,IF(ROUND(_xlpm.val,3)&gt;=1,ROUND(_xlpm.val,3)&amp;"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2" s="6872" t="s">
        <v>11058</v>
      </c>
      <c r="AT122" s="1021" t="str">
        <f t="shared" si="33"/>
        <v>►</v>
      </c>
      <c r="AU122" s="41" t="str">
        <f>AU103</f>
        <v>N NOMBRE DE SU RECETA | pegue esto — FAMILIA| Autor &gt; USTED</v>
      </c>
      <c r="AV122" s="40">
        <f>AV103</f>
        <v>0.6</v>
      </c>
      <c r="AW122" s="41" t="str">
        <f>AW103</f>
        <v>kg</v>
      </c>
      <c r="AX122" s="5386" t="str">
        <f>AX103</f>
        <v>Receta madre ► Ballotina de pintada</v>
      </c>
      <c r="AY122" s="213"/>
      <c r="AZ122" s="212"/>
      <c r="BA122" s="211" t="str">
        <f t="shared" si="30"/>
        <v/>
      </c>
      <c r="BB122" s="210"/>
      <c r="BC122" s="6366"/>
      <c r="BD122" s="5448">
        <v>1</v>
      </c>
      <c r="BE122" s="6866"/>
      <c r="BF122" s="6871"/>
      <c r="BG122" s="6253">
        <f>IF(BI137=0,0,(BI122/BI137)*BH106*1000)</f>
        <v>0</v>
      </c>
      <c r="BH122" s="6701">
        <f>IF(BI137=0, 0, (AY122*BD122)/(BI137*BH106))</f>
        <v>0</v>
      </c>
      <c r="BI122" s="5882">
        <f>IFERROR(_xlfn.LET(_xlpm.v,IFERROR(_xlfn.XLOOKUP(BC122,AY138:BL138,AY139:BL139),_xlfn.XLOOKUP(BC122,AY140:BL140,AY141:BL141)),_xlpm.v*BB122*IF(ISBLANK(AY122),1,AY122)),0)</f>
        <v>0</v>
      </c>
      <c r="BJ122" s="5254">
        <f>IF(OR(ISBLANK(BK102),BK102=0),0,AY122*BK100*BD122/BK102)</f>
        <v>0</v>
      </c>
      <c r="BK122" s="6051">
        <f>IF(OR(ISBLANK(BK102),BK102=0),0,BI122*BD122*BK100/BK102)</f>
        <v>0</v>
      </c>
      <c r="BL122" s="6199" t="str">
        <f>_xlfn.LET(_xlpm.unite,SUBSTITUTE(TRIM(BC122)," (s)",""),_xlpm.val,BK122,_xlpm.estVol,COUNTIF(BE138:BL138,_xlpm.unite)+COUNTIF(BE140:BL140,_xlpm.unite)&gt;0,_xlpm.estPoids,COUNTIF(AY138:BD138,_xlpm.unite)+COUNTIF(AY140:BD140,_xlpm.unite)&gt;0,IF(_xlpm.estVol,IF(ROUND(_xlpm.val,3)&gt;=1,ROUND(_xlpm.val,3)&amp;"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2" s="6872" t="s">
        <v>11058</v>
      </c>
      <c r="BP122" s="7130"/>
      <c r="BQ122" s="5576">
        <v>2</v>
      </c>
      <c r="BR122" s="6429" t="s">
        <v>98</v>
      </c>
      <c r="BS122" s="5783"/>
      <c r="BT122" s="5783"/>
      <c r="BU122" s="5783"/>
      <c r="BV122" s="6403"/>
      <c r="BX122" s="7130"/>
      <c r="BY122" s="5576">
        <v>2</v>
      </c>
      <c r="BZ122" s="6429" t="s">
        <v>9271</v>
      </c>
      <c r="CA122" s="5783"/>
      <c r="CB122" s="5783"/>
      <c r="CC122" s="5783"/>
      <c r="CD122" s="6403"/>
      <c r="CF122" s="7130"/>
      <c r="CG122" s="5576">
        <v>2</v>
      </c>
      <c r="CH122" s="6429" t="s">
        <v>9425</v>
      </c>
      <c r="CI122" s="5783"/>
      <c r="CJ122" s="5783"/>
      <c r="CK122" s="5783"/>
      <c r="CL122" s="6403"/>
      <c r="CN122" s="5">
        <v>1</v>
      </c>
    </row>
    <row r="123" spans="2:92" ht="21" customHeight="1">
      <c r="B123" s="1021" t="str">
        <f t="shared" si="31"/>
        <v>►</v>
      </c>
      <c r="C123" s="41" t="str">
        <f>C103</f>
        <v>N NOM DE VOTRE RECETTE | pâtisserie--ENTREMET| Auteur &gt; VOUS</v>
      </c>
      <c r="D123" s="40">
        <f>D103</f>
        <v>1</v>
      </c>
      <c r="E123" s="41" t="str">
        <f>E103</f>
        <v>coupe</v>
      </c>
      <c r="F123" s="5386" t="str">
        <f>F103</f>
        <v>Recette mère ► MILLE-FEUILLE meringue et chiboust pamplemousse aux fraises des bois</v>
      </c>
      <c r="G123" s="213"/>
      <c r="H123" s="212"/>
      <c r="I123" s="211" t="str">
        <f t="shared" si="28"/>
        <v/>
      </c>
      <c r="J123" s="210"/>
      <c r="K123" s="6366"/>
      <c r="L123" s="5448">
        <v>1</v>
      </c>
      <c r="M123" s="6866"/>
      <c r="N123" s="6871"/>
      <c r="O123" s="6253">
        <f>IF(Q137=0,0,(Q123/Q137)*P106*1000)</f>
        <v>0</v>
      </c>
      <c r="P123" s="6701">
        <f>IF(Q137=0, 0, (G123*L123)/(Q137*P106))</f>
        <v>0</v>
      </c>
      <c r="Q123" s="5882">
        <f>IFERROR(_xlfn.LET(_xlpm.v,IFERROR(_xlfn.XLOOKUP(K123,G138:T138,G139:T139),_xlfn.XLOOKUP(K123,G140:T140,G141:T141)),_xlpm.v*J123*IF(ISBLANK(G123),1,G123)),0)</f>
        <v>0</v>
      </c>
      <c r="R123" s="5256">
        <f>IF(OR(ISBLANK(S102),S102=0),0,G123*S100*L123/S102)</f>
        <v>0</v>
      </c>
      <c r="S123" s="6051">
        <f>IF(OR(ISBLANK(S102),S102=0),0,Q123*L123*S100/S102)</f>
        <v>0</v>
      </c>
      <c r="T123" s="6201" t="str">
        <f>_xlfn.LET(_xlpm.unite,SUBSTITUTE(TRIM(K123)," (s)",""),_xlpm.val,S123,_xlpm.estVol,COUNTIF(M138:T138,_xlpm.unite)+COUNTIF(M140:T140,_xlpm.unite)&gt;0,_xlpm.estPoids,COUNTIF(G138:L138,_xlpm.unite)+COUNTIF(G140:L140,_xlpm.unite)&gt;0,IF(_xlpm.estVol,IF(ROUND(_xlpm.val,3)&gt;=1,ROUND(_xlpm.val,3)&amp;"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3" s="6872" t="s">
        <v>11059</v>
      </c>
      <c r="X123" s="1021" t="str">
        <f t="shared" si="32"/>
        <v>►</v>
      </c>
      <c r="Y123" s="41" t="str">
        <f>Y103</f>
        <v>N NAME OF YOUR RECIPE | paste it — FAMILY|  Author &gt; YOU</v>
      </c>
      <c r="Z123" s="40">
        <f>Z103</f>
        <v>0.6</v>
      </c>
      <c r="AA123" s="41" t="str">
        <f>AA103</f>
        <v>kg</v>
      </c>
      <c r="AB123" s="5386" t="str">
        <f>AB103</f>
        <v>Master recipe ► Guinea fowl ballotine</v>
      </c>
      <c r="AC123" s="213"/>
      <c r="AD123" s="212"/>
      <c r="AE123" s="211" t="str">
        <f t="shared" si="29"/>
        <v/>
      </c>
      <c r="AF123" s="210"/>
      <c r="AG123" s="6366"/>
      <c r="AH123" s="5448">
        <v>1</v>
      </c>
      <c r="AI123" s="6866"/>
      <c r="AJ123" s="6871"/>
      <c r="AK123" s="6253">
        <f>IF(AM137=0,0,(AM123/AM137)*AL106*1000)</f>
        <v>0</v>
      </c>
      <c r="AL123" s="6701">
        <f>IF(AM137=0, 0, (AC123*AH123)/(AM137*AL106))</f>
        <v>0</v>
      </c>
      <c r="AM123" s="5882">
        <f>IFERROR(_xlfn.LET(_xlpm.v,IFERROR(_xlfn.XLOOKUP(AG123,AC138:AP138,AC139:AP139),_xlfn.XLOOKUP(AG123,AC140:AP140,AC141:AP141)),_xlpm.v*AF123*IF(ISBLANK(AC123),1,AC123)),0)</f>
        <v>0</v>
      </c>
      <c r="AN123" s="5256">
        <f>IF(OR(ISBLANK(AO102),AO102=0),0,AC123*AO100*AH123/AO102)</f>
        <v>0</v>
      </c>
      <c r="AO123" s="6051">
        <f>IF(OR(ISBLANK(AO102),AO102=0),0,AM123*AH123*AO100/AO102)</f>
        <v>0</v>
      </c>
      <c r="AP123" s="6201" t="str">
        <f>_xlfn.LET(_xlpm.unite,SUBSTITUTE(TRIM(AG123)," (s)",""),_xlpm.val,AO123,_xlpm.estVol,COUNTIF(AI138:AP138,_xlpm.unite)+COUNTIF(AI140:AP140,_xlpm.unite)&gt;0,_xlpm.estPoids,COUNTIF(AC138:AH138,_xlpm.unite)+COUNTIF(AC140:AH140,_xlpm.unite)&gt;0,IF(_xlpm.estVol,IF(ROUND(_xlpm.val,3)&gt;=1,ROUND(_xlpm.val,3)&amp;"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3" s="6872" t="s">
        <v>11059</v>
      </c>
      <c r="AT123" s="1021" t="str">
        <f t="shared" si="33"/>
        <v>►</v>
      </c>
      <c r="AU123" s="41" t="str">
        <f>AU103</f>
        <v>N NOMBRE DE SU RECETA | pegue esto — FAMILIA| Autor &gt; USTED</v>
      </c>
      <c r="AV123" s="40">
        <f>AV103</f>
        <v>0.6</v>
      </c>
      <c r="AW123" s="41" t="str">
        <f>AW103</f>
        <v>kg</v>
      </c>
      <c r="AX123" s="5386" t="str">
        <f>AX103</f>
        <v>Receta madre ► Ballotina de pintada</v>
      </c>
      <c r="AY123" s="213"/>
      <c r="AZ123" s="212"/>
      <c r="BA123" s="211" t="str">
        <f t="shared" si="30"/>
        <v/>
      </c>
      <c r="BB123" s="210"/>
      <c r="BC123" s="6366"/>
      <c r="BD123" s="5448">
        <v>1</v>
      </c>
      <c r="BE123" s="6866"/>
      <c r="BF123" s="6871"/>
      <c r="BG123" s="6253">
        <f>IF(BI137=0,0,(BI123/BI137)*BH106*1000)</f>
        <v>0</v>
      </c>
      <c r="BH123" s="6701">
        <f>IF(BI137=0, 0, (AY123*BD123)/(BI137*BH106))</f>
        <v>0</v>
      </c>
      <c r="BI123" s="5882">
        <f>IFERROR(_xlfn.LET(_xlpm.v,IFERROR(_xlfn.XLOOKUP(BC123,AY138:BL138,AY139:BL139),_xlfn.XLOOKUP(BC123,AY140:BL140,AY141:BL141)),_xlpm.v*BB123*IF(ISBLANK(AY123),1,AY123)),0)</f>
        <v>0</v>
      </c>
      <c r="BJ123" s="5256">
        <f>IF(OR(ISBLANK(BK102),BK102=0),0,AY123*BK100*BD123/BK102)</f>
        <v>0</v>
      </c>
      <c r="BK123" s="6051">
        <f>IF(OR(ISBLANK(BK102),BK102=0),0,BI123*BD123*BK100/BK102)</f>
        <v>0</v>
      </c>
      <c r="BL123" s="6201" t="str">
        <f>_xlfn.LET(_xlpm.unite,SUBSTITUTE(TRIM(BC123)," (s)",""),_xlpm.val,BK123,_xlpm.estVol,COUNTIF(BE138:BL138,_xlpm.unite)+COUNTIF(BE140:BL140,_xlpm.unite)&gt;0,_xlpm.estPoids,COUNTIF(AY138:BD138,_xlpm.unite)+COUNTIF(AY140:BD140,_xlpm.unite)&gt;0,IF(_xlpm.estVol,IF(ROUND(_xlpm.val,3)&gt;=1,ROUND(_xlpm.val,3)&amp;"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3" s="6872" t="s">
        <v>11059</v>
      </c>
      <c r="BP123" s="7130"/>
      <c r="BQ123" s="6433" t="s">
        <v>1003</v>
      </c>
      <c r="BR123" s="6430"/>
      <c r="BS123" s="5783"/>
      <c r="BT123" s="5783"/>
      <c r="BU123" s="5783"/>
      <c r="BV123" s="6403"/>
      <c r="BX123" s="7130"/>
      <c r="BY123" s="6433" t="s">
        <v>9583</v>
      </c>
      <c r="BZ123" s="6430"/>
      <c r="CA123" s="5783"/>
      <c r="CB123" s="5783"/>
      <c r="CC123" s="5783"/>
      <c r="CD123" s="6403"/>
      <c r="CF123" s="7130"/>
      <c r="CG123" s="6433" t="s">
        <v>9589</v>
      </c>
      <c r="CH123" s="6430"/>
      <c r="CI123" s="5783"/>
      <c r="CJ123" s="5783"/>
      <c r="CK123" s="5783"/>
      <c r="CL123" s="6403"/>
      <c r="CN123" s="5">
        <v>1</v>
      </c>
    </row>
    <row r="124" spans="2:92" ht="21" customHeight="1">
      <c r="B124" s="1021" t="str">
        <f t="shared" si="31"/>
        <v>►</v>
      </c>
      <c r="C124" s="41" t="str">
        <f>C103</f>
        <v>N NOM DE VOTRE RECETTE | pâtisserie--ENTREMET| Auteur &gt; VOUS</v>
      </c>
      <c r="D124" s="40">
        <f>D103</f>
        <v>1</v>
      </c>
      <c r="E124" s="41" t="str">
        <f>E103</f>
        <v>coupe</v>
      </c>
      <c r="F124" s="5386" t="str">
        <f>F103</f>
        <v>Recette mère ► MILLE-FEUILLE meringue et chiboust pamplemousse aux fraises des bois</v>
      </c>
      <c r="G124" s="213"/>
      <c r="H124" s="212"/>
      <c r="I124" s="211" t="str">
        <f t="shared" si="28"/>
        <v/>
      </c>
      <c r="J124" s="210"/>
      <c r="K124" s="6366"/>
      <c r="L124" s="5448">
        <v>1</v>
      </c>
      <c r="M124" s="6866"/>
      <c r="N124" s="6871"/>
      <c r="O124" s="6253">
        <f>IF(Q137=0,0,(Q124/Q137)*P106*1000)</f>
        <v>0</v>
      </c>
      <c r="P124" s="6701">
        <f>IF(Q137=0, 0, (G124*L124)/(Q137*P106))</f>
        <v>0</v>
      </c>
      <c r="Q124" s="5882">
        <f>IFERROR(_xlfn.LET(_xlpm.v,IFERROR(_xlfn.XLOOKUP(K124,G138:T138,G139:T139),_xlfn.XLOOKUP(K124,G140:T140,G141:T141)),_xlpm.v*J124*IF(ISBLANK(G124),1,G124)),0)</f>
        <v>0</v>
      </c>
      <c r="R124" s="5254">
        <f>IF(OR(ISBLANK(S102),S102=0),0,G124*S100*L124/S102)</f>
        <v>0</v>
      </c>
      <c r="S124" s="6051">
        <f>IF(OR(ISBLANK(S102),S102=0),0,Q124*L124*S100/S102)</f>
        <v>0</v>
      </c>
      <c r="T124" s="6199" t="str">
        <f>_xlfn.LET(_xlpm.unite,SUBSTITUTE(TRIM(K124)," (s)",""),_xlpm.val,S124,_xlpm.estVol,COUNTIF(M138:T138,_xlpm.unite)+COUNTIF(M140:T140,_xlpm.unite)&gt;0,_xlpm.estPoids,COUNTIF(G138:L138,_xlpm.unite)+COUNTIF(G140:L140,_xlpm.unite)&gt;0,IF(_xlpm.estVol,IF(ROUND(_xlpm.val,3)&gt;=1,ROUND(_xlpm.val,3)&amp;"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4" s="6872" t="s">
        <v>11060</v>
      </c>
      <c r="X124" s="1021" t="str">
        <f t="shared" si="32"/>
        <v>►</v>
      </c>
      <c r="Y124" s="41" t="str">
        <f>Y103</f>
        <v>N NAME OF YOUR RECIPE | paste it — FAMILY|  Author &gt; YOU</v>
      </c>
      <c r="Z124" s="40">
        <f>Z103</f>
        <v>0.6</v>
      </c>
      <c r="AA124" s="41" t="str">
        <f>AA103</f>
        <v>kg</v>
      </c>
      <c r="AB124" s="5386" t="str">
        <f>AB103</f>
        <v>Master recipe ► Guinea fowl ballotine</v>
      </c>
      <c r="AC124" s="213"/>
      <c r="AD124" s="212"/>
      <c r="AE124" s="211" t="str">
        <f t="shared" si="29"/>
        <v/>
      </c>
      <c r="AF124" s="210"/>
      <c r="AG124" s="6366"/>
      <c r="AH124" s="5448">
        <v>1</v>
      </c>
      <c r="AI124" s="6866"/>
      <c r="AJ124" s="6871"/>
      <c r="AK124" s="6253">
        <f>IF(AM137=0,0,(AM124/AM137)*AL106*1000)</f>
        <v>0</v>
      </c>
      <c r="AL124" s="6701">
        <f>IF(AM137=0, 0, (AC124*AH124)/(AM137*AL106))</f>
        <v>0</v>
      </c>
      <c r="AM124" s="5882">
        <f>IFERROR(_xlfn.LET(_xlpm.v,IFERROR(_xlfn.XLOOKUP(AG124,AC138:AP138,AC139:AP139),_xlfn.XLOOKUP(AG124,AC140:AP140,AC141:AP141)),_xlpm.v*AF124*IF(ISBLANK(AC124),1,AC124)),0)</f>
        <v>0</v>
      </c>
      <c r="AN124" s="5254">
        <f>IF(OR(ISBLANK(AO102),AO102=0),0,AC124*AO100*AH124/AO102)</f>
        <v>0</v>
      </c>
      <c r="AO124" s="6051">
        <f>IF(OR(ISBLANK(AO102),AO102=0),0,AM124*AH124*AO100/AO102)</f>
        <v>0</v>
      </c>
      <c r="AP124" s="6199" t="str">
        <f>_xlfn.LET(_xlpm.unite,SUBSTITUTE(TRIM(AG124)," (s)",""),_xlpm.val,AO124,_xlpm.estVol,COUNTIF(AI138:AP138,_xlpm.unite)+COUNTIF(AI140:AP140,_xlpm.unite)&gt;0,_xlpm.estPoids,COUNTIF(AC138:AH138,_xlpm.unite)+COUNTIF(AC140:AH140,_xlpm.unite)&gt;0,IF(_xlpm.estVol,IF(ROUND(_xlpm.val,3)&gt;=1,ROUND(_xlpm.val,3)&amp;"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4" s="6872" t="s">
        <v>11060</v>
      </c>
      <c r="AT124" s="1021" t="str">
        <f t="shared" si="33"/>
        <v>►</v>
      </c>
      <c r="AU124" s="41" t="str">
        <f>AU103</f>
        <v>N NOMBRE DE SU RECETA | pegue esto — FAMILIA| Autor &gt; USTED</v>
      </c>
      <c r="AV124" s="40">
        <f>AV103</f>
        <v>0.6</v>
      </c>
      <c r="AW124" s="41" t="str">
        <f>AW103</f>
        <v>kg</v>
      </c>
      <c r="AX124" s="5386" t="str">
        <f>AX103</f>
        <v>Receta madre ► Ballotina de pintada</v>
      </c>
      <c r="AY124" s="213"/>
      <c r="AZ124" s="212"/>
      <c r="BA124" s="211" t="str">
        <f t="shared" si="30"/>
        <v/>
      </c>
      <c r="BB124" s="210"/>
      <c r="BC124" s="6366"/>
      <c r="BD124" s="5448">
        <v>1</v>
      </c>
      <c r="BE124" s="6866"/>
      <c r="BF124" s="6871"/>
      <c r="BG124" s="6253">
        <f>IF(BI137=0,0,(BI124/BI137)*BH106*1000)</f>
        <v>0</v>
      </c>
      <c r="BH124" s="6701">
        <f>IF(BI137=0, 0, (AY124*BD124)/(BI137*BH106))</f>
        <v>0</v>
      </c>
      <c r="BI124" s="5882">
        <f>IFERROR(_xlfn.LET(_xlpm.v,IFERROR(_xlfn.XLOOKUP(BC124,AY138:BL138,AY139:BL139),_xlfn.XLOOKUP(BC124,AY140:BL140,AY141:BL141)),_xlpm.v*BB124*IF(ISBLANK(AY124),1,AY124)),0)</f>
        <v>0</v>
      </c>
      <c r="BJ124" s="5254">
        <f>IF(OR(ISBLANK(BK102),BK102=0),0,AY124*BK100*BD124/BK102)</f>
        <v>0</v>
      </c>
      <c r="BK124" s="6051">
        <f>IF(OR(ISBLANK(BK102),BK102=0),0,BI124*BD124*BK100/BK102)</f>
        <v>0</v>
      </c>
      <c r="BL124" s="6199" t="str">
        <f>_xlfn.LET(_xlpm.unite,SUBSTITUTE(TRIM(BC124)," (s)",""),_xlpm.val,BK124,_xlpm.estVol,COUNTIF(BE138:BL138,_xlpm.unite)+COUNTIF(BE140:BL140,_xlpm.unite)&gt;0,_xlpm.estPoids,COUNTIF(AY138:BD138,_xlpm.unite)+COUNTIF(AY140:BD140,_xlpm.unite)&gt;0,IF(_xlpm.estVol,IF(ROUND(_xlpm.val,3)&gt;=1,ROUND(_xlpm.val,3)&amp;"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4" s="6872" t="s">
        <v>11060</v>
      </c>
      <c r="BP124" s="7130"/>
      <c r="BQ124" s="6434" t="s">
        <v>1004</v>
      </c>
      <c r="BR124" s="6431"/>
      <c r="BS124" s="5783"/>
      <c r="BT124" s="5783"/>
      <c r="BU124" s="5783"/>
      <c r="BV124" s="6403"/>
      <c r="BX124" s="7130"/>
      <c r="BY124" s="6434" t="s">
        <v>9272</v>
      </c>
      <c r="BZ124" s="6431"/>
      <c r="CA124" s="5783"/>
      <c r="CB124" s="5783"/>
      <c r="CC124" s="5783"/>
      <c r="CD124" s="6403"/>
      <c r="CF124" s="7130"/>
      <c r="CG124" s="6434" t="s">
        <v>9426</v>
      </c>
      <c r="CH124" s="6431"/>
      <c r="CI124" s="5783"/>
      <c r="CJ124" s="5783"/>
      <c r="CK124" s="5783"/>
      <c r="CL124" s="6403"/>
      <c r="CN124" s="5">
        <v>1</v>
      </c>
    </row>
    <row r="125" spans="2:92" ht="21" customHeight="1">
      <c r="B125" s="1021" t="str">
        <f t="shared" si="31"/>
        <v>►</v>
      </c>
      <c r="C125" s="41" t="str">
        <f>C103</f>
        <v>N NOM DE VOTRE RECETTE | pâtisserie--ENTREMET| Auteur &gt; VOUS</v>
      </c>
      <c r="D125" s="40">
        <f>D103</f>
        <v>1</v>
      </c>
      <c r="E125" s="41" t="str">
        <f>E103</f>
        <v>coupe</v>
      </c>
      <c r="F125" s="5386" t="str">
        <f>F103</f>
        <v>Recette mère ► MILLE-FEUILLE meringue et chiboust pamplemousse aux fraises des bois</v>
      </c>
      <c r="G125" s="213"/>
      <c r="H125" s="212"/>
      <c r="I125" s="211" t="str">
        <f t="shared" si="28"/>
        <v/>
      </c>
      <c r="J125" s="210"/>
      <c r="K125" s="6366"/>
      <c r="L125" s="5448">
        <v>1</v>
      </c>
      <c r="M125" s="6866"/>
      <c r="N125" s="6871"/>
      <c r="O125" s="6253">
        <f>IF(Q137=0,0,(Q125/Q137)*P106*1000)</f>
        <v>0</v>
      </c>
      <c r="P125" s="6701">
        <f>IF(Q137=0, 0, (G125*L125)/(Q137*P106))</f>
        <v>0</v>
      </c>
      <c r="Q125" s="5882">
        <f>IFERROR(_xlfn.LET(_xlpm.v,IFERROR(_xlfn.XLOOKUP(K125,G138:T138,G139:T139),_xlfn.XLOOKUP(K125,G140:T140,G141:T141)),_xlpm.v*J125*IF(ISBLANK(G125),1,G125)),0)</f>
        <v>0</v>
      </c>
      <c r="R125" s="5256">
        <f>IF(OR(ISBLANK(S102),S102=0),0,G125*S100*L125/S102)</f>
        <v>0</v>
      </c>
      <c r="S125" s="6051">
        <f>IF(OR(ISBLANK(S102),S102=0),0,Q125*L125*S100/S102)</f>
        <v>0</v>
      </c>
      <c r="T125" s="6201" t="str">
        <f>_xlfn.LET(_xlpm.unite,SUBSTITUTE(TRIM(K125)," (s)",""),_xlpm.val,S125,_xlpm.estVol,COUNTIF(M138:T138,_xlpm.unite)+COUNTIF(M140:T140,_xlpm.unite)&gt;0,_xlpm.estPoids,COUNTIF(G138:L138,_xlpm.unite)+COUNTIF(G140:L140,_xlpm.unite)&gt;0,IF(_xlpm.estVol,IF(ROUND(_xlpm.val,3)&gt;=1,ROUND(_xlpm.val,3)&amp;"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V125" s="6872" t="s">
        <v>11061</v>
      </c>
      <c r="X125" s="1021" t="str">
        <f t="shared" si="32"/>
        <v>►</v>
      </c>
      <c r="Y125" s="41" t="str">
        <f>Y103</f>
        <v>N NAME OF YOUR RECIPE | paste it — FAMILY|  Author &gt; YOU</v>
      </c>
      <c r="Z125" s="40">
        <f>Z103</f>
        <v>0.6</v>
      </c>
      <c r="AA125" s="41" t="str">
        <f>AA103</f>
        <v>kg</v>
      </c>
      <c r="AB125" s="5386" t="str">
        <f>AB103</f>
        <v>Master recipe ► Guinea fowl ballotine</v>
      </c>
      <c r="AC125" s="213"/>
      <c r="AD125" s="212"/>
      <c r="AE125" s="211" t="str">
        <f t="shared" si="29"/>
        <v/>
      </c>
      <c r="AF125" s="210"/>
      <c r="AG125" s="6366"/>
      <c r="AH125" s="5448">
        <v>1</v>
      </c>
      <c r="AI125" s="6866"/>
      <c r="AJ125" s="6871"/>
      <c r="AK125" s="6253">
        <f>IF(AM137=0,0,(AM125/AM137)*AL106*1000)</f>
        <v>0</v>
      </c>
      <c r="AL125" s="6701">
        <f>IF(AM137=0, 0, (AC125*AH125)/(AM137*AL106))</f>
        <v>0</v>
      </c>
      <c r="AM125" s="5882">
        <f>IFERROR(_xlfn.LET(_xlpm.v,IFERROR(_xlfn.XLOOKUP(AG125,AC138:AP138,AC139:AP139),_xlfn.XLOOKUP(AG125,AC140:AP140,AC141:AP141)),_xlpm.v*AF125*IF(ISBLANK(AC125),1,AC125)),0)</f>
        <v>0</v>
      </c>
      <c r="AN125" s="5256">
        <f>IF(OR(ISBLANK(AO102),AO102=0),0,AC125*AO100*AH125/AO102)</f>
        <v>0</v>
      </c>
      <c r="AO125" s="6051">
        <f>IF(OR(ISBLANK(AO102),AO102=0),0,AM125*AH125*AO100/AO102)</f>
        <v>0</v>
      </c>
      <c r="AP125" s="6201" t="str">
        <f>_xlfn.LET(_xlpm.unite,SUBSTITUTE(TRIM(AG125)," (s)",""),_xlpm.val,AO125,_xlpm.estVol,COUNTIF(AI138:AP138,_xlpm.unite)+COUNTIF(AI140:AP140,_xlpm.unite)&gt;0,_xlpm.estPoids,COUNTIF(AC138:AH138,_xlpm.unite)+COUNTIF(AC140:AH140,_xlpm.unite)&gt;0,IF(_xlpm.estVol,IF(ROUND(_xlpm.val,3)&gt;=1,ROUND(_xlpm.val,3)&amp;"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R125" s="6872" t="s">
        <v>11061</v>
      </c>
      <c r="AT125" s="1021" t="str">
        <f t="shared" si="33"/>
        <v>►</v>
      </c>
      <c r="AU125" s="41" t="str">
        <f>AU103</f>
        <v>N NOMBRE DE SU RECETA | pegue esto — FAMILIA| Autor &gt; USTED</v>
      </c>
      <c r="AV125" s="40">
        <f>AV103</f>
        <v>0.6</v>
      </c>
      <c r="AW125" s="41" t="str">
        <f>AW103</f>
        <v>kg</v>
      </c>
      <c r="AX125" s="5386" t="str">
        <f>AX103</f>
        <v>Receta madre ► Ballotina de pintada</v>
      </c>
      <c r="AY125" s="213"/>
      <c r="AZ125" s="212"/>
      <c r="BA125" s="211" t="str">
        <f t="shared" si="30"/>
        <v/>
      </c>
      <c r="BB125" s="210"/>
      <c r="BC125" s="6366"/>
      <c r="BD125" s="5448">
        <v>1</v>
      </c>
      <c r="BE125" s="6866"/>
      <c r="BF125" s="6871"/>
      <c r="BG125" s="6253">
        <f>IF(BI137=0,0,(BI125/BI137)*BH106*1000)</f>
        <v>0</v>
      </c>
      <c r="BH125" s="6701">
        <f>IF(BI137=0, 0, (AY125*BD125)/(BI137*BH106))</f>
        <v>0</v>
      </c>
      <c r="BI125" s="5882">
        <f>IFERROR(_xlfn.LET(_xlpm.v,IFERROR(_xlfn.XLOOKUP(BC125,AY138:BL138,AY139:BL139),_xlfn.XLOOKUP(BC125,AY140:BL140,AY141:BL141)),_xlpm.v*BB125*IF(ISBLANK(AY125),1,AY125)),0)</f>
        <v>0</v>
      </c>
      <c r="BJ125" s="5256">
        <f>IF(OR(ISBLANK(BK102),BK102=0),0,AY125*BK100*BD125/BK102)</f>
        <v>0</v>
      </c>
      <c r="BK125" s="6051">
        <f>IF(OR(ISBLANK(BK102),BK102=0),0,BI125*BD125*BK100/BK102)</f>
        <v>0</v>
      </c>
      <c r="BL125" s="6201" t="str">
        <f>_xlfn.LET(_xlpm.unite,SUBSTITUTE(TRIM(BC125)," (s)",""),_xlpm.val,BK125,_xlpm.estVol,COUNTIF(BE138:BL138,_xlpm.unite)+COUNTIF(BE140:BL140,_xlpm.unite)&gt;0,_xlpm.estPoids,COUNTIF(AY138:BD138,_xlpm.unite)+COUNTIF(AY140:BD140,_xlpm.unite)&gt;0,IF(_xlpm.estVol,IF(ROUND(_xlpm.val,3)&gt;=1,ROUND(_xlpm.val,3)&amp;"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N125" s="6872" t="s">
        <v>11061</v>
      </c>
      <c r="BP125" s="7130"/>
      <c r="BQ125" s="6434" t="s">
        <v>1005</v>
      </c>
      <c r="BR125" s="6431"/>
      <c r="BS125" s="5783"/>
      <c r="BT125" s="5783"/>
      <c r="BU125" s="5783"/>
      <c r="BV125" s="6403"/>
      <c r="BX125" s="7130"/>
      <c r="BY125" s="6434" t="s">
        <v>9273</v>
      </c>
      <c r="BZ125" s="6431"/>
      <c r="CA125" s="5783"/>
      <c r="CB125" s="5783"/>
      <c r="CC125" s="5783"/>
      <c r="CD125" s="6403"/>
      <c r="CF125" s="7130"/>
      <c r="CG125" s="6434" t="s">
        <v>9427</v>
      </c>
      <c r="CH125" s="6431"/>
      <c r="CI125" s="5783"/>
      <c r="CJ125" s="5783"/>
      <c r="CK125" s="5783"/>
      <c r="CL125" s="6403"/>
      <c r="CN125" s="5">
        <v>1</v>
      </c>
    </row>
    <row r="126" spans="2:92" ht="21" customHeight="1">
      <c r="B126" s="1021" t="str">
        <f t="shared" si="31"/>
        <v>►</v>
      </c>
      <c r="C126" s="41" t="str">
        <f>C103</f>
        <v>N NOM DE VOTRE RECETTE | pâtisserie--ENTREMET| Auteur &gt; VOUS</v>
      </c>
      <c r="D126" s="40">
        <f>D103</f>
        <v>1</v>
      </c>
      <c r="E126" s="41" t="str">
        <f>E103</f>
        <v>coupe</v>
      </c>
      <c r="F126" s="5386" t="str">
        <f>F103</f>
        <v>Recette mère ► MILLE-FEUILLE meringue et chiboust pamplemousse aux fraises des bois</v>
      </c>
      <c r="G126" s="213"/>
      <c r="H126" s="212"/>
      <c r="I126" s="211" t="str">
        <f t="shared" si="28"/>
        <v/>
      </c>
      <c r="J126" s="210"/>
      <c r="K126" s="6366"/>
      <c r="L126" s="5448">
        <v>1</v>
      </c>
      <c r="M126" s="6866"/>
      <c r="N126" s="6871"/>
      <c r="O126" s="6253">
        <f>IF(Q137=0,0,(Q126/Q137)*P106*1000)</f>
        <v>0</v>
      </c>
      <c r="P126" s="6701">
        <f>IF(Q137=0, 0, (G126*L126)/(Q137*P106))</f>
        <v>0</v>
      </c>
      <c r="Q126" s="5882">
        <f>IFERROR(_xlfn.LET(_xlpm.v,IFERROR(_xlfn.XLOOKUP(K126,G138:T138,G139:T139),_xlfn.XLOOKUP(K126,G140:T140,G141:T141)),_xlpm.v*J126*IF(ISBLANK(G126),1,G126)),0)</f>
        <v>0</v>
      </c>
      <c r="R126" s="5254">
        <f>IF(OR(ISBLANK(S102),S102=0),0,G126*S100*L126/S102)</f>
        <v>0</v>
      </c>
      <c r="S126" s="6051">
        <f>IF(OR(ISBLANK(S102),S102=0),0,Q126*L126*S100/S102)</f>
        <v>0</v>
      </c>
      <c r="T126" s="6199" t="str">
        <f>_xlfn.LET(_xlpm.unite,SUBSTITUTE(TRIM(K126)," (s)",""),_xlpm.val,S126,_xlpm.estVol,COUNTIF(M138:T138,_xlpm.unite)+COUNTIF(M140:T140,_xlpm.unite)&gt;0,_xlpm.estPoids,COUNTIF(G138:L138,_xlpm.unite)+COUNTIF(G140:L140,_xlpm.unite)&gt;0,IF(_xlpm.estVol,IF(ROUND(_xlpm.val,3)&gt;=1,ROUND(_xlpm.val,3)&amp;"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26" s="1021" t="str">
        <f t="shared" si="32"/>
        <v>►</v>
      </c>
      <c r="Y126" s="41" t="str">
        <f>Y103</f>
        <v>N NAME OF YOUR RECIPE | paste it — FAMILY|  Author &gt; YOU</v>
      </c>
      <c r="Z126" s="40">
        <f>Z103</f>
        <v>0.6</v>
      </c>
      <c r="AA126" s="41" t="str">
        <f>AA103</f>
        <v>kg</v>
      </c>
      <c r="AB126" s="5386" t="str">
        <f>AB103</f>
        <v>Master recipe ► Guinea fowl ballotine</v>
      </c>
      <c r="AC126" s="213"/>
      <c r="AD126" s="212"/>
      <c r="AE126" s="211" t="str">
        <f t="shared" si="29"/>
        <v/>
      </c>
      <c r="AF126" s="210"/>
      <c r="AG126" s="6366"/>
      <c r="AH126" s="5448">
        <v>1</v>
      </c>
      <c r="AI126" s="6866"/>
      <c r="AJ126" s="6871"/>
      <c r="AK126" s="6253">
        <f>IF(AM137=0,0,(AM126/AM137)*AL106*1000)</f>
        <v>0</v>
      </c>
      <c r="AL126" s="6701">
        <f>IF(AM137=0, 0, (AC126*AH126)/(AM137*AL106))</f>
        <v>0</v>
      </c>
      <c r="AM126" s="5882">
        <f>IFERROR(_xlfn.LET(_xlpm.v,IFERROR(_xlfn.XLOOKUP(AG126,AC138:AP138,AC139:AP139),_xlfn.XLOOKUP(AG126,AC140:AP140,AC141:AP141)),_xlpm.v*AF126*IF(ISBLANK(AC126),1,AC126)),0)</f>
        <v>0</v>
      </c>
      <c r="AN126" s="5254">
        <f>IF(OR(ISBLANK(AO102),AO102=0),0,AC126*AO100*AH126/AO102)</f>
        <v>0</v>
      </c>
      <c r="AO126" s="6051">
        <f>IF(OR(ISBLANK(AO102),AO102=0),0,AM126*AH126*AO100/AO102)</f>
        <v>0</v>
      </c>
      <c r="AP126" s="6199" t="str">
        <f>_xlfn.LET(_xlpm.unite,SUBSTITUTE(TRIM(AG126)," (s)",""),_xlpm.val,AO126,_xlpm.estVol,COUNTIF(AI138:AP138,_xlpm.unite)+COUNTIF(AI140:AP140,_xlpm.unite)&gt;0,_xlpm.estPoids,COUNTIF(AC138:AH138,_xlpm.unite)+COUNTIF(AC140:AH140,_xlpm.unite)&gt;0,IF(_xlpm.estVol,IF(ROUND(_xlpm.val,3)&gt;=1,ROUND(_xlpm.val,3)&amp;"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26" s="1021" t="str">
        <f t="shared" si="33"/>
        <v>►</v>
      </c>
      <c r="AU126" s="41" t="str">
        <f>AU103</f>
        <v>N NOMBRE DE SU RECETA | pegue esto — FAMILIA| Autor &gt; USTED</v>
      </c>
      <c r="AV126" s="40">
        <f>AV103</f>
        <v>0.6</v>
      </c>
      <c r="AW126" s="41" t="str">
        <f>AW103</f>
        <v>kg</v>
      </c>
      <c r="AX126" s="5386" t="str">
        <f>AX103</f>
        <v>Receta madre ► Ballotina de pintada</v>
      </c>
      <c r="AY126" s="213"/>
      <c r="AZ126" s="212"/>
      <c r="BA126" s="211" t="str">
        <f t="shared" si="30"/>
        <v/>
      </c>
      <c r="BB126" s="210"/>
      <c r="BC126" s="6366"/>
      <c r="BD126" s="5448">
        <v>1</v>
      </c>
      <c r="BE126" s="6866"/>
      <c r="BF126" s="6871"/>
      <c r="BG126" s="6253">
        <f>IF(BI137=0,0,(BI126/BI137)*BH106*1000)</f>
        <v>0</v>
      </c>
      <c r="BH126" s="6701">
        <f>IF(BI137=0, 0, (AY126*BD126)/(BI137*BH106))</f>
        <v>0</v>
      </c>
      <c r="BI126" s="5882">
        <f>IFERROR(_xlfn.LET(_xlpm.v,IFERROR(_xlfn.XLOOKUP(BC126,AY138:BL138,AY139:BL139),_xlfn.XLOOKUP(BC126,AY140:BL140,AY141:BL141)),_xlpm.v*BB126*IF(ISBLANK(AY126),1,AY126)),0)</f>
        <v>0</v>
      </c>
      <c r="BJ126" s="5254">
        <f>IF(OR(ISBLANK(BK102),BK102=0),0,AY126*BK100*BD126/BK102)</f>
        <v>0</v>
      </c>
      <c r="BK126" s="6051">
        <f>IF(OR(ISBLANK(BK102),BK102=0),0,BI126*BD126*BK100/BK102)</f>
        <v>0</v>
      </c>
      <c r="BL126" s="6199" t="str">
        <f>_xlfn.LET(_xlpm.unite,SUBSTITUTE(TRIM(BC126)," (s)",""),_xlpm.val,BK126,_xlpm.estVol,COUNTIF(BE138:BL138,_xlpm.unite)+COUNTIF(BE140:BL140,_xlpm.unite)&gt;0,_xlpm.estPoids,COUNTIF(AY138:BD138,_xlpm.unite)+COUNTIF(AY140:BD140,_xlpm.unite)&gt;0,IF(_xlpm.estVol,IF(ROUND(_xlpm.val,3)&gt;=1,ROUND(_xlpm.val,3)&amp;"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26" s="7130"/>
      <c r="BQ126" s="6420" t="s">
        <v>1006</v>
      </c>
      <c r="BR126" s="6431"/>
      <c r="BS126" s="5783"/>
      <c r="BT126" s="5783"/>
      <c r="BU126" s="5783"/>
      <c r="BV126" s="6403"/>
      <c r="BX126" s="7130"/>
      <c r="BY126" s="6420" t="s">
        <v>9274</v>
      </c>
      <c r="BZ126" s="6431"/>
      <c r="CA126" s="5783"/>
      <c r="CB126" s="5783"/>
      <c r="CC126" s="5783"/>
      <c r="CD126" s="6403"/>
      <c r="CF126" s="7130"/>
      <c r="CG126" s="6420" t="s">
        <v>9428</v>
      </c>
      <c r="CH126" s="6431"/>
      <c r="CI126" s="5783"/>
      <c r="CJ126" s="5783"/>
      <c r="CK126" s="5783"/>
      <c r="CL126" s="6403"/>
      <c r="CN126" s="5">
        <v>1</v>
      </c>
    </row>
    <row r="127" spans="2:92" ht="21" customHeight="1">
      <c r="B127" s="1021" t="str">
        <f t="shared" si="31"/>
        <v>►</v>
      </c>
      <c r="C127" s="41" t="str">
        <f>C103</f>
        <v>N NOM DE VOTRE RECETTE | pâtisserie--ENTREMET| Auteur &gt; VOUS</v>
      </c>
      <c r="D127" s="40">
        <f>D103</f>
        <v>1</v>
      </c>
      <c r="E127" s="41" t="str">
        <f>E103</f>
        <v>coupe</v>
      </c>
      <c r="F127" s="5386" t="str">
        <f>F103</f>
        <v>Recette mère ► MILLE-FEUILLE meringue et chiboust pamplemousse aux fraises des bois</v>
      </c>
      <c r="G127" s="213"/>
      <c r="H127" s="212"/>
      <c r="I127" s="211" t="str">
        <f t="shared" si="28"/>
        <v/>
      </c>
      <c r="J127" s="210"/>
      <c r="K127" s="6366"/>
      <c r="L127" s="5448">
        <v>1</v>
      </c>
      <c r="M127" s="6866"/>
      <c r="N127" s="6871"/>
      <c r="O127" s="6253">
        <f>IF(Q137=0,0,(Q127/Q137)*P106*1000)</f>
        <v>0</v>
      </c>
      <c r="P127" s="6701">
        <f>IF(Q137=0, 0, (G127*L127)/(Q137*P106))</f>
        <v>0</v>
      </c>
      <c r="Q127" s="5882">
        <f>IFERROR(_xlfn.LET(_xlpm.v,IFERROR(_xlfn.XLOOKUP(K127,G138:T138,G139:T139),_xlfn.XLOOKUP(K127,G140:T140,G141:T141)),_xlpm.v*J127*IF(ISBLANK(G127),1,G127)),0)</f>
        <v>0</v>
      </c>
      <c r="R127" s="5256">
        <f>IF(OR(ISBLANK(S102),S102=0),0,G127*S100*L127/S102)</f>
        <v>0</v>
      </c>
      <c r="S127" s="6051">
        <f>IF(OR(ISBLANK(S102),S102=0),0,Q127*L127*S100/S102)</f>
        <v>0</v>
      </c>
      <c r="T127" s="6201" t="str">
        <f>_xlfn.LET(_xlpm.unite,SUBSTITUTE(TRIM(K127)," (s)",""),_xlpm.val,S127,_xlpm.estVol,COUNTIF(M138:T138,_xlpm.unite)+COUNTIF(M140:T140,_xlpm.unite)&gt;0,_xlpm.estPoids,COUNTIF(G138:L138,_xlpm.unite)+COUNTIF(G140:L140,_xlpm.unite)&gt;0,IF(_xlpm.estVol,IF(ROUND(_xlpm.val,3)&gt;=1,ROUND(_xlpm.val,3)&amp;"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27" s="1021" t="str">
        <f t="shared" si="32"/>
        <v>►</v>
      </c>
      <c r="Y127" s="41" t="str">
        <f>Y103</f>
        <v>N NAME OF YOUR RECIPE | paste it — FAMILY|  Author &gt; YOU</v>
      </c>
      <c r="Z127" s="40">
        <f>Z103</f>
        <v>0.6</v>
      </c>
      <c r="AA127" s="41" t="str">
        <f>AA103</f>
        <v>kg</v>
      </c>
      <c r="AB127" s="5386" t="str">
        <f>AB103</f>
        <v>Master recipe ► Guinea fowl ballotine</v>
      </c>
      <c r="AC127" s="213"/>
      <c r="AD127" s="212"/>
      <c r="AE127" s="211" t="str">
        <f t="shared" si="29"/>
        <v/>
      </c>
      <c r="AF127" s="210"/>
      <c r="AG127" s="6366"/>
      <c r="AH127" s="5448">
        <v>1</v>
      </c>
      <c r="AI127" s="6866"/>
      <c r="AJ127" s="6871"/>
      <c r="AK127" s="6253">
        <f>IF(AM137=0,0,(AM127/AM137)*AL106*1000)</f>
        <v>0</v>
      </c>
      <c r="AL127" s="6701">
        <f>IF(AM137=0, 0, (AC127*AH127)/(AM137*AL106))</f>
        <v>0</v>
      </c>
      <c r="AM127" s="5882">
        <f>IFERROR(_xlfn.LET(_xlpm.v,IFERROR(_xlfn.XLOOKUP(AG127,AC138:AP138,AC139:AP139),_xlfn.XLOOKUP(AG127,AC140:AP140,AC141:AP141)),_xlpm.v*AF127*IF(ISBLANK(AC127),1,AC127)),0)</f>
        <v>0</v>
      </c>
      <c r="AN127" s="5256">
        <f>IF(OR(ISBLANK(AO102),AO102=0),0,AC127*AO100*AH127/AO102)</f>
        <v>0</v>
      </c>
      <c r="AO127" s="6051">
        <f>IF(OR(ISBLANK(AO102),AO102=0),0,AM127*AH127*AO100/AO102)</f>
        <v>0</v>
      </c>
      <c r="AP127" s="6201" t="str">
        <f>_xlfn.LET(_xlpm.unite,SUBSTITUTE(TRIM(AG127)," (s)",""),_xlpm.val,AO127,_xlpm.estVol,COUNTIF(AI138:AP138,_xlpm.unite)+COUNTIF(AI140:AP140,_xlpm.unite)&gt;0,_xlpm.estPoids,COUNTIF(AC138:AH138,_xlpm.unite)+COUNTIF(AC140:AH140,_xlpm.unite)&gt;0,IF(_xlpm.estVol,IF(ROUND(_xlpm.val,3)&gt;=1,ROUND(_xlpm.val,3)&amp;"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27" s="1021" t="str">
        <f t="shared" si="33"/>
        <v>►</v>
      </c>
      <c r="AU127" s="41" t="str">
        <f>AU103</f>
        <v>N NOMBRE DE SU RECETA | pegue esto — FAMILIA| Autor &gt; USTED</v>
      </c>
      <c r="AV127" s="40">
        <f>AV103</f>
        <v>0.6</v>
      </c>
      <c r="AW127" s="41" t="str">
        <f>AW103</f>
        <v>kg</v>
      </c>
      <c r="AX127" s="5386" t="str">
        <f>AX103</f>
        <v>Receta madre ► Ballotina de pintada</v>
      </c>
      <c r="AY127" s="213"/>
      <c r="AZ127" s="212"/>
      <c r="BA127" s="211" t="str">
        <f t="shared" si="30"/>
        <v/>
      </c>
      <c r="BB127" s="210"/>
      <c r="BC127" s="6366"/>
      <c r="BD127" s="5448">
        <v>1</v>
      </c>
      <c r="BE127" s="6866"/>
      <c r="BF127" s="6871"/>
      <c r="BG127" s="6253">
        <f>IF(BI137=0,0,(BI127/BI137)*BH106*1000)</f>
        <v>0</v>
      </c>
      <c r="BH127" s="6701">
        <f>IF(BI137=0, 0, (AY127*BD127)/(BI137*BH106))</f>
        <v>0</v>
      </c>
      <c r="BI127" s="5882">
        <f>IFERROR(_xlfn.LET(_xlpm.v,IFERROR(_xlfn.XLOOKUP(BC127,AY138:BL138,AY139:BL139),_xlfn.XLOOKUP(BC127,AY140:BL140,AY141:BL141)),_xlpm.v*BB127*IF(ISBLANK(AY127),1,AY127)),0)</f>
        <v>0</v>
      </c>
      <c r="BJ127" s="5256">
        <f>IF(OR(ISBLANK(BK102),BK102=0),0,AY127*BK100*BD127/BK102)</f>
        <v>0</v>
      </c>
      <c r="BK127" s="6051">
        <f>IF(OR(ISBLANK(BK102),BK102=0),0,BI127*BD127*BK100/BK102)</f>
        <v>0</v>
      </c>
      <c r="BL127" s="6201" t="str">
        <f>_xlfn.LET(_xlpm.unite,SUBSTITUTE(TRIM(BC127)," (s)",""),_xlpm.val,BK127,_xlpm.estVol,COUNTIF(BE138:BL138,_xlpm.unite)+COUNTIF(BE140:BL140,_xlpm.unite)&gt;0,_xlpm.estPoids,COUNTIF(AY138:BD138,_xlpm.unite)+COUNTIF(AY140:BD140,_xlpm.unite)&gt;0,IF(_xlpm.estVol,IF(ROUND(_xlpm.val,3)&gt;=1,ROUND(_xlpm.val,3)&amp;"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27" s="7130"/>
      <c r="BQ127" s="6435" t="s">
        <v>1007</v>
      </c>
      <c r="BR127" s="6431"/>
      <c r="BS127" s="5783"/>
      <c r="BT127" s="5783"/>
      <c r="BU127" s="5783"/>
      <c r="BV127" s="6403"/>
      <c r="BX127" s="7130"/>
      <c r="BY127" s="6435" t="s">
        <v>9275</v>
      </c>
      <c r="BZ127" s="6431"/>
      <c r="CA127" s="5783"/>
      <c r="CB127" s="5783"/>
      <c r="CC127" s="5783"/>
      <c r="CD127" s="6403"/>
      <c r="CF127" s="7130"/>
      <c r="CG127" s="6435" t="s">
        <v>9429</v>
      </c>
      <c r="CH127" s="6431"/>
      <c r="CI127" s="5783"/>
      <c r="CJ127" s="5783"/>
      <c r="CK127" s="5783"/>
      <c r="CL127" s="6403"/>
      <c r="CN127" s="5">
        <v>1</v>
      </c>
    </row>
    <row r="128" spans="2:92" ht="21" customHeight="1">
      <c r="B128" s="1021" t="str">
        <f t="shared" si="31"/>
        <v>►</v>
      </c>
      <c r="C128" s="41" t="str">
        <f>C103</f>
        <v>N NOM DE VOTRE RECETTE | pâtisserie--ENTREMET| Auteur &gt; VOUS</v>
      </c>
      <c r="D128" s="40">
        <f>D103</f>
        <v>1</v>
      </c>
      <c r="E128" s="41" t="str">
        <f>E103</f>
        <v>coupe</v>
      </c>
      <c r="F128" s="5386" t="str">
        <f>F103</f>
        <v>Recette mère ► MILLE-FEUILLE meringue et chiboust pamplemousse aux fraises des bois</v>
      </c>
      <c r="G128" s="213"/>
      <c r="H128" s="212"/>
      <c r="I128" s="211" t="str">
        <f t="shared" si="28"/>
        <v/>
      </c>
      <c r="J128" s="210"/>
      <c r="K128" s="6366"/>
      <c r="L128" s="5448">
        <v>1</v>
      </c>
      <c r="M128" s="6866"/>
      <c r="N128" s="6871"/>
      <c r="O128" s="6253">
        <f>IF(Q137=0,0,(Q128/Q137)*P106*1000)</f>
        <v>0</v>
      </c>
      <c r="P128" s="6701">
        <f>IF(Q137=0, 0, (G128*L128)/(Q137*P106))</f>
        <v>0</v>
      </c>
      <c r="Q128" s="5882">
        <f>IFERROR(_xlfn.LET(_xlpm.v,IFERROR(_xlfn.XLOOKUP(K128,G138:T138,G139:T139),_xlfn.XLOOKUP(K128,G140:T140,G141:T141)),_xlpm.v*J128*IF(ISBLANK(G128),1,G128)),0)</f>
        <v>0</v>
      </c>
      <c r="R128" s="5254">
        <f>IF(OR(ISBLANK(S102),S102=0),0,G128*S100*L128/S102)</f>
        <v>0</v>
      </c>
      <c r="S128" s="6051">
        <f>IF(OR(ISBLANK(S102),S102=0),0,Q128*L128*S100/S102)</f>
        <v>0</v>
      </c>
      <c r="T128" s="6199" t="str">
        <f>_xlfn.LET(_xlpm.unite,SUBSTITUTE(TRIM(K128)," (s)",""),_xlpm.val,S128,_xlpm.estVol,COUNTIF(M138:T138,_xlpm.unite)+COUNTIF(M140:T140,_xlpm.unite)&gt;0,_xlpm.estPoids,COUNTIF(G138:L138,_xlpm.unite)+COUNTIF(G140:L140,_xlpm.unite)&gt;0,IF(_xlpm.estVol,IF(ROUND(_xlpm.val,3)&gt;=1,ROUND(_xlpm.val,3)&amp;"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28" s="1021" t="str">
        <f t="shared" si="32"/>
        <v>►</v>
      </c>
      <c r="Y128" s="41" t="str">
        <f>Y103</f>
        <v>N NAME OF YOUR RECIPE | paste it — FAMILY|  Author &gt; YOU</v>
      </c>
      <c r="Z128" s="40">
        <f>Z103</f>
        <v>0.6</v>
      </c>
      <c r="AA128" s="41" t="str">
        <f>AA103</f>
        <v>kg</v>
      </c>
      <c r="AB128" s="5386" t="str">
        <f>AB103</f>
        <v>Master recipe ► Guinea fowl ballotine</v>
      </c>
      <c r="AC128" s="213"/>
      <c r="AD128" s="212"/>
      <c r="AE128" s="211" t="str">
        <f t="shared" si="29"/>
        <v/>
      </c>
      <c r="AF128" s="210"/>
      <c r="AG128" s="6366"/>
      <c r="AH128" s="5448">
        <v>1</v>
      </c>
      <c r="AI128" s="6866"/>
      <c r="AJ128" s="6871"/>
      <c r="AK128" s="6253">
        <f>IF(AM137=0,0,(AM128/AM137)*AL106*1000)</f>
        <v>0</v>
      </c>
      <c r="AL128" s="6701">
        <f>IF(AM137=0, 0, (AC128*AH128)/(AM137*AL106))</f>
        <v>0</v>
      </c>
      <c r="AM128" s="5882">
        <f>IFERROR(_xlfn.LET(_xlpm.v,IFERROR(_xlfn.XLOOKUP(AG128,AC138:AP138,AC139:AP139),_xlfn.XLOOKUP(AG128,AC140:AP140,AC141:AP141)),_xlpm.v*AF128*IF(ISBLANK(AC128),1,AC128)),0)</f>
        <v>0</v>
      </c>
      <c r="AN128" s="5254">
        <f>IF(OR(ISBLANK(AO102),AO102=0),0,AC128*AO100*AH128/AO102)</f>
        <v>0</v>
      </c>
      <c r="AO128" s="6051">
        <f>IF(OR(ISBLANK(AO102),AO102=0),0,AM128*AH128*AO100/AO102)</f>
        <v>0</v>
      </c>
      <c r="AP128" s="6199" t="str">
        <f>_xlfn.LET(_xlpm.unite,SUBSTITUTE(TRIM(AG128)," (s)",""),_xlpm.val,AO128,_xlpm.estVol,COUNTIF(AI138:AP138,_xlpm.unite)+COUNTIF(AI140:AP140,_xlpm.unite)&gt;0,_xlpm.estPoids,COUNTIF(AC138:AH138,_xlpm.unite)+COUNTIF(AC140:AH140,_xlpm.unite)&gt;0,IF(_xlpm.estVol,IF(ROUND(_xlpm.val,3)&gt;=1,ROUND(_xlpm.val,3)&amp;"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28" s="1021" t="str">
        <f t="shared" si="33"/>
        <v>►</v>
      </c>
      <c r="AU128" s="41" t="str">
        <f>AU103</f>
        <v>N NOMBRE DE SU RECETA | pegue esto — FAMILIA| Autor &gt; USTED</v>
      </c>
      <c r="AV128" s="40">
        <f>AV103</f>
        <v>0.6</v>
      </c>
      <c r="AW128" s="41" t="str">
        <f>AW103</f>
        <v>kg</v>
      </c>
      <c r="AX128" s="5386" t="str">
        <f>AX103</f>
        <v>Receta madre ► Ballotina de pintada</v>
      </c>
      <c r="AY128" s="213"/>
      <c r="AZ128" s="212"/>
      <c r="BA128" s="211" t="str">
        <f t="shared" si="30"/>
        <v/>
      </c>
      <c r="BB128" s="210"/>
      <c r="BC128" s="6366"/>
      <c r="BD128" s="5448">
        <v>1</v>
      </c>
      <c r="BE128" s="6866"/>
      <c r="BF128" s="6871"/>
      <c r="BG128" s="6253">
        <f>IF(BI137=0,0,(BI128/BI137)*BH106*1000)</f>
        <v>0</v>
      </c>
      <c r="BH128" s="6701">
        <f>IF(BI137=0, 0, (AY128*BD128)/(BI137*BH106))</f>
        <v>0</v>
      </c>
      <c r="BI128" s="5882">
        <f>IFERROR(_xlfn.LET(_xlpm.v,IFERROR(_xlfn.XLOOKUP(BC128,AY138:BL138,AY139:BL139),_xlfn.XLOOKUP(BC128,AY140:BL140,AY141:BL141)),_xlpm.v*BB128*IF(ISBLANK(AY128),1,AY128)),0)</f>
        <v>0</v>
      </c>
      <c r="BJ128" s="5254">
        <f>IF(OR(ISBLANK(BK102),BK102=0),0,AY128*BK100*BD128/BK102)</f>
        <v>0</v>
      </c>
      <c r="BK128" s="6051">
        <f>IF(OR(ISBLANK(BK102),BK102=0),0,BI128*BD128*BK100/BK102)</f>
        <v>0</v>
      </c>
      <c r="BL128" s="6199" t="str">
        <f>_xlfn.LET(_xlpm.unite,SUBSTITUTE(TRIM(BC128)," (s)",""),_xlpm.val,BK128,_xlpm.estVol,COUNTIF(BE138:BL138,_xlpm.unite)+COUNTIF(BE140:BL140,_xlpm.unite)&gt;0,_xlpm.estPoids,COUNTIF(AY138:BD138,_xlpm.unite)+COUNTIF(AY140:BD140,_xlpm.unite)&gt;0,IF(_xlpm.estVol,IF(ROUND(_xlpm.val,3)&gt;=1,ROUND(_xlpm.val,3)&amp;"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28" s="7130"/>
      <c r="BQ128" s="6434" t="s">
        <v>1008</v>
      </c>
      <c r="BR128" s="6432"/>
      <c r="BS128" s="5783"/>
      <c r="BT128" s="5783"/>
      <c r="BU128" s="5783"/>
      <c r="BV128" s="6403"/>
      <c r="BX128" s="7130"/>
      <c r="BY128" s="6434" t="s">
        <v>9276</v>
      </c>
      <c r="BZ128" s="6432"/>
      <c r="CA128" s="5783"/>
      <c r="CB128" s="5783"/>
      <c r="CC128" s="5783"/>
      <c r="CD128" s="6403"/>
      <c r="CF128" s="7130"/>
      <c r="CG128" s="6434" t="s">
        <v>9430</v>
      </c>
      <c r="CH128" s="6432"/>
      <c r="CI128" s="5783"/>
      <c r="CJ128" s="5783"/>
      <c r="CK128" s="5783"/>
      <c r="CL128" s="6403"/>
      <c r="CN128" s="5">
        <v>1</v>
      </c>
    </row>
    <row r="129" spans="2:92" ht="21" customHeight="1">
      <c r="B129" s="1021" t="str">
        <f t="shared" si="31"/>
        <v>►</v>
      </c>
      <c r="C129" s="41" t="str">
        <f>C103</f>
        <v>N NOM DE VOTRE RECETTE | pâtisserie--ENTREMET| Auteur &gt; VOUS</v>
      </c>
      <c r="D129" s="40">
        <f>D103</f>
        <v>1</v>
      </c>
      <c r="E129" s="41" t="str">
        <f>E103</f>
        <v>coupe</v>
      </c>
      <c r="F129" s="5386" t="str">
        <f>F103</f>
        <v>Recette mère ► MILLE-FEUILLE meringue et chiboust pamplemousse aux fraises des bois</v>
      </c>
      <c r="G129" s="213"/>
      <c r="H129" s="212"/>
      <c r="I129" s="211" t="str">
        <f t="shared" si="28"/>
        <v/>
      </c>
      <c r="J129" s="210"/>
      <c r="K129" s="6366"/>
      <c r="L129" s="5448">
        <v>1</v>
      </c>
      <c r="M129" s="6866"/>
      <c r="N129" s="6871"/>
      <c r="O129" s="6253">
        <f>IF(Q137=0,0,(Q129/Q137)*P106*1000)</f>
        <v>0</v>
      </c>
      <c r="P129" s="6701">
        <f>IF(Q137=0, 0, (G129*L129)/(Q137*P106))</f>
        <v>0</v>
      </c>
      <c r="Q129" s="5882">
        <f>IFERROR(_xlfn.LET(_xlpm.v,IFERROR(_xlfn.XLOOKUP(K129,G138:T138,G139:T139),_xlfn.XLOOKUP(K129,G140:T140,G141:T141)),_xlpm.v*J129*IF(ISBLANK(G129),1,G129)),0)</f>
        <v>0</v>
      </c>
      <c r="R129" s="5256">
        <f>IF(OR(ISBLANK(S102),S102=0),0,G129*S100*L129/S102)</f>
        <v>0</v>
      </c>
      <c r="S129" s="6051">
        <f>IF(OR(ISBLANK(S102),S102=0),0,Q129*L129*S100/S102)</f>
        <v>0</v>
      </c>
      <c r="T129" s="6201" t="str">
        <f>_xlfn.LET(_xlpm.unite,SUBSTITUTE(TRIM(K129)," (s)",""),_xlpm.val,S129,_xlpm.estVol,COUNTIF(M138:T138,_xlpm.unite)+COUNTIF(M140:T140,_xlpm.unite)&gt;0,_xlpm.estPoids,COUNTIF(G138:L138,_xlpm.unite)+COUNTIF(G140:L140,_xlpm.unite)&gt;0,IF(_xlpm.estVol,IF(ROUND(_xlpm.val,3)&gt;=1,ROUND(_xlpm.val,3)&amp;"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29" s="1021" t="str">
        <f t="shared" si="32"/>
        <v>►</v>
      </c>
      <c r="Y129" s="41" t="str">
        <f>Y103</f>
        <v>N NAME OF YOUR RECIPE | paste it — FAMILY|  Author &gt; YOU</v>
      </c>
      <c r="Z129" s="40">
        <f>Z103</f>
        <v>0.6</v>
      </c>
      <c r="AA129" s="41" t="str">
        <f>AA103</f>
        <v>kg</v>
      </c>
      <c r="AB129" s="5386" t="str">
        <f>AB103</f>
        <v>Master recipe ► Guinea fowl ballotine</v>
      </c>
      <c r="AC129" s="213"/>
      <c r="AD129" s="212"/>
      <c r="AE129" s="211" t="str">
        <f t="shared" si="29"/>
        <v/>
      </c>
      <c r="AF129" s="210"/>
      <c r="AG129" s="6366"/>
      <c r="AH129" s="5448">
        <v>1</v>
      </c>
      <c r="AI129" s="6866"/>
      <c r="AJ129" s="6871"/>
      <c r="AK129" s="6253">
        <f>IF(AM137=0,0,(AM129/AM137)*AL106*1000)</f>
        <v>0</v>
      </c>
      <c r="AL129" s="6701">
        <f>IF(AM137=0, 0, (AC129*AH129)/(AM137*AL106))</f>
        <v>0</v>
      </c>
      <c r="AM129" s="5882">
        <f>IFERROR(_xlfn.LET(_xlpm.v,IFERROR(_xlfn.XLOOKUP(AG129,AC138:AP138,AC139:AP139),_xlfn.XLOOKUP(AG129,AC140:AP140,AC141:AP141)),_xlpm.v*AF129*IF(ISBLANK(AC129),1,AC129)),0)</f>
        <v>0</v>
      </c>
      <c r="AN129" s="5256">
        <f>IF(OR(ISBLANK(AO102),AO102=0),0,AC129*AO100*AH129/AO102)</f>
        <v>0</v>
      </c>
      <c r="AO129" s="6051">
        <f>IF(OR(ISBLANK(AO102),AO102=0),0,AM129*AH129*AO100/AO102)</f>
        <v>0</v>
      </c>
      <c r="AP129" s="6201" t="str">
        <f>_xlfn.LET(_xlpm.unite,SUBSTITUTE(TRIM(AG129)," (s)",""),_xlpm.val,AO129,_xlpm.estVol,COUNTIF(AI138:AP138,_xlpm.unite)+COUNTIF(AI140:AP140,_xlpm.unite)&gt;0,_xlpm.estPoids,COUNTIF(AC138:AH138,_xlpm.unite)+COUNTIF(AC140:AH140,_xlpm.unite)&gt;0,IF(_xlpm.estVol,IF(ROUND(_xlpm.val,3)&gt;=1,ROUND(_xlpm.val,3)&amp;"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29" s="1021" t="str">
        <f t="shared" si="33"/>
        <v>►</v>
      </c>
      <c r="AU129" s="41" t="str">
        <f>AU103</f>
        <v>N NOMBRE DE SU RECETA | pegue esto — FAMILIA| Autor &gt; USTED</v>
      </c>
      <c r="AV129" s="40">
        <f>AV103</f>
        <v>0.6</v>
      </c>
      <c r="AW129" s="41" t="str">
        <f>AW103</f>
        <v>kg</v>
      </c>
      <c r="AX129" s="5386" t="str">
        <f>AX103</f>
        <v>Receta madre ► Ballotina de pintada</v>
      </c>
      <c r="AY129" s="213"/>
      <c r="AZ129" s="212"/>
      <c r="BA129" s="211" t="str">
        <f t="shared" si="30"/>
        <v/>
      </c>
      <c r="BB129" s="210"/>
      <c r="BC129" s="6366"/>
      <c r="BD129" s="5448">
        <v>1</v>
      </c>
      <c r="BE129" s="6866"/>
      <c r="BF129" s="6871"/>
      <c r="BG129" s="6253">
        <f>IF(BI137=0,0,(BI129/BI137)*BH106*1000)</f>
        <v>0</v>
      </c>
      <c r="BH129" s="6701">
        <f>IF(BI137=0, 0, (AY129*BD129)/(BI137*BH106))</f>
        <v>0</v>
      </c>
      <c r="BI129" s="5882">
        <f>IFERROR(_xlfn.LET(_xlpm.v,IFERROR(_xlfn.XLOOKUP(BC129,AY138:BL138,AY139:BL139),_xlfn.XLOOKUP(BC129,AY140:BL140,AY141:BL141)),_xlpm.v*BB129*IF(ISBLANK(AY129),1,AY129)),0)</f>
        <v>0</v>
      </c>
      <c r="BJ129" s="5256">
        <f>IF(OR(ISBLANK(BK102),BK102=0),0,AY129*BK100*BD129/BK102)</f>
        <v>0</v>
      </c>
      <c r="BK129" s="6051">
        <f>IF(OR(ISBLANK(BK102),BK102=0),0,BI129*BD129*BK100/BK102)</f>
        <v>0</v>
      </c>
      <c r="BL129" s="6201" t="str">
        <f>_xlfn.LET(_xlpm.unite,SUBSTITUTE(TRIM(BC129)," (s)",""),_xlpm.val,BK129,_xlpm.estVol,COUNTIF(BE138:BL138,_xlpm.unite)+COUNTIF(BE140:BL140,_xlpm.unite)&gt;0,_xlpm.estPoids,COUNTIF(AY138:BD138,_xlpm.unite)+COUNTIF(AY140:BD140,_xlpm.unite)&gt;0,IF(_xlpm.estVol,IF(ROUND(_xlpm.val,3)&gt;=1,ROUND(_xlpm.val,3)&amp;"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29" s="6404"/>
      <c r="BQ129" s="5783"/>
      <c r="BR129" s="5783"/>
      <c r="BS129" s="5783"/>
      <c r="BT129" s="5783"/>
      <c r="BU129" s="5783"/>
      <c r="BV129" s="6403"/>
      <c r="BX129" s="6404"/>
      <c r="BY129" s="5783"/>
      <c r="BZ129" s="5783"/>
      <c r="CA129" s="5783"/>
      <c r="CB129" s="5783"/>
      <c r="CC129" s="5783"/>
      <c r="CD129" s="6403"/>
      <c r="CF129" s="6404"/>
      <c r="CG129" s="5783"/>
      <c r="CH129" s="5783"/>
      <c r="CI129" s="5783"/>
      <c r="CJ129" s="5783"/>
      <c r="CK129" s="5783"/>
      <c r="CL129" s="6403"/>
      <c r="CN129" s="5">
        <v>1</v>
      </c>
    </row>
    <row r="130" spans="2:92" ht="21" customHeight="1">
      <c r="B130" s="1021" t="str">
        <f t="shared" si="31"/>
        <v>►</v>
      </c>
      <c r="C130" s="41" t="str">
        <f>C103</f>
        <v>N NOM DE VOTRE RECETTE | pâtisserie--ENTREMET| Auteur &gt; VOUS</v>
      </c>
      <c r="D130" s="40">
        <f>D103</f>
        <v>1</v>
      </c>
      <c r="E130" s="41" t="str">
        <f>E103</f>
        <v>coupe</v>
      </c>
      <c r="F130" s="5386" t="str">
        <f>F103</f>
        <v>Recette mère ► MILLE-FEUILLE meringue et chiboust pamplemousse aux fraises des bois</v>
      </c>
      <c r="G130" s="213"/>
      <c r="H130" s="212"/>
      <c r="I130" s="211" t="str">
        <f t="shared" si="28"/>
        <v/>
      </c>
      <c r="J130" s="210"/>
      <c r="K130" s="6366"/>
      <c r="L130" s="5448">
        <v>1</v>
      </c>
      <c r="M130" s="6866"/>
      <c r="N130" s="6871"/>
      <c r="O130" s="6253">
        <f>IF(Q137=0,0,(Q130/Q137)*P106*1000)</f>
        <v>0</v>
      </c>
      <c r="P130" s="6701">
        <f>IF(Q137=0, 0, (G130*L130)/(Q137*P106))</f>
        <v>0</v>
      </c>
      <c r="Q130" s="5882">
        <f>IFERROR(_xlfn.LET(_xlpm.v,IFERROR(_xlfn.XLOOKUP(K130,G138:T138,G139:T139),_xlfn.XLOOKUP(K130,G140:T140,G141:T141)),_xlpm.v*J130*IF(ISBLANK(G130),1,G130)),0)</f>
        <v>0</v>
      </c>
      <c r="R130" s="5254">
        <f>IF(OR(ISBLANK(S102),S102=0),0,G130*S100*L130/S102)</f>
        <v>0</v>
      </c>
      <c r="S130" s="6051">
        <f>IF(OR(ISBLANK(S102),S102=0),0,Q130*L130*S100/S102)</f>
        <v>0</v>
      </c>
      <c r="T130" s="6199" t="str">
        <f>_xlfn.LET(_xlpm.unite,SUBSTITUTE(TRIM(K130)," (s)",""),_xlpm.val,S130,_xlpm.estVol,COUNTIF(M138:T138,_xlpm.unite)+COUNTIF(M140:T140,_xlpm.unite)&gt;0,_xlpm.estPoids,COUNTIF(G138:L138,_xlpm.unite)+COUNTIF(G140:L140,_xlpm.unite)&gt;0,IF(_xlpm.estVol,IF(ROUND(_xlpm.val,3)&gt;=1,ROUND(_xlpm.val,3)&amp;"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0" s="1021" t="str">
        <f t="shared" si="32"/>
        <v>►</v>
      </c>
      <c r="Y130" s="41" t="str">
        <f>Y103</f>
        <v>N NAME OF YOUR RECIPE | paste it — FAMILY|  Author &gt; YOU</v>
      </c>
      <c r="Z130" s="40">
        <f>Z103</f>
        <v>0.6</v>
      </c>
      <c r="AA130" s="41" t="str">
        <f>AA103</f>
        <v>kg</v>
      </c>
      <c r="AB130" s="5386" t="str">
        <f>AB103</f>
        <v>Master recipe ► Guinea fowl ballotine</v>
      </c>
      <c r="AC130" s="213"/>
      <c r="AD130" s="212"/>
      <c r="AE130" s="211" t="str">
        <f t="shared" si="29"/>
        <v/>
      </c>
      <c r="AF130" s="210"/>
      <c r="AG130" s="6366"/>
      <c r="AH130" s="5448">
        <v>1</v>
      </c>
      <c r="AI130" s="6866"/>
      <c r="AJ130" s="6871"/>
      <c r="AK130" s="6253">
        <f>IF(AM137=0,0,(AM130/AM137)*AL106*1000)</f>
        <v>0</v>
      </c>
      <c r="AL130" s="6701">
        <f>IF(AM137=0, 0, (AC130*AH130)/(AM137*AL106))</f>
        <v>0</v>
      </c>
      <c r="AM130" s="5882">
        <f>IFERROR(_xlfn.LET(_xlpm.v,IFERROR(_xlfn.XLOOKUP(AG130,AC138:AP138,AC139:AP139),_xlfn.XLOOKUP(AG130,AC140:AP140,AC141:AP141)),_xlpm.v*AF130*IF(ISBLANK(AC130),1,AC130)),0)</f>
        <v>0</v>
      </c>
      <c r="AN130" s="5254">
        <f>IF(OR(ISBLANK(AO102),AO102=0),0,AC130*AO100*AH130/AO102)</f>
        <v>0</v>
      </c>
      <c r="AO130" s="6051">
        <f>IF(OR(ISBLANK(AO102),AO102=0),0,AM130*AH130*AO100/AO102)</f>
        <v>0</v>
      </c>
      <c r="AP130" s="6199" t="str">
        <f>_xlfn.LET(_xlpm.unite,SUBSTITUTE(TRIM(AG130)," (s)",""),_xlpm.val,AO130,_xlpm.estVol,COUNTIF(AI138:AP138,_xlpm.unite)+COUNTIF(AI140:AP140,_xlpm.unite)&gt;0,_xlpm.estPoids,COUNTIF(AC138:AH138,_xlpm.unite)+COUNTIF(AC140:AH140,_xlpm.unite)&gt;0,IF(_xlpm.estVol,IF(ROUND(_xlpm.val,3)&gt;=1,ROUND(_xlpm.val,3)&amp;"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0" s="1021" t="str">
        <f t="shared" si="33"/>
        <v>►</v>
      </c>
      <c r="AU130" s="41" t="str">
        <f>AU103</f>
        <v>N NOMBRE DE SU RECETA | pegue esto — FAMILIA| Autor &gt; USTED</v>
      </c>
      <c r="AV130" s="40">
        <f>AV103</f>
        <v>0.6</v>
      </c>
      <c r="AW130" s="41" t="str">
        <f>AW103</f>
        <v>kg</v>
      </c>
      <c r="AX130" s="5386" t="str">
        <f>AX103</f>
        <v>Receta madre ► Ballotina de pintada</v>
      </c>
      <c r="AY130" s="213"/>
      <c r="AZ130" s="212"/>
      <c r="BA130" s="211" t="str">
        <f t="shared" si="30"/>
        <v/>
      </c>
      <c r="BB130" s="210"/>
      <c r="BC130" s="6366"/>
      <c r="BD130" s="5448">
        <v>1</v>
      </c>
      <c r="BE130" s="6866"/>
      <c r="BF130" s="6871"/>
      <c r="BG130" s="6253">
        <f>IF(BI137=0,0,(BI130/BI137)*BH106*1000)</f>
        <v>0</v>
      </c>
      <c r="BH130" s="6701">
        <f>IF(BI137=0, 0, (AY130*BD130)/(BI137*BH106))</f>
        <v>0</v>
      </c>
      <c r="BI130" s="5882">
        <f>IFERROR(_xlfn.LET(_xlpm.v,IFERROR(_xlfn.XLOOKUP(BC130,AY138:BL138,AY139:BL139),_xlfn.XLOOKUP(BC130,AY140:BL140,AY141:BL141)),_xlpm.v*BB130*IF(ISBLANK(AY130),1,AY130)),0)</f>
        <v>0</v>
      </c>
      <c r="BJ130" s="5254">
        <f>IF(OR(ISBLANK(BK102),BK102=0),0,AY130*BK100*BD130/BK102)</f>
        <v>0</v>
      </c>
      <c r="BK130" s="6051">
        <f>IF(OR(ISBLANK(BK102),BK102=0),0,BI130*BD130*BK100/BK102)</f>
        <v>0</v>
      </c>
      <c r="BL130" s="6199" t="str">
        <f>_xlfn.LET(_xlpm.unite,SUBSTITUTE(TRIM(BC130)," (s)",""),_xlpm.val,BK130,_xlpm.estVol,COUNTIF(BE138:BL138,_xlpm.unite)+COUNTIF(BE140:BL140,_xlpm.unite)&gt;0,_xlpm.estPoids,COUNTIF(AY138:BD138,_xlpm.unite)+COUNTIF(AY140:BD140,_xlpm.unite)&gt;0,IF(_xlpm.estVol,IF(ROUND(_xlpm.val,3)&gt;=1,ROUND(_xlpm.val,3)&amp;"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0" s="6404"/>
      <c r="BQ130" s="5783"/>
      <c r="BR130" s="5783"/>
      <c r="BS130" s="5783"/>
      <c r="BT130" s="5783"/>
      <c r="BU130" s="5783"/>
      <c r="BV130" s="6403"/>
      <c r="BX130" s="6404"/>
      <c r="BY130" s="5783"/>
      <c r="BZ130" s="5783"/>
      <c r="CA130" s="5783"/>
      <c r="CB130" s="5783"/>
      <c r="CC130" s="5783"/>
      <c r="CD130" s="6403"/>
      <c r="CF130" s="6404"/>
      <c r="CG130" s="5783"/>
      <c r="CH130" s="5783"/>
      <c r="CI130" s="5783"/>
      <c r="CJ130" s="5783"/>
      <c r="CK130" s="5783"/>
      <c r="CL130" s="6403"/>
      <c r="CN130" s="5">
        <v>1</v>
      </c>
    </row>
    <row r="131" spans="2:92" ht="21" customHeight="1">
      <c r="B131" s="1021" t="str">
        <f t="shared" si="31"/>
        <v>►</v>
      </c>
      <c r="C131" s="41" t="str">
        <f>C103</f>
        <v>N NOM DE VOTRE RECETTE | pâtisserie--ENTREMET| Auteur &gt; VOUS</v>
      </c>
      <c r="D131" s="40">
        <f>D103</f>
        <v>1</v>
      </c>
      <c r="E131" s="41" t="str">
        <f>E103</f>
        <v>coupe</v>
      </c>
      <c r="F131" s="5386" t="str">
        <f>F103</f>
        <v>Recette mère ► MILLE-FEUILLE meringue et chiboust pamplemousse aux fraises des bois</v>
      </c>
      <c r="G131" s="213"/>
      <c r="H131" s="212"/>
      <c r="I131" s="211" t="str">
        <f t="shared" si="28"/>
        <v/>
      </c>
      <c r="J131" s="210"/>
      <c r="K131" s="6366"/>
      <c r="L131" s="5448">
        <v>1</v>
      </c>
      <c r="M131" s="6866"/>
      <c r="N131" s="6871"/>
      <c r="O131" s="6253">
        <f>IF(Q137=0,0,(Q131/Q137)*P106*1000)</f>
        <v>0</v>
      </c>
      <c r="P131" s="6701">
        <f>IF(Q137=0, 0, (G131*L131)/(Q137*P106))</f>
        <v>0</v>
      </c>
      <c r="Q131" s="5882">
        <f>IFERROR(_xlfn.LET(_xlpm.v,IFERROR(_xlfn.XLOOKUP(K131,G138:T138,G139:T139),_xlfn.XLOOKUP(K131,G140:T140,G141:T141)),_xlpm.v*J131*IF(ISBLANK(G131),1,G131)),0)</f>
        <v>0</v>
      </c>
      <c r="R131" s="5256">
        <f>IF(OR(ISBLANK(S102),S102=0),0,G131*S100*L131/S102)</f>
        <v>0</v>
      </c>
      <c r="S131" s="6051">
        <f>IF(OR(ISBLANK(S102),S102=0),0,Q131*L131*S100/S102)</f>
        <v>0</v>
      </c>
      <c r="T131" s="6201" t="str">
        <f>_xlfn.LET(_xlpm.unite,SUBSTITUTE(TRIM(K131)," (s)",""),_xlpm.val,S131,_xlpm.estVol,COUNTIF(M138:T138,_xlpm.unite)+COUNTIF(M140:T140,_xlpm.unite)&gt;0,_xlpm.estPoids,COUNTIF(G138:L138,_xlpm.unite)+COUNTIF(G140:L140,_xlpm.unite)&gt;0,IF(_xlpm.estVol,IF(ROUND(_xlpm.val,3)&gt;=1,ROUND(_xlpm.val,3)&amp;"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1" s="1021" t="str">
        <f t="shared" si="32"/>
        <v>►</v>
      </c>
      <c r="Y131" s="41" t="str">
        <f>Y103</f>
        <v>N NAME OF YOUR RECIPE | paste it — FAMILY|  Author &gt; YOU</v>
      </c>
      <c r="Z131" s="40">
        <f>Z103</f>
        <v>0.6</v>
      </c>
      <c r="AA131" s="41" t="str">
        <f>AA103</f>
        <v>kg</v>
      </c>
      <c r="AB131" s="5386" t="str">
        <f>AB103</f>
        <v>Master recipe ► Guinea fowl ballotine</v>
      </c>
      <c r="AC131" s="213"/>
      <c r="AD131" s="212"/>
      <c r="AE131" s="211" t="str">
        <f t="shared" si="29"/>
        <v/>
      </c>
      <c r="AF131" s="210"/>
      <c r="AG131" s="6366"/>
      <c r="AH131" s="5448">
        <v>1</v>
      </c>
      <c r="AI131" s="6866"/>
      <c r="AJ131" s="6871"/>
      <c r="AK131" s="6253">
        <f>IF(AM137=0,0,(AM131/AM137)*AL106*1000)</f>
        <v>0</v>
      </c>
      <c r="AL131" s="6701">
        <f>IF(AM137=0, 0, (AC131*AH131)/(AM137*AL106))</f>
        <v>0</v>
      </c>
      <c r="AM131" s="5882">
        <f>IFERROR(_xlfn.LET(_xlpm.v,IFERROR(_xlfn.XLOOKUP(AG131,AC138:AP138,AC139:AP139),_xlfn.XLOOKUP(AG131,AC140:AP140,AC141:AP141)),_xlpm.v*AF131*IF(ISBLANK(AC131),1,AC131)),0)</f>
        <v>0</v>
      </c>
      <c r="AN131" s="5256">
        <f>IF(OR(ISBLANK(AO102),AO102=0),0,AC131*AO100*AH131/AO102)</f>
        <v>0</v>
      </c>
      <c r="AO131" s="6051">
        <f>IF(OR(ISBLANK(AO102),AO102=0),0,AM131*AH131*AO100/AO102)</f>
        <v>0</v>
      </c>
      <c r="AP131" s="6201" t="str">
        <f>_xlfn.LET(_xlpm.unite,SUBSTITUTE(TRIM(AG131)," (s)",""),_xlpm.val,AO131,_xlpm.estVol,COUNTIF(AI138:AP138,_xlpm.unite)+COUNTIF(AI140:AP140,_xlpm.unite)&gt;0,_xlpm.estPoids,COUNTIF(AC138:AH138,_xlpm.unite)+COUNTIF(AC140:AH140,_xlpm.unite)&gt;0,IF(_xlpm.estVol,IF(ROUND(_xlpm.val,3)&gt;=1,ROUND(_xlpm.val,3)&amp;"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1" s="1021" t="str">
        <f t="shared" si="33"/>
        <v>►</v>
      </c>
      <c r="AU131" s="41" t="str">
        <f>AU103</f>
        <v>N NOMBRE DE SU RECETA | pegue esto — FAMILIA| Autor &gt; USTED</v>
      </c>
      <c r="AV131" s="40">
        <f>AV103</f>
        <v>0.6</v>
      </c>
      <c r="AW131" s="41" t="str">
        <f>AW103</f>
        <v>kg</v>
      </c>
      <c r="AX131" s="5386" t="str">
        <f>AX103</f>
        <v>Receta madre ► Ballotina de pintada</v>
      </c>
      <c r="AY131" s="213"/>
      <c r="AZ131" s="212"/>
      <c r="BA131" s="211" t="str">
        <f t="shared" si="30"/>
        <v/>
      </c>
      <c r="BB131" s="210"/>
      <c r="BC131" s="6366"/>
      <c r="BD131" s="5448">
        <v>1</v>
      </c>
      <c r="BE131" s="6866"/>
      <c r="BF131" s="6871"/>
      <c r="BG131" s="6253">
        <f>IF(BI137=0,0,(BI131/BI137)*BH106*1000)</f>
        <v>0</v>
      </c>
      <c r="BH131" s="6701">
        <f>IF(BI137=0, 0, (AY131*BD131)/(BI137*BH106))</f>
        <v>0</v>
      </c>
      <c r="BI131" s="5882">
        <f>IFERROR(_xlfn.LET(_xlpm.v,IFERROR(_xlfn.XLOOKUP(BC131,AY138:BL138,AY139:BL139),_xlfn.XLOOKUP(BC131,AY140:BL140,AY141:BL141)),_xlpm.v*BB131*IF(ISBLANK(AY131),1,AY131)),0)</f>
        <v>0</v>
      </c>
      <c r="BJ131" s="5256">
        <f>IF(OR(ISBLANK(BK102),BK102=0),0,AY131*BK100*BD131/BK102)</f>
        <v>0</v>
      </c>
      <c r="BK131" s="6051">
        <f>IF(OR(ISBLANK(BK102),BK102=0),0,BI131*BD131*BK100/BK102)</f>
        <v>0</v>
      </c>
      <c r="BL131" s="6201" t="str">
        <f>_xlfn.LET(_xlpm.unite,SUBSTITUTE(TRIM(BC131)," (s)",""),_xlpm.val,BK131,_xlpm.estVol,COUNTIF(BE138:BL138,_xlpm.unite)+COUNTIF(BE140:BL140,_xlpm.unite)&gt;0,_xlpm.estPoids,COUNTIF(AY138:BD138,_xlpm.unite)+COUNTIF(AY140:BD140,_xlpm.unite)&gt;0,IF(_xlpm.estVol,IF(ROUND(_xlpm.val,3)&gt;=1,ROUND(_xlpm.val,3)&amp;"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1" s="6404"/>
      <c r="BQ131" s="5783"/>
      <c r="BR131" s="5783"/>
      <c r="BS131" s="5783"/>
      <c r="BT131" s="5783"/>
      <c r="BU131" s="5783"/>
      <c r="BV131" s="6403"/>
      <c r="BX131" s="6404"/>
      <c r="BY131" s="5783"/>
      <c r="BZ131" s="5783"/>
      <c r="CA131" s="5783"/>
      <c r="CB131" s="5783"/>
      <c r="CC131" s="5783"/>
      <c r="CD131" s="6403"/>
      <c r="CF131" s="6404"/>
      <c r="CG131" s="5783"/>
      <c r="CH131" s="5783"/>
      <c r="CI131" s="5783"/>
      <c r="CJ131" s="5783"/>
      <c r="CK131" s="5783"/>
      <c r="CL131" s="6403"/>
      <c r="CN131" s="5">
        <v>1</v>
      </c>
    </row>
    <row r="132" spans="2:92" ht="21" customHeight="1">
      <c r="B132" s="1021" t="str">
        <f t="shared" si="31"/>
        <v>►</v>
      </c>
      <c r="C132" s="41" t="str">
        <f>C103</f>
        <v>N NOM DE VOTRE RECETTE | pâtisserie--ENTREMET| Auteur &gt; VOUS</v>
      </c>
      <c r="D132" s="40">
        <f>D103</f>
        <v>1</v>
      </c>
      <c r="E132" s="41" t="str">
        <f>E103</f>
        <v>coupe</v>
      </c>
      <c r="F132" s="5386" t="str">
        <f>F103</f>
        <v>Recette mère ► MILLE-FEUILLE meringue et chiboust pamplemousse aux fraises des bois</v>
      </c>
      <c r="G132" s="213"/>
      <c r="H132" s="212"/>
      <c r="I132" s="211" t="str">
        <f t="shared" si="28"/>
        <v/>
      </c>
      <c r="J132" s="210"/>
      <c r="K132" s="6366"/>
      <c r="L132" s="5448">
        <v>1</v>
      </c>
      <c r="M132" s="6866"/>
      <c r="N132" s="6871"/>
      <c r="O132" s="6253">
        <f>IF(Q137=0,0,(Q132/Q137)*P106*1000)</f>
        <v>0</v>
      </c>
      <c r="P132" s="6701">
        <f>IF(Q137=0, 0, (G132*L132)/(Q137*P106))</f>
        <v>0</v>
      </c>
      <c r="Q132" s="5882">
        <f>IFERROR(_xlfn.LET(_xlpm.v,IFERROR(_xlfn.XLOOKUP(K132,G138:T138,G139:T139),_xlfn.XLOOKUP(K132,G140:T140,G141:T141)),_xlpm.v*J132*IF(ISBLANK(G132),1,G132)),0)</f>
        <v>0</v>
      </c>
      <c r="R132" s="5254">
        <f>IF(OR(ISBLANK(S102),S102=0),0,G132*S100*L132/S102)</f>
        <v>0</v>
      </c>
      <c r="S132" s="6051">
        <f>IF(OR(ISBLANK(S102),S102=0),0,Q132*L132*S100/S102)</f>
        <v>0</v>
      </c>
      <c r="T132" s="6199" t="str">
        <f>_xlfn.LET(_xlpm.unite,SUBSTITUTE(TRIM(K132)," (s)",""),_xlpm.val,S132,_xlpm.estVol,COUNTIF(M138:T138,_xlpm.unite)+COUNTIF(M140:T140,_xlpm.unite)&gt;0,_xlpm.estPoids,COUNTIF(G138:L138,_xlpm.unite)+COUNTIF(G140:L140,_xlpm.unite)&gt;0,IF(_xlpm.estVol,IF(ROUND(_xlpm.val,3)&gt;=1,ROUND(_xlpm.val,3)&amp;"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2" s="1021" t="str">
        <f t="shared" si="32"/>
        <v>►</v>
      </c>
      <c r="Y132" s="41" t="str">
        <f>Y103</f>
        <v>N NAME OF YOUR RECIPE | paste it — FAMILY|  Author &gt; YOU</v>
      </c>
      <c r="Z132" s="40">
        <f>Z103</f>
        <v>0.6</v>
      </c>
      <c r="AA132" s="41" t="str">
        <f>AA103</f>
        <v>kg</v>
      </c>
      <c r="AB132" s="5386" t="str">
        <f>AB103</f>
        <v>Master recipe ► Guinea fowl ballotine</v>
      </c>
      <c r="AC132" s="213"/>
      <c r="AD132" s="212"/>
      <c r="AE132" s="211" t="str">
        <f t="shared" si="29"/>
        <v/>
      </c>
      <c r="AF132" s="210"/>
      <c r="AG132" s="6366"/>
      <c r="AH132" s="5448">
        <v>1</v>
      </c>
      <c r="AI132" s="6866"/>
      <c r="AJ132" s="6871"/>
      <c r="AK132" s="6253">
        <f>IF(AM137=0,0,(AM132/AM137)*AL106*1000)</f>
        <v>0</v>
      </c>
      <c r="AL132" s="6701">
        <f>IF(AM137=0, 0, (AC132*AH132)/(AM137*AL106))</f>
        <v>0</v>
      </c>
      <c r="AM132" s="5882">
        <f>IFERROR(_xlfn.LET(_xlpm.v,IFERROR(_xlfn.XLOOKUP(AG132,AC138:AP138,AC139:AP139),_xlfn.XLOOKUP(AG132,AC140:AP140,AC141:AP141)),_xlpm.v*AF132*IF(ISBLANK(AC132),1,AC132)),0)</f>
        <v>0</v>
      </c>
      <c r="AN132" s="5254">
        <f>IF(OR(ISBLANK(AO102),AO102=0),0,AC132*AO100*AH132/AO102)</f>
        <v>0</v>
      </c>
      <c r="AO132" s="6051">
        <f>IF(OR(ISBLANK(AO102),AO102=0),0,AM132*AH132*AO100/AO102)</f>
        <v>0</v>
      </c>
      <c r="AP132" s="6199" t="str">
        <f>_xlfn.LET(_xlpm.unite,SUBSTITUTE(TRIM(AG132)," (s)",""),_xlpm.val,AO132,_xlpm.estVol,COUNTIF(AI138:AP138,_xlpm.unite)+COUNTIF(AI140:AP140,_xlpm.unite)&gt;0,_xlpm.estPoids,COUNTIF(AC138:AH138,_xlpm.unite)+COUNTIF(AC140:AH140,_xlpm.unite)&gt;0,IF(_xlpm.estVol,IF(ROUND(_xlpm.val,3)&gt;=1,ROUND(_xlpm.val,3)&amp;"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2" s="1021" t="str">
        <f t="shared" si="33"/>
        <v>►</v>
      </c>
      <c r="AU132" s="41" t="str">
        <f>AU103</f>
        <v>N NOMBRE DE SU RECETA | pegue esto — FAMILIA| Autor &gt; USTED</v>
      </c>
      <c r="AV132" s="40">
        <f>AV103</f>
        <v>0.6</v>
      </c>
      <c r="AW132" s="41" t="str">
        <f>AW103</f>
        <v>kg</v>
      </c>
      <c r="AX132" s="5386" t="str">
        <f>AX103</f>
        <v>Receta madre ► Ballotina de pintada</v>
      </c>
      <c r="AY132" s="213"/>
      <c r="AZ132" s="212"/>
      <c r="BA132" s="211" t="str">
        <f t="shared" si="30"/>
        <v/>
      </c>
      <c r="BB132" s="210"/>
      <c r="BC132" s="6366"/>
      <c r="BD132" s="5448">
        <v>1</v>
      </c>
      <c r="BE132" s="6866"/>
      <c r="BF132" s="6871"/>
      <c r="BG132" s="6253">
        <f>IF(BI137=0,0,(BI132/BI137)*BH106*1000)</f>
        <v>0</v>
      </c>
      <c r="BH132" s="6701">
        <f>IF(BI137=0, 0, (AY132*BD132)/(BI137*BH106))</f>
        <v>0</v>
      </c>
      <c r="BI132" s="5882">
        <f>IFERROR(_xlfn.LET(_xlpm.v,IFERROR(_xlfn.XLOOKUP(BC132,AY138:BL138,AY139:BL139),_xlfn.XLOOKUP(BC132,AY140:BL140,AY141:BL141)),_xlpm.v*BB132*IF(ISBLANK(AY132),1,AY132)),0)</f>
        <v>0</v>
      </c>
      <c r="BJ132" s="5254">
        <f>IF(OR(ISBLANK(BK102),BK102=0),0,AY132*BK100*BD132/BK102)</f>
        <v>0</v>
      </c>
      <c r="BK132" s="6051">
        <f>IF(OR(ISBLANK(BK102),BK102=0),0,BI132*BD132*BK100/BK102)</f>
        <v>0</v>
      </c>
      <c r="BL132" s="6199" t="str">
        <f>_xlfn.LET(_xlpm.unite,SUBSTITUTE(TRIM(BC132)," (s)",""),_xlpm.val,BK132,_xlpm.estVol,COUNTIF(BE138:BL138,_xlpm.unite)+COUNTIF(BE140:BL140,_xlpm.unite)&gt;0,_xlpm.estPoids,COUNTIF(AY138:BD138,_xlpm.unite)+COUNTIF(AY140:BD140,_xlpm.unite)&gt;0,IF(_xlpm.estVol,IF(ROUND(_xlpm.val,3)&gt;=1,ROUND(_xlpm.val,3)&amp;"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2" s="6404"/>
      <c r="BQ132" s="5783"/>
      <c r="BR132" s="5783"/>
      <c r="BS132" s="5783"/>
      <c r="BT132" s="5783"/>
      <c r="BU132" s="5783"/>
      <c r="BV132" s="6403"/>
      <c r="BX132" s="6404"/>
      <c r="BY132" s="5783"/>
      <c r="BZ132" s="5783"/>
      <c r="CA132" s="5783"/>
      <c r="CB132" s="5783"/>
      <c r="CC132" s="5783"/>
      <c r="CD132" s="6403"/>
      <c r="CF132" s="6404"/>
      <c r="CG132" s="5783"/>
      <c r="CH132" s="5783"/>
      <c r="CI132" s="5783"/>
      <c r="CJ132" s="5783"/>
      <c r="CK132" s="5783"/>
      <c r="CL132" s="6403"/>
      <c r="CN132" s="5">
        <v>1</v>
      </c>
    </row>
    <row r="133" spans="2:92" ht="21" customHeight="1">
      <c r="B133" s="1021" t="str">
        <f t="shared" si="31"/>
        <v>►</v>
      </c>
      <c r="C133" s="41" t="str">
        <f>C103</f>
        <v>N NOM DE VOTRE RECETTE | pâtisserie--ENTREMET| Auteur &gt; VOUS</v>
      </c>
      <c r="D133" s="40">
        <f>D103</f>
        <v>1</v>
      </c>
      <c r="E133" s="41" t="str">
        <f>E103</f>
        <v>coupe</v>
      </c>
      <c r="F133" s="5386" t="str">
        <f>F103</f>
        <v>Recette mère ► MILLE-FEUILLE meringue et chiboust pamplemousse aux fraises des bois</v>
      </c>
      <c r="G133" s="213"/>
      <c r="H133" s="212"/>
      <c r="I133" s="211" t="str">
        <f t="shared" si="28"/>
        <v/>
      </c>
      <c r="J133" s="210"/>
      <c r="K133" s="6366"/>
      <c r="L133" s="5448">
        <v>1</v>
      </c>
      <c r="M133" s="6866"/>
      <c r="N133" s="6871"/>
      <c r="O133" s="6253">
        <f>IF(Q137=0,0,(Q133/Q137)*P106*1000)</f>
        <v>0</v>
      </c>
      <c r="P133" s="6701">
        <f>IF(Q137=0, 0, (G133*L133)/(Q137*P106))</f>
        <v>0</v>
      </c>
      <c r="Q133" s="5882">
        <f>IFERROR(_xlfn.LET(_xlpm.v,IFERROR(_xlfn.XLOOKUP(K133,G138:T138,G139:T139),_xlfn.XLOOKUP(K133,G140:T140,G141:T141)),_xlpm.v*J133*IF(ISBLANK(G133),1,G133)),0)</f>
        <v>0</v>
      </c>
      <c r="R133" s="5256">
        <f>IF(OR(ISBLANK(S102),S102=0),0,G133*S100*L133/S102)</f>
        <v>0</v>
      </c>
      <c r="S133" s="6051">
        <f>IF(OR(ISBLANK(S102),S102=0),0,Q133*L133*S100/S102)</f>
        <v>0</v>
      </c>
      <c r="T133" s="6201" t="str">
        <f>_xlfn.LET(_xlpm.unite,SUBSTITUTE(TRIM(K133)," (s)",""),_xlpm.val,S133,_xlpm.estVol,COUNTIF(M138:T138,_xlpm.unite)+COUNTIF(M140:T140,_xlpm.unite)&gt;0,_xlpm.estPoids,COUNTIF(G138:L138,_xlpm.unite)+COUNTIF(G140:L140,_xlpm.unite)&gt;0,IF(_xlpm.estVol,IF(ROUND(_xlpm.val,3)&gt;=1,ROUND(_xlpm.val,3)&amp;"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3" s="1021" t="str">
        <f t="shared" si="32"/>
        <v>►</v>
      </c>
      <c r="Y133" s="41" t="str">
        <f>Y103</f>
        <v>N NAME OF YOUR RECIPE | paste it — FAMILY|  Author &gt; YOU</v>
      </c>
      <c r="Z133" s="40">
        <f>Z103</f>
        <v>0.6</v>
      </c>
      <c r="AA133" s="41" t="str">
        <f>AA103</f>
        <v>kg</v>
      </c>
      <c r="AB133" s="5386" t="str">
        <f>AB103</f>
        <v>Master recipe ► Guinea fowl ballotine</v>
      </c>
      <c r="AC133" s="213"/>
      <c r="AD133" s="212"/>
      <c r="AE133" s="211" t="str">
        <f t="shared" si="29"/>
        <v/>
      </c>
      <c r="AF133" s="210"/>
      <c r="AG133" s="6366"/>
      <c r="AH133" s="5448">
        <v>1</v>
      </c>
      <c r="AI133" s="6866"/>
      <c r="AJ133" s="6871"/>
      <c r="AK133" s="6253">
        <f>IF(AM137=0,0,(AM133/AM137)*AL106*1000)</f>
        <v>0</v>
      </c>
      <c r="AL133" s="6701">
        <f>IF(AM137=0, 0, (AC133*AH133)/(AM137*AL106))</f>
        <v>0</v>
      </c>
      <c r="AM133" s="5882">
        <f>IFERROR(_xlfn.LET(_xlpm.v,IFERROR(_xlfn.XLOOKUP(AG133,AC138:AP138,AC139:AP139),_xlfn.XLOOKUP(AG133,AC140:AP140,AC141:AP141)),_xlpm.v*AF133*IF(ISBLANK(AC133),1,AC133)),0)</f>
        <v>0</v>
      </c>
      <c r="AN133" s="5256">
        <f>IF(OR(ISBLANK(AO102),AO102=0),0,AC133*AO100*AH133/AO102)</f>
        <v>0</v>
      </c>
      <c r="AO133" s="6051">
        <f>IF(OR(ISBLANK(AO102),AO102=0),0,AM133*AH133*AO100/AO102)</f>
        <v>0</v>
      </c>
      <c r="AP133" s="6201" t="str">
        <f>_xlfn.LET(_xlpm.unite,SUBSTITUTE(TRIM(AG133)," (s)",""),_xlpm.val,AO133,_xlpm.estVol,COUNTIF(AI138:AP138,_xlpm.unite)+COUNTIF(AI140:AP140,_xlpm.unite)&gt;0,_xlpm.estPoids,COUNTIF(AC138:AH138,_xlpm.unite)+COUNTIF(AC140:AH140,_xlpm.unite)&gt;0,IF(_xlpm.estVol,IF(ROUND(_xlpm.val,3)&gt;=1,ROUND(_xlpm.val,3)&amp;"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3" s="1021" t="str">
        <f t="shared" si="33"/>
        <v>►</v>
      </c>
      <c r="AU133" s="41" t="str">
        <f>AU103</f>
        <v>N NOMBRE DE SU RECETA | pegue esto — FAMILIA| Autor &gt; USTED</v>
      </c>
      <c r="AV133" s="40">
        <f>AV103</f>
        <v>0.6</v>
      </c>
      <c r="AW133" s="41" t="str">
        <f>AW103</f>
        <v>kg</v>
      </c>
      <c r="AX133" s="5386" t="str">
        <f>AX103</f>
        <v>Receta madre ► Ballotina de pintada</v>
      </c>
      <c r="AY133" s="213"/>
      <c r="AZ133" s="212"/>
      <c r="BA133" s="211" t="str">
        <f t="shared" si="30"/>
        <v/>
      </c>
      <c r="BB133" s="210"/>
      <c r="BC133" s="6366"/>
      <c r="BD133" s="5448">
        <v>1</v>
      </c>
      <c r="BE133" s="6866"/>
      <c r="BF133" s="6871"/>
      <c r="BG133" s="6253">
        <f>IF(BI137=0,0,(BI133/BI137)*BH106*1000)</f>
        <v>0</v>
      </c>
      <c r="BH133" s="6701">
        <f>IF(BI137=0, 0, (AY133*BD133)/(BI137*BH106))</f>
        <v>0</v>
      </c>
      <c r="BI133" s="5882">
        <f>IFERROR(_xlfn.LET(_xlpm.v,IFERROR(_xlfn.XLOOKUP(BC133,AY138:BL138,AY139:BL139),_xlfn.XLOOKUP(BC133,AY140:BL140,AY141:BL141)),_xlpm.v*BB133*IF(ISBLANK(AY133),1,AY133)),0)</f>
        <v>0</v>
      </c>
      <c r="BJ133" s="5256">
        <f>IF(OR(ISBLANK(BK102),BK102=0),0,AY133*BK100*BD133/BK102)</f>
        <v>0</v>
      </c>
      <c r="BK133" s="6051">
        <f>IF(OR(ISBLANK(BK102),BK102=0),0,BI133*BD133*BK100/BK102)</f>
        <v>0</v>
      </c>
      <c r="BL133" s="6201" t="str">
        <f>_xlfn.LET(_xlpm.unite,SUBSTITUTE(TRIM(BC133)," (s)",""),_xlpm.val,BK133,_xlpm.estVol,COUNTIF(BE138:BL138,_xlpm.unite)+COUNTIF(BE140:BL140,_xlpm.unite)&gt;0,_xlpm.estPoids,COUNTIF(AY138:BD138,_xlpm.unite)+COUNTIF(AY140:BD140,_xlpm.unite)&gt;0,IF(_xlpm.estVol,IF(ROUND(_xlpm.val,3)&gt;=1,ROUND(_xlpm.val,3)&amp;"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3" s="6404"/>
      <c r="BQ133" s="5783"/>
      <c r="BR133" s="5783"/>
      <c r="BS133" s="5783"/>
      <c r="BT133" s="5783"/>
      <c r="BU133" s="5783"/>
      <c r="BV133" s="6403"/>
      <c r="BX133" s="6404"/>
      <c r="BY133" s="5783"/>
      <c r="BZ133" s="5783"/>
      <c r="CA133" s="5783"/>
      <c r="CB133" s="5783"/>
      <c r="CC133" s="5783"/>
      <c r="CD133" s="6403"/>
      <c r="CF133" s="6404"/>
      <c r="CG133" s="5783"/>
      <c r="CH133" s="5783"/>
      <c r="CI133" s="5783"/>
      <c r="CJ133" s="5783"/>
      <c r="CK133" s="5783"/>
      <c r="CL133" s="6403"/>
      <c r="CN133" s="5">
        <v>1</v>
      </c>
    </row>
    <row r="134" spans="2:92" ht="21" customHeight="1">
      <c r="B134" s="1021" t="str">
        <f t="shared" si="31"/>
        <v>►</v>
      </c>
      <c r="C134" s="41" t="str">
        <f>C103</f>
        <v>N NOM DE VOTRE RECETTE | pâtisserie--ENTREMET| Auteur &gt; VOUS</v>
      </c>
      <c r="D134" s="40">
        <f>D103</f>
        <v>1</v>
      </c>
      <c r="E134" s="41" t="str">
        <f>E103</f>
        <v>coupe</v>
      </c>
      <c r="F134" s="5386" t="str">
        <f>F103</f>
        <v>Recette mère ► MILLE-FEUILLE meringue et chiboust pamplemousse aux fraises des bois</v>
      </c>
      <c r="G134" s="213"/>
      <c r="H134" s="212"/>
      <c r="I134" s="211" t="str">
        <f t="shared" si="28"/>
        <v/>
      </c>
      <c r="J134" s="210"/>
      <c r="K134" s="6366"/>
      <c r="L134" s="5448">
        <v>1</v>
      </c>
      <c r="M134" s="6866"/>
      <c r="N134" s="6871"/>
      <c r="O134" s="6253">
        <f>IF(Q137=0,0,(Q134/Q137)*P106*1000)</f>
        <v>0</v>
      </c>
      <c r="P134" s="6701">
        <f>IF(Q137=0, 0, (G134*L134)/(Q137*P106))</f>
        <v>0</v>
      </c>
      <c r="Q134" s="5882">
        <f>IFERROR(_xlfn.LET(_xlpm.v,IFERROR(_xlfn.XLOOKUP(K134,G138:T138,G139:T139),_xlfn.XLOOKUP(K134,G140:T140,G141:T141)),_xlpm.v*J134*IF(ISBLANK(G134),1,G134)),0)</f>
        <v>0</v>
      </c>
      <c r="R134" s="5254">
        <f>IF(OR(ISBLANK(S102),S102=0),0,G134*S100*L134/S102)</f>
        <v>0</v>
      </c>
      <c r="S134" s="6051">
        <f>IF(OR(ISBLANK(S102),S102=0),0,Q134*L134*S100/S102)</f>
        <v>0</v>
      </c>
      <c r="T134" s="6199" t="str">
        <f>_xlfn.LET(_xlpm.unite,SUBSTITUTE(TRIM(K134)," (s)",""),_xlpm.val,S134,_xlpm.estVol,COUNTIF(M138:T138,_xlpm.unite)+COUNTIF(M140:T140,_xlpm.unite)&gt;0,_xlpm.estPoids,COUNTIF(G138:L138,_xlpm.unite)+COUNTIF(G140:L140,_xlpm.unite)&gt;0,IF(_xlpm.estVol,IF(ROUND(_xlpm.val,3)&gt;=1,ROUND(_xlpm.val,3)&amp;"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4" s="1021" t="str">
        <f t="shared" si="32"/>
        <v>►</v>
      </c>
      <c r="Y134" s="41" t="str">
        <f>Y103</f>
        <v>N NAME OF YOUR RECIPE | paste it — FAMILY|  Author &gt; YOU</v>
      </c>
      <c r="Z134" s="40">
        <f>Z103</f>
        <v>0.6</v>
      </c>
      <c r="AA134" s="41" t="str">
        <f>AA103</f>
        <v>kg</v>
      </c>
      <c r="AB134" s="5386" t="str">
        <f>AB103</f>
        <v>Master recipe ► Guinea fowl ballotine</v>
      </c>
      <c r="AC134" s="213"/>
      <c r="AD134" s="212"/>
      <c r="AE134" s="211" t="str">
        <f t="shared" si="29"/>
        <v/>
      </c>
      <c r="AF134" s="210"/>
      <c r="AG134" s="6366"/>
      <c r="AH134" s="5448">
        <v>1</v>
      </c>
      <c r="AI134" s="6866"/>
      <c r="AJ134" s="6871"/>
      <c r="AK134" s="6253">
        <f>IF(AM137=0,0,(AM134/AM137)*AL106*1000)</f>
        <v>0</v>
      </c>
      <c r="AL134" s="6701">
        <f>IF(AM137=0, 0, (AC134*AH134)/(AM137*AL106))</f>
        <v>0</v>
      </c>
      <c r="AM134" s="5882">
        <f>IFERROR(_xlfn.LET(_xlpm.v,IFERROR(_xlfn.XLOOKUP(AG134,AC138:AP138,AC139:AP139),_xlfn.XLOOKUP(AG134,AC140:AP140,AC141:AP141)),_xlpm.v*AF134*IF(ISBLANK(AC134),1,AC134)),0)</f>
        <v>0</v>
      </c>
      <c r="AN134" s="5254">
        <f>IF(OR(ISBLANK(AO102),AO102=0),0,AC134*AO100*AH134/AO102)</f>
        <v>0</v>
      </c>
      <c r="AO134" s="6051">
        <f>IF(OR(ISBLANK(AO102),AO102=0),0,AM134*AH134*AO100/AO102)</f>
        <v>0</v>
      </c>
      <c r="AP134" s="6199" t="str">
        <f>_xlfn.LET(_xlpm.unite,SUBSTITUTE(TRIM(AG134)," (s)",""),_xlpm.val,AO134,_xlpm.estVol,COUNTIF(AI138:AP138,_xlpm.unite)+COUNTIF(AI140:AP140,_xlpm.unite)&gt;0,_xlpm.estPoids,COUNTIF(AC138:AH138,_xlpm.unite)+COUNTIF(AC140:AH140,_xlpm.unite)&gt;0,IF(_xlpm.estVol,IF(ROUND(_xlpm.val,3)&gt;=1,ROUND(_xlpm.val,3)&amp;"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4" s="1021" t="str">
        <f t="shared" si="33"/>
        <v>►</v>
      </c>
      <c r="AU134" s="41" t="str">
        <f>AU103</f>
        <v>N NOMBRE DE SU RECETA | pegue esto — FAMILIA| Autor &gt; USTED</v>
      </c>
      <c r="AV134" s="40">
        <f>AV103</f>
        <v>0.6</v>
      </c>
      <c r="AW134" s="41" t="str">
        <f>AW103</f>
        <v>kg</v>
      </c>
      <c r="AX134" s="5386" t="str">
        <f>AX103</f>
        <v>Receta madre ► Ballotina de pintada</v>
      </c>
      <c r="AY134" s="213"/>
      <c r="AZ134" s="212"/>
      <c r="BA134" s="211" t="str">
        <f t="shared" si="30"/>
        <v/>
      </c>
      <c r="BB134" s="210"/>
      <c r="BC134" s="6366"/>
      <c r="BD134" s="5448">
        <v>1</v>
      </c>
      <c r="BE134" s="6866"/>
      <c r="BF134" s="6871"/>
      <c r="BG134" s="6253">
        <f>IF(BI137=0,0,(BI134/BI137)*BH106*1000)</f>
        <v>0</v>
      </c>
      <c r="BH134" s="6701">
        <f>IF(BI137=0, 0, (AY134*BD134)/(BI137*BH106))</f>
        <v>0</v>
      </c>
      <c r="BI134" s="5882">
        <f>IFERROR(_xlfn.LET(_xlpm.v,IFERROR(_xlfn.XLOOKUP(BC134,AY138:BL138,AY139:BL139),_xlfn.XLOOKUP(BC134,AY140:BL140,AY141:BL141)),_xlpm.v*BB134*IF(ISBLANK(AY134),1,AY134)),0)</f>
        <v>0</v>
      </c>
      <c r="BJ134" s="5254">
        <f>IF(OR(ISBLANK(BK102),BK102=0),0,AY134*BK100*BD134/BK102)</f>
        <v>0</v>
      </c>
      <c r="BK134" s="6051">
        <f>IF(OR(ISBLANK(BK102),BK102=0),0,BI134*BD134*BK100/BK102)</f>
        <v>0</v>
      </c>
      <c r="BL134" s="6199" t="str">
        <f>_xlfn.LET(_xlpm.unite,SUBSTITUTE(TRIM(BC134)," (s)",""),_xlpm.val,BK134,_xlpm.estVol,COUNTIF(BE138:BL138,_xlpm.unite)+COUNTIF(BE140:BL140,_xlpm.unite)&gt;0,_xlpm.estPoids,COUNTIF(AY138:BD138,_xlpm.unite)+COUNTIF(AY140:BD140,_xlpm.unite)&gt;0,IF(_xlpm.estVol,IF(ROUND(_xlpm.val,3)&gt;=1,ROUND(_xlpm.val,3)&amp;"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4" s="6404"/>
      <c r="BQ134" s="5783"/>
      <c r="BR134" s="5783"/>
      <c r="BS134" s="5783"/>
      <c r="BT134" s="5783"/>
      <c r="BU134" s="5783"/>
      <c r="BV134" s="6403"/>
      <c r="BX134" s="6404"/>
      <c r="BY134" s="5783"/>
      <c r="BZ134" s="5783"/>
      <c r="CA134" s="5783"/>
      <c r="CB134" s="5783"/>
      <c r="CC134" s="5783"/>
      <c r="CD134" s="6403"/>
      <c r="CF134" s="6404"/>
      <c r="CG134" s="5783"/>
      <c r="CH134" s="5783"/>
      <c r="CI134" s="5783"/>
      <c r="CJ134" s="5783"/>
      <c r="CK134" s="5783"/>
      <c r="CL134" s="6403"/>
      <c r="CN134" s="5">
        <v>1</v>
      </c>
    </row>
    <row r="135" spans="2:92" ht="21" customHeight="1">
      <c r="B135" s="1021" t="str">
        <f t="shared" si="31"/>
        <v>►</v>
      </c>
      <c r="C135" s="41" t="str">
        <f>C103</f>
        <v>N NOM DE VOTRE RECETTE | pâtisserie--ENTREMET| Auteur &gt; VOUS</v>
      </c>
      <c r="D135" s="40">
        <f>D103</f>
        <v>1</v>
      </c>
      <c r="E135" s="41" t="str">
        <f>E103</f>
        <v>coupe</v>
      </c>
      <c r="F135" s="5386" t="str">
        <f>F103</f>
        <v>Recette mère ► MILLE-FEUILLE meringue et chiboust pamplemousse aux fraises des bois</v>
      </c>
      <c r="G135" s="213"/>
      <c r="H135" s="212"/>
      <c r="I135" s="211" t="str">
        <f t="shared" si="28"/>
        <v/>
      </c>
      <c r="J135" s="210"/>
      <c r="K135" s="6366"/>
      <c r="L135" s="5448">
        <v>1</v>
      </c>
      <c r="M135" s="6866"/>
      <c r="N135" s="6871"/>
      <c r="O135" s="6253">
        <f>IF(Q137=0,0,(Q135/Q137)*P106*1000)</f>
        <v>0</v>
      </c>
      <c r="P135" s="6701">
        <f>IF(Q137=0, 0, (G135*L135)/(Q137*P106))</f>
        <v>0</v>
      </c>
      <c r="Q135" s="5882">
        <f>IFERROR(_xlfn.LET(_xlpm.v,IFERROR(_xlfn.XLOOKUP(K135,G138:T138,G139:T139),_xlfn.XLOOKUP(K135,G140:T140,G141:T141)),_xlpm.v*J135*IF(ISBLANK(G135),1,G135)),0)</f>
        <v>0</v>
      </c>
      <c r="R135" s="5256">
        <f>IF(OR(ISBLANK(S102),S102=0),0,G135*S100*L135/S102)</f>
        <v>0</v>
      </c>
      <c r="S135" s="6051">
        <f>IF(OR(ISBLANK(S102),S102=0),0,Q135*L135*S100/S102)</f>
        <v>0</v>
      </c>
      <c r="T135" s="6201" t="str">
        <f>_xlfn.LET(_xlpm.unite,SUBSTITUTE(TRIM(K135)," (s)",""),_xlpm.val,S135,_xlpm.estVol,COUNTIF(M138:T138,_xlpm.unite)+COUNTIF(M140:T140,_xlpm.unite)&gt;0,_xlpm.estPoids,COUNTIF(G138:L138,_xlpm.unite)+COUNTIF(G140:L140,_xlpm.unite)&gt;0,IF(_xlpm.estVol,IF(ROUND(_xlpm.val,3)&gt;=1,ROUND(_xlpm.val,3)&amp;"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5" s="1021" t="str">
        <f t="shared" si="32"/>
        <v>►</v>
      </c>
      <c r="Y135" s="41" t="str">
        <f>Y103</f>
        <v>N NAME OF YOUR RECIPE | paste it — FAMILY|  Author &gt; YOU</v>
      </c>
      <c r="Z135" s="40">
        <f>Z103</f>
        <v>0.6</v>
      </c>
      <c r="AA135" s="41" t="str">
        <f>AA103</f>
        <v>kg</v>
      </c>
      <c r="AB135" s="5386" t="str">
        <f>AB103</f>
        <v>Master recipe ► Guinea fowl ballotine</v>
      </c>
      <c r="AC135" s="213"/>
      <c r="AD135" s="212"/>
      <c r="AE135" s="211" t="str">
        <f t="shared" si="29"/>
        <v/>
      </c>
      <c r="AF135" s="210"/>
      <c r="AG135" s="6366"/>
      <c r="AH135" s="5448">
        <v>1</v>
      </c>
      <c r="AI135" s="6866"/>
      <c r="AJ135" s="6871"/>
      <c r="AK135" s="6253">
        <f>IF(AM137=0,0,(AM135/AM137)*AL106*1000)</f>
        <v>0</v>
      </c>
      <c r="AL135" s="6701">
        <f>IF(AM137=0, 0, (AC135*AH135)/(AM137*AL106))</f>
        <v>0</v>
      </c>
      <c r="AM135" s="5882">
        <f>IFERROR(_xlfn.LET(_xlpm.v,IFERROR(_xlfn.XLOOKUP(AG135,AC138:AP138,AC139:AP139),_xlfn.XLOOKUP(AG135,AC140:AP140,AC141:AP141)),_xlpm.v*AF135*IF(ISBLANK(AC135),1,AC135)),0)</f>
        <v>0</v>
      </c>
      <c r="AN135" s="5256">
        <f>IF(OR(ISBLANK(AO102),AO102=0),0,AC135*AO100*AH135/AO102)</f>
        <v>0</v>
      </c>
      <c r="AO135" s="6051">
        <f>IF(OR(ISBLANK(AO102),AO102=0),0,AM135*AH135*AO100/AO102)</f>
        <v>0</v>
      </c>
      <c r="AP135" s="6201" t="str">
        <f>_xlfn.LET(_xlpm.unite,SUBSTITUTE(TRIM(AG135)," (s)",""),_xlpm.val,AO135,_xlpm.estVol,COUNTIF(AI138:AP138,_xlpm.unite)+COUNTIF(AI140:AP140,_xlpm.unite)&gt;0,_xlpm.estPoids,COUNTIF(AC138:AH138,_xlpm.unite)+COUNTIF(AC140:AH140,_xlpm.unite)&gt;0,IF(_xlpm.estVol,IF(ROUND(_xlpm.val,3)&gt;=1,ROUND(_xlpm.val,3)&amp;"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5" s="1021" t="str">
        <f t="shared" si="33"/>
        <v>►</v>
      </c>
      <c r="AU135" s="41" t="str">
        <f>AU103</f>
        <v>N NOMBRE DE SU RECETA | pegue esto — FAMILIA| Autor &gt; USTED</v>
      </c>
      <c r="AV135" s="40">
        <f>AV103</f>
        <v>0.6</v>
      </c>
      <c r="AW135" s="41" t="str">
        <f>AW103</f>
        <v>kg</v>
      </c>
      <c r="AX135" s="5386" t="str">
        <f>AX103</f>
        <v>Receta madre ► Ballotina de pintada</v>
      </c>
      <c r="AY135" s="213"/>
      <c r="AZ135" s="212"/>
      <c r="BA135" s="211" t="str">
        <f t="shared" si="30"/>
        <v/>
      </c>
      <c r="BB135" s="210"/>
      <c r="BC135" s="6366"/>
      <c r="BD135" s="5448">
        <v>1</v>
      </c>
      <c r="BE135" s="6866"/>
      <c r="BF135" s="6871"/>
      <c r="BG135" s="6253">
        <f>IF(BI137=0,0,(BI135/BI137)*BH106*1000)</f>
        <v>0</v>
      </c>
      <c r="BH135" s="6701">
        <f>IF(BI137=0, 0, (AY135*BD135)/(BI137*BH106))</f>
        <v>0</v>
      </c>
      <c r="BI135" s="5882">
        <f>IFERROR(_xlfn.LET(_xlpm.v,IFERROR(_xlfn.XLOOKUP(BC135,AY138:BL138,AY139:BL139),_xlfn.XLOOKUP(BC135,AY140:BL140,AY141:BL141)),_xlpm.v*BB135*IF(ISBLANK(AY135),1,AY135)),0)</f>
        <v>0</v>
      </c>
      <c r="BJ135" s="5256">
        <f>IF(OR(ISBLANK(BK102),BK102=0),0,AY135*BK100*BD135/BK102)</f>
        <v>0</v>
      </c>
      <c r="BK135" s="6051">
        <f>IF(OR(ISBLANK(BK102),BK102=0),0,BI135*BD135*BK100/BK102)</f>
        <v>0</v>
      </c>
      <c r="BL135" s="6201" t="str">
        <f>_xlfn.LET(_xlpm.unite,SUBSTITUTE(TRIM(BC135)," (s)",""),_xlpm.val,BK135,_xlpm.estVol,COUNTIF(BE138:BL138,_xlpm.unite)+COUNTIF(BE140:BL140,_xlpm.unite)&gt;0,_xlpm.estPoids,COUNTIF(AY138:BD138,_xlpm.unite)+COUNTIF(AY140:BD140,_xlpm.unite)&gt;0,IF(_xlpm.estVol,IF(ROUND(_xlpm.val,3)&gt;=1,ROUND(_xlpm.val,3)&amp;"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5" s="6404"/>
      <c r="BQ135" s="5783"/>
      <c r="BR135" s="5783"/>
      <c r="BS135" s="5783"/>
      <c r="BT135" s="5783"/>
      <c r="BU135" s="5783"/>
      <c r="BV135" s="6403"/>
      <c r="BX135" s="6404"/>
      <c r="BY135" s="5783"/>
      <c r="BZ135" s="5783"/>
      <c r="CA135" s="5783"/>
      <c r="CB135" s="5783"/>
      <c r="CC135" s="5783"/>
      <c r="CD135" s="6403"/>
      <c r="CF135" s="6404"/>
      <c r="CG135" s="5783"/>
      <c r="CH135" s="5783"/>
      <c r="CI135" s="5783"/>
      <c r="CJ135" s="5783"/>
      <c r="CK135" s="5783"/>
      <c r="CL135" s="6403"/>
      <c r="CN135" s="5">
        <v>1</v>
      </c>
    </row>
    <row r="136" spans="2:92" ht="21" customHeight="1">
      <c r="B136" s="1021" t="str">
        <f t="shared" si="31"/>
        <v>►</v>
      </c>
      <c r="C136" s="41" t="str">
        <f>C103</f>
        <v>N NOM DE VOTRE RECETTE | pâtisserie--ENTREMET| Auteur &gt; VOUS</v>
      </c>
      <c r="D136" s="40">
        <f>D103</f>
        <v>1</v>
      </c>
      <c r="E136" s="41" t="str">
        <f>E103</f>
        <v>coupe</v>
      </c>
      <c r="F136" s="5386" t="str">
        <f>F103</f>
        <v>Recette mère ► MILLE-FEUILLE meringue et chiboust pamplemousse aux fraises des bois</v>
      </c>
      <c r="G136" s="213"/>
      <c r="H136" s="212"/>
      <c r="I136" s="211" t="str">
        <f t="shared" si="28"/>
        <v/>
      </c>
      <c r="J136" s="210"/>
      <c r="K136" s="6366"/>
      <c r="L136" s="5448">
        <v>1</v>
      </c>
      <c r="M136" s="6866"/>
      <c r="N136" s="6871"/>
      <c r="O136" s="6253">
        <f>IF(Q137=0,0,(Q136/Q137)*P106*1000)</f>
        <v>0</v>
      </c>
      <c r="P136" s="6701">
        <f>IF(Q137=0, 0, (G136*L136)/(Q137*P106))</f>
        <v>0</v>
      </c>
      <c r="Q136" s="5882">
        <f>IFERROR(_xlfn.LET(_xlpm.v,IFERROR(_xlfn.XLOOKUP(K136,G138:T138,G139:T139),_xlfn.XLOOKUP(K136,G140:T140,G141:T141)),_xlpm.v*J136*IF(ISBLANK(G136),1,G136)),0)</f>
        <v>0</v>
      </c>
      <c r="R136" s="5254">
        <f>IF(OR(ISBLANK(S102),S102=0),0,G136*S100*L136/S102)</f>
        <v>0</v>
      </c>
      <c r="S136" s="6051">
        <f>IF(OR(ISBLANK(S102),S102=0),0,Q136*L136*S100/S102)</f>
        <v>0</v>
      </c>
      <c r="T136" s="6199" t="str">
        <f>_xlfn.LET(_xlpm.unite,SUBSTITUTE(TRIM(K136)," (s)",""),_xlpm.val,S136,_xlpm.estVol,COUNTIF(M138:T138,_xlpm.unite)+COUNTIF(M140:T140,_xlpm.unite)&gt;0,_xlpm.estPoids,COUNTIF(G138:L138,_xlpm.unite)+COUNTIF(G140:L140,_xlpm.unite)&gt;0,IF(_xlpm.estVol,IF(ROUND(_xlpm.val,3)&gt;=1,ROUND(_xlpm.val,3)&amp;" L",MAX(1,ROUND(_xlpm.val*100,0))&amp;" cl"),IF(_xlpm.estPoids,IF(ROUND(_xlpm.val,3)&gt;=1,ROUND(_xlpm.val,3)&amp;" Kg",MAX(1,ROUND(_xlpm.val*1000,0))&amp;" g"),"")))</f>
        <v/>
      </c>
      <c r="X136" s="1021" t="str">
        <f t="shared" si="32"/>
        <v>►</v>
      </c>
      <c r="Y136" s="41" t="str">
        <f>Y103</f>
        <v>N NAME OF YOUR RECIPE | paste it — FAMILY|  Author &gt; YOU</v>
      </c>
      <c r="Z136" s="40">
        <f>Z103</f>
        <v>0.6</v>
      </c>
      <c r="AA136" s="41" t="str">
        <f>AA103</f>
        <v>kg</v>
      </c>
      <c r="AB136" s="5386" t="str">
        <f>AB103</f>
        <v>Master recipe ► Guinea fowl ballotine</v>
      </c>
      <c r="AC136" s="213"/>
      <c r="AD136" s="212"/>
      <c r="AE136" s="211" t="str">
        <f t="shared" si="29"/>
        <v/>
      </c>
      <c r="AF136" s="210"/>
      <c r="AG136" s="6366"/>
      <c r="AH136" s="5448">
        <v>1</v>
      </c>
      <c r="AI136" s="6866"/>
      <c r="AJ136" s="6871"/>
      <c r="AK136" s="6253">
        <f>IF(AM137=0,0,(AM136/AM137)*AL106*1000)</f>
        <v>0</v>
      </c>
      <c r="AL136" s="6701">
        <f>IF(AM137=0, 0, (AC136*AH136)/(AM137*AL106))</f>
        <v>0</v>
      </c>
      <c r="AM136" s="5882">
        <f>IFERROR(_xlfn.LET(_xlpm.v,IFERROR(_xlfn.XLOOKUP(AG136,AC138:AP138,AC139:AP139),_xlfn.XLOOKUP(AG136,AC140:AP140,AC141:AP141)),_xlpm.v*AF136*IF(ISBLANK(AC136),1,AC136)),0)</f>
        <v>0</v>
      </c>
      <c r="AN136" s="5254">
        <f>IF(OR(ISBLANK(AO102),AO102=0),0,AC136*AO100*AH136/AO102)</f>
        <v>0</v>
      </c>
      <c r="AO136" s="6051">
        <f>IF(OR(ISBLANK(AO102),AO102=0),0,AM136*AH136*AO100/AO102)</f>
        <v>0</v>
      </c>
      <c r="AP136" s="6199" t="str">
        <f>_xlfn.LET(_xlpm.unite,SUBSTITUTE(TRIM(AG136)," (s)",""),_xlpm.val,AO136,_xlpm.estVol,COUNTIF(AI138:AP138,_xlpm.unite)+COUNTIF(AI140:AP140,_xlpm.unite)&gt;0,_xlpm.estPoids,COUNTIF(AC138:AH138,_xlpm.unite)+COUNTIF(AC140:AH140,_xlpm.unite)&gt;0,IF(_xlpm.estVol,IF(ROUND(_xlpm.val,3)&gt;=1,ROUND(_xlpm.val,3)&amp;" L",MAX(1,ROUND(_xlpm.val*100,0))&amp;" cl"),IF(_xlpm.estPoids,IF(ROUND(_xlpm.val,3)&gt;=1,ROUND(_xlpm.val,3)&amp;" Kg",MAX(1,ROUND(_xlpm.val*1000,0))&amp;" g"),"")))</f>
        <v/>
      </c>
      <c r="AT136" s="1021" t="str">
        <f t="shared" si="33"/>
        <v>►</v>
      </c>
      <c r="AU136" s="41" t="str">
        <f>AU103</f>
        <v>N NOMBRE DE SU RECETA | pegue esto — FAMILIA| Autor &gt; USTED</v>
      </c>
      <c r="AV136" s="40">
        <f>AV103</f>
        <v>0.6</v>
      </c>
      <c r="AW136" s="41" t="str">
        <f>AW103</f>
        <v>kg</v>
      </c>
      <c r="AX136" s="5386" t="str">
        <f>AX103</f>
        <v>Receta madre ► Ballotina de pintada</v>
      </c>
      <c r="AY136" s="213"/>
      <c r="AZ136" s="212"/>
      <c r="BA136" s="211" t="str">
        <f t="shared" si="30"/>
        <v/>
      </c>
      <c r="BB136" s="210"/>
      <c r="BC136" s="6366"/>
      <c r="BD136" s="5448">
        <v>1</v>
      </c>
      <c r="BE136" s="6866"/>
      <c r="BF136" s="6871"/>
      <c r="BG136" s="6253">
        <f>IF(BI137=0,0,(BI136/BI137)*BH106*1000)</f>
        <v>0</v>
      </c>
      <c r="BH136" s="6701">
        <f>IF(BI137=0, 0, (AY136*BD136)/(BI137*BH106))</f>
        <v>0</v>
      </c>
      <c r="BI136" s="5882">
        <f>IFERROR(_xlfn.LET(_xlpm.v,IFERROR(_xlfn.XLOOKUP(BC136,AY138:BL138,AY139:BL139),_xlfn.XLOOKUP(BC136,AY140:BL140,AY141:BL141)),_xlpm.v*BB136*IF(ISBLANK(AY136),1,AY136)),0)</f>
        <v>0</v>
      </c>
      <c r="BJ136" s="5254">
        <f>IF(OR(ISBLANK(BK102),BK102=0),0,AY136*BK100*BD136/BK102)</f>
        <v>0</v>
      </c>
      <c r="BK136" s="6051">
        <f>IF(OR(ISBLANK(BK102),BK102=0),0,BI136*BD136*BK100/BK102)</f>
        <v>0</v>
      </c>
      <c r="BL136" s="6199" t="str">
        <f>_xlfn.LET(_xlpm.unite,SUBSTITUTE(TRIM(BC136)," (s)",""),_xlpm.val,BK136,_xlpm.estVol,COUNTIF(BE138:BL138,_xlpm.unite)+COUNTIF(BE140:BL140,_xlpm.unite)&gt;0,_xlpm.estPoids,COUNTIF(AY138:BD138,_xlpm.unite)+COUNTIF(AY140:BD140,_xlpm.unite)&gt;0,IF(_xlpm.estVol,IF(ROUND(_xlpm.val,3)&gt;=1,ROUND(_xlpm.val,3)&amp;" L",MAX(1,ROUND(_xlpm.val*100,0))&amp;" cl"),IF(_xlpm.estPoids,IF(ROUND(_xlpm.val,3)&gt;=1,ROUND(_xlpm.val,3)&amp;" Kg",MAX(1,ROUND(_xlpm.val*1000,0))&amp;" g"),"")))</f>
        <v/>
      </c>
      <c r="BP136" s="6404"/>
      <c r="BQ136" s="5783"/>
      <c r="BR136" s="5783"/>
      <c r="BS136" s="5783"/>
      <c r="BT136" s="5783"/>
      <c r="BU136" s="5783"/>
      <c r="BV136" s="6403"/>
      <c r="BX136" s="6404"/>
      <c r="BY136" s="5783"/>
      <c r="BZ136" s="5783"/>
      <c r="CA136" s="5783"/>
      <c r="CB136" s="5783"/>
      <c r="CC136" s="5783"/>
      <c r="CD136" s="6403"/>
      <c r="CF136" s="6404"/>
      <c r="CG136" s="5783"/>
      <c r="CH136" s="5783"/>
      <c r="CI136" s="5783"/>
      <c r="CJ136" s="5783"/>
      <c r="CK136" s="5783"/>
      <c r="CL136" s="6403"/>
      <c r="CN136" s="5">
        <v>1</v>
      </c>
    </row>
    <row r="137" spans="2:92" ht="21" customHeight="1">
      <c r="B137" s="1021" t="s">
        <v>21</v>
      </c>
      <c r="C137" s="41" t="str">
        <f>C103</f>
        <v>N NOM DE VOTRE RECETTE | pâtisserie--ENTREMET| Auteur &gt; VOUS</v>
      </c>
      <c r="D137" s="40">
        <f>D103</f>
        <v>1</v>
      </c>
      <c r="E137" s="41" t="str">
        <f>E103</f>
        <v>coupe</v>
      </c>
      <c r="F137" s="5386" t="str">
        <f>F103</f>
        <v>Recette mère ► MILLE-FEUILLE meringue et chiboust pamplemousse aux fraises des bois</v>
      </c>
      <c r="G137" s="6714" t="s">
        <v>8357</v>
      </c>
      <c r="H137" s="6379"/>
      <c r="I137" s="6379"/>
      <c r="J137" s="6379"/>
      <c r="K137" s="6379"/>
      <c r="L137" s="6715"/>
      <c r="M137" s="6716"/>
      <c r="N137" s="6716"/>
      <c r="O137" s="6717"/>
      <c r="P137" s="6717"/>
      <c r="Q137" s="6718">
        <f>SUM(Q107:Q136)</f>
        <v>0.10100000000000001</v>
      </c>
      <c r="R137" s="6719"/>
      <c r="S137" s="6719" t="str">
        <f>"Total " &amp; S104&amp;" &gt;"</f>
        <v>Total Col.18 &gt;</v>
      </c>
      <c r="T137" s="6720">
        <f>SUM(S107:S136)</f>
        <v>0.33666666666666667</v>
      </c>
      <c r="X137" s="1021" t="s">
        <v>21</v>
      </c>
      <c r="Y137" s="41" t="str">
        <f>Y103</f>
        <v>N NAME OF YOUR RECIPE | paste it — FAMILY|  Author &gt; YOU</v>
      </c>
      <c r="Z137" s="40">
        <f>Z103</f>
        <v>0.6</v>
      </c>
      <c r="AA137" s="41" t="str">
        <f>AA103</f>
        <v>kg</v>
      </c>
      <c r="AB137" s="5386" t="str">
        <f>AB103</f>
        <v>Master recipe ► Guinea fowl ballotine</v>
      </c>
      <c r="AC137" s="6714" t="s">
        <v>8397</v>
      </c>
      <c r="AD137" s="6379"/>
      <c r="AE137" s="6379"/>
      <c r="AF137" s="6379"/>
      <c r="AG137" s="6379"/>
      <c r="AH137" s="6715"/>
      <c r="AI137" s="6716"/>
      <c r="AJ137" s="6716"/>
      <c r="AK137" s="6717"/>
      <c r="AL137" s="6717"/>
      <c r="AM137" s="6718">
        <f>SUM(AM107:AM136)</f>
        <v>0.60000000000000009</v>
      </c>
      <c r="AN137" s="6719"/>
      <c r="AO137" s="6719" t="str">
        <f>"Total " &amp; AO104&amp;" &gt;"</f>
        <v>Total Col.18 &gt;</v>
      </c>
      <c r="AP137" s="6720">
        <f>SUM(AO107:AO136)</f>
        <v>30</v>
      </c>
      <c r="AT137" s="1021" t="s">
        <v>21</v>
      </c>
      <c r="AU137" s="41" t="str">
        <f>AU103</f>
        <v>N NOMBRE DE SU RECETA | pegue esto — FAMILIA| Autor &gt; USTED</v>
      </c>
      <c r="AV137" s="40">
        <f>AV103</f>
        <v>0.6</v>
      </c>
      <c r="AW137" s="41" t="str">
        <f>AW103</f>
        <v>kg</v>
      </c>
      <c r="AX137" s="5386" t="str">
        <f>AX103</f>
        <v>Receta madre ► Ballotina de pintada</v>
      </c>
      <c r="AY137" s="6714" t="s">
        <v>8397</v>
      </c>
      <c r="AZ137" s="6379"/>
      <c r="BA137" s="6379"/>
      <c r="BB137" s="6379"/>
      <c r="BC137" s="6379"/>
      <c r="BD137" s="6715"/>
      <c r="BE137" s="6716"/>
      <c r="BF137" s="6716"/>
      <c r="BG137" s="6717"/>
      <c r="BH137" s="6717"/>
      <c r="BI137" s="6718">
        <f>SUM(BI107:BI136)</f>
        <v>0.60000000000000009</v>
      </c>
      <c r="BJ137" s="6719"/>
      <c r="BK137" s="6719" t="str">
        <f>"Total " &amp; BK104&amp;" &gt;"</f>
        <v>Total Col.18 &gt;</v>
      </c>
      <c r="BL137" s="6720">
        <f>SUM(BK107:BK136)</f>
        <v>30</v>
      </c>
      <c r="BP137" s="6404"/>
      <c r="BQ137" s="5783"/>
      <c r="BR137" s="5783"/>
      <c r="BS137" s="5783"/>
      <c r="BT137" s="5783"/>
      <c r="BU137" s="5783"/>
      <c r="BV137" s="6403"/>
      <c r="BX137" s="6404"/>
      <c r="BY137" s="5783"/>
      <c r="BZ137" s="5783"/>
      <c r="CA137" s="5783"/>
      <c r="CB137" s="5783"/>
      <c r="CC137" s="5783"/>
      <c r="CD137" s="6403"/>
      <c r="CF137" s="6404"/>
      <c r="CG137" s="5783"/>
      <c r="CH137" s="5783"/>
      <c r="CI137" s="5783"/>
      <c r="CJ137" s="5783"/>
      <c r="CK137" s="5783"/>
      <c r="CL137" s="6403"/>
      <c r="CN137" s="5">
        <v>1</v>
      </c>
    </row>
    <row r="138" spans="2:92" ht="21" customHeight="1">
      <c r="B138" s="1021" t="s">
        <v>26</v>
      </c>
      <c r="C138" s="41" t="str">
        <f>C103</f>
        <v>N NOM DE VOTRE RECETTE | pâtisserie--ENTREMET| Auteur &gt; VOUS</v>
      </c>
      <c r="D138" s="40">
        <f>D103</f>
        <v>1</v>
      </c>
      <c r="E138" s="41" t="str">
        <f>E103</f>
        <v>coupe</v>
      </c>
      <c r="F138" s="5386" t="str">
        <f>F103</f>
        <v>Recette mère ► MILLE-FEUILLE meringue et chiboust pamplemousse aux fraises des bois</v>
      </c>
      <c r="G138" s="6284" t="s">
        <v>219</v>
      </c>
      <c r="H138" s="6283" t="s">
        <v>130</v>
      </c>
      <c r="I138" s="6291" t="s">
        <v>8014</v>
      </c>
      <c r="J138" s="6288" t="s">
        <v>188</v>
      </c>
      <c r="K138" s="6287" t="s">
        <v>176</v>
      </c>
      <c r="L138" s="6287" t="s">
        <v>179</v>
      </c>
      <c r="M138" s="6285" t="s">
        <v>88</v>
      </c>
      <c r="N138" s="6285" t="s">
        <v>172</v>
      </c>
      <c r="O138" s="6285" t="s">
        <v>170</v>
      </c>
      <c r="P138" s="6285" t="s">
        <v>166</v>
      </c>
      <c r="Q138" s="6286" t="s">
        <v>159</v>
      </c>
      <c r="R138" s="6286" t="s">
        <v>8012</v>
      </c>
      <c r="S138" s="6388" t="s">
        <v>8764</v>
      </c>
      <c r="T138" s="8491" t="s">
        <v>11063</v>
      </c>
      <c r="X138" s="1021" t="s">
        <v>26</v>
      </c>
      <c r="Y138" s="41" t="str">
        <f>Y103</f>
        <v>N NAME OF YOUR RECIPE | paste it — FAMILY|  Author &gt; YOU</v>
      </c>
      <c r="Z138" s="40">
        <f>Z103</f>
        <v>0.6</v>
      </c>
      <c r="AA138" s="41" t="str">
        <f>AA103</f>
        <v>kg</v>
      </c>
      <c r="AB138" s="5386" t="str">
        <f>AB103</f>
        <v>Master recipe ► Guinea fowl ballotine</v>
      </c>
      <c r="AC138" s="6699" t="s">
        <v>219</v>
      </c>
      <c r="AD138" s="6283" t="s">
        <v>130</v>
      </c>
      <c r="AE138" s="6291" t="s">
        <v>9687</v>
      </c>
      <c r="AF138" s="6287" t="s">
        <v>9603</v>
      </c>
      <c r="AG138" s="6287" t="s">
        <v>9607</v>
      </c>
      <c r="AH138" s="6287" t="s">
        <v>9605</v>
      </c>
      <c r="AI138" s="6702" t="s">
        <v>88</v>
      </c>
      <c r="AJ138" s="6285" t="s">
        <v>172</v>
      </c>
      <c r="AK138" s="6285" t="s">
        <v>170</v>
      </c>
      <c r="AL138" s="6702" t="s">
        <v>166</v>
      </c>
      <c r="AM138" s="6286" t="s">
        <v>9615</v>
      </c>
      <c r="AN138" s="6286" t="s">
        <v>9619</v>
      </c>
      <c r="AO138" s="6388" t="s">
        <v>9621</v>
      </c>
      <c r="AP138" s="8491" t="s">
        <v>11063</v>
      </c>
      <c r="AT138" s="1021" t="s">
        <v>26</v>
      </c>
      <c r="AU138" s="41" t="str">
        <f>AU103</f>
        <v>N NOMBRE DE SU RECETA | pegue esto — FAMILIA| Autor &gt; USTED</v>
      </c>
      <c r="AV138" s="40">
        <f>AV103</f>
        <v>0.6</v>
      </c>
      <c r="AW138" s="41" t="str">
        <f>AW103</f>
        <v>kg</v>
      </c>
      <c r="AX138" s="5386" t="str">
        <f>AX103</f>
        <v>Receta madre ► Ballotina de pintada</v>
      </c>
      <c r="AY138" s="6699" t="s">
        <v>219</v>
      </c>
      <c r="AZ138" s="6283" t="s">
        <v>130</v>
      </c>
      <c r="BA138" s="6291" t="s">
        <v>9695</v>
      </c>
      <c r="BB138" s="6287" t="s">
        <v>9604</v>
      </c>
      <c r="BC138" s="6287" t="s">
        <v>9608</v>
      </c>
      <c r="BD138" s="6287" t="s">
        <v>9606</v>
      </c>
      <c r="BE138" s="6702" t="s">
        <v>88</v>
      </c>
      <c r="BF138" s="6285" t="s">
        <v>172</v>
      </c>
      <c r="BG138" s="6285" t="s">
        <v>170</v>
      </c>
      <c r="BH138" s="6702" t="s">
        <v>166</v>
      </c>
      <c r="BI138" s="6286" t="s">
        <v>9616</v>
      </c>
      <c r="BJ138" s="6286" t="s">
        <v>9620</v>
      </c>
      <c r="BK138" s="6286" t="s">
        <v>9622</v>
      </c>
      <c r="BL138" s="8491" t="s">
        <v>11063</v>
      </c>
      <c r="BP138" s="6404"/>
      <c r="BQ138" s="5783"/>
      <c r="BR138" s="5783"/>
      <c r="BS138" s="5783"/>
      <c r="BT138" s="5783"/>
      <c r="BU138" s="5783"/>
      <c r="BV138" s="6403"/>
      <c r="BX138" s="6404"/>
      <c r="BY138" s="5783"/>
      <c r="BZ138" s="5783"/>
      <c r="CA138" s="5783"/>
      <c r="CB138" s="5783"/>
      <c r="CC138" s="5783"/>
      <c r="CD138" s="6403"/>
      <c r="CF138" s="6404"/>
      <c r="CG138" s="5783"/>
      <c r="CH138" s="5783"/>
      <c r="CI138" s="5783"/>
      <c r="CJ138" s="5783"/>
      <c r="CK138" s="5783"/>
      <c r="CL138" s="6403"/>
      <c r="CN138" s="5">
        <v>1</v>
      </c>
    </row>
    <row r="139" spans="2:92" ht="21" customHeight="1">
      <c r="B139" s="1021" t="s">
        <v>26</v>
      </c>
      <c r="C139" s="41" t="str">
        <f>C103</f>
        <v>N NOM DE VOTRE RECETTE | pâtisserie--ENTREMET| Auteur &gt; VOUS</v>
      </c>
      <c r="D139" s="40">
        <f>D103</f>
        <v>1</v>
      </c>
      <c r="E139" s="41" t="str">
        <f>E103</f>
        <v>coupe</v>
      </c>
      <c r="F139" s="5386" t="str">
        <f>F103</f>
        <v>Recette mère ► MILLE-FEUILLE meringue et chiboust pamplemousse aux fraises des bois</v>
      </c>
      <c r="G139" s="6706">
        <v>1</v>
      </c>
      <c r="H139" s="6707">
        <v>1E-3</v>
      </c>
      <c r="I139" s="6708">
        <v>0</v>
      </c>
      <c r="J139" s="6707">
        <v>0.25</v>
      </c>
      <c r="K139" s="6707">
        <v>0.33332999999999996</v>
      </c>
      <c r="L139" s="6707">
        <v>0.5</v>
      </c>
      <c r="M139" s="6709">
        <v>1</v>
      </c>
      <c r="N139" s="6709">
        <v>0.1</v>
      </c>
      <c r="O139" s="6709">
        <v>0.01</v>
      </c>
      <c r="P139" s="6709">
        <v>1E-3</v>
      </c>
      <c r="Q139" s="6709">
        <v>0.5</v>
      </c>
      <c r="R139" s="6709">
        <v>0.33300000000000002</v>
      </c>
      <c r="S139" s="6709">
        <v>0.2</v>
      </c>
      <c r="T139" s="8493"/>
      <c r="X139" s="1021" t="s">
        <v>26</v>
      </c>
      <c r="Y139" s="41" t="str">
        <f>Y103</f>
        <v>N NAME OF YOUR RECIPE | paste it — FAMILY|  Author &gt; YOU</v>
      </c>
      <c r="Z139" s="40">
        <f>Z103</f>
        <v>0.6</v>
      </c>
      <c r="AA139" s="41" t="str">
        <f>AA103</f>
        <v>kg</v>
      </c>
      <c r="AB139" s="5386" t="str">
        <f>AB103</f>
        <v>Master recipe ► Guinea fowl ballotine</v>
      </c>
      <c r="AC139" s="6706">
        <v>1</v>
      </c>
      <c r="AD139" s="6707">
        <v>1E-3</v>
      </c>
      <c r="AE139" s="6708">
        <v>0</v>
      </c>
      <c r="AF139" s="6707">
        <v>0.25</v>
      </c>
      <c r="AG139" s="6707">
        <v>0.33332999999999996</v>
      </c>
      <c r="AH139" s="6707">
        <v>0.5</v>
      </c>
      <c r="AI139" s="6709">
        <v>1</v>
      </c>
      <c r="AJ139" s="6709">
        <v>0.1</v>
      </c>
      <c r="AK139" s="6709">
        <v>0.01</v>
      </c>
      <c r="AL139" s="6709">
        <v>1E-3</v>
      </c>
      <c r="AM139" s="6709">
        <v>0.5</v>
      </c>
      <c r="AN139" s="6709">
        <v>0.33300000000000002</v>
      </c>
      <c r="AO139" s="6709">
        <v>0.2</v>
      </c>
      <c r="AP139" s="8493"/>
      <c r="AT139" s="1021" t="s">
        <v>26</v>
      </c>
      <c r="AU139" s="41" t="str">
        <f>AU103</f>
        <v>N NOMBRE DE SU RECETA | pegue esto — FAMILIA| Autor &gt; USTED</v>
      </c>
      <c r="AV139" s="40">
        <f>AV103</f>
        <v>0.6</v>
      </c>
      <c r="AW139" s="41" t="str">
        <f>AW103</f>
        <v>kg</v>
      </c>
      <c r="AX139" s="5386" t="str">
        <f>AX103</f>
        <v>Receta madre ► Ballotina de pintada</v>
      </c>
      <c r="AY139" s="6706">
        <v>1</v>
      </c>
      <c r="AZ139" s="6707">
        <v>1E-3</v>
      </c>
      <c r="BA139" s="6708">
        <v>0</v>
      </c>
      <c r="BB139" s="6707">
        <v>0.25</v>
      </c>
      <c r="BC139" s="6707">
        <v>0.33332999999999996</v>
      </c>
      <c r="BD139" s="6707">
        <v>0.5</v>
      </c>
      <c r="BE139" s="6709">
        <v>1</v>
      </c>
      <c r="BF139" s="6709">
        <v>0.1</v>
      </c>
      <c r="BG139" s="6709">
        <v>0.01</v>
      </c>
      <c r="BH139" s="6709">
        <v>1E-3</v>
      </c>
      <c r="BI139" s="6709">
        <v>0.5</v>
      </c>
      <c r="BJ139" s="6709">
        <v>0.33300000000000002</v>
      </c>
      <c r="BK139" s="8494">
        <v>0.2</v>
      </c>
      <c r="BL139" s="8493"/>
      <c r="BP139" s="6404"/>
      <c r="BQ139" s="5783"/>
      <c r="BR139" s="5783"/>
      <c r="BS139" s="5783"/>
      <c r="BT139" s="5783"/>
      <c r="BU139" s="5783"/>
      <c r="BV139" s="6403"/>
      <c r="BX139" s="6404"/>
      <c r="BY139" s="5783"/>
      <c r="BZ139" s="5783"/>
      <c r="CA139" s="5783"/>
      <c r="CB139" s="5783"/>
      <c r="CC139" s="5783"/>
      <c r="CD139" s="6403"/>
      <c r="CF139" s="6404"/>
      <c r="CG139" s="5783"/>
      <c r="CH139" s="5783"/>
      <c r="CI139" s="5783"/>
      <c r="CJ139" s="5783"/>
      <c r="CK139" s="5783"/>
      <c r="CL139" s="6403"/>
      <c r="CN139" s="5">
        <v>1</v>
      </c>
    </row>
    <row r="140" spans="2:92" ht="21" customHeight="1">
      <c r="B140" s="1021" t="s">
        <v>26</v>
      </c>
      <c r="C140" s="41" t="str">
        <f>C103</f>
        <v>N NOM DE VOTRE RECETTE | pâtisserie--ENTREMET| Auteur &gt; VOUS</v>
      </c>
      <c r="D140" s="40">
        <f>D103</f>
        <v>1</v>
      </c>
      <c r="E140" s="41" t="str">
        <f>E103</f>
        <v>coupe</v>
      </c>
      <c r="F140" s="5386" t="str">
        <f>F103</f>
        <v>Recette mère ► MILLE-FEUILLE meringue et chiboust pamplemousse aux fraises des bois</v>
      </c>
      <c r="G140" s="6289" t="s">
        <v>122</v>
      </c>
      <c r="H140" s="6289" t="s">
        <v>113</v>
      </c>
      <c r="I140" s="6291" t="s">
        <v>8014</v>
      </c>
      <c r="J140" s="6289" t="s">
        <v>112</v>
      </c>
      <c r="K140" s="6289" t="s">
        <v>8015</v>
      </c>
      <c r="L140" s="6289" t="s">
        <v>8016</v>
      </c>
      <c r="M140" s="6294" t="s">
        <v>126</v>
      </c>
      <c r="N140" s="6281" t="s">
        <v>152</v>
      </c>
      <c r="O140" s="6281" t="s">
        <v>143</v>
      </c>
      <c r="P140" s="6286" t="s">
        <v>946</v>
      </c>
      <c r="Q140" s="6286" t="s">
        <v>8765</v>
      </c>
      <c r="R140" s="6286" t="s">
        <v>124</v>
      </c>
      <c r="S140" s="8492" t="s">
        <v>110</v>
      </c>
      <c r="T140" s="8491" t="s">
        <v>11063</v>
      </c>
      <c r="X140" s="1021" t="s">
        <v>26</v>
      </c>
      <c r="Y140" s="41" t="str">
        <f>Y103</f>
        <v>N NAME OF YOUR RECIPE | paste it — FAMILY|  Author &gt; YOU</v>
      </c>
      <c r="Z140" s="40">
        <f>Z103</f>
        <v>0.6</v>
      </c>
      <c r="AA140" s="41" t="str">
        <f>AA103</f>
        <v>kg</v>
      </c>
      <c r="AB140" s="5386" t="str">
        <f>AB103</f>
        <v>Master recipe ► Guinea fowl ballotine</v>
      </c>
      <c r="AC140" s="6289" t="s">
        <v>122</v>
      </c>
      <c r="AD140" s="6289" t="s">
        <v>9642</v>
      </c>
      <c r="AE140" s="6291" t="s">
        <v>9687</v>
      </c>
      <c r="AF140" s="6289" t="s">
        <v>9645</v>
      </c>
      <c r="AG140" s="6289" t="s">
        <v>9639</v>
      </c>
      <c r="AH140" s="6289" t="s">
        <v>9636</v>
      </c>
      <c r="AI140" s="6281" t="s">
        <v>9631</v>
      </c>
      <c r="AJ140" s="6281" t="s">
        <v>9688</v>
      </c>
      <c r="AK140" s="6281" t="s">
        <v>9689</v>
      </c>
      <c r="AL140" s="6286" t="s">
        <v>9690</v>
      </c>
      <c r="AM140" s="6286" t="s">
        <v>9617</v>
      </c>
      <c r="AN140" s="6286" t="s">
        <v>9623</v>
      </c>
      <c r="AO140" s="8492" t="s">
        <v>9691</v>
      </c>
      <c r="AP140" s="8491" t="s">
        <v>11063</v>
      </c>
      <c r="AT140" s="1021" t="s">
        <v>26</v>
      </c>
      <c r="AU140" s="41" t="str">
        <f>AU103</f>
        <v>N NOMBRE DE SU RECETA | pegue esto — FAMILIA| Autor &gt; USTED</v>
      </c>
      <c r="AV140" s="40">
        <f>AV103</f>
        <v>0.6</v>
      </c>
      <c r="AW140" s="41" t="str">
        <f>AW103</f>
        <v>kg</v>
      </c>
      <c r="AX140" s="5386" t="str">
        <f>AX103</f>
        <v>Receta madre ► Ballotina de pintada</v>
      </c>
      <c r="AY140" s="6289" t="s">
        <v>9633</v>
      </c>
      <c r="AZ140" s="6289" t="s">
        <v>9643</v>
      </c>
      <c r="BA140" s="6291" t="s">
        <v>9695</v>
      </c>
      <c r="BB140" s="6289" t="s">
        <v>9646</v>
      </c>
      <c r="BC140" s="6289" t="s">
        <v>9640</v>
      </c>
      <c r="BD140" s="6289" t="s">
        <v>9696</v>
      </c>
      <c r="BE140" s="6294" t="s">
        <v>9632</v>
      </c>
      <c r="BF140" s="6281" t="s">
        <v>9697</v>
      </c>
      <c r="BG140" s="6281" t="s">
        <v>9698</v>
      </c>
      <c r="BH140" s="6286" t="s">
        <v>9699</v>
      </c>
      <c r="BI140" s="6286" t="s">
        <v>9618</v>
      </c>
      <c r="BJ140" s="6286" t="s">
        <v>9624</v>
      </c>
      <c r="BK140" s="6755" t="s">
        <v>9648</v>
      </c>
      <c r="BL140" s="8491" t="s">
        <v>11063</v>
      </c>
      <c r="BP140" s="6404"/>
      <c r="BQ140" s="5783"/>
      <c r="BR140" s="5783"/>
      <c r="BS140" s="5783"/>
      <c r="BT140" s="5783"/>
      <c r="BU140" s="5783"/>
      <c r="BV140" s="6403"/>
      <c r="BX140" s="6404"/>
      <c r="BY140" s="5783"/>
      <c r="BZ140" s="5783"/>
      <c r="CA140" s="5783"/>
      <c r="CB140" s="5783"/>
      <c r="CC140" s="5783"/>
      <c r="CD140" s="6403"/>
      <c r="CF140" s="6404"/>
      <c r="CG140" s="5783"/>
      <c r="CH140" s="5783"/>
      <c r="CI140" s="5783"/>
      <c r="CJ140" s="5783"/>
      <c r="CK140" s="5783"/>
      <c r="CL140" s="6403"/>
      <c r="CN140" s="5">
        <v>1</v>
      </c>
    </row>
    <row r="141" spans="2:92" ht="21" customHeight="1">
      <c r="B141" s="1021" t="s">
        <v>26</v>
      </c>
      <c r="C141" s="41" t="str">
        <f>C103</f>
        <v>N NOM DE VOTRE RECETTE | pâtisserie--ENTREMET| Auteur &gt; VOUS</v>
      </c>
      <c r="D141" s="40">
        <f>D103</f>
        <v>1</v>
      </c>
      <c r="E141" s="41" t="str">
        <f>E103</f>
        <v>coupe</v>
      </c>
      <c r="F141" s="5386" t="str">
        <f>F103</f>
        <v>Recette mère ► MILLE-FEUILLE meringue et chiboust pamplemousse aux fraises des bois</v>
      </c>
      <c r="G141" s="6706">
        <v>2.835E-2</v>
      </c>
      <c r="H141" s="6707">
        <v>0.13</v>
      </c>
      <c r="I141" s="6708">
        <v>0</v>
      </c>
      <c r="J141" s="6707">
        <v>0.2</v>
      </c>
      <c r="K141" s="6707">
        <v>0.23</v>
      </c>
      <c r="L141" s="6707">
        <v>0.22500000000000001</v>
      </c>
      <c r="M141" s="6709">
        <v>0.35</v>
      </c>
      <c r="N141" s="6709">
        <v>5.0000000000000001E-3</v>
      </c>
      <c r="O141" s="6709">
        <v>5.0000000000000001E-3</v>
      </c>
      <c r="P141" s="6709">
        <v>1.4999999999999999E-2</v>
      </c>
      <c r="Q141" s="6709">
        <v>0.1</v>
      </c>
      <c r="R141" s="6709">
        <v>0.22500000000000001</v>
      </c>
      <c r="S141" s="6709">
        <v>1E-3</v>
      </c>
      <c r="T141" s="8493"/>
      <c r="X141" s="1021" t="s">
        <v>26</v>
      </c>
      <c r="Y141" s="41" t="str">
        <f>Y103</f>
        <v>N NAME OF YOUR RECIPE | paste it — FAMILY|  Author &gt; YOU</v>
      </c>
      <c r="Z141" s="40">
        <f>Z103</f>
        <v>0.6</v>
      </c>
      <c r="AA141" s="41" t="str">
        <f>AA103</f>
        <v>kg</v>
      </c>
      <c r="AB141" s="5386" t="str">
        <f>AB103</f>
        <v>Master recipe ► Guinea fowl ballotine</v>
      </c>
      <c r="AC141" s="6711">
        <v>2.835E-2</v>
      </c>
      <c r="AD141" s="6712">
        <v>0.13</v>
      </c>
      <c r="AE141" s="6713">
        <v>0</v>
      </c>
      <c r="AF141" s="6712">
        <v>0.2</v>
      </c>
      <c r="AG141" s="6712">
        <v>0.23</v>
      </c>
      <c r="AH141" s="6712">
        <v>0.22500000000000001</v>
      </c>
      <c r="AI141" s="6709">
        <v>0.35</v>
      </c>
      <c r="AJ141" s="6709">
        <v>5.0000000000000001E-3</v>
      </c>
      <c r="AK141" s="6709">
        <v>5.0000000000000001E-3</v>
      </c>
      <c r="AL141" s="6709">
        <v>1.4999999999999999E-2</v>
      </c>
      <c r="AM141" s="6709">
        <v>0.1</v>
      </c>
      <c r="AN141" s="6709">
        <v>0.22500000000000001</v>
      </c>
      <c r="AO141" s="6709">
        <v>1E-3</v>
      </c>
      <c r="AP141" s="8493"/>
      <c r="AT141" s="1021" t="s">
        <v>26</v>
      </c>
      <c r="AU141" s="41" t="str">
        <f>AU103</f>
        <v>N NOMBRE DE SU RECETA | pegue esto — FAMILIA| Autor &gt; USTED</v>
      </c>
      <c r="AV141" s="40">
        <f>AV103</f>
        <v>0.6</v>
      </c>
      <c r="AW141" s="41" t="str">
        <f>AW103</f>
        <v>kg</v>
      </c>
      <c r="AX141" s="5386" t="str">
        <f>AX103</f>
        <v>Receta madre ► Ballotina de pintada</v>
      </c>
      <c r="AY141" s="6711">
        <v>2.835E-2</v>
      </c>
      <c r="AZ141" s="6712">
        <v>0.13</v>
      </c>
      <c r="BA141" s="6713">
        <v>0</v>
      </c>
      <c r="BB141" s="6712">
        <v>0.2</v>
      </c>
      <c r="BC141" s="6712">
        <v>0.23</v>
      </c>
      <c r="BD141" s="6712">
        <v>0.22500000000000001</v>
      </c>
      <c r="BE141" s="6709">
        <v>0.35</v>
      </c>
      <c r="BF141" s="6709">
        <v>5.0000000000000001E-3</v>
      </c>
      <c r="BG141" s="6709">
        <v>5.0000000000000001E-3</v>
      </c>
      <c r="BH141" s="6709">
        <v>1.4999999999999999E-2</v>
      </c>
      <c r="BI141" s="6709">
        <v>0.1</v>
      </c>
      <c r="BJ141" s="6709">
        <v>0.22500000000000001</v>
      </c>
      <c r="BK141" s="8494">
        <v>1E-3</v>
      </c>
      <c r="BL141" s="8493"/>
      <c r="BP141" s="6404"/>
      <c r="BQ141" s="189" t="s">
        <v>213</v>
      </c>
      <c r="BR141" s="5950" t="s">
        <v>82</v>
      </c>
      <c r="BS141" s="5783"/>
      <c r="BT141" s="5783"/>
      <c r="BU141" s="5783"/>
      <c r="BV141" s="6403"/>
      <c r="BX141" s="6404"/>
      <c r="BY141" s="189" t="s">
        <v>213</v>
      </c>
      <c r="BZ141" s="5950" t="s">
        <v>82</v>
      </c>
      <c r="CA141" s="5783"/>
      <c r="CB141" s="5783"/>
      <c r="CC141" s="5783"/>
      <c r="CD141" s="6403"/>
      <c r="CF141" s="6404"/>
      <c r="CG141" s="189" t="s">
        <v>213</v>
      </c>
      <c r="CH141" s="5950" t="s">
        <v>8417</v>
      </c>
      <c r="CI141" s="5783"/>
      <c r="CJ141" s="5783"/>
      <c r="CK141" s="5783"/>
      <c r="CL141" s="6403"/>
      <c r="CN141" s="5">
        <v>1</v>
      </c>
    </row>
    <row r="142" spans="2:92" ht="21" customHeight="1">
      <c r="B142" s="5269" t="s">
        <v>21</v>
      </c>
      <c r="C142" s="1313" t="str">
        <f>C103</f>
        <v>N NOM DE VOTRE RECETTE | pâtisserie--ENTREMET| Auteur &gt; VOUS</v>
      </c>
      <c r="D142" s="1313">
        <f>D103</f>
        <v>1</v>
      </c>
      <c r="E142" s="5377" t="str">
        <f>E103</f>
        <v>coupe</v>
      </c>
      <c r="F142" s="5387" t="str">
        <f>F103</f>
        <v>Recette mère ► MILLE-FEUILLE meringue et chiboust pamplemousse aux fraises des bois</v>
      </c>
      <c r="G142" s="6293" t="str">
        <f t="shared" ref="G142:L142" si="34">G104</f>
        <v>Col.6</v>
      </c>
      <c r="H142" s="6293" t="str">
        <f t="shared" si="34"/>
        <v>Col.7</v>
      </c>
      <c r="I142" s="6293" t="str">
        <f t="shared" si="34"/>
        <v>Col.8</v>
      </c>
      <c r="J142" s="6293" t="str">
        <f t="shared" si="34"/>
        <v>Col.9</v>
      </c>
      <c r="K142" s="6293" t="str">
        <f t="shared" si="34"/>
        <v>Col.10</v>
      </c>
      <c r="L142" s="6293" t="str">
        <f t="shared" si="34"/>
        <v>Col.11</v>
      </c>
      <c r="M142" s="6297" t="s">
        <v>8775</v>
      </c>
      <c r="N142" s="6297"/>
      <c r="O142" s="6722"/>
      <c r="P142" s="6722"/>
      <c r="Q142" s="6723"/>
      <c r="R142" s="6723"/>
      <c r="S142" s="6724"/>
      <c r="T142" s="6725" t="s">
        <v>9678</v>
      </c>
      <c r="X142" s="5269" t="s">
        <v>21</v>
      </c>
      <c r="Y142" s="1313" t="str">
        <f>Y103</f>
        <v>N NAME OF YOUR RECIPE | paste it — FAMILY|  Author &gt; YOU</v>
      </c>
      <c r="Z142" s="1313">
        <f>Z103</f>
        <v>0.6</v>
      </c>
      <c r="AA142" s="5377" t="str">
        <f>AA103</f>
        <v>kg</v>
      </c>
      <c r="AB142" s="5387" t="str">
        <f>AB103</f>
        <v>Master recipe ► Guinea fowl ballotine</v>
      </c>
      <c r="AC142" s="6293" t="str">
        <f t="shared" ref="AC142:AH142" si="35">AC104</f>
        <v>Col.6</v>
      </c>
      <c r="AD142" s="6293" t="str">
        <f t="shared" si="35"/>
        <v>Col.7</v>
      </c>
      <c r="AE142" s="6293" t="str">
        <f t="shared" si="35"/>
        <v>Col.8</v>
      </c>
      <c r="AF142" s="6293" t="str">
        <f t="shared" si="35"/>
        <v>Col.9</v>
      </c>
      <c r="AG142" s="6293" t="str">
        <f t="shared" si="35"/>
        <v>Col.10</v>
      </c>
      <c r="AH142" s="6293" t="str">
        <f t="shared" si="35"/>
        <v>Col.11</v>
      </c>
      <c r="AI142" s="6297" t="s">
        <v>9692</v>
      </c>
      <c r="AJ142" s="6867"/>
      <c r="AK142" s="6292"/>
      <c r="AL142" s="6292"/>
      <c r="AM142" s="6292"/>
      <c r="AN142" s="6292"/>
      <c r="AO142" s="6292"/>
      <c r="AP142" s="6805"/>
      <c r="AT142" s="5269" t="s">
        <v>21</v>
      </c>
      <c r="AU142" s="1313" t="str">
        <f>AU103</f>
        <v>N NOMBRE DE SU RECETA | pegue esto — FAMILIA| Autor &gt; USTED</v>
      </c>
      <c r="AV142" s="1313">
        <f>AV103</f>
        <v>0.6</v>
      </c>
      <c r="AW142" s="5377" t="str">
        <f>AW103</f>
        <v>kg</v>
      </c>
      <c r="AX142" s="5387" t="str">
        <f>AX103</f>
        <v>Receta madre ► Ballotina de pintada</v>
      </c>
      <c r="AY142" s="6293" t="str">
        <f t="shared" ref="AY142:BD142" si="36">AY104</f>
        <v>Col.6</v>
      </c>
      <c r="AZ142" s="6293" t="str">
        <f t="shared" si="36"/>
        <v>Col.7</v>
      </c>
      <c r="BA142" s="6293" t="str">
        <f t="shared" si="36"/>
        <v>Col.8</v>
      </c>
      <c r="BB142" s="6293" t="str">
        <f t="shared" si="36"/>
        <v>Col.9</v>
      </c>
      <c r="BC142" s="6293" t="str">
        <f t="shared" si="36"/>
        <v>Col.10</v>
      </c>
      <c r="BD142" s="6293" t="str">
        <f t="shared" si="36"/>
        <v>Col.11</v>
      </c>
      <c r="BE142" s="6297" t="s">
        <v>9700</v>
      </c>
      <c r="BF142" s="6867"/>
      <c r="BG142" s="6292"/>
      <c r="BH142" s="6292"/>
      <c r="BI142" s="6292"/>
      <c r="BJ142" s="6292"/>
      <c r="BK142" s="6292"/>
      <c r="BL142" s="6805"/>
      <c r="BP142" s="6404"/>
      <c r="BQ142" s="5950"/>
      <c r="BR142" s="5950"/>
      <c r="BS142" s="5783"/>
      <c r="BT142" s="5783"/>
      <c r="BU142" s="5783"/>
      <c r="BV142" s="6403"/>
      <c r="BX142" s="6404"/>
      <c r="BY142" s="5950"/>
      <c r="BZ142" s="5950"/>
      <c r="CA142" s="5783"/>
      <c r="CB142" s="5783"/>
      <c r="CC142" s="5783"/>
      <c r="CD142" s="6403"/>
      <c r="CF142" s="6404"/>
      <c r="CG142" s="5950"/>
      <c r="CH142" s="5950"/>
      <c r="CI142" s="5783"/>
      <c r="CJ142" s="5783"/>
      <c r="CK142" s="5783"/>
      <c r="CL142" s="6403"/>
      <c r="CN142" s="5">
        <v>1</v>
      </c>
    </row>
    <row r="143" spans="2:92" ht="21" customHeight="1">
      <c r="B143" s="1021" t="str">
        <f t="shared" ref="B143:B162" si="37">IF(OR(G143&lt;&gt;"",H143&lt;&gt; "",I143&lt;&gt;"",J143&lt;&gt;""),"A", "►")</f>
        <v>A</v>
      </c>
      <c r="C143" s="196" t="str">
        <f>C103</f>
        <v>N NOM DE VOTRE RECETTE | pâtisserie--ENTREMET| Auteur &gt; VOUS</v>
      </c>
      <c r="D143" s="196">
        <f>D103</f>
        <v>1</v>
      </c>
      <c r="E143" s="197" t="str">
        <f>E103</f>
        <v>coupe</v>
      </c>
      <c r="F143" s="5388" t="str">
        <f>F103</f>
        <v>Recette mère ► MILLE-FEUILLE meringue et chiboust pamplemousse aux fraises des bois</v>
      </c>
      <c r="G143" s="369" t="s">
        <v>252</v>
      </c>
      <c r="H143" s="5271" t="s">
        <v>864</v>
      </c>
      <c r="I143" s="1321"/>
      <c r="J143" s="1321"/>
      <c r="K143" s="1321"/>
      <c r="L143" s="1321"/>
      <c r="M143" s="1321"/>
      <c r="N143" s="1321"/>
      <c r="O143" s="1321"/>
      <c r="P143" s="1322"/>
      <c r="Q143" s="6279"/>
      <c r="R143" s="6279"/>
      <c r="S143" s="6280" t="s">
        <v>1156</v>
      </c>
      <c r="T143" s="6278" t="s">
        <v>1155</v>
      </c>
      <c r="X143" s="1021" t="str">
        <f t="shared" ref="X143:X162" si="38">IF(OR(AC143&lt;&gt;"",AD143&lt;&gt; "",AE143&lt;&gt;"",AF143&lt;&gt;""),"A", "►")</f>
        <v>A</v>
      </c>
      <c r="Y143" s="196" t="str">
        <f>Y103</f>
        <v>N NAME OF YOUR RECIPE | paste it — FAMILY|  Author &gt; YOU</v>
      </c>
      <c r="Z143" s="196">
        <f>Z103</f>
        <v>0.6</v>
      </c>
      <c r="AA143" s="197" t="str">
        <f>AA103</f>
        <v>kg</v>
      </c>
      <c r="AB143" s="5388" t="str">
        <f>AB103</f>
        <v>Master recipe ► Guinea fowl ballotine</v>
      </c>
      <c r="AC143" s="1354" t="s">
        <v>9333</v>
      </c>
      <c r="AD143" s="5271" t="s">
        <v>8392</v>
      </c>
      <c r="AE143" s="1321"/>
      <c r="AF143" s="1321"/>
      <c r="AG143" s="1321"/>
      <c r="AH143" s="1321"/>
      <c r="AI143" s="1321"/>
      <c r="AJ143" s="1321"/>
      <c r="AK143" s="1321"/>
      <c r="AL143" s="1322"/>
      <c r="AM143" s="6279"/>
      <c r="AN143" s="6279"/>
      <c r="AO143" s="6721" t="s">
        <v>8359</v>
      </c>
      <c r="AP143" s="6278" t="s">
        <v>1155</v>
      </c>
      <c r="AT143" s="1021" t="str">
        <f t="shared" ref="AT143:AT162" si="39">IF(OR(AY143&lt;&gt;"",AZ143&lt;&gt; "",BA143&lt;&gt;"",BB143&lt;&gt;""),"A", "►")</f>
        <v>A</v>
      </c>
      <c r="AU143" s="196" t="str">
        <f>AU103</f>
        <v>N NOMBRE DE SU RECETA | pegue esto — FAMILIA| Autor &gt; USTED</v>
      </c>
      <c r="AV143" s="196">
        <f>AV103</f>
        <v>0.6</v>
      </c>
      <c r="AW143" s="197" t="str">
        <f>AW103</f>
        <v>kg</v>
      </c>
      <c r="AX143" s="5388" t="str">
        <f>AX103</f>
        <v>Receta madre ► Ballotina de pintada</v>
      </c>
      <c r="AY143" s="1354" t="s">
        <v>9490</v>
      </c>
      <c r="AZ143" s="5271" t="s">
        <v>8422</v>
      </c>
      <c r="BA143" s="1321"/>
      <c r="BB143" s="1321"/>
      <c r="BC143" s="1321"/>
      <c r="BD143" s="1321"/>
      <c r="BE143" s="1321"/>
      <c r="BF143" s="1321"/>
      <c r="BG143" s="1321"/>
      <c r="BH143" s="1322"/>
      <c r="BI143" s="6279"/>
      <c r="BJ143" s="6279"/>
      <c r="BK143" s="6721" t="s">
        <v>8436</v>
      </c>
      <c r="BL143" s="6278" t="s">
        <v>1155</v>
      </c>
      <c r="BP143" s="6404"/>
      <c r="BQ143" s="6537" t="s">
        <v>80</v>
      </c>
      <c r="BR143" s="6522" t="s">
        <v>9205</v>
      </c>
      <c r="BS143" s="5783"/>
      <c r="BT143" s="5783"/>
      <c r="BU143" s="5783"/>
      <c r="BV143" s="6403"/>
      <c r="BX143" s="6404"/>
      <c r="BY143" s="6537" t="s">
        <v>80</v>
      </c>
      <c r="BZ143" s="6522" t="s">
        <v>9546</v>
      </c>
      <c r="CA143" s="5783"/>
      <c r="CB143" s="5783"/>
      <c r="CC143" s="5783"/>
      <c r="CD143" s="6403"/>
      <c r="CF143" s="6404"/>
      <c r="CG143" s="6537" t="s">
        <v>9431</v>
      </c>
      <c r="CH143" s="6522" t="s">
        <v>9547</v>
      </c>
      <c r="CI143" s="5783"/>
      <c r="CJ143" s="5783"/>
      <c r="CK143" s="5783"/>
      <c r="CL143" s="6403"/>
      <c r="CN143" s="5">
        <v>1</v>
      </c>
    </row>
    <row r="144" spans="2:92" ht="21" customHeight="1">
      <c r="B144" s="1021" t="str">
        <f t="shared" si="37"/>
        <v>►</v>
      </c>
      <c r="C144" s="196" t="str">
        <f>C103</f>
        <v>N NOM DE VOTRE RECETTE | pâtisserie--ENTREMET| Auteur &gt; VOUS</v>
      </c>
      <c r="D144" s="196">
        <f>D103</f>
        <v>1</v>
      </c>
      <c r="E144" s="197" t="str">
        <f>E103</f>
        <v>coupe</v>
      </c>
      <c r="F144" s="5388" t="str">
        <f>F103</f>
        <v>Recette mère ► MILLE-FEUILLE meringue et chiboust pamplemousse aux fraises des bois</v>
      </c>
      <c r="G144" s="5275"/>
      <c r="H144" s="1320"/>
      <c r="I144" s="1320"/>
      <c r="J144" s="1320"/>
      <c r="K144" s="1320"/>
      <c r="L144" s="1320"/>
      <c r="M144" s="1320"/>
      <c r="N144" s="1320"/>
      <c r="O144" s="1320"/>
      <c r="P144" s="1324"/>
      <c r="Q144" s="5411"/>
      <c r="R144" s="1266"/>
      <c r="S144" s="1270" t="s">
        <v>1157</v>
      </c>
      <c r="T144" s="5272" t="s">
        <v>1155</v>
      </c>
      <c r="X144" s="1021" t="str">
        <f t="shared" si="38"/>
        <v>►</v>
      </c>
      <c r="Y144" s="196" t="str">
        <f>Y103</f>
        <v>N NAME OF YOUR RECIPE | paste it — FAMILY|  Author &gt; YOU</v>
      </c>
      <c r="Z144" s="196">
        <f>Z103</f>
        <v>0.6</v>
      </c>
      <c r="AA144" s="197" t="str">
        <f>AA103</f>
        <v>kg</v>
      </c>
      <c r="AB144" s="5388" t="str">
        <f>AB103</f>
        <v>Master recipe ► Guinea fowl ballotine</v>
      </c>
      <c r="AC144" s="5275"/>
      <c r="AD144" s="1320"/>
      <c r="AE144" s="1320"/>
      <c r="AF144" s="1320"/>
      <c r="AG144" s="1320"/>
      <c r="AH144" s="1320"/>
      <c r="AI144" s="1320"/>
      <c r="AJ144" s="1320"/>
      <c r="AK144" s="1320"/>
      <c r="AL144" s="1324"/>
      <c r="AM144" s="5411"/>
      <c r="AN144" s="1266"/>
      <c r="AO144" s="1270" t="s">
        <v>8360</v>
      </c>
      <c r="AP144" s="5272" t="s">
        <v>1155</v>
      </c>
      <c r="AT144" s="1021" t="str">
        <f t="shared" si="39"/>
        <v>►</v>
      </c>
      <c r="AU144" s="196" t="str">
        <f>AU103</f>
        <v>N NOMBRE DE SU RECETA | pegue esto — FAMILIA| Autor &gt; USTED</v>
      </c>
      <c r="AV144" s="196">
        <f>AV103</f>
        <v>0.6</v>
      </c>
      <c r="AW144" s="197" t="str">
        <f>AW103</f>
        <v>kg</v>
      </c>
      <c r="AX144" s="5388" t="str">
        <f>AX103</f>
        <v>Receta madre ► Ballotina de pintada</v>
      </c>
      <c r="AY144" s="5275"/>
      <c r="AZ144" s="1320"/>
      <c r="BA144" s="1320"/>
      <c r="BB144" s="1320"/>
      <c r="BC144" s="1320"/>
      <c r="BD144" s="1320"/>
      <c r="BE144" s="1320"/>
      <c r="BF144" s="1320"/>
      <c r="BG144" s="1320"/>
      <c r="BH144" s="1324"/>
      <c r="BI144" s="5411"/>
      <c r="BJ144" s="1266"/>
      <c r="BK144" s="1270" t="s">
        <v>8437</v>
      </c>
      <c r="BL144" s="5272" t="s">
        <v>1155</v>
      </c>
      <c r="BP144" s="6404"/>
      <c r="BQ144" s="6523"/>
      <c r="BR144" s="6522" t="s">
        <v>77</v>
      </c>
      <c r="BS144" s="5783"/>
      <c r="BT144" s="5783"/>
      <c r="BU144" s="5783"/>
      <c r="BV144" s="6403"/>
      <c r="BX144" s="6404"/>
      <c r="BY144" s="6523"/>
      <c r="BZ144" s="6522" t="s">
        <v>9548</v>
      </c>
      <c r="CA144" s="5783"/>
      <c r="CB144" s="5783"/>
      <c r="CC144" s="5783"/>
      <c r="CD144" s="6403"/>
      <c r="CF144" s="6404"/>
      <c r="CG144" s="6523"/>
      <c r="CH144" s="6522" t="s">
        <v>9549</v>
      </c>
      <c r="CI144" s="5783"/>
      <c r="CJ144" s="5783"/>
      <c r="CK144" s="5783"/>
      <c r="CL144" s="6403"/>
      <c r="CN144" s="5">
        <v>1</v>
      </c>
    </row>
    <row r="145" spans="2:92" ht="21" customHeight="1">
      <c r="B145" s="1021" t="str">
        <f t="shared" si="37"/>
        <v>►</v>
      </c>
      <c r="C145" s="196" t="str">
        <f>C103</f>
        <v>N NOM DE VOTRE RECETTE | pâtisserie--ENTREMET| Auteur &gt; VOUS</v>
      </c>
      <c r="D145" s="196">
        <f>D103</f>
        <v>1</v>
      </c>
      <c r="E145" s="197" t="str">
        <f>E103</f>
        <v>coupe</v>
      </c>
      <c r="F145" s="5388" t="str">
        <f>F103</f>
        <v>Recette mère ► MILLE-FEUILLE meringue et chiboust pamplemousse aux fraises des bois</v>
      </c>
      <c r="G145" s="5275"/>
      <c r="H145" s="1361"/>
      <c r="I145" s="1361"/>
      <c r="J145" s="1361"/>
      <c r="K145" s="1361"/>
      <c r="L145" s="1361"/>
      <c r="M145" s="1361"/>
      <c r="N145" s="1361"/>
      <c r="O145" s="1361"/>
      <c r="P145" s="5276"/>
      <c r="Q145" s="141"/>
      <c r="R145" s="141"/>
      <c r="S145" s="5273" t="s">
        <v>1150</v>
      </c>
      <c r="T145" s="5274">
        <v>3.472222222222222E-3</v>
      </c>
      <c r="X145" s="1021" t="str">
        <f t="shared" si="38"/>
        <v>►</v>
      </c>
      <c r="Y145" s="196" t="str">
        <f>Y103</f>
        <v>N NAME OF YOUR RECIPE | paste it — FAMILY|  Author &gt; YOU</v>
      </c>
      <c r="Z145" s="196">
        <f>Z103</f>
        <v>0.6</v>
      </c>
      <c r="AA145" s="197" t="str">
        <f>AA103</f>
        <v>kg</v>
      </c>
      <c r="AB145" s="5388" t="str">
        <f>AB103</f>
        <v>Master recipe ► Guinea fowl ballotine</v>
      </c>
      <c r="AC145" s="5275"/>
      <c r="AD145" s="1361"/>
      <c r="AE145" s="1361"/>
      <c r="AF145" s="1361"/>
      <c r="AG145" s="1361"/>
      <c r="AH145" s="1361"/>
      <c r="AI145" s="1361"/>
      <c r="AJ145" s="1361"/>
      <c r="AK145" s="1361"/>
      <c r="AL145" s="5276"/>
      <c r="AM145" s="141"/>
      <c r="AN145" s="141"/>
      <c r="AO145" s="5273" t="s">
        <v>8361</v>
      </c>
      <c r="AP145" s="5274">
        <v>3.472222222222222E-3</v>
      </c>
      <c r="AT145" s="1021" t="str">
        <f t="shared" si="39"/>
        <v>►</v>
      </c>
      <c r="AU145" s="196" t="str">
        <f>AU103</f>
        <v>N NOMBRE DE SU RECETA | pegue esto — FAMILIA| Autor &gt; USTED</v>
      </c>
      <c r="AV145" s="196">
        <f>AV103</f>
        <v>0.6</v>
      </c>
      <c r="AW145" s="197" t="str">
        <f>AW103</f>
        <v>kg</v>
      </c>
      <c r="AX145" s="5388" t="str">
        <f>AX103</f>
        <v>Receta madre ► Ballotina de pintada</v>
      </c>
      <c r="AY145" s="5275"/>
      <c r="AZ145" s="1361"/>
      <c r="BA145" s="1361"/>
      <c r="BB145" s="1361"/>
      <c r="BC145" s="1361"/>
      <c r="BD145" s="1361"/>
      <c r="BE145" s="1361"/>
      <c r="BF145" s="1361"/>
      <c r="BG145" s="1361"/>
      <c r="BH145" s="5276"/>
      <c r="BI145" s="141"/>
      <c r="BJ145" s="141"/>
      <c r="BK145" s="5273" t="s">
        <v>8431</v>
      </c>
      <c r="BL145" s="5274">
        <v>3.472222222222222E-3</v>
      </c>
      <c r="BP145" s="6404"/>
      <c r="BQ145" s="6522"/>
      <c r="BR145" s="5950"/>
      <c r="BS145" s="5783"/>
      <c r="BT145" s="5783"/>
      <c r="BU145" s="5783"/>
      <c r="BV145" s="6403"/>
      <c r="BX145" s="6404"/>
      <c r="BY145" s="6522"/>
      <c r="BZ145" s="5950"/>
      <c r="CA145" s="5783"/>
      <c r="CB145" s="5783"/>
      <c r="CC145" s="5783"/>
      <c r="CD145" s="6403"/>
      <c r="CF145" s="6404"/>
      <c r="CG145" s="6522"/>
      <c r="CH145" s="5950"/>
      <c r="CI145" s="5783"/>
      <c r="CJ145" s="5783"/>
      <c r="CK145" s="5783"/>
      <c r="CL145" s="6403"/>
      <c r="CN145" s="5">
        <v>1</v>
      </c>
    </row>
    <row r="146" spans="2:92" ht="21" customHeight="1">
      <c r="B146" s="1021" t="str">
        <f t="shared" si="37"/>
        <v>►</v>
      </c>
      <c r="C146" s="196" t="str">
        <f>C103</f>
        <v>N NOM DE VOTRE RECETTE | pâtisserie--ENTREMET| Auteur &gt; VOUS</v>
      </c>
      <c r="D146" s="196">
        <f>D103</f>
        <v>1</v>
      </c>
      <c r="E146" s="197" t="str">
        <f>E103</f>
        <v>coupe</v>
      </c>
      <c r="F146" s="5388" t="str">
        <f>F103</f>
        <v>Recette mère ► MILLE-FEUILLE meringue et chiboust pamplemousse aux fraises des bois</v>
      </c>
      <c r="G146" s="5275"/>
      <c r="H146" s="1361"/>
      <c r="I146" s="1361"/>
      <c r="J146" s="1361"/>
      <c r="K146" s="1361"/>
      <c r="L146" s="1361"/>
      <c r="M146" s="1361"/>
      <c r="N146" s="1361"/>
      <c r="O146" s="1361"/>
      <c r="P146" s="5276"/>
      <c r="Q146" s="141"/>
      <c r="R146" s="141"/>
      <c r="S146" s="5273" t="s">
        <v>1152</v>
      </c>
      <c r="T146" s="5277">
        <v>1.0416666666666666E-2</v>
      </c>
      <c r="X146" s="1021" t="str">
        <f t="shared" si="38"/>
        <v>►</v>
      </c>
      <c r="Y146" s="196" t="str">
        <f>Y103</f>
        <v>N NAME OF YOUR RECIPE | paste it — FAMILY|  Author &gt; YOU</v>
      </c>
      <c r="Z146" s="196">
        <f>Z103</f>
        <v>0.6</v>
      </c>
      <c r="AA146" s="197" t="str">
        <f>AA103</f>
        <v>kg</v>
      </c>
      <c r="AB146" s="5388" t="str">
        <f>AB103</f>
        <v>Master recipe ► Guinea fowl ballotine</v>
      </c>
      <c r="AC146" s="5275"/>
      <c r="AD146" s="1361"/>
      <c r="AE146" s="1361"/>
      <c r="AF146" s="1361"/>
      <c r="AG146" s="1361"/>
      <c r="AH146" s="1361"/>
      <c r="AI146" s="1361"/>
      <c r="AJ146" s="1361"/>
      <c r="AK146" s="1361"/>
      <c r="AL146" s="5276"/>
      <c r="AM146" s="141"/>
      <c r="AN146" s="141"/>
      <c r="AO146" s="5273" t="s">
        <v>8362</v>
      </c>
      <c r="AP146" s="5277">
        <v>1.0416666666666666E-2</v>
      </c>
      <c r="AT146" s="1021" t="str">
        <f t="shared" si="39"/>
        <v>►</v>
      </c>
      <c r="AU146" s="196" t="str">
        <f>AU103</f>
        <v>N NOMBRE DE SU RECETA | pegue esto — FAMILIA| Autor &gt; USTED</v>
      </c>
      <c r="AV146" s="196">
        <f>AV103</f>
        <v>0.6</v>
      </c>
      <c r="AW146" s="197" t="str">
        <f>AW103</f>
        <v>kg</v>
      </c>
      <c r="AX146" s="5388" t="str">
        <f>AX103</f>
        <v>Receta madre ► Ballotina de pintada</v>
      </c>
      <c r="AY146" s="5275"/>
      <c r="AZ146" s="1361"/>
      <c r="BA146" s="1361"/>
      <c r="BB146" s="1361"/>
      <c r="BC146" s="1361"/>
      <c r="BD146" s="1361"/>
      <c r="BE146" s="1361"/>
      <c r="BF146" s="1361"/>
      <c r="BG146" s="1361"/>
      <c r="BH146" s="5276"/>
      <c r="BI146" s="141"/>
      <c r="BJ146" s="141"/>
      <c r="BK146" s="5273" t="s">
        <v>8432</v>
      </c>
      <c r="BL146" s="5277">
        <v>1.0416666666666666E-2</v>
      </c>
      <c r="BP146" s="1079"/>
      <c r="BQ146" s="1080"/>
      <c r="BR146" s="1081"/>
      <c r="BS146" s="1080"/>
      <c r="BT146" s="1080"/>
      <c r="BU146" s="1080"/>
      <c r="BV146" s="1082"/>
      <c r="BX146" s="1079"/>
      <c r="BY146" s="1080"/>
      <c r="BZ146" s="1081"/>
      <c r="CA146" s="1080"/>
      <c r="CB146" s="1080"/>
      <c r="CC146" s="1080"/>
      <c r="CD146" s="1082"/>
      <c r="CF146" s="1079"/>
      <c r="CG146" s="1080"/>
      <c r="CH146" s="1081"/>
      <c r="CI146" s="1080"/>
      <c r="CJ146" s="1080"/>
      <c r="CK146" s="1080"/>
      <c r="CL146" s="1082"/>
      <c r="CN146" s="5">
        <v>1</v>
      </c>
    </row>
    <row r="147" spans="2:92" ht="21" customHeight="1" thickBot="1">
      <c r="B147" s="1021" t="str">
        <f t="shared" si="37"/>
        <v>►</v>
      </c>
      <c r="C147" s="196" t="str">
        <f>C103</f>
        <v>N NOM DE VOTRE RECETTE | pâtisserie--ENTREMET| Auteur &gt; VOUS</v>
      </c>
      <c r="D147" s="196">
        <f>D103</f>
        <v>1</v>
      </c>
      <c r="E147" s="197" t="str">
        <f>E103</f>
        <v>coupe</v>
      </c>
      <c r="F147" s="5388" t="str">
        <f>F103</f>
        <v>Recette mère ► MILLE-FEUILLE meringue et chiboust pamplemousse aux fraises des bois</v>
      </c>
      <c r="G147" s="5275"/>
      <c r="H147" s="1361"/>
      <c r="I147" s="1361"/>
      <c r="J147" s="1361"/>
      <c r="K147" s="1361"/>
      <c r="L147" s="1361"/>
      <c r="M147" s="1361"/>
      <c r="N147" s="1361"/>
      <c r="O147" s="1361"/>
      <c r="P147" s="5276"/>
      <c r="Q147" s="141"/>
      <c r="R147" s="141"/>
      <c r="S147" s="5273" t="s">
        <v>8017</v>
      </c>
      <c r="T147" s="5278">
        <v>2.0833333333333332E-2</v>
      </c>
      <c r="X147" s="1021" t="str">
        <f t="shared" si="38"/>
        <v>►</v>
      </c>
      <c r="Y147" s="196" t="str">
        <f>Y103</f>
        <v>N NAME OF YOUR RECIPE | paste it — FAMILY|  Author &gt; YOU</v>
      </c>
      <c r="Z147" s="196">
        <f>Z103</f>
        <v>0.6</v>
      </c>
      <c r="AA147" s="197" t="str">
        <f>AA103</f>
        <v>kg</v>
      </c>
      <c r="AB147" s="5388" t="str">
        <f>AB103</f>
        <v>Master recipe ► Guinea fowl ballotine</v>
      </c>
      <c r="AC147" s="5275"/>
      <c r="AD147" s="1361"/>
      <c r="AE147" s="1361"/>
      <c r="AF147" s="1361"/>
      <c r="AG147" s="1361"/>
      <c r="AH147" s="1361"/>
      <c r="AI147" s="1361"/>
      <c r="AJ147" s="1361"/>
      <c r="AK147" s="1361"/>
      <c r="AL147" s="5276"/>
      <c r="AM147" s="141"/>
      <c r="AN147" s="141"/>
      <c r="AO147" s="5273" t="s">
        <v>8363</v>
      </c>
      <c r="AP147" s="5278">
        <v>2.0833333333333332E-2</v>
      </c>
      <c r="AT147" s="1021" t="str">
        <f t="shared" si="39"/>
        <v>►</v>
      </c>
      <c r="AU147" s="196" t="str">
        <f>AU103</f>
        <v>N NOMBRE DE SU RECETA | pegue esto — FAMILIA| Autor &gt; USTED</v>
      </c>
      <c r="AV147" s="196">
        <f>AV103</f>
        <v>0.6</v>
      </c>
      <c r="AW147" s="197" t="str">
        <f>AW103</f>
        <v>kg</v>
      </c>
      <c r="AX147" s="5388" t="str">
        <f>AX103</f>
        <v>Receta madre ► Ballotina de pintada</v>
      </c>
      <c r="AY147" s="5275"/>
      <c r="AZ147" s="1361"/>
      <c r="BA147" s="1361"/>
      <c r="BB147" s="1361"/>
      <c r="BC147" s="1361"/>
      <c r="BD147" s="1361"/>
      <c r="BE147" s="1361"/>
      <c r="BF147" s="1361"/>
      <c r="BG147" s="1361"/>
      <c r="BH147" s="5276"/>
      <c r="BI147" s="141"/>
      <c r="BJ147" s="141"/>
      <c r="BK147" s="5273" t="s">
        <v>8433</v>
      </c>
      <c r="BL147" s="5278">
        <v>2.0833333333333332E-2</v>
      </c>
      <c r="BP147" s="6525"/>
      <c r="BQ147" s="6526"/>
      <c r="BR147" s="6527"/>
      <c r="BS147" s="6526"/>
      <c r="BT147" s="6526"/>
      <c r="BU147" s="6526"/>
      <c r="BV147" s="6528"/>
      <c r="BX147" s="6525"/>
      <c r="BY147" s="6526"/>
      <c r="BZ147" s="6527"/>
      <c r="CA147" s="6526"/>
      <c r="CB147" s="6526"/>
      <c r="CC147" s="6526"/>
      <c r="CD147" s="6528"/>
      <c r="CF147" s="6525"/>
      <c r="CG147" s="6526"/>
      <c r="CH147" s="6527"/>
      <c r="CI147" s="6526"/>
      <c r="CJ147" s="6526"/>
      <c r="CK147" s="6526"/>
      <c r="CL147" s="6528"/>
      <c r="CN147" s="5">
        <v>1</v>
      </c>
    </row>
    <row r="148" spans="2:92" ht="21" customHeight="1" thickTop="1">
      <c r="B148" s="1021" t="str">
        <f t="shared" si="37"/>
        <v>►</v>
      </c>
      <c r="C148" s="196" t="str">
        <f>C103</f>
        <v>N NOM DE VOTRE RECETTE | pâtisserie--ENTREMET| Auteur &gt; VOUS</v>
      </c>
      <c r="D148" s="196">
        <f>D103</f>
        <v>1</v>
      </c>
      <c r="E148" s="197" t="str">
        <f>E103</f>
        <v>coupe</v>
      </c>
      <c r="F148" s="5388" t="str">
        <f>F103</f>
        <v>Recette mère ► MILLE-FEUILLE meringue et chiboust pamplemousse aux fraises des bois</v>
      </c>
      <c r="G148" s="5275"/>
      <c r="H148" s="1361"/>
      <c r="I148" s="1361"/>
      <c r="J148" s="1361"/>
      <c r="K148" s="1361"/>
      <c r="L148" s="1361"/>
      <c r="M148" s="1361"/>
      <c r="N148" s="1361"/>
      <c r="O148" s="1361"/>
      <c r="P148" s="5276"/>
      <c r="Q148" s="141"/>
      <c r="R148" s="141"/>
      <c r="S148" s="5279" t="s">
        <v>37</v>
      </c>
      <c r="T148" s="5280">
        <f>T145+T146+T147</f>
        <v>3.4722222222222224E-2</v>
      </c>
      <c r="X148" s="1021" t="str">
        <f t="shared" si="38"/>
        <v>►</v>
      </c>
      <c r="Y148" s="196" t="str">
        <f>Y103</f>
        <v>N NAME OF YOUR RECIPE | paste it — FAMILY|  Author &gt; YOU</v>
      </c>
      <c r="Z148" s="196">
        <f>Z103</f>
        <v>0.6</v>
      </c>
      <c r="AA148" s="197" t="str">
        <f>AA103</f>
        <v>kg</v>
      </c>
      <c r="AB148" s="5388" t="str">
        <f>AB103</f>
        <v>Master recipe ► Guinea fowl ballotine</v>
      </c>
      <c r="AC148" s="5275"/>
      <c r="AD148" s="1361"/>
      <c r="AE148" s="1361"/>
      <c r="AF148" s="1361"/>
      <c r="AG148" s="1361"/>
      <c r="AH148" s="1361"/>
      <c r="AI148" s="1361"/>
      <c r="AJ148" s="1361"/>
      <c r="AK148" s="1361"/>
      <c r="AL148" s="5276"/>
      <c r="AM148" s="141"/>
      <c r="AN148" s="141"/>
      <c r="AO148" s="5279" t="s">
        <v>37</v>
      </c>
      <c r="AP148" s="5280">
        <f>AP145+AP146+AP147</f>
        <v>3.4722222222222224E-2</v>
      </c>
      <c r="AT148" s="1021" t="str">
        <f t="shared" si="39"/>
        <v>►</v>
      </c>
      <c r="AU148" s="196" t="str">
        <f>AU103</f>
        <v>N NOMBRE DE SU RECETA | pegue esto — FAMILIA| Autor &gt; USTED</v>
      </c>
      <c r="AV148" s="196">
        <f>AV103</f>
        <v>0.6</v>
      </c>
      <c r="AW148" s="197" t="str">
        <f>AW103</f>
        <v>kg</v>
      </c>
      <c r="AX148" s="5388" t="str">
        <f>AX103</f>
        <v>Receta madre ► Ballotina de pintada</v>
      </c>
      <c r="AY148" s="5275"/>
      <c r="AZ148" s="1361"/>
      <c r="BA148" s="1361"/>
      <c r="BB148" s="1361"/>
      <c r="BC148" s="1361"/>
      <c r="BD148" s="1361"/>
      <c r="BE148" s="1361"/>
      <c r="BF148" s="1361"/>
      <c r="BG148" s="1361"/>
      <c r="BH148" s="5276"/>
      <c r="BI148" s="141"/>
      <c r="BJ148" s="141"/>
      <c r="BK148" s="5279" t="s">
        <v>37</v>
      </c>
      <c r="BL148" s="5280">
        <f>BL145+BL146+BL147</f>
        <v>3.4722222222222224E-2</v>
      </c>
      <c r="BP148" s="1083"/>
      <c r="BQ148" s="6016" t="s">
        <v>191</v>
      </c>
      <c r="BR148" s="6017" t="s">
        <v>783</v>
      </c>
      <c r="BS148" s="147"/>
      <c r="BT148" s="141"/>
      <c r="BU148" s="147"/>
      <c r="BV148" s="609"/>
      <c r="BX148" s="1083"/>
      <c r="BY148" s="6016" t="s">
        <v>8382</v>
      </c>
      <c r="BZ148" s="6017" t="s">
        <v>8377</v>
      </c>
      <c r="CA148" s="147"/>
      <c r="CB148" s="141"/>
      <c r="CC148" s="147"/>
      <c r="CD148" s="609"/>
      <c r="CF148" s="1083"/>
      <c r="CG148" s="6016" t="s">
        <v>8419</v>
      </c>
      <c r="CH148" s="6017" t="s">
        <v>8406</v>
      </c>
      <c r="CI148" s="147"/>
      <c r="CJ148" s="141"/>
      <c r="CK148" s="147"/>
      <c r="CL148" s="609"/>
      <c r="CN148" s="5">
        <v>1</v>
      </c>
    </row>
    <row r="149" spans="2:92" ht="21" customHeight="1">
      <c r="B149" s="1021" t="str">
        <f t="shared" si="37"/>
        <v>►</v>
      </c>
      <c r="C149" s="196" t="str">
        <f>C103</f>
        <v>N NOM DE VOTRE RECETTE | pâtisserie--ENTREMET| Auteur &gt; VOUS</v>
      </c>
      <c r="D149" s="196">
        <f>D103</f>
        <v>1</v>
      </c>
      <c r="E149" s="197" t="str">
        <f>E103</f>
        <v>coupe</v>
      </c>
      <c r="F149" s="5388" t="str">
        <f>F103</f>
        <v>Recette mère ► MILLE-FEUILLE meringue et chiboust pamplemousse aux fraises des bois</v>
      </c>
      <c r="G149" s="5275"/>
      <c r="H149" s="1361"/>
      <c r="I149" s="1361"/>
      <c r="J149" s="1361"/>
      <c r="K149" s="1361"/>
      <c r="L149" s="1361"/>
      <c r="M149" s="1361"/>
      <c r="N149" s="1361"/>
      <c r="O149" s="1361"/>
      <c r="P149" s="5276"/>
      <c r="Q149" s="6896" t="s">
        <v>10041</v>
      </c>
      <c r="R149" s="6897"/>
      <c r="S149" s="6897"/>
      <c r="T149" s="6898"/>
      <c r="X149" s="1021" t="str">
        <f t="shared" si="38"/>
        <v>►</v>
      </c>
      <c r="Y149" s="196" t="str">
        <f>Y103</f>
        <v>N NAME OF YOUR RECIPE | paste it — FAMILY|  Author &gt; YOU</v>
      </c>
      <c r="Z149" s="196">
        <f>Z103</f>
        <v>0.6</v>
      </c>
      <c r="AA149" s="197" t="str">
        <f>AA103</f>
        <v>kg</v>
      </c>
      <c r="AB149" s="5388" t="str">
        <f>AB103</f>
        <v>Master recipe ► Guinea fowl ballotine</v>
      </c>
      <c r="AC149" s="5275"/>
      <c r="AD149" s="1361"/>
      <c r="AE149" s="1361"/>
      <c r="AF149" s="1361"/>
      <c r="AG149" s="1361"/>
      <c r="AH149" s="1361"/>
      <c r="AI149" s="1361"/>
      <c r="AJ149" s="1361"/>
      <c r="AK149" s="1361"/>
      <c r="AL149" s="5276"/>
      <c r="AM149" s="6896" t="s">
        <v>10039</v>
      </c>
      <c r="AN149" s="6897"/>
      <c r="AO149" s="6897"/>
      <c r="AP149" s="6898"/>
      <c r="AT149" s="1021" t="str">
        <f t="shared" si="39"/>
        <v>►</v>
      </c>
      <c r="AU149" s="196" t="str">
        <f>AU103</f>
        <v>N NOMBRE DE SU RECETA | pegue esto — FAMILIA| Autor &gt; USTED</v>
      </c>
      <c r="AV149" s="196">
        <f>AV103</f>
        <v>0.6</v>
      </c>
      <c r="AW149" s="197" t="str">
        <f>AW103</f>
        <v>kg</v>
      </c>
      <c r="AX149" s="5388" t="str">
        <f>AX103</f>
        <v>Receta madre ► Ballotina de pintada</v>
      </c>
      <c r="AY149" s="5275"/>
      <c r="AZ149" s="1361"/>
      <c r="BA149" s="1361"/>
      <c r="BB149" s="1361"/>
      <c r="BC149" s="1361"/>
      <c r="BD149" s="1361"/>
      <c r="BE149" s="1361"/>
      <c r="BF149" s="1361"/>
      <c r="BG149" s="1361"/>
      <c r="BH149" s="5276"/>
      <c r="BI149" s="6896" t="s">
        <v>10040</v>
      </c>
      <c r="BJ149" s="6897"/>
      <c r="BK149" s="6897"/>
      <c r="BL149" s="6898"/>
      <c r="BP149" s="1083"/>
      <c r="BQ149" s="6018" t="s">
        <v>8578</v>
      </c>
      <c r="BR149" s="6019">
        <v>1</v>
      </c>
      <c r="BS149" s="147"/>
      <c r="BT149" s="141"/>
      <c r="BU149" s="147"/>
      <c r="BV149" s="609"/>
      <c r="BX149" s="1083"/>
      <c r="BY149" s="6018" t="s">
        <v>9278</v>
      </c>
      <c r="BZ149" s="6019">
        <v>1</v>
      </c>
      <c r="CA149" s="147"/>
      <c r="CB149" s="141"/>
      <c r="CC149" s="147"/>
      <c r="CD149" s="609"/>
      <c r="CF149" s="1083"/>
      <c r="CG149" s="6018" t="s">
        <v>9432</v>
      </c>
      <c r="CH149" s="6019">
        <v>1</v>
      </c>
      <c r="CI149" s="147"/>
      <c r="CJ149" s="141"/>
      <c r="CK149" s="147"/>
      <c r="CL149" s="609"/>
      <c r="CN149" s="5">
        <v>1</v>
      </c>
    </row>
    <row r="150" spans="2:92" ht="21" customHeight="1">
      <c r="B150" s="1021" t="str">
        <f t="shared" si="37"/>
        <v>►</v>
      </c>
      <c r="C150" s="196" t="str">
        <f>C103</f>
        <v>N NOM DE VOTRE RECETTE | pâtisserie--ENTREMET| Auteur &gt; VOUS</v>
      </c>
      <c r="D150" s="196">
        <f>D103</f>
        <v>1</v>
      </c>
      <c r="E150" s="197" t="str">
        <f>E103</f>
        <v>coupe</v>
      </c>
      <c r="F150" s="5388" t="str">
        <f>F103</f>
        <v>Recette mère ► MILLE-FEUILLE meringue et chiboust pamplemousse aux fraises des bois</v>
      </c>
      <c r="G150" s="5275"/>
      <c r="H150" s="1361"/>
      <c r="I150" s="1361"/>
      <c r="J150" s="1361"/>
      <c r="K150" s="1361"/>
      <c r="L150" s="1361"/>
      <c r="M150" s="1361"/>
      <c r="N150" s="1361"/>
      <c r="O150" s="1361"/>
      <c r="P150" s="5276"/>
      <c r="Q150" s="6205" t="s">
        <v>8018</v>
      </c>
      <c r="R150" s="147"/>
      <c r="S150" s="6808" t="s">
        <v>8019</v>
      </c>
      <c r="T150" s="6208">
        <f>Q153*Q151</f>
        <v>225</v>
      </c>
      <c r="X150" s="1021" t="str">
        <f t="shared" si="38"/>
        <v>►</v>
      </c>
      <c r="Y150" s="196" t="str">
        <f>Y103</f>
        <v>N NAME OF YOUR RECIPE | paste it — FAMILY|  Author &gt; YOU</v>
      </c>
      <c r="Z150" s="196">
        <f>Z103</f>
        <v>0.6</v>
      </c>
      <c r="AA150" s="197" t="str">
        <f>AA103</f>
        <v>kg</v>
      </c>
      <c r="AB150" s="5388" t="str">
        <f>AB103</f>
        <v>Master recipe ► Guinea fowl ballotine</v>
      </c>
      <c r="AC150" s="5275"/>
      <c r="AD150" s="1361"/>
      <c r="AE150" s="1361"/>
      <c r="AF150" s="1361"/>
      <c r="AG150" s="1361"/>
      <c r="AH150" s="1361"/>
      <c r="AI150" s="1361"/>
      <c r="AJ150" s="1361"/>
      <c r="AK150" s="1361"/>
      <c r="AL150" s="5276"/>
      <c r="AM150" s="6810" t="s">
        <v>8365</v>
      </c>
      <c r="AN150" s="147"/>
      <c r="AO150" s="6808" t="s">
        <v>8367</v>
      </c>
      <c r="AP150" s="6208">
        <f>AM153*AM151</f>
        <v>225</v>
      </c>
      <c r="AT150" s="1021" t="str">
        <f t="shared" si="39"/>
        <v>►</v>
      </c>
      <c r="AU150" s="196" t="str">
        <f>AU103</f>
        <v>N NOMBRE DE SU RECETA | pegue esto — FAMILIA| Autor &gt; USTED</v>
      </c>
      <c r="AV150" s="196">
        <f>AV103</f>
        <v>0.6</v>
      </c>
      <c r="AW150" s="197" t="str">
        <f>AW103</f>
        <v>kg</v>
      </c>
      <c r="AX150" s="5388" t="str">
        <f>AX103</f>
        <v>Receta madre ► Ballotina de pintada</v>
      </c>
      <c r="AY150" s="5275"/>
      <c r="AZ150" s="1361"/>
      <c r="BA150" s="1361"/>
      <c r="BB150" s="1361"/>
      <c r="BC150" s="1361"/>
      <c r="BD150" s="1361"/>
      <c r="BE150" s="1361"/>
      <c r="BF150" s="1361"/>
      <c r="BG150" s="1361"/>
      <c r="BH150" s="5276"/>
      <c r="BI150" s="6205" t="s">
        <v>9470</v>
      </c>
      <c r="BJ150" s="147"/>
      <c r="BK150" s="6808" t="s">
        <v>8438</v>
      </c>
      <c r="BL150" s="6208">
        <f>BI153*BI151</f>
        <v>225</v>
      </c>
      <c r="BP150" s="1083"/>
      <c r="BQ150" s="478" t="s">
        <v>8580</v>
      </c>
      <c r="BR150" s="141"/>
      <c r="BS150" s="141"/>
      <c r="BT150" s="141"/>
      <c r="BU150" s="147"/>
      <c r="BV150" s="609"/>
      <c r="BX150" s="1083"/>
      <c r="BY150" s="478" t="s">
        <v>9279</v>
      </c>
      <c r="BZ150" s="141"/>
      <c r="CA150" s="141"/>
      <c r="CB150" s="141"/>
      <c r="CC150" s="147"/>
      <c r="CD150" s="609"/>
      <c r="CF150" s="1083"/>
      <c r="CG150" s="478" t="s">
        <v>9433</v>
      </c>
      <c r="CH150" s="141"/>
      <c r="CI150" s="141"/>
      <c r="CJ150" s="141"/>
      <c r="CK150" s="147"/>
      <c r="CL150" s="609"/>
      <c r="CN150" s="5">
        <v>1</v>
      </c>
    </row>
    <row r="151" spans="2:92" ht="21" customHeight="1">
      <c r="B151" s="1021" t="str">
        <f t="shared" si="37"/>
        <v>►</v>
      </c>
      <c r="C151" s="196" t="str">
        <f>C103</f>
        <v>N NOM DE VOTRE RECETTE | pâtisserie--ENTREMET| Auteur &gt; VOUS</v>
      </c>
      <c r="D151" s="196">
        <f>D103</f>
        <v>1</v>
      </c>
      <c r="E151" s="197" t="str">
        <f>E103</f>
        <v>coupe</v>
      </c>
      <c r="F151" s="5388" t="str">
        <f>F103</f>
        <v>Recette mère ► MILLE-FEUILLE meringue et chiboust pamplemousse aux fraises des bois</v>
      </c>
      <c r="G151" s="5275"/>
      <c r="H151" s="1361"/>
      <c r="I151" s="1361"/>
      <c r="J151" s="1361"/>
      <c r="K151" s="1361"/>
      <c r="L151" s="1361"/>
      <c r="M151" s="1361"/>
      <c r="N151" s="1361"/>
      <c r="O151" s="1361"/>
      <c r="P151" s="5276"/>
      <c r="Q151" s="6206">
        <v>150</v>
      </c>
      <c r="R151" s="4691" t="s">
        <v>8358</v>
      </c>
      <c r="S151" s="6899" t="s">
        <v>3167</v>
      </c>
      <c r="T151" s="6900"/>
      <c r="X151" s="1021" t="str">
        <f t="shared" si="38"/>
        <v>►</v>
      </c>
      <c r="Y151" s="196" t="str">
        <f>Y103</f>
        <v>N NAME OF YOUR RECIPE | paste it — FAMILY|  Author &gt; YOU</v>
      </c>
      <c r="Z151" s="196">
        <f>Z103</f>
        <v>0.6</v>
      </c>
      <c r="AA151" s="197" t="str">
        <f>AA103</f>
        <v>kg</v>
      </c>
      <c r="AB151" s="5388" t="str">
        <f>AB103</f>
        <v>Master recipe ► Guinea fowl ballotine</v>
      </c>
      <c r="AC151" s="5275"/>
      <c r="AD151" s="1361"/>
      <c r="AE151" s="1361"/>
      <c r="AF151" s="1361"/>
      <c r="AG151" s="1361"/>
      <c r="AH151" s="1361"/>
      <c r="AI151" s="1361"/>
      <c r="AJ151" s="1361"/>
      <c r="AK151" s="1361"/>
      <c r="AL151" s="5276"/>
      <c r="AM151" s="6206">
        <v>150</v>
      </c>
      <c r="AN151" s="4691" t="s">
        <v>8366</v>
      </c>
      <c r="AO151" s="6899" t="s">
        <v>8368</v>
      </c>
      <c r="AP151" s="6900"/>
      <c r="AT151" s="1021" t="str">
        <f t="shared" si="39"/>
        <v>►</v>
      </c>
      <c r="AU151" s="196" t="str">
        <f>AU103</f>
        <v>N NOMBRE DE SU RECETA | pegue esto — FAMILIA| Autor &gt; USTED</v>
      </c>
      <c r="AV151" s="196">
        <f>AV103</f>
        <v>0.6</v>
      </c>
      <c r="AW151" s="197" t="str">
        <f>AW103</f>
        <v>kg</v>
      </c>
      <c r="AX151" s="5388" t="str">
        <f>AX103</f>
        <v>Receta madre ► Ballotina de pintada</v>
      </c>
      <c r="AY151" s="5275"/>
      <c r="AZ151" s="1361"/>
      <c r="BA151" s="1361"/>
      <c r="BB151" s="1361"/>
      <c r="BC151" s="1361"/>
      <c r="BD151" s="1361"/>
      <c r="BE151" s="1361"/>
      <c r="BF151" s="1361"/>
      <c r="BG151" s="1361"/>
      <c r="BH151" s="5276"/>
      <c r="BI151" s="6206">
        <v>150</v>
      </c>
      <c r="BJ151" s="4691" t="s">
        <v>9701</v>
      </c>
      <c r="BK151" s="6899" t="s">
        <v>9702</v>
      </c>
      <c r="BL151" s="6900"/>
      <c r="BP151" s="1083"/>
      <c r="BQ151" s="478" t="s">
        <v>8582</v>
      </c>
      <c r="BR151" s="141"/>
      <c r="BS151" s="141"/>
      <c r="BT151" s="141"/>
      <c r="BU151" s="147"/>
      <c r="BV151" s="609"/>
      <c r="BX151" s="1083"/>
      <c r="BY151" s="478" t="s">
        <v>9280</v>
      </c>
      <c r="BZ151" s="141"/>
      <c r="CA151" s="141"/>
      <c r="CB151" s="141"/>
      <c r="CC151" s="147"/>
      <c r="CD151" s="609"/>
      <c r="CF151" s="1083"/>
      <c r="CG151" s="478" t="s">
        <v>9434</v>
      </c>
      <c r="CH151" s="141"/>
      <c r="CI151" s="141"/>
      <c r="CJ151" s="141"/>
      <c r="CK151" s="147"/>
      <c r="CL151" s="609"/>
      <c r="CN151" s="5">
        <v>1</v>
      </c>
    </row>
    <row r="152" spans="2:92" ht="21" customHeight="1">
      <c r="B152" s="1021" t="str">
        <f t="shared" si="37"/>
        <v>►</v>
      </c>
      <c r="C152" s="196" t="str">
        <f>C103</f>
        <v>N NOM DE VOTRE RECETTE | pâtisserie--ENTREMET| Auteur &gt; VOUS</v>
      </c>
      <c r="D152" s="196">
        <f>D103</f>
        <v>1</v>
      </c>
      <c r="E152" s="197" t="str">
        <f>E103</f>
        <v>coupe</v>
      </c>
      <c r="F152" s="5388" t="str">
        <f>F103</f>
        <v>Recette mère ► MILLE-FEUILLE meringue et chiboust pamplemousse aux fraises des bois</v>
      </c>
      <c r="G152" s="5275"/>
      <c r="H152" s="1361"/>
      <c r="I152" s="1361"/>
      <c r="J152" s="1361"/>
      <c r="K152" s="1361"/>
      <c r="L152" s="1361"/>
      <c r="M152" s="1361"/>
      <c r="N152" s="1361"/>
      <c r="O152" s="1361"/>
      <c r="P152" s="5276"/>
      <c r="Q152" s="6874" t="s">
        <v>1193</v>
      </c>
      <c r="R152" s="6875"/>
      <c r="S152" s="6809" t="s">
        <v>10037</v>
      </c>
      <c r="T152" s="609"/>
      <c r="X152" s="1021" t="str">
        <f t="shared" si="38"/>
        <v>►</v>
      </c>
      <c r="Y152" s="196" t="str">
        <f>Y103</f>
        <v>N NAME OF YOUR RECIPE | paste it — FAMILY|  Author &gt; YOU</v>
      </c>
      <c r="Z152" s="196">
        <f>Z103</f>
        <v>0.6</v>
      </c>
      <c r="AA152" s="197" t="str">
        <f>AA103</f>
        <v>kg</v>
      </c>
      <c r="AB152" s="5388" t="str">
        <f>AB103</f>
        <v>Master recipe ► Guinea fowl ballotine</v>
      </c>
      <c r="AC152" s="5275"/>
      <c r="AD152" s="1361"/>
      <c r="AE152" s="1361"/>
      <c r="AF152" s="1361"/>
      <c r="AG152" s="1361"/>
      <c r="AH152" s="1361"/>
      <c r="AI152" s="1361"/>
      <c r="AJ152" s="1361"/>
      <c r="AK152" s="1361"/>
      <c r="AL152" s="5276"/>
      <c r="AM152" s="6874" t="s">
        <v>8372</v>
      </c>
      <c r="AN152" s="6875"/>
      <c r="AO152" s="6809" t="s">
        <v>10038</v>
      </c>
      <c r="AP152" s="609"/>
      <c r="AT152" s="1021" t="str">
        <f t="shared" si="39"/>
        <v>►</v>
      </c>
      <c r="AU152" s="196" t="str">
        <f>AU103</f>
        <v>N NOMBRE DE SU RECETA | pegue esto — FAMILIA| Autor &gt; USTED</v>
      </c>
      <c r="AV152" s="196">
        <f>AV103</f>
        <v>0.6</v>
      </c>
      <c r="AW152" s="197" t="str">
        <f>AW103</f>
        <v>kg</v>
      </c>
      <c r="AX152" s="5388" t="str">
        <f>AX103</f>
        <v>Receta madre ► Ballotina de pintada</v>
      </c>
      <c r="AY152" s="5275"/>
      <c r="AZ152" s="1361"/>
      <c r="BA152" s="1361"/>
      <c r="BB152" s="1361"/>
      <c r="BC152" s="1361"/>
      <c r="BD152" s="1361"/>
      <c r="BE152" s="1361"/>
      <c r="BF152" s="1361"/>
      <c r="BG152" s="1361"/>
      <c r="BH152" s="5276"/>
      <c r="BI152" s="6874" t="s">
        <v>8372</v>
      </c>
      <c r="BJ152" s="6875"/>
      <c r="BK152" s="6809" t="s">
        <v>8434</v>
      </c>
      <c r="BL152" s="609"/>
      <c r="BP152" s="1083"/>
      <c r="BQ152" s="478" t="s">
        <v>9206</v>
      </c>
      <c r="BR152" s="141"/>
      <c r="BS152" s="141"/>
      <c r="BT152" s="141"/>
      <c r="BU152" s="147"/>
      <c r="BV152" s="609"/>
      <c r="BX152" s="1083"/>
      <c r="BY152" s="478" t="s">
        <v>9281</v>
      </c>
      <c r="BZ152" s="141"/>
      <c r="CA152" s="141"/>
      <c r="CB152" s="141"/>
      <c r="CC152" s="147"/>
      <c r="CD152" s="609"/>
      <c r="CF152" s="1083"/>
      <c r="CG152" s="478" t="s">
        <v>9435</v>
      </c>
      <c r="CH152" s="141"/>
      <c r="CI152" s="141"/>
      <c r="CJ152" s="141"/>
      <c r="CK152" s="147"/>
      <c r="CL152" s="609"/>
      <c r="CN152" s="5">
        <v>1</v>
      </c>
    </row>
    <row r="153" spans="2:92" ht="21" customHeight="1">
      <c r="B153" s="1021" t="str">
        <f t="shared" si="37"/>
        <v>►</v>
      </c>
      <c r="C153" s="196" t="str">
        <f>C103</f>
        <v>N NOM DE VOTRE RECETTE | pâtisserie--ENTREMET| Auteur &gt; VOUS</v>
      </c>
      <c r="D153" s="196">
        <f>D103</f>
        <v>1</v>
      </c>
      <c r="E153" s="197" t="str">
        <f>E103</f>
        <v>coupe</v>
      </c>
      <c r="F153" s="5388" t="str">
        <f>F103</f>
        <v>Recette mère ► MILLE-FEUILLE meringue et chiboust pamplemousse aux fraises des bois</v>
      </c>
      <c r="G153" s="5275"/>
      <c r="H153" s="1361"/>
      <c r="I153" s="1361"/>
      <c r="J153" s="1361"/>
      <c r="K153" s="1361"/>
      <c r="L153" s="1361"/>
      <c r="M153" s="1361"/>
      <c r="N153" s="1361"/>
      <c r="O153" s="1361"/>
      <c r="P153" s="5276"/>
      <c r="Q153" s="6207">
        <v>1.5</v>
      </c>
      <c r="R153" s="920" t="str">
        <f>"&lt; Nb de "&amp;S151&amp;" par personne "</f>
        <v xml:space="preserve">&lt; Nb de tranches par personne </v>
      </c>
      <c r="S153" s="5286"/>
      <c r="T153" s="762"/>
      <c r="X153" s="1021" t="str">
        <f t="shared" si="38"/>
        <v>►</v>
      </c>
      <c r="Y153" s="196" t="str">
        <f>Y103</f>
        <v>N NAME OF YOUR RECIPE | paste it — FAMILY|  Author &gt; YOU</v>
      </c>
      <c r="Z153" s="196">
        <f>Z103</f>
        <v>0.6</v>
      </c>
      <c r="AA153" s="197" t="str">
        <f>AA103</f>
        <v>kg</v>
      </c>
      <c r="AB153" s="5388" t="str">
        <f>AB103</f>
        <v>Master recipe ► Guinea fowl ballotine</v>
      </c>
      <c r="AC153" s="5275"/>
      <c r="AD153" s="1361"/>
      <c r="AE153" s="1361"/>
      <c r="AF153" s="1361"/>
      <c r="AG153" s="1361"/>
      <c r="AH153" s="1361"/>
      <c r="AI153" s="1361"/>
      <c r="AJ153" s="1361"/>
      <c r="AK153" s="1361"/>
      <c r="AL153" s="5276"/>
      <c r="AM153" s="6207">
        <v>1.5</v>
      </c>
      <c r="AN153" s="920" t="str">
        <f>"&lt; Nb of "&amp;AO151&amp;" per person "</f>
        <v xml:space="preserve">&lt; Nb of slices per person </v>
      </c>
      <c r="AO153" s="5286"/>
      <c r="AP153" s="762"/>
      <c r="AT153" s="1021" t="str">
        <f t="shared" si="39"/>
        <v>►</v>
      </c>
      <c r="AU153" s="196" t="str">
        <f>AU103</f>
        <v>N NOMBRE DE SU RECETA | pegue esto — FAMILIA| Autor &gt; USTED</v>
      </c>
      <c r="AV153" s="196">
        <f>AV103</f>
        <v>0.6</v>
      </c>
      <c r="AW153" s="197" t="str">
        <f>AW103</f>
        <v>kg</v>
      </c>
      <c r="AX153" s="5388" t="str">
        <f>AX103</f>
        <v>Receta madre ► Ballotina de pintada</v>
      </c>
      <c r="AY153" s="5275"/>
      <c r="AZ153" s="1361"/>
      <c r="BA153" s="1361"/>
      <c r="BB153" s="1361"/>
      <c r="BC153" s="1361"/>
      <c r="BD153" s="1361"/>
      <c r="BE153" s="1361"/>
      <c r="BF153" s="1361"/>
      <c r="BG153" s="1361"/>
      <c r="BH153" s="5276"/>
      <c r="BI153" s="6207">
        <v>1.5</v>
      </c>
      <c r="BJ153" s="920" t="str">
        <f>"&lt; Nb de "&amp;BK151&amp;" por persona "</f>
        <v xml:space="preserve">&lt; Nb de tajadas por persona </v>
      </c>
      <c r="BK153" s="5286"/>
      <c r="BL153" s="762"/>
      <c r="BP153" s="1083"/>
      <c r="BQ153" s="478" t="s">
        <v>9207</v>
      </c>
      <c r="BR153" s="141"/>
      <c r="BS153" s="141"/>
      <c r="BT153" s="141"/>
      <c r="BU153" s="147"/>
      <c r="BV153" s="609"/>
      <c r="BX153" s="1083"/>
      <c r="BY153" s="478" t="s">
        <v>9282</v>
      </c>
      <c r="BZ153" s="141"/>
      <c r="CA153" s="141"/>
      <c r="CB153" s="141"/>
      <c r="CC153" s="147"/>
      <c r="CD153" s="609"/>
      <c r="CF153" s="1083"/>
      <c r="CG153" s="478" t="s">
        <v>9436</v>
      </c>
      <c r="CH153" s="141"/>
      <c r="CI153" s="141"/>
      <c r="CJ153" s="141"/>
      <c r="CK153" s="147"/>
      <c r="CL153" s="609"/>
      <c r="CN153" s="5">
        <v>1</v>
      </c>
    </row>
    <row r="154" spans="2:92" ht="21" customHeight="1">
      <c r="B154" s="1021" t="str">
        <f t="shared" si="37"/>
        <v>►</v>
      </c>
      <c r="C154" s="196" t="str">
        <f>C103</f>
        <v>N NOM DE VOTRE RECETTE | pâtisserie--ENTREMET| Auteur &gt; VOUS</v>
      </c>
      <c r="D154" s="196">
        <f>D103</f>
        <v>1</v>
      </c>
      <c r="E154" s="197" t="str">
        <f>E103</f>
        <v>coupe</v>
      </c>
      <c r="F154" s="5388" t="str">
        <f>F103</f>
        <v>Recette mère ► MILLE-FEUILLE meringue et chiboust pamplemousse aux fraises des bois</v>
      </c>
      <c r="G154" s="5275"/>
      <c r="H154" s="1361"/>
      <c r="I154" s="1361"/>
      <c r="J154" s="1361"/>
      <c r="K154" s="1361"/>
      <c r="L154" s="1361"/>
      <c r="M154" s="1361"/>
      <c r="N154" s="1361"/>
      <c r="O154" s="1361"/>
      <c r="P154" s="5276"/>
      <c r="Q154" s="6209">
        <v>27</v>
      </c>
      <c r="R154" s="920" t="str">
        <f>"&lt; Nb "&amp;S151&amp;" dans 1 " &amp;Q152</f>
        <v>&lt; Nb tranches dans 1 Gastro 1/1</v>
      </c>
      <c r="S154" s="5288"/>
      <c r="T154" s="6208"/>
      <c r="X154" s="1021" t="str">
        <f t="shared" si="38"/>
        <v>►</v>
      </c>
      <c r="Y154" s="196" t="str">
        <f>Y103</f>
        <v>N NAME OF YOUR RECIPE | paste it — FAMILY|  Author &gt; YOU</v>
      </c>
      <c r="Z154" s="196">
        <f>Z103</f>
        <v>0.6</v>
      </c>
      <c r="AA154" s="197" t="str">
        <f>AA103</f>
        <v>kg</v>
      </c>
      <c r="AB154" s="5388" t="str">
        <f>AB103</f>
        <v>Master recipe ► Guinea fowl ballotine</v>
      </c>
      <c r="AC154" s="5275"/>
      <c r="AD154" s="1361"/>
      <c r="AE154" s="1361"/>
      <c r="AF154" s="1361"/>
      <c r="AG154" s="1361"/>
      <c r="AH154" s="1361"/>
      <c r="AI154" s="1361"/>
      <c r="AJ154" s="1361"/>
      <c r="AK154" s="1361"/>
      <c r="AL154" s="5276"/>
      <c r="AM154" s="6209">
        <v>27</v>
      </c>
      <c r="AN154" s="920" t="str">
        <f>"&lt; Nb "&amp;AO151&amp;" in 1 " &amp;AM152</f>
        <v>&lt; Nb slices in 1 pack(s)</v>
      </c>
      <c r="AO154" s="5288"/>
      <c r="AP154" s="6208"/>
      <c r="AT154" s="1021" t="str">
        <f t="shared" si="39"/>
        <v>►</v>
      </c>
      <c r="AU154" s="196" t="str">
        <f>AU103</f>
        <v>N NOMBRE DE SU RECETA | pegue esto — FAMILIA| Autor &gt; USTED</v>
      </c>
      <c r="AV154" s="196">
        <f>AV103</f>
        <v>0.6</v>
      </c>
      <c r="AW154" s="197" t="str">
        <f>AW103</f>
        <v>kg</v>
      </c>
      <c r="AX154" s="5388" t="str">
        <f>AX103</f>
        <v>Receta madre ► Ballotina de pintada</v>
      </c>
      <c r="AY154" s="5275"/>
      <c r="AZ154" s="1361"/>
      <c r="BA154" s="1361"/>
      <c r="BB154" s="1361"/>
      <c r="BC154" s="1361"/>
      <c r="BD154" s="1361"/>
      <c r="BE154" s="1361"/>
      <c r="BF154" s="1361"/>
      <c r="BG154" s="1361"/>
      <c r="BH154" s="5276"/>
      <c r="BI154" s="6209">
        <v>27</v>
      </c>
      <c r="BJ154" s="920" t="str">
        <f>"&lt; Nb "&amp;BK151&amp;" dans 1 " &amp;BI152</f>
        <v>&lt; Nb tajadas dans 1 pack(s)</v>
      </c>
      <c r="BK154" s="5288"/>
      <c r="BL154" s="6208"/>
      <c r="BP154" s="1083"/>
      <c r="BQ154" s="478"/>
      <c r="BR154" s="141"/>
      <c r="BS154" s="141"/>
      <c r="BT154" s="141"/>
      <c r="BU154" s="147"/>
      <c r="BV154" s="609"/>
      <c r="BX154" s="1083"/>
      <c r="BY154" s="478"/>
      <c r="BZ154" s="141"/>
      <c r="CA154" s="141"/>
      <c r="CB154" s="141"/>
      <c r="CC154" s="147"/>
      <c r="CD154" s="609"/>
      <c r="CF154" s="1083"/>
      <c r="CG154" s="478"/>
      <c r="CH154" s="141"/>
      <c r="CI154" s="141"/>
      <c r="CJ154" s="141"/>
      <c r="CK154" s="147"/>
      <c r="CL154" s="609"/>
      <c r="CN154" s="5">
        <v>1</v>
      </c>
    </row>
    <row r="155" spans="2:92" ht="21" customHeight="1">
      <c r="B155" s="1021" t="str">
        <f t="shared" si="37"/>
        <v>►</v>
      </c>
      <c r="C155" s="196" t="str">
        <f>C103</f>
        <v>N NOM DE VOTRE RECETTE | pâtisserie--ENTREMET| Auteur &gt; VOUS</v>
      </c>
      <c r="D155" s="196">
        <f>D103</f>
        <v>1</v>
      </c>
      <c r="E155" s="197" t="str">
        <f>E103</f>
        <v>coupe</v>
      </c>
      <c r="F155" s="5388" t="str">
        <f>F103</f>
        <v>Recette mère ► MILLE-FEUILLE meringue et chiboust pamplemousse aux fraises des bois</v>
      </c>
      <c r="G155" s="5275"/>
      <c r="H155" s="1361"/>
      <c r="I155" s="1361"/>
      <c r="J155" s="1361"/>
      <c r="K155" s="1361"/>
      <c r="L155" s="1361"/>
      <c r="M155" s="1361"/>
      <c r="N155" s="1361"/>
      <c r="O155" s="1361"/>
      <c r="P155" s="5276"/>
      <c r="Q155" s="6876" t="str">
        <f>IF(OR(Q154="",T150=0),"",INT(T150/Q154) &amp; " " &amp; Q152 &amp; " de " &amp; Q154 &amp; " " &amp; S151 &amp; IF(MOD(T150,Q154)&gt;0," + 1 " &amp; Q152 &amp; " de " &amp; TEXT(MOD(T150,Q154),"0.00") &amp; " " &amp; S151,""))</f>
        <v>8 Gastro 1/1 de 27 tranches + 1 Gastro 1/1 de 9.00 tranches</v>
      </c>
      <c r="R155" s="6877"/>
      <c r="S155" s="6877"/>
      <c r="T155" s="6878"/>
      <c r="X155" s="1021" t="str">
        <f t="shared" si="38"/>
        <v>►</v>
      </c>
      <c r="Y155" s="196" t="str">
        <f>Y103</f>
        <v>N NAME OF YOUR RECIPE | paste it — FAMILY|  Author &gt; YOU</v>
      </c>
      <c r="Z155" s="196">
        <f>Z103</f>
        <v>0.6</v>
      </c>
      <c r="AA155" s="197" t="str">
        <f>AA103</f>
        <v>kg</v>
      </c>
      <c r="AB155" s="5388" t="str">
        <f>AB103</f>
        <v>Master recipe ► Guinea fowl ballotine</v>
      </c>
      <c r="AC155" s="5275"/>
      <c r="AD155" s="1361"/>
      <c r="AE155" s="1361"/>
      <c r="AF155" s="1361"/>
      <c r="AG155" s="1361"/>
      <c r="AH155" s="1361"/>
      <c r="AI155" s="1361"/>
      <c r="AJ155" s="1361"/>
      <c r="AK155" s="1361"/>
      <c r="AL155" s="5276"/>
      <c r="AM155" s="6876" t="str">
        <f>IF(OR(AM154="",AP150=0),"",INT(AP150/AM154) &amp; " " &amp; AM152 &amp; " de " &amp; AM154 &amp; " " &amp; AO151 &amp; IF(MOD(AP150,AM154)&gt;0," + 1 " &amp; AM152 &amp; " de " &amp; TEXT(MOD(AP150,AM154),"0.00") &amp; " " &amp; AO151,""))</f>
        <v>8 pack(s) de 27 slices + 1 pack(s) de 9.00 slices</v>
      </c>
      <c r="AN155" s="6877"/>
      <c r="AO155" s="6877"/>
      <c r="AP155" s="6878"/>
      <c r="AT155" s="1021" t="str">
        <f t="shared" si="39"/>
        <v>►</v>
      </c>
      <c r="AU155" s="196" t="str">
        <f>AU103</f>
        <v>N NOMBRE DE SU RECETA | pegue esto — FAMILIA| Autor &gt; USTED</v>
      </c>
      <c r="AV155" s="196">
        <f>AV103</f>
        <v>0.6</v>
      </c>
      <c r="AW155" s="197" t="str">
        <f>AW103</f>
        <v>kg</v>
      </c>
      <c r="AX155" s="5388" t="str">
        <f>AX103</f>
        <v>Receta madre ► Ballotina de pintada</v>
      </c>
      <c r="AY155" s="5275"/>
      <c r="AZ155" s="1361"/>
      <c r="BA155" s="1361"/>
      <c r="BB155" s="1361"/>
      <c r="BC155" s="1361"/>
      <c r="BD155" s="1361"/>
      <c r="BE155" s="1361"/>
      <c r="BF155" s="1361"/>
      <c r="BG155" s="1361"/>
      <c r="BH155" s="5276"/>
      <c r="BI155" s="6876" t="str">
        <f>IF(OR(BI154="",BL150=0),"",INT(BL150/BI154) &amp; " " &amp; BI152 &amp; " de " &amp; BI154 &amp; " " &amp; BK151 &amp; IF(MOD(BL150,BI154)&gt;0," + 1 " &amp; BI152 &amp; " de " &amp; TEXT(MOD(BL150,BI154),"0.00") &amp; " " &amp; BK151,""))</f>
        <v>8 pack(s) de 27 tajadas + 1 pack(s) de 9.00 tajadas</v>
      </c>
      <c r="BJ155" s="6877"/>
      <c r="BK155" s="6877"/>
      <c r="BL155" s="6878"/>
      <c r="BP155" s="1079"/>
      <c r="BQ155" s="1080"/>
      <c r="BR155" s="1081"/>
      <c r="BS155" s="1080"/>
      <c r="BT155" s="1080"/>
      <c r="BU155" s="1080"/>
      <c r="BV155" s="1082"/>
      <c r="BX155" s="1079"/>
      <c r="BY155" s="1080"/>
      <c r="BZ155" s="1081"/>
      <c r="CA155" s="1080"/>
      <c r="CB155" s="1080"/>
      <c r="CC155" s="1080"/>
      <c r="CD155" s="1082"/>
      <c r="CF155" s="1079"/>
      <c r="CG155" s="1080"/>
      <c r="CH155" s="1081"/>
      <c r="CI155" s="1080"/>
      <c r="CJ155" s="1080"/>
      <c r="CK155" s="1080"/>
      <c r="CL155" s="1082"/>
      <c r="CN155" s="5">
        <v>1</v>
      </c>
    </row>
    <row r="156" spans="2:92" ht="21" customHeight="1">
      <c r="B156" s="1021" t="str">
        <f t="shared" si="37"/>
        <v>►</v>
      </c>
      <c r="C156" s="196" t="str">
        <f>C103</f>
        <v>N NOM DE VOTRE RECETTE | pâtisserie--ENTREMET| Auteur &gt; VOUS</v>
      </c>
      <c r="D156" s="196">
        <f>D103</f>
        <v>1</v>
      </c>
      <c r="E156" s="197" t="str">
        <f>E103</f>
        <v>coupe</v>
      </c>
      <c r="F156" s="5388" t="str">
        <f>F103</f>
        <v>Recette mère ► MILLE-FEUILLE meringue et chiboust pamplemousse aux fraises des bois</v>
      </c>
      <c r="G156" s="5275"/>
      <c r="H156" s="1361"/>
      <c r="I156" s="1361"/>
      <c r="J156" s="1361"/>
      <c r="K156" s="1361"/>
      <c r="L156" s="1361"/>
      <c r="M156" s="1361"/>
      <c r="N156" s="1361"/>
      <c r="O156" s="1361"/>
      <c r="P156" s="5276"/>
      <c r="Q156" s="6879"/>
      <c r="R156" s="6880"/>
      <c r="S156" s="6880"/>
      <c r="T156" s="6881"/>
      <c r="X156" s="1021" t="str">
        <f t="shared" si="38"/>
        <v>►</v>
      </c>
      <c r="Y156" s="196" t="str">
        <f>Y103</f>
        <v>N NAME OF YOUR RECIPE | paste it — FAMILY|  Author &gt; YOU</v>
      </c>
      <c r="Z156" s="196">
        <f>Z103</f>
        <v>0.6</v>
      </c>
      <c r="AA156" s="197" t="str">
        <f>AA103</f>
        <v>kg</v>
      </c>
      <c r="AB156" s="5388" t="str">
        <f>AB103</f>
        <v>Master recipe ► Guinea fowl ballotine</v>
      </c>
      <c r="AC156" s="5275"/>
      <c r="AD156" s="1361"/>
      <c r="AE156" s="1361"/>
      <c r="AF156" s="1361"/>
      <c r="AG156" s="1361"/>
      <c r="AH156" s="1361"/>
      <c r="AI156" s="1361"/>
      <c r="AJ156" s="1361"/>
      <c r="AK156" s="1361"/>
      <c r="AL156" s="5276"/>
      <c r="AM156" s="6879"/>
      <c r="AN156" s="6880"/>
      <c r="AO156" s="6880"/>
      <c r="AP156" s="6881"/>
      <c r="AT156" s="1021" t="str">
        <f t="shared" si="39"/>
        <v>►</v>
      </c>
      <c r="AU156" s="196" t="str">
        <f>AU103</f>
        <v>N NOMBRE DE SU RECETA | pegue esto — FAMILIA| Autor &gt; USTED</v>
      </c>
      <c r="AV156" s="196">
        <f>AV103</f>
        <v>0.6</v>
      </c>
      <c r="AW156" s="197" t="str">
        <f>AW103</f>
        <v>kg</v>
      </c>
      <c r="AX156" s="5388" t="str">
        <f>AX103</f>
        <v>Receta madre ► Ballotina de pintada</v>
      </c>
      <c r="AY156" s="5275"/>
      <c r="AZ156" s="1361"/>
      <c r="BA156" s="1361"/>
      <c r="BB156" s="1361"/>
      <c r="BC156" s="1361"/>
      <c r="BD156" s="1361"/>
      <c r="BE156" s="1361"/>
      <c r="BF156" s="1361"/>
      <c r="BG156" s="1361"/>
      <c r="BH156" s="5276"/>
      <c r="BI156" s="6879"/>
      <c r="BJ156" s="6880"/>
      <c r="BK156" s="6880"/>
      <c r="BL156" s="6881"/>
      <c r="BP156" s="6525"/>
      <c r="BQ156" s="6526"/>
      <c r="BR156" s="6527"/>
      <c r="BS156" s="6526"/>
      <c r="BT156" s="6526"/>
      <c r="BU156" s="6526"/>
      <c r="BV156" s="6528"/>
      <c r="BX156" s="6525"/>
      <c r="BY156" s="6526"/>
      <c r="BZ156" s="6527"/>
      <c r="CA156" s="6526"/>
      <c r="CB156" s="6526"/>
      <c r="CC156" s="6526"/>
      <c r="CD156" s="6528"/>
      <c r="CF156" s="6525"/>
      <c r="CG156" s="6526"/>
      <c r="CH156" s="6527"/>
      <c r="CI156" s="6526"/>
      <c r="CJ156" s="6526"/>
      <c r="CK156" s="6526"/>
      <c r="CL156" s="6528"/>
      <c r="CN156" s="5">
        <v>1</v>
      </c>
    </row>
    <row r="157" spans="2:92" ht="21" customHeight="1">
      <c r="B157" s="1021" t="str">
        <f t="shared" si="37"/>
        <v>►</v>
      </c>
      <c r="C157" s="196" t="str">
        <f>C103</f>
        <v>N NOM DE VOTRE RECETTE | pâtisserie--ENTREMET| Auteur &gt; VOUS</v>
      </c>
      <c r="D157" s="196">
        <f>D103</f>
        <v>1</v>
      </c>
      <c r="E157" s="197" t="str">
        <f>E103</f>
        <v>coupe</v>
      </c>
      <c r="F157" s="5388" t="str">
        <f>F103</f>
        <v>Recette mère ► MILLE-FEUILLE meringue et chiboust pamplemousse aux fraises des bois</v>
      </c>
      <c r="G157" s="5275"/>
      <c r="H157" s="1361"/>
      <c r="I157" s="1361"/>
      <c r="J157" s="1361"/>
      <c r="K157" s="1361"/>
      <c r="L157" s="1361"/>
      <c r="M157" s="1361"/>
      <c r="N157" s="1361"/>
      <c r="O157" s="1361"/>
      <c r="P157" s="5276"/>
      <c r="Q157" s="6210">
        <v>120</v>
      </c>
      <c r="R157" s="77" t="s">
        <v>8023</v>
      </c>
      <c r="S157" s="147"/>
      <c r="T157" s="6211">
        <f>(Q157*Q151)/1000</f>
        <v>18</v>
      </c>
      <c r="X157" s="1021" t="str">
        <f t="shared" si="38"/>
        <v>►</v>
      </c>
      <c r="Y157" s="196" t="str">
        <f>Y103</f>
        <v>N NAME OF YOUR RECIPE | paste it — FAMILY|  Author &gt; YOU</v>
      </c>
      <c r="Z157" s="196">
        <f>Z103</f>
        <v>0.6</v>
      </c>
      <c r="AA157" s="197" t="str">
        <f>AA103</f>
        <v>kg</v>
      </c>
      <c r="AB157" s="5388" t="str">
        <f>AB103</f>
        <v>Master recipe ► Guinea fowl ballotine</v>
      </c>
      <c r="AC157" s="5275"/>
      <c r="AD157" s="1361"/>
      <c r="AE157" s="1361"/>
      <c r="AF157" s="1361"/>
      <c r="AG157" s="1361"/>
      <c r="AH157" s="1361"/>
      <c r="AI157" s="1361"/>
      <c r="AJ157" s="1361"/>
      <c r="AK157" s="1361"/>
      <c r="AL157" s="5276"/>
      <c r="AM157" s="6210">
        <v>120</v>
      </c>
      <c r="AN157" s="77" t="s">
        <v>8369</v>
      </c>
      <c r="AO157" s="147"/>
      <c r="AP157" s="6211">
        <f>(AM157*AM151)/1000</f>
        <v>18</v>
      </c>
      <c r="AT157" s="1021" t="str">
        <f t="shared" si="39"/>
        <v>►</v>
      </c>
      <c r="AU157" s="196" t="str">
        <f>AU103</f>
        <v>N NOMBRE DE SU RECETA | pegue esto — FAMILIA| Autor &gt; USTED</v>
      </c>
      <c r="AV157" s="196">
        <f>AV103</f>
        <v>0.6</v>
      </c>
      <c r="AW157" s="197" t="str">
        <f>AW103</f>
        <v>kg</v>
      </c>
      <c r="AX157" s="5388" t="str">
        <f>AX103</f>
        <v>Receta madre ► Ballotina de pintada</v>
      </c>
      <c r="AY157" s="5275"/>
      <c r="AZ157" s="1361"/>
      <c r="BA157" s="1361"/>
      <c r="BB157" s="1361"/>
      <c r="BC157" s="1361"/>
      <c r="BD157" s="1361"/>
      <c r="BE157" s="1361"/>
      <c r="BF157" s="1361"/>
      <c r="BG157" s="1361"/>
      <c r="BH157" s="5276"/>
      <c r="BI157" s="6210">
        <v>120</v>
      </c>
      <c r="BJ157" s="77" t="s">
        <v>8435</v>
      </c>
      <c r="BK157" s="147"/>
      <c r="BL157" s="6211">
        <f>(BI157*BI151)/1000</f>
        <v>18</v>
      </c>
      <c r="BP157" s="7131" t="s">
        <v>3466</v>
      </c>
      <c r="BQ157" s="6020" t="s">
        <v>937</v>
      </c>
      <c r="BR157" s="1112"/>
      <c r="BS157" s="106"/>
      <c r="BT157" s="141"/>
      <c r="BU157" s="147"/>
      <c r="BV157" s="609"/>
      <c r="BX157" s="7131" t="s">
        <v>3466</v>
      </c>
      <c r="BY157" s="6020" t="s">
        <v>9283</v>
      </c>
      <c r="BZ157" s="1112"/>
      <c r="CA157" s="106"/>
      <c r="CB157" s="141"/>
      <c r="CC157" s="147"/>
      <c r="CD157" s="609"/>
      <c r="CF157" s="7131" t="s">
        <v>3466</v>
      </c>
      <c r="CG157" s="6020" t="s">
        <v>9437</v>
      </c>
      <c r="CH157" s="1112"/>
      <c r="CI157" s="106"/>
      <c r="CJ157" s="141"/>
      <c r="CK157" s="147"/>
      <c r="CL157" s="609"/>
      <c r="CN157" s="5">
        <v>1</v>
      </c>
    </row>
    <row r="158" spans="2:92" ht="21" customHeight="1">
      <c r="B158" s="1021" t="str">
        <f t="shared" si="37"/>
        <v>►</v>
      </c>
      <c r="C158" s="196" t="str">
        <f>C103</f>
        <v>N NOM DE VOTRE RECETTE | pâtisserie--ENTREMET| Auteur &gt; VOUS</v>
      </c>
      <c r="D158" s="196">
        <f>D103</f>
        <v>1</v>
      </c>
      <c r="E158" s="197" t="str">
        <f>E103</f>
        <v>coupe</v>
      </c>
      <c r="F158" s="5388" t="str">
        <f>F103</f>
        <v>Recette mère ► MILLE-FEUILLE meringue et chiboust pamplemousse aux fraises des bois</v>
      </c>
      <c r="G158" s="5275"/>
      <c r="H158" s="1361"/>
      <c r="I158" s="1361"/>
      <c r="J158" s="1361"/>
      <c r="K158" s="1361"/>
      <c r="L158" s="1361"/>
      <c r="M158" s="1361"/>
      <c r="N158" s="1361"/>
      <c r="O158" s="1361"/>
      <c r="P158" s="5276"/>
      <c r="Q158" s="6806">
        <v>2.7</v>
      </c>
      <c r="R158" s="5297" t="str">
        <f>"poids par "&amp; Q152</f>
        <v>poids par Gastro 1/1</v>
      </c>
      <c r="S158" s="147"/>
      <c r="T158" s="609"/>
      <c r="X158" s="1021" t="str">
        <f t="shared" si="38"/>
        <v>►</v>
      </c>
      <c r="Y158" s="196" t="str">
        <f>Y103</f>
        <v>N NAME OF YOUR RECIPE | paste it — FAMILY|  Author &gt; YOU</v>
      </c>
      <c r="Z158" s="196">
        <f>Z103</f>
        <v>0.6</v>
      </c>
      <c r="AA158" s="197" t="str">
        <f>AA103</f>
        <v>kg</v>
      </c>
      <c r="AB158" s="5388" t="str">
        <f>AB103</f>
        <v>Master recipe ► Guinea fowl ballotine</v>
      </c>
      <c r="AC158" s="5275"/>
      <c r="AD158" s="1361"/>
      <c r="AE158" s="1361"/>
      <c r="AF158" s="1361"/>
      <c r="AG158" s="1361"/>
      <c r="AH158" s="1361"/>
      <c r="AI158" s="1361"/>
      <c r="AJ158" s="1361"/>
      <c r="AK158" s="1361"/>
      <c r="AL158" s="5276"/>
      <c r="AM158" s="6806">
        <v>2.7</v>
      </c>
      <c r="AN158" s="5297" t="str">
        <f>"weight per  "&amp; AM152</f>
        <v>weight per  pack(s)</v>
      </c>
      <c r="AO158" s="147"/>
      <c r="AP158" s="609"/>
      <c r="AT158" s="1021" t="str">
        <f t="shared" si="39"/>
        <v>►</v>
      </c>
      <c r="AU158" s="196" t="str">
        <f>AU103</f>
        <v>N NOMBRE DE SU RECETA | pegue esto — FAMILIA| Autor &gt; USTED</v>
      </c>
      <c r="AV158" s="196">
        <f>AV103</f>
        <v>0.6</v>
      </c>
      <c r="AW158" s="197" t="str">
        <f>AW103</f>
        <v>kg</v>
      </c>
      <c r="AX158" s="5388" t="str">
        <f>AX103</f>
        <v>Receta madre ► Ballotina de pintada</v>
      </c>
      <c r="AY158" s="5275"/>
      <c r="AZ158" s="1361"/>
      <c r="BA158" s="1361"/>
      <c r="BB158" s="1361"/>
      <c r="BC158" s="1361"/>
      <c r="BD158" s="1361"/>
      <c r="BE158" s="1361"/>
      <c r="BF158" s="1361"/>
      <c r="BG158" s="1361"/>
      <c r="BH158" s="5276"/>
      <c r="BI158" s="6806">
        <v>2.7</v>
      </c>
      <c r="BJ158" s="5297" t="str">
        <f>"peso por  "&amp; BI152</f>
        <v>peso por  pack(s)</v>
      </c>
      <c r="BK158" s="147"/>
      <c r="BL158" s="609"/>
      <c r="BP158" s="7131"/>
      <c r="BQ158" s="6021" t="s">
        <v>228</v>
      </c>
      <c r="BR158" s="1112"/>
      <c r="BS158" s="106"/>
      <c r="BT158" s="141"/>
      <c r="BU158" s="147"/>
      <c r="BV158" s="609"/>
      <c r="BX158" s="7131"/>
      <c r="BY158" s="6021" t="s">
        <v>8376</v>
      </c>
      <c r="BZ158" s="1112"/>
      <c r="CA158" s="106"/>
      <c r="CB158" s="141"/>
      <c r="CC158" s="147"/>
      <c r="CD158" s="609"/>
      <c r="CF158" s="7131"/>
      <c r="CG158" s="6543" t="s">
        <v>9415</v>
      </c>
      <c r="CH158" s="1112"/>
      <c r="CI158" s="106"/>
      <c r="CJ158" s="141"/>
      <c r="CK158" s="147"/>
      <c r="CL158" s="609"/>
      <c r="CN158" s="5">
        <v>1</v>
      </c>
    </row>
    <row r="159" spans="2:92" ht="21" customHeight="1" thickBot="1">
      <c r="B159" s="1021" t="str">
        <f t="shared" si="37"/>
        <v>►</v>
      </c>
      <c r="C159" s="196" t="str">
        <f>C103</f>
        <v>N NOM DE VOTRE RECETTE | pâtisserie--ENTREMET| Auteur &gt; VOUS</v>
      </c>
      <c r="D159" s="196">
        <f>D103</f>
        <v>1</v>
      </c>
      <c r="E159" s="197" t="str">
        <f>E103</f>
        <v>coupe</v>
      </c>
      <c r="F159" s="5388" t="str">
        <f>F103</f>
        <v>Recette mère ► MILLE-FEUILLE meringue et chiboust pamplemousse aux fraises des bois</v>
      </c>
      <c r="G159" s="5275"/>
      <c r="H159" s="1361"/>
      <c r="I159" s="1361"/>
      <c r="J159" s="1361"/>
      <c r="K159" s="1361"/>
      <c r="L159" s="1361"/>
      <c r="M159" s="1361"/>
      <c r="N159" s="1361"/>
      <c r="O159" s="1361"/>
      <c r="P159" s="5276"/>
      <c r="Q159" s="6882" t="str">
        <f>IF(OR(T157&lt;=0,Q158&lt;=0),"",_xlfn.LET(_xlpm.n,ROUND(T157/Q158,9),_xlpm.q,INT(_xlpm.n),_xlpm.r,ROUND(T157-_xlpm.q*Q158,9),_xlpm.base,_xlpm.q&amp;" "&amp;Q152&amp;" de "&amp;TEXT(Q158,"0.000")&amp;" kg",IF(_xlpm.r&lt;=0.000000001,_xlpm.base,_xlpm.base&amp;" + 1 "&amp;Q152&amp;" de "&amp;TEXT(_xlpm.r,"0.000")&amp;" kg")))</f>
        <v>6 Gastro 1/1 de 2.700 kg + 1 Gastro 1/1 de 1.800 kg</v>
      </c>
      <c r="R159" s="6883"/>
      <c r="S159" s="6883"/>
      <c r="T159" s="6884"/>
      <c r="X159" s="1021" t="str">
        <f t="shared" si="38"/>
        <v>A</v>
      </c>
      <c r="Y159" s="196" t="str">
        <f>Y103</f>
        <v>N NAME OF YOUR RECIPE | paste it — FAMILY|  Author &gt; YOU</v>
      </c>
      <c r="Z159" s="196">
        <f>Z103</f>
        <v>0.6</v>
      </c>
      <c r="AA159" s="197" t="str">
        <f>AA103</f>
        <v>kg</v>
      </c>
      <c r="AB159" s="5388" t="str">
        <f>AB103</f>
        <v>Master recipe ► Guinea fowl ballotine</v>
      </c>
      <c r="AC159" s="5275"/>
      <c r="AD159" s="1361"/>
      <c r="AE159" s="6733" t="s">
        <v>9693</v>
      </c>
      <c r="AF159" s="5306" t="s">
        <v>269</v>
      </c>
      <c r="AG159" s="1361" t="s">
        <v>10000</v>
      </c>
      <c r="AH159" s="1361"/>
      <c r="AI159" s="1361"/>
      <c r="AJ159" s="1361"/>
      <c r="AK159" s="1361"/>
      <c r="AL159" s="5276"/>
      <c r="AM159" s="6882" t="str">
        <f>IF(OR(AP157&lt;=0,AM158&lt;=0),"",_xlfn.LET(_xlpm.n,ROUND(AP157/AM158,9),_xlpm.q,INT(_xlpm.n),_xlpm.r,ROUND(AP157-_xlpm.q*AM158,9),_xlpm.base,_xlpm.q&amp;" "&amp;AM152&amp;" de "&amp;TEXT(AM158,"0.000")&amp;" kg",IF(_xlpm.r&lt;=0.000000001,_xlpm.base,_xlpm.base&amp;" + 1 "&amp;AM152&amp;" de "&amp;TEXT(_xlpm.r,"0.000")&amp;" kg")))</f>
        <v>6 pack(s) de 2.700 kg + 1 pack(s) de 1.800 kg</v>
      </c>
      <c r="AN159" s="6883"/>
      <c r="AO159" s="6883"/>
      <c r="AP159" s="6884"/>
      <c r="AT159" s="1021" t="str">
        <f t="shared" si="39"/>
        <v>A</v>
      </c>
      <c r="AU159" s="196" t="str">
        <f>AU103</f>
        <v>N NOMBRE DE SU RECETA | pegue esto — FAMILIA| Autor &gt; USTED</v>
      </c>
      <c r="AV159" s="196">
        <f>AV103</f>
        <v>0.6</v>
      </c>
      <c r="AW159" s="197" t="str">
        <f>AW103</f>
        <v>kg</v>
      </c>
      <c r="AX159" s="5388" t="str">
        <f>AX103</f>
        <v>Receta madre ► Ballotina de pintada</v>
      </c>
      <c r="AY159" s="5275"/>
      <c r="AZ159" s="1361"/>
      <c r="BA159" s="6733" t="s">
        <v>9998</v>
      </c>
      <c r="BB159" s="5306" t="s">
        <v>269</v>
      </c>
      <c r="BC159" s="1361" t="s">
        <v>9999</v>
      </c>
      <c r="BD159" s="1361"/>
      <c r="BE159" s="1361"/>
      <c r="BF159" s="1361"/>
      <c r="BG159" s="1361"/>
      <c r="BH159" s="5276"/>
      <c r="BI159" s="6882" t="str">
        <f>IF(OR(BL157&lt;=0,BI158&lt;=0),"",_xlfn.LET(_xlpm.n,ROUND(BL157/BI158,9),_xlpm.q,INT(_xlpm.n),_xlpm.r,ROUND(BL157-_xlpm.q*BI158,9),_xlpm.base,_xlpm.q&amp;" "&amp;BI152&amp;" de "&amp;TEXT(BI158,"0.000")&amp;" kg",IF(_xlpm.r&lt;=0.000000001,_xlpm.base,_xlpm.base&amp;" + 1 "&amp;BI152&amp;" de "&amp;TEXT(_xlpm.r,"0.000")&amp;" kg")))</f>
        <v>6 pack(s) de 2.700 kg + 1 pack(s) de 1.800 kg</v>
      </c>
      <c r="BJ159" s="6883"/>
      <c r="BK159" s="6883"/>
      <c r="BL159" s="6884"/>
      <c r="BP159" s="7131"/>
      <c r="BQ159" s="6022">
        <v>1</v>
      </c>
      <c r="BR159" s="6023" t="s">
        <v>8586</v>
      </c>
      <c r="BS159" s="106"/>
      <c r="BT159" s="141"/>
      <c r="BU159" s="147"/>
      <c r="BV159" s="609"/>
      <c r="BX159" s="7131"/>
      <c r="BY159" s="6022">
        <v>1</v>
      </c>
      <c r="BZ159" s="6023" t="s">
        <v>9284</v>
      </c>
      <c r="CA159" s="106"/>
      <c r="CB159" s="141"/>
      <c r="CC159" s="147"/>
      <c r="CD159" s="609"/>
      <c r="CF159" s="7131"/>
      <c r="CG159" s="6022">
        <v>1</v>
      </c>
      <c r="CH159" s="6023" t="s">
        <v>9438</v>
      </c>
      <c r="CI159" s="106"/>
      <c r="CJ159" s="141"/>
      <c r="CK159" s="147"/>
      <c r="CL159" s="609"/>
      <c r="CN159" s="5">
        <v>1</v>
      </c>
    </row>
    <row r="160" spans="2:92" ht="21" customHeight="1">
      <c r="B160" s="1021" t="str">
        <f t="shared" si="37"/>
        <v>►</v>
      </c>
      <c r="C160" s="196" t="str">
        <f>C103</f>
        <v>N NOM DE VOTRE RECETTE | pâtisserie--ENTREMET| Auteur &gt; VOUS</v>
      </c>
      <c r="D160" s="196">
        <f>D103</f>
        <v>1</v>
      </c>
      <c r="E160" s="197" t="str">
        <f>E103</f>
        <v>coupe</v>
      </c>
      <c r="F160" s="5388" t="str">
        <f>F103</f>
        <v>Recette mère ► MILLE-FEUILLE meringue et chiboust pamplemousse aux fraises des bois</v>
      </c>
      <c r="G160" s="5275"/>
      <c r="H160" s="1361"/>
      <c r="I160" s="1361"/>
      <c r="J160" s="1361"/>
      <c r="K160" s="1361"/>
      <c r="L160" s="1361"/>
      <c r="M160" s="1361"/>
      <c r="N160" s="1361"/>
      <c r="O160" s="1361"/>
      <c r="P160" s="5276"/>
      <c r="Q160" s="6885"/>
      <c r="R160" s="6886"/>
      <c r="S160" s="6886"/>
      <c r="T160" s="6887"/>
      <c r="X160" s="1021" t="str">
        <f t="shared" si="38"/>
        <v>►</v>
      </c>
      <c r="Y160" s="196" t="str">
        <f>Y103</f>
        <v>N NAME OF YOUR RECIPE | paste it — FAMILY|  Author &gt; YOU</v>
      </c>
      <c r="Z160" s="196">
        <f>Z103</f>
        <v>0.6</v>
      </c>
      <c r="AA160" s="197" t="str">
        <f>AA103</f>
        <v>kg</v>
      </c>
      <c r="AB160" s="5388" t="str">
        <f>AB103</f>
        <v>Master recipe ► Guinea fowl ballotine</v>
      </c>
      <c r="AC160" s="5290"/>
      <c r="AD160" s="1361"/>
      <c r="AE160" s="1361"/>
      <c r="AF160" s="1361"/>
      <c r="AG160" s="1361"/>
      <c r="AH160" s="1361"/>
      <c r="AI160" s="1361"/>
      <c r="AJ160" s="1361"/>
      <c r="AK160" s="1361"/>
      <c r="AL160" s="5291"/>
      <c r="AM160" s="6885"/>
      <c r="AN160" s="6886"/>
      <c r="AO160" s="6886"/>
      <c r="AP160" s="6887"/>
      <c r="AT160" s="1021" t="str">
        <f t="shared" si="39"/>
        <v>►</v>
      </c>
      <c r="AU160" s="196" t="str">
        <f>AU103</f>
        <v>N NOMBRE DE SU RECETA | pegue esto — FAMILIA| Autor &gt; USTED</v>
      </c>
      <c r="AV160" s="196">
        <f>AV103</f>
        <v>0.6</v>
      </c>
      <c r="AW160" s="197" t="str">
        <f>AW103</f>
        <v>kg</v>
      </c>
      <c r="AX160" s="5388" t="str">
        <f>AX103</f>
        <v>Receta madre ► Ballotina de pintada</v>
      </c>
      <c r="AY160" s="5290"/>
      <c r="AZ160" s="1361"/>
      <c r="BA160" s="1361"/>
      <c r="BB160" s="1361"/>
      <c r="BC160" s="1361"/>
      <c r="BD160" s="1361"/>
      <c r="BE160" s="1361"/>
      <c r="BF160" s="1361"/>
      <c r="BG160" s="1361"/>
      <c r="BH160" s="5291"/>
      <c r="BI160" s="6885"/>
      <c r="BJ160" s="6886"/>
      <c r="BK160" s="6886"/>
      <c r="BL160" s="6887"/>
      <c r="BP160" s="7131"/>
      <c r="BQ160" s="6022">
        <v>3</v>
      </c>
      <c r="BR160" s="6023" t="s">
        <v>8587</v>
      </c>
      <c r="BS160" s="106"/>
      <c r="BT160" s="141"/>
      <c r="BU160" s="147"/>
      <c r="BV160" s="609"/>
      <c r="BX160" s="7131"/>
      <c r="BY160" s="6022">
        <v>3</v>
      </c>
      <c r="BZ160" s="6023" t="s">
        <v>9285</v>
      </c>
      <c r="CA160" s="106"/>
      <c r="CB160" s="141"/>
      <c r="CC160" s="147"/>
      <c r="CD160" s="609"/>
      <c r="CF160" s="7131"/>
      <c r="CG160" s="6022">
        <v>3</v>
      </c>
      <c r="CH160" s="6023" t="s">
        <v>9439</v>
      </c>
      <c r="CI160" s="106"/>
      <c r="CJ160" s="141"/>
      <c r="CK160" s="147"/>
      <c r="CL160" s="609"/>
      <c r="CN160" s="5">
        <v>1</v>
      </c>
    </row>
    <row r="161" spans="2:92" ht="21" customHeight="1" thickBot="1">
      <c r="B161" s="1021" t="str">
        <f t="shared" si="37"/>
        <v>A</v>
      </c>
      <c r="C161" s="196" t="str">
        <f>C103</f>
        <v>N NOM DE VOTRE RECETTE | pâtisserie--ENTREMET| Auteur &gt; VOUS</v>
      </c>
      <c r="D161" s="196">
        <f>D103</f>
        <v>1</v>
      </c>
      <c r="E161" s="197" t="str">
        <f>E103</f>
        <v>coupe</v>
      </c>
      <c r="F161" s="5388" t="str">
        <f>F103</f>
        <v>Recette mère ► MILLE-FEUILLE meringue et chiboust pamplemousse aux fraises des bois</v>
      </c>
      <c r="G161" s="5275"/>
      <c r="H161" s="5306" t="s">
        <v>269</v>
      </c>
      <c r="I161" s="1361" t="s">
        <v>10001</v>
      </c>
      <c r="J161" s="1361"/>
      <c r="K161" s="1361"/>
      <c r="L161" s="1361"/>
      <c r="M161" s="1361"/>
      <c r="N161" s="1361"/>
      <c r="O161" s="1361"/>
      <c r="P161" s="1361"/>
      <c r="Q161" s="1361"/>
      <c r="R161" s="1361"/>
      <c r="S161" s="1361"/>
      <c r="T161" s="6726" t="s">
        <v>8022</v>
      </c>
      <c r="X161" s="1021" t="str">
        <f t="shared" si="38"/>
        <v>►</v>
      </c>
      <c r="Y161" s="196" t="str">
        <f>Y103</f>
        <v>N NAME OF YOUR RECIPE | paste it — FAMILY|  Author &gt; YOU</v>
      </c>
      <c r="Z161" s="196">
        <f>Z103</f>
        <v>0.6</v>
      </c>
      <c r="AA161" s="197" t="str">
        <f>AA103</f>
        <v>kg</v>
      </c>
      <c r="AB161" s="5388" t="str">
        <f>AB103</f>
        <v>Master recipe ► Guinea fowl ballotine</v>
      </c>
      <c r="AC161" s="5292"/>
      <c r="AD161" s="988"/>
      <c r="AE161" s="988"/>
      <c r="AF161" s="988"/>
      <c r="AG161" s="988"/>
      <c r="AH161" s="988"/>
      <c r="AI161" s="988"/>
      <c r="AJ161" s="988"/>
      <c r="AK161" s="988"/>
      <c r="AL161" s="1325"/>
      <c r="AM161" s="1361"/>
      <c r="AN161" s="1361"/>
      <c r="AO161" s="1361"/>
      <c r="AP161" s="6726" t="s">
        <v>8370</v>
      </c>
      <c r="AT161" s="1021" t="str">
        <f t="shared" si="39"/>
        <v>►</v>
      </c>
      <c r="AU161" s="196" t="str">
        <f>AU103</f>
        <v>N NOMBRE DE SU RECETA | pegue esto — FAMILIA| Autor &gt; USTED</v>
      </c>
      <c r="AV161" s="196">
        <f>AV103</f>
        <v>0.6</v>
      </c>
      <c r="AW161" s="197" t="str">
        <f>AW103</f>
        <v>kg</v>
      </c>
      <c r="AX161" s="5388" t="str">
        <f>AX103</f>
        <v>Receta madre ► Ballotina de pintada</v>
      </c>
      <c r="AY161" s="5292"/>
      <c r="AZ161" s="988"/>
      <c r="BA161" s="988"/>
      <c r="BB161" s="988"/>
      <c r="BC161" s="988"/>
      <c r="BD161" s="988"/>
      <c r="BE161" s="988"/>
      <c r="BF161" s="988"/>
      <c r="BG161" s="988"/>
      <c r="BH161" s="1325"/>
      <c r="BI161" s="1361"/>
      <c r="BJ161" s="1361"/>
      <c r="BK161" s="1361"/>
      <c r="BL161" s="6726" t="s">
        <v>8424</v>
      </c>
      <c r="BP161" s="6436"/>
      <c r="BQ161" s="6524"/>
      <c r="BR161" s="1107"/>
      <c r="BS161" s="106"/>
      <c r="BT161" s="141"/>
      <c r="BU161" s="147"/>
      <c r="BV161" s="609"/>
      <c r="BX161" s="6436"/>
      <c r="BY161" s="6524"/>
      <c r="BZ161" s="1107"/>
      <c r="CA161" s="106"/>
      <c r="CB161" s="141"/>
      <c r="CC161" s="147"/>
      <c r="CD161" s="609"/>
      <c r="CF161" s="6436"/>
      <c r="CG161" s="6524"/>
      <c r="CH161" s="1107"/>
      <c r="CI161" s="106"/>
      <c r="CJ161" s="141"/>
      <c r="CK161" s="147"/>
      <c r="CL161" s="609"/>
      <c r="CN161" s="5">
        <v>1</v>
      </c>
    </row>
    <row r="162" spans="2:92" ht="21" customHeight="1">
      <c r="B162" s="1021" t="str">
        <f t="shared" si="37"/>
        <v>►</v>
      </c>
      <c r="C162" s="196" t="str">
        <f>C103</f>
        <v>N NOM DE VOTRE RECETTE | pâtisserie--ENTREMET| Auteur &gt; VOUS</v>
      </c>
      <c r="D162" s="196">
        <f>D103</f>
        <v>1</v>
      </c>
      <c r="E162" s="197" t="str">
        <f>E103</f>
        <v>coupe</v>
      </c>
      <c r="F162" s="5388" t="str">
        <f>F103</f>
        <v>Recette mère ► MILLE-FEUILLE meringue et chiboust pamplemousse aux fraises des bois</v>
      </c>
      <c r="G162" s="6804"/>
      <c r="H162" s="1449"/>
      <c r="I162" s="1449"/>
      <c r="J162" s="1449"/>
      <c r="K162" s="1449"/>
      <c r="L162" s="1449"/>
      <c r="M162" s="1449"/>
      <c r="N162" s="1449"/>
      <c r="O162" s="1449"/>
      <c r="P162" s="1449"/>
      <c r="Q162" s="1449"/>
      <c r="R162" s="1449"/>
      <c r="S162" s="1449"/>
      <c r="T162" s="6803" t="s">
        <v>8024</v>
      </c>
      <c r="X162" s="1021" t="str">
        <f t="shared" si="38"/>
        <v>A</v>
      </c>
      <c r="Y162" s="196" t="str">
        <f>Y103</f>
        <v>N NAME OF YOUR RECIPE | paste it — FAMILY|  Author &gt; YOU</v>
      </c>
      <c r="Z162" s="196">
        <f>Z103</f>
        <v>0.6</v>
      </c>
      <c r="AA162" s="197" t="str">
        <f>AA103</f>
        <v>kg</v>
      </c>
      <c r="AB162" s="5388" t="str">
        <f>AB103</f>
        <v>Master recipe ► Guinea fowl ballotine</v>
      </c>
      <c r="AC162" s="5294" t="s">
        <v>8385</v>
      </c>
      <c r="AD162" s="1449"/>
      <c r="AE162" s="1449"/>
      <c r="AF162" s="1449"/>
      <c r="AG162" s="1449"/>
      <c r="AH162" s="1449"/>
      <c r="AI162" s="1449"/>
      <c r="AJ162" s="1449"/>
      <c r="AK162" s="1449"/>
      <c r="AL162" s="5295"/>
      <c r="AM162" s="1449"/>
      <c r="AN162" s="1449"/>
      <c r="AO162" s="1449"/>
      <c r="AP162" s="6803" t="s">
        <v>8371</v>
      </c>
      <c r="AT162" s="1021" t="str">
        <f t="shared" si="39"/>
        <v>A</v>
      </c>
      <c r="AU162" s="196" t="str">
        <f>AU103</f>
        <v>N NOMBRE DE SU RECETA | pegue esto — FAMILIA| Autor &gt; USTED</v>
      </c>
      <c r="AV162" s="196">
        <f>AV103</f>
        <v>0.6</v>
      </c>
      <c r="AW162" s="197" t="str">
        <f>AW103</f>
        <v>kg</v>
      </c>
      <c r="AX162" s="5388" t="str">
        <f>AX103</f>
        <v>Receta madre ► Ballotina de pintada</v>
      </c>
      <c r="AY162" s="5294" t="s">
        <v>8423</v>
      </c>
      <c r="AZ162" s="1449"/>
      <c r="BA162" s="1449"/>
      <c r="BB162" s="1449"/>
      <c r="BC162" s="1449"/>
      <c r="BD162" s="1449"/>
      <c r="BE162" s="1449"/>
      <c r="BF162" s="1449"/>
      <c r="BG162" s="1449"/>
      <c r="BH162" s="5295"/>
      <c r="BI162" s="1449"/>
      <c r="BJ162" s="1449"/>
      <c r="BK162" s="1449"/>
      <c r="BL162" s="6803" t="s">
        <v>8425</v>
      </c>
      <c r="BP162" s="1079"/>
      <c r="BQ162" s="1080"/>
      <c r="BR162" s="1081"/>
      <c r="BS162" s="1080"/>
      <c r="BT162" s="1080"/>
      <c r="BU162" s="1080"/>
      <c r="BV162" s="1082"/>
      <c r="BX162" s="1079"/>
      <c r="BY162" s="1080"/>
      <c r="BZ162" s="1081"/>
      <c r="CA162" s="1080"/>
      <c r="CB162" s="1080"/>
      <c r="CC162" s="1080"/>
      <c r="CD162" s="1082"/>
      <c r="CF162" s="1079"/>
      <c r="CG162" s="1080"/>
      <c r="CH162" s="1081"/>
      <c r="CI162" s="1080"/>
      <c r="CJ162" s="1080"/>
      <c r="CK162" s="1080"/>
      <c r="CL162" s="1082"/>
      <c r="CN162" s="5">
        <v>1</v>
      </c>
    </row>
    <row r="163" spans="2:92" ht="21" customHeight="1">
      <c r="B163" s="1021" t="s">
        <v>26</v>
      </c>
      <c r="C163" s="196" t="str">
        <f>C103</f>
        <v>N NOM DE VOTRE RECETTE | pâtisserie--ENTREMET| Auteur &gt; VOUS</v>
      </c>
      <c r="D163" s="196">
        <f>D103</f>
        <v>1</v>
      </c>
      <c r="E163" s="197" t="str">
        <f>E103</f>
        <v>coupe</v>
      </c>
      <c r="F163" s="5388" t="str">
        <f>F103</f>
        <v>Recette mère ► MILLE-FEUILLE meringue et chiboust pamplemousse aux fraises des bois</v>
      </c>
      <c r="G163" s="1509"/>
      <c r="H163" s="1509"/>
      <c r="I163" s="1509" t="s">
        <v>873</v>
      </c>
      <c r="J163" s="1280"/>
      <c r="K163" s="97"/>
      <c r="L163" s="97"/>
      <c r="M163" s="97"/>
      <c r="N163" s="97"/>
      <c r="O163" s="97"/>
      <c r="P163" s="97"/>
      <c r="Q163" s="97"/>
      <c r="R163" s="97"/>
      <c r="S163" s="141"/>
      <c r="T163" s="409"/>
      <c r="X163" s="1021" t="s">
        <v>26</v>
      </c>
      <c r="Y163" s="196" t="str">
        <f>Y103</f>
        <v>N NAME OF YOUR RECIPE | paste it — FAMILY|  Author &gt; YOU</v>
      </c>
      <c r="Z163" s="196">
        <f>Z103</f>
        <v>0.6</v>
      </c>
      <c r="AA163" s="197" t="str">
        <f>AA103</f>
        <v>kg</v>
      </c>
      <c r="AB163" s="5388" t="str">
        <f>AB103</f>
        <v>Master recipe ► Guinea fowl ballotine</v>
      </c>
      <c r="AC163" s="1509"/>
      <c r="AD163" s="1509"/>
      <c r="AE163" s="1509" t="s">
        <v>873</v>
      </c>
      <c r="AF163" s="1280"/>
      <c r="AG163" s="97"/>
      <c r="AH163" s="97"/>
      <c r="AI163" s="97"/>
      <c r="AJ163" s="97"/>
      <c r="AK163" s="97"/>
      <c r="AL163" s="97"/>
      <c r="AM163" s="97"/>
      <c r="AN163" s="97"/>
      <c r="AO163" s="141"/>
      <c r="AP163" s="409"/>
      <c r="AT163" s="1021" t="s">
        <v>26</v>
      </c>
      <c r="AU163" s="196" t="str">
        <f>AU103</f>
        <v>N NOMBRE DE SU RECETA | pegue esto — FAMILIA| Autor &gt; USTED</v>
      </c>
      <c r="AV163" s="196">
        <f>AV103</f>
        <v>0.6</v>
      </c>
      <c r="AW163" s="197" t="str">
        <f>AW103</f>
        <v>kg</v>
      </c>
      <c r="AX163" s="5388" t="str">
        <f>AX103</f>
        <v>Receta madre ► Ballotina de pintada</v>
      </c>
      <c r="AY163" s="1509"/>
      <c r="AZ163" s="1509"/>
      <c r="BA163" s="1509" t="s">
        <v>873</v>
      </c>
      <c r="BB163" s="1280"/>
      <c r="BC163" s="97"/>
      <c r="BD163" s="97"/>
      <c r="BE163" s="97"/>
      <c r="BF163" s="97"/>
      <c r="BG163" s="97"/>
      <c r="BH163" s="97"/>
      <c r="BI163" s="97"/>
      <c r="BJ163" s="97"/>
      <c r="BK163" s="141"/>
      <c r="BL163" s="409"/>
      <c r="BP163" s="6525"/>
      <c r="BQ163" s="6526"/>
      <c r="BR163" s="6527"/>
      <c r="BS163" s="6526"/>
      <c r="BT163" s="6526"/>
      <c r="BU163" s="6526"/>
      <c r="BV163" s="6528"/>
      <c r="BX163" s="6525"/>
      <c r="BY163" s="6526"/>
      <c r="BZ163" s="6527"/>
      <c r="CA163" s="6526"/>
      <c r="CB163" s="6526"/>
      <c r="CC163" s="6526"/>
      <c r="CD163" s="6528"/>
      <c r="CF163" s="6525"/>
      <c r="CG163" s="6526"/>
      <c r="CH163" s="6527"/>
      <c r="CI163" s="6526"/>
      <c r="CJ163" s="6526"/>
      <c r="CK163" s="6526"/>
      <c r="CL163" s="6528"/>
      <c r="CN163" s="5">
        <v>1</v>
      </c>
    </row>
    <row r="164" spans="2:92" ht="21" customHeight="1">
      <c r="B164" s="1021" t="s">
        <v>21</v>
      </c>
      <c r="C164" s="5298" t="str">
        <f>C103</f>
        <v>N NOM DE VOTRE RECETTE | pâtisserie--ENTREMET| Auteur &gt; VOUS</v>
      </c>
      <c r="D164" s="5298">
        <f>D103</f>
        <v>1</v>
      </c>
      <c r="E164" s="5378" t="str">
        <f>E103</f>
        <v>coupe</v>
      </c>
      <c r="F164" s="5389" t="str">
        <f>F103</f>
        <v>Recette mère ► MILLE-FEUILLE meringue et chiboust pamplemousse aux fraises des bois</v>
      </c>
      <c r="G164" s="5299"/>
      <c r="H164" s="5300"/>
      <c r="I164" s="5301"/>
      <c r="J164" s="5302"/>
      <c r="K164" s="5301"/>
      <c r="L164" s="5301"/>
      <c r="M164" s="5301"/>
      <c r="N164" s="5301"/>
      <c r="O164" s="5301"/>
      <c r="P164" s="5301"/>
      <c r="Q164" s="5301"/>
      <c r="R164" s="5301"/>
      <c r="S164" s="5301"/>
      <c r="T164" s="6067"/>
      <c r="X164" s="1021" t="s">
        <v>21</v>
      </c>
      <c r="Y164" s="5298" t="str">
        <f>Y103</f>
        <v>N NAME OF YOUR RECIPE | paste it — FAMILY|  Author &gt; YOU</v>
      </c>
      <c r="Z164" s="5298">
        <f>Z103</f>
        <v>0.6</v>
      </c>
      <c r="AA164" s="5378" t="str">
        <f>AA103</f>
        <v>kg</v>
      </c>
      <c r="AB164" s="5389" t="str">
        <f>AB103</f>
        <v>Master recipe ► Guinea fowl ballotine</v>
      </c>
      <c r="AC164" s="5299"/>
      <c r="AD164" s="5300"/>
      <c r="AE164" s="5301"/>
      <c r="AF164" s="5302"/>
      <c r="AG164" s="5301"/>
      <c r="AH164" s="5301"/>
      <c r="AI164" s="5301"/>
      <c r="AJ164" s="5301"/>
      <c r="AK164" s="5301"/>
      <c r="AL164" s="5301"/>
      <c r="AM164" s="5301"/>
      <c r="AN164" s="5301"/>
      <c r="AO164" s="5301"/>
      <c r="AP164" s="6067"/>
      <c r="AT164" s="1021" t="s">
        <v>21</v>
      </c>
      <c r="AU164" s="5298" t="str">
        <f>AU103</f>
        <v>N NOMBRE DE SU RECETA | pegue esto — FAMILIA| Autor &gt; USTED</v>
      </c>
      <c r="AV164" s="5298">
        <f>AV103</f>
        <v>0.6</v>
      </c>
      <c r="AW164" s="5378" t="str">
        <f>AW103</f>
        <v>kg</v>
      </c>
      <c r="AX164" s="5389" t="str">
        <f>AX103</f>
        <v>Receta madre ► Ballotina de pintada</v>
      </c>
      <c r="AY164" s="5299"/>
      <c r="AZ164" s="5300"/>
      <c r="BA164" s="5301"/>
      <c r="BB164" s="5302"/>
      <c r="BC164" s="5301"/>
      <c r="BD164" s="5301"/>
      <c r="BE164" s="5301"/>
      <c r="BF164" s="5301"/>
      <c r="BG164" s="5301"/>
      <c r="BH164" s="5301"/>
      <c r="BI164" s="5301"/>
      <c r="BJ164" s="5301"/>
      <c r="BK164" s="5301"/>
      <c r="BL164" s="6067"/>
      <c r="BP164" s="221"/>
      <c r="BQ164" s="6024" t="s">
        <v>944</v>
      </c>
      <c r="BR164" s="498"/>
      <c r="BS164" s="141"/>
      <c r="BT164" s="141"/>
      <c r="BU164" s="147"/>
      <c r="BV164" s="609"/>
      <c r="BX164" s="221"/>
      <c r="BY164" s="6024" t="s">
        <v>941</v>
      </c>
      <c r="BZ164" s="498"/>
      <c r="CA164" s="141"/>
      <c r="CB164" s="141"/>
      <c r="CC164" s="147"/>
      <c r="CD164" s="609"/>
      <c r="CF164" s="221"/>
      <c r="CG164" s="6024" t="s">
        <v>7913</v>
      </c>
      <c r="CH164" s="498"/>
      <c r="CI164" s="141"/>
      <c r="CJ164" s="141"/>
      <c r="CK164" s="147"/>
      <c r="CL164" s="609"/>
      <c r="CN164" s="5">
        <v>1</v>
      </c>
    </row>
    <row r="165" spans="2:92" ht="21" customHeight="1" thickBot="1">
      <c r="B165" s="5304" t="s">
        <v>21</v>
      </c>
      <c r="C165" s="5305"/>
      <c r="D165" s="5305"/>
      <c r="E165" s="5305"/>
      <c r="F165" s="6241"/>
      <c r="G165" s="5306" t="s">
        <v>269</v>
      </c>
      <c r="H165" s="5307" t="str">
        <f ca="1">CELL("nomfichier")</f>
        <v>D:\Données\1.UPRT\0-UPRT.fait\1-UPRT.FR-SITE-WEB\ff-fiches-fabrications\ff.fiches.fabrication.2023\ffr.restaurant.2023\[ff.REPERTOIRE.600.LIGNES.15.xlsx]Differents.postits.FR.EN.ES</v>
      </c>
      <c r="I165" s="5308"/>
      <c r="J165" s="5308"/>
      <c r="K165" s="5308"/>
      <c r="L165" s="5308"/>
      <c r="M165" s="5308"/>
      <c r="N165" s="5308"/>
      <c r="O165" s="5308"/>
      <c r="P165" s="5308"/>
      <c r="Q165" s="5308"/>
      <c r="R165" s="5308"/>
      <c r="S165" s="5308"/>
      <c r="T165" s="5309"/>
      <c r="X165" s="5304" t="s">
        <v>21</v>
      </c>
      <c r="Y165" s="5305"/>
      <c r="Z165" s="5305"/>
      <c r="AA165" s="5305"/>
      <c r="AB165" s="6241"/>
      <c r="AC165" s="5306" t="s">
        <v>269</v>
      </c>
      <c r="AD165" s="5307" t="str">
        <f ca="1">CELL("nomfichier")</f>
        <v>D:\Données\1.UPRT\0-UPRT.fait\1-UPRT.FR-SITE-WEB\ff-fiches-fabrications\ff.fiches.fabrication.2023\ffr.restaurant.2023\[ff.REPERTOIRE.600.LIGNES.15.xlsx]Differents.postits.FR.EN.ES</v>
      </c>
      <c r="AE165" s="5308"/>
      <c r="AF165" s="5308"/>
      <c r="AG165" s="5308"/>
      <c r="AH165" s="5308"/>
      <c r="AI165" s="5308"/>
      <c r="AJ165" s="5308"/>
      <c r="AK165" s="5308"/>
      <c r="AL165" s="5308"/>
      <c r="AM165" s="5308"/>
      <c r="AN165" s="5308"/>
      <c r="AO165" s="5308"/>
      <c r="AP165" s="5309"/>
      <c r="AT165" s="5304" t="s">
        <v>21</v>
      </c>
      <c r="AU165" s="5305"/>
      <c r="AV165" s="5305"/>
      <c r="AW165" s="5305"/>
      <c r="AX165" s="6241"/>
      <c r="AY165" s="5306" t="s">
        <v>269</v>
      </c>
      <c r="AZ165" s="5307" t="str">
        <f ca="1">CELL("nomfichier")</f>
        <v>D:\Données\1.UPRT\0-UPRT.fait\1-UPRT.FR-SITE-WEB\ff-fiches-fabrications\ff.fiches.fabrication.2023\ffr.restaurant.2023\[ff.REPERTOIRE.600.LIGNES.15.xlsx]Differents.postits.FR.EN.ES</v>
      </c>
      <c r="BA165" s="5308"/>
      <c r="BB165" s="5308"/>
      <c r="BC165" s="5308"/>
      <c r="BD165" s="5308"/>
      <c r="BE165" s="5308"/>
      <c r="BF165" s="5308"/>
      <c r="BG165" s="5308"/>
      <c r="BH165" s="5308"/>
      <c r="BI165" s="5308"/>
      <c r="BJ165" s="5308"/>
      <c r="BK165" s="5308"/>
      <c r="BL165" s="5309"/>
      <c r="BP165" s="221"/>
      <c r="BQ165" s="6020" t="s">
        <v>949</v>
      </c>
      <c r="BR165" s="498"/>
      <c r="BS165" s="141"/>
      <c r="BT165" s="141"/>
      <c r="BU165" s="147"/>
      <c r="BV165" s="609"/>
      <c r="BX165" s="221"/>
      <c r="BY165" s="6020" t="s">
        <v>9286</v>
      </c>
      <c r="BZ165" s="498"/>
      <c r="CA165" s="141"/>
      <c r="CB165" s="141"/>
      <c r="CC165" s="147"/>
      <c r="CD165" s="609"/>
      <c r="CF165" s="221"/>
      <c r="CG165" s="6020" t="s">
        <v>9440</v>
      </c>
      <c r="CH165" s="498"/>
      <c r="CI165" s="141"/>
      <c r="CJ165" s="141"/>
      <c r="CK165" s="147"/>
      <c r="CL165" s="609"/>
      <c r="CN165" s="5">
        <v>1</v>
      </c>
    </row>
    <row r="166" spans="2:92" ht="21" customHeight="1">
      <c r="BP166" s="221"/>
      <c r="BQ166" s="478" t="s">
        <v>8588</v>
      </c>
      <c r="BR166" s="2654"/>
      <c r="BS166" s="141"/>
      <c r="BT166" s="141"/>
      <c r="BU166" s="147"/>
      <c r="BV166" s="609"/>
      <c r="BX166" s="221"/>
      <c r="BY166" s="478" t="s">
        <v>9287</v>
      </c>
      <c r="BZ166" s="2654"/>
      <c r="CA166" s="141"/>
      <c r="CB166" s="141"/>
      <c r="CC166" s="147"/>
      <c r="CD166" s="609"/>
      <c r="CF166" s="221"/>
      <c r="CG166" s="478" t="s">
        <v>9441</v>
      </c>
      <c r="CH166" s="2654"/>
      <c r="CI166" s="141"/>
      <c r="CJ166" s="141"/>
      <c r="CK166" s="147"/>
      <c r="CL166" s="609"/>
      <c r="CN166" s="5">
        <v>1</v>
      </c>
    </row>
    <row r="167" spans="2:92" ht="21" customHeight="1">
      <c r="C167" s="1351"/>
      <c r="D167" s="1351"/>
      <c r="E167" s="1352" t="s">
        <v>1115</v>
      </c>
      <c r="F167" s="1352"/>
      <c r="G167" s="1353" t="s">
        <v>8634</v>
      </c>
      <c r="H167"/>
      <c r="I167"/>
      <c r="J167"/>
      <c r="K167"/>
      <c r="L167"/>
      <c r="M167"/>
      <c r="N167"/>
      <c r="O167"/>
      <c r="Y167" s="1351"/>
      <c r="Z167" s="1351"/>
      <c r="AA167" s="1352" t="s">
        <v>10032</v>
      </c>
      <c r="AB167" s="1352"/>
      <c r="AC167" s="1353" t="s">
        <v>9328</v>
      </c>
      <c r="AD167" s="102"/>
      <c r="AU167" s="1351"/>
      <c r="AV167" s="1351"/>
      <c r="AW167" s="1352" t="s">
        <v>9844</v>
      </c>
      <c r="AX167" s="1352"/>
      <c r="AY167" s="1353" t="s">
        <v>9845</v>
      </c>
      <c r="AZ167" s="102"/>
      <c r="BP167" s="221"/>
      <c r="BQ167" s="6025">
        <v>1</v>
      </c>
      <c r="BR167" s="1120" t="s">
        <v>8589</v>
      </c>
      <c r="BS167" s="141"/>
      <c r="BT167" s="141"/>
      <c r="BU167" s="147"/>
      <c r="BV167" s="609"/>
      <c r="BX167" s="221"/>
      <c r="BY167" s="6025">
        <v>1</v>
      </c>
      <c r="BZ167" s="1120" t="s">
        <v>9288</v>
      </c>
      <c r="CA167" s="141"/>
      <c r="CB167" s="141"/>
      <c r="CC167" s="147"/>
      <c r="CD167" s="609"/>
      <c r="CF167" s="221"/>
      <c r="CG167" s="6025">
        <v>1</v>
      </c>
      <c r="CH167" s="1120" t="s">
        <v>9442</v>
      </c>
      <c r="CI167" s="141"/>
      <c r="CJ167" s="141"/>
      <c r="CK167" s="147"/>
      <c r="CL167" s="609"/>
      <c r="CN167" s="5">
        <v>1</v>
      </c>
    </row>
    <row r="168" spans="2:92" ht="21" customHeight="1">
      <c r="C168" s="141"/>
      <c r="D168" s="141"/>
      <c r="E168" s="141"/>
      <c r="G168" s="1354" t="s">
        <v>252</v>
      </c>
      <c r="H168" s="1355"/>
      <c r="I168" s="1355"/>
      <c r="J168" s="1355"/>
      <c r="K168" s="1355"/>
      <c r="L168" s="1356"/>
      <c r="M168" s="6326"/>
      <c r="N168" s="6326"/>
      <c r="O168" s="6326"/>
      <c r="P168" s="1357" t="s">
        <v>1117</v>
      </c>
      <c r="Y168" s="4"/>
      <c r="Z168" s="4"/>
      <c r="AA168" s="4"/>
      <c r="AB168" s="4"/>
      <c r="AC168" s="1354" t="s">
        <v>9333</v>
      </c>
      <c r="AD168" s="1355"/>
      <c r="AE168" s="1355"/>
      <c r="AF168" s="1355"/>
      <c r="AG168" s="1355"/>
      <c r="AH168" s="1356"/>
      <c r="AI168" s="6326"/>
      <c r="AJ168" s="6326"/>
      <c r="AK168" s="6326"/>
      <c r="AL168" s="1357" t="s">
        <v>9704</v>
      </c>
      <c r="AU168" s="141"/>
      <c r="AV168" s="141"/>
      <c r="AW168" s="141"/>
      <c r="AX168" s="141"/>
      <c r="AY168" s="1354" t="s">
        <v>9490</v>
      </c>
      <c r="AZ168" s="1355"/>
      <c r="BA168" s="1355"/>
      <c r="BB168" s="1355"/>
      <c r="BC168" s="1355"/>
      <c r="BD168" s="1356"/>
      <c r="BE168" s="6326"/>
      <c r="BF168" s="6326"/>
      <c r="BG168" s="6326"/>
      <c r="BH168" s="1357" t="s">
        <v>9486</v>
      </c>
      <c r="BP168" s="221"/>
      <c r="BQ168" s="6025">
        <v>4</v>
      </c>
      <c r="BR168" s="1120" t="s">
        <v>8590</v>
      </c>
      <c r="BS168" s="141"/>
      <c r="BT168" s="141"/>
      <c r="BU168" s="147"/>
      <c r="BV168" s="609"/>
      <c r="BX168" s="221"/>
      <c r="BY168" s="6025">
        <v>4</v>
      </c>
      <c r="BZ168" s="1120" t="s">
        <v>9289</v>
      </c>
      <c r="CA168" s="141"/>
      <c r="CB168" s="141"/>
      <c r="CC168" s="147"/>
      <c r="CD168" s="609"/>
      <c r="CF168" s="221"/>
      <c r="CG168" s="6025">
        <v>4</v>
      </c>
      <c r="CH168" s="1120" t="s">
        <v>9443</v>
      </c>
      <c r="CI168" s="141"/>
      <c r="CJ168" s="141"/>
      <c r="CK168" s="147"/>
      <c r="CL168" s="609"/>
      <c r="CN168" s="5">
        <v>1</v>
      </c>
    </row>
    <row r="169" spans="2:92" ht="21" customHeight="1">
      <c r="C169" s="141"/>
      <c r="D169" s="141"/>
      <c r="E169" s="141"/>
      <c r="G169" s="1358" t="s">
        <v>1118</v>
      </c>
      <c r="H169" s="6082" t="s">
        <v>1128</v>
      </c>
      <c r="I169" s="147"/>
      <c r="J169" s="147"/>
      <c r="K169" s="147"/>
      <c r="L169" s="147"/>
      <c r="M169" s="147"/>
      <c r="N169" s="147"/>
      <c r="O169" s="147"/>
      <c r="P169" s="1360"/>
      <c r="Y169" s="4"/>
      <c r="Z169" s="4"/>
      <c r="AA169" s="4"/>
      <c r="AB169" s="4"/>
      <c r="AC169" s="1358" t="s">
        <v>1118</v>
      </c>
      <c r="AD169" s="6082" t="s">
        <v>9705</v>
      </c>
      <c r="AE169" s="147"/>
      <c r="AF169" s="147"/>
      <c r="AG169" s="147"/>
      <c r="AH169" s="147"/>
      <c r="AI169" s="147"/>
      <c r="AJ169" s="147"/>
      <c r="AK169" s="147"/>
      <c r="AL169" s="1360"/>
      <c r="AU169" s="141"/>
      <c r="AV169" s="141"/>
      <c r="AW169" s="141"/>
      <c r="AX169" s="141"/>
      <c r="AY169" s="1358" t="s">
        <v>1118</v>
      </c>
      <c r="AZ169" s="6082" t="s">
        <v>9846</v>
      </c>
      <c r="BA169" s="147"/>
      <c r="BB169" s="147"/>
      <c r="BC169" s="147"/>
      <c r="BD169" s="147"/>
      <c r="BE169" s="147"/>
      <c r="BF169" s="147"/>
      <c r="BG169" s="147"/>
      <c r="BH169" s="1360"/>
      <c r="BP169" s="221"/>
      <c r="BQ169" s="6025">
        <v>10</v>
      </c>
      <c r="BR169" s="1120" t="s">
        <v>73</v>
      </c>
      <c r="BS169" s="141"/>
      <c r="BT169" s="141"/>
      <c r="BU169" s="147"/>
      <c r="BV169" s="609"/>
      <c r="BX169" s="221"/>
      <c r="BY169" s="6025">
        <v>10</v>
      </c>
      <c r="BZ169" s="1120" t="s">
        <v>9290</v>
      </c>
      <c r="CA169" s="141"/>
      <c r="CB169" s="141"/>
      <c r="CC169" s="147"/>
      <c r="CD169" s="609"/>
      <c r="CF169" s="221"/>
      <c r="CG169" s="6025">
        <v>10</v>
      </c>
      <c r="CH169" s="1120" t="s">
        <v>9444</v>
      </c>
      <c r="CI169" s="141"/>
      <c r="CJ169" s="141"/>
      <c r="CK169" s="147"/>
      <c r="CL169" s="609"/>
      <c r="CN169" s="5">
        <v>1</v>
      </c>
    </row>
    <row r="170" spans="2:92" ht="21" customHeight="1">
      <c r="C170" s="141"/>
      <c r="D170" s="141"/>
      <c r="E170" s="141"/>
      <c r="G170" s="1358" t="s">
        <v>1118</v>
      </c>
      <c r="H170" s="6082" t="s">
        <v>1129</v>
      </c>
      <c r="I170" s="1361"/>
      <c r="J170" s="1361"/>
      <c r="K170" s="1362"/>
      <c r="L170" s="988"/>
      <c r="M170" s="988"/>
      <c r="N170" s="988"/>
      <c r="O170" s="988"/>
      <c r="P170" s="1325"/>
      <c r="Y170" s="4"/>
      <c r="Z170" s="4"/>
      <c r="AA170" s="4"/>
      <c r="AB170" s="4"/>
      <c r="AC170" s="1358" t="s">
        <v>1118</v>
      </c>
      <c r="AD170" s="6082" t="s">
        <v>9706</v>
      </c>
      <c r="AE170" s="1361"/>
      <c r="AF170" s="1361"/>
      <c r="AG170" s="1362"/>
      <c r="AH170" s="988"/>
      <c r="AI170" s="988"/>
      <c r="AJ170" s="988"/>
      <c r="AK170" s="988"/>
      <c r="AL170" s="1325"/>
      <c r="AU170" s="141"/>
      <c r="AV170" s="141"/>
      <c r="AW170" s="141"/>
      <c r="AX170" s="141"/>
      <c r="AY170" s="1358" t="s">
        <v>1118</v>
      </c>
      <c r="AZ170" s="6082" t="s">
        <v>9847</v>
      </c>
      <c r="BA170" s="1361"/>
      <c r="BB170" s="1361"/>
      <c r="BC170" s="1362"/>
      <c r="BD170" s="988"/>
      <c r="BE170" s="988"/>
      <c r="BF170" s="988"/>
      <c r="BG170" s="988"/>
      <c r="BH170" s="1325"/>
      <c r="BP170" s="221"/>
      <c r="BQ170" s="478" t="s">
        <v>8591</v>
      </c>
      <c r="BR170" s="498"/>
      <c r="BS170" s="498"/>
      <c r="BT170" s="498"/>
      <c r="BU170" s="498"/>
      <c r="BV170" s="6026"/>
      <c r="BX170" s="221"/>
      <c r="BY170" s="478" t="s">
        <v>9291</v>
      </c>
      <c r="BZ170" s="498"/>
      <c r="CA170" s="498"/>
      <c r="CB170" s="498"/>
      <c r="CC170" s="498"/>
      <c r="CD170" s="6026"/>
      <c r="CF170" s="221"/>
      <c r="CG170" s="478" t="s">
        <v>9445</v>
      </c>
      <c r="CH170" s="498"/>
      <c r="CI170" s="498"/>
      <c r="CJ170" s="498"/>
      <c r="CK170" s="498"/>
      <c r="CL170" s="6026"/>
      <c r="CN170" s="5">
        <v>1</v>
      </c>
    </row>
    <row r="171" spans="2:92" ht="21" customHeight="1">
      <c r="C171" s="141"/>
      <c r="D171" s="141"/>
      <c r="E171" s="141"/>
      <c r="G171" s="1358" t="s">
        <v>1118</v>
      </c>
      <c r="H171" s="6082" t="s">
        <v>1130</v>
      </c>
      <c r="I171" s="147"/>
      <c r="J171" s="147"/>
      <c r="K171" s="988"/>
      <c r="L171" s="988"/>
      <c r="M171" s="988"/>
      <c r="N171" s="988"/>
      <c r="O171" s="988"/>
      <c r="P171" s="1325"/>
      <c r="Y171" s="4"/>
      <c r="Z171" s="4"/>
      <c r="AA171" s="4"/>
      <c r="AB171" s="4"/>
      <c r="AC171" s="1358" t="s">
        <v>1118</v>
      </c>
      <c r="AD171" s="6082" t="s">
        <v>9707</v>
      </c>
      <c r="AE171" s="147"/>
      <c r="AF171" s="147"/>
      <c r="AG171" s="988"/>
      <c r="AH171" s="988"/>
      <c r="AI171" s="988"/>
      <c r="AJ171" s="988"/>
      <c r="AK171" s="988"/>
      <c r="AL171" s="1325"/>
      <c r="AU171" s="141"/>
      <c r="AV171" s="141"/>
      <c r="AW171" s="141"/>
      <c r="AX171" s="141"/>
      <c r="AY171" s="1358" t="s">
        <v>1118</v>
      </c>
      <c r="AZ171" s="6082" t="s">
        <v>9848</v>
      </c>
      <c r="BA171" s="147"/>
      <c r="BB171" s="147"/>
      <c r="BC171" s="988"/>
      <c r="BD171" s="988"/>
      <c r="BE171" s="988"/>
      <c r="BF171" s="988"/>
      <c r="BG171" s="988"/>
      <c r="BH171" s="1325"/>
      <c r="BP171" s="221"/>
      <c r="BQ171" s="7132" t="s">
        <v>8592</v>
      </c>
      <c r="BR171" s="7132"/>
      <c r="BS171" s="7132"/>
      <c r="BT171" s="7132"/>
      <c r="BU171" s="7132"/>
      <c r="BV171" s="7133"/>
      <c r="BX171" s="221"/>
      <c r="BY171" s="6535" t="s">
        <v>9292</v>
      </c>
      <c r="BZ171" s="6535"/>
      <c r="CA171" s="6535"/>
      <c r="CB171" s="6535"/>
      <c r="CC171" s="6535"/>
      <c r="CD171" s="6536"/>
      <c r="CF171" s="221"/>
      <c r="CG171" s="6535" t="s">
        <v>9446</v>
      </c>
      <c r="CH171" s="6535"/>
      <c r="CI171" s="6535"/>
      <c r="CJ171" s="6535"/>
      <c r="CK171" s="6535"/>
      <c r="CL171" s="6536"/>
      <c r="CN171" s="5">
        <v>1</v>
      </c>
    </row>
    <row r="172" spans="2:92" ht="21" customHeight="1">
      <c r="C172" s="141"/>
      <c r="D172" s="141"/>
      <c r="E172" s="141"/>
      <c r="G172" s="1358" t="s">
        <v>1118</v>
      </c>
      <c r="H172" s="6082" t="s">
        <v>1131</v>
      </c>
      <c r="I172" s="147"/>
      <c r="J172" s="147"/>
      <c r="K172" s="988"/>
      <c r="L172" s="988"/>
      <c r="M172" s="988"/>
      <c r="N172" s="988"/>
      <c r="O172" s="988"/>
      <c r="P172" s="1325"/>
      <c r="Y172" s="4"/>
      <c r="Z172" s="4"/>
      <c r="AA172" s="4"/>
      <c r="AB172" s="4"/>
      <c r="AC172" s="1358" t="s">
        <v>1118</v>
      </c>
      <c r="AD172" s="6082" t="s">
        <v>9708</v>
      </c>
      <c r="AE172" s="147"/>
      <c r="AF172" s="147"/>
      <c r="AG172" s="988"/>
      <c r="AH172" s="988"/>
      <c r="AI172" s="988"/>
      <c r="AJ172" s="988"/>
      <c r="AK172" s="988"/>
      <c r="AL172" s="1325"/>
      <c r="AU172" s="141"/>
      <c r="AV172" s="141"/>
      <c r="AW172" s="141"/>
      <c r="AX172" s="141"/>
      <c r="AY172" s="1358" t="s">
        <v>1118</v>
      </c>
      <c r="AZ172" s="6082" t="s">
        <v>9849</v>
      </c>
      <c r="BA172" s="147"/>
      <c r="BB172" s="147"/>
      <c r="BC172" s="988"/>
      <c r="BD172" s="988"/>
      <c r="BE172" s="988"/>
      <c r="BF172" s="988"/>
      <c r="BG172" s="988"/>
      <c r="BH172" s="1325"/>
      <c r="BP172" s="221"/>
      <c r="BQ172" s="6025">
        <v>5</v>
      </c>
      <c r="BR172" s="1120" t="s">
        <v>71</v>
      </c>
      <c r="BS172" s="141"/>
      <c r="BT172" s="141"/>
      <c r="BU172" s="141"/>
      <c r="BV172" s="609"/>
      <c r="BX172" s="221"/>
      <c r="BY172" s="6025">
        <v>5</v>
      </c>
      <c r="BZ172" s="1120" t="s">
        <v>905</v>
      </c>
      <c r="CA172" s="141"/>
      <c r="CB172" s="141"/>
      <c r="CC172" s="141"/>
      <c r="CD172" s="609"/>
      <c r="CF172" s="221"/>
      <c r="CG172" s="6025">
        <v>5</v>
      </c>
      <c r="CH172" s="1120" t="s">
        <v>7920</v>
      </c>
      <c r="CI172" s="141"/>
      <c r="CJ172" s="141"/>
      <c r="CK172" s="141"/>
      <c r="CL172" s="609"/>
      <c r="CN172" s="5">
        <v>1</v>
      </c>
    </row>
    <row r="173" spans="2:92" ht="21" customHeight="1">
      <c r="C173" s="141"/>
      <c r="D173" s="141"/>
      <c r="E173" s="141"/>
      <c r="G173" s="1358" t="s">
        <v>1118</v>
      </c>
      <c r="H173" s="6082" t="s">
        <v>1132</v>
      </c>
      <c r="I173" s="147"/>
      <c r="J173" s="147"/>
      <c r="K173" s="988"/>
      <c r="L173" s="988"/>
      <c r="M173" s="988"/>
      <c r="N173" s="988"/>
      <c r="O173" s="988"/>
      <c r="P173" s="1325"/>
      <c r="Y173" s="4"/>
      <c r="Z173" s="4"/>
      <c r="AA173" s="4"/>
      <c r="AB173" s="4"/>
      <c r="AC173" s="1358" t="s">
        <v>1118</v>
      </c>
      <c r="AD173" s="6082" t="s">
        <v>9709</v>
      </c>
      <c r="AE173" s="147"/>
      <c r="AF173" s="147"/>
      <c r="AG173" s="988"/>
      <c r="AH173" s="988"/>
      <c r="AI173" s="988"/>
      <c r="AJ173" s="988"/>
      <c r="AK173" s="988"/>
      <c r="AL173" s="1325"/>
      <c r="AU173" s="141"/>
      <c r="AV173" s="141"/>
      <c r="AW173" s="141"/>
      <c r="AX173" s="141"/>
      <c r="AY173" s="1358" t="s">
        <v>1118</v>
      </c>
      <c r="AZ173" s="6082" t="s">
        <v>9850</v>
      </c>
      <c r="BA173" s="147"/>
      <c r="BB173" s="147"/>
      <c r="BC173" s="988"/>
      <c r="BD173" s="988"/>
      <c r="BE173" s="988"/>
      <c r="BF173" s="988"/>
      <c r="BG173" s="988"/>
      <c r="BH173" s="1325"/>
      <c r="BP173" s="221"/>
      <c r="BQ173" s="6025">
        <v>8</v>
      </c>
      <c r="BR173" s="1120" t="s">
        <v>934</v>
      </c>
      <c r="BS173" s="141"/>
      <c r="BT173" s="141"/>
      <c r="BU173" s="141"/>
      <c r="BV173" s="609"/>
      <c r="BX173" s="221"/>
      <c r="BY173" s="6025">
        <v>8</v>
      </c>
      <c r="BZ173" s="1120" t="s">
        <v>9293</v>
      </c>
      <c r="CA173" s="141"/>
      <c r="CB173" s="141"/>
      <c r="CC173" s="141"/>
      <c r="CD173" s="609"/>
      <c r="CF173" s="221"/>
      <c r="CG173" s="6025">
        <v>8</v>
      </c>
      <c r="CH173" s="1120" t="s">
        <v>9447</v>
      </c>
      <c r="CI173" s="141"/>
      <c r="CJ173" s="141"/>
      <c r="CK173" s="141"/>
      <c r="CL173" s="609"/>
      <c r="CN173" s="5">
        <v>1</v>
      </c>
    </row>
    <row r="174" spans="2:92" ht="21" customHeight="1">
      <c r="C174" s="141"/>
      <c r="D174" s="141"/>
      <c r="E174" s="141"/>
      <c r="G174" s="1358" t="s">
        <v>1118</v>
      </c>
      <c r="H174" s="1359" t="s">
        <v>1126</v>
      </c>
      <c r="I174" s="147"/>
      <c r="J174" s="1361"/>
      <c r="K174" s="988"/>
      <c r="L174" s="988"/>
      <c r="M174" s="988"/>
      <c r="N174" s="988"/>
      <c r="O174" s="988"/>
      <c r="P174" s="1325"/>
      <c r="Y174" s="4"/>
      <c r="Z174" s="4"/>
      <c r="AA174" s="4"/>
      <c r="AB174" s="4"/>
      <c r="AC174" s="1358" t="s">
        <v>1118</v>
      </c>
      <c r="AD174" s="1359" t="s">
        <v>9710</v>
      </c>
      <c r="AE174" s="147"/>
      <c r="AF174" s="1361"/>
      <c r="AG174" s="988"/>
      <c r="AH174" s="988"/>
      <c r="AI174" s="988"/>
      <c r="AJ174" s="988"/>
      <c r="AK174" s="988"/>
      <c r="AL174" s="1325"/>
      <c r="AU174" s="141"/>
      <c r="AV174" s="141"/>
      <c r="AW174" s="141"/>
      <c r="AX174" s="141"/>
      <c r="AY174" s="1358" t="s">
        <v>1118</v>
      </c>
      <c r="AZ174" s="1359" t="s">
        <v>9851</v>
      </c>
      <c r="BA174" s="147"/>
      <c r="BB174" s="1361"/>
      <c r="BC174" s="988"/>
      <c r="BD174" s="988"/>
      <c r="BE174" s="988"/>
      <c r="BF174" s="988"/>
      <c r="BG174" s="988"/>
      <c r="BH174" s="1325"/>
      <c r="BP174" s="221"/>
      <c r="BQ174" s="6025">
        <v>1.5</v>
      </c>
      <c r="BR174" s="1120" t="s">
        <v>8594</v>
      </c>
      <c r="BS174" s="141"/>
      <c r="BT174" s="141"/>
      <c r="BU174" s="141"/>
      <c r="BV174" s="609"/>
      <c r="BX174" s="221"/>
      <c r="BY174" s="6025">
        <v>1.5</v>
      </c>
      <c r="BZ174" s="1120" t="s">
        <v>9294</v>
      </c>
      <c r="CA174" s="141"/>
      <c r="CB174" s="141"/>
      <c r="CC174" s="141"/>
      <c r="CD174" s="609"/>
      <c r="CF174" s="221"/>
      <c r="CG174" s="6025">
        <v>1.5</v>
      </c>
      <c r="CH174" s="1120" t="s">
        <v>9448</v>
      </c>
      <c r="CI174" s="141"/>
      <c r="CJ174" s="141"/>
      <c r="CK174" s="141"/>
      <c r="CL174" s="609"/>
      <c r="CN174" s="5">
        <v>1</v>
      </c>
    </row>
    <row r="175" spans="2:92" ht="21" customHeight="1">
      <c r="C175" s="141"/>
      <c r="D175" s="141"/>
      <c r="E175" s="141"/>
      <c r="G175" s="1358" t="s">
        <v>1118</v>
      </c>
      <c r="H175" s="6082" t="s">
        <v>1127</v>
      </c>
      <c r="I175" s="147"/>
      <c r="J175" s="147"/>
      <c r="K175" s="988"/>
      <c r="L175" s="988"/>
      <c r="M175" s="988"/>
      <c r="N175" s="988"/>
      <c r="O175" s="988"/>
      <c r="P175" s="1325"/>
      <c r="Y175" s="4"/>
      <c r="Z175" s="4"/>
      <c r="AA175" s="4"/>
      <c r="AB175" s="4"/>
      <c r="AC175" s="1358" t="s">
        <v>1118</v>
      </c>
      <c r="AD175" s="6082" t="s">
        <v>9711</v>
      </c>
      <c r="AE175" s="147"/>
      <c r="AF175" s="147"/>
      <c r="AG175" s="988"/>
      <c r="AH175" s="988"/>
      <c r="AI175" s="988"/>
      <c r="AJ175" s="988"/>
      <c r="AK175" s="988"/>
      <c r="AL175" s="1325"/>
      <c r="AU175" s="141"/>
      <c r="AV175" s="141"/>
      <c r="AW175" s="141"/>
      <c r="AX175" s="141"/>
      <c r="AY175" s="1358" t="s">
        <v>1118</v>
      </c>
      <c r="AZ175" s="6082" t="s">
        <v>9852</v>
      </c>
      <c r="BA175" s="147"/>
      <c r="BB175" s="147"/>
      <c r="BC175" s="988"/>
      <c r="BD175" s="988"/>
      <c r="BE175" s="988"/>
      <c r="BF175" s="988"/>
      <c r="BG175" s="988"/>
      <c r="BH175" s="1325"/>
      <c r="BP175" s="221"/>
      <c r="BQ175" s="6025">
        <v>3</v>
      </c>
      <c r="BR175" s="1120" t="s">
        <v>1286</v>
      </c>
      <c r="BS175" s="141"/>
      <c r="BT175" s="141"/>
      <c r="BU175" s="141"/>
      <c r="BV175" s="609"/>
      <c r="BX175" s="221"/>
      <c r="BY175" s="6025">
        <v>3</v>
      </c>
      <c r="BZ175" s="1120" t="s">
        <v>9295</v>
      </c>
      <c r="CA175" s="141"/>
      <c r="CB175" s="141"/>
      <c r="CC175" s="141"/>
      <c r="CD175" s="609"/>
      <c r="CF175" s="221"/>
      <c r="CG175" s="6025">
        <v>3</v>
      </c>
      <c r="CH175" s="1120" t="s">
        <v>9449</v>
      </c>
      <c r="CI175" s="141"/>
      <c r="CJ175" s="141"/>
      <c r="CK175" s="141"/>
      <c r="CL175" s="609"/>
      <c r="CN175" s="5">
        <v>1</v>
      </c>
    </row>
    <row r="176" spans="2:92" ht="21" customHeight="1">
      <c r="C176" s="141"/>
      <c r="D176" s="141"/>
      <c r="E176" s="141"/>
      <c r="G176" s="1358" t="s">
        <v>1118</v>
      </c>
      <c r="H176" s="6082" t="s">
        <v>1135</v>
      </c>
      <c r="I176" s="147"/>
      <c r="J176" s="147"/>
      <c r="K176" s="988"/>
      <c r="L176" s="988"/>
      <c r="M176" s="988"/>
      <c r="N176" s="988"/>
      <c r="O176" s="988"/>
      <c r="P176" s="1325"/>
      <c r="Y176" s="4"/>
      <c r="Z176" s="4"/>
      <c r="AA176" s="4"/>
      <c r="AB176" s="4"/>
      <c r="AC176" s="1358" t="s">
        <v>1118</v>
      </c>
      <c r="AD176" s="6082" t="s">
        <v>9712</v>
      </c>
      <c r="AE176" s="147"/>
      <c r="AF176" s="147"/>
      <c r="AG176" s="988"/>
      <c r="AH176" s="988"/>
      <c r="AI176" s="988"/>
      <c r="AJ176" s="988"/>
      <c r="AK176" s="988"/>
      <c r="AL176" s="1325"/>
      <c r="AU176" s="141"/>
      <c r="AV176" s="141"/>
      <c r="AW176" s="141"/>
      <c r="AX176" s="141"/>
      <c r="AY176" s="1358" t="s">
        <v>1118</v>
      </c>
      <c r="AZ176" s="6082" t="s">
        <v>9853</v>
      </c>
      <c r="BA176" s="147"/>
      <c r="BB176" s="147"/>
      <c r="BC176" s="988"/>
      <c r="BD176" s="988"/>
      <c r="BE176" s="988"/>
      <c r="BF176" s="988"/>
      <c r="BG176" s="988"/>
      <c r="BH176" s="1325"/>
      <c r="BP176" s="221"/>
      <c r="BQ176" s="6027" t="s">
        <v>8597</v>
      </c>
      <c r="BR176" s="6027"/>
      <c r="BS176" s="141"/>
      <c r="BT176" s="141"/>
      <c r="BU176" s="141"/>
      <c r="BV176" s="609"/>
      <c r="BX176" s="221"/>
      <c r="BY176" s="6027" t="s">
        <v>9552</v>
      </c>
      <c r="BZ176" s="6027"/>
      <c r="CA176" s="141"/>
      <c r="CB176" s="141"/>
      <c r="CC176" s="141"/>
      <c r="CD176" s="609"/>
      <c r="CF176" s="221"/>
      <c r="CG176" s="6027" t="s">
        <v>9553</v>
      </c>
      <c r="CH176" s="6027"/>
      <c r="CI176" s="141"/>
      <c r="CJ176" s="141"/>
      <c r="CK176" s="141"/>
      <c r="CL176" s="609"/>
      <c r="CN176" s="5">
        <v>1</v>
      </c>
    </row>
    <row r="177" spans="3:92" ht="21" customHeight="1">
      <c r="C177" s="141"/>
      <c r="D177" s="141"/>
      <c r="E177" s="141"/>
      <c r="G177" s="1358" t="s">
        <v>1118</v>
      </c>
      <c r="H177" s="6082" t="s">
        <v>1136</v>
      </c>
      <c r="I177" s="147"/>
      <c r="J177" s="147"/>
      <c r="K177" s="988"/>
      <c r="L177" s="988"/>
      <c r="M177" s="988"/>
      <c r="N177" s="988"/>
      <c r="O177" s="988"/>
      <c r="P177" s="1325"/>
      <c r="Y177" s="4"/>
      <c r="Z177" s="4"/>
      <c r="AA177" s="4"/>
      <c r="AB177" s="4"/>
      <c r="AC177" s="1358" t="s">
        <v>1118</v>
      </c>
      <c r="AD177" s="6082" t="s">
        <v>9713</v>
      </c>
      <c r="AE177" s="147"/>
      <c r="AF177" s="147"/>
      <c r="AG177" s="988"/>
      <c r="AH177" s="988"/>
      <c r="AI177" s="988"/>
      <c r="AJ177" s="988"/>
      <c r="AK177" s="988"/>
      <c r="AL177" s="1325"/>
      <c r="AU177" s="141"/>
      <c r="AV177" s="141"/>
      <c r="AW177" s="141"/>
      <c r="AX177" s="141"/>
      <c r="AY177" s="1358" t="s">
        <v>1118</v>
      </c>
      <c r="AZ177" s="6082" t="s">
        <v>9854</v>
      </c>
      <c r="BA177" s="147"/>
      <c r="BB177" s="147"/>
      <c r="BC177" s="988"/>
      <c r="BD177" s="988"/>
      <c r="BE177" s="988"/>
      <c r="BF177" s="988"/>
      <c r="BG177" s="988"/>
      <c r="BH177" s="1325"/>
      <c r="BP177" s="1123"/>
      <c r="BQ177" s="6028" t="s">
        <v>8599</v>
      </c>
      <c r="BR177" s="1124" t="s">
        <v>8600</v>
      </c>
      <c r="BS177" s="141"/>
      <c r="BT177" s="141"/>
      <c r="BU177" s="141"/>
      <c r="BV177" s="609"/>
      <c r="BX177" s="1123"/>
      <c r="BY177" s="6028" t="s">
        <v>9554</v>
      </c>
      <c r="BZ177" s="1124" t="s">
        <v>9296</v>
      </c>
      <c r="CA177" s="141"/>
      <c r="CB177" s="141"/>
      <c r="CC177" s="141"/>
      <c r="CD177" s="609"/>
      <c r="CF177" s="1123"/>
      <c r="CG177" s="6028" t="s">
        <v>9555</v>
      </c>
      <c r="CH177" s="1124" t="s">
        <v>9450</v>
      </c>
      <c r="CI177" s="141"/>
      <c r="CJ177" s="141"/>
      <c r="CK177" s="141"/>
      <c r="CL177" s="609"/>
      <c r="CN177" s="5">
        <v>1</v>
      </c>
    </row>
    <row r="178" spans="3:92" ht="21" customHeight="1">
      <c r="C178" s="141"/>
      <c r="D178" s="141"/>
      <c r="E178" s="141"/>
      <c r="G178" s="1358" t="s">
        <v>1118</v>
      </c>
      <c r="H178" s="6082" t="s">
        <v>1137</v>
      </c>
      <c r="I178" s="147"/>
      <c r="J178" s="147"/>
      <c r="K178" s="988"/>
      <c r="L178" s="988"/>
      <c r="M178" s="988"/>
      <c r="N178" s="988"/>
      <c r="O178" s="988"/>
      <c r="P178" s="1325"/>
      <c r="Y178" s="4"/>
      <c r="Z178" s="4"/>
      <c r="AA178" s="4"/>
      <c r="AB178" s="4"/>
      <c r="AC178" s="1358" t="s">
        <v>1118</v>
      </c>
      <c r="AD178" s="6082" t="s">
        <v>9714</v>
      </c>
      <c r="AE178" s="147"/>
      <c r="AF178" s="147"/>
      <c r="AG178" s="988"/>
      <c r="AH178" s="988"/>
      <c r="AI178" s="988"/>
      <c r="AJ178" s="988"/>
      <c r="AK178" s="988"/>
      <c r="AL178" s="1325"/>
      <c r="AU178" s="141"/>
      <c r="AV178" s="141"/>
      <c r="AW178" s="141"/>
      <c r="AX178" s="141"/>
      <c r="AY178" s="1358" t="s">
        <v>1118</v>
      </c>
      <c r="AZ178" s="6082" t="s">
        <v>9855</v>
      </c>
      <c r="BA178" s="147"/>
      <c r="BB178" s="147"/>
      <c r="BC178" s="988"/>
      <c r="BD178" s="988"/>
      <c r="BE178" s="988"/>
      <c r="BF178" s="988"/>
      <c r="BG178" s="988"/>
      <c r="BH178" s="1325"/>
      <c r="BP178" s="7134" t="s">
        <v>8601</v>
      </c>
      <c r="BQ178" s="7135"/>
      <c r="BR178" s="7135"/>
      <c r="BS178" s="7135"/>
      <c r="BT178" s="7135"/>
      <c r="BU178" s="7135"/>
      <c r="BV178" s="7136"/>
      <c r="BX178" s="7134" t="s">
        <v>9556</v>
      </c>
      <c r="BY178" s="7135"/>
      <c r="BZ178" s="7135"/>
      <c r="CA178" s="7135"/>
      <c r="CB178" s="7135"/>
      <c r="CC178" s="7135"/>
      <c r="CD178" s="7136"/>
      <c r="CF178" s="7134" t="s">
        <v>9557</v>
      </c>
      <c r="CG178" s="7135"/>
      <c r="CH178" s="7135"/>
      <c r="CI178" s="7135"/>
      <c r="CJ178" s="7135"/>
      <c r="CK178" s="7135"/>
      <c r="CL178" s="7136"/>
      <c r="CN178" s="5">
        <v>1</v>
      </c>
    </row>
    <row r="179" spans="3:92" ht="21" customHeight="1">
      <c r="C179" s="141"/>
      <c r="D179" s="141"/>
      <c r="E179" s="141"/>
      <c r="G179" s="1358" t="s">
        <v>1118</v>
      </c>
      <c r="H179" s="6082" t="s">
        <v>1138</v>
      </c>
      <c r="I179" s="147"/>
      <c r="J179" s="147"/>
      <c r="K179" s="988"/>
      <c r="L179" s="988"/>
      <c r="M179" s="988"/>
      <c r="N179" s="988"/>
      <c r="O179" s="988"/>
      <c r="P179" s="1325"/>
      <c r="Y179" s="4"/>
      <c r="Z179" s="4"/>
      <c r="AA179" s="4"/>
      <c r="AB179" s="4"/>
      <c r="AC179" s="1358" t="s">
        <v>1118</v>
      </c>
      <c r="AD179" s="6082" t="s">
        <v>9715</v>
      </c>
      <c r="AE179" s="147"/>
      <c r="AF179" s="147"/>
      <c r="AG179" s="988"/>
      <c r="AH179" s="988"/>
      <c r="AI179" s="988"/>
      <c r="AJ179" s="988"/>
      <c r="AK179" s="988"/>
      <c r="AL179" s="1325"/>
      <c r="AU179" s="141"/>
      <c r="AV179" s="141"/>
      <c r="AW179" s="141"/>
      <c r="AX179" s="141"/>
      <c r="AY179" s="1358" t="s">
        <v>1118</v>
      </c>
      <c r="AZ179" s="6082" t="s">
        <v>9856</v>
      </c>
      <c r="BA179" s="147"/>
      <c r="BB179" s="147"/>
      <c r="BC179" s="988"/>
      <c r="BD179" s="988"/>
      <c r="BE179" s="988"/>
      <c r="BF179" s="988"/>
      <c r="BG179" s="988"/>
      <c r="BH179" s="1325"/>
      <c r="BP179" s="7134"/>
      <c r="BQ179" s="7135"/>
      <c r="BR179" s="7135"/>
      <c r="BS179" s="7135"/>
      <c r="BT179" s="7135"/>
      <c r="BU179" s="7135"/>
      <c r="BV179" s="7136"/>
      <c r="BX179" s="7134"/>
      <c r="BY179" s="7135"/>
      <c r="BZ179" s="7135"/>
      <c r="CA179" s="7135"/>
      <c r="CB179" s="7135"/>
      <c r="CC179" s="7135"/>
      <c r="CD179" s="7136"/>
      <c r="CF179" s="7134"/>
      <c r="CG179" s="7135"/>
      <c r="CH179" s="7135"/>
      <c r="CI179" s="7135"/>
      <c r="CJ179" s="7135"/>
      <c r="CK179" s="7135"/>
      <c r="CL179" s="7136"/>
      <c r="CN179" s="5">
        <v>1</v>
      </c>
    </row>
    <row r="180" spans="3:92" ht="21" customHeight="1">
      <c r="C180" s="141"/>
      <c r="D180" s="141"/>
      <c r="E180" s="141"/>
      <c r="G180" s="1358" t="s">
        <v>1118</v>
      </c>
      <c r="H180" s="6082" t="s">
        <v>1139</v>
      </c>
      <c r="I180" s="147"/>
      <c r="J180" s="147"/>
      <c r="K180" s="988"/>
      <c r="L180" s="988"/>
      <c r="M180" s="988"/>
      <c r="N180" s="988"/>
      <c r="O180" s="988"/>
      <c r="P180" s="1325"/>
      <c r="Y180" s="4"/>
      <c r="Z180" s="4"/>
      <c r="AA180" s="4"/>
      <c r="AB180" s="4"/>
      <c r="AC180" s="1358" t="s">
        <v>1118</v>
      </c>
      <c r="AD180" s="6082" t="s">
        <v>9716</v>
      </c>
      <c r="AE180" s="147"/>
      <c r="AF180" s="147"/>
      <c r="AG180" s="988"/>
      <c r="AH180" s="988"/>
      <c r="AI180" s="988"/>
      <c r="AJ180" s="988"/>
      <c r="AK180" s="988"/>
      <c r="AL180" s="1325"/>
      <c r="AU180" s="141"/>
      <c r="AV180" s="141"/>
      <c r="AW180" s="141"/>
      <c r="AX180" s="141"/>
      <c r="AY180" s="1358" t="s">
        <v>1118</v>
      </c>
      <c r="AZ180" s="6082" t="s">
        <v>9857</v>
      </c>
      <c r="BA180" s="147"/>
      <c r="BB180" s="147"/>
      <c r="BC180" s="988"/>
      <c r="BD180" s="988"/>
      <c r="BE180" s="988"/>
      <c r="BF180" s="988"/>
      <c r="BG180" s="988"/>
      <c r="BH180" s="1325"/>
      <c r="BP180" s="7134"/>
      <c r="BQ180" s="7135"/>
      <c r="BR180" s="7135"/>
      <c r="BS180" s="7135"/>
      <c r="BT180" s="7135"/>
      <c r="BU180" s="7135"/>
      <c r="BV180" s="7136"/>
      <c r="BX180" s="7134"/>
      <c r="BY180" s="7135"/>
      <c r="BZ180" s="7135"/>
      <c r="CA180" s="7135"/>
      <c r="CB180" s="7135"/>
      <c r="CC180" s="7135"/>
      <c r="CD180" s="7136"/>
      <c r="CF180" s="7134"/>
      <c r="CG180" s="7135"/>
      <c r="CH180" s="7135"/>
      <c r="CI180" s="7135"/>
      <c r="CJ180" s="7135"/>
      <c r="CK180" s="7135"/>
      <c r="CL180" s="7136"/>
      <c r="CN180" s="5">
        <v>1</v>
      </c>
    </row>
    <row r="181" spans="3:92" ht="21" customHeight="1">
      <c r="C181" s="141"/>
      <c r="D181" s="141"/>
      <c r="E181" s="141"/>
      <c r="G181" s="1358" t="s">
        <v>1118</v>
      </c>
      <c r="H181" s="6082" t="s">
        <v>1140</v>
      </c>
      <c r="I181" s="147"/>
      <c r="J181" s="147"/>
      <c r="K181" s="988"/>
      <c r="L181" s="988"/>
      <c r="M181" s="988"/>
      <c r="N181" s="988"/>
      <c r="O181" s="988"/>
      <c r="P181" s="1325"/>
      <c r="Y181" s="4"/>
      <c r="Z181" s="4"/>
      <c r="AA181" s="4"/>
      <c r="AB181" s="4"/>
      <c r="AC181" s="1358" t="s">
        <v>1118</v>
      </c>
      <c r="AD181" s="6082" t="s">
        <v>9717</v>
      </c>
      <c r="AE181" s="147"/>
      <c r="AF181" s="147"/>
      <c r="AG181" s="988"/>
      <c r="AH181" s="988"/>
      <c r="AI181" s="988"/>
      <c r="AJ181" s="988"/>
      <c r="AK181" s="988"/>
      <c r="AL181" s="1325"/>
      <c r="AU181" s="141"/>
      <c r="AV181" s="141"/>
      <c r="AW181" s="141"/>
      <c r="AX181" s="141"/>
      <c r="AY181" s="1358" t="s">
        <v>1118</v>
      </c>
      <c r="AZ181" s="6082" t="s">
        <v>9858</v>
      </c>
      <c r="BA181" s="147"/>
      <c r="BB181" s="147"/>
      <c r="BC181" s="988"/>
      <c r="BD181" s="988"/>
      <c r="BE181" s="988"/>
      <c r="BF181" s="988"/>
      <c r="BG181" s="988"/>
      <c r="BH181" s="1325"/>
      <c r="BP181" s="1079"/>
      <c r="BQ181" s="1080"/>
      <c r="BR181" s="1081"/>
      <c r="BS181" s="1080"/>
      <c r="BT181" s="1080"/>
      <c r="BU181" s="1080"/>
      <c r="BV181" s="1082"/>
      <c r="BX181" s="1079"/>
      <c r="BY181" s="1080"/>
      <c r="BZ181" s="1081"/>
      <c r="CA181" s="1080"/>
      <c r="CB181" s="1080"/>
      <c r="CC181" s="1080"/>
      <c r="CD181" s="1082"/>
      <c r="CF181" s="1079"/>
      <c r="CG181" s="1080"/>
      <c r="CH181" s="1081"/>
      <c r="CI181" s="1080"/>
      <c r="CJ181" s="1080"/>
      <c r="CK181" s="1080"/>
      <c r="CL181" s="1082"/>
      <c r="CN181" s="5">
        <v>1</v>
      </c>
    </row>
    <row r="182" spans="3:92" ht="21" customHeight="1">
      <c r="C182" s="141"/>
      <c r="D182" s="141"/>
      <c r="E182" s="141"/>
      <c r="G182" s="5292"/>
      <c r="H182" s="1361"/>
      <c r="I182" s="1361"/>
      <c r="J182" s="1361"/>
      <c r="K182" s="1361"/>
      <c r="L182" s="1361"/>
      <c r="M182" s="5409" t="s">
        <v>1112</v>
      </c>
      <c r="N182" s="5409"/>
      <c r="O182" s="5409" t="s">
        <v>1112</v>
      </c>
      <c r="P182" s="5291" t="s">
        <v>1112</v>
      </c>
      <c r="Y182" s="4"/>
      <c r="Z182" s="4"/>
      <c r="AA182" s="4"/>
      <c r="AB182" s="4"/>
      <c r="AC182" s="5292"/>
      <c r="AD182" s="1361"/>
      <c r="AE182" s="1361"/>
      <c r="AF182" s="1361"/>
      <c r="AG182" s="1361"/>
      <c r="AH182" s="1361"/>
      <c r="AI182" s="5409"/>
      <c r="AJ182" s="5409"/>
      <c r="AK182" s="5409"/>
      <c r="AL182" s="5291" t="s">
        <v>9718</v>
      </c>
      <c r="AU182" s="141"/>
      <c r="AV182" s="141"/>
      <c r="AW182" s="141"/>
      <c r="AX182" s="141"/>
      <c r="AY182" s="5292"/>
      <c r="AZ182" s="1361"/>
      <c r="BA182" s="1361"/>
      <c r="BB182" s="1361"/>
      <c r="BC182" s="1361"/>
      <c r="BD182" s="1361"/>
      <c r="BE182" s="5409" t="s">
        <v>1112</v>
      </c>
      <c r="BF182" s="5409"/>
      <c r="BG182" s="5409" t="s">
        <v>1112</v>
      </c>
      <c r="BH182" s="5291" t="s">
        <v>9859</v>
      </c>
      <c r="BP182" s="6525"/>
      <c r="BQ182" s="6526"/>
      <c r="BR182" s="6527"/>
      <c r="BS182" s="6526"/>
      <c r="BT182" s="6526"/>
      <c r="BU182" s="6526"/>
      <c r="BV182" s="6528"/>
      <c r="BX182" s="6525"/>
      <c r="BY182" s="6526"/>
      <c r="BZ182" s="6527"/>
      <c r="CA182" s="6526"/>
      <c r="CB182" s="6526"/>
      <c r="CC182" s="6526"/>
      <c r="CD182" s="6528"/>
      <c r="CF182" s="6525"/>
      <c r="CG182" s="6526"/>
      <c r="CH182" s="6527"/>
      <c r="CI182" s="6526"/>
      <c r="CJ182" s="6526"/>
      <c r="CK182" s="6526"/>
      <c r="CL182" s="6528"/>
      <c r="CN182" s="5">
        <v>1</v>
      </c>
    </row>
    <row r="183" spans="3:92" ht="21" customHeight="1">
      <c r="C183" s="141"/>
      <c r="D183" s="141"/>
      <c r="E183" s="141"/>
      <c r="G183" s="1002"/>
      <c r="H183" s="1002"/>
      <c r="I183" s="1002" t="s">
        <v>873</v>
      </c>
      <c r="J183" s="1003"/>
      <c r="K183" s="1329"/>
      <c r="L183" s="1329"/>
      <c r="M183" s="1329"/>
      <c r="N183" s="1329"/>
      <c r="O183" s="1329"/>
      <c r="P183" s="1330"/>
      <c r="Y183" s="4"/>
      <c r="Z183" s="4"/>
      <c r="AA183" s="4"/>
      <c r="AB183" s="4"/>
      <c r="AC183" s="1002"/>
      <c r="AD183" s="1002"/>
      <c r="AE183" s="1002" t="s">
        <v>8386</v>
      </c>
      <c r="AF183" s="1003"/>
      <c r="AG183" s="1329"/>
      <c r="AH183" s="1329"/>
      <c r="AI183" s="1329"/>
      <c r="AJ183" s="1329"/>
      <c r="AK183" s="1329"/>
      <c r="AL183" s="1330"/>
      <c r="AU183" s="141"/>
      <c r="AV183" s="141"/>
      <c r="AW183" s="141"/>
      <c r="AX183" s="141"/>
      <c r="AY183" s="1002"/>
      <c r="AZ183" s="1002"/>
      <c r="BA183" s="1002" t="s">
        <v>8426</v>
      </c>
      <c r="BB183" s="1003"/>
      <c r="BC183" s="1329"/>
      <c r="BD183" s="1329"/>
      <c r="BE183" s="1329"/>
      <c r="BF183" s="1329"/>
      <c r="BG183" s="1329"/>
      <c r="BH183" s="1330"/>
      <c r="BP183" s="7137" t="s">
        <v>3476</v>
      </c>
      <c r="BQ183" s="6029" t="s">
        <v>75</v>
      </c>
      <c r="BR183" s="6030"/>
      <c r="BS183" s="6031"/>
      <c r="BT183" s="6031"/>
      <c r="BU183" s="141"/>
      <c r="BV183" s="609"/>
      <c r="BX183" s="7137" t="s">
        <v>3476</v>
      </c>
      <c r="BY183" s="6029" t="s">
        <v>961</v>
      </c>
      <c r="BZ183" s="6030"/>
      <c r="CA183" s="6031"/>
      <c r="CB183" s="6031"/>
      <c r="CC183" s="141"/>
      <c r="CD183" s="609"/>
      <c r="CF183" s="7137" t="s">
        <v>3476</v>
      </c>
      <c r="CG183" s="6029" t="s">
        <v>9558</v>
      </c>
      <c r="CH183" s="6030"/>
      <c r="CI183" s="6031"/>
      <c r="CJ183" s="6031"/>
      <c r="CK183" s="141"/>
      <c r="CL183" s="609"/>
      <c r="CN183" s="5">
        <v>1</v>
      </c>
    </row>
    <row r="184" spans="3:92" ht="21" customHeight="1" thickBot="1">
      <c r="C184" s="141"/>
      <c r="D184" s="141"/>
      <c r="E184" s="141"/>
      <c r="G184" s="1332"/>
      <c r="H184" s="1006"/>
      <c r="I184" s="1007"/>
      <c r="J184" s="1008"/>
      <c r="K184" s="1007"/>
      <c r="L184" s="1007"/>
      <c r="M184" s="1007"/>
      <c r="N184" s="1007"/>
      <c r="O184" s="1007"/>
      <c r="P184" s="1333"/>
      <c r="Y184" s="4"/>
      <c r="Z184" s="4"/>
      <c r="AA184" s="4"/>
      <c r="AB184" s="4"/>
      <c r="AC184" s="1332"/>
      <c r="AD184" s="1006"/>
      <c r="AE184" s="1007"/>
      <c r="AF184" s="1008"/>
      <c r="AG184" s="1007"/>
      <c r="AH184" s="1007"/>
      <c r="AI184" s="1007"/>
      <c r="AJ184" s="1007"/>
      <c r="AK184" s="1007"/>
      <c r="AL184" s="1333"/>
      <c r="AU184" s="141"/>
      <c r="AV184" s="141"/>
      <c r="AW184" s="141"/>
      <c r="AX184" s="141"/>
      <c r="AY184" s="1332"/>
      <c r="AZ184" s="1006"/>
      <c r="BA184" s="1007"/>
      <c r="BB184" s="1008"/>
      <c r="BC184" s="1007"/>
      <c r="BD184" s="1007"/>
      <c r="BE184" s="1007"/>
      <c r="BF184" s="1007"/>
      <c r="BG184" s="1007"/>
      <c r="BH184" s="1333"/>
      <c r="BP184" s="7137"/>
      <c r="BQ184" s="6032" t="s">
        <v>8605</v>
      </c>
      <c r="BR184" s="6033"/>
      <c r="BS184" s="6033"/>
      <c r="BT184" s="1122"/>
      <c r="BU184" s="141"/>
      <c r="BV184" s="609"/>
      <c r="BX184" s="7137"/>
      <c r="BY184" s="6032" t="s">
        <v>9297</v>
      </c>
      <c r="BZ184" s="6033"/>
      <c r="CA184" s="6033"/>
      <c r="CB184" s="1122"/>
      <c r="CC184" s="141"/>
      <c r="CD184" s="609"/>
      <c r="CF184" s="7137"/>
      <c r="CG184" s="6032" t="s">
        <v>9451</v>
      </c>
      <c r="CH184" s="6033"/>
      <c r="CI184" s="6033"/>
      <c r="CJ184" s="1122"/>
      <c r="CK184" s="141"/>
      <c r="CL184" s="609"/>
      <c r="CN184" s="5">
        <v>1</v>
      </c>
    </row>
    <row r="185" spans="3:92" ht="21" customHeight="1">
      <c r="C185" s="141"/>
      <c r="D185" s="141"/>
      <c r="E185" s="141"/>
      <c r="G185" s="141"/>
      <c r="H185" s="141"/>
      <c r="I185" s="141"/>
      <c r="J185" s="141"/>
      <c r="K185" s="141"/>
      <c r="L185" s="141"/>
      <c r="M185" s="141"/>
      <c r="N185" s="141"/>
      <c r="O185" s="141"/>
      <c r="P185" s="141"/>
      <c r="Y185" s="4"/>
      <c r="Z185" s="4"/>
      <c r="AA185" s="4"/>
      <c r="AB185" s="4"/>
      <c r="AC185" s="141"/>
      <c r="AD185" s="141"/>
      <c r="AE185" s="141"/>
      <c r="AF185" s="141"/>
      <c r="AG185" s="141"/>
      <c r="AH185" s="141"/>
      <c r="AI185" s="141"/>
      <c r="AJ185" s="141"/>
      <c r="AK185" s="141"/>
      <c r="AL185" s="141"/>
      <c r="AU185" s="141"/>
      <c r="AV185" s="141"/>
      <c r="AW185" s="141"/>
      <c r="AX185" s="141"/>
      <c r="AY185" s="141"/>
      <c r="AZ185" s="141"/>
      <c r="BA185" s="141"/>
      <c r="BB185" s="141"/>
      <c r="BC185" s="141"/>
      <c r="BD185" s="141"/>
      <c r="BE185" s="141"/>
      <c r="BF185" s="141"/>
      <c r="BG185" s="141"/>
      <c r="BH185" s="141"/>
      <c r="BP185" s="7137"/>
      <c r="BQ185" s="6034">
        <v>16</v>
      </c>
      <c r="BR185" s="1142" t="s">
        <v>71</v>
      </c>
      <c r="BS185" s="1122"/>
      <c r="BT185" s="1122"/>
      <c r="BU185" s="141"/>
      <c r="BV185" s="609"/>
      <c r="BX185" s="7137"/>
      <c r="BY185" s="6034">
        <v>16</v>
      </c>
      <c r="BZ185" s="1142" t="s">
        <v>905</v>
      </c>
      <c r="CA185" s="1122"/>
      <c r="CB185" s="1122"/>
      <c r="CC185" s="141"/>
      <c r="CD185" s="609"/>
      <c r="CF185" s="7137"/>
      <c r="CG185" s="6034">
        <v>16</v>
      </c>
      <c r="CH185" s="1142" t="s">
        <v>7920</v>
      </c>
      <c r="CI185" s="1122"/>
      <c r="CJ185" s="1122"/>
      <c r="CK185" s="141"/>
      <c r="CL185" s="609"/>
      <c r="CN185" s="5">
        <v>1</v>
      </c>
    </row>
    <row r="186" spans="3:92" ht="21" customHeight="1">
      <c r="C186" s="141"/>
      <c r="D186" s="141"/>
      <c r="E186" s="141"/>
      <c r="G186" s="141"/>
      <c r="H186" s="141"/>
      <c r="I186" s="141"/>
      <c r="J186" s="141"/>
      <c r="K186" s="141"/>
      <c r="L186" s="141"/>
      <c r="M186" s="141"/>
      <c r="N186" s="141"/>
      <c r="O186" s="141"/>
      <c r="P186" s="141"/>
      <c r="Y186" s="4"/>
      <c r="Z186" s="4"/>
      <c r="AA186" s="4"/>
      <c r="AB186" s="4"/>
      <c r="AC186" s="141"/>
      <c r="AD186" s="141"/>
      <c r="AE186" s="141"/>
      <c r="AF186" s="141"/>
      <c r="AG186" s="141"/>
      <c r="AH186" s="141"/>
      <c r="AI186" s="141"/>
      <c r="AJ186" s="141"/>
      <c r="AK186" s="141"/>
      <c r="AL186" s="141"/>
      <c r="AU186" s="141"/>
      <c r="AV186" s="141"/>
      <c r="AW186" s="141"/>
      <c r="AX186" s="141"/>
      <c r="AY186" s="141"/>
      <c r="AZ186" s="141"/>
      <c r="BA186" s="141"/>
      <c r="BB186" s="141"/>
      <c r="BC186" s="141"/>
      <c r="BD186" s="141"/>
      <c r="BE186" s="141"/>
      <c r="BF186" s="141"/>
      <c r="BG186" s="141"/>
      <c r="BH186" s="141"/>
      <c r="BP186" s="7137"/>
      <c r="BQ186" s="6034">
        <v>25</v>
      </c>
      <c r="BR186" s="1142" t="s">
        <v>934</v>
      </c>
      <c r="BS186" s="1122"/>
      <c r="BT186" s="1122"/>
      <c r="BU186" s="141"/>
      <c r="BV186" s="609"/>
      <c r="BX186" s="7137"/>
      <c r="BY186" s="6034">
        <v>25</v>
      </c>
      <c r="BZ186" s="1142" t="s">
        <v>9293</v>
      </c>
      <c r="CA186" s="1122"/>
      <c r="CB186" s="1122"/>
      <c r="CC186" s="141"/>
      <c r="CD186" s="609"/>
      <c r="CF186" s="7137"/>
      <c r="CG186" s="6034">
        <v>25</v>
      </c>
      <c r="CH186" s="1142" t="s">
        <v>9447</v>
      </c>
      <c r="CI186" s="1122"/>
      <c r="CJ186" s="1122"/>
      <c r="CK186" s="141"/>
      <c r="CL186" s="609"/>
      <c r="CN186" s="5">
        <v>1</v>
      </c>
    </row>
    <row r="187" spans="3:92" ht="21" customHeight="1">
      <c r="C187" s="141"/>
      <c r="D187" s="141"/>
      <c r="E187" s="141"/>
      <c r="G187" s="1354" t="s">
        <v>252</v>
      </c>
      <c r="H187" s="1355"/>
      <c r="I187" s="1355"/>
      <c r="J187" s="1355"/>
      <c r="K187" s="1355"/>
      <c r="L187" s="1356"/>
      <c r="M187" s="6326"/>
      <c r="N187" s="6326"/>
      <c r="O187" s="6326"/>
      <c r="P187" s="1357" t="s">
        <v>1144</v>
      </c>
      <c r="Y187" s="4"/>
      <c r="Z187" s="4"/>
      <c r="AA187" s="4"/>
      <c r="AB187" s="4"/>
      <c r="AC187" s="1354" t="s">
        <v>9333</v>
      </c>
      <c r="AD187" s="1355"/>
      <c r="AE187" s="1355"/>
      <c r="AF187" s="1355"/>
      <c r="AG187" s="1355"/>
      <c r="AH187" s="1356"/>
      <c r="AI187" s="6326"/>
      <c r="AJ187" s="6326"/>
      <c r="AK187" s="6326"/>
      <c r="AL187" s="1357" t="s">
        <v>9719</v>
      </c>
      <c r="AU187" s="141"/>
      <c r="AV187" s="141"/>
      <c r="AW187" s="141"/>
      <c r="AX187" s="141"/>
      <c r="AY187" s="1354" t="s">
        <v>9490</v>
      </c>
      <c r="AZ187" s="1355"/>
      <c r="BA187" s="1355"/>
      <c r="BB187" s="1355"/>
      <c r="BC187" s="1355"/>
      <c r="BD187" s="1356"/>
      <c r="BE187" s="6326"/>
      <c r="BF187" s="6326"/>
      <c r="BG187" s="6326"/>
      <c r="BH187" s="1357" t="s">
        <v>9860</v>
      </c>
      <c r="BP187" s="7137"/>
      <c r="BQ187" s="6034">
        <v>12</v>
      </c>
      <c r="BR187" s="109" t="s">
        <v>8594</v>
      </c>
      <c r="BS187" s="1122"/>
      <c r="BT187" s="1122"/>
      <c r="BU187" s="141"/>
      <c r="BV187" s="609"/>
      <c r="BX187" s="7137"/>
      <c r="BY187" s="6034">
        <v>12</v>
      </c>
      <c r="BZ187" s="109" t="s">
        <v>9294</v>
      </c>
      <c r="CA187" s="1122"/>
      <c r="CB187" s="1122"/>
      <c r="CC187" s="141"/>
      <c r="CD187" s="609"/>
      <c r="CF187" s="7137"/>
      <c r="CG187" s="6034">
        <v>12</v>
      </c>
      <c r="CH187" s="109" t="s">
        <v>9448</v>
      </c>
      <c r="CI187" s="1122"/>
      <c r="CJ187" s="1122"/>
      <c r="CK187" s="141"/>
      <c r="CL187" s="609"/>
      <c r="CN187" s="5">
        <v>1</v>
      </c>
    </row>
    <row r="188" spans="3:92" ht="21" customHeight="1">
      <c r="C188" s="141"/>
      <c r="D188" s="141"/>
      <c r="E188" s="141"/>
      <c r="G188" s="6125" t="s">
        <v>1145</v>
      </c>
      <c r="H188" s="147"/>
      <c r="I188" s="1375"/>
      <c r="J188" s="102"/>
      <c r="K188" s="102"/>
      <c r="L188" s="102"/>
      <c r="M188" s="102"/>
      <c r="N188" s="102"/>
      <c r="O188" s="102"/>
      <c r="P188" s="1360"/>
      <c r="Y188" s="4"/>
      <c r="Z188" s="4"/>
      <c r="AA188" s="4"/>
      <c r="AB188" s="4"/>
      <c r="AC188" s="6125" t="s">
        <v>9720</v>
      </c>
      <c r="AD188" s="147"/>
      <c r="AE188" s="1375"/>
      <c r="AF188" s="102"/>
      <c r="AG188" s="102"/>
      <c r="AH188" s="102"/>
      <c r="AI188" s="102"/>
      <c r="AJ188" s="102"/>
      <c r="AK188" s="102"/>
      <c r="AL188" s="1360"/>
      <c r="AU188" s="141"/>
      <c r="AV188" s="141"/>
      <c r="AW188" s="141"/>
      <c r="AX188" s="141"/>
      <c r="AY188" s="6125" t="s">
        <v>9492</v>
      </c>
      <c r="AZ188" s="147"/>
      <c r="BA188" s="1375"/>
      <c r="BB188" s="102"/>
      <c r="BC188" s="102"/>
      <c r="BD188" s="102"/>
      <c r="BE188" s="102"/>
      <c r="BF188" s="102"/>
      <c r="BG188" s="102"/>
      <c r="BH188" s="1360"/>
      <c r="BP188" s="7137"/>
      <c r="BQ188" s="6034">
        <v>7</v>
      </c>
      <c r="BR188" s="109" t="s">
        <v>1286</v>
      </c>
      <c r="BS188" s="1122"/>
      <c r="BT188" s="1122"/>
      <c r="BU188" s="141"/>
      <c r="BV188" s="609"/>
      <c r="BX188" s="7137"/>
      <c r="BY188" s="6034">
        <v>7</v>
      </c>
      <c r="BZ188" s="109" t="s">
        <v>9295</v>
      </c>
      <c r="CA188" s="1122"/>
      <c r="CB188" s="1122"/>
      <c r="CC188" s="141"/>
      <c r="CD188" s="609"/>
      <c r="CF188" s="7137"/>
      <c r="CG188" s="6034">
        <v>7</v>
      </c>
      <c r="CH188" s="109" t="s">
        <v>9449</v>
      </c>
      <c r="CI188" s="1122"/>
      <c r="CJ188" s="1122"/>
      <c r="CK188" s="141"/>
      <c r="CL188" s="609"/>
      <c r="CN188" s="5">
        <v>1</v>
      </c>
    </row>
    <row r="189" spans="3:92" ht="21" customHeight="1">
      <c r="C189" s="141"/>
      <c r="D189" s="141"/>
      <c r="E189" s="141"/>
      <c r="G189" s="7084" t="s">
        <v>1146</v>
      </c>
      <c r="H189" s="7085"/>
      <c r="I189" s="7085"/>
      <c r="J189" s="7085"/>
      <c r="K189" s="7085"/>
      <c r="L189" s="7085"/>
      <c r="M189" s="7085"/>
      <c r="N189" s="7085"/>
      <c r="O189" s="7085"/>
      <c r="P189" s="7086"/>
      <c r="Y189" s="4"/>
      <c r="Z189" s="4"/>
      <c r="AA189" s="4"/>
      <c r="AB189" s="4"/>
      <c r="AC189" s="7084" t="s">
        <v>9721</v>
      </c>
      <c r="AD189" s="7085"/>
      <c r="AE189" s="7085"/>
      <c r="AF189" s="7085"/>
      <c r="AG189" s="7085"/>
      <c r="AH189" s="7085"/>
      <c r="AI189" s="7085"/>
      <c r="AJ189" s="7085"/>
      <c r="AK189" s="7085"/>
      <c r="AL189" s="7086"/>
      <c r="AU189" s="141"/>
      <c r="AV189" s="141"/>
      <c r="AW189" s="141"/>
      <c r="AX189" s="141"/>
      <c r="AY189" s="7084" t="s">
        <v>9861</v>
      </c>
      <c r="AZ189" s="7085"/>
      <c r="BA189" s="7085"/>
      <c r="BB189" s="7085"/>
      <c r="BC189" s="7085"/>
      <c r="BD189" s="7085"/>
      <c r="BE189" s="7085"/>
      <c r="BF189" s="7085"/>
      <c r="BG189" s="7085"/>
      <c r="BH189" s="7086"/>
      <c r="BP189" s="7137"/>
      <c r="BQ189" s="6035" t="s">
        <v>8607</v>
      </c>
      <c r="BR189" s="6035"/>
      <c r="BS189" s="6035"/>
      <c r="BT189" s="6035"/>
      <c r="BU189" s="141"/>
      <c r="BV189" s="609"/>
      <c r="BX189" s="7137"/>
      <c r="BY189" s="6035" t="s">
        <v>9560</v>
      </c>
      <c r="BZ189" s="6035"/>
      <c r="CA189" s="6035"/>
      <c r="CB189" s="6035"/>
      <c r="CC189" s="141"/>
      <c r="CD189" s="609"/>
      <c r="CF189" s="7137"/>
      <c r="CG189" s="6035" t="s">
        <v>9561</v>
      </c>
      <c r="CH189" s="6035"/>
      <c r="CI189" s="6035"/>
      <c r="CJ189" s="6035"/>
      <c r="CK189" s="141"/>
      <c r="CL189" s="609"/>
      <c r="CN189" s="5">
        <v>1</v>
      </c>
    </row>
    <row r="190" spans="3:92" ht="21" customHeight="1">
      <c r="C190" s="141"/>
      <c r="D190" s="141"/>
      <c r="E190" s="141"/>
      <c r="G190" s="7084"/>
      <c r="H190" s="7085"/>
      <c r="I190" s="7085"/>
      <c r="J190" s="7085"/>
      <c r="K190" s="7085"/>
      <c r="L190" s="7085"/>
      <c r="M190" s="7085"/>
      <c r="N190" s="7085"/>
      <c r="O190" s="7085"/>
      <c r="P190" s="7086"/>
      <c r="Y190" s="4"/>
      <c r="Z190" s="4"/>
      <c r="AA190" s="4"/>
      <c r="AB190" s="4"/>
      <c r="AC190" s="7084"/>
      <c r="AD190" s="7085"/>
      <c r="AE190" s="7085"/>
      <c r="AF190" s="7085"/>
      <c r="AG190" s="7085"/>
      <c r="AH190" s="7085"/>
      <c r="AI190" s="7085"/>
      <c r="AJ190" s="7085"/>
      <c r="AK190" s="7085"/>
      <c r="AL190" s="7086"/>
      <c r="AU190" s="141"/>
      <c r="AV190" s="141"/>
      <c r="AW190" s="141"/>
      <c r="AX190" s="141"/>
      <c r="AY190" s="7084"/>
      <c r="AZ190" s="7085"/>
      <c r="BA190" s="7085"/>
      <c r="BB190" s="7085"/>
      <c r="BC190" s="7085"/>
      <c r="BD190" s="7085"/>
      <c r="BE190" s="7085"/>
      <c r="BF190" s="7085"/>
      <c r="BG190" s="7085"/>
      <c r="BH190" s="7086"/>
      <c r="BP190" s="6437"/>
      <c r="BQ190" s="6035"/>
      <c r="BR190" s="6035"/>
      <c r="BS190" s="6035"/>
      <c r="BT190" s="6035"/>
      <c r="BU190" s="141"/>
      <c r="BV190" s="609"/>
      <c r="BX190" s="6437"/>
      <c r="BY190" s="6035"/>
      <c r="BZ190" s="6035"/>
      <c r="CA190" s="6035"/>
      <c r="CB190" s="6035"/>
      <c r="CC190" s="141"/>
      <c r="CD190" s="609"/>
      <c r="CF190" s="6437"/>
      <c r="CG190" s="6035"/>
      <c r="CH190" s="6035"/>
      <c r="CI190" s="6035"/>
      <c r="CJ190" s="6035"/>
      <c r="CK190" s="141"/>
      <c r="CL190" s="609"/>
      <c r="CN190" s="5">
        <v>1</v>
      </c>
    </row>
    <row r="191" spans="3:92" ht="21" customHeight="1">
      <c r="C191" s="141"/>
      <c r="D191" s="141"/>
      <c r="E191" s="141"/>
      <c r="G191" s="7084"/>
      <c r="H191" s="7085"/>
      <c r="I191" s="7085"/>
      <c r="J191" s="7085"/>
      <c r="K191" s="7085"/>
      <c r="L191" s="7085"/>
      <c r="M191" s="7085"/>
      <c r="N191" s="7085"/>
      <c r="O191" s="7085"/>
      <c r="P191" s="7086"/>
      <c r="Y191" s="4"/>
      <c r="Z191" s="4"/>
      <c r="AA191" s="4"/>
      <c r="AB191" s="4"/>
      <c r="AC191" s="7084"/>
      <c r="AD191" s="7085"/>
      <c r="AE191" s="7085"/>
      <c r="AF191" s="7085"/>
      <c r="AG191" s="7085"/>
      <c r="AH191" s="7085"/>
      <c r="AI191" s="7085"/>
      <c r="AJ191" s="7085"/>
      <c r="AK191" s="7085"/>
      <c r="AL191" s="7086"/>
      <c r="AU191" s="141"/>
      <c r="AV191" s="141"/>
      <c r="AW191" s="141"/>
      <c r="AX191" s="141"/>
      <c r="AY191" s="7084"/>
      <c r="AZ191" s="7085"/>
      <c r="BA191" s="7085"/>
      <c r="BB191" s="7085"/>
      <c r="BC191" s="7085"/>
      <c r="BD191" s="7085"/>
      <c r="BE191" s="7085"/>
      <c r="BF191" s="7085"/>
      <c r="BG191" s="7085"/>
      <c r="BH191" s="7086"/>
      <c r="BP191" s="1079"/>
      <c r="BQ191" s="1080"/>
      <c r="BR191" s="1081"/>
      <c r="BS191" s="1080"/>
      <c r="BT191" s="1080"/>
      <c r="BU191" s="1080"/>
      <c r="BV191" s="1082"/>
      <c r="BX191" s="1079"/>
      <c r="BY191" s="1080"/>
      <c r="BZ191" s="1081"/>
      <c r="CA191" s="1080"/>
      <c r="CB191" s="1080"/>
      <c r="CC191" s="1080"/>
      <c r="CD191" s="1082"/>
      <c r="CF191" s="1079"/>
      <c r="CG191" s="1080"/>
      <c r="CH191" s="1081"/>
      <c r="CI191" s="1080"/>
      <c r="CJ191" s="1080"/>
      <c r="CK191" s="1080"/>
      <c r="CL191" s="1082"/>
      <c r="CN191" s="5">
        <v>1</v>
      </c>
    </row>
    <row r="192" spans="3:92" ht="21" customHeight="1">
      <c r="C192" s="141"/>
      <c r="D192" s="141"/>
      <c r="E192" s="141"/>
      <c r="G192" s="6126" t="s">
        <v>1147</v>
      </c>
      <c r="H192" s="988"/>
      <c r="I192" s="988"/>
      <c r="J192" s="988"/>
      <c r="K192" s="988"/>
      <c r="L192" s="988"/>
      <c r="M192" s="988"/>
      <c r="N192" s="988"/>
      <c r="O192" s="988"/>
      <c r="P192" s="1325"/>
      <c r="Y192" s="4"/>
      <c r="Z192" s="4"/>
      <c r="AA192" s="4"/>
      <c r="AB192" s="4"/>
      <c r="AC192" s="6126" t="s">
        <v>9337</v>
      </c>
      <c r="AD192" s="988"/>
      <c r="AE192" s="988"/>
      <c r="AF192" s="988"/>
      <c r="AG192" s="988"/>
      <c r="AH192" s="988"/>
      <c r="AI192" s="988"/>
      <c r="AJ192" s="988"/>
      <c r="AK192" s="988"/>
      <c r="AL192" s="1325"/>
      <c r="AU192" s="141"/>
      <c r="AV192" s="141"/>
      <c r="AW192" s="141"/>
      <c r="AX192" s="141"/>
      <c r="AY192" s="6126" t="s">
        <v>9494</v>
      </c>
      <c r="AZ192" s="988"/>
      <c r="BA192" s="988"/>
      <c r="BB192" s="988"/>
      <c r="BC192" s="988"/>
      <c r="BD192" s="988"/>
      <c r="BE192" s="988"/>
      <c r="BF192" s="988"/>
      <c r="BG192" s="988"/>
      <c r="BH192" s="1325"/>
      <c r="BP192" s="7138" t="s">
        <v>8608</v>
      </c>
      <c r="BQ192" s="7139"/>
      <c r="BR192" s="7139"/>
      <c r="BS192" s="7139"/>
      <c r="BT192" s="7139"/>
      <c r="BU192" s="7139"/>
      <c r="BV192" s="7140"/>
      <c r="BX192" s="7138" t="s">
        <v>9298</v>
      </c>
      <c r="BY192" s="7139"/>
      <c r="BZ192" s="7139"/>
      <c r="CA192" s="7139"/>
      <c r="CB192" s="7139"/>
      <c r="CC192" s="7139"/>
      <c r="CD192" s="7140"/>
      <c r="CF192" s="7138" t="s">
        <v>9452</v>
      </c>
      <c r="CG192" s="7139"/>
      <c r="CH192" s="7139"/>
      <c r="CI192" s="7139"/>
      <c r="CJ192" s="7139"/>
      <c r="CK192" s="7139"/>
      <c r="CL192" s="7140"/>
      <c r="CN192" s="5">
        <v>1</v>
      </c>
    </row>
    <row r="193" spans="3:92" ht="21" customHeight="1">
      <c r="C193" s="141"/>
      <c r="D193" s="141"/>
      <c r="E193" s="141"/>
      <c r="G193" s="5271" t="s">
        <v>1148</v>
      </c>
      <c r="H193" s="1320"/>
      <c r="I193" s="1320"/>
      <c r="J193" s="1320"/>
      <c r="K193" s="1320"/>
      <c r="L193" s="1320"/>
      <c r="M193" s="1320"/>
      <c r="N193" s="1320"/>
      <c r="O193" s="1320"/>
      <c r="P193" s="1377"/>
      <c r="Y193" s="4"/>
      <c r="Z193" s="4"/>
      <c r="AA193" s="4"/>
      <c r="AB193" s="4"/>
      <c r="AC193" s="5271" t="s">
        <v>9722</v>
      </c>
      <c r="AD193" s="1320"/>
      <c r="AE193" s="1320"/>
      <c r="AF193" s="1320"/>
      <c r="AG193" s="1320"/>
      <c r="AH193" s="1320"/>
      <c r="AI193" s="1320"/>
      <c r="AJ193" s="1320"/>
      <c r="AK193" s="1320"/>
      <c r="AL193" s="1377"/>
      <c r="AU193" s="141"/>
      <c r="AV193" s="141"/>
      <c r="AW193" s="141"/>
      <c r="AX193" s="141"/>
      <c r="AY193" s="5271" t="s">
        <v>9862</v>
      </c>
      <c r="AZ193" s="1320"/>
      <c r="BA193" s="1320"/>
      <c r="BB193" s="1320"/>
      <c r="BC193" s="1320"/>
      <c r="BD193" s="1320"/>
      <c r="BE193" s="1320"/>
      <c r="BF193" s="1320"/>
      <c r="BG193" s="1320"/>
      <c r="BH193" s="1377"/>
      <c r="BP193" s="7138"/>
      <c r="BQ193" s="7139"/>
      <c r="BR193" s="7139"/>
      <c r="BS193" s="7139"/>
      <c r="BT193" s="7139"/>
      <c r="BU193" s="7139"/>
      <c r="BV193" s="7140"/>
      <c r="BX193" s="7138"/>
      <c r="BY193" s="7139"/>
      <c r="BZ193" s="7139"/>
      <c r="CA193" s="7139"/>
      <c r="CB193" s="7139"/>
      <c r="CC193" s="7139"/>
      <c r="CD193" s="7140"/>
      <c r="CF193" s="7138"/>
      <c r="CG193" s="7139"/>
      <c r="CH193" s="7139"/>
      <c r="CI193" s="7139"/>
      <c r="CJ193" s="7139"/>
      <c r="CK193" s="7139"/>
      <c r="CL193" s="7140"/>
      <c r="CN193" s="5">
        <v>1</v>
      </c>
    </row>
    <row r="194" spans="3:92" ht="21" customHeight="1" thickBot="1">
      <c r="C194" s="141"/>
      <c r="D194" s="141"/>
      <c r="E194" s="141"/>
      <c r="G194" s="7087" t="s">
        <v>1149</v>
      </c>
      <c r="H194" s="7088"/>
      <c r="I194" s="7088"/>
      <c r="J194" s="7088"/>
      <c r="K194" s="7088"/>
      <c r="L194" s="7088"/>
      <c r="M194" s="7088"/>
      <c r="N194" s="7088"/>
      <c r="O194" s="7088"/>
      <c r="P194" s="7089"/>
      <c r="Y194" s="4"/>
      <c r="Z194" s="4"/>
      <c r="AA194" s="4"/>
      <c r="AB194" s="4"/>
      <c r="AC194" s="7087" t="s">
        <v>9723</v>
      </c>
      <c r="AD194" s="7088"/>
      <c r="AE194" s="7088"/>
      <c r="AF194" s="7088"/>
      <c r="AG194" s="7088"/>
      <c r="AH194" s="7088"/>
      <c r="AI194" s="7088"/>
      <c r="AJ194" s="7088"/>
      <c r="AK194" s="7088"/>
      <c r="AL194" s="7089"/>
      <c r="AU194" s="141"/>
      <c r="AV194" s="141"/>
      <c r="AW194" s="141"/>
      <c r="AX194" s="141"/>
      <c r="AY194" s="7087" t="s">
        <v>9863</v>
      </c>
      <c r="AZ194" s="7088"/>
      <c r="BA194" s="7088"/>
      <c r="BB194" s="7088"/>
      <c r="BC194" s="7088"/>
      <c r="BD194" s="7088"/>
      <c r="BE194" s="7088"/>
      <c r="BF194" s="7088"/>
      <c r="BG194" s="7088"/>
      <c r="BH194" s="7089"/>
      <c r="BP194" s="221"/>
      <c r="BQ194" s="6036" t="s">
        <v>8609</v>
      </c>
      <c r="BR194" s="478" t="s">
        <v>62</v>
      </c>
      <c r="BS194" s="102"/>
      <c r="BT194" s="141"/>
      <c r="BU194" s="141"/>
      <c r="BV194" s="609"/>
      <c r="BX194" s="221"/>
      <c r="BY194" s="6036" t="s">
        <v>9562</v>
      </c>
      <c r="BZ194" s="478" t="s">
        <v>9299</v>
      </c>
      <c r="CA194" s="102"/>
      <c r="CB194" s="141"/>
      <c r="CC194" s="141"/>
      <c r="CD194" s="609"/>
      <c r="CF194" s="221"/>
      <c r="CG194" s="6036" t="s">
        <v>9563</v>
      </c>
      <c r="CH194" s="478" t="s">
        <v>9453</v>
      </c>
      <c r="CI194" s="102"/>
      <c r="CJ194" s="141"/>
      <c r="CK194" s="141"/>
      <c r="CL194" s="609"/>
      <c r="CN194" s="5">
        <v>1</v>
      </c>
    </row>
    <row r="195" spans="3:92" ht="21" customHeight="1" thickTop="1">
      <c r="C195" s="141"/>
      <c r="D195" s="141"/>
      <c r="E195" s="141"/>
      <c r="G195" s="7087"/>
      <c r="H195" s="7088"/>
      <c r="I195" s="7088"/>
      <c r="J195" s="7088"/>
      <c r="K195" s="7088"/>
      <c r="L195" s="7088"/>
      <c r="M195" s="7088"/>
      <c r="N195" s="7088"/>
      <c r="O195" s="7088"/>
      <c r="P195" s="7089"/>
      <c r="Y195" s="4"/>
      <c r="Z195" s="4"/>
      <c r="AA195" s="4"/>
      <c r="AB195" s="4"/>
      <c r="AC195" s="7087"/>
      <c r="AD195" s="7088"/>
      <c r="AE195" s="7088"/>
      <c r="AF195" s="7088"/>
      <c r="AG195" s="7088"/>
      <c r="AH195" s="7088"/>
      <c r="AI195" s="7088"/>
      <c r="AJ195" s="7088"/>
      <c r="AK195" s="7088"/>
      <c r="AL195" s="7089"/>
      <c r="AU195" s="141"/>
      <c r="AV195" s="141"/>
      <c r="AW195" s="141"/>
      <c r="AX195" s="141"/>
      <c r="AY195" s="7087"/>
      <c r="AZ195" s="7088"/>
      <c r="BA195" s="7088"/>
      <c r="BB195" s="7088"/>
      <c r="BC195" s="7088"/>
      <c r="BD195" s="7088"/>
      <c r="BE195" s="7088"/>
      <c r="BF195" s="7088"/>
      <c r="BG195" s="7088"/>
      <c r="BH195" s="7089"/>
      <c r="BP195" s="343"/>
      <c r="BQ195" s="6037" t="s">
        <v>37</v>
      </c>
      <c r="BR195" s="6038">
        <v>18.824999999999999</v>
      </c>
      <c r="BS195" s="6039" t="s">
        <v>8612</v>
      </c>
      <c r="BT195" s="6040">
        <v>0.15687499999999999</v>
      </c>
      <c r="BU195" s="141"/>
      <c r="BV195" s="409"/>
      <c r="BX195" s="343"/>
      <c r="BY195" s="6037" t="s">
        <v>37</v>
      </c>
      <c r="BZ195" s="6038">
        <v>18.824999999999999</v>
      </c>
      <c r="CA195" s="6039" t="s">
        <v>8612</v>
      </c>
      <c r="CB195" s="6040">
        <v>0.15687499999999999</v>
      </c>
      <c r="CC195" s="141"/>
      <c r="CD195" s="409"/>
      <c r="CF195" s="343"/>
      <c r="CG195" s="6634" t="s">
        <v>37</v>
      </c>
      <c r="CH195" s="6038">
        <v>18.824999999999999</v>
      </c>
      <c r="CI195" s="6635" t="s">
        <v>9454</v>
      </c>
      <c r="CJ195" s="6040">
        <v>0.15687499999999999</v>
      </c>
      <c r="CK195" s="141"/>
      <c r="CL195" s="409"/>
      <c r="CN195" s="5">
        <v>1</v>
      </c>
    </row>
    <row r="196" spans="3:92" ht="21" customHeight="1">
      <c r="C196" s="141"/>
      <c r="D196" s="141"/>
      <c r="E196" s="141"/>
      <c r="G196" s="7087"/>
      <c r="H196" s="7088"/>
      <c r="I196" s="7088"/>
      <c r="J196" s="7088"/>
      <c r="K196" s="7088"/>
      <c r="L196" s="7088"/>
      <c r="M196" s="7088"/>
      <c r="N196" s="7088"/>
      <c r="O196" s="7088"/>
      <c r="P196" s="7089"/>
      <c r="Y196" s="4"/>
      <c r="Z196" s="4"/>
      <c r="AA196" s="4"/>
      <c r="AB196" s="4"/>
      <c r="AC196" s="7087"/>
      <c r="AD196" s="7088"/>
      <c r="AE196" s="7088"/>
      <c r="AF196" s="7088"/>
      <c r="AG196" s="7088"/>
      <c r="AH196" s="7088"/>
      <c r="AI196" s="7088"/>
      <c r="AJ196" s="7088"/>
      <c r="AK196" s="7088"/>
      <c r="AL196" s="7089"/>
      <c r="AU196" s="141"/>
      <c r="AV196" s="141"/>
      <c r="AW196" s="141"/>
      <c r="AX196" s="141"/>
      <c r="AY196" s="7087"/>
      <c r="AZ196" s="7088"/>
      <c r="BA196" s="7088"/>
      <c r="BB196" s="7088"/>
      <c r="BC196" s="7088"/>
      <c r="BD196" s="7088"/>
      <c r="BE196" s="7088"/>
      <c r="BF196" s="7088"/>
      <c r="BG196" s="7088"/>
      <c r="BH196" s="7089"/>
      <c r="BP196" s="1160"/>
      <c r="BQ196" s="6041" t="s">
        <v>8609</v>
      </c>
      <c r="BR196" s="6042" t="s">
        <v>8613</v>
      </c>
      <c r="BS196" s="109"/>
      <c r="BT196" s="109"/>
      <c r="BU196" s="141"/>
      <c r="BV196" s="409"/>
      <c r="BX196" s="1160"/>
      <c r="BY196" s="6041" t="s">
        <v>9562</v>
      </c>
      <c r="BZ196" s="6042" t="s">
        <v>9301</v>
      </c>
      <c r="CA196" s="109"/>
      <c r="CB196" s="109"/>
      <c r="CC196" s="141"/>
      <c r="CD196" s="409"/>
      <c r="CF196" s="1160"/>
      <c r="CG196" s="6041" t="s">
        <v>9563</v>
      </c>
      <c r="CH196" s="6042" t="s">
        <v>9455</v>
      </c>
      <c r="CI196" s="109"/>
      <c r="CJ196" s="109"/>
      <c r="CK196" s="141"/>
      <c r="CL196" s="409"/>
      <c r="CN196" s="5">
        <v>1</v>
      </c>
    </row>
    <row r="197" spans="3:92" ht="21" customHeight="1">
      <c r="C197" s="141"/>
      <c r="D197" s="141"/>
      <c r="E197" s="141"/>
      <c r="G197" s="7087"/>
      <c r="H197" s="7088"/>
      <c r="I197" s="7088"/>
      <c r="J197" s="7088"/>
      <c r="K197" s="7088"/>
      <c r="L197" s="7088"/>
      <c r="M197" s="7088"/>
      <c r="N197" s="7088"/>
      <c r="O197" s="7088"/>
      <c r="P197" s="7089"/>
      <c r="Y197" s="4"/>
      <c r="Z197" s="4"/>
      <c r="AA197" s="4"/>
      <c r="AB197" s="4"/>
      <c r="AC197" s="7087"/>
      <c r="AD197" s="7088"/>
      <c r="AE197" s="7088"/>
      <c r="AF197" s="7088"/>
      <c r="AG197" s="7088"/>
      <c r="AH197" s="7088"/>
      <c r="AI197" s="7088"/>
      <c r="AJ197" s="7088"/>
      <c r="AK197" s="7088"/>
      <c r="AL197" s="7089"/>
      <c r="AU197" s="141"/>
      <c r="AV197" s="141"/>
      <c r="AW197" s="141"/>
      <c r="AX197" s="141"/>
      <c r="AY197" s="7087"/>
      <c r="AZ197" s="7088"/>
      <c r="BA197" s="7088"/>
      <c r="BB197" s="7088"/>
      <c r="BC197" s="7088"/>
      <c r="BD197" s="7088"/>
      <c r="BE197" s="7088"/>
      <c r="BF197" s="7088"/>
      <c r="BG197" s="7088"/>
      <c r="BH197" s="7089"/>
      <c r="BP197" s="1160"/>
      <c r="BQ197" s="6043">
        <v>1</v>
      </c>
      <c r="BR197" s="6044">
        <v>1.5</v>
      </c>
      <c r="BS197" s="109"/>
      <c r="BT197" s="109"/>
      <c r="BU197" s="141"/>
      <c r="BV197" s="409"/>
      <c r="BX197" s="1160"/>
      <c r="BY197" s="6043">
        <v>1</v>
      </c>
      <c r="BZ197" s="6044">
        <v>1.5</v>
      </c>
      <c r="CA197" s="109"/>
      <c r="CB197" s="109"/>
      <c r="CC197" s="141"/>
      <c r="CD197" s="409"/>
      <c r="CF197" s="1160"/>
      <c r="CG197" s="6043">
        <v>1</v>
      </c>
      <c r="CH197" s="6044">
        <v>1.5</v>
      </c>
      <c r="CI197" s="109"/>
      <c r="CJ197" s="109"/>
      <c r="CK197" s="141"/>
      <c r="CL197" s="409"/>
      <c r="CN197" s="5">
        <v>1</v>
      </c>
    </row>
    <row r="198" spans="3:92" ht="21" customHeight="1">
      <c r="C198" s="141"/>
      <c r="D198" s="141"/>
      <c r="E198" s="141"/>
      <c r="G198" s="7090"/>
      <c r="H198" s="7091"/>
      <c r="I198" s="7091"/>
      <c r="J198" s="7091"/>
      <c r="K198" s="7091"/>
      <c r="L198" s="7091"/>
      <c r="M198" s="7091"/>
      <c r="N198" s="7091"/>
      <c r="O198" s="7091"/>
      <c r="P198" s="7092"/>
      <c r="Y198" s="4"/>
      <c r="Z198" s="4"/>
      <c r="AA198" s="4"/>
      <c r="AB198" s="4"/>
      <c r="AC198" s="7090"/>
      <c r="AD198" s="7091"/>
      <c r="AE198" s="7091"/>
      <c r="AF198" s="7091"/>
      <c r="AG198" s="7091"/>
      <c r="AH198" s="7091"/>
      <c r="AI198" s="7091"/>
      <c r="AJ198" s="7091"/>
      <c r="AK198" s="7091"/>
      <c r="AL198" s="7092"/>
      <c r="AU198" s="141"/>
      <c r="AV198" s="141"/>
      <c r="AW198" s="141"/>
      <c r="AX198" s="141"/>
      <c r="AY198" s="7090"/>
      <c r="AZ198" s="7091"/>
      <c r="BA198" s="7091"/>
      <c r="BB198" s="7091"/>
      <c r="BC198" s="7091"/>
      <c r="BD198" s="7091"/>
      <c r="BE198" s="7091"/>
      <c r="BF198" s="7091"/>
      <c r="BG198" s="7091"/>
      <c r="BH198" s="7092"/>
      <c r="BP198" s="1160"/>
      <c r="BQ198" s="141"/>
      <c r="BR198" s="141"/>
      <c r="BS198" s="141"/>
      <c r="BT198" s="141"/>
      <c r="BU198" s="141"/>
      <c r="BV198" s="409"/>
      <c r="BX198" s="1160"/>
      <c r="BY198" s="141"/>
      <c r="BZ198" s="141"/>
      <c r="CA198" s="141"/>
      <c r="CB198" s="141"/>
      <c r="CC198" s="141"/>
      <c r="CD198" s="409"/>
      <c r="CF198" s="1160"/>
      <c r="CG198" s="141"/>
      <c r="CH198" s="141"/>
      <c r="CI198" s="141"/>
      <c r="CJ198" s="141"/>
      <c r="CK198" s="141"/>
      <c r="CL198" s="409"/>
      <c r="CN198" s="5">
        <v>1</v>
      </c>
    </row>
    <row r="199" spans="3:92" ht="21" customHeight="1">
      <c r="C199" s="141"/>
      <c r="D199" s="141"/>
      <c r="E199" s="141"/>
      <c r="G199" s="5292"/>
      <c r="H199" s="1361"/>
      <c r="I199" s="1361"/>
      <c r="J199" s="1361"/>
      <c r="K199" s="1361"/>
      <c r="L199" s="1361"/>
      <c r="M199" s="1361"/>
      <c r="N199" s="1361"/>
      <c r="O199" s="5409"/>
      <c r="P199" s="5291" t="s">
        <v>1112</v>
      </c>
      <c r="Y199" s="4"/>
      <c r="Z199" s="4"/>
      <c r="AA199" s="4"/>
      <c r="AB199" s="4"/>
      <c r="AC199" s="5292"/>
      <c r="AD199" s="1361"/>
      <c r="AE199" s="1361"/>
      <c r="AF199" s="1361"/>
      <c r="AG199" s="1361"/>
      <c r="AH199" s="1361"/>
      <c r="AI199" s="1361"/>
      <c r="AJ199" s="1361"/>
      <c r="AK199" s="5409"/>
      <c r="AL199" s="5291" t="s">
        <v>9718</v>
      </c>
      <c r="AU199" s="141"/>
      <c r="AV199" s="141"/>
      <c r="AW199" s="141"/>
      <c r="AX199" s="141"/>
      <c r="AY199" s="5292"/>
      <c r="AZ199" s="1361"/>
      <c r="BA199" s="1361"/>
      <c r="BB199" s="1361"/>
      <c r="BC199" s="1361"/>
      <c r="BD199" s="1361"/>
      <c r="BE199" s="1361"/>
      <c r="BF199" s="1361"/>
      <c r="BG199" s="5409"/>
      <c r="BH199" s="5291" t="s">
        <v>9859</v>
      </c>
      <c r="BP199" s="221"/>
      <c r="BQ199" s="6045" t="s">
        <v>8614</v>
      </c>
      <c r="BR199" s="181"/>
      <c r="BS199" s="102"/>
      <c r="BT199" s="141"/>
      <c r="BU199" s="141"/>
      <c r="BV199" s="609"/>
      <c r="BX199" s="221"/>
      <c r="BY199" s="6045" t="s">
        <v>9564</v>
      </c>
      <c r="BZ199" s="181"/>
      <c r="CA199" s="102"/>
      <c r="CB199" s="141"/>
      <c r="CC199" s="141"/>
      <c r="CD199" s="609"/>
      <c r="CF199" s="221"/>
      <c r="CG199" s="6045" t="s">
        <v>9565</v>
      </c>
      <c r="CH199" s="181"/>
      <c r="CI199" s="102"/>
      <c r="CJ199" s="141"/>
      <c r="CK199" s="141"/>
      <c r="CL199" s="609"/>
      <c r="CN199" s="5">
        <v>1</v>
      </c>
    </row>
    <row r="200" spans="3:92" ht="21" customHeight="1" thickBot="1">
      <c r="C200" s="141"/>
      <c r="D200" s="141"/>
      <c r="E200" s="141"/>
      <c r="G200" s="5292" t="s">
        <v>8022</v>
      </c>
      <c r="H200" s="988"/>
      <c r="I200" s="988"/>
      <c r="J200" s="988"/>
      <c r="K200" s="988"/>
      <c r="L200" s="988"/>
      <c r="M200" s="988"/>
      <c r="N200" s="988"/>
      <c r="O200" s="988"/>
      <c r="P200" s="1325"/>
      <c r="Y200" s="4"/>
      <c r="Z200" s="4"/>
      <c r="AA200" s="4"/>
      <c r="AB200" s="4"/>
      <c r="AC200" s="5292" t="s">
        <v>8370</v>
      </c>
      <c r="AD200" s="988"/>
      <c r="AE200" s="988"/>
      <c r="AF200" s="988"/>
      <c r="AG200" s="988"/>
      <c r="AH200" s="988"/>
      <c r="AI200" s="988"/>
      <c r="AJ200" s="988"/>
      <c r="AK200" s="988"/>
      <c r="AL200" s="1325"/>
      <c r="AU200" s="141"/>
      <c r="AV200" s="141"/>
      <c r="AW200" s="141"/>
      <c r="AX200" s="141"/>
      <c r="AY200" s="5292" t="s">
        <v>9985</v>
      </c>
      <c r="AZ200" s="988"/>
      <c r="BA200" s="988"/>
      <c r="BB200" s="988"/>
      <c r="BC200" s="988"/>
      <c r="BD200" s="988"/>
      <c r="BE200" s="988"/>
      <c r="BF200" s="988"/>
      <c r="BG200" s="988"/>
      <c r="BH200" s="1325"/>
      <c r="BP200" s="221"/>
      <c r="BQ200" s="181" t="s">
        <v>8615</v>
      </c>
      <c r="BR200" s="109"/>
      <c r="BS200" s="109"/>
      <c r="BT200" s="141"/>
      <c r="BU200" s="141"/>
      <c r="BV200" s="609"/>
      <c r="BX200" s="221"/>
      <c r="BY200" s="181" t="s">
        <v>9302</v>
      </c>
      <c r="BZ200" s="109"/>
      <c r="CA200" s="109"/>
      <c r="CB200" s="141"/>
      <c r="CC200" s="141"/>
      <c r="CD200" s="609"/>
      <c r="CF200" s="221"/>
      <c r="CG200" s="181" t="s">
        <v>9590</v>
      </c>
      <c r="CH200" s="109"/>
      <c r="CI200" s="109"/>
      <c r="CJ200" s="141"/>
      <c r="CK200" s="141"/>
      <c r="CL200" s="609"/>
      <c r="CN200" s="5">
        <v>1</v>
      </c>
    </row>
    <row r="201" spans="3:92" ht="21" customHeight="1" thickTop="1">
      <c r="C201" s="141"/>
      <c r="D201" s="141"/>
      <c r="E201" s="141"/>
      <c r="G201" s="5294" t="s">
        <v>8024</v>
      </c>
      <c r="H201" s="1449"/>
      <c r="I201" s="1449"/>
      <c r="J201" s="1449"/>
      <c r="K201" s="1449"/>
      <c r="L201" s="1449"/>
      <c r="M201" s="1361"/>
      <c r="N201" s="1361"/>
      <c r="O201" s="5409"/>
      <c r="P201" s="5291"/>
      <c r="Y201" s="4"/>
      <c r="Z201" s="4"/>
      <c r="AA201" s="4"/>
      <c r="AB201" s="4"/>
      <c r="AC201" s="5294" t="s">
        <v>9724</v>
      </c>
      <c r="AD201" s="1449"/>
      <c r="AE201" s="1449"/>
      <c r="AF201" s="1449"/>
      <c r="AG201" s="1449"/>
      <c r="AH201" s="1449"/>
      <c r="AI201" s="1361"/>
      <c r="AJ201" s="1361"/>
      <c r="AK201" s="5409"/>
      <c r="AL201" s="5291"/>
      <c r="AU201" s="141"/>
      <c r="AV201" s="141"/>
      <c r="AW201" s="141"/>
      <c r="AX201" s="141"/>
      <c r="AY201" s="5294" t="s">
        <v>9864</v>
      </c>
      <c r="AZ201" s="1449"/>
      <c r="BA201" s="1449"/>
      <c r="BB201" s="1449"/>
      <c r="BC201" s="1449"/>
      <c r="BD201" s="1449"/>
      <c r="BE201" s="1361"/>
      <c r="BF201" s="1361"/>
      <c r="BG201" s="5409"/>
      <c r="BH201" s="5291"/>
      <c r="BP201" s="221"/>
      <c r="BQ201" s="6046"/>
      <c r="BR201" s="6047"/>
      <c r="BS201" s="7141" t="s">
        <v>8616</v>
      </c>
      <c r="BT201" s="141"/>
      <c r="BU201" s="141"/>
      <c r="BV201" s="609"/>
      <c r="BX201" s="221"/>
      <c r="BY201" s="6046"/>
      <c r="BZ201" s="6047"/>
      <c r="CA201" s="7141" t="s">
        <v>9304</v>
      </c>
      <c r="CB201" s="141"/>
      <c r="CC201" s="141"/>
      <c r="CD201" s="609"/>
      <c r="CF201" s="221"/>
      <c r="CG201" s="6046"/>
      <c r="CH201" s="6047"/>
      <c r="CI201" s="7141" t="s">
        <v>9458</v>
      </c>
      <c r="CJ201" s="141"/>
      <c r="CK201" s="141"/>
      <c r="CL201" s="609"/>
      <c r="CN201" s="5">
        <v>1</v>
      </c>
    </row>
    <row r="202" spans="3:92" ht="21" customHeight="1">
      <c r="C202" s="141"/>
      <c r="D202" s="141"/>
      <c r="E202" s="141"/>
      <c r="G202" s="1002"/>
      <c r="H202" s="1002"/>
      <c r="I202" s="1002" t="s">
        <v>873</v>
      </c>
      <c r="J202" s="1003"/>
      <c r="K202" s="1329"/>
      <c r="L202" s="1329"/>
      <c r="M202" s="1329"/>
      <c r="N202" s="1329"/>
      <c r="O202" s="1329"/>
      <c r="P202" s="1330"/>
      <c r="Y202" s="4"/>
      <c r="Z202" s="4"/>
      <c r="AA202" s="4"/>
      <c r="AB202" s="4"/>
      <c r="AC202" s="1002"/>
      <c r="AD202" s="1002"/>
      <c r="AE202" s="1002" t="s">
        <v>8386</v>
      </c>
      <c r="AF202" s="1003"/>
      <c r="AG202" s="1329"/>
      <c r="AH202" s="1329"/>
      <c r="AI202" s="1329"/>
      <c r="AJ202" s="1329"/>
      <c r="AK202" s="1329"/>
      <c r="AL202" s="1330"/>
      <c r="AU202" s="141"/>
      <c r="AV202" s="141"/>
      <c r="AW202" s="141"/>
      <c r="AX202" s="141"/>
      <c r="AY202" s="1002"/>
      <c r="AZ202" s="1002"/>
      <c r="BA202" s="1002" t="s">
        <v>8426</v>
      </c>
      <c r="BB202" s="1003"/>
      <c r="BC202" s="1329"/>
      <c r="BD202" s="1329"/>
      <c r="BE202" s="1329"/>
      <c r="BF202" s="1329"/>
      <c r="BG202" s="1329"/>
      <c r="BH202" s="1330"/>
      <c r="BP202" s="221"/>
      <c r="BQ202" s="6048" t="s">
        <v>8544</v>
      </c>
      <c r="BR202" s="6049" t="s">
        <v>8617</v>
      </c>
      <c r="BS202" s="7142"/>
      <c r="BT202" s="102"/>
      <c r="BU202" s="141"/>
      <c r="BV202" s="609"/>
      <c r="BX202" s="221"/>
      <c r="BY202" s="6048" t="s">
        <v>9564</v>
      </c>
      <c r="BZ202" s="6049" t="s">
        <v>9303</v>
      </c>
      <c r="CA202" s="7142"/>
      <c r="CB202" s="102"/>
      <c r="CC202" s="141"/>
      <c r="CD202" s="609"/>
      <c r="CF202" s="221"/>
      <c r="CG202" s="6048" t="s">
        <v>9565</v>
      </c>
      <c r="CH202" s="6049" t="s">
        <v>9457</v>
      </c>
      <c r="CI202" s="7142"/>
      <c r="CJ202" s="102"/>
      <c r="CK202" s="141"/>
      <c r="CL202" s="609"/>
      <c r="CN202" s="5">
        <v>1</v>
      </c>
    </row>
    <row r="203" spans="3:92" ht="21" customHeight="1" thickBot="1">
      <c r="C203" s="141"/>
      <c r="D203" s="141"/>
      <c r="E203" s="141"/>
      <c r="G203" s="1332"/>
      <c r="H203" s="1006"/>
      <c r="I203" s="1007"/>
      <c r="J203" s="1008"/>
      <c r="K203" s="1007"/>
      <c r="L203" s="1007"/>
      <c r="M203" s="1007"/>
      <c r="N203" s="1007"/>
      <c r="O203" s="1007"/>
      <c r="P203" s="1333"/>
      <c r="Y203" s="4"/>
      <c r="Z203" s="4"/>
      <c r="AA203" s="4"/>
      <c r="AB203" s="4"/>
      <c r="AC203" s="1332"/>
      <c r="AD203" s="1006"/>
      <c r="AE203" s="1007"/>
      <c r="AF203" s="1008"/>
      <c r="AG203" s="1007"/>
      <c r="AH203" s="1007"/>
      <c r="AI203" s="1007"/>
      <c r="AJ203" s="1007"/>
      <c r="AK203" s="1007"/>
      <c r="AL203" s="1333"/>
      <c r="AU203" s="141"/>
      <c r="AV203" s="141"/>
      <c r="AW203" s="141"/>
      <c r="AX203" s="141"/>
      <c r="AY203" s="1332"/>
      <c r="AZ203" s="1006"/>
      <c r="BA203" s="1007"/>
      <c r="BB203" s="1008"/>
      <c r="BC203" s="1007"/>
      <c r="BD203" s="1007"/>
      <c r="BE203" s="1007"/>
      <c r="BF203" s="1007"/>
      <c r="BG203" s="1007"/>
      <c r="BH203" s="1333"/>
      <c r="BP203" s="221"/>
      <c r="BQ203" s="6050">
        <v>20</v>
      </c>
      <c r="BR203" s="6051">
        <v>0.75</v>
      </c>
      <c r="BS203" s="6052" t="s">
        <v>8618</v>
      </c>
      <c r="BT203" s="102"/>
      <c r="BU203" s="141"/>
      <c r="BV203" s="609"/>
      <c r="BX203" s="221"/>
      <c r="BY203" s="6050">
        <v>20</v>
      </c>
      <c r="BZ203" s="6051">
        <v>0.75</v>
      </c>
      <c r="CA203" s="6052" t="s">
        <v>8618</v>
      </c>
      <c r="CB203" s="102"/>
      <c r="CC203" s="141"/>
      <c r="CD203" s="609"/>
      <c r="CF203" s="221"/>
      <c r="CG203" s="6050">
        <v>20</v>
      </c>
      <c r="CH203" s="6051">
        <v>0.75</v>
      </c>
      <c r="CI203" s="6052" t="s">
        <v>8618</v>
      </c>
      <c r="CJ203" s="102"/>
      <c r="CK203" s="141"/>
      <c r="CL203" s="609"/>
      <c r="CN203" s="5">
        <v>1</v>
      </c>
    </row>
    <row r="204" spans="3:92" ht="21" customHeight="1">
      <c r="C204" s="141"/>
      <c r="D204" s="141"/>
      <c r="E204" s="141"/>
      <c r="G204" s="141"/>
      <c r="H204" s="141"/>
      <c r="I204" s="141"/>
      <c r="J204" s="141"/>
      <c r="K204" s="141"/>
      <c r="L204" s="141"/>
      <c r="M204" s="141"/>
      <c r="N204" s="141"/>
      <c r="O204" s="141"/>
      <c r="P204" s="141"/>
      <c r="Y204" s="4"/>
      <c r="Z204" s="4"/>
      <c r="AA204" s="4"/>
      <c r="AB204" s="4"/>
      <c r="AC204" s="141"/>
      <c r="AD204" s="141"/>
      <c r="AE204" s="141"/>
      <c r="AF204" s="141"/>
      <c r="AG204" s="141"/>
      <c r="AH204" s="141"/>
      <c r="AI204" s="141"/>
      <c r="AJ204" s="141"/>
      <c r="AK204" s="141"/>
      <c r="AL204" s="141"/>
      <c r="AU204" s="141"/>
      <c r="AV204" s="141"/>
      <c r="AW204" s="141"/>
      <c r="AX204" s="141"/>
      <c r="AY204" s="141"/>
      <c r="AZ204" s="141"/>
      <c r="BA204" s="141"/>
      <c r="BB204" s="141"/>
      <c r="BC204" s="141"/>
      <c r="BD204" s="141"/>
      <c r="BE204" s="141"/>
      <c r="BF204" s="141"/>
      <c r="BG204" s="141"/>
      <c r="BH204" s="141"/>
      <c r="BP204" s="221"/>
      <c r="BQ204" s="1122" t="s">
        <v>8619</v>
      </c>
      <c r="BR204" s="97"/>
      <c r="BS204" s="97"/>
      <c r="BT204" s="102"/>
      <c r="BU204" s="141"/>
      <c r="BV204" s="609"/>
      <c r="BX204" s="221"/>
      <c r="BY204" s="1122" t="s">
        <v>9305</v>
      </c>
      <c r="BZ204" s="97"/>
      <c r="CA204" s="97"/>
      <c r="CB204" s="102"/>
      <c r="CC204" s="141"/>
      <c r="CD204" s="609"/>
      <c r="CF204" s="221"/>
      <c r="CG204" s="1122" t="s">
        <v>9459</v>
      </c>
      <c r="CH204" s="97"/>
      <c r="CI204" s="97"/>
      <c r="CJ204" s="102"/>
      <c r="CK204" s="141"/>
      <c r="CL204" s="609"/>
      <c r="CN204" s="5">
        <v>1</v>
      </c>
    </row>
    <row r="205" spans="3:92" ht="21" customHeight="1">
      <c r="C205" s="141"/>
      <c r="D205" s="141"/>
      <c r="E205" s="141"/>
      <c r="G205" s="141"/>
      <c r="H205" s="141"/>
      <c r="I205" s="141"/>
      <c r="J205" s="141"/>
      <c r="K205" s="141"/>
      <c r="L205" s="141"/>
      <c r="M205" s="141"/>
      <c r="N205" s="141"/>
      <c r="O205" s="141"/>
      <c r="P205" s="141"/>
      <c r="Y205" s="4"/>
      <c r="Z205" s="4"/>
      <c r="AA205" s="4"/>
      <c r="AB205" s="4"/>
      <c r="AC205" s="141"/>
      <c r="AD205" s="141"/>
      <c r="AE205" s="141"/>
      <c r="AF205" s="141"/>
      <c r="AG205" s="141"/>
      <c r="AH205" s="141"/>
      <c r="AI205" s="141"/>
      <c r="AJ205" s="141"/>
      <c r="AK205" s="141"/>
      <c r="AL205" s="141"/>
      <c r="AU205" s="141"/>
      <c r="AV205" s="141"/>
      <c r="AW205" s="141"/>
      <c r="AX205" s="141"/>
      <c r="AY205" s="141"/>
      <c r="AZ205" s="141"/>
      <c r="BA205" s="141"/>
      <c r="BB205" s="141"/>
      <c r="BC205" s="141"/>
      <c r="BD205" s="141"/>
      <c r="BE205" s="141"/>
      <c r="BF205" s="141"/>
      <c r="BG205" s="141"/>
      <c r="BH205" s="141"/>
      <c r="BP205" s="221"/>
      <c r="BQ205" s="1122" t="s">
        <v>8621</v>
      </c>
      <c r="BR205" s="97"/>
      <c r="BS205" s="97"/>
      <c r="BT205" s="102"/>
      <c r="BU205" s="141"/>
      <c r="BV205" s="609"/>
      <c r="BX205" s="221"/>
      <c r="BY205" s="1122" t="s">
        <v>9306</v>
      </c>
      <c r="BZ205" s="97"/>
      <c r="CA205" s="97"/>
      <c r="CB205" s="102"/>
      <c r="CC205" s="141"/>
      <c r="CD205" s="609"/>
      <c r="CF205" s="221"/>
      <c r="CG205" s="1122" t="s">
        <v>9460</v>
      </c>
      <c r="CH205" s="97"/>
      <c r="CI205" s="97"/>
      <c r="CJ205" s="102"/>
      <c r="CK205" s="141"/>
      <c r="CL205" s="609"/>
      <c r="CN205" s="5">
        <v>1</v>
      </c>
    </row>
    <row r="206" spans="3:92" ht="21" customHeight="1">
      <c r="C206" s="141"/>
      <c r="D206" s="141"/>
      <c r="E206" s="141"/>
      <c r="G206" s="1354" t="s">
        <v>252</v>
      </c>
      <c r="H206" s="1398"/>
      <c r="I206" s="1398"/>
      <c r="J206" s="1398"/>
      <c r="K206" s="1398"/>
      <c r="L206" s="1398"/>
      <c r="M206" s="6326"/>
      <c r="N206" s="6326"/>
      <c r="O206" s="6326"/>
      <c r="P206" s="1357" t="s">
        <v>1158</v>
      </c>
      <c r="Y206" s="4"/>
      <c r="Z206" s="4"/>
      <c r="AA206" s="4"/>
      <c r="AB206" s="4"/>
      <c r="AC206" s="1354" t="s">
        <v>9333</v>
      </c>
      <c r="AD206" s="1398"/>
      <c r="AE206" s="1398"/>
      <c r="AF206" s="1398"/>
      <c r="AG206" s="1398"/>
      <c r="AH206" s="1398"/>
      <c r="AI206" s="6326"/>
      <c r="AJ206" s="6326"/>
      <c r="AK206" s="6326"/>
      <c r="AL206" s="1357" t="s">
        <v>9725</v>
      </c>
      <c r="AU206" s="141"/>
      <c r="AV206" s="141"/>
      <c r="AW206" s="141"/>
      <c r="AX206" s="141"/>
      <c r="AY206" s="1354" t="s">
        <v>9490</v>
      </c>
      <c r="AZ206" s="1398"/>
      <c r="BA206" s="1398"/>
      <c r="BB206" s="1398"/>
      <c r="BC206" s="1398"/>
      <c r="BD206" s="1398"/>
      <c r="BE206" s="6326"/>
      <c r="BF206" s="6326"/>
      <c r="BG206" s="6326"/>
      <c r="BH206" s="1357" t="s">
        <v>9865</v>
      </c>
      <c r="BP206" s="221"/>
      <c r="BT206" s="102"/>
      <c r="BU206" s="141"/>
      <c r="BV206" s="609"/>
      <c r="BX206" s="221"/>
      <c r="CB206" s="102"/>
      <c r="CC206" s="141"/>
      <c r="CD206" s="609"/>
      <c r="CF206" s="221"/>
      <c r="CJ206" s="102"/>
      <c r="CK206" s="141"/>
      <c r="CL206" s="609"/>
      <c r="CN206" s="5">
        <v>1</v>
      </c>
    </row>
    <row r="207" spans="3:92" ht="21" customHeight="1">
      <c r="C207" s="141"/>
      <c r="D207" s="141"/>
      <c r="E207" s="141"/>
      <c r="G207" s="6127"/>
      <c r="H207" s="1401" t="s">
        <v>1159</v>
      </c>
      <c r="I207" s="1362"/>
      <c r="J207" s="1362"/>
      <c r="K207" s="1362"/>
      <c r="L207" s="1402" t="s">
        <v>1160</v>
      </c>
      <c r="M207" s="6258"/>
      <c r="N207" s="6258"/>
      <c r="O207" s="6258"/>
      <c r="P207" s="1403"/>
      <c r="Y207" s="4"/>
      <c r="Z207" s="4"/>
      <c r="AA207" s="4"/>
      <c r="AB207" s="4"/>
      <c r="AC207" s="6127"/>
      <c r="AD207" s="1401" t="s">
        <v>9340</v>
      </c>
      <c r="AE207" s="1362"/>
      <c r="AF207" s="1362"/>
      <c r="AG207" s="1362"/>
      <c r="AH207" s="1402" t="s">
        <v>9733</v>
      </c>
      <c r="AI207" s="6258"/>
      <c r="AJ207" s="6258"/>
      <c r="AK207" s="6258"/>
      <c r="AL207" s="1403"/>
      <c r="AU207" s="141"/>
      <c r="AV207" s="141"/>
      <c r="AW207" s="141"/>
      <c r="AX207" s="141"/>
      <c r="AY207" s="6127"/>
      <c r="AZ207" s="1401" t="s">
        <v>9497</v>
      </c>
      <c r="BA207" s="1362"/>
      <c r="BB207" s="1362"/>
      <c r="BC207" s="1362"/>
      <c r="BD207" s="1402" t="s">
        <v>9504</v>
      </c>
      <c r="BE207" s="6258"/>
      <c r="BF207" s="6258"/>
      <c r="BG207" s="6258"/>
      <c r="BH207" s="1403"/>
      <c r="BP207" s="6378" t="s">
        <v>8683</v>
      </c>
      <c r="BQ207" s="6379"/>
      <c r="BR207" s="6379"/>
      <c r="BS207" s="6379"/>
      <c r="BT207" s="6379"/>
      <c r="BU207" s="6379"/>
      <c r="BV207" s="6403"/>
      <c r="BX207" s="6378" t="s">
        <v>8683</v>
      </c>
      <c r="BY207" s="6379"/>
      <c r="BZ207" s="6379"/>
      <c r="CA207" s="6379"/>
      <c r="CB207" s="6379"/>
      <c r="CC207" s="6379"/>
      <c r="CD207" s="6403"/>
      <c r="CF207" s="6378" t="s">
        <v>8683</v>
      </c>
      <c r="CG207" s="6379"/>
      <c r="CH207" s="6379"/>
      <c r="CI207" s="6379"/>
      <c r="CJ207" s="6379"/>
      <c r="CK207" s="6379"/>
      <c r="CL207" s="6403"/>
      <c r="CN207" s="5">
        <v>1</v>
      </c>
    </row>
    <row r="208" spans="3:92" ht="21" customHeight="1">
      <c r="C208" s="141"/>
      <c r="D208" s="141"/>
      <c r="E208" s="141"/>
      <c r="G208" s="6127">
        <v>3</v>
      </c>
      <c r="H208" s="1404" t="s">
        <v>1163</v>
      </c>
      <c r="I208" s="988"/>
      <c r="J208" s="988"/>
      <c r="K208" s="988"/>
      <c r="L208" s="1358" t="s">
        <v>1118</v>
      </c>
      <c r="M208" s="6259" t="s">
        <v>1162</v>
      </c>
      <c r="N208" s="6259"/>
      <c r="O208" s="6259"/>
      <c r="P208" s="1405"/>
      <c r="Y208" s="4"/>
      <c r="Z208" s="4"/>
      <c r="AA208" s="4"/>
      <c r="AB208" s="4"/>
      <c r="AC208" s="6127">
        <v>3</v>
      </c>
      <c r="AD208" s="1404" t="s">
        <v>9341</v>
      </c>
      <c r="AE208" s="988"/>
      <c r="AF208" s="988"/>
      <c r="AG208" s="988"/>
      <c r="AH208" s="1358" t="s">
        <v>1118</v>
      </c>
      <c r="AI208" s="6259" t="s">
        <v>9348</v>
      </c>
      <c r="AJ208" s="6259"/>
      <c r="AK208" s="6259"/>
      <c r="AL208" s="1405"/>
      <c r="AU208" s="141"/>
      <c r="AV208" s="141"/>
      <c r="AW208" s="141"/>
      <c r="AX208" s="141"/>
      <c r="AY208" s="6127">
        <v>3</v>
      </c>
      <c r="AZ208" s="1404" t="s">
        <v>9498</v>
      </c>
      <c r="BA208" s="988"/>
      <c r="BB208" s="988"/>
      <c r="BC208" s="988"/>
      <c r="BD208" s="1358" t="s">
        <v>1118</v>
      </c>
      <c r="BE208" s="6259" t="s">
        <v>9505</v>
      </c>
      <c r="BF208" s="6259"/>
      <c r="BG208" s="6259"/>
      <c r="BH208" s="1405"/>
      <c r="BP208" s="6493"/>
      <c r="BQ208" s="5783"/>
      <c r="BR208" s="5783"/>
      <c r="BS208" s="5783"/>
      <c r="BT208" s="5783"/>
      <c r="BU208" s="5783"/>
      <c r="BV208" s="6403"/>
      <c r="BX208" s="6493"/>
      <c r="BY208" s="5783"/>
      <c r="BZ208" s="5783"/>
      <c r="CA208" s="5783"/>
      <c r="CB208" s="5783"/>
      <c r="CC208" s="5783"/>
      <c r="CD208" s="6403"/>
      <c r="CF208" s="6493"/>
      <c r="CG208" s="5783"/>
      <c r="CH208" s="5783"/>
      <c r="CI208" s="5783"/>
      <c r="CJ208" s="5783"/>
      <c r="CK208" s="5783"/>
      <c r="CL208" s="6403"/>
      <c r="CN208" s="5">
        <v>1</v>
      </c>
    </row>
    <row r="209" spans="3:92" ht="21" customHeight="1">
      <c r="C209" s="141"/>
      <c r="D209" s="141"/>
      <c r="E209" s="141"/>
      <c r="G209" s="6127"/>
      <c r="H209" s="1404" t="s">
        <v>1165</v>
      </c>
      <c r="I209" s="988"/>
      <c r="J209" s="988"/>
      <c r="K209" s="988"/>
      <c r="L209" s="1406"/>
      <c r="M209" s="6259" t="s">
        <v>1164</v>
      </c>
      <c r="N209" s="6259"/>
      <c r="O209" s="6259"/>
      <c r="P209" s="1405"/>
      <c r="Y209" s="4"/>
      <c r="Z209" s="4"/>
      <c r="AA209" s="4"/>
      <c r="AB209" s="4"/>
      <c r="AC209" s="6127"/>
      <c r="AD209" s="1404" t="s">
        <v>9342</v>
      </c>
      <c r="AE209" s="988"/>
      <c r="AF209" s="988"/>
      <c r="AG209" s="988"/>
      <c r="AH209" s="1406"/>
      <c r="AI209" s="6259" t="s">
        <v>9349</v>
      </c>
      <c r="AJ209" s="6259"/>
      <c r="AK209" s="6259"/>
      <c r="AL209" s="1405"/>
      <c r="AU209" s="141"/>
      <c r="AV209" s="141"/>
      <c r="AW209" s="141"/>
      <c r="AX209" s="141"/>
      <c r="AY209" s="6127"/>
      <c r="AZ209" s="1404" t="s">
        <v>9499</v>
      </c>
      <c r="BA209" s="988"/>
      <c r="BB209" s="988"/>
      <c r="BC209" s="988"/>
      <c r="BD209" s="1406"/>
      <c r="BE209" s="6259" t="s">
        <v>9506</v>
      </c>
      <c r="BF209" s="6259"/>
      <c r="BG209" s="6259"/>
      <c r="BH209" s="1405"/>
      <c r="BP209" s="6371" t="s">
        <v>9169</v>
      </c>
      <c r="BQ209" s="5783"/>
      <c r="BR209" s="5783"/>
      <c r="BS209" s="5783"/>
      <c r="BT209" s="5783"/>
      <c r="BU209" s="5783"/>
      <c r="BV209" s="6403"/>
      <c r="BX209" s="6371" t="s">
        <v>9242</v>
      </c>
      <c r="BY209" s="5783"/>
      <c r="BZ209" s="5783"/>
      <c r="CA209" s="5783"/>
      <c r="CB209" s="5783"/>
      <c r="CC209" s="5783"/>
      <c r="CD209" s="6403"/>
      <c r="CF209" s="6371" t="s">
        <v>9384</v>
      </c>
      <c r="CG209" s="5783"/>
      <c r="CH209" s="5783"/>
      <c r="CI209" s="5783"/>
      <c r="CJ209" s="5783"/>
      <c r="CK209" s="5783"/>
      <c r="CL209" s="6403"/>
      <c r="CN209" s="5">
        <v>1</v>
      </c>
    </row>
    <row r="210" spans="3:92" ht="21" customHeight="1">
      <c r="C210" s="141"/>
      <c r="D210" s="141"/>
      <c r="E210" s="141"/>
      <c r="G210" s="6127">
        <v>1</v>
      </c>
      <c r="H210" s="1404" t="s">
        <v>1167</v>
      </c>
      <c r="I210" s="988"/>
      <c r="J210" s="988"/>
      <c r="K210" s="988"/>
      <c r="L210" s="1407"/>
      <c r="M210" s="6260" t="s">
        <v>1166</v>
      </c>
      <c r="N210" s="6260"/>
      <c r="O210" s="6260"/>
      <c r="P210" s="1408"/>
      <c r="Y210" s="4"/>
      <c r="Z210" s="4"/>
      <c r="AA210" s="4"/>
      <c r="AB210" s="4"/>
      <c r="AC210" s="6127">
        <v>1</v>
      </c>
      <c r="AD210" s="1404" t="s">
        <v>9726</v>
      </c>
      <c r="AE210" s="988"/>
      <c r="AF210" s="988"/>
      <c r="AG210" s="988"/>
      <c r="AH210" s="1407"/>
      <c r="AI210" s="6260" t="s">
        <v>9734</v>
      </c>
      <c r="AJ210" s="6260"/>
      <c r="AK210" s="6260"/>
      <c r="AL210" s="1408"/>
      <c r="AU210" s="141"/>
      <c r="AV210" s="141"/>
      <c r="AW210" s="141"/>
      <c r="AX210" s="141"/>
      <c r="AY210" s="6127">
        <v>1</v>
      </c>
      <c r="AZ210" s="1404" t="s">
        <v>9866</v>
      </c>
      <c r="BA210" s="988"/>
      <c r="BB210" s="988"/>
      <c r="BC210" s="988"/>
      <c r="BD210" s="1407"/>
      <c r="BE210" s="6260" t="s">
        <v>9872</v>
      </c>
      <c r="BF210" s="6260"/>
      <c r="BG210" s="6260"/>
      <c r="BH210" s="1408"/>
      <c r="BP210" s="6371"/>
      <c r="BQ210" s="5783"/>
      <c r="BR210" s="5783"/>
      <c r="BS210" s="5783"/>
      <c r="BT210" s="5783"/>
      <c r="BU210" s="5783"/>
      <c r="BV210" s="6403"/>
      <c r="BX210" s="6371"/>
      <c r="BY210" s="5783"/>
      <c r="BZ210" s="5783"/>
      <c r="CA210" s="5783"/>
      <c r="CB210" s="5783"/>
      <c r="CC210" s="5783"/>
      <c r="CD210" s="6403"/>
      <c r="CF210" s="6371"/>
      <c r="CG210" s="5783"/>
      <c r="CH210" s="5783"/>
      <c r="CI210" s="5783"/>
      <c r="CJ210" s="5783"/>
      <c r="CK210" s="5783"/>
      <c r="CL210" s="6403"/>
      <c r="CN210" s="5">
        <v>1</v>
      </c>
    </row>
    <row r="211" spans="3:92" ht="21" customHeight="1">
      <c r="C211" s="141"/>
      <c r="D211" s="141"/>
      <c r="E211" s="141"/>
      <c r="G211" s="6127"/>
      <c r="H211" s="1404" t="s">
        <v>1168</v>
      </c>
      <c r="I211" s="988"/>
      <c r="J211" s="988"/>
      <c r="K211" s="988"/>
      <c r="L211" s="1406"/>
      <c r="M211" s="6259" t="s">
        <v>1162</v>
      </c>
      <c r="N211" s="6259"/>
      <c r="O211" s="6259"/>
      <c r="P211" s="1405"/>
      <c r="Y211" s="4"/>
      <c r="Z211" s="4"/>
      <c r="AA211" s="4"/>
      <c r="AB211" s="4"/>
      <c r="AC211" s="6127"/>
      <c r="AD211" s="1404" t="s">
        <v>9727</v>
      </c>
      <c r="AE211" s="988"/>
      <c r="AF211" s="988"/>
      <c r="AG211" s="988"/>
      <c r="AH211" s="1406"/>
      <c r="AI211" s="6259" t="s">
        <v>9348</v>
      </c>
      <c r="AJ211" s="6259"/>
      <c r="AK211" s="6259"/>
      <c r="AL211" s="1405"/>
      <c r="AU211" s="141"/>
      <c r="AV211" s="141"/>
      <c r="AW211" s="141"/>
      <c r="AX211" s="141"/>
      <c r="AY211" s="6127"/>
      <c r="AZ211" s="1404" t="s">
        <v>9867</v>
      </c>
      <c r="BA211" s="988"/>
      <c r="BB211" s="988"/>
      <c r="BC211" s="988"/>
      <c r="BD211" s="1406"/>
      <c r="BE211" s="6259" t="s">
        <v>9505</v>
      </c>
      <c r="BF211" s="6259"/>
      <c r="BG211" s="6259"/>
      <c r="BH211" s="1405"/>
      <c r="BP211" s="6381" t="s">
        <v>217</v>
      </c>
      <c r="BQ211" s="310" t="s">
        <v>216</v>
      </c>
      <c r="BR211" s="310" t="s">
        <v>215</v>
      </c>
      <c r="BS211" s="310" t="s">
        <v>214</v>
      </c>
      <c r="BT211" s="310" t="s">
        <v>83</v>
      </c>
      <c r="BU211" s="310" t="s">
        <v>213</v>
      </c>
      <c r="BV211" s="6403"/>
      <c r="BX211" s="6381" t="s">
        <v>217</v>
      </c>
      <c r="BY211" s="310" t="s">
        <v>216</v>
      </c>
      <c r="BZ211" s="310" t="s">
        <v>215</v>
      </c>
      <c r="CA211" s="310" t="s">
        <v>214</v>
      </c>
      <c r="CB211" s="310" t="s">
        <v>83</v>
      </c>
      <c r="CC211" s="310" t="s">
        <v>213</v>
      </c>
      <c r="CD211" s="6403"/>
      <c r="CF211" s="6381" t="s">
        <v>217</v>
      </c>
      <c r="CG211" s="310" t="s">
        <v>216</v>
      </c>
      <c r="CH211" s="310" t="s">
        <v>215</v>
      </c>
      <c r="CI211" s="310" t="s">
        <v>214</v>
      </c>
      <c r="CJ211" s="310" t="s">
        <v>83</v>
      </c>
      <c r="CK211" s="310" t="s">
        <v>213</v>
      </c>
      <c r="CL211" s="6403"/>
      <c r="CN211" s="5">
        <v>1</v>
      </c>
    </row>
    <row r="212" spans="3:92" ht="21" customHeight="1">
      <c r="C212" s="141"/>
      <c r="D212" s="141"/>
      <c r="E212" s="141"/>
      <c r="G212" s="6127"/>
      <c r="H212" s="1404" t="s">
        <v>1170</v>
      </c>
      <c r="I212" s="988"/>
      <c r="J212" s="988"/>
      <c r="K212" s="988"/>
      <c r="L212" s="1406"/>
      <c r="M212" s="6259" t="s">
        <v>1169</v>
      </c>
      <c r="N212" s="6259"/>
      <c r="O212" s="6259"/>
      <c r="P212" s="1405"/>
      <c r="Y212" s="4"/>
      <c r="Z212" s="4"/>
      <c r="AA212" s="4"/>
      <c r="AB212" s="4"/>
      <c r="AC212" s="6127"/>
      <c r="AD212" s="1404" t="s">
        <v>9728</v>
      </c>
      <c r="AE212" s="988"/>
      <c r="AF212" s="988"/>
      <c r="AG212" s="988"/>
      <c r="AH212" s="1406"/>
      <c r="AI212" s="6259" t="s">
        <v>9735</v>
      </c>
      <c r="AJ212" s="6259"/>
      <c r="AK212" s="6259"/>
      <c r="AL212" s="1405"/>
      <c r="AU212" s="141"/>
      <c r="AV212" s="141"/>
      <c r="AW212" s="141"/>
      <c r="AX212" s="141"/>
      <c r="AY212" s="6127"/>
      <c r="AZ212" s="1404" t="s">
        <v>9868</v>
      </c>
      <c r="BA212" s="988"/>
      <c r="BB212" s="988"/>
      <c r="BC212" s="988"/>
      <c r="BD212" s="1406"/>
      <c r="BE212" s="6259" t="s">
        <v>9873</v>
      </c>
      <c r="BF212" s="6259"/>
      <c r="BG212" s="6259"/>
      <c r="BH212" s="1405"/>
      <c r="BP212" s="6382" t="s">
        <v>219</v>
      </c>
      <c r="BQ212" s="6283" t="s">
        <v>130</v>
      </c>
      <c r="BR212" s="6291" t="s">
        <v>8014</v>
      </c>
      <c r="BS212" s="6288" t="s">
        <v>188</v>
      </c>
      <c r="BT212" s="6287" t="s">
        <v>176</v>
      </c>
      <c r="BU212" s="6287" t="s">
        <v>179</v>
      </c>
      <c r="BV212" s="6403"/>
      <c r="BX212" s="6699" t="s">
        <v>219</v>
      </c>
      <c r="BY212" s="6283" t="s">
        <v>130</v>
      </c>
      <c r="BZ212" s="6291" t="s">
        <v>9687</v>
      </c>
      <c r="CA212" s="6287" t="s">
        <v>9603</v>
      </c>
      <c r="CB212" s="6287" t="s">
        <v>9607</v>
      </c>
      <c r="CC212" s="6287" t="s">
        <v>9605</v>
      </c>
      <c r="CD212" s="6403"/>
      <c r="CF212" s="6699" t="s">
        <v>219</v>
      </c>
      <c r="CG212" s="6283" t="s">
        <v>130</v>
      </c>
      <c r="CH212" s="6291" t="s">
        <v>9695</v>
      </c>
      <c r="CI212" s="6287" t="s">
        <v>9604</v>
      </c>
      <c r="CJ212" s="6287" t="s">
        <v>9608</v>
      </c>
      <c r="CK212" s="6287" t="s">
        <v>9606</v>
      </c>
      <c r="CL212" s="6403"/>
      <c r="CN212" s="5">
        <v>1</v>
      </c>
    </row>
    <row r="213" spans="3:92" ht="21" customHeight="1">
      <c r="C213" s="141"/>
      <c r="D213" s="141"/>
      <c r="E213" s="141"/>
      <c r="G213" s="6127"/>
      <c r="H213" s="1404" t="s">
        <v>1172</v>
      </c>
      <c r="I213" s="988"/>
      <c r="J213" s="988"/>
      <c r="K213" s="988"/>
      <c r="L213" s="6128" t="s">
        <v>1171</v>
      </c>
      <c r="M213" s="6259" t="s">
        <v>1164</v>
      </c>
      <c r="N213" s="6259"/>
      <c r="O213" s="6259"/>
      <c r="P213" s="1405"/>
      <c r="Y213" s="4"/>
      <c r="Z213" s="4"/>
      <c r="AA213" s="4"/>
      <c r="AB213" s="4"/>
      <c r="AC213" s="6127"/>
      <c r="AD213" s="1404" t="s">
        <v>9729</v>
      </c>
      <c r="AE213" s="988"/>
      <c r="AF213" s="988"/>
      <c r="AG213" s="988"/>
      <c r="AH213" s="6128" t="s">
        <v>1171</v>
      </c>
      <c r="AI213" s="6259" t="s">
        <v>9349</v>
      </c>
      <c r="AJ213" s="6259"/>
      <c r="AK213" s="6259"/>
      <c r="AL213" s="1405"/>
      <c r="AU213" s="141"/>
      <c r="AV213" s="141"/>
      <c r="AW213" s="141"/>
      <c r="AX213" s="141"/>
      <c r="AY213" s="6127"/>
      <c r="AZ213" s="1404" t="s">
        <v>9869</v>
      </c>
      <c r="BA213" s="988"/>
      <c r="BB213" s="988"/>
      <c r="BC213" s="988"/>
      <c r="BD213" s="6128" t="s">
        <v>1171</v>
      </c>
      <c r="BE213" s="6259" t="s">
        <v>9506</v>
      </c>
      <c r="BF213" s="6259"/>
      <c r="BG213" s="6259"/>
      <c r="BH213" s="1405"/>
      <c r="BP213" s="6383" t="s">
        <v>122</v>
      </c>
      <c r="BQ213" s="6289" t="s">
        <v>113</v>
      </c>
      <c r="BR213" s="6291" t="s">
        <v>8014</v>
      </c>
      <c r="BS213" s="6289" t="s">
        <v>112</v>
      </c>
      <c r="BT213" s="6289" t="s">
        <v>8015</v>
      </c>
      <c r="BU213" s="6289" t="s">
        <v>8016</v>
      </c>
      <c r="BV213" s="6403"/>
      <c r="BX213" s="6289" t="s">
        <v>122</v>
      </c>
      <c r="BY213" s="6289" t="s">
        <v>9642</v>
      </c>
      <c r="BZ213" s="6291" t="s">
        <v>9687</v>
      </c>
      <c r="CA213" s="6289" t="s">
        <v>9645</v>
      </c>
      <c r="CB213" s="6289" t="s">
        <v>9639</v>
      </c>
      <c r="CC213" s="6289" t="s">
        <v>9636</v>
      </c>
      <c r="CD213" s="6403"/>
      <c r="CF213" s="6289" t="s">
        <v>9633</v>
      </c>
      <c r="CG213" s="6289" t="s">
        <v>9643</v>
      </c>
      <c r="CH213" s="6291" t="s">
        <v>9695</v>
      </c>
      <c r="CI213" s="6289" t="s">
        <v>9646</v>
      </c>
      <c r="CJ213" s="6289" t="s">
        <v>9640</v>
      </c>
      <c r="CK213" s="6289" t="s">
        <v>9696</v>
      </c>
      <c r="CL213" s="6403"/>
      <c r="CN213" s="5">
        <v>1</v>
      </c>
    </row>
    <row r="214" spans="3:92" ht="21" customHeight="1" thickBot="1">
      <c r="C214" s="141"/>
      <c r="D214" s="141"/>
      <c r="E214" s="141"/>
      <c r="G214" s="6129"/>
      <c r="H214" s="1404" t="s">
        <v>1174</v>
      </c>
      <c r="I214" s="988"/>
      <c r="J214" s="988"/>
      <c r="K214" s="988"/>
      <c r="L214" s="1407"/>
      <c r="M214" s="6261" t="s">
        <v>1173</v>
      </c>
      <c r="N214" s="6261"/>
      <c r="O214" s="6261"/>
      <c r="P214" s="1409"/>
      <c r="Y214" s="4"/>
      <c r="Z214" s="4"/>
      <c r="AA214" s="4"/>
      <c r="AB214" s="4"/>
      <c r="AC214" s="6129"/>
      <c r="AD214" s="1404" t="s">
        <v>9730</v>
      </c>
      <c r="AE214" s="988"/>
      <c r="AF214" s="988"/>
      <c r="AG214" s="988"/>
      <c r="AH214" s="1407"/>
      <c r="AI214" s="6261" t="s">
        <v>9736</v>
      </c>
      <c r="AJ214" s="6261"/>
      <c r="AK214" s="6261"/>
      <c r="AL214" s="1409"/>
      <c r="AU214" s="141"/>
      <c r="AV214" s="141"/>
      <c r="AW214" s="141"/>
      <c r="AX214" s="141"/>
      <c r="AY214" s="6129"/>
      <c r="AZ214" s="1404" t="s">
        <v>9870</v>
      </c>
      <c r="BA214" s="988"/>
      <c r="BB214" s="988"/>
      <c r="BC214" s="988"/>
      <c r="BD214" s="1407"/>
      <c r="BE214" s="6261" t="s">
        <v>9736</v>
      </c>
      <c r="BF214" s="6261"/>
      <c r="BG214" s="6261"/>
      <c r="BH214" s="1409"/>
      <c r="BP214" s="6371"/>
      <c r="BQ214" s="6455" t="s">
        <v>9176</v>
      </c>
      <c r="BR214" s="5783"/>
      <c r="BS214" s="5783"/>
      <c r="BT214" s="5783"/>
      <c r="BU214" s="5783"/>
      <c r="BV214" s="6403"/>
      <c r="BX214" s="6371"/>
      <c r="BY214" s="6455" t="s">
        <v>9243</v>
      </c>
      <c r="BZ214" s="5783"/>
      <c r="CA214" s="5783"/>
      <c r="CB214" s="5783"/>
      <c r="CC214" s="5783"/>
      <c r="CD214" s="6403"/>
      <c r="CF214" s="6371"/>
      <c r="CG214" s="6455" t="s">
        <v>9385</v>
      </c>
      <c r="CH214" s="5783"/>
      <c r="CI214" s="5783"/>
      <c r="CJ214" s="5783"/>
      <c r="CK214" s="5783"/>
      <c r="CL214" s="6403"/>
      <c r="CN214" s="5">
        <v>1</v>
      </c>
    </row>
    <row r="215" spans="3:92" ht="21" customHeight="1" thickTop="1">
      <c r="C215" s="141"/>
      <c r="D215" s="141"/>
      <c r="E215" s="141"/>
      <c r="G215" s="1412" t="str">
        <f>SUM(G207:G214) &amp; " / " &amp; (COUNTA(G207:G214) * 3)</f>
        <v>4 / 6</v>
      </c>
      <c r="H215" s="988" t="s">
        <v>1177</v>
      </c>
      <c r="I215" s="988"/>
      <c r="J215" s="988"/>
      <c r="K215" s="988"/>
      <c r="L215" s="1411" t="s">
        <v>1175</v>
      </c>
      <c r="M215" s="6259" t="s">
        <v>1176</v>
      </c>
      <c r="N215" s="6259"/>
      <c r="O215" s="6259"/>
      <c r="P215" s="1405"/>
      <c r="Y215" s="4"/>
      <c r="Z215" s="4"/>
      <c r="AA215" s="4"/>
      <c r="AB215" s="4"/>
      <c r="AC215" s="1412" t="str">
        <f>SUM(AC207:AC214) &amp; " / " &amp; (COUNTA(AC207:AC214) * 3)</f>
        <v>4 / 6</v>
      </c>
      <c r="AD215" s="988" t="s">
        <v>9343</v>
      </c>
      <c r="AE215" s="988"/>
      <c r="AF215" s="988"/>
      <c r="AG215" s="988"/>
      <c r="AH215" s="1411" t="s">
        <v>1175</v>
      </c>
      <c r="AI215" s="6259" t="s">
        <v>9737</v>
      </c>
      <c r="AJ215" s="6259"/>
      <c r="AK215" s="6259"/>
      <c r="AL215" s="1405"/>
      <c r="AU215" s="141"/>
      <c r="AV215" s="141"/>
      <c r="AW215" s="141"/>
      <c r="AX215" s="141"/>
      <c r="AY215" s="1412" t="str">
        <f>SUM(AY207:AY214) &amp; " / " &amp; (COUNTA(AY207:AY214) * 3)</f>
        <v>4 / 6</v>
      </c>
      <c r="AZ215" s="988" t="s">
        <v>9500</v>
      </c>
      <c r="BA215" s="988"/>
      <c r="BB215" s="988"/>
      <c r="BC215" s="988"/>
      <c r="BD215" s="1411" t="s">
        <v>1175</v>
      </c>
      <c r="BE215" s="6259" t="s">
        <v>1176</v>
      </c>
      <c r="BF215" s="6259"/>
      <c r="BG215" s="6259"/>
      <c r="BH215" s="1405"/>
      <c r="BP215" s="6414"/>
      <c r="BQ215" s="6244" t="s">
        <v>9173</v>
      </c>
      <c r="BR215" s="6244"/>
      <c r="BS215" s="6244"/>
      <c r="BT215" s="6244"/>
      <c r="BU215" s="6244"/>
      <c r="BV215" s="6403"/>
      <c r="BX215" s="6414"/>
      <c r="BY215" s="6244" t="s">
        <v>9244</v>
      </c>
      <c r="BZ215" s="6244"/>
      <c r="CA215" s="6244"/>
      <c r="CB215" s="6244"/>
      <c r="CC215" s="6244"/>
      <c r="CD215" s="6403"/>
      <c r="CF215" s="6414"/>
      <c r="CG215" s="6244" t="s">
        <v>9386</v>
      </c>
      <c r="CH215" s="6244"/>
      <c r="CI215" s="6244"/>
      <c r="CJ215" s="6244"/>
      <c r="CK215" s="6244"/>
      <c r="CL215" s="6403"/>
      <c r="CN215" s="5">
        <v>1</v>
      </c>
    </row>
    <row r="216" spans="3:92" ht="21" customHeight="1">
      <c r="C216" s="141"/>
      <c r="D216" s="141"/>
      <c r="E216" s="141"/>
      <c r="G216" s="6130" t="str">
        <f>SUM(G207:G214) &amp;"/ "&amp;G217</f>
        <v>4/ 24</v>
      </c>
      <c r="H216" s="1414" t="s">
        <v>1178</v>
      </c>
      <c r="I216" s="988"/>
      <c r="J216" s="988"/>
      <c r="K216" s="988"/>
      <c r="L216" s="1406"/>
      <c r="M216" s="6259" t="s">
        <v>1164</v>
      </c>
      <c r="N216" s="6259"/>
      <c r="O216" s="6259"/>
      <c r="P216" s="1405"/>
      <c r="Y216" s="4"/>
      <c r="Z216" s="4"/>
      <c r="AA216" s="4"/>
      <c r="AB216" s="4"/>
      <c r="AC216" s="6130" t="str">
        <f>SUM(AC207:AC214) &amp;"/ "&amp;AC217</f>
        <v>4/ 24</v>
      </c>
      <c r="AD216" s="1414" t="s">
        <v>9731</v>
      </c>
      <c r="AE216" s="988"/>
      <c r="AF216" s="988"/>
      <c r="AG216" s="988"/>
      <c r="AH216" s="1406"/>
      <c r="AI216" s="6259" t="s">
        <v>9349</v>
      </c>
      <c r="AJ216" s="6259"/>
      <c r="AK216" s="6259"/>
      <c r="AL216" s="1405"/>
      <c r="AU216" s="141"/>
      <c r="AV216" s="141"/>
      <c r="AW216" s="141"/>
      <c r="AX216" s="141"/>
      <c r="AY216" s="6130" t="str">
        <f>SUM(AY207:AY214) &amp;"/ "&amp;AY217</f>
        <v>4/ 24</v>
      </c>
      <c r="AZ216" s="1414" t="s">
        <v>9501</v>
      </c>
      <c r="BA216" s="988"/>
      <c r="BB216" s="988"/>
      <c r="BC216" s="988"/>
      <c r="BD216" s="1406"/>
      <c r="BE216" s="6259" t="s">
        <v>9506</v>
      </c>
      <c r="BF216" s="6259"/>
      <c r="BG216" s="6259"/>
      <c r="BH216" s="1405"/>
      <c r="BP216" s="6415"/>
      <c r="BQ216" s="6456" t="s">
        <v>9174</v>
      </c>
      <c r="BR216" s="6244"/>
      <c r="BS216" s="6244"/>
      <c r="BT216" s="6244"/>
      <c r="BU216" s="6244"/>
      <c r="BV216" s="6403"/>
      <c r="BX216" s="6415"/>
      <c r="BY216" s="6456" t="s">
        <v>9245</v>
      </c>
      <c r="BZ216" s="6244"/>
      <c r="CA216" s="6244"/>
      <c r="CB216" s="6244"/>
      <c r="CC216" s="6244"/>
      <c r="CD216" s="6403"/>
      <c r="CF216" s="6415"/>
      <c r="CG216" s="6456" t="s">
        <v>9387</v>
      </c>
      <c r="CH216" s="6244"/>
      <c r="CI216" s="6244"/>
      <c r="CJ216" s="6244"/>
      <c r="CK216" s="6244"/>
      <c r="CL216" s="6403"/>
      <c r="CN216" s="5">
        <v>1</v>
      </c>
    </row>
    <row r="217" spans="3:92" ht="21" customHeight="1" thickBot="1">
      <c r="C217" s="141"/>
      <c r="D217" s="141"/>
      <c r="E217" s="141"/>
      <c r="G217" s="1416">
        <v>24</v>
      </c>
      <c r="H217" s="1417" t="s">
        <v>1180</v>
      </c>
      <c r="I217" s="988"/>
      <c r="J217" s="988"/>
      <c r="K217" s="988"/>
      <c r="L217" s="1415"/>
      <c r="M217" s="6261" t="s">
        <v>1179</v>
      </c>
      <c r="N217" s="6261"/>
      <c r="O217" s="6261"/>
      <c r="P217" s="1409"/>
      <c r="Y217" s="4"/>
      <c r="Z217" s="4"/>
      <c r="AA217" s="4"/>
      <c r="AB217" s="4"/>
      <c r="AC217" s="1416">
        <v>24</v>
      </c>
      <c r="AD217" s="1417" t="s">
        <v>9732</v>
      </c>
      <c r="AE217" s="988"/>
      <c r="AF217" s="988"/>
      <c r="AG217" s="988"/>
      <c r="AH217" s="1415"/>
      <c r="AI217" s="6261" t="s">
        <v>1179</v>
      </c>
      <c r="AJ217" s="6261"/>
      <c r="AK217" s="6261"/>
      <c r="AL217" s="1409"/>
      <c r="AU217" s="141"/>
      <c r="AV217" s="141"/>
      <c r="AW217" s="141"/>
      <c r="AX217" s="141"/>
      <c r="AY217" s="1416">
        <v>24</v>
      </c>
      <c r="AZ217" s="1417" t="s">
        <v>9871</v>
      </c>
      <c r="BA217" s="988"/>
      <c r="BB217" s="988"/>
      <c r="BC217" s="988"/>
      <c r="BD217" s="1415"/>
      <c r="BE217" s="6261" t="s">
        <v>9507</v>
      </c>
      <c r="BF217" s="6261"/>
      <c r="BG217" s="6261"/>
      <c r="BH217" s="1409"/>
      <c r="BP217" s="6415"/>
      <c r="BQ217" s="6456" t="s">
        <v>9175</v>
      </c>
      <c r="BR217" s="6244"/>
      <c r="BS217" s="6244"/>
      <c r="BT217" s="6244"/>
      <c r="BU217" s="6244"/>
      <c r="BV217" s="6403"/>
      <c r="BX217" s="6415"/>
      <c r="BY217" s="6456" t="s">
        <v>9246</v>
      </c>
      <c r="BZ217" s="6244"/>
      <c r="CA217" s="6244"/>
      <c r="CB217" s="6244"/>
      <c r="CC217" s="6244"/>
      <c r="CD217" s="6403"/>
      <c r="CF217" s="6415"/>
      <c r="CG217" s="6456" t="s">
        <v>9388</v>
      </c>
      <c r="CH217" s="6244"/>
      <c r="CI217" s="6244"/>
      <c r="CJ217" s="6244"/>
      <c r="CK217" s="6244"/>
      <c r="CL217" s="6403"/>
      <c r="CN217" s="5">
        <v>1</v>
      </c>
    </row>
    <row r="218" spans="3:92" ht="21" customHeight="1" thickTop="1">
      <c r="C218" s="141"/>
      <c r="D218" s="141"/>
      <c r="E218" s="141"/>
      <c r="G218" s="1418" t="s">
        <v>1182</v>
      </c>
      <c r="H218" s="988"/>
      <c r="I218" s="988"/>
      <c r="J218" s="988"/>
      <c r="K218" s="988"/>
      <c r="L218" s="1406"/>
      <c r="M218" s="6259" t="s">
        <v>1181</v>
      </c>
      <c r="N218" s="6259"/>
      <c r="O218" s="6259"/>
      <c r="P218" s="1405"/>
      <c r="Y218" s="4"/>
      <c r="Z218" s="4"/>
      <c r="AA218" s="4"/>
      <c r="AB218" s="4"/>
      <c r="AC218" s="1418" t="s">
        <v>9346</v>
      </c>
      <c r="AD218" s="988"/>
      <c r="AE218" s="988"/>
      <c r="AF218" s="988"/>
      <c r="AG218" s="988"/>
      <c r="AH218" s="1406"/>
      <c r="AI218" s="6259" t="s">
        <v>9738</v>
      </c>
      <c r="AJ218" s="6259"/>
      <c r="AK218" s="6259"/>
      <c r="AL218" s="1405"/>
      <c r="AU218" s="141"/>
      <c r="AV218" s="141"/>
      <c r="AW218" s="141"/>
      <c r="AX218" s="141"/>
      <c r="AY218" s="1418" t="s">
        <v>9591</v>
      </c>
      <c r="AZ218" s="988"/>
      <c r="BA218" s="988"/>
      <c r="BB218" s="988"/>
      <c r="BC218" s="988"/>
      <c r="BD218" s="1406"/>
      <c r="BE218" s="6259" t="s">
        <v>9874</v>
      </c>
      <c r="BF218" s="6259"/>
      <c r="BG218" s="6259"/>
      <c r="BH218" s="1405"/>
      <c r="BP218" s="6404"/>
      <c r="BQ218" s="6244"/>
      <c r="BR218" s="6244"/>
      <c r="BS218" s="6244"/>
      <c r="BT218" s="6244"/>
      <c r="BU218" s="6244"/>
      <c r="BV218" s="6413"/>
      <c r="BX218" s="6404"/>
      <c r="BY218" s="6244"/>
      <c r="BZ218" s="6244"/>
      <c r="CA218" s="6244"/>
      <c r="CB218" s="6244"/>
      <c r="CC218" s="6244"/>
      <c r="CD218" s="6413"/>
      <c r="CF218" s="6404"/>
      <c r="CG218" s="6244"/>
      <c r="CH218" s="6244"/>
      <c r="CI218" s="6244"/>
      <c r="CJ218" s="6244"/>
      <c r="CK218" s="6244"/>
      <c r="CL218" s="6413"/>
      <c r="CN218" s="5">
        <v>1</v>
      </c>
    </row>
    <row r="219" spans="3:92" ht="21" customHeight="1">
      <c r="C219" s="141"/>
      <c r="D219" s="141"/>
      <c r="E219" s="141"/>
      <c r="G219" s="5271"/>
      <c r="H219" s="1320"/>
      <c r="I219" s="1320"/>
      <c r="J219" s="988"/>
      <c r="K219" s="988"/>
      <c r="L219" s="1406"/>
      <c r="M219" s="6262" t="s">
        <v>1183</v>
      </c>
      <c r="N219" s="6262"/>
      <c r="O219" s="6262"/>
      <c r="P219" s="1419"/>
      <c r="Y219" s="4"/>
      <c r="Z219" s="4"/>
      <c r="AA219" s="4"/>
      <c r="AB219" s="4"/>
      <c r="AC219" s="5271"/>
      <c r="AD219" s="1320"/>
      <c r="AE219" s="1320"/>
      <c r="AF219" s="988"/>
      <c r="AG219" s="988"/>
      <c r="AH219" s="1406"/>
      <c r="AI219" s="6262" t="s">
        <v>9739</v>
      </c>
      <c r="AJ219" s="6262"/>
      <c r="AK219" s="6262"/>
      <c r="AL219" s="1419"/>
      <c r="AU219" s="141"/>
      <c r="AV219" s="141"/>
      <c r="AW219" s="141"/>
      <c r="AX219" s="141"/>
      <c r="AY219" s="5271"/>
      <c r="AZ219" s="1320"/>
      <c r="BA219" s="1320"/>
      <c r="BB219" s="988"/>
      <c r="BC219" s="988"/>
      <c r="BD219" s="1406"/>
      <c r="BE219" s="6262" t="s">
        <v>9509</v>
      </c>
      <c r="BF219" s="6262"/>
      <c r="BG219" s="6262"/>
      <c r="BH219" s="1419"/>
      <c r="BP219" s="6378" t="s">
        <v>8683</v>
      </c>
      <c r="BQ219" s="6379"/>
      <c r="BR219" s="6379"/>
      <c r="BS219" s="6379"/>
      <c r="BT219" s="6379"/>
      <c r="BU219" s="6379"/>
      <c r="BV219" s="6380"/>
      <c r="BX219" s="6378" t="s">
        <v>8683</v>
      </c>
      <c r="BY219" s="6379"/>
      <c r="BZ219" s="6379"/>
      <c r="CA219" s="6379"/>
      <c r="CB219" s="6379"/>
      <c r="CC219" s="6379"/>
      <c r="CD219" s="6380"/>
      <c r="CF219" s="6378" t="s">
        <v>8683</v>
      </c>
      <c r="CG219" s="6379"/>
      <c r="CH219" s="6379"/>
      <c r="CI219" s="6379"/>
      <c r="CJ219" s="6379"/>
      <c r="CK219" s="6379"/>
      <c r="CL219" s="6380"/>
      <c r="CN219" s="5">
        <v>1</v>
      </c>
    </row>
    <row r="220" spans="3:92" ht="21" customHeight="1">
      <c r="C220" s="141"/>
      <c r="D220" s="141"/>
      <c r="E220" s="141"/>
      <c r="G220" s="6131"/>
      <c r="H220" s="1460"/>
      <c r="I220" s="1460"/>
      <c r="J220" s="1460"/>
      <c r="K220" s="1460"/>
      <c r="L220" s="1460"/>
      <c r="M220" s="6327"/>
      <c r="N220" s="8488"/>
      <c r="O220" s="6263"/>
      <c r="P220" s="6132" t="s">
        <v>1112</v>
      </c>
      <c r="Y220" s="4"/>
      <c r="Z220" s="4"/>
      <c r="AA220" s="4"/>
      <c r="AB220" s="4"/>
      <c r="AC220" s="6131"/>
      <c r="AD220" s="1460"/>
      <c r="AE220" s="1460"/>
      <c r="AF220" s="1460"/>
      <c r="AG220" s="1460"/>
      <c r="AH220" s="1460"/>
      <c r="AI220" s="6327"/>
      <c r="AJ220" s="8488"/>
      <c r="AK220" s="6263"/>
      <c r="AL220" s="6132" t="s">
        <v>9718</v>
      </c>
      <c r="AU220" s="141"/>
      <c r="AV220" s="141"/>
      <c r="AW220" s="141"/>
      <c r="AX220" s="141"/>
      <c r="AY220" s="6131"/>
      <c r="AZ220" s="1460"/>
      <c r="BA220" s="1460"/>
      <c r="BB220" s="1460"/>
      <c r="BC220" s="1460"/>
      <c r="BD220" s="1460"/>
      <c r="BE220" s="6327"/>
      <c r="BF220" s="8488"/>
      <c r="BG220" s="6263"/>
      <c r="BH220" s="6132" t="s">
        <v>9859</v>
      </c>
      <c r="BP220" s="6493"/>
      <c r="BQ220" s="5783"/>
      <c r="BR220" s="5783"/>
      <c r="BS220" s="5783"/>
      <c r="BT220" s="5783"/>
      <c r="BU220" s="5783"/>
      <c r="BV220" s="6403"/>
      <c r="BX220" s="6493"/>
      <c r="BY220" s="5783"/>
      <c r="BZ220" s="5783"/>
      <c r="CA220" s="5783"/>
      <c r="CB220" s="5783"/>
      <c r="CC220" s="5783"/>
      <c r="CD220" s="6403"/>
      <c r="CF220" s="6493"/>
      <c r="CG220" s="5783"/>
      <c r="CH220" s="5783"/>
      <c r="CI220" s="5783"/>
      <c r="CJ220" s="5783"/>
      <c r="CK220" s="5783"/>
      <c r="CL220" s="6403"/>
      <c r="CN220" s="5">
        <v>1</v>
      </c>
    </row>
    <row r="221" spans="3:92" ht="21" customHeight="1">
      <c r="C221" s="141"/>
      <c r="D221" s="141"/>
      <c r="E221" s="141"/>
      <c r="G221" s="1002"/>
      <c r="H221" s="1002"/>
      <c r="I221" s="1002" t="s">
        <v>873</v>
      </c>
      <c r="J221" s="1003"/>
      <c r="K221" s="1329"/>
      <c r="L221" s="1329"/>
      <c r="M221" s="1329"/>
      <c r="N221" s="1329"/>
      <c r="O221" s="1329"/>
      <c r="P221" s="1330"/>
      <c r="Y221" s="4"/>
      <c r="Z221" s="4"/>
      <c r="AA221" s="4"/>
      <c r="AB221" s="4"/>
      <c r="AC221" s="1002"/>
      <c r="AD221" s="1002"/>
      <c r="AE221" s="1002" t="s">
        <v>8386</v>
      </c>
      <c r="AF221" s="1003"/>
      <c r="AG221" s="1329"/>
      <c r="AH221" s="1329"/>
      <c r="AI221" s="1329"/>
      <c r="AJ221" s="1329"/>
      <c r="AK221" s="1329"/>
      <c r="AL221" s="1330"/>
      <c r="AU221" s="141"/>
      <c r="AV221" s="141"/>
      <c r="AW221" s="141"/>
      <c r="AX221" s="141"/>
      <c r="AY221" s="1002"/>
      <c r="AZ221" s="1002"/>
      <c r="BA221" s="1002" t="s">
        <v>8426</v>
      </c>
      <c r="BB221" s="1003"/>
      <c r="BC221" s="1329"/>
      <c r="BD221" s="1329"/>
      <c r="BE221" s="1329"/>
      <c r="BF221" s="1329"/>
      <c r="BG221" s="1329"/>
      <c r="BH221" s="1330"/>
      <c r="BP221" s="6371"/>
      <c r="BQ221" s="6372" t="s">
        <v>9178</v>
      </c>
      <c r="BR221" s="5783"/>
      <c r="BS221" s="5783"/>
      <c r="BT221" s="5783"/>
      <c r="BU221" s="5783"/>
      <c r="BV221" s="6403"/>
      <c r="BX221" s="6371"/>
      <c r="BY221" s="6372" t="s">
        <v>9247</v>
      </c>
      <c r="BZ221" s="5783"/>
      <c r="CA221" s="5783"/>
      <c r="CB221" s="5783"/>
      <c r="CC221" s="5783"/>
      <c r="CD221" s="6403"/>
      <c r="CF221" s="6371"/>
      <c r="CG221" s="6372" t="s">
        <v>9389</v>
      </c>
      <c r="CH221" s="5783"/>
      <c r="CI221" s="5783"/>
      <c r="CJ221" s="5783"/>
      <c r="CK221" s="5783"/>
      <c r="CL221" s="6403"/>
      <c r="CN221" s="5">
        <v>1</v>
      </c>
    </row>
    <row r="222" spans="3:92" ht="21" customHeight="1" thickBot="1">
      <c r="C222" s="141"/>
      <c r="D222" s="141"/>
      <c r="E222" s="141"/>
      <c r="G222" s="1332"/>
      <c r="H222" s="1006"/>
      <c r="I222" s="1007"/>
      <c r="J222" s="1008"/>
      <c r="K222" s="1007"/>
      <c r="L222" s="1007"/>
      <c r="M222" s="1007"/>
      <c r="N222" s="1007"/>
      <c r="O222" s="1007"/>
      <c r="P222" s="1333"/>
      <c r="Y222" s="4"/>
      <c r="Z222" s="4"/>
      <c r="AA222" s="4"/>
      <c r="AB222" s="4"/>
      <c r="AC222" s="1332"/>
      <c r="AD222" s="1006"/>
      <c r="AE222" s="1007"/>
      <c r="AF222" s="1008"/>
      <c r="AG222" s="1007"/>
      <c r="AH222" s="1007"/>
      <c r="AI222" s="1007"/>
      <c r="AJ222" s="1007"/>
      <c r="AK222" s="1007"/>
      <c r="AL222" s="1333"/>
      <c r="AU222" s="141"/>
      <c r="AV222" s="141"/>
      <c r="AW222" s="141"/>
      <c r="AX222" s="141"/>
      <c r="AY222" s="1332"/>
      <c r="AZ222" s="1006"/>
      <c r="BA222" s="1007"/>
      <c r="BB222" s="1008"/>
      <c r="BC222" s="1007"/>
      <c r="BD222" s="1007"/>
      <c r="BE222" s="1007"/>
      <c r="BF222" s="1007"/>
      <c r="BG222" s="1007"/>
      <c r="BH222" s="1333"/>
      <c r="BP222" s="6371"/>
      <c r="BQ222" s="6372"/>
      <c r="BR222" s="5783"/>
      <c r="BS222" s="5783"/>
      <c r="BT222" s="5783"/>
      <c r="BU222" s="5783"/>
      <c r="BV222" s="6403"/>
      <c r="BX222" s="6371"/>
      <c r="BY222" s="6372"/>
      <c r="BZ222" s="5783"/>
      <c r="CA222" s="5783"/>
      <c r="CB222" s="5783"/>
      <c r="CC222" s="5783"/>
      <c r="CD222" s="6403"/>
      <c r="CF222" s="6371"/>
      <c r="CG222" s="6372"/>
      <c r="CH222" s="5783"/>
      <c r="CI222" s="5783"/>
      <c r="CJ222" s="5783"/>
      <c r="CK222" s="5783"/>
      <c r="CL222" s="6403"/>
      <c r="CN222" s="5">
        <v>1</v>
      </c>
    </row>
    <row r="223" spans="3:92" ht="21" customHeight="1">
      <c r="C223" s="141"/>
      <c r="D223" s="141"/>
      <c r="E223" s="141"/>
      <c r="G223" s="141"/>
      <c r="H223" s="141"/>
      <c r="I223" s="141"/>
      <c r="J223" s="141"/>
      <c r="K223" s="141"/>
      <c r="L223" s="141"/>
      <c r="M223" s="141"/>
      <c r="N223" s="141"/>
      <c r="O223" s="141"/>
      <c r="P223" s="141"/>
      <c r="Y223" s="4"/>
      <c r="Z223" s="4"/>
      <c r="AA223" s="4"/>
      <c r="AB223" s="4"/>
      <c r="AC223" s="141"/>
      <c r="AD223" s="141"/>
      <c r="AE223" s="141"/>
      <c r="AF223" s="141"/>
      <c r="AG223" s="141"/>
      <c r="AH223" s="141"/>
      <c r="AI223" s="141"/>
      <c r="AJ223" s="141"/>
      <c r="AK223" s="141"/>
      <c r="AL223" s="141"/>
      <c r="AU223" s="141"/>
      <c r="AV223" s="141"/>
      <c r="AW223" s="141"/>
      <c r="AX223" s="141"/>
      <c r="AY223" s="141"/>
      <c r="AZ223" s="141"/>
      <c r="BA223" s="141"/>
      <c r="BB223" s="141"/>
      <c r="BC223" s="141"/>
      <c r="BD223" s="141"/>
      <c r="BE223" s="141"/>
      <c r="BF223" s="141"/>
      <c r="BG223" s="141"/>
      <c r="BH223" s="141"/>
      <c r="BP223" s="6381" t="s">
        <v>212</v>
      </c>
      <c r="BQ223" s="310" t="s">
        <v>211</v>
      </c>
      <c r="BR223" s="310" t="s">
        <v>210</v>
      </c>
      <c r="BS223" s="310" t="s">
        <v>7928</v>
      </c>
      <c r="BT223" s="310" t="s">
        <v>208</v>
      </c>
      <c r="BU223" s="310" t="s">
        <v>207</v>
      </c>
      <c r="BV223" s="6384" t="s">
        <v>206</v>
      </c>
      <c r="BX223" s="6381" t="s">
        <v>212</v>
      </c>
      <c r="BY223" s="310" t="s">
        <v>211</v>
      </c>
      <c r="BZ223" s="310" t="s">
        <v>210</v>
      </c>
      <c r="CA223" s="310" t="s">
        <v>7928</v>
      </c>
      <c r="CB223" s="310" t="s">
        <v>208</v>
      </c>
      <c r="CC223" s="310" t="s">
        <v>207</v>
      </c>
      <c r="CD223" s="6384" t="s">
        <v>206</v>
      </c>
      <c r="CF223" s="6381" t="s">
        <v>212</v>
      </c>
      <c r="CG223" s="310" t="s">
        <v>211</v>
      </c>
      <c r="CH223" s="310" t="s">
        <v>210</v>
      </c>
      <c r="CI223" s="310" t="s">
        <v>7928</v>
      </c>
      <c r="CJ223" s="310" t="s">
        <v>208</v>
      </c>
      <c r="CK223" s="310" t="s">
        <v>207</v>
      </c>
      <c r="CL223" s="6384" t="s">
        <v>206</v>
      </c>
      <c r="CN223" s="5">
        <v>1</v>
      </c>
    </row>
    <row r="224" spans="3:92" ht="21" customHeight="1">
      <c r="C224" s="141"/>
      <c r="D224" s="141"/>
      <c r="E224" s="141"/>
      <c r="G224" s="141"/>
      <c r="H224" s="141"/>
      <c r="I224" s="141"/>
      <c r="J224" s="141"/>
      <c r="K224" s="141"/>
      <c r="L224" s="141"/>
      <c r="M224" s="141"/>
      <c r="N224" s="141"/>
      <c r="O224" s="141"/>
      <c r="P224" s="141"/>
      <c r="Y224" s="4"/>
      <c r="Z224" s="4"/>
      <c r="AA224" s="4"/>
      <c r="AB224" s="4"/>
      <c r="AC224" s="141"/>
      <c r="AD224" s="141"/>
      <c r="AE224" s="141"/>
      <c r="AF224" s="141"/>
      <c r="AG224" s="141"/>
      <c r="AH224" s="141"/>
      <c r="AI224" s="141"/>
      <c r="AJ224" s="141"/>
      <c r="AK224" s="141"/>
      <c r="AL224" s="141"/>
      <c r="AU224" s="141"/>
      <c r="AV224" s="141"/>
      <c r="AW224" s="141"/>
      <c r="AX224" s="141"/>
      <c r="AY224" s="141"/>
      <c r="AZ224" s="141"/>
      <c r="BA224" s="141"/>
      <c r="BB224" s="141"/>
      <c r="BC224" s="141"/>
      <c r="BD224" s="141"/>
      <c r="BE224" s="141"/>
      <c r="BF224" s="141"/>
      <c r="BG224" s="141"/>
      <c r="BH224" s="141"/>
      <c r="BP224" s="6385" t="s">
        <v>88</v>
      </c>
      <c r="BQ224" s="6285" t="s">
        <v>172</v>
      </c>
      <c r="BR224" s="6285" t="s">
        <v>170</v>
      </c>
      <c r="BS224" s="6285" t="s">
        <v>166</v>
      </c>
      <c r="BT224" s="6286" t="s">
        <v>159</v>
      </c>
      <c r="BU224" s="6286" t="s">
        <v>8012</v>
      </c>
      <c r="BV224" s="6386" t="s">
        <v>8764</v>
      </c>
      <c r="BX224" s="6702" t="s">
        <v>88</v>
      </c>
      <c r="BY224" s="6285" t="s">
        <v>172</v>
      </c>
      <c r="BZ224" s="6285" t="s">
        <v>170</v>
      </c>
      <c r="CA224" s="6702" t="s">
        <v>166</v>
      </c>
      <c r="CB224" s="6286" t="s">
        <v>9615</v>
      </c>
      <c r="CC224" s="6286" t="s">
        <v>9619</v>
      </c>
      <c r="CD224" s="6286" t="s">
        <v>9621</v>
      </c>
      <c r="CF224" s="6702" t="s">
        <v>88</v>
      </c>
      <c r="CG224" s="6285" t="s">
        <v>172</v>
      </c>
      <c r="CH224" s="6285" t="s">
        <v>170</v>
      </c>
      <c r="CI224" s="6702" t="s">
        <v>166</v>
      </c>
      <c r="CJ224" s="6286" t="s">
        <v>9616</v>
      </c>
      <c r="CK224" s="6286" t="s">
        <v>9620</v>
      </c>
      <c r="CL224" s="6282" t="s">
        <v>9622</v>
      </c>
      <c r="CN224" s="5">
        <v>1</v>
      </c>
    </row>
    <row r="225" spans="3:92" ht="21" customHeight="1">
      <c r="C225" s="141"/>
      <c r="D225" s="141"/>
      <c r="E225" s="141"/>
      <c r="G225" s="5815" t="s">
        <v>252</v>
      </c>
      <c r="H225" s="6098"/>
      <c r="I225" s="6098"/>
      <c r="J225" s="6098"/>
      <c r="K225" s="6098"/>
      <c r="L225" s="6098"/>
      <c r="M225" s="6098"/>
      <c r="N225" s="6098"/>
      <c r="O225" s="6325"/>
      <c r="P225" s="6133" t="s">
        <v>1158</v>
      </c>
      <c r="Y225" s="4"/>
      <c r="Z225" s="4"/>
      <c r="AA225" s="4"/>
      <c r="AB225" s="4"/>
      <c r="AC225" s="1354" t="s">
        <v>9333</v>
      </c>
      <c r="AD225" s="6098"/>
      <c r="AE225" s="6098"/>
      <c r="AF225" s="6098"/>
      <c r="AG225" s="6098"/>
      <c r="AH225" s="6098"/>
      <c r="AI225" s="6098"/>
      <c r="AJ225" s="6098"/>
      <c r="AK225" s="6325"/>
      <c r="AL225" s="6133" t="s">
        <v>9725</v>
      </c>
      <c r="AU225" s="141"/>
      <c r="AV225" s="141"/>
      <c r="AW225" s="141"/>
      <c r="AX225" s="141"/>
      <c r="AY225" s="1354" t="s">
        <v>9490</v>
      </c>
      <c r="AZ225" s="6098"/>
      <c r="BA225" s="6098"/>
      <c r="BB225" s="6098"/>
      <c r="BC225" s="6098"/>
      <c r="BD225" s="6098"/>
      <c r="BE225" s="6098"/>
      <c r="BF225" s="6098"/>
      <c r="BG225" s="6325"/>
      <c r="BH225" s="6133" t="s">
        <v>9865</v>
      </c>
      <c r="BP225" s="6387" t="s">
        <v>126</v>
      </c>
      <c r="BQ225" s="6281" t="s">
        <v>152</v>
      </c>
      <c r="BR225" s="6281" t="s">
        <v>143</v>
      </c>
      <c r="BS225" s="6286" t="s">
        <v>946</v>
      </c>
      <c r="BT225" s="6286" t="s">
        <v>8765</v>
      </c>
      <c r="BU225" s="6286" t="s">
        <v>124</v>
      </c>
      <c r="BV225" s="6290" t="s">
        <v>110</v>
      </c>
      <c r="BX225" s="6281" t="s">
        <v>9631</v>
      </c>
      <c r="BY225" s="6281" t="s">
        <v>9688</v>
      </c>
      <c r="BZ225" s="6281" t="s">
        <v>9689</v>
      </c>
      <c r="CA225" s="6286" t="s">
        <v>9690</v>
      </c>
      <c r="CB225" s="6286" t="s">
        <v>9617</v>
      </c>
      <c r="CC225" s="6286" t="s">
        <v>9623</v>
      </c>
      <c r="CD225" s="6755" t="s">
        <v>9691</v>
      </c>
      <c r="CF225" s="6294" t="s">
        <v>9632</v>
      </c>
      <c r="CG225" s="6281" t="s">
        <v>9697</v>
      </c>
      <c r="CH225" s="6281" t="s">
        <v>9698</v>
      </c>
      <c r="CI225" s="6286" t="s">
        <v>9699</v>
      </c>
      <c r="CJ225" s="6286" t="s">
        <v>9618</v>
      </c>
      <c r="CK225" s="6286" t="s">
        <v>9624</v>
      </c>
      <c r="CL225" s="6755" t="s">
        <v>9648</v>
      </c>
      <c r="CN225" s="5">
        <v>1</v>
      </c>
    </row>
    <row r="226" spans="3:92" ht="21" customHeight="1">
      <c r="C226" s="141"/>
      <c r="D226" s="141"/>
      <c r="E226" s="141"/>
      <c r="G226" s="1435"/>
      <c r="H226" s="1435"/>
      <c r="I226" s="1435"/>
      <c r="J226" s="1435"/>
      <c r="K226" s="1435"/>
      <c r="L226" s="1435"/>
      <c r="M226" s="1435"/>
      <c r="N226" s="1435"/>
      <c r="O226" s="6328"/>
      <c r="P226" s="6134" t="s">
        <v>1196</v>
      </c>
      <c r="Y226" s="4"/>
      <c r="Z226" s="4"/>
      <c r="AA226" s="4"/>
      <c r="AB226" s="4"/>
      <c r="AC226" s="1435"/>
      <c r="AD226" s="1435"/>
      <c r="AE226" s="1435"/>
      <c r="AF226" s="1435"/>
      <c r="AG226" s="1435"/>
      <c r="AH226" s="1435"/>
      <c r="AI226" s="1435"/>
      <c r="AJ226" s="1435"/>
      <c r="AK226" s="6328"/>
      <c r="AL226" s="6134" t="s">
        <v>9740</v>
      </c>
      <c r="AU226" s="141"/>
      <c r="AV226" s="141"/>
      <c r="AW226" s="141"/>
      <c r="AX226" s="141"/>
      <c r="AY226" s="1435"/>
      <c r="AZ226" s="1435"/>
      <c r="BA226" s="1435"/>
      <c r="BB226" s="1435"/>
      <c r="BC226" s="1435"/>
      <c r="BD226" s="1435"/>
      <c r="BE226" s="1435"/>
      <c r="BF226" s="1435"/>
      <c r="BG226" s="6328"/>
      <c r="BH226" s="6134" t="s">
        <v>9875</v>
      </c>
      <c r="BP226" s="6371"/>
      <c r="BQ226" s="6455" t="s">
        <v>9177</v>
      </c>
      <c r="BR226" s="5783"/>
      <c r="BS226" s="5783"/>
      <c r="BT226" s="5783"/>
      <c r="BU226" s="5783"/>
      <c r="BV226" s="6403"/>
      <c r="BX226" s="6371"/>
      <c r="BY226" s="6455" t="s">
        <v>9248</v>
      </c>
      <c r="BZ226" s="5783"/>
      <c r="CA226" s="5783"/>
      <c r="CB226" s="5783"/>
      <c r="CC226" s="5783"/>
      <c r="CD226" s="6403"/>
      <c r="CF226" s="6371"/>
      <c r="CG226" s="6455" t="s">
        <v>9390</v>
      </c>
      <c r="CH226" s="5783"/>
      <c r="CI226" s="5783"/>
      <c r="CJ226" s="5783"/>
      <c r="CK226" s="5783"/>
      <c r="CL226" s="6403"/>
      <c r="CN226" s="5">
        <v>1</v>
      </c>
    </row>
    <row r="227" spans="3:92" ht="21" customHeight="1">
      <c r="C227" s="141"/>
      <c r="D227" s="141"/>
      <c r="E227" s="141"/>
      <c r="G227" s="6135" t="s">
        <v>1199</v>
      </c>
      <c r="H227" s="6103" t="s">
        <v>1200</v>
      </c>
      <c r="I227" s="1362"/>
      <c r="J227" s="6104" t="s">
        <v>1201</v>
      </c>
      <c r="K227" s="6105" t="s">
        <v>1202</v>
      </c>
      <c r="L227" s="988"/>
      <c r="M227" s="988"/>
      <c r="N227" s="988"/>
      <c r="O227" s="988"/>
      <c r="P227" s="1325"/>
      <c r="Y227" s="4"/>
      <c r="Z227" s="4"/>
      <c r="AA227" s="4"/>
      <c r="AB227" s="4"/>
      <c r="AC227" s="6135" t="s">
        <v>9353</v>
      </c>
      <c r="AD227" s="6103" t="s">
        <v>9354</v>
      </c>
      <c r="AE227" s="1362"/>
      <c r="AF227" s="6737" t="s">
        <v>9355</v>
      </c>
      <c r="AG227" s="6105" t="s">
        <v>1202</v>
      </c>
      <c r="AH227" s="988"/>
      <c r="AI227" s="988"/>
      <c r="AJ227" s="988"/>
      <c r="AK227" s="988"/>
      <c r="AL227" s="1325"/>
      <c r="AU227" s="141"/>
      <c r="AV227" s="141"/>
      <c r="AW227" s="141"/>
      <c r="AX227" s="141"/>
      <c r="AY227" s="6135" t="s">
        <v>9876</v>
      </c>
      <c r="AZ227" s="6107" t="s">
        <v>9877</v>
      </c>
      <c r="BA227" s="1362"/>
      <c r="BB227" s="6104" t="s">
        <v>9512</v>
      </c>
      <c r="BC227" s="6105" t="s">
        <v>9513</v>
      </c>
      <c r="BD227" s="988"/>
      <c r="BE227" s="988"/>
      <c r="BF227" s="988"/>
      <c r="BG227" s="988"/>
      <c r="BH227" s="1325"/>
      <c r="BP227" s="6414"/>
      <c r="BQ227" s="6244" t="s">
        <v>9170</v>
      </c>
      <c r="BR227" s="5783"/>
      <c r="BS227" s="5783"/>
      <c r="BT227" s="5783"/>
      <c r="BU227" s="5783"/>
      <c r="BV227" s="6403"/>
      <c r="BX227" s="6414"/>
      <c r="BY227" s="6244" t="s">
        <v>9249</v>
      </c>
      <c r="BZ227" s="5783"/>
      <c r="CA227" s="5783"/>
      <c r="CB227" s="5783"/>
      <c r="CC227" s="5783"/>
      <c r="CD227" s="6403"/>
      <c r="CF227" s="6414"/>
      <c r="CG227" s="6244" t="s">
        <v>9391</v>
      </c>
      <c r="CH227" s="5783"/>
      <c r="CI227" s="5783"/>
      <c r="CJ227" s="5783"/>
      <c r="CK227" s="5783"/>
      <c r="CL227" s="6403"/>
      <c r="CN227" s="5">
        <v>1</v>
      </c>
    </row>
    <row r="228" spans="3:92" ht="21" customHeight="1">
      <c r="C228" s="141"/>
      <c r="D228" s="141"/>
      <c r="E228" s="141"/>
      <c r="G228" s="6136"/>
      <c r="H228" s="6107"/>
      <c r="I228" s="988"/>
      <c r="J228" s="6108"/>
      <c r="K228" s="6109"/>
      <c r="L228" s="1257" t="s">
        <v>1159</v>
      </c>
      <c r="M228" s="988"/>
      <c r="N228" s="988"/>
      <c r="O228" s="988"/>
      <c r="P228" s="1325"/>
      <c r="Y228" s="4"/>
      <c r="Z228" s="4"/>
      <c r="AA228" s="4"/>
      <c r="AB228" s="4"/>
      <c r="AC228" s="6136"/>
      <c r="AD228" s="6107"/>
      <c r="AE228" s="988"/>
      <c r="AF228" s="6108"/>
      <c r="AG228" s="6109"/>
      <c r="AH228" s="1257" t="s">
        <v>9340</v>
      </c>
      <c r="AI228" s="988"/>
      <c r="AJ228" s="988"/>
      <c r="AK228" s="988"/>
      <c r="AL228" s="1325"/>
      <c r="AU228" s="141"/>
      <c r="AV228" s="141"/>
      <c r="AW228" s="141"/>
      <c r="AX228" s="141"/>
      <c r="AY228" s="6136"/>
      <c r="AZ228" s="6107"/>
      <c r="BA228" s="988"/>
      <c r="BB228" s="6108"/>
      <c r="BC228" s="6109"/>
      <c r="BD228" s="1257" t="s">
        <v>9497</v>
      </c>
      <c r="BE228" s="988"/>
      <c r="BF228" s="988"/>
      <c r="BG228" s="988"/>
      <c r="BH228" s="1325"/>
      <c r="BP228" s="6415"/>
      <c r="BQ228" s="6456" t="s">
        <v>9171</v>
      </c>
      <c r="BR228" s="5783"/>
      <c r="BS228" s="5783"/>
      <c r="BT228" s="5783"/>
      <c r="BU228" s="5783"/>
      <c r="BV228" s="6403"/>
      <c r="BX228" s="6415"/>
      <c r="BY228" s="6456" t="s">
        <v>9250</v>
      </c>
      <c r="BZ228" s="5783"/>
      <c r="CA228" s="5783"/>
      <c r="CB228" s="5783"/>
      <c r="CC228" s="5783"/>
      <c r="CD228" s="6403"/>
      <c r="CF228" s="6415"/>
      <c r="CG228" s="6456" t="s">
        <v>9392</v>
      </c>
      <c r="CH228" s="5783"/>
      <c r="CI228" s="5783"/>
      <c r="CJ228" s="5783"/>
      <c r="CK228" s="5783"/>
      <c r="CL228" s="6403"/>
      <c r="CN228" s="5">
        <v>1</v>
      </c>
    </row>
    <row r="229" spans="3:92" ht="21" customHeight="1">
      <c r="C229" s="141"/>
      <c r="D229" s="141"/>
      <c r="E229" s="141"/>
      <c r="G229" s="6136">
        <v>3</v>
      </c>
      <c r="H229" s="6107"/>
      <c r="I229" s="988"/>
      <c r="J229" s="6108"/>
      <c r="K229" s="6109"/>
      <c r="L229" s="1257" t="s">
        <v>1163</v>
      </c>
      <c r="M229" s="988"/>
      <c r="N229" s="988"/>
      <c r="O229" s="988"/>
      <c r="P229" s="1325"/>
      <c r="Y229" s="4"/>
      <c r="Z229" s="4"/>
      <c r="AA229" s="4"/>
      <c r="AB229" s="4"/>
      <c r="AC229" s="6136">
        <v>3</v>
      </c>
      <c r="AD229" s="6107"/>
      <c r="AE229" s="988"/>
      <c r="AF229" s="6108"/>
      <c r="AG229" s="6109"/>
      <c r="AH229" s="1257" t="s">
        <v>9341</v>
      </c>
      <c r="AI229" s="988"/>
      <c r="AJ229" s="988"/>
      <c r="AK229" s="988"/>
      <c r="AL229" s="1325"/>
      <c r="AU229" s="141"/>
      <c r="AV229" s="141"/>
      <c r="AW229" s="141"/>
      <c r="AX229" s="141"/>
      <c r="AY229" s="6136">
        <v>3</v>
      </c>
      <c r="AZ229" s="6107"/>
      <c r="BA229" s="988"/>
      <c r="BB229" s="6108"/>
      <c r="BC229" s="6109"/>
      <c r="BD229" s="1257" t="s">
        <v>9498</v>
      </c>
      <c r="BE229" s="988"/>
      <c r="BF229" s="988"/>
      <c r="BG229" s="988"/>
      <c r="BH229" s="1325"/>
      <c r="BP229" s="6415"/>
      <c r="BQ229" s="6456" t="s">
        <v>9172</v>
      </c>
      <c r="BR229" s="5783"/>
      <c r="BS229" s="5783"/>
      <c r="BT229" s="5783"/>
      <c r="BU229" s="5783"/>
      <c r="BV229" s="6403"/>
      <c r="BX229" s="6415"/>
      <c r="BY229" s="6456" t="s">
        <v>9251</v>
      </c>
      <c r="BZ229" s="5783"/>
      <c r="CA229" s="5783"/>
      <c r="CB229" s="5783"/>
      <c r="CC229" s="5783"/>
      <c r="CD229" s="6403"/>
      <c r="CF229" s="6415"/>
      <c r="CG229" s="6456" t="s">
        <v>9393</v>
      </c>
      <c r="CH229" s="5783"/>
      <c r="CI229" s="5783"/>
      <c r="CJ229" s="5783"/>
      <c r="CK229" s="5783"/>
      <c r="CL229" s="6403"/>
      <c r="CN229" s="5">
        <v>1</v>
      </c>
    </row>
    <row r="230" spans="3:92" ht="21" customHeight="1">
      <c r="C230" s="141"/>
      <c r="D230" s="141"/>
      <c r="E230" s="141"/>
      <c r="G230" s="6136"/>
      <c r="H230" s="6107"/>
      <c r="I230" s="988"/>
      <c r="J230" s="6108"/>
      <c r="K230" s="6109"/>
      <c r="L230" s="1257" t="s">
        <v>1165</v>
      </c>
      <c r="M230" s="988"/>
      <c r="N230" s="988"/>
      <c r="O230" s="988"/>
      <c r="P230" s="1325"/>
      <c r="Y230" s="4"/>
      <c r="Z230" s="4"/>
      <c r="AA230" s="4"/>
      <c r="AB230" s="4"/>
      <c r="AC230" s="6136"/>
      <c r="AD230" s="6107"/>
      <c r="AE230" s="988"/>
      <c r="AF230" s="6108"/>
      <c r="AG230" s="6109"/>
      <c r="AH230" s="1257" t="s">
        <v>9342</v>
      </c>
      <c r="AI230" s="988"/>
      <c r="AJ230" s="988"/>
      <c r="AK230" s="988"/>
      <c r="AL230" s="1325"/>
      <c r="AU230" s="141"/>
      <c r="AV230" s="141"/>
      <c r="AW230" s="141"/>
      <c r="AX230" s="141"/>
      <c r="AY230" s="6136"/>
      <c r="AZ230" s="6107"/>
      <c r="BA230" s="988"/>
      <c r="BB230" s="6108"/>
      <c r="BC230" s="6109"/>
      <c r="BD230" s="1257" t="s">
        <v>9499</v>
      </c>
      <c r="BE230" s="988"/>
      <c r="BF230" s="988"/>
      <c r="BG230" s="988"/>
      <c r="BH230" s="1325"/>
      <c r="BP230" s="6415"/>
      <c r="BQ230" s="5783"/>
      <c r="BR230" s="5783"/>
      <c r="BS230" s="5783"/>
      <c r="BT230" s="5783"/>
      <c r="BU230" s="5783"/>
      <c r="BV230" s="6403"/>
      <c r="BX230" s="6415"/>
      <c r="BY230" s="5783"/>
      <c r="BZ230" s="5783"/>
      <c r="CA230" s="5783"/>
      <c r="CB230" s="5783"/>
      <c r="CC230" s="5783"/>
      <c r="CD230" s="6403"/>
      <c r="CF230" s="6415"/>
      <c r="CG230" s="5783"/>
      <c r="CH230" s="5783"/>
      <c r="CI230" s="5783"/>
      <c r="CJ230" s="5783"/>
      <c r="CK230" s="5783"/>
      <c r="CL230" s="6403"/>
      <c r="CN230" s="5">
        <v>1</v>
      </c>
    </row>
    <row r="231" spans="3:92" ht="21" customHeight="1">
      <c r="C231" s="141"/>
      <c r="D231" s="141"/>
      <c r="E231" s="141"/>
      <c r="G231" s="6136">
        <v>2</v>
      </c>
      <c r="H231" s="6107"/>
      <c r="I231" s="988"/>
      <c r="J231" s="6108"/>
      <c r="K231" s="6109"/>
      <c r="L231" s="1257" t="s">
        <v>1167</v>
      </c>
      <c r="M231" s="988"/>
      <c r="N231" s="988"/>
      <c r="O231" s="988"/>
      <c r="P231" s="1325"/>
      <c r="Y231" s="4"/>
      <c r="Z231" s="4"/>
      <c r="AA231" s="4"/>
      <c r="AB231" s="4"/>
      <c r="AC231" s="6136">
        <v>2</v>
      </c>
      <c r="AD231" s="6107"/>
      <c r="AE231" s="988"/>
      <c r="AF231" s="6108"/>
      <c r="AG231" s="6109"/>
      <c r="AH231" s="1257" t="s">
        <v>9726</v>
      </c>
      <c r="AI231" s="988"/>
      <c r="AJ231" s="988"/>
      <c r="AK231" s="988"/>
      <c r="AL231" s="1325"/>
      <c r="AU231" s="141"/>
      <c r="AV231" s="141"/>
      <c r="AW231" s="141"/>
      <c r="AX231" s="141"/>
      <c r="AY231" s="6136">
        <v>2</v>
      </c>
      <c r="AZ231" s="6107"/>
      <c r="BA231" s="988"/>
      <c r="BB231" s="6108"/>
      <c r="BC231" s="6109"/>
      <c r="BD231" s="1257" t="s">
        <v>9866</v>
      </c>
      <c r="BE231" s="988"/>
      <c r="BF231" s="988"/>
      <c r="BG231" s="988"/>
      <c r="BH231" s="1325"/>
      <c r="BP231" s="6439" t="s">
        <v>9187</v>
      </c>
      <c r="BQ231" s="5783"/>
      <c r="BR231" s="5783"/>
      <c r="BS231" s="5783"/>
      <c r="BT231" s="5783"/>
      <c r="BU231" s="5783"/>
      <c r="BV231" s="6403"/>
      <c r="BX231" s="6439" t="s">
        <v>9187</v>
      </c>
      <c r="BY231" s="5783"/>
      <c r="BZ231" s="5783"/>
      <c r="CA231" s="5783"/>
      <c r="CB231" s="5783"/>
      <c r="CC231" s="5783"/>
      <c r="CD231" s="6403"/>
      <c r="CF231" s="6439" t="s">
        <v>9394</v>
      </c>
      <c r="CG231" s="5783"/>
      <c r="CH231" s="5783"/>
      <c r="CI231" s="5783"/>
      <c r="CJ231" s="5783"/>
      <c r="CK231" s="5783"/>
      <c r="CL231" s="6403"/>
      <c r="CN231" s="5">
        <v>1</v>
      </c>
    </row>
    <row r="232" spans="3:92" ht="21" customHeight="1">
      <c r="C232" s="141"/>
      <c r="D232" s="141"/>
      <c r="E232" s="141"/>
      <c r="G232" s="6137"/>
      <c r="H232" s="6138"/>
      <c r="I232" s="988"/>
      <c r="J232" s="6139"/>
      <c r="K232" s="6140"/>
      <c r="L232" s="1257" t="s">
        <v>1170</v>
      </c>
      <c r="M232" s="988"/>
      <c r="N232" s="988"/>
      <c r="O232" s="988"/>
      <c r="P232" s="1325"/>
      <c r="Y232" s="4"/>
      <c r="Z232" s="4"/>
      <c r="AA232" s="4"/>
      <c r="AB232" s="4"/>
      <c r="AC232" s="6137"/>
      <c r="AD232" s="6138"/>
      <c r="AE232" s="988"/>
      <c r="AF232" s="6139"/>
      <c r="AG232" s="6140"/>
      <c r="AH232" s="1257" t="s">
        <v>9728</v>
      </c>
      <c r="AI232" s="988"/>
      <c r="AJ232" s="988"/>
      <c r="AK232" s="988"/>
      <c r="AL232" s="1325"/>
      <c r="AU232" s="141"/>
      <c r="AV232" s="141"/>
      <c r="AW232" s="141"/>
      <c r="AX232" s="141"/>
      <c r="AY232" s="6137"/>
      <c r="AZ232" s="6138"/>
      <c r="BA232" s="988"/>
      <c r="BB232" s="6139"/>
      <c r="BC232" s="6140"/>
      <c r="BD232" s="1257" t="s">
        <v>9868</v>
      </c>
      <c r="BE232" s="988"/>
      <c r="BF232" s="988"/>
      <c r="BG232" s="988"/>
      <c r="BH232" s="1325"/>
      <c r="BP232" s="6440" t="s">
        <v>9188</v>
      </c>
      <c r="BQ232" s="6381" t="s">
        <v>265</v>
      </c>
      <c r="BR232" s="6381" t="s">
        <v>264</v>
      </c>
      <c r="BS232" s="6381" t="s">
        <v>263</v>
      </c>
      <c r="BT232" s="6381" t="s">
        <v>218</v>
      </c>
      <c r="BU232" s="6497" t="s">
        <v>9196</v>
      </c>
      <c r="BV232" s="6403"/>
      <c r="BX232" s="6440" t="s">
        <v>9252</v>
      </c>
      <c r="BY232" s="6381" t="s">
        <v>265</v>
      </c>
      <c r="BZ232" s="6381" t="s">
        <v>264</v>
      </c>
      <c r="CA232" s="6381" t="s">
        <v>263</v>
      </c>
      <c r="CB232" s="6381" t="s">
        <v>218</v>
      </c>
      <c r="CC232" s="6497" t="s">
        <v>9196</v>
      </c>
      <c r="CD232" s="6403"/>
      <c r="CF232" s="6440" t="s">
        <v>9395</v>
      </c>
      <c r="CG232" s="6381" t="s">
        <v>265</v>
      </c>
      <c r="CH232" s="6381" t="s">
        <v>264</v>
      </c>
      <c r="CI232" s="6381" t="s">
        <v>263</v>
      </c>
      <c r="CJ232" s="6381" t="s">
        <v>218</v>
      </c>
      <c r="CK232" s="6497" t="s">
        <v>9196</v>
      </c>
      <c r="CL232" s="6403"/>
      <c r="CN232" s="5">
        <v>1</v>
      </c>
    </row>
    <row r="233" spans="3:92" ht="21" customHeight="1">
      <c r="C233" s="141"/>
      <c r="D233" s="141"/>
      <c r="E233" s="141"/>
      <c r="G233" s="6112" t="str">
        <f>SUM(G228:G232) &amp; " / " &amp; (COUNTA(G228:G232) * 3)</f>
        <v>5 / 6</v>
      </c>
      <c r="H233" s="6111" t="str">
        <f>SUM(H228:H232) &amp; " / " &amp; (COUNTA(H228:H232) * 3)</f>
        <v>0 / 0</v>
      </c>
      <c r="I233" s="988"/>
      <c r="J233" s="6112" t="str">
        <f>SUM(J228:J232) &amp; " / " &amp; (COUNTA(J228:J232) * 3)</f>
        <v>0 / 0</v>
      </c>
      <c r="K233" s="6111" t="str">
        <f>SUM(K228:K232) &amp; " / " &amp; (COUNTA(K228:K232) * 3)</f>
        <v>0 / 0</v>
      </c>
      <c r="L233" s="988" t="s">
        <v>1177</v>
      </c>
      <c r="M233" s="988"/>
      <c r="N233" s="988"/>
      <c r="O233" s="988"/>
      <c r="P233" s="1325"/>
      <c r="Y233" s="4"/>
      <c r="Z233" s="4"/>
      <c r="AA233" s="4"/>
      <c r="AB233" s="4"/>
      <c r="AC233" s="6112" t="str">
        <f>SUM(AC228:AC232) &amp; " / " &amp; (COUNTA(AC228:AC232) * 3)</f>
        <v>5 / 6</v>
      </c>
      <c r="AD233" s="6111" t="str">
        <f>SUM(AD228:AD232) &amp; " / " &amp; (COUNTA(AD228:AD232) * 3)</f>
        <v>0 / 0</v>
      </c>
      <c r="AE233" s="988"/>
      <c r="AF233" s="6112" t="str">
        <f>SUM(AF228:AF232) &amp; " / " &amp; (COUNTA(AF228:AF232) * 3)</f>
        <v>0 / 0</v>
      </c>
      <c r="AG233" s="6111" t="str">
        <f>SUM(AG228:AG232) &amp; " / " &amp; (COUNTA(AG228:AG232) * 3)</f>
        <v>0 / 0</v>
      </c>
      <c r="AH233" s="988" t="s">
        <v>9343</v>
      </c>
      <c r="AI233" s="988"/>
      <c r="AJ233" s="988"/>
      <c r="AK233" s="988"/>
      <c r="AL233" s="1325"/>
      <c r="AU233" s="141"/>
      <c r="AV233" s="141"/>
      <c r="AW233" s="141"/>
      <c r="AX233" s="141"/>
      <c r="AY233" s="6112" t="str">
        <f>SUM(AY228:AY232) &amp; " / " &amp; (COUNTA(AY228:AY232) * 3)</f>
        <v>5 / 6</v>
      </c>
      <c r="AZ233" s="6111" t="str">
        <f>SUM(AZ228:AZ232) &amp; " / " &amp; (COUNTA(AZ228:AZ232) * 3)</f>
        <v>0 / 0</v>
      </c>
      <c r="BA233" s="988"/>
      <c r="BB233" s="6112" t="str">
        <f>SUM(BB228:BB232) &amp; " / " &amp; (COUNTA(BB228:BB232) * 3)</f>
        <v>0 / 0</v>
      </c>
      <c r="BC233" s="6111" t="str">
        <f>SUM(BC228:BC232) &amp; " / " &amp; (COUNTA(BC228:BC232) * 3)</f>
        <v>0 / 0</v>
      </c>
      <c r="BD233" s="988" t="s">
        <v>9500</v>
      </c>
      <c r="BE233" s="988"/>
      <c r="BF233" s="988"/>
      <c r="BG233" s="988"/>
      <c r="BH233" s="1325"/>
      <c r="BP233" s="6495"/>
      <c r="BQ233" s="6496" t="s">
        <v>9189</v>
      </c>
      <c r="BR233" s="6438"/>
      <c r="BS233" s="6438"/>
      <c r="BT233" s="5783"/>
      <c r="BU233" s="5783"/>
      <c r="BV233" s="6403"/>
      <c r="BX233" s="6495"/>
      <c r="BY233" s="6496" t="s">
        <v>9253</v>
      </c>
      <c r="BZ233" s="6438"/>
      <c r="CA233" s="6438"/>
      <c r="CB233" s="5783"/>
      <c r="CC233" s="5783"/>
      <c r="CD233" s="6403"/>
      <c r="CF233" s="6495"/>
      <c r="CG233" s="6496" t="s">
        <v>9396</v>
      </c>
      <c r="CH233" s="6438"/>
      <c r="CI233" s="6438"/>
      <c r="CJ233" s="5783"/>
      <c r="CK233" s="5783"/>
      <c r="CL233" s="6403"/>
      <c r="CN233" s="5">
        <v>1</v>
      </c>
    </row>
    <row r="234" spans="3:92" ht="21" customHeight="1">
      <c r="C234" s="141"/>
      <c r="D234" s="141"/>
      <c r="E234" s="141"/>
      <c r="G234" s="6115" t="str">
        <f>SUM(G228:G232) &amp;"/ "&amp;G235</f>
        <v>5/ 15</v>
      </c>
      <c r="H234" s="6114" t="str">
        <f>SUM(H228:H232) &amp;"/ "&amp;H235</f>
        <v>0/ 15</v>
      </c>
      <c r="I234" s="988"/>
      <c r="J234" s="6115" t="str">
        <f>SUM(J228:J232) &amp;"/ "&amp;J235</f>
        <v>0/ 15</v>
      </c>
      <c r="K234" s="6114" t="str">
        <f>SUM(K228:K232) &amp;"/ "&amp;K235</f>
        <v>0/ 15</v>
      </c>
      <c r="L234" s="1414" t="s">
        <v>1178</v>
      </c>
      <c r="M234" s="988"/>
      <c r="N234" s="988"/>
      <c r="O234" s="988"/>
      <c r="P234" s="1325"/>
      <c r="Y234" s="4"/>
      <c r="Z234" s="4"/>
      <c r="AA234" s="4"/>
      <c r="AB234" s="4"/>
      <c r="AC234" s="6115" t="str">
        <f>SUM(AC228:AC232) &amp;"/ "&amp;AC235</f>
        <v>5/ 15</v>
      </c>
      <c r="AD234" s="6114" t="str">
        <f>SUM(AD228:AD232) &amp;"/ "&amp;AD235</f>
        <v>0/ 15</v>
      </c>
      <c r="AE234" s="988"/>
      <c r="AF234" s="6115" t="str">
        <f>SUM(AF228:AF232) &amp;"/ "&amp;AF235</f>
        <v>0/ 15</v>
      </c>
      <c r="AG234" s="6114" t="str">
        <f>SUM(AG228:AG232) &amp;"/ "&amp;AG235</f>
        <v>0/ 15</v>
      </c>
      <c r="AH234" s="1414" t="s">
        <v>9731</v>
      </c>
      <c r="AI234" s="988"/>
      <c r="AJ234" s="988"/>
      <c r="AK234" s="988"/>
      <c r="AL234" s="1325"/>
      <c r="AU234" s="141"/>
      <c r="AV234" s="141"/>
      <c r="AW234" s="141"/>
      <c r="AX234" s="141"/>
      <c r="AY234" s="6115" t="str">
        <f>SUM(AY228:AY232) &amp;"/ "&amp;AY235</f>
        <v>5/ 15</v>
      </c>
      <c r="AZ234" s="6114" t="str">
        <f>SUM(AZ228:AZ232) &amp;"/ "&amp;AZ235</f>
        <v>0/ 15</v>
      </c>
      <c r="BA234" s="988"/>
      <c r="BB234" s="6115" t="str">
        <f>SUM(BB228:BB232) &amp;"/ "&amp;BB235</f>
        <v>0/ 15</v>
      </c>
      <c r="BC234" s="6114" t="str">
        <f>SUM(BC228:BC232) &amp;"/ "&amp;BC235</f>
        <v>0/ 15</v>
      </c>
      <c r="BD234" s="1414" t="s">
        <v>9501</v>
      </c>
      <c r="BE234" s="988"/>
      <c r="BF234" s="988"/>
      <c r="BG234" s="988"/>
      <c r="BH234" s="1325"/>
      <c r="BP234" s="6415"/>
      <c r="BQ234" s="7145" t="s">
        <v>9197</v>
      </c>
      <c r="BR234" s="7143">
        <v>10</v>
      </c>
      <c r="BS234" s="7144" t="s">
        <v>157</v>
      </c>
      <c r="BT234" s="7145" t="s">
        <v>9195</v>
      </c>
      <c r="BU234" s="5783"/>
      <c r="BV234" s="6403"/>
      <c r="BX234" s="6415"/>
      <c r="BY234" s="7145" t="s">
        <v>9197</v>
      </c>
      <c r="BZ234" s="7143">
        <v>10</v>
      </c>
      <c r="CA234" s="7144" t="s">
        <v>157</v>
      </c>
      <c r="CB234" s="7145" t="s">
        <v>9195</v>
      </c>
      <c r="CC234" s="5783"/>
      <c r="CD234" s="6403"/>
      <c r="CF234" s="6415"/>
      <c r="CG234" s="7145" t="s">
        <v>9197</v>
      </c>
      <c r="CH234" s="7143">
        <v>10</v>
      </c>
      <c r="CI234" s="7144" t="s">
        <v>157</v>
      </c>
      <c r="CJ234" s="7145" t="s">
        <v>9195</v>
      </c>
      <c r="CK234" s="5783"/>
      <c r="CL234" s="6403"/>
      <c r="CN234" s="5">
        <v>1</v>
      </c>
    </row>
    <row r="235" spans="3:92" ht="21" customHeight="1">
      <c r="C235" s="141"/>
      <c r="D235" s="141"/>
      <c r="E235" s="141"/>
      <c r="G235" s="6118">
        <v>15</v>
      </c>
      <c r="H235" s="6117">
        <v>15</v>
      </c>
      <c r="I235" s="988"/>
      <c r="J235" s="6118">
        <v>15</v>
      </c>
      <c r="K235" s="6117">
        <v>15</v>
      </c>
      <c r="L235" s="1417" t="s">
        <v>1180</v>
      </c>
      <c r="M235" s="988"/>
      <c r="N235" s="988"/>
      <c r="O235" s="988"/>
      <c r="P235" s="1325"/>
      <c r="Y235" s="4"/>
      <c r="Z235" s="4"/>
      <c r="AA235" s="4"/>
      <c r="AB235" s="4"/>
      <c r="AC235" s="6118">
        <v>15</v>
      </c>
      <c r="AD235" s="6117">
        <v>15</v>
      </c>
      <c r="AE235" s="988"/>
      <c r="AF235" s="6118">
        <v>15</v>
      </c>
      <c r="AG235" s="6117">
        <v>15</v>
      </c>
      <c r="AH235" s="1417" t="s">
        <v>9732</v>
      </c>
      <c r="AI235" s="988"/>
      <c r="AJ235" s="988"/>
      <c r="AK235" s="988"/>
      <c r="AL235" s="1325"/>
      <c r="AU235" s="141"/>
      <c r="AV235" s="141"/>
      <c r="AW235" s="141"/>
      <c r="AX235" s="141"/>
      <c r="AY235" s="6118">
        <v>15</v>
      </c>
      <c r="AZ235" s="6117">
        <v>15</v>
      </c>
      <c r="BA235" s="988"/>
      <c r="BB235" s="6118">
        <v>15</v>
      </c>
      <c r="BC235" s="6117">
        <v>15</v>
      </c>
      <c r="BD235" s="1417" t="s">
        <v>9871</v>
      </c>
      <c r="BE235" s="988"/>
      <c r="BF235" s="988"/>
      <c r="BG235" s="988"/>
      <c r="BH235" s="1325"/>
      <c r="BP235" s="6415"/>
      <c r="BQ235" s="7145"/>
      <c r="BR235" s="7143"/>
      <c r="BS235" s="7144"/>
      <c r="BT235" s="7145"/>
      <c r="BU235" s="5783"/>
      <c r="BV235" s="6403"/>
      <c r="BX235" s="6415"/>
      <c r="BY235" s="7145"/>
      <c r="BZ235" s="7143"/>
      <c r="CA235" s="7144"/>
      <c r="CB235" s="7145"/>
      <c r="CC235" s="5783"/>
      <c r="CD235" s="6403"/>
      <c r="CF235" s="6415"/>
      <c r="CG235" s="7145"/>
      <c r="CH235" s="7143"/>
      <c r="CI235" s="7144"/>
      <c r="CJ235" s="7145"/>
      <c r="CK235" s="5783"/>
      <c r="CL235" s="6403"/>
      <c r="CN235" s="5">
        <v>1</v>
      </c>
    </row>
    <row r="236" spans="3:92" ht="21" customHeight="1">
      <c r="C236" s="141"/>
      <c r="D236" s="141"/>
      <c r="E236" s="141"/>
      <c r="G236" s="6141" t="s">
        <v>1203</v>
      </c>
      <c r="H236"/>
      <c r="I236"/>
      <c r="J236" s="1464"/>
      <c r="K236" s="1464"/>
      <c r="L236" s="1464"/>
      <c r="M236" s="1464"/>
      <c r="N236" s="1464"/>
      <c r="O236" s="1464"/>
      <c r="P236" s="1465"/>
      <c r="Y236" s="4"/>
      <c r="Z236" s="4"/>
      <c r="AA236" s="4"/>
      <c r="AB236" s="4"/>
      <c r="AC236" s="6141" t="s">
        <v>9741</v>
      </c>
      <c r="AF236" s="1464"/>
      <c r="AG236" s="1464"/>
      <c r="AH236" s="1464"/>
      <c r="AI236" s="1464"/>
      <c r="AJ236" s="1464"/>
      <c r="AK236" s="1464"/>
      <c r="AL236" s="1465"/>
      <c r="AU236" s="141"/>
      <c r="AV236" s="141"/>
      <c r="AW236" s="141"/>
      <c r="AX236" s="141"/>
      <c r="AY236" s="6141" t="s">
        <v>9878</v>
      </c>
      <c r="BB236" s="1464"/>
      <c r="BC236" s="1464"/>
      <c r="BD236" s="1464"/>
      <c r="BE236" s="1464"/>
      <c r="BF236" s="1464"/>
      <c r="BG236" s="1464"/>
      <c r="BH236" s="1465"/>
      <c r="BP236" s="6415"/>
      <c r="BQ236" s="7145"/>
      <c r="BR236" s="7143"/>
      <c r="BS236" s="7144"/>
      <c r="BT236" s="7145"/>
      <c r="BU236" s="5783"/>
      <c r="BV236" s="6403"/>
      <c r="BX236" s="6415"/>
      <c r="BY236" s="7145"/>
      <c r="BZ236" s="7143"/>
      <c r="CA236" s="7144"/>
      <c r="CB236" s="7145"/>
      <c r="CC236" s="5783"/>
      <c r="CD236" s="6403"/>
      <c r="CF236" s="6415"/>
      <c r="CG236" s="7145"/>
      <c r="CH236" s="7143"/>
      <c r="CI236" s="7144"/>
      <c r="CJ236" s="7145"/>
      <c r="CK236" s="5783"/>
      <c r="CL236" s="6403"/>
      <c r="CN236" s="5">
        <v>1</v>
      </c>
    </row>
    <row r="237" spans="3:92" ht="21" customHeight="1">
      <c r="C237" s="141"/>
      <c r="D237" s="141"/>
      <c r="E237" s="141"/>
      <c r="G237" s="6142" t="s">
        <v>1204</v>
      </c>
      <c r="H237"/>
      <c r="I237"/>
      <c r="J237" s="1464"/>
      <c r="K237" s="1464"/>
      <c r="L237" s="1464"/>
      <c r="M237" s="1464"/>
      <c r="N237" s="1464"/>
      <c r="O237" s="1464"/>
      <c r="P237" s="1465"/>
      <c r="Y237" s="4"/>
      <c r="Z237" s="4"/>
      <c r="AA237" s="4"/>
      <c r="AB237" s="4"/>
      <c r="AC237" s="6142" t="s">
        <v>9742</v>
      </c>
      <c r="AF237" s="1464"/>
      <c r="AG237" s="1464"/>
      <c r="AH237" s="1464"/>
      <c r="AI237" s="1464"/>
      <c r="AJ237" s="1464"/>
      <c r="AK237" s="1464"/>
      <c r="AL237" s="1465"/>
      <c r="AU237" s="141"/>
      <c r="AV237" s="141"/>
      <c r="AW237" s="141"/>
      <c r="AX237" s="141"/>
      <c r="AY237" s="6142" t="s">
        <v>9879</v>
      </c>
      <c r="BB237" s="1464"/>
      <c r="BC237" s="1464"/>
      <c r="BD237" s="1464"/>
      <c r="BE237" s="1464"/>
      <c r="BF237" s="1464"/>
      <c r="BG237" s="1464"/>
      <c r="BH237" s="1465"/>
      <c r="BP237" s="6415"/>
      <c r="BQ237" s="7145"/>
      <c r="BR237" s="7143"/>
      <c r="BS237" s="7144"/>
      <c r="BT237" s="7145"/>
      <c r="BU237" s="5783"/>
      <c r="BV237" s="6403"/>
      <c r="BX237" s="6415"/>
      <c r="BY237" s="7145"/>
      <c r="BZ237" s="7143"/>
      <c r="CA237" s="7144"/>
      <c r="CB237" s="7145"/>
      <c r="CC237" s="5783"/>
      <c r="CD237" s="6403"/>
      <c r="CF237" s="6415"/>
      <c r="CG237" s="7145"/>
      <c r="CH237" s="7143"/>
      <c r="CI237" s="7144"/>
      <c r="CJ237" s="7145"/>
      <c r="CK237" s="5783"/>
      <c r="CL237" s="6403"/>
      <c r="CN237" s="5">
        <v>1</v>
      </c>
    </row>
    <row r="238" spans="3:92" ht="21" customHeight="1">
      <c r="C238" s="141"/>
      <c r="D238" s="141"/>
      <c r="E238" s="141"/>
      <c r="G238" s="6142" t="s">
        <v>1205</v>
      </c>
      <c r="H238"/>
      <c r="I238"/>
      <c r="J238" s="1464"/>
      <c r="K238" s="1464"/>
      <c r="L238" s="1464"/>
      <c r="M238" s="1464"/>
      <c r="N238" s="1464"/>
      <c r="O238" s="1464"/>
      <c r="P238" s="1465"/>
      <c r="Y238" s="4"/>
      <c r="Z238" s="4"/>
      <c r="AA238" s="4"/>
      <c r="AB238" s="4"/>
      <c r="AC238" s="6142" t="s">
        <v>9743</v>
      </c>
      <c r="AF238" s="1464"/>
      <c r="AG238" s="1464"/>
      <c r="AH238" s="1464"/>
      <c r="AI238" s="1464"/>
      <c r="AJ238" s="1464"/>
      <c r="AK238" s="1464"/>
      <c r="AL238" s="1465"/>
      <c r="AU238" s="141"/>
      <c r="AV238" s="141"/>
      <c r="AW238" s="141"/>
      <c r="AX238" s="141"/>
      <c r="AY238" s="6142" t="s">
        <v>9880</v>
      </c>
      <c r="BB238" s="1464"/>
      <c r="BC238" s="1464"/>
      <c r="BD238" s="1464"/>
      <c r="BE238" s="1464"/>
      <c r="BF238" s="1464"/>
      <c r="BG238" s="1464"/>
      <c r="BH238" s="1465"/>
      <c r="BP238" s="6415"/>
      <c r="BQ238" s="7145"/>
      <c r="BR238" s="7143"/>
      <c r="BS238" s="7144"/>
      <c r="BT238" s="7145"/>
      <c r="BU238" s="5783"/>
      <c r="BV238" s="6403"/>
      <c r="BX238" s="6415"/>
      <c r="BY238" s="7145"/>
      <c r="BZ238" s="7143"/>
      <c r="CA238" s="7144"/>
      <c r="CB238" s="7145"/>
      <c r="CC238" s="5783"/>
      <c r="CD238" s="6403"/>
      <c r="CF238" s="6415"/>
      <c r="CG238" s="7145"/>
      <c r="CH238" s="7143"/>
      <c r="CI238" s="7144"/>
      <c r="CJ238" s="7145"/>
      <c r="CK238" s="5783"/>
      <c r="CL238" s="6403"/>
      <c r="CN238" s="5">
        <v>1</v>
      </c>
    </row>
    <row r="239" spans="3:92" ht="21" customHeight="1">
      <c r="C239" s="141"/>
      <c r="D239" s="141"/>
      <c r="E239" s="141"/>
      <c r="G239" s="6131"/>
      <c r="H239" s="1460"/>
      <c r="I239" s="1460"/>
      <c r="J239" s="1460"/>
      <c r="K239" s="1460"/>
      <c r="L239" s="1460"/>
      <c r="M239" s="6327"/>
      <c r="N239" s="6327"/>
      <c r="O239" s="6327"/>
      <c r="P239" s="6132" t="s">
        <v>1112</v>
      </c>
      <c r="Y239" s="4"/>
      <c r="Z239" s="4"/>
      <c r="AA239" s="4"/>
      <c r="AB239" s="4"/>
      <c r="AC239" s="6131"/>
      <c r="AD239" s="1460"/>
      <c r="AE239" s="1460"/>
      <c r="AF239" s="1460"/>
      <c r="AG239" s="1460"/>
      <c r="AH239" s="1460"/>
      <c r="AI239" s="6327"/>
      <c r="AJ239" s="6327"/>
      <c r="AK239" s="6327"/>
      <c r="AL239" s="6132" t="s">
        <v>9718</v>
      </c>
      <c r="AU239" s="141"/>
      <c r="AV239" s="141"/>
      <c r="AW239" s="141"/>
      <c r="AX239" s="141"/>
      <c r="AY239" s="6131"/>
      <c r="AZ239" s="1460"/>
      <c r="BA239" s="1460"/>
      <c r="BB239" s="1460"/>
      <c r="BC239" s="1460"/>
      <c r="BD239" s="1460"/>
      <c r="BE239" s="6327"/>
      <c r="BF239" s="6327"/>
      <c r="BG239" s="6327"/>
      <c r="BH239" s="6132" t="s">
        <v>9859</v>
      </c>
      <c r="BP239" s="6415"/>
      <c r="BQ239" s="7145"/>
      <c r="BR239" s="7143"/>
      <c r="BS239" s="7144"/>
      <c r="BT239" s="7145"/>
      <c r="BU239" s="5783"/>
      <c r="BV239" s="6403"/>
      <c r="BX239" s="6415"/>
      <c r="BY239" s="7145"/>
      <c r="BZ239" s="7143"/>
      <c r="CA239" s="7144"/>
      <c r="CB239" s="7145"/>
      <c r="CC239" s="5783"/>
      <c r="CD239" s="6403"/>
      <c r="CF239" s="6415"/>
      <c r="CG239" s="7145"/>
      <c r="CH239" s="7143"/>
      <c r="CI239" s="7144"/>
      <c r="CJ239" s="7145"/>
      <c r="CK239" s="5783"/>
      <c r="CL239" s="6403"/>
      <c r="CN239" s="5">
        <v>1</v>
      </c>
    </row>
    <row r="240" spans="3:92" ht="21" customHeight="1">
      <c r="C240" s="141"/>
      <c r="D240" s="141"/>
      <c r="E240" s="141"/>
      <c r="G240" s="1002"/>
      <c r="H240" s="1002"/>
      <c r="I240" s="1002" t="s">
        <v>873</v>
      </c>
      <c r="J240" s="1003"/>
      <c r="K240" s="1329"/>
      <c r="L240" s="1329"/>
      <c r="M240" s="1329"/>
      <c r="N240" s="1329"/>
      <c r="O240" s="1329"/>
      <c r="P240" s="1330"/>
      <c r="Y240" s="4"/>
      <c r="Z240" s="4"/>
      <c r="AA240" s="4"/>
      <c r="AB240" s="4"/>
      <c r="AC240" s="1002"/>
      <c r="AD240" s="1002"/>
      <c r="AE240" s="1002" t="s">
        <v>8386</v>
      </c>
      <c r="AF240" s="1003"/>
      <c r="AG240" s="1329"/>
      <c r="AH240" s="1329"/>
      <c r="AI240" s="1329"/>
      <c r="AJ240" s="1329"/>
      <c r="AK240" s="1329"/>
      <c r="AL240" s="1330"/>
      <c r="AU240" s="141"/>
      <c r="AV240" s="141"/>
      <c r="AW240" s="141"/>
      <c r="AX240" s="141"/>
      <c r="AY240" s="1002"/>
      <c r="AZ240" s="1002"/>
      <c r="BA240" s="1002" t="s">
        <v>8426</v>
      </c>
      <c r="BB240" s="1003"/>
      <c r="BC240" s="1329"/>
      <c r="BD240" s="1329"/>
      <c r="BE240" s="1329"/>
      <c r="BF240" s="1329"/>
      <c r="BG240" s="1329"/>
      <c r="BH240" s="1330"/>
      <c r="BP240" s="6415"/>
      <c r="BQ240" s="7145"/>
      <c r="BR240" s="7143"/>
      <c r="BS240" s="7144"/>
      <c r="BT240" s="7145"/>
      <c r="BU240" s="5783"/>
      <c r="BV240" s="6403"/>
      <c r="BX240" s="6415"/>
      <c r="BY240" s="7145"/>
      <c r="BZ240" s="7143"/>
      <c r="CA240" s="7144"/>
      <c r="CB240" s="7145"/>
      <c r="CC240" s="5783"/>
      <c r="CD240" s="6403"/>
      <c r="CF240" s="6415"/>
      <c r="CG240" s="7145"/>
      <c r="CH240" s="7143"/>
      <c r="CI240" s="7144"/>
      <c r="CJ240" s="7145"/>
      <c r="CK240" s="5783"/>
      <c r="CL240" s="6403"/>
      <c r="CN240" s="5">
        <v>1</v>
      </c>
    </row>
    <row r="241" spans="3:92" ht="21" customHeight="1" thickBot="1">
      <c r="C241" s="141"/>
      <c r="D241" s="141"/>
      <c r="E241" s="141"/>
      <c r="G241" s="1332"/>
      <c r="H241" s="1006"/>
      <c r="I241" s="1007"/>
      <c r="J241" s="1008"/>
      <c r="K241" s="1007"/>
      <c r="L241" s="1007"/>
      <c r="M241" s="1007"/>
      <c r="N241" s="1007"/>
      <c r="O241" s="1007"/>
      <c r="P241" s="1333"/>
      <c r="Y241" s="4"/>
      <c r="Z241" s="4"/>
      <c r="AA241" s="4"/>
      <c r="AB241" s="4"/>
      <c r="AC241" s="1332"/>
      <c r="AD241" s="1006"/>
      <c r="AE241" s="1007"/>
      <c r="AF241" s="1008"/>
      <c r="AG241" s="1007"/>
      <c r="AH241" s="1007"/>
      <c r="AI241" s="1007"/>
      <c r="AJ241" s="1007"/>
      <c r="AK241" s="1007"/>
      <c r="AL241" s="1333"/>
      <c r="AU241" s="141"/>
      <c r="AV241" s="141"/>
      <c r="AW241" s="141"/>
      <c r="AX241" s="141"/>
      <c r="AY241" s="1332"/>
      <c r="AZ241" s="1006"/>
      <c r="BA241" s="1007"/>
      <c r="BB241" s="1008"/>
      <c r="BC241" s="1007"/>
      <c r="BD241" s="1007"/>
      <c r="BE241" s="1007"/>
      <c r="BF241" s="1007"/>
      <c r="BG241" s="1007"/>
      <c r="BH241" s="1333"/>
      <c r="BP241" s="6415"/>
      <c r="BQ241" s="7145"/>
      <c r="BR241" s="6494"/>
      <c r="BS241" s="6494"/>
      <c r="BT241" s="7145"/>
      <c r="BU241" s="5783"/>
      <c r="BV241" s="6403"/>
      <c r="BX241" s="6415"/>
      <c r="BY241" s="7145"/>
      <c r="BZ241" s="6494"/>
      <c r="CA241" s="6494"/>
      <c r="CB241" s="7145"/>
      <c r="CC241" s="5783"/>
      <c r="CD241" s="6403"/>
      <c r="CF241" s="6415"/>
      <c r="CG241" s="7145"/>
      <c r="CH241" s="6494"/>
      <c r="CI241" s="6494"/>
      <c r="CJ241" s="7145"/>
      <c r="CK241" s="5783"/>
      <c r="CL241" s="6403"/>
      <c r="CN241" s="5">
        <v>1</v>
      </c>
    </row>
    <row r="242" spans="3:92" ht="21" customHeight="1">
      <c r="C242" s="141"/>
      <c r="D242" s="141"/>
      <c r="E242" s="141"/>
      <c r="G242" s="141"/>
      <c r="H242" s="141"/>
      <c r="I242" s="141"/>
      <c r="J242" s="141"/>
      <c r="K242" s="141"/>
      <c r="L242" s="141"/>
      <c r="M242" s="141"/>
      <c r="N242" s="141"/>
      <c r="O242" s="141"/>
      <c r="P242" s="141"/>
      <c r="Y242" s="4"/>
      <c r="Z242" s="4"/>
      <c r="AA242" s="4"/>
      <c r="AB242" s="4"/>
      <c r="AC242" s="141"/>
      <c r="AD242" s="141"/>
      <c r="AE242" s="141"/>
      <c r="AF242" s="141"/>
      <c r="AG242" s="141"/>
      <c r="AH242" s="141"/>
      <c r="AI242" s="141"/>
      <c r="AJ242" s="141"/>
      <c r="AK242" s="141"/>
      <c r="AL242" s="141"/>
      <c r="AU242" s="141"/>
      <c r="AV242" s="141"/>
      <c r="AW242" s="141"/>
      <c r="AX242" s="141"/>
      <c r="AY242" s="141"/>
      <c r="AZ242" s="141"/>
      <c r="BA242" s="141"/>
      <c r="BB242" s="141"/>
      <c r="BC242" s="141"/>
      <c r="BD242" s="141"/>
      <c r="BE242" s="141"/>
      <c r="BF242" s="141"/>
      <c r="BG242" s="141"/>
      <c r="BH242" s="141"/>
      <c r="BP242" s="6762" t="s">
        <v>8915</v>
      </c>
      <c r="BQ242" s="5783"/>
      <c r="BR242" s="5783"/>
      <c r="BS242" s="5783"/>
      <c r="BT242" s="5783"/>
      <c r="BU242" s="5783"/>
      <c r="BV242" s="6403"/>
      <c r="BX242" s="6762" t="s">
        <v>8916</v>
      </c>
      <c r="BY242" s="5783"/>
      <c r="BZ242" s="5783"/>
      <c r="CA242" s="5783"/>
      <c r="CB242" s="5783"/>
      <c r="CC242" s="5783"/>
      <c r="CD242" s="6403"/>
      <c r="CF242" s="6762" t="s">
        <v>8917</v>
      </c>
      <c r="CG242" s="5783"/>
      <c r="CH242" s="5783"/>
      <c r="CI242" s="5783"/>
      <c r="CJ242" s="5783"/>
      <c r="CK242" s="5783"/>
      <c r="CL242" s="6403"/>
      <c r="CN242" s="5">
        <v>1</v>
      </c>
    </row>
    <row r="243" spans="3:92" ht="21" customHeight="1">
      <c r="C243" s="141"/>
      <c r="D243" s="141"/>
      <c r="E243" s="141"/>
      <c r="G243" s="141"/>
      <c r="H243" s="141"/>
      <c r="I243" s="141"/>
      <c r="J243" s="141"/>
      <c r="K243" s="141"/>
      <c r="L243" s="141"/>
      <c r="M243" s="141"/>
      <c r="N243" s="141"/>
      <c r="O243" s="141"/>
      <c r="P243" s="141"/>
      <c r="Y243" s="4"/>
      <c r="Z243" s="4"/>
      <c r="AA243" s="4"/>
      <c r="AB243" s="4"/>
      <c r="AC243" s="141"/>
      <c r="AD243" s="141"/>
      <c r="AE243" s="141"/>
      <c r="AF243" s="141"/>
      <c r="AG243" s="141"/>
      <c r="AH243" s="141"/>
      <c r="AI243" s="141"/>
      <c r="AJ243" s="141"/>
      <c r="AK243" s="141"/>
      <c r="AL243" s="141"/>
      <c r="AU243" s="141"/>
      <c r="AV243" s="141"/>
      <c r="AW243" s="141"/>
      <c r="AX243" s="141"/>
      <c r="AY243" s="141"/>
      <c r="AZ243" s="141"/>
      <c r="BA243" s="141"/>
      <c r="BB243" s="141"/>
      <c r="BC243" s="141"/>
      <c r="BD243" s="141"/>
      <c r="BE243" s="141"/>
      <c r="BF243" s="141"/>
      <c r="BG243" s="141"/>
      <c r="BH243" s="141"/>
      <c r="BP243" s="6763" t="s">
        <v>10013</v>
      </c>
      <c r="BQ243" s="5783"/>
      <c r="BR243" s="5783"/>
      <c r="BS243" s="5783"/>
      <c r="BT243" s="5783"/>
      <c r="BU243" s="5783"/>
      <c r="BV243" s="6403"/>
      <c r="BX243" s="6763" t="s">
        <v>10014</v>
      </c>
      <c r="BY243" s="5783"/>
      <c r="BZ243" s="5783"/>
      <c r="CA243" s="5783"/>
      <c r="CB243" s="5783"/>
      <c r="CC243" s="5783"/>
      <c r="CD243" s="6403"/>
      <c r="CF243" s="6763" t="s">
        <v>10015</v>
      </c>
      <c r="CG243" s="5783"/>
      <c r="CH243" s="5783"/>
      <c r="CI243" s="5783"/>
      <c r="CJ243" s="5783"/>
      <c r="CK243" s="5783"/>
      <c r="CL243" s="6403"/>
      <c r="CN243" s="5">
        <v>1</v>
      </c>
    </row>
    <row r="244" spans="3:92" ht="21" customHeight="1">
      <c r="C244" s="141"/>
      <c r="D244" s="141"/>
      <c r="E244" s="141"/>
      <c r="G244" s="1354" t="s">
        <v>252</v>
      </c>
      <c r="H244" s="1355"/>
      <c r="I244" s="1355"/>
      <c r="J244" s="1355"/>
      <c r="K244" s="1355"/>
      <c r="L244" s="1356"/>
      <c r="M244" s="1356"/>
      <c r="N244" s="1356"/>
      <c r="O244" s="1356"/>
      <c r="P244" s="6133" t="s">
        <v>1117</v>
      </c>
      <c r="Y244" s="4"/>
      <c r="Z244" s="4"/>
      <c r="AA244" s="4"/>
      <c r="AB244" s="4"/>
      <c r="AC244" s="1354" t="s">
        <v>252</v>
      </c>
      <c r="AD244" s="1355"/>
      <c r="AE244" s="1355"/>
      <c r="AF244" s="1355"/>
      <c r="AG244" s="1355"/>
      <c r="AH244" s="1356"/>
      <c r="AI244" s="1356"/>
      <c r="AJ244" s="1356"/>
      <c r="AK244" s="1356"/>
      <c r="AL244" s="6133" t="s">
        <v>9704</v>
      </c>
      <c r="AU244" s="141"/>
      <c r="AV244" s="141"/>
      <c r="AW244" s="141"/>
      <c r="AX244" s="141"/>
      <c r="AY244" s="1354" t="s">
        <v>9490</v>
      </c>
      <c r="AZ244" s="1355"/>
      <c r="BA244" s="1355"/>
      <c r="BB244" s="1355"/>
      <c r="BC244" s="1355"/>
      <c r="BD244" s="1356"/>
      <c r="BE244" s="1356"/>
      <c r="BF244" s="1356"/>
      <c r="BG244" s="1356"/>
      <c r="BH244" s="6133" t="s">
        <v>9486</v>
      </c>
      <c r="BP244" s="7146" t="s">
        <v>10016</v>
      </c>
      <c r="BQ244" s="7147"/>
      <c r="BR244" s="7147"/>
      <c r="BS244" s="7147"/>
      <c r="BT244" s="7147"/>
      <c r="BU244" s="7147"/>
      <c r="BV244" s="7148"/>
      <c r="BX244" s="7146" t="s">
        <v>10020</v>
      </c>
      <c r="BY244" s="7147"/>
      <c r="BZ244" s="7147"/>
      <c r="CA244" s="7147"/>
      <c r="CB244" s="7147"/>
      <c r="CC244" s="7147"/>
      <c r="CD244" s="7148"/>
      <c r="CF244" s="7146" t="s">
        <v>10021</v>
      </c>
      <c r="CG244" s="7147"/>
      <c r="CH244" s="7147"/>
      <c r="CI244" s="7147"/>
      <c r="CJ244" s="7147"/>
      <c r="CK244" s="7147"/>
      <c r="CL244" s="7148"/>
      <c r="CN244" s="5">
        <v>1</v>
      </c>
    </row>
    <row r="245" spans="3:92" ht="21" customHeight="1">
      <c r="C245" s="141"/>
      <c r="D245" s="141"/>
      <c r="E245" s="141"/>
      <c r="G245" s="1517" t="s">
        <v>1185</v>
      </c>
      <c r="H245" s="1425" t="s">
        <v>1186</v>
      </c>
      <c r="I245" s="1426"/>
      <c r="J245" s="1426" t="s">
        <v>1187</v>
      </c>
      <c r="K245" s="1426" t="s">
        <v>1188</v>
      </c>
      <c r="L245" s="1426" t="s">
        <v>1189</v>
      </c>
      <c r="M245" s="1426" t="s">
        <v>1190</v>
      </c>
      <c r="N245" s="1426"/>
      <c r="O245" s="6330"/>
      <c r="P245" s="6331"/>
      <c r="Y245" s="4"/>
      <c r="Z245" s="4"/>
      <c r="AA245" s="4"/>
      <c r="AB245" s="4"/>
      <c r="AC245" s="1517" t="s">
        <v>9744</v>
      </c>
      <c r="AD245" s="1425" t="s">
        <v>9745</v>
      </c>
      <c r="AE245" s="1426"/>
      <c r="AF245" s="1426" t="s">
        <v>9746</v>
      </c>
      <c r="AG245" s="1426" t="s">
        <v>9747</v>
      </c>
      <c r="AH245" s="1426" t="s">
        <v>1189</v>
      </c>
      <c r="AI245" s="1426" t="s">
        <v>9748</v>
      </c>
      <c r="AJ245" s="1426"/>
      <c r="AK245" s="6330"/>
      <c r="AL245" s="6331"/>
      <c r="AU245" s="141"/>
      <c r="AV245" s="141"/>
      <c r="AW245" s="141"/>
      <c r="AX245" s="141"/>
      <c r="AY245" s="6738" t="s">
        <v>9881</v>
      </c>
      <c r="AZ245" s="6739" t="s">
        <v>9882</v>
      </c>
      <c r="BA245" s="1426"/>
      <c r="BB245" s="6748" t="s">
        <v>9883</v>
      </c>
      <c r="BC245" s="6740" t="s">
        <v>9884</v>
      </c>
      <c r="BD245" s="6740" t="s">
        <v>9885</v>
      </c>
      <c r="BE245" s="1426" t="s">
        <v>9886</v>
      </c>
      <c r="BF245" s="1426"/>
      <c r="BG245" s="6330"/>
      <c r="BH245" s="6331"/>
      <c r="BP245" s="7146"/>
      <c r="BQ245" s="7147"/>
      <c r="BR245" s="7147"/>
      <c r="BS245" s="7147"/>
      <c r="BT245" s="7147"/>
      <c r="BU245" s="7147"/>
      <c r="BV245" s="7148"/>
      <c r="BX245" s="7146"/>
      <c r="BY245" s="7147"/>
      <c r="BZ245" s="7147"/>
      <c r="CA245" s="7147"/>
      <c r="CB245" s="7147"/>
      <c r="CC245" s="7147"/>
      <c r="CD245" s="7148"/>
      <c r="CF245" s="7146"/>
      <c r="CG245" s="7147"/>
      <c r="CH245" s="7147"/>
      <c r="CI245" s="7147"/>
      <c r="CJ245" s="7147"/>
      <c r="CK245" s="7147"/>
      <c r="CL245" s="7148"/>
      <c r="CN245" s="5">
        <v>1</v>
      </c>
    </row>
    <row r="246" spans="3:92" ht="21" customHeight="1">
      <c r="C246" s="141"/>
      <c r="D246" s="141"/>
      <c r="E246" s="141"/>
      <c r="G246" s="6144"/>
      <c r="H246" s="1429">
        <v>2.4305555555555556E-2</v>
      </c>
      <c r="I246" s="141"/>
      <c r="J246" s="1389">
        <v>100</v>
      </c>
      <c r="K246" s="1430">
        <v>0.6</v>
      </c>
      <c r="L246" s="1431" t="s">
        <v>1191</v>
      </c>
      <c r="M246" s="1431" t="s">
        <v>1192</v>
      </c>
      <c r="N246" s="1431"/>
      <c r="O246" s="1431"/>
      <c r="P246" s="1432"/>
      <c r="Y246" s="4"/>
      <c r="Z246" s="4"/>
      <c r="AA246" s="4"/>
      <c r="AB246" s="4"/>
      <c r="AC246" s="6144"/>
      <c r="AD246" s="1429">
        <v>2.4305555555555556E-2</v>
      </c>
      <c r="AE246" s="141"/>
      <c r="AF246" s="1389">
        <v>100</v>
      </c>
      <c r="AG246" s="1430">
        <v>0.6</v>
      </c>
      <c r="AH246" s="1431" t="s">
        <v>9751</v>
      </c>
      <c r="AI246" s="1431" t="s">
        <v>9753</v>
      </c>
      <c r="AJ246" s="1431"/>
      <c r="AK246" s="1431"/>
      <c r="AL246" s="1432"/>
      <c r="AU246" s="141"/>
      <c r="AV246" s="141"/>
      <c r="AW246" s="141"/>
      <c r="AX246" s="141"/>
      <c r="AY246" s="6144"/>
      <c r="AZ246" s="1429">
        <v>2.4305555555555556E-2</v>
      </c>
      <c r="BA246" s="141"/>
      <c r="BB246" s="1389">
        <v>100</v>
      </c>
      <c r="BC246" s="1430">
        <v>0.6</v>
      </c>
      <c r="BD246" s="6742" t="s">
        <v>9889</v>
      </c>
      <c r="BE246" s="6742" t="s">
        <v>9891</v>
      </c>
      <c r="BF246" s="6742"/>
      <c r="BG246" s="1431"/>
      <c r="BH246" s="1432"/>
      <c r="BP246" s="6763" t="s">
        <v>10017</v>
      </c>
      <c r="BQ246" s="5783"/>
      <c r="BR246" s="5783"/>
      <c r="BS246" s="5783"/>
      <c r="BT246" s="5783"/>
      <c r="BU246" s="5783"/>
      <c r="BV246" s="6403"/>
      <c r="BX246" s="6763" t="s">
        <v>10017</v>
      </c>
      <c r="BY246" s="5783"/>
      <c r="BZ246" s="5783"/>
      <c r="CA246" s="5783"/>
      <c r="CB246" s="5783"/>
      <c r="CC246" s="5783"/>
      <c r="CD246" s="6403"/>
      <c r="CF246" s="6763" t="s">
        <v>10017</v>
      </c>
      <c r="CG246" s="5783"/>
      <c r="CH246" s="5783"/>
      <c r="CI246" s="5783"/>
      <c r="CJ246" s="5783"/>
      <c r="CK246" s="5783"/>
      <c r="CL246" s="6403"/>
      <c r="CN246" s="5">
        <v>1</v>
      </c>
    </row>
    <row r="247" spans="3:92" ht="21" customHeight="1">
      <c r="C247" s="141"/>
      <c r="D247" s="141"/>
      <c r="E247" s="141"/>
      <c r="G247" s="6144" t="s">
        <v>1193</v>
      </c>
      <c r="H247" s="1429">
        <v>1.0416666666666666E-2</v>
      </c>
      <c r="I247" s="141"/>
      <c r="J247" s="1389">
        <v>100</v>
      </c>
      <c r="K247" s="1430">
        <v>0.6</v>
      </c>
      <c r="L247" s="1431" t="s">
        <v>1194</v>
      </c>
      <c r="M247" s="1431" t="s">
        <v>1195</v>
      </c>
      <c r="N247" s="1431"/>
      <c r="O247" s="1431"/>
      <c r="P247" s="1432"/>
      <c r="Y247" s="4"/>
      <c r="Z247" s="4"/>
      <c r="AA247" s="4"/>
      <c r="AB247" s="4"/>
      <c r="AC247" s="6144" t="s">
        <v>9749</v>
      </c>
      <c r="AD247" s="1429">
        <v>1.0416666666666666E-2</v>
      </c>
      <c r="AE247" s="141"/>
      <c r="AF247" s="1389">
        <v>100</v>
      </c>
      <c r="AG247" s="1430">
        <v>0.6</v>
      </c>
      <c r="AH247" s="1431" t="s">
        <v>9752</v>
      </c>
      <c r="AI247" s="1431" t="s">
        <v>9754</v>
      </c>
      <c r="AJ247" s="1431"/>
      <c r="AK247" s="1431"/>
      <c r="AL247" s="1432"/>
      <c r="AU247" s="141"/>
      <c r="AV247" s="141"/>
      <c r="AW247" s="141"/>
      <c r="AX247" s="141"/>
      <c r="AY247" s="6741" t="s">
        <v>9887</v>
      </c>
      <c r="AZ247" s="1429">
        <v>1.0416666666666666E-2</v>
      </c>
      <c r="BA247" s="141"/>
      <c r="BB247" s="1389">
        <v>100</v>
      </c>
      <c r="BC247" s="1430">
        <v>0.6</v>
      </c>
      <c r="BD247" s="6742" t="s">
        <v>9890</v>
      </c>
      <c r="BE247" s="6742" t="s">
        <v>9892</v>
      </c>
      <c r="BF247" s="6742"/>
      <c r="BG247" s="1431"/>
      <c r="BH247" s="1432"/>
      <c r="BP247" s="6763" t="s">
        <v>10018</v>
      </c>
      <c r="BQ247" s="5783"/>
      <c r="BR247" s="5783"/>
      <c r="BS247" s="5783"/>
      <c r="BT247" s="5783"/>
      <c r="BU247" s="5783"/>
      <c r="BV247" s="6403"/>
      <c r="BX247" s="6763" t="s">
        <v>10018</v>
      </c>
      <c r="BY247" s="5783"/>
      <c r="BZ247" s="5783"/>
      <c r="CA247" s="5783"/>
      <c r="CB247" s="5783"/>
      <c r="CC247" s="5783"/>
      <c r="CD247" s="6403"/>
      <c r="CF247" s="6763" t="s">
        <v>10018</v>
      </c>
      <c r="CG247" s="5783"/>
      <c r="CH247" s="5783"/>
      <c r="CI247" s="5783"/>
      <c r="CJ247" s="5783"/>
      <c r="CK247" s="5783"/>
      <c r="CL247" s="6403"/>
      <c r="CN247" s="5">
        <v>1</v>
      </c>
    </row>
    <row r="248" spans="3:92" ht="21" customHeight="1">
      <c r="C248" s="141"/>
      <c r="D248" s="141"/>
      <c r="E248" s="141"/>
      <c r="G248" s="6144" t="s">
        <v>1197</v>
      </c>
      <c r="H248" s="1429">
        <v>5.2083333333333301E-2</v>
      </c>
      <c r="I248" s="141"/>
      <c r="J248" s="1389">
        <v>100</v>
      </c>
      <c r="K248" s="1430">
        <v>0.6</v>
      </c>
      <c r="L248" s="1431" t="s">
        <v>1191</v>
      </c>
      <c r="M248" s="1431" t="s">
        <v>1198</v>
      </c>
      <c r="N248" s="1431"/>
      <c r="O248" s="1431"/>
      <c r="P248" s="1432"/>
      <c r="Y248" s="4"/>
      <c r="Z248" s="4"/>
      <c r="AA248" s="4"/>
      <c r="AB248" s="4"/>
      <c r="AC248" s="6144" t="s">
        <v>9750</v>
      </c>
      <c r="AD248" s="1429">
        <v>5.2083333333333301E-2</v>
      </c>
      <c r="AE248" s="141"/>
      <c r="AF248" s="1389">
        <v>100</v>
      </c>
      <c r="AG248" s="1430">
        <v>0.6</v>
      </c>
      <c r="AH248" s="1431" t="s">
        <v>9751</v>
      </c>
      <c r="AI248" s="1431" t="s">
        <v>9755</v>
      </c>
      <c r="AJ248" s="1431"/>
      <c r="AK248" s="1431"/>
      <c r="AL248" s="1432"/>
      <c r="AU248" s="141"/>
      <c r="AV248" s="141"/>
      <c r="AW248" s="141"/>
      <c r="AX248" s="141"/>
      <c r="AY248" s="6741" t="s">
        <v>9888</v>
      </c>
      <c r="AZ248" s="1429">
        <v>5.2083333333333301E-2</v>
      </c>
      <c r="BA248" s="141"/>
      <c r="BB248" s="1389">
        <v>100</v>
      </c>
      <c r="BC248" s="1430">
        <v>0.6</v>
      </c>
      <c r="BD248" s="6742" t="s">
        <v>9889</v>
      </c>
      <c r="BE248" s="6742" t="s">
        <v>9893</v>
      </c>
      <c r="BF248" s="6742"/>
      <c r="BG248" s="1431"/>
      <c r="BH248" s="1432"/>
      <c r="BP248" s="6763" t="s">
        <v>10019</v>
      </c>
      <c r="BQ248" s="6498"/>
      <c r="BR248" s="5783"/>
      <c r="BS248" s="5783"/>
      <c r="BT248" s="5783"/>
      <c r="BU248" s="5783"/>
      <c r="BV248" s="6403"/>
      <c r="BX248" s="6763" t="s">
        <v>10019</v>
      </c>
      <c r="BY248" s="6498"/>
      <c r="BZ248" s="5783"/>
      <c r="CA248" s="5783"/>
      <c r="CB248" s="5783"/>
      <c r="CC248" s="5783"/>
      <c r="CD248" s="6403"/>
      <c r="CF248" s="6763" t="s">
        <v>10019</v>
      </c>
      <c r="CG248" s="6498"/>
      <c r="CH248" s="5783"/>
      <c r="CI248" s="5783"/>
      <c r="CJ248" s="5783"/>
      <c r="CK248" s="5783"/>
      <c r="CL248" s="6403"/>
      <c r="CN248" s="5">
        <v>1</v>
      </c>
    </row>
    <row r="249" spans="3:92" ht="21" customHeight="1">
      <c r="C249" s="141"/>
      <c r="D249" s="141"/>
      <c r="E249" s="141"/>
      <c r="G249" s="6144" t="s">
        <v>157</v>
      </c>
      <c r="H249" s="1429">
        <v>9.375E-2</v>
      </c>
      <c r="I249" s="141"/>
      <c r="J249" s="1389">
        <v>100</v>
      </c>
      <c r="K249" s="1430">
        <v>0.6</v>
      </c>
      <c r="L249" s="1431" t="s">
        <v>1194</v>
      </c>
      <c r="M249" s="1431" t="s">
        <v>1218</v>
      </c>
      <c r="N249" s="1431"/>
      <c r="O249" s="1431"/>
      <c r="P249" s="1432"/>
      <c r="Y249" s="4"/>
      <c r="Z249" s="4"/>
      <c r="AA249" s="4"/>
      <c r="AB249" s="4"/>
      <c r="AC249" s="6144" t="s">
        <v>897</v>
      </c>
      <c r="AD249" s="1429">
        <v>9.375E-2</v>
      </c>
      <c r="AE249" s="141"/>
      <c r="AF249" s="1389">
        <v>100</v>
      </c>
      <c r="AG249" s="1430">
        <v>0.6</v>
      </c>
      <c r="AH249" s="1431" t="s">
        <v>9752</v>
      </c>
      <c r="AI249" s="1431" t="s">
        <v>9756</v>
      </c>
      <c r="AJ249" s="1431"/>
      <c r="AK249" s="1431"/>
      <c r="AL249" s="1432"/>
      <c r="AU249" s="141"/>
      <c r="AV249" s="141"/>
      <c r="AW249" s="141"/>
      <c r="AX249" s="141"/>
      <c r="AY249" s="6741" t="s">
        <v>8794</v>
      </c>
      <c r="AZ249" s="1429">
        <v>9.375E-2</v>
      </c>
      <c r="BA249" s="141"/>
      <c r="BB249" s="1389">
        <v>100</v>
      </c>
      <c r="BC249" s="1430">
        <v>0.6</v>
      </c>
      <c r="BD249" s="6742" t="s">
        <v>9890</v>
      </c>
      <c r="BE249" s="6742" t="s">
        <v>9894</v>
      </c>
      <c r="BF249" s="6742"/>
      <c r="BG249" s="1431"/>
      <c r="BH249" s="1432"/>
      <c r="BP249" s="976" t="s">
        <v>218</v>
      </c>
      <c r="BQ249" s="1314">
        <v>11</v>
      </c>
      <c r="BR249" s="1315" t="s">
        <v>1108</v>
      </c>
      <c r="BS249" s="1316"/>
      <c r="BT249" s="1316"/>
      <c r="BU249" s="1317"/>
      <c r="BV249" s="6056"/>
      <c r="BX249" s="976" t="s">
        <v>218</v>
      </c>
      <c r="BY249" s="1314">
        <v>11</v>
      </c>
      <c r="BZ249" s="1315" t="s">
        <v>1108</v>
      </c>
      <c r="CA249" s="1316"/>
      <c r="CB249" s="1316"/>
      <c r="CC249" s="1317"/>
      <c r="CD249" s="6056"/>
      <c r="CF249" s="976" t="s">
        <v>218</v>
      </c>
      <c r="CG249" s="1314">
        <v>11</v>
      </c>
      <c r="CH249" s="1315" t="s">
        <v>1108</v>
      </c>
      <c r="CI249" s="1316"/>
      <c r="CJ249" s="1316"/>
      <c r="CK249" s="1317"/>
      <c r="CL249" s="6056"/>
      <c r="CN249" s="5">
        <v>1</v>
      </c>
    </row>
    <row r="250" spans="3:92" ht="21" customHeight="1">
      <c r="C250" s="141"/>
      <c r="D250" s="141"/>
      <c r="E250" s="141"/>
      <c r="G250" s="6145"/>
      <c r="H250" s="1442">
        <f>SUM(H246:H249)</f>
        <v>0.18055555555555552</v>
      </c>
      <c r="I250" s="1385"/>
      <c r="J250" s="1385"/>
      <c r="K250" s="1385"/>
      <c r="L250" s="1385"/>
      <c r="M250" s="1385"/>
      <c r="N250" s="1385"/>
      <c r="O250" s="1385"/>
      <c r="P250" s="1443"/>
      <c r="Y250" s="4"/>
      <c r="Z250" s="4"/>
      <c r="AA250" s="4"/>
      <c r="AB250" s="4"/>
      <c r="AC250" s="6145"/>
      <c r="AD250" s="1442">
        <f>SUM(AD246:AD249)</f>
        <v>0.18055555555555552</v>
      </c>
      <c r="AE250" s="1385"/>
      <c r="AF250" s="1385"/>
      <c r="AG250" s="1385"/>
      <c r="AH250" s="1385"/>
      <c r="AI250" s="1385"/>
      <c r="AJ250" s="1385"/>
      <c r="AK250" s="1385"/>
      <c r="AL250" s="1443"/>
      <c r="AU250" s="141"/>
      <c r="AV250" s="141"/>
      <c r="AW250" s="141"/>
      <c r="AX250" s="141"/>
      <c r="AY250" s="6145"/>
      <c r="AZ250" s="1442">
        <f>SUM(AZ246:AZ249)</f>
        <v>0.18055555555555552</v>
      </c>
      <c r="BA250" s="1385"/>
      <c r="BB250" s="1385"/>
      <c r="BC250" s="1385"/>
      <c r="BD250" s="1385"/>
      <c r="BE250" s="1385"/>
      <c r="BF250" s="1385"/>
      <c r="BG250" s="1385"/>
      <c r="BH250" s="1443"/>
      <c r="BP250" s="6057" t="s">
        <v>252</v>
      </c>
      <c r="BQ250" s="5271" t="s">
        <v>864</v>
      </c>
      <c r="BR250" s="1321"/>
      <c r="BS250" s="1321"/>
      <c r="BT250" s="1321"/>
      <c r="BU250" s="1321"/>
      <c r="BV250" s="6058"/>
      <c r="BX250" s="6057" t="s">
        <v>252</v>
      </c>
      <c r="BY250" s="5271" t="s">
        <v>9567</v>
      </c>
      <c r="BZ250" s="1321"/>
      <c r="CA250" s="1321"/>
      <c r="CB250" s="1321"/>
      <c r="CC250" s="1321"/>
      <c r="CD250" s="6058"/>
      <c r="CF250" s="6057" t="s">
        <v>252</v>
      </c>
      <c r="CG250" s="5271" t="s">
        <v>9568</v>
      </c>
      <c r="CH250" s="1321"/>
      <c r="CI250" s="1321"/>
      <c r="CJ250" s="1321"/>
      <c r="CK250" s="1321"/>
      <c r="CL250" s="6058"/>
      <c r="CN250" s="5">
        <v>1</v>
      </c>
    </row>
    <row r="251" spans="3:92" ht="21" customHeight="1">
      <c r="C251" s="141"/>
      <c r="D251" s="141"/>
      <c r="E251" s="141"/>
      <c r="G251" s="1369" t="s">
        <v>864</v>
      </c>
      <c r="H251" s="1321"/>
      <c r="I251" s="1321"/>
      <c r="J251" s="1321"/>
      <c r="K251" s="1321"/>
      <c r="L251" s="1321"/>
      <c r="M251" s="6329"/>
      <c r="N251" s="6329"/>
      <c r="O251" s="6329"/>
      <c r="P251" s="1370"/>
      <c r="Y251" s="4"/>
      <c r="Z251" s="4"/>
      <c r="AA251" s="4"/>
      <c r="AB251" s="4"/>
      <c r="AC251" s="1369" t="s">
        <v>9757</v>
      </c>
      <c r="AD251" s="1321"/>
      <c r="AE251" s="1321"/>
      <c r="AF251" s="1321"/>
      <c r="AG251" s="1321"/>
      <c r="AH251" s="1321"/>
      <c r="AI251" s="6329"/>
      <c r="AJ251" s="6329"/>
      <c r="AK251" s="6329"/>
      <c r="AL251" s="1370"/>
      <c r="AU251" s="141"/>
      <c r="AV251" s="141"/>
      <c r="AW251" s="141"/>
      <c r="AX251" s="141"/>
      <c r="AY251" s="1369" t="s">
        <v>8422</v>
      </c>
      <c r="AZ251" s="1321"/>
      <c r="BA251" s="1321"/>
      <c r="BB251" s="1321"/>
      <c r="BC251" s="1321"/>
      <c r="BD251" s="1321"/>
      <c r="BE251" s="6329"/>
      <c r="BF251" s="6329"/>
      <c r="BG251" s="6329"/>
      <c r="BH251" s="1370"/>
      <c r="BP251" s="574"/>
      <c r="BQ251" s="1320"/>
      <c r="BR251" s="1320"/>
      <c r="BS251" s="1320"/>
      <c r="BT251" s="1320"/>
      <c r="BU251" s="1320"/>
      <c r="BV251" s="6059"/>
      <c r="BX251" s="574"/>
      <c r="BY251" s="1320"/>
      <c r="BZ251" s="1320"/>
      <c r="CA251" s="1320"/>
      <c r="CB251" s="1320"/>
      <c r="CC251" s="1320"/>
      <c r="CD251" s="6059"/>
      <c r="CF251" s="574"/>
      <c r="CG251" s="1320"/>
      <c r="CH251" s="1320"/>
      <c r="CI251" s="1320"/>
      <c r="CJ251" s="1320"/>
      <c r="CK251" s="1320"/>
      <c r="CL251" s="6059"/>
      <c r="CN251" s="5">
        <v>1</v>
      </c>
    </row>
    <row r="252" spans="3:92" ht="21" customHeight="1">
      <c r="C252" s="141"/>
      <c r="D252" s="141"/>
      <c r="E252" s="141"/>
      <c r="G252" s="5292"/>
      <c r="H252" s="988"/>
      <c r="I252" s="988"/>
      <c r="J252" s="988"/>
      <c r="K252" s="988"/>
      <c r="L252" s="988"/>
      <c r="M252" s="988"/>
      <c r="N252" s="988"/>
      <c r="O252" s="988"/>
      <c r="P252" s="1325"/>
      <c r="Y252" s="4"/>
      <c r="Z252" s="4"/>
      <c r="AA252" s="4"/>
      <c r="AB252" s="4"/>
      <c r="AC252" s="5292"/>
      <c r="AD252" s="988"/>
      <c r="AE252" s="988"/>
      <c r="AF252" s="988"/>
      <c r="AG252" s="988"/>
      <c r="AH252" s="988"/>
      <c r="AI252" s="988"/>
      <c r="AJ252" s="988"/>
      <c r="AK252" s="988"/>
      <c r="AL252" s="1325"/>
      <c r="AU252" s="141"/>
      <c r="AV252" s="141"/>
      <c r="AW252" s="141"/>
      <c r="AX252" s="141"/>
      <c r="AY252" s="5292"/>
      <c r="AZ252" s="988"/>
      <c r="BA252" s="988"/>
      <c r="BB252" s="988"/>
      <c r="BC252" s="988"/>
      <c r="BD252" s="988"/>
      <c r="BE252" s="988"/>
      <c r="BF252" s="988"/>
      <c r="BG252" s="988"/>
      <c r="BH252" s="1325"/>
      <c r="BP252" s="6060" t="s">
        <v>8564</v>
      </c>
      <c r="BQ252" s="1361"/>
      <c r="BR252" s="1361"/>
      <c r="BS252" s="1361"/>
      <c r="BT252" s="1361"/>
      <c r="BU252" s="1361"/>
      <c r="BV252" s="6061"/>
      <c r="BX252" s="6060" t="s">
        <v>9307</v>
      </c>
      <c r="BY252" s="1361"/>
      <c r="BZ252" s="1361"/>
      <c r="CA252" s="1361"/>
      <c r="CB252" s="1361"/>
      <c r="CC252" s="1361"/>
      <c r="CD252" s="6061"/>
      <c r="CF252" s="6060" t="s">
        <v>9461</v>
      </c>
      <c r="CG252" s="1361"/>
      <c r="CH252" s="1361"/>
      <c r="CI252" s="1361"/>
      <c r="CJ252" s="1361"/>
      <c r="CK252" s="1361"/>
      <c r="CL252" s="6061"/>
      <c r="CN252" s="5">
        <v>1</v>
      </c>
    </row>
    <row r="253" spans="3:92" ht="21" customHeight="1">
      <c r="C253" s="141"/>
      <c r="D253" s="141"/>
      <c r="E253" s="141"/>
      <c r="G253" s="5292"/>
      <c r="H253" s="988"/>
      <c r="I253" s="988"/>
      <c r="J253" s="988"/>
      <c r="K253" s="988"/>
      <c r="L253" s="988"/>
      <c r="M253" s="988"/>
      <c r="N253" s="988"/>
      <c r="O253" s="988"/>
      <c r="P253" s="1325"/>
      <c r="Y253" s="4"/>
      <c r="Z253" s="4"/>
      <c r="AA253" s="4"/>
      <c r="AB253" s="4"/>
      <c r="AC253" s="5292"/>
      <c r="AD253" s="988"/>
      <c r="AE253" s="988"/>
      <c r="AF253" s="988"/>
      <c r="AG253" s="988"/>
      <c r="AH253" s="988"/>
      <c r="AI253" s="988"/>
      <c r="AJ253" s="988"/>
      <c r="AK253" s="988"/>
      <c r="AL253" s="1325"/>
      <c r="AU253" s="141"/>
      <c r="AV253" s="141"/>
      <c r="AW253" s="141"/>
      <c r="AX253" s="141"/>
      <c r="AY253" s="5292"/>
      <c r="AZ253" s="988"/>
      <c r="BA253" s="988"/>
      <c r="BB253" s="988"/>
      <c r="BC253" s="988"/>
      <c r="BD253" s="988"/>
      <c r="BE253" s="988"/>
      <c r="BF253" s="988"/>
      <c r="BG253" s="988"/>
      <c r="BH253" s="1325"/>
      <c r="BP253" s="6060" t="s">
        <v>8565</v>
      </c>
      <c r="BQ253" s="1361"/>
      <c r="BR253" s="1361"/>
      <c r="BS253" s="1361"/>
      <c r="BT253" s="1361"/>
      <c r="BU253" s="1361"/>
      <c r="BV253" s="6061"/>
      <c r="BX253" s="6060" t="s">
        <v>9308</v>
      </c>
      <c r="BY253" s="1361"/>
      <c r="BZ253" s="1361"/>
      <c r="CA253" s="1361"/>
      <c r="CB253" s="1361"/>
      <c r="CC253" s="1361"/>
      <c r="CD253" s="6061"/>
      <c r="CF253" s="6060" t="s">
        <v>9462</v>
      </c>
      <c r="CG253" s="1361"/>
      <c r="CH253" s="1361"/>
      <c r="CI253" s="1361"/>
      <c r="CJ253" s="1361"/>
      <c r="CK253" s="1361"/>
      <c r="CL253" s="6061"/>
      <c r="CN253" s="5">
        <v>1</v>
      </c>
    </row>
    <row r="254" spans="3:92" ht="21" customHeight="1">
      <c r="C254" s="141"/>
      <c r="D254" s="141"/>
      <c r="E254" s="141"/>
      <c r="G254" s="5292"/>
      <c r="H254" s="988"/>
      <c r="I254" s="988"/>
      <c r="J254" s="988"/>
      <c r="K254" s="988"/>
      <c r="L254" s="988"/>
      <c r="M254" s="988"/>
      <c r="N254" s="988"/>
      <c r="O254" s="988"/>
      <c r="P254" s="1325"/>
      <c r="Y254" s="4"/>
      <c r="Z254" s="4"/>
      <c r="AA254" s="4"/>
      <c r="AB254" s="4"/>
      <c r="AC254" s="5292"/>
      <c r="AD254" s="988"/>
      <c r="AE254" s="988"/>
      <c r="AF254" s="988"/>
      <c r="AG254" s="988"/>
      <c r="AH254" s="988"/>
      <c r="AI254" s="988"/>
      <c r="AJ254" s="988"/>
      <c r="AK254" s="988"/>
      <c r="AL254" s="1325"/>
      <c r="AU254" s="141"/>
      <c r="AV254" s="141"/>
      <c r="AW254" s="141"/>
      <c r="AX254" s="141"/>
      <c r="AY254" s="5292"/>
      <c r="AZ254" s="988"/>
      <c r="BA254" s="988"/>
      <c r="BB254" s="988"/>
      <c r="BC254" s="988"/>
      <c r="BD254" s="988"/>
      <c r="BE254" s="988"/>
      <c r="BF254" s="988"/>
      <c r="BG254" s="988"/>
      <c r="BH254" s="1325"/>
      <c r="BP254" s="6062" t="s">
        <v>1112</v>
      </c>
      <c r="BQ254" s="1361"/>
      <c r="BR254" s="1361"/>
      <c r="BS254" s="1361"/>
      <c r="BT254" s="1361"/>
      <c r="BU254" s="1361"/>
      <c r="BV254" s="6063"/>
      <c r="BX254" s="6062" t="s">
        <v>9309</v>
      </c>
      <c r="BY254" s="1361"/>
      <c r="BZ254" s="1361"/>
      <c r="CA254" s="1361"/>
      <c r="CB254" s="1361"/>
      <c r="CC254" s="1361"/>
      <c r="CD254" s="6063"/>
      <c r="CF254" s="6062" t="s">
        <v>9463</v>
      </c>
      <c r="CG254" s="1361"/>
      <c r="CH254" s="1361"/>
      <c r="CI254" s="1361"/>
      <c r="CJ254" s="1361"/>
      <c r="CK254" s="1361"/>
      <c r="CL254" s="6063"/>
      <c r="CN254" s="5">
        <v>1</v>
      </c>
    </row>
    <row r="255" spans="3:92" ht="21" customHeight="1">
      <c r="C255" s="141"/>
      <c r="D255" s="141"/>
      <c r="E255" s="141"/>
      <c r="G255" s="5292"/>
      <c r="H255" s="988"/>
      <c r="I255" s="988"/>
      <c r="J255" s="988"/>
      <c r="K255" s="988"/>
      <c r="L255" s="988"/>
      <c r="M255" s="988"/>
      <c r="N255" s="988"/>
      <c r="O255" s="988"/>
      <c r="P255" s="1325"/>
      <c r="Y255" s="4"/>
      <c r="Z255" s="4"/>
      <c r="AA255" s="4"/>
      <c r="AB255" s="4"/>
      <c r="AC255" s="5292"/>
      <c r="AD255" s="988"/>
      <c r="AE255" s="988"/>
      <c r="AF255" s="988"/>
      <c r="AG255" s="988"/>
      <c r="AH255" s="988"/>
      <c r="AI255" s="988"/>
      <c r="AJ255" s="988"/>
      <c r="AK255" s="988"/>
      <c r="AL255" s="1325"/>
      <c r="AU255" s="141"/>
      <c r="AV255" s="141"/>
      <c r="AW255" s="141"/>
      <c r="AX255" s="141"/>
      <c r="AY255" s="5292"/>
      <c r="AZ255" s="988"/>
      <c r="BA255" s="988"/>
      <c r="BB255" s="988"/>
      <c r="BC255" s="988"/>
      <c r="BD255" s="988"/>
      <c r="BE255" s="988"/>
      <c r="BF255" s="988"/>
      <c r="BG255" s="988"/>
      <c r="BH255" s="1325"/>
      <c r="BP255" s="6062"/>
      <c r="BQ255" s="1361"/>
      <c r="BR255" s="1361"/>
      <c r="BS255" s="1361"/>
      <c r="BT255" s="1361"/>
      <c r="BU255" s="1361"/>
      <c r="BV255" s="6063"/>
      <c r="BX255" s="6062"/>
      <c r="BY255" s="1361"/>
      <c r="BZ255" s="1361"/>
      <c r="CA255" s="1361"/>
      <c r="CB255" s="1361"/>
      <c r="CC255" s="1361"/>
      <c r="CD255" s="6063"/>
      <c r="CF255" s="6062"/>
      <c r="CG255" s="1361"/>
      <c r="CH255" s="1361"/>
      <c r="CI255" s="1361"/>
      <c r="CJ255" s="1361"/>
      <c r="CK255" s="1361"/>
      <c r="CL255" s="6063"/>
      <c r="CN255" s="5">
        <v>1</v>
      </c>
    </row>
    <row r="256" spans="3:92" ht="21" customHeight="1">
      <c r="C256" s="141"/>
      <c r="D256" s="141"/>
      <c r="E256" s="141"/>
      <c r="G256" s="5292"/>
      <c r="H256" s="988"/>
      <c r="I256" s="988"/>
      <c r="J256" s="988"/>
      <c r="K256" s="988"/>
      <c r="L256" s="988"/>
      <c r="M256" s="988"/>
      <c r="N256" s="988"/>
      <c r="O256" s="988"/>
      <c r="P256" s="1325"/>
      <c r="Y256" s="4"/>
      <c r="Z256" s="4"/>
      <c r="AA256" s="4"/>
      <c r="AB256" s="4"/>
      <c r="AC256" s="5292"/>
      <c r="AD256" s="988"/>
      <c r="AE256" s="988"/>
      <c r="AF256" s="988"/>
      <c r="AG256" s="988"/>
      <c r="AH256" s="988"/>
      <c r="AI256" s="988"/>
      <c r="AJ256" s="988"/>
      <c r="AK256" s="988"/>
      <c r="AL256" s="1325"/>
      <c r="AU256" s="141"/>
      <c r="AV256" s="141"/>
      <c r="AW256" s="141"/>
      <c r="AX256" s="141"/>
      <c r="AY256" s="5292"/>
      <c r="AZ256" s="988"/>
      <c r="BA256" s="988"/>
      <c r="BB256" s="988"/>
      <c r="BC256" s="988"/>
      <c r="BD256" s="988"/>
      <c r="BE256" s="988"/>
      <c r="BF256" s="988"/>
      <c r="BG256" s="988"/>
      <c r="BH256" s="1325"/>
      <c r="BP256" s="6064"/>
      <c r="BQ256" s="1002"/>
      <c r="BR256" s="1002" t="s">
        <v>873</v>
      </c>
      <c r="BS256" s="1003" t="s">
        <v>9203</v>
      </c>
      <c r="BT256" s="1329"/>
      <c r="BU256" s="1329"/>
      <c r="BV256" s="6065"/>
      <c r="BX256" s="6064"/>
      <c r="BY256" s="1002"/>
      <c r="BZ256" s="1002" t="s">
        <v>8386</v>
      </c>
      <c r="CA256" s="1003" t="s">
        <v>9310</v>
      </c>
      <c r="CB256" s="1329"/>
      <c r="CC256" s="1329"/>
      <c r="CD256" s="6065"/>
      <c r="CF256" s="6064"/>
      <c r="CG256" s="1002"/>
      <c r="CH256" s="1002" t="s">
        <v>9464</v>
      </c>
      <c r="CI256" s="6542" t="s">
        <v>9465</v>
      </c>
      <c r="CJ256" s="1329"/>
      <c r="CK256" s="1329"/>
      <c r="CL256" s="6065"/>
      <c r="CN256" s="5">
        <v>1</v>
      </c>
    </row>
    <row r="257" spans="3:92" ht="21" customHeight="1">
      <c r="C257" s="141"/>
      <c r="D257" s="141"/>
      <c r="E257" s="141"/>
      <c r="G257" s="5292"/>
      <c r="H257" s="988"/>
      <c r="I257" s="988"/>
      <c r="J257" s="988"/>
      <c r="K257" s="988"/>
      <c r="L257" s="988"/>
      <c r="M257" s="988"/>
      <c r="N257" s="988"/>
      <c r="O257" s="988"/>
      <c r="P257" s="1325"/>
      <c r="Y257" s="4"/>
      <c r="Z257" s="4"/>
      <c r="AA257" s="4"/>
      <c r="AB257" s="4"/>
      <c r="AC257" s="5292"/>
      <c r="AD257" s="988"/>
      <c r="AE257" s="988"/>
      <c r="AF257" s="988"/>
      <c r="AG257" s="988"/>
      <c r="AH257" s="988"/>
      <c r="AI257" s="988"/>
      <c r="AJ257" s="988"/>
      <c r="AK257" s="988"/>
      <c r="AL257" s="1325"/>
      <c r="AU257" s="141"/>
      <c r="AV257" s="141"/>
      <c r="AW257" s="141"/>
      <c r="AX257" s="141"/>
      <c r="AY257" s="5292"/>
      <c r="AZ257" s="988"/>
      <c r="BA257" s="988"/>
      <c r="BB257" s="988"/>
      <c r="BC257" s="988"/>
      <c r="BD257" s="988"/>
      <c r="BE257" s="988"/>
      <c r="BF257" s="988"/>
      <c r="BG257" s="988"/>
      <c r="BH257" s="1325"/>
      <c r="BP257" s="160"/>
      <c r="BQ257" s="6529"/>
      <c r="BR257" s="6530"/>
      <c r="BS257" s="1280"/>
      <c r="BT257" s="97"/>
      <c r="BU257" s="97"/>
      <c r="BV257" s="96"/>
      <c r="BX257" s="160"/>
      <c r="BY257" s="6529"/>
      <c r="BZ257" s="6530"/>
      <c r="CA257" s="1280"/>
      <c r="CB257" s="97"/>
      <c r="CC257" s="97"/>
      <c r="CD257" s="96"/>
      <c r="CF257" s="160"/>
      <c r="CG257" s="6529"/>
      <c r="CH257" s="6530"/>
      <c r="CI257" s="1280"/>
      <c r="CJ257" s="97"/>
      <c r="CK257" s="97"/>
      <c r="CL257" s="96"/>
      <c r="CN257" s="5">
        <v>1</v>
      </c>
    </row>
    <row r="258" spans="3:92" ht="21" customHeight="1">
      <c r="C258" s="141"/>
      <c r="D258" s="141"/>
      <c r="E258" s="141"/>
      <c r="G258" s="6131"/>
      <c r="H258" s="1460"/>
      <c r="I258" s="1460"/>
      <c r="J258" s="1460"/>
      <c r="K258" s="1460"/>
      <c r="L258" s="1460"/>
      <c r="M258" s="6327"/>
      <c r="N258" s="6327"/>
      <c r="O258" s="6327"/>
      <c r="P258" s="6132" t="s">
        <v>1112</v>
      </c>
      <c r="Y258" s="4"/>
      <c r="Z258" s="4"/>
      <c r="AA258" s="4"/>
      <c r="AB258" s="4"/>
      <c r="AC258" s="6131"/>
      <c r="AD258" s="1460"/>
      <c r="AE258" s="1460"/>
      <c r="AF258" s="1460"/>
      <c r="AG258" s="1460"/>
      <c r="AH258" s="1460"/>
      <c r="AI258" s="6327"/>
      <c r="AJ258" s="6327"/>
      <c r="AK258" s="6327"/>
      <c r="AL258" s="6132" t="s">
        <v>9718</v>
      </c>
      <c r="AU258" s="141"/>
      <c r="AV258" s="141"/>
      <c r="AW258" s="141"/>
      <c r="AX258" s="141"/>
      <c r="AY258" s="6131"/>
      <c r="AZ258" s="1460"/>
      <c r="BA258" s="1460"/>
      <c r="BB258" s="1460"/>
      <c r="BC258" s="1460"/>
      <c r="BD258" s="1460"/>
      <c r="BE258" s="6327"/>
      <c r="BF258" s="6327"/>
      <c r="BG258" s="6327"/>
      <c r="BH258" s="6132" t="s">
        <v>9859</v>
      </c>
      <c r="BP258" s="6066"/>
      <c r="BQ258" s="5300"/>
      <c r="BR258" s="5301"/>
      <c r="BS258" s="5302"/>
      <c r="BT258" s="5301"/>
      <c r="BU258" s="5301"/>
      <c r="BV258" s="6067"/>
      <c r="BX258" s="6066"/>
      <c r="BY258" s="5300"/>
      <c r="BZ258" s="5301"/>
      <c r="CA258" s="5302"/>
      <c r="CB258" s="5301"/>
      <c r="CC258" s="5301"/>
      <c r="CD258" s="6067"/>
      <c r="CF258" s="6066"/>
      <c r="CG258" s="5300"/>
      <c r="CH258" s="5301"/>
      <c r="CI258" s="5302"/>
      <c r="CJ258" s="5301"/>
      <c r="CK258" s="5301"/>
      <c r="CL258" s="6067"/>
      <c r="CN258" s="5">
        <v>1</v>
      </c>
    </row>
    <row r="259" spans="3:92" ht="21" customHeight="1">
      <c r="C259" s="141"/>
      <c r="D259" s="141"/>
      <c r="E259" s="141"/>
      <c r="G259" s="6146"/>
      <c r="H259" s="1002"/>
      <c r="I259" s="1002" t="s">
        <v>873</v>
      </c>
      <c r="J259" s="1003"/>
      <c r="K259" s="1329"/>
      <c r="L259" s="1329"/>
      <c r="M259" s="1329"/>
      <c r="N259" s="1329"/>
      <c r="O259" s="1329"/>
      <c r="P259" s="1330"/>
      <c r="Y259" s="4"/>
      <c r="Z259" s="4"/>
      <c r="AA259" s="4"/>
      <c r="AB259" s="4"/>
      <c r="AC259" s="6146"/>
      <c r="AD259" s="1002"/>
      <c r="AE259" s="1002" t="s">
        <v>873</v>
      </c>
      <c r="AF259" s="1003"/>
      <c r="AG259" s="1329"/>
      <c r="AH259" s="1329"/>
      <c r="AI259" s="1329"/>
      <c r="AJ259" s="1329"/>
      <c r="AK259" s="1329"/>
      <c r="AL259" s="1330"/>
      <c r="AU259" s="141"/>
      <c r="AV259" s="141"/>
      <c r="AW259" s="141"/>
      <c r="AX259" s="141"/>
      <c r="AY259" s="6146"/>
      <c r="AZ259" s="1002"/>
      <c r="BA259" s="1002" t="s">
        <v>8426</v>
      </c>
      <c r="BB259" s="1003"/>
      <c r="BC259" s="1329"/>
      <c r="BD259" s="1329"/>
      <c r="BE259" s="1329"/>
      <c r="BF259" s="1329"/>
      <c r="BG259" s="1329"/>
      <c r="BH259" s="1330"/>
      <c r="BP259" s="1160"/>
      <c r="BU259" s="141"/>
      <c r="BV259" s="409"/>
      <c r="BX259" s="1160"/>
      <c r="CC259" s="141"/>
      <c r="CD259" s="409"/>
      <c r="CF259" s="1160"/>
      <c r="CK259" s="141"/>
      <c r="CL259" s="409"/>
      <c r="CN259" s="5">
        <v>1</v>
      </c>
    </row>
    <row r="260" spans="3:92" ht="21" customHeight="1" thickBot="1">
      <c r="C260" s="141"/>
      <c r="D260" s="141"/>
      <c r="E260" s="141"/>
      <c r="G260" s="1457"/>
      <c r="H260" s="1006"/>
      <c r="I260" s="1007"/>
      <c r="J260" s="1008"/>
      <c r="K260" s="1007"/>
      <c r="L260" s="1007"/>
      <c r="M260" s="1007"/>
      <c r="N260" s="1007"/>
      <c r="O260" s="1007"/>
      <c r="P260" s="1333"/>
      <c r="Y260" s="4"/>
      <c r="Z260" s="4"/>
      <c r="AA260" s="4"/>
      <c r="AB260" s="4"/>
      <c r="AC260" s="1457"/>
      <c r="AD260" s="1006"/>
      <c r="AE260" s="1007"/>
      <c r="AF260" s="1008"/>
      <c r="AG260" s="1007"/>
      <c r="AH260" s="1007"/>
      <c r="AI260" s="1007"/>
      <c r="AJ260" s="1007"/>
      <c r="AK260" s="1007"/>
      <c r="AL260" s="1333"/>
      <c r="AU260" s="141"/>
      <c r="AV260" s="141"/>
      <c r="AW260" s="141"/>
      <c r="AX260" s="141"/>
      <c r="AY260" s="1457"/>
      <c r="AZ260" s="1006"/>
      <c r="BA260" s="1007"/>
      <c r="BB260" s="1008"/>
      <c r="BC260" s="1007"/>
      <c r="BD260" s="1007"/>
      <c r="BE260" s="1007"/>
      <c r="BF260" s="1007"/>
      <c r="BG260" s="1007"/>
      <c r="BH260" s="1333"/>
      <c r="BP260" s="1160"/>
      <c r="BQ260" s="6068"/>
      <c r="BR260" s="5320"/>
      <c r="BS260" s="5321" t="s">
        <v>1156</v>
      </c>
      <c r="BT260" s="6069" t="s">
        <v>8555</v>
      </c>
      <c r="BU260" s="141"/>
      <c r="BV260" s="409"/>
      <c r="BX260" s="1160"/>
      <c r="BY260" s="6068"/>
      <c r="BZ260" s="5320"/>
      <c r="CA260" s="5321" t="s">
        <v>9311</v>
      </c>
      <c r="CB260" s="6069" t="s">
        <v>8555</v>
      </c>
      <c r="CC260" s="141"/>
      <c r="CD260" s="409"/>
      <c r="CF260" s="1160"/>
      <c r="CG260" s="6068"/>
      <c r="CH260" s="5320"/>
      <c r="CI260" s="5321" t="s">
        <v>9466</v>
      </c>
      <c r="CJ260" s="6069" t="s">
        <v>8555</v>
      </c>
      <c r="CK260" s="141"/>
      <c r="CL260" s="409"/>
      <c r="CN260" s="5">
        <v>1</v>
      </c>
    </row>
    <row r="261" spans="3:92" ht="21" customHeight="1">
      <c r="C261" s="141"/>
      <c r="D261" s="141"/>
      <c r="E261" s="141"/>
      <c r="G261" s="141"/>
      <c r="H261" s="141"/>
      <c r="I261" s="141"/>
      <c r="J261" s="141"/>
      <c r="K261" s="141"/>
      <c r="L261" s="141"/>
      <c r="M261" s="141"/>
      <c r="N261" s="141"/>
      <c r="O261" s="141"/>
      <c r="P261" s="141"/>
      <c r="Y261" s="4"/>
      <c r="Z261" s="4"/>
      <c r="AA261" s="4"/>
      <c r="AB261" s="4"/>
      <c r="AC261" s="141"/>
      <c r="AD261" s="141"/>
      <c r="AE261" s="141"/>
      <c r="AF261" s="141"/>
      <c r="AG261" s="141"/>
      <c r="AH261" s="141"/>
      <c r="AI261" s="141"/>
      <c r="AJ261" s="141"/>
      <c r="AK261" s="141"/>
      <c r="AL261" s="141"/>
      <c r="AU261" s="141"/>
      <c r="AV261" s="141"/>
      <c r="AW261" s="141"/>
      <c r="AX261" s="141"/>
      <c r="AY261" s="141"/>
      <c r="AZ261" s="141"/>
      <c r="BA261" s="141"/>
      <c r="BB261" s="141"/>
      <c r="BC261" s="141"/>
      <c r="BD261" s="141"/>
      <c r="BE261" s="141"/>
      <c r="BF261" s="141"/>
      <c r="BG261" s="141"/>
      <c r="BH261" s="141"/>
      <c r="BP261" s="1160"/>
      <c r="BQ261" s="5402"/>
      <c r="BR261" s="1266"/>
      <c r="BS261" s="1270" t="s">
        <v>1157</v>
      </c>
      <c r="BT261" s="6070" t="s">
        <v>1155</v>
      </c>
      <c r="BU261" s="141"/>
      <c r="BV261" s="409"/>
      <c r="BX261" s="1160"/>
      <c r="BY261" s="5402"/>
      <c r="BZ261" s="1266"/>
      <c r="CA261" s="1270" t="s">
        <v>9312</v>
      </c>
      <c r="CB261" s="6070" t="s">
        <v>1155</v>
      </c>
      <c r="CC261" s="141"/>
      <c r="CD261" s="409"/>
      <c r="CF261" s="1160"/>
      <c r="CG261" s="5402"/>
      <c r="CH261" s="1266"/>
      <c r="CI261" s="1270" t="s">
        <v>9467</v>
      </c>
      <c r="CJ261" s="6070" t="s">
        <v>1155</v>
      </c>
      <c r="CK261" s="141"/>
      <c r="CL261" s="409"/>
      <c r="CN261" s="5">
        <v>1</v>
      </c>
    </row>
    <row r="262" spans="3:92" ht="21" customHeight="1">
      <c r="C262" s="141"/>
      <c r="D262" s="141"/>
      <c r="E262" s="141"/>
      <c r="G262" s="141"/>
      <c r="H262" s="141"/>
      <c r="I262" s="141"/>
      <c r="J262" s="141"/>
      <c r="K262" s="141"/>
      <c r="L262" s="141"/>
      <c r="M262" s="141"/>
      <c r="N262" s="141"/>
      <c r="O262" s="141"/>
      <c r="P262" s="141"/>
      <c r="Y262" s="4"/>
      <c r="Z262" s="4"/>
      <c r="AA262" s="4"/>
      <c r="AB262" s="4"/>
      <c r="AC262" s="141"/>
      <c r="AD262" s="141"/>
      <c r="AE262" s="141"/>
      <c r="AF262" s="141"/>
      <c r="AG262" s="141"/>
      <c r="AH262" s="141"/>
      <c r="AI262" s="141"/>
      <c r="AJ262" s="141"/>
      <c r="AK262" s="141"/>
      <c r="AL262" s="141"/>
      <c r="AU262" s="141"/>
      <c r="AV262" s="141"/>
      <c r="AW262" s="141"/>
      <c r="AX262" s="141"/>
      <c r="AY262" s="141"/>
      <c r="AZ262" s="141"/>
      <c r="BA262" s="141"/>
      <c r="BB262" s="141"/>
      <c r="BC262" s="141"/>
      <c r="BD262" s="141"/>
      <c r="BE262" s="141"/>
      <c r="BF262" s="141"/>
      <c r="BG262" s="141"/>
      <c r="BH262" s="141"/>
      <c r="BP262" s="1160"/>
      <c r="BQ262" s="324"/>
      <c r="BR262" s="141"/>
      <c r="BS262" s="5273" t="s">
        <v>1150</v>
      </c>
      <c r="BT262" s="6071">
        <v>1.7361111111111112E-2</v>
      </c>
      <c r="BU262" s="141"/>
      <c r="BV262" s="409"/>
      <c r="BX262" s="1160"/>
      <c r="BY262" s="324"/>
      <c r="BZ262" s="141"/>
      <c r="CA262" s="5273" t="s">
        <v>8361</v>
      </c>
      <c r="CB262" s="6071">
        <v>1.7361111111111112E-2</v>
      </c>
      <c r="CC262" s="141"/>
      <c r="CD262" s="409"/>
      <c r="CF262" s="1160"/>
      <c r="CG262" s="324"/>
      <c r="CH262" s="141"/>
      <c r="CI262" s="5273" t="s">
        <v>8431</v>
      </c>
      <c r="CJ262" s="6071">
        <v>1.7361111111111112E-2</v>
      </c>
      <c r="CK262" s="141"/>
      <c r="CL262" s="409"/>
      <c r="CN262" s="5">
        <v>1</v>
      </c>
    </row>
    <row r="263" spans="3:92" ht="21" customHeight="1">
      <c r="C263" s="141"/>
      <c r="D263" s="141"/>
      <c r="E263" s="141"/>
      <c r="G263" s="1354" t="s">
        <v>252</v>
      </c>
      <c r="H263" s="1355"/>
      <c r="I263" s="1355"/>
      <c r="J263" s="1355"/>
      <c r="K263" s="1355"/>
      <c r="L263" s="1356"/>
      <c r="M263" s="1356"/>
      <c r="N263" s="1356"/>
      <c r="O263" s="1356"/>
      <c r="P263" s="1357" t="s">
        <v>1117</v>
      </c>
      <c r="Y263" s="4"/>
      <c r="Z263" s="4"/>
      <c r="AA263" s="4"/>
      <c r="AB263" s="4"/>
      <c r="AC263" s="1354" t="s">
        <v>252</v>
      </c>
      <c r="AD263" s="1355"/>
      <c r="AE263" s="1355"/>
      <c r="AF263" s="1355"/>
      <c r="AG263" s="1355"/>
      <c r="AH263" s="1356"/>
      <c r="AI263" s="1356"/>
      <c r="AJ263" s="1356"/>
      <c r="AK263" s="1356"/>
      <c r="AL263" s="1357" t="s">
        <v>9704</v>
      </c>
      <c r="AU263" s="141"/>
      <c r="AV263" s="141"/>
      <c r="AW263" s="141"/>
      <c r="AX263" s="141"/>
      <c r="AY263" s="1354" t="s">
        <v>9490</v>
      </c>
      <c r="AZ263" s="1355"/>
      <c r="BA263" s="1355"/>
      <c r="BB263" s="1355"/>
      <c r="BC263" s="1355"/>
      <c r="BD263" s="1356"/>
      <c r="BE263" s="1356"/>
      <c r="BF263" s="1356"/>
      <c r="BG263" s="1356"/>
      <c r="BH263" s="1357" t="s">
        <v>9486</v>
      </c>
      <c r="BP263" s="1160"/>
      <c r="BQ263" s="324"/>
      <c r="BR263" s="141"/>
      <c r="BS263" s="5273" t="s">
        <v>1152</v>
      </c>
      <c r="BT263" s="6072">
        <v>1.0416666666666666E-2</v>
      </c>
      <c r="BU263" s="141"/>
      <c r="BV263" s="409"/>
      <c r="BX263" s="1160"/>
      <c r="BY263" s="324"/>
      <c r="BZ263" s="141"/>
      <c r="CA263" s="5273" t="s">
        <v>8362</v>
      </c>
      <c r="CB263" s="6072">
        <v>1.0416666666666666E-2</v>
      </c>
      <c r="CC263" s="141"/>
      <c r="CD263" s="409"/>
      <c r="CF263" s="1160"/>
      <c r="CG263" s="324"/>
      <c r="CH263" s="141"/>
      <c r="CI263" s="5273" t="s">
        <v>8432</v>
      </c>
      <c r="CJ263" s="6072">
        <v>1.0416666666666666E-2</v>
      </c>
      <c r="CK263" s="141"/>
      <c r="CL263" s="409"/>
      <c r="CN263" s="5">
        <v>1</v>
      </c>
    </row>
    <row r="264" spans="3:92" ht="21" customHeight="1">
      <c r="C264" s="141"/>
      <c r="D264" s="141"/>
      <c r="E264" s="141"/>
      <c r="G264" s="6147">
        <v>3.472222222222222E-3</v>
      </c>
      <c r="H264" s="1385" t="s">
        <v>1150</v>
      </c>
      <c r="I264" s="77"/>
      <c r="J264" s="77"/>
      <c r="K264" s="77"/>
      <c r="L264" s="1386">
        <v>100</v>
      </c>
      <c r="M264" s="6332" t="s">
        <v>1151</v>
      </c>
      <c r="N264" s="6332"/>
      <c r="O264" s="6335"/>
      <c r="P264" s="6336"/>
      <c r="Y264" s="4"/>
      <c r="Z264" s="4"/>
      <c r="AA264" s="4"/>
      <c r="AB264" s="4"/>
      <c r="AC264" s="6147">
        <v>3.472222222222222E-3</v>
      </c>
      <c r="AD264" s="1385" t="s">
        <v>8361</v>
      </c>
      <c r="AE264" s="77"/>
      <c r="AF264" s="77"/>
      <c r="AG264" s="77"/>
      <c r="AH264" s="1386">
        <v>100</v>
      </c>
      <c r="AI264" s="6332" t="s">
        <v>9760</v>
      </c>
      <c r="AJ264" s="6332"/>
      <c r="AK264" s="6335"/>
      <c r="AL264" s="6336"/>
      <c r="AU264" s="141"/>
      <c r="AV264" s="141"/>
      <c r="AW264" s="141"/>
      <c r="AX264" s="141"/>
      <c r="AY264" s="6147">
        <v>3.472222222222222E-3</v>
      </c>
      <c r="AZ264" s="1385" t="s">
        <v>8431</v>
      </c>
      <c r="BA264" s="77"/>
      <c r="BB264" s="77"/>
      <c r="BC264" s="77"/>
      <c r="BD264" s="1386">
        <v>100</v>
      </c>
      <c r="BE264" s="6332" t="s">
        <v>9896</v>
      </c>
      <c r="BF264" s="6332"/>
      <c r="BG264" s="6335"/>
      <c r="BH264" s="6336"/>
      <c r="BP264" s="1160"/>
      <c r="BQ264" s="324"/>
      <c r="BR264" s="141"/>
      <c r="BS264" s="5273" t="s">
        <v>8017</v>
      </c>
      <c r="BT264" s="6073">
        <v>6.25E-2</v>
      </c>
      <c r="BU264" s="141"/>
      <c r="BV264" s="409"/>
      <c r="BX264" s="1160"/>
      <c r="BY264" s="324"/>
      <c r="BZ264" s="141"/>
      <c r="CA264" s="5273" t="s">
        <v>8363</v>
      </c>
      <c r="CB264" s="6073">
        <v>6.25E-2</v>
      </c>
      <c r="CC264" s="141"/>
      <c r="CD264" s="409"/>
      <c r="CF264" s="1160"/>
      <c r="CG264" s="324"/>
      <c r="CH264" s="141"/>
      <c r="CI264" s="5273" t="s">
        <v>9468</v>
      </c>
      <c r="CJ264" s="6073">
        <v>6.25E-2</v>
      </c>
      <c r="CK264" s="141"/>
      <c r="CL264" s="409"/>
      <c r="CN264" s="5">
        <v>1</v>
      </c>
    </row>
    <row r="265" spans="3:92" ht="21" customHeight="1">
      <c r="C265" s="141"/>
      <c r="D265" s="141"/>
      <c r="E265" s="141"/>
      <c r="G265" s="6148">
        <v>1.0416666666666666E-2</v>
      </c>
      <c r="H265" s="1385" t="s">
        <v>1152</v>
      </c>
      <c r="I265" s="77"/>
      <c r="J265" s="77"/>
      <c r="K265" s="77"/>
      <c r="L265" s="1389">
        <v>90</v>
      </c>
      <c r="M265" s="6333" t="s">
        <v>1153</v>
      </c>
      <c r="N265" s="6333"/>
      <c r="O265" s="6333"/>
      <c r="P265" s="1390"/>
      <c r="Y265" s="4"/>
      <c r="Z265" s="4"/>
      <c r="AA265" s="4"/>
      <c r="AB265" s="4"/>
      <c r="AC265" s="6148">
        <v>1.0416666666666666E-2</v>
      </c>
      <c r="AD265" s="1385" t="s">
        <v>9758</v>
      </c>
      <c r="AE265" s="77"/>
      <c r="AF265" s="77"/>
      <c r="AG265" s="77"/>
      <c r="AH265" s="1389">
        <v>90</v>
      </c>
      <c r="AI265" s="6333" t="s">
        <v>9761</v>
      </c>
      <c r="AJ265" s="6333"/>
      <c r="AK265" s="6333"/>
      <c r="AL265" s="1390"/>
      <c r="AU265" s="141"/>
      <c r="AV265" s="141"/>
      <c r="AW265" s="141"/>
      <c r="AX265" s="141"/>
      <c r="AY265" s="6148">
        <v>1.0416666666666666E-2</v>
      </c>
      <c r="AZ265" s="1385" t="s">
        <v>8432</v>
      </c>
      <c r="BA265" s="77"/>
      <c r="BB265" s="77"/>
      <c r="BC265" s="77"/>
      <c r="BD265" s="1389">
        <v>90</v>
      </c>
      <c r="BE265" s="6333" t="s">
        <v>9897</v>
      </c>
      <c r="BF265" s="6333"/>
      <c r="BG265" s="6333"/>
      <c r="BH265" s="1390"/>
      <c r="BP265" s="1160"/>
      <c r="BQ265" s="324"/>
      <c r="BR265" s="141"/>
      <c r="BS265" s="5279" t="s">
        <v>37</v>
      </c>
      <c r="BT265" s="6074">
        <f>BT262+BT263+BT264</f>
        <v>9.0277777777777776E-2</v>
      </c>
      <c r="BU265" s="141"/>
      <c r="BV265" s="409"/>
      <c r="BX265" s="1160"/>
      <c r="BY265" s="324"/>
      <c r="BZ265" s="141"/>
      <c r="CA265" s="5279" t="s">
        <v>37</v>
      </c>
      <c r="CB265" s="6074">
        <f>CB262+CB263+CB264</f>
        <v>9.0277777777777776E-2</v>
      </c>
      <c r="CC265" s="141"/>
      <c r="CD265" s="409"/>
      <c r="CF265" s="1160"/>
      <c r="CG265" s="324"/>
      <c r="CH265" s="141"/>
      <c r="CI265" s="5279" t="s">
        <v>37</v>
      </c>
      <c r="CJ265" s="6074">
        <f>CJ262+CJ263+CJ264</f>
        <v>9.0277777777777776E-2</v>
      </c>
      <c r="CK265" s="141"/>
      <c r="CL265" s="409"/>
      <c r="CN265" s="5">
        <v>1</v>
      </c>
    </row>
    <row r="266" spans="3:92" ht="21" customHeight="1">
      <c r="C266" s="141"/>
      <c r="D266" s="141"/>
      <c r="E266" s="141"/>
      <c r="G266" s="6149">
        <v>2.0833333333333332E-2</v>
      </c>
      <c r="H266" s="1385" t="s">
        <v>1154</v>
      </c>
      <c r="I266" s="988"/>
      <c r="J266" s="988"/>
      <c r="K266" s="988"/>
      <c r="L266" s="1392" t="s">
        <v>1155</v>
      </c>
      <c r="M266" s="6334" t="s">
        <v>1156</v>
      </c>
      <c r="N266" s="6334"/>
      <c r="O266" s="6334"/>
      <c r="P266" s="1393"/>
      <c r="Y266" s="4"/>
      <c r="Z266" s="4"/>
      <c r="AA266" s="4"/>
      <c r="AB266" s="4"/>
      <c r="AC266" s="6149">
        <v>2.0833333333333332E-2</v>
      </c>
      <c r="AD266" s="1385" t="s">
        <v>9759</v>
      </c>
      <c r="AE266" s="988"/>
      <c r="AF266" s="988"/>
      <c r="AG266" s="988"/>
      <c r="AH266" s="1392" t="s">
        <v>1155</v>
      </c>
      <c r="AI266" s="6334" t="s">
        <v>9762</v>
      </c>
      <c r="AJ266" s="6334"/>
      <c r="AK266" s="6334"/>
      <c r="AL266" s="1393"/>
      <c r="AU266" s="141"/>
      <c r="AV266" s="141"/>
      <c r="AW266" s="141"/>
      <c r="AX266" s="141"/>
      <c r="AY266" s="6149">
        <v>2.0833333333333332E-2</v>
      </c>
      <c r="AZ266" s="1385" t="s">
        <v>9895</v>
      </c>
      <c r="BA266" s="988"/>
      <c r="BB266" s="988"/>
      <c r="BC266" s="988"/>
      <c r="BD266" s="1392" t="s">
        <v>1155</v>
      </c>
      <c r="BE266" s="6334" t="s">
        <v>9898</v>
      </c>
      <c r="BF266" s="6334"/>
      <c r="BG266" s="6334"/>
      <c r="BH266" s="1393"/>
      <c r="BP266" s="1160"/>
      <c r="BQ266" s="6896" t="s">
        <v>10041</v>
      </c>
      <c r="BR266" s="6897"/>
      <c r="BS266" s="6897"/>
      <c r="BT266" s="7149"/>
      <c r="BU266" s="141"/>
      <c r="BV266" s="409"/>
      <c r="BX266" s="1160"/>
      <c r="BY266" s="6896" t="s">
        <v>8364</v>
      </c>
      <c r="BZ266" s="6897"/>
      <c r="CA266" s="6897"/>
      <c r="CB266" s="7150"/>
      <c r="CC266" s="141"/>
      <c r="CD266" s="409"/>
      <c r="CF266" s="1160"/>
      <c r="CG266" s="6896" t="s">
        <v>9469</v>
      </c>
      <c r="CH266" s="6897"/>
      <c r="CI266" s="6897"/>
      <c r="CJ266" s="7150"/>
      <c r="CK266" s="141"/>
      <c r="CL266" s="409"/>
      <c r="CN266" s="5">
        <v>1</v>
      </c>
    </row>
    <row r="267" spans="3:92" ht="21" customHeight="1">
      <c r="C267" s="141"/>
      <c r="D267" s="141"/>
      <c r="E267" s="141"/>
      <c r="G267" s="6150">
        <f>G264+G265+G266</f>
        <v>3.4722222222222224E-2</v>
      </c>
      <c r="H267" s="1395" t="s">
        <v>37</v>
      </c>
      <c r="I267" s="988"/>
      <c r="J267" s="988"/>
      <c r="K267" s="988"/>
      <c r="L267" s="1396" t="s">
        <v>1155</v>
      </c>
      <c r="M267" s="6337" t="s">
        <v>1157</v>
      </c>
      <c r="N267" s="6337"/>
      <c r="O267" s="6337"/>
      <c r="P267" s="6338"/>
      <c r="Y267" s="4"/>
      <c r="Z267" s="4"/>
      <c r="AA267" s="4"/>
      <c r="AB267" s="4"/>
      <c r="AC267" s="6150">
        <f>AC264+AC265+AC266</f>
        <v>3.4722222222222224E-2</v>
      </c>
      <c r="AD267" s="1395" t="s">
        <v>37</v>
      </c>
      <c r="AE267" s="988"/>
      <c r="AF267" s="988"/>
      <c r="AG267" s="988"/>
      <c r="AH267" s="1396" t="s">
        <v>1155</v>
      </c>
      <c r="AI267" s="6337" t="s">
        <v>8360</v>
      </c>
      <c r="AJ267" s="6337"/>
      <c r="AK267" s="6337"/>
      <c r="AL267" s="6338"/>
      <c r="AU267" s="141"/>
      <c r="AV267" s="141"/>
      <c r="AW267" s="141"/>
      <c r="AX267" s="141"/>
      <c r="AY267" s="6150">
        <f>AY264+AY265+AY266</f>
        <v>3.4722222222222224E-2</v>
      </c>
      <c r="AZ267" s="1395" t="s">
        <v>37</v>
      </c>
      <c r="BA267" s="988"/>
      <c r="BB267" s="988"/>
      <c r="BC267" s="988"/>
      <c r="BD267" s="1396" t="s">
        <v>1155</v>
      </c>
      <c r="BE267" s="6337" t="s">
        <v>8437</v>
      </c>
      <c r="BF267" s="6337"/>
      <c r="BG267" s="6337"/>
      <c r="BH267" s="6338"/>
      <c r="BP267" s="1160"/>
      <c r="BQ267" s="6205" t="s">
        <v>8018</v>
      </c>
      <c r="BR267" s="147"/>
      <c r="BS267" s="6808" t="s">
        <v>8019</v>
      </c>
      <c r="BT267" s="6208">
        <f>BQ270*BQ268</f>
        <v>225</v>
      </c>
      <c r="BU267" s="141"/>
      <c r="BV267" s="409"/>
      <c r="BX267" s="1160"/>
      <c r="BY267" s="6395" t="s">
        <v>8365</v>
      </c>
      <c r="BZ267" s="147"/>
      <c r="CA267" s="7151" t="s">
        <v>8367</v>
      </c>
      <c r="CB267" s="7152"/>
      <c r="CC267" s="141"/>
      <c r="CD267" s="409"/>
      <c r="CF267" s="1160"/>
      <c r="CG267" s="6395" t="s">
        <v>9470</v>
      </c>
      <c r="CH267" s="147"/>
      <c r="CI267" s="7151" t="s">
        <v>9471</v>
      </c>
      <c r="CJ267" s="7152"/>
      <c r="CK267" s="141"/>
      <c r="CL267" s="409"/>
      <c r="CN267" s="5">
        <v>1</v>
      </c>
    </row>
    <row r="268" spans="3:92" ht="21" customHeight="1">
      <c r="C268" s="141"/>
      <c r="D268" s="141"/>
      <c r="E268" s="141"/>
      <c r="G268" s="1369" t="s">
        <v>864</v>
      </c>
      <c r="H268" s="1321"/>
      <c r="I268" s="1321"/>
      <c r="J268" s="1321"/>
      <c r="K268" s="1321"/>
      <c r="L268" s="1321"/>
      <c r="M268" s="5408"/>
      <c r="N268" s="5408"/>
      <c r="O268" s="5408"/>
      <c r="P268" s="1324"/>
      <c r="Y268" s="4"/>
      <c r="Z268" s="4"/>
      <c r="AA268" s="4"/>
      <c r="AB268" s="4"/>
      <c r="AC268" s="1369" t="s">
        <v>9757</v>
      </c>
      <c r="AD268" s="1321"/>
      <c r="AE268" s="1321"/>
      <c r="AF268" s="1321"/>
      <c r="AG268" s="1321"/>
      <c r="AH268" s="1321"/>
      <c r="AI268" s="5408"/>
      <c r="AJ268" s="5408"/>
      <c r="AK268" s="5408"/>
      <c r="AL268" s="1324"/>
      <c r="AU268" s="141"/>
      <c r="AV268" s="141"/>
      <c r="AW268" s="141"/>
      <c r="AX268" s="141"/>
      <c r="AY268" s="1369" t="s">
        <v>8422</v>
      </c>
      <c r="AZ268" s="1321"/>
      <c r="BA268" s="1321"/>
      <c r="BB268" s="1321"/>
      <c r="BC268" s="1321"/>
      <c r="BD268" s="1321"/>
      <c r="BE268" s="5408"/>
      <c r="BF268" s="5408"/>
      <c r="BG268" s="5408"/>
      <c r="BH268" s="1324"/>
      <c r="BP268" s="1160"/>
      <c r="BQ268" s="6206">
        <v>150</v>
      </c>
      <c r="BR268" s="4691" t="s">
        <v>8358</v>
      </c>
      <c r="BS268" s="6899" t="s">
        <v>3167</v>
      </c>
      <c r="BT268" s="6900"/>
      <c r="BU268" s="141"/>
      <c r="BV268" s="409"/>
      <c r="BX268" s="1160"/>
      <c r="BY268" s="6206">
        <v>100</v>
      </c>
      <c r="BZ268" s="147"/>
      <c r="CA268" s="6899" t="s">
        <v>897</v>
      </c>
      <c r="CB268" s="7153"/>
      <c r="CC268" s="141"/>
      <c r="CD268" s="409"/>
      <c r="CF268" s="1160"/>
      <c r="CG268" s="6206">
        <v>100</v>
      </c>
      <c r="CH268" s="147"/>
      <c r="CI268" s="6899" t="s">
        <v>8794</v>
      </c>
      <c r="CJ268" s="7153"/>
      <c r="CK268" s="141"/>
      <c r="CL268" s="409"/>
      <c r="CN268" s="5">
        <v>1</v>
      </c>
    </row>
    <row r="269" spans="3:92" ht="21" customHeight="1">
      <c r="C269" s="141"/>
      <c r="D269" s="141"/>
      <c r="E269" s="141"/>
      <c r="G269" s="5292"/>
      <c r="H269" s="988"/>
      <c r="I269" s="988"/>
      <c r="J269" s="988"/>
      <c r="K269" s="988"/>
      <c r="L269" s="988"/>
      <c r="M269" s="988"/>
      <c r="N269" s="988"/>
      <c r="O269" s="988"/>
      <c r="P269" s="1325"/>
      <c r="Y269" s="4"/>
      <c r="Z269" s="4"/>
      <c r="AA269" s="4"/>
      <c r="AB269" s="4"/>
      <c r="AC269" s="5292"/>
      <c r="AD269" s="988"/>
      <c r="AE269" s="988"/>
      <c r="AF269" s="988"/>
      <c r="AG269" s="988"/>
      <c r="AH269" s="988"/>
      <c r="AI269" s="988"/>
      <c r="AJ269" s="988"/>
      <c r="AK269" s="988"/>
      <c r="AL269" s="1325"/>
      <c r="AU269" s="141"/>
      <c r="AV269" s="141"/>
      <c r="AW269" s="141"/>
      <c r="AX269" s="141"/>
      <c r="AY269" s="5292"/>
      <c r="AZ269" s="988"/>
      <c r="BA269" s="988"/>
      <c r="BB269" s="988"/>
      <c r="BC269" s="988"/>
      <c r="BD269" s="988"/>
      <c r="BE269" s="988"/>
      <c r="BF269" s="988"/>
      <c r="BG269" s="988"/>
      <c r="BH269" s="1325"/>
      <c r="BP269" s="1160"/>
      <c r="BQ269" s="6874" t="s">
        <v>1193</v>
      </c>
      <c r="BR269" s="6875"/>
      <c r="BS269" s="6809" t="s">
        <v>10037</v>
      </c>
      <c r="BT269" s="609"/>
      <c r="BU269" s="141"/>
      <c r="BV269" s="409"/>
      <c r="BX269" s="1160"/>
      <c r="BY269" s="7154" t="s">
        <v>9313</v>
      </c>
      <c r="BZ269" s="7155"/>
      <c r="CA269" s="5283" t="s">
        <v>9314</v>
      </c>
      <c r="CB269" s="5322"/>
      <c r="CC269" s="141"/>
      <c r="CD269" s="409"/>
      <c r="CF269" s="1160"/>
      <c r="CG269" s="7154" t="s">
        <v>9313</v>
      </c>
      <c r="CH269" s="7155"/>
      <c r="CI269" s="5283" t="s">
        <v>8434</v>
      </c>
      <c r="CJ269" s="5322"/>
      <c r="CK269" s="141"/>
      <c r="CL269" s="409"/>
      <c r="CN269" s="5">
        <v>1</v>
      </c>
    </row>
    <row r="270" spans="3:92" ht="21" customHeight="1">
      <c r="C270" s="141"/>
      <c r="D270" s="141"/>
      <c r="E270" s="141"/>
      <c r="G270" s="5292"/>
      <c r="H270" s="988"/>
      <c r="I270" s="988"/>
      <c r="J270" s="988"/>
      <c r="K270" s="988"/>
      <c r="L270" s="988"/>
      <c r="M270" s="988"/>
      <c r="N270" s="988"/>
      <c r="O270" s="988"/>
      <c r="P270" s="1325"/>
      <c r="Y270" s="4"/>
      <c r="Z270" s="4"/>
      <c r="AA270" s="4"/>
      <c r="AB270" s="4"/>
      <c r="AC270" s="5292"/>
      <c r="AD270" s="988"/>
      <c r="AE270" s="988"/>
      <c r="AF270" s="988"/>
      <c r="AG270" s="988"/>
      <c r="AH270" s="988"/>
      <c r="AI270" s="988"/>
      <c r="AJ270" s="988"/>
      <c r="AK270" s="988"/>
      <c r="AL270" s="1325"/>
      <c r="AU270" s="141"/>
      <c r="AV270" s="141"/>
      <c r="AW270" s="141"/>
      <c r="AX270" s="141"/>
      <c r="AY270" s="5292"/>
      <c r="AZ270" s="988"/>
      <c r="BA270" s="988"/>
      <c r="BB270" s="988"/>
      <c r="BC270" s="988"/>
      <c r="BD270" s="988"/>
      <c r="BE270" s="988"/>
      <c r="BF270" s="988"/>
      <c r="BG270" s="988"/>
      <c r="BH270" s="1325"/>
      <c r="BP270" s="1160"/>
      <c r="BQ270" s="6207">
        <v>1.5</v>
      </c>
      <c r="BR270" s="920" t="str">
        <f>"&lt; Nb de "&amp;BS268&amp;" par personne "</f>
        <v xml:space="preserve">&lt; Nb de tranches par personne </v>
      </c>
      <c r="BS270" s="5286"/>
      <c r="BT270" s="762"/>
      <c r="BU270" s="141"/>
      <c r="BV270" s="409"/>
      <c r="BX270" s="1160"/>
      <c r="BY270" s="6207">
        <v>1</v>
      </c>
      <c r="BZ270" s="5285" t="s">
        <v>9315</v>
      </c>
      <c r="CA270" s="5286"/>
      <c r="CB270" s="5323">
        <f>BY270*BY268</f>
        <v>100</v>
      </c>
      <c r="CC270" s="141"/>
      <c r="CD270" s="409"/>
      <c r="CF270" s="1160"/>
      <c r="CG270" s="6207">
        <v>1</v>
      </c>
      <c r="CH270" s="5285" t="s">
        <v>9472</v>
      </c>
      <c r="CI270" s="5286"/>
      <c r="CJ270" s="5323">
        <f>CG270*CG268</f>
        <v>100</v>
      </c>
      <c r="CK270" s="141"/>
      <c r="CL270" s="409"/>
      <c r="CN270" s="5">
        <v>1</v>
      </c>
    </row>
    <row r="271" spans="3:92" ht="21" customHeight="1">
      <c r="C271" s="141"/>
      <c r="D271" s="141"/>
      <c r="E271" s="141"/>
      <c r="G271" s="5292"/>
      <c r="H271" s="988"/>
      <c r="I271" s="988"/>
      <c r="J271" s="988"/>
      <c r="K271" s="988"/>
      <c r="L271" s="988"/>
      <c r="M271" s="988"/>
      <c r="N271" s="988"/>
      <c r="O271" s="988"/>
      <c r="P271" s="1325"/>
      <c r="Y271" s="4"/>
      <c r="Z271" s="4"/>
      <c r="AA271" s="4"/>
      <c r="AB271" s="4"/>
      <c r="AC271" s="5292"/>
      <c r="AD271" s="988"/>
      <c r="AE271" s="988"/>
      <c r="AF271" s="988"/>
      <c r="AG271" s="988"/>
      <c r="AH271" s="988"/>
      <c r="AI271" s="988"/>
      <c r="AJ271" s="988"/>
      <c r="AK271" s="988"/>
      <c r="AL271" s="1325"/>
      <c r="AU271" s="141"/>
      <c r="AV271" s="141"/>
      <c r="AW271" s="141"/>
      <c r="AX271" s="141"/>
      <c r="AY271" s="5292"/>
      <c r="AZ271" s="988"/>
      <c r="BA271" s="988"/>
      <c r="BB271" s="988"/>
      <c r="BC271" s="988"/>
      <c r="BD271" s="988"/>
      <c r="BE271" s="988"/>
      <c r="BF271" s="988"/>
      <c r="BG271" s="988"/>
      <c r="BH271" s="1325"/>
      <c r="BP271" s="1160"/>
      <c r="BQ271" s="6209">
        <v>27</v>
      </c>
      <c r="BR271" s="920" t="str">
        <f>"&lt; Nb "&amp;BS268&amp;" dans 1 " &amp;BQ269</f>
        <v>&lt; Nb tranches dans 1 Gastro 1/1</v>
      </c>
      <c r="BS271" s="5288"/>
      <c r="BT271" s="6208"/>
      <c r="BU271" s="141"/>
      <c r="BV271" s="409"/>
      <c r="BX271" s="1160"/>
      <c r="BY271" s="6209">
        <v>12</v>
      </c>
      <c r="BZ271" s="920" t="str">
        <f>"&lt; Nb "&amp;CA268&amp;" dans 1 " &amp;BY269</f>
        <v>&lt; Nb plates dans 1 GN 1/1</v>
      </c>
      <c r="CA271" s="5288"/>
      <c r="CB271" s="5323"/>
      <c r="CC271" s="141"/>
      <c r="CD271" s="409"/>
      <c r="CF271" s="1160"/>
      <c r="CG271" s="6209">
        <v>12</v>
      </c>
      <c r="CH271" s="920" t="str">
        <f>"&lt; Nb "&amp;CI268&amp;" dans 1 " &amp;CG269</f>
        <v>&lt; Nb platos dans 1 GN 1/1</v>
      </c>
      <c r="CI271" s="5288"/>
      <c r="CJ271" s="5323"/>
      <c r="CK271" s="141"/>
      <c r="CL271" s="409"/>
      <c r="CN271" s="5">
        <v>1</v>
      </c>
    </row>
    <row r="272" spans="3:92" ht="21" customHeight="1">
      <c r="C272" s="141"/>
      <c r="D272" s="141"/>
      <c r="E272" s="141"/>
      <c r="G272" s="5292"/>
      <c r="H272" s="988"/>
      <c r="I272" s="988"/>
      <c r="J272" s="988"/>
      <c r="K272" s="988"/>
      <c r="L272" s="988"/>
      <c r="M272" s="988"/>
      <c r="N272" s="988"/>
      <c r="O272" s="988"/>
      <c r="P272" s="1325"/>
      <c r="Y272" s="4"/>
      <c r="Z272" s="4"/>
      <c r="AA272" s="4"/>
      <c r="AB272" s="4"/>
      <c r="AC272" s="5292"/>
      <c r="AD272" s="988"/>
      <c r="AE272" s="988"/>
      <c r="AF272" s="988"/>
      <c r="AG272" s="988"/>
      <c r="AH272" s="988"/>
      <c r="AI272" s="988"/>
      <c r="AJ272" s="988"/>
      <c r="AK272" s="988"/>
      <c r="AL272" s="1325"/>
      <c r="AU272" s="141"/>
      <c r="AV272" s="141"/>
      <c r="AW272" s="141"/>
      <c r="AX272" s="141"/>
      <c r="AY272" s="5292"/>
      <c r="AZ272" s="988"/>
      <c r="BA272" s="988"/>
      <c r="BB272" s="988"/>
      <c r="BC272" s="988"/>
      <c r="BD272" s="988"/>
      <c r="BE272" s="988"/>
      <c r="BF272" s="988"/>
      <c r="BG272" s="988"/>
      <c r="BH272" s="1325"/>
      <c r="BP272" s="1160"/>
      <c r="BQ272" s="6876" t="str">
        <f>IF(OR(BQ271="",BT267=0),"",INT(BT267/BQ271) &amp; " " &amp; BQ269 &amp; " de " &amp; BQ271 &amp; " " &amp; BS268 &amp; IF(MOD(BT267,BQ271)&gt;0," + 1 " &amp; BQ269 &amp; " de " &amp; TEXT(MOD(BT267,BQ271),"0.00") &amp; " " &amp; BS268,""))</f>
        <v>8 Gastro 1/1 de 27 tranches + 1 Gastro 1/1 de 9.00 tranches</v>
      </c>
      <c r="BR272" s="6877"/>
      <c r="BS272" s="6877"/>
      <c r="BT272" s="6878"/>
      <c r="BU272" s="141"/>
      <c r="BV272" s="409"/>
      <c r="BX272" s="1160"/>
      <c r="BY272" s="7167" t="str">
        <f>IF(OR(BY271="",CB270=0),"",INT(CB270/BY271) &amp; " " &amp; BY269 &amp; " de " &amp; BY271 &amp; " " &amp; CA268 &amp; IF(MOD(CB270,BY271)&gt;0," + 1 " &amp; BY269 &amp; " de " &amp; TEXT(MOD(CB270,BY271),"0.00") &amp; " " &amp; CA268,""))</f>
        <v>8 GN 1/1 de 12 plates + 1 GN 1/1 de 4.00 plates</v>
      </c>
      <c r="BZ272" s="7168"/>
      <c r="CA272" s="7168"/>
      <c r="CB272" s="7169"/>
      <c r="CC272" s="141"/>
      <c r="CD272" s="409"/>
      <c r="CF272" s="1160"/>
      <c r="CG272" s="7167" t="str">
        <f>IF(OR(CG271="",CJ270=0),"",INT(CJ270/CG271) &amp; " " &amp; CG269 &amp; " de " &amp; CG271 &amp; " " &amp; CI268 &amp; IF(MOD(CJ270,CG271)&gt;0," + 1 " &amp; CG269 &amp; " de " &amp; TEXT(MOD(CJ270,CG271),"0.00") &amp; " " &amp; CI268,""))</f>
        <v>8 GN 1/1 de 12 platos + 1 GN 1/1 de 4.00 platos</v>
      </c>
      <c r="CH272" s="7168"/>
      <c r="CI272" s="7168"/>
      <c r="CJ272" s="7169"/>
      <c r="CK272" s="141"/>
      <c r="CL272" s="409"/>
      <c r="CN272" s="5">
        <v>1</v>
      </c>
    </row>
    <row r="273" spans="3:92" ht="21" customHeight="1">
      <c r="C273" s="141"/>
      <c r="D273" s="141"/>
      <c r="E273" s="141"/>
      <c r="G273" s="5292"/>
      <c r="H273" s="988"/>
      <c r="I273" s="988"/>
      <c r="J273" s="988"/>
      <c r="K273" s="988"/>
      <c r="L273" s="988"/>
      <c r="M273" s="988"/>
      <c r="N273" s="988"/>
      <c r="O273" s="988"/>
      <c r="P273" s="1325"/>
      <c r="Y273" s="4"/>
      <c r="Z273" s="4"/>
      <c r="AA273" s="4"/>
      <c r="AB273" s="4"/>
      <c r="AC273" s="5292"/>
      <c r="AD273" s="988"/>
      <c r="AE273" s="988"/>
      <c r="AF273" s="988"/>
      <c r="AG273" s="988"/>
      <c r="AH273" s="988"/>
      <c r="AI273" s="988"/>
      <c r="AJ273" s="988"/>
      <c r="AK273" s="988"/>
      <c r="AL273" s="1325"/>
      <c r="AU273" s="141"/>
      <c r="AV273" s="141"/>
      <c r="AW273" s="141"/>
      <c r="AX273" s="141"/>
      <c r="AY273" s="5292"/>
      <c r="AZ273" s="988"/>
      <c r="BA273" s="988"/>
      <c r="BB273" s="988"/>
      <c r="BC273" s="988"/>
      <c r="BD273" s="988"/>
      <c r="BE273" s="988"/>
      <c r="BF273" s="988"/>
      <c r="BG273" s="988"/>
      <c r="BH273" s="1325"/>
      <c r="BP273" s="1160"/>
      <c r="BQ273" s="6879"/>
      <c r="BR273" s="6880"/>
      <c r="BS273" s="6880"/>
      <c r="BT273" s="6881"/>
      <c r="BU273" s="141"/>
      <c r="BV273" s="409"/>
      <c r="BX273" s="1160"/>
      <c r="BY273" s="7170"/>
      <c r="BZ273" s="7171"/>
      <c r="CA273" s="7171"/>
      <c r="CB273" s="7172"/>
      <c r="CC273" s="141"/>
      <c r="CD273" s="409"/>
      <c r="CF273" s="1160"/>
      <c r="CG273" s="7170"/>
      <c r="CH273" s="7171"/>
      <c r="CI273" s="7171"/>
      <c r="CJ273" s="7172"/>
      <c r="CK273" s="141"/>
      <c r="CL273" s="409"/>
      <c r="CN273" s="5">
        <v>1</v>
      </c>
    </row>
    <row r="274" spans="3:92" ht="21" customHeight="1">
      <c r="C274" s="141"/>
      <c r="D274" s="141"/>
      <c r="E274" s="141"/>
      <c r="G274" s="5292"/>
      <c r="H274" s="988"/>
      <c r="I274" s="988"/>
      <c r="J274" s="988"/>
      <c r="K274" s="988"/>
      <c r="L274" s="988"/>
      <c r="M274" s="988"/>
      <c r="N274" s="988"/>
      <c r="O274" s="988"/>
      <c r="P274" s="1325"/>
      <c r="Y274" s="4"/>
      <c r="Z274" s="4"/>
      <c r="AA274" s="4"/>
      <c r="AB274" s="4"/>
      <c r="AC274" s="5292"/>
      <c r="AD274" s="988"/>
      <c r="AE274" s="988"/>
      <c r="AF274" s="988"/>
      <c r="AG274" s="988"/>
      <c r="AH274" s="988"/>
      <c r="AI274" s="988"/>
      <c r="AJ274" s="988"/>
      <c r="AK274" s="988"/>
      <c r="AL274" s="1325"/>
      <c r="AU274" s="141"/>
      <c r="AV274" s="141"/>
      <c r="AW274" s="141"/>
      <c r="AX274" s="141"/>
      <c r="AY274" s="5292"/>
      <c r="AZ274" s="988"/>
      <c r="BA274" s="988"/>
      <c r="BB274" s="988"/>
      <c r="BC274" s="988"/>
      <c r="BD274" s="988"/>
      <c r="BE274" s="988"/>
      <c r="BF274" s="988"/>
      <c r="BG274" s="988"/>
      <c r="BH274" s="1325"/>
      <c r="BP274" s="1160"/>
      <c r="BQ274" s="6210">
        <v>120</v>
      </c>
      <c r="BR274" s="77" t="s">
        <v>8023</v>
      </c>
      <c r="BS274" s="147"/>
      <c r="BT274" s="6211">
        <f>(BQ274*BQ268)/1000</f>
        <v>18</v>
      </c>
      <c r="BU274" s="141"/>
      <c r="BV274" s="409"/>
      <c r="BX274" s="1160"/>
      <c r="BY274" s="6210">
        <v>18</v>
      </c>
      <c r="BZ274" s="77" t="s">
        <v>9316</v>
      </c>
      <c r="CA274" s="147"/>
      <c r="CB274" s="5324">
        <f>(BY274*BY268)/1000</f>
        <v>1.8</v>
      </c>
      <c r="CC274" s="141"/>
      <c r="CD274" s="409"/>
      <c r="CF274" s="1160"/>
      <c r="CG274" s="6210">
        <v>18</v>
      </c>
      <c r="CH274" s="77" t="s">
        <v>9473</v>
      </c>
      <c r="CI274" s="147"/>
      <c r="CJ274" s="5324">
        <f>(CG274*CG268)/1000</f>
        <v>1.8</v>
      </c>
      <c r="CK274" s="141"/>
      <c r="CL274" s="409"/>
      <c r="CN274" s="5">
        <v>1</v>
      </c>
    </row>
    <row r="275" spans="3:92" ht="21" customHeight="1">
      <c r="C275" s="141"/>
      <c r="D275" s="141"/>
      <c r="E275" s="141"/>
      <c r="G275" s="5292"/>
      <c r="H275" s="1361"/>
      <c r="I275" s="1361"/>
      <c r="J275" s="1361"/>
      <c r="K275" s="1361"/>
      <c r="L275" s="1361"/>
      <c r="M275" s="5409"/>
      <c r="N275" s="5409"/>
      <c r="O275" s="5409"/>
      <c r="P275" s="5291" t="s">
        <v>1112</v>
      </c>
      <c r="Y275" s="4"/>
      <c r="Z275" s="4"/>
      <c r="AA275" s="4"/>
      <c r="AB275" s="4"/>
      <c r="AC275" s="5292"/>
      <c r="AD275" s="1361"/>
      <c r="AE275" s="1361"/>
      <c r="AF275" s="1361"/>
      <c r="AG275" s="1361"/>
      <c r="AH275" s="1361"/>
      <c r="AI275" s="5409"/>
      <c r="AJ275" s="5409"/>
      <c r="AK275" s="5409"/>
      <c r="AL275" s="5291" t="s">
        <v>9718</v>
      </c>
      <c r="AU275" s="141"/>
      <c r="AV275" s="141"/>
      <c r="AW275" s="141"/>
      <c r="AX275" s="141"/>
      <c r="AY275" s="5292"/>
      <c r="AZ275" s="1361"/>
      <c r="BA275" s="1361"/>
      <c r="BB275" s="1361"/>
      <c r="BC275" s="1361"/>
      <c r="BD275" s="1361"/>
      <c r="BE275" s="5409"/>
      <c r="BF275" s="5409"/>
      <c r="BG275" s="5409"/>
      <c r="BH275" s="5291" t="s">
        <v>9859</v>
      </c>
      <c r="BP275" s="1160"/>
      <c r="BQ275" s="6806">
        <v>2.7</v>
      </c>
      <c r="BR275" s="5297" t="str">
        <f>"poids par "&amp; BQ269</f>
        <v>poids par Gastro 1/1</v>
      </c>
      <c r="BS275" s="147"/>
      <c r="BT275" s="609"/>
      <c r="BU275" s="141"/>
      <c r="BV275" s="409"/>
      <c r="BX275" s="1160"/>
      <c r="BY275" s="6212">
        <v>1.1200000000000001</v>
      </c>
      <c r="BZ275" s="5297" t="str">
        <f>"poids par "&amp; BY269</f>
        <v>poids par GN 1/1</v>
      </c>
      <c r="CA275" s="147"/>
      <c r="CB275" s="5322"/>
      <c r="CC275" s="141"/>
      <c r="CD275" s="409"/>
      <c r="CF275" s="1160"/>
      <c r="CG275" s="6212">
        <v>1.1200000000000001</v>
      </c>
      <c r="CH275" s="5297" t="str">
        <f>"peso par "&amp; CG269</f>
        <v>peso par GN 1/1</v>
      </c>
      <c r="CI275" s="147"/>
      <c r="CJ275" s="5322"/>
      <c r="CK275" s="141"/>
      <c r="CL275" s="409"/>
      <c r="CN275" s="5">
        <v>1</v>
      </c>
    </row>
    <row r="276" spans="3:92" ht="21" customHeight="1">
      <c r="C276" s="141"/>
      <c r="D276" s="141"/>
      <c r="E276" s="141"/>
      <c r="G276" s="5292" t="s">
        <v>8022</v>
      </c>
      <c r="H276" s="988"/>
      <c r="I276" s="988"/>
      <c r="J276" s="988"/>
      <c r="K276" s="988"/>
      <c r="L276" s="988"/>
      <c r="M276" s="988"/>
      <c r="N276" s="988"/>
      <c r="O276" s="988"/>
      <c r="P276" s="1325"/>
      <c r="Y276" s="4"/>
      <c r="Z276" s="4"/>
      <c r="AA276" s="4"/>
      <c r="AB276" s="4"/>
      <c r="AC276" s="5292" t="s">
        <v>8370</v>
      </c>
      <c r="AD276" s="988"/>
      <c r="AE276" s="988"/>
      <c r="AF276" s="988"/>
      <c r="AG276" s="988"/>
      <c r="AH276" s="988"/>
      <c r="AI276" s="988"/>
      <c r="AJ276" s="988"/>
      <c r="AK276" s="988"/>
      <c r="AL276" s="5291"/>
      <c r="AU276" s="141"/>
      <c r="AV276" s="141"/>
      <c r="AW276" s="141"/>
      <c r="AX276" s="141"/>
      <c r="AY276" s="5292" t="s">
        <v>9985</v>
      </c>
      <c r="AZ276" s="988"/>
      <c r="BA276" s="988"/>
      <c r="BB276" s="988"/>
      <c r="BC276" s="988"/>
      <c r="BD276" s="988"/>
      <c r="BE276" s="988"/>
      <c r="BF276" s="988"/>
      <c r="BG276" s="988"/>
      <c r="BH276" s="1325"/>
      <c r="BP276" s="1160"/>
      <c r="BQ276" s="6882" t="str">
        <f>IF(OR(BT274&lt;=0,BQ275&lt;=0),"",_xlfn.LET(_xlpm.n,ROUND(BT274/BQ275,9),_xlpm.q,INT(_xlpm.n),_xlpm.r,ROUND(BT274-_xlpm.q*BQ275,9),_xlpm.base,_xlpm.q&amp;" "&amp;BQ269&amp;" de "&amp;TEXT(BQ275,"0.000")&amp;" kg",IF(_xlpm.r&lt;=0.000000001,_xlpm.base,_xlpm.base&amp;" + 1 "&amp;BQ269&amp;" de "&amp;TEXT(_xlpm.r,"0.000")&amp;" kg")))</f>
        <v>6 Gastro 1/1 de 2.700 kg + 1 Gastro 1/1 de 1.800 kg</v>
      </c>
      <c r="BR276" s="6883"/>
      <c r="BS276" s="6883"/>
      <c r="BT276" s="6884"/>
      <c r="BU276" s="141"/>
      <c r="BV276" s="409"/>
      <c r="BX276" s="1160"/>
      <c r="BY276" s="7173" t="str">
        <f>IF(CB274=0,"",IF(BY275=0,"",INT(CB274/BY275) &amp; " " &amp; BY269 &amp; " de " &amp; BY275 &amp; " kg" &amp; IF(MOD(CB274,BY275)=0,"",IF(MOD(CB274,BY275)=BY275,""," + 1 " &amp; BY269 &amp; " de " &amp; TEXT(MOD(CB274,BY275),"0.000") &amp; " kg"))))</f>
        <v>1 GN 1/1 de 1.12 kg + 1 GN 1/1 de 0.680 kg</v>
      </c>
      <c r="BZ276" s="7174"/>
      <c r="CA276" s="7174"/>
      <c r="CB276" s="7175"/>
      <c r="CC276" s="141"/>
      <c r="CD276" s="409"/>
      <c r="CF276" s="1160"/>
      <c r="CG276" s="7173" t="str">
        <f>IF(CJ274=0,"",IF(CG275=0,"",INT(CJ274/CG275) &amp; " " &amp; CG269 &amp; " de " &amp; CG275 &amp; " kg" &amp; IF(MOD(CJ274,CG275)=0,"",IF(MOD(CJ274,CG275)=CG275,""," + 1 " &amp; CG269 &amp; " de " &amp; TEXT(MOD(CJ274,CG275),"0.000") &amp; " kg"))))</f>
        <v>1 GN 1/1 de 1.12 kg + 1 GN 1/1 de 0.680 kg</v>
      </c>
      <c r="CH276" s="7174"/>
      <c r="CI276" s="7174"/>
      <c r="CJ276" s="7175"/>
      <c r="CK276" s="141"/>
      <c r="CL276" s="409"/>
      <c r="CN276" s="5">
        <v>1</v>
      </c>
    </row>
    <row r="277" spans="3:92" ht="21" customHeight="1">
      <c r="C277" s="141"/>
      <c r="D277" s="141"/>
      <c r="E277" s="141"/>
      <c r="G277" s="5294" t="s">
        <v>8024</v>
      </c>
      <c r="H277" s="1449"/>
      <c r="I277" s="1449"/>
      <c r="J277" s="1449"/>
      <c r="K277" s="1449"/>
      <c r="L277" s="1449"/>
      <c r="M277" s="5410"/>
      <c r="N277" s="5410"/>
      <c r="O277" s="5410"/>
      <c r="P277" s="5295"/>
      <c r="Y277" s="4"/>
      <c r="Z277" s="4"/>
      <c r="AA277" s="4"/>
      <c r="AB277" s="4"/>
      <c r="AC277" s="5294" t="s">
        <v>9724</v>
      </c>
      <c r="AD277" s="1449"/>
      <c r="AE277" s="1449"/>
      <c r="AF277" s="1449"/>
      <c r="AG277" s="1449"/>
      <c r="AH277" s="1449"/>
      <c r="AI277" s="5410"/>
      <c r="AJ277" s="5410"/>
      <c r="AK277" s="5410"/>
      <c r="AL277" s="5295"/>
      <c r="AU277" s="141"/>
      <c r="AV277" s="141"/>
      <c r="AW277" s="141"/>
      <c r="AX277" s="141"/>
      <c r="AY277" s="5294" t="s">
        <v>9864</v>
      </c>
      <c r="AZ277" s="1449"/>
      <c r="BA277" s="1449"/>
      <c r="BB277" s="1449"/>
      <c r="BC277" s="1449"/>
      <c r="BD277" s="1449"/>
      <c r="BE277" s="5410"/>
      <c r="BF277" s="5410"/>
      <c r="BG277" s="5410"/>
      <c r="BH277" s="5295"/>
      <c r="BP277" s="1160"/>
      <c r="BQ277" s="6885"/>
      <c r="BR277" s="6886"/>
      <c r="BS277" s="6886"/>
      <c r="BT277" s="6887"/>
      <c r="BU277" s="141"/>
      <c r="BV277" s="409"/>
      <c r="BX277" s="1160"/>
      <c r="BY277" s="7176"/>
      <c r="BZ277" s="6886"/>
      <c r="CA277" s="6886"/>
      <c r="CB277" s="7177"/>
      <c r="CC277" s="141"/>
      <c r="CD277" s="409"/>
      <c r="CF277" s="1160"/>
      <c r="CG277" s="7176"/>
      <c r="CH277" s="6886"/>
      <c r="CI277" s="6886"/>
      <c r="CJ277" s="7177"/>
      <c r="CK277" s="141"/>
      <c r="CL277" s="409"/>
      <c r="CN277" s="5">
        <v>1</v>
      </c>
    </row>
    <row r="278" spans="3:92" ht="21" customHeight="1">
      <c r="C278" s="141"/>
      <c r="D278" s="141"/>
      <c r="E278" s="141"/>
      <c r="G278" s="1002"/>
      <c r="H278" s="1002"/>
      <c r="I278" s="1002" t="s">
        <v>873</v>
      </c>
      <c r="J278" s="1003"/>
      <c r="K278" s="1329"/>
      <c r="L278" s="1329"/>
      <c r="M278" s="1329"/>
      <c r="N278" s="1329"/>
      <c r="O278" s="1329"/>
      <c r="P278" s="1330"/>
      <c r="Y278" s="4"/>
      <c r="Z278" s="4"/>
      <c r="AA278" s="4"/>
      <c r="AB278" s="4"/>
      <c r="AC278" s="1002"/>
      <c r="AD278" s="1002"/>
      <c r="AE278" s="1002" t="s">
        <v>8386</v>
      </c>
      <c r="AF278" s="1003"/>
      <c r="AG278" s="1329"/>
      <c r="AH278" s="1329"/>
      <c r="AI278" s="1329"/>
      <c r="AJ278" s="1329"/>
      <c r="AK278" s="1329"/>
      <c r="AL278" s="1330"/>
      <c r="AU278" s="141"/>
      <c r="AV278" s="141"/>
      <c r="AW278" s="141"/>
      <c r="AX278" s="141"/>
      <c r="AY278" s="1002"/>
      <c r="AZ278" s="1002"/>
      <c r="BA278" s="1002" t="s">
        <v>8426</v>
      </c>
      <c r="BB278" s="1003"/>
      <c r="BC278" s="1329"/>
      <c r="BD278" s="1329"/>
      <c r="BE278" s="1329"/>
      <c r="BF278" s="1329"/>
      <c r="BG278" s="1329"/>
      <c r="BH278" s="1330"/>
      <c r="BP278" s="1160"/>
      <c r="BQ278" s="141"/>
      <c r="BR278" s="141"/>
      <c r="BS278" s="141"/>
      <c r="BT278" s="141"/>
      <c r="BU278" s="141"/>
      <c r="BV278" s="409"/>
      <c r="BX278" s="1160"/>
      <c r="BY278" s="141"/>
      <c r="BZ278" s="141"/>
      <c r="CA278" s="141"/>
      <c r="CB278" s="141"/>
      <c r="CC278" s="141"/>
      <c r="CD278" s="409"/>
      <c r="CF278" s="1160"/>
      <c r="CG278" s="141"/>
      <c r="CH278" s="141"/>
      <c r="CI278" s="141"/>
      <c r="CJ278" s="141"/>
      <c r="CK278" s="141"/>
      <c r="CL278" s="409"/>
      <c r="CN278" s="5">
        <v>1</v>
      </c>
    </row>
    <row r="279" spans="3:92" ht="21" customHeight="1" thickBot="1">
      <c r="C279" s="141"/>
      <c r="D279" s="141"/>
      <c r="E279" s="141"/>
      <c r="G279" s="1332"/>
      <c r="H279" s="1006"/>
      <c r="I279" s="1007"/>
      <c r="J279" s="1008"/>
      <c r="K279" s="1007"/>
      <c r="L279" s="1007"/>
      <c r="M279" s="1007"/>
      <c r="N279" s="1007"/>
      <c r="O279" s="1007"/>
      <c r="P279" s="1333"/>
      <c r="Y279" s="4"/>
      <c r="Z279" s="4"/>
      <c r="AA279" s="4"/>
      <c r="AB279" s="4"/>
      <c r="AC279" s="1332"/>
      <c r="AD279" s="1006"/>
      <c r="AE279" s="1007"/>
      <c r="AF279" s="1008"/>
      <c r="AG279" s="1007"/>
      <c r="AH279" s="1007"/>
      <c r="AI279" s="1007"/>
      <c r="AJ279" s="1007"/>
      <c r="AK279" s="1007"/>
      <c r="AL279" s="1333"/>
      <c r="AU279" s="141"/>
      <c r="AV279" s="141"/>
      <c r="AW279" s="141"/>
      <c r="AX279" s="141"/>
      <c r="AY279" s="1332"/>
      <c r="AZ279" s="1006"/>
      <c r="BA279" s="1007"/>
      <c r="BB279" s="1008"/>
      <c r="BC279" s="1007"/>
      <c r="BD279" s="1007"/>
      <c r="BE279" s="1007"/>
      <c r="BF279" s="1007"/>
      <c r="BG279" s="1007"/>
      <c r="BH279" s="1333"/>
      <c r="BP279" s="1160"/>
      <c r="BQ279" s="4666" t="s">
        <v>7498</v>
      </c>
      <c r="BR279" s="141"/>
      <c r="BS279" s="141"/>
      <c r="BT279" s="4691" t="s">
        <v>8626</v>
      </c>
      <c r="BU279" s="141"/>
      <c r="BV279" s="409"/>
      <c r="BX279" s="1160"/>
      <c r="BY279" s="4666" t="s">
        <v>8364</v>
      </c>
      <c r="BZ279" s="141"/>
      <c r="CA279" s="141"/>
      <c r="CB279" s="4691" t="s">
        <v>9320</v>
      </c>
      <c r="CC279" s="141"/>
      <c r="CD279" s="409"/>
      <c r="CF279" s="1160"/>
      <c r="CG279" s="4666" t="s">
        <v>9469</v>
      </c>
      <c r="CH279" s="141"/>
      <c r="CI279" s="141"/>
      <c r="CJ279" s="4691" t="s">
        <v>9477</v>
      </c>
      <c r="CK279" s="141"/>
      <c r="CL279" s="409"/>
      <c r="CN279" s="5">
        <v>1</v>
      </c>
    </row>
    <row r="280" spans="3:92" ht="21" customHeight="1">
      <c r="C280" s="141"/>
      <c r="D280" s="141"/>
      <c r="E280" s="141"/>
      <c r="G280" s="141"/>
      <c r="H280" s="141"/>
      <c r="I280" s="141"/>
      <c r="J280" s="141"/>
      <c r="K280" s="141"/>
      <c r="L280" s="141"/>
      <c r="M280" s="141"/>
      <c r="N280" s="141"/>
      <c r="O280" s="141"/>
      <c r="P280" s="141"/>
      <c r="Y280" s="4"/>
      <c r="Z280" s="4"/>
      <c r="AA280" s="4"/>
      <c r="AB280" s="4"/>
      <c r="AC280" s="141"/>
      <c r="AD280" s="141"/>
      <c r="AE280" s="141"/>
      <c r="AF280" s="141"/>
      <c r="AG280" s="141"/>
      <c r="AH280" s="141"/>
      <c r="AI280" s="141"/>
      <c r="AJ280" s="141"/>
      <c r="AK280" s="141"/>
      <c r="AL280" s="141"/>
      <c r="AU280" s="141"/>
      <c r="AV280" s="141"/>
      <c r="AW280" s="141"/>
      <c r="AX280" s="141"/>
      <c r="AY280" s="141"/>
      <c r="AZ280" s="141"/>
      <c r="BA280" s="141"/>
      <c r="BB280" s="141"/>
      <c r="BC280" s="141"/>
      <c r="BD280" s="141"/>
      <c r="BE280" s="141"/>
      <c r="BF280" s="141"/>
      <c r="BG280" s="141"/>
      <c r="BH280" s="141"/>
      <c r="BP280" s="1160"/>
      <c r="BQ280" s="6075" t="s">
        <v>3353</v>
      </c>
      <c r="BR280" s="141"/>
      <c r="BS280" s="141"/>
      <c r="BT280" s="6076" t="s">
        <v>8022</v>
      </c>
      <c r="BU280" s="141"/>
      <c r="BV280" s="409"/>
      <c r="BX280" s="1160"/>
      <c r="BY280" s="6075" t="s">
        <v>9317</v>
      </c>
      <c r="BZ280" s="141"/>
      <c r="CA280" s="141"/>
      <c r="CB280" s="6076" t="s">
        <v>9571</v>
      </c>
      <c r="CC280" s="141"/>
      <c r="CD280" s="409"/>
      <c r="CF280" s="1160"/>
      <c r="CG280" s="6075" t="s">
        <v>9474</v>
      </c>
      <c r="CH280" s="141"/>
      <c r="CI280" s="141"/>
      <c r="CJ280" s="6076" t="s">
        <v>9572</v>
      </c>
      <c r="CK280" s="141"/>
      <c r="CL280" s="409"/>
      <c r="CN280" s="5">
        <v>1</v>
      </c>
    </row>
    <row r="281" spans="3:92" ht="21" customHeight="1">
      <c r="C281" s="141"/>
      <c r="D281" s="141"/>
      <c r="E281" s="141"/>
      <c r="G281" s="141"/>
      <c r="H281" s="141"/>
      <c r="I281" s="141"/>
      <c r="J281" s="141"/>
      <c r="K281" s="141"/>
      <c r="L281" s="141"/>
      <c r="M281" s="141"/>
      <c r="N281" s="141"/>
      <c r="O281" s="141"/>
      <c r="P281" s="141"/>
      <c r="Y281" s="4"/>
      <c r="Z281" s="4"/>
      <c r="AA281" s="4"/>
      <c r="AB281" s="4"/>
      <c r="AC281" s="141"/>
      <c r="AD281" s="141"/>
      <c r="AE281" s="141"/>
      <c r="AF281" s="141"/>
      <c r="AG281" s="141"/>
      <c r="AH281" s="141"/>
      <c r="AI281" s="141"/>
      <c r="AJ281" s="141"/>
      <c r="AK281" s="141"/>
      <c r="AL281" s="141"/>
      <c r="AU281" s="141"/>
      <c r="AV281" s="141"/>
      <c r="AW281" s="141"/>
      <c r="AX281" s="141"/>
      <c r="AY281" s="141"/>
      <c r="AZ281" s="141"/>
      <c r="BA281" s="141"/>
      <c r="BB281" s="141"/>
      <c r="BC281" s="141"/>
      <c r="BD281" s="141"/>
      <c r="BE281" s="141"/>
      <c r="BF281" s="141"/>
      <c r="BG281" s="141"/>
      <c r="BH281" s="141"/>
      <c r="BP281" s="1160"/>
      <c r="BQ281" s="6077" t="s">
        <v>8628</v>
      </c>
      <c r="BR281" s="141"/>
      <c r="BS281" s="141"/>
      <c r="BT281" s="6076" t="s">
        <v>8024</v>
      </c>
      <c r="BU281" s="141"/>
      <c r="BV281" s="409"/>
      <c r="BX281" s="1160"/>
      <c r="BY281" s="6077" t="s">
        <v>9318</v>
      </c>
      <c r="BZ281" s="141"/>
      <c r="CA281" s="141"/>
      <c r="CB281" s="6076" t="s">
        <v>9321</v>
      </c>
      <c r="CC281" s="141"/>
      <c r="CD281" s="409"/>
      <c r="CF281" s="1160"/>
      <c r="CG281" s="6077" t="s">
        <v>9475</v>
      </c>
      <c r="CH281" s="141"/>
      <c r="CI281" s="141"/>
      <c r="CJ281" s="6076" t="s">
        <v>9478</v>
      </c>
      <c r="CK281" s="141"/>
      <c r="CL281" s="409"/>
      <c r="CN281" s="5">
        <v>1</v>
      </c>
    </row>
    <row r="282" spans="3:92" ht="21" customHeight="1">
      <c r="C282" s="141"/>
      <c r="D282" s="141"/>
      <c r="E282" s="141"/>
      <c r="G282" s="1354" t="s">
        <v>252</v>
      </c>
      <c r="H282" s="6151"/>
      <c r="I282" s="6151"/>
      <c r="J282" s="6151"/>
      <c r="K282" s="6151"/>
      <c r="L282" s="6152"/>
      <c r="M282" s="6152"/>
      <c r="N282" s="6152"/>
      <c r="O282" s="6152"/>
      <c r="P282" s="6133" t="s">
        <v>1280</v>
      </c>
      <c r="Y282" s="4"/>
      <c r="Z282" s="4"/>
      <c r="AA282" s="4"/>
      <c r="AB282" s="4"/>
      <c r="AC282" s="1354" t="s">
        <v>252</v>
      </c>
      <c r="AD282" s="6151"/>
      <c r="AE282" s="6151"/>
      <c r="AF282" s="6151"/>
      <c r="AG282" s="6151"/>
      <c r="AH282" s="6152"/>
      <c r="AI282" s="6152"/>
      <c r="AJ282" s="6152"/>
      <c r="AK282" s="6152"/>
      <c r="AL282" s="6133" t="s">
        <v>9763</v>
      </c>
      <c r="AU282" s="141"/>
      <c r="AV282" s="141"/>
      <c r="AW282" s="141"/>
      <c r="AX282" s="141"/>
      <c r="AY282" s="1354" t="s">
        <v>9490</v>
      </c>
      <c r="AZ282" s="6151"/>
      <c r="BA282" s="6151"/>
      <c r="BB282" s="6151"/>
      <c r="BC282" s="6151"/>
      <c r="BD282" s="6152"/>
      <c r="BE282" s="6152"/>
      <c r="BF282" s="6152"/>
      <c r="BG282" s="6152"/>
      <c r="BH282" s="6133" t="s">
        <v>9899</v>
      </c>
      <c r="BP282" s="1160"/>
      <c r="BQ282" s="4691" t="s">
        <v>8629</v>
      </c>
      <c r="BR282" s="141"/>
      <c r="BS282" s="141"/>
      <c r="BT282" s="6076" t="s">
        <v>8630</v>
      </c>
      <c r="BU282" s="141"/>
      <c r="BV282" s="409"/>
      <c r="BX282" s="1160"/>
      <c r="BY282" s="4691" t="s">
        <v>9319</v>
      </c>
      <c r="BZ282" s="141"/>
      <c r="CA282" s="141"/>
      <c r="CB282" s="6076" t="s">
        <v>9322</v>
      </c>
      <c r="CC282" s="141"/>
      <c r="CD282" s="409"/>
      <c r="CF282" s="1160"/>
      <c r="CG282" s="4691" t="s">
        <v>9476</v>
      </c>
      <c r="CH282" s="141"/>
      <c r="CI282" s="141"/>
      <c r="CJ282" s="6076" t="s">
        <v>9479</v>
      </c>
      <c r="CK282" s="141"/>
      <c r="CL282" s="409"/>
      <c r="CN282" s="5">
        <v>1</v>
      </c>
    </row>
    <row r="283" spans="3:92" ht="21" customHeight="1">
      <c r="C283" s="141"/>
      <c r="D283" s="141"/>
      <c r="E283" s="141"/>
      <c r="G283" s="1554" t="s">
        <v>198</v>
      </c>
      <c r="H283" s="7070" t="s">
        <v>196</v>
      </c>
      <c r="I283" s="7071" t="s">
        <v>929</v>
      </c>
      <c r="J283" s="7073" t="s">
        <v>195</v>
      </c>
      <c r="K283" s="7075" t="s">
        <v>183</v>
      </c>
      <c r="L283" s="7077" t="s">
        <v>1282</v>
      </c>
      <c r="M283" s="7079" t="s">
        <v>185</v>
      </c>
      <c r="N283" s="8489"/>
      <c r="O283" s="7080"/>
      <c r="P283" s="7081"/>
      <c r="Y283" s="4"/>
      <c r="Z283" s="4"/>
      <c r="AA283" s="4"/>
      <c r="AB283" s="4"/>
      <c r="AC283" s="1554" t="s">
        <v>198</v>
      </c>
      <c r="AD283" s="7070" t="s">
        <v>850</v>
      </c>
      <c r="AE283" s="7071" t="s">
        <v>9764</v>
      </c>
      <c r="AF283" s="7073" t="s">
        <v>9765</v>
      </c>
      <c r="AG283" s="7075" t="s">
        <v>9766</v>
      </c>
      <c r="AH283" s="7077" t="s">
        <v>9767</v>
      </c>
      <c r="AI283" s="7093" t="s">
        <v>8396</v>
      </c>
      <c r="AJ283" s="7094"/>
      <c r="AK283" s="7094"/>
      <c r="AL283" s="7095"/>
      <c r="AU283" s="141"/>
      <c r="AV283" s="141"/>
      <c r="AW283" s="141"/>
      <c r="AX283" s="141"/>
      <c r="AY283" s="1554" t="s">
        <v>198</v>
      </c>
      <c r="AZ283" s="7070" t="s">
        <v>8416</v>
      </c>
      <c r="BA283" s="7071" t="s">
        <v>9900</v>
      </c>
      <c r="BB283" s="7073" t="s">
        <v>195</v>
      </c>
      <c r="BC283" s="7075" t="s">
        <v>9901</v>
      </c>
      <c r="BD283" s="7077" t="s">
        <v>9902</v>
      </c>
      <c r="BE283" s="7079" t="s">
        <v>8427</v>
      </c>
      <c r="BF283" s="8489"/>
      <c r="BG283" s="7080"/>
      <c r="BH283" s="7081"/>
      <c r="BP283" s="1160"/>
      <c r="BQ283" s="4691"/>
      <c r="BR283" s="141"/>
      <c r="BS283" s="141"/>
      <c r="BT283" s="6076" t="s">
        <v>8631</v>
      </c>
      <c r="BU283" s="141"/>
      <c r="BV283" s="409"/>
      <c r="BX283" s="1160"/>
      <c r="BY283" s="4691"/>
      <c r="BZ283" s="141"/>
      <c r="CA283" s="141"/>
      <c r="CB283" s="6076" t="s">
        <v>9323</v>
      </c>
      <c r="CC283" s="141"/>
      <c r="CD283" s="409"/>
      <c r="CF283" s="1160"/>
      <c r="CG283" s="4691"/>
      <c r="CH283" s="141"/>
      <c r="CI283" s="141"/>
      <c r="CJ283" s="6076" t="s">
        <v>9480</v>
      </c>
      <c r="CK283" s="141"/>
      <c r="CL283" s="409"/>
      <c r="CN283" s="5">
        <v>1</v>
      </c>
    </row>
    <row r="284" spans="3:92" ht="21" customHeight="1">
      <c r="C284" s="141"/>
      <c r="D284" s="141"/>
      <c r="E284" s="141"/>
      <c r="G284" s="5249" t="s">
        <v>191</v>
      </c>
      <c r="H284" s="6905"/>
      <c r="I284" s="7072"/>
      <c r="J284" s="7074"/>
      <c r="K284" s="7076"/>
      <c r="L284" s="7078"/>
      <c r="M284" s="7079"/>
      <c r="N284" s="8489"/>
      <c r="O284" s="7080"/>
      <c r="P284" s="7081"/>
      <c r="Y284" s="4"/>
      <c r="Z284" s="4"/>
      <c r="AA284" s="4"/>
      <c r="AB284" s="4"/>
      <c r="AC284" s="5249" t="s">
        <v>8382</v>
      </c>
      <c r="AD284" s="6905"/>
      <c r="AE284" s="7072"/>
      <c r="AF284" s="7074"/>
      <c r="AG284" s="7076"/>
      <c r="AH284" s="7078"/>
      <c r="AI284" s="7096"/>
      <c r="AJ284" s="7097"/>
      <c r="AK284" s="7097"/>
      <c r="AL284" s="7098"/>
      <c r="AU284" s="141"/>
      <c r="AV284" s="141"/>
      <c r="AW284" s="141"/>
      <c r="AX284" s="141"/>
      <c r="AY284" s="5249" t="s">
        <v>8419</v>
      </c>
      <c r="AZ284" s="6905"/>
      <c r="BA284" s="7072"/>
      <c r="BB284" s="7074"/>
      <c r="BC284" s="7076"/>
      <c r="BD284" s="7078"/>
      <c r="BE284" s="7079"/>
      <c r="BF284" s="8489"/>
      <c r="BG284" s="7080"/>
      <c r="BH284" s="7081"/>
      <c r="BP284" s="986"/>
      <c r="BQ284" s="141"/>
      <c r="BR284" s="141"/>
      <c r="BS284" s="141"/>
      <c r="BT284" s="141"/>
      <c r="BU284" s="141"/>
      <c r="BV284" s="409"/>
      <c r="BX284" s="986"/>
      <c r="BY284" s="141"/>
      <c r="BZ284" s="141"/>
      <c r="CA284" s="141"/>
      <c r="CB284" s="141"/>
      <c r="CC284" s="141"/>
      <c r="CD284" s="409"/>
      <c r="CF284" s="986"/>
      <c r="CG284" s="141"/>
      <c r="CH284" s="141"/>
      <c r="CI284" s="141"/>
      <c r="CJ284" s="141"/>
      <c r="CK284" s="141"/>
      <c r="CL284" s="409"/>
      <c r="CN284" s="5">
        <v>1</v>
      </c>
    </row>
    <row r="285" spans="3:92" ht="21" customHeight="1">
      <c r="C285" s="141"/>
      <c r="D285" s="141"/>
      <c r="E285" s="141"/>
      <c r="G285" s="1561"/>
      <c r="H285" s="210">
        <v>350</v>
      </c>
      <c r="I285" s="6153">
        <f>IFERROR(INDEX(G291:M291,MATCH(J285,G290:M290,0)) * H285 * IF(ISBLANK(G285), 1, G285), 0)</f>
        <v>0.35000000000000003</v>
      </c>
      <c r="J285" s="5124" t="s">
        <v>130</v>
      </c>
      <c r="K285" s="1562">
        <v>16</v>
      </c>
      <c r="L285" s="1563">
        <f>((I285-(I285*K285%)))</f>
        <v>0.29400000000000004</v>
      </c>
      <c r="M285" s="6339" t="s">
        <v>177</v>
      </c>
      <c r="N285" s="6339"/>
      <c r="O285" s="6339"/>
      <c r="P285" s="1564"/>
      <c r="Y285" s="4"/>
      <c r="Z285" s="4"/>
      <c r="AA285" s="4"/>
      <c r="AB285" s="4"/>
      <c r="AC285" s="1561"/>
      <c r="AD285" s="210">
        <v>350</v>
      </c>
      <c r="AE285" s="6153">
        <f>IFERROR(INDEX(AC291:AI291,MATCH(AF285,AC290:AI290,0)) * AD285 * IF(ISBLANK(AC285), 1, AC285), 0)</f>
        <v>0.35000000000000003</v>
      </c>
      <c r="AF285" s="5124" t="s">
        <v>130</v>
      </c>
      <c r="AG285" s="1562">
        <v>16</v>
      </c>
      <c r="AH285" s="1563">
        <f>((AE285-(AE285*AG285%)))</f>
        <v>0.29400000000000004</v>
      </c>
      <c r="AI285" s="6339" t="s">
        <v>9769</v>
      </c>
      <c r="AJ285" s="6339"/>
      <c r="AK285" s="6339"/>
      <c r="AL285" s="1564"/>
      <c r="AU285" s="141"/>
      <c r="AV285" s="141"/>
      <c r="AW285" s="141"/>
      <c r="AX285" s="141"/>
      <c r="AY285" s="1561"/>
      <c r="AZ285" s="210">
        <v>350</v>
      </c>
      <c r="BA285" s="6153">
        <f>IFERROR(INDEX(AY291:BE291,MATCH(BB285,AY290:BE290,0)) * AZ285 * IF(ISBLANK(AY285), 1, AY285), 0)</f>
        <v>0.35000000000000003</v>
      </c>
      <c r="BB285" s="5124" t="s">
        <v>130</v>
      </c>
      <c r="BC285" s="1562">
        <v>16</v>
      </c>
      <c r="BD285" s="1563">
        <f>((BA285-(BA285*BC285%)))</f>
        <v>0.29400000000000004</v>
      </c>
      <c r="BE285" s="6339" t="s">
        <v>9904</v>
      </c>
      <c r="BF285" s="6339"/>
      <c r="BG285" s="6339"/>
      <c r="BH285" s="1564"/>
      <c r="BP285" s="6534"/>
      <c r="BQ285" s="6533"/>
      <c r="BR285" s="6533" t="s">
        <v>269</v>
      </c>
      <c r="BS285" s="6532"/>
      <c r="BT285" s="6532"/>
      <c r="BU285" s="6532"/>
      <c r="BV285" s="409"/>
      <c r="BX285" s="6534"/>
      <c r="BY285" s="6533"/>
      <c r="BZ285" s="6533" t="s">
        <v>269</v>
      </c>
      <c r="CA285" s="6532"/>
      <c r="CB285" s="6532"/>
      <c r="CC285" s="6532"/>
      <c r="CD285" s="409"/>
      <c r="CF285" s="6534"/>
      <c r="CG285" s="6533"/>
      <c r="CH285" s="6533" t="s">
        <v>269</v>
      </c>
      <c r="CI285" s="6532"/>
      <c r="CJ285" s="6532"/>
      <c r="CK285" s="6532"/>
      <c r="CL285" s="409"/>
      <c r="CN285" s="5">
        <v>1</v>
      </c>
    </row>
    <row r="286" spans="3:92" ht="21" customHeight="1">
      <c r="C286" s="141"/>
      <c r="D286" s="141"/>
      <c r="E286" s="141"/>
      <c r="G286" s="1568"/>
      <c r="H286" s="1569">
        <v>1.2</v>
      </c>
      <c r="I286" s="6153">
        <f>IFERROR(INDEX(G291:M291,MATCH(J286,G290:M290,0)) * H286 * IF(ISBLANK(G286), 1, G286), 0)</f>
        <v>1.2</v>
      </c>
      <c r="J286" s="5133" t="s">
        <v>219</v>
      </c>
      <c r="K286" s="1570">
        <v>22</v>
      </c>
      <c r="L286" s="1563">
        <f>((I286-(I286*K286%)))</f>
        <v>0.93599999999999994</v>
      </c>
      <c r="M286" s="6340" t="s">
        <v>174</v>
      </c>
      <c r="N286" s="6340"/>
      <c r="O286" s="6340"/>
      <c r="P286" s="1571"/>
      <c r="Y286" s="4"/>
      <c r="Z286" s="4"/>
      <c r="AA286" s="4"/>
      <c r="AB286" s="4"/>
      <c r="AC286" s="1568"/>
      <c r="AD286" s="1569">
        <v>1.2</v>
      </c>
      <c r="AE286" s="6153">
        <f>IFERROR(INDEX(AC291:AI291,MATCH(AF286,AC290:AI290,0)) * AD286 * IF(ISBLANK(AC286), 1, AC286), 0)</f>
        <v>1.2</v>
      </c>
      <c r="AF286" s="5133" t="s">
        <v>219</v>
      </c>
      <c r="AG286" s="1570">
        <v>22</v>
      </c>
      <c r="AH286" s="1563">
        <f>((AE286-(AE286*AG286%)))</f>
        <v>0.93599999999999994</v>
      </c>
      <c r="AI286" s="6340" t="s">
        <v>8394</v>
      </c>
      <c r="AJ286" s="6340"/>
      <c r="AK286" s="6340"/>
      <c r="AL286" s="1571"/>
      <c r="AU286" s="141"/>
      <c r="AV286" s="141"/>
      <c r="AW286" s="141"/>
      <c r="AX286" s="141"/>
      <c r="AY286" s="1568"/>
      <c r="AZ286" s="1569">
        <v>1.2</v>
      </c>
      <c r="BA286" s="6153">
        <f>IFERROR(INDEX(AY291:BE291,MATCH(BB286,AY290:BE290,0)) * AZ286 * IF(ISBLANK(AY286), 1, AY286), 0)</f>
        <v>1.2</v>
      </c>
      <c r="BB286" s="5133" t="s">
        <v>219</v>
      </c>
      <c r="BC286" s="1570">
        <v>22</v>
      </c>
      <c r="BD286" s="1563">
        <f>((BA286-(BA286*BC286%)))</f>
        <v>0.93599999999999994</v>
      </c>
      <c r="BE286" s="6340" t="s">
        <v>9905</v>
      </c>
      <c r="BF286" s="6340"/>
      <c r="BG286" s="6340"/>
      <c r="BH286" s="1571"/>
      <c r="BP286" s="986"/>
      <c r="BQ286" s="141"/>
      <c r="BR286" s="6530" t="s">
        <v>9202</v>
      </c>
      <c r="BS286" s="141"/>
      <c r="BT286" s="141"/>
      <c r="BU286" s="141"/>
      <c r="BV286" s="409"/>
      <c r="BX286" s="986"/>
      <c r="BY286" s="141"/>
      <c r="BZ286" s="6530" t="s">
        <v>9324</v>
      </c>
      <c r="CA286" s="141"/>
      <c r="CB286" s="141"/>
      <c r="CC286" s="141"/>
      <c r="CD286" s="409"/>
      <c r="CF286" s="986"/>
      <c r="CG286" s="141"/>
      <c r="CH286" s="6530" t="s">
        <v>9481</v>
      </c>
      <c r="CI286" s="141"/>
      <c r="CJ286" s="141"/>
      <c r="CK286" s="141"/>
      <c r="CL286" s="409"/>
      <c r="CN286" s="5">
        <v>1</v>
      </c>
    </row>
    <row r="287" spans="3:92" ht="21" customHeight="1">
      <c r="C287" s="141"/>
      <c r="D287" s="141"/>
      <c r="E287" s="141"/>
      <c r="G287" s="1568">
        <v>2</v>
      </c>
      <c r="H287" s="210">
        <v>50</v>
      </c>
      <c r="I287" s="6153">
        <f>IFERROR(INDEX(G291:M291,MATCH(J287,G290:M290,0)) * H287 * IF(ISBLANK(G287), 1, G287), 0)</f>
        <v>0.1</v>
      </c>
      <c r="J287" s="5124" t="s">
        <v>130</v>
      </c>
      <c r="K287" s="1570"/>
      <c r="L287" s="1563">
        <f>((I287-(I287*K287%)))</f>
        <v>0.1</v>
      </c>
      <c r="M287" s="6341" t="s">
        <v>1286</v>
      </c>
      <c r="N287" s="6341"/>
      <c r="O287" s="6341"/>
      <c r="P287" s="1575"/>
      <c r="Y287" s="4"/>
      <c r="Z287" s="4"/>
      <c r="AA287" s="4"/>
      <c r="AB287" s="4"/>
      <c r="AC287" s="1568">
        <v>2</v>
      </c>
      <c r="AD287" s="210">
        <v>50</v>
      </c>
      <c r="AE287" s="6153">
        <f>IFERROR(INDEX(AC291:AI291,MATCH(AF287,AC290:AI290,0)) * AD287 * IF(ISBLANK(AC287), 1, AC287), 0)</f>
        <v>0.1</v>
      </c>
      <c r="AF287" s="5124" t="s">
        <v>130</v>
      </c>
      <c r="AG287" s="1570"/>
      <c r="AH287" s="1563">
        <f>((AE287-(AE287*AG287%)))</f>
        <v>0.1</v>
      </c>
      <c r="AI287" s="6341" t="s">
        <v>9295</v>
      </c>
      <c r="AJ287" s="6341"/>
      <c r="AK287" s="6341"/>
      <c r="AL287" s="1575"/>
      <c r="AU287" s="141"/>
      <c r="AV287" s="141"/>
      <c r="AW287" s="141"/>
      <c r="AX287" s="141"/>
      <c r="AY287" s="1568">
        <v>2</v>
      </c>
      <c r="AZ287" s="210">
        <v>50</v>
      </c>
      <c r="BA287" s="6153">
        <f>IFERROR(INDEX(AY291:BE291,MATCH(BB287,AY290:BE290,0)) * AZ287 * IF(ISBLANK(AY287), 1, AY287), 0)</f>
        <v>0.1</v>
      </c>
      <c r="BB287" s="5124" t="s">
        <v>130</v>
      </c>
      <c r="BC287" s="1570"/>
      <c r="BD287" s="1563">
        <f>((BA287-(BA287*BC287%)))</f>
        <v>0.1</v>
      </c>
      <c r="BE287" s="6341" t="s">
        <v>9449</v>
      </c>
      <c r="BF287" s="6341"/>
      <c r="BG287" s="6341"/>
      <c r="BH287" s="1575"/>
      <c r="BP287" s="986"/>
      <c r="BQ287" s="141"/>
      <c r="BR287" s="6531" t="s">
        <v>9201</v>
      </c>
      <c r="BS287" s="141"/>
      <c r="BT287" s="141"/>
      <c r="BU287" s="141"/>
      <c r="BV287" s="409"/>
      <c r="BX287" s="986"/>
      <c r="BY287" s="141"/>
      <c r="BZ287" s="6531" t="s">
        <v>9325</v>
      </c>
      <c r="CA287" s="141"/>
      <c r="CB287" s="141"/>
      <c r="CC287" s="141"/>
      <c r="CD287" s="409"/>
      <c r="CF287" s="986"/>
      <c r="CG287" s="141"/>
      <c r="CH287" s="6531" t="s">
        <v>9482</v>
      </c>
      <c r="CI287" s="141"/>
      <c r="CJ287" s="141"/>
      <c r="CK287" s="141"/>
      <c r="CL287" s="409"/>
      <c r="CN287" s="5">
        <v>1</v>
      </c>
    </row>
    <row r="288" spans="3:92" ht="21" customHeight="1">
      <c r="C288" s="141"/>
      <c r="D288" s="141"/>
      <c r="E288" s="141"/>
      <c r="G288" s="1568"/>
      <c r="H288" s="210">
        <v>1</v>
      </c>
      <c r="I288" s="6153">
        <f>IFERROR(INDEX(G291:M291,MATCH(J288,G290:M290,0)) * H288 * IF(ISBLANK(G288), 1, G288), 0)</f>
        <v>0.5</v>
      </c>
      <c r="J288" s="5131" t="s">
        <v>159</v>
      </c>
      <c r="K288" s="1570"/>
      <c r="L288" s="1563">
        <f>((I288-(I288*K288%)))</f>
        <v>0.5</v>
      </c>
      <c r="M288" s="6340" t="s">
        <v>1289</v>
      </c>
      <c r="N288" s="6340"/>
      <c r="O288" s="6340"/>
      <c r="P288" s="1571"/>
      <c r="Y288" s="4"/>
      <c r="Z288" s="4"/>
      <c r="AA288" s="4"/>
      <c r="AB288" s="4"/>
      <c r="AC288" s="1568"/>
      <c r="AD288" s="210">
        <v>1</v>
      </c>
      <c r="AE288" s="6153">
        <f>IFERROR(INDEX(AC291:AI291,MATCH(AF288,AC290:AI290,0)) * AD288 * IF(ISBLANK(AC288), 1, AC288), 0)</f>
        <v>0.5</v>
      </c>
      <c r="AF288" s="5131" t="s">
        <v>9615</v>
      </c>
      <c r="AG288" s="1570"/>
      <c r="AH288" s="1563">
        <f>((AE288-(AE288*AG288%)))</f>
        <v>0.5</v>
      </c>
      <c r="AI288" s="6340" t="s">
        <v>9770</v>
      </c>
      <c r="AJ288" s="6340"/>
      <c r="AK288" s="6340"/>
      <c r="AL288" s="1571"/>
      <c r="AU288" s="141"/>
      <c r="AV288" s="141"/>
      <c r="AW288" s="141"/>
      <c r="AX288" s="141"/>
      <c r="AY288" s="1568"/>
      <c r="AZ288" s="210">
        <v>1</v>
      </c>
      <c r="BA288" s="6153">
        <f>IFERROR(INDEX(AY291:BE291,MATCH(BB288,AY290:BE290,0)) * AZ288 * IF(ISBLANK(AY288), 1, AY288), 0)</f>
        <v>0</v>
      </c>
      <c r="BB288" s="5131" t="s">
        <v>159</v>
      </c>
      <c r="BC288" s="1570"/>
      <c r="BD288" s="1563">
        <f>((BA288-(BA288*BC288%)))</f>
        <v>0</v>
      </c>
      <c r="BE288" s="6340" t="s">
        <v>9906</v>
      </c>
      <c r="BF288" s="6340"/>
      <c r="BG288" s="6340"/>
      <c r="BH288" s="1571"/>
      <c r="BP288" s="986"/>
      <c r="BQ288" s="141"/>
      <c r="BR288" s="141"/>
      <c r="BS288" s="141"/>
      <c r="BT288" s="141"/>
      <c r="BU288" s="141"/>
      <c r="BV288" s="409"/>
      <c r="BX288" s="986"/>
      <c r="BY288" s="141"/>
      <c r="BZ288" s="141"/>
      <c r="CA288" s="141"/>
      <c r="CB288" s="141"/>
      <c r="CC288" s="141"/>
      <c r="CD288" s="409"/>
      <c r="CF288" s="986"/>
      <c r="CG288" s="141"/>
      <c r="CH288" s="141"/>
      <c r="CI288" s="141"/>
      <c r="CJ288" s="141"/>
      <c r="CK288" s="141"/>
      <c r="CL288" s="409"/>
      <c r="CN288" s="5">
        <v>1</v>
      </c>
    </row>
    <row r="289" spans="3:92" ht="21" customHeight="1">
      <c r="C289" s="141"/>
      <c r="D289" s="141"/>
      <c r="E289" s="141"/>
      <c r="G289" s="1581" t="s">
        <v>1294</v>
      </c>
      <c r="H289" s="988"/>
      <c r="I289" s="988"/>
      <c r="J289" s="988"/>
      <c r="K289" s="988"/>
      <c r="L289" s="988"/>
      <c r="M289" s="496" t="s">
        <v>1295</v>
      </c>
      <c r="N289" s="6341"/>
      <c r="O289" s="6341"/>
      <c r="P289" s="1575"/>
      <c r="Y289" s="4"/>
      <c r="Z289" s="4"/>
      <c r="AA289" s="4"/>
      <c r="AB289" s="4"/>
      <c r="AC289" s="1581" t="s">
        <v>9768</v>
      </c>
      <c r="AD289" s="988"/>
      <c r="AE289" s="988"/>
      <c r="AF289" s="988"/>
      <c r="AG289" s="988"/>
      <c r="AH289" s="988"/>
      <c r="AI289" s="496" t="s">
        <v>9771</v>
      </c>
      <c r="AJ289" s="6341"/>
      <c r="AK289" s="6341"/>
      <c r="AL289" s="1575"/>
      <c r="AU289" s="141"/>
      <c r="AV289" s="141"/>
      <c r="AW289" s="141"/>
      <c r="AX289" s="141"/>
      <c r="AY289" s="1581" t="s">
        <v>9903</v>
      </c>
      <c r="AZ289" s="988"/>
      <c r="BA289" s="988"/>
      <c r="BB289" s="988"/>
      <c r="BC289" s="988"/>
      <c r="BD289" s="988"/>
      <c r="BE289" s="496" t="s">
        <v>9907</v>
      </c>
      <c r="BF289" s="6341"/>
      <c r="BG289" s="6341"/>
      <c r="BH289" s="1575"/>
      <c r="BP289" s="1079"/>
      <c r="BQ289" s="1080"/>
      <c r="BR289" s="1081"/>
      <c r="BS289" s="1080"/>
      <c r="BT289" s="1080"/>
      <c r="BU289" s="1080"/>
      <c r="BV289" s="1082"/>
      <c r="BX289" s="1079"/>
      <c r="BY289" s="1080"/>
      <c r="BZ289" s="1081"/>
      <c r="CA289" s="1080"/>
      <c r="CB289" s="1080"/>
      <c r="CC289" s="1080"/>
      <c r="CD289" s="1082"/>
      <c r="CF289" s="1079"/>
      <c r="CG289" s="1080"/>
      <c r="CH289" s="1081"/>
      <c r="CI289" s="1080"/>
      <c r="CJ289" s="1080"/>
      <c r="CK289" s="1080"/>
      <c r="CL289" s="1082"/>
      <c r="CN289" s="5">
        <v>1</v>
      </c>
    </row>
    <row r="290" spans="3:92" ht="21" customHeight="1">
      <c r="C290" s="141"/>
      <c r="D290" s="141"/>
      <c r="E290" s="141"/>
      <c r="G290" s="5133" t="s">
        <v>219</v>
      </c>
      <c r="H290" s="5124" t="s">
        <v>130</v>
      </c>
      <c r="I290" s="1583"/>
      <c r="J290" s="5131" t="s">
        <v>159</v>
      </c>
      <c r="K290" s="5131" t="s">
        <v>164</v>
      </c>
      <c r="L290" s="5124" t="s">
        <v>88</v>
      </c>
      <c r="M290" s="6283" t="s">
        <v>170</v>
      </c>
      <c r="N290" s="6340"/>
      <c r="O290" s="6340"/>
      <c r="P290" s="1571"/>
      <c r="Y290" s="4"/>
      <c r="Z290" s="4"/>
      <c r="AA290" s="4"/>
      <c r="AB290" s="4"/>
      <c r="AC290" s="5133" t="s">
        <v>219</v>
      </c>
      <c r="AD290" s="5124" t="s">
        <v>130</v>
      </c>
      <c r="AE290" s="1583"/>
      <c r="AF290" s="5131" t="s">
        <v>9615</v>
      </c>
      <c r="AG290" s="5131" t="s">
        <v>9613</v>
      </c>
      <c r="AH290" s="5124" t="s">
        <v>88</v>
      </c>
      <c r="AI290" s="6283" t="s">
        <v>170</v>
      </c>
      <c r="AJ290" s="6340"/>
      <c r="AK290" s="6340"/>
      <c r="AL290" s="1571"/>
      <c r="AU290" s="141"/>
      <c r="AV290" s="141"/>
      <c r="AW290" s="141"/>
      <c r="AX290" s="141"/>
      <c r="AY290" s="5133" t="s">
        <v>219</v>
      </c>
      <c r="AZ290" s="5124" t="s">
        <v>130</v>
      </c>
      <c r="BA290" s="1583"/>
      <c r="BB290" s="5131" t="s">
        <v>9616</v>
      </c>
      <c r="BC290" s="5131" t="s">
        <v>9614</v>
      </c>
      <c r="BD290" s="5124" t="s">
        <v>88</v>
      </c>
      <c r="BE290" s="6283" t="s">
        <v>170</v>
      </c>
      <c r="BF290" s="6340"/>
      <c r="BG290" s="6340"/>
      <c r="BH290" s="1571"/>
      <c r="BP290" s="986"/>
      <c r="BQ290" s="141"/>
      <c r="BR290" s="141"/>
      <c r="BS290" s="141"/>
      <c r="BT290" s="141"/>
      <c r="BU290" s="141"/>
      <c r="BV290" s="409"/>
      <c r="BX290" s="986"/>
      <c r="BY290" s="141"/>
      <c r="BZ290" s="141"/>
      <c r="CA290" s="141"/>
      <c r="CB290" s="141"/>
      <c r="CC290" s="141"/>
      <c r="CD290" s="409"/>
      <c r="CF290" s="986"/>
      <c r="CG290" s="141"/>
      <c r="CH290" s="141"/>
      <c r="CI290" s="141"/>
      <c r="CJ290" s="141"/>
      <c r="CK290" s="141"/>
      <c r="CL290" s="409"/>
      <c r="CN290" s="5">
        <v>1</v>
      </c>
    </row>
    <row r="291" spans="3:92" ht="21" customHeight="1">
      <c r="C291" s="141"/>
      <c r="D291" s="141"/>
      <c r="E291" s="141"/>
      <c r="G291" s="6154">
        <v>1</v>
      </c>
      <c r="H291" s="6154">
        <v>1E-3</v>
      </c>
      <c r="I291" s="1583"/>
      <c r="J291" s="6155">
        <v>0.5</v>
      </c>
      <c r="K291" s="6154">
        <v>0.25</v>
      </c>
      <c r="L291" s="1587">
        <v>1</v>
      </c>
      <c r="M291" s="6154">
        <v>0.01</v>
      </c>
      <c r="N291" s="6341"/>
      <c r="O291" s="6341"/>
      <c r="P291" s="1575"/>
      <c r="Y291" s="4"/>
      <c r="Z291" s="4"/>
      <c r="AA291" s="4"/>
      <c r="AB291" s="4"/>
      <c r="AC291" s="6154">
        <v>1</v>
      </c>
      <c r="AD291" s="6154">
        <v>1E-3</v>
      </c>
      <c r="AE291" s="1583"/>
      <c r="AF291" s="6155">
        <v>0.5</v>
      </c>
      <c r="AG291" s="6154">
        <v>0.25</v>
      </c>
      <c r="AH291" s="1587">
        <v>1</v>
      </c>
      <c r="AI291" s="6154">
        <v>0.01</v>
      </c>
      <c r="AJ291" s="6341"/>
      <c r="AK291" s="6341"/>
      <c r="AL291" s="1575"/>
      <c r="AU291" s="141"/>
      <c r="AV291" s="141"/>
      <c r="AW291" s="141"/>
      <c r="AX291" s="141"/>
      <c r="AY291" s="6154">
        <v>1</v>
      </c>
      <c r="AZ291" s="6154">
        <v>1E-3</v>
      </c>
      <c r="BA291" s="1583"/>
      <c r="BB291" s="6155">
        <v>0.5</v>
      </c>
      <c r="BC291" s="6154">
        <v>0.25</v>
      </c>
      <c r="BD291" s="1587">
        <v>1</v>
      </c>
      <c r="BE291" s="6154">
        <v>0.01</v>
      </c>
      <c r="BF291" s="6341"/>
      <c r="BG291" s="6341"/>
      <c r="BH291" s="1575"/>
      <c r="BP291" s="7178" t="s">
        <v>9186</v>
      </c>
      <c r="BQ291" s="7179"/>
      <c r="BR291" s="7180" t="s">
        <v>8633</v>
      </c>
      <c r="BS291" s="7180"/>
      <c r="BT291" s="141"/>
      <c r="BU291" s="141"/>
      <c r="BV291" s="409"/>
      <c r="BX291" s="7178" t="s">
        <v>9326</v>
      </c>
      <c r="BY291" s="7179"/>
      <c r="BZ291" s="7180" t="s">
        <v>9327</v>
      </c>
      <c r="CA291" s="7180"/>
      <c r="CB291" s="141"/>
      <c r="CC291" s="141"/>
      <c r="CD291" s="409"/>
      <c r="CF291" s="7178" t="s">
        <v>9483</v>
      </c>
      <c r="CG291" s="7179"/>
      <c r="CH291" s="7180" t="s">
        <v>9484</v>
      </c>
      <c r="CI291" s="7180"/>
      <c r="CJ291" s="141"/>
      <c r="CK291" s="141"/>
      <c r="CL291" s="409"/>
      <c r="CN291" s="5">
        <v>1</v>
      </c>
    </row>
    <row r="292" spans="3:92" ht="21" customHeight="1">
      <c r="C292" s="141"/>
      <c r="D292" s="141"/>
      <c r="E292" s="141"/>
      <c r="G292" s="5292"/>
      <c r="H292" s="988"/>
      <c r="I292" s="988"/>
      <c r="J292" s="988"/>
      <c r="K292" s="988"/>
      <c r="L292" s="988"/>
      <c r="M292" s="988"/>
      <c r="N292" s="988"/>
      <c r="O292" s="6342"/>
      <c r="P292" s="1582"/>
      <c r="Y292" s="4"/>
      <c r="Z292" s="4"/>
      <c r="AA292" s="4"/>
      <c r="AB292" s="4"/>
      <c r="AC292" s="5292"/>
      <c r="AD292" s="988"/>
      <c r="AE292" s="988"/>
      <c r="AF292" s="988"/>
      <c r="AG292" s="988"/>
      <c r="AH292" s="988"/>
      <c r="AI292" s="988"/>
      <c r="AJ292" s="988"/>
      <c r="AK292" s="6342"/>
      <c r="AL292" s="1582"/>
      <c r="AU292" s="141"/>
      <c r="AV292" s="141"/>
      <c r="AW292" s="141"/>
      <c r="AX292" s="141"/>
      <c r="AY292" s="5292"/>
      <c r="AZ292" s="988"/>
      <c r="BA292" s="988"/>
      <c r="BB292" s="988"/>
      <c r="BC292" s="988"/>
      <c r="BD292" s="988"/>
      <c r="BE292" s="988"/>
      <c r="BF292" s="988"/>
      <c r="BG292" s="6342"/>
      <c r="BH292" s="1582"/>
      <c r="BP292" s="7178"/>
      <c r="BQ292" s="7179"/>
      <c r="BR292" s="7180"/>
      <c r="BS292" s="7180"/>
      <c r="BT292" s="141"/>
      <c r="BU292" s="141"/>
      <c r="BV292" s="409"/>
      <c r="BX292" s="7178"/>
      <c r="BY292" s="7179"/>
      <c r="BZ292" s="7180"/>
      <c r="CA292" s="7180"/>
      <c r="CB292" s="141"/>
      <c r="CC292" s="141"/>
      <c r="CD292" s="409"/>
      <c r="CF292" s="7178"/>
      <c r="CG292" s="7179"/>
      <c r="CH292" s="7180"/>
      <c r="CI292" s="7180"/>
      <c r="CJ292" s="141"/>
      <c r="CK292" s="141"/>
      <c r="CL292" s="409"/>
      <c r="CN292" s="5">
        <v>1</v>
      </c>
    </row>
    <row r="293" spans="3:92" ht="21" customHeight="1">
      <c r="C293" s="141"/>
      <c r="D293" s="141"/>
      <c r="E293" s="141"/>
      <c r="G293" s="1369" t="s">
        <v>864</v>
      </c>
      <c r="H293" s="1321"/>
      <c r="I293" s="1321"/>
      <c r="J293" s="1321"/>
      <c r="K293" s="1321"/>
      <c r="L293" s="1321"/>
      <c r="M293" s="6329"/>
      <c r="N293" s="6329"/>
      <c r="O293" s="6329"/>
      <c r="P293" s="1370"/>
      <c r="Y293" s="4"/>
      <c r="Z293" s="4"/>
      <c r="AA293" s="4"/>
      <c r="AB293" s="4"/>
      <c r="AC293" s="1369" t="s">
        <v>864</v>
      </c>
      <c r="AD293" s="1321"/>
      <c r="AE293" s="1321"/>
      <c r="AF293" s="1321"/>
      <c r="AG293" s="1321"/>
      <c r="AH293" s="1321"/>
      <c r="AI293" s="6329"/>
      <c r="AJ293" s="6329"/>
      <c r="AK293" s="6329"/>
      <c r="AL293" s="1370"/>
      <c r="AU293" s="141"/>
      <c r="AV293" s="141"/>
      <c r="AW293" s="141"/>
      <c r="AX293" s="141"/>
      <c r="AY293" s="1369" t="s">
        <v>864</v>
      </c>
      <c r="AZ293" s="1321"/>
      <c r="BA293" s="1321"/>
      <c r="BB293" s="1321"/>
      <c r="BC293" s="1321"/>
      <c r="BD293" s="1321"/>
      <c r="BE293" s="6329"/>
      <c r="BF293" s="6329"/>
      <c r="BG293" s="6329"/>
      <c r="BH293" s="1370"/>
      <c r="BP293" s="6078" t="s">
        <v>8634</v>
      </c>
      <c r="BQ293" s="141"/>
      <c r="BR293" s="141"/>
      <c r="BS293" s="141"/>
      <c r="BT293" s="141"/>
      <c r="BU293" s="141"/>
      <c r="BV293" s="409"/>
      <c r="BX293" s="6078" t="s">
        <v>9328</v>
      </c>
      <c r="BY293" s="141"/>
      <c r="BZ293" s="141"/>
      <c r="CA293" s="141"/>
      <c r="CB293" s="141"/>
      <c r="CC293" s="141"/>
      <c r="CD293" s="409"/>
      <c r="CF293" s="6078" t="s">
        <v>9485</v>
      </c>
      <c r="CG293" s="141"/>
      <c r="CH293" s="141"/>
      <c r="CI293" s="141"/>
      <c r="CJ293" s="141"/>
      <c r="CK293" s="141"/>
      <c r="CL293" s="409"/>
      <c r="CN293" s="5">
        <v>1</v>
      </c>
    </row>
    <row r="294" spans="3:92" ht="21" customHeight="1">
      <c r="C294" s="141"/>
      <c r="D294" s="141"/>
      <c r="E294" s="141"/>
      <c r="G294" s="6156"/>
      <c r="H294" s="1595"/>
      <c r="I294" s="1596"/>
      <c r="J294" s="1596"/>
      <c r="K294" s="1596"/>
      <c r="L294" s="1596"/>
      <c r="M294" s="1596"/>
      <c r="N294" s="1596"/>
      <c r="O294" s="1596"/>
      <c r="P294" s="1597"/>
      <c r="Y294" s="4"/>
      <c r="Z294" s="4"/>
      <c r="AA294" s="4"/>
      <c r="AB294" s="4"/>
      <c r="AC294" s="6156"/>
      <c r="AD294" s="1595"/>
      <c r="AE294" s="1596"/>
      <c r="AF294" s="1596"/>
      <c r="AG294" s="1596"/>
      <c r="AH294" s="1596"/>
      <c r="AI294" s="1596"/>
      <c r="AJ294" s="1596"/>
      <c r="AK294" s="1596"/>
      <c r="AL294" s="1597"/>
      <c r="AU294" s="141"/>
      <c r="AV294" s="141"/>
      <c r="AW294" s="141"/>
      <c r="AX294" s="141"/>
      <c r="AY294" s="6156"/>
      <c r="AZ294" s="1595"/>
      <c r="BA294" s="1596"/>
      <c r="BB294" s="1596"/>
      <c r="BC294" s="1596"/>
      <c r="BD294" s="1596"/>
      <c r="BE294" s="1596"/>
      <c r="BF294" s="1596"/>
      <c r="BG294" s="1596"/>
      <c r="BH294" s="1597"/>
      <c r="BP294" s="1160"/>
      <c r="BQ294" s="102"/>
      <c r="BR294" s="141"/>
      <c r="BS294" s="141"/>
      <c r="BT294" s="141"/>
      <c r="BU294" s="141"/>
      <c r="BV294" s="409"/>
      <c r="BX294" s="1160"/>
      <c r="BY294" s="102"/>
      <c r="BZ294" s="141"/>
      <c r="CA294" s="141"/>
      <c r="CB294" s="141"/>
      <c r="CC294" s="141"/>
      <c r="CD294" s="409"/>
      <c r="CF294" s="1160"/>
      <c r="CG294" s="102"/>
      <c r="CH294" s="141"/>
      <c r="CI294" s="141"/>
      <c r="CJ294" s="141"/>
      <c r="CK294" s="141"/>
      <c r="CL294" s="409"/>
      <c r="CN294" s="5">
        <v>1</v>
      </c>
    </row>
    <row r="295" spans="3:92" ht="21" customHeight="1">
      <c r="C295" s="141"/>
      <c r="D295" s="141"/>
      <c r="E295" s="141"/>
      <c r="G295" s="5292"/>
      <c r="H295" s="988"/>
      <c r="I295" s="988"/>
      <c r="J295" s="988"/>
      <c r="K295" s="988"/>
      <c r="L295" s="988"/>
      <c r="M295" s="988"/>
      <c r="N295" s="988"/>
      <c r="O295" s="988"/>
      <c r="P295" s="1325"/>
      <c r="Y295" s="4"/>
      <c r="Z295" s="4"/>
      <c r="AA295" s="4"/>
      <c r="AB295" s="4"/>
      <c r="AC295" s="5292"/>
      <c r="AD295" s="988"/>
      <c r="AE295" s="988"/>
      <c r="AF295" s="988"/>
      <c r="AG295" s="988"/>
      <c r="AH295" s="988"/>
      <c r="AI295" s="988"/>
      <c r="AJ295" s="988"/>
      <c r="AK295" s="988"/>
      <c r="AL295" s="1325"/>
      <c r="AU295" s="141"/>
      <c r="AV295" s="141"/>
      <c r="AW295" s="141"/>
      <c r="AX295" s="141"/>
      <c r="AY295" s="5292"/>
      <c r="AZ295" s="988"/>
      <c r="BA295" s="988"/>
      <c r="BB295" s="988"/>
      <c r="BC295" s="988"/>
      <c r="BD295" s="988"/>
      <c r="BE295" s="988"/>
      <c r="BF295" s="988"/>
      <c r="BG295" s="988"/>
      <c r="BH295" s="1325"/>
      <c r="BP295" s="6079" t="s">
        <v>252</v>
      </c>
      <c r="BQ295" s="1355"/>
      <c r="BR295" s="1355"/>
      <c r="BS295" s="1355"/>
      <c r="BT295" s="1355"/>
      <c r="BU295" s="1356"/>
      <c r="BV295" s="6080" t="s">
        <v>1117</v>
      </c>
      <c r="BX295" s="6079" t="s">
        <v>9333</v>
      </c>
      <c r="BY295" s="1355"/>
      <c r="BZ295" s="1355"/>
      <c r="CA295" s="1355"/>
      <c r="CB295" s="1355"/>
      <c r="CC295" s="1356"/>
      <c r="CD295" s="6080" t="s">
        <v>9329</v>
      </c>
      <c r="CF295" s="6079" t="s">
        <v>9490</v>
      </c>
      <c r="CG295" s="1355"/>
      <c r="CH295" s="1355"/>
      <c r="CI295" s="1355"/>
      <c r="CJ295" s="1355"/>
      <c r="CK295" s="1356"/>
      <c r="CL295" s="6080" t="s">
        <v>9486</v>
      </c>
      <c r="CN295" s="5">
        <v>1</v>
      </c>
    </row>
    <row r="296" spans="3:92" ht="21" customHeight="1">
      <c r="C296" s="141"/>
      <c r="D296" s="141"/>
      <c r="E296" s="141"/>
      <c r="G296" s="6131"/>
      <c r="H296" s="997"/>
      <c r="I296" s="997"/>
      <c r="J296" s="997"/>
      <c r="K296" s="997"/>
      <c r="L296" s="997"/>
      <c r="M296" s="6327" t="s">
        <v>1112</v>
      </c>
      <c r="N296" s="6327"/>
      <c r="O296" s="6327" t="s">
        <v>1112</v>
      </c>
      <c r="P296" s="6132" t="s">
        <v>1112</v>
      </c>
      <c r="Y296" s="4"/>
      <c r="Z296" s="4"/>
      <c r="AA296" s="4"/>
      <c r="AB296" s="4"/>
      <c r="AC296" s="6131"/>
      <c r="AD296" s="997"/>
      <c r="AE296" s="997"/>
      <c r="AF296" s="997"/>
      <c r="AG296" s="997"/>
      <c r="AH296" s="997"/>
      <c r="AI296" s="6327" t="s">
        <v>1112</v>
      </c>
      <c r="AJ296" s="6327"/>
      <c r="AK296" s="6327" t="s">
        <v>1112</v>
      </c>
      <c r="AL296" s="6132" t="s">
        <v>1112</v>
      </c>
      <c r="AU296" s="141"/>
      <c r="AV296" s="141"/>
      <c r="AW296" s="141"/>
      <c r="AX296" s="141"/>
      <c r="AY296" s="6131"/>
      <c r="AZ296" s="997"/>
      <c r="BA296" s="997"/>
      <c r="BB296" s="997"/>
      <c r="BC296" s="997"/>
      <c r="BD296" s="997"/>
      <c r="BE296" s="6327" t="s">
        <v>1112</v>
      </c>
      <c r="BF296" s="6327"/>
      <c r="BG296" s="6327" t="s">
        <v>1112</v>
      </c>
      <c r="BH296" s="6132" t="s">
        <v>1112</v>
      </c>
      <c r="BP296" s="6081" t="s">
        <v>1118</v>
      </c>
      <c r="BQ296" s="6082" t="s">
        <v>1128</v>
      </c>
      <c r="BR296" s="147"/>
      <c r="BS296" s="147"/>
      <c r="BT296" s="147"/>
      <c r="BU296" s="147"/>
      <c r="BV296" s="609"/>
      <c r="BX296" s="6081" t="s">
        <v>1118</v>
      </c>
      <c r="BY296" s="6082" t="s">
        <v>9330</v>
      </c>
      <c r="BZ296" s="147"/>
      <c r="CA296" s="147"/>
      <c r="CB296" s="147"/>
      <c r="CC296" s="147"/>
      <c r="CD296" s="609"/>
      <c r="CF296" s="6081" t="s">
        <v>1118</v>
      </c>
      <c r="CG296" s="6082" t="s">
        <v>9487</v>
      </c>
      <c r="CH296" s="147"/>
      <c r="CI296" s="147"/>
      <c r="CJ296" s="147"/>
      <c r="CK296" s="147"/>
      <c r="CL296" s="609"/>
      <c r="CN296" s="5">
        <v>1</v>
      </c>
    </row>
    <row r="297" spans="3:92" ht="21" customHeight="1">
      <c r="C297" s="141"/>
      <c r="D297" s="141"/>
      <c r="E297" s="141"/>
      <c r="G297" s="6146"/>
      <c r="H297" s="1002"/>
      <c r="I297" s="1002" t="s">
        <v>873</v>
      </c>
      <c r="J297" s="1003"/>
      <c r="K297" s="1329"/>
      <c r="L297" s="1329"/>
      <c r="M297" s="1329"/>
      <c r="N297" s="1329"/>
      <c r="O297" s="1329"/>
      <c r="P297" s="1330"/>
      <c r="Y297" s="4"/>
      <c r="Z297" s="4"/>
      <c r="AA297" s="4"/>
      <c r="AB297" s="4"/>
      <c r="AC297" s="6146"/>
      <c r="AD297" s="1002"/>
      <c r="AE297" s="1002" t="s">
        <v>873</v>
      </c>
      <c r="AF297" s="1003"/>
      <c r="AG297" s="1329"/>
      <c r="AH297" s="1329"/>
      <c r="AI297" s="1329"/>
      <c r="AJ297" s="1329"/>
      <c r="AK297" s="1329"/>
      <c r="AL297" s="1330"/>
      <c r="AU297" s="141"/>
      <c r="AV297" s="141"/>
      <c r="AW297" s="141"/>
      <c r="AX297" s="141"/>
      <c r="AY297" s="6146"/>
      <c r="AZ297" s="1002"/>
      <c r="BA297" s="1002" t="s">
        <v>8426</v>
      </c>
      <c r="BB297" s="1003"/>
      <c r="BC297" s="1329"/>
      <c r="BD297" s="1329"/>
      <c r="BE297" s="1329"/>
      <c r="BF297" s="1329"/>
      <c r="BG297" s="1329"/>
      <c r="BH297" s="1330"/>
      <c r="BP297" s="6081" t="s">
        <v>1118</v>
      </c>
      <c r="BQ297" s="6082" t="s">
        <v>1129</v>
      </c>
      <c r="BR297" s="1361"/>
      <c r="BS297" s="1361"/>
      <c r="BT297" s="1362"/>
      <c r="BU297" s="988"/>
      <c r="BV297" s="989"/>
      <c r="BX297" s="6081" t="s">
        <v>1118</v>
      </c>
      <c r="BY297" s="6082" t="s">
        <v>9331</v>
      </c>
      <c r="BZ297" s="1361"/>
      <c r="CA297" s="1361"/>
      <c r="CB297" s="1362"/>
      <c r="CC297" s="988"/>
      <c r="CD297" s="989"/>
      <c r="CF297" s="6081" t="s">
        <v>1118</v>
      </c>
      <c r="CG297" s="6082" t="s">
        <v>9488</v>
      </c>
      <c r="CH297" s="1361"/>
      <c r="CI297" s="1361"/>
      <c r="CJ297" s="1362"/>
      <c r="CK297" s="988"/>
      <c r="CL297" s="989"/>
      <c r="CN297" s="5">
        <v>1</v>
      </c>
    </row>
    <row r="298" spans="3:92" ht="21" customHeight="1" thickBot="1">
      <c r="C298" s="141"/>
      <c r="D298" s="141"/>
      <c r="E298" s="141"/>
      <c r="G298" s="1332"/>
      <c r="H298" s="1006"/>
      <c r="I298" s="1007"/>
      <c r="J298" s="1008"/>
      <c r="K298" s="1007"/>
      <c r="L298" s="1007"/>
      <c r="M298" s="1007"/>
      <c r="N298" s="1007"/>
      <c r="O298" s="1007"/>
      <c r="P298" s="1333"/>
      <c r="Y298" s="4"/>
      <c r="Z298" s="4"/>
      <c r="AA298" s="4"/>
      <c r="AB298" s="4"/>
      <c r="AC298" s="1332"/>
      <c r="AD298" s="1006"/>
      <c r="AE298" s="1007"/>
      <c r="AF298" s="1008"/>
      <c r="AG298" s="1007"/>
      <c r="AH298" s="1007"/>
      <c r="AI298" s="1007"/>
      <c r="AJ298" s="1007"/>
      <c r="AK298" s="1007"/>
      <c r="AL298" s="1333"/>
      <c r="AU298" s="141"/>
      <c r="AV298" s="141"/>
      <c r="AW298" s="141"/>
      <c r="AX298" s="141"/>
      <c r="AY298" s="1332"/>
      <c r="AZ298" s="1006"/>
      <c r="BA298" s="1007"/>
      <c r="BB298" s="1008"/>
      <c r="BC298" s="1007"/>
      <c r="BD298" s="1007"/>
      <c r="BE298" s="1007"/>
      <c r="BF298" s="1007"/>
      <c r="BG298" s="1007"/>
      <c r="BH298" s="1333"/>
      <c r="BP298" s="6081" t="s">
        <v>1118</v>
      </c>
      <c r="BQ298" s="6082" t="s">
        <v>1130</v>
      </c>
      <c r="BR298" s="147"/>
      <c r="BS298" s="147"/>
      <c r="BT298" s="988"/>
      <c r="BU298" s="988"/>
      <c r="BV298" s="989"/>
      <c r="BX298" s="6081" t="s">
        <v>1118</v>
      </c>
      <c r="BY298" s="6082" t="s">
        <v>9332</v>
      </c>
      <c r="BZ298" s="147"/>
      <c r="CA298" s="147"/>
      <c r="CB298" s="988"/>
      <c r="CC298" s="988"/>
      <c r="CD298" s="989"/>
      <c r="CF298" s="6081" t="s">
        <v>1118</v>
      </c>
      <c r="CG298" s="6082" t="s">
        <v>9489</v>
      </c>
      <c r="CH298" s="147"/>
      <c r="CI298" s="147"/>
      <c r="CJ298" s="988"/>
      <c r="CK298" s="988"/>
      <c r="CL298" s="989"/>
      <c r="CN298" s="5">
        <v>1</v>
      </c>
    </row>
    <row r="299" spans="3:92" ht="21" customHeight="1">
      <c r="C299" s="141"/>
      <c r="D299" s="141"/>
      <c r="E299" s="141"/>
      <c r="G299"/>
      <c r="H299"/>
      <c r="I299"/>
      <c r="J299"/>
      <c r="K299"/>
      <c r="L299"/>
      <c r="M299"/>
      <c r="N299"/>
      <c r="O299"/>
      <c r="P299"/>
      <c r="Y299" s="4"/>
      <c r="Z299" s="4"/>
      <c r="AA299" s="4"/>
      <c r="AB299" s="4"/>
      <c r="AU299" s="141"/>
      <c r="AV299" s="141"/>
      <c r="AW299" s="141"/>
      <c r="AX299" s="141"/>
      <c r="BP299" s="986"/>
      <c r="BQ299" s="1361"/>
      <c r="BR299" s="1361"/>
      <c r="BS299" s="1361"/>
      <c r="BT299" s="1361"/>
      <c r="BU299" s="1361"/>
      <c r="BV299" s="6063" t="s">
        <v>1112</v>
      </c>
      <c r="BX299" s="986"/>
      <c r="BY299" s="1361"/>
      <c r="BZ299" s="1361"/>
      <c r="CA299" s="1361"/>
      <c r="CB299" s="1361"/>
      <c r="CC299" s="1361"/>
      <c r="CD299" s="6063" t="s">
        <v>9309</v>
      </c>
      <c r="CF299" s="986"/>
      <c r="CG299" s="1361"/>
      <c r="CH299" s="1361"/>
      <c r="CI299" s="1361"/>
      <c r="CJ299" s="1361"/>
      <c r="CK299" s="1361"/>
      <c r="CL299" s="6063" t="s">
        <v>9463</v>
      </c>
      <c r="CN299" s="5">
        <v>1</v>
      </c>
    </row>
    <row r="300" spans="3:92" ht="21" customHeight="1">
      <c r="C300" s="141"/>
      <c r="D300" s="141"/>
      <c r="E300" s="141"/>
      <c r="G300" s="141"/>
      <c r="H300" s="141"/>
      <c r="I300" s="141"/>
      <c r="J300" s="141"/>
      <c r="K300" s="141"/>
      <c r="L300" s="141"/>
      <c r="M300" s="141"/>
      <c r="N300" s="141"/>
      <c r="O300" s="141"/>
      <c r="P300" s="141"/>
      <c r="Y300" s="4"/>
      <c r="Z300" s="4"/>
      <c r="AA300" s="4"/>
      <c r="AB300" s="4"/>
      <c r="AC300" s="141"/>
      <c r="AD300" s="141"/>
      <c r="AE300" s="141"/>
      <c r="AF300" s="141"/>
      <c r="AG300" s="141"/>
      <c r="AH300" s="141"/>
      <c r="AI300" s="141"/>
      <c r="AJ300" s="141"/>
      <c r="AK300" s="141"/>
      <c r="AL300" s="141"/>
      <c r="AU300" s="141"/>
      <c r="AV300" s="141"/>
      <c r="AW300" s="141"/>
      <c r="AX300" s="141"/>
      <c r="AY300" s="141"/>
      <c r="AZ300" s="141"/>
      <c r="BA300" s="141"/>
      <c r="BB300" s="141"/>
      <c r="BC300" s="141"/>
      <c r="BD300" s="141"/>
      <c r="BE300" s="141"/>
      <c r="BF300" s="141"/>
      <c r="BG300" s="141"/>
      <c r="BH300" s="141"/>
      <c r="BP300" s="6064"/>
      <c r="BQ300" s="1002"/>
      <c r="BR300" s="1002" t="s">
        <v>873</v>
      </c>
      <c r="BS300" s="1003"/>
      <c r="BT300" s="1329"/>
      <c r="BU300" s="1329"/>
      <c r="BV300" s="6065"/>
      <c r="BX300" s="6064"/>
      <c r="BY300" s="1002"/>
      <c r="BZ300" s="1002" t="s">
        <v>873</v>
      </c>
      <c r="CA300" s="1003"/>
      <c r="CB300" s="1329"/>
      <c r="CC300" s="1329"/>
      <c r="CD300" s="6065"/>
      <c r="CF300" s="6064"/>
      <c r="CG300" s="1002"/>
      <c r="CH300" s="1002" t="s">
        <v>873</v>
      </c>
      <c r="CI300" s="1003"/>
      <c r="CJ300" s="1329"/>
      <c r="CK300" s="1329"/>
      <c r="CL300" s="6065"/>
      <c r="CN300" s="5">
        <v>1</v>
      </c>
    </row>
    <row r="301" spans="3:92" ht="21" customHeight="1" thickBot="1">
      <c r="C301" s="141"/>
      <c r="D301" s="141"/>
      <c r="E301" s="141"/>
      <c r="G301" s="1354" t="s">
        <v>252</v>
      </c>
      <c r="H301" s="1355"/>
      <c r="I301" s="1355"/>
      <c r="J301" s="1355"/>
      <c r="K301" s="1355"/>
      <c r="L301" s="1356"/>
      <c r="M301" s="1356"/>
      <c r="N301" s="1356"/>
      <c r="O301" s="1356"/>
      <c r="P301" s="1357" t="s">
        <v>1117</v>
      </c>
      <c r="Y301" s="4"/>
      <c r="Z301" s="4"/>
      <c r="AA301" s="4"/>
      <c r="AB301" s="4"/>
      <c r="AC301" s="1354" t="s">
        <v>252</v>
      </c>
      <c r="AD301" s="1355"/>
      <c r="AE301" s="1355"/>
      <c r="AF301" s="1355"/>
      <c r="AG301" s="1355"/>
      <c r="AH301" s="1356"/>
      <c r="AI301" s="1356"/>
      <c r="AJ301" s="1356"/>
      <c r="AK301" s="1356"/>
      <c r="AL301" s="1357" t="s">
        <v>9704</v>
      </c>
      <c r="AU301" s="141"/>
      <c r="AV301" s="141"/>
      <c r="AW301" s="141"/>
      <c r="AX301" s="141"/>
      <c r="AY301" s="1354" t="s">
        <v>9490</v>
      </c>
      <c r="AZ301" s="1355"/>
      <c r="BA301" s="1355"/>
      <c r="BB301" s="1355"/>
      <c r="BC301" s="1355"/>
      <c r="BD301" s="1356"/>
      <c r="BE301" s="1356"/>
      <c r="BF301" s="1356"/>
      <c r="BG301" s="1356"/>
      <c r="BH301" s="1357" t="s">
        <v>9486</v>
      </c>
      <c r="BP301" s="1005" t="s">
        <v>86</v>
      </c>
      <c r="BQ301" s="1006"/>
      <c r="BR301" s="1007"/>
      <c r="BS301" s="1008"/>
      <c r="BT301" s="1007"/>
      <c r="BU301" s="1007"/>
      <c r="BV301" s="1009"/>
      <c r="BX301" s="1005" t="s">
        <v>86</v>
      </c>
      <c r="BY301" s="1006"/>
      <c r="BZ301" s="1007"/>
      <c r="CA301" s="1008"/>
      <c r="CB301" s="1007"/>
      <c r="CC301" s="1007"/>
      <c r="CD301" s="1009"/>
      <c r="CF301" s="1005" t="s">
        <v>86</v>
      </c>
      <c r="CG301" s="1006"/>
      <c r="CH301" s="1007"/>
      <c r="CI301" s="1008"/>
      <c r="CJ301" s="1007"/>
      <c r="CK301" s="1007"/>
      <c r="CL301" s="1009"/>
      <c r="CN301" s="5">
        <v>1</v>
      </c>
    </row>
    <row r="302" spans="3:92" ht="21" customHeight="1">
      <c r="C302" s="141"/>
      <c r="D302" s="141"/>
      <c r="E302" s="141"/>
      <c r="G302" s="6157" t="s">
        <v>1208</v>
      </c>
      <c r="H302" s="1249" t="s">
        <v>1186</v>
      </c>
      <c r="I302" s="1249"/>
      <c r="J302" s="1470" t="s">
        <v>1209</v>
      </c>
      <c r="K302" s="1470" t="s">
        <v>1210</v>
      </c>
      <c r="L302" s="997"/>
      <c r="M302" s="1470" t="s">
        <v>1211</v>
      </c>
      <c r="N302" s="1470"/>
      <c r="O302" s="6344"/>
      <c r="P302" s="6345"/>
      <c r="Y302" s="4"/>
      <c r="Z302" s="4"/>
      <c r="AA302" s="4"/>
      <c r="AB302" s="4"/>
      <c r="AC302" s="6157" t="s">
        <v>9772</v>
      </c>
      <c r="AD302" s="1249" t="s">
        <v>9745</v>
      </c>
      <c r="AE302" s="1249"/>
      <c r="AF302" s="1470" t="s">
        <v>1209</v>
      </c>
      <c r="AG302" s="1470" t="s">
        <v>1210</v>
      </c>
      <c r="AH302" s="997"/>
      <c r="AI302" s="1470" t="s">
        <v>9773</v>
      </c>
      <c r="AJ302" s="1470"/>
      <c r="AK302" s="6344"/>
      <c r="AL302" s="6345"/>
      <c r="AU302" s="141"/>
      <c r="AV302" s="141"/>
      <c r="AW302" s="141"/>
      <c r="AX302" s="141"/>
      <c r="AY302" s="6157" t="s">
        <v>9908</v>
      </c>
      <c r="AZ302" s="1249" t="s">
        <v>9882</v>
      </c>
      <c r="BA302" s="1249"/>
      <c r="BB302" s="1470" t="s">
        <v>1209</v>
      </c>
      <c r="BC302" s="1470" t="s">
        <v>9909</v>
      </c>
      <c r="BD302" s="997"/>
      <c r="BE302" s="1470" t="s">
        <v>1211</v>
      </c>
      <c r="BF302" s="1470"/>
      <c r="BG302" s="6344"/>
      <c r="BH302" s="6345"/>
      <c r="BP302" s="343"/>
      <c r="BV302" s="762"/>
      <c r="BX302" s="343"/>
      <c r="CD302" s="762"/>
      <c r="CF302" s="343"/>
      <c r="CL302" s="762"/>
      <c r="CN302" s="5">
        <v>1</v>
      </c>
    </row>
    <row r="303" spans="3:92" ht="21" customHeight="1">
      <c r="C303" s="141"/>
      <c r="D303" s="141"/>
      <c r="E303" s="141"/>
      <c r="G303" s="6158" t="s">
        <v>1212</v>
      </c>
      <c r="H303" s="1474">
        <v>4.1666666666666699E-2</v>
      </c>
      <c r="I303" s="1475"/>
      <c r="J303" s="1475">
        <v>220</v>
      </c>
      <c r="K303" s="1476" t="s">
        <v>1213</v>
      </c>
      <c r="L303" s="997"/>
      <c r="M303" s="6343"/>
      <c r="N303" s="6343"/>
      <c r="O303" s="6343"/>
      <c r="P303" s="1477"/>
      <c r="Y303" s="4"/>
      <c r="Z303" s="4"/>
      <c r="AA303" s="4"/>
      <c r="AB303" s="4"/>
      <c r="AC303" s="6158" t="s">
        <v>9774</v>
      </c>
      <c r="AD303" s="1474">
        <v>4.1666666666666699E-2</v>
      </c>
      <c r="AE303" s="1475"/>
      <c r="AF303" s="1475">
        <v>220</v>
      </c>
      <c r="AG303" s="1476" t="s">
        <v>9776</v>
      </c>
      <c r="AH303" s="997"/>
      <c r="AI303" s="6343"/>
      <c r="AJ303" s="6343"/>
      <c r="AK303" s="6343"/>
      <c r="AL303" s="1477"/>
      <c r="AU303" s="141"/>
      <c r="AV303" s="141"/>
      <c r="AW303" s="141"/>
      <c r="AX303" s="141"/>
      <c r="AY303" s="6749" t="s">
        <v>9910</v>
      </c>
      <c r="AZ303" s="1474">
        <v>4.1666666666666699E-2</v>
      </c>
      <c r="BA303" s="1475"/>
      <c r="BB303" s="1475">
        <v>220</v>
      </c>
      <c r="BC303" s="1476" t="s">
        <v>9912</v>
      </c>
      <c r="BD303" s="997"/>
      <c r="BE303" s="6343"/>
      <c r="BF303" s="6343"/>
      <c r="BG303" s="6343"/>
      <c r="BH303" s="1477"/>
      <c r="BP303" s="6079" t="s">
        <v>252</v>
      </c>
      <c r="BQ303" s="1355"/>
      <c r="BR303" s="1355"/>
      <c r="BS303" s="1355"/>
      <c r="BT303" s="1355"/>
      <c r="BU303" s="1356"/>
      <c r="BV303" s="6080" t="s">
        <v>1144</v>
      </c>
      <c r="BX303" s="6079" t="s">
        <v>9333</v>
      </c>
      <c r="BY303" s="1355"/>
      <c r="BZ303" s="1355"/>
      <c r="CA303" s="1355"/>
      <c r="CB303" s="1355"/>
      <c r="CC303" s="1356"/>
      <c r="CD303" s="6080" t="s">
        <v>9334</v>
      </c>
      <c r="CF303" s="6079" t="s">
        <v>252</v>
      </c>
      <c r="CG303" s="1355"/>
      <c r="CH303" s="1355"/>
      <c r="CI303" s="1355"/>
      <c r="CJ303" s="1355"/>
      <c r="CK303" s="1356"/>
      <c r="CL303" s="6080" t="s">
        <v>9491</v>
      </c>
      <c r="CN303" s="5">
        <v>1</v>
      </c>
    </row>
    <row r="304" spans="3:92" ht="21" customHeight="1">
      <c r="C304" s="141"/>
      <c r="D304" s="141"/>
      <c r="E304" s="141"/>
      <c r="G304" s="1479" t="s">
        <v>1208</v>
      </c>
      <c r="H304" s="1480"/>
      <c r="I304" s="1480"/>
      <c r="J304" s="1480" t="s">
        <v>1214</v>
      </c>
      <c r="K304" s="1481" t="s">
        <v>1215</v>
      </c>
      <c r="L304" s="1481"/>
      <c r="M304" s="6343"/>
      <c r="N304" s="6343"/>
      <c r="O304" s="6343"/>
      <c r="P304" s="1477"/>
      <c r="Y304" s="4"/>
      <c r="Z304" s="4"/>
      <c r="AA304" s="4"/>
      <c r="AB304" s="4"/>
      <c r="AC304" s="6157" t="s">
        <v>9772</v>
      </c>
      <c r="AD304" s="1480"/>
      <c r="AE304" s="1480"/>
      <c r="AF304" s="1480" t="s">
        <v>9777</v>
      </c>
      <c r="AG304" s="1481" t="s">
        <v>9778</v>
      </c>
      <c r="AH304" s="1481"/>
      <c r="AI304" s="6343"/>
      <c r="AJ304" s="6343"/>
      <c r="AK304" s="6343"/>
      <c r="AL304" s="1477"/>
      <c r="AU304" s="141"/>
      <c r="AV304" s="141"/>
      <c r="AW304" s="141"/>
      <c r="AX304" s="141"/>
      <c r="AY304" s="6157" t="s">
        <v>9908</v>
      </c>
      <c r="AZ304" s="1480"/>
      <c r="BA304" s="1480"/>
      <c r="BB304" s="1480" t="s">
        <v>9913</v>
      </c>
      <c r="BC304" s="1481" t="s">
        <v>9914</v>
      </c>
      <c r="BD304" s="1481"/>
      <c r="BE304" s="6343"/>
      <c r="BF304" s="6343"/>
      <c r="BG304" s="6343"/>
      <c r="BH304" s="1477"/>
      <c r="BP304" s="6083" t="s">
        <v>1145</v>
      </c>
      <c r="BQ304" s="147"/>
      <c r="BR304" s="1375"/>
      <c r="BS304" s="102"/>
      <c r="BT304" s="102"/>
      <c r="BU304" s="102"/>
      <c r="BV304" s="609"/>
      <c r="BX304" s="6083" t="s">
        <v>9335</v>
      </c>
      <c r="BY304" s="147"/>
      <c r="BZ304" s="1375"/>
      <c r="CA304" s="102"/>
      <c r="CB304" s="102"/>
      <c r="CC304" s="102"/>
      <c r="CD304" s="609"/>
      <c r="CF304" s="6083" t="s">
        <v>9492</v>
      </c>
      <c r="CG304" s="147"/>
      <c r="CH304" s="1375"/>
      <c r="CI304" s="102"/>
      <c r="CJ304" s="102"/>
      <c r="CK304" s="102"/>
      <c r="CL304" s="609"/>
      <c r="CN304" s="5">
        <v>1</v>
      </c>
    </row>
    <row r="305" spans="3:92" ht="21" customHeight="1">
      <c r="C305" s="141"/>
      <c r="D305" s="141"/>
      <c r="E305" s="141"/>
      <c r="G305" s="1482" t="s">
        <v>1216</v>
      </c>
      <c r="H305" s="1483"/>
      <c r="I305" s="1484"/>
      <c r="J305" s="1484">
        <v>250</v>
      </c>
      <c r="K305" s="1485" t="s">
        <v>1217</v>
      </c>
      <c r="L305" s="1485"/>
      <c r="M305" s="6343"/>
      <c r="N305" s="6343"/>
      <c r="O305" s="6343"/>
      <c r="P305" s="1477"/>
      <c r="Y305" s="4"/>
      <c r="Z305" s="4"/>
      <c r="AA305" s="4"/>
      <c r="AB305" s="4"/>
      <c r="AC305" s="6158" t="s">
        <v>9775</v>
      </c>
      <c r="AD305" s="1483"/>
      <c r="AE305" s="1484"/>
      <c r="AF305" s="1484">
        <v>250</v>
      </c>
      <c r="AG305" s="1485" t="s">
        <v>9779</v>
      </c>
      <c r="AH305" s="1485"/>
      <c r="AI305" s="6343"/>
      <c r="AJ305" s="6343"/>
      <c r="AK305" s="6343"/>
      <c r="AL305" s="1477"/>
      <c r="AU305" s="141"/>
      <c r="AV305" s="141"/>
      <c r="AW305" s="141"/>
      <c r="AX305" s="141"/>
      <c r="AY305" s="1482" t="s">
        <v>9911</v>
      </c>
      <c r="AZ305" s="1483"/>
      <c r="BA305" s="1484"/>
      <c r="BB305" s="1484">
        <v>250</v>
      </c>
      <c r="BC305" s="1485" t="s">
        <v>9915</v>
      </c>
      <c r="BD305" s="1485"/>
      <c r="BE305" s="6343"/>
      <c r="BF305" s="6343"/>
      <c r="BG305" s="6343"/>
      <c r="BH305" s="1477"/>
      <c r="BP305" s="7156" t="s">
        <v>1146</v>
      </c>
      <c r="BQ305" s="7085"/>
      <c r="BR305" s="7085"/>
      <c r="BS305" s="7085"/>
      <c r="BT305" s="7085"/>
      <c r="BU305" s="7085"/>
      <c r="BV305" s="7157"/>
      <c r="BX305" s="7156" t="s">
        <v>9336</v>
      </c>
      <c r="BY305" s="7085"/>
      <c r="BZ305" s="7085"/>
      <c r="CA305" s="7085"/>
      <c r="CB305" s="7085"/>
      <c r="CC305" s="7085"/>
      <c r="CD305" s="7157"/>
      <c r="CF305" s="7158" t="s">
        <v>9493</v>
      </c>
      <c r="CG305" s="7159"/>
      <c r="CH305" s="7159"/>
      <c r="CI305" s="7159"/>
      <c r="CJ305" s="7159"/>
      <c r="CK305" s="7159"/>
      <c r="CL305" s="7160"/>
      <c r="CN305" s="5">
        <v>1</v>
      </c>
    </row>
    <row r="306" spans="3:92" ht="21" customHeight="1">
      <c r="C306" s="141"/>
      <c r="D306" s="141"/>
      <c r="E306" s="141"/>
      <c r="G306" s="1479" t="s">
        <v>1208</v>
      </c>
      <c r="H306" s="1480"/>
      <c r="I306" s="1480"/>
      <c r="J306" s="1480" t="s">
        <v>1214</v>
      </c>
      <c r="K306" s="1481" t="s">
        <v>1215</v>
      </c>
      <c r="L306" s="1481"/>
      <c r="M306" s="6343"/>
      <c r="N306" s="6343"/>
      <c r="O306" s="6343"/>
      <c r="P306" s="1477"/>
      <c r="Y306" s="4"/>
      <c r="Z306" s="4"/>
      <c r="AA306" s="4"/>
      <c r="AB306" s="4"/>
      <c r="AC306" s="6157" t="s">
        <v>9772</v>
      </c>
      <c r="AD306" s="1480"/>
      <c r="AE306" s="1480"/>
      <c r="AF306" s="1480" t="s">
        <v>9777</v>
      </c>
      <c r="AG306" s="1481" t="s">
        <v>9778</v>
      </c>
      <c r="AH306" s="1481"/>
      <c r="AI306" s="6343"/>
      <c r="AJ306" s="6343"/>
      <c r="AK306" s="6343"/>
      <c r="AL306" s="1477"/>
      <c r="AU306" s="141"/>
      <c r="AV306" s="141"/>
      <c r="AW306" s="141"/>
      <c r="AX306" s="141"/>
      <c r="AY306" s="6157" t="s">
        <v>9908</v>
      </c>
      <c r="AZ306" s="1480"/>
      <c r="BA306" s="1480"/>
      <c r="BB306" s="1480" t="s">
        <v>9913</v>
      </c>
      <c r="BC306" s="1481" t="s">
        <v>9914</v>
      </c>
      <c r="BD306" s="1481"/>
      <c r="BE306" s="6343"/>
      <c r="BF306" s="6343"/>
      <c r="BG306" s="6343"/>
      <c r="BH306" s="1477"/>
      <c r="BP306" s="7156"/>
      <c r="BQ306" s="7085"/>
      <c r="BR306" s="7085"/>
      <c r="BS306" s="7085"/>
      <c r="BT306" s="7085"/>
      <c r="BU306" s="7085"/>
      <c r="BV306" s="7157"/>
      <c r="BX306" s="7156"/>
      <c r="BY306" s="7085"/>
      <c r="BZ306" s="7085"/>
      <c r="CA306" s="7085"/>
      <c r="CB306" s="7085"/>
      <c r="CC306" s="7085"/>
      <c r="CD306" s="7157"/>
      <c r="CF306" s="7158"/>
      <c r="CG306" s="7159"/>
      <c r="CH306" s="7159"/>
      <c r="CI306" s="7159"/>
      <c r="CJ306" s="7159"/>
      <c r="CK306" s="7159"/>
      <c r="CL306" s="7160"/>
      <c r="CN306" s="5">
        <v>1</v>
      </c>
    </row>
    <row r="307" spans="3:92" ht="21" customHeight="1">
      <c r="C307" s="141"/>
      <c r="D307" s="141"/>
      <c r="E307" s="141"/>
      <c r="G307" s="1482" t="s">
        <v>1216</v>
      </c>
      <c r="H307" s="1483">
        <v>4.8611111111111112E-3</v>
      </c>
      <c r="I307" s="1484"/>
      <c r="J307" s="1484">
        <v>250</v>
      </c>
      <c r="K307" s="1485" t="s">
        <v>1219</v>
      </c>
      <c r="L307" s="1485"/>
      <c r="M307" s="6343"/>
      <c r="N307" s="6343"/>
      <c r="O307" s="6343"/>
      <c r="P307" s="1477"/>
      <c r="Y307" s="4"/>
      <c r="Z307" s="4"/>
      <c r="AA307" s="4"/>
      <c r="AB307" s="4"/>
      <c r="AC307" s="6158" t="s">
        <v>9775</v>
      </c>
      <c r="AD307" s="1483">
        <v>4.8611111111111112E-3</v>
      </c>
      <c r="AE307" s="1484"/>
      <c r="AF307" s="1484">
        <v>250</v>
      </c>
      <c r="AG307" s="1485" t="s">
        <v>9780</v>
      </c>
      <c r="AH307" s="1485"/>
      <c r="AI307" s="6343"/>
      <c r="AJ307" s="6343"/>
      <c r="AK307" s="6343"/>
      <c r="AL307" s="1477"/>
      <c r="AU307" s="141"/>
      <c r="AV307" s="141"/>
      <c r="AW307" s="141"/>
      <c r="AX307" s="141"/>
      <c r="AY307" s="1482" t="s">
        <v>9911</v>
      </c>
      <c r="AZ307" s="1483">
        <v>4.8611111111111112E-3</v>
      </c>
      <c r="BA307" s="1484"/>
      <c r="BB307" s="1484">
        <v>250</v>
      </c>
      <c r="BC307" s="1485" t="s">
        <v>9916</v>
      </c>
      <c r="BD307" s="1485"/>
      <c r="BE307" s="6343"/>
      <c r="BF307" s="6343"/>
      <c r="BG307" s="6343"/>
      <c r="BH307" s="1477"/>
      <c r="BP307" s="6084" t="s">
        <v>1147</v>
      </c>
      <c r="BQ307" s="988"/>
      <c r="BR307" s="988"/>
      <c r="BS307" s="988"/>
      <c r="BT307" s="988"/>
      <c r="BU307" s="988"/>
      <c r="BV307" s="989"/>
      <c r="BX307" s="6084" t="s">
        <v>9337</v>
      </c>
      <c r="BY307" s="988"/>
      <c r="BZ307" s="988"/>
      <c r="CA307" s="988"/>
      <c r="CB307" s="988"/>
      <c r="CC307" s="988"/>
      <c r="CD307" s="989"/>
      <c r="CF307" s="6084" t="s">
        <v>9494</v>
      </c>
      <c r="CG307" s="988"/>
      <c r="CH307" s="988"/>
      <c r="CI307" s="988"/>
      <c r="CJ307" s="988"/>
      <c r="CK307" s="988"/>
      <c r="CL307" s="989"/>
      <c r="CN307" s="5">
        <v>1</v>
      </c>
    </row>
    <row r="308" spans="3:92" ht="21" customHeight="1">
      <c r="C308" s="141"/>
      <c r="D308" s="141"/>
      <c r="E308" s="141"/>
      <c r="G308" s="1479" t="s">
        <v>1208</v>
      </c>
      <c r="H308" s="1480"/>
      <c r="I308" s="1480"/>
      <c r="J308" s="1480" t="s">
        <v>1214</v>
      </c>
      <c r="K308" s="1481" t="s">
        <v>1215</v>
      </c>
      <c r="L308" s="1481"/>
      <c r="M308" s="6343"/>
      <c r="N308" s="6343"/>
      <c r="O308" s="6343"/>
      <c r="P308" s="1477"/>
      <c r="Y308" s="4"/>
      <c r="Z308" s="4"/>
      <c r="AA308" s="4"/>
      <c r="AB308" s="4"/>
      <c r="AC308" s="6157" t="s">
        <v>9772</v>
      </c>
      <c r="AD308" s="1480"/>
      <c r="AE308" s="1480"/>
      <c r="AF308" s="1480" t="s">
        <v>9777</v>
      </c>
      <c r="AG308" s="1481" t="s">
        <v>9778</v>
      </c>
      <c r="AH308" s="1481"/>
      <c r="AI308" s="6343"/>
      <c r="AJ308" s="6343"/>
      <c r="AK308" s="6343"/>
      <c r="AL308" s="1477"/>
      <c r="AU308" s="141"/>
      <c r="AV308" s="141"/>
      <c r="AW308" s="141"/>
      <c r="AX308" s="141"/>
      <c r="AY308" s="6157" t="s">
        <v>9908</v>
      </c>
      <c r="AZ308" s="1480"/>
      <c r="BA308" s="1480"/>
      <c r="BB308" s="1480" t="s">
        <v>9913</v>
      </c>
      <c r="BC308" s="1481" t="s">
        <v>9914</v>
      </c>
      <c r="BD308" s="1481"/>
      <c r="BE308" s="6343"/>
      <c r="BF308" s="6343"/>
      <c r="BG308" s="6343"/>
      <c r="BH308" s="1477"/>
      <c r="BP308" s="574" t="s">
        <v>1148</v>
      </c>
      <c r="BQ308" s="1320"/>
      <c r="BR308" s="1320"/>
      <c r="BS308" s="1320"/>
      <c r="BT308" s="1320"/>
      <c r="BU308" s="1320"/>
      <c r="BV308" s="6085"/>
      <c r="BX308" s="574" t="s">
        <v>9338</v>
      </c>
      <c r="BY308" s="1320"/>
      <c r="BZ308" s="1320"/>
      <c r="CA308" s="1320"/>
      <c r="CB308" s="1320"/>
      <c r="CC308" s="1320"/>
      <c r="CD308" s="6085"/>
      <c r="CF308" s="574" t="s">
        <v>9495</v>
      </c>
      <c r="CG308" s="1320"/>
      <c r="CH308" s="1320"/>
      <c r="CI308" s="1320"/>
      <c r="CJ308" s="1320"/>
      <c r="CK308" s="1320"/>
      <c r="CL308" s="6085"/>
      <c r="CN308" s="5">
        <v>1</v>
      </c>
    </row>
    <row r="309" spans="3:92" ht="21" customHeight="1">
      <c r="C309" s="141"/>
      <c r="D309" s="141"/>
      <c r="E309" s="141"/>
      <c r="G309" s="1482" t="s">
        <v>1216</v>
      </c>
      <c r="H309" s="1483">
        <v>0.10416666666666667</v>
      </c>
      <c r="I309" s="1484"/>
      <c r="J309" s="1484">
        <v>170</v>
      </c>
      <c r="K309" s="1485" t="s">
        <v>1220</v>
      </c>
      <c r="L309" s="1485"/>
      <c r="M309" s="6343"/>
      <c r="N309" s="6343"/>
      <c r="O309" s="6343"/>
      <c r="P309" s="1477"/>
      <c r="Y309" s="4"/>
      <c r="Z309" s="4"/>
      <c r="AA309" s="4"/>
      <c r="AB309" s="4"/>
      <c r="AC309" s="6158" t="s">
        <v>9775</v>
      </c>
      <c r="AD309" s="1483">
        <v>0.10416666666666667</v>
      </c>
      <c r="AE309" s="1484"/>
      <c r="AF309" s="1484">
        <v>170</v>
      </c>
      <c r="AG309" s="1485" t="s">
        <v>9781</v>
      </c>
      <c r="AH309" s="1485"/>
      <c r="AI309" s="6343"/>
      <c r="AJ309" s="6343"/>
      <c r="AK309" s="6343"/>
      <c r="AL309" s="1477"/>
      <c r="AU309" s="141"/>
      <c r="AV309" s="141"/>
      <c r="AW309" s="141"/>
      <c r="AX309" s="141"/>
      <c r="AY309" s="1482" t="s">
        <v>9911</v>
      </c>
      <c r="AZ309" s="1483">
        <v>0.10416666666666667</v>
      </c>
      <c r="BA309" s="1484"/>
      <c r="BB309" s="1484">
        <v>170</v>
      </c>
      <c r="BC309" s="1485" t="s">
        <v>9917</v>
      </c>
      <c r="BD309" s="1485"/>
      <c r="BE309" s="6343"/>
      <c r="BF309" s="6343"/>
      <c r="BG309" s="6343"/>
      <c r="BH309" s="1477"/>
      <c r="BP309" s="7161" t="s">
        <v>1149</v>
      </c>
      <c r="BQ309" s="7162"/>
      <c r="BR309" s="7162"/>
      <c r="BS309" s="7162"/>
      <c r="BT309" s="7162"/>
      <c r="BU309" s="7162"/>
      <c r="BV309" s="7163"/>
      <c r="BX309" s="7161" t="s">
        <v>9339</v>
      </c>
      <c r="BY309" s="7162"/>
      <c r="BZ309" s="7162"/>
      <c r="CA309" s="7162"/>
      <c r="CB309" s="7162"/>
      <c r="CC309" s="7162"/>
      <c r="CD309" s="7163"/>
      <c r="CF309" s="7161" t="s">
        <v>9496</v>
      </c>
      <c r="CG309" s="7162"/>
      <c r="CH309" s="7162"/>
      <c r="CI309" s="7162"/>
      <c r="CJ309" s="7162"/>
      <c r="CK309" s="7162"/>
      <c r="CL309" s="7163"/>
      <c r="CN309" s="5">
        <v>1</v>
      </c>
    </row>
    <row r="310" spans="3:92" ht="21" customHeight="1">
      <c r="C310" s="141"/>
      <c r="D310" s="141"/>
      <c r="E310" s="141"/>
      <c r="G310" s="1479" t="s">
        <v>1208</v>
      </c>
      <c r="H310" s="1480"/>
      <c r="I310" s="1480"/>
      <c r="J310" s="1480" t="s">
        <v>1214</v>
      </c>
      <c r="K310" s="1481" t="s">
        <v>1221</v>
      </c>
      <c r="L310" s="1481"/>
      <c r="M310" s="6343"/>
      <c r="N310" s="6343"/>
      <c r="O310" s="6343"/>
      <c r="P310" s="1477"/>
      <c r="Y310" s="4"/>
      <c r="Z310" s="4"/>
      <c r="AA310" s="4"/>
      <c r="AB310" s="4"/>
      <c r="AC310" s="6157" t="s">
        <v>9772</v>
      </c>
      <c r="AD310" s="1480"/>
      <c r="AE310" s="1480"/>
      <c r="AF310" s="1480" t="s">
        <v>9777</v>
      </c>
      <c r="AG310" s="1481" t="s">
        <v>9782</v>
      </c>
      <c r="AH310" s="1481"/>
      <c r="AI310" s="6343"/>
      <c r="AJ310" s="6343"/>
      <c r="AK310" s="6343"/>
      <c r="AL310" s="1477"/>
      <c r="AU310" s="141"/>
      <c r="AV310" s="141"/>
      <c r="AW310" s="141"/>
      <c r="AX310" s="141"/>
      <c r="AY310" s="6157" t="s">
        <v>9908</v>
      </c>
      <c r="AZ310" s="1480"/>
      <c r="BA310" s="1480"/>
      <c r="BB310" s="1480" t="s">
        <v>9913</v>
      </c>
      <c r="BC310" s="1481" t="s">
        <v>9918</v>
      </c>
      <c r="BD310" s="1481"/>
      <c r="BE310" s="6343"/>
      <c r="BF310" s="6343"/>
      <c r="BG310" s="6343"/>
      <c r="BH310" s="1477"/>
      <c r="BP310" s="7161"/>
      <c r="BQ310" s="7162"/>
      <c r="BR310" s="7162"/>
      <c r="BS310" s="7162"/>
      <c r="BT310" s="7162"/>
      <c r="BU310" s="7162"/>
      <c r="BV310" s="7163"/>
      <c r="BX310" s="7161"/>
      <c r="BY310" s="7162"/>
      <c r="BZ310" s="7162"/>
      <c r="CA310" s="7162"/>
      <c r="CB310" s="7162"/>
      <c r="CC310" s="7162"/>
      <c r="CD310" s="7163"/>
      <c r="CF310" s="7161"/>
      <c r="CG310" s="7162"/>
      <c r="CH310" s="7162"/>
      <c r="CI310" s="7162"/>
      <c r="CJ310" s="7162"/>
      <c r="CK310" s="7162"/>
      <c r="CL310" s="7163"/>
      <c r="CN310" s="5">
        <v>1</v>
      </c>
    </row>
    <row r="311" spans="3:92" ht="15.75">
      <c r="C311" s="141"/>
      <c r="D311" s="141"/>
      <c r="E311" s="141"/>
      <c r="G311" s="1482" t="s">
        <v>1216</v>
      </c>
      <c r="H311" s="1483">
        <v>4.8611111111111112E-3</v>
      </c>
      <c r="I311" s="1484"/>
      <c r="J311" s="1484">
        <v>100</v>
      </c>
      <c r="K311" s="1485"/>
      <c r="L311" s="1485"/>
      <c r="M311" s="6343"/>
      <c r="N311" s="6343"/>
      <c r="O311" s="6343"/>
      <c r="P311" s="1477"/>
      <c r="Y311" s="4"/>
      <c r="Z311" s="4"/>
      <c r="AA311" s="4"/>
      <c r="AB311" s="4"/>
      <c r="AC311" s="6158" t="s">
        <v>9775</v>
      </c>
      <c r="AD311" s="1483">
        <v>4.8611111111111112E-3</v>
      </c>
      <c r="AE311" s="1484"/>
      <c r="AF311" s="1484">
        <v>100</v>
      </c>
      <c r="AG311" s="1485"/>
      <c r="AH311" s="1485"/>
      <c r="AI311" s="6343"/>
      <c r="AJ311" s="6343"/>
      <c r="AK311" s="6343"/>
      <c r="AL311" s="1477"/>
      <c r="AU311" s="141"/>
      <c r="AV311" s="141"/>
      <c r="AW311" s="141"/>
      <c r="AX311" s="141"/>
      <c r="AY311" s="1482" t="s">
        <v>9911</v>
      </c>
      <c r="AZ311" s="1483">
        <v>4.8611111111111112E-3</v>
      </c>
      <c r="BA311" s="1484"/>
      <c r="BB311" s="1484">
        <v>100</v>
      </c>
      <c r="BC311" s="1485"/>
      <c r="BD311" s="1485"/>
      <c r="BE311" s="6343"/>
      <c r="BF311" s="6343"/>
      <c r="BG311" s="6343"/>
      <c r="BH311" s="1477"/>
      <c r="BP311" s="7161"/>
      <c r="BQ311" s="7162"/>
      <c r="BR311" s="7162"/>
      <c r="BS311" s="7162"/>
      <c r="BT311" s="7162"/>
      <c r="BU311" s="7162"/>
      <c r="BV311" s="7163"/>
      <c r="BX311" s="7161"/>
      <c r="BY311" s="7162"/>
      <c r="BZ311" s="7162"/>
      <c r="CA311" s="7162"/>
      <c r="CB311" s="7162"/>
      <c r="CC311" s="7162"/>
      <c r="CD311" s="7163"/>
      <c r="CF311" s="7161"/>
      <c r="CG311" s="7162"/>
      <c r="CH311" s="7162"/>
      <c r="CI311" s="7162"/>
      <c r="CJ311" s="7162"/>
      <c r="CK311" s="7162"/>
      <c r="CL311" s="7163"/>
      <c r="CN311" s="5">
        <v>1</v>
      </c>
    </row>
    <row r="312" spans="3:92" ht="15.75">
      <c r="C312" s="141"/>
      <c r="D312" s="141"/>
      <c r="E312" s="141"/>
      <c r="G312" s="1479" t="s">
        <v>1208</v>
      </c>
      <c r="H312" s="1480"/>
      <c r="I312" s="1480"/>
      <c r="J312" s="1480" t="s">
        <v>1214</v>
      </c>
      <c r="K312" s="1481" t="s">
        <v>1224</v>
      </c>
      <c r="L312" s="1481"/>
      <c r="M312" s="6343"/>
      <c r="N312" s="6343"/>
      <c r="O312" s="6343"/>
      <c r="P312" s="1477"/>
      <c r="Y312" s="4"/>
      <c r="Z312" s="4"/>
      <c r="AA312" s="4"/>
      <c r="AB312" s="4"/>
      <c r="AC312" s="6157" t="s">
        <v>9772</v>
      </c>
      <c r="AD312" s="1480"/>
      <c r="AE312" s="1480"/>
      <c r="AF312" s="1480" t="s">
        <v>9777</v>
      </c>
      <c r="AG312" s="1481" t="s">
        <v>9783</v>
      </c>
      <c r="AH312" s="1481"/>
      <c r="AI312" s="6343"/>
      <c r="AJ312" s="6343"/>
      <c r="AK312" s="6343"/>
      <c r="AL312" s="1477"/>
      <c r="AU312" s="141"/>
      <c r="AV312" s="141"/>
      <c r="AW312" s="141"/>
      <c r="AX312" s="141"/>
      <c r="AY312" s="6157" t="s">
        <v>9908</v>
      </c>
      <c r="AZ312" s="1480"/>
      <c r="BA312" s="1480"/>
      <c r="BB312" s="1480" t="s">
        <v>9913</v>
      </c>
      <c r="BC312" s="1481" t="s">
        <v>9919</v>
      </c>
      <c r="BD312" s="1481"/>
      <c r="BE312" s="6343"/>
      <c r="BF312" s="6343"/>
      <c r="BG312" s="6343"/>
      <c r="BH312" s="1477"/>
      <c r="BP312" s="7164"/>
      <c r="BQ312" s="7165"/>
      <c r="BR312" s="7165"/>
      <c r="BS312" s="7165"/>
      <c r="BT312" s="7165"/>
      <c r="BU312" s="7165"/>
      <c r="BV312" s="7166"/>
      <c r="BX312" s="7164"/>
      <c r="BY312" s="7165"/>
      <c r="BZ312" s="7165"/>
      <c r="CA312" s="7165"/>
      <c r="CB312" s="7165"/>
      <c r="CC312" s="7165"/>
      <c r="CD312" s="7166"/>
      <c r="CF312" s="7164"/>
      <c r="CG312" s="7165"/>
      <c r="CH312" s="7165"/>
      <c r="CI312" s="7165"/>
      <c r="CJ312" s="7165"/>
      <c r="CK312" s="7165"/>
      <c r="CL312" s="7166"/>
      <c r="CN312" s="5">
        <v>1</v>
      </c>
    </row>
    <row r="313" spans="3:92" ht="16.5" thickBot="1">
      <c r="C313" s="141"/>
      <c r="D313" s="141"/>
      <c r="E313" s="141"/>
      <c r="G313" s="6158" t="s">
        <v>1216</v>
      </c>
      <c r="H313" s="1474">
        <v>4.8611111111111112E-3</v>
      </c>
      <c r="I313" s="1475"/>
      <c r="J313" s="1475">
        <v>110</v>
      </c>
      <c r="K313" s="1476"/>
      <c r="L313" s="1476"/>
      <c r="M313" s="6343"/>
      <c r="N313" s="6343"/>
      <c r="O313" s="6343"/>
      <c r="P313" s="1477"/>
      <c r="Y313" s="4"/>
      <c r="Z313" s="4"/>
      <c r="AA313" s="4"/>
      <c r="AB313" s="4"/>
      <c r="AC313" s="6158" t="s">
        <v>9775</v>
      </c>
      <c r="AD313" s="1474">
        <v>4.8611111111111112E-3</v>
      </c>
      <c r="AE313" s="1475"/>
      <c r="AF313" s="1475">
        <v>110</v>
      </c>
      <c r="AG313" s="1476"/>
      <c r="AH313" s="1476"/>
      <c r="AI313" s="6343"/>
      <c r="AJ313" s="6343"/>
      <c r="AK313" s="6343"/>
      <c r="AL313" s="1477"/>
      <c r="AU313" s="141"/>
      <c r="AV313" s="141"/>
      <c r="AW313" s="141"/>
      <c r="AX313" s="141"/>
      <c r="AY313" s="1482" t="s">
        <v>9911</v>
      </c>
      <c r="AZ313" s="1474">
        <v>4.8611111111111112E-3</v>
      </c>
      <c r="BA313" s="1475"/>
      <c r="BB313" s="1475">
        <v>110</v>
      </c>
      <c r="BC313" s="1476"/>
      <c r="BD313" s="1476"/>
      <c r="BE313" s="6343"/>
      <c r="BF313" s="6343"/>
      <c r="BG313" s="6343"/>
      <c r="BH313" s="1477"/>
      <c r="BP313" s="1005" t="s">
        <v>86</v>
      </c>
      <c r="BQ313" s="1006"/>
      <c r="BR313" s="1007"/>
      <c r="BS313" s="1008"/>
      <c r="BT313" s="1007"/>
      <c r="BU313" s="1007"/>
      <c r="BV313" s="1009"/>
      <c r="BX313" s="1005" t="s">
        <v>86</v>
      </c>
      <c r="BY313" s="1006"/>
      <c r="BZ313" s="1007"/>
      <c r="CA313" s="1008"/>
      <c r="CB313" s="1007"/>
      <c r="CC313" s="1007"/>
      <c r="CD313" s="1009"/>
      <c r="CF313" s="1005" t="s">
        <v>86</v>
      </c>
      <c r="CG313" s="1006"/>
      <c r="CH313" s="1007"/>
      <c r="CI313" s="1008"/>
      <c r="CJ313" s="1007"/>
      <c r="CK313" s="1007"/>
      <c r="CL313" s="1009"/>
      <c r="CN313" s="5">
        <v>1</v>
      </c>
    </row>
    <row r="314" spans="3:92" ht="15.75">
      <c r="C314" s="141"/>
      <c r="D314" s="141"/>
      <c r="E314" s="141"/>
      <c r="G314" s="6159" t="s">
        <v>8022</v>
      </c>
      <c r="H314" s="6160"/>
      <c r="I314" s="6160"/>
      <c r="J314" s="6160"/>
      <c r="K314" s="6160"/>
      <c r="L314" s="6160"/>
      <c r="M314" s="6160"/>
      <c r="N314" s="6160"/>
      <c r="O314" s="6160"/>
      <c r="P314" s="6161"/>
      <c r="Y314" s="4"/>
      <c r="Z314" s="4"/>
      <c r="AA314" s="4"/>
      <c r="AB314" s="4"/>
      <c r="AC314" s="6159" t="s">
        <v>8370</v>
      </c>
      <c r="AD314" s="6160"/>
      <c r="AE314" s="6160"/>
      <c r="AF314" s="6160"/>
      <c r="AG314" s="6160"/>
      <c r="AH314" s="6160"/>
      <c r="AI314" s="6160"/>
      <c r="AJ314" s="6160"/>
      <c r="AK314" s="6160"/>
      <c r="AL314" s="6161"/>
      <c r="AU314" s="141"/>
      <c r="AV314" s="141"/>
      <c r="AW314" s="141"/>
      <c r="AX314" s="141"/>
      <c r="AY314" s="6159" t="s">
        <v>9985</v>
      </c>
      <c r="AZ314" s="6160"/>
      <c r="BA314" s="6160"/>
      <c r="BB314" s="6160"/>
      <c r="BC314" s="6160"/>
      <c r="BD314" s="6160"/>
      <c r="BE314" s="6160"/>
      <c r="BF314" s="6160"/>
      <c r="BG314" s="6160"/>
      <c r="BH314" s="6161"/>
      <c r="BP314" s="343"/>
      <c r="BV314" s="762"/>
      <c r="BX314" s="343"/>
      <c r="CD314" s="762"/>
      <c r="CF314" s="343"/>
      <c r="CL314" s="762"/>
      <c r="CN314" s="5">
        <v>1</v>
      </c>
    </row>
    <row r="315" spans="3:92" ht="15.75">
      <c r="C315" s="141"/>
      <c r="D315" s="141"/>
      <c r="E315" s="141"/>
      <c r="G315" s="5294" t="s">
        <v>8024</v>
      </c>
      <c r="H315" s="1449"/>
      <c r="I315" s="1449"/>
      <c r="J315" s="1449"/>
      <c r="K315" s="1449"/>
      <c r="L315" s="1449"/>
      <c r="M315" s="5410"/>
      <c r="N315" s="5410"/>
      <c r="O315" s="5410"/>
      <c r="P315" s="5295"/>
      <c r="Y315" s="4"/>
      <c r="Z315" s="4"/>
      <c r="AA315" s="4"/>
      <c r="AB315" s="4"/>
      <c r="AC315" s="5294" t="s">
        <v>9724</v>
      </c>
      <c r="AD315" s="1449"/>
      <c r="AE315" s="1449"/>
      <c r="AF315" s="1449"/>
      <c r="AG315" s="1449"/>
      <c r="AH315" s="1449"/>
      <c r="AI315" s="5410"/>
      <c r="AJ315" s="5410"/>
      <c r="AK315" s="5410"/>
      <c r="AL315" s="5295"/>
      <c r="AU315" s="141"/>
      <c r="AV315" s="141"/>
      <c r="AW315" s="141"/>
      <c r="AX315" s="141"/>
      <c r="AY315" s="5294" t="s">
        <v>9864</v>
      </c>
      <c r="AZ315" s="1449"/>
      <c r="BA315" s="1449"/>
      <c r="BB315" s="1449"/>
      <c r="BC315" s="1449"/>
      <c r="BD315" s="1449"/>
      <c r="BE315" s="5410"/>
      <c r="BF315" s="5410"/>
      <c r="BG315" s="5410"/>
      <c r="BH315" s="5295"/>
      <c r="BP315" s="6079" t="s">
        <v>252</v>
      </c>
      <c r="BQ315" s="1398"/>
      <c r="BR315" s="1398"/>
      <c r="BS315" s="1398"/>
      <c r="BT315" s="1398"/>
      <c r="BU315" s="1398"/>
      <c r="BV315" s="6080" t="s">
        <v>1158</v>
      </c>
      <c r="BX315" s="6079" t="s">
        <v>252</v>
      </c>
      <c r="BY315" s="1398"/>
      <c r="BZ315" s="1398"/>
      <c r="CA315" s="1398"/>
      <c r="CB315" s="1398"/>
      <c r="CC315" s="1398"/>
      <c r="CD315" s="6080" t="s">
        <v>9574</v>
      </c>
      <c r="CF315" s="6079" t="s">
        <v>252</v>
      </c>
      <c r="CG315" s="1398"/>
      <c r="CH315" s="1398"/>
      <c r="CI315" s="1398"/>
      <c r="CJ315" s="1398"/>
      <c r="CK315" s="1398"/>
      <c r="CL315" s="6080" t="s">
        <v>9575</v>
      </c>
      <c r="CN315" s="5">
        <v>1</v>
      </c>
    </row>
    <row r="316" spans="3:92" ht="15.75">
      <c r="C316" s="141"/>
      <c r="D316" s="141"/>
      <c r="E316" s="141"/>
      <c r="G316" s="6146"/>
      <c r="H316" s="1002"/>
      <c r="I316" s="1002" t="s">
        <v>873</v>
      </c>
      <c r="J316" s="1003"/>
      <c r="K316" s="1329"/>
      <c r="L316" s="1329"/>
      <c r="M316" s="1329"/>
      <c r="N316" s="1329"/>
      <c r="O316" s="1329"/>
      <c r="P316" s="1330"/>
      <c r="Y316" s="4"/>
      <c r="Z316" s="4"/>
      <c r="AA316" s="4"/>
      <c r="AB316" s="4"/>
      <c r="AC316" s="6146"/>
      <c r="AD316" s="1002"/>
      <c r="AE316" s="1002" t="s">
        <v>8386</v>
      </c>
      <c r="AF316" s="1003"/>
      <c r="AG316" s="1329"/>
      <c r="AH316" s="1329"/>
      <c r="AI316" s="1329"/>
      <c r="AJ316" s="1329"/>
      <c r="AK316" s="1329"/>
      <c r="AL316" s="1330"/>
      <c r="AU316" s="141"/>
      <c r="AV316" s="141"/>
      <c r="AW316" s="141"/>
      <c r="AX316" s="141"/>
      <c r="AY316" s="6146"/>
      <c r="AZ316" s="1002"/>
      <c r="BA316" s="1002" t="s">
        <v>8426</v>
      </c>
      <c r="BB316" s="1003"/>
      <c r="BC316" s="1329"/>
      <c r="BD316" s="1329"/>
      <c r="BE316" s="1329"/>
      <c r="BF316" s="1329"/>
      <c r="BG316" s="1329"/>
      <c r="BH316" s="1330"/>
      <c r="BP316" s="6086"/>
      <c r="BQ316" s="1401" t="s">
        <v>1159</v>
      </c>
      <c r="BR316" s="1362"/>
      <c r="BS316" s="1362"/>
      <c r="BT316" s="1362"/>
      <c r="BU316" s="1402" t="s">
        <v>1160</v>
      </c>
      <c r="BV316" s="6087"/>
      <c r="BX316" s="6086"/>
      <c r="BY316" s="1401" t="s">
        <v>9340</v>
      </c>
      <c r="BZ316" s="1362"/>
      <c r="CA316" s="1362"/>
      <c r="CB316" s="1362"/>
      <c r="CC316" s="1402" t="s">
        <v>9347</v>
      </c>
      <c r="CD316" s="6087"/>
      <c r="CF316" s="6086"/>
      <c r="CG316" s="1401" t="s">
        <v>9497</v>
      </c>
      <c r="CH316" s="1362"/>
      <c r="CI316" s="1362"/>
      <c r="CJ316" s="1362"/>
      <c r="CK316" s="1402" t="s">
        <v>1160</v>
      </c>
      <c r="CL316" s="6087"/>
      <c r="CN316" s="5">
        <v>1</v>
      </c>
    </row>
    <row r="317" spans="3:92" ht="16.5" thickBot="1">
      <c r="C317" s="141"/>
      <c r="D317" s="141"/>
      <c r="E317" s="141"/>
      <c r="G317" s="1332"/>
      <c r="H317" s="1006"/>
      <c r="I317" s="1007"/>
      <c r="J317" s="1008"/>
      <c r="K317" s="1007"/>
      <c r="L317" s="1007"/>
      <c r="M317" s="1007"/>
      <c r="N317" s="1007"/>
      <c r="O317" s="1007"/>
      <c r="P317" s="1333"/>
      <c r="Y317" s="4"/>
      <c r="Z317" s="4"/>
      <c r="AA317" s="4"/>
      <c r="AB317" s="4"/>
      <c r="AC317" s="1332"/>
      <c r="AD317" s="1006"/>
      <c r="AE317" s="1007"/>
      <c r="AF317" s="1008"/>
      <c r="AG317" s="1007"/>
      <c r="AH317" s="1007"/>
      <c r="AI317" s="1007"/>
      <c r="AJ317" s="1007"/>
      <c r="AK317" s="1007"/>
      <c r="AL317" s="1333"/>
      <c r="AU317" s="141"/>
      <c r="AV317" s="141"/>
      <c r="AW317" s="141"/>
      <c r="AX317" s="141"/>
      <c r="AY317" s="1332"/>
      <c r="AZ317" s="1006"/>
      <c r="BA317" s="1007"/>
      <c r="BB317" s="1008"/>
      <c r="BC317" s="1007"/>
      <c r="BD317" s="1007"/>
      <c r="BE317" s="1007"/>
      <c r="BF317" s="1007"/>
      <c r="BG317" s="1007"/>
      <c r="BH317" s="1333"/>
      <c r="BP317" s="6086">
        <v>3</v>
      </c>
      <c r="BQ317" s="1404" t="s">
        <v>1163</v>
      </c>
      <c r="BR317" s="988"/>
      <c r="BS317" s="988"/>
      <c r="BT317" s="988"/>
      <c r="BU317" s="1358" t="s">
        <v>1118</v>
      </c>
      <c r="BV317" s="6088" t="s">
        <v>1162</v>
      </c>
      <c r="BX317" s="6086">
        <v>3</v>
      </c>
      <c r="BY317" s="1404" t="s">
        <v>9341</v>
      </c>
      <c r="BZ317" s="988"/>
      <c r="CA317" s="988"/>
      <c r="CB317" s="988"/>
      <c r="CC317" s="1358" t="s">
        <v>1118</v>
      </c>
      <c r="CD317" s="6088" t="s">
        <v>9348</v>
      </c>
      <c r="CF317" s="6086">
        <v>3</v>
      </c>
      <c r="CG317" s="1404" t="s">
        <v>9498</v>
      </c>
      <c r="CH317" s="988"/>
      <c r="CI317" s="988"/>
      <c r="CJ317" s="988"/>
      <c r="CK317" s="1358" t="s">
        <v>1118</v>
      </c>
      <c r="CL317" s="6088" t="s">
        <v>9505</v>
      </c>
      <c r="CN317" s="5">
        <v>1</v>
      </c>
    </row>
    <row r="318" spans="3:92" ht="19.5" thickBot="1">
      <c r="C318" s="141"/>
      <c r="D318" s="141"/>
      <c r="E318" s="141"/>
      <c r="G318"/>
      <c r="H318"/>
      <c r="I318"/>
      <c r="J318"/>
      <c r="K318"/>
      <c r="L318"/>
      <c r="M318"/>
      <c r="N318"/>
      <c r="O318"/>
      <c r="P318"/>
      <c r="Y318" s="4"/>
      <c r="Z318" s="4"/>
      <c r="AA318" s="4"/>
      <c r="AB318" s="4"/>
      <c r="AU318" s="141"/>
      <c r="AV318" s="141"/>
      <c r="AW318" s="141"/>
      <c r="AX318" s="141"/>
      <c r="BP318" s="6086"/>
      <c r="BQ318" s="1404" t="s">
        <v>1165</v>
      </c>
      <c r="BR318" s="988"/>
      <c r="BS318" s="988"/>
      <c r="BT318" s="988"/>
      <c r="BU318" s="1406"/>
      <c r="BV318" s="6088" t="s">
        <v>1164</v>
      </c>
      <c r="BX318" s="6086"/>
      <c r="BY318" s="1404" t="s">
        <v>9342</v>
      </c>
      <c r="BZ318" s="988"/>
      <c r="CA318" s="988"/>
      <c r="CB318" s="988"/>
      <c r="CC318" s="1406"/>
      <c r="CD318" s="6088" t="s">
        <v>9349</v>
      </c>
      <c r="CF318" s="6086"/>
      <c r="CG318" s="1404" t="s">
        <v>9499</v>
      </c>
      <c r="CH318" s="988"/>
      <c r="CI318" s="988"/>
      <c r="CJ318" s="988"/>
      <c r="CK318" s="1406"/>
      <c r="CL318" s="6088" t="s">
        <v>9506</v>
      </c>
      <c r="CN318" s="5">
        <v>1</v>
      </c>
    </row>
    <row r="319" spans="3:92" ht="16.5" thickTop="1">
      <c r="C319" s="141"/>
      <c r="D319" s="141"/>
      <c r="E319" s="141"/>
      <c r="G319" s="141"/>
      <c r="H319" s="141"/>
      <c r="I319" s="141"/>
      <c r="J319" s="141"/>
      <c r="K319" s="141"/>
      <c r="L319" s="141"/>
      <c r="M319" s="141"/>
      <c r="N319" s="141"/>
      <c r="O319" s="141"/>
      <c r="P319" s="141"/>
      <c r="Y319" s="4"/>
      <c r="Z319" s="4"/>
      <c r="AA319" s="4"/>
      <c r="AB319" s="4"/>
      <c r="AC319" s="141"/>
      <c r="AD319" s="141"/>
      <c r="AE319" s="141"/>
      <c r="AF319" s="141"/>
      <c r="AG319" s="141"/>
      <c r="AH319" s="141"/>
      <c r="AI319" s="141"/>
      <c r="AJ319" s="141"/>
      <c r="AK319" s="141"/>
      <c r="AL319" s="141"/>
      <c r="AU319" s="141"/>
      <c r="AV319" s="141"/>
      <c r="AW319" s="141"/>
      <c r="AX319" s="141"/>
      <c r="AY319" s="141"/>
      <c r="AZ319" s="141"/>
      <c r="BA319" s="141"/>
      <c r="BB319" s="141"/>
      <c r="BC319" s="141"/>
      <c r="BD319" s="141"/>
      <c r="BE319" s="141"/>
      <c r="BF319" s="141"/>
      <c r="BG319" s="141"/>
      <c r="BH319" s="141"/>
      <c r="BP319" s="6089" t="str">
        <f>SUM(BP316:BP318) &amp; " / " &amp; (COUNTA(BP316:BP318) * 3)</f>
        <v>3 / 3</v>
      </c>
      <c r="BQ319" s="988" t="s">
        <v>1177</v>
      </c>
      <c r="BR319" s="988"/>
      <c r="BS319" s="988"/>
      <c r="BT319" s="988"/>
      <c r="BU319" s="1411" t="s">
        <v>1175</v>
      </c>
      <c r="BV319" s="6088" t="s">
        <v>1176</v>
      </c>
      <c r="BX319" s="6089" t="str">
        <f>SUM(BX316:BX318) &amp; " / " &amp; (COUNTA(BX316:BX318) * 3)</f>
        <v>3 / 3</v>
      </c>
      <c r="BY319" s="988" t="s">
        <v>9343</v>
      </c>
      <c r="BZ319" s="988"/>
      <c r="CA319" s="988"/>
      <c r="CB319" s="988"/>
      <c r="CC319" s="1411" t="s">
        <v>1175</v>
      </c>
      <c r="CD319" s="6088" t="s">
        <v>9350</v>
      </c>
      <c r="CF319" s="6089" t="str">
        <f>SUM(CF316:CF318) &amp; " / " &amp; (COUNTA(CF316:CF318) * 3)</f>
        <v>3 / 3</v>
      </c>
      <c r="CG319" s="988" t="s">
        <v>9500</v>
      </c>
      <c r="CH319" s="988"/>
      <c r="CI319" s="988"/>
      <c r="CJ319" s="988"/>
      <c r="CK319" s="1411" t="s">
        <v>1175</v>
      </c>
      <c r="CL319" s="6088" t="s">
        <v>1176</v>
      </c>
      <c r="CN319" s="5">
        <v>1</v>
      </c>
    </row>
    <row r="320" spans="3:92" ht="18.75">
      <c r="C320" s="141"/>
      <c r="D320" s="141"/>
      <c r="E320" s="141"/>
      <c r="G320" s="1354" t="s">
        <v>252</v>
      </c>
      <c r="H320" s="1355"/>
      <c r="I320" s="1355"/>
      <c r="J320" s="1355"/>
      <c r="K320" s="1355"/>
      <c r="L320" s="1356"/>
      <c r="M320" s="1356"/>
      <c r="N320" s="1356"/>
      <c r="O320" s="1356"/>
      <c r="P320" s="1357" t="s">
        <v>1117</v>
      </c>
      <c r="Y320" s="4"/>
      <c r="Z320" s="4"/>
      <c r="AA320" s="4"/>
      <c r="AB320" s="4"/>
      <c r="AC320" s="1354" t="s">
        <v>9333</v>
      </c>
      <c r="AD320" s="1355"/>
      <c r="AE320" s="1355"/>
      <c r="AF320" s="1355"/>
      <c r="AG320" s="1355"/>
      <c r="AH320" s="1356"/>
      <c r="AI320" s="1356"/>
      <c r="AJ320" s="1356"/>
      <c r="AK320" s="1356"/>
      <c r="AL320" s="1357" t="s">
        <v>9704</v>
      </c>
      <c r="AU320" s="141"/>
      <c r="AV320" s="141"/>
      <c r="AW320" s="141"/>
      <c r="AX320" s="141"/>
      <c r="AY320" s="1354" t="s">
        <v>9490</v>
      </c>
      <c r="AZ320" s="1355"/>
      <c r="BA320" s="1355"/>
      <c r="BB320" s="1355"/>
      <c r="BC320" s="1355"/>
      <c r="BD320" s="1356"/>
      <c r="BE320" s="1356"/>
      <c r="BF320" s="1356"/>
      <c r="BG320" s="1356"/>
      <c r="BH320" s="1357" t="s">
        <v>9486</v>
      </c>
      <c r="BP320" s="6090" t="str">
        <f>SUM(BP316:BP318) &amp;"/ "&amp;BP321</f>
        <v>3/ 24</v>
      </c>
      <c r="BQ320" s="1414" t="s">
        <v>1178</v>
      </c>
      <c r="BR320" s="988"/>
      <c r="BS320" s="988"/>
      <c r="BT320" s="988"/>
      <c r="BU320" s="1406"/>
      <c r="BV320" s="6088" t="s">
        <v>1164</v>
      </c>
      <c r="BX320" s="6090" t="str">
        <f>SUM(BX316:BX318) &amp;"/ "&amp;BX321</f>
        <v>3/ 24</v>
      </c>
      <c r="BY320" s="1414" t="s">
        <v>9344</v>
      </c>
      <c r="BZ320" s="988"/>
      <c r="CA320" s="988"/>
      <c r="CB320" s="988"/>
      <c r="CC320" s="1406"/>
      <c r="CD320" s="6088" t="s">
        <v>9349</v>
      </c>
      <c r="CF320" s="6090" t="str">
        <f>SUM(CF316:CF318) &amp;"/ "&amp;CF321</f>
        <v>3/ 24</v>
      </c>
      <c r="CG320" s="1414" t="s">
        <v>9501</v>
      </c>
      <c r="CH320" s="988"/>
      <c r="CI320" s="988"/>
      <c r="CJ320" s="988"/>
      <c r="CK320" s="1406"/>
      <c r="CL320" s="6088" t="s">
        <v>9506</v>
      </c>
      <c r="CN320" s="5">
        <v>1</v>
      </c>
    </row>
    <row r="321" spans="3:92" ht="19.5" thickBot="1">
      <c r="C321" s="141"/>
      <c r="D321" s="141"/>
      <c r="E321" s="141"/>
      <c r="G321" s="1411" t="s">
        <v>1175</v>
      </c>
      <c r="H321" s="1487">
        <v>1.7361111111111112E-2</v>
      </c>
      <c r="I321" s="1488"/>
      <c r="J321" s="1488">
        <v>3</v>
      </c>
      <c r="K321" s="1489" t="s">
        <v>1223</v>
      </c>
      <c r="L321" s="1534"/>
      <c r="M321" s="1534"/>
      <c r="N321" s="1534"/>
      <c r="O321" s="1534"/>
      <c r="P321" s="1535"/>
      <c r="Y321" s="4"/>
      <c r="Z321" s="4"/>
      <c r="AA321" s="4"/>
      <c r="AB321" s="4"/>
      <c r="AC321" s="1411" t="s">
        <v>1175</v>
      </c>
      <c r="AD321" s="1487">
        <v>1.7361111111111112E-2</v>
      </c>
      <c r="AE321" s="1488"/>
      <c r="AF321" s="1488">
        <v>3</v>
      </c>
      <c r="AG321" s="1489" t="s">
        <v>9785</v>
      </c>
      <c r="AH321" s="1534"/>
      <c r="AI321" s="1534"/>
      <c r="AJ321" s="1534"/>
      <c r="AK321" s="1534"/>
      <c r="AL321" s="1535"/>
      <c r="AU321" s="141"/>
      <c r="AV321" s="141"/>
      <c r="AW321" s="141"/>
      <c r="AX321" s="141"/>
      <c r="AY321" s="1411" t="s">
        <v>1175</v>
      </c>
      <c r="AZ321" s="1487">
        <v>1.7361111111111112E-2</v>
      </c>
      <c r="BA321" s="1488"/>
      <c r="BB321" s="1488">
        <v>3</v>
      </c>
      <c r="BC321" s="1489" t="s">
        <v>9920</v>
      </c>
      <c r="BD321" s="1534"/>
      <c r="BE321" s="1534"/>
      <c r="BF321" s="1534"/>
      <c r="BG321" s="1534"/>
      <c r="BH321" s="1535"/>
      <c r="BP321" s="6091">
        <v>24</v>
      </c>
      <c r="BQ321" s="1417" t="s">
        <v>1180</v>
      </c>
      <c r="BR321" s="988"/>
      <c r="BS321" s="988"/>
      <c r="BT321" s="988"/>
      <c r="BU321" s="1415"/>
      <c r="BV321" s="6092" t="s">
        <v>1179</v>
      </c>
      <c r="BX321" s="6091">
        <v>24</v>
      </c>
      <c r="BY321" s="1417" t="s">
        <v>9345</v>
      </c>
      <c r="BZ321" s="988"/>
      <c r="CA321" s="988"/>
      <c r="CB321" s="988"/>
      <c r="CC321" s="1415"/>
      <c r="CD321" s="6092" t="s">
        <v>1179</v>
      </c>
      <c r="CF321" s="6091">
        <v>24</v>
      </c>
      <c r="CG321" s="1417" t="s">
        <v>9502</v>
      </c>
      <c r="CH321" s="988"/>
      <c r="CI321" s="988"/>
      <c r="CJ321" s="988"/>
      <c r="CK321" s="1415"/>
      <c r="CL321" s="6092" t="s">
        <v>9507</v>
      </c>
      <c r="CN321" s="5">
        <v>1</v>
      </c>
    </row>
    <row r="322" spans="3:92" ht="19.5" thickTop="1">
      <c r="C322" s="141"/>
      <c r="D322" s="141"/>
      <c r="E322" s="141"/>
      <c r="G322" s="1411" t="s">
        <v>1175</v>
      </c>
      <c r="H322" s="1487">
        <v>1.7361111111111112E-2</v>
      </c>
      <c r="I322" s="1488"/>
      <c r="J322" s="1488">
        <v>3</v>
      </c>
      <c r="K322" s="1148" t="s">
        <v>1264</v>
      </c>
      <c r="L322" s="1148"/>
      <c r="M322" s="1148"/>
      <c r="N322" s="1148"/>
      <c r="O322" s="1148"/>
      <c r="P322" s="1490"/>
      <c r="Y322" s="4"/>
      <c r="Z322" s="4"/>
      <c r="AA322" s="4"/>
      <c r="AB322" s="4"/>
      <c r="AC322" s="1411" t="s">
        <v>1175</v>
      </c>
      <c r="AD322" s="1487">
        <v>1.7361111111111112E-2</v>
      </c>
      <c r="AE322" s="1488"/>
      <c r="AF322" s="1488">
        <v>3</v>
      </c>
      <c r="AG322" s="1148" t="s">
        <v>9786</v>
      </c>
      <c r="AH322" s="1148"/>
      <c r="AI322" s="1148"/>
      <c r="AJ322" s="1148"/>
      <c r="AK322" s="1148"/>
      <c r="AL322" s="1490"/>
      <c r="AU322" s="141"/>
      <c r="AV322" s="141"/>
      <c r="AW322" s="141"/>
      <c r="AX322" s="141"/>
      <c r="AY322" s="1411" t="s">
        <v>1175</v>
      </c>
      <c r="AZ322" s="1487">
        <v>1.7361111111111112E-2</v>
      </c>
      <c r="BA322" s="1488"/>
      <c r="BB322" s="1488">
        <v>3</v>
      </c>
      <c r="BC322" s="1148" t="s">
        <v>9921</v>
      </c>
      <c r="BD322" s="1148"/>
      <c r="BE322" s="1148"/>
      <c r="BF322" s="1148"/>
      <c r="BG322" s="1148"/>
      <c r="BH322" s="1490"/>
      <c r="BP322" s="986" t="s">
        <v>1182</v>
      </c>
      <c r="BQ322" s="988"/>
      <c r="BR322" s="988"/>
      <c r="BS322" s="988"/>
      <c r="BT322" s="988"/>
      <c r="BU322" s="1406"/>
      <c r="BV322" s="6088" t="s">
        <v>1181</v>
      </c>
      <c r="BX322" s="986" t="s">
        <v>9346</v>
      </c>
      <c r="BY322" s="988"/>
      <c r="BZ322" s="988"/>
      <c r="CA322" s="988"/>
      <c r="CB322" s="988"/>
      <c r="CC322" s="1406"/>
      <c r="CD322" s="6088" t="s">
        <v>9351</v>
      </c>
      <c r="CF322" s="986" t="s">
        <v>9591</v>
      </c>
      <c r="CG322" s="988"/>
      <c r="CH322" s="988"/>
      <c r="CI322" s="988"/>
      <c r="CJ322" s="988"/>
      <c r="CK322" s="1406"/>
      <c r="CL322" s="6088" t="s">
        <v>9508</v>
      </c>
      <c r="CN322" s="5">
        <v>1</v>
      </c>
    </row>
    <row r="323" spans="3:92" ht="18.75">
      <c r="C323" s="141"/>
      <c r="D323" s="141"/>
      <c r="E323" s="141"/>
      <c r="G323" s="1411" t="s">
        <v>1175</v>
      </c>
      <c r="H323" s="1487">
        <v>5.9027777777777797E-2</v>
      </c>
      <c r="I323" s="1488"/>
      <c r="J323" s="1488">
        <v>3</v>
      </c>
      <c r="K323" s="1148" t="s">
        <v>1225</v>
      </c>
      <c r="L323" s="1148"/>
      <c r="M323" s="1148"/>
      <c r="N323" s="1148"/>
      <c r="O323" s="1148"/>
      <c r="P323" s="1490"/>
      <c r="Y323" s="4"/>
      <c r="Z323" s="4"/>
      <c r="AA323" s="4"/>
      <c r="AB323" s="4"/>
      <c r="AC323" s="1411" t="s">
        <v>1175</v>
      </c>
      <c r="AD323" s="1487">
        <v>5.9027777777777797E-2</v>
      </c>
      <c r="AE323" s="1488"/>
      <c r="AF323" s="1488">
        <v>3</v>
      </c>
      <c r="AG323" s="1148" t="s">
        <v>9787</v>
      </c>
      <c r="AH323" s="1148"/>
      <c r="AI323" s="1148"/>
      <c r="AJ323" s="1148"/>
      <c r="AK323" s="1148"/>
      <c r="AL323" s="1490"/>
      <c r="AU323" s="141"/>
      <c r="AV323" s="141"/>
      <c r="AW323" s="141"/>
      <c r="AX323" s="141"/>
      <c r="AY323" s="1411" t="s">
        <v>1175</v>
      </c>
      <c r="AZ323" s="1487">
        <v>5.9027777777777797E-2</v>
      </c>
      <c r="BA323" s="1488"/>
      <c r="BB323" s="1488">
        <v>3</v>
      </c>
      <c r="BC323" s="1148" t="s">
        <v>9922</v>
      </c>
      <c r="BD323" s="1148"/>
      <c r="BE323" s="1148"/>
      <c r="BF323" s="1148"/>
      <c r="BG323" s="1148"/>
      <c r="BH323" s="1490"/>
      <c r="BP323" s="6093"/>
      <c r="BQ323" s="6094"/>
      <c r="BR323" s="6094"/>
      <c r="BS323" s="6095"/>
      <c r="BT323" s="6095"/>
      <c r="BU323" s="6096"/>
      <c r="BV323" s="6396" t="s">
        <v>1183</v>
      </c>
      <c r="BX323" s="6093"/>
      <c r="BY323" s="6094"/>
      <c r="BZ323" s="6094"/>
      <c r="CA323" s="6095"/>
      <c r="CB323" s="6095"/>
      <c r="CC323" s="6096"/>
      <c r="CD323" s="6396" t="s">
        <v>9352</v>
      </c>
      <c r="CF323" s="6093"/>
      <c r="CG323" s="6094"/>
      <c r="CH323" s="6094"/>
      <c r="CI323" s="6095"/>
      <c r="CJ323" s="6095"/>
      <c r="CK323" s="6096"/>
      <c r="CL323" s="6396" t="s">
        <v>9509</v>
      </c>
      <c r="CN323" s="5">
        <v>1</v>
      </c>
    </row>
    <row r="324" spans="3:92" ht="16.5" thickBot="1">
      <c r="C324" s="141"/>
      <c r="D324" s="141"/>
      <c r="E324" s="141"/>
      <c r="G324" s="1411" t="s">
        <v>1175</v>
      </c>
      <c r="H324" s="1487">
        <v>2.4305555555555556E-2</v>
      </c>
      <c r="I324" s="1488"/>
      <c r="J324" s="1488">
        <v>3</v>
      </c>
      <c r="K324" s="1148" t="s">
        <v>1226</v>
      </c>
      <c r="L324" s="1148"/>
      <c r="M324" s="1148"/>
      <c r="N324" s="1148"/>
      <c r="O324" s="1148"/>
      <c r="P324" s="1490"/>
      <c r="Y324" s="4"/>
      <c r="Z324" s="4"/>
      <c r="AA324" s="4"/>
      <c r="AB324" s="4"/>
      <c r="AC324" s="1411" t="s">
        <v>1175</v>
      </c>
      <c r="AD324" s="1487">
        <v>2.4305555555555556E-2</v>
      </c>
      <c r="AE324" s="1488"/>
      <c r="AF324" s="1488">
        <v>3</v>
      </c>
      <c r="AG324" s="1148" t="s">
        <v>9788</v>
      </c>
      <c r="AH324" s="1148"/>
      <c r="AI324" s="1148"/>
      <c r="AJ324" s="1148"/>
      <c r="AK324" s="1148"/>
      <c r="AL324" s="1490"/>
      <c r="AU324" s="141"/>
      <c r="AV324" s="141"/>
      <c r="AW324" s="141"/>
      <c r="AX324" s="141"/>
      <c r="AY324" s="1411" t="s">
        <v>1175</v>
      </c>
      <c r="AZ324" s="1487">
        <v>2.4305555555555556E-2</v>
      </c>
      <c r="BA324" s="1488"/>
      <c r="BB324" s="1488">
        <v>3</v>
      </c>
      <c r="BC324" s="1148" t="s">
        <v>9923</v>
      </c>
      <c r="BD324" s="1148"/>
      <c r="BE324" s="1148"/>
      <c r="BF324" s="1148"/>
      <c r="BG324" s="1148"/>
      <c r="BH324" s="1490"/>
      <c r="BP324" s="1005" t="s">
        <v>86</v>
      </c>
      <c r="BQ324" s="1006"/>
      <c r="BR324" s="1007"/>
      <c r="BS324" s="1008"/>
      <c r="BT324" s="1007"/>
      <c r="BU324" s="1007"/>
      <c r="BV324" s="1009"/>
      <c r="BX324" s="1005" t="s">
        <v>86</v>
      </c>
      <c r="BY324" s="1006"/>
      <c r="BZ324" s="1007"/>
      <c r="CA324" s="1008"/>
      <c r="CB324" s="1007"/>
      <c r="CC324" s="1007"/>
      <c r="CD324" s="1009"/>
      <c r="CF324" s="1005" t="s">
        <v>86</v>
      </c>
      <c r="CG324" s="1006"/>
      <c r="CH324" s="1007"/>
      <c r="CI324" s="1008"/>
      <c r="CJ324" s="1007"/>
      <c r="CK324" s="1007"/>
      <c r="CL324" s="1009"/>
      <c r="CN324" s="5">
        <v>1</v>
      </c>
    </row>
    <row r="325" spans="3:92" ht="15.75">
      <c r="C325" s="141"/>
      <c r="D325" s="141"/>
      <c r="E325" s="141"/>
      <c r="G325" s="1411" t="s">
        <v>1175</v>
      </c>
      <c r="H325" s="1487">
        <v>1.0416666666666666E-2</v>
      </c>
      <c r="I325" s="1488"/>
      <c r="J325" s="1488">
        <v>170</v>
      </c>
      <c r="K325" s="1148" t="s">
        <v>1227</v>
      </c>
      <c r="L325" s="1148"/>
      <c r="M325" s="1148"/>
      <c r="N325" s="1148"/>
      <c r="O325" s="1148"/>
      <c r="P325" s="1490"/>
      <c r="Y325" s="4"/>
      <c r="Z325" s="4"/>
      <c r="AA325" s="4"/>
      <c r="AB325" s="4"/>
      <c r="AC325" s="1411" t="s">
        <v>1175</v>
      </c>
      <c r="AD325" s="1487">
        <v>1.0416666666666666E-2</v>
      </c>
      <c r="AE325" s="1488"/>
      <c r="AF325" s="1488">
        <v>170</v>
      </c>
      <c r="AG325" s="1148" t="s">
        <v>9789</v>
      </c>
      <c r="AH325" s="1148"/>
      <c r="AI325" s="1148"/>
      <c r="AJ325" s="1148"/>
      <c r="AK325" s="1148"/>
      <c r="AL325" s="1490"/>
      <c r="AU325" s="141"/>
      <c r="AV325" s="141"/>
      <c r="AW325" s="141"/>
      <c r="AX325" s="141"/>
      <c r="AY325" s="1411" t="s">
        <v>1175</v>
      </c>
      <c r="AZ325" s="1487">
        <v>1.0416666666666666E-2</v>
      </c>
      <c r="BA325" s="1488"/>
      <c r="BB325" s="1488">
        <v>170</v>
      </c>
      <c r="BC325" s="1148" t="s">
        <v>9924</v>
      </c>
      <c r="BD325" s="1148"/>
      <c r="BE325" s="1148"/>
      <c r="BF325" s="1148"/>
      <c r="BG325" s="1148"/>
      <c r="BH325" s="1490"/>
      <c r="BP325" s="343"/>
      <c r="BV325" s="762"/>
      <c r="BX325" s="343"/>
      <c r="CD325" s="762"/>
      <c r="CF325" s="343"/>
      <c r="CL325" s="762"/>
      <c r="CN325" s="5">
        <v>1</v>
      </c>
    </row>
    <row r="326" spans="3:92" ht="15.75">
      <c r="C326" s="141"/>
      <c r="D326" s="141"/>
      <c r="E326" s="141"/>
      <c r="G326" s="1411" t="s">
        <v>1175</v>
      </c>
      <c r="H326" s="1487">
        <v>6.9444444444444441E-3</v>
      </c>
      <c r="I326" s="1488"/>
      <c r="J326" s="1488">
        <v>150</v>
      </c>
      <c r="K326" s="1148" t="s">
        <v>1217</v>
      </c>
      <c r="L326" s="1148"/>
      <c r="M326" s="1148"/>
      <c r="N326" s="1148"/>
      <c r="O326" s="1148"/>
      <c r="P326" s="1490"/>
      <c r="Y326" s="4"/>
      <c r="Z326" s="4"/>
      <c r="AA326" s="4"/>
      <c r="AB326" s="4"/>
      <c r="AC326" s="1411" t="s">
        <v>1175</v>
      </c>
      <c r="AD326" s="1487">
        <v>6.9444444444444441E-3</v>
      </c>
      <c r="AE326" s="1488"/>
      <c r="AF326" s="1488">
        <v>150</v>
      </c>
      <c r="AG326" s="1148" t="s">
        <v>9779</v>
      </c>
      <c r="AH326" s="1148"/>
      <c r="AI326" s="1148"/>
      <c r="AJ326" s="1148"/>
      <c r="AK326" s="1148"/>
      <c r="AL326" s="1490"/>
      <c r="AU326" s="141"/>
      <c r="AV326" s="141"/>
      <c r="AW326" s="141"/>
      <c r="AX326" s="141"/>
      <c r="AY326" s="1411" t="s">
        <v>1175</v>
      </c>
      <c r="AZ326" s="1487">
        <v>6.9444444444444441E-3</v>
      </c>
      <c r="BA326" s="1488"/>
      <c r="BB326" s="1488">
        <v>150</v>
      </c>
      <c r="BC326" s="1148" t="s">
        <v>9915</v>
      </c>
      <c r="BD326" s="1148"/>
      <c r="BE326" s="1148"/>
      <c r="BF326" s="1148"/>
      <c r="BG326" s="1148"/>
      <c r="BH326" s="1490"/>
      <c r="BP326" s="6057" t="s">
        <v>252</v>
      </c>
      <c r="BQ326" s="6098"/>
      <c r="BR326" s="6098"/>
      <c r="BS326" s="6098"/>
      <c r="BT326" s="6098"/>
      <c r="BU326" s="6098"/>
      <c r="BV326" s="6099" t="s">
        <v>1158</v>
      </c>
      <c r="BX326" s="6057" t="s">
        <v>252</v>
      </c>
      <c r="BY326" s="6098"/>
      <c r="BZ326" s="6098"/>
      <c r="CA326" s="6098"/>
      <c r="CB326" s="6098"/>
      <c r="CC326" s="6098"/>
      <c r="CD326" s="6099" t="s">
        <v>9574</v>
      </c>
      <c r="CF326" s="6057" t="s">
        <v>252</v>
      </c>
      <c r="CG326" s="6098"/>
      <c r="CH326" s="6098"/>
      <c r="CI326" s="6098"/>
      <c r="CJ326" s="6098"/>
      <c r="CK326" s="6098"/>
      <c r="CL326" s="6099" t="s">
        <v>9575</v>
      </c>
      <c r="CN326" s="5">
        <v>1</v>
      </c>
    </row>
    <row r="327" spans="3:92" ht="15.75">
      <c r="C327" s="141"/>
      <c r="D327" s="141"/>
      <c r="E327" s="141"/>
      <c r="G327" s="1411" t="s">
        <v>1175</v>
      </c>
      <c r="H327" s="1487">
        <v>0.10069444444444445</v>
      </c>
      <c r="I327" s="1488"/>
      <c r="J327" s="1488">
        <v>120</v>
      </c>
      <c r="K327" s="1148" t="s">
        <v>1228</v>
      </c>
      <c r="L327" s="1120"/>
      <c r="M327" s="1120"/>
      <c r="N327" s="1120"/>
      <c r="O327" s="1120"/>
      <c r="P327" s="1491"/>
      <c r="Y327" s="4"/>
      <c r="Z327" s="4"/>
      <c r="AA327" s="4"/>
      <c r="AB327" s="4"/>
      <c r="AC327" s="1411" t="s">
        <v>1175</v>
      </c>
      <c r="AD327" s="1487">
        <v>0.10069444444444445</v>
      </c>
      <c r="AE327" s="1488"/>
      <c r="AF327" s="1488">
        <v>120</v>
      </c>
      <c r="AG327" s="1148" t="s">
        <v>9790</v>
      </c>
      <c r="AH327" s="1120"/>
      <c r="AI327" s="1120"/>
      <c r="AJ327" s="1120"/>
      <c r="AK327" s="1120"/>
      <c r="AL327" s="1491"/>
      <c r="AU327" s="141"/>
      <c r="AV327" s="141"/>
      <c r="AW327" s="141"/>
      <c r="AX327" s="141"/>
      <c r="AY327" s="1411" t="s">
        <v>1175</v>
      </c>
      <c r="AZ327" s="1487">
        <v>0.10069444444444445</v>
      </c>
      <c r="BA327" s="1488"/>
      <c r="BB327" s="1488">
        <v>120</v>
      </c>
      <c r="BC327" s="1148" t="s">
        <v>9925</v>
      </c>
      <c r="BD327" s="1120"/>
      <c r="BE327" s="1120"/>
      <c r="BF327" s="1120"/>
      <c r="BG327" s="1120"/>
      <c r="BH327" s="1491"/>
      <c r="BP327" s="6100"/>
      <c r="BQ327" s="1435"/>
      <c r="BR327" s="1435"/>
      <c r="BS327" s="1435"/>
      <c r="BT327" s="1435"/>
      <c r="BU327" s="1435"/>
      <c r="BV327" s="6101" t="s">
        <v>1196</v>
      </c>
      <c r="BX327" s="6100"/>
      <c r="BY327" s="1435"/>
      <c r="BZ327" s="1435"/>
      <c r="CA327" s="1435"/>
      <c r="CB327" s="1435"/>
      <c r="CC327" s="1435"/>
      <c r="CD327" s="6101" t="s">
        <v>9577</v>
      </c>
      <c r="CF327" s="6100"/>
      <c r="CG327" s="1435"/>
      <c r="CH327" s="1435"/>
      <c r="CI327" s="1435"/>
      <c r="CJ327" s="1435"/>
      <c r="CK327" s="1435"/>
      <c r="CL327" s="6101" t="s">
        <v>9578</v>
      </c>
      <c r="CN327" s="5">
        <v>1</v>
      </c>
    </row>
    <row r="328" spans="3:92" ht="15.75">
      <c r="C328" s="141"/>
      <c r="D328" s="141"/>
      <c r="E328" s="141"/>
      <c r="G328" s="1411" t="s">
        <v>1175</v>
      </c>
      <c r="H328" s="1487">
        <v>1.3888888888888888E-2</v>
      </c>
      <c r="I328" s="1488"/>
      <c r="J328" s="1488">
        <v>120</v>
      </c>
      <c r="K328" s="1148" t="s">
        <v>1265</v>
      </c>
      <c r="L328" s="1120"/>
      <c r="M328" s="1120"/>
      <c r="N328" s="1120"/>
      <c r="O328" s="1120"/>
      <c r="P328" s="1491"/>
      <c r="Y328" s="4"/>
      <c r="Z328" s="4"/>
      <c r="AA328" s="4"/>
      <c r="AB328" s="4"/>
      <c r="AC328" s="1411" t="s">
        <v>1175</v>
      </c>
      <c r="AD328" s="1487">
        <v>1.3888888888888888E-2</v>
      </c>
      <c r="AE328" s="1488"/>
      <c r="AF328" s="1488">
        <v>120</v>
      </c>
      <c r="AG328" s="1148" t="s">
        <v>9791</v>
      </c>
      <c r="AH328" s="1120"/>
      <c r="AI328" s="1120"/>
      <c r="AJ328" s="1120"/>
      <c r="AK328" s="1120"/>
      <c r="AL328" s="1491"/>
      <c r="AU328" s="141"/>
      <c r="AV328" s="141"/>
      <c r="AW328" s="141"/>
      <c r="AX328" s="141"/>
      <c r="AY328" s="1411" t="s">
        <v>1175</v>
      </c>
      <c r="AZ328" s="1487">
        <v>1.3888888888888888E-2</v>
      </c>
      <c r="BA328" s="1488"/>
      <c r="BB328" s="1488">
        <v>120</v>
      </c>
      <c r="BC328" s="1148" t="s">
        <v>9926</v>
      </c>
      <c r="BD328" s="1120"/>
      <c r="BE328" s="1120"/>
      <c r="BF328" s="1120"/>
      <c r="BG328" s="1120"/>
      <c r="BH328" s="1491"/>
      <c r="BP328" s="6102" t="s">
        <v>1199</v>
      </c>
      <c r="BQ328" s="6397" t="s">
        <v>1200</v>
      </c>
      <c r="BR328" s="1362"/>
      <c r="BS328" s="6398" t="s">
        <v>1201</v>
      </c>
      <c r="BT328" s="6399" t="s">
        <v>1202</v>
      </c>
      <c r="BU328" s="988"/>
      <c r="BV328" s="989"/>
      <c r="BX328" s="6102" t="s">
        <v>9353</v>
      </c>
      <c r="BY328" s="6397" t="s">
        <v>9354</v>
      </c>
      <c r="BZ328" s="1362"/>
      <c r="CA328" s="6398" t="s">
        <v>9355</v>
      </c>
      <c r="CB328" s="6399" t="s">
        <v>1202</v>
      </c>
      <c r="CC328" s="988"/>
      <c r="CD328" s="989"/>
      <c r="CF328" s="6102" t="s">
        <v>9510</v>
      </c>
      <c r="CG328" s="6397" t="s">
        <v>9511</v>
      </c>
      <c r="CH328" s="1362"/>
      <c r="CI328" s="6398" t="s">
        <v>9512</v>
      </c>
      <c r="CJ328" s="6399" t="s">
        <v>9513</v>
      </c>
      <c r="CK328" s="988"/>
      <c r="CL328" s="989"/>
      <c r="CN328" s="5">
        <v>1</v>
      </c>
    </row>
    <row r="329" spans="3:92" ht="15.75">
      <c r="C329" s="141"/>
      <c r="D329" s="141"/>
      <c r="E329" s="141"/>
      <c r="G329" s="1411" t="s">
        <v>1175</v>
      </c>
      <c r="H329" s="1487">
        <v>2.4305555555555556E-2</v>
      </c>
      <c r="I329" s="1488"/>
      <c r="J329" s="1488"/>
      <c r="K329" s="1148" t="s">
        <v>1267</v>
      </c>
      <c r="L329" s="1120"/>
      <c r="M329" s="1120"/>
      <c r="N329" s="1120"/>
      <c r="O329" s="1120"/>
      <c r="P329" s="1491"/>
      <c r="Y329" s="4"/>
      <c r="Z329" s="4"/>
      <c r="AA329" s="4"/>
      <c r="AB329" s="4"/>
      <c r="AC329" s="1411" t="s">
        <v>1175</v>
      </c>
      <c r="AD329" s="1487">
        <v>2.4305555555555556E-2</v>
      </c>
      <c r="AE329" s="1488"/>
      <c r="AF329" s="1488"/>
      <c r="AG329" s="1148" t="s">
        <v>9792</v>
      </c>
      <c r="AH329" s="1120"/>
      <c r="AI329" s="1120"/>
      <c r="AJ329" s="1120"/>
      <c r="AK329" s="1120"/>
      <c r="AL329" s="1491"/>
      <c r="AU329" s="141"/>
      <c r="AV329" s="141"/>
      <c r="AW329" s="141"/>
      <c r="AX329" s="141"/>
      <c r="AY329" s="1411" t="s">
        <v>1175</v>
      </c>
      <c r="AZ329" s="1487">
        <v>2.4305555555555556E-2</v>
      </c>
      <c r="BA329" s="1488"/>
      <c r="BB329" s="1488"/>
      <c r="BC329" s="1148" t="s">
        <v>9927</v>
      </c>
      <c r="BD329" s="1120"/>
      <c r="BE329" s="1120"/>
      <c r="BF329" s="1120"/>
      <c r="BG329" s="1120"/>
      <c r="BH329" s="1491"/>
      <c r="BP329" s="6106"/>
      <c r="BQ329" s="6400"/>
      <c r="BR329" s="988"/>
      <c r="BS329" s="6401"/>
      <c r="BT329" s="6402"/>
      <c r="BU329" s="1257" t="s">
        <v>1159</v>
      </c>
      <c r="BV329" s="989"/>
      <c r="BX329" s="6106"/>
      <c r="BY329" s="6400"/>
      <c r="BZ329" s="988"/>
      <c r="CA329" s="6401"/>
      <c r="CB329" s="6402"/>
      <c r="CC329" s="1257" t="s">
        <v>9340</v>
      </c>
      <c r="CD329" s="989"/>
      <c r="CF329" s="6538"/>
      <c r="CG329" s="6539"/>
      <c r="CH329" s="988"/>
      <c r="CI329" s="6540"/>
      <c r="CJ329" s="6541"/>
      <c r="CK329" s="1257" t="s">
        <v>9497</v>
      </c>
      <c r="CL329" s="989"/>
      <c r="CN329" s="5">
        <v>1</v>
      </c>
    </row>
    <row r="330" spans="3:92" ht="15.75">
      <c r="C330" s="141"/>
      <c r="D330" s="141"/>
      <c r="E330" s="141"/>
      <c r="G330" s="1411" t="s">
        <v>1175</v>
      </c>
      <c r="H330" s="1487">
        <v>7.2916666666666671E-2</v>
      </c>
      <c r="I330" s="1488"/>
      <c r="J330" s="1539" t="s">
        <v>1268</v>
      </c>
      <c r="K330" s="1148" t="s">
        <v>1269</v>
      </c>
      <c r="L330" s="1120"/>
      <c r="M330" s="1120"/>
      <c r="N330" s="1120"/>
      <c r="O330" s="1120"/>
      <c r="P330" s="1491"/>
      <c r="Y330" s="4"/>
      <c r="Z330" s="4"/>
      <c r="AA330" s="4"/>
      <c r="AB330" s="4"/>
      <c r="AC330" s="1411" t="s">
        <v>1175</v>
      </c>
      <c r="AD330" s="1487">
        <v>7.2916666666666671E-2</v>
      </c>
      <c r="AE330" s="1488"/>
      <c r="AF330" s="1539" t="s">
        <v>1268</v>
      </c>
      <c r="AG330" s="1148" t="s">
        <v>9793</v>
      </c>
      <c r="AH330" s="1120"/>
      <c r="AI330" s="1120"/>
      <c r="AJ330" s="1120"/>
      <c r="AK330" s="1120"/>
      <c r="AL330" s="1491"/>
      <c r="AU330" s="141"/>
      <c r="AV330" s="141"/>
      <c r="AW330" s="141"/>
      <c r="AX330" s="141"/>
      <c r="AY330" s="1411" t="s">
        <v>1175</v>
      </c>
      <c r="AZ330" s="1487">
        <v>7.2916666666666671E-2</v>
      </c>
      <c r="BA330" s="1488"/>
      <c r="BB330" s="1539" t="s">
        <v>1268</v>
      </c>
      <c r="BC330" s="1148" t="s">
        <v>9928</v>
      </c>
      <c r="BD330" s="1120"/>
      <c r="BE330" s="1120"/>
      <c r="BF330" s="1120"/>
      <c r="BG330" s="1120"/>
      <c r="BH330" s="1491"/>
      <c r="BP330" s="6106">
        <v>3</v>
      </c>
      <c r="BQ330" s="6400"/>
      <c r="BR330" s="988"/>
      <c r="BS330" s="6401"/>
      <c r="BT330" s="6402"/>
      <c r="BU330" s="1257" t="s">
        <v>1163</v>
      </c>
      <c r="BV330" s="989"/>
      <c r="BX330" s="6106">
        <v>3</v>
      </c>
      <c r="BY330" s="6400"/>
      <c r="BZ330" s="988"/>
      <c r="CA330" s="6401"/>
      <c r="CB330" s="6402"/>
      <c r="CC330" s="1257" t="s">
        <v>9341</v>
      </c>
      <c r="CD330" s="989"/>
      <c r="CF330" s="6538">
        <v>3</v>
      </c>
      <c r="CG330" s="6539"/>
      <c r="CH330" s="988"/>
      <c r="CI330" s="6540"/>
      <c r="CJ330" s="6541"/>
      <c r="CK330" s="1257" t="s">
        <v>9498</v>
      </c>
      <c r="CL330" s="989"/>
      <c r="CN330" s="5">
        <v>1</v>
      </c>
    </row>
    <row r="331" spans="3:92" ht="15.75">
      <c r="C331" s="141"/>
      <c r="D331" s="141"/>
      <c r="E331" s="141"/>
      <c r="G331" s="1411" t="s">
        <v>1175</v>
      </c>
      <c r="H331" s="1487"/>
      <c r="I331" s="1492" t="s">
        <v>1271</v>
      </c>
      <c r="J331" s="1389">
        <v>65</v>
      </c>
      <c r="K331" s="1493" t="s">
        <v>1272</v>
      </c>
      <c r="L331" s="1120"/>
      <c r="M331" s="1120"/>
      <c r="N331" s="1120"/>
      <c r="O331" s="1120"/>
      <c r="P331" s="1491"/>
      <c r="Y331" s="4"/>
      <c r="Z331" s="4"/>
      <c r="AA331" s="4"/>
      <c r="AB331" s="4"/>
      <c r="AC331" s="1411" t="s">
        <v>1175</v>
      </c>
      <c r="AD331" s="1487"/>
      <c r="AE331" s="1492" t="s">
        <v>9784</v>
      </c>
      <c r="AF331" s="1389">
        <v>65</v>
      </c>
      <c r="AG331" s="1493" t="s">
        <v>9794</v>
      </c>
      <c r="AH331" s="1120"/>
      <c r="AI331" s="1120"/>
      <c r="AJ331" s="1120"/>
      <c r="AK331" s="1120"/>
      <c r="AL331" s="1491"/>
      <c r="AU331" s="141"/>
      <c r="AV331" s="141"/>
      <c r="AW331" s="141"/>
      <c r="AX331" s="141"/>
      <c r="AY331" s="1411" t="s">
        <v>1175</v>
      </c>
      <c r="AZ331" s="1487"/>
      <c r="BA331" s="1492" t="s">
        <v>1271</v>
      </c>
      <c r="BB331" s="1389">
        <v>65</v>
      </c>
      <c r="BC331" s="1493" t="s">
        <v>9929</v>
      </c>
      <c r="BD331" s="1120"/>
      <c r="BE331" s="1120"/>
      <c r="BF331" s="1120"/>
      <c r="BG331" s="1120"/>
      <c r="BH331" s="1491"/>
      <c r="BP331" s="6110" t="str">
        <f>SUM(BP329:BP330) &amp; " / " &amp; (COUNTA(BP329:BP330) * 3)</f>
        <v>3 / 3</v>
      </c>
      <c r="BQ331" s="6111" t="str">
        <f>SUM(BQ329:BQ330) &amp; " / " &amp; (COUNTA(BQ329:BQ330) * 3)</f>
        <v>0 / 0</v>
      </c>
      <c r="BR331" s="988"/>
      <c r="BS331" s="6112" t="str">
        <f>SUM(BS329:BS330) &amp; " / " &amp; (COUNTA(BS329:BS330) * 3)</f>
        <v>0 / 0</v>
      </c>
      <c r="BT331" s="6111" t="str">
        <f>SUM(BT329:BT330) &amp; " / " &amp; (COUNTA(BT329:BT330) * 3)</f>
        <v>0 / 0</v>
      </c>
      <c r="BU331" s="988" t="s">
        <v>1177</v>
      </c>
      <c r="BV331" s="989"/>
      <c r="BX331" s="6110" t="str">
        <f>SUM(BX329:BX330) &amp; " / " &amp; (COUNTA(BX329:BX330) * 3)</f>
        <v>3 / 3</v>
      </c>
      <c r="BY331" s="6111" t="str">
        <f>SUM(BY329:BY330) &amp; " / " &amp; (COUNTA(BY329:BY330) * 3)</f>
        <v>0 / 0</v>
      </c>
      <c r="BZ331" s="988"/>
      <c r="CA331" s="6112" t="str">
        <f>SUM(CA329:CA330) &amp; " / " &amp; (COUNTA(CA329:CA330) * 3)</f>
        <v>0 / 0</v>
      </c>
      <c r="CB331" s="6111" t="str">
        <f>SUM(CB329:CB330) &amp; " / " &amp; (COUNTA(CB329:CB330) * 3)</f>
        <v>0 / 0</v>
      </c>
      <c r="CC331" s="988" t="s">
        <v>9343</v>
      </c>
      <c r="CD331" s="989"/>
      <c r="CF331" s="6110" t="str">
        <f>SUM(CF329:CF330) &amp; " / " &amp; (COUNTA(CF329:CF330) * 3)</f>
        <v>3 / 3</v>
      </c>
      <c r="CG331" s="6111" t="str">
        <f>SUM(CG329:CG330) &amp; " / " &amp; (COUNTA(CG329:CG330) * 3)</f>
        <v>0 / 0</v>
      </c>
      <c r="CH331" s="988"/>
      <c r="CI331" s="6112" t="str">
        <f>SUM(CI329:CI330) &amp; " / " &amp; (COUNTA(CI329:CI330) * 3)</f>
        <v>0 / 0</v>
      </c>
      <c r="CJ331" s="6111" t="str">
        <f>SUM(CJ329:CJ330) &amp; " / " &amp; (COUNTA(CJ329:CJ330) * 3)</f>
        <v>0 / 0</v>
      </c>
      <c r="CK331" s="988" t="s">
        <v>9500</v>
      </c>
      <c r="CL331" s="989"/>
      <c r="CN331" s="5">
        <v>1</v>
      </c>
    </row>
    <row r="332" spans="3:92" ht="15.75">
      <c r="C332" s="141"/>
      <c r="D332" s="141"/>
      <c r="E332" s="141"/>
      <c r="G332" s="1411" t="s">
        <v>1175</v>
      </c>
      <c r="H332" s="1487"/>
      <c r="I332" s="1497" t="s">
        <v>1271</v>
      </c>
      <c r="J332" s="1386">
        <v>3</v>
      </c>
      <c r="K332" s="1498" t="s">
        <v>1273</v>
      </c>
      <c r="L332" s="1120"/>
      <c r="M332" s="1120"/>
      <c r="N332" s="1120"/>
      <c r="O332" s="1120"/>
      <c r="P332" s="1491"/>
      <c r="Y332" s="4"/>
      <c r="Z332" s="4"/>
      <c r="AA332" s="4"/>
      <c r="AB332" s="4"/>
      <c r="AC332" s="1411" t="s">
        <v>1175</v>
      </c>
      <c r="AD332" s="1487"/>
      <c r="AE332" s="1497" t="s">
        <v>9784</v>
      </c>
      <c r="AF332" s="1386">
        <v>3</v>
      </c>
      <c r="AG332" s="1498" t="s">
        <v>9795</v>
      </c>
      <c r="AH332" s="1120"/>
      <c r="AI332" s="1120"/>
      <c r="AJ332" s="1120"/>
      <c r="AK332" s="1120"/>
      <c r="AL332" s="1491"/>
      <c r="AU332" s="141"/>
      <c r="AV332" s="141"/>
      <c r="AW332" s="141"/>
      <c r="AX332" s="141"/>
      <c r="AY332" s="1411" t="s">
        <v>1175</v>
      </c>
      <c r="AZ332" s="1487"/>
      <c r="BA332" s="1497" t="s">
        <v>1271</v>
      </c>
      <c r="BB332" s="1386">
        <v>3</v>
      </c>
      <c r="BC332" s="1498" t="s">
        <v>9930</v>
      </c>
      <c r="BD332" s="1120"/>
      <c r="BE332" s="1120"/>
      <c r="BF332" s="1120"/>
      <c r="BG332" s="1120"/>
      <c r="BH332" s="1491"/>
      <c r="BP332" s="6113" t="str">
        <f>SUM(BP329:BP330) &amp;"/ "&amp;BP333</f>
        <v>3/ 15</v>
      </c>
      <c r="BQ332" s="6114" t="str">
        <f>SUM(BQ329:BQ330) &amp;"/ "&amp;BQ333</f>
        <v>0/ 15</v>
      </c>
      <c r="BR332" s="988"/>
      <c r="BS332" s="6115" t="str">
        <f>SUM(BS329:BS330) &amp;"/ "&amp;BS333</f>
        <v>0/ 15</v>
      </c>
      <c r="BT332" s="6114" t="str">
        <f>SUM(BT329:BT330) &amp;"/ "&amp;BT333</f>
        <v>0/ 15</v>
      </c>
      <c r="BU332" s="1414" t="s">
        <v>1178</v>
      </c>
      <c r="BV332" s="989"/>
      <c r="BX332" s="6113" t="str">
        <f>SUM(BX329:BX330) &amp;"/ "&amp;BX333</f>
        <v>3/ 15</v>
      </c>
      <c r="BY332" s="6114" t="str">
        <f>SUM(BY329:BY330) &amp;"/ "&amp;BY333</f>
        <v>0/ 15</v>
      </c>
      <c r="BZ332" s="988"/>
      <c r="CA332" s="6115" t="str">
        <f>SUM(CA329:CA330) &amp;"/ "&amp;CA333</f>
        <v>0/ 15</v>
      </c>
      <c r="CB332" s="6114" t="str">
        <f>SUM(CB329:CB330) &amp;"/ "&amp;CB333</f>
        <v>0/ 15</v>
      </c>
      <c r="CC332" s="1414" t="s">
        <v>9344</v>
      </c>
      <c r="CD332" s="989"/>
      <c r="CF332" s="6113" t="str">
        <f>SUM(CF329:CF330) &amp;"/ "&amp;CF333</f>
        <v>3/ 15</v>
      </c>
      <c r="CG332" s="6114" t="str">
        <f>SUM(CG329:CG330) &amp;"/ "&amp;CG333</f>
        <v>0/ 15</v>
      </c>
      <c r="CH332" s="988"/>
      <c r="CI332" s="6115" t="str">
        <f>SUM(CI329:CI330) &amp;"/ "&amp;CI333</f>
        <v>0/ 15</v>
      </c>
      <c r="CJ332" s="6114" t="str">
        <f>SUM(CJ329:CJ330) &amp;"/ "&amp;CJ333</f>
        <v>0/ 15</v>
      </c>
      <c r="CK332" s="1414" t="s">
        <v>9501</v>
      </c>
      <c r="CL332" s="989"/>
      <c r="CN332" s="5">
        <v>1</v>
      </c>
    </row>
    <row r="333" spans="3:92" ht="15.75">
      <c r="C333" s="141"/>
      <c r="D333" s="141"/>
      <c r="E333" s="141"/>
      <c r="G333" s="1540" t="s">
        <v>37</v>
      </c>
      <c r="H333" s="1442">
        <f>SUM(H321:H332)</f>
        <v>0.34722222222222227</v>
      </c>
      <c r="I333"/>
      <c r="J333"/>
      <c r="K333"/>
      <c r="L333" s="1120"/>
      <c r="M333" s="1120"/>
      <c r="N333" s="1120"/>
      <c r="O333" s="1120"/>
      <c r="P333" s="1491"/>
      <c r="Y333" s="4"/>
      <c r="Z333" s="4"/>
      <c r="AA333" s="4"/>
      <c r="AB333" s="4"/>
      <c r="AC333" s="1540" t="s">
        <v>37</v>
      </c>
      <c r="AD333" s="1442">
        <f>SUM(AD321:AD332)</f>
        <v>0.34722222222222227</v>
      </c>
      <c r="AH333" s="1120"/>
      <c r="AI333" s="1120"/>
      <c r="AJ333" s="1120"/>
      <c r="AK333" s="1120"/>
      <c r="AL333" s="1491"/>
      <c r="AU333" s="141"/>
      <c r="AV333" s="141"/>
      <c r="AW333" s="141"/>
      <c r="AX333" s="141"/>
      <c r="AY333" s="1540" t="s">
        <v>37</v>
      </c>
      <c r="AZ333" s="1442">
        <f>SUM(AZ321:AZ332)</f>
        <v>0.34722222222222227</v>
      </c>
      <c r="BD333" s="1120"/>
      <c r="BE333" s="1120"/>
      <c r="BF333" s="1120"/>
      <c r="BG333" s="1120"/>
      <c r="BH333" s="1491"/>
      <c r="BP333" s="6116">
        <v>15</v>
      </c>
      <c r="BQ333" s="6117">
        <v>15</v>
      </c>
      <c r="BR333" s="988"/>
      <c r="BS333" s="6118">
        <v>15</v>
      </c>
      <c r="BT333" s="6117">
        <v>15</v>
      </c>
      <c r="BU333" s="1417" t="s">
        <v>1180</v>
      </c>
      <c r="BV333" s="989"/>
      <c r="BX333" s="6116">
        <v>15</v>
      </c>
      <c r="BY333" s="6117">
        <v>15</v>
      </c>
      <c r="BZ333" s="988"/>
      <c r="CA333" s="6118">
        <v>15</v>
      </c>
      <c r="CB333" s="6117">
        <v>15</v>
      </c>
      <c r="CC333" s="1417" t="s">
        <v>9345</v>
      </c>
      <c r="CD333" s="989"/>
      <c r="CF333" s="6116">
        <v>15</v>
      </c>
      <c r="CG333" s="6117">
        <v>15</v>
      </c>
      <c r="CH333" s="988"/>
      <c r="CI333" s="6118">
        <v>15</v>
      </c>
      <c r="CJ333" s="6117">
        <v>15</v>
      </c>
      <c r="CK333" s="1417" t="s">
        <v>9502</v>
      </c>
      <c r="CL333" s="989"/>
      <c r="CN333" s="5">
        <v>1</v>
      </c>
    </row>
    <row r="334" spans="3:92" ht="15.75">
      <c r="C334" s="141"/>
      <c r="D334" s="141"/>
      <c r="E334" s="141"/>
      <c r="G334" s="6131"/>
      <c r="H334" s="997"/>
      <c r="I334" s="997"/>
      <c r="J334" s="997"/>
      <c r="K334" s="997"/>
      <c r="L334" s="997"/>
      <c r="M334" s="6327"/>
      <c r="N334" s="6327"/>
      <c r="O334" s="6327"/>
      <c r="P334" s="6132" t="s">
        <v>1112</v>
      </c>
      <c r="Y334" s="4"/>
      <c r="Z334" s="4"/>
      <c r="AA334" s="4"/>
      <c r="AB334" s="4"/>
      <c r="AC334" s="6131"/>
      <c r="AD334" s="997"/>
      <c r="AE334" s="997"/>
      <c r="AF334" s="997"/>
      <c r="AG334" s="997"/>
      <c r="AH334" s="997"/>
      <c r="AI334" s="5409"/>
      <c r="AJ334" s="5409"/>
      <c r="AK334" s="5409"/>
      <c r="AL334" s="5291" t="s">
        <v>9718</v>
      </c>
      <c r="AU334" s="141"/>
      <c r="AV334" s="141"/>
      <c r="AW334" s="141"/>
      <c r="AX334" s="141"/>
      <c r="AY334" s="6131"/>
      <c r="AZ334" s="997"/>
      <c r="BA334" s="997"/>
      <c r="BB334" s="997"/>
      <c r="BC334" s="997"/>
      <c r="BD334" s="997"/>
      <c r="BE334" s="6327"/>
      <c r="BF334" s="6327"/>
      <c r="BG334" s="6327"/>
      <c r="BH334" s="6132" t="s">
        <v>9859</v>
      </c>
      <c r="BP334" s="6119" t="s">
        <v>1203</v>
      </c>
      <c r="BS334" s="1464"/>
      <c r="BT334" s="1464"/>
      <c r="BU334" s="1464"/>
      <c r="BV334" s="6120"/>
      <c r="BX334" s="6119" t="s">
        <v>9356</v>
      </c>
      <c r="CA334" s="1464"/>
      <c r="CB334" s="1464"/>
      <c r="CC334" s="1464"/>
      <c r="CD334" s="6120"/>
      <c r="CF334" s="6119" t="s">
        <v>9514</v>
      </c>
      <c r="CI334" s="1464"/>
      <c r="CJ334" s="1464"/>
      <c r="CK334" s="1464"/>
      <c r="CL334" s="6120"/>
      <c r="CN334" s="5">
        <v>1</v>
      </c>
    </row>
    <row r="335" spans="3:92" ht="15.75">
      <c r="C335" s="141"/>
      <c r="D335" s="141"/>
      <c r="E335" s="141"/>
      <c r="G335" s="6146"/>
      <c r="H335" s="1002"/>
      <c r="I335" s="1002" t="s">
        <v>873</v>
      </c>
      <c r="J335" s="1003"/>
      <c r="K335" s="1329"/>
      <c r="L335" s="1329"/>
      <c r="M335" s="1329"/>
      <c r="N335" s="1329"/>
      <c r="O335" s="1329"/>
      <c r="P335" s="1330"/>
      <c r="Y335" s="4"/>
      <c r="Z335" s="4"/>
      <c r="AA335" s="4"/>
      <c r="AB335" s="4"/>
      <c r="AC335" s="6146"/>
      <c r="AD335" s="1002"/>
      <c r="AE335" s="1002" t="s">
        <v>8386</v>
      </c>
      <c r="AF335" s="1003"/>
      <c r="AG335" s="1329"/>
      <c r="AH335" s="1329"/>
      <c r="AI335" s="1329"/>
      <c r="AJ335" s="1329"/>
      <c r="AK335" s="1329"/>
      <c r="AL335" s="1330"/>
      <c r="AU335" s="141"/>
      <c r="AV335" s="141"/>
      <c r="AW335" s="141"/>
      <c r="AX335" s="141"/>
      <c r="AY335" s="6146"/>
      <c r="AZ335" s="1002"/>
      <c r="BA335" s="1002" t="s">
        <v>8426</v>
      </c>
      <c r="BB335" s="1003"/>
      <c r="BC335" s="1329"/>
      <c r="BD335" s="1329"/>
      <c r="BE335" s="1329"/>
      <c r="BF335" s="1329"/>
      <c r="BG335" s="1329"/>
      <c r="BH335" s="1330"/>
      <c r="BP335" s="6121" t="s">
        <v>1204</v>
      </c>
      <c r="BS335" s="1464"/>
      <c r="BT335" s="1464"/>
      <c r="BU335" s="1464"/>
      <c r="BV335" s="6120"/>
      <c r="BX335" s="6121" t="s">
        <v>9357</v>
      </c>
      <c r="CA335" s="1464"/>
      <c r="CB335" s="1464"/>
      <c r="CC335" s="1464"/>
      <c r="CD335" s="6120"/>
      <c r="CF335" s="6121" t="s">
        <v>9515</v>
      </c>
      <c r="CI335" s="1464"/>
      <c r="CJ335" s="1464"/>
      <c r="CK335" s="1464"/>
      <c r="CL335" s="6120"/>
      <c r="CN335" s="5">
        <v>1</v>
      </c>
    </row>
    <row r="336" spans="3:92" ht="16.5" thickBot="1">
      <c r="C336" s="141"/>
      <c r="D336" s="141"/>
      <c r="E336" s="141"/>
      <c r="G336" s="1332"/>
      <c r="H336" s="1006"/>
      <c r="I336" s="1007"/>
      <c r="J336" s="1008"/>
      <c r="K336" s="1007"/>
      <c r="L336" s="1007"/>
      <c r="M336" s="1007"/>
      <c r="N336" s="1007"/>
      <c r="O336" s="1007"/>
      <c r="P336" s="1333"/>
      <c r="Y336" s="4"/>
      <c r="Z336" s="4"/>
      <c r="AA336" s="4"/>
      <c r="AB336" s="4"/>
      <c r="AC336" s="1332"/>
      <c r="AD336" s="1006"/>
      <c r="AE336" s="1007"/>
      <c r="AF336" s="1008"/>
      <c r="AG336" s="1007"/>
      <c r="AH336" s="1007"/>
      <c r="AI336" s="1007"/>
      <c r="AJ336" s="1007"/>
      <c r="AK336" s="1007"/>
      <c r="AL336" s="1333"/>
      <c r="AU336" s="141"/>
      <c r="AV336" s="141"/>
      <c r="AW336" s="141"/>
      <c r="AX336" s="141"/>
      <c r="AY336" s="1332"/>
      <c r="AZ336" s="1006"/>
      <c r="BA336" s="1007"/>
      <c r="BB336" s="1008"/>
      <c r="BC336" s="1007"/>
      <c r="BD336" s="1007"/>
      <c r="BE336" s="1007"/>
      <c r="BF336" s="1007"/>
      <c r="BG336" s="1007"/>
      <c r="BH336" s="1333"/>
      <c r="BP336" s="6121" t="s">
        <v>1205</v>
      </c>
      <c r="BS336" s="1464"/>
      <c r="BT336" s="1464"/>
      <c r="BU336" s="1464"/>
      <c r="BV336" s="6120"/>
      <c r="BX336" s="6121" t="s">
        <v>9358</v>
      </c>
      <c r="CA336" s="1464"/>
      <c r="CB336" s="1464"/>
      <c r="CC336" s="1464"/>
      <c r="CD336" s="6120"/>
      <c r="CF336" s="6121" t="s">
        <v>9516</v>
      </c>
      <c r="CI336" s="1464"/>
      <c r="CJ336" s="1464"/>
      <c r="CK336" s="1464"/>
      <c r="CL336" s="6120"/>
      <c r="CN336" s="5">
        <v>1</v>
      </c>
    </row>
    <row r="337" spans="3:92" ht="16.5" thickBot="1">
      <c r="C337" s="141"/>
      <c r="D337" s="141"/>
      <c r="E337" s="141"/>
      <c r="G337" s="141"/>
      <c r="H337" s="141"/>
      <c r="I337" s="141"/>
      <c r="J337" s="141"/>
      <c r="K337" s="141"/>
      <c r="L337" s="141"/>
      <c r="M337" s="141"/>
      <c r="N337" s="141"/>
      <c r="O337" s="141"/>
      <c r="P337" s="141"/>
      <c r="Y337" s="4"/>
      <c r="Z337" s="4"/>
      <c r="AA337" s="4"/>
      <c r="AB337" s="4"/>
      <c r="AC337" s="141"/>
      <c r="AD337" s="141"/>
      <c r="AE337" s="141"/>
      <c r="AF337" s="141"/>
      <c r="AG337" s="141"/>
      <c r="AH337" s="141"/>
      <c r="AI337" s="141"/>
      <c r="AJ337" s="141"/>
      <c r="AK337" s="141"/>
      <c r="AL337" s="141"/>
      <c r="AU337" s="141"/>
      <c r="AV337" s="141"/>
      <c r="AW337" s="141"/>
      <c r="AX337" s="141"/>
      <c r="AY337" s="141"/>
      <c r="AZ337" s="141"/>
      <c r="BA337" s="141"/>
      <c r="BB337" s="141"/>
      <c r="BC337" s="141"/>
      <c r="BD337" s="141"/>
      <c r="BE337" s="141"/>
      <c r="BF337" s="141"/>
      <c r="BG337" s="141"/>
      <c r="BH337" s="141"/>
      <c r="BP337" s="1005" t="s">
        <v>86</v>
      </c>
      <c r="BQ337" s="1006"/>
      <c r="BR337" s="1007"/>
      <c r="BS337" s="1008"/>
      <c r="BT337" s="1007"/>
      <c r="BU337" s="1007"/>
      <c r="BV337" s="1009"/>
      <c r="BX337" s="1005" t="s">
        <v>86</v>
      </c>
      <c r="BY337" s="1006"/>
      <c r="BZ337" s="1007"/>
      <c r="CA337" s="1008"/>
      <c r="CB337" s="1007"/>
      <c r="CC337" s="1007"/>
      <c r="CD337" s="1009"/>
      <c r="CF337" s="1005" t="s">
        <v>86</v>
      </c>
      <c r="CG337" s="1006"/>
      <c r="CH337" s="1007"/>
      <c r="CI337" s="1008"/>
      <c r="CJ337" s="1007"/>
      <c r="CK337" s="1007"/>
      <c r="CL337" s="1009"/>
      <c r="CN337" s="5">
        <v>1</v>
      </c>
    </row>
    <row r="338" spans="3:92">
      <c r="C338" s="141"/>
      <c r="D338" s="141"/>
      <c r="E338" s="141"/>
      <c r="G338" s="141"/>
      <c r="H338" s="141"/>
      <c r="I338" s="141"/>
      <c r="J338" s="141"/>
      <c r="K338" s="141"/>
      <c r="L338" s="141"/>
      <c r="M338" s="141"/>
      <c r="N338" s="141"/>
      <c r="O338" s="141"/>
      <c r="P338" s="141"/>
      <c r="Y338" s="4"/>
      <c r="Z338" s="4"/>
      <c r="AA338" s="4"/>
      <c r="AB338" s="4"/>
      <c r="AC338" s="141"/>
      <c r="AD338" s="141"/>
      <c r="AE338" s="141"/>
      <c r="AF338" s="141"/>
      <c r="AG338" s="141"/>
      <c r="AH338" s="141"/>
      <c r="AI338" s="141"/>
      <c r="AJ338" s="141"/>
      <c r="AK338" s="141"/>
      <c r="AL338" s="141"/>
      <c r="AU338" s="141"/>
      <c r="AV338" s="141"/>
      <c r="AW338" s="141"/>
      <c r="AX338" s="141"/>
      <c r="AY338" s="141"/>
      <c r="AZ338" s="141"/>
      <c r="BA338" s="141"/>
      <c r="BB338" s="141"/>
      <c r="BC338" s="141"/>
      <c r="BD338" s="141"/>
      <c r="BE338" s="141"/>
      <c r="BF338" s="141"/>
      <c r="BG338" s="141"/>
      <c r="BH338" s="141"/>
      <c r="BP338" s="343"/>
      <c r="BV338" s="762"/>
      <c r="BX338" s="343"/>
      <c r="CD338" s="762"/>
      <c r="CF338" s="343"/>
      <c r="CL338" s="762"/>
      <c r="CN338" s="5">
        <v>1</v>
      </c>
    </row>
    <row r="339" spans="3:92" ht="18.75">
      <c r="C339" s="141"/>
      <c r="D339" s="141"/>
      <c r="E339" s="141"/>
      <c r="G339" s="1354" t="s">
        <v>252</v>
      </c>
      <c r="H339" s="1355"/>
      <c r="I339" s="1355"/>
      <c r="J339" s="1355"/>
      <c r="K339" s="1355"/>
      <c r="L339" s="1356"/>
      <c r="M339" s="1356"/>
      <c r="N339" s="1356"/>
      <c r="O339" s="1356"/>
      <c r="P339" s="1357" t="s">
        <v>1229</v>
      </c>
      <c r="Y339" s="4"/>
      <c r="Z339" s="4"/>
      <c r="AA339" s="4"/>
      <c r="AB339" s="4"/>
      <c r="AC339" s="1354" t="s">
        <v>252</v>
      </c>
      <c r="AD339" s="1355"/>
      <c r="AE339" s="1355"/>
      <c r="AF339" s="1355"/>
      <c r="AG339" s="1355"/>
      <c r="AH339" s="1356"/>
      <c r="AI339" s="1356"/>
      <c r="AJ339" s="1356"/>
      <c r="AK339" s="1356"/>
      <c r="AL339" s="1357" t="s">
        <v>9984</v>
      </c>
      <c r="AU339" s="141"/>
      <c r="AV339" s="141"/>
      <c r="AW339" s="141"/>
      <c r="AX339" s="141"/>
      <c r="AY339" s="1354" t="s">
        <v>9490</v>
      </c>
      <c r="AZ339" s="1355"/>
      <c r="BA339" s="1355"/>
      <c r="BB339" s="1355"/>
      <c r="BC339" s="1355"/>
      <c r="BD339" s="1356"/>
      <c r="BE339" s="1356"/>
      <c r="BF339" s="1356"/>
      <c r="BG339" s="1356"/>
      <c r="BH339" s="1357" t="s">
        <v>9986</v>
      </c>
      <c r="BP339" s="6122" t="s">
        <v>8641</v>
      </c>
      <c r="BV339" s="762"/>
      <c r="BX339" s="6122" t="s">
        <v>8641</v>
      </c>
      <c r="CD339" s="762"/>
      <c r="CF339" s="6122" t="s">
        <v>8641</v>
      </c>
      <c r="CL339" s="762"/>
      <c r="CN339" s="5">
        <v>1</v>
      </c>
    </row>
    <row r="340" spans="3:92" ht="15.75">
      <c r="C340" s="141"/>
      <c r="D340" s="141"/>
      <c r="E340" s="141"/>
      <c r="G340" s="5271"/>
      <c r="H340" s="612" t="s">
        <v>1231</v>
      </c>
      <c r="I340" s="147"/>
      <c r="J340" s="147"/>
      <c r="K340" s="102"/>
      <c r="L340" s="102"/>
      <c r="M340" s="4692" t="s">
        <v>1232</v>
      </c>
      <c r="N340" s="4692"/>
      <c r="O340" s="4692"/>
      <c r="P340" s="1494"/>
      <c r="Y340" s="4"/>
      <c r="Z340" s="4"/>
      <c r="AA340" s="4"/>
      <c r="AB340" s="4"/>
      <c r="AC340" s="5271"/>
      <c r="AD340" s="612" t="s">
        <v>9796</v>
      </c>
      <c r="AE340" s="147"/>
      <c r="AF340" s="147"/>
      <c r="AG340" s="102"/>
      <c r="AH340" s="102"/>
      <c r="AI340" s="4692" t="s">
        <v>9805</v>
      </c>
      <c r="AJ340" s="4692"/>
      <c r="AK340" s="4692"/>
      <c r="AL340" s="1494"/>
      <c r="AU340" s="141"/>
      <c r="AV340" s="141"/>
      <c r="AW340" s="141"/>
      <c r="AX340" s="141"/>
      <c r="AY340" s="5271"/>
      <c r="AZ340" s="612" t="s">
        <v>9931</v>
      </c>
      <c r="BA340" s="147"/>
      <c r="BB340" s="147"/>
      <c r="BC340" s="102"/>
      <c r="BD340" s="102"/>
      <c r="BE340" s="4692" t="s">
        <v>9942</v>
      </c>
      <c r="BF340" s="4692"/>
      <c r="BG340" s="4692"/>
      <c r="BH340" s="1494"/>
      <c r="BP340" s="1283">
        <v>19</v>
      </c>
      <c r="BQ340" s="1284">
        <v>18</v>
      </c>
      <c r="BR340" s="1284">
        <v>25</v>
      </c>
      <c r="BS340" s="1284">
        <v>16</v>
      </c>
      <c r="BT340" s="1284">
        <v>16</v>
      </c>
      <c r="BU340" s="1284">
        <v>31</v>
      </c>
      <c r="BV340" s="1285">
        <v>36</v>
      </c>
      <c r="BX340" s="1283">
        <v>19</v>
      </c>
      <c r="BY340" s="1284">
        <v>18</v>
      </c>
      <c r="BZ340" s="1284">
        <v>25</v>
      </c>
      <c r="CA340" s="1284">
        <v>16</v>
      </c>
      <c r="CB340" s="1284">
        <v>16</v>
      </c>
      <c r="CC340" s="1284">
        <v>31</v>
      </c>
      <c r="CD340" s="1285">
        <v>36</v>
      </c>
      <c r="CF340" s="1283">
        <v>19</v>
      </c>
      <c r="CG340" s="1284">
        <v>18</v>
      </c>
      <c r="CH340" s="1284">
        <v>25</v>
      </c>
      <c r="CI340" s="1284">
        <v>16</v>
      </c>
      <c r="CJ340" s="1284">
        <v>16</v>
      </c>
      <c r="CK340" s="1284">
        <v>31</v>
      </c>
      <c r="CL340" s="1285">
        <v>36</v>
      </c>
      <c r="CN340" s="5">
        <v>1</v>
      </c>
    </row>
    <row r="341" spans="3:92" ht="15.75" thickBot="1">
      <c r="C341" s="141"/>
      <c r="D341" s="141"/>
      <c r="E341" s="141"/>
      <c r="G341" s="6162"/>
      <c r="H341" s="1500">
        <v>16</v>
      </c>
      <c r="I341" s="141"/>
      <c r="J341" s="1501" t="s">
        <v>1234</v>
      </c>
      <c r="K341" t="s">
        <v>1235</v>
      </c>
      <c r="L341" s="147"/>
      <c r="M341" s="6263" t="s">
        <v>1236</v>
      </c>
      <c r="N341" s="6263"/>
      <c r="O341" s="6263"/>
      <c r="P341" s="1326"/>
      <c r="Y341" s="4"/>
      <c r="Z341" s="4"/>
      <c r="AA341" s="4"/>
      <c r="AB341" s="4"/>
      <c r="AC341" s="6162"/>
      <c r="AD341" s="1500">
        <v>16</v>
      </c>
      <c r="AE341" s="141"/>
      <c r="AF341" s="1501" t="s">
        <v>3226</v>
      </c>
      <c r="AG341" t="s">
        <v>9799</v>
      </c>
      <c r="AH341" s="147"/>
      <c r="AI341" s="6263" t="s">
        <v>9806</v>
      </c>
      <c r="AJ341" s="6263"/>
      <c r="AK341" s="6263"/>
      <c r="AL341" s="1326"/>
      <c r="AU341" s="141"/>
      <c r="AV341" s="141"/>
      <c r="AW341" s="141"/>
      <c r="AX341" s="141"/>
      <c r="AY341" s="6162"/>
      <c r="AZ341" s="1500">
        <v>16</v>
      </c>
      <c r="BA341" s="141"/>
      <c r="BB341" s="1501" t="s">
        <v>9934</v>
      </c>
      <c r="BC341" t="s">
        <v>9935</v>
      </c>
      <c r="BD341" s="147"/>
      <c r="BE341" s="6263" t="s">
        <v>9943</v>
      </c>
      <c r="BF341" s="6263"/>
      <c r="BG341" s="6263"/>
      <c r="BH341" s="1326"/>
      <c r="BP341" s="1286">
        <f t="shared" ref="BP341:BV341" ca="1" si="40">CELL("largeur",BP341)</f>
        <v>19</v>
      </c>
      <c r="BQ341" s="441">
        <f t="shared" ca="1" si="40"/>
        <v>18</v>
      </c>
      <c r="BR341" s="441">
        <f t="shared" ca="1" si="40"/>
        <v>25</v>
      </c>
      <c r="BS341" s="441">
        <f t="shared" ca="1" si="40"/>
        <v>18</v>
      </c>
      <c r="BT341" s="441">
        <f t="shared" ca="1" si="40"/>
        <v>16</v>
      </c>
      <c r="BU341" s="441">
        <f t="shared" ca="1" si="40"/>
        <v>31</v>
      </c>
      <c r="BV341" s="1287">
        <f t="shared" ca="1" si="40"/>
        <v>36</v>
      </c>
      <c r="BX341" s="1286">
        <f t="shared" ref="BX341:CD341" ca="1" si="41">CELL("largeur",BX341)</f>
        <v>19</v>
      </c>
      <c r="BY341" s="441">
        <f t="shared" ca="1" si="41"/>
        <v>18</v>
      </c>
      <c r="BZ341" s="441">
        <f t="shared" ca="1" si="41"/>
        <v>25</v>
      </c>
      <c r="CA341" s="441">
        <f t="shared" ca="1" si="41"/>
        <v>16</v>
      </c>
      <c r="CB341" s="441">
        <f t="shared" ca="1" si="41"/>
        <v>16</v>
      </c>
      <c r="CC341" s="441">
        <f t="shared" ca="1" si="41"/>
        <v>31</v>
      </c>
      <c r="CD341" s="1287">
        <f t="shared" ca="1" si="41"/>
        <v>36</v>
      </c>
      <c r="CF341" s="1286">
        <f t="shared" ref="CF341:CL341" ca="1" si="42">CELL("largeur",CF341)</f>
        <v>19</v>
      </c>
      <c r="CG341" s="441">
        <f t="shared" ca="1" si="42"/>
        <v>18</v>
      </c>
      <c r="CH341" s="441">
        <f t="shared" ca="1" si="42"/>
        <v>25</v>
      </c>
      <c r="CI341" s="441">
        <f t="shared" ca="1" si="42"/>
        <v>20</v>
      </c>
      <c r="CJ341" s="441">
        <f t="shared" ca="1" si="42"/>
        <v>16</v>
      </c>
      <c r="CK341" s="441">
        <f t="shared" ca="1" si="42"/>
        <v>31</v>
      </c>
      <c r="CL341" s="1287">
        <f t="shared" ca="1" si="42"/>
        <v>36</v>
      </c>
      <c r="CN341" s="5">
        <v>1</v>
      </c>
    </row>
    <row r="342" spans="3:92" ht="15.75">
      <c r="C342" s="141"/>
      <c r="D342" s="141"/>
      <c r="E342" s="141"/>
      <c r="G342" s="6163"/>
      <c r="H342" s="1506" t="s">
        <v>1237</v>
      </c>
      <c r="I342" s="1506"/>
      <c r="J342" s="1507">
        <v>32</v>
      </c>
      <c r="K342" s="1508" t="str">
        <f>J341</f>
        <v xml:space="preserve">portions </v>
      </c>
      <c r="L342" s="988"/>
      <c r="M342" s="6263" t="s">
        <v>1238</v>
      </c>
      <c r="N342" s="6263"/>
      <c r="O342" s="6263"/>
      <c r="P342" s="1326"/>
      <c r="Y342" s="4"/>
      <c r="Z342" s="4"/>
      <c r="AA342" s="4"/>
      <c r="AB342" s="4"/>
      <c r="AC342" s="6163"/>
      <c r="AD342" s="1506" t="s">
        <v>9797</v>
      </c>
      <c r="AE342" s="1506"/>
      <c r="AF342" s="1507">
        <v>32</v>
      </c>
      <c r="AG342" s="1508" t="str">
        <f>AF341</f>
        <v>portions</v>
      </c>
      <c r="AH342" s="988"/>
      <c r="AI342" s="6263" t="s">
        <v>9807</v>
      </c>
      <c r="AJ342" s="6263"/>
      <c r="AK342" s="6263"/>
      <c r="AL342" s="1326"/>
      <c r="AU342" s="141"/>
      <c r="AV342" s="141"/>
      <c r="AW342" s="141"/>
      <c r="AX342" s="141"/>
      <c r="AY342" s="6163"/>
      <c r="AZ342" s="1506" t="s">
        <v>9932</v>
      </c>
      <c r="BA342" s="1506"/>
      <c r="BB342" s="1507">
        <v>32</v>
      </c>
      <c r="BC342" s="1508" t="str">
        <f>BB341</f>
        <v>raciones</v>
      </c>
      <c r="BD342" s="988"/>
      <c r="BE342" s="6263" t="s">
        <v>9944</v>
      </c>
      <c r="BF342" s="6263"/>
      <c r="BG342" s="6263"/>
      <c r="BH342" s="1326"/>
      <c r="CN342" s="5">
        <v>1</v>
      </c>
    </row>
    <row r="343" spans="3:92" ht="15.75">
      <c r="C343" s="141"/>
      <c r="D343" s="141"/>
      <c r="E343" s="141"/>
      <c r="G343" s="6164"/>
      <c r="H343" s="1512" t="s">
        <v>1239</v>
      </c>
      <c r="I343" s="141"/>
      <c r="J343" s="1513" t="str">
        <f>H343</f>
        <v>Gastro</v>
      </c>
      <c r="K343" s="1514" t="s">
        <v>1240</v>
      </c>
      <c r="L343" s="988"/>
      <c r="M343" s="6263" t="s">
        <v>1241</v>
      </c>
      <c r="N343" s="6263"/>
      <c r="O343" s="6263"/>
      <c r="P343" s="1326"/>
      <c r="Y343" s="4"/>
      <c r="Z343" s="4"/>
      <c r="AA343" s="4"/>
      <c r="AB343" s="4"/>
      <c r="AC343" s="6164"/>
      <c r="AD343" s="1512" t="s">
        <v>9798</v>
      </c>
      <c r="AE343" s="141"/>
      <c r="AF343" s="1513" t="str">
        <f>AD343</f>
        <v>GN pan</v>
      </c>
      <c r="AG343" s="1514" t="s">
        <v>9772</v>
      </c>
      <c r="AH343" s="988"/>
      <c r="AI343" s="6263" t="s">
        <v>9808</v>
      </c>
      <c r="AJ343" s="6263"/>
      <c r="AK343" s="6263"/>
      <c r="AL343" s="1326"/>
      <c r="AU343" s="141"/>
      <c r="AV343" s="141"/>
      <c r="AW343" s="141"/>
      <c r="AX343" s="141"/>
      <c r="AY343" s="6164"/>
      <c r="AZ343" s="1512" t="s">
        <v>9933</v>
      </c>
      <c r="BA343" s="141"/>
      <c r="BB343" s="1513" t="str">
        <f>AZ343</f>
        <v>Bandeja GN</v>
      </c>
      <c r="BC343" s="1514" t="s">
        <v>9936</v>
      </c>
      <c r="BD343" s="988"/>
      <c r="BE343" s="6263" t="s">
        <v>9945</v>
      </c>
      <c r="BF343" s="6263"/>
      <c r="BG343" s="6263"/>
      <c r="BH343" s="1326"/>
      <c r="CN343" s="5">
        <v>1</v>
      </c>
    </row>
    <row r="344" spans="3:92" ht="15.75">
      <c r="C344" s="141"/>
      <c r="D344" s="141"/>
      <c r="E344" s="141"/>
      <c r="G344" s="1358" t="s">
        <v>1118</v>
      </c>
      <c r="H344" s="1512">
        <v>1</v>
      </c>
      <c r="I344" s="141"/>
      <c r="J344" s="1515">
        <f>(H344/H341)*J342</f>
        <v>2</v>
      </c>
      <c r="K344" s="1516" t="s">
        <v>1242</v>
      </c>
      <c r="L344" s="988"/>
      <c r="M344" s="6263" t="s">
        <v>1243</v>
      </c>
      <c r="N344" s="6263"/>
      <c r="O344" s="6263"/>
      <c r="P344" s="1326"/>
      <c r="Y344" s="4"/>
      <c r="Z344" s="4"/>
      <c r="AA344" s="4"/>
      <c r="AB344" s="4"/>
      <c r="AC344" s="1358" t="s">
        <v>1118</v>
      </c>
      <c r="AD344" s="1512">
        <v>1</v>
      </c>
      <c r="AE344" s="141"/>
      <c r="AF344" s="1515">
        <f>(AD344/AD341)*AF342</f>
        <v>2</v>
      </c>
      <c r="AG344" s="1516" t="s">
        <v>9800</v>
      </c>
      <c r="AH344" s="988"/>
      <c r="AI344" s="6263" t="s">
        <v>9809</v>
      </c>
      <c r="AJ344" s="6263"/>
      <c r="AK344" s="6263"/>
      <c r="AL344" s="1326"/>
      <c r="AU344" s="141"/>
      <c r="AV344" s="141"/>
      <c r="AW344" s="141"/>
      <c r="AX344" s="141"/>
      <c r="AY344" s="1358" t="s">
        <v>1118</v>
      </c>
      <c r="AZ344" s="1512">
        <v>1</v>
      </c>
      <c r="BA344" s="141"/>
      <c r="BB344" s="1515">
        <f>(AZ344/AZ341)*BB342</f>
        <v>2</v>
      </c>
      <c r="BC344" s="1516" t="s">
        <v>9937</v>
      </c>
      <c r="BD344" s="988"/>
      <c r="BE344" s="6263" t="s">
        <v>9946</v>
      </c>
      <c r="BF344" s="6263"/>
      <c r="BG344" s="6263"/>
      <c r="BH344" s="1326"/>
      <c r="CN344" s="5">
        <v>1</v>
      </c>
    </row>
    <row r="345" spans="3:92" ht="15.75">
      <c r="C345" s="141"/>
      <c r="D345" s="141"/>
      <c r="E345" s="141"/>
      <c r="G345" s="1358" t="s">
        <v>1118</v>
      </c>
      <c r="H345" s="1512">
        <v>1</v>
      </c>
      <c r="I345" s="141"/>
      <c r="J345" s="1515">
        <f>(H345/H341)*J342</f>
        <v>2</v>
      </c>
      <c r="K345" s="1516" t="s">
        <v>1244</v>
      </c>
      <c r="L345" s="988"/>
      <c r="M345" s="6263" t="s">
        <v>1245</v>
      </c>
      <c r="N345" s="6263"/>
      <c r="O345" s="6263"/>
      <c r="P345" s="1326"/>
      <c r="Y345" s="4"/>
      <c r="Z345" s="4"/>
      <c r="AA345" s="4"/>
      <c r="AB345" s="4"/>
      <c r="AC345" s="1358" t="s">
        <v>1118</v>
      </c>
      <c r="AD345" s="1512">
        <v>1</v>
      </c>
      <c r="AE345" s="141"/>
      <c r="AF345" s="1515">
        <f>(AD345/AD341)*AF342</f>
        <v>2</v>
      </c>
      <c r="AG345" s="1516" t="s">
        <v>9801</v>
      </c>
      <c r="AH345" s="988"/>
      <c r="AI345" s="6263" t="s">
        <v>9810</v>
      </c>
      <c r="AJ345" s="6263"/>
      <c r="AK345" s="6263"/>
      <c r="AL345" s="1326"/>
      <c r="AU345" s="141"/>
      <c r="AV345" s="141"/>
      <c r="AW345" s="141"/>
      <c r="AX345" s="141"/>
      <c r="AY345" s="1358" t="s">
        <v>1118</v>
      </c>
      <c r="AZ345" s="1512">
        <v>1</v>
      </c>
      <c r="BA345" s="141"/>
      <c r="BB345" s="1515">
        <f>(AZ345/AZ341)*BB342</f>
        <v>2</v>
      </c>
      <c r="BC345" s="1516" t="s">
        <v>9938</v>
      </c>
      <c r="BD345" s="988"/>
      <c r="BE345" s="6263" t="s">
        <v>9947</v>
      </c>
      <c r="BF345" s="6263"/>
      <c r="BG345" s="6263"/>
      <c r="BH345" s="1326"/>
      <c r="CN345" s="5">
        <v>1</v>
      </c>
    </row>
    <row r="346" spans="3:92" ht="15.75">
      <c r="C346" s="141"/>
      <c r="D346" s="141"/>
      <c r="E346" s="141"/>
      <c r="G346" s="1358" t="s">
        <v>1118</v>
      </c>
      <c r="H346" s="1512">
        <v>1</v>
      </c>
      <c r="I346" s="141"/>
      <c r="J346" s="1515">
        <f>(H346/H341)*J342</f>
        <v>2</v>
      </c>
      <c r="K346" s="1516" t="s">
        <v>1246</v>
      </c>
      <c r="L346" s="988"/>
      <c r="M346" s="6263" t="s">
        <v>1247</v>
      </c>
      <c r="N346" s="6263"/>
      <c r="O346" s="6263"/>
      <c r="P346" s="1326"/>
      <c r="Y346" s="4"/>
      <c r="Z346" s="4"/>
      <c r="AA346" s="4"/>
      <c r="AB346" s="4"/>
      <c r="AC346" s="1358" t="s">
        <v>1118</v>
      </c>
      <c r="AD346" s="1512">
        <v>1</v>
      </c>
      <c r="AE346" s="141"/>
      <c r="AF346" s="1515">
        <f>(AD346/AD341)*AF342</f>
        <v>2</v>
      </c>
      <c r="AG346" s="1516" t="s">
        <v>9802</v>
      </c>
      <c r="AH346" s="988"/>
      <c r="AI346" s="6263" t="s">
        <v>9811</v>
      </c>
      <c r="AJ346" s="6263"/>
      <c r="AK346" s="6263"/>
      <c r="AL346" s="1326"/>
      <c r="AU346" s="141"/>
      <c r="AV346" s="141"/>
      <c r="AW346" s="141"/>
      <c r="AX346" s="141"/>
      <c r="AY346" s="1358" t="s">
        <v>1118</v>
      </c>
      <c r="AZ346" s="1512">
        <v>1</v>
      </c>
      <c r="BA346" s="141"/>
      <c r="BB346" s="1515">
        <f>(AZ346/AZ341)*BB342</f>
        <v>2</v>
      </c>
      <c r="BC346" s="1516" t="s">
        <v>9939</v>
      </c>
      <c r="BD346" s="988"/>
      <c r="BE346" s="6263" t="s">
        <v>9948</v>
      </c>
      <c r="BF346" s="6263"/>
      <c r="BG346" s="6263"/>
      <c r="BH346" s="1326"/>
      <c r="CN346" s="5">
        <v>1</v>
      </c>
    </row>
    <row r="347" spans="3:92" ht="15.75">
      <c r="C347" s="141"/>
      <c r="D347" s="141"/>
      <c r="E347" s="141"/>
      <c r="G347" s="1358" t="s">
        <v>1118</v>
      </c>
      <c r="H347" s="1512">
        <v>1</v>
      </c>
      <c r="I347" s="141"/>
      <c r="J347" s="1515">
        <f>(H347/H341)*J342</f>
        <v>2</v>
      </c>
      <c r="K347" s="1516" t="s">
        <v>1248</v>
      </c>
      <c r="L347" s="988"/>
      <c r="M347" s="6263" t="s">
        <v>1249</v>
      </c>
      <c r="N347" s="6263"/>
      <c r="O347" s="6263"/>
      <c r="P347" s="1326"/>
      <c r="Y347" s="4"/>
      <c r="Z347" s="4"/>
      <c r="AA347" s="4"/>
      <c r="AB347" s="4"/>
      <c r="AC347" s="1358" t="s">
        <v>1118</v>
      </c>
      <c r="AD347" s="1512">
        <v>1</v>
      </c>
      <c r="AE347" s="141"/>
      <c r="AF347" s="1515">
        <f>(AD347/AD341)*AF342</f>
        <v>2</v>
      </c>
      <c r="AG347" s="1516" t="s">
        <v>9803</v>
      </c>
      <c r="AH347" s="988"/>
      <c r="AI347" s="6263" t="s">
        <v>9812</v>
      </c>
      <c r="AJ347" s="6263"/>
      <c r="AK347" s="6263"/>
      <c r="AL347" s="1326"/>
      <c r="AU347" s="141"/>
      <c r="AV347" s="141"/>
      <c r="AW347" s="141"/>
      <c r="AX347" s="141"/>
      <c r="AY347" s="1358" t="s">
        <v>1118</v>
      </c>
      <c r="AZ347" s="1512">
        <v>1</v>
      </c>
      <c r="BA347" s="141"/>
      <c r="BB347" s="1515">
        <f>(AZ347/AZ341)*BB342</f>
        <v>2</v>
      </c>
      <c r="BC347" s="1516" t="s">
        <v>9940</v>
      </c>
      <c r="BD347" s="988"/>
      <c r="BE347" s="6263" t="s">
        <v>9949</v>
      </c>
      <c r="BF347" s="6263"/>
      <c r="BG347" s="6263"/>
      <c r="BH347" s="1326"/>
      <c r="CN347" s="5">
        <v>1</v>
      </c>
    </row>
    <row r="348" spans="3:92" ht="15.75">
      <c r="C348" s="141"/>
      <c r="D348" s="141"/>
      <c r="E348" s="141"/>
      <c r="G348" s="1358" t="s">
        <v>1118</v>
      </c>
      <c r="H348" s="1512">
        <v>1</v>
      </c>
      <c r="I348" s="141"/>
      <c r="J348" s="1515">
        <f>(H348/H341)*J342</f>
        <v>2</v>
      </c>
      <c r="K348" s="1516" t="s">
        <v>1250</v>
      </c>
      <c r="L348" s="988"/>
      <c r="M348" s="6263" t="s">
        <v>1251</v>
      </c>
      <c r="N348" s="6263"/>
      <c r="O348" s="6263"/>
      <c r="P348" s="1326"/>
      <c r="Y348" s="4"/>
      <c r="Z348" s="4"/>
      <c r="AA348" s="4"/>
      <c r="AB348" s="4"/>
      <c r="AC348" s="1358" t="s">
        <v>1118</v>
      </c>
      <c r="AD348" s="1512">
        <v>1</v>
      </c>
      <c r="AE348" s="141"/>
      <c r="AF348" s="1515">
        <f>(AD348/AD341)*AF342</f>
        <v>2</v>
      </c>
      <c r="AG348" s="1516" t="s">
        <v>9804</v>
      </c>
      <c r="AH348" s="988"/>
      <c r="AI348" s="6263" t="s">
        <v>9813</v>
      </c>
      <c r="AJ348" s="6263"/>
      <c r="AK348" s="6263"/>
      <c r="AL348" s="1326"/>
      <c r="AU348" s="141"/>
      <c r="AV348" s="141"/>
      <c r="AW348" s="141"/>
      <c r="AX348" s="141"/>
      <c r="AY348" s="1358" t="s">
        <v>1118</v>
      </c>
      <c r="AZ348" s="1512">
        <v>1</v>
      </c>
      <c r="BA348" s="141"/>
      <c r="BB348" s="1515">
        <f>(AZ348/AZ341)*BB342</f>
        <v>2</v>
      </c>
      <c r="BC348" s="1516" t="s">
        <v>9941</v>
      </c>
      <c r="BD348" s="988"/>
      <c r="BE348" s="6263" t="s">
        <v>9950</v>
      </c>
      <c r="BF348" s="6263"/>
      <c r="BG348" s="6263"/>
      <c r="BH348" s="1326"/>
      <c r="CN348" s="5">
        <v>1</v>
      </c>
    </row>
    <row r="349" spans="3:92" ht="15.75" customHeight="1">
      <c r="C349" s="141"/>
      <c r="D349" s="141"/>
      <c r="E349" s="141"/>
      <c r="G349" s="1518" t="s">
        <v>1252</v>
      </c>
      <c r="H349" s="1512">
        <v>1</v>
      </c>
      <c r="I349" s="141"/>
      <c r="J349" s="1515">
        <f>(H349/H341)*J342</f>
        <v>2</v>
      </c>
      <c r="K349" s="988"/>
      <c r="L349" s="988"/>
      <c r="M349" s="6263" t="s">
        <v>1253</v>
      </c>
      <c r="N349" s="6263"/>
      <c r="O349" s="6263"/>
      <c r="P349" s="1326"/>
      <c r="Y349" s="4"/>
      <c r="Z349" s="4"/>
      <c r="AA349" s="4"/>
      <c r="AB349" s="4"/>
      <c r="AC349" s="1518" t="s">
        <v>1252</v>
      </c>
      <c r="AD349" s="1512">
        <v>1</v>
      </c>
      <c r="AE349" s="141"/>
      <c r="AF349" s="1515">
        <f>(AD349/AD341)*AF342</f>
        <v>2</v>
      </c>
      <c r="AG349" s="988"/>
      <c r="AH349" s="988"/>
      <c r="AI349" s="6263" t="s">
        <v>9814</v>
      </c>
      <c r="AJ349" s="6263"/>
      <c r="AK349" s="6263"/>
      <c r="AL349" s="1326"/>
      <c r="AU349" s="141"/>
      <c r="AV349" s="141"/>
      <c r="AW349" s="141"/>
      <c r="AX349" s="141"/>
      <c r="AY349" s="1518" t="s">
        <v>1252</v>
      </c>
      <c r="AZ349" s="1512">
        <v>1</v>
      </c>
      <c r="BA349" s="141"/>
      <c r="BB349" s="1515">
        <f>(AZ349/AZ341)*BB342</f>
        <v>2</v>
      </c>
      <c r="BC349" s="988"/>
      <c r="BD349" s="988"/>
      <c r="BE349" s="6263" t="s">
        <v>9951</v>
      </c>
      <c r="BF349" s="6263"/>
      <c r="BG349" s="6263"/>
      <c r="BH349" s="1326"/>
      <c r="CN349" s="5">
        <v>1</v>
      </c>
    </row>
    <row r="350" spans="3:92" ht="15.75">
      <c r="C350" s="141"/>
      <c r="D350" s="141"/>
      <c r="E350" s="141"/>
      <c r="G350" s="1518" t="s">
        <v>1252</v>
      </c>
      <c r="H350" s="1512">
        <v>1</v>
      </c>
      <c r="I350" s="141"/>
      <c r="J350" s="1515">
        <f>(H350/H341)*J342</f>
        <v>2</v>
      </c>
      <c r="K350" s="988"/>
      <c r="L350" s="988"/>
      <c r="M350" s="6263"/>
      <c r="N350" s="6263"/>
      <c r="O350" s="6263"/>
      <c r="P350" s="1326"/>
      <c r="Y350" s="4"/>
      <c r="Z350" s="4"/>
      <c r="AA350" s="4"/>
      <c r="AB350" s="4"/>
      <c r="AC350" s="1518" t="s">
        <v>1252</v>
      </c>
      <c r="AD350" s="1512">
        <v>1</v>
      </c>
      <c r="AE350" s="141"/>
      <c r="AF350" s="1515">
        <f>(AD350/AD341)*AF342</f>
        <v>2</v>
      </c>
      <c r="AG350" s="988"/>
      <c r="AH350" s="988"/>
      <c r="AI350" s="6263"/>
      <c r="AJ350" s="6263"/>
      <c r="AK350" s="6263"/>
      <c r="AL350" s="1326"/>
      <c r="AU350" s="141"/>
      <c r="AV350" s="141"/>
      <c r="AW350" s="141"/>
      <c r="AX350" s="141"/>
      <c r="AY350" s="1518" t="s">
        <v>1252</v>
      </c>
      <c r="AZ350" s="1512">
        <v>1</v>
      </c>
      <c r="BA350" s="141"/>
      <c r="BB350" s="1515">
        <f>(AZ350/AZ341)*BB342</f>
        <v>2</v>
      </c>
      <c r="BC350" s="988"/>
      <c r="BD350" s="988"/>
      <c r="BE350" s="6263"/>
      <c r="BF350" s="6263"/>
      <c r="BG350" s="6263"/>
      <c r="BH350" s="1326"/>
      <c r="CN350" s="5">
        <v>1</v>
      </c>
    </row>
    <row r="351" spans="3:92" ht="15.75">
      <c r="C351" s="141"/>
      <c r="D351" s="141"/>
      <c r="E351" s="141"/>
      <c r="G351" s="1518" t="s">
        <v>1252</v>
      </c>
      <c r="H351" s="1512">
        <v>1</v>
      </c>
      <c r="I351" s="141"/>
      <c r="J351" s="1515">
        <f>(H351/H341)*J342</f>
        <v>2</v>
      </c>
      <c r="K351" s="988"/>
      <c r="L351" s="988"/>
      <c r="M351" s="6263"/>
      <c r="N351" s="6263"/>
      <c r="O351" s="6263"/>
      <c r="P351" s="1326"/>
      <c r="Y351" s="4"/>
      <c r="Z351" s="4"/>
      <c r="AA351" s="4"/>
      <c r="AB351" s="4"/>
      <c r="AC351" s="1518" t="s">
        <v>1252</v>
      </c>
      <c r="AD351" s="1512">
        <v>1</v>
      </c>
      <c r="AE351" s="141"/>
      <c r="AF351" s="1515">
        <f>(AD351/AD341)*AF342</f>
        <v>2</v>
      </c>
      <c r="AG351" s="988"/>
      <c r="AH351" s="988"/>
      <c r="AI351" s="6263"/>
      <c r="AJ351" s="6263"/>
      <c r="AK351" s="6263"/>
      <c r="AL351" s="1326"/>
      <c r="AU351" s="141"/>
      <c r="AV351" s="141"/>
      <c r="AW351" s="141"/>
      <c r="AX351" s="141"/>
      <c r="AY351" s="1518" t="s">
        <v>1252</v>
      </c>
      <c r="AZ351" s="1512">
        <v>1</v>
      </c>
      <c r="BA351" s="141"/>
      <c r="BB351" s="1515">
        <f>(AZ351/AZ341)*BB342</f>
        <v>2</v>
      </c>
      <c r="BC351" s="988"/>
      <c r="BD351" s="988"/>
      <c r="BE351" s="6263"/>
      <c r="BF351" s="6263"/>
      <c r="BG351" s="6263"/>
      <c r="BH351" s="6132" t="s">
        <v>9859</v>
      </c>
      <c r="CN351" s="5">
        <v>1</v>
      </c>
    </row>
    <row r="352" spans="3:92" ht="15.75">
      <c r="C352" s="141"/>
      <c r="D352" s="141"/>
      <c r="E352" s="141"/>
      <c r="G352" s="6159" t="s">
        <v>8022</v>
      </c>
      <c r="H352" s="6160"/>
      <c r="I352" s="6160"/>
      <c r="J352" s="6160"/>
      <c r="K352" s="6160"/>
      <c r="L352" s="6160"/>
      <c r="M352" s="6160"/>
      <c r="N352" s="6160"/>
      <c r="O352" s="6160"/>
      <c r="P352" s="6161"/>
      <c r="Y352" s="4"/>
      <c r="Z352" s="4"/>
      <c r="AA352" s="4"/>
      <c r="AB352" s="4"/>
      <c r="AC352" s="6159" t="s">
        <v>8370</v>
      </c>
      <c r="AD352" s="6160"/>
      <c r="AE352" s="6160"/>
      <c r="AF352" s="6160"/>
      <c r="AG352" s="6160"/>
      <c r="AH352" s="6160"/>
      <c r="AI352" s="6160"/>
      <c r="AJ352" s="6160"/>
      <c r="AK352" s="6160"/>
      <c r="AL352" s="6161"/>
      <c r="AU352" s="141"/>
      <c r="AV352" s="141"/>
      <c r="AW352" s="141"/>
      <c r="AX352" s="141"/>
      <c r="AY352" s="6159" t="s">
        <v>9985</v>
      </c>
      <c r="AZ352" s="6160"/>
      <c r="BA352" s="6160"/>
      <c r="BB352" s="6160"/>
      <c r="BC352" s="6160"/>
      <c r="BD352" s="6160"/>
      <c r="BE352" s="6160"/>
      <c r="BF352" s="6160"/>
      <c r="BG352" s="6160"/>
      <c r="BH352" s="6161"/>
      <c r="CN352" s="5">
        <v>1</v>
      </c>
    </row>
    <row r="353" spans="3:92" ht="15.75">
      <c r="C353" s="141"/>
      <c r="D353" s="141"/>
      <c r="E353" s="141"/>
      <c r="G353" s="5294" t="s">
        <v>8024</v>
      </c>
      <c r="H353" s="1449"/>
      <c r="I353" s="1449"/>
      <c r="J353" s="1449"/>
      <c r="K353" s="1449"/>
      <c r="L353" s="1449"/>
      <c r="M353" s="5410"/>
      <c r="N353" s="5410"/>
      <c r="O353" s="5410"/>
      <c r="P353" s="5295"/>
      <c r="Y353" s="4"/>
      <c r="Z353" s="4"/>
      <c r="AA353" s="4"/>
      <c r="AB353" s="4"/>
      <c r="AC353" s="5294" t="s">
        <v>9724</v>
      </c>
      <c r="AD353" s="1449"/>
      <c r="AE353" s="1449"/>
      <c r="AF353" s="1449"/>
      <c r="AG353" s="1449"/>
      <c r="AH353" s="1449"/>
      <c r="AI353" s="5410"/>
      <c r="AJ353" s="5410"/>
      <c r="AK353" s="5410"/>
      <c r="AL353" s="5295"/>
      <c r="AU353" s="141"/>
      <c r="AV353" s="141"/>
      <c r="AW353" s="141"/>
      <c r="AX353" s="141"/>
      <c r="AY353" s="5294" t="s">
        <v>9864</v>
      </c>
      <c r="AZ353" s="1449"/>
      <c r="BA353" s="1449"/>
      <c r="BB353" s="1449"/>
      <c r="BC353" s="1449"/>
      <c r="BD353" s="1449"/>
      <c r="BE353" s="5410"/>
      <c r="BF353" s="5410"/>
      <c r="BG353" s="5410"/>
      <c r="BH353" s="5295"/>
      <c r="CN353" s="5">
        <v>1</v>
      </c>
    </row>
    <row r="354" spans="3:92" ht="15.75">
      <c r="C354" s="141"/>
      <c r="D354" s="141"/>
      <c r="E354" s="141"/>
      <c r="G354" s="1002"/>
      <c r="H354" s="1002"/>
      <c r="I354" s="1002" t="s">
        <v>873</v>
      </c>
      <c r="J354" s="1003"/>
      <c r="K354" s="1329"/>
      <c r="L354" s="1329"/>
      <c r="M354" s="1329"/>
      <c r="N354" s="1329"/>
      <c r="O354" s="1329"/>
      <c r="P354" s="1330"/>
      <c r="Y354" s="4"/>
      <c r="Z354" s="4"/>
      <c r="AA354" s="4"/>
      <c r="AB354" s="4"/>
      <c r="AC354" s="1002"/>
      <c r="AD354" s="1002"/>
      <c r="AE354" s="1002" t="s">
        <v>8386</v>
      </c>
      <c r="AF354" s="1003"/>
      <c r="AG354" s="1329"/>
      <c r="AH354" s="1329"/>
      <c r="AI354" s="1329"/>
      <c r="AJ354" s="1329"/>
      <c r="AK354" s="1329"/>
      <c r="AL354" s="1330"/>
      <c r="AU354" s="141"/>
      <c r="AV354" s="141"/>
      <c r="AW354" s="141"/>
      <c r="AX354" s="141"/>
      <c r="AY354" s="1002"/>
      <c r="AZ354" s="1002"/>
      <c r="BA354" s="1002" t="s">
        <v>8426</v>
      </c>
      <c r="BB354" s="1003"/>
      <c r="BC354" s="1329"/>
      <c r="BD354" s="1329"/>
      <c r="BE354" s="1329"/>
      <c r="BF354" s="1329"/>
      <c r="BG354" s="1329"/>
      <c r="BH354" s="1330"/>
      <c r="CN354" s="5">
        <v>1</v>
      </c>
    </row>
    <row r="355" spans="3:92" ht="16.5" thickBot="1">
      <c r="C355" s="141"/>
      <c r="D355" s="141"/>
      <c r="E355" s="141"/>
      <c r="G355" s="1332"/>
      <c r="H355" s="1006"/>
      <c r="I355" s="1007"/>
      <c r="J355" s="1008"/>
      <c r="K355" s="1007"/>
      <c r="L355" s="1007"/>
      <c r="M355" s="1007"/>
      <c r="N355" s="1007"/>
      <c r="O355" s="1007"/>
      <c r="P355" s="1333"/>
      <c r="Y355" s="4"/>
      <c r="Z355" s="4"/>
      <c r="AA355" s="4"/>
      <c r="AB355" s="4"/>
      <c r="AC355" s="1332"/>
      <c r="AD355" s="1006"/>
      <c r="AE355" s="1007"/>
      <c r="AF355" s="1008"/>
      <c r="AG355" s="1007"/>
      <c r="AH355" s="1007"/>
      <c r="AI355" s="1007"/>
      <c r="AJ355" s="1007"/>
      <c r="AK355" s="1007"/>
      <c r="AL355" s="1333"/>
      <c r="AU355" s="141"/>
      <c r="AV355" s="141"/>
      <c r="AW355" s="141"/>
      <c r="AX355" s="141"/>
      <c r="AY355" s="1332"/>
      <c r="AZ355" s="1006"/>
      <c r="BA355" s="1007"/>
      <c r="BB355" s="1008"/>
      <c r="BC355" s="1007"/>
      <c r="BD355" s="1007"/>
      <c r="BE355" s="1007"/>
      <c r="BF355" s="1007"/>
      <c r="BG355" s="1007"/>
      <c r="BH355" s="1333"/>
      <c r="CN355" s="5">
        <v>1</v>
      </c>
    </row>
    <row r="356" spans="3:92" ht="15.75">
      <c r="C356" s="141"/>
      <c r="D356" s="141"/>
      <c r="E356" s="141"/>
      <c r="G356" s="1509"/>
      <c r="H356" s="1509"/>
      <c r="I356" s="1509"/>
      <c r="J356" s="1280"/>
      <c r="K356" s="97"/>
      <c r="L356" s="97"/>
      <c r="M356" s="97"/>
      <c r="N356" s="97"/>
      <c r="O356" s="97"/>
      <c r="P356" s="1510"/>
      <c r="Y356" s="4"/>
      <c r="Z356" s="4"/>
      <c r="AA356" s="4"/>
      <c r="AU356" s="141"/>
      <c r="AV356" s="141"/>
      <c r="AW356" s="141"/>
      <c r="AX356" s="141"/>
      <c r="CN356" s="5">
        <v>1</v>
      </c>
    </row>
    <row r="357" spans="3:92" ht="15.75">
      <c r="C357" s="141"/>
      <c r="D357" s="141"/>
      <c r="E357" s="141"/>
      <c r="G357" s="1354" t="s">
        <v>252</v>
      </c>
      <c r="H357" s="1355"/>
      <c r="I357" s="1355"/>
      <c r="J357" s="1355"/>
      <c r="K357" s="1355"/>
      <c r="L357" s="1356"/>
      <c r="M357" s="1356"/>
      <c r="N357" s="1356"/>
      <c r="O357" s="1356"/>
      <c r="P357" s="1357" t="s">
        <v>1274</v>
      </c>
      <c r="Y357" s="4"/>
      <c r="Z357" s="4"/>
      <c r="AA357" s="4"/>
      <c r="AB357" s="4"/>
      <c r="AC357" s="1354" t="s">
        <v>252</v>
      </c>
      <c r="AD357" s="1355"/>
      <c r="AE357" s="1355"/>
      <c r="AF357" s="1355"/>
      <c r="AG357" s="1355"/>
      <c r="AH357" s="1356"/>
      <c r="AI357" s="1356"/>
      <c r="AJ357" s="1356"/>
      <c r="AK357" s="1356"/>
      <c r="AL357" s="1357" t="s">
        <v>9815</v>
      </c>
      <c r="AU357" s="141"/>
      <c r="AV357" s="141"/>
      <c r="AW357" s="141"/>
      <c r="AX357" s="141"/>
      <c r="AY357" s="1354" t="s">
        <v>9490</v>
      </c>
      <c r="AZ357" s="1355"/>
      <c r="BA357" s="1355"/>
      <c r="BB357" s="1355"/>
      <c r="BC357" s="1355"/>
      <c r="BD357" s="1356"/>
      <c r="BE357" s="1356"/>
      <c r="BF357" s="1356"/>
      <c r="BG357" s="1356"/>
      <c r="BH357" s="1357" t="s">
        <v>9952</v>
      </c>
      <c r="CN357" s="5">
        <v>1</v>
      </c>
    </row>
    <row r="358" spans="3:92" ht="15.75">
      <c r="C358" s="141"/>
      <c r="D358" s="141"/>
      <c r="E358" s="141"/>
      <c r="G358" s="6165" t="s">
        <v>1275</v>
      </c>
      <c r="H358" s="1542" t="s">
        <v>1276</v>
      </c>
      <c r="I358" s="1543"/>
      <c r="J358" s="1544" t="s">
        <v>1277</v>
      </c>
      <c r="K358" s="1542" t="s">
        <v>21</v>
      </c>
      <c r="L358" s="1542" t="s">
        <v>1278</v>
      </c>
      <c r="M358" s="6264" t="s">
        <v>1279</v>
      </c>
      <c r="N358" s="6264"/>
      <c r="O358" s="6264"/>
      <c r="P358" s="1545"/>
      <c r="Y358" s="4"/>
      <c r="Z358" s="4"/>
      <c r="AA358" s="4"/>
      <c r="AB358" s="4"/>
      <c r="AC358" s="6165" t="s">
        <v>1275</v>
      </c>
      <c r="AD358" s="1542" t="s">
        <v>1276</v>
      </c>
      <c r="AE358" s="1543"/>
      <c r="AF358" s="1544" t="s">
        <v>1277</v>
      </c>
      <c r="AG358" s="1542" t="s">
        <v>21</v>
      </c>
      <c r="AH358" s="1542" t="s">
        <v>1278</v>
      </c>
      <c r="AI358" s="6264" t="s">
        <v>9816</v>
      </c>
      <c r="AJ358" s="6264"/>
      <c r="AK358" s="6264"/>
      <c r="AL358" s="1545"/>
      <c r="AU358" s="141"/>
      <c r="AV358" s="141"/>
      <c r="AW358" s="141"/>
      <c r="AX358" s="141"/>
      <c r="AY358" s="6165" t="s">
        <v>1275</v>
      </c>
      <c r="AZ358" s="1542" t="s">
        <v>1276</v>
      </c>
      <c r="BA358" s="1543"/>
      <c r="BB358" s="1544" t="s">
        <v>1277</v>
      </c>
      <c r="BC358" s="1542" t="s">
        <v>21</v>
      </c>
      <c r="BD358" s="1542" t="s">
        <v>1278</v>
      </c>
      <c r="BE358" s="6172" t="s">
        <v>9953</v>
      </c>
      <c r="BF358" s="8490"/>
      <c r="BG358" s="6264"/>
      <c r="BH358" s="1545"/>
      <c r="CN358" s="5">
        <v>1</v>
      </c>
    </row>
    <row r="359" spans="3:92" ht="15.75">
      <c r="C359" s="141"/>
      <c r="D359" s="141"/>
      <c r="E359" s="141"/>
      <c r="G359" s="6166" t="str">
        <f>"cellule "&amp;ADDRESS(ROW(M359),COLUMN(M359),4)&amp;"  vous pouvez saisir un autre poids"</f>
        <v>cellule M359  vous pouvez saisir un autre poids</v>
      </c>
      <c r="H359" s="1547"/>
      <c r="I359" s="1548"/>
      <c r="J359" s="102"/>
      <c r="K359" s="1547"/>
      <c r="L359"/>
      <c r="M359" s="6346">
        <v>1</v>
      </c>
      <c r="N359" s="6346"/>
      <c r="O359" s="6346"/>
      <c r="P359" s="1549"/>
      <c r="Y359" s="4"/>
      <c r="Z359" s="4"/>
      <c r="AA359" s="4"/>
      <c r="AB359" s="4"/>
      <c r="AC359" s="6166" t="str">
        <f>"cell "&amp;ADDRESS(ROW(AI359),COLUMN(AI359),4)&amp;"  you can enter another weight"</f>
        <v>cell AI359  you can enter another weight</v>
      </c>
      <c r="AD359" s="1547"/>
      <c r="AE359" s="1548"/>
      <c r="AF359" s="102"/>
      <c r="AG359" s="1547"/>
      <c r="AI359" s="6744">
        <v>1</v>
      </c>
      <c r="AJ359" s="6744"/>
      <c r="AK359" s="6346"/>
      <c r="AL359" s="1549"/>
      <c r="AU359" s="141"/>
      <c r="AV359" s="141"/>
      <c r="AW359" s="141"/>
      <c r="AX359" s="141"/>
      <c r="AY359" s="6166" t="str">
        <f>"celda "&amp;ADDRESS(ROW(BE359),COLUMN(BE359),4)&amp;"  puede introducir otro peso"</f>
        <v>celda BE359  puede introducir otro peso</v>
      </c>
      <c r="AZ359" s="1547"/>
      <c r="BA359" s="1548"/>
      <c r="BB359" s="102"/>
      <c r="BC359" s="1547"/>
      <c r="BE359" s="6346">
        <v>1</v>
      </c>
      <c r="BF359" s="6346"/>
      <c r="BG359" s="6346"/>
      <c r="BH359" s="1549"/>
      <c r="CN359" s="5">
        <v>1</v>
      </c>
    </row>
    <row r="360" spans="3:92">
      <c r="C360" s="141"/>
      <c r="D360" s="141"/>
      <c r="E360" s="141"/>
      <c r="G360" s="6167">
        <v>100</v>
      </c>
      <c r="H360" s="6168">
        <v>120</v>
      </c>
      <c r="I360" s="1552"/>
      <c r="J360" s="6168">
        <v>180</v>
      </c>
      <c r="K360" s="6168">
        <v>180</v>
      </c>
      <c r="L360" s="6168">
        <v>200</v>
      </c>
      <c r="M360" s="6347" t="s">
        <v>1281</v>
      </c>
      <c r="N360" s="6347"/>
      <c r="O360" s="6347"/>
      <c r="P360" s="1553"/>
      <c r="Y360" s="4"/>
      <c r="Z360" s="4"/>
      <c r="AA360" s="4"/>
      <c r="AB360" s="4"/>
      <c r="AC360" s="6167">
        <v>100</v>
      </c>
      <c r="AD360" s="6168">
        <v>120</v>
      </c>
      <c r="AE360" s="1552"/>
      <c r="AF360" s="6168">
        <v>180</v>
      </c>
      <c r="AG360" s="6168">
        <v>180</v>
      </c>
      <c r="AH360" s="6168">
        <v>200</v>
      </c>
      <c r="AI360" s="6347" t="s">
        <v>9822</v>
      </c>
      <c r="AJ360" s="6347"/>
      <c r="AK360" s="6347"/>
      <c r="AL360" s="1553"/>
      <c r="AU360" s="141"/>
      <c r="AV360" s="141"/>
      <c r="AW360" s="141"/>
      <c r="AX360" s="141"/>
      <c r="AY360" s="6167">
        <v>100</v>
      </c>
      <c r="AZ360" s="6168">
        <v>120</v>
      </c>
      <c r="BA360" s="1552"/>
      <c r="BB360" s="6168">
        <v>180</v>
      </c>
      <c r="BC360" s="6168">
        <v>180</v>
      </c>
      <c r="BD360" s="6168">
        <v>200</v>
      </c>
      <c r="BE360" s="6347" t="s">
        <v>9959</v>
      </c>
      <c r="BF360" s="6347"/>
      <c r="BG360" s="6347"/>
      <c r="BH360" s="1553"/>
      <c r="CN360" s="5">
        <v>1</v>
      </c>
    </row>
    <row r="361" spans="3:92" ht="15.75">
      <c r="C361" s="141"/>
      <c r="D361" s="141"/>
      <c r="E361" s="141"/>
      <c r="G361" s="6169">
        <f>IF(MOD(M359*1000/G360,1)=0,M359*1000/G360,IF(MOD(M359*1000/G360,1)&lt;0.5,INT(M359*1000/G360),INT(M359*1000/G360)+1))</f>
        <v>10</v>
      </c>
      <c r="H361" s="1556">
        <f>IF(MOD(M359*1000/H360,1)=0,M359*1000/H360,IF(MOD(M359*1000/H360,1)&lt;0.5,INT(M359*1000/H360),INT(M359*1000/H360)+1))</f>
        <v>8</v>
      </c>
      <c r="I361" s="1557"/>
      <c r="J361" s="1556">
        <f>IF(MOD(M359*1000/J360,1)=0,M359*1000/J360,IF(MOD(M359*1000/J360,1)&lt;0.5,INT(M359*1000/J360),INT(M359*1000/J360)+1))</f>
        <v>6</v>
      </c>
      <c r="K361" s="1556">
        <f>IF(MOD(M359*1000/K360,1)=0,M359*1000/K360,IF(MOD(M359*1000/K360,1)&lt;0.5,INT(M359*1000/K360),INT(M359*1000/K360)+1))</f>
        <v>6</v>
      </c>
      <c r="L361" s="1556">
        <f>IF(MOD(M359*1000/L360,1)=0,M359*1000/L360,IF(MOD(M359*1000/L360,1)&lt;0.5,INT(M359*1000/L360),INT(M359*1000/L360)+1))</f>
        <v>5</v>
      </c>
      <c r="M361" s="6348" t="s">
        <v>1283</v>
      </c>
      <c r="N361" s="6348"/>
      <c r="O361" s="6348"/>
      <c r="P361" s="1558"/>
      <c r="Y361" s="4"/>
      <c r="Z361" s="4"/>
      <c r="AA361" s="4"/>
      <c r="AB361" s="4"/>
      <c r="AC361" s="6169">
        <f>IF(MOD(AI359*1000/AC360,1)=0,AI359*1000/AC360,IF(MOD(AI359*1000/AC360,1)&lt;0.5,INT(AI359*1000/AC360),INT(AI359*1000/AC360)+1))</f>
        <v>10</v>
      </c>
      <c r="AD361" s="1556">
        <f>IF(MOD(AI359*1000/AD360,1)=0,AI359*1000/AD360,IF(MOD(AI359*1000/AD360,1)&lt;0.5,INT(AI359*1000/AD360),INT(AI359*1000/AD360)+1))</f>
        <v>8</v>
      </c>
      <c r="AE361" s="1557"/>
      <c r="AF361" s="1556">
        <f>IF(MOD(AI359*1000/AF360,1)=0,AI359*1000/AF360,IF(MOD(AI359*1000/AF360,1)&lt;0.5,INT(AI359*1000/AF360),INT(AI359*1000/AF360)+1))</f>
        <v>6</v>
      </c>
      <c r="AG361" s="1556">
        <f>IF(MOD(AI359*1000/AG360,1)=0,AI359*1000/AG360,IF(MOD(AI359*1000/AG360,1)&lt;0.5,INT(AI359*1000/AG360),INT(AI359*1000/AG360)+1))</f>
        <v>6</v>
      </c>
      <c r="AH361" s="1556">
        <f>IF(MOD(AI359*1000/AH360,1)=0,AI359*1000/AH360,IF(MOD(AI359*1000/AH360,1)&lt;0.5,INT(AI359*1000/AH360),INT(AI359*1000/AH360)+1))</f>
        <v>5</v>
      </c>
      <c r="AI361" s="6348" t="s">
        <v>1283</v>
      </c>
      <c r="AJ361" s="6348"/>
      <c r="AK361" s="6348"/>
      <c r="AL361" s="1558"/>
      <c r="AU361" s="141"/>
      <c r="AV361" s="141"/>
      <c r="AW361" s="141"/>
      <c r="AX361" s="141"/>
      <c r="AY361" s="6169">
        <f>IF(MOD(BE359*1000/AY360,1)=0,BE359*1000/AY360,IF(MOD(BE359*1000/AY360,1)&lt;0.5,INT(BE359*1000/AY360),INT(BE359*1000/AY360)+1))</f>
        <v>10</v>
      </c>
      <c r="AZ361" s="1556">
        <f>IF(MOD(BE359*1000/AZ360,1)=0,BE359*1000/AZ360,IF(MOD(BE359*1000/AZ360,1)&lt;0.5,INT(BE359*1000/AZ360),INT(BE359*1000/AZ360)+1))</f>
        <v>8</v>
      </c>
      <c r="BA361" s="1557"/>
      <c r="BB361" s="1556">
        <f>IF(MOD(BE359*1000/BB360,1)=0,BE359*1000/BB360,IF(MOD(BE359*1000/BB360,1)&lt;0.5,INT(BE359*1000/BB360),INT(BE359*1000/BB360)+1))</f>
        <v>6</v>
      </c>
      <c r="BC361" s="1556">
        <f>IF(MOD(BE359*1000/BC360,1)=0,BE359*1000/BC360,IF(MOD(BE359*1000/BC360,1)&lt;0.5,INT(BE359*1000/BC360),INT(BE359*1000/BC360)+1))</f>
        <v>6</v>
      </c>
      <c r="BD361" s="1556">
        <f>IF(MOD(BE359*1000/BD360,1)=0,BE359*1000/BD360,IF(MOD(BE359*1000/BD360,1)&lt;0.5,INT(BE359*1000/BD360),INT(BE359*1000/BD360)+1))</f>
        <v>5</v>
      </c>
      <c r="BE361" s="6348" t="s">
        <v>9960</v>
      </c>
      <c r="BF361" s="6348"/>
      <c r="BG361" s="6348"/>
      <c r="BH361" s="1558"/>
      <c r="CN361" s="5">
        <v>1</v>
      </c>
    </row>
    <row r="362" spans="3:92" ht="15.75">
      <c r="C362" s="141"/>
      <c r="D362" s="141"/>
      <c r="E362" s="141"/>
      <c r="G362" s="6166" t="str">
        <f>"cellule "&amp;ADDRESS(ROW(M362),COLUMN(M362),4)&amp;"  vous pouvez saisir un autre poids"</f>
        <v>cellule M362  vous pouvez saisir un autre poids</v>
      </c>
      <c r="H362" s="1552"/>
      <c r="I362" s="1559"/>
      <c r="J362" s="141"/>
      <c r="K362" s="1552"/>
      <c r="L362"/>
      <c r="M362" s="6349">
        <v>1</v>
      </c>
      <c r="N362" s="6349"/>
      <c r="O362" s="6349"/>
      <c r="P362" s="1560"/>
      <c r="Y362" s="4"/>
      <c r="Z362" s="4"/>
      <c r="AA362" s="4"/>
      <c r="AB362" s="4"/>
      <c r="AC362" s="6166" t="str">
        <f>"cell "&amp;ADDRESS(ROW(AI362),COLUMN(AI362),4)&amp;"  you can enter another weight"</f>
        <v>cell AI362  you can enter another weight</v>
      </c>
      <c r="AD362" s="1552"/>
      <c r="AE362" s="1559"/>
      <c r="AF362" s="141"/>
      <c r="AG362" s="1552"/>
      <c r="AI362" s="6349">
        <v>1</v>
      </c>
      <c r="AJ362" s="6349"/>
      <c r="AK362" s="6349"/>
      <c r="AL362" s="1560"/>
      <c r="AU362" s="141"/>
      <c r="AV362" s="141"/>
      <c r="AW362" s="141"/>
      <c r="AX362" s="141"/>
      <c r="AY362" s="6166" t="str">
        <f>"celda  "&amp;ADDRESS(ROW(BE362),COLUMN(BE362),4)&amp;"  puede introducir otro peso"</f>
        <v>celda  BE362  puede introducir otro peso</v>
      </c>
      <c r="AZ362" s="1552"/>
      <c r="BA362" s="1559"/>
      <c r="BB362" s="141"/>
      <c r="BC362" s="1552"/>
      <c r="BE362" s="6349">
        <v>1</v>
      </c>
      <c r="BF362" s="6349"/>
      <c r="BG362" s="6349"/>
      <c r="BH362" s="1560"/>
      <c r="CN362" s="5">
        <v>1</v>
      </c>
    </row>
    <row r="363" spans="3:92">
      <c r="C363" s="141"/>
      <c r="D363" s="141"/>
      <c r="E363" s="141"/>
      <c r="G363" s="6170">
        <v>10</v>
      </c>
      <c r="H363" s="1512">
        <v>8</v>
      </c>
      <c r="I363" s="1566"/>
      <c r="J363" s="1512">
        <v>5</v>
      </c>
      <c r="K363" s="1512">
        <v>6</v>
      </c>
      <c r="L363" s="1512">
        <v>10</v>
      </c>
      <c r="M363" s="6350" t="s">
        <v>1284</v>
      </c>
      <c r="N363" s="6350"/>
      <c r="O363" s="6350"/>
      <c r="P363" s="1567"/>
      <c r="Y363" s="4"/>
      <c r="Z363" s="4"/>
      <c r="AA363" s="4"/>
      <c r="AB363" s="4"/>
      <c r="AC363" s="6170">
        <v>10</v>
      </c>
      <c r="AD363" s="1512">
        <v>8</v>
      </c>
      <c r="AE363" s="1566"/>
      <c r="AF363" s="1512">
        <v>5</v>
      </c>
      <c r="AG363" s="1512">
        <v>6</v>
      </c>
      <c r="AH363" s="1512">
        <v>10</v>
      </c>
      <c r="AI363" s="6350" t="s">
        <v>9823</v>
      </c>
      <c r="AJ363" s="6350"/>
      <c r="AK363" s="6350"/>
      <c r="AL363" s="1567"/>
      <c r="AU363" s="141"/>
      <c r="AV363" s="141"/>
      <c r="AW363" s="141"/>
      <c r="AX363" s="141"/>
      <c r="AY363" s="6170">
        <v>10</v>
      </c>
      <c r="AZ363" s="1512">
        <v>8</v>
      </c>
      <c r="BA363" s="1566"/>
      <c r="BB363" s="1512">
        <v>5</v>
      </c>
      <c r="BC363" s="1512">
        <v>6</v>
      </c>
      <c r="BD363" s="1512">
        <v>10</v>
      </c>
      <c r="BE363" s="6350" t="s">
        <v>9961</v>
      </c>
      <c r="BF363" s="6350"/>
      <c r="BG363" s="6350"/>
      <c r="BH363" s="1567"/>
      <c r="CN363" s="5">
        <v>1</v>
      </c>
    </row>
    <row r="364" spans="3:92">
      <c r="C364" s="141"/>
      <c r="D364" s="141"/>
      <c r="E364" s="141"/>
      <c r="G364" s="6171">
        <f>M362/G363*1000</f>
        <v>100</v>
      </c>
      <c r="H364" s="1573">
        <f>M362/H363*1000</f>
        <v>125</v>
      </c>
      <c r="I364" s="1574"/>
      <c r="J364" s="1573">
        <f>M362/J363*1000</f>
        <v>200</v>
      </c>
      <c r="K364" s="1573">
        <f>M362/K363*1000</f>
        <v>166.66666666666666</v>
      </c>
      <c r="L364" s="1573">
        <f>M362/L363*1000</f>
        <v>100</v>
      </c>
      <c r="M364" s="6348" t="s">
        <v>1285</v>
      </c>
      <c r="N364" s="6348"/>
      <c r="O364" s="6348"/>
      <c r="P364" s="1558"/>
      <c r="Y364" s="4"/>
      <c r="Z364" s="4"/>
      <c r="AA364" s="4"/>
      <c r="AB364" s="4"/>
      <c r="AC364" s="6171">
        <f>AI362/AC363*1000</f>
        <v>100</v>
      </c>
      <c r="AD364" s="1573">
        <f>AI362/AD363*1000</f>
        <v>125</v>
      </c>
      <c r="AE364" s="1574"/>
      <c r="AF364" s="1573">
        <f>AI362/AF363*1000</f>
        <v>200</v>
      </c>
      <c r="AG364" s="1573">
        <f>AI362/AG363*1000</f>
        <v>166.66666666666666</v>
      </c>
      <c r="AH364" s="1573">
        <f>AI362/AH363*1000</f>
        <v>100</v>
      </c>
      <c r="AI364" s="6348" t="s">
        <v>9824</v>
      </c>
      <c r="AJ364" s="6348"/>
      <c r="AK364" s="6348"/>
      <c r="AL364" s="1558"/>
      <c r="AU364" s="141"/>
      <c r="AV364" s="141"/>
      <c r="AW364" s="141"/>
      <c r="AX364" s="141"/>
      <c r="AY364" s="6171">
        <f>BE362/AY363*1000</f>
        <v>100</v>
      </c>
      <c r="AZ364" s="1573">
        <f>BE362/AZ363*1000</f>
        <v>125</v>
      </c>
      <c r="BA364" s="1574"/>
      <c r="BB364" s="1573">
        <f>BE362/BB363*1000</f>
        <v>200</v>
      </c>
      <c r="BC364" s="1573">
        <f>BE362/BC363*1000</f>
        <v>166.66666666666666</v>
      </c>
      <c r="BD364" s="1573">
        <f>BE362/BD363*1000</f>
        <v>100</v>
      </c>
      <c r="BE364" s="6348" t="s">
        <v>9962</v>
      </c>
      <c r="BF364" s="6348"/>
      <c r="BG364" s="6348"/>
      <c r="BH364" s="1558"/>
      <c r="CN364" s="5">
        <v>1</v>
      </c>
    </row>
    <row r="365" spans="3:92" ht="15.75">
      <c r="C365" s="141"/>
      <c r="D365" s="141"/>
      <c r="E365" s="141"/>
      <c r="G365" s="6172" t="s">
        <v>1279</v>
      </c>
      <c r="H365" s="1577"/>
      <c r="I365" s="1578" t="s">
        <v>1287</v>
      </c>
      <c r="J365" s="1577"/>
      <c r="K365" s="1577"/>
      <c r="L365" s="1578" t="s">
        <v>1288</v>
      </c>
      <c r="M365" s="988"/>
      <c r="N365" s="988"/>
      <c r="O365" s="988"/>
      <c r="P365" s="1325"/>
      <c r="Y365" s="4"/>
      <c r="Z365" s="4"/>
      <c r="AA365" s="4"/>
      <c r="AB365" s="4"/>
      <c r="AC365" s="6172" t="s">
        <v>9816</v>
      </c>
      <c r="AD365" s="1577"/>
      <c r="AE365" s="1578" t="s">
        <v>9818</v>
      </c>
      <c r="AF365" s="1577"/>
      <c r="AG365" s="1577"/>
      <c r="AH365" s="1578" t="s">
        <v>9820</v>
      </c>
      <c r="AI365" s="988"/>
      <c r="AJ365" s="988"/>
      <c r="AK365" s="988"/>
      <c r="AL365" s="1325"/>
      <c r="AU365" s="141"/>
      <c r="AV365" s="141"/>
      <c r="AW365" s="141"/>
      <c r="AX365" s="141"/>
      <c r="AY365" s="6172" t="s">
        <v>9953</v>
      </c>
      <c r="AZ365" s="1577"/>
      <c r="BA365" s="1578" t="s">
        <v>9955</v>
      </c>
      <c r="BB365" s="1577"/>
      <c r="BC365" s="1577"/>
      <c r="BD365" s="1578" t="s">
        <v>9957</v>
      </c>
      <c r="BE365" s="988"/>
      <c r="BF365" s="988"/>
      <c r="BG365" s="988"/>
      <c r="BH365" s="1325"/>
      <c r="CN365" s="5">
        <v>1</v>
      </c>
    </row>
    <row r="366" spans="3:92" ht="15.75">
      <c r="C366" s="141"/>
      <c r="D366" s="141"/>
      <c r="E366" s="141"/>
      <c r="G366" s="6172" t="s">
        <v>1290</v>
      </c>
      <c r="H366" s="1577"/>
      <c r="I366" s="1579" t="s">
        <v>1291</v>
      </c>
      <c r="J366" s="1577"/>
      <c r="K366" s="1577"/>
      <c r="L366" s="1578" t="s">
        <v>1292</v>
      </c>
      <c r="M366" s="6351" t="s">
        <v>1293</v>
      </c>
      <c r="N366" s="6351"/>
      <c r="O366" s="6351"/>
      <c r="P366" s="1580"/>
      <c r="Y366" s="4"/>
      <c r="Z366" s="4"/>
      <c r="AA366" s="4"/>
      <c r="AB366" s="4"/>
      <c r="AC366" s="6172" t="s">
        <v>9817</v>
      </c>
      <c r="AD366" s="1577"/>
      <c r="AE366" s="1579" t="s">
        <v>9819</v>
      </c>
      <c r="AF366" s="1577"/>
      <c r="AG366" s="1577"/>
      <c r="AH366" s="1578" t="s">
        <v>9821</v>
      </c>
      <c r="AI366" s="6351" t="s">
        <v>9825</v>
      </c>
      <c r="AJ366" s="6351"/>
      <c r="AK366" s="6351"/>
      <c r="AL366" s="1580"/>
      <c r="AU366" s="141"/>
      <c r="AV366" s="141"/>
      <c r="AW366" s="141"/>
      <c r="AX366" s="141"/>
      <c r="AY366" s="6172" t="s">
        <v>9954</v>
      </c>
      <c r="AZ366" s="1577"/>
      <c r="BA366" s="6745" t="s">
        <v>9956</v>
      </c>
      <c r="BB366" s="1577"/>
      <c r="BC366" s="1577"/>
      <c r="BD366" s="1578" t="s">
        <v>9958</v>
      </c>
      <c r="BE366" s="6746" t="s">
        <v>9963</v>
      </c>
      <c r="BF366" s="6746"/>
      <c r="BG366" s="6351"/>
      <c r="BH366" s="1580"/>
      <c r="CN366" s="5">
        <v>1</v>
      </c>
    </row>
    <row r="367" spans="3:92" ht="15.75">
      <c r="C367" s="141"/>
      <c r="D367" s="141"/>
      <c r="E367" s="141"/>
      <c r="G367" s="1369" t="s">
        <v>864</v>
      </c>
      <c r="H367" s="1321"/>
      <c r="I367" s="1321"/>
      <c r="J367" s="1321"/>
      <c r="K367" s="1321"/>
      <c r="L367" s="1321"/>
      <c r="M367" s="6329"/>
      <c r="N367" s="6329"/>
      <c r="O367" s="6329"/>
      <c r="P367" s="1370"/>
      <c r="Y367" s="4"/>
      <c r="Z367" s="4"/>
      <c r="AA367" s="4"/>
      <c r="AB367" s="4"/>
      <c r="AC367" s="1369" t="s">
        <v>9757</v>
      </c>
      <c r="AD367" s="1321"/>
      <c r="AE367" s="1321"/>
      <c r="AF367" s="1321"/>
      <c r="AG367" s="1321"/>
      <c r="AH367" s="1321"/>
      <c r="AI367" s="6329"/>
      <c r="AJ367" s="6329"/>
      <c r="AK367" s="6329"/>
      <c r="AL367" s="1370"/>
      <c r="AU367" s="141"/>
      <c r="AV367" s="141"/>
      <c r="AW367" s="141"/>
      <c r="AX367" s="141"/>
      <c r="AY367" s="6743" t="s">
        <v>8422</v>
      </c>
      <c r="AZ367" s="1321"/>
      <c r="BA367" s="1321"/>
      <c r="BB367" s="1321"/>
      <c r="BC367" s="1321"/>
      <c r="BD367" s="1321"/>
      <c r="BE367" s="6329"/>
      <c r="BF367" s="6329"/>
      <c r="BG367" s="6329"/>
      <c r="BH367" s="1370"/>
      <c r="CN367" s="5">
        <v>1</v>
      </c>
    </row>
    <row r="368" spans="3:92" ht="15.75">
      <c r="C368" s="141"/>
      <c r="D368" s="141"/>
      <c r="E368" s="141"/>
      <c r="G368" s="5292"/>
      <c r="H368" s="988"/>
      <c r="I368" s="988"/>
      <c r="J368" s="988"/>
      <c r="K368" s="988"/>
      <c r="L368" s="988"/>
      <c r="M368" s="988"/>
      <c r="N368" s="988"/>
      <c r="O368" s="988"/>
      <c r="P368" s="1325"/>
      <c r="Y368" s="4"/>
      <c r="Z368" s="4"/>
      <c r="AA368" s="4"/>
      <c r="AB368" s="4"/>
      <c r="AC368" s="5292"/>
      <c r="AD368" s="988"/>
      <c r="AE368" s="988"/>
      <c r="AF368" s="988"/>
      <c r="AG368" s="988"/>
      <c r="AH368" s="988"/>
      <c r="AI368" s="988"/>
      <c r="AJ368" s="988"/>
      <c r="AK368" s="988"/>
      <c r="AL368" s="1325"/>
      <c r="AU368" s="141"/>
      <c r="AV368" s="141"/>
      <c r="AW368" s="141"/>
      <c r="AX368" s="141"/>
      <c r="AY368" s="5292"/>
      <c r="AZ368" s="988"/>
      <c r="BA368" s="988"/>
      <c r="BB368" s="988"/>
      <c r="BC368" s="988"/>
      <c r="BD368" s="988"/>
      <c r="BE368" s="988"/>
      <c r="BF368" s="988"/>
      <c r="BG368" s="988"/>
      <c r="BH368" s="1325"/>
      <c r="CN368" s="5">
        <v>1</v>
      </c>
    </row>
    <row r="369" spans="3:92" ht="15.75">
      <c r="C369" s="141"/>
      <c r="D369" s="141"/>
      <c r="E369" s="141"/>
      <c r="G369" s="5292"/>
      <c r="H369" s="988"/>
      <c r="I369" s="988"/>
      <c r="J369" s="988"/>
      <c r="K369" s="988"/>
      <c r="L369" s="988"/>
      <c r="M369" s="988"/>
      <c r="N369" s="988"/>
      <c r="O369" s="988"/>
      <c r="P369" s="1325"/>
      <c r="Y369" s="4"/>
      <c r="Z369" s="4"/>
      <c r="AA369" s="4"/>
      <c r="AB369" s="4"/>
      <c r="AC369" s="5292"/>
      <c r="AD369" s="988"/>
      <c r="AE369" s="988"/>
      <c r="AF369" s="988"/>
      <c r="AG369" s="988"/>
      <c r="AH369" s="988"/>
      <c r="AI369" s="988"/>
      <c r="AJ369" s="988"/>
      <c r="AK369" s="988"/>
      <c r="AL369" s="1325"/>
      <c r="AU369" s="141"/>
      <c r="AV369" s="141"/>
      <c r="AW369" s="141"/>
      <c r="AX369" s="141"/>
      <c r="AY369" s="5292"/>
      <c r="AZ369" s="988"/>
      <c r="BA369" s="988"/>
      <c r="BB369" s="988"/>
      <c r="BC369" s="988"/>
      <c r="BD369" s="988"/>
      <c r="BE369" s="988"/>
      <c r="BF369" s="988"/>
      <c r="BG369" s="988"/>
      <c r="BH369" s="1325"/>
      <c r="CN369" s="5">
        <v>1</v>
      </c>
    </row>
    <row r="370" spans="3:92" ht="15.75">
      <c r="C370" s="141"/>
      <c r="D370" s="141"/>
      <c r="E370" s="141"/>
      <c r="G370" s="5292"/>
      <c r="H370" s="988"/>
      <c r="I370" s="988"/>
      <c r="J370" s="988"/>
      <c r="K370" s="988"/>
      <c r="L370" s="988"/>
      <c r="M370" s="988"/>
      <c r="N370" s="988"/>
      <c r="O370" s="988"/>
      <c r="P370" s="1325"/>
      <c r="Y370" s="4"/>
      <c r="Z370" s="4"/>
      <c r="AA370" s="4"/>
      <c r="AB370" s="4"/>
      <c r="AC370" s="5292"/>
      <c r="AD370" s="988"/>
      <c r="AE370" s="988"/>
      <c r="AF370" s="988"/>
      <c r="AG370" s="988"/>
      <c r="AH370" s="988"/>
      <c r="AI370" s="988"/>
      <c r="AJ370" s="988"/>
      <c r="AK370" s="988"/>
      <c r="AL370" s="1325"/>
      <c r="AU370" s="141"/>
      <c r="AV370" s="141"/>
      <c r="AW370" s="141"/>
      <c r="AX370" s="141"/>
      <c r="AY370" s="5292"/>
      <c r="AZ370" s="988"/>
      <c r="BA370" s="988"/>
      <c r="BB370" s="988"/>
      <c r="BC370" s="988"/>
      <c r="BD370" s="988"/>
      <c r="BE370" s="988"/>
      <c r="BF370" s="988"/>
      <c r="BG370" s="988"/>
      <c r="BH370" s="1325"/>
      <c r="CN370" s="5">
        <v>1</v>
      </c>
    </row>
    <row r="371" spans="3:92" ht="15.75">
      <c r="C371" s="141"/>
      <c r="D371" s="141"/>
      <c r="E371" s="141"/>
      <c r="G371" s="6131"/>
      <c r="H371" s="997"/>
      <c r="I371" s="997"/>
      <c r="J371" s="997"/>
      <c r="K371" s="997"/>
      <c r="L371" s="997"/>
      <c r="M371" s="6327" t="s">
        <v>1112</v>
      </c>
      <c r="N371" s="6327"/>
      <c r="O371" s="6327"/>
      <c r="P371" s="6132"/>
      <c r="Y371" s="4"/>
      <c r="Z371" s="4"/>
      <c r="AA371" s="4"/>
      <c r="AB371" s="4"/>
      <c r="AC371" s="6131"/>
      <c r="AD371" s="997"/>
      <c r="AE371" s="997"/>
      <c r="AF371" s="997"/>
      <c r="AG371" s="997"/>
      <c r="AH371" s="997"/>
      <c r="AI371" s="5409"/>
      <c r="AJ371" s="5409"/>
      <c r="AK371" s="5409"/>
      <c r="AL371" s="5291" t="s">
        <v>9718</v>
      </c>
      <c r="AU371" s="141"/>
      <c r="AV371" s="141"/>
      <c r="AW371" s="141"/>
      <c r="AX371" s="141"/>
      <c r="AY371" s="6131"/>
      <c r="AZ371" s="997"/>
      <c r="BA371" s="997"/>
      <c r="BB371" s="997"/>
      <c r="BC371" s="997"/>
      <c r="BD371" s="988"/>
      <c r="BE371" s="6263"/>
      <c r="BF371" s="6263"/>
      <c r="BG371" s="6263"/>
      <c r="BH371" s="6132" t="s">
        <v>9859</v>
      </c>
      <c r="CN371" s="5">
        <v>1</v>
      </c>
    </row>
    <row r="372" spans="3:92" ht="15.75">
      <c r="C372" s="141"/>
      <c r="D372" s="141"/>
      <c r="E372" s="141"/>
      <c r="G372" s="6146"/>
      <c r="H372" s="1002"/>
      <c r="I372" s="1002" t="s">
        <v>873</v>
      </c>
      <c r="J372" s="1003"/>
      <c r="K372" s="1329"/>
      <c r="L372" s="1329"/>
      <c r="M372" s="1329"/>
      <c r="N372" s="1329"/>
      <c r="O372" s="1329"/>
      <c r="P372" s="1330"/>
      <c r="Y372" s="4"/>
      <c r="Z372" s="4"/>
      <c r="AA372" s="4"/>
      <c r="AB372" s="4"/>
      <c r="AC372" s="6146"/>
      <c r="AD372" s="1002"/>
      <c r="AE372" s="1002" t="s">
        <v>8386</v>
      </c>
      <c r="AF372" s="1003"/>
      <c r="AG372" s="1329"/>
      <c r="AH372" s="1329"/>
      <c r="AI372" s="1329"/>
      <c r="AJ372" s="1329"/>
      <c r="AK372" s="1329"/>
      <c r="AL372" s="1330"/>
      <c r="AU372" s="141"/>
      <c r="AV372" s="141"/>
      <c r="AW372" s="141"/>
      <c r="AX372" s="141"/>
      <c r="AY372" s="6146"/>
      <c r="AZ372" s="1002"/>
      <c r="BA372" s="1002" t="s">
        <v>8426</v>
      </c>
      <c r="BB372" s="1003"/>
      <c r="BC372" s="1329"/>
      <c r="BD372" s="1329"/>
      <c r="BE372" s="1329"/>
      <c r="BF372" s="1329"/>
      <c r="BG372" s="1329"/>
      <c r="BH372" s="1330"/>
      <c r="CN372" s="5">
        <v>1</v>
      </c>
    </row>
    <row r="373" spans="3:92" ht="16.5" thickBot="1">
      <c r="C373" s="141"/>
      <c r="D373" s="141"/>
      <c r="E373" s="141"/>
      <c r="G373" s="1332"/>
      <c r="H373" s="1006"/>
      <c r="I373" s="1007"/>
      <c r="J373" s="1008"/>
      <c r="K373" s="1007"/>
      <c r="L373" s="1007"/>
      <c r="M373" s="1007"/>
      <c r="N373" s="1007"/>
      <c r="O373" s="1007"/>
      <c r="P373" s="1333"/>
      <c r="Y373" s="4"/>
      <c r="Z373" s="4"/>
      <c r="AA373" s="4"/>
      <c r="AB373" s="4"/>
      <c r="AC373" s="1332"/>
      <c r="AD373" s="1006"/>
      <c r="AE373" s="1007"/>
      <c r="AF373" s="1008"/>
      <c r="AG373" s="1007"/>
      <c r="AH373" s="1007"/>
      <c r="AI373" s="1007"/>
      <c r="AJ373" s="1007"/>
      <c r="AK373" s="1007"/>
      <c r="AL373" s="1333"/>
      <c r="AU373" s="141"/>
      <c r="AV373" s="141"/>
      <c r="AW373" s="141"/>
      <c r="AX373" s="141"/>
      <c r="AY373" s="1332"/>
      <c r="AZ373" s="1006"/>
      <c r="BA373" s="1007"/>
      <c r="BB373" s="1008"/>
      <c r="BC373" s="1007"/>
      <c r="BD373" s="1007"/>
      <c r="BE373" s="1007"/>
      <c r="BF373" s="1007"/>
      <c r="BG373" s="1007"/>
      <c r="BH373" s="1333"/>
      <c r="CN373" s="5">
        <v>1</v>
      </c>
    </row>
    <row r="374" spans="3:92">
      <c r="C374" s="141"/>
      <c r="D374" s="141"/>
      <c r="E374" s="141"/>
      <c r="G374"/>
      <c r="H374"/>
      <c r="I374"/>
      <c r="J374"/>
      <c r="K374"/>
      <c r="L374"/>
      <c r="M374"/>
      <c r="N374"/>
      <c r="O374"/>
      <c r="P374"/>
      <c r="Y374" s="4"/>
      <c r="Z374" s="4"/>
      <c r="AA374" s="4"/>
      <c r="AB374" s="4"/>
      <c r="AU374" s="141"/>
      <c r="AV374" s="141"/>
      <c r="AW374" s="141"/>
      <c r="AX374" s="141"/>
      <c r="CN374" s="5">
        <v>1</v>
      </c>
    </row>
    <row r="375" spans="3:92">
      <c r="C375" s="141"/>
      <c r="D375" s="141"/>
      <c r="E375" s="141"/>
      <c r="G375" s="141"/>
      <c r="H375" s="141"/>
      <c r="I375" s="141"/>
      <c r="J375" s="141"/>
      <c r="K375" s="141"/>
      <c r="L375" s="141"/>
      <c r="M375" s="141"/>
      <c r="N375" s="141"/>
      <c r="O375" s="141"/>
      <c r="P375" s="141"/>
      <c r="Y375" s="4"/>
      <c r="Z375" s="4"/>
      <c r="AA375" s="4"/>
      <c r="AB375" s="4"/>
      <c r="AC375" s="141"/>
      <c r="AD375" s="141"/>
      <c r="AE375" s="141"/>
      <c r="AF375" s="141"/>
      <c r="AG375" s="141"/>
      <c r="AH375" s="141"/>
      <c r="AI375" s="141"/>
      <c r="AJ375" s="141"/>
      <c r="AK375" s="141"/>
      <c r="AL375" s="141"/>
      <c r="AU375" s="141"/>
      <c r="AV375" s="141"/>
      <c r="AW375" s="141"/>
      <c r="AX375" s="141"/>
      <c r="AY375" s="141"/>
      <c r="AZ375" s="141"/>
      <c r="BA375" s="141"/>
      <c r="BB375" s="141"/>
      <c r="BC375" s="141"/>
      <c r="BD375" s="141"/>
      <c r="BE375" s="141"/>
      <c r="BF375" s="141"/>
      <c r="BG375" s="141"/>
      <c r="BH375" s="141"/>
      <c r="CN375" s="5">
        <v>1</v>
      </c>
    </row>
    <row r="376" spans="3:92" ht="15.75">
      <c r="C376" s="141"/>
      <c r="D376" s="141"/>
      <c r="E376" s="141"/>
      <c r="G376" s="1354" t="s">
        <v>252</v>
      </c>
      <c r="H376" s="6151"/>
      <c r="I376" s="6151"/>
      <c r="J376" s="6151"/>
      <c r="K376" s="6151"/>
      <c r="L376" s="6152"/>
      <c r="M376" s="6152"/>
      <c r="N376" s="6152"/>
      <c r="O376" s="6152"/>
      <c r="P376" s="6133" t="s">
        <v>1256</v>
      </c>
      <c r="Y376" s="4"/>
      <c r="Z376" s="4"/>
      <c r="AA376" s="4"/>
      <c r="AB376" s="4"/>
      <c r="AC376" s="1354" t="s">
        <v>9333</v>
      </c>
      <c r="AD376" s="6151"/>
      <c r="AE376" s="6151"/>
      <c r="AF376" s="6151"/>
      <c r="AG376" s="6151"/>
      <c r="AH376" s="6152"/>
      <c r="AI376" s="6152"/>
      <c r="AJ376" s="6152"/>
      <c r="AK376" s="6152"/>
      <c r="AL376" s="6133" t="s">
        <v>9826</v>
      </c>
      <c r="AU376" s="141"/>
      <c r="AV376" s="141"/>
      <c r="AW376" s="141"/>
      <c r="AX376" s="141"/>
      <c r="AY376" s="1354" t="s">
        <v>9490</v>
      </c>
      <c r="AZ376" s="6151"/>
      <c r="BA376" s="6151"/>
      <c r="BB376" s="6151"/>
      <c r="BC376" s="6151"/>
      <c r="BD376" s="6152"/>
      <c r="BE376" s="6152"/>
      <c r="BF376" s="6152"/>
      <c r="BG376" s="6152"/>
      <c r="BH376" s="6133" t="s">
        <v>9964</v>
      </c>
      <c r="CN376" s="5">
        <v>1</v>
      </c>
    </row>
    <row r="377" spans="3:92" ht="15.75">
      <c r="C377" s="141"/>
      <c r="D377" s="141"/>
      <c r="E377" s="141"/>
      <c r="G377" s="6173" t="s">
        <v>1296</v>
      </c>
      <c r="H377" s="1590"/>
      <c r="I377" s="1591"/>
      <c r="J377" s="1592"/>
      <c r="K377" s="1591"/>
      <c r="L377" s="1591"/>
      <c r="M377" s="1592"/>
      <c r="N377" s="1592"/>
      <c r="O377" s="1592"/>
      <c r="P377" s="1593"/>
      <c r="Y377" s="4"/>
      <c r="Z377" s="4"/>
      <c r="AA377" s="4"/>
      <c r="AB377" s="4"/>
      <c r="AC377" s="6173" t="s">
        <v>9827</v>
      </c>
      <c r="AD377" s="1590"/>
      <c r="AE377" s="1591"/>
      <c r="AF377" s="1592"/>
      <c r="AG377" s="1591"/>
      <c r="AH377" s="1591"/>
      <c r="AI377" s="1592"/>
      <c r="AJ377" s="1592"/>
      <c r="AK377" s="1592"/>
      <c r="AL377" s="1593"/>
      <c r="AU377" s="141"/>
      <c r="AV377" s="141"/>
      <c r="AW377" s="141"/>
      <c r="AX377" s="141"/>
      <c r="AY377" s="6173" t="s">
        <v>9965</v>
      </c>
      <c r="AZ377" s="1590"/>
      <c r="BA377" s="1591"/>
      <c r="BB377" s="1592"/>
      <c r="BC377" s="1591"/>
      <c r="BD377" s="1591"/>
      <c r="BE377" s="1592"/>
      <c r="BF377" s="1592"/>
      <c r="BG377" s="1592"/>
      <c r="BH377" s="1593"/>
      <c r="CN377" s="5">
        <v>1</v>
      </c>
    </row>
    <row r="378" spans="3:92" ht="15.75">
      <c r="C378" s="141"/>
      <c r="D378" s="141"/>
      <c r="E378" s="141"/>
      <c r="G378" s="5271"/>
      <c r="H378" s="102"/>
      <c r="I378" s="102"/>
      <c r="J378" s="102"/>
      <c r="K378" s="1525" t="s">
        <v>1255</v>
      </c>
      <c r="L378" s="102"/>
      <c r="M378" s="6352"/>
      <c r="N378" s="6352"/>
      <c r="O378" s="6352"/>
      <c r="P378" s="1598"/>
      <c r="Y378" s="4"/>
      <c r="Z378" s="4"/>
      <c r="AA378" s="4"/>
      <c r="AB378" s="4"/>
      <c r="AC378" s="5271"/>
      <c r="AD378" s="102"/>
      <c r="AE378" s="102"/>
      <c r="AF378" s="102"/>
      <c r="AG378" s="1525" t="s">
        <v>851</v>
      </c>
      <c r="AH378" s="102"/>
      <c r="AI378" s="6352"/>
      <c r="AJ378" s="6352"/>
      <c r="AK378" s="6352"/>
      <c r="AL378" s="1598"/>
      <c r="AU378" s="141"/>
      <c r="AV378" s="141"/>
      <c r="AW378" s="141"/>
      <c r="AX378" s="141"/>
      <c r="AY378" s="5271"/>
      <c r="AZ378" s="102"/>
      <c r="BA378" s="102"/>
      <c r="BB378" s="102"/>
      <c r="BC378" s="1525" t="s">
        <v>8414</v>
      </c>
      <c r="BD378" s="102"/>
      <c r="BE378" s="6352"/>
      <c r="BF378" s="6352"/>
      <c r="BG378" s="6352"/>
      <c r="BH378" s="1598"/>
      <c r="CN378" s="5">
        <v>1</v>
      </c>
    </row>
    <row r="379" spans="3:92">
      <c r="C379" s="141"/>
      <c r="D379" s="141"/>
      <c r="E379" s="141"/>
      <c r="G379" s="6174" t="s">
        <v>1257</v>
      </c>
      <c r="H379" s="1528" t="s">
        <v>1258</v>
      </c>
      <c r="I379" s="7082" t="s">
        <v>162</v>
      </c>
      <c r="J379" s="7082"/>
      <c r="K379" s="1529" t="s">
        <v>1259</v>
      </c>
      <c r="L379"/>
      <c r="M379" s="1525" t="s">
        <v>1185</v>
      </c>
      <c r="N379" s="1525"/>
      <c r="O379" s="1525"/>
      <c r="P379" s="1530"/>
      <c r="Y379" s="4"/>
      <c r="Z379" s="4"/>
      <c r="AA379" s="4"/>
      <c r="AB379" s="4"/>
      <c r="AC379" s="6174" t="s">
        <v>9828</v>
      </c>
      <c r="AD379" s="1528" t="s">
        <v>9829</v>
      </c>
      <c r="AE379" s="7082" t="s">
        <v>9830</v>
      </c>
      <c r="AF379" s="7082"/>
      <c r="AG379" s="1529" t="s">
        <v>1259</v>
      </c>
      <c r="AI379" s="1525" t="s">
        <v>9744</v>
      </c>
      <c r="AJ379" s="1525"/>
      <c r="AK379" s="1525"/>
      <c r="AL379" s="1530"/>
      <c r="AU379" s="141"/>
      <c r="AV379" s="141"/>
      <c r="AW379" s="141"/>
      <c r="AX379" s="141"/>
      <c r="AY379" s="6174" t="s">
        <v>9966</v>
      </c>
      <c r="AZ379" s="1528" t="s">
        <v>9967</v>
      </c>
      <c r="BA379" s="7082" t="s">
        <v>9968</v>
      </c>
      <c r="BB379" s="7082"/>
      <c r="BC379" s="260" t="s">
        <v>9970</v>
      </c>
      <c r="BE379" s="1525" t="s">
        <v>9881</v>
      </c>
      <c r="BF379" s="1525"/>
      <c r="BG379" s="1525"/>
      <c r="BH379" s="1530"/>
      <c r="CN379" s="5">
        <v>1</v>
      </c>
    </row>
    <row r="380" spans="3:92" ht="15.75">
      <c r="C380" s="141"/>
      <c r="D380" s="141"/>
      <c r="E380" s="141"/>
      <c r="G380" s="7067">
        <v>750</v>
      </c>
      <c r="H380" s="1531">
        <v>1</v>
      </c>
      <c r="I380" s="7068" t="s">
        <v>1260</v>
      </c>
      <c r="J380" s="7068"/>
      <c r="K380" s="1532">
        <v>16</v>
      </c>
      <c r="L380" s="1401">
        <f>H380*G380</f>
        <v>750</v>
      </c>
      <c r="M380" s="6296" t="s">
        <v>1261</v>
      </c>
      <c r="N380" s="1525"/>
      <c r="O380" s="6354"/>
      <c r="P380" s="6355"/>
      <c r="Y380" s="4"/>
      <c r="Z380" s="4"/>
      <c r="AA380" s="4"/>
      <c r="AB380" s="4"/>
      <c r="AC380" s="7067">
        <v>750</v>
      </c>
      <c r="AD380" s="1531">
        <v>1</v>
      </c>
      <c r="AE380" s="7068" t="s">
        <v>1260</v>
      </c>
      <c r="AF380" s="7068"/>
      <c r="AG380" s="1532">
        <v>16</v>
      </c>
      <c r="AH380" s="1401">
        <f>AD380*AC380</f>
        <v>750</v>
      </c>
      <c r="AI380" s="6296" t="s">
        <v>9832</v>
      </c>
      <c r="AJ380" s="6296"/>
      <c r="AK380" s="6354"/>
      <c r="AL380" s="6355"/>
      <c r="AU380" s="141"/>
      <c r="AV380" s="141"/>
      <c r="AW380" s="141"/>
      <c r="AX380" s="141"/>
      <c r="AY380" s="7067">
        <v>750</v>
      </c>
      <c r="AZ380" s="1531">
        <v>1</v>
      </c>
      <c r="BA380" s="7068" t="s">
        <v>9969</v>
      </c>
      <c r="BB380" s="7068"/>
      <c r="BC380" s="1532">
        <v>16</v>
      </c>
      <c r="BD380" s="1401">
        <f>AZ380*AY380</f>
        <v>750</v>
      </c>
      <c r="BE380" s="6296" t="s">
        <v>9972</v>
      </c>
      <c r="BF380" s="6296"/>
      <c r="BG380" s="6354"/>
      <c r="BH380" s="6355"/>
      <c r="CN380" s="5">
        <v>1</v>
      </c>
    </row>
    <row r="381" spans="3:92" ht="15.75">
      <c r="C381" s="141"/>
      <c r="D381" s="141"/>
      <c r="E381" s="141"/>
      <c r="G381" s="7067"/>
      <c r="H381" s="6175">
        <v>120</v>
      </c>
      <c r="I381" s="260" t="s">
        <v>1262</v>
      </c>
      <c r="J381" s="1174"/>
      <c r="K381" s="6176">
        <v>1.2</v>
      </c>
      <c r="L381" s="1536">
        <f>(H381*G380)/1000</f>
        <v>90</v>
      </c>
      <c r="M381" s="7069" t="s">
        <v>1263</v>
      </c>
      <c r="N381" s="6353"/>
      <c r="O381" s="6353"/>
      <c r="P381" s="6295"/>
      <c r="Y381" s="4"/>
      <c r="Z381" s="4"/>
      <c r="AA381" s="4"/>
      <c r="AB381" s="4"/>
      <c r="AC381" s="7067"/>
      <c r="AD381" s="6175">
        <v>120</v>
      </c>
      <c r="AE381" s="260" t="s">
        <v>9831</v>
      </c>
      <c r="AF381" s="1174"/>
      <c r="AG381" s="6176">
        <v>1.2</v>
      </c>
      <c r="AH381" s="1536">
        <f>(AD381*AC380)/1000</f>
        <v>90</v>
      </c>
      <c r="AI381" s="7069" t="s">
        <v>9833</v>
      </c>
      <c r="AJ381" s="6353"/>
      <c r="AK381" s="6353"/>
      <c r="AL381" s="6295"/>
      <c r="AU381" s="141"/>
      <c r="AV381" s="141"/>
      <c r="AW381" s="141"/>
      <c r="AX381" s="141"/>
      <c r="AY381" s="7067"/>
      <c r="AZ381" s="6175">
        <v>120</v>
      </c>
      <c r="BA381" s="1529" t="s">
        <v>9971</v>
      </c>
      <c r="BB381" s="1174"/>
      <c r="BC381" s="6176">
        <v>1.2</v>
      </c>
      <c r="BD381" s="1536">
        <f>(AZ381*AY380)/1000</f>
        <v>90</v>
      </c>
      <c r="BE381" s="7069" t="s">
        <v>9973</v>
      </c>
      <c r="BF381" s="6353"/>
      <c r="BG381" s="6353"/>
      <c r="BH381" s="6295"/>
      <c r="CN381" s="5">
        <v>1</v>
      </c>
    </row>
    <row r="382" spans="3:92" ht="15.75">
      <c r="C382" s="141"/>
      <c r="D382" s="141"/>
      <c r="E382" s="141"/>
      <c r="G382" s="6177" t="str">
        <f>INT(L380/K380) &amp; " " &amp; M380 &amp; " de " &amp; K380 &amp; " " &amp; I380 &amp; IF(MOD(L380,K380)&gt;0, " + 1 "&amp;M380&amp;" de " &amp; TEXT(MOD(L380,K380), "0.00") &amp; " " &amp; I380, "")</f>
        <v>46 Assiette(s) de 16 madeleine(s) + 1 Assiette(s) de 14.00 madeleine(s)</v>
      </c>
      <c r="H382" s="141"/>
      <c r="I382" s="141"/>
      <c r="J382" s="141"/>
      <c r="K382" s="141"/>
      <c r="L382" s="988"/>
      <c r="M382" s="7069"/>
      <c r="N382" s="6353"/>
      <c r="O382" s="6353"/>
      <c r="P382" s="6295"/>
      <c r="Y382" s="4"/>
      <c r="Z382" s="4"/>
      <c r="AA382" s="4"/>
      <c r="AB382" s="4"/>
      <c r="AC382" s="6177" t="str">
        <f>INT(AH380/AG380) &amp; " " &amp; AI380 &amp; " of " &amp; AG380 &amp; " " &amp; AE380 &amp; IF(MOD(AH380,AG380)&gt;0, " + 1 "&amp;AI380&amp;" de " &amp; TEXT(MOD(AH380,AG380), "0.00") &amp; " " &amp; AE380, "")</f>
        <v>46 Plate(s) of 16 madeleine(s) + 1 Plate(s) de 14.00 madeleine(s)</v>
      </c>
      <c r="AD382" s="141"/>
      <c r="AE382" s="141"/>
      <c r="AF382" s="141"/>
      <c r="AG382" s="141"/>
      <c r="AH382" s="988"/>
      <c r="AI382" s="7069"/>
      <c r="AJ382" s="6353"/>
      <c r="AK382" s="6353"/>
      <c r="AL382" s="6295"/>
      <c r="AU382" s="141"/>
      <c r="AV382" s="141"/>
      <c r="AW382" s="141"/>
      <c r="AX382" s="141"/>
      <c r="AY382" s="6177" t="str">
        <f>INT(BD380/BC380) &amp; " " &amp; BE380 &amp; " de " &amp; BC380 &amp; " " &amp; BA380 &amp; IF(MOD(BD380,BC380)&gt;0, " + 1 "&amp;BE380&amp;" de " &amp; TEXT(MOD(BD380,BC380), "0.00") &amp; " " &amp; BA380, "")</f>
        <v>46 Plato(s) de 16 magdalena(s) + 1 Plato(s) de 14.00 magdalena(s)</v>
      </c>
      <c r="AZ382" s="141"/>
      <c r="BA382" s="141"/>
      <c r="BB382" s="141"/>
      <c r="BC382" s="141"/>
      <c r="BD382" s="988"/>
      <c r="BE382" s="7069"/>
      <c r="BF382" s="6353"/>
      <c r="BG382" s="6353"/>
      <c r="BH382" s="6295"/>
      <c r="CN382" s="5">
        <v>1</v>
      </c>
    </row>
    <row r="383" spans="3:92" ht="15.75">
      <c r="C383" s="141"/>
      <c r="D383" s="141"/>
      <c r="E383" s="141"/>
      <c r="G383" s="6178" t="str">
        <f>IF(MOD(L381, K381) = 0, INT(L381/K381) &amp; " " &amp; M380 &amp; " de " &amp; K381 &amp; " kg", INT(L381/K381) &amp; " " &amp; M380 &amp; " de " &amp; K381 &amp; " kg" &amp; " + 1 "&amp;M380&amp;" de " &amp; TEXT(MOD(L381, K381), "0.00") &amp; " kg")</f>
        <v>75 Assiette(s) de 1.2 kg + 1 Assiette(s) de 0.00 kg</v>
      </c>
      <c r="H383" s="141"/>
      <c r="I383" s="141"/>
      <c r="J383" s="141"/>
      <c r="K383" s="141"/>
      <c r="L383" s="988"/>
      <c r="M383" s="7069"/>
      <c r="N383" s="6353"/>
      <c r="O383" s="6353"/>
      <c r="P383" s="6295"/>
      <c r="Y383" s="4"/>
      <c r="Z383" s="4"/>
      <c r="AA383" s="4"/>
      <c r="AB383" s="4"/>
      <c r="AC383" s="6178" t="str">
        <f>IF(MOD(AH381, AG381) = 0, INT(AH381/AG381) &amp; " " &amp; AI380 &amp; " of " &amp; AG381 &amp; " kg", INT(AH381/AG381) &amp; " " &amp; AI380 &amp; " de " &amp; AG381 &amp; " kg" &amp; " + 1 "&amp;AI380&amp;" de " &amp; TEXT(MOD(AH381, AG381), "0.00") &amp; " kg")</f>
        <v>75 Plate(s) de 1.2 kg + 1 Plate(s) de 0.00 kg</v>
      </c>
      <c r="AD383" s="141"/>
      <c r="AE383" s="141"/>
      <c r="AF383" s="141"/>
      <c r="AG383" s="141"/>
      <c r="AH383" s="988"/>
      <c r="AI383" s="7069"/>
      <c r="AJ383" s="6353"/>
      <c r="AK383" s="6353"/>
      <c r="AL383" s="6295"/>
      <c r="AU383" s="141"/>
      <c r="AV383" s="141"/>
      <c r="AW383" s="141"/>
      <c r="AX383" s="141"/>
      <c r="AY383" s="6178" t="str">
        <f>IF(MOD(BD381, BC381) = 0, INT(BD381/BC381) &amp; " " &amp; BE380 &amp; " de " &amp; BC381 &amp; " kg", INT(BD381/BC381) &amp; " " &amp; BE380 &amp; " de " &amp; BC381 &amp; " kg" &amp; " + 1 "&amp;BE380&amp;" de " &amp; TEXT(MOD(BD381, BC381), "0.00") &amp; " kg")</f>
        <v>75 Plato(s) de 1.2 kg + 1 Plato(s) de 0.00 kg</v>
      </c>
      <c r="AZ383" s="141"/>
      <c r="BA383" s="141"/>
      <c r="BB383" s="141"/>
      <c r="BC383" s="141"/>
      <c r="BD383" s="988"/>
      <c r="BE383" s="7069"/>
      <c r="BF383" s="6353"/>
      <c r="BG383" s="6353"/>
      <c r="BH383" s="6295"/>
      <c r="CN383" s="5">
        <v>1</v>
      </c>
    </row>
    <row r="384" spans="3:92" ht="15.75">
      <c r="C384" s="141"/>
      <c r="D384" s="141"/>
      <c r="E384" s="141"/>
      <c r="G384" s="5292"/>
      <c r="H384" s="988"/>
      <c r="I384" s="988"/>
      <c r="J384" s="988"/>
      <c r="K384" s="988"/>
      <c r="L384" s="988"/>
      <c r="M384" s="988"/>
      <c r="N384" s="988"/>
      <c r="O384" s="988"/>
      <c r="P384" s="1325"/>
      <c r="Y384" s="4"/>
      <c r="Z384" s="4"/>
      <c r="AA384" s="4"/>
      <c r="AB384" s="4"/>
      <c r="AC384" s="5292"/>
      <c r="AD384" s="988"/>
      <c r="AE384" s="988"/>
      <c r="AF384" s="988"/>
      <c r="AG384" s="988"/>
      <c r="AH384" s="988"/>
      <c r="AI384" s="988"/>
      <c r="AJ384" s="988"/>
      <c r="AK384" s="988"/>
      <c r="AL384" s="1325"/>
      <c r="AU384" s="141"/>
      <c r="AV384" s="141"/>
      <c r="AW384" s="141"/>
      <c r="AX384" s="141"/>
      <c r="AY384" s="5292"/>
      <c r="AZ384" s="988"/>
      <c r="BA384" s="988"/>
      <c r="BB384" s="988"/>
      <c r="BC384" s="988"/>
      <c r="BD384" s="988"/>
      <c r="BE384" s="988"/>
      <c r="BF384" s="988"/>
      <c r="BG384" s="988"/>
      <c r="BH384" s="1325"/>
      <c r="CN384" s="5">
        <v>1</v>
      </c>
    </row>
    <row r="385" spans="3:92" ht="15.75">
      <c r="C385" s="141"/>
      <c r="D385" s="141"/>
      <c r="E385" s="141"/>
      <c r="G385" s="1369" t="s">
        <v>864</v>
      </c>
      <c r="H385" s="1321"/>
      <c r="I385" s="1321"/>
      <c r="J385" s="1321"/>
      <c r="K385" s="1321"/>
      <c r="L385" s="1321"/>
      <c r="M385" s="6329"/>
      <c r="N385" s="6329"/>
      <c r="O385" s="6329"/>
      <c r="P385" s="1370"/>
      <c r="Y385" s="4"/>
      <c r="Z385" s="4"/>
      <c r="AA385" s="4"/>
      <c r="AB385" s="4"/>
      <c r="AC385" s="1369" t="s">
        <v>864</v>
      </c>
      <c r="AD385" s="1321"/>
      <c r="AE385" s="1321"/>
      <c r="AF385" s="1321"/>
      <c r="AG385" s="1321"/>
      <c r="AH385" s="1321"/>
      <c r="AI385" s="6329"/>
      <c r="AJ385" s="6329"/>
      <c r="AK385" s="6329"/>
      <c r="AL385" s="1370"/>
      <c r="AU385" s="141"/>
      <c r="AV385" s="141"/>
      <c r="AW385" s="141"/>
      <c r="AX385" s="141"/>
      <c r="AY385" s="6743" t="s">
        <v>8422</v>
      </c>
      <c r="AZ385" s="1321"/>
      <c r="BA385" s="1321"/>
      <c r="BB385" s="1321"/>
      <c r="BC385" s="1321"/>
      <c r="BD385" s="1321"/>
      <c r="BE385" s="6329"/>
      <c r="BF385" s="6329"/>
      <c r="BG385" s="6329"/>
      <c r="BH385" s="1370"/>
      <c r="CN385" s="5">
        <v>1</v>
      </c>
    </row>
    <row r="386" spans="3:92" ht="15.75">
      <c r="C386" s="141"/>
      <c r="D386" s="141"/>
      <c r="E386" s="141"/>
      <c r="G386" s="6145"/>
      <c r="H386" s="1385"/>
      <c r="I386" s="1385"/>
      <c r="J386" s="1385"/>
      <c r="K386" s="1385"/>
      <c r="L386" s="1385"/>
      <c r="M386" s="1385"/>
      <c r="N386" s="1385"/>
      <c r="O386" s="1385"/>
      <c r="P386" s="1443"/>
      <c r="Y386" s="4"/>
      <c r="Z386" s="4"/>
      <c r="AA386" s="4"/>
      <c r="AB386" s="4"/>
      <c r="AC386" s="6145"/>
      <c r="AD386" s="1385"/>
      <c r="AE386" s="1385"/>
      <c r="AF386" s="1385"/>
      <c r="AG386" s="1385"/>
      <c r="AH386" s="1385"/>
      <c r="AI386" s="1385"/>
      <c r="AJ386" s="1385"/>
      <c r="AK386" s="1385"/>
      <c r="AL386" s="1443"/>
      <c r="AU386" s="141"/>
      <c r="AV386" s="141"/>
      <c r="AW386" s="141"/>
      <c r="AX386" s="141"/>
      <c r="AY386" s="6145"/>
      <c r="AZ386" s="1385"/>
      <c r="BA386" s="1385"/>
      <c r="BB386" s="1385"/>
      <c r="BC386" s="1385"/>
      <c r="BD386" s="1385"/>
      <c r="BE386" s="1385"/>
      <c r="BF386" s="1385"/>
      <c r="BG386" s="1385"/>
      <c r="BH386" s="1443"/>
      <c r="CN386" s="5">
        <v>1</v>
      </c>
    </row>
    <row r="387" spans="3:92" ht="15.75">
      <c r="C387" s="141"/>
      <c r="D387" s="141"/>
      <c r="E387" s="141"/>
      <c r="G387" s="6145"/>
      <c r="H387" s="1385"/>
      <c r="I387" s="1385"/>
      <c r="J387" s="1385"/>
      <c r="K387" s="1385"/>
      <c r="L387" s="1385"/>
      <c r="M387" s="1385"/>
      <c r="N387" s="1385"/>
      <c r="O387" s="1385"/>
      <c r="P387" s="1443"/>
      <c r="Y387" s="4"/>
      <c r="Z387" s="4"/>
      <c r="AA387" s="4"/>
      <c r="AB387" s="4"/>
      <c r="AC387" s="6145"/>
      <c r="AD387" s="1385"/>
      <c r="AE387" s="1385"/>
      <c r="AF387" s="1385"/>
      <c r="AG387" s="1385"/>
      <c r="AH387" s="1385"/>
      <c r="AI387" s="1385"/>
      <c r="AJ387" s="1385"/>
      <c r="AK387" s="1385"/>
      <c r="AL387" s="1443"/>
      <c r="AU387" s="141"/>
      <c r="AV387" s="141"/>
      <c r="AW387" s="141"/>
      <c r="AX387" s="141"/>
      <c r="AY387" s="6145"/>
      <c r="AZ387" s="1385"/>
      <c r="BA387" s="1385"/>
      <c r="BB387" s="1385"/>
      <c r="BC387" s="1385"/>
      <c r="BD387" s="1385"/>
      <c r="BE387" s="1385"/>
      <c r="BF387" s="1385"/>
      <c r="BG387" s="1385"/>
      <c r="BH387" s="1443"/>
      <c r="CN387" s="5">
        <v>1</v>
      </c>
    </row>
    <row r="388" spans="3:92" ht="15.75">
      <c r="C388" s="141"/>
      <c r="D388" s="141"/>
      <c r="E388" s="141"/>
      <c r="G388" s="6145"/>
      <c r="H388" s="1385"/>
      <c r="I388" s="1385"/>
      <c r="J388" s="1385"/>
      <c r="K388" s="1385"/>
      <c r="L388" s="1385"/>
      <c r="M388" s="1385"/>
      <c r="N388" s="1385"/>
      <c r="O388" s="1385"/>
      <c r="P388" s="1443"/>
      <c r="Y388" s="4"/>
      <c r="Z388" s="4"/>
      <c r="AA388" s="4"/>
      <c r="AB388" s="4"/>
      <c r="AC388" s="6145"/>
      <c r="AD388" s="1385"/>
      <c r="AE388" s="1385"/>
      <c r="AF388" s="1385"/>
      <c r="AG388" s="1385"/>
      <c r="AH388" s="1385"/>
      <c r="AI388" s="1385"/>
      <c r="AJ388" s="1385"/>
      <c r="AK388" s="1385"/>
      <c r="AL388" s="1443"/>
      <c r="AU388" s="141"/>
      <c r="AV388" s="141"/>
      <c r="AW388" s="141"/>
      <c r="AX388" s="141"/>
      <c r="AY388" s="6145"/>
      <c r="AZ388" s="1385"/>
      <c r="BA388" s="1385"/>
      <c r="BB388" s="1385"/>
      <c r="BC388" s="1385"/>
      <c r="BD388" s="1385"/>
      <c r="BE388" s="1385"/>
      <c r="BF388" s="1385"/>
      <c r="BG388" s="1385"/>
      <c r="BH388" s="1443"/>
      <c r="CN388" s="5">
        <v>1</v>
      </c>
    </row>
    <row r="389" spans="3:92" ht="15.75">
      <c r="C389" s="141"/>
      <c r="D389" s="141"/>
      <c r="E389" s="141"/>
      <c r="G389" s="6145"/>
      <c r="H389" s="1385"/>
      <c r="I389" s="1385"/>
      <c r="J389" s="1385"/>
      <c r="K389" s="1385"/>
      <c r="L389" s="1385"/>
      <c r="M389" s="1385"/>
      <c r="N389" s="1385"/>
      <c r="O389" s="1385"/>
      <c r="P389" s="1443"/>
      <c r="Y389" s="4"/>
      <c r="Z389" s="4"/>
      <c r="AA389" s="4"/>
      <c r="AB389" s="4"/>
      <c r="AC389" s="6145"/>
      <c r="AD389" s="1385"/>
      <c r="AE389" s="1385"/>
      <c r="AF389" s="1385"/>
      <c r="AG389" s="1385"/>
      <c r="AH389" s="1385"/>
      <c r="AI389" s="1385"/>
      <c r="AJ389" s="1385"/>
      <c r="AK389" s="1385"/>
      <c r="AL389" s="1443"/>
      <c r="AU389" s="141"/>
      <c r="AV389" s="141"/>
      <c r="AW389" s="141"/>
      <c r="AX389" s="141"/>
      <c r="AY389" s="6145"/>
      <c r="AZ389" s="1385"/>
      <c r="BA389" s="1385"/>
      <c r="BB389" s="1385"/>
      <c r="BC389" s="1385"/>
      <c r="BD389" s="1385"/>
      <c r="BE389" s="1385"/>
      <c r="BF389" s="1385"/>
      <c r="BG389" s="1385"/>
      <c r="BH389" s="1443"/>
      <c r="CN389" s="5">
        <v>1</v>
      </c>
    </row>
    <row r="390" spans="3:92">
      <c r="C390" s="141"/>
      <c r="D390" s="141"/>
      <c r="E390" s="141"/>
      <c r="G390" s="6131"/>
      <c r="H390" s="997"/>
      <c r="I390" s="997"/>
      <c r="J390" s="997"/>
      <c r="K390" s="997"/>
      <c r="L390" s="997"/>
      <c r="M390" s="6327"/>
      <c r="N390" s="6327"/>
      <c r="O390" s="6327"/>
      <c r="P390" s="6132" t="s">
        <v>1112</v>
      </c>
      <c r="Y390" s="4"/>
      <c r="Z390" s="4"/>
      <c r="AA390" s="4"/>
      <c r="AB390" s="4"/>
      <c r="AC390" s="6131"/>
      <c r="AD390" s="997"/>
      <c r="AE390" s="997"/>
      <c r="AF390" s="997"/>
      <c r="AG390" s="997"/>
      <c r="AH390" s="997"/>
      <c r="AI390" s="5409"/>
      <c r="AJ390" s="5409"/>
      <c r="AK390" s="5409"/>
      <c r="AL390" s="5291" t="s">
        <v>9718</v>
      </c>
      <c r="AU390" s="141"/>
      <c r="AV390" s="141"/>
      <c r="AW390" s="141"/>
      <c r="AX390" s="141"/>
      <c r="AY390" s="6131"/>
      <c r="AZ390" s="997"/>
      <c r="BA390" s="997"/>
      <c r="BB390" s="997"/>
      <c r="BC390" s="997"/>
      <c r="BD390" s="997"/>
      <c r="BE390" s="6327"/>
      <c r="BF390" s="6327"/>
      <c r="BG390" s="6327"/>
      <c r="BH390" s="6132" t="s">
        <v>9859</v>
      </c>
      <c r="CN390" s="5">
        <v>1</v>
      </c>
    </row>
    <row r="391" spans="3:92" ht="15.75">
      <c r="C391" s="141"/>
      <c r="D391" s="141"/>
      <c r="E391" s="141"/>
      <c r="G391" s="6146"/>
      <c r="H391" s="1002"/>
      <c r="I391" s="1002" t="s">
        <v>873</v>
      </c>
      <c r="J391" s="1003"/>
      <c r="K391" s="1329"/>
      <c r="L391" s="1329"/>
      <c r="M391" s="1329"/>
      <c r="N391" s="1329"/>
      <c r="O391" s="1329"/>
      <c r="P391" s="1330"/>
      <c r="Y391" s="4"/>
      <c r="Z391" s="4"/>
      <c r="AA391" s="4"/>
      <c r="AB391" s="4"/>
      <c r="AC391" s="6146"/>
      <c r="AD391" s="1002"/>
      <c r="AE391" s="1002" t="s">
        <v>8386</v>
      </c>
      <c r="AF391" s="1003"/>
      <c r="AG391" s="1329"/>
      <c r="AH391" s="1329"/>
      <c r="AI391" s="1329"/>
      <c r="AJ391" s="1329"/>
      <c r="AK391" s="1329"/>
      <c r="AL391" s="1330"/>
      <c r="AU391" s="141"/>
      <c r="AV391" s="141"/>
      <c r="AW391" s="141"/>
      <c r="AX391" s="141"/>
      <c r="AY391" s="6146"/>
      <c r="AZ391" s="1002"/>
      <c r="BA391" s="1002" t="s">
        <v>8426</v>
      </c>
      <c r="BB391" s="1003"/>
      <c r="BC391" s="1329"/>
      <c r="BD391" s="1329"/>
      <c r="BE391" s="1329"/>
      <c r="BF391" s="1329"/>
      <c r="BG391" s="1329"/>
      <c r="BH391" s="1330"/>
      <c r="CN391" s="5">
        <v>1</v>
      </c>
    </row>
    <row r="392" spans="3:92" ht="16.5" thickBot="1">
      <c r="C392" s="141"/>
      <c r="D392" s="141"/>
      <c r="E392" s="141"/>
      <c r="G392" s="1332"/>
      <c r="H392" s="1006"/>
      <c r="I392" s="1007"/>
      <c r="J392" s="1008"/>
      <c r="K392" s="1007"/>
      <c r="L392" s="1007"/>
      <c r="M392" s="1007"/>
      <c r="N392" s="1007"/>
      <c r="O392" s="1007"/>
      <c r="P392" s="1333"/>
      <c r="Y392" s="4"/>
      <c r="Z392" s="4"/>
      <c r="AA392" s="4"/>
      <c r="AB392" s="4"/>
      <c r="AC392" s="1332"/>
      <c r="AD392" s="1006"/>
      <c r="AE392" s="1007"/>
      <c r="AF392" s="1008"/>
      <c r="AG392" s="1007"/>
      <c r="AH392" s="1007"/>
      <c r="AI392" s="1007"/>
      <c r="AJ392" s="1007"/>
      <c r="AK392" s="1007"/>
      <c r="AL392" s="1333"/>
      <c r="AU392" s="141"/>
      <c r="AV392" s="141"/>
      <c r="AW392" s="141"/>
      <c r="AX392" s="141"/>
      <c r="AY392" s="1332"/>
      <c r="AZ392" s="1006"/>
      <c r="BA392" s="1007"/>
      <c r="BB392" s="1008"/>
      <c r="BC392" s="1007"/>
      <c r="BD392" s="1007"/>
      <c r="BE392" s="1007"/>
      <c r="BF392" s="1007"/>
      <c r="BG392" s="1007"/>
      <c r="BH392" s="1333"/>
      <c r="CN392" s="5">
        <v>1</v>
      </c>
    </row>
    <row r="393" spans="3:92">
      <c r="C393" s="141"/>
      <c r="D393" s="141"/>
      <c r="E393" s="141"/>
      <c r="G393"/>
      <c r="H393"/>
      <c r="I393"/>
      <c r="J393"/>
      <c r="K393"/>
      <c r="L393"/>
      <c r="M393"/>
      <c r="N393"/>
      <c r="O393"/>
      <c r="P393"/>
      <c r="Y393" s="4"/>
      <c r="Z393" s="4"/>
      <c r="AA393" s="4"/>
      <c r="AB393" s="4"/>
      <c r="AU393" s="141"/>
      <c r="AV393" s="141"/>
      <c r="AW393" s="141"/>
      <c r="AX393" s="141"/>
      <c r="CN393" s="5">
        <v>1</v>
      </c>
    </row>
    <row r="394" spans="3:92">
      <c r="C394" s="141"/>
      <c r="D394" s="141"/>
      <c r="E394" s="141"/>
      <c r="G394" s="141"/>
      <c r="H394" s="141"/>
      <c r="I394" s="141"/>
      <c r="J394" s="141"/>
      <c r="K394" s="141"/>
      <c r="L394" s="141"/>
      <c r="M394" s="141"/>
      <c r="N394" s="141"/>
      <c r="O394" s="141"/>
      <c r="P394" s="141"/>
      <c r="Y394" s="4"/>
      <c r="Z394" s="4"/>
      <c r="AA394" s="4"/>
      <c r="AB394" s="4"/>
      <c r="AC394" s="141"/>
      <c r="AD394" s="141"/>
      <c r="AE394" s="141"/>
      <c r="AF394" s="141"/>
      <c r="AG394" s="141"/>
      <c r="AH394" s="141"/>
      <c r="AI394" s="141"/>
      <c r="AJ394" s="141"/>
      <c r="AK394" s="141"/>
      <c r="AL394" s="141"/>
      <c r="AU394" s="141"/>
      <c r="AV394" s="141"/>
      <c r="AW394" s="141"/>
      <c r="AX394" s="141"/>
      <c r="AY394" s="141"/>
      <c r="AZ394" s="141"/>
      <c r="BA394" s="141"/>
      <c r="BB394" s="141"/>
      <c r="BC394" s="141"/>
      <c r="BD394" s="141"/>
      <c r="BE394" s="141"/>
      <c r="BF394" s="141"/>
      <c r="BG394" s="141"/>
      <c r="BH394" s="141"/>
      <c r="CN394" s="5">
        <v>1</v>
      </c>
    </row>
    <row r="395" spans="3:92" ht="15.75">
      <c r="C395" s="141"/>
      <c r="D395" s="141"/>
      <c r="E395" s="141"/>
      <c r="G395" s="1354" t="s">
        <v>252</v>
      </c>
      <c r="H395" s="6151"/>
      <c r="I395" s="6151"/>
      <c r="J395" s="6151"/>
      <c r="K395" s="6151"/>
      <c r="L395" s="6152"/>
      <c r="M395" s="6152"/>
      <c r="N395" s="6152"/>
      <c r="O395" s="6152"/>
      <c r="P395" s="6133" t="s">
        <v>1298</v>
      </c>
      <c r="Y395" s="4"/>
      <c r="Z395" s="4"/>
      <c r="AA395" s="4"/>
      <c r="AB395" s="4"/>
      <c r="AC395" s="1354" t="s">
        <v>9333</v>
      </c>
      <c r="AD395" s="6151"/>
      <c r="AE395" s="6151"/>
      <c r="AF395" s="6151"/>
      <c r="AG395" s="6151"/>
      <c r="AH395" s="6152"/>
      <c r="AI395" s="6152"/>
      <c r="AJ395" s="6152"/>
      <c r="AK395" s="6152"/>
      <c r="AL395" s="6133" t="s">
        <v>9834</v>
      </c>
      <c r="AU395" s="141"/>
      <c r="AV395" s="141"/>
      <c r="AW395" s="141"/>
      <c r="AX395" s="141"/>
      <c r="AY395" s="1354" t="s">
        <v>9490</v>
      </c>
      <c r="AZ395" s="6151"/>
      <c r="BA395" s="6151"/>
      <c r="BB395" s="6151"/>
      <c r="BC395" s="6151"/>
      <c r="BD395" s="6152"/>
      <c r="BE395" s="6152"/>
      <c r="BF395" s="6152"/>
      <c r="BG395" s="6152"/>
      <c r="BH395" s="6133" t="s">
        <v>9974</v>
      </c>
      <c r="CN395" s="5">
        <v>1</v>
      </c>
    </row>
    <row r="396" spans="3:92" ht="15.75">
      <c r="C396" s="141"/>
      <c r="D396" s="141"/>
      <c r="E396" s="141"/>
      <c r="G396" s="5271"/>
      <c r="H396" s="147"/>
      <c r="I396" s="147"/>
      <c r="J396" s="147"/>
      <c r="K396" s="147"/>
      <c r="L396" s="147"/>
      <c r="M396" s="6351" t="s">
        <v>1293</v>
      </c>
      <c r="N396" s="6351"/>
      <c r="O396" s="6351"/>
      <c r="P396" s="1580"/>
      <c r="Y396" s="4"/>
      <c r="Z396" s="4"/>
      <c r="AA396" s="4"/>
      <c r="AB396" s="4"/>
      <c r="AC396" s="5271"/>
      <c r="AD396" s="147"/>
      <c r="AE396" s="147"/>
      <c r="AF396" s="147"/>
      <c r="AG396" s="147"/>
      <c r="AH396" s="147"/>
      <c r="AI396" s="6351" t="s">
        <v>9825</v>
      </c>
      <c r="AJ396" s="6351"/>
      <c r="AK396" s="6351"/>
      <c r="AL396" s="1580"/>
      <c r="AU396" s="141"/>
      <c r="AV396" s="141"/>
      <c r="AW396" s="141"/>
      <c r="AX396" s="141"/>
      <c r="AY396" s="5271"/>
      <c r="AZ396" s="147"/>
      <c r="BA396" s="147"/>
      <c r="BB396" s="147"/>
      <c r="BC396" s="147"/>
      <c r="BD396" s="147"/>
      <c r="BE396" s="6746" t="s">
        <v>9963</v>
      </c>
      <c r="BF396" s="6746"/>
      <c r="BG396" s="6351"/>
      <c r="BH396" s="1580"/>
      <c r="CN396" s="5">
        <v>1</v>
      </c>
    </row>
    <row r="397" spans="3:92" ht="15.75">
      <c r="C397" s="141"/>
      <c r="D397" s="141"/>
      <c r="E397" s="141"/>
      <c r="G397" s="6179"/>
      <c r="H397" s="1601" t="s">
        <v>762</v>
      </c>
      <c r="I397" s="988"/>
      <c r="J397" s="1602">
        <v>2</v>
      </c>
      <c r="K397" s="1603"/>
      <c r="L397" s="1604">
        <v>10</v>
      </c>
      <c r="M397" s="6356" t="s">
        <v>751</v>
      </c>
      <c r="N397" s="6356"/>
      <c r="O397" s="6356"/>
      <c r="P397" s="6180"/>
      <c r="Y397" s="4"/>
      <c r="Z397" s="4"/>
      <c r="AA397" s="4"/>
      <c r="AB397" s="4"/>
      <c r="AC397" s="6179"/>
      <c r="AD397" s="1601" t="s">
        <v>9835</v>
      </c>
      <c r="AE397" s="988"/>
      <c r="AF397" s="1602">
        <v>2</v>
      </c>
      <c r="AG397" s="1603"/>
      <c r="AH397" s="1604">
        <v>10</v>
      </c>
      <c r="AI397" s="6356" t="s">
        <v>9840</v>
      </c>
      <c r="AJ397" s="6356"/>
      <c r="AK397" s="6356"/>
      <c r="AL397" s="6180"/>
      <c r="AU397" s="141"/>
      <c r="AV397" s="141"/>
      <c r="AW397" s="141"/>
      <c r="AX397" s="141"/>
      <c r="AY397" s="6179"/>
      <c r="AZ397" s="1601" t="s">
        <v>9975</v>
      </c>
      <c r="BA397" s="988"/>
      <c r="BB397" s="1602">
        <v>2</v>
      </c>
      <c r="BC397" s="1603"/>
      <c r="BD397" s="1604">
        <v>10</v>
      </c>
      <c r="BE397" s="6356" t="s">
        <v>9980</v>
      </c>
      <c r="BF397" s="6356"/>
      <c r="BG397" s="6356"/>
      <c r="BH397" s="6180"/>
      <c r="CN397" s="5">
        <v>1</v>
      </c>
    </row>
    <row r="398" spans="3:92" ht="15.75">
      <c r="C398" s="141"/>
      <c r="D398" s="141"/>
      <c r="E398" s="141"/>
      <c r="G398" s="6181"/>
      <c r="H398" s="6182" t="s">
        <v>759</v>
      </c>
      <c r="I398" s="988"/>
      <c r="J398" s="1606">
        <v>1</v>
      </c>
      <c r="K398" s="1607"/>
      <c r="L398" s="1608">
        <v>15</v>
      </c>
      <c r="M398" s="6357" t="s">
        <v>752</v>
      </c>
      <c r="N398" s="6357"/>
      <c r="O398" s="6357"/>
      <c r="P398" s="1609"/>
      <c r="Y398" s="4"/>
      <c r="Z398" s="4"/>
      <c r="AA398" s="4"/>
      <c r="AB398" s="4"/>
      <c r="AC398" s="6181"/>
      <c r="AD398" s="6182" t="s">
        <v>9836</v>
      </c>
      <c r="AE398" s="988"/>
      <c r="AF398" s="1606">
        <v>1</v>
      </c>
      <c r="AG398" s="1607"/>
      <c r="AH398" s="1608">
        <v>15</v>
      </c>
      <c r="AI398" s="6357" t="s">
        <v>9841</v>
      </c>
      <c r="AJ398" s="6357"/>
      <c r="AK398" s="6357"/>
      <c r="AL398" s="1609"/>
      <c r="AU398" s="141"/>
      <c r="AV398" s="141"/>
      <c r="AW398" s="141"/>
      <c r="AX398" s="141"/>
      <c r="AY398" s="6181"/>
      <c r="AZ398" s="6182" t="s">
        <v>9976</v>
      </c>
      <c r="BA398" s="988"/>
      <c r="BB398" s="1606">
        <v>1</v>
      </c>
      <c r="BC398" s="1607"/>
      <c r="BD398" s="1608">
        <v>15</v>
      </c>
      <c r="BE398" s="6357" t="s">
        <v>9981</v>
      </c>
      <c r="BF398" s="6357"/>
      <c r="BG398" s="6357"/>
      <c r="BH398" s="1609"/>
      <c r="CN398" s="5">
        <v>1</v>
      </c>
    </row>
    <row r="399" spans="3:92" ht="15.75">
      <c r="C399" s="141"/>
      <c r="D399" s="141"/>
      <c r="E399" s="141"/>
      <c r="G399" s="6183"/>
      <c r="H399" s="1611" t="s">
        <v>765</v>
      </c>
      <c r="I399" s="988"/>
      <c r="J399" s="1612">
        <f>IF(J397=0,0,IF(J398=0,0,J397-J398))</f>
        <v>1</v>
      </c>
      <c r="K399" s="1613"/>
      <c r="L399" s="1614">
        <f>IF(L397=0,0,IF(L398=0,0,L398-L397))</f>
        <v>5</v>
      </c>
      <c r="M399" s="1623" t="s">
        <v>754</v>
      </c>
      <c r="N399" s="1623"/>
      <c r="O399" s="1623"/>
      <c r="P399" s="1615"/>
      <c r="Y399" s="4"/>
      <c r="Z399" s="4"/>
      <c r="AA399" s="4"/>
      <c r="AB399" s="4"/>
      <c r="AC399" s="6183"/>
      <c r="AD399" s="1611" t="s">
        <v>9837</v>
      </c>
      <c r="AE399" s="988"/>
      <c r="AF399" s="1612">
        <f>IF(AF397=0,0,IF(AF398=0,0,AF397-AF398))</f>
        <v>1</v>
      </c>
      <c r="AG399" s="1613"/>
      <c r="AH399" s="1614">
        <f>IF(AH397=0,0,IF(AH398=0,0,AH398-AH397))</f>
        <v>5</v>
      </c>
      <c r="AI399" s="1623" t="s">
        <v>9842</v>
      </c>
      <c r="AJ399" s="1623"/>
      <c r="AK399" s="1623"/>
      <c r="AL399" s="1615"/>
      <c r="AU399" s="141"/>
      <c r="AV399" s="141"/>
      <c r="AW399" s="141"/>
      <c r="AX399" s="141"/>
      <c r="AY399" s="6183"/>
      <c r="AZ399" s="1611" t="s">
        <v>9977</v>
      </c>
      <c r="BA399" s="988"/>
      <c r="BB399" s="1612">
        <f>IF(BB397=0,0,IF(BB398=0,0,BB397-BB398))</f>
        <v>1</v>
      </c>
      <c r="BC399" s="1613"/>
      <c r="BD399" s="1614">
        <f>IF(BD397=0,0,IF(BD398=0,0,BD398-BD397))</f>
        <v>5</v>
      </c>
      <c r="BE399" s="1623" t="s">
        <v>9982</v>
      </c>
      <c r="BF399" s="1623"/>
      <c r="BG399" s="1623"/>
      <c r="BH399" s="1615"/>
      <c r="CN399" s="5">
        <v>1</v>
      </c>
    </row>
    <row r="400" spans="3:92" ht="15.75">
      <c r="C400" s="141"/>
      <c r="D400" s="141"/>
      <c r="E400" s="141"/>
      <c r="G400" s="6183"/>
      <c r="H400" s="1611" t="s">
        <v>768</v>
      </c>
      <c r="I400" s="988"/>
      <c r="J400" s="1616">
        <f>IF(J397=0,0,J399/J397)</f>
        <v>0.5</v>
      </c>
      <c r="K400" s="1617"/>
      <c r="L400" s="1618">
        <f>IF(L397=0,0,IF(ISBLANK(L397),0,(L399/L397)*100))</f>
        <v>50</v>
      </c>
      <c r="M400" s="1623" t="s">
        <v>753</v>
      </c>
      <c r="N400" s="1623"/>
      <c r="O400" s="1623"/>
      <c r="P400" s="1615"/>
      <c r="Y400" s="4"/>
      <c r="Z400" s="4"/>
      <c r="AA400" s="4"/>
      <c r="AB400" s="4"/>
      <c r="AC400" s="6183"/>
      <c r="AD400" s="1611" t="s">
        <v>9838</v>
      </c>
      <c r="AE400" s="988"/>
      <c r="AF400" s="1616">
        <f>IF(AF397=0,0,AF399/AF397)</f>
        <v>0.5</v>
      </c>
      <c r="AG400" s="1617"/>
      <c r="AH400" s="1618">
        <f>IF(AH397=0,0,IF(ISBLANK(AH397),0,(AH399/AH397)*100))</f>
        <v>50</v>
      </c>
      <c r="AI400" s="1623" t="s">
        <v>9843</v>
      </c>
      <c r="AJ400" s="1623"/>
      <c r="AK400" s="1623"/>
      <c r="AL400" s="1615"/>
      <c r="AU400" s="141"/>
      <c r="AV400" s="141"/>
      <c r="AW400" s="141"/>
      <c r="AX400" s="141"/>
      <c r="AY400" s="6183"/>
      <c r="AZ400" s="1611" t="s">
        <v>9978</v>
      </c>
      <c r="BA400" s="988"/>
      <c r="BB400" s="1616">
        <f>IF(BB397=0,0,BB399/BB397)</f>
        <v>0.5</v>
      </c>
      <c r="BC400" s="1617"/>
      <c r="BD400" s="1618">
        <f>IF(BD397=0,0,IF(ISBLANK(BD397),0,(BD399/BD397)*100))</f>
        <v>50</v>
      </c>
      <c r="BE400" s="1623" t="s">
        <v>9983</v>
      </c>
      <c r="BF400" s="1623"/>
      <c r="BG400" s="1623"/>
      <c r="BH400" s="1615"/>
      <c r="CN400" s="5">
        <v>1</v>
      </c>
    </row>
    <row r="401" spans="1:94" ht="15.75">
      <c r="C401" s="141"/>
      <c r="D401" s="141"/>
      <c r="E401" s="141"/>
      <c r="G401" s="6181"/>
      <c r="H401" s="6182" t="s">
        <v>764</v>
      </c>
      <c r="I401" s="988"/>
      <c r="J401" s="1619">
        <v>50</v>
      </c>
      <c r="K401" s="1603"/>
      <c r="L401" s="1604">
        <v>10</v>
      </c>
      <c r="M401" s="6356" t="s">
        <v>751</v>
      </c>
      <c r="N401" s="6356"/>
      <c r="O401" s="6356"/>
      <c r="P401" s="6180"/>
      <c r="Y401" s="4"/>
      <c r="Z401" s="4"/>
      <c r="AA401" s="4"/>
      <c r="AB401" s="4"/>
      <c r="AC401" s="6181"/>
      <c r="AD401" s="6182" t="s">
        <v>9839</v>
      </c>
      <c r="AE401" s="988"/>
      <c r="AF401" s="1619">
        <v>50</v>
      </c>
      <c r="AG401" s="1603"/>
      <c r="AH401" s="1604">
        <v>10</v>
      </c>
      <c r="AI401" s="6356" t="s">
        <v>9840</v>
      </c>
      <c r="AJ401" s="6356"/>
      <c r="AK401" s="6356"/>
      <c r="AL401" s="6180"/>
      <c r="AU401" s="141"/>
      <c r="AV401" s="141"/>
      <c r="AW401" s="141"/>
      <c r="AX401" s="141"/>
      <c r="AY401" s="6181"/>
      <c r="AZ401" s="6182" t="s">
        <v>9979</v>
      </c>
      <c r="BA401" s="988"/>
      <c r="BB401" s="1619">
        <v>50</v>
      </c>
      <c r="BC401" s="1603"/>
      <c r="BD401" s="1604">
        <v>10</v>
      </c>
      <c r="BE401" s="6356" t="s">
        <v>9980</v>
      </c>
      <c r="BF401" s="6356"/>
      <c r="BG401" s="6356"/>
      <c r="BH401" s="6180"/>
      <c r="CN401" s="5">
        <v>1</v>
      </c>
    </row>
    <row r="402" spans="1:94" ht="15.75">
      <c r="C402" s="141"/>
      <c r="D402" s="141"/>
      <c r="E402" s="141"/>
      <c r="G402" s="6183"/>
      <c r="H402" s="1611" t="s">
        <v>765</v>
      </c>
      <c r="I402" s="988"/>
      <c r="J402" s="1612">
        <f>J397*J401%</f>
        <v>1</v>
      </c>
      <c r="K402" s="1620"/>
      <c r="L402" s="1621">
        <v>50</v>
      </c>
      <c r="M402" s="6358" t="s">
        <v>753</v>
      </c>
      <c r="N402" s="6358"/>
      <c r="O402" s="6358"/>
      <c r="P402" s="1622"/>
      <c r="Y402" s="4"/>
      <c r="Z402" s="4"/>
      <c r="AA402" s="4"/>
      <c r="AB402" s="4"/>
      <c r="AC402" s="6183"/>
      <c r="AD402" s="1611" t="s">
        <v>9837</v>
      </c>
      <c r="AE402" s="988"/>
      <c r="AF402" s="1612">
        <f>AF397*AF401%</f>
        <v>1</v>
      </c>
      <c r="AG402" s="1620"/>
      <c r="AH402" s="1621">
        <v>50</v>
      </c>
      <c r="AI402" s="6358" t="s">
        <v>9843</v>
      </c>
      <c r="AJ402" s="6358"/>
      <c r="AK402" s="6358"/>
      <c r="AL402" s="1622"/>
      <c r="AU402" s="141"/>
      <c r="AV402" s="141"/>
      <c r="AW402" s="141"/>
      <c r="AX402" s="141"/>
      <c r="AY402" s="6183"/>
      <c r="AZ402" s="1611" t="s">
        <v>9977</v>
      </c>
      <c r="BA402" s="988"/>
      <c r="BB402" s="1612">
        <f>BB397*BB401%</f>
        <v>1</v>
      </c>
      <c r="BC402" s="1620"/>
      <c r="BD402" s="1621">
        <v>50</v>
      </c>
      <c r="BE402" s="6358" t="s">
        <v>9983</v>
      </c>
      <c r="BF402" s="6358"/>
      <c r="BG402" s="6358"/>
      <c r="BH402" s="1622"/>
      <c r="CN402" s="5">
        <v>1</v>
      </c>
    </row>
    <row r="403" spans="1:94" ht="15.75">
      <c r="C403" s="141"/>
      <c r="D403" s="141"/>
      <c r="E403" s="141"/>
      <c r="G403" s="6183"/>
      <c r="H403" s="1611" t="s">
        <v>773</v>
      </c>
      <c r="I403" s="988"/>
      <c r="J403" s="1612">
        <f>J397-J402</f>
        <v>1</v>
      </c>
      <c r="K403" s="1613"/>
      <c r="L403" s="1614">
        <f>L401*L402%</f>
        <v>5</v>
      </c>
      <c r="M403" s="1623" t="s">
        <v>754</v>
      </c>
      <c r="N403" s="1623"/>
      <c r="O403" s="1623"/>
      <c r="P403" s="1615"/>
      <c r="Y403" s="4"/>
      <c r="Z403" s="4"/>
      <c r="AA403" s="4"/>
      <c r="AB403" s="4"/>
      <c r="AC403" s="6183"/>
      <c r="AD403" s="1611" t="s">
        <v>9767</v>
      </c>
      <c r="AE403" s="988"/>
      <c r="AF403" s="1612">
        <f>AF397-AF402</f>
        <v>1</v>
      </c>
      <c r="AG403" s="1613"/>
      <c r="AH403" s="1614">
        <f>AH401*AH402%</f>
        <v>5</v>
      </c>
      <c r="AI403" s="1623" t="s">
        <v>9842</v>
      </c>
      <c r="AJ403" s="1623"/>
      <c r="AK403" s="1623"/>
      <c r="AL403" s="1615"/>
      <c r="AU403" s="141"/>
      <c r="AV403" s="141"/>
      <c r="AW403" s="141"/>
      <c r="AX403" s="141"/>
      <c r="AY403" s="6183"/>
      <c r="AZ403" s="1611" t="s">
        <v>9902</v>
      </c>
      <c r="BA403" s="988"/>
      <c r="BB403" s="1612">
        <f>BB397-BB402</f>
        <v>1</v>
      </c>
      <c r="BC403" s="1613"/>
      <c r="BD403" s="1614">
        <f>BD401*BD402%</f>
        <v>5</v>
      </c>
      <c r="BE403" s="1623" t="s">
        <v>9982</v>
      </c>
      <c r="BF403" s="1623"/>
      <c r="BG403" s="1623"/>
      <c r="BH403" s="1615"/>
      <c r="CN403" s="5">
        <v>1</v>
      </c>
    </row>
    <row r="404" spans="1:94" ht="15.75">
      <c r="C404" s="141"/>
      <c r="D404" s="141"/>
      <c r="E404" s="141"/>
      <c r="G404" s="5292"/>
      <c r="H404" s="1257"/>
      <c r="I404" s="988"/>
      <c r="J404" s="1623"/>
      <c r="K404" s="1624"/>
      <c r="L404" s="1614">
        <f>((L401*L402)/100)+L401</f>
        <v>15</v>
      </c>
      <c r="M404" s="1623" t="s">
        <v>752</v>
      </c>
      <c r="N404" s="1623"/>
      <c r="O404" s="1623"/>
      <c r="P404" s="1615"/>
      <c r="Y404" s="4"/>
      <c r="Z404" s="4"/>
      <c r="AA404" s="4"/>
      <c r="AB404" s="4"/>
      <c r="AC404" s="5292"/>
      <c r="AD404" s="1257"/>
      <c r="AE404" s="988"/>
      <c r="AF404" s="1623"/>
      <c r="AG404" s="1624"/>
      <c r="AH404" s="1614">
        <f>((AH401*AH402)/100)+AH401</f>
        <v>15</v>
      </c>
      <c r="AI404" s="1623" t="s">
        <v>9841</v>
      </c>
      <c r="AJ404" s="1623"/>
      <c r="AK404" s="1623"/>
      <c r="AL404" s="1615"/>
      <c r="AU404" s="141"/>
      <c r="AV404" s="141"/>
      <c r="AW404" s="141"/>
      <c r="AX404" s="141"/>
      <c r="AY404" s="5292"/>
      <c r="AZ404" s="1257"/>
      <c r="BA404" s="988"/>
      <c r="BB404" s="1623"/>
      <c r="BC404" s="1624"/>
      <c r="BD404" s="1614">
        <f>((BD401*BD402)/100)+BD401</f>
        <v>15</v>
      </c>
      <c r="BE404" s="1623" t="s">
        <v>9981</v>
      </c>
      <c r="BF404" s="1623"/>
      <c r="BG404" s="1623"/>
      <c r="BH404" s="1615"/>
      <c r="CN404" s="5">
        <v>1</v>
      </c>
    </row>
    <row r="405" spans="1:94" ht="15.75">
      <c r="C405" s="141"/>
      <c r="D405" s="141"/>
      <c r="E405" s="141"/>
      <c r="G405" s="1369" t="s">
        <v>864</v>
      </c>
      <c r="H405" s="1321"/>
      <c r="I405" s="1321"/>
      <c r="J405" s="1321"/>
      <c r="K405" s="1321"/>
      <c r="L405" s="1321"/>
      <c r="M405" s="6329"/>
      <c r="N405" s="6329"/>
      <c r="O405" s="6329"/>
      <c r="P405" s="1370"/>
      <c r="Y405" s="4"/>
      <c r="Z405" s="4"/>
      <c r="AA405" s="4"/>
      <c r="AB405" s="4"/>
      <c r="AC405" s="1369" t="s">
        <v>864</v>
      </c>
      <c r="AD405" s="1321"/>
      <c r="AE405" s="1321"/>
      <c r="AF405" s="1321"/>
      <c r="AG405" s="1321"/>
      <c r="AH405" s="1321"/>
      <c r="AI405" s="6329"/>
      <c r="AJ405" s="6329"/>
      <c r="AK405" s="6329"/>
      <c r="AL405" s="1370"/>
      <c r="AU405" s="141"/>
      <c r="AV405" s="141"/>
      <c r="AW405" s="141"/>
      <c r="AX405" s="141"/>
      <c r="AY405" s="6747" t="s">
        <v>8422</v>
      </c>
      <c r="AZ405" s="1321"/>
      <c r="BA405" s="1321"/>
      <c r="BB405" s="1321"/>
      <c r="BC405" s="1321"/>
      <c r="BD405" s="1321"/>
      <c r="BE405" s="6329"/>
      <c r="BF405" s="6329"/>
      <c r="BG405" s="6329"/>
      <c r="BH405" s="1370"/>
      <c r="CN405" s="5">
        <v>1</v>
      </c>
    </row>
    <row r="406" spans="1:94" ht="15.75">
      <c r="C406" s="141"/>
      <c r="D406" s="141"/>
      <c r="E406" s="141"/>
      <c r="G406" s="6145"/>
      <c r="H406" s="1385"/>
      <c r="I406" s="1385"/>
      <c r="J406" s="1385"/>
      <c r="K406" s="1385"/>
      <c r="L406" s="1385"/>
      <c r="M406" s="1385"/>
      <c r="N406" s="1385"/>
      <c r="O406" s="1385"/>
      <c r="P406" s="1443"/>
      <c r="Y406" s="4"/>
      <c r="Z406" s="4"/>
      <c r="AA406" s="4"/>
      <c r="AB406" s="4"/>
      <c r="AC406" s="6145"/>
      <c r="AD406" s="1385"/>
      <c r="AE406" s="1385"/>
      <c r="AF406" s="1385"/>
      <c r="AG406" s="1385"/>
      <c r="AH406" s="1385"/>
      <c r="AI406" s="1385"/>
      <c r="AJ406" s="1385"/>
      <c r="AK406" s="1385"/>
      <c r="AL406" s="1443"/>
      <c r="AU406" s="141"/>
      <c r="AV406" s="141"/>
      <c r="AW406" s="141"/>
      <c r="AX406" s="141"/>
      <c r="AY406" s="6145"/>
      <c r="AZ406" s="1385"/>
      <c r="BA406" s="1385"/>
      <c r="BB406" s="1385"/>
      <c r="BC406" s="1385"/>
      <c r="BD406" s="1385"/>
      <c r="BE406" s="1385"/>
      <c r="BF406" s="1385"/>
      <c r="BG406" s="1385"/>
      <c r="BH406" s="1443"/>
      <c r="CN406" s="5">
        <v>1</v>
      </c>
    </row>
    <row r="407" spans="1:94" ht="15.75">
      <c r="C407" s="141"/>
      <c r="D407" s="141"/>
      <c r="E407" s="141"/>
      <c r="G407" s="6145"/>
      <c r="H407" s="1385"/>
      <c r="I407" s="1385"/>
      <c r="J407" s="1385"/>
      <c r="K407" s="1385"/>
      <c r="L407" s="1385"/>
      <c r="M407" s="1385"/>
      <c r="N407" s="1385"/>
      <c r="O407" s="1385"/>
      <c r="P407" s="1443"/>
      <c r="Y407" s="4"/>
      <c r="Z407" s="4"/>
      <c r="AA407" s="4"/>
      <c r="AB407" s="4"/>
      <c r="AC407" s="6145"/>
      <c r="AD407" s="1385"/>
      <c r="AE407" s="1385"/>
      <c r="AF407" s="1385"/>
      <c r="AG407" s="1385"/>
      <c r="AH407" s="1385"/>
      <c r="AI407" s="1385"/>
      <c r="AJ407" s="1385"/>
      <c r="AK407" s="1385"/>
      <c r="AL407" s="1443"/>
      <c r="AU407" s="141"/>
      <c r="AV407" s="141"/>
      <c r="AW407" s="141"/>
      <c r="AX407" s="141"/>
      <c r="AY407" s="6145"/>
      <c r="AZ407" s="1385"/>
      <c r="BA407" s="1385"/>
      <c r="BB407" s="1385"/>
      <c r="BC407" s="1385"/>
      <c r="BD407" s="1385"/>
      <c r="BE407" s="1385"/>
      <c r="BF407" s="1385"/>
      <c r="BG407" s="1385"/>
      <c r="BH407" s="1443"/>
      <c r="CN407" s="5">
        <v>1</v>
      </c>
    </row>
    <row r="408" spans="1:94" ht="15.75">
      <c r="C408" s="141"/>
      <c r="D408" s="141"/>
      <c r="E408" s="141"/>
      <c r="G408" s="6145"/>
      <c r="H408" s="1385"/>
      <c r="I408" s="1385"/>
      <c r="J408" s="1385"/>
      <c r="K408" s="1385"/>
      <c r="L408" s="1385"/>
      <c r="M408" s="1385"/>
      <c r="N408" s="1385"/>
      <c r="O408" s="1385"/>
      <c r="P408" s="1443"/>
      <c r="Y408" s="4"/>
      <c r="Z408" s="4"/>
      <c r="AA408" s="4"/>
      <c r="AB408" s="4"/>
      <c r="AC408" s="6145"/>
      <c r="AD408" s="1385"/>
      <c r="AE408" s="1385"/>
      <c r="AF408" s="1385"/>
      <c r="AG408" s="1385"/>
      <c r="AH408" s="1385"/>
      <c r="AI408" s="1385"/>
      <c r="AJ408" s="1385"/>
      <c r="AK408" s="1385"/>
      <c r="AL408" s="1443"/>
      <c r="AU408" s="141"/>
      <c r="AV408" s="141"/>
      <c r="AW408" s="141"/>
      <c r="AX408" s="141"/>
      <c r="AY408" s="6145"/>
      <c r="AZ408" s="1385"/>
      <c r="BA408" s="1385"/>
      <c r="BB408" s="1385"/>
      <c r="BC408" s="1385"/>
      <c r="BD408" s="1385"/>
      <c r="BE408" s="1385"/>
      <c r="BF408" s="1385"/>
      <c r="BG408" s="1385"/>
      <c r="BH408" s="1443"/>
      <c r="CN408" s="5">
        <v>1</v>
      </c>
    </row>
    <row r="409" spans="1:94">
      <c r="C409" s="141"/>
      <c r="D409" s="141"/>
      <c r="E409" s="141"/>
      <c r="G409" s="6131"/>
      <c r="H409" s="997"/>
      <c r="I409" s="997"/>
      <c r="J409" s="997"/>
      <c r="K409" s="997"/>
      <c r="L409" s="997"/>
      <c r="M409" s="6327"/>
      <c r="N409" s="6327"/>
      <c r="O409" s="6327"/>
      <c r="P409" s="6132" t="s">
        <v>1112</v>
      </c>
      <c r="Y409" s="4"/>
      <c r="Z409" s="4"/>
      <c r="AA409" s="4"/>
      <c r="AB409" s="4"/>
      <c r="AC409" s="6131"/>
      <c r="AD409" s="997"/>
      <c r="AE409" s="997"/>
      <c r="AF409" s="997"/>
      <c r="AG409" s="997"/>
      <c r="AH409" s="997"/>
      <c r="AI409" s="5409"/>
      <c r="AJ409" s="5409"/>
      <c r="AK409" s="5409"/>
      <c r="AL409" s="5291" t="s">
        <v>9718</v>
      </c>
      <c r="AU409" s="141"/>
      <c r="AV409" s="141"/>
      <c r="AW409" s="141"/>
      <c r="AX409" s="141"/>
      <c r="AY409" s="6131"/>
      <c r="AZ409" s="997"/>
      <c r="BA409" s="997"/>
      <c r="BB409" s="997"/>
      <c r="BC409" s="997"/>
      <c r="BD409" s="997"/>
      <c r="BE409" s="6327"/>
      <c r="BF409" s="6327"/>
      <c r="BG409" s="6327"/>
      <c r="BH409" s="6132" t="s">
        <v>9859</v>
      </c>
      <c r="CN409" s="5">
        <v>1</v>
      </c>
    </row>
    <row r="410" spans="1:94" ht="15.75">
      <c r="C410" s="141"/>
      <c r="D410" s="141"/>
      <c r="E410" s="141"/>
      <c r="G410" s="6146"/>
      <c r="H410" s="1002"/>
      <c r="I410" s="1002" t="s">
        <v>873</v>
      </c>
      <c r="J410" s="1003"/>
      <c r="K410" s="1329"/>
      <c r="L410" s="1329"/>
      <c r="M410" s="1329"/>
      <c r="N410" s="1329"/>
      <c r="O410" s="1329"/>
      <c r="P410" s="1330"/>
      <c r="Y410" s="4"/>
      <c r="Z410" s="4"/>
      <c r="AA410" s="4"/>
      <c r="AB410" s="4"/>
      <c r="AC410" s="6146"/>
      <c r="AD410" s="1002"/>
      <c r="AE410" s="1002" t="s">
        <v>8386</v>
      </c>
      <c r="AF410" s="1003"/>
      <c r="AG410" s="1329"/>
      <c r="AH410" s="1329"/>
      <c r="AI410" s="1329"/>
      <c r="AJ410" s="1329"/>
      <c r="AK410" s="1329"/>
      <c r="AL410" s="1330"/>
      <c r="AU410" s="141"/>
      <c r="AV410" s="141"/>
      <c r="AW410" s="141"/>
      <c r="AX410" s="141"/>
      <c r="AY410" s="6146"/>
      <c r="AZ410" s="1002"/>
      <c r="BA410" s="1002" t="s">
        <v>8426</v>
      </c>
      <c r="BB410" s="1003"/>
      <c r="BC410" s="1329"/>
      <c r="BD410" s="1329"/>
      <c r="BE410" s="1329"/>
      <c r="BF410" s="1329"/>
      <c r="BG410" s="1329"/>
      <c r="BH410" s="1330"/>
      <c r="CN410" s="5">
        <v>1</v>
      </c>
    </row>
    <row r="411" spans="1:94" ht="16.5" thickBot="1">
      <c r="C411" s="141"/>
      <c r="D411" s="141"/>
      <c r="E411" s="141"/>
      <c r="G411" s="1332"/>
      <c r="H411" s="1006"/>
      <c r="I411" s="1007"/>
      <c r="J411" s="1008"/>
      <c r="K411" s="1007"/>
      <c r="L411" s="1007"/>
      <c r="M411" s="1007"/>
      <c r="N411" s="1007"/>
      <c r="O411" s="1007"/>
      <c r="P411" s="1333"/>
      <c r="Y411" s="4"/>
      <c r="Z411" s="4"/>
      <c r="AA411" s="4"/>
      <c r="AB411" s="4"/>
      <c r="AC411" s="1332"/>
      <c r="AD411" s="1006"/>
      <c r="AE411" s="1007"/>
      <c r="AF411" s="1008"/>
      <c r="AG411" s="1007"/>
      <c r="AH411" s="1007"/>
      <c r="AI411" s="1007"/>
      <c r="AJ411" s="1007"/>
      <c r="AK411" s="1007"/>
      <c r="AL411" s="1333"/>
      <c r="AU411" s="141"/>
      <c r="AV411" s="141"/>
      <c r="AW411" s="141"/>
      <c r="AX411" s="141"/>
      <c r="AY411" s="1332"/>
      <c r="AZ411" s="1006"/>
      <c r="BA411" s="1007"/>
      <c r="BB411" s="1008"/>
      <c r="BC411" s="1007"/>
      <c r="BD411" s="1007"/>
      <c r="BE411" s="1007"/>
      <c r="BF411" s="1007"/>
      <c r="BG411" s="1007"/>
      <c r="BH411" s="1333"/>
      <c r="CN411" s="5">
        <v>1</v>
      </c>
    </row>
    <row r="412" spans="1:94">
      <c r="CN412" s="5">
        <v>1</v>
      </c>
    </row>
    <row r="413" spans="1:94">
      <c r="CN413" s="10" t="s">
        <v>0</v>
      </c>
    </row>
    <row r="414" spans="1:94">
      <c r="A414" s="5">
        <v>1</v>
      </c>
      <c r="B414" s="5">
        <v>1</v>
      </c>
      <c r="C414" s="5">
        <v>1</v>
      </c>
      <c r="D414" s="5">
        <v>1</v>
      </c>
      <c r="E414" s="5">
        <v>1</v>
      </c>
      <c r="F414" s="5">
        <v>1</v>
      </c>
      <c r="G414" s="5">
        <v>1</v>
      </c>
      <c r="H414" s="5">
        <v>1</v>
      </c>
      <c r="I414" s="5">
        <v>1</v>
      </c>
      <c r="J414" s="5">
        <v>1</v>
      </c>
      <c r="K414" s="5">
        <v>1</v>
      </c>
      <c r="L414" s="5">
        <v>1</v>
      </c>
      <c r="M414" s="5">
        <v>1</v>
      </c>
      <c r="N414" s="5">
        <v>1</v>
      </c>
      <c r="O414" s="5">
        <v>1</v>
      </c>
      <c r="P414" s="5">
        <v>1</v>
      </c>
      <c r="Q414" s="5">
        <v>1</v>
      </c>
      <c r="R414" s="5">
        <v>1</v>
      </c>
      <c r="S414" s="5">
        <v>1</v>
      </c>
      <c r="T414" s="5">
        <v>1</v>
      </c>
      <c r="U414" s="5">
        <v>1</v>
      </c>
      <c r="V414" s="5">
        <v>1</v>
      </c>
      <c r="W414" s="5">
        <v>1</v>
      </c>
      <c r="X414" s="5">
        <v>1</v>
      </c>
      <c r="Y414" s="5">
        <v>1</v>
      </c>
      <c r="Z414" s="5">
        <v>1</v>
      </c>
      <c r="AA414" s="5">
        <v>1</v>
      </c>
      <c r="AB414" s="5">
        <v>1</v>
      </c>
      <c r="AC414" s="5">
        <v>1</v>
      </c>
      <c r="AD414" s="5">
        <v>1</v>
      </c>
      <c r="AE414" s="5">
        <v>1</v>
      </c>
      <c r="AF414" s="5">
        <v>1</v>
      </c>
      <c r="AG414" s="5">
        <v>1</v>
      </c>
      <c r="AH414" s="5">
        <v>1</v>
      </c>
      <c r="AI414" s="5">
        <v>1</v>
      </c>
      <c r="AJ414" s="5"/>
      <c r="AK414" s="5">
        <v>1</v>
      </c>
      <c r="AL414" s="5">
        <v>1</v>
      </c>
      <c r="AM414" s="5">
        <v>1</v>
      </c>
      <c r="AN414" s="5">
        <v>1</v>
      </c>
      <c r="AO414" s="5">
        <v>1</v>
      </c>
      <c r="AP414" s="5">
        <v>1</v>
      </c>
      <c r="AQ414" s="5">
        <v>1</v>
      </c>
      <c r="AR414" s="5">
        <v>1</v>
      </c>
      <c r="AS414" s="5">
        <v>1</v>
      </c>
      <c r="AT414" s="5">
        <v>1</v>
      </c>
      <c r="AU414" s="5">
        <v>1</v>
      </c>
      <c r="AV414" s="5">
        <v>1</v>
      </c>
      <c r="AW414" s="5">
        <v>1</v>
      </c>
      <c r="AX414" s="5">
        <v>1</v>
      </c>
      <c r="AY414" s="5">
        <v>1</v>
      </c>
      <c r="AZ414" s="5">
        <v>1</v>
      </c>
      <c r="BA414" s="5">
        <v>1</v>
      </c>
      <c r="BB414" s="5">
        <v>1</v>
      </c>
      <c r="BC414" s="5">
        <v>1</v>
      </c>
      <c r="BD414" s="5">
        <v>1</v>
      </c>
      <c r="BE414" s="5">
        <v>1</v>
      </c>
      <c r="BF414" s="5"/>
      <c r="BG414" s="5">
        <v>1</v>
      </c>
      <c r="BH414" s="5">
        <v>1</v>
      </c>
      <c r="BI414" s="5">
        <v>1</v>
      </c>
      <c r="BJ414" s="5">
        <v>1</v>
      </c>
      <c r="BK414" s="5">
        <v>1</v>
      </c>
      <c r="BL414" s="5">
        <v>1</v>
      </c>
      <c r="BM414" s="5">
        <v>1</v>
      </c>
      <c r="BN414" s="5">
        <v>1</v>
      </c>
      <c r="BO414" s="5">
        <v>1</v>
      </c>
      <c r="BP414" s="5">
        <v>1</v>
      </c>
      <c r="BQ414" s="5">
        <v>1</v>
      </c>
      <c r="BR414" s="5">
        <v>1</v>
      </c>
      <c r="BS414" s="5">
        <v>1</v>
      </c>
      <c r="BT414" s="5">
        <v>1</v>
      </c>
      <c r="BU414" s="5">
        <v>1</v>
      </c>
      <c r="BV414" s="5">
        <v>1</v>
      </c>
      <c r="BW414" s="5">
        <v>1</v>
      </c>
      <c r="BX414" s="5">
        <v>1</v>
      </c>
      <c r="BY414" s="5">
        <v>1</v>
      </c>
      <c r="BZ414" s="5">
        <v>1</v>
      </c>
      <c r="CA414" s="5">
        <v>1</v>
      </c>
      <c r="CB414" s="5">
        <v>1</v>
      </c>
      <c r="CC414" s="5">
        <v>1</v>
      </c>
      <c r="CD414" s="5">
        <v>1</v>
      </c>
      <c r="CE414" s="5">
        <v>1</v>
      </c>
      <c r="CF414" s="5">
        <v>1</v>
      </c>
      <c r="CG414" s="5">
        <v>1</v>
      </c>
      <c r="CH414" s="5">
        <v>1</v>
      </c>
      <c r="CI414" s="5">
        <v>1</v>
      </c>
      <c r="CJ414" s="5">
        <v>1</v>
      </c>
      <c r="CK414" s="5">
        <v>1</v>
      </c>
      <c r="CL414" s="5">
        <v>1</v>
      </c>
      <c r="CM414" s="5">
        <v>1</v>
      </c>
      <c r="CN414" s="9" t="str">
        <f>ADDRESS(ROW(),COLUMN(),4)</f>
        <v>CN414</v>
      </c>
      <c r="CO414" s="8"/>
      <c r="CP414" s="7" t="str">
        <f>ADDRESS(ROW(),COLUMN(),4)</f>
        <v>CP414</v>
      </c>
    </row>
  </sheetData>
  <mergeCells count="327">
    <mergeCell ref="AI381:AI383"/>
    <mergeCell ref="BE381:BE383"/>
    <mergeCell ref="I379:J379"/>
    <mergeCell ref="AE379:AF379"/>
    <mergeCell ref="BA379:BB379"/>
    <mergeCell ref="G380:G381"/>
    <mergeCell ref="I380:J380"/>
    <mergeCell ref="AC380:AC381"/>
    <mergeCell ref="AE380:AF380"/>
    <mergeCell ref="AY380:AY381"/>
    <mergeCell ref="BA380:BB380"/>
    <mergeCell ref="M381:M383"/>
    <mergeCell ref="BP305:BV306"/>
    <mergeCell ref="BX305:CD306"/>
    <mergeCell ref="CF305:CL306"/>
    <mergeCell ref="BP309:BV312"/>
    <mergeCell ref="BX309:CD312"/>
    <mergeCell ref="CF309:CL312"/>
    <mergeCell ref="BP291:BQ292"/>
    <mergeCell ref="BR291:BS292"/>
    <mergeCell ref="BX291:BY292"/>
    <mergeCell ref="BZ291:CA292"/>
    <mergeCell ref="CF291:CG292"/>
    <mergeCell ref="CH291:CI292"/>
    <mergeCell ref="AZ283:AZ284"/>
    <mergeCell ref="BA283:BA284"/>
    <mergeCell ref="BB283:BB284"/>
    <mergeCell ref="BC283:BC284"/>
    <mergeCell ref="BD283:BD284"/>
    <mergeCell ref="BE283:BH284"/>
    <mergeCell ref="AD283:AD284"/>
    <mergeCell ref="AE283:AE284"/>
    <mergeCell ref="AF283:AF284"/>
    <mergeCell ref="AG283:AG284"/>
    <mergeCell ref="AH283:AH284"/>
    <mergeCell ref="AI283:AL284"/>
    <mergeCell ref="H283:H284"/>
    <mergeCell ref="I283:I284"/>
    <mergeCell ref="J283:J284"/>
    <mergeCell ref="K283:K284"/>
    <mergeCell ref="L283:L284"/>
    <mergeCell ref="M283:P284"/>
    <mergeCell ref="BQ272:BT273"/>
    <mergeCell ref="BY272:CB273"/>
    <mergeCell ref="CG272:CJ273"/>
    <mergeCell ref="BQ276:BT277"/>
    <mergeCell ref="BY276:CB277"/>
    <mergeCell ref="CG276:CJ277"/>
    <mergeCell ref="CA267:CB267"/>
    <mergeCell ref="CI267:CJ267"/>
    <mergeCell ref="BS268:BT268"/>
    <mergeCell ref="CA268:CB268"/>
    <mergeCell ref="CI268:CJ268"/>
    <mergeCell ref="BQ269:BR269"/>
    <mergeCell ref="BY269:BZ269"/>
    <mergeCell ref="CG269:CH269"/>
    <mergeCell ref="BP244:BV245"/>
    <mergeCell ref="BX244:CD245"/>
    <mergeCell ref="CF244:CL245"/>
    <mergeCell ref="BQ266:BT266"/>
    <mergeCell ref="BY266:CB266"/>
    <mergeCell ref="CG266:CJ266"/>
    <mergeCell ref="CA234:CA240"/>
    <mergeCell ref="CB234:CB241"/>
    <mergeCell ref="CG234:CG241"/>
    <mergeCell ref="CH234:CH240"/>
    <mergeCell ref="CI234:CI240"/>
    <mergeCell ref="CJ234:CJ241"/>
    <mergeCell ref="BQ234:BQ241"/>
    <mergeCell ref="BR234:BR240"/>
    <mergeCell ref="BS234:BS240"/>
    <mergeCell ref="BT234:BT241"/>
    <mergeCell ref="BY234:BY241"/>
    <mergeCell ref="BZ234:BZ240"/>
    <mergeCell ref="G194:P198"/>
    <mergeCell ref="AC194:AL198"/>
    <mergeCell ref="AY194:BH198"/>
    <mergeCell ref="BS201:BS202"/>
    <mergeCell ref="CA201:CA202"/>
    <mergeCell ref="CI201:CI202"/>
    <mergeCell ref="G189:P191"/>
    <mergeCell ref="AC189:AL191"/>
    <mergeCell ref="AY189:BH191"/>
    <mergeCell ref="BP192:BV193"/>
    <mergeCell ref="BX192:CD193"/>
    <mergeCell ref="CF192:CL193"/>
    <mergeCell ref="BQ171:BV171"/>
    <mergeCell ref="BP178:BV180"/>
    <mergeCell ref="BX178:CD180"/>
    <mergeCell ref="CF178:CL180"/>
    <mergeCell ref="BP183:BP189"/>
    <mergeCell ref="BX183:BX189"/>
    <mergeCell ref="CF183:CF189"/>
    <mergeCell ref="BP157:BP160"/>
    <mergeCell ref="BX157:BX160"/>
    <mergeCell ref="CF157:CF160"/>
    <mergeCell ref="Q159:T160"/>
    <mergeCell ref="AM159:AP160"/>
    <mergeCell ref="BI159:BL160"/>
    <mergeCell ref="Q152:R152"/>
    <mergeCell ref="AM152:AN152"/>
    <mergeCell ref="BI152:BJ152"/>
    <mergeCell ref="Q155:T156"/>
    <mergeCell ref="AM155:AP156"/>
    <mergeCell ref="BI155:BL156"/>
    <mergeCell ref="Q149:T149"/>
    <mergeCell ref="AM149:AP149"/>
    <mergeCell ref="BI149:BL149"/>
    <mergeCell ref="S151:T151"/>
    <mergeCell ref="AO151:AP151"/>
    <mergeCell ref="BK151:BL151"/>
    <mergeCell ref="CA106:CB106"/>
    <mergeCell ref="CG106:CH106"/>
    <mergeCell ref="CI106:CJ106"/>
    <mergeCell ref="BP121:BP128"/>
    <mergeCell ref="BX121:BX128"/>
    <mergeCell ref="CF121:CF128"/>
    <mergeCell ref="BJ105:BJ106"/>
    <mergeCell ref="BK105:BK106"/>
    <mergeCell ref="BL105:BL106"/>
    <mergeCell ref="BQ106:BR106"/>
    <mergeCell ref="BS106:BT106"/>
    <mergeCell ref="BY106:BZ106"/>
    <mergeCell ref="AO105:AO106"/>
    <mergeCell ref="AP105:AP106"/>
    <mergeCell ref="BB105:BB106"/>
    <mergeCell ref="BC105:BC106"/>
    <mergeCell ref="BD105:BD106"/>
    <mergeCell ref="BI105:BI106"/>
    <mergeCell ref="T105:T106"/>
    <mergeCell ref="AF105:AF106"/>
    <mergeCell ref="AG105:AG106"/>
    <mergeCell ref="AH105:AH106"/>
    <mergeCell ref="AM105:AM106"/>
    <mergeCell ref="AN105:AN106"/>
    <mergeCell ref="J105:J106"/>
    <mergeCell ref="K105:K106"/>
    <mergeCell ref="L105:L106"/>
    <mergeCell ref="Q105:Q106"/>
    <mergeCell ref="R105:R106"/>
    <mergeCell ref="S105:S106"/>
    <mergeCell ref="I102:J102"/>
    <mergeCell ref="AE102:AF102"/>
    <mergeCell ref="BA102:BB102"/>
    <mergeCell ref="I103:K103"/>
    <mergeCell ref="AE103:AG103"/>
    <mergeCell ref="BA103:BC103"/>
    <mergeCell ref="BB97:BI98"/>
    <mergeCell ref="BJ97:BK98"/>
    <mergeCell ref="BL97:BL98"/>
    <mergeCell ref="K100:M101"/>
    <mergeCell ref="AG100:AI101"/>
    <mergeCell ref="BC100:BE101"/>
    <mergeCell ref="J97:Q98"/>
    <mergeCell ref="R97:S98"/>
    <mergeCell ref="T97:T98"/>
    <mergeCell ref="AF97:AM98"/>
    <mergeCell ref="AN97:AO98"/>
    <mergeCell ref="AP97:AP98"/>
    <mergeCell ref="CB92:CB93"/>
    <mergeCell ref="CI92:CI93"/>
    <mergeCell ref="CJ92:CJ93"/>
    <mergeCell ref="Q93:T94"/>
    <mergeCell ref="AM93:AP94"/>
    <mergeCell ref="BI93:BL94"/>
    <mergeCell ref="Q89:T90"/>
    <mergeCell ref="AM89:AP90"/>
    <mergeCell ref="BI89:BL90"/>
    <mergeCell ref="BS92:BS93"/>
    <mergeCell ref="BT92:BT93"/>
    <mergeCell ref="CA92:CA93"/>
    <mergeCell ref="S85:T85"/>
    <mergeCell ref="AO85:AP85"/>
    <mergeCell ref="BK85:BL85"/>
    <mergeCell ref="Q86:R86"/>
    <mergeCell ref="AM86:AN86"/>
    <mergeCell ref="BI86:BJ86"/>
    <mergeCell ref="CG81:CI82"/>
    <mergeCell ref="CJ81:CJ82"/>
    <mergeCell ref="CK81:CL82"/>
    <mergeCell ref="Q83:T83"/>
    <mergeCell ref="AM83:AP83"/>
    <mergeCell ref="BI83:BL83"/>
    <mergeCell ref="CK66:CK67"/>
    <mergeCell ref="BT73:BV75"/>
    <mergeCell ref="CB73:CD75"/>
    <mergeCell ref="CJ73:CL75"/>
    <mergeCell ref="BQ81:BS82"/>
    <mergeCell ref="BT81:BT82"/>
    <mergeCell ref="BU81:BV82"/>
    <mergeCell ref="BY81:CA82"/>
    <mergeCell ref="CB81:CB82"/>
    <mergeCell ref="CC81:CD82"/>
    <mergeCell ref="CA66:CA67"/>
    <mergeCell ref="CB66:CB67"/>
    <mergeCell ref="CC66:CC67"/>
    <mergeCell ref="CH66:CH67"/>
    <mergeCell ref="CI66:CI67"/>
    <mergeCell ref="CJ66:CJ67"/>
    <mergeCell ref="CB61:CB62"/>
    <mergeCell ref="CC61:CC62"/>
    <mergeCell ref="CI61:CI62"/>
    <mergeCell ref="CJ61:CJ62"/>
    <mergeCell ref="CK61:CK62"/>
    <mergeCell ref="BR66:BR67"/>
    <mergeCell ref="BS66:BS67"/>
    <mergeCell ref="BT66:BT67"/>
    <mergeCell ref="BU66:BU67"/>
    <mergeCell ref="BZ66:BZ67"/>
    <mergeCell ref="BK56:BK57"/>
    <mergeCell ref="BL56:BL57"/>
    <mergeCell ref="BS61:BS62"/>
    <mergeCell ref="BT61:BT62"/>
    <mergeCell ref="BU61:BU62"/>
    <mergeCell ref="CA61:CA62"/>
    <mergeCell ref="AP56:AP57"/>
    <mergeCell ref="BB56:BB57"/>
    <mergeCell ref="BC56:BC57"/>
    <mergeCell ref="BD56:BD57"/>
    <mergeCell ref="BI56:BI57"/>
    <mergeCell ref="BJ56:BJ57"/>
    <mergeCell ref="AF56:AF57"/>
    <mergeCell ref="AG56:AG57"/>
    <mergeCell ref="AH56:AH57"/>
    <mergeCell ref="AM56:AM57"/>
    <mergeCell ref="AN56:AN57"/>
    <mergeCell ref="AO56:AO57"/>
    <mergeCell ref="I54:K54"/>
    <mergeCell ref="AE54:AG54"/>
    <mergeCell ref="BA54:BC54"/>
    <mergeCell ref="J56:J57"/>
    <mergeCell ref="K56:K57"/>
    <mergeCell ref="L56:L57"/>
    <mergeCell ref="Q56:Q57"/>
    <mergeCell ref="R56:R57"/>
    <mergeCell ref="S56:S57"/>
    <mergeCell ref="T56:T57"/>
    <mergeCell ref="BJ48:BK49"/>
    <mergeCell ref="BL48:BL49"/>
    <mergeCell ref="K51:M52"/>
    <mergeCell ref="AG51:AI52"/>
    <mergeCell ref="BC51:BE52"/>
    <mergeCell ref="I53:J53"/>
    <mergeCell ref="AE53:AF53"/>
    <mergeCell ref="BA53:BB53"/>
    <mergeCell ref="Q44:T45"/>
    <mergeCell ref="AM44:AP45"/>
    <mergeCell ref="BI44:BL45"/>
    <mergeCell ref="J48:Q49"/>
    <mergeCell ref="R48:S49"/>
    <mergeCell ref="T48:T49"/>
    <mergeCell ref="AF48:AM49"/>
    <mergeCell ref="AN48:AO49"/>
    <mergeCell ref="AP48:AP49"/>
    <mergeCell ref="BB48:BI49"/>
    <mergeCell ref="BP40:BP43"/>
    <mergeCell ref="BQ40:BV41"/>
    <mergeCell ref="BX40:BX43"/>
    <mergeCell ref="BY40:CD41"/>
    <mergeCell ref="CF40:CF43"/>
    <mergeCell ref="CG40:CL41"/>
    <mergeCell ref="Q37:R37"/>
    <mergeCell ref="AM37:AN37"/>
    <mergeCell ref="BI37:BJ37"/>
    <mergeCell ref="Q40:T41"/>
    <mergeCell ref="AM40:AP41"/>
    <mergeCell ref="BI40:BL41"/>
    <mergeCell ref="Q34:T34"/>
    <mergeCell ref="AM34:AP34"/>
    <mergeCell ref="BI34:BL34"/>
    <mergeCell ref="S36:T36"/>
    <mergeCell ref="AO36:AP36"/>
    <mergeCell ref="BK36:BL36"/>
    <mergeCell ref="BK16:BK17"/>
    <mergeCell ref="BL16:BL17"/>
    <mergeCell ref="BQ16:BT17"/>
    <mergeCell ref="BY16:CB17"/>
    <mergeCell ref="CG16:CJ17"/>
    <mergeCell ref="BQ25:BQ30"/>
    <mergeCell ref="BY25:BY30"/>
    <mergeCell ref="CG25:CG30"/>
    <mergeCell ref="AP16:AP17"/>
    <mergeCell ref="BB16:BB17"/>
    <mergeCell ref="BC16:BC17"/>
    <mergeCell ref="BD16:BD17"/>
    <mergeCell ref="BI16:BI17"/>
    <mergeCell ref="BJ16:BJ17"/>
    <mergeCell ref="AF16:AF17"/>
    <mergeCell ref="AG16:AG17"/>
    <mergeCell ref="AH16:AH17"/>
    <mergeCell ref="AM16:AM17"/>
    <mergeCell ref="AN16:AN17"/>
    <mergeCell ref="AO16:AO17"/>
    <mergeCell ref="BV14:BV16"/>
    <mergeCell ref="CD14:CD16"/>
    <mergeCell ref="CL14:CL16"/>
    <mergeCell ref="J16:J17"/>
    <mergeCell ref="K16:K17"/>
    <mergeCell ref="L16:L17"/>
    <mergeCell ref="Q16:Q17"/>
    <mergeCell ref="R16:R17"/>
    <mergeCell ref="S16:S17"/>
    <mergeCell ref="T16:T17"/>
    <mergeCell ref="I13:J13"/>
    <mergeCell ref="AE13:AF13"/>
    <mergeCell ref="BA13:BB13"/>
    <mergeCell ref="I14:K14"/>
    <mergeCell ref="AE14:AG14"/>
    <mergeCell ref="BA14:BC14"/>
    <mergeCell ref="BJ8:BK9"/>
    <mergeCell ref="BL8:BL9"/>
    <mergeCell ref="BP8:BV10"/>
    <mergeCell ref="BX8:CD10"/>
    <mergeCell ref="CF8:CL10"/>
    <mergeCell ref="K11:M12"/>
    <mergeCell ref="AG11:AI12"/>
    <mergeCell ref="BC11:BE12"/>
    <mergeCell ref="O5:T6"/>
    <mergeCell ref="AK5:AP6"/>
    <mergeCell ref="BG5:BL6"/>
    <mergeCell ref="J8:Q9"/>
    <mergeCell ref="R8:S9"/>
    <mergeCell ref="T8:T9"/>
    <mergeCell ref="AF8:AM9"/>
    <mergeCell ref="AN8:AO9"/>
    <mergeCell ref="AP8:AP9"/>
    <mergeCell ref="BB8:BI9"/>
  </mergeCells>
  <phoneticPr fontId="121" type="noConversion"/>
  <conditionalFormatting sqref="L18:L22">
    <cfRule type="cellIs" dxfId="291" priority="104" operator="notEqual">
      <formula>1</formula>
    </cfRule>
  </conditionalFormatting>
  <conditionalFormatting sqref="L58:L71">
    <cfRule type="cellIs" dxfId="290" priority="106" operator="notEqual">
      <formula>1</formula>
    </cfRule>
  </conditionalFormatting>
  <conditionalFormatting sqref="L107:L136">
    <cfRule type="cellIs" dxfId="289" priority="111" operator="notEqual">
      <formula>1</formula>
    </cfRule>
  </conditionalFormatting>
  <conditionalFormatting sqref="AH18:AH22">
    <cfRule type="cellIs" dxfId="288" priority="105" operator="notEqual">
      <formula>1</formula>
    </cfRule>
  </conditionalFormatting>
  <conditionalFormatting sqref="AH58:AH71">
    <cfRule type="cellIs" dxfId="287" priority="107" operator="notEqual">
      <formula>1</formula>
    </cfRule>
  </conditionalFormatting>
  <conditionalFormatting sqref="AH107:AH136">
    <cfRule type="cellIs" dxfId="286" priority="109" operator="notEqual">
      <formula>1</formula>
    </cfRule>
  </conditionalFormatting>
  <conditionalFormatting sqref="BD18:BD22">
    <cfRule type="cellIs" dxfId="285" priority="103" operator="notEqual">
      <formula>1</formula>
    </cfRule>
  </conditionalFormatting>
  <conditionalFormatting sqref="BD58:BD71">
    <cfRule type="cellIs" dxfId="284" priority="108" operator="notEqual">
      <formula>1</formula>
    </cfRule>
  </conditionalFormatting>
  <conditionalFormatting sqref="BD107:BD136">
    <cfRule type="cellIs" dxfId="283" priority="110" operator="notEqual">
      <formula>1</formula>
    </cfRule>
  </conditionalFormatting>
  <conditionalFormatting sqref="BQ121:BQ122">
    <cfRule type="cellIs" dxfId="282" priority="102" operator="notEqual">
      <formula>1</formula>
    </cfRule>
  </conditionalFormatting>
  <conditionalFormatting sqref="BU63:BU64">
    <cfRule type="cellIs" dxfId="281" priority="101" operator="notEqual">
      <formula>1</formula>
    </cfRule>
  </conditionalFormatting>
  <conditionalFormatting sqref="BY121:BY122">
    <cfRule type="cellIs" dxfId="280" priority="100" operator="notEqual">
      <formula>1</formula>
    </cfRule>
  </conditionalFormatting>
  <conditionalFormatting sqref="CC63:CC64">
    <cfRule type="cellIs" dxfId="279" priority="99" operator="notEqual">
      <formula>1</formula>
    </cfRule>
  </conditionalFormatting>
  <conditionalFormatting sqref="CG121:CG122">
    <cfRule type="cellIs" dxfId="278" priority="98" operator="notEqual">
      <formula>1</formula>
    </cfRule>
  </conditionalFormatting>
  <conditionalFormatting sqref="CK63:CK64">
    <cfRule type="cellIs" dxfId="277" priority="97" operator="notEqual">
      <formula>1</formula>
    </cfRule>
  </conditionalFormatting>
  <conditionalFormatting sqref="N18:N19 N21:N22">
    <cfRule type="expression" dxfId="268" priority="91">
      <formula>LEFT(N18,1)="⚠"</formula>
    </cfRule>
    <cfRule type="expression" dxfId="267" priority="92">
      <formula>LEFT(N18,4)="info"</formula>
    </cfRule>
  </conditionalFormatting>
  <conditionalFormatting sqref="N18:N19 N21:N22">
    <cfRule type="expression" dxfId="266" priority="89">
      <formula>LEFT(N18,1)="⚠"</formula>
    </cfRule>
    <cfRule type="expression" dxfId="265" priority="90">
      <formula>LEFT(N18,4)="info"</formula>
    </cfRule>
  </conditionalFormatting>
  <conditionalFormatting sqref="AJ18:AJ19 AJ21:AJ22">
    <cfRule type="expression" dxfId="256" priority="79">
      <formula>LEFT(AJ18,1)="⚠"</formula>
    </cfRule>
    <cfRule type="expression" dxfId="255" priority="80">
      <formula>LEFT(AJ18,4)="info"</formula>
    </cfRule>
  </conditionalFormatting>
  <conditionalFormatting sqref="AJ18:AJ19 AJ21:AJ22">
    <cfRule type="expression" dxfId="254" priority="77">
      <formula>LEFT(AJ18,1)="⚠"</formula>
    </cfRule>
    <cfRule type="expression" dxfId="253" priority="78">
      <formula>LEFT(AJ18,4)="info"</formula>
    </cfRule>
  </conditionalFormatting>
  <conditionalFormatting sqref="BF18:BF19 BF21:BF22">
    <cfRule type="expression" dxfId="248" priority="75">
      <formula>LEFT(BF18,1)="⚠"</formula>
    </cfRule>
    <cfRule type="expression" dxfId="247" priority="76">
      <formula>LEFT(BF18,4)="info"</formula>
    </cfRule>
  </conditionalFormatting>
  <conditionalFormatting sqref="BF18:BF19 BF21:BF22">
    <cfRule type="expression" dxfId="246" priority="73">
      <formula>LEFT(BF18,1)="⚠"</formula>
    </cfRule>
    <cfRule type="expression" dxfId="245" priority="74">
      <formula>LEFT(BF18,4)="info"</formula>
    </cfRule>
  </conditionalFormatting>
  <conditionalFormatting sqref="N58:N71">
    <cfRule type="expression" dxfId="244" priority="71">
      <formula>LEFT(N58,1)="⚠"</formula>
    </cfRule>
    <cfRule type="expression" dxfId="243" priority="72">
      <formula>LEFT(N58,4)="info"</formula>
    </cfRule>
  </conditionalFormatting>
  <conditionalFormatting sqref="N58:N71">
    <cfRule type="expression" dxfId="242" priority="69">
      <formula>LEFT(N58,1)="⚠"</formula>
    </cfRule>
    <cfRule type="expression" dxfId="241" priority="70">
      <formula>LEFT(N58,4)="info"</formula>
    </cfRule>
  </conditionalFormatting>
  <conditionalFormatting sqref="AJ58:AJ71">
    <cfRule type="expression" dxfId="240" priority="67">
      <formula>LEFT(AJ58,1)="⚠"</formula>
    </cfRule>
    <cfRule type="expression" dxfId="239" priority="68">
      <formula>LEFT(AJ58,4)="info"</formula>
    </cfRule>
  </conditionalFormatting>
  <conditionalFormatting sqref="AJ58:AJ71">
    <cfRule type="expression" dxfId="238" priority="65">
      <formula>LEFT(AJ58,1)="⚠"</formula>
    </cfRule>
    <cfRule type="expression" dxfId="237" priority="66">
      <formula>LEFT(AJ58,4)="info"</formula>
    </cfRule>
  </conditionalFormatting>
  <conditionalFormatting sqref="BF58:BF71">
    <cfRule type="expression" dxfId="236" priority="63">
      <formula>LEFT(BF58,1)="⚠"</formula>
    </cfRule>
    <cfRule type="expression" dxfId="235" priority="64">
      <formula>LEFT(BF58,4)="info"</formula>
    </cfRule>
  </conditionalFormatting>
  <conditionalFormatting sqref="BF58:BF71">
    <cfRule type="expression" dxfId="234" priority="61">
      <formula>LEFT(BF58,1)="⚠"</formula>
    </cfRule>
    <cfRule type="expression" dxfId="233" priority="62">
      <formula>LEFT(BF58,4)="info"</formula>
    </cfRule>
  </conditionalFormatting>
  <conditionalFormatting sqref="N107:N136">
    <cfRule type="expression" dxfId="228" priority="59">
      <formula>LEFT(N107,1)="⚠"</formula>
    </cfRule>
    <cfRule type="expression" dxfId="227" priority="60">
      <formula>LEFT(N107,4)="info"</formula>
    </cfRule>
  </conditionalFormatting>
  <conditionalFormatting sqref="N107:N136">
    <cfRule type="expression" dxfId="226" priority="57">
      <formula>LEFT(N107,1)="⚠"</formula>
    </cfRule>
    <cfRule type="expression" dxfId="225" priority="58">
      <formula>LEFT(N107,4)="info"</formula>
    </cfRule>
  </conditionalFormatting>
  <conditionalFormatting sqref="AJ107:AJ136">
    <cfRule type="expression" dxfId="224" priority="55">
      <formula>LEFT(AJ107,1)="⚠"</formula>
    </cfRule>
    <cfRule type="expression" dxfId="223" priority="56">
      <formula>LEFT(AJ107,4)="info"</formula>
    </cfRule>
  </conditionalFormatting>
  <conditionalFormatting sqref="AJ107:AJ136">
    <cfRule type="expression" dxfId="222" priority="53">
      <formula>LEFT(AJ107,1)="⚠"</formula>
    </cfRule>
    <cfRule type="expression" dxfId="221" priority="54">
      <formula>LEFT(AJ107,4)="info"</formula>
    </cfRule>
  </conditionalFormatting>
  <conditionalFormatting sqref="BF107:BF136">
    <cfRule type="expression" dxfId="220" priority="51">
      <formula>LEFT(BF107,1)="⚠"</formula>
    </cfRule>
    <cfRule type="expression" dxfId="219" priority="52">
      <formula>LEFT(BF107,4)="info"</formula>
    </cfRule>
  </conditionalFormatting>
  <conditionalFormatting sqref="BF107:BF136">
    <cfRule type="expression" dxfId="218" priority="49">
      <formula>LEFT(BF107,1)="⚠"</formula>
    </cfRule>
    <cfRule type="expression" dxfId="217" priority="50">
      <formula>LEFT(BF107,4)="info"</formula>
    </cfRule>
  </conditionalFormatting>
  <conditionalFormatting sqref="V18:V36">
    <cfRule type="expression" dxfId="216" priority="45">
      <formula>LEFT(V18,1)="⚠"</formula>
    </cfRule>
    <cfRule type="expression" dxfId="215" priority="46">
      <formula>LEFT(V18,4)="info"</formula>
    </cfRule>
    <cfRule type="expression" dxfId="214" priority="47">
      <formula>LEFT(V18,1)="⚠"</formula>
    </cfRule>
    <cfRule type="expression" dxfId="213" priority="48">
      <formula>LEFT(V18,4)="info"</formula>
    </cfRule>
  </conditionalFormatting>
  <conditionalFormatting sqref="V58:V76">
    <cfRule type="expression" dxfId="212" priority="41">
      <formula>LEFT(V58,1)="⚠"</formula>
    </cfRule>
    <cfRule type="expression" dxfId="211" priority="42">
      <formula>LEFT(V58,4)="info"</formula>
    </cfRule>
    <cfRule type="expression" dxfId="210" priority="43">
      <formula>LEFT(V58,1)="⚠"</formula>
    </cfRule>
    <cfRule type="expression" dxfId="209" priority="44">
      <formula>LEFT(V58,4)="info"</formula>
    </cfRule>
  </conditionalFormatting>
  <conditionalFormatting sqref="V107:V125">
    <cfRule type="expression" dxfId="208" priority="37">
      <formula>LEFT(V107,1)="⚠"</formula>
    </cfRule>
    <cfRule type="expression" dxfId="207" priority="38">
      <formula>LEFT(V107,4)="info"</formula>
    </cfRule>
    <cfRule type="expression" dxfId="206" priority="39">
      <formula>LEFT(V107,1)="⚠"</formula>
    </cfRule>
    <cfRule type="expression" dxfId="205" priority="40">
      <formula>LEFT(V107,4)="info"</formula>
    </cfRule>
  </conditionalFormatting>
  <conditionalFormatting sqref="AR18:AR36">
    <cfRule type="expression" dxfId="204" priority="33">
      <formula>LEFT(AR18,1)="⚠"</formula>
    </cfRule>
    <cfRule type="expression" dxfId="203" priority="34">
      <formula>LEFT(AR18,4)="info"</formula>
    </cfRule>
    <cfRule type="expression" dxfId="202" priority="35">
      <formula>LEFT(AR18,1)="⚠"</formula>
    </cfRule>
    <cfRule type="expression" dxfId="201" priority="36">
      <formula>LEFT(AR18,4)="info"</formula>
    </cfRule>
  </conditionalFormatting>
  <conditionalFormatting sqref="AR58:AR76">
    <cfRule type="expression" dxfId="200" priority="29">
      <formula>LEFT(AR58,1)="⚠"</formula>
    </cfRule>
    <cfRule type="expression" dxfId="199" priority="30">
      <formula>LEFT(AR58,4)="info"</formula>
    </cfRule>
    <cfRule type="expression" dxfId="198" priority="31">
      <formula>LEFT(AR58,1)="⚠"</formula>
    </cfRule>
    <cfRule type="expression" dxfId="197" priority="32">
      <formula>LEFT(AR58,4)="info"</formula>
    </cfRule>
  </conditionalFormatting>
  <conditionalFormatting sqref="AR107:AR125">
    <cfRule type="expression" dxfId="196" priority="25">
      <formula>LEFT(AR107,1)="⚠"</formula>
    </cfRule>
    <cfRule type="expression" dxfId="195" priority="26">
      <formula>LEFT(AR107,4)="info"</formula>
    </cfRule>
    <cfRule type="expression" dxfId="194" priority="27">
      <formula>LEFT(AR107,1)="⚠"</formula>
    </cfRule>
    <cfRule type="expression" dxfId="193" priority="28">
      <formula>LEFT(AR107,4)="info"</formula>
    </cfRule>
  </conditionalFormatting>
  <conditionalFormatting sqref="BN18:BN36">
    <cfRule type="expression" dxfId="192" priority="21">
      <formula>LEFT(BN18,1)="⚠"</formula>
    </cfRule>
    <cfRule type="expression" dxfId="191" priority="22">
      <formula>LEFT(BN18,4)="info"</formula>
    </cfRule>
    <cfRule type="expression" dxfId="190" priority="23">
      <formula>LEFT(BN18,1)="⚠"</formula>
    </cfRule>
    <cfRule type="expression" dxfId="189" priority="24">
      <formula>LEFT(BN18,4)="info"</formula>
    </cfRule>
  </conditionalFormatting>
  <conditionalFormatting sqref="BN58:BN76">
    <cfRule type="expression" dxfId="188" priority="17">
      <formula>LEFT(BN58,1)="⚠"</formula>
    </cfRule>
    <cfRule type="expression" dxfId="187" priority="18">
      <formula>LEFT(BN58,4)="info"</formula>
    </cfRule>
    <cfRule type="expression" dxfId="186" priority="19">
      <formula>LEFT(BN58,1)="⚠"</formula>
    </cfRule>
    <cfRule type="expression" dxfId="185" priority="20">
      <formula>LEFT(BN58,4)="info"</formula>
    </cfRule>
  </conditionalFormatting>
  <conditionalFormatting sqref="BN107:BN125">
    <cfRule type="expression" dxfId="184" priority="13">
      <formula>LEFT(BN107,1)="⚠"</formula>
    </cfRule>
    <cfRule type="expression" dxfId="183" priority="14">
      <formula>LEFT(BN107,4)="info"</formula>
    </cfRule>
    <cfRule type="expression" dxfId="182" priority="15">
      <formula>LEFT(BN107,1)="⚠"</formula>
    </cfRule>
    <cfRule type="expression" dxfId="181" priority="16">
      <formula>LEFT(BN107,4)="info"</formula>
    </cfRule>
  </conditionalFormatting>
  <conditionalFormatting sqref="N20">
    <cfRule type="expression" dxfId="180" priority="9">
      <formula>LEFT(N20,1)="⚠"</formula>
    </cfRule>
    <cfRule type="expression" dxfId="179" priority="10">
      <formula>LEFT(N20,4)="info"</formula>
    </cfRule>
    <cfRule type="expression" dxfId="178" priority="11">
      <formula>LEFT(N20,1)="⚠"</formula>
    </cfRule>
    <cfRule type="expression" dxfId="177" priority="12">
      <formula>LEFT(N20,4)="info"</formula>
    </cfRule>
  </conditionalFormatting>
  <conditionalFormatting sqref="AJ20">
    <cfRule type="expression" dxfId="176" priority="5">
      <formula>LEFT(AJ20,1)="⚠"</formula>
    </cfRule>
    <cfRule type="expression" dxfId="175" priority="6">
      <formula>LEFT(AJ20,4)="info"</formula>
    </cfRule>
    <cfRule type="expression" dxfId="174" priority="7">
      <formula>LEFT(AJ20,1)="⚠"</formula>
    </cfRule>
    <cfRule type="expression" dxfId="173" priority="8">
      <formula>LEFT(AJ20,4)="info"</formula>
    </cfRule>
  </conditionalFormatting>
  <conditionalFormatting sqref="BF20">
    <cfRule type="expression" dxfId="168" priority="1">
      <formula>LEFT(BF20,1)="⚠"</formula>
    </cfRule>
    <cfRule type="expression" dxfId="167" priority="2">
      <formula>LEFT(BF20,4)="info"</formula>
    </cfRule>
    <cfRule type="expression" dxfId="166" priority="3">
      <formula>LEFT(BF20,1)="⚠"</formula>
    </cfRule>
    <cfRule type="expression" dxfId="165" priority="4">
      <formula>LEFT(BF20,4)="info"</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81F2-AB85-4A53-AB82-9837927BECD5}">
  <dimension ref="A1:DO183"/>
  <sheetViews>
    <sheetView zoomScaleNormal="100" workbookViewId="0">
      <selection activeCell="N12" sqref="N12"/>
    </sheetView>
  </sheetViews>
  <sheetFormatPr baseColWidth="10" defaultColWidth="11.5703125" defaultRowHeight="15"/>
  <cols>
    <col min="1" max="1" width="6.7109375" customWidth="1"/>
    <col min="2" max="3" width="13.7109375" style="2" customWidth="1"/>
    <col min="4" max="4" width="2.140625" style="2" customWidth="1"/>
    <col min="5" max="6" width="13.7109375" style="2" customWidth="1"/>
    <col min="7" max="7" width="2.140625" style="2" customWidth="1"/>
    <col min="8" max="9" width="13.7109375" style="2" customWidth="1"/>
    <col min="10" max="10" width="2.140625" style="2" customWidth="1"/>
    <col min="11" max="12" width="13.7109375" style="2" customWidth="1"/>
    <col min="13" max="13" width="2.140625" style="2" customWidth="1"/>
    <col min="14" max="15" width="13.7109375" style="2" customWidth="1"/>
    <col min="16" max="16" width="2.140625" style="2" customWidth="1"/>
    <col min="17" max="18" width="13.7109375" style="2" customWidth="1"/>
    <col min="19" max="19" width="2.140625" style="2" customWidth="1"/>
    <col min="20" max="21" width="13.7109375" style="2" customWidth="1"/>
    <col min="22" max="22" width="2.140625" style="2" customWidth="1"/>
    <col min="23" max="24" width="13.7109375" style="2" customWidth="1"/>
    <col min="25" max="25" width="2.140625" style="2" customWidth="1"/>
    <col min="26" max="27" width="13.7109375" style="2" customWidth="1"/>
    <col min="28" max="28" width="4.85546875" style="4" customWidth="1"/>
    <col min="29" max="30" width="13.7109375" style="2" customWidth="1"/>
    <col min="31" max="31" width="4.85546875" style="4" customWidth="1"/>
    <col min="32" max="33" width="13.7109375" style="2" customWidth="1"/>
    <col min="34" max="34" width="4.85546875" style="4" customWidth="1"/>
    <col min="35" max="35" width="11.7109375" style="2" customWidth="1"/>
    <col min="36" max="36" width="12.7109375" style="2" customWidth="1"/>
    <col min="37" max="37" width="4.5703125" style="2" customWidth="1"/>
    <col min="38" max="38" width="11.7109375" style="2" customWidth="1"/>
    <col min="39" max="39" width="12.5703125" style="2" customWidth="1"/>
    <col min="40" max="40" width="2.140625" style="2" customWidth="1"/>
    <col min="41" max="42" width="12.7109375" style="2" customWidth="1"/>
    <col min="43" max="43" width="5.140625" style="2" customWidth="1"/>
    <col min="45" max="46" width="13.7109375" customWidth="1"/>
    <col min="47" max="47" width="4.42578125" customWidth="1"/>
    <col min="48" max="49" width="13.7109375" customWidth="1"/>
    <col min="50" max="50" width="4.42578125" customWidth="1"/>
    <col min="51" max="52" width="13.7109375" customWidth="1"/>
    <col min="53" max="53" width="4.42578125" customWidth="1"/>
    <col min="54" max="55" width="13.7109375" customWidth="1"/>
    <col min="56" max="56" width="4.42578125" customWidth="1"/>
    <col min="57" max="58" width="13.7109375" customWidth="1"/>
    <col min="59" max="59" width="4.42578125" customWidth="1"/>
    <col min="60" max="61" width="13.7109375" customWidth="1"/>
    <col min="62" max="62" width="4.42578125" customWidth="1"/>
    <col min="63" max="64" width="13.7109375" customWidth="1"/>
    <col min="65" max="65" width="4.42578125" customWidth="1"/>
    <col min="66" max="67" width="13.7109375" customWidth="1"/>
    <col min="68" max="68" width="4.42578125" customWidth="1"/>
    <col min="69" max="70" width="13.7109375" customWidth="1"/>
    <col min="71" max="71" width="4.42578125" customWidth="1"/>
    <col min="72" max="73" width="13.7109375" customWidth="1"/>
    <col min="74" max="74" width="4.42578125" customWidth="1"/>
    <col min="75" max="77" width="13.7109375" customWidth="1"/>
    <col min="78" max="78" width="33" customWidth="1"/>
    <col min="79"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3" width="13.7109375" customWidth="1"/>
    <col min="114" max="114" width="4.42578125" customWidth="1"/>
    <col min="115" max="115" width="32" customWidth="1"/>
    <col min="117" max="117" width="8.7109375" style="2" customWidth="1"/>
    <col min="118" max="118" width="11.5703125" style="1"/>
    <col min="119" max="119" width="43.5703125" style="1" customWidth="1"/>
  </cols>
  <sheetData>
    <row r="1" spans="1:119">
      <c r="A1" s="9" t="str">
        <f>ADDRESS(ROW(),COLUMN(),4)</f>
        <v>A1</v>
      </c>
      <c r="B1" s="5443" t="str">
        <f>SUBSTITUTE(ADDRESS(1,COLUMN(),4),"1","")</f>
        <v>B</v>
      </c>
      <c r="C1" s="5443" t="str">
        <f>SUBSTITUTE(ADDRESS(1,COLUMN(),4),"1","")</f>
        <v>C</v>
      </c>
      <c r="E1" s="5443" t="str">
        <f>SUBSTITUTE(ADDRESS(1,COLUMN(),4),"1","")</f>
        <v>E</v>
      </c>
      <c r="F1" s="5443" t="str">
        <f>SUBSTITUTE(ADDRESS(1,COLUMN(),4),"1","")</f>
        <v>F</v>
      </c>
      <c r="H1" s="5443" t="str">
        <f>SUBSTITUTE(ADDRESS(1,COLUMN(),4),"1","")</f>
        <v>H</v>
      </c>
      <c r="I1" s="5443" t="str">
        <f>SUBSTITUTE(ADDRESS(1,COLUMN(),4),"1","")</f>
        <v>I</v>
      </c>
      <c r="K1" s="5443" t="str">
        <f>SUBSTITUTE(ADDRESS(1,COLUMN(),4),"1","")</f>
        <v>K</v>
      </c>
      <c r="L1" s="5443" t="str">
        <f>SUBSTITUTE(ADDRESS(1,COLUMN(),4),"1","")</f>
        <v>L</v>
      </c>
      <c r="N1" s="5443" t="str">
        <f>SUBSTITUTE(ADDRESS(1,COLUMN(),4),"1","")</f>
        <v>N</v>
      </c>
      <c r="O1" s="5443" t="str">
        <f>SUBSTITUTE(ADDRESS(1,COLUMN(),4),"1","")</f>
        <v>O</v>
      </c>
      <c r="Q1" s="5443" t="str">
        <f>SUBSTITUTE(ADDRESS(1,COLUMN(),4),"1","")</f>
        <v>Q</v>
      </c>
      <c r="R1" s="5443" t="str">
        <f>SUBSTITUTE(ADDRESS(1,COLUMN(),4),"1","")</f>
        <v>R</v>
      </c>
      <c r="T1" s="5443" t="str">
        <f>SUBSTITUTE(ADDRESS(1,COLUMN(),4),"1","")</f>
        <v>T</v>
      </c>
      <c r="U1" s="5443" t="str">
        <f>SUBSTITUTE(ADDRESS(1,COLUMN(),4),"1","")</f>
        <v>U</v>
      </c>
      <c r="W1" s="5443" t="str">
        <f>SUBSTITUTE(ADDRESS(1,COLUMN(),4),"1","")</f>
        <v>W</v>
      </c>
      <c r="X1" s="5443" t="str">
        <f>SUBSTITUTE(ADDRESS(1,COLUMN(),4),"1","")</f>
        <v>X</v>
      </c>
      <c r="Z1" s="5443" t="str">
        <f>SUBSTITUTE(ADDRESS(1,COLUMN(),4),"1","")</f>
        <v>Z</v>
      </c>
      <c r="AA1" s="5443" t="str">
        <f>SUBSTITUTE(ADDRESS(1,COLUMN(),4),"1","")</f>
        <v>AA</v>
      </c>
      <c r="AC1" s="5443" t="str">
        <f>SUBSTITUTE(ADDRESS(1,COLUMN(),4),"1","")</f>
        <v>AC</v>
      </c>
      <c r="AD1" s="5443" t="str">
        <f>SUBSTITUTE(ADDRESS(1,COLUMN(),4),"1","")</f>
        <v>AD</v>
      </c>
      <c r="AF1" s="5443" t="str">
        <f>SUBSTITUTE(ADDRESS(1,COLUMN(),4),"1","")</f>
        <v>AF</v>
      </c>
      <c r="AG1" s="5443" t="str">
        <f>SUBSTITUTE(ADDRESS(1,COLUMN(),4),"1","")</f>
        <v>AG</v>
      </c>
      <c r="AI1" s="5443" t="str">
        <f>SUBSTITUTE(ADDRESS(1,COLUMN(),4),"1","")</f>
        <v>AI</v>
      </c>
      <c r="AJ1" s="5443" t="str">
        <f>SUBSTITUTE(ADDRESS(1,COLUMN(),4),"1","")</f>
        <v>AJ</v>
      </c>
      <c r="AL1" s="5443" t="str">
        <f>SUBSTITUTE(ADDRESS(1,COLUMN(),4),"1","")</f>
        <v>AL</v>
      </c>
      <c r="AM1" s="5443" t="str">
        <f>SUBSTITUTE(ADDRESS(1,COLUMN(),4),"1","")</f>
        <v>AM</v>
      </c>
      <c r="AN1"/>
      <c r="AO1" s="5443" t="str">
        <f>SUBSTITUTE(ADDRESS(1,COLUMN(),4),"1","")</f>
        <v>AO</v>
      </c>
      <c r="AP1" s="5443" t="str">
        <f>SUBSTITUTE(ADDRESS(1,COLUMN(),4),"1","")</f>
        <v>AP</v>
      </c>
      <c r="AQ1"/>
      <c r="AS1" s="5443" t="str">
        <f>SUBSTITUTE(ADDRESS(1,COLUMN(),4),"1","")</f>
        <v>AS</v>
      </c>
      <c r="AT1" s="5443" t="str">
        <f>SUBSTITUTE(ADDRESS(1,COLUMN(),4),"1","")</f>
        <v>AT</v>
      </c>
      <c r="AV1" s="5443" t="str">
        <f>SUBSTITUTE(ADDRESS(1,COLUMN(),4),"1","")</f>
        <v>AV</v>
      </c>
      <c r="AW1" s="5443" t="str">
        <f>SUBSTITUTE(ADDRESS(1,COLUMN(),4),"1","")</f>
        <v>AW</v>
      </c>
      <c r="AY1" s="5443" t="str">
        <f>SUBSTITUTE(ADDRESS(1,COLUMN(),4),"1","")</f>
        <v>AY</v>
      </c>
      <c r="AZ1" s="5443" t="str">
        <f>SUBSTITUTE(ADDRESS(1,COLUMN(),4),"1","")</f>
        <v>AZ</v>
      </c>
      <c r="BB1" s="5443" t="str">
        <f>SUBSTITUTE(ADDRESS(1,COLUMN(),4),"1","")</f>
        <v>BB</v>
      </c>
      <c r="BC1" s="5443" t="str">
        <f>SUBSTITUTE(ADDRESS(1,COLUMN(),4),"1","")</f>
        <v>BC</v>
      </c>
      <c r="BE1" s="5443" t="str">
        <f>SUBSTITUTE(ADDRESS(1,COLUMN(),4),"1","")</f>
        <v>BE</v>
      </c>
      <c r="BF1" s="5443" t="str">
        <f>SUBSTITUTE(ADDRESS(1,COLUMN(),4),"1","")</f>
        <v>BF</v>
      </c>
      <c r="BH1" s="5443" t="str">
        <f>SUBSTITUTE(ADDRESS(1,COLUMN(),4),"1","")</f>
        <v>BH</v>
      </c>
      <c r="BI1" s="5443" t="str">
        <f>SUBSTITUTE(ADDRESS(1,COLUMN(),4),"1","")</f>
        <v>BI</v>
      </c>
      <c r="BK1" s="5443" t="str">
        <f>SUBSTITUTE(ADDRESS(1,COLUMN(),4),"1","")</f>
        <v>BK</v>
      </c>
      <c r="BL1" s="5443" t="str">
        <f>SUBSTITUTE(ADDRESS(1,COLUMN(),4),"1","")</f>
        <v>BL</v>
      </c>
      <c r="BN1" s="5443" t="str">
        <f>SUBSTITUTE(ADDRESS(1,COLUMN(),4),"1","")</f>
        <v>BN</v>
      </c>
      <c r="BO1" s="5443" t="str">
        <f>SUBSTITUTE(ADDRESS(1,COLUMN(),4),"1","")</f>
        <v>BO</v>
      </c>
      <c r="BQ1" s="5443" t="str">
        <f>SUBSTITUTE(ADDRESS(1,COLUMN(),4),"1","")</f>
        <v>BQ</v>
      </c>
      <c r="BR1" s="5443" t="str">
        <f>SUBSTITUTE(ADDRESS(1,COLUMN(),4),"1","")</f>
        <v>BR</v>
      </c>
      <c r="BT1" s="5443" t="str">
        <f>SUBSTITUTE(ADDRESS(1,COLUMN(),4),"1","")</f>
        <v>BT</v>
      </c>
      <c r="BU1" s="5443" t="str">
        <f>SUBSTITUTE(ADDRESS(1,COLUMN(),4),"1","")</f>
        <v>BU</v>
      </c>
      <c r="BW1" s="5443" t="str">
        <f>SUBSTITUTE(ADDRESS(1,COLUMN(),4),"1","")</f>
        <v>BW</v>
      </c>
      <c r="BX1" s="5443" t="str">
        <f>SUBSTITUTE(ADDRESS(1,COLUMN(),4),"1","")</f>
        <v>BX</v>
      </c>
      <c r="BY1" s="4"/>
      <c r="CD1" s="5443" t="str">
        <f>SUBSTITUTE(ADDRESS(1,COLUMN(),4),"1","")</f>
        <v>CD</v>
      </c>
      <c r="CE1" s="5443" t="str">
        <f>SUBSTITUTE(ADDRESS(1,COLUMN(),4),"1","")</f>
        <v>CE</v>
      </c>
      <c r="CG1" s="5443" t="str">
        <f>SUBSTITUTE(ADDRESS(1,COLUMN(),4),"1","")</f>
        <v>CG</v>
      </c>
      <c r="CH1" s="5443" t="str">
        <f>SUBSTITUTE(ADDRESS(1,COLUMN(),4),"1","")</f>
        <v>CH</v>
      </c>
      <c r="CJ1" s="5443" t="str">
        <f>SUBSTITUTE(ADDRESS(1,COLUMN(),4),"1","")</f>
        <v>CJ</v>
      </c>
      <c r="CK1" s="5443" t="str">
        <f>SUBSTITUTE(ADDRESS(1,COLUMN(),4),"1","")</f>
        <v>CK</v>
      </c>
      <c r="CM1" s="5443" t="str">
        <f>SUBSTITUTE(ADDRESS(1,COLUMN(),4),"1","")</f>
        <v>CM</v>
      </c>
      <c r="CN1" s="5443" t="str">
        <f>SUBSTITUTE(ADDRESS(1,COLUMN(),4),"1","")</f>
        <v>CN</v>
      </c>
      <c r="CP1" s="5443" t="str">
        <f>SUBSTITUTE(ADDRESS(1,COLUMN(),4),"1","")</f>
        <v>CP</v>
      </c>
      <c r="CQ1" s="5443" t="str">
        <f>SUBSTITUTE(ADDRESS(1,COLUMN(),4),"1","")</f>
        <v>CQ</v>
      </c>
      <c r="CS1" s="5443" t="str">
        <f>SUBSTITUTE(ADDRESS(1,COLUMN(),4),"1","")</f>
        <v>CS</v>
      </c>
      <c r="CT1" s="5443" t="str">
        <f>SUBSTITUTE(ADDRESS(1,COLUMN(),4),"1","")</f>
        <v>CT</v>
      </c>
      <c r="CV1" s="5443" t="str">
        <f>SUBSTITUTE(ADDRESS(1,COLUMN(),4),"1","")</f>
        <v>CV</v>
      </c>
      <c r="CW1" s="5443" t="str">
        <f>SUBSTITUTE(ADDRESS(1,COLUMN(),4),"1","")</f>
        <v>CW</v>
      </c>
      <c r="CY1" s="5443" t="str">
        <f>SUBSTITUTE(ADDRESS(1,COLUMN(),4),"1","")</f>
        <v>CY</v>
      </c>
      <c r="CZ1" s="5443" t="str">
        <f>SUBSTITUTE(ADDRESS(1,COLUMN(),4),"1","")</f>
        <v>CZ</v>
      </c>
      <c r="DB1" s="5443" t="str">
        <f>SUBSTITUTE(ADDRESS(1,COLUMN(),4),"1","")</f>
        <v>DB</v>
      </c>
      <c r="DC1" s="5443" t="str">
        <f>SUBSTITUTE(ADDRESS(1,COLUMN(),4),"1","")</f>
        <v>DC</v>
      </c>
      <c r="DE1" s="5443" t="str">
        <f>SUBSTITUTE(ADDRESS(1,COLUMN(),4),"1","")</f>
        <v>DE</v>
      </c>
      <c r="DF1" s="5443" t="str">
        <f>SUBSTITUTE(ADDRESS(1,COLUMN(),4),"1","")</f>
        <v>DF</v>
      </c>
      <c r="DH1" s="5443" t="str">
        <f>SUBSTITUTE(ADDRESS(1,COLUMN(),4),"1","")</f>
        <v>DH</v>
      </c>
      <c r="DI1" s="5443" t="str">
        <f>SUBSTITUTE(ADDRESS(1,COLUMN(),4),"1","")</f>
        <v>DI</v>
      </c>
      <c r="DK1" s="5443" t="str">
        <f>SUBSTITUTE(ADDRESS(1,COLUMN(),4),"1","")</f>
        <v>DK</v>
      </c>
      <c r="DM1" s="5">
        <v>1</v>
      </c>
      <c r="DN1" s="5443" t="str">
        <f>SUBSTITUTE(ADDRESS(1,COLUMN(),4),"1","")</f>
        <v>DN</v>
      </c>
      <c r="DO1" s="5442" t="str">
        <f>SUBSTITUTE(ADDRESS(1,COLUMN(),4),"1","")</f>
        <v>DO</v>
      </c>
    </row>
    <row r="2" spans="1:119">
      <c r="A2" s="1626"/>
      <c r="B2" s="91">
        <f ca="1">CELL("largeur",B2)</f>
        <v>13</v>
      </c>
      <c r="C2" s="91">
        <f ca="1">CELL("largeur",C2)</f>
        <v>13</v>
      </c>
      <c r="E2" s="91">
        <f ca="1">CELL("largeur",E2)</f>
        <v>13</v>
      </c>
      <c r="F2" s="91">
        <f ca="1">CELL("largeur",F2)</f>
        <v>13</v>
      </c>
      <c r="H2" s="91">
        <f ca="1">CELL("largeur",H2)</f>
        <v>13</v>
      </c>
      <c r="I2" s="91">
        <f ca="1">CELL("largeur",I2)</f>
        <v>13</v>
      </c>
      <c r="K2" s="91">
        <f ca="1">CELL("largeur",K2)</f>
        <v>13</v>
      </c>
      <c r="L2" s="91">
        <f ca="1">CELL("largeur",L2)</f>
        <v>13</v>
      </c>
      <c r="N2" s="91">
        <f ca="1">CELL("largeur",N2)</f>
        <v>13</v>
      </c>
      <c r="O2" s="91">
        <f ca="1">CELL("largeur",O2)</f>
        <v>13</v>
      </c>
      <c r="Q2" s="91">
        <f ca="1">CELL("largeur",Q2)</f>
        <v>13</v>
      </c>
      <c r="R2" s="91">
        <f ca="1">CELL("largeur",R2)</f>
        <v>13</v>
      </c>
      <c r="T2" s="91">
        <f ca="1">CELL("largeur",T2)</f>
        <v>13</v>
      </c>
      <c r="U2" s="91">
        <f ca="1">CELL("largeur",U2)</f>
        <v>13</v>
      </c>
      <c r="W2" s="91">
        <f ca="1">CELL("largeur",W2)</f>
        <v>13</v>
      </c>
      <c r="X2" s="91">
        <f ca="1">CELL("largeur",X2)</f>
        <v>13</v>
      </c>
      <c r="Z2" s="91">
        <f ca="1">CELL("largeur",Z2)</f>
        <v>13</v>
      </c>
      <c r="AA2" s="91">
        <f ca="1">CELL("largeur",AA2)</f>
        <v>13</v>
      </c>
      <c r="AC2" s="91">
        <f ca="1">CELL("largeur",AC2)</f>
        <v>13</v>
      </c>
      <c r="AD2" s="91">
        <f ca="1">CELL("largeur",AD2)</f>
        <v>13</v>
      </c>
      <c r="AF2" s="91">
        <f ca="1">CELL("largeur",AF2)</f>
        <v>13</v>
      </c>
      <c r="AG2" s="91">
        <f ca="1">CELL("largeur",AG2)</f>
        <v>13</v>
      </c>
      <c r="AI2" s="91">
        <f ca="1">CELL("largeur",AI2)</f>
        <v>11</v>
      </c>
      <c r="AJ2" s="91">
        <f ca="1">CELL("largeur",AJ2)</f>
        <v>12</v>
      </c>
      <c r="AL2" s="91">
        <f ca="1">CELL("largeur",AL2)</f>
        <v>11</v>
      </c>
      <c r="AM2" s="91">
        <f ca="1">CELL("largeur",AM2)</f>
        <v>12</v>
      </c>
      <c r="AN2"/>
      <c r="AO2" s="91">
        <f ca="1">CELL("largeur",AO2)</f>
        <v>12</v>
      </c>
      <c r="AP2" s="91">
        <f ca="1">CELL("largeur",AP2)</f>
        <v>12</v>
      </c>
      <c r="AQ2"/>
      <c r="AS2" s="91">
        <f ca="1">CELL("largeur",AS2)</f>
        <v>13</v>
      </c>
      <c r="AT2" s="91">
        <f ca="1">CELL("largeur",AT2)</f>
        <v>13</v>
      </c>
      <c r="AV2" s="91">
        <f ca="1">CELL("largeur",AV2)</f>
        <v>13</v>
      </c>
      <c r="AW2" s="91">
        <f ca="1">CELL("largeur",AW2)</f>
        <v>13</v>
      </c>
      <c r="AY2" s="91">
        <f ca="1">CELL("largeur",AY2)</f>
        <v>13</v>
      </c>
      <c r="AZ2" s="91">
        <f ca="1">CELL("largeur",AZ2)</f>
        <v>13</v>
      </c>
      <c r="BB2" s="91">
        <f ca="1">CELL("largeur",BB2)</f>
        <v>13</v>
      </c>
      <c r="BC2" s="91">
        <f ca="1">CELL("largeur",BC2)</f>
        <v>13</v>
      </c>
      <c r="BE2" s="91">
        <f ca="1">CELL("largeur",BE2)</f>
        <v>13</v>
      </c>
      <c r="BF2" s="91">
        <f ca="1">CELL("largeur",BF2)</f>
        <v>13</v>
      </c>
      <c r="BH2" s="91">
        <f ca="1">CELL("largeur",BH2)</f>
        <v>13</v>
      </c>
      <c r="BI2" s="91">
        <f ca="1">CELL("largeur",BI2)</f>
        <v>13</v>
      </c>
      <c r="BK2" s="91">
        <f ca="1">CELL("largeur",BK2)</f>
        <v>13</v>
      </c>
      <c r="BL2" s="91">
        <f ca="1">CELL("largeur",BL2)</f>
        <v>13</v>
      </c>
      <c r="BN2" s="91">
        <f ca="1">CELL("largeur",BN2)</f>
        <v>13</v>
      </c>
      <c r="BO2" s="91">
        <f ca="1">CELL("largeur",BO2)</f>
        <v>13</v>
      </c>
      <c r="BQ2" s="91">
        <f ca="1">CELL("largeur",BQ2)</f>
        <v>13</v>
      </c>
      <c r="BR2" s="91">
        <f ca="1">CELL("largeur",BR2)</f>
        <v>13</v>
      </c>
      <c r="BT2" s="91">
        <f ca="1">CELL("largeur",BT2)</f>
        <v>13</v>
      </c>
      <c r="BU2" s="91">
        <f ca="1">CELL("largeur",BU2)</f>
        <v>13</v>
      </c>
      <c r="BW2" s="91">
        <f ca="1">CELL("largeur",BW2)</f>
        <v>13</v>
      </c>
      <c r="BX2" s="91">
        <f ca="1">CELL("largeur",BX2)</f>
        <v>13</v>
      </c>
      <c r="BY2" s="4"/>
      <c r="CD2" s="91">
        <f ca="1">CELL("largeur",CD2)</f>
        <v>13</v>
      </c>
      <c r="CE2" s="91">
        <f ca="1">CELL("largeur",CE2)</f>
        <v>13</v>
      </c>
      <c r="CG2" s="91">
        <f ca="1">CELL("largeur",CG2)</f>
        <v>13</v>
      </c>
      <c r="CH2" s="91">
        <f ca="1">CELL("largeur",CH2)</f>
        <v>13</v>
      </c>
      <c r="CJ2" s="91">
        <f ca="1">CELL("largeur",CJ2)</f>
        <v>13</v>
      </c>
      <c r="CK2" s="91">
        <f ca="1">CELL("largeur",CK2)</f>
        <v>13</v>
      </c>
      <c r="CM2" s="91">
        <f ca="1">CELL("largeur",CM2)</f>
        <v>13</v>
      </c>
      <c r="CN2" s="91">
        <f ca="1">CELL("largeur",CN2)</f>
        <v>13</v>
      </c>
      <c r="CP2" s="91">
        <f ca="1">CELL("largeur",CP2)</f>
        <v>13</v>
      </c>
      <c r="CQ2" s="91">
        <f ca="1">CELL("largeur",CQ2)</f>
        <v>13</v>
      </c>
      <c r="CS2" s="91">
        <f ca="1">CELL("largeur",CS2)</f>
        <v>13</v>
      </c>
      <c r="CT2" s="91">
        <f ca="1">CELL("largeur",CT2)</f>
        <v>13</v>
      </c>
      <c r="CV2" s="91">
        <f ca="1">CELL("largeur",CV2)</f>
        <v>13</v>
      </c>
      <c r="CW2" s="91">
        <f ca="1">CELL("largeur",CW2)</f>
        <v>13</v>
      </c>
      <c r="CY2" s="91">
        <f ca="1">CELL("largeur",CY2)</f>
        <v>13</v>
      </c>
      <c r="CZ2" s="91">
        <f ca="1">CELL("largeur",CZ2)</f>
        <v>13</v>
      </c>
      <c r="DB2" s="91">
        <f ca="1">CELL("largeur",DB2)</f>
        <v>13</v>
      </c>
      <c r="DC2" s="91">
        <f ca="1">CELL("largeur",DC2)</f>
        <v>13</v>
      </c>
      <c r="DE2" s="91">
        <f ca="1">CELL("largeur",DE2)</f>
        <v>13</v>
      </c>
      <c r="DF2" s="91">
        <f ca="1">CELL("largeur",DF2)</f>
        <v>13</v>
      </c>
      <c r="DH2" s="91">
        <f ca="1">CELL("largeur",DH2)</f>
        <v>13</v>
      </c>
      <c r="DI2" s="91">
        <f ca="1">CELL("largeur",DI2)</f>
        <v>13</v>
      </c>
      <c r="DK2" s="91">
        <f ca="1">CELL("largeur",DK2)</f>
        <v>31</v>
      </c>
      <c r="DM2" s="5">
        <v>1</v>
      </c>
      <c r="DN2" s="440"/>
      <c r="DO2" s="440" t="s">
        <v>295</v>
      </c>
    </row>
    <row r="3" spans="1:119" ht="15.75">
      <c r="B3"/>
      <c r="C3"/>
      <c r="D3"/>
      <c r="E3"/>
      <c r="F3"/>
      <c r="G3"/>
      <c r="H3"/>
      <c r="I3"/>
      <c r="J3"/>
      <c r="K3"/>
      <c r="L3"/>
      <c r="M3"/>
      <c r="N3"/>
      <c r="O3"/>
      <c r="P3"/>
      <c r="Q3"/>
      <c r="R3"/>
      <c r="S3" s="141"/>
      <c r="T3" s="141"/>
      <c r="U3" s="141"/>
      <c r="V3" s="141"/>
      <c r="W3" s="141"/>
      <c r="X3" s="141"/>
      <c r="Y3" s="141"/>
      <c r="Z3" s="141"/>
      <c r="AA3" s="141"/>
      <c r="AB3" s="141"/>
      <c r="AC3" s="141"/>
      <c r="AD3" s="141"/>
      <c r="AE3" s="141"/>
      <c r="AF3" s="141"/>
      <c r="AG3" s="141"/>
      <c r="AH3" s="141"/>
      <c r="AI3" s="141"/>
      <c r="AJ3" s="141"/>
      <c r="AK3" s="97"/>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5">
        <v>1</v>
      </c>
      <c r="DN3" s="430">
        <f ca="1">COUNTA(A1:DM183)+COUNTBLANK(A1:DM183)</f>
        <v>22730</v>
      </c>
      <c r="DO3" s="429" t="str">
        <f>"cellules entre"&amp;" " &amp;A1&amp;" et  "&amp;DM183</f>
        <v>cellules entre A1 et  DM183</v>
      </c>
    </row>
    <row r="4" spans="1:119" ht="21.75" customHeight="1">
      <c r="S4" s="97"/>
      <c r="T4" s="97"/>
      <c r="U4" s="97"/>
      <c r="V4" s="97"/>
      <c r="W4" s="97"/>
      <c r="X4" s="97"/>
      <c r="Y4" s="97"/>
      <c r="Z4" s="97"/>
      <c r="AA4" s="97"/>
      <c r="AB4" s="5181"/>
      <c r="AC4" s="97"/>
      <c r="AD4" s="97"/>
      <c r="AE4" s="5181"/>
      <c r="AF4" s="97"/>
      <c r="AG4" s="97"/>
      <c r="AH4" s="5181"/>
      <c r="AI4" s="97"/>
      <c r="AJ4" s="97"/>
      <c r="AK4" s="97"/>
      <c r="AL4" s="97"/>
      <c r="AM4" s="97"/>
      <c r="AN4" s="97"/>
      <c r="AO4" s="97"/>
      <c r="AP4" s="97"/>
      <c r="AQ4" s="97"/>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5">
        <v>1</v>
      </c>
      <c r="DN4" s="430">
        <f ca="1">COUNTA(A1:DM183)</f>
        <v>2946</v>
      </c>
      <c r="DO4" s="429" t="s">
        <v>291</v>
      </c>
    </row>
    <row r="5" spans="1:119" ht="21.75" customHeight="1">
      <c r="B5" s="7192" t="s">
        <v>9679</v>
      </c>
      <c r="C5" s="7192"/>
      <c r="D5" s="7192"/>
      <c r="E5" s="7192"/>
      <c r="F5" s="7192"/>
      <c r="G5" s="7192"/>
      <c r="H5" s="7192"/>
      <c r="I5" s="7192"/>
      <c r="J5" s="7192"/>
      <c r="K5" s="7192"/>
      <c r="L5" s="7192"/>
      <c r="M5" s="7192"/>
      <c r="N5" s="7192"/>
      <c r="O5" s="7192"/>
      <c r="P5" s="7192"/>
      <c r="Q5" s="7192"/>
      <c r="R5" s="5310" t="str">
        <f ca="1">"Page N°"&amp;_xlfn.SHEET()</f>
        <v>Page N°7</v>
      </c>
      <c r="S5" s="97"/>
      <c r="T5" s="422" t="s">
        <v>9680</v>
      </c>
      <c r="U5" s="97"/>
      <c r="V5" s="97"/>
      <c r="W5" s="97"/>
      <c r="X5" s="97"/>
      <c r="Y5" s="97"/>
      <c r="Z5" s="97"/>
      <c r="AA5" s="97"/>
      <c r="AB5" s="1715"/>
      <c r="AC5" s="97"/>
      <c r="AD5" s="97"/>
      <c r="AE5" s="1715"/>
      <c r="AF5" s="97"/>
      <c r="AG5" s="97"/>
      <c r="AH5" s="1715"/>
      <c r="AI5" s="97"/>
      <c r="AJ5" s="97"/>
      <c r="AK5" s="97"/>
      <c r="AL5" s="97"/>
      <c r="AM5" s="97"/>
      <c r="AN5" s="97"/>
      <c r="AO5" s="97"/>
      <c r="AP5" s="97"/>
      <c r="AQ5" s="97"/>
      <c r="AR5" s="141"/>
      <c r="AS5" s="7192" t="s">
        <v>10673</v>
      </c>
      <c r="AT5" s="7192"/>
      <c r="AU5" s="7192"/>
      <c r="AV5" s="7192"/>
      <c r="AW5" s="7192"/>
      <c r="AX5" s="7192"/>
      <c r="AY5" s="7192"/>
      <c r="AZ5" s="7192"/>
      <c r="BA5" s="7192"/>
      <c r="BB5" s="7192"/>
      <c r="BC5" s="7192"/>
      <c r="BD5" s="7192"/>
      <c r="BE5" s="7192"/>
      <c r="BF5" s="7192"/>
      <c r="BG5" s="7192"/>
      <c r="BH5" s="7192"/>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5">
        <v>1</v>
      </c>
      <c r="DN5" s="430">
        <f ca="1">COUNTBLANK(A1:DM183)</f>
        <v>19784</v>
      </c>
      <c r="DO5" s="429" t="s">
        <v>288</v>
      </c>
    </row>
    <row r="6" spans="1:119" ht="22.5" customHeight="1">
      <c r="B6" s="7192"/>
      <c r="C6" s="7192"/>
      <c r="D6" s="7192"/>
      <c r="E6" s="7192"/>
      <c r="F6" s="7192"/>
      <c r="G6" s="7192"/>
      <c r="H6" s="7192"/>
      <c r="I6" s="7192"/>
      <c r="J6" s="7192"/>
      <c r="K6" s="7192"/>
      <c r="L6" s="7192"/>
      <c r="M6" s="7192"/>
      <c r="N6" s="7192"/>
      <c r="O6" s="7192"/>
      <c r="P6" s="7192"/>
      <c r="Q6" s="7192"/>
      <c r="S6" s="97"/>
      <c r="T6" s="97"/>
      <c r="U6" s="97"/>
      <c r="V6" s="97"/>
      <c r="W6" s="97"/>
      <c r="X6" s="5637"/>
      <c r="Y6" s="97"/>
      <c r="Z6" s="97"/>
      <c r="AA6" s="97"/>
      <c r="AB6" s="5181"/>
      <c r="AC6" s="97"/>
      <c r="AD6" s="97"/>
      <c r="AE6" s="5181"/>
      <c r="AF6" s="97"/>
      <c r="AG6" s="5637"/>
      <c r="AH6" s="5181"/>
      <c r="AI6" s="97"/>
      <c r="AJ6" s="97"/>
      <c r="AK6" s="97"/>
      <c r="AL6" s="97"/>
      <c r="AM6" s="97"/>
      <c r="AN6" s="97"/>
      <c r="AO6" s="97"/>
      <c r="AP6" s="97"/>
      <c r="AQ6" s="97"/>
      <c r="AR6" s="141"/>
      <c r="AS6" s="7192"/>
      <c r="AT6" s="7192"/>
      <c r="AU6" s="7192"/>
      <c r="AV6" s="7192"/>
      <c r="AW6" s="7192"/>
      <c r="AX6" s="7192"/>
      <c r="AY6" s="7192"/>
      <c r="AZ6" s="7192"/>
      <c r="BA6" s="7192"/>
      <c r="BB6" s="7192"/>
      <c r="BC6" s="7192"/>
      <c r="BD6" s="7192"/>
      <c r="BE6" s="7192"/>
      <c r="BF6" s="7192"/>
      <c r="BG6" s="7192"/>
      <c r="BH6" s="7192"/>
      <c r="BI6" s="141"/>
      <c r="BJ6" s="141"/>
      <c r="BK6" s="141"/>
      <c r="BL6" s="141"/>
      <c r="BM6" s="141"/>
      <c r="BN6" s="141"/>
      <c r="BO6" s="141"/>
      <c r="BP6" s="141"/>
      <c r="BQ6" s="141"/>
      <c r="BR6" s="141"/>
      <c r="BS6" s="141"/>
      <c r="BT6" s="141"/>
      <c r="BU6" s="141"/>
      <c r="BV6" s="141"/>
      <c r="BW6" s="141"/>
      <c r="BX6" s="141"/>
      <c r="BY6" s="141"/>
      <c r="BZ6" s="141"/>
      <c r="CA6" s="141"/>
      <c r="CB6" s="141"/>
      <c r="CC6" s="141"/>
      <c r="CD6" s="7192" t="s">
        <v>10674</v>
      </c>
      <c r="CE6" s="7192"/>
      <c r="CF6" s="7192"/>
      <c r="CG6" s="7192"/>
      <c r="CH6" s="7192"/>
      <c r="CI6" s="7192"/>
      <c r="CJ6" s="7192"/>
      <c r="CK6" s="7192"/>
      <c r="CL6" s="7192"/>
      <c r="CM6" s="7192"/>
      <c r="CN6" s="7192"/>
      <c r="CO6" s="7192"/>
      <c r="CP6" s="7192"/>
      <c r="CQ6" s="7192"/>
      <c r="CR6" s="7192"/>
      <c r="CS6" s="7192"/>
      <c r="CT6" s="141"/>
      <c r="CU6" s="141"/>
      <c r="CV6" s="141"/>
      <c r="CW6" s="141"/>
      <c r="CX6" s="141"/>
      <c r="CY6" s="141"/>
      <c r="CZ6" s="141"/>
      <c r="DA6" s="141"/>
      <c r="DB6" s="141"/>
      <c r="DC6" s="141"/>
      <c r="DD6" s="141"/>
      <c r="DE6" s="141"/>
      <c r="DF6" s="141"/>
      <c r="DG6" s="141"/>
      <c r="DH6" s="141"/>
      <c r="DI6" s="141"/>
      <c r="DJ6" s="141"/>
      <c r="DK6" s="141"/>
      <c r="DL6" s="141"/>
      <c r="DM6" s="5">
        <v>1</v>
      </c>
      <c r="DN6" s="430">
        <f>SUM(DM1:DM181)+2</f>
        <v>183</v>
      </c>
      <c r="DO6" s="429" t="s">
        <v>286</v>
      </c>
    </row>
    <row r="7" spans="1:119" ht="22.5" customHeight="1">
      <c r="A7" s="141"/>
      <c r="B7" s="102" t="s">
        <v>10675</v>
      </c>
      <c r="C7" s="97"/>
      <c r="D7" s="97"/>
      <c r="E7" s="97"/>
      <c r="F7" s="97"/>
      <c r="G7" s="97"/>
      <c r="H7" s="97"/>
      <c r="I7" s="97"/>
      <c r="J7" s="97"/>
      <c r="K7" s="97"/>
      <c r="L7" s="97"/>
      <c r="M7" s="97"/>
      <c r="N7" s="97"/>
      <c r="O7" s="97"/>
      <c r="P7" s="97"/>
      <c r="Q7" s="97"/>
      <c r="R7" s="97"/>
      <c r="S7" s="97"/>
      <c r="T7" s="97"/>
      <c r="U7" s="97"/>
      <c r="V7" s="97"/>
      <c r="W7" s="97"/>
      <c r="X7" s="5637"/>
      <c r="Y7" s="97"/>
      <c r="Z7" s="97"/>
      <c r="AA7" s="97"/>
      <c r="AB7" s="5181"/>
      <c r="AC7" s="97"/>
      <c r="AD7" s="97"/>
      <c r="AE7" s="5181"/>
      <c r="AF7" s="97"/>
      <c r="AG7" s="5637"/>
      <c r="AH7" s="5181"/>
      <c r="AI7" s="97"/>
      <c r="AJ7" s="97"/>
      <c r="AK7" s="97"/>
      <c r="AL7" s="97"/>
      <c r="AM7" s="97"/>
      <c r="AN7" s="97"/>
      <c r="AO7" s="97"/>
      <c r="AP7" s="97"/>
      <c r="AQ7" s="97"/>
      <c r="AR7" s="141"/>
      <c r="AS7" s="102" t="s">
        <v>10675</v>
      </c>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7192"/>
      <c r="CE7" s="7192"/>
      <c r="CF7" s="7192"/>
      <c r="CG7" s="7192"/>
      <c r="CH7" s="7192"/>
      <c r="CI7" s="7192"/>
      <c r="CJ7" s="7192"/>
      <c r="CK7" s="7192"/>
      <c r="CL7" s="7192"/>
      <c r="CM7" s="7192"/>
      <c r="CN7" s="7192"/>
      <c r="CO7" s="7192"/>
      <c r="CP7" s="7192"/>
      <c r="CQ7" s="7192"/>
      <c r="CR7" s="7192"/>
      <c r="CS7" s="7192"/>
      <c r="CT7" s="141"/>
      <c r="CU7" s="141"/>
      <c r="CV7" s="141"/>
      <c r="CW7" s="141"/>
      <c r="CX7" s="141"/>
      <c r="CY7" s="141"/>
      <c r="CZ7" s="141"/>
      <c r="DA7" s="141"/>
      <c r="DB7" s="141"/>
      <c r="DC7" s="141"/>
      <c r="DD7" s="141"/>
      <c r="DE7" s="141"/>
      <c r="DF7" s="141"/>
      <c r="DG7" s="141"/>
      <c r="DH7" s="141"/>
      <c r="DI7" s="141"/>
      <c r="DJ7" s="141"/>
      <c r="DK7" s="141"/>
      <c r="DL7" s="141"/>
      <c r="DM7" s="5">
        <v>1</v>
      </c>
      <c r="DN7" s="430">
        <f>SUM(A183:AQ183)+1</f>
        <v>44</v>
      </c>
      <c r="DO7" s="429" t="s">
        <v>284</v>
      </c>
    </row>
    <row r="8" spans="1:119" ht="22.5" customHeight="1">
      <c r="A8" s="141"/>
      <c r="B8" s="102" t="s">
        <v>10676</v>
      </c>
      <c r="C8" s="97"/>
      <c r="D8" s="97"/>
      <c r="E8" s="97"/>
      <c r="F8" s="97"/>
      <c r="G8" s="97"/>
      <c r="H8" s="97"/>
      <c r="I8" s="97"/>
      <c r="J8" s="97"/>
      <c r="K8" s="97"/>
      <c r="L8" s="97"/>
      <c r="M8" s="97"/>
      <c r="N8" s="97"/>
      <c r="O8" s="97"/>
      <c r="P8" s="97"/>
      <c r="Q8" s="97"/>
      <c r="R8" s="97"/>
      <c r="S8" s="97"/>
      <c r="T8" s="97"/>
      <c r="U8" s="97"/>
      <c r="V8" s="97"/>
      <c r="W8" s="97"/>
      <c r="X8" s="5637"/>
      <c r="Y8" s="97"/>
      <c r="Z8" s="97"/>
      <c r="AA8" s="97"/>
      <c r="AB8" s="5181"/>
      <c r="AC8" s="97"/>
      <c r="AD8" s="97"/>
      <c r="AE8" s="5181"/>
      <c r="AF8" s="97"/>
      <c r="AG8" s="5637"/>
      <c r="AH8" s="5181"/>
      <c r="AI8" s="7193" t="str">
        <f ca="1">AG10&amp;"  Formule ► "&amp;_xlfn.FORMULATEXT(AG10)</f>
        <v>pâti--ENT  Formule ► =SIERREUR(MINUSCULE(GAUCHE(SUPPRESPACE(GAUCHE(AE10;TROUVE("-";AE10)-1));4))&amp;"-"&amp;MAJUSCULE(GAUCHE(SUPPRESPACE(STXT(AE10;TROUVE("-";AE10)+1;99));4));"")</v>
      </c>
      <c r="AJ8" s="7193"/>
      <c r="AK8" s="7193"/>
      <c r="AL8" s="7193"/>
      <c r="AM8" s="7193"/>
      <c r="AN8" s="7193"/>
      <c r="AO8" s="7193"/>
      <c r="AP8" s="7193"/>
      <c r="AQ8" s="97"/>
      <c r="AR8" s="141"/>
      <c r="AS8" s="102" t="s">
        <v>10676</v>
      </c>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02" t="s">
        <v>10675</v>
      </c>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5">
        <v>1</v>
      </c>
      <c r="DN8" s="430"/>
      <c r="DO8" s="429"/>
    </row>
    <row r="9" spans="1:119" ht="21" customHeight="1" thickBot="1">
      <c r="A9" s="141"/>
      <c r="B9" s="141"/>
      <c r="C9" s="141"/>
      <c r="D9" s="141"/>
      <c r="E9" s="141"/>
      <c r="F9" s="141"/>
      <c r="G9" s="141"/>
      <c r="H9" s="141"/>
      <c r="I9" s="141"/>
      <c r="J9" s="141"/>
      <c r="K9" s="141"/>
      <c r="L9" s="141"/>
      <c r="M9" s="141"/>
      <c r="N9" s="141"/>
      <c r="O9" s="141"/>
      <c r="P9" s="141"/>
      <c r="Q9" s="141"/>
      <c r="R9" s="141"/>
      <c r="S9" s="97"/>
      <c r="T9" s="97"/>
      <c r="U9" s="97"/>
      <c r="V9" s="97"/>
      <c r="W9" s="97"/>
      <c r="X9" s="5637" t="s">
        <v>8026</v>
      </c>
      <c r="Y9" s="97"/>
      <c r="Z9" s="97"/>
      <c r="AA9" s="97"/>
      <c r="AB9" s="5181"/>
      <c r="AC9" s="97"/>
      <c r="AD9" s="97"/>
      <c r="AE9" s="5181"/>
      <c r="AF9" s="97"/>
      <c r="AG9" s="5637" t="s">
        <v>8027</v>
      </c>
      <c r="AH9" s="5181"/>
      <c r="AI9" s="7193"/>
      <c r="AJ9" s="7193"/>
      <c r="AK9" s="7193"/>
      <c r="AL9" s="7193"/>
      <c r="AM9" s="7193"/>
      <c r="AN9" s="7193"/>
      <c r="AO9" s="7193"/>
      <c r="AP9" s="7193"/>
      <c r="AQ9" s="97"/>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02" t="s">
        <v>10676</v>
      </c>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5">
        <v>1</v>
      </c>
    </row>
    <row r="10" spans="1:119" ht="14.45" customHeight="1">
      <c r="A10" s="141"/>
      <c r="B10" s="7194" t="s">
        <v>8028</v>
      </c>
      <c r="C10" s="7194"/>
      <c r="E10" s="7195" t="s">
        <v>8029</v>
      </c>
      <c r="F10" s="7195"/>
      <c r="H10" s="1514" t="s">
        <v>8030</v>
      </c>
      <c r="I10" s="97"/>
      <c r="J10" s="97"/>
      <c r="K10" s="97"/>
      <c r="L10" s="97"/>
      <c r="M10" s="97"/>
      <c r="N10" s="141"/>
      <c r="O10" s="141"/>
      <c r="P10" s="97"/>
      <c r="Q10" s="6911" t="s">
        <v>895</v>
      </c>
      <c r="R10" s="6911"/>
      <c r="S10" s="6911"/>
      <c r="T10" s="6911"/>
      <c r="U10" s="6911"/>
      <c r="V10" s="6935" t="s">
        <v>8031</v>
      </c>
      <c r="W10" s="6935"/>
      <c r="X10" s="6915" t="str">
        <f>UPPER(LEFT(Q10,1))</f>
        <v>C</v>
      </c>
      <c r="Z10" s="6911" t="s">
        <v>895</v>
      </c>
      <c r="AA10" s="6911"/>
      <c r="AB10" s="6911"/>
      <c r="AC10" s="6911"/>
      <c r="AD10" s="6911"/>
      <c r="AE10" s="6935" t="s">
        <v>8031</v>
      </c>
      <c r="AF10" s="6935"/>
      <c r="AG10" s="5311" t="str">
        <f>IFERROR(LOWER(LEFT(TRIM(LEFT(AE10,FIND("-",AE10)-1)),4))&amp;"-"&amp;UPPER(LEFT(TRIM(MID(AE10,FIND("-",AE10)+1,99)),4)),"")</f>
        <v>pâti--ENT</v>
      </c>
      <c r="AI10" s="7193"/>
      <c r="AJ10" s="7193"/>
      <c r="AK10" s="7193"/>
      <c r="AL10" s="7193"/>
      <c r="AM10" s="7193"/>
      <c r="AN10" s="7193"/>
      <c r="AO10" s="7193"/>
      <c r="AP10" s="7193"/>
      <c r="AQ10" s="97"/>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5">
        <v>1</v>
      </c>
    </row>
    <row r="11" spans="1:119" ht="24" customHeight="1">
      <c r="A11" s="141"/>
      <c r="B11" s="7194"/>
      <c r="C11" s="7194"/>
      <c r="E11" s="7194"/>
      <c r="F11" s="7194"/>
      <c r="H11" s="5312" t="s">
        <v>1299</v>
      </c>
      <c r="I11" s="97"/>
      <c r="J11" s="97"/>
      <c r="K11" s="97"/>
      <c r="L11" s="97"/>
      <c r="M11" s="97"/>
      <c r="N11" s="141"/>
      <c r="O11" s="141"/>
      <c r="P11" s="97"/>
      <c r="Q11" s="6912"/>
      <c r="R11" s="6912"/>
      <c r="S11" s="6912"/>
      <c r="T11" s="6912"/>
      <c r="U11" s="6912"/>
      <c r="V11" s="6936"/>
      <c r="W11" s="6936"/>
      <c r="X11" s="6916"/>
      <c r="Z11" s="6912"/>
      <c r="AA11" s="6912"/>
      <c r="AB11" s="6912"/>
      <c r="AC11" s="6912"/>
      <c r="AD11" s="6912"/>
      <c r="AE11" s="6936"/>
      <c r="AF11" s="6936"/>
      <c r="AG11" s="5313" t="str">
        <f>IFERROR(LOWER(TRIM(MID(AE10, FIND("-",AE10, FIND("-",AE10)+1)+1, 999))), "")</f>
        <v>entremet</v>
      </c>
      <c r="AI11" s="7193" t="str">
        <f ca="1">AG11&amp;"  Formule ► "&amp;_xlfn.FORMULATEXT(AG11)</f>
        <v>entremet  Formule ► =SIERREUR(MINUSCULE(SUPPRESPACE(STXT(AE10; TROUVE("-";AE10; TROUVE("-";AE10)+1)+1; 999))); "")</v>
      </c>
      <c r="AJ11" s="7193"/>
      <c r="AK11" s="7193"/>
      <c r="AL11" s="7193"/>
      <c r="AM11" s="7193"/>
      <c r="AN11" s="7193"/>
      <c r="AO11" s="7193"/>
      <c r="AP11" s="7193"/>
      <c r="AQ11" s="97"/>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5">
        <v>1</v>
      </c>
    </row>
    <row r="12" spans="1:119" ht="24" customHeight="1">
      <c r="A12" s="141"/>
      <c r="B12" s="141"/>
      <c r="C12" s="141"/>
      <c r="D12" s="141"/>
      <c r="E12" s="141" t="s">
        <v>10672</v>
      </c>
      <c r="F12" s="141"/>
      <c r="G12" s="141"/>
      <c r="H12" s="141"/>
      <c r="I12" s="141"/>
      <c r="J12" s="141"/>
      <c r="K12" s="141"/>
      <c r="L12" s="141"/>
      <c r="M12" s="141"/>
      <c r="N12" s="141"/>
      <c r="O12" s="141"/>
      <c r="P12" s="141"/>
      <c r="Q12" s="141"/>
      <c r="R12" s="141"/>
      <c r="S12" s="141"/>
      <c r="T12" s="141"/>
      <c r="V12" s="141"/>
      <c r="W12" s="6511" t="str">
        <f>X10&amp;"  Formule ►"</f>
        <v>C  Formule ►</v>
      </c>
      <c r="X12" s="326" t="str">
        <f ca="1">_xlfn.FORMULATEXT(X10)</f>
        <v>=MAJUSCULE(GAUCHE(Q10;1))</v>
      </c>
      <c r="Y12" s="141"/>
      <c r="Z12" s="141"/>
      <c r="AA12" s="141"/>
      <c r="AB12" s="141"/>
      <c r="AC12" s="141"/>
      <c r="AD12" s="141"/>
      <c r="AE12" s="141"/>
      <c r="AF12" s="141"/>
      <c r="AG12" s="141"/>
      <c r="AH12" s="141"/>
      <c r="AI12" s="7193"/>
      <c r="AJ12" s="7193"/>
      <c r="AK12" s="7193"/>
      <c r="AL12" s="7193"/>
      <c r="AM12" s="7193"/>
      <c r="AN12" s="7193"/>
      <c r="AO12" s="7193"/>
      <c r="AP12" s="7193"/>
      <c r="AQ12" s="97"/>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5">
        <v>1</v>
      </c>
    </row>
    <row r="13" spans="1:119" ht="18" customHeight="1" thickBot="1">
      <c r="A13" s="141"/>
      <c r="B13" s="141"/>
      <c r="C13" s="141"/>
      <c r="D13"/>
      <c r="E13" s="5314" t="s">
        <v>8032</v>
      </c>
      <c r="F13" s="1669"/>
      <c r="G13" s="1669"/>
      <c r="H13" s="1669"/>
      <c r="I13" s="1669"/>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97"/>
      <c r="AL13" s="97"/>
      <c r="AM13" s="97"/>
      <c r="AN13" s="97"/>
      <c r="AO13" s="97"/>
      <c r="AP13" s="97"/>
      <c r="AQ13" s="97"/>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5">
        <v>1</v>
      </c>
    </row>
    <row r="14" spans="1:119" ht="18" customHeight="1">
      <c r="A14" s="141"/>
      <c r="B14" s="7183" t="s">
        <v>8033</v>
      </c>
      <c r="C14" s="7183"/>
      <c r="D14"/>
      <c r="E14" s="5315" t="str">
        <f>IFERROR(LOWER(LEFT(TRIM(LEFT(B14,FIND("-",B14)-1)),4))&amp;"-"&amp;UPPER(LEFT(TRIM(MID(B14,FIND("-",B14)+1,99)),4)),"")</f>
        <v>cuis-CRUD</v>
      </c>
      <c r="F14" s="147" t="str">
        <f ca="1">_xlfn.FORMULATEXT(E14)</f>
        <v>=SIERREUR(MINUSCULE(GAUCHE(SUPPRESPACE(GAUCHE(B14;TROUVE("-";B14)-1));4))&amp;"-"&amp;MAJUSCULE(GAUCHE(SUPPRESPACE(STXT(B14;TROUVE("-";B14)+1;99));4));"")</v>
      </c>
      <c r="G14" s="141"/>
      <c r="H14" s="141"/>
      <c r="I14" s="141"/>
      <c r="J14" s="141"/>
      <c r="K14" s="141"/>
      <c r="L14" s="141"/>
      <c r="M14" s="141"/>
      <c r="N14" s="141"/>
      <c r="O14" s="141"/>
      <c r="P14" s="141"/>
      <c r="Q14" s="141"/>
      <c r="R14" s="141"/>
      <c r="S14" s="141"/>
      <c r="T14" s="141"/>
      <c r="U14" s="97"/>
      <c r="V14" s="97"/>
      <c r="W14" s="97"/>
      <c r="X14" s="97"/>
      <c r="Y14" s="97"/>
      <c r="Z14" s="97"/>
      <c r="AA14" s="97"/>
      <c r="AB14" s="5181"/>
      <c r="AC14" s="97"/>
      <c r="AD14" s="97"/>
      <c r="AE14" s="5181"/>
      <c r="AF14" s="97"/>
      <c r="AG14" s="97"/>
      <c r="AH14" s="5181"/>
      <c r="AI14" s="97"/>
      <c r="AJ14" s="5316"/>
      <c r="AK14" s="97"/>
      <c r="AL14" s="97"/>
      <c r="AM14" s="97"/>
      <c r="AN14" s="97"/>
      <c r="AO14" s="97"/>
      <c r="AP14" s="97"/>
      <c r="AQ14" s="97"/>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5">
        <v>1</v>
      </c>
    </row>
    <row r="15" spans="1:119" ht="18" customHeight="1">
      <c r="A15" s="141"/>
      <c r="B15" s="7184"/>
      <c r="C15" s="7184"/>
      <c r="D15"/>
      <c r="E15" s="5317" t="str">
        <f>IFERROR(LOWER(TRIM(MID(B14, FIND("-",B14, FIND("-",B14)+1)+1, 999))), "")</f>
        <v>céléri branche</v>
      </c>
      <c r="F15" s="147" t="str">
        <f ca="1">_xlfn.FORMULATEXT(E15)</f>
        <v>=SIERREUR(MINUSCULE(SUPPRESPACE(STXT(B14; TROUVE("-";B14; TROUVE("-";B14)+1)+1; 999))); "")</v>
      </c>
      <c r="G15" s="141"/>
      <c r="H15" s="1514"/>
      <c r="I15" s="141"/>
      <c r="J15" s="141"/>
      <c r="K15" s="141"/>
      <c r="L15" s="141"/>
      <c r="M15" s="141"/>
      <c r="N15" s="141"/>
      <c r="O15" s="141"/>
      <c r="P15" s="141"/>
      <c r="Q15" s="141"/>
      <c r="R15" s="141"/>
      <c r="S15" s="141"/>
      <c r="T15" s="141"/>
      <c r="U15" s="141"/>
      <c r="V15" s="141"/>
      <c r="W15" s="141"/>
      <c r="X15" s="141"/>
      <c r="Y15" s="141"/>
      <c r="Z15" s="141"/>
      <c r="AA15" s="141"/>
      <c r="AB15" s="5181"/>
      <c r="AC15" s="141"/>
      <c r="AD15" s="141"/>
      <c r="AE15" s="5181"/>
      <c r="AF15" s="141"/>
      <c r="AG15" s="141"/>
      <c r="AH15" s="5181"/>
      <c r="AI15" s="5316"/>
      <c r="AJ15" s="5316"/>
      <c r="AK15" s="97"/>
      <c r="AL15" s="97"/>
      <c r="AM15" s="97"/>
      <c r="AN15" s="97"/>
      <c r="AO15" s="97"/>
      <c r="AP15" s="97"/>
      <c r="AQ15" s="97"/>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5">
        <v>1</v>
      </c>
    </row>
    <row r="16" spans="1:119" ht="18" customHeight="1" thickBot="1">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5181"/>
      <c r="AC16" s="141"/>
      <c r="AD16" s="141"/>
      <c r="AE16" s="5181"/>
      <c r="AF16" s="141"/>
      <c r="AG16" s="141"/>
      <c r="AH16" s="5181"/>
      <c r="AI16" s="97"/>
      <c r="AJ16" s="97"/>
      <c r="AK16" s="97"/>
      <c r="AL16" s="97"/>
      <c r="AM16" s="97"/>
      <c r="AN16" s="97"/>
      <c r="AO16" s="97"/>
      <c r="AP16" s="97"/>
      <c r="AQ16" s="97"/>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5">
        <v>1</v>
      </c>
    </row>
    <row r="17" spans="1:117" ht="18" customHeight="1">
      <c r="A17" s="141"/>
      <c r="B17" s="7198" t="s">
        <v>9681</v>
      </c>
      <c r="C17" s="7198"/>
      <c r="D17" s="141"/>
      <c r="E17" s="6935" t="s">
        <v>9681</v>
      </c>
      <c r="F17" s="6935"/>
      <c r="G17" s="141"/>
      <c r="H17" s="7200" t="s">
        <v>9681</v>
      </c>
      <c r="I17" s="7200"/>
      <c r="J17" s="141"/>
      <c r="K17" s="7202" t="s">
        <v>9681</v>
      </c>
      <c r="L17" s="7202"/>
      <c r="M17" s="141"/>
      <c r="N17" s="7204" t="s">
        <v>9681</v>
      </c>
      <c r="O17" s="7204"/>
      <c r="P17" s="141"/>
      <c r="Q17" s="7196" t="s">
        <v>9681</v>
      </c>
      <c r="R17" s="7196"/>
      <c r="S17" s="141"/>
      <c r="T17" s="7181" t="s">
        <v>9681</v>
      </c>
      <c r="U17" s="7181"/>
      <c r="V17" s="141"/>
      <c r="W17" s="7183" t="s">
        <v>9681</v>
      </c>
      <c r="X17" s="7183"/>
      <c r="Y17" s="141"/>
      <c r="Z17" s="7186" t="s">
        <v>9681</v>
      </c>
      <c r="AA17" s="7186"/>
      <c r="AB17" s="5181"/>
      <c r="AC17" s="7188" t="s">
        <v>9681</v>
      </c>
      <c r="AD17" s="7188"/>
      <c r="AE17" s="5181"/>
      <c r="AF17" s="7190" t="s">
        <v>9681</v>
      </c>
      <c r="AG17" s="7190"/>
      <c r="AH17" s="5181"/>
      <c r="AI17" s="7185" t="s">
        <v>1301</v>
      </c>
      <c r="AJ17" s="7185"/>
      <c r="AL17" s="7185" t="s">
        <v>1301</v>
      </c>
      <c r="AM17" s="7185"/>
      <c r="AO17" s="97"/>
      <c r="AP17" s="97"/>
      <c r="AS17" s="7198" t="s">
        <v>10044</v>
      </c>
      <c r="AT17" s="7198"/>
      <c r="AV17" s="6935" t="s">
        <v>10096</v>
      </c>
      <c r="AW17" s="6935"/>
      <c r="AY17" s="7200" t="s">
        <v>10164</v>
      </c>
      <c r="AZ17" s="7200"/>
      <c r="BB17" s="7202" t="s">
        <v>10213</v>
      </c>
      <c r="BC17" s="7202"/>
      <c r="BE17" s="7204" t="s">
        <v>10213</v>
      </c>
      <c r="BF17" s="7204"/>
      <c r="BH17" s="7196" t="s">
        <v>10213</v>
      </c>
      <c r="BI17" s="7196"/>
      <c r="BK17" s="7181" t="s">
        <v>10213</v>
      </c>
      <c r="BL17" s="7181"/>
      <c r="BN17" s="7183" t="s">
        <v>10213</v>
      </c>
      <c r="BO17" s="7183"/>
      <c r="BQ17" s="7186" t="s">
        <v>10213</v>
      </c>
      <c r="BR17" s="7186"/>
      <c r="BT17" s="7188" t="s">
        <v>10576</v>
      </c>
      <c r="BU17" s="7188"/>
      <c r="BW17" s="7190" t="s">
        <v>10618</v>
      </c>
      <c r="BX17" s="7190"/>
      <c r="BZ17" s="6821" t="s">
        <v>10651</v>
      </c>
      <c r="CD17" s="7274" t="s">
        <v>10069</v>
      </c>
      <c r="CE17" s="7274"/>
      <c r="CG17" s="6935" t="s">
        <v>10130</v>
      </c>
      <c r="CH17" s="6935"/>
      <c r="CJ17" s="7200" t="s">
        <v>10189</v>
      </c>
      <c r="CK17" s="7200"/>
      <c r="CM17" s="7202" t="s">
        <v>10242</v>
      </c>
      <c r="CN17" s="7202"/>
      <c r="CP17" s="7204" t="s">
        <v>10242</v>
      </c>
      <c r="CQ17" s="7204"/>
      <c r="CS17" s="7196" t="s">
        <v>10242</v>
      </c>
      <c r="CT17" s="7196"/>
      <c r="CV17" s="7181" t="s">
        <v>10242</v>
      </c>
      <c r="CW17" s="7181"/>
      <c r="CY17" s="7183" t="s">
        <v>10242</v>
      </c>
      <c r="CZ17" s="7183"/>
      <c r="DB17" s="7186" t="s">
        <v>10242</v>
      </c>
      <c r="DC17" s="7186"/>
      <c r="DE17" s="7188" t="s">
        <v>10597</v>
      </c>
      <c r="DF17" s="7188"/>
      <c r="DH17" s="7190" t="s">
        <v>10633</v>
      </c>
      <c r="DI17" s="7190"/>
      <c r="DK17" s="6821" t="s">
        <v>10651</v>
      </c>
      <c r="DM17" s="5">
        <v>1</v>
      </c>
    </row>
    <row r="18" spans="1:117" ht="18" customHeight="1">
      <c r="A18" s="141"/>
      <c r="B18" s="7199"/>
      <c r="C18" s="7199"/>
      <c r="D18" s="141"/>
      <c r="E18" s="6936"/>
      <c r="F18" s="6936"/>
      <c r="G18" s="141"/>
      <c r="H18" s="7201"/>
      <c r="I18" s="7201"/>
      <c r="J18" s="141"/>
      <c r="K18" s="7203"/>
      <c r="L18" s="7203"/>
      <c r="M18" s="141"/>
      <c r="N18" s="7205"/>
      <c r="O18" s="7205"/>
      <c r="P18" s="141"/>
      <c r="Q18" s="7197"/>
      <c r="R18" s="7197"/>
      <c r="S18" s="141"/>
      <c r="T18" s="7182"/>
      <c r="U18" s="7182"/>
      <c r="V18" s="141"/>
      <c r="W18" s="7184"/>
      <c r="X18" s="7184"/>
      <c r="Y18" s="141"/>
      <c r="Z18" s="7187"/>
      <c r="AA18" s="7187"/>
      <c r="AB18" s="5181"/>
      <c r="AC18" s="7189"/>
      <c r="AD18" s="7189"/>
      <c r="AE18" s="5181"/>
      <c r="AF18" s="7191"/>
      <c r="AG18" s="7191"/>
      <c r="AH18" s="5181"/>
      <c r="AI18" s="7185"/>
      <c r="AJ18" s="7185"/>
      <c r="AL18" s="7185"/>
      <c r="AM18" s="7185"/>
      <c r="AO18" s="97"/>
      <c r="AP18" s="97"/>
      <c r="AS18" s="7199" t="s">
        <v>856</v>
      </c>
      <c r="AT18" s="7199"/>
      <c r="AV18" s="6936" t="s">
        <v>856</v>
      </c>
      <c r="AW18" s="6936"/>
      <c r="AY18" s="7201" t="s">
        <v>856</v>
      </c>
      <c r="AZ18" s="7201"/>
      <c r="BB18" s="7203" t="s">
        <v>856</v>
      </c>
      <c r="BC18" s="7203"/>
      <c r="BE18" s="7205" t="s">
        <v>856</v>
      </c>
      <c r="BF18" s="7205"/>
      <c r="BH18" s="7197" t="s">
        <v>856</v>
      </c>
      <c r="BI18" s="7197"/>
      <c r="BK18" s="7182" t="s">
        <v>856</v>
      </c>
      <c r="BL18" s="7182"/>
      <c r="BN18" s="7184" t="s">
        <v>856</v>
      </c>
      <c r="BO18" s="7184"/>
      <c r="BQ18" s="7187" t="s">
        <v>856</v>
      </c>
      <c r="BR18" s="7187"/>
      <c r="BT18" s="7189" t="s">
        <v>856</v>
      </c>
      <c r="BU18" s="7189"/>
      <c r="BW18" s="7191" t="s">
        <v>856</v>
      </c>
      <c r="BX18" s="7191"/>
      <c r="BZ18" s="6821" t="s">
        <v>10671</v>
      </c>
      <c r="CD18" s="7275" t="s">
        <v>856</v>
      </c>
      <c r="CE18" s="7275"/>
      <c r="CG18" s="6936" t="s">
        <v>856</v>
      </c>
      <c r="CH18" s="6936"/>
      <c r="CJ18" s="7201" t="s">
        <v>856</v>
      </c>
      <c r="CK18" s="7201"/>
      <c r="CM18" s="7203" t="s">
        <v>856</v>
      </c>
      <c r="CN18" s="7203"/>
      <c r="CP18" s="7205" t="s">
        <v>856</v>
      </c>
      <c r="CQ18" s="7205"/>
      <c r="CS18" s="7197" t="s">
        <v>856</v>
      </c>
      <c r="CT18" s="7197"/>
      <c r="CV18" s="7182" t="s">
        <v>856</v>
      </c>
      <c r="CW18" s="7182"/>
      <c r="CY18" s="7184" t="s">
        <v>856</v>
      </c>
      <c r="CZ18" s="7184"/>
      <c r="DB18" s="7187" t="s">
        <v>856</v>
      </c>
      <c r="DC18" s="7187"/>
      <c r="DE18" s="7189" t="s">
        <v>856</v>
      </c>
      <c r="DF18" s="7189"/>
      <c r="DH18" s="7191" t="s">
        <v>856</v>
      </c>
      <c r="DI18" s="7191"/>
      <c r="DK18" s="6821" t="s">
        <v>10671</v>
      </c>
      <c r="DM18" s="5">
        <v>1</v>
      </c>
    </row>
    <row r="19" spans="1:117" ht="18" customHeight="1" thickBot="1">
      <c r="A19" s="141"/>
      <c r="B19" s="5638" t="s">
        <v>8034</v>
      </c>
      <c r="C19" s="5639"/>
      <c r="D19" s="97"/>
      <c r="E19" s="5638"/>
      <c r="F19" s="5639"/>
      <c r="G19" s="97"/>
      <c r="H19" s="5638"/>
      <c r="I19" s="5639"/>
      <c r="J19" s="97"/>
      <c r="K19" s="5638"/>
      <c r="L19" s="5639"/>
      <c r="M19" s="97"/>
      <c r="N19" s="5638"/>
      <c r="O19" s="5639"/>
      <c r="P19" s="97"/>
      <c r="Q19" s="5638" t="s">
        <v>8034</v>
      </c>
      <c r="R19" s="5639"/>
      <c r="S19" s="97"/>
      <c r="T19" s="5638" t="s">
        <v>8034</v>
      </c>
      <c r="U19" s="5639"/>
      <c r="V19" s="97"/>
      <c r="W19" s="5638" t="s">
        <v>8034</v>
      </c>
      <c r="X19" s="5639"/>
      <c r="Y19" s="97"/>
      <c r="Z19" s="5638" t="s">
        <v>8034</v>
      </c>
      <c r="AA19" s="5639"/>
      <c r="AB19" s="5181"/>
      <c r="AC19" s="5638"/>
      <c r="AD19" s="5639"/>
      <c r="AE19" s="5181"/>
      <c r="AF19" s="5638"/>
      <c r="AG19" s="5639"/>
      <c r="AH19" s="5181"/>
      <c r="AL19" s="97"/>
      <c r="AM19" s="97"/>
      <c r="AO19" s="97"/>
      <c r="AP19" s="97"/>
      <c r="AS19" s="5638" t="s">
        <v>856</v>
      </c>
      <c r="AT19" s="5639"/>
      <c r="AV19" s="5638" t="s">
        <v>856</v>
      </c>
      <c r="AW19" s="5639"/>
      <c r="AY19" s="5638" t="s">
        <v>856</v>
      </c>
      <c r="AZ19" s="5639"/>
      <c r="BB19" t="s">
        <v>856</v>
      </c>
      <c r="BE19" s="5638" t="s">
        <v>856</v>
      </c>
      <c r="BF19" s="5639"/>
      <c r="BH19" s="5638" t="s">
        <v>856</v>
      </c>
      <c r="BI19" s="5639"/>
      <c r="BK19" s="5638" t="s">
        <v>856</v>
      </c>
      <c r="BL19" s="5639"/>
      <c r="BN19" t="s">
        <v>856</v>
      </c>
      <c r="BQ19" t="s">
        <v>856</v>
      </c>
      <c r="BT19" t="s">
        <v>856</v>
      </c>
      <c r="BW19" s="5638" t="s">
        <v>856</v>
      </c>
      <c r="BX19" s="5639"/>
      <c r="BZ19" s="6814" t="s">
        <v>10652</v>
      </c>
      <c r="CD19" s="5638" t="s">
        <v>856</v>
      </c>
      <c r="CE19" s="5639"/>
      <c r="CG19" s="2" t="s">
        <v>856</v>
      </c>
      <c r="CH19" s="2"/>
      <c r="CJ19" s="2" t="s">
        <v>856</v>
      </c>
      <c r="CK19" s="2"/>
      <c r="CM19" s="2" t="s">
        <v>856</v>
      </c>
      <c r="CN19" s="2"/>
      <c r="CP19" s="2" t="s">
        <v>856</v>
      </c>
      <c r="CQ19" s="2"/>
      <c r="CS19" s="5496" t="s">
        <v>856</v>
      </c>
      <c r="CT19" s="5496"/>
      <c r="CV19" s="2" t="s">
        <v>856</v>
      </c>
      <c r="CW19" s="2"/>
      <c r="CY19" s="2" t="s">
        <v>856</v>
      </c>
      <c r="CZ19" s="2"/>
      <c r="DB19" s="2" t="s">
        <v>856</v>
      </c>
      <c r="DC19" s="2"/>
      <c r="DE19" s="5638" t="s">
        <v>856</v>
      </c>
      <c r="DF19" s="5639"/>
      <c r="DH19" s="2" t="s">
        <v>856</v>
      </c>
      <c r="DI19" s="2"/>
      <c r="DK19" s="6814" t="s">
        <v>10652</v>
      </c>
      <c r="DM19" s="5">
        <v>1</v>
      </c>
    </row>
    <row r="20" spans="1:117" ht="18" customHeight="1">
      <c r="B20" s="7198" t="s">
        <v>1542</v>
      </c>
      <c r="C20" s="7198"/>
      <c r="E20" s="7215" t="s">
        <v>1543</v>
      </c>
      <c r="F20" s="7215"/>
      <c r="H20" s="7200" t="s">
        <v>1544</v>
      </c>
      <c r="I20" s="7200"/>
      <c r="K20" s="7202" t="s">
        <v>1545</v>
      </c>
      <c r="L20" s="7202"/>
      <c r="N20" s="7204" t="s">
        <v>1546</v>
      </c>
      <c r="O20" s="7204"/>
      <c r="Q20" s="7196" t="s">
        <v>8035</v>
      </c>
      <c r="R20" s="7196"/>
      <c r="T20" s="7181" t="s">
        <v>8036</v>
      </c>
      <c r="U20" s="7181"/>
      <c r="W20" s="7183" t="s">
        <v>8037</v>
      </c>
      <c r="X20" s="7183"/>
      <c r="Z20" s="7186" t="s">
        <v>8038</v>
      </c>
      <c r="AA20" s="7186"/>
      <c r="AC20" s="7188" t="s">
        <v>8039</v>
      </c>
      <c r="AD20" s="7188"/>
      <c r="AF20" s="7190" t="s">
        <v>8040</v>
      </c>
      <c r="AG20" s="7190"/>
      <c r="AI20" s="7216" t="s">
        <v>1311</v>
      </c>
      <c r="AJ20" s="7216"/>
      <c r="AL20" s="97"/>
      <c r="AM20" s="97"/>
      <c r="AO20" s="97"/>
      <c r="AP20" s="97"/>
      <c r="AS20" s="7274" t="s">
        <v>10045</v>
      </c>
      <c r="AT20" s="7274"/>
      <c r="AV20" s="6935" t="s">
        <v>10097</v>
      </c>
      <c r="AW20" s="6935"/>
      <c r="AY20" s="7200" t="s">
        <v>10165</v>
      </c>
      <c r="AZ20" s="7200"/>
      <c r="BB20" s="7202" t="s">
        <v>1545</v>
      </c>
      <c r="BC20" s="7202"/>
      <c r="BE20" s="7204" t="s">
        <v>10272</v>
      </c>
      <c r="BF20" s="7204"/>
      <c r="BH20" s="7196" t="s">
        <v>10304</v>
      </c>
      <c r="BI20" s="7196"/>
      <c r="BK20" s="7181" t="s">
        <v>10304</v>
      </c>
      <c r="BL20" s="7181"/>
      <c r="BN20" s="7183" t="s">
        <v>10304</v>
      </c>
      <c r="BO20" s="7183"/>
      <c r="BQ20" s="7186" t="s">
        <v>10304</v>
      </c>
      <c r="BR20" s="7186"/>
      <c r="BT20" s="7188" t="s">
        <v>10577</v>
      </c>
      <c r="BU20" s="7188"/>
      <c r="BW20" s="7190" t="s">
        <v>10619</v>
      </c>
      <c r="BX20" s="7190"/>
      <c r="BZ20" s="6812" t="s">
        <v>10653</v>
      </c>
      <c r="CD20" s="7274" t="s">
        <v>10070</v>
      </c>
      <c r="CE20" s="7274"/>
      <c r="CG20" s="6935" t="s">
        <v>10131</v>
      </c>
      <c r="CH20" s="6935"/>
      <c r="CJ20" s="7200" t="s">
        <v>10190</v>
      </c>
      <c r="CK20" s="7200"/>
      <c r="CM20" s="7202" t="s">
        <v>10243</v>
      </c>
      <c r="CN20" s="7202"/>
      <c r="CP20" s="7204" t="s">
        <v>10288</v>
      </c>
      <c r="CQ20" s="7204"/>
      <c r="CS20" s="7196" t="s">
        <v>10328</v>
      </c>
      <c r="CT20" s="7196"/>
      <c r="CV20" s="7181" t="s">
        <v>10328</v>
      </c>
      <c r="CW20" s="7181"/>
      <c r="CY20" s="7183" t="s">
        <v>10328</v>
      </c>
      <c r="CZ20" s="7183"/>
      <c r="DB20" s="7186" t="s">
        <v>10328</v>
      </c>
      <c r="DC20" s="7186"/>
      <c r="DE20" s="7188" t="s">
        <v>10598</v>
      </c>
      <c r="DF20" s="7188"/>
      <c r="DH20" s="7190" t="s">
        <v>10634</v>
      </c>
      <c r="DI20" s="7190"/>
      <c r="DK20" s="6812" t="s">
        <v>10653</v>
      </c>
      <c r="DM20" s="5">
        <v>1</v>
      </c>
    </row>
    <row r="21" spans="1:117" ht="18" customHeight="1">
      <c r="B21" s="7199"/>
      <c r="C21" s="7199"/>
      <c r="E21" s="7042"/>
      <c r="F21" s="7042"/>
      <c r="H21" s="7201"/>
      <c r="I21" s="7201"/>
      <c r="K21" s="7203"/>
      <c r="L21" s="7203"/>
      <c r="N21" s="7205"/>
      <c r="O21" s="7205"/>
      <c r="Q21" s="7197"/>
      <c r="R21" s="7197"/>
      <c r="T21" s="7182"/>
      <c r="U21" s="7182"/>
      <c r="W21" s="7184"/>
      <c r="X21" s="7184"/>
      <c r="Z21" s="7187"/>
      <c r="AA21" s="7187"/>
      <c r="AC21" s="7189"/>
      <c r="AD21" s="7189"/>
      <c r="AF21" s="7191"/>
      <c r="AG21" s="7191"/>
      <c r="AI21" s="7216"/>
      <c r="AJ21" s="7216"/>
      <c r="AL21" s="97"/>
      <c r="AM21" s="97"/>
      <c r="AO21" s="106">
        <v>1</v>
      </c>
      <c r="AP21" s="106">
        <v>1</v>
      </c>
      <c r="AS21" s="7275" t="s">
        <v>856</v>
      </c>
      <c r="AT21" s="7275"/>
      <c r="AV21" s="6936" t="s">
        <v>856</v>
      </c>
      <c r="AW21" s="6936"/>
      <c r="AY21" s="7201" t="s">
        <v>856</v>
      </c>
      <c r="AZ21" s="7201"/>
      <c r="BB21" s="7203" t="s">
        <v>856</v>
      </c>
      <c r="BC21" s="7203"/>
      <c r="BE21" s="7205" t="s">
        <v>856</v>
      </c>
      <c r="BF21" s="7205"/>
      <c r="BH21" s="7197" t="s">
        <v>856</v>
      </c>
      <c r="BI21" s="7197"/>
      <c r="BK21" s="7182" t="s">
        <v>856</v>
      </c>
      <c r="BL21" s="7182"/>
      <c r="BN21" s="7184" t="s">
        <v>856</v>
      </c>
      <c r="BO21" s="7184"/>
      <c r="BQ21" s="7187" t="s">
        <v>856</v>
      </c>
      <c r="BR21" s="7187"/>
      <c r="BT21" s="7189" t="s">
        <v>856</v>
      </c>
      <c r="BU21" s="7189"/>
      <c r="BW21" s="7191" t="s">
        <v>856</v>
      </c>
      <c r="BX21" s="7191"/>
      <c r="BZ21" s="6813" t="s">
        <v>10654</v>
      </c>
      <c r="CD21" s="7275" t="s">
        <v>856</v>
      </c>
      <c r="CE21" s="7275"/>
      <c r="CG21" s="6936" t="s">
        <v>856</v>
      </c>
      <c r="CH21" s="6936"/>
      <c r="CJ21" s="7201" t="s">
        <v>856</v>
      </c>
      <c r="CK21" s="7201"/>
      <c r="CM21" s="7203" t="s">
        <v>856</v>
      </c>
      <c r="CN21" s="7203"/>
      <c r="CP21" s="7205" t="s">
        <v>856</v>
      </c>
      <c r="CQ21" s="7205"/>
      <c r="CS21" s="7197" t="s">
        <v>856</v>
      </c>
      <c r="CT21" s="7197"/>
      <c r="CV21" s="7182" t="s">
        <v>856</v>
      </c>
      <c r="CW21" s="7182"/>
      <c r="CY21" s="7184" t="s">
        <v>856</v>
      </c>
      <c r="CZ21" s="7184"/>
      <c r="DB21" s="7187" t="s">
        <v>856</v>
      </c>
      <c r="DC21" s="7187"/>
      <c r="DE21" s="7189" t="s">
        <v>856</v>
      </c>
      <c r="DF21" s="7189"/>
      <c r="DH21" s="7191" t="s">
        <v>856</v>
      </c>
      <c r="DI21" s="7191"/>
      <c r="DK21" s="6813" t="s">
        <v>10654</v>
      </c>
      <c r="DM21" s="5">
        <v>1</v>
      </c>
    </row>
    <row r="22" spans="1:117" s="1" customFormat="1" ht="18" customHeight="1" thickBot="1">
      <c r="A22"/>
      <c r="B22" s="2"/>
      <c r="C22" s="2"/>
      <c r="D22" s="2"/>
      <c r="E22" s="2"/>
      <c r="F22" s="2"/>
      <c r="G22" s="2"/>
      <c r="H22" s="2"/>
      <c r="I22" s="2"/>
      <c r="J22" s="2"/>
      <c r="K22" s="2"/>
      <c r="L22" s="2"/>
      <c r="M22" s="2"/>
      <c r="N22" s="2"/>
      <c r="O22" s="2"/>
      <c r="P22" s="2"/>
      <c r="Q22" s="5496"/>
      <c r="R22" s="5496"/>
      <c r="S22" s="2"/>
      <c r="T22" s="2"/>
      <c r="U22" s="2"/>
      <c r="V22" s="2"/>
      <c r="W22" s="2"/>
      <c r="X22" s="2"/>
      <c r="Y22" s="2"/>
      <c r="Z22" s="2"/>
      <c r="AA22" s="2"/>
      <c r="AB22" s="4"/>
      <c r="AC22" s="2"/>
      <c r="AD22" s="2"/>
      <c r="AE22" s="4"/>
      <c r="AF22" s="2"/>
      <c r="AG22" s="2"/>
      <c r="AH22" s="4"/>
      <c r="AI22" s="2"/>
      <c r="AJ22" s="2"/>
      <c r="AK22" s="2"/>
      <c r="AL22" s="97"/>
      <c r="AM22" s="97"/>
      <c r="AN22" s="2"/>
      <c r="AO22" s="1630" t="s">
        <v>1312</v>
      </c>
      <c r="AP22" s="97"/>
      <c r="AQ22" s="2"/>
      <c r="AS22" s="2" t="s">
        <v>856</v>
      </c>
      <c r="AT22" s="2"/>
      <c r="AV22" s="2" t="s">
        <v>856</v>
      </c>
      <c r="AW22" s="2"/>
      <c r="AY22" s="2" t="s">
        <v>856</v>
      </c>
      <c r="AZ22" s="2"/>
      <c r="BB22" s="5638" t="s">
        <v>856</v>
      </c>
      <c r="BC22" s="5639"/>
      <c r="BE22" s="2" t="s">
        <v>856</v>
      </c>
      <c r="BF22" s="2"/>
      <c r="BH22" s="5496" t="s">
        <v>856</v>
      </c>
      <c r="BI22" s="5496"/>
      <c r="BK22" s="2" t="s">
        <v>856</v>
      </c>
      <c r="BL22" s="2"/>
      <c r="BN22" t="s">
        <v>856</v>
      </c>
      <c r="BO22"/>
      <c r="BQ22" t="s">
        <v>856</v>
      </c>
      <c r="BR22"/>
      <c r="BT22" t="s">
        <v>856</v>
      </c>
      <c r="BU22"/>
      <c r="BW22" s="2" t="s">
        <v>856</v>
      </c>
      <c r="BX22" s="2"/>
      <c r="BY22"/>
      <c r="BZ22" s="6815" t="s">
        <v>10655</v>
      </c>
      <c r="CA22"/>
      <c r="CB22"/>
      <c r="CC22"/>
      <c r="CD22" s="2" t="s">
        <v>856</v>
      </c>
      <c r="CE22" s="2"/>
      <c r="CG22" s="2" t="s">
        <v>856</v>
      </c>
      <c r="CH22" s="2"/>
      <c r="CJ22" t="s">
        <v>856</v>
      </c>
      <c r="CK22"/>
      <c r="CM22" s="2" t="s">
        <v>856</v>
      </c>
      <c r="CN22" s="2"/>
      <c r="CP22" s="2" t="s">
        <v>856</v>
      </c>
      <c r="CQ22" s="2"/>
      <c r="CS22" s="5496" t="s">
        <v>856</v>
      </c>
      <c r="CT22" s="5496"/>
      <c r="CV22" s="2" t="s">
        <v>856</v>
      </c>
      <c r="CW22" s="2"/>
      <c r="CY22" s="2" t="s">
        <v>856</v>
      </c>
      <c r="CZ22" s="2"/>
      <c r="DB22" s="2" t="s">
        <v>856</v>
      </c>
      <c r="DC22" s="2"/>
      <c r="DE22" s="2" t="s">
        <v>856</v>
      </c>
      <c r="DF22" s="2"/>
      <c r="DH22" s="2" t="s">
        <v>856</v>
      </c>
      <c r="DI22" s="2"/>
      <c r="DK22" s="6815" t="s">
        <v>10655</v>
      </c>
      <c r="DL22"/>
      <c r="DM22" s="5">
        <v>1</v>
      </c>
    </row>
    <row r="23" spans="1:117" s="1" customFormat="1" ht="18" customHeight="1">
      <c r="A23"/>
      <c r="B23" s="7217" t="s">
        <v>8041</v>
      </c>
      <c r="C23" s="7217"/>
      <c r="D23" s="2"/>
      <c r="E23" s="6935" t="s">
        <v>8042</v>
      </c>
      <c r="F23" s="6935"/>
      <c r="G23" s="2"/>
      <c r="H23" s="7200" t="s">
        <v>8043</v>
      </c>
      <c r="I23" s="7200"/>
      <c r="J23" s="2"/>
      <c r="K23" s="7202" t="s">
        <v>8044</v>
      </c>
      <c r="L23" s="7202"/>
      <c r="M23" s="2"/>
      <c r="N23" s="7204" t="s">
        <v>8045</v>
      </c>
      <c r="O23" s="7204"/>
      <c r="P23" s="2"/>
      <c r="Q23" s="7196" t="s">
        <v>8046</v>
      </c>
      <c r="R23" s="7196"/>
      <c r="S23" s="2"/>
      <c r="T23" s="7181" t="s">
        <v>8007</v>
      </c>
      <c r="U23" s="7181"/>
      <c r="V23" s="2"/>
      <c r="W23" s="7183" t="s">
        <v>8047</v>
      </c>
      <c r="X23" s="7183"/>
      <c r="Y23" s="2"/>
      <c r="Z23" s="7186" t="s">
        <v>8048</v>
      </c>
      <c r="AA23" s="7186"/>
      <c r="AB23" s="4"/>
      <c r="AC23" s="7188" t="s">
        <v>8049</v>
      </c>
      <c r="AD23" s="7188"/>
      <c r="AE23" s="4"/>
      <c r="AF23" s="7190" t="s">
        <v>8050</v>
      </c>
      <c r="AG23" s="7190"/>
      <c r="AH23" s="4"/>
      <c r="AI23" s="7182" t="s">
        <v>1321</v>
      </c>
      <c r="AJ23" s="7182"/>
      <c r="AK23" s="2"/>
      <c r="AL23" s="7184" t="s">
        <v>1322</v>
      </c>
      <c r="AM23" s="7184"/>
      <c r="AN23" s="2"/>
      <c r="AO23" s="7206" t="s">
        <v>1323</v>
      </c>
      <c r="AP23" s="7206"/>
      <c r="AQ23" s="2"/>
      <c r="AS23" s="7217" t="s">
        <v>8062</v>
      </c>
      <c r="AT23" s="7217"/>
      <c r="AV23" s="6935" t="s">
        <v>10098</v>
      </c>
      <c r="AW23" s="6935"/>
      <c r="AY23" s="7200" t="s">
        <v>10166</v>
      </c>
      <c r="AZ23" s="7200"/>
      <c r="BB23" s="7202" t="s">
        <v>10214</v>
      </c>
      <c r="BC23" s="7202"/>
      <c r="BE23" s="7204" t="s">
        <v>10273</v>
      </c>
      <c r="BF23" s="7204"/>
      <c r="BH23" s="7196" t="s">
        <v>10305</v>
      </c>
      <c r="BI23" s="7196"/>
      <c r="BK23" s="7181" t="s">
        <v>10352</v>
      </c>
      <c r="BL23" s="7181"/>
      <c r="BN23" s="7183" t="s">
        <v>10436</v>
      </c>
      <c r="BO23" s="7183"/>
      <c r="BQ23" s="7186" t="s">
        <v>10535</v>
      </c>
      <c r="BR23" s="7186"/>
      <c r="BT23" s="7188" t="s">
        <v>10578</v>
      </c>
      <c r="BU23" s="7188"/>
      <c r="BW23" s="7190" t="s">
        <v>10620</v>
      </c>
      <c r="BX23" s="7190"/>
      <c r="BY23"/>
      <c r="BZ23" s="6816" t="s">
        <v>10656</v>
      </c>
      <c r="CA23"/>
      <c r="CB23"/>
      <c r="CC23"/>
      <c r="CD23" s="7217" t="s">
        <v>10071</v>
      </c>
      <c r="CE23" s="7217"/>
      <c r="CG23" s="6935" t="s">
        <v>10132</v>
      </c>
      <c r="CH23" s="6935"/>
      <c r="CJ23" s="7200" t="s">
        <v>10191</v>
      </c>
      <c r="CK23" s="7200"/>
      <c r="CM23" s="7202" t="s">
        <v>10244</v>
      </c>
      <c r="CN23" s="7202"/>
      <c r="CP23" s="7204" t="s">
        <v>10289</v>
      </c>
      <c r="CQ23" s="7204"/>
      <c r="CS23" s="7196" t="s">
        <v>10329</v>
      </c>
      <c r="CT23" s="7196"/>
      <c r="CV23" s="7181" t="s">
        <v>10394</v>
      </c>
      <c r="CW23" s="7181"/>
      <c r="CY23" s="7183" t="s">
        <v>10487</v>
      </c>
      <c r="CZ23" s="7183"/>
      <c r="DB23" s="7186" t="s">
        <v>10556</v>
      </c>
      <c r="DC23" s="7186"/>
      <c r="DE23" s="7188" t="s">
        <v>10599</v>
      </c>
      <c r="DF23" s="7188"/>
      <c r="DH23" s="7190" t="s">
        <v>10635</v>
      </c>
      <c r="DI23" s="7190"/>
      <c r="DK23" s="6816" t="s">
        <v>10656</v>
      </c>
      <c r="DL23"/>
      <c r="DM23" s="5">
        <v>1</v>
      </c>
    </row>
    <row r="24" spans="1:117" s="1" customFormat="1" ht="18" customHeight="1">
      <c r="A24" s="187"/>
      <c r="B24" s="7218"/>
      <c r="C24" s="7218"/>
      <c r="D24" s="2"/>
      <c r="E24" s="6936"/>
      <c r="F24" s="6936"/>
      <c r="G24" s="2"/>
      <c r="H24" s="7201"/>
      <c r="I24" s="7201"/>
      <c r="J24" s="2"/>
      <c r="K24" s="7203"/>
      <c r="L24" s="7203"/>
      <c r="M24" s="2"/>
      <c r="N24" s="7205"/>
      <c r="O24" s="7205"/>
      <c r="P24" s="2"/>
      <c r="Q24" s="7197"/>
      <c r="R24" s="7197"/>
      <c r="S24" s="2"/>
      <c r="T24" s="7182"/>
      <c r="U24" s="7182"/>
      <c r="V24" s="2"/>
      <c r="W24" s="7184"/>
      <c r="X24" s="7184"/>
      <c r="Y24" s="2"/>
      <c r="Z24" s="7187"/>
      <c r="AA24" s="7187"/>
      <c r="AB24" s="4"/>
      <c r="AC24" s="7189"/>
      <c r="AD24" s="7189"/>
      <c r="AE24" s="4"/>
      <c r="AF24" s="7191"/>
      <c r="AG24" s="7191"/>
      <c r="AH24" s="4"/>
      <c r="AI24" s="7182"/>
      <c r="AJ24" s="7182"/>
      <c r="AK24" s="2"/>
      <c r="AL24" s="7184"/>
      <c r="AM24" s="7184"/>
      <c r="AN24" s="2"/>
      <c r="AO24" s="7207" t="s">
        <v>1324</v>
      </c>
      <c r="AP24" s="7208"/>
      <c r="AQ24" s="2"/>
      <c r="AS24" s="7218" t="s">
        <v>856</v>
      </c>
      <c r="AT24" s="7218"/>
      <c r="AV24" s="6936" t="s">
        <v>856</v>
      </c>
      <c r="AW24" s="6936"/>
      <c r="AY24" s="7201" t="s">
        <v>856</v>
      </c>
      <c r="AZ24" s="7201"/>
      <c r="BB24" s="7203" t="s">
        <v>856</v>
      </c>
      <c r="BC24" s="7203"/>
      <c r="BE24" s="7205" t="s">
        <v>856</v>
      </c>
      <c r="BF24" s="7205"/>
      <c r="BH24" s="7197" t="s">
        <v>856</v>
      </c>
      <c r="BI24" s="7197"/>
      <c r="BK24" s="7182" t="s">
        <v>856</v>
      </c>
      <c r="BL24" s="7182"/>
      <c r="BN24" s="7184" t="s">
        <v>856</v>
      </c>
      <c r="BO24" s="7184"/>
      <c r="BQ24" s="7187" t="s">
        <v>856</v>
      </c>
      <c r="BR24" s="7187"/>
      <c r="BT24" s="7189" t="s">
        <v>856</v>
      </c>
      <c r="BU24" s="7189"/>
      <c r="BW24" s="7191" t="s">
        <v>856</v>
      </c>
      <c r="BX24" s="7191"/>
      <c r="BY24"/>
      <c r="BZ24" s="6817" t="s">
        <v>10657</v>
      </c>
      <c r="CA24"/>
      <c r="CB24"/>
      <c r="CC24"/>
      <c r="CD24" s="7218" t="s">
        <v>856</v>
      </c>
      <c r="CE24" s="7218"/>
      <c r="CG24" s="6936" t="s">
        <v>856</v>
      </c>
      <c r="CH24" s="6936"/>
      <c r="CJ24" s="7201" t="s">
        <v>856</v>
      </c>
      <c r="CK24" s="7201"/>
      <c r="CM24" s="7203" t="s">
        <v>856</v>
      </c>
      <c r="CN24" s="7203"/>
      <c r="CP24" s="7205" t="s">
        <v>856</v>
      </c>
      <c r="CQ24" s="7205"/>
      <c r="CS24" s="7197" t="s">
        <v>856</v>
      </c>
      <c r="CT24" s="7197"/>
      <c r="CV24" s="7182" t="s">
        <v>856</v>
      </c>
      <c r="CW24" s="7182"/>
      <c r="CY24" s="7184" t="s">
        <v>856</v>
      </c>
      <c r="CZ24" s="7184"/>
      <c r="DB24" s="7187" t="s">
        <v>856</v>
      </c>
      <c r="DC24" s="7187"/>
      <c r="DE24" s="7189" t="s">
        <v>856</v>
      </c>
      <c r="DF24" s="7189"/>
      <c r="DH24" s="7191" t="s">
        <v>856</v>
      </c>
      <c r="DI24" s="7191"/>
      <c r="DK24" s="6817" t="s">
        <v>10657</v>
      </c>
      <c r="DL24"/>
      <c r="DM24" s="5">
        <v>1</v>
      </c>
    </row>
    <row r="25" spans="1:117" s="1" customFormat="1" ht="18" customHeight="1" thickBot="1">
      <c r="A25"/>
      <c r="B25" s="2"/>
      <c r="C25" s="2"/>
      <c r="D25" s="2"/>
      <c r="E25" s="2"/>
      <c r="F25" s="2"/>
      <c r="G25" s="2"/>
      <c r="H25" s="2"/>
      <c r="I25" s="2"/>
      <c r="J25" s="2"/>
      <c r="K25" s="2"/>
      <c r="L25" s="2"/>
      <c r="M25" s="2"/>
      <c r="N25" s="2"/>
      <c r="O25" s="2"/>
      <c r="P25" s="2"/>
      <c r="Q25" s="5496"/>
      <c r="R25" s="5496"/>
      <c r="S25" s="2"/>
      <c r="T25" s="2"/>
      <c r="U25" s="2"/>
      <c r="V25" s="2"/>
      <c r="W25" s="2"/>
      <c r="X25" s="2"/>
      <c r="Y25" s="2"/>
      <c r="Z25" s="2"/>
      <c r="AA25" s="2"/>
      <c r="AB25" s="4"/>
      <c r="AC25" s="2"/>
      <c r="AD25" s="2"/>
      <c r="AE25" s="4"/>
      <c r="AF25" s="2"/>
      <c r="AG25" s="2"/>
      <c r="AH25" s="4"/>
      <c r="AI25" s="2"/>
      <c r="AJ25" s="2"/>
      <c r="AK25" s="2"/>
      <c r="AL25" s="2"/>
      <c r="AM25" s="2"/>
      <c r="AN25" s="2"/>
      <c r="AO25" s="7209"/>
      <c r="AP25" s="7210"/>
      <c r="AQ25" s="2"/>
      <c r="AS25" s="2" t="s">
        <v>856</v>
      </c>
      <c r="AT25" s="2"/>
      <c r="AV25" s="2" t="s">
        <v>856</v>
      </c>
      <c r="AW25" s="2"/>
      <c r="AY25" s="2" t="s">
        <v>856</v>
      </c>
      <c r="AZ25" s="2"/>
      <c r="BB25" s="2" t="s">
        <v>856</v>
      </c>
      <c r="BC25" s="2"/>
      <c r="BE25" s="2" t="s">
        <v>856</v>
      </c>
      <c r="BF25" s="2"/>
      <c r="BH25" s="5496" t="s">
        <v>856</v>
      </c>
      <c r="BI25" s="5496"/>
      <c r="BK25" s="2" t="s">
        <v>856</v>
      </c>
      <c r="BL25" s="2"/>
      <c r="BN25" s="2" t="s">
        <v>856</v>
      </c>
      <c r="BO25" s="2"/>
      <c r="BQ25" s="2" t="s">
        <v>856</v>
      </c>
      <c r="BR25" s="2"/>
      <c r="BT25" s="5638" t="s">
        <v>856</v>
      </c>
      <c r="BU25" s="5639"/>
      <c r="BW25" s="2" t="s">
        <v>856</v>
      </c>
      <c r="BX25" s="2"/>
      <c r="BY25"/>
      <c r="BZ25" s="6818" t="s">
        <v>10658</v>
      </c>
      <c r="CA25"/>
      <c r="CB25"/>
      <c r="CC25"/>
      <c r="CD25" s="2" t="s">
        <v>856</v>
      </c>
      <c r="CE25" s="2"/>
      <c r="CG25" s="2" t="s">
        <v>856</v>
      </c>
      <c r="CH25" s="2"/>
      <c r="CJ25" s="2" t="s">
        <v>856</v>
      </c>
      <c r="CK25" s="2"/>
      <c r="CM25" s="2" t="s">
        <v>856</v>
      </c>
      <c r="CN25" s="2"/>
      <c r="CP25" s="2" t="s">
        <v>856</v>
      </c>
      <c r="CQ25" s="2"/>
      <c r="CS25" s="5496" t="s">
        <v>856</v>
      </c>
      <c r="CT25" s="5496"/>
      <c r="CV25" s="2" t="s">
        <v>856</v>
      </c>
      <c r="CW25" s="2"/>
      <c r="CY25" s="2" t="s">
        <v>856</v>
      </c>
      <c r="CZ25" s="2"/>
      <c r="DB25" s="2" t="s">
        <v>856</v>
      </c>
      <c r="DC25" s="2"/>
      <c r="DE25" s="2" t="s">
        <v>856</v>
      </c>
      <c r="DF25" s="2"/>
      <c r="DH25" s="2" t="s">
        <v>856</v>
      </c>
      <c r="DI25" s="2"/>
      <c r="DK25" s="6818" t="s">
        <v>10658</v>
      </c>
      <c r="DL25"/>
      <c r="DM25" s="5">
        <v>1</v>
      </c>
    </row>
    <row r="26" spans="1:117" s="1" customFormat="1" ht="18" customHeight="1">
      <c r="A26"/>
      <c r="B26" s="7213" t="s">
        <v>8051</v>
      </c>
      <c r="C26" s="7213"/>
      <c r="D26" s="2"/>
      <c r="E26" s="7215" t="s">
        <v>8052</v>
      </c>
      <c r="F26" s="7215"/>
      <c r="G26" s="2"/>
      <c r="H26" s="7200" t="s">
        <v>8053</v>
      </c>
      <c r="I26" s="7200"/>
      <c r="J26" s="2"/>
      <c r="K26" s="7202" t="s">
        <v>8054</v>
      </c>
      <c r="L26" s="7202"/>
      <c r="M26" s="2"/>
      <c r="N26" s="7204" t="s">
        <v>8055</v>
      </c>
      <c r="O26" s="7204"/>
      <c r="P26" s="2"/>
      <c r="Q26" s="7196" t="s">
        <v>8056</v>
      </c>
      <c r="R26" s="7196"/>
      <c r="S26" s="2"/>
      <c r="T26" s="7181" t="s">
        <v>8057</v>
      </c>
      <c r="U26" s="7181"/>
      <c r="V26" s="2"/>
      <c r="W26" s="7183" t="s">
        <v>8058</v>
      </c>
      <c r="X26" s="7183"/>
      <c r="Y26" s="2"/>
      <c r="Z26" s="7186" t="s">
        <v>8059</v>
      </c>
      <c r="AA26" s="7186"/>
      <c r="AB26" s="4"/>
      <c r="AC26" s="7188" t="s">
        <v>8060</v>
      </c>
      <c r="AD26" s="7188"/>
      <c r="AE26" s="4"/>
      <c r="AF26" s="7190" t="s">
        <v>8061</v>
      </c>
      <c r="AG26" s="7190"/>
      <c r="AH26" s="4"/>
      <c r="AI26" s="7187" t="s">
        <v>1334</v>
      </c>
      <c r="AJ26" s="7187"/>
      <c r="AK26" s="2"/>
      <c r="AL26" s="7218" t="s">
        <v>1335</v>
      </c>
      <c r="AM26" s="7218"/>
      <c r="AN26" s="2"/>
      <c r="AO26" s="7211"/>
      <c r="AP26" s="7212"/>
      <c r="AQ26" s="2"/>
      <c r="AS26" s="7213" t="s">
        <v>10046</v>
      </c>
      <c r="AT26" s="7213"/>
      <c r="AV26" s="7215" t="s">
        <v>10099</v>
      </c>
      <c r="AW26" s="7215"/>
      <c r="AY26" s="7200" t="s">
        <v>8064</v>
      </c>
      <c r="AZ26" s="7200"/>
      <c r="BB26" s="7202" t="s">
        <v>10215</v>
      </c>
      <c r="BC26" s="7202"/>
      <c r="BE26" s="7204" t="s">
        <v>10274</v>
      </c>
      <c r="BF26" s="7204"/>
      <c r="BH26" s="7196" t="s">
        <v>10306</v>
      </c>
      <c r="BI26" s="7196"/>
      <c r="BK26" s="7181" t="s">
        <v>10353</v>
      </c>
      <c r="BL26" s="7181"/>
      <c r="BN26" s="7276" t="s">
        <v>10437</v>
      </c>
      <c r="BO26" s="7276"/>
      <c r="BQ26" s="7186" t="s">
        <v>10536</v>
      </c>
      <c r="BR26" s="7186"/>
      <c r="BT26" s="7188" t="s">
        <v>10579</v>
      </c>
      <c r="BU26" s="7188"/>
      <c r="BW26" s="7190" t="s">
        <v>10621</v>
      </c>
      <c r="BX26" s="7190"/>
      <c r="BY26"/>
      <c r="BZ26" s="6819" t="s">
        <v>10659</v>
      </c>
      <c r="CA26"/>
      <c r="CB26"/>
      <c r="CC26"/>
      <c r="CD26" s="7213" t="s">
        <v>10072</v>
      </c>
      <c r="CE26" s="7213"/>
      <c r="CG26" s="6935" t="s">
        <v>10133</v>
      </c>
      <c r="CH26" s="6935"/>
      <c r="CJ26" s="7200" t="s">
        <v>8064</v>
      </c>
      <c r="CK26" s="7200"/>
      <c r="CM26" s="7202" t="s">
        <v>10245</v>
      </c>
      <c r="CN26" s="7202"/>
      <c r="CP26" s="7204" t="s">
        <v>10290</v>
      </c>
      <c r="CQ26" s="7204"/>
      <c r="CS26" s="7196" t="s">
        <v>10330</v>
      </c>
      <c r="CT26" s="7196"/>
      <c r="CV26" s="7181" t="s">
        <v>10395</v>
      </c>
      <c r="CW26" s="7181"/>
      <c r="CY26" s="7183" t="s">
        <v>10488</v>
      </c>
      <c r="CZ26" s="7183"/>
      <c r="DB26" s="7186" t="s">
        <v>10557</v>
      </c>
      <c r="DC26" s="7186"/>
      <c r="DE26" s="7188" t="s">
        <v>10600</v>
      </c>
      <c r="DF26" s="7188"/>
      <c r="DH26" s="7190" t="s">
        <v>10636</v>
      </c>
      <c r="DI26" s="7190"/>
      <c r="DK26" s="6819" t="s">
        <v>10659</v>
      </c>
      <c r="DL26"/>
      <c r="DM26" s="5">
        <v>1</v>
      </c>
    </row>
    <row r="27" spans="1:117" s="1" customFormat="1" ht="18" customHeight="1">
      <c r="A27"/>
      <c r="B27" s="7214"/>
      <c r="C27" s="7214"/>
      <c r="D27" s="2"/>
      <c r="E27" s="7042"/>
      <c r="F27" s="7042"/>
      <c r="G27" s="2"/>
      <c r="H27" s="7201"/>
      <c r="I27" s="7201"/>
      <c r="J27" s="2"/>
      <c r="K27" s="7203"/>
      <c r="L27" s="7203"/>
      <c r="M27" s="2"/>
      <c r="N27" s="7205"/>
      <c r="O27" s="7205"/>
      <c r="P27" s="2"/>
      <c r="Q27" s="7197"/>
      <c r="R27" s="7197"/>
      <c r="S27" s="2"/>
      <c r="T27" s="7182"/>
      <c r="U27" s="7182"/>
      <c r="V27" s="2"/>
      <c r="W27" s="7184"/>
      <c r="X27" s="7184"/>
      <c r="Y27" s="2"/>
      <c r="Z27" s="7187"/>
      <c r="AA27" s="7187"/>
      <c r="AB27" s="4"/>
      <c r="AC27" s="7189"/>
      <c r="AD27" s="7189"/>
      <c r="AE27" s="4"/>
      <c r="AF27" s="7191"/>
      <c r="AG27" s="7191"/>
      <c r="AH27" s="4"/>
      <c r="AI27" s="7187"/>
      <c r="AJ27" s="7187"/>
      <c r="AK27" s="2"/>
      <c r="AL27" s="7218"/>
      <c r="AM27" s="7218"/>
      <c r="AN27" s="2"/>
      <c r="AO27" s="6727" t="s">
        <v>1336</v>
      </c>
      <c r="AP27" s="6727"/>
      <c r="AQ27" s="2"/>
      <c r="AS27" s="7214" t="s">
        <v>856</v>
      </c>
      <c r="AT27" s="7214"/>
      <c r="AV27" s="7042" t="s">
        <v>856</v>
      </c>
      <c r="AW27" s="7042"/>
      <c r="AY27" s="7201" t="s">
        <v>856</v>
      </c>
      <c r="AZ27" s="7201"/>
      <c r="BB27" s="7203" t="s">
        <v>856</v>
      </c>
      <c r="BC27" s="7203"/>
      <c r="BE27" s="7205" t="s">
        <v>856</v>
      </c>
      <c r="BF27" s="7205"/>
      <c r="BH27" s="7197" t="s">
        <v>856</v>
      </c>
      <c r="BI27" s="7197"/>
      <c r="BK27" s="7182" t="s">
        <v>856</v>
      </c>
      <c r="BL27" s="7182"/>
      <c r="BN27" s="7277" t="s">
        <v>856</v>
      </c>
      <c r="BO27" s="7277"/>
      <c r="BQ27" s="7187" t="s">
        <v>856</v>
      </c>
      <c r="BR27" s="7187"/>
      <c r="BT27" s="7189" t="s">
        <v>856</v>
      </c>
      <c r="BU27" s="7189"/>
      <c r="BW27" s="7191" t="s">
        <v>856</v>
      </c>
      <c r="BX27" s="7191"/>
      <c r="BY27"/>
      <c r="BZ27" s="6820" t="s">
        <v>10660</v>
      </c>
      <c r="CA27"/>
      <c r="CB27"/>
      <c r="CC27"/>
      <c r="CD27" s="7214" t="s">
        <v>856</v>
      </c>
      <c r="CE27" s="7214"/>
      <c r="CG27" s="6936" t="s">
        <v>856</v>
      </c>
      <c r="CH27" s="6936"/>
      <c r="CJ27" s="7201" t="s">
        <v>856</v>
      </c>
      <c r="CK27" s="7201"/>
      <c r="CM27" s="7203" t="s">
        <v>856</v>
      </c>
      <c r="CN27" s="7203"/>
      <c r="CP27" s="7205" t="s">
        <v>856</v>
      </c>
      <c r="CQ27" s="7205"/>
      <c r="CS27" s="7197" t="s">
        <v>856</v>
      </c>
      <c r="CT27" s="7197"/>
      <c r="CV27" s="7182" t="s">
        <v>856</v>
      </c>
      <c r="CW27" s="7182"/>
      <c r="CY27" s="7184" t="s">
        <v>856</v>
      </c>
      <c r="CZ27" s="7184"/>
      <c r="DB27" s="7187" t="s">
        <v>856</v>
      </c>
      <c r="DC27" s="7187"/>
      <c r="DE27" s="7189" t="s">
        <v>856</v>
      </c>
      <c r="DF27" s="7189"/>
      <c r="DH27" s="7191" t="s">
        <v>856</v>
      </c>
      <c r="DI27" s="7191"/>
      <c r="DK27" s="6820" t="s">
        <v>10660</v>
      </c>
      <c r="DL27"/>
      <c r="DM27" s="5">
        <v>1</v>
      </c>
    </row>
    <row r="28" spans="1:117" s="1" customFormat="1" ht="18" customHeight="1" thickBot="1">
      <c r="A28"/>
      <c r="B28" s="2"/>
      <c r="C28" s="2"/>
      <c r="D28" s="2"/>
      <c r="E28" s="2"/>
      <c r="F28" s="2"/>
      <c r="G28" s="2"/>
      <c r="H28"/>
      <c r="I28"/>
      <c r="J28" s="2"/>
      <c r="K28" s="2"/>
      <c r="L28" s="2"/>
      <c r="M28" s="2"/>
      <c r="N28" s="2"/>
      <c r="O28" s="2"/>
      <c r="P28" s="2"/>
      <c r="Q28" s="5496"/>
      <c r="R28" s="5496"/>
      <c r="S28" s="2"/>
      <c r="T28" s="2"/>
      <c r="U28" s="2"/>
      <c r="V28" s="2"/>
      <c r="W28" s="2"/>
      <c r="X28" s="2"/>
      <c r="Y28" s="2"/>
      <c r="Z28" s="2"/>
      <c r="AA28" s="2"/>
      <c r="AB28" s="4"/>
      <c r="AC28" s="2"/>
      <c r="AD28" s="2"/>
      <c r="AE28" s="4"/>
      <c r="AF28" s="2"/>
      <c r="AG28" s="2"/>
      <c r="AH28" s="4"/>
      <c r="AI28" s="2"/>
      <c r="AJ28" s="2"/>
      <c r="AK28" s="2"/>
      <c r="AL28" s="2"/>
      <c r="AM28" s="2"/>
      <c r="AN28" s="2"/>
      <c r="AO28" s="7223" t="s">
        <v>1337</v>
      </c>
      <c r="AP28" s="7224"/>
      <c r="AQ28" s="2"/>
      <c r="AS28" s="2" t="s">
        <v>856</v>
      </c>
      <c r="AT28" s="2"/>
      <c r="AV28" s="2" t="s">
        <v>856</v>
      </c>
      <c r="AW28" s="2"/>
      <c r="AY28" t="s">
        <v>856</v>
      </c>
      <c r="AZ28"/>
      <c r="BB28" s="2" t="s">
        <v>856</v>
      </c>
      <c r="BC28" s="2"/>
      <c r="BE28" s="2" t="s">
        <v>856</v>
      </c>
      <c r="BF28" s="2"/>
      <c r="BH28" s="5496" t="s">
        <v>856</v>
      </c>
      <c r="BI28" s="5496"/>
      <c r="BK28" s="2" t="s">
        <v>856</v>
      </c>
      <c r="BL28" s="2"/>
      <c r="BN28" s="2" t="s">
        <v>856</v>
      </c>
      <c r="BO28" s="2"/>
      <c r="BQ28" s="2" t="s">
        <v>856</v>
      </c>
      <c r="BR28" s="2"/>
      <c r="BT28" s="2" t="s">
        <v>856</v>
      </c>
      <c r="BU28" s="2"/>
      <c r="BW28" s="2" t="s">
        <v>856</v>
      </c>
      <c r="BX28" s="2"/>
      <c r="BY28"/>
      <c r="BZ28" s="2"/>
      <c r="CA28"/>
      <c r="CB28"/>
      <c r="CC28"/>
      <c r="CD28" s="2" t="s">
        <v>856</v>
      </c>
      <c r="CE28" s="2"/>
      <c r="CG28" s="2" t="s">
        <v>856</v>
      </c>
      <c r="CH28" s="2"/>
      <c r="CJ28" s="2" t="s">
        <v>856</v>
      </c>
      <c r="CK28" s="2"/>
      <c r="CM28" s="2" t="s">
        <v>856</v>
      </c>
      <c r="CN28" s="2"/>
      <c r="CP28" s="2" t="s">
        <v>856</v>
      </c>
      <c r="CQ28" s="2"/>
      <c r="CS28" s="5496" t="s">
        <v>856</v>
      </c>
      <c r="CT28" s="5496"/>
      <c r="CV28" s="2" t="s">
        <v>856</v>
      </c>
      <c r="CW28" s="2"/>
      <c r="CY28" s="2" t="s">
        <v>856</v>
      </c>
      <c r="CZ28" s="2"/>
      <c r="DB28" s="2" t="s">
        <v>856</v>
      </c>
      <c r="DC28" s="2"/>
      <c r="DE28" s="2" t="s">
        <v>856</v>
      </c>
      <c r="DF28" s="2"/>
      <c r="DH28" s="2" t="s">
        <v>856</v>
      </c>
      <c r="DI28" s="2"/>
      <c r="DK28" s="2"/>
      <c r="DL28"/>
      <c r="DM28" s="5">
        <v>1</v>
      </c>
    </row>
    <row r="29" spans="1:117" s="1" customFormat="1" ht="18" customHeight="1">
      <c r="A29"/>
      <c r="B29" s="7227" t="s">
        <v>8062</v>
      </c>
      <c r="C29" s="7227"/>
      <c r="D29" s="2"/>
      <c r="E29" s="6935" t="s">
        <v>8063</v>
      </c>
      <c r="F29" s="6935"/>
      <c r="G29" s="2"/>
      <c r="H29" s="7200" t="s">
        <v>8064</v>
      </c>
      <c r="I29" s="7200"/>
      <c r="J29" s="2"/>
      <c r="K29" s="7202" t="s">
        <v>8065</v>
      </c>
      <c r="L29" s="7202"/>
      <c r="M29" s="2"/>
      <c r="N29" s="7204" t="s">
        <v>8066</v>
      </c>
      <c r="O29" s="7204"/>
      <c r="P29" s="2"/>
      <c r="Q29" s="7196" t="s">
        <v>8067</v>
      </c>
      <c r="R29" s="7196"/>
      <c r="S29" s="2"/>
      <c r="T29" s="7181" t="s">
        <v>8068</v>
      </c>
      <c r="U29" s="7181"/>
      <c r="V29" s="2"/>
      <c r="W29" s="7183" t="s">
        <v>8069</v>
      </c>
      <c r="X29" s="7183"/>
      <c r="Y29" s="2"/>
      <c r="Z29" s="7186" t="s">
        <v>8070</v>
      </c>
      <c r="AA29" s="7186"/>
      <c r="AB29" s="4"/>
      <c r="AC29" s="7188" t="s">
        <v>8071</v>
      </c>
      <c r="AD29" s="7188"/>
      <c r="AE29" s="4"/>
      <c r="AF29" s="7190" t="s">
        <v>8072</v>
      </c>
      <c r="AG29" s="7190"/>
      <c r="AH29" s="4"/>
      <c r="AI29" s="7219" t="s">
        <v>1347</v>
      </c>
      <c r="AJ29" s="7219"/>
      <c r="AK29" s="2"/>
      <c r="AL29" s="7220" t="s">
        <v>1348</v>
      </c>
      <c r="AM29" s="7220"/>
      <c r="AN29" s="2"/>
      <c r="AO29" s="7225"/>
      <c r="AP29" s="7226"/>
      <c r="AQ29" s="2"/>
      <c r="AS29" s="7227" t="s">
        <v>10047</v>
      </c>
      <c r="AT29" s="7227"/>
      <c r="AV29" s="6935" t="s">
        <v>10100</v>
      </c>
      <c r="AW29" s="6935"/>
      <c r="AY29" s="7200" t="s">
        <v>10167</v>
      </c>
      <c r="AZ29" s="7200"/>
      <c r="BB29" s="7202" t="s">
        <v>10216</v>
      </c>
      <c r="BC29" s="7202"/>
      <c r="BE29" s="7204" t="s">
        <v>10275</v>
      </c>
      <c r="BF29" s="7204"/>
      <c r="BH29" s="7196" t="s">
        <v>10307</v>
      </c>
      <c r="BI29" s="7196"/>
      <c r="BK29" s="7181" t="s">
        <v>10354</v>
      </c>
      <c r="BL29" s="7181"/>
      <c r="BN29" s="7183" t="s">
        <v>10438</v>
      </c>
      <c r="BO29" s="7183"/>
      <c r="BQ29" s="7186" t="s">
        <v>10537</v>
      </c>
      <c r="BR29" s="7186"/>
      <c r="BT29" s="7188" t="s">
        <v>10580</v>
      </c>
      <c r="BU29" s="7188"/>
      <c r="BW29" s="7190" t="s">
        <v>10622</v>
      </c>
      <c r="BX29" s="7190"/>
      <c r="BY29"/>
      <c r="BZ29" s="2"/>
      <c r="CA29"/>
      <c r="CB29"/>
      <c r="CC29"/>
      <c r="CD29" s="7227" t="s">
        <v>10073</v>
      </c>
      <c r="CE29" s="7227"/>
      <c r="CG29" s="6935" t="s">
        <v>10134</v>
      </c>
      <c r="CH29" s="6935"/>
      <c r="CJ29" s="7200" t="s">
        <v>8075</v>
      </c>
      <c r="CK29" s="7200"/>
      <c r="CM29" s="7202" t="s">
        <v>10246</v>
      </c>
      <c r="CN29" s="7202"/>
      <c r="CP29" s="7204" t="s">
        <v>10291</v>
      </c>
      <c r="CQ29" s="7204"/>
      <c r="CS29" s="7196" t="s">
        <v>10331</v>
      </c>
      <c r="CT29" s="7196"/>
      <c r="CV29" s="7181" t="s">
        <v>10396</v>
      </c>
      <c r="CW29" s="7181"/>
      <c r="CY29" s="7183" t="s">
        <v>10489</v>
      </c>
      <c r="CZ29" s="7183"/>
      <c r="DB29" s="7186" t="s">
        <v>10558</v>
      </c>
      <c r="DC29" s="7186"/>
      <c r="DE29" s="7188" t="s">
        <v>10601</v>
      </c>
      <c r="DF29" s="7188"/>
      <c r="DH29" s="7190" t="s">
        <v>10637</v>
      </c>
      <c r="DI29" s="7190"/>
      <c r="DK29" s="2"/>
      <c r="DL29"/>
      <c r="DM29" s="5">
        <v>1</v>
      </c>
    </row>
    <row r="30" spans="1:117" s="1" customFormat="1" ht="18" customHeight="1">
      <c r="A30"/>
      <c r="B30" s="7228"/>
      <c r="C30" s="7228"/>
      <c r="D30" s="2"/>
      <c r="E30" s="6936"/>
      <c r="F30" s="6936"/>
      <c r="G30" s="2"/>
      <c r="H30" s="7201"/>
      <c r="I30" s="7201"/>
      <c r="J30" s="2"/>
      <c r="K30" s="7203"/>
      <c r="L30" s="7203"/>
      <c r="M30" s="2"/>
      <c r="N30" s="7205"/>
      <c r="O30" s="7205"/>
      <c r="P30" s="2"/>
      <c r="Q30" s="7197"/>
      <c r="R30" s="7197"/>
      <c r="S30" s="2"/>
      <c r="T30" s="7182"/>
      <c r="U30" s="7182"/>
      <c r="V30" s="2"/>
      <c r="W30" s="7184"/>
      <c r="X30" s="7184"/>
      <c r="Y30" s="2"/>
      <c r="Z30" s="7187"/>
      <c r="AA30" s="7187"/>
      <c r="AB30" s="4"/>
      <c r="AC30" s="7189"/>
      <c r="AD30" s="7189"/>
      <c r="AE30" s="4"/>
      <c r="AF30" s="7191"/>
      <c r="AG30" s="7191"/>
      <c r="AH30" s="4"/>
      <c r="AI30" s="7219"/>
      <c r="AJ30" s="7219"/>
      <c r="AK30" s="2"/>
      <c r="AL30" s="7220"/>
      <c r="AM30" s="7220"/>
      <c r="AN30" s="2"/>
      <c r="AO30" s="1128">
        <v>1</v>
      </c>
      <c r="AP30" s="1128">
        <v>1</v>
      </c>
      <c r="AQ30" s="2"/>
      <c r="AS30" s="7228" t="s">
        <v>856</v>
      </c>
      <c r="AT30" s="7228"/>
      <c r="AV30" s="6936" t="s">
        <v>856</v>
      </c>
      <c r="AW30" s="6936"/>
      <c r="AY30" s="7201" t="s">
        <v>856</v>
      </c>
      <c r="AZ30" s="7201"/>
      <c r="BB30" s="7203" t="s">
        <v>856</v>
      </c>
      <c r="BC30" s="7203"/>
      <c r="BE30" s="7205" t="s">
        <v>856</v>
      </c>
      <c r="BF30" s="7205"/>
      <c r="BH30" s="7197" t="s">
        <v>856</v>
      </c>
      <c r="BI30" s="7197"/>
      <c r="BK30" s="7182" t="s">
        <v>856</v>
      </c>
      <c r="BL30" s="7182"/>
      <c r="BN30" s="7184" t="s">
        <v>856</v>
      </c>
      <c r="BO30" s="7184"/>
      <c r="BQ30" s="7187" t="s">
        <v>856</v>
      </c>
      <c r="BR30" s="7187"/>
      <c r="BT30" s="7189" t="s">
        <v>856</v>
      </c>
      <c r="BU30" s="7189"/>
      <c r="BW30" s="7191" t="s">
        <v>856</v>
      </c>
      <c r="BX30" s="7191"/>
      <c r="BY30"/>
      <c r="BZ30" s="6821" t="s">
        <v>10661</v>
      </c>
      <c r="CA30"/>
      <c r="CB30"/>
      <c r="CC30"/>
      <c r="CD30" s="7228" t="s">
        <v>856</v>
      </c>
      <c r="CE30" s="7228"/>
      <c r="CG30" s="6936" t="s">
        <v>856</v>
      </c>
      <c r="CH30" s="6936"/>
      <c r="CJ30" s="7201" t="s">
        <v>856</v>
      </c>
      <c r="CK30" s="7201"/>
      <c r="CM30" s="7203" t="s">
        <v>856</v>
      </c>
      <c r="CN30" s="7203"/>
      <c r="CP30" s="7205" t="s">
        <v>856</v>
      </c>
      <c r="CQ30" s="7205"/>
      <c r="CS30" s="7197" t="s">
        <v>856</v>
      </c>
      <c r="CT30" s="7197"/>
      <c r="CV30" s="7182" t="s">
        <v>856</v>
      </c>
      <c r="CW30" s="7182"/>
      <c r="CY30" s="7184" t="s">
        <v>856</v>
      </c>
      <c r="CZ30" s="7184"/>
      <c r="DB30" s="7187" t="s">
        <v>856</v>
      </c>
      <c r="DC30" s="7187"/>
      <c r="DE30" s="7189" t="s">
        <v>856</v>
      </c>
      <c r="DF30" s="7189"/>
      <c r="DH30" s="7191" t="s">
        <v>856</v>
      </c>
      <c r="DI30" s="7191"/>
      <c r="DK30" s="6821" t="s">
        <v>10661</v>
      </c>
      <c r="DL30"/>
      <c r="DM30" s="5">
        <v>1</v>
      </c>
    </row>
    <row r="31" spans="1:117" s="1" customFormat="1" ht="18" customHeight="1" thickBot="1">
      <c r="A31"/>
      <c r="B31" s="2"/>
      <c r="C31" s="2"/>
      <c r="D31" s="2"/>
      <c r="E31" s="2"/>
      <c r="F31" s="2"/>
      <c r="G31" s="2"/>
      <c r="H31" s="2"/>
      <c r="I31" s="2"/>
      <c r="J31" s="2"/>
      <c r="K31" s="2"/>
      <c r="L31" s="2"/>
      <c r="M31" s="2"/>
      <c r="N31" s="2"/>
      <c r="O31" s="2"/>
      <c r="P31" s="2"/>
      <c r="Q31" s="5496"/>
      <c r="R31" s="5496"/>
      <c r="S31" s="2"/>
      <c r="T31" s="2"/>
      <c r="U31" s="2"/>
      <c r="V31" s="2"/>
      <c r="W31" s="2"/>
      <c r="X31" s="2"/>
      <c r="Y31" s="2"/>
      <c r="Z31" s="2"/>
      <c r="AA31" s="2"/>
      <c r="AB31" s="4"/>
      <c r="AC31" s="2"/>
      <c r="AD31" s="2"/>
      <c r="AE31" s="4"/>
      <c r="AF31" s="2"/>
      <c r="AG31" s="2"/>
      <c r="AH31" s="4"/>
      <c r="AI31" s="2"/>
      <c r="AJ31" s="2"/>
      <c r="AK31" s="2"/>
      <c r="AL31" s="2"/>
      <c r="AM31" s="2"/>
      <c r="AN31" s="2"/>
      <c r="AO31" s="7221" t="s">
        <v>1349</v>
      </c>
      <c r="AP31" s="7222"/>
      <c r="AQ31" s="2"/>
      <c r="AS31" s="2" t="s">
        <v>856</v>
      </c>
      <c r="AT31" s="2"/>
      <c r="AV31" s="2" t="s">
        <v>856</v>
      </c>
      <c r="AW31" s="2"/>
      <c r="AY31" s="2" t="s">
        <v>856</v>
      </c>
      <c r="AZ31" s="2"/>
      <c r="BB31" s="2" t="s">
        <v>856</v>
      </c>
      <c r="BC31" s="2"/>
      <c r="BE31" s="2" t="s">
        <v>856</v>
      </c>
      <c r="BF31" s="2"/>
      <c r="BH31" s="5496" t="s">
        <v>856</v>
      </c>
      <c r="BI31" s="5496"/>
      <c r="BK31" s="2" t="s">
        <v>856</v>
      </c>
      <c r="BL31" s="2"/>
      <c r="BN31" s="2" t="s">
        <v>856</v>
      </c>
      <c r="BO31" s="2"/>
      <c r="BQ31" s="2" t="s">
        <v>856</v>
      </c>
      <c r="BR31" s="2"/>
      <c r="BT31" s="2" t="s">
        <v>856</v>
      </c>
      <c r="BU31" s="2"/>
      <c r="BW31" s="2" t="s">
        <v>856</v>
      </c>
      <c r="BX31" s="2"/>
      <c r="BY31"/>
      <c r="BZ31" s="6821" t="s">
        <v>10671</v>
      </c>
      <c r="CA31"/>
      <c r="CB31"/>
      <c r="CC31"/>
      <c r="CD31" s="2" t="s">
        <v>856</v>
      </c>
      <c r="CE31" s="2"/>
      <c r="CG31" s="2" t="s">
        <v>856</v>
      </c>
      <c r="CH31" s="2"/>
      <c r="CJ31" s="2" t="s">
        <v>856</v>
      </c>
      <c r="CK31" s="2"/>
      <c r="CM31" s="2" t="s">
        <v>856</v>
      </c>
      <c r="CN31" s="2"/>
      <c r="CP31" s="2" t="s">
        <v>856</v>
      </c>
      <c r="CQ31" s="2"/>
      <c r="CS31" s="5496" t="s">
        <v>856</v>
      </c>
      <c r="CT31" s="5496"/>
      <c r="CV31" s="2" t="s">
        <v>856</v>
      </c>
      <c r="CW31" s="2"/>
      <c r="CY31" s="2" t="s">
        <v>856</v>
      </c>
      <c r="CZ31" s="2"/>
      <c r="DB31" s="2" t="s">
        <v>856</v>
      </c>
      <c r="DC31" s="2"/>
      <c r="DE31" s="2" t="s">
        <v>856</v>
      </c>
      <c r="DF31" s="2"/>
      <c r="DH31" s="2" t="s">
        <v>856</v>
      </c>
      <c r="DI31" s="2"/>
      <c r="DK31" s="6821" t="s">
        <v>10671</v>
      </c>
      <c r="DL31"/>
      <c r="DM31" s="5">
        <v>1</v>
      </c>
    </row>
    <row r="32" spans="1:117" s="1" customFormat="1" ht="18" customHeight="1">
      <c r="A32"/>
      <c r="B32" s="7237" t="s">
        <v>8073</v>
      </c>
      <c r="C32" s="7237"/>
      <c r="D32" s="2"/>
      <c r="E32" s="6935" t="s">
        <v>8074</v>
      </c>
      <c r="F32" s="6935"/>
      <c r="G32" s="2"/>
      <c r="H32" s="7200" t="s">
        <v>8075</v>
      </c>
      <c r="I32" s="7200"/>
      <c r="J32" s="2"/>
      <c r="K32" s="7202" t="s">
        <v>8076</v>
      </c>
      <c r="L32" s="7202"/>
      <c r="M32" s="2"/>
      <c r="N32" s="7204" t="s">
        <v>8077</v>
      </c>
      <c r="O32" s="7204"/>
      <c r="P32" s="2"/>
      <c r="Q32" s="7196" t="s">
        <v>8078</v>
      </c>
      <c r="R32" s="7196"/>
      <c r="S32" s="2"/>
      <c r="T32" s="7181" t="s">
        <v>8079</v>
      </c>
      <c r="U32" s="7181"/>
      <c r="V32" s="2"/>
      <c r="W32" s="7183" t="s">
        <v>8080</v>
      </c>
      <c r="X32" s="7183"/>
      <c r="Y32" s="2"/>
      <c r="Z32" s="7186" t="s">
        <v>8081</v>
      </c>
      <c r="AA32" s="7186"/>
      <c r="AB32" s="4"/>
      <c r="AC32" s="7188" t="s">
        <v>8082</v>
      </c>
      <c r="AD32" s="7188"/>
      <c r="AE32" s="4"/>
      <c r="AF32" s="7190" t="s">
        <v>8083</v>
      </c>
      <c r="AG32" s="7190"/>
      <c r="AH32" s="4"/>
      <c r="AI32" s="7236" t="s">
        <v>1357</v>
      </c>
      <c r="AJ32" s="7236"/>
      <c r="AK32" s="2"/>
      <c r="AL32" s="7229" t="s">
        <v>1358</v>
      </c>
      <c r="AM32" s="7229"/>
      <c r="AN32" s="2"/>
      <c r="AO32" s="7230" t="s">
        <v>1359</v>
      </c>
      <c r="AP32" s="7231"/>
      <c r="AQ32" s="2"/>
      <c r="AS32" s="7237" t="s">
        <v>8094</v>
      </c>
      <c r="AT32" s="7237"/>
      <c r="AV32" s="6935" t="s">
        <v>10101</v>
      </c>
      <c r="AW32" s="6935"/>
      <c r="AY32" s="7200" t="s">
        <v>8086</v>
      </c>
      <c r="AZ32" s="7200"/>
      <c r="BB32" s="7202" t="s">
        <v>10217</v>
      </c>
      <c r="BC32" s="7202"/>
      <c r="BE32" s="7204" t="s">
        <v>10276</v>
      </c>
      <c r="BF32" s="7204"/>
      <c r="BH32" s="7196" t="s">
        <v>10308</v>
      </c>
      <c r="BI32" s="7196"/>
      <c r="BK32" s="7181" t="s">
        <v>10355</v>
      </c>
      <c r="BL32" s="7181"/>
      <c r="BN32" s="7183" t="s">
        <v>10439</v>
      </c>
      <c r="BO32" s="7183"/>
      <c r="BQ32" s="7186" t="s">
        <v>10538</v>
      </c>
      <c r="BR32" s="7186"/>
      <c r="BT32" s="7188" t="s">
        <v>10581</v>
      </c>
      <c r="BU32" s="7188"/>
      <c r="BW32" s="7190" t="s">
        <v>10623</v>
      </c>
      <c r="BX32" s="7190"/>
      <c r="BY32"/>
      <c r="BZ32" s="6814" t="s">
        <v>10662</v>
      </c>
      <c r="CA32"/>
      <c r="CB32"/>
      <c r="CC32"/>
      <c r="CD32" s="7237" t="s">
        <v>10074</v>
      </c>
      <c r="CE32" s="7237"/>
      <c r="CG32" s="6935" t="s">
        <v>10135</v>
      </c>
      <c r="CH32" s="6935"/>
      <c r="CJ32" s="7200" t="s">
        <v>10192</v>
      </c>
      <c r="CK32" s="7200"/>
      <c r="CM32" s="7202" t="s">
        <v>10247</v>
      </c>
      <c r="CN32" s="7202"/>
      <c r="CP32" s="7204" t="s">
        <v>10292</v>
      </c>
      <c r="CQ32" s="7204"/>
      <c r="CS32" s="7196" t="s">
        <v>10332</v>
      </c>
      <c r="CT32" s="7196"/>
      <c r="CV32" s="7181" t="s">
        <v>10397</v>
      </c>
      <c r="CW32" s="7181"/>
      <c r="CY32" s="7183" t="s">
        <v>10490</v>
      </c>
      <c r="CZ32" s="7183"/>
      <c r="DB32" s="7186" t="s">
        <v>10559</v>
      </c>
      <c r="DC32" s="7186"/>
      <c r="DE32" s="7188" t="s">
        <v>10602</v>
      </c>
      <c r="DF32" s="7188"/>
      <c r="DH32" s="7190" t="s">
        <v>10638</v>
      </c>
      <c r="DI32" s="7190"/>
      <c r="DK32" s="6814" t="s">
        <v>10662</v>
      </c>
      <c r="DL32"/>
      <c r="DM32" s="5">
        <v>1</v>
      </c>
    </row>
    <row r="33" spans="1:117" s="1" customFormat="1" ht="18" customHeight="1">
      <c r="A33"/>
      <c r="B33" s="7238"/>
      <c r="C33" s="7238"/>
      <c r="D33" s="2"/>
      <c r="E33" s="6936"/>
      <c r="F33" s="6936"/>
      <c r="G33" s="2"/>
      <c r="H33" s="7201"/>
      <c r="I33" s="7201"/>
      <c r="J33" s="2"/>
      <c r="K33" s="7203"/>
      <c r="L33" s="7203"/>
      <c r="M33" s="2"/>
      <c r="N33" s="7205"/>
      <c r="O33" s="7205"/>
      <c r="P33" s="2"/>
      <c r="Q33" s="7197"/>
      <c r="R33" s="7197"/>
      <c r="S33" s="2"/>
      <c r="T33" s="7182"/>
      <c r="U33" s="7182"/>
      <c r="V33" s="2"/>
      <c r="W33" s="7184"/>
      <c r="X33" s="7184"/>
      <c r="Y33" s="2"/>
      <c r="Z33" s="7187"/>
      <c r="AA33" s="7187"/>
      <c r="AB33" s="4"/>
      <c r="AC33" s="7189"/>
      <c r="AD33" s="7189"/>
      <c r="AE33" s="4"/>
      <c r="AF33" s="7191"/>
      <c r="AG33" s="7191"/>
      <c r="AH33" s="4"/>
      <c r="AI33" s="7236"/>
      <c r="AJ33" s="7236"/>
      <c r="AK33" s="2"/>
      <c r="AL33" s="7229"/>
      <c r="AM33" s="7229"/>
      <c r="AN33" s="2"/>
      <c r="AO33" s="6728" t="s">
        <v>1360</v>
      </c>
      <c r="AP33" s="5318"/>
      <c r="AQ33" s="2"/>
      <c r="AS33" s="7238" t="s">
        <v>856</v>
      </c>
      <c r="AT33" s="7238"/>
      <c r="AV33" s="6936" t="s">
        <v>856</v>
      </c>
      <c r="AW33" s="6936"/>
      <c r="AY33" s="7201" t="s">
        <v>856</v>
      </c>
      <c r="AZ33" s="7201"/>
      <c r="BB33" s="7203" t="s">
        <v>856</v>
      </c>
      <c r="BC33" s="7203"/>
      <c r="BE33" s="7205" t="s">
        <v>856</v>
      </c>
      <c r="BF33" s="7205"/>
      <c r="BH33" s="7197" t="s">
        <v>856</v>
      </c>
      <c r="BI33" s="7197"/>
      <c r="BK33" s="7182" t="s">
        <v>856</v>
      </c>
      <c r="BL33" s="7182"/>
      <c r="BN33" s="7184" t="s">
        <v>856</v>
      </c>
      <c r="BO33" s="7184"/>
      <c r="BQ33" s="7187" t="s">
        <v>856</v>
      </c>
      <c r="BR33" s="7187"/>
      <c r="BT33" s="7189" t="s">
        <v>856</v>
      </c>
      <c r="BU33" s="7189"/>
      <c r="BW33" s="7191" t="s">
        <v>856</v>
      </c>
      <c r="BX33" s="7191"/>
      <c r="BY33"/>
      <c r="BZ33" s="6812" t="s">
        <v>10663</v>
      </c>
      <c r="CA33"/>
      <c r="CB33"/>
      <c r="CC33"/>
      <c r="CD33" s="7238" t="s">
        <v>856</v>
      </c>
      <c r="CE33" s="7238"/>
      <c r="CG33" s="6936" t="s">
        <v>856</v>
      </c>
      <c r="CH33" s="6936"/>
      <c r="CJ33" s="7201" t="s">
        <v>856</v>
      </c>
      <c r="CK33" s="7201"/>
      <c r="CM33" s="7203" t="s">
        <v>856</v>
      </c>
      <c r="CN33" s="7203"/>
      <c r="CP33" s="7205" t="s">
        <v>856</v>
      </c>
      <c r="CQ33" s="7205"/>
      <c r="CS33" s="7197" t="s">
        <v>856</v>
      </c>
      <c r="CT33" s="7197"/>
      <c r="CV33" s="7182" t="s">
        <v>856</v>
      </c>
      <c r="CW33" s="7182"/>
      <c r="CY33" s="7184" t="s">
        <v>856</v>
      </c>
      <c r="CZ33" s="7184"/>
      <c r="DB33" s="7187" t="s">
        <v>856</v>
      </c>
      <c r="DC33" s="7187"/>
      <c r="DE33" s="7189" t="s">
        <v>856</v>
      </c>
      <c r="DF33" s="7189"/>
      <c r="DH33" s="7191" t="s">
        <v>856</v>
      </c>
      <c r="DI33" s="7191"/>
      <c r="DK33" s="6812" t="s">
        <v>10663</v>
      </c>
      <c r="DL33"/>
      <c r="DM33" s="5">
        <v>1</v>
      </c>
    </row>
    <row r="34" spans="1:117" s="1" customFormat="1" ht="18" customHeight="1" thickBot="1">
      <c r="A34"/>
      <c r="B34" s="2"/>
      <c r="C34" s="2"/>
      <c r="D34" s="2"/>
      <c r="E34" s="2"/>
      <c r="F34" s="2"/>
      <c r="G34" s="2"/>
      <c r="H34" s="2"/>
      <c r="I34" s="2"/>
      <c r="J34" s="2"/>
      <c r="K34" s="2"/>
      <c r="L34" s="2"/>
      <c r="M34" s="2"/>
      <c r="N34" s="2"/>
      <c r="O34" s="2"/>
      <c r="P34" s="2"/>
      <c r="Q34" s="5496"/>
      <c r="R34" s="5496"/>
      <c r="S34" s="2"/>
      <c r="T34" s="2"/>
      <c r="U34" s="2"/>
      <c r="V34" s="2"/>
      <c r="W34" s="2"/>
      <c r="X34" s="2"/>
      <c r="Y34" s="2"/>
      <c r="Z34" s="2"/>
      <c r="AA34" s="2"/>
      <c r="AB34" s="4"/>
      <c r="AC34" s="2"/>
      <c r="AD34" s="2"/>
      <c r="AE34" s="4"/>
      <c r="AF34" s="2"/>
      <c r="AG34" s="2"/>
      <c r="AH34" s="4"/>
      <c r="AI34" s="2"/>
      <c r="AJ34" s="2"/>
      <c r="AK34" s="2"/>
      <c r="AL34" s="2"/>
      <c r="AM34" s="2"/>
      <c r="AN34" s="2"/>
      <c r="AO34" s="7232" t="s">
        <v>1361</v>
      </c>
      <c r="AP34" s="7233"/>
      <c r="AQ34" s="2"/>
      <c r="AS34" s="2" t="s">
        <v>856</v>
      </c>
      <c r="AT34" s="2"/>
      <c r="AV34" s="2" t="s">
        <v>856</v>
      </c>
      <c r="AW34" s="2"/>
      <c r="AY34" s="2" t="s">
        <v>856</v>
      </c>
      <c r="AZ34" s="2"/>
      <c r="BB34" s="2" t="s">
        <v>856</v>
      </c>
      <c r="BC34" s="2"/>
      <c r="BE34" s="2" t="s">
        <v>856</v>
      </c>
      <c r="BF34" s="2"/>
      <c r="BH34" s="5496" t="s">
        <v>856</v>
      </c>
      <c r="BI34" s="5496"/>
      <c r="BK34" s="2" t="s">
        <v>856</v>
      </c>
      <c r="BL34" s="2"/>
      <c r="BN34" s="2" t="s">
        <v>856</v>
      </c>
      <c r="BO34" s="2"/>
      <c r="BQ34" s="2" t="s">
        <v>856</v>
      </c>
      <c r="BR34" s="2"/>
      <c r="BT34" s="2" t="s">
        <v>856</v>
      </c>
      <c r="BU34" s="2"/>
      <c r="BW34" s="2" t="s">
        <v>856</v>
      </c>
      <c r="BX34" s="2"/>
      <c r="BY34"/>
      <c r="BZ34" s="6813" t="s">
        <v>10664</v>
      </c>
      <c r="CA34"/>
      <c r="CB34"/>
      <c r="CC34"/>
      <c r="CD34" s="2" t="s">
        <v>856</v>
      </c>
      <c r="CE34" s="2"/>
      <c r="CG34" s="2" t="s">
        <v>856</v>
      </c>
      <c r="CH34" s="2"/>
      <c r="CJ34" s="2" t="s">
        <v>856</v>
      </c>
      <c r="CK34" s="2"/>
      <c r="CM34" s="2" t="s">
        <v>856</v>
      </c>
      <c r="CN34" s="2"/>
      <c r="CP34" s="2" t="s">
        <v>856</v>
      </c>
      <c r="CQ34" s="2"/>
      <c r="CS34" s="5496" t="s">
        <v>856</v>
      </c>
      <c r="CT34" s="5496"/>
      <c r="CV34" s="2" t="s">
        <v>856</v>
      </c>
      <c r="CW34" s="2"/>
      <c r="CY34" s="2" t="s">
        <v>856</v>
      </c>
      <c r="CZ34" s="2"/>
      <c r="DB34" s="2" t="s">
        <v>856</v>
      </c>
      <c r="DC34" s="2"/>
      <c r="DE34" s="2" t="s">
        <v>856</v>
      </c>
      <c r="DF34" s="2"/>
      <c r="DH34" s="2" t="s">
        <v>856</v>
      </c>
      <c r="DI34" s="2"/>
      <c r="DK34" s="6813" t="s">
        <v>10664</v>
      </c>
      <c r="DL34"/>
      <c r="DM34" s="5">
        <v>1</v>
      </c>
    </row>
    <row r="35" spans="1:117" s="1" customFormat="1" ht="18" customHeight="1">
      <c r="A35"/>
      <c r="B35" s="7234" t="s">
        <v>8084</v>
      </c>
      <c r="C35" s="7234"/>
      <c r="D35" s="2"/>
      <c r="E35" s="6935" t="s">
        <v>8085</v>
      </c>
      <c r="F35" s="6935"/>
      <c r="G35" s="2"/>
      <c r="H35" s="7200" t="s">
        <v>8086</v>
      </c>
      <c r="I35" s="7200"/>
      <c r="J35" s="2"/>
      <c r="K35" s="7202" t="s">
        <v>8087</v>
      </c>
      <c r="L35" s="7202"/>
      <c r="M35" s="2"/>
      <c r="N35" s="7204" t="s">
        <v>8088</v>
      </c>
      <c r="O35" s="7204"/>
      <c r="P35" s="2"/>
      <c r="Q35" s="7196" t="s">
        <v>8089</v>
      </c>
      <c r="R35" s="7196"/>
      <c r="S35" s="2"/>
      <c r="T35" s="7181" t="s">
        <v>8090</v>
      </c>
      <c r="U35" s="7181"/>
      <c r="V35" s="2"/>
      <c r="W35" s="7183" t="s">
        <v>8033</v>
      </c>
      <c r="X35" s="7183"/>
      <c r="Y35" s="2"/>
      <c r="Z35" s="7186" t="s">
        <v>8091</v>
      </c>
      <c r="AA35" s="7186"/>
      <c r="AB35" s="4"/>
      <c r="AC35" s="7188" t="s">
        <v>8092</v>
      </c>
      <c r="AD35" s="7188"/>
      <c r="AE35" s="4"/>
      <c r="AF35" s="7190" t="s">
        <v>8093</v>
      </c>
      <c r="AG35" s="7190"/>
      <c r="AH35" s="4"/>
      <c r="AI35" s="7239" t="s">
        <v>1369</v>
      </c>
      <c r="AJ35" s="7197"/>
      <c r="AK35" s="2"/>
      <c r="AL35" s="7240" t="s">
        <v>1370</v>
      </c>
      <c r="AM35" s="7240"/>
      <c r="AN35" s="2"/>
      <c r="AO35" s="6728" t="s">
        <v>1371</v>
      </c>
      <c r="AP35" s="5318"/>
      <c r="AQ35" s="2"/>
      <c r="AS35" s="7234" t="s">
        <v>10048</v>
      </c>
      <c r="AT35" s="7234"/>
      <c r="AV35" s="6935" t="s">
        <v>10102</v>
      </c>
      <c r="AW35" s="6935"/>
      <c r="AY35" s="7200" t="s">
        <v>10168</v>
      </c>
      <c r="AZ35" s="7200"/>
      <c r="BB35" s="7202" t="s">
        <v>10218</v>
      </c>
      <c r="BC35" s="7202"/>
      <c r="BE35" s="7204" t="s">
        <v>10277</v>
      </c>
      <c r="BF35" s="7204"/>
      <c r="BH35" s="7196" t="s">
        <v>10309</v>
      </c>
      <c r="BI35" s="7196"/>
      <c r="BK35" s="7181" t="s">
        <v>10356</v>
      </c>
      <c r="BL35" s="7181"/>
      <c r="BN35" s="7183" t="s">
        <v>10440</v>
      </c>
      <c r="BO35" s="7183"/>
      <c r="BQ35" s="7186" t="s">
        <v>10539</v>
      </c>
      <c r="BR35" s="7186"/>
      <c r="BT35" s="7188" t="s">
        <v>10582</v>
      </c>
      <c r="BU35" s="7188"/>
      <c r="BW35" s="7190" t="s">
        <v>10624</v>
      </c>
      <c r="BX35" s="7190"/>
      <c r="BY35"/>
      <c r="BZ35" s="6815" t="s">
        <v>10665</v>
      </c>
      <c r="CA35"/>
      <c r="CB35"/>
      <c r="CC35"/>
      <c r="CD35" s="7234" t="s">
        <v>10075</v>
      </c>
      <c r="CE35" s="7234"/>
      <c r="CG35" s="6935" t="s">
        <v>10136</v>
      </c>
      <c r="CH35" s="6935"/>
      <c r="CJ35" s="7200" t="s">
        <v>10193</v>
      </c>
      <c r="CK35" s="7200"/>
      <c r="CM35" s="7202" t="s">
        <v>10248</v>
      </c>
      <c r="CN35" s="7202"/>
      <c r="CP35" s="7259" t="s">
        <v>10293</v>
      </c>
      <c r="CQ35" s="7259"/>
      <c r="CS35" s="7196" t="s">
        <v>10333</v>
      </c>
      <c r="CT35" s="7196"/>
      <c r="CV35" s="7181" t="s">
        <v>10398</v>
      </c>
      <c r="CW35" s="7181"/>
      <c r="CY35" s="7183" t="s">
        <v>10491</v>
      </c>
      <c r="CZ35" s="7183"/>
      <c r="DB35" s="7186" t="s">
        <v>10560</v>
      </c>
      <c r="DC35" s="7186"/>
      <c r="DE35" s="7188" t="s">
        <v>10603</v>
      </c>
      <c r="DF35" s="7188"/>
      <c r="DH35" s="7190" t="s">
        <v>10639</v>
      </c>
      <c r="DI35" s="7190"/>
      <c r="DK35" s="6815" t="s">
        <v>10665</v>
      </c>
      <c r="DL35"/>
      <c r="DM35" s="5">
        <v>1</v>
      </c>
    </row>
    <row r="36" spans="1:117" s="1" customFormat="1" ht="18" customHeight="1">
      <c r="A36"/>
      <c r="B36" s="7235"/>
      <c r="C36" s="7235"/>
      <c r="D36" s="2"/>
      <c r="E36" s="6936"/>
      <c r="F36" s="6936"/>
      <c r="G36" s="2"/>
      <c r="H36" s="7201"/>
      <c r="I36" s="7201"/>
      <c r="J36" s="2"/>
      <c r="K36" s="7203"/>
      <c r="L36" s="7203"/>
      <c r="M36" s="2"/>
      <c r="N36" s="7205"/>
      <c r="O36" s="7205"/>
      <c r="P36" s="2"/>
      <c r="Q36" s="7197"/>
      <c r="R36" s="7197"/>
      <c r="S36" s="2"/>
      <c r="T36" s="7182"/>
      <c r="U36" s="7182"/>
      <c r="V36" s="2"/>
      <c r="W36" s="7184"/>
      <c r="X36" s="7184"/>
      <c r="Y36" s="2"/>
      <c r="Z36" s="7187"/>
      <c r="AA36" s="7187"/>
      <c r="AB36" s="4"/>
      <c r="AC36" s="7189"/>
      <c r="AD36" s="7189"/>
      <c r="AE36" s="4"/>
      <c r="AF36" s="7191"/>
      <c r="AG36" s="7191"/>
      <c r="AH36" s="4"/>
      <c r="AI36" s="7197"/>
      <c r="AJ36" s="7197"/>
      <c r="AK36" s="2"/>
      <c r="AL36" s="7240"/>
      <c r="AM36" s="7240"/>
      <c r="AN36" s="2"/>
      <c r="AO36" s="7232" t="s">
        <v>1372</v>
      </c>
      <c r="AP36" s="7233"/>
      <c r="AQ36" s="2"/>
      <c r="AS36" s="7235" t="s">
        <v>856</v>
      </c>
      <c r="AT36" s="7235"/>
      <c r="AV36" s="6936" t="s">
        <v>856</v>
      </c>
      <c r="AW36" s="6936"/>
      <c r="AY36" s="7201" t="s">
        <v>856</v>
      </c>
      <c r="AZ36" s="7201"/>
      <c r="BB36" s="7203" t="s">
        <v>856</v>
      </c>
      <c r="BC36" s="7203"/>
      <c r="BE36" s="7205" t="s">
        <v>856</v>
      </c>
      <c r="BF36" s="7205"/>
      <c r="BH36" s="7197" t="s">
        <v>856</v>
      </c>
      <c r="BI36" s="7197"/>
      <c r="BK36" s="7182" t="s">
        <v>856</v>
      </c>
      <c r="BL36" s="7182"/>
      <c r="BN36" s="7184" t="s">
        <v>856</v>
      </c>
      <c r="BO36" s="7184"/>
      <c r="BQ36" s="7187" t="s">
        <v>856</v>
      </c>
      <c r="BR36" s="7187"/>
      <c r="BT36" s="7189" t="s">
        <v>856</v>
      </c>
      <c r="BU36" s="7189"/>
      <c r="BW36" s="7191" t="s">
        <v>856</v>
      </c>
      <c r="BX36" s="7191"/>
      <c r="BY36"/>
      <c r="BZ36" s="6816" t="s">
        <v>10666</v>
      </c>
      <c r="CA36"/>
      <c r="CB36"/>
      <c r="CC36"/>
      <c r="CD36" s="7235" t="s">
        <v>856</v>
      </c>
      <c r="CE36" s="7235"/>
      <c r="CG36" s="6936" t="s">
        <v>856</v>
      </c>
      <c r="CH36" s="6936"/>
      <c r="CJ36" s="7201" t="s">
        <v>856</v>
      </c>
      <c r="CK36" s="7201"/>
      <c r="CM36" s="7203" t="s">
        <v>856</v>
      </c>
      <c r="CN36" s="7203"/>
      <c r="CP36" s="7260" t="s">
        <v>856</v>
      </c>
      <c r="CQ36" s="7260"/>
      <c r="CS36" s="7197" t="s">
        <v>856</v>
      </c>
      <c r="CT36" s="7197"/>
      <c r="CV36" s="7182" t="s">
        <v>856</v>
      </c>
      <c r="CW36" s="7182"/>
      <c r="CY36" s="7184" t="s">
        <v>856</v>
      </c>
      <c r="CZ36" s="7184"/>
      <c r="DB36" s="7187" t="s">
        <v>856</v>
      </c>
      <c r="DC36" s="7187"/>
      <c r="DE36" s="7189" t="s">
        <v>856</v>
      </c>
      <c r="DF36" s="7189"/>
      <c r="DH36" s="7191" t="s">
        <v>856</v>
      </c>
      <c r="DI36" s="7191"/>
      <c r="DK36" s="6816" t="s">
        <v>10666</v>
      </c>
      <c r="DL36"/>
      <c r="DM36" s="5">
        <v>1</v>
      </c>
    </row>
    <row r="37" spans="1:117" s="1" customFormat="1" ht="18" customHeight="1" thickBot="1">
      <c r="A37"/>
      <c r="B37" s="2"/>
      <c r="C37" s="2"/>
      <c r="D37" s="2"/>
      <c r="E37" s="2"/>
      <c r="F37" s="2"/>
      <c r="G37" s="2"/>
      <c r="H37" s="2"/>
      <c r="I37" s="2"/>
      <c r="J37" s="2"/>
      <c r="K37" s="2"/>
      <c r="L37" s="2"/>
      <c r="M37" s="2"/>
      <c r="N37" s="2"/>
      <c r="O37" s="2"/>
      <c r="P37" s="2"/>
      <c r="Q37" s="5496"/>
      <c r="R37" s="5496"/>
      <c r="S37" s="2"/>
      <c r="T37" s="2"/>
      <c r="U37" s="2"/>
      <c r="V37" s="2"/>
      <c r="W37" s="2"/>
      <c r="X37" s="2"/>
      <c r="Y37" s="2"/>
      <c r="Z37" s="2"/>
      <c r="AA37" s="2"/>
      <c r="AB37" s="4"/>
      <c r="AC37" s="2"/>
      <c r="AD37" s="2"/>
      <c r="AE37" s="4"/>
      <c r="AF37" s="2"/>
      <c r="AG37" s="2"/>
      <c r="AH37" s="4"/>
      <c r="AI37" s="2"/>
      <c r="AJ37" s="2"/>
      <c r="AK37" s="2"/>
      <c r="AL37" s="2"/>
      <c r="AM37" s="2"/>
      <c r="AN37" s="2"/>
      <c r="AO37" s="6728" t="s">
        <v>1373</v>
      </c>
      <c r="AP37" s="5318"/>
      <c r="AQ37" s="2"/>
      <c r="AS37" s="2" t="s">
        <v>856</v>
      </c>
      <c r="AT37" s="2"/>
      <c r="AV37" s="2" t="s">
        <v>856</v>
      </c>
      <c r="AW37" s="2"/>
      <c r="AY37" s="2" t="s">
        <v>856</v>
      </c>
      <c r="AZ37" s="2"/>
      <c r="BB37" s="2" t="s">
        <v>856</v>
      </c>
      <c r="BC37" s="2"/>
      <c r="BE37" s="2" t="s">
        <v>856</v>
      </c>
      <c r="BF37" s="2"/>
      <c r="BH37" s="5496" t="s">
        <v>856</v>
      </c>
      <c r="BI37" s="5496"/>
      <c r="BK37" s="2" t="s">
        <v>856</v>
      </c>
      <c r="BL37" s="2"/>
      <c r="BN37" s="2" t="s">
        <v>856</v>
      </c>
      <c r="BO37" s="2"/>
      <c r="BQ37" s="2" t="s">
        <v>856</v>
      </c>
      <c r="BR37" s="2"/>
      <c r="BT37" s="2" t="s">
        <v>856</v>
      </c>
      <c r="BU37" s="2"/>
      <c r="BW37" s="2" t="s">
        <v>856</v>
      </c>
      <c r="BX37" s="2"/>
      <c r="BY37"/>
      <c r="BZ37" s="6817" t="s">
        <v>10667</v>
      </c>
      <c r="CA37"/>
      <c r="CB37"/>
      <c r="CC37"/>
      <c r="CD37" s="2" t="s">
        <v>856</v>
      </c>
      <c r="CE37" s="2"/>
      <c r="CG37" s="2" t="s">
        <v>856</v>
      </c>
      <c r="CH37" s="2"/>
      <c r="CJ37" s="2" t="s">
        <v>856</v>
      </c>
      <c r="CK37" s="2"/>
      <c r="CM37" s="2" t="s">
        <v>856</v>
      </c>
      <c r="CN37" s="2"/>
      <c r="CP37" s="2" t="s">
        <v>856</v>
      </c>
      <c r="CQ37" s="2"/>
      <c r="CS37" s="5496" t="s">
        <v>856</v>
      </c>
      <c r="CT37" s="5496"/>
      <c r="CV37" s="2" t="s">
        <v>856</v>
      </c>
      <c r="CW37" s="2"/>
      <c r="CY37" s="2" t="s">
        <v>856</v>
      </c>
      <c r="CZ37" s="2"/>
      <c r="DB37" s="2" t="s">
        <v>856</v>
      </c>
      <c r="DC37" s="2"/>
      <c r="DE37" s="2" t="s">
        <v>856</v>
      </c>
      <c r="DF37" s="2"/>
      <c r="DH37" s="2" t="s">
        <v>856</v>
      </c>
      <c r="DI37" s="2"/>
      <c r="DK37" s="6817" t="s">
        <v>10667</v>
      </c>
      <c r="DL37"/>
      <c r="DM37" s="5">
        <v>1</v>
      </c>
    </row>
    <row r="38" spans="1:117" s="1" customFormat="1" ht="18" customHeight="1">
      <c r="B38" s="7247" t="s">
        <v>8094</v>
      </c>
      <c r="C38" s="7247"/>
      <c r="D38" s="2"/>
      <c r="E38" s="6935" t="s">
        <v>8031</v>
      </c>
      <c r="F38" s="6935"/>
      <c r="G38" s="2"/>
      <c r="H38" s="7200" t="s">
        <v>8095</v>
      </c>
      <c r="I38" s="7200"/>
      <c r="J38" s="2"/>
      <c r="K38" s="7202" t="s">
        <v>8096</v>
      </c>
      <c r="L38" s="7202"/>
      <c r="M38" s="2"/>
      <c r="N38" s="7204" t="s">
        <v>8097</v>
      </c>
      <c r="O38" s="7204"/>
      <c r="P38" s="2"/>
      <c r="Q38" s="7196" t="s">
        <v>8098</v>
      </c>
      <c r="R38" s="7196"/>
      <c r="S38" s="2"/>
      <c r="T38" s="7181" t="s">
        <v>8099</v>
      </c>
      <c r="U38" s="7181"/>
      <c r="V38" s="2"/>
      <c r="W38" s="7183" t="s">
        <v>8100</v>
      </c>
      <c r="X38" s="7183"/>
      <c r="Y38" s="2"/>
      <c r="Z38" s="7186" t="s">
        <v>8101</v>
      </c>
      <c r="AA38" s="7186"/>
      <c r="AB38" s="4"/>
      <c r="AC38" s="7188" t="s">
        <v>8102</v>
      </c>
      <c r="AD38" s="7188"/>
      <c r="AE38" s="4"/>
      <c r="AF38" s="7190" t="s">
        <v>8103</v>
      </c>
      <c r="AG38" s="7190"/>
      <c r="AH38" s="4"/>
      <c r="AI38" s="7249" t="s">
        <v>1382</v>
      </c>
      <c r="AJ38" s="7249"/>
      <c r="AK38" s="2"/>
      <c r="AL38" s="7218" t="s">
        <v>1335</v>
      </c>
      <c r="AM38" s="7218"/>
      <c r="AN38" s="2"/>
      <c r="AO38" s="6728" t="s">
        <v>1383</v>
      </c>
      <c r="AP38" s="5318"/>
      <c r="AQ38" s="2"/>
      <c r="AS38" s="7247" t="s">
        <v>10049</v>
      </c>
      <c r="AT38" s="7247"/>
      <c r="AV38" s="6935" t="s">
        <v>10103</v>
      </c>
      <c r="AW38" s="6935"/>
      <c r="AY38" s="7200" t="s">
        <v>10169</v>
      </c>
      <c r="AZ38" s="7200"/>
      <c r="BB38" s="7202" t="s">
        <v>10219</v>
      </c>
      <c r="BC38" s="7202"/>
      <c r="BE38" s="7204" t="s">
        <v>10278</v>
      </c>
      <c r="BF38" s="7204"/>
      <c r="BH38" s="7196" t="s">
        <v>10310</v>
      </c>
      <c r="BI38" s="7196"/>
      <c r="BK38" s="7181" t="s">
        <v>10357</v>
      </c>
      <c r="BL38" s="7181"/>
      <c r="BN38" s="7183" t="s">
        <v>10441</v>
      </c>
      <c r="BO38" s="7183"/>
      <c r="BQ38" s="7186" t="s">
        <v>10540</v>
      </c>
      <c r="BR38" s="7186"/>
      <c r="BT38" s="7188" t="s">
        <v>10583</v>
      </c>
      <c r="BU38" s="7188"/>
      <c r="BW38" s="7190" t="s">
        <v>10625</v>
      </c>
      <c r="BX38" s="7190"/>
      <c r="BY38"/>
      <c r="BZ38" s="6818" t="s">
        <v>10668</v>
      </c>
      <c r="CA38"/>
      <c r="CB38"/>
      <c r="CC38"/>
      <c r="CD38" s="7247" t="s">
        <v>10049</v>
      </c>
      <c r="CE38" s="7247"/>
      <c r="CG38" s="7215" t="s">
        <v>10137</v>
      </c>
      <c r="CH38" s="7215"/>
      <c r="CJ38" s="7200" t="s">
        <v>10194</v>
      </c>
      <c r="CK38" s="7200"/>
      <c r="CM38" s="7202" t="s">
        <v>10249</v>
      </c>
      <c r="CN38" s="7202"/>
      <c r="CP38" s="7259" t="s">
        <v>10294</v>
      </c>
      <c r="CQ38" s="7259"/>
      <c r="CS38" s="7196" t="s">
        <v>10334</v>
      </c>
      <c r="CT38" s="7196"/>
      <c r="CV38" s="7181" t="s">
        <v>10399</v>
      </c>
      <c r="CW38" s="7181"/>
      <c r="CY38" s="7183" t="s">
        <v>10492</v>
      </c>
      <c r="CZ38" s="7183"/>
      <c r="DB38" s="7186" t="s">
        <v>10561</v>
      </c>
      <c r="DC38" s="7186"/>
      <c r="DE38" s="7188" t="s">
        <v>10604</v>
      </c>
      <c r="DF38" s="7188"/>
      <c r="DH38" s="7190" t="s">
        <v>10640</v>
      </c>
      <c r="DI38" s="7190"/>
      <c r="DK38" s="6818" t="s">
        <v>10668</v>
      </c>
      <c r="DL38"/>
      <c r="DM38" s="5">
        <v>1</v>
      </c>
    </row>
    <row r="39" spans="1:117" s="1" customFormat="1" ht="18" customHeight="1">
      <c r="B39" s="7248"/>
      <c r="C39" s="7248"/>
      <c r="D39" s="2"/>
      <c r="E39" s="6936"/>
      <c r="F39" s="6936"/>
      <c r="G39" s="2"/>
      <c r="H39" s="7201"/>
      <c r="I39" s="7201"/>
      <c r="J39" s="2"/>
      <c r="K39" s="7203"/>
      <c r="L39" s="7203"/>
      <c r="M39" s="2"/>
      <c r="N39" s="7205"/>
      <c r="O39" s="7205"/>
      <c r="P39" s="2"/>
      <c r="Q39" s="7197"/>
      <c r="R39" s="7197"/>
      <c r="S39" s="2"/>
      <c r="T39" s="7182"/>
      <c r="U39" s="7182"/>
      <c r="V39" s="2"/>
      <c r="W39" s="7184"/>
      <c r="X39" s="7184"/>
      <c r="Y39" s="2"/>
      <c r="Z39" s="7187"/>
      <c r="AA39" s="7187"/>
      <c r="AB39" s="4"/>
      <c r="AC39" s="7189"/>
      <c r="AD39" s="7189"/>
      <c r="AE39" s="4"/>
      <c r="AF39" s="7191"/>
      <c r="AG39" s="7191"/>
      <c r="AH39" s="4"/>
      <c r="AI39" s="7249"/>
      <c r="AJ39" s="7249"/>
      <c r="AK39" s="2"/>
      <c r="AL39" s="7218"/>
      <c r="AM39" s="7218"/>
      <c r="AN39" s="2"/>
      <c r="AO39" s="7232" t="s">
        <v>1384</v>
      </c>
      <c r="AP39" s="7233"/>
      <c r="AQ39" s="2"/>
      <c r="AS39" s="7248" t="s">
        <v>856</v>
      </c>
      <c r="AT39" s="7248"/>
      <c r="AV39" s="6936" t="s">
        <v>856</v>
      </c>
      <c r="AW39" s="6936"/>
      <c r="AY39" s="7201" t="s">
        <v>856</v>
      </c>
      <c r="AZ39" s="7201"/>
      <c r="BB39" s="7203" t="s">
        <v>856</v>
      </c>
      <c r="BC39" s="7203"/>
      <c r="BE39" s="7205" t="s">
        <v>856</v>
      </c>
      <c r="BF39" s="7205"/>
      <c r="BH39" s="7197" t="s">
        <v>856</v>
      </c>
      <c r="BI39" s="7197"/>
      <c r="BK39" s="7182" t="s">
        <v>856</v>
      </c>
      <c r="BL39" s="7182"/>
      <c r="BN39" s="7184" t="s">
        <v>856</v>
      </c>
      <c r="BO39" s="7184"/>
      <c r="BQ39" s="7187" t="s">
        <v>856</v>
      </c>
      <c r="BR39" s="7187"/>
      <c r="BT39" s="7189" t="s">
        <v>856</v>
      </c>
      <c r="BU39" s="7189"/>
      <c r="BW39" s="7191" t="s">
        <v>856</v>
      </c>
      <c r="BX39" s="7191"/>
      <c r="BY39"/>
      <c r="BZ39" s="6819" t="s">
        <v>10669</v>
      </c>
      <c r="CA39"/>
      <c r="CB39"/>
      <c r="CC39"/>
      <c r="CD39" s="7248" t="s">
        <v>856</v>
      </c>
      <c r="CE39" s="7248"/>
      <c r="CG39" s="7042" t="s">
        <v>856</v>
      </c>
      <c r="CH39" s="7042"/>
      <c r="CJ39" s="7201" t="s">
        <v>856</v>
      </c>
      <c r="CK39" s="7201"/>
      <c r="CM39" s="7203" t="s">
        <v>856</v>
      </c>
      <c r="CN39" s="7203"/>
      <c r="CP39" s="7260" t="s">
        <v>856</v>
      </c>
      <c r="CQ39" s="7260"/>
      <c r="CS39" s="7197" t="s">
        <v>856</v>
      </c>
      <c r="CT39" s="7197"/>
      <c r="CV39" s="7182" t="s">
        <v>856</v>
      </c>
      <c r="CW39" s="7182"/>
      <c r="CY39" s="7184" t="s">
        <v>856</v>
      </c>
      <c r="CZ39" s="7184"/>
      <c r="DB39" s="7187" t="s">
        <v>856</v>
      </c>
      <c r="DC39" s="7187"/>
      <c r="DE39" s="7189" t="s">
        <v>856</v>
      </c>
      <c r="DF39" s="7189"/>
      <c r="DH39" s="7191" t="s">
        <v>856</v>
      </c>
      <c r="DI39" s="7191"/>
      <c r="DK39" s="6819" t="s">
        <v>10669</v>
      </c>
      <c r="DL39"/>
      <c r="DM39" s="5">
        <v>1</v>
      </c>
    </row>
    <row r="40" spans="1:117" s="1" customFormat="1" ht="18" customHeight="1" thickBot="1">
      <c r="B40" s="2"/>
      <c r="C40" s="2"/>
      <c r="D40" s="2"/>
      <c r="E40" s="2"/>
      <c r="F40" s="2"/>
      <c r="G40" s="2"/>
      <c r="H40" s="2"/>
      <c r="I40" s="2"/>
      <c r="J40" s="2"/>
      <c r="K40" s="2"/>
      <c r="L40" s="2"/>
      <c r="M40" s="2"/>
      <c r="N40" s="2"/>
      <c r="O40" s="2"/>
      <c r="P40" s="2"/>
      <c r="Q40" s="5496"/>
      <c r="R40" s="5496"/>
      <c r="S40" s="2"/>
      <c r="T40" s="2"/>
      <c r="U40" s="2"/>
      <c r="V40" s="2"/>
      <c r="W40" s="2"/>
      <c r="X40" s="2"/>
      <c r="Y40" s="2"/>
      <c r="Z40" s="2"/>
      <c r="AA40" s="2"/>
      <c r="AB40" s="4"/>
      <c r="AC40" s="2"/>
      <c r="AD40" s="2"/>
      <c r="AE40" s="4"/>
      <c r="AF40" s="2"/>
      <c r="AG40" s="2"/>
      <c r="AH40" s="4"/>
      <c r="AI40" s="2"/>
      <c r="AJ40" s="2"/>
      <c r="AK40" s="2"/>
      <c r="AL40" s="2"/>
      <c r="AM40" s="2"/>
      <c r="AN40" s="2"/>
      <c r="AO40" s="6728" t="s">
        <v>1385</v>
      </c>
      <c r="AP40" s="5318"/>
      <c r="AQ40" s="2"/>
      <c r="AS40" s="2" t="s">
        <v>856</v>
      </c>
      <c r="AT40" s="2"/>
      <c r="AV40" s="2" t="s">
        <v>856</v>
      </c>
      <c r="AW40" s="2"/>
      <c r="AY40" s="2" t="s">
        <v>856</v>
      </c>
      <c r="AZ40" s="2"/>
      <c r="BB40" s="2" t="s">
        <v>856</v>
      </c>
      <c r="BC40" s="2"/>
      <c r="BE40" s="2" t="s">
        <v>856</v>
      </c>
      <c r="BF40" s="2"/>
      <c r="BH40" s="5496" t="s">
        <v>856</v>
      </c>
      <c r="BI40" s="5496"/>
      <c r="BK40" s="2" t="s">
        <v>856</v>
      </c>
      <c r="BL40" s="2"/>
      <c r="BN40" s="2" t="s">
        <v>856</v>
      </c>
      <c r="BO40" s="2"/>
      <c r="BQ40" s="2" t="s">
        <v>856</v>
      </c>
      <c r="BR40" s="2"/>
      <c r="BT40" s="2" t="s">
        <v>856</v>
      </c>
      <c r="BU40" s="2"/>
      <c r="BW40" s="2" t="s">
        <v>856</v>
      </c>
      <c r="BX40" s="2"/>
      <c r="BY40"/>
      <c r="BZ40" s="6820" t="s">
        <v>10670</v>
      </c>
      <c r="CA40"/>
      <c r="CB40"/>
      <c r="CC40"/>
      <c r="CD40" s="2" t="s">
        <v>856</v>
      </c>
      <c r="CE40" s="2"/>
      <c r="CG40" s="2" t="s">
        <v>856</v>
      </c>
      <c r="CH40" s="2"/>
      <c r="CJ40" s="2" t="s">
        <v>856</v>
      </c>
      <c r="CK40" s="2"/>
      <c r="CM40" s="2" t="s">
        <v>856</v>
      </c>
      <c r="CN40" s="2"/>
      <c r="CP40" s="2" t="s">
        <v>856</v>
      </c>
      <c r="CQ40" s="2"/>
      <c r="CS40" s="5496" t="s">
        <v>856</v>
      </c>
      <c r="CT40" s="5496"/>
      <c r="CV40" s="2" t="s">
        <v>856</v>
      </c>
      <c r="CW40" s="2"/>
      <c r="CY40" s="2" t="s">
        <v>856</v>
      </c>
      <c r="CZ40" s="2"/>
      <c r="DB40" s="2" t="s">
        <v>856</v>
      </c>
      <c r="DC40" s="2"/>
      <c r="DE40" s="2" t="s">
        <v>856</v>
      </c>
      <c r="DF40" s="2"/>
      <c r="DH40" s="2" t="s">
        <v>856</v>
      </c>
      <c r="DI40" s="2"/>
      <c r="DK40" s="6820" t="s">
        <v>10670</v>
      </c>
      <c r="DL40"/>
      <c r="DM40" s="5">
        <v>1</v>
      </c>
    </row>
    <row r="41" spans="1:117" s="1" customFormat="1" ht="18" customHeight="1">
      <c r="B41" s="7241" t="s">
        <v>8104</v>
      </c>
      <c r="C41" s="7241"/>
      <c r="D41" s="2"/>
      <c r="E41" s="6935" t="s">
        <v>8105</v>
      </c>
      <c r="F41" s="6935"/>
      <c r="G41" s="2"/>
      <c r="H41" s="7200" t="s">
        <v>8106</v>
      </c>
      <c r="I41" s="7200"/>
      <c r="J41" s="2"/>
      <c r="K41" s="7202" t="s">
        <v>8107</v>
      </c>
      <c r="L41" s="7202"/>
      <c r="M41" s="2"/>
      <c r="N41" s="7204" t="s">
        <v>8108</v>
      </c>
      <c r="O41" s="7204"/>
      <c r="P41" s="2"/>
      <c r="Q41" s="7196" t="s">
        <v>8109</v>
      </c>
      <c r="R41" s="7196"/>
      <c r="S41" s="2"/>
      <c r="T41" s="7181" t="s">
        <v>8110</v>
      </c>
      <c r="U41" s="7181"/>
      <c r="V41" s="2"/>
      <c r="W41" s="7183" t="s">
        <v>8111</v>
      </c>
      <c r="X41" s="7183"/>
      <c r="Y41" s="2"/>
      <c r="Z41" s="7186" t="s">
        <v>8112</v>
      </c>
      <c r="AA41" s="7186"/>
      <c r="AB41" s="4"/>
      <c r="AC41" s="7188" t="s">
        <v>8113</v>
      </c>
      <c r="AD41" s="7188"/>
      <c r="AE41" s="4"/>
      <c r="AF41" s="7190" t="s">
        <v>8114</v>
      </c>
      <c r="AG41" s="7190"/>
      <c r="AH41" s="4"/>
      <c r="AI41" s="7243" t="s">
        <v>1394</v>
      </c>
      <c r="AJ41" s="7243"/>
      <c r="AK41" s="2"/>
      <c r="AL41" s="7244" t="s">
        <v>1395</v>
      </c>
      <c r="AM41" s="7244"/>
      <c r="AN41" s="2"/>
      <c r="AO41" s="7232" t="s">
        <v>1396</v>
      </c>
      <c r="AP41" s="7233"/>
      <c r="AQ41" s="2"/>
      <c r="AS41" s="7241" t="s">
        <v>10050</v>
      </c>
      <c r="AT41" s="7241"/>
      <c r="AV41" s="6935" t="s">
        <v>10104</v>
      </c>
      <c r="AW41" s="6935"/>
      <c r="AY41" s="7200" t="s">
        <v>10170</v>
      </c>
      <c r="AZ41" s="7200"/>
      <c r="BB41" s="7202" t="s">
        <v>10220</v>
      </c>
      <c r="BC41" s="7202"/>
      <c r="BE41" s="7204" t="s">
        <v>10279</v>
      </c>
      <c r="BF41" s="7204"/>
      <c r="BH41" s="7196" t="s">
        <v>10311</v>
      </c>
      <c r="BI41" s="7196"/>
      <c r="BK41" s="7181" t="s">
        <v>10358</v>
      </c>
      <c r="BL41" s="7181"/>
      <c r="BN41" s="7183" t="s">
        <v>10442</v>
      </c>
      <c r="BO41" s="7183"/>
      <c r="BQ41" s="7186" t="s">
        <v>10541</v>
      </c>
      <c r="BR41" s="7186"/>
      <c r="BT41" s="7188" t="s">
        <v>10584</v>
      </c>
      <c r="BU41" s="7188"/>
      <c r="BW41" s="7190" t="s">
        <v>8125</v>
      </c>
      <c r="BX41" s="7190"/>
      <c r="BY41"/>
      <c r="BZ41"/>
      <c r="CA41"/>
      <c r="CB41"/>
      <c r="CC41"/>
      <c r="CD41" s="7241" t="s">
        <v>10076</v>
      </c>
      <c r="CE41" s="7241"/>
      <c r="CG41" s="7215" t="s">
        <v>10138</v>
      </c>
      <c r="CH41" s="7215"/>
      <c r="CJ41" s="7200" t="s">
        <v>10170</v>
      </c>
      <c r="CK41" s="7200"/>
      <c r="CM41" s="7202" t="s">
        <v>10250</v>
      </c>
      <c r="CN41" s="7202"/>
      <c r="CP41" s="7259" t="s">
        <v>10295</v>
      </c>
      <c r="CQ41" s="7259"/>
      <c r="CS41" s="7196" t="s">
        <v>10335</v>
      </c>
      <c r="CT41" s="7196"/>
      <c r="CV41" s="7181" t="s">
        <v>10400</v>
      </c>
      <c r="CW41" s="7181"/>
      <c r="CY41" s="7183" t="s">
        <v>10493</v>
      </c>
      <c r="CZ41" s="7183"/>
      <c r="DB41" s="7186" t="s">
        <v>10562</v>
      </c>
      <c r="DC41" s="7186"/>
      <c r="DE41" s="7188" t="s">
        <v>10605</v>
      </c>
      <c r="DF41" s="7188"/>
      <c r="DH41" s="7190" t="s">
        <v>8125</v>
      </c>
      <c r="DI41" s="7190"/>
      <c r="DK41"/>
      <c r="DL41"/>
      <c r="DM41" s="5">
        <v>1</v>
      </c>
    </row>
    <row r="42" spans="1:117" s="1" customFormat="1" ht="18" customHeight="1">
      <c r="B42" s="7242"/>
      <c r="C42" s="7242"/>
      <c r="D42" s="2"/>
      <c r="E42" s="6936"/>
      <c r="F42" s="6936"/>
      <c r="G42" s="2"/>
      <c r="H42" s="7201"/>
      <c r="I42" s="7201"/>
      <c r="J42" s="2"/>
      <c r="K42" s="7203"/>
      <c r="L42" s="7203"/>
      <c r="M42" s="2"/>
      <c r="N42" s="7205"/>
      <c r="O42" s="7205"/>
      <c r="P42" s="2"/>
      <c r="Q42" s="7197"/>
      <c r="R42" s="7197"/>
      <c r="S42" s="2"/>
      <c r="T42" s="7182"/>
      <c r="U42" s="7182"/>
      <c r="V42" s="2"/>
      <c r="W42" s="7184"/>
      <c r="X42" s="7184"/>
      <c r="Y42" s="2"/>
      <c r="Z42" s="7187"/>
      <c r="AA42" s="7187"/>
      <c r="AB42" s="4"/>
      <c r="AC42" s="7189"/>
      <c r="AD42" s="7189"/>
      <c r="AE42" s="4"/>
      <c r="AF42" s="7191"/>
      <c r="AG42" s="7191"/>
      <c r="AH42" s="4"/>
      <c r="AI42" s="7243"/>
      <c r="AJ42" s="7243"/>
      <c r="AK42" s="2"/>
      <c r="AL42" s="7244"/>
      <c r="AM42" s="7244"/>
      <c r="AN42" s="2"/>
      <c r="AO42" s="7245" t="s">
        <v>1397</v>
      </c>
      <c r="AP42" s="7246"/>
      <c r="AQ42" s="2"/>
      <c r="AS42" s="7242" t="s">
        <v>856</v>
      </c>
      <c r="AT42" s="7242"/>
      <c r="AV42" s="6936" t="s">
        <v>856</v>
      </c>
      <c r="AW42" s="6936"/>
      <c r="AY42" s="7201" t="s">
        <v>856</v>
      </c>
      <c r="AZ42" s="7201"/>
      <c r="BB42" s="7203" t="s">
        <v>856</v>
      </c>
      <c r="BC42" s="7203"/>
      <c r="BE42" s="7205" t="s">
        <v>856</v>
      </c>
      <c r="BF42" s="7205"/>
      <c r="BH42" s="7197" t="s">
        <v>856</v>
      </c>
      <c r="BI42" s="7197"/>
      <c r="BK42" s="7182" t="s">
        <v>856</v>
      </c>
      <c r="BL42" s="7182"/>
      <c r="BN42" s="7184" t="s">
        <v>856</v>
      </c>
      <c r="BO42" s="7184"/>
      <c r="BQ42" s="7187" t="s">
        <v>856</v>
      </c>
      <c r="BR42" s="7187"/>
      <c r="BT42" s="7189" t="s">
        <v>856</v>
      </c>
      <c r="BU42" s="7189"/>
      <c r="BW42" s="7191" t="s">
        <v>856</v>
      </c>
      <c r="BX42" s="7191"/>
      <c r="BY42"/>
      <c r="BZ42"/>
      <c r="CA42"/>
      <c r="CB42"/>
      <c r="CC42"/>
      <c r="CD42" s="7242" t="s">
        <v>856</v>
      </c>
      <c r="CE42" s="7242"/>
      <c r="CG42" s="7042" t="s">
        <v>856</v>
      </c>
      <c r="CH42" s="7042"/>
      <c r="CJ42" s="7201" t="s">
        <v>856</v>
      </c>
      <c r="CK42" s="7201"/>
      <c r="CM42" s="7203" t="s">
        <v>856</v>
      </c>
      <c r="CN42" s="7203"/>
      <c r="CP42" s="7260" t="s">
        <v>856</v>
      </c>
      <c r="CQ42" s="7260"/>
      <c r="CS42" s="7197" t="s">
        <v>856</v>
      </c>
      <c r="CT42" s="7197"/>
      <c r="CV42" s="7182" t="s">
        <v>856</v>
      </c>
      <c r="CW42" s="7182"/>
      <c r="CY42" s="7184" t="s">
        <v>856</v>
      </c>
      <c r="CZ42" s="7184"/>
      <c r="DB42" s="7187" t="s">
        <v>856</v>
      </c>
      <c r="DC42" s="7187"/>
      <c r="DE42" s="7189" t="s">
        <v>856</v>
      </c>
      <c r="DF42" s="7189"/>
      <c r="DH42" s="7191" t="s">
        <v>856</v>
      </c>
      <c r="DI42" s="7191"/>
      <c r="DK42"/>
      <c r="DL42"/>
      <c r="DM42" s="5">
        <v>1</v>
      </c>
    </row>
    <row r="43" spans="1:117" s="1" customFormat="1" ht="18" customHeight="1" thickBot="1">
      <c r="B43" s="2"/>
      <c r="C43" s="2"/>
      <c r="D43" s="2"/>
      <c r="E43" s="2"/>
      <c r="F43" s="2"/>
      <c r="G43" s="2"/>
      <c r="H43" s="2"/>
      <c r="I43" s="2"/>
      <c r="J43" s="2"/>
      <c r="K43" s="2"/>
      <c r="L43" s="2"/>
      <c r="M43" s="2"/>
      <c r="N43" s="2"/>
      <c r="O43" s="2"/>
      <c r="P43" s="2"/>
      <c r="Q43" s="5496"/>
      <c r="R43" s="5496"/>
      <c r="S43" s="2"/>
      <c r="T43" s="2"/>
      <c r="U43" s="2"/>
      <c r="V43" s="2"/>
      <c r="W43" s="2"/>
      <c r="X43" s="2"/>
      <c r="Y43" s="2"/>
      <c r="Z43" s="2"/>
      <c r="AA43" s="2"/>
      <c r="AB43" s="4"/>
      <c r="AC43" s="2"/>
      <c r="AD43" s="2"/>
      <c r="AE43" s="4"/>
      <c r="AF43" s="2"/>
      <c r="AG43" s="2"/>
      <c r="AH43" s="4"/>
      <c r="AI43" s="2"/>
      <c r="AJ43" s="2"/>
      <c r="AK43" s="2"/>
      <c r="AL43" s="2"/>
      <c r="AM43" s="2"/>
      <c r="AN43" s="2"/>
      <c r="AO43" s="5577">
        <v>12</v>
      </c>
      <c r="AP43" s="5578">
        <v>12</v>
      </c>
      <c r="AQ43" s="2"/>
      <c r="AS43" s="2" t="s">
        <v>856</v>
      </c>
      <c r="AT43" s="2"/>
      <c r="AV43" s="2" t="s">
        <v>856</v>
      </c>
      <c r="AW43" s="2"/>
      <c r="AY43" s="2" t="s">
        <v>856</v>
      </c>
      <c r="AZ43" s="2"/>
      <c r="BB43" s="2" t="s">
        <v>856</v>
      </c>
      <c r="BC43" s="2"/>
      <c r="BE43" s="2" t="s">
        <v>856</v>
      </c>
      <c r="BF43" s="2"/>
      <c r="BH43" s="5496" t="s">
        <v>856</v>
      </c>
      <c r="BI43" s="5496"/>
      <c r="BK43" s="2" t="s">
        <v>856</v>
      </c>
      <c r="BL43" s="2"/>
      <c r="BN43" s="2" t="s">
        <v>856</v>
      </c>
      <c r="BO43" s="2"/>
      <c r="BQ43" s="2" t="s">
        <v>856</v>
      </c>
      <c r="BR43" s="2"/>
      <c r="BT43" s="2" t="s">
        <v>856</v>
      </c>
      <c r="BU43" s="2"/>
      <c r="BW43" s="2" t="s">
        <v>856</v>
      </c>
      <c r="BX43" s="2"/>
      <c r="BY43"/>
      <c r="BZ43"/>
      <c r="CA43"/>
      <c r="CB43"/>
      <c r="CC43"/>
      <c r="CD43" s="2" t="s">
        <v>856</v>
      </c>
      <c r="CE43" s="2"/>
      <c r="CG43" s="2" t="s">
        <v>856</v>
      </c>
      <c r="CH43" s="2"/>
      <c r="CJ43" s="2" t="s">
        <v>856</v>
      </c>
      <c r="CK43" s="2"/>
      <c r="CM43" s="2" t="s">
        <v>856</v>
      </c>
      <c r="CN43" s="2"/>
      <c r="CP43" s="2" t="s">
        <v>856</v>
      </c>
      <c r="CQ43" s="2"/>
      <c r="CS43" s="5496" t="s">
        <v>856</v>
      </c>
      <c r="CT43" s="5496"/>
      <c r="CV43" s="2" t="s">
        <v>856</v>
      </c>
      <c r="CW43" s="2"/>
      <c r="CY43" s="2" t="s">
        <v>856</v>
      </c>
      <c r="CZ43" s="2"/>
      <c r="DB43" s="2" t="s">
        <v>856</v>
      </c>
      <c r="DC43" s="2"/>
      <c r="DE43" s="2" t="s">
        <v>856</v>
      </c>
      <c r="DF43" s="2"/>
      <c r="DH43" s="2" t="s">
        <v>856</v>
      </c>
      <c r="DI43" s="2"/>
      <c r="DK43"/>
      <c r="DL43"/>
      <c r="DM43" s="5">
        <v>1</v>
      </c>
    </row>
    <row r="44" spans="1:117" s="1" customFormat="1" ht="18" customHeight="1">
      <c r="B44" s="7215" t="s">
        <v>8115</v>
      </c>
      <c r="C44" s="7215"/>
      <c r="D44" s="2"/>
      <c r="E44" s="7215" t="s">
        <v>8116</v>
      </c>
      <c r="F44" s="7215"/>
      <c r="G44" s="2"/>
      <c r="H44" s="7200" t="s">
        <v>8117</v>
      </c>
      <c r="I44" s="7200"/>
      <c r="J44" s="2"/>
      <c r="K44" s="7202" t="s">
        <v>8118</v>
      </c>
      <c r="L44" s="7202"/>
      <c r="M44" s="2"/>
      <c r="N44" s="7204" t="s">
        <v>8119</v>
      </c>
      <c r="O44" s="7204"/>
      <c r="P44" s="2"/>
      <c r="Q44" s="7196" t="s">
        <v>8120</v>
      </c>
      <c r="R44" s="7196"/>
      <c r="S44" s="2"/>
      <c r="T44" s="7181" t="s">
        <v>8121</v>
      </c>
      <c r="U44" s="7181"/>
      <c r="V44" s="2"/>
      <c r="W44" s="7183" t="s">
        <v>8122</v>
      </c>
      <c r="X44" s="7183"/>
      <c r="Y44" s="2"/>
      <c r="Z44" s="7186" t="s">
        <v>8123</v>
      </c>
      <c r="AA44" s="7186"/>
      <c r="AB44" s="4"/>
      <c r="AC44" s="7188" t="s">
        <v>8124</v>
      </c>
      <c r="AD44" s="7188"/>
      <c r="AE44" s="4"/>
      <c r="AF44" s="7190" t="s">
        <v>8125</v>
      </c>
      <c r="AG44" s="7190"/>
      <c r="AH44" s="4"/>
      <c r="AI44" s="7253" t="s">
        <v>1404</v>
      </c>
      <c r="AJ44" s="7253"/>
      <c r="AK44" s="2"/>
      <c r="AL44" s="7250" t="s">
        <v>1405</v>
      </c>
      <c r="AM44" s="7250"/>
      <c r="AN44" s="2"/>
      <c r="AO44" s="2"/>
      <c r="AP44" s="2"/>
      <c r="AQ44" s="2"/>
      <c r="AS44" s="7215" t="s">
        <v>10051</v>
      </c>
      <c r="AT44" s="7215"/>
      <c r="AV44" s="7215" t="s">
        <v>10105</v>
      </c>
      <c r="AW44" s="7215"/>
      <c r="AY44" s="7200" t="s">
        <v>10171</v>
      </c>
      <c r="AZ44" s="7200"/>
      <c r="BB44" s="7202" t="s">
        <v>10221</v>
      </c>
      <c r="BC44" s="7202"/>
      <c r="BE44" s="7204" t="s">
        <v>10280</v>
      </c>
      <c r="BF44" s="7204"/>
      <c r="BH44" s="7196" t="s">
        <v>10312</v>
      </c>
      <c r="BI44" s="7196"/>
      <c r="BK44" s="7181" t="s">
        <v>10359</v>
      </c>
      <c r="BL44" s="7181"/>
      <c r="BN44" s="7183" t="s">
        <v>10443</v>
      </c>
      <c r="BO44" s="7183"/>
      <c r="BQ44" s="7186" t="s">
        <v>10542</v>
      </c>
      <c r="BR44" s="7186"/>
      <c r="BT44" s="7188" t="s">
        <v>10585</v>
      </c>
      <c r="BU44" s="7188"/>
      <c r="BW44" s="7190" t="s">
        <v>10626</v>
      </c>
      <c r="BX44" s="7190"/>
      <c r="BY44"/>
      <c r="BZ44"/>
      <c r="CA44"/>
      <c r="CB44"/>
      <c r="CC44"/>
      <c r="CD44" s="7215" t="s">
        <v>10077</v>
      </c>
      <c r="CE44" s="7215"/>
      <c r="CG44" s="6935" t="s">
        <v>10139</v>
      </c>
      <c r="CH44" s="6935"/>
      <c r="CJ44" s="7200" t="s">
        <v>10195</v>
      </c>
      <c r="CK44" s="7200"/>
      <c r="CM44" s="7202" t="s">
        <v>10251</v>
      </c>
      <c r="CN44" s="7202"/>
      <c r="CP44" s="7259" t="s">
        <v>10296</v>
      </c>
      <c r="CQ44" s="7259"/>
      <c r="CS44" s="7196" t="s">
        <v>10336</v>
      </c>
      <c r="CT44" s="7196"/>
      <c r="CV44" s="7181" t="s">
        <v>10401</v>
      </c>
      <c r="CW44" s="7181"/>
      <c r="CY44" s="7183" t="s">
        <v>10494</v>
      </c>
      <c r="CZ44" s="7183"/>
      <c r="DB44" s="7186" t="s">
        <v>10563</v>
      </c>
      <c r="DC44" s="7186"/>
      <c r="DE44" s="7188" t="s">
        <v>10606</v>
      </c>
      <c r="DF44" s="7188"/>
      <c r="DH44" s="7190" t="s">
        <v>10641</v>
      </c>
      <c r="DI44" s="7190"/>
      <c r="DK44"/>
      <c r="DL44"/>
      <c r="DM44" s="5">
        <v>1</v>
      </c>
    </row>
    <row r="45" spans="1:117" s="1" customFormat="1" ht="18" customHeight="1">
      <c r="B45" s="7042"/>
      <c r="C45" s="7042"/>
      <c r="D45" s="2"/>
      <c r="E45" s="7042"/>
      <c r="F45" s="7042"/>
      <c r="G45" s="2"/>
      <c r="H45" s="7201"/>
      <c r="I45" s="7201"/>
      <c r="J45" s="2"/>
      <c r="K45" s="7203"/>
      <c r="L45" s="7203"/>
      <c r="M45" s="2"/>
      <c r="N45" s="7205"/>
      <c r="O45" s="7205"/>
      <c r="P45" s="2"/>
      <c r="Q45" s="7197"/>
      <c r="R45" s="7197"/>
      <c r="S45" s="2"/>
      <c r="T45" s="7182"/>
      <c r="U45" s="7182"/>
      <c r="V45" s="2"/>
      <c r="W45" s="7184"/>
      <c r="X45" s="7184"/>
      <c r="Y45" s="2"/>
      <c r="Z45" s="7187"/>
      <c r="AA45" s="7187"/>
      <c r="AB45" s="4"/>
      <c r="AC45" s="7189"/>
      <c r="AD45" s="7189"/>
      <c r="AE45" s="4"/>
      <c r="AF45" s="7191"/>
      <c r="AG45" s="7191"/>
      <c r="AH45" s="4"/>
      <c r="AI45" s="7253"/>
      <c r="AJ45" s="7253"/>
      <c r="AK45" s="2"/>
      <c r="AL45" s="7250"/>
      <c r="AM45" s="7250"/>
      <c r="AN45" s="2"/>
      <c r="AO45" s="2"/>
      <c r="AP45" s="2"/>
      <c r="AQ45" s="2"/>
      <c r="AS45" s="7042" t="s">
        <v>856</v>
      </c>
      <c r="AT45" s="7042"/>
      <c r="AV45" s="7042" t="s">
        <v>856</v>
      </c>
      <c r="AW45" s="7042"/>
      <c r="AY45" s="7201" t="s">
        <v>856</v>
      </c>
      <c r="AZ45" s="7201"/>
      <c r="BB45" s="7203" t="s">
        <v>856</v>
      </c>
      <c r="BC45" s="7203"/>
      <c r="BE45" s="7205" t="s">
        <v>856</v>
      </c>
      <c r="BF45" s="7205"/>
      <c r="BH45" s="7197" t="s">
        <v>856</v>
      </c>
      <c r="BI45" s="7197"/>
      <c r="BK45" s="7182" t="s">
        <v>856</v>
      </c>
      <c r="BL45" s="7182"/>
      <c r="BN45" s="7184" t="s">
        <v>856</v>
      </c>
      <c r="BO45" s="7184"/>
      <c r="BQ45" s="7187" t="s">
        <v>856</v>
      </c>
      <c r="BR45" s="7187"/>
      <c r="BT45" s="7189" t="s">
        <v>856</v>
      </c>
      <c r="BU45" s="7189"/>
      <c r="BW45" s="7191" t="s">
        <v>856</v>
      </c>
      <c r="BX45" s="7191"/>
      <c r="BY45"/>
      <c r="BZ45"/>
      <c r="CA45"/>
      <c r="CB45"/>
      <c r="CC45"/>
      <c r="CD45" s="7042" t="s">
        <v>856</v>
      </c>
      <c r="CE45" s="7042"/>
      <c r="CG45" s="6936" t="s">
        <v>856</v>
      </c>
      <c r="CH45" s="6936"/>
      <c r="CJ45" s="7201" t="s">
        <v>856</v>
      </c>
      <c r="CK45" s="7201"/>
      <c r="CM45" s="7203" t="s">
        <v>856</v>
      </c>
      <c r="CN45" s="7203"/>
      <c r="CP45" s="7260" t="s">
        <v>856</v>
      </c>
      <c r="CQ45" s="7260"/>
      <c r="CS45" s="7197" t="s">
        <v>856</v>
      </c>
      <c r="CT45" s="7197"/>
      <c r="CV45" s="7182" t="s">
        <v>856</v>
      </c>
      <c r="CW45" s="7182"/>
      <c r="CY45" s="7184" t="s">
        <v>856</v>
      </c>
      <c r="CZ45" s="7184"/>
      <c r="DB45" s="7187" t="s">
        <v>856</v>
      </c>
      <c r="DC45" s="7187"/>
      <c r="DE45" s="7189" t="s">
        <v>856</v>
      </c>
      <c r="DF45" s="7189"/>
      <c r="DH45" s="7191" t="s">
        <v>856</v>
      </c>
      <c r="DI45" s="7191"/>
      <c r="DK45"/>
      <c r="DL45"/>
      <c r="DM45" s="5">
        <v>1</v>
      </c>
    </row>
    <row r="46" spans="1:117" s="1" customFormat="1" ht="18" customHeight="1" thickBot="1">
      <c r="B46" s="2"/>
      <c r="C46" s="2"/>
      <c r="D46" s="2"/>
      <c r="E46" s="2"/>
      <c r="F46" s="2"/>
      <c r="G46" s="2"/>
      <c r="H46" s="2"/>
      <c r="I46" s="2"/>
      <c r="J46" s="2"/>
      <c r="K46" s="2"/>
      <c r="L46" s="2"/>
      <c r="M46" s="2"/>
      <c r="N46" s="2"/>
      <c r="O46" s="2"/>
      <c r="P46" s="2"/>
      <c r="Q46" s="5496"/>
      <c r="R46" s="5496"/>
      <c r="S46" s="2"/>
      <c r="T46" s="2"/>
      <c r="U46" s="2"/>
      <c r="V46" s="2"/>
      <c r="W46" s="2"/>
      <c r="X46" s="2"/>
      <c r="Y46" s="2"/>
      <c r="Z46" s="2"/>
      <c r="AA46" s="2"/>
      <c r="AB46" s="4"/>
      <c r="AC46" s="2"/>
      <c r="AD46" s="2"/>
      <c r="AE46" s="4"/>
      <c r="AF46" s="2"/>
      <c r="AG46" s="2"/>
      <c r="AH46" s="4"/>
      <c r="AI46" s="2"/>
      <c r="AJ46" s="2"/>
      <c r="AK46" s="2"/>
      <c r="AL46" s="2"/>
      <c r="AM46" s="2"/>
      <c r="AN46" s="2"/>
      <c r="AO46" s="2"/>
      <c r="AP46" s="2"/>
      <c r="AQ46" s="2"/>
      <c r="AS46" s="2" t="s">
        <v>856</v>
      </c>
      <c r="AT46" s="2"/>
      <c r="AV46" s="2" t="s">
        <v>856</v>
      </c>
      <c r="AW46" s="2"/>
      <c r="AY46" s="2" t="s">
        <v>856</v>
      </c>
      <c r="AZ46" s="2"/>
      <c r="BB46" s="2" t="s">
        <v>856</v>
      </c>
      <c r="BC46" s="2"/>
      <c r="BE46" s="2" t="s">
        <v>856</v>
      </c>
      <c r="BF46" s="2"/>
      <c r="BH46" s="5496" t="s">
        <v>856</v>
      </c>
      <c r="BI46" s="5496"/>
      <c r="BK46" s="2" t="s">
        <v>856</v>
      </c>
      <c r="BL46" s="2"/>
      <c r="BN46" s="2" t="s">
        <v>856</v>
      </c>
      <c r="BO46" s="2"/>
      <c r="BQ46" s="2" t="s">
        <v>856</v>
      </c>
      <c r="BR46" s="2"/>
      <c r="BT46" s="2" t="s">
        <v>856</v>
      </c>
      <c r="BU46" s="2"/>
      <c r="BW46" s="2" t="s">
        <v>856</v>
      </c>
      <c r="BX46" s="2"/>
      <c r="BY46"/>
      <c r="BZ46"/>
      <c r="CA46"/>
      <c r="CB46"/>
      <c r="CC46"/>
      <c r="CD46" s="2" t="s">
        <v>856</v>
      </c>
      <c r="CE46" s="2"/>
      <c r="CG46" s="2" t="s">
        <v>856</v>
      </c>
      <c r="CH46" s="2"/>
      <c r="CJ46" s="2" t="s">
        <v>856</v>
      </c>
      <c r="CK46" s="2"/>
      <c r="CM46" s="2" t="s">
        <v>856</v>
      </c>
      <c r="CN46" s="2"/>
      <c r="CP46" s="2" t="s">
        <v>856</v>
      </c>
      <c r="CQ46" s="2"/>
      <c r="CS46" s="5496" t="s">
        <v>856</v>
      </c>
      <c r="CT46" s="5496"/>
      <c r="CV46" s="2" t="s">
        <v>856</v>
      </c>
      <c r="CW46" s="2"/>
      <c r="CY46" s="2" t="s">
        <v>856</v>
      </c>
      <c r="CZ46" s="2"/>
      <c r="DB46" s="2" t="s">
        <v>856</v>
      </c>
      <c r="DC46" s="2"/>
      <c r="DE46" s="2" t="s">
        <v>856</v>
      </c>
      <c r="DF46" s="2"/>
      <c r="DH46" s="2" t="s">
        <v>856</v>
      </c>
      <c r="DI46" s="2"/>
      <c r="DK46"/>
      <c r="DL46"/>
      <c r="DM46" s="5">
        <v>1</v>
      </c>
    </row>
    <row r="47" spans="1:117" s="1" customFormat="1" ht="18" customHeight="1">
      <c r="B47" s="7251" t="s">
        <v>8126</v>
      </c>
      <c r="C47" s="7251"/>
      <c r="D47" s="2"/>
      <c r="E47" s="7215" t="s">
        <v>8127</v>
      </c>
      <c r="F47" s="7215"/>
      <c r="G47" s="2"/>
      <c r="H47" s="7200" t="s">
        <v>8128</v>
      </c>
      <c r="I47" s="7200"/>
      <c r="J47" s="2"/>
      <c r="K47" s="7202" t="s">
        <v>8129</v>
      </c>
      <c r="L47" s="7202"/>
      <c r="M47" s="2"/>
      <c r="N47" s="7204" t="s">
        <v>8130</v>
      </c>
      <c r="O47" s="7204"/>
      <c r="P47" s="2"/>
      <c r="Q47" s="7196" t="s">
        <v>8131</v>
      </c>
      <c r="R47" s="7196"/>
      <c r="S47" s="2"/>
      <c r="T47" s="7181" t="s">
        <v>8132</v>
      </c>
      <c r="U47" s="7181"/>
      <c r="V47" s="2"/>
      <c r="W47" s="7183" t="s">
        <v>8133</v>
      </c>
      <c r="X47" s="7183"/>
      <c r="Y47" s="2"/>
      <c r="Z47" s="7186" t="s">
        <v>8134</v>
      </c>
      <c r="AA47" s="7186"/>
      <c r="AB47" s="4"/>
      <c r="AC47" s="7188" t="s">
        <v>8135</v>
      </c>
      <c r="AD47" s="7188"/>
      <c r="AE47" s="4"/>
      <c r="AF47" s="7190" t="s">
        <v>8136</v>
      </c>
      <c r="AG47" s="7190"/>
      <c r="AH47" s="4"/>
      <c r="AI47" s="2"/>
      <c r="AJ47" s="2"/>
      <c r="AK47" s="2"/>
      <c r="AL47" s="2"/>
      <c r="AM47" s="2"/>
      <c r="AN47" s="2"/>
      <c r="AO47" s="2"/>
      <c r="AP47" s="2"/>
      <c r="AQ47" s="2"/>
      <c r="AS47" s="7251" t="s">
        <v>10052</v>
      </c>
      <c r="AT47" s="7251"/>
      <c r="AV47" s="7215" t="s">
        <v>10106</v>
      </c>
      <c r="AW47" s="7215"/>
      <c r="AY47" s="7200" t="s">
        <v>10172</v>
      </c>
      <c r="AZ47" s="7200"/>
      <c r="BB47" s="7202" t="s">
        <v>10222</v>
      </c>
      <c r="BC47" s="7202"/>
      <c r="BE47" s="7204" t="s">
        <v>10281</v>
      </c>
      <c r="BF47" s="7204"/>
      <c r="BH47" s="7196" t="s">
        <v>10313</v>
      </c>
      <c r="BI47" s="7196"/>
      <c r="BK47" s="7181" t="s">
        <v>10360</v>
      </c>
      <c r="BL47" s="7181"/>
      <c r="BN47" s="7183" t="s">
        <v>10444</v>
      </c>
      <c r="BO47" s="7183"/>
      <c r="BQ47" s="7186" t="s">
        <v>10543</v>
      </c>
      <c r="BR47" s="7186"/>
      <c r="BT47" s="7188" t="s">
        <v>10586</v>
      </c>
      <c r="BU47" s="7188"/>
      <c r="BW47" s="7190" t="s">
        <v>10627</v>
      </c>
      <c r="BX47" s="7190"/>
      <c r="BY47"/>
      <c r="BZ47"/>
      <c r="CA47"/>
      <c r="CB47"/>
      <c r="CC47"/>
      <c r="CD47" s="7251" t="s">
        <v>10078</v>
      </c>
      <c r="CE47" s="7251"/>
      <c r="CG47" s="7215" t="s">
        <v>10140</v>
      </c>
      <c r="CH47" s="7215"/>
      <c r="CJ47" s="7200" t="s">
        <v>10196</v>
      </c>
      <c r="CK47" s="7200"/>
      <c r="CM47" s="7202" t="s">
        <v>10252</v>
      </c>
      <c r="CN47" s="7202"/>
      <c r="CP47" s="7259" t="s">
        <v>10297</v>
      </c>
      <c r="CQ47" s="7259"/>
      <c r="CS47" s="7196" t="s">
        <v>10337</v>
      </c>
      <c r="CT47" s="7196"/>
      <c r="CV47" s="7181" t="s">
        <v>10402</v>
      </c>
      <c r="CW47" s="7181"/>
      <c r="CY47" s="7183" t="s">
        <v>10495</v>
      </c>
      <c r="CZ47" s="7183"/>
      <c r="DB47" s="7186" t="s">
        <v>10564</v>
      </c>
      <c r="DC47" s="7186"/>
      <c r="DE47" s="7188" t="s">
        <v>10607</v>
      </c>
      <c r="DF47" s="7188"/>
      <c r="DH47" s="7190" t="s">
        <v>10642</v>
      </c>
      <c r="DI47" s="7190"/>
      <c r="DK47"/>
      <c r="DL47"/>
      <c r="DM47" s="5">
        <v>1</v>
      </c>
    </row>
    <row r="48" spans="1:117" s="1" customFormat="1" ht="18" customHeight="1">
      <c r="B48" s="7252"/>
      <c r="C48" s="7252"/>
      <c r="D48" s="2"/>
      <c r="E48" s="7042"/>
      <c r="F48" s="7042"/>
      <c r="G48" s="2"/>
      <c r="H48" s="7201"/>
      <c r="I48" s="7201"/>
      <c r="J48" s="2"/>
      <c r="K48" s="7203"/>
      <c r="L48" s="7203"/>
      <c r="M48" s="2"/>
      <c r="N48" s="7205"/>
      <c r="O48" s="7205"/>
      <c r="P48" s="2"/>
      <c r="Q48" s="7197"/>
      <c r="R48" s="7197"/>
      <c r="S48" s="2"/>
      <c r="T48" s="7182"/>
      <c r="U48" s="7182"/>
      <c r="V48" s="2"/>
      <c r="W48" s="7184"/>
      <c r="X48" s="7184"/>
      <c r="Y48" s="2"/>
      <c r="Z48" s="7187"/>
      <c r="AA48" s="7187"/>
      <c r="AB48" s="4"/>
      <c r="AC48" s="7189"/>
      <c r="AD48" s="7189"/>
      <c r="AE48" s="4"/>
      <c r="AF48" s="7191"/>
      <c r="AG48" s="7191"/>
      <c r="AH48" s="4"/>
      <c r="AI48" s="2"/>
      <c r="AJ48" s="2"/>
      <c r="AK48" s="2"/>
      <c r="AL48" s="2"/>
      <c r="AM48" s="2"/>
      <c r="AN48" s="2"/>
      <c r="AO48" s="2"/>
      <c r="AP48" s="2"/>
      <c r="AQ48" s="2"/>
      <c r="AS48" s="7252" t="s">
        <v>856</v>
      </c>
      <c r="AT48" s="7252"/>
      <c r="AV48" s="7042" t="s">
        <v>856</v>
      </c>
      <c r="AW48" s="7042"/>
      <c r="AY48" s="7201" t="s">
        <v>856</v>
      </c>
      <c r="AZ48" s="7201"/>
      <c r="BB48" s="7203" t="s">
        <v>856</v>
      </c>
      <c r="BC48" s="7203"/>
      <c r="BE48" s="7205" t="s">
        <v>856</v>
      </c>
      <c r="BF48" s="7205"/>
      <c r="BH48" s="7197" t="s">
        <v>856</v>
      </c>
      <c r="BI48" s="7197"/>
      <c r="BK48" s="7182" t="s">
        <v>856</v>
      </c>
      <c r="BL48" s="7182"/>
      <c r="BN48" s="7184" t="s">
        <v>856</v>
      </c>
      <c r="BO48" s="7184"/>
      <c r="BQ48" s="7187" t="s">
        <v>856</v>
      </c>
      <c r="BR48" s="7187"/>
      <c r="BT48" s="7189" t="s">
        <v>856</v>
      </c>
      <c r="BU48" s="7189"/>
      <c r="BW48" s="7191" t="s">
        <v>856</v>
      </c>
      <c r="BX48" s="7191"/>
      <c r="BY48"/>
      <c r="BZ48"/>
      <c r="CA48"/>
      <c r="CB48"/>
      <c r="CC48"/>
      <c r="CD48" s="7252" t="s">
        <v>856</v>
      </c>
      <c r="CE48" s="7252"/>
      <c r="CG48" s="7042" t="s">
        <v>856</v>
      </c>
      <c r="CH48" s="7042"/>
      <c r="CJ48" s="7201" t="s">
        <v>856</v>
      </c>
      <c r="CK48" s="7201"/>
      <c r="CM48" s="7203" t="s">
        <v>856</v>
      </c>
      <c r="CN48" s="7203"/>
      <c r="CP48" s="7260" t="s">
        <v>856</v>
      </c>
      <c r="CQ48" s="7260"/>
      <c r="CS48" s="7197" t="s">
        <v>856</v>
      </c>
      <c r="CT48" s="7197"/>
      <c r="CV48" s="7182" t="s">
        <v>856</v>
      </c>
      <c r="CW48" s="7182"/>
      <c r="CY48" s="7184" t="s">
        <v>856</v>
      </c>
      <c r="CZ48" s="7184"/>
      <c r="DB48" s="7187" t="s">
        <v>856</v>
      </c>
      <c r="DC48" s="7187"/>
      <c r="DE48" s="7189" t="s">
        <v>856</v>
      </c>
      <c r="DF48" s="7189"/>
      <c r="DH48" s="7191" t="s">
        <v>856</v>
      </c>
      <c r="DI48" s="7191"/>
      <c r="DK48"/>
      <c r="DL48"/>
      <c r="DM48" s="5">
        <v>1</v>
      </c>
    </row>
    <row r="49" spans="1:117" s="1" customFormat="1" ht="18" customHeight="1" thickBot="1">
      <c r="B49" s="2"/>
      <c r="C49" s="2"/>
      <c r="D49" s="2"/>
      <c r="E49" s="2"/>
      <c r="F49" s="2"/>
      <c r="G49" s="2"/>
      <c r="H49" s="2"/>
      <c r="I49" s="2"/>
      <c r="J49" s="2"/>
      <c r="K49" s="2"/>
      <c r="L49" s="2"/>
      <c r="M49" s="2"/>
      <c r="N49" s="2"/>
      <c r="O49" s="2"/>
      <c r="P49" s="2"/>
      <c r="Q49" s="5496"/>
      <c r="R49" s="5496"/>
      <c r="S49" s="2"/>
      <c r="T49" s="2"/>
      <c r="U49" s="2"/>
      <c r="V49" s="2"/>
      <c r="W49" s="2"/>
      <c r="X49" s="2"/>
      <c r="Y49" s="2"/>
      <c r="Z49" s="2"/>
      <c r="AA49" s="2"/>
      <c r="AB49" s="4"/>
      <c r="AC49" s="2"/>
      <c r="AD49" s="2"/>
      <c r="AE49" s="4"/>
      <c r="AF49" s="2"/>
      <c r="AG49" s="2"/>
      <c r="AH49" s="4"/>
      <c r="AI49" s="2"/>
      <c r="AJ49" s="2"/>
      <c r="AK49" s="2"/>
      <c r="AL49" s="2"/>
      <c r="AM49" s="2"/>
      <c r="AN49" s="2"/>
      <c r="AO49" s="2"/>
      <c r="AP49" s="2"/>
      <c r="AQ49" s="2"/>
      <c r="AS49" s="2" t="s">
        <v>856</v>
      </c>
      <c r="AT49" s="2"/>
      <c r="AV49" s="2" t="s">
        <v>856</v>
      </c>
      <c r="AW49" s="2"/>
      <c r="AY49" s="2" t="s">
        <v>856</v>
      </c>
      <c r="AZ49" s="2"/>
      <c r="BB49" s="2" t="s">
        <v>856</v>
      </c>
      <c r="BC49" s="2"/>
      <c r="BE49" s="2" t="s">
        <v>856</v>
      </c>
      <c r="BF49" s="2"/>
      <c r="BH49" s="5496" t="s">
        <v>856</v>
      </c>
      <c r="BI49" s="5496"/>
      <c r="BK49" s="2" t="s">
        <v>856</v>
      </c>
      <c r="BL49" s="2"/>
      <c r="BN49" s="2" t="s">
        <v>856</v>
      </c>
      <c r="BO49" s="2"/>
      <c r="BQ49" s="2" t="s">
        <v>856</v>
      </c>
      <c r="BR49" s="2"/>
      <c r="BT49" s="2" t="s">
        <v>856</v>
      </c>
      <c r="BU49" s="2"/>
      <c r="BW49" s="2" t="s">
        <v>856</v>
      </c>
      <c r="BX49" s="2"/>
      <c r="BY49"/>
      <c r="BZ49"/>
      <c r="CA49"/>
      <c r="CB49"/>
      <c r="CC49"/>
      <c r="CD49" s="2" t="s">
        <v>856</v>
      </c>
      <c r="CE49" s="2"/>
      <c r="CG49" s="2" t="s">
        <v>856</v>
      </c>
      <c r="CH49" s="2"/>
      <c r="CJ49" s="2" t="s">
        <v>856</v>
      </c>
      <c r="CK49" s="2"/>
      <c r="CM49" s="2" t="s">
        <v>856</v>
      </c>
      <c r="CN49" s="2"/>
      <c r="CP49" s="2" t="s">
        <v>856</v>
      </c>
      <c r="CQ49" s="2"/>
      <c r="CS49" s="5496" t="s">
        <v>856</v>
      </c>
      <c r="CT49" s="5496"/>
      <c r="CV49" s="2" t="s">
        <v>856</v>
      </c>
      <c r="CW49" s="2"/>
      <c r="CY49" s="2" t="s">
        <v>856</v>
      </c>
      <c r="CZ49" s="2"/>
      <c r="DB49" s="2" t="s">
        <v>856</v>
      </c>
      <c r="DC49" s="2"/>
      <c r="DE49" s="2" t="s">
        <v>856</v>
      </c>
      <c r="DF49" s="2"/>
      <c r="DH49" s="2" t="s">
        <v>856</v>
      </c>
      <c r="DI49" s="2"/>
      <c r="DK49"/>
      <c r="DL49"/>
      <c r="DM49" s="5">
        <v>1</v>
      </c>
    </row>
    <row r="50" spans="1:117" s="1" customFormat="1" ht="18" customHeight="1">
      <c r="B50" s="7256" t="s">
        <v>8137</v>
      </c>
      <c r="C50" s="7256"/>
      <c r="D50" s="2"/>
      <c r="E50" s="6935" t="s">
        <v>8138</v>
      </c>
      <c r="F50" s="6935"/>
      <c r="G50" s="2"/>
      <c r="H50" s="7200" t="s">
        <v>8139</v>
      </c>
      <c r="I50" s="7200"/>
      <c r="J50" s="2"/>
      <c r="K50" s="7202" t="s">
        <v>8140</v>
      </c>
      <c r="L50" s="7202"/>
      <c r="M50" s="2"/>
      <c r="N50" s="7204" t="s">
        <v>8141</v>
      </c>
      <c r="O50" s="7204"/>
      <c r="P50" s="2"/>
      <c r="Q50" s="7196" t="s">
        <v>8142</v>
      </c>
      <c r="R50" s="7196"/>
      <c r="S50" s="2"/>
      <c r="T50" s="7181" t="s">
        <v>8143</v>
      </c>
      <c r="U50" s="7181"/>
      <c r="V50" s="2"/>
      <c r="W50" s="7183" t="s">
        <v>8144</v>
      </c>
      <c r="X50" s="7183"/>
      <c r="Y50" s="2"/>
      <c r="Z50" s="7186" t="s">
        <v>8145</v>
      </c>
      <c r="AA50" s="7186"/>
      <c r="AB50" s="4"/>
      <c r="AC50" s="7188" t="s">
        <v>8146</v>
      </c>
      <c r="AD50" s="7188"/>
      <c r="AE50" s="4"/>
      <c r="AF50" s="7190" t="s">
        <v>8147</v>
      </c>
      <c r="AG50" s="7190"/>
      <c r="AH50" s="4"/>
      <c r="AI50" s="2"/>
      <c r="AJ50" s="2"/>
      <c r="AK50" s="2"/>
      <c r="AL50" s="2"/>
      <c r="AM50" s="2"/>
      <c r="AN50" s="2"/>
      <c r="AO50" s="2"/>
      <c r="AP50" s="2"/>
      <c r="AQ50" s="2"/>
      <c r="AS50" s="7256" t="s">
        <v>10053</v>
      </c>
      <c r="AT50" s="7256"/>
      <c r="AV50" s="6935" t="s">
        <v>10107</v>
      </c>
      <c r="AW50" s="6935"/>
      <c r="AY50" s="7200" t="s">
        <v>10173</v>
      </c>
      <c r="AZ50" s="7200"/>
      <c r="BB50" s="7202" t="s">
        <v>10223</v>
      </c>
      <c r="BC50" s="7202"/>
      <c r="BE50" s="7204" t="s">
        <v>10282</v>
      </c>
      <c r="BF50" s="7204"/>
      <c r="BH50" s="7196" t="s">
        <v>10314</v>
      </c>
      <c r="BI50" s="7196"/>
      <c r="BK50" s="7181" t="s">
        <v>10361</v>
      </c>
      <c r="BL50" s="7181"/>
      <c r="BN50" s="7183" t="s">
        <v>10445</v>
      </c>
      <c r="BO50" s="7183"/>
      <c r="BQ50" s="7186" t="s">
        <v>10544</v>
      </c>
      <c r="BR50" s="7186"/>
      <c r="BT50" s="7188" t="s">
        <v>10587</v>
      </c>
      <c r="BU50" s="7188"/>
      <c r="BW50" s="7190" t="s">
        <v>10628</v>
      </c>
      <c r="BX50" s="7190"/>
      <c r="BY50"/>
      <c r="BZ50"/>
      <c r="CA50"/>
      <c r="CB50"/>
      <c r="CC50"/>
      <c r="CD50" s="7256" t="s">
        <v>10079</v>
      </c>
      <c r="CE50" s="7256"/>
      <c r="CG50" s="6935" t="s">
        <v>10141</v>
      </c>
      <c r="CH50" s="6935"/>
      <c r="CJ50" s="7200" t="s">
        <v>10197</v>
      </c>
      <c r="CK50" s="7200"/>
      <c r="CM50" s="7202" t="s">
        <v>10253</v>
      </c>
      <c r="CN50" s="7202"/>
      <c r="CP50" s="7259" t="s">
        <v>10298</v>
      </c>
      <c r="CQ50" s="7259"/>
      <c r="CS50" s="7196" t="s">
        <v>10338</v>
      </c>
      <c r="CT50" s="7196"/>
      <c r="CV50" s="7181" t="s">
        <v>10403</v>
      </c>
      <c r="CW50" s="7181"/>
      <c r="CY50" s="7183" t="s">
        <v>10496</v>
      </c>
      <c r="CZ50" s="7183"/>
      <c r="DB50" s="7186" t="s">
        <v>10565</v>
      </c>
      <c r="DC50" s="7186"/>
      <c r="DE50" s="7188" t="s">
        <v>10608</v>
      </c>
      <c r="DF50" s="7188"/>
      <c r="DH50" s="7190" t="s">
        <v>10643</v>
      </c>
      <c r="DI50" s="7190"/>
      <c r="DK50"/>
      <c r="DL50"/>
      <c r="DM50" s="5">
        <v>1</v>
      </c>
    </row>
    <row r="51" spans="1:117" s="1" customFormat="1" ht="18" customHeight="1">
      <c r="B51" s="7257"/>
      <c r="C51" s="7257"/>
      <c r="D51" s="2"/>
      <c r="E51" s="6936"/>
      <c r="F51" s="6936"/>
      <c r="G51" s="2"/>
      <c r="H51" s="7201"/>
      <c r="I51" s="7201"/>
      <c r="J51" s="2"/>
      <c r="K51" s="7203"/>
      <c r="L51" s="7203"/>
      <c r="M51" s="2"/>
      <c r="N51" s="7205"/>
      <c r="O51" s="7205"/>
      <c r="P51" s="2"/>
      <c r="Q51" s="7197"/>
      <c r="R51" s="7197"/>
      <c r="S51" s="2"/>
      <c r="T51" s="7182"/>
      <c r="U51" s="7182"/>
      <c r="V51" s="2"/>
      <c r="W51" s="7184"/>
      <c r="X51" s="7184"/>
      <c r="Y51" s="2"/>
      <c r="Z51" s="7187"/>
      <c r="AA51" s="7187"/>
      <c r="AB51" s="4"/>
      <c r="AC51" s="7189"/>
      <c r="AD51" s="7189"/>
      <c r="AE51" s="4"/>
      <c r="AF51" s="7191"/>
      <c r="AG51" s="7191"/>
      <c r="AH51" s="4"/>
      <c r="AI51" s="2"/>
      <c r="AJ51" s="2"/>
      <c r="AK51" s="2"/>
      <c r="AL51" s="2"/>
      <c r="AM51" s="2"/>
      <c r="AN51" s="2"/>
      <c r="AO51" s="2"/>
      <c r="AP51" s="2"/>
      <c r="AQ51" s="2"/>
      <c r="AS51" s="7257" t="s">
        <v>856</v>
      </c>
      <c r="AT51" s="7257"/>
      <c r="AV51" s="6936" t="s">
        <v>856</v>
      </c>
      <c r="AW51" s="6936"/>
      <c r="AY51" s="7201" t="s">
        <v>856</v>
      </c>
      <c r="AZ51" s="7201"/>
      <c r="BB51" s="7203" t="s">
        <v>856</v>
      </c>
      <c r="BC51" s="7203"/>
      <c r="BE51" s="7205" t="s">
        <v>856</v>
      </c>
      <c r="BF51" s="7205"/>
      <c r="BH51" s="7197" t="s">
        <v>856</v>
      </c>
      <c r="BI51" s="7197"/>
      <c r="BK51" s="7182" t="s">
        <v>856</v>
      </c>
      <c r="BL51" s="7182"/>
      <c r="BN51" s="7184" t="s">
        <v>856</v>
      </c>
      <c r="BO51" s="7184"/>
      <c r="BQ51" s="7187" t="s">
        <v>856</v>
      </c>
      <c r="BR51" s="7187"/>
      <c r="BT51" s="7189" t="s">
        <v>856</v>
      </c>
      <c r="BU51" s="7189"/>
      <c r="BW51" s="7191" t="s">
        <v>856</v>
      </c>
      <c r="BX51" s="7191"/>
      <c r="BY51"/>
      <c r="BZ51"/>
      <c r="CA51"/>
      <c r="CB51"/>
      <c r="CC51"/>
      <c r="CD51" s="7257" t="s">
        <v>856</v>
      </c>
      <c r="CE51" s="7257"/>
      <c r="CG51" s="6936" t="s">
        <v>856</v>
      </c>
      <c r="CH51" s="6936"/>
      <c r="CJ51" s="7201" t="s">
        <v>856</v>
      </c>
      <c r="CK51" s="7201"/>
      <c r="CM51" s="7203" t="s">
        <v>856</v>
      </c>
      <c r="CN51" s="7203"/>
      <c r="CP51" s="7260" t="s">
        <v>856</v>
      </c>
      <c r="CQ51" s="7260"/>
      <c r="CS51" s="7197" t="s">
        <v>856</v>
      </c>
      <c r="CT51" s="7197"/>
      <c r="CV51" s="7182" t="s">
        <v>856</v>
      </c>
      <c r="CW51" s="7182"/>
      <c r="CY51" s="7184" t="s">
        <v>856</v>
      </c>
      <c r="CZ51" s="7184"/>
      <c r="DB51" s="7187" t="s">
        <v>856</v>
      </c>
      <c r="DC51" s="7187"/>
      <c r="DE51" s="7189" t="s">
        <v>856</v>
      </c>
      <c r="DF51" s="7189"/>
      <c r="DH51" s="7191" t="s">
        <v>856</v>
      </c>
      <c r="DI51" s="7191"/>
      <c r="DK51"/>
      <c r="DL51"/>
      <c r="DM51" s="5">
        <v>1</v>
      </c>
    </row>
    <row r="52" spans="1:117" s="1" customFormat="1" ht="18" customHeight="1" thickBot="1">
      <c r="B52" s="2"/>
      <c r="C52" s="2"/>
      <c r="D52" s="2"/>
      <c r="E52" s="2"/>
      <c r="F52" s="2"/>
      <c r="G52" s="2"/>
      <c r="H52" s="2"/>
      <c r="I52" s="2"/>
      <c r="J52" s="2"/>
      <c r="K52" s="2"/>
      <c r="L52" s="2"/>
      <c r="M52" s="2"/>
      <c r="N52" s="2"/>
      <c r="O52" s="2"/>
      <c r="P52" s="2"/>
      <c r="Q52" s="5496"/>
      <c r="R52" s="5496"/>
      <c r="S52" s="2"/>
      <c r="T52" s="2"/>
      <c r="U52" s="2"/>
      <c r="V52" s="2"/>
      <c r="W52" s="2"/>
      <c r="X52" s="2"/>
      <c r="Y52" s="2"/>
      <c r="Z52" s="2"/>
      <c r="AA52" s="2"/>
      <c r="AB52" s="4"/>
      <c r="AC52" s="2"/>
      <c r="AD52" s="2"/>
      <c r="AE52" s="4"/>
      <c r="AF52" s="2"/>
      <c r="AG52" s="2"/>
      <c r="AH52" s="4"/>
      <c r="AI52" s="2"/>
      <c r="AJ52" s="2"/>
      <c r="AK52" s="2"/>
      <c r="AL52" s="2"/>
      <c r="AM52" s="2"/>
      <c r="AN52" s="2"/>
      <c r="AO52" s="2"/>
      <c r="AP52" s="2"/>
      <c r="AQ52" s="2"/>
      <c r="AS52" s="2" t="s">
        <v>856</v>
      </c>
      <c r="AT52" s="2"/>
      <c r="AV52" s="2" t="s">
        <v>856</v>
      </c>
      <c r="AW52" s="2"/>
      <c r="AY52" s="2" t="s">
        <v>856</v>
      </c>
      <c r="AZ52" s="2"/>
      <c r="BB52" s="2" t="s">
        <v>856</v>
      </c>
      <c r="BC52" s="2"/>
      <c r="BE52" s="2" t="s">
        <v>856</v>
      </c>
      <c r="BF52" s="2"/>
      <c r="BH52" s="5496" t="s">
        <v>856</v>
      </c>
      <c r="BI52" s="5496"/>
      <c r="BK52" s="2" t="s">
        <v>856</v>
      </c>
      <c r="BL52" s="2"/>
      <c r="BN52" s="2" t="s">
        <v>856</v>
      </c>
      <c r="BO52" s="2"/>
      <c r="BQ52" s="2" t="s">
        <v>856</v>
      </c>
      <c r="BR52" s="2"/>
      <c r="BT52" s="2" t="s">
        <v>856</v>
      </c>
      <c r="BU52" s="2"/>
      <c r="BW52" s="2" t="s">
        <v>856</v>
      </c>
      <c r="BX52" s="2"/>
      <c r="BY52"/>
      <c r="BZ52"/>
      <c r="CA52"/>
      <c r="CB52"/>
      <c r="CC52"/>
      <c r="CD52" s="2" t="s">
        <v>856</v>
      </c>
      <c r="CE52" s="2"/>
      <c r="CG52" s="2" t="s">
        <v>856</v>
      </c>
      <c r="CH52" s="2"/>
      <c r="CJ52" s="2" t="s">
        <v>856</v>
      </c>
      <c r="CK52" s="2"/>
      <c r="CM52" s="2" t="s">
        <v>856</v>
      </c>
      <c r="CN52" s="2"/>
      <c r="CP52" s="2" t="s">
        <v>856</v>
      </c>
      <c r="CQ52" s="2"/>
      <c r="CS52" s="5496" t="s">
        <v>856</v>
      </c>
      <c r="CT52" s="5496"/>
      <c r="CV52" s="2" t="s">
        <v>856</v>
      </c>
      <c r="CW52" s="2"/>
      <c r="CY52" s="2" t="s">
        <v>856</v>
      </c>
      <c r="CZ52" s="2"/>
      <c r="DB52" s="2" t="s">
        <v>856</v>
      </c>
      <c r="DC52" s="2"/>
      <c r="DE52" s="2" t="s">
        <v>856</v>
      </c>
      <c r="DF52" s="2"/>
      <c r="DH52" s="2" t="s">
        <v>856</v>
      </c>
      <c r="DI52" s="2"/>
      <c r="DK52"/>
      <c r="DL52"/>
      <c r="DM52" s="5">
        <v>1</v>
      </c>
    </row>
    <row r="53" spans="1:117" s="1" customFormat="1" ht="18" customHeight="1">
      <c r="B53" s="7254" t="s">
        <v>8148</v>
      </c>
      <c r="C53" s="7254"/>
      <c r="D53" s="2"/>
      <c r="E53" s="7215" t="s">
        <v>8149</v>
      </c>
      <c r="F53" s="7215"/>
      <c r="G53" s="2"/>
      <c r="H53" s="7200" t="s">
        <v>8150</v>
      </c>
      <c r="I53" s="7200"/>
      <c r="J53" s="2"/>
      <c r="K53" s="7202" t="s">
        <v>8151</v>
      </c>
      <c r="L53" s="7202"/>
      <c r="M53" s="2"/>
      <c r="N53" s="7204" t="s">
        <v>8152</v>
      </c>
      <c r="O53" s="7204"/>
      <c r="P53" s="2"/>
      <c r="Q53" s="7196" t="s">
        <v>8153</v>
      </c>
      <c r="R53" s="7196"/>
      <c r="S53" s="2"/>
      <c r="T53" s="7181" t="s">
        <v>8154</v>
      </c>
      <c r="U53" s="7181"/>
      <c r="V53" s="2"/>
      <c r="W53" s="7183" t="s">
        <v>8155</v>
      </c>
      <c r="X53" s="7183"/>
      <c r="Y53" s="2"/>
      <c r="Z53" s="7186" t="s">
        <v>8156</v>
      </c>
      <c r="AA53" s="7186"/>
      <c r="AB53" s="4"/>
      <c r="AC53" s="7188" t="s">
        <v>8157</v>
      </c>
      <c r="AD53" s="7188"/>
      <c r="AE53" s="4"/>
      <c r="AF53" s="7190" t="s">
        <v>8158</v>
      </c>
      <c r="AG53" s="7190"/>
      <c r="AH53" s="4"/>
      <c r="AI53" s="2"/>
      <c r="AJ53" s="2"/>
      <c r="AK53" s="2"/>
      <c r="AL53" s="2"/>
      <c r="AM53" s="2"/>
      <c r="AN53" s="2"/>
      <c r="AO53" s="2"/>
      <c r="AP53" s="2"/>
      <c r="AQ53" s="2"/>
      <c r="AS53" s="7254" t="s">
        <v>10054</v>
      </c>
      <c r="AT53" s="7254"/>
      <c r="AV53" s="7215" t="s">
        <v>10108</v>
      </c>
      <c r="AW53" s="7215"/>
      <c r="AY53" s="7200" t="s">
        <v>10174</v>
      </c>
      <c r="AZ53" s="7200"/>
      <c r="BB53" s="7202" t="s">
        <v>10224</v>
      </c>
      <c r="BC53" s="7202"/>
      <c r="BE53" s="7204" t="s">
        <v>10283</v>
      </c>
      <c r="BF53" s="7204"/>
      <c r="BH53" s="7196" t="s">
        <v>10315</v>
      </c>
      <c r="BI53" s="7196"/>
      <c r="BK53" s="7181" t="s">
        <v>10362</v>
      </c>
      <c r="BL53" s="7181"/>
      <c r="BN53" s="7183" t="s">
        <v>10446</v>
      </c>
      <c r="BO53" s="7183"/>
      <c r="BQ53" s="7186" t="s">
        <v>10545</v>
      </c>
      <c r="BR53" s="7186"/>
      <c r="BT53" s="7188" t="s">
        <v>10588</v>
      </c>
      <c r="BU53" s="7188"/>
      <c r="BW53" s="7190" t="s">
        <v>10629</v>
      </c>
      <c r="BX53" s="7190"/>
      <c r="BY53"/>
      <c r="BZ53"/>
      <c r="CA53"/>
      <c r="CB53"/>
      <c r="CC53"/>
      <c r="CD53" s="7254" t="s">
        <v>10080</v>
      </c>
      <c r="CE53" s="7254"/>
      <c r="CG53" s="6935" t="s">
        <v>10142</v>
      </c>
      <c r="CH53" s="6935"/>
      <c r="CJ53" s="7200" t="s">
        <v>10198</v>
      </c>
      <c r="CK53" s="7200"/>
      <c r="CM53" s="7202" t="s">
        <v>10254</v>
      </c>
      <c r="CN53" s="7202"/>
      <c r="CP53" s="7204" t="s">
        <v>10299</v>
      </c>
      <c r="CQ53" s="7204"/>
      <c r="CS53" s="7196" t="s">
        <v>10339</v>
      </c>
      <c r="CT53" s="7196"/>
      <c r="CV53" s="7181" t="s">
        <v>10404</v>
      </c>
      <c r="CW53" s="7181"/>
      <c r="CY53" s="7183" t="s">
        <v>10497</v>
      </c>
      <c r="CZ53" s="7183"/>
      <c r="DB53" s="7186" t="s">
        <v>10566</v>
      </c>
      <c r="DC53" s="7186"/>
      <c r="DE53" s="7188" t="s">
        <v>10609</v>
      </c>
      <c r="DF53" s="7188"/>
      <c r="DH53" s="7190" t="s">
        <v>10644</v>
      </c>
      <c r="DI53" s="7190"/>
      <c r="DK53"/>
      <c r="DL53"/>
      <c r="DM53" s="5">
        <v>1</v>
      </c>
    </row>
    <row r="54" spans="1:117" s="1" customFormat="1" ht="18" customHeight="1">
      <c r="A54"/>
      <c r="B54" s="7255"/>
      <c r="C54" s="7255"/>
      <c r="D54" s="2"/>
      <c r="E54" s="7042"/>
      <c r="F54" s="7042"/>
      <c r="G54" s="2"/>
      <c r="H54" s="7201"/>
      <c r="I54" s="7201"/>
      <c r="J54" s="2"/>
      <c r="K54" s="7203"/>
      <c r="L54" s="7203"/>
      <c r="M54" s="2"/>
      <c r="N54" s="7205"/>
      <c r="O54" s="7205"/>
      <c r="P54" s="2"/>
      <c r="Q54" s="7197"/>
      <c r="R54" s="7197"/>
      <c r="S54" s="2"/>
      <c r="T54" s="7182"/>
      <c r="U54" s="7182"/>
      <c r="V54" s="2"/>
      <c r="W54" s="7184"/>
      <c r="X54" s="7184"/>
      <c r="Y54" s="2"/>
      <c r="Z54" s="7187"/>
      <c r="AA54" s="7187"/>
      <c r="AB54" s="4"/>
      <c r="AC54" s="7189"/>
      <c r="AD54" s="7189"/>
      <c r="AE54" s="4"/>
      <c r="AF54" s="7191"/>
      <c r="AG54" s="7191"/>
      <c r="AH54" s="4"/>
      <c r="AI54" s="2"/>
      <c r="AJ54" s="2"/>
      <c r="AK54" s="2"/>
      <c r="AL54" s="2"/>
      <c r="AM54" s="2"/>
      <c r="AN54" s="2"/>
      <c r="AO54" s="2"/>
      <c r="AP54" s="2"/>
      <c r="AQ54" s="2"/>
      <c r="AS54" s="7255" t="s">
        <v>856</v>
      </c>
      <c r="AT54" s="7255"/>
      <c r="AV54" s="7042" t="s">
        <v>856</v>
      </c>
      <c r="AW54" s="7042"/>
      <c r="AY54" s="7201" t="s">
        <v>856</v>
      </c>
      <c r="AZ54" s="7201"/>
      <c r="BB54" s="7203" t="s">
        <v>856</v>
      </c>
      <c r="BC54" s="7203"/>
      <c r="BE54" s="7205" t="s">
        <v>856</v>
      </c>
      <c r="BF54" s="7205"/>
      <c r="BH54" s="7197" t="s">
        <v>856</v>
      </c>
      <c r="BI54" s="7197"/>
      <c r="BK54" s="7182" t="s">
        <v>856</v>
      </c>
      <c r="BL54" s="7182"/>
      <c r="BN54" s="7184" t="s">
        <v>856</v>
      </c>
      <c r="BO54" s="7184"/>
      <c r="BQ54" s="7187" t="s">
        <v>856</v>
      </c>
      <c r="BR54" s="7187"/>
      <c r="BT54" s="7189" t="s">
        <v>856</v>
      </c>
      <c r="BU54" s="7189"/>
      <c r="BW54" s="7191" t="s">
        <v>856</v>
      </c>
      <c r="BX54" s="7191"/>
      <c r="BY54"/>
      <c r="BZ54"/>
      <c r="CA54"/>
      <c r="CB54"/>
      <c r="CC54"/>
      <c r="CD54" s="7255" t="s">
        <v>856</v>
      </c>
      <c r="CE54" s="7255"/>
      <c r="CG54" s="6936" t="s">
        <v>856</v>
      </c>
      <c r="CH54" s="6936"/>
      <c r="CJ54" s="7201" t="s">
        <v>856</v>
      </c>
      <c r="CK54" s="7201"/>
      <c r="CM54" s="7203" t="s">
        <v>856</v>
      </c>
      <c r="CN54" s="7203"/>
      <c r="CP54" s="7205" t="s">
        <v>856</v>
      </c>
      <c r="CQ54" s="7205"/>
      <c r="CS54" s="7197" t="s">
        <v>856</v>
      </c>
      <c r="CT54" s="7197"/>
      <c r="CV54" s="7182" t="s">
        <v>856</v>
      </c>
      <c r="CW54" s="7182"/>
      <c r="CY54" s="7184" t="s">
        <v>856</v>
      </c>
      <c r="CZ54" s="7184"/>
      <c r="DB54" s="7187" t="s">
        <v>856</v>
      </c>
      <c r="DC54" s="7187"/>
      <c r="DE54" s="7189" t="s">
        <v>856</v>
      </c>
      <c r="DF54" s="7189"/>
      <c r="DH54" s="7191" t="s">
        <v>856</v>
      </c>
      <c r="DI54" s="7191"/>
      <c r="DK54"/>
      <c r="DL54"/>
      <c r="DM54" s="5">
        <v>1</v>
      </c>
    </row>
    <row r="55" spans="1:117" s="1" customFormat="1" ht="18" customHeight="1" thickBot="1">
      <c r="A55"/>
      <c r="B55" s="2"/>
      <c r="C55" s="2"/>
      <c r="D55" s="2"/>
      <c r="E55" s="2"/>
      <c r="F55" s="2"/>
      <c r="G55" s="2"/>
      <c r="H55" s="2"/>
      <c r="I55" s="2"/>
      <c r="J55" s="2"/>
      <c r="K55" s="2"/>
      <c r="L55" s="2"/>
      <c r="M55" s="2"/>
      <c r="N55" s="2"/>
      <c r="O55" s="2"/>
      <c r="P55" s="2"/>
      <c r="Q55" s="5496"/>
      <c r="R55" s="5496"/>
      <c r="S55" s="2"/>
      <c r="T55" s="2"/>
      <c r="U55" s="2"/>
      <c r="V55" s="2"/>
      <c r="W55" s="2"/>
      <c r="X55" s="2"/>
      <c r="Y55" s="2"/>
      <c r="Z55" s="2"/>
      <c r="AA55" s="2"/>
      <c r="AB55" s="4"/>
      <c r="AC55" s="2"/>
      <c r="AD55" s="2"/>
      <c r="AE55" s="4"/>
      <c r="AF55" s="2"/>
      <c r="AG55" s="2"/>
      <c r="AH55" s="4"/>
      <c r="AI55" s="2"/>
      <c r="AJ55" s="2"/>
      <c r="AK55" s="2"/>
      <c r="AL55" s="2"/>
      <c r="AM55" s="2"/>
      <c r="AN55" s="2"/>
      <c r="AO55" s="2"/>
      <c r="AP55" s="2"/>
      <c r="AQ55" s="2"/>
      <c r="AS55" s="2" t="s">
        <v>856</v>
      </c>
      <c r="AT55" s="2"/>
      <c r="AV55" s="2" t="s">
        <v>856</v>
      </c>
      <c r="AW55" s="2"/>
      <c r="AY55" s="2" t="s">
        <v>856</v>
      </c>
      <c r="AZ55" s="2"/>
      <c r="BB55" s="2" t="s">
        <v>856</v>
      </c>
      <c r="BC55" s="2"/>
      <c r="BE55" s="2" t="s">
        <v>856</v>
      </c>
      <c r="BF55" s="2"/>
      <c r="BH55" s="5496" t="s">
        <v>856</v>
      </c>
      <c r="BI55" s="5496"/>
      <c r="BK55" s="2" t="s">
        <v>856</v>
      </c>
      <c r="BL55" s="2"/>
      <c r="BN55" s="2" t="s">
        <v>856</v>
      </c>
      <c r="BO55" s="2"/>
      <c r="BQ55" s="2" t="s">
        <v>856</v>
      </c>
      <c r="BR55" s="2"/>
      <c r="BT55" s="2" t="s">
        <v>856</v>
      </c>
      <c r="BU55" s="2"/>
      <c r="BW55" s="2" t="s">
        <v>856</v>
      </c>
      <c r="BX55" s="2"/>
      <c r="BY55"/>
      <c r="BZ55"/>
      <c r="CA55"/>
      <c r="CB55"/>
      <c r="CC55"/>
      <c r="CD55" s="2" t="s">
        <v>856</v>
      </c>
      <c r="CE55" s="2"/>
      <c r="CG55" s="2" t="s">
        <v>856</v>
      </c>
      <c r="CH55" s="2"/>
      <c r="CJ55" s="2" t="s">
        <v>856</v>
      </c>
      <c r="CK55" s="2"/>
      <c r="CM55" s="2" t="s">
        <v>856</v>
      </c>
      <c r="CN55" s="2"/>
      <c r="CP55" s="2" t="s">
        <v>856</v>
      </c>
      <c r="CQ55" s="2"/>
      <c r="CS55" s="5496" t="s">
        <v>856</v>
      </c>
      <c r="CT55" s="5496"/>
      <c r="CV55" s="2" t="s">
        <v>856</v>
      </c>
      <c r="CW55" s="2"/>
      <c r="CY55" s="2" t="s">
        <v>856</v>
      </c>
      <c r="CZ55" s="2"/>
      <c r="DB55" s="2" t="s">
        <v>856</v>
      </c>
      <c r="DC55" s="2"/>
      <c r="DE55" s="2" t="s">
        <v>856</v>
      </c>
      <c r="DF55" s="2"/>
      <c r="DH55" s="2" t="s">
        <v>856</v>
      </c>
      <c r="DI55" s="2"/>
      <c r="DK55"/>
      <c r="DL55"/>
      <c r="DM55" s="5">
        <v>1</v>
      </c>
    </row>
    <row r="56" spans="1:117" s="1" customFormat="1" ht="18" customHeight="1">
      <c r="A56"/>
      <c r="B56" s="7258" t="s">
        <v>8159</v>
      </c>
      <c r="C56" s="7258"/>
      <c r="D56" s="2"/>
      <c r="E56" s="6935" t="s">
        <v>8160</v>
      </c>
      <c r="F56" s="6935"/>
      <c r="G56" s="2"/>
      <c r="H56" s="7200" t="s">
        <v>8161</v>
      </c>
      <c r="I56" s="7200"/>
      <c r="J56" s="2"/>
      <c r="K56" s="7202" t="s">
        <v>8162</v>
      </c>
      <c r="L56" s="7202"/>
      <c r="M56" s="2"/>
      <c r="N56" s="7259" t="s">
        <v>8163</v>
      </c>
      <c r="O56" s="7259"/>
      <c r="P56" s="2"/>
      <c r="Q56" s="7196" t="s">
        <v>8164</v>
      </c>
      <c r="R56" s="7196"/>
      <c r="S56" s="2"/>
      <c r="T56" s="7181" t="s">
        <v>8165</v>
      </c>
      <c r="U56" s="7181"/>
      <c r="V56" s="2"/>
      <c r="W56" s="7183" t="s">
        <v>8166</v>
      </c>
      <c r="X56" s="7183"/>
      <c r="Y56" s="2"/>
      <c r="Z56" s="7186" t="s">
        <v>8167</v>
      </c>
      <c r="AA56" s="7186"/>
      <c r="AB56" s="4"/>
      <c r="AC56" s="7188" t="s">
        <v>8168</v>
      </c>
      <c r="AD56" s="7188"/>
      <c r="AE56" s="4"/>
      <c r="AF56" s="7190" t="s">
        <v>8169</v>
      </c>
      <c r="AG56" s="7190"/>
      <c r="AH56" s="4"/>
      <c r="AI56" s="2"/>
      <c r="AJ56" s="2"/>
      <c r="AK56" s="2"/>
      <c r="AL56" s="2"/>
      <c r="AM56" s="2"/>
      <c r="AN56" s="2"/>
      <c r="AO56" s="2"/>
      <c r="AP56" s="2"/>
      <c r="AQ56" s="2"/>
      <c r="AS56" s="7258" t="s">
        <v>10055</v>
      </c>
      <c r="AT56" s="7258"/>
      <c r="AV56" s="6935" t="s">
        <v>10109</v>
      </c>
      <c r="AW56" s="6935"/>
      <c r="AY56" s="7200" t="s">
        <v>10175</v>
      </c>
      <c r="AZ56" s="7200"/>
      <c r="BB56" s="7202" t="s">
        <v>10225</v>
      </c>
      <c r="BC56" s="7202"/>
      <c r="BE56" s="7259" t="s">
        <v>10284</v>
      </c>
      <c r="BF56" s="7259"/>
      <c r="BH56" s="7196" t="s">
        <v>10316</v>
      </c>
      <c r="BI56" s="7196"/>
      <c r="BK56" s="7181" t="s">
        <v>10363</v>
      </c>
      <c r="BL56" s="7181"/>
      <c r="BN56" s="7183" t="s">
        <v>10447</v>
      </c>
      <c r="BO56" s="7183"/>
      <c r="BQ56" s="7186" t="s">
        <v>10546</v>
      </c>
      <c r="BR56" s="7186"/>
      <c r="BT56" s="7188" t="s">
        <v>10589</v>
      </c>
      <c r="BU56" s="7188"/>
      <c r="BW56" s="7190" t="s">
        <v>8180</v>
      </c>
      <c r="BX56" s="7190"/>
      <c r="BY56"/>
      <c r="BZ56"/>
      <c r="CA56"/>
      <c r="CB56"/>
      <c r="CC56"/>
      <c r="CD56" s="7258" t="s">
        <v>10081</v>
      </c>
      <c r="CE56" s="7258"/>
      <c r="CG56" s="6935" t="s">
        <v>10143</v>
      </c>
      <c r="CH56" s="6935"/>
      <c r="CJ56" s="7200" t="s">
        <v>10199</v>
      </c>
      <c r="CK56" s="7200"/>
      <c r="CM56" s="7202" t="s">
        <v>10255</v>
      </c>
      <c r="CN56" s="7202"/>
      <c r="CP56" s="7259" t="s">
        <v>10300</v>
      </c>
      <c r="CQ56" s="7259"/>
      <c r="CS56" s="7196" t="s">
        <v>10340</v>
      </c>
      <c r="CT56" s="7196"/>
      <c r="CV56" s="7181" t="s">
        <v>10405</v>
      </c>
      <c r="CW56" s="7181"/>
      <c r="CY56" s="7183" t="s">
        <v>10498</v>
      </c>
      <c r="CZ56" s="7183"/>
      <c r="DB56" s="7186" t="s">
        <v>10567</v>
      </c>
      <c r="DC56" s="7186"/>
      <c r="DE56" s="7188" t="s">
        <v>10610</v>
      </c>
      <c r="DF56" s="7188"/>
      <c r="DH56" s="7190" t="s">
        <v>8180</v>
      </c>
      <c r="DI56" s="7190"/>
      <c r="DK56"/>
      <c r="DL56"/>
      <c r="DM56" s="5">
        <v>1</v>
      </c>
    </row>
    <row r="57" spans="1:117" s="1" customFormat="1" ht="18" customHeight="1">
      <c r="A57"/>
      <c r="B57" s="7249"/>
      <c r="C57" s="7249"/>
      <c r="D57" s="2"/>
      <c r="E57" s="6936"/>
      <c r="F57" s="6936"/>
      <c r="G57" s="2"/>
      <c r="H57" s="7201"/>
      <c r="I57" s="7201"/>
      <c r="J57" s="2"/>
      <c r="K57" s="7203"/>
      <c r="L57" s="7203"/>
      <c r="M57" s="2"/>
      <c r="N57" s="7260"/>
      <c r="O57" s="7260"/>
      <c r="P57" s="2"/>
      <c r="Q57" s="7197"/>
      <c r="R57" s="7197"/>
      <c r="S57" s="2"/>
      <c r="T57" s="7182"/>
      <c r="U57" s="7182"/>
      <c r="V57" s="2"/>
      <c r="W57" s="7184"/>
      <c r="X57" s="7184"/>
      <c r="Y57" s="2"/>
      <c r="Z57" s="7187"/>
      <c r="AA57" s="7187"/>
      <c r="AB57" s="4"/>
      <c r="AC57" s="7189"/>
      <c r="AD57" s="7189"/>
      <c r="AE57" s="4"/>
      <c r="AF57" s="7191"/>
      <c r="AG57" s="7191"/>
      <c r="AH57" s="4"/>
      <c r="AI57" s="2"/>
      <c r="AJ57" s="2"/>
      <c r="AK57" s="2"/>
      <c r="AL57" s="2"/>
      <c r="AM57" s="2"/>
      <c r="AN57" s="2"/>
      <c r="AO57" s="2"/>
      <c r="AP57" s="2"/>
      <c r="AQ57" s="2"/>
      <c r="AS57" s="7249" t="s">
        <v>856</v>
      </c>
      <c r="AT57" s="7249"/>
      <c r="AV57" s="6936" t="s">
        <v>856</v>
      </c>
      <c r="AW57" s="6936"/>
      <c r="AY57" s="7201" t="s">
        <v>856</v>
      </c>
      <c r="AZ57" s="7201"/>
      <c r="BB57" s="7203" t="s">
        <v>856</v>
      </c>
      <c r="BC57" s="7203"/>
      <c r="BE57" s="7260" t="s">
        <v>856</v>
      </c>
      <c r="BF57" s="7260"/>
      <c r="BH57" s="7197" t="s">
        <v>856</v>
      </c>
      <c r="BI57" s="7197"/>
      <c r="BK57" s="7182" t="s">
        <v>856</v>
      </c>
      <c r="BL57" s="7182"/>
      <c r="BN57" s="7184" t="s">
        <v>856</v>
      </c>
      <c r="BO57" s="7184"/>
      <c r="BQ57" s="7187" t="s">
        <v>856</v>
      </c>
      <c r="BR57" s="7187"/>
      <c r="BT57" s="7189" t="s">
        <v>856</v>
      </c>
      <c r="BU57" s="7189"/>
      <c r="BW57" s="7191" t="s">
        <v>856</v>
      </c>
      <c r="BX57" s="7191"/>
      <c r="BY57"/>
      <c r="BZ57"/>
      <c r="CA57"/>
      <c r="CB57"/>
      <c r="CC57"/>
      <c r="CD57" s="7249" t="s">
        <v>856</v>
      </c>
      <c r="CE57" s="7249"/>
      <c r="CG57" s="6936" t="s">
        <v>856</v>
      </c>
      <c r="CH57" s="6936"/>
      <c r="CJ57" s="7201" t="s">
        <v>856</v>
      </c>
      <c r="CK57" s="7201"/>
      <c r="CM57" s="7203" t="s">
        <v>856</v>
      </c>
      <c r="CN57" s="7203"/>
      <c r="CP57" s="7260" t="s">
        <v>856</v>
      </c>
      <c r="CQ57" s="7260"/>
      <c r="CS57" s="7197" t="s">
        <v>856</v>
      </c>
      <c r="CT57" s="7197"/>
      <c r="CV57" s="7182" t="s">
        <v>856</v>
      </c>
      <c r="CW57" s="7182"/>
      <c r="CY57" s="7184" t="s">
        <v>856</v>
      </c>
      <c r="CZ57" s="7184"/>
      <c r="DB57" s="7187" t="s">
        <v>856</v>
      </c>
      <c r="DC57" s="7187"/>
      <c r="DE57" s="7189" t="s">
        <v>856</v>
      </c>
      <c r="DF57" s="7189"/>
      <c r="DH57" s="7191" t="s">
        <v>856</v>
      </c>
      <c r="DI57" s="7191"/>
      <c r="DK57"/>
      <c r="DL57"/>
      <c r="DM57" s="5">
        <v>1</v>
      </c>
    </row>
    <row r="58" spans="1:117" s="1" customFormat="1" ht="18" customHeight="1" thickBot="1">
      <c r="A58"/>
      <c r="B58" s="2"/>
      <c r="C58" s="2"/>
      <c r="D58" s="2"/>
      <c r="E58" s="2"/>
      <c r="F58" s="2"/>
      <c r="G58" s="2"/>
      <c r="H58" s="2"/>
      <c r="I58" s="2"/>
      <c r="J58" s="2"/>
      <c r="K58" s="2"/>
      <c r="L58" s="2"/>
      <c r="M58" s="2"/>
      <c r="N58" s="2"/>
      <c r="O58" s="2"/>
      <c r="P58" s="2"/>
      <c r="Q58" s="5496"/>
      <c r="R58" s="5496"/>
      <c r="S58" s="2"/>
      <c r="T58" s="2"/>
      <c r="U58" s="2"/>
      <c r="V58" s="2"/>
      <c r="W58" s="2"/>
      <c r="X58" s="2"/>
      <c r="Y58" s="2"/>
      <c r="Z58" s="2"/>
      <c r="AA58" s="2"/>
      <c r="AB58" s="4"/>
      <c r="AC58" s="2"/>
      <c r="AD58" s="2"/>
      <c r="AE58" s="4"/>
      <c r="AF58" s="2"/>
      <c r="AG58" s="2"/>
      <c r="AH58" s="4"/>
      <c r="AI58" s="2"/>
      <c r="AJ58" s="2"/>
      <c r="AK58" s="2"/>
      <c r="AL58" s="2"/>
      <c r="AM58" s="2"/>
      <c r="AN58" s="2"/>
      <c r="AO58" s="2"/>
      <c r="AP58" s="2"/>
      <c r="AQ58" s="2"/>
      <c r="AS58" s="2" t="s">
        <v>856</v>
      </c>
      <c r="AT58" s="2"/>
      <c r="AV58" s="2" t="s">
        <v>856</v>
      </c>
      <c r="AW58" s="2"/>
      <c r="AY58" s="2" t="s">
        <v>856</v>
      </c>
      <c r="AZ58" s="2"/>
      <c r="BB58" s="2" t="s">
        <v>856</v>
      </c>
      <c r="BC58" s="2"/>
      <c r="BE58" s="2" t="s">
        <v>856</v>
      </c>
      <c r="BF58" s="2"/>
      <c r="BH58" s="5496" t="s">
        <v>856</v>
      </c>
      <c r="BI58" s="5496"/>
      <c r="BK58" s="2" t="s">
        <v>856</v>
      </c>
      <c r="BL58" s="2"/>
      <c r="BN58" s="2" t="s">
        <v>856</v>
      </c>
      <c r="BO58" s="2"/>
      <c r="BQ58" s="2" t="s">
        <v>856</v>
      </c>
      <c r="BR58" s="2"/>
      <c r="BT58" s="2" t="s">
        <v>856</v>
      </c>
      <c r="BU58" s="2"/>
      <c r="BW58" s="2" t="s">
        <v>856</v>
      </c>
      <c r="BX58" s="2"/>
      <c r="BY58"/>
      <c r="BZ58"/>
      <c r="CA58"/>
      <c r="CB58"/>
      <c r="CC58"/>
      <c r="CD58" s="2" t="s">
        <v>856</v>
      </c>
      <c r="CE58" s="2"/>
      <c r="CG58" s="2" t="s">
        <v>856</v>
      </c>
      <c r="CH58" s="2"/>
      <c r="CJ58" s="2" t="s">
        <v>856</v>
      </c>
      <c r="CK58" s="2"/>
      <c r="CM58" s="2" t="s">
        <v>856</v>
      </c>
      <c r="CN58" s="2"/>
      <c r="CP58" s="2" t="s">
        <v>856</v>
      </c>
      <c r="CQ58" s="2"/>
      <c r="CS58" s="5496" t="s">
        <v>856</v>
      </c>
      <c r="CT58" s="5496"/>
      <c r="CV58" s="2" t="s">
        <v>856</v>
      </c>
      <c r="CW58" s="2"/>
      <c r="CY58" s="2" t="s">
        <v>856</v>
      </c>
      <c r="CZ58" s="2"/>
      <c r="DB58" s="2" t="s">
        <v>856</v>
      </c>
      <c r="DC58" s="2"/>
      <c r="DE58" s="2" t="s">
        <v>856</v>
      </c>
      <c r="DF58" s="2"/>
      <c r="DH58" s="2" t="s">
        <v>856</v>
      </c>
      <c r="DI58" s="2"/>
      <c r="DK58"/>
      <c r="DL58"/>
      <c r="DM58" s="5">
        <v>1</v>
      </c>
    </row>
    <row r="59" spans="1:117" s="1" customFormat="1" ht="18" customHeight="1">
      <c r="A59"/>
      <c r="B59" s="7261" t="s">
        <v>8170</v>
      </c>
      <c r="C59" s="7261"/>
      <c r="D59" s="2"/>
      <c r="E59" s="6935" t="s">
        <v>8171</v>
      </c>
      <c r="F59" s="6935"/>
      <c r="G59" s="2"/>
      <c r="H59" s="7200" t="s">
        <v>8172</v>
      </c>
      <c r="I59" s="7200"/>
      <c r="J59" s="2"/>
      <c r="K59" s="7202" t="s">
        <v>8173</v>
      </c>
      <c r="L59" s="7202"/>
      <c r="M59" s="2"/>
      <c r="N59" s="7259" t="s">
        <v>8174</v>
      </c>
      <c r="O59" s="7259"/>
      <c r="P59" s="2"/>
      <c r="Q59" s="7196" t="s">
        <v>8175</v>
      </c>
      <c r="R59" s="7196"/>
      <c r="S59" s="2"/>
      <c r="T59" s="7181" t="s">
        <v>8176</v>
      </c>
      <c r="U59" s="7181"/>
      <c r="V59" s="2"/>
      <c r="W59" s="7183" t="s">
        <v>8177</v>
      </c>
      <c r="X59" s="7183"/>
      <c r="Y59" s="2"/>
      <c r="Z59" s="7186" t="s">
        <v>8178</v>
      </c>
      <c r="AA59" s="7186"/>
      <c r="AB59" s="4"/>
      <c r="AC59" s="7188" t="s">
        <v>8179</v>
      </c>
      <c r="AD59" s="7188"/>
      <c r="AE59" s="4"/>
      <c r="AF59" s="7190" t="s">
        <v>8180</v>
      </c>
      <c r="AG59" s="7190"/>
      <c r="AH59" s="4"/>
      <c r="AI59" s="2"/>
      <c r="AJ59" s="2"/>
      <c r="AK59" s="2"/>
      <c r="AL59" s="2"/>
      <c r="AM59" s="2"/>
      <c r="AN59" s="2"/>
      <c r="AO59" s="2"/>
      <c r="AP59" s="2"/>
      <c r="AQ59" s="2"/>
      <c r="AS59" s="7261" t="s">
        <v>10056</v>
      </c>
      <c r="AT59" s="7261"/>
      <c r="AV59" s="6935" t="s">
        <v>10110</v>
      </c>
      <c r="AW59" s="6935"/>
      <c r="AY59" s="7200" t="s">
        <v>10176</v>
      </c>
      <c r="AZ59" s="7200"/>
      <c r="BB59" s="7202" t="s">
        <v>10226</v>
      </c>
      <c r="BC59" s="7202"/>
      <c r="BE59" s="7259" t="s">
        <v>10285</v>
      </c>
      <c r="BF59" s="7259"/>
      <c r="BH59" s="7196" t="s">
        <v>10317</v>
      </c>
      <c r="BI59" s="7196"/>
      <c r="BK59" s="7181" t="s">
        <v>10364</v>
      </c>
      <c r="BL59" s="7181"/>
      <c r="BN59" s="7183" t="s">
        <v>10448</v>
      </c>
      <c r="BO59" s="7183"/>
      <c r="BQ59" s="7186" t="s">
        <v>10547</v>
      </c>
      <c r="BR59" s="7186"/>
      <c r="BT59" s="7188" t="s">
        <v>10590</v>
      </c>
      <c r="BU59" s="7188"/>
      <c r="BW59" s="7190" t="s">
        <v>10630</v>
      </c>
      <c r="BX59" s="7190"/>
      <c r="BY59"/>
      <c r="BZ59"/>
      <c r="CA59"/>
      <c r="CB59"/>
      <c r="CC59"/>
      <c r="CD59" s="7261" t="s">
        <v>10082</v>
      </c>
      <c r="CE59" s="7261"/>
      <c r="CG59" s="7215" t="s">
        <v>10144</v>
      </c>
      <c r="CH59" s="7215"/>
      <c r="CJ59" s="7200" t="s">
        <v>10200</v>
      </c>
      <c r="CK59" s="7200"/>
      <c r="CM59" s="7202" t="s">
        <v>10256</v>
      </c>
      <c r="CN59" s="7202"/>
      <c r="CP59" s="7259" t="s">
        <v>10301</v>
      </c>
      <c r="CQ59" s="7259"/>
      <c r="CS59" s="7196" t="s">
        <v>10341</v>
      </c>
      <c r="CT59" s="7196"/>
      <c r="CV59" s="7181" t="s">
        <v>10406</v>
      </c>
      <c r="CW59" s="7181"/>
      <c r="CY59" s="7183" t="s">
        <v>10499</v>
      </c>
      <c r="CZ59" s="7183"/>
      <c r="DB59" s="7186" t="s">
        <v>10568</v>
      </c>
      <c r="DC59" s="7186"/>
      <c r="DE59" s="7188" t="s">
        <v>10611</v>
      </c>
      <c r="DF59" s="7188"/>
      <c r="DH59" s="7190" t="s">
        <v>10645</v>
      </c>
      <c r="DI59" s="7190"/>
      <c r="DK59"/>
      <c r="DL59"/>
      <c r="DM59" s="5">
        <v>1</v>
      </c>
    </row>
    <row r="60" spans="1:117" s="1" customFormat="1" ht="18" customHeight="1">
      <c r="A60"/>
      <c r="B60" s="7262"/>
      <c r="C60" s="7262"/>
      <c r="D60" s="2"/>
      <c r="E60" s="6936"/>
      <c r="F60" s="6936"/>
      <c r="G60" s="2"/>
      <c r="H60" s="7201"/>
      <c r="I60" s="7201"/>
      <c r="J60" s="2"/>
      <c r="K60" s="7203"/>
      <c r="L60" s="7203"/>
      <c r="M60" s="2"/>
      <c r="N60" s="7260"/>
      <c r="O60" s="7260"/>
      <c r="P60" s="2"/>
      <c r="Q60" s="7197"/>
      <c r="R60" s="7197"/>
      <c r="S60" s="2"/>
      <c r="T60" s="7182"/>
      <c r="U60" s="7182"/>
      <c r="V60" s="2"/>
      <c r="W60" s="7184"/>
      <c r="X60" s="7184"/>
      <c r="Y60" s="2"/>
      <c r="Z60" s="7187"/>
      <c r="AA60" s="7187"/>
      <c r="AB60" s="4"/>
      <c r="AC60" s="7189"/>
      <c r="AD60" s="7189"/>
      <c r="AE60" s="4"/>
      <c r="AF60" s="7191"/>
      <c r="AG60" s="7191"/>
      <c r="AH60" s="4"/>
      <c r="AI60" s="2"/>
      <c r="AJ60" s="2"/>
      <c r="AK60" s="2"/>
      <c r="AL60" s="2"/>
      <c r="AM60" s="2"/>
      <c r="AN60" s="2"/>
      <c r="AO60" s="2"/>
      <c r="AP60" s="2"/>
      <c r="AQ60" s="2"/>
      <c r="AS60" s="7262" t="s">
        <v>856</v>
      </c>
      <c r="AT60" s="7262"/>
      <c r="AV60" s="6936" t="s">
        <v>856</v>
      </c>
      <c r="AW60" s="6936"/>
      <c r="AY60" s="7201" t="s">
        <v>856</v>
      </c>
      <c r="AZ60" s="7201"/>
      <c r="BB60" s="7203" t="s">
        <v>856</v>
      </c>
      <c r="BC60" s="7203"/>
      <c r="BE60" s="7260" t="s">
        <v>856</v>
      </c>
      <c r="BF60" s="7260"/>
      <c r="BH60" s="7197" t="s">
        <v>856</v>
      </c>
      <c r="BI60" s="7197"/>
      <c r="BK60" s="7182" t="s">
        <v>856</v>
      </c>
      <c r="BL60" s="7182"/>
      <c r="BN60" s="7184" t="s">
        <v>856</v>
      </c>
      <c r="BO60" s="7184"/>
      <c r="BQ60" s="7187" t="s">
        <v>856</v>
      </c>
      <c r="BR60" s="7187"/>
      <c r="BT60" s="7189" t="s">
        <v>856</v>
      </c>
      <c r="BU60" s="7189"/>
      <c r="BW60" s="7191" t="s">
        <v>856</v>
      </c>
      <c r="BX60" s="7191"/>
      <c r="BY60"/>
      <c r="BZ60"/>
      <c r="CA60"/>
      <c r="CB60"/>
      <c r="CC60"/>
      <c r="CD60" s="7262" t="s">
        <v>856</v>
      </c>
      <c r="CE60" s="7262"/>
      <c r="CG60" s="7042" t="s">
        <v>856</v>
      </c>
      <c r="CH60" s="7042"/>
      <c r="CJ60" s="7201" t="s">
        <v>856</v>
      </c>
      <c r="CK60" s="7201"/>
      <c r="CM60" s="7203" t="s">
        <v>856</v>
      </c>
      <c r="CN60" s="7203"/>
      <c r="CP60" s="7260" t="s">
        <v>856</v>
      </c>
      <c r="CQ60" s="7260"/>
      <c r="CS60" s="7197" t="s">
        <v>856</v>
      </c>
      <c r="CT60" s="7197"/>
      <c r="CV60" s="7182" t="s">
        <v>856</v>
      </c>
      <c r="CW60" s="7182"/>
      <c r="CY60" s="7184" t="s">
        <v>856</v>
      </c>
      <c r="CZ60" s="7184"/>
      <c r="DB60" s="7187" t="s">
        <v>856</v>
      </c>
      <c r="DC60" s="7187"/>
      <c r="DE60" s="7189" t="s">
        <v>856</v>
      </c>
      <c r="DF60" s="7189"/>
      <c r="DH60" s="7191" t="s">
        <v>856</v>
      </c>
      <c r="DI60" s="7191"/>
      <c r="DK60"/>
      <c r="DL60"/>
      <c r="DM60" s="5">
        <v>1</v>
      </c>
    </row>
    <row r="61" spans="1:117" s="1" customFormat="1" ht="18" customHeight="1" thickBot="1">
      <c r="A61"/>
      <c r="B61" s="2"/>
      <c r="C61" s="2"/>
      <c r="D61" s="2"/>
      <c r="E61" s="2"/>
      <c r="F61" s="2"/>
      <c r="G61" s="2"/>
      <c r="H61" s="2"/>
      <c r="I61" s="2"/>
      <c r="J61" s="2"/>
      <c r="K61" s="2"/>
      <c r="L61" s="2"/>
      <c r="M61" s="2"/>
      <c r="N61" s="2"/>
      <c r="O61" s="2"/>
      <c r="P61" s="2"/>
      <c r="Q61" s="5496"/>
      <c r="R61" s="5496"/>
      <c r="S61" s="2"/>
      <c r="T61" s="2"/>
      <c r="U61" s="2"/>
      <c r="V61" s="2"/>
      <c r="W61" s="2"/>
      <c r="X61" s="2"/>
      <c r="Y61" s="2"/>
      <c r="Z61" s="2"/>
      <c r="AA61" s="2"/>
      <c r="AB61" s="4"/>
      <c r="AC61" s="2"/>
      <c r="AD61" s="2"/>
      <c r="AE61" s="4"/>
      <c r="AF61" s="2"/>
      <c r="AG61" s="2"/>
      <c r="AH61" s="4"/>
      <c r="AI61" s="2"/>
      <c r="AJ61" s="2"/>
      <c r="AK61" s="2"/>
      <c r="AL61" s="2"/>
      <c r="AM61" s="2"/>
      <c r="AN61" s="2"/>
      <c r="AO61" s="2"/>
      <c r="AP61" s="2"/>
      <c r="AQ61" s="2"/>
      <c r="AS61" s="2" t="s">
        <v>856</v>
      </c>
      <c r="AT61" s="2"/>
      <c r="AV61" s="2" t="s">
        <v>856</v>
      </c>
      <c r="AW61" s="2"/>
      <c r="AY61" s="2" t="s">
        <v>856</v>
      </c>
      <c r="AZ61" s="2"/>
      <c r="BB61" s="2" t="s">
        <v>856</v>
      </c>
      <c r="BC61" s="2"/>
      <c r="BE61" s="2" t="s">
        <v>856</v>
      </c>
      <c r="BF61" s="2"/>
      <c r="BH61" s="5496" t="s">
        <v>856</v>
      </c>
      <c r="BI61" s="5496"/>
      <c r="BK61" s="2" t="s">
        <v>856</v>
      </c>
      <c r="BL61" s="2"/>
      <c r="BN61" s="2" t="s">
        <v>856</v>
      </c>
      <c r="BO61" s="2"/>
      <c r="BQ61" s="2" t="s">
        <v>856</v>
      </c>
      <c r="BR61" s="2"/>
      <c r="BT61" s="2" t="s">
        <v>856</v>
      </c>
      <c r="BU61" s="2"/>
      <c r="BW61" s="2" t="s">
        <v>856</v>
      </c>
      <c r="BX61" s="2"/>
      <c r="BY61"/>
      <c r="BZ61"/>
      <c r="CA61"/>
      <c r="CB61"/>
      <c r="CC61"/>
      <c r="CD61" s="2" t="s">
        <v>856</v>
      </c>
      <c r="CE61" s="2"/>
      <c r="CG61" s="2" t="s">
        <v>856</v>
      </c>
      <c r="CH61" s="2"/>
      <c r="CJ61" s="2" t="s">
        <v>856</v>
      </c>
      <c r="CK61" s="2"/>
      <c r="CM61" s="2" t="s">
        <v>856</v>
      </c>
      <c r="CN61" s="2"/>
      <c r="CP61" s="2" t="s">
        <v>856</v>
      </c>
      <c r="CQ61" s="2"/>
      <c r="CS61" s="5496" t="s">
        <v>856</v>
      </c>
      <c r="CT61" s="5496"/>
      <c r="CV61" s="2" t="s">
        <v>856</v>
      </c>
      <c r="CW61" s="2"/>
      <c r="CY61" s="2" t="s">
        <v>856</v>
      </c>
      <c r="CZ61" s="2"/>
      <c r="DB61" s="2" t="s">
        <v>856</v>
      </c>
      <c r="DC61" s="2"/>
      <c r="DE61" s="2" t="s">
        <v>856</v>
      </c>
      <c r="DF61" s="2"/>
      <c r="DH61" s="2" t="s">
        <v>856</v>
      </c>
      <c r="DI61" s="2"/>
      <c r="DK61"/>
      <c r="DL61"/>
      <c r="DM61" s="5">
        <v>1</v>
      </c>
    </row>
    <row r="62" spans="1:117" s="1" customFormat="1" ht="18" customHeight="1">
      <c r="A62"/>
      <c r="B62" s="7265" t="s">
        <v>8181</v>
      </c>
      <c r="C62" s="7265"/>
      <c r="D62" s="2"/>
      <c r="E62" s="6935" t="s">
        <v>8182</v>
      </c>
      <c r="F62" s="6935"/>
      <c r="G62" s="2"/>
      <c r="H62" s="7200" t="s">
        <v>8183</v>
      </c>
      <c r="I62" s="7200"/>
      <c r="J62" s="2"/>
      <c r="K62" s="7202" t="s">
        <v>8184</v>
      </c>
      <c r="L62" s="7202"/>
      <c r="M62" s="2"/>
      <c r="N62" s="7259" t="s">
        <v>8185</v>
      </c>
      <c r="O62" s="7259"/>
      <c r="P62" s="2"/>
      <c r="Q62" s="7196" t="s">
        <v>8186</v>
      </c>
      <c r="R62" s="7196"/>
      <c r="S62" s="2"/>
      <c r="T62" s="7181" t="s">
        <v>8187</v>
      </c>
      <c r="U62" s="7181"/>
      <c r="V62" s="2"/>
      <c r="W62" s="7183" t="s">
        <v>8188</v>
      </c>
      <c r="X62" s="7183"/>
      <c r="Y62" s="2"/>
      <c r="Z62" s="7186" t="s">
        <v>8189</v>
      </c>
      <c r="AA62" s="7186"/>
      <c r="AB62" s="4"/>
      <c r="AC62" s="7188" t="s">
        <v>8190</v>
      </c>
      <c r="AD62" s="7188"/>
      <c r="AE62" s="4"/>
      <c r="AF62" s="7190" t="s">
        <v>8191</v>
      </c>
      <c r="AG62" s="7190"/>
      <c r="AH62" s="4"/>
      <c r="AI62" s="2"/>
      <c r="AJ62" s="2"/>
      <c r="AK62" s="2"/>
      <c r="AL62" s="2"/>
      <c r="AM62" s="2"/>
      <c r="AN62" s="2"/>
      <c r="AO62" s="2"/>
      <c r="AP62" s="2"/>
      <c r="AQ62" s="2"/>
      <c r="AS62" s="7265" t="s">
        <v>10057</v>
      </c>
      <c r="AT62" s="7265"/>
      <c r="AV62" s="6935" t="s">
        <v>10111</v>
      </c>
      <c r="AW62" s="6935"/>
      <c r="AY62" s="7200" t="s">
        <v>10177</v>
      </c>
      <c r="AZ62" s="7200"/>
      <c r="BB62" s="7202" t="s">
        <v>10227</v>
      </c>
      <c r="BC62" s="7202"/>
      <c r="BE62" s="7259" t="s">
        <v>10286</v>
      </c>
      <c r="BF62" s="7259"/>
      <c r="BH62" s="7196" t="s">
        <v>10318</v>
      </c>
      <c r="BI62" s="7196"/>
      <c r="BK62" s="7181" t="s">
        <v>10365</v>
      </c>
      <c r="BL62" s="7181"/>
      <c r="BN62" s="7183" t="s">
        <v>10449</v>
      </c>
      <c r="BO62" s="7183"/>
      <c r="BQ62" s="7186" t="s">
        <v>10548</v>
      </c>
      <c r="BR62" s="7186"/>
      <c r="BT62" s="7188" t="s">
        <v>10591</v>
      </c>
      <c r="BU62" s="7188"/>
      <c r="BW62" s="7190" t="s">
        <v>10631</v>
      </c>
      <c r="BX62" s="7190"/>
      <c r="BY62"/>
      <c r="BZ62"/>
      <c r="CA62"/>
      <c r="CB62"/>
      <c r="CC62"/>
      <c r="CD62" s="7265" t="s">
        <v>10083</v>
      </c>
      <c r="CE62" s="7265"/>
      <c r="CG62" s="6935" t="s">
        <v>10145</v>
      </c>
      <c r="CH62" s="6935"/>
      <c r="CJ62" s="7200" t="s">
        <v>10201</v>
      </c>
      <c r="CK62" s="7200"/>
      <c r="CM62" s="7202" t="s">
        <v>10257</v>
      </c>
      <c r="CN62" s="7202"/>
      <c r="CP62" s="7259" t="s">
        <v>10302</v>
      </c>
      <c r="CQ62" s="7259"/>
      <c r="CS62" s="7196" t="s">
        <v>10342</v>
      </c>
      <c r="CT62" s="7196"/>
      <c r="CV62" s="7181" t="s">
        <v>10407</v>
      </c>
      <c r="CW62" s="7181"/>
      <c r="CY62" s="7183" t="s">
        <v>10500</v>
      </c>
      <c r="CZ62" s="7183"/>
      <c r="DB62" s="7186" t="s">
        <v>10569</v>
      </c>
      <c r="DC62" s="7186"/>
      <c r="DE62" s="7188" t="s">
        <v>10612</v>
      </c>
      <c r="DF62" s="7188"/>
      <c r="DH62" s="7190" t="s">
        <v>10646</v>
      </c>
      <c r="DI62" s="7190"/>
      <c r="DK62"/>
      <c r="DL62"/>
      <c r="DM62" s="5">
        <v>1</v>
      </c>
    </row>
    <row r="63" spans="1:117" s="1" customFormat="1" ht="18" customHeight="1">
      <c r="A63"/>
      <c r="B63" s="7266"/>
      <c r="C63" s="7266"/>
      <c r="D63" s="2"/>
      <c r="E63" s="6936"/>
      <c r="F63" s="6936"/>
      <c r="G63" s="2"/>
      <c r="H63" s="7201"/>
      <c r="I63" s="7201"/>
      <c r="J63" s="2"/>
      <c r="K63" s="7203"/>
      <c r="L63" s="7203"/>
      <c r="M63" s="2"/>
      <c r="N63" s="7260"/>
      <c r="O63" s="7260"/>
      <c r="P63" s="2"/>
      <c r="Q63" s="7197"/>
      <c r="R63" s="7197"/>
      <c r="S63" s="2"/>
      <c r="T63" s="7182"/>
      <c r="U63" s="7182"/>
      <c r="V63" s="2"/>
      <c r="W63" s="7184"/>
      <c r="X63" s="7184"/>
      <c r="Y63" s="2"/>
      <c r="Z63" s="7187"/>
      <c r="AA63" s="7187"/>
      <c r="AB63" s="4"/>
      <c r="AC63" s="7189"/>
      <c r="AD63" s="7189"/>
      <c r="AE63" s="4"/>
      <c r="AF63" s="7191"/>
      <c r="AG63" s="7191"/>
      <c r="AH63" s="4"/>
      <c r="AI63" s="2"/>
      <c r="AJ63" s="2"/>
      <c r="AK63" s="2"/>
      <c r="AL63" s="2"/>
      <c r="AM63" s="2"/>
      <c r="AN63" s="2"/>
      <c r="AO63" s="2"/>
      <c r="AP63" s="2"/>
      <c r="AQ63" s="2"/>
      <c r="AS63" s="7266" t="s">
        <v>856</v>
      </c>
      <c r="AT63" s="7266"/>
      <c r="AV63" s="6936" t="s">
        <v>856</v>
      </c>
      <c r="AW63" s="6936"/>
      <c r="AY63" s="7201" t="s">
        <v>856</v>
      </c>
      <c r="AZ63" s="7201"/>
      <c r="BB63" s="7203" t="s">
        <v>856</v>
      </c>
      <c r="BC63" s="7203"/>
      <c r="BE63" s="7260" t="s">
        <v>856</v>
      </c>
      <c r="BF63" s="7260"/>
      <c r="BH63" s="7197" t="s">
        <v>856</v>
      </c>
      <c r="BI63" s="7197"/>
      <c r="BK63" s="7182" t="s">
        <v>856</v>
      </c>
      <c r="BL63" s="7182"/>
      <c r="BN63" s="7184" t="s">
        <v>856</v>
      </c>
      <c r="BO63" s="7184"/>
      <c r="BQ63" s="7187" t="s">
        <v>856</v>
      </c>
      <c r="BR63" s="7187"/>
      <c r="BT63" s="7189" t="s">
        <v>856</v>
      </c>
      <c r="BU63" s="7189"/>
      <c r="BW63" s="7191" t="s">
        <v>856</v>
      </c>
      <c r="BX63" s="7191"/>
      <c r="BY63"/>
      <c r="BZ63"/>
      <c r="CA63"/>
      <c r="CB63"/>
      <c r="CC63"/>
      <c r="CD63" s="7266" t="s">
        <v>856</v>
      </c>
      <c r="CE63" s="7266"/>
      <c r="CG63" s="6936" t="s">
        <v>856</v>
      </c>
      <c r="CH63" s="6936"/>
      <c r="CJ63" s="7201" t="s">
        <v>856</v>
      </c>
      <c r="CK63" s="7201"/>
      <c r="CM63" s="7203" t="s">
        <v>856</v>
      </c>
      <c r="CN63" s="7203"/>
      <c r="CP63" s="7260" t="s">
        <v>856</v>
      </c>
      <c r="CQ63" s="7260"/>
      <c r="CS63" s="7197" t="s">
        <v>856</v>
      </c>
      <c r="CT63" s="7197"/>
      <c r="CV63" s="7182" t="s">
        <v>856</v>
      </c>
      <c r="CW63" s="7182"/>
      <c r="CY63" s="7184" t="s">
        <v>856</v>
      </c>
      <c r="CZ63" s="7184"/>
      <c r="DB63" s="7187" t="s">
        <v>856</v>
      </c>
      <c r="DC63" s="7187"/>
      <c r="DE63" s="7189" t="s">
        <v>856</v>
      </c>
      <c r="DF63" s="7189"/>
      <c r="DH63" s="7191" t="s">
        <v>856</v>
      </c>
      <c r="DI63" s="7191"/>
      <c r="DK63"/>
      <c r="DL63"/>
      <c r="DM63" s="5">
        <v>1</v>
      </c>
    </row>
    <row r="64" spans="1:117" s="1" customFormat="1" ht="18" customHeight="1" thickBot="1">
      <c r="A64"/>
      <c r="B64" s="2"/>
      <c r="C64" s="2"/>
      <c r="D64" s="2"/>
      <c r="E64" s="2"/>
      <c r="F64" s="2"/>
      <c r="G64" s="2"/>
      <c r="H64" s="2"/>
      <c r="I64" s="2"/>
      <c r="J64" s="2"/>
      <c r="K64" s="2"/>
      <c r="L64" s="2"/>
      <c r="M64" s="2"/>
      <c r="N64" s="2"/>
      <c r="O64" s="2"/>
      <c r="P64" s="2"/>
      <c r="Q64" s="5496"/>
      <c r="R64" s="5496"/>
      <c r="S64" s="2"/>
      <c r="T64" s="2"/>
      <c r="U64" s="2"/>
      <c r="V64" s="2"/>
      <c r="W64" s="2"/>
      <c r="X64" s="2"/>
      <c r="Y64" s="2"/>
      <c r="Z64" s="2"/>
      <c r="AA64" s="2"/>
      <c r="AB64" s="4"/>
      <c r="AC64" s="2"/>
      <c r="AD64" s="2"/>
      <c r="AE64" s="4"/>
      <c r="AF64" s="2"/>
      <c r="AG64" s="2"/>
      <c r="AH64" s="4"/>
      <c r="AI64" s="2"/>
      <c r="AJ64" s="2"/>
      <c r="AK64" s="2"/>
      <c r="AL64" s="2"/>
      <c r="AM64" s="2"/>
      <c r="AN64" s="2"/>
      <c r="AO64" s="2"/>
      <c r="AP64" s="2"/>
      <c r="AQ64" s="2"/>
      <c r="AS64" s="2" t="s">
        <v>856</v>
      </c>
      <c r="AT64" s="2"/>
      <c r="AV64" s="2" t="s">
        <v>856</v>
      </c>
      <c r="AW64" s="2"/>
      <c r="AY64" s="2" t="s">
        <v>856</v>
      </c>
      <c r="AZ64" s="2"/>
      <c r="BB64" s="2" t="s">
        <v>856</v>
      </c>
      <c r="BC64" s="2"/>
      <c r="BE64" s="2" t="s">
        <v>856</v>
      </c>
      <c r="BF64" s="2"/>
      <c r="BH64" s="5496" t="s">
        <v>856</v>
      </c>
      <c r="BI64" s="5496"/>
      <c r="BK64" s="2" t="s">
        <v>856</v>
      </c>
      <c r="BL64" s="2"/>
      <c r="BN64" s="2" t="s">
        <v>856</v>
      </c>
      <c r="BO64" s="2"/>
      <c r="BQ64" s="2" t="s">
        <v>856</v>
      </c>
      <c r="BR64" s="2"/>
      <c r="BT64" s="2" t="s">
        <v>856</v>
      </c>
      <c r="BU64" s="2"/>
      <c r="BW64" s="2" t="s">
        <v>856</v>
      </c>
      <c r="BX64" s="2"/>
      <c r="BY64"/>
      <c r="BZ64"/>
      <c r="CA64"/>
      <c r="CB64"/>
      <c r="CC64"/>
      <c r="CD64" s="2" t="s">
        <v>856</v>
      </c>
      <c r="CE64" s="2"/>
      <c r="CG64" s="2" t="s">
        <v>856</v>
      </c>
      <c r="CH64" s="2"/>
      <c r="CJ64" s="2" t="s">
        <v>856</v>
      </c>
      <c r="CK64" s="2"/>
      <c r="CM64" s="2" t="s">
        <v>856</v>
      </c>
      <c r="CN64" s="2"/>
      <c r="CP64" s="2" t="s">
        <v>856</v>
      </c>
      <c r="CQ64" s="2"/>
      <c r="CS64" s="5496" t="s">
        <v>856</v>
      </c>
      <c r="CT64" s="5496"/>
      <c r="CV64" s="2" t="s">
        <v>856</v>
      </c>
      <c r="CW64" s="2"/>
      <c r="CY64" s="2" t="s">
        <v>856</v>
      </c>
      <c r="CZ64" s="2"/>
      <c r="DB64" s="2" t="s">
        <v>856</v>
      </c>
      <c r="DC64" s="2"/>
      <c r="DE64" s="2" t="s">
        <v>856</v>
      </c>
      <c r="DF64" s="2"/>
      <c r="DH64" s="2" t="s">
        <v>856</v>
      </c>
      <c r="DI64" s="2"/>
      <c r="DK64"/>
      <c r="DL64"/>
      <c r="DM64" s="5">
        <v>1</v>
      </c>
    </row>
    <row r="65" spans="1:117" s="1" customFormat="1" ht="18" customHeight="1">
      <c r="A65"/>
      <c r="B65" s="7263" t="s">
        <v>8192</v>
      </c>
      <c r="C65" s="7263"/>
      <c r="D65" s="2"/>
      <c r="E65" s="7215" t="s">
        <v>8193</v>
      </c>
      <c r="F65" s="7215"/>
      <c r="G65" s="2"/>
      <c r="H65" s="7200" t="s">
        <v>8194</v>
      </c>
      <c r="I65" s="7200"/>
      <c r="J65" s="2"/>
      <c r="K65" s="7202" t="s">
        <v>8195</v>
      </c>
      <c r="L65" s="7202"/>
      <c r="M65" s="2"/>
      <c r="N65" s="7204" t="s">
        <v>8196</v>
      </c>
      <c r="O65" s="7204"/>
      <c r="P65" s="2"/>
      <c r="Q65" s="7196" t="s">
        <v>8197</v>
      </c>
      <c r="R65" s="7196"/>
      <c r="S65" s="2"/>
      <c r="T65" s="7181" t="s">
        <v>8198</v>
      </c>
      <c r="U65" s="7181"/>
      <c r="V65" s="2"/>
      <c r="W65" s="7183" t="s">
        <v>8199</v>
      </c>
      <c r="X65" s="7183"/>
      <c r="Y65" s="2"/>
      <c r="Z65" s="7186" t="s">
        <v>8200</v>
      </c>
      <c r="AA65" s="7186"/>
      <c r="AB65" s="4"/>
      <c r="AC65" s="7188" t="s">
        <v>8201</v>
      </c>
      <c r="AD65" s="7188"/>
      <c r="AE65" s="4"/>
      <c r="AF65" s="7190" t="s">
        <v>8202</v>
      </c>
      <c r="AG65" s="7190"/>
      <c r="AH65" s="4"/>
      <c r="AI65" s="2"/>
      <c r="AJ65" s="2"/>
      <c r="AK65" s="2"/>
      <c r="AL65" s="2"/>
      <c r="AM65" s="2"/>
      <c r="AN65" s="2"/>
      <c r="AO65" s="2"/>
      <c r="AP65" s="2"/>
      <c r="AQ65" s="2"/>
      <c r="AS65" s="7263" t="s">
        <v>10058</v>
      </c>
      <c r="AT65" s="7263"/>
      <c r="AV65" s="7215" t="s">
        <v>10112</v>
      </c>
      <c r="AW65" s="7215"/>
      <c r="AY65" s="7200" t="s">
        <v>10178</v>
      </c>
      <c r="AZ65" s="7200"/>
      <c r="BB65" s="7202" t="s">
        <v>10228</v>
      </c>
      <c r="BC65" s="7202"/>
      <c r="BE65" s="7204" t="s">
        <v>10287</v>
      </c>
      <c r="BF65" s="7204"/>
      <c r="BH65" s="7196" t="s">
        <v>10319</v>
      </c>
      <c r="BI65" s="7196"/>
      <c r="BK65" s="7181" t="s">
        <v>10366</v>
      </c>
      <c r="BL65" s="7181"/>
      <c r="BN65" s="7183" t="s">
        <v>10450</v>
      </c>
      <c r="BO65" s="7183"/>
      <c r="BQ65" s="7186" t="s">
        <v>10549</v>
      </c>
      <c r="BR65" s="7186"/>
      <c r="BT65" s="7188" t="s">
        <v>10592</v>
      </c>
      <c r="BU65" s="7188"/>
      <c r="BW65" s="7190" t="s">
        <v>10632</v>
      </c>
      <c r="BX65" s="7190"/>
      <c r="BY65"/>
      <c r="BZ65"/>
      <c r="CA65"/>
      <c r="CB65"/>
      <c r="CC65"/>
      <c r="CD65" s="7263" t="s">
        <v>10084</v>
      </c>
      <c r="CE65" s="7263"/>
      <c r="CG65" s="6935" t="s">
        <v>10146</v>
      </c>
      <c r="CH65" s="6935"/>
      <c r="CJ65" s="7200" t="s">
        <v>10202</v>
      </c>
      <c r="CK65" s="7200"/>
      <c r="CM65" s="7202" t="s">
        <v>10258</v>
      </c>
      <c r="CN65" s="7202"/>
      <c r="CP65" s="7259" t="s">
        <v>10303</v>
      </c>
      <c r="CQ65" s="7259"/>
      <c r="CS65" s="7196" t="s">
        <v>10343</v>
      </c>
      <c r="CT65" s="7196"/>
      <c r="CV65" s="7181" t="s">
        <v>10408</v>
      </c>
      <c r="CW65" s="7181"/>
      <c r="CY65" s="7183" t="s">
        <v>10501</v>
      </c>
      <c r="CZ65" s="7183"/>
      <c r="DB65" s="7186" t="s">
        <v>10570</v>
      </c>
      <c r="DC65" s="7186"/>
      <c r="DE65" s="7188" t="s">
        <v>10613</v>
      </c>
      <c r="DF65" s="7188"/>
      <c r="DH65" s="7190" t="s">
        <v>10647</v>
      </c>
      <c r="DI65" s="7190"/>
      <c r="DK65"/>
      <c r="DL65"/>
      <c r="DM65" s="5">
        <v>1</v>
      </c>
    </row>
    <row r="66" spans="1:117" s="1" customFormat="1" ht="18" customHeight="1">
      <c r="A66" s="187"/>
      <c r="B66" s="7264"/>
      <c r="C66" s="7264"/>
      <c r="D66" s="2"/>
      <c r="E66" s="7042"/>
      <c r="F66" s="7042"/>
      <c r="G66" s="2"/>
      <c r="H66" s="7201"/>
      <c r="I66" s="7201"/>
      <c r="J66" s="2"/>
      <c r="K66" s="7203"/>
      <c r="L66" s="7203"/>
      <c r="M66" s="2"/>
      <c r="N66" s="7205"/>
      <c r="O66" s="7205"/>
      <c r="P66" s="2"/>
      <c r="Q66" s="7197"/>
      <c r="R66" s="7197"/>
      <c r="S66" s="2"/>
      <c r="T66" s="7182"/>
      <c r="U66" s="7182"/>
      <c r="V66" s="2"/>
      <c r="W66" s="7184"/>
      <c r="X66" s="7184"/>
      <c r="Y66" s="2"/>
      <c r="Z66" s="7187"/>
      <c r="AA66" s="7187"/>
      <c r="AB66" s="4"/>
      <c r="AC66" s="7189"/>
      <c r="AD66" s="7189"/>
      <c r="AE66" s="4"/>
      <c r="AF66" s="7191"/>
      <c r="AG66" s="7191"/>
      <c r="AH66" s="4"/>
      <c r="AI66" s="2"/>
      <c r="AJ66" s="2"/>
      <c r="AK66" s="2"/>
      <c r="AL66" s="2"/>
      <c r="AM66" s="2"/>
      <c r="AN66" s="2"/>
      <c r="AO66" s="2"/>
      <c r="AP66" s="2"/>
      <c r="AQ66" s="2"/>
      <c r="AS66" s="7264" t="s">
        <v>856</v>
      </c>
      <c r="AT66" s="7264"/>
      <c r="AV66" s="7042" t="s">
        <v>856</v>
      </c>
      <c r="AW66" s="7042"/>
      <c r="AY66" s="7201" t="s">
        <v>856</v>
      </c>
      <c r="AZ66" s="7201"/>
      <c r="BB66" s="7203" t="s">
        <v>856</v>
      </c>
      <c r="BC66" s="7203"/>
      <c r="BE66" s="7205" t="s">
        <v>856</v>
      </c>
      <c r="BF66" s="7205"/>
      <c r="BH66" s="7197" t="s">
        <v>856</v>
      </c>
      <c r="BI66" s="7197"/>
      <c r="BK66" s="7182" t="s">
        <v>856</v>
      </c>
      <c r="BL66" s="7182"/>
      <c r="BN66" s="7184" t="s">
        <v>856</v>
      </c>
      <c r="BO66" s="7184"/>
      <c r="BQ66" s="7187" t="s">
        <v>856</v>
      </c>
      <c r="BR66" s="7187"/>
      <c r="BT66" s="7189" t="s">
        <v>856</v>
      </c>
      <c r="BU66" s="7189"/>
      <c r="BW66" s="7191" t="s">
        <v>856</v>
      </c>
      <c r="BX66" s="7191"/>
      <c r="BY66"/>
      <c r="BZ66"/>
      <c r="CA66"/>
      <c r="CB66"/>
      <c r="CC66"/>
      <c r="CD66" s="7264" t="s">
        <v>856</v>
      </c>
      <c r="CE66" s="7264"/>
      <c r="CG66" s="6936" t="s">
        <v>856</v>
      </c>
      <c r="CH66" s="6936"/>
      <c r="CJ66" s="7201" t="s">
        <v>856</v>
      </c>
      <c r="CK66" s="7201"/>
      <c r="CM66" s="7203" t="s">
        <v>856</v>
      </c>
      <c r="CN66" s="7203"/>
      <c r="CP66" s="7260" t="s">
        <v>856</v>
      </c>
      <c r="CQ66" s="7260"/>
      <c r="CS66" s="7197" t="s">
        <v>856</v>
      </c>
      <c r="CT66" s="7197"/>
      <c r="CV66" s="7182" t="s">
        <v>856</v>
      </c>
      <c r="CW66" s="7182"/>
      <c r="CY66" s="7184" t="s">
        <v>856</v>
      </c>
      <c r="CZ66" s="7184"/>
      <c r="DB66" s="7187" t="s">
        <v>856</v>
      </c>
      <c r="DC66" s="7187"/>
      <c r="DE66" s="7189" t="s">
        <v>856</v>
      </c>
      <c r="DF66" s="7189"/>
      <c r="DH66" s="7191" t="s">
        <v>856</v>
      </c>
      <c r="DI66" s="7191"/>
      <c r="DK66"/>
      <c r="DL66"/>
      <c r="DM66" s="5">
        <v>1</v>
      </c>
    </row>
    <row r="67" spans="1:117" s="1" customFormat="1" ht="18" customHeight="1" thickBot="1">
      <c r="A67" s="187"/>
      <c r="B67" s="2"/>
      <c r="C67" s="2"/>
      <c r="D67" s="2"/>
      <c r="E67" s="2"/>
      <c r="F67" s="2"/>
      <c r="G67" s="2"/>
      <c r="H67" s="2"/>
      <c r="I67" s="2"/>
      <c r="J67" s="2"/>
      <c r="K67" s="2"/>
      <c r="L67" s="2"/>
      <c r="M67" s="2"/>
      <c r="N67" s="2"/>
      <c r="O67" s="2"/>
      <c r="P67" s="2"/>
      <c r="Q67" s="5496"/>
      <c r="R67" s="5496"/>
      <c r="S67" s="2"/>
      <c r="T67" s="2"/>
      <c r="U67" s="2"/>
      <c r="V67" s="2"/>
      <c r="W67" s="2"/>
      <c r="X67" s="2"/>
      <c r="Y67" s="2"/>
      <c r="Z67" s="2"/>
      <c r="AA67" s="2"/>
      <c r="AB67" s="4"/>
      <c r="AC67" s="2"/>
      <c r="AD67" s="2"/>
      <c r="AE67" s="4"/>
      <c r="AF67" s="2"/>
      <c r="AG67" s="2"/>
      <c r="AH67" s="4"/>
      <c r="AI67" s="2"/>
      <c r="AJ67" s="2"/>
      <c r="AK67" s="2"/>
      <c r="AL67" s="2"/>
      <c r="AM67" s="2"/>
      <c r="AN67" s="2"/>
      <c r="AO67" s="2"/>
      <c r="AP67" s="2"/>
      <c r="AQ67" s="2"/>
      <c r="AS67" s="2" t="s">
        <v>856</v>
      </c>
      <c r="AT67" s="2"/>
      <c r="AV67" s="2" t="s">
        <v>856</v>
      </c>
      <c r="AW67" s="2"/>
      <c r="AY67" s="2" t="s">
        <v>856</v>
      </c>
      <c r="AZ67" s="2"/>
      <c r="BB67" s="2" t="s">
        <v>856</v>
      </c>
      <c r="BC67" s="2"/>
      <c r="BE67" s="2" t="s">
        <v>856</v>
      </c>
      <c r="BF67" s="2"/>
      <c r="BH67" s="5496" t="s">
        <v>856</v>
      </c>
      <c r="BI67" s="5496"/>
      <c r="BK67" s="2" t="s">
        <v>856</v>
      </c>
      <c r="BL67" s="2"/>
      <c r="BN67" s="2" t="s">
        <v>856</v>
      </c>
      <c r="BO67" s="2"/>
      <c r="BQ67" s="2" t="s">
        <v>856</v>
      </c>
      <c r="BR67" s="2"/>
      <c r="BT67" s="2" t="s">
        <v>856</v>
      </c>
      <c r="BU67" s="2"/>
      <c r="BW67" s="2" t="s">
        <v>856</v>
      </c>
      <c r="BX67" s="2"/>
      <c r="BY67"/>
      <c r="BZ67"/>
      <c r="CA67"/>
      <c r="CB67"/>
      <c r="CC67"/>
      <c r="CD67" s="2" t="s">
        <v>856</v>
      </c>
      <c r="CE67" s="2"/>
      <c r="CG67" s="2" t="s">
        <v>856</v>
      </c>
      <c r="CH67" s="2"/>
      <c r="CJ67" s="2" t="s">
        <v>856</v>
      </c>
      <c r="CK67" s="2"/>
      <c r="CM67" s="2" t="s">
        <v>856</v>
      </c>
      <c r="CN67" s="2"/>
      <c r="CP67" s="2" t="s">
        <v>856</v>
      </c>
      <c r="CQ67" s="2"/>
      <c r="CS67" s="5496" t="s">
        <v>856</v>
      </c>
      <c r="CT67" s="5496"/>
      <c r="CV67" s="2" t="s">
        <v>856</v>
      </c>
      <c r="CW67" s="2"/>
      <c r="CY67" s="2" t="s">
        <v>856</v>
      </c>
      <c r="CZ67" s="2"/>
      <c r="DB67" s="2" t="s">
        <v>856</v>
      </c>
      <c r="DC67" s="2"/>
      <c r="DE67" s="2" t="s">
        <v>856</v>
      </c>
      <c r="DF67" s="2"/>
      <c r="DH67" t="s">
        <v>856</v>
      </c>
      <c r="DI67"/>
      <c r="DK67"/>
      <c r="DL67"/>
      <c r="DM67" s="5">
        <v>1</v>
      </c>
    </row>
    <row r="68" spans="1:117" s="1" customFormat="1" ht="18" customHeight="1">
      <c r="A68" s="187"/>
      <c r="B68" s="7268" t="s">
        <v>8203</v>
      </c>
      <c r="C68" s="7268"/>
      <c r="D68" s="2"/>
      <c r="E68" s="6935" t="s">
        <v>8204</v>
      </c>
      <c r="F68" s="6935"/>
      <c r="G68" s="2"/>
      <c r="H68" s="7200" t="s">
        <v>8205</v>
      </c>
      <c r="I68" s="7200"/>
      <c r="J68" s="2"/>
      <c r="K68" s="7202" t="s">
        <v>8206</v>
      </c>
      <c r="L68" s="7202"/>
      <c r="M68" s="2"/>
      <c r="N68" s="7204"/>
      <c r="O68" s="7204"/>
      <c r="P68" s="2"/>
      <c r="Q68" s="7196" t="s">
        <v>8207</v>
      </c>
      <c r="R68" s="7196"/>
      <c r="S68" s="2"/>
      <c r="T68" s="7181" t="s">
        <v>8208</v>
      </c>
      <c r="U68" s="7181"/>
      <c r="V68" s="2"/>
      <c r="W68" s="7183" t="s">
        <v>8209</v>
      </c>
      <c r="X68" s="7183"/>
      <c r="Y68" s="2"/>
      <c r="Z68" s="7186" t="s">
        <v>8210</v>
      </c>
      <c r="AA68" s="7186"/>
      <c r="AB68" s="4"/>
      <c r="AC68" s="7188" t="s">
        <v>8211</v>
      </c>
      <c r="AD68" s="7188"/>
      <c r="AE68" s="4"/>
      <c r="AF68" s="7190" t="s">
        <v>8212</v>
      </c>
      <c r="AG68" s="7190"/>
      <c r="AH68" s="4"/>
      <c r="AI68" s="2"/>
      <c r="AJ68" s="2"/>
      <c r="AK68" s="2"/>
      <c r="AL68" s="2"/>
      <c r="AM68" s="2"/>
      <c r="AN68" s="2"/>
      <c r="AO68" s="2"/>
      <c r="AP68" s="2"/>
      <c r="AQ68" s="2"/>
      <c r="AS68" s="7268" t="s">
        <v>10059</v>
      </c>
      <c r="AT68" s="7268"/>
      <c r="AV68" s="6935" t="s">
        <v>10113</v>
      </c>
      <c r="AW68" s="6935"/>
      <c r="AY68" s="7200" t="s">
        <v>10179</v>
      </c>
      <c r="AZ68" s="7200"/>
      <c r="BB68" s="7202" t="s">
        <v>10229</v>
      </c>
      <c r="BC68" s="7202"/>
      <c r="BE68" s="7204"/>
      <c r="BF68" s="7204"/>
      <c r="BH68" s="7196" t="s">
        <v>10320</v>
      </c>
      <c r="BI68" s="7196"/>
      <c r="BK68" s="7181" t="s">
        <v>10367</v>
      </c>
      <c r="BL68" s="7181"/>
      <c r="BN68" s="7183" t="s">
        <v>10451</v>
      </c>
      <c r="BO68" s="7183"/>
      <c r="BQ68" s="7186" t="s">
        <v>10550</v>
      </c>
      <c r="BR68" s="7186"/>
      <c r="BT68" s="7188" t="s">
        <v>10593</v>
      </c>
      <c r="BU68" s="7188"/>
      <c r="BW68" s="7190" t="s">
        <v>8222</v>
      </c>
      <c r="BX68" s="7190"/>
      <c r="BY68"/>
      <c r="BZ68"/>
      <c r="CA68"/>
      <c r="CB68"/>
      <c r="CC68"/>
      <c r="CD68" s="7268" t="s">
        <v>10085</v>
      </c>
      <c r="CE68" s="7268"/>
      <c r="CG68" s="6935" t="s">
        <v>10147</v>
      </c>
      <c r="CH68" s="6935"/>
      <c r="CJ68" s="7200" t="s">
        <v>10203</v>
      </c>
      <c r="CK68" s="7200"/>
      <c r="CM68" s="7202" t="s">
        <v>10259</v>
      </c>
      <c r="CN68" s="7202"/>
      <c r="CP68" s="7259"/>
      <c r="CQ68" s="7259"/>
      <c r="CS68" s="7196" t="s">
        <v>10344</v>
      </c>
      <c r="CT68" s="7196"/>
      <c r="CV68" s="7181" t="s">
        <v>10409</v>
      </c>
      <c r="CW68" s="7181"/>
      <c r="CY68" s="7183" t="s">
        <v>10502</v>
      </c>
      <c r="CZ68" s="7183"/>
      <c r="DB68" s="7186" t="s">
        <v>10571</v>
      </c>
      <c r="DC68" s="7186"/>
      <c r="DE68" s="7188" t="s">
        <v>10614</v>
      </c>
      <c r="DF68" s="7188"/>
      <c r="DH68" s="7190" t="s">
        <v>10648</v>
      </c>
      <c r="DI68" s="7190"/>
      <c r="DK68"/>
      <c r="DL68"/>
      <c r="DM68" s="5">
        <v>1</v>
      </c>
    </row>
    <row r="69" spans="1:117" s="1" customFormat="1" ht="18" customHeight="1">
      <c r="A69" s="187"/>
      <c r="B69" s="7269"/>
      <c r="C69" s="7269"/>
      <c r="D69" s="2"/>
      <c r="E69" s="6936"/>
      <c r="F69" s="6936"/>
      <c r="G69" s="2"/>
      <c r="H69" s="7201"/>
      <c r="I69" s="7201"/>
      <c r="J69" s="2"/>
      <c r="K69" s="7203"/>
      <c r="L69" s="7203"/>
      <c r="M69" s="2"/>
      <c r="N69" s="7205"/>
      <c r="O69" s="7205"/>
      <c r="P69" s="2"/>
      <c r="Q69" s="7197"/>
      <c r="R69" s="7197"/>
      <c r="S69" s="2"/>
      <c r="T69" s="7182"/>
      <c r="U69" s="7182"/>
      <c r="V69" s="2"/>
      <c r="W69" s="7184"/>
      <c r="X69" s="7184"/>
      <c r="Y69" s="2"/>
      <c r="Z69" s="7187"/>
      <c r="AA69" s="7187"/>
      <c r="AB69" s="4"/>
      <c r="AC69" s="7189"/>
      <c r="AD69" s="7189"/>
      <c r="AE69" s="4"/>
      <c r="AF69" s="7191"/>
      <c r="AG69" s="7191"/>
      <c r="AH69" s="4"/>
      <c r="AI69" s="2"/>
      <c r="AJ69" s="2"/>
      <c r="AK69" s="2"/>
      <c r="AL69" s="2"/>
      <c r="AM69" s="2"/>
      <c r="AN69" s="2"/>
      <c r="AO69" s="2"/>
      <c r="AP69" s="2"/>
      <c r="AQ69" s="2"/>
      <c r="AS69" s="7269" t="s">
        <v>856</v>
      </c>
      <c r="AT69" s="7269"/>
      <c r="AV69" s="6936" t="s">
        <v>856</v>
      </c>
      <c r="AW69" s="6936"/>
      <c r="AY69" s="7201" t="s">
        <v>856</v>
      </c>
      <c r="AZ69" s="7201"/>
      <c r="BB69" s="7203" t="s">
        <v>856</v>
      </c>
      <c r="BC69" s="7203"/>
      <c r="BE69" s="7205"/>
      <c r="BF69" s="7205"/>
      <c r="BH69" s="7197" t="s">
        <v>856</v>
      </c>
      <c r="BI69" s="7197"/>
      <c r="BK69" s="7182" t="s">
        <v>856</v>
      </c>
      <c r="BL69" s="7182"/>
      <c r="BN69" s="7184" t="s">
        <v>856</v>
      </c>
      <c r="BO69" s="7184"/>
      <c r="BQ69" s="7187" t="s">
        <v>856</v>
      </c>
      <c r="BR69" s="7187"/>
      <c r="BT69" s="7189" t="s">
        <v>856</v>
      </c>
      <c r="BU69" s="7189"/>
      <c r="BW69" s="7191" t="s">
        <v>856</v>
      </c>
      <c r="BX69" s="7191"/>
      <c r="BY69"/>
      <c r="BZ69"/>
      <c r="CA69"/>
      <c r="CB69"/>
      <c r="CC69"/>
      <c r="CD69" s="7269" t="s">
        <v>856</v>
      </c>
      <c r="CE69" s="7269"/>
      <c r="CG69" s="6936" t="s">
        <v>856</v>
      </c>
      <c r="CH69" s="6936"/>
      <c r="CJ69" s="7201" t="s">
        <v>856</v>
      </c>
      <c r="CK69" s="7201"/>
      <c r="CM69" s="7203" t="s">
        <v>856</v>
      </c>
      <c r="CN69" s="7203"/>
      <c r="CP69" s="7260"/>
      <c r="CQ69" s="7260"/>
      <c r="CS69" s="7197" t="s">
        <v>856</v>
      </c>
      <c r="CT69" s="7197"/>
      <c r="CV69" s="7182" t="s">
        <v>856</v>
      </c>
      <c r="CW69" s="7182"/>
      <c r="CY69" s="7184" t="s">
        <v>856</v>
      </c>
      <c r="CZ69" s="7184"/>
      <c r="DB69" s="7187" t="s">
        <v>856</v>
      </c>
      <c r="DC69" s="7187"/>
      <c r="DE69" s="7189" t="s">
        <v>856</v>
      </c>
      <c r="DF69" s="7189"/>
      <c r="DH69" s="7191" t="s">
        <v>856</v>
      </c>
      <c r="DI69" s="7191"/>
      <c r="DK69"/>
      <c r="DL69"/>
      <c r="DM69" s="5">
        <v>1</v>
      </c>
    </row>
    <row r="70" spans="1:117" s="1" customFormat="1" ht="18" customHeight="1" thickBot="1">
      <c r="A70" s="187"/>
      <c r="B70" s="2"/>
      <c r="C70" s="2"/>
      <c r="D70" s="2"/>
      <c r="E70" s="2"/>
      <c r="F70" s="2"/>
      <c r="G70" s="2"/>
      <c r="H70" s="2"/>
      <c r="I70" s="2"/>
      <c r="J70" s="2"/>
      <c r="K70" s="2"/>
      <c r="L70" s="2"/>
      <c r="M70" s="2"/>
      <c r="N70" s="2"/>
      <c r="O70" s="2"/>
      <c r="P70" s="2"/>
      <c r="Q70" s="5496"/>
      <c r="R70" s="5496"/>
      <c r="S70" s="2"/>
      <c r="T70" s="2"/>
      <c r="U70" s="2"/>
      <c r="V70" s="2"/>
      <c r="W70" s="2"/>
      <c r="X70" s="2"/>
      <c r="Y70" s="2"/>
      <c r="Z70" s="2"/>
      <c r="AA70" s="2"/>
      <c r="AB70" s="4"/>
      <c r="AC70" s="2"/>
      <c r="AD70" s="2"/>
      <c r="AE70" s="4"/>
      <c r="AF70" s="2"/>
      <c r="AG70" s="2"/>
      <c r="AH70" s="4"/>
      <c r="AI70" s="2"/>
      <c r="AJ70" s="2"/>
      <c r="AK70" s="2"/>
      <c r="AL70" s="2"/>
      <c r="AM70" s="2"/>
      <c r="AN70" s="2"/>
      <c r="AO70" s="2"/>
      <c r="AP70" s="2"/>
      <c r="AQ70" s="2"/>
      <c r="AS70" s="2" t="s">
        <v>856</v>
      </c>
      <c r="AT70" s="2"/>
      <c r="AV70" s="2" t="s">
        <v>856</v>
      </c>
      <c r="AW70" s="2"/>
      <c r="AY70" s="2" t="s">
        <v>856</v>
      </c>
      <c r="AZ70" s="2"/>
      <c r="BB70" s="2" t="s">
        <v>856</v>
      </c>
      <c r="BC70" s="2"/>
      <c r="BE70" s="2"/>
      <c r="BF70" s="2"/>
      <c r="BH70" s="5496" t="s">
        <v>856</v>
      </c>
      <c r="BI70" s="5496"/>
      <c r="BK70" s="2" t="s">
        <v>856</v>
      </c>
      <c r="BL70" s="2"/>
      <c r="BN70" s="2" t="s">
        <v>856</v>
      </c>
      <c r="BO70" s="2"/>
      <c r="BQ70" s="2" t="s">
        <v>856</v>
      </c>
      <c r="BR70" s="2"/>
      <c r="BT70" s="2" t="s">
        <v>856</v>
      </c>
      <c r="BU70" s="2"/>
      <c r="BW70" s="2" t="s">
        <v>856</v>
      </c>
      <c r="BX70" s="2"/>
      <c r="BY70"/>
      <c r="BZ70"/>
      <c r="CA70"/>
      <c r="CB70"/>
      <c r="CC70"/>
      <c r="CD70" s="2" t="s">
        <v>856</v>
      </c>
      <c r="CE70" s="2"/>
      <c r="CG70" s="2" t="s">
        <v>856</v>
      </c>
      <c r="CH70" s="2"/>
      <c r="CJ70" s="2" t="s">
        <v>856</v>
      </c>
      <c r="CK70" s="2"/>
      <c r="CM70" s="2" t="s">
        <v>856</v>
      </c>
      <c r="CN70" s="2"/>
      <c r="CP70"/>
      <c r="CQ70"/>
      <c r="CS70" s="5496" t="s">
        <v>856</v>
      </c>
      <c r="CT70" s="5496"/>
      <c r="CV70" s="2" t="s">
        <v>856</v>
      </c>
      <c r="CW70" s="2"/>
      <c r="CY70" s="2" t="s">
        <v>856</v>
      </c>
      <c r="CZ70" s="2"/>
      <c r="DB70" s="2" t="s">
        <v>856</v>
      </c>
      <c r="DC70" s="2"/>
      <c r="DE70" s="2" t="s">
        <v>856</v>
      </c>
      <c r="DF70" s="2"/>
      <c r="DH70" t="s">
        <v>856</v>
      </c>
      <c r="DI70"/>
      <c r="DK70"/>
      <c r="DL70"/>
      <c r="DM70" s="5">
        <v>1</v>
      </c>
    </row>
    <row r="71" spans="1:117" s="1" customFormat="1" ht="18" customHeight="1">
      <c r="A71" s="187"/>
      <c r="B71" s="7267" t="s">
        <v>8213</v>
      </c>
      <c r="C71" s="7267"/>
      <c r="D71" s="2"/>
      <c r="E71" s="6935" t="s">
        <v>8214</v>
      </c>
      <c r="F71" s="6935"/>
      <c r="G71" s="2"/>
      <c r="H71" s="7200" t="s">
        <v>8215</v>
      </c>
      <c r="I71" s="7200"/>
      <c r="J71" s="2"/>
      <c r="K71" s="7202" t="s">
        <v>8216</v>
      </c>
      <c r="L71" s="7202"/>
      <c r="M71" s="2"/>
      <c r="N71" s="2"/>
      <c r="O71" s="2"/>
      <c r="P71" s="2"/>
      <c r="Q71" s="7196" t="s">
        <v>8217</v>
      </c>
      <c r="R71" s="7196"/>
      <c r="S71" s="2"/>
      <c r="T71" s="7181" t="s">
        <v>8218</v>
      </c>
      <c r="U71" s="7181"/>
      <c r="V71" s="2"/>
      <c r="W71" s="7183" t="s">
        <v>8219</v>
      </c>
      <c r="X71" s="7183"/>
      <c r="Y71" s="2"/>
      <c r="Z71" s="7186" t="s">
        <v>8220</v>
      </c>
      <c r="AA71" s="7186"/>
      <c r="AB71" s="4"/>
      <c r="AC71" s="7188" t="s">
        <v>8221</v>
      </c>
      <c r="AD71" s="7188"/>
      <c r="AE71" s="4"/>
      <c r="AF71" s="7190" t="s">
        <v>8222</v>
      </c>
      <c r="AG71" s="7190"/>
      <c r="AH71" s="4"/>
      <c r="AI71" s="2"/>
      <c r="AJ71" s="2"/>
      <c r="AK71" s="2"/>
      <c r="AL71" s="2"/>
      <c r="AM71" s="2"/>
      <c r="AN71" s="2"/>
      <c r="AO71" s="2"/>
      <c r="AP71" s="2"/>
      <c r="AQ71" s="2"/>
      <c r="AS71" s="7267" t="s">
        <v>10060</v>
      </c>
      <c r="AT71" s="7267"/>
      <c r="AV71" s="6935" t="s">
        <v>10114</v>
      </c>
      <c r="AW71" s="6935"/>
      <c r="AY71" s="7200" t="s">
        <v>10180</v>
      </c>
      <c r="AZ71" s="7200"/>
      <c r="BB71" s="7202" t="s">
        <v>10230</v>
      </c>
      <c r="BC71" s="7202"/>
      <c r="BE71"/>
      <c r="BF71"/>
      <c r="BH71" s="7196" t="s">
        <v>10321</v>
      </c>
      <c r="BI71" s="7196"/>
      <c r="BK71" s="7181" t="s">
        <v>10368</v>
      </c>
      <c r="BL71" s="7181"/>
      <c r="BN71" s="7183" t="s">
        <v>10452</v>
      </c>
      <c r="BO71" s="7183"/>
      <c r="BQ71" s="7186" t="s">
        <v>10551</v>
      </c>
      <c r="BR71" s="7186"/>
      <c r="BT71" s="7188" t="s">
        <v>10594</v>
      </c>
      <c r="BU71" s="7188"/>
      <c r="BW71" s="7190" t="s">
        <v>8232</v>
      </c>
      <c r="BX71" s="7190"/>
      <c r="BY71"/>
      <c r="BZ71"/>
      <c r="CA71"/>
      <c r="CB71"/>
      <c r="CC71"/>
      <c r="CD71" s="7267" t="s">
        <v>10086</v>
      </c>
      <c r="CE71" s="7267"/>
      <c r="CG71" s="6935" t="s">
        <v>10148</v>
      </c>
      <c r="CH71" s="6935"/>
      <c r="CJ71" s="7200" t="s">
        <v>10204</v>
      </c>
      <c r="CK71" s="7200"/>
      <c r="CM71" s="7202" t="s">
        <v>10260</v>
      </c>
      <c r="CN71" s="7202"/>
      <c r="CP71"/>
      <c r="CQ71"/>
      <c r="CS71" s="7196" t="s">
        <v>10345</v>
      </c>
      <c r="CT71" s="7196"/>
      <c r="CV71" s="7181" t="s">
        <v>10410</v>
      </c>
      <c r="CW71" s="7181"/>
      <c r="CY71" s="7183" t="s">
        <v>10503</v>
      </c>
      <c r="CZ71" s="7183"/>
      <c r="DB71" s="7186" t="s">
        <v>8210</v>
      </c>
      <c r="DC71" s="7186"/>
      <c r="DE71" s="7188" t="s">
        <v>10615</v>
      </c>
      <c r="DF71" s="7188"/>
      <c r="DH71" s="7190" t="s">
        <v>10649</v>
      </c>
      <c r="DI71" s="7190"/>
      <c r="DK71"/>
      <c r="DL71"/>
      <c r="DM71" s="5">
        <v>1</v>
      </c>
    </row>
    <row r="72" spans="1:117" s="1" customFormat="1" ht="18" customHeight="1">
      <c r="A72" s="187"/>
      <c r="B72" s="7220"/>
      <c r="C72" s="7220"/>
      <c r="D72" s="2"/>
      <c r="E72" s="6936"/>
      <c r="F72" s="6936"/>
      <c r="G72" s="2"/>
      <c r="H72" s="7201"/>
      <c r="I72" s="7201"/>
      <c r="J72" s="2"/>
      <c r="K72" s="7203"/>
      <c r="L72" s="7203"/>
      <c r="M72" s="2"/>
      <c r="N72" s="2"/>
      <c r="O72" s="2"/>
      <c r="P72" s="2"/>
      <c r="Q72" s="7197"/>
      <c r="R72" s="7197"/>
      <c r="S72" s="2"/>
      <c r="T72" s="7182"/>
      <c r="U72" s="7182"/>
      <c r="V72" s="2"/>
      <c r="W72" s="7184"/>
      <c r="X72" s="7184"/>
      <c r="Y72" s="2"/>
      <c r="Z72" s="7187"/>
      <c r="AA72" s="7187"/>
      <c r="AB72" s="4"/>
      <c r="AC72" s="7189"/>
      <c r="AD72" s="7189"/>
      <c r="AE72" s="4"/>
      <c r="AF72" s="7191"/>
      <c r="AG72" s="7191"/>
      <c r="AH72" s="4"/>
      <c r="AI72" s="2"/>
      <c r="AJ72" s="2"/>
      <c r="AK72" s="2"/>
      <c r="AL72" s="2"/>
      <c r="AM72" s="2"/>
      <c r="AN72" s="2"/>
      <c r="AO72" s="2"/>
      <c r="AP72" s="2"/>
      <c r="AQ72" s="2"/>
      <c r="AS72" s="7220" t="s">
        <v>856</v>
      </c>
      <c r="AT72" s="7220"/>
      <c r="AV72" s="6936" t="s">
        <v>856</v>
      </c>
      <c r="AW72" s="6936"/>
      <c r="AY72" s="7201" t="s">
        <v>856</v>
      </c>
      <c r="AZ72" s="7201"/>
      <c r="BB72" s="7203" t="s">
        <v>856</v>
      </c>
      <c r="BC72" s="7203"/>
      <c r="BE72"/>
      <c r="BF72"/>
      <c r="BH72" s="7197" t="s">
        <v>856</v>
      </c>
      <c r="BI72" s="7197"/>
      <c r="BK72" s="7182" t="s">
        <v>856</v>
      </c>
      <c r="BL72" s="7182"/>
      <c r="BN72" s="7184" t="s">
        <v>856</v>
      </c>
      <c r="BO72" s="7184"/>
      <c r="BQ72" s="7187" t="s">
        <v>856</v>
      </c>
      <c r="BR72" s="7187"/>
      <c r="BT72" s="7189" t="s">
        <v>856</v>
      </c>
      <c r="BU72" s="7189"/>
      <c r="BW72" s="7191" t="s">
        <v>856</v>
      </c>
      <c r="BX72" s="7191"/>
      <c r="BY72"/>
      <c r="BZ72"/>
      <c r="CA72"/>
      <c r="CB72"/>
      <c r="CC72"/>
      <c r="CD72" s="7220" t="s">
        <v>856</v>
      </c>
      <c r="CE72" s="7220"/>
      <c r="CG72" s="6936" t="s">
        <v>856</v>
      </c>
      <c r="CH72" s="6936"/>
      <c r="CJ72" s="7201" t="s">
        <v>856</v>
      </c>
      <c r="CK72" s="7201"/>
      <c r="CM72" s="7203" t="s">
        <v>856</v>
      </c>
      <c r="CN72" s="7203"/>
      <c r="CP72"/>
      <c r="CQ72"/>
      <c r="CS72" s="7197" t="s">
        <v>856</v>
      </c>
      <c r="CT72" s="7197"/>
      <c r="CV72" s="7182" t="s">
        <v>856</v>
      </c>
      <c r="CW72" s="7182"/>
      <c r="CY72" s="7184" t="s">
        <v>856</v>
      </c>
      <c r="CZ72" s="7184"/>
      <c r="DB72" s="7187" t="s">
        <v>856</v>
      </c>
      <c r="DC72" s="7187"/>
      <c r="DE72" s="7189" t="s">
        <v>856</v>
      </c>
      <c r="DF72" s="7189"/>
      <c r="DH72" s="7191" t="s">
        <v>856</v>
      </c>
      <c r="DI72" s="7191"/>
      <c r="DK72"/>
      <c r="DL72"/>
      <c r="DM72" s="5">
        <v>1</v>
      </c>
    </row>
    <row r="73" spans="1:117" s="1" customFormat="1" ht="18" customHeight="1" thickBot="1">
      <c r="A73" s="187"/>
      <c r="B73" s="2"/>
      <c r="C73" s="2"/>
      <c r="D73" s="2"/>
      <c r="E73" s="2"/>
      <c r="F73" s="2"/>
      <c r="G73" s="2"/>
      <c r="H73" s="2"/>
      <c r="I73" s="2"/>
      <c r="J73" s="2"/>
      <c r="K73" s="2"/>
      <c r="L73" s="2"/>
      <c r="M73" s="2"/>
      <c r="N73" s="2"/>
      <c r="O73" s="2"/>
      <c r="P73" s="2"/>
      <c r="Q73" s="5496"/>
      <c r="R73" s="5496"/>
      <c r="S73" s="2"/>
      <c r="T73" s="2"/>
      <c r="U73" s="2"/>
      <c r="V73" s="2"/>
      <c r="W73" s="2"/>
      <c r="X73" s="2"/>
      <c r="Y73" s="2"/>
      <c r="Z73" s="2"/>
      <c r="AA73" s="2"/>
      <c r="AB73" s="4"/>
      <c r="AC73"/>
      <c r="AD73"/>
      <c r="AE73" s="4"/>
      <c r="AF73"/>
      <c r="AG73"/>
      <c r="AH73" s="4"/>
      <c r="AI73" s="2"/>
      <c r="AJ73" s="2"/>
      <c r="AK73" s="2"/>
      <c r="AL73" s="2"/>
      <c r="AM73" s="2"/>
      <c r="AN73" s="2"/>
      <c r="AO73" s="2"/>
      <c r="AP73" s="2"/>
      <c r="AQ73" s="2"/>
      <c r="AS73" s="2" t="s">
        <v>856</v>
      </c>
      <c r="AT73" s="2"/>
      <c r="AV73" s="2" t="s">
        <v>856</v>
      </c>
      <c r="AW73" s="2"/>
      <c r="AY73" s="2" t="s">
        <v>856</v>
      </c>
      <c r="AZ73" s="2"/>
      <c r="BB73" s="2" t="s">
        <v>856</v>
      </c>
      <c r="BC73" s="2"/>
      <c r="BE73"/>
      <c r="BF73"/>
      <c r="BH73" s="5496" t="s">
        <v>856</v>
      </c>
      <c r="BI73" s="5496"/>
      <c r="BK73" s="2" t="s">
        <v>856</v>
      </c>
      <c r="BL73" s="2"/>
      <c r="BN73" s="2" t="s">
        <v>856</v>
      </c>
      <c r="BO73" s="2"/>
      <c r="BQ73" s="2" t="s">
        <v>856</v>
      </c>
      <c r="BR73" s="2"/>
      <c r="BT73" s="2" t="s">
        <v>856</v>
      </c>
      <c r="BU73" s="2"/>
      <c r="BW73" t="s">
        <v>856</v>
      </c>
      <c r="BX73"/>
      <c r="BY73"/>
      <c r="BZ73"/>
      <c r="CA73"/>
      <c r="CB73"/>
      <c r="CC73"/>
      <c r="CD73" s="2" t="s">
        <v>856</v>
      </c>
      <c r="CE73" s="2"/>
      <c r="CG73" s="2" t="s">
        <v>856</v>
      </c>
      <c r="CH73" s="2"/>
      <c r="CJ73" t="s">
        <v>856</v>
      </c>
      <c r="CK73"/>
      <c r="CM73" t="s">
        <v>856</v>
      </c>
      <c r="CN73"/>
      <c r="CP73"/>
      <c r="CQ73"/>
      <c r="CS73" s="5496" t="s">
        <v>856</v>
      </c>
      <c r="CT73" s="5496"/>
      <c r="CV73" s="2" t="s">
        <v>856</v>
      </c>
      <c r="CW73" s="2"/>
      <c r="CY73" s="2" t="s">
        <v>856</v>
      </c>
      <c r="CZ73" s="2"/>
      <c r="DB73" s="2" t="s">
        <v>856</v>
      </c>
      <c r="DC73" s="2"/>
      <c r="DE73" t="s">
        <v>856</v>
      </c>
      <c r="DF73"/>
      <c r="DH73" t="s">
        <v>856</v>
      </c>
      <c r="DI73"/>
      <c r="DK73"/>
      <c r="DL73"/>
      <c r="DM73" s="5">
        <v>1</v>
      </c>
    </row>
    <row r="74" spans="1:117" s="1" customFormat="1" ht="18" customHeight="1">
      <c r="A74" s="187"/>
      <c r="B74" s="7272" t="s">
        <v>8223</v>
      </c>
      <c r="C74" s="7272"/>
      <c r="D74" s="2"/>
      <c r="E74" s="6935" t="s">
        <v>8224</v>
      </c>
      <c r="F74" s="6935"/>
      <c r="G74" s="2"/>
      <c r="H74" s="7200" t="s">
        <v>8225</v>
      </c>
      <c r="I74" s="7200"/>
      <c r="J74" s="2"/>
      <c r="K74" s="7202" t="s">
        <v>8226</v>
      </c>
      <c r="L74" s="7202"/>
      <c r="M74" s="2"/>
      <c r="N74" s="2"/>
      <c r="O74" s="2"/>
      <c r="P74" s="2"/>
      <c r="Q74" s="7196" t="s">
        <v>8227</v>
      </c>
      <c r="R74" s="7196"/>
      <c r="S74" s="2"/>
      <c r="T74" s="7181" t="s">
        <v>8228</v>
      </c>
      <c r="U74" s="7181"/>
      <c r="V74" s="2"/>
      <c r="W74" s="7183" t="s">
        <v>8229</v>
      </c>
      <c r="X74" s="7183"/>
      <c r="Y74" s="2"/>
      <c r="Z74" s="7186" t="s">
        <v>8230</v>
      </c>
      <c r="AA74" s="7186"/>
      <c r="AB74" s="4"/>
      <c r="AC74" s="7188" t="s">
        <v>8231</v>
      </c>
      <c r="AD74" s="7188"/>
      <c r="AE74" s="4"/>
      <c r="AF74" s="7190" t="s">
        <v>8232</v>
      </c>
      <c r="AG74" s="7190"/>
      <c r="AH74" s="4"/>
      <c r="AI74" s="2"/>
      <c r="AJ74" s="2"/>
      <c r="AK74" s="2"/>
      <c r="AL74" s="2"/>
      <c r="AM74" s="2"/>
      <c r="AN74" s="2"/>
      <c r="AO74" s="2"/>
      <c r="AP74" s="2"/>
      <c r="AQ74" s="2"/>
      <c r="AS74" s="7272" t="s">
        <v>10061</v>
      </c>
      <c r="AT74" s="7272"/>
      <c r="AV74" s="6935" t="s">
        <v>10115</v>
      </c>
      <c r="AW74" s="6935"/>
      <c r="AY74" s="7200" t="s">
        <v>10181</v>
      </c>
      <c r="AZ74" s="7200"/>
      <c r="BB74" s="7202" t="s">
        <v>10231</v>
      </c>
      <c r="BC74" s="7202"/>
      <c r="BE74"/>
      <c r="BF74"/>
      <c r="BH74" s="7196" t="s">
        <v>10322</v>
      </c>
      <c r="BI74" s="7196"/>
      <c r="BK74" s="7181" t="s">
        <v>10369</v>
      </c>
      <c r="BL74" s="7181"/>
      <c r="BN74" s="7183" t="s">
        <v>10453</v>
      </c>
      <c r="BO74" s="7183"/>
      <c r="BQ74" s="7186" t="s">
        <v>10552</v>
      </c>
      <c r="BR74" s="7186"/>
      <c r="BT74" s="7188" t="s">
        <v>10595</v>
      </c>
      <c r="BU74" s="7188"/>
      <c r="BW74" s="7190" t="s">
        <v>8242</v>
      </c>
      <c r="BX74" s="7190"/>
      <c r="BY74"/>
      <c r="BZ74"/>
      <c r="CA74"/>
      <c r="CB74"/>
      <c r="CC74"/>
      <c r="CD74" s="7272" t="s">
        <v>10087</v>
      </c>
      <c r="CE74" s="7272"/>
      <c r="CG74" s="6935" t="s">
        <v>10149</v>
      </c>
      <c r="CH74" s="6935"/>
      <c r="CJ74" s="7200" t="s">
        <v>10205</v>
      </c>
      <c r="CK74" s="7200"/>
      <c r="CM74" s="7202" t="s">
        <v>10261</v>
      </c>
      <c r="CN74" s="7202"/>
      <c r="CP74"/>
      <c r="CQ74"/>
      <c r="CS74" s="7196" t="s">
        <v>10346</v>
      </c>
      <c r="CT74" s="7196"/>
      <c r="CV74" s="7181" t="s">
        <v>10411</v>
      </c>
      <c r="CW74" s="7181"/>
      <c r="CY74" s="7183" t="s">
        <v>10504</v>
      </c>
      <c r="CZ74" s="7183"/>
      <c r="DB74" s="7186" t="s">
        <v>10572</v>
      </c>
      <c r="DC74" s="7186"/>
      <c r="DE74" s="7188" t="s">
        <v>10616</v>
      </c>
      <c r="DF74" s="7188"/>
      <c r="DH74" s="7190" t="s">
        <v>10650</v>
      </c>
      <c r="DI74" s="7190"/>
      <c r="DK74"/>
      <c r="DL74"/>
      <c r="DM74" s="5">
        <v>1</v>
      </c>
    </row>
    <row r="75" spans="1:117" s="1" customFormat="1" ht="18" customHeight="1">
      <c r="A75" s="187"/>
      <c r="B75" s="7273"/>
      <c r="C75" s="7273"/>
      <c r="D75" s="2"/>
      <c r="E75" s="6936"/>
      <c r="F75" s="6936"/>
      <c r="G75" s="2"/>
      <c r="H75" s="7201"/>
      <c r="I75" s="7201"/>
      <c r="J75" s="2"/>
      <c r="K75" s="7203"/>
      <c r="L75" s="7203"/>
      <c r="M75" s="2"/>
      <c r="N75" s="2"/>
      <c r="O75" s="2"/>
      <c r="P75" s="2"/>
      <c r="Q75" s="7197"/>
      <c r="R75" s="7197"/>
      <c r="S75" s="2"/>
      <c r="T75" s="7182"/>
      <c r="U75" s="7182"/>
      <c r="V75" s="2"/>
      <c r="W75" s="7184"/>
      <c r="X75" s="7184"/>
      <c r="Y75" s="2"/>
      <c r="Z75" s="7187"/>
      <c r="AA75" s="7187"/>
      <c r="AB75" s="4"/>
      <c r="AC75" s="7189"/>
      <c r="AD75" s="7189"/>
      <c r="AE75" s="4"/>
      <c r="AF75" s="7191"/>
      <c r="AG75" s="7191"/>
      <c r="AH75" s="4"/>
      <c r="AI75" s="2"/>
      <c r="AJ75" s="2"/>
      <c r="AK75" s="2"/>
      <c r="AL75" s="2"/>
      <c r="AM75" s="2"/>
      <c r="AN75" s="2"/>
      <c r="AO75" s="2"/>
      <c r="AP75" s="2"/>
      <c r="AQ75" s="2"/>
      <c r="AS75" s="7273" t="s">
        <v>856</v>
      </c>
      <c r="AT75" s="7273"/>
      <c r="AV75" s="6936" t="s">
        <v>856</v>
      </c>
      <c r="AW75" s="6936"/>
      <c r="AY75" s="7201" t="s">
        <v>856</v>
      </c>
      <c r="AZ75" s="7201"/>
      <c r="BB75" s="7203" t="s">
        <v>856</v>
      </c>
      <c r="BC75" s="7203"/>
      <c r="BE75"/>
      <c r="BF75"/>
      <c r="BH75" s="7197" t="s">
        <v>856</v>
      </c>
      <c r="BI75" s="7197"/>
      <c r="BK75" s="7182" t="s">
        <v>856</v>
      </c>
      <c r="BL75" s="7182"/>
      <c r="BN75" s="7184" t="s">
        <v>856</v>
      </c>
      <c r="BO75" s="7184"/>
      <c r="BQ75" s="7187" t="s">
        <v>856</v>
      </c>
      <c r="BR75" s="7187"/>
      <c r="BT75" s="7189" t="s">
        <v>856</v>
      </c>
      <c r="BU75" s="7189"/>
      <c r="BW75" s="7191" t="s">
        <v>856</v>
      </c>
      <c r="BX75" s="7191"/>
      <c r="BY75"/>
      <c r="BZ75"/>
      <c r="CA75"/>
      <c r="CB75"/>
      <c r="CC75"/>
      <c r="CD75" s="7273" t="s">
        <v>856</v>
      </c>
      <c r="CE75" s="7273"/>
      <c r="CG75" s="6936" t="s">
        <v>856</v>
      </c>
      <c r="CH75" s="6936"/>
      <c r="CJ75" s="7201" t="s">
        <v>856</v>
      </c>
      <c r="CK75" s="7201"/>
      <c r="CM75" s="7203" t="s">
        <v>856</v>
      </c>
      <c r="CN75" s="7203"/>
      <c r="CP75"/>
      <c r="CQ75"/>
      <c r="CS75" s="7197" t="s">
        <v>856</v>
      </c>
      <c r="CT75" s="7197"/>
      <c r="CV75" s="7182" t="s">
        <v>856</v>
      </c>
      <c r="CW75" s="7182"/>
      <c r="CY75" s="7184" t="s">
        <v>856</v>
      </c>
      <c r="CZ75" s="7184"/>
      <c r="DB75" s="7187" t="s">
        <v>856</v>
      </c>
      <c r="DC75" s="7187"/>
      <c r="DE75" s="7189" t="s">
        <v>856</v>
      </c>
      <c r="DF75" s="7189"/>
      <c r="DH75" s="7191" t="s">
        <v>856</v>
      </c>
      <c r="DI75" s="7191"/>
      <c r="DK75"/>
      <c r="DL75"/>
      <c r="DM75" s="5">
        <v>1</v>
      </c>
    </row>
    <row r="76" spans="1:117" s="1" customFormat="1" ht="18" customHeight="1" thickBot="1">
      <c r="A76" s="187"/>
      <c r="B76" s="2"/>
      <c r="C76" s="2"/>
      <c r="D76" s="2"/>
      <c r="E76" s="2"/>
      <c r="F76" s="2"/>
      <c r="G76" s="2"/>
      <c r="H76" s="2"/>
      <c r="I76" s="2"/>
      <c r="J76" s="2"/>
      <c r="K76"/>
      <c r="L76"/>
      <c r="M76" s="2"/>
      <c r="N76" s="2"/>
      <c r="O76" s="2"/>
      <c r="P76" s="2"/>
      <c r="Q76" s="5496"/>
      <c r="R76" s="5496"/>
      <c r="S76" s="2"/>
      <c r="T76" s="2"/>
      <c r="U76" s="2"/>
      <c r="V76" s="2"/>
      <c r="W76" s="2"/>
      <c r="X76" s="2"/>
      <c r="Y76" s="2"/>
      <c r="Z76" s="2"/>
      <c r="AA76" s="2"/>
      <c r="AB76" s="4"/>
      <c r="AC76"/>
      <c r="AD76"/>
      <c r="AE76" s="4"/>
      <c r="AF76"/>
      <c r="AG76"/>
      <c r="AH76" s="4"/>
      <c r="AI76" s="2"/>
      <c r="AJ76" s="2"/>
      <c r="AK76" s="2"/>
      <c r="AL76" s="2"/>
      <c r="AM76" s="2"/>
      <c r="AN76" s="2"/>
      <c r="AO76" s="2"/>
      <c r="AP76" s="2"/>
      <c r="AQ76" s="2"/>
      <c r="AS76" s="2" t="s">
        <v>856</v>
      </c>
      <c r="AT76" s="2"/>
      <c r="AV76" s="2" t="s">
        <v>856</v>
      </c>
      <c r="AW76" s="2"/>
      <c r="AY76" s="2" t="s">
        <v>856</v>
      </c>
      <c r="AZ76" s="2"/>
      <c r="BB76" s="2" t="s">
        <v>856</v>
      </c>
      <c r="BC76" s="2"/>
      <c r="BE76"/>
      <c r="BF76"/>
      <c r="BH76" s="5496" t="s">
        <v>856</v>
      </c>
      <c r="BI76" s="5496"/>
      <c r="BK76" s="2" t="s">
        <v>856</v>
      </c>
      <c r="BL76" s="2"/>
      <c r="BN76" s="2" t="s">
        <v>856</v>
      </c>
      <c r="BO76" s="2"/>
      <c r="BQ76" s="2" t="s">
        <v>856</v>
      </c>
      <c r="BR76" s="2"/>
      <c r="BT76" s="2" t="s">
        <v>856</v>
      </c>
      <c r="BU76" s="2"/>
      <c r="BW76" t="s">
        <v>856</v>
      </c>
      <c r="BX76"/>
      <c r="BY76"/>
      <c r="BZ76"/>
      <c r="CA76"/>
      <c r="CB76"/>
      <c r="CC76"/>
      <c r="CD76" s="2" t="s">
        <v>856</v>
      </c>
      <c r="CE76" s="2"/>
      <c r="CG76" s="2" t="s">
        <v>856</v>
      </c>
      <c r="CH76" s="2"/>
      <c r="CJ76" t="s">
        <v>856</v>
      </c>
      <c r="CK76"/>
      <c r="CM76" t="s">
        <v>856</v>
      </c>
      <c r="CN76"/>
      <c r="CP76"/>
      <c r="CQ76"/>
      <c r="CS76" s="5496" t="s">
        <v>856</v>
      </c>
      <c r="CT76" s="5496"/>
      <c r="CV76" s="2" t="s">
        <v>856</v>
      </c>
      <c r="CW76" s="2"/>
      <c r="CY76" s="2" t="s">
        <v>856</v>
      </c>
      <c r="CZ76" s="2"/>
      <c r="DB76" s="2" t="s">
        <v>856</v>
      </c>
      <c r="DC76" s="2"/>
      <c r="DE76" t="s">
        <v>856</v>
      </c>
      <c r="DF76"/>
      <c r="DH76" t="s">
        <v>856</v>
      </c>
      <c r="DI76"/>
      <c r="DK76"/>
      <c r="DL76"/>
      <c r="DM76" s="5">
        <v>1</v>
      </c>
    </row>
    <row r="77" spans="1:117" s="1" customFormat="1" ht="18" customHeight="1">
      <c r="A77" s="187"/>
      <c r="B77" s="7270" t="s">
        <v>8233</v>
      </c>
      <c r="C77" s="7270"/>
      <c r="D77" s="2"/>
      <c r="E77" s="6935" t="s">
        <v>8234</v>
      </c>
      <c r="F77" s="6935"/>
      <c r="G77" s="2"/>
      <c r="H77" s="7200" t="s">
        <v>8235</v>
      </c>
      <c r="I77" s="7200"/>
      <c r="J77" s="2"/>
      <c r="K77" s="7202" t="s">
        <v>8236</v>
      </c>
      <c r="L77" s="7202"/>
      <c r="M77" s="2"/>
      <c r="N77" s="2"/>
      <c r="O77" s="2"/>
      <c r="P77" s="2"/>
      <c r="Q77" s="7196" t="s">
        <v>8237</v>
      </c>
      <c r="R77" s="7196"/>
      <c r="S77" s="2"/>
      <c r="T77" s="7181" t="s">
        <v>8238</v>
      </c>
      <c r="U77" s="7181"/>
      <c r="V77" s="2"/>
      <c r="W77" s="7183" t="s">
        <v>8239</v>
      </c>
      <c r="X77" s="7183"/>
      <c r="Y77" s="2"/>
      <c r="Z77" s="7186" t="s">
        <v>8240</v>
      </c>
      <c r="AA77" s="7186"/>
      <c r="AB77" s="4"/>
      <c r="AC77" s="7188" t="s">
        <v>8241</v>
      </c>
      <c r="AD77" s="7188"/>
      <c r="AE77" s="4"/>
      <c r="AF77" s="7190" t="s">
        <v>8242</v>
      </c>
      <c r="AG77" s="7190"/>
      <c r="AH77" s="4"/>
      <c r="AI77" s="2"/>
      <c r="AJ77" s="2"/>
      <c r="AK77" s="2"/>
      <c r="AL77" s="2"/>
      <c r="AM77" s="2"/>
      <c r="AN77" s="2"/>
      <c r="AO77" s="2"/>
      <c r="AP77" s="2"/>
      <c r="AQ77" s="2"/>
      <c r="AS77" s="7270" t="s">
        <v>10062</v>
      </c>
      <c r="AT77" s="7270"/>
      <c r="AV77" s="6935" t="s">
        <v>10116</v>
      </c>
      <c r="AW77" s="6935"/>
      <c r="AY77" s="7200" t="s">
        <v>10182</v>
      </c>
      <c r="AZ77" s="7200"/>
      <c r="BB77" s="7202" t="s">
        <v>10232</v>
      </c>
      <c r="BC77" s="7202"/>
      <c r="BE77"/>
      <c r="BF77"/>
      <c r="BH77" s="7196" t="s">
        <v>10323</v>
      </c>
      <c r="BI77" s="7196"/>
      <c r="BK77" s="7181" t="s">
        <v>10370</v>
      </c>
      <c r="BL77" s="7181"/>
      <c r="BN77" s="7183" t="s">
        <v>10454</v>
      </c>
      <c r="BO77" s="7183"/>
      <c r="BQ77" s="7186" t="s">
        <v>10553</v>
      </c>
      <c r="BR77" s="7186"/>
      <c r="BT77" s="7188" t="s">
        <v>10596</v>
      </c>
      <c r="BU77" s="7188"/>
      <c r="BW77" s="7190" t="s">
        <v>10628</v>
      </c>
      <c r="BX77" s="7190"/>
      <c r="BY77"/>
      <c r="BZ77"/>
      <c r="CA77"/>
      <c r="CB77"/>
      <c r="CC77"/>
      <c r="CD77" s="7270" t="s">
        <v>10088</v>
      </c>
      <c r="CE77" s="7270"/>
      <c r="CG77" s="7215" t="s">
        <v>10150</v>
      </c>
      <c r="CH77" s="7215"/>
      <c r="CJ77" s="7200" t="s">
        <v>10206</v>
      </c>
      <c r="CK77" s="7200"/>
      <c r="CM77" s="7202" t="s">
        <v>10262</v>
      </c>
      <c r="CN77" s="7202"/>
      <c r="CP77"/>
      <c r="CQ77"/>
      <c r="CS77" s="7196" t="s">
        <v>10347</v>
      </c>
      <c r="CT77" s="7196"/>
      <c r="CV77" s="7181" t="s">
        <v>10412</v>
      </c>
      <c r="CW77" s="7181"/>
      <c r="CY77" s="7183" t="s">
        <v>10505</v>
      </c>
      <c r="CZ77" s="7183"/>
      <c r="DB77" s="7186" t="s">
        <v>10573</v>
      </c>
      <c r="DC77" s="7186"/>
      <c r="DE77" s="7188" t="s">
        <v>10617</v>
      </c>
      <c r="DF77" s="7188"/>
      <c r="DH77" s="7190" t="s">
        <v>10643</v>
      </c>
      <c r="DI77" s="7190"/>
      <c r="DK77"/>
      <c r="DL77"/>
      <c r="DM77" s="5">
        <v>1</v>
      </c>
    </row>
    <row r="78" spans="1:117" s="1" customFormat="1" ht="18" customHeight="1">
      <c r="A78" s="187"/>
      <c r="B78" s="7271"/>
      <c r="C78" s="7271"/>
      <c r="D78" s="2"/>
      <c r="E78" s="6936"/>
      <c r="F78" s="6936"/>
      <c r="G78" s="2"/>
      <c r="H78" s="7201"/>
      <c r="I78" s="7201"/>
      <c r="J78" s="2"/>
      <c r="K78" s="7203"/>
      <c r="L78" s="7203"/>
      <c r="M78" s="2"/>
      <c r="N78" s="2"/>
      <c r="O78" s="2"/>
      <c r="P78" s="2"/>
      <c r="Q78" s="7197"/>
      <c r="R78" s="7197"/>
      <c r="S78" s="2"/>
      <c r="T78" s="7182"/>
      <c r="U78" s="7182"/>
      <c r="V78" s="2"/>
      <c r="W78" s="7184"/>
      <c r="X78" s="7184"/>
      <c r="Y78" s="2"/>
      <c r="Z78" s="7187"/>
      <c r="AA78" s="7187"/>
      <c r="AB78" s="4"/>
      <c r="AC78" s="7189"/>
      <c r="AD78" s="7189"/>
      <c r="AE78" s="4"/>
      <c r="AF78" s="7191"/>
      <c r="AG78" s="7191"/>
      <c r="AH78" s="4"/>
      <c r="AI78" s="2"/>
      <c r="AJ78" s="2"/>
      <c r="AK78" s="2"/>
      <c r="AL78" s="2"/>
      <c r="AM78" s="2"/>
      <c r="AN78" s="2"/>
      <c r="AO78" s="2"/>
      <c r="AP78" s="2"/>
      <c r="AQ78" s="2"/>
      <c r="AS78" s="7271" t="s">
        <v>856</v>
      </c>
      <c r="AT78" s="7271"/>
      <c r="AV78" s="6936" t="s">
        <v>856</v>
      </c>
      <c r="AW78" s="6936"/>
      <c r="AY78" s="7201" t="s">
        <v>856</v>
      </c>
      <c r="AZ78" s="7201"/>
      <c r="BB78" s="7203" t="s">
        <v>856</v>
      </c>
      <c r="BC78" s="7203"/>
      <c r="BE78"/>
      <c r="BF78"/>
      <c r="BH78" s="7197" t="s">
        <v>856</v>
      </c>
      <c r="BI78" s="7197"/>
      <c r="BK78" s="7182" t="s">
        <v>856</v>
      </c>
      <c r="BL78" s="7182"/>
      <c r="BN78" s="7184" t="s">
        <v>856</v>
      </c>
      <c r="BO78" s="7184"/>
      <c r="BQ78" s="7187" t="s">
        <v>856</v>
      </c>
      <c r="BR78" s="7187"/>
      <c r="BT78" s="7189" t="s">
        <v>856</v>
      </c>
      <c r="BU78" s="7189"/>
      <c r="BW78" s="7191" t="s">
        <v>856</v>
      </c>
      <c r="BX78" s="7191"/>
      <c r="BY78"/>
      <c r="BZ78"/>
      <c r="CA78"/>
      <c r="CB78"/>
      <c r="CC78"/>
      <c r="CD78" s="7271" t="s">
        <v>856</v>
      </c>
      <c r="CE78" s="7271"/>
      <c r="CG78" s="7042" t="s">
        <v>856</v>
      </c>
      <c r="CH78" s="7042"/>
      <c r="CJ78" s="7201" t="s">
        <v>856</v>
      </c>
      <c r="CK78" s="7201"/>
      <c r="CM78" s="7203" t="s">
        <v>856</v>
      </c>
      <c r="CN78" s="7203"/>
      <c r="CP78"/>
      <c r="CQ78"/>
      <c r="CS78" s="7197" t="s">
        <v>856</v>
      </c>
      <c r="CT78" s="7197"/>
      <c r="CV78" s="7182" t="s">
        <v>856</v>
      </c>
      <c r="CW78" s="7182"/>
      <c r="CY78" s="7184" t="s">
        <v>856</v>
      </c>
      <c r="CZ78" s="7184"/>
      <c r="DB78" s="7187" t="s">
        <v>856</v>
      </c>
      <c r="DC78" s="7187"/>
      <c r="DE78" s="7189" t="s">
        <v>856</v>
      </c>
      <c r="DF78" s="7189"/>
      <c r="DH78" s="7191" t="s">
        <v>856</v>
      </c>
      <c r="DI78" s="7191"/>
      <c r="DK78"/>
      <c r="DL78"/>
      <c r="DM78" s="5">
        <v>1</v>
      </c>
    </row>
    <row r="79" spans="1:117" s="1" customFormat="1" ht="18" customHeight="1" thickBot="1">
      <c r="A79" s="187"/>
      <c r="B79" s="2"/>
      <c r="C79" s="2"/>
      <c r="D79" s="2"/>
      <c r="E79" s="2"/>
      <c r="F79" s="2"/>
      <c r="G79" s="2"/>
      <c r="H79"/>
      <c r="I79"/>
      <c r="J79" s="2"/>
      <c r="K79"/>
      <c r="L79"/>
      <c r="M79" s="2"/>
      <c r="N79" s="2"/>
      <c r="O79" s="2"/>
      <c r="P79" s="2"/>
      <c r="Q79" s="5496"/>
      <c r="R79" s="5496"/>
      <c r="S79" s="2"/>
      <c r="T79" s="2"/>
      <c r="U79" s="2"/>
      <c r="V79" s="2"/>
      <c r="W79" s="2"/>
      <c r="X79" s="2"/>
      <c r="Y79" s="2"/>
      <c r="Z79" s="2"/>
      <c r="AA79" s="2"/>
      <c r="AB79" s="4"/>
      <c r="AC79"/>
      <c r="AD79"/>
      <c r="AE79" s="4"/>
      <c r="AF79"/>
      <c r="AG79"/>
      <c r="AH79" s="4"/>
      <c r="AI79" s="2"/>
      <c r="AJ79" s="2"/>
      <c r="AK79" s="2"/>
      <c r="AL79" s="2"/>
      <c r="AM79" s="2"/>
      <c r="AN79" s="2"/>
      <c r="AO79" s="2"/>
      <c r="AP79" s="2"/>
      <c r="AQ79" s="2"/>
      <c r="AS79" s="2" t="s">
        <v>856</v>
      </c>
      <c r="AT79" s="2"/>
      <c r="AV79" s="2" t="s">
        <v>856</v>
      </c>
      <c r="AW79" s="2"/>
      <c r="AY79" t="s">
        <v>856</v>
      </c>
      <c r="AZ79"/>
      <c r="BB79" t="s">
        <v>856</v>
      </c>
      <c r="BC79"/>
      <c r="BE79"/>
      <c r="BF79"/>
      <c r="BH79" s="5496" t="s">
        <v>856</v>
      </c>
      <c r="BI79" s="5496"/>
      <c r="BK79" s="2" t="s">
        <v>856</v>
      </c>
      <c r="BL79" s="2"/>
      <c r="BN79" s="2" t="s">
        <v>856</v>
      </c>
      <c r="BO79" s="2"/>
      <c r="BQ79" s="2" t="s">
        <v>856</v>
      </c>
      <c r="BR79" s="2"/>
      <c r="BT79" t="s">
        <v>856</v>
      </c>
      <c r="BU79"/>
      <c r="BW79" t="s">
        <v>856</v>
      </c>
      <c r="BX79"/>
      <c r="BY79"/>
      <c r="BZ79"/>
      <c r="CA79"/>
      <c r="CB79"/>
      <c r="CC79"/>
      <c r="CD79" s="2" t="s">
        <v>856</v>
      </c>
      <c r="CE79" s="2"/>
      <c r="CG79" s="2" t="s">
        <v>856</v>
      </c>
      <c r="CH79" s="2"/>
      <c r="CJ79" t="s">
        <v>856</v>
      </c>
      <c r="CK79"/>
      <c r="CM79" t="s">
        <v>856</v>
      </c>
      <c r="CN79"/>
      <c r="CP79"/>
      <c r="CQ79"/>
      <c r="CS79" s="5496" t="s">
        <v>856</v>
      </c>
      <c r="CT79" s="5496"/>
      <c r="CV79" s="2" t="s">
        <v>856</v>
      </c>
      <c r="CW79" s="2"/>
      <c r="CY79" s="2" t="s">
        <v>856</v>
      </c>
      <c r="CZ79" s="2"/>
      <c r="DB79" t="s">
        <v>856</v>
      </c>
      <c r="DC79"/>
      <c r="DE79" t="s">
        <v>856</v>
      </c>
      <c r="DF79"/>
      <c r="DH79" t="s">
        <v>856</v>
      </c>
      <c r="DI79"/>
      <c r="DK79"/>
      <c r="DL79"/>
      <c r="DM79" s="5">
        <v>1</v>
      </c>
    </row>
    <row r="80" spans="1:117" s="1" customFormat="1" ht="18" customHeight="1">
      <c r="A80" s="187"/>
      <c r="B80" s="7198" t="s">
        <v>8243</v>
      </c>
      <c r="C80" s="7198"/>
      <c r="D80" s="2"/>
      <c r="E80" s="6935" t="s">
        <v>8244</v>
      </c>
      <c r="F80" s="6935"/>
      <c r="G80" s="2"/>
      <c r="H80" s="7200" t="s">
        <v>8245</v>
      </c>
      <c r="I80" s="7200"/>
      <c r="J80" s="2"/>
      <c r="K80" s="7202" t="s">
        <v>8246</v>
      </c>
      <c r="L80" s="7202"/>
      <c r="M80" s="2"/>
      <c r="N80" s="2"/>
      <c r="O80" s="2"/>
      <c r="P80" s="2"/>
      <c r="Q80" s="7196" t="s">
        <v>8247</v>
      </c>
      <c r="R80" s="7196"/>
      <c r="S80" s="2"/>
      <c r="T80" s="7181" t="s">
        <v>8248</v>
      </c>
      <c r="U80" s="7181"/>
      <c r="V80" s="2"/>
      <c r="W80" s="7183" t="s">
        <v>8249</v>
      </c>
      <c r="X80" s="7183"/>
      <c r="Y80" s="2"/>
      <c r="Z80" s="7186" t="s">
        <v>8250</v>
      </c>
      <c r="AA80" s="7186"/>
      <c r="AB80" s="4"/>
      <c r="AC80" s="7188" t="s">
        <v>8251</v>
      </c>
      <c r="AD80" s="7188"/>
      <c r="AE80" s="4"/>
      <c r="AF80" s="7190" t="s">
        <v>8252</v>
      </c>
      <c r="AG80" s="7190"/>
      <c r="AH80" s="4"/>
      <c r="AI80" s="2"/>
      <c r="AJ80" s="2"/>
      <c r="AK80" s="2"/>
      <c r="AL80" s="2"/>
      <c r="AM80" s="2"/>
      <c r="AN80" s="2"/>
      <c r="AO80" s="2"/>
      <c r="AP80" s="2"/>
      <c r="AQ80" s="2"/>
      <c r="AS80" s="7198" t="s">
        <v>10063</v>
      </c>
      <c r="AT80" s="7198"/>
      <c r="AV80" s="6935" t="s">
        <v>10117</v>
      </c>
      <c r="AW80" s="6935"/>
      <c r="AY80" s="7200" t="s">
        <v>10183</v>
      </c>
      <c r="AZ80" s="7200"/>
      <c r="BB80" s="7202" t="s">
        <v>10233</v>
      </c>
      <c r="BC80" s="7202"/>
      <c r="BE80"/>
      <c r="BF80"/>
      <c r="BH80" s="7196" t="s">
        <v>10324</v>
      </c>
      <c r="BI80" s="7196"/>
      <c r="BK80" s="7181" t="s">
        <v>10371</v>
      </c>
      <c r="BL80" s="7181"/>
      <c r="BN80" s="7183" t="s">
        <v>10455</v>
      </c>
      <c r="BO80" s="7183"/>
      <c r="BQ80" s="7186" t="s">
        <v>10554</v>
      </c>
      <c r="BR80" s="7186"/>
      <c r="BT80" s="7188"/>
      <c r="BU80" s="7188"/>
      <c r="BW80" s="7190"/>
      <c r="BX80" s="7190"/>
      <c r="BY80"/>
      <c r="BZ80"/>
      <c r="CA80"/>
      <c r="CB80"/>
      <c r="CC80"/>
      <c r="CD80" s="7198" t="s">
        <v>10089</v>
      </c>
      <c r="CE80" s="7198"/>
      <c r="CG80" s="6935" t="s">
        <v>10151</v>
      </c>
      <c r="CH80" s="6935"/>
      <c r="CJ80" s="7200" t="s">
        <v>10207</v>
      </c>
      <c r="CK80" s="7200"/>
      <c r="CM80" s="7202" t="s">
        <v>10263</v>
      </c>
      <c r="CN80" s="7202"/>
      <c r="CP80"/>
      <c r="CQ80"/>
      <c r="CS80" s="7196" t="s">
        <v>10348</v>
      </c>
      <c r="CT80" s="7196"/>
      <c r="CV80" s="7181" t="s">
        <v>10413</v>
      </c>
      <c r="CW80" s="7181"/>
      <c r="CY80" s="7183" t="s">
        <v>10506</v>
      </c>
      <c r="CZ80" s="7183"/>
      <c r="DB80" s="7186" t="s">
        <v>10574</v>
      </c>
      <c r="DC80" s="7186"/>
      <c r="DE80" s="7188"/>
      <c r="DF80" s="7188"/>
      <c r="DH80" s="7190"/>
      <c r="DI80" s="7190"/>
      <c r="DK80"/>
      <c r="DL80"/>
      <c r="DM80" s="5">
        <v>1</v>
      </c>
    </row>
    <row r="81" spans="1:117" s="1" customFormat="1" ht="18" customHeight="1">
      <c r="A81" s="187"/>
      <c r="B81" s="7199"/>
      <c r="C81" s="7199"/>
      <c r="D81" s="2"/>
      <c r="E81" s="6936"/>
      <c r="F81" s="6936"/>
      <c r="G81" s="2"/>
      <c r="H81" s="7201"/>
      <c r="I81" s="7201"/>
      <c r="J81" s="2"/>
      <c r="K81" s="7203"/>
      <c r="L81" s="7203"/>
      <c r="M81" s="2"/>
      <c r="N81" s="2"/>
      <c r="O81" s="2"/>
      <c r="P81" s="2"/>
      <c r="Q81" s="7197"/>
      <c r="R81" s="7197"/>
      <c r="S81" s="2"/>
      <c r="T81" s="7182"/>
      <c r="U81" s="7182"/>
      <c r="V81" s="2"/>
      <c r="W81" s="7184"/>
      <c r="X81" s="7184"/>
      <c r="Y81" s="2"/>
      <c r="Z81" s="7187"/>
      <c r="AA81" s="7187"/>
      <c r="AB81" s="4"/>
      <c r="AC81" s="7189"/>
      <c r="AD81" s="7189"/>
      <c r="AE81" s="4"/>
      <c r="AF81" s="7191"/>
      <c r="AG81" s="7191"/>
      <c r="AH81" s="4"/>
      <c r="AI81" s="2"/>
      <c r="AJ81" s="2"/>
      <c r="AK81" s="2"/>
      <c r="AL81" s="2"/>
      <c r="AM81" s="2"/>
      <c r="AN81" s="2"/>
      <c r="AO81" s="2"/>
      <c r="AP81" s="2"/>
      <c r="AQ81" s="2"/>
      <c r="AS81" s="7199" t="s">
        <v>856</v>
      </c>
      <c r="AT81" s="7199"/>
      <c r="AV81" s="6936" t="s">
        <v>856</v>
      </c>
      <c r="AW81" s="6936"/>
      <c r="AY81" s="7201" t="s">
        <v>856</v>
      </c>
      <c r="AZ81" s="7201"/>
      <c r="BB81" s="7203" t="s">
        <v>856</v>
      </c>
      <c r="BC81" s="7203"/>
      <c r="BE81"/>
      <c r="BF81"/>
      <c r="BH81" s="7197" t="s">
        <v>856</v>
      </c>
      <c r="BI81" s="7197"/>
      <c r="BK81" s="7182" t="s">
        <v>856</v>
      </c>
      <c r="BL81" s="7182"/>
      <c r="BN81" s="7184" t="s">
        <v>856</v>
      </c>
      <c r="BO81" s="7184"/>
      <c r="BQ81" s="7187" t="s">
        <v>856</v>
      </c>
      <c r="BR81" s="7187"/>
      <c r="BT81" s="7189"/>
      <c r="BU81" s="7189"/>
      <c r="BW81" s="7191"/>
      <c r="BX81" s="7191"/>
      <c r="BY81"/>
      <c r="BZ81"/>
      <c r="CA81"/>
      <c r="CB81"/>
      <c r="CC81"/>
      <c r="CD81" s="7199" t="s">
        <v>856</v>
      </c>
      <c r="CE81" s="7199"/>
      <c r="CG81" s="6936" t="s">
        <v>856</v>
      </c>
      <c r="CH81" s="6936"/>
      <c r="CJ81" s="7201" t="s">
        <v>856</v>
      </c>
      <c r="CK81" s="7201"/>
      <c r="CM81" s="7203" t="s">
        <v>856</v>
      </c>
      <c r="CN81" s="7203"/>
      <c r="CP81"/>
      <c r="CQ81"/>
      <c r="CS81" s="7197" t="s">
        <v>856</v>
      </c>
      <c r="CT81" s="7197"/>
      <c r="CV81" s="7182" t="s">
        <v>856</v>
      </c>
      <c r="CW81" s="7182"/>
      <c r="CY81" s="7184" t="s">
        <v>856</v>
      </c>
      <c r="CZ81" s="7184"/>
      <c r="DB81" s="7187" t="s">
        <v>856</v>
      </c>
      <c r="DC81" s="7187"/>
      <c r="DE81" s="7189"/>
      <c r="DF81" s="7189"/>
      <c r="DH81" s="7191"/>
      <c r="DI81" s="7191"/>
      <c r="DK81"/>
      <c r="DL81"/>
      <c r="DM81" s="5">
        <v>1</v>
      </c>
    </row>
    <row r="82" spans="1:117" s="1" customFormat="1" ht="18" customHeight="1" thickBot="1">
      <c r="A82" s="187"/>
      <c r="B82" s="2"/>
      <c r="C82" s="2"/>
      <c r="D82" s="2"/>
      <c r="E82" s="2"/>
      <c r="F82" s="2"/>
      <c r="G82" s="2"/>
      <c r="H82"/>
      <c r="I82"/>
      <c r="J82" s="2"/>
      <c r="K82"/>
      <c r="L82"/>
      <c r="M82" s="2"/>
      <c r="N82" s="2"/>
      <c r="O82" s="2"/>
      <c r="P82" s="2"/>
      <c r="Q82" s="5496"/>
      <c r="R82" s="5496"/>
      <c r="S82" s="2"/>
      <c r="T82" s="2"/>
      <c r="U82" s="2"/>
      <c r="V82" s="2"/>
      <c r="W82" s="2"/>
      <c r="X82" s="2"/>
      <c r="Y82" s="2"/>
      <c r="Z82" s="2"/>
      <c r="AA82" s="2"/>
      <c r="AB82" s="4"/>
      <c r="AC82"/>
      <c r="AD82"/>
      <c r="AE82" s="4"/>
      <c r="AF82"/>
      <c r="AG82"/>
      <c r="AH82" s="4"/>
      <c r="AI82" s="2"/>
      <c r="AJ82" s="2"/>
      <c r="AK82" s="2"/>
      <c r="AL82" s="2"/>
      <c r="AM82" s="2"/>
      <c r="AN82" s="2"/>
      <c r="AO82" s="2"/>
      <c r="AP82" s="2"/>
      <c r="AQ82" s="2"/>
      <c r="AS82" s="2" t="s">
        <v>856</v>
      </c>
      <c r="AT82" s="2"/>
      <c r="AV82" s="2" t="s">
        <v>856</v>
      </c>
      <c r="AW82" s="2"/>
      <c r="AY82" t="s">
        <v>856</v>
      </c>
      <c r="AZ82"/>
      <c r="BB82" t="s">
        <v>856</v>
      </c>
      <c r="BC82"/>
      <c r="BE82"/>
      <c r="BF82"/>
      <c r="BH82" s="5496" t="s">
        <v>856</v>
      </c>
      <c r="BI82" s="5496"/>
      <c r="BK82" s="2" t="s">
        <v>856</v>
      </c>
      <c r="BL82" s="2"/>
      <c r="BN82" s="2" t="s">
        <v>856</v>
      </c>
      <c r="BO82" s="2"/>
      <c r="BQ82" s="2" t="s">
        <v>856</v>
      </c>
      <c r="BR82" s="2"/>
      <c r="BT82" t="s">
        <v>856</v>
      </c>
      <c r="BU82"/>
      <c r="BW82"/>
      <c r="BX82"/>
      <c r="BY82"/>
      <c r="BZ82"/>
      <c r="CA82"/>
      <c r="CB82"/>
      <c r="CC82"/>
      <c r="CD82" s="2" t="s">
        <v>856</v>
      </c>
      <c r="CE82" s="2"/>
      <c r="CG82" s="2" t="s">
        <v>856</v>
      </c>
      <c r="CH82" s="2"/>
      <c r="CJ82" t="s">
        <v>856</v>
      </c>
      <c r="CK82"/>
      <c r="CM82" t="s">
        <v>856</v>
      </c>
      <c r="CN82"/>
      <c r="CP82"/>
      <c r="CQ82"/>
      <c r="CS82" s="5496" t="s">
        <v>856</v>
      </c>
      <c r="CT82" s="5496"/>
      <c r="CV82" s="2" t="s">
        <v>856</v>
      </c>
      <c r="CW82" s="2"/>
      <c r="CY82" s="2" t="s">
        <v>856</v>
      </c>
      <c r="CZ82" s="2"/>
      <c r="DB82" t="s">
        <v>856</v>
      </c>
      <c r="DC82"/>
      <c r="DE82"/>
      <c r="DF82"/>
      <c r="DH82"/>
      <c r="DI82"/>
      <c r="DK82"/>
      <c r="DL82"/>
      <c r="DM82" s="5">
        <v>1</v>
      </c>
    </row>
    <row r="83" spans="1:117" s="1" customFormat="1" ht="18" customHeight="1">
      <c r="A83" s="187"/>
      <c r="B83" s="7198" t="s">
        <v>8253</v>
      </c>
      <c r="C83" s="7198"/>
      <c r="D83" s="2"/>
      <c r="E83" s="7215" t="s">
        <v>8254</v>
      </c>
      <c r="F83" s="7215"/>
      <c r="G83" s="2"/>
      <c r="H83" s="7200" t="s">
        <v>8255</v>
      </c>
      <c r="I83" s="7200"/>
      <c r="J83" s="2"/>
      <c r="K83" s="7202" t="s">
        <v>8162</v>
      </c>
      <c r="L83" s="7202"/>
      <c r="M83" s="2"/>
      <c r="N83" s="2"/>
      <c r="O83" s="2"/>
      <c r="P83" s="2"/>
      <c r="Q83" s="7196" t="s">
        <v>8256</v>
      </c>
      <c r="R83" s="7196"/>
      <c r="S83" s="2"/>
      <c r="T83" s="7181" t="s">
        <v>8257</v>
      </c>
      <c r="U83" s="7181"/>
      <c r="V83" s="2"/>
      <c r="W83" s="7183" t="s">
        <v>8258</v>
      </c>
      <c r="X83" s="7183"/>
      <c r="Y83" s="2"/>
      <c r="Z83" s="7186"/>
      <c r="AA83" s="7186"/>
      <c r="AB83" s="4"/>
      <c r="AC83" s="7188"/>
      <c r="AD83" s="7188"/>
      <c r="AE83" s="4"/>
      <c r="AF83" s="7190"/>
      <c r="AG83" s="7190"/>
      <c r="AH83" s="4"/>
      <c r="AI83" s="2"/>
      <c r="AJ83" s="2"/>
      <c r="AK83" s="2"/>
      <c r="AL83" s="2"/>
      <c r="AM83" s="2"/>
      <c r="AN83" s="2"/>
      <c r="AO83" s="2"/>
      <c r="AP83" s="2"/>
      <c r="AQ83" s="2"/>
      <c r="AS83" s="7198" t="s">
        <v>10064</v>
      </c>
      <c r="AT83" s="7198"/>
      <c r="AV83" s="7215" t="s">
        <v>10118</v>
      </c>
      <c r="AW83" s="7215"/>
      <c r="AY83" s="7200" t="s">
        <v>10184</v>
      </c>
      <c r="AZ83" s="7200"/>
      <c r="BB83" s="7202" t="s">
        <v>10225</v>
      </c>
      <c r="BC83" s="7202"/>
      <c r="BE83"/>
      <c r="BF83"/>
      <c r="BH83" s="7196" t="s">
        <v>10325</v>
      </c>
      <c r="BI83" s="7196"/>
      <c r="BK83" s="7181" t="s">
        <v>10372</v>
      </c>
      <c r="BL83" s="7181"/>
      <c r="BN83" s="7183" t="s">
        <v>10456</v>
      </c>
      <c r="BO83" s="7183"/>
      <c r="BQ83" s="7186" t="s">
        <v>10555</v>
      </c>
      <c r="BR83" s="7186"/>
      <c r="BT83"/>
      <c r="BU83"/>
      <c r="BW83"/>
      <c r="BX83"/>
      <c r="BY83"/>
      <c r="BZ83"/>
      <c r="CA83"/>
      <c r="CB83"/>
      <c r="CC83"/>
      <c r="CD83" s="7198" t="s">
        <v>10090</v>
      </c>
      <c r="CE83" s="7198"/>
      <c r="CG83" s="6935" t="s">
        <v>10152</v>
      </c>
      <c r="CH83" s="6935"/>
      <c r="CJ83" s="7200" t="s">
        <v>10208</v>
      </c>
      <c r="CK83" s="7200"/>
      <c r="CM83" s="7202" t="s">
        <v>10255</v>
      </c>
      <c r="CN83" s="7202"/>
      <c r="CP83"/>
      <c r="CQ83"/>
      <c r="CS83" s="7196" t="s">
        <v>10349</v>
      </c>
      <c r="CT83" s="7196"/>
      <c r="CV83" s="7181" t="s">
        <v>10414</v>
      </c>
      <c r="CW83" s="7181"/>
      <c r="CY83" s="7183" t="s">
        <v>10507</v>
      </c>
      <c r="CZ83" s="7183"/>
      <c r="DB83" s="7186" t="s">
        <v>10575</v>
      </c>
      <c r="DC83" s="7186"/>
      <c r="DE83"/>
      <c r="DF83"/>
      <c r="DH83"/>
      <c r="DI83"/>
      <c r="DK83"/>
      <c r="DL83"/>
      <c r="DM83" s="5">
        <v>1</v>
      </c>
    </row>
    <row r="84" spans="1:117" s="1" customFormat="1" ht="18" customHeight="1">
      <c r="A84" s="187"/>
      <c r="B84" s="7199"/>
      <c r="C84" s="7199"/>
      <c r="D84" s="2"/>
      <c r="E84" s="7042"/>
      <c r="F84" s="7042"/>
      <c r="G84" s="2"/>
      <c r="H84" s="7201"/>
      <c r="I84" s="7201"/>
      <c r="J84" s="2"/>
      <c r="K84" s="7203"/>
      <c r="L84" s="7203"/>
      <c r="M84" s="2"/>
      <c r="N84" s="2"/>
      <c r="O84" s="2"/>
      <c r="P84" s="2"/>
      <c r="Q84" s="7197"/>
      <c r="R84" s="7197"/>
      <c r="S84" s="2"/>
      <c r="T84" s="7182"/>
      <c r="U84" s="7182"/>
      <c r="V84" s="2"/>
      <c r="W84" s="7184"/>
      <c r="X84" s="7184"/>
      <c r="Y84" s="2"/>
      <c r="Z84" s="7187"/>
      <c r="AA84" s="7187"/>
      <c r="AB84" s="4"/>
      <c r="AC84" s="7189"/>
      <c r="AD84" s="7189"/>
      <c r="AE84" s="4"/>
      <c r="AF84" s="7191"/>
      <c r="AG84" s="7191"/>
      <c r="AH84" s="4"/>
      <c r="AI84" s="2"/>
      <c r="AJ84" s="2"/>
      <c r="AK84" s="2"/>
      <c r="AL84" s="2"/>
      <c r="AM84" s="2"/>
      <c r="AN84" s="2"/>
      <c r="AO84" s="2"/>
      <c r="AP84" s="2"/>
      <c r="AQ84" s="2"/>
      <c r="AS84" s="7199" t="s">
        <v>856</v>
      </c>
      <c r="AT84" s="7199"/>
      <c r="AV84" s="7042" t="s">
        <v>856</v>
      </c>
      <c r="AW84" s="7042"/>
      <c r="AY84" s="7201" t="s">
        <v>856</v>
      </c>
      <c r="AZ84" s="7201"/>
      <c r="BB84" s="7203" t="s">
        <v>856</v>
      </c>
      <c r="BC84" s="7203"/>
      <c r="BE84"/>
      <c r="BF84"/>
      <c r="BH84" s="7197" t="s">
        <v>856</v>
      </c>
      <c r="BI84" s="7197"/>
      <c r="BK84" s="7182" t="s">
        <v>856</v>
      </c>
      <c r="BL84" s="7182"/>
      <c r="BN84" s="7184" t="s">
        <v>856</v>
      </c>
      <c r="BO84" s="7184"/>
      <c r="BQ84" s="7187" t="s">
        <v>856</v>
      </c>
      <c r="BR84" s="7187"/>
      <c r="BT84"/>
      <c r="BU84"/>
      <c r="BW84"/>
      <c r="BX84"/>
      <c r="BY84"/>
      <c r="BZ84"/>
      <c r="CA84"/>
      <c r="CB84"/>
      <c r="CC84"/>
      <c r="CD84" s="7199" t="s">
        <v>856</v>
      </c>
      <c r="CE84" s="7199"/>
      <c r="CG84" s="6936" t="s">
        <v>856</v>
      </c>
      <c r="CH84" s="6936"/>
      <c r="CJ84" s="7201" t="s">
        <v>856</v>
      </c>
      <c r="CK84" s="7201"/>
      <c r="CM84" s="7203" t="s">
        <v>856</v>
      </c>
      <c r="CN84" s="7203"/>
      <c r="CP84"/>
      <c r="CQ84"/>
      <c r="CS84" s="7197" t="s">
        <v>856</v>
      </c>
      <c r="CT84" s="7197"/>
      <c r="CV84" s="7182" t="s">
        <v>856</v>
      </c>
      <c r="CW84" s="7182"/>
      <c r="CY84" s="7184" t="s">
        <v>856</v>
      </c>
      <c r="CZ84" s="7184"/>
      <c r="DB84" s="7187" t="s">
        <v>856</v>
      </c>
      <c r="DC84" s="7187"/>
      <c r="DE84" t="s">
        <v>856</v>
      </c>
      <c r="DF84"/>
      <c r="DH84"/>
      <c r="DI84"/>
      <c r="DK84"/>
      <c r="DL84"/>
      <c r="DM84" s="5">
        <v>1</v>
      </c>
    </row>
    <row r="85" spans="1:117" s="1" customFormat="1" ht="18" customHeight="1" thickBot="1">
      <c r="A85"/>
      <c r="B85" s="2"/>
      <c r="C85" s="2"/>
      <c r="D85" s="2"/>
      <c r="E85" s="2"/>
      <c r="F85" s="2"/>
      <c r="G85" s="2"/>
      <c r="H85"/>
      <c r="I85"/>
      <c r="J85" s="2"/>
      <c r="K85"/>
      <c r="L85"/>
      <c r="M85" s="2"/>
      <c r="N85" s="2"/>
      <c r="O85" s="2"/>
      <c r="P85" s="2"/>
      <c r="Q85" s="5496"/>
      <c r="R85" s="5496"/>
      <c r="S85" s="2"/>
      <c r="T85" s="2"/>
      <c r="U85" s="2"/>
      <c r="V85" s="2"/>
      <c r="W85" s="2"/>
      <c r="X85" s="2"/>
      <c r="Y85" s="2"/>
      <c r="Z85" s="2"/>
      <c r="AA85" s="2"/>
      <c r="AB85" s="4"/>
      <c r="AC85"/>
      <c r="AD85"/>
      <c r="AE85" s="4"/>
      <c r="AF85"/>
      <c r="AG85"/>
      <c r="AH85" s="4"/>
      <c r="AI85" s="2"/>
      <c r="AJ85" s="2"/>
      <c r="AK85" s="2"/>
      <c r="AL85" s="2"/>
      <c r="AM85" s="2"/>
      <c r="AN85" s="2"/>
      <c r="AO85" s="2"/>
      <c r="AP85" s="2"/>
      <c r="AQ85" s="2"/>
      <c r="AS85" s="2" t="s">
        <v>856</v>
      </c>
      <c r="AT85" s="2"/>
      <c r="AV85" s="2" t="s">
        <v>856</v>
      </c>
      <c r="AW85" s="2"/>
      <c r="AY85" t="s">
        <v>856</v>
      </c>
      <c r="AZ85"/>
      <c r="BB85" t="s">
        <v>856</v>
      </c>
      <c r="BC85"/>
      <c r="BE85"/>
      <c r="BF85"/>
      <c r="BH85" s="5496" t="s">
        <v>856</v>
      </c>
      <c r="BI85" s="5496"/>
      <c r="BK85" s="2" t="s">
        <v>856</v>
      </c>
      <c r="BL85" s="2"/>
      <c r="BN85" s="2" t="s">
        <v>856</v>
      </c>
      <c r="BO85" s="2"/>
      <c r="BQ85"/>
      <c r="BR85"/>
      <c r="BT85"/>
      <c r="BU85"/>
      <c r="BW85"/>
      <c r="BX85"/>
      <c r="BY85"/>
      <c r="BZ85"/>
      <c r="CA85"/>
      <c r="CB85"/>
      <c r="CC85"/>
      <c r="CD85" s="2" t="s">
        <v>856</v>
      </c>
      <c r="CE85" s="2"/>
      <c r="CG85" s="2" t="s">
        <v>856</v>
      </c>
      <c r="CH85" s="2"/>
      <c r="CJ85" t="s">
        <v>856</v>
      </c>
      <c r="CK85"/>
      <c r="CM85" t="s">
        <v>856</v>
      </c>
      <c r="CN85"/>
      <c r="CP85"/>
      <c r="CQ85"/>
      <c r="CS85" s="5496" t="s">
        <v>856</v>
      </c>
      <c r="CT85" s="5496"/>
      <c r="CV85" s="2" t="s">
        <v>856</v>
      </c>
      <c r="CW85" s="2"/>
      <c r="CY85" s="2" t="s">
        <v>856</v>
      </c>
      <c r="CZ85" s="2"/>
      <c r="DB85" t="s">
        <v>856</v>
      </c>
      <c r="DC85"/>
      <c r="DE85" t="s">
        <v>856</v>
      </c>
      <c r="DF85"/>
      <c r="DH85"/>
      <c r="DI85"/>
      <c r="DK85"/>
      <c r="DL85"/>
      <c r="DM85" s="5">
        <v>1</v>
      </c>
    </row>
    <row r="86" spans="1:117" s="1" customFormat="1" ht="18" customHeight="1">
      <c r="B86" s="7198" t="s">
        <v>8259</v>
      </c>
      <c r="C86" s="7198"/>
      <c r="D86" s="2"/>
      <c r="E86" s="6935" t="s">
        <v>8260</v>
      </c>
      <c r="F86" s="6935"/>
      <c r="G86" s="2"/>
      <c r="H86" s="7200" t="s">
        <v>8261</v>
      </c>
      <c r="I86" s="7200"/>
      <c r="J86" s="2"/>
      <c r="K86" s="7202" t="s">
        <v>8262</v>
      </c>
      <c r="L86" s="7202"/>
      <c r="M86" s="2"/>
      <c r="N86" s="2"/>
      <c r="O86" s="2"/>
      <c r="P86" s="2"/>
      <c r="Q86" s="7196" t="s">
        <v>8263</v>
      </c>
      <c r="R86" s="7196"/>
      <c r="S86" s="2"/>
      <c r="T86" s="7181" t="s">
        <v>8264</v>
      </c>
      <c r="U86" s="7181"/>
      <c r="V86" s="2"/>
      <c r="W86" s="7183" t="s">
        <v>8265</v>
      </c>
      <c r="X86" s="7183"/>
      <c r="Y86" s="2"/>
      <c r="Z86" s="2"/>
      <c r="AA86" s="2"/>
      <c r="AB86" s="4"/>
      <c r="AC86" s="2"/>
      <c r="AD86" s="2"/>
      <c r="AE86" s="4"/>
      <c r="AF86" s="2"/>
      <c r="AG86" s="2"/>
      <c r="AH86" s="4"/>
      <c r="AI86" s="2"/>
      <c r="AJ86" s="2"/>
      <c r="AK86" s="2"/>
      <c r="AL86" s="2"/>
      <c r="AM86" s="2"/>
      <c r="AN86" s="2"/>
      <c r="AO86" s="2"/>
      <c r="AP86" s="2"/>
      <c r="AQ86" s="2"/>
      <c r="AS86" s="7198" t="s">
        <v>10065</v>
      </c>
      <c r="AT86" s="7198"/>
      <c r="AV86" s="6935" t="s">
        <v>10119</v>
      </c>
      <c r="AW86" s="6935"/>
      <c r="AY86" s="7200" t="s">
        <v>10185</v>
      </c>
      <c r="AZ86" s="7200"/>
      <c r="BB86" s="7202" t="s">
        <v>10234</v>
      </c>
      <c r="BC86" s="7202"/>
      <c r="BE86"/>
      <c r="BF86"/>
      <c r="BH86" s="7196" t="s">
        <v>10326</v>
      </c>
      <c r="BI86" s="7196"/>
      <c r="BK86" s="7181" t="s">
        <v>10373</v>
      </c>
      <c r="BL86" s="7181"/>
      <c r="BN86" s="7183" t="s">
        <v>10457</v>
      </c>
      <c r="BO86" s="7183"/>
      <c r="BQ86" s="7186"/>
      <c r="BR86" s="7186"/>
      <c r="BT86"/>
      <c r="BU86"/>
      <c r="BW86"/>
      <c r="BX86"/>
      <c r="BY86"/>
      <c r="BZ86"/>
      <c r="CA86"/>
      <c r="CB86"/>
      <c r="CC86"/>
      <c r="CD86" s="7198" t="s">
        <v>10091</v>
      </c>
      <c r="CE86" s="7198"/>
      <c r="CG86" s="6935" t="s">
        <v>10153</v>
      </c>
      <c r="CH86" s="6935"/>
      <c r="CJ86" s="7200" t="s">
        <v>10209</v>
      </c>
      <c r="CK86" s="7200"/>
      <c r="CM86" s="7202" t="s">
        <v>10264</v>
      </c>
      <c r="CN86" s="7202"/>
      <c r="CP86"/>
      <c r="CQ86"/>
      <c r="CS86" s="7196" t="s">
        <v>10350</v>
      </c>
      <c r="CT86" s="7196"/>
      <c r="CV86" s="7181" t="s">
        <v>10415</v>
      </c>
      <c r="CW86" s="7181"/>
      <c r="CY86" s="7183" t="s">
        <v>10508</v>
      </c>
      <c r="CZ86" s="7183"/>
      <c r="DB86" s="7186"/>
      <c r="DC86" s="7186"/>
      <c r="DE86"/>
      <c r="DF86"/>
      <c r="DH86"/>
      <c r="DI86"/>
      <c r="DK86"/>
      <c r="DL86"/>
      <c r="DM86" s="5">
        <v>1</v>
      </c>
    </row>
    <row r="87" spans="1:117" s="1" customFormat="1" ht="18" customHeight="1">
      <c r="B87" s="7199"/>
      <c r="C87" s="7199"/>
      <c r="D87" s="2"/>
      <c r="E87" s="6936"/>
      <c r="F87" s="6936"/>
      <c r="G87" s="2"/>
      <c r="H87" s="7201"/>
      <c r="I87" s="7201"/>
      <c r="J87" s="2"/>
      <c r="K87" s="7203"/>
      <c r="L87" s="7203"/>
      <c r="M87" s="2"/>
      <c r="N87" s="2"/>
      <c r="O87" s="2"/>
      <c r="P87" s="2"/>
      <c r="Q87" s="7197"/>
      <c r="R87" s="7197"/>
      <c r="S87" s="2"/>
      <c r="T87" s="7182"/>
      <c r="U87" s="7182"/>
      <c r="V87" s="2"/>
      <c r="W87" s="7184"/>
      <c r="X87" s="7184"/>
      <c r="Y87" s="2"/>
      <c r="Z87" s="2"/>
      <c r="AA87" s="2"/>
      <c r="AB87" s="4"/>
      <c r="AC87" s="2"/>
      <c r="AD87" s="2"/>
      <c r="AE87" s="4"/>
      <c r="AF87" s="2"/>
      <c r="AG87" s="2"/>
      <c r="AH87" s="4"/>
      <c r="AI87" s="2"/>
      <c r="AJ87" s="2"/>
      <c r="AK87" s="2"/>
      <c r="AL87" s="2"/>
      <c r="AM87" s="2"/>
      <c r="AN87" s="2"/>
      <c r="AO87" s="2"/>
      <c r="AP87" s="2"/>
      <c r="AQ87" s="2"/>
      <c r="AS87" s="7199" t="s">
        <v>856</v>
      </c>
      <c r="AT87" s="7199"/>
      <c r="AV87" s="6936" t="s">
        <v>856</v>
      </c>
      <c r="AW87" s="6936"/>
      <c r="AY87" s="7201" t="s">
        <v>856</v>
      </c>
      <c r="AZ87" s="7201"/>
      <c r="BB87" s="7203" t="s">
        <v>856</v>
      </c>
      <c r="BC87" s="7203"/>
      <c r="BE87"/>
      <c r="BF87"/>
      <c r="BH87" s="7197" t="s">
        <v>856</v>
      </c>
      <c r="BI87" s="7197"/>
      <c r="BK87" s="7182" t="s">
        <v>856</v>
      </c>
      <c r="BL87" s="7182"/>
      <c r="BN87" s="7184" t="s">
        <v>856</v>
      </c>
      <c r="BO87" s="7184"/>
      <c r="BQ87" s="7187"/>
      <c r="BR87" s="7187"/>
      <c r="BT87"/>
      <c r="BU87"/>
      <c r="BW87"/>
      <c r="BX87"/>
      <c r="BY87"/>
      <c r="BZ87"/>
      <c r="CA87"/>
      <c r="CB87"/>
      <c r="CC87"/>
      <c r="CD87" s="7199" t="s">
        <v>856</v>
      </c>
      <c r="CE87" s="7199"/>
      <c r="CG87" s="6936" t="s">
        <v>856</v>
      </c>
      <c r="CH87" s="6936"/>
      <c r="CJ87" s="7201" t="s">
        <v>856</v>
      </c>
      <c r="CK87" s="7201"/>
      <c r="CM87" s="7203" t="s">
        <v>856</v>
      </c>
      <c r="CN87" s="7203"/>
      <c r="CP87"/>
      <c r="CQ87"/>
      <c r="CS87" s="7197" t="s">
        <v>856</v>
      </c>
      <c r="CT87" s="7197"/>
      <c r="CV87" s="7182" t="s">
        <v>856</v>
      </c>
      <c r="CW87" s="7182"/>
      <c r="CY87" s="7184" t="s">
        <v>856</v>
      </c>
      <c r="CZ87" s="7184"/>
      <c r="DB87" s="7187"/>
      <c r="DC87" s="7187"/>
      <c r="DE87"/>
      <c r="DF87"/>
      <c r="DH87"/>
      <c r="DI87"/>
      <c r="DK87"/>
      <c r="DL87"/>
      <c r="DM87" s="5">
        <v>1</v>
      </c>
    </row>
    <row r="88" spans="1:117" s="1" customFormat="1" ht="18" customHeight="1" thickBot="1">
      <c r="B88" s="2"/>
      <c r="C88" s="2"/>
      <c r="D88" s="2"/>
      <c r="E88" s="2"/>
      <c r="F88" s="2"/>
      <c r="G88" s="2"/>
      <c r="H88"/>
      <c r="I88"/>
      <c r="J88" s="2"/>
      <c r="K88"/>
      <c r="L88"/>
      <c r="M88" s="2"/>
      <c r="N88" s="2"/>
      <c r="O88" s="2"/>
      <c r="P88" s="2"/>
      <c r="Q88" s="5496"/>
      <c r="R88" s="5496"/>
      <c r="S88" s="2"/>
      <c r="T88" s="2"/>
      <c r="U88" s="2"/>
      <c r="V88" s="2"/>
      <c r="W88" s="2"/>
      <c r="X88" s="2"/>
      <c r="Y88" s="2"/>
      <c r="Z88" s="2"/>
      <c r="AA88" s="2"/>
      <c r="AB88" s="4"/>
      <c r="AC88" s="2"/>
      <c r="AD88" s="2"/>
      <c r="AE88" s="4"/>
      <c r="AF88" s="2"/>
      <c r="AG88" s="2"/>
      <c r="AH88" s="4"/>
      <c r="AI88" s="2"/>
      <c r="AJ88" s="2"/>
      <c r="AK88" s="2"/>
      <c r="AL88" s="2"/>
      <c r="AM88" s="2"/>
      <c r="AN88" s="2"/>
      <c r="AO88" s="2"/>
      <c r="AP88" s="2"/>
      <c r="AQ88" s="2"/>
      <c r="AS88" s="2" t="s">
        <v>856</v>
      </c>
      <c r="AT88" s="2"/>
      <c r="AV88" s="2" t="s">
        <v>856</v>
      </c>
      <c r="AW88" s="2"/>
      <c r="AY88" t="s">
        <v>856</v>
      </c>
      <c r="AZ88"/>
      <c r="BB88" t="s">
        <v>856</v>
      </c>
      <c r="BC88"/>
      <c r="BE88"/>
      <c r="BF88"/>
      <c r="BH88" s="5496" t="s">
        <v>856</v>
      </c>
      <c r="BI88" s="5496"/>
      <c r="BK88" s="2" t="s">
        <v>856</v>
      </c>
      <c r="BL88" s="2"/>
      <c r="BN88" s="2" t="s">
        <v>856</v>
      </c>
      <c r="BO88" s="2"/>
      <c r="BQ88"/>
      <c r="BR88"/>
      <c r="BT88" t="s">
        <v>856</v>
      </c>
      <c r="BU88"/>
      <c r="BW88"/>
      <c r="BX88"/>
      <c r="BY88"/>
      <c r="BZ88"/>
      <c r="CA88"/>
      <c r="CB88"/>
      <c r="CC88"/>
      <c r="CD88" s="2" t="s">
        <v>856</v>
      </c>
      <c r="CE88" s="2"/>
      <c r="CG88" s="2" t="s">
        <v>856</v>
      </c>
      <c r="CH88" s="2"/>
      <c r="CJ88" t="s">
        <v>856</v>
      </c>
      <c r="CK88"/>
      <c r="CM88" t="s">
        <v>856</v>
      </c>
      <c r="CN88"/>
      <c r="CP88"/>
      <c r="CQ88"/>
      <c r="CS88" s="5496" t="s">
        <v>856</v>
      </c>
      <c r="CT88" s="5496"/>
      <c r="CV88" s="2" t="s">
        <v>856</v>
      </c>
      <c r="CW88" s="2"/>
      <c r="CY88" s="2" t="s">
        <v>856</v>
      </c>
      <c r="CZ88" s="2"/>
      <c r="DB88"/>
      <c r="DC88"/>
      <c r="DE88"/>
      <c r="DF88"/>
      <c r="DH88"/>
      <c r="DI88"/>
      <c r="DK88"/>
      <c r="DL88"/>
      <c r="DM88" s="5">
        <v>1</v>
      </c>
    </row>
    <row r="89" spans="1:117" s="1" customFormat="1" ht="18" customHeight="1">
      <c r="B89" s="7198" t="s">
        <v>8266</v>
      </c>
      <c r="C89" s="7198"/>
      <c r="D89" s="2"/>
      <c r="E89" s="6935" t="s">
        <v>8267</v>
      </c>
      <c r="F89" s="6935"/>
      <c r="G89" s="2"/>
      <c r="H89" s="7200" t="s">
        <v>8268</v>
      </c>
      <c r="I89" s="7200"/>
      <c r="J89" s="2"/>
      <c r="K89" s="7202" t="s">
        <v>8269</v>
      </c>
      <c r="L89" s="7202"/>
      <c r="M89" s="2"/>
      <c r="N89" s="2"/>
      <c r="O89" s="2"/>
      <c r="P89" s="2"/>
      <c r="Q89" s="7196"/>
      <c r="R89" s="7196"/>
      <c r="S89" s="2"/>
      <c r="T89" s="7181" t="s">
        <v>8270</v>
      </c>
      <c r="U89" s="7181"/>
      <c r="V89" s="2"/>
      <c r="W89" s="7183" t="s">
        <v>8271</v>
      </c>
      <c r="X89" s="7183"/>
      <c r="Y89" s="2"/>
      <c r="Z89" s="2"/>
      <c r="AA89" s="2"/>
      <c r="AB89" s="4"/>
      <c r="AC89" s="2"/>
      <c r="AD89" s="2"/>
      <c r="AE89" s="4"/>
      <c r="AF89" s="2"/>
      <c r="AG89" s="2"/>
      <c r="AH89" s="4"/>
      <c r="AI89" s="2"/>
      <c r="AJ89" s="2"/>
      <c r="AK89" s="2"/>
      <c r="AL89" s="2"/>
      <c r="AM89" s="2"/>
      <c r="AN89" s="2"/>
      <c r="AO89" s="2"/>
      <c r="AP89" s="2"/>
      <c r="AQ89" s="2"/>
      <c r="AS89" s="7198" t="s">
        <v>8278</v>
      </c>
      <c r="AT89" s="7198"/>
      <c r="AV89" s="6935" t="s">
        <v>10120</v>
      </c>
      <c r="AW89" s="6935"/>
      <c r="AY89" s="7200" t="s">
        <v>8274</v>
      </c>
      <c r="AZ89" s="7200"/>
      <c r="BB89" s="7202" t="s">
        <v>10235</v>
      </c>
      <c r="BC89" s="7202"/>
      <c r="BE89"/>
      <c r="BF89"/>
      <c r="BH89" s="7196" t="s">
        <v>10327</v>
      </c>
      <c r="BI89" s="7196"/>
      <c r="BK89" s="7181" t="s">
        <v>10374</v>
      </c>
      <c r="BL89" s="7181"/>
      <c r="BN89" s="7183" t="s">
        <v>10458</v>
      </c>
      <c r="BO89" s="7183"/>
      <c r="BQ89"/>
      <c r="BR89"/>
      <c r="BT89"/>
      <c r="BU89"/>
      <c r="BW89"/>
      <c r="BX89"/>
      <c r="BY89"/>
      <c r="BZ89"/>
      <c r="CA89"/>
      <c r="CB89"/>
      <c r="CC89"/>
      <c r="CD89" s="7198" t="s">
        <v>10092</v>
      </c>
      <c r="CE89" s="7198"/>
      <c r="CG89" s="6935" t="s">
        <v>10154</v>
      </c>
      <c r="CH89" s="6935"/>
      <c r="CJ89" s="7200" t="s">
        <v>8274</v>
      </c>
      <c r="CK89" s="7200"/>
      <c r="CM89" s="7202" t="s">
        <v>10265</v>
      </c>
      <c r="CN89" s="7202"/>
      <c r="CP89"/>
      <c r="CQ89"/>
      <c r="CS89" s="7196" t="s">
        <v>10351</v>
      </c>
      <c r="CT89" s="7196"/>
      <c r="CV89" s="7181" t="s">
        <v>10416</v>
      </c>
      <c r="CW89" s="7181"/>
      <c r="CY89" s="7183" t="s">
        <v>10509</v>
      </c>
      <c r="CZ89" s="7183"/>
      <c r="DB89"/>
      <c r="DC89"/>
      <c r="DE89"/>
      <c r="DF89"/>
      <c r="DH89"/>
      <c r="DI89"/>
      <c r="DK89"/>
      <c r="DL89"/>
      <c r="DM89" s="5">
        <v>1</v>
      </c>
    </row>
    <row r="90" spans="1:117" s="1" customFormat="1" ht="18" customHeight="1">
      <c r="B90" s="7199"/>
      <c r="C90" s="7199"/>
      <c r="D90" s="2"/>
      <c r="E90" s="6936"/>
      <c r="F90" s="6936"/>
      <c r="G90" s="2"/>
      <c r="H90" s="7201"/>
      <c r="I90" s="7201"/>
      <c r="J90" s="2"/>
      <c r="K90" s="7203"/>
      <c r="L90" s="7203"/>
      <c r="M90" s="2"/>
      <c r="N90" s="2"/>
      <c r="O90" s="2"/>
      <c r="P90" s="2"/>
      <c r="Q90" s="7197"/>
      <c r="R90" s="7197"/>
      <c r="S90" s="2"/>
      <c r="T90" s="7182"/>
      <c r="U90" s="7182"/>
      <c r="V90" s="2"/>
      <c r="W90" s="7184"/>
      <c r="X90" s="7184"/>
      <c r="Y90" s="2"/>
      <c r="Z90" s="2"/>
      <c r="AA90" s="2"/>
      <c r="AB90" s="4"/>
      <c r="AC90" s="2"/>
      <c r="AD90" s="2"/>
      <c r="AE90" s="4"/>
      <c r="AF90" s="2"/>
      <c r="AG90" s="2"/>
      <c r="AH90" s="4"/>
      <c r="AI90" s="2"/>
      <c r="AJ90" s="2"/>
      <c r="AK90" s="2"/>
      <c r="AL90" s="2"/>
      <c r="AM90" s="2"/>
      <c r="AN90" s="2"/>
      <c r="AO90" s="2"/>
      <c r="AP90" s="2"/>
      <c r="AQ90" s="2"/>
      <c r="AS90" s="7199" t="s">
        <v>856</v>
      </c>
      <c r="AT90" s="7199"/>
      <c r="AV90" s="6936" t="s">
        <v>856</v>
      </c>
      <c r="AW90" s="6936"/>
      <c r="AY90" s="7201" t="s">
        <v>856</v>
      </c>
      <c r="AZ90" s="7201"/>
      <c r="BB90" s="7203" t="s">
        <v>856</v>
      </c>
      <c r="BC90" s="7203"/>
      <c r="BE90"/>
      <c r="BF90"/>
      <c r="BH90" s="7197" t="s">
        <v>856</v>
      </c>
      <c r="BI90" s="7197"/>
      <c r="BK90" s="7182" t="s">
        <v>856</v>
      </c>
      <c r="BL90" s="7182"/>
      <c r="BN90" s="7184" t="s">
        <v>856</v>
      </c>
      <c r="BO90" s="7184"/>
      <c r="BQ90"/>
      <c r="BR90"/>
      <c r="BT90"/>
      <c r="BU90"/>
      <c r="BW90"/>
      <c r="BX90"/>
      <c r="BY90"/>
      <c r="BZ90"/>
      <c r="CA90"/>
      <c r="CB90"/>
      <c r="CC90"/>
      <c r="CD90" s="7199" t="s">
        <v>856</v>
      </c>
      <c r="CE90" s="7199"/>
      <c r="CG90" s="6936" t="s">
        <v>856</v>
      </c>
      <c r="CH90" s="6936"/>
      <c r="CJ90" s="7201" t="s">
        <v>856</v>
      </c>
      <c r="CK90" s="7201"/>
      <c r="CM90" s="7203" t="s">
        <v>856</v>
      </c>
      <c r="CN90" s="7203"/>
      <c r="CP90"/>
      <c r="CQ90"/>
      <c r="CS90" s="7197" t="s">
        <v>856</v>
      </c>
      <c r="CT90" s="7197"/>
      <c r="CV90" s="7182" t="s">
        <v>856</v>
      </c>
      <c r="CW90" s="7182"/>
      <c r="CY90" s="7184" t="s">
        <v>856</v>
      </c>
      <c r="CZ90" s="7184"/>
      <c r="DB90"/>
      <c r="DC90"/>
      <c r="DE90"/>
      <c r="DF90"/>
      <c r="DH90"/>
      <c r="DI90"/>
      <c r="DK90"/>
      <c r="DL90"/>
      <c r="DM90" s="5">
        <v>1</v>
      </c>
    </row>
    <row r="91" spans="1:117" s="1" customFormat="1" ht="18" customHeight="1" thickBot="1">
      <c r="B91" s="2"/>
      <c r="C91" s="2"/>
      <c r="D91" s="2"/>
      <c r="E91" s="2"/>
      <c r="F91" s="2"/>
      <c r="G91" s="2"/>
      <c r="H91"/>
      <c r="I91"/>
      <c r="J91" s="2"/>
      <c r="K91"/>
      <c r="L91"/>
      <c r="M91" s="2"/>
      <c r="N91" s="2"/>
      <c r="O91" s="2"/>
      <c r="P91" s="2"/>
      <c r="Q91" s="5496"/>
      <c r="R91" s="5496"/>
      <c r="S91" s="2"/>
      <c r="T91" s="2"/>
      <c r="U91" s="2"/>
      <c r="V91" s="2"/>
      <c r="W91" s="2"/>
      <c r="X91" s="2"/>
      <c r="Y91" s="2"/>
      <c r="Z91" s="2"/>
      <c r="AA91" s="2"/>
      <c r="AB91" s="4"/>
      <c r="AC91" s="2"/>
      <c r="AD91" s="2"/>
      <c r="AE91" s="4"/>
      <c r="AF91" s="2"/>
      <c r="AG91" s="2"/>
      <c r="AH91" s="4"/>
      <c r="AI91" s="2"/>
      <c r="AJ91" s="2"/>
      <c r="AK91" s="2"/>
      <c r="AL91" s="2"/>
      <c r="AM91" s="2"/>
      <c r="AN91" s="2"/>
      <c r="AO91" s="2"/>
      <c r="AP91" s="2"/>
      <c r="AQ91" s="2"/>
      <c r="AS91" s="2" t="s">
        <v>856</v>
      </c>
      <c r="AT91" s="2"/>
      <c r="AV91" s="2" t="s">
        <v>856</v>
      </c>
      <c r="AW91" s="2"/>
      <c r="AY91" t="s">
        <v>856</v>
      </c>
      <c r="AZ91"/>
      <c r="BB91" t="s">
        <v>856</v>
      </c>
      <c r="BC91"/>
      <c r="BE91"/>
      <c r="BF91"/>
      <c r="BH91" s="5496" t="s">
        <v>856</v>
      </c>
      <c r="BI91" s="5496"/>
      <c r="BK91" s="2" t="s">
        <v>856</v>
      </c>
      <c r="BL91" s="2"/>
      <c r="BN91" s="2" t="s">
        <v>856</v>
      </c>
      <c r="BO91" s="2"/>
      <c r="BQ91"/>
      <c r="BR91"/>
      <c r="BT91"/>
      <c r="BU91"/>
      <c r="BW91"/>
      <c r="BX91"/>
      <c r="BY91"/>
      <c r="BZ91"/>
      <c r="CA91"/>
      <c r="CB91"/>
      <c r="CC91"/>
      <c r="CD91" s="2" t="s">
        <v>856</v>
      </c>
      <c r="CE91" s="2"/>
      <c r="CG91" s="2" t="s">
        <v>856</v>
      </c>
      <c r="CH91" s="2"/>
      <c r="CJ91" t="s">
        <v>856</v>
      </c>
      <c r="CK91"/>
      <c r="CM91" t="s">
        <v>856</v>
      </c>
      <c r="CN91"/>
      <c r="CP91"/>
      <c r="CQ91"/>
      <c r="CS91"/>
      <c r="CT91"/>
      <c r="CV91" s="2" t="s">
        <v>856</v>
      </c>
      <c r="CW91" s="2"/>
      <c r="CY91" s="2" t="s">
        <v>856</v>
      </c>
      <c r="CZ91" s="2"/>
      <c r="DB91"/>
      <c r="DC91"/>
      <c r="DE91"/>
      <c r="DF91"/>
      <c r="DH91"/>
      <c r="DI91"/>
      <c r="DK91"/>
      <c r="DL91"/>
      <c r="DM91" s="5">
        <v>1</v>
      </c>
    </row>
    <row r="92" spans="1:117" s="1" customFormat="1" ht="18" customHeight="1">
      <c r="B92" s="7198" t="s">
        <v>8272</v>
      </c>
      <c r="C92" s="7198"/>
      <c r="D92" s="2"/>
      <c r="E92" s="6935" t="s">
        <v>8273</v>
      </c>
      <c r="F92" s="6935"/>
      <c r="G92" s="2"/>
      <c r="H92" s="7200" t="s">
        <v>8274</v>
      </c>
      <c r="I92" s="7200"/>
      <c r="J92" s="2"/>
      <c r="K92" s="7202" t="s">
        <v>8275</v>
      </c>
      <c r="L92" s="7202"/>
      <c r="M92" s="2"/>
      <c r="N92" s="2"/>
      <c r="O92" s="2"/>
      <c r="P92" s="2"/>
      <c r="Q92" s="2"/>
      <c r="R92" s="2"/>
      <c r="S92" s="2"/>
      <c r="T92" s="7181" t="s">
        <v>8276</v>
      </c>
      <c r="U92" s="7181"/>
      <c r="V92" s="2"/>
      <c r="W92" s="7183" t="s">
        <v>8277</v>
      </c>
      <c r="X92" s="7183"/>
      <c r="Y92" s="2"/>
      <c r="Z92" s="2"/>
      <c r="AA92" s="2"/>
      <c r="AB92" s="4"/>
      <c r="AC92" s="2"/>
      <c r="AD92" s="2"/>
      <c r="AE92" s="4"/>
      <c r="AF92" s="2"/>
      <c r="AG92" s="2"/>
      <c r="AH92" s="4"/>
      <c r="AI92" s="2"/>
      <c r="AJ92" s="2"/>
      <c r="AK92" s="2"/>
      <c r="AL92" s="2"/>
      <c r="AM92" s="2"/>
      <c r="AN92" s="2"/>
      <c r="AO92" s="2"/>
      <c r="AP92" s="2"/>
      <c r="AQ92" s="2"/>
      <c r="AS92" s="7198" t="s">
        <v>10066</v>
      </c>
      <c r="AT92" s="7198"/>
      <c r="AV92" s="6935" t="s">
        <v>10121</v>
      </c>
      <c r="AW92" s="6935"/>
      <c r="AY92" s="7200" t="s">
        <v>10186</v>
      </c>
      <c r="AZ92" s="7200"/>
      <c r="BB92" s="7202" t="s">
        <v>10236</v>
      </c>
      <c r="BC92" s="7202"/>
      <c r="BE92"/>
      <c r="BF92"/>
      <c r="BH92" s="7196"/>
      <c r="BI92" s="7196"/>
      <c r="BK92" s="7181" t="s">
        <v>10375</v>
      </c>
      <c r="BL92" s="7181"/>
      <c r="BN92" s="7183" t="s">
        <v>10459</v>
      </c>
      <c r="BO92" s="7183"/>
      <c r="BQ92"/>
      <c r="BR92"/>
      <c r="BT92"/>
      <c r="BU92"/>
      <c r="BW92"/>
      <c r="BX92"/>
      <c r="BY92"/>
      <c r="BZ92"/>
      <c r="CA92"/>
      <c r="CB92"/>
      <c r="CC92"/>
      <c r="CD92" s="7198" t="s">
        <v>10093</v>
      </c>
      <c r="CE92" s="7198"/>
      <c r="CG92" s="6935" t="s">
        <v>10155</v>
      </c>
      <c r="CH92" s="6935"/>
      <c r="CJ92" s="7200" t="s">
        <v>10210</v>
      </c>
      <c r="CK92" s="7200"/>
      <c r="CM92" s="7202" t="s">
        <v>10266</v>
      </c>
      <c r="CN92" s="7202"/>
      <c r="CP92"/>
      <c r="CQ92"/>
      <c r="CS92" s="7196"/>
      <c r="CT92" s="7196"/>
      <c r="CV92" s="7181" t="s">
        <v>10417</v>
      </c>
      <c r="CW92" s="7181"/>
      <c r="CY92" s="7183" t="s">
        <v>10510</v>
      </c>
      <c r="CZ92" s="7183"/>
      <c r="DB92"/>
      <c r="DC92"/>
      <c r="DE92"/>
      <c r="DF92"/>
      <c r="DH92"/>
      <c r="DI92"/>
      <c r="DK92"/>
      <c r="DL92"/>
      <c r="DM92" s="5">
        <v>1</v>
      </c>
    </row>
    <row r="93" spans="1:117" s="1" customFormat="1" ht="18" customHeight="1">
      <c r="B93" s="7199"/>
      <c r="C93" s="7199"/>
      <c r="D93" s="2"/>
      <c r="E93" s="6936"/>
      <c r="F93" s="6936"/>
      <c r="G93" s="2"/>
      <c r="H93" s="7201"/>
      <c r="I93" s="7201"/>
      <c r="J93" s="2"/>
      <c r="K93" s="7203"/>
      <c r="L93" s="7203"/>
      <c r="M93" s="2"/>
      <c r="N93" s="2"/>
      <c r="O93" s="2"/>
      <c r="P93" s="2"/>
      <c r="Q93" s="2"/>
      <c r="R93" s="2"/>
      <c r="S93" s="2"/>
      <c r="T93" s="7182"/>
      <c r="U93" s="7182"/>
      <c r="V93" s="2"/>
      <c r="W93" s="7184"/>
      <c r="X93" s="7184"/>
      <c r="Y93" s="2"/>
      <c r="Z93" s="2"/>
      <c r="AA93" s="2"/>
      <c r="AB93" s="4"/>
      <c r="AC93" s="2"/>
      <c r="AD93" s="2"/>
      <c r="AE93" s="4"/>
      <c r="AF93" s="2"/>
      <c r="AG93" s="2"/>
      <c r="AH93" s="4"/>
      <c r="AI93" s="2"/>
      <c r="AJ93" s="2"/>
      <c r="AK93" s="2"/>
      <c r="AL93" s="2"/>
      <c r="AM93" s="2"/>
      <c r="AN93" s="2"/>
      <c r="AO93" s="2"/>
      <c r="AP93" s="2"/>
      <c r="AQ93" s="2"/>
      <c r="AS93" s="7199" t="s">
        <v>856</v>
      </c>
      <c r="AT93" s="7199"/>
      <c r="AV93" s="6936" t="s">
        <v>856</v>
      </c>
      <c r="AW93" s="6936"/>
      <c r="AY93" s="7201" t="s">
        <v>856</v>
      </c>
      <c r="AZ93" s="7201"/>
      <c r="BB93" s="7203" t="s">
        <v>856</v>
      </c>
      <c r="BC93" s="7203"/>
      <c r="BE93"/>
      <c r="BF93"/>
      <c r="BH93" s="7197"/>
      <c r="BI93" s="7197"/>
      <c r="BK93" s="7182" t="s">
        <v>856</v>
      </c>
      <c r="BL93" s="7182"/>
      <c r="BN93" s="7184" t="s">
        <v>856</v>
      </c>
      <c r="BO93" s="7184"/>
      <c r="BQ93"/>
      <c r="BR93"/>
      <c r="BT93"/>
      <c r="BU93"/>
      <c r="BW93"/>
      <c r="BX93"/>
      <c r="BY93"/>
      <c r="BZ93"/>
      <c r="CA93"/>
      <c r="CB93"/>
      <c r="CC93"/>
      <c r="CD93" s="7199" t="s">
        <v>856</v>
      </c>
      <c r="CE93" s="7199"/>
      <c r="CG93" s="6936" t="s">
        <v>856</v>
      </c>
      <c r="CH93" s="6936"/>
      <c r="CJ93" s="7201" t="s">
        <v>856</v>
      </c>
      <c r="CK93" s="7201"/>
      <c r="CM93" s="7203" t="s">
        <v>856</v>
      </c>
      <c r="CN93" s="7203"/>
      <c r="CP93"/>
      <c r="CQ93"/>
      <c r="CS93" s="7197"/>
      <c r="CT93" s="7197"/>
      <c r="CV93" s="7182" t="s">
        <v>856</v>
      </c>
      <c r="CW93" s="7182"/>
      <c r="CY93" s="7184" t="s">
        <v>856</v>
      </c>
      <c r="CZ93" s="7184"/>
      <c r="DB93"/>
      <c r="DC93"/>
      <c r="DE93"/>
      <c r="DF93"/>
      <c r="DH93"/>
      <c r="DI93"/>
      <c r="DK93"/>
      <c r="DL93"/>
      <c r="DM93" s="5">
        <v>1</v>
      </c>
    </row>
    <row r="94" spans="1:117" s="1" customFormat="1" ht="18" customHeight="1" thickBot="1">
      <c r="B94" s="2"/>
      <c r="C94" s="2"/>
      <c r="D94" s="2"/>
      <c r="E94" s="2"/>
      <c r="F94" s="2"/>
      <c r="G94" s="2"/>
      <c r="H94"/>
      <c r="I94"/>
      <c r="J94" s="2"/>
      <c r="K94"/>
      <c r="L94"/>
      <c r="M94" s="2"/>
      <c r="N94" s="2"/>
      <c r="O94" s="2"/>
      <c r="P94" s="2"/>
      <c r="Q94" s="2"/>
      <c r="R94" s="2"/>
      <c r="S94" s="2"/>
      <c r="T94" s="2"/>
      <c r="U94" s="2"/>
      <c r="V94" s="2"/>
      <c r="W94" s="2"/>
      <c r="X94" s="2"/>
      <c r="Y94" s="2"/>
      <c r="Z94" s="2"/>
      <c r="AA94" s="2"/>
      <c r="AB94" s="4"/>
      <c r="AC94" s="2"/>
      <c r="AD94" s="2"/>
      <c r="AE94" s="4"/>
      <c r="AF94" s="2"/>
      <c r="AG94" s="2"/>
      <c r="AH94" s="4"/>
      <c r="AI94" s="2"/>
      <c r="AJ94" s="2"/>
      <c r="AK94" s="2"/>
      <c r="AL94" s="2"/>
      <c r="AM94" s="2"/>
      <c r="AN94" s="2"/>
      <c r="AO94" s="2"/>
      <c r="AP94" s="2"/>
      <c r="AQ94" s="2"/>
      <c r="AS94" s="2" t="s">
        <v>856</v>
      </c>
      <c r="AT94" s="2"/>
      <c r="AV94" s="2" t="s">
        <v>856</v>
      </c>
      <c r="AW94" s="2"/>
      <c r="AY94" t="s">
        <v>856</v>
      </c>
      <c r="AZ94"/>
      <c r="BB94" t="s">
        <v>856</v>
      </c>
      <c r="BC94"/>
      <c r="BE94"/>
      <c r="BF94"/>
      <c r="BH94" s="5496"/>
      <c r="BI94" s="5496"/>
      <c r="BK94" s="2" t="s">
        <v>856</v>
      </c>
      <c r="BL94" s="2"/>
      <c r="BN94" s="2" t="s">
        <v>856</v>
      </c>
      <c r="BO94" s="2"/>
      <c r="BQ94"/>
      <c r="BR94"/>
      <c r="BT94"/>
      <c r="BU94"/>
      <c r="BW94"/>
      <c r="BX94"/>
      <c r="BY94"/>
      <c r="BZ94"/>
      <c r="CA94"/>
      <c r="CB94"/>
      <c r="CC94"/>
      <c r="CD94" s="2" t="s">
        <v>856</v>
      </c>
      <c r="CE94" s="2"/>
      <c r="CG94" s="2" t="s">
        <v>856</v>
      </c>
      <c r="CH94" s="2"/>
      <c r="CJ94" t="s">
        <v>856</v>
      </c>
      <c r="CK94"/>
      <c r="CM94" t="s">
        <v>856</v>
      </c>
      <c r="CN94"/>
      <c r="CP94"/>
      <c r="CQ94"/>
      <c r="CS94"/>
      <c r="CT94"/>
      <c r="CV94" s="2" t="s">
        <v>856</v>
      </c>
      <c r="CW94" s="2"/>
      <c r="CY94" s="2" t="s">
        <v>856</v>
      </c>
      <c r="CZ94" s="2"/>
      <c r="DB94"/>
      <c r="DC94"/>
      <c r="DE94"/>
      <c r="DF94"/>
      <c r="DH94"/>
      <c r="DI94"/>
      <c r="DK94"/>
      <c r="DL94"/>
      <c r="DM94" s="5">
        <v>1</v>
      </c>
    </row>
    <row r="95" spans="1:117" s="1" customFormat="1" ht="18" customHeight="1">
      <c r="B95" s="7198" t="s">
        <v>8278</v>
      </c>
      <c r="C95" s="7198"/>
      <c r="D95" s="2"/>
      <c r="E95" s="6935" t="s">
        <v>8279</v>
      </c>
      <c r="F95" s="6935"/>
      <c r="G95" s="2"/>
      <c r="H95" s="7200" t="s">
        <v>8280</v>
      </c>
      <c r="I95" s="7200"/>
      <c r="J95" s="2"/>
      <c r="K95" s="7202" t="s">
        <v>8281</v>
      </c>
      <c r="L95" s="7202"/>
      <c r="M95" s="2"/>
      <c r="N95" s="2"/>
      <c r="O95" s="2"/>
      <c r="P95" s="2"/>
      <c r="Q95" s="2"/>
      <c r="R95" s="2"/>
      <c r="S95" s="2"/>
      <c r="T95" s="7181" t="s">
        <v>8282</v>
      </c>
      <c r="U95" s="7181"/>
      <c r="V95" s="2"/>
      <c r="W95" s="7183" t="s">
        <v>8283</v>
      </c>
      <c r="X95" s="7183"/>
      <c r="Y95" s="2"/>
      <c r="Z95" s="2"/>
      <c r="AA95" s="2"/>
      <c r="AB95" s="4"/>
      <c r="AC95" s="2"/>
      <c r="AD95" s="2"/>
      <c r="AE95" s="4"/>
      <c r="AF95" s="2"/>
      <c r="AG95" s="2"/>
      <c r="AH95" s="4"/>
      <c r="AI95" s="2"/>
      <c r="AJ95" s="2"/>
      <c r="AK95" s="2"/>
      <c r="AL95" s="2"/>
      <c r="AM95" s="2"/>
      <c r="AN95" s="2"/>
      <c r="AO95" s="2"/>
      <c r="AP95" s="2"/>
      <c r="AQ95" s="2"/>
      <c r="AS95" s="7198" t="s">
        <v>10067</v>
      </c>
      <c r="AT95" s="7198"/>
      <c r="AV95" s="6935" t="s">
        <v>10122</v>
      </c>
      <c r="AW95" s="6935"/>
      <c r="AY95" s="7200" t="s">
        <v>8286</v>
      </c>
      <c r="AZ95" s="7200"/>
      <c r="BB95" s="7202" t="s">
        <v>10237</v>
      </c>
      <c r="BC95" s="7202"/>
      <c r="BE95"/>
      <c r="BF95"/>
      <c r="BH95" s="7196"/>
      <c r="BI95" s="7196"/>
      <c r="BK95" s="7181" t="s">
        <v>10376</v>
      </c>
      <c r="BL95" s="7181"/>
      <c r="BN95" s="7183" t="s">
        <v>10460</v>
      </c>
      <c r="BO95" s="7183"/>
      <c r="BQ95"/>
      <c r="BR95"/>
      <c r="BT95"/>
      <c r="BU95"/>
      <c r="BW95"/>
      <c r="BX95"/>
      <c r="BY95"/>
      <c r="BZ95"/>
      <c r="CA95"/>
      <c r="CB95"/>
      <c r="CC95"/>
      <c r="CD95" s="7198" t="s">
        <v>10094</v>
      </c>
      <c r="CE95" s="7198"/>
      <c r="CG95" s="6935" t="s">
        <v>10156</v>
      </c>
      <c r="CH95" s="6935"/>
      <c r="CJ95" s="7200" t="s">
        <v>8286</v>
      </c>
      <c r="CK95" s="7200"/>
      <c r="CM95" s="7202" t="s">
        <v>10267</v>
      </c>
      <c r="CN95" s="7202"/>
      <c r="CP95"/>
      <c r="CQ95"/>
      <c r="CS95"/>
      <c r="CT95"/>
      <c r="CV95" s="7181" t="s">
        <v>10418</v>
      </c>
      <c r="CW95" s="7181"/>
      <c r="CY95" s="7183" t="s">
        <v>10511</v>
      </c>
      <c r="CZ95" s="7183"/>
      <c r="DB95"/>
      <c r="DC95"/>
      <c r="DE95"/>
      <c r="DF95"/>
      <c r="DH95"/>
      <c r="DI95"/>
      <c r="DK95"/>
      <c r="DL95"/>
      <c r="DM95" s="5">
        <v>1</v>
      </c>
    </row>
    <row r="96" spans="1:117" s="1" customFormat="1" ht="18" customHeight="1">
      <c r="B96" s="7199"/>
      <c r="C96" s="7199"/>
      <c r="D96" s="2"/>
      <c r="E96" s="6936"/>
      <c r="F96" s="6936"/>
      <c r="G96" s="2"/>
      <c r="H96" s="7201"/>
      <c r="I96" s="7201"/>
      <c r="J96" s="2"/>
      <c r="K96" s="7203"/>
      <c r="L96" s="7203"/>
      <c r="M96" s="2"/>
      <c r="N96" s="2"/>
      <c r="O96" s="2"/>
      <c r="P96" s="2"/>
      <c r="Q96" s="2"/>
      <c r="R96" s="2"/>
      <c r="S96" s="2"/>
      <c r="T96" s="7182"/>
      <c r="U96" s="7182"/>
      <c r="V96" s="2"/>
      <c r="W96" s="7184"/>
      <c r="X96" s="7184"/>
      <c r="Y96" s="2"/>
      <c r="Z96" s="2"/>
      <c r="AA96" s="2"/>
      <c r="AB96" s="4"/>
      <c r="AC96" s="2"/>
      <c r="AD96" s="2"/>
      <c r="AE96" s="4"/>
      <c r="AF96" s="2"/>
      <c r="AG96" s="2"/>
      <c r="AH96" s="4"/>
      <c r="AI96" s="2"/>
      <c r="AJ96" s="2"/>
      <c r="AK96" s="2"/>
      <c r="AL96" s="2"/>
      <c r="AM96" s="2"/>
      <c r="AN96" s="2"/>
      <c r="AO96" s="2"/>
      <c r="AP96" s="2"/>
      <c r="AQ96" s="2"/>
      <c r="AS96" s="7199" t="s">
        <v>856</v>
      </c>
      <c r="AT96" s="7199"/>
      <c r="AV96" s="6936" t="s">
        <v>856</v>
      </c>
      <c r="AW96" s="6936"/>
      <c r="AY96" s="7201" t="s">
        <v>856</v>
      </c>
      <c r="AZ96" s="7201"/>
      <c r="BB96" s="7203" t="s">
        <v>856</v>
      </c>
      <c r="BC96" s="7203"/>
      <c r="BE96"/>
      <c r="BF96"/>
      <c r="BH96" s="7197"/>
      <c r="BI96" s="7197"/>
      <c r="BK96" s="7182" t="s">
        <v>856</v>
      </c>
      <c r="BL96" s="7182"/>
      <c r="BN96" s="7184" t="s">
        <v>856</v>
      </c>
      <c r="BO96" s="7184"/>
      <c r="BQ96"/>
      <c r="BR96"/>
      <c r="BT96"/>
      <c r="BU96"/>
      <c r="BW96"/>
      <c r="BX96"/>
      <c r="BY96"/>
      <c r="BZ96"/>
      <c r="CA96"/>
      <c r="CB96"/>
      <c r="CC96"/>
      <c r="CD96" s="7199" t="s">
        <v>856</v>
      </c>
      <c r="CE96" s="7199"/>
      <c r="CG96" s="6936" t="s">
        <v>856</v>
      </c>
      <c r="CH96" s="6936"/>
      <c r="CJ96" s="7201" t="s">
        <v>856</v>
      </c>
      <c r="CK96" s="7201"/>
      <c r="CM96" s="7203" t="s">
        <v>856</v>
      </c>
      <c r="CN96" s="7203"/>
      <c r="CP96"/>
      <c r="CQ96"/>
      <c r="CS96"/>
      <c r="CT96"/>
      <c r="CV96" s="7182" t="s">
        <v>856</v>
      </c>
      <c r="CW96" s="7182"/>
      <c r="CY96" s="7184" t="s">
        <v>856</v>
      </c>
      <c r="CZ96" s="7184"/>
      <c r="DB96"/>
      <c r="DC96"/>
      <c r="DE96"/>
      <c r="DF96"/>
      <c r="DH96"/>
      <c r="DI96"/>
      <c r="DK96"/>
      <c r="DL96"/>
      <c r="DM96" s="5">
        <v>1</v>
      </c>
    </row>
    <row r="97" spans="2:117" s="1" customFormat="1" ht="18" customHeight="1" thickBot="1">
      <c r="B97" s="2"/>
      <c r="C97" s="2"/>
      <c r="D97" s="2"/>
      <c r="E97" s="2"/>
      <c r="F97" s="2"/>
      <c r="G97" s="2"/>
      <c r="H97"/>
      <c r="I97"/>
      <c r="J97" s="2"/>
      <c r="K97"/>
      <c r="L97"/>
      <c r="M97" s="2"/>
      <c r="N97" s="2"/>
      <c r="O97" s="2"/>
      <c r="P97" s="2"/>
      <c r="Q97" s="2"/>
      <c r="R97" s="2"/>
      <c r="S97" s="2"/>
      <c r="T97" s="2"/>
      <c r="U97" s="2"/>
      <c r="V97" s="2"/>
      <c r="W97" s="2"/>
      <c r="X97" s="2"/>
      <c r="Y97" s="2"/>
      <c r="Z97" s="2"/>
      <c r="AA97" s="2"/>
      <c r="AB97" s="4"/>
      <c r="AC97" s="2"/>
      <c r="AD97" s="2"/>
      <c r="AE97" s="4"/>
      <c r="AF97" s="2"/>
      <c r="AG97" s="2"/>
      <c r="AH97" s="4"/>
      <c r="AI97" s="2"/>
      <c r="AJ97" s="2"/>
      <c r="AK97" s="2"/>
      <c r="AL97" s="2"/>
      <c r="AM97" s="2"/>
      <c r="AN97" s="2"/>
      <c r="AO97" s="2"/>
      <c r="AP97" s="2"/>
      <c r="AQ97" s="2"/>
      <c r="AS97" s="2" t="s">
        <v>856</v>
      </c>
      <c r="AT97" s="2"/>
      <c r="AV97" s="2" t="s">
        <v>856</v>
      </c>
      <c r="AW97" s="2"/>
      <c r="AY97" t="s">
        <v>856</v>
      </c>
      <c r="AZ97"/>
      <c r="BB97" t="s">
        <v>856</v>
      </c>
      <c r="BC97"/>
      <c r="BE97"/>
      <c r="BF97"/>
      <c r="BH97"/>
      <c r="BI97"/>
      <c r="BK97" s="2" t="s">
        <v>856</v>
      </c>
      <c r="BL97" s="2"/>
      <c r="BN97" s="2" t="s">
        <v>856</v>
      </c>
      <c r="BO97" s="2"/>
      <c r="BQ97"/>
      <c r="BR97"/>
      <c r="BT97"/>
      <c r="BU97"/>
      <c r="BW97"/>
      <c r="BX97"/>
      <c r="BY97"/>
      <c r="BZ97"/>
      <c r="CA97"/>
      <c r="CB97"/>
      <c r="CC97"/>
      <c r="CD97" s="2" t="s">
        <v>856</v>
      </c>
      <c r="CE97" s="2"/>
      <c r="CG97" s="2" t="s">
        <v>856</v>
      </c>
      <c r="CH97" s="2"/>
      <c r="CJ97" t="s">
        <v>856</v>
      </c>
      <c r="CK97"/>
      <c r="CM97" t="s">
        <v>856</v>
      </c>
      <c r="CN97"/>
      <c r="CP97"/>
      <c r="CQ97"/>
      <c r="CS97"/>
      <c r="CT97"/>
      <c r="CV97" s="2" t="s">
        <v>856</v>
      </c>
      <c r="CW97" s="2"/>
      <c r="CY97" s="2" t="s">
        <v>856</v>
      </c>
      <c r="CZ97" s="2"/>
      <c r="DB97"/>
      <c r="DC97"/>
      <c r="DE97"/>
      <c r="DF97"/>
      <c r="DH97"/>
      <c r="DI97"/>
      <c r="DK97"/>
      <c r="DL97"/>
      <c r="DM97" s="5">
        <v>1</v>
      </c>
    </row>
    <row r="98" spans="2:117" s="1" customFormat="1" ht="18" customHeight="1">
      <c r="B98" s="7198" t="s">
        <v>8284</v>
      </c>
      <c r="C98" s="7198"/>
      <c r="D98" s="2"/>
      <c r="E98" s="6935" t="s">
        <v>8285</v>
      </c>
      <c r="F98" s="6935"/>
      <c r="G98" s="2"/>
      <c r="H98" s="7200" t="s">
        <v>8286</v>
      </c>
      <c r="I98" s="7200"/>
      <c r="J98" s="2"/>
      <c r="K98" s="7202" t="s">
        <v>8287</v>
      </c>
      <c r="L98" s="7202"/>
      <c r="M98" s="2"/>
      <c r="N98" s="2"/>
      <c r="O98" s="2"/>
      <c r="P98" s="2"/>
      <c r="Q98" s="2"/>
      <c r="R98" s="2"/>
      <c r="S98" s="2"/>
      <c r="T98" s="7181" t="s">
        <v>8288</v>
      </c>
      <c r="U98" s="7181"/>
      <c r="V98" s="2"/>
      <c r="W98" s="7183" t="s">
        <v>8289</v>
      </c>
      <c r="X98" s="7183"/>
      <c r="Y98" s="2"/>
      <c r="Z98" s="2"/>
      <c r="AA98" s="2"/>
      <c r="AB98" s="4"/>
      <c r="AC98" s="2"/>
      <c r="AD98" s="2"/>
      <c r="AE98" s="4"/>
      <c r="AF98" s="2"/>
      <c r="AG98" s="2"/>
      <c r="AH98" s="4"/>
      <c r="AI98" s="2"/>
      <c r="AJ98" s="2"/>
      <c r="AK98" s="2"/>
      <c r="AL98" s="2"/>
      <c r="AM98" s="2"/>
      <c r="AN98" s="2"/>
      <c r="AO98" s="2"/>
      <c r="AP98" s="2"/>
      <c r="AQ98" s="2"/>
      <c r="AS98" s="7198" t="s">
        <v>10068</v>
      </c>
      <c r="AT98" s="7198"/>
      <c r="AV98" s="6935" t="s">
        <v>10123</v>
      </c>
      <c r="AW98" s="6935"/>
      <c r="AY98" s="7200" t="s">
        <v>10187</v>
      </c>
      <c r="AZ98" s="7200"/>
      <c r="BB98" s="7202" t="s">
        <v>10238</v>
      </c>
      <c r="BC98" s="7202"/>
      <c r="BE98"/>
      <c r="BF98"/>
      <c r="BH98"/>
      <c r="BI98"/>
      <c r="BK98" s="7181" t="s">
        <v>10377</v>
      </c>
      <c r="BL98" s="7181"/>
      <c r="BN98" s="7183" t="s">
        <v>10461</v>
      </c>
      <c r="BO98" s="7183"/>
      <c r="BQ98"/>
      <c r="BR98"/>
      <c r="BT98"/>
      <c r="BU98"/>
      <c r="BW98"/>
      <c r="BX98"/>
      <c r="BY98"/>
      <c r="BZ98"/>
      <c r="CA98"/>
      <c r="CB98"/>
      <c r="CC98"/>
      <c r="CD98" s="7198" t="s">
        <v>10095</v>
      </c>
      <c r="CE98" s="7198"/>
      <c r="CG98" s="6935" t="s">
        <v>10157</v>
      </c>
      <c r="CH98" s="6935"/>
      <c r="CJ98" s="7200" t="s">
        <v>10211</v>
      </c>
      <c r="CK98" s="7200"/>
      <c r="CM98" s="7202" t="s">
        <v>10268</v>
      </c>
      <c r="CN98" s="7202"/>
      <c r="CP98"/>
      <c r="CQ98"/>
      <c r="CS98"/>
      <c r="CT98"/>
      <c r="CV98" s="7181" t="s">
        <v>10419</v>
      </c>
      <c r="CW98" s="7181"/>
      <c r="CY98" s="7183" t="s">
        <v>10512</v>
      </c>
      <c r="CZ98" s="7183"/>
      <c r="DB98"/>
      <c r="DC98"/>
      <c r="DE98"/>
      <c r="DF98"/>
      <c r="DH98"/>
      <c r="DI98"/>
      <c r="DK98"/>
      <c r="DL98"/>
      <c r="DM98" s="5">
        <v>1</v>
      </c>
    </row>
    <row r="99" spans="2:117" s="1" customFormat="1" ht="18" customHeight="1">
      <c r="B99" s="7199"/>
      <c r="C99" s="7199"/>
      <c r="D99" s="2"/>
      <c r="E99" s="6936"/>
      <c r="F99" s="6936"/>
      <c r="G99" s="2"/>
      <c r="H99" s="7201"/>
      <c r="I99" s="7201"/>
      <c r="J99" s="2"/>
      <c r="K99" s="7203"/>
      <c r="L99" s="7203"/>
      <c r="M99" s="2"/>
      <c r="N99" s="2"/>
      <c r="O99" s="2"/>
      <c r="P99" s="2"/>
      <c r="Q99" s="2"/>
      <c r="R99" s="2"/>
      <c r="S99" s="2"/>
      <c r="T99" s="7182"/>
      <c r="U99" s="7182"/>
      <c r="V99" s="2"/>
      <c r="W99" s="7184"/>
      <c r="X99" s="7184"/>
      <c r="Y99" s="2"/>
      <c r="Z99" s="2"/>
      <c r="AA99" s="2"/>
      <c r="AB99" s="4"/>
      <c r="AC99" s="2"/>
      <c r="AD99" s="2"/>
      <c r="AE99" s="4"/>
      <c r="AF99" s="2"/>
      <c r="AG99" s="2"/>
      <c r="AH99" s="4"/>
      <c r="AI99" s="2"/>
      <c r="AJ99" s="2"/>
      <c r="AK99" s="2"/>
      <c r="AL99" s="2"/>
      <c r="AM99" s="2"/>
      <c r="AN99" s="2"/>
      <c r="AO99" s="2"/>
      <c r="AP99" s="2"/>
      <c r="AQ99" s="2"/>
      <c r="AS99" s="7199" t="s">
        <v>856</v>
      </c>
      <c r="AT99" s="7199"/>
      <c r="AV99" s="6936" t="s">
        <v>856</v>
      </c>
      <c r="AW99" s="6936"/>
      <c r="AY99" s="7201" t="s">
        <v>856</v>
      </c>
      <c r="AZ99" s="7201"/>
      <c r="BB99" s="7203" t="s">
        <v>856</v>
      </c>
      <c r="BC99" s="7203"/>
      <c r="BE99"/>
      <c r="BF99"/>
      <c r="BH99"/>
      <c r="BI99"/>
      <c r="BK99" s="7182" t="s">
        <v>856</v>
      </c>
      <c r="BL99" s="7182"/>
      <c r="BN99" s="7184" t="s">
        <v>856</v>
      </c>
      <c r="BO99" s="7184"/>
      <c r="BQ99"/>
      <c r="BR99"/>
      <c r="BT99"/>
      <c r="BU99"/>
      <c r="BW99"/>
      <c r="BX99"/>
      <c r="BY99"/>
      <c r="BZ99"/>
      <c r="CA99"/>
      <c r="CB99"/>
      <c r="CC99"/>
      <c r="CD99" s="7199" t="s">
        <v>856</v>
      </c>
      <c r="CE99" s="7199"/>
      <c r="CG99" s="6936" t="s">
        <v>856</v>
      </c>
      <c r="CH99" s="6936"/>
      <c r="CJ99" s="7201" t="s">
        <v>856</v>
      </c>
      <c r="CK99" s="7201"/>
      <c r="CM99" s="7203" t="s">
        <v>856</v>
      </c>
      <c r="CN99" s="7203"/>
      <c r="CP99"/>
      <c r="CQ99"/>
      <c r="CS99"/>
      <c r="CT99"/>
      <c r="CV99" s="7182" t="s">
        <v>856</v>
      </c>
      <c r="CW99" s="7182"/>
      <c r="CY99" s="7184" t="s">
        <v>856</v>
      </c>
      <c r="CZ99" s="7184"/>
      <c r="DB99"/>
      <c r="DC99"/>
      <c r="DE99"/>
      <c r="DF99"/>
      <c r="DH99"/>
      <c r="DI99"/>
      <c r="DK99"/>
      <c r="DL99"/>
      <c r="DM99" s="5">
        <v>1</v>
      </c>
    </row>
    <row r="100" spans="2:117" s="1" customFormat="1" ht="18" customHeight="1" thickBot="1">
      <c r="B100" s="2"/>
      <c r="C100" s="2"/>
      <c r="D100" s="2"/>
      <c r="E100" s="2"/>
      <c r="F100" s="2"/>
      <c r="G100" s="2"/>
      <c r="H100"/>
      <c r="I100"/>
      <c r="J100" s="2"/>
      <c r="K100"/>
      <c r="L100"/>
      <c r="M100" s="2"/>
      <c r="N100" s="2"/>
      <c r="O100" s="2"/>
      <c r="P100" s="2"/>
      <c r="Q100" s="2"/>
      <c r="R100" s="2"/>
      <c r="S100" s="2"/>
      <c r="T100" s="2"/>
      <c r="U100" s="2"/>
      <c r="V100" s="2"/>
      <c r="W100" s="2"/>
      <c r="X100" s="2"/>
      <c r="Y100" s="2"/>
      <c r="Z100" s="2"/>
      <c r="AA100" s="2"/>
      <c r="AB100" s="4"/>
      <c r="AC100" s="2"/>
      <c r="AD100" s="2"/>
      <c r="AE100" s="4"/>
      <c r="AF100" s="2"/>
      <c r="AG100" s="2"/>
      <c r="AH100" s="4"/>
      <c r="AI100" s="2"/>
      <c r="AJ100" s="2"/>
      <c r="AK100" s="2"/>
      <c r="AL100" s="2"/>
      <c r="AM100" s="2"/>
      <c r="AN100" s="2"/>
      <c r="AO100" s="2"/>
      <c r="AP100" s="2"/>
      <c r="AQ100" s="2"/>
      <c r="AS100" s="2" t="s">
        <v>856</v>
      </c>
      <c r="AT100" s="2"/>
      <c r="AV100" s="2" t="s">
        <v>856</v>
      </c>
      <c r="AW100" s="2"/>
      <c r="AY100" t="s">
        <v>856</v>
      </c>
      <c r="AZ100"/>
      <c r="BB100" t="s">
        <v>856</v>
      </c>
      <c r="BC100"/>
      <c r="BE100"/>
      <c r="BF100"/>
      <c r="BH100"/>
      <c r="BI100"/>
      <c r="BK100" s="2" t="s">
        <v>856</v>
      </c>
      <c r="BL100" s="2"/>
      <c r="BN100" s="2" t="s">
        <v>856</v>
      </c>
      <c r="BO100" s="2"/>
      <c r="BQ100"/>
      <c r="BR100"/>
      <c r="BT100"/>
      <c r="BU100"/>
      <c r="BW100"/>
      <c r="BX100"/>
      <c r="BY100"/>
      <c r="BZ100"/>
      <c r="CA100"/>
      <c r="CB100"/>
      <c r="CC100"/>
      <c r="CD100" s="2" t="s">
        <v>856</v>
      </c>
      <c r="CE100" s="2"/>
      <c r="CG100" s="2" t="s">
        <v>856</v>
      </c>
      <c r="CH100" s="2"/>
      <c r="CJ100" t="s">
        <v>856</v>
      </c>
      <c r="CK100"/>
      <c r="CM100" t="s">
        <v>856</v>
      </c>
      <c r="CN100"/>
      <c r="CP100"/>
      <c r="CQ100"/>
      <c r="CS100"/>
      <c r="CT100"/>
      <c r="CV100" s="2" t="s">
        <v>856</v>
      </c>
      <c r="CW100" s="2"/>
      <c r="CY100" s="2" t="s">
        <v>856</v>
      </c>
      <c r="CZ100" s="2"/>
      <c r="DB100"/>
      <c r="DC100"/>
      <c r="DE100"/>
      <c r="DF100"/>
      <c r="DH100"/>
      <c r="DI100"/>
      <c r="DK100"/>
      <c r="DL100"/>
      <c r="DM100" s="5">
        <v>1</v>
      </c>
    </row>
    <row r="101" spans="2:117" s="1" customFormat="1" ht="18" customHeight="1">
      <c r="B101" s="7198" t="s">
        <v>8290</v>
      </c>
      <c r="C101" s="7198"/>
      <c r="D101" s="2"/>
      <c r="E101" s="6935" t="s">
        <v>8291</v>
      </c>
      <c r="F101" s="6935"/>
      <c r="G101" s="2"/>
      <c r="H101" s="7200" t="s">
        <v>8292</v>
      </c>
      <c r="I101" s="7200"/>
      <c r="J101" s="2"/>
      <c r="K101" s="7202" t="s">
        <v>8293</v>
      </c>
      <c r="L101" s="7202"/>
      <c r="M101" s="2"/>
      <c r="N101" s="2"/>
      <c r="O101" s="2"/>
      <c r="P101" s="2"/>
      <c r="Q101" s="2"/>
      <c r="R101" s="2"/>
      <c r="S101" s="2"/>
      <c r="T101" s="7181" t="s">
        <v>8294</v>
      </c>
      <c r="U101" s="7181"/>
      <c r="V101" s="2"/>
      <c r="W101" s="7183" t="s">
        <v>8295</v>
      </c>
      <c r="X101" s="7183"/>
      <c r="Y101" s="2"/>
      <c r="Z101" s="2"/>
      <c r="AA101" s="2"/>
      <c r="AB101" s="4"/>
      <c r="AC101" s="2"/>
      <c r="AD101" s="2"/>
      <c r="AE101" s="4"/>
      <c r="AF101" s="2"/>
      <c r="AG101" s="2"/>
      <c r="AH101" s="4"/>
      <c r="AI101" s="2"/>
      <c r="AJ101" s="2"/>
      <c r="AK101" s="2"/>
      <c r="AL101" s="2"/>
      <c r="AM101" s="2"/>
      <c r="AN101" s="2"/>
      <c r="AO101" s="2"/>
      <c r="AP101" s="2"/>
      <c r="AQ101" s="2"/>
      <c r="AS101" s="7198"/>
      <c r="AT101" s="7198"/>
      <c r="AV101" s="6935" t="s">
        <v>10124</v>
      </c>
      <c r="AW101" s="6935"/>
      <c r="AY101" s="7200" t="s">
        <v>10188</v>
      </c>
      <c r="AZ101" s="7200"/>
      <c r="BB101" s="7202" t="s">
        <v>10239</v>
      </c>
      <c r="BC101" s="7202"/>
      <c r="BE101"/>
      <c r="BF101"/>
      <c r="BH101"/>
      <c r="BI101"/>
      <c r="BK101" s="7181" t="s">
        <v>10378</v>
      </c>
      <c r="BL101" s="7181"/>
      <c r="BN101" s="7183" t="s">
        <v>10462</v>
      </c>
      <c r="BO101" s="7183"/>
      <c r="BQ101"/>
      <c r="BR101"/>
      <c r="BT101"/>
      <c r="BU101"/>
      <c r="BW101"/>
      <c r="BX101"/>
      <c r="BY101"/>
      <c r="BZ101"/>
      <c r="CA101"/>
      <c r="CB101"/>
      <c r="CC101"/>
      <c r="CD101" s="7198"/>
      <c r="CE101" s="7198"/>
      <c r="CG101" s="6935" t="s">
        <v>10158</v>
      </c>
      <c r="CH101" s="6935"/>
      <c r="CJ101" s="7200" t="s">
        <v>10212</v>
      </c>
      <c r="CK101" s="7200"/>
      <c r="CM101" s="7202" t="s">
        <v>10269</v>
      </c>
      <c r="CN101" s="7202"/>
      <c r="CP101"/>
      <c r="CQ101"/>
      <c r="CS101"/>
      <c r="CT101"/>
      <c r="CV101" s="7181" t="s">
        <v>10420</v>
      </c>
      <c r="CW101" s="7181"/>
      <c r="CY101" s="7183" t="s">
        <v>10513</v>
      </c>
      <c r="CZ101" s="7183"/>
      <c r="DB101"/>
      <c r="DC101"/>
      <c r="DE101"/>
      <c r="DF101"/>
      <c r="DH101"/>
      <c r="DI101"/>
      <c r="DK101"/>
      <c r="DL101"/>
      <c r="DM101" s="5">
        <v>1</v>
      </c>
    </row>
    <row r="102" spans="2:117" s="1" customFormat="1" ht="18" customHeight="1">
      <c r="B102" s="7199"/>
      <c r="C102" s="7199"/>
      <c r="D102" s="2"/>
      <c r="E102" s="6936"/>
      <c r="F102" s="6936"/>
      <c r="G102" s="2"/>
      <c r="H102" s="7201"/>
      <c r="I102" s="7201"/>
      <c r="J102" s="2"/>
      <c r="K102" s="7203"/>
      <c r="L102" s="7203"/>
      <c r="M102" s="2"/>
      <c r="N102" s="2"/>
      <c r="O102" s="2"/>
      <c r="P102" s="2"/>
      <c r="Q102" s="2"/>
      <c r="R102" s="2"/>
      <c r="S102" s="2"/>
      <c r="T102" s="7182"/>
      <c r="U102" s="7182"/>
      <c r="V102" s="2"/>
      <c r="W102" s="7184"/>
      <c r="X102" s="7184"/>
      <c r="Y102" s="2"/>
      <c r="Z102" s="2"/>
      <c r="AA102" s="2"/>
      <c r="AB102" s="4"/>
      <c r="AC102" s="2"/>
      <c r="AD102" s="2"/>
      <c r="AE102" s="4"/>
      <c r="AF102" s="2"/>
      <c r="AG102" s="2"/>
      <c r="AH102" s="4"/>
      <c r="AI102" s="2"/>
      <c r="AJ102" s="2"/>
      <c r="AK102" s="2"/>
      <c r="AL102" s="2"/>
      <c r="AM102" s="2"/>
      <c r="AN102" s="2"/>
      <c r="AO102" s="2"/>
      <c r="AP102" s="2"/>
      <c r="AQ102" s="2"/>
      <c r="AS102" s="7199"/>
      <c r="AT102" s="7199"/>
      <c r="AV102" s="6936" t="s">
        <v>856</v>
      </c>
      <c r="AW102" s="6936"/>
      <c r="AY102" s="7201" t="s">
        <v>856</v>
      </c>
      <c r="AZ102" s="7201"/>
      <c r="BB102" s="7203" t="s">
        <v>856</v>
      </c>
      <c r="BC102" s="7203"/>
      <c r="BE102"/>
      <c r="BF102"/>
      <c r="BH102"/>
      <c r="BI102"/>
      <c r="BK102" s="7182" t="s">
        <v>856</v>
      </c>
      <c r="BL102" s="7182"/>
      <c r="BN102" s="7184" t="s">
        <v>856</v>
      </c>
      <c r="BO102" s="7184"/>
      <c r="BQ102"/>
      <c r="BR102"/>
      <c r="BT102"/>
      <c r="BU102"/>
      <c r="BW102"/>
      <c r="BX102"/>
      <c r="BY102"/>
      <c r="BZ102"/>
      <c r="CA102"/>
      <c r="CB102"/>
      <c r="CC102"/>
      <c r="CD102" s="7199"/>
      <c r="CE102" s="7199"/>
      <c r="CG102" s="6936" t="s">
        <v>856</v>
      </c>
      <c r="CH102" s="6936"/>
      <c r="CJ102" s="7201" t="s">
        <v>856</v>
      </c>
      <c r="CK102" s="7201"/>
      <c r="CM102" s="7203" t="s">
        <v>856</v>
      </c>
      <c r="CN102" s="7203"/>
      <c r="CP102"/>
      <c r="CQ102"/>
      <c r="CS102"/>
      <c r="CT102"/>
      <c r="CV102" s="7182" t="s">
        <v>856</v>
      </c>
      <c r="CW102" s="7182"/>
      <c r="CY102" s="7184" t="s">
        <v>856</v>
      </c>
      <c r="CZ102" s="7184"/>
      <c r="DB102"/>
      <c r="DC102"/>
      <c r="DE102"/>
      <c r="DF102"/>
      <c r="DH102"/>
      <c r="DI102"/>
      <c r="DK102"/>
      <c r="DL102"/>
      <c r="DM102" s="5">
        <v>1</v>
      </c>
    </row>
    <row r="103" spans="2:117" s="1" customFormat="1" ht="18" customHeight="1" thickBot="1">
      <c r="B103" s="2"/>
      <c r="C103" s="2"/>
      <c r="D103" s="2"/>
      <c r="E103" s="2"/>
      <c r="F103" s="2"/>
      <c r="G103" s="2"/>
      <c r="H103"/>
      <c r="I103"/>
      <c r="J103" s="2"/>
      <c r="K103"/>
      <c r="L103"/>
      <c r="M103" s="2"/>
      <c r="N103" s="2"/>
      <c r="O103" s="2"/>
      <c r="P103" s="2"/>
      <c r="Q103" s="2"/>
      <c r="R103" s="2"/>
      <c r="S103" s="2"/>
      <c r="T103" s="2"/>
      <c r="U103" s="2"/>
      <c r="V103" s="2"/>
      <c r="W103" s="2"/>
      <c r="X103" s="2"/>
      <c r="Y103" s="2"/>
      <c r="Z103" s="2"/>
      <c r="AA103" s="2"/>
      <c r="AB103" s="4"/>
      <c r="AC103" s="2"/>
      <c r="AD103" s="2"/>
      <c r="AE103" s="4"/>
      <c r="AF103" s="2"/>
      <c r="AG103" s="2"/>
      <c r="AH103" s="4"/>
      <c r="AI103" s="2"/>
      <c r="AJ103" s="2"/>
      <c r="AK103" s="2"/>
      <c r="AL103" s="2"/>
      <c r="AM103" s="2"/>
      <c r="AN103" s="2"/>
      <c r="AO103" s="2"/>
      <c r="AP103" s="2"/>
      <c r="AQ103" s="2"/>
      <c r="AS103"/>
      <c r="AT103"/>
      <c r="AV103" s="2" t="s">
        <v>856</v>
      </c>
      <c r="AW103" s="2"/>
      <c r="AY103" t="s">
        <v>856</v>
      </c>
      <c r="AZ103"/>
      <c r="BB103" t="s">
        <v>856</v>
      </c>
      <c r="BC103"/>
      <c r="BE103"/>
      <c r="BF103"/>
      <c r="BH103"/>
      <c r="BI103"/>
      <c r="BK103" s="2" t="s">
        <v>856</v>
      </c>
      <c r="BL103" s="2"/>
      <c r="BN103" s="2" t="s">
        <v>856</v>
      </c>
      <c r="BO103" s="2"/>
      <c r="BQ103"/>
      <c r="BR103"/>
      <c r="BT103"/>
      <c r="BU103"/>
      <c r="BW103"/>
      <c r="BX103"/>
      <c r="BY103"/>
      <c r="BZ103"/>
      <c r="CA103"/>
      <c r="CB103"/>
      <c r="CC103"/>
      <c r="CD103"/>
      <c r="CE103"/>
      <c r="CG103" s="2" t="s">
        <v>856</v>
      </c>
      <c r="CH103" s="2"/>
      <c r="CJ103" t="s">
        <v>856</v>
      </c>
      <c r="CK103"/>
      <c r="CM103" t="s">
        <v>856</v>
      </c>
      <c r="CN103"/>
      <c r="CP103"/>
      <c r="CQ103"/>
      <c r="CS103"/>
      <c r="CT103"/>
      <c r="CV103" s="473" t="s">
        <v>856</v>
      </c>
      <c r="CW103" s="473"/>
      <c r="CY103" s="2" t="s">
        <v>856</v>
      </c>
      <c r="CZ103" s="2"/>
      <c r="DB103"/>
      <c r="DC103"/>
      <c r="DE103"/>
      <c r="DF103"/>
      <c r="DH103" s="2"/>
      <c r="DI103" s="2"/>
      <c r="DK103"/>
      <c r="DL103"/>
      <c r="DM103" s="5">
        <v>1</v>
      </c>
    </row>
    <row r="104" spans="2:117" s="1" customFormat="1" ht="18" customHeight="1">
      <c r="B104" s="7198" t="s">
        <v>8296</v>
      </c>
      <c r="C104" s="7198"/>
      <c r="D104" s="2"/>
      <c r="E104" s="6935" t="s">
        <v>8297</v>
      </c>
      <c r="F104" s="6935"/>
      <c r="G104" s="2"/>
      <c r="H104" s="7200" t="s">
        <v>8298</v>
      </c>
      <c r="I104" s="7200"/>
      <c r="J104" s="2"/>
      <c r="K104" s="7202" t="s">
        <v>8299</v>
      </c>
      <c r="L104" s="7202"/>
      <c r="M104" s="2"/>
      <c r="N104" s="2"/>
      <c r="O104" s="2"/>
      <c r="P104" s="2"/>
      <c r="Q104" s="2"/>
      <c r="R104" s="2"/>
      <c r="S104" s="2"/>
      <c r="T104" s="7181" t="s">
        <v>8300</v>
      </c>
      <c r="U104" s="7181"/>
      <c r="V104" s="2"/>
      <c r="W104" s="7183" t="s">
        <v>8301</v>
      </c>
      <c r="X104" s="7183"/>
      <c r="Y104" s="2"/>
      <c r="Z104" s="2"/>
      <c r="AA104" s="2"/>
      <c r="AB104" s="4"/>
      <c r="AC104" s="2"/>
      <c r="AD104" s="2"/>
      <c r="AE104" s="4"/>
      <c r="AF104" s="2"/>
      <c r="AG104" s="2"/>
      <c r="AH104" s="4"/>
      <c r="AI104" s="2"/>
      <c r="AJ104" s="2"/>
      <c r="AK104" s="2"/>
      <c r="AL104" s="2"/>
      <c r="AM104" s="2"/>
      <c r="AN104" s="2"/>
      <c r="AO104" s="2"/>
      <c r="AP104" s="2"/>
      <c r="AQ104" s="2"/>
      <c r="AS104"/>
      <c r="AT104"/>
      <c r="AV104" s="6935" t="s">
        <v>10125</v>
      </c>
      <c r="AW104" s="6935"/>
      <c r="AY104" s="7200" t="s">
        <v>10165</v>
      </c>
      <c r="AZ104" s="7200"/>
      <c r="BB104" s="7202" t="s">
        <v>10240</v>
      </c>
      <c r="BC104" s="7202"/>
      <c r="BE104"/>
      <c r="BF104"/>
      <c r="BH104"/>
      <c r="BI104"/>
      <c r="BK104" s="7181" t="s">
        <v>10379</v>
      </c>
      <c r="BL104" s="7181"/>
      <c r="BN104" s="7183" t="s">
        <v>10463</v>
      </c>
      <c r="BO104" s="7183"/>
      <c r="BQ104"/>
      <c r="BR104"/>
      <c r="BT104"/>
      <c r="BU104"/>
      <c r="BW104"/>
      <c r="BX104"/>
      <c r="BY104"/>
      <c r="BZ104"/>
      <c r="CA104"/>
      <c r="CB104"/>
      <c r="CC104"/>
      <c r="CD104"/>
      <c r="CE104"/>
      <c r="CG104" s="6935" t="s">
        <v>10159</v>
      </c>
      <c r="CH104" s="6935"/>
      <c r="CJ104" s="7200" t="s">
        <v>10190</v>
      </c>
      <c r="CK104" s="7200"/>
      <c r="CM104" s="7202" t="s">
        <v>10270</v>
      </c>
      <c r="CN104" s="7202"/>
      <c r="CP104"/>
      <c r="CQ104"/>
      <c r="CS104"/>
      <c r="CT104"/>
      <c r="CV104" s="7181" t="s">
        <v>10421</v>
      </c>
      <c r="CW104" s="7181"/>
      <c r="CY104" s="7183" t="s">
        <v>10514</v>
      </c>
      <c r="CZ104" s="7183"/>
      <c r="DB104"/>
      <c r="DC104"/>
      <c r="DE104"/>
      <c r="DF104"/>
      <c r="DH104"/>
      <c r="DI104"/>
      <c r="DK104"/>
      <c r="DL104"/>
      <c r="DM104" s="5">
        <v>1</v>
      </c>
    </row>
    <row r="105" spans="2:117" s="1" customFormat="1" ht="18" customHeight="1">
      <c r="B105" s="7199"/>
      <c r="C105" s="7199"/>
      <c r="D105" s="2"/>
      <c r="E105" s="6936"/>
      <c r="F105" s="6936"/>
      <c r="G105" s="2"/>
      <c r="H105" s="7201"/>
      <c r="I105" s="7201"/>
      <c r="J105" s="2"/>
      <c r="K105" s="7203"/>
      <c r="L105" s="7203"/>
      <c r="M105" s="2"/>
      <c r="N105" s="2"/>
      <c r="O105" s="2"/>
      <c r="P105" s="2"/>
      <c r="Q105" s="2"/>
      <c r="R105" s="2"/>
      <c r="S105" s="2"/>
      <c r="T105" s="7182"/>
      <c r="U105" s="7182"/>
      <c r="V105" s="2"/>
      <c r="W105" s="7184"/>
      <c r="X105" s="7184"/>
      <c r="Y105" s="2"/>
      <c r="Z105" s="2"/>
      <c r="AA105" s="2"/>
      <c r="AB105" s="4"/>
      <c r="AC105" s="2"/>
      <c r="AD105" s="2"/>
      <c r="AE105" s="4"/>
      <c r="AF105" s="2"/>
      <c r="AG105" s="2"/>
      <c r="AH105" s="4"/>
      <c r="AI105" s="2"/>
      <c r="AJ105" s="2"/>
      <c r="AK105" s="2"/>
      <c r="AL105" s="2"/>
      <c r="AM105" s="2"/>
      <c r="AN105" s="2"/>
      <c r="AO105" s="2"/>
      <c r="AP105" s="2"/>
      <c r="AQ105" s="2"/>
      <c r="AS105"/>
      <c r="AT105"/>
      <c r="AV105" s="6936" t="s">
        <v>856</v>
      </c>
      <c r="AW105" s="6936"/>
      <c r="AY105" s="7201" t="s">
        <v>856</v>
      </c>
      <c r="AZ105" s="7201"/>
      <c r="BB105" s="7203" t="s">
        <v>856</v>
      </c>
      <c r="BC105" s="7203"/>
      <c r="BE105"/>
      <c r="BF105"/>
      <c r="BH105"/>
      <c r="BI105"/>
      <c r="BK105" s="7182" t="s">
        <v>856</v>
      </c>
      <c r="BL105" s="7182"/>
      <c r="BN105" s="7184" t="s">
        <v>856</v>
      </c>
      <c r="BO105" s="7184"/>
      <c r="BQ105"/>
      <c r="BR105"/>
      <c r="BT105"/>
      <c r="BU105"/>
      <c r="BW105"/>
      <c r="BX105"/>
      <c r="BY105"/>
      <c r="BZ105"/>
      <c r="CA105"/>
      <c r="CB105"/>
      <c r="CC105"/>
      <c r="CD105"/>
      <c r="CE105"/>
      <c r="CG105" s="6936" t="s">
        <v>856</v>
      </c>
      <c r="CH105" s="6936"/>
      <c r="CJ105" s="7201" t="s">
        <v>856</v>
      </c>
      <c r="CK105" s="7201"/>
      <c r="CM105" s="7203" t="s">
        <v>856</v>
      </c>
      <c r="CN105" s="7203"/>
      <c r="CP105"/>
      <c r="CQ105"/>
      <c r="CS105"/>
      <c r="CT105"/>
      <c r="CV105" s="7182" t="s">
        <v>856</v>
      </c>
      <c r="CW105" s="7182"/>
      <c r="CY105" s="7184" t="s">
        <v>856</v>
      </c>
      <c r="CZ105" s="7184"/>
      <c r="DB105"/>
      <c r="DC105"/>
      <c r="DE105"/>
      <c r="DF105"/>
      <c r="DH105"/>
      <c r="DI105"/>
      <c r="DK105"/>
      <c r="DL105"/>
      <c r="DM105" s="5">
        <v>1</v>
      </c>
    </row>
    <row r="106" spans="2:117" s="1" customFormat="1" ht="18" customHeight="1" thickBot="1">
      <c r="B106" s="2"/>
      <c r="C106" s="2"/>
      <c r="D106" s="2"/>
      <c r="E106" s="2"/>
      <c r="F106" s="2"/>
      <c r="G106" s="2"/>
      <c r="H106"/>
      <c r="I106"/>
      <c r="J106" s="2"/>
      <c r="K106"/>
      <c r="L106"/>
      <c r="M106" s="2"/>
      <c r="N106" s="2"/>
      <c r="O106" s="2"/>
      <c r="P106" s="2"/>
      <c r="Q106" s="2"/>
      <c r="R106" s="2"/>
      <c r="S106" s="2"/>
      <c r="T106" s="2"/>
      <c r="U106" s="2"/>
      <c r="V106" s="2"/>
      <c r="W106" s="2"/>
      <c r="X106" s="2"/>
      <c r="Y106" s="2"/>
      <c r="Z106" s="2"/>
      <c r="AA106" s="2"/>
      <c r="AB106" s="4"/>
      <c r="AC106" s="2"/>
      <c r="AD106" s="2"/>
      <c r="AE106" s="4"/>
      <c r="AF106" s="2"/>
      <c r="AG106" s="2"/>
      <c r="AH106" s="4"/>
      <c r="AI106" s="2"/>
      <c r="AJ106" s="2"/>
      <c r="AK106" s="2"/>
      <c r="AL106" s="2"/>
      <c r="AM106" s="2"/>
      <c r="AN106" s="2"/>
      <c r="AO106" s="2"/>
      <c r="AP106" s="2"/>
      <c r="AQ106" s="2"/>
      <c r="AS106"/>
      <c r="AT106"/>
      <c r="AV106" s="2" t="s">
        <v>856</v>
      </c>
      <c r="AW106" s="2"/>
      <c r="AY106" t="s">
        <v>856</v>
      </c>
      <c r="AZ106"/>
      <c r="BB106" t="s">
        <v>856</v>
      </c>
      <c r="BC106"/>
      <c r="BE106"/>
      <c r="BF106"/>
      <c r="BH106"/>
      <c r="BI106"/>
      <c r="BK106" s="2" t="s">
        <v>856</v>
      </c>
      <c r="BL106" s="2"/>
      <c r="BN106" s="2" t="s">
        <v>856</v>
      </c>
      <c r="BO106" s="2"/>
      <c r="BQ106"/>
      <c r="BR106"/>
      <c r="BT106"/>
      <c r="BU106"/>
      <c r="BW106"/>
      <c r="BX106"/>
      <c r="BY106"/>
      <c r="BZ106"/>
      <c r="CA106"/>
      <c r="CB106"/>
      <c r="CC106"/>
      <c r="CD106"/>
      <c r="CE106"/>
      <c r="CG106" s="2" t="s">
        <v>856</v>
      </c>
      <c r="CH106" s="2"/>
      <c r="CJ106"/>
      <c r="CK106"/>
      <c r="CM106" t="s">
        <v>856</v>
      </c>
      <c r="CN106"/>
      <c r="CP106"/>
      <c r="CQ106"/>
      <c r="CS106"/>
      <c r="CT106"/>
      <c r="CV106" s="473" t="s">
        <v>856</v>
      </c>
      <c r="CW106" s="473"/>
      <c r="CY106" s="473" t="s">
        <v>856</v>
      </c>
      <c r="CZ106" s="473"/>
      <c r="DB106"/>
      <c r="DC106"/>
      <c r="DE106"/>
      <c r="DF106"/>
      <c r="DH106"/>
      <c r="DI106"/>
      <c r="DK106"/>
      <c r="DL106"/>
      <c r="DM106" s="5">
        <v>1</v>
      </c>
    </row>
    <row r="107" spans="2:117" s="1" customFormat="1" ht="18" customHeight="1">
      <c r="B107" s="7198"/>
      <c r="C107" s="7198"/>
      <c r="D107" s="2"/>
      <c r="E107" s="6935" t="s">
        <v>8302</v>
      </c>
      <c r="F107" s="6935"/>
      <c r="G107" s="2"/>
      <c r="H107" s="7200" t="s">
        <v>8043</v>
      </c>
      <c r="I107" s="7200"/>
      <c r="J107" s="2"/>
      <c r="K107" s="7202" t="s">
        <v>8303</v>
      </c>
      <c r="L107" s="7202"/>
      <c r="M107" s="2"/>
      <c r="N107" s="2"/>
      <c r="O107" s="2"/>
      <c r="P107" s="2"/>
      <c r="Q107" s="2"/>
      <c r="R107" s="2"/>
      <c r="S107" s="2"/>
      <c r="T107" s="7181" t="s">
        <v>8304</v>
      </c>
      <c r="U107" s="7181"/>
      <c r="V107" s="2"/>
      <c r="W107" s="7183" t="s">
        <v>8305</v>
      </c>
      <c r="X107" s="7183"/>
      <c r="Y107" s="2"/>
      <c r="Z107" s="2"/>
      <c r="AA107" s="2"/>
      <c r="AB107" s="4"/>
      <c r="AC107" s="2"/>
      <c r="AD107" s="2"/>
      <c r="AE107" s="4"/>
      <c r="AF107" s="2"/>
      <c r="AG107" s="2"/>
      <c r="AH107" s="4"/>
      <c r="AI107" s="2"/>
      <c r="AJ107" s="2"/>
      <c r="AK107" s="2"/>
      <c r="AL107" s="2"/>
      <c r="AM107" s="2"/>
      <c r="AN107" s="2"/>
      <c r="AO107" s="2"/>
      <c r="AP107" s="2"/>
      <c r="AQ107" s="2"/>
      <c r="AS107"/>
      <c r="AT107"/>
      <c r="AV107" s="6935" t="s">
        <v>10126</v>
      </c>
      <c r="AW107" s="6935"/>
      <c r="AY107" s="7200"/>
      <c r="AZ107" s="7200"/>
      <c r="BB107" s="7202" t="s">
        <v>10241</v>
      </c>
      <c r="BC107" s="7202"/>
      <c r="BE107"/>
      <c r="BF107"/>
      <c r="BH107"/>
      <c r="BI107"/>
      <c r="BK107" s="7181" t="s">
        <v>10380</v>
      </c>
      <c r="BL107" s="7181"/>
      <c r="BN107" s="7183" t="s">
        <v>10464</v>
      </c>
      <c r="BO107" s="7183"/>
      <c r="BQ107"/>
      <c r="BR107"/>
      <c r="BT107"/>
      <c r="BU107"/>
      <c r="BW107"/>
      <c r="BX107"/>
      <c r="BY107"/>
      <c r="BZ107"/>
      <c r="CA107"/>
      <c r="CB107"/>
      <c r="CC107"/>
      <c r="CD107"/>
      <c r="CE107"/>
      <c r="CG107" s="6935" t="s">
        <v>10160</v>
      </c>
      <c r="CH107" s="6935"/>
      <c r="CJ107" s="7200"/>
      <c r="CK107" s="7200"/>
      <c r="CM107" s="7202" t="s">
        <v>10271</v>
      </c>
      <c r="CN107" s="7202"/>
      <c r="CP107"/>
      <c r="CQ107"/>
      <c r="CS107"/>
      <c r="CT107"/>
      <c r="CV107" s="7181" t="s">
        <v>10422</v>
      </c>
      <c r="CW107" s="7181"/>
      <c r="CY107" s="7183" t="s">
        <v>10515</v>
      </c>
      <c r="CZ107" s="7183"/>
      <c r="DB107"/>
      <c r="DC107"/>
      <c r="DE107"/>
      <c r="DF107"/>
      <c r="DH107"/>
      <c r="DI107"/>
      <c r="DK107"/>
      <c r="DL107"/>
      <c r="DM107" s="5">
        <v>1</v>
      </c>
    </row>
    <row r="108" spans="2:117" s="1" customFormat="1" ht="18" customHeight="1">
      <c r="B108" s="7199"/>
      <c r="C108" s="7199"/>
      <c r="D108" s="2"/>
      <c r="E108" s="6936"/>
      <c r="F108" s="6936"/>
      <c r="G108" s="2"/>
      <c r="H108" s="7201"/>
      <c r="I108" s="7201"/>
      <c r="J108" s="2"/>
      <c r="K108" s="7203"/>
      <c r="L108" s="7203"/>
      <c r="M108" s="2"/>
      <c r="N108" s="2"/>
      <c r="O108" s="2"/>
      <c r="P108" s="2"/>
      <c r="Q108" s="2"/>
      <c r="R108" s="2"/>
      <c r="S108" s="2"/>
      <c r="T108" s="7182"/>
      <c r="U108" s="7182"/>
      <c r="V108" s="2"/>
      <c r="W108" s="7184"/>
      <c r="X108" s="7184"/>
      <c r="Y108" s="2"/>
      <c r="Z108" s="2"/>
      <c r="AA108" s="2"/>
      <c r="AB108" s="4"/>
      <c r="AC108" s="2"/>
      <c r="AD108" s="2"/>
      <c r="AE108" s="4"/>
      <c r="AF108" s="2"/>
      <c r="AG108" s="2"/>
      <c r="AH108" s="4"/>
      <c r="AI108" s="2"/>
      <c r="AJ108" s="2"/>
      <c r="AK108" s="2"/>
      <c r="AL108" s="2"/>
      <c r="AM108" s="2"/>
      <c r="AN108" s="2"/>
      <c r="AO108" s="2"/>
      <c r="AP108" s="2"/>
      <c r="AQ108" s="2"/>
      <c r="AS108"/>
      <c r="AT108"/>
      <c r="AV108" s="6936" t="s">
        <v>856</v>
      </c>
      <c r="AW108" s="6936"/>
      <c r="AY108" s="7201"/>
      <c r="AZ108" s="7201"/>
      <c r="BB108" s="7203" t="s">
        <v>856</v>
      </c>
      <c r="BC108" s="7203"/>
      <c r="BE108"/>
      <c r="BF108"/>
      <c r="BH108"/>
      <c r="BI108"/>
      <c r="BK108" s="7182" t="s">
        <v>856</v>
      </c>
      <c r="BL108" s="7182"/>
      <c r="BN108" s="7184" t="s">
        <v>856</v>
      </c>
      <c r="BO108" s="7184"/>
      <c r="BQ108"/>
      <c r="BR108"/>
      <c r="BT108"/>
      <c r="BU108"/>
      <c r="BW108"/>
      <c r="BX108"/>
      <c r="BY108"/>
      <c r="BZ108"/>
      <c r="CA108"/>
      <c r="CB108"/>
      <c r="CC108"/>
      <c r="CD108"/>
      <c r="CE108"/>
      <c r="CG108" s="6936" t="s">
        <v>856</v>
      </c>
      <c r="CH108" s="6936"/>
      <c r="CJ108" s="7201"/>
      <c r="CK108" s="7201"/>
      <c r="CM108" s="7203" t="s">
        <v>856</v>
      </c>
      <c r="CN108" s="7203"/>
      <c r="CP108"/>
      <c r="CQ108"/>
      <c r="CS108"/>
      <c r="CT108"/>
      <c r="CV108" s="7182" t="s">
        <v>856</v>
      </c>
      <c r="CW108" s="7182"/>
      <c r="CY108" s="7184" t="s">
        <v>856</v>
      </c>
      <c r="CZ108" s="7184"/>
      <c r="DB108"/>
      <c r="DC108"/>
      <c r="DE108"/>
      <c r="DF108"/>
      <c r="DH108"/>
      <c r="DI108"/>
      <c r="DK108"/>
      <c r="DL108"/>
      <c r="DM108" s="5">
        <v>1</v>
      </c>
    </row>
    <row r="109" spans="2:117" s="1" customFormat="1" ht="18" customHeight="1" thickBot="1">
      <c r="B109" s="2"/>
      <c r="C109" s="2"/>
      <c r="D109" s="2"/>
      <c r="E109" s="2"/>
      <c r="F109" s="2"/>
      <c r="G109" s="2"/>
      <c r="H109" s="2"/>
      <c r="I109" s="2"/>
      <c r="J109" s="2"/>
      <c r="K109"/>
      <c r="L109"/>
      <c r="M109" s="2"/>
      <c r="N109" s="2"/>
      <c r="O109" s="2"/>
      <c r="P109" s="2"/>
      <c r="Q109" s="2"/>
      <c r="R109" s="2"/>
      <c r="S109" s="2"/>
      <c r="T109" s="473">
        <v>1</v>
      </c>
      <c r="U109" s="473">
        <v>1</v>
      </c>
      <c r="V109" s="2"/>
      <c r="W109" s="473">
        <v>1</v>
      </c>
      <c r="X109" s="473">
        <v>1</v>
      </c>
      <c r="Y109" s="2"/>
      <c r="Z109" s="2"/>
      <c r="AA109" s="2"/>
      <c r="AB109" s="4"/>
      <c r="AC109" s="2"/>
      <c r="AD109" s="2"/>
      <c r="AE109" s="4"/>
      <c r="AF109" s="2"/>
      <c r="AG109" s="2"/>
      <c r="AH109" s="4"/>
      <c r="AI109" s="2"/>
      <c r="AJ109" s="2"/>
      <c r="AK109" s="2"/>
      <c r="AL109" s="2"/>
      <c r="AM109" s="2"/>
      <c r="AN109" s="2"/>
      <c r="AO109" s="2"/>
      <c r="AP109" s="2"/>
      <c r="AQ109" s="2"/>
      <c r="AS109"/>
      <c r="AT109"/>
      <c r="AV109" s="2" t="s">
        <v>856</v>
      </c>
      <c r="AW109" s="2"/>
      <c r="AY109"/>
      <c r="AZ109"/>
      <c r="BB109" t="s">
        <v>856</v>
      </c>
      <c r="BC109"/>
      <c r="BE109"/>
      <c r="BF109"/>
      <c r="BH109"/>
      <c r="BI109"/>
      <c r="BK109" s="473" t="s">
        <v>856</v>
      </c>
      <c r="BL109" s="473"/>
      <c r="BN109" s="2" t="s">
        <v>856</v>
      </c>
      <c r="BO109" s="2"/>
      <c r="BQ109"/>
      <c r="BR109"/>
      <c r="BT109"/>
      <c r="BU109"/>
      <c r="BW109"/>
      <c r="BX109"/>
      <c r="BY109"/>
      <c r="BZ109"/>
      <c r="CA109"/>
      <c r="CB109"/>
      <c r="CC109"/>
      <c r="CD109"/>
      <c r="CE109"/>
      <c r="CG109" s="2" t="s">
        <v>856</v>
      </c>
      <c r="CH109" s="2"/>
      <c r="CJ109"/>
      <c r="CK109"/>
      <c r="CM109" s="2" t="s">
        <v>856</v>
      </c>
      <c r="CN109" s="2"/>
      <c r="CP109"/>
      <c r="CQ109"/>
      <c r="CS109"/>
      <c r="CT109"/>
      <c r="CV109" s="473" t="s">
        <v>856</v>
      </c>
      <c r="CW109" s="473"/>
      <c r="CY109" s="473" t="s">
        <v>856</v>
      </c>
      <c r="CZ109" s="473"/>
      <c r="DB109"/>
      <c r="DC109"/>
      <c r="DE109"/>
      <c r="DF109"/>
      <c r="DH109"/>
      <c r="DI109"/>
      <c r="DK109"/>
      <c r="DL109"/>
      <c r="DM109" s="5">
        <v>1</v>
      </c>
    </row>
    <row r="110" spans="2:117" s="1" customFormat="1" ht="18" customHeight="1">
      <c r="B110" s="2"/>
      <c r="C110" s="2"/>
      <c r="D110" s="2"/>
      <c r="E110" s="6935" t="s">
        <v>8306</v>
      </c>
      <c r="F110" s="6935"/>
      <c r="G110" s="2"/>
      <c r="H110" s="7200"/>
      <c r="I110" s="7200"/>
      <c r="J110" s="2"/>
      <c r="K110" s="7202" t="s">
        <v>8044</v>
      </c>
      <c r="L110" s="7202"/>
      <c r="M110" s="2"/>
      <c r="N110" s="2"/>
      <c r="O110" s="2"/>
      <c r="P110" s="2"/>
      <c r="Q110" s="2"/>
      <c r="R110" s="2"/>
      <c r="S110" s="2"/>
      <c r="T110" s="7181" t="s">
        <v>8307</v>
      </c>
      <c r="U110" s="7181"/>
      <c r="V110" s="2"/>
      <c r="W110" s="7183" t="s">
        <v>8308</v>
      </c>
      <c r="X110" s="7183"/>
      <c r="Y110" s="2"/>
      <c r="Z110" s="2"/>
      <c r="AA110" s="2"/>
      <c r="AB110" s="4"/>
      <c r="AC110" s="2"/>
      <c r="AD110" s="2"/>
      <c r="AE110" s="4"/>
      <c r="AF110" s="2"/>
      <c r="AG110" s="2"/>
      <c r="AH110" s="4"/>
      <c r="AI110" s="2"/>
      <c r="AJ110" s="2"/>
      <c r="AK110" s="2"/>
      <c r="AL110" s="2"/>
      <c r="AM110" s="2"/>
      <c r="AN110" s="2"/>
      <c r="AO110" s="2"/>
      <c r="AP110" s="2"/>
      <c r="AQ110" s="2"/>
      <c r="AS110"/>
      <c r="AT110"/>
      <c r="AV110" s="6935" t="s">
        <v>10127</v>
      </c>
      <c r="AW110" s="6935"/>
      <c r="AY110"/>
      <c r="AZ110"/>
      <c r="BB110" s="7202" t="s">
        <v>10214</v>
      </c>
      <c r="BC110" s="7202"/>
      <c r="BE110"/>
      <c r="BF110"/>
      <c r="BH110"/>
      <c r="BI110"/>
      <c r="BK110" s="7181" t="s">
        <v>10381</v>
      </c>
      <c r="BL110" s="7181"/>
      <c r="BN110" s="7183" t="s">
        <v>10465</v>
      </c>
      <c r="BO110" s="7183"/>
      <c r="BQ110"/>
      <c r="BR110"/>
      <c r="BT110"/>
      <c r="BU110"/>
      <c r="BW110"/>
      <c r="BX110"/>
      <c r="BY110"/>
      <c r="BZ110"/>
      <c r="CA110"/>
      <c r="CB110"/>
      <c r="CC110"/>
      <c r="CD110"/>
      <c r="CE110"/>
      <c r="CG110" s="6935" t="s">
        <v>10161</v>
      </c>
      <c r="CH110" s="6935"/>
      <c r="CJ110"/>
      <c r="CK110"/>
      <c r="CM110" s="7202" t="s">
        <v>10244</v>
      </c>
      <c r="CN110" s="7202"/>
      <c r="CP110"/>
      <c r="CQ110"/>
      <c r="CS110"/>
      <c r="CT110"/>
      <c r="CV110" s="7181" t="s">
        <v>10423</v>
      </c>
      <c r="CW110" s="7181"/>
      <c r="CY110" s="7183" t="s">
        <v>10516</v>
      </c>
      <c r="CZ110" s="7183"/>
      <c r="DB110"/>
      <c r="DC110"/>
      <c r="DE110"/>
      <c r="DF110"/>
      <c r="DH110"/>
      <c r="DI110"/>
      <c r="DK110"/>
      <c r="DL110"/>
      <c r="DM110" s="5">
        <v>1</v>
      </c>
    </row>
    <row r="111" spans="2:117" s="1" customFormat="1" ht="18" customHeight="1">
      <c r="B111" s="2"/>
      <c r="C111" s="2"/>
      <c r="D111" s="2"/>
      <c r="E111" s="6936"/>
      <c r="F111" s="6936"/>
      <c r="G111" s="2"/>
      <c r="H111" s="7201"/>
      <c r="I111" s="7201"/>
      <c r="J111" s="2"/>
      <c r="K111" s="7203"/>
      <c r="L111" s="7203"/>
      <c r="M111" s="2"/>
      <c r="N111" s="2"/>
      <c r="O111" s="2"/>
      <c r="P111" s="2"/>
      <c r="Q111" s="2"/>
      <c r="R111" s="2"/>
      <c r="S111" s="2"/>
      <c r="T111" s="7182"/>
      <c r="U111" s="7182"/>
      <c r="V111" s="2"/>
      <c r="W111" s="7184"/>
      <c r="X111" s="7184"/>
      <c r="Y111" s="2"/>
      <c r="Z111" s="2"/>
      <c r="AA111" s="2"/>
      <c r="AB111" s="4"/>
      <c r="AC111" s="2"/>
      <c r="AD111" s="2"/>
      <c r="AE111" s="4"/>
      <c r="AF111" s="2"/>
      <c r="AG111" s="2"/>
      <c r="AH111" s="4"/>
      <c r="AI111" s="2"/>
      <c r="AJ111" s="2"/>
      <c r="AK111" s="2"/>
      <c r="AL111" s="2"/>
      <c r="AM111" s="2"/>
      <c r="AN111" s="2"/>
      <c r="AO111" s="2"/>
      <c r="AP111" s="2"/>
      <c r="AQ111" s="2"/>
      <c r="AS111"/>
      <c r="AT111"/>
      <c r="AV111" s="6936" t="s">
        <v>856</v>
      </c>
      <c r="AW111" s="6936"/>
      <c r="AY111"/>
      <c r="AZ111"/>
      <c r="BB111" s="7203" t="s">
        <v>856</v>
      </c>
      <c r="BC111" s="7203"/>
      <c r="BE111"/>
      <c r="BF111"/>
      <c r="BH111"/>
      <c r="BI111"/>
      <c r="BK111" s="7182" t="s">
        <v>856</v>
      </c>
      <c r="BL111" s="7182"/>
      <c r="BN111" s="7184" t="s">
        <v>856</v>
      </c>
      <c r="BO111" s="7184"/>
      <c r="BQ111"/>
      <c r="BR111"/>
      <c r="BT111"/>
      <c r="BU111"/>
      <c r="BW111"/>
      <c r="BX111"/>
      <c r="BY111"/>
      <c r="BZ111"/>
      <c r="CA111"/>
      <c r="CB111"/>
      <c r="CC111"/>
      <c r="CD111"/>
      <c r="CE111"/>
      <c r="CG111" s="6936" t="s">
        <v>856</v>
      </c>
      <c r="CH111" s="6936"/>
      <c r="CJ111"/>
      <c r="CK111"/>
      <c r="CM111" s="7203" t="s">
        <v>856</v>
      </c>
      <c r="CN111" s="7203"/>
      <c r="CP111"/>
      <c r="CQ111"/>
      <c r="CS111"/>
      <c r="CT111"/>
      <c r="CV111" s="7182" t="s">
        <v>856</v>
      </c>
      <c r="CW111" s="7182"/>
      <c r="CY111" s="7184" t="s">
        <v>856</v>
      </c>
      <c r="CZ111" s="7184"/>
      <c r="DB111"/>
      <c r="DC111"/>
      <c r="DE111"/>
      <c r="DF111"/>
      <c r="DH111"/>
      <c r="DI111"/>
      <c r="DK111"/>
      <c r="DL111"/>
      <c r="DM111" s="5">
        <v>1</v>
      </c>
    </row>
    <row r="112" spans="2:117" s="1" customFormat="1" ht="18" customHeight="1" thickBot="1">
      <c r="B112" s="2"/>
      <c r="C112" s="2"/>
      <c r="D112" s="2"/>
      <c r="E112" s="2"/>
      <c r="F112" s="2"/>
      <c r="G112" s="2"/>
      <c r="H112" s="2"/>
      <c r="I112" s="2"/>
      <c r="J112" s="2"/>
      <c r="K112" s="2"/>
      <c r="L112" s="2"/>
      <c r="M112" s="2"/>
      <c r="N112" s="2"/>
      <c r="O112" s="2"/>
      <c r="P112" s="2"/>
      <c r="Q112" s="2"/>
      <c r="R112" s="2"/>
      <c r="S112" s="2"/>
      <c r="T112" s="473">
        <v>1</v>
      </c>
      <c r="U112" s="473">
        <v>1</v>
      </c>
      <c r="V112" s="2"/>
      <c r="W112" s="473">
        <v>1</v>
      </c>
      <c r="X112" s="473">
        <v>1</v>
      </c>
      <c r="Y112" s="2"/>
      <c r="Z112" s="2"/>
      <c r="AA112" s="2"/>
      <c r="AB112" s="4"/>
      <c r="AC112" s="2"/>
      <c r="AD112" s="2"/>
      <c r="AE112" s="4"/>
      <c r="AF112" s="2"/>
      <c r="AG112" s="2"/>
      <c r="AH112" s="4"/>
      <c r="AI112" s="2"/>
      <c r="AJ112" s="2"/>
      <c r="AK112" s="2"/>
      <c r="AL112" s="2"/>
      <c r="AM112" s="2"/>
      <c r="AN112" s="2"/>
      <c r="AO112" s="2"/>
      <c r="AP112" s="2"/>
      <c r="AQ112" s="2"/>
      <c r="AS112"/>
      <c r="AT112"/>
      <c r="AV112" s="2" t="s">
        <v>856</v>
      </c>
      <c r="AW112" s="2"/>
      <c r="AY112"/>
      <c r="AZ112"/>
      <c r="BB112" t="s">
        <v>856</v>
      </c>
      <c r="BC112"/>
      <c r="BE112"/>
      <c r="BF112"/>
      <c r="BH112"/>
      <c r="BI112"/>
      <c r="BK112" s="473" t="s">
        <v>856</v>
      </c>
      <c r="BL112" s="473"/>
      <c r="BN112" s="473" t="s">
        <v>856</v>
      </c>
      <c r="BO112" s="473"/>
      <c r="BQ112"/>
      <c r="BR112"/>
      <c r="BT112"/>
      <c r="BU112"/>
      <c r="BW112"/>
      <c r="BX112"/>
      <c r="BY112"/>
      <c r="BZ112"/>
      <c r="CA112"/>
      <c r="CB112"/>
      <c r="CC112"/>
      <c r="CD112"/>
      <c r="CE112"/>
      <c r="CG112" s="2" t="s">
        <v>856</v>
      </c>
      <c r="CH112" s="2"/>
      <c r="CJ112"/>
      <c r="CK112"/>
      <c r="CM112"/>
      <c r="CN112"/>
      <c r="CP112"/>
      <c r="CQ112"/>
      <c r="CS112"/>
      <c r="CT112"/>
      <c r="CV112" s="473" t="s">
        <v>856</v>
      </c>
      <c r="CW112" s="473"/>
      <c r="CY112" s="473" t="s">
        <v>856</v>
      </c>
      <c r="CZ112" s="473"/>
      <c r="DB112"/>
      <c r="DC112"/>
      <c r="DE112"/>
      <c r="DF112"/>
      <c r="DH112"/>
      <c r="DI112"/>
      <c r="DK112"/>
      <c r="DL112"/>
      <c r="DM112" s="5">
        <v>1</v>
      </c>
    </row>
    <row r="113" spans="2:117" s="1" customFormat="1" ht="18" customHeight="1">
      <c r="B113" s="2"/>
      <c r="C113" s="2"/>
      <c r="D113" s="2"/>
      <c r="E113" s="6935" t="s">
        <v>8309</v>
      </c>
      <c r="F113" s="6935"/>
      <c r="G113" s="2"/>
      <c r="H113" s="2"/>
      <c r="I113" s="2"/>
      <c r="J113" s="2"/>
      <c r="K113" s="7202"/>
      <c r="L113" s="7202"/>
      <c r="M113" s="2"/>
      <c r="N113" s="2"/>
      <c r="O113" s="2"/>
      <c r="P113" s="2"/>
      <c r="Q113" s="2"/>
      <c r="R113" s="2"/>
      <c r="S113" s="2"/>
      <c r="T113" s="7181" t="s">
        <v>8310</v>
      </c>
      <c r="U113" s="7181"/>
      <c r="V113" s="2"/>
      <c r="W113" s="7183" t="s">
        <v>8311</v>
      </c>
      <c r="X113" s="7183"/>
      <c r="Y113" s="2"/>
      <c r="Z113" s="2"/>
      <c r="AA113" s="2"/>
      <c r="AB113" s="4"/>
      <c r="AC113" s="2"/>
      <c r="AD113" s="2"/>
      <c r="AE113" s="4"/>
      <c r="AF113" s="2"/>
      <c r="AG113" s="2"/>
      <c r="AH113" s="4"/>
      <c r="AI113" s="2"/>
      <c r="AJ113" s="2"/>
      <c r="AK113" s="2"/>
      <c r="AL113" s="2"/>
      <c r="AM113" s="2"/>
      <c r="AN113" s="2"/>
      <c r="AO113" s="2"/>
      <c r="AP113" s="2"/>
      <c r="AQ113" s="2"/>
      <c r="AS113"/>
      <c r="AT113"/>
      <c r="AV113" s="6935" t="s">
        <v>10119</v>
      </c>
      <c r="AW113" s="6935"/>
      <c r="AY113"/>
      <c r="AZ113"/>
      <c r="BB113" s="7202"/>
      <c r="BC113" s="7202"/>
      <c r="BE113"/>
      <c r="BF113"/>
      <c r="BH113"/>
      <c r="BI113"/>
      <c r="BK113" s="7181" t="s">
        <v>10382</v>
      </c>
      <c r="BL113" s="7181"/>
      <c r="BN113" s="7183" t="s">
        <v>10466</v>
      </c>
      <c r="BO113" s="7183"/>
      <c r="BQ113"/>
      <c r="BR113"/>
      <c r="BT113"/>
      <c r="BU113"/>
      <c r="BW113"/>
      <c r="BX113"/>
      <c r="BY113"/>
      <c r="BZ113"/>
      <c r="CA113"/>
      <c r="CB113"/>
      <c r="CC113"/>
      <c r="CD113"/>
      <c r="CE113"/>
      <c r="CG113" s="6935" t="s">
        <v>10153</v>
      </c>
      <c r="CH113" s="6935"/>
      <c r="CJ113"/>
      <c r="CK113"/>
      <c r="CM113" s="7202"/>
      <c r="CN113" s="7202"/>
      <c r="CP113"/>
      <c r="CQ113"/>
      <c r="CS113"/>
      <c r="CT113"/>
      <c r="CV113" s="7181" t="s">
        <v>10424</v>
      </c>
      <c r="CW113" s="7181"/>
      <c r="CY113" s="7183" t="s">
        <v>10517</v>
      </c>
      <c r="CZ113" s="7183"/>
      <c r="DB113"/>
      <c r="DC113"/>
      <c r="DE113"/>
      <c r="DF113"/>
      <c r="DH113"/>
      <c r="DI113"/>
      <c r="DK113"/>
      <c r="DL113"/>
      <c r="DM113" s="5">
        <v>1</v>
      </c>
    </row>
    <row r="114" spans="2:117" s="1" customFormat="1" ht="18" customHeight="1">
      <c r="B114" s="2"/>
      <c r="C114" s="2"/>
      <c r="D114" s="2"/>
      <c r="E114" s="6936"/>
      <c r="F114" s="6936"/>
      <c r="G114" s="2"/>
      <c r="H114" s="2"/>
      <c r="I114" s="2"/>
      <c r="J114" s="2"/>
      <c r="K114" s="7203"/>
      <c r="L114" s="7203"/>
      <c r="M114" s="2"/>
      <c r="N114" s="2"/>
      <c r="O114" s="2"/>
      <c r="P114" s="2"/>
      <c r="Q114" s="2"/>
      <c r="R114" s="2"/>
      <c r="S114" s="2"/>
      <c r="T114" s="7182"/>
      <c r="U114" s="7182"/>
      <c r="V114" s="2"/>
      <c r="W114" s="7184"/>
      <c r="X114" s="7184"/>
      <c r="Y114" s="2"/>
      <c r="Z114" s="2"/>
      <c r="AA114" s="2"/>
      <c r="AB114" s="4"/>
      <c r="AC114" s="2"/>
      <c r="AD114" s="2"/>
      <c r="AE114" s="4"/>
      <c r="AF114" s="2"/>
      <c r="AG114" s="2"/>
      <c r="AH114" s="4"/>
      <c r="AI114" s="2"/>
      <c r="AJ114" s="2"/>
      <c r="AK114" s="2"/>
      <c r="AL114" s="2"/>
      <c r="AM114" s="2"/>
      <c r="AN114" s="2"/>
      <c r="AO114" s="2"/>
      <c r="AP114" s="2"/>
      <c r="AQ114" s="2"/>
      <c r="AS114"/>
      <c r="AT114"/>
      <c r="AV114" s="6936" t="s">
        <v>856</v>
      </c>
      <c r="AW114" s="6936"/>
      <c r="AY114"/>
      <c r="AZ114"/>
      <c r="BB114" s="7203"/>
      <c r="BC114" s="7203"/>
      <c r="BE114"/>
      <c r="BF114"/>
      <c r="BH114"/>
      <c r="BI114"/>
      <c r="BK114" s="7182" t="s">
        <v>856</v>
      </c>
      <c r="BL114" s="7182"/>
      <c r="BN114" s="7184" t="s">
        <v>856</v>
      </c>
      <c r="BO114" s="7184"/>
      <c r="BQ114"/>
      <c r="BR114"/>
      <c r="BT114"/>
      <c r="BU114"/>
      <c r="BW114"/>
      <c r="BX114"/>
      <c r="BY114"/>
      <c r="BZ114"/>
      <c r="CA114"/>
      <c r="CB114"/>
      <c r="CC114"/>
      <c r="CD114"/>
      <c r="CE114"/>
      <c r="CG114" s="6936" t="s">
        <v>856</v>
      </c>
      <c r="CH114" s="6936"/>
      <c r="CJ114"/>
      <c r="CK114"/>
      <c r="CM114" s="7203"/>
      <c r="CN114" s="7203"/>
      <c r="CP114"/>
      <c r="CQ114"/>
      <c r="CS114"/>
      <c r="CT114"/>
      <c r="CV114" s="7182" t="s">
        <v>856</v>
      </c>
      <c r="CW114" s="7182"/>
      <c r="CY114" s="7184" t="s">
        <v>856</v>
      </c>
      <c r="CZ114" s="7184"/>
      <c r="DB114"/>
      <c r="DC114"/>
      <c r="DE114"/>
      <c r="DF114"/>
      <c r="DH114"/>
      <c r="DI114"/>
      <c r="DK114"/>
      <c r="DL114"/>
      <c r="DM114" s="5">
        <v>1</v>
      </c>
    </row>
    <row r="115" spans="2:117" s="1" customFormat="1" ht="18" customHeight="1" thickBot="1">
      <c r="B115" s="2"/>
      <c r="C115" s="2"/>
      <c r="D115" s="2"/>
      <c r="E115" s="2"/>
      <c r="F115" s="2"/>
      <c r="G115" s="2"/>
      <c r="H115" s="2"/>
      <c r="I115" s="2"/>
      <c r="J115" s="2"/>
      <c r="K115" s="2"/>
      <c r="L115" s="2"/>
      <c r="M115" s="2"/>
      <c r="N115" s="2"/>
      <c r="O115" s="2"/>
      <c r="P115" s="2"/>
      <c r="Q115" s="2"/>
      <c r="R115" s="2"/>
      <c r="S115" s="2"/>
      <c r="T115" s="473">
        <v>1</v>
      </c>
      <c r="U115" s="473">
        <v>1</v>
      </c>
      <c r="V115" s="2"/>
      <c r="W115" s="473">
        <v>1</v>
      </c>
      <c r="X115" s="473">
        <v>1</v>
      </c>
      <c r="Y115" s="2"/>
      <c r="Z115" s="2"/>
      <c r="AA115" s="2"/>
      <c r="AB115" s="4"/>
      <c r="AC115" s="2"/>
      <c r="AD115" s="2"/>
      <c r="AE115" s="4"/>
      <c r="AF115" s="2"/>
      <c r="AG115" s="2"/>
      <c r="AH115" s="4"/>
      <c r="AI115" s="2"/>
      <c r="AJ115" s="2"/>
      <c r="AK115" s="2"/>
      <c r="AL115" s="2"/>
      <c r="AM115" s="2"/>
      <c r="AN115" s="2"/>
      <c r="AO115" s="2"/>
      <c r="AP115" s="2"/>
      <c r="AQ115" s="2"/>
      <c r="AS115"/>
      <c r="AT115"/>
      <c r="AV115" s="2" t="s">
        <v>856</v>
      </c>
      <c r="AW115" s="2"/>
      <c r="AY115"/>
      <c r="AZ115"/>
      <c r="BB115" s="2"/>
      <c r="BC115" s="2"/>
      <c r="BE115"/>
      <c r="BF115"/>
      <c r="BH115"/>
      <c r="BI115"/>
      <c r="BK115" s="473" t="s">
        <v>856</v>
      </c>
      <c r="BL115" s="473"/>
      <c r="BN115" s="473" t="s">
        <v>856</v>
      </c>
      <c r="BO115" s="473"/>
      <c r="BQ115"/>
      <c r="BR115"/>
      <c r="BT115"/>
      <c r="BU115"/>
      <c r="BW115"/>
      <c r="BX115"/>
      <c r="BY115"/>
      <c r="BZ115"/>
      <c r="CA115"/>
      <c r="CB115"/>
      <c r="CC115"/>
      <c r="CD115"/>
      <c r="CE115"/>
      <c r="CG115" s="2" t="s">
        <v>856</v>
      </c>
      <c r="CH115" s="2"/>
      <c r="CJ115"/>
      <c r="CK115"/>
      <c r="CM115"/>
      <c r="CN115"/>
      <c r="CP115"/>
      <c r="CQ115"/>
      <c r="CS115"/>
      <c r="CT115"/>
      <c r="CV115" s="473" t="s">
        <v>856</v>
      </c>
      <c r="CW115" s="473"/>
      <c r="CY115" s="473" t="s">
        <v>856</v>
      </c>
      <c r="CZ115" s="473"/>
      <c r="DB115"/>
      <c r="DC115"/>
      <c r="DE115"/>
      <c r="DF115"/>
      <c r="DH115"/>
      <c r="DI115"/>
      <c r="DK115"/>
      <c r="DL115"/>
      <c r="DM115" s="5">
        <v>1</v>
      </c>
    </row>
    <row r="116" spans="2:117" s="1" customFormat="1" ht="18" customHeight="1">
      <c r="B116" s="2"/>
      <c r="C116" s="2"/>
      <c r="D116" s="2"/>
      <c r="E116" s="6935" t="s">
        <v>8312</v>
      </c>
      <c r="F116" s="6935"/>
      <c r="G116" s="2"/>
      <c r="H116" s="2"/>
      <c r="I116" s="2"/>
      <c r="J116" s="2"/>
      <c r="K116" s="2"/>
      <c r="L116" s="2"/>
      <c r="M116" s="2"/>
      <c r="N116" s="2"/>
      <c r="O116" s="2"/>
      <c r="P116" s="2"/>
      <c r="Q116" s="2"/>
      <c r="R116" s="2"/>
      <c r="S116" s="2"/>
      <c r="T116" s="7181" t="s">
        <v>8313</v>
      </c>
      <c r="U116" s="7181"/>
      <c r="V116" s="2"/>
      <c r="W116" s="7183" t="s">
        <v>8314</v>
      </c>
      <c r="X116" s="7183"/>
      <c r="Y116" s="2"/>
      <c r="Z116" s="2"/>
      <c r="AA116" s="2"/>
      <c r="AB116" s="4"/>
      <c r="AC116" s="2"/>
      <c r="AD116" s="2"/>
      <c r="AE116" s="4"/>
      <c r="AF116" s="2"/>
      <c r="AG116" s="2"/>
      <c r="AH116" s="4"/>
      <c r="AI116" s="2"/>
      <c r="AJ116" s="2"/>
      <c r="AK116" s="2"/>
      <c r="AL116" s="2"/>
      <c r="AM116" s="2"/>
      <c r="AN116" s="2"/>
      <c r="AO116" s="2"/>
      <c r="AP116" s="2"/>
      <c r="AQ116" s="2"/>
      <c r="AS116"/>
      <c r="AT116"/>
      <c r="AV116" s="6935" t="s">
        <v>10128</v>
      </c>
      <c r="AW116" s="6935"/>
      <c r="AY116"/>
      <c r="AZ116"/>
      <c r="BB116"/>
      <c r="BC116"/>
      <c r="BE116"/>
      <c r="BF116"/>
      <c r="BH116"/>
      <c r="BI116"/>
      <c r="BK116" s="7181" t="s">
        <v>10383</v>
      </c>
      <c r="BL116" s="7181"/>
      <c r="BN116" s="7183" t="s">
        <v>10467</v>
      </c>
      <c r="BO116" s="7183"/>
      <c r="BQ116"/>
      <c r="BR116"/>
      <c r="BT116"/>
      <c r="BU116"/>
      <c r="BW116"/>
      <c r="BX116"/>
      <c r="BY116"/>
      <c r="BZ116"/>
      <c r="CA116"/>
      <c r="CB116"/>
      <c r="CC116"/>
      <c r="CD116"/>
      <c r="CE116"/>
      <c r="CG116" s="6935" t="s">
        <v>10162</v>
      </c>
      <c r="CH116" s="6935"/>
      <c r="CJ116"/>
      <c r="CK116"/>
      <c r="CM116"/>
      <c r="CN116"/>
      <c r="CP116"/>
      <c r="CQ116"/>
      <c r="CS116"/>
      <c r="CT116"/>
      <c r="CV116" s="7181" t="s">
        <v>10425</v>
      </c>
      <c r="CW116" s="7181"/>
      <c r="CY116" s="7183" t="s">
        <v>10518</v>
      </c>
      <c r="CZ116" s="7183"/>
      <c r="DB116"/>
      <c r="DC116"/>
      <c r="DE116"/>
      <c r="DF116"/>
      <c r="DH116"/>
      <c r="DI116"/>
      <c r="DK116"/>
      <c r="DL116"/>
      <c r="DM116" s="5">
        <v>1</v>
      </c>
    </row>
    <row r="117" spans="2:117" s="1" customFormat="1" ht="18" customHeight="1">
      <c r="B117" s="2"/>
      <c r="C117" s="2"/>
      <c r="D117" s="2"/>
      <c r="E117" s="6936"/>
      <c r="F117" s="6936"/>
      <c r="G117" s="2"/>
      <c r="H117" s="2"/>
      <c r="I117" s="2"/>
      <c r="J117" s="2"/>
      <c r="K117" s="2"/>
      <c r="L117" s="2"/>
      <c r="M117" s="2"/>
      <c r="N117" s="2"/>
      <c r="O117" s="2"/>
      <c r="P117" s="2"/>
      <c r="Q117" s="2"/>
      <c r="R117" s="2"/>
      <c r="S117" s="2"/>
      <c r="T117" s="7182"/>
      <c r="U117" s="7182"/>
      <c r="V117" s="2"/>
      <c r="W117" s="7184"/>
      <c r="X117" s="7184"/>
      <c r="Y117" s="2"/>
      <c r="Z117" s="2"/>
      <c r="AA117" s="2"/>
      <c r="AB117" s="4"/>
      <c r="AC117" s="2"/>
      <c r="AD117" s="2"/>
      <c r="AE117" s="4"/>
      <c r="AF117" s="2"/>
      <c r="AG117" s="2"/>
      <c r="AH117" s="4"/>
      <c r="AI117" s="2"/>
      <c r="AJ117" s="2"/>
      <c r="AK117" s="2"/>
      <c r="AL117" s="2"/>
      <c r="AM117" s="2"/>
      <c r="AN117" s="2"/>
      <c r="AO117" s="2"/>
      <c r="AP117" s="2"/>
      <c r="AQ117" s="2"/>
      <c r="AS117"/>
      <c r="AT117"/>
      <c r="AV117" s="6936" t="s">
        <v>856</v>
      </c>
      <c r="AW117" s="6936"/>
      <c r="AY117"/>
      <c r="AZ117"/>
      <c r="BB117"/>
      <c r="BC117"/>
      <c r="BE117"/>
      <c r="BF117"/>
      <c r="BH117"/>
      <c r="BI117"/>
      <c r="BK117" s="7182" t="s">
        <v>856</v>
      </c>
      <c r="BL117" s="7182"/>
      <c r="BN117" s="7184" t="s">
        <v>856</v>
      </c>
      <c r="BO117" s="7184"/>
      <c r="BQ117"/>
      <c r="BR117"/>
      <c r="BT117"/>
      <c r="BU117"/>
      <c r="BW117"/>
      <c r="BX117"/>
      <c r="BY117"/>
      <c r="BZ117"/>
      <c r="CA117"/>
      <c r="CB117"/>
      <c r="CC117"/>
      <c r="CD117"/>
      <c r="CE117"/>
      <c r="CG117" s="6936" t="s">
        <v>856</v>
      </c>
      <c r="CH117" s="6936"/>
      <c r="CJ117"/>
      <c r="CK117"/>
      <c r="CM117"/>
      <c r="CN117"/>
      <c r="CP117"/>
      <c r="CQ117"/>
      <c r="CS117"/>
      <c r="CT117"/>
      <c r="CV117" s="7182" t="s">
        <v>856</v>
      </c>
      <c r="CW117" s="7182"/>
      <c r="CY117" s="7184" t="s">
        <v>856</v>
      </c>
      <c r="CZ117" s="7184"/>
      <c r="DB117"/>
      <c r="DC117"/>
      <c r="DE117"/>
      <c r="DF117"/>
      <c r="DH117"/>
      <c r="DI117"/>
      <c r="DK117"/>
      <c r="DL117"/>
      <c r="DM117" s="5">
        <v>1</v>
      </c>
    </row>
    <row r="118" spans="2:117" s="1" customFormat="1" ht="18" customHeight="1" thickBot="1">
      <c r="B118" s="2"/>
      <c r="C118" s="2"/>
      <c r="D118" s="2"/>
      <c r="E118" s="2"/>
      <c r="F118" s="2"/>
      <c r="G118" s="2"/>
      <c r="H118" s="2"/>
      <c r="I118" s="2"/>
      <c r="J118" s="2"/>
      <c r="K118" s="2"/>
      <c r="L118" s="2"/>
      <c r="M118" s="2"/>
      <c r="N118" s="2"/>
      <c r="O118" s="2"/>
      <c r="P118" s="2"/>
      <c r="Q118" s="2"/>
      <c r="R118" s="2"/>
      <c r="S118" s="2"/>
      <c r="T118" s="473">
        <v>1</v>
      </c>
      <c r="U118" s="473">
        <v>1</v>
      </c>
      <c r="V118" s="2"/>
      <c r="W118" s="473">
        <v>1</v>
      </c>
      <c r="X118" s="473">
        <v>1</v>
      </c>
      <c r="Y118" s="2"/>
      <c r="Z118" s="2"/>
      <c r="AA118" s="2"/>
      <c r="AB118" s="4"/>
      <c r="AC118" s="2"/>
      <c r="AD118" s="2"/>
      <c r="AE118" s="4"/>
      <c r="AF118" s="2"/>
      <c r="AG118" s="2"/>
      <c r="AH118" s="4"/>
      <c r="AI118" s="2"/>
      <c r="AJ118" s="2"/>
      <c r="AK118" s="2"/>
      <c r="AL118" s="2"/>
      <c r="AM118" s="2"/>
      <c r="AN118" s="2"/>
      <c r="AO118" s="2"/>
      <c r="AP118" s="2"/>
      <c r="AQ118" s="2"/>
      <c r="AS118"/>
      <c r="AT118"/>
      <c r="AV118" s="2" t="s">
        <v>856</v>
      </c>
      <c r="AW118" s="2"/>
      <c r="AY118"/>
      <c r="AZ118"/>
      <c r="BB118"/>
      <c r="BC118"/>
      <c r="BE118"/>
      <c r="BF118"/>
      <c r="BH118"/>
      <c r="BI118"/>
      <c r="BK118" s="473" t="s">
        <v>856</v>
      </c>
      <c r="BL118" s="473"/>
      <c r="BN118" s="473" t="s">
        <v>856</v>
      </c>
      <c r="BO118" s="473"/>
      <c r="BQ118"/>
      <c r="BR118"/>
      <c r="BT118"/>
      <c r="BU118"/>
      <c r="BW118"/>
      <c r="BX118"/>
      <c r="BY118"/>
      <c r="BZ118"/>
      <c r="CA118"/>
      <c r="CB118"/>
      <c r="CC118"/>
      <c r="CD118"/>
      <c r="CE118"/>
      <c r="CG118" t="s">
        <v>856</v>
      </c>
      <c r="CH118"/>
      <c r="CJ118"/>
      <c r="CK118"/>
      <c r="CM118"/>
      <c r="CN118"/>
      <c r="CP118"/>
      <c r="CQ118"/>
      <c r="CS118"/>
      <c r="CT118"/>
      <c r="CV118" s="473" t="s">
        <v>856</v>
      </c>
      <c r="CW118" s="473"/>
      <c r="CY118" s="473" t="s">
        <v>856</v>
      </c>
      <c r="CZ118" s="473"/>
      <c r="DB118"/>
      <c r="DC118"/>
      <c r="DE118"/>
      <c r="DF118"/>
      <c r="DH118"/>
      <c r="DI118"/>
      <c r="DK118"/>
      <c r="DL118"/>
      <c r="DM118" s="5">
        <v>1</v>
      </c>
    </row>
    <row r="119" spans="2:117" s="1" customFormat="1" ht="18" customHeight="1">
      <c r="B119" s="2"/>
      <c r="C119" s="2"/>
      <c r="D119" s="2"/>
      <c r="E119" s="6935" t="s">
        <v>8315</v>
      </c>
      <c r="F119" s="6935"/>
      <c r="G119" s="2"/>
      <c r="H119" s="2"/>
      <c r="I119" s="2"/>
      <c r="J119" s="2"/>
      <c r="K119" s="2"/>
      <c r="L119" s="2"/>
      <c r="M119" s="2"/>
      <c r="N119" s="2"/>
      <c r="O119" s="2"/>
      <c r="P119" s="2"/>
      <c r="Q119" s="2"/>
      <c r="R119" s="2"/>
      <c r="S119" s="2"/>
      <c r="T119" s="7181" t="s">
        <v>8316</v>
      </c>
      <c r="U119" s="7181"/>
      <c r="V119" s="2"/>
      <c r="W119" s="7183" t="s">
        <v>8317</v>
      </c>
      <c r="X119" s="7183"/>
      <c r="Y119" s="2"/>
      <c r="Z119" s="2"/>
      <c r="AA119" s="2"/>
      <c r="AB119" s="4"/>
      <c r="AC119" s="2"/>
      <c r="AD119" s="2"/>
      <c r="AE119" s="4"/>
      <c r="AF119" s="2"/>
      <c r="AG119" s="2"/>
      <c r="AH119" s="4"/>
      <c r="AI119" s="2"/>
      <c r="AJ119" s="2"/>
      <c r="AK119" s="2"/>
      <c r="AL119" s="2"/>
      <c r="AM119" s="2"/>
      <c r="AN119" s="2"/>
      <c r="AO119" s="2"/>
      <c r="AP119" s="2"/>
      <c r="AQ119" s="2"/>
      <c r="AS119"/>
      <c r="AT119"/>
      <c r="AV119" s="6935" t="s">
        <v>10129</v>
      </c>
      <c r="AW119" s="6935"/>
      <c r="AY119"/>
      <c r="AZ119"/>
      <c r="BB119"/>
      <c r="BC119"/>
      <c r="BE119"/>
      <c r="BF119"/>
      <c r="BH119"/>
      <c r="BI119"/>
      <c r="BK119" s="7181" t="s">
        <v>10384</v>
      </c>
      <c r="BL119" s="7181"/>
      <c r="BN119" s="7183" t="s">
        <v>10468</v>
      </c>
      <c r="BO119" s="7183"/>
      <c r="BQ119"/>
      <c r="BR119"/>
      <c r="BT119"/>
      <c r="BU119"/>
      <c r="BW119"/>
      <c r="BX119"/>
      <c r="BY119"/>
      <c r="BZ119"/>
      <c r="CA119"/>
      <c r="CB119"/>
      <c r="CC119"/>
      <c r="CD119"/>
      <c r="CE119"/>
      <c r="CG119" s="6935" t="s">
        <v>10163</v>
      </c>
      <c r="CH119" s="6935"/>
      <c r="CJ119"/>
      <c r="CK119"/>
      <c r="CM119"/>
      <c r="CN119"/>
      <c r="CP119"/>
      <c r="CQ119"/>
      <c r="CS119"/>
      <c r="CT119"/>
      <c r="CV119" s="7181" t="s">
        <v>10426</v>
      </c>
      <c r="CW119" s="7181"/>
      <c r="CY119" s="7183" t="s">
        <v>10519</v>
      </c>
      <c r="CZ119" s="7183"/>
      <c r="DB119"/>
      <c r="DC119"/>
      <c r="DE119"/>
      <c r="DF119"/>
      <c r="DH119"/>
      <c r="DI119"/>
      <c r="DK119"/>
      <c r="DL119"/>
      <c r="DM119" s="5">
        <v>1</v>
      </c>
    </row>
    <row r="120" spans="2:117" s="1" customFormat="1" ht="18" customHeight="1">
      <c r="B120" s="2"/>
      <c r="C120" s="2"/>
      <c r="D120" s="2"/>
      <c r="E120" s="6936"/>
      <c r="F120" s="6936"/>
      <c r="G120" s="2"/>
      <c r="H120" s="2"/>
      <c r="I120" s="2"/>
      <c r="J120" s="2"/>
      <c r="K120" s="2"/>
      <c r="L120" s="2"/>
      <c r="M120" s="2"/>
      <c r="N120" s="2"/>
      <c r="O120" s="2"/>
      <c r="P120" s="2"/>
      <c r="Q120" s="2"/>
      <c r="R120" s="2"/>
      <c r="S120" s="2"/>
      <c r="T120" s="7182"/>
      <c r="U120" s="7182"/>
      <c r="V120" s="2"/>
      <c r="W120" s="7184"/>
      <c r="X120" s="7184"/>
      <c r="Y120" s="2"/>
      <c r="Z120" s="2"/>
      <c r="AA120" s="2"/>
      <c r="AB120" s="4"/>
      <c r="AC120" s="2"/>
      <c r="AD120" s="2"/>
      <c r="AE120" s="4"/>
      <c r="AF120" s="2"/>
      <c r="AG120" s="2"/>
      <c r="AH120" s="4"/>
      <c r="AI120" s="2"/>
      <c r="AJ120" s="2"/>
      <c r="AK120" s="2"/>
      <c r="AL120" s="2"/>
      <c r="AM120" s="2"/>
      <c r="AN120" s="2"/>
      <c r="AO120" s="2"/>
      <c r="AP120" s="2"/>
      <c r="AQ120" s="2"/>
      <c r="AS120"/>
      <c r="AT120"/>
      <c r="AV120" s="6936" t="s">
        <v>856</v>
      </c>
      <c r="AW120" s="6936"/>
      <c r="AY120"/>
      <c r="AZ120"/>
      <c r="BB120"/>
      <c r="BC120"/>
      <c r="BE120"/>
      <c r="BF120"/>
      <c r="BH120"/>
      <c r="BI120"/>
      <c r="BK120" s="7182" t="s">
        <v>856</v>
      </c>
      <c r="BL120" s="7182"/>
      <c r="BN120" s="7184" t="s">
        <v>856</v>
      </c>
      <c r="BO120" s="7184"/>
      <c r="BQ120"/>
      <c r="BR120"/>
      <c r="BT120"/>
      <c r="BU120"/>
      <c r="BW120"/>
      <c r="BX120"/>
      <c r="BY120"/>
      <c r="BZ120"/>
      <c r="CA120"/>
      <c r="CB120"/>
      <c r="CC120"/>
      <c r="CD120"/>
      <c r="CE120"/>
      <c r="CG120" s="6936" t="s">
        <v>856</v>
      </c>
      <c r="CH120" s="6936"/>
      <c r="CJ120"/>
      <c r="CK120"/>
      <c r="CM120"/>
      <c r="CN120"/>
      <c r="CP120"/>
      <c r="CQ120"/>
      <c r="CS120"/>
      <c r="CT120"/>
      <c r="CV120" s="7182" t="s">
        <v>856</v>
      </c>
      <c r="CW120" s="7182"/>
      <c r="CY120" s="7184" t="s">
        <v>856</v>
      </c>
      <c r="CZ120" s="7184"/>
      <c r="DB120"/>
      <c r="DC120"/>
      <c r="DE120"/>
      <c r="DF120"/>
      <c r="DH120"/>
      <c r="DI120"/>
      <c r="DK120"/>
      <c r="DL120"/>
      <c r="DM120" s="5">
        <v>1</v>
      </c>
    </row>
    <row r="121" spans="2:117" s="1" customFormat="1" ht="18" customHeight="1" thickBot="1">
      <c r="B121" s="2"/>
      <c r="C121" s="2"/>
      <c r="D121" s="2"/>
      <c r="E121" s="2"/>
      <c r="F121" s="2"/>
      <c r="G121" s="2"/>
      <c r="H121" s="2"/>
      <c r="I121" s="2"/>
      <c r="J121" s="2"/>
      <c r="K121" s="2"/>
      <c r="L121" s="2"/>
      <c r="M121" s="2"/>
      <c r="N121" s="2"/>
      <c r="O121" s="2"/>
      <c r="P121" s="2"/>
      <c r="Q121" s="2"/>
      <c r="R121" s="2"/>
      <c r="S121" s="2"/>
      <c r="T121" s="473">
        <v>1</v>
      </c>
      <c r="U121" s="473">
        <v>1</v>
      </c>
      <c r="V121" s="2"/>
      <c r="W121" s="473">
        <v>1</v>
      </c>
      <c r="X121" s="473">
        <v>1</v>
      </c>
      <c r="Y121" s="2"/>
      <c r="Z121" s="2"/>
      <c r="AA121" s="2"/>
      <c r="AB121" s="4"/>
      <c r="AC121" s="2"/>
      <c r="AD121" s="2"/>
      <c r="AE121" s="4"/>
      <c r="AF121" s="2"/>
      <c r="AG121" s="2"/>
      <c r="AH121" s="4"/>
      <c r="AI121" s="2"/>
      <c r="AJ121" s="2"/>
      <c r="AK121" s="2"/>
      <c r="AL121" s="2"/>
      <c r="AM121" s="2"/>
      <c r="AN121" s="2"/>
      <c r="AO121" s="2"/>
      <c r="AP121" s="2"/>
      <c r="AQ121" s="2"/>
      <c r="AS121"/>
      <c r="AT121"/>
      <c r="AV121" s="2" t="s">
        <v>856</v>
      </c>
      <c r="AW121" s="2"/>
      <c r="AY121"/>
      <c r="AZ121"/>
      <c r="BB121"/>
      <c r="BC121"/>
      <c r="BE121"/>
      <c r="BF121"/>
      <c r="BH121"/>
      <c r="BI121"/>
      <c r="BK121" s="473" t="s">
        <v>856</v>
      </c>
      <c r="BL121" s="473"/>
      <c r="BN121" s="473" t="s">
        <v>856</v>
      </c>
      <c r="BO121" s="473"/>
      <c r="BQ121"/>
      <c r="BR121"/>
      <c r="BT121"/>
      <c r="BU121"/>
      <c r="BW121"/>
      <c r="BX121"/>
      <c r="BY121"/>
      <c r="BZ121"/>
      <c r="CA121"/>
      <c r="CB121"/>
      <c r="CC121"/>
      <c r="CD121"/>
      <c r="CE121"/>
      <c r="CG121"/>
      <c r="CH121"/>
      <c r="CJ121"/>
      <c r="CK121"/>
      <c r="CM121"/>
      <c r="CN121"/>
      <c r="CP121"/>
      <c r="CQ121"/>
      <c r="CS121"/>
      <c r="CT121"/>
      <c r="CV121" s="473" t="s">
        <v>856</v>
      </c>
      <c r="CW121" s="473"/>
      <c r="CY121" s="473" t="s">
        <v>856</v>
      </c>
      <c r="CZ121" s="473"/>
      <c r="DB121"/>
      <c r="DC121"/>
      <c r="DE121"/>
      <c r="DF121"/>
      <c r="DH121"/>
      <c r="DI121"/>
      <c r="DK121"/>
      <c r="DL121"/>
      <c r="DM121" s="5">
        <v>1</v>
      </c>
    </row>
    <row r="122" spans="2:117" s="1" customFormat="1" ht="18" customHeight="1">
      <c r="B122" s="2"/>
      <c r="C122" s="2"/>
      <c r="D122" s="2"/>
      <c r="E122" s="6935" t="s">
        <v>8318</v>
      </c>
      <c r="F122" s="6935"/>
      <c r="G122" s="2"/>
      <c r="H122" s="2"/>
      <c r="I122" s="2"/>
      <c r="J122" s="2"/>
      <c r="K122" s="2"/>
      <c r="L122" s="2"/>
      <c r="M122" s="2"/>
      <c r="N122" s="2"/>
      <c r="O122" s="2"/>
      <c r="P122" s="2"/>
      <c r="Q122" s="2"/>
      <c r="R122" s="2"/>
      <c r="S122" s="2"/>
      <c r="T122" s="7181" t="s">
        <v>8319</v>
      </c>
      <c r="U122" s="7181"/>
      <c r="V122" s="2"/>
      <c r="W122" s="7183" t="s">
        <v>8320</v>
      </c>
      <c r="X122" s="7183"/>
      <c r="Y122" s="2"/>
      <c r="Z122" s="2"/>
      <c r="AA122" s="2"/>
      <c r="AB122" s="4"/>
      <c r="AC122" s="2"/>
      <c r="AD122" s="2"/>
      <c r="AE122" s="4"/>
      <c r="AF122" s="2"/>
      <c r="AG122" s="2"/>
      <c r="AH122" s="4"/>
      <c r="AI122" s="2"/>
      <c r="AJ122" s="2"/>
      <c r="AK122" s="2"/>
      <c r="AL122" s="2"/>
      <c r="AM122" s="2"/>
      <c r="AN122" s="2"/>
      <c r="AO122" s="2"/>
      <c r="AP122" s="2"/>
      <c r="AQ122" s="2"/>
      <c r="AS122"/>
      <c r="AT122"/>
      <c r="AV122" s="6935"/>
      <c r="AW122" s="6935"/>
      <c r="AY122"/>
      <c r="AZ122"/>
      <c r="BB122"/>
      <c r="BC122"/>
      <c r="BE122"/>
      <c r="BF122"/>
      <c r="BH122"/>
      <c r="BI122"/>
      <c r="BK122" s="7181" t="s">
        <v>10385</v>
      </c>
      <c r="BL122" s="7181"/>
      <c r="BN122" s="7183" t="s">
        <v>10469</v>
      </c>
      <c r="BO122" s="7183"/>
      <c r="BQ122"/>
      <c r="BR122"/>
      <c r="BT122"/>
      <c r="BU122"/>
      <c r="BW122"/>
      <c r="BX122"/>
      <c r="BY122"/>
      <c r="BZ122"/>
      <c r="CA122"/>
      <c r="CB122"/>
      <c r="CC122"/>
      <c r="CD122"/>
      <c r="CE122"/>
      <c r="CG122" s="6935"/>
      <c r="CH122" s="6935"/>
      <c r="CJ122"/>
      <c r="CK122"/>
      <c r="CM122"/>
      <c r="CN122"/>
      <c r="CP122"/>
      <c r="CQ122"/>
      <c r="CS122"/>
      <c r="CT122"/>
      <c r="CV122" s="7181" t="s">
        <v>10427</v>
      </c>
      <c r="CW122" s="7181"/>
      <c r="CY122" s="7183" t="s">
        <v>10520</v>
      </c>
      <c r="CZ122" s="7183"/>
      <c r="DB122"/>
      <c r="DC122"/>
      <c r="DE122"/>
      <c r="DF122"/>
      <c r="DH122"/>
      <c r="DI122"/>
      <c r="DK122"/>
      <c r="DL122"/>
      <c r="DM122" s="5">
        <v>1</v>
      </c>
    </row>
    <row r="123" spans="2:117" s="1" customFormat="1" ht="18" customHeight="1">
      <c r="B123" s="2"/>
      <c r="C123" s="2"/>
      <c r="D123" s="2"/>
      <c r="E123" s="6936"/>
      <c r="F123" s="6936"/>
      <c r="G123" s="2"/>
      <c r="H123" s="2"/>
      <c r="I123" s="2"/>
      <c r="J123" s="2"/>
      <c r="K123" s="2"/>
      <c r="L123" s="2"/>
      <c r="M123" s="2"/>
      <c r="N123" s="2"/>
      <c r="O123" s="2"/>
      <c r="P123" s="2"/>
      <c r="Q123" s="2"/>
      <c r="R123" s="2"/>
      <c r="S123" s="2"/>
      <c r="T123" s="7182"/>
      <c r="U123" s="7182"/>
      <c r="V123" s="2"/>
      <c r="W123" s="7184"/>
      <c r="X123" s="7184"/>
      <c r="Y123" s="2"/>
      <c r="Z123" s="2"/>
      <c r="AA123" s="2"/>
      <c r="AB123" s="4"/>
      <c r="AC123" s="2"/>
      <c r="AD123" s="2"/>
      <c r="AE123" s="4"/>
      <c r="AF123" s="2"/>
      <c r="AG123" s="2"/>
      <c r="AH123" s="4"/>
      <c r="AI123" s="2"/>
      <c r="AJ123" s="2"/>
      <c r="AK123" s="2"/>
      <c r="AL123" s="2"/>
      <c r="AM123" s="2"/>
      <c r="AN123" s="2"/>
      <c r="AO123" s="2"/>
      <c r="AP123" s="2"/>
      <c r="AQ123" s="2"/>
      <c r="AS123"/>
      <c r="AT123"/>
      <c r="AV123" s="6936"/>
      <c r="AW123" s="6936"/>
      <c r="AY123"/>
      <c r="AZ123"/>
      <c r="BB123"/>
      <c r="BC123"/>
      <c r="BE123"/>
      <c r="BF123"/>
      <c r="BH123"/>
      <c r="BI123"/>
      <c r="BK123" s="7182" t="s">
        <v>856</v>
      </c>
      <c r="BL123" s="7182"/>
      <c r="BN123" s="7184" t="s">
        <v>856</v>
      </c>
      <c r="BO123" s="7184"/>
      <c r="BQ123"/>
      <c r="BR123"/>
      <c r="BT123"/>
      <c r="BU123"/>
      <c r="BW123"/>
      <c r="BX123"/>
      <c r="BY123"/>
      <c r="BZ123"/>
      <c r="CA123"/>
      <c r="CB123"/>
      <c r="CC123"/>
      <c r="CD123"/>
      <c r="CE123"/>
      <c r="CG123" s="6936"/>
      <c r="CH123" s="6936"/>
      <c r="CJ123"/>
      <c r="CK123"/>
      <c r="CM123"/>
      <c r="CN123"/>
      <c r="CP123"/>
      <c r="CQ123"/>
      <c r="CS123"/>
      <c r="CT123"/>
      <c r="CV123" s="7182" t="s">
        <v>856</v>
      </c>
      <c r="CW123" s="7182"/>
      <c r="CY123" s="7184" t="s">
        <v>856</v>
      </c>
      <c r="CZ123" s="7184"/>
      <c r="DB123"/>
      <c r="DC123"/>
      <c r="DE123"/>
      <c r="DF123"/>
      <c r="DH123"/>
      <c r="DI123"/>
      <c r="DK123"/>
      <c r="DL123"/>
      <c r="DM123" s="5">
        <v>1</v>
      </c>
    </row>
    <row r="124" spans="2:117" s="1" customFormat="1" ht="18" customHeight="1" thickBot="1">
      <c r="B124" s="2"/>
      <c r="C124" s="2"/>
      <c r="D124" s="2"/>
      <c r="E124" s="2"/>
      <c r="F124" s="2"/>
      <c r="G124" s="2"/>
      <c r="H124" s="2"/>
      <c r="I124" s="2"/>
      <c r="J124" s="2"/>
      <c r="K124" s="2"/>
      <c r="L124" s="2"/>
      <c r="M124" s="2"/>
      <c r="N124" s="2"/>
      <c r="O124" s="2"/>
      <c r="P124" s="2"/>
      <c r="Q124" s="2"/>
      <c r="R124" s="2"/>
      <c r="S124" s="2"/>
      <c r="T124" s="473">
        <v>1</v>
      </c>
      <c r="U124" s="473">
        <v>1</v>
      </c>
      <c r="V124" s="2"/>
      <c r="W124" s="473">
        <v>1</v>
      </c>
      <c r="X124" s="473">
        <v>1</v>
      </c>
      <c r="Y124" s="2"/>
      <c r="Z124" s="2"/>
      <c r="AA124" s="2"/>
      <c r="AB124" s="4"/>
      <c r="AC124" s="2"/>
      <c r="AD124" s="2"/>
      <c r="AE124" s="4"/>
      <c r="AF124" s="2"/>
      <c r="AG124" s="2"/>
      <c r="AH124" s="4"/>
      <c r="AI124" s="2"/>
      <c r="AJ124" s="2"/>
      <c r="AK124" s="2"/>
      <c r="AL124" s="2"/>
      <c r="AM124" s="2"/>
      <c r="AN124" s="2"/>
      <c r="AO124" s="2"/>
      <c r="AP124" s="2"/>
      <c r="AQ124" s="2"/>
      <c r="AS124"/>
      <c r="AT124"/>
      <c r="AV124"/>
      <c r="AW124"/>
      <c r="AY124"/>
      <c r="AZ124"/>
      <c r="BB124"/>
      <c r="BC124"/>
      <c r="BE124"/>
      <c r="BF124"/>
      <c r="BH124"/>
      <c r="BI124"/>
      <c r="BK124" s="473" t="s">
        <v>856</v>
      </c>
      <c r="BL124" s="473"/>
      <c r="BN124" s="473" t="s">
        <v>856</v>
      </c>
      <c r="BO124" s="473"/>
      <c r="BQ124"/>
      <c r="BR124"/>
      <c r="BT124"/>
      <c r="BU124"/>
      <c r="BW124"/>
      <c r="BX124"/>
      <c r="BY124"/>
      <c r="BZ124"/>
      <c r="CA124"/>
      <c r="CB124"/>
      <c r="CC124"/>
      <c r="CD124"/>
      <c r="CE124"/>
      <c r="CG124"/>
      <c r="CH124"/>
      <c r="CJ124"/>
      <c r="CK124"/>
      <c r="CM124"/>
      <c r="CN124"/>
      <c r="CP124"/>
      <c r="CQ124"/>
      <c r="CS124"/>
      <c r="CT124"/>
      <c r="CV124" s="473" t="s">
        <v>856</v>
      </c>
      <c r="CW124" s="473"/>
      <c r="CY124" s="473" t="s">
        <v>856</v>
      </c>
      <c r="CZ124" s="473"/>
      <c r="DB124"/>
      <c r="DC124"/>
      <c r="DE124"/>
      <c r="DF124"/>
      <c r="DH124"/>
      <c r="DI124"/>
      <c r="DK124"/>
      <c r="DL124"/>
      <c r="DM124" s="5">
        <v>1</v>
      </c>
    </row>
    <row r="125" spans="2:117" s="1" customFormat="1" ht="18" customHeight="1">
      <c r="B125" s="2"/>
      <c r="C125" s="2"/>
      <c r="D125" s="2"/>
      <c r="E125" s="6935"/>
      <c r="F125" s="6935"/>
      <c r="G125" s="2"/>
      <c r="H125" s="2"/>
      <c r="I125" s="2"/>
      <c r="J125" s="2"/>
      <c r="K125" s="2"/>
      <c r="L125" s="2"/>
      <c r="M125" s="2"/>
      <c r="N125" s="2"/>
      <c r="O125" s="2"/>
      <c r="P125" s="2"/>
      <c r="Q125" s="2"/>
      <c r="R125" s="2"/>
      <c r="S125" s="2"/>
      <c r="T125" s="7181" t="s">
        <v>8321</v>
      </c>
      <c r="U125" s="7181"/>
      <c r="V125" s="2"/>
      <c r="W125" s="7183" t="s">
        <v>8322</v>
      </c>
      <c r="X125" s="7183"/>
      <c r="Y125" s="2"/>
      <c r="Z125" s="2"/>
      <c r="AA125" s="2"/>
      <c r="AB125" s="4"/>
      <c r="AC125" s="2"/>
      <c r="AD125" s="2"/>
      <c r="AE125" s="4"/>
      <c r="AF125" s="2"/>
      <c r="AG125" s="2"/>
      <c r="AH125" s="4"/>
      <c r="AI125" s="2"/>
      <c r="AJ125" s="2"/>
      <c r="AK125" s="2"/>
      <c r="AL125" s="2"/>
      <c r="AM125" s="2"/>
      <c r="AN125" s="2"/>
      <c r="AO125" s="2"/>
      <c r="AP125" s="2"/>
      <c r="AQ125" s="2"/>
      <c r="AS125"/>
      <c r="AT125"/>
      <c r="AV125"/>
      <c r="AW125"/>
      <c r="AY125"/>
      <c r="AZ125"/>
      <c r="BB125"/>
      <c r="BC125"/>
      <c r="BE125"/>
      <c r="BF125"/>
      <c r="BH125"/>
      <c r="BI125"/>
      <c r="BK125" s="7181" t="s">
        <v>10386</v>
      </c>
      <c r="BL125" s="7181"/>
      <c r="BN125" s="7183" t="s">
        <v>10470</v>
      </c>
      <c r="BO125" s="7183"/>
      <c r="BQ125"/>
      <c r="BR125"/>
      <c r="BT125"/>
      <c r="BU125"/>
      <c r="BW125"/>
      <c r="BX125"/>
      <c r="BY125"/>
      <c r="BZ125"/>
      <c r="CA125"/>
      <c r="CB125"/>
      <c r="CC125"/>
      <c r="CD125"/>
      <c r="CE125"/>
      <c r="CG125"/>
      <c r="CH125"/>
      <c r="CJ125"/>
      <c r="CK125"/>
      <c r="CM125"/>
      <c r="CN125"/>
      <c r="CP125"/>
      <c r="CQ125"/>
      <c r="CS125"/>
      <c r="CT125"/>
      <c r="CV125" s="7181" t="s">
        <v>10428</v>
      </c>
      <c r="CW125" s="7181"/>
      <c r="CY125" s="7183" t="s">
        <v>10521</v>
      </c>
      <c r="CZ125" s="7183"/>
      <c r="DB125"/>
      <c r="DC125"/>
      <c r="DE125"/>
      <c r="DF125"/>
      <c r="DH125"/>
      <c r="DI125"/>
      <c r="DK125"/>
      <c r="DL125"/>
      <c r="DM125" s="5">
        <v>1</v>
      </c>
    </row>
    <row r="126" spans="2:117" s="1" customFormat="1" ht="18" customHeight="1">
      <c r="B126" s="2"/>
      <c r="C126" s="2"/>
      <c r="D126" s="2"/>
      <c r="E126" s="6936"/>
      <c r="F126" s="6936"/>
      <c r="G126" s="2"/>
      <c r="H126" s="2"/>
      <c r="I126" s="2"/>
      <c r="J126" s="2"/>
      <c r="K126" s="2"/>
      <c r="L126" s="2"/>
      <c r="M126" s="2"/>
      <c r="N126" s="2"/>
      <c r="O126" s="2"/>
      <c r="P126" s="2"/>
      <c r="Q126" s="2"/>
      <c r="R126" s="2"/>
      <c r="S126" s="2"/>
      <c r="T126" s="7182"/>
      <c r="U126" s="7182"/>
      <c r="V126" s="2"/>
      <c r="W126" s="7184"/>
      <c r="X126" s="7184"/>
      <c r="Y126" s="2"/>
      <c r="Z126" s="2"/>
      <c r="AA126" s="2"/>
      <c r="AB126" s="4"/>
      <c r="AC126" s="2"/>
      <c r="AD126" s="2"/>
      <c r="AE126" s="4"/>
      <c r="AF126" s="2"/>
      <c r="AG126" s="2"/>
      <c r="AH126" s="4"/>
      <c r="AI126" s="2"/>
      <c r="AJ126" s="2"/>
      <c r="AK126" s="2"/>
      <c r="AL126" s="2"/>
      <c r="AM126" s="2"/>
      <c r="AN126" s="2"/>
      <c r="AO126" s="2"/>
      <c r="AP126" s="2"/>
      <c r="AQ126" s="2"/>
      <c r="AS126"/>
      <c r="AT126"/>
      <c r="AV126"/>
      <c r="AW126"/>
      <c r="AY126"/>
      <c r="AZ126"/>
      <c r="BB126"/>
      <c r="BC126"/>
      <c r="BE126"/>
      <c r="BF126"/>
      <c r="BH126"/>
      <c r="BI126"/>
      <c r="BK126" s="7182" t="s">
        <v>856</v>
      </c>
      <c r="BL126" s="7182"/>
      <c r="BN126" s="7184" t="s">
        <v>856</v>
      </c>
      <c r="BO126" s="7184"/>
      <c r="BQ126"/>
      <c r="BR126"/>
      <c r="BT126"/>
      <c r="BU126"/>
      <c r="BW126"/>
      <c r="BX126"/>
      <c r="BY126"/>
      <c r="BZ126"/>
      <c r="CA126"/>
      <c r="CB126"/>
      <c r="CC126"/>
      <c r="CD126"/>
      <c r="CE126"/>
      <c r="CG126"/>
      <c r="CH126"/>
      <c r="CJ126"/>
      <c r="CK126"/>
      <c r="CM126"/>
      <c r="CN126"/>
      <c r="CP126"/>
      <c r="CQ126"/>
      <c r="CS126"/>
      <c r="CT126"/>
      <c r="CV126" s="7182" t="s">
        <v>856</v>
      </c>
      <c r="CW126" s="7182"/>
      <c r="CY126" s="7184" t="s">
        <v>856</v>
      </c>
      <c r="CZ126" s="7184"/>
      <c r="DB126"/>
      <c r="DC126"/>
      <c r="DE126"/>
      <c r="DF126"/>
      <c r="DH126"/>
      <c r="DI126"/>
      <c r="DK126"/>
      <c r="DL126"/>
      <c r="DM126" s="5">
        <v>1</v>
      </c>
    </row>
    <row r="127" spans="2:117" s="1" customFormat="1" ht="18" customHeight="1" thickBot="1">
      <c r="B127" s="2"/>
      <c r="C127" s="2"/>
      <c r="D127" s="2"/>
      <c r="E127" s="2"/>
      <c r="F127" s="2"/>
      <c r="G127" s="2"/>
      <c r="H127" s="2"/>
      <c r="I127" s="2"/>
      <c r="J127" s="2"/>
      <c r="K127" s="2"/>
      <c r="L127" s="2"/>
      <c r="M127" s="2"/>
      <c r="N127" s="2"/>
      <c r="O127" s="2"/>
      <c r="P127" s="2"/>
      <c r="Q127" s="2"/>
      <c r="R127" s="2"/>
      <c r="S127" s="2"/>
      <c r="T127" s="473">
        <v>1</v>
      </c>
      <c r="U127" s="473">
        <v>1</v>
      </c>
      <c r="V127" s="2"/>
      <c r="W127" s="473">
        <v>1</v>
      </c>
      <c r="X127" s="473">
        <v>1</v>
      </c>
      <c r="Y127" s="2"/>
      <c r="Z127" s="2"/>
      <c r="AA127" s="2"/>
      <c r="AB127" s="4"/>
      <c r="AC127" s="2"/>
      <c r="AD127" s="2"/>
      <c r="AE127" s="4"/>
      <c r="AF127" s="2"/>
      <c r="AG127" s="2"/>
      <c r="AH127" s="4"/>
      <c r="AI127" s="2"/>
      <c r="AJ127" s="2"/>
      <c r="AK127" s="2"/>
      <c r="AL127" s="2"/>
      <c r="AM127" s="2"/>
      <c r="AN127" s="2"/>
      <c r="AO127" s="2"/>
      <c r="AP127" s="2"/>
      <c r="AQ127" s="2"/>
      <c r="AS127"/>
      <c r="AT127"/>
      <c r="AV127"/>
      <c r="AW127"/>
      <c r="AY127"/>
      <c r="AZ127"/>
      <c r="BB127"/>
      <c r="BC127"/>
      <c r="BE127"/>
      <c r="BF127"/>
      <c r="BH127"/>
      <c r="BI127"/>
      <c r="BK127" s="473" t="s">
        <v>856</v>
      </c>
      <c r="BL127" s="473"/>
      <c r="BN127" s="473" t="s">
        <v>856</v>
      </c>
      <c r="BO127" s="473"/>
      <c r="BQ127"/>
      <c r="BR127"/>
      <c r="BT127"/>
      <c r="BU127"/>
      <c r="BW127"/>
      <c r="BX127"/>
      <c r="BY127"/>
      <c r="BZ127"/>
      <c r="CA127"/>
      <c r="CB127"/>
      <c r="CC127"/>
      <c r="CD127"/>
      <c r="CE127"/>
      <c r="CG127"/>
      <c r="CH127"/>
      <c r="CJ127"/>
      <c r="CK127"/>
      <c r="CM127"/>
      <c r="CN127"/>
      <c r="CP127"/>
      <c r="CQ127"/>
      <c r="CS127"/>
      <c r="CT127"/>
      <c r="CV127" s="473" t="s">
        <v>856</v>
      </c>
      <c r="CW127" s="473"/>
      <c r="CY127" s="473" t="s">
        <v>856</v>
      </c>
      <c r="CZ127" s="473"/>
      <c r="DB127"/>
      <c r="DC127"/>
      <c r="DE127"/>
      <c r="DF127"/>
      <c r="DH127"/>
      <c r="DI127"/>
      <c r="DK127"/>
      <c r="DL127"/>
      <c r="DM127" s="5">
        <v>1</v>
      </c>
    </row>
    <row r="128" spans="2:117" s="1" customFormat="1" ht="18" customHeight="1">
      <c r="B128" s="2"/>
      <c r="C128" s="2"/>
      <c r="D128" s="2"/>
      <c r="E128" s="2"/>
      <c r="F128" s="2"/>
      <c r="G128" s="2"/>
      <c r="H128" s="2"/>
      <c r="I128" s="2"/>
      <c r="J128" s="2"/>
      <c r="K128" s="2"/>
      <c r="L128" s="2"/>
      <c r="M128" s="2"/>
      <c r="N128" s="2"/>
      <c r="O128" s="2"/>
      <c r="P128" s="2"/>
      <c r="Q128" s="2"/>
      <c r="R128" s="2"/>
      <c r="S128" s="2"/>
      <c r="T128" s="7181" t="s">
        <v>8323</v>
      </c>
      <c r="U128" s="7181"/>
      <c r="V128" s="2"/>
      <c r="W128" s="7183" t="s">
        <v>8324</v>
      </c>
      <c r="X128" s="7183"/>
      <c r="Y128" s="2"/>
      <c r="Z128" s="2"/>
      <c r="AA128" s="2"/>
      <c r="AB128" s="4"/>
      <c r="AC128" s="2"/>
      <c r="AD128" s="2"/>
      <c r="AE128" s="4"/>
      <c r="AF128" s="2"/>
      <c r="AG128" s="2"/>
      <c r="AH128" s="4"/>
      <c r="AI128" s="2"/>
      <c r="AJ128" s="2"/>
      <c r="AK128" s="2"/>
      <c r="AL128" s="2"/>
      <c r="AM128" s="2"/>
      <c r="AN128" s="2"/>
      <c r="AO128" s="2"/>
      <c r="AP128" s="2"/>
      <c r="AQ128" s="2"/>
      <c r="AS128"/>
      <c r="AT128"/>
      <c r="AV128"/>
      <c r="AW128"/>
      <c r="AY128"/>
      <c r="AZ128"/>
      <c r="BB128"/>
      <c r="BC128"/>
      <c r="BE128"/>
      <c r="BF128"/>
      <c r="BH128"/>
      <c r="BI128"/>
      <c r="BK128" s="7181" t="s">
        <v>10387</v>
      </c>
      <c r="BL128" s="7181"/>
      <c r="BN128" s="7183" t="s">
        <v>10471</v>
      </c>
      <c r="BO128" s="7183"/>
      <c r="BQ128"/>
      <c r="BR128"/>
      <c r="BT128"/>
      <c r="BU128"/>
      <c r="BW128"/>
      <c r="BX128"/>
      <c r="BY128"/>
      <c r="BZ128"/>
      <c r="CA128"/>
      <c r="CB128"/>
      <c r="CC128"/>
      <c r="CD128"/>
      <c r="CE128"/>
      <c r="CG128"/>
      <c r="CH128"/>
      <c r="CJ128"/>
      <c r="CK128"/>
      <c r="CM128"/>
      <c r="CN128"/>
      <c r="CP128"/>
      <c r="CQ128"/>
      <c r="CS128"/>
      <c r="CT128"/>
      <c r="CV128" s="7181" t="s">
        <v>10429</v>
      </c>
      <c r="CW128" s="7181"/>
      <c r="CY128" s="7183" t="s">
        <v>10522</v>
      </c>
      <c r="CZ128" s="7183"/>
      <c r="DB128"/>
      <c r="DC128"/>
      <c r="DE128"/>
      <c r="DF128"/>
      <c r="DH128"/>
      <c r="DI128"/>
      <c r="DK128"/>
      <c r="DL128"/>
      <c r="DM128" s="5">
        <v>1</v>
      </c>
    </row>
    <row r="129" spans="2:117" s="1" customFormat="1" ht="18" customHeight="1">
      <c r="B129" s="2"/>
      <c r="C129" s="2"/>
      <c r="D129" s="2"/>
      <c r="E129" s="2"/>
      <c r="F129" s="2"/>
      <c r="G129" s="2"/>
      <c r="H129" s="2"/>
      <c r="I129" s="2"/>
      <c r="J129" s="2"/>
      <c r="K129" s="2"/>
      <c r="L129" s="2"/>
      <c r="M129" s="2"/>
      <c r="N129" s="2"/>
      <c r="O129" s="2"/>
      <c r="P129" s="2"/>
      <c r="Q129" s="2"/>
      <c r="R129" s="2"/>
      <c r="S129" s="2"/>
      <c r="T129" s="7182"/>
      <c r="U129" s="7182"/>
      <c r="V129" s="2"/>
      <c r="W129" s="7184"/>
      <c r="X129" s="7184"/>
      <c r="Y129" s="2"/>
      <c r="Z129" s="2"/>
      <c r="AA129" s="2"/>
      <c r="AB129" s="4"/>
      <c r="AC129" s="2"/>
      <c r="AD129" s="2"/>
      <c r="AE129" s="4"/>
      <c r="AF129" s="2"/>
      <c r="AG129" s="2"/>
      <c r="AH129" s="4"/>
      <c r="AI129" s="2"/>
      <c r="AJ129" s="2"/>
      <c r="AK129" s="2"/>
      <c r="AL129" s="2"/>
      <c r="AM129" s="2"/>
      <c r="AN129" s="2"/>
      <c r="AO129" s="2"/>
      <c r="AP129" s="2"/>
      <c r="AQ129" s="2"/>
      <c r="AS129"/>
      <c r="AT129"/>
      <c r="AV129"/>
      <c r="AW129"/>
      <c r="AY129"/>
      <c r="AZ129"/>
      <c r="BB129"/>
      <c r="BC129"/>
      <c r="BE129"/>
      <c r="BF129"/>
      <c r="BH129"/>
      <c r="BI129"/>
      <c r="BK129" s="7182" t="s">
        <v>856</v>
      </c>
      <c r="BL129" s="7182"/>
      <c r="BN129" s="7184" t="s">
        <v>856</v>
      </c>
      <c r="BO129" s="7184"/>
      <c r="BQ129"/>
      <c r="BR129"/>
      <c r="BT129"/>
      <c r="BU129"/>
      <c r="BW129"/>
      <c r="BX129"/>
      <c r="BY129"/>
      <c r="BZ129"/>
      <c r="CA129"/>
      <c r="CB129"/>
      <c r="CC129"/>
      <c r="CD129"/>
      <c r="CE129"/>
      <c r="CG129"/>
      <c r="CH129"/>
      <c r="CJ129"/>
      <c r="CK129"/>
      <c r="CM129"/>
      <c r="CN129"/>
      <c r="CP129"/>
      <c r="CQ129"/>
      <c r="CS129"/>
      <c r="CT129"/>
      <c r="CV129" s="7182" t="s">
        <v>856</v>
      </c>
      <c r="CW129" s="7182"/>
      <c r="CY129" s="7184" t="s">
        <v>856</v>
      </c>
      <c r="CZ129" s="7184"/>
      <c r="DB129"/>
      <c r="DC129"/>
      <c r="DE129"/>
      <c r="DF129"/>
      <c r="DH129"/>
      <c r="DI129"/>
      <c r="DK129"/>
      <c r="DL129"/>
      <c r="DM129" s="5">
        <v>1</v>
      </c>
    </row>
    <row r="130" spans="2:117" s="1" customFormat="1" ht="18" customHeight="1" thickBot="1">
      <c r="B130" s="2"/>
      <c r="C130" s="2"/>
      <c r="D130" s="2"/>
      <c r="E130" s="2"/>
      <c r="F130" s="2"/>
      <c r="G130" s="2"/>
      <c r="H130" s="2"/>
      <c r="I130" s="2"/>
      <c r="J130" s="2"/>
      <c r="K130" s="2"/>
      <c r="L130" s="2"/>
      <c r="M130" s="2"/>
      <c r="N130" s="2"/>
      <c r="O130" s="2"/>
      <c r="P130" s="2"/>
      <c r="Q130" s="2"/>
      <c r="R130" s="2"/>
      <c r="S130" s="2"/>
      <c r="T130" s="473">
        <v>1</v>
      </c>
      <c r="U130" s="473">
        <v>1</v>
      </c>
      <c r="V130" s="2"/>
      <c r="W130" s="473">
        <v>1</v>
      </c>
      <c r="X130" s="473">
        <v>1</v>
      </c>
      <c r="Y130" s="2"/>
      <c r="Z130" s="2"/>
      <c r="AA130" s="2"/>
      <c r="AB130" s="4"/>
      <c r="AC130" s="2"/>
      <c r="AD130" s="2"/>
      <c r="AE130" s="4"/>
      <c r="AF130" s="2"/>
      <c r="AG130" s="2"/>
      <c r="AH130" s="4"/>
      <c r="AI130" s="2"/>
      <c r="AJ130" s="2"/>
      <c r="AK130" s="2"/>
      <c r="AL130" s="2"/>
      <c r="AM130" s="2"/>
      <c r="AN130" s="2"/>
      <c r="AO130" s="2"/>
      <c r="AP130" s="2"/>
      <c r="AQ130" s="2"/>
      <c r="AS130"/>
      <c r="AT130"/>
      <c r="AV130"/>
      <c r="AW130"/>
      <c r="AY130"/>
      <c r="AZ130"/>
      <c r="BB130"/>
      <c r="BC130"/>
      <c r="BE130"/>
      <c r="BF130"/>
      <c r="BH130"/>
      <c r="BI130"/>
      <c r="BK130" s="473" t="s">
        <v>856</v>
      </c>
      <c r="BL130" s="473"/>
      <c r="BN130" s="473" t="s">
        <v>856</v>
      </c>
      <c r="BO130" s="473"/>
      <c r="BQ130"/>
      <c r="BR130"/>
      <c r="BT130"/>
      <c r="BU130"/>
      <c r="BW130"/>
      <c r="BX130"/>
      <c r="BY130"/>
      <c r="BZ130"/>
      <c r="CA130"/>
      <c r="CB130"/>
      <c r="CC130"/>
      <c r="CD130"/>
      <c r="CE130"/>
      <c r="CG130"/>
      <c r="CH130"/>
      <c r="CJ130"/>
      <c r="CK130"/>
      <c r="CM130"/>
      <c r="CN130"/>
      <c r="CP130"/>
      <c r="CQ130"/>
      <c r="CS130"/>
      <c r="CT130"/>
      <c r="CV130" s="473" t="s">
        <v>856</v>
      </c>
      <c r="CW130" s="473"/>
      <c r="CY130" s="473" t="s">
        <v>856</v>
      </c>
      <c r="CZ130" s="473"/>
      <c r="DB130"/>
      <c r="DC130"/>
      <c r="DE130"/>
      <c r="DF130"/>
      <c r="DH130"/>
      <c r="DI130"/>
      <c r="DK130"/>
      <c r="DL130"/>
      <c r="DM130" s="5">
        <v>1</v>
      </c>
    </row>
    <row r="131" spans="2:117" s="1" customFormat="1" ht="18" customHeight="1">
      <c r="B131" s="2"/>
      <c r="C131" s="2"/>
      <c r="D131" s="2"/>
      <c r="E131" s="2"/>
      <c r="F131" s="2"/>
      <c r="G131" s="2"/>
      <c r="H131" s="2"/>
      <c r="I131" s="2"/>
      <c r="J131" s="2"/>
      <c r="K131" s="2"/>
      <c r="L131" s="2"/>
      <c r="M131" s="2"/>
      <c r="N131" s="2"/>
      <c r="O131" s="2"/>
      <c r="P131" s="2"/>
      <c r="Q131" s="2"/>
      <c r="R131" s="2"/>
      <c r="S131" s="2"/>
      <c r="T131" s="7181" t="s">
        <v>8325</v>
      </c>
      <c r="U131" s="7181"/>
      <c r="V131" s="2"/>
      <c r="W131" s="7183" t="s">
        <v>8326</v>
      </c>
      <c r="X131" s="7183"/>
      <c r="Y131" s="2"/>
      <c r="Z131" s="2"/>
      <c r="AA131" s="2"/>
      <c r="AB131" s="4"/>
      <c r="AC131" s="2"/>
      <c r="AD131" s="2"/>
      <c r="AE131" s="4"/>
      <c r="AF131" s="2"/>
      <c r="AG131" s="2"/>
      <c r="AH131" s="4"/>
      <c r="AI131" s="2"/>
      <c r="AJ131" s="2"/>
      <c r="AK131" s="2"/>
      <c r="AL131" s="2"/>
      <c r="AM131" s="2"/>
      <c r="AN131" s="2"/>
      <c r="AO131" s="2"/>
      <c r="AP131" s="2"/>
      <c r="AQ131" s="2"/>
      <c r="AS131"/>
      <c r="AT131"/>
      <c r="AV131"/>
      <c r="AW131"/>
      <c r="AY131"/>
      <c r="AZ131"/>
      <c r="BB131"/>
      <c r="BC131"/>
      <c r="BE131"/>
      <c r="BF131"/>
      <c r="BH131"/>
      <c r="BI131"/>
      <c r="BK131" s="7181" t="s">
        <v>10388</v>
      </c>
      <c r="BL131" s="7181"/>
      <c r="BN131" s="7183" t="s">
        <v>10472</v>
      </c>
      <c r="BO131" s="7183"/>
      <c r="BQ131"/>
      <c r="BR131"/>
      <c r="BT131"/>
      <c r="BU131"/>
      <c r="BW131"/>
      <c r="BX131"/>
      <c r="BY131"/>
      <c r="BZ131"/>
      <c r="CA131"/>
      <c r="CB131"/>
      <c r="CC131"/>
      <c r="CD131"/>
      <c r="CE131"/>
      <c r="CG131"/>
      <c r="CH131"/>
      <c r="CJ131"/>
      <c r="CK131"/>
      <c r="CM131"/>
      <c r="CN131"/>
      <c r="CP131"/>
      <c r="CQ131"/>
      <c r="CS131"/>
      <c r="CT131"/>
      <c r="CV131" s="7181" t="s">
        <v>10430</v>
      </c>
      <c r="CW131" s="7181"/>
      <c r="CY131" s="7183" t="s">
        <v>10523</v>
      </c>
      <c r="CZ131" s="7183"/>
      <c r="DB131"/>
      <c r="DC131"/>
      <c r="DE131"/>
      <c r="DF131"/>
      <c r="DH131"/>
      <c r="DI131"/>
      <c r="DK131"/>
      <c r="DL131"/>
      <c r="DM131" s="5">
        <v>1</v>
      </c>
    </row>
    <row r="132" spans="2:117" s="1" customFormat="1" ht="18" customHeight="1">
      <c r="B132" s="2"/>
      <c r="C132" s="2"/>
      <c r="D132" s="2"/>
      <c r="E132" s="2"/>
      <c r="F132" s="2"/>
      <c r="G132" s="2"/>
      <c r="H132" s="2"/>
      <c r="I132" s="2"/>
      <c r="J132" s="2"/>
      <c r="K132" s="2"/>
      <c r="L132" s="2"/>
      <c r="M132" s="2"/>
      <c r="N132" s="2"/>
      <c r="O132" s="2"/>
      <c r="P132" s="2"/>
      <c r="Q132" s="2"/>
      <c r="R132" s="2"/>
      <c r="S132" s="2"/>
      <c r="T132" s="7182"/>
      <c r="U132" s="7182"/>
      <c r="V132" s="2"/>
      <c r="W132" s="7184"/>
      <c r="X132" s="7184"/>
      <c r="Y132" s="2"/>
      <c r="Z132" s="2"/>
      <c r="AA132" s="2"/>
      <c r="AB132" s="4"/>
      <c r="AC132" s="2"/>
      <c r="AD132" s="2"/>
      <c r="AE132" s="4"/>
      <c r="AF132" s="2"/>
      <c r="AG132" s="2"/>
      <c r="AH132" s="4"/>
      <c r="AI132" s="2"/>
      <c r="AJ132" s="2"/>
      <c r="AK132" s="2"/>
      <c r="AL132" s="2"/>
      <c r="AM132" s="2"/>
      <c r="AN132" s="2"/>
      <c r="AO132" s="2"/>
      <c r="AP132" s="2"/>
      <c r="AQ132" s="2"/>
      <c r="AS132"/>
      <c r="AT132"/>
      <c r="AV132"/>
      <c r="AW132"/>
      <c r="AY132"/>
      <c r="AZ132"/>
      <c r="BB132"/>
      <c r="BC132"/>
      <c r="BE132"/>
      <c r="BF132"/>
      <c r="BH132"/>
      <c r="BI132"/>
      <c r="BK132" s="7182" t="s">
        <v>856</v>
      </c>
      <c r="BL132" s="7182"/>
      <c r="BN132" s="7184" t="s">
        <v>856</v>
      </c>
      <c r="BO132" s="7184"/>
      <c r="BQ132"/>
      <c r="BR132"/>
      <c r="BT132"/>
      <c r="BU132"/>
      <c r="BW132"/>
      <c r="BX132"/>
      <c r="BY132"/>
      <c r="BZ132"/>
      <c r="CA132"/>
      <c r="CB132"/>
      <c r="CC132"/>
      <c r="CD132"/>
      <c r="CE132"/>
      <c r="CG132"/>
      <c r="CH132"/>
      <c r="CJ132"/>
      <c r="CK132"/>
      <c r="CM132"/>
      <c r="CN132"/>
      <c r="CP132"/>
      <c r="CQ132"/>
      <c r="CS132"/>
      <c r="CT132"/>
      <c r="CV132" s="7182" t="s">
        <v>856</v>
      </c>
      <c r="CW132" s="7182"/>
      <c r="CY132" s="7184" t="s">
        <v>856</v>
      </c>
      <c r="CZ132" s="7184"/>
      <c r="DB132"/>
      <c r="DC132"/>
      <c r="DE132"/>
      <c r="DF132"/>
      <c r="DH132"/>
      <c r="DI132"/>
      <c r="DK132"/>
      <c r="DL132"/>
      <c r="DM132" s="5">
        <v>1</v>
      </c>
    </row>
    <row r="133" spans="2:117" s="1" customFormat="1" ht="18" customHeight="1" thickBot="1">
      <c r="B133" s="2"/>
      <c r="C133" s="2"/>
      <c r="D133" s="2"/>
      <c r="E133" s="2"/>
      <c r="F133" s="2"/>
      <c r="G133" s="2"/>
      <c r="H133" s="2"/>
      <c r="I133" s="2"/>
      <c r="J133" s="2"/>
      <c r="K133" s="2"/>
      <c r="L133" s="2"/>
      <c r="M133" s="2"/>
      <c r="N133" s="2"/>
      <c r="O133" s="2"/>
      <c r="P133" s="2"/>
      <c r="Q133" s="2"/>
      <c r="R133" s="2"/>
      <c r="S133" s="2"/>
      <c r="T133" s="473">
        <v>1</v>
      </c>
      <c r="U133" s="473">
        <v>1</v>
      </c>
      <c r="V133" s="2"/>
      <c r="W133" s="473">
        <v>1</v>
      </c>
      <c r="X133" s="473">
        <v>1</v>
      </c>
      <c r="Y133" s="2"/>
      <c r="Z133" s="2"/>
      <c r="AA133" s="2"/>
      <c r="AB133" s="4"/>
      <c r="AC133" s="2"/>
      <c r="AD133" s="2"/>
      <c r="AE133" s="4"/>
      <c r="AF133" s="2"/>
      <c r="AG133" s="2"/>
      <c r="AH133" s="4"/>
      <c r="AI133" s="2"/>
      <c r="AJ133" s="2"/>
      <c r="AK133" s="2"/>
      <c r="AL133" s="2"/>
      <c r="AM133" s="2"/>
      <c r="AN133" s="2"/>
      <c r="AO133" s="2"/>
      <c r="AP133" s="2"/>
      <c r="AQ133" s="2"/>
      <c r="AS133"/>
      <c r="AT133"/>
      <c r="AV133"/>
      <c r="AW133"/>
      <c r="AY133"/>
      <c r="AZ133"/>
      <c r="BB133"/>
      <c r="BC133"/>
      <c r="BE133"/>
      <c r="BF133"/>
      <c r="BH133"/>
      <c r="BI133"/>
      <c r="BK133" s="473" t="s">
        <v>856</v>
      </c>
      <c r="BL133" s="473"/>
      <c r="BN133" s="473" t="s">
        <v>856</v>
      </c>
      <c r="BO133" s="473"/>
      <c r="BQ133"/>
      <c r="BR133"/>
      <c r="BT133"/>
      <c r="BU133"/>
      <c r="BW133"/>
      <c r="BX133"/>
      <c r="BY133"/>
      <c r="BZ133"/>
      <c r="CA133"/>
      <c r="CB133"/>
      <c r="CC133"/>
      <c r="CD133"/>
      <c r="CE133"/>
      <c r="CG133"/>
      <c r="CH133"/>
      <c r="CJ133"/>
      <c r="CK133"/>
      <c r="CM133"/>
      <c r="CN133"/>
      <c r="CP133"/>
      <c r="CQ133"/>
      <c r="CS133"/>
      <c r="CT133"/>
      <c r="CV133" s="473" t="s">
        <v>856</v>
      </c>
      <c r="CW133" s="473"/>
      <c r="CY133" s="473" t="s">
        <v>856</v>
      </c>
      <c r="CZ133" s="473"/>
      <c r="DB133"/>
      <c r="DC133"/>
      <c r="DE133"/>
      <c r="DF133"/>
      <c r="DH133"/>
      <c r="DI133"/>
      <c r="DK133"/>
      <c r="DL133"/>
      <c r="DM133" s="5">
        <v>1</v>
      </c>
    </row>
    <row r="134" spans="2:117" s="1" customFormat="1" ht="18" customHeight="1">
      <c r="B134" s="2"/>
      <c r="C134" s="2"/>
      <c r="D134" s="2"/>
      <c r="E134" s="2"/>
      <c r="F134" s="2"/>
      <c r="G134" s="2"/>
      <c r="H134" s="2"/>
      <c r="I134" s="2"/>
      <c r="J134" s="2"/>
      <c r="K134" s="2"/>
      <c r="L134" s="2"/>
      <c r="M134" s="2"/>
      <c r="N134" s="2"/>
      <c r="O134" s="2"/>
      <c r="P134" s="2"/>
      <c r="Q134" s="2"/>
      <c r="R134" s="2"/>
      <c r="S134" s="2"/>
      <c r="T134" s="7181" t="s">
        <v>8327</v>
      </c>
      <c r="U134" s="7181"/>
      <c r="V134" s="2"/>
      <c r="W134" s="7183" t="s">
        <v>8328</v>
      </c>
      <c r="X134" s="7183"/>
      <c r="Y134" s="2"/>
      <c r="Z134" s="2"/>
      <c r="AA134" s="2"/>
      <c r="AB134" s="4"/>
      <c r="AC134" s="2"/>
      <c r="AD134" s="2"/>
      <c r="AE134" s="4"/>
      <c r="AF134" s="2"/>
      <c r="AG134" s="2"/>
      <c r="AH134" s="4"/>
      <c r="AI134" s="2"/>
      <c r="AJ134" s="2"/>
      <c r="AK134" s="2"/>
      <c r="AL134" s="2"/>
      <c r="AM134" s="2"/>
      <c r="AN134" s="2"/>
      <c r="AO134" s="2"/>
      <c r="AP134" s="2"/>
      <c r="AQ134" s="2"/>
      <c r="AS134"/>
      <c r="AT134"/>
      <c r="AV134"/>
      <c r="AW134"/>
      <c r="AY134"/>
      <c r="AZ134"/>
      <c r="BB134"/>
      <c r="BC134"/>
      <c r="BE134"/>
      <c r="BF134"/>
      <c r="BH134"/>
      <c r="BI134"/>
      <c r="BK134" s="7181" t="s">
        <v>10389</v>
      </c>
      <c r="BL134" s="7181"/>
      <c r="BN134" s="7183" t="s">
        <v>10473</v>
      </c>
      <c r="BO134" s="7183"/>
      <c r="BQ134"/>
      <c r="BR134"/>
      <c r="BT134"/>
      <c r="BU134"/>
      <c r="BW134"/>
      <c r="BX134"/>
      <c r="BY134"/>
      <c r="BZ134"/>
      <c r="CA134"/>
      <c r="CB134"/>
      <c r="CC134"/>
      <c r="CD134"/>
      <c r="CE134"/>
      <c r="CG134"/>
      <c r="CH134"/>
      <c r="CJ134"/>
      <c r="CK134"/>
      <c r="CM134"/>
      <c r="CN134"/>
      <c r="CP134"/>
      <c r="CQ134"/>
      <c r="CS134"/>
      <c r="CT134"/>
      <c r="CV134" s="7181" t="s">
        <v>10431</v>
      </c>
      <c r="CW134" s="7181"/>
      <c r="CY134" s="7183" t="s">
        <v>10524</v>
      </c>
      <c r="CZ134" s="7183"/>
      <c r="DB134"/>
      <c r="DC134"/>
      <c r="DE134"/>
      <c r="DF134"/>
      <c r="DH134"/>
      <c r="DI134"/>
      <c r="DK134"/>
      <c r="DL134"/>
      <c r="DM134" s="5">
        <v>1</v>
      </c>
    </row>
    <row r="135" spans="2:117" s="1" customFormat="1" ht="18" customHeight="1">
      <c r="B135" s="2"/>
      <c r="C135" s="2"/>
      <c r="D135" s="2"/>
      <c r="E135" s="2"/>
      <c r="F135" s="2"/>
      <c r="G135" s="2"/>
      <c r="H135" s="2"/>
      <c r="I135" s="2"/>
      <c r="J135" s="2"/>
      <c r="K135" s="2"/>
      <c r="L135" s="2"/>
      <c r="M135" s="2"/>
      <c r="N135" s="2"/>
      <c r="O135" s="2"/>
      <c r="P135" s="2"/>
      <c r="Q135" s="2"/>
      <c r="R135" s="2"/>
      <c r="S135" s="2"/>
      <c r="T135" s="7182"/>
      <c r="U135" s="7182"/>
      <c r="V135" s="2"/>
      <c r="W135" s="7184"/>
      <c r="X135" s="7184"/>
      <c r="Y135" s="2"/>
      <c r="Z135" s="2"/>
      <c r="AA135" s="2"/>
      <c r="AB135" s="4"/>
      <c r="AC135" s="2"/>
      <c r="AD135" s="2"/>
      <c r="AE135" s="4"/>
      <c r="AF135" s="2"/>
      <c r="AG135" s="2"/>
      <c r="AH135" s="4"/>
      <c r="AI135" s="2"/>
      <c r="AJ135" s="2"/>
      <c r="AK135" s="2"/>
      <c r="AL135" s="2"/>
      <c r="AM135" s="2"/>
      <c r="AN135" s="2"/>
      <c r="AO135" s="2"/>
      <c r="AP135" s="2"/>
      <c r="AQ135" s="2"/>
      <c r="AS135"/>
      <c r="AT135"/>
      <c r="AV135"/>
      <c r="AW135"/>
      <c r="AY135"/>
      <c r="AZ135"/>
      <c r="BB135"/>
      <c r="BC135"/>
      <c r="BE135"/>
      <c r="BF135"/>
      <c r="BH135"/>
      <c r="BI135"/>
      <c r="BK135" s="7182" t="s">
        <v>856</v>
      </c>
      <c r="BL135" s="7182"/>
      <c r="BN135" s="7184" t="s">
        <v>856</v>
      </c>
      <c r="BO135" s="7184"/>
      <c r="BQ135"/>
      <c r="BR135"/>
      <c r="BT135"/>
      <c r="BU135"/>
      <c r="BW135"/>
      <c r="BX135"/>
      <c r="BY135"/>
      <c r="BZ135"/>
      <c r="CA135"/>
      <c r="CB135"/>
      <c r="CC135"/>
      <c r="CD135"/>
      <c r="CE135"/>
      <c r="CG135"/>
      <c r="CH135"/>
      <c r="CJ135"/>
      <c r="CK135"/>
      <c r="CM135"/>
      <c r="CN135"/>
      <c r="CP135"/>
      <c r="CQ135"/>
      <c r="CS135"/>
      <c r="CT135"/>
      <c r="CV135" s="7182" t="s">
        <v>856</v>
      </c>
      <c r="CW135" s="7182"/>
      <c r="CY135" s="7184" t="s">
        <v>856</v>
      </c>
      <c r="CZ135" s="7184"/>
      <c r="DB135"/>
      <c r="DC135"/>
      <c r="DE135"/>
      <c r="DF135"/>
      <c r="DH135"/>
      <c r="DI135"/>
      <c r="DK135"/>
      <c r="DL135"/>
      <c r="DM135" s="5">
        <v>1</v>
      </c>
    </row>
    <row r="136" spans="2:117" s="1" customFormat="1" ht="18" customHeight="1" thickBot="1">
      <c r="B136" s="2"/>
      <c r="C136" s="2"/>
      <c r="D136" s="2"/>
      <c r="E136" s="2"/>
      <c r="F136" s="2"/>
      <c r="G136" s="2"/>
      <c r="H136" s="2"/>
      <c r="I136" s="2"/>
      <c r="J136" s="2"/>
      <c r="K136" s="2"/>
      <c r="L136" s="2"/>
      <c r="M136" s="2"/>
      <c r="N136" s="2"/>
      <c r="O136" s="2"/>
      <c r="P136" s="2"/>
      <c r="Q136" s="2"/>
      <c r="R136" s="2"/>
      <c r="S136" s="2"/>
      <c r="T136" s="473">
        <v>1</v>
      </c>
      <c r="U136" s="473">
        <v>1</v>
      </c>
      <c r="V136" s="2"/>
      <c r="W136" s="473">
        <v>1</v>
      </c>
      <c r="X136" s="473">
        <v>1</v>
      </c>
      <c r="Y136" s="2"/>
      <c r="Z136" s="2"/>
      <c r="AA136" s="2"/>
      <c r="AB136" s="4"/>
      <c r="AC136" s="2"/>
      <c r="AD136" s="2"/>
      <c r="AE136" s="4"/>
      <c r="AF136" s="2"/>
      <c r="AG136" s="2"/>
      <c r="AH136" s="4"/>
      <c r="AI136" s="2"/>
      <c r="AJ136" s="2"/>
      <c r="AK136" s="2"/>
      <c r="AL136" s="2"/>
      <c r="AM136" s="2"/>
      <c r="AN136" s="2"/>
      <c r="AO136" s="2"/>
      <c r="AP136" s="2"/>
      <c r="AQ136" s="2"/>
      <c r="AS136"/>
      <c r="AT136"/>
      <c r="AV136"/>
      <c r="AW136"/>
      <c r="AY136"/>
      <c r="AZ136"/>
      <c r="BB136"/>
      <c r="BC136"/>
      <c r="BE136"/>
      <c r="BF136"/>
      <c r="BH136"/>
      <c r="BI136"/>
      <c r="BK136" s="473" t="s">
        <v>856</v>
      </c>
      <c r="BL136" s="473"/>
      <c r="BN136" s="473" t="s">
        <v>856</v>
      </c>
      <c r="BO136" s="473"/>
      <c r="BQ136"/>
      <c r="BR136"/>
      <c r="BT136"/>
      <c r="BU136"/>
      <c r="BW136"/>
      <c r="BX136"/>
      <c r="BY136"/>
      <c r="BZ136"/>
      <c r="CA136"/>
      <c r="CB136"/>
      <c r="CC136"/>
      <c r="CD136"/>
      <c r="CE136"/>
      <c r="CG136"/>
      <c r="CH136"/>
      <c r="CJ136"/>
      <c r="CK136"/>
      <c r="CM136"/>
      <c r="CN136"/>
      <c r="CP136"/>
      <c r="CQ136"/>
      <c r="CS136"/>
      <c r="CT136"/>
      <c r="CV136" s="473" t="s">
        <v>856</v>
      </c>
      <c r="CW136" s="473"/>
      <c r="CY136" s="473" t="s">
        <v>856</v>
      </c>
      <c r="CZ136" s="473"/>
      <c r="DB136"/>
      <c r="DC136"/>
      <c r="DE136"/>
      <c r="DF136"/>
      <c r="DH136"/>
      <c r="DI136"/>
      <c r="DK136"/>
      <c r="DL136"/>
      <c r="DM136" s="5">
        <v>1</v>
      </c>
    </row>
    <row r="137" spans="2:117" s="1" customFormat="1" ht="18" customHeight="1">
      <c r="B137" s="2"/>
      <c r="C137" s="2"/>
      <c r="D137" s="2"/>
      <c r="E137" s="2"/>
      <c r="F137" s="2"/>
      <c r="G137" s="2"/>
      <c r="H137" s="2"/>
      <c r="I137" s="2"/>
      <c r="J137" s="2"/>
      <c r="K137" s="2"/>
      <c r="L137" s="2"/>
      <c r="M137" s="2"/>
      <c r="N137" s="2"/>
      <c r="O137" s="2"/>
      <c r="P137" s="2"/>
      <c r="Q137" s="2"/>
      <c r="R137" s="2"/>
      <c r="S137" s="2"/>
      <c r="T137" s="7181" t="s">
        <v>8329</v>
      </c>
      <c r="U137" s="7181"/>
      <c r="V137" s="2"/>
      <c r="W137" s="7183" t="s">
        <v>8330</v>
      </c>
      <c r="X137" s="7183"/>
      <c r="Y137" s="2"/>
      <c r="Z137" s="2"/>
      <c r="AA137" s="2"/>
      <c r="AB137" s="4"/>
      <c r="AC137" s="2"/>
      <c r="AD137" s="2"/>
      <c r="AE137" s="4"/>
      <c r="AF137" s="2"/>
      <c r="AG137" s="2"/>
      <c r="AH137" s="4"/>
      <c r="AI137" s="2"/>
      <c r="AJ137" s="2"/>
      <c r="AK137" s="2"/>
      <c r="AL137" s="2"/>
      <c r="AM137" s="2"/>
      <c r="AN137" s="2"/>
      <c r="AO137" s="2"/>
      <c r="AP137" s="2"/>
      <c r="AQ137" s="2"/>
      <c r="AS137"/>
      <c r="AT137"/>
      <c r="AV137"/>
      <c r="AW137"/>
      <c r="AY137"/>
      <c r="AZ137"/>
      <c r="BB137"/>
      <c r="BC137"/>
      <c r="BE137"/>
      <c r="BF137"/>
      <c r="BH137"/>
      <c r="BI137"/>
      <c r="BK137" s="7181" t="s">
        <v>10390</v>
      </c>
      <c r="BL137" s="7181"/>
      <c r="BN137" s="7183" t="s">
        <v>10474</v>
      </c>
      <c r="BO137" s="7183"/>
      <c r="BQ137"/>
      <c r="BR137"/>
      <c r="BT137"/>
      <c r="BU137"/>
      <c r="BW137"/>
      <c r="BX137"/>
      <c r="BY137"/>
      <c r="BZ137"/>
      <c r="CA137"/>
      <c r="CB137"/>
      <c r="CC137"/>
      <c r="CD137"/>
      <c r="CE137"/>
      <c r="CG137"/>
      <c r="CH137"/>
      <c r="CJ137"/>
      <c r="CK137"/>
      <c r="CM137"/>
      <c r="CN137"/>
      <c r="CP137"/>
      <c r="CQ137"/>
      <c r="CS137"/>
      <c r="CT137"/>
      <c r="CV137" s="7181" t="s">
        <v>10432</v>
      </c>
      <c r="CW137" s="7181"/>
      <c r="CY137" s="7183" t="s">
        <v>10525</v>
      </c>
      <c r="CZ137" s="7183"/>
      <c r="DB137"/>
      <c r="DC137"/>
      <c r="DE137"/>
      <c r="DF137"/>
      <c r="DH137"/>
      <c r="DI137"/>
      <c r="DK137"/>
      <c r="DL137"/>
      <c r="DM137" s="5">
        <v>1</v>
      </c>
    </row>
    <row r="138" spans="2:117" s="1" customFormat="1" ht="18" customHeight="1">
      <c r="B138" s="2"/>
      <c r="C138" s="2"/>
      <c r="D138" s="2"/>
      <c r="E138" s="2"/>
      <c r="F138" s="2"/>
      <c r="G138" s="2"/>
      <c r="H138" s="2"/>
      <c r="I138" s="2"/>
      <c r="J138" s="2"/>
      <c r="K138" s="2"/>
      <c r="L138" s="2"/>
      <c r="M138" s="2"/>
      <c r="N138" s="2"/>
      <c r="O138" s="2"/>
      <c r="P138" s="2"/>
      <c r="Q138" s="2"/>
      <c r="R138" s="2"/>
      <c r="S138" s="2"/>
      <c r="T138" s="7182"/>
      <c r="U138" s="7182"/>
      <c r="V138" s="2"/>
      <c r="W138" s="7184"/>
      <c r="X138" s="7184"/>
      <c r="Y138" s="2"/>
      <c r="Z138" s="2"/>
      <c r="AA138" s="2"/>
      <c r="AB138" s="4"/>
      <c r="AC138" s="2"/>
      <c r="AD138" s="2"/>
      <c r="AE138" s="4"/>
      <c r="AF138" s="2"/>
      <c r="AG138" s="2"/>
      <c r="AH138" s="4"/>
      <c r="AI138" s="2"/>
      <c r="AJ138" s="2"/>
      <c r="AK138" s="2"/>
      <c r="AL138" s="2"/>
      <c r="AM138" s="2"/>
      <c r="AN138" s="2"/>
      <c r="AO138" s="2"/>
      <c r="AP138" s="2"/>
      <c r="AQ138" s="2"/>
      <c r="AS138"/>
      <c r="AT138"/>
      <c r="AV138"/>
      <c r="AW138"/>
      <c r="AY138"/>
      <c r="AZ138"/>
      <c r="BB138"/>
      <c r="BC138"/>
      <c r="BE138"/>
      <c r="BF138"/>
      <c r="BH138"/>
      <c r="BI138"/>
      <c r="BK138" s="7182" t="s">
        <v>856</v>
      </c>
      <c r="BL138" s="7182"/>
      <c r="BN138" s="7184" t="s">
        <v>856</v>
      </c>
      <c r="BO138" s="7184"/>
      <c r="BQ138"/>
      <c r="BR138"/>
      <c r="BT138"/>
      <c r="BU138"/>
      <c r="BW138"/>
      <c r="BX138"/>
      <c r="BY138"/>
      <c r="BZ138"/>
      <c r="CA138"/>
      <c r="CB138"/>
      <c r="CC138"/>
      <c r="CD138"/>
      <c r="CE138"/>
      <c r="CG138"/>
      <c r="CH138"/>
      <c r="CJ138"/>
      <c r="CK138"/>
      <c r="CM138"/>
      <c r="CN138"/>
      <c r="CP138"/>
      <c r="CQ138"/>
      <c r="CS138"/>
      <c r="CT138"/>
      <c r="CV138" s="7182" t="s">
        <v>856</v>
      </c>
      <c r="CW138" s="7182"/>
      <c r="CY138" s="7184" t="s">
        <v>856</v>
      </c>
      <c r="CZ138" s="7184"/>
      <c r="DB138"/>
      <c r="DC138"/>
      <c r="DE138"/>
      <c r="DF138"/>
      <c r="DH138"/>
      <c r="DI138"/>
      <c r="DK138"/>
      <c r="DL138"/>
      <c r="DM138" s="5">
        <v>1</v>
      </c>
    </row>
    <row r="139" spans="2:117" s="1" customFormat="1" ht="18" customHeight="1" thickBot="1">
      <c r="B139" s="2"/>
      <c r="C139" s="2"/>
      <c r="D139" s="2"/>
      <c r="E139" s="2"/>
      <c r="F139" s="2"/>
      <c r="G139" s="2"/>
      <c r="H139" s="2"/>
      <c r="I139" s="2"/>
      <c r="J139" s="2"/>
      <c r="K139" s="2"/>
      <c r="L139" s="2"/>
      <c r="M139" s="2"/>
      <c r="N139" s="2"/>
      <c r="O139" s="2"/>
      <c r="P139" s="2"/>
      <c r="Q139" s="2"/>
      <c r="R139" s="2"/>
      <c r="S139" s="2"/>
      <c r="T139" s="473">
        <v>1</v>
      </c>
      <c r="U139" s="473">
        <v>1</v>
      </c>
      <c r="V139" s="2"/>
      <c r="W139" s="473">
        <v>1</v>
      </c>
      <c r="X139" s="473">
        <v>1</v>
      </c>
      <c r="Y139" s="2"/>
      <c r="Z139" s="2"/>
      <c r="AA139" s="2"/>
      <c r="AB139" s="4"/>
      <c r="AC139" s="2"/>
      <c r="AD139" s="2"/>
      <c r="AE139" s="4"/>
      <c r="AF139" s="2"/>
      <c r="AG139" s="2"/>
      <c r="AH139" s="4"/>
      <c r="AI139" s="2"/>
      <c r="AJ139" s="2"/>
      <c r="AK139" s="2"/>
      <c r="AL139" s="2"/>
      <c r="AM139" s="2"/>
      <c r="AN139" s="2"/>
      <c r="AO139" s="2"/>
      <c r="AP139" s="2"/>
      <c r="AQ139" s="2"/>
      <c r="AS139"/>
      <c r="AT139"/>
      <c r="AV139"/>
      <c r="AW139"/>
      <c r="AY139"/>
      <c r="AZ139"/>
      <c r="BB139"/>
      <c r="BC139"/>
      <c r="BE139"/>
      <c r="BF139"/>
      <c r="BH139"/>
      <c r="BI139"/>
      <c r="BK139" s="473" t="s">
        <v>856</v>
      </c>
      <c r="BL139" s="473"/>
      <c r="BN139" s="473" t="s">
        <v>856</v>
      </c>
      <c r="BO139" s="473"/>
      <c r="BQ139"/>
      <c r="BR139"/>
      <c r="BT139"/>
      <c r="BU139"/>
      <c r="BW139"/>
      <c r="BX139"/>
      <c r="BY139"/>
      <c r="BZ139"/>
      <c r="CA139"/>
      <c r="CB139"/>
      <c r="CC139"/>
      <c r="CD139"/>
      <c r="CE139"/>
      <c r="CG139"/>
      <c r="CH139"/>
      <c r="CJ139"/>
      <c r="CK139"/>
      <c r="CM139"/>
      <c r="CN139"/>
      <c r="CP139"/>
      <c r="CQ139"/>
      <c r="CS139"/>
      <c r="CT139"/>
      <c r="CV139" t="s">
        <v>856</v>
      </c>
      <c r="CW139"/>
      <c r="CY139" s="473" t="s">
        <v>856</v>
      </c>
      <c r="CZ139" s="473"/>
      <c r="DB139"/>
      <c r="DC139"/>
      <c r="DE139"/>
      <c r="DF139"/>
      <c r="DH139"/>
      <c r="DI139"/>
      <c r="DK139"/>
      <c r="DL139"/>
      <c r="DM139" s="5">
        <v>1</v>
      </c>
    </row>
    <row r="140" spans="2:117" s="1" customFormat="1" ht="18" customHeight="1">
      <c r="B140" s="2"/>
      <c r="C140" s="2"/>
      <c r="D140" s="2"/>
      <c r="E140" s="2"/>
      <c r="F140" s="2"/>
      <c r="G140" s="2"/>
      <c r="H140" s="2"/>
      <c r="I140" s="2"/>
      <c r="J140" s="2"/>
      <c r="K140" s="2"/>
      <c r="L140" s="2"/>
      <c r="M140" s="2"/>
      <c r="N140" s="2"/>
      <c r="O140" s="2"/>
      <c r="P140" s="2"/>
      <c r="Q140" s="2"/>
      <c r="R140" s="2"/>
      <c r="S140" s="2"/>
      <c r="T140" s="7181" t="s">
        <v>8331</v>
      </c>
      <c r="U140" s="7181"/>
      <c r="V140" s="2"/>
      <c r="W140" s="7183" t="s">
        <v>8332</v>
      </c>
      <c r="X140" s="7183"/>
      <c r="Y140" s="2"/>
      <c r="Z140" s="2"/>
      <c r="AA140" s="2"/>
      <c r="AB140" s="4"/>
      <c r="AC140" s="2"/>
      <c r="AD140" s="2"/>
      <c r="AE140" s="4"/>
      <c r="AF140" s="2"/>
      <c r="AG140" s="2"/>
      <c r="AH140" s="4"/>
      <c r="AI140" s="2"/>
      <c r="AJ140" s="2"/>
      <c r="AK140" s="2"/>
      <c r="AL140" s="2"/>
      <c r="AM140" s="2"/>
      <c r="AN140" s="2"/>
      <c r="AO140" s="2"/>
      <c r="AP140" s="2"/>
      <c r="AQ140" s="2"/>
      <c r="AS140"/>
      <c r="AT140"/>
      <c r="AV140"/>
      <c r="AW140"/>
      <c r="AY140"/>
      <c r="AZ140"/>
      <c r="BB140"/>
      <c r="BC140"/>
      <c r="BE140"/>
      <c r="BF140"/>
      <c r="BH140"/>
      <c r="BI140"/>
      <c r="BK140" s="7181" t="s">
        <v>10391</v>
      </c>
      <c r="BL140" s="7181"/>
      <c r="BN140" s="7183" t="s">
        <v>10475</v>
      </c>
      <c r="BO140" s="7183"/>
      <c r="BQ140"/>
      <c r="BR140"/>
      <c r="BT140"/>
      <c r="BU140"/>
      <c r="BW140"/>
      <c r="BX140"/>
      <c r="BY140"/>
      <c r="BZ140"/>
      <c r="CA140"/>
      <c r="CB140"/>
      <c r="CC140"/>
      <c r="CD140"/>
      <c r="CE140"/>
      <c r="CG140"/>
      <c r="CH140"/>
      <c r="CJ140"/>
      <c r="CK140"/>
      <c r="CM140"/>
      <c r="CN140"/>
      <c r="CP140"/>
      <c r="CQ140"/>
      <c r="CS140"/>
      <c r="CT140"/>
      <c r="CV140" s="7181" t="s">
        <v>10433</v>
      </c>
      <c r="CW140" s="7181"/>
      <c r="CY140" s="7183" t="s">
        <v>10526</v>
      </c>
      <c r="CZ140" s="7183"/>
      <c r="DB140"/>
      <c r="DC140"/>
      <c r="DE140"/>
      <c r="DF140"/>
      <c r="DH140"/>
      <c r="DI140"/>
      <c r="DK140"/>
      <c r="DL140"/>
      <c r="DM140" s="5">
        <v>1</v>
      </c>
    </row>
    <row r="141" spans="2:117" s="1" customFormat="1" ht="18" customHeight="1">
      <c r="B141" s="2"/>
      <c r="C141" s="2"/>
      <c r="D141" s="2"/>
      <c r="E141" s="2"/>
      <c r="F141" s="2"/>
      <c r="G141" s="2"/>
      <c r="H141" s="2"/>
      <c r="I141" s="2"/>
      <c r="J141" s="2"/>
      <c r="K141" s="2"/>
      <c r="L141" s="2"/>
      <c r="M141" s="2"/>
      <c r="N141" s="2"/>
      <c r="O141" s="2"/>
      <c r="P141" s="2"/>
      <c r="Q141" s="2"/>
      <c r="R141" s="2"/>
      <c r="S141" s="2"/>
      <c r="T141" s="7182"/>
      <c r="U141" s="7182"/>
      <c r="V141" s="2"/>
      <c r="W141" s="7184"/>
      <c r="X141" s="7184"/>
      <c r="Y141" s="2"/>
      <c r="Z141" s="2"/>
      <c r="AA141" s="2"/>
      <c r="AB141" s="4"/>
      <c r="AC141" s="2"/>
      <c r="AD141" s="2"/>
      <c r="AE141" s="4"/>
      <c r="AF141" s="2"/>
      <c r="AG141" s="2"/>
      <c r="AH141" s="4"/>
      <c r="AI141" s="2"/>
      <c r="AJ141" s="2"/>
      <c r="AK141" s="2"/>
      <c r="AL141" s="2"/>
      <c r="AM141" s="2"/>
      <c r="AN141" s="2"/>
      <c r="AO141" s="2"/>
      <c r="AP141" s="2"/>
      <c r="AQ141" s="2"/>
      <c r="AS141"/>
      <c r="AT141"/>
      <c r="AV141"/>
      <c r="AW141"/>
      <c r="AY141"/>
      <c r="AZ141"/>
      <c r="BB141"/>
      <c r="BC141"/>
      <c r="BE141"/>
      <c r="BF141"/>
      <c r="BH141"/>
      <c r="BI141"/>
      <c r="BK141" s="7182" t="s">
        <v>856</v>
      </c>
      <c r="BL141" s="7182"/>
      <c r="BN141" s="7184" t="s">
        <v>856</v>
      </c>
      <c r="BO141" s="7184"/>
      <c r="BQ141"/>
      <c r="BR141"/>
      <c r="BT141"/>
      <c r="BU141"/>
      <c r="BW141"/>
      <c r="BX141"/>
      <c r="BY141"/>
      <c r="BZ141"/>
      <c r="CA141"/>
      <c r="CB141"/>
      <c r="CC141"/>
      <c r="CD141"/>
      <c r="CE141"/>
      <c r="CG141"/>
      <c r="CH141"/>
      <c r="CJ141"/>
      <c r="CK141"/>
      <c r="CM141"/>
      <c r="CN141"/>
      <c r="CP141"/>
      <c r="CQ141"/>
      <c r="CS141"/>
      <c r="CT141"/>
      <c r="CV141" s="7182" t="s">
        <v>856</v>
      </c>
      <c r="CW141" s="7182"/>
      <c r="CY141" s="7184" t="s">
        <v>856</v>
      </c>
      <c r="CZ141" s="7184"/>
      <c r="DB141"/>
      <c r="DC141"/>
      <c r="DE141"/>
      <c r="DF141"/>
      <c r="DH141"/>
      <c r="DI141"/>
      <c r="DK141"/>
      <c r="DL141"/>
      <c r="DM141" s="5">
        <v>1</v>
      </c>
    </row>
    <row r="142" spans="2:117" s="1" customFormat="1" ht="18" customHeight="1" thickBot="1">
      <c r="B142" s="2"/>
      <c r="C142" s="2"/>
      <c r="D142" s="2"/>
      <c r="E142" s="2"/>
      <c r="F142" s="2"/>
      <c r="G142" s="2"/>
      <c r="H142" s="2"/>
      <c r="I142" s="2"/>
      <c r="J142" s="2"/>
      <c r="K142" s="2"/>
      <c r="L142" s="2"/>
      <c r="M142" s="2"/>
      <c r="N142" s="2"/>
      <c r="O142" s="2"/>
      <c r="P142" s="2"/>
      <c r="Q142" s="2"/>
      <c r="R142" s="2"/>
      <c r="S142" s="2"/>
      <c r="T142" s="473">
        <v>1</v>
      </c>
      <c r="U142" s="473">
        <v>1</v>
      </c>
      <c r="V142" s="2"/>
      <c r="W142" s="473">
        <v>1</v>
      </c>
      <c r="X142" s="473">
        <v>1</v>
      </c>
      <c r="Y142" s="2"/>
      <c r="Z142" s="2"/>
      <c r="AA142" s="2"/>
      <c r="AB142" s="4"/>
      <c r="AC142" s="2"/>
      <c r="AD142" s="2"/>
      <c r="AE142" s="4"/>
      <c r="AF142" s="2"/>
      <c r="AG142" s="2"/>
      <c r="AH142" s="4"/>
      <c r="AI142" s="2"/>
      <c r="AJ142" s="2"/>
      <c r="AK142" s="2"/>
      <c r="AL142" s="2"/>
      <c r="AM142" s="2"/>
      <c r="AN142" s="2"/>
      <c r="AO142" s="2"/>
      <c r="AP142" s="2"/>
      <c r="AQ142" s="2"/>
      <c r="AS142"/>
      <c r="AT142"/>
      <c r="AV142"/>
      <c r="AW142"/>
      <c r="AY142"/>
      <c r="AZ142"/>
      <c r="BB142"/>
      <c r="BC142"/>
      <c r="BE142"/>
      <c r="BF142"/>
      <c r="BH142"/>
      <c r="BI142"/>
      <c r="BK142" s="473" t="s">
        <v>856</v>
      </c>
      <c r="BL142" s="473"/>
      <c r="BN142" s="473" t="s">
        <v>856</v>
      </c>
      <c r="BO142" s="473"/>
      <c r="BQ142"/>
      <c r="BR142"/>
      <c r="BT142"/>
      <c r="BU142"/>
      <c r="BW142"/>
      <c r="BX142"/>
      <c r="BY142"/>
      <c r="BZ142"/>
      <c r="CA142"/>
      <c r="CB142"/>
      <c r="CC142"/>
      <c r="CD142"/>
      <c r="CE142"/>
      <c r="CG142"/>
      <c r="CH142"/>
      <c r="CJ142"/>
      <c r="CK142"/>
      <c r="CM142"/>
      <c r="CN142"/>
      <c r="CP142"/>
      <c r="CQ142"/>
      <c r="CS142"/>
      <c r="CT142"/>
      <c r="CV142" t="s">
        <v>856</v>
      </c>
      <c r="CW142"/>
      <c r="CY142" s="473" t="s">
        <v>856</v>
      </c>
      <c r="CZ142" s="473"/>
      <c r="DB142"/>
      <c r="DC142"/>
      <c r="DE142"/>
      <c r="DF142"/>
      <c r="DH142"/>
      <c r="DI142"/>
      <c r="DK142"/>
      <c r="DL142"/>
      <c r="DM142" s="5">
        <v>1</v>
      </c>
    </row>
    <row r="143" spans="2:117" s="1" customFormat="1" ht="18" customHeight="1">
      <c r="B143" s="2"/>
      <c r="C143" s="2"/>
      <c r="D143" s="2"/>
      <c r="E143" s="2"/>
      <c r="F143" s="2"/>
      <c r="G143" s="2"/>
      <c r="H143" s="2"/>
      <c r="I143" s="2"/>
      <c r="J143" s="2"/>
      <c r="K143" s="2"/>
      <c r="L143" s="2"/>
      <c r="M143" s="2"/>
      <c r="N143" s="2"/>
      <c r="O143" s="2"/>
      <c r="P143" s="2"/>
      <c r="Q143" s="2"/>
      <c r="R143" s="2"/>
      <c r="S143" s="2"/>
      <c r="T143" s="7181" t="s">
        <v>8333</v>
      </c>
      <c r="U143" s="7181"/>
      <c r="V143" s="2"/>
      <c r="W143" s="7183" t="s">
        <v>8334</v>
      </c>
      <c r="X143" s="7183"/>
      <c r="Y143" s="2"/>
      <c r="Z143" s="2"/>
      <c r="AA143" s="2"/>
      <c r="AB143" s="4"/>
      <c r="AC143" s="2"/>
      <c r="AD143" s="2"/>
      <c r="AE143" s="4"/>
      <c r="AF143" s="2"/>
      <c r="AG143" s="2"/>
      <c r="AH143" s="4"/>
      <c r="AI143" s="2"/>
      <c r="AJ143" s="2"/>
      <c r="AK143" s="2"/>
      <c r="AL143" s="2"/>
      <c r="AM143" s="2"/>
      <c r="AN143" s="2"/>
      <c r="AO143" s="2"/>
      <c r="AP143" s="2"/>
      <c r="AQ143" s="2"/>
      <c r="AS143"/>
      <c r="AT143"/>
      <c r="AV143"/>
      <c r="AW143"/>
      <c r="AY143"/>
      <c r="AZ143"/>
      <c r="BB143"/>
      <c r="BC143"/>
      <c r="BE143"/>
      <c r="BF143"/>
      <c r="BH143"/>
      <c r="BI143"/>
      <c r="BK143" s="7181" t="s">
        <v>10392</v>
      </c>
      <c r="BL143" s="7181"/>
      <c r="BN143" s="7183" t="s">
        <v>10476</v>
      </c>
      <c r="BO143" s="7183"/>
      <c r="BQ143"/>
      <c r="BR143"/>
      <c r="BT143"/>
      <c r="BU143"/>
      <c r="BW143"/>
      <c r="BX143"/>
      <c r="BY143"/>
      <c r="BZ143"/>
      <c r="CA143"/>
      <c r="CB143"/>
      <c r="CC143"/>
      <c r="CD143"/>
      <c r="CE143"/>
      <c r="CG143"/>
      <c r="CH143"/>
      <c r="CJ143"/>
      <c r="CK143"/>
      <c r="CM143"/>
      <c r="CN143"/>
      <c r="CP143"/>
      <c r="CQ143"/>
      <c r="CS143"/>
      <c r="CT143"/>
      <c r="CV143" s="7181" t="s">
        <v>10434</v>
      </c>
      <c r="CW143" s="7181"/>
      <c r="CY143" s="7183" t="s">
        <v>10527</v>
      </c>
      <c r="CZ143" s="7183"/>
      <c r="DB143"/>
      <c r="DC143"/>
      <c r="DE143"/>
      <c r="DF143"/>
      <c r="DH143"/>
      <c r="DI143"/>
      <c r="DK143"/>
      <c r="DL143"/>
      <c r="DM143" s="5">
        <v>1</v>
      </c>
    </row>
    <row r="144" spans="2:117" s="1" customFormat="1" ht="18" customHeight="1">
      <c r="B144" s="2"/>
      <c r="C144" s="2"/>
      <c r="D144" s="2"/>
      <c r="E144" s="2"/>
      <c r="F144" s="2"/>
      <c r="G144" s="2"/>
      <c r="H144" s="2"/>
      <c r="I144" s="2"/>
      <c r="J144" s="2"/>
      <c r="K144" s="2"/>
      <c r="L144" s="2"/>
      <c r="M144" s="2"/>
      <c r="N144" s="2"/>
      <c r="O144" s="2"/>
      <c r="P144" s="2"/>
      <c r="Q144" s="2"/>
      <c r="R144" s="2"/>
      <c r="S144" s="2"/>
      <c r="T144" s="7182"/>
      <c r="U144" s="7182"/>
      <c r="V144" s="2"/>
      <c r="W144" s="7184"/>
      <c r="X144" s="7184"/>
      <c r="Y144" s="2"/>
      <c r="Z144" s="2"/>
      <c r="AA144" s="2"/>
      <c r="AB144" s="4"/>
      <c r="AC144" s="2"/>
      <c r="AD144" s="2"/>
      <c r="AE144" s="4"/>
      <c r="AF144" s="2"/>
      <c r="AG144" s="2"/>
      <c r="AH144" s="4"/>
      <c r="AI144" s="2"/>
      <c r="AJ144" s="2"/>
      <c r="AK144" s="2"/>
      <c r="AL144" s="2"/>
      <c r="AM144" s="2"/>
      <c r="AN144" s="2"/>
      <c r="AO144" s="2"/>
      <c r="AP144" s="2"/>
      <c r="AQ144" s="2"/>
      <c r="AS144"/>
      <c r="AT144"/>
      <c r="AV144"/>
      <c r="AW144"/>
      <c r="AY144"/>
      <c r="AZ144"/>
      <c r="BB144"/>
      <c r="BC144"/>
      <c r="BE144"/>
      <c r="BF144"/>
      <c r="BH144"/>
      <c r="BI144"/>
      <c r="BK144" s="7182" t="s">
        <v>856</v>
      </c>
      <c r="BL144" s="7182"/>
      <c r="BN144" s="7184" t="s">
        <v>856</v>
      </c>
      <c r="BO144" s="7184"/>
      <c r="BQ144"/>
      <c r="BR144"/>
      <c r="BT144"/>
      <c r="BU144"/>
      <c r="BW144"/>
      <c r="BX144"/>
      <c r="BY144"/>
      <c r="BZ144"/>
      <c r="CA144"/>
      <c r="CB144"/>
      <c r="CC144"/>
      <c r="CD144"/>
      <c r="CE144"/>
      <c r="CG144"/>
      <c r="CH144"/>
      <c r="CJ144"/>
      <c r="CK144"/>
      <c r="CM144"/>
      <c r="CN144"/>
      <c r="CP144"/>
      <c r="CQ144"/>
      <c r="CS144"/>
      <c r="CT144"/>
      <c r="CV144" s="7182" t="s">
        <v>856</v>
      </c>
      <c r="CW144" s="7182"/>
      <c r="CY144" s="7184" t="s">
        <v>856</v>
      </c>
      <c r="CZ144" s="7184"/>
      <c r="DB144"/>
      <c r="DC144"/>
      <c r="DE144"/>
      <c r="DF144"/>
      <c r="DH144"/>
      <c r="DI144"/>
      <c r="DK144"/>
      <c r="DL144"/>
      <c r="DM144" s="5">
        <v>1</v>
      </c>
    </row>
    <row r="145" spans="2:117" s="1" customFormat="1" ht="18" customHeight="1" thickBot="1">
      <c r="B145" s="2"/>
      <c r="C145" s="2"/>
      <c r="D145" s="2"/>
      <c r="E145" s="2"/>
      <c r="F145" s="2"/>
      <c r="G145" s="2"/>
      <c r="H145" s="2"/>
      <c r="I145" s="2"/>
      <c r="J145" s="2"/>
      <c r="K145" s="2"/>
      <c r="L145" s="2"/>
      <c r="M145" s="2"/>
      <c r="N145" s="2"/>
      <c r="O145" s="2"/>
      <c r="P145" s="2"/>
      <c r="Q145" s="2"/>
      <c r="R145" s="2"/>
      <c r="S145" s="2"/>
      <c r="T145" s="2"/>
      <c r="U145" s="2"/>
      <c r="V145" s="2"/>
      <c r="W145" s="473">
        <v>1</v>
      </c>
      <c r="X145" s="473">
        <v>1</v>
      </c>
      <c r="Y145" s="2"/>
      <c r="Z145" s="2"/>
      <c r="AA145" s="2"/>
      <c r="AB145" s="4"/>
      <c r="AC145" s="2"/>
      <c r="AD145" s="2"/>
      <c r="AE145" s="4"/>
      <c r="AF145" s="2"/>
      <c r="AG145" s="2"/>
      <c r="AH145" s="4"/>
      <c r="AI145" s="2"/>
      <c r="AJ145" s="2"/>
      <c r="AK145" s="2"/>
      <c r="AL145" s="2"/>
      <c r="AM145" s="2"/>
      <c r="AN145" s="2"/>
      <c r="AO145" s="2"/>
      <c r="AP145" s="2"/>
      <c r="AQ145" s="2"/>
      <c r="AS145"/>
      <c r="AT145"/>
      <c r="AV145"/>
      <c r="AW145"/>
      <c r="AY145"/>
      <c r="AZ145"/>
      <c r="BB145"/>
      <c r="BC145"/>
      <c r="BE145"/>
      <c r="BF145"/>
      <c r="BH145"/>
      <c r="BI145"/>
      <c r="BK145" t="s">
        <v>856</v>
      </c>
      <c r="BL145"/>
      <c r="BN145" s="473" t="s">
        <v>856</v>
      </c>
      <c r="BO145" s="473"/>
      <c r="BQ145"/>
      <c r="BR145"/>
      <c r="BT145"/>
      <c r="BU145"/>
      <c r="BW145"/>
      <c r="BX145"/>
      <c r="BY145"/>
      <c r="BZ145"/>
      <c r="CA145"/>
      <c r="CB145"/>
      <c r="CC145"/>
      <c r="CD145"/>
      <c r="CE145"/>
      <c r="CG145"/>
      <c r="CH145"/>
      <c r="CJ145"/>
      <c r="CK145"/>
      <c r="CM145"/>
      <c r="CN145"/>
      <c r="CP145"/>
      <c r="CQ145"/>
      <c r="CS145"/>
      <c r="CT145"/>
      <c r="CV145" t="s">
        <v>856</v>
      </c>
      <c r="CW145"/>
      <c r="CY145" s="473" t="s">
        <v>856</v>
      </c>
      <c r="CZ145" s="473"/>
      <c r="DB145"/>
      <c r="DC145"/>
      <c r="DE145"/>
      <c r="DF145"/>
      <c r="DH145"/>
      <c r="DI145"/>
      <c r="DK145"/>
      <c r="DL145"/>
      <c r="DM145" s="5">
        <v>1</v>
      </c>
    </row>
    <row r="146" spans="2:117" s="1" customFormat="1" ht="18" customHeight="1">
      <c r="B146" s="2"/>
      <c r="C146" s="2"/>
      <c r="D146" s="2"/>
      <c r="E146" s="2"/>
      <c r="F146" s="2"/>
      <c r="G146" s="2"/>
      <c r="H146" s="2"/>
      <c r="I146" s="2"/>
      <c r="J146" s="2"/>
      <c r="K146" s="2"/>
      <c r="L146" s="2"/>
      <c r="M146" s="2"/>
      <c r="N146" s="2"/>
      <c r="O146" s="2"/>
      <c r="P146" s="2"/>
      <c r="Q146" s="2"/>
      <c r="R146" s="2"/>
      <c r="S146" s="2"/>
      <c r="T146" s="7181"/>
      <c r="U146" s="7181"/>
      <c r="V146" s="2"/>
      <c r="W146" s="7183" t="s">
        <v>8335</v>
      </c>
      <c r="X146" s="7183"/>
      <c r="Y146" s="2"/>
      <c r="Z146" s="2"/>
      <c r="AA146" s="2"/>
      <c r="AB146" s="4"/>
      <c r="AC146" s="2"/>
      <c r="AD146" s="2"/>
      <c r="AE146" s="4"/>
      <c r="AF146" s="2"/>
      <c r="AG146" s="2"/>
      <c r="AH146" s="4"/>
      <c r="AI146" s="2"/>
      <c r="AJ146" s="2"/>
      <c r="AK146" s="2"/>
      <c r="AL146" s="2"/>
      <c r="AM146" s="2"/>
      <c r="AN146" s="2"/>
      <c r="AO146" s="2"/>
      <c r="AP146" s="2"/>
      <c r="AQ146" s="2"/>
      <c r="AS146"/>
      <c r="AT146"/>
      <c r="AV146"/>
      <c r="AW146"/>
      <c r="AY146"/>
      <c r="AZ146"/>
      <c r="BB146"/>
      <c r="BC146"/>
      <c r="BE146"/>
      <c r="BF146"/>
      <c r="BH146"/>
      <c r="BI146"/>
      <c r="BK146" s="7181" t="s">
        <v>10393</v>
      </c>
      <c r="BL146" s="7181"/>
      <c r="BN146" s="7183" t="s">
        <v>10477</v>
      </c>
      <c r="BO146" s="7183"/>
      <c r="BQ146"/>
      <c r="BR146"/>
      <c r="BT146"/>
      <c r="BU146"/>
      <c r="BW146"/>
      <c r="BX146"/>
      <c r="BY146"/>
      <c r="BZ146"/>
      <c r="CA146"/>
      <c r="CB146"/>
      <c r="CC146"/>
      <c r="CD146"/>
      <c r="CE146"/>
      <c r="CG146"/>
      <c r="CH146"/>
      <c r="CJ146"/>
      <c r="CK146"/>
      <c r="CM146"/>
      <c r="CN146"/>
      <c r="CP146"/>
      <c r="CQ146"/>
      <c r="CS146"/>
      <c r="CT146"/>
      <c r="CV146" s="7181" t="s">
        <v>10435</v>
      </c>
      <c r="CW146" s="7181"/>
      <c r="CY146" s="7183" t="s">
        <v>10528</v>
      </c>
      <c r="CZ146" s="7183"/>
      <c r="DB146"/>
      <c r="DC146"/>
      <c r="DE146"/>
      <c r="DF146"/>
      <c r="DH146"/>
      <c r="DI146"/>
      <c r="DK146"/>
      <c r="DL146"/>
      <c r="DM146" s="5">
        <v>1</v>
      </c>
    </row>
    <row r="147" spans="2:117" s="1" customFormat="1" ht="18" customHeight="1">
      <c r="B147" s="2"/>
      <c r="C147" s="2"/>
      <c r="D147" s="2"/>
      <c r="E147" s="2"/>
      <c r="F147" s="2"/>
      <c r="G147" s="2"/>
      <c r="H147" s="2"/>
      <c r="I147" s="2"/>
      <c r="J147" s="2"/>
      <c r="K147" s="2"/>
      <c r="L147" s="2"/>
      <c r="M147" s="2"/>
      <c r="N147" s="2"/>
      <c r="O147" s="2"/>
      <c r="P147" s="2"/>
      <c r="Q147" s="2"/>
      <c r="R147" s="2"/>
      <c r="S147" s="2"/>
      <c r="T147" s="7182"/>
      <c r="U147" s="7182"/>
      <c r="V147" s="2"/>
      <c r="W147" s="7184"/>
      <c r="X147" s="7184"/>
      <c r="Y147" s="2"/>
      <c r="Z147" s="2"/>
      <c r="AA147" s="2"/>
      <c r="AB147" s="4"/>
      <c r="AC147" s="2"/>
      <c r="AD147" s="2"/>
      <c r="AE147" s="4"/>
      <c r="AF147" s="2"/>
      <c r="AG147" s="2"/>
      <c r="AH147" s="4"/>
      <c r="AI147" s="2"/>
      <c r="AJ147" s="2"/>
      <c r="AK147" s="2"/>
      <c r="AL147" s="2"/>
      <c r="AM147" s="2"/>
      <c r="AN147" s="2"/>
      <c r="AO147" s="2"/>
      <c r="AP147" s="2"/>
      <c r="AQ147" s="2"/>
      <c r="AS147"/>
      <c r="AT147"/>
      <c r="AV147"/>
      <c r="AW147"/>
      <c r="AY147"/>
      <c r="AZ147"/>
      <c r="BB147"/>
      <c r="BC147"/>
      <c r="BE147"/>
      <c r="BF147"/>
      <c r="BH147"/>
      <c r="BI147"/>
      <c r="BK147" s="7182" t="s">
        <v>856</v>
      </c>
      <c r="BL147" s="7182"/>
      <c r="BN147" s="7184" t="s">
        <v>856</v>
      </c>
      <c r="BO147" s="7184"/>
      <c r="BQ147"/>
      <c r="BR147"/>
      <c r="BT147"/>
      <c r="BU147"/>
      <c r="BW147"/>
      <c r="BX147"/>
      <c r="BY147"/>
      <c r="BZ147"/>
      <c r="CA147"/>
      <c r="CB147"/>
      <c r="CC147"/>
      <c r="CD147"/>
      <c r="CE147"/>
      <c r="CG147"/>
      <c r="CH147"/>
      <c r="CJ147"/>
      <c r="CK147"/>
      <c r="CM147" t="s">
        <v>856</v>
      </c>
      <c r="CN147"/>
      <c r="CP147"/>
      <c r="CQ147"/>
      <c r="CS147" t="s">
        <v>856</v>
      </c>
      <c r="CT147"/>
      <c r="CV147" s="7182" t="s">
        <v>856</v>
      </c>
      <c r="CW147" s="7182"/>
      <c r="CY147" s="7184" t="s">
        <v>856</v>
      </c>
      <c r="CZ147" s="7184"/>
      <c r="DB147"/>
      <c r="DC147"/>
      <c r="DE147"/>
      <c r="DF147"/>
      <c r="DH147"/>
      <c r="DI147"/>
      <c r="DK147"/>
      <c r="DL147"/>
      <c r="DM147" s="5">
        <v>1</v>
      </c>
    </row>
    <row r="148" spans="2:117" s="1" customFormat="1" ht="18" customHeight="1" thickBot="1">
      <c r="B148" s="2"/>
      <c r="C148" s="2"/>
      <c r="D148" s="2"/>
      <c r="E148" s="2"/>
      <c r="F148" s="2"/>
      <c r="G148" s="2"/>
      <c r="H148" s="2"/>
      <c r="I148" s="2"/>
      <c r="J148" s="2"/>
      <c r="K148" s="2"/>
      <c r="L148" s="2"/>
      <c r="M148" s="2"/>
      <c r="N148" s="2"/>
      <c r="O148" s="2"/>
      <c r="P148" s="2"/>
      <c r="Q148" s="2"/>
      <c r="R148" s="2"/>
      <c r="S148" s="2"/>
      <c r="T148" s="2"/>
      <c r="U148" s="2"/>
      <c r="V148" s="2"/>
      <c r="W148" s="473">
        <v>1</v>
      </c>
      <c r="X148" s="473">
        <v>1</v>
      </c>
      <c r="Y148" s="2"/>
      <c r="Z148" s="2"/>
      <c r="AA148" s="2"/>
      <c r="AB148" s="4"/>
      <c r="AC148" s="2"/>
      <c r="AD148" s="2"/>
      <c r="AE148" s="4"/>
      <c r="AF148" s="2"/>
      <c r="AG148" s="2"/>
      <c r="AH148" s="4"/>
      <c r="AI148" s="2"/>
      <c r="AJ148" s="2"/>
      <c r="AK148" s="2"/>
      <c r="AL148" s="2"/>
      <c r="AM148" s="2"/>
      <c r="AN148" s="2"/>
      <c r="AO148" s="2"/>
      <c r="AP148" s="2"/>
      <c r="AQ148" s="2"/>
      <c r="AS148"/>
      <c r="AT148"/>
      <c r="AV148"/>
      <c r="AW148"/>
      <c r="AY148"/>
      <c r="AZ148"/>
      <c r="BB148"/>
      <c r="BC148"/>
      <c r="BE148"/>
      <c r="BF148"/>
      <c r="BH148"/>
      <c r="BI148"/>
      <c r="BL148"/>
      <c r="BN148" s="473" t="s">
        <v>856</v>
      </c>
      <c r="BO148" s="473"/>
      <c r="BQ148"/>
      <c r="BR148"/>
      <c r="BT148"/>
      <c r="BU148"/>
      <c r="BW148"/>
      <c r="BX148"/>
      <c r="BY148"/>
      <c r="BZ148"/>
      <c r="CA148"/>
      <c r="CB148"/>
      <c r="CC148"/>
      <c r="CD148"/>
      <c r="CE148"/>
      <c r="CG148"/>
      <c r="CH148"/>
      <c r="CJ148"/>
      <c r="CK148"/>
      <c r="CM148" t="s">
        <v>856</v>
      </c>
      <c r="CN148"/>
      <c r="CP148"/>
      <c r="CQ148"/>
      <c r="CS148" t="s">
        <v>856</v>
      </c>
      <c r="CT148"/>
      <c r="CV148" t="s">
        <v>856</v>
      </c>
      <c r="CW148"/>
      <c r="CY148" s="473" t="s">
        <v>856</v>
      </c>
      <c r="CZ148" s="473"/>
      <c r="DB148"/>
      <c r="DC148"/>
      <c r="DE148"/>
      <c r="DF148"/>
      <c r="DH148"/>
      <c r="DI148"/>
      <c r="DK148"/>
      <c r="DL148"/>
      <c r="DM148" s="5">
        <v>1</v>
      </c>
    </row>
    <row r="149" spans="2:117" s="1" customFormat="1" ht="18" customHeight="1">
      <c r="B149" s="2"/>
      <c r="C149" s="2"/>
      <c r="D149" s="2"/>
      <c r="E149" s="2"/>
      <c r="F149" s="2"/>
      <c r="G149" s="2"/>
      <c r="H149" s="2"/>
      <c r="I149" s="2"/>
      <c r="J149" s="2"/>
      <c r="K149" s="2"/>
      <c r="L149" s="2"/>
      <c r="M149" s="2"/>
      <c r="N149" s="2"/>
      <c r="O149" s="2"/>
      <c r="P149" s="2"/>
      <c r="Q149" s="2"/>
      <c r="R149" s="2"/>
      <c r="S149" s="2"/>
      <c r="T149" s="2"/>
      <c r="U149" s="2"/>
      <c r="V149" s="2"/>
      <c r="W149" s="7183" t="s">
        <v>1746</v>
      </c>
      <c r="X149" s="7183"/>
      <c r="Y149" s="2"/>
      <c r="Z149" s="2"/>
      <c r="AA149" s="2"/>
      <c r="AB149" s="4"/>
      <c r="AC149" s="2"/>
      <c r="AD149" s="2"/>
      <c r="AE149" s="4"/>
      <c r="AF149" s="2"/>
      <c r="AG149" s="2"/>
      <c r="AH149" s="4"/>
      <c r="AI149" s="2"/>
      <c r="AJ149" s="2"/>
      <c r="AK149" s="2"/>
      <c r="AL149" s="2"/>
      <c r="AM149" s="2"/>
      <c r="AN149" s="2"/>
      <c r="AO149" s="2"/>
      <c r="AP149" s="2"/>
      <c r="AQ149" s="2"/>
      <c r="AS149"/>
      <c r="AT149"/>
      <c r="AV149"/>
      <c r="AW149"/>
      <c r="AY149"/>
      <c r="AZ149"/>
      <c r="BB149"/>
      <c r="BC149"/>
      <c r="BE149"/>
      <c r="BF149"/>
      <c r="BH149"/>
      <c r="BI149"/>
      <c r="BK149" s="7181"/>
      <c r="BL149" s="7181"/>
      <c r="BN149" s="7183" t="s">
        <v>10478</v>
      </c>
      <c r="BO149" s="7183"/>
      <c r="BQ149"/>
      <c r="BR149"/>
      <c r="BT149"/>
      <c r="BU149"/>
      <c r="BW149"/>
      <c r="BX149"/>
      <c r="BY149"/>
      <c r="BZ149"/>
      <c r="CA149"/>
      <c r="CB149"/>
      <c r="CC149"/>
      <c r="CD149"/>
      <c r="CE149"/>
      <c r="CG149"/>
      <c r="CH149"/>
      <c r="CJ149"/>
      <c r="CK149"/>
      <c r="CM149"/>
      <c r="CN149"/>
      <c r="CP149"/>
      <c r="CQ149"/>
      <c r="CS149"/>
      <c r="CT149"/>
      <c r="CV149" s="7181"/>
      <c r="CW149" s="7181"/>
      <c r="CY149" s="7183" t="s">
        <v>10529</v>
      </c>
      <c r="CZ149" s="7183"/>
      <c r="DB149"/>
      <c r="DC149"/>
      <c r="DE149"/>
      <c r="DF149"/>
      <c r="DH149"/>
      <c r="DI149"/>
      <c r="DK149"/>
      <c r="DL149"/>
      <c r="DM149" s="5">
        <v>1</v>
      </c>
    </row>
    <row r="150" spans="2:117" s="1" customFormat="1" ht="18" customHeight="1">
      <c r="B150" s="2"/>
      <c r="C150" s="2"/>
      <c r="D150" s="2"/>
      <c r="E150" s="2"/>
      <c r="F150" s="2"/>
      <c r="G150" s="2"/>
      <c r="H150" s="2"/>
      <c r="I150" s="2"/>
      <c r="J150" s="2"/>
      <c r="K150" s="2"/>
      <c r="L150" s="2"/>
      <c r="M150" s="2"/>
      <c r="N150" s="2"/>
      <c r="O150" s="2"/>
      <c r="P150" s="2"/>
      <c r="Q150" s="2"/>
      <c r="R150" s="2"/>
      <c r="S150" s="2"/>
      <c r="T150" s="2"/>
      <c r="U150" s="2"/>
      <c r="V150" s="2"/>
      <c r="W150" s="7184"/>
      <c r="X150" s="7184"/>
      <c r="Y150" s="2"/>
      <c r="Z150" s="2"/>
      <c r="AA150" s="2"/>
      <c r="AB150" s="4"/>
      <c r="AC150" s="2"/>
      <c r="AD150" s="2"/>
      <c r="AE150" s="4"/>
      <c r="AF150" s="2"/>
      <c r="AG150" s="2"/>
      <c r="AH150" s="4"/>
      <c r="AI150" s="2"/>
      <c r="AJ150" s="2"/>
      <c r="AK150" s="2"/>
      <c r="AL150" s="2"/>
      <c r="AM150" s="2"/>
      <c r="AN150" s="2"/>
      <c r="AO150" s="2"/>
      <c r="AP150" s="2"/>
      <c r="AQ150" s="2"/>
      <c r="AS150"/>
      <c r="AT150"/>
      <c r="AV150"/>
      <c r="AW150"/>
      <c r="AY150"/>
      <c r="AZ150"/>
      <c r="BB150"/>
      <c r="BC150"/>
      <c r="BE150"/>
      <c r="BF150"/>
      <c r="BH150"/>
      <c r="BI150"/>
      <c r="BK150" s="7182"/>
      <c r="BL150" s="7182"/>
      <c r="BN150" s="7184" t="s">
        <v>856</v>
      </c>
      <c r="BO150" s="7184"/>
      <c r="BQ150"/>
      <c r="BR150"/>
      <c r="BT150"/>
      <c r="BU150"/>
      <c r="BW150"/>
      <c r="BX150"/>
      <c r="BY150"/>
      <c r="BZ150"/>
      <c r="CA150"/>
      <c r="CB150"/>
      <c r="CC150"/>
      <c r="CD150"/>
      <c r="CE150"/>
      <c r="CG150"/>
      <c r="CH150"/>
      <c r="CJ150"/>
      <c r="CK150"/>
      <c r="CM150"/>
      <c r="CN150"/>
      <c r="CP150"/>
      <c r="CQ150"/>
      <c r="CS150"/>
      <c r="CT150"/>
      <c r="CV150" s="7182"/>
      <c r="CW150" s="7182"/>
      <c r="CY150" s="7184" t="s">
        <v>856</v>
      </c>
      <c r="CZ150" s="7184"/>
      <c r="DB150"/>
      <c r="DC150"/>
      <c r="DE150"/>
      <c r="DF150"/>
      <c r="DH150"/>
      <c r="DI150"/>
      <c r="DK150"/>
      <c r="DL150"/>
      <c r="DM150" s="5">
        <v>1</v>
      </c>
    </row>
    <row r="151" spans="2:117" s="1" customFormat="1" ht="18" customHeight="1" thickBot="1">
      <c r="B151" s="2"/>
      <c r="C151" s="2"/>
      <c r="D151" s="2"/>
      <c r="E151" s="2"/>
      <c r="F151" s="2"/>
      <c r="G151" s="2"/>
      <c r="H151" s="2"/>
      <c r="I151" s="2"/>
      <c r="J151" s="2"/>
      <c r="K151" s="2"/>
      <c r="L151" s="2"/>
      <c r="M151" s="2"/>
      <c r="N151" s="2"/>
      <c r="O151" s="2"/>
      <c r="P151" s="2"/>
      <c r="Q151" s="2"/>
      <c r="R151" s="2"/>
      <c r="S151" s="2"/>
      <c r="T151" s="2"/>
      <c r="U151" s="2"/>
      <c r="V151" s="2"/>
      <c r="W151" s="473">
        <v>1</v>
      </c>
      <c r="X151" s="473">
        <v>1</v>
      </c>
      <c r="Y151" s="2"/>
      <c r="Z151" s="2"/>
      <c r="AA151" s="2"/>
      <c r="AB151" s="4"/>
      <c r="AC151" s="2"/>
      <c r="AD151" s="2"/>
      <c r="AE151" s="4"/>
      <c r="AF151" s="2"/>
      <c r="AG151" s="2"/>
      <c r="AH151" s="4"/>
      <c r="AI151" s="2"/>
      <c r="AJ151" s="2"/>
      <c r="AK151" s="2"/>
      <c r="AL151" s="2"/>
      <c r="AM151" s="2"/>
      <c r="AN151" s="2"/>
      <c r="AO151" s="2"/>
      <c r="AP151" s="2"/>
      <c r="AQ151" s="2"/>
      <c r="AS151"/>
      <c r="AT151"/>
      <c r="AV151"/>
      <c r="AW151"/>
      <c r="AY151"/>
      <c r="AZ151"/>
      <c r="BB151"/>
      <c r="BC151"/>
      <c r="BE151"/>
      <c r="BF151"/>
      <c r="BH151"/>
      <c r="BI151"/>
      <c r="BK151"/>
      <c r="BL151"/>
      <c r="BN151" s="473" t="s">
        <v>856</v>
      </c>
      <c r="BO151" s="473"/>
      <c r="BQ151"/>
      <c r="BR151"/>
      <c r="BT151"/>
      <c r="BU151"/>
      <c r="BW151"/>
      <c r="BX151"/>
      <c r="BY151"/>
      <c r="BZ151"/>
      <c r="CA151"/>
      <c r="CB151"/>
      <c r="CC151"/>
      <c r="CD151"/>
      <c r="CE151"/>
      <c r="CG151"/>
      <c r="CH151"/>
      <c r="CJ151"/>
      <c r="CK151"/>
      <c r="CM151"/>
      <c r="CN151"/>
      <c r="CP151"/>
      <c r="CQ151"/>
      <c r="CS151"/>
      <c r="CT151"/>
      <c r="CV151"/>
      <c r="CW151"/>
      <c r="CY151" s="473" t="s">
        <v>856</v>
      </c>
      <c r="CZ151" s="473"/>
      <c r="DB151"/>
      <c r="DC151"/>
      <c r="DE151"/>
      <c r="DF151"/>
      <c r="DH151"/>
      <c r="DI151"/>
      <c r="DK151"/>
      <c r="DL151"/>
      <c r="DM151" s="5">
        <v>1</v>
      </c>
    </row>
    <row r="152" spans="2:117" s="1" customFormat="1" ht="18" customHeight="1">
      <c r="B152" s="2"/>
      <c r="C152" s="2"/>
      <c r="D152" s="2"/>
      <c r="E152" s="2"/>
      <c r="F152" s="2"/>
      <c r="G152" s="2"/>
      <c r="H152" s="2"/>
      <c r="I152" s="2"/>
      <c r="J152" s="2"/>
      <c r="K152" s="2"/>
      <c r="L152" s="2"/>
      <c r="M152" s="2"/>
      <c r="N152" s="2"/>
      <c r="O152" s="2"/>
      <c r="P152" s="2"/>
      <c r="Q152" s="2"/>
      <c r="R152" s="2"/>
      <c r="S152" s="2"/>
      <c r="T152" s="2"/>
      <c r="U152" s="2"/>
      <c r="V152" s="2"/>
      <c r="W152" s="7183" t="s">
        <v>8336</v>
      </c>
      <c r="X152" s="7183"/>
      <c r="Y152" s="2"/>
      <c r="Z152" s="2"/>
      <c r="AA152" s="2"/>
      <c r="AB152" s="4"/>
      <c r="AC152" s="2"/>
      <c r="AD152" s="2"/>
      <c r="AE152" s="4"/>
      <c r="AF152" s="2"/>
      <c r="AG152" s="2"/>
      <c r="AH152" s="4"/>
      <c r="AI152" s="2"/>
      <c r="AJ152" s="2"/>
      <c r="AK152" s="2"/>
      <c r="AL152" s="2"/>
      <c r="AM152" s="2"/>
      <c r="AN152" s="2"/>
      <c r="AO152" s="2"/>
      <c r="AP152" s="2"/>
      <c r="AQ152" s="2"/>
      <c r="AS152"/>
      <c r="AT152"/>
      <c r="AV152"/>
      <c r="AW152"/>
      <c r="AY152"/>
      <c r="AZ152"/>
      <c r="BB152"/>
      <c r="BC152"/>
      <c r="BE152"/>
      <c r="BF152"/>
      <c r="BH152"/>
      <c r="BI152"/>
      <c r="BK152"/>
      <c r="BL152"/>
      <c r="BN152" s="7183" t="s">
        <v>10479</v>
      </c>
      <c r="BO152" s="7183"/>
      <c r="BQ152"/>
      <c r="BR152"/>
      <c r="BT152"/>
      <c r="BU152"/>
      <c r="BW152"/>
      <c r="BX152"/>
      <c r="BY152"/>
      <c r="BZ152"/>
      <c r="CA152"/>
      <c r="CB152"/>
      <c r="CC152"/>
      <c r="CD152"/>
      <c r="CE152"/>
      <c r="CG152"/>
      <c r="CH152"/>
      <c r="CJ152"/>
      <c r="CK152"/>
      <c r="CM152"/>
      <c r="CN152"/>
      <c r="CP152"/>
      <c r="CQ152"/>
      <c r="CS152"/>
      <c r="CT152"/>
      <c r="CV152"/>
      <c r="CW152"/>
      <c r="CY152" s="7183" t="s">
        <v>10530</v>
      </c>
      <c r="CZ152" s="7183"/>
      <c r="DB152"/>
      <c r="DC152"/>
      <c r="DE152"/>
      <c r="DF152"/>
      <c r="DH152"/>
      <c r="DI152"/>
      <c r="DK152"/>
      <c r="DL152"/>
      <c r="DM152" s="5">
        <v>1</v>
      </c>
    </row>
    <row r="153" spans="2:117" s="1" customFormat="1" ht="18" customHeight="1">
      <c r="B153" s="2"/>
      <c r="C153" s="2"/>
      <c r="D153" s="2"/>
      <c r="E153" s="2"/>
      <c r="F153" s="2"/>
      <c r="G153" s="2"/>
      <c r="H153" s="2"/>
      <c r="I153" s="2"/>
      <c r="J153" s="2"/>
      <c r="K153" s="2"/>
      <c r="L153" s="2"/>
      <c r="M153" s="2"/>
      <c r="N153" s="2"/>
      <c r="O153" s="2"/>
      <c r="P153" s="2"/>
      <c r="Q153" s="2"/>
      <c r="R153" s="2"/>
      <c r="S153" s="2"/>
      <c r="T153" s="2"/>
      <c r="U153" s="2"/>
      <c r="V153" s="2"/>
      <c r="W153" s="7184"/>
      <c r="X153" s="7184"/>
      <c r="Y153" s="2"/>
      <c r="Z153" s="2"/>
      <c r="AA153" s="2"/>
      <c r="AB153" s="4"/>
      <c r="AC153" s="2"/>
      <c r="AD153" s="2"/>
      <c r="AE153" s="4"/>
      <c r="AF153" s="2"/>
      <c r="AG153" s="2"/>
      <c r="AH153" s="4"/>
      <c r="AI153" s="2"/>
      <c r="AJ153" s="2"/>
      <c r="AK153" s="2"/>
      <c r="AL153" s="2"/>
      <c r="AM153" s="2"/>
      <c r="AN153" s="2"/>
      <c r="AO153" s="2"/>
      <c r="AP153" s="2"/>
      <c r="AQ153" s="2"/>
      <c r="AS153"/>
      <c r="AT153"/>
      <c r="AV153"/>
      <c r="AW153"/>
      <c r="AY153"/>
      <c r="AZ153"/>
      <c r="BB153"/>
      <c r="BC153"/>
      <c r="BE153"/>
      <c r="BF153"/>
      <c r="BH153"/>
      <c r="BI153"/>
      <c r="BK153"/>
      <c r="BL153"/>
      <c r="BN153" s="7184" t="s">
        <v>856</v>
      </c>
      <c r="BO153" s="7184"/>
      <c r="BQ153"/>
      <c r="BR153"/>
      <c r="BT153"/>
      <c r="BU153"/>
      <c r="BW153"/>
      <c r="BX153"/>
      <c r="BY153"/>
      <c r="BZ153"/>
      <c r="CA153"/>
      <c r="CB153"/>
      <c r="CC153"/>
      <c r="CD153"/>
      <c r="CE153"/>
      <c r="CG153"/>
      <c r="CH153"/>
      <c r="CJ153"/>
      <c r="CK153"/>
      <c r="CM153"/>
      <c r="CN153"/>
      <c r="CP153"/>
      <c r="CQ153"/>
      <c r="CS153"/>
      <c r="CT153"/>
      <c r="CV153"/>
      <c r="CW153"/>
      <c r="CY153" s="7184" t="s">
        <v>856</v>
      </c>
      <c r="CZ153" s="7184"/>
      <c r="DB153"/>
      <c r="DC153"/>
      <c r="DE153"/>
      <c r="DF153"/>
      <c r="DH153"/>
      <c r="DI153"/>
      <c r="DK153"/>
      <c r="DL153"/>
      <c r="DM153" s="5">
        <v>1</v>
      </c>
    </row>
    <row r="154" spans="2:117" s="1" customFormat="1" ht="18" customHeight="1" thickBot="1">
      <c r="B154" s="2"/>
      <c r="C154" s="2"/>
      <c r="D154" s="2"/>
      <c r="E154" s="2"/>
      <c r="F154" s="2"/>
      <c r="G154" s="2"/>
      <c r="H154" s="2"/>
      <c r="I154" s="2"/>
      <c r="J154" s="2"/>
      <c r="K154" s="2"/>
      <c r="L154" s="2"/>
      <c r="M154" s="2"/>
      <c r="N154" s="2"/>
      <c r="O154" s="2"/>
      <c r="P154" s="2"/>
      <c r="Q154" s="2"/>
      <c r="R154" s="2"/>
      <c r="S154" s="2"/>
      <c r="T154" s="2"/>
      <c r="U154" s="2"/>
      <c r="V154" s="2"/>
      <c r="W154" s="473">
        <v>1</v>
      </c>
      <c r="X154" s="473">
        <v>1</v>
      </c>
      <c r="Y154" s="2"/>
      <c r="Z154" s="2"/>
      <c r="AA154" s="2"/>
      <c r="AB154" s="4"/>
      <c r="AC154" s="2"/>
      <c r="AD154" s="2"/>
      <c r="AE154" s="4"/>
      <c r="AF154" s="2"/>
      <c r="AG154" s="2"/>
      <c r="AH154" s="4"/>
      <c r="AI154" s="2"/>
      <c r="AJ154" s="2"/>
      <c r="AK154" s="2"/>
      <c r="AL154" s="2"/>
      <c r="AM154" s="2"/>
      <c r="AN154" s="2"/>
      <c r="AO154" s="2"/>
      <c r="AP154" s="2"/>
      <c r="AQ154" s="2"/>
      <c r="AS154"/>
      <c r="AT154"/>
      <c r="AV154"/>
      <c r="AW154"/>
      <c r="AY154"/>
      <c r="AZ154"/>
      <c r="BB154"/>
      <c r="BC154"/>
      <c r="BE154"/>
      <c r="BF154"/>
      <c r="BH154"/>
      <c r="BI154"/>
      <c r="BK154"/>
      <c r="BL154"/>
      <c r="BN154" s="473" t="s">
        <v>856</v>
      </c>
      <c r="BO154" s="473"/>
      <c r="BQ154"/>
      <c r="BR154"/>
      <c r="BT154"/>
      <c r="BU154"/>
      <c r="BW154"/>
      <c r="BX154"/>
      <c r="BY154"/>
      <c r="BZ154"/>
      <c r="CA154"/>
      <c r="CB154"/>
      <c r="CC154"/>
      <c r="CD154"/>
      <c r="CE154"/>
      <c r="CG154"/>
      <c r="CH154"/>
      <c r="CJ154"/>
      <c r="CK154"/>
      <c r="CM154"/>
      <c r="CN154"/>
      <c r="CP154"/>
      <c r="CQ154"/>
      <c r="CS154"/>
      <c r="CT154"/>
      <c r="CV154"/>
      <c r="CW154"/>
      <c r="CY154" s="473" t="s">
        <v>856</v>
      </c>
      <c r="CZ154" s="473"/>
      <c r="DB154"/>
      <c r="DC154"/>
      <c r="DE154"/>
      <c r="DF154"/>
      <c r="DH154"/>
      <c r="DI154"/>
      <c r="DK154"/>
      <c r="DL154"/>
      <c r="DM154" s="5">
        <v>1</v>
      </c>
    </row>
    <row r="155" spans="2:117" s="1" customFormat="1" ht="18" customHeight="1">
      <c r="B155" s="2"/>
      <c r="C155" s="2"/>
      <c r="D155" s="2"/>
      <c r="E155" s="2"/>
      <c r="F155" s="2"/>
      <c r="G155" s="2"/>
      <c r="H155" s="2"/>
      <c r="I155" s="2"/>
      <c r="J155" s="2"/>
      <c r="K155" s="2"/>
      <c r="L155" s="2"/>
      <c r="M155" s="2"/>
      <c r="N155" s="2"/>
      <c r="O155" s="2"/>
      <c r="P155" s="2"/>
      <c r="Q155" s="2"/>
      <c r="R155" s="2"/>
      <c r="S155" s="2"/>
      <c r="T155" s="2"/>
      <c r="U155" s="2"/>
      <c r="V155" s="2"/>
      <c r="W155" s="7183" t="s">
        <v>8337</v>
      </c>
      <c r="X155" s="7183"/>
      <c r="Y155" s="2"/>
      <c r="Z155" s="2"/>
      <c r="AA155" s="2"/>
      <c r="AB155" s="4"/>
      <c r="AC155" s="2"/>
      <c r="AD155" s="2"/>
      <c r="AE155" s="4"/>
      <c r="AF155" s="2"/>
      <c r="AG155" s="2"/>
      <c r="AH155" s="4"/>
      <c r="AI155" s="2"/>
      <c r="AJ155" s="2"/>
      <c r="AK155" s="2"/>
      <c r="AL155" s="2"/>
      <c r="AM155" s="2"/>
      <c r="AN155" s="2"/>
      <c r="AO155" s="2"/>
      <c r="AP155" s="2"/>
      <c r="AQ155" s="2"/>
      <c r="AS155"/>
      <c r="AT155"/>
      <c r="AV155"/>
      <c r="AW155"/>
      <c r="AY155"/>
      <c r="AZ155"/>
      <c r="BB155"/>
      <c r="BC155"/>
      <c r="BE155"/>
      <c r="BF155"/>
      <c r="BH155"/>
      <c r="BI155"/>
      <c r="BK155"/>
      <c r="BL155"/>
      <c r="BN155" s="7183" t="s">
        <v>10480</v>
      </c>
      <c r="BO155" s="7183"/>
      <c r="BQ155"/>
      <c r="BR155"/>
      <c r="BT155"/>
      <c r="BU155"/>
      <c r="BW155"/>
      <c r="BX155"/>
      <c r="BY155"/>
      <c r="BZ155"/>
      <c r="CA155"/>
      <c r="CB155"/>
      <c r="CC155"/>
      <c r="CD155"/>
      <c r="CE155"/>
      <c r="CG155"/>
      <c r="CH155"/>
      <c r="CJ155"/>
      <c r="CK155"/>
      <c r="CM155"/>
      <c r="CN155"/>
      <c r="CP155"/>
      <c r="CQ155"/>
      <c r="CS155"/>
      <c r="CT155"/>
      <c r="CV155"/>
      <c r="CW155"/>
      <c r="CY155" s="7183" t="s">
        <v>10531</v>
      </c>
      <c r="CZ155" s="7183"/>
      <c r="DB155"/>
      <c r="DC155"/>
      <c r="DE155"/>
      <c r="DF155"/>
      <c r="DH155"/>
      <c r="DI155"/>
      <c r="DK155"/>
      <c r="DL155"/>
      <c r="DM155" s="5">
        <v>1</v>
      </c>
    </row>
    <row r="156" spans="2:117" s="1" customFormat="1" ht="18" customHeight="1">
      <c r="B156" s="2"/>
      <c r="C156" s="2"/>
      <c r="D156" s="2"/>
      <c r="E156" s="2"/>
      <c r="F156" s="2"/>
      <c r="G156" s="2"/>
      <c r="H156" s="2"/>
      <c r="I156" s="2"/>
      <c r="J156" s="2"/>
      <c r="K156" s="2"/>
      <c r="L156" s="2"/>
      <c r="M156" s="2"/>
      <c r="N156" s="2"/>
      <c r="O156" s="2"/>
      <c r="P156" s="2"/>
      <c r="Q156" s="2"/>
      <c r="R156" s="2"/>
      <c r="S156" s="2"/>
      <c r="T156" s="2"/>
      <c r="U156" s="2"/>
      <c r="V156" s="2"/>
      <c r="W156" s="7184"/>
      <c r="X156" s="7184"/>
      <c r="Y156" s="2"/>
      <c r="Z156" s="2"/>
      <c r="AA156" s="2"/>
      <c r="AB156" s="4"/>
      <c r="AC156" s="2"/>
      <c r="AD156" s="2"/>
      <c r="AE156" s="4"/>
      <c r="AF156" s="2"/>
      <c r="AG156" s="2"/>
      <c r="AH156" s="4"/>
      <c r="AI156" s="2"/>
      <c r="AJ156" s="2"/>
      <c r="AK156" s="2"/>
      <c r="AL156" s="2"/>
      <c r="AM156" s="2"/>
      <c r="AN156" s="2"/>
      <c r="AO156" s="2"/>
      <c r="AP156" s="2"/>
      <c r="AQ156" s="2"/>
      <c r="AS156"/>
      <c r="AT156"/>
      <c r="AV156"/>
      <c r="AW156"/>
      <c r="AY156"/>
      <c r="AZ156"/>
      <c r="BB156"/>
      <c r="BC156"/>
      <c r="BE156"/>
      <c r="BF156"/>
      <c r="BH156"/>
      <c r="BI156"/>
      <c r="BK156"/>
      <c r="BL156" t="s">
        <v>856</v>
      </c>
      <c r="BN156" s="7184" t="s">
        <v>856</v>
      </c>
      <c r="BO156" s="7184"/>
      <c r="BQ156"/>
      <c r="BR156"/>
      <c r="BT156"/>
      <c r="BU156"/>
      <c r="BW156"/>
      <c r="BX156"/>
      <c r="BY156"/>
      <c r="BZ156"/>
      <c r="CA156"/>
      <c r="CB156"/>
      <c r="CC156"/>
      <c r="CD156"/>
      <c r="CE156"/>
      <c r="CG156"/>
      <c r="CH156"/>
      <c r="CJ156"/>
      <c r="CK156"/>
      <c r="CM156"/>
      <c r="CN156"/>
      <c r="CP156"/>
      <c r="CQ156"/>
      <c r="CS156"/>
      <c r="CT156"/>
      <c r="CV156"/>
      <c r="CW156"/>
      <c r="CY156" s="7184" t="s">
        <v>856</v>
      </c>
      <c r="CZ156" s="7184"/>
      <c r="DB156"/>
      <c r="DC156"/>
      <c r="DE156"/>
      <c r="DF156"/>
      <c r="DH156"/>
      <c r="DI156"/>
      <c r="DK156"/>
      <c r="DL156"/>
      <c r="DM156" s="5">
        <v>1</v>
      </c>
    </row>
    <row r="157" spans="2:117" s="1" customFormat="1" ht="18" customHeight="1" thickBot="1">
      <c r="B157" s="2"/>
      <c r="C157" s="2"/>
      <c r="D157" s="2"/>
      <c r="E157" s="2"/>
      <c r="F157" s="2"/>
      <c r="G157" s="2"/>
      <c r="H157" s="2"/>
      <c r="I157" s="2"/>
      <c r="J157" s="2"/>
      <c r="K157" s="2"/>
      <c r="L157" s="2"/>
      <c r="M157" s="2"/>
      <c r="N157" s="2"/>
      <c r="O157" s="2"/>
      <c r="P157" s="2"/>
      <c r="Q157" s="2"/>
      <c r="R157" s="2"/>
      <c r="S157" s="2"/>
      <c r="T157" s="2"/>
      <c r="U157" s="2"/>
      <c r="V157" s="2"/>
      <c r="W157" s="473">
        <v>1</v>
      </c>
      <c r="X157" s="473">
        <v>1</v>
      </c>
      <c r="Y157" s="2"/>
      <c r="Z157" s="2"/>
      <c r="AA157" s="2"/>
      <c r="AB157" s="4"/>
      <c r="AC157" s="2"/>
      <c r="AD157" s="2"/>
      <c r="AE157" s="4"/>
      <c r="AF157" s="2"/>
      <c r="AG157" s="2"/>
      <c r="AH157" s="4"/>
      <c r="AI157" s="2"/>
      <c r="AJ157" s="2"/>
      <c r="AK157" s="2"/>
      <c r="AL157" s="2"/>
      <c r="AM157" s="2"/>
      <c r="AN157" s="2"/>
      <c r="AO157" s="2"/>
      <c r="AP157" s="2"/>
      <c r="AQ157" s="2"/>
      <c r="AS157"/>
      <c r="AT157"/>
      <c r="AV157"/>
      <c r="AW157"/>
      <c r="AY157"/>
      <c r="AZ157"/>
      <c r="BB157"/>
      <c r="BC157"/>
      <c r="BE157"/>
      <c r="BF157"/>
      <c r="BH157"/>
      <c r="BI157"/>
      <c r="BK157"/>
      <c r="BL157"/>
      <c r="BN157" s="473" t="s">
        <v>856</v>
      </c>
      <c r="BO157" s="473"/>
      <c r="BQ157"/>
      <c r="BR157"/>
      <c r="BT157"/>
      <c r="BU157"/>
      <c r="BW157"/>
      <c r="BX157"/>
      <c r="BY157"/>
      <c r="BZ157"/>
      <c r="CA157"/>
      <c r="CB157"/>
      <c r="CC157"/>
      <c r="CD157"/>
      <c r="CE157"/>
      <c r="CG157"/>
      <c r="CH157"/>
      <c r="CJ157"/>
      <c r="CK157"/>
      <c r="CM157"/>
      <c r="CN157"/>
      <c r="CP157"/>
      <c r="CQ157"/>
      <c r="CS157"/>
      <c r="CT157"/>
      <c r="CV157"/>
      <c r="CW157"/>
      <c r="CY157" s="473" t="s">
        <v>856</v>
      </c>
      <c r="CZ157" s="473"/>
      <c r="DB157"/>
      <c r="DC157"/>
      <c r="DE157"/>
      <c r="DF157"/>
      <c r="DH157"/>
      <c r="DI157"/>
      <c r="DK157"/>
      <c r="DL157"/>
      <c r="DM157" s="5">
        <v>1</v>
      </c>
    </row>
    <row r="158" spans="2:117" s="1" customFormat="1" ht="18" customHeight="1">
      <c r="B158" s="2"/>
      <c r="C158" s="2"/>
      <c r="D158" s="2"/>
      <c r="E158" s="2"/>
      <c r="F158" s="2"/>
      <c r="G158" s="2"/>
      <c r="H158" s="2"/>
      <c r="I158" s="2"/>
      <c r="J158" s="2"/>
      <c r="K158" s="2"/>
      <c r="L158" s="2"/>
      <c r="M158" s="2"/>
      <c r="N158" s="2"/>
      <c r="O158" s="2"/>
      <c r="P158" s="2"/>
      <c r="Q158" s="2"/>
      <c r="R158" s="2"/>
      <c r="S158" s="2"/>
      <c r="T158" s="2"/>
      <c r="U158" s="2"/>
      <c r="V158" s="2"/>
      <c r="W158" s="7183" t="s">
        <v>8338</v>
      </c>
      <c r="X158" s="7183"/>
      <c r="Y158" s="2"/>
      <c r="Z158" s="2"/>
      <c r="AA158" s="2"/>
      <c r="AB158" s="4"/>
      <c r="AC158" s="2"/>
      <c r="AD158" s="2"/>
      <c r="AE158" s="4"/>
      <c r="AF158" s="2"/>
      <c r="AG158" s="2"/>
      <c r="AH158" s="4"/>
      <c r="AI158" s="2"/>
      <c r="AJ158" s="2"/>
      <c r="AK158" s="2"/>
      <c r="AL158" s="2"/>
      <c r="AM158" s="2"/>
      <c r="AN158" s="2"/>
      <c r="AO158" s="2"/>
      <c r="AP158" s="2"/>
      <c r="AQ158" s="2"/>
      <c r="AS158"/>
      <c r="AT158"/>
      <c r="AV158"/>
      <c r="AW158"/>
      <c r="AY158"/>
      <c r="AZ158"/>
      <c r="BB158"/>
      <c r="BC158"/>
      <c r="BE158"/>
      <c r="BF158"/>
      <c r="BH158"/>
      <c r="BI158"/>
      <c r="BK158"/>
      <c r="BL158"/>
      <c r="BN158" s="7183" t="s">
        <v>10481</v>
      </c>
      <c r="BO158" s="7183"/>
      <c r="BQ158"/>
      <c r="BR158"/>
      <c r="BT158"/>
      <c r="BU158"/>
      <c r="BW158"/>
      <c r="BX158"/>
      <c r="BY158"/>
      <c r="BZ158"/>
      <c r="CA158"/>
      <c r="CB158"/>
      <c r="CC158"/>
      <c r="CD158"/>
      <c r="CE158"/>
      <c r="CG158"/>
      <c r="CH158"/>
      <c r="CJ158"/>
      <c r="CK158"/>
      <c r="CM158"/>
      <c r="CN158"/>
      <c r="CP158"/>
      <c r="CQ158"/>
      <c r="CS158"/>
      <c r="CT158"/>
      <c r="CV158"/>
      <c r="CW158"/>
      <c r="CY158" s="7183" t="s">
        <v>8337</v>
      </c>
      <c r="CZ158" s="7183"/>
      <c r="DB158"/>
      <c r="DC158"/>
      <c r="DE158"/>
      <c r="DF158"/>
      <c r="DH158"/>
      <c r="DI158"/>
      <c r="DK158"/>
      <c r="DL158"/>
      <c r="DM158" s="5">
        <v>1</v>
      </c>
    </row>
    <row r="159" spans="2:117" s="1" customFormat="1" ht="18" customHeight="1">
      <c r="B159" s="2"/>
      <c r="C159" s="2"/>
      <c r="D159" s="2"/>
      <c r="E159" s="2"/>
      <c r="F159" s="2"/>
      <c r="G159" s="2"/>
      <c r="H159" s="2"/>
      <c r="I159" s="2"/>
      <c r="J159" s="2"/>
      <c r="K159" s="2"/>
      <c r="L159" s="2"/>
      <c r="M159" s="2"/>
      <c r="N159" s="2"/>
      <c r="O159" s="2"/>
      <c r="P159" s="2"/>
      <c r="Q159" s="2"/>
      <c r="R159" s="2"/>
      <c r="S159" s="2"/>
      <c r="T159" s="2"/>
      <c r="U159" s="2"/>
      <c r="V159" s="2"/>
      <c r="W159" s="7184"/>
      <c r="X159" s="7184"/>
      <c r="Y159" s="2"/>
      <c r="Z159" s="2"/>
      <c r="AA159" s="2"/>
      <c r="AB159" s="4"/>
      <c r="AC159" s="2"/>
      <c r="AD159" s="2"/>
      <c r="AE159" s="4"/>
      <c r="AF159" s="2"/>
      <c r="AG159" s="2"/>
      <c r="AH159" s="4"/>
      <c r="AI159" s="2"/>
      <c r="AJ159" s="2"/>
      <c r="AK159" s="2"/>
      <c r="AL159" s="2"/>
      <c r="AM159" s="2"/>
      <c r="AN159" s="2"/>
      <c r="AO159" s="2"/>
      <c r="AP159" s="2"/>
      <c r="AQ159" s="2"/>
      <c r="AS159"/>
      <c r="AT159"/>
      <c r="AV159"/>
      <c r="AW159"/>
      <c r="AY159"/>
      <c r="AZ159"/>
      <c r="BB159"/>
      <c r="BC159"/>
      <c r="BE159"/>
      <c r="BF159"/>
      <c r="BH159"/>
      <c r="BI159"/>
      <c r="BK159"/>
      <c r="BL159"/>
      <c r="BN159" s="7184" t="s">
        <v>856</v>
      </c>
      <c r="BO159" s="7184"/>
      <c r="BQ159"/>
      <c r="BR159"/>
      <c r="BT159"/>
      <c r="BU159"/>
      <c r="BW159"/>
      <c r="BX159"/>
      <c r="BY159"/>
      <c r="BZ159"/>
      <c r="CA159"/>
      <c r="CB159"/>
      <c r="CC159"/>
      <c r="CD159"/>
      <c r="CE159"/>
      <c r="CG159"/>
      <c r="CH159"/>
      <c r="CJ159"/>
      <c r="CK159"/>
      <c r="CM159"/>
      <c r="CN159"/>
      <c r="CP159"/>
      <c r="CQ159"/>
      <c r="CS159"/>
      <c r="CT159"/>
      <c r="CV159"/>
      <c r="CW159"/>
      <c r="CY159" s="7184" t="s">
        <v>856</v>
      </c>
      <c r="CZ159" s="7184"/>
      <c r="DB159"/>
      <c r="DC159"/>
      <c r="DE159"/>
      <c r="DF159"/>
      <c r="DH159"/>
      <c r="DI159"/>
      <c r="DK159"/>
      <c r="DL159"/>
      <c r="DM159" s="5">
        <v>1</v>
      </c>
    </row>
    <row r="160" spans="2:117" s="1" customFormat="1" ht="18" customHeight="1" thickBot="1">
      <c r="B160" s="2"/>
      <c r="C160" s="2"/>
      <c r="D160" s="2"/>
      <c r="E160" s="2"/>
      <c r="F160" s="2"/>
      <c r="G160" s="2"/>
      <c r="H160" s="2"/>
      <c r="I160" s="2"/>
      <c r="J160" s="2"/>
      <c r="K160" s="2"/>
      <c r="L160" s="2"/>
      <c r="M160" s="2"/>
      <c r="N160" s="2"/>
      <c r="O160" s="2"/>
      <c r="P160" s="2"/>
      <c r="Q160" s="2"/>
      <c r="R160" s="2"/>
      <c r="S160" s="2"/>
      <c r="T160" s="2"/>
      <c r="U160" s="2"/>
      <c r="V160" s="2"/>
      <c r="W160" s="473">
        <v>1</v>
      </c>
      <c r="X160" s="473">
        <v>1</v>
      </c>
      <c r="Y160" s="2"/>
      <c r="Z160" s="2"/>
      <c r="AA160" s="2"/>
      <c r="AB160" s="4"/>
      <c r="AC160" s="2"/>
      <c r="AD160" s="2"/>
      <c r="AE160" s="4"/>
      <c r="AF160" s="2"/>
      <c r="AG160" s="2"/>
      <c r="AH160" s="4"/>
      <c r="AI160" s="2"/>
      <c r="AJ160" s="2"/>
      <c r="AK160" s="2"/>
      <c r="AL160" s="2"/>
      <c r="AM160" s="2"/>
      <c r="AN160" s="2"/>
      <c r="AO160" s="2"/>
      <c r="AP160" s="2"/>
      <c r="AQ160" s="2"/>
      <c r="AS160"/>
      <c r="AT160"/>
      <c r="AV160"/>
      <c r="AW160"/>
      <c r="AY160"/>
      <c r="AZ160"/>
      <c r="BB160"/>
      <c r="BC160"/>
      <c r="BE160"/>
      <c r="BF160"/>
      <c r="BH160"/>
      <c r="BI160"/>
      <c r="BK160"/>
      <c r="BL160"/>
      <c r="BN160" s="473" t="s">
        <v>856</v>
      </c>
      <c r="BO160" s="473"/>
      <c r="BQ160"/>
      <c r="BR160"/>
      <c r="BT160"/>
      <c r="BU160"/>
      <c r="BW160"/>
      <c r="BX160"/>
      <c r="BY160"/>
      <c r="BZ160"/>
      <c r="CA160"/>
      <c r="CB160"/>
      <c r="CC160"/>
      <c r="CD160"/>
      <c r="CE160"/>
      <c r="CG160"/>
      <c r="CH160"/>
      <c r="CJ160"/>
      <c r="CK160"/>
      <c r="CM160"/>
      <c r="CN160"/>
      <c r="CP160"/>
      <c r="CQ160"/>
      <c r="CS160"/>
      <c r="CT160"/>
      <c r="CV160"/>
      <c r="CW160"/>
      <c r="CY160" s="473" t="s">
        <v>856</v>
      </c>
      <c r="CZ160" s="473"/>
      <c r="DB160"/>
      <c r="DC160"/>
      <c r="DE160"/>
      <c r="DF160"/>
      <c r="DH160"/>
      <c r="DI160"/>
      <c r="DK160"/>
      <c r="DL160"/>
      <c r="DM160" s="5">
        <v>1</v>
      </c>
    </row>
    <row r="161" spans="1:117" s="1" customFormat="1" ht="18" customHeight="1">
      <c r="B161" s="2"/>
      <c r="C161" s="2"/>
      <c r="D161" s="2"/>
      <c r="E161" s="2"/>
      <c r="F161" s="2"/>
      <c r="G161" s="2"/>
      <c r="H161" s="2"/>
      <c r="I161" s="2"/>
      <c r="J161" s="2"/>
      <c r="K161" s="2"/>
      <c r="L161" s="2"/>
      <c r="M161" s="2"/>
      <c r="N161" s="2"/>
      <c r="O161" s="2"/>
      <c r="P161" s="2"/>
      <c r="Q161" s="2"/>
      <c r="R161" s="2"/>
      <c r="S161" s="2"/>
      <c r="T161" s="2"/>
      <c r="U161" s="2"/>
      <c r="V161" s="2"/>
      <c r="W161" s="7183" t="s">
        <v>8339</v>
      </c>
      <c r="X161" s="7183"/>
      <c r="Y161" s="2"/>
      <c r="Z161" s="2"/>
      <c r="AA161" s="2"/>
      <c r="AB161" s="4"/>
      <c r="AC161" s="2"/>
      <c r="AD161" s="2"/>
      <c r="AE161" s="4"/>
      <c r="AF161" s="2"/>
      <c r="AG161" s="2"/>
      <c r="AH161" s="4"/>
      <c r="AI161" s="2"/>
      <c r="AJ161" s="2"/>
      <c r="AK161" s="2"/>
      <c r="AL161" s="2"/>
      <c r="AM161" s="2"/>
      <c r="AN161" s="2"/>
      <c r="AO161" s="2"/>
      <c r="AP161" s="2"/>
      <c r="AQ161" s="2"/>
      <c r="AS161"/>
      <c r="AT161"/>
      <c r="AV161"/>
      <c r="AW161"/>
      <c r="AY161"/>
      <c r="AZ161"/>
      <c r="BB161"/>
      <c r="BC161"/>
      <c r="BE161"/>
      <c r="BF161"/>
      <c r="BH161"/>
      <c r="BI161"/>
      <c r="BK161"/>
      <c r="BL161"/>
      <c r="BN161" s="7183" t="s">
        <v>10482</v>
      </c>
      <c r="BO161" s="7183"/>
      <c r="BQ161"/>
      <c r="BR161"/>
      <c r="BT161"/>
      <c r="BU161"/>
      <c r="BW161"/>
      <c r="BX161"/>
      <c r="BY161"/>
      <c r="BZ161"/>
      <c r="CA161"/>
      <c r="CB161"/>
      <c r="CC161"/>
      <c r="CD161"/>
      <c r="CE161"/>
      <c r="CG161"/>
      <c r="CH161"/>
      <c r="CJ161"/>
      <c r="CK161"/>
      <c r="CM161"/>
      <c r="CN161"/>
      <c r="CP161"/>
      <c r="CQ161"/>
      <c r="CS161"/>
      <c r="CT161"/>
      <c r="CV161"/>
      <c r="CW161"/>
      <c r="CY161" s="7183" t="s">
        <v>8338</v>
      </c>
      <c r="CZ161" s="7183"/>
      <c r="DB161"/>
      <c r="DC161"/>
      <c r="DE161"/>
      <c r="DF161"/>
      <c r="DH161"/>
      <c r="DI161"/>
      <c r="DK161"/>
      <c r="DL161"/>
      <c r="DM161" s="5">
        <v>1</v>
      </c>
    </row>
    <row r="162" spans="1:117" s="1" customFormat="1" ht="18" customHeight="1">
      <c r="B162" s="2"/>
      <c r="C162" s="2"/>
      <c r="D162" s="2"/>
      <c r="E162" s="2"/>
      <c r="F162" s="2"/>
      <c r="G162" s="2"/>
      <c r="H162" s="2"/>
      <c r="I162" s="2"/>
      <c r="J162" s="2"/>
      <c r="K162" s="2"/>
      <c r="L162" s="2"/>
      <c r="M162" s="2"/>
      <c r="N162" s="2"/>
      <c r="O162" s="2"/>
      <c r="P162" s="2"/>
      <c r="Q162" s="2"/>
      <c r="R162" s="2"/>
      <c r="S162" s="2"/>
      <c r="T162" s="2"/>
      <c r="U162" s="2"/>
      <c r="V162" s="2"/>
      <c r="W162" s="7184"/>
      <c r="X162" s="7184"/>
      <c r="Y162" s="2"/>
      <c r="Z162" s="2"/>
      <c r="AA162" s="2"/>
      <c r="AB162" s="4"/>
      <c r="AC162" s="2"/>
      <c r="AD162" s="2"/>
      <c r="AE162" s="4"/>
      <c r="AF162" s="2"/>
      <c r="AG162" s="2"/>
      <c r="AH162" s="4"/>
      <c r="AI162" s="2"/>
      <c r="AJ162" s="2"/>
      <c r="AK162" s="2"/>
      <c r="AL162" s="2"/>
      <c r="AM162" s="2"/>
      <c r="AN162" s="2"/>
      <c r="AO162" s="2"/>
      <c r="AP162" s="2"/>
      <c r="AQ162" s="2"/>
      <c r="AS162"/>
      <c r="AT162"/>
      <c r="AV162"/>
      <c r="AW162"/>
      <c r="AY162"/>
      <c r="AZ162"/>
      <c r="BB162"/>
      <c r="BC162"/>
      <c r="BE162"/>
      <c r="BF162"/>
      <c r="BH162"/>
      <c r="BI162"/>
      <c r="BK162"/>
      <c r="BL162"/>
      <c r="BN162" s="7184" t="s">
        <v>856</v>
      </c>
      <c r="BO162" s="7184"/>
      <c r="BQ162"/>
      <c r="BR162"/>
      <c r="BT162"/>
      <c r="BU162"/>
      <c r="BW162"/>
      <c r="BX162"/>
      <c r="BY162"/>
      <c r="BZ162"/>
      <c r="CA162"/>
      <c r="CB162"/>
      <c r="CC162"/>
      <c r="CD162"/>
      <c r="CE162"/>
      <c r="CG162"/>
      <c r="CH162"/>
      <c r="CJ162"/>
      <c r="CK162"/>
      <c r="CM162"/>
      <c r="CN162"/>
      <c r="CP162"/>
      <c r="CQ162"/>
      <c r="CS162"/>
      <c r="CT162"/>
      <c r="CV162"/>
      <c r="CW162"/>
      <c r="CY162" s="7184" t="s">
        <v>856</v>
      </c>
      <c r="CZ162" s="7184"/>
      <c r="DB162"/>
      <c r="DC162"/>
      <c r="DE162"/>
      <c r="DF162"/>
      <c r="DH162"/>
      <c r="DI162"/>
      <c r="DK162"/>
      <c r="DL162"/>
      <c r="DM162" s="5">
        <v>1</v>
      </c>
    </row>
    <row r="163" spans="1:117" s="1" customFormat="1" ht="18" customHeight="1" thickBot="1">
      <c r="B163" s="2"/>
      <c r="C163" s="2"/>
      <c r="D163" s="2"/>
      <c r="E163" s="2"/>
      <c r="F163" s="2"/>
      <c r="G163" s="2"/>
      <c r="H163" s="2"/>
      <c r="I163" s="2"/>
      <c r="J163" s="2"/>
      <c r="K163" s="2"/>
      <c r="L163" s="2"/>
      <c r="M163" s="2"/>
      <c r="N163" s="2"/>
      <c r="O163" s="2"/>
      <c r="P163" s="2"/>
      <c r="Q163" s="2"/>
      <c r="R163" s="2"/>
      <c r="S163" s="2"/>
      <c r="T163" s="2"/>
      <c r="U163" s="2"/>
      <c r="V163" s="2"/>
      <c r="W163" s="473">
        <v>1</v>
      </c>
      <c r="X163" s="473">
        <v>1</v>
      </c>
      <c r="Y163" s="2"/>
      <c r="Z163" s="2"/>
      <c r="AA163" s="2"/>
      <c r="AB163" s="4"/>
      <c r="AC163" s="2"/>
      <c r="AD163" s="2"/>
      <c r="AE163" s="4"/>
      <c r="AF163" s="2"/>
      <c r="AG163" s="2"/>
      <c r="AH163" s="4"/>
      <c r="AI163" s="2"/>
      <c r="AJ163" s="2"/>
      <c r="AK163" s="2"/>
      <c r="AL163" s="2"/>
      <c r="AM163" s="2"/>
      <c r="AN163" s="2"/>
      <c r="AO163" s="2"/>
      <c r="AP163" s="2"/>
      <c r="AQ163" s="2"/>
      <c r="AS163"/>
      <c r="AT163"/>
      <c r="AV163"/>
      <c r="AW163"/>
      <c r="AY163"/>
      <c r="AZ163"/>
      <c r="BB163"/>
      <c r="BC163"/>
      <c r="BE163"/>
      <c r="BF163"/>
      <c r="BH163"/>
      <c r="BI163"/>
      <c r="BK163"/>
      <c r="BL163"/>
      <c r="BN163" s="473" t="s">
        <v>856</v>
      </c>
      <c r="BO163" s="473"/>
      <c r="BQ163"/>
      <c r="BR163"/>
      <c r="BT163"/>
      <c r="BU163"/>
      <c r="BW163"/>
      <c r="BX163"/>
      <c r="BY163"/>
      <c r="BZ163"/>
      <c r="CA163"/>
      <c r="CB163"/>
      <c r="CC163"/>
      <c r="CD163"/>
      <c r="CE163"/>
      <c r="CG163"/>
      <c r="CH163"/>
      <c r="CJ163"/>
      <c r="CK163"/>
      <c r="CM163"/>
      <c r="CN163"/>
      <c r="CP163"/>
      <c r="CQ163"/>
      <c r="CS163"/>
      <c r="CT163"/>
      <c r="CV163"/>
      <c r="CW163"/>
      <c r="CY163" s="473" t="s">
        <v>856</v>
      </c>
      <c r="CZ163" s="473"/>
      <c r="DB163"/>
      <c r="DC163"/>
      <c r="DE163"/>
      <c r="DF163"/>
      <c r="DH163"/>
      <c r="DI163"/>
      <c r="DK163"/>
      <c r="DL163"/>
      <c r="DM163" s="5">
        <v>1</v>
      </c>
    </row>
    <row r="164" spans="1:117" s="1" customFormat="1" ht="18" customHeight="1">
      <c r="B164" s="2"/>
      <c r="C164" s="2"/>
      <c r="D164" s="2"/>
      <c r="E164" s="2"/>
      <c r="F164" s="2"/>
      <c r="G164" s="2"/>
      <c r="H164" s="2"/>
      <c r="I164" s="2"/>
      <c r="J164" s="2"/>
      <c r="K164" s="2"/>
      <c r="L164" s="2"/>
      <c r="M164" s="2"/>
      <c r="N164" s="2"/>
      <c r="O164" s="2"/>
      <c r="P164" s="2"/>
      <c r="Q164" s="2"/>
      <c r="R164" s="2"/>
      <c r="S164" s="2"/>
      <c r="T164" s="2"/>
      <c r="U164" s="2"/>
      <c r="V164" s="2"/>
      <c r="W164" s="7183" t="s">
        <v>8340</v>
      </c>
      <c r="X164" s="7183"/>
      <c r="Y164" s="2"/>
      <c r="Z164" s="2"/>
      <c r="AA164" s="2"/>
      <c r="AB164" s="4"/>
      <c r="AC164" s="2"/>
      <c r="AD164" s="2"/>
      <c r="AE164" s="4"/>
      <c r="AF164" s="2"/>
      <c r="AG164" s="2"/>
      <c r="AH164" s="4"/>
      <c r="AI164" s="2"/>
      <c r="AJ164" s="2"/>
      <c r="AK164" s="2"/>
      <c r="AL164" s="2"/>
      <c r="AM164" s="2"/>
      <c r="AN164" s="2"/>
      <c r="AO164" s="2"/>
      <c r="AP164" s="2"/>
      <c r="AQ164" s="2"/>
      <c r="AS164"/>
      <c r="AT164"/>
      <c r="AV164"/>
      <c r="AW164"/>
      <c r="AY164"/>
      <c r="AZ164"/>
      <c r="BB164"/>
      <c r="BC164"/>
      <c r="BE164"/>
      <c r="BF164"/>
      <c r="BH164"/>
      <c r="BI164"/>
      <c r="BK164"/>
      <c r="BL164"/>
      <c r="BN164" s="7183" t="s">
        <v>10483</v>
      </c>
      <c r="BO164" s="7183"/>
      <c r="BQ164"/>
      <c r="BR164"/>
      <c r="BT164"/>
      <c r="BU164"/>
      <c r="BW164"/>
      <c r="BX164"/>
      <c r="BY164"/>
      <c r="BZ164"/>
      <c r="CA164"/>
      <c r="CB164"/>
      <c r="CC164"/>
      <c r="CD164"/>
      <c r="CE164"/>
      <c r="CG164"/>
      <c r="CH164"/>
      <c r="CJ164"/>
      <c r="CK164"/>
      <c r="CM164"/>
      <c r="CN164"/>
      <c r="CP164"/>
      <c r="CQ164"/>
      <c r="CS164"/>
      <c r="CT164"/>
      <c r="CV164"/>
      <c r="CW164"/>
      <c r="CY164" s="7183" t="s">
        <v>10532</v>
      </c>
      <c r="CZ164" s="7183"/>
      <c r="DB164"/>
      <c r="DC164"/>
      <c r="DE164"/>
      <c r="DF164"/>
      <c r="DH164"/>
      <c r="DI164"/>
      <c r="DK164"/>
      <c r="DL164"/>
      <c r="DM164" s="5">
        <v>1</v>
      </c>
    </row>
    <row r="165" spans="1:117" s="1" customFormat="1" ht="18" customHeight="1">
      <c r="B165" s="2"/>
      <c r="C165" s="2"/>
      <c r="D165" s="2"/>
      <c r="E165" s="2"/>
      <c r="F165" s="2"/>
      <c r="G165" s="2"/>
      <c r="H165" s="2"/>
      <c r="I165" s="2"/>
      <c r="J165" s="2"/>
      <c r="K165" s="2"/>
      <c r="L165" s="2"/>
      <c r="M165" s="2"/>
      <c r="N165" s="2"/>
      <c r="O165" s="2"/>
      <c r="P165" s="2"/>
      <c r="Q165" s="2"/>
      <c r="R165" s="2"/>
      <c r="S165" s="2"/>
      <c r="T165" s="2"/>
      <c r="U165" s="2"/>
      <c r="V165" s="2"/>
      <c r="W165" s="7184"/>
      <c r="X165" s="7184"/>
      <c r="Y165" s="2"/>
      <c r="Z165" s="2"/>
      <c r="AA165" s="2"/>
      <c r="AB165" s="4"/>
      <c r="AC165" s="2"/>
      <c r="AD165" s="2"/>
      <c r="AE165" s="4"/>
      <c r="AF165" s="2"/>
      <c r="AG165" s="2"/>
      <c r="AH165" s="4"/>
      <c r="AI165" s="2"/>
      <c r="AJ165" s="2"/>
      <c r="AK165" s="2"/>
      <c r="AL165" s="2"/>
      <c r="AM165" s="2"/>
      <c r="AN165" s="2"/>
      <c r="AO165" s="2"/>
      <c r="AP165" s="2"/>
      <c r="AQ165" s="2"/>
      <c r="AS165"/>
      <c r="AT165"/>
      <c r="AV165"/>
      <c r="AW165"/>
      <c r="AY165"/>
      <c r="AZ165"/>
      <c r="BB165"/>
      <c r="BC165"/>
      <c r="BE165"/>
      <c r="BF165"/>
      <c r="BH165"/>
      <c r="BI165"/>
      <c r="BK165"/>
      <c r="BL165"/>
      <c r="BN165" s="7184" t="s">
        <v>856</v>
      </c>
      <c r="BO165" s="7184"/>
      <c r="BQ165"/>
      <c r="BR165"/>
      <c r="BT165"/>
      <c r="BU165"/>
      <c r="BW165"/>
      <c r="BX165"/>
      <c r="BY165"/>
      <c r="BZ165"/>
      <c r="CA165"/>
      <c r="CB165"/>
      <c r="CC165"/>
      <c r="CD165"/>
      <c r="CE165"/>
      <c r="CG165"/>
      <c r="CH165"/>
      <c r="CJ165"/>
      <c r="CK165"/>
      <c r="CM165"/>
      <c r="CN165"/>
      <c r="CP165"/>
      <c r="CQ165"/>
      <c r="CS165"/>
      <c r="CT165"/>
      <c r="CV165"/>
      <c r="CW165"/>
      <c r="CY165" s="7184" t="s">
        <v>856</v>
      </c>
      <c r="CZ165" s="7184"/>
      <c r="DB165"/>
      <c r="DC165"/>
      <c r="DE165"/>
      <c r="DF165"/>
      <c r="DH165"/>
      <c r="DI165"/>
      <c r="DK165"/>
      <c r="DL165"/>
      <c r="DM165" s="5">
        <v>1</v>
      </c>
    </row>
    <row r="166" spans="1:117" ht="18" customHeight="1" thickBot="1">
      <c r="W166" s="473">
        <v>1</v>
      </c>
      <c r="X166" s="473">
        <v>1</v>
      </c>
      <c r="BN166" s="473" t="s">
        <v>856</v>
      </c>
      <c r="BO166" s="473"/>
      <c r="CY166" s="473" t="s">
        <v>856</v>
      </c>
      <c r="CZ166" s="473"/>
      <c r="DM166" s="5">
        <v>1</v>
      </c>
    </row>
    <row r="167" spans="1:117" ht="18" customHeight="1">
      <c r="W167" s="7183" t="s">
        <v>8341</v>
      </c>
      <c r="X167" s="7183"/>
      <c r="BN167" s="7183" t="s">
        <v>10484</v>
      </c>
      <c r="BO167" s="7183"/>
      <c r="CY167" s="7183" t="s">
        <v>8340</v>
      </c>
      <c r="CZ167" s="7183"/>
      <c r="DM167" s="5">
        <v>1</v>
      </c>
    </row>
    <row r="168" spans="1:117" ht="18" customHeight="1">
      <c r="W168" s="7184"/>
      <c r="X168" s="7184"/>
      <c r="BN168" s="7184" t="s">
        <v>856</v>
      </c>
      <c r="BO168" s="7184"/>
      <c r="CY168" s="7184" t="s">
        <v>856</v>
      </c>
      <c r="CZ168" s="7184"/>
      <c r="DM168" s="5">
        <v>1</v>
      </c>
    </row>
    <row r="169" spans="1:117" ht="15.75" thickBot="1">
      <c r="A169" s="2"/>
      <c r="W169" s="473">
        <v>1</v>
      </c>
      <c r="X169" s="473">
        <v>1</v>
      </c>
      <c r="BN169" s="473" t="s">
        <v>856</v>
      </c>
      <c r="BO169" s="473"/>
      <c r="CY169" t="s">
        <v>856</v>
      </c>
      <c r="DM169" s="5">
        <v>1</v>
      </c>
    </row>
    <row r="170" spans="1:117">
      <c r="A170" s="2"/>
      <c r="W170" s="7183" t="s">
        <v>8342</v>
      </c>
      <c r="X170" s="7183"/>
      <c r="BN170" s="7183" t="s">
        <v>10485</v>
      </c>
      <c r="BO170" s="7183"/>
      <c r="CY170" s="7183" t="s">
        <v>10533</v>
      </c>
      <c r="CZ170" s="7183"/>
      <c r="DM170" s="5">
        <v>1</v>
      </c>
    </row>
    <row r="171" spans="1:117">
      <c r="W171" s="7184"/>
      <c r="X171" s="7184"/>
      <c r="BN171" s="7184" t="s">
        <v>856</v>
      </c>
      <c r="BO171" s="7184"/>
      <c r="CY171" s="7184" t="s">
        <v>856</v>
      </c>
      <c r="CZ171" s="7184"/>
      <c r="DM171" s="5">
        <v>1</v>
      </c>
    </row>
    <row r="172" spans="1:117" ht="15.75" thickBot="1">
      <c r="BN172" s="473" t="s">
        <v>856</v>
      </c>
      <c r="BO172" s="473"/>
      <c r="CY172" t="s">
        <v>856</v>
      </c>
      <c r="DM172" s="5">
        <v>1</v>
      </c>
    </row>
    <row r="173" spans="1:117">
      <c r="W173" s="7183"/>
      <c r="X173" s="7183"/>
      <c r="BN173" s="7183" t="s">
        <v>10486</v>
      </c>
      <c r="BO173" s="7183"/>
      <c r="CY173" s="7183" t="s">
        <v>10534</v>
      </c>
      <c r="CZ173" s="7183"/>
      <c r="DM173" s="5">
        <v>1</v>
      </c>
    </row>
    <row r="174" spans="1:117">
      <c r="W174" s="7184"/>
      <c r="X174" s="7184"/>
      <c r="AB174" s="2"/>
      <c r="AE174" s="2"/>
      <c r="AH174" s="2"/>
      <c r="AV174" t="s">
        <v>856</v>
      </c>
      <c r="AY174" t="s">
        <v>856</v>
      </c>
      <c r="BN174" s="7184" t="s">
        <v>856</v>
      </c>
      <c r="BO174" s="7184"/>
      <c r="CY174" s="7184" t="s">
        <v>856</v>
      </c>
      <c r="CZ174" s="7184"/>
      <c r="DM174" s="5">
        <v>1</v>
      </c>
    </row>
    <row r="175" spans="1:117" ht="15.75">
      <c r="AB175" s="2"/>
      <c r="AE175" s="2"/>
      <c r="AH175" s="2"/>
      <c r="BN175" s="6807"/>
      <c r="BO175" s="6807"/>
      <c r="CY175" s="6807"/>
      <c r="CZ175" s="6807"/>
      <c r="DM175" s="5">
        <v>1</v>
      </c>
    </row>
    <row r="176" spans="1:117" ht="15.75" thickBot="1">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DM176" s="5">
        <v>1</v>
      </c>
    </row>
    <row r="177" spans="1:119">
      <c r="BN177" s="7183"/>
      <c r="BO177" s="7183"/>
      <c r="CY177" s="7183"/>
      <c r="CZ177" s="7183"/>
      <c r="DM177" s="5">
        <v>1</v>
      </c>
    </row>
    <row r="178" spans="1:119">
      <c r="BN178" s="7184"/>
      <c r="BO178" s="7184"/>
      <c r="CY178" s="7184"/>
      <c r="CZ178" s="7184"/>
      <c r="DM178" s="5">
        <v>1</v>
      </c>
    </row>
    <row r="179" spans="1:119">
      <c r="DM179" s="5">
        <v>1</v>
      </c>
    </row>
    <row r="180" spans="1:119">
      <c r="DM180" s="5">
        <v>1</v>
      </c>
    </row>
    <row r="181" spans="1:119">
      <c r="DM181" s="5">
        <v>1</v>
      </c>
      <c r="DN181" s="2"/>
      <c r="DO181" s="2"/>
    </row>
    <row r="182" spans="1:119">
      <c r="DM182" s="10" t="s">
        <v>0</v>
      </c>
      <c r="DN182" s="2"/>
      <c r="DO182" s="2"/>
    </row>
    <row r="183" spans="1:119">
      <c r="A183" s="5">
        <v>1</v>
      </c>
      <c r="B183" s="5">
        <v>1</v>
      </c>
      <c r="C183" s="5">
        <v>1</v>
      </c>
      <c r="D183" s="5">
        <v>1</v>
      </c>
      <c r="E183" s="5">
        <v>1</v>
      </c>
      <c r="F183" s="5">
        <v>1</v>
      </c>
      <c r="G183" s="5">
        <v>1</v>
      </c>
      <c r="H183" s="5">
        <v>1</v>
      </c>
      <c r="I183" s="5">
        <v>1</v>
      </c>
      <c r="J183" s="5">
        <v>1</v>
      </c>
      <c r="K183" s="5">
        <v>1</v>
      </c>
      <c r="L183" s="5">
        <v>1</v>
      </c>
      <c r="M183" s="5">
        <v>1</v>
      </c>
      <c r="N183" s="5">
        <v>1</v>
      </c>
      <c r="O183" s="5">
        <v>1</v>
      </c>
      <c r="P183" s="5">
        <v>1</v>
      </c>
      <c r="Q183" s="5">
        <v>1</v>
      </c>
      <c r="R183" s="5">
        <v>1</v>
      </c>
      <c r="S183" s="5">
        <v>1</v>
      </c>
      <c r="T183" s="5">
        <v>1</v>
      </c>
      <c r="U183" s="5">
        <v>1</v>
      </c>
      <c r="V183" s="5">
        <v>1</v>
      </c>
      <c r="W183" s="5">
        <v>1</v>
      </c>
      <c r="X183" s="5">
        <v>1</v>
      </c>
      <c r="Y183" s="5">
        <v>1</v>
      </c>
      <c r="Z183" s="5">
        <v>1</v>
      </c>
      <c r="AA183" s="5">
        <v>1</v>
      </c>
      <c r="AB183" s="5">
        <v>1</v>
      </c>
      <c r="AC183" s="5">
        <v>1</v>
      </c>
      <c r="AD183" s="5">
        <v>1</v>
      </c>
      <c r="AE183" s="5">
        <v>1</v>
      </c>
      <c r="AF183" s="5">
        <v>1</v>
      </c>
      <c r="AG183" s="5">
        <v>1</v>
      </c>
      <c r="AH183" s="5">
        <v>1</v>
      </c>
      <c r="AI183" s="5">
        <v>1</v>
      </c>
      <c r="AJ183" s="5">
        <v>1</v>
      </c>
      <c r="AK183" s="5">
        <v>1</v>
      </c>
      <c r="AL183" s="5">
        <v>1</v>
      </c>
      <c r="AM183" s="5">
        <v>1</v>
      </c>
      <c r="AN183" s="5">
        <v>1</v>
      </c>
      <c r="AO183" s="5">
        <v>1</v>
      </c>
      <c r="AP183" s="5">
        <v>1</v>
      </c>
      <c r="AQ183" s="5">
        <v>1</v>
      </c>
      <c r="AR183" s="5">
        <v>1</v>
      </c>
      <c r="AS183" s="5">
        <v>1</v>
      </c>
      <c r="AT183" s="5">
        <v>1</v>
      </c>
      <c r="AU183" s="5">
        <v>1</v>
      </c>
      <c r="AV183" s="5">
        <v>1</v>
      </c>
      <c r="AW183" s="5">
        <v>1</v>
      </c>
      <c r="AX183" s="5">
        <v>1</v>
      </c>
      <c r="AY183" s="5">
        <v>1</v>
      </c>
      <c r="AZ183" s="5">
        <v>1</v>
      </c>
      <c r="BA183" s="5">
        <v>1</v>
      </c>
      <c r="BB183" s="5">
        <v>1</v>
      </c>
      <c r="BC183" s="5">
        <v>1</v>
      </c>
      <c r="BD183" s="5">
        <v>1</v>
      </c>
      <c r="BE183" s="5">
        <v>1</v>
      </c>
      <c r="BF183" s="5">
        <v>1</v>
      </c>
      <c r="BG183" s="5">
        <v>1</v>
      </c>
      <c r="BH183" s="5">
        <v>1</v>
      </c>
      <c r="BI183" s="5">
        <v>1</v>
      </c>
      <c r="BJ183" s="5">
        <v>1</v>
      </c>
      <c r="BK183" s="5">
        <v>1</v>
      </c>
      <c r="BL183" s="5">
        <v>1</v>
      </c>
      <c r="BM183" s="5">
        <v>1</v>
      </c>
      <c r="BN183" s="5">
        <v>1</v>
      </c>
      <c r="BO183" s="5">
        <v>1</v>
      </c>
      <c r="BP183" s="5">
        <v>1</v>
      </c>
      <c r="BQ183" s="5">
        <v>1</v>
      </c>
      <c r="BR183" s="5">
        <v>1</v>
      </c>
      <c r="BS183" s="5">
        <v>1</v>
      </c>
      <c r="BT183" s="5">
        <v>1</v>
      </c>
      <c r="BU183" s="5">
        <v>1</v>
      </c>
      <c r="BV183" s="5">
        <v>1</v>
      </c>
      <c r="BW183" s="5">
        <v>1</v>
      </c>
      <c r="BX183" s="5">
        <v>1</v>
      </c>
      <c r="BY183" s="5">
        <v>1</v>
      </c>
      <c r="BZ183" s="5">
        <v>1</v>
      </c>
      <c r="CA183" s="5">
        <v>1</v>
      </c>
      <c r="CB183" s="5">
        <v>1</v>
      </c>
      <c r="CC183" s="5">
        <v>1</v>
      </c>
      <c r="CD183" s="5">
        <v>1</v>
      </c>
      <c r="CE183" s="5">
        <v>1</v>
      </c>
      <c r="CF183" s="5">
        <v>1</v>
      </c>
      <c r="CG183" s="5">
        <v>1</v>
      </c>
      <c r="CH183" s="5">
        <v>1</v>
      </c>
      <c r="CI183" s="5">
        <v>1</v>
      </c>
      <c r="CJ183" s="5">
        <v>1</v>
      </c>
      <c r="CK183" s="5">
        <v>1</v>
      </c>
      <c r="CL183" s="5">
        <v>1</v>
      </c>
      <c r="CM183" s="5">
        <v>1</v>
      </c>
      <c r="CN183" s="5">
        <v>1</v>
      </c>
      <c r="CO183" s="5">
        <v>1</v>
      </c>
      <c r="CP183" s="5">
        <v>1</v>
      </c>
      <c r="CQ183" s="5">
        <v>1</v>
      </c>
      <c r="CR183" s="5">
        <v>1</v>
      </c>
      <c r="CS183" s="5">
        <v>1</v>
      </c>
      <c r="CT183" s="5">
        <v>1</v>
      </c>
      <c r="CU183" s="5">
        <v>1</v>
      </c>
      <c r="CV183" s="5">
        <v>1</v>
      </c>
      <c r="CW183" s="5">
        <v>1</v>
      </c>
      <c r="CX183" s="5">
        <v>1</v>
      </c>
      <c r="CY183" s="5">
        <v>1</v>
      </c>
      <c r="CZ183" s="5">
        <v>1</v>
      </c>
      <c r="DA183" s="5">
        <v>1</v>
      </c>
      <c r="DB183" s="5">
        <v>1</v>
      </c>
      <c r="DC183" s="5">
        <v>1</v>
      </c>
      <c r="DD183" s="5">
        <v>1</v>
      </c>
      <c r="DE183" s="5">
        <v>1</v>
      </c>
      <c r="DF183" s="5">
        <v>1</v>
      </c>
      <c r="DG183" s="5">
        <v>1</v>
      </c>
      <c r="DH183" s="5">
        <v>1</v>
      </c>
      <c r="DI183" s="5">
        <v>1</v>
      </c>
      <c r="DJ183" s="5">
        <v>1</v>
      </c>
      <c r="DK183" s="5">
        <v>1</v>
      </c>
      <c r="DL183" s="5">
        <v>1</v>
      </c>
      <c r="DM183" s="9" t="str">
        <f>ADDRESS(ROW(),COLUMN(),4)</f>
        <v>DM183</v>
      </c>
      <c r="DN183" s="8"/>
      <c r="DO183" s="7" t="str">
        <f>ADDRESS(ROW(),COLUMN(),4)</f>
        <v>DO183</v>
      </c>
    </row>
  </sheetData>
  <mergeCells count="1065">
    <mergeCell ref="AS5:BH6"/>
    <mergeCell ref="CD6:CS7"/>
    <mergeCell ref="CY177:CZ178"/>
    <mergeCell ref="DB86:DC87"/>
    <mergeCell ref="BQ86:BR87"/>
    <mergeCell ref="BN177:BO178"/>
    <mergeCell ref="BK146:BL147"/>
    <mergeCell ref="BK149:BL150"/>
    <mergeCell ref="AS101:AT102"/>
    <mergeCell ref="Z83:AA84"/>
    <mergeCell ref="W173:X174"/>
    <mergeCell ref="BN173:BO174"/>
    <mergeCell ref="CY173:CZ174"/>
    <mergeCell ref="DB80:DC81"/>
    <mergeCell ref="DB83:DC84"/>
    <mergeCell ref="CM110:CN111"/>
    <mergeCell ref="CJ104:CK105"/>
    <mergeCell ref="CG119:CH120"/>
    <mergeCell ref="CG122:CH123"/>
    <mergeCell ref="CJ107:CK108"/>
    <mergeCell ref="CM113:CN114"/>
    <mergeCell ref="CS92:CT93"/>
    <mergeCell ref="CV149:CW150"/>
    <mergeCell ref="BN158:BO159"/>
    <mergeCell ref="CY158:CZ159"/>
    <mergeCell ref="BN161:BO162"/>
    <mergeCell ref="CY161:CZ162"/>
    <mergeCell ref="BN164:BO165"/>
    <mergeCell ref="CY164:CZ165"/>
    <mergeCell ref="BN167:BO168"/>
    <mergeCell ref="CY167:CZ168"/>
    <mergeCell ref="BN170:BO171"/>
    <mergeCell ref="CY170:CZ171"/>
    <mergeCell ref="BN146:BO147"/>
    <mergeCell ref="CV146:CW147"/>
    <mergeCell ref="CY146:CZ147"/>
    <mergeCell ref="BN149:BO150"/>
    <mergeCell ref="CY149:CZ150"/>
    <mergeCell ref="BN152:BO153"/>
    <mergeCell ref="CY152:CZ153"/>
    <mergeCell ref="BN155:BO156"/>
    <mergeCell ref="CY155:CZ156"/>
    <mergeCell ref="BK137:BL138"/>
    <mergeCell ref="BN137:BO138"/>
    <mergeCell ref="CV137:CW138"/>
    <mergeCell ref="CY137:CZ138"/>
    <mergeCell ref="BK140:BL141"/>
    <mergeCell ref="BN140:BO141"/>
    <mergeCell ref="CV140:CW141"/>
    <mergeCell ref="CY140:CZ141"/>
    <mergeCell ref="BK143:BL144"/>
    <mergeCell ref="BN143:BO144"/>
    <mergeCell ref="CV143:CW144"/>
    <mergeCell ref="CY143:CZ144"/>
    <mergeCell ref="BK128:BL129"/>
    <mergeCell ref="BN128:BO129"/>
    <mergeCell ref="CV128:CW129"/>
    <mergeCell ref="CY128:CZ129"/>
    <mergeCell ref="BK131:BL132"/>
    <mergeCell ref="BN131:BO132"/>
    <mergeCell ref="CV131:CW132"/>
    <mergeCell ref="CY131:CZ132"/>
    <mergeCell ref="BK134:BL135"/>
    <mergeCell ref="BN134:BO135"/>
    <mergeCell ref="CV134:CW135"/>
    <mergeCell ref="CY134:CZ135"/>
    <mergeCell ref="AV122:AW123"/>
    <mergeCell ref="BK122:BL123"/>
    <mergeCell ref="BN122:BO123"/>
    <mergeCell ref="CV122:CW123"/>
    <mergeCell ref="CY122:CZ123"/>
    <mergeCell ref="BK125:BL126"/>
    <mergeCell ref="BN125:BO126"/>
    <mergeCell ref="CV125:CW126"/>
    <mergeCell ref="CY125:CZ126"/>
    <mergeCell ref="AV116:AW117"/>
    <mergeCell ref="BK116:BL117"/>
    <mergeCell ref="BN116:BO117"/>
    <mergeCell ref="CG116:CH117"/>
    <mergeCell ref="CV116:CW117"/>
    <mergeCell ref="CY116:CZ117"/>
    <mergeCell ref="AV119:AW120"/>
    <mergeCell ref="BK119:BL120"/>
    <mergeCell ref="BN119:BO120"/>
    <mergeCell ref="CV119:CW120"/>
    <mergeCell ref="CY119:CZ120"/>
    <mergeCell ref="AV110:AW111"/>
    <mergeCell ref="BB110:BC111"/>
    <mergeCell ref="BK110:BL111"/>
    <mergeCell ref="BN110:BO111"/>
    <mergeCell ref="CG110:CH111"/>
    <mergeCell ref="CV110:CW111"/>
    <mergeCell ref="CY110:CZ111"/>
    <mergeCell ref="AV113:AW114"/>
    <mergeCell ref="BB113:BC114"/>
    <mergeCell ref="BK113:BL114"/>
    <mergeCell ref="BN113:BO114"/>
    <mergeCell ref="CG113:CH114"/>
    <mergeCell ref="CV113:CW114"/>
    <mergeCell ref="CY113:CZ114"/>
    <mergeCell ref="CY104:CZ105"/>
    <mergeCell ref="AV107:AW108"/>
    <mergeCell ref="AY107:AZ108"/>
    <mergeCell ref="BB107:BC108"/>
    <mergeCell ref="BK107:BL108"/>
    <mergeCell ref="BN107:BO108"/>
    <mergeCell ref="CG107:CH108"/>
    <mergeCell ref="CM107:CN108"/>
    <mergeCell ref="CV107:CW108"/>
    <mergeCell ref="CY107:CZ108"/>
    <mergeCell ref="AV104:AW105"/>
    <mergeCell ref="AY104:AZ105"/>
    <mergeCell ref="BB104:BC105"/>
    <mergeCell ref="BK104:BL105"/>
    <mergeCell ref="BN104:BO105"/>
    <mergeCell ref="CG104:CH105"/>
    <mergeCell ref="CM104:CN105"/>
    <mergeCell ref="CV104:CW105"/>
    <mergeCell ref="CJ98:CK99"/>
    <mergeCell ref="CM98:CN99"/>
    <mergeCell ref="CV98:CW99"/>
    <mergeCell ref="CY98:CZ99"/>
    <mergeCell ref="AV101:AW102"/>
    <mergeCell ref="AY101:AZ102"/>
    <mergeCell ref="BB101:BC102"/>
    <mergeCell ref="BK101:BL102"/>
    <mergeCell ref="BN101:BO102"/>
    <mergeCell ref="CD101:CE102"/>
    <mergeCell ref="CG101:CH102"/>
    <mergeCell ref="CJ101:CK102"/>
    <mergeCell ref="CM101:CN102"/>
    <mergeCell ref="CV101:CW102"/>
    <mergeCell ref="CY101:CZ102"/>
    <mergeCell ref="AS98:AT99"/>
    <mergeCell ref="AV98:AW99"/>
    <mergeCell ref="AY98:AZ99"/>
    <mergeCell ref="BB98:BC99"/>
    <mergeCell ref="BK98:BL99"/>
    <mergeCell ref="BN98:BO99"/>
    <mergeCell ref="CD98:CE99"/>
    <mergeCell ref="CG98:CH99"/>
    <mergeCell ref="CG92:CH93"/>
    <mergeCell ref="CJ92:CK93"/>
    <mergeCell ref="CM92:CN93"/>
    <mergeCell ref="CV92:CW93"/>
    <mergeCell ref="CY92:CZ93"/>
    <mergeCell ref="AS95:AT96"/>
    <mergeCell ref="AV95:AW96"/>
    <mergeCell ref="AY95:AZ96"/>
    <mergeCell ref="BB95:BC96"/>
    <mergeCell ref="BH95:BI96"/>
    <mergeCell ref="BK95:BL96"/>
    <mergeCell ref="BN95:BO96"/>
    <mergeCell ref="CD95:CE96"/>
    <mergeCell ref="CG95:CH96"/>
    <mergeCell ref="CJ95:CK96"/>
    <mergeCell ref="CM95:CN96"/>
    <mergeCell ref="CV95:CW96"/>
    <mergeCell ref="CY95:CZ96"/>
    <mergeCell ref="AS92:AT93"/>
    <mergeCell ref="AV92:AW93"/>
    <mergeCell ref="AY92:AZ93"/>
    <mergeCell ref="BB92:BC93"/>
    <mergeCell ref="BH92:BI93"/>
    <mergeCell ref="BK92:BL93"/>
    <mergeCell ref="BN92:BO93"/>
    <mergeCell ref="CD92:CE93"/>
    <mergeCell ref="CD86:CE87"/>
    <mergeCell ref="CG86:CH87"/>
    <mergeCell ref="CJ86:CK87"/>
    <mergeCell ref="CM86:CN87"/>
    <mergeCell ref="CS86:CT87"/>
    <mergeCell ref="CV86:CW87"/>
    <mergeCell ref="CY86:CZ87"/>
    <mergeCell ref="AS89:AT90"/>
    <mergeCell ref="AV89:AW90"/>
    <mergeCell ref="AY89:AZ90"/>
    <mergeCell ref="BB89:BC90"/>
    <mergeCell ref="BH89:BI90"/>
    <mergeCell ref="BK89:BL90"/>
    <mergeCell ref="BN89:BO90"/>
    <mergeCell ref="CD89:CE90"/>
    <mergeCell ref="CG89:CH90"/>
    <mergeCell ref="CJ89:CK90"/>
    <mergeCell ref="CM89:CN90"/>
    <mergeCell ref="CS89:CT90"/>
    <mergeCell ref="CV89:CW90"/>
    <mergeCell ref="CY89:CZ90"/>
    <mergeCell ref="AS86:AT87"/>
    <mergeCell ref="AV86:AW87"/>
    <mergeCell ref="AY86:AZ87"/>
    <mergeCell ref="BB86:BC87"/>
    <mergeCell ref="BH86:BI87"/>
    <mergeCell ref="BK86:BL87"/>
    <mergeCell ref="BN86:BO87"/>
    <mergeCell ref="CD83:CE84"/>
    <mergeCell ref="CG83:CH84"/>
    <mergeCell ref="CJ83:CK84"/>
    <mergeCell ref="CM83:CN84"/>
    <mergeCell ref="CS83:CT84"/>
    <mergeCell ref="CV83:CW84"/>
    <mergeCell ref="CY83:CZ84"/>
    <mergeCell ref="AS83:AT84"/>
    <mergeCell ref="AV83:AW84"/>
    <mergeCell ref="AY83:AZ84"/>
    <mergeCell ref="BB83:BC84"/>
    <mergeCell ref="BH83:BI84"/>
    <mergeCell ref="BK83:BL84"/>
    <mergeCell ref="BN83:BO84"/>
    <mergeCell ref="BQ83:BR84"/>
    <mergeCell ref="DE77:DF78"/>
    <mergeCell ref="DH77:DI78"/>
    <mergeCell ref="AS80:AT81"/>
    <mergeCell ref="AV80:AW81"/>
    <mergeCell ref="AY80:AZ81"/>
    <mergeCell ref="BB80:BC81"/>
    <mergeCell ref="BH80:BI81"/>
    <mergeCell ref="BK80:BL81"/>
    <mergeCell ref="BN80:BO81"/>
    <mergeCell ref="BQ80:BR81"/>
    <mergeCell ref="BT80:BU81"/>
    <mergeCell ref="BW80:BX81"/>
    <mergeCell ref="CD80:CE81"/>
    <mergeCell ref="CG80:CH81"/>
    <mergeCell ref="CJ80:CK81"/>
    <mergeCell ref="CM80:CN81"/>
    <mergeCell ref="CS80:CT81"/>
    <mergeCell ref="CV80:CW81"/>
    <mergeCell ref="CY80:CZ81"/>
    <mergeCell ref="DE80:DF81"/>
    <mergeCell ref="DH80:DI81"/>
    <mergeCell ref="BW77:BX78"/>
    <mergeCell ref="CD77:CE78"/>
    <mergeCell ref="CG77:CH78"/>
    <mergeCell ref="CJ77:CK78"/>
    <mergeCell ref="CM77:CN78"/>
    <mergeCell ref="CS77:CT78"/>
    <mergeCell ref="CV77:CW78"/>
    <mergeCell ref="CY77:CZ78"/>
    <mergeCell ref="DB77:DC78"/>
    <mergeCell ref="AS77:AT78"/>
    <mergeCell ref="AV77:AW78"/>
    <mergeCell ref="AY77:AZ78"/>
    <mergeCell ref="BB77:BC78"/>
    <mergeCell ref="BH77:BI78"/>
    <mergeCell ref="BK77:BL78"/>
    <mergeCell ref="BN77:BO78"/>
    <mergeCell ref="BQ77:BR78"/>
    <mergeCell ref="BT77:BU78"/>
    <mergeCell ref="DH71:DI72"/>
    <mergeCell ref="AS74:AT75"/>
    <mergeCell ref="AV74:AW75"/>
    <mergeCell ref="AY74:AZ75"/>
    <mergeCell ref="BB74:BC75"/>
    <mergeCell ref="BH74:BI75"/>
    <mergeCell ref="BK74:BL75"/>
    <mergeCell ref="BN74:BO75"/>
    <mergeCell ref="BQ74:BR75"/>
    <mergeCell ref="BT74:BU75"/>
    <mergeCell ref="BW74:BX75"/>
    <mergeCell ref="CD74:CE75"/>
    <mergeCell ref="CG74:CH75"/>
    <mergeCell ref="CJ74:CK75"/>
    <mergeCell ref="CM74:CN75"/>
    <mergeCell ref="CS74:CT75"/>
    <mergeCell ref="CV74:CW75"/>
    <mergeCell ref="CY74:CZ75"/>
    <mergeCell ref="DB74:DC75"/>
    <mergeCell ref="DE74:DF75"/>
    <mergeCell ref="DH74:DI75"/>
    <mergeCell ref="CY68:CZ69"/>
    <mergeCell ref="DB68:DC69"/>
    <mergeCell ref="DE68:DF69"/>
    <mergeCell ref="DH68:DI69"/>
    <mergeCell ref="AS71:AT72"/>
    <mergeCell ref="AV71:AW72"/>
    <mergeCell ref="AY71:AZ72"/>
    <mergeCell ref="BB71:BC72"/>
    <mergeCell ref="BH71:BI72"/>
    <mergeCell ref="BK71:BL72"/>
    <mergeCell ref="BN71:BO72"/>
    <mergeCell ref="BQ71:BR72"/>
    <mergeCell ref="BT71:BU72"/>
    <mergeCell ref="BW71:BX72"/>
    <mergeCell ref="CD71:CE72"/>
    <mergeCell ref="CG71:CH72"/>
    <mergeCell ref="CJ71:CK72"/>
    <mergeCell ref="CM71:CN72"/>
    <mergeCell ref="CS71:CT72"/>
    <mergeCell ref="CV71:CW72"/>
    <mergeCell ref="CY71:CZ72"/>
    <mergeCell ref="DB71:DC72"/>
    <mergeCell ref="DE71:DF72"/>
    <mergeCell ref="BT68:BU69"/>
    <mergeCell ref="BW68:BX69"/>
    <mergeCell ref="CD68:CE69"/>
    <mergeCell ref="CG68:CH69"/>
    <mergeCell ref="CJ68:CK69"/>
    <mergeCell ref="CM68:CN69"/>
    <mergeCell ref="CP68:CQ69"/>
    <mergeCell ref="CS68:CT69"/>
    <mergeCell ref="CV68:CW69"/>
    <mergeCell ref="AS68:AT69"/>
    <mergeCell ref="AV68:AW69"/>
    <mergeCell ref="AY68:AZ69"/>
    <mergeCell ref="BB68:BC69"/>
    <mergeCell ref="BE68:BF69"/>
    <mergeCell ref="BH68:BI69"/>
    <mergeCell ref="BK68:BL69"/>
    <mergeCell ref="BN68:BO69"/>
    <mergeCell ref="BQ68:BR69"/>
    <mergeCell ref="DE62:DF63"/>
    <mergeCell ref="DH62:DI63"/>
    <mergeCell ref="AS65:AT66"/>
    <mergeCell ref="AV65:AW66"/>
    <mergeCell ref="AY65:AZ66"/>
    <mergeCell ref="BB65:BC66"/>
    <mergeCell ref="BE65:BF66"/>
    <mergeCell ref="BH65:BI66"/>
    <mergeCell ref="BK65:BL66"/>
    <mergeCell ref="BN65:BO66"/>
    <mergeCell ref="BQ65:BR66"/>
    <mergeCell ref="BT65:BU66"/>
    <mergeCell ref="BW65:BX66"/>
    <mergeCell ref="CD65:CE66"/>
    <mergeCell ref="CG65:CH66"/>
    <mergeCell ref="CJ65:CK66"/>
    <mergeCell ref="CM65:CN66"/>
    <mergeCell ref="CP65:CQ66"/>
    <mergeCell ref="CS65:CT66"/>
    <mergeCell ref="CV65:CW66"/>
    <mergeCell ref="CY65:CZ66"/>
    <mergeCell ref="DB65:DC66"/>
    <mergeCell ref="DE65:DF66"/>
    <mergeCell ref="DH65:DI66"/>
    <mergeCell ref="CY59:CZ60"/>
    <mergeCell ref="DB59:DC60"/>
    <mergeCell ref="DE59:DF60"/>
    <mergeCell ref="DH59:DI60"/>
    <mergeCell ref="AS62:AT63"/>
    <mergeCell ref="AV62:AW63"/>
    <mergeCell ref="AY62:AZ63"/>
    <mergeCell ref="BB62:BC63"/>
    <mergeCell ref="BE62:BF63"/>
    <mergeCell ref="BH62:BI63"/>
    <mergeCell ref="BK62:BL63"/>
    <mergeCell ref="BN62:BO63"/>
    <mergeCell ref="BQ62:BR63"/>
    <mergeCell ref="BT62:BU63"/>
    <mergeCell ref="BW62:BX63"/>
    <mergeCell ref="CD62:CE63"/>
    <mergeCell ref="CG62:CH63"/>
    <mergeCell ref="CJ62:CK63"/>
    <mergeCell ref="CM62:CN63"/>
    <mergeCell ref="CP62:CQ63"/>
    <mergeCell ref="CS62:CT63"/>
    <mergeCell ref="CV62:CW63"/>
    <mergeCell ref="CY62:CZ63"/>
    <mergeCell ref="DB62:DC63"/>
    <mergeCell ref="BT59:BU60"/>
    <mergeCell ref="BW59:BX60"/>
    <mergeCell ref="CD59:CE60"/>
    <mergeCell ref="CG59:CH60"/>
    <mergeCell ref="CJ59:CK60"/>
    <mergeCell ref="CM59:CN60"/>
    <mergeCell ref="CP59:CQ60"/>
    <mergeCell ref="CS59:CT60"/>
    <mergeCell ref="CV59:CW60"/>
    <mergeCell ref="AS59:AT60"/>
    <mergeCell ref="AV59:AW60"/>
    <mergeCell ref="AY59:AZ60"/>
    <mergeCell ref="BB59:BC60"/>
    <mergeCell ref="BE59:BF60"/>
    <mergeCell ref="BH59:BI60"/>
    <mergeCell ref="BK59:BL60"/>
    <mergeCell ref="BN59:BO60"/>
    <mergeCell ref="BQ59:BR60"/>
    <mergeCell ref="DE53:DF54"/>
    <mergeCell ref="DH53:DI54"/>
    <mergeCell ref="AS56:AT57"/>
    <mergeCell ref="AV56:AW57"/>
    <mergeCell ref="AY56:AZ57"/>
    <mergeCell ref="BB56:BC57"/>
    <mergeCell ref="BE56:BF57"/>
    <mergeCell ref="BH56:BI57"/>
    <mergeCell ref="BK56:BL57"/>
    <mergeCell ref="BN56:BO57"/>
    <mergeCell ref="BQ56:BR57"/>
    <mergeCell ref="BT56:BU57"/>
    <mergeCell ref="BW56:BX57"/>
    <mergeCell ref="CD56:CE57"/>
    <mergeCell ref="CG56:CH57"/>
    <mergeCell ref="CJ56:CK57"/>
    <mergeCell ref="CM56:CN57"/>
    <mergeCell ref="CP56:CQ57"/>
    <mergeCell ref="CS56:CT57"/>
    <mergeCell ref="CV56:CW57"/>
    <mergeCell ref="CY56:CZ57"/>
    <mergeCell ref="DB56:DC57"/>
    <mergeCell ref="DE56:DF57"/>
    <mergeCell ref="DH56:DI57"/>
    <mergeCell ref="CY50:CZ51"/>
    <mergeCell ref="DB50:DC51"/>
    <mergeCell ref="DE50:DF51"/>
    <mergeCell ref="DH50:DI51"/>
    <mergeCell ref="AS53:AT54"/>
    <mergeCell ref="AV53:AW54"/>
    <mergeCell ref="AY53:AZ54"/>
    <mergeCell ref="BB53:BC54"/>
    <mergeCell ref="BE53:BF54"/>
    <mergeCell ref="BH53:BI54"/>
    <mergeCell ref="BK53:BL54"/>
    <mergeCell ref="BN53:BO54"/>
    <mergeCell ref="BQ53:BR54"/>
    <mergeCell ref="BT53:BU54"/>
    <mergeCell ref="BW53:BX54"/>
    <mergeCell ref="CD53:CE54"/>
    <mergeCell ref="CG53:CH54"/>
    <mergeCell ref="CJ53:CK54"/>
    <mergeCell ref="CM53:CN54"/>
    <mergeCell ref="CP53:CQ54"/>
    <mergeCell ref="CS53:CT54"/>
    <mergeCell ref="CV53:CW54"/>
    <mergeCell ref="CY53:CZ54"/>
    <mergeCell ref="DB53:DC54"/>
    <mergeCell ref="BT50:BU51"/>
    <mergeCell ref="BW50:BX51"/>
    <mergeCell ref="CD50:CE51"/>
    <mergeCell ref="CG50:CH51"/>
    <mergeCell ref="CJ50:CK51"/>
    <mergeCell ref="CM50:CN51"/>
    <mergeCell ref="CP50:CQ51"/>
    <mergeCell ref="CS50:CT51"/>
    <mergeCell ref="CV50:CW51"/>
    <mergeCell ref="AS50:AT51"/>
    <mergeCell ref="AV50:AW51"/>
    <mergeCell ref="AY50:AZ51"/>
    <mergeCell ref="BB50:BC51"/>
    <mergeCell ref="BE50:BF51"/>
    <mergeCell ref="BH50:BI51"/>
    <mergeCell ref="BK50:BL51"/>
    <mergeCell ref="BN50:BO51"/>
    <mergeCell ref="BQ50:BR51"/>
    <mergeCell ref="DE44:DF45"/>
    <mergeCell ref="DH44:DI45"/>
    <mergeCell ref="AS47:AT48"/>
    <mergeCell ref="AV47:AW48"/>
    <mergeCell ref="AY47:AZ48"/>
    <mergeCell ref="BB47:BC48"/>
    <mergeCell ref="BE47:BF48"/>
    <mergeCell ref="BH47:BI48"/>
    <mergeCell ref="BK47:BL48"/>
    <mergeCell ref="BN47:BO48"/>
    <mergeCell ref="BQ47:BR48"/>
    <mergeCell ref="BT47:BU48"/>
    <mergeCell ref="BW47:BX48"/>
    <mergeCell ref="CD47:CE48"/>
    <mergeCell ref="CG47:CH48"/>
    <mergeCell ref="CJ47:CK48"/>
    <mergeCell ref="CM47:CN48"/>
    <mergeCell ref="CP47:CQ48"/>
    <mergeCell ref="CS47:CT48"/>
    <mergeCell ref="CV47:CW48"/>
    <mergeCell ref="CY47:CZ48"/>
    <mergeCell ref="DB47:DC48"/>
    <mergeCell ref="DE47:DF48"/>
    <mergeCell ref="DH47:DI48"/>
    <mergeCell ref="CY41:CZ42"/>
    <mergeCell ref="DB41:DC42"/>
    <mergeCell ref="DE41:DF42"/>
    <mergeCell ref="DH41:DI42"/>
    <mergeCell ref="AS44:AT45"/>
    <mergeCell ref="AV44:AW45"/>
    <mergeCell ref="AY44:AZ45"/>
    <mergeCell ref="BB44:BC45"/>
    <mergeCell ref="BE44:BF45"/>
    <mergeCell ref="BH44:BI45"/>
    <mergeCell ref="BK44:BL45"/>
    <mergeCell ref="BN44:BO45"/>
    <mergeCell ref="BQ44:BR45"/>
    <mergeCell ref="BT44:BU45"/>
    <mergeCell ref="BW44:BX45"/>
    <mergeCell ref="CD44:CE45"/>
    <mergeCell ref="CG44:CH45"/>
    <mergeCell ref="CJ44:CK45"/>
    <mergeCell ref="CM44:CN45"/>
    <mergeCell ref="CP44:CQ45"/>
    <mergeCell ref="CS44:CT45"/>
    <mergeCell ref="CV44:CW45"/>
    <mergeCell ref="CY44:CZ45"/>
    <mergeCell ref="DB44:DC45"/>
    <mergeCell ref="BT41:BU42"/>
    <mergeCell ref="BW41:BX42"/>
    <mergeCell ref="CD41:CE42"/>
    <mergeCell ref="CG41:CH42"/>
    <mergeCell ref="CJ41:CK42"/>
    <mergeCell ref="CM41:CN42"/>
    <mergeCell ref="CP41:CQ42"/>
    <mergeCell ref="CS41:CT42"/>
    <mergeCell ref="CV41:CW42"/>
    <mergeCell ref="AS41:AT42"/>
    <mergeCell ref="AV41:AW42"/>
    <mergeCell ref="AY41:AZ42"/>
    <mergeCell ref="BB41:BC42"/>
    <mergeCell ref="BE41:BF42"/>
    <mergeCell ref="BH41:BI42"/>
    <mergeCell ref="BK41:BL42"/>
    <mergeCell ref="BN41:BO42"/>
    <mergeCell ref="BQ41:BR42"/>
    <mergeCell ref="DE35:DF36"/>
    <mergeCell ref="DH35:DI36"/>
    <mergeCell ref="AS38:AT39"/>
    <mergeCell ref="AV38:AW39"/>
    <mergeCell ref="AY38:AZ39"/>
    <mergeCell ref="BB38:BC39"/>
    <mergeCell ref="BE38:BF39"/>
    <mergeCell ref="BH38:BI39"/>
    <mergeCell ref="BK38:BL39"/>
    <mergeCell ref="BN38:BO39"/>
    <mergeCell ref="BQ38:BR39"/>
    <mergeCell ref="BT38:BU39"/>
    <mergeCell ref="BW38:BX39"/>
    <mergeCell ref="CD38:CE39"/>
    <mergeCell ref="CG38:CH39"/>
    <mergeCell ref="CJ38:CK39"/>
    <mergeCell ref="CM38:CN39"/>
    <mergeCell ref="CP38:CQ39"/>
    <mergeCell ref="CS38:CT39"/>
    <mergeCell ref="CV38:CW39"/>
    <mergeCell ref="CY38:CZ39"/>
    <mergeCell ref="DB38:DC39"/>
    <mergeCell ref="DE38:DF39"/>
    <mergeCell ref="DH38:DI39"/>
    <mergeCell ref="CY32:CZ33"/>
    <mergeCell ref="DB32:DC33"/>
    <mergeCell ref="DE32:DF33"/>
    <mergeCell ref="DH32:DI33"/>
    <mergeCell ref="AS35:AT36"/>
    <mergeCell ref="AV35:AW36"/>
    <mergeCell ref="AY35:AZ36"/>
    <mergeCell ref="BB35:BC36"/>
    <mergeCell ref="BE35:BF36"/>
    <mergeCell ref="BH35:BI36"/>
    <mergeCell ref="BK35:BL36"/>
    <mergeCell ref="BN35:BO36"/>
    <mergeCell ref="BQ35:BR36"/>
    <mergeCell ref="BT35:BU36"/>
    <mergeCell ref="BW35:BX36"/>
    <mergeCell ref="CD35:CE36"/>
    <mergeCell ref="CG35:CH36"/>
    <mergeCell ref="CJ35:CK36"/>
    <mergeCell ref="CM35:CN36"/>
    <mergeCell ref="CP35:CQ36"/>
    <mergeCell ref="CS35:CT36"/>
    <mergeCell ref="CV35:CW36"/>
    <mergeCell ref="CY35:CZ36"/>
    <mergeCell ref="DB35:DC36"/>
    <mergeCell ref="BT32:BU33"/>
    <mergeCell ref="BW32:BX33"/>
    <mergeCell ref="CD32:CE33"/>
    <mergeCell ref="CG32:CH33"/>
    <mergeCell ref="CJ32:CK33"/>
    <mergeCell ref="CM32:CN33"/>
    <mergeCell ref="CP32:CQ33"/>
    <mergeCell ref="CS32:CT33"/>
    <mergeCell ref="CV32:CW33"/>
    <mergeCell ref="AS32:AT33"/>
    <mergeCell ref="AV32:AW33"/>
    <mergeCell ref="AY32:AZ33"/>
    <mergeCell ref="BB32:BC33"/>
    <mergeCell ref="BE32:BF33"/>
    <mergeCell ref="BH32:BI33"/>
    <mergeCell ref="BK32:BL33"/>
    <mergeCell ref="BN32:BO33"/>
    <mergeCell ref="BQ32:BR33"/>
    <mergeCell ref="DE26:DF27"/>
    <mergeCell ref="DH26:DI27"/>
    <mergeCell ref="AS29:AT30"/>
    <mergeCell ref="AV29:AW30"/>
    <mergeCell ref="AY29:AZ30"/>
    <mergeCell ref="BB29:BC30"/>
    <mergeCell ref="BE29:BF30"/>
    <mergeCell ref="BH29:BI30"/>
    <mergeCell ref="BK29:BL30"/>
    <mergeCell ref="BN29:BO30"/>
    <mergeCell ref="BQ29:BR30"/>
    <mergeCell ref="BT29:BU30"/>
    <mergeCell ref="BW29:BX30"/>
    <mergeCell ref="CD29:CE30"/>
    <mergeCell ref="CG29:CH30"/>
    <mergeCell ref="CJ29:CK30"/>
    <mergeCell ref="CM29:CN30"/>
    <mergeCell ref="CP29:CQ30"/>
    <mergeCell ref="CS29:CT30"/>
    <mergeCell ref="CV29:CW30"/>
    <mergeCell ref="CY29:CZ30"/>
    <mergeCell ref="DB29:DC30"/>
    <mergeCell ref="DE29:DF30"/>
    <mergeCell ref="DH29:DI30"/>
    <mergeCell ref="CY23:CZ24"/>
    <mergeCell ref="DB23:DC24"/>
    <mergeCell ref="DE23:DF24"/>
    <mergeCell ref="DH23:DI24"/>
    <mergeCell ref="AS26:AT27"/>
    <mergeCell ref="AV26:AW27"/>
    <mergeCell ref="AY26:AZ27"/>
    <mergeCell ref="BB26:BC27"/>
    <mergeCell ref="BE26:BF27"/>
    <mergeCell ref="BH26:BI27"/>
    <mergeCell ref="BK26:BL27"/>
    <mergeCell ref="BN26:BO27"/>
    <mergeCell ref="BQ26:BR27"/>
    <mergeCell ref="BT26:BU27"/>
    <mergeCell ref="BW26:BX27"/>
    <mergeCell ref="CD26:CE27"/>
    <mergeCell ref="CG26:CH27"/>
    <mergeCell ref="CJ26:CK27"/>
    <mergeCell ref="CM26:CN27"/>
    <mergeCell ref="CP26:CQ27"/>
    <mergeCell ref="CS26:CT27"/>
    <mergeCell ref="CV26:CW27"/>
    <mergeCell ref="CY26:CZ27"/>
    <mergeCell ref="DB26:DC27"/>
    <mergeCell ref="BT23:BU24"/>
    <mergeCell ref="BW23:BX24"/>
    <mergeCell ref="CD23:CE24"/>
    <mergeCell ref="CG23:CH24"/>
    <mergeCell ref="CJ23:CK24"/>
    <mergeCell ref="CM23:CN24"/>
    <mergeCell ref="CP23:CQ24"/>
    <mergeCell ref="CS23:CT24"/>
    <mergeCell ref="CV23:CW24"/>
    <mergeCell ref="AS23:AT24"/>
    <mergeCell ref="AV23:AW24"/>
    <mergeCell ref="AY23:AZ24"/>
    <mergeCell ref="BB23:BC24"/>
    <mergeCell ref="BE23:BF24"/>
    <mergeCell ref="BH23:BI24"/>
    <mergeCell ref="BK23:BL24"/>
    <mergeCell ref="BN23:BO24"/>
    <mergeCell ref="BQ23:BR24"/>
    <mergeCell ref="CY17:CZ18"/>
    <mergeCell ref="DB17:DC18"/>
    <mergeCell ref="DE17:DF18"/>
    <mergeCell ref="DH17:DI18"/>
    <mergeCell ref="AS20:AT21"/>
    <mergeCell ref="AV20:AW21"/>
    <mergeCell ref="AY20:AZ21"/>
    <mergeCell ref="BB20:BC21"/>
    <mergeCell ref="BE20:BF21"/>
    <mergeCell ref="BK20:BL21"/>
    <mergeCell ref="BT20:BU21"/>
    <mergeCell ref="BW20:BX21"/>
    <mergeCell ref="CD20:CE21"/>
    <mergeCell ref="CG20:CH21"/>
    <mergeCell ref="CJ20:CK21"/>
    <mergeCell ref="CM20:CN21"/>
    <mergeCell ref="CP20:CQ21"/>
    <mergeCell ref="CS20:CT21"/>
    <mergeCell ref="CV20:CW21"/>
    <mergeCell ref="CY20:CZ21"/>
    <mergeCell ref="DB20:DC21"/>
    <mergeCell ref="DE20:DF21"/>
    <mergeCell ref="DH20:DI21"/>
    <mergeCell ref="BT17:BU18"/>
    <mergeCell ref="BW17:BX18"/>
    <mergeCell ref="CD17:CE18"/>
    <mergeCell ref="CG17:CH18"/>
    <mergeCell ref="CJ17:CK18"/>
    <mergeCell ref="CM17:CN18"/>
    <mergeCell ref="CP17:CQ18"/>
    <mergeCell ref="CS17:CT18"/>
    <mergeCell ref="CV17:CW18"/>
    <mergeCell ref="AS17:AT18"/>
    <mergeCell ref="AV17:AW18"/>
    <mergeCell ref="AY17:AZ18"/>
    <mergeCell ref="BB17:BC18"/>
    <mergeCell ref="BE17:BF18"/>
    <mergeCell ref="BH17:BI18"/>
    <mergeCell ref="BK17:BL18"/>
    <mergeCell ref="BN17:BO18"/>
    <mergeCell ref="BQ17:BR18"/>
    <mergeCell ref="BH20:BI21"/>
    <mergeCell ref="BN20:BO21"/>
    <mergeCell ref="BQ20:BR21"/>
    <mergeCell ref="W170:X171"/>
    <mergeCell ref="W152:X153"/>
    <mergeCell ref="W155:X156"/>
    <mergeCell ref="W158:X159"/>
    <mergeCell ref="W161:X162"/>
    <mergeCell ref="W164:X165"/>
    <mergeCell ref="W167:X168"/>
    <mergeCell ref="T140:U141"/>
    <mergeCell ref="W140:X141"/>
    <mergeCell ref="T143:U144"/>
    <mergeCell ref="W143:X144"/>
    <mergeCell ref="W146:X147"/>
    <mergeCell ref="W149:X150"/>
    <mergeCell ref="T146:U147"/>
    <mergeCell ref="T131:U132"/>
    <mergeCell ref="W131:X132"/>
    <mergeCell ref="T134:U135"/>
    <mergeCell ref="W134:X135"/>
    <mergeCell ref="T137:U138"/>
    <mergeCell ref="W137:X138"/>
    <mergeCell ref="E122:F123"/>
    <mergeCell ref="T122:U123"/>
    <mergeCell ref="W122:X123"/>
    <mergeCell ref="T125:U126"/>
    <mergeCell ref="W125:X126"/>
    <mergeCell ref="T128:U129"/>
    <mergeCell ref="W128:X129"/>
    <mergeCell ref="E125:F126"/>
    <mergeCell ref="E119:F120"/>
    <mergeCell ref="T119:U120"/>
    <mergeCell ref="W119:X120"/>
    <mergeCell ref="E110:F111"/>
    <mergeCell ref="K110:L111"/>
    <mergeCell ref="T110:U111"/>
    <mergeCell ref="W110:X111"/>
    <mergeCell ref="E113:F114"/>
    <mergeCell ref="T113:U114"/>
    <mergeCell ref="W113:X114"/>
    <mergeCell ref="K113:L114"/>
    <mergeCell ref="H110:I111"/>
    <mergeCell ref="E107:F108"/>
    <mergeCell ref="H107:I108"/>
    <mergeCell ref="K107:L108"/>
    <mergeCell ref="T107:U108"/>
    <mergeCell ref="W107:X108"/>
    <mergeCell ref="E116:F117"/>
    <mergeCell ref="T116:U117"/>
    <mergeCell ref="W116:X117"/>
    <mergeCell ref="B104:C105"/>
    <mergeCell ref="E104:F105"/>
    <mergeCell ref="H104:I105"/>
    <mergeCell ref="K104:L105"/>
    <mergeCell ref="T104:U105"/>
    <mergeCell ref="W104:X105"/>
    <mergeCell ref="B101:C102"/>
    <mergeCell ref="E101:F102"/>
    <mergeCell ref="H101:I102"/>
    <mergeCell ref="K101:L102"/>
    <mergeCell ref="T101:U102"/>
    <mergeCell ref="W101:X102"/>
    <mergeCell ref="B107:C108"/>
    <mergeCell ref="B98:C99"/>
    <mergeCell ref="E98:F99"/>
    <mergeCell ref="H98:I99"/>
    <mergeCell ref="K98:L99"/>
    <mergeCell ref="T98:U99"/>
    <mergeCell ref="W98:X99"/>
    <mergeCell ref="B95:C96"/>
    <mergeCell ref="E95:F96"/>
    <mergeCell ref="H95:I96"/>
    <mergeCell ref="K95:L96"/>
    <mergeCell ref="T95:U96"/>
    <mergeCell ref="W95:X96"/>
    <mergeCell ref="B92:C93"/>
    <mergeCell ref="E92:F93"/>
    <mergeCell ref="H92:I93"/>
    <mergeCell ref="K92:L93"/>
    <mergeCell ref="T92:U93"/>
    <mergeCell ref="W92:X93"/>
    <mergeCell ref="B89:C90"/>
    <mergeCell ref="E89:F90"/>
    <mergeCell ref="H89:I90"/>
    <mergeCell ref="K89:L90"/>
    <mergeCell ref="Q89:R90"/>
    <mergeCell ref="T89:U90"/>
    <mergeCell ref="W89:X90"/>
    <mergeCell ref="B86:C87"/>
    <mergeCell ref="E86:F87"/>
    <mergeCell ref="H86:I87"/>
    <mergeCell ref="K86:L87"/>
    <mergeCell ref="Q86:R87"/>
    <mergeCell ref="T86:U87"/>
    <mergeCell ref="W86:X87"/>
    <mergeCell ref="AF80:AG81"/>
    <mergeCell ref="B83:C84"/>
    <mergeCell ref="E83:F84"/>
    <mergeCell ref="H83:I84"/>
    <mergeCell ref="K83:L84"/>
    <mergeCell ref="Q83:R84"/>
    <mergeCell ref="T83:U84"/>
    <mergeCell ref="W83:X84"/>
    <mergeCell ref="AC83:AD84"/>
    <mergeCell ref="AF83:AG84"/>
    <mergeCell ref="B80:C81"/>
    <mergeCell ref="E80:F81"/>
    <mergeCell ref="H80:I81"/>
    <mergeCell ref="K80:L81"/>
    <mergeCell ref="Q80:R81"/>
    <mergeCell ref="T80:U81"/>
    <mergeCell ref="W80:X81"/>
    <mergeCell ref="Z80:AA81"/>
    <mergeCell ref="AC80:AD81"/>
    <mergeCell ref="T74:U75"/>
    <mergeCell ref="W74:X75"/>
    <mergeCell ref="Z74:AA75"/>
    <mergeCell ref="AC74:AD75"/>
    <mergeCell ref="AF74:AG75"/>
    <mergeCell ref="B77:C78"/>
    <mergeCell ref="E77:F78"/>
    <mergeCell ref="H77:I78"/>
    <mergeCell ref="K77:L78"/>
    <mergeCell ref="Q77:R78"/>
    <mergeCell ref="B74:C75"/>
    <mergeCell ref="E74:F75"/>
    <mergeCell ref="H74:I75"/>
    <mergeCell ref="K74:L75"/>
    <mergeCell ref="Q74:R75"/>
    <mergeCell ref="T77:U78"/>
    <mergeCell ref="W77:X78"/>
    <mergeCell ref="Z77:AA78"/>
    <mergeCell ref="AC77:AD78"/>
    <mergeCell ref="AF77:AG78"/>
    <mergeCell ref="Q71:R72"/>
    <mergeCell ref="T71:U72"/>
    <mergeCell ref="W71:X72"/>
    <mergeCell ref="Z71:AA72"/>
    <mergeCell ref="AC71:AD72"/>
    <mergeCell ref="AF71:AG72"/>
    <mergeCell ref="T68:U69"/>
    <mergeCell ref="W68:X69"/>
    <mergeCell ref="Z68:AA69"/>
    <mergeCell ref="AC68:AD69"/>
    <mergeCell ref="AF68:AG69"/>
    <mergeCell ref="Q68:R69"/>
    <mergeCell ref="B71:C72"/>
    <mergeCell ref="E71:F72"/>
    <mergeCell ref="H71:I72"/>
    <mergeCell ref="K71:L72"/>
    <mergeCell ref="B68:C69"/>
    <mergeCell ref="E68:F69"/>
    <mergeCell ref="H68:I69"/>
    <mergeCell ref="K68:L69"/>
    <mergeCell ref="N68:O69"/>
    <mergeCell ref="B65:C66"/>
    <mergeCell ref="E65:F66"/>
    <mergeCell ref="H65:I66"/>
    <mergeCell ref="K65:L66"/>
    <mergeCell ref="N65:O66"/>
    <mergeCell ref="B62:C63"/>
    <mergeCell ref="E62:F63"/>
    <mergeCell ref="H62:I63"/>
    <mergeCell ref="K62:L63"/>
    <mergeCell ref="N62:O63"/>
    <mergeCell ref="Q65:R66"/>
    <mergeCell ref="T65:U66"/>
    <mergeCell ref="W65:X66"/>
    <mergeCell ref="Z65:AA66"/>
    <mergeCell ref="AC65:AD66"/>
    <mergeCell ref="AF65:AG66"/>
    <mergeCell ref="T62:U63"/>
    <mergeCell ref="W62:X63"/>
    <mergeCell ref="Z62:AA63"/>
    <mergeCell ref="AC62:AD63"/>
    <mergeCell ref="AF62:AG63"/>
    <mergeCell ref="Q62:R63"/>
    <mergeCell ref="B56:C57"/>
    <mergeCell ref="E56:F57"/>
    <mergeCell ref="H56:I57"/>
    <mergeCell ref="K56:L57"/>
    <mergeCell ref="N56:O57"/>
    <mergeCell ref="Q56:R57"/>
    <mergeCell ref="Q59:R60"/>
    <mergeCell ref="T59:U60"/>
    <mergeCell ref="W59:X60"/>
    <mergeCell ref="Z59:AA60"/>
    <mergeCell ref="AC59:AD60"/>
    <mergeCell ref="AF59:AG60"/>
    <mergeCell ref="T56:U57"/>
    <mergeCell ref="W56:X57"/>
    <mergeCell ref="Z56:AA57"/>
    <mergeCell ref="AC56:AD57"/>
    <mergeCell ref="AF56:AG57"/>
    <mergeCell ref="B59:C60"/>
    <mergeCell ref="E59:F60"/>
    <mergeCell ref="H59:I60"/>
    <mergeCell ref="K59:L60"/>
    <mergeCell ref="N59:O60"/>
    <mergeCell ref="AC50:AD51"/>
    <mergeCell ref="AF50:AG51"/>
    <mergeCell ref="B53:C54"/>
    <mergeCell ref="E53:F54"/>
    <mergeCell ref="H53:I54"/>
    <mergeCell ref="K53:L54"/>
    <mergeCell ref="N53:O54"/>
    <mergeCell ref="Q53:R54"/>
    <mergeCell ref="T53:U54"/>
    <mergeCell ref="B50:C51"/>
    <mergeCell ref="E50:F51"/>
    <mergeCell ref="H50:I51"/>
    <mergeCell ref="K50:L51"/>
    <mergeCell ref="N50:O51"/>
    <mergeCell ref="Q50:R51"/>
    <mergeCell ref="T50:U51"/>
    <mergeCell ref="W50:X51"/>
    <mergeCell ref="Z50:AA51"/>
    <mergeCell ref="W53:X54"/>
    <mergeCell ref="Z53:AA54"/>
    <mergeCell ref="AC53:AD54"/>
    <mergeCell ref="AF53:AG54"/>
    <mergeCell ref="AL44:AM45"/>
    <mergeCell ref="B47:C48"/>
    <mergeCell ref="E47:F48"/>
    <mergeCell ref="H47:I48"/>
    <mergeCell ref="K47:L48"/>
    <mergeCell ref="N47:O48"/>
    <mergeCell ref="Q47:R48"/>
    <mergeCell ref="T47:U48"/>
    <mergeCell ref="W47:X48"/>
    <mergeCell ref="Z47:AA48"/>
    <mergeCell ref="T44:U45"/>
    <mergeCell ref="W44:X45"/>
    <mergeCell ref="Z44:AA45"/>
    <mergeCell ref="AC44:AD45"/>
    <mergeCell ref="AF44:AG45"/>
    <mergeCell ref="AI44:AJ45"/>
    <mergeCell ref="AC47:AD48"/>
    <mergeCell ref="AF47:AG48"/>
    <mergeCell ref="B44:C45"/>
    <mergeCell ref="E44:F45"/>
    <mergeCell ref="H44:I45"/>
    <mergeCell ref="K44:L45"/>
    <mergeCell ref="N44:O45"/>
    <mergeCell ref="Q44:R45"/>
    <mergeCell ref="Q41:R42"/>
    <mergeCell ref="T41:U42"/>
    <mergeCell ref="W41:X42"/>
    <mergeCell ref="AO39:AP39"/>
    <mergeCell ref="B41:C42"/>
    <mergeCell ref="E41:F42"/>
    <mergeCell ref="H41:I42"/>
    <mergeCell ref="K41:L42"/>
    <mergeCell ref="N41:O42"/>
    <mergeCell ref="AI41:AJ42"/>
    <mergeCell ref="AL41:AM42"/>
    <mergeCell ref="AO41:AP41"/>
    <mergeCell ref="AO42:AP42"/>
    <mergeCell ref="Z41:AA42"/>
    <mergeCell ref="AC41:AD42"/>
    <mergeCell ref="AF41:AG42"/>
    <mergeCell ref="B38:C39"/>
    <mergeCell ref="E38:F39"/>
    <mergeCell ref="H38:I39"/>
    <mergeCell ref="K38:L39"/>
    <mergeCell ref="N38:O39"/>
    <mergeCell ref="Q38:R39"/>
    <mergeCell ref="T38:U39"/>
    <mergeCell ref="W38:X39"/>
    <mergeCell ref="AC38:AD39"/>
    <mergeCell ref="AF38:AG39"/>
    <mergeCell ref="AI38:AJ39"/>
    <mergeCell ref="AL38:AM39"/>
    <mergeCell ref="Z38:AA39"/>
    <mergeCell ref="AL32:AM33"/>
    <mergeCell ref="AO32:AP32"/>
    <mergeCell ref="AO34:AP34"/>
    <mergeCell ref="B35:C36"/>
    <mergeCell ref="E35:F36"/>
    <mergeCell ref="H35:I36"/>
    <mergeCell ref="K35:L36"/>
    <mergeCell ref="N35:O36"/>
    <mergeCell ref="Q35:R36"/>
    <mergeCell ref="T35:U36"/>
    <mergeCell ref="T32:U33"/>
    <mergeCell ref="W32:X33"/>
    <mergeCell ref="Z32:AA33"/>
    <mergeCell ref="AC32:AD33"/>
    <mergeCell ref="AF32:AG33"/>
    <mergeCell ref="AI32:AJ33"/>
    <mergeCell ref="B32:C33"/>
    <mergeCell ref="E32:F33"/>
    <mergeCell ref="H32:I33"/>
    <mergeCell ref="K32:L33"/>
    <mergeCell ref="N32:O33"/>
    <mergeCell ref="Q32:R33"/>
    <mergeCell ref="AO36:AP36"/>
    <mergeCell ref="W35:X36"/>
    <mergeCell ref="Z35:AA36"/>
    <mergeCell ref="AC35:AD36"/>
    <mergeCell ref="AF35:AG36"/>
    <mergeCell ref="AI35:AJ36"/>
    <mergeCell ref="AL35:AM36"/>
    <mergeCell ref="Z29:AA30"/>
    <mergeCell ref="AC29:AD30"/>
    <mergeCell ref="AF29:AG30"/>
    <mergeCell ref="AI29:AJ30"/>
    <mergeCell ref="AL29:AM30"/>
    <mergeCell ref="AO31:AP31"/>
    <mergeCell ref="AL26:AM27"/>
    <mergeCell ref="AO28:AP29"/>
    <mergeCell ref="B29:C30"/>
    <mergeCell ref="E29:F30"/>
    <mergeCell ref="H29:I30"/>
    <mergeCell ref="K29:L30"/>
    <mergeCell ref="N29:O30"/>
    <mergeCell ref="Q29:R30"/>
    <mergeCell ref="T29:U30"/>
    <mergeCell ref="W29:X30"/>
    <mergeCell ref="T26:U27"/>
    <mergeCell ref="W26:X27"/>
    <mergeCell ref="Z26:AA27"/>
    <mergeCell ref="AC26:AD27"/>
    <mergeCell ref="AF26:AG27"/>
    <mergeCell ref="AI26:AJ27"/>
    <mergeCell ref="AL23:AM24"/>
    <mergeCell ref="AO23:AP23"/>
    <mergeCell ref="AO24:AP26"/>
    <mergeCell ref="AL17:AM18"/>
    <mergeCell ref="B26:C27"/>
    <mergeCell ref="E26:F27"/>
    <mergeCell ref="H26:I27"/>
    <mergeCell ref="K26:L27"/>
    <mergeCell ref="N26:O27"/>
    <mergeCell ref="Q26:R27"/>
    <mergeCell ref="T23:U24"/>
    <mergeCell ref="W23:X24"/>
    <mergeCell ref="Z23:AA24"/>
    <mergeCell ref="AC23:AD24"/>
    <mergeCell ref="AF23:AG24"/>
    <mergeCell ref="AI23:AJ24"/>
    <mergeCell ref="Z20:AA21"/>
    <mergeCell ref="AC20:AD21"/>
    <mergeCell ref="AF20:AG21"/>
    <mergeCell ref="AI20:AJ21"/>
    <mergeCell ref="B23:C24"/>
    <mergeCell ref="E23:F24"/>
    <mergeCell ref="H23:I24"/>
    <mergeCell ref="K23:L24"/>
    <mergeCell ref="N23:O24"/>
    <mergeCell ref="Q23:R24"/>
    <mergeCell ref="B20:C21"/>
    <mergeCell ref="E20:F21"/>
    <mergeCell ref="H20:I21"/>
    <mergeCell ref="K20:L21"/>
    <mergeCell ref="N20:O21"/>
    <mergeCell ref="Q20:R21"/>
    <mergeCell ref="T20:U21"/>
    <mergeCell ref="W20:X21"/>
    <mergeCell ref="AI17:AJ18"/>
    <mergeCell ref="Z17:AA18"/>
    <mergeCell ref="AC17:AD18"/>
    <mergeCell ref="AF17:AG18"/>
    <mergeCell ref="B5:Q6"/>
    <mergeCell ref="AI8:AP10"/>
    <mergeCell ref="B10:C11"/>
    <mergeCell ref="E10:F11"/>
    <mergeCell ref="Q10:U11"/>
    <mergeCell ref="V10:W11"/>
    <mergeCell ref="X10:X11"/>
    <mergeCell ref="Z10:AD11"/>
    <mergeCell ref="AE10:AF11"/>
    <mergeCell ref="AI11:AP12"/>
    <mergeCell ref="Q17:R18"/>
    <mergeCell ref="T17:U18"/>
    <mergeCell ref="W17:X18"/>
    <mergeCell ref="B14:C15"/>
    <mergeCell ref="B17:C18"/>
    <mergeCell ref="E17:F18"/>
    <mergeCell ref="H17:I18"/>
    <mergeCell ref="K17:L18"/>
    <mergeCell ref="N17:O1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BD27-F073-4029-87A9-F98BA35998B0}">
  <dimension ref="B1:F308"/>
  <sheetViews>
    <sheetView workbookViewId="0">
      <selection activeCell="I23" sqref="I23"/>
    </sheetView>
  </sheetViews>
  <sheetFormatPr baseColWidth="10" defaultRowHeight="15"/>
  <cols>
    <col min="1" max="1" width="4.28515625" customWidth="1"/>
    <col min="2" max="2" width="110.7109375" style="187" customWidth="1"/>
    <col min="3" max="3" width="5" customWidth="1"/>
    <col min="4" max="4" width="110.7109375" style="187" customWidth="1"/>
    <col min="5" max="5" width="4.42578125" customWidth="1"/>
    <col min="6" max="6" width="110.7109375" style="187" customWidth="1"/>
  </cols>
  <sheetData>
    <row r="1" spans="2:6" ht="15.75" thickTop="1">
      <c r="B1" s="443" t="str">
        <f>SUBSTITUTE(ADDRESS(1,COLUMN(),4),"1","")</f>
        <v>B</v>
      </c>
      <c r="D1" s="443" t="str">
        <f>SUBSTITUTE(ADDRESS(1,COLUMN(),4),"1","")</f>
        <v>D</v>
      </c>
      <c r="F1" s="443" t="str">
        <f>SUBSTITUTE(ADDRESS(1,COLUMN(),4),"1","")</f>
        <v>F</v>
      </c>
    </row>
    <row r="2" spans="2:6" ht="15.75" thickBot="1">
      <c r="B2" s="1288">
        <f ca="1">CELL("largeur",B2)</f>
        <v>110</v>
      </c>
      <c r="D2" s="1288">
        <f ca="1">CELL("largeur",D2)</f>
        <v>110</v>
      </c>
      <c r="F2" s="1288">
        <f ca="1">CELL("largeur",F2)</f>
        <v>110</v>
      </c>
    </row>
    <row r="4" spans="2:6" ht="21" customHeight="1">
      <c r="B4" s="6597" t="s">
        <v>8915</v>
      </c>
      <c r="D4" s="6597" t="s">
        <v>8916</v>
      </c>
      <c r="F4" s="6597" t="s">
        <v>8917</v>
      </c>
    </row>
    <row r="5" spans="2:6" ht="21" customHeight="1">
      <c r="B5" s="7288" t="s">
        <v>9596</v>
      </c>
      <c r="D5" s="7288" t="s">
        <v>9595</v>
      </c>
      <c r="F5" s="7288" t="s">
        <v>9594</v>
      </c>
    </row>
    <row r="6" spans="2:6" ht="21" customHeight="1">
      <c r="B6" s="7289"/>
      <c r="D6" s="7289"/>
      <c r="F6" s="7289"/>
    </row>
    <row r="7" spans="2:6" ht="21" customHeight="1">
      <c r="B7" s="7289"/>
      <c r="D7" s="7289"/>
      <c r="F7" s="7289"/>
    </row>
    <row r="8" spans="2:6" ht="21" customHeight="1" thickBot="1">
      <c r="B8" s="6575" t="s">
        <v>9586</v>
      </c>
      <c r="D8" s="6575" t="s">
        <v>9584</v>
      </c>
      <c r="F8" s="6575" t="s">
        <v>9585</v>
      </c>
    </row>
    <row r="9" spans="2:6" ht="21" customHeight="1">
      <c r="B9" s="6590" t="s">
        <v>9180</v>
      </c>
      <c r="D9" s="6590" t="s">
        <v>9180</v>
      </c>
      <c r="F9" s="6590" t="s">
        <v>9359</v>
      </c>
    </row>
    <row r="10" spans="2:6" ht="21" customHeight="1">
      <c r="B10" s="6591" t="s">
        <v>9208</v>
      </c>
      <c r="D10" s="6591" t="s">
        <v>9217</v>
      </c>
      <c r="F10" s="6591" t="s">
        <v>9360</v>
      </c>
    </row>
    <row r="11" spans="2:6" ht="21" customHeight="1">
      <c r="B11" s="6599" t="s">
        <v>9167</v>
      </c>
      <c r="D11" s="6599" t="s">
        <v>9517</v>
      </c>
      <c r="F11" s="6599" t="s">
        <v>9518</v>
      </c>
    </row>
    <row r="12" spans="2:6" ht="21" customHeight="1">
      <c r="B12" s="6599" t="s">
        <v>8031</v>
      </c>
      <c r="D12" s="6599" t="s">
        <v>9218</v>
      </c>
      <c r="F12" s="6599" t="s">
        <v>9361</v>
      </c>
    </row>
    <row r="13" spans="2:6" ht="21" customHeight="1">
      <c r="B13" s="6575" t="s">
        <v>9200</v>
      </c>
      <c r="D13" s="6575" t="s">
        <v>9219</v>
      </c>
      <c r="F13" s="6575" t="s">
        <v>9362</v>
      </c>
    </row>
    <row r="14" spans="2:6" ht="21" customHeight="1">
      <c r="B14" s="6592" t="s">
        <v>9168</v>
      </c>
      <c r="D14" s="6592" t="s">
        <v>9220</v>
      </c>
      <c r="F14" s="6592" t="s">
        <v>9363</v>
      </c>
    </row>
    <row r="15" spans="2:6" ht="21" customHeight="1">
      <c r="B15" s="6593" t="s">
        <v>1092</v>
      </c>
      <c r="D15" s="6593" t="s">
        <v>898</v>
      </c>
      <c r="F15" s="6593" t="s">
        <v>8404</v>
      </c>
    </row>
    <row r="16" spans="2:6" ht="21" customHeight="1">
      <c r="B16" s="6594" t="s">
        <v>227</v>
      </c>
      <c r="D16" s="6594" t="s">
        <v>9221</v>
      </c>
      <c r="F16" s="6594" t="s">
        <v>9364</v>
      </c>
    </row>
    <row r="17" spans="2:6" ht="21" customHeight="1">
      <c r="B17" s="7290" t="s">
        <v>9198</v>
      </c>
      <c r="D17" s="7290" t="s">
        <v>9519</v>
      </c>
      <c r="F17" s="7290" t="s">
        <v>9520</v>
      </c>
    </row>
    <row r="18" spans="2:6" ht="21" customHeight="1">
      <c r="B18" s="7290"/>
      <c r="D18" s="7290"/>
      <c r="F18" s="7290"/>
    </row>
    <row r="19" spans="2:6" ht="21" customHeight="1">
      <c r="B19" s="6595" t="s">
        <v>8462</v>
      </c>
      <c r="D19" s="6595" t="s">
        <v>9222</v>
      </c>
      <c r="F19" s="6595" t="s">
        <v>9365</v>
      </c>
    </row>
    <row r="20" spans="2:6" ht="21" customHeight="1">
      <c r="B20" s="6596" t="s">
        <v>9209</v>
      </c>
      <c r="D20" s="6596" t="s">
        <v>9223</v>
      </c>
      <c r="F20" s="6596" t="s">
        <v>9366</v>
      </c>
    </row>
    <row r="21" spans="2:6" ht="21" customHeight="1">
      <c r="B21" s="6598" t="s">
        <v>9179</v>
      </c>
      <c r="D21" s="6598" t="s">
        <v>9521</v>
      </c>
      <c r="F21" s="6598" t="s">
        <v>9522</v>
      </c>
    </row>
    <row r="22" spans="2:6" ht="21" customHeight="1">
      <c r="B22" s="6586" t="s">
        <v>7467</v>
      </c>
      <c r="D22" s="6586" t="s">
        <v>9224</v>
      </c>
      <c r="F22" s="6586" t="s">
        <v>9367</v>
      </c>
    </row>
    <row r="23" spans="2:6" ht="21" customHeight="1">
      <c r="B23" s="6587" t="s">
        <v>7468</v>
      </c>
      <c r="D23" s="6587" t="s">
        <v>9225</v>
      </c>
      <c r="F23" s="6587" t="s">
        <v>9368</v>
      </c>
    </row>
    <row r="24" spans="2:6" ht="21" customHeight="1">
      <c r="B24" s="6588" t="s">
        <v>7469</v>
      </c>
      <c r="D24" s="6588" t="s">
        <v>7469</v>
      </c>
      <c r="F24" s="6588" t="s">
        <v>7469</v>
      </c>
    </row>
    <row r="25" spans="2:6" ht="21" customHeight="1">
      <c r="B25" s="6588" t="s">
        <v>7471</v>
      </c>
      <c r="D25" s="6588" t="s">
        <v>9226</v>
      </c>
      <c r="F25" s="6588" t="s">
        <v>9369</v>
      </c>
    </row>
    <row r="26" spans="2:6" ht="21" customHeight="1">
      <c r="B26" s="6588" t="s">
        <v>7473</v>
      </c>
      <c r="D26" s="6588" t="s">
        <v>9227</v>
      </c>
      <c r="F26" s="6588" t="s">
        <v>9227</v>
      </c>
    </row>
    <row r="27" spans="2:6" ht="21" customHeight="1">
      <c r="B27" s="6588" t="s">
        <v>7476</v>
      </c>
      <c r="D27" s="6588" t="s">
        <v>9228</v>
      </c>
      <c r="F27" s="6588" t="s">
        <v>9370</v>
      </c>
    </row>
    <row r="28" spans="2:6" ht="21" customHeight="1">
      <c r="B28" s="6589" t="s">
        <v>7480</v>
      </c>
      <c r="D28" s="6589" t="s">
        <v>9229</v>
      </c>
      <c r="F28" s="6589" t="s">
        <v>9371</v>
      </c>
    </row>
    <row r="29" spans="2:6" ht="21" customHeight="1">
      <c r="B29" s="6682"/>
      <c r="D29" s="6682"/>
      <c r="F29" s="6682"/>
    </row>
    <row r="30" spans="2:6" ht="21" customHeight="1">
      <c r="B30" s="6582" t="s">
        <v>185</v>
      </c>
      <c r="D30" s="6582" t="s">
        <v>9523</v>
      </c>
      <c r="F30" s="6582" t="s">
        <v>9524</v>
      </c>
    </row>
    <row r="31" spans="2:6" ht="21" customHeight="1">
      <c r="B31" s="6562" t="s">
        <v>184</v>
      </c>
      <c r="D31" s="6562" t="s">
        <v>851</v>
      </c>
      <c r="F31" s="6562" t="s">
        <v>8414</v>
      </c>
    </row>
    <row r="32" spans="2:6" ht="21" customHeight="1">
      <c r="B32" s="6562" t="s">
        <v>162</v>
      </c>
      <c r="D32" s="6562" t="s">
        <v>852</v>
      </c>
      <c r="F32" s="6562" t="s">
        <v>8415</v>
      </c>
    </row>
    <row r="33" spans="2:6" ht="21" customHeight="1">
      <c r="B33" s="6562" t="s">
        <v>196</v>
      </c>
      <c r="D33" s="6562" t="s">
        <v>850</v>
      </c>
      <c r="F33" s="6562" t="s">
        <v>8416</v>
      </c>
    </row>
    <row r="34" spans="2:6" ht="21" customHeight="1">
      <c r="B34" s="6562" t="s">
        <v>195</v>
      </c>
      <c r="D34" s="6562" t="s">
        <v>9230</v>
      </c>
      <c r="F34" s="6562" t="s">
        <v>9230</v>
      </c>
    </row>
    <row r="35" spans="2:6" ht="21" customHeight="1">
      <c r="B35" s="6583" t="s">
        <v>82</v>
      </c>
      <c r="D35" s="6583" t="s">
        <v>82</v>
      </c>
      <c r="F35" s="6583" t="s">
        <v>9372</v>
      </c>
    </row>
    <row r="36" spans="2:6" ht="21" customHeight="1">
      <c r="B36" s="6562" t="s">
        <v>847</v>
      </c>
      <c r="D36" s="6562" t="s">
        <v>9231</v>
      </c>
      <c r="F36" s="6562" t="s">
        <v>9373</v>
      </c>
    </row>
    <row r="37" spans="2:6" ht="21" customHeight="1">
      <c r="B37" s="6584" t="s">
        <v>9525</v>
      </c>
      <c r="D37" s="6584" t="s">
        <v>9232</v>
      </c>
      <c r="F37" s="6584" t="s">
        <v>9374</v>
      </c>
    </row>
    <row r="38" spans="2:6" ht="21" customHeight="1">
      <c r="B38" s="7285" t="s">
        <v>998</v>
      </c>
      <c r="D38" s="7285" t="s">
        <v>9233</v>
      </c>
      <c r="F38" s="7285" t="s">
        <v>9375</v>
      </c>
    </row>
    <row r="39" spans="2:6" ht="21" customHeight="1">
      <c r="B39" s="7285"/>
      <c r="D39" s="7285"/>
      <c r="F39" s="7285"/>
    </row>
    <row r="40" spans="2:6" ht="21" customHeight="1">
      <c r="B40" s="6561" t="s">
        <v>999</v>
      </c>
      <c r="D40" s="6561" t="s">
        <v>9234</v>
      </c>
      <c r="F40" s="6561" t="s">
        <v>9376</v>
      </c>
    </row>
    <row r="41" spans="2:6" ht="21" customHeight="1">
      <c r="B41" s="6581" t="s">
        <v>1000</v>
      </c>
      <c r="D41" s="6581" t="s">
        <v>9235</v>
      </c>
      <c r="F41" s="6581" t="s">
        <v>9377</v>
      </c>
    </row>
    <row r="42" spans="2:6" ht="21" customHeight="1">
      <c r="B42" s="6630"/>
      <c r="D42" s="6630"/>
      <c r="F42" s="6630"/>
    </row>
    <row r="43" spans="2:6" ht="21" customHeight="1">
      <c r="B43" s="6585" t="s">
        <v>853</v>
      </c>
      <c r="D43" s="6585" t="s">
        <v>9236</v>
      </c>
      <c r="F43" s="6585" t="s">
        <v>9378</v>
      </c>
    </row>
    <row r="44" spans="2:6" ht="21" customHeight="1">
      <c r="B44" s="6630"/>
      <c r="D44" s="6630"/>
      <c r="F44" s="6630"/>
    </row>
    <row r="45" spans="2:6" ht="21" customHeight="1">
      <c r="B45" s="6580" t="s">
        <v>9526</v>
      </c>
      <c r="D45" s="6580" t="s">
        <v>9237</v>
      </c>
      <c r="F45" s="6580" t="s">
        <v>9379</v>
      </c>
    </row>
    <row r="46" spans="2:6" ht="21" customHeight="1">
      <c r="B46" s="6580" t="s">
        <v>9184</v>
      </c>
      <c r="D46" s="6580" t="s">
        <v>9238</v>
      </c>
      <c r="F46" s="6580" t="s">
        <v>9380</v>
      </c>
    </row>
    <row r="47" spans="2:6" ht="21" customHeight="1">
      <c r="B47" s="6560" t="s">
        <v>924</v>
      </c>
      <c r="D47" s="6560" t="s">
        <v>9239</v>
      </c>
      <c r="F47" s="6560" t="s">
        <v>9527</v>
      </c>
    </row>
    <row r="48" spans="2:6" ht="21" customHeight="1">
      <c r="B48" s="6561" t="s">
        <v>955</v>
      </c>
      <c r="D48" s="6561" t="s">
        <v>9240</v>
      </c>
      <c r="F48" s="6561" t="s">
        <v>9382</v>
      </c>
    </row>
    <row r="49" spans="2:6" ht="21" customHeight="1">
      <c r="B49" s="6581" t="s">
        <v>956</v>
      </c>
      <c r="D49" s="6581" t="s">
        <v>9528</v>
      </c>
      <c r="F49" s="6581" t="s">
        <v>9529</v>
      </c>
    </row>
    <row r="50" spans="2:6" ht="21" customHeight="1">
      <c r="B50" s="6682"/>
      <c r="D50" s="6682"/>
      <c r="F50" s="6682"/>
    </row>
    <row r="51" spans="2:6" ht="21" customHeight="1">
      <c r="B51" s="6630"/>
      <c r="D51" s="6630"/>
      <c r="F51" s="6630"/>
    </row>
    <row r="52" spans="2:6" ht="21" customHeight="1">
      <c r="B52" s="6573" t="s">
        <v>9182</v>
      </c>
      <c r="D52" s="6573" t="s">
        <v>9530</v>
      </c>
      <c r="F52" s="6573" t="s">
        <v>9531</v>
      </c>
    </row>
    <row r="53" spans="2:6" ht="21" customHeight="1">
      <c r="B53" s="6568" t="s">
        <v>904</v>
      </c>
      <c r="D53" s="6568" t="s">
        <v>9241</v>
      </c>
      <c r="F53" s="6568" t="s">
        <v>9383</v>
      </c>
    </row>
    <row r="54" spans="2:6" ht="21" customHeight="1">
      <c r="B54" s="6630"/>
      <c r="D54" s="6630"/>
      <c r="F54" s="6630"/>
    </row>
    <row r="55" spans="2:6" ht="21" customHeight="1">
      <c r="B55" s="6683"/>
      <c r="D55" s="6683"/>
      <c r="F55" s="6683"/>
    </row>
    <row r="56" spans="2:6" ht="21" customHeight="1">
      <c r="B56" s="6630"/>
      <c r="D56" s="6630"/>
      <c r="F56" s="6630"/>
    </row>
    <row r="57" spans="2:6" ht="21" customHeight="1">
      <c r="B57" s="6574" t="s">
        <v>9169</v>
      </c>
      <c r="D57" s="6574" t="s">
        <v>9242</v>
      </c>
      <c r="F57" s="6574" t="s">
        <v>9384</v>
      </c>
    </row>
    <row r="58" spans="2:6" ht="21" customHeight="1">
      <c r="B58" s="6630"/>
      <c r="D58" s="6630"/>
      <c r="F58" s="6630"/>
    </row>
    <row r="59" spans="2:6" ht="21" customHeight="1">
      <c r="B59" s="6684"/>
      <c r="D59" s="6684"/>
      <c r="F59" s="6684"/>
    </row>
    <row r="60" spans="2:6" ht="21" customHeight="1">
      <c r="B60" s="6685"/>
      <c r="D60" s="6685"/>
      <c r="F60" s="6685"/>
    </row>
    <row r="61" spans="2:6" ht="21" customHeight="1">
      <c r="B61" s="6630"/>
      <c r="D61" s="6630"/>
      <c r="F61" s="6630"/>
    </row>
    <row r="62" spans="2:6" ht="21" customHeight="1">
      <c r="B62" s="6573" t="s">
        <v>9532</v>
      </c>
      <c r="D62" s="6573" t="s">
        <v>9243</v>
      </c>
      <c r="F62" s="6573" t="s">
        <v>9385</v>
      </c>
    </row>
    <row r="63" spans="2:6" ht="21" customHeight="1">
      <c r="B63" s="6575" t="s">
        <v>9210</v>
      </c>
      <c r="D63" s="6575" t="s">
        <v>9244</v>
      </c>
      <c r="F63" s="6575" t="s">
        <v>9386</v>
      </c>
    </row>
    <row r="64" spans="2:6" ht="21" customHeight="1">
      <c r="B64" s="6576" t="s">
        <v>9211</v>
      </c>
      <c r="D64" s="6576" t="s">
        <v>9245</v>
      </c>
      <c r="F64" s="6576" t="s">
        <v>9387</v>
      </c>
    </row>
    <row r="65" spans="2:6" ht="21" customHeight="1">
      <c r="B65" s="6576" t="s">
        <v>9212</v>
      </c>
      <c r="D65" s="6576" t="s">
        <v>9246</v>
      </c>
      <c r="F65" s="6576" t="s">
        <v>9388</v>
      </c>
    </row>
    <row r="66" spans="2:6" ht="21" customHeight="1">
      <c r="B66" s="6630"/>
      <c r="D66" s="6630"/>
      <c r="F66" s="6630"/>
    </row>
    <row r="67" spans="2:6" ht="21" customHeight="1">
      <c r="B67" s="6686" t="s">
        <v>8683</v>
      </c>
      <c r="D67" s="6686" t="s">
        <v>8683</v>
      </c>
      <c r="F67" s="6686" t="s">
        <v>8683</v>
      </c>
    </row>
    <row r="68" spans="2:6" ht="21" customHeight="1">
      <c r="B68" s="6630"/>
      <c r="D68" s="6630"/>
      <c r="F68" s="6630"/>
    </row>
    <row r="69" spans="2:6" ht="21" customHeight="1">
      <c r="B69" s="6574" t="s">
        <v>9533</v>
      </c>
      <c r="D69" s="6574" t="s">
        <v>9247</v>
      </c>
      <c r="F69" s="6574" t="s">
        <v>9389</v>
      </c>
    </row>
    <row r="70" spans="2:6" ht="21" customHeight="1">
      <c r="B70" s="6630"/>
      <c r="D70" s="6630"/>
      <c r="F70" s="6630"/>
    </row>
    <row r="71" spans="2:6" ht="21" customHeight="1">
      <c r="B71" s="6684"/>
      <c r="D71" s="6684"/>
      <c r="F71" s="6684"/>
    </row>
    <row r="72" spans="2:6" ht="21" customHeight="1">
      <c r="B72" s="6630"/>
      <c r="D72" s="6630"/>
      <c r="F72" s="6630"/>
    </row>
    <row r="73" spans="2:6" ht="21" customHeight="1">
      <c r="B73" s="6573" t="s">
        <v>9177</v>
      </c>
      <c r="D73" s="6573" t="s">
        <v>9248</v>
      </c>
      <c r="F73" s="6573" t="s">
        <v>9390</v>
      </c>
    </row>
    <row r="74" spans="2:6" ht="21" customHeight="1">
      <c r="B74" s="6575" t="s">
        <v>9213</v>
      </c>
      <c r="D74" s="6575" t="s">
        <v>9249</v>
      </c>
      <c r="F74" s="6575" t="s">
        <v>9391</v>
      </c>
    </row>
    <row r="75" spans="2:6" ht="21" customHeight="1">
      <c r="B75" s="6576" t="s">
        <v>9214</v>
      </c>
      <c r="D75" s="6576" t="s">
        <v>9250</v>
      </c>
      <c r="F75" s="6576" t="s">
        <v>9392</v>
      </c>
    </row>
    <row r="76" spans="2:6" ht="21" customHeight="1">
      <c r="B76" s="6576" t="s">
        <v>9215</v>
      </c>
      <c r="D76" s="6576" t="s">
        <v>9251</v>
      </c>
      <c r="F76" s="6576" t="s">
        <v>9393</v>
      </c>
    </row>
    <row r="77" spans="2:6" ht="21" customHeight="1">
      <c r="B77" s="6577" t="s">
        <v>9187</v>
      </c>
      <c r="D77" s="6577" t="s">
        <v>9187</v>
      </c>
      <c r="F77" s="6577" t="s">
        <v>9394</v>
      </c>
    </row>
    <row r="78" spans="2:6" ht="21" customHeight="1">
      <c r="B78" s="6578" t="s">
        <v>9188</v>
      </c>
      <c r="D78" s="6578" t="s">
        <v>9252</v>
      </c>
      <c r="F78" s="6578" t="s">
        <v>9395</v>
      </c>
    </row>
    <row r="79" spans="2:6" ht="21" customHeight="1">
      <c r="B79" s="6579" t="s">
        <v>9189</v>
      </c>
      <c r="D79" s="6579" t="s">
        <v>9253</v>
      </c>
      <c r="F79" s="6579" t="s">
        <v>9396</v>
      </c>
    </row>
    <row r="80" spans="2:6" ht="21" customHeight="1">
      <c r="B80" s="6630"/>
      <c r="D80" s="6630"/>
      <c r="F80" s="6630"/>
    </row>
    <row r="81" spans="2:6" ht="21" customHeight="1">
      <c r="B81" s="6630"/>
      <c r="D81" s="6630"/>
      <c r="F81" s="6630"/>
    </row>
    <row r="82" spans="2:6" ht="21" customHeight="1">
      <c r="B82" s="6682"/>
      <c r="D82" s="6682"/>
      <c r="F82" s="6682"/>
    </row>
    <row r="83" spans="2:6" ht="21" customHeight="1">
      <c r="B83" s="6630"/>
      <c r="D83" s="6630"/>
      <c r="F83" s="6630"/>
    </row>
    <row r="84" spans="2:6" ht="21" customHeight="1">
      <c r="B84" s="6600" t="s">
        <v>927</v>
      </c>
      <c r="D84" s="6600" t="s">
        <v>926</v>
      </c>
      <c r="F84" s="6600" t="s">
        <v>9397</v>
      </c>
    </row>
    <row r="85" spans="2:6" ht="21" customHeight="1">
      <c r="B85" s="6601" t="s">
        <v>9216</v>
      </c>
      <c r="D85" s="6601" t="s">
        <v>9254</v>
      </c>
      <c r="F85" s="6601" t="s">
        <v>9398</v>
      </c>
    </row>
    <row r="86" spans="2:6" ht="21" customHeight="1">
      <c r="B86" s="6630"/>
      <c r="D86" s="6630"/>
      <c r="F86" s="6630"/>
    </row>
    <row r="87" spans="2:6" ht="21" customHeight="1">
      <c r="B87" s="6559" t="s">
        <v>950</v>
      </c>
      <c r="D87" s="6559" t="s">
        <v>9255</v>
      </c>
      <c r="F87" s="6559" t="s">
        <v>9399</v>
      </c>
    </row>
    <row r="88" spans="2:6" ht="21" customHeight="1">
      <c r="B88" s="6560" t="s">
        <v>924</v>
      </c>
      <c r="D88" s="6560" t="s">
        <v>9239</v>
      </c>
      <c r="F88" s="6560" t="s">
        <v>9381</v>
      </c>
    </row>
    <row r="89" spans="2:6" ht="21" customHeight="1">
      <c r="B89" s="6561" t="s">
        <v>955</v>
      </c>
      <c r="D89" s="6561" t="s">
        <v>9240</v>
      </c>
      <c r="F89" s="6561" t="s">
        <v>9382</v>
      </c>
    </row>
    <row r="90" spans="2:6" ht="21" customHeight="1">
      <c r="B90" s="6562" t="s">
        <v>162</v>
      </c>
      <c r="D90" s="6562" t="s">
        <v>852</v>
      </c>
      <c r="F90" s="6562" t="s">
        <v>8415</v>
      </c>
    </row>
    <row r="91" spans="2:6" ht="21" customHeight="1">
      <c r="B91" s="6563" t="s">
        <v>970</v>
      </c>
      <c r="D91" s="6563" t="s">
        <v>969</v>
      </c>
      <c r="F91" s="6563" t="s">
        <v>9400</v>
      </c>
    </row>
    <row r="92" spans="2:6" ht="21" customHeight="1">
      <c r="B92" s="6563" t="s">
        <v>967</v>
      </c>
      <c r="D92" s="6563" t="s">
        <v>964</v>
      </c>
      <c r="F92" s="6563" t="s">
        <v>9401</v>
      </c>
    </row>
    <row r="93" spans="2:6" ht="21" customHeight="1">
      <c r="B93" s="6563" t="s">
        <v>977</v>
      </c>
      <c r="D93" s="6563" t="s">
        <v>973</v>
      </c>
      <c r="F93" s="6563" t="s">
        <v>9402</v>
      </c>
    </row>
    <row r="94" spans="2:6" ht="21" customHeight="1">
      <c r="B94" s="6564" t="s">
        <v>980</v>
      </c>
      <c r="D94" s="6564" t="s">
        <v>979</v>
      </c>
      <c r="F94" s="6564" t="s">
        <v>9403</v>
      </c>
    </row>
    <row r="95" spans="2:6" ht="21" customHeight="1">
      <c r="B95" s="6565" t="s">
        <v>185</v>
      </c>
      <c r="D95" s="6565" t="s">
        <v>9523</v>
      </c>
      <c r="F95" s="6565" t="s">
        <v>9524</v>
      </c>
    </row>
    <row r="96" spans="2:6" ht="21" customHeight="1">
      <c r="B96" s="6566" t="s">
        <v>971</v>
      </c>
      <c r="D96" s="6566" t="s">
        <v>9256</v>
      </c>
      <c r="F96" s="6566" t="s">
        <v>9404</v>
      </c>
    </row>
    <row r="97" spans="2:6" ht="21" customHeight="1">
      <c r="B97" s="6566" t="s">
        <v>968</v>
      </c>
      <c r="D97" s="6566" t="s">
        <v>966</v>
      </c>
      <c r="F97" s="6566" t="s">
        <v>9405</v>
      </c>
    </row>
    <row r="98" spans="2:6" ht="21" customHeight="1">
      <c r="B98" s="6566" t="s">
        <v>978</v>
      </c>
      <c r="D98" s="6566" t="s">
        <v>974</v>
      </c>
      <c r="F98" s="6566" t="s">
        <v>9406</v>
      </c>
    </row>
    <row r="99" spans="2:6" ht="21" customHeight="1">
      <c r="B99" s="6551" t="s">
        <v>956</v>
      </c>
      <c r="D99" s="6551" t="s">
        <v>9528</v>
      </c>
      <c r="F99" s="6551" t="s">
        <v>9529</v>
      </c>
    </row>
    <row r="100" spans="2:6" ht="21" customHeight="1">
      <c r="B100" s="6567" t="s">
        <v>987</v>
      </c>
      <c r="D100" s="6567" t="s">
        <v>9257</v>
      </c>
      <c r="F100" s="6567" t="s">
        <v>9407</v>
      </c>
    </row>
    <row r="101" spans="2:6" ht="21" customHeight="1">
      <c r="B101" s="6568" t="s">
        <v>904</v>
      </c>
      <c r="D101" s="6568" t="s">
        <v>9241</v>
      </c>
      <c r="F101" s="6568" t="s">
        <v>9383</v>
      </c>
    </row>
    <row r="102" spans="2:6" ht="21" customHeight="1">
      <c r="B102" s="6569" t="s">
        <v>991</v>
      </c>
      <c r="D102" s="6569" t="s">
        <v>9236</v>
      </c>
      <c r="F102" s="6569" t="s">
        <v>9378</v>
      </c>
    </row>
    <row r="103" spans="2:6" ht="36.75" customHeight="1">
      <c r="B103" s="6570" t="s">
        <v>992</v>
      </c>
      <c r="D103" s="6570" t="s">
        <v>9258</v>
      </c>
      <c r="F103" s="6570" t="s">
        <v>9408</v>
      </c>
    </row>
    <row r="104" spans="2:6" ht="21" customHeight="1">
      <c r="B104" s="6602" t="s">
        <v>975</v>
      </c>
      <c r="D104" s="6602" t="s">
        <v>9259</v>
      </c>
      <c r="F104" s="6602" t="s">
        <v>9409</v>
      </c>
    </row>
    <row r="105" spans="2:6" ht="21" customHeight="1">
      <c r="B105" s="6603" t="s">
        <v>976</v>
      </c>
      <c r="D105" s="6603" t="s">
        <v>972</v>
      </c>
      <c r="F105" s="6603" t="s">
        <v>9410</v>
      </c>
    </row>
    <row r="106" spans="2:6" ht="21" customHeight="1">
      <c r="B106" s="6571" t="s">
        <v>989</v>
      </c>
      <c r="D106" s="6571" t="s">
        <v>9260</v>
      </c>
      <c r="F106" s="6571" t="s">
        <v>9411</v>
      </c>
    </row>
    <row r="107" spans="2:6" ht="21" customHeight="1">
      <c r="B107" s="6571" t="s">
        <v>9534</v>
      </c>
      <c r="D107" s="6571" t="s">
        <v>9261</v>
      </c>
      <c r="F107" s="6571" t="s">
        <v>9412</v>
      </c>
    </row>
    <row r="108" spans="2:6" ht="21" customHeight="1">
      <c r="B108" s="6572" t="s">
        <v>896</v>
      </c>
      <c r="D108" s="6572" t="s">
        <v>9262</v>
      </c>
      <c r="F108" s="6572" t="s">
        <v>9413</v>
      </c>
    </row>
    <row r="109" spans="2:6" ht="21" customHeight="1">
      <c r="B109" s="6552" t="s">
        <v>8539</v>
      </c>
      <c r="D109" s="6552" t="s">
        <v>9263</v>
      </c>
      <c r="F109" s="6552" t="s">
        <v>9414</v>
      </c>
    </row>
    <row r="110" spans="2:6" ht="21" customHeight="1">
      <c r="B110" s="6630"/>
      <c r="D110" s="6630"/>
      <c r="F110" s="6630"/>
    </row>
    <row r="111" spans="2:6" ht="21" customHeight="1">
      <c r="B111" s="6630"/>
      <c r="D111" s="6630"/>
      <c r="F111" s="6630"/>
    </row>
    <row r="112" spans="2:6" ht="21" customHeight="1">
      <c r="B112" s="6555" t="s">
        <v>228</v>
      </c>
      <c r="D112" s="6555" t="s">
        <v>8376</v>
      </c>
      <c r="F112" s="6555" t="s">
        <v>9415</v>
      </c>
    </row>
    <row r="113" spans="2:6" ht="21" customHeight="1">
      <c r="B113" s="6556" t="s">
        <v>157</v>
      </c>
      <c r="D113" s="6556" t="s">
        <v>897</v>
      </c>
      <c r="F113" s="6556" t="s">
        <v>8794</v>
      </c>
    </row>
    <row r="114" spans="2:6" ht="21" customHeight="1">
      <c r="B114" s="6557" t="s">
        <v>8008</v>
      </c>
      <c r="D114" s="6557" t="s">
        <v>888</v>
      </c>
      <c r="F114" s="6557" t="s">
        <v>8408</v>
      </c>
    </row>
    <row r="115" spans="2:6" ht="21" customHeight="1">
      <c r="B115" s="6558" t="s">
        <v>944</v>
      </c>
      <c r="D115" s="6558" t="s">
        <v>941</v>
      </c>
      <c r="F115" s="6558" t="s">
        <v>7913</v>
      </c>
    </row>
    <row r="116" spans="2:6" ht="21" customHeight="1">
      <c r="B116" s="6604" t="s">
        <v>8354</v>
      </c>
      <c r="D116" s="6604" t="s">
        <v>8378</v>
      </c>
      <c r="F116" s="6604" t="s">
        <v>9416</v>
      </c>
    </row>
    <row r="117" spans="2:6" ht="21" customHeight="1">
      <c r="B117" s="6605" t="s">
        <v>8353</v>
      </c>
      <c r="D117" s="6605" t="s">
        <v>9264</v>
      </c>
      <c r="F117" s="6605" t="s">
        <v>9417</v>
      </c>
    </row>
    <row r="118" spans="2:6" ht="21" customHeight="1">
      <c r="B118" s="6554" t="s">
        <v>855</v>
      </c>
      <c r="D118" s="6554" t="s">
        <v>854</v>
      </c>
      <c r="F118" s="6554" t="s">
        <v>9418</v>
      </c>
    </row>
    <row r="119" spans="2:6" ht="21" customHeight="1">
      <c r="B119" s="6554" t="s">
        <v>858</v>
      </c>
      <c r="D119" s="6554" t="s">
        <v>857</v>
      </c>
      <c r="F119" s="6554" t="s">
        <v>9419</v>
      </c>
    </row>
    <row r="120" spans="2:6" ht="21" customHeight="1">
      <c r="B120" s="6605" t="s">
        <v>783</v>
      </c>
      <c r="D120" s="6605" t="s">
        <v>8377</v>
      </c>
      <c r="F120" s="6605" t="s">
        <v>8406</v>
      </c>
    </row>
    <row r="121" spans="2:6" ht="21" customHeight="1">
      <c r="B121" s="6605" t="s">
        <v>191</v>
      </c>
      <c r="D121" s="6605" t="s">
        <v>8382</v>
      </c>
      <c r="F121" s="6605" t="s">
        <v>8419</v>
      </c>
    </row>
    <row r="122" spans="2:6" ht="21" customHeight="1">
      <c r="B122" s="6606" t="s">
        <v>929</v>
      </c>
      <c r="D122" s="6606" t="s">
        <v>9265</v>
      </c>
      <c r="F122" s="6606" t="s">
        <v>9420</v>
      </c>
    </row>
    <row r="123" spans="2:6" ht="21" customHeight="1">
      <c r="B123" s="6607" t="s">
        <v>191</v>
      </c>
      <c r="D123" s="6607" t="s">
        <v>8382</v>
      </c>
      <c r="F123" s="6607" t="s">
        <v>8419</v>
      </c>
    </row>
    <row r="124" spans="2:6" ht="21" customHeight="1">
      <c r="B124" s="6605" t="s">
        <v>8009</v>
      </c>
      <c r="D124" s="6605" t="s">
        <v>9535</v>
      </c>
      <c r="F124" s="6605" t="s">
        <v>9536</v>
      </c>
    </row>
    <row r="125" spans="2:6" ht="21" customHeight="1">
      <c r="B125" s="6603" t="s">
        <v>8010</v>
      </c>
      <c r="D125" s="6603" t="s">
        <v>8384</v>
      </c>
      <c r="F125" s="6603" t="s">
        <v>8421</v>
      </c>
    </row>
    <row r="126" spans="2:6" ht="21" customHeight="1">
      <c r="B126" s="7286" t="s">
        <v>9204</v>
      </c>
      <c r="D126" s="7286" t="s">
        <v>9266</v>
      </c>
      <c r="F126" s="7286" t="s">
        <v>9421</v>
      </c>
    </row>
    <row r="127" spans="2:6" ht="21" customHeight="1">
      <c r="B127" s="7287"/>
      <c r="D127" s="7287"/>
      <c r="F127" s="7287"/>
    </row>
    <row r="128" spans="2:6" ht="21" customHeight="1">
      <c r="B128" s="6607" t="s">
        <v>8010</v>
      </c>
      <c r="D128" s="6607" t="s">
        <v>8384</v>
      </c>
      <c r="F128" s="6607" t="s">
        <v>8421</v>
      </c>
    </row>
    <row r="129" spans="2:6" ht="21" customHeight="1">
      <c r="B129" s="6551" t="s">
        <v>9190</v>
      </c>
      <c r="D129" s="6552" t="s">
        <v>9267</v>
      </c>
      <c r="F129" s="6552" t="s">
        <v>9422</v>
      </c>
    </row>
    <row r="130" spans="2:6" ht="21" customHeight="1">
      <c r="B130" s="6649"/>
      <c r="D130" s="6630"/>
      <c r="F130" s="6630"/>
    </row>
    <row r="131" spans="2:6" ht="21" customHeight="1">
      <c r="B131" s="6548" t="s">
        <v>845</v>
      </c>
      <c r="D131" s="6548" t="s">
        <v>9592</v>
      </c>
      <c r="F131" s="6548" t="s">
        <v>9593</v>
      </c>
    </row>
    <row r="132" spans="2:6" ht="21" customHeight="1">
      <c r="B132" s="6549" t="s">
        <v>160</v>
      </c>
      <c r="D132" s="6549" t="s">
        <v>9268</v>
      </c>
      <c r="F132" s="6549" t="s">
        <v>9423</v>
      </c>
    </row>
    <row r="133" spans="2:6" ht="21" customHeight="1">
      <c r="B133" s="6549" t="s">
        <v>8556</v>
      </c>
      <c r="D133" s="6549" t="s">
        <v>9269</v>
      </c>
      <c r="F133" s="6549" t="s">
        <v>9269</v>
      </c>
    </row>
    <row r="134" spans="2:6" ht="21" customHeight="1">
      <c r="B134" s="6549" t="s">
        <v>980</v>
      </c>
      <c r="D134" s="6549" t="s">
        <v>979</v>
      </c>
      <c r="F134" s="6549" t="s">
        <v>9403</v>
      </c>
    </row>
    <row r="135" spans="2:6" ht="21" customHeight="1">
      <c r="B135" s="6618" t="s">
        <v>8543</v>
      </c>
      <c r="D135" s="6618" t="s">
        <v>9537</v>
      </c>
      <c r="F135" s="6618" t="s">
        <v>9538</v>
      </c>
    </row>
    <row r="136" spans="2:6" ht="21" customHeight="1">
      <c r="B136" s="6619" t="s">
        <v>8544</v>
      </c>
      <c r="D136" s="6619" t="s">
        <v>9539</v>
      </c>
      <c r="F136" s="6619" t="s">
        <v>9540</v>
      </c>
    </row>
    <row r="137" spans="2:6" ht="21" customHeight="1">
      <c r="B137" s="6617" t="s">
        <v>8545</v>
      </c>
      <c r="D137" s="6617" t="s">
        <v>9541</v>
      </c>
      <c r="F137" s="6617" t="s">
        <v>9542</v>
      </c>
    </row>
    <row r="138" spans="2:6" ht="21" customHeight="1">
      <c r="B138" s="6682"/>
      <c r="D138" s="6682"/>
      <c r="F138" s="6682"/>
    </row>
    <row r="139" spans="2:6" ht="21" customHeight="1">
      <c r="B139" s="6630"/>
      <c r="D139" s="6630"/>
      <c r="F139" s="6630"/>
    </row>
    <row r="140" spans="2:6" ht="21" customHeight="1">
      <c r="B140" s="6608" t="s">
        <v>9185</v>
      </c>
      <c r="D140" s="6608" t="s">
        <v>9185</v>
      </c>
      <c r="F140" s="6608" t="s">
        <v>8417</v>
      </c>
    </row>
    <row r="141" spans="2:6" ht="21" customHeight="1">
      <c r="B141" s="6547" t="s">
        <v>912</v>
      </c>
      <c r="D141" s="6547" t="s">
        <v>9270</v>
      </c>
      <c r="F141" s="6547" t="s">
        <v>9424</v>
      </c>
    </row>
    <row r="142" spans="2:6" ht="21" customHeight="1">
      <c r="B142" s="6547" t="s">
        <v>98</v>
      </c>
      <c r="D142" s="6547" t="s">
        <v>9271</v>
      </c>
      <c r="F142" s="6547" t="s">
        <v>9425</v>
      </c>
    </row>
    <row r="143" spans="2:6" ht="21" customHeight="1">
      <c r="B143" s="6546" t="s">
        <v>1004</v>
      </c>
      <c r="D143" s="6546" t="s">
        <v>9272</v>
      </c>
      <c r="F143" s="6546" t="s">
        <v>9426</v>
      </c>
    </row>
    <row r="144" spans="2:6" ht="21" customHeight="1">
      <c r="B144" s="6546" t="s">
        <v>9543</v>
      </c>
      <c r="D144" s="6546" t="s">
        <v>9273</v>
      </c>
      <c r="F144" s="6546" t="s">
        <v>9427</v>
      </c>
    </row>
    <row r="145" spans="2:6" ht="21" customHeight="1">
      <c r="B145" s="6546" t="s">
        <v>9544</v>
      </c>
      <c r="D145" s="6546" t="s">
        <v>9274</v>
      </c>
      <c r="F145" s="6546" t="s">
        <v>9428</v>
      </c>
    </row>
    <row r="146" spans="2:6" ht="21" customHeight="1">
      <c r="B146" s="6546" t="s">
        <v>1007</v>
      </c>
      <c r="D146" s="6546" t="s">
        <v>9275</v>
      </c>
      <c r="F146" s="6546" t="s">
        <v>9429</v>
      </c>
    </row>
    <row r="147" spans="2:6" ht="21" customHeight="1">
      <c r="B147" s="6546" t="s">
        <v>1008</v>
      </c>
      <c r="D147" s="6546" t="s">
        <v>9276</v>
      </c>
      <c r="F147" s="6546" t="s">
        <v>9430</v>
      </c>
    </row>
    <row r="148" spans="2:6" ht="21" customHeight="1">
      <c r="B148" s="6630"/>
      <c r="D148" s="6630"/>
      <c r="F148" s="6630"/>
    </row>
    <row r="149" spans="2:6" ht="21" customHeight="1">
      <c r="B149" s="6630"/>
      <c r="D149" s="6630"/>
      <c r="F149" s="6630"/>
    </row>
    <row r="150" spans="2:6" ht="21" customHeight="1">
      <c r="B150" s="6687" t="s">
        <v>80</v>
      </c>
      <c r="D150" s="6687" t="s">
        <v>9277</v>
      </c>
      <c r="F150" s="6687" t="s">
        <v>9431</v>
      </c>
    </row>
    <row r="151" spans="2:6" ht="21" customHeight="1">
      <c r="B151" s="6688" t="s">
        <v>9545</v>
      </c>
      <c r="D151" s="6688" t="s">
        <v>9546</v>
      </c>
      <c r="F151" s="6688" t="s">
        <v>9547</v>
      </c>
    </row>
    <row r="152" spans="2:6" ht="21" customHeight="1">
      <c r="B152" s="6688" t="s">
        <v>77</v>
      </c>
      <c r="D152" s="6688" t="s">
        <v>9548</v>
      </c>
      <c r="F152" s="6688" t="s">
        <v>9549</v>
      </c>
    </row>
    <row r="153" spans="2:6" ht="21" customHeight="1">
      <c r="B153" s="6682"/>
      <c r="D153" s="6682"/>
      <c r="F153" s="6682"/>
    </row>
    <row r="154" spans="2:6" ht="21" customHeight="1" thickBot="1">
      <c r="B154" s="6630"/>
      <c r="D154" s="6630"/>
      <c r="F154" s="6630"/>
    </row>
    <row r="155" spans="2:6" ht="21" customHeight="1" thickTop="1">
      <c r="B155" s="6689" t="s">
        <v>191</v>
      </c>
      <c r="D155" s="6689" t="s">
        <v>8382</v>
      </c>
      <c r="F155" s="6689" t="s">
        <v>8419</v>
      </c>
    </row>
    <row r="156" spans="2:6" ht="21" customHeight="1">
      <c r="B156" s="6690" t="s">
        <v>783</v>
      </c>
      <c r="D156" s="6690" t="s">
        <v>8377</v>
      </c>
      <c r="F156" s="6690" t="s">
        <v>8406</v>
      </c>
    </row>
    <row r="157" spans="2:6" ht="21" customHeight="1">
      <c r="B157" s="6691" t="s">
        <v>3263</v>
      </c>
      <c r="D157" s="6691" t="s">
        <v>9278</v>
      </c>
      <c r="F157" s="6691" t="s">
        <v>9432</v>
      </c>
    </row>
    <row r="158" spans="2:6" ht="21" customHeight="1">
      <c r="B158" s="6544" t="s">
        <v>8580</v>
      </c>
      <c r="D158" s="6544" t="s">
        <v>9279</v>
      </c>
      <c r="F158" s="6544" t="s">
        <v>9433</v>
      </c>
    </row>
    <row r="159" spans="2:6" ht="21" customHeight="1">
      <c r="B159" s="6545" t="s">
        <v>9550</v>
      </c>
      <c r="D159" s="6545" t="s">
        <v>9280</v>
      </c>
      <c r="F159" s="6545" t="s">
        <v>9434</v>
      </c>
    </row>
    <row r="160" spans="2:6" ht="21" customHeight="1">
      <c r="B160" s="6609" t="s">
        <v>9206</v>
      </c>
      <c r="D160" s="6609" t="s">
        <v>9281</v>
      </c>
      <c r="F160" s="6609" t="s">
        <v>9435</v>
      </c>
    </row>
    <row r="161" spans="2:6" ht="21" customHeight="1">
      <c r="B161" s="6610" t="s">
        <v>9207</v>
      </c>
      <c r="D161" s="6610" t="s">
        <v>9282</v>
      </c>
      <c r="F161" s="6610" t="s">
        <v>9436</v>
      </c>
    </row>
    <row r="162" spans="2:6" ht="21" customHeight="1">
      <c r="B162" s="6682"/>
      <c r="D162" s="6682"/>
      <c r="F162" s="6682"/>
    </row>
    <row r="163" spans="2:6" ht="21" customHeight="1">
      <c r="B163" s="6630"/>
      <c r="D163" s="6630"/>
      <c r="F163" s="6630"/>
    </row>
    <row r="164" spans="2:6" ht="21" customHeight="1">
      <c r="B164" s="6611" t="s">
        <v>937</v>
      </c>
      <c r="D164" s="6611" t="s">
        <v>9283</v>
      </c>
      <c r="F164" s="6611" t="s">
        <v>9437</v>
      </c>
    </row>
    <row r="165" spans="2:6" ht="21" customHeight="1">
      <c r="B165" s="6612" t="s">
        <v>228</v>
      </c>
      <c r="D165" s="6612" t="s">
        <v>8376</v>
      </c>
      <c r="F165" s="6612" t="s">
        <v>9415</v>
      </c>
    </row>
    <row r="166" spans="2:6" ht="21" customHeight="1">
      <c r="B166" s="6613" t="s">
        <v>8586</v>
      </c>
      <c r="D166" s="6613" t="s">
        <v>9284</v>
      </c>
      <c r="F166" s="6613" t="s">
        <v>9438</v>
      </c>
    </row>
    <row r="167" spans="2:6" ht="21" customHeight="1">
      <c r="B167" s="6614" t="s">
        <v>8587</v>
      </c>
      <c r="D167" s="6614" t="s">
        <v>9285</v>
      </c>
      <c r="F167" s="6614" t="s">
        <v>9439</v>
      </c>
    </row>
    <row r="168" spans="2:6" ht="21" customHeight="1">
      <c r="B168" s="6630"/>
      <c r="D168" s="6630"/>
      <c r="F168" s="6630"/>
    </row>
    <row r="169" spans="2:6" ht="21" customHeight="1">
      <c r="B169" s="6682"/>
      <c r="D169" s="6682"/>
      <c r="F169" s="6682"/>
    </row>
    <row r="170" spans="2:6" ht="21" customHeight="1">
      <c r="B170" s="6620" t="s">
        <v>944</v>
      </c>
      <c r="D170" s="6620" t="s">
        <v>941</v>
      </c>
      <c r="F170" s="6620" t="s">
        <v>7913</v>
      </c>
    </row>
    <row r="171" spans="2:6" ht="21" customHeight="1">
      <c r="B171" s="6621" t="s">
        <v>9551</v>
      </c>
      <c r="D171" s="6621" t="s">
        <v>9286</v>
      </c>
      <c r="F171" s="6621" t="s">
        <v>9440</v>
      </c>
    </row>
    <row r="172" spans="2:6" ht="21" customHeight="1">
      <c r="B172" s="6622" t="s">
        <v>8588</v>
      </c>
      <c r="D172" s="6622" t="s">
        <v>9287</v>
      </c>
      <c r="F172" s="6622" t="s">
        <v>9441</v>
      </c>
    </row>
    <row r="173" spans="2:6" ht="21" customHeight="1">
      <c r="B173" s="6623" t="s">
        <v>8589</v>
      </c>
      <c r="D173" s="6623" t="s">
        <v>9288</v>
      </c>
      <c r="F173" s="6623" t="s">
        <v>9442</v>
      </c>
    </row>
    <row r="174" spans="2:6" ht="21" customHeight="1">
      <c r="B174" s="6623" t="s">
        <v>8590</v>
      </c>
      <c r="D174" s="6623" t="s">
        <v>9289</v>
      </c>
      <c r="F174" s="6623" t="s">
        <v>9443</v>
      </c>
    </row>
    <row r="175" spans="2:6" ht="21" customHeight="1">
      <c r="B175" s="6623" t="s">
        <v>73</v>
      </c>
      <c r="D175" s="6623" t="s">
        <v>9290</v>
      </c>
      <c r="F175" s="6623" t="s">
        <v>9444</v>
      </c>
    </row>
    <row r="176" spans="2:6" ht="21" customHeight="1">
      <c r="B176" s="6622" t="s">
        <v>8591</v>
      </c>
      <c r="D176" s="6622" t="s">
        <v>9291</v>
      </c>
      <c r="F176" s="6622" t="s">
        <v>9445</v>
      </c>
    </row>
    <row r="177" spans="2:6" ht="21" customHeight="1">
      <c r="B177" s="7282" t="s">
        <v>8592</v>
      </c>
      <c r="D177" s="7282" t="s">
        <v>9292</v>
      </c>
      <c r="F177" s="7282" t="s">
        <v>9446</v>
      </c>
    </row>
    <row r="178" spans="2:6" ht="21" customHeight="1">
      <c r="B178" s="7282"/>
      <c r="D178" s="7282"/>
      <c r="F178" s="7282"/>
    </row>
    <row r="179" spans="2:6" ht="21" customHeight="1">
      <c r="B179" s="6623" t="s">
        <v>71</v>
      </c>
      <c r="D179" s="6623" t="s">
        <v>905</v>
      </c>
      <c r="F179" s="6623" t="s">
        <v>7920</v>
      </c>
    </row>
    <row r="180" spans="2:6" ht="21" customHeight="1">
      <c r="B180" s="6623" t="s">
        <v>934</v>
      </c>
      <c r="D180" s="6623" t="s">
        <v>9293</v>
      </c>
      <c r="F180" s="6623" t="s">
        <v>9447</v>
      </c>
    </row>
    <row r="181" spans="2:6" ht="21" customHeight="1">
      <c r="B181" s="6623" t="s">
        <v>8594</v>
      </c>
      <c r="D181" s="6623" t="s">
        <v>9294</v>
      </c>
      <c r="F181" s="6623" t="s">
        <v>9448</v>
      </c>
    </row>
    <row r="182" spans="2:6" ht="21" customHeight="1">
      <c r="B182" s="6623" t="s">
        <v>1286</v>
      </c>
      <c r="D182" s="6623" t="s">
        <v>9295</v>
      </c>
      <c r="F182" s="6623" t="s">
        <v>9449</v>
      </c>
    </row>
    <row r="183" spans="2:6" ht="21" customHeight="1">
      <c r="B183" s="6624" t="s">
        <v>8597</v>
      </c>
      <c r="D183" s="6624" t="s">
        <v>9552</v>
      </c>
      <c r="F183" s="6624" t="s">
        <v>9553</v>
      </c>
    </row>
    <row r="184" spans="2:6" ht="21" customHeight="1">
      <c r="B184" s="6625" t="s">
        <v>8599</v>
      </c>
      <c r="D184" s="6625" t="s">
        <v>9554</v>
      </c>
      <c r="F184" s="6625" t="s">
        <v>9555</v>
      </c>
    </row>
    <row r="185" spans="2:6" ht="21" customHeight="1">
      <c r="B185" s="6626" t="s">
        <v>8600</v>
      </c>
      <c r="D185" s="6626" t="s">
        <v>9296</v>
      </c>
      <c r="F185" s="6626" t="s">
        <v>9450</v>
      </c>
    </row>
    <row r="186" spans="2:6" ht="21" customHeight="1">
      <c r="B186" s="7283" t="s">
        <v>8601</v>
      </c>
      <c r="D186" s="7283" t="s">
        <v>9556</v>
      </c>
      <c r="F186" s="7283" t="s">
        <v>9557</v>
      </c>
    </row>
    <row r="187" spans="2:6" ht="21" customHeight="1">
      <c r="B187" s="7284"/>
      <c r="D187" s="7284"/>
      <c r="F187" s="7284"/>
    </row>
    <row r="188" spans="2:6" ht="21" customHeight="1">
      <c r="B188" s="6682"/>
      <c r="D188" s="6682"/>
      <c r="F188" s="6682"/>
    </row>
    <row r="189" spans="2:6" ht="21" customHeight="1">
      <c r="B189" s="6630"/>
      <c r="D189" s="6630"/>
      <c r="F189" s="6630"/>
    </row>
    <row r="190" spans="2:6" ht="21" customHeight="1">
      <c r="B190" s="6631" t="s">
        <v>75</v>
      </c>
      <c r="D190" s="6631" t="s">
        <v>961</v>
      </c>
      <c r="F190" s="6631" t="s">
        <v>9558</v>
      </c>
    </row>
    <row r="191" spans="2:6" ht="21" customHeight="1">
      <c r="B191" s="6627" t="s">
        <v>9559</v>
      </c>
      <c r="D191" s="6627" t="s">
        <v>9297</v>
      </c>
      <c r="F191" s="6627" t="s">
        <v>9451</v>
      </c>
    </row>
    <row r="192" spans="2:6" ht="21" customHeight="1">
      <c r="B192" s="6628" t="s">
        <v>71</v>
      </c>
      <c r="D192" s="6628" t="s">
        <v>905</v>
      </c>
      <c r="F192" s="6628" t="s">
        <v>7920</v>
      </c>
    </row>
    <row r="193" spans="2:6" ht="21" customHeight="1">
      <c r="B193" s="6628" t="s">
        <v>934</v>
      </c>
      <c r="D193" s="6628" t="s">
        <v>9293</v>
      </c>
      <c r="F193" s="6628" t="s">
        <v>9447</v>
      </c>
    </row>
    <row r="194" spans="2:6" ht="21" customHeight="1">
      <c r="B194" s="6629" t="s">
        <v>8594</v>
      </c>
      <c r="D194" s="6629" t="s">
        <v>9294</v>
      </c>
      <c r="F194" s="6629" t="s">
        <v>9448</v>
      </c>
    </row>
    <row r="195" spans="2:6" ht="21" customHeight="1">
      <c r="B195" s="6629" t="s">
        <v>1286</v>
      </c>
      <c r="D195" s="6629" t="s">
        <v>9295</v>
      </c>
      <c r="F195" s="6629" t="s">
        <v>9449</v>
      </c>
    </row>
    <row r="196" spans="2:6" ht="21" customHeight="1">
      <c r="B196" s="6632" t="s">
        <v>8607</v>
      </c>
      <c r="D196" s="6632" t="s">
        <v>9560</v>
      </c>
      <c r="F196" s="6632" t="s">
        <v>9561</v>
      </c>
    </row>
    <row r="197" spans="2:6" ht="21" customHeight="1">
      <c r="B197" s="6630"/>
      <c r="D197" s="6630"/>
      <c r="F197" s="6630"/>
    </row>
    <row r="198" spans="2:6" ht="21" customHeight="1">
      <c r="B198" s="6682"/>
      <c r="D198" s="6682"/>
      <c r="F198" s="6682"/>
    </row>
    <row r="199" spans="2:6" ht="21" customHeight="1">
      <c r="B199" s="7278" t="s">
        <v>8608</v>
      </c>
      <c r="D199" s="7278" t="s">
        <v>9298</v>
      </c>
      <c r="F199" s="7278" t="s">
        <v>9452</v>
      </c>
    </row>
    <row r="200" spans="2:6" ht="21" customHeight="1">
      <c r="B200" s="7279"/>
      <c r="D200" s="7279"/>
      <c r="F200" s="7279"/>
    </row>
    <row r="201" spans="2:6" ht="21" customHeight="1">
      <c r="B201" s="6627" t="s">
        <v>8609</v>
      </c>
      <c r="D201" s="6627" t="s">
        <v>9562</v>
      </c>
      <c r="F201" s="6627" t="s">
        <v>9563</v>
      </c>
    </row>
    <row r="202" spans="2:6" ht="21" customHeight="1">
      <c r="B202" s="6622" t="s">
        <v>62</v>
      </c>
      <c r="D202" s="6622" t="s">
        <v>9299</v>
      </c>
      <c r="F202" s="6622" t="s">
        <v>9453</v>
      </c>
    </row>
    <row r="203" spans="2:6" ht="21" customHeight="1">
      <c r="B203" s="6636" t="s">
        <v>37</v>
      </c>
      <c r="D203" s="6636" t="s">
        <v>37</v>
      </c>
      <c r="F203" s="6636" t="s">
        <v>37</v>
      </c>
    </row>
    <row r="204" spans="2:6" ht="21" customHeight="1">
      <c r="B204" s="6637" t="s">
        <v>8612</v>
      </c>
      <c r="D204" s="6637" t="s">
        <v>9300</v>
      </c>
      <c r="F204" s="6637" t="s">
        <v>9454</v>
      </c>
    </row>
    <row r="205" spans="2:6" ht="21" customHeight="1">
      <c r="B205" s="6638" t="s">
        <v>8609</v>
      </c>
      <c r="D205" s="6638" t="s">
        <v>9562</v>
      </c>
      <c r="F205" s="6638" t="s">
        <v>9563</v>
      </c>
    </row>
    <row r="206" spans="2:6" ht="21" customHeight="1">
      <c r="B206" s="6639" t="s">
        <v>8613</v>
      </c>
      <c r="D206" s="6639" t="s">
        <v>9301</v>
      </c>
      <c r="F206" s="6639" t="s">
        <v>9455</v>
      </c>
    </row>
    <row r="207" spans="2:6" ht="21" customHeight="1">
      <c r="B207" s="6640" t="s">
        <v>8614</v>
      </c>
      <c r="D207" s="6640" t="s">
        <v>9564</v>
      </c>
      <c r="F207" s="6640" t="s">
        <v>9565</v>
      </c>
    </row>
    <row r="208" spans="2:6" ht="21" customHeight="1">
      <c r="B208" s="6629" t="s">
        <v>8615</v>
      </c>
      <c r="D208" s="6629" t="s">
        <v>9302</v>
      </c>
      <c r="F208" s="6629" t="s">
        <v>9456</v>
      </c>
    </row>
    <row r="209" spans="2:6" ht="21" customHeight="1">
      <c r="B209" s="6641" t="s">
        <v>8617</v>
      </c>
      <c r="D209" s="6641" t="s">
        <v>9303</v>
      </c>
      <c r="F209" s="6641" t="s">
        <v>9457</v>
      </c>
    </row>
    <row r="210" spans="2:6" ht="21" customHeight="1">
      <c r="B210" s="6630" t="s">
        <v>8616</v>
      </c>
      <c r="D210" s="6630" t="s">
        <v>9304</v>
      </c>
      <c r="F210" s="6630" t="s">
        <v>9458</v>
      </c>
    </row>
    <row r="211" spans="2:6" ht="21" customHeight="1">
      <c r="B211" s="6630" t="s">
        <v>8619</v>
      </c>
      <c r="D211" s="6630" t="s">
        <v>9305</v>
      </c>
      <c r="F211" s="6630" t="s">
        <v>9459</v>
      </c>
    </row>
    <row r="212" spans="2:6" ht="21" customHeight="1">
      <c r="B212" s="6630" t="s">
        <v>8621</v>
      </c>
      <c r="D212" s="6630" t="s">
        <v>9306</v>
      </c>
      <c r="F212" s="6630" t="s">
        <v>9460</v>
      </c>
    </row>
    <row r="213" spans="2:6" ht="21" customHeight="1">
      <c r="B213" s="6642"/>
      <c r="D213" s="6642"/>
      <c r="F213" s="6642"/>
    </row>
    <row r="214" spans="2:6" ht="21" customHeight="1">
      <c r="B214" s="6692"/>
      <c r="D214" s="6692"/>
      <c r="F214" s="6692"/>
    </row>
    <row r="215" spans="2:6" ht="21" customHeight="1">
      <c r="B215" s="6643" t="s">
        <v>9566</v>
      </c>
      <c r="D215" s="6643" t="s">
        <v>9567</v>
      </c>
      <c r="F215" s="6643" t="s">
        <v>9568</v>
      </c>
    </row>
    <row r="216" spans="2:6" ht="21" customHeight="1">
      <c r="B216" s="6630"/>
      <c r="D216" s="6630"/>
      <c r="F216" s="6630"/>
    </row>
    <row r="217" spans="2:6" ht="21" customHeight="1">
      <c r="B217" s="6646" t="s">
        <v>8564</v>
      </c>
      <c r="D217" s="6646" t="s">
        <v>9307</v>
      </c>
      <c r="F217" s="6646" t="s">
        <v>9461</v>
      </c>
    </row>
    <row r="218" spans="2:6" ht="21" customHeight="1">
      <c r="B218" s="6646" t="s">
        <v>8565</v>
      </c>
      <c r="D218" s="6646" t="s">
        <v>9308</v>
      </c>
      <c r="F218" s="6646" t="s">
        <v>9462</v>
      </c>
    </row>
    <row r="219" spans="2:6" ht="21" customHeight="1">
      <c r="B219" s="6630" t="s">
        <v>1112</v>
      </c>
      <c r="D219" s="6630" t="s">
        <v>9309</v>
      </c>
      <c r="F219" s="6630" t="s">
        <v>9463</v>
      </c>
    </row>
    <row r="220" spans="2:6" ht="21" customHeight="1">
      <c r="B220" s="6630"/>
      <c r="D220" s="6630"/>
      <c r="F220" s="6630"/>
    </row>
    <row r="221" spans="2:6" ht="21" customHeight="1">
      <c r="B221" s="6644" t="s">
        <v>873</v>
      </c>
      <c r="D221" s="6644" t="s">
        <v>8386</v>
      </c>
      <c r="F221" s="6644" t="s">
        <v>9464</v>
      </c>
    </row>
    <row r="222" spans="2:6" ht="21" customHeight="1">
      <c r="B222" s="6645" t="s">
        <v>9203</v>
      </c>
      <c r="D222" s="6645" t="s">
        <v>9310</v>
      </c>
      <c r="F222" s="6645" t="s">
        <v>9465</v>
      </c>
    </row>
    <row r="223" spans="2:6" ht="21" customHeight="1">
      <c r="B223" s="6693"/>
      <c r="D223" s="6693"/>
      <c r="F223" s="6693"/>
    </row>
    <row r="224" spans="2:6" ht="21" customHeight="1">
      <c r="B224" s="6630"/>
      <c r="D224" s="6630"/>
      <c r="F224" s="6630"/>
    </row>
    <row r="225" spans="2:6" ht="21" customHeight="1">
      <c r="B225" s="6647" t="s">
        <v>1156</v>
      </c>
      <c r="D225" s="6647" t="s">
        <v>9311</v>
      </c>
      <c r="F225" s="6647" t="s">
        <v>9466</v>
      </c>
    </row>
    <row r="226" spans="2:6" ht="21" customHeight="1">
      <c r="B226" s="6649" t="s">
        <v>1157</v>
      </c>
      <c r="D226" s="6649" t="s">
        <v>9312</v>
      </c>
      <c r="F226" s="6649" t="s">
        <v>9467</v>
      </c>
    </row>
    <row r="227" spans="2:6" ht="21" customHeight="1">
      <c r="B227" s="6647" t="s">
        <v>1150</v>
      </c>
      <c r="D227" s="6647" t="s">
        <v>8361</v>
      </c>
      <c r="F227" s="6647" t="s">
        <v>8431</v>
      </c>
    </row>
    <row r="228" spans="2:6" ht="21" customHeight="1">
      <c r="B228" s="6630" t="s">
        <v>1152</v>
      </c>
      <c r="D228" s="6630" t="s">
        <v>8362</v>
      </c>
      <c r="F228" s="6630" t="s">
        <v>8432</v>
      </c>
    </row>
    <row r="229" spans="2:6" ht="21" customHeight="1">
      <c r="B229" s="6630" t="s">
        <v>8017</v>
      </c>
      <c r="D229" s="6630" t="s">
        <v>8363</v>
      </c>
      <c r="F229" s="6630" t="s">
        <v>9468</v>
      </c>
    </row>
    <row r="230" spans="2:6" ht="21" customHeight="1">
      <c r="B230" s="6648" t="s">
        <v>37</v>
      </c>
      <c r="D230" s="6648" t="s">
        <v>37</v>
      </c>
      <c r="F230" s="6648" t="s">
        <v>37</v>
      </c>
    </row>
    <row r="231" spans="2:6" ht="21" customHeight="1">
      <c r="B231" s="6615" t="s">
        <v>7498</v>
      </c>
      <c r="D231" s="6615" t="s">
        <v>8364</v>
      </c>
      <c r="F231" s="6615" t="s">
        <v>9469</v>
      </c>
    </row>
    <row r="232" spans="2:6" ht="21" customHeight="1">
      <c r="B232" s="6650" t="s">
        <v>8018</v>
      </c>
      <c r="D232" s="6650" t="s">
        <v>8365</v>
      </c>
      <c r="F232" s="6650" t="s">
        <v>9470</v>
      </c>
    </row>
    <row r="233" spans="2:6" ht="21" customHeight="1">
      <c r="B233" s="6646" t="s">
        <v>8019</v>
      </c>
      <c r="D233" s="6646" t="s">
        <v>8367</v>
      </c>
      <c r="F233" s="6646" t="s">
        <v>9471</v>
      </c>
    </row>
    <row r="234" spans="2:6" ht="21" customHeight="1">
      <c r="B234" s="6652" t="s">
        <v>157</v>
      </c>
      <c r="D234" s="6652" t="s">
        <v>897</v>
      </c>
      <c r="F234" s="6652" t="s">
        <v>8794</v>
      </c>
    </row>
    <row r="235" spans="2:6" ht="21" customHeight="1">
      <c r="B235" s="6652" t="s">
        <v>8569</v>
      </c>
      <c r="D235" s="6652" t="s">
        <v>9313</v>
      </c>
      <c r="F235" s="6652" t="s">
        <v>9313</v>
      </c>
    </row>
    <row r="236" spans="2:6" ht="21" customHeight="1">
      <c r="B236" s="6651" t="s">
        <v>9569</v>
      </c>
      <c r="D236" s="6651" t="s">
        <v>9314</v>
      </c>
      <c r="F236" s="6651" t="s">
        <v>8434</v>
      </c>
    </row>
    <row r="237" spans="2:6" ht="21" customHeight="1">
      <c r="B237" s="6630" t="s">
        <v>8021</v>
      </c>
      <c r="D237" s="6630" t="s">
        <v>9315</v>
      </c>
      <c r="F237" s="6630" t="s">
        <v>9472</v>
      </c>
    </row>
    <row r="238" spans="2:6" ht="21" customHeight="1">
      <c r="B238" s="6649" t="s">
        <v>8023</v>
      </c>
      <c r="D238" s="6649" t="s">
        <v>9316</v>
      </c>
      <c r="F238" s="6649" t="s">
        <v>9473</v>
      </c>
    </row>
    <row r="239" spans="2:6" ht="21" customHeight="1">
      <c r="B239" s="6630"/>
      <c r="D239" s="6630"/>
      <c r="F239" s="6630"/>
    </row>
    <row r="240" spans="2:6" ht="21" customHeight="1">
      <c r="B240" s="6630"/>
      <c r="D240" s="6630"/>
      <c r="F240" s="6630"/>
    </row>
    <row r="241" spans="2:6" ht="21" customHeight="1">
      <c r="B241" s="6653" t="s">
        <v>7498</v>
      </c>
      <c r="D241" s="6653" t="s">
        <v>8364</v>
      </c>
      <c r="F241" s="6653" t="s">
        <v>9469</v>
      </c>
    </row>
    <row r="242" spans="2:6" ht="21" customHeight="1">
      <c r="B242" s="6654" t="s">
        <v>3353</v>
      </c>
      <c r="D242" s="6654" t="s">
        <v>9317</v>
      </c>
      <c r="F242" s="6654" t="s">
        <v>9474</v>
      </c>
    </row>
    <row r="243" spans="2:6" ht="21" customHeight="1">
      <c r="B243" s="6655" t="s">
        <v>9570</v>
      </c>
      <c r="D243" s="6655" t="s">
        <v>9318</v>
      </c>
      <c r="F243" s="6655" t="s">
        <v>9475</v>
      </c>
    </row>
    <row r="244" spans="2:6" ht="21" customHeight="1">
      <c r="B244" s="6656" t="s">
        <v>8629</v>
      </c>
      <c r="D244" s="6656" t="s">
        <v>9319</v>
      </c>
      <c r="F244" s="6656" t="s">
        <v>9476</v>
      </c>
    </row>
    <row r="245" spans="2:6" ht="21" customHeight="1">
      <c r="B245" s="6656" t="s">
        <v>8626</v>
      </c>
      <c r="D245" s="6656" t="s">
        <v>9320</v>
      </c>
      <c r="F245" s="6656" t="s">
        <v>9477</v>
      </c>
    </row>
    <row r="246" spans="2:6" ht="21" customHeight="1">
      <c r="B246" s="6657" t="s">
        <v>8022</v>
      </c>
      <c r="D246" s="6657" t="s">
        <v>9571</v>
      </c>
      <c r="F246" s="6657" t="s">
        <v>10687</v>
      </c>
    </row>
    <row r="247" spans="2:6" ht="21" customHeight="1">
      <c r="B247" s="6657" t="s">
        <v>8024</v>
      </c>
      <c r="D247" s="6657" t="s">
        <v>9321</v>
      </c>
      <c r="F247" s="6657" t="s">
        <v>9478</v>
      </c>
    </row>
    <row r="248" spans="2:6" ht="21" customHeight="1">
      <c r="B248" s="6657" t="s">
        <v>8630</v>
      </c>
      <c r="D248" s="6657" t="s">
        <v>9322</v>
      </c>
      <c r="F248" s="6657" t="s">
        <v>9479</v>
      </c>
    </row>
    <row r="249" spans="2:6" ht="21" customHeight="1">
      <c r="B249" s="6657" t="s">
        <v>8631</v>
      </c>
      <c r="D249" s="6657" t="s">
        <v>9323</v>
      </c>
      <c r="F249" s="6657" t="s">
        <v>9480</v>
      </c>
    </row>
    <row r="250" spans="2:6" ht="21" customHeight="1">
      <c r="B250" s="6660" t="s">
        <v>269</v>
      </c>
      <c r="D250" s="6660" t="s">
        <v>269</v>
      </c>
      <c r="F250" s="6660" t="s">
        <v>269</v>
      </c>
    </row>
    <row r="251" spans="2:6" ht="21" customHeight="1">
      <c r="B251" s="6658" t="s">
        <v>9202</v>
      </c>
      <c r="D251" s="6658" t="s">
        <v>9324</v>
      </c>
      <c r="F251" s="6658" t="s">
        <v>9481</v>
      </c>
    </row>
    <row r="252" spans="2:6" ht="21" customHeight="1">
      <c r="B252" s="6659" t="s">
        <v>9201</v>
      </c>
      <c r="D252" s="6659" t="s">
        <v>9325</v>
      </c>
      <c r="F252" s="6659" t="s">
        <v>9482</v>
      </c>
    </row>
    <row r="253" spans="2:6" ht="21" customHeight="1">
      <c r="B253" s="6694"/>
      <c r="D253" s="6694"/>
      <c r="F253" s="6694"/>
    </row>
    <row r="254" spans="2:6" ht="21" customHeight="1">
      <c r="B254" s="6630"/>
      <c r="D254" s="6630"/>
      <c r="F254" s="6630"/>
    </row>
    <row r="255" spans="2:6" ht="21" customHeight="1">
      <c r="B255" s="6661" t="s">
        <v>9186</v>
      </c>
      <c r="D255" s="6661" t="s">
        <v>9326</v>
      </c>
      <c r="F255" s="6661" t="s">
        <v>9483</v>
      </c>
    </row>
    <row r="256" spans="2:6" ht="21" customHeight="1">
      <c r="B256" s="6630" t="s">
        <v>8633</v>
      </c>
      <c r="D256" s="6630" t="s">
        <v>9327</v>
      </c>
      <c r="F256" s="6630" t="s">
        <v>9484</v>
      </c>
    </row>
    <row r="257" spans="2:6" ht="21" customHeight="1">
      <c r="B257" s="6648" t="s">
        <v>8634</v>
      </c>
      <c r="D257" s="6648" t="s">
        <v>9328</v>
      </c>
      <c r="F257" s="6648" t="s">
        <v>9485</v>
      </c>
    </row>
    <row r="258" spans="2:6" ht="21" customHeight="1">
      <c r="B258" s="6633"/>
      <c r="D258" s="6633"/>
      <c r="F258" s="6633"/>
    </row>
    <row r="259" spans="2:6" ht="21" customHeight="1">
      <c r="B259" s="6663" t="s">
        <v>1117</v>
      </c>
      <c r="D259" s="6663" t="s">
        <v>9329</v>
      </c>
      <c r="F259" s="6663" t="s">
        <v>9486</v>
      </c>
    </row>
    <row r="260" spans="2:6" ht="21" customHeight="1">
      <c r="B260" s="6665" t="s">
        <v>1128</v>
      </c>
      <c r="D260" s="6665" t="s">
        <v>9330</v>
      </c>
      <c r="F260" s="6665" t="s">
        <v>9487</v>
      </c>
    </row>
    <row r="261" spans="2:6" ht="21" customHeight="1">
      <c r="B261" s="6665" t="s">
        <v>1129</v>
      </c>
      <c r="D261" s="6665" t="s">
        <v>9331</v>
      </c>
      <c r="F261" s="6665" t="s">
        <v>9488</v>
      </c>
    </row>
    <row r="262" spans="2:6" ht="21" customHeight="1">
      <c r="B262" s="6665" t="s">
        <v>1130</v>
      </c>
      <c r="D262" s="6665" t="s">
        <v>9332</v>
      </c>
      <c r="F262" s="6665" t="s">
        <v>9489</v>
      </c>
    </row>
    <row r="263" spans="2:6" ht="21" customHeight="1">
      <c r="B263" s="6630" t="s">
        <v>1112</v>
      </c>
      <c r="D263" s="6630" t="s">
        <v>9309</v>
      </c>
      <c r="F263" s="6630" t="s">
        <v>9463</v>
      </c>
    </row>
    <row r="264" spans="2:6" ht="21" customHeight="1">
      <c r="B264" s="6630"/>
      <c r="D264" s="6630" t="s">
        <v>9333</v>
      </c>
      <c r="F264" s="6630" t="s">
        <v>9490</v>
      </c>
    </row>
    <row r="265" spans="2:6" ht="21" customHeight="1" thickBot="1">
      <c r="B265" s="6664"/>
      <c r="D265" s="6664"/>
      <c r="F265" s="6664"/>
    </row>
    <row r="266" spans="2:6" ht="21" customHeight="1">
      <c r="B266" s="6616" t="s">
        <v>252</v>
      </c>
      <c r="D266" s="6616"/>
      <c r="F266" s="6616"/>
    </row>
    <row r="267" spans="2:6" ht="21" customHeight="1">
      <c r="B267" s="6663" t="s">
        <v>1144</v>
      </c>
      <c r="D267" s="6663" t="s">
        <v>9334</v>
      </c>
      <c r="F267" s="6663" t="s">
        <v>9491</v>
      </c>
    </row>
    <row r="268" spans="2:6" ht="21" customHeight="1">
      <c r="B268" s="6656" t="s">
        <v>1145</v>
      </c>
      <c r="D268" s="6656" t="s">
        <v>9335</v>
      </c>
      <c r="F268" s="6656" t="s">
        <v>9492</v>
      </c>
    </row>
    <row r="269" spans="2:6" ht="21" customHeight="1">
      <c r="B269" s="6668" t="s">
        <v>1146</v>
      </c>
      <c r="D269" s="6668" t="s">
        <v>9336</v>
      </c>
      <c r="F269" s="6668" t="s">
        <v>9493</v>
      </c>
    </row>
    <row r="270" spans="2:6" ht="21" customHeight="1">
      <c r="B270" s="6666" t="s">
        <v>1147</v>
      </c>
      <c r="D270" s="6666" t="s">
        <v>9337</v>
      </c>
      <c r="F270" s="6666" t="s">
        <v>9494</v>
      </c>
    </row>
    <row r="271" spans="2:6" ht="21" customHeight="1">
      <c r="B271" s="6667" t="s">
        <v>1148</v>
      </c>
      <c r="D271" s="6667" t="s">
        <v>9338</v>
      </c>
      <c r="F271" s="6667" t="s">
        <v>9495</v>
      </c>
    </row>
    <row r="272" spans="2:6" ht="21" customHeight="1">
      <c r="B272" s="7280" t="s">
        <v>1149</v>
      </c>
      <c r="D272" s="7280" t="s">
        <v>9339</v>
      </c>
      <c r="F272" s="7280" t="s">
        <v>9496</v>
      </c>
    </row>
    <row r="273" spans="2:6" ht="21" customHeight="1" thickBot="1">
      <c r="B273" s="7281"/>
      <c r="D273" s="7281"/>
      <c r="F273" s="7281"/>
    </row>
    <row r="274" spans="2:6" ht="21" customHeight="1" thickBot="1">
      <c r="B274" s="6664"/>
      <c r="D274" s="6664"/>
      <c r="F274" s="6664"/>
    </row>
    <row r="275" spans="2:6" ht="21" customHeight="1">
      <c r="B275" s="6662" t="s">
        <v>9573</v>
      </c>
      <c r="D275" s="6662" t="s">
        <v>9574</v>
      </c>
      <c r="F275" s="6662" t="s">
        <v>9575</v>
      </c>
    </row>
    <row r="276" spans="2:6" ht="21" customHeight="1">
      <c r="B276" s="6647" t="s">
        <v>1159</v>
      </c>
      <c r="D276" s="6647" t="s">
        <v>9340</v>
      </c>
      <c r="F276" s="6647" t="s">
        <v>9497</v>
      </c>
    </row>
    <row r="277" spans="2:6" ht="21" customHeight="1">
      <c r="B277" s="6630" t="s">
        <v>1163</v>
      </c>
      <c r="D277" s="6630" t="s">
        <v>9341</v>
      </c>
      <c r="F277" s="6630" t="s">
        <v>9498</v>
      </c>
    </row>
    <row r="278" spans="2:6" ht="21" customHeight="1">
      <c r="B278" s="6630" t="s">
        <v>9342</v>
      </c>
      <c r="D278" s="6630" t="s">
        <v>9342</v>
      </c>
      <c r="F278" s="6630" t="s">
        <v>9499</v>
      </c>
    </row>
    <row r="279" spans="2:6" ht="21" customHeight="1">
      <c r="B279" s="6630" t="s">
        <v>1177</v>
      </c>
      <c r="D279" s="6630" t="s">
        <v>9343</v>
      </c>
      <c r="F279" s="6630" t="s">
        <v>9500</v>
      </c>
    </row>
    <row r="280" spans="2:6" ht="21" customHeight="1">
      <c r="B280" s="6630" t="s">
        <v>1178</v>
      </c>
      <c r="D280" s="6630" t="s">
        <v>9344</v>
      </c>
      <c r="F280" s="6630" t="s">
        <v>9501</v>
      </c>
    </row>
    <row r="281" spans="2:6" ht="21" customHeight="1">
      <c r="B281" s="6668" t="s">
        <v>9576</v>
      </c>
      <c r="D281" s="6668" t="s">
        <v>9345</v>
      </c>
      <c r="F281" s="6668" t="s">
        <v>9502</v>
      </c>
    </row>
    <row r="282" spans="2:6" ht="21" customHeight="1">
      <c r="B282" s="6630" t="s">
        <v>1182</v>
      </c>
      <c r="D282" s="6630" t="s">
        <v>9346</v>
      </c>
      <c r="F282" s="6630" t="s">
        <v>9503</v>
      </c>
    </row>
    <row r="283" spans="2:6" ht="21" customHeight="1">
      <c r="B283" s="6656" t="s">
        <v>1160</v>
      </c>
      <c r="D283" s="6656" t="s">
        <v>9347</v>
      </c>
      <c r="F283" s="6656" t="s">
        <v>9504</v>
      </c>
    </row>
    <row r="284" spans="2:6" ht="21" customHeight="1">
      <c r="B284" s="6630" t="s">
        <v>1162</v>
      </c>
      <c r="D284" s="6630" t="s">
        <v>9348</v>
      </c>
      <c r="F284" s="6630" t="s">
        <v>9505</v>
      </c>
    </row>
    <row r="285" spans="2:6" ht="21" customHeight="1">
      <c r="B285" s="6630" t="s">
        <v>1164</v>
      </c>
      <c r="D285" s="6630" t="s">
        <v>9349</v>
      </c>
      <c r="F285" s="6630" t="s">
        <v>9506</v>
      </c>
    </row>
    <row r="286" spans="2:6" ht="21" customHeight="1">
      <c r="B286" s="6630" t="s">
        <v>1176</v>
      </c>
      <c r="D286" s="6630" t="s">
        <v>9350</v>
      </c>
      <c r="F286" s="6630" t="s">
        <v>1176</v>
      </c>
    </row>
    <row r="287" spans="2:6" ht="21" customHeight="1">
      <c r="B287" s="6630" t="s">
        <v>1164</v>
      </c>
      <c r="D287" s="6630" t="s">
        <v>9349</v>
      </c>
      <c r="F287" s="6630" t="s">
        <v>9506</v>
      </c>
    </row>
    <row r="288" spans="2:6" ht="21" customHeight="1">
      <c r="B288" s="6669" t="s">
        <v>1179</v>
      </c>
      <c r="D288" s="6669" t="s">
        <v>1179</v>
      </c>
      <c r="F288" s="6669" t="s">
        <v>9507</v>
      </c>
    </row>
    <row r="289" spans="2:6" ht="21" customHeight="1">
      <c r="B289" s="6630" t="s">
        <v>1181</v>
      </c>
      <c r="D289" s="6630" t="s">
        <v>9351</v>
      </c>
      <c r="F289" s="6630" t="s">
        <v>9508</v>
      </c>
    </row>
    <row r="290" spans="2:6" ht="21" customHeight="1">
      <c r="B290" s="6670" t="s">
        <v>1183</v>
      </c>
      <c r="D290" s="6670" t="s">
        <v>9352</v>
      </c>
      <c r="F290" s="6670" t="s">
        <v>9509</v>
      </c>
    </row>
    <row r="291" spans="2:6" ht="21" customHeight="1" thickBot="1">
      <c r="B291" s="6664"/>
      <c r="D291" s="6664"/>
      <c r="F291" s="6664"/>
    </row>
    <row r="292" spans="2:6" ht="21" customHeight="1">
      <c r="B292" s="6662" t="s">
        <v>9573</v>
      </c>
      <c r="D292" s="6662" t="s">
        <v>9574</v>
      </c>
      <c r="F292" s="6662" t="s">
        <v>9575</v>
      </c>
    </row>
    <row r="293" spans="2:6" ht="21" customHeight="1">
      <c r="B293" s="6647" t="s">
        <v>1196</v>
      </c>
      <c r="D293" s="6647" t="s">
        <v>9577</v>
      </c>
      <c r="F293" s="6647" t="s">
        <v>9578</v>
      </c>
    </row>
    <row r="294" spans="2:6" ht="21" customHeight="1">
      <c r="B294" s="6672" t="s">
        <v>1199</v>
      </c>
      <c r="D294" s="6672" t="s">
        <v>9353</v>
      </c>
      <c r="F294" s="6672" t="s">
        <v>9510</v>
      </c>
    </row>
    <row r="295" spans="2:6" ht="21" customHeight="1">
      <c r="B295" s="6673" t="s">
        <v>1200</v>
      </c>
      <c r="D295" s="6673" t="s">
        <v>9354</v>
      </c>
      <c r="F295" s="6673" t="s">
        <v>9511</v>
      </c>
    </row>
    <row r="296" spans="2:6" ht="21" customHeight="1">
      <c r="B296" s="6674" t="s">
        <v>1201</v>
      </c>
      <c r="D296" s="6674" t="s">
        <v>9355</v>
      </c>
      <c r="F296" s="6674" t="s">
        <v>9512</v>
      </c>
    </row>
    <row r="297" spans="2:6" ht="21" customHeight="1">
      <c r="B297" s="6669" t="s">
        <v>1202</v>
      </c>
      <c r="D297" s="6669" t="s">
        <v>1202</v>
      </c>
      <c r="F297" s="6669" t="s">
        <v>9513</v>
      </c>
    </row>
    <row r="298" spans="2:6" ht="21" customHeight="1">
      <c r="B298" s="6630" t="s">
        <v>1159</v>
      </c>
      <c r="D298" s="6630" t="s">
        <v>9340</v>
      </c>
      <c r="F298" s="6630" t="s">
        <v>9497</v>
      </c>
    </row>
    <row r="299" spans="2:6" ht="21" customHeight="1">
      <c r="B299" s="6630" t="s">
        <v>1163</v>
      </c>
      <c r="D299" s="6630" t="s">
        <v>9341</v>
      </c>
      <c r="F299" s="6630" t="s">
        <v>9498</v>
      </c>
    </row>
    <row r="300" spans="2:6" ht="21" customHeight="1">
      <c r="B300" s="6630" t="s">
        <v>1177</v>
      </c>
      <c r="D300" s="6630" t="s">
        <v>9343</v>
      </c>
      <c r="F300" s="6630" t="s">
        <v>9500</v>
      </c>
    </row>
    <row r="301" spans="2:6" ht="21" customHeight="1">
      <c r="B301" s="6630" t="s">
        <v>1178</v>
      </c>
      <c r="D301" s="6630" t="s">
        <v>9344</v>
      </c>
      <c r="F301" s="6630" t="s">
        <v>9501</v>
      </c>
    </row>
    <row r="302" spans="2:6" ht="21" customHeight="1">
      <c r="B302" s="6668" t="s">
        <v>9576</v>
      </c>
      <c r="D302" s="6668" t="s">
        <v>9345</v>
      </c>
      <c r="F302" s="6668" t="s">
        <v>9502</v>
      </c>
    </row>
    <row r="303" spans="2:6" ht="21" customHeight="1">
      <c r="B303" s="6630" t="s">
        <v>1203</v>
      </c>
      <c r="D303" s="6630" t="s">
        <v>9356</v>
      </c>
      <c r="F303" s="6630" t="s">
        <v>9514</v>
      </c>
    </row>
    <row r="304" spans="2:6" ht="21" customHeight="1">
      <c r="B304" s="6630" t="s">
        <v>1204</v>
      </c>
      <c r="D304" s="6630" t="s">
        <v>9357</v>
      </c>
      <c r="F304" s="6630" t="s">
        <v>9515</v>
      </c>
    </row>
    <row r="305" spans="2:6" ht="21" customHeight="1">
      <c r="B305" s="6649" t="s">
        <v>1205</v>
      </c>
      <c r="D305" s="6649" t="s">
        <v>9358</v>
      </c>
      <c r="F305" s="6649" t="s">
        <v>9516</v>
      </c>
    </row>
    <row r="306" spans="2:6" ht="21" customHeight="1">
      <c r="B306" s="6671" t="s">
        <v>8641</v>
      </c>
      <c r="D306" s="6671" t="s">
        <v>9579</v>
      </c>
      <c r="F306" s="6671" t="s">
        <v>8641</v>
      </c>
    </row>
    <row r="307" spans="2:6">
      <c r="B307" s="187" t="s">
        <v>10683</v>
      </c>
      <c r="D307" s="187" t="s">
        <v>10684</v>
      </c>
      <c r="F307" s="187" t="s">
        <v>10685</v>
      </c>
    </row>
    <row r="308" spans="2:6">
      <c r="B308" s="187" t="s">
        <v>10686</v>
      </c>
      <c r="D308" s="187" t="s">
        <v>10686</v>
      </c>
      <c r="F308" s="187" t="s">
        <v>10686</v>
      </c>
    </row>
  </sheetData>
  <mergeCells count="24">
    <mergeCell ref="B5:B7"/>
    <mergeCell ref="D5:D7"/>
    <mergeCell ref="F5:F7"/>
    <mergeCell ref="B17:B18"/>
    <mergeCell ref="D17:D18"/>
    <mergeCell ref="F17:F18"/>
    <mergeCell ref="B38:B39"/>
    <mergeCell ref="D38:D39"/>
    <mergeCell ref="F38:F39"/>
    <mergeCell ref="B126:B127"/>
    <mergeCell ref="D126:D127"/>
    <mergeCell ref="F126:F127"/>
    <mergeCell ref="B177:B178"/>
    <mergeCell ref="D177:D178"/>
    <mergeCell ref="F177:F178"/>
    <mergeCell ref="B186:B187"/>
    <mergeCell ref="D186:D187"/>
    <mergeCell ref="F186:F187"/>
    <mergeCell ref="B199:B200"/>
    <mergeCell ref="D199:D200"/>
    <mergeCell ref="F199:F200"/>
    <mergeCell ref="B272:B273"/>
    <mergeCell ref="D272:D273"/>
    <mergeCell ref="F272:F27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C3E74-195C-479A-BE43-4E3C8A81EFF2}">
  <dimension ref="B1:AA142"/>
  <sheetViews>
    <sheetView topLeftCell="M1" workbookViewId="0">
      <selection activeCell="X144" sqref="X144"/>
    </sheetView>
  </sheetViews>
  <sheetFormatPr baseColWidth="10" defaultRowHeight="15"/>
  <cols>
    <col min="21" max="21" width="24" customWidth="1"/>
    <col min="22" max="22" width="25.28515625" customWidth="1"/>
  </cols>
  <sheetData>
    <row r="1" spans="2:27" ht="31.5">
      <c r="U1" s="6362" t="s">
        <v>8915</v>
      </c>
      <c r="V1" s="6362" t="s">
        <v>8916</v>
      </c>
      <c r="W1" s="6362" t="s">
        <v>8917</v>
      </c>
      <c r="AA1" s="6359" t="s">
        <v>9088</v>
      </c>
    </row>
    <row r="2" spans="2:27" s="5920" customFormat="1" ht="21" customHeight="1">
      <c r="B2" s="1297" t="s">
        <v>8704</v>
      </c>
      <c r="C2" s="5881"/>
      <c r="D2" s="5881"/>
      <c r="E2" s="5881"/>
      <c r="F2" s="5881"/>
      <c r="G2" s="5881"/>
      <c r="H2" s="5881"/>
      <c r="I2" s="5881"/>
      <c r="J2" s="5881"/>
      <c r="M2" s="6359" t="s">
        <v>8856</v>
      </c>
      <c r="U2" t="s">
        <v>8918</v>
      </c>
      <c r="V2" t="s">
        <v>8919</v>
      </c>
      <c r="W2" t="s">
        <v>8920</v>
      </c>
      <c r="AA2" s="4686"/>
    </row>
    <row r="3" spans="2:27" s="5920" customFormat="1" ht="21" customHeight="1">
      <c r="B3" s="5881"/>
      <c r="C3" s="5881"/>
      <c r="D3" s="5881"/>
      <c r="E3" s="5881"/>
      <c r="F3" s="5881"/>
      <c r="G3" s="5881"/>
      <c r="H3" s="5881"/>
      <c r="I3" s="5881"/>
      <c r="J3" s="5881"/>
      <c r="M3"/>
      <c r="U3" t="s">
        <v>8921</v>
      </c>
      <c r="V3" t="s">
        <v>8922</v>
      </c>
      <c r="W3" t="s">
        <v>8923</v>
      </c>
      <c r="AA3" s="4686" t="s">
        <v>9089</v>
      </c>
    </row>
    <row r="4" spans="2:27" s="5920" customFormat="1" ht="21" customHeight="1">
      <c r="B4" s="5881" t="s">
        <v>8705</v>
      </c>
      <c r="C4" s="5881"/>
      <c r="D4" s="5881"/>
      <c r="E4" s="5881"/>
      <c r="F4" s="5881"/>
      <c r="G4" s="5881"/>
      <c r="H4" s="5881"/>
      <c r="I4" s="5881"/>
      <c r="J4" s="5881"/>
      <c r="M4" s="6360" t="s">
        <v>8857</v>
      </c>
      <c r="U4" t="s">
        <v>8924</v>
      </c>
      <c r="V4" t="s">
        <v>8925</v>
      </c>
      <c r="W4" t="s">
        <v>8926</v>
      </c>
      <c r="AA4"/>
    </row>
    <row r="5" spans="2:27" s="5920" customFormat="1" ht="21" customHeight="1">
      <c r="B5" s="5881" t="s">
        <v>8706</v>
      </c>
      <c r="C5" s="5881"/>
      <c r="D5" s="5881"/>
      <c r="E5" s="5881"/>
      <c r="F5" s="5881"/>
      <c r="G5" s="5881"/>
      <c r="H5" s="5881"/>
      <c r="I5" s="5881"/>
      <c r="J5" s="5881"/>
      <c r="M5" s="4686"/>
      <c r="U5" t="s">
        <v>8927</v>
      </c>
      <c r="V5" t="s">
        <v>8928</v>
      </c>
      <c r="W5" t="s">
        <v>8929</v>
      </c>
      <c r="AA5" s="4701" t="s">
        <v>9090</v>
      </c>
    </row>
    <row r="6" spans="2:27" s="5920" customFormat="1" ht="21" customHeight="1">
      <c r="B6" s="5881" t="s">
        <v>8707</v>
      </c>
      <c r="C6" s="5881"/>
      <c r="D6" s="5881"/>
      <c r="E6" s="5881"/>
      <c r="F6" s="5881"/>
      <c r="G6" s="5881"/>
      <c r="H6" s="5881"/>
      <c r="I6" s="5881"/>
      <c r="J6" s="5881"/>
      <c r="M6" s="4686" t="s">
        <v>8858</v>
      </c>
      <c r="U6" t="s">
        <v>8930</v>
      </c>
      <c r="V6" t="s">
        <v>8931</v>
      </c>
      <c r="W6" t="s">
        <v>8932</v>
      </c>
      <c r="AA6" s="4686"/>
    </row>
    <row r="7" spans="2:27" s="5920" customFormat="1" ht="21" customHeight="1">
      <c r="B7" s="5881" t="s">
        <v>8708</v>
      </c>
      <c r="C7" s="5881"/>
      <c r="D7" s="5881"/>
      <c r="E7" s="5881"/>
      <c r="F7" s="5881"/>
      <c r="G7" s="5881"/>
      <c r="H7" s="5881"/>
      <c r="I7" s="5881"/>
      <c r="J7" s="5881"/>
      <c r="M7" s="4686"/>
      <c r="U7" t="s">
        <v>8933</v>
      </c>
      <c r="V7" t="s">
        <v>8934</v>
      </c>
      <c r="W7" t="s">
        <v>8935</v>
      </c>
      <c r="AA7" s="4686" t="s">
        <v>9091</v>
      </c>
    </row>
    <row r="8" spans="2:27" s="5920" customFormat="1" ht="21" customHeight="1">
      <c r="B8" s="5881" t="s">
        <v>8709</v>
      </c>
      <c r="C8" s="5881"/>
      <c r="D8" s="5881"/>
      <c r="E8" s="5881"/>
      <c r="F8" s="5881"/>
      <c r="G8" s="5881"/>
      <c r="H8" s="5881"/>
      <c r="I8" s="5881"/>
      <c r="J8" s="5881"/>
      <c r="M8" s="4686" t="s">
        <v>8859</v>
      </c>
      <c r="U8" t="s">
        <v>8936</v>
      </c>
      <c r="V8" t="s">
        <v>8937</v>
      </c>
      <c r="W8" t="s">
        <v>8938</v>
      </c>
      <c r="AA8" s="4686"/>
    </row>
    <row r="9" spans="2:27" s="5920" customFormat="1" ht="21" customHeight="1">
      <c r="B9" s="5881" t="s">
        <v>8710</v>
      </c>
      <c r="C9" s="5881"/>
      <c r="D9" s="5881"/>
      <c r="E9" s="5881"/>
      <c r="F9" s="5881"/>
      <c r="G9" s="5881"/>
      <c r="H9" s="5881"/>
      <c r="I9" s="5881"/>
      <c r="J9" s="5881"/>
      <c r="M9" s="4686"/>
      <c r="U9" t="s">
        <v>8939</v>
      </c>
      <c r="V9" t="s">
        <v>8940</v>
      </c>
      <c r="W9" t="s">
        <v>8941</v>
      </c>
      <c r="AA9" s="4686" t="s">
        <v>9092</v>
      </c>
    </row>
    <row r="10" spans="2:27" s="5920" customFormat="1" ht="21" customHeight="1">
      <c r="B10" s="5881" t="s">
        <v>8711</v>
      </c>
      <c r="C10" s="5881"/>
      <c r="D10" s="5881"/>
      <c r="E10" s="5881"/>
      <c r="F10" s="5881"/>
      <c r="G10" s="5881"/>
      <c r="H10" s="5881"/>
      <c r="I10" s="5881"/>
      <c r="J10" s="5881"/>
      <c r="M10" s="4686" t="s">
        <v>8860</v>
      </c>
      <c r="U10" t="s">
        <v>8942</v>
      </c>
      <c r="V10" t="s">
        <v>8943</v>
      </c>
      <c r="W10" t="s">
        <v>8944</v>
      </c>
      <c r="AA10" s="4686"/>
    </row>
    <row r="11" spans="2:27" s="5920" customFormat="1" ht="21" customHeight="1">
      <c r="B11" s="5881" t="s">
        <v>8712</v>
      </c>
      <c r="C11" s="5881"/>
      <c r="D11" s="5881"/>
      <c r="E11" s="5881"/>
      <c r="F11" s="5881"/>
      <c r="G11" s="5881"/>
      <c r="H11" s="5881"/>
      <c r="I11" s="5881"/>
      <c r="J11" s="5881"/>
      <c r="M11" s="4686"/>
      <c r="U11" t="s">
        <v>8945</v>
      </c>
      <c r="V11" t="s">
        <v>8946</v>
      </c>
      <c r="W11" t="s">
        <v>8947</v>
      </c>
      <c r="AA11" s="4686" t="s">
        <v>9093</v>
      </c>
    </row>
    <row r="12" spans="2:27" s="5920" customFormat="1" ht="21" customHeight="1">
      <c r="B12" s="5881" t="s">
        <v>8713</v>
      </c>
      <c r="C12" s="5881"/>
      <c r="D12" s="5881"/>
      <c r="E12" s="5881"/>
      <c r="F12" s="5881"/>
      <c r="G12" s="5881"/>
      <c r="H12" s="5881"/>
      <c r="I12" s="5881"/>
      <c r="J12" s="5881"/>
      <c r="M12" s="4686" t="s">
        <v>8861</v>
      </c>
      <c r="U12" t="s">
        <v>8948</v>
      </c>
      <c r="V12" t="s">
        <v>8949</v>
      </c>
      <c r="W12" t="s">
        <v>8950</v>
      </c>
      <c r="AA12"/>
    </row>
    <row r="13" spans="2:27" s="5920" customFormat="1" ht="21" customHeight="1">
      <c r="B13" s="5881" t="s">
        <v>8714</v>
      </c>
      <c r="C13" s="5881"/>
      <c r="D13" s="5881"/>
      <c r="E13" s="5881"/>
      <c r="F13" s="5881"/>
      <c r="G13" s="5881"/>
      <c r="H13" s="5881"/>
      <c r="I13" s="5881"/>
      <c r="J13" s="5881"/>
      <c r="M13" s="4686"/>
      <c r="U13" t="s">
        <v>8951</v>
      </c>
      <c r="V13" t="s">
        <v>8952</v>
      </c>
      <c r="W13" t="s">
        <v>8953</v>
      </c>
      <c r="AA13" s="4701" t="s">
        <v>9094</v>
      </c>
    </row>
    <row r="14" spans="2:27" s="5920" customFormat="1" ht="21" customHeight="1">
      <c r="B14" s="5881" t="s">
        <v>8715</v>
      </c>
      <c r="C14" s="5881"/>
      <c r="D14" s="5881"/>
      <c r="E14" s="5881"/>
      <c r="F14" s="5881"/>
      <c r="G14" s="5881"/>
      <c r="H14" s="5881"/>
      <c r="I14" s="5881"/>
      <c r="J14" s="5881"/>
      <c r="M14" s="4686" t="s">
        <v>8862</v>
      </c>
      <c r="U14" t="s">
        <v>8954</v>
      </c>
      <c r="V14" t="s">
        <v>8955</v>
      </c>
      <c r="W14" t="s">
        <v>8956</v>
      </c>
      <c r="AA14" s="4686"/>
    </row>
    <row r="15" spans="2:27" s="5920" customFormat="1" ht="21" customHeight="1">
      <c r="B15" s="5881" t="s">
        <v>8716</v>
      </c>
      <c r="C15" s="5881"/>
      <c r="D15" s="5881"/>
      <c r="E15" s="5881"/>
      <c r="F15" s="5881"/>
      <c r="G15" s="5881"/>
      <c r="H15" s="5881"/>
      <c r="I15" s="5881"/>
      <c r="J15" s="5881"/>
      <c r="M15" s="4686"/>
      <c r="U15" t="s">
        <v>8957</v>
      </c>
      <c r="V15" t="s">
        <v>8958</v>
      </c>
      <c r="W15" t="s">
        <v>8959</v>
      </c>
      <c r="AA15" s="4686" t="s">
        <v>9095</v>
      </c>
    </row>
    <row r="16" spans="2:27" s="5920" customFormat="1" ht="21" customHeight="1">
      <c r="B16" s="5881" t="s">
        <v>8717</v>
      </c>
      <c r="C16" s="5881"/>
      <c r="D16" s="5881"/>
      <c r="E16" s="5881"/>
      <c r="F16" s="5881"/>
      <c r="G16" s="5881"/>
      <c r="H16" s="5881"/>
      <c r="I16" s="5881"/>
      <c r="J16" s="5881"/>
      <c r="M16" s="4686" t="s">
        <v>8863</v>
      </c>
      <c r="U16" t="s">
        <v>8960</v>
      </c>
      <c r="V16" t="s">
        <v>8961</v>
      </c>
      <c r="W16" t="s">
        <v>8962</v>
      </c>
      <c r="AA16" s="4686"/>
    </row>
    <row r="17" spans="2:27" s="5920" customFormat="1" ht="21" customHeight="1">
      <c r="B17" s="5881" t="s">
        <v>8718</v>
      </c>
      <c r="C17" s="5881"/>
      <c r="D17" s="5881"/>
      <c r="E17" s="5881"/>
      <c r="F17" s="5881"/>
      <c r="G17" s="5881"/>
      <c r="H17" s="5881"/>
      <c r="I17" s="5881"/>
      <c r="J17" s="5881"/>
      <c r="M17" s="4686"/>
      <c r="U17" t="s">
        <v>8963</v>
      </c>
      <c r="V17" t="s">
        <v>8964</v>
      </c>
      <c r="W17" t="s">
        <v>8965</v>
      </c>
      <c r="AA17" s="4686" t="s">
        <v>9096</v>
      </c>
    </row>
    <row r="18" spans="2:27" s="5920" customFormat="1" ht="21" customHeight="1">
      <c r="B18" s="5881" t="s">
        <v>8719</v>
      </c>
      <c r="C18" s="5881"/>
      <c r="D18" s="5881"/>
      <c r="E18" s="5881"/>
      <c r="F18" s="5881"/>
      <c r="G18" s="5881"/>
      <c r="H18" s="5881"/>
      <c r="I18" s="5881"/>
      <c r="J18" s="5881"/>
      <c r="M18" s="4686" t="s">
        <v>8864</v>
      </c>
      <c r="U18" t="s">
        <v>8966</v>
      </c>
      <c r="V18" t="s">
        <v>8967</v>
      </c>
      <c r="W18" t="s">
        <v>8968</v>
      </c>
      <c r="AA18" s="4686"/>
    </row>
    <row r="19" spans="2:27" s="5920" customFormat="1" ht="21" customHeight="1">
      <c r="B19" s="5881" t="s">
        <v>8720</v>
      </c>
      <c r="C19" s="5881"/>
      <c r="D19" s="5881"/>
      <c r="E19" s="5881"/>
      <c r="F19" s="5881"/>
      <c r="G19" s="5881"/>
      <c r="H19" s="5881"/>
      <c r="I19" s="5881"/>
      <c r="J19" s="5881"/>
      <c r="M19" s="4686"/>
      <c r="U19" t="s">
        <v>8446</v>
      </c>
      <c r="V19" t="s">
        <v>8969</v>
      </c>
      <c r="W19" t="s">
        <v>8970</v>
      </c>
      <c r="AA19" s="4686" t="s">
        <v>9097</v>
      </c>
    </row>
    <row r="20" spans="2:27" s="5920" customFormat="1" ht="21" customHeight="1">
      <c r="B20" s="5881" t="s">
        <v>8721</v>
      </c>
      <c r="C20" s="5881"/>
      <c r="D20" s="5881"/>
      <c r="E20" s="5881"/>
      <c r="F20" s="5881"/>
      <c r="G20" s="5881"/>
      <c r="H20" s="5881"/>
      <c r="I20" s="5881"/>
      <c r="J20" s="5881"/>
      <c r="M20" s="4686" t="s">
        <v>8865</v>
      </c>
      <c r="U20" t="s">
        <v>8971</v>
      </c>
      <c r="V20" t="s">
        <v>8972</v>
      </c>
      <c r="W20" t="s">
        <v>8973</v>
      </c>
      <c r="AA20"/>
    </row>
    <row r="21" spans="2:27" s="5920" customFormat="1" ht="21" customHeight="1">
      <c r="B21" s="5881" t="s">
        <v>8722</v>
      </c>
      <c r="C21" s="5881"/>
      <c r="D21" s="5881"/>
      <c r="E21" s="5881"/>
      <c r="F21" s="5881"/>
      <c r="G21" s="5881"/>
      <c r="H21" s="5881"/>
      <c r="I21" s="5881"/>
      <c r="J21" s="5881"/>
      <c r="M21" s="4686"/>
      <c r="U21" t="s">
        <v>8974</v>
      </c>
      <c r="V21" t="s">
        <v>8975</v>
      </c>
      <c r="W21" t="s">
        <v>8976</v>
      </c>
      <c r="AA21" s="4701" t="s">
        <v>9098</v>
      </c>
    </row>
    <row r="22" spans="2:27" s="5920" customFormat="1" ht="21" customHeight="1">
      <c r="B22" s="5881" t="s">
        <v>8723</v>
      </c>
      <c r="C22" s="5881"/>
      <c r="D22" s="5881"/>
      <c r="E22" s="5881"/>
      <c r="F22" s="5881"/>
      <c r="G22" s="5881"/>
      <c r="H22" s="5881"/>
      <c r="I22" s="5881"/>
      <c r="J22" s="5881"/>
      <c r="M22" s="4686" t="s">
        <v>8866</v>
      </c>
      <c r="U22" t="s">
        <v>8977</v>
      </c>
      <c r="V22" t="s">
        <v>8978</v>
      </c>
      <c r="W22" t="s">
        <v>8979</v>
      </c>
      <c r="AA22" s="4686"/>
    </row>
    <row r="23" spans="2:27" s="5920" customFormat="1" ht="21" customHeight="1">
      <c r="B23" s="5881" t="s">
        <v>8724</v>
      </c>
      <c r="C23" s="5881"/>
      <c r="D23" s="5881"/>
      <c r="E23" s="5881"/>
      <c r="F23" s="5881"/>
      <c r="G23" s="5881"/>
      <c r="H23" s="5881"/>
      <c r="I23" s="5881"/>
      <c r="J23" s="5881"/>
      <c r="M23" s="4686"/>
      <c r="U23" t="s">
        <v>8980</v>
      </c>
      <c r="V23" t="s">
        <v>8981</v>
      </c>
      <c r="W23" t="s">
        <v>8982</v>
      </c>
      <c r="AA23" s="4686" t="s">
        <v>9099</v>
      </c>
    </row>
    <row r="24" spans="2:27" s="5920" customFormat="1" ht="21" customHeight="1">
      <c r="B24" s="5881" t="s">
        <v>8725</v>
      </c>
      <c r="C24" s="5881"/>
      <c r="D24" s="5881"/>
      <c r="E24" s="5881"/>
      <c r="F24" s="5881"/>
      <c r="G24" s="5881"/>
      <c r="H24" s="5881"/>
      <c r="I24" s="5881"/>
      <c r="J24" s="5881"/>
      <c r="M24" s="4686" t="s">
        <v>8867</v>
      </c>
      <c r="U24" t="s">
        <v>8983</v>
      </c>
      <c r="V24" t="s">
        <v>8984</v>
      </c>
      <c r="W24" t="s">
        <v>8985</v>
      </c>
      <c r="AA24" s="4686"/>
    </row>
    <row r="25" spans="2:27" s="5920" customFormat="1" ht="21" customHeight="1">
      <c r="B25" s="5881" t="s">
        <v>8726</v>
      </c>
      <c r="C25" s="5881"/>
      <c r="D25" s="5881"/>
      <c r="E25" s="5881"/>
      <c r="F25" s="5881"/>
      <c r="G25" s="5881"/>
      <c r="H25" s="5881"/>
      <c r="I25" s="5881"/>
      <c r="J25" s="5881"/>
      <c r="M25" s="4686"/>
      <c r="U25" t="s">
        <v>8986</v>
      </c>
      <c r="V25" t="s">
        <v>8987</v>
      </c>
      <c r="W25" t="s">
        <v>8988</v>
      </c>
      <c r="AA25" s="4686" t="s">
        <v>9100</v>
      </c>
    </row>
    <row r="26" spans="2:27" s="5920" customFormat="1" ht="21" customHeight="1">
      <c r="B26" s="5881" t="s">
        <v>8727</v>
      </c>
      <c r="C26" s="5881"/>
      <c r="D26" s="5881"/>
      <c r="E26" s="5881"/>
      <c r="F26" s="5881"/>
      <c r="G26" s="5881"/>
      <c r="H26" s="5881"/>
      <c r="I26" s="5881"/>
      <c r="J26" s="5881"/>
      <c r="M26" s="4686" t="s">
        <v>8868</v>
      </c>
      <c r="U26" t="s">
        <v>8989</v>
      </c>
      <c r="V26" t="s">
        <v>8990</v>
      </c>
      <c r="W26" t="s">
        <v>8991</v>
      </c>
      <c r="AA26" s="4686"/>
    </row>
    <row r="27" spans="2:27" s="5920" customFormat="1" ht="21" customHeight="1">
      <c r="B27" s="5881" t="s">
        <v>8728</v>
      </c>
      <c r="C27" s="5881"/>
      <c r="D27" s="5881"/>
      <c r="E27" s="5881"/>
      <c r="F27" s="5881"/>
      <c r="G27" s="5881"/>
      <c r="H27" s="5881"/>
      <c r="I27" s="5881"/>
      <c r="J27" s="5881"/>
      <c r="M27"/>
      <c r="U27" t="s">
        <v>8992</v>
      </c>
      <c r="V27" t="s">
        <v>8993</v>
      </c>
      <c r="W27" t="s">
        <v>8994</v>
      </c>
      <c r="AA27" s="4686" t="s">
        <v>9101</v>
      </c>
    </row>
    <row r="28" spans="2:27" s="5920" customFormat="1" ht="21" customHeight="1">
      <c r="B28" s="5881" t="s">
        <v>8729</v>
      </c>
      <c r="C28" s="5881"/>
      <c r="D28" s="5881"/>
      <c r="E28" s="5881"/>
      <c r="F28" s="5881"/>
      <c r="G28" s="5881"/>
      <c r="H28" s="5881"/>
      <c r="I28" s="5881"/>
      <c r="J28" s="5881"/>
      <c r="M28" s="6360" t="s">
        <v>8869</v>
      </c>
      <c r="U28" t="s">
        <v>8995</v>
      </c>
      <c r="V28" t="s">
        <v>8996</v>
      </c>
      <c r="W28" t="s">
        <v>8997</v>
      </c>
      <c r="AA28"/>
    </row>
    <row r="29" spans="2:27" s="5920" customFormat="1" ht="21" customHeight="1">
      <c r="B29" s="5881" t="s">
        <v>8730</v>
      </c>
      <c r="C29" s="5881"/>
      <c r="D29" s="5881"/>
      <c r="E29" s="5881"/>
      <c r="F29" s="5881"/>
      <c r="G29" s="5881"/>
      <c r="H29" s="5881"/>
      <c r="I29" s="5881"/>
      <c r="J29" s="5881"/>
      <c r="M29" s="4686"/>
      <c r="U29" t="s">
        <v>8998</v>
      </c>
      <c r="V29" t="s">
        <v>8999</v>
      </c>
      <c r="W29" t="s">
        <v>9000</v>
      </c>
      <c r="AA29" s="4701" t="s">
        <v>9102</v>
      </c>
    </row>
    <row r="30" spans="2:27" s="5920" customFormat="1" ht="21" customHeight="1">
      <c r="B30" s="5881" t="s">
        <v>8731</v>
      </c>
      <c r="C30" s="5881"/>
      <c r="D30" s="5881"/>
      <c r="E30" s="5881"/>
      <c r="F30" s="5881"/>
      <c r="G30" s="5881"/>
      <c r="H30" s="5881"/>
      <c r="I30" s="5881"/>
      <c r="J30" s="5881"/>
      <c r="M30" s="4686" t="s">
        <v>8870</v>
      </c>
      <c r="U30" t="s">
        <v>9001</v>
      </c>
      <c r="V30" t="s">
        <v>9002</v>
      </c>
      <c r="W30" t="s">
        <v>9003</v>
      </c>
      <c r="AA30" s="4686"/>
    </row>
    <row r="31" spans="2:27" s="5920" customFormat="1" ht="21" customHeight="1">
      <c r="B31" s="5881" t="s">
        <v>8732</v>
      </c>
      <c r="C31" s="5881"/>
      <c r="D31" s="5881"/>
      <c r="E31" s="5881"/>
      <c r="F31" s="5881"/>
      <c r="G31" s="5881"/>
      <c r="H31" s="5881"/>
      <c r="I31" s="5881"/>
      <c r="J31" s="5881"/>
      <c r="M31" s="4686"/>
      <c r="U31" t="s">
        <v>9004</v>
      </c>
      <c r="V31" t="s">
        <v>9005</v>
      </c>
      <c r="W31" t="s">
        <v>9004</v>
      </c>
      <c r="AA31" s="4686" t="s">
        <v>9103</v>
      </c>
    </row>
    <row r="32" spans="2:27" s="5920" customFormat="1" ht="21" customHeight="1">
      <c r="B32" s="5881" t="s">
        <v>8733</v>
      </c>
      <c r="C32" s="5881"/>
      <c r="D32" s="5881"/>
      <c r="E32" s="5881"/>
      <c r="F32" s="5881"/>
      <c r="G32" s="5881"/>
      <c r="H32" s="5881"/>
      <c r="I32" s="5881"/>
      <c r="J32" s="5881"/>
      <c r="M32" s="4686" t="s">
        <v>8871</v>
      </c>
      <c r="U32">
        <v>0</v>
      </c>
      <c r="V32">
        <v>0</v>
      </c>
      <c r="W32">
        <v>0</v>
      </c>
      <c r="AA32" s="4686"/>
    </row>
    <row r="33" spans="2:27" s="5920" customFormat="1" ht="21" customHeight="1">
      <c r="B33" s="5881" t="s">
        <v>8734</v>
      </c>
      <c r="C33" s="5881"/>
      <c r="D33" s="5881"/>
      <c r="E33" s="5881"/>
      <c r="F33" s="5881"/>
      <c r="G33" s="5881"/>
      <c r="H33" s="5881"/>
      <c r="I33" s="5881"/>
      <c r="J33" s="5881"/>
      <c r="M33" s="4686"/>
      <c r="U33" t="s">
        <v>9006</v>
      </c>
      <c r="V33" t="s">
        <v>9007</v>
      </c>
      <c r="W33" t="s">
        <v>9008</v>
      </c>
      <c r="AA33" s="4686" t="s">
        <v>9104</v>
      </c>
    </row>
    <row r="34" spans="2:27" s="5920" customFormat="1" ht="21" customHeight="1">
      <c r="B34" s="5881" t="s">
        <v>8735</v>
      </c>
      <c r="C34" s="5881"/>
      <c r="D34" s="5881"/>
      <c r="E34" s="5881"/>
      <c r="F34" s="5881"/>
      <c r="G34" s="5881"/>
      <c r="H34" s="5881"/>
      <c r="I34" s="5881"/>
      <c r="J34" s="5881"/>
      <c r="M34" s="4686" t="s">
        <v>8872</v>
      </c>
      <c r="U34" t="s">
        <v>9009</v>
      </c>
      <c r="V34" t="s">
        <v>9010</v>
      </c>
      <c r="W34" t="s">
        <v>9011</v>
      </c>
      <c r="AA34" s="4686"/>
    </row>
    <row r="35" spans="2:27" s="5920" customFormat="1" ht="21" customHeight="1">
      <c r="B35" s="5881" t="s">
        <v>8736</v>
      </c>
      <c r="C35" s="5881"/>
      <c r="D35" s="5881"/>
      <c r="E35" s="5881"/>
      <c r="F35" s="5881"/>
      <c r="G35" s="5881"/>
      <c r="H35" s="5881"/>
      <c r="I35" s="5881"/>
      <c r="J35" s="5881"/>
      <c r="M35" s="4686"/>
      <c r="U35" t="s">
        <v>9012</v>
      </c>
      <c r="V35" t="s">
        <v>9013</v>
      </c>
      <c r="W35" t="s">
        <v>9014</v>
      </c>
      <c r="AA35" s="4686" t="s">
        <v>9105</v>
      </c>
    </row>
    <row r="36" spans="2:27" s="5920" customFormat="1" ht="21" customHeight="1">
      <c r="B36" s="5881" t="s">
        <v>8737</v>
      </c>
      <c r="C36" s="5881"/>
      <c r="D36" s="5881"/>
      <c r="E36" s="5881"/>
      <c r="F36" s="5881"/>
      <c r="G36" s="5881"/>
      <c r="H36" s="5881"/>
      <c r="I36" s="5881"/>
      <c r="J36" s="5881"/>
      <c r="M36" s="4686" t="s">
        <v>8873</v>
      </c>
      <c r="U36" t="s">
        <v>9015</v>
      </c>
      <c r="V36" t="s">
        <v>9016</v>
      </c>
      <c r="W36" t="s">
        <v>9017</v>
      </c>
      <c r="AA36"/>
    </row>
    <row r="37" spans="2:27" s="5920" customFormat="1" ht="21" customHeight="1">
      <c r="B37" s="5881" t="s">
        <v>8738</v>
      </c>
      <c r="C37" s="5881"/>
      <c r="D37" s="5881"/>
      <c r="E37" s="5881"/>
      <c r="F37" s="5881"/>
      <c r="G37" s="5881"/>
      <c r="H37" s="5881"/>
      <c r="I37" s="5881"/>
      <c r="J37" s="5881"/>
      <c r="M37" s="4686"/>
      <c r="U37">
        <v>0</v>
      </c>
      <c r="V37">
        <v>0</v>
      </c>
      <c r="W37">
        <v>0</v>
      </c>
      <c r="AA37" s="4701" t="s">
        <v>9106</v>
      </c>
    </row>
    <row r="38" spans="2:27" s="5920" customFormat="1" ht="21" customHeight="1">
      <c r="B38" s="5881" t="s">
        <v>8739</v>
      </c>
      <c r="C38" s="5881"/>
      <c r="D38" s="5881"/>
      <c r="E38" s="5881"/>
      <c r="F38" s="5881"/>
      <c r="G38" s="5881"/>
      <c r="H38" s="5881"/>
      <c r="I38" s="5881"/>
      <c r="J38" s="5881"/>
      <c r="M38" s="4686" t="s">
        <v>8874</v>
      </c>
      <c r="U38">
        <v>0</v>
      </c>
      <c r="V38">
        <v>0</v>
      </c>
      <c r="W38">
        <v>0</v>
      </c>
      <c r="AA38" s="4686"/>
    </row>
    <row r="39" spans="2:27" s="5920" customFormat="1" ht="21" customHeight="1">
      <c r="B39" s="5881" t="s">
        <v>8740</v>
      </c>
      <c r="C39" s="5881"/>
      <c r="D39" s="5881"/>
      <c r="E39" s="5881"/>
      <c r="F39" s="5881"/>
      <c r="G39" s="5881"/>
      <c r="H39" s="5881"/>
      <c r="I39" s="5881"/>
      <c r="J39" s="5881"/>
      <c r="M39" s="4686"/>
      <c r="U39">
        <v>0</v>
      </c>
      <c r="V39">
        <v>0</v>
      </c>
      <c r="W39">
        <v>0</v>
      </c>
      <c r="AA39" s="4686" t="s">
        <v>9107</v>
      </c>
    </row>
    <row r="40" spans="2:27" s="5920" customFormat="1" ht="21" customHeight="1">
      <c r="B40" s="5881" t="s">
        <v>8741</v>
      </c>
      <c r="C40" s="5881"/>
      <c r="D40" s="5881"/>
      <c r="E40" s="5881"/>
      <c r="F40" s="5881"/>
      <c r="G40" s="5881"/>
      <c r="H40" s="5881"/>
      <c r="I40" s="5881"/>
      <c r="J40" s="5881"/>
      <c r="M40" s="4686" t="s">
        <v>8875</v>
      </c>
      <c r="U40" t="s">
        <v>9018</v>
      </c>
      <c r="V40" t="s">
        <v>9019</v>
      </c>
      <c r="W40" t="s">
        <v>9020</v>
      </c>
      <c r="AA40" s="4686"/>
    </row>
    <row r="41" spans="2:27" s="5920" customFormat="1" ht="21" customHeight="1">
      <c r="B41" s="5881" t="s">
        <v>8742</v>
      </c>
      <c r="C41" s="5881"/>
      <c r="D41" s="5881"/>
      <c r="E41" s="5881"/>
      <c r="F41" s="5881"/>
      <c r="G41" s="5881"/>
      <c r="H41" s="5881"/>
      <c r="I41" s="5881"/>
      <c r="J41" s="5881"/>
      <c r="M41" s="4686"/>
      <c r="U41">
        <v>0</v>
      </c>
      <c r="V41">
        <v>0</v>
      </c>
      <c r="W41">
        <v>0</v>
      </c>
      <c r="AA41" s="4686" t="s">
        <v>9108</v>
      </c>
    </row>
    <row r="42" spans="2:27" s="5920" customFormat="1" ht="21" customHeight="1">
      <c r="B42" s="5881" t="s">
        <v>8743</v>
      </c>
      <c r="C42" s="5881"/>
      <c r="D42" s="5881"/>
      <c r="E42" s="5881"/>
      <c r="F42" s="5881"/>
      <c r="G42" s="5881"/>
      <c r="H42" s="5881"/>
      <c r="I42" s="5881"/>
      <c r="J42" s="5881"/>
      <c r="M42" s="4686" t="s">
        <v>8876</v>
      </c>
      <c r="U42" t="s">
        <v>9021</v>
      </c>
      <c r="V42" t="s">
        <v>9022</v>
      </c>
      <c r="W42" t="s">
        <v>9023</v>
      </c>
      <c r="AA42" s="4686"/>
    </row>
    <row r="43" spans="2:27" s="5920" customFormat="1" ht="21" customHeight="1">
      <c r="B43" s="5881" t="s">
        <v>8744</v>
      </c>
      <c r="C43" s="5881"/>
      <c r="D43" s="5881"/>
      <c r="E43" s="5881"/>
      <c r="F43" s="5881"/>
      <c r="G43" s="5881"/>
      <c r="H43" s="5881"/>
      <c r="I43" s="5881"/>
      <c r="J43" s="5881"/>
      <c r="M43" s="4686"/>
      <c r="U43" t="s">
        <v>9024</v>
      </c>
      <c r="V43" t="s">
        <v>9025</v>
      </c>
      <c r="W43" t="s">
        <v>9026</v>
      </c>
      <c r="AA43" s="4686" t="s">
        <v>9109</v>
      </c>
    </row>
    <row r="44" spans="2:27" s="5920" customFormat="1" ht="21" customHeight="1">
      <c r="B44" s="5881" t="s">
        <v>8745</v>
      </c>
      <c r="C44" s="5881"/>
      <c r="D44" s="5881"/>
      <c r="E44" s="5881"/>
      <c r="F44" s="5881"/>
      <c r="G44" s="5881"/>
      <c r="H44" s="5881"/>
      <c r="I44" s="5881"/>
      <c r="J44" s="5881"/>
      <c r="M44" s="4686" t="s">
        <v>8877</v>
      </c>
      <c r="U44" t="s">
        <v>9027</v>
      </c>
      <c r="V44" t="s">
        <v>9028</v>
      </c>
      <c r="W44" t="s">
        <v>9029</v>
      </c>
      <c r="AA44"/>
    </row>
    <row r="45" spans="2:27" s="5920" customFormat="1" ht="21" customHeight="1">
      <c r="B45" s="5881" t="s">
        <v>8746</v>
      </c>
      <c r="C45" s="5881"/>
      <c r="D45" s="5881"/>
      <c r="E45" s="5881"/>
      <c r="F45" s="5881"/>
      <c r="G45" s="5881"/>
      <c r="H45" s="5881"/>
      <c r="I45" s="5881"/>
      <c r="J45" s="5881"/>
      <c r="M45" s="4686"/>
      <c r="U45" t="s">
        <v>9030</v>
      </c>
      <c r="V45" t="s">
        <v>9031</v>
      </c>
      <c r="W45" t="s">
        <v>9032</v>
      </c>
      <c r="AA45" s="4701" t="s">
        <v>9110</v>
      </c>
    </row>
    <row r="46" spans="2:27" s="5920" customFormat="1" ht="21" customHeight="1">
      <c r="B46" s="5881" t="s">
        <v>8747</v>
      </c>
      <c r="C46" s="5881"/>
      <c r="D46" s="5881"/>
      <c r="E46" s="5881"/>
      <c r="F46" s="5881"/>
      <c r="G46" s="5881"/>
      <c r="H46" s="5881"/>
      <c r="I46" s="5881"/>
      <c r="J46" s="5881"/>
      <c r="M46" s="4686" t="s">
        <v>8878</v>
      </c>
      <c r="U46" t="s">
        <v>9033</v>
      </c>
      <c r="V46" t="s">
        <v>9034</v>
      </c>
      <c r="W46" t="s">
        <v>9035</v>
      </c>
      <c r="AA46" s="4686"/>
    </row>
    <row r="47" spans="2:27" s="5920" customFormat="1" ht="21" customHeight="1">
      <c r="B47" s="5881" t="s">
        <v>8748</v>
      </c>
      <c r="C47" s="5881"/>
      <c r="D47" s="5881"/>
      <c r="E47" s="5881"/>
      <c r="F47" s="5881"/>
      <c r="G47" s="5881"/>
      <c r="H47" s="5881"/>
      <c r="I47" s="5881"/>
      <c r="J47" s="5881"/>
      <c r="M47" s="4686"/>
      <c r="U47" t="s">
        <v>9036</v>
      </c>
      <c r="V47" t="s">
        <v>9037</v>
      </c>
      <c r="W47" t="s">
        <v>9038</v>
      </c>
      <c r="AA47" s="4686" t="s">
        <v>9111</v>
      </c>
    </row>
    <row r="48" spans="2:27" s="5920" customFormat="1" ht="21" customHeight="1">
      <c r="B48" s="5881" t="s">
        <v>8749</v>
      </c>
      <c r="C48" s="5881"/>
      <c r="D48" s="5881"/>
      <c r="E48" s="5881"/>
      <c r="F48" s="5881"/>
      <c r="G48" s="5881"/>
      <c r="H48" s="5881"/>
      <c r="I48" s="5881"/>
      <c r="J48" s="5881"/>
      <c r="M48" s="4686" t="s">
        <v>8879</v>
      </c>
      <c r="U48" t="s">
        <v>9039</v>
      </c>
      <c r="V48" t="s">
        <v>9039</v>
      </c>
      <c r="W48" t="s">
        <v>9040</v>
      </c>
      <c r="AA48" s="4686"/>
    </row>
    <row r="49" spans="2:27" s="5920" customFormat="1" ht="21" customHeight="1">
      <c r="B49" s="5881" t="s">
        <v>8750</v>
      </c>
      <c r="C49" s="5881"/>
      <c r="D49" s="5881"/>
      <c r="E49" s="5881"/>
      <c r="F49" s="5881"/>
      <c r="G49" s="5881"/>
      <c r="H49" s="5881"/>
      <c r="I49" s="5881"/>
      <c r="J49" s="5881"/>
      <c r="M49" s="4686"/>
      <c r="U49" t="s">
        <v>9041</v>
      </c>
      <c r="V49" t="s">
        <v>9042</v>
      </c>
      <c r="W49" t="s">
        <v>9043</v>
      </c>
      <c r="AA49" s="4686" t="s">
        <v>9112</v>
      </c>
    </row>
    <row r="50" spans="2:27" s="5920" customFormat="1" ht="21" customHeight="1">
      <c r="B50" s="5881" t="s">
        <v>8751</v>
      </c>
      <c r="C50" s="5881"/>
      <c r="D50" s="5881"/>
      <c r="E50" s="5881"/>
      <c r="F50" s="5881"/>
      <c r="G50" s="5881"/>
      <c r="H50" s="5881"/>
      <c r="I50" s="5881"/>
      <c r="J50" s="5881"/>
      <c r="M50" s="4686" t="s">
        <v>8880</v>
      </c>
      <c r="U50" t="s">
        <v>9044</v>
      </c>
      <c r="V50" t="s">
        <v>9045</v>
      </c>
      <c r="W50" t="s">
        <v>9046</v>
      </c>
      <c r="AA50" s="4686"/>
    </row>
    <row r="51" spans="2:27" s="5920" customFormat="1" ht="21" customHeight="1">
      <c r="B51" s="5881" t="s">
        <v>8752</v>
      </c>
      <c r="C51" s="5881"/>
      <c r="D51" s="5881"/>
      <c r="E51" s="5881"/>
      <c r="F51" s="5881"/>
      <c r="G51" s="5881"/>
      <c r="H51" s="5881"/>
      <c r="I51" s="5881"/>
      <c r="J51" s="5881"/>
      <c r="M51" s="4686"/>
      <c r="U51" t="s">
        <v>9047</v>
      </c>
      <c r="V51" t="s">
        <v>9048</v>
      </c>
      <c r="W51" t="s">
        <v>9049</v>
      </c>
      <c r="AA51" s="4686" t="s">
        <v>9113</v>
      </c>
    </row>
    <row r="52" spans="2:27" s="5920" customFormat="1" ht="21" customHeight="1">
      <c r="B52" s="5881" t="s">
        <v>8753</v>
      </c>
      <c r="C52" s="5881"/>
      <c r="D52" s="5881"/>
      <c r="E52" s="5881"/>
      <c r="F52" s="5881"/>
      <c r="G52" s="5881"/>
      <c r="H52" s="5881"/>
      <c r="I52" s="5881"/>
      <c r="J52" s="5881"/>
      <c r="M52" s="4686" t="s">
        <v>8881</v>
      </c>
      <c r="U52" t="s">
        <v>9050</v>
      </c>
      <c r="V52" t="s">
        <v>9051</v>
      </c>
      <c r="W52" t="s">
        <v>9052</v>
      </c>
      <c r="AA52"/>
    </row>
    <row r="53" spans="2:27" s="5920" customFormat="1" ht="21" customHeight="1">
      <c r="B53" s="5881" t="s">
        <v>8754</v>
      </c>
      <c r="C53" s="5881"/>
      <c r="D53" s="5881"/>
      <c r="E53" s="5881"/>
      <c r="F53" s="5881"/>
      <c r="G53" s="5881"/>
      <c r="H53" s="5881"/>
      <c r="I53" s="5881"/>
      <c r="J53" s="5881"/>
      <c r="M53" s="4686"/>
      <c r="U53" t="s">
        <v>9053</v>
      </c>
      <c r="V53" t="s">
        <v>9054</v>
      </c>
      <c r="W53" t="s">
        <v>9055</v>
      </c>
      <c r="AA53" s="4701" t="s">
        <v>9114</v>
      </c>
    </row>
    <row r="54" spans="2:27" s="5920" customFormat="1" ht="21" customHeight="1">
      <c r="B54" s="5881" t="s">
        <v>8755</v>
      </c>
      <c r="C54" s="5881"/>
      <c r="D54" s="5881"/>
      <c r="E54" s="5881"/>
      <c r="F54" s="5881"/>
      <c r="G54" s="5881"/>
      <c r="H54" s="5881"/>
      <c r="I54" s="5881"/>
      <c r="J54" s="5881"/>
      <c r="M54" s="4686" t="s">
        <v>8882</v>
      </c>
      <c r="U54" t="s">
        <v>9056</v>
      </c>
      <c r="V54" t="s">
        <v>9057</v>
      </c>
      <c r="W54" t="s">
        <v>9058</v>
      </c>
      <c r="AA54" s="4686"/>
    </row>
    <row r="55" spans="2:27" s="5920" customFormat="1" ht="21" customHeight="1">
      <c r="B55" s="5881" t="s">
        <v>8756</v>
      </c>
      <c r="C55" s="5881"/>
      <c r="D55" s="5881"/>
      <c r="E55" s="5881"/>
      <c r="F55" s="5881"/>
      <c r="G55" s="5881"/>
      <c r="H55" s="5881"/>
      <c r="I55" s="5881"/>
      <c r="J55" s="5881"/>
      <c r="M55" s="4686"/>
      <c r="U55" t="s">
        <v>9059</v>
      </c>
      <c r="V55" t="s">
        <v>9060</v>
      </c>
      <c r="W55" t="s">
        <v>9061</v>
      </c>
      <c r="AA55" s="4686" t="s">
        <v>9115</v>
      </c>
    </row>
    <row r="56" spans="2:27" s="5920" customFormat="1" ht="21" customHeight="1">
      <c r="B56" s="5881" t="s">
        <v>8757</v>
      </c>
      <c r="C56" s="5881"/>
      <c r="D56" s="5881"/>
      <c r="E56" s="5881"/>
      <c r="F56" s="5881"/>
      <c r="G56" s="5881"/>
      <c r="H56" s="5881"/>
      <c r="I56" s="5881"/>
      <c r="J56" s="5881"/>
      <c r="M56" s="4686" t="s">
        <v>8883</v>
      </c>
      <c r="U56" t="s">
        <v>9062</v>
      </c>
      <c r="V56" t="s">
        <v>9063</v>
      </c>
      <c r="W56" t="s">
        <v>9064</v>
      </c>
      <c r="AA56" s="4686"/>
    </row>
    <row r="57" spans="2:27" s="5920" customFormat="1" ht="21" customHeight="1">
      <c r="B57" s="5881" t="s">
        <v>8758</v>
      </c>
      <c r="C57" s="5881"/>
      <c r="D57" s="5881"/>
      <c r="E57" s="5881"/>
      <c r="F57" s="5881"/>
      <c r="G57" s="5881"/>
      <c r="H57" s="5881"/>
      <c r="I57" s="5881"/>
      <c r="J57" s="5881"/>
      <c r="M57" s="4686"/>
      <c r="U57" t="s">
        <v>9065</v>
      </c>
      <c r="V57" t="s">
        <v>9066</v>
      </c>
      <c r="W57" t="s">
        <v>9067</v>
      </c>
      <c r="AA57" s="4686" t="s">
        <v>9116</v>
      </c>
    </row>
    <row r="58" spans="2:27" s="5920" customFormat="1" ht="21" customHeight="1">
      <c r="B58" s="5881" t="s">
        <v>8759</v>
      </c>
      <c r="C58" s="5881"/>
      <c r="D58" s="5881"/>
      <c r="E58" s="5881"/>
      <c r="F58" s="5881"/>
      <c r="G58" s="5881"/>
      <c r="H58" s="5881"/>
      <c r="I58" s="5881"/>
      <c r="J58" s="5881"/>
      <c r="M58" s="4686" t="s">
        <v>8884</v>
      </c>
      <c r="U58" t="s">
        <v>9068</v>
      </c>
      <c r="V58" t="s">
        <v>9069</v>
      </c>
      <c r="W58" t="s">
        <v>9070</v>
      </c>
      <c r="AA58" s="4686"/>
    </row>
    <row r="59" spans="2:27" s="5920" customFormat="1" ht="21" customHeight="1">
      <c r="B59" s="5881" t="s">
        <v>8760</v>
      </c>
      <c r="C59" s="5881"/>
      <c r="D59" s="5881"/>
      <c r="E59" s="5881"/>
      <c r="F59" s="5881"/>
      <c r="G59" s="5881"/>
      <c r="H59" s="5881"/>
      <c r="I59" s="5881"/>
      <c r="J59" s="5881"/>
      <c r="M59"/>
      <c r="U59" t="s">
        <v>9071</v>
      </c>
      <c r="V59" t="s">
        <v>9072</v>
      </c>
      <c r="W59" t="s">
        <v>9073</v>
      </c>
      <c r="AA59" s="4686" t="s">
        <v>9117</v>
      </c>
    </row>
    <row r="60" spans="2:27" s="5920" customFormat="1" ht="21" customHeight="1">
      <c r="B60" s="5881" t="s">
        <v>8761</v>
      </c>
      <c r="C60" s="5881"/>
      <c r="D60" s="5881"/>
      <c r="E60" s="5881"/>
      <c r="F60" s="5881"/>
      <c r="G60" s="5881"/>
      <c r="H60" s="5881"/>
      <c r="I60" s="5881"/>
      <c r="J60" s="5881"/>
      <c r="M60" s="6360" t="s">
        <v>8885</v>
      </c>
      <c r="U60" t="s">
        <v>9074</v>
      </c>
      <c r="V60" t="s">
        <v>9075</v>
      </c>
      <c r="W60" t="s">
        <v>9076</v>
      </c>
      <c r="AA60"/>
    </row>
    <row r="61" spans="2:27" s="5920" customFormat="1" ht="21" customHeight="1">
      <c r="B61" s="5881" t="s">
        <v>8762</v>
      </c>
      <c r="C61" s="5881"/>
      <c r="D61" s="5881"/>
      <c r="E61" s="5881"/>
      <c r="F61" s="5881"/>
      <c r="G61" s="5881"/>
      <c r="H61" s="5881"/>
      <c r="I61" s="5881"/>
      <c r="J61" s="5881"/>
      <c r="M61" s="4686"/>
      <c r="U61" t="s">
        <v>9077</v>
      </c>
      <c r="V61" t="s">
        <v>9078</v>
      </c>
      <c r="W61" t="s">
        <v>9079</v>
      </c>
      <c r="AA61" s="4701" t="s">
        <v>9118</v>
      </c>
    </row>
    <row r="62" spans="2:27" s="5920" customFormat="1" ht="21" customHeight="1">
      <c r="B62" s="5881" t="s">
        <v>8763</v>
      </c>
      <c r="C62" s="5881"/>
      <c r="D62" s="5881"/>
      <c r="E62" s="5881"/>
      <c r="F62" s="5881"/>
      <c r="G62" s="5881"/>
      <c r="H62" s="5881"/>
      <c r="I62" s="5881"/>
      <c r="J62" s="5881"/>
      <c r="M62" s="4686" t="s">
        <v>8886</v>
      </c>
      <c r="U62" t="s">
        <v>9080</v>
      </c>
      <c r="V62" t="s">
        <v>9081</v>
      </c>
      <c r="W62" t="s">
        <v>9082</v>
      </c>
      <c r="AA62" s="4686"/>
    </row>
    <row r="63" spans="2:27">
      <c r="M63" s="4686"/>
      <c r="U63" t="s">
        <v>237</v>
      </c>
      <c r="V63" t="s">
        <v>9083</v>
      </c>
      <c r="W63" t="s">
        <v>9084</v>
      </c>
      <c r="AA63" s="4686" t="s">
        <v>9119</v>
      </c>
    </row>
    <row r="64" spans="2:27">
      <c r="M64" s="4686" t="s">
        <v>8887</v>
      </c>
      <c r="U64" t="s">
        <v>9085</v>
      </c>
      <c r="V64" t="s">
        <v>9086</v>
      </c>
      <c r="W64" t="s">
        <v>9087</v>
      </c>
      <c r="AA64" s="4686"/>
    </row>
    <row r="65" spans="13:27">
      <c r="M65" s="4686"/>
      <c r="AA65" s="4686" t="s">
        <v>9120</v>
      </c>
    </row>
    <row r="66" spans="13:27">
      <c r="M66" s="4686" t="s">
        <v>8888</v>
      </c>
      <c r="AA66" s="4686"/>
    </row>
    <row r="67" spans="13:27">
      <c r="M67" s="4686"/>
      <c r="AA67" s="4686" t="s">
        <v>9121</v>
      </c>
    </row>
    <row r="68" spans="13:27">
      <c r="M68" s="4686" t="s">
        <v>8889</v>
      </c>
    </row>
    <row r="69" spans="13:27">
      <c r="AA69" s="4701" t="s">
        <v>9122</v>
      </c>
    </row>
    <row r="70" spans="13:27" ht="23.25">
      <c r="M70" s="6360" t="s">
        <v>8890</v>
      </c>
      <c r="AA70" s="4686"/>
    </row>
    <row r="71" spans="13:27">
      <c r="M71" s="4686"/>
      <c r="AA71" s="4686" t="s">
        <v>9123</v>
      </c>
    </row>
    <row r="72" spans="13:27">
      <c r="M72" s="4686" t="s">
        <v>8891</v>
      </c>
      <c r="AA72" s="4686"/>
    </row>
    <row r="73" spans="13:27">
      <c r="M73" s="4686"/>
      <c r="AA73" s="4686" t="s">
        <v>9124</v>
      </c>
    </row>
    <row r="74" spans="13:27">
      <c r="M74" s="6361" t="s">
        <v>8892</v>
      </c>
      <c r="AA74" s="4686"/>
    </row>
    <row r="75" spans="13:27">
      <c r="M75" s="4686"/>
      <c r="AA75" s="4686" t="s">
        <v>9125</v>
      </c>
    </row>
    <row r="76" spans="13:27">
      <c r="M76" s="6361" t="s">
        <v>8893</v>
      </c>
    </row>
    <row r="77" spans="13:27">
      <c r="M77" s="4686"/>
      <c r="AA77" s="4701" t="s">
        <v>9126</v>
      </c>
    </row>
    <row r="78" spans="13:27">
      <c r="M78" s="6361" t="s">
        <v>8894</v>
      </c>
      <c r="AA78" s="4686"/>
    </row>
    <row r="79" spans="13:27">
      <c r="M79" s="4686"/>
      <c r="AA79" s="4686" t="s">
        <v>9127</v>
      </c>
    </row>
    <row r="80" spans="13:27">
      <c r="M80" s="6361" t="s">
        <v>8895</v>
      </c>
      <c r="AA80" s="4686"/>
    </row>
    <row r="81" spans="13:27">
      <c r="M81" s="4686"/>
      <c r="AA81" s="4686" t="s">
        <v>9128</v>
      </c>
    </row>
    <row r="82" spans="13:27">
      <c r="M82" s="6361" t="s">
        <v>8896</v>
      </c>
      <c r="AA82" s="4686"/>
    </row>
    <row r="83" spans="13:27">
      <c r="M83" s="4686"/>
      <c r="AA83" s="4686" t="s">
        <v>9129</v>
      </c>
    </row>
    <row r="84" spans="13:27">
      <c r="M84" s="6361" t="s">
        <v>8897</v>
      </c>
    </row>
    <row r="85" spans="13:27">
      <c r="M85" s="4686"/>
      <c r="AA85" s="4701" t="s">
        <v>9130</v>
      </c>
    </row>
    <row r="86" spans="13:27">
      <c r="M86" s="6361" t="s">
        <v>8898</v>
      </c>
      <c r="AA86" s="4686"/>
    </row>
    <row r="87" spans="13:27">
      <c r="M87" s="4686"/>
      <c r="AA87" s="4686" t="s">
        <v>9131</v>
      </c>
    </row>
    <row r="88" spans="13:27">
      <c r="M88" s="6361" t="s">
        <v>8899</v>
      </c>
      <c r="AA88" s="4686"/>
    </row>
    <row r="89" spans="13:27">
      <c r="M89" s="4686"/>
      <c r="AA89" s="4686" t="s">
        <v>9132</v>
      </c>
    </row>
    <row r="90" spans="13:27">
      <c r="M90" s="6361" t="s">
        <v>8900</v>
      </c>
      <c r="AA90" s="4686"/>
    </row>
    <row r="91" spans="13:27">
      <c r="M91" s="4686"/>
      <c r="AA91" s="4686" t="s">
        <v>9133</v>
      </c>
    </row>
    <row r="92" spans="13:27">
      <c r="M92" s="6361" t="s">
        <v>8901</v>
      </c>
    </row>
    <row r="93" spans="13:27">
      <c r="M93" s="4686"/>
      <c r="AA93" s="4701" t="s">
        <v>9134</v>
      </c>
    </row>
    <row r="94" spans="13:27">
      <c r="M94" s="6361" t="s">
        <v>8902</v>
      </c>
      <c r="AA94" s="4686"/>
    </row>
    <row r="95" spans="13:27">
      <c r="M95" s="4686"/>
      <c r="AA95" s="4686" t="s">
        <v>9135</v>
      </c>
    </row>
    <row r="96" spans="13:27">
      <c r="M96" s="6361" t="s">
        <v>8903</v>
      </c>
      <c r="AA96" s="4686"/>
    </row>
    <row r="97" spans="13:27">
      <c r="M97" s="4686"/>
      <c r="AA97" s="4686" t="s">
        <v>9136</v>
      </c>
    </row>
    <row r="98" spans="13:27">
      <c r="M98" s="6361" t="s">
        <v>8904</v>
      </c>
      <c r="AA98" s="4686"/>
    </row>
    <row r="99" spans="13:27">
      <c r="M99" s="4686"/>
      <c r="AA99" s="4686" t="s">
        <v>9137</v>
      </c>
    </row>
    <row r="100" spans="13:27">
      <c r="M100" s="6361" t="s">
        <v>8905</v>
      </c>
      <c r="AA100" s="4686"/>
    </row>
    <row r="101" spans="13:27">
      <c r="M101" s="4686"/>
      <c r="AA101" s="4686" t="s">
        <v>9138</v>
      </c>
    </row>
    <row r="102" spans="13:27">
      <c r="M102" s="6361" t="s">
        <v>8906</v>
      </c>
    </row>
    <row r="103" spans="13:27">
      <c r="M103" s="4686"/>
    </row>
    <row r="104" spans="13:27">
      <c r="M104" s="6361" t="s">
        <v>8907</v>
      </c>
    </row>
    <row r="105" spans="13:27" ht="31.5">
      <c r="M105" s="4686"/>
      <c r="AA105" s="6359" t="s">
        <v>9139</v>
      </c>
    </row>
    <row r="106" spans="13:27">
      <c r="M106" s="6361" t="s">
        <v>8908</v>
      </c>
    </row>
    <row r="107" spans="13:27">
      <c r="M107" s="4686"/>
      <c r="AA107" s="4701" t="s">
        <v>9140</v>
      </c>
    </row>
    <row r="108" spans="13:27">
      <c r="M108" s="4686" t="s">
        <v>8909</v>
      </c>
      <c r="AA108" s="4686"/>
    </row>
    <row r="109" spans="13:27">
      <c r="M109" s="4686"/>
      <c r="AA109" s="4686" t="s">
        <v>9141</v>
      </c>
    </row>
    <row r="110" spans="13:27">
      <c r="M110" s="6361" t="s">
        <v>8910</v>
      </c>
      <c r="AA110" s="4686"/>
    </row>
    <row r="111" spans="13:27">
      <c r="AA111" s="4686" t="s">
        <v>9142</v>
      </c>
    </row>
    <row r="112" spans="13:27" ht="23.25">
      <c r="M112" s="6360" t="s">
        <v>8911</v>
      </c>
      <c r="AA112" s="4686"/>
    </row>
    <row r="113" spans="13:27">
      <c r="M113" s="4686"/>
      <c r="AA113" s="4686" t="s">
        <v>9143</v>
      </c>
    </row>
    <row r="114" spans="13:27">
      <c r="M114" s="4686" t="s">
        <v>8912</v>
      </c>
    </row>
    <row r="115" spans="13:27">
      <c r="M115" s="4686"/>
      <c r="AA115" s="4701" t="s">
        <v>9144</v>
      </c>
    </row>
    <row r="116" spans="13:27">
      <c r="M116" s="4686" t="s">
        <v>8913</v>
      </c>
      <c r="AA116" t="s">
        <v>9145</v>
      </c>
    </row>
    <row r="117" spans="13:27">
      <c r="M117" s="4686"/>
      <c r="AA117" t="s">
        <v>9146</v>
      </c>
    </row>
    <row r="118" spans="13:27">
      <c r="M118" s="4686" t="s">
        <v>8914</v>
      </c>
    </row>
    <row r="119" spans="13:27">
      <c r="AA119" s="4701" t="s">
        <v>9147</v>
      </c>
    </row>
    <row r="120" spans="13:27">
      <c r="AA120" t="s">
        <v>9148</v>
      </c>
    </row>
    <row r="121" spans="13:27">
      <c r="AA121" t="s">
        <v>9149</v>
      </c>
    </row>
    <row r="122" spans="13:27">
      <c r="AA122" t="s">
        <v>9150</v>
      </c>
    </row>
    <row r="124" spans="13:27">
      <c r="AA124" s="4701" t="s">
        <v>9151</v>
      </c>
    </row>
    <row r="125" spans="13:27">
      <c r="AA125" t="s">
        <v>9152</v>
      </c>
    </row>
    <row r="126" spans="13:27">
      <c r="AA126" t="s">
        <v>9153</v>
      </c>
    </row>
    <row r="127" spans="13:27">
      <c r="AA127" t="s">
        <v>9154</v>
      </c>
    </row>
    <row r="129" spans="27:27">
      <c r="AA129" s="4701" t="s">
        <v>9155</v>
      </c>
    </row>
    <row r="130" spans="27:27">
      <c r="AA130" t="s">
        <v>9156</v>
      </c>
    </row>
    <row r="131" spans="27:27">
      <c r="AA131" t="s">
        <v>9157</v>
      </c>
    </row>
    <row r="132" spans="27:27">
      <c r="AA132" t="s">
        <v>9158</v>
      </c>
    </row>
    <row r="134" spans="27:27">
      <c r="AA134" s="4701" t="s">
        <v>9159</v>
      </c>
    </row>
    <row r="135" spans="27:27">
      <c r="AA135" t="s">
        <v>9160</v>
      </c>
    </row>
    <row r="136" spans="27:27">
      <c r="AA136" t="s">
        <v>9161</v>
      </c>
    </row>
    <row r="137" spans="27:27">
      <c r="AA137" t="s">
        <v>9162</v>
      </c>
    </row>
    <row r="139" spans="27:27">
      <c r="AA139" s="4701" t="s">
        <v>9163</v>
      </c>
    </row>
    <row r="140" spans="27:27">
      <c r="AA140" t="s">
        <v>9164</v>
      </c>
    </row>
    <row r="141" spans="27:27">
      <c r="AA141" t="s">
        <v>9165</v>
      </c>
    </row>
    <row r="142" spans="27:27">
      <c r="AA142" t="s">
        <v>9166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28</vt:i4>
      </vt:variant>
      <vt:variant>
        <vt:lpstr>Plages nommées</vt:lpstr>
      </vt:variant>
      <vt:variant>
        <vt:i4>3</vt:i4>
      </vt:variant>
    </vt:vector>
  </HeadingPairs>
  <TitlesOfParts>
    <vt:vector size="31" baseType="lpstr">
      <vt:lpstr>Notice.utilisateur</vt:lpstr>
      <vt:lpstr>Répertoire.A</vt:lpstr>
      <vt:lpstr>Allergènes</vt:lpstr>
      <vt:lpstr>Recette .Exemple</vt:lpstr>
      <vt:lpstr>Fiche.préformatée</vt:lpstr>
      <vt:lpstr>Differents.postits.FR.EN.ES</vt:lpstr>
      <vt:lpstr>Identité</vt:lpstr>
      <vt:lpstr>traduction_FR-EN-ES</vt:lpstr>
      <vt:lpstr>Formules Excel</vt:lpstr>
      <vt:lpstr>Fiche.cadre.6.a modifier</vt:lpstr>
      <vt:lpstr>Nota.du.31.Mars.2025</vt:lpstr>
      <vt:lpstr>Exemple.de.Répertoire.simple.1</vt:lpstr>
      <vt:lpstr>Transmission.des.savoirs.2025</vt:lpstr>
      <vt:lpstr>Aide.Traduction.Trilingue</vt:lpstr>
      <vt:lpstr>Qu'est-ce</vt:lpstr>
      <vt:lpstr>Répertoire.2.postits</vt:lpstr>
      <vt:lpstr>2.Postits.quant.et.progression</vt:lpstr>
      <vt:lpstr>1.Postit.quant.avec.progression</vt:lpstr>
      <vt:lpstr>Texte.pour.cellules.Postits</vt:lpstr>
      <vt:lpstr>Texte.pour.cellules</vt:lpstr>
      <vt:lpstr>Vocabulaire</vt:lpstr>
      <vt:lpstr>peser.sans.balance.31.01.2025</vt:lpstr>
      <vt:lpstr>aides cuisine</vt:lpstr>
      <vt:lpstr>pourcentages</vt:lpstr>
      <vt:lpstr>Couleurs</vt:lpstr>
      <vt:lpstr>ChatGPT</vt:lpstr>
      <vt:lpstr>Excel</vt:lpstr>
      <vt:lpstr>Nethèque</vt:lpstr>
      <vt:lpstr>'Fiche.cadre.6.a modifier'!Zone_d_impression</vt:lpstr>
      <vt:lpstr>Fiche.préformatée!Zone_d_impression</vt:lpstr>
      <vt:lpstr>'Recette .Exemple'!Zone_d_impression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2025-04-04T18:27:54Z</dcterms:created>
  <dcterms:modified xsi:type="dcterms:W3CDTF">2026-04-05T15:22:03Z</dcterms:modified>
</cp:coreProperties>
</file>